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codeName="ThisWorkbook"/>
  <mc:AlternateContent xmlns:mc="http://schemas.openxmlformats.org/markup-compatibility/2006">
    <mc:Choice Requires="x15">
      <x15ac:absPath xmlns:x15ac="http://schemas.microsoft.com/office/spreadsheetml/2010/11/ac" url="https://carb.sharepoint.com/sites/STCD/CIB/CIBS/TIRCP/Cycle 8/QM Docs/"/>
    </mc:Choice>
  </mc:AlternateContent>
  <xr:revisionPtr revIDLastSave="338" documentId="8_{19E39F76-65B0-4CF4-ADA4-EE6B6B12A2B3}" xr6:coauthVersionLast="47" xr6:coauthVersionMax="47" xr10:uidLastSave="{0C8536EB-096D-4102-9917-B2E9B55890B7}"/>
  <bookViews>
    <workbookView xWindow="-28920" yWindow="-120" windowWidth="29040" windowHeight="15720" tabRatio="845" xr2:uid="{00000000-000D-0000-FFFF-FFFF00000000}"/>
  </bookViews>
  <sheets>
    <sheet name="Read Me" sheetId="35" r:id="rId1"/>
    <sheet name="Project Info" sheetId="106" r:id="rId2"/>
    <sheet name="Quantifiable Component 1" sheetId="84" r:id="rId3"/>
    <sheet name="Quantifiable Component 2" sheetId="100" r:id="rId4"/>
    <sheet name="Quantifiable Component 3" sheetId="101" r:id="rId5"/>
    <sheet name="Quantifiable Component 4" sheetId="102" r:id="rId6"/>
    <sheet name="Quantifiable Component 5" sheetId="103" r:id="rId7"/>
    <sheet name="Quantifiable Component 6" sheetId="104" r:id="rId8"/>
    <sheet name="GHG Summary" sheetId="5" r:id="rId9"/>
    <sheet name="Co-benefits Summary" sheetId="64" r:id="rId10"/>
    <sheet name="Definitions &amp; Acronyms" sheetId="75" r:id="rId11"/>
    <sheet name="Project Type List" sheetId="83" r:id="rId12"/>
    <sheet name="Lookup Tables" sheetId="76" r:id="rId13"/>
    <sheet name="Documentation" sheetId="69" r:id="rId14"/>
    <sheet name="GHG Calcs" sheetId="30" r:id="rId15"/>
    <sheet name="Co-Benefit Calcs" sheetId="57" r:id="rId16"/>
    <sheet name="GHG EF" sheetId="40" r:id="rId17"/>
    <sheet name="Auto GHG" sheetId="39" r:id="rId18"/>
    <sheet name="Fuel Consumption" sheetId="47" r:id="rId19"/>
    <sheet name="Auto C&amp;T EF" sheetId="58" r:id="rId20"/>
    <sheet name="Bus C&amp;T EF" sheetId="59" r:id="rId21"/>
    <sheet name="Van C&amp;T EF" sheetId="60" r:id="rId22"/>
    <sheet name="Shuttle C&amp;T EF" sheetId="61" r:id="rId23"/>
    <sheet name="Over-Road Coach C&amp;T EF" sheetId="62" r:id="rId24"/>
    <sheet name="Rail C&amp;T EF" sheetId="66" r:id="rId25"/>
    <sheet name="Ferry C&amp;T EF" sheetId="67" r:id="rId26"/>
    <sheet name="Fuel &amp; Travel Costs" sheetId="68" r:id="rId27"/>
    <sheet name="LCTOP Project Types" sheetId="77" state="hidden" r:id="rId28"/>
    <sheet name="Defaults" sheetId="13" r:id="rId29"/>
  </sheets>
  <externalReferences>
    <externalReference r:id="rId30"/>
    <externalReference r:id="rId31"/>
    <externalReference r:id="rId32"/>
    <externalReference r:id="rId33"/>
    <externalReference r:id="rId34"/>
    <externalReference r:id="rId35"/>
    <externalReference r:id="rId36"/>
    <externalReference r:id="rId37"/>
  </externalReferences>
  <definedNames>
    <definedName name="_ftn1" localSheetId="9">'Co-benefits Summary'!#REF!</definedName>
    <definedName name="_ftn1" localSheetId="10">'Definitions &amp; Acronyms'!#REF!</definedName>
    <definedName name="_ftn1" localSheetId="13">Documentation!#REF!</definedName>
    <definedName name="_ftn1" localSheetId="8">'GHG Summary'!#REF!</definedName>
    <definedName name="_ftn1" localSheetId="12">'Lookup Tables'!#REF!</definedName>
    <definedName name="_ftn1" localSheetId="11">'Project Type List'!#REF!</definedName>
    <definedName name="_ftn1" localSheetId="0">'Read Me'!#REF!</definedName>
    <definedName name="_ftn2" localSheetId="9">'Co-benefits Summary'!#REF!</definedName>
    <definedName name="_ftn2" localSheetId="8">'GHG Summary'!#REF!</definedName>
    <definedName name="_ftn2" localSheetId="0">'Read Me'!#REF!</definedName>
    <definedName name="_ftnref1" localSheetId="9">'Co-benefits Summary'!#REF!</definedName>
    <definedName name="_ftnref1" localSheetId="8">'GHG Summary'!#REF!</definedName>
    <definedName name="_ftnref1" localSheetId="0">'Read Me'!#REF!</definedName>
    <definedName name="_ftnref2" localSheetId="9">'Co-benefits Summary'!#REF!</definedName>
    <definedName name="_ftnref2" localSheetId="8">'GHG Summary'!#REF!</definedName>
    <definedName name="_ftnref2" localSheetId="0">'Read Me'!#REF!</definedName>
    <definedName name="_Toc422922133" localSheetId="0">'Read Me'!#REF!</definedName>
    <definedName name="_Toc422922134" localSheetId="0">'Read Me'!#REF!</definedName>
    <definedName name="_Toc422922137" localSheetId="9">'Co-benefits Summary'!#REF!</definedName>
    <definedName name="_Toc422922137" localSheetId="8">'GHG Summary'!#REF!</definedName>
    <definedName name="_Toc422922137" localSheetId="0">'Read Me'!#REF!</definedName>
    <definedName name="_Toc422922139" localSheetId="14">'GHG Calcs'!#REF!</definedName>
    <definedName name="_Toc422922140" localSheetId="14">'GHG Calcs'!#REF!</definedName>
    <definedName name="_Toc422922143" localSheetId="14">'GHG Calcs'!#REF!</definedName>
    <definedName name="acc" localSheetId="10">[1]Defaults!$I$2:$I$6</definedName>
    <definedName name="acc" localSheetId="13">[1]Defaults!$I$2:$I$6</definedName>
    <definedName name="acc" localSheetId="25">[1]Defaults!$I$2:$I$6</definedName>
    <definedName name="acc" localSheetId="12">[1]Defaults!$I$2:$I$6</definedName>
    <definedName name="acc" localSheetId="11">[1]Defaults!$I$2:$I$6</definedName>
    <definedName name="acc" localSheetId="24">[1]Defaults!$I$2:$I$6</definedName>
    <definedName name="acc">[2]Defaults!$I$2:$I$6</definedName>
    <definedName name="add">[3]Defaults!$Z$3:$Z$4</definedName>
    <definedName name="addghg">[3]Defaults!$Z$2:$Z$3</definedName>
    <definedName name="adjf" localSheetId="10">[1]Defaults!$H$2:$H$16</definedName>
    <definedName name="adjf" localSheetId="13">[1]Defaults!$H$2:$H$16</definedName>
    <definedName name="adjf" localSheetId="25">[1]Defaults!$H$2:$H$16</definedName>
    <definedName name="adjf" localSheetId="12">[1]Defaults!$H$2:$H$16</definedName>
    <definedName name="adjf" localSheetId="11">[1]Defaults!$H$2:$H$16</definedName>
    <definedName name="adjf" localSheetId="24">[1]Defaults!$H$2:$H$16</definedName>
    <definedName name="adjf">[2]Defaults!$H$2:$H$16</definedName>
    <definedName name="airb" localSheetId="9">'GHG EF'!#REF!</definedName>
    <definedName name="airb" localSheetId="10">'[4]GHG EF &amp; Fuel Price Tables'!#REF!</definedName>
    <definedName name="airb" localSheetId="13">'[4]GHG EF &amp; Fuel Price Tables'!#REF!</definedName>
    <definedName name="airb" localSheetId="25">'[4]GHG EF &amp; Fuel Price Tables'!#REF!</definedName>
    <definedName name="airb" localSheetId="26">'Fuel &amp; Travel Costs'!#REF!</definedName>
    <definedName name="airb" localSheetId="12">'[4]GHG EF &amp; Fuel Price Tables'!#REF!</definedName>
    <definedName name="airb" localSheetId="23">'GHG EF'!#REF!</definedName>
    <definedName name="airb" localSheetId="11">'[4]GHG EF &amp; Fuel Price Tables'!#REF!</definedName>
    <definedName name="airb" localSheetId="2">'GHG EF'!#REF!</definedName>
    <definedName name="airb" localSheetId="3">'GHG EF'!#REF!</definedName>
    <definedName name="airb" localSheetId="4">'GHG EF'!#REF!</definedName>
    <definedName name="airb" localSheetId="5">'GHG EF'!#REF!</definedName>
    <definedName name="airb" localSheetId="6">'GHG EF'!#REF!</definedName>
    <definedName name="airb" localSheetId="7">'GHG EF'!#REF!</definedName>
    <definedName name="airb" localSheetId="24">'[4]GHG EF &amp; Fuel Price Tables'!#REF!</definedName>
    <definedName name="airb">'GHG EF'!#REF!</definedName>
    <definedName name="AttachmentA">[5]Sheet2!$A$3:$A$17</definedName>
    <definedName name="AttachmentB">[5]Sheet2!$A$20:$A$43</definedName>
    <definedName name="basin" localSheetId="26">[3]Defaults!$D$2:$D$16</definedName>
    <definedName name="basin" localSheetId="16">[3]Defaults!$D$2:$D$16</definedName>
    <definedName name="basin">Defaults!$E$2:$E$16</definedName>
    <definedName name="basinair" localSheetId="9">[3]Defaults!#REF!</definedName>
    <definedName name="basinair" localSheetId="10">[4]Defaults!#REF!</definedName>
    <definedName name="basinair" localSheetId="13">[4]Defaults!#REF!</definedName>
    <definedName name="basinair" localSheetId="25">[4]Defaults!#REF!</definedName>
    <definedName name="basinair" localSheetId="26">[3]Defaults!#REF!</definedName>
    <definedName name="basinair" localSheetId="12">[4]Defaults!#REF!</definedName>
    <definedName name="basinair" localSheetId="23">[3]Defaults!#REF!</definedName>
    <definedName name="basinair" localSheetId="11">[4]Defaults!#REF!</definedName>
    <definedName name="basinair" localSheetId="2">[3]Defaults!#REF!</definedName>
    <definedName name="basinair" localSheetId="3">[3]Defaults!#REF!</definedName>
    <definedName name="basinair" localSheetId="4">[3]Defaults!#REF!</definedName>
    <definedName name="basinair" localSheetId="5">[3]Defaults!#REF!</definedName>
    <definedName name="basinair" localSheetId="6">[3]Defaults!#REF!</definedName>
    <definedName name="basinair" localSheetId="7">[3]Defaults!#REF!</definedName>
    <definedName name="basinair" localSheetId="24">[4]Defaults!#REF!</definedName>
    <definedName name="basinair">[3]Defaults!#REF!</definedName>
    <definedName name="BFT" localSheetId="9">Defaults!#REF!</definedName>
    <definedName name="BFT" localSheetId="10">[4]Defaults!#REF!</definedName>
    <definedName name="BFT" localSheetId="13">[4]Defaults!#REF!</definedName>
    <definedName name="BFT" localSheetId="25">[4]Defaults!#REF!</definedName>
    <definedName name="BFT" localSheetId="26">'Fuel &amp; Travel Costs'!#REF!</definedName>
    <definedName name="BFT" localSheetId="16">'GHG EF'!#REF!</definedName>
    <definedName name="BFT" localSheetId="12">[4]Defaults!#REF!</definedName>
    <definedName name="BFT" localSheetId="23">Defaults!#REF!</definedName>
    <definedName name="BFT" localSheetId="11">[4]Defaults!#REF!</definedName>
    <definedName name="BFT" localSheetId="2">Defaults!#REF!</definedName>
    <definedName name="BFT" localSheetId="3">Defaults!#REF!</definedName>
    <definedName name="BFT" localSheetId="4">Defaults!#REF!</definedName>
    <definedName name="BFT" localSheetId="5">Defaults!#REF!</definedName>
    <definedName name="BFT" localSheetId="6">Defaults!#REF!</definedName>
    <definedName name="BFT" localSheetId="7">Defaults!#REF!</definedName>
    <definedName name="BFT" localSheetId="24">[4]Defaults!#REF!</definedName>
    <definedName name="BFT">Defaults!#REF!</definedName>
    <definedName name="BUST" localSheetId="9">#REF!</definedName>
    <definedName name="BUST" localSheetId="10">#REF!</definedName>
    <definedName name="BUST" localSheetId="13">#REF!</definedName>
    <definedName name="BUST" localSheetId="25">#REF!</definedName>
    <definedName name="BUST" localSheetId="26">#REF!</definedName>
    <definedName name="BUST" localSheetId="14">#REF!</definedName>
    <definedName name="BUST" localSheetId="16">#REF!</definedName>
    <definedName name="BUST" localSheetId="12">#REF!</definedName>
    <definedName name="BUST" localSheetId="23">#REF!</definedName>
    <definedName name="BUST" localSheetId="11">#REF!</definedName>
    <definedName name="BUST" localSheetId="2">#REF!</definedName>
    <definedName name="BUST" localSheetId="3">#REF!</definedName>
    <definedName name="BUST" localSheetId="4">#REF!</definedName>
    <definedName name="BUST" localSheetId="5">#REF!</definedName>
    <definedName name="BUST" localSheetId="6">#REF!</definedName>
    <definedName name="BUST" localSheetId="7">#REF!</definedName>
    <definedName name="BUST" localSheetId="24">#REF!</definedName>
    <definedName name="BUST" localSheetId="0">#REF!</definedName>
    <definedName name="BUST">#REF!</definedName>
    <definedName name="cab">[3]Defaults!$U$2:$U$3</definedName>
    <definedName name="CaleemodSum" localSheetId="9">#REF!</definedName>
    <definedName name="CaleemodSum" localSheetId="10">'[1]CalEEMod Steps 4-6'!$D$49</definedName>
    <definedName name="CaleemodSum" localSheetId="13">'[1]CalEEMod Steps 4-6'!$D$49</definedName>
    <definedName name="CaleemodSum" localSheetId="25">'[1]CalEEMod Steps 4-6'!$D$49</definedName>
    <definedName name="CaleemodSum" localSheetId="26">#REF!</definedName>
    <definedName name="CaleemodSum" localSheetId="12">'[1]CalEEMod Steps 4-6'!$D$49</definedName>
    <definedName name="CaleemodSum" localSheetId="23">#REF!</definedName>
    <definedName name="CaleemodSum" localSheetId="11">'[1]CalEEMod Steps 4-6'!$D$49</definedName>
    <definedName name="CaleemodSum" localSheetId="2">#REF!</definedName>
    <definedName name="CaleemodSum" localSheetId="3">#REF!</definedName>
    <definedName name="CaleemodSum" localSheetId="4">#REF!</definedName>
    <definedName name="CaleemodSum" localSheetId="5">#REF!</definedName>
    <definedName name="CaleemodSum" localSheetId="6">#REF!</definedName>
    <definedName name="CaleemodSum" localSheetId="7">#REF!</definedName>
    <definedName name="CaleemodSum" localSheetId="24">'[1]CalEEMod Steps 4-6'!$D$49</definedName>
    <definedName name="CaleemodSum">#REF!</definedName>
    <definedName name="cap">[3]Defaults!$H$10:$H$12</definedName>
    <definedName name="capital" localSheetId="9">[3]Defaults!#REF!</definedName>
    <definedName name="capital" localSheetId="10">[4]Defaults!#REF!</definedName>
    <definedName name="capital" localSheetId="13">[4]Defaults!#REF!</definedName>
    <definedName name="capital" localSheetId="25">[4]Defaults!#REF!</definedName>
    <definedName name="capital" localSheetId="26">[3]Defaults!#REF!</definedName>
    <definedName name="capital" localSheetId="12">[4]Defaults!#REF!</definedName>
    <definedName name="capital" localSheetId="23">[3]Defaults!#REF!</definedName>
    <definedName name="capital" localSheetId="11">[4]Defaults!#REF!</definedName>
    <definedName name="capital" localSheetId="2">[3]Defaults!#REF!</definedName>
    <definedName name="capital" localSheetId="3">[3]Defaults!#REF!</definedName>
    <definedName name="capital" localSheetId="4">[3]Defaults!#REF!</definedName>
    <definedName name="capital" localSheetId="5">[3]Defaults!#REF!</definedName>
    <definedName name="capital" localSheetId="6">[3]Defaults!#REF!</definedName>
    <definedName name="capital" localSheetId="7">[3]Defaults!#REF!</definedName>
    <definedName name="capital" localSheetId="24">[4]Defaults!#REF!</definedName>
    <definedName name="capital">[3]Defaults!#REF!</definedName>
    <definedName name="caps" localSheetId="9">'GHG EF'!#REF!</definedName>
    <definedName name="caps" localSheetId="10">'[4]GHG EF &amp; Fuel Price Tables'!#REF!</definedName>
    <definedName name="caps" localSheetId="13">'[4]GHG EF &amp; Fuel Price Tables'!#REF!</definedName>
    <definedName name="caps" localSheetId="25">'[4]GHG EF &amp; Fuel Price Tables'!#REF!</definedName>
    <definedName name="caps" localSheetId="26">'Fuel &amp; Travel Costs'!#REF!</definedName>
    <definedName name="caps" localSheetId="12">'[4]GHG EF &amp; Fuel Price Tables'!#REF!</definedName>
    <definedName name="caps" localSheetId="23">'GHG EF'!#REF!</definedName>
    <definedName name="caps" localSheetId="11">'[4]GHG EF &amp; Fuel Price Tables'!#REF!</definedName>
    <definedName name="caps" localSheetId="2">'GHG EF'!#REF!</definedName>
    <definedName name="caps" localSheetId="3">'GHG EF'!#REF!</definedName>
    <definedName name="caps" localSheetId="4">'GHG EF'!#REF!</definedName>
    <definedName name="caps" localSheetId="5">'GHG EF'!#REF!</definedName>
    <definedName name="caps" localSheetId="6">'GHG EF'!#REF!</definedName>
    <definedName name="caps" localSheetId="7">'GHG EF'!#REF!</definedName>
    <definedName name="caps" localSheetId="24">'[4]GHG EF &amp; Fuel Price Tables'!#REF!</definedName>
    <definedName name="caps">'GHG EF'!#REF!</definedName>
    <definedName name="captl" localSheetId="9">[3]Defaults!#REF!</definedName>
    <definedName name="captl" localSheetId="10">[4]Defaults!#REF!</definedName>
    <definedName name="captl" localSheetId="13">[4]Defaults!#REF!</definedName>
    <definedName name="captl" localSheetId="25">[4]Defaults!#REF!</definedName>
    <definedName name="captl" localSheetId="26">[3]Defaults!#REF!</definedName>
    <definedName name="captl" localSheetId="12">[4]Defaults!#REF!</definedName>
    <definedName name="captl" localSheetId="23">[3]Defaults!#REF!</definedName>
    <definedName name="captl" localSheetId="11">[4]Defaults!#REF!</definedName>
    <definedName name="captl" localSheetId="2">[3]Defaults!#REF!</definedName>
    <definedName name="captl" localSheetId="3">[3]Defaults!#REF!</definedName>
    <definedName name="captl" localSheetId="4">[3]Defaults!#REF!</definedName>
    <definedName name="captl" localSheetId="5">[3]Defaults!#REF!</definedName>
    <definedName name="captl" localSheetId="6">[3]Defaults!#REF!</definedName>
    <definedName name="captl" localSheetId="7">[3]Defaults!#REF!</definedName>
    <definedName name="captl" localSheetId="24">[4]Defaults!#REF!</definedName>
    <definedName name="captl">[3]Defaults!#REF!</definedName>
    <definedName name="clean">[3]Defaults!$H$8:$H$9</definedName>
    <definedName name="cnty" localSheetId="10">[1]Defaults!$C$2:$C$59</definedName>
    <definedName name="cnty" localSheetId="13">[1]Defaults!$C$2:$C$59</definedName>
    <definedName name="cnty" localSheetId="25">[1]Defaults!$C$2:$C$59</definedName>
    <definedName name="cnty" localSheetId="26">'Fuel &amp; Travel Costs'!#REF!</definedName>
    <definedName name="cnty" localSheetId="16">'GHG EF'!#REF!</definedName>
    <definedName name="cnty" localSheetId="12">[1]Defaults!$C$2:$C$59</definedName>
    <definedName name="cnty" localSheetId="11">[1]Defaults!$C$2:$C$59</definedName>
    <definedName name="cnty" localSheetId="24">[1]Defaults!$C$2:$C$59</definedName>
    <definedName name="cnty">Defaults!$D$2:$D$59</definedName>
    <definedName name="cntys">[3]Defaults!$C$2:$C$59</definedName>
    <definedName name="cptl" localSheetId="9">[3]Defaults!#REF!</definedName>
    <definedName name="cptl" localSheetId="10">[4]Defaults!#REF!</definedName>
    <definedName name="cptl" localSheetId="13">[4]Defaults!#REF!</definedName>
    <definedName name="cptl" localSheetId="25">[4]Defaults!#REF!</definedName>
    <definedName name="cptl" localSheetId="26">[3]Defaults!#REF!</definedName>
    <definedName name="cptl" localSheetId="12">[4]Defaults!#REF!</definedName>
    <definedName name="cptl" localSheetId="23">[3]Defaults!#REF!</definedName>
    <definedName name="cptl" localSheetId="11">[4]Defaults!#REF!</definedName>
    <definedName name="cptl" localSheetId="2">[3]Defaults!#REF!</definedName>
    <definedName name="cptl" localSheetId="3">[3]Defaults!#REF!</definedName>
    <definedName name="cptl" localSheetId="4">[3]Defaults!#REF!</definedName>
    <definedName name="cptl" localSheetId="5">[3]Defaults!#REF!</definedName>
    <definedName name="cptl" localSheetId="6">[3]Defaults!#REF!</definedName>
    <definedName name="cptl" localSheetId="7">[3]Defaults!#REF!</definedName>
    <definedName name="cptl" localSheetId="24">[4]Defaults!#REF!</definedName>
    <definedName name="cptl">[3]Defaults!#REF!</definedName>
    <definedName name="Cut_A_Way" localSheetId="10">#REF!</definedName>
    <definedName name="Cut_A_Way" localSheetId="13">#REF!</definedName>
    <definedName name="Cut_A_Way" localSheetId="25">#REF!</definedName>
    <definedName name="Cut_A_Way" localSheetId="26">#REF!</definedName>
    <definedName name="Cut_A_Way" localSheetId="12">#REF!</definedName>
    <definedName name="Cut_A_Way" localSheetId="11">#REF!</definedName>
    <definedName name="Cut_A_Way" localSheetId="24">#REF!</definedName>
    <definedName name="Cut_A_Way">#REF!</definedName>
    <definedName name="CY" localSheetId="10">[1]Defaults!$B$2:$B$37</definedName>
    <definedName name="CY" localSheetId="13">[1]Defaults!$B$2:$B$37</definedName>
    <definedName name="CY" localSheetId="25">[1]Defaults!$B$2:$B$37</definedName>
    <definedName name="CY" localSheetId="26">'Fuel &amp; Travel Costs'!#REF!</definedName>
    <definedName name="CY" localSheetId="16">'GHG EF'!#REF!</definedName>
    <definedName name="CY" localSheetId="12">[1]Defaults!$B$2:$B$37</definedName>
    <definedName name="CY" localSheetId="11">[1]Defaults!$B$2:$B$37</definedName>
    <definedName name="CY" localSheetId="24">[1]Defaults!$B$2:$B$37</definedName>
    <definedName name="CY">Defaults!$B$2:$B$36</definedName>
    <definedName name="Diesel" localSheetId="9">#REF!</definedName>
    <definedName name="Diesel" localSheetId="10">#REF!</definedName>
    <definedName name="Diesel" localSheetId="13">#REF!</definedName>
    <definedName name="Diesel" localSheetId="25">#REF!</definedName>
    <definedName name="Diesel" localSheetId="26">#REF!</definedName>
    <definedName name="Diesel" localSheetId="14">#REF!</definedName>
    <definedName name="Diesel" localSheetId="16">#REF!</definedName>
    <definedName name="Diesel" localSheetId="12">#REF!</definedName>
    <definedName name="Diesel" localSheetId="23">#REF!</definedName>
    <definedName name="Diesel" localSheetId="11">#REF!</definedName>
    <definedName name="Diesel" localSheetId="2">#REF!</definedName>
    <definedName name="Diesel" localSheetId="3">#REF!</definedName>
    <definedName name="Diesel" localSheetId="4">#REF!</definedName>
    <definedName name="Diesel" localSheetId="5">#REF!</definedName>
    <definedName name="Diesel" localSheetId="6">#REF!</definedName>
    <definedName name="Diesel" localSheetId="7">#REF!</definedName>
    <definedName name="Diesel" localSheetId="24">#REF!</definedName>
    <definedName name="Diesel" localSheetId="0">#REF!</definedName>
    <definedName name="Diesel">#REF!</definedName>
    <definedName name="ECY" localSheetId="9">'GHG EF'!#REF!</definedName>
    <definedName name="ECY" localSheetId="10">'[4]GHG EF &amp; Fuel Price Tables'!#REF!</definedName>
    <definedName name="ECY" localSheetId="13">'[4]GHG EF &amp; Fuel Price Tables'!#REF!</definedName>
    <definedName name="ECY" localSheetId="25">'[4]GHG EF &amp; Fuel Price Tables'!#REF!</definedName>
    <definedName name="ECY" localSheetId="26">'Fuel &amp; Travel Costs'!#REF!</definedName>
    <definedName name="ECY" localSheetId="12">'[4]GHG EF &amp; Fuel Price Tables'!#REF!</definedName>
    <definedName name="ECY" localSheetId="23">'GHG EF'!#REF!</definedName>
    <definedName name="ECY" localSheetId="11">'[4]GHG EF &amp; Fuel Price Tables'!#REF!</definedName>
    <definedName name="ECY" localSheetId="2">'GHG EF'!#REF!</definedName>
    <definedName name="ECY" localSheetId="3">'GHG EF'!#REF!</definedName>
    <definedName name="ECY" localSheetId="4">'GHG EF'!#REF!</definedName>
    <definedName name="ECY" localSheetId="5">'GHG EF'!#REF!</definedName>
    <definedName name="ECY" localSheetId="6">'GHG EF'!#REF!</definedName>
    <definedName name="ECY" localSheetId="7">'GHG EF'!#REF!</definedName>
    <definedName name="ECY" localSheetId="24">'[4]GHG EF &amp; Fuel Price Tables'!#REF!</definedName>
    <definedName name="ECY">'GHG EF'!#REF!</definedName>
    <definedName name="Electric" localSheetId="9">#REF!</definedName>
    <definedName name="Electric" localSheetId="10">#REF!</definedName>
    <definedName name="Electric" localSheetId="13">#REF!</definedName>
    <definedName name="Electric" localSheetId="25">#REF!</definedName>
    <definedName name="Electric" localSheetId="26">#REF!</definedName>
    <definedName name="Electric" localSheetId="14">#REF!</definedName>
    <definedName name="Electric" localSheetId="16">#REF!</definedName>
    <definedName name="Electric" localSheetId="12">#REF!</definedName>
    <definedName name="Electric" localSheetId="23">#REF!</definedName>
    <definedName name="Electric" localSheetId="11">#REF!</definedName>
    <definedName name="Electric" localSheetId="2">#REF!</definedName>
    <definedName name="Electric" localSheetId="3">#REF!</definedName>
    <definedName name="Electric" localSheetId="4">#REF!</definedName>
    <definedName name="Electric" localSheetId="5">#REF!</definedName>
    <definedName name="Electric" localSheetId="6">#REF!</definedName>
    <definedName name="Electric" localSheetId="7">#REF!</definedName>
    <definedName name="Electric" localSheetId="24">#REF!</definedName>
    <definedName name="Electric" localSheetId="0">#REF!</definedName>
    <definedName name="Electric">#REF!</definedName>
    <definedName name="EMY" localSheetId="10">[1]Defaults!$A$2:$A$50</definedName>
    <definedName name="EMY" localSheetId="13">[1]Defaults!$A$2:$A$50</definedName>
    <definedName name="EMY" localSheetId="25">[1]Defaults!$A$2:$A$50</definedName>
    <definedName name="EMY" localSheetId="26">'Fuel &amp; Travel Costs'!#REF!</definedName>
    <definedName name="EMY" localSheetId="16">'GHG EF'!#REF!</definedName>
    <definedName name="EMY" localSheetId="12">[1]Defaults!$A$2:$A$50</definedName>
    <definedName name="EMY" localSheetId="11">[1]Defaults!$A$2:$A$50</definedName>
    <definedName name="EMY" localSheetId="24">[1]Defaults!$A$2:$A$50</definedName>
    <definedName name="EMY">Defaults!$A$14:$A$61</definedName>
    <definedName name="enhp" localSheetId="9">Defaults!#REF!</definedName>
    <definedName name="enhp" localSheetId="10">[4]Defaults!#REF!</definedName>
    <definedName name="enhp" localSheetId="13">[4]Defaults!#REF!</definedName>
    <definedName name="enhp" localSheetId="25">[4]Defaults!#REF!</definedName>
    <definedName name="enhp" localSheetId="26">'Fuel &amp; Travel Costs'!#REF!</definedName>
    <definedName name="enhp" localSheetId="16">'GHG EF'!#REF!</definedName>
    <definedName name="enhp" localSheetId="12">[4]Defaults!#REF!</definedName>
    <definedName name="enhp" localSheetId="23">Defaults!#REF!</definedName>
    <definedName name="enhp" localSheetId="11">[4]Defaults!#REF!</definedName>
    <definedName name="enhp" localSheetId="2">Defaults!#REF!</definedName>
    <definedName name="enhp" localSheetId="3">Defaults!#REF!</definedName>
    <definedName name="enhp" localSheetId="4">Defaults!#REF!</definedName>
    <definedName name="enhp" localSheetId="5">Defaults!#REF!</definedName>
    <definedName name="enhp" localSheetId="6">Defaults!#REF!</definedName>
    <definedName name="enhp" localSheetId="7">Defaults!#REF!</definedName>
    <definedName name="enhp" localSheetId="24">[4]Defaults!#REF!</definedName>
    <definedName name="enhp">Defaults!#REF!</definedName>
    <definedName name="Ferry" localSheetId="10">#REF!</definedName>
    <definedName name="Ferry" localSheetId="13">#REF!</definedName>
    <definedName name="Ferry" localSheetId="25">#REF!</definedName>
    <definedName name="Ferry" localSheetId="26">#REF!</definedName>
    <definedName name="Ferry" localSheetId="12">#REF!</definedName>
    <definedName name="Ferry" localSheetId="11">#REF!</definedName>
    <definedName name="Ferry" localSheetId="24">#REF!</definedName>
    <definedName name="Ferry">#REF!</definedName>
    <definedName name="FT" localSheetId="9">#REF!</definedName>
    <definedName name="FT" localSheetId="10">#REF!</definedName>
    <definedName name="FT" localSheetId="13">#REF!</definedName>
    <definedName name="FT" localSheetId="25">#REF!</definedName>
    <definedName name="FT" localSheetId="26">#REF!</definedName>
    <definedName name="FT" localSheetId="14">#REF!</definedName>
    <definedName name="FT" localSheetId="16">#REF!</definedName>
    <definedName name="FT" localSheetId="12">#REF!</definedName>
    <definedName name="FT" localSheetId="23">#REF!</definedName>
    <definedName name="FT" localSheetId="11">#REF!</definedName>
    <definedName name="FT" localSheetId="2">#REF!</definedName>
    <definedName name="FT" localSheetId="3">#REF!</definedName>
    <definedName name="FT" localSheetId="4">#REF!</definedName>
    <definedName name="FT" localSheetId="5">#REF!</definedName>
    <definedName name="FT" localSheetId="6">#REF!</definedName>
    <definedName name="FT" localSheetId="7">#REF!</definedName>
    <definedName name="FT" localSheetId="24">#REF!</definedName>
    <definedName name="FT" localSheetId="0">#REF!</definedName>
    <definedName name="FT">#REF!</definedName>
    <definedName name="Ftype" localSheetId="9">#REF!</definedName>
    <definedName name="Ftype" localSheetId="10">#REF!</definedName>
    <definedName name="Ftype" localSheetId="13">#REF!</definedName>
    <definedName name="Ftype" localSheetId="25">#REF!</definedName>
    <definedName name="Ftype" localSheetId="26">#REF!</definedName>
    <definedName name="Ftype" localSheetId="14">#REF!</definedName>
    <definedName name="Ftype" localSheetId="16">#REF!</definedName>
    <definedName name="Ftype" localSheetId="12">#REF!</definedName>
    <definedName name="Ftype" localSheetId="23">#REF!</definedName>
    <definedName name="Ftype" localSheetId="11">#REF!</definedName>
    <definedName name="Ftype" localSheetId="2">#REF!</definedName>
    <definedName name="Ftype" localSheetId="3">#REF!</definedName>
    <definedName name="Ftype" localSheetId="4">#REF!</definedName>
    <definedName name="Ftype" localSheetId="5">#REF!</definedName>
    <definedName name="Ftype" localSheetId="6">#REF!</definedName>
    <definedName name="Ftype" localSheetId="7">#REF!</definedName>
    <definedName name="Ftype" localSheetId="24">#REF!</definedName>
    <definedName name="Ftype" localSheetId="0">#REF!</definedName>
    <definedName name="Ftype">#REF!</definedName>
    <definedName name="fuel" localSheetId="26">[3]Defaults!$Y$2:$Y$10</definedName>
    <definedName name="fuel" localSheetId="16">[3]Defaults!$Y$2:$Y$10</definedName>
    <definedName name="fuel">Defaults!$I$2:$I$12</definedName>
    <definedName name="Fuels" localSheetId="9">#REF!</definedName>
    <definedName name="Fuels" localSheetId="10">#REF!</definedName>
    <definedName name="Fuels" localSheetId="13">#REF!</definedName>
    <definedName name="Fuels" localSheetId="25">#REF!</definedName>
    <definedName name="Fuels" localSheetId="26">#REF!</definedName>
    <definedName name="Fuels" localSheetId="14">#REF!</definedName>
    <definedName name="Fuels" localSheetId="16">#REF!</definedName>
    <definedName name="Fuels" localSheetId="12">#REF!</definedName>
    <definedName name="Fuels" localSheetId="23">#REF!</definedName>
    <definedName name="Fuels" localSheetId="11">#REF!</definedName>
    <definedName name="Fuels" localSheetId="2">#REF!</definedName>
    <definedName name="Fuels" localSheetId="3">#REF!</definedName>
    <definedName name="Fuels" localSheetId="4">#REF!</definedName>
    <definedName name="Fuels" localSheetId="5">#REF!</definedName>
    <definedName name="Fuels" localSheetId="6">#REF!</definedName>
    <definedName name="Fuels" localSheetId="7">#REF!</definedName>
    <definedName name="Fuels" localSheetId="24">#REF!</definedName>
    <definedName name="Fuels" localSheetId="0">#REF!</definedName>
    <definedName name="Fuels">#REF!</definedName>
    <definedName name="FuelType" localSheetId="9">#REF!</definedName>
    <definedName name="FuelType" localSheetId="10">#REF!</definedName>
    <definedName name="FuelType" localSheetId="13">#REF!</definedName>
    <definedName name="FuelType" localSheetId="25">#REF!</definedName>
    <definedName name="FuelType" localSheetId="26">#REF!</definedName>
    <definedName name="FuelType" localSheetId="14">#REF!</definedName>
    <definedName name="FuelType" localSheetId="16">#REF!</definedName>
    <definedName name="FuelType" localSheetId="12">#REF!</definedName>
    <definedName name="FuelType" localSheetId="23">#REF!</definedName>
    <definedName name="FuelType" localSheetId="11">#REF!</definedName>
    <definedName name="FuelType" localSheetId="2">#REF!</definedName>
    <definedName name="FuelType" localSheetId="3">#REF!</definedName>
    <definedName name="FuelType" localSheetId="4">#REF!</definedName>
    <definedName name="FuelType" localSheetId="5">#REF!</definedName>
    <definedName name="FuelType" localSheetId="6">#REF!</definedName>
    <definedName name="FuelType" localSheetId="7">#REF!</definedName>
    <definedName name="FuelType" localSheetId="24">#REF!</definedName>
    <definedName name="FuelType" localSheetId="0">#REF!</definedName>
    <definedName name="FuelType">#REF!</definedName>
    <definedName name="Heavy_Rail" localSheetId="10">#REF!</definedName>
    <definedName name="Heavy_Rail" localSheetId="13">#REF!</definedName>
    <definedName name="Heavy_Rail" localSheetId="25">#REF!</definedName>
    <definedName name="Heavy_Rail" localSheetId="26">#REF!</definedName>
    <definedName name="Heavy_Rail" localSheetId="12">#REF!</definedName>
    <definedName name="Heavy_Rail" localSheetId="11">#REF!</definedName>
    <definedName name="Heavy_Rail" localSheetId="24">#REF!</definedName>
    <definedName name="Heavy_Rail">#REF!</definedName>
    <definedName name="Heavy_Rail_Car" localSheetId="10">#REF!</definedName>
    <definedName name="Heavy_Rail_Car" localSheetId="13">#REF!</definedName>
    <definedName name="Heavy_Rail_Car" localSheetId="25">#REF!</definedName>
    <definedName name="Heavy_Rail_Car" localSheetId="26">#REF!</definedName>
    <definedName name="Heavy_Rail_Car" localSheetId="12">#REF!</definedName>
    <definedName name="Heavy_Rail_Car" localSheetId="11">#REF!</definedName>
    <definedName name="Heavy_Rail_Car" localSheetId="24">#REF!</definedName>
    <definedName name="Heavy_Rail_Car">#REF!</definedName>
    <definedName name="Hybrid">[3]Defaults!$W$2:$W$3</definedName>
    <definedName name="IndexYear1" localSheetId="10">IF(#REF!&lt;2018,VLOOKUP(#REF!,#REF!,2,FALSE),#REF!)</definedName>
    <definedName name="IndexYear1" localSheetId="13">IF(#REF!&lt;2018,VLOOKUP(#REF!,#REF!,2,FALSE),#REF!)</definedName>
    <definedName name="IndexYear1" localSheetId="25">IF(#REF!&lt;2018,VLOOKUP(#REF!,#REF!,2,FALSE),#REF!)</definedName>
    <definedName name="IndexYear1" localSheetId="26">IF(#REF!&lt;2018,VLOOKUP(#REF!,#REF!,2,FALSE),#REF!)</definedName>
    <definedName name="IndexYear1" localSheetId="12">IF(#REF!&lt;2018,VLOOKUP(#REF!,#REF!,2,FALSE),#REF!)</definedName>
    <definedName name="IndexYear1" localSheetId="11">IF(#REF!&lt;2018,VLOOKUP(#REF!,#REF!,2,FALSE),#REF!)</definedName>
    <definedName name="IndexYear1" localSheetId="24">IF(#REF!&lt;2018,VLOOKUP(#REF!,#REF!,2,FALSE),#REF!)</definedName>
    <definedName name="IndexYear1">IF(#REF!&lt;2018,VLOOKUP(#REF!,#REF!,2,FALSE),#REF!)</definedName>
    <definedName name="inex">[3]Defaults!$H$2:$H$4</definedName>
    <definedName name="lctopcy">[3]Defaults!$B$2:$B$37</definedName>
    <definedName name="mode" localSheetId="10">[1]Defaults!$E$48:$E$59</definedName>
    <definedName name="mode" localSheetId="13">[1]Defaults!$E$48:$E$59</definedName>
    <definedName name="mode" localSheetId="25">[1]Defaults!$E$48:$E$59</definedName>
    <definedName name="mode" localSheetId="26">'Fuel &amp; Travel Costs'!#REF!</definedName>
    <definedName name="mode" localSheetId="16">'GHG EF'!#REF!</definedName>
    <definedName name="mode" localSheetId="12">[1]Defaults!$E$48:$E$59</definedName>
    <definedName name="mode" localSheetId="11">[1]Defaults!$E$48:$E$59</definedName>
    <definedName name="mode" localSheetId="24">[1]Defaults!$E$48:$E$59</definedName>
    <definedName name="mode">Defaults!$S$49:$S$53</definedName>
    <definedName name="MY" localSheetId="9">#REF!</definedName>
    <definedName name="MY" localSheetId="10">#REF!</definedName>
    <definedName name="MY" localSheetId="13">#REF!</definedName>
    <definedName name="MY" localSheetId="25">#REF!</definedName>
    <definedName name="MY" localSheetId="26">#REF!</definedName>
    <definedName name="MY" localSheetId="12">#REF!</definedName>
    <definedName name="MY" localSheetId="23">#REF!</definedName>
    <definedName name="MY" localSheetId="11">#REF!</definedName>
    <definedName name="MY" localSheetId="24">#REF!</definedName>
    <definedName name="MY">#REF!</definedName>
    <definedName name="new">[3]Defaults!$H$8</definedName>
    <definedName name="newpt">[3]Defaults!$E$2:$E$5</definedName>
    <definedName name="NMY" localSheetId="26">[3]Defaults!$A$12:$A$41</definedName>
    <definedName name="NMY" localSheetId="16">[3]Defaults!$A$12:$A$41</definedName>
    <definedName name="NMY">Defaults!$A$2:$A$61</definedName>
    <definedName name="omy" localSheetId="26">[3]Defaults!$A$18:$A$60</definedName>
    <definedName name="omy" localSheetId="16">[3]Defaults!$A$18:$A$60</definedName>
    <definedName name="OMY">Defaults!$A$15:$A$61</definedName>
    <definedName name="oper" localSheetId="9">[3]Defaults!#REF!</definedName>
    <definedName name="oper" localSheetId="10">[4]Defaults!#REF!</definedName>
    <definedName name="oper" localSheetId="13">[4]Defaults!#REF!</definedName>
    <definedName name="oper" localSheetId="25">[4]Defaults!#REF!</definedName>
    <definedName name="oper" localSheetId="26">[3]Defaults!#REF!</definedName>
    <definedName name="oper" localSheetId="12">[4]Defaults!#REF!</definedName>
    <definedName name="oper" localSheetId="23">[3]Defaults!#REF!</definedName>
    <definedName name="oper" localSheetId="11">[4]Defaults!#REF!</definedName>
    <definedName name="oper" localSheetId="2">[3]Defaults!#REF!</definedName>
    <definedName name="oper" localSheetId="3">[3]Defaults!#REF!</definedName>
    <definedName name="oper" localSheetId="4">[3]Defaults!#REF!</definedName>
    <definedName name="oper" localSheetId="5">[3]Defaults!#REF!</definedName>
    <definedName name="oper" localSheetId="6">[3]Defaults!#REF!</definedName>
    <definedName name="oper" localSheetId="7">[3]Defaults!#REF!</definedName>
    <definedName name="oper" localSheetId="24">[4]Defaults!#REF!</definedName>
    <definedName name="oper">[3]Defaults!#REF!</definedName>
    <definedName name="Operations" localSheetId="10">#REF!</definedName>
    <definedName name="Operations" localSheetId="13">#REF!</definedName>
    <definedName name="Operations" localSheetId="25">#REF!</definedName>
    <definedName name="Operations" localSheetId="26">#REF!</definedName>
    <definedName name="Operations" localSheetId="12">#REF!</definedName>
    <definedName name="Operations" localSheetId="11">#REF!</definedName>
    <definedName name="Operations" localSheetId="24">#REF!</definedName>
    <definedName name="Operations">#REF!</definedName>
    <definedName name="ops" localSheetId="9">'GHG EF'!#REF!</definedName>
    <definedName name="ops" localSheetId="10">'[4]GHG EF &amp; Fuel Price Tables'!#REF!</definedName>
    <definedName name="ops" localSheetId="13">'[4]GHG EF &amp; Fuel Price Tables'!#REF!</definedName>
    <definedName name="ops" localSheetId="25">'[4]GHG EF &amp; Fuel Price Tables'!#REF!</definedName>
    <definedName name="ops" localSheetId="26">'Fuel &amp; Travel Costs'!#REF!</definedName>
    <definedName name="ops" localSheetId="12">'[4]GHG EF &amp; Fuel Price Tables'!#REF!</definedName>
    <definedName name="ops" localSheetId="23">'GHG EF'!#REF!</definedName>
    <definedName name="ops" localSheetId="11">'[4]GHG EF &amp; Fuel Price Tables'!#REF!</definedName>
    <definedName name="ops" localSheetId="2">'GHG EF'!#REF!</definedName>
    <definedName name="ops" localSheetId="3">'GHG EF'!#REF!</definedName>
    <definedName name="ops" localSheetId="4">'GHG EF'!#REF!</definedName>
    <definedName name="ops" localSheetId="5">'GHG EF'!#REF!</definedName>
    <definedName name="ops" localSheetId="6">'GHG EF'!#REF!</definedName>
    <definedName name="ops" localSheetId="7">'GHG EF'!#REF!</definedName>
    <definedName name="ops" localSheetId="24">'[4]GHG EF &amp; Fuel Price Tables'!#REF!</definedName>
    <definedName name="ops">'GHG EF'!#REF!</definedName>
    <definedName name="opts" localSheetId="9">[3]Defaults!#REF!</definedName>
    <definedName name="opts" localSheetId="10">[4]Defaults!#REF!</definedName>
    <definedName name="opts" localSheetId="13">[4]Defaults!#REF!</definedName>
    <definedName name="opts" localSheetId="25">[4]Defaults!#REF!</definedName>
    <definedName name="opts" localSheetId="26">[3]Defaults!#REF!</definedName>
    <definedName name="opts" localSheetId="12">[4]Defaults!#REF!</definedName>
    <definedName name="opts" localSheetId="23">[3]Defaults!#REF!</definedName>
    <definedName name="opts" localSheetId="11">[4]Defaults!#REF!</definedName>
    <definedName name="opts" localSheetId="2">[3]Defaults!#REF!</definedName>
    <definedName name="opts" localSheetId="3">[3]Defaults!#REF!</definedName>
    <definedName name="opts" localSheetId="4">[3]Defaults!#REF!</definedName>
    <definedName name="opts" localSheetId="5">[3]Defaults!#REF!</definedName>
    <definedName name="opts" localSheetId="6">[3]Defaults!#REF!</definedName>
    <definedName name="opts" localSheetId="7">[3]Defaults!#REF!</definedName>
    <definedName name="opts" localSheetId="24">[4]Defaults!#REF!</definedName>
    <definedName name="opts">[3]Defaults!#REF!</definedName>
    <definedName name="Over_Road_Coach" localSheetId="10">#REF!</definedName>
    <definedName name="Over_Road_Coach" localSheetId="13">#REF!</definedName>
    <definedName name="Over_Road_Coach" localSheetId="25">#REF!</definedName>
    <definedName name="Over_Road_Coach" localSheetId="26">#REF!</definedName>
    <definedName name="Over_Road_Coach" localSheetId="12">#REF!</definedName>
    <definedName name="Over_Road_Coach" localSheetId="11">#REF!</definedName>
    <definedName name="Over_Road_Coach" localSheetId="24">#REF!</definedName>
    <definedName name="Over_Road_Coach">#REF!</definedName>
    <definedName name="plist" localSheetId="9">'GHG EF'!#REF!</definedName>
    <definedName name="plist" localSheetId="10">'[4]GHG EF &amp; Fuel Price Tables'!#REF!</definedName>
    <definedName name="plist" localSheetId="13">'[4]GHG EF &amp; Fuel Price Tables'!#REF!</definedName>
    <definedName name="plist" localSheetId="25">'[4]GHG EF &amp; Fuel Price Tables'!#REF!</definedName>
    <definedName name="plist" localSheetId="26">'Fuel &amp; Travel Costs'!#REF!</definedName>
    <definedName name="plist" localSheetId="12">'[4]GHG EF &amp; Fuel Price Tables'!#REF!</definedName>
    <definedName name="plist" localSheetId="23">'GHG EF'!#REF!</definedName>
    <definedName name="plist" localSheetId="11">'[4]GHG EF &amp; Fuel Price Tables'!#REF!</definedName>
    <definedName name="plist" localSheetId="2">'GHG EF'!#REF!</definedName>
    <definedName name="plist" localSheetId="3">'GHG EF'!#REF!</definedName>
    <definedName name="plist" localSheetId="4">'GHG EF'!#REF!</definedName>
    <definedName name="plist" localSheetId="5">'GHG EF'!#REF!</definedName>
    <definedName name="plist" localSheetId="6">'GHG EF'!#REF!</definedName>
    <definedName name="plist" localSheetId="7">'GHG EF'!#REF!</definedName>
    <definedName name="plist" localSheetId="24">'[4]GHG EF &amp; Fuel Price Tables'!#REF!</definedName>
    <definedName name="plist">'GHG EF'!#REF!</definedName>
    <definedName name="_xlnm.Print_Area" localSheetId="9">'Co-benefits Summary'!$A$1:$E$104</definedName>
    <definedName name="_xlnm.Print_Area" localSheetId="10">'Definitions &amp; Acronyms'!$A$1:$D$67</definedName>
    <definedName name="_xlnm.Print_Area" localSheetId="13">Documentation!$A$1:$G$82</definedName>
    <definedName name="_xlnm.Print_Area" localSheetId="26">'Fuel &amp; Travel Costs'!$B$1:$H$35</definedName>
    <definedName name="_xlnm.Print_Area" localSheetId="14">'GHG Calcs'!$G$5:$CK$12</definedName>
    <definedName name="_xlnm.Print_Area" localSheetId="16">'GHG EF'!$B$1:$J$24</definedName>
    <definedName name="_xlnm.Print_Area" localSheetId="8">'GHG Summary'!$B$1:$E$44</definedName>
    <definedName name="_xlnm.Print_Area" localSheetId="27">'LCTOP Project Types'!$A$1:$Q$27</definedName>
    <definedName name="_xlnm.Print_Area" localSheetId="12">'Lookup Tables'!$A$1:$H$279</definedName>
    <definedName name="_xlnm.Print_Area" localSheetId="11">'Project Type List'!$A$1:$E$25</definedName>
    <definedName name="_xlnm.Print_Area" localSheetId="2">'Quantifiable Component 1'!$B$1:$L$84</definedName>
    <definedName name="_xlnm.Print_Area" localSheetId="3">'Quantifiable Component 2'!$B$1:$L$84</definedName>
    <definedName name="_xlnm.Print_Area" localSheetId="4">'Quantifiable Component 3'!$B$1:$L$84</definedName>
    <definedName name="_xlnm.Print_Area" localSheetId="5">'Quantifiable Component 4'!$B$1:$L$84</definedName>
    <definedName name="_xlnm.Print_Area" localSheetId="6">'Quantifiable Component 5'!$B$1:$L$84</definedName>
    <definedName name="_xlnm.Print_Area" localSheetId="7">'Quantifiable Component 6'!$B$1:$L$84</definedName>
    <definedName name="_xlnm.Print_Area" localSheetId="24">'Rail C&amp;T EF'!$A$1:$Y$161</definedName>
    <definedName name="_xlnm.Print_Area" localSheetId="0">'Read Me'!$B$1:$B$34</definedName>
    <definedName name="Project_Type" localSheetId="10">#REF!</definedName>
    <definedName name="Project_Type" localSheetId="13">#REF!</definedName>
    <definedName name="Project_Type" localSheetId="25">#REF!</definedName>
    <definedName name="Project_Type" localSheetId="26">#REF!</definedName>
    <definedName name="Project_Type" localSheetId="12">#REF!</definedName>
    <definedName name="Project_Type" localSheetId="11">#REF!</definedName>
    <definedName name="Project_Type" localSheetId="24">#REF!</definedName>
    <definedName name="Project_Type">#REF!</definedName>
    <definedName name="projecttype" localSheetId="9">#REF!</definedName>
    <definedName name="projecttype" localSheetId="10">#REF!</definedName>
    <definedName name="projecttype" localSheetId="13">#REF!</definedName>
    <definedName name="projecttype" localSheetId="25">#REF!</definedName>
    <definedName name="projecttype" localSheetId="26">#REF!</definedName>
    <definedName name="projecttype" localSheetId="12">#REF!</definedName>
    <definedName name="projecttype" localSheetId="23">#REF!</definedName>
    <definedName name="projecttype" localSheetId="11">#REF!</definedName>
    <definedName name="projecttype" localSheetId="2">#REF!</definedName>
    <definedName name="projecttype" localSheetId="3">#REF!</definedName>
    <definedName name="projecttype" localSheetId="4">#REF!</definedName>
    <definedName name="projecttype" localSheetId="5">#REF!</definedName>
    <definedName name="projecttype" localSheetId="6">#REF!</definedName>
    <definedName name="projecttype" localSheetId="7">#REF!</definedName>
    <definedName name="projecttype" localSheetId="24">#REF!</definedName>
    <definedName name="projecttype">#REF!</definedName>
    <definedName name="projlist" localSheetId="9">#REF!</definedName>
    <definedName name="projlist" localSheetId="10">#REF!</definedName>
    <definedName name="projlist" localSheetId="13">#REF!</definedName>
    <definedName name="projlist" localSheetId="25">#REF!</definedName>
    <definedName name="projlist" localSheetId="26">#REF!</definedName>
    <definedName name="projlist" localSheetId="12">#REF!</definedName>
    <definedName name="projlist" localSheetId="23">#REF!</definedName>
    <definedName name="projlist" localSheetId="11">#REF!</definedName>
    <definedName name="projlist" localSheetId="2">#REF!</definedName>
    <definedName name="projlist" localSheetId="3">#REF!</definedName>
    <definedName name="projlist" localSheetId="4">#REF!</definedName>
    <definedName name="projlist" localSheetId="5">#REF!</definedName>
    <definedName name="projlist" localSheetId="6">#REF!</definedName>
    <definedName name="projlist" localSheetId="7">#REF!</definedName>
    <definedName name="projlist" localSheetId="24">#REF!</definedName>
    <definedName name="projlist">#REF!</definedName>
    <definedName name="ProjSetting">[6]Defaults!$K$7:$K$10</definedName>
    <definedName name="projt" localSheetId="9">'GHG EF'!#REF!</definedName>
    <definedName name="projt" localSheetId="10">'[4]GHG EF &amp; Fuel Price Tables'!#REF!</definedName>
    <definedName name="projt" localSheetId="13">'[4]GHG EF &amp; Fuel Price Tables'!#REF!</definedName>
    <definedName name="projt" localSheetId="25">'[4]GHG EF &amp; Fuel Price Tables'!#REF!</definedName>
    <definedName name="projt" localSheetId="26">'Fuel &amp; Travel Costs'!#REF!</definedName>
    <definedName name="projt" localSheetId="12">'[4]GHG EF &amp; Fuel Price Tables'!#REF!</definedName>
    <definedName name="projt" localSheetId="23">'GHG EF'!#REF!</definedName>
    <definedName name="projt" localSheetId="11">'[4]GHG EF &amp; Fuel Price Tables'!#REF!</definedName>
    <definedName name="projt" localSheetId="2">'GHG EF'!#REF!</definedName>
    <definedName name="projt" localSheetId="3">'GHG EF'!#REF!</definedName>
    <definedName name="projt" localSheetId="4">'GHG EF'!#REF!</definedName>
    <definedName name="projt" localSheetId="5">'GHG EF'!#REF!</definedName>
    <definedName name="projt" localSheetId="6">'GHG EF'!#REF!</definedName>
    <definedName name="projt" localSheetId="7">'GHG EF'!#REF!</definedName>
    <definedName name="projt" localSheetId="24">'[4]GHG EF &amp; Fuel Price Tables'!#REF!</definedName>
    <definedName name="projt">'GHG EF'!#REF!</definedName>
    <definedName name="ProjType" localSheetId="10">[1]Defaults!$K$2:$K$4</definedName>
    <definedName name="ProjType" localSheetId="13">[1]Defaults!$K$2:$K$4</definedName>
    <definedName name="ProjType" localSheetId="25">[1]Defaults!$K$2:$K$4</definedName>
    <definedName name="ProjType" localSheetId="26">[6]Defaults!$K$2:$K$4</definedName>
    <definedName name="ProjType" localSheetId="16">[6]Defaults!$K$2:$K$4</definedName>
    <definedName name="ProjType" localSheetId="12">[1]Defaults!$K$2:$K$4</definedName>
    <definedName name="ProjType" localSheetId="11">[1]Defaults!$K$2:$K$4</definedName>
    <definedName name="ProjType" localSheetId="24">[1]Defaults!$K$2:$K$4</definedName>
    <definedName name="projtype">Defaults!$M$2:$M$5</definedName>
    <definedName name="PRTYPE" localSheetId="9">'Co-benefits Summary'!#REF!</definedName>
    <definedName name="PRTYPE" localSheetId="10">#REF!</definedName>
    <definedName name="PRTYPE" localSheetId="13">#REF!</definedName>
    <definedName name="PRTYPE" localSheetId="25">#REF!</definedName>
    <definedName name="PRTYPE" localSheetId="26">#REF!</definedName>
    <definedName name="PRTYPE" localSheetId="16">#REF!</definedName>
    <definedName name="PRTYPE" localSheetId="12">#REF!</definedName>
    <definedName name="PRTYPE" localSheetId="23">'GHG Summary'!#REF!</definedName>
    <definedName name="PRTYPE" localSheetId="11">#REF!</definedName>
    <definedName name="PRTYPE" localSheetId="2">'GHG Summary'!#REF!</definedName>
    <definedName name="PRTYPE" localSheetId="3">'GHG Summary'!#REF!</definedName>
    <definedName name="PRTYPE" localSheetId="4">'GHG Summary'!#REF!</definedName>
    <definedName name="PRTYPE" localSheetId="5">'GHG Summary'!#REF!</definedName>
    <definedName name="PRTYPE" localSheetId="6">'GHG Summary'!#REF!</definedName>
    <definedName name="PRTYPE" localSheetId="7">'GHG Summary'!#REF!</definedName>
    <definedName name="PRTYPE" localSheetId="24">#REF!</definedName>
    <definedName name="PRTYPE" localSheetId="0">'Read Me'!#REF!</definedName>
    <definedName name="PRTYPE">'GHG Summary'!#REF!</definedName>
    <definedName name="ptype" localSheetId="10">[1]Defaults!#REF!</definedName>
    <definedName name="ptype" localSheetId="13">[1]Defaults!#REF!</definedName>
    <definedName name="ptype" localSheetId="25">[1]Defaults!#REF!</definedName>
    <definedName name="ptype" localSheetId="26">'Fuel &amp; Travel Costs'!#REF!</definedName>
    <definedName name="ptype" localSheetId="16">'GHG EF'!#REF!</definedName>
    <definedName name="ptype" localSheetId="12">[1]Defaults!#REF!</definedName>
    <definedName name="ptype" localSheetId="11">[1]Defaults!#REF!</definedName>
    <definedName name="ptype" localSheetId="24">[1]Defaults!#REF!</definedName>
    <definedName name="ptype">Defaults!$M$2:$M$3</definedName>
    <definedName name="ptypes" localSheetId="10">[4]Defaults!#REF!</definedName>
    <definedName name="ptypes" localSheetId="25">[4]Defaults!#REF!</definedName>
    <definedName name="ptypes" localSheetId="26">[4]Defaults!#REF!</definedName>
    <definedName name="ptypes" localSheetId="12">[4]Defaults!#REF!</definedName>
    <definedName name="ptypes" localSheetId="11">[4]Defaults!#REF!</definedName>
    <definedName name="ptypes" localSheetId="24">[4]Defaults!#REF!</definedName>
    <definedName name="ptypes">[4]Defaults!#REF!</definedName>
    <definedName name="region" localSheetId="10">[7]Defaults!$C$2:$C$3</definedName>
    <definedName name="region" localSheetId="13">[7]Defaults!$C$2:$C$3</definedName>
    <definedName name="region" localSheetId="25">[7]Defaults!$C$2:$C$3</definedName>
    <definedName name="region" localSheetId="12">[7]Defaults!$C$2:$C$3</definedName>
    <definedName name="region" localSheetId="11">[7]Defaults!$C$2:$C$3</definedName>
    <definedName name="region" localSheetId="24">[7]Defaults!$C$2:$C$3</definedName>
    <definedName name="region">Defaults!$C$2:$C$3</definedName>
    <definedName name="rep" localSheetId="9">Defaults!#REF!</definedName>
    <definedName name="rep" localSheetId="10">[1]Defaults!#REF!</definedName>
    <definedName name="rep" localSheetId="13">[1]Defaults!#REF!</definedName>
    <definedName name="rep" localSheetId="25">[1]Defaults!#REF!</definedName>
    <definedName name="rep" localSheetId="26">'Fuel &amp; Travel Costs'!#REF!</definedName>
    <definedName name="rep" localSheetId="14">Defaults!#REF!</definedName>
    <definedName name="rep" localSheetId="16">'GHG EF'!#REF!</definedName>
    <definedName name="rep" localSheetId="12">[1]Defaults!#REF!</definedName>
    <definedName name="rep" localSheetId="23">Defaults!#REF!</definedName>
    <definedName name="rep" localSheetId="11">[1]Defaults!#REF!</definedName>
    <definedName name="rep" localSheetId="2">Defaults!#REF!</definedName>
    <definedName name="rep" localSheetId="3">Defaults!#REF!</definedName>
    <definedName name="rep" localSheetId="4">Defaults!#REF!</definedName>
    <definedName name="rep" localSheetId="5">Defaults!#REF!</definedName>
    <definedName name="rep" localSheetId="6">Defaults!#REF!</definedName>
    <definedName name="rep" localSheetId="7">Defaults!#REF!</definedName>
    <definedName name="rep" localSheetId="24">[1]Defaults!#REF!</definedName>
    <definedName name="rep" localSheetId="0">Defaults!#REF!</definedName>
    <definedName name="rep">Defaults!#REF!</definedName>
    <definedName name="serv">[3]Defaults!$H$5:$H$6</definedName>
    <definedName name="service">[3]Defaults!$S$2:$S$11</definedName>
    <definedName name="Servtype" localSheetId="10">[7]Defaults!$F$2:$F$10</definedName>
    <definedName name="Servtype" localSheetId="13">[7]Defaults!$F$2:$F$10</definedName>
    <definedName name="Servtype" localSheetId="25">[7]Defaults!$F$2:$F$10</definedName>
    <definedName name="Servtype" localSheetId="12">[7]Defaults!$F$2:$F$10</definedName>
    <definedName name="Servtype" localSheetId="11">[7]Defaults!$F$2:$F$10</definedName>
    <definedName name="Servtype" localSheetId="24">[7]Defaults!$F$2:$F$10</definedName>
    <definedName name="Servtype">Defaults!$F$2:$F$10</definedName>
    <definedName name="svtype" localSheetId="9">'GHG EF'!#REF!</definedName>
    <definedName name="svtype" localSheetId="10">'[4]GHG EF &amp; Fuel Price Tables'!#REF!</definedName>
    <definedName name="svtype" localSheetId="13">'[4]GHG EF &amp; Fuel Price Tables'!#REF!</definedName>
    <definedName name="svtype" localSheetId="25">'[4]GHG EF &amp; Fuel Price Tables'!#REF!</definedName>
    <definedName name="svtype" localSheetId="26">'Fuel &amp; Travel Costs'!#REF!</definedName>
    <definedName name="svtype" localSheetId="12">'[4]GHG EF &amp; Fuel Price Tables'!#REF!</definedName>
    <definedName name="svtype" localSheetId="23">'GHG EF'!#REF!</definedName>
    <definedName name="svtype" localSheetId="11">'[4]GHG EF &amp; Fuel Price Tables'!#REF!</definedName>
    <definedName name="svtype" localSheetId="2">'GHG EF'!#REF!</definedName>
    <definedName name="svtype" localSheetId="3">'GHG EF'!#REF!</definedName>
    <definedName name="svtype" localSheetId="4">'GHG EF'!#REF!</definedName>
    <definedName name="svtype" localSheetId="5">'GHG EF'!#REF!</definedName>
    <definedName name="svtype" localSheetId="6">'GHG EF'!#REF!</definedName>
    <definedName name="svtype" localSheetId="7">'GHG EF'!#REF!</definedName>
    <definedName name="svtype" localSheetId="24">'[4]GHG EF &amp; Fuel Price Tables'!#REF!</definedName>
    <definedName name="svtype">'GHG EF'!#REF!</definedName>
    <definedName name="tac" localSheetId="9">'GHG EF'!#REF!</definedName>
    <definedName name="tac" localSheetId="10">'[4]GHG EF &amp; Fuel Price Tables'!#REF!</definedName>
    <definedName name="tac" localSheetId="13">'[4]GHG EF &amp; Fuel Price Tables'!#REF!</definedName>
    <definedName name="tac" localSheetId="25">'[4]GHG EF &amp; Fuel Price Tables'!#REF!</definedName>
    <definedName name="tac" localSheetId="26">'Fuel &amp; Travel Costs'!#REF!</definedName>
    <definedName name="tac" localSheetId="12">'[4]GHG EF &amp; Fuel Price Tables'!#REF!</definedName>
    <definedName name="tac" localSheetId="23">'GHG EF'!#REF!</definedName>
    <definedName name="tac" localSheetId="11">'[4]GHG EF &amp; Fuel Price Tables'!#REF!</definedName>
    <definedName name="tac" localSheetId="2">'GHG EF'!#REF!</definedName>
    <definedName name="tac" localSheetId="3">'GHG EF'!#REF!</definedName>
    <definedName name="tac" localSheetId="4">'GHG EF'!#REF!</definedName>
    <definedName name="tac" localSheetId="5">'GHG EF'!#REF!</definedName>
    <definedName name="tac" localSheetId="6">'GHG EF'!#REF!</definedName>
    <definedName name="tac" localSheetId="7">'GHG EF'!#REF!</definedName>
    <definedName name="tac" localSheetId="24">'[4]GHG EF &amp; Fuel Price Tables'!#REF!</definedName>
    <definedName name="tac">'GHG EF'!#REF!</definedName>
    <definedName name="TacSum" localSheetId="10">'[1]TAC Inputs'!$T$29</definedName>
    <definedName name="TacSum" localSheetId="13">'[1]TAC Inputs'!$T$29</definedName>
    <definedName name="TacSum" localSheetId="25">'[1]TAC Inputs'!$T$29</definedName>
    <definedName name="TacSum" localSheetId="12">'[1]TAC Inputs'!$T$29</definedName>
    <definedName name="TacSum" localSheetId="11">'[1]TAC Inputs'!$T$29</definedName>
    <definedName name="TacSum" localSheetId="24">'[1]TAC Inputs'!$T$29</definedName>
    <definedName name="TacSum">'[2]TAC Inputs'!$V$28</definedName>
    <definedName name="TFT" localSheetId="26">'Fuel &amp; Travel Costs'!#REF!</definedName>
    <definedName name="TFT" localSheetId="16">'GHG EF'!#REF!</definedName>
    <definedName name="TFT">Defaults!$S$12:$S$22</definedName>
    <definedName name="tircpcy">Defaults!$B$2:$B$66</definedName>
    <definedName name="Transit_Bus" localSheetId="10">#REF!</definedName>
    <definedName name="Transit_Bus" localSheetId="13">#REF!</definedName>
    <definedName name="Transit_Bus" localSheetId="25">#REF!</definedName>
    <definedName name="Transit_Bus" localSheetId="26">#REF!</definedName>
    <definedName name="Transit_Bus" localSheetId="12">#REF!</definedName>
    <definedName name="Transit_Bus" localSheetId="11">#REF!</definedName>
    <definedName name="Transit_Bus" localSheetId="24">#REF!</definedName>
    <definedName name="Transit_Bus">#REF!</definedName>
    <definedName name="TransSub" localSheetId="10">[1]Defaults!$K$16:$K$20</definedName>
    <definedName name="TransSub" localSheetId="13">[1]Defaults!$K$16:$K$20</definedName>
    <definedName name="TransSub" localSheetId="25">[1]Defaults!$K$16:$K$20</definedName>
    <definedName name="TransSub" localSheetId="12">[1]Defaults!$K$16:$K$20</definedName>
    <definedName name="TransSub" localSheetId="11">[1]Defaults!$K$16:$K$20</definedName>
    <definedName name="TransSub" localSheetId="24">[1]Defaults!$K$16:$K$20</definedName>
    <definedName name="TransSub">[6]Defaults!$K$17:$K$21</definedName>
    <definedName name="trantype">Defaults!$S$49:$S$53</definedName>
    <definedName name="upgrade" localSheetId="9">Defaults!#REF!</definedName>
    <definedName name="upgrade" localSheetId="10">[1]Defaults!#REF!</definedName>
    <definedName name="upgrade" localSheetId="13">[1]Defaults!#REF!</definedName>
    <definedName name="upgrade" localSheetId="25">[1]Defaults!#REF!</definedName>
    <definedName name="upgrade" localSheetId="26">'Fuel &amp; Travel Costs'!#REF!</definedName>
    <definedName name="upgrade" localSheetId="16">'GHG EF'!#REF!</definedName>
    <definedName name="upgrade" localSheetId="12">[1]Defaults!#REF!</definedName>
    <definedName name="upgrade" localSheetId="23">Defaults!#REF!</definedName>
    <definedName name="upgrade" localSheetId="11">[1]Defaults!#REF!</definedName>
    <definedName name="upgrade" localSheetId="2">Defaults!#REF!</definedName>
    <definedName name="upgrade" localSheetId="3">Defaults!#REF!</definedName>
    <definedName name="upgrade" localSheetId="4">Defaults!#REF!</definedName>
    <definedName name="upgrade" localSheetId="5">Defaults!#REF!</definedName>
    <definedName name="upgrade" localSheetId="6">Defaults!#REF!</definedName>
    <definedName name="upgrade" localSheetId="7">Defaults!#REF!</definedName>
    <definedName name="upgrade" localSheetId="24">[1]Defaults!#REF!</definedName>
    <definedName name="upgrade">Defaults!#REF!</definedName>
    <definedName name="upgrd" localSheetId="9">Defaults!#REF!</definedName>
    <definedName name="upgrd" localSheetId="10">[1]Defaults!#REF!</definedName>
    <definedName name="upgrd" localSheetId="13">[1]Defaults!#REF!</definedName>
    <definedName name="upgrd" localSheetId="25">[1]Defaults!#REF!</definedName>
    <definedName name="upgrd" localSheetId="26">'Fuel &amp; Travel Costs'!#REF!</definedName>
    <definedName name="upgrd" localSheetId="16">'GHG EF'!#REF!</definedName>
    <definedName name="upgrd" localSheetId="12">[1]Defaults!#REF!</definedName>
    <definedName name="upgrd" localSheetId="23">Defaults!#REF!</definedName>
    <definedName name="upgrd" localSheetId="11">[1]Defaults!#REF!</definedName>
    <definedName name="upgrd" localSheetId="2">Defaults!#REF!</definedName>
    <definedName name="upgrd" localSheetId="3">Defaults!#REF!</definedName>
    <definedName name="upgrd" localSheetId="4">Defaults!#REF!</definedName>
    <definedName name="upgrd" localSheetId="5">Defaults!#REF!</definedName>
    <definedName name="upgrd" localSheetId="6">Defaults!#REF!</definedName>
    <definedName name="upgrd" localSheetId="7">Defaults!#REF!</definedName>
    <definedName name="upgrd" localSheetId="24">[1]Defaults!#REF!</definedName>
    <definedName name="upgrd">Defaults!#REF!</definedName>
    <definedName name="Vehicle_Type" localSheetId="10">#REF!</definedName>
    <definedName name="Vehicle_Type" localSheetId="13">#REF!</definedName>
    <definedName name="Vehicle_Type" localSheetId="25">#REF!</definedName>
    <definedName name="Vehicle_Type" localSheetId="26">#REF!</definedName>
    <definedName name="Vehicle_Type" localSheetId="12">#REF!</definedName>
    <definedName name="Vehicle_Type" localSheetId="11">#REF!</definedName>
    <definedName name="Vehicle_Type" localSheetId="24">#REF!</definedName>
    <definedName name="Vehicle_Type">#REF!</definedName>
    <definedName name="vehicletype" localSheetId="10">[7]Defaults!$G$2:$G$9</definedName>
    <definedName name="vehicletype" localSheetId="13">[7]Defaults!$G$2:$G$9</definedName>
    <definedName name="vehicletype" localSheetId="25">[7]Defaults!$G$2:$G$9</definedName>
    <definedName name="vehicletype" localSheetId="12">[7]Defaults!$G$2:$G$9</definedName>
    <definedName name="vehicletype" localSheetId="11">[7]Defaults!$G$2:$G$9</definedName>
    <definedName name="vehicletype" localSheetId="24">[7]Defaults!$G$2:$G$9</definedName>
    <definedName name="vehicletype">Defaults!$G$2:$G$10</definedName>
    <definedName name="vehtype">[3]Defaults!$T$2:$T$9</definedName>
    <definedName name="VRFuel">'[8]Valid Entries'!$F$4:$F$7</definedName>
    <definedName name="YesNo" localSheetId="10">[1]Defaults!$K$12:$K$13</definedName>
    <definedName name="YesNo" localSheetId="13">[1]Defaults!$K$12:$K$13</definedName>
    <definedName name="YesNo" localSheetId="25">[1]Defaults!$K$12:$K$13</definedName>
    <definedName name="YesNo" localSheetId="26">[6]Defaults!$K$13:$K$14</definedName>
    <definedName name="YesNo" localSheetId="16">[6]Defaults!$K$13:$K$14</definedName>
    <definedName name="YesNo" localSheetId="12">[1]Defaults!$K$12:$K$13</definedName>
    <definedName name="YesNo" localSheetId="11">[1]Defaults!$K$12:$K$13</definedName>
    <definedName name="YesNo" localSheetId="24">[1]Defaults!$K$12:$K$13</definedName>
    <definedName name="yesno">Defaults!$G$13:$G$14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5" l="1"/>
  <c r="C12" i="5"/>
  <c r="C11" i="104"/>
  <c r="C11" i="103"/>
  <c r="C11" i="102"/>
  <c r="C11" i="101"/>
  <c r="C11" i="100"/>
  <c r="C11" i="84"/>
  <c r="E25" i="84"/>
  <c r="H25" i="84"/>
  <c r="H34" i="84"/>
  <c r="E34" i="84"/>
  <c r="E43" i="84"/>
  <c r="E42" i="84"/>
  <c r="K14" i="100"/>
  <c r="E14" i="100"/>
  <c r="E25" i="100"/>
  <c r="H25" i="100"/>
  <c r="H34" i="100"/>
  <c r="E34" i="100"/>
  <c r="E43" i="101"/>
  <c r="E42" i="101"/>
  <c r="E34" i="101"/>
  <c r="E25" i="101"/>
  <c r="G15" i="84"/>
  <c r="C9" i="64" l="1"/>
  <c r="C9" i="5"/>
  <c r="E23" i="106"/>
  <c r="H11" i="40" l="1"/>
  <c r="H12" i="40"/>
  <c r="H13" i="40"/>
  <c r="H14" i="40"/>
  <c r="H15" i="40"/>
  <c r="H16" i="40"/>
  <c r="H17" i="40"/>
  <c r="H18" i="40"/>
  <c r="H19" i="40"/>
  <c r="H10" i="40"/>
  <c r="G11" i="40"/>
  <c r="G12" i="40"/>
  <c r="G13" i="40"/>
  <c r="G14" i="40"/>
  <c r="G15" i="40"/>
  <c r="G16" i="40"/>
  <c r="G17" i="40"/>
  <c r="G18" i="40"/>
  <c r="G19" i="40"/>
  <c r="H30" i="5" l="1"/>
  <c r="G30" i="5"/>
  <c r="F30" i="5"/>
  <c r="E30" i="5"/>
  <c r="C30" i="5"/>
  <c r="E26" i="5"/>
  <c r="F26" i="5"/>
  <c r="G26" i="5"/>
  <c r="H26" i="5"/>
  <c r="H20" i="5"/>
  <c r="G20" i="5"/>
  <c r="F20" i="5"/>
  <c r="H16" i="5"/>
  <c r="G16" i="5"/>
  <c r="F16" i="5"/>
  <c r="H13" i="5"/>
  <c r="G13" i="5"/>
  <c r="F13" i="5"/>
  <c r="E13" i="5"/>
  <c r="D13" i="5"/>
  <c r="G12" i="5"/>
  <c r="F12" i="5"/>
  <c r="E12" i="5"/>
  <c r="H12" i="5"/>
  <c r="D12" i="5"/>
  <c r="P85" i="104"/>
  <c r="O81" i="104"/>
  <c r="M81" i="104"/>
  <c r="J81" i="104"/>
  <c r="G81" i="104"/>
  <c r="D81" i="104"/>
  <c r="O80" i="104"/>
  <c r="M80" i="104"/>
  <c r="J80" i="104"/>
  <c r="G80" i="104"/>
  <c r="D80" i="104"/>
  <c r="O79" i="104"/>
  <c r="M79" i="104"/>
  <c r="J79" i="104"/>
  <c r="G79" i="104"/>
  <c r="D79" i="104"/>
  <c r="O78" i="104"/>
  <c r="M78" i="104"/>
  <c r="J78" i="104"/>
  <c r="G78" i="104"/>
  <c r="D78" i="104"/>
  <c r="M77" i="104"/>
  <c r="J77" i="104"/>
  <c r="G77" i="104"/>
  <c r="D77" i="104"/>
  <c r="O74" i="104"/>
  <c r="M74" i="104"/>
  <c r="J74" i="104"/>
  <c r="G74" i="104"/>
  <c r="D74" i="104"/>
  <c r="O73" i="104"/>
  <c r="M73" i="104"/>
  <c r="J73" i="104"/>
  <c r="G73" i="104"/>
  <c r="D73" i="104"/>
  <c r="O72" i="104"/>
  <c r="M72" i="104"/>
  <c r="J72" i="104"/>
  <c r="G72" i="104"/>
  <c r="D72" i="104"/>
  <c r="O71" i="104"/>
  <c r="M71" i="104"/>
  <c r="J71" i="104"/>
  <c r="G71" i="104"/>
  <c r="D71" i="104"/>
  <c r="O70" i="104"/>
  <c r="M70" i="104"/>
  <c r="J70" i="104"/>
  <c r="G70" i="104"/>
  <c r="D70" i="104"/>
  <c r="O69" i="104"/>
  <c r="M69" i="104"/>
  <c r="J69" i="104"/>
  <c r="G69" i="104"/>
  <c r="D69" i="104"/>
  <c r="M66" i="104"/>
  <c r="J66" i="104"/>
  <c r="G66" i="104"/>
  <c r="D66" i="104"/>
  <c r="M65" i="104"/>
  <c r="J65" i="104"/>
  <c r="G65" i="104"/>
  <c r="D65" i="104"/>
  <c r="M64" i="104"/>
  <c r="J64" i="104"/>
  <c r="G64" i="104"/>
  <c r="D64" i="104"/>
  <c r="M63" i="104"/>
  <c r="J63" i="104"/>
  <c r="G63" i="104"/>
  <c r="D63" i="104"/>
  <c r="M62" i="104"/>
  <c r="J62" i="104"/>
  <c r="G62" i="104"/>
  <c r="D62" i="104"/>
  <c r="M61" i="104"/>
  <c r="J61" i="104"/>
  <c r="G61" i="104"/>
  <c r="D61" i="104"/>
  <c r="M60" i="104"/>
  <c r="J60" i="104"/>
  <c r="G60" i="104"/>
  <c r="D60" i="104"/>
  <c r="M59" i="104"/>
  <c r="J59" i="104"/>
  <c r="G59" i="104"/>
  <c r="D59" i="104"/>
  <c r="O58" i="104"/>
  <c r="M58" i="104"/>
  <c r="J58" i="104"/>
  <c r="G58" i="104"/>
  <c r="D58" i="104"/>
  <c r="D55" i="104"/>
  <c r="O54" i="104"/>
  <c r="M54" i="104"/>
  <c r="J54" i="104"/>
  <c r="G54" i="104"/>
  <c r="D54" i="104"/>
  <c r="O53" i="104"/>
  <c r="M53" i="104"/>
  <c r="J53" i="104"/>
  <c r="G53" i="104"/>
  <c r="D53" i="104"/>
  <c r="O52" i="104"/>
  <c r="M52" i="104"/>
  <c r="J52" i="104"/>
  <c r="G52" i="104"/>
  <c r="D52" i="104"/>
  <c r="O51" i="104"/>
  <c r="M51" i="104"/>
  <c r="J51" i="104"/>
  <c r="G51" i="104"/>
  <c r="D51" i="104"/>
  <c r="O50" i="104"/>
  <c r="M50" i="104"/>
  <c r="J50" i="104"/>
  <c r="G50" i="104"/>
  <c r="D50" i="104"/>
  <c r="O49" i="104"/>
  <c r="M49" i="104"/>
  <c r="J49" i="104"/>
  <c r="G49" i="104"/>
  <c r="D49" i="104"/>
  <c r="O48" i="104"/>
  <c r="M48" i="104"/>
  <c r="J48" i="104"/>
  <c r="G48" i="104"/>
  <c r="D48" i="104"/>
  <c r="O47" i="104"/>
  <c r="M47" i="104"/>
  <c r="J47" i="104"/>
  <c r="G47" i="104"/>
  <c r="D47" i="104"/>
  <c r="O46" i="104"/>
  <c r="M46" i="104"/>
  <c r="J46" i="104"/>
  <c r="G46" i="104"/>
  <c r="D46" i="104"/>
  <c r="R43" i="104"/>
  <c r="K43" i="104"/>
  <c r="H43" i="104"/>
  <c r="E43" i="104"/>
  <c r="D43" i="104"/>
  <c r="R42" i="104"/>
  <c r="K42" i="104"/>
  <c r="H42" i="104"/>
  <c r="E42" i="104"/>
  <c r="D42" i="104"/>
  <c r="O40" i="104"/>
  <c r="M40" i="104"/>
  <c r="J40" i="104"/>
  <c r="G40" i="104"/>
  <c r="D40" i="104"/>
  <c r="M39" i="104"/>
  <c r="J39" i="104"/>
  <c r="G39" i="104"/>
  <c r="D39" i="104"/>
  <c r="O39" i="104" s="1"/>
  <c r="M38" i="104"/>
  <c r="J38" i="104"/>
  <c r="G38" i="104"/>
  <c r="D38" i="104"/>
  <c r="O38" i="104" s="1"/>
  <c r="M37" i="104"/>
  <c r="J37" i="104"/>
  <c r="G37" i="104"/>
  <c r="D37" i="104"/>
  <c r="O37" i="104" s="1"/>
  <c r="O34" i="104"/>
  <c r="K34" i="104"/>
  <c r="H34" i="104"/>
  <c r="E34" i="104"/>
  <c r="O33" i="104"/>
  <c r="M33" i="104"/>
  <c r="J33" i="104"/>
  <c r="G33" i="104"/>
  <c r="O32" i="104"/>
  <c r="M32" i="104"/>
  <c r="J32" i="104"/>
  <c r="G32" i="104"/>
  <c r="M31" i="104"/>
  <c r="J31" i="104"/>
  <c r="G31" i="104"/>
  <c r="M30" i="104"/>
  <c r="J30" i="104"/>
  <c r="G30" i="104"/>
  <c r="M29" i="104"/>
  <c r="J29" i="104"/>
  <c r="G29" i="104"/>
  <c r="M28" i="104"/>
  <c r="J28" i="104"/>
  <c r="G28" i="104"/>
  <c r="K25" i="104"/>
  <c r="H25" i="104"/>
  <c r="E25" i="104"/>
  <c r="P24" i="104"/>
  <c r="M24" i="104"/>
  <c r="J24" i="104"/>
  <c r="G24" i="104"/>
  <c r="M23" i="104"/>
  <c r="J23" i="104"/>
  <c r="G23" i="104"/>
  <c r="P21" i="104"/>
  <c r="M21" i="104"/>
  <c r="J21" i="104"/>
  <c r="G21" i="104"/>
  <c r="M20" i="104"/>
  <c r="J20" i="104"/>
  <c r="G20" i="104"/>
  <c r="P18" i="104"/>
  <c r="M18" i="104"/>
  <c r="J18" i="104"/>
  <c r="G18" i="104"/>
  <c r="P17" i="104"/>
  <c r="M17" i="104"/>
  <c r="J17" i="104"/>
  <c r="G17" i="104"/>
  <c r="M15" i="104"/>
  <c r="J15" i="104"/>
  <c r="G15" i="104"/>
  <c r="K14" i="104"/>
  <c r="H14" i="104"/>
  <c r="E14" i="104"/>
  <c r="P85" i="103"/>
  <c r="O81" i="103"/>
  <c r="M81" i="103"/>
  <c r="J81" i="103"/>
  <c r="G81" i="103"/>
  <c r="D81" i="103"/>
  <c r="O80" i="103"/>
  <c r="M80" i="103"/>
  <c r="J80" i="103"/>
  <c r="G80" i="103"/>
  <c r="D80" i="103"/>
  <c r="O79" i="103"/>
  <c r="M79" i="103"/>
  <c r="J79" i="103"/>
  <c r="G79" i="103"/>
  <c r="D79" i="103"/>
  <c r="O78" i="103"/>
  <c r="M78" i="103"/>
  <c r="J78" i="103"/>
  <c r="G78" i="103"/>
  <c r="D78" i="103"/>
  <c r="M77" i="103"/>
  <c r="J77" i="103"/>
  <c r="G77" i="103"/>
  <c r="D77" i="103"/>
  <c r="O74" i="103"/>
  <c r="M74" i="103"/>
  <c r="J74" i="103"/>
  <c r="G74" i="103"/>
  <c r="D74" i="103"/>
  <c r="O73" i="103"/>
  <c r="M73" i="103"/>
  <c r="J73" i="103"/>
  <c r="G73" i="103"/>
  <c r="D73" i="103"/>
  <c r="O72" i="103"/>
  <c r="M72" i="103"/>
  <c r="J72" i="103"/>
  <c r="G72" i="103"/>
  <c r="D72" i="103"/>
  <c r="O71" i="103"/>
  <c r="M71" i="103"/>
  <c r="J71" i="103"/>
  <c r="G71" i="103"/>
  <c r="D71" i="103"/>
  <c r="O70" i="103"/>
  <c r="M70" i="103"/>
  <c r="J70" i="103"/>
  <c r="G70" i="103"/>
  <c r="D70" i="103"/>
  <c r="O69" i="103"/>
  <c r="M69" i="103"/>
  <c r="J69" i="103"/>
  <c r="G69" i="103"/>
  <c r="D69" i="103"/>
  <c r="M66" i="103"/>
  <c r="J66" i="103"/>
  <c r="G66" i="103"/>
  <c r="D66" i="103"/>
  <c r="M65" i="103"/>
  <c r="J65" i="103"/>
  <c r="G65" i="103"/>
  <c r="D65" i="103"/>
  <c r="M64" i="103"/>
  <c r="J64" i="103"/>
  <c r="G64" i="103"/>
  <c r="D64" i="103"/>
  <c r="M63" i="103"/>
  <c r="J63" i="103"/>
  <c r="G63" i="103"/>
  <c r="D63" i="103"/>
  <c r="M62" i="103"/>
  <c r="J62" i="103"/>
  <c r="G62" i="103"/>
  <c r="D62" i="103"/>
  <c r="M61" i="103"/>
  <c r="J61" i="103"/>
  <c r="G61" i="103"/>
  <c r="D61" i="103"/>
  <c r="M60" i="103"/>
  <c r="J60" i="103"/>
  <c r="G60" i="103"/>
  <c r="D60" i="103"/>
  <c r="M59" i="103"/>
  <c r="J59" i="103"/>
  <c r="G59" i="103"/>
  <c r="D59" i="103"/>
  <c r="O58" i="103"/>
  <c r="M58" i="103"/>
  <c r="J58" i="103"/>
  <c r="G58" i="103"/>
  <c r="D58" i="103"/>
  <c r="D55" i="103"/>
  <c r="O54" i="103"/>
  <c r="M54" i="103"/>
  <c r="J54" i="103"/>
  <c r="G54" i="103"/>
  <c r="D54" i="103"/>
  <c r="O53" i="103"/>
  <c r="M53" i="103"/>
  <c r="J53" i="103"/>
  <c r="G53" i="103"/>
  <c r="D53" i="103"/>
  <c r="O52" i="103"/>
  <c r="M52" i="103"/>
  <c r="J52" i="103"/>
  <c r="G52" i="103"/>
  <c r="D52" i="103"/>
  <c r="O51" i="103"/>
  <c r="M51" i="103"/>
  <c r="J51" i="103"/>
  <c r="G51" i="103"/>
  <c r="D51" i="103"/>
  <c r="O50" i="103"/>
  <c r="M50" i="103"/>
  <c r="J50" i="103"/>
  <c r="G50" i="103"/>
  <c r="D50" i="103"/>
  <c r="O49" i="103"/>
  <c r="M49" i="103"/>
  <c r="J49" i="103"/>
  <c r="G49" i="103"/>
  <c r="D49" i="103"/>
  <c r="O48" i="103"/>
  <c r="M48" i="103"/>
  <c r="J48" i="103"/>
  <c r="G48" i="103"/>
  <c r="D48" i="103"/>
  <c r="O47" i="103"/>
  <c r="M47" i="103"/>
  <c r="J47" i="103"/>
  <c r="G47" i="103"/>
  <c r="D47" i="103"/>
  <c r="O46" i="103"/>
  <c r="M46" i="103"/>
  <c r="J46" i="103"/>
  <c r="G46" i="103"/>
  <c r="D46" i="103"/>
  <c r="R43" i="103"/>
  <c r="K43" i="103"/>
  <c r="H43" i="103"/>
  <c r="E43" i="103"/>
  <c r="D43" i="103"/>
  <c r="R42" i="103"/>
  <c r="K42" i="103"/>
  <c r="H42" i="103"/>
  <c r="E42" i="103"/>
  <c r="D42" i="103"/>
  <c r="O40" i="103"/>
  <c r="M40" i="103"/>
  <c r="J40" i="103"/>
  <c r="G40" i="103"/>
  <c r="D40" i="103"/>
  <c r="M39" i="103"/>
  <c r="J39" i="103"/>
  <c r="G39" i="103"/>
  <c r="D39" i="103"/>
  <c r="O39" i="103" s="1"/>
  <c r="M38" i="103"/>
  <c r="J38" i="103"/>
  <c r="G38" i="103"/>
  <c r="D38" i="103"/>
  <c r="O38" i="103" s="1"/>
  <c r="O37" i="103"/>
  <c r="M37" i="103"/>
  <c r="J37" i="103"/>
  <c r="G37" i="103"/>
  <c r="D37" i="103"/>
  <c r="O34" i="103"/>
  <c r="K34" i="103"/>
  <c r="H34" i="103"/>
  <c r="E34" i="103"/>
  <c r="O33" i="103"/>
  <c r="M33" i="103"/>
  <c r="J33" i="103"/>
  <c r="G33" i="103"/>
  <c r="O32" i="103"/>
  <c r="M32" i="103"/>
  <c r="J32" i="103"/>
  <c r="G32" i="103"/>
  <c r="M31" i="103"/>
  <c r="J31" i="103"/>
  <c r="G31" i="103"/>
  <c r="M30" i="103"/>
  <c r="J30" i="103"/>
  <c r="G30" i="103"/>
  <c r="M29" i="103"/>
  <c r="J29" i="103"/>
  <c r="G29" i="103"/>
  <c r="M28" i="103"/>
  <c r="J28" i="103"/>
  <c r="G28" i="103"/>
  <c r="K25" i="103"/>
  <c r="H25" i="103"/>
  <c r="E25" i="103"/>
  <c r="P24" i="103"/>
  <c r="M24" i="103"/>
  <c r="J24" i="103"/>
  <c r="G24" i="103"/>
  <c r="M23" i="103"/>
  <c r="J23" i="103"/>
  <c r="G23" i="103"/>
  <c r="P21" i="103"/>
  <c r="M21" i="103"/>
  <c r="J21" i="103"/>
  <c r="G21" i="103"/>
  <c r="M20" i="103"/>
  <c r="J20" i="103"/>
  <c r="G20" i="103"/>
  <c r="P18" i="103"/>
  <c r="M18" i="103"/>
  <c r="J18" i="103"/>
  <c r="G18" i="103"/>
  <c r="P17" i="103"/>
  <c r="M17" i="103"/>
  <c r="J17" i="103"/>
  <c r="G17" i="103"/>
  <c r="M15" i="103"/>
  <c r="J15" i="103"/>
  <c r="G15" i="103"/>
  <c r="K14" i="103"/>
  <c r="H14" i="103"/>
  <c r="E14" i="103"/>
  <c r="P85" i="102"/>
  <c r="O81" i="102"/>
  <c r="M81" i="102"/>
  <c r="J81" i="102"/>
  <c r="G81" i="102"/>
  <c r="D81" i="102"/>
  <c r="O80" i="102"/>
  <c r="M80" i="102"/>
  <c r="J80" i="102"/>
  <c r="G80" i="102"/>
  <c r="D80" i="102"/>
  <c r="O79" i="102"/>
  <c r="M79" i="102"/>
  <c r="J79" i="102"/>
  <c r="G79" i="102"/>
  <c r="D79" i="102"/>
  <c r="O78" i="102"/>
  <c r="M78" i="102"/>
  <c r="J78" i="102"/>
  <c r="G78" i="102"/>
  <c r="D78" i="102"/>
  <c r="M77" i="102"/>
  <c r="J77" i="102"/>
  <c r="G77" i="102"/>
  <c r="D77" i="102"/>
  <c r="O74" i="102"/>
  <c r="M74" i="102"/>
  <c r="J74" i="102"/>
  <c r="G74" i="102"/>
  <c r="D74" i="102"/>
  <c r="O73" i="102"/>
  <c r="M73" i="102"/>
  <c r="J73" i="102"/>
  <c r="G73" i="102"/>
  <c r="D73" i="102"/>
  <c r="O72" i="102"/>
  <c r="M72" i="102"/>
  <c r="J72" i="102"/>
  <c r="G72" i="102"/>
  <c r="D72" i="102"/>
  <c r="O71" i="102"/>
  <c r="M71" i="102"/>
  <c r="J71" i="102"/>
  <c r="G71" i="102"/>
  <c r="D71" i="102"/>
  <c r="O70" i="102"/>
  <c r="M70" i="102"/>
  <c r="J70" i="102"/>
  <c r="G70" i="102"/>
  <c r="D70" i="102"/>
  <c r="O69" i="102"/>
  <c r="M69" i="102"/>
  <c r="J69" i="102"/>
  <c r="G69" i="102"/>
  <c r="D69" i="102"/>
  <c r="M66" i="102"/>
  <c r="J66" i="102"/>
  <c r="G66" i="102"/>
  <c r="D66" i="102"/>
  <c r="M65" i="102"/>
  <c r="J65" i="102"/>
  <c r="G65" i="102"/>
  <c r="D65" i="102"/>
  <c r="M64" i="102"/>
  <c r="J64" i="102"/>
  <c r="G64" i="102"/>
  <c r="D64" i="102"/>
  <c r="M63" i="102"/>
  <c r="J63" i="102"/>
  <c r="G63" i="102"/>
  <c r="D63" i="102"/>
  <c r="M62" i="102"/>
  <c r="J62" i="102"/>
  <c r="G62" i="102"/>
  <c r="D62" i="102"/>
  <c r="M61" i="102"/>
  <c r="J61" i="102"/>
  <c r="G61" i="102"/>
  <c r="D61" i="102"/>
  <c r="M60" i="102"/>
  <c r="J60" i="102"/>
  <c r="G60" i="102"/>
  <c r="D60" i="102"/>
  <c r="M59" i="102"/>
  <c r="J59" i="102"/>
  <c r="G59" i="102"/>
  <c r="D59" i="102"/>
  <c r="O58" i="102"/>
  <c r="M58" i="102"/>
  <c r="J58" i="102"/>
  <c r="G58" i="102"/>
  <c r="D58" i="102"/>
  <c r="D55" i="102"/>
  <c r="O54" i="102"/>
  <c r="M54" i="102"/>
  <c r="J54" i="102"/>
  <c r="G54" i="102"/>
  <c r="D54" i="102"/>
  <c r="O53" i="102"/>
  <c r="M53" i="102"/>
  <c r="J53" i="102"/>
  <c r="G53" i="102"/>
  <c r="D53" i="102"/>
  <c r="O52" i="102"/>
  <c r="M52" i="102"/>
  <c r="J52" i="102"/>
  <c r="G52" i="102"/>
  <c r="D52" i="102"/>
  <c r="O51" i="102"/>
  <c r="M51" i="102"/>
  <c r="J51" i="102"/>
  <c r="G51" i="102"/>
  <c r="D51" i="102"/>
  <c r="O50" i="102"/>
  <c r="M50" i="102"/>
  <c r="J50" i="102"/>
  <c r="G50" i="102"/>
  <c r="D50" i="102"/>
  <c r="O49" i="102"/>
  <c r="M49" i="102"/>
  <c r="J49" i="102"/>
  <c r="G49" i="102"/>
  <c r="D49" i="102"/>
  <c r="O48" i="102"/>
  <c r="M48" i="102"/>
  <c r="J48" i="102"/>
  <c r="G48" i="102"/>
  <c r="D48" i="102"/>
  <c r="O47" i="102"/>
  <c r="M47" i="102"/>
  <c r="J47" i="102"/>
  <c r="G47" i="102"/>
  <c r="D47" i="102"/>
  <c r="O46" i="102"/>
  <c r="M46" i="102"/>
  <c r="J46" i="102"/>
  <c r="G46" i="102"/>
  <c r="D46" i="102"/>
  <c r="R43" i="102"/>
  <c r="K43" i="102"/>
  <c r="H43" i="102"/>
  <c r="E43" i="102"/>
  <c r="D43" i="102"/>
  <c r="R42" i="102"/>
  <c r="K42" i="102"/>
  <c r="H42" i="102"/>
  <c r="E42" i="102"/>
  <c r="D42" i="102"/>
  <c r="O40" i="102"/>
  <c r="M40" i="102"/>
  <c r="J40" i="102"/>
  <c r="G40" i="102"/>
  <c r="D40" i="102"/>
  <c r="M39" i="102"/>
  <c r="J39" i="102"/>
  <c r="G39" i="102"/>
  <c r="D39" i="102"/>
  <c r="O39" i="102" s="1"/>
  <c r="M38" i="102"/>
  <c r="J38" i="102"/>
  <c r="G38" i="102"/>
  <c r="D38" i="102"/>
  <c r="O38" i="102" s="1"/>
  <c r="M37" i="102"/>
  <c r="J37" i="102"/>
  <c r="G37" i="102"/>
  <c r="D37" i="102"/>
  <c r="O37" i="102" s="1"/>
  <c r="O34" i="102"/>
  <c r="K34" i="102"/>
  <c r="H34" i="102"/>
  <c r="E34" i="102"/>
  <c r="O33" i="102"/>
  <c r="M33" i="102"/>
  <c r="J33" i="102"/>
  <c r="G33" i="102"/>
  <c r="O32" i="102"/>
  <c r="M32" i="102"/>
  <c r="J32" i="102"/>
  <c r="G32" i="102"/>
  <c r="M31" i="102"/>
  <c r="J31" i="102"/>
  <c r="G31" i="102"/>
  <c r="M30" i="102"/>
  <c r="J30" i="102"/>
  <c r="G30" i="102"/>
  <c r="M29" i="102"/>
  <c r="J29" i="102"/>
  <c r="G29" i="102"/>
  <c r="M28" i="102"/>
  <c r="J28" i="102"/>
  <c r="G28" i="102"/>
  <c r="K25" i="102"/>
  <c r="H25" i="102"/>
  <c r="E25" i="102"/>
  <c r="P24" i="102"/>
  <c r="M24" i="102"/>
  <c r="J24" i="102"/>
  <c r="G24" i="102"/>
  <c r="M23" i="102"/>
  <c r="J23" i="102"/>
  <c r="G23" i="102"/>
  <c r="P21" i="102"/>
  <c r="M21" i="102"/>
  <c r="J21" i="102"/>
  <c r="G21" i="102"/>
  <c r="M20" i="102"/>
  <c r="J20" i="102"/>
  <c r="G20" i="102"/>
  <c r="P18" i="102"/>
  <c r="M18" i="102"/>
  <c r="J18" i="102"/>
  <c r="G18" i="102"/>
  <c r="P17" i="102"/>
  <c r="M17" i="102"/>
  <c r="J17" i="102"/>
  <c r="G17" i="102"/>
  <c r="M15" i="102"/>
  <c r="J15" i="102"/>
  <c r="G15" i="102"/>
  <c r="K14" i="102"/>
  <c r="H14" i="102"/>
  <c r="E14" i="102"/>
  <c r="P85" i="101"/>
  <c r="M81" i="101"/>
  <c r="J81" i="101"/>
  <c r="G81" i="101"/>
  <c r="D81" i="101"/>
  <c r="O81" i="101" s="1"/>
  <c r="O80" i="101"/>
  <c r="M80" i="101"/>
  <c r="J80" i="101"/>
  <c r="G80" i="101"/>
  <c r="D80" i="101"/>
  <c r="M79" i="101"/>
  <c r="J79" i="101"/>
  <c r="G79" i="101"/>
  <c r="D79" i="101"/>
  <c r="O79" i="101" s="1"/>
  <c r="M78" i="101"/>
  <c r="J78" i="101"/>
  <c r="G78" i="101"/>
  <c r="D78" i="101"/>
  <c r="O78" i="101" s="1"/>
  <c r="M77" i="101"/>
  <c r="J77" i="101"/>
  <c r="G77" i="101"/>
  <c r="D77" i="101"/>
  <c r="M74" i="101"/>
  <c r="J74" i="101"/>
  <c r="G74" i="101"/>
  <c r="D74" i="101"/>
  <c r="O74" i="101" s="1"/>
  <c r="O73" i="101"/>
  <c r="M73" i="101"/>
  <c r="J73" i="101"/>
  <c r="G73" i="101"/>
  <c r="D73" i="101"/>
  <c r="M72" i="101"/>
  <c r="J72" i="101"/>
  <c r="G72" i="101"/>
  <c r="D72" i="101"/>
  <c r="O72" i="101" s="1"/>
  <c r="M71" i="101"/>
  <c r="J71" i="101"/>
  <c r="G71" i="101"/>
  <c r="D71" i="101"/>
  <c r="O71" i="101" s="1"/>
  <c r="O70" i="101"/>
  <c r="M70" i="101"/>
  <c r="J70" i="101"/>
  <c r="G70" i="101"/>
  <c r="D70" i="101"/>
  <c r="O69" i="101"/>
  <c r="M69" i="101"/>
  <c r="J69" i="101"/>
  <c r="G69" i="101"/>
  <c r="D69" i="101"/>
  <c r="M66" i="101"/>
  <c r="J66" i="101"/>
  <c r="G66" i="101"/>
  <c r="D66" i="101"/>
  <c r="M65" i="101"/>
  <c r="J65" i="101"/>
  <c r="G65" i="101"/>
  <c r="D65" i="101"/>
  <c r="M64" i="101"/>
  <c r="J64" i="101"/>
  <c r="G64" i="101"/>
  <c r="D64" i="101"/>
  <c r="M63" i="101"/>
  <c r="J63" i="101"/>
  <c r="G63" i="101"/>
  <c r="D63" i="101"/>
  <c r="M62" i="101"/>
  <c r="J62" i="101"/>
  <c r="G62" i="101"/>
  <c r="D62" i="101"/>
  <c r="M61" i="101"/>
  <c r="J61" i="101"/>
  <c r="G61" i="101"/>
  <c r="D61" i="101"/>
  <c r="M60" i="101"/>
  <c r="J60" i="101"/>
  <c r="G60" i="101"/>
  <c r="D60" i="101"/>
  <c r="M59" i="101"/>
  <c r="J59" i="101"/>
  <c r="G59" i="101"/>
  <c r="D59" i="101"/>
  <c r="O58" i="101"/>
  <c r="M58" i="101"/>
  <c r="J58" i="101"/>
  <c r="G58" i="101"/>
  <c r="D58" i="101"/>
  <c r="D55" i="101"/>
  <c r="O54" i="101"/>
  <c r="M54" i="101"/>
  <c r="J54" i="101"/>
  <c r="G54" i="101"/>
  <c r="D54" i="101"/>
  <c r="M53" i="101"/>
  <c r="J53" i="101"/>
  <c r="G53" i="101"/>
  <c r="D53" i="101"/>
  <c r="O53" i="101" s="1"/>
  <c r="M52" i="101"/>
  <c r="J52" i="101"/>
  <c r="G52" i="101"/>
  <c r="D52" i="101"/>
  <c r="O52" i="101" s="1"/>
  <c r="O51" i="101"/>
  <c r="M51" i="101"/>
  <c r="J51" i="101"/>
  <c r="G51" i="101"/>
  <c r="D51" i="101"/>
  <c r="M50" i="101"/>
  <c r="J50" i="101"/>
  <c r="G50" i="101"/>
  <c r="D50" i="101"/>
  <c r="O50" i="101" s="1"/>
  <c r="O49" i="101"/>
  <c r="M49" i="101"/>
  <c r="J49" i="101"/>
  <c r="G49" i="101"/>
  <c r="D49" i="101"/>
  <c r="M48" i="101"/>
  <c r="J48" i="101"/>
  <c r="G48" i="101"/>
  <c r="D48" i="101"/>
  <c r="O48" i="101" s="1"/>
  <c r="M47" i="101"/>
  <c r="J47" i="101"/>
  <c r="G47" i="101"/>
  <c r="D47" i="101"/>
  <c r="O47" i="101" s="1"/>
  <c r="O46" i="101"/>
  <c r="M46" i="101"/>
  <c r="J46" i="101"/>
  <c r="G46" i="101"/>
  <c r="D46" i="101"/>
  <c r="R43" i="101"/>
  <c r="K43" i="101"/>
  <c r="H43" i="101"/>
  <c r="D43" i="101"/>
  <c r="R42" i="101"/>
  <c r="K42" i="101"/>
  <c r="H42" i="101"/>
  <c r="D42" i="101"/>
  <c r="O40" i="101"/>
  <c r="M40" i="101"/>
  <c r="J40" i="101"/>
  <c r="G40" i="101"/>
  <c r="D40" i="101"/>
  <c r="M39" i="101"/>
  <c r="J39" i="101"/>
  <c r="G39" i="101"/>
  <c r="D39" i="101"/>
  <c r="O39" i="101" s="1"/>
  <c r="O38" i="101"/>
  <c r="M38" i="101"/>
  <c r="J38" i="101"/>
  <c r="G38" i="101"/>
  <c r="D38" i="101"/>
  <c r="M37" i="101"/>
  <c r="J37" i="101"/>
  <c r="G37" i="101"/>
  <c r="D37" i="101"/>
  <c r="O37" i="101" s="1"/>
  <c r="O34" i="101"/>
  <c r="K34" i="101"/>
  <c r="H34" i="101"/>
  <c r="O33" i="101"/>
  <c r="M33" i="101"/>
  <c r="J33" i="101"/>
  <c r="G33" i="101"/>
  <c r="O32" i="101"/>
  <c r="M32" i="101"/>
  <c r="J32" i="101"/>
  <c r="G32" i="101"/>
  <c r="M31" i="101"/>
  <c r="J31" i="101"/>
  <c r="G31" i="101"/>
  <c r="M30" i="101"/>
  <c r="J30" i="101"/>
  <c r="G30" i="101"/>
  <c r="M29" i="101"/>
  <c r="J29" i="101"/>
  <c r="G29" i="101"/>
  <c r="M28" i="101"/>
  <c r="J28" i="101"/>
  <c r="G28" i="101"/>
  <c r="K25" i="101"/>
  <c r="H25" i="101"/>
  <c r="E16" i="5"/>
  <c r="P24" i="101"/>
  <c r="M24" i="101"/>
  <c r="J24" i="101"/>
  <c r="G24" i="101"/>
  <c r="M23" i="101"/>
  <c r="J23" i="101"/>
  <c r="G23" i="101"/>
  <c r="P21" i="101"/>
  <c r="M21" i="101"/>
  <c r="J21" i="101"/>
  <c r="G21" i="101"/>
  <c r="M20" i="101"/>
  <c r="J20" i="101"/>
  <c r="G20" i="101"/>
  <c r="P18" i="101"/>
  <c r="M18" i="101"/>
  <c r="J18" i="101"/>
  <c r="G18" i="101"/>
  <c r="P17" i="101"/>
  <c r="M17" i="101"/>
  <c r="J17" i="101"/>
  <c r="G17" i="101"/>
  <c r="E20" i="5" s="1"/>
  <c r="M15" i="101"/>
  <c r="J15" i="101"/>
  <c r="G15" i="101"/>
  <c r="K14" i="101"/>
  <c r="H14" i="101"/>
  <c r="E14" i="101"/>
  <c r="P85" i="100"/>
  <c r="O81" i="100"/>
  <c r="M81" i="100"/>
  <c r="J81" i="100"/>
  <c r="G81" i="100"/>
  <c r="D81" i="100"/>
  <c r="M80" i="100"/>
  <c r="J80" i="100"/>
  <c r="G80" i="100"/>
  <c r="D80" i="100"/>
  <c r="O80" i="100" s="1"/>
  <c r="M79" i="100"/>
  <c r="J79" i="100"/>
  <c r="G79" i="100"/>
  <c r="D79" i="100"/>
  <c r="O79" i="100" s="1"/>
  <c r="O78" i="100"/>
  <c r="M78" i="100"/>
  <c r="J78" i="100"/>
  <c r="G78" i="100"/>
  <c r="D78" i="100"/>
  <c r="M77" i="100"/>
  <c r="J77" i="100"/>
  <c r="G77" i="100"/>
  <c r="D77" i="100"/>
  <c r="O74" i="100"/>
  <c r="M74" i="100"/>
  <c r="J74" i="100"/>
  <c r="G74" i="100"/>
  <c r="D74" i="100"/>
  <c r="M73" i="100"/>
  <c r="J73" i="100"/>
  <c r="G73" i="100"/>
  <c r="D73" i="100"/>
  <c r="O73" i="100" s="1"/>
  <c r="M72" i="100"/>
  <c r="J72" i="100"/>
  <c r="G72" i="100"/>
  <c r="D72" i="100"/>
  <c r="O72" i="100" s="1"/>
  <c r="O71" i="100"/>
  <c r="M71" i="100"/>
  <c r="J71" i="100"/>
  <c r="G71" i="100"/>
  <c r="D71" i="100"/>
  <c r="M70" i="100"/>
  <c r="J70" i="100"/>
  <c r="G70" i="100"/>
  <c r="D70" i="100"/>
  <c r="O70" i="100" s="1"/>
  <c r="O69" i="100"/>
  <c r="M69" i="100"/>
  <c r="J69" i="100"/>
  <c r="G69" i="100"/>
  <c r="D69" i="100"/>
  <c r="M66" i="100"/>
  <c r="J66" i="100"/>
  <c r="G66" i="100"/>
  <c r="D66" i="100"/>
  <c r="M65" i="100"/>
  <c r="J65" i="100"/>
  <c r="G65" i="100"/>
  <c r="D65" i="100"/>
  <c r="M64" i="100"/>
  <c r="J64" i="100"/>
  <c r="G64" i="100"/>
  <c r="D64" i="100"/>
  <c r="M63" i="100"/>
  <c r="J63" i="100"/>
  <c r="G63" i="100"/>
  <c r="D63" i="100"/>
  <c r="M62" i="100"/>
  <c r="J62" i="100"/>
  <c r="G62" i="100"/>
  <c r="D62" i="100"/>
  <c r="M61" i="100"/>
  <c r="J61" i="100"/>
  <c r="G61" i="100"/>
  <c r="D61" i="100"/>
  <c r="M60" i="100"/>
  <c r="J60" i="100"/>
  <c r="G60" i="100"/>
  <c r="D60" i="100"/>
  <c r="M59" i="100"/>
  <c r="J59" i="100"/>
  <c r="G59" i="100"/>
  <c r="D59" i="100"/>
  <c r="M58" i="100"/>
  <c r="J58" i="100"/>
  <c r="G58" i="100"/>
  <c r="D58" i="100"/>
  <c r="D55" i="100"/>
  <c r="M54" i="100"/>
  <c r="J54" i="100"/>
  <c r="G54" i="100"/>
  <c r="D54" i="100"/>
  <c r="O54" i="100" s="1"/>
  <c r="O53" i="100"/>
  <c r="M53" i="100"/>
  <c r="J53" i="100"/>
  <c r="G53" i="100"/>
  <c r="D53" i="100"/>
  <c r="O52" i="100"/>
  <c r="M52" i="100"/>
  <c r="J52" i="100"/>
  <c r="G52" i="100"/>
  <c r="D52" i="100"/>
  <c r="M51" i="100"/>
  <c r="J51" i="100"/>
  <c r="G51" i="100"/>
  <c r="D51" i="100"/>
  <c r="O51" i="100" s="1"/>
  <c r="O50" i="100"/>
  <c r="M50" i="100"/>
  <c r="J50" i="100"/>
  <c r="G50" i="100"/>
  <c r="D50" i="100"/>
  <c r="M49" i="100"/>
  <c r="J49" i="100"/>
  <c r="G49" i="100"/>
  <c r="D49" i="100"/>
  <c r="O49" i="100" s="1"/>
  <c r="M48" i="100"/>
  <c r="J48" i="100"/>
  <c r="G48" i="100"/>
  <c r="D48" i="100"/>
  <c r="O48" i="100" s="1"/>
  <c r="M47" i="100"/>
  <c r="J47" i="100"/>
  <c r="G47" i="100"/>
  <c r="D47" i="100"/>
  <c r="O47" i="100" s="1"/>
  <c r="M46" i="100"/>
  <c r="J46" i="100"/>
  <c r="G46" i="100"/>
  <c r="D46" i="100"/>
  <c r="O46" i="100" s="1"/>
  <c r="R43" i="100"/>
  <c r="K43" i="100"/>
  <c r="H43" i="100"/>
  <c r="E43" i="100"/>
  <c r="D43" i="100"/>
  <c r="R42" i="100"/>
  <c r="K42" i="100"/>
  <c r="H42" i="100"/>
  <c r="E42" i="100"/>
  <c r="D42" i="100"/>
  <c r="M40" i="100"/>
  <c r="J40" i="100"/>
  <c r="G40" i="100"/>
  <c r="D40" i="100"/>
  <c r="O40" i="100" s="1"/>
  <c r="M39" i="100"/>
  <c r="J39" i="100"/>
  <c r="G39" i="100"/>
  <c r="D39" i="100"/>
  <c r="O39" i="100" s="1"/>
  <c r="M38" i="100"/>
  <c r="J38" i="100"/>
  <c r="G38" i="100"/>
  <c r="D38" i="100"/>
  <c r="O38" i="100" s="1"/>
  <c r="M37" i="100"/>
  <c r="J37" i="100"/>
  <c r="G37" i="100"/>
  <c r="D37" i="100"/>
  <c r="O37" i="100" s="1"/>
  <c r="O34" i="100"/>
  <c r="K34" i="100"/>
  <c r="O33" i="100"/>
  <c r="M33" i="100"/>
  <c r="J33" i="100"/>
  <c r="G33" i="100"/>
  <c r="O32" i="100"/>
  <c r="M32" i="100"/>
  <c r="J32" i="100"/>
  <c r="G32" i="100"/>
  <c r="M31" i="100"/>
  <c r="J31" i="100"/>
  <c r="G31" i="100"/>
  <c r="M30" i="100"/>
  <c r="J30" i="100"/>
  <c r="G30" i="100"/>
  <c r="M29" i="100"/>
  <c r="J29" i="100"/>
  <c r="G29" i="100"/>
  <c r="M28" i="100"/>
  <c r="J28" i="100"/>
  <c r="G28" i="100"/>
  <c r="K25" i="100"/>
  <c r="P24" i="100"/>
  <c r="M24" i="100"/>
  <c r="J24" i="100"/>
  <c r="D30" i="5" s="1"/>
  <c r="G24" i="100"/>
  <c r="M23" i="100"/>
  <c r="J23" i="100"/>
  <c r="G23" i="100"/>
  <c r="P21" i="100"/>
  <c r="M21" i="100"/>
  <c r="J21" i="100"/>
  <c r="G21" i="100"/>
  <c r="M20" i="100"/>
  <c r="J20" i="100"/>
  <c r="G20" i="100"/>
  <c r="P18" i="100"/>
  <c r="M18" i="100"/>
  <c r="J18" i="100"/>
  <c r="G18" i="100"/>
  <c r="P17" i="100"/>
  <c r="M17" i="100"/>
  <c r="J17" i="100"/>
  <c r="G17" i="100"/>
  <c r="D20" i="5" s="1"/>
  <c r="M15" i="100"/>
  <c r="J15" i="100"/>
  <c r="G15" i="100"/>
  <c r="H14" i="100"/>
  <c r="O58" i="100" l="1"/>
  <c r="D26" i="5"/>
  <c r="D16" i="5"/>
  <c r="G52" i="84"/>
  <c r="J52" i="84"/>
  <c r="M52" i="84"/>
  <c r="G64" i="84"/>
  <c r="J64" i="84"/>
  <c r="M69" i="84"/>
  <c r="M58" i="84"/>
  <c r="G69" i="84"/>
  <c r="J69" i="84"/>
  <c r="J58" i="84"/>
  <c r="G58" i="84"/>
  <c r="G28" i="84"/>
  <c r="J54" i="84"/>
  <c r="M24" i="84"/>
  <c r="M23" i="84"/>
  <c r="M21" i="84"/>
  <c r="M20" i="84"/>
  <c r="M18" i="84"/>
  <c r="M17" i="84"/>
  <c r="M15" i="84"/>
  <c r="J15" i="84"/>
  <c r="M78" i="84"/>
  <c r="M79" i="84"/>
  <c r="M80" i="84"/>
  <c r="M81" i="84"/>
  <c r="M77" i="84"/>
  <c r="M74" i="84"/>
  <c r="M73" i="84"/>
  <c r="M72" i="84"/>
  <c r="M71" i="84"/>
  <c r="M70" i="84"/>
  <c r="M66" i="84"/>
  <c r="M65" i="84"/>
  <c r="M64" i="84"/>
  <c r="M63" i="84"/>
  <c r="M62" i="84"/>
  <c r="M61" i="84"/>
  <c r="M60" i="84"/>
  <c r="M59" i="84"/>
  <c r="M47" i="84"/>
  <c r="M48" i="84"/>
  <c r="M49" i="84"/>
  <c r="M50" i="84"/>
  <c r="M51" i="84"/>
  <c r="M53" i="84"/>
  <c r="M54" i="84"/>
  <c r="M46" i="84"/>
  <c r="M38" i="84"/>
  <c r="M39" i="84"/>
  <c r="M40" i="84"/>
  <c r="M37" i="84"/>
  <c r="M29" i="84"/>
  <c r="M30" i="84"/>
  <c r="M31" i="84"/>
  <c r="M32" i="84"/>
  <c r="M33" i="84"/>
  <c r="M28" i="84"/>
  <c r="J81" i="84"/>
  <c r="J80" i="84"/>
  <c r="J79" i="84"/>
  <c r="J78" i="84"/>
  <c r="J77" i="84"/>
  <c r="J74" i="84"/>
  <c r="J73" i="84"/>
  <c r="J72" i="84"/>
  <c r="J71" i="84"/>
  <c r="J70" i="84"/>
  <c r="J66" i="84"/>
  <c r="J65" i="84"/>
  <c r="J63" i="84"/>
  <c r="J62" i="84"/>
  <c r="J61" i="84"/>
  <c r="J60" i="84"/>
  <c r="J59" i="84"/>
  <c r="J53" i="84"/>
  <c r="J51" i="84"/>
  <c r="J50" i="84"/>
  <c r="J49" i="84"/>
  <c r="J48" i="84"/>
  <c r="J47" i="84"/>
  <c r="J46" i="84"/>
  <c r="J40" i="84"/>
  <c r="J39" i="84"/>
  <c r="J38" i="84"/>
  <c r="J37" i="84"/>
  <c r="J24" i="84"/>
  <c r="J23" i="84"/>
  <c r="J21" i="84"/>
  <c r="J20" i="84"/>
  <c r="J18" i="84"/>
  <c r="J17" i="84"/>
  <c r="J33" i="84"/>
  <c r="J32" i="84"/>
  <c r="J31" i="84"/>
  <c r="J30" i="84"/>
  <c r="J29" i="84"/>
  <c r="J28" i="84"/>
  <c r="G81" i="84"/>
  <c r="G80" i="84"/>
  <c r="G79" i="84"/>
  <c r="G78" i="84"/>
  <c r="G77" i="84"/>
  <c r="G74" i="84"/>
  <c r="G73" i="84"/>
  <c r="G72" i="84"/>
  <c r="G71" i="84"/>
  <c r="G70" i="84"/>
  <c r="G66" i="84"/>
  <c r="G60" i="84"/>
  <c r="G59" i="84"/>
  <c r="G65" i="84"/>
  <c r="G63" i="84"/>
  <c r="G62" i="84"/>
  <c r="G61" i="84"/>
  <c r="G48" i="84"/>
  <c r="G54" i="84"/>
  <c r="G53" i="84"/>
  <c r="G51" i="84"/>
  <c r="G50" i="84"/>
  <c r="G49" i="84"/>
  <c r="G47" i="84"/>
  <c r="G46" i="84"/>
  <c r="G40" i="84" l="1"/>
  <c r="G39" i="84"/>
  <c r="G38" i="84"/>
  <c r="G37" i="84"/>
  <c r="G29" i="84"/>
  <c r="G30" i="84"/>
  <c r="G31" i="84"/>
  <c r="G32" i="84"/>
  <c r="G33" i="84"/>
  <c r="G24" i="84"/>
  <c r="G23" i="84"/>
  <c r="G21" i="84"/>
  <c r="C26" i="5" s="1"/>
  <c r="G20" i="84"/>
  <c r="G18" i="84"/>
  <c r="G17" i="84"/>
  <c r="C20" i="5" s="1"/>
  <c r="Q3" i="13" l="1"/>
  <c r="Q4" i="13"/>
  <c r="Q5" i="13"/>
  <c r="Q6" i="13"/>
  <c r="Q7" i="13"/>
  <c r="O20" i="13"/>
  <c r="N20" i="13"/>
  <c r="AB58" i="57" l="1"/>
  <c r="AB61" i="57"/>
  <c r="AB64" i="57"/>
  <c r="AB67" i="57"/>
  <c r="AB70" i="57"/>
  <c r="AB55" i="57"/>
  <c r="AA58" i="57"/>
  <c r="AA61" i="57"/>
  <c r="AA64" i="57"/>
  <c r="AA67" i="57"/>
  <c r="AA70" i="57"/>
  <c r="AA55" i="57"/>
  <c r="Z58" i="57"/>
  <c r="Z61" i="57"/>
  <c r="Z64" i="57"/>
  <c r="Z67" i="57"/>
  <c r="Z70" i="57"/>
  <c r="Z55" i="57"/>
  <c r="Y58" i="57"/>
  <c r="Y61" i="57"/>
  <c r="Y64" i="57"/>
  <c r="Y67" i="57"/>
  <c r="Y70" i="57"/>
  <c r="Y55" i="57"/>
  <c r="D29" i="30" l="1"/>
  <c r="D28" i="30"/>
  <c r="D27" i="30"/>
  <c r="D26" i="30"/>
  <c r="D25" i="30"/>
  <c r="D24" i="30"/>
  <c r="D23" i="30"/>
  <c r="D22" i="30"/>
  <c r="D21" i="30"/>
  <c r="D20" i="30"/>
  <c r="D19" i="30"/>
  <c r="D18" i="30"/>
  <c r="D17" i="30"/>
  <c r="D16" i="30"/>
  <c r="D15" i="30"/>
  <c r="D14" i="30"/>
  <c r="D13" i="30"/>
  <c r="D12" i="30"/>
  <c r="F13" i="30"/>
  <c r="E12" i="30" l="1"/>
  <c r="D15" i="57"/>
  <c r="E15" i="30"/>
  <c r="D24" i="57"/>
  <c r="E24" i="30"/>
  <c r="D18" i="57"/>
  <c r="E18" i="30"/>
  <c r="D27" i="57"/>
  <c r="E27" i="30"/>
  <c r="D21" i="57"/>
  <c r="E21" i="30"/>
  <c r="D23" i="57"/>
  <c r="E23" i="30"/>
  <c r="D17" i="57"/>
  <c r="E17" i="30"/>
  <c r="D26" i="57"/>
  <c r="E26" i="30"/>
  <c r="D14" i="57"/>
  <c r="E14" i="30"/>
  <c r="D20" i="57"/>
  <c r="E20" i="30"/>
  <c r="D29" i="57"/>
  <c r="E29" i="30"/>
  <c r="D22" i="57"/>
  <c r="E22" i="30"/>
  <c r="D16" i="57"/>
  <c r="E16" i="30"/>
  <c r="D25" i="57"/>
  <c r="E25" i="30"/>
  <c r="D19" i="57"/>
  <c r="E19" i="30"/>
  <c r="D28" i="57"/>
  <c r="E28" i="30"/>
  <c r="D13" i="57"/>
  <c r="E13" i="30"/>
  <c r="F12" i="30"/>
  <c r="K43" i="84" l="1"/>
  <c r="H43" i="84"/>
  <c r="I21" i="13"/>
  <c r="I19" i="13"/>
  <c r="I18" i="13"/>
  <c r="I17" i="13"/>
  <c r="I16" i="13"/>
  <c r="I15" i="13"/>
  <c r="I14" i="13"/>
  <c r="I13" i="13"/>
  <c r="D32" i="60" l="1"/>
  <c r="D33" i="60"/>
  <c r="D34" i="60"/>
  <c r="D35" i="60"/>
  <c r="D36" i="60"/>
  <c r="D37" i="60"/>
  <c r="D38" i="60"/>
  <c r="D39" i="60"/>
  <c r="D40" i="60"/>
  <c r="D41" i="60"/>
  <c r="D42" i="60"/>
  <c r="D43" i="60"/>
  <c r="D44" i="60"/>
  <c r="D45" i="60"/>
  <c r="D46" i="60"/>
  <c r="D47" i="60"/>
  <c r="D48" i="60"/>
  <c r="D49" i="60"/>
  <c r="D50" i="60"/>
  <c r="D51" i="60"/>
  <c r="D52" i="60"/>
  <c r="D53" i="60"/>
  <c r="D54" i="60"/>
  <c r="D55" i="60"/>
  <c r="D56" i="60"/>
  <c r="D57" i="60"/>
  <c r="D58" i="60"/>
  <c r="D59" i="60"/>
  <c r="D60" i="60"/>
  <c r="D61" i="60"/>
  <c r="D62" i="60"/>
  <c r="D63" i="60"/>
  <c r="D64" i="60"/>
  <c r="D65" i="60"/>
  <c r="D66" i="60"/>
  <c r="D67" i="60"/>
  <c r="D68" i="60"/>
  <c r="D69" i="60"/>
  <c r="D70" i="60"/>
  <c r="D71" i="60"/>
  <c r="D72" i="60"/>
  <c r="D73" i="60"/>
  <c r="D74" i="60"/>
  <c r="D75" i="60"/>
  <c r="D76" i="60"/>
  <c r="D77" i="60"/>
  <c r="D78" i="60"/>
  <c r="D79" i="60"/>
  <c r="D31" i="61"/>
  <c r="D32" i="61"/>
  <c r="D33" i="61"/>
  <c r="D34" i="61"/>
  <c r="D35" i="61"/>
  <c r="D36" i="61"/>
  <c r="D37" i="61"/>
  <c r="D38" i="61"/>
  <c r="D39" i="61"/>
  <c r="D40" i="61"/>
  <c r="D41" i="61"/>
  <c r="D42" i="61"/>
  <c r="D43" i="61"/>
  <c r="D44" i="61"/>
  <c r="D45" i="61"/>
  <c r="D46" i="61"/>
  <c r="D47" i="61"/>
  <c r="D48" i="61"/>
  <c r="D49" i="61"/>
  <c r="D50" i="61"/>
  <c r="D51" i="61"/>
  <c r="D52" i="61"/>
  <c r="D53" i="61"/>
  <c r="D54" i="61"/>
  <c r="D55" i="61"/>
  <c r="D56" i="61"/>
  <c r="D57" i="61"/>
  <c r="D58" i="61"/>
  <c r="D59" i="61"/>
  <c r="D60" i="61"/>
  <c r="D61" i="61"/>
  <c r="D62" i="61"/>
  <c r="D63" i="61"/>
  <c r="D64" i="61"/>
  <c r="D65" i="61"/>
  <c r="D66" i="61"/>
  <c r="D587" i="62"/>
  <c r="D588" i="62"/>
  <c r="D589" i="62"/>
  <c r="D532" i="62"/>
  <c r="D533" i="62"/>
  <c r="C16" i="68"/>
  <c r="C11" i="68"/>
  <c r="E11" i="40"/>
  <c r="AK4" i="30" l="1"/>
  <c r="O27" i="30"/>
  <c r="T16" i="57"/>
  <c r="CE25" i="30"/>
  <c r="R29" i="30"/>
  <c r="BE18" i="30"/>
  <c r="M13" i="30"/>
  <c r="AE21" i="30"/>
  <c r="BC19" i="30"/>
  <c r="BN24" i="57"/>
  <c r="BH21" i="30"/>
  <c r="N25" i="13"/>
  <c r="AG12" i="30"/>
  <c r="I22" i="30"/>
  <c r="Q21" i="30"/>
  <c r="H14" i="30"/>
  <c r="FD17" i="57"/>
  <c r="T18" i="57"/>
  <c r="O33" i="13"/>
  <c r="R24" i="30"/>
  <c r="BG28" i="30"/>
  <c r="AD12" i="30"/>
  <c r="CF13" i="30"/>
  <c r="FC26" i="57"/>
  <c r="BC17" i="30"/>
  <c r="CD23" i="30"/>
  <c r="N29" i="13"/>
  <c r="DH17" i="57"/>
  <c r="H24" i="30"/>
  <c r="AG18" i="30"/>
  <c r="H28" i="30"/>
  <c r="DG14" i="57"/>
  <c r="M19" i="30"/>
  <c r="Q17" i="30"/>
  <c r="BC20" i="30"/>
  <c r="G18" i="30"/>
  <c r="R17" i="30"/>
  <c r="CD14" i="30"/>
  <c r="AD17" i="30"/>
  <c r="T26" i="57"/>
  <c r="AD29" i="30"/>
  <c r="BE16" i="30"/>
  <c r="FC18" i="57"/>
  <c r="M28" i="30"/>
  <c r="FA23" i="57"/>
  <c r="AG26" i="30"/>
  <c r="BE29" i="30"/>
  <c r="FA25" i="57"/>
  <c r="DH15" i="57"/>
  <c r="J16" i="30"/>
  <c r="BH18" i="30"/>
  <c r="N34" i="13"/>
  <c r="AG20" i="30"/>
  <c r="CD29" i="30"/>
  <c r="FC25" i="57"/>
  <c r="AC13" i="30"/>
  <c r="R13" i="30"/>
  <c r="FB24" i="57"/>
  <c r="H20" i="30"/>
  <c r="Q19" i="30"/>
  <c r="CF19" i="30"/>
  <c r="BD26" i="30"/>
  <c r="BG14" i="30"/>
  <c r="O35" i="13"/>
  <c r="BG23" i="30"/>
  <c r="AD16" i="30"/>
  <c r="BO16" i="57"/>
  <c r="F29" i="30"/>
  <c r="BN19" i="57"/>
  <c r="CD18" i="30"/>
  <c r="FB17" i="57"/>
  <c r="AI13" i="30"/>
  <c r="BG18" i="30"/>
  <c r="CC25" i="30"/>
  <c r="Q28" i="30"/>
  <c r="I23" i="30"/>
  <c r="M20" i="30"/>
  <c r="CF25" i="30"/>
  <c r="N27" i="13"/>
  <c r="BE27" i="30"/>
  <c r="AF17" i="30"/>
  <c r="BC25" i="30"/>
  <c r="FE26" i="57"/>
  <c r="N23" i="13"/>
  <c r="FC28" i="57"/>
  <c r="BH29" i="30"/>
  <c r="G21" i="30"/>
  <c r="FE28" i="57"/>
  <c r="FD16" i="57"/>
  <c r="FC24" i="57"/>
  <c r="DH22" i="57"/>
  <c r="Q20" i="30"/>
  <c r="FE23" i="57"/>
  <c r="H12" i="30"/>
  <c r="CF27" i="30"/>
  <c r="BG29" i="30"/>
  <c r="I25" i="30"/>
  <c r="DH18" i="57"/>
  <c r="AI22" i="30"/>
  <c r="I13" i="30"/>
  <c r="O23" i="13"/>
  <c r="BO19" i="57"/>
  <c r="I18" i="30"/>
  <c r="I27" i="30"/>
  <c r="BO27" i="57"/>
  <c r="H15" i="30"/>
  <c r="CD15" i="30"/>
  <c r="BE24" i="30"/>
  <c r="FA16" i="57"/>
  <c r="BH26" i="30"/>
  <c r="DG16" i="57"/>
  <c r="O21" i="30"/>
  <c r="R25" i="30"/>
  <c r="U20" i="57"/>
  <c r="FD13" i="57"/>
  <c r="FB18" i="57"/>
  <c r="CD28" i="30"/>
  <c r="J13" i="30"/>
  <c r="CF23" i="30"/>
  <c r="M23" i="30"/>
  <c r="AG19" i="30"/>
  <c r="FE18" i="57"/>
  <c r="BO13" i="57"/>
  <c r="CF22" i="30"/>
  <c r="AC24" i="30"/>
  <c r="FC27" i="57"/>
  <c r="J18" i="30"/>
  <c r="N26" i="13"/>
  <c r="CF26" i="30"/>
  <c r="J28" i="30"/>
  <c r="U13" i="57"/>
  <c r="R12" i="30"/>
  <c r="BO15" i="57"/>
  <c r="BE22" i="30"/>
  <c r="Q18" i="30"/>
  <c r="AC22" i="30"/>
  <c r="CF14" i="30"/>
  <c r="R14" i="30"/>
  <c r="FD29" i="57"/>
  <c r="BE13" i="30"/>
  <c r="O32" i="13"/>
  <c r="CE16" i="30"/>
  <c r="G16" i="30"/>
  <c r="CD27" i="30"/>
  <c r="AE22" i="30"/>
  <c r="AD14" i="30"/>
  <c r="AF14" i="30" s="1"/>
  <c r="BD29" i="30"/>
  <c r="BN13" i="57"/>
  <c r="BC29" i="30"/>
  <c r="J29" i="30"/>
  <c r="CC15" i="30"/>
  <c r="BO22" i="57"/>
  <c r="AG23" i="30"/>
  <c r="Q22" i="30"/>
  <c r="G13" i="30"/>
  <c r="CE27" i="30"/>
  <c r="Q12" i="30"/>
  <c r="T25" i="57"/>
  <c r="R19" i="30"/>
  <c r="T21" i="57"/>
  <c r="G24" i="30"/>
  <c r="FD14" i="57"/>
  <c r="O16" i="30"/>
  <c r="O25" i="30"/>
  <c r="BO23" i="57"/>
  <c r="FC21" i="57"/>
  <c r="BE23" i="30"/>
  <c r="DH19" i="57"/>
  <c r="Q15" i="30"/>
  <c r="F27" i="30"/>
  <c r="AG24" i="30"/>
  <c r="DH27" i="57"/>
  <c r="H27" i="30"/>
  <c r="BG15" i="30"/>
  <c r="BO17" i="57"/>
  <c r="T20" i="57"/>
  <c r="I20" i="30"/>
  <c r="R22" i="30"/>
  <c r="G26" i="30"/>
  <c r="FB14" i="57"/>
  <c r="AG21" i="30"/>
  <c r="H18" i="30"/>
  <c r="AF16" i="30"/>
  <c r="BO25" i="57"/>
  <c r="FC14" i="57"/>
  <c r="H25" i="30"/>
  <c r="AD28" i="30"/>
  <c r="CE14" i="30"/>
  <c r="T28" i="57"/>
  <c r="F14" i="30"/>
  <c r="O15" i="30"/>
  <c r="AE12" i="30"/>
  <c r="R16" i="30"/>
  <c r="BC16" i="30"/>
  <c r="H21" i="30"/>
  <c r="BD15" i="30"/>
  <c r="H13" i="30"/>
  <c r="AI20" i="30"/>
  <c r="CD24" i="30"/>
  <c r="T23" i="57"/>
  <c r="O13" i="30"/>
  <c r="BN26" i="57"/>
  <c r="U26" i="57"/>
  <c r="FB16" i="57"/>
  <c r="BE19" i="30"/>
  <c r="CD13" i="30"/>
  <c r="AG27" i="30"/>
  <c r="T15" i="57"/>
  <c r="BD20" i="30"/>
  <c r="BF20" i="30" s="1"/>
  <c r="AE18" i="30"/>
  <c r="F17" i="30"/>
  <c r="BC14" i="30"/>
  <c r="FE14" i="57"/>
  <c r="FD24" i="57"/>
  <c r="FE22" i="57"/>
  <c r="H26" i="30"/>
  <c r="FB20" i="57"/>
  <c r="O21" i="13"/>
  <c r="O24" i="30"/>
  <c r="DH25" i="57"/>
  <c r="O29" i="13"/>
  <c r="DG26" i="57"/>
  <c r="Q29" i="30"/>
  <c r="I24" i="30"/>
  <c r="AD27" i="30"/>
  <c r="BN22" i="57"/>
  <c r="AG22" i="30"/>
  <c r="J23" i="30"/>
  <c r="FD20" i="57"/>
  <c r="J14" i="30"/>
  <c r="AC27" i="30"/>
  <c r="AG29" i="30"/>
  <c r="CC12" i="30"/>
  <c r="I14" i="30"/>
  <c r="BN14" i="57"/>
  <c r="FE24" i="57"/>
  <c r="BE21" i="30"/>
  <c r="CF18" i="30"/>
  <c r="J22" i="30"/>
  <c r="CE28" i="30"/>
  <c r="FC22" i="57"/>
  <c r="BD22" i="30"/>
  <c r="BF22" i="30" s="1"/>
  <c r="FD15" i="57"/>
  <c r="F25" i="30"/>
  <c r="AE24" i="30"/>
  <c r="BH12" i="30"/>
  <c r="AE27" i="30"/>
  <c r="U29" i="57"/>
  <c r="FA28" i="57"/>
  <c r="O29" i="30"/>
  <c r="M17" i="30"/>
  <c r="CF20" i="30"/>
  <c r="DG24" i="57"/>
  <c r="AC17" i="30"/>
  <c r="O25" i="13"/>
  <c r="BH27" i="30"/>
  <c r="DG15" i="57"/>
  <c r="CE17" i="30"/>
  <c r="FE29" i="57"/>
  <c r="J24" i="30"/>
  <c r="AI24" i="30"/>
  <c r="DG28" i="57"/>
  <c r="G12" i="30"/>
  <c r="I21" i="30"/>
  <c r="FE16" i="57"/>
  <c r="FB23" i="57"/>
  <c r="O27" i="13"/>
  <c r="AI14" i="30"/>
  <c r="CE21" i="30"/>
  <c r="N32" i="13"/>
  <c r="BN18" i="57"/>
  <c r="FA17" i="57"/>
  <c r="G27" i="30"/>
  <c r="FB15" i="57"/>
  <c r="H29" i="30"/>
  <c r="CC22" i="30"/>
  <c r="BN21" i="57"/>
  <c r="N31" i="13"/>
  <c r="CC16" i="30"/>
  <c r="AC14" i="30"/>
  <c r="O22" i="13"/>
  <c r="AG13" i="30"/>
  <c r="AF29" i="30"/>
  <c r="AF27" i="30"/>
  <c r="BF29" i="30"/>
  <c r="CC13" i="30"/>
  <c r="O20" i="30"/>
  <c r="O12" i="30"/>
  <c r="CF16" i="30"/>
  <c r="O17" i="30"/>
  <c r="J17" i="30"/>
  <c r="BC28" i="30"/>
  <c r="T24" i="57"/>
  <c r="DG18" i="57"/>
  <c r="CC21" i="30"/>
  <c r="F22" i="30"/>
  <c r="DH24" i="57"/>
  <c r="FA21" i="57"/>
  <c r="BC15" i="30"/>
  <c r="AE15" i="30"/>
  <c r="CC19" i="30"/>
  <c r="AE23" i="30"/>
  <c r="AI15" i="30"/>
  <c r="AD21" i="30"/>
  <c r="FE27" i="57"/>
  <c r="BD27" i="30"/>
  <c r="R27" i="30"/>
  <c r="Q26" i="30"/>
  <c r="CE22" i="30"/>
  <c r="F24" i="30"/>
  <c r="BC24" i="30"/>
  <c r="O18" i="30"/>
  <c r="CD12" i="30"/>
  <c r="BE20" i="30"/>
  <c r="O14" i="30"/>
  <c r="BN27" i="57"/>
  <c r="G28" i="30"/>
  <c r="H19" i="30"/>
  <c r="FD21" i="57"/>
  <c r="FD22" i="57"/>
  <c r="F26" i="30"/>
  <c r="FC23" i="57"/>
  <c r="AI17" i="30"/>
  <c r="DG22" i="57"/>
  <c r="U21" i="57"/>
  <c r="U28" i="57"/>
  <c r="U18" i="57"/>
  <c r="BH25" i="30"/>
  <c r="AE16" i="30"/>
  <c r="CD26" i="30"/>
  <c r="H22" i="30"/>
  <c r="BC26" i="30"/>
  <c r="CC29" i="30"/>
  <c r="AE14" i="30"/>
  <c r="AD19" i="30"/>
  <c r="FE17" i="57"/>
  <c r="AE26" i="30"/>
  <c r="CE19" i="30"/>
  <c r="AE19" i="30"/>
  <c r="BG21" i="30"/>
  <c r="AI29" i="30"/>
  <c r="BE28" i="30"/>
  <c r="BH24" i="30"/>
  <c r="DH21" i="57"/>
  <c r="BH28" i="30"/>
  <c r="FB19" i="57"/>
  <c r="Q24" i="30"/>
  <c r="M27" i="30"/>
  <c r="BH13" i="30"/>
  <c r="F21" i="30"/>
  <c r="CD17" i="30"/>
  <c r="AD20" i="30"/>
  <c r="AF20" i="30" s="1"/>
  <c r="CC24" i="30"/>
  <c r="FA26" i="57"/>
  <c r="BE26" i="30"/>
  <c r="M29" i="30"/>
  <c r="FD27" i="57"/>
  <c r="CE15" i="30"/>
  <c r="BD28" i="30"/>
  <c r="BH16" i="30"/>
  <c r="AG17" i="30"/>
  <c r="AD22" i="30"/>
  <c r="DH16" i="57"/>
  <c r="F18" i="30"/>
  <c r="N28" i="13"/>
  <c r="BO24" i="57"/>
  <c r="R21" i="30"/>
  <c r="BE15" i="30"/>
  <c r="I12" i="30"/>
  <c r="FC15" i="57"/>
  <c r="AD26" i="30"/>
  <c r="AF26" i="30" s="1"/>
  <c r="N21" i="13"/>
  <c r="AC26" i="30"/>
  <c r="CC23" i="30"/>
  <c r="R23" i="30"/>
  <c r="DH29" i="57"/>
  <c r="FE13" i="57"/>
  <c r="G25" i="30"/>
  <c r="CF29" i="30"/>
  <c r="BD14" i="30"/>
  <c r="I15" i="30"/>
  <c r="FC13" i="57"/>
  <c r="N22" i="13"/>
  <c r="I29" i="30"/>
  <c r="U16" i="57"/>
  <c r="R18" i="30"/>
  <c r="J19" i="30"/>
  <c r="BG19" i="30"/>
  <c r="FC17" i="57"/>
  <c r="Q14" i="30"/>
  <c r="AE28" i="30"/>
  <c r="O23" i="30"/>
  <c r="BE14" i="30"/>
  <c r="F28" i="30"/>
  <c r="BN25" i="57"/>
  <c r="F23" i="30"/>
  <c r="BF26" i="30"/>
  <c r="AF19" i="30"/>
  <c r="AI16" i="30"/>
  <c r="CE18" i="30"/>
  <c r="M14" i="30"/>
  <c r="I26" i="30"/>
  <c r="CF12" i="30"/>
  <c r="FB22" i="57"/>
  <c r="FC19" i="57"/>
  <c r="I19" i="30"/>
  <c r="FC16" i="57"/>
  <c r="M25" i="30"/>
  <c r="BN15" i="57"/>
  <c r="T29" i="57"/>
  <c r="AC20" i="30"/>
  <c r="T22" i="57"/>
  <c r="O24" i="13"/>
  <c r="BH22" i="30"/>
  <c r="CD21" i="30"/>
  <c r="U24" i="57"/>
  <c r="CF17" i="30"/>
  <c r="AD18" i="30"/>
  <c r="AF18" i="30" s="1"/>
  <c r="CE20" i="30"/>
  <c r="G15" i="30"/>
  <c r="FB21" i="57"/>
  <c r="BN29" i="57"/>
  <c r="R15" i="30"/>
  <c r="BG16" i="30"/>
  <c r="FA29" i="57"/>
  <c r="DH14" i="57"/>
  <c r="CE26" i="30"/>
  <c r="AF21" i="30"/>
  <c r="FB26" i="57"/>
  <c r="BG12" i="30"/>
  <c r="AG16" i="30"/>
  <c r="F20" i="30"/>
  <c r="AI27" i="30"/>
  <c r="FE21" i="57"/>
  <c r="FA15" i="57"/>
  <c r="BO28" i="57"/>
  <c r="AI28" i="30"/>
  <c r="FB29" i="57"/>
  <c r="CE12" i="30"/>
  <c r="R28" i="30"/>
  <c r="J26" i="30"/>
  <c r="T14" i="57"/>
  <c r="FB13" i="57"/>
  <c r="BN17" i="57"/>
  <c r="BE25" i="30"/>
  <c r="CE29" i="30"/>
  <c r="FA24" i="57"/>
  <c r="FC20" i="57"/>
  <c r="FD23" i="57"/>
  <c r="FB27" i="57"/>
  <c r="G20" i="30"/>
  <c r="BG26" i="30"/>
  <c r="AI23" i="30"/>
  <c r="N30" i="13"/>
  <c r="FD18" i="57"/>
  <c r="AD13" i="30"/>
  <c r="O28" i="30"/>
  <c r="N24" i="13"/>
  <c r="FA19" i="57"/>
  <c r="Q25" i="30"/>
  <c r="BE17" i="30"/>
  <c r="BG27" i="30"/>
  <c r="BD18" i="30"/>
  <c r="BF18" i="30" s="1"/>
  <c r="M12" i="30"/>
  <c r="FD26" i="57"/>
  <c r="AC16" i="30"/>
  <c r="CD22" i="30"/>
  <c r="CC28" i="30"/>
  <c r="O19" i="30"/>
  <c r="T27" i="57"/>
  <c r="Q16" i="30"/>
  <c r="BD21" i="30"/>
  <c r="O30" i="13"/>
  <c r="BO18" i="57"/>
  <c r="M26" i="30"/>
  <c r="BO26" i="57"/>
  <c r="BN28" i="57"/>
  <c r="CC26" i="30"/>
  <c r="R26" i="30"/>
  <c r="AE25" i="30"/>
  <c r="CF28" i="30"/>
  <c r="AC28" i="30"/>
  <c r="BD12" i="30"/>
  <c r="BF12" i="30" s="1"/>
  <c r="O28" i="13"/>
  <c r="BO29" i="57"/>
  <c r="FA22" i="57"/>
  <c r="BC12" i="30"/>
  <c r="FA14" i="57"/>
  <c r="AC12" i="30"/>
  <c r="J15" i="30"/>
  <c r="BH17" i="30"/>
  <c r="G14" i="30"/>
  <c r="BC27" i="30"/>
  <c r="I16" i="30"/>
  <c r="Q27" i="30"/>
  <c r="M18" i="30"/>
  <c r="O31" i="13"/>
  <c r="F19" i="30"/>
  <c r="DH28" i="57"/>
  <c r="BD13" i="30"/>
  <c r="BF13" i="30" s="1"/>
  <c r="AI19" i="30"/>
  <c r="U25" i="57"/>
  <c r="Q23" i="30"/>
  <c r="BC23" i="30"/>
  <c r="FE19" i="57"/>
  <c r="BG24" i="30"/>
  <c r="O36" i="13"/>
  <c r="AF13" i="30"/>
  <c r="BF15" i="30"/>
  <c r="AF22" i="30"/>
  <c r="AF12" i="30"/>
  <c r="BH15" i="30"/>
  <c r="FE20" i="57"/>
  <c r="BN23" i="57"/>
  <c r="CE23" i="30"/>
  <c r="CF15" i="30"/>
  <c r="BG13" i="30"/>
  <c r="U14" i="57"/>
  <c r="BC21" i="30"/>
  <c r="BC18" i="30"/>
  <c r="N35" i="13"/>
  <c r="CF21" i="30"/>
  <c r="J12" i="30"/>
  <c r="DG13" i="57"/>
  <c r="CD16" i="30"/>
  <c r="U19" i="57"/>
  <c r="CE13" i="30"/>
  <c r="BF14" i="30"/>
  <c r="DG27" i="57"/>
  <c r="BO14" i="57"/>
  <c r="FB25" i="57"/>
  <c r="CD20" i="30"/>
  <c r="BD17" i="30"/>
  <c r="BF17" i="30" s="1"/>
  <c r="U27" i="57"/>
  <c r="BD19" i="30"/>
  <c r="BF19" i="30" s="1"/>
  <c r="FD19" i="57"/>
  <c r="CD19" i="30"/>
  <c r="O26" i="30"/>
  <c r="BG17" i="30"/>
  <c r="FC29" i="57"/>
  <c r="BD25" i="30"/>
  <c r="BF25" i="30" s="1"/>
  <c r="BC22" i="30"/>
  <c r="J21" i="30"/>
  <c r="BG22" i="30"/>
  <c r="FA20" i="57"/>
  <c r="J25" i="30"/>
  <c r="AC15" i="30"/>
  <c r="FB28" i="57"/>
  <c r="N33" i="13"/>
  <c r="DH20" i="57"/>
  <c r="T17" i="57"/>
  <c r="G23" i="30"/>
  <c r="M15" i="30"/>
  <c r="R20" i="30"/>
  <c r="O22" i="30"/>
  <c r="H16" i="30"/>
  <c r="DH26" i="57"/>
  <c r="DG29" i="57"/>
  <c r="BH20" i="30"/>
  <c r="M16" i="30"/>
  <c r="BG20" i="30"/>
  <c r="DG19" i="57"/>
  <c r="BG25" i="30"/>
  <c r="AD23" i="30"/>
  <c r="BH23" i="30"/>
  <c r="FA13" i="57"/>
  <c r="AG14" i="30"/>
  <c r="AG15" i="30"/>
  <c r="M21" i="30"/>
  <c r="DH23" i="57"/>
  <c r="U22" i="57"/>
  <c r="DG21" i="57"/>
  <c r="AC19" i="30"/>
  <c r="BE12" i="30"/>
  <c r="AI18" i="30"/>
  <c r="AI12" i="30"/>
  <c r="BO20" i="57"/>
  <c r="FE25" i="57"/>
  <c r="CC27" i="30"/>
  <c r="DG25" i="57"/>
  <c r="BH19" i="30"/>
  <c r="T19" i="57"/>
  <c r="DG20" i="57"/>
  <c r="BN16" i="57"/>
  <c r="AE29" i="30"/>
  <c r="F15" i="30"/>
  <c r="G17" i="30"/>
  <c r="AE17" i="30"/>
  <c r="AC23" i="30"/>
  <c r="FA27" i="57"/>
  <c r="Q13" i="30"/>
  <c r="AC21" i="30"/>
  <c r="CC18" i="30"/>
  <c r="FD25" i="57"/>
  <c r="CD25" i="30"/>
  <c r="DH13" i="57"/>
  <c r="U15" i="57"/>
  <c r="AE20" i="30"/>
  <c r="AE13" i="30"/>
  <c r="CE24" i="30"/>
  <c r="AG28" i="30"/>
  <c r="N36" i="13"/>
  <c r="AD15" i="30"/>
  <c r="AF15" i="30" s="1"/>
  <c r="T13" i="57"/>
  <c r="J27" i="30"/>
  <c r="AG25" i="30"/>
  <c r="CF24" i="30"/>
  <c r="DG23" i="57"/>
  <c r="AI25" i="30"/>
  <c r="AC25" i="30"/>
  <c r="I28" i="30"/>
  <c r="AI21" i="30"/>
  <c r="O37" i="13"/>
  <c r="H17" i="30"/>
  <c r="BD16" i="30"/>
  <c r="BF16" i="30" s="1"/>
  <c r="BD24" i="30"/>
  <c r="BF24" i="30" s="1"/>
  <c r="M22" i="30"/>
  <c r="AC29" i="30"/>
  <c r="BF27" i="30"/>
  <c r="BF28" i="30"/>
  <c r="BF21" i="30"/>
  <c r="AF28" i="30"/>
  <c r="CC17" i="30"/>
  <c r="AD24" i="30"/>
  <c r="AF24" i="30" s="1"/>
  <c r="G19" i="30"/>
  <c r="BN20" i="57"/>
  <c r="O26" i="13"/>
  <c r="G22" i="30"/>
  <c r="F16" i="30"/>
  <c r="FE15" i="57"/>
  <c r="AI26" i="30"/>
  <c r="BO21" i="57"/>
  <c r="U23" i="57"/>
  <c r="BC13" i="30"/>
  <c r="BH14" i="30"/>
  <c r="U17" i="57"/>
  <c r="BD23" i="30"/>
  <c r="BF23" i="30" s="1"/>
  <c r="AD25" i="30"/>
  <c r="AF25" i="30" s="1"/>
  <c r="AC18" i="30"/>
  <c r="DG17" i="57"/>
  <c r="N37" i="13"/>
  <c r="G29" i="30"/>
  <c r="FD28" i="57"/>
  <c r="J20" i="30"/>
  <c r="O34" i="13"/>
  <c r="M24" i="30"/>
  <c r="CC14" i="30"/>
  <c r="FA18" i="57"/>
  <c r="CC20" i="30"/>
  <c r="H23" i="30"/>
  <c r="I17" i="30"/>
  <c r="AF23" i="30"/>
  <c r="N38" i="13" l="1" a="1"/>
  <c r="N38" i="13" s="1"/>
  <c r="BL18" i="30"/>
  <c r="BR18" i="57" s="1"/>
  <c r="AH18" i="30"/>
  <c r="AB18" i="57" s="1"/>
  <c r="CG18" i="30"/>
  <c r="AM25" i="57"/>
  <c r="V47" i="57"/>
  <c r="BL25" i="57"/>
  <c r="BJ25" i="57"/>
  <c r="AW25" i="57"/>
  <c r="BE25" i="57"/>
  <c r="AA47" i="57"/>
  <c r="X47" i="57"/>
  <c r="AG25" i="57"/>
  <c r="AU25" i="30"/>
  <c r="AT25" i="30"/>
  <c r="W47" i="57"/>
  <c r="BA25" i="57"/>
  <c r="Z51" i="57"/>
  <c r="Y51" i="57"/>
  <c r="P66" i="57"/>
  <c r="O66" i="57"/>
  <c r="AB23" i="30"/>
  <c r="R66" i="57"/>
  <c r="G66" i="57"/>
  <c r="I66" i="57"/>
  <c r="CK23" i="30"/>
  <c r="J66" i="57"/>
  <c r="H66" i="57"/>
  <c r="AX13" i="57"/>
  <c r="BC13" i="57"/>
  <c r="BB13" i="57"/>
  <c r="AZ13" i="57"/>
  <c r="AY13" i="57"/>
  <c r="BD13" i="57"/>
  <c r="BC21" i="57"/>
  <c r="AX21" i="57"/>
  <c r="AY21" i="57"/>
  <c r="BB21" i="57"/>
  <c r="BD21" i="57"/>
  <c r="AZ21" i="57"/>
  <c r="AU22" i="57"/>
  <c r="AV22" i="57"/>
  <c r="AT22" i="57"/>
  <c r="U22" i="30"/>
  <c r="CS24" i="57"/>
  <c r="CX24" i="57"/>
  <c r="CT24" i="57"/>
  <c r="CV24" i="57"/>
  <c r="CR24" i="57"/>
  <c r="CW24" i="57"/>
  <c r="CO25" i="57"/>
  <c r="CP25" i="57"/>
  <c r="CN25" i="57"/>
  <c r="EP25" i="57"/>
  <c r="EO25" i="57"/>
  <c r="EM25" i="57"/>
  <c r="EQ25" i="57"/>
  <c r="EL25" i="57"/>
  <c r="EK25" i="57"/>
  <c r="EY26" i="57"/>
  <c r="DL41" i="57"/>
  <c r="DM41" i="57"/>
  <c r="DD24" i="57"/>
  <c r="CG24" i="57"/>
  <c r="CA24" i="57"/>
  <c r="BR46" i="57"/>
  <c r="CU24" i="57"/>
  <c r="DE24" i="57"/>
  <c r="BU24" i="30"/>
  <c r="BQ46" i="57"/>
  <c r="CQ24" i="57"/>
  <c r="BU46" i="57"/>
  <c r="CY24" i="57"/>
  <c r="BP46" i="57"/>
  <c r="BT24" i="30"/>
  <c r="J71" i="57"/>
  <c r="G71" i="57"/>
  <c r="P71" i="57"/>
  <c r="I71" i="57"/>
  <c r="AB28" i="30"/>
  <c r="CK28" i="30"/>
  <c r="H71" i="57"/>
  <c r="O71" i="57"/>
  <c r="R71" i="57"/>
  <c r="Z36" i="57"/>
  <c r="Y36" i="57"/>
  <c r="U20" i="30"/>
  <c r="E20" i="57" s="1"/>
  <c r="EY13" i="57"/>
  <c r="R56" i="57" s="1"/>
  <c r="CQ16" i="57"/>
  <c r="DE16" i="57"/>
  <c r="CU16" i="57"/>
  <c r="CY16" i="57"/>
  <c r="BT16" i="30"/>
  <c r="BU16" i="30"/>
  <c r="BT45" i="57"/>
  <c r="BS45" i="57"/>
  <c r="DM38" i="57"/>
  <c r="DL38" i="57"/>
  <c r="P23" i="30"/>
  <c r="L23" i="30"/>
  <c r="CX17" i="57"/>
  <c r="CR17" i="57"/>
  <c r="CV17" i="57"/>
  <c r="CT17" i="57"/>
  <c r="CS17" i="57"/>
  <c r="CW17" i="57"/>
  <c r="W15" i="30"/>
  <c r="AH17" i="30"/>
  <c r="AH17" i="57" s="1"/>
  <c r="BL17" i="30"/>
  <c r="BV17" i="57" s="1"/>
  <c r="CG17" i="30"/>
  <c r="W23" i="30"/>
  <c r="F23" i="57" s="1"/>
  <c r="P20" i="30"/>
  <c r="L20" i="30"/>
  <c r="P17" i="30"/>
  <c r="L17" i="30"/>
  <c r="CN21" i="57"/>
  <c r="CO21" i="57"/>
  <c r="CP21" i="57"/>
  <c r="AU20" i="57"/>
  <c r="AT20" i="57"/>
  <c r="AV20" i="57"/>
  <c r="DL47" i="57"/>
  <c r="DM47" i="57"/>
  <c r="Z42" i="57"/>
  <c r="Y42" i="57"/>
  <c r="AK21" i="30"/>
  <c r="AJ21" i="30"/>
  <c r="AL21" i="30"/>
  <c r="BM21" i="57" s="1"/>
  <c r="AL19" i="30"/>
  <c r="BM19" i="57" s="1"/>
  <c r="AK19" i="30"/>
  <c r="AJ19" i="30"/>
  <c r="DL44" i="57"/>
  <c r="DM44" i="57"/>
  <c r="CR18" i="57"/>
  <c r="CT18" i="57"/>
  <c r="CW18" i="57"/>
  <c r="CX18" i="57"/>
  <c r="CS18" i="57"/>
  <c r="CV18" i="57"/>
  <c r="L28" i="30"/>
  <c r="P28" i="30"/>
  <c r="CA13" i="57"/>
  <c r="CU13" i="57"/>
  <c r="BT13" i="30"/>
  <c r="BU13" i="30"/>
  <c r="CY13" i="57"/>
  <c r="DE13" i="57"/>
  <c r="CG13" i="57"/>
  <c r="AH29" i="30"/>
  <c r="AA29" i="57" s="1"/>
  <c r="BL29" i="30"/>
  <c r="DB29" i="57" s="1"/>
  <c r="CG29" i="30"/>
  <c r="ET29" i="57" s="1"/>
  <c r="DS29" i="57" s="1"/>
  <c r="CS15" i="57"/>
  <c r="CV15" i="57"/>
  <c r="CX15" i="57"/>
  <c r="CT15" i="57"/>
  <c r="CR15" i="57"/>
  <c r="CW15" i="57"/>
  <c r="AK13" i="30"/>
  <c r="AL13" i="30"/>
  <c r="BM13" i="57" s="1"/>
  <c r="AJ13" i="30"/>
  <c r="CG23" i="30"/>
  <c r="BL23" i="30"/>
  <c r="BX23" i="57" s="1"/>
  <c r="AH23" i="30"/>
  <c r="AB23" i="57" s="1"/>
  <c r="BU23" i="30"/>
  <c r="CG23" i="57"/>
  <c r="CQ23" i="57"/>
  <c r="BU45" i="57"/>
  <c r="BP45" i="57"/>
  <c r="BT23" i="30"/>
  <c r="CA23" i="57"/>
  <c r="BR45" i="57"/>
  <c r="DE23" i="57"/>
  <c r="CU23" i="57"/>
  <c r="DD23" i="57"/>
  <c r="BQ45" i="57"/>
  <c r="CY23" i="57"/>
  <c r="Z47" i="57"/>
  <c r="Y47" i="57"/>
  <c r="CS19" i="57"/>
  <c r="CT19" i="57"/>
  <c r="CW19" i="57"/>
  <c r="CR19" i="57"/>
  <c r="CX19" i="57"/>
  <c r="CV19" i="57"/>
  <c r="AH27" i="30"/>
  <c r="CG27" i="30"/>
  <c r="ES27" i="57" s="1"/>
  <c r="DK27" i="57" s="1"/>
  <c r="BL27" i="30"/>
  <c r="BR27" i="57" s="1"/>
  <c r="W26" i="30"/>
  <c r="AL25" i="30"/>
  <c r="BM25" i="57" s="1"/>
  <c r="AK25" i="30"/>
  <c r="AJ25" i="30"/>
  <c r="I62" i="57"/>
  <c r="J62" i="57"/>
  <c r="P62" i="57"/>
  <c r="CK19" i="30"/>
  <c r="O62" i="57"/>
  <c r="AB19" i="30"/>
  <c r="G62" i="57"/>
  <c r="R62" i="57"/>
  <c r="H62" i="57"/>
  <c r="K19" i="30"/>
  <c r="N19" i="30"/>
  <c r="EW18" i="57"/>
  <c r="DJ40" i="57"/>
  <c r="DP40" i="57" s="1"/>
  <c r="DK40" i="57"/>
  <c r="DN40" i="57"/>
  <c r="DR40" i="57" s="1"/>
  <c r="EN18" i="57"/>
  <c r="DI40" i="57"/>
  <c r="DO40" i="57" s="1"/>
  <c r="EX18" i="57"/>
  <c r="EZ18" i="57" s="1"/>
  <c r="ER18" i="57"/>
  <c r="CH18" i="30"/>
  <c r="CI18" i="30" s="1"/>
  <c r="CJ18" i="30" s="1"/>
  <c r="EJ18" i="57"/>
  <c r="CP27" i="57"/>
  <c r="CO27" i="57"/>
  <c r="CN27" i="57"/>
  <c r="AU29" i="57"/>
  <c r="AV29" i="57"/>
  <c r="AT29" i="57"/>
  <c r="EI23" i="57"/>
  <c r="EG23" i="57"/>
  <c r="EH23" i="57"/>
  <c r="AZ24" i="57"/>
  <c r="BD24" i="57"/>
  <c r="AY24" i="57"/>
  <c r="BB24" i="57"/>
  <c r="BC24" i="57"/>
  <c r="AX24" i="57"/>
  <c r="CN19" i="57"/>
  <c r="CP19" i="57"/>
  <c r="CO19" i="57"/>
  <c r="L13" i="30"/>
  <c r="P13" i="30"/>
  <c r="EP24" i="57"/>
  <c r="EO24" i="57"/>
  <c r="EM24" i="57"/>
  <c r="EQ24" i="57"/>
  <c r="EK24" i="57"/>
  <c r="EL24" i="57"/>
  <c r="U18" i="30"/>
  <c r="CO18" i="57"/>
  <c r="CP18" i="57"/>
  <c r="CN18" i="57"/>
  <c r="AB27" i="30"/>
  <c r="R72" i="57"/>
  <c r="AB29" i="30"/>
  <c r="J72" i="57"/>
  <c r="CK29" i="30"/>
  <c r="H72" i="57"/>
  <c r="O72" i="57"/>
  <c r="I72" i="57"/>
  <c r="P72" i="57"/>
  <c r="G72" i="57"/>
  <c r="BD25" i="57"/>
  <c r="AZ25" i="57"/>
  <c r="BC25" i="57"/>
  <c r="AY25" i="57"/>
  <c r="AX25" i="57"/>
  <c r="BB25" i="57"/>
  <c r="L29" i="30"/>
  <c r="P29" i="30"/>
  <c r="CP26" i="57"/>
  <c r="CO26" i="57"/>
  <c r="CN26" i="57"/>
  <c r="K27" i="30"/>
  <c r="N27" i="30"/>
  <c r="P16" i="30"/>
  <c r="L16" i="30"/>
  <c r="EY21" i="57"/>
  <c r="AT16" i="30"/>
  <c r="AA38" i="57"/>
  <c r="BA16" i="57"/>
  <c r="BJ16" i="57"/>
  <c r="AG16" i="57"/>
  <c r="BL16" i="57"/>
  <c r="AW16" i="57"/>
  <c r="BE16" i="57"/>
  <c r="AM16" i="57"/>
  <c r="AU16" i="30"/>
  <c r="W14" i="30"/>
  <c r="EJ16" i="57"/>
  <c r="DN38" i="57"/>
  <c r="DR38" i="57" s="1"/>
  <c r="DI38" i="57"/>
  <c r="DO38" i="57" s="1"/>
  <c r="EW16" i="57"/>
  <c r="DJ38" i="57"/>
  <c r="DP38" i="57" s="1"/>
  <c r="EN16" i="57"/>
  <c r="CH16" i="30"/>
  <c r="CI16" i="30" s="1"/>
  <c r="CJ16" i="30" s="1"/>
  <c r="EX16" i="57"/>
  <c r="EZ16" i="57" s="1"/>
  <c r="ER16" i="57"/>
  <c r="DK38" i="57"/>
  <c r="BS49" i="57"/>
  <c r="BT49" i="57"/>
  <c r="AK14" i="30"/>
  <c r="AL14" i="30"/>
  <c r="BM14" i="57" s="1"/>
  <c r="AJ14" i="30"/>
  <c r="CV23" i="57"/>
  <c r="CW23" i="57"/>
  <c r="CX23" i="57"/>
  <c r="CS23" i="57"/>
  <c r="CT23" i="57"/>
  <c r="CR23" i="57"/>
  <c r="ER19" i="57"/>
  <c r="DI41" i="57"/>
  <c r="DO41" i="57" s="1"/>
  <c r="EW19" i="57"/>
  <c r="DK41" i="57"/>
  <c r="DN41" i="57"/>
  <c r="DR41" i="57" s="1"/>
  <c r="EX19" i="57"/>
  <c r="EZ19" i="57" s="1"/>
  <c r="EJ19" i="57"/>
  <c r="CH19" i="30"/>
  <c r="CI19" i="30" s="1"/>
  <c r="CJ19" i="30" s="1"/>
  <c r="DJ41" i="57"/>
  <c r="DP41" i="57" s="1"/>
  <c r="EN19" i="57"/>
  <c r="O57" i="57"/>
  <c r="R57" i="57"/>
  <c r="CK14" i="30"/>
  <c r="AB14" i="30"/>
  <c r="BE15" i="57"/>
  <c r="AG15" i="57"/>
  <c r="AW15" i="57"/>
  <c r="BL15" i="57"/>
  <c r="BJ15" i="57"/>
  <c r="AM15" i="57"/>
  <c r="AA37" i="57"/>
  <c r="BA15" i="57"/>
  <c r="P15" i="30"/>
  <c r="L15" i="30"/>
  <c r="CR16" i="57"/>
  <c r="CS16" i="57"/>
  <c r="CW16" i="57"/>
  <c r="CV16" i="57"/>
  <c r="CX16" i="57"/>
  <c r="CT16" i="57"/>
  <c r="CO15" i="57"/>
  <c r="CP15" i="57"/>
  <c r="CN15" i="57"/>
  <c r="BJ17" i="30"/>
  <c r="BI17" i="30"/>
  <c r="BK17" i="30"/>
  <c r="DF17" i="57" s="1"/>
  <c r="BU14" i="30"/>
  <c r="DE14" i="57"/>
  <c r="BT14" i="30"/>
  <c r="CU14" i="57"/>
  <c r="CY14" i="57"/>
  <c r="CA14" i="57"/>
  <c r="BU36" i="57" s="1"/>
  <c r="CG14" i="57"/>
  <c r="CX14" i="57"/>
  <c r="CT14" i="57"/>
  <c r="CV14" i="57"/>
  <c r="CS14" i="57"/>
  <c r="CR14" i="57"/>
  <c r="CW14" i="57"/>
  <c r="BJ14" i="30"/>
  <c r="DD14" i="57" s="1"/>
  <c r="BI14" i="30"/>
  <c r="BK14" i="30"/>
  <c r="DF14" i="57" s="1"/>
  <c r="AZ28" i="57"/>
  <c r="BC28" i="57"/>
  <c r="AY28" i="57"/>
  <c r="BD28" i="57"/>
  <c r="AX28" i="57"/>
  <c r="BB28" i="57"/>
  <c r="N15" i="30"/>
  <c r="K15" i="30"/>
  <c r="EL29" i="57"/>
  <c r="EM29" i="57"/>
  <c r="EO29" i="57"/>
  <c r="EP29" i="57"/>
  <c r="EQ29" i="57"/>
  <c r="EK29" i="57"/>
  <c r="W25" i="30"/>
  <c r="CU26" i="57"/>
  <c r="CA26" i="57"/>
  <c r="DE26" i="57"/>
  <c r="DD26" i="57"/>
  <c r="CY26" i="57"/>
  <c r="CG26" i="57"/>
  <c r="BQ48" i="57"/>
  <c r="BU26" i="30"/>
  <c r="BP48" i="57"/>
  <c r="CQ26" i="57"/>
  <c r="BU48" i="57"/>
  <c r="BR48" i="57"/>
  <c r="BT26" i="30"/>
  <c r="DM42" i="57"/>
  <c r="DL42" i="57"/>
  <c r="EY24" i="57"/>
  <c r="L21" i="30"/>
  <c r="P21" i="30"/>
  <c r="W16" i="30"/>
  <c r="EM19" i="57"/>
  <c r="EK19" i="57"/>
  <c r="EO19" i="57"/>
  <c r="EL19" i="57"/>
  <c r="EP19" i="57"/>
  <c r="EQ19" i="57"/>
  <c r="AK22" i="30"/>
  <c r="AL22" i="30"/>
  <c r="BM22" i="57" s="1"/>
  <c r="AJ22" i="30"/>
  <c r="K83" i="102"/>
  <c r="K83" i="100"/>
  <c r="R83" i="103"/>
  <c r="H83" i="103"/>
  <c r="H85" i="103" s="1"/>
  <c r="R83" i="102"/>
  <c r="R83" i="101"/>
  <c r="R83" i="100"/>
  <c r="K83" i="104"/>
  <c r="H83" i="104"/>
  <c r="K83" i="101"/>
  <c r="H83" i="101"/>
  <c r="H83" i="102"/>
  <c r="H85" i="102" s="1"/>
  <c r="R83" i="104"/>
  <c r="K83" i="103"/>
  <c r="H83" i="100"/>
  <c r="EI28" i="57"/>
  <c r="EG28" i="57"/>
  <c r="EH28" i="57"/>
  <c r="AH20" i="30"/>
  <c r="AL20" i="57" s="1"/>
  <c r="BL20" i="30"/>
  <c r="CF20" i="57" s="1"/>
  <c r="CG20" i="30"/>
  <c r="ES20" i="57" s="1"/>
  <c r="AU28" i="57"/>
  <c r="AV28" i="57"/>
  <c r="AT28" i="57"/>
  <c r="AJ24" i="30"/>
  <c r="AL24" i="30"/>
  <c r="BM24" i="57" s="1"/>
  <c r="AK24" i="30"/>
  <c r="AU21" i="57"/>
  <c r="AV21" i="57"/>
  <c r="AT21" i="57"/>
  <c r="W18" i="30"/>
  <c r="BS35" i="57"/>
  <c r="BT35" i="57"/>
  <c r="DM45" i="57"/>
  <c r="DL45" i="57"/>
  <c r="K24" i="30"/>
  <c r="N24" i="30"/>
  <c r="U25" i="30"/>
  <c r="EW25" i="57"/>
  <c r="EJ25" i="57"/>
  <c r="DI47" i="57"/>
  <c r="DO47" i="57" s="1"/>
  <c r="DK47" i="57"/>
  <c r="EN25" i="57"/>
  <c r="CH25" i="30"/>
  <c r="CI25" i="30" s="1"/>
  <c r="CJ25" i="30" s="1"/>
  <c r="DN47" i="57"/>
  <c r="DR47" i="57" s="1"/>
  <c r="EX25" i="57"/>
  <c r="EZ25" i="57" s="1"/>
  <c r="DJ47" i="57"/>
  <c r="DP47" i="57" s="1"/>
  <c r="ER25" i="57"/>
  <c r="Y48" i="57"/>
  <c r="Z48" i="57"/>
  <c r="AT25" i="57"/>
  <c r="AV25" i="57"/>
  <c r="AU25" i="57"/>
  <c r="Y35" i="57"/>
  <c r="Z35" i="57"/>
  <c r="CN29" i="57"/>
  <c r="CP29" i="57"/>
  <c r="CO29" i="57"/>
  <c r="BT12" i="30"/>
  <c r="BU12" i="30"/>
  <c r="EY17" i="57"/>
  <c r="W13" i="30"/>
  <c r="DM40" i="57"/>
  <c r="DL40" i="57"/>
  <c r="Z50" i="57"/>
  <c r="Y50" i="57"/>
  <c r="BJ26" i="57"/>
  <c r="AA48" i="57"/>
  <c r="V48" i="57"/>
  <c r="AW26" i="57"/>
  <c r="BE26" i="57"/>
  <c r="AM26" i="57"/>
  <c r="BL26" i="57"/>
  <c r="AU26" i="30"/>
  <c r="BA26" i="57"/>
  <c r="X48" i="57"/>
  <c r="W48" i="57"/>
  <c r="AT26" i="30"/>
  <c r="AG26" i="57"/>
  <c r="EI15" i="57"/>
  <c r="EH15" i="57"/>
  <c r="EG15" i="57"/>
  <c r="EY27" i="57"/>
  <c r="EW29" i="57"/>
  <c r="DK51" i="57"/>
  <c r="EN29" i="57"/>
  <c r="DJ51" i="57"/>
  <c r="DP51" i="57" s="1"/>
  <c r="EX29" i="57"/>
  <c r="EZ29" i="57" s="1"/>
  <c r="DN51" i="57"/>
  <c r="DR51" i="57" s="1"/>
  <c r="CH29" i="30"/>
  <c r="CI29" i="30" s="1"/>
  <c r="CJ29" i="30" s="1"/>
  <c r="ER29" i="57"/>
  <c r="DI51" i="57"/>
  <c r="DO51" i="57" s="1"/>
  <c r="EJ29" i="57"/>
  <c r="Z43" i="57"/>
  <c r="Y43" i="57"/>
  <c r="EP28" i="57"/>
  <c r="EK28" i="57"/>
  <c r="EQ28" i="57"/>
  <c r="EM28" i="57"/>
  <c r="EL28" i="57"/>
  <c r="EO28" i="57"/>
  <c r="BJ27" i="30"/>
  <c r="BK27" i="30"/>
  <c r="DF27" i="57" s="1"/>
  <c r="R70" i="57" s="1"/>
  <c r="BI27" i="30"/>
  <c r="BD20" i="57"/>
  <c r="BB20" i="57"/>
  <c r="BC20" i="57"/>
  <c r="AZ20" i="57"/>
  <c r="AX20" i="57"/>
  <c r="AY20" i="57"/>
  <c r="EY14" i="57"/>
  <c r="BT46" i="57"/>
  <c r="BS46" i="57"/>
  <c r="Y39" i="57"/>
  <c r="Z39" i="57"/>
  <c r="BC23" i="57"/>
  <c r="BD23" i="57"/>
  <c r="AX23" i="57"/>
  <c r="AY23" i="57"/>
  <c r="BB23" i="57"/>
  <c r="AZ23" i="57"/>
  <c r="BJ18" i="30"/>
  <c r="BI18" i="30"/>
  <c r="BK18" i="30"/>
  <c r="DF18" i="57" s="1"/>
  <c r="DL36" i="57"/>
  <c r="DM36" i="57"/>
  <c r="AB22" i="30"/>
  <c r="H65" i="57"/>
  <c r="CK22" i="30"/>
  <c r="P65" i="57"/>
  <c r="I65" i="57"/>
  <c r="O65" i="57"/>
  <c r="J65" i="57"/>
  <c r="R65" i="57"/>
  <c r="G65" i="57"/>
  <c r="Z45" i="57"/>
  <c r="Y45" i="57"/>
  <c r="DM48" i="57"/>
  <c r="DL48" i="57"/>
  <c r="EG24" i="57"/>
  <c r="EI24" i="57"/>
  <c r="EH24" i="57"/>
  <c r="K16" i="30"/>
  <c r="N16" i="30"/>
  <c r="EO21" i="57"/>
  <c r="EM21" i="57"/>
  <c r="EP21" i="57"/>
  <c r="EL21" i="57"/>
  <c r="EQ21" i="57"/>
  <c r="EK21" i="57"/>
  <c r="CN28" i="57"/>
  <c r="CO28" i="57"/>
  <c r="CP28" i="57"/>
  <c r="EP20" i="57"/>
  <c r="EL20" i="57"/>
  <c r="EO20" i="57"/>
  <c r="EK20" i="57"/>
  <c r="EM20" i="57"/>
  <c r="EQ20" i="57"/>
  <c r="DL37" i="57"/>
  <c r="DM37" i="57"/>
  <c r="L25" i="30"/>
  <c r="P25" i="30"/>
  <c r="V50" i="57"/>
  <c r="BJ28" i="57"/>
  <c r="AM28" i="57"/>
  <c r="BE28" i="57"/>
  <c r="AU28" i="30"/>
  <c r="BL28" i="57"/>
  <c r="BA28" i="57"/>
  <c r="AT28" i="30"/>
  <c r="AG28" i="57"/>
  <c r="W50" i="57"/>
  <c r="X50" i="57"/>
  <c r="AW28" i="57"/>
  <c r="AA50" i="57"/>
  <c r="U17" i="30"/>
  <c r="N29" i="30"/>
  <c r="K29" i="30"/>
  <c r="DE19" i="57"/>
  <c r="BQ41" i="57"/>
  <c r="CQ19" i="57"/>
  <c r="BU19" i="30"/>
  <c r="CG19" i="57"/>
  <c r="CA19" i="57"/>
  <c r="CU19" i="57"/>
  <c r="BU41" i="57"/>
  <c r="CY19" i="57"/>
  <c r="BT19" i="30"/>
  <c r="BP41" i="57"/>
  <c r="DD19" i="57"/>
  <c r="BR41" i="57"/>
  <c r="AB15" i="30"/>
  <c r="U26" i="30"/>
  <c r="W29" i="30"/>
  <c r="BS51" i="57"/>
  <c r="BT51" i="57"/>
  <c r="AU23" i="57"/>
  <c r="AV23" i="57"/>
  <c r="AT23" i="57"/>
  <c r="AY26" i="57"/>
  <c r="AZ26" i="57"/>
  <c r="BB26" i="57"/>
  <c r="BD26" i="57"/>
  <c r="BC26" i="57"/>
  <c r="AX26" i="57"/>
  <c r="H67" i="57"/>
  <c r="P67" i="57"/>
  <c r="O67" i="57"/>
  <c r="CK24" i="30"/>
  <c r="R67" i="57"/>
  <c r="AB24" i="30"/>
  <c r="I67" i="57"/>
  <c r="J67" i="57"/>
  <c r="G67" i="57"/>
  <c r="BK29" i="30"/>
  <c r="DF29" i="57" s="1"/>
  <c r="BJ29" i="30"/>
  <c r="BI29" i="30"/>
  <c r="CO16" i="57"/>
  <c r="CN16" i="57"/>
  <c r="CP16" i="57"/>
  <c r="BE22" i="57"/>
  <c r="AW22" i="57"/>
  <c r="AM22" i="57"/>
  <c r="BJ22" i="57"/>
  <c r="W44" i="57"/>
  <c r="AA44" i="57"/>
  <c r="BL22" i="57"/>
  <c r="AT22" i="30"/>
  <c r="X44" i="57"/>
  <c r="V44" i="57"/>
  <c r="BA22" i="57"/>
  <c r="AU22" i="30"/>
  <c r="AG22" i="57"/>
  <c r="CY29" i="57"/>
  <c r="CG29" i="57"/>
  <c r="DD29" i="57"/>
  <c r="BU51" i="57"/>
  <c r="DE29" i="57"/>
  <c r="CU29" i="57"/>
  <c r="BU29" i="30"/>
  <c r="BP51" i="57"/>
  <c r="BR51" i="57"/>
  <c r="CQ29" i="57"/>
  <c r="CA29" i="57"/>
  <c r="BQ51" i="57"/>
  <c r="BT29" i="30"/>
  <c r="BT40" i="57"/>
  <c r="BS40" i="57"/>
  <c r="EG20" i="57"/>
  <c r="EH20" i="57"/>
  <c r="EI20" i="57"/>
  <c r="CG21" i="57"/>
  <c r="BU21" i="30"/>
  <c r="CY21" i="57"/>
  <c r="DD21" i="57"/>
  <c r="CQ21" i="57"/>
  <c r="CU21" i="57"/>
  <c r="BQ43" i="57"/>
  <c r="BU43" i="57"/>
  <c r="BT21" i="30"/>
  <c r="BP43" i="57"/>
  <c r="DE21" i="57"/>
  <c r="BR43" i="57"/>
  <c r="CA21" i="57"/>
  <c r="BC17" i="57"/>
  <c r="AZ17" i="57"/>
  <c r="BD17" i="57"/>
  <c r="BB17" i="57"/>
  <c r="AX17" i="57"/>
  <c r="AY17" i="57"/>
  <c r="AM14" i="57"/>
  <c r="BA14" i="57"/>
  <c r="AA36" i="57"/>
  <c r="AT14" i="30"/>
  <c r="BJ14" i="57"/>
  <c r="BL14" i="57"/>
  <c r="AG14" i="57"/>
  <c r="BE14" i="57"/>
  <c r="AU14" i="30"/>
  <c r="U28" i="30"/>
  <c r="U24" i="30"/>
  <c r="CG25" i="30"/>
  <c r="BL25" i="30"/>
  <c r="DB25" i="57" s="1"/>
  <c r="AH25" i="30"/>
  <c r="AN25" i="30" s="1"/>
  <c r="AU19" i="57"/>
  <c r="AV19" i="57"/>
  <c r="AT19" i="57"/>
  <c r="BI16" i="30"/>
  <c r="CS29" i="57"/>
  <c r="CW29" i="57"/>
  <c r="CT29" i="57"/>
  <c r="CV29" i="57"/>
  <c r="CX29" i="57"/>
  <c r="CR29" i="57"/>
  <c r="BI19" i="30"/>
  <c r="BK19" i="30"/>
  <c r="DF19" i="57" s="1"/>
  <c r="BJ19" i="30"/>
  <c r="AT27" i="57"/>
  <c r="AV27" i="57"/>
  <c r="AU27" i="57"/>
  <c r="BP50" i="57"/>
  <c r="DD28" i="57"/>
  <c r="BU50" i="57"/>
  <c r="BQ50" i="57"/>
  <c r="BT28" i="30"/>
  <c r="DE28" i="57"/>
  <c r="CQ28" i="57"/>
  <c r="CG28" i="57"/>
  <c r="BU28" i="30"/>
  <c r="CU28" i="57"/>
  <c r="CY28" i="57"/>
  <c r="CA28" i="57"/>
  <c r="BR50" i="57"/>
  <c r="CH27" i="30"/>
  <c r="CI27" i="30" s="1"/>
  <c r="CJ27" i="30" s="1"/>
  <c r="DN49" i="57"/>
  <c r="DR49" i="57" s="1"/>
  <c r="EW27" i="57"/>
  <c r="DK49" i="57"/>
  <c r="DI49" i="57"/>
  <c r="DO49" i="57" s="1"/>
  <c r="EN27" i="57"/>
  <c r="DJ49" i="57"/>
  <c r="DP49" i="57" s="1"/>
  <c r="ER27" i="57"/>
  <c r="EJ27" i="57"/>
  <c r="EX27" i="57"/>
  <c r="EZ27" i="57" s="1"/>
  <c r="DJ46" i="57"/>
  <c r="DP46" i="57" s="1"/>
  <c r="CH24" i="30"/>
  <c r="CI24" i="30" s="1"/>
  <c r="CJ24" i="30" s="1"/>
  <c r="EX24" i="57"/>
  <c r="EZ24" i="57" s="1"/>
  <c r="DI46" i="57"/>
  <c r="DO46" i="57" s="1"/>
  <c r="DN46" i="57"/>
  <c r="DR46" i="57" s="1"/>
  <c r="DK46" i="57"/>
  <c r="ER24" i="57"/>
  <c r="EN24" i="57"/>
  <c r="EJ24" i="57"/>
  <c r="EW24" i="57"/>
  <c r="DL43" i="57"/>
  <c r="DM43" i="57"/>
  <c r="EI25" i="57"/>
  <c r="EG25" i="57"/>
  <c r="EH25" i="57"/>
  <c r="W19" i="30"/>
  <c r="Y19" i="30" s="1"/>
  <c r="EY15" i="57"/>
  <c r="J68" i="57"/>
  <c r="O68" i="57"/>
  <c r="G68" i="57"/>
  <c r="AB25" i="30"/>
  <c r="R68" i="57"/>
  <c r="P68" i="57"/>
  <c r="H68" i="57"/>
  <c r="I68" i="57"/>
  <c r="CK25" i="30"/>
  <c r="BE29" i="57"/>
  <c r="BA29" i="57"/>
  <c r="AT29" i="30"/>
  <c r="AM29" i="57"/>
  <c r="AU29" i="30"/>
  <c r="AG29" i="57"/>
  <c r="BL29" i="57"/>
  <c r="AW29" i="57"/>
  <c r="V51" i="57"/>
  <c r="W51" i="57"/>
  <c r="AA51" i="57"/>
  <c r="X51" i="57"/>
  <c r="BJ29" i="57"/>
  <c r="EY22" i="57"/>
  <c r="AJ26" i="30"/>
  <c r="AL26" i="30"/>
  <c r="BM26" i="57" s="1"/>
  <c r="AK26" i="30"/>
  <c r="DM49" i="57"/>
  <c r="DL49" i="57"/>
  <c r="DM50" i="57"/>
  <c r="DL50" i="57"/>
  <c r="EY16" i="57"/>
  <c r="AT26" i="57"/>
  <c r="AV26" i="57"/>
  <c r="AU26" i="57"/>
  <c r="EY20" i="57"/>
  <c r="EW22" i="57"/>
  <c r="DI44" i="57"/>
  <c r="DO44" i="57" s="1"/>
  <c r="DN44" i="57"/>
  <c r="DR44" i="57" s="1"/>
  <c r="DJ44" i="57"/>
  <c r="DP44" i="57" s="1"/>
  <c r="CH22" i="30"/>
  <c r="CI22" i="30" s="1"/>
  <c r="CJ22" i="30" s="1"/>
  <c r="EJ22" i="57"/>
  <c r="DK44" i="57"/>
  <c r="EX22" i="57"/>
  <c r="EZ22" i="57" s="1"/>
  <c r="EN22" i="57"/>
  <c r="ER22" i="57"/>
  <c r="U29" i="30"/>
  <c r="CQ22" i="57"/>
  <c r="BR44" i="57"/>
  <c r="BU22" i="30"/>
  <c r="BQ44" i="57"/>
  <c r="BU44" i="57"/>
  <c r="CY22" i="57"/>
  <c r="BP44" i="57"/>
  <c r="DD22" i="57"/>
  <c r="CA22" i="57"/>
  <c r="CG22" i="57"/>
  <c r="CU22" i="57"/>
  <c r="DE22" i="57"/>
  <c r="BT22" i="30"/>
  <c r="AM17" i="57"/>
  <c r="X39" i="57"/>
  <c r="AT17" i="30"/>
  <c r="V39" i="57"/>
  <c r="AG17" i="57"/>
  <c r="AW17" i="57"/>
  <c r="W39" i="57"/>
  <c r="BJ17" i="57"/>
  <c r="BA17" i="57"/>
  <c r="BE17" i="57"/>
  <c r="AA39" i="57"/>
  <c r="AU17" i="30"/>
  <c r="BL17" i="57"/>
  <c r="BT43" i="57"/>
  <c r="BS43" i="57"/>
  <c r="EW14" i="57"/>
  <c r="CH14" i="30"/>
  <c r="CI14" i="30" s="1"/>
  <c r="CJ14" i="30" s="1"/>
  <c r="EX14" i="57"/>
  <c r="EZ14" i="57" s="1"/>
  <c r="EN14" i="57"/>
  <c r="ER14" i="57"/>
  <c r="DN36" i="57"/>
  <c r="DR36" i="57" s="1"/>
  <c r="EG18" i="57"/>
  <c r="EH18" i="57"/>
  <c r="EI18" i="57"/>
  <c r="EY28" i="57"/>
  <c r="EP27" i="57"/>
  <c r="EO27" i="57"/>
  <c r="EM27" i="57"/>
  <c r="EK27" i="57"/>
  <c r="EQ27" i="57"/>
  <c r="EL27" i="57"/>
  <c r="AJ18" i="30"/>
  <c r="AL18" i="30"/>
  <c r="BM18" i="57" s="1"/>
  <c r="AK18" i="30"/>
  <c r="DM46" i="57"/>
  <c r="DL46" i="57"/>
  <c r="DQ46" i="57" s="1"/>
  <c r="K22" i="30"/>
  <c r="N22" i="30"/>
  <c r="AK20" i="30"/>
  <c r="AJ20" i="30"/>
  <c r="AL20" i="30"/>
  <c r="BM20" i="57" s="1"/>
  <c r="BR40" i="57"/>
  <c r="BT18" i="30"/>
  <c r="DD18" i="57"/>
  <c r="CG18" i="57"/>
  <c r="BU40" i="57"/>
  <c r="BQ40" i="57"/>
  <c r="CU18" i="57"/>
  <c r="BU18" i="30"/>
  <c r="BP40" i="57"/>
  <c r="CA18" i="57"/>
  <c r="DE18" i="57"/>
  <c r="CY18" i="57"/>
  <c r="CQ18" i="57"/>
  <c r="AT20" i="30"/>
  <c r="BA20" i="57"/>
  <c r="X42" i="57"/>
  <c r="AU20" i="30"/>
  <c r="BJ20" i="57"/>
  <c r="BE20" i="57"/>
  <c r="AG20" i="57"/>
  <c r="V42" i="57"/>
  <c r="AW20" i="57"/>
  <c r="AA42" i="57"/>
  <c r="W42" i="57"/>
  <c r="AM20" i="57"/>
  <c r="BL20" i="57"/>
  <c r="EO18" i="57"/>
  <c r="EL18" i="57"/>
  <c r="EK18" i="57"/>
  <c r="EQ18" i="57"/>
  <c r="EM18" i="57"/>
  <c r="EP18" i="57"/>
  <c r="EK14" i="57"/>
  <c r="EO14" i="57"/>
  <c r="EP14" i="57"/>
  <c r="EL14" i="57"/>
  <c r="EQ14" i="57"/>
  <c r="EM14" i="57"/>
  <c r="BS42" i="57"/>
  <c r="BT42" i="57"/>
  <c r="L19" i="30"/>
  <c r="P19" i="30"/>
  <c r="Y41" i="57"/>
  <c r="Z41" i="57"/>
  <c r="CW27" i="57"/>
  <c r="CT27" i="57"/>
  <c r="CX27" i="57"/>
  <c r="CV27" i="57"/>
  <c r="CS27" i="57"/>
  <c r="CR27" i="57"/>
  <c r="ER17" i="57"/>
  <c r="EW17" i="57"/>
  <c r="CH17" i="30"/>
  <c r="CI17" i="30" s="1"/>
  <c r="CJ17" i="30" s="1"/>
  <c r="DI39" i="57"/>
  <c r="DO39" i="57" s="1"/>
  <c r="EX17" i="57"/>
  <c r="EZ17" i="57" s="1"/>
  <c r="EJ17" i="57"/>
  <c r="DK39" i="57"/>
  <c r="DJ39" i="57"/>
  <c r="DP39" i="57" s="1"/>
  <c r="EN17" i="57"/>
  <c r="DN39" i="57"/>
  <c r="DR39" i="57" s="1"/>
  <c r="Y44" i="57"/>
  <c r="Z44" i="57"/>
  <c r="W40" i="57"/>
  <c r="BA18" i="57"/>
  <c r="BL18" i="57"/>
  <c r="V40" i="57"/>
  <c r="AA40" i="57"/>
  <c r="AG18" i="57"/>
  <c r="AW18" i="57"/>
  <c r="AM18" i="57"/>
  <c r="BE18" i="57"/>
  <c r="AU18" i="30"/>
  <c r="BJ18" i="57"/>
  <c r="X40" i="57"/>
  <c r="AT18" i="30"/>
  <c r="EG21" i="57"/>
  <c r="EI21" i="57"/>
  <c r="EH21" i="57"/>
  <c r="H64" i="57"/>
  <c r="P64" i="57"/>
  <c r="AB21" i="30"/>
  <c r="G64" i="57"/>
  <c r="R64" i="57"/>
  <c r="I64" i="57"/>
  <c r="O64" i="57"/>
  <c r="J64" i="57"/>
  <c r="CK21" i="30"/>
  <c r="U19" i="30"/>
  <c r="CU17" i="57"/>
  <c r="BR39" i="57"/>
  <c r="CY17" i="57"/>
  <c r="BU17" i="30"/>
  <c r="CA17" i="57"/>
  <c r="BT17" i="30"/>
  <c r="DD17" i="57"/>
  <c r="BP39" i="57"/>
  <c r="CG17" i="57"/>
  <c r="BQ39" i="57"/>
  <c r="BU39" i="57"/>
  <c r="CQ17" i="57"/>
  <c r="DE17" i="57"/>
  <c r="BJ13" i="30"/>
  <c r="DD13" i="57" s="1"/>
  <c r="BI13" i="30"/>
  <c r="BK13" i="30"/>
  <c r="DF13" i="57" s="1"/>
  <c r="N20" i="30"/>
  <c r="K20" i="30"/>
  <c r="AV24" i="57"/>
  <c r="AT24" i="57"/>
  <c r="AU24" i="57"/>
  <c r="U27" i="30"/>
  <c r="P14" i="30"/>
  <c r="L14" i="30"/>
  <c r="CG28" i="30"/>
  <c r="ET28" i="57" s="1"/>
  <c r="DS28" i="57" s="1"/>
  <c r="BL28" i="30"/>
  <c r="BY28" i="57" s="1"/>
  <c r="AH28" i="30"/>
  <c r="W28" i="57" s="1"/>
  <c r="BL13" i="30"/>
  <c r="BS13" i="57" s="1"/>
  <c r="CG13" i="30"/>
  <c r="AH13" i="30"/>
  <c r="AD13" i="57" s="1"/>
  <c r="AB16" i="30"/>
  <c r="U21" i="30"/>
  <c r="BB18" i="57"/>
  <c r="AX18" i="57"/>
  <c r="AZ18" i="57"/>
  <c r="BD18" i="57"/>
  <c r="BC18" i="57"/>
  <c r="AY18" i="57"/>
  <c r="AX15" i="57"/>
  <c r="BD15" i="57"/>
  <c r="BB15" i="57"/>
  <c r="AY15" i="57"/>
  <c r="AZ15" i="57"/>
  <c r="BC15" i="57"/>
  <c r="W28" i="30"/>
  <c r="AX29" i="57"/>
  <c r="AY29" i="57"/>
  <c r="BC29" i="57"/>
  <c r="BB29" i="57"/>
  <c r="BD29" i="57"/>
  <c r="AZ29" i="57"/>
  <c r="BL24" i="30"/>
  <c r="BZ24" i="57" s="1"/>
  <c r="AH24" i="30"/>
  <c r="AJ24" i="57" s="1"/>
  <c r="CG24" i="30"/>
  <c r="EU24" i="57" s="1"/>
  <c r="BS50" i="57"/>
  <c r="BT50" i="57"/>
  <c r="AY14" i="57"/>
  <c r="AZ14" i="57"/>
  <c r="AX14" i="57"/>
  <c r="BC14" i="57"/>
  <c r="BD14" i="57"/>
  <c r="BB14" i="57"/>
  <c r="BE13" i="57"/>
  <c r="AM13" i="57"/>
  <c r="AT13" i="30"/>
  <c r="AG13" i="57"/>
  <c r="AU13" i="30"/>
  <c r="BJ13" i="57"/>
  <c r="BL13" i="57"/>
  <c r="BA13" i="57"/>
  <c r="AA35" i="57"/>
  <c r="BJ28" i="30"/>
  <c r="BK28" i="30"/>
  <c r="DF28" i="57" s="1"/>
  <c r="BI28" i="30"/>
  <c r="Y49" i="57"/>
  <c r="Z49" i="57"/>
  <c r="N28" i="30"/>
  <c r="K28" i="30"/>
  <c r="BU15" i="30"/>
  <c r="BT15" i="30"/>
  <c r="CU15" i="57"/>
  <c r="DE15" i="57"/>
  <c r="CY15" i="57"/>
  <c r="CQ15" i="57"/>
  <c r="CW13" i="57"/>
  <c r="CR13" i="57"/>
  <c r="CT13" i="57"/>
  <c r="CS13" i="57"/>
  <c r="CV13" i="57"/>
  <c r="CX13" i="57"/>
  <c r="K14" i="30"/>
  <c r="N14" i="30"/>
  <c r="EQ26" i="57"/>
  <c r="EK26" i="57"/>
  <c r="EO26" i="57"/>
  <c r="EM26" i="57"/>
  <c r="EP26" i="57"/>
  <c r="EL26" i="57"/>
  <c r="EQ17" i="57"/>
  <c r="EP17" i="57"/>
  <c r="EO17" i="57"/>
  <c r="EM17" i="57"/>
  <c r="EK17" i="57"/>
  <c r="EL17" i="57"/>
  <c r="BK23" i="30"/>
  <c r="DF23" i="57" s="1"/>
  <c r="BJ23" i="30"/>
  <c r="BI23" i="30"/>
  <c r="BI24" i="30"/>
  <c r="BK24" i="30"/>
  <c r="DF24" i="57" s="1"/>
  <c r="BJ24" i="30"/>
  <c r="EJ23" i="57"/>
  <c r="DK45" i="57"/>
  <c r="DI45" i="57"/>
  <c r="DO45" i="57" s="1"/>
  <c r="ER23" i="57"/>
  <c r="EW23" i="57"/>
  <c r="DN45" i="57"/>
  <c r="DR45" i="57" s="1"/>
  <c r="CH23" i="30"/>
  <c r="CI23" i="30" s="1"/>
  <c r="CJ23" i="30" s="1"/>
  <c r="EX23" i="57"/>
  <c r="EZ23" i="57" s="1"/>
  <c r="EN23" i="57"/>
  <c r="DJ45" i="57"/>
  <c r="DP45" i="57" s="1"/>
  <c r="BL23" i="57"/>
  <c r="AA45" i="57"/>
  <c r="AM23" i="57"/>
  <c r="V45" i="57"/>
  <c r="BA23" i="57"/>
  <c r="BJ23" i="57"/>
  <c r="AU23" i="30"/>
  <c r="BE23" i="57"/>
  <c r="W45" i="57"/>
  <c r="AW23" i="57"/>
  <c r="X45" i="57"/>
  <c r="AG23" i="57"/>
  <c r="AT23" i="30"/>
  <c r="AJ23" i="30"/>
  <c r="AL23" i="30"/>
  <c r="BM23" i="57" s="1"/>
  <c r="AK23" i="30"/>
  <c r="N23" i="30"/>
  <c r="K23" i="30"/>
  <c r="K18" i="30"/>
  <c r="N18" i="30"/>
  <c r="BS39" i="57"/>
  <c r="BT39" i="57"/>
  <c r="BU27" i="30"/>
  <c r="BU49" i="57"/>
  <c r="DE27" i="57"/>
  <c r="P70" i="57" s="1"/>
  <c r="CG27" i="57"/>
  <c r="CQ27" i="57"/>
  <c r="BP49" i="57"/>
  <c r="DD27" i="57"/>
  <c r="BT27" i="30"/>
  <c r="CY27" i="57"/>
  <c r="CA27" i="57"/>
  <c r="BQ49" i="57"/>
  <c r="BR49" i="57"/>
  <c r="CU27" i="57"/>
  <c r="K17" i="30"/>
  <c r="N17" i="30"/>
  <c r="CV25" i="57"/>
  <c r="CX25" i="57"/>
  <c r="CW25" i="57"/>
  <c r="CR25" i="57"/>
  <c r="CS25" i="57"/>
  <c r="CT25" i="57"/>
  <c r="CR26" i="57"/>
  <c r="CS26" i="57"/>
  <c r="CW26" i="57"/>
  <c r="CX26" i="57"/>
  <c r="CT26" i="57"/>
  <c r="CV26" i="57"/>
  <c r="AJ29" i="30"/>
  <c r="AL29" i="30"/>
  <c r="BM29" i="57" s="1"/>
  <c r="AK29" i="30"/>
  <c r="AY22" i="57"/>
  <c r="BD22" i="57"/>
  <c r="AX22" i="57"/>
  <c r="BC22" i="57"/>
  <c r="AZ22" i="57"/>
  <c r="BB22" i="57"/>
  <c r="CG21" i="30"/>
  <c r="EV21" i="57" s="1"/>
  <c r="EC21" i="57" s="1"/>
  <c r="BL21" i="30"/>
  <c r="BT21" i="57" s="1"/>
  <c r="AH21" i="30"/>
  <c r="AE21" i="57" s="1"/>
  <c r="EI19" i="57"/>
  <c r="EH19" i="57"/>
  <c r="EG19" i="57"/>
  <c r="CR21" i="57"/>
  <c r="CX21" i="57"/>
  <c r="CS21" i="57"/>
  <c r="CT21" i="57"/>
  <c r="CW21" i="57"/>
  <c r="CV21" i="57"/>
  <c r="CP22" i="57"/>
  <c r="CO22" i="57"/>
  <c r="CN22" i="57"/>
  <c r="Z46" i="57"/>
  <c r="Y46" i="57"/>
  <c r="EO13" i="57"/>
  <c r="EL13" i="57"/>
  <c r="EQ13" i="57"/>
  <c r="EK13" i="57"/>
  <c r="EP13" i="57"/>
  <c r="EM13" i="57"/>
  <c r="EK15" i="57"/>
  <c r="EM15" i="57"/>
  <c r="EP15" i="57"/>
  <c r="EL15" i="57"/>
  <c r="EO15" i="57"/>
  <c r="EQ15" i="57"/>
  <c r="CT20" i="57"/>
  <c r="CW20" i="57"/>
  <c r="CV20" i="57"/>
  <c r="CX20" i="57"/>
  <c r="CR20" i="57"/>
  <c r="CS20" i="57"/>
  <c r="AG27" i="57"/>
  <c r="BJ27" i="57"/>
  <c r="W49" i="57"/>
  <c r="X49" i="57"/>
  <c r="AT27" i="30"/>
  <c r="BA27" i="57"/>
  <c r="AA49" i="57"/>
  <c r="BL27" i="57"/>
  <c r="V49" i="57"/>
  <c r="BE27" i="57"/>
  <c r="AU27" i="30"/>
  <c r="AW27" i="57"/>
  <c r="AM27" i="57"/>
  <c r="EM22" i="57"/>
  <c r="EO22" i="57"/>
  <c r="EP22" i="57"/>
  <c r="EK22" i="57"/>
  <c r="EL22" i="57"/>
  <c r="EQ22" i="57"/>
  <c r="AU12" i="30"/>
  <c r="AT12" i="30"/>
  <c r="EW20" i="57"/>
  <c r="ER20" i="57"/>
  <c r="CH20" i="30"/>
  <c r="CI20" i="30" s="1"/>
  <c r="CJ20" i="30" s="1"/>
  <c r="EN20" i="57"/>
  <c r="DJ42" i="57"/>
  <c r="DP42" i="57" s="1"/>
  <c r="DK42" i="57"/>
  <c r="EX20" i="57"/>
  <c r="EZ20" i="57" s="1"/>
  <c r="EJ20" i="57"/>
  <c r="DI42" i="57"/>
  <c r="DO42" i="57" s="1"/>
  <c r="DN42" i="57"/>
  <c r="DR42" i="57" s="1"/>
  <c r="U16" i="30"/>
  <c r="EY19" i="57"/>
  <c r="P24" i="30"/>
  <c r="L24" i="30"/>
  <c r="CV28" i="57"/>
  <c r="CX28" i="57"/>
  <c r="CW28" i="57"/>
  <c r="CT28" i="57"/>
  <c r="CS28" i="57"/>
  <c r="CR28" i="57"/>
  <c r="W17" i="30"/>
  <c r="BJ20" i="30"/>
  <c r="BK20" i="30"/>
  <c r="DF20" i="57" s="1"/>
  <c r="BI20" i="30"/>
  <c r="EG29" i="57"/>
  <c r="EH29" i="57"/>
  <c r="EI29" i="57"/>
  <c r="EG26" i="57"/>
  <c r="EI26" i="57"/>
  <c r="EH26" i="57"/>
  <c r="BC19" i="57"/>
  <c r="AZ19" i="57"/>
  <c r="AX19" i="57"/>
  <c r="BB19" i="57"/>
  <c r="BD19" i="57"/>
  <c r="AY19" i="57"/>
  <c r="EY23" i="57"/>
  <c r="EY29" i="57"/>
  <c r="AM19" i="57"/>
  <c r="BA19" i="57"/>
  <c r="W41" i="57"/>
  <c r="V41" i="57"/>
  <c r="AA41" i="57"/>
  <c r="AU19" i="30"/>
  <c r="AT19" i="30"/>
  <c r="AW19" i="57"/>
  <c r="BJ19" i="57"/>
  <c r="BL19" i="57"/>
  <c r="AG19" i="57"/>
  <c r="X41" i="57"/>
  <c r="BE19" i="57"/>
  <c r="U23" i="30"/>
  <c r="AT18" i="57"/>
  <c r="AV18" i="57"/>
  <c r="AU18" i="57"/>
  <c r="P26" i="30"/>
  <c r="L26" i="30"/>
  <c r="BL16" i="30"/>
  <c r="BQ16" i="57" s="1"/>
  <c r="BQ38" i="57" s="1"/>
  <c r="CG16" i="30"/>
  <c r="EV16" i="57" s="1"/>
  <c r="EA16" i="57" s="1"/>
  <c r="AH16" i="30"/>
  <c r="AB16" i="57" s="1"/>
  <c r="EM23" i="57"/>
  <c r="EK23" i="57"/>
  <c r="EP23" i="57"/>
  <c r="EO23" i="57"/>
  <c r="EL23" i="57"/>
  <c r="EQ23" i="57"/>
  <c r="EN21" i="57"/>
  <c r="DJ43" i="57"/>
  <c r="DP43" i="57" s="1"/>
  <c r="EW21" i="57"/>
  <c r="DK43" i="57"/>
  <c r="CH21" i="30"/>
  <c r="CI21" i="30" s="1"/>
  <c r="CJ21" i="30" s="1"/>
  <c r="DN43" i="57"/>
  <c r="DR43" i="57" s="1"/>
  <c r="EX21" i="57"/>
  <c r="EZ21" i="57" s="1"/>
  <c r="ER21" i="57"/>
  <c r="DI43" i="57"/>
  <c r="DO43" i="57" s="1"/>
  <c r="EJ21" i="57"/>
  <c r="EO16" i="57"/>
  <c r="EQ16" i="57"/>
  <c r="EM16" i="57"/>
  <c r="EL16" i="57"/>
  <c r="EP16" i="57"/>
  <c r="EK16" i="57"/>
  <c r="W22" i="30"/>
  <c r="CN17" i="57"/>
  <c r="CO17" i="57"/>
  <c r="CP17" i="57"/>
  <c r="DL51" i="57"/>
  <c r="DM51" i="57"/>
  <c r="W24" i="30"/>
  <c r="X24" i="30" s="1"/>
  <c r="K13" i="30"/>
  <c r="N13" i="30"/>
  <c r="AH14" i="30"/>
  <c r="BH14" i="57" s="1"/>
  <c r="CG14" i="30"/>
  <c r="ET14" i="57" s="1"/>
  <c r="DT14" i="57" s="1"/>
  <c r="BL14" i="30"/>
  <c r="BN14" i="30" s="1"/>
  <c r="CO20" i="57"/>
  <c r="CP20" i="57"/>
  <c r="CN20" i="57"/>
  <c r="BS48" i="57"/>
  <c r="BT48" i="57"/>
  <c r="O38" i="13" a="1"/>
  <c r="O38" i="13" s="1"/>
  <c r="EW28" i="57"/>
  <c r="EX28" i="57"/>
  <c r="EZ28" i="57" s="1"/>
  <c r="EN28" i="57"/>
  <c r="DJ50" i="57"/>
  <c r="DP50" i="57" s="1"/>
  <c r="DK50" i="57"/>
  <c r="DQ50" i="57" s="1"/>
  <c r="EJ28" i="57"/>
  <c r="DI50" i="57"/>
  <c r="DO50" i="57" s="1"/>
  <c r="ER28" i="57"/>
  <c r="CH28" i="30"/>
  <c r="CI28" i="30" s="1"/>
  <c r="CJ28" i="30" s="1"/>
  <c r="DN50" i="57"/>
  <c r="DR50" i="57" s="1"/>
  <c r="U15" i="30"/>
  <c r="CG22" i="30"/>
  <c r="BL22" i="30"/>
  <c r="DA22" i="57" s="1"/>
  <c r="AH22" i="30"/>
  <c r="AI22" i="57" s="1"/>
  <c r="P22" i="30"/>
  <c r="L22" i="30"/>
  <c r="CN23" i="57"/>
  <c r="CO23" i="57"/>
  <c r="CP23" i="57"/>
  <c r="K26" i="30"/>
  <c r="N26" i="30"/>
  <c r="V26" i="30" s="1"/>
  <c r="EW26" i="57"/>
  <c r="EN26" i="57"/>
  <c r="DK48" i="57"/>
  <c r="ER26" i="57"/>
  <c r="EJ26" i="57"/>
  <c r="CH26" i="30"/>
  <c r="CI26" i="30" s="1"/>
  <c r="CJ26" i="30" s="1"/>
  <c r="EX26" i="57"/>
  <c r="EZ26" i="57" s="1"/>
  <c r="DN48" i="57"/>
  <c r="DR48" i="57" s="1"/>
  <c r="DI48" i="57"/>
  <c r="DO48" i="57" s="1"/>
  <c r="DJ48" i="57"/>
  <c r="DP48" i="57" s="1"/>
  <c r="BL26" i="30"/>
  <c r="BQ26" i="57" s="1"/>
  <c r="AH26" i="30"/>
  <c r="AS26" i="57" s="1"/>
  <c r="CG26" i="30"/>
  <c r="EU26" i="57" s="1"/>
  <c r="DZ26" i="57" s="1"/>
  <c r="BA21" i="57"/>
  <c r="AW21" i="57"/>
  <c r="AA43" i="57"/>
  <c r="AM21" i="57"/>
  <c r="X43" i="57"/>
  <c r="BL21" i="57"/>
  <c r="W43" i="57"/>
  <c r="BE21" i="57"/>
  <c r="AG21" i="57"/>
  <c r="BJ21" i="57"/>
  <c r="V43" i="57"/>
  <c r="AT21" i="30"/>
  <c r="AU21" i="30"/>
  <c r="U14" i="30"/>
  <c r="AV17" i="57"/>
  <c r="AU17" i="57"/>
  <c r="AT17" i="57"/>
  <c r="BK25" i="30"/>
  <c r="DF25" i="57" s="1"/>
  <c r="BJ25" i="30"/>
  <c r="BI25" i="30"/>
  <c r="BJ21" i="30"/>
  <c r="BK21" i="30"/>
  <c r="DF21" i="57" s="1"/>
  <c r="BI21" i="30"/>
  <c r="W21" i="30"/>
  <c r="CN24" i="57"/>
  <c r="CP24" i="57"/>
  <c r="CO24" i="57"/>
  <c r="BI22" i="30"/>
  <c r="BK22" i="30"/>
  <c r="DF22" i="57" s="1"/>
  <c r="BJ22" i="30"/>
  <c r="BT47" i="57"/>
  <c r="BS47" i="57"/>
  <c r="AL28" i="30"/>
  <c r="BM28" i="57" s="1"/>
  <c r="AJ28" i="30"/>
  <c r="AK28" i="30"/>
  <c r="BS36" i="57"/>
  <c r="BT36" i="57"/>
  <c r="EI16" i="57"/>
  <c r="EH16" i="57"/>
  <c r="EG16" i="57"/>
  <c r="BS41" i="57"/>
  <c r="BT41" i="57"/>
  <c r="EG17" i="57"/>
  <c r="EI17" i="57"/>
  <c r="EH17" i="57"/>
  <c r="R60" i="57"/>
  <c r="AB17" i="30"/>
  <c r="H60" i="57"/>
  <c r="J60" i="57"/>
  <c r="CK17" i="30"/>
  <c r="P60" i="57"/>
  <c r="I60" i="57"/>
  <c r="G60" i="57"/>
  <c r="O60" i="57"/>
  <c r="BK26" i="30"/>
  <c r="DF26" i="57" s="1"/>
  <c r="BI26" i="30"/>
  <c r="BJ26" i="30"/>
  <c r="AK15" i="30"/>
  <c r="AL15" i="30"/>
  <c r="BM15" i="57" s="1"/>
  <c r="AJ15" i="30"/>
  <c r="EY18" i="57"/>
  <c r="R61" i="57" s="1"/>
  <c r="K25" i="30"/>
  <c r="N25" i="30"/>
  <c r="EH22" i="57"/>
  <c r="EG22" i="57"/>
  <c r="EI22" i="57"/>
  <c r="U13" i="30"/>
  <c r="E13" i="57" s="1"/>
  <c r="EH27" i="57"/>
  <c r="EG27" i="57"/>
  <c r="EI27" i="57"/>
  <c r="W20" i="30"/>
  <c r="F20" i="57" s="1"/>
  <c r="AL17" i="30"/>
  <c r="BM17" i="57" s="1"/>
  <c r="AJ17" i="30"/>
  <c r="AK17" i="30"/>
  <c r="BU42" i="57"/>
  <c r="CG20" i="57"/>
  <c r="BQ42" i="57"/>
  <c r="CY20" i="57"/>
  <c r="CQ20" i="57"/>
  <c r="CA20" i="57"/>
  <c r="BU20" i="30"/>
  <c r="CU20" i="57"/>
  <c r="BP42" i="57"/>
  <c r="DD20" i="57"/>
  <c r="BT20" i="30"/>
  <c r="BR42" i="57"/>
  <c r="DE20" i="57"/>
  <c r="BE24" i="57"/>
  <c r="AA46" i="57"/>
  <c r="BJ24" i="57"/>
  <c r="BL24" i="57"/>
  <c r="AT24" i="30"/>
  <c r="AU24" i="30"/>
  <c r="W46" i="57"/>
  <c r="V46" i="57"/>
  <c r="AM24" i="57"/>
  <c r="BA24" i="57"/>
  <c r="AG24" i="57"/>
  <c r="X46" i="57"/>
  <c r="AW24" i="57"/>
  <c r="CT22" i="57"/>
  <c r="CV22" i="57"/>
  <c r="CS22" i="57"/>
  <c r="CR22" i="57"/>
  <c r="CX22" i="57"/>
  <c r="CW22" i="57"/>
  <c r="AK27" i="30"/>
  <c r="AJ27" i="30"/>
  <c r="AL27" i="30"/>
  <c r="BM27" i="57" s="1"/>
  <c r="AV15" i="57"/>
  <c r="AT15" i="57"/>
  <c r="AU15" i="57"/>
  <c r="EW15" i="57"/>
  <c r="CH15" i="30"/>
  <c r="CI15" i="30" s="1"/>
  <c r="CJ15" i="30" s="1"/>
  <c r="DJ37" i="57"/>
  <c r="DP37" i="57" s="1"/>
  <c r="EX15" i="57"/>
  <c r="EZ15" i="57" s="1"/>
  <c r="Q58" i="57" s="1"/>
  <c r="DK37" i="57"/>
  <c r="DI37" i="57"/>
  <c r="DO37" i="57" s="1"/>
  <c r="EJ15" i="57"/>
  <c r="EN15" i="57"/>
  <c r="ER15" i="57"/>
  <c r="DN37" i="57"/>
  <c r="DR37" i="57" s="1"/>
  <c r="AK16" i="30"/>
  <c r="AJ16" i="30"/>
  <c r="N21" i="30"/>
  <c r="K21" i="30"/>
  <c r="R63" i="57"/>
  <c r="O63" i="57"/>
  <c r="P63" i="57"/>
  <c r="H63" i="57"/>
  <c r="J63" i="57"/>
  <c r="CK20" i="30"/>
  <c r="AB20" i="30"/>
  <c r="G63" i="57"/>
  <c r="I63" i="57"/>
  <c r="O69" i="57"/>
  <c r="H69" i="57"/>
  <c r="I69" i="57"/>
  <c r="AB26" i="30"/>
  <c r="P69" i="57"/>
  <c r="AD67" i="57" s="1"/>
  <c r="G16" i="64" s="1"/>
  <c r="R69" i="57"/>
  <c r="CK26" i="30"/>
  <c r="J69" i="57"/>
  <c r="G69" i="57"/>
  <c r="AZ27" i="57"/>
  <c r="BD27" i="57"/>
  <c r="AY27" i="57"/>
  <c r="BB27" i="57"/>
  <c r="AX27" i="57"/>
  <c r="BC27" i="57"/>
  <c r="AH15" i="30"/>
  <c r="AN15" i="30" s="1"/>
  <c r="BL15" i="30"/>
  <c r="BJ15" i="30" s="1"/>
  <c r="DD15" i="57" s="1"/>
  <c r="CG15" i="30"/>
  <c r="ES15" i="57" s="1"/>
  <c r="DL15" i="57" s="1"/>
  <c r="EY25" i="57"/>
  <c r="BI15" i="30"/>
  <c r="BS44" i="57"/>
  <c r="BT44" i="57"/>
  <c r="BC16" i="57"/>
  <c r="BD16" i="57"/>
  <c r="BB16" i="57"/>
  <c r="AY16" i="57"/>
  <c r="AZ16" i="57"/>
  <c r="AX16" i="57"/>
  <c r="EN13" i="57"/>
  <c r="ER13" i="57"/>
  <c r="EW13" i="57"/>
  <c r="EX13" i="57"/>
  <c r="EZ13" i="57" s="1"/>
  <c r="CH13" i="30"/>
  <c r="CI13" i="30" s="1"/>
  <c r="CJ13" i="30" s="1"/>
  <c r="CK13" i="30" s="1"/>
  <c r="AU16" i="57"/>
  <c r="AV16" i="57"/>
  <c r="AT16" i="57"/>
  <c r="Z40" i="57"/>
  <c r="Y40" i="57"/>
  <c r="DM35" i="57"/>
  <c r="DL35" i="57"/>
  <c r="CU25" i="57"/>
  <c r="BT25" i="30"/>
  <c r="CA25" i="57"/>
  <c r="BU47" i="57"/>
  <c r="BP47" i="57"/>
  <c r="BQ47" i="57"/>
  <c r="CY25" i="57"/>
  <c r="BR47" i="57"/>
  <c r="BU25" i="30"/>
  <c r="DE25" i="57"/>
  <c r="DD25" i="57"/>
  <c r="CQ25" i="57"/>
  <c r="CG25" i="57"/>
  <c r="L27" i="30"/>
  <c r="P27" i="30"/>
  <c r="W27" i="30"/>
  <c r="S70" i="57" s="1"/>
  <c r="DL39" i="57"/>
  <c r="DM39" i="57"/>
  <c r="AH19" i="30"/>
  <c r="BF19" i="57" s="1"/>
  <c r="BL19" i="30"/>
  <c r="BS19" i="57" s="1"/>
  <c r="CG19" i="30"/>
  <c r="EV19" i="57" s="1"/>
  <c r="EE19" i="57" s="1"/>
  <c r="P18" i="30"/>
  <c r="L18" i="30"/>
  <c r="CG16" i="57"/>
  <c r="AL16" i="30"/>
  <c r="BM16" i="57" s="1"/>
  <c r="CA15" i="57"/>
  <c r="CG15" i="57"/>
  <c r="BK15" i="30"/>
  <c r="DF15" i="57" s="1"/>
  <c r="AU15" i="30"/>
  <c r="AT15" i="30"/>
  <c r="P61" i="57"/>
  <c r="BS13" i="30"/>
  <c r="BR13" i="30"/>
  <c r="BQ13" i="30"/>
  <c r="BX13" i="30"/>
  <c r="BZ13" i="30" s="1"/>
  <c r="CA13" i="30" s="1"/>
  <c r="AR29" i="30"/>
  <c r="AX29" i="30"/>
  <c r="AZ29" i="30" s="1"/>
  <c r="BA29" i="30" s="1"/>
  <c r="AS29" i="30"/>
  <c r="AQ29" i="30"/>
  <c r="BK29" i="57"/>
  <c r="BK25" i="57"/>
  <c r="AS25" i="30"/>
  <c r="AR25" i="30"/>
  <c r="AQ25" i="30"/>
  <c r="AX25" i="30"/>
  <c r="AZ25" i="30" s="1"/>
  <c r="BA25" i="30" s="1"/>
  <c r="BQ17" i="30"/>
  <c r="BR17" i="30"/>
  <c r="BX17" i="30"/>
  <c r="BZ17" i="30" s="1"/>
  <c r="CA17" i="30" s="1"/>
  <c r="BS17" i="30"/>
  <c r="AR24" i="30"/>
  <c r="AQ24" i="30"/>
  <c r="AX24" i="30"/>
  <c r="AZ24" i="30" s="1"/>
  <c r="BA24" i="30" s="1"/>
  <c r="AS24" i="30"/>
  <c r="BK24" i="57"/>
  <c r="BS21" i="30"/>
  <c r="BQ21" i="30"/>
  <c r="BX21" i="30"/>
  <c r="BZ21" i="30" s="1"/>
  <c r="CA21" i="30" s="1"/>
  <c r="BR21" i="30"/>
  <c r="BX26" i="30"/>
  <c r="BZ26" i="30" s="1"/>
  <c r="CA26" i="30" s="1"/>
  <c r="BS26" i="30"/>
  <c r="BR26" i="30"/>
  <c r="BQ26" i="30"/>
  <c r="BX25" i="30"/>
  <c r="BZ25" i="30" s="1"/>
  <c r="CA25" i="30" s="1"/>
  <c r="BS25" i="30"/>
  <c r="BR25" i="30"/>
  <c r="BQ25" i="30"/>
  <c r="AQ28" i="30"/>
  <c r="AS28" i="30"/>
  <c r="AX28" i="30"/>
  <c r="AZ28" i="30" s="1"/>
  <c r="BA28" i="30" s="1"/>
  <c r="AR28" i="30"/>
  <c r="BK28" i="57"/>
  <c r="AR19" i="30"/>
  <c r="AS19" i="30"/>
  <c r="AX19" i="30"/>
  <c r="AZ19" i="30" s="1"/>
  <c r="BA19" i="30" s="1"/>
  <c r="BK19" i="57"/>
  <c r="AQ19" i="30"/>
  <c r="AR15" i="30"/>
  <c r="AX15" i="30"/>
  <c r="AZ15" i="30" s="1"/>
  <c r="BK15" i="57"/>
  <c r="P58" i="57" s="1"/>
  <c r="AS15" i="30"/>
  <c r="AQ15" i="30"/>
  <c r="AX26" i="30"/>
  <c r="AZ26" i="30" s="1"/>
  <c r="BA26" i="30" s="1"/>
  <c r="AS26" i="30"/>
  <c r="BK26" i="57"/>
  <c r="AQ26" i="30"/>
  <c r="AR26" i="30"/>
  <c r="AS27" i="30"/>
  <c r="AX27" i="30"/>
  <c r="AZ27" i="30" s="1"/>
  <c r="BA27" i="30" s="1"/>
  <c r="BK27" i="57"/>
  <c r="AQ27" i="30"/>
  <c r="AR27" i="30"/>
  <c r="BX19" i="30"/>
  <c r="BZ19" i="30" s="1"/>
  <c r="CA19" i="30" s="1"/>
  <c r="BS19" i="30"/>
  <c r="BR19" i="30"/>
  <c r="BQ19" i="30"/>
  <c r="BR29" i="30"/>
  <c r="BQ29" i="30"/>
  <c r="BX29" i="30"/>
  <c r="BZ29" i="30" s="1"/>
  <c r="CA29" i="30" s="1"/>
  <c r="BS29" i="30"/>
  <c r="AQ18" i="30"/>
  <c r="AX18" i="30"/>
  <c r="AZ18" i="30" s="1"/>
  <c r="BA18" i="30" s="1"/>
  <c r="BK18" i="57"/>
  <c r="AS18" i="30"/>
  <c r="AR18" i="30"/>
  <c r="BQ14" i="30"/>
  <c r="BR14" i="30"/>
  <c r="BX14" i="30"/>
  <c r="BZ14" i="30" s="1"/>
  <c r="CA14" i="30" s="1"/>
  <c r="BS14" i="30"/>
  <c r="AS13" i="30"/>
  <c r="AX13" i="30"/>
  <c r="AZ13" i="30" s="1"/>
  <c r="AQ13" i="30"/>
  <c r="AR13" i="30"/>
  <c r="BK13" i="57"/>
  <c r="P56" i="57" s="1"/>
  <c r="AS23" i="30"/>
  <c r="AX23" i="30"/>
  <c r="AZ23" i="30" s="1"/>
  <c r="BA23" i="30" s="1"/>
  <c r="AQ23" i="30"/>
  <c r="BK23" i="57"/>
  <c r="AR23" i="30"/>
  <c r="BQ23" i="30"/>
  <c r="BX23" i="30"/>
  <c r="BZ23" i="30" s="1"/>
  <c r="CA23" i="30" s="1"/>
  <c r="BR23" i="30"/>
  <c r="BS23" i="30"/>
  <c r="BQ20" i="30"/>
  <c r="BS20" i="30"/>
  <c r="BR20" i="30"/>
  <c r="BX20" i="30"/>
  <c r="BZ20" i="30" s="1"/>
  <c r="CA20" i="30" s="1"/>
  <c r="BS15" i="30"/>
  <c r="BR15" i="30"/>
  <c r="BQ15" i="30"/>
  <c r="BX15" i="30"/>
  <c r="BZ15" i="30" s="1"/>
  <c r="BQ16" i="30"/>
  <c r="BX16" i="30"/>
  <c r="BZ16" i="30" s="1"/>
  <c r="BR16" i="30"/>
  <c r="BS16" i="30"/>
  <c r="AX16" i="30"/>
  <c r="AZ16" i="30" s="1"/>
  <c r="AQ16" i="30"/>
  <c r="BK16" i="57"/>
  <c r="P59" i="57" s="1"/>
  <c r="AS16" i="30"/>
  <c r="AR16" i="30"/>
  <c r="AX17" i="30"/>
  <c r="AZ17" i="30" s="1"/>
  <c r="BA17" i="30" s="1"/>
  <c r="BK17" i="57"/>
  <c r="AR17" i="30"/>
  <c r="AQ17" i="30"/>
  <c r="AS17" i="30"/>
  <c r="BR18" i="30"/>
  <c r="BS18" i="30"/>
  <c r="BX18" i="30"/>
  <c r="BZ18" i="30" s="1"/>
  <c r="CA18" i="30" s="1"/>
  <c r="BQ18" i="30"/>
  <c r="BR28" i="30"/>
  <c r="BQ28" i="30"/>
  <c r="BX28" i="30"/>
  <c r="BZ28" i="30" s="1"/>
  <c r="CA28" i="30" s="1"/>
  <c r="BS28" i="30"/>
  <c r="AS20" i="30"/>
  <c r="AR20" i="30"/>
  <c r="AQ20" i="30"/>
  <c r="AX20" i="30"/>
  <c r="AZ20" i="30" s="1"/>
  <c r="BA20" i="30" s="1"/>
  <c r="BK20" i="57"/>
  <c r="BO26" i="30"/>
  <c r="DQ47" i="57"/>
  <c r="AC21" i="57"/>
  <c r="BR15" i="57"/>
  <c r="BR37" i="57" s="1"/>
  <c r="BN15" i="30"/>
  <c r="CD15" i="57"/>
  <c r="DX26" i="57"/>
  <c r="BG29" i="57"/>
  <c r="W17" i="57"/>
  <c r="EE16" i="57"/>
  <c r="AJ29" i="57"/>
  <c r="AC17" i="57"/>
  <c r="BF17" i="57"/>
  <c r="AJ17" i="57"/>
  <c r="AK18" i="57"/>
  <c r="BH18" i="57"/>
  <c r="AJ18" i="57"/>
  <c r="ES28" i="57"/>
  <c r="DI28" i="57" s="1"/>
  <c r="AL19" i="57"/>
  <c r="DQ38" i="57"/>
  <c r="AC18" i="57"/>
  <c r="W18" i="57"/>
  <c r="BG14" i="57"/>
  <c r="BH25" i="57"/>
  <c r="CF26" i="57"/>
  <c r="CE26" i="57"/>
  <c r="DT28" i="57"/>
  <c r="EU27" i="57"/>
  <c r="AE18" i="57"/>
  <c r="BG18" i="57"/>
  <c r="AF18" i="57"/>
  <c r="Z18" i="57"/>
  <c r="AI18" i="57"/>
  <c r="AL18" i="57"/>
  <c r="AH18" i="57"/>
  <c r="AN18" i="30"/>
  <c r="AA18" i="57"/>
  <c r="DU26" i="57"/>
  <c r="V18" i="57"/>
  <c r="AO18" i="30"/>
  <c r="Q63" i="57"/>
  <c r="DR28" i="57"/>
  <c r="DP14" i="57"/>
  <c r="DQ28" i="57"/>
  <c r="Z14" i="57"/>
  <c r="DP28" i="57"/>
  <c r="DO28" i="57"/>
  <c r="W14" i="57"/>
  <c r="AK14" i="57"/>
  <c r="AH14" i="57"/>
  <c r="Q61" i="57"/>
  <c r="BV29" i="57"/>
  <c r="CC29" i="57"/>
  <c r="DW24" i="57"/>
  <c r="Y18" i="57"/>
  <c r="AD18" i="57"/>
  <c r="BF18" i="57"/>
  <c r="DX24" i="57"/>
  <c r="AM18" i="30"/>
  <c r="AE17" i="57"/>
  <c r="BN29" i="30"/>
  <c r="Y16" i="57"/>
  <c r="Y38" i="57" s="1"/>
  <c r="BO29" i="30"/>
  <c r="BQ29" i="57"/>
  <c r="CF29" i="57"/>
  <c r="X20" i="57"/>
  <c r="BR29" i="57"/>
  <c r="BZ29" i="57"/>
  <c r="CB29" i="57"/>
  <c r="BX29" i="57"/>
  <c r="CE29" i="57"/>
  <c r="V64" i="57"/>
  <c r="F21" i="64" s="1"/>
  <c r="BP29" i="57"/>
  <c r="W20" i="57"/>
  <c r="BT29" i="57"/>
  <c r="BY29" i="57"/>
  <c r="BM29" i="30"/>
  <c r="DA29" i="57"/>
  <c r="CD29" i="57"/>
  <c r="BU29" i="57"/>
  <c r="BY17" i="57"/>
  <c r="AM20" i="30"/>
  <c r="AJ16" i="57"/>
  <c r="CZ29" i="57"/>
  <c r="BS29" i="57"/>
  <c r="BW17" i="57"/>
  <c r="AN20" i="30"/>
  <c r="AM29" i="30"/>
  <c r="CD17" i="57"/>
  <c r="DY26" i="57"/>
  <c r="EC16" i="57"/>
  <c r="AJ20" i="57"/>
  <c r="BG20" i="57"/>
  <c r="ET16" i="57"/>
  <c r="DR16" i="57" s="1"/>
  <c r="V29" i="57"/>
  <c r="BN17" i="30"/>
  <c r="DB17" i="57"/>
  <c r="BT17" i="57"/>
  <c r="DW26" i="57"/>
  <c r="AA20" i="57"/>
  <c r="AH20" i="57"/>
  <c r="Y29" i="57"/>
  <c r="BX17" i="57"/>
  <c r="CC17" i="57"/>
  <c r="AK20" i="57"/>
  <c r="CE17" i="57"/>
  <c r="BR17" i="57"/>
  <c r="DV26" i="57"/>
  <c r="BF20" i="57"/>
  <c r="Z20" i="57"/>
  <c r="DA26" i="57"/>
  <c r="BT28" i="57"/>
  <c r="BS17" i="57"/>
  <c r="BM17" i="30"/>
  <c r="AC20" i="57"/>
  <c r="AF20" i="57"/>
  <c r="AI29" i="57"/>
  <c r="AD29" i="57"/>
  <c r="CF17" i="57"/>
  <c r="BU17" i="57"/>
  <c r="BY27" i="57"/>
  <c r="BM26" i="30"/>
  <c r="BX26" i="57"/>
  <c r="BT27" i="57"/>
  <c r="CB26" i="57"/>
  <c r="BS26" i="57"/>
  <c r="DB26" i="57"/>
  <c r="BZ26" i="57"/>
  <c r="BV26" i="57"/>
  <c r="BW26" i="57"/>
  <c r="BT26" i="57"/>
  <c r="BP26" i="57"/>
  <c r="AA23" i="57"/>
  <c r="BN28" i="30"/>
  <c r="BR26" i="57"/>
  <c r="CC26" i="57"/>
  <c r="BH19" i="57"/>
  <c r="V19" i="57"/>
  <c r="AM19" i="30"/>
  <c r="Z16" i="57"/>
  <c r="Z38" i="57" s="1"/>
  <c r="W16" i="57"/>
  <c r="W38" i="57" s="1"/>
  <c r="BS18" i="57"/>
  <c r="BP18" i="57"/>
  <c r="ES17" i="57"/>
  <c r="DN17" i="57" s="1"/>
  <c r="BU14" i="57"/>
  <c r="CC27" i="57"/>
  <c r="CC18" i="57"/>
  <c r="CE18" i="57"/>
  <c r="W19" i="57"/>
  <c r="AE19" i="57"/>
  <c r="AK19" i="57"/>
  <c r="AM16" i="30"/>
  <c r="AK16" i="57"/>
  <c r="X16" i="57"/>
  <c r="X38" i="57" s="1"/>
  <c r="BU18" i="57"/>
  <c r="BT18" i="57"/>
  <c r="AL23" i="57"/>
  <c r="AC23" i="57"/>
  <c r="ET17" i="57"/>
  <c r="DP17" i="57" s="1"/>
  <c r="BW14" i="57"/>
  <c r="BO28" i="30"/>
  <c r="CZ28" i="57"/>
  <c r="BU27" i="57"/>
  <c r="AH19" i="57"/>
  <c r="AI19" i="57"/>
  <c r="AN19" i="30"/>
  <c r="BF16" i="57"/>
  <c r="AN16" i="30"/>
  <c r="AI16" i="57"/>
  <c r="CD18" i="57"/>
  <c r="BV18" i="57"/>
  <c r="Y23" i="57"/>
  <c r="BH23" i="57"/>
  <c r="DA14" i="57"/>
  <c r="BM28" i="30"/>
  <c r="BW27" i="57"/>
  <c r="X19" i="57"/>
  <c r="AF19" i="57"/>
  <c r="AJ19" i="57"/>
  <c r="AF16" i="57"/>
  <c r="AO16" i="30"/>
  <c r="AH16" i="57"/>
  <c r="CZ18" i="57"/>
  <c r="V23" i="57"/>
  <c r="ES23" i="57"/>
  <c r="DM23" i="57" s="1"/>
  <c r="BZ14" i="57"/>
  <c r="BS27" i="57"/>
  <c r="AB19" i="57"/>
  <c r="Z19" i="57"/>
  <c r="AO19" i="30"/>
  <c r="BG16" i="57"/>
  <c r="V16" i="57"/>
  <c r="V38" i="57" s="1"/>
  <c r="AL16" i="57"/>
  <c r="BM18" i="30"/>
  <c r="V13" i="57"/>
  <c r="AH23" i="57"/>
  <c r="EU23" i="57"/>
  <c r="DV23" i="57" s="1"/>
  <c r="CC14" i="57"/>
  <c r="CC28" i="57"/>
  <c r="CF27" i="57"/>
  <c r="Y19" i="57"/>
  <c r="AC19" i="57"/>
  <c r="BG19" i="57"/>
  <c r="BH16" i="57"/>
  <c r="AE16" i="57"/>
  <c r="AD16" i="57"/>
  <c r="CB18" i="57"/>
  <c r="AK23" i="57"/>
  <c r="DQ44" i="57"/>
  <c r="Q69" i="57"/>
  <c r="DB27" i="57"/>
  <c r="BX27" i="57"/>
  <c r="S69" i="57"/>
  <c r="AD19" i="57"/>
  <c r="AC16" i="57"/>
  <c r="DB18" i="57"/>
  <c r="BX18" i="57"/>
  <c r="CZ14" i="57"/>
  <c r="BV27" i="57"/>
  <c r="DA27" i="57"/>
  <c r="AS14" i="30"/>
  <c r="AO14" i="30"/>
  <c r="AM14" i="30"/>
  <c r="AR14" i="30"/>
  <c r="AN14" i="30"/>
  <c r="BK14" i="57"/>
  <c r="P57" i="57" s="1"/>
  <c r="AX14" i="30"/>
  <c r="AZ14" i="30" s="1"/>
  <c r="BA14" i="30" s="1"/>
  <c r="AQ14" i="30"/>
  <c r="AS22" i="30"/>
  <c r="AX22" i="30"/>
  <c r="AZ22" i="30" s="1"/>
  <c r="BA22" i="30" s="1"/>
  <c r="BK22" i="57"/>
  <c r="AR22" i="30"/>
  <c r="AQ22" i="30"/>
  <c r="BK21" i="57"/>
  <c r="AR21" i="30"/>
  <c r="AM21" i="30"/>
  <c r="AO21" i="30"/>
  <c r="AQ21" i="30"/>
  <c r="AN21" i="30"/>
  <c r="AS21" i="30"/>
  <c r="AX21" i="30"/>
  <c r="AZ21" i="30" s="1"/>
  <c r="BA21" i="30" s="1"/>
  <c r="BQ24" i="30"/>
  <c r="BX24" i="30"/>
  <c r="BZ24" i="30" s="1"/>
  <c r="CA24" i="30" s="1"/>
  <c r="BS24" i="30"/>
  <c r="BR24" i="30"/>
  <c r="BX22" i="30"/>
  <c r="BZ22" i="30" s="1"/>
  <c r="CA22" i="30" s="1"/>
  <c r="BQ22" i="30"/>
  <c r="BR22" i="30"/>
  <c r="BS22" i="30"/>
  <c r="BM27" i="30"/>
  <c r="BS27" i="30"/>
  <c r="BO27" i="30"/>
  <c r="BX27" i="30"/>
  <c r="BZ27" i="30" s="1"/>
  <c r="CA27" i="30" s="1"/>
  <c r="BR27" i="30"/>
  <c r="BN27" i="30"/>
  <c r="BQ27" i="30"/>
  <c r="V23" i="30"/>
  <c r="E23" i="57"/>
  <c r="K85" i="103"/>
  <c r="K84" i="103"/>
  <c r="K84" i="100"/>
  <c r="K85" i="100"/>
  <c r="BF24" i="57"/>
  <c r="AK24" i="57"/>
  <c r="AO26" i="57"/>
  <c r="V26" i="57"/>
  <c r="AA26" i="57"/>
  <c r="AA13" i="57"/>
  <c r="AL27" i="57"/>
  <c r="AS27" i="57"/>
  <c r="AP27" i="30"/>
  <c r="AO27" i="57"/>
  <c r="AR27" i="57"/>
  <c r="AN27" i="57"/>
  <c r="BI27" i="57"/>
  <c r="AP27" i="57"/>
  <c r="AQ27" i="57"/>
  <c r="AH27" i="57"/>
  <c r="AJ27" i="57"/>
  <c r="AO27" i="30"/>
  <c r="AI27" i="57"/>
  <c r="AD27" i="57"/>
  <c r="AF27" i="57"/>
  <c r="AE27" i="57"/>
  <c r="BH27" i="57"/>
  <c r="V27" i="57"/>
  <c r="AB27" i="57"/>
  <c r="BG27" i="57"/>
  <c r="W27" i="57"/>
  <c r="AM27" i="30"/>
  <c r="X27" i="57"/>
  <c r="Y27" i="57"/>
  <c r="Z27" i="57"/>
  <c r="AA27" i="57"/>
  <c r="AN27" i="30"/>
  <c r="Y29" i="30"/>
  <c r="E29" i="57"/>
  <c r="V29" i="30"/>
  <c r="S72" i="57"/>
  <c r="F13" i="57"/>
  <c r="V20" i="57"/>
  <c r="AN20" i="57"/>
  <c r="AP20" i="30"/>
  <c r="AQ20" i="57"/>
  <c r="AS20" i="57"/>
  <c r="AP20" i="57"/>
  <c r="AO20" i="57"/>
  <c r="AR20" i="57"/>
  <c r="BI20" i="57"/>
  <c r="Y20" i="57"/>
  <c r="AO20" i="30"/>
  <c r="AE20" i="57"/>
  <c r="AD20" i="57"/>
  <c r="AB20" i="57"/>
  <c r="BH20" i="57"/>
  <c r="AI20" i="57"/>
  <c r="K84" i="102"/>
  <c r="K85" i="102"/>
  <c r="AM24" i="30"/>
  <c r="V24" i="57"/>
  <c r="F16" i="57"/>
  <c r="L16" i="57" s="1"/>
  <c r="X16" i="30"/>
  <c r="S59" i="57"/>
  <c r="V19" i="30"/>
  <c r="E19" i="57"/>
  <c r="F27" i="57"/>
  <c r="H27" i="57" s="1"/>
  <c r="Y13" i="57"/>
  <c r="BI13" i="57"/>
  <c r="AS13" i="57"/>
  <c r="AO13" i="57"/>
  <c r="AN13" i="57"/>
  <c r="AP13" i="30"/>
  <c r="AP13" i="57"/>
  <c r="AQ13" i="57"/>
  <c r="AR13" i="57"/>
  <c r="AI13" i="57"/>
  <c r="AN13" i="30"/>
  <c r="Z13" i="57"/>
  <c r="BF13" i="57"/>
  <c r="AC13" i="57"/>
  <c r="BH13" i="57"/>
  <c r="W13" i="57"/>
  <c r="AB13" i="57"/>
  <c r="AM13" i="30"/>
  <c r="X13" i="57"/>
  <c r="BG13" i="57"/>
  <c r="AK13" i="57"/>
  <c r="AE13" i="57"/>
  <c r="AJ13" i="57"/>
  <c r="AF13" i="57"/>
  <c r="X15" i="30"/>
  <c r="F15" i="57"/>
  <c r="K84" i="101"/>
  <c r="K85" i="101"/>
  <c r="AO24" i="30"/>
  <c r="V14" i="57"/>
  <c r="AP14" i="30"/>
  <c r="AN14" i="57"/>
  <c r="AS14" i="57"/>
  <c r="AO14" i="57"/>
  <c r="AQ14" i="57"/>
  <c r="AP14" i="57"/>
  <c r="BI14" i="57"/>
  <c r="AR14" i="57"/>
  <c r="AI14" i="57"/>
  <c r="AF14" i="57"/>
  <c r="X14" i="57"/>
  <c r="AC14" i="57"/>
  <c r="AJ14" i="57"/>
  <c r="DV24" i="57"/>
  <c r="DZ24" i="57"/>
  <c r="DU24" i="57"/>
  <c r="EV18" i="57"/>
  <c r="EA18" i="57" s="1"/>
  <c r="ET18" i="57"/>
  <c r="ES18" i="57"/>
  <c r="EU18" i="57"/>
  <c r="AK27" i="57"/>
  <c r="ET13" i="57"/>
  <c r="EV13" i="57"/>
  <c r="ED13" i="57" s="1"/>
  <c r="ES13" i="57"/>
  <c r="EU13" i="57"/>
  <c r="E28" i="57"/>
  <c r="Y28" i="30"/>
  <c r="V28" i="30"/>
  <c r="S71" i="57"/>
  <c r="Q62" i="57"/>
  <c r="AA24" i="57"/>
  <c r="AN24" i="57"/>
  <c r="AQ24" i="57"/>
  <c r="AP24" i="57"/>
  <c r="AS24" i="57"/>
  <c r="AP24" i="30"/>
  <c r="AR24" i="57"/>
  <c r="BI24" i="57"/>
  <c r="AO24" i="57"/>
  <c r="AE24" i="57"/>
  <c r="W24" i="57"/>
  <c r="AD24" i="57"/>
  <c r="Y24" i="57"/>
  <c r="BG24" i="57"/>
  <c r="AN24" i="30"/>
  <c r="Z24" i="57"/>
  <c r="AC24" i="57"/>
  <c r="AH24" i="57"/>
  <c r="AF24" i="57"/>
  <c r="DQ42" i="57"/>
  <c r="BH24" i="57"/>
  <c r="AH13" i="57"/>
  <c r="DQ14" i="57"/>
  <c r="DY24" i="57"/>
  <c r="AL13" i="57"/>
  <c r="F22" i="57"/>
  <c r="X22" i="30"/>
  <c r="EU22" i="57"/>
  <c r="EV22" i="57"/>
  <c r="EF22" i="57" s="1"/>
  <c r="ES22" i="57"/>
  <c r="ET22" i="57"/>
  <c r="F18" i="57"/>
  <c r="J18" i="57" s="1"/>
  <c r="X18" i="30"/>
  <c r="X24" i="57"/>
  <c r="AL24" i="57"/>
  <c r="DI27" i="57"/>
  <c r="DM27" i="57"/>
  <c r="DN27" i="57"/>
  <c r="DJ27" i="57"/>
  <c r="DL27" i="57"/>
  <c r="CE23" i="57"/>
  <c r="CH23" i="57"/>
  <c r="CI23" i="57"/>
  <c r="CK23" i="57"/>
  <c r="DC23" i="57"/>
  <c r="CJ23" i="57"/>
  <c r="CM23" i="57"/>
  <c r="CL23" i="57"/>
  <c r="BP23" i="30"/>
  <c r="BM23" i="30"/>
  <c r="BW23" i="57"/>
  <c r="BU23" i="57"/>
  <c r="CZ23" i="57"/>
  <c r="BQ23" i="57"/>
  <c r="CD23" i="57"/>
  <c r="BT23" i="57"/>
  <c r="BP23" i="57"/>
  <c r="CF23" i="57"/>
  <c r="BV23" i="57"/>
  <c r="BR23" i="57"/>
  <c r="BS23" i="57"/>
  <c r="CB23" i="57"/>
  <c r="BO23" i="30"/>
  <c r="DA23" i="57"/>
  <c r="DB23" i="57"/>
  <c r="BZ23" i="57"/>
  <c r="BY23" i="57"/>
  <c r="CC23" i="57"/>
  <c r="AO13" i="30"/>
  <c r="DQ48" i="57"/>
  <c r="BF27" i="57"/>
  <c r="AC27" i="57"/>
  <c r="BN23" i="30"/>
  <c r="BS28" i="57"/>
  <c r="DC28" i="57"/>
  <c r="CM28" i="57"/>
  <c r="CH28" i="57"/>
  <c r="CL28" i="57"/>
  <c r="CI28" i="57"/>
  <c r="BP28" i="30"/>
  <c r="CK28" i="57"/>
  <c r="CJ28" i="57"/>
  <c r="AF70" i="57"/>
  <c r="H18" i="64" s="1"/>
  <c r="X29" i="30"/>
  <c r="F29" i="57"/>
  <c r="CZ15" i="57"/>
  <c r="CJ15" i="57"/>
  <c r="DC15" i="57"/>
  <c r="CK15" i="57"/>
  <c r="CM15" i="57"/>
  <c r="CH15" i="57"/>
  <c r="CL15" i="57"/>
  <c r="CI15" i="57"/>
  <c r="BP15" i="30"/>
  <c r="AK29" i="57"/>
  <c r="AP29" i="57"/>
  <c r="AQ29" i="57"/>
  <c r="BI29" i="57"/>
  <c r="AS29" i="57"/>
  <c r="AP29" i="30"/>
  <c r="AR29" i="57"/>
  <c r="AN29" i="57"/>
  <c r="AO29" i="57"/>
  <c r="Q59" i="57"/>
  <c r="CM20" i="57"/>
  <c r="DC20" i="57"/>
  <c r="CI20" i="57"/>
  <c r="H84" i="100"/>
  <c r="H85" i="100"/>
  <c r="DQ40" i="57"/>
  <c r="X18" i="57"/>
  <c r="AP18" i="30"/>
  <c r="BI18" i="57"/>
  <c r="AO18" i="57"/>
  <c r="AN18" i="57"/>
  <c r="AP18" i="57"/>
  <c r="AQ18" i="57"/>
  <c r="AS18" i="57"/>
  <c r="AR18" i="57"/>
  <c r="CH19" i="57"/>
  <c r="CI19" i="57"/>
  <c r="DC19" i="57"/>
  <c r="BQ18" i="57"/>
  <c r="ET23" i="57"/>
  <c r="EV23" i="57"/>
  <c r="EU25" i="57"/>
  <c r="EV25" i="57"/>
  <c r="BH29" i="57"/>
  <c r="BF29" i="57"/>
  <c r="AB29" i="57"/>
  <c r="W23" i="57"/>
  <c r="AF23" i="57"/>
  <c r="AO23" i="30"/>
  <c r="AI23" i="57"/>
  <c r="F25" i="57"/>
  <c r="BY14" i="57"/>
  <c r="BR14" i="57"/>
  <c r="DB14" i="57"/>
  <c r="BQ28" i="57"/>
  <c r="BX28" i="57"/>
  <c r="BR28" i="57"/>
  <c r="ET26" i="57"/>
  <c r="EU28" i="57"/>
  <c r="EV28" i="57"/>
  <c r="ET25" i="57"/>
  <c r="BZ27" i="57"/>
  <c r="BP27" i="57"/>
  <c r="BV20" i="57"/>
  <c r="BO20" i="30"/>
  <c r="CD20" i="57"/>
  <c r="AF67" i="57"/>
  <c r="G18" i="64" s="1"/>
  <c r="BP17" i="57"/>
  <c r="CB17" i="57"/>
  <c r="E24" i="57"/>
  <c r="Y24" i="30"/>
  <c r="F19" i="57"/>
  <c r="V25" i="30"/>
  <c r="E25" i="57"/>
  <c r="Y25" i="30"/>
  <c r="F26" i="57"/>
  <c r="X26" i="30"/>
  <c r="BR22" i="57"/>
  <c r="CI22" i="57"/>
  <c r="BP22" i="30"/>
  <c r="CL22" i="57"/>
  <c r="CM22" i="57"/>
  <c r="H84" i="103"/>
  <c r="AC64" i="57"/>
  <c r="F15" i="64" s="1"/>
  <c r="Y20" i="30"/>
  <c r="BW18" i="57"/>
  <c r="DC18" i="57"/>
  <c r="CK18" i="57"/>
  <c r="CJ18" i="57"/>
  <c r="CM18" i="57"/>
  <c r="CH18" i="57"/>
  <c r="BP18" i="30"/>
  <c r="CI18" i="57"/>
  <c r="CL18" i="57"/>
  <c r="BI19" i="57"/>
  <c r="AS19" i="57"/>
  <c r="AP19" i="30"/>
  <c r="AO19" i="57"/>
  <c r="AP19" i="57"/>
  <c r="AN19" i="57"/>
  <c r="AR19" i="57"/>
  <c r="AQ19" i="57"/>
  <c r="BN18" i="30"/>
  <c r="BZ18" i="57"/>
  <c r="CF18" i="57"/>
  <c r="AF29" i="57"/>
  <c r="E14" i="57"/>
  <c r="BF23" i="57"/>
  <c r="BG23" i="57"/>
  <c r="DB22" i="57"/>
  <c r="BW22" i="57"/>
  <c r="BS14" i="57"/>
  <c r="CE14" i="57"/>
  <c r="BP14" i="57"/>
  <c r="CE28" i="57"/>
  <c r="BU28" i="57"/>
  <c r="CD28" i="57"/>
  <c r="ET24" i="57"/>
  <c r="X17" i="30"/>
  <c r="F17" i="57"/>
  <c r="J17" i="57" s="1"/>
  <c r="BI28" i="57"/>
  <c r="AP28" i="30"/>
  <c r="AN28" i="57"/>
  <c r="AQ28" i="57"/>
  <c r="CZ27" i="57"/>
  <c r="AD70" i="57"/>
  <c r="H16" i="64" s="1"/>
  <c r="DA20" i="57"/>
  <c r="BT20" i="57"/>
  <c r="CL24" i="30"/>
  <c r="G15" i="5" s="1"/>
  <c r="E16" i="57"/>
  <c r="V16" i="30"/>
  <c r="Y16" i="30"/>
  <c r="BQ17" i="57"/>
  <c r="AA16" i="57"/>
  <c r="AP16" i="30"/>
  <c r="AO16" i="57"/>
  <c r="BI16" i="57"/>
  <c r="AQ16" i="57"/>
  <c r="AP16" i="57"/>
  <c r="AR16" i="57"/>
  <c r="AS16" i="57"/>
  <c r="AN16" i="57"/>
  <c r="AL21" i="57"/>
  <c r="AN21" i="57"/>
  <c r="AP21" i="57"/>
  <c r="BI21" i="57"/>
  <c r="AP21" i="30"/>
  <c r="AQ21" i="57"/>
  <c r="AS21" i="57"/>
  <c r="AO21" i="57"/>
  <c r="AR21" i="57"/>
  <c r="CC25" i="57"/>
  <c r="DC25" i="57"/>
  <c r="CM25" i="57"/>
  <c r="CJ25" i="57"/>
  <c r="CK25" i="57"/>
  <c r="X29" i="57"/>
  <c r="AO29" i="30"/>
  <c r="AJ23" i="57"/>
  <c r="Z23" i="57"/>
  <c r="Q66" i="57"/>
  <c r="DQ45" i="57"/>
  <c r="BT14" i="57"/>
  <c r="BX14" i="57"/>
  <c r="DB28" i="57"/>
  <c r="BW28" i="57"/>
  <c r="ES25" i="57"/>
  <c r="BN20" i="30"/>
  <c r="AC67" i="57"/>
  <c r="G15" i="64" s="1"/>
  <c r="EU17" i="57"/>
  <c r="EV17" i="57"/>
  <c r="DQ39" i="57"/>
  <c r="CZ22" i="57"/>
  <c r="CE22" i="57"/>
  <c r="CD14" i="57"/>
  <c r="CB14" i="57"/>
  <c r="BV28" i="57"/>
  <c r="CF28" i="57"/>
  <c r="E17" i="57"/>
  <c r="V17" i="30"/>
  <c r="Y17" i="30"/>
  <c r="DA17" i="57"/>
  <c r="DC17" i="57"/>
  <c r="CH17" i="57"/>
  <c r="CJ17" i="57"/>
  <c r="CL17" i="57"/>
  <c r="BP17" i="30"/>
  <c r="CK17" i="57"/>
  <c r="CI17" i="57"/>
  <c r="CM17" i="57"/>
  <c r="E27" i="57"/>
  <c r="Y27" i="30"/>
  <c r="V27" i="30"/>
  <c r="Y15" i="30"/>
  <c r="E15" i="57"/>
  <c r="Z17" i="57"/>
  <c r="AP17" i="30"/>
  <c r="AO17" i="57"/>
  <c r="AN17" i="57"/>
  <c r="AR17" i="57"/>
  <c r="AS17" i="57"/>
  <c r="BI17" i="57"/>
  <c r="AQ17" i="57"/>
  <c r="AP17" i="57"/>
  <c r="F21" i="57"/>
  <c r="X21" i="30"/>
  <c r="H85" i="104"/>
  <c r="H84" i="104"/>
  <c r="K85" i="104"/>
  <c r="K84" i="104"/>
  <c r="BQ14" i="57"/>
  <c r="CK14" i="57"/>
  <c r="CH14" i="57"/>
  <c r="CI14" i="57"/>
  <c r="CM14" i="57"/>
  <c r="CJ14" i="57"/>
  <c r="DC14" i="57"/>
  <c r="CL14" i="57"/>
  <c r="BP14" i="30"/>
  <c r="S64" i="57"/>
  <c r="CD26" i="57"/>
  <c r="CK26" i="57"/>
  <c r="CM26" i="57"/>
  <c r="CH26" i="57"/>
  <c r="BP26" i="30"/>
  <c r="DC26" i="57"/>
  <c r="CJ26" i="57"/>
  <c r="CL26" i="57"/>
  <c r="CI26" i="57"/>
  <c r="DA18" i="57"/>
  <c r="BY18" i="57"/>
  <c r="BO18" i="30"/>
  <c r="Q71" i="57"/>
  <c r="AC29" i="57"/>
  <c r="AE29" i="57"/>
  <c r="Z29" i="57"/>
  <c r="F28" i="57"/>
  <c r="X28" i="30"/>
  <c r="X23" i="57"/>
  <c r="AN23" i="30"/>
  <c r="BQ27" i="57"/>
  <c r="DC27" i="57"/>
  <c r="CL27" i="57"/>
  <c r="CM27" i="57"/>
  <c r="BP27" i="30"/>
  <c r="CK27" i="57"/>
  <c r="CJ27" i="57"/>
  <c r="CI27" i="57"/>
  <c r="CH27" i="57"/>
  <c r="S60" i="57"/>
  <c r="BM14" i="30"/>
  <c r="BO14" i="30"/>
  <c r="CB28" i="57"/>
  <c r="BZ28" i="57"/>
  <c r="CD27" i="57"/>
  <c r="CB27" i="57"/>
  <c r="CE27" i="57"/>
  <c r="BQ20" i="57"/>
  <c r="BZ20" i="57"/>
  <c r="U67" i="57"/>
  <c r="G20" i="64" s="1"/>
  <c r="CZ17" i="57"/>
  <c r="BZ17" i="57"/>
  <c r="BO17" i="30"/>
  <c r="S58" i="57"/>
  <c r="W15" i="57"/>
  <c r="W37" i="57" s="1"/>
  <c r="AP15" i="57"/>
  <c r="AN15" i="57"/>
  <c r="BI15" i="57"/>
  <c r="AP15" i="30"/>
  <c r="AO15" i="57"/>
  <c r="AS15" i="57"/>
  <c r="AR15" i="57"/>
  <c r="AQ15" i="57"/>
  <c r="EU29" i="57"/>
  <c r="EV29" i="57"/>
  <c r="H84" i="101"/>
  <c r="H85" i="101"/>
  <c r="Q67" i="57"/>
  <c r="AD64" i="57"/>
  <c r="F16" i="64" s="1"/>
  <c r="EU14" i="57"/>
  <c r="EV14" i="57"/>
  <c r="X14" i="30"/>
  <c r="DQ37" i="57"/>
  <c r="V22" i="30"/>
  <c r="E22" i="57"/>
  <c r="Y22" i="30"/>
  <c r="ES26" i="57"/>
  <c r="EV26" i="57"/>
  <c r="AO23" i="57"/>
  <c r="AR23" i="57"/>
  <c r="AP23" i="57"/>
  <c r="BI23" i="57"/>
  <c r="AS23" i="57"/>
  <c r="AN23" i="57"/>
  <c r="AP23" i="30"/>
  <c r="AQ23" i="57"/>
  <c r="AL29" i="57"/>
  <c r="W29" i="57"/>
  <c r="AN29" i="30"/>
  <c r="AH29" i="57"/>
  <c r="AE23" i="57"/>
  <c r="AD23" i="57"/>
  <c r="AM23" i="30"/>
  <c r="ET27" i="57"/>
  <c r="EV27" i="57"/>
  <c r="BZ22" i="57"/>
  <c r="S65" i="57"/>
  <c r="E26" i="57"/>
  <c r="Y26" i="30"/>
  <c r="BV14" i="57"/>
  <c r="CF14" i="57"/>
  <c r="ES24" i="57"/>
  <c r="EV24" i="57"/>
  <c r="BP28" i="57"/>
  <c r="DA28" i="57"/>
  <c r="CZ20" i="57"/>
  <c r="X67" i="57"/>
  <c r="G23" i="64" s="1"/>
  <c r="S63" i="57"/>
  <c r="EU15" i="57"/>
  <c r="EV15" i="57"/>
  <c r="BW29" i="57"/>
  <c r="BP29" i="30"/>
  <c r="CK29" i="57"/>
  <c r="DC29" i="57"/>
  <c r="CH29" i="57"/>
  <c r="CL29" i="57"/>
  <c r="CM29" i="57"/>
  <c r="CI29" i="57"/>
  <c r="CJ29" i="57"/>
  <c r="V21" i="30"/>
  <c r="Y21" i="30"/>
  <c r="E21" i="57"/>
  <c r="AB13" i="30"/>
  <c r="J90" i="67"/>
  <c r="F90" i="67"/>
  <c r="J89" i="67"/>
  <c r="F89" i="67"/>
  <c r="J88" i="67"/>
  <c r="F88" i="67"/>
  <c r="J87" i="67"/>
  <c r="F87" i="67"/>
  <c r="J86" i="67"/>
  <c r="F86" i="67"/>
  <c r="J85" i="67"/>
  <c r="F85" i="67"/>
  <c r="J84" i="67"/>
  <c r="F84" i="67"/>
  <c r="J83" i="67"/>
  <c r="F83" i="67"/>
  <c r="J82" i="67"/>
  <c r="F82" i="67"/>
  <c r="J81" i="67"/>
  <c r="F81" i="67"/>
  <c r="J80" i="67"/>
  <c r="F80" i="67"/>
  <c r="J79" i="67"/>
  <c r="F79" i="67"/>
  <c r="J78" i="67"/>
  <c r="F78" i="67"/>
  <c r="J77" i="67"/>
  <c r="F77" i="67"/>
  <c r="J76" i="67"/>
  <c r="F76" i="67"/>
  <c r="J75" i="67"/>
  <c r="F75" i="67"/>
  <c r="J74" i="67"/>
  <c r="F74" i="67"/>
  <c r="J73" i="67"/>
  <c r="F73" i="67"/>
  <c r="J72" i="67"/>
  <c r="F72" i="67"/>
  <c r="J71" i="67"/>
  <c r="F71" i="67"/>
  <c r="J70" i="67"/>
  <c r="F70" i="67"/>
  <c r="J69" i="67"/>
  <c r="F69" i="67"/>
  <c r="J68" i="67"/>
  <c r="F68" i="67"/>
  <c r="J67" i="67"/>
  <c r="F67" i="67"/>
  <c r="J66" i="67"/>
  <c r="F66" i="67"/>
  <c r="J65" i="67"/>
  <c r="F65" i="67"/>
  <c r="J64" i="67"/>
  <c r="F64" i="67"/>
  <c r="J63" i="67"/>
  <c r="F63" i="67"/>
  <c r="J62" i="67"/>
  <c r="F62" i="67"/>
  <c r="J61" i="67"/>
  <c r="F61" i="67"/>
  <c r="J60" i="67"/>
  <c r="F60" i="67"/>
  <c r="J59" i="67"/>
  <c r="F59" i="67"/>
  <c r="J58" i="67"/>
  <c r="F58" i="67"/>
  <c r="J57" i="67"/>
  <c r="F57" i="67"/>
  <c r="J56" i="67"/>
  <c r="F56" i="67"/>
  <c r="J55" i="67"/>
  <c r="F55" i="67"/>
  <c r="J54" i="67"/>
  <c r="F54" i="67"/>
  <c r="J53" i="67"/>
  <c r="F53" i="67"/>
  <c r="J52" i="67"/>
  <c r="F52" i="67"/>
  <c r="J51" i="67"/>
  <c r="F51" i="67"/>
  <c r="J50" i="67"/>
  <c r="F50" i="67"/>
  <c r="J49" i="67"/>
  <c r="F49" i="67"/>
  <c r="J48" i="67"/>
  <c r="F48" i="67"/>
  <c r="J47" i="67"/>
  <c r="F47" i="67"/>
  <c r="J46" i="67"/>
  <c r="F46" i="67"/>
  <c r="J45" i="67"/>
  <c r="F45" i="67"/>
  <c r="J44" i="67"/>
  <c r="F44" i="67"/>
  <c r="J43" i="67"/>
  <c r="F43" i="67"/>
  <c r="J42" i="67"/>
  <c r="F42" i="67"/>
  <c r="J41" i="67"/>
  <c r="F41" i="67"/>
  <c r="J40" i="67"/>
  <c r="F40" i="67"/>
  <c r="J39" i="67"/>
  <c r="F39" i="67"/>
  <c r="J38" i="67"/>
  <c r="F38" i="67"/>
  <c r="J37" i="67"/>
  <c r="F37" i="67"/>
  <c r="J36" i="67"/>
  <c r="F36" i="67"/>
  <c r="J35" i="67"/>
  <c r="F35" i="67"/>
  <c r="J34" i="67"/>
  <c r="F34" i="67"/>
  <c r="J33" i="67"/>
  <c r="F33" i="67"/>
  <c r="J32" i="67"/>
  <c r="F32" i="67"/>
  <c r="J31" i="67"/>
  <c r="F31" i="67"/>
  <c r="J30" i="67"/>
  <c r="F30" i="67"/>
  <c r="J29" i="67"/>
  <c r="F29" i="67"/>
  <c r="J28" i="67"/>
  <c r="F28" i="67"/>
  <c r="J27" i="67"/>
  <c r="F27" i="67"/>
  <c r="J26" i="67"/>
  <c r="F26" i="67"/>
  <c r="J25" i="67"/>
  <c r="F25" i="67"/>
  <c r="J24" i="67"/>
  <c r="F24" i="67"/>
  <c r="J23" i="67"/>
  <c r="F23" i="67"/>
  <c r="J22" i="67"/>
  <c r="F22" i="67"/>
  <c r="J21" i="67"/>
  <c r="F21" i="67"/>
  <c r="J20" i="67"/>
  <c r="F20" i="67"/>
  <c r="J19" i="67"/>
  <c r="F19" i="67"/>
  <c r="J18" i="67"/>
  <c r="F18" i="67"/>
  <c r="J17" i="67"/>
  <c r="F17" i="67"/>
  <c r="J16" i="67"/>
  <c r="F16" i="67"/>
  <c r="J15" i="67"/>
  <c r="F15" i="67"/>
  <c r="BV20" i="30"/>
  <c r="BV17" i="30"/>
  <c r="AV28" i="30"/>
  <c r="BV24" i="30"/>
  <c r="BV15" i="30"/>
  <c r="BV25" i="30"/>
  <c r="BV27" i="30"/>
  <c r="AV22" i="30"/>
  <c r="AV18" i="30"/>
  <c r="AV26" i="30"/>
  <c r="AV21" i="30"/>
  <c r="AV23" i="30"/>
  <c r="AV12" i="30"/>
  <c r="BV14" i="30"/>
  <c r="AV27" i="30"/>
  <c r="AV15" i="30"/>
  <c r="BV26" i="30"/>
  <c r="BV28" i="30"/>
  <c r="AV13" i="30"/>
  <c r="AV19" i="30"/>
  <c r="BV16" i="30"/>
  <c r="BV22" i="30"/>
  <c r="AV17" i="30"/>
  <c r="BV23" i="30"/>
  <c r="BV29" i="30"/>
  <c r="AV16" i="30"/>
  <c r="AV20" i="30"/>
  <c r="BV18" i="30"/>
  <c r="BV12" i="30"/>
  <c r="AV29" i="30"/>
  <c r="AV25" i="30"/>
  <c r="BV19" i="30"/>
  <c r="BV13" i="30"/>
  <c r="AV24" i="30"/>
  <c r="AV14" i="30"/>
  <c r="BV21" i="30"/>
  <c r="W64" i="57" l="1"/>
  <c r="F22" i="64" s="1"/>
  <c r="Q72" i="57"/>
  <c r="DQ41" i="57"/>
  <c r="Q57" i="57"/>
  <c r="BN26" i="30"/>
  <c r="BN24" i="30"/>
  <c r="CI24" i="57"/>
  <c r="Y14" i="57"/>
  <c r="AA14" i="57"/>
  <c r="BM21" i="30"/>
  <c r="CK24" i="57"/>
  <c r="ES19" i="57"/>
  <c r="BM13" i="30"/>
  <c r="AH22" i="57"/>
  <c r="AK22" i="57"/>
  <c r="CL13" i="57"/>
  <c r="EA19" i="57"/>
  <c r="BX24" i="57"/>
  <c r="CB16" i="57"/>
  <c r="BY21" i="57"/>
  <c r="CE24" i="57"/>
  <c r="BP16" i="30"/>
  <c r="CL21" i="57"/>
  <c r="CM16" i="57"/>
  <c r="CH21" i="57"/>
  <c r="DA13" i="57"/>
  <c r="AB14" i="57"/>
  <c r="CC16" i="57"/>
  <c r="CF21" i="57"/>
  <c r="AO22" i="57"/>
  <c r="BI25" i="57"/>
  <c r="BH22" i="57"/>
  <c r="BS16" i="57"/>
  <c r="BS38" i="57" s="1"/>
  <c r="CC22" i="57"/>
  <c r="BP19" i="30"/>
  <c r="X13" i="30"/>
  <c r="AJ15" i="57"/>
  <c r="CZ26" i="57"/>
  <c r="AM28" i="30"/>
  <c r="V18" i="30"/>
  <c r="AA18" i="30" s="1"/>
  <c r="V14" i="30"/>
  <c r="W67" i="57"/>
  <c r="G22" i="64" s="1"/>
  <c r="X64" i="57"/>
  <c r="F23" i="64" s="1"/>
  <c r="DQ51" i="57"/>
  <c r="V24" i="30"/>
  <c r="U64" i="57"/>
  <c r="F20" i="64" s="1"/>
  <c r="BM19" i="30"/>
  <c r="V13" i="30"/>
  <c r="BT25" i="57"/>
  <c r="AJ28" i="57"/>
  <c r="BU26" i="57"/>
  <c r="BW19" i="57"/>
  <c r="BV25" i="57"/>
  <c r="CH24" i="57"/>
  <c r="AR22" i="57"/>
  <c r="BP13" i="57"/>
  <c r="CH13" i="57"/>
  <c r="EB19" i="57"/>
  <c r="AN22" i="30"/>
  <c r="BS24" i="57"/>
  <c r="CF24" i="57"/>
  <c r="BF22" i="57"/>
  <c r="BV21" i="57"/>
  <c r="V22" i="57"/>
  <c r="Z22" i="57"/>
  <c r="BY16" i="57"/>
  <c r="BO16" i="30"/>
  <c r="Y25" i="57"/>
  <c r="DI20" i="57"/>
  <c r="AK25" i="57"/>
  <c r="AB25" i="57"/>
  <c r="DK20" i="57"/>
  <c r="V67" i="57"/>
  <c r="G21" i="64" s="1"/>
  <c r="Q70" i="57"/>
  <c r="AE70" i="57" s="1"/>
  <c r="X25" i="30"/>
  <c r="AA25" i="30" s="1"/>
  <c r="BB25" i="30" s="1"/>
  <c r="Y18" i="30"/>
  <c r="Q68" i="57"/>
  <c r="CK16" i="57"/>
  <c r="BP21" i="30"/>
  <c r="AO25" i="57"/>
  <c r="DA21" i="57"/>
  <c r="CJ24" i="57"/>
  <c r="DC16" i="57"/>
  <c r="CM21" i="57"/>
  <c r="AN25" i="57"/>
  <c r="BP21" i="57"/>
  <c r="AS22" i="57"/>
  <c r="EC19" i="57"/>
  <c r="BZ13" i="57"/>
  <c r="DB13" i="57"/>
  <c r="BP13" i="30"/>
  <c r="CC21" i="57"/>
  <c r="BU24" i="57"/>
  <c r="BP24" i="57"/>
  <c r="BN21" i="30"/>
  <c r="AD22" i="57"/>
  <c r="AB22" i="57"/>
  <c r="AJ22" i="57"/>
  <c r="CF16" i="57"/>
  <c r="AE25" i="57"/>
  <c r="Z25" i="57"/>
  <c r="DB16" i="57"/>
  <c r="AO25" i="30"/>
  <c r="AL25" i="57"/>
  <c r="BW16" i="57"/>
  <c r="BX16" i="57"/>
  <c r="CL16" i="57"/>
  <c r="DC21" i="57"/>
  <c r="AR25" i="57"/>
  <c r="AN22" i="57"/>
  <c r="BY13" i="57"/>
  <c r="CD13" i="57"/>
  <c r="CI13" i="57"/>
  <c r="BO24" i="30"/>
  <c r="BQ13" i="57"/>
  <c r="CC13" i="57"/>
  <c r="CC24" i="57"/>
  <c r="CZ24" i="57"/>
  <c r="AC22" i="57"/>
  <c r="BN16" i="30"/>
  <c r="AM25" i="30"/>
  <c r="BR24" i="57"/>
  <c r="EV20" i="57"/>
  <c r="EF20" i="57" s="1"/>
  <c r="DB21" i="57"/>
  <c r="EU20" i="57"/>
  <c r="CL24" i="57"/>
  <c r="CJ16" i="57"/>
  <c r="CI21" i="57"/>
  <c r="BQ21" i="57"/>
  <c r="AQ25" i="57"/>
  <c r="X25" i="57"/>
  <c r="AP22" i="30"/>
  <c r="W22" i="57"/>
  <c r="BW13" i="57"/>
  <c r="BO13" i="30"/>
  <c r="DC13" i="57"/>
  <c r="BR13" i="57"/>
  <c r="AM22" i="30"/>
  <c r="BS21" i="57"/>
  <c r="BW24" i="57"/>
  <c r="CB21" i="57"/>
  <c r="ET20" i="57"/>
  <c r="DP20" i="57" s="1"/>
  <c r="BY24" i="57"/>
  <c r="CB24" i="57"/>
  <c r="BT13" i="57"/>
  <c r="ET19" i="57"/>
  <c r="DS19" i="57" s="1"/>
  <c r="AL14" i="57"/>
  <c r="AI25" i="57"/>
  <c r="AA25" i="57"/>
  <c r="BU16" i="57"/>
  <c r="BU38" i="57" s="1"/>
  <c r="BY38" i="57" s="1"/>
  <c r="BT16" i="57"/>
  <c r="BT38" i="57" s="1"/>
  <c r="BF14" i="57"/>
  <c r="AE14" i="57"/>
  <c r="DM20" i="57"/>
  <c r="AH25" i="57"/>
  <c r="BP24" i="30"/>
  <c r="BW21" i="57"/>
  <c r="DC24" i="57"/>
  <c r="AP25" i="57"/>
  <c r="BI22" i="57"/>
  <c r="BX21" i="57"/>
  <c r="CF13" i="57"/>
  <c r="BN13" i="30"/>
  <c r="CJ13" i="57"/>
  <c r="EU19" i="57"/>
  <c r="DY19" i="57" s="1"/>
  <c r="CE13" i="57"/>
  <c r="BM24" i="30"/>
  <c r="AO22" i="30"/>
  <c r="CZ13" i="57"/>
  <c r="BV24" i="57"/>
  <c r="BZ21" i="57"/>
  <c r="CD21" i="57"/>
  <c r="DA24" i="57"/>
  <c r="W25" i="57"/>
  <c r="AD25" i="57"/>
  <c r="DJ20" i="57"/>
  <c r="DL20" i="57"/>
  <c r="AF25" i="57"/>
  <c r="Q60" i="57"/>
  <c r="AE58" i="57" s="1"/>
  <c r="CH16" i="57"/>
  <c r="CE21" i="57"/>
  <c r="CJ21" i="57"/>
  <c r="CZ21" i="57"/>
  <c r="CM24" i="57"/>
  <c r="CI16" i="57"/>
  <c r="BR21" i="57"/>
  <c r="CK21" i="57"/>
  <c r="AS25" i="57"/>
  <c r="AQ22" i="57"/>
  <c r="BO21" i="30"/>
  <c r="BU13" i="57"/>
  <c r="BU35" i="57" s="1"/>
  <c r="BY35" i="57" s="1"/>
  <c r="BV13" i="57"/>
  <c r="CK13" i="57"/>
  <c r="ED19" i="57"/>
  <c r="BQ24" i="57"/>
  <c r="CD24" i="57"/>
  <c r="BG22" i="57"/>
  <c r="AE22" i="57"/>
  <c r="Y22" i="57"/>
  <c r="BT24" i="57"/>
  <c r="AJ25" i="57"/>
  <c r="AA22" i="57"/>
  <c r="CD16" i="57"/>
  <c r="BF25" i="57"/>
  <c r="DN20" i="57"/>
  <c r="BM16" i="30"/>
  <c r="AC25" i="57"/>
  <c r="AP25" i="30"/>
  <c r="AP22" i="57"/>
  <c r="BX13" i="57"/>
  <c r="CB13" i="57"/>
  <c r="CM13" i="57"/>
  <c r="EF19" i="57"/>
  <c r="BU21" i="57"/>
  <c r="DB24" i="57"/>
  <c r="AL22" i="57"/>
  <c r="X22" i="57"/>
  <c r="BG25" i="57"/>
  <c r="AF22" i="57"/>
  <c r="BR16" i="57"/>
  <c r="BR38" i="57" s="1"/>
  <c r="CE16" i="57"/>
  <c r="V25" i="57"/>
  <c r="BV16" i="57"/>
  <c r="V15" i="30"/>
  <c r="AA15" i="30" s="1"/>
  <c r="S57" i="57"/>
  <c r="BP16" i="57"/>
  <c r="BP38" i="57" s="1"/>
  <c r="BV38" i="57" s="1"/>
  <c r="DA16" i="57"/>
  <c r="BZ16" i="57"/>
  <c r="BY26" i="57"/>
  <c r="CZ16" i="57"/>
  <c r="AD14" i="57"/>
  <c r="S56" i="57"/>
  <c r="BS25" i="57"/>
  <c r="BU22" i="57"/>
  <c r="X28" i="57"/>
  <c r="BP22" i="57"/>
  <c r="F14" i="57"/>
  <c r="N14" i="57" s="1"/>
  <c r="BP20" i="57"/>
  <c r="BS20" i="57"/>
  <c r="CB20" i="57"/>
  <c r="BP25" i="30"/>
  <c r="F24" i="57"/>
  <c r="L24" i="57" s="1"/>
  <c r="AP28" i="57"/>
  <c r="AA28" i="57"/>
  <c r="Y14" i="30"/>
  <c r="Z14" i="30" s="1"/>
  <c r="K42" i="84" s="1"/>
  <c r="CK22" i="57"/>
  <c r="X19" i="30"/>
  <c r="AA19" i="30" s="1"/>
  <c r="BB19" i="30" s="1"/>
  <c r="CM19" i="57"/>
  <c r="CK20" i="57"/>
  <c r="DB20" i="57"/>
  <c r="Y13" i="30"/>
  <c r="T56" i="57" s="1"/>
  <c r="BP25" i="57"/>
  <c r="BO25" i="30"/>
  <c r="EB21" i="57"/>
  <c r="BV22" i="57"/>
  <c r="CF22" i="57"/>
  <c r="BH28" i="57"/>
  <c r="AK28" i="57"/>
  <c r="V28" i="57"/>
  <c r="AN28" i="30"/>
  <c r="CD19" i="57"/>
  <c r="AD17" i="57"/>
  <c r="Y17" i="57"/>
  <c r="AO17" i="30"/>
  <c r="CC15" i="57"/>
  <c r="BP15" i="57"/>
  <c r="BP37" i="57" s="1"/>
  <c r="BV37" i="57" s="1"/>
  <c r="BY20" i="57"/>
  <c r="CI25" i="57"/>
  <c r="CC20" i="57"/>
  <c r="AO28" i="57"/>
  <c r="EU21" i="57"/>
  <c r="DY21" i="57" s="1"/>
  <c r="V20" i="30"/>
  <c r="CJ22" i="57"/>
  <c r="X23" i="30"/>
  <c r="AA23" i="30" s="1"/>
  <c r="BB23" i="30" s="1"/>
  <c r="CL19" i="57"/>
  <c r="CL20" i="57"/>
  <c r="E18" i="57"/>
  <c r="S18" i="57" s="1"/>
  <c r="O61" i="57" s="1"/>
  <c r="AC61" i="57" s="1"/>
  <c r="E15" i="64" s="1"/>
  <c r="S62" i="57"/>
  <c r="ED21" i="57"/>
  <c r="EF21" i="57"/>
  <c r="BU20" i="57"/>
  <c r="BU25" i="57"/>
  <c r="AE28" i="57"/>
  <c r="Y28" i="57"/>
  <c r="CC19" i="57"/>
  <c r="BP19" i="57"/>
  <c r="BQ19" i="57"/>
  <c r="AA17" i="57"/>
  <c r="BH17" i="57"/>
  <c r="BS15" i="57"/>
  <c r="BS37" i="57" s="1"/>
  <c r="BX22" i="57"/>
  <c r="BQ22" i="57"/>
  <c r="CH25" i="57"/>
  <c r="CE20" i="57"/>
  <c r="AR28" i="57"/>
  <c r="BY22" i="57"/>
  <c r="CH22" i="57"/>
  <c r="CJ19" i="57"/>
  <c r="CB19" i="57"/>
  <c r="CH20" i="57"/>
  <c r="H84" i="102"/>
  <c r="BM22" i="30"/>
  <c r="BM25" i="30"/>
  <c r="EE21" i="57"/>
  <c r="CE25" i="57"/>
  <c r="BZ25" i="57"/>
  <c r="AD28" i="57"/>
  <c r="AC28" i="57"/>
  <c r="DA19" i="57"/>
  <c r="BV19" i="57"/>
  <c r="CE19" i="57"/>
  <c r="BQ25" i="57"/>
  <c r="S67" i="57"/>
  <c r="AI17" i="57"/>
  <c r="AM17" i="30"/>
  <c r="DA15" i="57"/>
  <c r="BS22" i="57"/>
  <c r="BW25" i="57"/>
  <c r="DA25" i="57"/>
  <c r="CB22" i="57"/>
  <c r="BX25" i="57"/>
  <c r="AI28" i="57"/>
  <c r="BN19" i="30"/>
  <c r="BZ19" i="57"/>
  <c r="BY25" i="57"/>
  <c r="CJ20" i="57"/>
  <c r="CD25" i="57"/>
  <c r="CF25" i="57"/>
  <c r="BF28" i="57"/>
  <c r="DB19" i="57"/>
  <c r="CZ19" i="57"/>
  <c r="BX19" i="57"/>
  <c r="BR19" i="57"/>
  <c r="AL17" i="57"/>
  <c r="V17" i="57"/>
  <c r="X17" i="57"/>
  <c r="CE15" i="57"/>
  <c r="CL21" i="30"/>
  <c r="F15" i="5" s="1"/>
  <c r="Q65" i="57"/>
  <c r="AH28" i="57"/>
  <c r="BO19" i="30"/>
  <c r="BT19" i="57"/>
  <c r="AB28" i="57"/>
  <c r="CZ25" i="57"/>
  <c r="CF19" i="57"/>
  <c r="AB17" i="57"/>
  <c r="AK17" i="57"/>
  <c r="AN17" i="30"/>
  <c r="CF15" i="57"/>
  <c r="BT15" i="57"/>
  <c r="BT37" i="57" s="1"/>
  <c r="BN25" i="30"/>
  <c r="BN22" i="30"/>
  <c r="CB25" i="57"/>
  <c r="BT22" i="57"/>
  <c r="BX20" i="57"/>
  <c r="BM20" i="30"/>
  <c r="BR20" i="57"/>
  <c r="CD22" i="57"/>
  <c r="CL25" i="57"/>
  <c r="AS28" i="57"/>
  <c r="DC22" i="57"/>
  <c r="CK19" i="57"/>
  <c r="BP20" i="30"/>
  <c r="BO22" i="30"/>
  <c r="BR25" i="57"/>
  <c r="ES21" i="57"/>
  <c r="DJ21" i="57" s="1"/>
  <c r="ET21" i="57"/>
  <c r="DR21" i="57" s="1"/>
  <c r="EA21" i="57"/>
  <c r="BW20" i="57"/>
  <c r="Z28" i="57"/>
  <c r="AF28" i="57"/>
  <c r="AO28" i="30"/>
  <c r="BG28" i="57"/>
  <c r="AL28" i="57"/>
  <c r="AF17" i="57"/>
  <c r="BG17" i="57"/>
  <c r="BZ15" i="57"/>
  <c r="BO15" i="30"/>
  <c r="S68" i="57"/>
  <c r="EU16" i="57"/>
  <c r="DV16" i="57" s="1"/>
  <c r="AJ21" i="57"/>
  <c r="AI24" i="57"/>
  <c r="ED16" i="57"/>
  <c r="V21" i="57"/>
  <c r="S61" i="57"/>
  <c r="AF61" i="57"/>
  <c r="E18" i="64" s="1"/>
  <c r="Y23" i="30"/>
  <c r="Z23" i="30" s="1"/>
  <c r="AF64" i="57"/>
  <c r="F18" i="64" s="1"/>
  <c r="AB24" i="57"/>
  <c r="AH21" i="57"/>
  <c r="AK21" i="57"/>
  <c r="X21" i="57"/>
  <c r="AA21" i="57"/>
  <c r="X27" i="30"/>
  <c r="AA27" i="30" s="1"/>
  <c r="BB27" i="30" s="1"/>
  <c r="CK27" i="30" s="1"/>
  <c r="CL27" i="30" s="1"/>
  <c r="H15" i="5" s="1"/>
  <c r="H19" i="5" s="1"/>
  <c r="Q56" i="57"/>
  <c r="H20" i="57"/>
  <c r="DQ49" i="57"/>
  <c r="DQ43" i="57"/>
  <c r="AB21" i="57"/>
  <c r="AE38" i="57"/>
  <c r="BW16" i="30"/>
  <c r="BY16" i="30" s="1"/>
  <c r="AE37" i="57"/>
  <c r="S66" i="57"/>
  <c r="DO14" i="57"/>
  <c r="AH26" i="57"/>
  <c r="AJ26" i="57"/>
  <c r="AP26" i="57"/>
  <c r="AK15" i="57"/>
  <c r="AF15" i="57"/>
  <c r="BF15" i="57"/>
  <c r="AF21" i="57"/>
  <c r="AB38" i="57"/>
  <c r="AN26" i="30"/>
  <c r="DS14" i="57"/>
  <c r="X20" i="30"/>
  <c r="AK26" i="57"/>
  <c r="W26" i="57"/>
  <c r="AF26" i="57"/>
  <c r="AR26" i="57"/>
  <c r="AM15" i="30"/>
  <c r="AW15" i="30" s="1"/>
  <c r="AY15" i="30" s="1"/>
  <c r="AB15" i="57"/>
  <c r="AA19" i="57"/>
  <c r="BY19" i="57"/>
  <c r="BH21" i="57"/>
  <c r="DR14" i="57"/>
  <c r="BG26" i="57"/>
  <c r="AO26" i="30"/>
  <c r="BH26" i="57"/>
  <c r="AP26" i="30"/>
  <c r="Z15" i="57"/>
  <c r="Z37" i="57" s="1"/>
  <c r="AA15" i="57"/>
  <c r="Z26" i="57"/>
  <c r="X26" i="57"/>
  <c r="AL26" i="57"/>
  <c r="AC26" i="57"/>
  <c r="BI26" i="57"/>
  <c r="ES29" i="57"/>
  <c r="DK29" i="57" s="1"/>
  <c r="AW16" i="30"/>
  <c r="AY16" i="30" s="1"/>
  <c r="AC38" i="57"/>
  <c r="AH15" i="57"/>
  <c r="BW38" i="57"/>
  <c r="AC37" i="57"/>
  <c r="BF26" i="57"/>
  <c r="AI26" i="57"/>
  <c r="AM26" i="30"/>
  <c r="AN26" i="57"/>
  <c r="AE15" i="57"/>
  <c r="AC15" i="57"/>
  <c r="V15" i="57"/>
  <c r="V37" i="57" s="1"/>
  <c r="AB37" i="57" s="1"/>
  <c r="AL15" i="57"/>
  <c r="BG15" i="57"/>
  <c r="AB26" i="57"/>
  <c r="AE26" i="57"/>
  <c r="AQ26" i="57"/>
  <c r="BH15" i="57"/>
  <c r="AD15" i="57"/>
  <c r="X15" i="57"/>
  <c r="X37" i="57" s="1"/>
  <c r="AI15" i="57"/>
  <c r="AO15" i="30"/>
  <c r="AD26" i="57"/>
  <c r="Y26" i="57"/>
  <c r="ES14" i="57"/>
  <c r="DN14" i="57" s="1"/>
  <c r="Y15" i="57"/>
  <c r="Y37" i="57" s="1"/>
  <c r="EF16" i="57"/>
  <c r="BQ15" i="57"/>
  <c r="BQ37" i="57" s="1"/>
  <c r="BW37" i="57" s="1"/>
  <c r="BM15" i="30"/>
  <c r="BW15" i="30" s="1"/>
  <c r="BY15" i="30" s="1"/>
  <c r="BG21" i="57"/>
  <c r="W21" i="57"/>
  <c r="CA16" i="57"/>
  <c r="BV15" i="57"/>
  <c r="BY15" i="57"/>
  <c r="AD21" i="57"/>
  <c r="Y21" i="57"/>
  <c r="Q64" i="57"/>
  <c r="AW29" i="30"/>
  <c r="AY29" i="30" s="1"/>
  <c r="AC51" i="57"/>
  <c r="AD51" i="57"/>
  <c r="AB51" i="57"/>
  <c r="AE51" i="57"/>
  <c r="BW29" i="30"/>
  <c r="BY29" i="30" s="1"/>
  <c r="BY51" i="57"/>
  <c r="BX51" i="57"/>
  <c r="BV51" i="57"/>
  <c r="BW51" i="57"/>
  <c r="AE41" i="57"/>
  <c r="AB41" i="57"/>
  <c r="AD41" i="57"/>
  <c r="AW19" i="30"/>
  <c r="AY19" i="30" s="1"/>
  <c r="AC41" i="57"/>
  <c r="AW18" i="30"/>
  <c r="AY18" i="30" s="1"/>
  <c r="AB40" i="57"/>
  <c r="AE40" i="57"/>
  <c r="AD40" i="57"/>
  <c r="AC40" i="57"/>
  <c r="BX46" i="57"/>
  <c r="BW46" i="57"/>
  <c r="BY46" i="57"/>
  <c r="BV46" i="57"/>
  <c r="BW24" i="30"/>
  <c r="BY24" i="30" s="1"/>
  <c r="BX43" i="57"/>
  <c r="BW43" i="57"/>
  <c r="BV43" i="57"/>
  <c r="BW21" i="30"/>
  <c r="BY21" i="30" s="1"/>
  <c r="BY43" i="57"/>
  <c r="AB46" i="57"/>
  <c r="AD46" i="57"/>
  <c r="AW24" i="30"/>
  <c r="AY24" i="30" s="1"/>
  <c r="AC46" i="57"/>
  <c r="AE46" i="57"/>
  <c r="BW45" i="57"/>
  <c r="BW23" i="30"/>
  <c r="BY23" i="30" s="1"/>
  <c r="BX45" i="57"/>
  <c r="BY45" i="57"/>
  <c r="BV45" i="57"/>
  <c r="AW13" i="30"/>
  <c r="AY13" i="30" s="1"/>
  <c r="AE35" i="57"/>
  <c r="AC44" i="57"/>
  <c r="AE44" i="57"/>
  <c r="AW22" i="30"/>
  <c r="AY22" i="30" s="1"/>
  <c r="AD44" i="57"/>
  <c r="AB44" i="57"/>
  <c r="AE50" i="57"/>
  <c r="AW28" i="30"/>
  <c r="AY28" i="30" s="1"/>
  <c r="AB50" i="57"/>
  <c r="AC50" i="57"/>
  <c r="AD50" i="57"/>
  <c r="AC49" i="57"/>
  <c r="AD49" i="57"/>
  <c r="AE49" i="57"/>
  <c r="AW27" i="30"/>
  <c r="AY27" i="30" s="1"/>
  <c r="AB49" i="57"/>
  <c r="AB45" i="57"/>
  <c r="AD45" i="57"/>
  <c r="AC45" i="57"/>
  <c r="AW23" i="30"/>
  <c r="AY23" i="30" s="1"/>
  <c r="AE45" i="57"/>
  <c r="BW13" i="30"/>
  <c r="BY13" i="30" s="1"/>
  <c r="BX40" i="57"/>
  <c r="BW18" i="30"/>
  <c r="BY18" i="30" s="1"/>
  <c r="BW40" i="57"/>
  <c r="BV40" i="57"/>
  <c r="BY40" i="57"/>
  <c r="AD39" i="57"/>
  <c r="AB39" i="57"/>
  <c r="AE39" i="57"/>
  <c r="AC39" i="57"/>
  <c r="AW17" i="30"/>
  <c r="AY17" i="30" s="1"/>
  <c r="BW50" i="57"/>
  <c r="BX50" i="57"/>
  <c r="BW28" i="30"/>
  <c r="BY28" i="30" s="1"/>
  <c r="BV50" i="57"/>
  <c r="BY50" i="57"/>
  <c r="BY49" i="57"/>
  <c r="BX49" i="57"/>
  <c r="BV49" i="57"/>
  <c r="BW27" i="30"/>
  <c r="BY27" i="30" s="1"/>
  <c r="BW49" i="57"/>
  <c r="BX39" i="57"/>
  <c r="BW17" i="30"/>
  <c r="BY17" i="30" s="1"/>
  <c r="BY39" i="57"/>
  <c r="BW39" i="57"/>
  <c r="BV39" i="57"/>
  <c r="AW14" i="30"/>
  <c r="AY14" i="30" s="1"/>
  <c r="AE36" i="57"/>
  <c r="AB43" i="57"/>
  <c r="AE43" i="57"/>
  <c r="AW21" i="30"/>
  <c r="AY21" i="30" s="1"/>
  <c r="AD43" i="57"/>
  <c r="AC43" i="57"/>
  <c r="BW19" i="30"/>
  <c r="BY19" i="30" s="1"/>
  <c r="BW41" i="57"/>
  <c r="BV41" i="57"/>
  <c r="BX41" i="57"/>
  <c r="BY41" i="57"/>
  <c r="AW20" i="30"/>
  <c r="AY20" i="30" s="1"/>
  <c r="AB42" i="57"/>
  <c r="AE42" i="57"/>
  <c r="AC42" i="57"/>
  <c r="AD42" i="57"/>
  <c r="BX44" i="57"/>
  <c r="BY44" i="57"/>
  <c r="BW44" i="57"/>
  <c r="BW22" i="30"/>
  <c r="BY22" i="30" s="1"/>
  <c r="BV44" i="57"/>
  <c r="BW48" i="57"/>
  <c r="BW26" i="30"/>
  <c r="BY26" i="30" s="1"/>
  <c r="BV48" i="57"/>
  <c r="BY48" i="57"/>
  <c r="BX48" i="57"/>
  <c r="BW25" i="30"/>
  <c r="BY25" i="30" s="1"/>
  <c r="BV47" i="57"/>
  <c r="BW47" i="57"/>
  <c r="BX47" i="57"/>
  <c r="BY47" i="57"/>
  <c r="BW42" i="57"/>
  <c r="BY42" i="57"/>
  <c r="BW20" i="30"/>
  <c r="BY20" i="30" s="1"/>
  <c r="BV42" i="57"/>
  <c r="BX42" i="57"/>
  <c r="BY36" i="57"/>
  <c r="BW14" i="30"/>
  <c r="BY14" i="30" s="1"/>
  <c r="AC48" i="57"/>
  <c r="AB48" i="57"/>
  <c r="AW26" i="30"/>
  <c r="AY26" i="30" s="1"/>
  <c r="AD48" i="57"/>
  <c r="AE48" i="57"/>
  <c r="AD47" i="57"/>
  <c r="AE47" i="57"/>
  <c r="AC47" i="57"/>
  <c r="AW25" i="30"/>
  <c r="AY25" i="30" s="1"/>
  <c r="AB47" i="57"/>
  <c r="BU15" i="57"/>
  <c r="BU37" i="57" s="1"/>
  <c r="BY37" i="57" s="1"/>
  <c r="CB15" i="57"/>
  <c r="BX15" i="57"/>
  <c r="Z21" i="57"/>
  <c r="AI21" i="57"/>
  <c r="R58" i="57"/>
  <c r="BK16" i="30"/>
  <c r="DF16" i="57" s="1"/>
  <c r="R59" i="57" s="1"/>
  <c r="ET15" i="57"/>
  <c r="DT15" i="57" s="1"/>
  <c r="BJ16" i="30"/>
  <c r="DD16" i="57" s="1"/>
  <c r="O59" i="57" s="1"/>
  <c r="BU19" i="57"/>
  <c r="ES16" i="57"/>
  <c r="DL16" i="57" s="1"/>
  <c r="EB16" i="57"/>
  <c r="DB15" i="57"/>
  <c r="BW15" i="57"/>
  <c r="BF21" i="57"/>
  <c r="AD61" i="57"/>
  <c r="E16" i="64" s="1"/>
  <c r="CA16" i="30"/>
  <c r="AD38" i="57"/>
  <c r="I59" i="57" s="1"/>
  <c r="CA15" i="30"/>
  <c r="BA16" i="30"/>
  <c r="CB27" i="30"/>
  <c r="BA15" i="30"/>
  <c r="J59" i="57"/>
  <c r="CB17" i="30"/>
  <c r="G59" i="57"/>
  <c r="H59" i="57"/>
  <c r="AD58" i="57"/>
  <c r="D16" i="64" s="1"/>
  <c r="H58" i="57"/>
  <c r="CB25" i="30"/>
  <c r="CB19" i="30"/>
  <c r="BA13" i="30"/>
  <c r="CB13" i="30" s="1"/>
  <c r="DJ28" i="57"/>
  <c r="CB18" i="30"/>
  <c r="CB29" i="30"/>
  <c r="CB23" i="30"/>
  <c r="CB24" i="30"/>
  <c r="CB26" i="30"/>
  <c r="CB20" i="30"/>
  <c r="CB28" i="30"/>
  <c r="CB21" i="30"/>
  <c r="CB14" i="30"/>
  <c r="DK15" i="57"/>
  <c r="DM15" i="57"/>
  <c r="DN15" i="57"/>
  <c r="DJ15" i="57"/>
  <c r="DI15" i="57"/>
  <c r="DK28" i="57"/>
  <c r="DN28" i="57"/>
  <c r="DM28" i="57"/>
  <c r="DL28" i="57"/>
  <c r="DU27" i="57"/>
  <c r="DY27" i="57"/>
  <c r="DZ27" i="57"/>
  <c r="DJ17" i="57"/>
  <c r="DS17" i="57"/>
  <c r="AA16" i="30"/>
  <c r="DW27" i="57"/>
  <c r="N27" i="57"/>
  <c r="N16" i="57"/>
  <c r="DV27" i="57"/>
  <c r="DX27" i="57"/>
  <c r="DY23" i="57"/>
  <c r="DK17" i="57"/>
  <c r="AA22" i="30"/>
  <c r="BB22" i="30" s="1"/>
  <c r="AE61" i="57"/>
  <c r="N20" i="57"/>
  <c r="J20" i="57"/>
  <c r="DO16" i="57"/>
  <c r="DS16" i="57"/>
  <c r="EE18" i="57"/>
  <c r="DN23" i="57"/>
  <c r="AG70" i="57"/>
  <c r="H19" i="64" s="1"/>
  <c r="J27" i="57"/>
  <c r="L27" i="57"/>
  <c r="DQ29" i="57"/>
  <c r="DP29" i="57"/>
  <c r="DR29" i="57"/>
  <c r="AA24" i="30"/>
  <c r="BB24" i="30" s="1"/>
  <c r="DQ16" i="57"/>
  <c r="DT16" i="57"/>
  <c r="DP16" i="57"/>
  <c r="EB18" i="57"/>
  <c r="AG58" i="57"/>
  <c r="D19" i="64" s="1"/>
  <c r="DR17" i="57"/>
  <c r="DQ17" i="57"/>
  <c r="L20" i="57"/>
  <c r="DI23" i="57"/>
  <c r="DW23" i="57"/>
  <c r="DZ23" i="57"/>
  <c r="DK23" i="57"/>
  <c r="DT29" i="57"/>
  <c r="DO29" i="57"/>
  <c r="DL17" i="57"/>
  <c r="DI17" i="57"/>
  <c r="AA28" i="30"/>
  <c r="BB28" i="30" s="1"/>
  <c r="DL23" i="57"/>
  <c r="CB22" i="30"/>
  <c r="DU23" i="57"/>
  <c r="DO17" i="57"/>
  <c r="DT17" i="57"/>
  <c r="AA14" i="30"/>
  <c r="BB14" i="30" s="1"/>
  <c r="AA26" i="30"/>
  <c r="BB26" i="30" s="1"/>
  <c r="DJ23" i="57"/>
  <c r="DS20" i="57"/>
  <c r="DX23" i="57"/>
  <c r="DM17" i="57"/>
  <c r="EE28" i="57"/>
  <c r="EA28" i="57"/>
  <c r="ED28" i="57"/>
  <c r="EC28" i="57"/>
  <c r="EF28" i="57"/>
  <c r="EB28" i="57"/>
  <c r="I28" i="57"/>
  <c r="G28" i="57"/>
  <c r="M28" i="57"/>
  <c r="S28" i="57"/>
  <c r="K28" i="57"/>
  <c r="EA15" i="57"/>
  <c r="EB15" i="57"/>
  <c r="EE15" i="57"/>
  <c r="ED15" i="57"/>
  <c r="EC15" i="57"/>
  <c r="EF15" i="57"/>
  <c r="Z26" i="30"/>
  <c r="T69" i="57"/>
  <c r="H17" i="57"/>
  <c r="L17" i="57"/>
  <c r="DX15" i="57"/>
  <c r="DV15" i="57"/>
  <c r="DW15" i="57"/>
  <c r="DU15" i="57"/>
  <c r="DY15" i="57"/>
  <c r="DZ15" i="57"/>
  <c r="I26" i="57"/>
  <c r="K26" i="57"/>
  <c r="M26" i="57"/>
  <c r="G26" i="57"/>
  <c r="S26" i="57"/>
  <c r="EE20" i="57"/>
  <c r="EA20" i="57"/>
  <c r="I15" i="57"/>
  <c r="G15" i="57"/>
  <c r="S15" i="57"/>
  <c r="O58" i="57" s="1"/>
  <c r="Z17" i="30"/>
  <c r="T60" i="57"/>
  <c r="EF25" i="57"/>
  <c r="EC25" i="57"/>
  <c r="ED25" i="57"/>
  <c r="EE25" i="57"/>
  <c r="EB25" i="57"/>
  <c r="EA25" i="57"/>
  <c r="H22" i="57"/>
  <c r="J22" i="57"/>
  <c r="L22" i="57"/>
  <c r="N22" i="57"/>
  <c r="EB13" i="57"/>
  <c r="DI18" i="57"/>
  <c r="DM18" i="57"/>
  <c r="DK18" i="57"/>
  <c r="DL18" i="57"/>
  <c r="DN18" i="57"/>
  <c r="DJ18" i="57"/>
  <c r="G13" i="57"/>
  <c r="K13" i="57"/>
  <c r="M13" i="57"/>
  <c r="S13" i="57"/>
  <c r="O56" i="57" s="1"/>
  <c r="I13" i="57"/>
  <c r="DJ19" i="57"/>
  <c r="DL19" i="57"/>
  <c r="DM19" i="57"/>
  <c r="DI19" i="57"/>
  <c r="DK19" i="57"/>
  <c r="DN19" i="57"/>
  <c r="Z19" i="30"/>
  <c r="T62" i="57"/>
  <c r="H16" i="57"/>
  <c r="J16" i="57"/>
  <c r="DO27" i="57"/>
  <c r="DP27" i="57"/>
  <c r="DR27" i="57"/>
  <c r="DS27" i="57"/>
  <c r="DT27" i="57"/>
  <c r="DQ27" i="57"/>
  <c r="DU29" i="57"/>
  <c r="DZ29" i="57"/>
  <c r="DX29" i="57"/>
  <c r="DW29" i="57"/>
  <c r="DY29" i="57"/>
  <c r="DV29" i="57"/>
  <c r="DT23" i="57"/>
  <c r="DR23" i="57"/>
  <c r="DO23" i="57"/>
  <c r="DQ23" i="57"/>
  <c r="DS23" i="57"/>
  <c r="DP23" i="57"/>
  <c r="M21" i="57"/>
  <c r="S21" i="57"/>
  <c r="I21" i="57"/>
  <c r="G21" i="57"/>
  <c r="K21" i="57"/>
  <c r="DN24" i="57"/>
  <c r="DK24" i="57"/>
  <c r="DI24" i="57"/>
  <c r="DL24" i="57"/>
  <c r="DJ24" i="57"/>
  <c r="DM24" i="57"/>
  <c r="DM26" i="57"/>
  <c r="DL26" i="57"/>
  <c r="DJ26" i="57"/>
  <c r="DN26" i="57"/>
  <c r="DI26" i="57"/>
  <c r="DK26" i="57"/>
  <c r="DZ14" i="57"/>
  <c r="DV14" i="57"/>
  <c r="DY14" i="57"/>
  <c r="DX14" i="57"/>
  <c r="DW14" i="57"/>
  <c r="DU14" i="57"/>
  <c r="N28" i="57"/>
  <c r="H28" i="57"/>
  <c r="J28" i="57"/>
  <c r="L28" i="57"/>
  <c r="Z27" i="30"/>
  <c r="T70" i="57"/>
  <c r="DN25" i="57"/>
  <c r="DL25" i="57"/>
  <c r="DK25" i="57"/>
  <c r="DM25" i="57"/>
  <c r="DJ25" i="57"/>
  <c r="DI25" i="57"/>
  <c r="T59" i="57"/>
  <c r="Z16" i="30"/>
  <c r="T64" i="57"/>
  <c r="Z21" i="30"/>
  <c r="Z22" i="30"/>
  <c r="T65" i="57"/>
  <c r="S27" i="57"/>
  <c r="O70" i="57" s="1"/>
  <c r="AC70" i="57" s="1"/>
  <c r="H15" i="64" s="1"/>
  <c r="M27" i="57"/>
  <c r="I27" i="57"/>
  <c r="G27" i="57"/>
  <c r="O27" i="57" s="1"/>
  <c r="G70" i="57" s="1"/>
  <c r="U70" i="57" s="1"/>
  <c r="H20" i="64" s="1"/>
  <c r="K27" i="57"/>
  <c r="T63" i="57"/>
  <c r="Z20" i="30"/>
  <c r="G24" i="57"/>
  <c r="I24" i="57"/>
  <c r="M24" i="57"/>
  <c r="K24" i="57"/>
  <c r="DW25" i="57"/>
  <c r="DZ25" i="57"/>
  <c r="DU25" i="57"/>
  <c r="DV25" i="57"/>
  <c r="DX25" i="57"/>
  <c r="DY25" i="57"/>
  <c r="DZ13" i="57"/>
  <c r="DX13" i="57"/>
  <c r="DV13" i="57"/>
  <c r="DW13" i="57"/>
  <c r="DY13" i="57"/>
  <c r="DU13" i="57"/>
  <c r="DO18" i="57"/>
  <c r="DS18" i="57"/>
  <c r="DR18" i="57"/>
  <c r="DT18" i="57"/>
  <c r="DP18" i="57"/>
  <c r="DQ18" i="57"/>
  <c r="L13" i="57"/>
  <c r="J13" i="57"/>
  <c r="H13" i="57"/>
  <c r="N13" i="57"/>
  <c r="EE13" i="57"/>
  <c r="AA21" i="30"/>
  <c r="BB21" i="30" s="1"/>
  <c r="EF27" i="57"/>
  <c r="ED27" i="57"/>
  <c r="EE27" i="57"/>
  <c r="EA27" i="57"/>
  <c r="EC27" i="57"/>
  <c r="EB27" i="57"/>
  <c r="I22" i="57"/>
  <c r="G22" i="57"/>
  <c r="K22" i="57"/>
  <c r="M22" i="57"/>
  <c r="S22" i="57"/>
  <c r="AE67" i="57"/>
  <c r="EE29" i="57"/>
  <c r="EA29" i="57"/>
  <c r="EC29" i="57"/>
  <c r="EB29" i="57"/>
  <c r="ED29" i="57"/>
  <c r="EF29" i="57"/>
  <c r="AG64" i="57"/>
  <c r="F19" i="64" s="1"/>
  <c r="H21" i="57"/>
  <c r="N21" i="57"/>
  <c r="J21" i="57"/>
  <c r="L21" i="57"/>
  <c r="M16" i="57"/>
  <c r="S16" i="57"/>
  <c r="G16" i="57"/>
  <c r="K16" i="57"/>
  <c r="Q16" i="57" s="1"/>
  <c r="I16" i="57"/>
  <c r="H19" i="57"/>
  <c r="J19" i="57"/>
  <c r="L19" i="57"/>
  <c r="DR25" i="57"/>
  <c r="DT25" i="57"/>
  <c r="DQ25" i="57"/>
  <c r="DS25" i="57"/>
  <c r="DO25" i="57"/>
  <c r="DP25" i="57"/>
  <c r="EC23" i="57"/>
  <c r="EF23" i="57"/>
  <c r="EE23" i="57"/>
  <c r="ED23" i="57"/>
  <c r="EA23" i="57"/>
  <c r="EB23" i="57"/>
  <c r="T71" i="57"/>
  <c r="Z28" i="30"/>
  <c r="DL13" i="57"/>
  <c r="DK13" i="57"/>
  <c r="DN13" i="57"/>
  <c r="DJ13" i="57"/>
  <c r="DM13" i="57"/>
  <c r="DI13" i="57"/>
  <c r="EF18" i="57"/>
  <c r="ED18" i="57"/>
  <c r="I23" i="57"/>
  <c r="G23" i="57"/>
  <c r="S23" i="57"/>
  <c r="M23" i="57"/>
  <c r="K23" i="57"/>
  <c r="EC18" i="57"/>
  <c r="AA29" i="30"/>
  <c r="BB29" i="30" s="1"/>
  <c r="EF13" i="57"/>
  <c r="I20" i="57"/>
  <c r="S20" i="57"/>
  <c r="G20" i="57"/>
  <c r="K20" i="57"/>
  <c r="M20" i="57"/>
  <c r="H18" i="57"/>
  <c r="N18" i="57"/>
  <c r="L18" i="57"/>
  <c r="N29" i="57"/>
  <c r="J29" i="57"/>
  <c r="H29" i="57"/>
  <c r="L29" i="57"/>
  <c r="DP22" i="57"/>
  <c r="DO22" i="57"/>
  <c r="DQ22" i="57"/>
  <c r="DS22" i="57"/>
  <c r="DR22" i="57"/>
  <c r="DT22" i="57"/>
  <c r="DT13" i="57"/>
  <c r="DS13" i="57"/>
  <c r="DQ13" i="57"/>
  <c r="DR13" i="57"/>
  <c r="DP13" i="57"/>
  <c r="DO13" i="57"/>
  <c r="G29" i="57"/>
  <c r="S29" i="57"/>
  <c r="K29" i="57"/>
  <c r="M29" i="57"/>
  <c r="I29" i="57"/>
  <c r="N19" i="57"/>
  <c r="Z29" i="30"/>
  <c r="T72" i="57"/>
  <c r="DX19" i="57"/>
  <c r="DU19" i="57"/>
  <c r="DZ19" i="57"/>
  <c r="DW19" i="57"/>
  <c r="T58" i="57"/>
  <c r="Z15" i="30"/>
  <c r="AA17" i="30"/>
  <c r="BB17" i="30" s="1"/>
  <c r="J26" i="57"/>
  <c r="H26" i="57"/>
  <c r="L26" i="57"/>
  <c r="N26" i="57"/>
  <c r="H23" i="57"/>
  <c r="J23" i="57"/>
  <c r="L23" i="57"/>
  <c r="N23" i="57"/>
  <c r="DY28" i="57"/>
  <c r="DW28" i="57"/>
  <c r="DZ28" i="57"/>
  <c r="DU28" i="57"/>
  <c r="DX28" i="57"/>
  <c r="DV28" i="57"/>
  <c r="N17" i="57"/>
  <c r="DO26" i="57"/>
  <c r="DR26" i="57"/>
  <c r="DP26" i="57"/>
  <c r="DQ26" i="57"/>
  <c r="DS26" i="57"/>
  <c r="DT26" i="57"/>
  <c r="L25" i="57"/>
  <c r="H25" i="57"/>
  <c r="N25" i="57"/>
  <c r="J25" i="57"/>
  <c r="Z18" i="30"/>
  <c r="T61" i="57"/>
  <c r="DJ22" i="57"/>
  <c r="DN22" i="57"/>
  <c r="DK22" i="57"/>
  <c r="DM22" i="57"/>
  <c r="DL22" i="57"/>
  <c r="DI22" i="57"/>
  <c r="EC13" i="57"/>
  <c r="DZ20" i="57"/>
  <c r="DU20" i="57"/>
  <c r="DX20" i="57"/>
  <c r="DV20" i="57"/>
  <c r="DY20" i="57"/>
  <c r="DW20" i="57"/>
  <c r="ED17" i="57"/>
  <c r="EA17" i="57"/>
  <c r="EC17" i="57"/>
  <c r="EF17" i="57"/>
  <c r="EB17" i="57"/>
  <c r="EE17" i="57"/>
  <c r="DU21" i="57"/>
  <c r="DW21" i="57"/>
  <c r="DX21" i="57"/>
  <c r="Z25" i="30"/>
  <c r="T68" i="57"/>
  <c r="K15" i="57"/>
  <c r="ED22" i="57"/>
  <c r="EB22" i="57"/>
  <c r="EE22" i="57"/>
  <c r="EC22" i="57"/>
  <c r="EA22" i="57"/>
  <c r="H15" i="57"/>
  <c r="J15" i="57"/>
  <c r="N15" i="57"/>
  <c r="L15" i="57"/>
  <c r="EE24" i="57"/>
  <c r="EA24" i="57"/>
  <c r="EF24" i="57"/>
  <c r="EB24" i="57"/>
  <c r="ED24" i="57"/>
  <c r="EC24" i="57"/>
  <c r="EE26" i="57"/>
  <c r="EA26" i="57"/>
  <c r="EC26" i="57"/>
  <c r="EB26" i="57"/>
  <c r="EF26" i="57"/>
  <c r="ED26" i="57"/>
  <c r="EA14" i="57"/>
  <c r="EE14" i="57"/>
  <c r="EB14" i="57"/>
  <c r="EF14" i="57"/>
  <c r="ED14" i="57"/>
  <c r="EC14" i="57"/>
  <c r="K17" i="57"/>
  <c r="S17" i="57"/>
  <c r="G17" i="57"/>
  <c r="M17" i="57"/>
  <c r="I17" i="57"/>
  <c r="P17" i="57" s="1"/>
  <c r="DU17" i="57"/>
  <c r="DX17" i="57"/>
  <c r="DZ17" i="57"/>
  <c r="DV17" i="57"/>
  <c r="DY17" i="57"/>
  <c r="DW17" i="57"/>
  <c r="DP24" i="57"/>
  <c r="DO24" i="57"/>
  <c r="DT24" i="57"/>
  <c r="DR24" i="57"/>
  <c r="DQ24" i="57"/>
  <c r="DS24" i="57"/>
  <c r="M14" i="57"/>
  <c r="I14" i="57"/>
  <c r="K14" i="57"/>
  <c r="G14" i="57"/>
  <c r="M25" i="57"/>
  <c r="G25" i="57"/>
  <c r="I25" i="57"/>
  <c r="S25" i="57"/>
  <c r="K25" i="57"/>
  <c r="Z24" i="30"/>
  <c r="T67" i="57"/>
  <c r="M15" i="57"/>
  <c r="DV22" i="57"/>
  <c r="DX22" i="57"/>
  <c r="DU22" i="57"/>
  <c r="DW22" i="57"/>
  <c r="DZ22" i="57"/>
  <c r="DY22" i="57"/>
  <c r="EA13" i="57"/>
  <c r="DY18" i="57"/>
  <c r="DV18" i="57"/>
  <c r="DZ18" i="57"/>
  <c r="DX18" i="57"/>
  <c r="DU18" i="57"/>
  <c r="DW18" i="57"/>
  <c r="S19" i="57"/>
  <c r="K19" i="57"/>
  <c r="I19" i="57"/>
  <c r="M19" i="57"/>
  <c r="G19" i="57"/>
  <c r="C2668" i="39"/>
  <c r="C2667" i="39"/>
  <c r="C2666" i="39"/>
  <c r="C2665" i="39"/>
  <c r="C2664" i="39"/>
  <c r="C2663" i="39"/>
  <c r="C2662" i="39"/>
  <c r="C2661" i="39"/>
  <c r="C2660" i="39"/>
  <c r="C2659" i="39"/>
  <c r="C2658" i="39"/>
  <c r="C2657" i="39"/>
  <c r="C2656" i="39"/>
  <c r="C2655" i="39"/>
  <c r="C2654" i="39"/>
  <c r="C2653" i="39"/>
  <c r="C2652" i="39"/>
  <c r="C2651" i="39"/>
  <c r="C2650" i="39"/>
  <c r="C2649" i="39"/>
  <c r="C2648" i="39"/>
  <c r="C2647" i="39"/>
  <c r="C2646" i="39"/>
  <c r="C2645" i="39"/>
  <c r="C2644" i="39"/>
  <c r="C2643" i="39"/>
  <c r="C2642" i="39"/>
  <c r="C2641" i="39"/>
  <c r="C2640" i="39"/>
  <c r="C2639" i="39"/>
  <c r="C2638" i="39"/>
  <c r="C2637" i="39"/>
  <c r="C2636" i="39"/>
  <c r="C2635" i="39"/>
  <c r="C2632" i="39"/>
  <c r="C2631" i="39"/>
  <c r="C2630" i="39"/>
  <c r="C2629" i="39"/>
  <c r="C2628" i="39"/>
  <c r="C2627" i="39"/>
  <c r="C2626" i="39"/>
  <c r="C2625" i="39"/>
  <c r="C2624" i="39"/>
  <c r="C2623" i="39"/>
  <c r="C2622" i="39"/>
  <c r="C2621" i="39"/>
  <c r="C2620" i="39"/>
  <c r="C2619" i="39"/>
  <c r="C2618" i="39"/>
  <c r="C2617" i="39"/>
  <c r="C2616" i="39"/>
  <c r="C2615" i="39"/>
  <c r="C2614" i="39"/>
  <c r="C2613" i="39"/>
  <c r="C2612" i="39"/>
  <c r="C2611" i="39"/>
  <c r="C2610" i="39"/>
  <c r="C2609" i="39"/>
  <c r="C2608" i="39"/>
  <c r="C2607" i="39"/>
  <c r="C2606" i="39"/>
  <c r="C2605" i="39"/>
  <c r="C2604" i="39"/>
  <c r="C2603" i="39"/>
  <c r="C2602" i="39"/>
  <c r="C2601" i="39"/>
  <c r="C2600" i="39"/>
  <c r="C2599" i="39"/>
  <c r="C2596" i="39"/>
  <c r="C2595" i="39"/>
  <c r="C2594" i="39"/>
  <c r="C2593" i="39"/>
  <c r="C2592" i="39"/>
  <c r="C2591" i="39"/>
  <c r="C2590" i="39"/>
  <c r="C2589" i="39"/>
  <c r="C2588" i="39"/>
  <c r="C2587" i="39"/>
  <c r="C2586" i="39"/>
  <c r="C2585" i="39"/>
  <c r="C2584" i="39"/>
  <c r="C2583" i="39"/>
  <c r="C2582" i="39"/>
  <c r="C2581" i="39"/>
  <c r="C2580" i="39"/>
  <c r="C2579" i="39"/>
  <c r="C2578" i="39"/>
  <c r="C2577" i="39"/>
  <c r="C2576" i="39"/>
  <c r="C2575" i="39"/>
  <c r="C2574" i="39"/>
  <c r="C2573" i="39"/>
  <c r="C2572" i="39"/>
  <c r="C2571" i="39"/>
  <c r="C2570" i="39"/>
  <c r="C2569" i="39"/>
  <c r="C2568" i="39"/>
  <c r="C2567" i="39"/>
  <c r="C2566" i="39"/>
  <c r="C2565" i="39"/>
  <c r="C2564" i="39"/>
  <c r="C2563" i="39"/>
  <c r="C2560" i="39"/>
  <c r="C2559" i="39"/>
  <c r="C2558" i="39"/>
  <c r="C2557" i="39"/>
  <c r="C2556" i="39"/>
  <c r="C2555" i="39"/>
  <c r="C2554" i="39"/>
  <c r="C2553" i="39"/>
  <c r="C2552" i="39"/>
  <c r="C2551" i="39"/>
  <c r="C2550" i="39"/>
  <c r="C2549" i="39"/>
  <c r="C2548" i="39"/>
  <c r="C2547" i="39"/>
  <c r="C2546" i="39"/>
  <c r="C2545" i="39"/>
  <c r="C2544" i="39"/>
  <c r="C2543" i="39"/>
  <c r="C2542" i="39"/>
  <c r="C2541" i="39"/>
  <c r="C2540" i="39"/>
  <c r="C2539" i="39"/>
  <c r="C2538" i="39"/>
  <c r="C2537" i="39"/>
  <c r="C2536" i="39"/>
  <c r="C2535" i="39"/>
  <c r="C2534" i="39"/>
  <c r="C2533" i="39"/>
  <c r="C2532" i="39"/>
  <c r="C2531" i="39"/>
  <c r="C2530" i="39"/>
  <c r="C2529" i="39"/>
  <c r="C2528" i="39"/>
  <c r="C2527" i="39"/>
  <c r="C2524" i="39"/>
  <c r="C2523" i="39"/>
  <c r="C2522" i="39"/>
  <c r="C2521" i="39"/>
  <c r="C2520" i="39"/>
  <c r="C2519" i="39"/>
  <c r="C2518" i="39"/>
  <c r="C2517" i="39"/>
  <c r="C2516" i="39"/>
  <c r="C2515" i="39"/>
  <c r="C2514" i="39"/>
  <c r="C2513" i="39"/>
  <c r="C2512" i="39"/>
  <c r="C2511" i="39"/>
  <c r="C2510" i="39"/>
  <c r="C2509" i="39"/>
  <c r="C2508" i="39"/>
  <c r="C2507" i="39"/>
  <c r="C2506" i="39"/>
  <c r="C2505" i="39"/>
  <c r="C2504" i="39"/>
  <c r="C2503" i="39"/>
  <c r="C2502" i="39"/>
  <c r="C2501" i="39"/>
  <c r="C2500" i="39"/>
  <c r="C2499" i="39"/>
  <c r="C2498" i="39"/>
  <c r="C2497" i="39"/>
  <c r="C2496" i="39"/>
  <c r="C2495" i="39"/>
  <c r="C2494" i="39"/>
  <c r="C2493" i="39"/>
  <c r="C2492" i="39"/>
  <c r="C2491" i="39"/>
  <c r="C2488" i="39"/>
  <c r="C2487" i="39"/>
  <c r="C2486" i="39"/>
  <c r="C2485" i="39"/>
  <c r="C2484" i="39"/>
  <c r="C2483" i="39"/>
  <c r="C2482" i="39"/>
  <c r="C2481" i="39"/>
  <c r="C2480" i="39"/>
  <c r="C2479" i="39"/>
  <c r="C2478" i="39"/>
  <c r="C2477" i="39"/>
  <c r="C2476" i="39"/>
  <c r="C2475" i="39"/>
  <c r="C2474" i="39"/>
  <c r="C2473" i="39"/>
  <c r="C2472" i="39"/>
  <c r="C2471" i="39"/>
  <c r="C2470" i="39"/>
  <c r="C2469" i="39"/>
  <c r="C2468" i="39"/>
  <c r="C2467" i="39"/>
  <c r="C2466" i="39"/>
  <c r="C2465" i="39"/>
  <c r="C2464" i="39"/>
  <c r="C2463" i="39"/>
  <c r="C2462" i="39"/>
  <c r="C2461" i="39"/>
  <c r="C2460" i="39"/>
  <c r="C2459" i="39"/>
  <c r="C2458" i="39"/>
  <c r="C2457" i="39"/>
  <c r="C2456" i="39"/>
  <c r="C2455" i="39"/>
  <c r="C2452" i="39"/>
  <c r="C2451" i="39"/>
  <c r="C2450" i="39"/>
  <c r="C2449" i="39"/>
  <c r="C2448" i="39"/>
  <c r="C2447" i="39"/>
  <c r="C2446" i="39"/>
  <c r="C2445" i="39"/>
  <c r="C2444" i="39"/>
  <c r="C2443" i="39"/>
  <c r="C2442" i="39"/>
  <c r="C2441" i="39"/>
  <c r="C2440" i="39"/>
  <c r="C2439" i="39"/>
  <c r="C2438" i="39"/>
  <c r="C2437" i="39"/>
  <c r="C2436" i="39"/>
  <c r="C2435" i="39"/>
  <c r="C2434" i="39"/>
  <c r="C2433" i="39"/>
  <c r="C2432" i="39"/>
  <c r="C2431" i="39"/>
  <c r="C2430" i="39"/>
  <c r="C2429" i="39"/>
  <c r="C2428" i="39"/>
  <c r="C2427" i="39"/>
  <c r="C2426" i="39"/>
  <c r="C2425" i="39"/>
  <c r="C2424" i="39"/>
  <c r="C2423" i="39"/>
  <c r="C2422" i="39"/>
  <c r="C2421" i="39"/>
  <c r="C2420" i="39"/>
  <c r="C2419" i="39"/>
  <c r="C2416" i="39"/>
  <c r="C2415" i="39"/>
  <c r="C2414" i="39"/>
  <c r="C2413" i="39"/>
  <c r="C2412" i="39"/>
  <c r="C2411" i="39"/>
  <c r="C2410" i="39"/>
  <c r="C2409" i="39"/>
  <c r="C2408" i="39"/>
  <c r="C2407" i="39"/>
  <c r="C2406" i="39"/>
  <c r="C2405" i="39"/>
  <c r="C2404" i="39"/>
  <c r="C2403" i="39"/>
  <c r="C2402" i="39"/>
  <c r="C2401" i="39"/>
  <c r="C2400" i="39"/>
  <c r="C2399" i="39"/>
  <c r="C2398" i="39"/>
  <c r="C2397" i="39"/>
  <c r="C2396" i="39"/>
  <c r="C2395" i="39"/>
  <c r="C2394" i="39"/>
  <c r="C2393" i="39"/>
  <c r="C2392" i="39"/>
  <c r="C2391" i="39"/>
  <c r="C2390" i="39"/>
  <c r="C2389" i="39"/>
  <c r="C2388" i="39"/>
  <c r="C2387" i="39"/>
  <c r="C2386" i="39"/>
  <c r="C2385" i="39"/>
  <c r="C2384" i="39"/>
  <c r="C2383" i="39"/>
  <c r="C2380" i="39"/>
  <c r="C2379" i="39"/>
  <c r="C2378" i="39"/>
  <c r="C2377" i="39"/>
  <c r="C2376" i="39"/>
  <c r="C2375" i="39"/>
  <c r="C2374" i="39"/>
  <c r="C2373" i="39"/>
  <c r="C2372" i="39"/>
  <c r="C2371" i="39"/>
  <c r="C2370" i="39"/>
  <c r="C2369" i="39"/>
  <c r="C2368" i="39"/>
  <c r="C2367" i="39"/>
  <c r="C2366" i="39"/>
  <c r="C2365" i="39"/>
  <c r="C2364" i="39"/>
  <c r="C2363" i="39"/>
  <c r="C2362" i="39"/>
  <c r="C2361" i="39"/>
  <c r="C2360" i="39"/>
  <c r="C2359" i="39"/>
  <c r="C2358" i="39"/>
  <c r="C2357" i="39"/>
  <c r="C2356" i="39"/>
  <c r="C2355" i="39"/>
  <c r="C2354" i="39"/>
  <c r="C2353" i="39"/>
  <c r="C2352" i="39"/>
  <c r="C2351" i="39"/>
  <c r="C2350" i="39"/>
  <c r="C2349" i="39"/>
  <c r="C2348" i="39"/>
  <c r="C2347" i="39"/>
  <c r="C2344" i="39"/>
  <c r="C2343" i="39"/>
  <c r="C2342" i="39"/>
  <c r="C2341" i="39"/>
  <c r="C2340" i="39"/>
  <c r="C2339" i="39"/>
  <c r="C2338" i="39"/>
  <c r="C2337" i="39"/>
  <c r="C2336" i="39"/>
  <c r="C2335" i="39"/>
  <c r="C2334" i="39"/>
  <c r="C2333" i="39"/>
  <c r="C2332" i="39"/>
  <c r="C2331" i="39"/>
  <c r="C2330" i="39"/>
  <c r="C2329" i="39"/>
  <c r="C2328" i="39"/>
  <c r="C2327" i="39"/>
  <c r="C2326" i="39"/>
  <c r="C2325" i="39"/>
  <c r="C2324" i="39"/>
  <c r="C2323" i="39"/>
  <c r="C2322" i="39"/>
  <c r="C2321" i="39"/>
  <c r="C2320" i="39"/>
  <c r="C2319" i="39"/>
  <c r="C2318" i="39"/>
  <c r="C2317" i="39"/>
  <c r="C2316" i="39"/>
  <c r="C2315" i="39"/>
  <c r="C2314" i="39"/>
  <c r="C2313" i="39"/>
  <c r="C2312" i="39"/>
  <c r="C2311" i="39"/>
  <c r="C2310" i="39"/>
  <c r="C2309" i="39"/>
  <c r="C2308" i="39"/>
  <c r="C2307" i="39"/>
  <c r="C2306" i="39"/>
  <c r="C2305" i="39"/>
  <c r="C2304" i="39"/>
  <c r="C2303" i="39"/>
  <c r="C2302" i="39"/>
  <c r="C2301" i="39"/>
  <c r="C2300" i="39"/>
  <c r="C2299" i="39"/>
  <c r="C2298" i="39"/>
  <c r="C2297" i="39"/>
  <c r="C2296" i="39"/>
  <c r="C2295" i="39"/>
  <c r="C2294" i="39"/>
  <c r="C2293" i="39"/>
  <c r="C2292" i="39"/>
  <c r="C2291" i="39"/>
  <c r="C2290" i="39"/>
  <c r="C2289" i="39"/>
  <c r="C2288" i="39"/>
  <c r="C2287" i="39"/>
  <c r="C2286" i="39"/>
  <c r="C2285" i="39"/>
  <c r="C2284" i="39"/>
  <c r="C2283" i="39"/>
  <c r="C2282" i="39"/>
  <c r="C2281" i="39"/>
  <c r="C2280" i="39"/>
  <c r="C2279" i="39"/>
  <c r="C2278" i="39"/>
  <c r="C2277" i="39"/>
  <c r="C2276" i="39"/>
  <c r="C2275" i="39"/>
  <c r="C2274" i="39"/>
  <c r="C2273" i="39"/>
  <c r="C2272" i="39"/>
  <c r="C2271" i="39"/>
  <c r="C2270" i="39"/>
  <c r="C2269" i="39"/>
  <c r="C2268" i="39"/>
  <c r="C2267" i="39"/>
  <c r="C2266" i="39"/>
  <c r="C2265" i="39"/>
  <c r="C2264" i="39"/>
  <c r="C2263" i="39"/>
  <c r="C2262" i="39"/>
  <c r="C2261" i="39"/>
  <c r="C2260" i="39"/>
  <c r="C2259" i="39"/>
  <c r="C2258" i="39"/>
  <c r="C2257" i="39"/>
  <c r="C2256" i="39"/>
  <c r="C2255" i="39"/>
  <c r="C2254" i="39"/>
  <c r="C2253" i="39"/>
  <c r="C2252" i="39"/>
  <c r="C2251" i="39"/>
  <c r="C2250" i="39"/>
  <c r="C2249" i="39"/>
  <c r="C2248" i="39"/>
  <c r="C2247" i="39"/>
  <c r="C2246" i="39"/>
  <c r="C2245" i="39"/>
  <c r="C2244" i="39"/>
  <c r="C2243" i="39"/>
  <c r="C2242" i="39"/>
  <c r="C2241" i="39"/>
  <c r="C2240" i="39"/>
  <c r="C2239" i="39"/>
  <c r="C2236" i="39"/>
  <c r="C2235" i="39"/>
  <c r="C2234" i="39"/>
  <c r="C2233" i="39"/>
  <c r="C2232" i="39"/>
  <c r="C2231" i="39"/>
  <c r="C2230" i="39"/>
  <c r="C2229" i="39"/>
  <c r="C2228" i="39"/>
  <c r="C2227" i="39"/>
  <c r="C2226" i="39"/>
  <c r="C2225" i="39"/>
  <c r="C2224" i="39"/>
  <c r="C2223" i="39"/>
  <c r="C2222" i="39"/>
  <c r="C2221" i="39"/>
  <c r="C2220" i="39"/>
  <c r="C2219" i="39"/>
  <c r="C2218" i="39"/>
  <c r="C2217" i="39"/>
  <c r="C2216" i="39"/>
  <c r="C2215" i="39"/>
  <c r="C2214" i="39"/>
  <c r="C2213" i="39"/>
  <c r="C2212" i="39"/>
  <c r="C2211" i="39"/>
  <c r="C2210" i="39"/>
  <c r="C2209" i="39"/>
  <c r="C2208" i="39"/>
  <c r="C2207" i="39"/>
  <c r="C2206" i="39"/>
  <c r="C2205" i="39"/>
  <c r="C2204" i="39"/>
  <c r="C2203" i="39"/>
  <c r="C2200" i="39"/>
  <c r="C2199" i="39"/>
  <c r="C2198" i="39"/>
  <c r="C2197" i="39"/>
  <c r="C2196" i="39"/>
  <c r="C2195" i="39"/>
  <c r="C2194" i="39"/>
  <c r="C2193" i="39"/>
  <c r="C2192" i="39"/>
  <c r="C2191" i="39"/>
  <c r="C2190" i="39"/>
  <c r="C2189" i="39"/>
  <c r="C2188" i="39"/>
  <c r="C2187" i="39"/>
  <c r="C2186" i="39"/>
  <c r="C2185" i="39"/>
  <c r="C2184" i="39"/>
  <c r="C2183" i="39"/>
  <c r="C2182" i="39"/>
  <c r="C2181" i="39"/>
  <c r="C2180" i="39"/>
  <c r="C2179" i="39"/>
  <c r="C2178" i="39"/>
  <c r="C2177" i="39"/>
  <c r="C2176" i="39"/>
  <c r="C2175" i="39"/>
  <c r="C2174" i="39"/>
  <c r="C2173" i="39"/>
  <c r="C2172" i="39"/>
  <c r="C2171" i="39"/>
  <c r="C2170" i="39"/>
  <c r="C2169" i="39"/>
  <c r="C2168" i="39"/>
  <c r="C2167" i="39"/>
  <c r="C2164" i="39"/>
  <c r="C2163" i="39"/>
  <c r="C2162" i="39"/>
  <c r="C2161" i="39"/>
  <c r="C2160" i="39"/>
  <c r="C2159" i="39"/>
  <c r="C2158" i="39"/>
  <c r="C2157" i="39"/>
  <c r="C2156" i="39"/>
  <c r="C2155" i="39"/>
  <c r="C2154" i="39"/>
  <c r="C2153" i="39"/>
  <c r="C2152" i="39"/>
  <c r="C2151" i="39"/>
  <c r="C2150" i="39"/>
  <c r="C2149" i="39"/>
  <c r="C2148" i="39"/>
  <c r="C2147" i="39"/>
  <c r="C2146" i="39"/>
  <c r="C2145" i="39"/>
  <c r="C2144" i="39"/>
  <c r="C2143" i="39"/>
  <c r="C2142" i="39"/>
  <c r="C2141" i="39"/>
  <c r="C2140" i="39"/>
  <c r="C2139" i="39"/>
  <c r="C2138" i="39"/>
  <c r="C2137" i="39"/>
  <c r="C2136" i="39"/>
  <c r="C2135" i="39"/>
  <c r="C2134" i="39"/>
  <c r="C2133" i="39"/>
  <c r="C2132" i="39"/>
  <c r="C2131" i="39"/>
  <c r="C2128" i="39"/>
  <c r="C2127" i="39"/>
  <c r="C2126" i="39"/>
  <c r="C2125" i="39"/>
  <c r="C2124" i="39"/>
  <c r="C2123" i="39"/>
  <c r="C2122" i="39"/>
  <c r="C2121" i="39"/>
  <c r="C2120" i="39"/>
  <c r="C2119" i="39"/>
  <c r="C2118" i="39"/>
  <c r="C2117" i="39"/>
  <c r="C2116" i="39"/>
  <c r="C2115" i="39"/>
  <c r="C2114" i="39"/>
  <c r="C2113" i="39"/>
  <c r="C2112" i="39"/>
  <c r="C2111" i="39"/>
  <c r="C2110" i="39"/>
  <c r="C2109" i="39"/>
  <c r="C2108" i="39"/>
  <c r="C2107" i="39"/>
  <c r="C2106" i="39"/>
  <c r="C2105" i="39"/>
  <c r="C2104" i="39"/>
  <c r="C2103" i="39"/>
  <c r="C2102" i="39"/>
  <c r="C2101" i="39"/>
  <c r="C2100" i="39"/>
  <c r="C2099" i="39"/>
  <c r="C2098" i="39"/>
  <c r="C2097" i="39"/>
  <c r="C2096" i="39"/>
  <c r="C2095" i="39"/>
  <c r="C2092" i="39"/>
  <c r="C2091" i="39"/>
  <c r="C2090" i="39"/>
  <c r="C2089" i="39"/>
  <c r="C2088" i="39"/>
  <c r="C2087" i="39"/>
  <c r="C2086" i="39"/>
  <c r="C2085" i="39"/>
  <c r="C2084" i="39"/>
  <c r="C2083" i="39"/>
  <c r="C2082" i="39"/>
  <c r="C2081" i="39"/>
  <c r="C2080" i="39"/>
  <c r="C2079" i="39"/>
  <c r="C2078" i="39"/>
  <c r="C2077" i="39"/>
  <c r="C2076" i="39"/>
  <c r="C2075" i="39"/>
  <c r="C2074" i="39"/>
  <c r="C2073" i="39"/>
  <c r="C2072" i="39"/>
  <c r="C2071" i="39"/>
  <c r="C2070" i="39"/>
  <c r="C2069" i="39"/>
  <c r="C2068" i="39"/>
  <c r="C2067" i="39"/>
  <c r="C2066" i="39"/>
  <c r="C2065" i="39"/>
  <c r="C2064" i="39"/>
  <c r="C2063" i="39"/>
  <c r="C2062" i="39"/>
  <c r="C2061" i="39"/>
  <c r="C2060" i="39"/>
  <c r="C2059" i="39"/>
  <c r="C2056" i="39"/>
  <c r="C2055" i="39"/>
  <c r="C2054" i="39"/>
  <c r="C2053" i="39"/>
  <c r="C2052" i="39"/>
  <c r="C2051" i="39"/>
  <c r="C2050" i="39"/>
  <c r="C2049" i="39"/>
  <c r="C2048" i="39"/>
  <c r="C2047" i="39"/>
  <c r="C2046" i="39"/>
  <c r="C2045" i="39"/>
  <c r="C2044" i="39"/>
  <c r="C2043" i="39"/>
  <c r="C2042" i="39"/>
  <c r="C2041" i="39"/>
  <c r="C2040" i="39"/>
  <c r="C2039" i="39"/>
  <c r="C2038" i="39"/>
  <c r="C2037" i="39"/>
  <c r="C2036" i="39"/>
  <c r="C2035" i="39"/>
  <c r="C2034" i="39"/>
  <c r="C2033" i="39"/>
  <c r="C2032" i="39"/>
  <c r="C2031" i="39"/>
  <c r="C2030" i="39"/>
  <c r="C2029" i="39"/>
  <c r="C2028" i="39"/>
  <c r="C2027" i="39"/>
  <c r="C2026" i="39"/>
  <c r="C2025" i="39"/>
  <c r="C2024" i="39"/>
  <c r="C2023" i="39"/>
  <c r="C2020" i="39"/>
  <c r="C2019" i="39"/>
  <c r="C2018" i="39"/>
  <c r="C2017" i="39"/>
  <c r="C2016" i="39"/>
  <c r="C2015" i="39"/>
  <c r="C2014" i="39"/>
  <c r="C2013" i="39"/>
  <c r="C2012" i="39"/>
  <c r="C2011" i="39"/>
  <c r="C2010" i="39"/>
  <c r="C2009" i="39"/>
  <c r="C2008" i="39"/>
  <c r="C2007" i="39"/>
  <c r="C2006" i="39"/>
  <c r="C2005" i="39"/>
  <c r="C2004" i="39"/>
  <c r="C2003" i="39"/>
  <c r="C2002" i="39"/>
  <c r="C2001" i="39"/>
  <c r="C2000" i="39"/>
  <c r="C1999" i="39"/>
  <c r="C1998" i="39"/>
  <c r="C1997" i="39"/>
  <c r="C1996" i="39"/>
  <c r="C1995" i="39"/>
  <c r="C1994" i="39"/>
  <c r="C1993" i="39"/>
  <c r="C1992" i="39"/>
  <c r="C1991" i="39"/>
  <c r="C1990" i="39"/>
  <c r="C1989" i="39"/>
  <c r="C1988" i="39"/>
  <c r="C1987" i="39"/>
  <c r="C1984" i="39"/>
  <c r="C1983" i="39"/>
  <c r="C1982" i="39"/>
  <c r="C1981" i="39"/>
  <c r="C1980" i="39"/>
  <c r="C1979" i="39"/>
  <c r="C1978" i="39"/>
  <c r="C1977" i="39"/>
  <c r="C1976" i="39"/>
  <c r="C1975" i="39"/>
  <c r="C1974" i="39"/>
  <c r="C1973" i="39"/>
  <c r="C1972" i="39"/>
  <c r="C1971" i="39"/>
  <c r="C1970" i="39"/>
  <c r="C1969" i="39"/>
  <c r="C1968" i="39"/>
  <c r="C1967" i="39"/>
  <c r="C1966" i="39"/>
  <c r="C1965" i="39"/>
  <c r="C1964" i="39"/>
  <c r="C1963" i="39"/>
  <c r="C1962" i="39"/>
  <c r="C1961" i="39"/>
  <c r="C1960" i="39"/>
  <c r="C1959" i="39"/>
  <c r="C1958" i="39"/>
  <c r="C1957" i="39"/>
  <c r="C1956" i="39"/>
  <c r="C1955" i="39"/>
  <c r="C1954" i="39"/>
  <c r="C1953" i="39"/>
  <c r="C1952" i="39"/>
  <c r="C1951" i="39"/>
  <c r="C1948" i="39"/>
  <c r="C1947" i="39"/>
  <c r="C1946" i="39"/>
  <c r="C1945" i="39"/>
  <c r="C1944" i="39"/>
  <c r="C1943" i="39"/>
  <c r="C1942" i="39"/>
  <c r="C1941" i="39"/>
  <c r="C1940" i="39"/>
  <c r="C1939" i="39"/>
  <c r="C1938" i="39"/>
  <c r="C1937" i="39"/>
  <c r="C1936" i="39"/>
  <c r="C1935" i="39"/>
  <c r="C1934" i="39"/>
  <c r="C1933" i="39"/>
  <c r="C1932" i="39"/>
  <c r="C1931" i="39"/>
  <c r="C1930" i="39"/>
  <c r="C1929" i="39"/>
  <c r="C1928" i="39"/>
  <c r="C1927" i="39"/>
  <c r="C1926" i="39"/>
  <c r="C1925" i="39"/>
  <c r="C1924" i="39"/>
  <c r="C1923" i="39"/>
  <c r="C1922" i="39"/>
  <c r="C1921" i="39"/>
  <c r="C1920" i="39"/>
  <c r="C1919" i="39"/>
  <c r="C1918" i="39"/>
  <c r="C1917" i="39"/>
  <c r="C1916" i="39"/>
  <c r="C1915" i="39"/>
  <c r="C1912" i="39"/>
  <c r="C1911" i="39"/>
  <c r="C1910" i="39"/>
  <c r="C1909" i="39"/>
  <c r="C1908" i="39"/>
  <c r="C1907" i="39"/>
  <c r="C1906" i="39"/>
  <c r="C1905" i="39"/>
  <c r="C1904" i="39"/>
  <c r="C1903" i="39"/>
  <c r="C1902" i="39"/>
  <c r="C1901" i="39"/>
  <c r="C1900" i="39"/>
  <c r="C1899" i="39"/>
  <c r="C1898" i="39"/>
  <c r="C1897" i="39"/>
  <c r="C1896" i="39"/>
  <c r="C1895" i="39"/>
  <c r="C1894" i="39"/>
  <c r="C1893" i="39"/>
  <c r="C1892" i="39"/>
  <c r="C1891" i="39"/>
  <c r="C1890" i="39"/>
  <c r="C1889" i="39"/>
  <c r="C1888" i="39"/>
  <c r="C1887" i="39"/>
  <c r="C1886" i="39"/>
  <c r="C1885" i="39"/>
  <c r="C1884" i="39"/>
  <c r="C1883" i="39"/>
  <c r="C1882" i="39"/>
  <c r="C1881" i="39"/>
  <c r="C1880" i="39"/>
  <c r="C1879" i="39"/>
  <c r="C1876" i="39"/>
  <c r="C1875" i="39"/>
  <c r="C1874" i="39"/>
  <c r="C1873" i="39"/>
  <c r="C1872" i="39"/>
  <c r="C1871" i="39"/>
  <c r="C1870" i="39"/>
  <c r="C1869" i="39"/>
  <c r="C1868" i="39"/>
  <c r="C1867" i="39"/>
  <c r="C1866" i="39"/>
  <c r="C1865" i="39"/>
  <c r="C1864" i="39"/>
  <c r="C1863" i="39"/>
  <c r="C1862" i="39"/>
  <c r="C1861" i="39"/>
  <c r="C1860" i="39"/>
  <c r="C1859" i="39"/>
  <c r="C1858" i="39"/>
  <c r="C1857" i="39"/>
  <c r="C1856" i="39"/>
  <c r="C1855" i="39"/>
  <c r="C1854" i="39"/>
  <c r="C1853" i="39"/>
  <c r="C1852" i="39"/>
  <c r="C1851" i="39"/>
  <c r="C1850" i="39"/>
  <c r="C1849" i="39"/>
  <c r="C1848" i="39"/>
  <c r="C1847" i="39"/>
  <c r="C1846" i="39"/>
  <c r="C1845" i="39"/>
  <c r="C1844" i="39"/>
  <c r="C1843" i="39"/>
  <c r="C1842" i="39"/>
  <c r="C1841" i="39"/>
  <c r="C1840" i="39"/>
  <c r="C1839" i="39"/>
  <c r="C1838" i="39"/>
  <c r="C1837" i="39"/>
  <c r="C1836" i="39"/>
  <c r="C1835" i="39"/>
  <c r="C1834" i="39"/>
  <c r="C1833" i="39"/>
  <c r="C1832" i="39"/>
  <c r="C1831" i="39"/>
  <c r="C1830" i="39"/>
  <c r="C1829" i="39"/>
  <c r="C1828" i="39"/>
  <c r="C1827" i="39"/>
  <c r="C1826" i="39"/>
  <c r="C1825" i="39"/>
  <c r="C1824" i="39"/>
  <c r="C1823" i="39"/>
  <c r="C1822" i="39"/>
  <c r="C1821" i="39"/>
  <c r="C1820" i="39"/>
  <c r="C1819" i="39"/>
  <c r="C1818" i="39"/>
  <c r="C1817" i="39"/>
  <c r="C1816" i="39"/>
  <c r="C1815" i="39"/>
  <c r="C1814" i="39"/>
  <c r="C1813" i="39"/>
  <c r="C1812" i="39"/>
  <c r="C1811" i="39"/>
  <c r="C1810" i="39"/>
  <c r="C1809" i="39"/>
  <c r="C1808" i="39"/>
  <c r="C1807" i="39"/>
  <c r="C1804" i="39"/>
  <c r="C1803" i="39"/>
  <c r="C1802" i="39"/>
  <c r="C1801" i="39"/>
  <c r="C1800" i="39"/>
  <c r="C1799" i="39"/>
  <c r="C1798" i="39"/>
  <c r="C1797" i="39"/>
  <c r="C1796" i="39"/>
  <c r="C1795" i="39"/>
  <c r="C1794" i="39"/>
  <c r="C1793" i="39"/>
  <c r="C1792" i="39"/>
  <c r="C1791" i="39"/>
  <c r="C1790" i="39"/>
  <c r="C1789" i="39"/>
  <c r="C1788" i="39"/>
  <c r="C1787" i="39"/>
  <c r="C1786" i="39"/>
  <c r="C1785" i="39"/>
  <c r="C1784" i="39"/>
  <c r="C1783" i="39"/>
  <c r="C1782" i="39"/>
  <c r="C1781" i="39"/>
  <c r="C1780" i="39"/>
  <c r="C1779" i="39"/>
  <c r="C1778" i="39"/>
  <c r="C1777" i="39"/>
  <c r="C1776" i="39"/>
  <c r="C1775" i="39"/>
  <c r="C1774" i="39"/>
  <c r="C1773" i="39"/>
  <c r="C1772" i="39"/>
  <c r="C1771" i="39"/>
  <c r="C1770" i="39"/>
  <c r="C1769" i="39"/>
  <c r="C1768" i="39"/>
  <c r="C1767" i="39"/>
  <c r="C1766" i="39"/>
  <c r="C1765" i="39"/>
  <c r="C1764" i="39"/>
  <c r="C1763" i="39"/>
  <c r="C1762" i="39"/>
  <c r="C1761" i="39"/>
  <c r="C1760" i="39"/>
  <c r="C1759" i="39"/>
  <c r="C1758" i="39"/>
  <c r="C1757" i="39"/>
  <c r="C1756" i="39"/>
  <c r="C1755" i="39"/>
  <c r="C1754" i="39"/>
  <c r="C1753" i="39"/>
  <c r="C1752" i="39"/>
  <c r="C1751" i="39"/>
  <c r="C1750" i="39"/>
  <c r="C1749" i="39"/>
  <c r="C1748" i="39"/>
  <c r="C1747" i="39"/>
  <c r="C1746" i="39"/>
  <c r="C1745" i="39"/>
  <c r="C1744" i="39"/>
  <c r="C1743" i="39"/>
  <c r="C1742" i="39"/>
  <c r="C1741" i="39"/>
  <c r="C1740" i="39"/>
  <c r="C1739" i="39"/>
  <c r="C1738" i="39"/>
  <c r="C1737" i="39"/>
  <c r="C1736" i="39"/>
  <c r="C1735" i="39"/>
  <c r="C1732" i="39"/>
  <c r="C1731" i="39"/>
  <c r="C1730" i="39"/>
  <c r="C1729" i="39"/>
  <c r="C1728" i="39"/>
  <c r="C1727" i="39"/>
  <c r="C1726" i="39"/>
  <c r="C1725" i="39"/>
  <c r="C1724" i="39"/>
  <c r="C1723" i="39"/>
  <c r="C1722" i="39"/>
  <c r="C1721" i="39"/>
  <c r="C1720" i="39"/>
  <c r="C1719" i="39"/>
  <c r="C1718" i="39"/>
  <c r="C1717" i="39"/>
  <c r="C1716" i="39"/>
  <c r="C1715" i="39"/>
  <c r="C1714" i="39"/>
  <c r="C1713" i="39"/>
  <c r="C1712" i="39"/>
  <c r="C1711" i="39"/>
  <c r="C1710" i="39"/>
  <c r="C1709" i="39"/>
  <c r="C1708" i="39"/>
  <c r="C1707" i="39"/>
  <c r="C1706" i="39"/>
  <c r="C1705" i="39"/>
  <c r="C1704" i="39"/>
  <c r="C1703" i="39"/>
  <c r="C1702" i="39"/>
  <c r="C1701" i="39"/>
  <c r="C1700" i="39"/>
  <c r="C1699" i="39"/>
  <c r="C1698" i="39"/>
  <c r="C1697" i="39"/>
  <c r="C1696" i="39"/>
  <c r="C1695" i="39"/>
  <c r="C1694" i="39"/>
  <c r="C1693" i="39"/>
  <c r="C1692" i="39"/>
  <c r="C1691" i="39"/>
  <c r="C1690" i="39"/>
  <c r="C1689" i="39"/>
  <c r="C1688" i="39"/>
  <c r="C1687" i="39"/>
  <c r="C1686" i="39"/>
  <c r="C1685" i="39"/>
  <c r="C1684" i="39"/>
  <c r="C1683" i="39"/>
  <c r="C1682" i="39"/>
  <c r="C1681" i="39"/>
  <c r="C1680" i="39"/>
  <c r="C1679" i="39"/>
  <c r="C1678" i="39"/>
  <c r="C1677" i="39"/>
  <c r="C1676" i="39"/>
  <c r="C1675" i="39"/>
  <c r="C1674" i="39"/>
  <c r="C1673" i="39"/>
  <c r="C1672" i="39"/>
  <c r="C1671" i="39"/>
  <c r="C1670" i="39"/>
  <c r="C1669" i="39"/>
  <c r="C1668" i="39"/>
  <c r="C1667" i="39"/>
  <c r="C1666" i="39"/>
  <c r="C1665" i="39"/>
  <c r="C1664" i="39"/>
  <c r="C1663" i="39"/>
  <c r="C1660" i="39"/>
  <c r="C1659" i="39"/>
  <c r="C1658" i="39"/>
  <c r="C1657" i="39"/>
  <c r="C1656" i="39"/>
  <c r="C1655" i="39"/>
  <c r="C1654" i="39"/>
  <c r="C1653" i="39"/>
  <c r="C1652" i="39"/>
  <c r="C1651" i="39"/>
  <c r="C1650" i="39"/>
  <c r="C1649" i="39"/>
  <c r="C1648" i="39"/>
  <c r="C1647" i="39"/>
  <c r="C1646" i="39"/>
  <c r="C1645" i="39"/>
  <c r="C1644" i="39"/>
  <c r="C1643" i="39"/>
  <c r="C1642" i="39"/>
  <c r="C1641" i="39"/>
  <c r="C1640" i="39"/>
  <c r="C1639" i="39"/>
  <c r="C1638" i="39"/>
  <c r="C1637" i="39"/>
  <c r="C1636" i="39"/>
  <c r="C1635" i="39"/>
  <c r="C1634" i="39"/>
  <c r="C1633" i="39"/>
  <c r="C1632" i="39"/>
  <c r="C1631" i="39"/>
  <c r="C1630" i="39"/>
  <c r="C1629" i="39"/>
  <c r="C1628" i="39"/>
  <c r="C1627" i="39"/>
  <c r="C1624" i="39"/>
  <c r="C1623" i="39"/>
  <c r="C1622" i="39"/>
  <c r="C1621" i="39"/>
  <c r="C1620" i="39"/>
  <c r="C1619" i="39"/>
  <c r="C1618" i="39"/>
  <c r="C1617" i="39"/>
  <c r="C1616" i="39"/>
  <c r="C1615" i="39"/>
  <c r="C1614" i="39"/>
  <c r="C1613" i="39"/>
  <c r="C1612" i="39"/>
  <c r="C1611" i="39"/>
  <c r="C1610" i="39"/>
  <c r="C1609" i="39"/>
  <c r="C1608" i="39"/>
  <c r="C1607" i="39"/>
  <c r="C1606" i="39"/>
  <c r="C1605" i="39"/>
  <c r="C1604" i="39"/>
  <c r="C1603" i="39"/>
  <c r="C1602" i="39"/>
  <c r="C1601" i="39"/>
  <c r="C1600" i="39"/>
  <c r="C1599" i="39"/>
  <c r="C1598" i="39"/>
  <c r="C1597" i="39"/>
  <c r="C1596" i="39"/>
  <c r="C1595" i="39"/>
  <c r="C1594" i="39"/>
  <c r="C1593" i="39"/>
  <c r="C1592" i="39"/>
  <c r="C1591" i="39"/>
  <c r="C1590" i="39"/>
  <c r="C1589" i="39"/>
  <c r="C1588" i="39"/>
  <c r="C1587" i="39"/>
  <c r="C1586" i="39"/>
  <c r="C1585" i="39"/>
  <c r="C1584" i="39"/>
  <c r="C1583" i="39"/>
  <c r="C1582" i="39"/>
  <c r="C1581" i="39"/>
  <c r="C1580" i="39"/>
  <c r="C1579" i="39"/>
  <c r="C1578" i="39"/>
  <c r="C1577" i="39"/>
  <c r="C1576" i="39"/>
  <c r="C1575" i="39"/>
  <c r="C1574" i="39"/>
  <c r="C1573" i="39"/>
  <c r="C1572" i="39"/>
  <c r="C1571" i="39"/>
  <c r="C1570" i="39"/>
  <c r="C1569" i="39"/>
  <c r="C1568" i="39"/>
  <c r="C1567" i="39"/>
  <c r="C1566" i="39"/>
  <c r="C1565" i="39"/>
  <c r="C1564" i="39"/>
  <c r="C1563" i="39"/>
  <c r="C1562" i="39"/>
  <c r="C1561" i="39"/>
  <c r="C1560" i="39"/>
  <c r="C1559" i="39"/>
  <c r="C1558" i="39"/>
  <c r="C1557" i="39"/>
  <c r="C1556" i="39"/>
  <c r="C1555" i="39"/>
  <c r="C1552" i="39"/>
  <c r="C1551" i="39"/>
  <c r="C1550" i="39"/>
  <c r="C1549" i="39"/>
  <c r="C1548" i="39"/>
  <c r="C1547" i="39"/>
  <c r="C1546" i="39"/>
  <c r="C1545" i="39"/>
  <c r="C1544" i="39"/>
  <c r="C1543" i="39"/>
  <c r="C1542" i="39"/>
  <c r="C1541" i="39"/>
  <c r="C1540" i="39"/>
  <c r="C1539" i="39"/>
  <c r="C1538" i="39"/>
  <c r="C1537" i="39"/>
  <c r="C1536" i="39"/>
  <c r="C1535" i="39"/>
  <c r="C1534" i="39"/>
  <c r="C1533" i="39"/>
  <c r="C1532" i="39"/>
  <c r="C1531" i="39"/>
  <c r="C1530" i="39"/>
  <c r="C1529" i="39"/>
  <c r="C1528" i="39"/>
  <c r="C1527" i="39"/>
  <c r="C1526" i="39"/>
  <c r="C1525" i="39"/>
  <c r="C1524" i="39"/>
  <c r="C1523" i="39"/>
  <c r="C1522" i="39"/>
  <c r="C1521" i="39"/>
  <c r="C1520" i="39"/>
  <c r="C1519" i="39"/>
  <c r="C1518" i="39"/>
  <c r="C1517" i="39"/>
  <c r="C1516" i="39"/>
  <c r="C1515" i="39"/>
  <c r="C1514" i="39"/>
  <c r="C1513" i="39"/>
  <c r="C1512" i="39"/>
  <c r="C1511" i="39"/>
  <c r="C1510" i="39"/>
  <c r="C1509" i="39"/>
  <c r="C1508" i="39"/>
  <c r="C1507" i="39"/>
  <c r="C1506" i="39"/>
  <c r="C1505" i="39"/>
  <c r="C1504" i="39"/>
  <c r="C1503" i="39"/>
  <c r="C1502" i="39"/>
  <c r="C1501" i="39"/>
  <c r="C1500" i="39"/>
  <c r="C1499" i="39"/>
  <c r="C1498" i="39"/>
  <c r="C1497" i="39"/>
  <c r="C1496" i="39"/>
  <c r="C1495" i="39"/>
  <c r="C1494" i="39"/>
  <c r="C1493" i="39"/>
  <c r="C1492" i="39"/>
  <c r="C1491" i="39"/>
  <c r="C1490" i="39"/>
  <c r="C1489" i="39"/>
  <c r="C1488" i="39"/>
  <c r="C1487" i="39"/>
  <c r="C1486" i="39"/>
  <c r="C1485" i="39"/>
  <c r="C1484" i="39"/>
  <c r="C1483" i="39"/>
  <c r="C1480" i="39"/>
  <c r="C1479" i="39"/>
  <c r="C1478" i="39"/>
  <c r="C1477" i="39"/>
  <c r="C1476" i="39"/>
  <c r="C1475" i="39"/>
  <c r="C1474" i="39"/>
  <c r="C1473" i="39"/>
  <c r="C1472" i="39"/>
  <c r="C1471" i="39"/>
  <c r="C1470" i="39"/>
  <c r="C1469" i="39"/>
  <c r="C1468" i="39"/>
  <c r="C1467" i="39"/>
  <c r="C1466" i="39"/>
  <c r="C1465" i="39"/>
  <c r="C1464" i="39"/>
  <c r="C1463" i="39"/>
  <c r="C1462" i="39"/>
  <c r="C1461" i="39"/>
  <c r="C1460" i="39"/>
  <c r="C1459" i="39"/>
  <c r="C1458" i="39"/>
  <c r="C1457" i="39"/>
  <c r="C1456" i="39"/>
  <c r="C1455" i="39"/>
  <c r="C1454" i="39"/>
  <c r="C1453" i="39"/>
  <c r="C1452" i="39"/>
  <c r="C1451" i="39"/>
  <c r="C1450" i="39"/>
  <c r="C1449" i="39"/>
  <c r="C1448" i="39"/>
  <c r="C1447" i="39"/>
  <c r="C1444" i="39"/>
  <c r="C1443" i="39"/>
  <c r="C1442" i="39"/>
  <c r="C1441" i="39"/>
  <c r="C1440" i="39"/>
  <c r="C1439" i="39"/>
  <c r="C1438" i="39"/>
  <c r="C1437" i="39"/>
  <c r="C1436" i="39"/>
  <c r="C1435" i="39"/>
  <c r="C1434" i="39"/>
  <c r="C1433" i="39"/>
  <c r="C1432" i="39"/>
  <c r="C1431" i="39"/>
  <c r="C1430" i="39"/>
  <c r="C1429" i="39"/>
  <c r="C1428" i="39"/>
  <c r="C1427" i="39"/>
  <c r="C1426" i="39"/>
  <c r="C1425" i="39"/>
  <c r="C1424" i="39"/>
  <c r="C1423" i="39"/>
  <c r="C1422" i="39"/>
  <c r="C1421" i="39"/>
  <c r="C1420" i="39"/>
  <c r="C1419" i="39"/>
  <c r="C1418" i="39"/>
  <c r="C1417" i="39"/>
  <c r="C1416" i="39"/>
  <c r="C1415" i="39"/>
  <c r="C1414" i="39"/>
  <c r="C1413" i="39"/>
  <c r="C1412" i="39"/>
  <c r="C1411" i="39"/>
  <c r="C1408" i="39"/>
  <c r="C1407" i="39"/>
  <c r="C1406" i="39"/>
  <c r="C1405" i="39"/>
  <c r="C1404" i="39"/>
  <c r="C1403" i="39"/>
  <c r="C1402" i="39"/>
  <c r="C1401" i="39"/>
  <c r="C1400" i="39"/>
  <c r="C1399" i="39"/>
  <c r="C1398" i="39"/>
  <c r="C1397" i="39"/>
  <c r="C1396" i="39"/>
  <c r="C1395" i="39"/>
  <c r="C1394" i="39"/>
  <c r="C1393" i="39"/>
  <c r="C1392" i="39"/>
  <c r="C1391" i="39"/>
  <c r="C1390" i="39"/>
  <c r="C1389" i="39"/>
  <c r="C1388" i="39"/>
  <c r="C1387" i="39"/>
  <c r="C1386" i="39"/>
  <c r="C1385" i="39"/>
  <c r="C1384" i="39"/>
  <c r="C1383" i="39"/>
  <c r="C1382" i="39"/>
  <c r="C1381" i="39"/>
  <c r="C1380" i="39"/>
  <c r="C1379" i="39"/>
  <c r="C1378" i="39"/>
  <c r="C1377" i="39"/>
  <c r="C1376" i="39"/>
  <c r="C1375" i="39"/>
  <c r="C1372" i="39"/>
  <c r="C1371" i="39"/>
  <c r="C1370" i="39"/>
  <c r="C1369" i="39"/>
  <c r="C1368" i="39"/>
  <c r="C1367" i="39"/>
  <c r="C1366" i="39"/>
  <c r="C1365" i="39"/>
  <c r="C1364" i="39"/>
  <c r="C1363" i="39"/>
  <c r="C1362" i="39"/>
  <c r="C1361" i="39"/>
  <c r="C1360" i="39"/>
  <c r="C1359" i="39"/>
  <c r="C1358" i="39"/>
  <c r="C1357" i="39"/>
  <c r="C1356" i="39"/>
  <c r="C1355" i="39"/>
  <c r="C1354" i="39"/>
  <c r="C1353" i="39"/>
  <c r="C1352" i="39"/>
  <c r="C1351" i="39"/>
  <c r="C1350" i="39"/>
  <c r="C1349" i="39"/>
  <c r="C1348" i="39"/>
  <c r="C1347" i="39"/>
  <c r="C1346" i="39"/>
  <c r="C1345" i="39"/>
  <c r="C1344" i="39"/>
  <c r="C1343" i="39"/>
  <c r="C1342" i="39"/>
  <c r="C1341" i="39"/>
  <c r="C1340" i="39"/>
  <c r="C1339" i="39"/>
  <c r="C1338" i="39"/>
  <c r="C1337" i="39"/>
  <c r="C1336" i="39"/>
  <c r="C1335" i="39"/>
  <c r="C1334" i="39"/>
  <c r="C1333" i="39"/>
  <c r="C1332" i="39"/>
  <c r="C1331" i="39"/>
  <c r="C1330" i="39"/>
  <c r="C1329" i="39"/>
  <c r="C1328" i="39"/>
  <c r="C1327" i="39"/>
  <c r="C1326" i="39"/>
  <c r="C1325" i="39"/>
  <c r="C1324" i="39"/>
  <c r="C1323" i="39"/>
  <c r="C1322" i="39"/>
  <c r="C1321" i="39"/>
  <c r="C1320" i="39"/>
  <c r="C1319" i="39"/>
  <c r="C1318" i="39"/>
  <c r="C1317" i="39"/>
  <c r="C1316" i="39"/>
  <c r="C1315" i="39"/>
  <c r="C1314" i="39"/>
  <c r="C1313" i="39"/>
  <c r="C1312" i="39"/>
  <c r="C1311" i="39"/>
  <c r="C1310" i="39"/>
  <c r="C1309" i="39"/>
  <c r="C1308" i="39"/>
  <c r="C1307" i="39"/>
  <c r="C1306" i="39"/>
  <c r="C1305" i="39"/>
  <c r="C1304" i="39"/>
  <c r="C1303" i="39"/>
  <c r="C1302" i="39"/>
  <c r="C1301" i="39"/>
  <c r="C1300" i="39"/>
  <c r="C1299" i="39"/>
  <c r="C1298" i="39"/>
  <c r="C1297" i="39"/>
  <c r="C1296" i="39"/>
  <c r="C1295" i="39"/>
  <c r="C1294" i="39"/>
  <c r="C1293" i="39"/>
  <c r="C1292" i="39"/>
  <c r="C1291" i="39"/>
  <c r="C1290" i="39"/>
  <c r="C1289" i="39"/>
  <c r="C1288" i="39"/>
  <c r="C1287" i="39"/>
  <c r="C1286" i="39"/>
  <c r="C1285" i="39"/>
  <c r="C1284" i="39"/>
  <c r="C1283" i="39"/>
  <c r="C1282" i="39"/>
  <c r="C1281" i="39"/>
  <c r="C1280" i="39"/>
  <c r="C1279" i="39"/>
  <c r="C1278" i="39"/>
  <c r="C1277" i="39"/>
  <c r="C1276" i="39"/>
  <c r="C1275" i="39"/>
  <c r="C1274" i="39"/>
  <c r="C1273" i="39"/>
  <c r="C1272" i="39"/>
  <c r="C1271" i="39"/>
  <c r="C1270" i="39"/>
  <c r="C1269" i="39"/>
  <c r="C1268" i="39"/>
  <c r="C1267" i="39"/>
  <c r="C1266" i="39"/>
  <c r="C1265" i="39"/>
  <c r="C1264" i="39"/>
  <c r="C1263" i="39"/>
  <c r="C1262" i="39"/>
  <c r="C1261" i="39"/>
  <c r="C1260" i="39"/>
  <c r="C1259" i="39"/>
  <c r="C1258" i="39"/>
  <c r="C1257" i="39"/>
  <c r="C1256" i="39"/>
  <c r="C1255" i="39"/>
  <c r="C1254" i="39"/>
  <c r="C1253" i="39"/>
  <c r="C1252" i="39"/>
  <c r="C1251" i="39"/>
  <c r="C1250" i="39"/>
  <c r="C1249" i="39"/>
  <c r="C1248" i="39"/>
  <c r="C1247" i="39"/>
  <c r="C1246" i="39"/>
  <c r="C1245" i="39"/>
  <c r="C1244" i="39"/>
  <c r="C1243" i="39"/>
  <c r="C1242" i="39"/>
  <c r="C1241" i="39"/>
  <c r="C1240" i="39"/>
  <c r="C1239" i="39"/>
  <c r="C1238" i="39"/>
  <c r="C1237" i="39"/>
  <c r="C1236" i="39"/>
  <c r="C1235" i="39"/>
  <c r="C1234" i="39"/>
  <c r="C1233" i="39"/>
  <c r="C1232" i="39"/>
  <c r="C1231" i="39"/>
  <c r="C1228" i="39"/>
  <c r="C1227" i="39"/>
  <c r="C1226" i="39"/>
  <c r="C1225" i="39"/>
  <c r="C1224" i="39"/>
  <c r="C1223" i="39"/>
  <c r="C1222" i="39"/>
  <c r="C1221" i="39"/>
  <c r="C1220" i="39"/>
  <c r="C1219" i="39"/>
  <c r="C1218" i="39"/>
  <c r="C1217" i="39"/>
  <c r="C1216" i="39"/>
  <c r="C1215" i="39"/>
  <c r="C1214" i="39"/>
  <c r="C1213" i="39"/>
  <c r="C1212" i="39"/>
  <c r="C1211" i="39"/>
  <c r="C1210" i="39"/>
  <c r="C1209" i="39"/>
  <c r="C1208" i="39"/>
  <c r="C1207" i="39"/>
  <c r="C1206" i="39"/>
  <c r="C1205" i="39"/>
  <c r="C1204" i="39"/>
  <c r="C1203" i="39"/>
  <c r="C1202" i="39"/>
  <c r="C1201" i="39"/>
  <c r="C1200" i="39"/>
  <c r="C1199" i="39"/>
  <c r="C1198" i="39"/>
  <c r="C1197" i="39"/>
  <c r="C1196" i="39"/>
  <c r="C1195" i="39"/>
  <c r="C1192" i="39"/>
  <c r="C1191" i="39"/>
  <c r="C1190" i="39"/>
  <c r="C1189" i="39"/>
  <c r="C1188" i="39"/>
  <c r="C1187" i="39"/>
  <c r="C1186" i="39"/>
  <c r="C1185" i="39"/>
  <c r="C1184" i="39"/>
  <c r="C1183" i="39"/>
  <c r="C1182" i="39"/>
  <c r="C1181" i="39"/>
  <c r="C1180" i="39"/>
  <c r="C1179" i="39"/>
  <c r="C1178" i="39"/>
  <c r="C1177" i="39"/>
  <c r="C1176" i="39"/>
  <c r="C1175" i="39"/>
  <c r="C1174" i="39"/>
  <c r="C1173" i="39"/>
  <c r="C1172" i="39"/>
  <c r="C1171" i="39"/>
  <c r="C1170" i="39"/>
  <c r="C1169" i="39"/>
  <c r="C1168" i="39"/>
  <c r="C1167" i="39"/>
  <c r="C1166" i="39"/>
  <c r="C1165" i="39"/>
  <c r="C1164" i="39"/>
  <c r="C1163" i="39"/>
  <c r="C1162" i="39"/>
  <c r="C1161" i="39"/>
  <c r="C1160" i="39"/>
  <c r="C1159" i="39"/>
  <c r="C1158" i="39"/>
  <c r="C1157" i="39"/>
  <c r="C1156" i="39"/>
  <c r="C1155" i="39"/>
  <c r="C1154" i="39"/>
  <c r="C1153" i="39"/>
  <c r="C1152" i="39"/>
  <c r="C1151" i="39"/>
  <c r="C1150" i="39"/>
  <c r="C1149" i="39"/>
  <c r="C1148" i="39"/>
  <c r="C1147" i="39"/>
  <c r="C1146" i="39"/>
  <c r="C1145" i="39"/>
  <c r="C1144" i="39"/>
  <c r="C1143" i="39"/>
  <c r="C1142" i="39"/>
  <c r="C1141" i="39"/>
  <c r="C1140" i="39"/>
  <c r="C1139" i="39"/>
  <c r="C1138" i="39"/>
  <c r="C1137" i="39"/>
  <c r="C1136" i="39"/>
  <c r="C1135" i="39"/>
  <c r="C1134" i="39"/>
  <c r="C1133" i="39"/>
  <c r="C1132" i="39"/>
  <c r="C1131" i="39"/>
  <c r="C1130" i="39"/>
  <c r="C1129" i="39"/>
  <c r="C1128" i="39"/>
  <c r="C1127" i="39"/>
  <c r="C1126" i="39"/>
  <c r="C1125" i="39"/>
  <c r="C1124" i="39"/>
  <c r="C1123" i="39"/>
  <c r="C1120" i="39"/>
  <c r="C1119" i="39"/>
  <c r="C1118" i="39"/>
  <c r="C1117" i="39"/>
  <c r="C1116" i="39"/>
  <c r="C1115" i="39"/>
  <c r="C1114" i="39"/>
  <c r="C1113" i="39"/>
  <c r="C1112" i="39"/>
  <c r="C1111" i="39"/>
  <c r="C1110" i="39"/>
  <c r="C1109" i="39"/>
  <c r="C1108" i="39"/>
  <c r="C1107" i="39"/>
  <c r="C1106" i="39"/>
  <c r="C1105" i="39"/>
  <c r="C1104" i="39"/>
  <c r="C1103" i="39"/>
  <c r="C1102" i="39"/>
  <c r="C1101" i="39"/>
  <c r="C1100" i="39"/>
  <c r="C1099" i="39"/>
  <c r="C1098" i="39"/>
  <c r="C1097" i="39"/>
  <c r="C1096" i="39"/>
  <c r="C1095" i="39"/>
  <c r="C1094" i="39"/>
  <c r="C1093" i="39"/>
  <c r="C1092" i="39"/>
  <c r="C1091" i="39"/>
  <c r="C1090" i="39"/>
  <c r="C1089" i="39"/>
  <c r="C1088" i="39"/>
  <c r="C1087" i="39"/>
  <c r="C1084" i="39"/>
  <c r="C1083" i="39"/>
  <c r="C1082" i="39"/>
  <c r="C1081" i="39"/>
  <c r="C1080" i="39"/>
  <c r="C1079" i="39"/>
  <c r="C1078" i="39"/>
  <c r="C1077" i="39"/>
  <c r="C1076" i="39"/>
  <c r="C1075" i="39"/>
  <c r="C1074" i="39"/>
  <c r="C1073" i="39"/>
  <c r="C1072" i="39"/>
  <c r="C1071" i="39"/>
  <c r="C1070" i="39"/>
  <c r="C1069" i="39"/>
  <c r="C1068" i="39"/>
  <c r="C1067" i="39"/>
  <c r="C1066" i="39"/>
  <c r="C1065" i="39"/>
  <c r="C1064" i="39"/>
  <c r="C1063" i="39"/>
  <c r="C1062" i="39"/>
  <c r="C1061" i="39"/>
  <c r="C1060" i="39"/>
  <c r="C1059" i="39"/>
  <c r="C1058" i="39"/>
  <c r="C1057" i="39"/>
  <c r="C1056" i="39"/>
  <c r="C1055" i="39"/>
  <c r="C1054" i="39"/>
  <c r="C1053" i="39"/>
  <c r="C1052" i="39"/>
  <c r="C1051" i="39"/>
  <c r="C1050" i="39"/>
  <c r="C1049" i="39"/>
  <c r="C1048" i="39"/>
  <c r="C1047" i="39"/>
  <c r="C1046" i="39"/>
  <c r="C1045" i="39"/>
  <c r="C1044" i="39"/>
  <c r="C1043" i="39"/>
  <c r="C1042" i="39"/>
  <c r="C1041" i="39"/>
  <c r="C1040" i="39"/>
  <c r="C1039" i="39"/>
  <c r="C1038" i="39"/>
  <c r="C1037" i="39"/>
  <c r="C1036" i="39"/>
  <c r="C1035" i="39"/>
  <c r="C1034" i="39"/>
  <c r="C1033" i="39"/>
  <c r="C1032" i="39"/>
  <c r="C1031" i="39"/>
  <c r="C1030" i="39"/>
  <c r="C1029" i="39"/>
  <c r="C1028" i="39"/>
  <c r="C1027" i="39"/>
  <c r="C1026" i="39"/>
  <c r="C1025" i="39"/>
  <c r="C1024" i="39"/>
  <c r="C1023" i="39"/>
  <c r="C1022" i="39"/>
  <c r="C1021" i="39"/>
  <c r="C1020" i="39"/>
  <c r="C1019" i="39"/>
  <c r="C1018" i="39"/>
  <c r="C1017" i="39"/>
  <c r="C1016" i="39"/>
  <c r="C1015" i="39"/>
  <c r="C1012" i="39"/>
  <c r="C1011" i="39"/>
  <c r="C1010" i="39"/>
  <c r="C1009" i="39"/>
  <c r="C1008" i="39"/>
  <c r="C1007" i="39"/>
  <c r="C1006" i="39"/>
  <c r="C1005" i="39"/>
  <c r="C1004" i="39"/>
  <c r="C1003" i="39"/>
  <c r="C1002" i="39"/>
  <c r="C1001" i="39"/>
  <c r="C1000" i="39"/>
  <c r="C999" i="39"/>
  <c r="C998" i="39"/>
  <c r="C997" i="39"/>
  <c r="C996" i="39"/>
  <c r="C995" i="39"/>
  <c r="C994" i="39"/>
  <c r="C993" i="39"/>
  <c r="C992" i="39"/>
  <c r="C991" i="39"/>
  <c r="C990" i="39"/>
  <c r="C989" i="39"/>
  <c r="C988" i="39"/>
  <c r="C987" i="39"/>
  <c r="C986" i="39"/>
  <c r="C985" i="39"/>
  <c r="C984" i="39"/>
  <c r="C983" i="39"/>
  <c r="C982" i="39"/>
  <c r="C981" i="39"/>
  <c r="C980" i="39"/>
  <c r="C979" i="39"/>
  <c r="C976" i="39"/>
  <c r="C975" i="39"/>
  <c r="C974" i="39"/>
  <c r="C973" i="39"/>
  <c r="C972" i="39"/>
  <c r="C971" i="39"/>
  <c r="C970" i="39"/>
  <c r="C969" i="39"/>
  <c r="C968" i="39"/>
  <c r="C967" i="39"/>
  <c r="C966" i="39"/>
  <c r="C965" i="39"/>
  <c r="C964" i="39"/>
  <c r="C963" i="39"/>
  <c r="C962" i="39"/>
  <c r="C961" i="39"/>
  <c r="C960" i="39"/>
  <c r="C959" i="39"/>
  <c r="C958" i="39"/>
  <c r="C957" i="39"/>
  <c r="C956" i="39"/>
  <c r="C955" i="39"/>
  <c r="C954" i="39"/>
  <c r="C953" i="39"/>
  <c r="C952" i="39"/>
  <c r="C951" i="39"/>
  <c r="C950" i="39"/>
  <c r="C949" i="39"/>
  <c r="C948" i="39"/>
  <c r="C947" i="39"/>
  <c r="C946" i="39"/>
  <c r="C945" i="39"/>
  <c r="C944" i="39"/>
  <c r="C943" i="39"/>
  <c r="C940" i="39"/>
  <c r="C939" i="39"/>
  <c r="C938" i="39"/>
  <c r="C937" i="39"/>
  <c r="C936" i="39"/>
  <c r="C935" i="39"/>
  <c r="C934" i="39"/>
  <c r="C933" i="39"/>
  <c r="C932" i="39"/>
  <c r="C931" i="39"/>
  <c r="C930" i="39"/>
  <c r="C929" i="39"/>
  <c r="C928" i="39"/>
  <c r="C927" i="39"/>
  <c r="C926" i="39"/>
  <c r="C925" i="39"/>
  <c r="C924" i="39"/>
  <c r="C923" i="39"/>
  <c r="C922" i="39"/>
  <c r="C921" i="39"/>
  <c r="C920" i="39"/>
  <c r="C919" i="39"/>
  <c r="C918" i="39"/>
  <c r="C917" i="39"/>
  <c r="C916" i="39"/>
  <c r="C915" i="39"/>
  <c r="C914" i="39"/>
  <c r="C913" i="39"/>
  <c r="C912" i="39"/>
  <c r="C911" i="39"/>
  <c r="C910" i="39"/>
  <c r="C909" i="39"/>
  <c r="C908" i="39"/>
  <c r="C907" i="39"/>
  <c r="C904" i="39"/>
  <c r="C903" i="39"/>
  <c r="C902" i="39"/>
  <c r="C901" i="39"/>
  <c r="C900" i="39"/>
  <c r="C899" i="39"/>
  <c r="C898" i="39"/>
  <c r="C897" i="39"/>
  <c r="C896" i="39"/>
  <c r="C895" i="39"/>
  <c r="C894" i="39"/>
  <c r="C893" i="39"/>
  <c r="C892" i="39"/>
  <c r="C891" i="39"/>
  <c r="C890" i="39"/>
  <c r="C889" i="39"/>
  <c r="C888" i="39"/>
  <c r="C887" i="39"/>
  <c r="C886" i="39"/>
  <c r="C885" i="39"/>
  <c r="C884" i="39"/>
  <c r="C883" i="39"/>
  <c r="C882" i="39"/>
  <c r="C881" i="39"/>
  <c r="C880" i="39"/>
  <c r="C879" i="39"/>
  <c r="C878" i="39"/>
  <c r="C877" i="39"/>
  <c r="C876" i="39"/>
  <c r="C875" i="39"/>
  <c r="C874" i="39"/>
  <c r="C873" i="39"/>
  <c r="C872" i="39"/>
  <c r="C871" i="39"/>
  <c r="C868" i="39"/>
  <c r="C867" i="39"/>
  <c r="C866" i="39"/>
  <c r="C865" i="39"/>
  <c r="C864" i="39"/>
  <c r="C863" i="39"/>
  <c r="C862" i="39"/>
  <c r="C861" i="39"/>
  <c r="C860" i="39"/>
  <c r="C859" i="39"/>
  <c r="C858" i="39"/>
  <c r="C857" i="39"/>
  <c r="C856" i="39"/>
  <c r="C855" i="39"/>
  <c r="C854" i="39"/>
  <c r="C853" i="39"/>
  <c r="C852" i="39"/>
  <c r="C851" i="39"/>
  <c r="C850" i="39"/>
  <c r="C849" i="39"/>
  <c r="C848" i="39"/>
  <c r="C847" i="39"/>
  <c r="C846" i="39"/>
  <c r="C845" i="39"/>
  <c r="C844" i="39"/>
  <c r="C843" i="39"/>
  <c r="C842" i="39"/>
  <c r="C841" i="39"/>
  <c r="C840" i="39"/>
  <c r="C839" i="39"/>
  <c r="C838" i="39"/>
  <c r="C837" i="39"/>
  <c r="C836" i="39"/>
  <c r="C835" i="39"/>
  <c r="C832" i="39"/>
  <c r="C831" i="39"/>
  <c r="C830" i="39"/>
  <c r="C829" i="39"/>
  <c r="C828" i="39"/>
  <c r="C827" i="39"/>
  <c r="C826" i="39"/>
  <c r="C825" i="39"/>
  <c r="C824" i="39"/>
  <c r="C823" i="39"/>
  <c r="C822" i="39"/>
  <c r="C821" i="39"/>
  <c r="C820" i="39"/>
  <c r="C819" i="39"/>
  <c r="C818" i="39"/>
  <c r="C817" i="39"/>
  <c r="C816" i="39"/>
  <c r="C815" i="39"/>
  <c r="C814" i="39"/>
  <c r="C813" i="39"/>
  <c r="C812" i="39"/>
  <c r="C811" i="39"/>
  <c r="C810" i="39"/>
  <c r="C809" i="39"/>
  <c r="C808" i="39"/>
  <c r="C807" i="39"/>
  <c r="C806" i="39"/>
  <c r="C805" i="39"/>
  <c r="C804" i="39"/>
  <c r="C803" i="39"/>
  <c r="C802" i="39"/>
  <c r="C801" i="39"/>
  <c r="C800" i="39"/>
  <c r="C799" i="39"/>
  <c r="C796" i="39"/>
  <c r="C795" i="39"/>
  <c r="C794" i="39"/>
  <c r="C793" i="39"/>
  <c r="C792" i="39"/>
  <c r="C791" i="39"/>
  <c r="C790" i="39"/>
  <c r="C789" i="39"/>
  <c r="C788" i="39"/>
  <c r="C787" i="39"/>
  <c r="C786" i="39"/>
  <c r="C785" i="39"/>
  <c r="C784" i="39"/>
  <c r="C783" i="39"/>
  <c r="C782" i="39"/>
  <c r="C781" i="39"/>
  <c r="C780" i="39"/>
  <c r="C779" i="39"/>
  <c r="C778" i="39"/>
  <c r="C777" i="39"/>
  <c r="C776" i="39"/>
  <c r="C775" i="39"/>
  <c r="C774" i="39"/>
  <c r="C773" i="39"/>
  <c r="C772" i="39"/>
  <c r="C771" i="39"/>
  <c r="C770" i="39"/>
  <c r="C769" i="39"/>
  <c r="C768" i="39"/>
  <c r="C767" i="39"/>
  <c r="C766" i="39"/>
  <c r="C765" i="39"/>
  <c r="C764" i="39"/>
  <c r="C763" i="39"/>
  <c r="C760" i="39"/>
  <c r="C759" i="39"/>
  <c r="C758" i="39"/>
  <c r="C757" i="39"/>
  <c r="C756" i="39"/>
  <c r="C755" i="39"/>
  <c r="C754" i="39"/>
  <c r="C753" i="39"/>
  <c r="C752" i="39"/>
  <c r="C751" i="39"/>
  <c r="C750" i="39"/>
  <c r="C749" i="39"/>
  <c r="C748" i="39"/>
  <c r="C747" i="39"/>
  <c r="C746" i="39"/>
  <c r="C745" i="39"/>
  <c r="C744" i="39"/>
  <c r="C743" i="39"/>
  <c r="C742" i="39"/>
  <c r="C741" i="39"/>
  <c r="C740" i="39"/>
  <c r="C739" i="39"/>
  <c r="C738" i="39"/>
  <c r="C737" i="39"/>
  <c r="C736" i="39"/>
  <c r="C735" i="39"/>
  <c r="C734" i="39"/>
  <c r="C733" i="39"/>
  <c r="C732" i="39"/>
  <c r="C731" i="39"/>
  <c r="C730" i="39"/>
  <c r="C729" i="39"/>
  <c r="C728" i="39"/>
  <c r="C727" i="39"/>
  <c r="C724" i="39"/>
  <c r="C723" i="39"/>
  <c r="C722" i="39"/>
  <c r="C721" i="39"/>
  <c r="C720" i="39"/>
  <c r="C719" i="39"/>
  <c r="C718" i="39"/>
  <c r="C717" i="39"/>
  <c r="C716" i="39"/>
  <c r="C715" i="39"/>
  <c r="C714" i="39"/>
  <c r="C713" i="39"/>
  <c r="C712" i="39"/>
  <c r="C711" i="39"/>
  <c r="C710" i="39"/>
  <c r="C709" i="39"/>
  <c r="C708" i="39"/>
  <c r="C707" i="39"/>
  <c r="C706" i="39"/>
  <c r="C705" i="39"/>
  <c r="C704" i="39"/>
  <c r="C703" i="39"/>
  <c r="C702" i="39"/>
  <c r="C701" i="39"/>
  <c r="C700" i="39"/>
  <c r="C699" i="39"/>
  <c r="C698" i="39"/>
  <c r="C697" i="39"/>
  <c r="C696" i="39"/>
  <c r="C695" i="39"/>
  <c r="C694" i="39"/>
  <c r="C693" i="39"/>
  <c r="C692" i="39"/>
  <c r="C691" i="39"/>
  <c r="C690" i="39"/>
  <c r="C689" i="39"/>
  <c r="C688" i="39"/>
  <c r="C687" i="39"/>
  <c r="C686" i="39"/>
  <c r="C685" i="39"/>
  <c r="C684" i="39"/>
  <c r="C683" i="39"/>
  <c r="C682" i="39"/>
  <c r="C681" i="39"/>
  <c r="C680" i="39"/>
  <c r="C679" i="39"/>
  <c r="C678" i="39"/>
  <c r="C677" i="39"/>
  <c r="C676" i="39"/>
  <c r="C675" i="39"/>
  <c r="C674" i="39"/>
  <c r="C673" i="39"/>
  <c r="C672" i="39"/>
  <c r="C671" i="39"/>
  <c r="C670" i="39"/>
  <c r="C669" i="39"/>
  <c r="C668" i="39"/>
  <c r="C667" i="39"/>
  <c r="C666" i="39"/>
  <c r="C665" i="39"/>
  <c r="C664" i="39"/>
  <c r="C663" i="39"/>
  <c r="C662" i="39"/>
  <c r="C661" i="39"/>
  <c r="C660" i="39"/>
  <c r="C659" i="39"/>
  <c r="C658" i="39"/>
  <c r="C657" i="39"/>
  <c r="C656" i="39"/>
  <c r="C655" i="39"/>
  <c r="C654" i="39"/>
  <c r="C653" i="39"/>
  <c r="C652" i="39"/>
  <c r="C651" i="39"/>
  <c r="C650" i="39"/>
  <c r="C649" i="39"/>
  <c r="C648" i="39"/>
  <c r="C647" i="39"/>
  <c r="C646" i="39"/>
  <c r="C645" i="39"/>
  <c r="C644" i="39"/>
  <c r="C643" i="39"/>
  <c r="C642" i="39"/>
  <c r="C641" i="39"/>
  <c r="C640" i="39"/>
  <c r="C639" i="39"/>
  <c r="C638" i="39"/>
  <c r="C637" i="39"/>
  <c r="C636" i="39"/>
  <c r="C635" i="39"/>
  <c r="C634" i="39"/>
  <c r="C633" i="39"/>
  <c r="C632" i="39"/>
  <c r="C631" i="39"/>
  <c r="C630" i="39"/>
  <c r="C629" i="39"/>
  <c r="C628" i="39"/>
  <c r="C627" i="39"/>
  <c r="C626" i="39"/>
  <c r="C625" i="39"/>
  <c r="C624" i="39"/>
  <c r="C623" i="39"/>
  <c r="C622" i="39"/>
  <c r="C621" i="39"/>
  <c r="C620" i="39"/>
  <c r="C619" i="39"/>
  <c r="C616" i="39"/>
  <c r="C615" i="39"/>
  <c r="C614" i="39"/>
  <c r="C613" i="39"/>
  <c r="C612" i="39"/>
  <c r="C611" i="39"/>
  <c r="C610" i="39"/>
  <c r="C609" i="39"/>
  <c r="C608" i="39"/>
  <c r="C607" i="39"/>
  <c r="C606" i="39"/>
  <c r="C605" i="39"/>
  <c r="C604" i="39"/>
  <c r="C603" i="39"/>
  <c r="C602" i="39"/>
  <c r="C601" i="39"/>
  <c r="C600" i="39"/>
  <c r="C599" i="39"/>
  <c r="C598" i="39"/>
  <c r="C597" i="39"/>
  <c r="C596" i="39"/>
  <c r="C595" i="39"/>
  <c r="C594" i="39"/>
  <c r="C593" i="39"/>
  <c r="C592" i="39"/>
  <c r="C591" i="39"/>
  <c r="C590" i="39"/>
  <c r="C589" i="39"/>
  <c r="C588" i="39"/>
  <c r="C587" i="39"/>
  <c r="C586" i="39"/>
  <c r="C585" i="39"/>
  <c r="C584" i="39"/>
  <c r="C583" i="39"/>
  <c r="C580" i="39"/>
  <c r="C579" i="39"/>
  <c r="C578" i="39"/>
  <c r="C577" i="39"/>
  <c r="C576" i="39"/>
  <c r="C575" i="39"/>
  <c r="C574" i="39"/>
  <c r="C573" i="39"/>
  <c r="C572" i="39"/>
  <c r="C571" i="39"/>
  <c r="C570" i="39"/>
  <c r="C569" i="39"/>
  <c r="C568" i="39"/>
  <c r="C567" i="39"/>
  <c r="C566" i="39"/>
  <c r="C565" i="39"/>
  <c r="C564" i="39"/>
  <c r="C563" i="39"/>
  <c r="C562" i="39"/>
  <c r="C561" i="39"/>
  <c r="C560" i="39"/>
  <c r="C559" i="39"/>
  <c r="C558" i="39"/>
  <c r="C557" i="39"/>
  <c r="C556" i="39"/>
  <c r="C555" i="39"/>
  <c r="C554" i="39"/>
  <c r="C553" i="39"/>
  <c r="C552" i="39"/>
  <c r="C551" i="39"/>
  <c r="C550" i="39"/>
  <c r="C549" i="39"/>
  <c r="C548" i="39"/>
  <c r="C547" i="39"/>
  <c r="C544" i="39"/>
  <c r="C543" i="39"/>
  <c r="C542" i="39"/>
  <c r="C541" i="39"/>
  <c r="C540" i="39"/>
  <c r="C539" i="39"/>
  <c r="C538" i="39"/>
  <c r="C537" i="39"/>
  <c r="C536" i="39"/>
  <c r="C535" i="39"/>
  <c r="C534" i="39"/>
  <c r="C533" i="39"/>
  <c r="C532" i="39"/>
  <c r="C531" i="39"/>
  <c r="C530" i="39"/>
  <c r="C529" i="39"/>
  <c r="C528" i="39"/>
  <c r="C527" i="39"/>
  <c r="C526" i="39"/>
  <c r="C525" i="39"/>
  <c r="C524" i="39"/>
  <c r="C523" i="39"/>
  <c r="C522" i="39"/>
  <c r="C521" i="39"/>
  <c r="C520" i="39"/>
  <c r="C519" i="39"/>
  <c r="C518" i="39"/>
  <c r="C517" i="39"/>
  <c r="C516" i="39"/>
  <c r="C515" i="39"/>
  <c r="C514" i="39"/>
  <c r="C513" i="39"/>
  <c r="C512" i="39"/>
  <c r="C511" i="39"/>
  <c r="C508" i="39"/>
  <c r="C507" i="39"/>
  <c r="C506" i="39"/>
  <c r="C505" i="39"/>
  <c r="C504" i="39"/>
  <c r="C503" i="39"/>
  <c r="C502" i="39"/>
  <c r="C501" i="39"/>
  <c r="C500" i="39"/>
  <c r="C499" i="39"/>
  <c r="C498" i="39"/>
  <c r="C497" i="39"/>
  <c r="C496" i="39"/>
  <c r="C495" i="39"/>
  <c r="C494" i="39"/>
  <c r="C493" i="39"/>
  <c r="C492" i="39"/>
  <c r="C491" i="39"/>
  <c r="C490" i="39"/>
  <c r="C489" i="39"/>
  <c r="C488" i="39"/>
  <c r="C487" i="39"/>
  <c r="C486" i="39"/>
  <c r="C485" i="39"/>
  <c r="C484" i="39"/>
  <c r="C483" i="39"/>
  <c r="C482" i="39"/>
  <c r="C481" i="39"/>
  <c r="C480" i="39"/>
  <c r="C479" i="39"/>
  <c r="C478" i="39"/>
  <c r="C477" i="39"/>
  <c r="C476" i="39"/>
  <c r="C475" i="39"/>
  <c r="C472" i="39"/>
  <c r="C471" i="39"/>
  <c r="C470" i="39"/>
  <c r="C469" i="39"/>
  <c r="C468" i="39"/>
  <c r="C467" i="39"/>
  <c r="C466" i="39"/>
  <c r="C465" i="39"/>
  <c r="C464" i="39"/>
  <c r="C463" i="39"/>
  <c r="C462" i="39"/>
  <c r="C461" i="39"/>
  <c r="C460" i="39"/>
  <c r="C459" i="39"/>
  <c r="C458" i="39"/>
  <c r="C457" i="39"/>
  <c r="C456" i="39"/>
  <c r="C455" i="39"/>
  <c r="C454" i="39"/>
  <c r="C453" i="39"/>
  <c r="C452" i="39"/>
  <c r="C451" i="39"/>
  <c r="C450" i="39"/>
  <c r="C449" i="39"/>
  <c r="C448" i="39"/>
  <c r="C447" i="39"/>
  <c r="C446" i="39"/>
  <c r="C445" i="39"/>
  <c r="C444" i="39"/>
  <c r="C443" i="39"/>
  <c r="C442" i="39"/>
  <c r="C441" i="39"/>
  <c r="C440" i="39"/>
  <c r="C439" i="39"/>
  <c r="C438" i="39"/>
  <c r="C437" i="39"/>
  <c r="C436" i="39"/>
  <c r="C435" i="39"/>
  <c r="C434" i="39"/>
  <c r="C433" i="39"/>
  <c r="C432" i="39"/>
  <c r="C431" i="39"/>
  <c r="C430" i="39"/>
  <c r="C429" i="39"/>
  <c r="C428" i="39"/>
  <c r="C427" i="39"/>
  <c r="C426" i="39"/>
  <c r="C425" i="39"/>
  <c r="C424" i="39"/>
  <c r="C423" i="39"/>
  <c r="C422" i="39"/>
  <c r="C421" i="39"/>
  <c r="C420" i="39"/>
  <c r="C419" i="39"/>
  <c r="C418" i="39"/>
  <c r="C417" i="39"/>
  <c r="C416" i="39"/>
  <c r="C415" i="39"/>
  <c r="C414" i="39"/>
  <c r="C413" i="39"/>
  <c r="C412" i="39"/>
  <c r="C411" i="39"/>
  <c r="C410" i="39"/>
  <c r="C409" i="39"/>
  <c r="C408" i="39"/>
  <c r="C407" i="39"/>
  <c r="C406" i="39"/>
  <c r="C405" i="39"/>
  <c r="C404" i="39"/>
  <c r="C403" i="39"/>
  <c r="C400" i="39"/>
  <c r="C399" i="39"/>
  <c r="C398" i="39"/>
  <c r="C397" i="39"/>
  <c r="C396" i="39"/>
  <c r="C395" i="39"/>
  <c r="C394" i="39"/>
  <c r="C393" i="39"/>
  <c r="C392" i="39"/>
  <c r="C391" i="39"/>
  <c r="C390" i="39"/>
  <c r="C389" i="39"/>
  <c r="C388" i="39"/>
  <c r="C387" i="39"/>
  <c r="C386" i="39"/>
  <c r="C385" i="39"/>
  <c r="C384" i="39"/>
  <c r="C383" i="39"/>
  <c r="C382" i="39"/>
  <c r="C381" i="39"/>
  <c r="C380" i="39"/>
  <c r="C379" i="39"/>
  <c r="C378" i="39"/>
  <c r="C377" i="39"/>
  <c r="C376" i="39"/>
  <c r="C375" i="39"/>
  <c r="C374" i="39"/>
  <c r="C373" i="39"/>
  <c r="C372" i="39"/>
  <c r="C371" i="39"/>
  <c r="C370" i="39"/>
  <c r="C369" i="39"/>
  <c r="C368" i="39"/>
  <c r="C367" i="39"/>
  <c r="C364" i="39"/>
  <c r="C363" i="39"/>
  <c r="C362" i="39"/>
  <c r="C361" i="39"/>
  <c r="C360" i="39"/>
  <c r="C359" i="39"/>
  <c r="C358" i="39"/>
  <c r="C357" i="39"/>
  <c r="C356" i="39"/>
  <c r="C355" i="39"/>
  <c r="C354" i="39"/>
  <c r="C353" i="39"/>
  <c r="C352" i="39"/>
  <c r="C351" i="39"/>
  <c r="C350" i="39"/>
  <c r="C349" i="39"/>
  <c r="C348" i="39"/>
  <c r="C347" i="39"/>
  <c r="C346" i="39"/>
  <c r="C345" i="39"/>
  <c r="C344" i="39"/>
  <c r="C343" i="39"/>
  <c r="C342" i="39"/>
  <c r="C341" i="39"/>
  <c r="C340" i="39"/>
  <c r="C339" i="39"/>
  <c r="C338" i="39"/>
  <c r="C337" i="39"/>
  <c r="C336" i="39"/>
  <c r="C335" i="39"/>
  <c r="C334" i="39"/>
  <c r="C333" i="39"/>
  <c r="C332" i="39"/>
  <c r="C331" i="39"/>
  <c r="C328" i="39"/>
  <c r="C327" i="39"/>
  <c r="C326" i="39"/>
  <c r="C325" i="39"/>
  <c r="C324" i="39"/>
  <c r="C323" i="39"/>
  <c r="C322" i="39"/>
  <c r="C321" i="39"/>
  <c r="C320" i="39"/>
  <c r="C319" i="39"/>
  <c r="C318" i="39"/>
  <c r="C317" i="39"/>
  <c r="C316" i="39"/>
  <c r="C315" i="39"/>
  <c r="C314" i="39"/>
  <c r="C313" i="39"/>
  <c r="C312" i="39"/>
  <c r="C311" i="39"/>
  <c r="C310" i="39"/>
  <c r="C309" i="39"/>
  <c r="C308" i="39"/>
  <c r="C307" i="39"/>
  <c r="C306" i="39"/>
  <c r="C305" i="39"/>
  <c r="C304" i="39"/>
  <c r="C303" i="39"/>
  <c r="C302" i="39"/>
  <c r="C301" i="39"/>
  <c r="C300" i="39"/>
  <c r="C299" i="39"/>
  <c r="C298" i="39"/>
  <c r="C297" i="39"/>
  <c r="C296" i="39"/>
  <c r="C295" i="39"/>
  <c r="C292" i="39"/>
  <c r="C291" i="39"/>
  <c r="C290" i="39"/>
  <c r="C289" i="39"/>
  <c r="C288" i="39"/>
  <c r="C287" i="39"/>
  <c r="C286" i="39"/>
  <c r="C285" i="39"/>
  <c r="C284" i="39"/>
  <c r="C283" i="39"/>
  <c r="C282" i="39"/>
  <c r="C281" i="39"/>
  <c r="C280" i="39"/>
  <c r="C279" i="39"/>
  <c r="C278" i="39"/>
  <c r="C277" i="39"/>
  <c r="C276" i="39"/>
  <c r="C275" i="39"/>
  <c r="C274" i="39"/>
  <c r="C273" i="39"/>
  <c r="C272" i="39"/>
  <c r="C271" i="39"/>
  <c r="C270" i="39"/>
  <c r="C269" i="39"/>
  <c r="C268" i="39"/>
  <c r="C267" i="39"/>
  <c r="C266" i="39"/>
  <c r="C265" i="39"/>
  <c r="C264" i="39"/>
  <c r="C263" i="39"/>
  <c r="C262" i="39"/>
  <c r="C261" i="39"/>
  <c r="C260" i="39"/>
  <c r="C259" i="39"/>
  <c r="C256" i="39"/>
  <c r="C255" i="39"/>
  <c r="C254" i="39"/>
  <c r="C253" i="39"/>
  <c r="C252" i="39"/>
  <c r="C251" i="39"/>
  <c r="C250" i="39"/>
  <c r="C249" i="39"/>
  <c r="C248" i="39"/>
  <c r="C247" i="39"/>
  <c r="C246" i="39"/>
  <c r="C245" i="39"/>
  <c r="C244" i="39"/>
  <c r="C243" i="39"/>
  <c r="C242" i="39"/>
  <c r="C241" i="39"/>
  <c r="C240" i="39"/>
  <c r="C239" i="39"/>
  <c r="C238" i="39"/>
  <c r="C237" i="39"/>
  <c r="C236" i="39"/>
  <c r="C235" i="39"/>
  <c r="C234" i="39"/>
  <c r="C233" i="39"/>
  <c r="C232" i="39"/>
  <c r="C231" i="39"/>
  <c r="C230" i="39"/>
  <c r="C229" i="39"/>
  <c r="C228" i="39"/>
  <c r="C227" i="39"/>
  <c r="C226" i="39"/>
  <c r="C225" i="39"/>
  <c r="C224" i="39"/>
  <c r="C223" i="39"/>
  <c r="C220" i="39"/>
  <c r="C219" i="39"/>
  <c r="C218" i="39"/>
  <c r="C217" i="39"/>
  <c r="C216" i="39"/>
  <c r="C215" i="39"/>
  <c r="C214" i="39"/>
  <c r="C213" i="39"/>
  <c r="C212" i="39"/>
  <c r="C211" i="39"/>
  <c r="C210" i="39"/>
  <c r="C209" i="39"/>
  <c r="C208" i="39"/>
  <c r="C207" i="39"/>
  <c r="C206" i="39"/>
  <c r="C205" i="39"/>
  <c r="C204" i="39"/>
  <c r="C203" i="39"/>
  <c r="C202" i="39"/>
  <c r="C201" i="39"/>
  <c r="C200" i="39"/>
  <c r="C199" i="39"/>
  <c r="C198" i="39"/>
  <c r="C197" i="39"/>
  <c r="C196" i="39"/>
  <c r="C195" i="39"/>
  <c r="C194" i="39"/>
  <c r="C193" i="39"/>
  <c r="C192" i="39"/>
  <c r="C191" i="39"/>
  <c r="C190" i="39"/>
  <c r="C189" i="39"/>
  <c r="C188" i="39"/>
  <c r="C187" i="39"/>
  <c r="C184" i="39"/>
  <c r="C183" i="39"/>
  <c r="C182" i="39"/>
  <c r="C181" i="39"/>
  <c r="C180" i="39"/>
  <c r="C179" i="39"/>
  <c r="C178" i="39"/>
  <c r="C177" i="39"/>
  <c r="C176" i="39"/>
  <c r="C175" i="39"/>
  <c r="C174" i="39"/>
  <c r="C173" i="39"/>
  <c r="C172" i="39"/>
  <c r="C171" i="39"/>
  <c r="C170" i="39"/>
  <c r="C169" i="39"/>
  <c r="C168" i="39"/>
  <c r="C167" i="39"/>
  <c r="C166" i="39"/>
  <c r="C165" i="39"/>
  <c r="C164" i="39"/>
  <c r="C163" i="39"/>
  <c r="C162" i="39"/>
  <c r="C161" i="39"/>
  <c r="C160" i="39"/>
  <c r="C159" i="39"/>
  <c r="C158" i="39"/>
  <c r="C157" i="39"/>
  <c r="C156" i="39"/>
  <c r="C155" i="39"/>
  <c r="C154" i="39"/>
  <c r="C153" i="39"/>
  <c r="C152" i="39"/>
  <c r="C151" i="39"/>
  <c r="C148" i="39"/>
  <c r="C147" i="39"/>
  <c r="C146" i="39"/>
  <c r="C145" i="39"/>
  <c r="C144" i="39"/>
  <c r="C143" i="39"/>
  <c r="C142" i="39"/>
  <c r="C141" i="39"/>
  <c r="C140" i="39"/>
  <c r="C139" i="39"/>
  <c r="C138" i="39"/>
  <c r="C137" i="39"/>
  <c r="C136" i="39"/>
  <c r="C135" i="39"/>
  <c r="C134" i="39"/>
  <c r="C133" i="39"/>
  <c r="C132" i="39"/>
  <c r="C131" i="39"/>
  <c r="C130" i="39"/>
  <c r="C129" i="39"/>
  <c r="C128" i="39"/>
  <c r="C127" i="39"/>
  <c r="C126" i="39"/>
  <c r="C125" i="39"/>
  <c r="C124" i="39"/>
  <c r="C123" i="39"/>
  <c r="C122" i="39"/>
  <c r="C121" i="39"/>
  <c r="C120" i="39"/>
  <c r="C119" i="39"/>
  <c r="C118" i="39"/>
  <c r="C117" i="39"/>
  <c r="C116" i="39"/>
  <c r="C115" i="39"/>
  <c r="C112" i="39"/>
  <c r="C111" i="39"/>
  <c r="C110" i="39"/>
  <c r="C109" i="39"/>
  <c r="C108" i="39"/>
  <c r="C107" i="39"/>
  <c r="C106" i="39"/>
  <c r="C105" i="39"/>
  <c r="C104" i="39"/>
  <c r="C103" i="39"/>
  <c r="C102" i="39"/>
  <c r="C101" i="39"/>
  <c r="C100" i="39"/>
  <c r="C99" i="39"/>
  <c r="C98" i="39"/>
  <c r="C97" i="39"/>
  <c r="C96" i="39"/>
  <c r="C95" i="39"/>
  <c r="C94" i="39"/>
  <c r="C93" i="39"/>
  <c r="C92" i="39"/>
  <c r="C91" i="39"/>
  <c r="C90" i="39"/>
  <c r="C89" i="39"/>
  <c r="C88" i="39"/>
  <c r="C87" i="39"/>
  <c r="C86" i="39"/>
  <c r="C85" i="39"/>
  <c r="C84" i="39"/>
  <c r="C83" i="39"/>
  <c r="C82" i="39"/>
  <c r="C81" i="39"/>
  <c r="C80" i="39"/>
  <c r="C79" i="39"/>
  <c r="C76" i="39"/>
  <c r="C75" i="39"/>
  <c r="C74" i="39"/>
  <c r="C73" i="39"/>
  <c r="C72" i="39"/>
  <c r="C71" i="39"/>
  <c r="C70" i="39"/>
  <c r="C69" i="39"/>
  <c r="C68" i="39"/>
  <c r="C67" i="39"/>
  <c r="C66" i="39"/>
  <c r="C65" i="39"/>
  <c r="C64" i="39"/>
  <c r="C63" i="39"/>
  <c r="C62" i="39"/>
  <c r="C61" i="39"/>
  <c r="C60" i="39"/>
  <c r="C59" i="39"/>
  <c r="C58" i="39"/>
  <c r="C57" i="39"/>
  <c r="C56" i="39"/>
  <c r="C55" i="39"/>
  <c r="C54" i="39"/>
  <c r="C53" i="39"/>
  <c r="C52" i="39"/>
  <c r="C51" i="39"/>
  <c r="C50" i="39"/>
  <c r="C49" i="39"/>
  <c r="C48" i="39"/>
  <c r="C47" i="39"/>
  <c r="C46" i="39"/>
  <c r="C45" i="39"/>
  <c r="C44" i="39"/>
  <c r="C43" i="39"/>
  <c r="EC20" i="57" l="1"/>
  <c r="ED20" i="57"/>
  <c r="EB20" i="57"/>
  <c r="DT19" i="57"/>
  <c r="S24" i="57"/>
  <c r="DV19" i="57"/>
  <c r="AA13" i="30"/>
  <c r="DZ21" i="57"/>
  <c r="DV21" i="57"/>
  <c r="BX38" i="57"/>
  <c r="N24" i="57"/>
  <c r="R24" i="57" s="1"/>
  <c r="J24" i="57"/>
  <c r="P24" i="57" s="1"/>
  <c r="DS21" i="57"/>
  <c r="Z13" i="30"/>
  <c r="H42" i="84" s="1"/>
  <c r="O20" i="57"/>
  <c r="T66" i="57"/>
  <c r="AE64" i="57"/>
  <c r="K18" i="57"/>
  <c r="Q18" i="57" s="1"/>
  <c r="I61" i="57" s="1"/>
  <c r="W61" i="57" s="1"/>
  <c r="E22" i="64" s="1"/>
  <c r="T57" i="57"/>
  <c r="G18" i="57"/>
  <c r="O18" i="57" s="1"/>
  <c r="G61" i="57" s="1"/>
  <c r="U61" i="57" s="1"/>
  <c r="E20" i="64" s="1"/>
  <c r="DP19" i="57"/>
  <c r="M18" i="57"/>
  <c r="R18" i="57" s="1"/>
  <c r="J61" i="57" s="1"/>
  <c r="X61" i="57" s="1"/>
  <c r="E23" i="64" s="1"/>
  <c r="Q24" i="57"/>
  <c r="H24" i="57"/>
  <c r="O24" i="57" s="1"/>
  <c r="DO19" i="57"/>
  <c r="DR19" i="57"/>
  <c r="S14" i="57"/>
  <c r="DQ19" i="57"/>
  <c r="L14" i="57"/>
  <c r="Q14" i="57" s="1"/>
  <c r="DU16" i="57"/>
  <c r="AA20" i="30"/>
  <c r="BB20" i="30" s="1"/>
  <c r="AG61" i="57"/>
  <c r="E19" i="64" s="1"/>
  <c r="H14" i="57"/>
  <c r="O14" i="57" s="1"/>
  <c r="DK21" i="57"/>
  <c r="DP21" i="57"/>
  <c r="DQ21" i="57"/>
  <c r="I18" i="57"/>
  <c r="P18" i="57" s="1"/>
  <c r="H61" i="57" s="1"/>
  <c r="V61" i="57" s="1"/>
  <c r="E21" i="64" s="1"/>
  <c r="AC58" i="57"/>
  <c r="D15" i="64" s="1"/>
  <c r="DO21" i="57"/>
  <c r="J14" i="57"/>
  <c r="P14" i="57" s="1"/>
  <c r="DT21" i="57"/>
  <c r="DO20" i="57"/>
  <c r="DQ20" i="57"/>
  <c r="DM21" i="57"/>
  <c r="DW16" i="57"/>
  <c r="DT20" i="57"/>
  <c r="DX16" i="57"/>
  <c r="DR20" i="57"/>
  <c r="DZ16" i="57"/>
  <c r="DY16" i="57"/>
  <c r="BX37" i="57"/>
  <c r="DI14" i="57"/>
  <c r="AG67" i="57"/>
  <c r="G19" i="64" s="1"/>
  <c r="DI29" i="57"/>
  <c r="DI21" i="57"/>
  <c r="AD37" i="57"/>
  <c r="DN21" i="57"/>
  <c r="DL21" i="57"/>
  <c r="DM14" i="57"/>
  <c r="DJ14" i="57"/>
  <c r="DM29" i="57"/>
  <c r="DK14" i="57"/>
  <c r="DL14" i="57"/>
  <c r="AF58" i="57"/>
  <c r="D18" i="64" s="1"/>
  <c r="DL29" i="57"/>
  <c r="DR15" i="57"/>
  <c r="DO15" i="57"/>
  <c r="DP15" i="57"/>
  <c r="DJ29" i="57"/>
  <c r="DN29" i="57"/>
  <c r="DJ16" i="57"/>
  <c r="DS15" i="57"/>
  <c r="DQ15" i="57"/>
  <c r="DN16" i="57"/>
  <c r="DM16" i="57"/>
  <c r="DK16" i="57"/>
  <c r="DI16" i="57"/>
  <c r="I58" i="57"/>
  <c r="W58" i="57" s="1"/>
  <c r="D22" i="64" s="1"/>
  <c r="BB16" i="30"/>
  <c r="CB16" i="30"/>
  <c r="CK16" i="30" s="1"/>
  <c r="BB15" i="30"/>
  <c r="CB15" i="30"/>
  <c r="CK15" i="30" s="1"/>
  <c r="BB18" i="30"/>
  <c r="AB18" i="30"/>
  <c r="CK18" i="30" s="1"/>
  <c r="CL18" i="30" s="1"/>
  <c r="E15" i="5" s="1"/>
  <c r="E19" i="5" s="1"/>
  <c r="V58" i="57"/>
  <c r="D21" i="64" s="1"/>
  <c r="BB13" i="30"/>
  <c r="R27" i="57"/>
  <c r="J70" i="57" s="1"/>
  <c r="X70" i="57" s="1"/>
  <c r="H23" i="64" s="1"/>
  <c r="P20" i="57"/>
  <c r="O16" i="57"/>
  <c r="P13" i="57"/>
  <c r="R16" i="57"/>
  <c r="Q20" i="57"/>
  <c r="P27" i="57"/>
  <c r="H70" i="57" s="1"/>
  <c r="V70" i="57" s="1"/>
  <c r="H21" i="64" s="1"/>
  <c r="P22" i="57"/>
  <c r="Q27" i="57"/>
  <c r="I70" i="57" s="1"/>
  <c r="W70" i="57" s="1"/>
  <c r="H22" i="64" s="1"/>
  <c r="P15" i="57"/>
  <c r="Q17" i="57"/>
  <c r="P16" i="57"/>
  <c r="R20" i="57"/>
  <c r="R14" i="57"/>
  <c r="J57" i="57" s="1"/>
  <c r="O17" i="57"/>
  <c r="R22" i="57"/>
  <c r="Q22" i="57"/>
  <c r="AH61" i="57"/>
  <c r="E14" i="64" s="1"/>
  <c r="O22" i="57"/>
  <c r="P19" i="57"/>
  <c r="O13" i="57"/>
  <c r="P25" i="57"/>
  <c r="R19" i="57"/>
  <c r="AH67" i="57"/>
  <c r="G14" i="64" s="1"/>
  <c r="R21" i="57"/>
  <c r="Q13" i="57"/>
  <c r="P29" i="57"/>
  <c r="R13" i="57"/>
  <c r="R17" i="57"/>
  <c r="Q15" i="57"/>
  <c r="Q25" i="57"/>
  <c r="O25" i="57"/>
  <c r="P28" i="57"/>
  <c r="AH70" i="57"/>
  <c r="H14" i="64" s="1"/>
  <c r="Q21" i="57"/>
  <c r="R26" i="57"/>
  <c r="O28" i="57"/>
  <c r="R25" i="57"/>
  <c r="R29" i="57"/>
  <c r="Q29" i="57"/>
  <c r="O29" i="57"/>
  <c r="Q23" i="57"/>
  <c r="O21" i="57"/>
  <c r="Q26" i="57"/>
  <c r="O19" i="57"/>
  <c r="P23" i="57"/>
  <c r="AH58" i="57"/>
  <c r="D14" i="64" s="1"/>
  <c r="R23" i="57"/>
  <c r="P21" i="57"/>
  <c r="O15" i="57"/>
  <c r="G58" i="57" s="1"/>
  <c r="U58" i="57" s="1"/>
  <c r="D20" i="64" s="1"/>
  <c r="P26" i="57"/>
  <c r="Q28" i="57"/>
  <c r="O23" i="57"/>
  <c r="Q19" i="57"/>
  <c r="R15" i="57"/>
  <c r="J58" i="57" s="1"/>
  <c r="X58" i="57" s="1"/>
  <c r="D23" i="64" s="1"/>
  <c r="AH64" i="57"/>
  <c r="F14" i="64" s="1"/>
  <c r="O26" i="57"/>
  <c r="R28" i="57"/>
  <c r="D81" i="84"/>
  <c r="O81" i="84" s="1"/>
  <c r="D80" i="84"/>
  <c r="O80" i="84" s="1"/>
  <c r="D79" i="84"/>
  <c r="O79" i="84" s="1"/>
  <c r="D78" i="84"/>
  <c r="O78" i="84" s="1"/>
  <c r="D77" i="84"/>
  <c r="D74" i="84"/>
  <c r="O74" i="84" s="1"/>
  <c r="D73" i="84"/>
  <c r="O73" i="84" s="1"/>
  <c r="D72" i="84"/>
  <c r="O72" i="84" s="1"/>
  <c r="D71" i="84"/>
  <c r="O71" i="84" s="1"/>
  <c r="D70" i="84"/>
  <c r="O70" i="84" s="1"/>
  <c r="O69" i="84"/>
  <c r="D69" i="84"/>
  <c r="D66" i="84"/>
  <c r="D65" i="84"/>
  <c r="D64" i="84"/>
  <c r="D63" i="84"/>
  <c r="D62" i="84"/>
  <c r="D61" i="84"/>
  <c r="D60" i="84"/>
  <c r="D59" i="84"/>
  <c r="D58" i="84"/>
  <c r="D55" i="84"/>
  <c r="D54" i="84"/>
  <c r="O54" i="84" s="1"/>
  <c r="D53" i="84"/>
  <c r="O53" i="84" s="1"/>
  <c r="D52" i="84"/>
  <c r="O52" i="84" s="1"/>
  <c r="D51" i="84"/>
  <c r="O51" i="84" s="1"/>
  <c r="D50" i="84"/>
  <c r="O50" i="84" s="1"/>
  <c r="D49" i="84"/>
  <c r="O49" i="84" s="1"/>
  <c r="D48" i="84"/>
  <c r="O48" i="84" s="1"/>
  <c r="D47" i="84"/>
  <c r="O47" i="84" s="1"/>
  <c r="D46" i="84"/>
  <c r="O46" i="84" s="1"/>
  <c r="D40" i="84"/>
  <c r="O40" i="84" s="1"/>
  <c r="D39" i="84"/>
  <c r="O39" i="84" s="1"/>
  <c r="D38" i="84"/>
  <c r="D37" i="84"/>
  <c r="O34" i="84"/>
  <c r="K34" i="84"/>
  <c r="O33" i="84"/>
  <c r="O32" i="84"/>
  <c r="K25" i="84"/>
  <c r="P24" i="84"/>
  <c r="P21" i="84"/>
  <c r="P17" i="84"/>
  <c r="K14" i="84"/>
  <c r="H14" i="84"/>
  <c r="E14" i="84"/>
  <c r="CL15" i="30" l="1"/>
  <c r="D15" i="5" s="1"/>
  <c r="O58" i="84"/>
  <c r="D42" i="84"/>
  <c r="D43" i="84"/>
  <c r="O38" i="84"/>
  <c r="R43" i="84"/>
  <c r="O37" i="84"/>
  <c r="R42" i="84"/>
  <c r="C16" i="5" l="1"/>
  <c r="I16" i="5" s="1"/>
  <c r="C67" i="64"/>
  <c r="C66" i="64"/>
  <c r="C65" i="64"/>
  <c r="C64" i="64"/>
  <c r="C97" i="64"/>
  <c r="C96" i="64"/>
  <c r="C95" i="64"/>
  <c r="C94" i="64"/>
  <c r="C82" i="64" l="1"/>
  <c r="C81" i="64"/>
  <c r="C80" i="64"/>
  <c r="C79" i="64"/>
  <c r="F106" i="67" l="1"/>
  <c r="B106" i="67"/>
  <c r="F11" i="57"/>
  <c r="E11" i="57"/>
  <c r="F18" i="40"/>
  <c r="F13" i="40"/>
  <c r="E18" i="40"/>
  <c r="E13" i="40"/>
  <c r="B19" i="83" l="1"/>
  <c r="B11" i="83"/>
  <c r="B12" i="83" l="1"/>
  <c r="B13" i="83"/>
  <c r="B14" i="83"/>
  <c r="B15" i="83"/>
  <c r="B16" i="83"/>
  <c r="B17" i="83"/>
  <c r="B18" i="83"/>
  <c r="B20" i="83"/>
  <c r="B21" i="83"/>
  <c r="B22" i="83"/>
  <c r="B23" i="83"/>
  <c r="B24" i="83"/>
  <c r="B10" i="83"/>
  <c r="Q2" i="13" l="1"/>
  <c r="Y41" i="66" l="1"/>
  <c r="X41" i="66"/>
  <c r="W41" i="66"/>
  <c r="V41" i="66"/>
  <c r="U41" i="66"/>
  <c r="T41" i="66"/>
  <c r="S41" i="66"/>
  <c r="R41" i="66"/>
  <c r="Q41" i="66"/>
  <c r="P41" i="66"/>
  <c r="O41" i="66"/>
  <c r="N41" i="66"/>
  <c r="M41" i="66"/>
  <c r="L41" i="66"/>
  <c r="K41" i="66"/>
  <c r="J41" i="66"/>
  <c r="I41" i="66"/>
  <c r="H41" i="66"/>
  <c r="G41" i="66"/>
  <c r="F41" i="66"/>
  <c r="E41" i="66"/>
  <c r="D41" i="66"/>
  <c r="C41" i="66"/>
  <c r="B41" i="66"/>
  <c r="D26" i="77" l="1"/>
  <c r="C26" i="77" s="1"/>
  <c r="D24" i="83" s="1"/>
  <c r="D25" i="77"/>
  <c r="D24" i="77"/>
  <c r="C24" i="77" s="1"/>
  <c r="D22" i="83" s="1"/>
  <c r="D23" i="77"/>
  <c r="C23" i="77" s="1"/>
  <c r="D21" i="83" s="1"/>
  <c r="D22" i="77"/>
  <c r="C22" i="77" s="1"/>
  <c r="D20" i="83" s="1"/>
  <c r="D21" i="77"/>
  <c r="C21" i="77" s="1"/>
  <c r="D19" i="83" s="1"/>
  <c r="D20" i="77"/>
  <c r="C20" i="77" s="1"/>
  <c r="D18" i="83" s="1"/>
  <c r="D19" i="77"/>
  <c r="C19" i="77" s="1"/>
  <c r="D17" i="83" s="1"/>
  <c r="E18" i="77"/>
  <c r="E16" i="77"/>
  <c r="E14" i="77"/>
  <c r="D18" i="77"/>
  <c r="D17" i="77"/>
  <c r="C17" i="77" s="1"/>
  <c r="D15" i="83" s="1"/>
  <c r="D16" i="77"/>
  <c r="D15" i="77"/>
  <c r="D14" i="77"/>
  <c r="D13" i="77"/>
  <c r="C13" i="77" s="1"/>
  <c r="D11" i="83" s="1"/>
  <c r="D12" i="77"/>
  <c r="C14" i="77" l="1"/>
  <c r="D12" i="83" s="1"/>
  <c r="C16" i="77"/>
  <c r="D14" i="83" s="1"/>
  <c r="C12" i="77"/>
  <c r="C18" i="77"/>
  <c r="D16" i="83" s="1"/>
  <c r="C15" i="77"/>
  <c r="D13" i="83" s="1"/>
  <c r="C25" i="77"/>
  <c r="D10" i="83" l="1"/>
  <c r="D23" i="83"/>
  <c r="C19" i="68" l="1"/>
  <c r="H12" i="64" l="1"/>
  <c r="G12" i="64"/>
  <c r="F12" i="64"/>
  <c r="E12" i="64"/>
  <c r="D12" i="64"/>
  <c r="C12" i="64"/>
  <c r="C17" i="68" l="1"/>
  <c r="AI106" i="67" l="1"/>
  <c r="AJ106" i="67"/>
  <c r="AI107" i="67"/>
  <c r="AJ107" i="67"/>
  <c r="AI108" i="67"/>
  <c r="AJ108" i="67"/>
  <c r="AI109" i="67"/>
  <c r="AJ109" i="67"/>
  <c r="AI110" i="67"/>
  <c r="AJ110" i="67"/>
  <c r="AI111" i="67"/>
  <c r="AJ111" i="67"/>
  <c r="AI112" i="67"/>
  <c r="AJ112" i="67"/>
  <c r="AI113" i="67"/>
  <c r="AJ113" i="67"/>
  <c r="AI114" i="67"/>
  <c r="AJ114" i="67"/>
  <c r="AI115" i="67"/>
  <c r="AJ115" i="67"/>
  <c r="AI116" i="67"/>
  <c r="AJ116" i="67"/>
  <c r="AI117" i="67"/>
  <c r="AJ117" i="67"/>
  <c r="AI118" i="67"/>
  <c r="AJ118" i="67"/>
  <c r="AI119" i="67"/>
  <c r="AJ119" i="67"/>
  <c r="AI120" i="67"/>
  <c r="AJ120" i="67"/>
  <c r="AI121" i="67"/>
  <c r="AJ121" i="67"/>
  <c r="AI122" i="67"/>
  <c r="AJ122" i="67"/>
  <c r="AI123" i="67"/>
  <c r="AJ123" i="67"/>
  <c r="AI124" i="67"/>
  <c r="AJ124" i="67"/>
  <c r="AI125" i="67"/>
  <c r="AJ125" i="67"/>
  <c r="AI126" i="67"/>
  <c r="AJ126" i="67"/>
  <c r="AI127" i="67"/>
  <c r="AJ127" i="67"/>
  <c r="AI128" i="67"/>
  <c r="AJ128" i="67"/>
  <c r="AI129" i="67"/>
  <c r="AJ129" i="67"/>
  <c r="AI130" i="67"/>
  <c r="AJ130" i="67"/>
  <c r="AI131" i="67"/>
  <c r="AJ131" i="67"/>
  <c r="AI132" i="67"/>
  <c r="AJ132" i="67"/>
  <c r="AI133" i="67"/>
  <c r="AJ133" i="67"/>
  <c r="AI134" i="67"/>
  <c r="AJ134" i="67"/>
  <c r="AI135" i="67"/>
  <c r="AJ135" i="67"/>
  <c r="AI136" i="67"/>
  <c r="AJ136" i="67"/>
  <c r="AI137" i="67"/>
  <c r="AJ137" i="67"/>
  <c r="AI138" i="67"/>
  <c r="AJ138" i="67"/>
  <c r="AI139" i="67"/>
  <c r="AJ139" i="67"/>
  <c r="AI140" i="67"/>
  <c r="AJ140" i="67"/>
  <c r="AI141" i="67"/>
  <c r="AJ141" i="67"/>
  <c r="AI142" i="67"/>
  <c r="AJ142" i="67"/>
  <c r="AI143" i="67"/>
  <c r="AJ143" i="67"/>
  <c r="AI144" i="67"/>
  <c r="AJ144" i="67"/>
  <c r="AI145" i="67"/>
  <c r="AJ145" i="67"/>
  <c r="AI146" i="67"/>
  <c r="AJ146" i="67"/>
  <c r="AI147" i="67"/>
  <c r="AJ147" i="67"/>
  <c r="AI148" i="67"/>
  <c r="AJ148" i="67"/>
  <c r="AI149" i="67"/>
  <c r="AJ149" i="67"/>
  <c r="AI150" i="67"/>
  <c r="AJ150" i="67"/>
  <c r="AI151" i="67"/>
  <c r="AJ151" i="67"/>
  <c r="AI152" i="67"/>
  <c r="AJ152" i="67"/>
  <c r="AI153" i="67"/>
  <c r="AJ153" i="67"/>
  <c r="AI154" i="67"/>
  <c r="AJ154" i="67"/>
  <c r="AI155" i="67"/>
  <c r="AJ155" i="67"/>
  <c r="AI156" i="67"/>
  <c r="AJ156" i="67"/>
  <c r="AI157" i="67"/>
  <c r="AJ157" i="67"/>
  <c r="AI158" i="67"/>
  <c r="AJ158" i="67"/>
  <c r="AI159" i="67"/>
  <c r="AJ159" i="67"/>
  <c r="AI160" i="67"/>
  <c r="AJ160" i="67"/>
  <c r="AI161" i="67"/>
  <c r="AJ161" i="67"/>
  <c r="AI162" i="67"/>
  <c r="AJ162" i="67"/>
  <c r="AI163" i="67"/>
  <c r="AJ163" i="67"/>
  <c r="AI164" i="67"/>
  <c r="AJ164" i="67"/>
  <c r="AI165" i="67"/>
  <c r="AJ165" i="67"/>
  <c r="AI166" i="67"/>
  <c r="AJ166" i="67"/>
  <c r="AI167" i="67"/>
  <c r="AJ167" i="67"/>
  <c r="AI168" i="67"/>
  <c r="AJ168" i="67"/>
  <c r="AI169" i="67"/>
  <c r="AJ169" i="67"/>
  <c r="AI170" i="67"/>
  <c r="AJ170" i="67"/>
  <c r="AI171" i="67"/>
  <c r="AJ171" i="67"/>
  <c r="AI172" i="67"/>
  <c r="AJ172" i="67"/>
  <c r="AI173" i="67"/>
  <c r="AJ173" i="67"/>
  <c r="AI174" i="67"/>
  <c r="AJ174" i="67"/>
  <c r="AI175" i="67"/>
  <c r="AJ175" i="67"/>
  <c r="AI176" i="67"/>
  <c r="AJ176" i="67"/>
  <c r="AI177" i="67"/>
  <c r="AJ177" i="67"/>
  <c r="AI178" i="67"/>
  <c r="AJ178" i="67"/>
  <c r="AI179" i="67"/>
  <c r="AJ179" i="67"/>
  <c r="AI180" i="67"/>
  <c r="AJ180" i="67"/>
  <c r="AI181" i="67"/>
  <c r="AJ181" i="67"/>
  <c r="AI182" i="67"/>
  <c r="AJ182" i="67"/>
  <c r="AI183" i="67"/>
  <c r="AJ183" i="67"/>
  <c r="AI184" i="67"/>
  <c r="AJ184" i="67"/>
  <c r="AI185" i="67"/>
  <c r="AJ185" i="67"/>
  <c r="AI186" i="67"/>
  <c r="AJ186" i="67"/>
  <c r="AI187" i="67"/>
  <c r="AJ187" i="67"/>
  <c r="AI188" i="67"/>
  <c r="AJ188" i="67"/>
  <c r="AI189" i="67"/>
  <c r="AJ189" i="67"/>
  <c r="AI190" i="67"/>
  <c r="AJ190" i="67"/>
  <c r="AI191" i="67"/>
  <c r="AJ191" i="67"/>
  <c r="AI192" i="67"/>
  <c r="AJ192" i="67"/>
  <c r="AI193" i="67"/>
  <c r="AJ193" i="67"/>
  <c r="AI194" i="67"/>
  <c r="AJ194" i="67"/>
  <c r="AI195" i="67"/>
  <c r="AJ195" i="67"/>
  <c r="AI196" i="67"/>
  <c r="AJ196" i="67"/>
  <c r="AH107" i="67"/>
  <c r="AH108" i="67"/>
  <c r="AH109" i="67"/>
  <c r="AH110" i="67"/>
  <c r="AH111" i="67"/>
  <c r="AH112" i="67"/>
  <c r="AH113" i="67"/>
  <c r="AH114" i="67"/>
  <c r="AH115" i="67"/>
  <c r="AH116" i="67"/>
  <c r="AH117" i="67"/>
  <c r="AH118" i="67"/>
  <c r="AH119" i="67"/>
  <c r="AH120" i="67"/>
  <c r="AH121" i="67"/>
  <c r="AH122" i="67"/>
  <c r="AH123" i="67"/>
  <c r="AH124" i="67"/>
  <c r="AH125" i="67"/>
  <c r="AH126" i="67"/>
  <c r="AH127" i="67"/>
  <c r="AH128" i="67"/>
  <c r="AH129" i="67"/>
  <c r="AH130" i="67"/>
  <c r="AH131" i="67"/>
  <c r="AH132" i="67"/>
  <c r="AH133" i="67"/>
  <c r="AH134" i="67"/>
  <c r="AH135" i="67"/>
  <c r="AH136" i="67"/>
  <c r="AH137" i="67"/>
  <c r="AH138" i="67"/>
  <c r="AH139" i="67"/>
  <c r="AH140" i="67"/>
  <c r="AH141" i="67"/>
  <c r="AH142" i="67"/>
  <c r="AH143" i="67"/>
  <c r="AH144" i="67"/>
  <c r="AH145" i="67"/>
  <c r="AH146" i="67"/>
  <c r="AH147" i="67"/>
  <c r="AH148" i="67"/>
  <c r="AH149" i="67"/>
  <c r="AH150" i="67"/>
  <c r="AH151" i="67"/>
  <c r="AH152" i="67"/>
  <c r="AH153" i="67"/>
  <c r="AH154" i="67"/>
  <c r="AH155" i="67"/>
  <c r="AH156" i="67"/>
  <c r="AH157" i="67"/>
  <c r="AH158" i="67"/>
  <c r="AH159" i="67"/>
  <c r="AH160" i="67"/>
  <c r="AH161" i="67"/>
  <c r="AH162" i="67"/>
  <c r="AH163" i="67"/>
  <c r="AH164" i="67"/>
  <c r="AH165" i="67"/>
  <c r="AH166" i="67"/>
  <c r="AH167" i="67"/>
  <c r="AH168" i="67"/>
  <c r="AH169" i="67"/>
  <c r="AH170" i="67"/>
  <c r="AH171" i="67"/>
  <c r="AH172" i="67"/>
  <c r="AH173" i="67"/>
  <c r="AH174" i="67"/>
  <c r="AH175" i="67"/>
  <c r="AH176" i="67"/>
  <c r="AH177" i="67"/>
  <c r="AH178" i="67"/>
  <c r="AH179" i="67"/>
  <c r="AH180" i="67"/>
  <c r="AH181" i="67"/>
  <c r="AH182" i="67"/>
  <c r="AH183" i="67"/>
  <c r="AH184" i="67"/>
  <c r="AH185" i="67"/>
  <c r="AH186" i="67"/>
  <c r="AH187" i="67"/>
  <c r="AH188" i="67"/>
  <c r="AH189" i="67"/>
  <c r="AH190" i="67"/>
  <c r="AH191" i="67"/>
  <c r="AH192" i="67"/>
  <c r="AH193" i="67"/>
  <c r="AH194" i="67"/>
  <c r="AH195" i="67"/>
  <c r="AH196" i="67"/>
  <c r="AH106" i="67"/>
  <c r="AD106" i="67"/>
  <c r="AE106" i="67"/>
  <c r="AF106" i="67"/>
  <c r="AE107" i="67"/>
  <c r="AF107" i="67"/>
  <c r="AE108" i="67"/>
  <c r="AF108" i="67"/>
  <c r="AE109" i="67"/>
  <c r="AF109" i="67"/>
  <c r="AE110" i="67"/>
  <c r="AF110" i="67"/>
  <c r="AE111" i="67"/>
  <c r="AF111" i="67"/>
  <c r="AE112" i="67"/>
  <c r="AF112" i="67"/>
  <c r="AE113" i="67"/>
  <c r="AF113" i="67"/>
  <c r="AE114" i="67"/>
  <c r="AF114" i="67"/>
  <c r="AE115" i="67"/>
  <c r="AF115" i="67"/>
  <c r="AE116" i="67"/>
  <c r="AF116" i="67"/>
  <c r="AE117" i="67"/>
  <c r="AF117" i="67"/>
  <c r="AE118" i="67"/>
  <c r="AF118" i="67"/>
  <c r="AE119" i="67"/>
  <c r="AF119" i="67"/>
  <c r="AE120" i="67"/>
  <c r="AF120" i="67"/>
  <c r="AE121" i="67"/>
  <c r="AF121" i="67"/>
  <c r="AE122" i="67"/>
  <c r="AF122" i="67"/>
  <c r="AE123" i="67"/>
  <c r="AF123" i="67"/>
  <c r="AE124" i="67"/>
  <c r="AF124" i="67"/>
  <c r="AE125" i="67"/>
  <c r="AF125" i="67"/>
  <c r="AE126" i="67"/>
  <c r="AF126" i="67"/>
  <c r="AE127" i="67"/>
  <c r="AF127" i="67"/>
  <c r="AE128" i="67"/>
  <c r="AF128" i="67"/>
  <c r="AE129" i="67"/>
  <c r="AF129" i="67"/>
  <c r="AE130" i="67"/>
  <c r="AF130" i="67"/>
  <c r="AE131" i="67"/>
  <c r="AF131" i="67"/>
  <c r="AE132" i="67"/>
  <c r="AF132" i="67"/>
  <c r="AE133" i="67"/>
  <c r="AF133" i="67"/>
  <c r="AE134" i="67"/>
  <c r="AF134" i="67"/>
  <c r="AE135" i="67"/>
  <c r="AF135" i="67"/>
  <c r="AE136" i="67"/>
  <c r="AF136" i="67"/>
  <c r="AE137" i="67"/>
  <c r="AF137" i="67"/>
  <c r="AE138" i="67"/>
  <c r="AF138" i="67"/>
  <c r="AE139" i="67"/>
  <c r="AF139" i="67"/>
  <c r="AE140" i="67"/>
  <c r="AF140" i="67"/>
  <c r="AE141" i="67"/>
  <c r="AF141" i="67"/>
  <c r="AE142" i="67"/>
  <c r="AF142" i="67"/>
  <c r="AE143" i="67"/>
  <c r="AF143" i="67"/>
  <c r="AE144" i="67"/>
  <c r="AF144" i="67"/>
  <c r="AE145" i="67"/>
  <c r="AF145" i="67"/>
  <c r="AE146" i="67"/>
  <c r="AF146" i="67"/>
  <c r="AE147" i="67"/>
  <c r="AF147" i="67"/>
  <c r="AE148" i="67"/>
  <c r="AF148" i="67"/>
  <c r="AE149" i="67"/>
  <c r="AF149" i="67"/>
  <c r="AE150" i="67"/>
  <c r="AF150" i="67"/>
  <c r="AE151" i="67"/>
  <c r="AF151" i="67"/>
  <c r="AE152" i="67"/>
  <c r="AF152" i="67"/>
  <c r="AE153" i="67"/>
  <c r="AF153" i="67"/>
  <c r="AE154" i="67"/>
  <c r="AF154" i="67"/>
  <c r="AE155" i="67"/>
  <c r="AF155" i="67"/>
  <c r="AE156" i="67"/>
  <c r="AF156" i="67"/>
  <c r="AE157" i="67"/>
  <c r="AF157" i="67"/>
  <c r="AE158" i="67"/>
  <c r="AF158" i="67"/>
  <c r="AE159" i="67"/>
  <c r="AF159" i="67"/>
  <c r="AE160" i="67"/>
  <c r="AF160" i="67"/>
  <c r="AE161" i="67"/>
  <c r="AF161" i="67"/>
  <c r="AE162" i="67"/>
  <c r="AF162" i="67"/>
  <c r="AE163" i="67"/>
  <c r="AF163" i="67"/>
  <c r="AE164" i="67"/>
  <c r="AF164" i="67"/>
  <c r="AE165" i="67"/>
  <c r="AF165" i="67"/>
  <c r="AE166" i="67"/>
  <c r="AF166" i="67"/>
  <c r="AE167" i="67"/>
  <c r="AF167" i="67"/>
  <c r="AE168" i="67"/>
  <c r="AF168" i="67"/>
  <c r="AE169" i="67"/>
  <c r="AF169" i="67"/>
  <c r="AE170" i="67"/>
  <c r="AF170" i="67"/>
  <c r="AE171" i="67"/>
  <c r="AF171" i="67"/>
  <c r="AE172" i="67"/>
  <c r="AF172" i="67"/>
  <c r="AE173" i="67"/>
  <c r="AF173" i="67"/>
  <c r="AE174" i="67"/>
  <c r="AF174" i="67"/>
  <c r="AE175" i="67"/>
  <c r="AF175" i="67"/>
  <c r="AE176" i="67"/>
  <c r="AF176" i="67"/>
  <c r="AE177" i="67"/>
  <c r="AF177" i="67"/>
  <c r="AE178" i="67"/>
  <c r="AF178" i="67"/>
  <c r="AE179" i="67"/>
  <c r="AF179" i="67"/>
  <c r="AE180" i="67"/>
  <c r="AF180" i="67"/>
  <c r="AE181" i="67"/>
  <c r="AF181" i="67"/>
  <c r="AE182" i="67"/>
  <c r="AF182" i="67"/>
  <c r="AE183" i="67"/>
  <c r="AF183" i="67"/>
  <c r="AE184" i="67"/>
  <c r="AF184" i="67"/>
  <c r="AE185" i="67"/>
  <c r="AF185" i="67"/>
  <c r="AE186" i="67"/>
  <c r="AF186" i="67"/>
  <c r="AE187" i="67"/>
  <c r="AF187" i="67"/>
  <c r="AE188" i="67"/>
  <c r="AF188" i="67"/>
  <c r="AE189" i="67"/>
  <c r="AF189" i="67"/>
  <c r="AE190" i="67"/>
  <c r="AF190" i="67"/>
  <c r="AE191" i="67"/>
  <c r="AF191" i="67"/>
  <c r="AE192" i="67"/>
  <c r="AF192" i="67"/>
  <c r="AE193" i="67"/>
  <c r="AF193" i="67"/>
  <c r="AE194" i="67"/>
  <c r="AF194" i="67"/>
  <c r="AE195" i="67"/>
  <c r="AF195" i="67"/>
  <c r="AE196" i="67"/>
  <c r="AF196" i="67"/>
  <c r="AD107" i="67"/>
  <c r="AD108" i="67"/>
  <c r="AD109" i="67"/>
  <c r="AD110" i="67"/>
  <c r="AD111" i="67"/>
  <c r="AD112" i="67"/>
  <c r="AD113" i="67"/>
  <c r="AD114" i="67"/>
  <c r="AD115" i="67"/>
  <c r="AD116" i="67"/>
  <c r="AD117" i="67"/>
  <c r="AD118" i="67"/>
  <c r="AD119" i="67"/>
  <c r="AD120" i="67"/>
  <c r="AD121" i="67"/>
  <c r="AD122" i="67"/>
  <c r="AD123" i="67"/>
  <c r="AD124" i="67"/>
  <c r="AD125" i="67"/>
  <c r="AD126" i="67"/>
  <c r="AD127" i="67"/>
  <c r="AD128" i="67"/>
  <c r="AD129" i="67"/>
  <c r="AD130" i="67"/>
  <c r="AD131" i="67"/>
  <c r="AD132" i="67"/>
  <c r="AD133" i="67"/>
  <c r="AD134" i="67"/>
  <c r="AD135" i="67"/>
  <c r="AD136" i="67"/>
  <c r="AD137" i="67"/>
  <c r="AD138" i="67"/>
  <c r="AD139" i="67"/>
  <c r="AD140" i="67"/>
  <c r="AD141" i="67"/>
  <c r="AD142" i="67"/>
  <c r="AD143" i="67"/>
  <c r="AD144" i="67"/>
  <c r="AD145" i="67"/>
  <c r="AD146" i="67"/>
  <c r="AD147" i="67"/>
  <c r="AD148" i="67"/>
  <c r="AD149" i="67"/>
  <c r="AD150" i="67"/>
  <c r="AD151" i="67"/>
  <c r="AD152" i="67"/>
  <c r="AD153" i="67"/>
  <c r="AD154" i="67"/>
  <c r="AD155" i="67"/>
  <c r="AD156" i="67"/>
  <c r="AD157" i="67"/>
  <c r="AD158" i="67"/>
  <c r="AD159" i="67"/>
  <c r="AD160" i="67"/>
  <c r="AD161" i="67"/>
  <c r="AD162" i="67"/>
  <c r="AD163" i="67"/>
  <c r="AD164" i="67"/>
  <c r="AD165" i="67"/>
  <c r="AD166" i="67"/>
  <c r="AD167" i="67"/>
  <c r="AD168" i="67"/>
  <c r="AD169" i="67"/>
  <c r="AD170" i="67"/>
  <c r="AD171" i="67"/>
  <c r="AD172" i="67"/>
  <c r="AD173" i="67"/>
  <c r="AD174" i="67"/>
  <c r="AD175" i="67"/>
  <c r="AD176" i="67"/>
  <c r="AD177" i="67"/>
  <c r="AD178" i="67"/>
  <c r="AD179" i="67"/>
  <c r="AD180" i="67"/>
  <c r="AD181" i="67"/>
  <c r="AD182" i="67"/>
  <c r="AD183" i="67"/>
  <c r="AD184" i="67"/>
  <c r="AD185" i="67"/>
  <c r="AD186" i="67"/>
  <c r="AD187" i="67"/>
  <c r="AD188" i="67"/>
  <c r="AD189" i="67"/>
  <c r="AD190" i="67"/>
  <c r="AD191" i="67"/>
  <c r="AD192" i="67"/>
  <c r="AD193" i="67"/>
  <c r="AD194" i="67"/>
  <c r="AD195" i="67"/>
  <c r="AD196" i="67"/>
  <c r="Z106" i="67"/>
  <c r="AA106" i="67"/>
  <c r="AB106" i="67"/>
  <c r="AA107" i="67"/>
  <c r="AB107" i="67"/>
  <c r="AA108" i="67"/>
  <c r="AB108" i="67"/>
  <c r="AA109" i="67"/>
  <c r="AB109" i="67"/>
  <c r="AA110" i="67"/>
  <c r="AB110" i="67"/>
  <c r="AA111" i="67"/>
  <c r="AB111" i="67"/>
  <c r="AA112" i="67"/>
  <c r="AB112" i="67"/>
  <c r="AA113" i="67"/>
  <c r="AB113" i="67"/>
  <c r="AA114" i="67"/>
  <c r="AB114" i="67"/>
  <c r="AA115" i="67"/>
  <c r="AB115" i="67"/>
  <c r="AA116" i="67"/>
  <c r="AB116" i="67"/>
  <c r="AA117" i="67"/>
  <c r="AB117" i="67"/>
  <c r="AA118" i="67"/>
  <c r="AB118" i="67"/>
  <c r="AA119" i="67"/>
  <c r="AB119" i="67"/>
  <c r="AA120" i="67"/>
  <c r="AB120" i="67"/>
  <c r="AA121" i="67"/>
  <c r="AB121" i="67"/>
  <c r="AA122" i="67"/>
  <c r="AB122" i="67"/>
  <c r="AA123" i="67"/>
  <c r="AB123" i="67"/>
  <c r="AA124" i="67"/>
  <c r="AB124" i="67"/>
  <c r="AA125" i="67"/>
  <c r="AB125" i="67"/>
  <c r="AA126" i="67"/>
  <c r="AB126" i="67"/>
  <c r="AA127" i="67"/>
  <c r="AB127" i="67"/>
  <c r="AA128" i="67"/>
  <c r="AB128" i="67"/>
  <c r="AA129" i="67"/>
  <c r="AB129" i="67"/>
  <c r="AA130" i="67"/>
  <c r="AB130" i="67"/>
  <c r="AA131" i="67"/>
  <c r="AB131" i="67"/>
  <c r="AA132" i="67"/>
  <c r="AB132" i="67"/>
  <c r="AA133" i="67"/>
  <c r="AB133" i="67"/>
  <c r="AA134" i="67"/>
  <c r="AB134" i="67"/>
  <c r="AA135" i="67"/>
  <c r="AB135" i="67"/>
  <c r="AA136" i="67"/>
  <c r="AB136" i="67"/>
  <c r="AA137" i="67"/>
  <c r="AB137" i="67"/>
  <c r="AA138" i="67"/>
  <c r="AB138" i="67"/>
  <c r="AA139" i="67"/>
  <c r="AB139" i="67"/>
  <c r="AA140" i="67"/>
  <c r="AB140" i="67"/>
  <c r="AA141" i="67"/>
  <c r="AB141" i="67"/>
  <c r="AA142" i="67"/>
  <c r="AB142" i="67"/>
  <c r="AA143" i="67"/>
  <c r="AB143" i="67"/>
  <c r="AA144" i="67"/>
  <c r="AB144" i="67"/>
  <c r="AA145" i="67"/>
  <c r="AB145" i="67"/>
  <c r="AA146" i="67"/>
  <c r="AB146" i="67"/>
  <c r="AA147" i="67"/>
  <c r="AB147" i="67"/>
  <c r="AA148" i="67"/>
  <c r="AB148" i="67"/>
  <c r="AA149" i="67"/>
  <c r="AB149" i="67"/>
  <c r="AA150" i="67"/>
  <c r="AB150" i="67"/>
  <c r="AA151" i="67"/>
  <c r="AB151" i="67"/>
  <c r="AA152" i="67"/>
  <c r="AB152" i="67"/>
  <c r="AA153" i="67"/>
  <c r="AB153" i="67"/>
  <c r="AA154" i="67"/>
  <c r="AB154" i="67"/>
  <c r="AA155" i="67"/>
  <c r="AB155" i="67"/>
  <c r="AA156" i="67"/>
  <c r="AB156" i="67"/>
  <c r="AA157" i="67"/>
  <c r="AB157" i="67"/>
  <c r="AA158" i="67"/>
  <c r="AB158" i="67"/>
  <c r="AA159" i="67"/>
  <c r="AB159" i="67"/>
  <c r="AA160" i="67"/>
  <c r="AB160" i="67"/>
  <c r="AA161" i="67"/>
  <c r="AB161" i="67"/>
  <c r="AA162" i="67"/>
  <c r="AB162" i="67"/>
  <c r="AA163" i="67"/>
  <c r="AB163" i="67"/>
  <c r="AA164" i="67"/>
  <c r="AB164" i="67"/>
  <c r="AA165" i="67"/>
  <c r="AB165" i="67"/>
  <c r="AA166" i="67"/>
  <c r="AB166" i="67"/>
  <c r="AA167" i="67"/>
  <c r="AB167" i="67"/>
  <c r="AA168" i="67"/>
  <c r="AB168" i="67"/>
  <c r="AA169" i="67"/>
  <c r="AB169" i="67"/>
  <c r="AA170" i="67"/>
  <c r="AB170" i="67"/>
  <c r="AA171" i="67"/>
  <c r="AB171" i="67"/>
  <c r="AA172" i="67"/>
  <c r="AB172" i="67"/>
  <c r="AA173" i="67"/>
  <c r="AB173" i="67"/>
  <c r="AA174" i="67"/>
  <c r="AB174" i="67"/>
  <c r="AA175" i="67"/>
  <c r="AB175" i="67"/>
  <c r="AA176" i="67"/>
  <c r="AB176" i="67"/>
  <c r="AA177" i="67"/>
  <c r="AB177" i="67"/>
  <c r="AA178" i="67"/>
  <c r="AB178" i="67"/>
  <c r="AA179" i="67"/>
  <c r="AB179" i="67"/>
  <c r="AA180" i="67"/>
  <c r="AB180" i="67"/>
  <c r="AA181" i="67"/>
  <c r="AB181" i="67"/>
  <c r="AA182" i="67"/>
  <c r="AB182" i="67"/>
  <c r="AA183" i="67"/>
  <c r="AB183" i="67"/>
  <c r="AA184" i="67"/>
  <c r="AB184" i="67"/>
  <c r="AA185" i="67"/>
  <c r="AB185" i="67"/>
  <c r="AA186" i="67"/>
  <c r="AB186" i="67"/>
  <c r="AA187" i="67"/>
  <c r="AB187" i="67"/>
  <c r="AA188" i="67"/>
  <c r="AB188" i="67"/>
  <c r="AA189" i="67"/>
  <c r="AB189" i="67"/>
  <c r="AA190" i="67"/>
  <c r="AB190" i="67"/>
  <c r="AA191" i="67"/>
  <c r="AB191" i="67"/>
  <c r="AA192" i="67"/>
  <c r="AB192" i="67"/>
  <c r="AA193" i="67"/>
  <c r="AB193" i="67"/>
  <c r="AA194" i="67"/>
  <c r="AB194" i="67"/>
  <c r="AA195" i="67"/>
  <c r="AB195" i="67"/>
  <c r="AA196" i="67"/>
  <c r="AB196" i="67"/>
  <c r="Z107" i="67"/>
  <c r="Z108" i="67"/>
  <c r="Z109" i="67"/>
  <c r="Z110" i="67"/>
  <c r="Z111" i="67"/>
  <c r="Z112" i="67"/>
  <c r="Z113" i="67"/>
  <c r="Z114" i="67"/>
  <c r="Z115" i="67"/>
  <c r="Z116" i="67"/>
  <c r="Z117" i="67"/>
  <c r="Z118" i="67"/>
  <c r="Z119" i="67"/>
  <c r="Z120" i="67"/>
  <c r="Z121" i="67"/>
  <c r="Z122" i="67"/>
  <c r="Z123" i="67"/>
  <c r="Z124" i="67"/>
  <c r="Z125" i="67"/>
  <c r="Z126" i="67"/>
  <c r="Z127" i="67"/>
  <c r="Z128" i="67"/>
  <c r="Z129" i="67"/>
  <c r="Z130" i="67"/>
  <c r="Z131" i="67"/>
  <c r="Z132" i="67"/>
  <c r="Z133" i="67"/>
  <c r="Z134" i="67"/>
  <c r="Z135" i="67"/>
  <c r="Z136" i="67"/>
  <c r="Z137" i="67"/>
  <c r="Z138" i="67"/>
  <c r="Z139" i="67"/>
  <c r="Z140" i="67"/>
  <c r="Z141" i="67"/>
  <c r="Z142" i="67"/>
  <c r="Z143" i="67"/>
  <c r="Z144" i="67"/>
  <c r="Z145" i="67"/>
  <c r="Z146" i="67"/>
  <c r="Z147" i="67"/>
  <c r="Z148" i="67"/>
  <c r="Z149" i="67"/>
  <c r="Z150" i="67"/>
  <c r="Z151" i="67"/>
  <c r="Z152" i="67"/>
  <c r="Z153" i="67"/>
  <c r="Z154" i="67"/>
  <c r="Z155" i="67"/>
  <c r="Z156" i="67"/>
  <c r="Z157" i="67"/>
  <c r="Z158" i="67"/>
  <c r="Z159" i="67"/>
  <c r="Z160" i="67"/>
  <c r="Z161" i="67"/>
  <c r="Z162" i="67"/>
  <c r="Z163" i="67"/>
  <c r="Z164" i="67"/>
  <c r="Z165" i="67"/>
  <c r="Z166" i="67"/>
  <c r="Z167" i="67"/>
  <c r="Z168" i="67"/>
  <c r="Z169" i="67"/>
  <c r="Z170" i="67"/>
  <c r="Z171" i="67"/>
  <c r="Z172" i="67"/>
  <c r="Z173" i="67"/>
  <c r="Z174" i="67"/>
  <c r="Z175" i="67"/>
  <c r="Z176" i="67"/>
  <c r="Z177" i="67"/>
  <c r="Z178" i="67"/>
  <c r="Z179" i="67"/>
  <c r="Z180" i="67"/>
  <c r="Z181" i="67"/>
  <c r="Z182" i="67"/>
  <c r="Z183" i="67"/>
  <c r="Z184" i="67"/>
  <c r="Z185" i="67"/>
  <c r="Z186" i="67"/>
  <c r="Z187" i="67"/>
  <c r="Z188" i="67"/>
  <c r="Z189" i="67"/>
  <c r="Z190" i="67"/>
  <c r="Z191" i="67"/>
  <c r="Z192" i="67"/>
  <c r="Z193" i="67"/>
  <c r="Z194" i="67"/>
  <c r="Z195" i="67"/>
  <c r="Z196" i="67"/>
  <c r="V106" i="67"/>
  <c r="W106" i="67"/>
  <c r="X106" i="67"/>
  <c r="W107" i="67"/>
  <c r="X107" i="67"/>
  <c r="W108" i="67"/>
  <c r="X108" i="67"/>
  <c r="W109" i="67"/>
  <c r="X109" i="67"/>
  <c r="W110" i="67"/>
  <c r="X110" i="67"/>
  <c r="W111" i="67"/>
  <c r="X111" i="67"/>
  <c r="W112" i="67"/>
  <c r="X112" i="67"/>
  <c r="W113" i="67"/>
  <c r="X113" i="67"/>
  <c r="W114" i="67"/>
  <c r="X114" i="67"/>
  <c r="W115" i="67"/>
  <c r="X115" i="67"/>
  <c r="W116" i="67"/>
  <c r="X116" i="67"/>
  <c r="W117" i="67"/>
  <c r="X117" i="67"/>
  <c r="W118" i="67"/>
  <c r="X118" i="67"/>
  <c r="W119" i="67"/>
  <c r="X119" i="67"/>
  <c r="W120" i="67"/>
  <c r="X120" i="67"/>
  <c r="W121" i="67"/>
  <c r="X121" i="67"/>
  <c r="W122" i="67"/>
  <c r="X122" i="67"/>
  <c r="W123" i="67"/>
  <c r="X123" i="67"/>
  <c r="W124" i="67"/>
  <c r="X124" i="67"/>
  <c r="W125" i="67"/>
  <c r="X125" i="67"/>
  <c r="W126" i="67"/>
  <c r="X126" i="67"/>
  <c r="W127" i="67"/>
  <c r="X127" i="67"/>
  <c r="W128" i="67"/>
  <c r="X128" i="67"/>
  <c r="W129" i="67"/>
  <c r="X129" i="67"/>
  <c r="W130" i="67"/>
  <c r="X130" i="67"/>
  <c r="W131" i="67"/>
  <c r="X131" i="67"/>
  <c r="W132" i="67"/>
  <c r="X132" i="67"/>
  <c r="W133" i="67"/>
  <c r="X133" i="67"/>
  <c r="W134" i="67"/>
  <c r="X134" i="67"/>
  <c r="W135" i="67"/>
  <c r="X135" i="67"/>
  <c r="W136" i="67"/>
  <c r="X136" i="67"/>
  <c r="W137" i="67"/>
  <c r="X137" i="67"/>
  <c r="W138" i="67"/>
  <c r="X138" i="67"/>
  <c r="W139" i="67"/>
  <c r="X139" i="67"/>
  <c r="W140" i="67"/>
  <c r="X140" i="67"/>
  <c r="W141" i="67"/>
  <c r="X141" i="67"/>
  <c r="W142" i="67"/>
  <c r="X142" i="67"/>
  <c r="W143" i="67"/>
  <c r="X143" i="67"/>
  <c r="W144" i="67"/>
  <c r="X144" i="67"/>
  <c r="W145" i="67"/>
  <c r="X145" i="67"/>
  <c r="W146" i="67"/>
  <c r="X146" i="67"/>
  <c r="W147" i="67"/>
  <c r="X147" i="67"/>
  <c r="W148" i="67"/>
  <c r="X148" i="67"/>
  <c r="W149" i="67"/>
  <c r="X149" i="67"/>
  <c r="W150" i="67"/>
  <c r="X150" i="67"/>
  <c r="W151" i="67"/>
  <c r="X151" i="67"/>
  <c r="W152" i="67"/>
  <c r="X152" i="67"/>
  <c r="W153" i="67"/>
  <c r="X153" i="67"/>
  <c r="W154" i="67"/>
  <c r="X154" i="67"/>
  <c r="W155" i="67"/>
  <c r="X155" i="67"/>
  <c r="W156" i="67"/>
  <c r="X156" i="67"/>
  <c r="W157" i="67"/>
  <c r="X157" i="67"/>
  <c r="W158" i="67"/>
  <c r="X158" i="67"/>
  <c r="W159" i="67"/>
  <c r="X159" i="67"/>
  <c r="W160" i="67"/>
  <c r="X160" i="67"/>
  <c r="W161" i="67"/>
  <c r="X161" i="67"/>
  <c r="W162" i="67"/>
  <c r="X162" i="67"/>
  <c r="W163" i="67"/>
  <c r="X163" i="67"/>
  <c r="W164" i="67"/>
  <c r="X164" i="67"/>
  <c r="W165" i="67"/>
  <c r="X165" i="67"/>
  <c r="W166" i="67"/>
  <c r="X166" i="67"/>
  <c r="W167" i="67"/>
  <c r="X167" i="67"/>
  <c r="W168" i="67"/>
  <c r="X168" i="67"/>
  <c r="W169" i="67"/>
  <c r="X169" i="67"/>
  <c r="W170" i="67"/>
  <c r="X170" i="67"/>
  <c r="W171" i="67"/>
  <c r="X171" i="67"/>
  <c r="W172" i="67"/>
  <c r="X172" i="67"/>
  <c r="W173" i="67"/>
  <c r="X173" i="67"/>
  <c r="W174" i="67"/>
  <c r="X174" i="67"/>
  <c r="W175" i="67"/>
  <c r="X175" i="67"/>
  <c r="W176" i="67"/>
  <c r="X176" i="67"/>
  <c r="W177" i="67"/>
  <c r="X177" i="67"/>
  <c r="W178" i="67"/>
  <c r="X178" i="67"/>
  <c r="W179" i="67"/>
  <c r="X179" i="67"/>
  <c r="W180" i="67"/>
  <c r="X180" i="67"/>
  <c r="W181" i="67"/>
  <c r="X181" i="67"/>
  <c r="W182" i="67"/>
  <c r="X182" i="67"/>
  <c r="W183" i="67"/>
  <c r="X183" i="67"/>
  <c r="W184" i="67"/>
  <c r="X184" i="67"/>
  <c r="W185" i="67"/>
  <c r="X185" i="67"/>
  <c r="W186" i="67"/>
  <c r="X186" i="67"/>
  <c r="W187" i="67"/>
  <c r="X187" i="67"/>
  <c r="W188" i="67"/>
  <c r="X188" i="67"/>
  <c r="W189" i="67"/>
  <c r="X189" i="67"/>
  <c r="W190" i="67"/>
  <c r="X190" i="67"/>
  <c r="W191" i="67"/>
  <c r="X191" i="67"/>
  <c r="W192" i="67"/>
  <c r="X192" i="67"/>
  <c r="W193" i="67"/>
  <c r="X193" i="67"/>
  <c r="W194" i="67"/>
  <c r="X194" i="67"/>
  <c r="W195" i="67"/>
  <c r="X195" i="67"/>
  <c r="W196" i="67"/>
  <c r="X196" i="67"/>
  <c r="V107" i="67"/>
  <c r="V108" i="67"/>
  <c r="V109" i="67"/>
  <c r="V110" i="67"/>
  <c r="V111" i="67"/>
  <c r="V112" i="67"/>
  <c r="V113" i="67"/>
  <c r="V114" i="67"/>
  <c r="V115" i="67"/>
  <c r="V116" i="67"/>
  <c r="V117" i="67"/>
  <c r="V118" i="67"/>
  <c r="V119" i="67"/>
  <c r="V120" i="67"/>
  <c r="V121" i="67"/>
  <c r="V122" i="67"/>
  <c r="V123" i="67"/>
  <c r="V124" i="67"/>
  <c r="V125" i="67"/>
  <c r="V126" i="67"/>
  <c r="V127" i="67"/>
  <c r="V128" i="67"/>
  <c r="V129" i="67"/>
  <c r="V130" i="67"/>
  <c r="V131" i="67"/>
  <c r="V132" i="67"/>
  <c r="V133" i="67"/>
  <c r="V134" i="67"/>
  <c r="V135" i="67"/>
  <c r="V136" i="67"/>
  <c r="V137" i="67"/>
  <c r="V138" i="67"/>
  <c r="V139" i="67"/>
  <c r="V140" i="67"/>
  <c r="V141" i="67"/>
  <c r="V142" i="67"/>
  <c r="V143" i="67"/>
  <c r="V144" i="67"/>
  <c r="V145" i="67"/>
  <c r="V146" i="67"/>
  <c r="V147" i="67"/>
  <c r="V148" i="67"/>
  <c r="V149" i="67"/>
  <c r="V150" i="67"/>
  <c r="V151" i="67"/>
  <c r="V152" i="67"/>
  <c r="V153" i="67"/>
  <c r="V154" i="67"/>
  <c r="V155" i="67"/>
  <c r="V156" i="67"/>
  <c r="V157" i="67"/>
  <c r="V158" i="67"/>
  <c r="V159" i="67"/>
  <c r="V160" i="67"/>
  <c r="V161" i="67"/>
  <c r="V162" i="67"/>
  <c r="V163" i="67"/>
  <c r="V164" i="67"/>
  <c r="V165" i="67"/>
  <c r="V166" i="67"/>
  <c r="V167" i="67"/>
  <c r="V168" i="67"/>
  <c r="V169" i="67"/>
  <c r="V170" i="67"/>
  <c r="V171" i="67"/>
  <c r="V172" i="67"/>
  <c r="V173" i="67"/>
  <c r="V174" i="67"/>
  <c r="V175" i="67"/>
  <c r="V176" i="67"/>
  <c r="V177" i="67"/>
  <c r="V178" i="67"/>
  <c r="V179" i="67"/>
  <c r="V180" i="67"/>
  <c r="V181" i="67"/>
  <c r="V182" i="67"/>
  <c r="V183" i="67"/>
  <c r="V184" i="67"/>
  <c r="V185" i="67"/>
  <c r="V186" i="67"/>
  <c r="V187" i="67"/>
  <c r="V188" i="67"/>
  <c r="V189" i="67"/>
  <c r="V190" i="67"/>
  <c r="V191" i="67"/>
  <c r="V192" i="67"/>
  <c r="V193" i="67"/>
  <c r="V194" i="67"/>
  <c r="V195" i="67"/>
  <c r="V196" i="67"/>
  <c r="R106" i="67"/>
  <c r="T152" i="67"/>
  <c r="S106" i="67"/>
  <c r="T106" i="67"/>
  <c r="S107" i="67"/>
  <c r="T107" i="67"/>
  <c r="S108" i="67"/>
  <c r="T108" i="67"/>
  <c r="S109" i="67"/>
  <c r="T109" i="67"/>
  <c r="S110" i="67"/>
  <c r="T110" i="67"/>
  <c r="S111" i="67"/>
  <c r="T111" i="67"/>
  <c r="S112" i="67"/>
  <c r="T112" i="67"/>
  <c r="S113" i="67"/>
  <c r="T113" i="67"/>
  <c r="S114" i="67"/>
  <c r="T114" i="67"/>
  <c r="S115" i="67"/>
  <c r="T115" i="67"/>
  <c r="S116" i="67"/>
  <c r="T116" i="67"/>
  <c r="S117" i="67"/>
  <c r="T117" i="67"/>
  <c r="S118" i="67"/>
  <c r="T118" i="67"/>
  <c r="S119" i="67"/>
  <c r="T119" i="67"/>
  <c r="S120" i="67"/>
  <c r="T120" i="67"/>
  <c r="S121" i="67"/>
  <c r="T121" i="67"/>
  <c r="S122" i="67"/>
  <c r="T122" i="67"/>
  <c r="S123" i="67"/>
  <c r="T123" i="67"/>
  <c r="S124" i="67"/>
  <c r="T124" i="67"/>
  <c r="S125" i="67"/>
  <c r="T125" i="67"/>
  <c r="S126" i="67"/>
  <c r="T126" i="67"/>
  <c r="S127" i="67"/>
  <c r="T127" i="67"/>
  <c r="S128" i="67"/>
  <c r="T128" i="67"/>
  <c r="S129" i="67"/>
  <c r="T129" i="67"/>
  <c r="S130" i="67"/>
  <c r="T130" i="67"/>
  <c r="S131" i="67"/>
  <c r="T131" i="67"/>
  <c r="S132" i="67"/>
  <c r="T132" i="67"/>
  <c r="S133" i="67"/>
  <c r="T133" i="67"/>
  <c r="S134" i="67"/>
  <c r="T134" i="67"/>
  <c r="S135" i="67"/>
  <c r="T135" i="67"/>
  <c r="S136" i="67"/>
  <c r="T136" i="67"/>
  <c r="S137" i="67"/>
  <c r="T137" i="67"/>
  <c r="S138" i="67"/>
  <c r="T138" i="67"/>
  <c r="S139" i="67"/>
  <c r="T139" i="67"/>
  <c r="S140" i="67"/>
  <c r="T140" i="67"/>
  <c r="S141" i="67"/>
  <c r="T141" i="67"/>
  <c r="S142" i="67"/>
  <c r="T142" i="67"/>
  <c r="S143" i="67"/>
  <c r="T143" i="67"/>
  <c r="S144" i="67"/>
  <c r="T144" i="67"/>
  <c r="S145" i="67"/>
  <c r="T145" i="67"/>
  <c r="S146" i="67"/>
  <c r="T146" i="67"/>
  <c r="S147" i="67"/>
  <c r="T147" i="67"/>
  <c r="S148" i="67"/>
  <c r="T148" i="67"/>
  <c r="S149" i="67"/>
  <c r="T149" i="67"/>
  <c r="S150" i="67"/>
  <c r="T150" i="67"/>
  <c r="S151" i="67"/>
  <c r="T151" i="67"/>
  <c r="S152" i="67"/>
  <c r="S153" i="67"/>
  <c r="T153" i="67"/>
  <c r="S154" i="67"/>
  <c r="T154" i="67"/>
  <c r="S155" i="67"/>
  <c r="T155" i="67"/>
  <c r="S156" i="67"/>
  <c r="T156" i="67"/>
  <c r="S157" i="67"/>
  <c r="T157" i="67"/>
  <c r="S158" i="67"/>
  <c r="T158" i="67"/>
  <c r="S159" i="67"/>
  <c r="T159" i="67"/>
  <c r="S160" i="67"/>
  <c r="T160" i="67"/>
  <c r="S161" i="67"/>
  <c r="T161" i="67"/>
  <c r="S162" i="67"/>
  <c r="T162" i="67"/>
  <c r="S163" i="67"/>
  <c r="T163" i="67"/>
  <c r="S164" i="67"/>
  <c r="T164" i="67"/>
  <c r="S165" i="67"/>
  <c r="T165" i="67"/>
  <c r="S166" i="67"/>
  <c r="T166" i="67"/>
  <c r="S167" i="67"/>
  <c r="T167" i="67"/>
  <c r="S168" i="67"/>
  <c r="T168" i="67"/>
  <c r="S169" i="67"/>
  <c r="T169" i="67"/>
  <c r="S170" i="67"/>
  <c r="T170" i="67"/>
  <c r="S171" i="67"/>
  <c r="T171" i="67"/>
  <c r="S172" i="67"/>
  <c r="T172" i="67"/>
  <c r="S173" i="67"/>
  <c r="T173" i="67"/>
  <c r="S174" i="67"/>
  <c r="T174" i="67"/>
  <c r="S175" i="67"/>
  <c r="T175" i="67"/>
  <c r="S176" i="67"/>
  <c r="T176" i="67"/>
  <c r="S177" i="67"/>
  <c r="T177" i="67"/>
  <c r="S178" i="67"/>
  <c r="T178" i="67"/>
  <c r="S179" i="67"/>
  <c r="T179" i="67"/>
  <c r="S180" i="67"/>
  <c r="T180" i="67"/>
  <c r="S181" i="67"/>
  <c r="T181" i="67"/>
  <c r="S182" i="67"/>
  <c r="T182" i="67"/>
  <c r="S183" i="67"/>
  <c r="T183" i="67"/>
  <c r="S184" i="67"/>
  <c r="T184" i="67"/>
  <c r="S185" i="67"/>
  <c r="T185" i="67"/>
  <c r="S186" i="67"/>
  <c r="T186" i="67"/>
  <c r="S187" i="67"/>
  <c r="T187" i="67"/>
  <c r="S188" i="67"/>
  <c r="T188" i="67"/>
  <c r="S189" i="67"/>
  <c r="T189" i="67"/>
  <c r="S190" i="67"/>
  <c r="T190" i="67"/>
  <c r="S191" i="67"/>
  <c r="T191" i="67"/>
  <c r="S192" i="67"/>
  <c r="T192" i="67"/>
  <c r="S193" i="67"/>
  <c r="T193" i="67"/>
  <c r="S194" i="67"/>
  <c r="T194" i="67"/>
  <c r="S195" i="67"/>
  <c r="T195" i="67"/>
  <c r="S196" i="67"/>
  <c r="T196" i="67"/>
  <c r="R107" i="67"/>
  <c r="R108" i="67"/>
  <c r="R109" i="67"/>
  <c r="R110" i="67"/>
  <c r="R111" i="67"/>
  <c r="R112" i="67"/>
  <c r="R113" i="67"/>
  <c r="R114" i="67"/>
  <c r="R115" i="67"/>
  <c r="R116" i="67"/>
  <c r="R117" i="67"/>
  <c r="R118" i="67"/>
  <c r="R119" i="67"/>
  <c r="R120" i="67"/>
  <c r="R121" i="67"/>
  <c r="R122" i="67"/>
  <c r="R123" i="67"/>
  <c r="R124" i="67"/>
  <c r="R125" i="67"/>
  <c r="R126" i="67"/>
  <c r="R127" i="67"/>
  <c r="R128" i="67"/>
  <c r="R129" i="67"/>
  <c r="R130" i="67"/>
  <c r="R131" i="67"/>
  <c r="R132" i="67"/>
  <c r="R133" i="67"/>
  <c r="R134" i="67"/>
  <c r="R135" i="67"/>
  <c r="R136" i="67"/>
  <c r="R137" i="67"/>
  <c r="R138" i="67"/>
  <c r="R139" i="67"/>
  <c r="R140" i="67"/>
  <c r="R141" i="67"/>
  <c r="R142" i="67"/>
  <c r="R143" i="67"/>
  <c r="R144" i="67"/>
  <c r="R145" i="67"/>
  <c r="R146" i="67"/>
  <c r="R147" i="67"/>
  <c r="R148" i="67"/>
  <c r="R149" i="67"/>
  <c r="R150" i="67"/>
  <c r="R151" i="67"/>
  <c r="R152" i="67"/>
  <c r="R153" i="67"/>
  <c r="R154" i="67"/>
  <c r="R155" i="67"/>
  <c r="R156" i="67"/>
  <c r="R157" i="67"/>
  <c r="R158" i="67"/>
  <c r="R159" i="67"/>
  <c r="R160" i="67"/>
  <c r="R161" i="67"/>
  <c r="R162" i="67"/>
  <c r="R163" i="67"/>
  <c r="R164" i="67"/>
  <c r="R165" i="67"/>
  <c r="R166" i="67"/>
  <c r="R167" i="67"/>
  <c r="R168" i="67"/>
  <c r="R169" i="67"/>
  <c r="R170" i="67"/>
  <c r="R171" i="67"/>
  <c r="R172" i="67"/>
  <c r="R173" i="67"/>
  <c r="R174" i="67"/>
  <c r="R175" i="67"/>
  <c r="R176" i="67"/>
  <c r="R177" i="67"/>
  <c r="R178" i="67"/>
  <c r="R179" i="67"/>
  <c r="R180" i="67"/>
  <c r="R181" i="67"/>
  <c r="R182" i="67"/>
  <c r="R183" i="67"/>
  <c r="R184" i="67"/>
  <c r="R185" i="67"/>
  <c r="R186" i="67"/>
  <c r="R187" i="67"/>
  <c r="R188" i="67"/>
  <c r="R189" i="67"/>
  <c r="R190" i="67"/>
  <c r="R191" i="67"/>
  <c r="R192" i="67"/>
  <c r="R193" i="67"/>
  <c r="R194" i="67"/>
  <c r="R195" i="67"/>
  <c r="R196" i="67"/>
  <c r="N106" i="67"/>
  <c r="O106" i="67"/>
  <c r="P106" i="67"/>
  <c r="O107" i="67"/>
  <c r="P107" i="67"/>
  <c r="O108" i="67"/>
  <c r="P108" i="67"/>
  <c r="O109" i="67"/>
  <c r="P109" i="67"/>
  <c r="O110" i="67"/>
  <c r="P110" i="67"/>
  <c r="O111" i="67"/>
  <c r="P111" i="67"/>
  <c r="O112" i="67"/>
  <c r="P112" i="67"/>
  <c r="O113" i="67"/>
  <c r="P113" i="67"/>
  <c r="O114" i="67"/>
  <c r="P114" i="67"/>
  <c r="O115" i="67"/>
  <c r="P115" i="67"/>
  <c r="O116" i="67"/>
  <c r="P116" i="67"/>
  <c r="O117" i="67"/>
  <c r="P117" i="67"/>
  <c r="O118" i="67"/>
  <c r="P118" i="67"/>
  <c r="O119" i="67"/>
  <c r="P119" i="67"/>
  <c r="O120" i="67"/>
  <c r="P120" i="67"/>
  <c r="O121" i="67"/>
  <c r="P121" i="67"/>
  <c r="O122" i="67"/>
  <c r="P122" i="67"/>
  <c r="O123" i="67"/>
  <c r="P123" i="67"/>
  <c r="O124" i="67"/>
  <c r="P124" i="67"/>
  <c r="O125" i="67"/>
  <c r="P125" i="67"/>
  <c r="O126" i="67"/>
  <c r="P126" i="67"/>
  <c r="O127" i="67"/>
  <c r="P127" i="67"/>
  <c r="O128" i="67"/>
  <c r="P128" i="67"/>
  <c r="O129" i="67"/>
  <c r="P129" i="67"/>
  <c r="O130" i="67"/>
  <c r="P130" i="67"/>
  <c r="O131" i="67"/>
  <c r="P131" i="67"/>
  <c r="O132" i="67"/>
  <c r="P132" i="67"/>
  <c r="O133" i="67"/>
  <c r="P133" i="67"/>
  <c r="O134" i="67"/>
  <c r="P134" i="67"/>
  <c r="O135" i="67"/>
  <c r="P135" i="67"/>
  <c r="O136" i="67"/>
  <c r="P136" i="67"/>
  <c r="O137" i="67"/>
  <c r="P137" i="67"/>
  <c r="O138" i="67"/>
  <c r="P138" i="67"/>
  <c r="O139" i="67"/>
  <c r="P139" i="67"/>
  <c r="O140" i="67"/>
  <c r="P140" i="67"/>
  <c r="O141" i="67"/>
  <c r="P141" i="67"/>
  <c r="O142" i="67"/>
  <c r="P142" i="67"/>
  <c r="O143" i="67"/>
  <c r="P143" i="67"/>
  <c r="O144" i="67"/>
  <c r="P144" i="67"/>
  <c r="O145" i="67"/>
  <c r="P145" i="67"/>
  <c r="O146" i="67"/>
  <c r="P146" i="67"/>
  <c r="O147" i="67"/>
  <c r="P147" i="67"/>
  <c r="O148" i="67"/>
  <c r="P148" i="67"/>
  <c r="O149" i="67"/>
  <c r="P149" i="67"/>
  <c r="O150" i="67"/>
  <c r="P150" i="67"/>
  <c r="O151" i="67"/>
  <c r="P151" i="67"/>
  <c r="O152" i="67"/>
  <c r="P152" i="67"/>
  <c r="O153" i="67"/>
  <c r="P153" i="67"/>
  <c r="O154" i="67"/>
  <c r="P154" i="67"/>
  <c r="O155" i="67"/>
  <c r="P155" i="67"/>
  <c r="O156" i="67"/>
  <c r="P156" i="67"/>
  <c r="O157" i="67"/>
  <c r="P157" i="67"/>
  <c r="O158" i="67"/>
  <c r="P158" i="67"/>
  <c r="O159" i="67"/>
  <c r="P159" i="67"/>
  <c r="O160" i="67"/>
  <c r="P160" i="67"/>
  <c r="O161" i="67"/>
  <c r="P161" i="67"/>
  <c r="O162" i="67"/>
  <c r="P162" i="67"/>
  <c r="O163" i="67"/>
  <c r="P163" i="67"/>
  <c r="O164" i="67"/>
  <c r="P164" i="67"/>
  <c r="O165" i="67"/>
  <c r="P165" i="67"/>
  <c r="O166" i="67"/>
  <c r="P166" i="67"/>
  <c r="O167" i="67"/>
  <c r="P167" i="67"/>
  <c r="O168" i="67"/>
  <c r="P168" i="67"/>
  <c r="O169" i="67"/>
  <c r="P169" i="67"/>
  <c r="O170" i="67"/>
  <c r="P170" i="67"/>
  <c r="O171" i="67"/>
  <c r="P171" i="67"/>
  <c r="O172" i="67"/>
  <c r="P172" i="67"/>
  <c r="O173" i="67"/>
  <c r="P173" i="67"/>
  <c r="O174" i="67"/>
  <c r="P174" i="67"/>
  <c r="O175" i="67"/>
  <c r="P175" i="67"/>
  <c r="O176" i="67"/>
  <c r="P176" i="67"/>
  <c r="O177" i="67"/>
  <c r="P177" i="67"/>
  <c r="O178" i="67"/>
  <c r="P178" i="67"/>
  <c r="O179" i="67"/>
  <c r="P179" i="67"/>
  <c r="O180" i="67"/>
  <c r="P180" i="67"/>
  <c r="O181" i="67"/>
  <c r="P181" i="67"/>
  <c r="O182" i="67"/>
  <c r="P182" i="67"/>
  <c r="O183" i="67"/>
  <c r="P183" i="67"/>
  <c r="O184" i="67"/>
  <c r="P184" i="67"/>
  <c r="O185" i="67"/>
  <c r="P185" i="67"/>
  <c r="O186" i="67"/>
  <c r="P186" i="67"/>
  <c r="O187" i="67"/>
  <c r="P187" i="67"/>
  <c r="O188" i="67"/>
  <c r="P188" i="67"/>
  <c r="O189" i="67"/>
  <c r="P189" i="67"/>
  <c r="O190" i="67"/>
  <c r="P190" i="67"/>
  <c r="O191" i="67"/>
  <c r="P191" i="67"/>
  <c r="O192" i="67"/>
  <c r="P192" i="67"/>
  <c r="O193" i="67"/>
  <c r="P193" i="67"/>
  <c r="O194" i="67"/>
  <c r="P194" i="67"/>
  <c r="O195" i="67"/>
  <c r="P195" i="67"/>
  <c r="O196" i="67"/>
  <c r="P196" i="67"/>
  <c r="N107" i="67"/>
  <c r="N108" i="67"/>
  <c r="N109" i="67"/>
  <c r="N110" i="67"/>
  <c r="N111" i="67"/>
  <c r="N112" i="67"/>
  <c r="N113" i="67"/>
  <c r="N114" i="67"/>
  <c r="N115" i="67"/>
  <c r="N116" i="67"/>
  <c r="N117" i="67"/>
  <c r="N118" i="67"/>
  <c r="N119" i="67"/>
  <c r="N120" i="67"/>
  <c r="N121" i="67"/>
  <c r="N122" i="67"/>
  <c r="N123" i="67"/>
  <c r="N124" i="67"/>
  <c r="N125" i="67"/>
  <c r="N126" i="67"/>
  <c r="N127" i="67"/>
  <c r="N128" i="67"/>
  <c r="N129" i="67"/>
  <c r="N130" i="67"/>
  <c r="N131" i="67"/>
  <c r="N132" i="67"/>
  <c r="N133" i="67"/>
  <c r="N134" i="67"/>
  <c r="N135" i="67"/>
  <c r="N136" i="67"/>
  <c r="N137" i="67"/>
  <c r="N138" i="67"/>
  <c r="N139" i="67"/>
  <c r="N140" i="67"/>
  <c r="N141" i="67"/>
  <c r="N142" i="67"/>
  <c r="N143" i="67"/>
  <c r="N144" i="67"/>
  <c r="N145" i="67"/>
  <c r="N146" i="67"/>
  <c r="N147" i="67"/>
  <c r="N148" i="67"/>
  <c r="N149" i="67"/>
  <c r="N150" i="67"/>
  <c r="N151" i="67"/>
  <c r="N152" i="67"/>
  <c r="N153" i="67"/>
  <c r="N154" i="67"/>
  <c r="N155" i="67"/>
  <c r="N156" i="67"/>
  <c r="N157" i="67"/>
  <c r="N158" i="67"/>
  <c r="N159" i="67"/>
  <c r="N160" i="67"/>
  <c r="N161" i="67"/>
  <c r="N162" i="67"/>
  <c r="N163" i="67"/>
  <c r="N164" i="67"/>
  <c r="N165" i="67"/>
  <c r="N166" i="67"/>
  <c r="N167" i="67"/>
  <c r="N168" i="67"/>
  <c r="N169" i="67"/>
  <c r="N170" i="67"/>
  <c r="N171" i="67"/>
  <c r="N172" i="67"/>
  <c r="N173" i="67"/>
  <c r="N174" i="67"/>
  <c r="N175" i="67"/>
  <c r="N176" i="67"/>
  <c r="N177" i="67"/>
  <c r="N178" i="67"/>
  <c r="N179" i="67"/>
  <c r="N180" i="67"/>
  <c r="N181" i="67"/>
  <c r="N182" i="67"/>
  <c r="N183" i="67"/>
  <c r="N184" i="67"/>
  <c r="N185" i="67"/>
  <c r="N186" i="67"/>
  <c r="N187" i="67"/>
  <c r="N188" i="67"/>
  <c r="N189" i="67"/>
  <c r="N190" i="67"/>
  <c r="N191" i="67"/>
  <c r="N192" i="67"/>
  <c r="N193" i="67"/>
  <c r="N194" i="67"/>
  <c r="N195" i="67"/>
  <c r="N196" i="67"/>
  <c r="J106" i="67"/>
  <c r="K106" i="67"/>
  <c r="L106" i="67"/>
  <c r="K107" i="67"/>
  <c r="L107" i="67"/>
  <c r="K108" i="67"/>
  <c r="L108" i="67"/>
  <c r="K109" i="67"/>
  <c r="L109" i="67"/>
  <c r="K110" i="67"/>
  <c r="L110" i="67"/>
  <c r="K111" i="67"/>
  <c r="L111" i="67"/>
  <c r="K112" i="67"/>
  <c r="L112" i="67"/>
  <c r="K113" i="67"/>
  <c r="L113" i="67"/>
  <c r="K114" i="67"/>
  <c r="L114" i="67"/>
  <c r="K115" i="67"/>
  <c r="L115" i="67"/>
  <c r="K116" i="67"/>
  <c r="L116" i="67"/>
  <c r="K117" i="67"/>
  <c r="L117" i="67"/>
  <c r="K118" i="67"/>
  <c r="L118" i="67"/>
  <c r="K119" i="67"/>
  <c r="L119" i="67"/>
  <c r="K120" i="67"/>
  <c r="L120" i="67"/>
  <c r="K121" i="67"/>
  <c r="L121" i="67"/>
  <c r="K122" i="67"/>
  <c r="L122" i="67"/>
  <c r="K123" i="67"/>
  <c r="L123" i="67"/>
  <c r="K124" i="67"/>
  <c r="L124" i="67"/>
  <c r="K125" i="67"/>
  <c r="L125" i="67"/>
  <c r="K126" i="67"/>
  <c r="L126" i="67"/>
  <c r="K127" i="67"/>
  <c r="L127" i="67"/>
  <c r="K128" i="67"/>
  <c r="L128" i="67"/>
  <c r="K129" i="67"/>
  <c r="L129" i="67"/>
  <c r="K130" i="67"/>
  <c r="L130" i="67"/>
  <c r="K131" i="67"/>
  <c r="L131" i="67"/>
  <c r="K132" i="67"/>
  <c r="L132" i="67"/>
  <c r="K133" i="67"/>
  <c r="L133" i="67"/>
  <c r="K134" i="67"/>
  <c r="L134" i="67"/>
  <c r="K135" i="67"/>
  <c r="L135" i="67"/>
  <c r="K136" i="67"/>
  <c r="L136" i="67"/>
  <c r="K137" i="67"/>
  <c r="L137" i="67"/>
  <c r="K138" i="67"/>
  <c r="L138" i="67"/>
  <c r="K139" i="67"/>
  <c r="L139" i="67"/>
  <c r="K140" i="67"/>
  <c r="L140" i="67"/>
  <c r="K141" i="67"/>
  <c r="L141" i="67"/>
  <c r="K142" i="67"/>
  <c r="L142" i="67"/>
  <c r="K143" i="67"/>
  <c r="L143" i="67"/>
  <c r="K144" i="67"/>
  <c r="L144" i="67"/>
  <c r="K145" i="67"/>
  <c r="L145" i="67"/>
  <c r="K146" i="67"/>
  <c r="L146" i="67"/>
  <c r="K147" i="67"/>
  <c r="L147" i="67"/>
  <c r="K148" i="67"/>
  <c r="L148" i="67"/>
  <c r="K149" i="67"/>
  <c r="L149" i="67"/>
  <c r="K150" i="67"/>
  <c r="L150" i="67"/>
  <c r="K151" i="67"/>
  <c r="L151" i="67"/>
  <c r="K152" i="67"/>
  <c r="L152" i="67"/>
  <c r="K153" i="67"/>
  <c r="L153" i="67"/>
  <c r="K154" i="67"/>
  <c r="L154" i="67"/>
  <c r="K155" i="67"/>
  <c r="L155" i="67"/>
  <c r="K156" i="67"/>
  <c r="L156" i="67"/>
  <c r="K157" i="67"/>
  <c r="L157" i="67"/>
  <c r="K158" i="67"/>
  <c r="L158" i="67"/>
  <c r="K159" i="67"/>
  <c r="L159" i="67"/>
  <c r="K160" i="67"/>
  <c r="L160" i="67"/>
  <c r="K161" i="67"/>
  <c r="L161" i="67"/>
  <c r="K162" i="67"/>
  <c r="L162" i="67"/>
  <c r="K163" i="67"/>
  <c r="L163" i="67"/>
  <c r="K164" i="67"/>
  <c r="L164" i="67"/>
  <c r="K165" i="67"/>
  <c r="L165" i="67"/>
  <c r="K166" i="67"/>
  <c r="L166" i="67"/>
  <c r="K167" i="67"/>
  <c r="L167" i="67"/>
  <c r="K168" i="67"/>
  <c r="L168" i="67"/>
  <c r="K169" i="67"/>
  <c r="L169" i="67"/>
  <c r="K170" i="67"/>
  <c r="L170" i="67"/>
  <c r="K171" i="67"/>
  <c r="L171" i="67"/>
  <c r="K172" i="67"/>
  <c r="L172" i="67"/>
  <c r="K173" i="67"/>
  <c r="L173" i="67"/>
  <c r="K174" i="67"/>
  <c r="L174" i="67"/>
  <c r="K175" i="67"/>
  <c r="L175" i="67"/>
  <c r="K176" i="67"/>
  <c r="L176" i="67"/>
  <c r="K177" i="67"/>
  <c r="L177" i="67"/>
  <c r="K178" i="67"/>
  <c r="L178" i="67"/>
  <c r="K179" i="67"/>
  <c r="L179" i="67"/>
  <c r="K180" i="67"/>
  <c r="L180" i="67"/>
  <c r="K181" i="67"/>
  <c r="L181" i="67"/>
  <c r="K182" i="67"/>
  <c r="L182" i="67"/>
  <c r="K183" i="67"/>
  <c r="L183" i="67"/>
  <c r="K184" i="67"/>
  <c r="L184" i="67"/>
  <c r="K185" i="67"/>
  <c r="L185" i="67"/>
  <c r="K186" i="67"/>
  <c r="L186" i="67"/>
  <c r="K187" i="67"/>
  <c r="L187" i="67"/>
  <c r="K188" i="67"/>
  <c r="L188" i="67"/>
  <c r="K189" i="67"/>
  <c r="L189" i="67"/>
  <c r="K190" i="67"/>
  <c r="L190" i="67"/>
  <c r="K191" i="67"/>
  <c r="L191" i="67"/>
  <c r="K192" i="67"/>
  <c r="L192" i="67"/>
  <c r="K193" i="67"/>
  <c r="L193" i="67"/>
  <c r="K194" i="67"/>
  <c r="L194" i="67"/>
  <c r="K195" i="67"/>
  <c r="L195" i="67"/>
  <c r="K196" i="67"/>
  <c r="L196" i="67"/>
  <c r="J107" i="67"/>
  <c r="J108" i="67"/>
  <c r="J109" i="67"/>
  <c r="J110" i="67"/>
  <c r="J111" i="67"/>
  <c r="J112" i="67"/>
  <c r="J113" i="67"/>
  <c r="J114" i="67"/>
  <c r="J115" i="67"/>
  <c r="J116" i="67"/>
  <c r="J117" i="67"/>
  <c r="J118" i="67"/>
  <c r="J119" i="67"/>
  <c r="J120" i="67"/>
  <c r="J121" i="67"/>
  <c r="J122" i="67"/>
  <c r="J123" i="67"/>
  <c r="J124" i="67"/>
  <c r="J125" i="67"/>
  <c r="J126" i="67"/>
  <c r="J127" i="67"/>
  <c r="J128" i="67"/>
  <c r="J129" i="67"/>
  <c r="J130" i="67"/>
  <c r="J131" i="67"/>
  <c r="J132" i="67"/>
  <c r="J133" i="67"/>
  <c r="J134" i="67"/>
  <c r="J135" i="67"/>
  <c r="J136" i="67"/>
  <c r="J137" i="67"/>
  <c r="J138" i="67"/>
  <c r="J139" i="67"/>
  <c r="J140" i="67"/>
  <c r="J141" i="67"/>
  <c r="J142" i="67"/>
  <c r="J143" i="67"/>
  <c r="J144" i="67"/>
  <c r="J145" i="67"/>
  <c r="J146" i="67"/>
  <c r="J147" i="67"/>
  <c r="J148" i="67"/>
  <c r="J149" i="67"/>
  <c r="J150" i="67"/>
  <c r="J151" i="67"/>
  <c r="J152" i="67"/>
  <c r="J153" i="67"/>
  <c r="J154" i="67"/>
  <c r="J155" i="67"/>
  <c r="J156" i="67"/>
  <c r="J157" i="67"/>
  <c r="J158" i="67"/>
  <c r="J159" i="67"/>
  <c r="J160" i="67"/>
  <c r="J161" i="67"/>
  <c r="J162" i="67"/>
  <c r="J163" i="67"/>
  <c r="J164" i="67"/>
  <c r="J165" i="67"/>
  <c r="J166" i="67"/>
  <c r="J167" i="67"/>
  <c r="J168" i="67"/>
  <c r="J169" i="67"/>
  <c r="J170" i="67"/>
  <c r="J171" i="67"/>
  <c r="J172" i="67"/>
  <c r="J173" i="67"/>
  <c r="J174" i="67"/>
  <c r="J175" i="67"/>
  <c r="J176" i="67"/>
  <c r="J177" i="67"/>
  <c r="J178" i="67"/>
  <c r="J179" i="67"/>
  <c r="J180" i="67"/>
  <c r="J181" i="67"/>
  <c r="J182" i="67"/>
  <c r="J183" i="67"/>
  <c r="J184" i="67"/>
  <c r="J185" i="67"/>
  <c r="J186" i="67"/>
  <c r="J187" i="67"/>
  <c r="J188" i="67"/>
  <c r="J189" i="67"/>
  <c r="J190" i="67"/>
  <c r="J191" i="67"/>
  <c r="J192" i="67"/>
  <c r="J193" i="67"/>
  <c r="J194" i="67"/>
  <c r="J195" i="67"/>
  <c r="J196" i="67"/>
  <c r="H106" i="67"/>
  <c r="G106" i="67"/>
  <c r="G107" i="67"/>
  <c r="H107" i="67"/>
  <c r="G108" i="67"/>
  <c r="H108" i="67"/>
  <c r="G109" i="67"/>
  <c r="H109" i="67"/>
  <c r="G110" i="67"/>
  <c r="H110" i="67"/>
  <c r="G111" i="67"/>
  <c r="H111" i="67"/>
  <c r="G112" i="67"/>
  <c r="H112" i="67"/>
  <c r="G113" i="67"/>
  <c r="H113" i="67"/>
  <c r="G114" i="67"/>
  <c r="H114" i="67"/>
  <c r="G115" i="67"/>
  <c r="H115" i="67"/>
  <c r="G116" i="67"/>
  <c r="H116" i="67"/>
  <c r="G117" i="67"/>
  <c r="H117" i="67"/>
  <c r="G118" i="67"/>
  <c r="H118" i="67"/>
  <c r="G119" i="67"/>
  <c r="H119" i="67"/>
  <c r="G120" i="67"/>
  <c r="H120" i="67"/>
  <c r="G121" i="67"/>
  <c r="H121" i="67"/>
  <c r="G122" i="67"/>
  <c r="H122" i="67"/>
  <c r="G123" i="67"/>
  <c r="H123" i="67"/>
  <c r="G124" i="67"/>
  <c r="H124" i="67"/>
  <c r="G125" i="67"/>
  <c r="H125" i="67"/>
  <c r="G126" i="67"/>
  <c r="H126" i="67"/>
  <c r="G127" i="67"/>
  <c r="H127" i="67"/>
  <c r="G128" i="67"/>
  <c r="H128" i="67"/>
  <c r="G129" i="67"/>
  <c r="H129" i="67"/>
  <c r="G130" i="67"/>
  <c r="H130" i="67"/>
  <c r="G131" i="67"/>
  <c r="H131" i="67"/>
  <c r="G132" i="67"/>
  <c r="H132" i="67"/>
  <c r="G133" i="67"/>
  <c r="H133" i="67"/>
  <c r="G134" i="67"/>
  <c r="H134" i="67"/>
  <c r="G135" i="67"/>
  <c r="H135" i="67"/>
  <c r="G136" i="67"/>
  <c r="H136" i="67"/>
  <c r="G137" i="67"/>
  <c r="H137" i="67"/>
  <c r="G138" i="67"/>
  <c r="H138" i="67"/>
  <c r="G139" i="67"/>
  <c r="H139" i="67"/>
  <c r="G140" i="67"/>
  <c r="H140" i="67"/>
  <c r="G141" i="67"/>
  <c r="H141" i="67"/>
  <c r="G142" i="67"/>
  <c r="H142" i="67"/>
  <c r="G143" i="67"/>
  <c r="H143" i="67"/>
  <c r="G144" i="67"/>
  <c r="H144" i="67"/>
  <c r="G145" i="67"/>
  <c r="H145" i="67"/>
  <c r="G146" i="67"/>
  <c r="H146" i="67"/>
  <c r="G147" i="67"/>
  <c r="H147" i="67"/>
  <c r="G148" i="67"/>
  <c r="H148" i="67"/>
  <c r="G149" i="67"/>
  <c r="H149" i="67"/>
  <c r="G150" i="67"/>
  <c r="H150" i="67"/>
  <c r="G151" i="67"/>
  <c r="H151" i="67"/>
  <c r="G152" i="67"/>
  <c r="H152" i="67"/>
  <c r="G153" i="67"/>
  <c r="H153" i="67"/>
  <c r="G154" i="67"/>
  <c r="H154" i="67"/>
  <c r="G155" i="67"/>
  <c r="H155" i="67"/>
  <c r="G156" i="67"/>
  <c r="H156" i="67"/>
  <c r="G157" i="67"/>
  <c r="H157" i="67"/>
  <c r="G158" i="67"/>
  <c r="H158" i="67"/>
  <c r="G159" i="67"/>
  <c r="H159" i="67"/>
  <c r="G160" i="67"/>
  <c r="H160" i="67"/>
  <c r="G161" i="67"/>
  <c r="H161" i="67"/>
  <c r="G162" i="67"/>
  <c r="H162" i="67"/>
  <c r="G163" i="67"/>
  <c r="H163" i="67"/>
  <c r="G164" i="67"/>
  <c r="H164" i="67"/>
  <c r="G165" i="67"/>
  <c r="H165" i="67"/>
  <c r="G166" i="67"/>
  <c r="H166" i="67"/>
  <c r="G167" i="67"/>
  <c r="H167" i="67"/>
  <c r="G168" i="67"/>
  <c r="H168" i="67"/>
  <c r="G169" i="67"/>
  <c r="H169" i="67"/>
  <c r="G170" i="67"/>
  <c r="H170" i="67"/>
  <c r="G171" i="67"/>
  <c r="H171" i="67"/>
  <c r="G172" i="67"/>
  <c r="H172" i="67"/>
  <c r="G173" i="67"/>
  <c r="H173" i="67"/>
  <c r="G174" i="67"/>
  <c r="H174" i="67"/>
  <c r="G175" i="67"/>
  <c r="H175" i="67"/>
  <c r="G176" i="67"/>
  <c r="H176" i="67"/>
  <c r="G177" i="67"/>
  <c r="H177" i="67"/>
  <c r="G178" i="67"/>
  <c r="H178" i="67"/>
  <c r="G179" i="67"/>
  <c r="H179" i="67"/>
  <c r="G180" i="67"/>
  <c r="H180" i="67"/>
  <c r="G181" i="67"/>
  <c r="H181" i="67"/>
  <c r="G182" i="67"/>
  <c r="H182" i="67"/>
  <c r="G183" i="67"/>
  <c r="H183" i="67"/>
  <c r="G184" i="67"/>
  <c r="H184" i="67"/>
  <c r="G185" i="67"/>
  <c r="H185" i="67"/>
  <c r="G186" i="67"/>
  <c r="H186" i="67"/>
  <c r="G187" i="67"/>
  <c r="H187" i="67"/>
  <c r="G188" i="67"/>
  <c r="H188" i="67"/>
  <c r="G189" i="67"/>
  <c r="H189" i="67"/>
  <c r="G190" i="67"/>
  <c r="H190" i="67"/>
  <c r="G191" i="67"/>
  <c r="H191" i="67"/>
  <c r="G192" i="67"/>
  <c r="H192" i="67"/>
  <c r="G193" i="67"/>
  <c r="H193" i="67"/>
  <c r="G194" i="67"/>
  <c r="H194" i="67"/>
  <c r="G195" i="67"/>
  <c r="H195" i="67"/>
  <c r="G196" i="67"/>
  <c r="H19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C106" i="67"/>
  <c r="D106" i="67"/>
  <c r="C107" i="67"/>
  <c r="D107" i="67"/>
  <c r="C108" i="67"/>
  <c r="D108" i="67"/>
  <c r="C109" i="67"/>
  <c r="D109" i="67"/>
  <c r="C110" i="67"/>
  <c r="D110" i="67"/>
  <c r="C111" i="67"/>
  <c r="D111" i="67"/>
  <c r="C112" i="67"/>
  <c r="D112" i="67"/>
  <c r="C113" i="67"/>
  <c r="D113" i="67"/>
  <c r="C114" i="67"/>
  <c r="D114" i="67"/>
  <c r="C115" i="67"/>
  <c r="D115" i="67"/>
  <c r="C116" i="67"/>
  <c r="D116" i="67"/>
  <c r="C117" i="67"/>
  <c r="D117" i="67"/>
  <c r="C118" i="67"/>
  <c r="D118" i="67"/>
  <c r="C119" i="67"/>
  <c r="D119" i="67"/>
  <c r="C120" i="67"/>
  <c r="D120" i="67"/>
  <c r="C121" i="67"/>
  <c r="D121" i="67"/>
  <c r="C122" i="67"/>
  <c r="D122" i="67"/>
  <c r="C123" i="67"/>
  <c r="D123" i="67"/>
  <c r="C124" i="67"/>
  <c r="D124" i="67"/>
  <c r="C125" i="67"/>
  <c r="D125" i="67"/>
  <c r="C126" i="67"/>
  <c r="D126" i="67"/>
  <c r="C127" i="67"/>
  <c r="D127" i="67"/>
  <c r="C128" i="67"/>
  <c r="D128" i="67"/>
  <c r="C129" i="67"/>
  <c r="D129" i="67"/>
  <c r="C130" i="67"/>
  <c r="D130" i="67"/>
  <c r="C131" i="67"/>
  <c r="D131" i="67"/>
  <c r="C132" i="67"/>
  <c r="D132" i="67"/>
  <c r="C133" i="67"/>
  <c r="D133" i="67"/>
  <c r="C134" i="67"/>
  <c r="D134" i="67"/>
  <c r="C135" i="67"/>
  <c r="D135" i="67"/>
  <c r="C136" i="67"/>
  <c r="D136" i="67"/>
  <c r="C137" i="67"/>
  <c r="D137" i="67"/>
  <c r="C138" i="67"/>
  <c r="D138" i="67"/>
  <c r="C139" i="67"/>
  <c r="D139" i="67"/>
  <c r="C140" i="67"/>
  <c r="D140" i="67"/>
  <c r="C141" i="67"/>
  <c r="D141" i="67"/>
  <c r="C142" i="67"/>
  <c r="D142" i="67"/>
  <c r="C143" i="67"/>
  <c r="D143" i="67"/>
  <c r="C144" i="67"/>
  <c r="D144" i="67"/>
  <c r="C145" i="67"/>
  <c r="D145" i="67"/>
  <c r="C146" i="67"/>
  <c r="D146" i="67"/>
  <c r="C147" i="67"/>
  <c r="D147" i="67"/>
  <c r="C148" i="67"/>
  <c r="D148" i="67"/>
  <c r="C149" i="67"/>
  <c r="D149" i="67"/>
  <c r="C150" i="67"/>
  <c r="D150" i="67"/>
  <c r="C151" i="67"/>
  <c r="D151" i="67"/>
  <c r="C152" i="67"/>
  <c r="D152" i="67"/>
  <c r="C153" i="67"/>
  <c r="D153" i="67"/>
  <c r="C154" i="67"/>
  <c r="D154" i="67"/>
  <c r="C155" i="67"/>
  <c r="D155" i="67"/>
  <c r="C156" i="67"/>
  <c r="D156" i="67"/>
  <c r="C157" i="67"/>
  <c r="D157" i="67"/>
  <c r="C158" i="67"/>
  <c r="D158" i="67"/>
  <c r="C159" i="67"/>
  <c r="D159" i="67"/>
  <c r="C160" i="67"/>
  <c r="D160" i="67"/>
  <c r="C161" i="67"/>
  <c r="D161" i="67"/>
  <c r="C162" i="67"/>
  <c r="D162" i="67"/>
  <c r="C163" i="67"/>
  <c r="D163" i="67"/>
  <c r="C164" i="67"/>
  <c r="D164" i="67"/>
  <c r="C165" i="67"/>
  <c r="D165" i="67"/>
  <c r="C166" i="67"/>
  <c r="D166" i="67"/>
  <c r="C167" i="67"/>
  <c r="D167" i="67"/>
  <c r="C168" i="67"/>
  <c r="D168" i="67"/>
  <c r="C169" i="67"/>
  <c r="D169" i="67"/>
  <c r="C170" i="67"/>
  <c r="D170" i="67"/>
  <c r="C171" i="67"/>
  <c r="D171" i="67"/>
  <c r="C172" i="67"/>
  <c r="D172" i="67"/>
  <c r="C173" i="67"/>
  <c r="D173" i="67"/>
  <c r="C174" i="67"/>
  <c r="D174" i="67"/>
  <c r="C175" i="67"/>
  <c r="D175" i="67"/>
  <c r="C176" i="67"/>
  <c r="D176" i="67"/>
  <c r="C177" i="67"/>
  <c r="D177" i="67"/>
  <c r="C178" i="67"/>
  <c r="D178" i="67"/>
  <c r="C179" i="67"/>
  <c r="D179" i="67"/>
  <c r="C180" i="67"/>
  <c r="D180" i="67"/>
  <c r="C181" i="67"/>
  <c r="D181" i="67"/>
  <c r="C182" i="67"/>
  <c r="D182" i="67"/>
  <c r="C183" i="67"/>
  <c r="D183" i="67"/>
  <c r="C184" i="67"/>
  <c r="D184" i="67"/>
  <c r="C185" i="67"/>
  <c r="D185" i="67"/>
  <c r="C186" i="67"/>
  <c r="D186" i="67"/>
  <c r="C187" i="67"/>
  <c r="D187" i="67"/>
  <c r="C188" i="67"/>
  <c r="D188" i="67"/>
  <c r="C189" i="67"/>
  <c r="D189" i="67"/>
  <c r="C190" i="67"/>
  <c r="D190" i="67"/>
  <c r="C191" i="67"/>
  <c r="D191" i="67"/>
  <c r="C192" i="67"/>
  <c r="D192" i="67"/>
  <c r="C193" i="67"/>
  <c r="D193" i="67"/>
  <c r="C194" i="67"/>
  <c r="D194" i="67"/>
  <c r="C195" i="67"/>
  <c r="D195" i="67"/>
  <c r="C196" i="67"/>
  <c r="D196" i="67"/>
  <c r="B107" i="67"/>
  <c r="B108" i="67"/>
  <c r="B109" i="67"/>
  <c r="B110" i="67"/>
  <c r="B111" i="67"/>
  <c r="B112" i="67"/>
  <c r="B113" i="67"/>
  <c r="B114" i="67"/>
  <c r="B115" i="67"/>
  <c r="B116" i="67"/>
  <c r="B117" i="67"/>
  <c r="B118" i="67"/>
  <c r="B119" i="67"/>
  <c r="B120" i="67"/>
  <c r="B121" i="67"/>
  <c r="B122" i="67"/>
  <c r="B123" i="67"/>
  <c r="B124" i="67"/>
  <c r="B125" i="67"/>
  <c r="B126" i="67"/>
  <c r="B127" i="67"/>
  <c r="B128" i="67"/>
  <c r="B129" i="67"/>
  <c r="B130" i="67"/>
  <c r="B131" i="67"/>
  <c r="B132" i="67"/>
  <c r="B133" i="67"/>
  <c r="B134" i="67"/>
  <c r="B135" i="67"/>
  <c r="B136" i="67"/>
  <c r="B137" i="67"/>
  <c r="B138" i="67"/>
  <c r="B139" i="67"/>
  <c r="B140" i="67"/>
  <c r="B141" i="67"/>
  <c r="B142" i="67"/>
  <c r="B143" i="67"/>
  <c r="B144" i="67"/>
  <c r="B145" i="67"/>
  <c r="B146" i="67"/>
  <c r="B147" i="67"/>
  <c r="B148" i="67"/>
  <c r="B149" i="67"/>
  <c r="B150" i="67"/>
  <c r="B151" i="67"/>
  <c r="B152" i="67"/>
  <c r="B153" i="67"/>
  <c r="B154" i="67"/>
  <c r="B155" i="67"/>
  <c r="B156" i="67"/>
  <c r="B157" i="67"/>
  <c r="B158" i="67"/>
  <c r="B159" i="67"/>
  <c r="B160" i="67"/>
  <c r="B161" i="67"/>
  <c r="B162" i="67"/>
  <c r="B163" i="67"/>
  <c r="B164" i="67"/>
  <c r="B165" i="67"/>
  <c r="B166" i="67"/>
  <c r="B167" i="67"/>
  <c r="B168" i="67"/>
  <c r="B169" i="67"/>
  <c r="B170" i="67"/>
  <c r="B171" i="67"/>
  <c r="B172" i="67"/>
  <c r="B173" i="67"/>
  <c r="B174" i="67"/>
  <c r="B175" i="67"/>
  <c r="B176" i="67"/>
  <c r="B177" i="67"/>
  <c r="B178" i="67"/>
  <c r="B179" i="67"/>
  <c r="B180" i="67"/>
  <c r="B181" i="67"/>
  <c r="B182" i="67"/>
  <c r="B183" i="67"/>
  <c r="B184" i="67"/>
  <c r="B185" i="67"/>
  <c r="B186" i="67"/>
  <c r="B187" i="67"/>
  <c r="B188" i="67"/>
  <c r="B189" i="67"/>
  <c r="B190" i="67"/>
  <c r="B191" i="67"/>
  <c r="B192" i="67"/>
  <c r="B193" i="67"/>
  <c r="B194" i="67"/>
  <c r="B195" i="67"/>
  <c r="B196" i="67"/>
  <c r="B104" i="67"/>
  <c r="F104" i="67"/>
  <c r="J104" i="67"/>
  <c r="N104" i="67"/>
  <c r="R104" i="67"/>
  <c r="V104" i="67"/>
  <c r="Z104" i="67"/>
  <c r="AD104" i="67"/>
  <c r="AH104" i="67"/>
  <c r="W92" i="66"/>
  <c r="W91" i="66"/>
  <c r="W90" i="66"/>
  <c r="W89" i="66"/>
  <c r="W88" i="66"/>
  <c r="W87" i="66"/>
  <c r="W86" i="66"/>
  <c r="W85" i="66"/>
  <c r="W84" i="66"/>
  <c r="W83" i="66"/>
  <c r="W82" i="66"/>
  <c r="W81" i="66"/>
  <c r="T87" i="66"/>
  <c r="T86" i="66"/>
  <c r="T85" i="66"/>
  <c r="T84" i="66"/>
  <c r="T83" i="66"/>
  <c r="T82" i="66"/>
  <c r="T81" i="66"/>
  <c r="T88" i="66"/>
  <c r="E10" i="40"/>
  <c r="K96" i="66"/>
  <c r="N96" i="66"/>
  <c r="B93" i="66"/>
  <c r="B107" i="66"/>
  <c r="B106" i="66"/>
  <c r="B105" i="66"/>
  <c r="B104" i="66"/>
  <c r="B103" i="66"/>
  <c r="B102" i="66"/>
  <c r="B101" i="66"/>
  <c r="B100" i="66"/>
  <c r="B99" i="66"/>
  <c r="B98" i="66"/>
  <c r="B97" i="66"/>
  <c r="B96" i="66"/>
  <c r="B95" i="66"/>
  <c r="B94" i="66"/>
  <c r="E97" i="66"/>
  <c r="W99" i="66"/>
  <c r="W100" i="66"/>
  <c r="W101" i="66"/>
  <c r="W102" i="66"/>
  <c r="W103" i="66"/>
  <c r="B149" i="66"/>
  <c r="E98" i="66"/>
  <c r="E99" i="66"/>
  <c r="E100" i="66"/>
  <c r="E101" i="66"/>
  <c r="E102" i="66"/>
  <c r="E103" i="66"/>
  <c r="E104" i="66"/>
  <c r="E105" i="66"/>
  <c r="E106" i="66"/>
  <c r="E107" i="66"/>
  <c r="H97" i="66"/>
  <c r="H98" i="66"/>
  <c r="H99" i="66"/>
  <c r="H100" i="66"/>
  <c r="H101" i="66"/>
  <c r="H102" i="66"/>
  <c r="H103" i="66"/>
  <c r="H104" i="66"/>
  <c r="K97" i="66"/>
  <c r="K98" i="66"/>
  <c r="K99" i="66"/>
  <c r="K100" i="66"/>
  <c r="K101" i="66"/>
  <c r="K102" i="66"/>
  <c r="K104" i="66"/>
  <c r="K103" i="66"/>
  <c r="T103" i="66"/>
  <c r="T102" i="66"/>
  <c r="T101" i="66"/>
  <c r="T100" i="66"/>
  <c r="T99" i="66"/>
  <c r="T98" i="66"/>
  <c r="T97" i="66"/>
  <c r="T96" i="66"/>
  <c r="T95" i="66"/>
  <c r="Q103" i="66"/>
  <c r="Q102" i="66"/>
  <c r="Q101" i="66"/>
  <c r="Q100" i="66"/>
  <c r="Q99" i="66"/>
  <c r="Q98" i="66"/>
  <c r="Q97" i="66"/>
  <c r="Q96" i="66"/>
  <c r="Q95" i="66"/>
  <c r="Q94" i="66"/>
  <c r="N103" i="66"/>
  <c r="N102" i="66"/>
  <c r="N101" i="66"/>
  <c r="N100" i="66"/>
  <c r="N99" i="66"/>
  <c r="N98" i="66"/>
  <c r="N97" i="66"/>
  <c r="F24" i="69"/>
  <c r="E24" i="69"/>
  <c r="D24" i="69"/>
  <c r="C24" i="69"/>
  <c r="D41" i="62"/>
  <c r="D40" i="62"/>
  <c r="D39" i="62"/>
  <c r="D38" i="62"/>
  <c r="D37" i="62"/>
  <c r="D36" i="62"/>
  <c r="D35" i="62"/>
  <c r="D34" i="62"/>
  <c r="D33" i="62"/>
  <c r="D32" i="62"/>
  <c r="D31" i="62"/>
  <c r="D30" i="62"/>
  <c r="D2280" i="62"/>
  <c r="D2279" i="62"/>
  <c r="D2278" i="62"/>
  <c r="D2277" i="62"/>
  <c r="D2276" i="62"/>
  <c r="D2275" i="62"/>
  <c r="D2274" i="62"/>
  <c r="D2273" i="62"/>
  <c r="D2272" i="62"/>
  <c r="D2271" i="62"/>
  <c r="D2270" i="62"/>
  <c r="D2269" i="62"/>
  <c r="D2268" i="62"/>
  <c r="D2267" i="62"/>
  <c r="D2266" i="62"/>
  <c r="D2265" i="62"/>
  <c r="D2264" i="62"/>
  <c r="D2263" i="62"/>
  <c r="D2262" i="62"/>
  <c r="D2261" i="62"/>
  <c r="D2260" i="62"/>
  <c r="D2259" i="62"/>
  <c r="D2258" i="62"/>
  <c r="D2257" i="62"/>
  <c r="D2256" i="62"/>
  <c r="D2255" i="62"/>
  <c r="D2254" i="62"/>
  <c r="D2253" i="62"/>
  <c r="D2252" i="62"/>
  <c r="D2251" i="62"/>
  <c r="D2250" i="62"/>
  <c r="D2249" i="62"/>
  <c r="D2248" i="62"/>
  <c r="D2247" i="62"/>
  <c r="D2246" i="62"/>
  <c r="D2245" i="62"/>
  <c r="D2244" i="62"/>
  <c r="D2243" i="62"/>
  <c r="D2242" i="62"/>
  <c r="D2241" i="62"/>
  <c r="D2240" i="62"/>
  <c r="D2239" i="62"/>
  <c r="D2238" i="62"/>
  <c r="D2237" i="62"/>
  <c r="D2236" i="62"/>
  <c r="D2235" i="62"/>
  <c r="D2234" i="62"/>
  <c r="D2199" i="62"/>
  <c r="D2198" i="62"/>
  <c r="D2197" i="62"/>
  <c r="D2196" i="62"/>
  <c r="D2195" i="62"/>
  <c r="D2194" i="62"/>
  <c r="D2193" i="62"/>
  <c r="D2192" i="62"/>
  <c r="D2191" i="62"/>
  <c r="D2190" i="62"/>
  <c r="D2189" i="62"/>
  <c r="D2188" i="62"/>
  <c r="D2187" i="62"/>
  <c r="D2186" i="62"/>
  <c r="D2185" i="62"/>
  <c r="D2184" i="62"/>
  <c r="D2183" i="62"/>
  <c r="D2182" i="62"/>
  <c r="D2181" i="62"/>
  <c r="D2180" i="62"/>
  <c r="D2179" i="62"/>
  <c r="D2178" i="62"/>
  <c r="D2177" i="62"/>
  <c r="D2176" i="62"/>
  <c r="D2175" i="62"/>
  <c r="D2174" i="62"/>
  <c r="D2173" i="62"/>
  <c r="D2172" i="62"/>
  <c r="D2171" i="62"/>
  <c r="D2170" i="62"/>
  <c r="D2169" i="62"/>
  <c r="D2168" i="62"/>
  <c r="D2167" i="62"/>
  <c r="D2166" i="62"/>
  <c r="D2165" i="62"/>
  <c r="D2164" i="62"/>
  <c r="D2163" i="62"/>
  <c r="D2162" i="62"/>
  <c r="D2161" i="62"/>
  <c r="D2160" i="62"/>
  <c r="D2159" i="62"/>
  <c r="D2158" i="62"/>
  <c r="D2157" i="62"/>
  <c r="D2156" i="62"/>
  <c r="D2155" i="62"/>
  <c r="D2154" i="62"/>
  <c r="D2119" i="62"/>
  <c r="D2118" i="62"/>
  <c r="D2117" i="62"/>
  <c r="D2116" i="62"/>
  <c r="D2115" i="62"/>
  <c r="D2114" i="62"/>
  <c r="D2113" i="62"/>
  <c r="D2112" i="62"/>
  <c r="D2111" i="62"/>
  <c r="D2110" i="62"/>
  <c r="D2109" i="62"/>
  <c r="D2108" i="62"/>
  <c r="D2107" i="62"/>
  <c r="D2106" i="62"/>
  <c r="D2105" i="62"/>
  <c r="D2104" i="62"/>
  <c r="D2103" i="62"/>
  <c r="D2102" i="62"/>
  <c r="D2101" i="62"/>
  <c r="D2100" i="62"/>
  <c r="D2099" i="62"/>
  <c r="D2098" i="62"/>
  <c r="D2097" i="62"/>
  <c r="D2096" i="62"/>
  <c r="D2095" i="62"/>
  <c r="D2094" i="62"/>
  <c r="D2093" i="62"/>
  <c r="D2092" i="62"/>
  <c r="D2091" i="62"/>
  <c r="D2090" i="62"/>
  <c r="D2089" i="62"/>
  <c r="D2088" i="62"/>
  <c r="D2087" i="62"/>
  <c r="D2086" i="62"/>
  <c r="D2085" i="62"/>
  <c r="D2084" i="62"/>
  <c r="D2083" i="62"/>
  <c r="D2082" i="62"/>
  <c r="D2081" i="62"/>
  <c r="D2080" i="62"/>
  <c r="D2079" i="62"/>
  <c r="D2078" i="62"/>
  <c r="D2077" i="62"/>
  <c r="D2076" i="62"/>
  <c r="D2075" i="62"/>
  <c r="D2040" i="62"/>
  <c r="D2039" i="62"/>
  <c r="D2038" i="62"/>
  <c r="D2037" i="62"/>
  <c r="D2036" i="62"/>
  <c r="D2035" i="62"/>
  <c r="D2034" i="62"/>
  <c r="D2033" i="62"/>
  <c r="D2032" i="62"/>
  <c r="D2031" i="62"/>
  <c r="D2030" i="62"/>
  <c r="D2029" i="62"/>
  <c r="D2028" i="62"/>
  <c r="D2027" i="62"/>
  <c r="D2026" i="62"/>
  <c r="D2025" i="62"/>
  <c r="D2024" i="62"/>
  <c r="D2023" i="62"/>
  <c r="D2022" i="62"/>
  <c r="D2021" i="62"/>
  <c r="D2020" i="62"/>
  <c r="D2019" i="62"/>
  <c r="D2018" i="62"/>
  <c r="D2017" i="62"/>
  <c r="D2016" i="62"/>
  <c r="D2015" i="62"/>
  <c r="D2014" i="62"/>
  <c r="D2013" i="62"/>
  <c r="D2012" i="62"/>
  <c r="D2011" i="62"/>
  <c r="D2010" i="62"/>
  <c r="D2009" i="62"/>
  <c r="D2008" i="62"/>
  <c r="D2007" i="62"/>
  <c r="D2006" i="62"/>
  <c r="D2005" i="62"/>
  <c r="D2004" i="62"/>
  <c r="D2003" i="62"/>
  <c r="D2002" i="62"/>
  <c r="D2001" i="62"/>
  <c r="D2000" i="62"/>
  <c r="D1999" i="62"/>
  <c r="D1998" i="62"/>
  <c r="D1997" i="62"/>
  <c r="D1962" i="62"/>
  <c r="D1961" i="62"/>
  <c r="D1960" i="62"/>
  <c r="D1959" i="62"/>
  <c r="D1958" i="62"/>
  <c r="D1957" i="62"/>
  <c r="D1956" i="62"/>
  <c r="D1955" i="62"/>
  <c r="D1954" i="62"/>
  <c r="D1953" i="62"/>
  <c r="D1952" i="62"/>
  <c r="D1951" i="62"/>
  <c r="D1950" i="62"/>
  <c r="D1949" i="62"/>
  <c r="D1948" i="62"/>
  <c r="D1947" i="62"/>
  <c r="D1946" i="62"/>
  <c r="D1945" i="62"/>
  <c r="D1944" i="62"/>
  <c r="D1943" i="62"/>
  <c r="D1942" i="62"/>
  <c r="D1941" i="62"/>
  <c r="D1940" i="62"/>
  <c r="D1939" i="62"/>
  <c r="D1938" i="62"/>
  <c r="D1937" i="62"/>
  <c r="D1936" i="62"/>
  <c r="D1935" i="62"/>
  <c r="D1934" i="62"/>
  <c r="D1933" i="62"/>
  <c r="D1932" i="62"/>
  <c r="D1931" i="62"/>
  <c r="D1930" i="62"/>
  <c r="D1929" i="62"/>
  <c r="D1928" i="62"/>
  <c r="D1927" i="62"/>
  <c r="D1926" i="62"/>
  <c r="D1925" i="62"/>
  <c r="D1924" i="62"/>
  <c r="D1923" i="62"/>
  <c r="D1922" i="62"/>
  <c r="D1921" i="62"/>
  <c r="D1920" i="62"/>
  <c r="D1885" i="62"/>
  <c r="D1884" i="62"/>
  <c r="D1883" i="62"/>
  <c r="D1882" i="62"/>
  <c r="D1881" i="62"/>
  <c r="D1880" i="62"/>
  <c r="D1879" i="62"/>
  <c r="D1878" i="62"/>
  <c r="D1877" i="62"/>
  <c r="D1876" i="62"/>
  <c r="D1875" i="62"/>
  <c r="D1874" i="62"/>
  <c r="D1873" i="62"/>
  <c r="D1872" i="62"/>
  <c r="D1871" i="62"/>
  <c r="D1870" i="62"/>
  <c r="D1869" i="62"/>
  <c r="D1868" i="62"/>
  <c r="D1867" i="62"/>
  <c r="D1866" i="62"/>
  <c r="D1865" i="62"/>
  <c r="D1864" i="62"/>
  <c r="D1863" i="62"/>
  <c r="D1862" i="62"/>
  <c r="D1861" i="62"/>
  <c r="D1860" i="62"/>
  <c r="D1859" i="62"/>
  <c r="D1858" i="62"/>
  <c r="D1857" i="62"/>
  <c r="D1856" i="62"/>
  <c r="D1855" i="62"/>
  <c r="D1854" i="62"/>
  <c r="D1853" i="62"/>
  <c r="D1852" i="62"/>
  <c r="D1851" i="62"/>
  <c r="D1850" i="62"/>
  <c r="D1849" i="62"/>
  <c r="D1848" i="62"/>
  <c r="D1847" i="62"/>
  <c r="D1846" i="62"/>
  <c r="D1845" i="62"/>
  <c r="D1844" i="62"/>
  <c r="D1809" i="62"/>
  <c r="D1808" i="62"/>
  <c r="D1807" i="62"/>
  <c r="D1806" i="62"/>
  <c r="D1805" i="62"/>
  <c r="D1804" i="62"/>
  <c r="D1803" i="62"/>
  <c r="D1802" i="62"/>
  <c r="D1801" i="62"/>
  <c r="D1800" i="62"/>
  <c r="D1799" i="62"/>
  <c r="D1798" i="62"/>
  <c r="D1797" i="62"/>
  <c r="D1796" i="62"/>
  <c r="D1795" i="62"/>
  <c r="D1794" i="62"/>
  <c r="D1793" i="62"/>
  <c r="D1792" i="62"/>
  <c r="D1791" i="62"/>
  <c r="D1790" i="62"/>
  <c r="D1789" i="62"/>
  <c r="D1788" i="62"/>
  <c r="D1787" i="62"/>
  <c r="D1786" i="62"/>
  <c r="D1785" i="62"/>
  <c r="D1784" i="62"/>
  <c r="D1783" i="62"/>
  <c r="D1782" i="62"/>
  <c r="D1781" i="62"/>
  <c r="D1780" i="62"/>
  <c r="D1779" i="62"/>
  <c r="D1778" i="62"/>
  <c r="D1777" i="62"/>
  <c r="D1776" i="62"/>
  <c r="D1775" i="62"/>
  <c r="D1774" i="62"/>
  <c r="D1773" i="62"/>
  <c r="D1772" i="62"/>
  <c r="D1771" i="62"/>
  <c r="D1770" i="62"/>
  <c r="D1769" i="62"/>
  <c r="D1735" i="62"/>
  <c r="D1734" i="62"/>
  <c r="D1733" i="62"/>
  <c r="D1732" i="62"/>
  <c r="D1731" i="62"/>
  <c r="D1730" i="62"/>
  <c r="D1729" i="62"/>
  <c r="D1728" i="62"/>
  <c r="D1727" i="62"/>
  <c r="D1726" i="62"/>
  <c r="D1725" i="62"/>
  <c r="D1724" i="62"/>
  <c r="D1723" i="62"/>
  <c r="D1722" i="62"/>
  <c r="D1721" i="62"/>
  <c r="D1720" i="62"/>
  <c r="D1719" i="62"/>
  <c r="D1718" i="62"/>
  <c r="D1717" i="62"/>
  <c r="D1716" i="62"/>
  <c r="D1715" i="62"/>
  <c r="D1714" i="62"/>
  <c r="D1713" i="62"/>
  <c r="D1712" i="62"/>
  <c r="D1711" i="62"/>
  <c r="D1710" i="62"/>
  <c r="D1709" i="62"/>
  <c r="D1708" i="62"/>
  <c r="D1707" i="62"/>
  <c r="D1706" i="62"/>
  <c r="D1705" i="62"/>
  <c r="D1704" i="62"/>
  <c r="D1703" i="62"/>
  <c r="D1702" i="62"/>
  <c r="D1701" i="62"/>
  <c r="D1700" i="62"/>
  <c r="D1699" i="62"/>
  <c r="D1698" i="62"/>
  <c r="D1697" i="62"/>
  <c r="D1696" i="62"/>
  <c r="D1695" i="62"/>
  <c r="D1662" i="62"/>
  <c r="D1661" i="62"/>
  <c r="D1660" i="62"/>
  <c r="D1659" i="62"/>
  <c r="D1658" i="62"/>
  <c r="D1657" i="62"/>
  <c r="D1656" i="62"/>
  <c r="D1655" i="62"/>
  <c r="D1654" i="62"/>
  <c r="D1653" i="62"/>
  <c r="D1652" i="62"/>
  <c r="D1651" i="62"/>
  <c r="D1650" i="62"/>
  <c r="D1649" i="62"/>
  <c r="D1648" i="62"/>
  <c r="D1647" i="62"/>
  <c r="D1646" i="62"/>
  <c r="D1645" i="62"/>
  <c r="D1644" i="62"/>
  <c r="D1643" i="62"/>
  <c r="D1642" i="62"/>
  <c r="D1641" i="62"/>
  <c r="D1640" i="62"/>
  <c r="D1639" i="62"/>
  <c r="D1638" i="62"/>
  <c r="D1637" i="62"/>
  <c r="D1636" i="62"/>
  <c r="D1635" i="62"/>
  <c r="D1634" i="62"/>
  <c r="D1633" i="62"/>
  <c r="D1632" i="62"/>
  <c r="D1631" i="62"/>
  <c r="D1630" i="62"/>
  <c r="D1629" i="62"/>
  <c r="D1628" i="62"/>
  <c r="D1627" i="62"/>
  <c r="D1626" i="62"/>
  <c r="D1625" i="62"/>
  <c r="D1624" i="62"/>
  <c r="D1623" i="62"/>
  <c r="D1622" i="62"/>
  <c r="D1590" i="62"/>
  <c r="D1589" i="62"/>
  <c r="D1588" i="62"/>
  <c r="D1587" i="62"/>
  <c r="D1586" i="62"/>
  <c r="D1585" i="62"/>
  <c r="D1584" i="62"/>
  <c r="D1583" i="62"/>
  <c r="D1582" i="62"/>
  <c r="D1581" i="62"/>
  <c r="D1580" i="62"/>
  <c r="D1579" i="62"/>
  <c r="D1578" i="62"/>
  <c r="D1577" i="62"/>
  <c r="D1576" i="62"/>
  <c r="D1575" i="62"/>
  <c r="D1574" i="62"/>
  <c r="D1573" i="62"/>
  <c r="D1572" i="62"/>
  <c r="D1571" i="62"/>
  <c r="D1570" i="62"/>
  <c r="D1569" i="62"/>
  <c r="D1568" i="62"/>
  <c r="D1567" i="62"/>
  <c r="D1566" i="62"/>
  <c r="D1565" i="62"/>
  <c r="D1564" i="62"/>
  <c r="D1563" i="62"/>
  <c r="D1562" i="62"/>
  <c r="D1561" i="62"/>
  <c r="D1560" i="62"/>
  <c r="D1559" i="62"/>
  <c r="D1558" i="62"/>
  <c r="D1557" i="62"/>
  <c r="D1556" i="62"/>
  <c r="D1555" i="62"/>
  <c r="D1554" i="62"/>
  <c r="D1553" i="62"/>
  <c r="D1552" i="62"/>
  <c r="D1551" i="62"/>
  <c r="D1550" i="62"/>
  <c r="D1519" i="62"/>
  <c r="D1518" i="62"/>
  <c r="D1517" i="62"/>
  <c r="D1516" i="62"/>
  <c r="D1515" i="62"/>
  <c r="D1514" i="62"/>
  <c r="D1513" i="62"/>
  <c r="D1512" i="62"/>
  <c r="D1511" i="62"/>
  <c r="D1510" i="62"/>
  <c r="D1509" i="62"/>
  <c r="D1508" i="62"/>
  <c r="D1507" i="62"/>
  <c r="D1506" i="62"/>
  <c r="D1505" i="62"/>
  <c r="D1504" i="62"/>
  <c r="D1503" i="62"/>
  <c r="D1502" i="62"/>
  <c r="D1501" i="62"/>
  <c r="D1500" i="62"/>
  <c r="D1499" i="62"/>
  <c r="D1498" i="62"/>
  <c r="D1497" i="62"/>
  <c r="D1496" i="62"/>
  <c r="D1495" i="62"/>
  <c r="D1494" i="62"/>
  <c r="D1493" i="62"/>
  <c r="D1492" i="62"/>
  <c r="D1491" i="62"/>
  <c r="D1490" i="62"/>
  <c r="D1489" i="62"/>
  <c r="D1488" i="62"/>
  <c r="D1487" i="62"/>
  <c r="D1486" i="62"/>
  <c r="D1485" i="62"/>
  <c r="D1484" i="62"/>
  <c r="D1483" i="62"/>
  <c r="D1482" i="62"/>
  <c r="D1481" i="62"/>
  <c r="D1480" i="62"/>
  <c r="D1479" i="62"/>
  <c r="D1449" i="62"/>
  <c r="D1448" i="62"/>
  <c r="D1447" i="62"/>
  <c r="D1446" i="62"/>
  <c r="D1445" i="62"/>
  <c r="D1444" i="62"/>
  <c r="D1443" i="62"/>
  <c r="D1442" i="62"/>
  <c r="D1441" i="62"/>
  <c r="D1440" i="62"/>
  <c r="D1439" i="62"/>
  <c r="D1438" i="62"/>
  <c r="D1437" i="62"/>
  <c r="D1436" i="62"/>
  <c r="D1435" i="62"/>
  <c r="D1434" i="62"/>
  <c r="D1433" i="62"/>
  <c r="D1432" i="62"/>
  <c r="D1431" i="62"/>
  <c r="D1430" i="62"/>
  <c r="D1429" i="62"/>
  <c r="D1428" i="62"/>
  <c r="D1427" i="62"/>
  <c r="D1426" i="62"/>
  <c r="D1425" i="62"/>
  <c r="D1424" i="62"/>
  <c r="D1423" i="62"/>
  <c r="D1422" i="62"/>
  <c r="D1421" i="62"/>
  <c r="D1420" i="62"/>
  <c r="D1419" i="62"/>
  <c r="D1418" i="62"/>
  <c r="D1417" i="62"/>
  <c r="D1416" i="62"/>
  <c r="D1415" i="62"/>
  <c r="D1414" i="62"/>
  <c r="D1413" i="62"/>
  <c r="D1412" i="62"/>
  <c r="D1411" i="62"/>
  <c r="D1410" i="62"/>
  <c r="D1409" i="62"/>
  <c r="D1380" i="62"/>
  <c r="D1379" i="62"/>
  <c r="D1378" i="62"/>
  <c r="D1377" i="62"/>
  <c r="D1376" i="62"/>
  <c r="D1375" i="62"/>
  <c r="D1374" i="62"/>
  <c r="D1373" i="62"/>
  <c r="D1372" i="62"/>
  <c r="D1371" i="62"/>
  <c r="D1370" i="62"/>
  <c r="D1369" i="62"/>
  <c r="D1368" i="62"/>
  <c r="D1367" i="62"/>
  <c r="D1366" i="62"/>
  <c r="D1365" i="62"/>
  <c r="D1364" i="62"/>
  <c r="D1363" i="62"/>
  <c r="D1362" i="62"/>
  <c r="D1361" i="62"/>
  <c r="D1360" i="62"/>
  <c r="D1359" i="62"/>
  <c r="D1358" i="62"/>
  <c r="D1357" i="62"/>
  <c r="D1356" i="62"/>
  <c r="D1355" i="62"/>
  <c r="D1354" i="62"/>
  <c r="D1353" i="62"/>
  <c r="D1352" i="62"/>
  <c r="D1351" i="62"/>
  <c r="D1350" i="62"/>
  <c r="D1349" i="62"/>
  <c r="D1348" i="62"/>
  <c r="D1347" i="62"/>
  <c r="D1346" i="62"/>
  <c r="D1345" i="62"/>
  <c r="D1344" i="62"/>
  <c r="D1343" i="62"/>
  <c r="D1342" i="62"/>
  <c r="D1341" i="62"/>
  <c r="D1340" i="62"/>
  <c r="D1312" i="62"/>
  <c r="D1311" i="62"/>
  <c r="D1310" i="62"/>
  <c r="D1309" i="62"/>
  <c r="D1308" i="62"/>
  <c r="D1307" i="62"/>
  <c r="D1306" i="62"/>
  <c r="D1305" i="62"/>
  <c r="D1304" i="62"/>
  <c r="D1303" i="62"/>
  <c r="D1302" i="62"/>
  <c r="D1301" i="62"/>
  <c r="D1300" i="62"/>
  <c r="D1299" i="62"/>
  <c r="D1298" i="62"/>
  <c r="D1297" i="62"/>
  <c r="D1296" i="62"/>
  <c r="D1295" i="62"/>
  <c r="D1294" i="62"/>
  <c r="D1293" i="62"/>
  <c r="D1292" i="62"/>
  <c r="D1291" i="62"/>
  <c r="D1290" i="62"/>
  <c r="D1289" i="62"/>
  <c r="D1288" i="62"/>
  <c r="D1287" i="62"/>
  <c r="D1286" i="62"/>
  <c r="D1285" i="62"/>
  <c r="D1284" i="62"/>
  <c r="D1283" i="62"/>
  <c r="D1282" i="62"/>
  <c r="D1281" i="62"/>
  <c r="D1280" i="62"/>
  <c r="D1279" i="62"/>
  <c r="D1278" i="62"/>
  <c r="D1277" i="62"/>
  <c r="D1276" i="62"/>
  <c r="D1275" i="62"/>
  <c r="D1274" i="62"/>
  <c r="D1273" i="62"/>
  <c r="D1272" i="62"/>
  <c r="D1245" i="62"/>
  <c r="D1244" i="62"/>
  <c r="D1243" i="62"/>
  <c r="D1242" i="62"/>
  <c r="D1241" i="62"/>
  <c r="D1240" i="62"/>
  <c r="D1239" i="62"/>
  <c r="D1238" i="62"/>
  <c r="D1237" i="62"/>
  <c r="D1236" i="62"/>
  <c r="D1235" i="62"/>
  <c r="D1234" i="62"/>
  <c r="D1233" i="62"/>
  <c r="D1232" i="62"/>
  <c r="D1231" i="62"/>
  <c r="D1230" i="62"/>
  <c r="D1229" i="62"/>
  <c r="D1228" i="62"/>
  <c r="D1227" i="62"/>
  <c r="D1226" i="62"/>
  <c r="D1225" i="62"/>
  <c r="D1224" i="62"/>
  <c r="D1223" i="62"/>
  <c r="D1222" i="62"/>
  <c r="D1221" i="62"/>
  <c r="D1220" i="62"/>
  <c r="D1219" i="62"/>
  <c r="D1218" i="62"/>
  <c r="D1217" i="62"/>
  <c r="D1216" i="62"/>
  <c r="D1215" i="62"/>
  <c r="D1214" i="62"/>
  <c r="D1213" i="62"/>
  <c r="D1212" i="62"/>
  <c r="D1211" i="62"/>
  <c r="D1210" i="62"/>
  <c r="D1209" i="62"/>
  <c r="D1208" i="62"/>
  <c r="D1207" i="62"/>
  <c r="D1206" i="62"/>
  <c r="D1205" i="62"/>
  <c r="D1179" i="62"/>
  <c r="D1178" i="62"/>
  <c r="D1177" i="62"/>
  <c r="D1176" i="62"/>
  <c r="D1175" i="62"/>
  <c r="D1174" i="62"/>
  <c r="D1173" i="62"/>
  <c r="D1172" i="62"/>
  <c r="D1171" i="62"/>
  <c r="D1170" i="62"/>
  <c r="D1169" i="62"/>
  <c r="D1168" i="62"/>
  <c r="D1167" i="62"/>
  <c r="D1166" i="62"/>
  <c r="D1165" i="62"/>
  <c r="D1164" i="62"/>
  <c r="D1163" i="62"/>
  <c r="D1162" i="62"/>
  <c r="D1161" i="62"/>
  <c r="D1160" i="62"/>
  <c r="D1159" i="62"/>
  <c r="D1158" i="62"/>
  <c r="D1157" i="62"/>
  <c r="D1156" i="62"/>
  <c r="D1155" i="62"/>
  <c r="D1154" i="62"/>
  <c r="D1153" i="62"/>
  <c r="D1152" i="62"/>
  <c r="D1151" i="62"/>
  <c r="D1150" i="62"/>
  <c r="D1149" i="62"/>
  <c r="D1148" i="62"/>
  <c r="D1147" i="62"/>
  <c r="D1146" i="62"/>
  <c r="D1145" i="62"/>
  <c r="D1144" i="62"/>
  <c r="D1143" i="62"/>
  <c r="D1142" i="62"/>
  <c r="D1141" i="62"/>
  <c r="D1140" i="62"/>
  <c r="D1139" i="62"/>
  <c r="D1114" i="62"/>
  <c r="D1113" i="62"/>
  <c r="D1112" i="62"/>
  <c r="D1111" i="62"/>
  <c r="D1110" i="62"/>
  <c r="D1109" i="62"/>
  <c r="D1108" i="62"/>
  <c r="D1107" i="62"/>
  <c r="D1106" i="62"/>
  <c r="D1105" i="62"/>
  <c r="D1104" i="62"/>
  <c r="D1103" i="62"/>
  <c r="D1102" i="62"/>
  <c r="D1101" i="62"/>
  <c r="D1100" i="62"/>
  <c r="D1099" i="62"/>
  <c r="D1098" i="62"/>
  <c r="D1097" i="62"/>
  <c r="D1096" i="62"/>
  <c r="D1095" i="62"/>
  <c r="D1094" i="62"/>
  <c r="D1093" i="62"/>
  <c r="D1092" i="62"/>
  <c r="D1091" i="62"/>
  <c r="D1090" i="62"/>
  <c r="D1089" i="62"/>
  <c r="D1088" i="62"/>
  <c r="D1087" i="62"/>
  <c r="D1086" i="62"/>
  <c r="D1085" i="62"/>
  <c r="D1084" i="62"/>
  <c r="D1083" i="62"/>
  <c r="D1082" i="62"/>
  <c r="D1081" i="62"/>
  <c r="D1080" i="62"/>
  <c r="D1079" i="62"/>
  <c r="D1078" i="62"/>
  <c r="D1077" i="62"/>
  <c r="D1076" i="62"/>
  <c r="D1075" i="62"/>
  <c r="D1074" i="62"/>
  <c r="D1050" i="62"/>
  <c r="D1049" i="62"/>
  <c r="D1048" i="62"/>
  <c r="D1047" i="62"/>
  <c r="D1046" i="62"/>
  <c r="D1045" i="62"/>
  <c r="D1044" i="62"/>
  <c r="D1043" i="62"/>
  <c r="D1042" i="62"/>
  <c r="D1041" i="62"/>
  <c r="D1040" i="62"/>
  <c r="D1039" i="62"/>
  <c r="D1038" i="62"/>
  <c r="D1037" i="62"/>
  <c r="D1036" i="62"/>
  <c r="D1035" i="62"/>
  <c r="D1034" i="62"/>
  <c r="D1033" i="62"/>
  <c r="D1032" i="62"/>
  <c r="D1031" i="62"/>
  <c r="D1030" i="62"/>
  <c r="D1029" i="62"/>
  <c r="D1028" i="62"/>
  <c r="D1027" i="62"/>
  <c r="D1026" i="62"/>
  <c r="D1025" i="62"/>
  <c r="D1024" i="62"/>
  <c r="D1023" i="62"/>
  <c r="D1022" i="62"/>
  <c r="D1021" i="62"/>
  <c r="D1020" i="62"/>
  <c r="D1019" i="62"/>
  <c r="D1018" i="62"/>
  <c r="D1017" i="62"/>
  <c r="D1016" i="62"/>
  <c r="D1015" i="62"/>
  <c r="D1014" i="62"/>
  <c r="D1013" i="62"/>
  <c r="D1012" i="62"/>
  <c r="D1011" i="62"/>
  <c r="D1010" i="62"/>
  <c r="D987" i="62"/>
  <c r="D986" i="62"/>
  <c r="D985" i="62"/>
  <c r="D984" i="62"/>
  <c r="D983" i="62"/>
  <c r="D982" i="62"/>
  <c r="D981" i="62"/>
  <c r="D980" i="62"/>
  <c r="D979" i="62"/>
  <c r="D978" i="62"/>
  <c r="D977" i="62"/>
  <c r="D976" i="62"/>
  <c r="D975" i="62"/>
  <c r="D974" i="62"/>
  <c r="D973" i="62"/>
  <c r="D972" i="62"/>
  <c r="D971" i="62"/>
  <c r="D970" i="62"/>
  <c r="D969" i="62"/>
  <c r="D968" i="62"/>
  <c r="D967" i="62"/>
  <c r="D966" i="62"/>
  <c r="D965" i="62"/>
  <c r="D964" i="62"/>
  <c r="D963" i="62"/>
  <c r="D962" i="62"/>
  <c r="D961" i="62"/>
  <c r="D960" i="62"/>
  <c r="D959" i="62"/>
  <c r="D958" i="62"/>
  <c r="D957" i="62"/>
  <c r="D956" i="62"/>
  <c r="D955" i="62"/>
  <c r="D954" i="62"/>
  <c r="D953" i="62"/>
  <c r="D952" i="62"/>
  <c r="D951" i="62"/>
  <c r="D950" i="62"/>
  <c r="D949" i="62"/>
  <c r="D948" i="62"/>
  <c r="D947" i="62"/>
  <c r="D925" i="62"/>
  <c r="D924" i="62"/>
  <c r="D923" i="62"/>
  <c r="D922" i="62"/>
  <c r="D921" i="62"/>
  <c r="D920" i="62"/>
  <c r="D919" i="62"/>
  <c r="D918" i="62"/>
  <c r="D917" i="62"/>
  <c r="D916" i="62"/>
  <c r="D915" i="62"/>
  <c r="D914" i="62"/>
  <c r="D913" i="62"/>
  <c r="D912" i="62"/>
  <c r="D911" i="62"/>
  <c r="D910" i="62"/>
  <c r="D909" i="62"/>
  <c r="D908" i="62"/>
  <c r="D907" i="62"/>
  <c r="D906" i="62"/>
  <c r="D905" i="62"/>
  <c r="D904" i="62"/>
  <c r="D903" i="62"/>
  <c r="D902" i="62"/>
  <c r="D901" i="62"/>
  <c r="D900" i="62"/>
  <c r="D899" i="62"/>
  <c r="D898" i="62"/>
  <c r="D897" i="62"/>
  <c r="D896" i="62"/>
  <c r="D895" i="62"/>
  <c r="D894" i="62"/>
  <c r="D893" i="62"/>
  <c r="D892" i="62"/>
  <c r="D891" i="62"/>
  <c r="D890" i="62"/>
  <c r="D889" i="62"/>
  <c r="D888" i="62"/>
  <c r="D887" i="62"/>
  <c r="D886" i="62"/>
  <c r="D885" i="62"/>
  <c r="D864" i="62"/>
  <c r="D863" i="62"/>
  <c r="D862" i="62"/>
  <c r="D861" i="62"/>
  <c r="D860" i="62"/>
  <c r="D859" i="62"/>
  <c r="D858" i="62"/>
  <c r="D857" i="62"/>
  <c r="D856" i="62"/>
  <c r="D855" i="62"/>
  <c r="D854" i="62"/>
  <c r="D853" i="62"/>
  <c r="D852" i="62"/>
  <c r="D851" i="62"/>
  <c r="D850" i="62"/>
  <c r="D849" i="62"/>
  <c r="D848" i="62"/>
  <c r="D847" i="62"/>
  <c r="D846" i="62"/>
  <c r="D845" i="62"/>
  <c r="D844" i="62"/>
  <c r="D843" i="62"/>
  <c r="D842" i="62"/>
  <c r="D841" i="62"/>
  <c r="D840" i="62"/>
  <c r="D839" i="62"/>
  <c r="D838" i="62"/>
  <c r="D837" i="62"/>
  <c r="D836" i="62"/>
  <c r="D835" i="62"/>
  <c r="D834" i="62"/>
  <c r="D833" i="62"/>
  <c r="D832" i="62"/>
  <c r="D831" i="62"/>
  <c r="D830" i="62"/>
  <c r="D829" i="62"/>
  <c r="D828" i="62"/>
  <c r="D827" i="62"/>
  <c r="D826" i="62"/>
  <c r="D825" i="62"/>
  <c r="D824" i="62"/>
  <c r="D804" i="62"/>
  <c r="D803" i="62"/>
  <c r="D802" i="62"/>
  <c r="D801" i="62"/>
  <c r="D800" i="62"/>
  <c r="D799" i="62"/>
  <c r="D798" i="62"/>
  <c r="D797" i="62"/>
  <c r="D796" i="62"/>
  <c r="D795" i="62"/>
  <c r="D794" i="62"/>
  <c r="D793" i="62"/>
  <c r="D792" i="62"/>
  <c r="D791" i="62"/>
  <c r="D790" i="62"/>
  <c r="D789" i="62"/>
  <c r="D788" i="62"/>
  <c r="D787" i="62"/>
  <c r="D786" i="62"/>
  <c r="D785" i="62"/>
  <c r="D784" i="62"/>
  <c r="D783" i="62"/>
  <c r="D782" i="62"/>
  <c r="D781" i="62"/>
  <c r="D780" i="62"/>
  <c r="D779" i="62"/>
  <c r="D778" i="62"/>
  <c r="D777" i="62"/>
  <c r="D776" i="62"/>
  <c r="D775" i="62"/>
  <c r="D774" i="62"/>
  <c r="D773" i="62"/>
  <c r="D772" i="62"/>
  <c r="D771" i="62"/>
  <c r="D770" i="62"/>
  <c r="D769" i="62"/>
  <c r="D768" i="62"/>
  <c r="D767" i="62"/>
  <c r="D766" i="62"/>
  <c r="D765" i="62"/>
  <c r="D764" i="62"/>
  <c r="D745" i="62"/>
  <c r="D744" i="62"/>
  <c r="D743" i="62"/>
  <c r="D742" i="62"/>
  <c r="D741" i="62"/>
  <c r="D740" i="62"/>
  <c r="D739" i="62"/>
  <c r="D738" i="62"/>
  <c r="D737" i="62"/>
  <c r="D736" i="62"/>
  <c r="D735" i="62"/>
  <c r="D734" i="62"/>
  <c r="D733" i="62"/>
  <c r="D732" i="62"/>
  <c r="D731" i="62"/>
  <c r="D730" i="62"/>
  <c r="D729" i="62"/>
  <c r="D728" i="62"/>
  <c r="D727" i="62"/>
  <c r="D726" i="62"/>
  <c r="D725" i="62"/>
  <c r="D724" i="62"/>
  <c r="D723" i="62"/>
  <c r="D722" i="62"/>
  <c r="D721" i="62"/>
  <c r="D720" i="62"/>
  <c r="D719" i="62"/>
  <c r="D718" i="62"/>
  <c r="D717" i="62"/>
  <c r="D716" i="62"/>
  <c r="D715" i="62"/>
  <c r="D714" i="62"/>
  <c r="D713" i="62"/>
  <c r="D712" i="62"/>
  <c r="D711" i="62"/>
  <c r="D710" i="62"/>
  <c r="D709" i="62"/>
  <c r="D708" i="62"/>
  <c r="D707" i="62"/>
  <c r="D706" i="62"/>
  <c r="D705" i="62"/>
  <c r="D687" i="62"/>
  <c r="D686" i="62"/>
  <c r="D685" i="62"/>
  <c r="D684" i="62"/>
  <c r="D683" i="62"/>
  <c r="D682" i="62"/>
  <c r="D681" i="62"/>
  <c r="D680" i="62"/>
  <c r="D679" i="62"/>
  <c r="D678" i="62"/>
  <c r="D677" i="62"/>
  <c r="D676" i="62"/>
  <c r="D675" i="62"/>
  <c r="D674" i="62"/>
  <c r="D673" i="62"/>
  <c r="D672" i="62"/>
  <c r="D671" i="62"/>
  <c r="D670" i="62"/>
  <c r="D669" i="62"/>
  <c r="D668" i="62"/>
  <c r="D667" i="62"/>
  <c r="D666" i="62"/>
  <c r="D665" i="62"/>
  <c r="D664" i="62"/>
  <c r="D663" i="62"/>
  <c r="D662" i="62"/>
  <c r="D661" i="62"/>
  <c r="D660" i="62"/>
  <c r="D659" i="62"/>
  <c r="D658" i="62"/>
  <c r="D657" i="62"/>
  <c r="D656" i="62"/>
  <c r="D655" i="62"/>
  <c r="D654" i="62"/>
  <c r="D653" i="62"/>
  <c r="D652" i="62"/>
  <c r="D651" i="62"/>
  <c r="D650" i="62"/>
  <c r="D649" i="62"/>
  <c r="D648" i="62"/>
  <c r="D647" i="62"/>
  <c r="D630" i="62"/>
  <c r="D629" i="62"/>
  <c r="D628" i="62"/>
  <c r="D627" i="62"/>
  <c r="D626" i="62"/>
  <c r="D625" i="62"/>
  <c r="D624" i="62"/>
  <c r="D623" i="62"/>
  <c r="D622" i="62"/>
  <c r="D621" i="62"/>
  <c r="D620" i="62"/>
  <c r="D619" i="62"/>
  <c r="D618" i="62"/>
  <c r="D617" i="62"/>
  <c r="D616" i="62"/>
  <c r="D615" i="62"/>
  <c r="D614" i="62"/>
  <c r="D613" i="62"/>
  <c r="D612" i="62"/>
  <c r="D611" i="62"/>
  <c r="D610" i="62"/>
  <c r="D609" i="62"/>
  <c r="D608" i="62"/>
  <c r="D607" i="62"/>
  <c r="D606" i="62"/>
  <c r="D605" i="62"/>
  <c r="D604" i="62"/>
  <c r="D603" i="62"/>
  <c r="D602" i="62"/>
  <c r="D601" i="62"/>
  <c r="D600" i="62"/>
  <c r="D599" i="62"/>
  <c r="D598" i="62"/>
  <c r="D597" i="62"/>
  <c r="D596" i="62"/>
  <c r="D595" i="62"/>
  <c r="D594" i="62"/>
  <c r="D593" i="62"/>
  <c r="D592" i="62"/>
  <c r="D591" i="62"/>
  <c r="D590" i="62"/>
  <c r="D574" i="62"/>
  <c r="D573" i="62"/>
  <c r="D572" i="62"/>
  <c r="D571" i="62"/>
  <c r="D570" i="62"/>
  <c r="D569" i="62"/>
  <c r="D568" i="62"/>
  <c r="D567" i="62"/>
  <c r="D566" i="62"/>
  <c r="D565" i="62"/>
  <c r="D564" i="62"/>
  <c r="D563" i="62"/>
  <c r="D562" i="62"/>
  <c r="D561" i="62"/>
  <c r="D560" i="62"/>
  <c r="D559" i="62"/>
  <c r="D558" i="62"/>
  <c r="D557" i="62"/>
  <c r="D556" i="62"/>
  <c r="D555" i="62"/>
  <c r="D554" i="62"/>
  <c r="D553" i="62"/>
  <c r="D552" i="62"/>
  <c r="D551" i="62"/>
  <c r="D550" i="62"/>
  <c r="D549" i="62"/>
  <c r="D548" i="62"/>
  <c r="D547" i="62"/>
  <c r="D546" i="62"/>
  <c r="D545" i="62"/>
  <c r="D544" i="62"/>
  <c r="D543" i="62"/>
  <c r="D542" i="62"/>
  <c r="D541" i="62"/>
  <c r="D540" i="62"/>
  <c r="D539" i="62"/>
  <c r="D538" i="62"/>
  <c r="D537" i="62"/>
  <c r="D536" i="62"/>
  <c r="D535" i="62"/>
  <c r="D534" i="62"/>
  <c r="D519" i="62"/>
  <c r="D518" i="62"/>
  <c r="D517" i="62"/>
  <c r="D516" i="62"/>
  <c r="D515" i="62"/>
  <c r="D514" i="62"/>
  <c r="D513" i="62"/>
  <c r="D512" i="62"/>
  <c r="D511" i="62"/>
  <c r="D510" i="62"/>
  <c r="D509" i="62"/>
  <c r="D508" i="62"/>
  <c r="D507" i="62"/>
  <c r="D506" i="62"/>
  <c r="D505" i="62"/>
  <c r="D504" i="62"/>
  <c r="D503" i="62"/>
  <c r="D502" i="62"/>
  <c r="D501" i="62"/>
  <c r="D500" i="62"/>
  <c r="D499" i="62"/>
  <c r="D498" i="62"/>
  <c r="D497" i="62"/>
  <c r="D496" i="62"/>
  <c r="D495" i="62"/>
  <c r="D494" i="62"/>
  <c r="D493" i="62"/>
  <c r="D492" i="62"/>
  <c r="D491" i="62"/>
  <c r="D490" i="62"/>
  <c r="D489" i="62"/>
  <c r="D488" i="62"/>
  <c r="D487" i="62"/>
  <c r="D486" i="62"/>
  <c r="D485" i="62"/>
  <c r="D484" i="62"/>
  <c r="D483" i="62"/>
  <c r="D482" i="62"/>
  <c r="D481" i="62"/>
  <c r="D480" i="62"/>
  <c r="D479" i="62"/>
  <c r="D465" i="62"/>
  <c r="D464" i="62"/>
  <c r="D463" i="62"/>
  <c r="D462" i="62"/>
  <c r="D461" i="62"/>
  <c r="D460" i="62"/>
  <c r="D459" i="62"/>
  <c r="D458" i="62"/>
  <c r="D457" i="62"/>
  <c r="D456" i="62"/>
  <c r="D455" i="62"/>
  <c r="D454" i="62"/>
  <c r="D453" i="62"/>
  <c r="D452" i="62"/>
  <c r="D451" i="62"/>
  <c r="D450" i="62"/>
  <c r="D449" i="62"/>
  <c r="D448" i="62"/>
  <c r="D447" i="62"/>
  <c r="D446" i="62"/>
  <c r="D445" i="62"/>
  <c r="D444" i="62"/>
  <c r="D443" i="62"/>
  <c r="D442" i="62"/>
  <c r="D441" i="62"/>
  <c r="D440" i="62"/>
  <c r="D439" i="62"/>
  <c r="D438" i="62"/>
  <c r="D437" i="62"/>
  <c r="D436" i="62"/>
  <c r="D435" i="62"/>
  <c r="D434" i="62"/>
  <c r="D433" i="62"/>
  <c r="D432" i="62"/>
  <c r="D431" i="62"/>
  <c r="D430" i="62"/>
  <c r="D429" i="62"/>
  <c r="D428" i="62"/>
  <c r="D427" i="62"/>
  <c r="D426" i="62"/>
  <c r="D425" i="62"/>
  <c r="D408" i="62"/>
  <c r="D407" i="62"/>
  <c r="D406" i="62"/>
  <c r="D405" i="62"/>
  <c r="D404" i="62"/>
  <c r="D403" i="62"/>
  <c r="D402" i="62"/>
  <c r="D401" i="62"/>
  <c r="D400" i="62"/>
  <c r="D399" i="62"/>
  <c r="D398" i="62"/>
  <c r="D397" i="62"/>
  <c r="D396" i="62"/>
  <c r="D395" i="62"/>
  <c r="D394" i="62"/>
  <c r="D393" i="62"/>
  <c r="D392" i="62"/>
  <c r="D391" i="62"/>
  <c r="D390" i="62"/>
  <c r="D389" i="62"/>
  <c r="D388" i="62"/>
  <c r="D387" i="62"/>
  <c r="D386" i="62"/>
  <c r="D385" i="62"/>
  <c r="D384" i="62"/>
  <c r="D383" i="62"/>
  <c r="D382" i="62"/>
  <c r="D381" i="62"/>
  <c r="D380" i="62"/>
  <c r="D379" i="62"/>
  <c r="D378" i="62"/>
  <c r="D377" i="62"/>
  <c r="D376" i="62"/>
  <c r="D375" i="62"/>
  <c r="D374" i="62"/>
  <c r="D373" i="62"/>
  <c r="D372" i="62"/>
  <c r="D353" i="62"/>
  <c r="D352" i="62"/>
  <c r="D351" i="62"/>
  <c r="D350" i="62"/>
  <c r="D349" i="62"/>
  <c r="D348" i="62"/>
  <c r="D347" i="62"/>
  <c r="D346" i="62"/>
  <c r="D345" i="62"/>
  <c r="D344" i="62"/>
  <c r="D343" i="62"/>
  <c r="D342" i="62"/>
  <c r="D341" i="62"/>
  <c r="D340" i="62"/>
  <c r="D339" i="62"/>
  <c r="D338" i="62"/>
  <c r="D337" i="62"/>
  <c r="D336" i="62"/>
  <c r="D335" i="62"/>
  <c r="D334" i="62"/>
  <c r="D333" i="62"/>
  <c r="D332" i="62"/>
  <c r="D331" i="62"/>
  <c r="D330" i="62"/>
  <c r="D329" i="62"/>
  <c r="D328" i="62"/>
  <c r="D327" i="62"/>
  <c r="D326" i="62"/>
  <c r="D325" i="62"/>
  <c r="D324" i="62"/>
  <c r="D323" i="62"/>
  <c r="D322" i="62"/>
  <c r="D321" i="62"/>
  <c r="D320" i="62"/>
  <c r="D297" i="62"/>
  <c r="D296" i="62"/>
  <c r="D295" i="62"/>
  <c r="D294" i="62"/>
  <c r="D293" i="62"/>
  <c r="D292" i="62"/>
  <c r="D291" i="62"/>
  <c r="D290" i="62"/>
  <c r="D289" i="62"/>
  <c r="D288" i="62"/>
  <c r="D287" i="62"/>
  <c r="D286" i="62"/>
  <c r="D285" i="62"/>
  <c r="D284" i="62"/>
  <c r="D283" i="62"/>
  <c r="D282" i="62"/>
  <c r="D281" i="62"/>
  <c r="D280" i="62"/>
  <c r="D279" i="62"/>
  <c r="D278" i="62"/>
  <c r="D277" i="62"/>
  <c r="D276" i="62"/>
  <c r="D275" i="62"/>
  <c r="D274" i="62"/>
  <c r="D273" i="62"/>
  <c r="D272" i="62"/>
  <c r="D271" i="62"/>
  <c r="D270" i="62"/>
  <c r="D269" i="62"/>
  <c r="D243" i="62"/>
  <c r="D242" i="62"/>
  <c r="D241" i="62"/>
  <c r="D240" i="62"/>
  <c r="D239" i="62"/>
  <c r="D238" i="62"/>
  <c r="D237" i="62"/>
  <c r="D236" i="62"/>
  <c r="D235" i="62"/>
  <c r="D234" i="62"/>
  <c r="D233" i="62"/>
  <c r="D232" i="62"/>
  <c r="D231" i="62"/>
  <c r="D230" i="62"/>
  <c r="D229" i="62"/>
  <c r="D228" i="62"/>
  <c r="D227" i="62"/>
  <c r="D226" i="62"/>
  <c r="D225" i="62"/>
  <c r="D224" i="62"/>
  <c r="D223" i="62"/>
  <c r="D222" i="62"/>
  <c r="D221" i="62"/>
  <c r="D220" i="62"/>
  <c r="D219" i="62"/>
  <c r="D194" i="62"/>
  <c r="D193" i="62"/>
  <c r="D192" i="62"/>
  <c r="D191" i="62"/>
  <c r="D190" i="62"/>
  <c r="D189" i="62"/>
  <c r="D188" i="62"/>
  <c r="D187" i="62"/>
  <c r="D186" i="62"/>
  <c r="D185" i="62"/>
  <c r="D184" i="62"/>
  <c r="D183" i="62"/>
  <c r="D182" i="62"/>
  <c r="D181" i="62"/>
  <c r="D180" i="62"/>
  <c r="D179" i="62"/>
  <c r="D178" i="62"/>
  <c r="D177" i="62"/>
  <c r="D176" i="62"/>
  <c r="D175" i="62"/>
  <c r="D174" i="62"/>
  <c r="D173" i="62"/>
  <c r="D172" i="62"/>
  <c r="D171" i="62"/>
  <c r="D170" i="62"/>
  <c r="D135" i="62"/>
  <c r="D134" i="62"/>
  <c r="D133" i="62"/>
  <c r="D132" i="62"/>
  <c r="D131" i="62"/>
  <c r="D130" i="62"/>
  <c r="D129" i="62"/>
  <c r="D128" i="62"/>
  <c r="D127" i="62"/>
  <c r="D126" i="62"/>
  <c r="D125" i="62"/>
  <c r="D124" i="62"/>
  <c r="D123" i="62"/>
  <c r="D122" i="62"/>
  <c r="D87" i="62"/>
  <c r="D86" i="62"/>
  <c r="D85" i="62"/>
  <c r="D84" i="62"/>
  <c r="D83" i="62"/>
  <c r="D82" i="62"/>
  <c r="D81" i="62"/>
  <c r="D80" i="62"/>
  <c r="D79" i="62"/>
  <c r="D78" i="62"/>
  <c r="D77" i="62"/>
  <c r="D76" i="62"/>
  <c r="D75" i="62"/>
  <c r="D2270" i="61"/>
  <c r="D2269" i="61"/>
  <c r="D2268" i="61"/>
  <c r="D2267" i="61"/>
  <c r="D2266" i="61"/>
  <c r="D2265" i="61"/>
  <c r="D2264" i="61"/>
  <c r="D2263" i="61"/>
  <c r="D2262" i="61"/>
  <c r="D2261" i="61"/>
  <c r="D2260" i="61"/>
  <c r="D2259" i="61"/>
  <c r="D2258" i="61"/>
  <c r="D2257" i="61"/>
  <c r="D2256" i="61"/>
  <c r="D2255" i="61"/>
  <c r="D2254" i="61"/>
  <c r="D2253" i="61"/>
  <c r="D2252" i="61"/>
  <c r="D2251" i="61"/>
  <c r="D2250" i="61"/>
  <c r="D2249" i="61"/>
  <c r="D2248" i="61"/>
  <c r="D2247" i="61"/>
  <c r="D2246" i="61"/>
  <c r="D2245" i="61"/>
  <c r="D2244" i="61"/>
  <c r="D2243" i="61"/>
  <c r="D2242" i="61"/>
  <c r="D2241" i="61"/>
  <c r="D2240" i="61"/>
  <c r="D2239" i="61"/>
  <c r="D2238" i="61"/>
  <c r="D2237" i="61"/>
  <c r="D2236" i="61"/>
  <c r="D2190" i="61"/>
  <c r="D2189" i="61"/>
  <c r="D2188" i="61"/>
  <c r="D2187" i="61"/>
  <c r="D2186" i="61"/>
  <c r="D2185" i="61"/>
  <c r="D2184" i="61"/>
  <c r="D2183" i="61"/>
  <c r="D2182" i="61"/>
  <c r="D2181" i="61"/>
  <c r="D2180" i="61"/>
  <c r="D2179" i="61"/>
  <c r="D2178" i="61"/>
  <c r="D2177" i="61"/>
  <c r="D2176" i="61"/>
  <c r="D2175" i="61"/>
  <c r="D2174" i="61"/>
  <c r="D2173" i="61"/>
  <c r="D2172" i="61"/>
  <c r="D2171" i="61"/>
  <c r="D2170" i="61"/>
  <c r="D2169" i="61"/>
  <c r="D2168" i="61"/>
  <c r="D2167" i="61"/>
  <c r="D2166" i="61"/>
  <c r="D2165" i="61"/>
  <c r="D2164" i="61"/>
  <c r="D2163" i="61"/>
  <c r="D2162" i="61"/>
  <c r="D2161" i="61"/>
  <c r="D2160" i="61"/>
  <c r="D2159" i="61"/>
  <c r="D2158" i="61"/>
  <c r="D2157" i="61"/>
  <c r="D2111" i="61"/>
  <c r="D2110" i="61"/>
  <c r="D2109" i="61"/>
  <c r="D2108" i="61"/>
  <c r="D2107" i="61"/>
  <c r="D2106" i="61"/>
  <c r="D2105" i="61"/>
  <c r="D2104" i="61"/>
  <c r="D2103" i="61"/>
  <c r="D2102" i="61"/>
  <c r="D2101" i="61"/>
  <c r="D2100" i="61"/>
  <c r="D2099" i="61"/>
  <c r="D2098" i="61"/>
  <c r="D2097" i="61"/>
  <c r="D2096" i="61"/>
  <c r="D2095" i="61"/>
  <c r="D2094" i="61"/>
  <c r="D2093" i="61"/>
  <c r="D2092" i="61"/>
  <c r="D2091" i="61"/>
  <c r="D2090" i="61"/>
  <c r="D2089" i="61"/>
  <c r="D2088" i="61"/>
  <c r="D2087" i="61"/>
  <c r="D2086" i="61"/>
  <c r="D2085" i="61"/>
  <c r="D2084" i="61"/>
  <c r="D2083" i="61"/>
  <c r="D2082" i="61"/>
  <c r="D2081" i="61"/>
  <c r="D2080" i="61"/>
  <c r="D2079" i="61"/>
  <c r="D2033" i="61"/>
  <c r="D2032" i="61"/>
  <c r="D2031" i="61"/>
  <c r="D2030" i="61"/>
  <c r="D2029" i="61"/>
  <c r="D2028" i="61"/>
  <c r="D2027" i="61"/>
  <c r="D2026" i="61"/>
  <c r="D2025" i="61"/>
  <c r="D2024" i="61"/>
  <c r="D2023" i="61"/>
  <c r="D2022" i="61"/>
  <c r="D2021" i="61"/>
  <c r="D2020" i="61"/>
  <c r="D2019" i="61"/>
  <c r="D2018" i="61"/>
  <c r="D2017" i="61"/>
  <c r="D2016" i="61"/>
  <c r="D2015" i="61"/>
  <c r="D2014" i="61"/>
  <c r="D2013" i="61"/>
  <c r="D2012" i="61"/>
  <c r="D2011" i="61"/>
  <c r="D2010" i="61"/>
  <c r="D2009" i="61"/>
  <c r="D2008" i="61"/>
  <c r="D2007" i="61"/>
  <c r="D2006" i="61"/>
  <c r="D2005" i="61"/>
  <c r="D2004" i="61"/>
  <c r="D2003" i="61"/>
  <c r="D2002" i="61"/>
  <c r="D1956" i="61"/>
  <c r="D1955" i="61"/>
  <c r="D1954" i="61"/>
  <c r="D1953" i="61"/>
  <c r="D1952" i="61"/>
  <c r="D1951" i="61"/>
  <c r="D1950" i="61"/>
  <c r="D1949" i="61"/>
  <c r="D1948" i="61"/>
  <c r="D1947" i="61"/>
  <c r="D1946" i="61"/>
  <c r="D1945" i="61"/>
  <c r="D1944" i="61"/>
  <c r="D1943" i="61"/>
  <c r="D1942" i="61"/>
  <c r="D1941" i="61"/>
  <c r="D1940" i="61"/>
  <c r="D1939" i="61"/>
  <c r="D1938" i="61"/>
  <c r="D1937" i="61"/>
  <c r="D1936" i="61"/>
  <c r="D1935" i="61"/>
  <c r="D1934" i="61"/>
  <c r="D1933" i="61"/>
  <c r="D1932" i="61"/>
  <c r="D1931" i="61"/>
  <c r="D1930" i="61"/>
  <c r="D1929" i="61"/>
  <c r="D1928" i="61"/>
  <c r="D1927" i="61"/>
  <c r="D1926" i="61"/>
  <c r="D1880" i="61"/>
  <c r="D1879" i="61"/>
  <c r="D1878" i="61"/>
  <c r="D1877" i="61"/>
  <c r="D1876" i="61"/>
  <c r="D1875" i="61"/>
  <c r="D1874" i="61"/>
  <c r="D1873" i="61"/>
  <c r="D1872" i="61"/>
  <c r="D1871" i="61"/>
  <c r="D1870" i="61"/>
  <c r="D1869" i="61"/>
  <c r="D1868" i="61"/>
  <c r="D1867" i="61"/>
  <c r="D1866" i="61"/>
  <c r="D1865" i="61"/>
  <c r="D1864" i="61"/>
  <c r="D1863" i="61"/>
  <c r="D1862" i="61"/>
  <c r="D1861" i="61"/>
  <c r="D1860" i="61"/>
  <c r="D1859" i="61"/>
  <c r="D1858" i="61"/>
  <c r="D1857" i="61"/>
  <c r="D1856" i="61"/>
  <c r="D1855" i="61"/>
  <c r="D1854" i="61"/>
  <c r="D1853" i="61"/>
  <c r="D1852" i="61"/>
  <c r="D1851" i="61"/>
  <c r="D1805" i="61"/>
  <c r="D1804" i="61"/>
  <c r="D1803" i="61"/>
  <c r="D1802" i="61"/>
  <c r="D1801" i="61"/>
  <c r="D1800" i="61"/>
  <c r="D1799" i="61"/>
  <c r="D1798" i="61"/>
  <c r="D1797" i="61"/>
  <c r="D1796" i="61"/>
  <c r="D1795" i="61"/>
  <c r="D1794" i="61"/>
  <c r="D1793" i="61"/>
  <c r="D1792" i="61"/>
  <c r="D1791" i="61"/>
  <c r="D1790" i="61"/>
  <c r="D1789" i="61"/>
  <c r="D1788" i="61"/>
  <c r="D1787" i="61"/>
  <c r="D1786" i="61"/>
  <c r="D1785" i="61"/>
  <c r="D1784" i="61"/>
  <c r="D1783" i="61"/>
  <c r="D1782" i="61"/>
  <c r="D1781" i="61"/>
  <c r="D1780" i="61"/>
  <c r="D1779" i="61"/>
  <c r="D1778" i="61"/>
  <c r="D1777" i="61"/>
  <c r="D1731" i="61"/>
  <c r="D1730" i="61"/>
  <c r="D1729" i="61"/>
  <c r="D1728" i="61"/>
  <c r="D1727" i="61"/>
  <c r="D1726" i="61"/>
  <c r="D1725" i="61"/>
  <c r="D1724" i="61"/>
  <c r="D1723" i="61"/>
  <c r="D1722" i="61"/>
  <c r="D1721" i="61"/>
  <c r="D1720" i="61"/>
  <c r="D1719" i="61"/>
  <c r="D1718" i="61"/>
  <c r="D1717" i="61"/>
  <c r="D1716" i="61"/>
  <c r="D1715" i="61"/>
  <c r="D1714" i="61"/>
  <c r="D1713" i="61"/>
  <c r="D1712" i="61"/>
  <c r="D1711" i="61"/>
  <c r="D1710" i="61"/>
  <c r="D1709" i="61"/>
  <c r="D1708" i="61"/>
  <c r="D1707" i="61"/>
  <c r="D1706" i="61"/>
  <c r="D1705" i="61"/>
  <c r="D1704" i="61"/>
  <c r="D1658" i="61"/>
  <c r="D1657" i="61"/>
  <c r="D1656" i="61"/>
  <c r="D1655" i="61"/>
  <c r="D1654" i="61"/>
  <c r="D1653" i="61"/>
  <c r="D1652" i="61"/>
  <c r="D1651" i="61"/>
  <c r="D1650" i="61"/>
  <c r="D1649" i="61"/>
  <c r="D1648" i="61"/>
  <c r="D1647" i="61"/>
  <c r="D1646" i="61"/>
  <c r="D1645" i="61"/>
  <c r="D1644" i="61"/>
  <c r="D1643" i="61"/>
  <c r="D1642" i="61"/>
  <c r="D1641" i="61"/>
  <c r="D1640" i="61"/>
  <c r="D1639" i="61"/>
  <c r="D1638" i="61"/>
  <c r="D1637" i="61"/>
  <c r="D1636" i="61"/>
  <c r="D1635" i="61"/>
  <c r="D1634" i="61"/>
  <c r="D1633" i="61"/>
  <c r="D1632" i="61"/>
  <c r="D1586" i="61"/>
  <c r="D1585" i="61"/>
  <c r="D1584" i="61"/>
  <c r="D1583" i="61"/>
  <c r="D1582" i="61"/>
  <c r="D1581" i="61"/>
  <c r="D1580" i="61"/>
  <c r="D1579" i="61"/>
  <c r="D1578" i="61"/>
  <c r="D1577" i="61"/>
  <c r="D1576" i="61"/>
  <c r="D1575" i="61"/>
  <c r="D1574" i="61"/>
  <c r="D1573" i="61"/>
  <c r="D1572" i="61"/>
  <c r="D1571" i="61"/>
  <c r="D1570" i="61"/>
  <c r="D1569" i="61"/>
  <c r="D1568" i="61"/>
  <c r="D1567" i="61"/>
  <c r="D1566" i="61"/>
  <c r="D1565" i="61"/>
  <c r="D1564" i="61"/>
  <c r="D1563" i="61"/>
  <c r="D1562" i="61"/>
  <c r="D1561" i="61"/>
  <c r="D1515" i="61"/>
  <c r="D1514" i="61"/>
  <c r="D1513" i="61"/>
  <c r="D1512" i="61"/>
  <c r="D1511" i="61"/>
  <c r="D1510" i="61"/>
  <c r="D1509" i="61"/>
  <c r="D1508" i="61"/>
  <c r="D1507" i="61"/>
  <c r="D1506" i="61"/>
  <c r="D1505" i="61"/>
  <c r="D1504" i="61"/>
  <c r="D1503" i="61"/>
  <c r="D1502" i="61"/>
  <c r="D1501" i="61"/>
  <c r="D1500" i="61"/>
  <c r="D1499" i="61"/>
  <c r="D1498" i="61"/>
  <c r="D1497" i="61"/>
  <c r="D1496" i="61"/>
  <c r="D1495" i="61"/>
  <c r="D1494" i="61"/>
  <c r="D1493" i="61"/>
  <c r="D1492" i="61"/>
  <c r="D1491" i="61"/>
  <c r="D1445" i="61"/>
  <c r="D1444" i="61"/>
  <c r="D1443" i="61"/>
  <c r="D1442" i="61"/>
  <c r="D1441" i="61"/>
  <c r="D1440" i="61"/>
  <c r="D1439" i="61"/>
  <c r="D1438" i="61"/>
  <c r="D1437" i="61"/>
  <c r="D1436" i="61"/>
  <c r="D1435" i="61"/>
  <c r="D1434" i="61"/>
  <c r="D1433" i="61"/>
  <c r="D1432" i="61"/>
  <c r="D1431" i="61"/>
  <c r="D1430" i="61"/>
  <c r="D1429" i="61"/>
  <c r="D1428" i="61"/>
  <c r="D1427" i="61"/>
  <c r="D1426" i="61"/>
  <c r="D1425" i="61"/>
  <c r="D1424" i="61"/>
  <c r="D1423" i="61"/>
  <c r="D1422" i="61"/>
  <c r="D1376" i="61"/>
  <c r="D1375" i="61"/>
  <c r="D1374" i="61"/>
  <c r="D1373" i="61"/>
  <c r="D1372" i="61"/>
  <c r="D1371" i="61"/>
  <c r="D1370" i="61"/>
  <c r="D1369" i="61"/>
  <c r="D1368" i="61"/>
  <c r="D1367" i="61"/>
  <c r="D1366" i="61"/>
  <c r="D1365" i="61"/>
  <c r="D1364" i="61"/>
  <c r="D1363" i="61"/>
  <c r="D1362" i="61"/>
  <c r="D1361" i="61"/>
  <c r="D1360" i="61"/>
  <c r="D1359" i="61"/>
  <c r="D1358" i="61"/>
  <c r="D1357" i="61"/>
  <c r="D1356" i="61"/>
  <c r="D1355" i="61"/>
  <c r="D1354" i="61"/>
  <c r="D1308" i="61"/>
  <c r="D1307" i="61"/>
  <c r="D1306" i="61"/>
  <c r="D1305" i="61"/>
  <c r="D1304" i="61"/>
  <c r="D1303" i="61"/>
  <c r="D1302" i="61"/>
  <c r="D1301" i="61"/>
  <c r="D1300" i="61"/>
  <c r="D1299" i="61"/>
  <c r="D1298" i="61"/>
  <c r="D1297" i="61"/>
  <c r="D1296" i="61"/>
  <c r="D1295" i="61"/>
  <c r="D1294" i="61"/>
  <c r="D1293" i="61"/>
  <c r="D1292" i="61"/>
  <c r="D1291" i="61"/>
  <c r="D1290" i="61"/>
  <c r="D1289" i="61"/>
  <c r="D1288" i="61"/>
  <c r="D1287" i="61"/>
  <c r="D1241" i="61"/>
  <c r="D1240" i="61"/>
  <c r="D1239" i="61"/>
  <c r="D1238" i="61"/>
  <c r="D1237" i="61"/>
  <c r="D1236" i="61"/>
  <c r="D1235" i="61"/>
  <c r="D1234" i="61"/>
  <c r="D1233" i="61"/>
  <c r="D1232" i="61"/>
  <c r="D1231" i="61"/>
  <c r="D1230" i="61"/>
  <c r="D1229" i="61"/>
  <c r="D1228" i="61"/>
  <c r="D1227" i="61"/>
  <c r="D1226" i="61"/>
  <c r="D1225" i="61"/>
  <c r="D1224" i="61"/>
  <c r="D1223" i="61"/>
  <c r="D1222" i="61"/>
  <c r="D1221" i="61"/>
  <c r="D1175" i="61"/>
  <c r="D1174" i="61"/>
  <c r="D1173" i="61"/>
  <c r="D1172" i="61"/>
  <c r="D1171" i="61"/>
  <c r="D1170" i="61"/>
  <c r="D1169" i="61"/>
  <c r="D1168" i="61"/>
  <c r="D1167" i="61"/>
  <c r="D1166" i="61"/>
  <c r="D1165" i="61"/>
  <c r="D1164" i="61"/>
  <c r="D1163" i="61"/>
  <c r="D1162" i="61"/>
  <c r="D1161" i="61"/>
  <c r="D1160" i="61"/>
  <c r="D1159" i="61"/>
  <c r="D1158" i="61"/>
  <c r="D1157" i="61"/>
  <c r="D1156" i="61"/>
  <c r="D1110" i="61"/>
  <c r="D1109" i="61"/>
  <c r="D1108" i="61"/>
  <c r="D1107" i="61"/>
  <c r="D1106" i="61"/>
  <c r="D1105" i="61"/>
  <c r="D1104" i="61"/>
  <c r="D1103" i="61"/>
  <c r="D1102" i="61"/>
  <c r="D1101" i="61"/>
  <c r="D1100" i="61"/>
  <c r="D1099" i="61"/>
  <c r="D1098" i="61"/>
  <c r="D1097" i="61"/>
  <c r="D1096" i="61"/>
  <c r="D1095" i="61"/>
  <c r="D1094" i="61"/>
  <c r="D1093" i="61"/>
  <c r="D1092" i="61"/>
  <c r="D1046" i="61"/>
  <c r="D1045" i="61"/>
  <c r="D1044" i="61"/>
  <c r="D1043" i="61"/>
  <c r="D1042" i="61"/>
  <c r="D1041" i="61"/>
  <c r="D1040" i="61"/>
  <c r="D1039" i="61"/>
  <c r="D1038" i="61"/>
  <c r="D1037" i="61"/>
  <c r="D1036" i="61"/>
  <c r="D1035" i="61"/>
  <c r="D1034" i="61"/>
  <c r="D1033" i="61"/>
  <c r="D1032" i="61"/>
  <c r="D1031" i="61"/>
  <c r="D1030" i="61"/>
  <c r="D1029" i="61"/>
  <c r="D983" i="61"/>
  <c r="D982" i="61"/>
  <c r="D981" i="61"/>
  <c r="D980" i="61"/>
  <c r="D979" i="61"/>
  <c r="D978" i="61"/>
  <c r="D977" i="61"/>
  <c r="D976" i="61"/>
  <c r="D975" i="61"/>
  <c r="D974" i="61"/>
  <c r="D973" i="61"/>
  <c r="D972" i="61"/>
  <c r="D971" i="61"/>
  <c r="D970" i="61"/>
  <c r="D969" i="61"/>
  <c r="D968" i="61"/>
  <c r="D967" i="61"/>
  <c r="D921" i="61"/>
  <c r="D920" i="61"/>
  <c r="D919" i="61"/>
  <c r="D918" i="61"/>
  <c r="D917" i="61"/>
  <c r="D916" i="61"/>
  <c r="D915" i="61"/>
  <c r="D914" i="61"/>
  <c r="D913" i="61"/>
  <c r="D912" i="61"/>
  <c r="D911" i="61"/>
  <c r="D910" i="61"/>
  <c r="D909" i="61"/>
  <c r="D908" i="61"/>
  <c r="D907" i="61"/>
  <c r="D906" i="61"/>
  <c r="D860" i="61"/>
  <c r="D859" i="61"/>
  <c r="D858" i="61"/>
  <c r="D857" i="61"/>
  <c r="D856" i="61"/>
  <c r="D855" i="61"/>
  <c r="D854" i="61"/>
  <c r="D853" i="61"/>
  <c r="D852" i="61"/>
  <c r="D851" i="61"/>
  <c r="D850" i="61"/>
  <c r="D849" i="61"/>
  <c r="D848" i="61"/>
  <c r="D847" i="61"/>
  <c r="D846" i="61"/>
  <c r="D800" i="61"/>
  <c r="D799" i="61"/>
  <c r="D798" i="61"/>
  <c r="D797" i="61"/>
  <c r="D796" i="61"/>
  <c r="D795" i="61"/>
  <c r="D794" i="61"/>
  <c r="D793" i="61"/>
  <c r="D792" i="61"/>
  <c r="D791" i="61"/>
  <c r="D790" i="61"/>
  <c r="D789" i="61"/>
  <c r="D788" i="61"/>
  <c r="D787" i="61"/>
  <c r="D741" i="61"/>
  <c r="D740" i="61"/>
  <c r="D739" i="61"/>
  <c r="D738" i="61"/>
  <c r="D737" i="61"/>
  <c r="D736" i="61"/>
  <c r="D735" i="61"/>
  <c r="D734" i="61"/>
  <c r="D733" i="61"/>
  <c r="D732" i="61"/>
  <c r="D731" i="61"/>
  <c r="D730" i="61"/>
  <c r="D729" i="61"/>
  <c r="D683" i="61"/>
  <c r="D682" i="61"/>
  <c r="D681" i="61"/>
  <c r="D680" i="61"/>
  <c r="D679" i="61"/>
  <c r="D678" i="61"/>
  <c r="D677" i="61"/>
  <c r="D676" i="61"/>
  <c r="D675" i="61"/>
  <c r="D674" i="61"/>
  <c r="D673" i="61"/>
  <c r="D672" i="61"/>
  <c r="D626" i="61"/>
  <c r="D625" i="61"/>
  <c r="D624" i="61"/>
  <c r="D623" i="61"/>
  <c r="D622" i="61"/>
  <c r="D621" i="61"/>
  <c r="D620" i="61"/>
  <c r="D619" i="61"/>
  <c r="D618" i="61"/>
  <c r="D617" i="61"/>
  <c r="D616" i="61"/>
  <c r="D571" i="61"/>
  <c r="D570" i="61"/>
  <c r="D569" i="61"/>
  <c r="D568" i="61"/>
  <c r="D567" i="61"/>
  <c r="D566" i="61"/>
  <c r="D565" i="61"/>
  <c r="D564" i="61"/>
  <c r="D563" i="61"/>
  <c r="D562" i="61"/>
  <c r="D561" i="61"/>
  <c r="D517" i="61"/>
  <c r="D516" i="61"/>
  <c r="D515" i="61"/>
  <c r="D514" i="61"/>
  <c r="D513" i="61"/>
  <c r="D512" i="61"/>
  <c r="D511" i="61"/>
  <c r="D510" i="61"/>
  <c r="D509" i="61"/>
  <c r="D508" i="61"/>
  <c r="D507" i="61"/>
  <c r="D464" i="61"/>
  <c r="D463" i="61"/>
  <c r="D462" i="61"/>
  <c r="D461" i="61"/>
  <c r="D460" i="61"/>
  <c r="D459" i="61"/>
  <c r="D458" i="61"/>
  <c r="D457" i="61"/>
  <c r="D456" i="61"/>
  <c r="D455" i="61"/>
  <c r="D454" i="61"/>
  <c r="D412" i="61"/>
  <c r="D411" i="61"/>
  <c r="D410" i="61"/>
  <c r="D409" i="61"/>
  <c r="D408" i="61"/>
  <c r="D407" i="61"/>
  <c r="D406" i="61"/>
  <c r="D405" i="61"/>
  <c r="D404" i="61"/>
  <c r="D403" i="61"/>
  <c r="D402" i="61"/>
  <c r="D361" i="61"/>
  <c r="D360" i="61"/>
  <c r="D359" i="61"/>
  <c r="D358" i="61"/>
  <c r="D357" i="61"/>
  <c r="D356" i="61"/>
  <c r="D355" i="61"/>
  <c r="D354" i="61"/>
  <c r="D353" i="61"/>
  <c r="D352" i="61"/>
  <c r="D351" i="61"/>
  <c r="D311" i="61"/>
  <c r="D310" i="61"/>
  <c r="D309" i="61"/>
  <c r="D308" i="61"/>
  <c r="D307" i="61"/>
  <c r="D306" i="61"/>
  <c r="D305" i="61"/>
  <c r="D304" i="61"/>
  <c r="D303" i="61"/>
  <c r="D302" i="61"/>
  <c r="D301" i="61"/>
  <c r="D262" i="61"/>
  <c r="D261" i="61"/>
  <c r="D260" i="61"/>
  <c r="D259" i="61"/>
  <c r="D258" i="61"/>
  <c r="D257" i="61"/>
  <c r="D256" i="61"/>
  <c r="D255" i="61"/>
  <c r="D254" i="61"/>
  <c r="D253" i="61"/>
  <c r="D252" i="61"/>
  <c r="D214" i="61"/>
  <c r="D213" i="61"/>
  <c r="D212" i="61"/>
  <c r="D211" i="61"/>
  <c r="D210" i="61"/>
  <c r="D209" i="61"/>
  <c r="D208" i="61"/>
  <c r="D207" i="61"/>
  <c r="D206" i="61"/>
  <c r="D205" i="61"/>
  <c r="D204" i="61"/>
  <c r="D167" i="61"/>
  <c r="D166" i="61"/>
  <c r="D165" i="61"/>
  <c r="D164" i="61"/>
  <c r="D163" i="61"/>
  <c r="D162" i="61"/>
  <c r="D161" i="61"/>
  <c r="D160" i="61"/>
  <c r="D159" i="61"/>
  <c r="D158" i="61"/>
  <c r="D157" i="61"/>
  <c r="D111" i="61"/>
  <c r="D121" i="61"/>
  <c r="D120" i="61"/>
  <c r="D119" i="61"/>
  <c r="D118" i="61"/>
  <c r="D117" i="61"/>
  <c r="D116" i="61"/>
  <c r="D115" i="61"/>
  <c r="D114" i="61"/>
  <c r="D113" i="61"/>
  <c r="D112" i="61"/>
  <c r="D2270" i="60"/>
  <c r="D2269" i="60"/>
  <c r="D2268" i="60"/>
  <c r="D2267" i="60"/>
  <c r="D2266" i="60"/>
  <c r="D2265" i="60"/>
  <c r="D2264" i="60"/>
  <c r="D2263" i="60"/>
  <c r="D2262" i="60"/>
  <c r="D2261" i="60"/>
  <c r="D2260" i="60"/>
  <c r="D2259" i="60"/>
  <c r="D2258" i="60"/>
  <c r="D2257" i="60"/>
  <c r="D2256" i="60"/>
  <c r="D2255" i="60"/>
  <c r="D2254" i="60"/>
  <c r="D2253" i="60"/>
  <c r="D2252" i="60"/>
  <c r="D2251" i="60"/>
  <c r="D2250" i="60"/>
  <c r="D2249" i="60"/>
  <c r="D2248" i="60"/>
  <c r="D2247" i="60"/>
  <c r="D2246" i="60"/>
  <c r="D2245" i="60"/>
  <c r="D2244" i="60"/>
  <c r="D2243" i="60"/>
  <c r="D2242" i="60"/>
  <c r="D2241" i="60"/>
  <c r="D2240" i="60"/>
  <c r="D2239" i="60"/>
  <c r="D2238" i="60"/>
  <c r="D2237" i="60"/>
  <c r="D2236" i="60"/>
  <c r="D2190" i="60"/>
  <c r="D2189" i="60"/>
  <c r="D2188" i="60"/>
  <c r="D2187" i="60"/>
  <c r="D2186" i="60"/>
  <c r="D2185" i="60"/>
  <c r="D2184" i="60"/>
  <c r="D2183" i="60"/>
  <c r="D2182" i="60"/>
  <c r="D2181" i="60"/>
  <c r="D2180" i="60"/>
  <c r="D2179" i="60"/>
  <c r="D2178" i="60"/>
  <c r="D2177" i="60"/>
  <c r="D2176" i="60"/>
  <c r="D2175" i="60"/>
  <c r="D2174" i="60"/>
  <c r="D2173" i="60"/>
  <c r="D2172" i="60"/>
  <c r="D2171" i="60"/>
  <c r="D2170" i="60"/>
  <c r="D2169" i="60"/>
  <c r="D2168" i="60"/>
  <c r="D2167" i="60"/>
  <c r="D2166" i="60"/>
  <c r="D2165" i="60"/>
  <c r="D2164" i="60"/>
  <c r="D2163" i="60"/>
  <c r="D2162" i="60"/>
  <c r="D2161" i="60"/>
  <c r="D2160" i="60"/>
  <c r="D2159" i="60"/>
  <c r="D2158" i="60"/>
  <c r="D2157" i="60"/>
  <c r="D2111" i="60"/>
  <c r="D2110" i="60"/>
  <c r="D2109" i="60"/>
  <c r="D2108" i="60"/>
  <c r="D2107" i="60"/>
  <c r="D2106" i="60"/>
  <c r="D2105" i="60"/>
  <c r="D2104" i="60"/>
  <c r="D2103" i="60"/>
  <c r="D2102" i="60"/>
  <c r="D2101" i="60"/>
  <c r="D2100" i="60"/>
  <c r="D2099" i="60"/>
  <c r="D2098" i="60"/>
  <c r="D2097" i="60"/>
  <c r="D2096" i="60"/>
  <c r="D2095" i="60"/>
  <c r="D2094" i="60"/>
  <c r="D2093" i="60"/>
  <c r="D2092" i="60"/>
  <c r="D2091" i="60"/>
  <c r="D2090" i="60"/>
  <c r="D2089" i="60"/>
  <c r="D2088" i="60"/>
  <c r="D2087" i="60"/>
  <c r="D2086" i="60"/>
  <c r="D2085" i="60"/>
  <c r="D2084" i="60"/>
  <c r="D2083" i="60"/>
  <c r="D2082" i="60"/>
  <c r="D2081" i="60"/>
  <c r="D2080" i="60"/>
  <c r="D2079" i="60"/>
  <c r="D2033" i="60"/>
  <c r="D2032" i="60"/>
  <c r="D2031" i="60"/>
  <c r="D2030" i="60"/>
  <c r="D2029" i="60"/>
  <c r="D2028" i="60"/>
  <c r="D2027" i="60"/>
  <c r="D2026" i="60"/>
  <c r="D2025" i="60"/>
  <c r="D2024" i="60"/>
  <c r="D2023" i="60"/>
  <c r="D2022" i="60"/>
  <c r="D2021" i="60"/>
  <c r="D2020" i="60"/>
  <c r="D2019" i="60"/>
  <c r="D2018" i="60"/>
  <c r="D2017" i="60"/>
  <c r="D2016" i="60"/>
  <c r="D2015" i="60"/>
  <c r="D2014" i="60"/>
  <c r="D2013" i="60"/>
  <c r="D2012" i="60"/>
  <c r="D2011" i="60"/>
  <c r="D2010" i="60"/>
  <c r="D2009" i="60"/>
  <c r="D2008" i="60"/>
  <c r="D2007" i="60"/>
  <c r="D2006" i="60"/>
  <c r="D2005" i="60"/>
  <c r="D2004" i="60"/>
  <c r="D2003" i="60"/>
  <c r="D2002" i="60"/>
  <c r="D1956" i="60"/>
  <c r="D1955" i="60"/>
  <c r="D1954" i="60"/>
  <c r="D1953" i="60"/>
  <c r="D1952" i="60"/>
  <c r="D1951" i="60"/>
  <c r="D1950" i="60"/>
  <c r="D1949" i="60"/>
  <c r="D1948" i="60"/>
  <c r="D1947" i="60"/>
  <c r="D1946" i="60"/>
  <c r="D1945" i="60"/>
  <c r="D1944" i="60"/>
  <c r="D1943" i="60"/>
  <c r="D1942" i="60"/>
  <c r="D1941" i="60"/>
  <c r="D1940" i="60"/>
  <c r="D1939" i="60"/>
  <c r="D1938" i="60"/>
  <c r="D1937" i="60"/>
  <c r="D1936" i="60"/>
  <c r="D1935" i="60"/>
  <c r="D1934" i="60"/>
  <c r="D1933" i="60"/>
  <c r="D1932" i="60"/>
  <c r="D1931" i="60"/>
  <c r="D1930" i="60"/>
  <c r="D1929" i="60"/>
  <c r="D1928" i="60"/>
  <c r="D1927" i="60"/>
  <c r="D1926" i="60"/>
  <c r="D1957" i="60"/>
  <c r="D1880" i="60"/>
  <c r="D1879" i="60"/>
  <c r="D1878" i="60"/>
  <c r="D1877" i="60"/>
  <c r="D1876" i="60"/>
  <c r="D1875" i="60"/>
  <c r="D1874" i="60"/>
  <c r="D1873" i="60"/>
  <c r="D1872" i="60"/>
  <c r="D1871" i="60"/>
  <c r="D1870" i="60"/>
  <c r="D1869" i="60"/>
  <c r="D1868" i="60"/>
  <c r="D1867" i="60"/>
  <c r="D1866" i="60"/>
  <c r="D1865" i="60"/>
  <c r="D1864" i="60"/>
  <c r="D1863" i="60"/>
  <c r="D1862" i="60"/>
  <c r="D1861" i="60"/>
  <c r="D1860" i="60"/>
  <c r="D1859" i="60"/>
  <c r="D1858" i="60"/>
  <c r="D1857" i="60"/>
  <c r="D1856" i="60"/>
  <c r="D1855" i="60"/>
  <c r="D1854" i="60"/>
  <c r="D1853" i="60"/>
  <c r="D1852" i="60"/>
  <c r="D1851" i="60"/>
  <c r="D1805" i="60"/>
  <c r="D1804" i="60"/>
  <c r="D1803" i="60"/>
  <c r="D1802" i="60"/>
  <c r="D1801" i="60"/>
  <c r="D1800" i="60"/>
  <c r="D1799" i="60"/>
  <c r="D1798" i="60"/>
  <c r="D1797" i="60"/>
  <c r="D1796" i="60"/>
  <c r="D1795" i="60"/>
  <c r="D1794" i="60"/>
  <c r="D1793" i="60"/>
  <c r="D1792" i="60"/>
  <c r="D1791" i="60"/>
  <c r="D1790" i="60"/>
  <c r="D1789" i="60"/>
  <c r="D1788" i="60"/>
  <c r="D1787" i="60"/>
  <c r="D1786" i="60"/>
  <c r="D1785" i="60"/>
  <c r="D1784" i="60"/>
  <c r="D1783" i="60"/>
  <c r="D1782" i="60"/>
  <c r="D1781" i="60"/>
  <c r="D1780" i="60"/>
  <c r="D1779" i="60"/>
  <c r="D1778" i="60"/>
  <c r="D1777" i="60"/>
  <c r="D1731" i="60"/>
  <c r="D1730" i="60"/>
  <c r="D1729" i="60"/>
  <c r="D1728" i="60"/>
  <c r="D1727" i="60"/>
  <c r="D1726" i="60"/>
  <c r="D1725" i="60"/>
  <c r="D1724" i="60"/>
  <c r="D1723" i="60"/>
  <c r="D1722" i="60"/>
  <c r="D1721" i="60"/>
  <c r="D1720" i="60"/>
  <c r="D1719" i="60"/>
  <c r="D1718" i="60"/>
  <c r="D1717" i="60"/>
  <c r="D1716" i="60"/>
  <c r="D1715" i="60"/>
  <c r="D1714" i="60"/>
  <c r="D1713" i="60"/>
  <c r="D1712" i="60"/>
  <c r="D1711" i="60"/>
  <c r="D1710" i="60"/>
  <c r="D1709" i="60"/>
  <c r="D1708" i="60"/>
  <c r="D1707" i="60"/>
  <c r="D1706" i="60"/>
  <c r="D1705" i="60"/>
  <c r="D1704" i="60"/>
  <c r="D1658" i="60"/>
  <c r="D1657" i="60"/>
  <c r="D1656" i="60"/>
  <c r="D1655" i="60"/>
  <c r="D1654" i="60"/>
  <c r="D1653" i="60"/>
  <c r="D1652" i="60"/>
  <c r="D1651" i="60"/>
  <c r="D1650" i="60"/>
  <c r="D1649" i="60"/>
  <c r="D1648" i="60"/>
  <c r="D1647" i="60"/>
  <c r="D1646" i="60"/>
  <c r="D1645" i="60"/>
  <c r="D1644" i="60"/>
  <c r="D1643" i="60"/>
  <c r="D1642" i="60"/>
  <c r="D1641" i="60"/>
  <c r="D1640" i="60"/>
  <c r="D1639" i="60"/>
  <c r="D1638" i="60"/>
  <c r="D1637" i="60"/>
  <c r="D1636" i="60"/>
  <c r="D1635" i="60"/>
  <c r="D1634" i="60"/>
  <c r="D1633" i="60"/>
  <c r="D1632" i="60"/>
  <c r="D1586" i="60"/>
  <c r="D1585" i="60"/>
  <c r="D1584" i="60"/>
  <c r="D1583" i="60"/>
  <c r="D1582" i="60"/>
  <c r="D1581" i="60"/>
  <c r="D1580" i="60"/>
  <c r="D1579" i="60"/>
  <c r="D1578" i="60"/>
  <c r="D1577" i="60"/>
  <c r="D1576" i="60"/>
  <c r="D1575" i="60"/>
  <c r="D1574" i="60"/>
  <c r="D1573" i="60"/>
  <c r="D1572" i="60"/>
  <c r="D1571" i="60"/>
  <c r="D1570" i="60"/>
  <c r="D1569" i="60"/>
  <c r="D1568" i="60"/>
  <c r="D1567" i="60"/>
  <c r="D1566" i="60"/>
  <c r="D1565" i="60"/>
  <c r="D1564" i="60"/>
  <c r="D1563" i="60"/>
  <c r="D1562" i="60"/>
  <c r="D1561" i="60"/>
  <c r="D1515" i="60"/>
  <c r="D1514" i="60"/>
  <c r="D1513" i="60"/>
  <c r="D1512" i="60"/>
  <c r="D1511" i="60"/>
  <c r="D1510" i="60"/>
  <c r="D1509" i="60"/>
  <c r="D1508" i="60"/>
  <c r="D1507" i="60"/>
  <c r="D1506" i="60"/>
  <c r="D1505" i="60"/>
  <c r="D1504" i="60"/>
  <c r="D1503" i="60"/>
  <c r="D1502" i="60"/>
  <c r="D1501" i="60"/>
  <c r="D1500" i="60"/>
  <c r="D1499" i="60"/>
  <c r="D1498" i="60"/>
  <c r="D1497" i="60"/>
  <c r="D1496" i="60"/>
  <c r="D1495" i="60"/>
  <c r="D1494" i="60"/>
  <c r="D1493" i="60"/>
  <c r="D1492" i="60"/>
  <c r="D1491" i="60"/>
  <c r="D1445" i="60"/>
  <c r="D1444" i="60"/>
  <c r="D1443" i="60"/>
  <c r="D1442" i="60"/>
  <c r="D1441" i="60"/>
  <c r="D1440" i="60"/>
  <c r="D1439" i="60"/>
  <c r="D1438" i="60"/>
  <c r="D1437" i="60"/>
  <c r="D1436" i="60"/>
  <c r="D1435" i="60"/>
  <c r="D1434" i="60"/>
  <c r="D1433" i="60"/>
  <c r="D1432" i="60"/>
  <c r="D1431" i="60"/>
  <c r="D1430" i="60"/>
  <c r="D1429" i="60"/>
  <c r="D1428" i="60"/>
  <c r="D1427" i="60"/>
  <c r="D1426" i="60"/>
  <c r="D1425" i="60"/>
  <c r="D1424" i="60"/>
  <c r="D1423" i="60"/>
  <c r="D1422" i="60"/>
  <c r="D1376" i="60"/>
  <c r="D1375" i="60"/>
  <c r="D1374" i="60"/>
  <c r="D1373" i="60"/>
  <c r="D1372" i="60"/>
  <c r="D1371" i="60"/>
  <c r="D1370" i="60"/>
  <c r="D1369" i="60"/>
  <c r="D1368" i="60"/>
  <c r="D1367" i="60"/>
  <c r="D1366" i="60"/>
  <c r="D1365" i="60"/>
  <c r="D1364" i="60"/>
  <c r="D1363" i="60"/>
  <c r="D1362" i="60"/>
  <c r="D1361" i="60"/>
  <c r="D1360" i="60"/>
  <c r="D1359" i="60"/>
  <c r="D1358" i="60"/>
  <c r="D1357" i="60"/>
  <c r="D1356" i="60"/>
  <c r="D1355" i="60"/>
  <c r="D1354" i="60"/>
  <c r="D1308" i="60"/>
  <c r="D1307" i="60"/>
  <c r="D1306" i="60"/>
  <c r="D1305" i="60"/>
  <c r="D1304" i="60"/>
  <c r="D1303" i="60"/>
  <c r="D1302" i="60"/>
  <c r="D1301" i="60"/>
  <c r="D1300" i="60"/>
  <c r="D1299" i="60"/>
  <c r="D1298" i="60"/>
  <c r="D1297" i="60"/>
  <c r="D1296" i="60"/>
  <c r="D1295" i="60"/>
  <c r="D1294" i="60"/>
  <c r="D1293" i="60"/>
  <c r="D1292" i="60"/>
  <c r="D1291" i="60"/>
  <c r="D1290" i="60"/>
  <c r="D1289" i="60"/>
  <c r="D1288" i="60"/>
  <c r="D1287" i="60"/>
  <c r="D1241" i="60"/>
  <c r="D1240" i="60"/>
  <c r="D1239" i="60"/>
  <c r="D1238" i="60"/>
  <c r="D1237" i="60"/>
  <c r="D1236" i="60"/>
  <c r="D1235" i="60"/>
  <c r="D1234" i="60"/>
  <c r="D1233" i="60"/>
  <c r="D1232" i="60"/>
  <c r="D1231" i="60"/>
  <c r="D1230" i="60"/>
  <c r="D1229" i="60"/>
  <c r="D1228" i="60"/>
  <c r="D1227" i="60"/>
  <c r="D1226" i="60"/>
  <c r="D1225" i="60"/>
  <c r="D1224" i="60"/>
  <c r="D1223" i="60"/>
  <c r="D1222" i="60"/>
  <c r="D1221" i="60"/>
  <c r="D1175" i="60"/>
  <c r="D1174" i="60"/>
  <c r="D1173" i="60"/>
  <c r="D1172" i="60"/>
  <c r="D1171" i="60"/>
  <c r="D1170" i="60"/>
  <c r="D1169" i="60"/>
  <c r="D1168" i="60"/>
  <c r="D1167" i="60"/>
  <c r="D1166" i="60"/>
  <c r="D1165" i="60"/>
  <c r="D1164" i="60"/>
  <c r="D1163" i="60"/>
  <c r="D1162" i="60"/>
  <c r="D1161" i="60"/>
  <c r="D1160" i="60"/>
  <c r="D1159" i="60"/>
  <c r="D1158" i="60"/>
  <c r="D1157" i="60"/>
  <c r="D1156" i="60"/>
  <c r="D1110" i="60"/>
  <c r="D1109" i="60"/>
  <c r="D1108" i="60"/>
  <c r="D1107" i="60"/>
  <c r="D1106" i="60"/>
  <c r="D1105" i="60"/>
  <c r="D1104" i="60"/>
  <c r="D1103" i="60"/>
  <c r="D1102" i="60"/>
  <c r="D1101" i="60"/>
  <c r="D1100" i="60"/>
  <c r="D1099" i="60"/>
  <c r="D1098" i="60"/>
  <c r="D1097" i="60"/>
  <c r="D1096" i="60"/>
  <c r="D1095" i="60"/>
  <c r="D1094" i="60"/>
  <c r="D1093" i="60"/>
  <c r="D1092" i="60"/>
  <c r="D1046" i="60"/>
  <c r="D1045" i="60"/>
  <c r="D1044" i="60"/>
  <c r="D1043" i="60"/>
  <c r="D1042" i="60"/>
  <c r="D1041" i="60"/>
  <c r="D1040" i="60"/>
  <c r="D1039" i="60"/>
  <c r="D1038" i="60"/>
  <c r="D1037" i="60"/>
  <c r="D1036" i="60"/>
  <c r="D1035" i="60"/>
  <c r="D1034" i="60"/>
  <c r="D1033" i="60"/>
  <c r="D1032" i="60"/>
  <c r="D1031" i="60"/>
  <c r="D1030" i="60"/>
  <c r="D1029" i="60"/>
  <c r="D983" i="60"/>
  <c r="D982" i="60"/>
  <c r="D981" i="60"/>
  <c r="D980" i="60"/>
  <c r="D979" i="60"/>
  <c r="D978" i="60"/>
  <c r="D977" i="60"/>
  <c r="D976" i="60"/>
  <c r="D975" i="60"/>
  <c r="D974" i="60"/>
  <c r="D973" i="60"/>
  <c r="D972" i="60"/>
  <c r="D971" i="60"/>
  <c r="D970" i="60"/>
  <c r="D969" i="60"/>
  <c r="D968" i="60"/>
  <c r="D967" i="60"/>
  <c r="D921" i="60"/>
  <c r="D920" i="60"/>
  <c r="D919" i="60"/>
  <c r="D918" i="60"/>
  <c r="D917" i="60"/>
  <c r="D916" i="60"/>
  <c r="D915" i="60"/>
  <c r="D914" i="60"/>
  <c r="D913" i="60"/>
  <c r="D912" i="60"/>
  <c r="D911" i="60"/>
  <c r="D910" i="60"/>
  <c r="D909" i="60"/>
  <c r="D908" i="60"/>
  <c r="D907" i="60"/>
  <c r="D906" i="60"/>
  <c r="D860" i="60"/>
  <c r="D859" i="60"/>
  <c r="D858" i="60"/>
  <c r="D857" i="60"/>
  <c r="D856" i="60"/>
  <c r="D855" i="60"/>
  <c r="D854" i="60"/>
  <c r="D853" i="60"/>
  <c r="D852" i="60"/>
  <c r="D851" i="60"/>
  <c r="D850" i="60"/>
  <c r="D849" i="60"/>
  <c r="D848" i="60"/>
  <c r="D847" i="60"/>
  <c r="D846" i="60"/>
  <c r="D800" i="60"/>
  <c r="D799" i="60"/>
  <c r="D798" i="60"/>
  <c r="D797" i="60"/>
  <c r="D796" i="60"/>
  <c r="D795" i="60"/>
  <c r="D794" i="60"/>
  <c r="D793" i="60"/>
  <c r="D792" i="60"/>
  <c r="D791" i="60"/>
  <c r="D790" i="60"/>
  <c r="D789" i="60"/>
  <c r="D788" i="60"/>
  <c r="D787" i="60"/>
  <c r="D741" i="60"/>
  <c r="D740" i="60"/>
  <c r="D739" i="60"/>
  <c r="D738" i="60"/>
  <c r="D737" i="60"/>
  <c r="D736" i="60"/>
  <c r="D735" i="60"/>
  <c r="D734" i="60"/>
  <c r="D733" i="60"/>
  <c r="D732" i="60"/>
  <c r="D731" i="60"/>
  <c r="D730" i="60"/>
  <c r="D729" i="60"/>
  <c r="D683" i="60"/>
  <c r="D682" i="60"/>
  <c r="D681" i="60"/>
  <c r="D680" i="60"/>
  <c r="D679" i="60"/>
  <c r="D678" i="60"/>
  <c r="D677" i="60"/>
  <c r="D676" i="60"/>
  <c r="D675" i="60"/>
  <c r="D674" i="60"/>
  <c r="D673" i="60"/>
  <c r="D672" i="60"/>
  <c r="D626" i="60"/>
  <c r="D625" i="60"/>
  <c r="D624" i="60"/>
  <c r="D623" i="60"/>
  <c r="D622" i="60"/>
  <c r="D621" i="60"/>
  <c r="D620" i="60"/>
  <c r="D619" i="60"/>
  <c r="D618" i="60"/>
  <c r="D617" i="60"/>
  <c r="D616" i="60"/>
  <c r="D570" i="60"/>
  <c r="D569" i="60"/>
  <c r="D568" i="60"/>
  <c r="D567" i="60"/>
  <c r="D566" i="60"/>
  <c r="D565" i="60"/>
  <c r="D564" i="60"/>
  <c r="D563" i="60"/>
  <c r="D562" i="60"/>
  <c r="D561" i="60"/>
  <c r="D515" i="60"/>
  <c r="D514" i="60"/>
  <c r="D513" i="60"/>
  <c r="D512" i="60"/>
  <c r="D511" i="60"/>
  <c r="D510" i="60"/>
  <c r="D509" i="60"/>
  <c r="D508" i="60"/>
  <c r="D507" i="60"/>
  <c r="D461" i="60"/>
  <c r="D460" i="60"/>
  <c r="D459" i="60"/>
  <c r="D458" i="60"/>
  <c r="D457" i="60"/>
  <c r="D456" i="60"/>
  <c r="D455" i="60"/>
  <c r="D454" i="60"/>
  <c r="D408" i="60"/>
  <c r="D407" i="60"/>
  <c r="D406" i="60"/>
  <c r="D405" i="60"/>
  <c r="D404" i="60"/>
  <c r="D403" i="60"/>
  <c r="D402" i="60"/>
  <c r="D356" i="60"/>
  <c r="D355" i="60"/>
  <c r="D354" i="60"/>
  <c r="D353" i="60"/>
  <c r="D352" i="60"/>
  <c r="D351" i="60"/>
  <c r="D301" i="60"/>
  <c r="D302" i="60"/>
  <c r="D303" i="60"/>
  <c r="D304" i="60"/>
  <c r="D305" i="60"/>
  <c r="D255" i="60"/>
  <c r="D254" i="60"/>
  <c r="D253" i="60"/>
  <c r="D252" i="60"/>
  <c r="D206" i="60"/>
  <c r="D205" i="60"/>
  <c r="D204" i="60"/>
  <c r="D159" i="60"/>
  <c r="D158" i="60"/>
  <c r="D157" i="60"/>
  <c r="D113" i="60"/>
  <c r="D112" i="60"/>
  <c r="D111" i="60"/>
  <c r="D2300" i="59"/>
  <c r="D2299" i="59"/>
  <c r="D2298" i="59"/>
  <c r="D2297" i="59"/>
  <c r="D2296" i="59"/>
  <c r="D2295" i="59"/>
  <c r="D2294" i="59"/>
  <c r="D2293" i="59"/>
  <c r="D2292" i="59"/>
  <c r="D2291" i="59"/>
  <c r="D2290" i="59"/>
  <c r="D2289" i="59"/>
  <c r="D2288" i="59"/>
  <c r="D2287" i="59"/>
  <c r="D2286" i="59"/>
  <c r="D2285" i="59"/>
  <c r="D2284" i="59"/>
  <c r="D2283" i="59"/>
  <c r="D2282" i="59"/>
  <c r="D2281" i="59"/>
  <c r="D2280" i="59"/>
  <c r="D2279" i="59"/>
  <c r="D2278" i="59"/>
  <c r="D2277" i="59"/>
  <c r="D2276" i="59"/>
  <c r="D2275" i="59"/>
  <c r="D2274" i="59"/>
  <c r="D2273" i="59"/>
  <c r="D2272" i="59"/>
  <c r="D2271" i="59"/>
  <c r="D2270" i="59"/>
  <c r="D2269" i="59"/>
  <c r="D2268" i="59"/>
  <c r="D2267" i="59"/>
  <c r="D2266" i="59"/>
  <c r="D2265" i="59"/>
  <c r="D2264" i="59"/>
  <c r="D2263" i="59"/>
  <c r="D2262" i="59"/>
  <c r="D2261" i="59"/>
  <c r="D2260" i="59"/>
  <c r="D2259" i="59"/>
  <c r="D2258" i="59"/>
  <c r="D2257" i="59"/>
  <c r="D2256" i="59"/>
  <c r="D2255" i="59"/>
  <c r="D2254" i="59"/>
  <c r="D2253" i="59"/>
  <c r="D2252" i="59"/>
  <c r="D2251" i="59"/>
  <c r="D2250" i="59"/>
  <c r="D2249" i="59"/>
  <c r="D2248" i="59"/>
  <c r="D2247" i="59"/>
  <c r="D2246" i="59"/>
  <c r="D2245" i="59"/>
  <c r="D2244" i="59"/>
  <c r="D2243" i="59"/>
  <c r="D2242" i="59"/>
  <c r="D2241" i="59"/>
  <c r="D2240" i="59"/>
  <c r="D2239" i="59"/>
  <c r="D2238" i="59"/>
  <c r="D2237" i="59"/>
  <c r="D2236" i="59"/>
  <c r="D2220" i="59"/>
  <c r="D2219" i="59"/>
  <c r="D2218" i="59"/>
  <c r="D2217" i="59"/>
  <c r="D2216" i="59"/>
  <c r="D2215" i="59"/>
  <c r="D2214" i="59"/>
  <c r="D2213" i="59"/>
  <c r="D2212" i="59"/>
  <c r="D2211" i="59"/>
  <c r="D2210" i="59"/>
  <c r="D2209" i="59"/>
  <c r="D2208" i="59"/>
  <c r="D2207" i="59"/>
  <c r="D2206" i="59"/>
  <c r="D2205" i="59"/>
  <c r="D2204" i="59"/>
  <c r="D2203" i="59"/>
  <c r="D2202" i="59"/>
  <c r="D2201" i="59"/>
  <c r="D2200" i="59"/>
  <c r="D2199" i="59"/>
  <c r="D2198" i="59"/>
  <c r="D2197" i="59"/>
  <c r="D2196" i="59"/>
  <c r="D2195" i="59"/>
  <c r="D2194" i="59"/>
  <c r="D2193" i="59"/>
  <c r="D2192" i="59"/>
  <c r="D2191" i="59"/>
  <c r="D2190" i="59"/>
  <c r="D2189" i="59"/>
  <c r="D2188" i="59"/>
  <c r="D2187" i="59"/>
  <c r="D2186" i="59"/>
  <c r="D2185" i="59"/>
  <c r="D2184" i="59"/>
  <c r="D2183" i="59"/>
  <c r="D2182" i="59"/>
  <c r="D2181" i="59"/>
  <c r="D2180" i="59"/>
  <c r="D2179" i="59"/>
  <c r="D2178" i="59"/>
  <c r="D2177" i="59"/>
  <c r="D2176" i="59"/>
  <c r="D2175" i="59"/>
  <c r="D2174" i="59"/>
  <c r="D2173" i="59"/>
  <c r="D2172" i="59"/>
  <c r="D2171" i="59"/>
  <c r="D2170" i="59"/>
  <c r="D2169" i="59"/>
  <c r="D2168" i="59"/>
  <c r="D2167" i="59"/>
  <c r="D2166" i="59"/>
  <c r="D2165" i="59"/>
  <c r="D2164" i="59"/>
  <c r="D2163" i="59"/>
  <c r="D2162" i="59"/>
  <c r="D2161" i="59"/>
  <c r="D2160" i="59"/>
  <c r="D2159" i="59"/>
  <c r="D2158" i="59"/>
  <c r="D2157" i="59"/>
  <c r="D2141" i="59"/>
  <c r="D2140" i="59"/>
  <c r="D2139" i="59"/>
  <c r="D2138" i="59"/>
  <c r="D2137" i="59"/>
  <c r="D2136" i="59"/>
  <c r="D2135" i="59"/>
  <c r="D2134" i="59"/>
  <c r="D2133" i="59"/>
  <c r="D2132" i="59"/>
  <c r="D2131" i="59"/>
  <c r="D2130" i="59"/>
  <c r="D2129" i="59"/>
  <c r="D2128" i="59"/>
  <c r="D2127" i="59"/>
  <c r="D2126" i="59"/>
  <c r="D2125" i="59"/>
  <c r="D2124" i="59"/>
  <c r="D2123" i="59"/>
  <c r="D2122" i="59"/>
  <c r="D2121" i="59"/>
  <c r="D2120" i="59"/>
  <c r="D2119" i="59"/>
  <c r="D2118" i="59"/>
  <c r="D2117" i="59"/>
  <c r="D2116" i="59"/>
  <c r="D2115" i="59"/>
  <c r="D2114" i="59"/>
  <c r="D2113" i="59"/>
  <c r="D2112" i="59"/>
  <c r="D2111" i="59"/>
  <c r="D2110" i="59"/>
  <c r="D2109" i="59"/>
  <c r="D2108" i="59"/>
  <c r="D2107" i="59"/>
  <c r="D2106" i="59"/>
  <c r="D2105" i="59"/>
  <c r="D2104" i="59"/>
  <c r="D2103" i="59"/>
  <c r="D2102" i="59"/>
  <c r="D2101" i="59"/>
  <c r="D2100" i="59"/>
  <c r="D2099" i="59"/>
  <c r="D2098" i="59"/>
  <c r="D2097" i="59"/>
  <c r="D2096" i="59"/>
  <c r="D2095" i="59"/>
  <c r="D2094" i="59"/>
  <c r="D2093" i="59"/>
  <c r="D2092" i="59"/>
  <c r="D2091" i="59"/>
  <c r="D2090" i="59"/>
  <c r="D2089" i="59"/>
  <c r="D2088" i="59"/>
  <c r="D2087" i="59"/>
  <c r="D2086" i="59"/>
  <c r="D2085" i="59"/>
  <c r="D2084" i="59"/>
  <c r="D2083" i="59"/>
  <c r="D2082" i="59"/>
  <c r="D2081" i="59"/>
  <c r="D2080" i="59"/>
  <c r="D2079" i="59"/>
  <c r="D2063" i="59"/>
  <c r="D2062" i="59"/>
  <c r="D2061" i="59"/>
  <c r="D2060" i="59"/>
  <c r="D2059" i="59"/>
  <c r="D2058" i="59"/>
  <c r="D2057" i="59"/>
  <c r="D2056" i="59"/>
  <c r="D2055" i="59"/>
  <c r="D2054" i="59"/>
  <c r="D2053" i="59"/>
  <c r="D2052" i="59"/>
  <c r="D2051" i="59"/>
  <c r="D2050" i="59"/>
  <c r="D2049" i="59"/>
  <c r="D2048" i="59"/>
  <c r="D2047" i="59"/>
  <c r="D2046" i="59"/>
  <c r="D2045" i="59"/>
  <c r="D2044" i="59"/>
  <c r="D2043" i="59"/>
  <c r="D2042" i="59"/>
  <c r="D2041" i="59"/>
  <c r="D2040" i="59"/>
  <c r="D2039" i="59"/>
  <c r="D2038" i="59"/>
  <c r="D2037" i="59"/>
  <c r="D2036" i="59"/>
  <c r="D2035" i="59"/>
  <c r="D2034" i="59"/>
  <c r="D2033" i="59"/>
  <c r="D2032" i="59"/>
  <c r="D2031" i="59"/>
  <c r="D2030" i="59"/>
  <c r="D2029" i="59"/>
  <c r="D2028" i="59"/>
  <c r="D2027" i="59"/>
  <c r="D2026" i="59"/>
  <c r="D2025" i="59"/>
  <c r="D2024" i="59"/>
  <c r="D2023" i="59"/>
  <c r="D2022" i="59"/>
  <c r="D2021" i="59"/>
  <c r="D2020" i="59"/>
  <c r="D2019" i="59"/>
  <c r="D2018" i="59"/>
  <c r="D2017" i="59"/>
  <c r="D2016" i="59"/>
  <c r="D2015" i="59"/>
  <c r="D2014" i="59"/>
  <c r="D2013" i="59"/>
  <c r="D2012" i="59"/>
  <c r="D2011" i="59"/>
  <c r="D2010" i="59"/>
  <c r="D2009" i="59"/>
  <c r="D2008" i="59"/>
  <c r="D2007" i="59"/>
  <c r="D2006" i="59"/>
  <c r="D2005" i="59"/>
  <c r="D2004" i="59"/>
  <c r="D2003" i="59"/>
  <c r="D2002" i="59"/>
  <c r="D1986" i="59"/>
  <c r="D1985" i="59"/>
  <c r="D1984" i="59"/>
  <c r="D1983" i="59"/>
  <c r="D1982" i="59"/>
  <c r="D1981" i="59"/>
  <c r="D1980" i="59"/>
  <c r="D1979" i="59"/>
  <c r="D1978" i="59"/>
  <c r="D1977" i="59"/>
  <c r="D1976" i="59"/>
  <c r="D1975" i="59"/>
  <c r="D1974" i="59"/>
  <c r="D1973" i="59"/>
  <c r="D1972" i="59"/>
  <c r="D1971" i="59"/>
  <c r="D1970" i="59"/>
  <c r="D1969" i="59"/>
  <c r="D1968" i="59"/>
  <c r="D1967" i="59"/>
  <c r="D1966" i="59"/>
  <c r="D1965" i="59"/>
  <c r="D1964" i="59"/>
  <c r="D1963" i="59"/>
  <c r="D1962" i="59"/>
  <c r="D1961" i="59"/>
  <c r="D1960" i="59"/>
  <c r="D1959" i="59"/>
  <c r="D1958" i="59"/>
  <c r="D1957" i="59"/>
  <c r="D1956" i="59"/>
  <c r="D1955" i="59"/>
  <c r="D1954" i="59"/>
  <c r="D1953" i="59"/>
  <c r="D1952" i="59"/>
  <c r="D1951" i="59"/>
  <c r="D1950" i="59"/>
  <c r="D1949" i="59"/>
  <c r="D1948" i="59"/>
  <c r="D1947" i="59"/>
  <c r="D1946" i="59"/>
  <c r="D1945" i="59"/>
  <c r="D1944" i="59"/>
  <c r="D1943" i="59"/>
  <c r="D1942" i="59"/>
  <c r="D1941" i="59"/>
  <c r="D1940" i="59"/>
  <c r="D1939" i="59"/>
  <c r="D1938" i="59"/>
  <c r="D1937" i="59"/>
  <c r="D1936" i="59"/>
  <c r="D1935" i="59"/>
  <c r="D1934" i="59"/>
  <c r="D1933" i="59"/>
  <c r="D1932" i="59"/>
  <c r="D1931" i="59"/>
  <c r="D1930" i="59"/>
  <c r="D1929" i="59"/>
  <c r="D1928" i="59"/>
  <c r="D1927" i="59"/>
  <c r="D1926" i="59"/>
  <c r="D1910" i="59"/>
  <c r="D1909" i="59"/>
  <c r="D1908" i="59"/>
  <c r="D1907" i="59"/>
  <c r="D1906" i="59"/>
  <c r="D1905" i="59"/>
  <c r="D1904" i="59"/>
  <c r="D1903" i="59"/>
  <c r="D1902" i="59"/>
  <c r="D1901" i="59"/>
  <c r="D1900" i="59"/>
  <c r="D1899" i="59"/>
  <c r="D1898" i="59"/>
  <c r="D1897" i="59"/>
  <c r="D1896" i="59"/>
  <c r="D1895" i="59"/>
  <c r="D1894" i="59"/>
  <c r="D1893" i="59"/>
  <c r="D1892" i="59"/>
  <c r="D1891" i="59"/>
  <c r="D1890" i="59"/>
  <c r="D1889" i="59"/>
  <c r="D1888" i="59"/>
  <c r="D1887" i="59"/>
  <c r="D1886" i="59"/>
  <c r="D1885" i="59"/>
  <c r="D1884" i="59"/>
  <c r="D1883" i="59"/>
  <c r="D1882" i="59"/>
  <c r="D1881" i="59"/>
  <c r="D1880" i="59"/>
  <c r="D1879" i="59"/>
  <c r="D1878" i="59"/>
  <c r="D1877" i="59"/>
  <c r="D1876" i="59"/>
  <c r="D1875" i="59"/>
  <c r="D1874" i="59"/>
  <c r="D1873" i="59"/>
  <c r="D1872" i="59"/>
  <c r="D1871" i="59"/>
  <c r="D1870" i="59"/>
  <c r="D1869" i="59"/>
  <c r="D1868" i="59"/>
  <c r="D1867" i="59"/>
  <c r="D1866" i="59"/>
  <c r="D1865" i="59"/>
  <c r="D1864" i="59"/>
  <c r="D1863" i="59"/>
  <c r="D1862" i="59"/>
  <c r="D1861" i="59"/>
  <c r="D1860" i="59"/>
  <c r="D1859" i="59"/>
  <c r="D1858" i="59"/>
  <c r="D1857" i="59"/>
  <c r="D1856" i="59"/>
  <c r="D1855" i="59"/>
  <c r="D1854" i="59"/>
  <c r="D1853" i="59"/>
  <c r="D1852" i="59"/>
  <c r="D1851" i="59"/>
  <c r="D1835" i="59"/>
  <c r="D1834" i="59"/>
  <c r="D1833" i="59"/>
  <c r="D1832" i="59"/>
  <c r="D1831" i="59"/>
  <c r="D1830" i="59"/>
  <c r="D1829" i="59"/>
  <c r="D1828" i="59"/>
  <c r="D1827" i="59"/>
  <c r="D1826" i="59"/>
  <c r="D1825" i="59"/>
  <c r="D1824" i="59"/>
  <c r="D1823" i="59"/>
  <c r="D1822" i="59"/>
  <c r="D1821" i="59"/>
  <c r="D1820" i="59"/>
  <c r="D1819" i="59"/>
  <c r="D1818" i="59"/>
  <c r="D1817" i="59"/>
  <c r="D1816" i="59"/>
  <c r="D1815" i="59"/>
  <c r="D1814" i="59"/>
  <c r="D1813" i="59"/>
  <c r="D1812" i="59"/>
  <c r="D1811" i="59"/>
  <c r="D1810" i="59"/>
  <c r="D1809" i="59"/>
  <c r="D1808" i="59"/>
  <c r="D1807" i="59"/>
  <c r="D1806" i="59"/>
  <c r="D1805" i="59"/>
  <c r="D1804" i="59"/>
  <c r="D1803" i="59"/>
  <c r="D1802" i="59"/>
  <c r="D1801" i="59"/>
  <c r="D1800" i="59"/>
  <c r="D1799" i="59"/>
  <c r="D1798" i="59"/>
  <c r="D1797" i="59"/>
  <c r="D1796" i="59"/>
  <c r="D1795" i="59"/>
  <c r="D1794" i="59"/>
  <c r="D1793" i="59"/>
  <c r="D1792" i="59"/>
  <c r="D1791" i="59"/>
  <c r="D1790" i="59"/>
  <c r="D1789" i="59"/>
  <c r="D1788" i="59"/>
  <c r="D1787" i="59"/>
  <c r="D1786" i="59"/>
  <c r="D1785" i="59"/>
  <c r="D1784" i="59"/>
  <c r="D1783" i="59"/>
  <c r="D1782" i="59"/>
  <c r="D1781" i="59"/>
  <c r="D1780" i="59"/>
  <c r="D1779" i="59"/>
  <c r="D1778" i="59"/>
  <c r="D1777" i="59"/>
  <c r="D1761" i="59"/>
  <c r="D1760" i="59"/>
  <c r="D1759" i="59"/>
  <c r="D1758" i="59"/>
  <c r="D1757" i="59"/>
  <c r="D1756" i="59"/>
  <c r="D1755" i="59"/>
  <c r="D1754" i="59"/>
  <c r="D1753" i="59"/>
  <c r="D1752" i="59"/>
  <c r="D1751" i="59"/>
  <c r="D1750" i="59"/>
  <c r="D1749" i="59"/>
  <c r="D1748" i="59"/>
  <c r="D1747" i="59"/>
  <c r="D1746" i="59"/>
  <c r="D1745" i="59"/>
  <c r="D1744" i="59"/>
  <c r="D1743" i="59"/>
  <c r="D1742" i="59"/>
  <c r="D1741" i="59"/>
  <c r="D1740" i="59"/>
  <c r="D1739" i="59"/>
  <c r="D1738" i="59"/>
  <c r="D1737" i="59"/>
  <c r="D1736" i="59"/>
  <c r="D1735" i="59"/>
  <c r="D1734" i="59"/>
  <c r="D1733" i="59"/>
  <c r="D1732" i="59"/>
  <c r="D1731" i="59"/>
  <c r="D1730" i="59"/>
  <c r="D1729" i="59"/>
  <c r="D1728" i="59"/>
  <c r="D1727" i="59"/>
  <c r="D1726" i="59"/>
  <c r="D1725" i="59"/>
  <c r="D1724" i="59"/>
  <c r="D1723" i="59"/>
  <c r="D1722" i="59"/>
  <c r="D1721" i="59"/>
  <c r="D1720" i="59"/>
  <c r="D1719" i="59"/>
  <c r="D1718" i="59"/>
  <c r="D1717" i="59"/>
  <c r="D1716" i="59"/>
  <c r="D1715" i="59"/>
  <c r="D1714" i="59"/>
  <c r="D1713" i="59"/>
  <c r="D1712" i="59"/>
  <c r="D1711" i="59"/>
  <c r="D1710" i="59"/>
  <c r="D1709" i="59"/>
  <c r="D1708" i="59"/>
  <c r="D1707" i="59"/>
  <c r="D1706" i="59"/>
  <c r="D1705" i="59"/>
  <c r="D1704" i="59"/>
  <c r="D1688" i="59"/>
  <c r="D1687" i="59"/>
  <c r="D1686" i="59"/>
  <c r="D1685" i="59"/>
  <c r="D1684" i="59"/>
  <c r="D1683" i="59"/>
  <c r="D1682" i="59"/>
  <c r="D1681" i="59"/>
  <c r="D1680" i="59"/>
  <c r="D1679" i="59"/>
  <c r="D1678" i="59"/>
  <c r="D1677" i="59"/>
  <c r="D1676" i="59"/>
  <c r="D1675" i="59"/>
  <c r="D1674" i="59"/>
  <c r="D1673" i="59"/>
  <c r="D1672" i="59"/>
  <c r="D1671" i="59"/>
  <c r="D1670" i="59"/>
  <c r="D1669" i="59"/>
  <c r="D1668" i="59"/>
  <c r="D1667" i="59"/>
  <c r="D1666" i="59"/>
  <c r="D1665" i="59"/>
  <c r="D1664" i="59"/>
  <c r="D1663" i="59"/>
  <c r="D1662" i="59"/>
  <c r="D1661" i="59"/>
  <c r="D1660" i="59"/>
  <c r="D1659" i="59"/>
  <c r="D1658" i="59"/>
  <c r="D1657" i="59"/>
  <c r="D1656" i="59"/>
  <c r="D1655" i="59"/>
  <c r="D1654" i="59"/>
  <c r="D1653" i="59"/>
  <c r="D1652" i="59"/>
  <c r="D1651" i="59"/>
  <c r="D1650" i="59"/>
  <c r="D1649" i="59"/>
  <c r="D1648" i="59"/>
  <c r="D1647" i="59"/>
  <c r="D1646" i="59"/>
  <c r="D1645" i="59"/>
  <c r="D1644" i="59"/>
  <c r="D1643" i="59"/>
  <c r="D1642" i="59"/>
  <c r="D1641" i="59"/>
  <c r="D1640" i="59"/>
  <c r="D1639" i="59"/>
  <c r="D1638" i="59"/>
  <c r="D1637" i="59"/>
  <c r="D1636" i="59"/>
  <c r="D1635" i="59"/>
  <c r="D1634" i="59"/>
  <c r="D1633" i="59"/>
  <c r="D1632" i="59"/>
  <c r="D1616" i="59"/>
  <c r="D1615" i="59"/>
  <c r="D1614" i="59"/>
  <c r="D1613" i="59"/>
  <c r="D1612" i="59"/>
  <c r="D1611" i="59"/>
  <c r="D1610" i="59"/>
  <c r="D1609" i="59"/>
  <c r="D1608" i="59"/>
  <c r="D1607" i="59"/>
  <c r="D1606" i="59"/>
  <c r="D1605" i="59"/>
  <c r="D1604" i="59"/>
  <c r="D1603" i="59"/>
  <c r="D1602" i="59"/>
  <c r="D1601" i="59"/>
  <c r="D1600" i="59"/>
  <c r="D1599" i="59"/>
  <c r="D1598" i="59"/>
  <c r="D1597" i="59"/>
  <c r="D1596" i="59"/>
  <c r="D1595" i="59"/>
  <c r="D1594" i="59"/>
  <c r="D1593" i="59"/>
  <c r="D1592" i="59"/>
  <c r="D1591" i="59"/>
  <c r="D1590" i="59"/>
  <c r="D1589" i="59"/>
  <c r="D1588" i="59"/>
  <c r="D1587" i="59"/>
  <c r="D1586" i="59"/>
  <c r="D1585" i="59"/>
  <c r="D1584" i="59"/>
  <c r="D1583" i="59"/>
  <c r="D1582" i="59"/>
  <c r="D1581" i="59"/>
  <c r="D1580" i="59"/>
  <c r="D1579" i="59"/>
  <c r="D1578" i="59"/>
  <c r="D1577" i="59"/>
  <c r="D1576" i="59"/>
  <c r="D1575" i="59"/>
  <c r="D1574" i="59"/>
  <c r="D1573" i="59"/>
  <c r="D1572" i="59"/>
  <c r="D1571" i="59"/>
  <c r="D1570" i="59"/>
  <c r="D1569" i="59"/>
  <c r="D1568" i="59"/>
  <c r="D1567" i="59"/>
  <c r="D1566" i="59"/>
  <c r="D1565" i="59"/>
  <c r="D1564" i="59"/>
  <c r="D1563" i="59"/>
  <c r="D1562" i="59"/>
  <c r="D1561" i="59"/>
  <c r="D1491" i="59"/>
  <c r="D1492" i="59"/>
  <c r="D1493" i="59"/>
  <c r="D1494" i="59"/>
  <c r="D1495" i="59"/>
  <c r="D1496" i="59"/>
  <c r="D1497" i="59"/>
  <c r="D1498" i="59"/>
  <c r="D1499" i="59"/>
  <c r="D1500" i="59"/>
  <c r="D1501" i="59"/>
  <c r="D1502" i="59"/>
  <c r="D1503" i="59"/>
  <c r="D1504" i="59"/>
  <c r="D1505" i="59"/>
  <c r="D1506" i="59"/>
  <c r="D1507" i="59"/>
  <c r="D1508" i="59"/>
  <c r="D1509" i="59"/>
  <c r="D1510" i="59"/>
  <c r="D1511" i="59"/>
  <c r="D1512" i="59"/>
  <c r="D1513" i="59"/>
  <c r="D1514" i="59"/>
  <c r="D1515" i="59"/>
  <c r="D1516" i="59"/>
  <c r="D1517" i="59"/>
  <c r="D1518" i="59"/>
  <c r="D1519" i="59"/>
  <c r="D1520" i="59"/>
  <c r="D1521" i="59"/>
  <c r="D1522" i="59"/>
  <c r="D1523" i="59"/>
  <c r="D1524" i="59"/>
  <c r="D1525" i="59"/>
  <c r="D1526" i="59"/>
  <c r="D1527" i="59"/>
  <c r="D1528" i="59"/>
  <c r="D1529" i="59"/>
  <c r="D1530" i="59"/>
  <c r="D1531" i="59"/>
  <c r="D1532" i="59"/>
  <c r="D1533" i="59"/>
  <c r="D1534" i="59"/>
  <c r="D1535" i="59"/>
  <c r="D1536" i="59"/>
  <c r="D1537" i="59"/>
  <c r="D1538" i="59"/>
  <c r="D1539" i="59"/>
  <c r="D1540" i="59"/>
  <c r="D1541" i="59"/>
  <c r="D1542" i="59"/>
  <c r="D1543" i="59"/>
  <c r="D1544" i="59"/>
  <c r="D1545" i="59"/>
  <c r="D1475" i="59"/>
  <c r="D1474" i="59"/>
  <c r="D1473" i="59"/>
  <c r="D1472" i="59"/>
  <c r="D1471" i="59"/>
  <c r="D1470" i="59"/>
  <c r="D1469" i="59"/>
  <c r="D1468" i="59"/>
  <c r="D1467" i="59"/>
  <c r="D1466" i="59"/>
  <c r="D1465" i="59"/>
  <c r="D1464" i="59"/>
  <c r="D1463" i="59"/>
  <c r="D1462" i="59"/>
  <c r="D1461" i="59"/>
  <c r="D1460" i="59"/>
  <c r="D1459" i="59"/>
  <c r="D1458" i="59"/>
  <c r="D1457" i="59"/>
  <c r="D1456" i="59"/>
  <c r="D1455" i="59"/>
  <c r="D1454" i="59"/>
  <c r="D1453" i="59"/>
  <c r="D1452" i="59"/>
  <c r="D1451" i="59"/>
  <c r="D1450" i="59"/>
  <c r="D1449" i="59"/>
  <c r="D1448" i="59"/>
  <c r="D1447" i="59"/>
  <c r="D1446" i="59"/>
  <c r="D1445" i="59"/>
  <c r="D1444" i="59"/>
  <c r="D1443" i="59"/>
  <c r="D1442" i="59"/>
  <c r="D1441" i="59"/>
  <c r="D1440" i="59"/>
  <c r="D1439" i="59"/>
  <c r="D1438" i="59"/>
  <c r="D1437" i="59"/>
  <c r="D1436" i="59"/>
  <c r="D1435" i="59"/>
  <c r="D1434" i="59"/>
  <c r="D1433" i="59"/>
  <c r="D1432" i="59"/>
  <c r="D1431" i="59"/>
  <c r="D1430" i="59"/>
  <c r="D1429" i="59"/>
  <c r="D1428" i="59"/>
  <c r="D1427" i="59"/>
  <c r="D1426" i="59"/>
  <c r="D1425" i="59"/>
  <c r="D1424" i="59"/>
  <c r="D1423" i="59"/>
  <c r="D1422" i="59"/>
  <c r="D1406" i="59"/>
  <c r="D1405" i="59"/>
  <c r="D1404" i="59"/>
  <c r="D1403" i="59"/>
  <c r="D1402" i="59"/>
  <c r="D1401" i="59"/>
  <c r="D1400" i="59"/>
  <c r="D1399" i="59"/>
  <c r="D1398" i="59"/>
  <c r="D1397" i="59"/>
  <c r="D1396" i="59"/>
  <c r="D1395" i="59"/>
  <c r="D1394" i="59"/>
  <c r="D1393" i="59"/>
  <c r="D1392" i="59"/>
  <c r="D1391" i="59"/>
  <c r="D1390" i="59"/>
  <c r="D1389" i="59"/>
  <c r="D1388" i="59"/>
  <c r="D1387" i="59"/>
  <c r="D1386" i="59"/>
  <c r="D1385" i="59"/>
  <c r="D1384" i="59"/>
  <c r="D1383" i="59"/>
  <c r="D1382" i="59"/>
  <c r="D1381" i="59"/>
  <c r="D1380" i="59"/>
  <c r="D1379" i="59"/>
  <c r="D1378" i="59"/>
  <c r="D1377" i="59"/>
  <c r="D1376" i="59"/>
  <c r="D1375" i="59"/>
  <c r="D1374" i="59"/>
  <c r="D1373" i="59"/>
  <c r="D1372" i="59"/>
  <c r="D1371" i="59"/>
  <c r="D1370" i="59"/>
  <c r="D1369" i="59"/>
  <c r="D1368" i="59"/>
  <c r="D1367" i="59"/>
  <c r="D1366" i="59"/>
  <c r="D1365" i="59"/>
  <c r="D1364" i="59"/>
  <c r="D1363" i="59"/>
  <c r="D1362" i="59"/>
  <c r="D1361" i="59"/>
  <c r="D1360" i="59"/>
  <c r="D1359" i="59"/>
  <c r="D1358" i="59"/>
  <c r="D1357" i="59"/>
  <c r="D1356" i="59"/>
  <c r="D1355" i="59"/>
  <c r="D1354" i="59"/>
  <c r="D1338" i="59"/>
  <c r="D1337" i="59"/>
  <c r="D1336" i="59"/>
  <c r="D1335" i="59"/>
  <c r="D1334" i="59"/>
  <c r="D1333" i="59"/>
  <c r="D1332" i="59"/>
  <c r="D1331" i="59"/>
  <c r="D1330" i="59"/>
  <c r="D1329" i="59"/>
  <c r="D1328" i="59"/>
  <c r="D1327" i="59"/>
  <c r="D1326" i="59"/>
  <c r="D1325" i="59"/>
  <c r="D1324" i="59"/>
  <c r="D1323" i="59"/>
  <c r="D1322" i="59"/>
  <c r="D1321" i="59"/>
  <c r="D1320" i="59"/>
  <c r="D1319" i="59"/>
  <c r="D1318" i="59"/>
  <c r="D1317" i="59"/>
  <c r="D1316" i="59"/>
  <c r="D1315" i="59"/>
  <c r="D1314" i="59"/>
  <c r="D1313" i="59"/>
  <c r="D1312" i="59"/>
  <c r="D1311" i="59"/>
  <c r="D1310" i="59"/>
  <c r="D1309" i="59"/>
  <c r="D1308" i="59"/>
  <c r="D1307" i="59"/>
  <c r="D1306" i="59"/>
  <c r="D1305" i="59"/>
  <c r="D1304" i="59"/>
  <c r="D1303" i="59"/>
  <c r="D1302" i="59"/>
  <c r="D1301" i="59"/>
  <c r="D1300" i="59"/>
  <c r="D1299" i="59"/>
  <c r="D1298" i="59"/>
  <c r="D1297" i="59"/>
  <c r="D1296" i="59"/>
  <c r="D1295" i="59"/>
  <c r="D1294" i="59"/>
  <c r="D1293" i="59"/>
  <c r="D1292" i="59"/>
  <c r="D1291" i="59"/>
  <c r="D1290" i="59"/>
  <c r="D1289" i="59"/>
  <c r="D1288" i="59"/>
  <c r="D1287" i="59"/>
  <c r="D1271" i="59"/>
  <c r="D1270" i="59"/>
  <c r="D1269" i="59"/>
  <c r="D1268" i="59"/>
  <c r="D1267" i="59"/>
  <c r="D1266" i="59"/>
  <c r="D1265" i="59"/>
  <c r="D1264" i="59"/>
  <c r="D1263" i="59"/>
  <c r="D1262" i="59"/>
  <c r="D1261" i="59"/>
  <c r="D1260" i="59"/>
  <c r="D1259" i="59"/>
  <c r="D1258" i="59"/>
  <c r="D1257" i="59"/>
  <c r="D1256" i="59"/>
  <c r="D1255" i="59"/>
  <c r="D1254" i="59"/>
  <c r="D1253" i="59"/>
  <c r="D1252" i="59"/>
  <c r="D1251" i="59"/>
  <c r="D1250" i="59"/>
  <c r="D1249" i="59"/>
  <c r="D1248" i="59"/>
  <c r="D1247" i="59"/>
  <c r="D1246" i="59"/>
  <c r="D1245" i="59"/>
  <c r="D1244" i="59"/>
  <c r="D1243" i="59"/>
  <c r="D1242" i="59"/>
  <c r="D1241" i="59"/>
  <c r="D1240" i="59"/>
  <c r="D1239" i="59"/>
  <c r="D1238" i="59"/>
  <c r="D1237" i="59"/>
  <c r="D1236" i="59"/>
  <c r="D1235" i="59"/>
  <c r="D1234" i="59"/>
  <c r="D1233" i="59"/>
  <c r="D1232" i="59"/>
  <c r="D1231" i="59"/>
  <c r="D1230" i="59"/>
  <c r="D1229" i="59"/>
  <c r="D1228" i="59"/>
  <c r="D1227" i="59"/>
  <c r="D1226" i="59"/>
  <c r="D1225" i="59"/>
  <c r="D1224" i="59"/>
  <c r="D1223" i="59"/>
  <c r="D1222" i="59"/>
  <c r="D1221" i="59"/>
  <c r="D1154" i="59"/>
  <c r="D1155" i="59"/>
  <c r="D1156" i="59"/>
  <c r="D1157" i="59"/>
  <c r="D1158" i="59"/>
  <c r="D1159" i="59"/>
  <c r="D1160" i="59"/>
  <c r="D1161" i="59"/>
  <c r="D1162" i="59"/>
  <c r="D1163" i="59"/>
  <c r="D1164" i="59"/>
  <c r="D1165" i="59"/>
  <c r="D1166" i="59"/>
  <c r="D1167" i="59"/>
  <c r="D1168" i="59"/>
  <c r="D1169" i="59"/>
  <c r="D1170" i="59"/>
  <c r="D1171" i="59"/>
  <c r="D1172" i="59"/>
  <c r="D1173" i="59"/>
  <c r="D1174" i="59"/>
  <c r="D1175" i="59"/>
  <c r="D1176" i="59"/>
  <c r="D1177" i="59"/>
  <c r="D1178" i="59"/>
  <c r="D1179" i="59"/>
  <c r="D1180" i="59"/>
  <c r="D1181" i="59"/>
  <c r="D1182" i="59"/>
  <c r="D1183" i="59"/>
  <c r="D1184" i="59"/>
  <c r="D1185" i="59"/>
  <c r="D1186" i="59"/>
  <c r="D1187" i="59"/>
  <c r="D1188" i="59"/>
  <c r="D1189" i="59"/>
  <c r="D1190" i="59"/>
  <c r="D1191" i="59"/>
  <c r="D1192" i="59"/>
  <c r="D1193" i="59"/>
  <c r="D1194" i="59"/>
  <c r="D1195" i="59"/>
  <c r="D1196" i="59"/>
  <c r="D1197" i="59"/>
  <c r="D1198" i="59"/>
  <c r="D1199" i="59"/>
  <c r="D1200" i="59"/>
  <c r="D1201" i="59"/>
  <c r="D1202" i="59"/>
  <c r="D1203" i="59"/>
  <c r="D1204" i="59"/>
  <c r="D1205" i="59"/>
  <c r="D1089" i="59"/>
  <c r="D1090" i="59"/>
  <c r="D1091" i="59"/>
  <c r="D1092" i="59"/>
  <c r="D1093" i="59"/>
  <c r="D1094" i="59"/>
  <c r="D1095" i="59"/>
  <c r="D1096" i="59"/>
  <c r="D1097" i="59"/>
  <c r="D1098" i="59"/>
  <c r="D1099" i="59"/>
  <c r="D1100" i="59"/>
  <c r="D1101" i="59"/>
  <c r="D1102" i="59"/>
  <c r="D1103" i="59"/>
  <c r="D1104" i="59"/>
  <c r="D1105" i="59"/>
  <c r="D1106" i="59"/>
  <c r="D1107" i="59"/>
  <c r="D1108" i="59"/>
  <c r="D1109" i="59"/>
  <c r="D1110" i="59"/>
  <c r="D1111" i="59"/>
  <c r="D1112" i="59"/>
  <c r="D1113" i="59"/>
  <c r="D1114" i="59"/>
  <c r="D1115" i="59"/>
  <c r="D1116" i="59"/>
  <c r="D1117" i="59"/>
  <c r="D1118" i="59"/>
  <c r="D1119" i="59"/>
  <c r="D1120" i="59"/>
  <c r="D1121" i="59"/>
  <c r="D1122" i="59"/>
  <c r="D1123" i="59"/>
  <c r="D1124" i="59"/>
  <c r="D1125" i="59"/>
  <c r="D1126" i="59"/>
  <c r="D1127" i="59"/>
  <c r="D1128" i="59"/>
  <c r="D1129" i="59"/>
  <c r="D1130" i="59"/>
  <c r="D1131" i="59"/>
  <c r="D1132" i="59"/>
  <c r="D1133" i="59"/>
  <c r="D1134" i="59"/>
  <c r="D1135" i="59"/>
  <c r="D1136" i="59"/>
  <c r="D1137" i="59"/>
  <c r="D1138" i="59"/>
  <c r="D1139" i="59"/>
  <c r="D1140" i="59"/>
  <c r="D1029" i="59"/>
  <c r="D1030" i="59"/>
  <c r="D1031" i="59"/>
  <c r="D1032" i="59"/>
  <c r="D1033" i="59"/>
  <c r="D1034" i="59"/>
  <c r="D1035" i="59"/>
  <c r="D1036" i="59"/>
  <c r="D1037" i="59"/>
  <c r="D1038" i="59"/>
  <c r="D1039" i="59"/>
  <c r="D1040" i="59"/>
  <c r="D1041" i="59"/>
  <c r="D1042" i="59"/>
  <c r="D1043" i="59"/>
  <c r="D1044" i="59"/>
  <c r="D1045" i="59"/>
  <c r="D1046" i="59"/>
  <c r="D1047" i="59"/>
  <c r="D1048" i="59"/>
  <c r="D1049" i="59"/>
  <c r="D1050" i="59"/>
  <c r="D1051" i="59"/>
  <c r="D1052" i="59"/>
  <c r="D1053" i="59"/>
  <c r="D1054" i="59"/>
  <c r="D1055" i="59"/>
  <c r="D1056" i="59"/>
  <c r="D1057" i="59"/>
  <c r="D1058" i="59"/>
  <c r="D1059" i="59"/>
  <c r="D1060" i="59"/>
  <c r="D1061" i="59"/>
  <c r="D1062" i="59"/>
  <c r="D1063" i="59"/>
  <c r="D1064" i="59"/>
  <c r="D1065" i="59"/>
  <c r="D1066" i="59"/>
  <c r="D1067" i="59"/>
  <c r="D1068" i="59"/>
  <c r="D1069" i="59"/>
  <c r="D1070" i="59"/>
  <c r="D1071" i="59"/>
  <c r="D1072" i="59"/>
  <c r="D1073" i="59"/>
  <c r="D1074" i="59"/>
  <c r="D1075" i="59"/>
  <c r="D1076" i="59"/>
  <c r="D967" i="59"/>
  <c r="D968" i="59"/>
  <c r="D969" i="59"/>
  <c r="D970" i="59"/>
  <c r="D971" i="59"/>
  <c r="D972" i="59"/>
  <c r="D973" i="59"/>
  <c r="D974" i="59"/>
  <c r="D975" i="59"/>
  <c r="D976" i="59"/>
  <c r="D977" i="59"/>
  <c r="D978" i="59"/>
  <c r="D979" i="59"/>
  <c r="D980" i="59"/>
  <c r="D981" i="59"/>
  <c r="D982" i="59"/>
  <c r="D983" i="59"/>
  <c r="D984" i="59"/>
  <c r="D985" i="59"/>
  <c r="D986" i="59"/>
  <c r="D987" i="59"/>
  <c r="D988" i="59"/>
  <c r="D989" i="59"/>
  <c r="D990" i="59"/>
  <c r="D991" i="59"/>
  <c r="D992" i="59"/>
  <c r="D993" i="59"/>
  <c r="D994" i="59"/>
  <c r="D995" i="59"/>
  <c r="D996" i="59"/>
  <c r="D997" i="59"/>
  <c r="D998" i="59"/>
  <c r="D999" i="59"/>
  <c r="D1000" i="59"/>
  <c r="D1001" i="59"/>
  <c r="D1002" i="59"/>
  <c r="D1003" i="59"/>
  <c r="D1004" i="59"/>
  <c r="D1005" i="59"/>
  <c r="D1006" i="59"/>
  <c r="D1007" i="59"/>
  <c r="D1008" i="59"/>
  <c r="D1009" i="59"/>
  <c r="D1010" i="59"/>
  <c r="D1011" i="59"/>
  <c r="D1012" i="59"/>
  <c r="D1013" i="59"/>
  <c r="D906" i="59"/>
  <c r="D907" i="59"/>
  <c r="D908" i="59"/>
  <c r="D909" i="59"/>
  <c r="D910" i="59"/>
  <c r="D911" i="59"/>
  <c r="D912" i="59"/>
  <c r="D913" i="59"/>
  <c r="D914" i="59"/>
  <c r="D915" i="59"/>
  <c r="D916" i="59"/>
  <c r="D917" i="59"/>
  <c r="D918" i="59"/>
  <c r="D919" i="59"/>
  <c r="D920" i="59"/>
  <c r="D921" i="59"/>
  <c r="D922" i="59"/>
  <c r="D923" i="59"/>
  <c r="D924" i="59"/>
  <c r="D925" i="59"/>
  <c r="D926" i="59"/>
  <c r="D927" i="59"/>
  <c r="D928" i="59"/>
  <c r="D929" i="59"/>
  <c r="D930" i="59"/>
  <c r="D931" i="59"/>
  <c r="D932" i="59"/>
  <c r="D933" i="59"/>
  <c r="D934" i="59"/>
  <c r="D935" i="59"/>
  <c r="D936" i="59"/>
  <c r="D937" i="59"/>
  <c r="D938" i="59"/>
  <c r="D939" i="59"/>
  <c r="D940" i="59"/>
  <c r="D941" i="59"/>
  <c r="D942" i="59"/>
  <c r="D943" i="59"/>
  <c r="D944" i="59"/>
  <c r="D945" i="59"/>
  <c r="D946" i="59"/>
  <c r="D947" i="59"/>
  <c r="D948" i="59"/>
  <c r="D949" i="59"/>
  <c r="D950" i="59"/>
  <c r="D951" i="59"/>
  <c r="D846" i="59"/>
  <c r="D847" i="59"/>
  <c r="D848" i="59"/>
  <c r="D849" i="59"/>
  <c r="D850" i="59"/>
  <c r="D851" i="59"/>
  <c r="D852" i="59"/>
  <c r="D853" i="59"/>
  <c r="D854" i="59"/>
  <c r="D855" i="59"/>
  <c r="D856" i="59"/>
  <c r="D857" i="59"/>
  <c r="D858" i="59"/>
  <c r="D859" i="59"/>
  <c r="D860" i="59"/>
  <c r="D861" i="59"/>
  <c r="D862" i="59"/>
  <c r="D863" i="59"/>
  <c r="D864" i="59"/>
  <c r="D865" i="59"/>
  <c r="D866" i="59"/>
  <c r="D867" i="59"/>
  <c r="D868" i="59"/>
  <c r="D869" i="59"/>
  <c r="D870" i="59"/>
  <c r="D871" i="59"/>
  <c r="D872" i="59"/>
  <c r="D873" i="59"/>
  <c r="D874" i="59"/>
  <c r="D875" i="59"/>
  <c r="D876" i="59"/>
  <c r="D877" i="59"/>
  <c r="D878" i="59"/>
  <c r="D879" i="59"/>
  <c r="D880" i="59"/>
  <c r="D881" i="59"/>
  <c r="D882" i="59"/>
  <c r="D883" i="59"/>
  <c r="D884" i="59"/>
  <c r="D885" i="59"/>
  <c r="D886" i="59"/>
  <c r="D887" i="59"/>
  <c r="D888" i="59"/>
  <c r="D889" i="59"/>
  <c r="D890" i="59"/>
  <c r="D787" i="59"/>
  <c r="D788" i="59"/>
  <c r="D789" i="59"/>
  <c r="D790" i="59"/>
  <c r="D791" i="59"/>
  <c r="D792" i="59"/>
  <c r="D793" i="59"/>
  <c r="D794" i="59"/>
  <c r="D795" i="59"/>
  <c r="D796" i="59"/>
  <c r="D797" i="59"/>
  <c r="D798" i="59"/>
  <c r="D799" i="59"/>
  <c r="D800" i="59"/>
  <c r="D801" i="59"/>
  <c r="D802" i="59"/>
  <c r="D803" i="59"/>
  <c r="D804" i="59"/>
  <c r="D805" i="59"/>
  <c r="D806" i="59"/>
  <c r="D807" i="59"/>
  <c r="D808" i="59"/>
  <c r="D809" i="59"/>
  <c r="D810" i="59"/>
  <c r="D811" i="59"/>
  <c r="D812" i="59"/>
  <c r="D813" i="59"/>
  <c r="D814" i="59"/>
  <c r="D815" i="59"/>
  <c r="D816" i="59"/>
  <c r="D817" i="59"/>
  <c r="D818" i="59"/>
  <c r="D819" i="59"/>
  <c r="D820" i="59"/>
  <c r="D821" i="59"/>
  <c r="D822" i="59"/>
  <c r="D823" i="59"/>
  <c r="D824" i="59"/>
  <c r="D825" i="59"/>
  <c r="D826" i="59"/>
  <c r="D827" i="59"/>
  <c r="D828" i="59"/>
  <c r="D829" i="59"/>
  <c r="D830" i="59"/>
  <c r="D729" i="59"/>
  <c r="D730" i="59"/>
  <c r="D731" i="59"/>
  <c r="D732" i="59"/>
  <c r="D733" i="59"/>
  <c r="D734" i="59"/>
  <c r="D735" i="59"/>
  <c r="D736" i="59"/>
  <c r="D737" i="59"/>
  <c r="D738" i="59"/>
  <c r="D739" i="59"/>
  <c r="D740" i="59"/>
  <c r="D741" i="59"/>
  <c r="D742" i="59"/>
  <c r="D743" i="59"/>
  <c r="D744" i="59"/>
  <c r="D745" i="59"/>
  <c r="D746" i="59"/>
  <c r="D747" i="59"/>
  <c r="D748" i="59"/>
  <c r="D749" i="59"/>
  <c r="D750" i="59"/>
  <c r="D751" i="59"/>
  <c r="D752" i="59"/>
  <c r="D753" i="59"/>
  <c r="D754" i="59"/>
  <c r="D755" i="59"/>
  <c r="D756" i="59"/>
  <c r="D757" i="59"/>
  <c r="D758" i="59"/>
  <c r="D759" i="59"/>
  <c r="D760" i="59"/>
  <c r="D761" i="59"/>
  <c r="D762" i="59"/>
  <c r="D763" i="59"/>
  <c r="D764" i="59"/>
  <c r="D765" i="59"/>
  <c r="D766" i="59"/>
  <c r="D767" i="59"/>
  <c r="D768" i="59"/>
  <c r="D769" i="59"/>
  <c r="D770" i="59"/>
  <c r="D771" i="59"/>
  <c r="D672" i="59"/>
  <c r="D673" i="59"/>
  <c r="D674" i="59"/>
  <c r="D675" i="59"/>
  <c r="D676" i="59"/>
  <c r="D677" i="59"/>
  <c r="D678" i="59"/>
  <c r="D679" i="59"/>
  <c r="D680" i="59"/>
  <c r="D681" i="59"/>
  <c r="D682" i="59"/>
  <c r="D683" i="59"/>
  <c r="D684" i="59"/>
  <c r="D685" i="59"/>
  <c r="D686" i="59"/>
  <c r="D687" i="59"/>
  <c r="D688" i="59"/>
  <c r="D689" i="59"/>
  <c r="D690" i="59"/>
  <c r="D691" i="59"/>
  <c r="D692" i="59"/>
  <c r="D693" i="59"/>
  <c r="D694" i="59"/>
  <c r="D695" i="59"/>
  <c r="D696" i="59"/>
  <c r="D697" i="59"/>
  <c r="D698" i="59"/>
  <c r="D699" i="59"/>
  <c r="D700" i="59"/>
  <c r="D701" i="59"/>
  <c r="D702" i="59"/>
  <c r="D703" i="59"/>
  <c r="D704" i="59"/>
  <c r="D705" i="59"/>
  <c r="D706" i="59"/>
  <c r="D707" i="59"/>
  <c r="D708" i="59"/>
  <c r="D709" i="59"/>
  <c r="D710" i="59"/>
  <c r="D711" i="59"/>
  <c r="D712" i="59"/>
  <c r="D713" i="59"/>
  <c r="D616" i="59"/>
  <c r="D617" i="59"/>
  <c r="D618" i="59"/>
  <c r="D619" i="59"/>
  <c r="D620" i="59"/>
  <c r="D621" i="59"/>
  <c r="D622" i="59"/>
  <c r="D623" i="59"/>
  <c r="D624" i="59"/>
  <c r="D625" i="59"/>
  <c r="D626" i="59"/>
  <c r="D627" i="59"/>
  <c r="D628" i="59"/>
  <c r="D629" i="59"/>
  <c r="D630" i="59"/>
  <c r="D631" i="59"/>
  <c r="D632" i="59"/>
  <c r="D633" i="59"/>
  <c r="D634" i="59"/>
  <c r="D635" i="59"/>
  <c r="D636" i="59"/>
  <c r="D637" i="59"/>
  <c r="D638" i="59"/>
  <c r="D639" i="59"/>
  <c r="D640" i="59"/>
  <c r="D641" i="59"/>
  <c r="D642" i="59"/>
  <c r="D643" i="59"/>
  <c r="D644" i="59"/>
  <c r="D645" i="59"/>
  <c r="D646" i="59"/>
  <c r="D647" i="59"/>
  <c r="D648" i="59"/>
  <c r="D649" i="59"/>
  <c r="D650" i="59"/>
  <c r="D651" i="59"/>
  <c r="D652" i="59"/>
  <c r="D653" i="59"/>
  <c r="D654" i="59"/>
  <c r="D655" i="59"/>
  <c r="D656" i="59"/>
  <c r="D561" i="59"/>
  <c r="D562" i="59"/>
  <c r="D563" i="59"/>
  <c r="D564" i="59"/>
  <c r="D565" i="59"/>
  <c r="D566" i="59"/>
  <c r="D567" i="59"/>
  <c r="D568" i="59"/>
  <c r="D569" i="59"/>
  <c r="D570" i="59"/>
  <c r="D571" i="59"/>
  <c r="D572" i="59"/>
  <c r="D573" i="59"/>
  <c r="D574" i="59"/>
  <c r="D575" i="59"/>
  <c r="D576" i="59"/>
  <c r="D577" i="59"/>
  <c r="D578" i="59"/>
  <c r="D579" i="59"/>
  <c r="D580" i="59"/>
  <c r="D581" i="59"/>
  <c r="D582" i="59"/>
  <c r="D583" i="59"/>
  <c r="D584" i="59"/>
  <c r="D585" i="59"/>
  <c r="D586" i="59"/>
  <c r="D587" i="59"/>
  <c r="D588" i="59"/>
  <c r="D589" i="59"/>
  <c r="D590" i="59"/>
  <c r="D591" i="59"/>
  <c r="D592" i="59"/>
  <c r="D593" i="59"/>
  <c r="D594" i="59"/>
  <c r="D595" i="59"/>
  <c r="D596" i="59"/>
  <c r="D597" i="59"/>
  <c r="D598" i="59"/>
  <c r="D599" i="59"/>
  <c r="D600" i="59"/>
  <c r="D507" i="59"/>
  <c r="D508" i="59"/>
  <c r="D509" i="59"/>
  <c r="D510" i="59"/>
  <c r="D511" i="59"/>
  <c r="D512" i="59"/>
  <c r="D513" i="59"/>
  <c r="D514" i="59"/>
  <c r="D515" i="59"/>
  <c r="D516" i="59"/>
  <c r="D517" i="59"/>
  <c r="D518" i="59"/>
  <c r="D519" i="59"/>
  <c r="D520" i="59"/>
  <c r="D521" i="59"/>
  <c r="D522" i="59"/>
  <c r="D523" i="59"/>
  <c r="D524" i="59"/>
  <c r="D525" i="59"/>
  <c r="D526" i="59"/>
  <c r="D527" i="59"/>
  <c r="D528" i="59"/>
  <c r="D529" i="59"/>
  <c r="D530" i="59"/>
  <c r="D531" i="59"/>
  <c r="D532" i="59"/>
  <c r="D533" i="59"/>
  <c r="D534" i="59"/>
  <c r="D535" i="59"/>
  <c r="D536" i="59"/>
  <c r="D537" i="59"/>
  <c r="D538" i="59"/>
  <c r="D539" i="59"/>
  <c r="D540" i="59"/>
  <c r="D541" i="59"/>
  <c r="D542" i="59"/>
  <c r="D543" i="59"/>
  <c r="D544" i="59"/>
  <c r="D545" i="59"/>
  <c r="D454" i="59"/>
  <c r="D455" i="59"/>
  <c r="D456" i="59"/>
  <c r="D457" i="59"/>
  <c r="D458" i="59"/>
  <c r="D459" i="59"/>
  <c r="D460" i="59"/>
  <c r="D461" i="59"/>
  <c r="D462" i="59"/>
  <c r="D463" i="59"/>
  <c r="D464" i="59"/>
  <c r="D465" i="59"/>
  <c r="D466" i="59"/>
  <c r="D467" i="59"/>
  <c r="D468" i="59"/>
  <c r="D469" i="59"/>
  <c r="D470" i="59"/>
  <c r="D471" i="59"/>
  <c r="D472" i="59"/>
  <c r="D473" i="59"/>
  <c r="D474" i="59"/>
  <c r="D475" i="59"/>
  <c r="D476" i="59"/>
  <c r="D477" i="59"/>
  <c r="D478" i="59"/>
  <c r="D479" i="59"/>
  <c r="D480" i="59"/>
  <c r="D481" i="59"/>
  <c r="D482" i="59"/>
  <c r="D483" i="59"/>
  <c r="D484" i="59"/>
  <c r="D485" i="59"/>
  <c r="D486" i="59"/>
  <c r="D487" i="59"/>
  <c r="D488" i="59"/>
  <c r="D489" i="59"/>
  <c r="D490" i="59"/>
  <c r="D491" i="59"/>
  <c r="D402" i="59"/>
  <c r="D403" i="59"/>
  <c r="D404" i="59"/>
  <c r="D405" i="59"/>
  <c r="D406" i="59"/>
  <c r="D407" i="59"/>
  <c r="D408" i="59"/>
  <c r="D409" i="59"/>
  <c r="D410" i="59"/>
  <c r="D411" i="59"/>
  <c r="D412" i="59"/>
  <c r="D413" i="59"/>
  <c r="D414" i="59"/>
  <c r="D415" i="59"/>
  <c r="D416" i="59"/>
  <c r="D417" i="59"/>
  <c r="D418" i="59"/>
  <c r="D419" i="59"/>
  <c r="D420" i="59"/>
  <c r="D421" i="59"/>
  <c r="D422" i="59"/>
  <c r="D423" i="59"/>
  <c r="D424" i="59"/>
  <c r="D425" i="59"/>
  <c r="D426" i="59"/>
  <c r="D427" i="59"/>
  <c r="D428" i="59"/>
  <c r="D429" i="59"/>
  <c r="D430" i="59"/>
  <c r="D431" i="59"/>
  <c r="D432" i="59"/>
  <c r="D433" i="59"/>
  <c r="D434" i="59"/>
  <c r="D435" i="59"/>
  <c r="D436" i="59"/>
  <c r="D437" i="59"/>
  <c r="D438" i="59"/>
  <c r="D351" i="59"/>
  <c r="D352" i="59"/>
  <c r="D353" i="59"/>
  <c r="D354" i="59"/>
  <c r="D355" i="59"/>
  <c r="D356" i="59"/>
  <c r="D357" i="59"/>
  <c r="D358" i="59"/>
  <c r="D359" i="59"/>
  <c r="D360" i="59"/>
  <c r="D361" i="59"/>
  <c r="D362" i="59"/>
  <c r="D363" i="59"/>
  <c r="D364" i="59"/>
  <c r="D365" i="59"/>
  <c r="D366" i="59"/>
  <c r="D367" i="59"/>
  <c r="D368" i="59"/>
  <c r="D369" i="59"/>
  <c r="D370" i="59"/>
  <c r="D371" i="59"/>
  <c r="D372" i="59"/>
  <c r="D373" i="59"/>
  <c r="D374" i="59"/>
  <c r="D375" i="59"/>
  <c r="D376" i="59"/>
  <c r="D377" i="59"/>
  <c r="D378" i="59"/>
  <c r="D379" i="59"/>
  <c r="D380" i="59"/>
  <c r="D381" i="59"/>
  <c r="D382" i="59"/>
  <c r="D383" i="59"/>
  <c r="D384" i="59"/>
  <c r="D385" i="59"/>
  <c r="D386" i="59"/>
  <c r="D301" i="59"/>
  <c r="D302" i="59"/>
  <c r="D303" i="59"/>
  <c r="D304" i="59"/>
  <c r="D305" i="59"/>
  <c r="D306" i="59"/>
  <c r="D307" i="59"/>
  <c r="D308" i="59"/>
  <c r="D309" i="59"/>
  <c r="D310" i="59"/>
  <c r="D311" i="59"/>
  <c r="D312" i="59"/>
  <c r="D313" i="59"/>
  <c r="D314" i="59"/>
  <c r="D315" i="59"/>
  <c r="D316" i="59"/>
  <c r="D317" i="59"/>
  <c r="D318" i="59"/>
  <c r="D319" i="59"/>
  <c r="D320" i="59"/>
  <c r="D321" i="59"/>
  <c r="D322" i="59"/>
  <c r="D323" i="59"/>
  <c r="D324" i="59"/>
  <c r="D325" i="59"/>
  <c r="D326" i="59"/>
  <c r="D327" i="59"/>
  <c r="D328" i="59"/>
  <c r="D329" i="59"/>
  <c r="D330" i="59"/>
  <c r="D331" i="59"/>
  <c r="D332" i="59"/>
  <c r="D333" i="59"/>
  <c r="D334" i="59"/>
  <c r="D335" i="59"/>
  <c r="D252" i="59"/>
  <c r="D253" i="59"/>
  <c r="D254" i="59"/>
  <c r="D255" i="59"/>
  <c r="D256" i="59"/>
  <c r="D257" i="59"/>
  <c r="D258" i="59"/>
  <c r="D259" i="59"/>
  <c r="D260" i="59"/>
  <c r="D261" i="59"/>
  <c r="D262" i="59"/>
  <c r="D263" i="59"/>
  <c r="D264" i="59"/>
  <c r="D265" i="59"/>
  <c r="D266" i="59"/>
  <c r="D267" i="59"/>
  <c r="D268" i="59"/>
  <c r="D269" i="59"/>
  <c r="D270" i="59"/>
  <c r="D271" i="59"/>
  <c r="D272" i="59"/>
  <c r="D273" i="59"/>
  <c r="D274" i="59"/>
  <c r="D275" i="59"/>
  <c r="D276" i="59"/>
  <c r="D277" i="59"/>
  <c r="D278" i="59"/>
  <c r="D279" i="59"/>
  <c r="D280" i="59"/>
  <c r="D281" i="59"/>
  <c r="D282" i="59"/>
  <c r="D283" i="59"/>
  <c r="D284" i="59"/>
  <c r="D285" i="59"/>
  <c r="D204" i="59"/>
  <c r="D205" i="59"/>
  <c r="D206" i="59"/>
  <c r="D207" i="59"/>
  <c r="D208" i="59"/>
  <c r="D209" i="59"/>
  <c r="D210" i="59"/>
  <c r="D211" i="59"/>
  <c r="D212" i="59"/>
  <c r="D213" i="59"/>
  <c r="D214" i="59"/>
  <c r="D215" i="59"/>
  <c r="D216" i="59"/>
  <c r="D217" i="59"/>
  <c r="D218" i="59"/>
  <c r="D219" i="59"/>
  <c r="D220" i="59"/>
  <c r="D221" i="59"/>
  <c r="D222" i="59"/>
  <c r="D223" i="59"/>
  <c r="D224" i="59"/>
  <c r="D225" i="59"/>
  <c r="D226" i="59"/>
  <c r="D227" i="59"/>
  <c r="D228" i="59"/>
  <c r="D229" i="59"/>
  <c r="D230" i="59"/>
  <c r="D231" i="59"/>
  <c r="D232" i="59"/>
  <c r="D233" i="59"/>
  <c r="D234" i="59"/>
  <c r="D235" i="59"/>
  <c r="D236" i="59"/>
  <c r="D188" i="59"/>
  <c r="D187" i="59"/>
  <c r="D186" i="59"/>
  <c r="D185" i="59"/>
  <c r="D184" i="59"/>
  <c r="D183" i="59"/>
  <c r="D182" i="59"/>
  <c r="D181" i="59"/>
  <c r="D180" i="59"/>
  <c r="D179" i="59"/>
  <c r="D178" i="59"/>
  <c r="D177" i="59"/>
  <c r="D176" i="59"/>
  <c r="D175" i="59"/>
  <c r="D174" i="59"/>
  <c r="D173" i="59"/>
  <c r="D172" i="59"/>
  <c r="D171" i="59"/>
  <c r="D170" i="59"/>
  <c r="D169" i="59"/>
  <c r="D168" i="59"/>
  <c r="D167" i="59"/>
  <c r="D166" i="59"/>
  <c r="D165" i="59"/>
  <c r="D164" i="59"/>
  <c r="D163" i="59"/>
  <c r="D162" i="59"/>
  <c r="D161" i="59"/>
  <c r="D160" i="59"/>
  <c r="D159" i="59"/>
  <c r="D158" i="59"/>
  <c r="D157" i="59"/>
  <c r="D111" i="59"/>
  <c r="D112" i="59"/>
  <c r="D113" i="59"/>
  <c r="D114" i="59"/>
  <c r="D115" i="59"/>
  <c r="D116" i="59"/>
  <c r="D117" i="59"/>
  <c r="D118" i="59"/>
  <c r="D119" i="59"/>
  <c r="D120" i="59"/>
  <c r="D121" i="59"/>
  <c r="D122" i="59"/>
  <c r="D123" i="59"/>
  <c r="D124" i="59"/>
  <c r="D125" i="59"/>
  <c r="D126" i="59"/>
  <c r="D127" i="59"/>
  <c r="D128" i="59"/>
  <c r="D129" i="59"/>
  <c r="D130" i="59"/>
  <c r="D131" i="59"/>
  <c r="D132" i="59"/>
  <c r="D133" i="59"/>
  <c r="D134" i="59"/>
  <c r="D135" i="59"/>
  <c r="D136" i="59"/>
  <c r="D137" i="59"/>
  <c r="D138" i="59"/>
  <c r="D139" i="59"/>
  <c r="D140" i="59"/>
  <c r="D141" i="59"/>
  <c r="D94" i="59"/>
  <c r="I20" i="5"/>
  <c r="E14" i="40"/>
  <c r="G10" i="40"/>
  <c r="E16" i="40"/>
  <c r="P33" i="57"/>
  <c r="E77" i="57"/>
  <c r="E78" i="57"/>
  <c r="E79" i="57"/>
  <c r="E80" i="57"/>
  <c r="E81" i="57"/>
  <c r="E82" i="57"/>
  <c r="E83" i="57"/>
  <c r="E76" i="57"/>
  <c r="I83" i="57"/>
  <c r="I82" i="57"/>
  <c r="I81" i="57"/>
  <c r="I80" i="57"/>
  <c r="I79" i="57"/>
  <c r="I78" i="57"/>
  <c r="I77" i="57"/>
  <c r="I76" i="57"/>
  <c r="G76" i="57"/>
  <c r="G83" i="57"/>
  <c r="G82" i="57"/>
  <c r="G81" i="57"/>
  <c r="G80" i="57"/>
  <c r="G79" i="57"/>
  <c r="G78" i="57"/>
  <c r="G77" i="57"/>
  <c r="F11" i="40"/>
  <c r="J17" i="40"/>
  <c r="J12" i="40"/>
  <c r="F12" i="40" s="1"/>
  <c r="J10" i="40"/>
  <c r="F10" i="40" s="1"/>
  <c r="F14" i="40"/>
  <c r="F15" i="40"/>
  <c r="F16" i="40"/>
  <c r="F17" i="40"/>
  <c r="F19" i="40"/>
  <c r="E12" i="40"/>
  <c r="E15" i="40"/>
  <c r="E17" i="40"/>
  <c r="E19" i="40"/>
  <c r="D43" i="62"/>
  <c r="D44" i="62"/>
  <c r="D45" i="62"/>
  <c r="D46" i="62"/>
  <c r="D47" i="62"/>
  <c r="D48" i="62"/>
  <c r="D49" i="62"/>
  <c r="D50" i="62"/>
  <c r="D51" i="62"/>
  <c r="D52" i="62"/>
  <c r="D53" i="62"/>
  <c r="D54" i="62"/>
  <c r="D55" i="62"/>
  <c r="D56" i="62"/>
  <c r="D57" i="62"/>
  <c r="D58" i="62"/>
  <c r="D59" i="62"/>
  <c r="D60" i="62"/>
  <c r="D61" i="62"/>
  <c r="D62" i="62"/>
  <c r="D63" i="62"/>
  <c r="D64" i="62"/>
  <c r="D65" i="62"/>
  <c r="D66" i="62"/>
  <c r="D67" i="62"/>
  <c r="D68" i="62"/>
  <c r="D69" i="62"/>
  <c r="D70" i="62"/>
  <c r="D71" i="62"/>
  <c r="D72" i="62"/>
  <c r="D73" i="62"/>
  <c r="D74" i="62"/>
  <c r="D88" i="62"/>
  <c r="D89" i="62"/>
  <c r="D90" i="62"/>
  <c r="D91" i="62"/>
  <c r="D92" i="62"/>
  <c r="D93" i="62"/>
  <c r="D94" i="62"/>
  <c r="D95" i="62"/>
  <c r="D96" i="62"/>
  <c r="D97" i="62"/>
  <c r="D98" i="62"/>
  <c r="D99" i="62"/>
  <c r="D100" i="62"/>
  <c r="D101" i="62"/>
  <c r="D102" i="62"/>
  <c r="D103" i="62"/>
  <c r="D104" i="62"/>
  <c r="D105" i="62"/>
  <c r="D29" i="62"/>
  <c r="D107" i="62"/>
  <c r="D108" i="62"/>
  <c r="D109" i="62"/>
  <c r="D110" i="62"/>
  <c r="D111" i="62"/>
  <c r="D112" i="62"/>
  <c r="D113" i="62"/>
  <c r="D114" i="62"/>
  <c r="D115" i="62"/>
  <c r="D116" i="62"/>
  <c r="D117" i="62"/>
  <c r="D118" i="62"/>
  <c r="D119" i="62"/>
  <c r="D120" i="62"/>
  <c r="D121" i="62"/>
  <c r="D136" i="62"/>
  <c r="D137" i="62"/>
  <c r="D138" i="62"/>
  <c r="D139" i="62"/>
  <c r="D140" i="62"/>
  <c r="D141" i="62"/>
  <c r="D142" i="62"/>
  <c r="D143" i="62"/>
  <c r="D144" i="62"/>
  <c r="D145" i="62"/>
  <c r="D67" i="61"/>
  <c r="D68" i="61"/>
  <c r="D69" i="61"/>
  <c r="D70" i="61"/>
  <c r="D71" i="61"/>
  <c r="D72" i="61"/>
  <c r="D73" i="61"/>
  <c r="D74" i="61"/>
  <c r="D75" i="61"/>
  <c r="D76" i="61"/>
  <c r="D77" i="61"/>
  <c r="D78" i="61"/>
  <c r="D79" i="61"/>
  <c r="D80" i="61"/>
  <c r="D81" i="61"/>
  <c r="D82" i="61"/>
  <c r="D83" i="61"/>
  <c r="D84" i="61"/>
  <c r="D85" i="61"/>
  <c r="D86" i="61"/>
  <c r="D87" i="61"/>
  <c r="D88" i="61"/>
  <c r="D89" i="61"/>
  <c r="D90" i="61"/>
  <c r="D91" i="61"/>
  <c r="D92" i="61"/>
  <c r="D93" i="61"/>
  <c r="D94" i="61"/>
  <c r="D95" i="61"/>
  <c r="D96" i="61"/>
  <c r="D97" i="61"/>
  <c r="D98" i="61"/>
  <c r="D99" i="61"/>
  <c r="D100" i="61"/>
  <c r="D101" i="61"/>
  <c r="D102" i="61"/>
  <c r="D103" i="61"/>
  <c r="D104" i="61"/>
  <c r="D105" i="61"/>
  <c r="D106" i="61"/>
  <c r="D107" i="61"/>
  <c r="D108" i="61"/>
  <c r="D109" i="61"/>
  <c r="D110" i="61"/>
  <c r="D122" i="61"/>
  <c r="D123" i="61"/>
  <c r="D124" i="61"/>
  <c r="D125" i="61"/>
  <c r="D126" i="61"/>
  <c r="D127" i="61"/>
  <c r="D128" i="61"/>
  <c r="D129" i="61"/>
  <c r="D130" i="61"/>
  <c r="D131" i="61"/>
  <c r="D132" i="61"/>
  <c r="D133" i="61"/>
  <c r="D134" i="61"/>
  <c r="D135" i="61"/>
  <c r="D136" i="61"/>
  <c r="D137" i="61"/>
  <c r="D138" i="61"/>
  <c r="D139" i="61"/>
  <c r="D140" i="61"/>
  <c r="D141" i="61"/>
  <c r="D142" i="61"/>
  <c r="D143" i="61"/>
  <c r="D144" i="61"/>
  <c r="D145" i="61"/>
  <c r="D146" i="61"/>
  <c r="D147" i="61"/>
  <c r="D148" i="61"/>
  <c r="D149" i="61"/>
  <c r="D150" i="61"/>
  <c r="D151" i="61"/>
  <c r="D152" i="61"/>
  <c r="D153" i="61"/>
  <c r="D154" i="61"/>
  <c r="D155" i="61"/>
  <c r="D156" i="61"/>
  <c r="D168" i="61"/>
  <c r="D169" i="61"/>
  <c r="D170" i="61"/>
  <c r="D171" i="61"/>
  <c r="D172" i="61"/>
  <c r="D173" i="61"/>
  <c r="D174" i="61"/>
  <c r="D175" i="61"/>
  <c r="D176" i="61"/>
  <c r="D177" i="61"/>
  <c r="D178" i="61"/>
  <c r="D179" i="61"/>
  <c r="D180" i="61"/>
  <c r="D181" i="61"/>
  <c r="D182" i="61"/>
  <c r="D183" i="61"/>
  <c r="D184" i="61"/>
  <c r="D185" i="61"/>
  <c r="D186" i="61"/>
  <c r="D187" i="61"/>
  <c r="D188" i="61"/>
  <c r="D189" i="61"/>
  <c r="D190" i="61"/>
  <c r="D191" i="61"/>
  <c r="D192" i="61"/>
  <c r="D193" i="61"/>
  <c r="D194" i="61"/>
  <c r="D195" i="61"/>
  <c r="D196" i="61"/>
  <c r="D197" i="61"/>
  <c r="D198" i="61"/>
  <c r="D199" i="61"/>
  <c r="D200" i="61"/>
  <c r="D201" i="61"/>
  <c r="D202" i="61"/>
  <c r="D203" i="61"/>
  <c r="D215" i="61"/>
  <c r="D216" i="61"/>
  <c r="D217" i="61"/>
  <c r="D218" i="61"/>
  <c r="D219" i="61"/>
  <c r="D220" i="61"/>
  <c r="D221" i="61"/>
  <c r="D222" i="61"/>
  <c r="D223" i="61"/>
  <c r="D224" i="61"/>
  <c r="D225" i="61"/>
  <c r="D226" i="61"/>
  <c r="D227" i="61"/>
  <c r="D228" i="61"/>
  <c r="D229" i="61"/>
  <c r="D230" i="61"/>
  <c r="D231" i="61"/>
  <c r="D232" i="61"/>
  <c r="D233" i="61"/>
  <c r="D234" i="61"/>
  <c r="D235" i="61"/>
  <c r="D236" i="61"/>
  <c r="D237" i="61"/>
  <c r="D238" i="61"/>
  <c r="D239" i="61"/>
  <c r="D240" i="61"/>
  <c r="D241" i="61"/>
  <c r="D242" i="61"/>
  <c r="D243" i="61"/>
  <c r="D244" i="61"/>
  <c r="D245" i="61"/>
  <c r="D246" i="61"/>
  <c r="D247" i="61"/>
  <c r="D248" i="61"/>
  <c r="D249" i="61"/>
  <c r="D250" i="61"/>
  <c r="D251" i="61"/>
  <c r="D263" i="61"/>
  <c r="D264" i="61"/>
  <c r="D265" i="61"/>
  <c r="D266" i="61"/>
  <c r="D267" i="61"/>
  <c r="D268" i="61"/>
  <c r="D269" i="61"/>
  <c r="D270" i="61"/>
  <c r="D271" i="61"/>
  <c r="D272" i="61"/>
  <c r="D273" i="61"/>
  <c r="D274" i="61"/>
  <c r="D275" i="61"/>
  <c r="D276" i="61"/>
  <c r="D277" i="61"/>
  <c r="D278" i="61"/>
  <c r="D279" i="61"/>
  <c r="D280" i="61"/>
  <c r="D281" i="61"/>
  <c r="D282" i="61"/>
  <c r="D283" i="61"/>
  <c r="D284" i="61"/>
  <c r="D285" i="61"/>
  <c r="D286" i="61"/>
  <c r="D287" i="61"/>
  <c r="D288" i="61"/>
  <c r="D289" i="61"/>
  <c r="D290" i="61"/>
  <c r="D291" i="61"/>
  <c r="D292" i="61"/>
  <c r="D293" i="61"/>
  <c r="D294" i="61"/>
  <c r="D295" i="61"/>
  <c r="D296" i="61"/>
  <c r="D297" i="61"/>
  <c r="D298" i="61"/>
  <c r="D299" i="61"/>
  <c r="D300" i="61"/>
  <c r="D312" i="61"/>
  <c r="D313" i="61"/>
  <c r="D314" i="61"/>
  <c r="D315" i="61"/>
  <c r="D316" i="61"/>
  <c r="D317" i="61"/>
  <c r="D318" i="61"/>
  <c r="D319" i="61"/>
  <c r="D320" i="61"/>
  <c r="D321" i="61"/>
  <c r="D322" i="61"/>
  <c r="D323" i="61"/>
  <c r="D324" i="61"/>
  <c r="D325" i="61"/>
  <c r="D326" i="61"/>
  <c r="D327" i="61"/>
  <c r="D328" i="61"/>
  <c r="D329" i="61"/>
  <c r="D330" i="61"/>
  <c r="D331" i="61"/>
  <c r="D332" i="61"/>
  <c r="D333" i="61"/>
  <c r="D334" i="61"/>
  <c r="D335" i="61"/>
  <c r="D336" i="61"/>
  <c r="D337" i="61"/>
  <c r="D338" i="61"/>
  <c r="D339" i="61"/>
  <c r="D340" i="61"/>
  <c r="D341" i="61"/>
  <c r="D342" i="61"/>
  <c r="D343" i="61"/>
  <c r="D344" i="61"/>
  <c r="D345" i="61"/>
  <c r="D346" i="61"/>
  <c r="D347" i="61"/>
  <c r="D348" i="61"/>
  <c r="D349" i="61"/>
  <c r="D350" i="61"/>
  <c r="D362" i="61"/>
  <c r="D363" i="61"/>
  <c r="D364" i="61"/>
  <c r="D365" i="61"/>
  <c r="D366" i="61"/>
  <c r="D367" i="61"/>
  <c r="D368" i="61"/>
  <c r="D369" i="61"/>
  <c r="D370" i="61"/>
  <c r="D371" i="61"/>
  <c r="D372" i="61"/>
  <c r="D373" i="61"/>
  <c r="D374" i="61"/>
  <c r="D375" i="61"/>
  <c r="D376" i="61"/>
  <c r="D377" i="61"/>
  <c r="D378" i="61"/>
  <c r="D379" i="61"/>
  <c r="D380" i="61"/>
  <c r="D381" i="61"/>
  <c r="D382" i="61"/>
  <c r="D383" i="61"/>
  <c r="D384" i="61"/>
  <c r="D385" i="61"/>
  <c r="D386" i="61"/>
  <c r="D387" i="61"/>
  <c r="D388" i="61"/>
  <c r="D389" i="61"/>
  <c r="D390" i="61"/>
  <c r="D391" i="61"/>
  <c r="D392" i="61"/>
  <c r="D393" i="61"/>
  <c r="D394" i="61"/>
  <c r="D395" i="61"/>
  <c r="D396" i="61"/>
  <c r="D397" i="61"/>
  <c r="D398" i="61"/>
  <c r="D399" i="61"/>
  <c r="D400" i="61"/>
  <c r="D401" i="61"/>
  <c r="D413" i="61"/>
  <c r="D414" i="61"/>
  <c r="D415" i="61"/>
  <c r="D416" i="61"/>
  <c r="D417" i="61"/>
  <c r="D418" i="61"/>
  <c r="D419" i="61"/>
  <c r="D420" i="61"/>
  <c r="D421" i="61"/>
  <c r="D422" i="61"/>
  <c r="D423" i="61"/>
  <c r="D424" i="61"/>
  <c r="D425" i="61"/>
  <c r="D426" i="61"/>
  <c r="D427" i="61"/>
  <c r="D428" i="61"/>
  <c r="D429" i="61"/>
  <c r="D430" i="61"/>
  <c r="D431" i="61"/>
  <c r="D432" i="61"/>
  <c r="D433" i="61"/>
  <c r="D434" i="61"/>
  <c r="D435" i="61"/>
  <c r="D436" i="61"/>
  <c r="D437" i="61"/>
  <c r="D438" i="61"/>
  <c r="D439" i="61"/>
  <c r="D440" i="61"/>
  <c r="D441" i="61"/>
  <c r="D442" i="61"/>
  <c r="D443" i="61"/>
  <c r="D444" i="61"/>
  <c r="D445" i="61"/>
  <c r="D446" i="61"/>
  <c r="D447" i="61"/>
  <c r="D448" i="61"/>
  <c r="D449" i="61"/>
  <c r="D450" i="61"/>
  <c r="D451" i="61"/>
  <c r="D452" i="61"/>
  <c r="D453" i="61"/>
  <c r="D465" i="61"/>
  <c r="D466" i="61"/>
  <c r="D467" i="61"/>
  <c r="D468" i="61"/>
  <c r="D469" i="61"/>
  <c r="D470" i="61"/>
  <c r="D471" i="61"/>
  <c r="D472" i="61"/>
  <c r="D473" i="61"/>
  <c r="D474" i="61"/>
  <c r="D475" i="61"/>
  <c r="D476" i="61"/>
  <c r="D477" i="61"/>
  <c r="D478" i="61"/>
  <c r="D479" i="61"/>
  <c r="D480" i="61"/>
  <c r="D481" i="61"/>
  <c r="D482" i="61"/>
  <c r="D483" i="61"/>
  <c r="D484" i="61"/>
  <c r="D485" i="61"/>
  <c r="D486" i="61"/>
  <c r="D487" i="61"/>
  <c r="D488" i="61"/>
  <c r="D489" i="61"/>
  <c r="D490" i="61"/>
  <c r="D491" i="61"/>
  <c r="D492" i="61"/>
  <c r="D493" i="61"/>
  <c r="D494" i="61"/>
  <c r="D495" i="61"/>
  <c r="D496" i="61"/>
  <c r="D497" i="61"/>
  <c r="D498" i="61"/>
  <c r="D499" i="61"/>
  <c r="D500" i="61"/>
  <c r="D501" i="61"/>
  <c r="D502" i="61"/>
  <c r="D503" i="61"/>
  <c r="D504" i="61"/>
  <c r="D505" i="61"/>
  <c r="D506" i="61"/>
  <c r="D518" i="61"/>
  <c r="D519" i="61"/>
  <c r="D520" i="61"/>
  <c r="D521" i="61"/>
  <c r="D522" i="61"/>
  <c r="D523" i="61"/>
  <c r="D524" i="61"/>
  <c r="D525" i="61"/>
  <c r="D526" i="61"/>
  <c r="D527" i="61"/>
  <c r="D528" i="61"/>
  <c r="D529" i="61"/>
  <c r="D530" i="61"/>
  <c r="D531" i="61"/>
  <c r="D532" i="61"/>
  <c r="D533" i="61"/>
  <c r="D534" i="61"/>
  <c r="D535" i="61"/>
  <c r="D536" i="61"/>
  <c r="D537" i="61"/>
  <c r="D538" i="61"/>
  <c r="D539" i="61"/>
  <c r="D540" i="61"/>
  <c r="D541" i="61"/>
  <c r="D542" i="61"/>
  <c r="D543" i="61"/>
  <c r="D544" i="61"/>
  <c r="D545" i="61"/>
  <c r="D546" i="61"/>
  <c r="D547" i="61"/>
  <c r="D548" i="61"/>
  <c r="D549" i="61"/>
  <c r="D550" i="61"/>
  <c r="D551" i="61"/>
  <c r="D552" i="61"/>
  <c r="D553" i="61"/>
  <c r="D554" i="61"/>
  <c r="D555" i="61"/>
  <c r="D556" i="61"/>
  <c r="D557" i="61"/>
  <c r="D558" i="61"/>
  <c r="D559" i="61"/>
  <c r="D560" i="61"/>
  <c r="D572" i="61"/>
  <c r="D573" i="61"/>
  <c r="D574" i="61"/>
  <c r="D575" i="61"/>
  <c r="D576" i="61"/>
  <c r="D577" i="61"/>
  <c r="D578" i="61"/>
  <c r="D579" i="61"/>
  <c r="D580" i="61"/>
  <c r="D581" i="61"/>
  <c r="D582" i="61"/>
  <c r="D583" i="61"/>
  <c r="D584" i="61"/>
  <c r="D585" i="61"/>
  <c r="D586" i="61"/>
  <c r="D587" i="61"/>
  <c r="D588" i="61"/>
  <c r="D589" i="61"/>
  <c r="D590" i="61"/>
  <c r="D591" i="61"/>
  <c r="D592" i="61"/>
  <c r="D593" i="61"/>
  <c r="D594" i="61"/>
  <c r="D595" i="61"/>
  <c r="D596" i="61"/>
  <c r="D597" i="61"/>
  <c r="D598" i="61"/>
  <c r="D599" i="61"/>
  <c r="D600" i="61"/>
  <c r="D601" i="61"/>
  <c r="D602" i="61"/>
  <c r="D603" i="61"/>
  <c r="D604" i="61"/>
  <c r="D605" i="61"/>
  <c r="D606" i="61"/>
  <c r="D607" i="61"/>
  <c r="D608" i="61"/>
  <c r="D609" i="61"/>
  <c r="D610" i="61"/>
  <c r="D611" i="61"/>
  <c r="D612" i="61"/>
  <c r="D613" i="61"/>
  <c r="D614" i="61"/>
  <c r="D615" i="61"/>
  <c r="D627" i="61"/>
  <c r="D628" i="61"/>
  <c r="D629" i="61"/>
  <c r="D630" i="61"/>
  <c r="D631" i="61"/>
  <c r="D632" i="61"/>
  <c r="D633" i="61"/>
  <c r="D634" i="61"/>
  <c r="D635" i="61"/>
  <c r="D636" i="61"/>
  <c r="D637" i="61"/>
  <c r="D638" i="61"/>
  <c r="D639" i="61"/>
  <c r="D640" i="61"/>
  <c r="D641" i="61"/>
  <c r="D642" i="61"/>
  <c r="D643" i="61"/>
  <c r="D644" i="61"/>
  <c r="D645" i="61"/>
  <c r="D646" i="61"/>
  <c r="D647" i="61"/>
  <c r="D648" i="61"/>
  <c r="D649" i="61"/>
  <c r="D650" i="61"/>
  <c r="D651" i="61"/>
  <c r="D652" i="61"/>
  <c r="D653" i="61"/>
  <c r="D654" i="61"/>
  <c r="D655" i="61"/>
  <c r="D656" i="61"/>
  <c r="D657" i="61"/>
  <c r="D658" i="61"/>
  <c r="D659" i="61"/>
  <c r="D660" i="61"/>
  <c r="D661" i="61"/>
  <c r="D662" i="61"/>
  <c r="D663" i="61"/>
  <c r="D664" i="61"/>
  <c r="D665" i="61"/>
  <c r="D666" i="61"/>
  <c r="D667" i="61"/>
  <c r="D668" i="61"/>
  <c r="D669" i="61"/>
  <c r="D670" i="61"/>
  <c r="D671" i="61"/>
  <c r="D684" i="61"/>
  <c r="D685" i="61"/>
  <c r="D686" i="61"/>
  <c r="D687" i="61"/>
  <c r="D688" i="61"/>
  <c r="D689" i="61"/>
  <c r="D690" i="61"/>
  <c r="D691" i="61"/>
  <c r="D692" i="61"/>
  <c r="D693" i="61"/>
  <c r="D694" i="61"/>
  <c r="D695" i="61"/>
  <c r="D696" i="61"/>
  <c r="D697" i="61"/>
  <c r="D698" i="61"/>
  <c r="D699" i="61"/>
  <c r="D700" i="61"/>
  <c r="D701" i="61"/>
  <c r="D702" i="61"/>
  <c r="D703" i="61"/>
  <c r="D704" i="61"/>
  <c r="D705" i="61"/>
  <c r="D706" i="61"/>
  <c r="D707" i="61"/>
  <c r="D708" i="61"/>
  <c r="D709" i="61"/>
  <c r="D710" i="61"/>
  <c r="D711" i="61"/>
  <c r="D712" i="61"/>
  <c r="D713" i="61"/>
  <c r="D714" i="61"/>
  <c r="D715" i="61"/>
  <c r="D716" i="61"/>
  <c r="D717" i="61"/>
  <c r="D718" i="61"/>
  <c r="D719" i="61"/>
  <c r="D720" i="61"/>
  <c r="D721" i="61"/>
  <c r="D722" i="61"/>
  <c r="D723" i="61"/>
  <c r="D724" i="61"/>
  <c r="D725" i="61"/>
  <c r="D726" i="61"/>
  <c r="D727" i="61"/>
  <c r="D728" i="61"/>
  <c r="D742" i="61"/>
  <c r="D743" i="61"/>
  <c r="D744" i="61"/>
  <c r="D745" i="61"/>
  <c r="D746" i="61"/>
  <c r="D747" i="61"/>
  <c r="D748" i="61"/>
  <c r="D749" i="61"/>
  <c r="D750" i="61"/>
  <c r="D751" i="61"/>
  <c r="D752" i="61"/>
  <c r="D753" i="61"/>
  <c r="D754" i="61"/>
  <c r="D755" i="61"/>
  <c r="D756" i="61"/>
  <c r="D757" i="61"/>
  <c r="D758" i="61"/>
  <c r="D759" i="61"/>
  <c r="D760" i="61"/>
  <c r="D761" i="61"/>
  <c r="D762" i="61"/>
  <c r="D763" i="61"/>
  <c r="D764" i="61"/>
  <c r="D765" i="61"/>
  <c r="D766" i="61"/>
  <c r="D767" i="61"/>
  <c r="D768" i="61"/>
  <c r="D769" i="61"/>
  <c r="D770" i="61"/>
  <c r="D771" i="61"/>
  <c r="D772" i="61"/>
  <c r="D773" i="61"/>
  <c r="D774" i="61"/>
  <c r="D775" i="61"/>
  <c r="D776" i="61"/>
  <c r="D777" i="61"/>
  <c r="D778" i="61"/>
  <c r="D779" i="61"/>
  <c r="D780" i="61"/>
  <c r="D781" i="61"/>
  <c r="D782" i="61"/>
  <c r="D783" i="61"/>
  <c r="D784" i="61"/>
  <c r="D785" i="61"/>
  <c r="D786" i="61"/>
  <c r="D801" i="61"/>
  <c r="D802" i="61"/>
  <c r="D803" i="61"/>
  <c r="D804" i="61"/>
  <c r="D805" i="61"/>
  <c r="D806" i="61"/>
  <c r="D807" i="61"/>
  <c r="D808" i="61"/>
  <c r="D809" i="61"/>
  <c r="D810" i="61"/>
  <c r="D811" i="61"/>
  <c r="D812" i="61"/>
  <c r="D813" i="61"/>
  <c r="D814" i="61"/>
  <c r="D815" i="61"/>
  <c r="D816" i="61"/>
  <c r="D817" i="61"/>
  <c r="D818" i="61"/>
  <c r="D819" i="61"/>
  <c r="D820" i="61"/>
  <c r="D821" i="61"/>
  <c r="D822" i="61"/>
  <c r="D823" i="61"/>
  <c r="D824" i="61"/>
  <c r="D825" i="61"/>
  <c r="D826" i="61"/>
  <c r="D827" i="61"/>
  <c r="D828" i="61"/>
  <c r="D829" i="61"/>
  <c r="D830" i="61"/>
  <c r="D831" i="61"/>
  <c r="D832" i="61"/>
  <c r="D833" i="61"/>
  <c r="D834" i="61"/>
  <c r="D835" i="61"/>
  <c r="D836" i="61"/>
  <c r="D837" i="61"/>
  <c r="D838" i="61"/>
  <c r="D839" i="61"/>
  <c r="D840" i="61"/>
  <c r="D841" i="61"/>
  <c r="D842" i="61"/>
  <c r="D843" i="61"/>
  <c r="D844" i="61"/>
  <c r="D845" i="61"/>
  <c r="D861" i="61"/>
  <c r="D862" i="61"/>
  <c r="D863" i="61"/>
  <c r="D864" i="61"/>
  <c r="D865" i="61"/>
  <c r="D866" i="61"/>
  <c r="D867" i="61"/>
  <c r="D868" i="61"/>
  <c r="D869" i="61"/>
  <c r="D870" i="61"/>
  <c r="D871" i="61"/>
  <c r="D872" i="61"/>
  <c r="D873" i="61"/>
  <c r="D874" i="61"/>
  <c r="D875" i="61"/>
  <c r="D876" i="61"/>
  <c r="D877" i="61"/>
  <c r="D878" i="61"/>
  <c r="D879" i="61"/>
  <c r="D880" i="61"/>
  <c r="D881" i="61"/>
  <c r="D882" i="61"/>
  <c r="D883" i="61"/>
  <c r="D884" i="61"/>
  <c r="D885" i="61"/>
  <c r="D886" i="61"/>
  <c r="D887" i="61"/>
  <c r="D888" i="61"/>
  <c r="D889" i="61"/>
  <c r="D890" i="61"/>
  <c r="D891" i="61"/>
  <c r="D892" i="61"/>
  <c r="D893" i="61"/>
  <c r="D894" i="61"/>
  <c r="D895" i="61"/>
  <c r="D896" i="61"/>
  <c r="D897" i="61"/>
  <c r="D898" i="61"/>
  <c r="D899" i="61"/>
  <c r="D900" i="61"/>
  <c r="D901" i="61"/>
  <c r="D902" i="61"/>
  <c r="D903" i="61"/>
  <c r="D904" i="61"/>
  <c r="D905" i="61"/>
  <c r="D922" i="61"/>
  <c r="D923" i="61"/>
  <c r="D924" i="61"/>
  <c r="D925" i="61"/>
  <c r="D926" i="61"/>
  <c r="D927" i="61"/>
  <c r="D928" i="61"/>
  <c r="D929" i="61"/>
  <c r="D930" i="61"/>
  <c r="D931" i="61"/>
  <c r="D932" i="61"/>
  <c r="D933" i="61"/>
  <c r="D934" i="61"/>
  <c r="D935" i="61"/>
  <c r="D936" i="61"/>
  <c r="D937" i="61"/>
  <c r="D938" i="61"/>
  <c r="D939" i="61"/>
  <c r="D940" i="61"/>
  <c r="D941" i="61"/>
  <c r="D942" i="61"/>
  <c r="D943" i="61"/>
  <c r="D944" i="61"/>
  <c r="D945" i="61"/>
  <c r="D946" i="61"/>
  <c r="D947" i="61"/>
  <c r="D948" i="61"/>
  <c r="D949" i="61"/>
  <c r="D950" i="61"/>
  <c r="D951" i="61"/>
  <c r="D952" i="61"/>
  <c r="D953" i="61"/>
  <c r="D954" i="61"/>
  <c r="D955" i="61"/>
  <c r="D956" i="61"/>
  <c r="D957" i="61"/>
  <c r="D958" i="61"/>
  <c r="D959" i="61"/>
  <c r="D960" i="61"/>
  <c r="D961" i="61"/>
  <c r="D962" i="61"/>
  <c r="D963" i="61"/>
  <c r="D964" i="61"/>
  <c r="D965" i="61"/>
  <c r="D966" i="61"/>
  <c r="D984" i="61"/>
  <c r="D985" i="61"/>
  <c r="D986" i="61"/>
  <c r="D987" i="61"/>
  <c r="D988" i="61"/>
  <c r="D989" i="61"/>
  <c r="D990" i="61"/>
  <c r="D991" i="61"/>
  <c r="D992" i="61"/>
  <c r="D993" i="61"/>
  <c r="D994" i="61"/>
  <c r="D995" i="61"/>
  <c r="D996" i="61"/>
  <c r="D997" i="61"/>
  <c r="D998" i="61"/>
  <c r="D999" i="61"/>
  <c r="D1000" i="61"/>
  <c r="D1001" i="61"/>
  <c r="D1002" i="61"/>
  <c r="D1003" i="61"/>
  <c r="D1004" i="61"/>
  <c r="D1005" i="61"/>
  <c r="D1006" i="61"/>
  <c r="D1007" i="61"/>
  <c r="D1008" i="61"/>
  <c r="D1009" i="61"/>
  <c r="D1010" i="61"/>
  <c r="D1011" i="61"/>
  <c r="D1012" i="61"/>
  <c r="D1013" i="61"/>
  <c r="D1014" i="61"/>
  <c r="D1015" i="61"/>
  <c r="D1016" i="61"/>
  <c r="D1017" i="61"/>
  <c r="D1018" i="61"/>
  <c r="D1019" i="61"/>
  <c r="D1020" i="61"/>
  <c r="D1021" i="61"/>
  <c r="D1022" i="61"/>
  <c r="D1023" i="61"/>
  <c r="D1024" i="61"/>
  <c r="D1025" i="61"/>
  <c r="D1026" i="61"/>
  <c r="D1027" i="61"/>
  <c r="D1028" i="61"/>
  <c r="D1047" i="61"/>
  <c r="D1048" i="61"/>
  <c r="D1049" i="61"/>
  <c r="D1050" i="61"/>
  <c r="D1051" i="61"/>
  <c r="D1052" i="61"/>
  <c r="D1053" i="61"/>
  <c r="D1054" i="61"/>
  <c r="D1055" i="61"/>
  <c r="D1056" i="61"/>
  <c r="D1057" i="61"/>
  <c r="D1058" i="61"/>
  <c r="D1059" i="61"/>
  <c r="D1060" i="61"/>
  <c r="D1061" i="61"/>
  <c r="D1062" i="61"/>
  <c r="D1063" i="61"/>
  <c r="D1064" i="61"/>
  <c r="D1065" i="61"/>
  <c r="D1066" i="61"/>
  <c r="D1067" i="61"/>
  <c r="D1068" i="61"/>
  <c r="D1069" i="61"/>
  <c r="D1070" i="61"/>
  <c r="D1071" i="61"/>
  <c r="D1072" i="61"/>
  <c r="D1073" i="61"/>
  <c r="D1074" i="61"/>
  <c r="D1075" i="61"/>
  <c r="D1076" i="61"/>
  <c r="D1077" i="61"/>
  <c r="D1078" i="61"/>
  <c r="D1079" i="61"/>
  <c r="D1080" i="61"/>
  <c r="D1081" i="61"/>
  <c r="D1082" i="61"/>
  <c r="D1083" i="61"/>
  <c r="D1084" i="61"/>
  <c r="D1085" i="61"/>
  <c r="D1086" i="61"/>
  <c r="D1087" i="61"/>
  <c r="D1088" i="61"/>
  <c r="D1089" i="61"/>
  <c r="D1090" i="61"/>
  <c r="D1091" i="61"/>
  <c r="D1111" i="61"/>
  <c r="D1112" i="61"/>
  <c r="D1113" i="61"/>
  <c r="D1114" i="61"/>
  <c r="D1115" i="61"/>
  <c r="D1116" i="61"/>
  <c r="D1117" i="61"/>
  <c r="D1118" i="61"/>
  <c r="D1119" i="61"/>
  <c r="D1120" i="61"/>
  <c r="D1121" i="61"/>
  <c r="D1122" i="61"/>
  <c r="D1123" i="61"/>
  <c r="D1124" i="61"/>
  <c r="D1125" i="61"/>
  <c r="D1126" i="61"/>
  <c r="D1127" i="61"/>
  <c r="D1128" i="61"/>
  <c r="D1129" i="61"/>
  <c r="D1130" i="61"/>
  <c r="D1131" i="61"/>
  <c r="D1132" i="61"/>
  <c r="D1133" i="61"/>
  <c r="D1134" i="61"/>
  <c r="D1135" i="61"/>
  <c r="D1136" i="61"/>
  <c r="D1137" i="61"/>
  <c r="D1138" i="61"/>
  <c r="D1139" i="61"/>
  <c r="D1140" i="61"/>
  <c r="D1141" i="61"/>
  <c r="D1142" i="61"/>
  <c r="D1143" i="61"/>
  <c r="D1144" i="61"/>
  <c r="D1145" i="61"/>
  <c r="D1146" i="61"/>
  <c r="D1147" i="61"/>
  <c r="D1148" i="61"/>
  <c r="D1149" i="61"/>
  <c r="D1150" i="61"/>
  <c r="D1151" i="61"/>
  <c r="D1152" i="61"/>
  <c r="D1153" i="61"/>
  <c r="D1154" i="61"/>
  <c r="D1155" i="61"/>
  <c r="D1176" i="61"/>
  <c r="D1177" i="61"/>
  <c r="D1178" i="61"/>
  <c r="D1179" i="61"/>
  <c r="D1180" i="61"/>
  <c r="D1181" i="61"/>
  <c r="D1182" i="61"/>
  <c r="D1183" i="61"/>
  <c r="D1184" i="61"/>
  <c r="D1185" i="61"/>
  <c r="D1186" i="61"/>
  <c r="D1187" i="61"/>
  <c r="D1188" i="61"/>
  <c r="D1189" i="61"/>
  <c r="D1190" i="61"/>
  <c r="D1191" i="61"/>
  <c r="D1192" i="61"/>
  <c r="D1193" i="61"/>
  <c r="D1194" i="61"/>
  <c r="D1195" i="61"/>
  <c r="D1196" i="61"/>
  <c r="D1197" i="61"/>
  <c r="D1198" i="61"/>
  <c r="D1199" i="61"/>
  <c r="D1200" i="61"/>
  <c r="D1201" i="61"/>
  <c r="D1202" i="61"/>
  <c r="D1203" i="61"/>
  <c r="D1204" i="61"/>
  <c r="D1205" i="61"/>
  <c r="D1206" i="61"/>
  <c r="D1207" i="61"/>
  <c r="D1208" i="61"/>
  <c r="D1209" i="61"/>
  <c r="D1210" i="61"/>
  <c r="D1211" i="61"/>
  <c r="D1212" i="61"/>
  <c r="D1213" i="61"/>
  <c r="D1214" i="61"/>
  <c r="D1215" i="61"/>
  <c r="D1216" i="61"/>
  <c r="D1217" i="61"/>
  <c r="D1218" i="61"/>
  <c r="D1219" i="61"/>
  <c r="D1220" i="61"/>
  <c r="D1242" i="61"/>
  <c r="D1243" i="61"/>
  <c r="D1244" i="61"/>
  <c r="D1245" i="61"/>
  <c r="D1246" i="61"/>
  <c r="D1247" i="61"/>
  <c r="D1248" i="61"/>
  <c r="D1249" i="61"/>
  <c r="D1250" i="61"/>
  <c r="D1251" i="61"/>
  <c r="D1252" i="61"/>
  <c r="D1253" i="61"/>
  <c r="D1254" i="61"/>
  <c r="D1255" i="61"/>
  <c r="D1256" i="61"/>
  <c r="D1257" i="61"/>
  <c r="D1258" i="61"/>
  <c r="D1259" i="61"/>
  <c r="D1260" i="61"/>
  <c r="D1261" i="61"/>
  <c r="D1262" i="61"/>
  <c r="D1263" i="61"/>
  <c r="D1264" i="61"/>
  <c r="D1265" i="61"/>
  <c r="D1266" i="61"/>
  <c r="D1267" i="61"/>
  <c r="D1268" i="61"/>
  <c r="D1269" i="61"/>
  <c r="D1270" i="61"/>
  <c r="D1271" i="61"/>
  <c r="D1272" i="61"/>
  <c r="D1273" i="61"/>
  <c r="D1274" i="61"/>
  <c r="D1275" i="61"/>
  <c r="D1276" i="61"/>
  <c r="D1277" i="61"/>
  <c r="D1278" i="61"/>
  <c r="D1279" i="61"/>
  <c r="D1280" i="61"/>
  <c r="D1281" i="61"/>
  <c r="D1282" i="61"/>
  <c r="D1283" i="61"/>
  <c r="D1284" i="61"/>
  <c r="D1285" i="61"/>
  <c r="D1286" i="61"/>
  <c r="D1309" i="61"/>
  <c r="D1310" i="61"/>
  <c r="D1311" i="61"/>
  <c r="D1312" i="61"/>
  <c r="D1313" i="61"/>
  <c r="D1314" i="61"/>
  <c r="D1315" i="61"/>
  <c r="D1316" i="61"/>
  <c r="D1317" i="61"/>
  <c r="D1318" i="61"/>
  <c r="D1319" i="61"/>
  <c r="D1320" i="61"/>
  <c r="D1321" i="61"/>
  <c r="D1322" i="61"/>
  <c r="D1323" i="61"/>
  <c r="D1324" i="61"/>
  <c r="D1325" i="61"/>
  <c r="D1326" i="61"/>
  <c r="D1327" i="61"/>
  <c r="D1328" i="61"/>
  <c r="D1329" i="61"/>
  <c r="D1330" i="61"/>
  <c r="D1331" i="61"/>
  <c r="D1332" i="61"/>
  <c r="D1333" i="61"/>
  <c r="D1334" i="61"/>
  <c r="D1335" i="61"/>
  <c r="D1336" i="61"/>
  <c r="D1337" i="61"/>
  <c r="D1338" i="61"/>
  <c r="D1339" i="61"/>
  <c r="D1340" i="61"/>
  <c r="D1341" i="61"/>
  <c r="D1342" i="61"/>
  <c r="D1343" i="61"/>
  <c r="D1344" i="61"/>
  <c r="D1345" i="61"/>
  <c r="D1346" i="61"/>
  <c r="D1347" i="61"/>
  <c r="D1348" i="61"/>
  <c r="D1349" i="61"/>
  <c r="D1350" i="61"/>
  <c r="D1351" i="61"/>
  <c r="D1352" i="61"/>
  <c r="D1353" i="61"/>
  <c r="D1377" i="61"/>
  <c r="D1378" i="61"/>
  <c r="D1379" i="61"/>
  <c r="D1380" i="61"/>
  <c r="D1381" i="61"/>
  <c r="D1382" i="61"/>
  <c r="D1383" i="61"/>
  <c r="D1384" i="61"/>
  <c r="D1385" i="61"/>
  <c r="D1386" i="61"/>
  <c r="D1387" i="61"/>
  <c r="D1388" i="61"/>
  <c r="D1389" i="61"/>
  <c r="D1390" i="61"/>
  <c r="D1391" i="61"/>
  <c r="D1392" i="61"/>
  <c r="D1393" i="61"/>
  <c r="D1394" i="61"/>
  <c r="D1395" i="61"/>
  <c r="D1396" i="61"/>
  <c r="D1397" i="61"/>
  <c r="D1398" i="61"/>
  <c r="D1399" i="61"/>
  <c r="D1400" i="61"/>
  <c r="D1401" i="61"/>
  <c r="D1402" i="61"/>
  <c r="D1403" i="61"/>
  <c r="D1404" i="61"/>
  <c r="D1405" i="61"/>
  <c r="D1406" i="61"/>
  <c r="D1407" i="61"/>
  <c r="D1408" i="61"/>
  <c r="D1409" i="61"/>
  <c r="D1410" i="61"/>
  <c r="D1411" i="61"/>
  <c r="D1412" i="61"/>
  <c r="D1413" i="61"/>
  <c r="D1414" i="61"/>
  <c r="D1415" i="61"/>
  <c r="D1416" i="61"/>
  <c r="D1417" i="61"/>
  <c r="D1418" i="61"/>
  <c r="D1419" i="61"/>
  <c r="D1420" i="61"/>
  <c r="D1421" i="61"/>
  <c r="D1446" i="61"/>
  <c r="D1447" i="61"/>
  <c r="D1448" i="61"/>
  <c r="D1449" i="61"/>
  <c r="D1450" i="61"/>
  <c r="D1451" i="61"/>
  <c r="D1452" i="61"/>
  <c r="D1453" i="61"/>
  <c r="D1454" i="61"/>
  <c r="D1455" i="61"/>
  <c r="D1456" i="61"/>
  <c r="D1457" i="61"/>
  <c r="D1458" i="61"/>
  <c r="D1459" i="61"/>
  <c r="D1460" i="61"/>
  <c r="D1461" i="61"/>
  <c r="D1462" i="61"/>
  <c r="D1463" i="61"/>
  <c r="D1464" i="61"/>
  <c r="D1465" i="61"/>
  <c r="D1466" i="61"/>
  <c r="D1467" i="61"/>
  <c r="D1468" i="61"/>
  <c r="D1469" i="61"/>
  <c r="D1470" i="61"/>
  <c r="D1471" i="61"/>
  <c r="D1472" i="61"/>
  <c r="D1473" i="61"/>
  <c r="D1474" i="61"/>
  <c r="D1475" i="61"/>
  <c r="D1476" i="61"/>
  <c r="D1477" i="61"/>
  <c r="D1478" i="61"/>
  <c r="D1479" i="61"/>
  <c r="D1480" i="61"/>
  <c r="D1481" i="61"/>
  <c r="D1482" i="61"/>
  <c r="D1483" i="61"/>
  <c r="D1484" i="61"/>
  <c r="D1485" i="61"/>
  <c r="D1486" i="61"/>
  <c r="D1487" i="61"/>
  <c r="D1488" i="61"/>
  <c r="D1489" i="61"/>
  <c r="D1490" i="61"/>
  <c r="D1516" i="61"/>
  <c r="D1517" i="61"/>
  <c r="D1518" i="61"/>
  <c r="D1519" i="61"/>
  <c r="D1520" i="61"/>
  <c r="D1521" i="61"/>
  <c r="D1522" i="61"/>
  <c r="D1523" i="61"/>
  <c r="D1524" i="61"/>
  <c r="D1525" i="61"/>
  <c r="D1526" i="61"/>
  <c r="D1527" i="61"/>
  <c r="D1528" i="61"/>
  <c r="D1529" i="61"/>
  <c r="D1530" i="61"/>
  <c r="D1531" i="61"/>
  <c r="D1532" i="61"/>
  <c r="D1533" i="61"/>
  <c r="D1534" i="61"/>
  <c r="D1535" i="61"/>
  <c r="D1536" i="61"/>
  <c r="D1537" i="61"/>
  <c r="D1538" i="61"/>
  <c r="D1539" i="61"/>
  <c r="D1540" i="61"/>
  <c r="D1541" i="61"/>
  <c r="D1542" i="61"/>
  <c r="D1543" i="61"/>
  <c r="D1544" i="61"/>
  <c r="D1545" i="61"/>
  <c r="D1546" i="61"/>
  <c r="D1547" i="61"/>
  <c r="D1548" i="61"/>
  <c r="D1549" i="61"/>
  <c r="D1550" i="61"/>
  <c r="D1551" i="61"/>
  <c r="D1552" i="61"/>
  <c r="D1553" i="61"/>
  <c r="D1554" i="61"/>
  <c r="D1555" i="61"/>
  <c r="D1556" i="61"/>
  <c r="D1557" i="61"/>
  <c r="D1558" i="61"/>
  <c r="D1559" i="61"/>
  <c r="D1560" i="61"/>
  <c r="D1587" i="61"/>
  <c r="D1588" i="61"/>
  <c r="D1589" i="61"/>
  <c r="D1590" i="61"/>
  <c r="D1591" i="61"/>
  <c r="D1592" i="61"/>
  <c r="D1593" i="61"/>
  <c r="D1594" i="61"/>
  <c r="D1595" i="61"/>
  <c r="D1596" i="61"/>
  <c r="D1597" i="61"/>
  <c r="D1598" i="61"/>
  <c r="D1599" i="61"/>
  <c r="D1600" i="61"/>
  <c r="D1601" i="61"/>
  <c r="D1602" i="61"/>
  <c r="D1603" i="61"/>
  <c r="D1604" i="61"/>
  <c r="D1605" i="61"/>
  <c r="D1606" i="61"/>
  <c r="D1607" i="61"/>
  <c r="D1608" i="61"/>
  <c r="D1609" i="61"/>
  <c r="D1610" i="61"/>
  <c r="D1611" i="61"/>
  <c r="D1612" i="61"/>
  <c r="D1613" i="61"/>
  <c r="D1614" i="61"/>
  <c r="D1615" i="61"/>
  <c r="D1616" i="61"/>
  <c r="D1617" i="61"/>
  <c r="D1618" i="61"/>
  <c r="D1619" i="61"/>
  <c r="D1620" i="61"/>
  <c r="D1621" i="61"/>
  <c r="D1622" i="61"/>
  <c r="D1623" i="61"/>
  <c r="D1624" i="61"/>
  <c r="D1625" i="61"/>
  <c r="D1626" i="61"/>
  <c r="D1627" i="61"/>
  <c r="D1628" i="61"/>
  <c r="D1629" i="61"/>
  <c r="D1630" i="61"/>
  <c r="D1631" i="61"/>
  <c r="D1659" i="61"/>
  <c r="D1660" i="61"/>
  <c r="D1661" i="61"/>
  <c r="D1662" i="61"/>
  <c r="D1663" i="61"/>
  <c r="D1664" i="61"/>
  <c r="D1665" i="61"/>
  <c r="D1666" i="61"/>
  <c r="D1667" i="61"/>
  <c r="D1668" i="61"/>
  <c r="D1669" i="61"/>
  <c r="D1670" i="61"/>
  <c r="D1671" i="61"/>
  <c r="D1672" i="61"/>
  <c r="D1673" i="61"/>
  <c r="D1674" i="61"/>
  <c r="D1675" i="61"/>
  <c r="D1676" i="61"/>
  <c r="D1677" i="61"/>
  <c r="D1678" i="61"/>
  <c r="D1679" i="61"/>
  <c r="D1680" i="61"/>
  <c r="D1681" i="61"/>
  <c r="D1682" i="61"/>
  <c r="D1683" i="61"/>
  <c r="D1684" i="61"/>
  <c r="D1685" i="61"/>
  <c r="D1686" i="61"/>
  <c r="D1687" i="61"/>
  <c r="D1688" i="61"/>
  <c r="D1689" i="61"/>
  <c r="D1690" i="61"/>
  <c r="D1691" i="61"/>
  <c r="D1692" i="61"/>
  <c r="D1693" i="61"/>
  <c r="D1694" i="61"/>
  <c r="D1695" i="61"/>
  <c r="D1696" i="61"/>
  <c r="D1697" i="61"/>
  <c r="D1698" i="61"/>
  <c r="D1699" i="61"/>
  <c r="D1700" i="61"/>
  <c r="D1701" i="61"/>
  <c r="D1702" i="61"/>
  <c r="D1703" i="61"/>
  <c r="D1732" i="61"/>
  <c r="D1733" i="61"/>
  <c r="D1734" i="61"/>
  <c r="D1735" i="61"/>
  <c r="D1736" i="61"/>
  <c r="D1737" i="61"/>
  <c r="D1738" i="61"/>
  <c r="D1739" i="61"/>
  <c r="D1740" i="61"/>
  <c r="D1741" i="61"/>
  <c r="D1742" i="61"/>
  <c r="D1743" i="61"/>
  <c r="D1744" i="61"/>
  <c r="D1745" i="61"/>
  <c r="D1746" i="61"/>
  <c r="D1747" i="61"/>
  <c r="D1748" i="61"/>
  <c r="D1749" i="61"/>
  <c r="D1750" i="61"/>
  <c r="D1751" i="61"/>
  <c r="D1752" i="61"/>
  <c r="D1753" i="61"/>
  <c r="D1754" i="61"/>
  <c r="D1755" i="61"/>
  <c r="D1756" i="61"/>
  <c r="D1757" i="61"/>
  <c r="D1758" i="61"/>
  <c r="D1759" i="61"/>
  <c r="D1760" i="61"/>
  <c r="D1761" i="61"/>
  <c r="D1762" i="61"/>
  <c r="D1763" i="61"/>
  <c r="D1764" i="61"/>
  <c r="D1765" i="61"/>
  <c r="D1766" i="61"/>
  <c r="D1767" i="61"/>
  <c r="D1768" i="61"/>
  <c r="D1769" i="61"/>
  <c r="D1770" i="61"/>
  <c r="D1771" i="61"/>
  <c r="D1772" i="61"/>
  <c r="D1773" i="61"/>
  <c r="D1774" i="61"/>
  <c r="D1775" i="61"/>
  <c r="D1776" i="61"/>
  <c r="D1806" i="61"/>
  <c r="D1807" i="61"/>
  <c r="D1808" i="61"/>
  <c r="D1809" i="61"/>
  <c r="D1810" i="61"/>
  <c r="D1811" i="61"/>
  <c r="D1812" i="61"/>
  <c r="D1813" i="61"/>
  <c r="D1814" i="61"/>
  <c r="D1815" i="61"/>
  <c r="D1816" i="61"/>
  <c r="D1817" i="61"/>
  <c r="D1818" i="61"/>
  <c r="D1819" i="61"/>
  <c r="D1820" i="61"/>
  <c r="D1821" i="61"/>
  <c r="D1822" i="61"/>
  <c r="D1823" i="61"/>
  <c r="D1824" i="61"/>
  <c r="D1825" i="61"/>
  <c r="D1826" i="61"/>
  <c r="D1827" i="61"/>
  <c r="D1828" i="61"/>
  <c r="D1829" i="61"/>
  <c r="D1830" i="61"/>
  <c r="D1831" i="61"/>
  <c r="D1832" i="61"/>
  <c r="D1833" i="61"/>
  <c r="D1834" i="61"/>
  <c r="D1835" i="61"/>
  <c r="D1836" i="61"/>
  <c r="D1837" i="61"/>
  <c r="D1838" i="61"/>
  <c r="D1839" i="61"/>
  <c r="D1840" i="61"/>
  <c r="D1841" i="61"/>
  <c r="D1842" i="61"/>
  <c r="D1843" i="61"/>
  <c r="D1844" i="61"/>
  <c r="D1845" i="61"/>
  <c r="D1846" i="61"/>
  <c r="D1847" i="61"/>
  <c r="D1848" i="61"/>
  <c r="D1849" i="61"/>
  <c r="D1850" i="61"/>
  <c r="D1881" i="61"/>
  <c r="D1882" i="61"/>
  <c r="D1883" i="61"/>
  <c r="D1884" i="61"/>
  <c r="D1885" i="61"/>
  <c r="D1886" i="61"/>
  <c r="D1887" i="61"/>
  <c r="D1888" i="61"/>
  <c r="D1889" i="61"/>
  <c r="D1890" i="61"/>
  <c r="D1891" i="61"/>
  <c r="D1892" i="61"/>
  <c r="D1893" i="61"/>
  <c r="D1894" i="61"/>
  <c r="D1895" i="61"/>
  <c r="D1896" i="61"/>
  <c r="D1897" i="61"/>
  <c r="D1898" i="61"/>
  <c r="D1899" i="61"/>
  <c r="D1900" i="61"/>
  <c r="D1901" i="61"/>
  <c r="D1902" i="61"/>
  <c r="D1903" i="61"/>
  <c r="D1904" i="61"/>
  <c r="D1905" i="61"/>
  <c r="D1906" i="61"/>
  <c r="D1907" i="61"/>
  <c r="D1908" i="61"/>
  <c r="D1909" i="61"/>
  <c r="D1910" i="61"/>
  <c r="D1911" i="61"/>
  <c r="D1912" i="61"/>
  <c r="D1913" i="61"/>
  <c r="D1914" i="61"/>
  <c r="D1915" i="61"/>
  <c r="D1916" i="61"/>
  <c r="D1917" i="61"/>
  <c r="D1918" i="61"/>
  <c r="D1919" i="61"/>
  <c r="D1920" i="61"/>
  <c r="D1921" i="61"/>
  <c r="D1922" i="61"/>
  <c r="D1923" i="61"/>
  <c r="D1924" i="61"/>
  <c r="D1925" i="61"/>
  <c r="D1957" i="61"/>
  <c r="D1958" i="61"/>
  <c r="D1959" i="61"/>
  <c r="D1960" i="61"/>
  <c r="D1961" i="61"/>
  <c r="D1962" i="61"/>
  <c r="D1963" i="61"/>
  <c r="D1964" i="61"/>
  <c r="D1965" i="61"/>
  <c r="D1966" i="61"/>
  <c r="D1967" i="61"/>
  <c r="D1968" i="61"/>
  <c r="D1969" i="61"/>
  <c r="D1970" i="61"/>
  <c r="D1971" i="61"/>
  <c r="D1972" i="61"/>
  <c r="D1973" i="61"/>
  <c r="D1974" i="61"/>
  <c r="D1975" i="61"/>
  <c r="D1976" i="61"/>
  <c r="D1977" i="61"/>
  <c r="D1978" i="61"/>
  <c r="D1979" i="61"/>
  <c r="D1980" i="61"/>
  <c r="D1981" i="61"/>
  <c r="D1982" i="61"/>
  <c r="D1983" i="61"/>
  <c r="D1984" i="61"/>
  <c r="D1985" i="61"/>
  <c r="D1986" i="61"/>
  <c r="D1987" i="61"/>
  <c r="D1988" i="61"/>
  <c r="D1989" i="61"/>
  <c r="D1990" i="61"/>
  <c r="D1991" i="61"/>
  <c r="D1992" i="61"/>
  <c r="D1993" i="61"/>
  <c r="D1994" i="61"/>
  <c r="D1995" i="61"/>
  <c r="D1996" i="61"/>
  <c r="D1997" i="61"/>
  <c r="D1998" i="61"/>
  <c r="D1999" i="61"/>
  <c r="D2000" i="61"/>
  <c r="D2001" i="61"/>
  <c r="D2034" i="61"/>
  <c r="D2035" i="61"/>
  <c r="D2036" i="61"/>
  <c r="D2037" i="61"/>
  <c r="D2038" i="61"/>
  <c r="D2039" i="61"/>
  <c r="D2040" i="61"/>
  <c r="D2041" i="61"/>
  <c r="D2042" i="61"/>
  <c r="D2043" i="61"/>
  <c r="D2044" i="61"/>
  <c r="D2045" i="61"/>
  <c r="D2046" i="61"/>
  <c r="D2047" i="61"/>
  <c r="D2048" i="61"/>
  <c r="D2049" i="61"/>
  <c r="D2050" i="61"/>
  <c r="D2051" i="61"/>
  <c r="D2052" i="61"/>
  <c r="D2053" i="61"/>
  <c r="D2054" i="61"/>
  <c r="D2055" i="61"/>
  <c r="D2056" i="61"/>
  <c r="D2057" i="61"/>
  <c r="D2058" i="61"/>
  <c r="D2059" i="61"/>
  <c r="D2060" i="61"/>
  <c r="D2061" i="61"/>
  <c r="D2062" i="61"/>
  <c r="D2063" i="61"/>
  <c r="D2064" i="61"/>
  <c r="D2065" i="61"/>
  <c r="D2066" i="61"/>
  <c r="D2067" i="61"/>
  <c r="D2068" i="61"/>
  <c r="D2069" i="61"/>
  <c r="D2070" i="61"/>
  <c r="D2071" i="61"/>
  <c r="D2072" i="61"/>
  <c r="D2073" i="61"/>
  <c r="D2074" i="61"/>
  <c r="D2075" i="61"/>
  <c r="D2076" i="61"/>
  <c r="D2077" i="61"/>
  <c r="D2078" i="61"/>
  <c r="D2112" i="61"/>
  <c r="D2113" i="61"/>
  <c r="D2114" i="61"/>
  <c r="D2115" i="61"/>
  <c r="D2116" i="61"/>
  <c r="D2117" i="61"/>
  <c r="D2118" i="61"/>
  <c r="D2119" i="61"/>
  <c r="D2120" i="61"/>
  <c r="D2121" i="61"/>
  <c r="D2122" i="61"/>
  <c r="D2123" i="61"/>
  <c r="D2124" i="61"/>
  <c r="D2125" i="61"/>
  <c r="D2126" i="61"/>
  <c r="D2127" i="61"/>
  <c r="D2128" i="61"/>
  <c r="D2129" i="61"/>
  <c r="D2130" i="61"/>
  <c r="D2131" i="61"/>
  <c r="D2132" i="61"/>
  <c r="D2133" i="61"/>
  <c r="D2134" i="61"/>
  <c r="D2135" i="61"/>
  <c r="D2136" i="61"/>
  <c r="D2137" i="61"/>
  <c r="D2138" i="61"/>
  <c r="D2139" i="61"/>
  <c r="D2140" i="61"/>
  <c r="D2141" i="61"/>
  <c r="D2142" i="61"/>
  <c r="D2143" i="61"/>
  <c r="D2144" i="61"/>
  <c r="D2145" i="61"/>
  <c r="D2146" i="61"/>
  <c r="D2147" i="61"/>
  <c r="D2148" i="61"/>
  <c r="D2149" i="61"/>
  <c r="D2150" i="61"/>
  <c r="D2151" i="61"/>
  <c r="D2152" i="61"/>
  <c r="D2153" i="61"/>
  <c r="D2154" i="61"/>
  <c r="D2155" i="61"/>
  <c r="D2156" i="61"/>
  <c r="D2191" i="61"/>
  <c r="D2192" i="61"/>
  <c r="D2193" i="61"/>
  <c r="D2194" i="61"/>
  <c r="D2195" i="61"/>
  <c r="D2196" i="61"/>
  <c r="D2197" i="61"/>
  <c r="D2198" i="61"/>
  <c r="D2199" i="61"/>
  <c r="D2200" i="61"/>
  <c r="D2201" i="61"/>
  <c r="D2202" i="61"/>
  <c r="D2203" i="61"/>
  <c r="D2204" i="61"/>
  <c r="D2205" i="61"/>
  <c r="D2206" i="61"/>
  <c r="D2207" i="61"/>
  <c r="D2208" i="61"/>
  <c r="D2209" i="61"/>
  <c r="D2210" i="61"/>
  <c r="D2211" i="61"/>
  <c r="D2212" i="61"/>
  <c r="D2213" i="61"/>
  <c r="D2214" i="61"/>
  <c r="D2215" i="61"/>
  <c r="D2216" i="61"/>
  <c r="D2217" i="61"/>
  <c r="D2218" i="61"/>
  <c r="D2219" i="61"/>
  <c r="D2220" i="61"/>
  <c r="D2221" i="61"/>
  <c r="D2222" i="61"/>
  <c r="D2223" i="61"/>
  <c r="D2224" i="61"/>
  <c r="D2225" i="61"/>
  <c r="D2226" i="61"/>
  <c r="D2227" i="61"/>
  <c r="D2228" i="61"/>
  <c r="D2229" i="61"/>
  <c r="D2230" i="61"/>
  <c r="D2231" i="61"/>
  <c r="D2232" i="61"/>
  <c r="D2233" i="61"/>
  <c r="D2234" i="61"/>
  <c r="D2235" i="61"/>
  <c r="D2271" i="61"/>
  <c r="D2272" i="61"/>
  <c r="D2273" i="61"/>
  <c r="D2274" i="61"/>
  <c r="D2275" i="61"/>
  <c r="D2276" i="61"/>
  <c r="D2277" i="61"/>
  <c r="D2278" i="61"/>
  <c r="D2279" i="61"/>
  <c r="D2280" i="61"/>
  <c r="D2281" i="61"/>
  <c r="D2282" i="61"/>
  <c r="D2283" i="61"/>
  <c r="D2284" i="61"/>
  <c r="D2285" i="61"/>
  <c r="D2286" i="61"/>
  <c r="D2287" i="61"/>
  <c r="D2288" i="61"/>
  <c r="D2289" i="61"/>
  <c r="D2290" i="61"/>
  <c r="D2291" i="61"/>
  <c r="D2292" i="61"/>
  <c r="D2293" i="61"/>
  <c r="D2294" i="61"/>
  <c r="D2295" i="61"/>
  <c r="D2296" i="61"/>
  <c r="D2297" i="61"/>
  <c r="D2298" i="61"/>
  <c r="D2299" i="61"/>
  <c r="D2300" i="61"/>
  <c r="D2301" i="61"/>
  <c r="D2302" i="61"/>
  <c r="D2303" i="61"/>
  <c r="D2304" i="61"/>
  <c r="D2305" i="61"/>
  <c r="D2306" i="61"/>
  <c r="D2307" i="61"/>
  <c r="D2308" i="61"/>
  <c r="D2309" i="61"/>
  <c r="D2310" i="61"/>
  <c r="D2311" i="61"/>
  <c r="D2312" i="61"/>
  <c r="D2313" i="61"/>
  <c r="D2314" i="61"/>
  <c r="D2315" i="61"/>
  <c r="D93" i="59"/>
  <c r="D95" i="59"/>
  <c r="D96" i="59"/>
  <c r="D97" i="59"/>
  <c r="D98" i="59"/>
  <c r="D99" i="59"/>
  <c r="D100" i="59"/>
  <c r="D101" i="59"/>
  <c r="D102" i="59"/>
  <c r="D103" i="59"/>
  <c r="D104" i="59"/>
  <c r="D105" i="59"/>
  <c r="D106" i="59"/>
  <c r="D107" i="59"/>
  <c r="D108" i="59"/>
  <c r="D109" i="59"/>
  <c r="D110" i="59"/>
  <c r="D142" i="59"/>
  <c r="D143" i="59"/>
  <c r="D144" i="59"/>
  <c r="D145" i="59"/>
  <c r="D146" i="59"/>
  <c r="D147" i="59"/>
  <c r="D148" i="59"/>
  <c r="D149" i="59"/>
  <c r="D150" i="59"/>
  <c r="D151" i="59"/>
  <c r="D152" i="59"/>
  <c r="D153" i="59"/>
  <c r="D154" i="59"/>
  <c r="D155" i="59"/>
  <c r="D156" i="59"/>
  <c r="D189" i="59"/>
  <c r="D190" i="59"/>
  <c r="D191" i="59"/>
  <c r="D192" i="59"/>
  <c r="D193" i="59"/>
  <c r="D194" i="59"/>
  <c r="D195" i="59"/>
  <c r="D196" i="59"/>
  <c r="D197" i="59"/>
  <c r="D198" i="59"/>
  <c r="D199" i="59"/>
  <c r="D200" i="59"/>
  <c r="D201" i="59"/>
  <c r="D202" i="59"/>
  <c r="D203" i="59"/>
  <c r="D237" i="59"/>
  <c r="D238" i="59"/>
  <c r="D239" i="59"/>
  <c r="D240" i="59"/>
  <c r="D241" i="59"/>
  <c r="D242" i="59"/>
  <c r="D243" i="59"/>
  <c r="D244" i="59"/>
  <c r="D245" i="59"/>
  <c r="D246" i="59"/>
  <c r="D247" i="59"/>
  <c r="D248" i="59"/>
  <c r="D249" i="59"/>
  <c r="D250" i="59"/>
  <c r="D251" i="59"/>
  <c r="D286" i="59"/>
  <c r="D287" i="59"/>
  <c r="D288" i="59"/>
  <c r="D289" i="59"/>
  <c r="D290" i="59"/>
  <c r="D291" i="59"/>
  <c r="D292" i="59"/>
  <c r="D293" i="59"/>
  <c r="D294" i="59"/>
  <c r="D295" i="59"/>
  <c r="D296" i="59"/>
  <c r="D297" i="59"/>
  <c r="D298" i="59"/>
  <c r="D299" i="59"/>
  <c r="D300" i="59"/>
  <c r="D336" i="59"/>
  <c r="D337" i="59"/>
  <c r="D338" i="59"/>
  <c r="D339" i="59"/>
  <c r="D340" i="59"/>
  <c r="D341" i="59"/>
  <c r="D342" i="59"/>
  <c r="D343" i="59"/>
  <c r="D344" i="59"/>
  <c r="D345" i="59"/>
  <c r="D346" i="59"/>
  <c r="D347" i="59"/>
  <c r="D348" i="59"/>
  <c r="D349" i="59"/>
  <c r="D350" i="59"/>
  <c r="D387" i="59"/>
  <c r="D388" i="59"/>
  <c r="D389" i="59"/>
  <c r="D390" i="59"/>
  <c r="D391" i="59"/>
  <c r="D392" i="59"/>
  <c r="D393" i="59"/>
  <c r="D394" i="59"/>
  <c r="D395" i="59"/>
  <c r="D396" i="59"/>
  <c r="D397" i="59"/>
  <c r="D398" i="59"/>
  <c r="D399" i="59"/>
  <c r="D400" i="59"/>
  <c r="D401" i="59"/>
  <c r="D439" i="59"/>
  <c r="D440" i="59"/>
  <c r="D441" i="59"/>
  <c r="D442" i="59"/>
  <c r="D443" i="59"/>
  <c r="D444" i="59"/>
  <c r="D445" i="59"/>
  <c r="D446" i="59"/>
  <c r="D447" i="59"/>
  <c r="D448" i="59"/>
  <c r="D449" i="59"/>
  <c r="D450" i="59"/>
  <c r="D451" i="59"/>
  <c r="D452" i="59"/>
  <c r="D453" i="59"/>
  <c r="D492" i="59"/>
  <c r="D493" i="59"/>
  <c r="D494" i="59"/>
  <c r="D495" i="59"/>
  <c r="D496" i="59"/>
  <c r="D497" i="59"/>
  <c r="D498" i="59"/>
  <c r="D499" i="59"/>
  <c r="D500" i="59"/>
  <c r="D501" i="59"/>
  <c r="D502" i="59"/>
  <c r="D503" i="59"/>
  <c r="D504" i="59"/>
  <c r="D505" i="59"/>
  <c r="D506" i="59"/>
  <c r="D546" i="59"/>
  <c r="D547" i="59"/>
  <c r="D548" i="59"/>
  <c r="D549" i="59"/>
  <c r="D550" i="59"/>
  <c r="D551" i="59"/>
  <c r="D552" i="59"/>
  <c r="D553" i="59"/>
  <c r="D554" i="59"/>
  <c r="D555" i="59"/>
  <c r="D556" i="59"/>
  <c r="D557" i="59"/>
  <c r="D558" i="59"/>
  <c r="D559" i="59"/>
  <c r="D560" i="59"/>
  <c r="D601" i="59"/>
  <c r="D602" i="59"/>
  <c r="D603" i="59"/>
  <c r="D604" i="59"/>
  <c r="D605" i="59"/>
  <c r="D606" i="59"/>
  <c r="D607" i="59"/>
  <c r="D608" i="59"/>
  <c r="D609" i="59"/>
  <c r="D610" i="59"/>
  <c r="D611" i="59"/>
  <c r="D612" i="59"/>
  <c r="D613" i="59"/>
  <c r="D614" i="59"/>
  <c r="D615" i="59"/>
  <c r="D657" i="59"/>
  <c r="D658" i="59"/>
  <c r="D659" i="59"/>
  <c r="D660" i="59"/>
  <c r="D661" i="59"/>
  <c r="D662" i="59"/>
  <c r="D663" i="59"/>
  <c r="D664" i="59"/>
  <c r="D665" i="59"/>
  <c r="D666" i="59"/>
  <c r="D667" i="59"/>
  <c r="D668" i="59"/>
  <c r="D669" i="59"/>
  <c r="D670" i="59"/>
  <c r="D671" i="59"/>
  <c r="D714" i="59"/>
  <c r="D715" i="59"/>
  <c r="D716" i="59"/>
  <c r="D717" i="59"/>
  <c r="D718" i="59"/>
  <c r="D719" i="59"/>
  <c r="D720" i="59"/>
  <c r="D721" i="59"/>
  <c r="D722" i="59"/>
  <c r="D723" i="59"/>
  <c r="D724" i="59"/>
  <c r="D725" i="59"/>
  <c r="D726" i="59"/>
  <c r="D727" i="59"/>
  <c r="D728" i="59"/>
  <c r="D772" i="59"/>
  <c r="D773" i="59"/>
  <c r="D774" i="59"/>
  <c r="D775" i="59"/>
  <c r="D776" i="59"/>
  <c r="D777" i="59"/>
  <c r="D778" i="59"/>
  <c r="D779" i="59"/>
  <c r="D780" i="59"/>
  <c r="D781" i="59"/>
  <c r="D782" i="59"/>
  <c r="D783" i="59"/>
  <c r="D784" i="59"/>
  <c r="D785" i="59"/>
  <c r="D786" i="59"/>
  <c r="D831" i="59"/>
  <c r="D832" i="59"/>
  <c r="D833" i="59"/>
  <c r="D834" i="59"/>
  <c r="D835" i="59"/>
  <c r="D836" i="59"/>
  <c r="D837" i="59"/>
  <c r="D838" i="59"/>
  <c r="D839" i="59"/>
  <c r="D840" i="59"/>
  <c r="D841" i="59"/>
  <c r="D842" i="59"/>
  <c r="D843" i="59"/>
  <c r="D844" i="59"/>
  <c r="D845" i="59"/>
  <c r="D891" i="59"/>
  <c r="D892" i="59"/>
  <c r="D893" i="59"/>
  <c r="D894" i="59"/>
  <c r="D895" i="59"/>
  <c r="D896" i="59"/>
  <c r="D897" i="59"/>
  <c r="D898" i="59"/>
  <c r="D899" i="59"/>
  <c r="D900" i="59"/>
  <c r="D901" i="59"/>
  <c r="D902" i="59"/>
  <c r="D903" i="59"/>
  <c r="D904" i="59"/>
  <c r="D905" i="59"/>
  <c r="D952" i="59"/>
  <c r="D953" i="59"/>
  <c r="D954" i="59"/>
  <c r="D955" i="59"/>
  <c r="D956" i="59"/>
  <c r="D957" i="59"/>
  <c r="D958" i="59"/>
  <c r="D959" i="59"/>
  <c r="D960" i="59"/>
  <c r="D961" i="59"/>
  <c r="D962" i="59"/>
  <c r="D963" i="59"/>
  <c r="D964" i="59"/>
  <c r="D965" i="59"/>
  <c r="D966" i="59"/>
  <c r="D1014" i="59"/>
  <c r="D1015" i="59"/>
  <c r="D1016" i="59"/>
  <c r="D1017" i="59"/>
  <c r="D1018" i="59"/>
  <c r="D1019" i="59"/>
  <c r="D1020" i="59"/>
  <c r="D1021" i="59"/>
  <c r="D1022" i="59"/>
  <c r="D1023" i="59"/>
  <c r="D1024" i="59"/>
  <c r="D1025" i="59"/>
  <c r="D1026" i="59"/>
  <c r="D1027" i="59"/>
  <c r="D1028" i="59"/>
  <c r="D1077" i="59"/>
  <c r="D1078" i="59"/>
  <c r="D1079" i="59"/>
  <c r="D1080" i="59"/>
  <c r="D1081" i="59"/>
  <c r="D1082" i="59"/>
  <c r="D1083" i="59"/>
  <c r="D1084" i="59"/>
  <c r="D1085" i="59"/>
  <c r="D1086" i="59"/>
  <c r="D1087" i="59"/>
  <c r="D1088" i="59"/>
  <c r="D1141" i="59"/>
  <c r="D1142" i="59"/>
  <c r="D1143" i="59"/>
  <c r="D1144" i="59"/>
  <c r="D1145" i="59"/>
  <c r="D1146" i="59"/>
  <c r="D1147" i="59"/>
  <c r="D1148" i="59"/>
  <c r="D1149" i="59"/>
  <c r="D1150" i="59"/>
  <c r="D1151" i="59"/>
  <c r="D1152" i="59"/>
  <c r="D1153" i="59"/>
  <c r="D1206" i="59"/>
  <c r="D1207" i="59"/>
  <c r="D1208" i="59"/>
  <c r="D1209" i="59"/>
  <c r="D1210" i="59"/>
  <c r="D1211" i="59"/>
  <c r="D1212" i="59"/>
  <c r="D1213" i="59"/>
  <c r="D1214" i="59"/>
  <c r="D1215" i="59"/>
  <c r="D1216" i="59"/>
  <c r="D1217" i="59"/>
  <c r="D1218" i="59"/>
  <c r="D1219" i="59"/>
  <c r="D1220" i="59"/>
  <c r="D1272" i="59"/>
  <c r="D1273" i="59"/>
  <c r="D1274" i="59"/>
  <c r="D1275" i="59"/>
  <c r="D1276" i="59"/>
  <c r="D1277" i="59"/>
  <c r="D1278" i="59"/>
  <c r="D1279" i="59"/>
  <c r="D1280" i="59"/>
  <c r="D1281" i="59"/>
  <c r="D1282" i="59"/>
  <c r="D1283" i="59"/>
  <c r="D1284" i="59"/>
  <c r="D1285" i="59"/>
  <c r="D1286" i="59"/>
  <c r="D1339" i="59"/>
  <c r="D1340" i="59"/>
  <c r="D1341" i="59"/>
  <c r="D1342" i="59"/>
  <c r="D1343" i="59"/>
  <c r="D1344" i="59"/>
  <c r="D1345" i="59"/>
  <c r="D1346" i="59"/>
  <c r="D1347" i="59"/>
  <c r="D1348" i="59"/>
  <c r="D1349" i="59"/>
  <c r="D1350" i="59"/>
  <c r="D1351" i="59"/>
  <c r="D1352" i="59"/>
  <c r="D1353" i="59"/>
  <c r="D1407" i="59"/>
  <c r="D1408" i="59"/>
  <c r="D1409" i="59"/>
  <c r="D1410" i="59"/>
  <c r="D1411" i="59"/>
  <c r="D1412" i="59"/>
  <c r="D1413" i="59"/>
  <c r="D1414" i="59"/>
  <c r="D1415" i="59"/>
  <c r="D1416" i="59"/>
  <c r="D1417" i="59"/>
  <c r="D1418" i="59"/>
  <c r="D1419" i="59"/>
  <c r="D1420" i="59"/>
  <c r="D1421" i="59"/>
  <c r="D1476" i="59"/>
  <c r="D1477" i="59"/>
  <c r="D1478" i="59"/>
  <c r="D1479" i="59"/>
  <c r="D1480" i="59"/>
  <c r="D1481" i="59"/>
  <c r="D1482" i="59"/>
  <c r="D1483" i="59"/>
  <c r="D1484" i="59"/>
  <c r="D1485" i="59"/>
  <c r="D1486" i="59"/>
  <c r="D1487" i="59"/>
  <c r="D1488" i="59"/>
  <c r="D1489" i="59"/>
  <c r="D1490" i="59"/>
  <c r="D1546" i="59"/>
  <c r="D1547" i="59"/>
  <c r="D1548" i="59"/>
  <c r="D1549" i="59"/>
  <c r="D1550" i="59"/>
  <c r="D1551" i="59"/>
  <c r="D1552" i="59"/>
  <c r="D1553" i="59"/>
  <c r="D1554" i="59"/>
  <c r="D1555" i="59"/>
  <c r="D1556" i="59"/>
  <c r="D1557" i="59"/>
  <c r="D1558" i="59"/>
  <c r="D1559" i="59"/>
  <c r="D1560" i="59"/>
  <c r="D1617" i="59"/>
  <c r="D1618" i="59"/>
  <c r="D1619" i="59"/>
  <c r="D1620" i="59"/>
  <c r="D1621" i="59"/>
  <c r="D1622" i="59"/>
  <c r="D1623" i="59"/>
  <c r="D1624" i="59"/>
  <c r="D1625" i="59"/>
  <c r="D1626" i="59"/>
  <c r="D1627" i="59"/>
  <c r="D1628" i="59"/>
  <c r="D1629" i="59"/>
  <c r="D1630" i="59"/>
  <c r="D1631" i="59"/>
  <c r="D1689" i="59"/>
  <c r="D1690" i="59"/>
  <c r="D1691" i="59"/>
  <c r="D1692" i="59"/>
  <c r="D1693" i="59"/>
  <c r="D1694" i="59"/>
  <c r="D1695" i="59"/>
  <c r="D1696" i="59"/>
  <c r="D1697" i="59"/>
  <c r="D1698" i="59"/>
  <c r="D1699" i="59"/>
  <c r="D1700" i="59"/>
  <c r="D1701" i="59"/>
  <c r="D1702" i="59"/>
  <c r="D1703" i="59"/>
  <c r="D1762" i="59"/>
  <c r="D1763" i="59"/>
  <c r="D1764" i="59"/>
  <c r="D1765" i="59"/>
  <c r="D1766" i="59"/>
  <c r="D1767" i="59"/>
  <c r="D1768" i="59"/>
  <c r="D1769" i="59"/>
  <c r="D1770" i="59"/>
  <c r="D1771" i="59"/>
  <c r="D1772" i="59"/>
  <c r="D1773" i="59"/>
  <c r="D1774" i="59"/>
  <c r="D1775" i="59"/>
  <c r="D1776" i="59"/>
  <c r="D1836" i="59"/>
  <c r="D1837" i="59"/>
  <c r="D1838" i="59"/>
  <c r="D1839" i="59"/>
  <c r="D1840" i="59"/>
  <c r="D1841" i="59"/>
  <c r="D1842" i="59"/>
  <c r="D1843" i="59"/>
  <c r="D1844" i="59"/>
  <c r="D1845" i="59"/>
  <c r="D1846" i="59"/>
  <c r="D1847" i="59"/>
  <c r="D1848" i="59"/>
  <c r="D1849" i="59"/>
  <c r="D1850" i="59"/>
  <c r="D1911" i="59"/>
  <c r="D1912" i="59"/>
  <c r="D1913" i="59"/>
  <c r="D1914" i="59"/>
  <c r="D1915" i="59"/>
  <c r="D1916" i="59"/>
  <c r="D1917" i="59"/>
  <c r="D1918" i="59"/>
  <c r="D1919" i="59"/>
  <c r="D1920" i="59"/>
  <c r="D1921" i="59"/>
  <c r="D1922" i="59"/>
  <c r="D1923" i="59"/>
  <c r="D1924" i="59"/>
  <c r="D1925" i="59"/>
  <c r="D1987" i="59"/>
  <c r="D1988" i="59"/>
  <c r="D1989" i="59"/>
  <c r="D1990" i="59"/>
  <c r="D1991" i="59"/>
  <c r="D1992" i="59"/>
  <c r="D1993" i="59"/>
  <c r="D1994" i="59"/>
  <c r="D1995" i="59"/>
  <c r="D1996" i="59"/>
  <c r="D1997" i="59"/>
  <c r="D1998" i="59"/>
  <c r="D1999" i="59"/>
  <c r="D2000" i="59"/>
  <c r="D2001" i="59"/>
  <c r="D2064" i="59"/>
  <c r="D2065" i="59"/>
  <c r="D2066" i="59"/>
  <c r="D2067" i="59"/>
  <c r="D2068" i="59"/>
  <c r="D2069" i="59"/>
  <c r="D2070" i="59"/>
  <c r="D2071" i="59"/>
  <c r="D2072" i="59"/>
  <c r="D2073" i="59"/>
  <c r="D2074" i="59"/>
  <c r="D2075" i="59"/>
  <c r="D2076" i="59"/>
  <c r="D2077" i="59"/>
  <c r="D2078" i="59"/>
  <c r="D2142" i="59"/>
  <c r="D2143" i="59"/>
  <c r="D2144" i="59"/>
  <c r="D2145" i="59"/>
  <c r="D2146" i="59"/>
  <c r="D2147" i="59"/>
  <c r="D2148" i="59"/>
  <c r="D2149" i="59"/>
  <c r="D2150" i="59"/>
  <c r="D2151" i="59"/>
  <c r="D2152" i="59"/>
  <c r="D2153" i="59"/>
  <c r="D2154" i="59"/>
  <c r="D2155" i="59"/>
  <c r="D2156" i="59"/>
  <c r="D2221" i="59"/>
  <c r="D2222" i="59"/>
  <c r="D2223" i="59"/>
  <c r="D2224" i="59"/>
  <c r="D2225" i="59"/>
  <c r="D2226" i="59"/>
  <c r="D2227" i="59"/>
  <c r="D2228" i="59"/>
  <c r="D2229" i="59"/>
  <c r="D2230" i="59"/>
  <c r="D2231" i="59"/>
  <c r="D2232" i="59"/>
  <c r="D2233" i="59"/>
  <c r="D2234" i="59"/>
  <c r="D2235" i="59"/>
  <c r="D2301" i="59"/>
  <c r="D2302" i="59"/>
  <c r="D2303" i="59"/>
  <c r="D2304" i="59"/>
  <c r="D2305" i="59"/>
  <c r="D2306" i="59"/>
  <c r="D2307" i="59"/>
  <c r="D2308" i="59"/>
  <c r="D2309" i="59"/>
  <c r="D2310" i="59"/>
  <c r="D2311" i="59"/>
  <c r="D2312" i="59"/>
  <c r="D2313" i="59"/>
  <c r="D2314" i="59"/>
  <c r="D2315" i="59"/>
  <c r="D30" i="59"/>
  <c r="D80" i="60"/>
  <c r="D81" i="60"/>
  <c r="D82" i="60"/>
  <c r="D83" i="60"/>
  <c r="D84" i="60"/>
  <c r="D85" i="60"/>
  <c r="D86" i="60"/>
  <c r="D87" i="60"/>
  <c r="D88" i="60"/>
  <c r="D89" i="60"/>
  <c r="D90" i="60"/>
  <c r="D91" i="60"/>
  <c r="D92" i="60"/>
  <c r="D93" i="60"/>
  <c r="D94" i="60"/>
  <c r="D95" i="60"/>
  <c r="D96" i="60"/>
  <c r="D97" i="60"/>
  <c r="D98" i="60"/>
  <c r="D99" i="60"/>
  <c r="D100" i="60"/>
  <c r="D101" i="60"/>
  <c r="D102" i="60"/>
  <c r="D103" i="60"/>
  <c r="D104" i="60"/>
  <c r="D105" i="60"/>
  <c r="D106" i="60"/>
  <c r="D107" i="60"/>
  <c r="D108" i="60"/>
  <c r="D109" i="60"/>
  <c r="D110" i="60"/>
  <c r="D114" i="60"/>
  <c r="D115" i="60"/>
  <c r="D116" i="60"/>
  <c r="D117" i="60"/>
  <c r="D118" i="60"/>
  <c r="D119" i="60"/>
  <c r="D120" i="60"/>
  <c r="D121" i="60"/>
  <c r="D122" i="60"/>
  <c r="D123" i="60"/>
  <c r="D124" i="60"/>
  <c r="D125" i="60"/>
  <c r="D126" i="60"/>
  <c r="D127" i="60"/>
  <c r="D128" i="60"/>
  <c r="D129" i="60"/>
  <c r="D130" i="60"/>
  <c r="D131" i="60"/>
  <c r="D132" i="60"/>
  <c r="D133" i="60"/>
  <c r="D134" i="60"/>
  <c r="D135" i="60"/>
  <c r="D136" i="60"/>
  <c r="D137" i="60"/>
  <c r="D138" i="60"/>
  <c r="D139" i="60"/>
  <c r="D140" i="60"/>
  <c r="D141" i="60"/>
  <c r="D142" i="60"/>
  <c r="D143" i="60"/>
  <c r="D144" i="60"/>
  <c r="D145" i="60"/>
  <c r="D146" i="60"/>
  <c r="D147" i="60"/>
  <c r="D148" i="60"/>
  <c r="D149" i="60"/>
  <c r="D150" i="60"/>
  <c r="D151" i="60"/>
  <c r="D152" i="60"/>
  <c r="D153" i="60"/>
  <c r="D154" i="60"/>
  <c r="D155" i="60"/>
  <c r="D156" i="60"/>
  <c r="D160" i="60"/>
  <c r="D161" i="60"/>
  <c r="D162" i="60"/>
  <c r="D163" i="60"/>
  <c r="D164" i="60"/>
  <c r="D165" i="60"/>
  <c r="D166" i="60"/>
  <c r="D167" i="60"/>
  <c r="D168" i="60"/>
  <c r="D169" i="60"/>
  <c r="D170" i="60"/>
  <c r="D171" i="60"/>
  <c r="D172" i="60"/>
  <c r="D173" i="60"/>
  <c r="D174" i="60"/>
  <c r="D175" i="60"/>
  <c r="D176" i="60"/>
  <c r="D177" i="60"/>
  <c r="D178" i="60"/>
  <c r="D179" i="60"/>
  <c r="D180" i="60"/>
  <c r="D181" i="60"/>
  <c r="D182" i="60"/>
  <c r="D183" i="60"/>
  <c r="D184" i="60"/>
  <c r="D185" i="60"/>
  <c r="D186" i="60"/>
  <c r="D187" i="60"/>
  <c r="D188" i="60"/>
  <c r="D189" i="60"/>
  <c r="D190" i="60"/>
  <c r="D191" i="60"/>
  <c r="D192" i="60"/>
  <c r="D193" i="60"/>
  <c r="D194" i="60"/>
  <c r="D195" i="60"/>
  <c r="D196" i="60"/>
  <c r="D197" i="60"/>
  <c r="D198" i="60"/>
  <c r="D199" i="60"/>
  <c r="D200" i="60"/>
  <c r="D201" i="60"/>
  <c r="D202" i="60"/>
  <c r="D203" i="60"/>
  <c r="D207" i="60"/>
  <c r="D208" i="60"/>
  <c r="D209" i="60"/>
  <c r="D210" i="60"/>
  <c r="D211" i="60"/>
  <c r="D212" i="60"/>
  <c r="D213" i="60"/>
  <c r="D214" i="60"/>
  <c r="D215" i="60"/>
  <c r="D216" i="60"/>
  <c r="D217" i="60"/>
  <c r="D218" i="60"/>
  <c r="D219" i="60"/>
  <c r="D220" i="60"/>
  <c r="D221" i="60"/>
  <c r="D222" i="60"/>
  <c r="D223" i="60"/>
  <c r="D224" i="60"/>
  <c r="D225" i="60"/>
  <c r="D226" i="60"/>
  <c r="D227" i="60"/>
  <c r="D228" i="60"/>
  <c r="D229" i="60"/>
  <c r="D230" i="60"/>
  <c r="D231" i="60"/>
  <c r="D232" i="60"/>
  <c r="D233" i="60"/>
  <c r="D234" i="60"/>
  <c r="D235" i="60"/>
  <c r="D236" i="60"/>
  <c r="D237" i="60"/>
  <c r="D238" i="60"/>
  <c r="D239" i="60"/>
  <c r="D240" i="60"/>
  <c r="D241" i="60"/>
  <c r="D242" i="60"/>
  <c r="D243" i="60"/>
  <c r="D244" i="60"/>
  <c r="D245" i="60"/>
  <c r="D246" i="60"/>
  <c r="D247" i="60"/>
  <c r="D248" i="60"/>
  <c r="D249" i="60"/>
  <c r="D250" i="60"/>
  <c r="D251" i="60"/>
  <c r="D256" i="60"/>
  <c r="D257" i="60"/>
  <c r="D258" i="60"/>
  <c r="D259" i="60"/>
  <c r="D260" i="60"/>
  <c r="D261" i="60"/>
  <c r="D262" i="60"/>
  <c r="D263" i="60"/>
  <c r="D264" i="60"/>
  <c r="D265" i="60"/>
  <c r="D266" i="60"/>
  <c r="D267" i="60"/>
  <c r="D268" i="60"/>
  <c r="D269" i="60"/>
  <c r="D270" i="60"/>
  <c r="D271" i="60"/>
  <c r="D272" i="60"/>
  <c r="D273" i="60"/>
  <c r="D274" i="60"/>
  <c r="D275" i="60"/>
  <c r="D276" i="60"/>
  <c r="D277" i="60"/>
  <c r="D278" i="60"/>
  <c r="D279" i="60"/>
  <c r="D280" i="60"/>
  <c r="D281" i="60"/>
  <c r="D282" i="60"/>
  <c r="D283" i="60"/>
  <c r="D284" i="60"/>
  <c r="D285" i="60"/>
  <c r="D286" i="60"/>
  <c r="D287" i="60"/>
  <c r="D288" i="60"/>
  <c r="D289" i="60"/>
  <c r="D290" i="60"/>
  <c r="D291" i="60"/>
  <c r="D292" i="60"/>
  <c r="D293" i="60"/>
  <c r="D294" i="60"/>
  <c r="D295" i="60"/>
  <c r="D296" i="60"/>
  <c r="D297" i="60"/>
  <c r="D298" i="60"/>
  <c r="D299" i="60"/>
  <c r="D300" i="60"/>
  <c r="D306" i="60"/>
  <c r="D307" i="60"/>
  <c r="D308" i="60"/>
  <c r="D309" i="60"/>
  <c r="D310" i="60"/>
  <c r="D311" i="60"/>
  <c r="D312" i="60"/>
  <c r="D313" i="60"/>
  <c r="D314" i="60"/>
  <c r="D315" i="60"/>
  <c r="D316" i="60"/>
  <c r="D317" i="60"/>
  <c r="D318" i="60"/>
  <c r="D319" i="60"/>
  <c r="D320" i="60"/>
  <c r="D321" i="60"/>
  <c r="D322" i="60"/>
  <c r="D323" i="60"/>
  <c r="D324" i="60"/>
  <c r="D325" i="60"/>
  <c r="D326" i="60"/>
  <c r="D327" i="60"/>
  <c r="D328" i="60"/>
  <c r="D329" i="60"/>
  <c r="D330" i="60"/>
  <c r="D331" i="60"/>
  <c r="D332" i="60"/>
  <c r="D333" i="60"/>
  <c r="D334" i="60"/>
  <c r="D335" i="60"/>
  <c r="D336" i="60"/>
  <c r="D337" i="60"/>
  <c r="D338" i="60"/>
  <c r="D339" i="60"/>
  <c r="D340" i="60"/>
  <c r="D341" i="60"/>
  <c r="D342" i="60"/>
  <c r="D343" i="60"/>
  <c r="D344" i="60"/>
  <c r="D345" i="60"/>
  <c r="D346" i="60"/>
  <c r="D347" i="60"/>
  <c r="D348" i="60"/>
  <c r="D349" i="60"/>
  <c r="D350" i="60"/>
  <c r="D357" i="60"/>
  <c r="D358" i="60"/>
  <c r="D359" i="60"/>
  <c r="D360" i="60"/>
  <c r="D361" i="60"/>
  <c r="D362" i="60"/>
  <c r="D363" i="60"/>
  <c r="D364" i="60"/>
  <c r="D365" i="60"/>
  <c r="D366" i="60"/>
  <c r="D367" i="60"/>
  <c r="D368" i="60"/>
  <c r="D369" i="60"/>
  <c r="D370" i="60"/>
  <c r="D371" i="60"/>
  <c r="D372" i="60"/>
  <c r="D373" i="60"/>
  <c r="D374" i="60"/>
  <c r="D375" i="60"/>
  <c r="D376" i="60"/>
  <c r="D377" i="60"/>
  <c r="D378" i="60"/>
  <c r="D379" i="60"/>
  <c r="D380" i="60"/>
  <c r="D381" i="60"/>
  <c r="D382" i="60"/>
  <c r="D383" i="60"/>
  <c r="D384" i="60"/>
  <c r="D385" i="60"/>
  <c r="D386" i="60"/>
  <c r="D387" i="60"/>
  <c r="D388" i="60"/>
  <c r="D389" i="60"/>
  <c r="D390" i="60"/>
  <c r="D391" i="60"/>
  <c r="D392" i="60"/>
  <c r="D393" i="60"/>
  <c r="D394" i="60"/>
  <c r="D395" i="60"/>
  <c r="D396" i="60"/>
  <c r="D397" i="60"/>
  <c r="D398" i="60"/>
  <c r="D399" i="60"/>
  <c r="D400" i="60"/>
  <c r="D401" i="60"/>
  <c r="D409" i="60"/>
  <c r="D410" i="60"/>
  <c r="D411" i="60"/>
  <c r="D412" i="60"/>
  <c r="D413" i="60"/>
  <c r="D414" i="60"/>
  <c r="D415" i="60"/>
  <c r="D416" i="60"/>
  <c r="D417" i="60"/>
  <c r="D418" i="60"/>
  <c r="D419" i="60"/>
  <c r="D420" i="60"/>
  <c r="D421" i="60"/>
  <c r="D422" i="60"/>
  <c r="D423" i="60"/>
  <c r="D424" i="60"/>
  <c r="D425" i="60"/>
  <c r="D426" i="60"/>
  <c r="D427" i="60"/>
  <c r="D428" i="60"/>
  <c r="D429" i="60"/>
  <c r="D430" i="60"/>
  <c r="D431" i="60"/>
  <c r="D432" i="60"/>
  <c r="D433" i="60"/>
  <c r="D434" i="60"/>
  <c r="D435" i="60"/>
  <c r="D436" i="60"/>
  <c r="D437" i="60"/>
  <c r="D438" i="60"/>
  <c r="D439" i="60"/>
  <c r="D440" i="60"/>
  <c r="D441" i="60"/>
  <c r="D442" i="60"/>
  <c r="D443" i="60"/>
  <c r="D444" i="60"/>
  <c r="D445" i="60"/>
  <c r="D446" i="60"/>
  <c r="D447" i="60"/>
  <c r="D448" i="60"/>
  <c r="D449" i="60"/>
  <c r="D450" i="60"/>
  <c r="D451" i="60"/>
  <c r="D452" i="60"/>
  <c r="D453" i="60"/>
  <c r="D462" i="60"/>
  <c r="D463" i="60"/>
  <c r="D464" i="60"/>
  <c r="D465" i="60"/>
  <c r="D466" i="60"/>
  <c r="D467" i="60"/>
  <c r="D468" i="60"/>
  <c r="D469" i="60"/>
  <c r="D470" i="60"/>
  <c r="D471" i="60"/>
  <c r="D472" i="60"/>
  <c r="D473" i="60"/>
  <c r="D474" i="60"/>
  <c r="D475" i="60"/>
  <c r="D476" i="60"/>
  <c r="D477" i="60"/>
  <c r="D478" i="60"/>
  <c r="D479" i="60"/>
  <c r="D480" i="60"/>
  <c r="D481" i="60"/>
  <c r="D482" i="60"/>
  <c r="D483" i="60"/>
  <c r="D484" i="60"/>
  <c r="D485" i="60"/>
  <c r="D486" i="60"/>
  <c r="D487" i="60"/>
  <c r="D488" i="60"/>
  <c r="D489" i="60"/>
  <c r="D490" i="60"/>
  <c r="D491" i="60"/>
  <c r="D492" i="60"/>
  <c r="D493" i="60"/>
  <c r="D494" i="60"/>
  <c r="D495" i="60"/>
  <c r="D496" i="60"/>
  <c r="D497" i="60"/>
  <c r="D498" i="60"/>
  <c r="D499" i="60"/>
  <c r="D500" i="60"/>
  <c r="D501" i="60"/>
  <c r="D502" i="60"/>
  <c r="D503" i="60"/>
  <c r="D504" i="60"/>
  <c r="D505" i="60"/>
  <c r="D506" i="60"/>
  <c r="D516" i="60"/>
  <c r="D517" i="60"/>
  <c r="D518" i="60"/>
  <c r="D519" i="60"/>
  <c r="D520" i="60"/>
  <c r="D521" i="60"/>
  <c r="D522" i="60"/>
  <c r="D523" i="60"/>
  <c r="D524" i="60"/>
  <c r="D525" i="60"/>
  <c r="D526" i="60"/>
  <c r="D527" i="60"/>
  <c r="D528" i="60"/>
  <c r="D529" i="60"/>
  <c r="D530" i="60"/>
  <c r="D531" i="60"/>
  <c r="D532" i="60"/>
  <c r="D533" i="60"/>
  <c r="D534" i="60"/>
  <c r="D535" i="60"/>
  <c r="D536" i="60"/>
  <c r="D537" i="60"/>
  <c r="D538" i="60"/>
  <c r="D539" i="60"/>
  <c r="D540" i="60"/>
  <c r="D541" i="60"/>
  <c r="D542" i="60"/>
  <c r="D543" i="60"/>
  <c r="D544" i="60"/>
  <c r="D545" i="60"/>
  <c r="D546" i="60"/>
  <c r="D547" i="60"/>
  <c r="D548" i="60"/>
  <c r="D549" i="60"/>
  <c r="D550" i="60"/>
  <c r="D551" i="60"/>
  <c r="D552" i="60"/>
  <c r="D553" i="60"/>
  <c r="D554" i="60"/>
  <c r="D555" i="60"/>
  <c r="D556" i="60"/>
  <c r="D557" i="60"/>
  <c r="D558" i="60"/>
  <c r="D559" i="60"/>
  <c r="D560" i="60"/>
  <c r="D571" i="60"/>
  <c r="D572" i="60"/>
  <c r="D573" i="60"/>
  <c r="D574" i="60"/>
  <c r="D575" i="60"/>
  <c r="D576" i="60"/>
  <c r="D577" i="60"/>
  <c r="D578" i="60"/>
  <c r="D579" i="60"/>
  <c r="D580" i="60"/>
  <c r="D581" i="60"/>
  <c r="D582" i="60"/>
  <c r="D583" i="60"/>
  <c r="D584" i="60"/>
  <c r="D585" i="60"/>
  <c r="D586" i="60"/>
  <c r="D587" i="60"/>
  <c r="D588" i="60"/>
  <c r="D589" i="60"/>
  <c r="D590" i="60"/>
  <c r="D591" i="60"/>
  <c r="D592" i="60"/>
  <c r="D593" i="60"/>
  <c r="D594" i="60"/>
  <c r="D595" i="60"/>
  <c r="D596" i="60"/>
  <c r="D597" i="60"/>
  <c r="D598" i="60"/>
  <c r="D599" i="60"/>
  <c r="D600" i="60"/>
  <c r="D601" i="60"/>
  <c r="D602" i="60"/>
  <c r="D603" i="60"/>
  <c r="D604" i="60"/>
  <c r="D605" i="60"/>
  <c r="D606" i="60"/>
  <c r="D607" i="60"/>
  <c r="D608" i="60"/>
  <c r="D609" i="60"/>
  <c r="D610" i="60"/>
  <c r="D611" i="60"/>
  <c r="D612" i="60"/>
  <c r="D613" i="60"/>
  <c r="D614" i="60"/>
  <c r="D615" i="60"/>
  <c r="D627" i="60"/>
  <c r="D628" i="60"/>
  <c r="D629" i="60"/>
  <c r="D630" i="60"/>
  <c r="D631" i="60"/>
  <c r="D632" i="60"/>
  <c r="D633" i="60"/>
  <c r="D634" i="60"/>
  <c r="D635" i="60"/>
  <c r="D636" i="60"/>
  <c r="D637" i="60"/>
  <c r="D638" i="60"/>
  <c r="D639" i="60"/>
  <c r="D640" i="60"/>
  <c r="D641" i="60"/>
  <c r="D642" i="60"/>
  <c r="D643" i="60"/>
  <c r="D644" i="60"/>
  <c r="D645" i="60"/>
  <c r="D646" i="60"/>
  <c r="D647" i="60"/>
  <c r="D648" i="60"/>
  <c r="D649" i="60"/>
  <c r="D650" i="60"/>
  <c r="D651" i="60"/>
  <c r="D652" i="60"/>
  <c r="D653" i="60"/>
  <c r="D654" i="60"/>
  <c r="D655" i="60"/>
  <c r="D656" i="60"/>
  <c r="D657" i="60"/>
  <c r="D658" i="60"/>
  <c r="D659" i="60"/>
  <c r="D660" i="60"/>
  <c r="D661" i="60"/>
  <c r="D662" i="60"/>
  <c r="D663" i="60"/>
  <c r="D664" i="60"/>
  <c r="D665" i="60"/>
  <c r="D666" i="60"/>
  <c r="D667" i="60"/>
  <c r="D668" i="60"/>
  <c r="D669" i="60"/>
  <c r="D670" i="60"/>
  <c r="D671" i="60"/>
  <c r="D684" i="60"/>
  <c r="D685" i="60"/>
  <c r="D686" i="60"/>
  <c r="D687" i="60"/>
  <c r="D688" i="60"/>
  <c r="D689" i="60"/>
  <c r="D690" i="60"/>
  <c r="D691" i="60"/>
  <c r="D692" i="60"/>
  <c r="D693" i="60"/>
  <c r="D694" i="60"/>
  <c r="D695" i="60"/>
  <c r="D696" i="60"/>
  <c r="D697" i="60"/>
  <c r="D698" i="60"/>
  <c r="D699" i="60"/>
  <c r="D700" i="60"/>
  <c r="D701" i="60"/>
  <c r="D702" i="60"/>
  <c r="D703" i="60"/>
  <c r="D704" i="60"/>
  <c r="D705" i="60"/>
  <c r="D706" i="60"/>
  <c r="D707" i="60"/>
  <c r="D708" i="60"/>
  <c r="D709" i="60"/>
  <c r="D710" i="60"/>
  <c r="D711" i="60"/>
  <c r="D712" i="60"/>
  <c r="D713" i="60"/>
  <c r="D714" i="60"/>
  <c r="D715" i="60"/>
  <c r="D716" i="60"/>
  <c r="D717" i="60"/>
  <c r="D718" i="60"/>
  <c r="D719" i="60"/>
  <c r="D720" i="60"/>
  <c r="D721" i="60"/>
  <c r="D722" i="60"/>
  <c r="D723" i="60"/>
  <c r="D724" i="60"/>
  <c r="D725" i="60"/>
  <c r="D726" i="60"/>
  <c r="D727" i="60"/>
  <c r="D728" i="60"/>
  <c r="D742" i="60"/>
  <c r="D743" i="60"/>
  <c r="D744" i="60"/>
  <c r="D745" i="60"/>
  <c r="D746" i="60"/>
  <c r="D747" i="60"/>
  <c r="D748" i="60"/>
  <c r="D749" i="60"/>
  <c r="D750" i="60"/>
  <c r="D751" i="60"/>
  <c r="D752" i="60"/>
  <c r="D753" i="60"/>
  <c r="D754" i="60"/>
  <c r="D755" i="60"/>
  <c r="D756" i="60"/>
  <c r="D757" i="60"/>
  <c r="D758" i="60"/>
  <c r="D759" i="60"/>
  <c r="D760" i="60"/>
  <c r="D761" i="60"/>
  <c r="D762" i="60"/>
  <c r="D763" i="60"/>
  <c r="D764" i="60"/>
  <c r="D765" i="60"/>
  <c r="D766" i="60"/>
  <c r="D767" i="60"/>
  <c r="D768" i="60"/>
  <c r="D769" i="60"/>
  <c r="D770" i="60"/>
  <c r="D771" i="60"/>
  <c r="D772" i="60"/>
  <c r="D773" i="60"/>
  <c r="D774" i="60"/>
  <c r="D775" i="60"/>
  <c r="D776" i="60"/>
  <c r="D777" i="60"/>
  <c r="D778" i="60"/>
  <c r="D779" i="60"/>
  <c r="D780" i="60"/>
  <c r="D781" i="60"/>
  <c r="D782" i="60"/>
  <c r="D783" i="60"/>
  <c r="D784" i="60"/>
  <c r="D785" i="60"/>
  <c r="D786" i="60"/>
  <c r="D801" i="60"/>
  <c r="D802" i="60"/>
  <c r="D803" i="60"/>
  <c r="D804" i="60"/>
  <c r="D805" i="60"/>
  <c r="D806" i="60"/>
  <c r="D807" i="60"/>
  <c r="D808" i="60"/>
  <c r="D809" i="60"/>
  <c r="D810" i="60"/>
  <c r="D811" i="60"/>
  <c r="D812" i="60"/>
  <c r="D813" i="60"/>
  <c r="D814" i="60"/>
  <c r="D815" i="60"/>
  <c r="D816" i="60"/>
  <c r="D817" i="60"/>
  <c r="D818" i="60"/>
  <c r="D819" i="60"/>
  <c r="D820" i="60"/>
  <c r="D821" i="60"/>
  <c r="D822" i="60"/>
  <c r="D823" i="60"/>
  <c r="D824" i="60"/>
  <c r="D825" i="60"/>
  <c r="D826" i="60"/>
  <c r="D827" i="60"/>
  <c r="D828" i="60"/>
  <c r="D829" i="60"/>
  <c r="D830" i="60"/>
  <c r="D831" i="60"/>
  <c r="D832" i="60"/>
  <c r="D833" i="60"/>
  <c r="D834" i="60"/>
  <c r="D835" i="60"/>
  <c r="D836" i="60"/>
  <c r="D837" i="60"/>
  <c r="D838" i="60"/>
  <c r="D839" i="60"/>
  <c r="D840" i="60"/>
  <c r="D841" i="60"/>
  <c r="D842" i="60"/>
  <c r="D843" i="60"/>
  <c r="D844" i="60"/>
  <c r="D845" i="60"/>
  <c r="D861" i="60"/>
  <c r="D862" i="60"/>
  <c r="D863" i="60"/>
  <c r="D864" i="60"/>
  <c r="D865" i="60"/>
  <c r="D866" i="60"/>
  <c r="D867" i="60"/>
  <c r="D868" i="60"/>
  <c r="D869" i="60"/>
  <c r="D870" i="60"/>
  <c r="D871" i="60"/>
  <c r="D872" i="60"/>
  <c r="D873" i="60"/>
  <c r="D874" i="60"/>
  <c r="D875" i="60"/>
  <c r="D876" i="60"/>
  <c r="D877" i="60"/>
  <c r="D878" i="60"/>
  <c r="D879" i="60"/>
  <c r="D880" i="60"/>
  <c r="D881" i="60"/>
  <c r="D882" i="60"/>
  <c r="D883" i="60"/>
  <c r="D884" i="60"/>
  <c r="D885" i="60"/>
  <c r="D886" i="60"/>
  <c r="D887" i="60"/>
  <c r="D888" i="60"/>
  <c r="D889" i="60"/>
  <c r="D890" i="60"/>
  <c r="D891" i="60"/>
  <c r="D892" i="60"/>
  <c r="D893" i="60"/>
  <c r="D894" i="60"/>
  <c r="D895" i="60"/>
  <c r="D896" i="60"/>
  <c r="D897" i="60"/>
  <c r="D898" i="60"/>
  <c r="D899" i="60"/>
  <c r="D900" i="60"/>
  <c r="D901" i="60"/>
  <c r="D902" i="60"/>
  <c r="D903" i="60"/>
  <c r="D904" i="60"/>
  <c r="D905" i="60"/>
  <c r="D922" i="60"/>
  <c r="D923" i="60"/>
  <c r="D924" i="60"/>
  <c r="D925" i="60"/>
  <c r="D926" i="60"/>
  <c r="D927" i="60"/>
  <c r="D928" i="60"/>
  <c r="D929" i="60"/>
  <c r="D930" i="60"/>
  <c r="D931" i="60"/>
  <c r="D932" i="60"/>
  <c r="D933" i="60"/>
  <c r="D934" i="60"/>
  <c r="D935" i="60"/>
  <c r="D936" i="60"/>
  <c r="D937" i="60"/>
  <c r="D938" i="60"/>
  <c r="D939" i="60"/>
  <c r="D940" i="60"/>
  <c r="D941" i="60"/>
  <c r="D942" i="60"/>
  <c r="D943" i="60"/>
  <c r="D944" i="60"/>
  <c r="D945" i="60"/>
  <c r="D946" i="60"/>
  <c r="D947" i="60"/>
  <c r="D948" i="60"/>
  <c r="D949" i="60"/>
  <c r="D950" i="60"/>
  <c r="D951" i="60"/>
  <c r="D952" i="60"/>
  <c r="D953" i="60"/>
  <c r="D954" i="60"/>
  <c r="D955" i="60"/>
  <c r="D956" i="60"/>
  <c r="D957" i="60"/>
  <c r="D958" i="60"/>
  <c r="D959" i="60"/>
  <c r="D960" i="60"/>
  <c r="D961" i="60"/>
  <c r="D962" i="60"/>
  <c r="D963" i="60"/>
  <c r="D964" i="60"/>
  <c r="D965" i="60"/>
  <c r="D966" i="60"/>
  <c r="D984" i="60"/>
  <c r="D985" i="60"/>
  <c r="D986" i="60"/>
  <c r="D987" i="60"/>
  <c r="D988" i="60"/>
  <c r="D989" i="60"/>
  <c r="D990" i="60"/>
  <c r="D991" i="60"/>
  <c r="D992" i="60"/>
  <c r="D993" i="60"/>
  <c r="D994" i="60"/>
  <c r="D995" i="60"/>
  <c r="D996" i="60"/>
  <c r="D997" i="60"/>
  <c r="D998" i="60"/>
  <c r="D999" i="60"/>
  <c r="D1000" i="60"/>
  <c r="D1001" i="60"/>
  <c r="D1002" i="60"/>
  <c r="D1003" i="60"/>
  <c r="D1004" i="60"/>
  <c r="D1005" i="60"/>
  <c r="D1006" i="60"/>
  <c r="D1007" i="60"/>
  <c r="D1008" i="60"/>
  <c r="D1009" i="60"/>
  <c r="D1010" i="60"/>
  <c r="D1011" i="60"/>
  <c r="D1012" i="60"/>
  <c r="D1013" i="60"/>
  <c r="D1014" i="60"/>
  <c r="D1015" i="60"/>
  <c r="D1016" i="60"/>
  <c r="D1017" i="60"/>
  <c r="D1018" i="60"/>
  <c r="D1019" i="60"/>
  <c r="D1020" i="60"/>
  <c r="D1021" i="60"/>
  <c r="D1022" i="60"/>
  <c r="D1023" i="60"/>
  <c r="D1024" i="60"/>
  <c r="D1025" i="60"/>
  <c r="D1026" i="60"/>
  <c r="D1027" i="60"/>
  <c r="D1028" i="60"/>
  <c r="D1047" i="60"/>
  <c r="D1048" i="60"/>
  <c r="D1049" i="60"/>
  <c r="D1050" i="60"/>
  <c r="D1051" i="60"/>
  <c r="D1052" i="60"/>
  <c r="D1053" i="60"/>
  <c r="D1054" i="60"/>
  <c r="D1055" i="60"/>
  <c r="D1056" i="60"/>
  <c r="D1057" i="60"/>
  <c r="D1058" i="60"/>
  <c r="D1059" i="60"/>
  <c r="D1060" i="60"/>
  <c r="D1061" i="60"/>
  <c r="D1062" i="60"/>
  <c r="D1063" i="60"/>
  <c r="D1064" i="60"/>
  <c r="D1065" i="60"/>
  <c r="D1066" i="60"/>
  <c r="D1067" i="60"/>
  <c r="D1068" i="60"/>
  <c r="D1069" i="60"/>
  <c r="D1070" i="60"/>
  <c r="D1071" i="60"/>
  <c r="D1072" i="60"/>
  <c r="D1073" i="60"/>
  <c r="D1074" i="60"/>
  <c r="D1075" i="60"/>
  <c r="D1076" i="60"/>
  <c r="D1077" i="60"/>
  <c r="D1078" i="60"/>
  <c r="D1079" i="60"/>
  <c r="D1080" i="60"/>
  <c r="D1081" i="60"/>
  <c r="D1082" i="60"/>
  <c r="D1083" i="60"/>
  <c r="D1084" i="60"/>
  <c r="D1085" i="60"/>
  <c r="D1086" i="60"/>
  <c r="D1087" i="60"/>
  <c r="D1088" i="60"/>
  <c r="D1089" i="60"/>
  <c r="D1090" i="60"/>
  <c r="D1091" i="60"/>
  <c r="D1111" i="60"/>
  <c r="D1112" i="60"/>
  <c r="D1113" i="60"/>
  <c r="D1114" i="60"/>
  <c r="D1115" i="60"/>
  <c r="D1116" i="60"/>
  <c r="D1117" i="60"/>
  <c r="D1118" i="60"/>
  <c r="D1119" i="60"/>
  <c r="D1120" i="60"/>
  <c r="D1121" i="60"/>
  <c r="D1122" i="60"/>
  <c r="D1123" i="60"/>
  <c r="D1124" i="60"/>
  <c r="D1125" i="60"/>
  <c r="D1126" i="60"/>
  <c r="D1127" i="60"/>
  <c r="D1128" i="60"/>
  <c r="D1129" i="60"/>
  <c r="D1130" i="60"/>
  <c r="D1131" i="60"/>
  <c r="D1132" i="60"/>
  <c r="D1133" i="60"/>
  <c r="D1134" i="60"/>
  <c r="D1135" i="60"/>
  <c r="D1136" i="60"/>
  <c r="D1137" i="60"/>
  <c r="D1138" i="60"/>
  <c r="D1139" i="60"/>
  <c r="D1140" i="60"/>
  <c r="D1141" i="60"/>
  <c r="D1142" i="60"/>
  <c r="D1143" i="60"/>
  <c r="D1144" i="60"/>
  <c r="D1145" i="60"/>
  <c r="D1146" i="60"/>
  <c r="D1147" i="60"/>
  <c r="D1148" i="60"/>
  <c r="D1149" i="60"/>
  <c r="D1150" i="60"/>
  <c r="D1151" i="60"/>
  <c r="D1152" i="60"/>
  <c r="D1153" i="60"/>
  <c r="D1154" i="60"/>
  <c r="D1155" i="60"/>
  <c r="D1176" i="60"/>
  <c r="D1177" i="60"/>
  <c r="D1178" i="60"/>
  <c r="D1179" i="60"/>
  <c r="D1180" i="60"/>
  <c r="D1181" i="60"/>
  <c r="D1182" i="60"/>
  <c r="D1183" i="60"/>
  <c r="D1184" i="60"/>
  <c r="D1185" i="60"/>
  <c r="D1186" i="60"/>
  <c r="D1187" i="60"/>
  <c r="D1188" i="60"/>
  <c r="D1189" i="60"/>
  <c r="D1190" i="60"/>
  <c r="D1191" i="60"/>
  <c r="D1192" i="60"/>
  <c r="D1193" i="60"/>
  <c r="D1194" i="60"/>
  <c r="D1195" i="60"/>
  <c r="D1196" i="60"/>
  <c r="D1197" i="60"/>
  <c r="D1198" i="60"/>
  <c r="D1199" i="60"/>
  <c r="D1200" i="60"/>
  <c r="D1201" i="60"/>
  <c r="D1202" i="60"/>
  <c r="D1203" i="60"/>
  <c r="D1204" i="60"/>
  <c r="D1205" i="60"/>
  <c r="D1206" i="60"/>
  <c r="D1207" i="60"/>
  <c r="D1208" i="60"/>
  <c r="D1209" i="60"/>
  <c r="D1210" i="60"/>
  <c r="D1211" i="60"/>
  <c r="D1212" i="60"/>
  <c r="D1213" i="60"/>
  <c r="D1214" i="60"/>
  <c r="D1215" i="60"/>
  <c r="D1216" i="60"/>
  <c r="D1217" i="60"/>
  <c r="D1218" i="60"/>
  <c r="D1219" i="60"/>
  <c r="D1220" i="60"/>
  <c r="D1242" i="60"/>
  <c r="D1243" i="60"/>
  <c r="D1244" i="60"/>
  <c r="D1245" i="60"/>
  <c r="D1246" i="60"/>
  <c r="D1247" i="60"/>
  <c r="D1248" i="60"/>
  <c r="D1249" i="60"/>
  <c r="D1250" i="60"/>
  <c r="D1251" i="60"/>
  <c r="D1252" i="60"/>
  <c r="D1253" i="60"/>
  <c r="D1254" i="60"/>
  <c r="D1255" i="60"/>
  <c r="D1256" i="60"/>
  <c r="D1257" i="60"/>
  <c r="D1258" i="60"/>
  <c r="D1259" i="60"/>
  <c r="D1260" i="60"/>
  <c r="D1261" i="60"/>
  <c r="D1262" i="60"/>
  <c r="D1263" i="60"/>
  <c r="D1264" i="60"/>
  <c r="D1265" i="60"/>
  <c r="D1266" i="60"/>
  <c r="D1267" i="60"/>
  <c r="D1268" i="60"/>
  <c r="D1269" i="60"/>
  <c r="D1270" i="60"/>
  <c r="D1271" i="60"/>
  <c r="D1272" i="60"/>
  <c r="D1273" i="60"/>
  <c r="D1274" i="60"/>
  <c r="D1275" i="60"/>
  <c r="D1276" i="60"/>
  <c r="D1277" i="60"/>
  <c r="D1278" i="60"/>
  <c r="D1279" i="60"/>
  <c r="D1280" i="60"/>
  <c r="D1281" i="60"/>
  <c r="D1282" i="60"/>
  <c r="D1283" i="60"/>
  <c r="D1284" i="60"/>
  <c r="D1285" i="60"/>
  <c r="D1286" i="60"/>
  <c r="D1309" i="60"/>
  <c r="D1310" i="60"/>
  <c r="D1311" i="60"/>
  <c r="D1312" i="60"/>
  <c r="D1313" i="60"/>
  <c r="D1314" i="60"/>
  <c r="D1315" i="60"/>
  <c r="D1316" i="60"/>
  <c r="D1317" i="60"/>
  <c r="D1318" i="60"/>
  <c r="D1319" i="60"/>
  <c r="D1320" i="60"/>
  <c r="D1321" i="60"/>
  <c r="D1322" i="60"/>
  <c r="D1323" i="60"/>
  <c r="D1324" i="60"/>
  <c r="D1325" i="60"/>
  <c r="D1326" i="60"/>
  <c r="D1327" i="60"/>
  <c r="D1328" i="60"/>
  <c r="D1329" i="60"/>
  <c r="D1330" i="60"/>
  <c r="D1331" i="60"/>
  <c r="D1332" i="60"/>
  <c r="D1333" i="60"/>
  <c r="D1334" i="60"/>
  <c r="D1335" i="60"/>
  <c r="D1336" i="60"/>
  <c r="D1337" i="60"/>
  <c r="D1338" i="60"/>
  <c r="D1339" i="60"/>
  <c r="D1340" i="60"/>
  <c r="D1341" i="60"/>
  <c r="D1342" i="60"/>
  <c r="D1343" i="60"/>
  <c r="D1344" i="60"/>
  <c r="D1345" i="60"/>
  <c r="D1346" i="60"/>
  <c r="D1347" i="60"/>
  <c r="D1348" i="60"/>
  <c r="D1349" i="60"/>
  <c r="D1350" i="60"/>
  <c r="D1351" i="60"/>
  <c r="D1352" i="60"/>
  <c r="D1353" i="60"/>
  <c r="D1377" i="60"/>
  <c r="D1378" i="60"/>
  <c r="D1379" i="60"/>
  <c r="D1380" i="60"/>
  <c r="D1381" i="60"/>
  <c r="D1382" i="60"/>
  <c r="D1383" i="60"/>
  <c r="D1384" i="60"/>
  <c r="D1385" i="60"/>
  <c r="D1386" i="60"/>
  <c r="D1387" i="60"/>
  <c r="D1388" i="60"/>
  <c r="D1389" i="60"/>
  <c r="D1390" i="60"/>
  <c r="D1391" i="60"/>
  <c r="D1392" i="60"/>
  <c r="D1393" i="60"/>
  <c r="D1394" i="60"/>
  <c r="D1395" i="60"/>
  <c r="D1396" i="60"/>
  <c r="D1397" i="60"/>
  <c r="D1398" i="60"/>
  <c r="D1399" i="60"/>
  <c r="D1400" i="60"/>
  <c r="D1401" i="60"/>
  <c r="D1402" i="60"/>
  <c r="D1403" i="60"/>
  <c r="D1404" i="60"/>
  <c r="D1405" i="60"/>
  <c r="D1406" i="60"/>
  <c r="D1407" i="60"/>
  <c r="D1408" i="60"/>
  <c r="D1409" i="60"/>
  <c r="D1410" i="60"/>
  <c r="D1411" i="60"/>
  <c r="D1412" i="60"/>
  <c r="D1413" i="60"/>
  <c r="D1414" i="60"/>
  <c r="D1415" i="60"/>
  <c r="D1416" i="60"/>
  <c r="D1417" i="60"/>
  <c r="D1418" i="60"/>
  <c r="D1419" i="60"/>
  <c r="D1420" i="60"/>
  <c r="D1421" i="60"/>
  <c r="D1446" i="60"/>
  <c r="D1447" i="60"/>
  <c r="D1448" i="60"/>
  <c r="D1449" i="60"/>
  <c r="D1450" i="60"/>
  <c r="D1451" i="60"/>
  <c r="D1452" i="60"/>
  <c r="D1453" i="60"/>
  <c r="D1454" i="60"/>
  <c r="D1455" i="60"/>
  <c r="D1456" i="60"/>
  <c r="D1457" i="60"/>
  <c r="D1458" i="60"/>
  <c r="D1459" i="60"/>
  <c r="D1460" i="60"/>
  <c r="D1461" i="60"/>
  <c r="D1462" i="60"/>
  <c r="D1463" i="60"/>
  <c r="D1464" i="60"/>
  <c r="D1465" i="60"/>
  <c r="D1466" i="60"/>
  <c r="D1467" i="60"/>
  <c r="D1468" i="60"/>
  <c r="D1469" i="60"/>
  <c r="D1470" i="60"/>
  <c r="D1471" i="60"/>
  <c r="D1472" i="60"/>
  <c r="D1473" i="60"/>
  <c r="D1474" i="60"/>
  <c r="D1475" i="60"/>
  <c r="D1476" i="60"/>
  <c r="D1477" i="60"/>
  <c r="D1478" i="60"/>
  <c r="D1479" i="60"/>
  <c r="D1480" i="60"/>
  <c r="D1481" i="60"/>
  <c r="D1482" i="60"/>
  <c r="D1483" i="60"/>
  <c r="D1484" i="60"/>
  <c r="D1485" i="60"/>
  <c r="D1486" i="60"/>
  <c r="D1487" i="60"/>
  <c r="D1488" i="60"/>
  <c r="D1489" i="60"/>
  <c r="D1490" i="60"/>
  <c r="D1516" i="60"/>
  <c r="D1517" i="60"/>
  <c r="D1518" i="60"/>
  <c r="D1519" i="60"/>
  <c r="D1520" i="60"/>
  <c r="D1521" i="60"/>
  <c r="D1522" i="60"/>
  <c r="D1523" i="60"/>
  <c r="D1524" i="60"/>
  <c r="D1525" i="60"/>
  <c r="D1526" i="60"/>
  <c r="D1527" i="60"/>
  <c r="D1528" i="60"/>
  <c r="D1529" i="60"/>
  <c r="D1530" i="60"/>
  <c r="D1531" i="60"/>
  <c r="D1532" i="60"/>
  <c r="D1533" i="60"/>
  <c r="D1534" i="60"/>
  <c r="D1535" i="60"/>
  <c r="D1536" i="60"/>
  <c r="D1537" i="60"/>
  <c r="D1538" i="60"/>
  <c r="D1539" i="60"/>
  <c r="D1540" i="60"/>
  <c r="D1541" i="60"/>
  <c r="D1542" i="60"/>
  <c r="D1543" i="60"/>
  <c r="D1544" i="60"/>
  <c r="D1545" i="60"/>
  <c r="D1546" i="60"/>
  <c r="D1547" i="60"/>
  <c r="D1548" i="60"/>
  <c r="D1549" i="60"/>
  <c r="D1550" i="60"/>
  <c r="D1551" i="60"/>
  <c r="D1552" i="60"/>
  <c r="D1553" i="60"/>
  <c r="D1554" i="60"/>
  <c r="D1555" i="60"/>
  <c r="D1556" i="60"/>
  <c r="D1557" i="60"/>
  <c r="D1558" i="60"/>
  <c r="D1559" i="60"/>
  <c r="D1560" i="60"/>
  <c r="D1587" i="60"/>
  <c r="D1588" i="60"/>
  <c r="D1589" i="60"/>
  <c r="D1590" i="60"/>
  <c r="D1591" i="60"/>
  <c r="D1592" i="60"/>
  <c r="D1593" i="60"/>
  <c r="D1594" i="60"/>
  <c r="D1595" i="60"/>
  <c r="D1596" i="60"/>
  <c r="D1597" i="60"/>
  <c r="D1598" i="60"/>
  <c r="D1599" i="60"/>
  <c r="D1600" i="60"/>
  <c r="D1601" i="60"/>
  <c r="D1602" i="60"/>
  <c r="D1603" i="60"/>
  <c r="D1604" i="60"/>
  <c r="D1605" i="60"/>
  <c r="D1606" i="60"/>
  <c r="D1607" i="60"/>
  <c r="D1608" i="60"/>
  <c r="D1609" i="60"/>
  <c r="D1610" i="60"/>
  <c r="D1611" i="60"/>
  <c r="D1612" i="60"/>
  <c r="D1613" i="60"/>
  <c r="D1614" i="60"/>
  <c r="D1615" i="60"/>
  <c r="D1616" i="60"/>
  <c r="D1617" i="60"/>
  <c r="D1618" i="60"/>
  <c r="D1619" i="60"/>
  <c r="D1620" i="60"/>
  <c r="D1621" i="60"/>
  <c r="D1622" i="60"/>
  <c r="D1623" i="60"/>
  <c r="D1624" i="60"/>
  <c r="D1625" i="60"/>
  <c r="D1626" i="60"/>
  <c r="D1627" i="60"/>
  <c r="D1628" i="60"/>
  <c r="D1629" i="60"/>
  <c r="D1630" i="60"/>
  <c r="D1631" i="60"/>
  <c r="D1659" i="60"/>
  <c r="D1660" i="60"/>
  <c r="D1661" i="60"/>
  <c r="D1662" i="60"/>
  <c r="D1663" i="60"/>
  <c r="D1664" i="60"/>
  <c r="D1665" i="60"/>
  <c r="D1666" i="60"/>
  <c r="D1667" i="60"/>
  <c r="D1668" i="60"/>
  <c r="D1669" i="60"/>
  <c r="D1670" i="60"/>
  <c r="D1671" i="60"/>
  <c r="D1672" i="60"/>
  <c r="D1673" i="60"/>
  <c r="D1674" i="60"/>
  <c r="D1675" i="60"/>
  <c r="D1676" i="60"/>
  <c r="D1677" i="60"/>
  <c r="D1678" i="60"/>
  <c r="D1679" i="60"/>
  <c r="D1680" i="60"/>
  <c r="D1681" i="60"/>
  <c r="D1682" i="60"/>
  <c r="D1683" i="60"/>
  <c r="D1684" i="60"/>
  <c r="D1685" i="60"/>
  <c r="D1686" i="60"/>
  <c r="D1687" i="60"/>
  <c r="D1688" i="60"/>
  <c r="D1689" i="60"/>
  <c r="D1690" i="60"/>
  <c r="D1691" i="60"/>
  <c r="D1692" i="60"/>
  <c r="D1693" i="60"/>
  <c r="D1694" i="60"/>
  <c r="D1695" i="60"/>
  <c r="D1696" i="60"/>
  <c r="D1697" i="60"/>
  <c r="D1698" i="60"/>
  <c r="D1699" i="60"/>
  <c r="D1700" i="60"/>
  <c r="D1701" i="60"/>
  <c r="D1702" i="60"/>
  <c r="D1703" i="60"/>
  <c r="D1732" i="60"/>
  <c r="D1733" i="60"/>
  <c r="D1734" i="60"/>
  <c r="D1735" i="60"/>
  <c r="D1736" i="60"/>
  <c r="D1737" i="60"/>
  <c r="D1738" i="60"/>
  <c r="D1739" i="60"/>
  <c r="D1740" i="60"/>
  <c r="D1741" i="60"/>
  <c r="D1742" i="60"/>
  <c r="D1743" i="60"/>
  <c r="D1744" i="60"/>
  <c r="D1745" i="60"/>
  <c r="D1746" i="60"/>
  <c r="D1747" i="60"/>
  <c r="D1748" i="60"/>
  <c r="D1749" i="60"/>
  <c r="D1750" i="60"/>
  <c r="D1751" i="60"/>
  <c r="D1752" i="60"/>
  <c r="D1753" i="60"/>
  <c r="D1754" i="60"/>
  <c r="D1755" i="60"/>
  <c r="D1756" i="60"/>
  <c r="D1757" i="60"/>
  <c r="D1758" i="60"/>
  <c r="D1759" i="60"/>
  <c r="D1760" i="60"/>
  <c r="D1761" i="60"/>
  <c r="D1762" i="60"/>
  <c r="D1763" i="60"/>
  <c r="D1764" i="60"/>
  <c r="D1765" i="60"/>
  <c r="D1766" i="60"/>
  <c r="D1767" i="60"/>
  <c r="D1768" i="60"/>
  <c r="D1769" i="60"/>
  <c r="D1770" i="60"/>
  <c r="D1771" i="60"/>
  <c r="D1772" i="60"/>
  <c r="D1773" i="60"/>
  <c r="D1774" i="60"/>
  <c r="D1775" i="60"/>
  <c r="D1776" i="60"/>
  <c r="D1806" i="60"/>
  <c r="D1807" i="60"/>
  <c r="D1808" i="60"/>
  <c r="D1809" i="60"/>
  <c r="D1810" i="60"/>
  <c r="D1811" i="60"/>
  <c r="D1812" i="60"/>
  <c r="D1813" i="60"/>
  <c r="D1814" i="60"/>
  <c r="D1815" i="60"/>
  <c r="D1816" i="60"/>
  <c r="D1817" i="60"/>
  <c r="D1818" i="60"/>
  <c r="D1819" i="60"/>
  <c r="D1820" i="60"/>
  <c r="D1821" i="60"/>
  <c r="D1822" i="60"/>
  <c r="D1823" i="60"/>
  <c r="D1824" i="60"/>
  <c r="D1825" i="60"/>
  <c r="D1826" i="60"/>
  <c r="D1827" i="60"/>
  <c r="D1828" i="60"/>
  <c r="D1829" i="60"/>
  <c r="D1830" i="60"/>
  <c r="D1831" i="60"/>
  <c r="D1832" i="60"/>
  <c r="D1833" i="60"/>
  <c r="D1834" i="60"/>
  <c r="D1835" i="60"/>
  <c r="D1836" i="60"/>
  <c r="D1837" i="60"/>
  <c r="D1838" i="60"/>
  <c r="D1839" i="60"/>
  <c r="D1840" i="60"/>
  <c r="D1841" i="60"/>
  <c r="D1842" i="60"/>
  <c r="D1843" i="60"/>
  <c r="D1844" i="60"/>
  <c r="D1845" i="60"/>
  <c r="D1846" i="60"/>
  <c r="D1847" i="60"/>
  <c r="D1848" i="60"/>
  <c r="D1849" i="60"/>
  <c r="D1850" i="60"/>
  <c r="D1881" i="60"/>
  <c r="D1882" i="60"/>
  <c r="D1883" i="60"/>
  <c r="D1884" i="60"/>
  <c r="D1885" i="60"/>
  <c r="D1886" i="60"/>
  <c r="D1887" i="60"/>
  <c r="D1888" i="60"/>
  <c r="D1889" i="60"/>
  <c r="D1890" i="60"/>
  <c r="D1891" i="60"/>
  <c r="D1892" i="60"/>
  <c r="D1893" i="60"/>
  <c r="D1894" i="60"/>
  <c r="D1895" i="60"/>
  <c r="D1896" i="60"/>
  <c r="D1897" i="60"/>
  <c r="D1898" i="60"/>
  <c r="D1899" i="60"/>
  <c r="D1900" i="60"/>
  <c r="D1901" i="60"/>
  <c r="D1902" i="60"/>
  <c r="D1903" i="60"/>
  <c r="D1904" i="60"/>
  <c r="D1905" i="60"/>
  <c r="D1906" i="60"/>
  <c r="D1907" i="60"/>
  <c r="D1908" i="60"/>
  <c r="D1909" i="60"/>
  <c r="D1910" i="60"/>
  <c r="D1911" i="60"/>
  <c r="D1912" i="60"/>
  <c r="D1913" i="60"/>
  <c r="D1914" i="60"/>
  <c r="D1915" i="60"/>
  <c r="D1916" i="60"/>
  <c r="D1917" i="60"/>
  <c r="D1918" i="60"/>
  <c r="D1919" i="60"/>
  <c r="D1920" i="60"/>
  <c r="D1921" i="60"/>
  <c r="D1922" i="60"/>
  <c r="D1923" i="60"/>
  <c r="D1924" i="60"/>
  <c r="D1925" i="60"/>
  <c r="D1958" i="60"/>
  <c r="D1959" i="60"/>
  <c r="D1960" i="60"/>
  <c r="D1961" i="60"/>
  <c r="D1962" i="60"/>
  <c r="D1963" i="60"/>
  <c r="D1964" i="60"/>
  <c r="D1965" i="60"/>
  <c r="D1966" i="60"/>
  <c r="D1967" i="60"/>
  <c r="D1968" i="60"/>
  <c r="D1969" i="60"/>
  <c r="D1970" i="60"/>
  <c r="D1971" i="60"/>
  <c r="D1972" i="60"/>
  <c r="D1973" i="60"/>
  <c r="D1974" i="60"/>
  <c r="D1975" i="60"/>
  <c r="D1976" i="60"/>
  <c r="D1977" i="60"/>
  <c r="D1978" i="60"/>
  <c r="D1979" i="60"/>
  <c r="D1980" i="60"/>
  <c r="D1981" i="60"/>
  <c r="D1982" i="60"/>
  <c r="D1983" i="60"/>
  <c r="D1984" i="60"/>
  <c r="D1985" i="60"/>
  <c r="D1986" i="60"/>
  <c r="D1987" i="60"/>
  <c r="D1988" i="60"/>
  <c r="D1989" i="60"/>
  <c r="D1990" i="60"/>
  <c r="D1991" i="60"/>
  <c r="D1992" i="60"/>
  <c r="D1993" i="60"/>
  <c r="D1994" i="60"/>
  <c r="D1995" i="60"/>
  <c r="D1996" i="60"/>
  <c r="D1997" i="60"/>
  <c r="D1998" i="60"/>
  <c r="D1999" i="60"/>
  <c r="D2000" i="60"/>
  <c r="D2001" i="60"/>
  <c r="D2034" i="60"/>
  <c r="D2035" i="60"/>
  <c r="D2036" i="60"/>
  <c r="D2037" i="60"/>
  <c r="D2038" i="60"/>
  <c r="D2039" i="60"/>
  <c r="D2040" i="60"/>
  <c r="D2041" i="60"/>
  <c r="D2042" i="60"/>
  <c r="D2043" i="60"/>
  <c r="D2044" i="60"/>
  <c r="D2045" i="60"/>
  <c r="D2046" i="60"/>
  <c r="D2047" i="60"/>
  <c r="D2048" i="60"/>
  <c r="D2049" i="60"/>
  <c r="D2050" i="60"/>
  <c r="D2051" i="60"/>
  <c r="D2052" i="60"/>
  <c r="D2053" i="60"/>
  <c r="D2054" i="60"/>
  <c r="D2055" i="60"/>
  <c r="D2056" i="60"/>
  <c r="D2057" i="60"/>
  <c r="D2058" i="60"/>
  <c r="D2059" i="60"/>
  <c r="D2060" i="60"/>
  <c r="D2061" i="60"/>
  <c r="D2062" i="60"/>
  <c r="D2063" i="60"/>
  <c r="D2064" i="60"/>
  <c r="D2065" i="60"/>
  <c r="D2066" i="60"/>
  <c r="D2067" i="60"/>
  <c r="D2068" i="60"/>
  <c r="D2069" i="60"/>
  <c r="D2070" i="60"/>
  <c r="D2071" i="60"/>
  <c r="D2072" i="60"/>
  <c r="D2073" i="60"/>
  <c r="D2074" i="60"/>
  <c r="D2075" i="60"/>
  <c r="D2076" i="60"/>
  <c r="D2077" i="60"/>
  <c r="D2078" i="60"/>
  <c r="D2112" i="60"/>
  <c r="D2113" i="60"/>
  <c r="D2114" i="60"/>
  <c r="D2115" i="60"/>
  <c r="D2116" i="60"/>
  <c r="D2117" i="60"/>
  <c r="D2118" i="60"/>
  <c r="D2119" i="60"/>
  <c r="D2120" i="60"/>
  <c r="D2121" i="60"/>
  <c r="D2122" i="60"/>
  <c r="D2123" i="60"/>
  <c r="D2124" i="60"/>
  <c r="D2125" i="60"/>
  <c r="D2126" i="60"/>
  <c r="D2127" i="60"/>
  <c r="D2128" i="60"/>
  <c r="D2129" i="60"/>
  <c r="D2130" i="60"/>
  <c r="D2131" i="60"/>
  <c r="D2132" i="60"/>
  <c r="D2133" i="60"/>
  <c r="D2134" i="60"/>
  <c r="D2135" i="60"/>
  <c r="D2136" i="60"/>
  <c r="D2137" i="60"/>
  <c r="D2138" i="60"/>
  <c r="D2139" i="60"/>
  <c r="D2140" i="60"/>
  <c r="D2141" i="60"/>
  <c r="D2142" i="60"/>
  <c r="D2143" i="60"/>
  <c r="D2144" i="60"/>
  <c r="D2145" i="60"/>
  <c r="D2146" i="60"/>
  <c r="D2147" i="60"/>
  <c r="D2148" i="60"/>
  <c r="D2149" i="60"/>
  <c r="D2150" i="60"/>
  <c r="D2151" i="60"/>
  <c r="D2152" i="60"/>
  <c r="D2153" i="60"/>
  <c r="D2154" i="60"/>
  <c r="D2155" i="60"/>
  <c r="D2156" i="60"/>
  <c r="D2191" i="60"/>
  <c r="D2192" i="60"/>
  <c r="D2193" i="60"/>
  <c r="D2194" i="60"/>
  <c r="D2195" i="60"/>
  <c r="D2196" i="60"/>
  <c r="D2197" i="60"/>
  <c r="D2198" i="60"/>
  <c r="D2199" i="60"/>
  <c r="D2200" i="60"/>
  <c r="D2201" i="60"/>
  <c r="D2202" i="60"/>
  <c r="D2203" i="60"/>
  <c r="D2204" i="60"/>
  <c r="D2205" i="60"/>
  <c r="D2206" i="60"/>
  <c r="D2207" i="60"/>
  <c r="D2208" i="60"/>
  <c r="D2209" i="60"/>
  <c r="D2210" i="60"/>
  <c r="D2211" i="60"/>
  <c r="D2212" i="60"/>
  <c r="D2213" i="60"/>
  <c r="D2214" i="60"/>
  <c r="D2215" i="60"/>
  <c r="D2216" i="60"/>
  <c r="D2217" i="60"/>
  <c r="D2218" i="60"/>
  <c r="D2219" i="60"/>
  <c r="D2220" i="60"/>
  <c r="D2221" i="60"/>
  <c r="D2222" i="60"/>
  <c r="D2223" i="60"/>
  <c r="D2224" i="60"/>
  <c r="D2225" i="60"/>
  <c r="D2226" i="60"/>
  <c r="D2227" i="60"/>
  <c r="D2228" i="60"/>
  <c r="D2229" i="60"/>
  <c r="D2230" i="60"/>
  <c r="D2231" i="60"/>
  <c r="D2232" i="60"/>
  <c r="D2233" i="60"/>
  <c r="D2234" i="60"/>
  <c r="D2235" i="60"/>
  <c r="D2271" i="60"/>
  <c r="D2272" i="60"/>
  <c r="D2273" i="60"/>
  <c r="D2274" i="60"/>
  <c r="D2275" i="60"/>
  <c r="D2276" i="60"/>
  <c r="D2277" i="60"/>
  <c r="D2278" i="60"/>
  <c r="D2279" i="60"/>
  <c r="D2280" i="60"/>
  <c r="D2281" i="60"/>
  <c r="D2282" i="60"/>
  <c r="D2283" i="60"/>
  <c r="D2284" i="60"/>
  <c r="D2285" i="60"/>
  <c r="D2286" i="60"/>
  <c r="D2287" i="60"/>
  <c r="D2288" i="60"/>
  <c r="D2289" i="60"/>
  <c r="D2290" i="60"/>
  <c r="D2291" i="60"/>
  <c r="D2292" i="60"/>
  <c r="D2293" i="60"/>
  <c r="D2294" i="60"/>
  <c r="D2295" i="60"/>
  <c r="D2296" i="60"/>
  <c r="D2297" i="60"/>
  <c r="D2298" i="60"/>
  <c r="D2299" i="60"/>
  <c r="D2300" i="60"/>
  <c r="D2301" i="60"/>
  <c r="D2302" i="60"/>
  <c r="D2303" i="60"/>
  <c r="D2304" i="60"/>
  <c r="D2305" i="60"/>
  <c r="D2306" i="60"/>
  <c r="D2307" i="60"/>
  <c r="D2308" i="60"/>
  <c r="D2309" i="60"/>
  <c r="D2310" i="60"/>
  <c r="D2311" i="60"/>
  <c r="D2312" i="60"/>
  <c r="D2313" i="60"/>
  <c r="D2314" i="60"/>
  <c r="D2315" i="60"/>
  <c r="T17" i="13"/>
  <c r="U17" i="13" s="1"/>
  <c r="T16" i="13"/>
  <c r="U16" i="13" s="1"/>
  <c r="U13" i="13"/>
  <c r="U15" i="13"/>
  <c r="U19" i="13"/>
  <c r="U20" i="13"/>
  <c r="U21" i="13"/>
  <c r="U22" i="13"/>
  <c r="U12" i="13"/>
  <c r="T26" i="13"/>
  <c r="T35" i="13"/>
  <c r="T39" i="13"/>
  <c r="T38" i="13"/>
  <c r="T36" i="13"/>
  <c r="T34" i="13"/>
  <c r="D2314" i="62"/>
  <c r="D42" i="62"/>
  <c r="D106" i="62"/>
  <c r="AK195" i="67"/>
  <c r="AK170" i="67"/>
  <c r="AK168" i="67"/>
  <c r="AK160" i="67"/>
  <c r="AK155" i="67"/>
  <c r="AK145" i="67"/>
  <c r="AK140" i="67"/>
  <c r="AK131" i="67"/>
  <c r="AK113" i="67"/>
  <c r="AG178" i="67"/>
  <c r="AG157" i="67"/>
  <c r="AG155" i="67"/>
  <c r="AG138" i="67"/>
  <c r="AG130" i="67"/>
  <c r="AC168" i="67"/>
  <c r="AC166" i="67"/>
  <c r="AC155" i="67"/>
  <c r="AC145" i="67"/>
  <c r="AC140" i="67"/>
  <c r="AC110" i="67"/>
  <c r="Y170" i="67"/>
  <c r="Y153" i="67"/>
  <c r="Y148" i="67"/>
  <c r="O55" i="67"/>
  <c r="Y142" i="67"/>
  <c r="O54" i="67"/>
  <c r="Y137" i="67"/>
  <c r="Y129" i="67"/>
  <c r="U174" i="67"/>
  <c r="U160" i="67"/>
  <c r="U157" i="67"/>
  <c r="U150" i="67"/>
  <c r="U140" i="67"/>
  <c r="U138" i="67"/>
  <c r="U134" i="67"/>
  <c r="U118" i="67"/>
  <c r="Q170" i="67"/>
  <c r="Q162" i="67"/>
  <c r="Q146" i="67"/>
  <c r="Q142" i="67"/>
  <c r="Q133" i="67"/>
  <c r="Q109" i="67"/>
  <c r="M177" i="67"/>
  <c r="M165" i="67"/>
  <c r="M153" i="67"/>
  <c r="M145" i="67"/>
  <c r="M136" i="67"/>
  <c r="M129" i="67"/>
  <c r="M110" i="67"/>
  <c r="I173" i="67"/>
  <c r="I158" i="67"/>
  <c r="I155" i="67"/>
  <c r="I109" i="67"/>
  <c r="E180" i="67"/>
  <c r="E162" i="67"/>
  <c r="E157" i="67"/>
  <c r="E140" i="67"/>
  <c r="F22" i="66"/>
  <c r="H83" i="57" s="1"/>
  <c r="C22" i="66"/>
  <c r="F83" i="57" s="1"/>
  <c r="F21" i="66"/>
  <c r="H82" i="57" s="1"/>
  <c r="C21" i="66"/>
  <c r="F82" i="57" s="1"/>
  <c r="F20" i="66"/>
  <c r="H81" i="57" s="1"/>
  <c r="C20" i="66"/>
  <c r="F81" i="57" s="1"/>
  <c r="F19" i="66"/>
  <c r="H80" i="57" s="1"/>
  <c r="C19" i="66"/>
  <c r="F80" i="57" s="1"/>
  <c r="F18" i="66"/>
  <c r="H79" i="57" s="1"/>
  <c r="C18" i="66"/>
  <c r="F79" i="57" s="1"/>
  <c r="F17" i="66"/>
  <c r="H78" i="57" s="1"/>
  <c r="C17" i="66"/>
  <c r="F78" i="57" s="1"/>
  <c r="F16" i="66"/>
  <c r="H77" i="57" s="1"/>
  <c r="C16" i="66"/>
  <c r="F77" i="57" s="1"/>
  <c r="F15" i="66"/>
  <c r="H76" i="57" s="1"/>
  <c r="C15" i="66"/>
  <c r="F76" i="57" s="1"/>
  <c r="D2313" i="62"/>
  <c r="D2312" i="62"/>
  <c r="D2311" i="62"/>
  <c r="D2310" i="62"/>
  <c r="D2309" i="62"/>
  <c r="D2308" i="62"/>
  <c r="D2307" i="62"/>
  <c r="D2306" i="62"/>
  <c r="D2305" i="62"/>
  <c r="D2304" i="62"/>
  <c r="D2303" i="62"/>
  <c r="D2302" i="62"/>
  <c r="D2301" i="62"/>
  <c r="D2300" i="62"/>
  <c r="D2299" i="62"/>
  <c r="D2298" i="62"/>
  <c r="D2297" i="62"/>
  <c r="D2296" i="62"/>
  <c r="D2295" i="62"/>
  <c r="D2294" i="62"/>
  <c r="D2293" i="62"/>
  <c r="D2292" i="62"/>
  <c r="D2291" i="62"/>
  <c r="D2290" i="62"/>
  <c r="D2289" i="62"/>
  <c r="D2288" i="62"/>
  <c r="D2287" i="62"/>
  <c r="D2286" i="62"/>
  <c r="D2285" i="62"/>
  <c r="D2284" i="62"/>
  <c r="D2283" i="62"/>
  <c r="D2282" i="62"/>
  <c r="D2281" i="62"/>
  <c r="D2233" i="62"/>
  <c r="D2232" i="62"/>
  <c r="D2231" i="62"/>
  <c r="D2230" i="62"/>
  <c r="D2229" i="62"/>
  <c r="D2228" i="62"/>
  <c r="D2227" i="62"/>
  <c r="D2226" i="62"/>
  <c r="D2225" i="62"/>
  <c r="D2224" i="62"/>
  <c r="D2223" i="62"/>
  <c r="D2222" i="62"/>
  <c r="D2221" i="62"/>
  <c r="D2220" i="62"/>
  <c r="D2219" i="62"/>
  <c r="D2218" i="62"/>
  <c r="D2217" i="62"/>
  <c r="D2216" i="62"/>
  <c r="D2215" i="62"/>
  <c r="D2214" i="62"/>
  <c r="D2213" i="62"/>
  <c r="D2212" i="62"/>
  <c r="D2211" i="62"/>
  <c r="D2210" i="62"/>
  <c r="D2209" i="62"/>
  <c r="D2208" i="62"/>
  <c r="D2207" i="62"/>
  <c r="D2206" i="62"/>
  <c r="D2205" i="62"/>
  <c r="D2204" i="62"/>
  <c r="D2203" i="62"/>
  <c r="D2202" i="62"/>
  <c r="D2201" i="62"/>
  <c r="D2200" i="62"/>
  <c r="D2153" i="62"/>
  <c r="D2152" i="62"/>
  <c r="D2151" i="62"/>
  <c r="D2150" i="62"/>
  <c r="D2149" i="62"/>
  <c r="D2148" i="62"/>
  <c r="D2147" i="62"/>
  <c r="D2146" i="62"/>
  <c r="D2145" i="62"/>
  <c r="D2144" i="62"/>
  <c r="D2143" i="62"/>
  <c r="D2142" i="62"/>
  <c r="D2141" i="62"/>
  <c r="D2140" i="62"/>
  <c r="D2139" i="62"/>
  <c r="D2138" i="62"/>
  <c r="D2137" i="62"/>
  <c r="D2136" i="62"/>
  <c r="D2135" i="62"/>
  <c r="D2134" i="62"/>
  <c r="D2133" i="62"/>
  <c r="D2132" i="62"/>
  <c r="D2131" i="62"/>
  <c r="D2130" i="62"/>
  <c r="D2129" i="62"/>
  <c r="D2128" i="62"/>
  <c r="D2127" i="62"/>
  <c r="D2126" i="62"/>
  <c r="D2125" i="62"/>
  <c r="D2124" i="62"/>
  <c r="D2123" i="62"/>
  <c r="D2122" i="62"/>
  <c r="D2121" i="62"/>
  <c r="D2120" i="62"/>
  <c r="D2074" i="62"/>
  <c r="D2073" i="62"/>
  <c r="D2072" i="62"/>
  <c r="D2071" i="62"/>
  <c r="D2070" i="62"/>
  <c r="D2069" i="62"/>
  <c r="D2068" i="62"/>
  <c r="D2067" i="62"/>
  <c r="D2066" i="62"/>
  <c r="D2065" i="62"/>
  <c r="D2064" i="62"/>
  <c r="D2063" i="62"/>
  <c r="D2062" i="62"/>
  <c r="D2061" i="62"/>
  <c r="D2060" i="62"/>
  <c r="D2059" i="62"/>
  <c r="D2058" i="62"/>
  <c r="D2057" i="62"/>
  <c r="D2056" i="62"/>
  <c r="D2055" i="62"/>
  <c r="D2054" i="62"/>
  <c r="D2053" i="62"/>
  <c r="D2052" i="62"/>
  <c r="D2051" i="62"/>
  <c r="D2050" i="62"/>
  <c r="D2049" i="62"/>
  <c r="D2048" i="62"/>
  <c r="D2047" i="62"/>
  <c r="D2046" i="62"/>
  <c r="D2045" i="62"/>
  <c r="D2044" i="62"/>
  <c r="D2043" i="62"/>
  <c r="D2042" i="62"/>
  <c r="D2041" i="62"/>
  <c r="D1996" i="62"/>
  <c r="D1995" i="62"/>
  <c r="D1994" i="62"/>
  <c r="D1993" i="62"/>
  <c r="D1992" i="62"/>
  <c r="D1991" i="62"/>
  <c r="D1990" i="62"/>
  <c r="D1989" i="62"/>
  <c r="D1988" i="62"/>
  <c r="D1987" i="62"/>
  <c r="D1986" i="62"/>
  <c r="D1985" i="62"/>
  <c r="D1984" i="62"/>
  <c r="D1983" i="62"/>
  <c r="D1982" i="62"/>
  <c r="D1981" i="62"/>
  <c r="D1980" i="62"/>
  <c r="D1979" i="62"/>
  <c r="D1978" i="62"/>
  <c r="D1977" i="62"/>
  <c r="D1976" i="62"/>
  <c r="D1975" i="62"/>
  <c r="D1974" i="62"/>
  <c r="D1973" i="62"/>
  <c r="D1972" i="62"/>
  <c r="D1971" i="62"/>
  <c r="D1970" i="62"/>
  <c r="D1969" i="62"/>
  <c r="D1968" i="62"/>
  <c r="D1967" i="62"/>
  <c r="D1966" i="62"/>
  <c r="D1965" i="62"/>
  <c r="D1964" i="62"/>
  <c r="D1963" i="62"/>
  <c r="D1919" i="62"/>
  <c r="D1918" i="62"/>
  <c r="D1917" i="62"/>
  <c r="D1916" i="62"/>
  <c r="D1915" i="62"/>
  <c r="D1914" i="62"/>
  <c r="D1913" i="62"/>
  <c r="D1912" i="62"/>
  <c r="D1911" i="62"/>
  <c r="D1910" i="62"/>
  <c r="D1909" i="62"/>
  <c r="D1908" i="62"/>
  <c r="D1907" i="62"/>
  <c r="D1906" i="62"/>
  <c r="D1905" i="62"/>
  <c r="D1904" i="62"/>
  <c r="D1903" i="62"/>
  <c r="D1902" i="62"/>
  <c r="D1901" i="62"/>
  <c r="D1900" i="62"/>
  <c r="D1899" i="62"/>
  <c r="D1898" i="62"/>
  <c r="D1897" i="62"/>
  <c r="D1896" i="62"/>
  <c r="D1895" i="62"/>
  <c r="D1894" i="62"/>
  <c r="D1893" i="62"/>
  <c r="D1892" i="62"/>
  <c r="D1891" i="62"/>
  <c r="D1890" i="62"/>
  <c r="D1889" i="62"/>
  <c r="D1888" i="62"/>
  <c r="D1887" i="62"/>
  <c r="D1886" i="62"/>
  <c r="D1843" i="62"/>
  <c r="D1842" i="62"/>
  <c r="D1841" i="62"/>
  <c r="D1840" i="62"/>
  <c r="D1839" i="62"/>
  <c r="D1838" i="62"/>
  <c r="D1837" i="62"/>
  <c r="D1836" i="62"/>
  <c r="D1835" i="62"/>
  <c r="D1834" i="62"/>
  <c r="D1833" i="62"/>
  <c r="D1832" i="62"/>
  <c r="D1831" i="62"/>
  <c r="D1830" i="62"/>
  <c r="D1829" i="62"/>
  <c r="D1828" i="62"/>
  <c r="D1827" i="62"/>
  <c r="D1826" i="62"/>
  <c r="D1825" i="62"/>
  <c r="D1824" i="62"/>
  <c r="D1823" i="62"/>
  <c r="D1822" i="62"/>
  <c r="D1821" i="62"/>
  <c r="D1820" i="62"/>
  <c r="D1819" i="62"/>
  <c r="D1818" i="62"/>
  <c r="D1817" i="62"/>
  <c r="D1816" i="62"/>
  <c r="D1815" i="62"/>
  <c r="D1814" i="62"/>
  <c r="D1813" i="62"/>
  <c r="D1812" i="62"/>
  <c r="D1811" i="62"/>
  <c r="D1810" i="62"/>
  <c r="D1768" i="62"/>
  <c r="D1767" i="62"/>
  <c r="D1766" i="62"/>
  <c r="D1765" i="62"/>
  <c r="D1764" i="62"/>
  <c r="D1763" i="62"/>
  <c r="D1762" i="62"/>
  <c r="D1761" i="62"/>
  <c r="D1760" i="62"/>
  <c r="D1759" i="62"/>
  <c r="D1758" i="62"/>
  <c r="D1757" i="62"/>
  <c r="D1756" i="62"/>
  <c r="D1755" i="62"/>
  <c r="D1754" i="62"/>
  <c r="D1753" i="62"/>
  <c r="D1752" i="62"/>
  <c r="D1751" i="62"/>
  <c r="D1750" i="62"/>
  <c r="D1749" i="62"/>
  <c r="D1748" i="62"/>
  <c r="D1747" i="62"/>
  <c r="D1746" i="62"/>
  <c r="D1745" i="62"/>
  <c r="D1744" i="62"/>
  <c r="D1743" i="62"/>
  <c r="D1742" i="62"/>
  <c r="D1741" i="62"/>
  <c r="D1740" i="62"/>
  <c r="D1739" i="62"/>
  <c r="D1738" i="62"/>
  <c r="D1737" i="62"/>
  <c r="D1736" i="62"/>
  <c r="D1694" i="62"/>
  <c r="D1693" i="62"/>
  <c r="D1692" i="62"/>
  <c r="D1691" i="62"/>
  <c r="D1690" i="62"/>
  <c r="D1689" i="62"/>
  <c r="D1688" i="62"/>
  <c r="D1687" i="62"/>
  <c r="D1686" i="62"/>
  <c r="D1685" i="62"/>
  <c r="D1684" i="62"/>
  <c r="D1683" i="62"/>
  <c r="D1682" i="62"/>
  <c r="D1681" i="62"/>
  <c r="D1680" i="62"/>
  <c r="D1679" i="62"/>
  <c r="D1678" i="62"/>
  <c r="D1677" i="62"/>
  <c r="D1676" i="62"/>
  <c r="D1675" i="62"/>
  <c r="D1674" i="62"/>
  <c r="D1673" i="62"/>
  <c r="D1672" i="62"/>
  <c r="D1671" i="62"/>
  <c r="D1670" i="62"/>
  <c r="D1669" i="62"/>
  <c r="D1668" i="62"/>
  <c r="D1667" i="62"/>
  <c r="D1666" i="62"/>
  <c r="D1665" i="62"/>
  <c r="D1664" i="62"/>
  <c r="D1663" i="62"/>
  <c r="D1621" i="62"/>
  <c r="D1620" i="62"/>
  <c r="D1619" i="62"/>
  <c r="D1618" i="62"/>
  <c r="D1617" i="62"/>
  <c r="D1616" i="62"/>
  <c r="D1615" i="62"/>
  <c r="D1614" i="62"/>
  <c r="D1613" i="62"/>
  <c r="D1612" i="62"/>
  <c r="D1611" i="62"/>
  <c r="D1610" i="62"/>
  <c r="D1609" i="62"/>
  <c r="D1608" i="62"/>
  <c r="D1607" i="62"/>
  <c r="D1606" i="62"/>
  <c r="D1605" i="62"/>
  <c r="D1604" i="62"/>
  <c r="D1603" i="62"/>
  <c r="D1602" i="62"/>
  <c r="D1601" i="62"/>
  <c r="D1600" i="62"/>
  <c r="D1599" i="62"/>
  <c r="D1598" i="62"/>
  <c r="D1597" i="62"/>
  <c r="D1596" i="62"/>
  <c r="D1595" i="62"/>
  <c r="D1594" i="62"/>
  <c r="D1593" i="62"/>
  <c r="D1592" i="62"/>
  <c r="D1591" i="62"/>
  <c r="D1549" i="62"/>
  <c r="D1548" i="62"/>
  <c r="D1547" i="62"/>
  <c r="D1546" i="62"/>
  <c r="D1545" i="62"/>
  <c r="D1544" i="62"/>
  <c r="D1543" i="62"/>
  <c r="D1542" i="62"/>
  <c r="D1541" i="62"/>
  <c r="D1540" i="62"/>
  <c r="D1539" i="62"/>
  <c r="D1538" i="62"/>
  <c r="D1537" i="62"/>
  <c r="D1536" i="62"/>
  <c r="D1535" i="62"/>
  <c r="D1534" i="62"/>
  <c r="D1533" i="62"/>
  <c r="D1532" i="62"/>
  <c r="D1531" i="62"/>
  <c r="D1530" i="62"/>
  <c r="D1529" i="62"/>
  <c r="D1528" i="62"/>
  <c r="D1527" i="62"/>
  <c r="D1526" i="62"/>
  <c r="D1525" i="62"/>
  <c r="D1524" i="62"/>
  <c r="D1523" i="62"/>
  <c r="D1522" i="62"/>
  <c r="D1521" i="62"/>
  <c r="D1520" i="62"/>
  <c r="D1478" i="62"/>
  <c r="D1477" i="62"/>
  <c r="D1476" i="62"/>
  <c r="D1475" i="62"/>
  <c r="D1474" i="62"/>
  <c r="D1473" i="62"/>
  <c r="D1472" i="62"/>
  <c r="D1471" i="62"/>
  <c r="D1470" i="62"/>
  <c r="D1469" i="62"/>
  <c r="D1468" i="62"/>
  <c r="D1467" i="62"/>
  <c r="D1466" i="62"/>
  <c r="D1465" i="62"/>
  <c r="D1464" i="62"/>
  <c r="D1463" i="62"/>
  <c r="D1462" i="62"/>
  <c r="D1461" i="62"/>
  <c r="D1460" i="62"/>
  <c r="D1459" i="62"/>
  <c r="D1458" i="62"/>
  <c r="D1457" i="62"/>
  <c r="D1456" i="62"/>
  <c r="D1455" i="62"/>
  <c r="D1454" i="62"/>
  <c r="D1453" i="62"/>
  <c r="D1452" i="62"/>
  <c r="D1451" i="62"/>
  <c r="D1450" i="62"/>
  <c r="D1408" i="62"/>
  <c r="D1407" i="62"/>
  <c r="D1406" i="62"/>
  <c r="D1405" i="62"/>
  <c r="D1404" i="62"/>
  <c r="D1403" i="62"/>
  <c r="D1402" i="62"/>
  <c r="D1401" i="62"/>
  <c r="D1400" i="62"/>
  <c r="D1399" i="62"/>
  <c r="D1398" i="62"/>
  <c r="D1397" i="62"/>
  <c r="D1396" i="62"/>
  <c r="D1395" i="62"/>
  <c r="D1394" i="62"/>
  <c r="D1393" i="62"/>
  <c r="D1392" i="62"/>
  <c r="D1391" i="62"/>
  <c r="D1390" i="62"/>
  <c r="D1389" i="62"/>
  <c r="D1388" i="62"/>
  <c r="D1387" i="62"/>
  <c r="D1386" i="62"/>
  <c r="D1385" i="62"/>
  <c r="D1384" i="62"/>
  <c r="D1383" i="62"/>
  <c r="D1382" i="62"/>
  <c r="D1381" i="62"/>
  <c r="D1339" i="62"/>
  <c r="D1338" i="62"/>
  <c r="D1337" i="62"/>
  <c r="D1336" i="62"/>
  <c r="D1335" i="62"/>
  <c r="D1334" i="62"/>
  <c r="D1333" i="62"/>
  <c r="D1332" i="62"/>
  <c r="D1331" i="62"/>
  <c r="D1330" i="62"/>
  <c r="D1329" i="62"/>
  <c r="D1328" i="62"/>
  <c r="D1327" i="62"/>
  <c r="D1326" i="62"/>
  <c r="D1325" i="62"/>
  <c r="D1324" i="62"/>
  <c r="D1323" i="62"/>
  <c r="D1322" i="62"/>
  <c r="D1321" i="62"/>
  <c r="D1320" i="62"/>
  <c r="D1319" i="62"/>
  <c r="D1318" i="62"/>
  <c r="D1317" i="62"/>
  <c r="D1316" i="62"/>
  <c r="D1315" i="62"/>
  <c r="D1314" i="62"/>
  <c r="D1313" i="62"/>
  <c r="D1271" i="62"/>
  <c r="D1270" i="62"/>
  <c r="D1269" i="62"/>
  <c r="D1268" i="62"/>
  <c r="D1267" i="62"/>
  <c r="D1266" i="62"/>
  <c r="D1265" i="62"/>
  <c r="D1264" i="62"/>
  <c r="D1263" i="62"/>
  <c r="D1262" i="62"/>
  <c r="D1261" i="62"/>
  <c r="D1260" i="62"/>
  <c r="D1259" i="62"/>
  <c r="D1258" i="62"/>
  <c r="D1257" i="62"/>
  <c r="D1256" i="62"/>
  <c r="D1255" i="62"/>
  <c r="D1254" i="62"/>
  <c r="D1253" i="62"/>
  <c r="D1252" i="62"/>
  <c r="D1251" i="62"/>
  <c r="D1250" i="62"/>
  <c r="D1249" i="62"/>
  <c r="D1248" i="62"/>
  <c r="D1247" i="62"/>
  <c r="D1246" i="62"/>
  <c r="D1204" i="62"/>
  <c r="D1203" i="62"/>
  <c r="D1202" i="62"/>
  <c r="D1201" i="62"/>
  <c r="D1200" i="62"/>
  <c r="D1199" i="62"/>
  <c r="D1198" i="62"/>
  <c r="D1197" i="62"/>
  <c r="D1196" i="62"/>
  <c r="D1195" i="62"/>
  <c r="D1194" i="62"/>
  <c r="D1193" i="62"/>
  <c r="D1192" i="62"/>
  <c r="D1191" i="62"/>
  <c r="D1190" i="62"/>
  <c r="D1189" i="62"/>
  <c r="D1188" i="62"/>
  <c r="D1187" i="62"/>
  <c r="D1186" i="62"/>
  <c r="D1185" i="62"/>
  <c r="D1184" i="62"/>
  <c r="D1183" i="62"/>
  <c r="D1182" i="62"/>
  <c r="D1181" i="62"/>
  <c r="D1180" i="62"/>
  <c r="D1138" i="62"/>
  <c r="D1137" i="62"/>
  <c r="D1136" i="62"/>
  <c r="D1135" i="62"/>
  <c r="D1134" i="62"/>
  <c r="D1133" i="62"/>
  <c r="D1132" i="62"/>
  <c r="D1131" i="62"/>
  <c r="D1130" i="62"/>
  <c r="D1129" i="62"/>
  <c r="D1128" i="62"/>
  <c r="D1127" i="62"/>
  <c r="D1126" i="62"/>
  <c r="D1125" i="62"/>
  <c r="D1124" i="62"/>
  <c r="D1123" i="62"/>
  <c r="D1122" i="62"/>
  <c r="D1121" i="62"/>
  <c r="D1120" i="62"/>
  <c r="D1119" i="62"/>
  <c r="D1118" i="62"/>
  <c r="D1117" i="62"/>
  <c r="D1116" i="62"/>
  <c r="D1115" i="62"/>
  <c r="D1073" i="62"/>
  <c r="D1072" i="62"/>
  <c r="D1071" i="62"/>
  <c r="D1070" i="62"/>
  <c r="D1069" i="62"/>
  <c r="D1068" i="62"/>
  <c r="D1067" i="62"/>
  <c r="D1066" i="62"/>
  <c r="D1065" i="62"/>
  <c r="D1064" i="62"/>
  <c r="D1063" i="62"/>
  <c r="D1062" i="62"/>
  <c r="D1061" i="62"/>
  <c r="D1060" i="62"/>
  <c r="D1059" i="62"/>
  <c r="D1058" i="62"/>
  <c r="D1057" i="62"/>
  <c r="D1056" i="62"/>
  <c r="D1055" i="62"/>
  <c r="D1054" i="62"/>
  <c r="D1053" i="62"/>
  <c r="D1052" i="62"/>
  <c r="D1051" i="62"/>
  <c r="D1009" i="62"/>
  <c r="D1008" i="62"/>
  <c r="D1007" i="62"/>
  <c r="D1006" i="62"/>
  <c r="D1005" i="62"/>
  <c r="D1004" i="62"/>
  <c r="D1003" i="62"/>
  <c r="D1002" i="62"/>
  <c r="D1001" i="62"/>
  <c r="D1000" i="62"/>
  <c r="D999" i="62"/>
  <c r="D998" i="62"/>
  <c r="D997" i="62"/>
  <c r="D996" i="62"/>
  <c r="D995" i="62"/>
  <c r="D994" i="62"/>
  <c r="D993" i="62"/>
  <c r="D992" i="62"/>
  <c r="D991" i="62"/>
  <c r="D990" i="62"/>
  <c r="D989" i="62"/>
  <c r="D988" i="62"/>
  <c r="D946" i="62"/>
  <c r="D945" i="62"/>
  <c r="D944" i="62"/>
  <c r="D943" i="62"/>
  <c r="D942" i="62"/>
  <c r="D941" i="62"/>
  <c r="D940" i="62"/>
  <c r="D939" i="62"/>
  <c r="D938" i="62"/>
  <c r="D937" i="62"/>
  <c r="D936" i="62"/>
  <c r="D935" i="62"/>
  <c r="D934" i="62"/>
  <c r="D933" i="62"/>
  <c r="D932" i="62"/>
  <c r="D931" i="62"/>
  <c r="D930" i="62"/>
  <c r="D929" i="62"/>
  <c r="D928" i="62"/>
  <c r="D927" i="62"/>
  <c r="D926" i="62"/>
  <c r="D884" i="62"/>
  <c r="D883" i="62"/>
  <c r="D882" i="62"/>
  <c r="D881" i="62"/>
  <c r="D880" i="62"/>
  <c r="D879" i="62"/>
  <c r="D878" i="62"/>
  <c r="D877" i="62"/>
  <c r="D876" i="62"/>
  <c r="D875" i="62"/>
  <c r="D874" i="62"/>
  <c r="D873" i="62"/>
  <c r="D872" i="62"/>
  <c r="D871" i="62"/>
  <c r="D870" i="62"/>
  <c r="D869" i="62"/>
  <c r="D868" i="62"/>
  <c r="D867" i="62"/>
  <c r="D866" i="62"/>
  <c r="D865" i="62"/>
  <c r="D823" i="62"/>
  <c r="D822" i="62"/>
  <c r="D821" i="62"/>
  <c r="D820" i="62"/>
  <c r="D819" i="62"/>
  <c r="D818" i="62"/>
  <c r="D817" i="62"/>
  <c r="D816" i="62"/>
  <c r="D815" i="62"/>
  <c r="D814" i="62"/>
  <c r="D813" i="62"/>
  <c r="D812" i="62"/>
  <c r="D811" i="62"/>
  <c r="D810" i="62"/>
  <c r="D809" i="62"/>
  <c r="D808" i="62"/>
  <c r="D807" i="62"/>
  <c r="D806" i="62"/>
  <c r="D805" i="62"/>
  <c r="D763" i="62"/>
  <c r="D762" i="62"/>
  <c r="D761" i="62"/>
  <c r="D760" i="62"/>
  <c r="D759" i="62"/>
  <c r="D758" i="62"/>
  <c r="D757" i="62"/>
  <c r="D756" i="62"/>
  <c r="D755" i="62"/>
  <c r="D754" i="62"/>
  <c r="D753" i="62"/>
  <c r="D752" i="62"/>
  <c r="D751" i="62"/>
  <c r="D750" i="62"/>
  <c r="D749" i="62"/>
  <c r="D748" i="62"/>
  <c r="D747" i="62"/>
  <c r="D746" i="62"/>
  <c r="D704" i="62"/>
  <c r="D703" i="62"/>
  <c r="D702" i="62"/>
  <c r="D701" i="62"/>
  <c r="D700" i="62"/>
  <c r="D699" i="62"/>
  <c r="D698" i="62"/>
  <c r="D697" i="62"/>
  <c r="D696" i="62"/>
  <c r="D695" i="62"/>
  <c r="D694" i="62"/>
  <c r="D693" i="62"/>
  <c r="D692" i="62"/>
  <c r="D691" i="62"/>
  <c r="D690" i="62"/>
  <c r="D689" i="62"/>
  <c r="D688" i="62"/>
  <c r="D646" i="62"/>
  <c r="D645" i="62"/>
  <c r="D644" i="62"/>
  <c r="D643" i="62"/>
  <c r="D642" i="62"/>
  <c r="D641" i="62"/>
  <c r="D640" i="62"/>
  <c r="D639" i="62"/>
  <c r="D638" i="62"/>
  <c r="D637" i="62"/>
  <c r="D636" i="62"/>
  <c r="D635" i="62"/>
  <c r="D634" i="62"/>
  <c r="D633" i="62"/>
  <c r="D632" i="62"/>
  <c r="D631" i="62"/>
  <c r="D586" i="62"/>
  <c r="D585" i="62"/>
  <c r="D584" i="62"/>
  <c r="D583" i="62"/>
  <c r="D582" i="62"/>
  <c r="D581" i="62"/>
  <c r="D580" i="62"/>
  <c r="D579" i="62"/>
  <c r="D578" i="62"/>
  <c r="D577" i="62"/>
  <c r="D576" i="62"/>
  <c r="D575" i="62"/>
  <c r="D531" i="62"/>
  <c r="D530" i="62"/>
  <c r="D529" i="62"/>
  <c r="D528" i="62"/>
  <c r="D527" i="62"/>
  <c r="D526" i="62"/>
  <c r="D525" i="62"/>
  <c r="D524" i="62"/>
  <c r="D523" i="62"/>
  <c r="D522" i="62"/>
  <c r="D521" i="62"/>
  <c r="D520" i="62"/>
  <c r="D478" i="62"/>
  <c r="D477" i="62"/>
  <c r="D476" i="62"/>
  <c r="D475" i="62"/>
  <c r="D474" i="62"/>
  <c r="D473" i="62"/>
  <c r="D472" i="62"/>
  <c r="D471" i="62"/>
  <c r="D470" i="62"/>
  <c r="D469" i="62"/>
  <c r="D468" i="62"/>
  <c r="D467" i="62"/>
  <c r="D466" i="62"/>
  <c r="D424" i="62"/>
  <c r="D423" i="62"/>
  <c r="D422" i="62"/>
  <c r="D421" i="62"/>
  <c r="D420" i="62"/>
  <c r="D419" i="62"/>
  <c r="D418" i="62"/>
  <c r="D417" i="62"/>
  <c r="D416" i="62"/>
  <c r="D415" i="62"/>
  <c r="D414" i="62"/>
  <c r="D413" i="62"/>
  <c r="D412" i="62"/>
  <c r="D411" i="62"/>
  <c r="D410" i="62"/>
  <c r="D409" i="62"/>
  <c r="D371" i="62"/>
  <c r="D370" i="62"/>
  <c r="D369" i="62"/>
  <c r="D368" i="62"/>
  <c r="D367" i="62"/>
  <c r="D366" i="62"/>
  <c r="D365" i="62"/>
  <c r="D364" i="62"/>
  <c r="D363" i="62"/>
  <c r="D362" i="62"/>
  <c r="D361" i="62"/>
  <c r="D360" i="62"/>
  <c r="D359" i="62"/>
  <c r="D358" i="62"/>
  <c r="D357" i="62"/>
  <c r="D356" i="62"/>
  <c r="D355" i="62"/>
  <c r="D354" i="62"/>
  <c r="D319" i="62"/>
  <c r="D318" i="62"/>
  <c r="D317" i="62"/>
  <c r="D316" i="62"/>
  <c r="D315" i="62"/>
  <c r="D314" i="62"/>
  <c r="D313" i="62"/>
  <c r="D312" i="62"/>
  <c r="D311" i="62"/>
  <c r="D310" i="62"/>
  <c r="D309" i="62"/>
  <c r="D308" i="62"/>
  <c r="D307" i="62"/>
  <c r="D306" i="62"/>
  <c r="D305" i="62"/>
  <c r="D304" i="62"/>
  <c r="D303" i="62"/>
  <c r="D302" i="62"/>
  <c r="D301" i="62"/>
  <c r="D300" i="62"/>
  <c r="D299" i="62"/>
  <c r="D298" i="62"/>
  <c r="D268" i="62"/>
  <c r="D267" i="62"/>
  <c r="D266" i="62"/>
  <c r="D265" i="62"/>
  <c r="D264" i="62"/>
  <c r="D263" i="62"/>
  <c r="D262" i="62"/>
  <c r="D261" i="62"/>
  <c r="D260" i="62"/>
  <c r="D259" i="62"/>
  <c r="D258" i="62"/>
  <c r="D257" i="62"/>
  <c r="D256" i="62"/>
  <c r="D255" i="62"/>
  <c r="D254" i="62"/>
  <c r="D253" i="62"/>
  <c r="D252" i="62"/>
  <c r="D251" i="62"/>
  <c r="D250" i="62"/>
  <c r="D249" i="62"/>
  <c r="D248" i="62"/>
  <c r="D247" i="62"/>
  <c r="D246" i="62"/>
  <c r="D245" i="62"/>
  <c r="D244" i="62"/>
  <c r="D218" i="62"/>
  <c r="D217" i="62"/>
  <c r="D216" i="62"/>
  <c r="D215" i="62"/>
  <c r="D214" i="62"/>
  <c r="D213" i="62"/>
  <c r="D212" i="62"/>
  <c r="D211" i="62"/>
  <c r="D210" i="62"/>
  <c r="D209" i="62"/>
  <c r="D208" i="62"/>
  <c r="D207" i="62"/>
  <c r="D206" i="62"/>
  <c r="D205" i="62"/>
  <c r="D204" i="62"/>
  <c r="D203" i="62"/>
  <c r="D202" i="62"/>
  <c r="D201" i="62"/>
  <c r="D200" i="62"/>
  <c r="D199" i="62"/>
  <c r="D198" i="62"/>
  <c r="D197" i="62"/>
  <c r="D196" i="62"/>
  <c r="D195" i="62"/>
  <c r="D169" i="62"/>
  <c r="D168" i="62"/>
  <c r="D167" i="62"/>
  <c r="D166" i="62"/>
  <c r="D165" i="62"/>
  <c r="D164" i="62"/>
  <c r="D163" i="62"/>
  <c r="D162" i="62"/>
  <c r="D161" i="62"/>
  <c r="D160" i="62"/>
  <c r="D159" i="62"/>
  <c r="D158" i="62"/>
  <c r="D157" i="62"/>
  <c r="D156" i="62"/>
  <c r="D155" i="62"/>
  <c r="D154" i="62"/>
  <c r="D153" i="62"/>
  <c r="D152" i="62"/>
  <c r="D151" i="62"/>
  <c r="D150" i="62"/>
  <c r="D149" i="62"/>
  <c r="D148" i="62"/>
  <c r="D147" i="62"/>
  <c r="D146" i="62"/>
  <c r="D30" i="61"/>
  <c r="D31" i="60"/>
  <c r="D30" i="60"/>
  <c r="EJ13" i="57" l="1"/>
  <c r="DN35" i="57" s="1"/>
  <c r="DR35" i="57" s="1"/>
  <c r="J56" i="57" s="1"/>
  <c r="EG14" i="57"/>
  <c r="DI36" i="57" s="1"/>
  <c r="DO36" i="57" s="1"/>
  <c r="CP13" i="57"/>
  <c r="BR35" i="57" s="1"/>
  <c r="BX35" i="57" s="1"/>
  <c r="EI13" i="57"/>
  <c r="DK35" i="57" s="1"/>
  <c r="DQ35" i="57" s="1"/>
  <c r="CO13" i="57"/>
  <c r="BQ35" i="57" s="1"/>
  <c r="BW35" i="57" s="1"/>
  <c r="EH13" i="57"/>
  <c r="DJ35" i="57" s="1"/>
  <c r="DP35" i="57" s="1"/>
  <c r="CN13" i="57"/>
  <c r="BP35" i="57" s="1"/>
  <c r="BV35" i="57" s="1"/>
  <c r="AW13" i="57"/>
  <c r="AV14" i="57"/>
  <c r="X36" i="57" s="1"/>
  <c r="AD36" i="57" s="1"/>
  <c r="EG13" i="57"/>
  <c r="DI35" i="57" s="1"/>
  <c r="DO35" i="57" s="1"/>
  <c r="AU14" i="57"/>
  <c r="W36" i="57" s="1"/>
  <c r="AC36" i="57" s="1"/>
  <c r="CO14" i="57"/>
  <c r="BQ36" i="57" s="1"/>
  <c r="BW36" i="57" s="1"/>
  <c r="CQ14" i="57"/>
  <c r="AW14" i="57"/>
  <c r="AT14" i="57"/>
  <c r="V36" i="57" s="1"/>
  <c r="AB36" i="57" s="1"/>
  <c r="EI14" i="57"/>
  <c r="DK36" i="57" s="1"/>
  <c r="DQ36" i="57" s="1"/>
  <c r="AU13" i="57"/>
  <c r="W35" i="57" s="1"/>
  <c r="AC35" i="57" s="1"/>
  <c r="EJ14" i="57"/>
  <c r="CP14" i="57"/>
  <c r="BR36" i="57" s="1"/>
  <c r="BX36" i="57" s="1"/>
  <c r="AV13" i="57"/>
  <c r="X35" i="57" s="1"/>
  <c r="AD35" i="57" s="1"/>
  <c r="EH14" i="57"/>
  <c r="DJ36" i="57" s="1"/>
  <c r="DP36" i="57" s="1"/>
  <c r="CQ13" i="57"/>
  <c r="CN14" i="57"/>
  <c r="BP36" i="57" s="1"/>
  <c r="BV36" i="57" s="1"/>
  <c r="AT13" i="57"/>
  <c r="V35" i="57" s="1"/>
  <c r="AB35" i="57" s="1"/>
  <c r="E164" i="67"/>
  <c r="E159" i="67"/>
  <c r="E156" i="67"/>
  <c r="M190" i="67"/>
  <c r="M121" i="67"/>
  <c r="M118" i="67"/>
  <c r="M113" i="67"/>
  <c r="Q181" i="67"/>
  <c r="Q178" i="67"/>
  <c r="Q173" i="67"/>
  <c r="Q122" i="67"/>
  <c r="U192" i="67"/>
  <c r="U161" i="67"/>
  <c r="U158" i="67"/>
  <c r="U147" i="67"/>
  <c r="Y180" i="67"/>
  <c r="Y132" i="67"/>
  <c r="AG185" i="67"/>
  <c r="AG156" i="67"/>
  <c r="AK169" i="67"/>
  <c r="AK144" i="67"/>
  <c r="AK115" i="67"/>
  <c r="AK108" i="67"/>
  <c r="E188" i="67"/>
  <c r="E167" i="67"/>
  <c r="E124" i="67"/>
  <c r="I159" i="67"/>
  <c r="I156" i="67"/>
  <c r="M193" i="67"/>
  <c r="M169" i="67"/>
  <c r="M152" i="67"/>
  <c r="M149" i="67"/>
  <c r="M133" i="67"/>
  <c r="M126" i="67"/>
  <c r="Q196" i="67"/>
  <c r="Q193" i="67"/>
  <c r="Q186" i="67"/>
  <c r="Q164" i="67"/>
  <c r="Q161" i="67"/>
  <c r="Q148" i="67"/>
  <c r="Q145" i="67"/>
  <c r="Q125" i="67"/>
  <c r="U173" i="67"/>
  <c r="U166" i="67"/>
  <c r="Y193" i="67"/>
  <c r="Y145" i="67"/>
  <c r="AC109" i="67"/>
  <c r="AG188" i="67"/>
  <c r="AK147" i="67"/>
  <c r="AK123" i="67"/>
  <c r="AK120" i="67"/>
  <c r="E191" i="67"/>
  <c r="E174" i="67"/>
  <c r="E148" i="67"/>
  <c r="E127" i="67"/>
  <c r="I160" i="67"/>
  <c r="I157" i="67"/>
  <c r="I130" i="67"/>
  <c r="M184" i="67"/>
  <c r="M181" i="67"/>
  <c r="M174" i="67"/>
  <c r="M150" i="67"/>
  <c r="M134" i="67"/>
  <c r="Q194" i="67"/>
  <c r="Q189" i="67"/>
  <c r="Q165" i="67"/>
  <c r="Q149" i="67"/>
  <c r="Q141" i="67"/>
  <c r="Q130" i="67"/>
  <c r="Q116" i="67"/>
  <c r="Q113" i="67"/>
  <c r="Q106" i="67"/>
  <c r="U176" i="67"/>
  <c r="U169" i="67"/>
  <c r="Y196" i="67"/>
  <c r="AC141" i="67"/>
  <c r="AC112" i="67"/>
  <c r="AK163" i="67"/>
  <c r="AK152" i="67"/>
  <c r="AK124" i="67"/>
  <c r="AK121" i="67"/>
  <c r="E196" i="67"/>
  <c r="E163" i="67"/>
  <c r="E158" i="67"/>
  <c r="E151" i="67"/>
  <c r="E134" i="67"/>
  <c r="M185" i="67"/>
  <c r="M182" i="67"/>
  <c r="M137" i="67"/>
  <c r="M120" i="67"/>
  <c r="M117" i="67"/>
  <c r="Q180" i="67"/>
  <c r="Q177" i="67"/>
  <c r="Q117" i="67"/>
  <c r="Q114" i="67"/>
  <c r="U189" i="67"/>
  <c r="Y177" i="67"/>
  <c r="AC144" i="67"/>
  <c r="AC125" i="67"/>
  <c r="AG172" i="67"/>
  <c r="AG137" i="67"/>
  <c r="AK171" i="67"/>
  <c r="AK153" i="67"/>
  <c r="AK112" i="67"/>
  <c r="AK107" i="67"/>
  <c r="P18" i="84"/>
  <c r="I189" i="67"/>
  <c r="E110" i="67"/>
  <c r="M168" i="67"/>
  <c r="U177" i="67"/>
  <c r="U131" i="67"/>
  <c r="AK128" i="67"/>
  <c r="I192" i="67"/>
  <c r="I149" i="67"/>
  <c r="I175" i="67"/>
  <c r="I168" i="67"/>
  <c r="I165" i="67"/>
  <c r="I135" i="67"/>
  <c r="E190" i="67"/>
  <c r="E183" i="67"/>
  <c r="E150" i="67"/>
  <c r="E143" i="67"/>
  <c r="I191" i="67"/>
  <c r="I184" i="67"/>
  <c r="I181" i="67"/>
  <c r="I151" i="67"/>
  <c r="I144" i="67"/>
  <c r="I141" i="67"/>
  <c r="I152" i="67"/>
  <c r="I114" i="67"/>
  <c r="I117" i="67"/>
  <c r="E106" i="67"/>
  <c r="E114" i="67"/>
  <c r="E122" i="67"/>
  <c r="E130" i="67"/>
  <c r="E138" i="67"/>
  <c r="E146" i="67"/>
  <c r="E107" i="67"/>
  <c r="E109" i="67"/>
  <c r="E117" i="67"/>
  <c r="E125" i="67"/>
  <c r="E133" i="67"/>
  <c r="E141" i="67"/>
  <c r="E149" i="67"/>
  <c r="E112" i="67"/>
  <c r="E120" i="67"/>
  <c r="E128" i="67"/>
  <c r="E136" i="67"/>
  <c r="E144" i="67"/>
  <c r="E152" i="67"/>
  <c r="E115" i="67"/>
  <c r="E123" i="67"/>
  <c r="E131" i="67"/>
  <c r="E139" i="67"/>
  <c r="E147" i="67"/>
  <c r="E113" i="67"/>
  <c r="E121" i="67"/>
  <c r="E129" i="67"/>
  <c r="E137" i="67"/>
  <c r="E145" i="67"/>
  <c r="E153" i="67"/>
  <c r="E170" i="67"/>
  <c r="E178" i="67"/>
  <c r="E186" i="67"/>
  <c r="E194" i="67"/>
  <c r="E195" i="67"/>
  <c r="E165" i="67"/>
  <c r="E173" i="67"/>
  <c r="E181" i="67"/>
  <c r="E189" i="67"/>
  <c r="E171" i="67"/>
  <c r="E179" i="67"/>
  <c r="E187" i="67"/>
  <c r="E168" i="67"/>
  <c r="E176" i="67"/>
  <c r="E184" i="67"/>
  <c r="E192" i="67"/>
  <c r="E169" i="67"/>
  <c r="E177" i="67"/>
  <c r="E185" i="67"/>
  <c r="E193" i="67"/>
  <c r="I163" i="67"/>
  <c r="I161" i="67"/>
  <c r="I164" i="67"/>
  <c r="I162" i="67"/>
  <c r="M135" i="67"/>
  <c r="M138" i="67"/>
  <c r="M139" i="67"/>
  <c r="M156" i="67"/>
  <c r="M159" i="67"/>
  <c r="M157" i="67"/>
  <c r="M158" i="67"/>
  <c r="Q128" i="67"/>
  <c r="Q131" i="67"/>
  <c r="Q134" i="67"/>
  <c r="Q127" i="67"/>
  <c r="Q152" i="67"/>
  <c r="Q155" i="67"/>
  <c r="Q151" i="67"/>
  <c r="Q153" i="67"/>
  <c r="Q154" i="67"/>
  <c r="U113" i="67"/>
  <c r="U121" i="67"/>
  <c r="U108" i="67"/>
  <c r="U116" i="67"/>
  <c r="U124" i="67"/>
  <c r="U111" i="67"/>
  <c r="U119" i="67"/>
  <c r="U112" i="67"/>
  <c r="U120" i="67"/>
  <c r="U107" i="67"/>
  <c r="U110" i="67"/>
  <c r="U123" i="67"/>
  <c r="U126" i="67"/>
  <c r="U114" i="67"/>
  <c r="U117" i="67"/>
  <c r="U106" i="67"/>
  <c r="U109" i="67"/>
  <c r="U122" i="67"/>
  <c r="U125" i="67"/>
  <c r="U145" i="67"/>
  <c r="U148" i="67"/>
  <c r="U143" i="67"/>
  <c r="U144" i="67"/>
  <c r="U146" i="67"/>
  <c r="U149" i="67"/>
  <c r="U172" i="67"/>
  <c r="U180" i="67"/>
  <c r="U188" i="67"/>
  <c r="U196" i="67"/>
  <c r="U175" i="67"/>
  <c r="U183" i="67"/>
  <c r="U191" i="67"/>
  <c r="U170" i="67"/>
  <c r="U178" i="67"/>
  <c r="U186" i="67"/>
  <c r="U194" i="67"/>
  <c r="U171" i="67"/>
  <c r="U179" i="67"/>
  <c r="U187" i="67"/>
  <c r="U195" i="67"/>
  <c r="U181" i="67"/>
  <c r="U184" i="67"/>
  <c r="U185" i="67"/>
  <c r="U182" i="67"/>
  <c r="Y160" i="67"/>
  <c r="Y158" i="67"/>
  <c r="Y159" i="67"/>
  <c r="Y162" i="67"/>
  <c r="Y156" i="67"/>
  <c r="Y157" i="67"/>
  <c r="Y161" i="67"/>
  <c r="AC132" i="67"/>
  <c r="AC127" i="67"/>
  <c r="AC130" i="67"/>
  <c r="AC131" i="67"/>
  <c r="AC129" i="67"/>
  <c r="AC133" i="67"/>
  <c r="AC134" i="67"/>
  <c r="AC128" i="67"/>
  <c r="AC180" i="67"/>
  <c r="AC188" i="67"/>
  <c r="AC196" i="67"/>
  <c r="AC175" i="67"/>
  <c r="AC183" i="67"/>
  <c r="AC191" i="67"/>
  <c r="AC178" i="67"/>
  <c r="AC186" i="67"/>
  <c r="AC194" i="67"/>
  <c r="AC179" i="67"/>
  <c r="AC187" i="67"/>
  <c r="AC195" i="67"/>
  <c r="AC174" i="67"/>
  <c r="AC177" i="67"/>
  <c r="AC190" i="67"/>
  <c r="AC193" i="67"/>
  <c r="AC181" i="67"/>
  <c r="AC184" i="67"/>
  <c r="AC182" i="67"/>
  <c r="AC185" i="67"/>
  <c r="AC173" i="67"/>
  <c r="AC176" i="67"/>
  <c r="AC189" i="67"/>
  <c r="AC192" i="67"/>
  <c r="AG142" i="67"/>
  <c r="AG141" i="67"/>
  <c r="AG140" i="67"/>
  <c r="AG168" i="67"/>
  <c r="AG163" i="67"/>
  <c r="AG166" i="67"/>
  <c r="AG167" i="67"/>
  <c r="AG164" i="67"/>
  <c r="AG165" i="67"/>
  <c r="AK127" i="67"/>
  <c r="AK130" i="67"/>
  <c r="AK133" i="67"/>
  <c r="AK134" i="67"/>
  <c r="AK129" i="67"/>
  <c r="AK132" i="67"/>
  <c r="AK175" i="67"/>
  <c r="AK183" i="67"/>
  <c r="AK191" i="67"/>
  <c r="AK178" i="67"/>
  <c r="AK186" i="67"/>
  <c r="AK194" i="67"/>
  <c r="AK173" i="67"/>
  <c r="AK181" i="67"/>
  <c r="AK189" i="67"/>
  <c r="AK174" i="67"/>
  <c r="AK182" i="67"/>
  <c r="AK190" i="67"/>
  <c r="AK187" i="67"/>
  <c r="AK177" i="67"/>
  <c r="AK180" i="67"/>
  <c r="AK193" i="67"/>
  <c r="AK196" i="67"/>
  <c r="AK184" i="67"/>
  <c r="AK172" i="67"/>
  <c r="AK185" i="67"/>
  <c r="AK188" i="67"/>
  <c r="E166" i="67"/>
  <c r="E126" i="67"/>
  <c r="E119" i="67"/>
  <c r="E116" i="67"/>
  <c r="I167" i="67"/>
  <c r="I127" i="67"/>
  <c r="Q132" i="67"/>
  <c r="Q129" i="67"/>
  <c r="U115" i="67"/>
  <c r="AK192" i="67"/>
  <c r="I112" i="67"/>
  <c r="I120" i="67"/>
  <c r="I128" i="67"/>
  <c r="I107" i="67"/>
  <c r="I115" i="67"/>
  <c r="I123" i="67"/>
  <c r="I131" i="67"/>
  <c r="I110" i="67"/>
  <c r="I118" i="67"/>
  <c r="I126" i="67"/>
  <c r="I139" i="67"/>
  <c r="I147" i="67"/>
  <c r="I132" i="67"/>
  <c r="I140" i="67"/>
  <c r="I148" i="67"/>
  <c r="I113" i="67"/>
  <c r="I116" i="67"/>
  <c r="I119" i="67"/>
  <c r="I122" i="67"/>
  <c r="I125" i="67"/>
  <c r="I134" i="67"/>
  <c r="I142" i="67"/>
  <c r="I150" i="67"/>
  <c r="I129" i="67"/>
  <c r="I137" i="67"/>
  <c r="I145" i="67"/>
  <c r="I106" i="67"/>
  <c r="I138" i="67"/>
  <c r="I146" i="67"/>
  <c r="I121" i="67"/>
  <c r="I124" i="67"/>
  <c r="M164" i="67"/>
  <c r="M167" i="67"/>
  <c r="M162" i="67"/>
  <c r="M163" i="67"/>
  <c r="M160" i="67"/>
  <c r="M161" i="67"/>
  <c r="U129" i="67"/>
  <c r="U132" i="67"/>
  <c r="U127" i="67"/>
  <c r="U128" i="67"/>
  <c r="U130" i="67"/>
  <c r="U133" i="67"/>
  <c r="Y112" i="67"/>
  <c r="Y120" i="67"/>
  <c r="Y107" i="67"/>
  <c r="Y115" i="67"/>
  <c r="Y123" i="67"/>
  <c r="Y110" i="67"/>
  <c r="Y118" i="67"/>
  <c r="Y126" i="67"/>
  <c r="Y111" i="67"/>
  <c r="Y119" i="67"/>
  <c r="Y114" i="67"/>
  <c r="Y117" i="67"/>
  <c r="Y108" i="67"/>
  <c r="Y121" i="67"/>
  <c r="Y124" i="67"/>
  <c r="Y106" i="67"/>
  <c r="Y109" i="67"/>
  <c r="Y122" i="67"/>
  <c r="Y125" i="67"/>
  <c r="Y113" i="67"/>
  <c r="Y116" i="67"/>
  <c r="Y168" i="67"/>
  <c r="Y163" i="67"/>
  <c r="Y166" i="67"/>
  <c r="Y167" i="67"/>
  <c r="Y165" i="67"/>
  <c r="Y164" i="67"/>
  <c r="AG112" i="67"/>
  <c r="AG120" i="67"/>
  <c r="AG107" i="67"/>
  <c r="AG115" i="67"/>
  <c r="AG123" i="67"/>
  <c r="AG110" i="67"/>
  <c r="AG118" i="67"/>
  <c r="AG126" i="67"/>
  <c r="AG111" i="67"/>
  <c r="AG119" i="67"/>
  <c r="AG106" i="67"/>
  <c r="AG109" i="67"/>
  <c r="AG122" i="67"/>
  <c r="AG125" i="67"/>
  <c r="AG113" i="67"/>
  <c r="AG116" i="67"/>
  <c r="AG114" i="67"/>
  <c r="AG117" i="67"/>
  <c r="AG108" i="67"/>
  <c r="AG121" i="67"/>
  <c r="AG124" i="67"/>
  <c r="AG171" i="67"/>
  <c r="AG170" i="67"/>
  <c r="AG169" i="67"/>
  <c r="AK159" i="67"/>
  <c r="AK162" i="67"/>
  <c r="AK157" i="67"/>
  <c r="AK158" i="67"/>
  <c r="AK161" i="67"/>
  <c r="AK156" i="67"/>
  <c r="E182" i="67"/>
  <c r="E175" i="67"/>
  <c r="E172" i="67"/>
  <c r="E142" i="67"/>
  <c r="E135" i="67"/>
  <c r="E132" i="67"/>
  <c r="I183" i="67"/>
  <c r="I176" i="67"/>
  <c r="I143" i="67"/>
  <c r="I136" i="67"/>
  <c r="I133" i="67"/>
  <c r="U193" i="67"/>
  <c r="U190" i="67"/>
  <c r="AK176" i="67"/>
  <c r="E154" i="67"/>
  <c r="E155" i="67"/>
  <c r="I171" i="67"/>
  <c r="I179" i="67"/>
  <c r="I187" i="67"/>
  <c r="I195" i="67"/>
  <c r="I180" i="67"/>
  <c r="I188" i="67"/>
  <c r="I196" i="67"/>
  <c r="I166" i="67"/>
  <c r="I174" i="67"/>
  <c r="I182" i="67"/>
  <c r="I190" i="67"/>
  <c r="I169" i="67"/>
  <c r="I177" i="67"/>
  <c r="I185" i="67"/>
  <c r="I193" i="67"/>
  <c r="I172" i="67"/>
  <c r="I170" i="67"/>
  <c r="I178" i="67"/>
  <c r="I186" i="67"/>
  <c r="I194" i="67"/>
  <c r="M140" i="67"/>
  <c r="M141" i="67"/>
  <c r="M142" i="67"/>
  <c r="Q136" i="67"/>
  <c r="Q139" i="67"/>
  <c r="Q135" i="67"/>
  <c r="Q137" i="67"/>
  <c r="Q138" i="67"/>
  <c r="Q158" i="67"/>
  <c r="Q159" i="67"/>
  <c r="Q156" i="67"/>
  <c r="Q157" i="67"/>
  <c r="U151" i="67"/>
  <c r="U154" i="67"/>
  <c r="U155" i="67"/>
  <c r="U152" i="67"/>
  <c r="U153" i="67"/>
  <c r="AC135" i="67"/>
  <c r="AC138" i="67"/>
  <c r="AC139" i="67"/>
  <c r="AC136" i="67"/>
  <c r="AC137" i="67"/>
  <c r="AC156" i="67"/>
  <c r="AC159" i="67"/>
  <c r="AC162" i="67"/>
  <c r="AC158" i="67"/>
  <c r="AC161" i="67"/>
  <c r="AC157" i="67"/>
  <c r="AC160" i="67"/>
  <c r="AG144" i="67"/>
  <c r="AG152" i="67"/>
  <c r="AG147" i="67"/>
  <c r="AG150" i="67"/>
  <c r="AG143" i="67"/>
  <c r="AG151" i="67"/>
  <c r="AG154" i="67"/>
  <c r="AG145" i="67"/>
  <c r="AG148" i="67"/>
  <c r="AG146" i="67"/>
  <c r="AG149" i="67"/>
  <c r="AG153" i="67"/>
  <c r="AK135" i="67"/>
  <c r="AK138" i="67"/>
  <c r="AK139" i="67"/>
  <c r="AK136" i="67"/>
  <c r="AK137" i="67"/>
  <c r="E118" i="67"/>
  <c r="E111" i="67"/>
  <c r="E108" i="67"/>
  <c r="I111" i="67"/>
  <c r="I108" i="67"/>
  <c r="M166" i="67"/>
  <c r="AK179" i="67"/>
  <c r="E161" i="67"/>
  <c r="I154" i="67"/>
  <c r="U141" i="67"/>
  <c r="Y189" i="67"/>
  <c r="Y186" i="67"/>
  <c r="Y173" i="67"/>
  <c r="Y154" i="67"/>
  <c r="Y141" i="67"/>
  <c r="Y138" i="67"/>
  <c r="AC169" i="67"/>
  <c r="AC153" i="67"/>
  <c r="AC150" i="67"/>
  <c r="AC121" i="67"/>
  <c r="AC118" i="67"/>
  <c r="AG194" i="67"/>
  <c r="AG181" i="67"/>
  <c r="AG162" i="67"/>
  <c r="AG133" i="67"/>
  <c r="M108" i="67"/>
  <c r="M116" i="67"/>
  <c r="M124" i="67"/>
  <c r="M111" i="67"/>
  <c r="M119" i="67"/>
  <c r="M106" i="67"/>
  <c r="M114" i="67"/>
  <c r="M122" i="67"/>
  <c r="M107" i="67"/>
  <c r="M115" i="67"/>
  <c r="M123" i="67"/>
  <c r="M148" i="67"/>
  <c r="M143" i="67"/>
  <c r="M151" i="67"/>
  <c r="M146" i="67"/>
  <c r="M147" i="67"/>
  <c r="M172" i="67"/>
  <c r="M180" i="67"/>
  <c r="M188" i="67"/>
  <c r="M196" i="67"/>
  <c r="M175" i="67"/>
  <c r="M183" i="67"/>
  <c r="M191" i="67"/>
  <c r="M170" i="67"/>
  <c r="M178" i="67"/>
  <c r="M186" i="67"/>
  <c r="M194" i="67"/>
  <c r="M171" i="67"/>
  <c r="M179" i="67"/>
  <c r="M187" i="67"/>
  <c r="M195" i="67"/>
  <c r="Q160" i="67"/>
  <c r="Q168" i="67"/>
  <c r="Q163" i="67"/>
  <c r="Q166" i="67"/>
  <c r="Q167" i="67"/>
  <c r="U137" i="67"/>
  <c r="U135" i="67"/>
  <c r="U136" i="67"/>
  <c r="U156" i="67"/>
  <c r="U159" i="67"/>
  <c r="Y128" i="67"/>
  <c r="Y131" i="67"/>
  <c r="Y134" i="67"/>
  <c r="Y127" i="67"/>
  <c r="Y144" i="67"/>
  <c r="Y147" i="67"/>
  <c r="Y150" i="67"/>
  <c r="Y143" i="67"/>
  <c r="Y176" i="67"/>
  <c r="Y184" i="67"/>
  <c r="Y192" i="67"/>
  <c r="Y171" i="67"/>
  <c r="Y179" i="67"/>
  <c r="Y187" i="67"/>
  <c r="Y195" i="67"/>
  <c r="Y174" i="67"/>
  <c r="Y182" i="67"/>
  <c r="Y190" i="67"/>
  <c r="Y175" i="67"/>
  <c r="Y183" i="67"/>
  <c r="Y191" i="67"/>
  <c r="AC164" i="67"/>
  <c r="AC167" i="67"/>
  <c r="AC163" i="67"/>
  <c r="AG128" i="67"/>
  <c r="AG131" i="67"/>
  <c r="AG134" i="67"/>
  <c r="AG127" i="67"/>
  <c r="AG176" i="67"/>
  <c r="AG184" i="67"/>
  <c r="AG192" i="67"/>
  <c r="AG179" i="67"/>
  <c r="AG187" i="67"/>
  <c r="AG195" i="67"/>
  <c r="AG174" i="67"/>
  <c r="AG182" i="67"/>
  <c r="AG190" i="67"/>
  <c r="AG175" i="67"/>
  <c r="AG183" i="67"/>
  <c r="AG191" i="67"/>
  <c r="AK141" i="67"/>
  <c r="AK142" i="67"/>
  <c r="AK167" i="67"/>
  <c r="AK165" i="67"/>
  <c r="AK166" i="67"/>
  <c r="E160" i="67"/>
  <c r="I153" i="67"/>
  <c r="Y188" i="67"/>
  <c r="Y185" i="67"/>
  <c r="Y172" i="67"/>
  <c r="Y169" i="67"/>
  <c r="Y140" i="67"/>
  <c r="AC165" i="67"/>
  <c r="AC152" i="67"/>
  <c r="AC149" i="67"/>
  <c r="AC120" i="67"/>
  <c r="AC117" i="67"/>
  <c r="AG196" i="67"/>
  <c r="AG193" i="67"/>
  <c r="AG180" i="67"/>
  <c r="AG177" i="67"/>
  <c r="AG161" i="67"/>
  <c r="AG132" i="67"/>
  <c r="AG129" i="67"/>
  <c r="AK164" i="67"/>
  <c r="AK148" i="67"/>
  <c r="AK116" i="67"/>
  <c r="Y194" i="67"/>
  <c r="Y181" i="67"/>
  <c r="Y178" i="67"/>
  <c r="Y149" i="67"/>
  <c r="Y146" i="67"/>
  <c r="Y133" i="67"/>
  <c r="Y130" i="67"/>
  <c r="AC142" i="67"/>
  <c r="AC126" i="67"/>
  <c r="AC113" i="67"/>
  <c r="AG189" i="67"/>
  <c r="AG186" i="67"/>
  <c r="AG173" i="67"/>
  <c r="M132" i="67"/>
  <c r="M127" i="67"/>
  <c r="M130" i="67"/>
  <c r="M131" i="67"/>
  <c r="M154" i="67"/>
  <c r="M155" i="67"/>
  <c r="Q112" i="67"/>
  <c r="Q120" i="67"/>
  <c r="Q107" i="67"/>
  <c r="Q115" i="67"/>
  <c r="Q123" i="67"/>
  <c r="Q110" i="67"/>
  <c r="Q118" i="67"/>
  <c r="Q126" i="67"/>
  <c r="Q111" i="67"/>
  <c r="Q119" i="67"/>
  <c r="Q144" i="67"/>
  <c r="Q147" i="67"/>
  <c r="Q150" i="67"/>
  <c r="Q143" i="67"/>
  <c r="Q176" i="67"/>
  <c r="Q184" i="67"/>
  <c r="Q192" i="67"/>
  <c r="Q171" i="67"/>
  <c r="Q179" i="67"/>
  <c r="Q187" i="67"/>
  <c r="Q195" i="67"/>
  <c r="Q174" i="67"/>
  <c r="Q182" i="67"/>
  <c r="Q190" i="67"/>
  <c r="Q175" i="67"/>
  <c r="Q183" i="67"/>
  <c r="Q191" i="67"/>
  <c r="U164" i="67"/>
  <c r="U167" i="67"/>
  <c r="U162" i="67"/>
  <c r="U163" i="67"/>
  <c r="Y136" i="67"/>
  <c r="Y139" i="67"/>
  <c r="Y135" i="67"/>
  <c r="Y152" i="67"/>
  <c r="Y155" i="67"/>
  <c r="Y151" i="67"/>
  <c r="AC108" i="67"/>
  <c r="AC116" i="67"/>
  <c r="AC124" i="67"/>
  <c r="AC111" i="67"/>
  <c r="AC119" i="67"/>
  <c r="AC106" i="67"/>
  <c r="AC114" i="67"/>
  <c r="AC122" i="67"/>
  <c r="AC107" i="67"/>
  <c r="AC115" i="67"/>
  <c r="AC123" i="67"/>
  <c r="AC148" i="67"/>
  <c r="AC143" i="67"/>
  <c r="AC151" i="67"/>
  <c r="AC146" i="67"/>
  <c r="AC154" i="67"/>
  <c r="AC147" i="67"/>
  <c r="AC172" i="67"/>
  <c r="AC170" i="67"/>
  <c r="AC171" i="67"/>
  <c r="AG136" i="67"/>
  <c r="AG139" i="67"/>
  <c r="AG135" i="67"/>
  <c r="AG160" i="67"/>
  <c r="AG158" i="67"/>
  <c r="AG159" i="67"/>
  <c r="AK111" i="67"/>
  <c r="AK119" i="67"/>
  <c r="AK106" i="67"/>
  <c r="AK114" i="67"/>
  <c r="AK122" i="67"/>
  <c r="AK109" i="67"/>
  <c r="AK117" i="67"/>
  <c r="AK125" i="67"/>
  <c r="AK110" i="67"/>
  <c r="AK118" i="67"/>
  <c r="AK126" i="67"/>
  <c r="AK143" i="67"/>
  <c r="AK151" i="67"/>
  <c r="AK146" i="67"/>
  <c r="AK154" i="67"/>
  <c r="AK149" i="67"/>
  <c r="AK150" i="67"/>
  <c r="M192" i="67"/>
  <c r="M189" i="67"/>
  <c r="M176" i="67"/>
  <c r="M173" i="67"/>
  <c r="M144" i="67"/>
  <c r="M128" i="67"/>
  <c r="M125" i="67"/>
  <c r="M112" i="67"/>
  <c r="M109" i="67"/>
  <c r="Q188" i="67"/>
  <c r="Q185" i="67"/>
  <c r="Q172" i="67"/>
  <c r="Q169" i="67"/>
  <c r="Q140" i="67"/>
  <c r="Q124" i="67"/>
  <c r="Q121" i="67"/>
  <c r="Q108" i="67"/>
  <c r="U168" i="67"/>
  <c r="U165" i="67"/>
  <c r="U142" i="67"/>
  <c r="U139" i="67"/>
  <c r="D12" i="57"/>
  <c r="U12" i="57"/>
  <c r="FA12" i="57"/>
  <c r="DH12" i="57"/>
  <c r="FE12" i="57"/>
  <c r="FC12" i="57"/>
  <c r="FB12" i="57"/>
  <c r="BN12" i="57"/>
  <c r="DG12" i="57"/>
  <c r="BO12" i="57"/>
  <c r="T12" i="57"/>
  <c r="FD12" i="57"/>
  <c r="G57" i="57" l="1"/>
  <c r="H57" i="57"/>
  <c r="I57" i="57"/>
  <c r="G56" i="57"/>
  <c r="H56" i="57"/>
  <c r="I56" i="57"/>
  <c r="EH12" i="57"/>
  <c r="EI12" i="57"/>
  <c r="EG12" i="57"/>
  <c r="S12" i="30"/>
  <c r="EY12" i="57" l="1"/>
  <c r="EW12" i="57"/>
  <c r="AK12" i="30"/>
  <c r="BJ12" i="57" s="1"/>
  <c r="N12" i="30"/>
  <c r="T12" i="30"/>
  <c r="U12" i="30" s="1"/>
  <c r="BB12" i="57"/>
  <c r="AZ12" i="57"/>
  <c r="AX12" i="57"/>
  <c r="BD12" i="57"/>
  <c r="AY12" i="57"/>
  <c r="BC12" i="57"/>
  <c r="EL12" i="57"/>
  <c r="EP12" i="57"/>
  <c r="EM12" i="57"/>
  <c r="EO12" i="57"/>
  <c r="EQ12" i="57"/>
  <c r="EK12" i="57"/>
  <c r="CO12" i="57"/>
  <c r="CP12" i="57"/>
  <c r="CN12" i="57"/>
  <c r="P12" i="30"/>
  <c r="L12" i="30"/>
  <c r="K83" i="84"/>
  <c r="K84" i="84" s="1"/>
  <c r="CV12" i="57"/>
  <c r="CR12" i="57"/>
  <c r="CS12" i="57"/>
  <c r="CW12" i="57"/>
  <c r="CT12" i="57"/>
  <c r="CX12" i="57"/>
  <c r="BA12" i="57"/>
  <c r="BE12" i="57"/>
  <c r="AW12" i="57"/>
  <c r="AV12" i="57"/>
  <c r="AT12" i="57"/>
  <c r="AU12" i="57"/>
  <c r="CG12" i="30"/>
  <c r="EV12" i="57" s="1"/>
  <c r="AH12" i="30"/>
  <c r="BL12" i="30"/>
  <c r="BO12" i="30" s="1"/>
  <c r="H83" i="84"/>
  <c r="K12" i="30"/>
  <c r="CU12" i="57"/>
  <c r="CQ12" i="57"/>
  <c r="CY12" i="57"/>
  <c r="EX12" i="57"/>
  <c r="EZ12" i="57" s="1"/>
  <c r="CH12" i="30"/>
  <c r="CI12" i="30" s="1"/>
  <c r="CJ12" i="30" s="1"/>
  <c r="ER12" i="57"/>
  <c r="EN12" i="57"/>
  <c r="EJ12" i="57"/>
  <c r="R83" i="84"/>
  <c r="BN12" i="30" l="1"/>
  <c r="DC12" i="57"/>
  <c r="BM12" i="30"/>
  <c r="AN12" i="30"/>
  <c r="AO12" i="30"/>
  <c r="BI12" i="57"/>
  <c r="AM12" i="30"/>
  <c r="CF12" i="57"/>
  <c r="ES12" i="57"/>
  <c r="CZ12" i="57"/>
  <c r="BR12" i="57" s="1"/>
  <c r="BF12" i="57"/>
  <c r="EU12" i="57"/>
  <c r="ET12" i="57"/>
  <c r="DS12" i="57" s="1"/>
  <c r="DB12" i="57"/>
  <c r="CG12" i="57" s="1"/>
  <c r="DA12" i="57"/>
  <c r="CA12" i="57" s="1"/>
  <c r="BH12" i="57"/>
  <c r="AJ12" i="57" s="1"/>
  <c r="BG12" i="57"/>
  <c r="AC12" i="57" s="1"/>
  <c r="BJ12" i="30"/>
  <c r="DD12" i="57" s="1"/>
  <c r="BK12" i="30"/>
  <c r="DF12" i="57" s="1"/>
  <c r="AL12" i="30"/>
  <c r="BM12" i="57" s="1"/>
  <c r="BP12" i="57"/>
  <c r="BI12" i="30"/>
  <c r="DE12" i="57" s="1"/>
  <c r="X12" i="57"/>
  <c r="V12" i="57"/>
  <c r="BS12" i="57"/>
  <c r="BT12" i="57"/>
  <c r="Y12" i="57"/>
  <c r="BQ12" i="57"/>
  <c r="Z12" i="57"/>
  <c r="AJ12" i="30"/>
  <c r="BK12" i="57" s="1"/>
  <c r="BP12" i="30"/>
  <c r="AP12" i="30"/>
  <c r="BU12" i="57"/>
  <c r="AX12" i="30"/>
  <c r="AZ12" i="30" s="1"/>
  <c r="AQ12" i="30"/>
  <c r="AS12" i="30"/>
  <c r="AR12" i="30"/>
  <c r="BQ12" i="30"/>
  <c r="BS12" i="30"/>
  <c r="BX12" i="30"/>
  <c r="BZ12" i="30" s="1"/>
  <c r="BR12" i="30"/>
  <c r="E43" i="64"/>
  <c r="D38" i="64"/>
  <c r="K85" i="84"/>
  <c r="E29" i="64"/>
  <c r="D33" i="64"/>
  <c r="G31" i="64"/>
  <c r="E26" i="64"/>
  <c r="P85" i="84"/>
  <c r="D34" i="64"/>
  <c r="E27" i="64"/>
  <c r="D29" i="64"/>
  <c r="EC12" i="57"/>
  <c r="G19" i="5"/>
  <c r="F32" i="64"/>
  <c r="F26" i="64"/>
  <c r="G48" i="64"/>
  <c r="E34" i="64"/>
  <c r="CK12" i="57"/>
  <c r="CL12" i="57"/>
  <c r="CJ12" i="57"/>
  <c r="F56" i="64"/>
  <c r="G56" i="64"/>
  <c r="CI12" i="57"/>
  <c r="CM12" i="57"/>
  <c r="CH12" i="57"/>
  <c r="W12" i="30"/>
  <c r="F19" i="5"/>
  <c r="D48" i="64"/>
  <c r="H17" i="5"/>
  <c r="G55" i="64"/>
  <c r="H85" i="84"/>
  <c r="H84" i="84"/>
  <c r="AR12" i="57"/>
  <c r="E55" i="64"/>
  <c r="F33" i="64"/>
  <c r="H49" i="64"/>
  <c r="G49" i="64"/>
  <c r="F38" i="64"/>
  <c r="G51" i="64"/>
  <c r="G32" i="64"/>
  <c r="F29" i="64"/>
  <c r="D43" i="64"/>
  <c r="D17" i="5"/>
  <c r="D19" i="5" s="1"/>
  <c r="AP12" i="57"/>
  <c r="AN12" i="57"/>
  <c r="H51" i="64"/>
  <c r="F48" i="64"/>
  <c r="E45" i="64"/>
  <c r="F37" i="64"/>
  <c r="H38" i="64"/>
  <c r="D49" i="64"/>
  <c r="E56" i="64"/>
  <c r="E54" i="64"/>
  <c r="G37" i="64"/>
  <c r="F45" i="64"/>
  <c r="G17" i="5"/>
  <c r="G53" i="64"/>
  <c r="G42" i="64"/>
  <c r="G38" i="64"/>
  <c r="D51" i="64"/>
  <c r="D40" i="64"/>
  <c r="F54" i="64"/>
  <c r="F43" i="64"/>
  <c r="E49" i="64"/>
  <c r="E38" i="64"/>
  <c r="E48" i="64"/>
  <c r="E37" i="64"/>
  <c r="E40" i="64"/>
  <c r="E51" i="64"/>
  <c r="D56" i="64"/>
  <c r="D45" i="64"/>
  <c r="D55" i="64"/>
  <c r="D44" i="64"/>
  <c r="BL12" i="57"/>
  <c r="D21" i="5" l="1"/>
  <c r="CB12" i="57"/>
  <c r="CC12" i="57"/>
  <c r="CD12" i="57"/>
  <c r="CE12" i="57"/>
  <c r="BY12" i="57"/>
  <c r="BZ12" i="57"/>
  <c r="BT34" i="57" s="1"/>
  <c r="BV12" i="57"/>
  <c r="BW12" i="57"/>
  <c r="BX12" i="57"/>
  <c r="AG12" i="57"/>
  <c r="AD12" i="57"/>
  <c r="X34" i="57" s="1"/>
  <c r="AB12" i="57"/>
  <c r="AF12" i="57"/>
  <c r="AE12" i="57"/>
  <c r="AI12" i="57"/>
  <c r="AK12" i="57"/>
  <c r="AL12" i="57"/>
  <c r="AH12" i="57"/>
  <c r="AM12" i="57"/>
  <c r="R55" i="57"/>
  <c r="AF55" i="57" s="1"/>
  <c r="C18" i="64" s="1"/>
  <c r="C29" i="64" s="1"/>
  <c r="P55" i="57"/>
  <c r="AD55" i="57" s="1"/>
  <c r="C16" i="64" s="1"/>
  <c r="C38" i="64" s="1"/>
  <c r="I38" i="64" s="1"/>
  <c r="V12" i="30"/>
  <c r="S55" i="57"/>
  <c r="AG55" i="57" s="1"/>
  <c r="E32" i="64"/>
  <c r="DX12" i="57"/>
  <c r="DY12" i="57"/>
  <c r="DV12" i="57"/>
  <c r="DW12" i="57"/>
  <c r="DU12" i="57"/>
  <c r="DZ12" i="57"/>
  <c r="DQ12" i="57"/>
  <c r="DR12" i="57"/>
  <c r="DO12" i="57"/>
  <c r="DP12" i="57"/>
  <c r="DM12" i="57"/>
  <c r="DI12" i="57"/>
  <c r="AQ12" i="57"/>
  <c r="W12" i="57"/>
  <c r="AA12" i="57"/>
  <c r="AA34" i="57" s="1"/>
  <c r="AE34" i="57" s="1"/>
  <c r="AO12" i="57"/>
  <c r="AS12" i="57"/>
  <c r="DK12" i="57"/>
  <c r="DL12" i="57"/>
  <c r="DJ12" i="57"/>
  <c r="DT12" i="57"/>
  <c r="DN12" i="57"/>
  <c r="DN34" i="57" s="1"/>
  <c r="DR34" i="57" s="1"/>
  <c r="AW12" i="30"/>
  <c r="AY12" i="30" s="1"/>
  <c r="BA12" i="30" s="1"/>
  <c r="BW12" i="30"/>
  <c r="BY12" i="30" s="1"/>
  <c r="CA12" i="30" s="1"/>
  <c r="BU34" i="57"/>
  <c r="BY34" i="57" s="1"/>
  <c r="Q55" i="57"/>
  <c r="D27" i="64"/>
  <c r="EA12" i="57"/>
  <c r="D26" i="64"/>
  <c r="EF12" i="57"/>
  <c r="EB12" i="57"/>
  <c r="ED12" i="57"/>
  <c r="EE12" i="57"/>
  <c r="G27" i="64"/>
  <c r="F40" i="64"/>
  <c r="G26" i="64"/>
  <c r="F51" i="64"/>
  <c r="D22" i="5"/>
  <c r="E33" i="64"/>
  <c r="E44" i="64"/>
  <c r="G54" i="64"/>
  <c r="H29" i="64"/>
  <c r="G43" i="64"/>
  <c r="D32" i="64"/>
  <c r="G29" i="64"/>
  <c r="H21" i="5"/>
  <c r="F44" i="64"/>
  <c r="D37" i="64"/>
  <c r="G45" i="64"/>
  <c r="G34" i="64"/>
  <c r="F34" i="64"/>
  <c r="H27" i="64"/>
  <c r="D17" i="64"/>
  <c r="D39" i="64" s="1"/>
  <c r="G44" i="64"/>
  <c r="F17" i="5"/>
  <c r="F29" i="5" s="1"/>
  <c r="F28" i="5" s="1"/>
  <c r="F27" i="64"/>
  <c r="G33" i="64"/>
  <c r="F49" i="64"/>
  <c r="G40" i="64"/>
  <c r="H17" i="64"/>
  <c r="H28" i="64" s="1"/>
  <c r="G17" i="64"/>
  <c r="G50" i="64" s="1"/>
  <c r="F17" i="64"/>
  <c r="F50" i="64" s="1"/>
  <c r="E17" i="64"/>
  <c r="E50" i="64" s="1"/>
  <c r="D54" i="64"/>
  <c r="F55" i="64"/>
  <c r="F12" i="57"/>
  <c r="X12" i="30"/>
  <c r="E12" i="57"/>
  <c r="G12" i="57" s="1"/>
  <c r="Y12" i="30"/>
  <c r="E17" i="5"/>
  <c r="E29" i="5" s="1"/>
  <c r="E28" i="5" s="1"/>
  <c r="H40" i="64"/>
  <c r="E39" i="64"/>
  <c r="H50" i="64"/>
  <c r="H39" i="64"/>
  <c r="D29" i="5"/>
  <c r="D28" i="5" s="1"/>
  <c r="D25" i="5"/>
  <c r="D24" i="5" s="1"/>
  <c r="H29" i="5"/>
  <c r="H28" i="5" s="1"/>
  <c r="H25" i="5"/>
  <c r="H24" i="5" s="1"/>
  <c r="G21" i="5"/>
  <c r="G22" i="5"/>
  <c r="E21" i="5"/>
  <c r="E22" i="5"/>
  <c r="F22" i="5"/>
  <c r="F21" i="5"/>
  <c r="G29" i="5"/>
  <c r="G28" i="5" s="1"/>
  <c r="G25" i="5"/>
  <c r="G24" i="5" s="1"/>
  <c r="DK34" i="57" l="1"/>
  <c r="BS34" i="57"/>
  <c r="BP34" i="57"/>
  <c r="BV34" i="57" s="1"/>
  <c r="BR34" i="57"/>
  <c r="BQ34" i="57"/>
  <c r="BW34" i="57" s="1"/>
  <c r="Z34" i="57"/>
  <c r="Y34" i="57"/>
  <c r="DI34" i="57"/>
  <c r="DO34" i="57" s="1"/>
  <c r="DM34" i="57"/>
  <c r="DJ34" i="57"/>
  <c r="DP34" i="57" s="1"/>
  <c r="V34" i="57"/>
  <c r="AB34" i="57" s="1"/>
  <c r="W34" i="57"/>
  <c r="AC34" i="57" s="1"/>
  <c r="AA12" i="30"/>
  <c r="C40" i="64"/>
  <c r="I40" i="64" s="1"/>
  <c r="C51" i="64"/>
  <c r="I51" i="64" s="1"/>
  <c r="C49" i="64"/>
  <c r="I49" i="64" s="1"/>
  <c r="AE55" i="57"/>
  <c r="C101" i="64" s="1"/>
  <c r="C71" i="64" s="1"/>
  <c r="C86" i="64" s="1"/>
  <c r="I16" i="64"/>
  <c r="C100" i="64"/>
  <c r="C70" i="64" s="1"/>
  <c r="C85" i="64" s="1"/>
  <c r="C27" i="64"/>
  <c r="I27" i="64" s="1"/>
  <c r="C103" i="64"/>
  <c r="C73" i="64" s="1"/>
  <c r="C88" i="64" s="1"/>
  <c r="I18" i="64"/>
  <c r="DL34" i="57"/>
  <c r="CB12" i="30"/>
  <c r="D28" i="64"/>
  <c r="I29" i="64"/>
  <c r="E28" i="64"/>
  <c r="D50" i="64"/>
  <c r="C19" i="64"/>
  <c r="C41" i="64" s="1"/>
  <c r="H22" i="5"/>
  <c r="F39" i="64"/>
  <c r="F28" i="64"/>
  <c r="F25" i="5"/>
  <c r="F24" i="5" s="1"/>
  <c r="G39" i="64"/>
  <c r="G28" i="64"/>
  <c r="Z12" i="30"/>
  <c r="P42" i="104" s="1"/>
  <c r="T55" i="57"/>
  <c r="AH55" i="57" s="1"/>
  <c r="C14" i="64" s="1"/>
  <c r="M12" i="57"/>
  <c r="K12" i="57"/>
  <c r="I12" i="57"/>
  <c r="E25" i="5"/>
  <c r="E24" i="5" s="1"/>
  <c r="S12" i="57"/>
  <c r="O55" i="57" s="1"/>
  <c r="AC55" i="57" s="1"/>
  <c r="H12" i="57"/>
  <c r="J12" i="57"/>
  <c r="N12" i="57"/>
  <c r="L12" i="57"/>
  <c r="P43" i="103" l="1"/>
  <c r="P43" i="104"/>
  <c r="P42" i="102"/>
  <c r="P42" i="103"/>
  <c r="P43" i="101"/>
  <c r="P43" i="102"/>
  <c r="P42" i="100"/>
  <c r="P42" i="101"/>
  <c r="P43" i="100"/>
  <c r="BX34" i="57"/>
  <c r="AD34" i="57"/>
  <c r="DQ34" i="57"/>
  <c r="AB12" i="30"/>
  <c r="P43" i="84"/>
  <c r="BB12" i="30"/>
  <c r="C52" i="64"/>
  <c r="C17" i="64"/>
  <c r="C50" i="64" s="1"/>
  <c r="I50" i="64" s="1"/>
  <c r="C99" i="64"/>
  <c r="C69" i="64" s="1"/>
  <c r="C84" i="64" s="1"/>
  <c r="C102" i="64"/>
  <c r="C72" i="64" s="1"/>
  <c r="C87" i="64" s="1"/>
  <c r="C30" i="64"/>
  <c r="C98" i="64"/>
  <c r="C68" i="64" s="1"/>
  <c r="C83" i="64" s="1"/>
  <c r="R12" i="57"/>
  <c r="J55" i="57" s="1"/>
  <c r="X55" i="57" s="1"/>
  <c r="C23" i="64" s="1"/>
  <c r="O12" i="57"/>
  <c r="G55" i="57" s="1"/>
  <c r="U55" i="57" s="1"/>
  <c r="C20" i="64" s="1"/>
  <c r="P12" i="57"/>
  <c r="H55" i="57" s="1"/>
  <c r="V55" i="57" s="1"/>
  <c r="C21" i="64" s="1"/>
  <c r="P42" i="84"/>
  <c r="Q12" i="57"/>
  <c r="D42" i="64" l="1"/>
  <c r="D31" i="64"/>
  <c r="D53" i="64"/>
  <c r="F42" i="64"/>
  <c r="F53" i="64"/>
  <c r="F31" i="64"/>
  <c r="CK12" i="30"/>
  <c r="I17" i="64"/>
  <c r="C39" i="64"/>
  <c r="I39" i="64" s="1"/>
  <c r="I55" i="57"/>
  <c r="W55" i="57" s="1"/>
  <c r="C22" i="64" s="1"/>
  <c r="C28" i="64"/>
  <c r="I28" i="64" s="1"/>
  <c r="C15" i="64"/>
  <c r="C47" i="64"/>
  <c r="C90" i="64"/>
  <c r="C34" i="64"/>
  <c r="C43" i="64"/>
  <c r="C91" i="64"/>
  <c r="C61" i="64" s="1"/>
  <c r="C76" i="64" s="1"/>
  <c r="C93" i="64"/>
  <c r="C42" i="64"/>
  <c r="E84" i="104" l="1"/>
  <c r="R85" i="104" s="1"/>
  <c r="P83" i="104"/>
  <c r="E85" i="104"/>
  <c r="P84" i="104"/>
  <c r="E83" i="104"/>
  <c r="R84" i="104" s="1"/>
  <c r="E84" i="103"/>
  <c r="R85" i="103" s="1"/>
  <c r="P83" i="103"/>
  <c r="E85" i="103"/>
  <c r="P84" i="103"/>
  <c r="E83" i="103"/>
  <c r="R84" i="103" s="1"/>
  <c r="E84" i="102"/>
  <c r="R85" i="102" s="1"/>
  <c r="P83" i="102"/>
  <c r="E85" i="102"/>
  <c r="P84" i="102"/>
  <c r="E83" i="102"/>
  <c r="R84" i="102" s="1"/>
  <c r="E84" i="101"/>
  <c r="R85" i="101" s="1"/>
  <c r="P83" i="101"/>
  <c r="E85" i="101"/>
  <c r="E83" i="101"/>
  <c r="R84" i="101" s="1"/>
  <c r="P84" i="101"/>
  <c r="E84" i="100"/>
  <c r="R85" i="100" s="1"/>
  <c r="P83" i="100"/>
  <c r="E85" i="100"/>
  <c r="P84" i="100"/>
  <c r="E83" i="100"/>
  <c r="R84" i="100" s="1"/>
  <c r="C92" i="64"/>
  <c r="C62" i="64" s="1"/>
  <c r="C77" i="64" s="1"/>
  <c r="P84" i="84"/>
  <c r="E85" i="84"/>
  <c r="CL12" i="30"/>
  <c r="C15" i="5" s="1"/>
  <c r="E83" i="84"/>
  <c r="R84" i="84" s="1"/>
  <c r="P83" i="84"/>
  <c r="E84" i="84"/>
  <c r="R85" i="84" s="1"/>
  <c r="C37" i="64"/>
  <c r="C48" i="64"/>
  <c r="C56" i="64"/>
  <c r="C36" i="64"/>
  <c r="C26" i="64"/>
  <c r="C25" i="64"/>
  <c r="G41" i="64"/>
  <c r="C45" i="64"/>
  <c r="C32" i="64"/>
  <c r="C54" i="64"/>
  <c r="D41" i="64"/>
  <c r="F52" i="64"/>
  <c r="G52" i="64"/>
  <c r="C60" i="64"/>
  <c r="C75" i="64" s="1"/>
  <c r="C31" i="64"/>
  <c r="C63" i="64"/>
  <c r="C78" i="64" s="1"/>
  <c r="C53" i="64"/>
  <c r="D52" i="64"/>
  <c r="F41" i="64"/>
  <c r="E31" i="64" l="1"/>
  <c r="E42" i="64"/>
  <c r="E53" i="64"/>
  <c r="I15" i="5"/>
  <c r="I17" i="5" s="1"/>
  <c r="C55" i="64"/>
  <c r="C44" i="64"/>
  <c r="C33" i="64"/>
  <c r="F30" i="64"/>
  <c r="G30" i="64"/>
  <c r="I19" i="64"/>
  <c r="D30" i="64"/>
  <c r="G47" i="64"/>
  <c r="H30" i="64"/>
  <c r="H41" i="64"/>
  <c r="H52" i="64"/>
  <c r="E41" i="64"/>
  <c r="E52" i="64"/>
  <c r="E30" i="64"/>
  <c r="H36" i="64"/>
  <c r="H25" i="64"/>
  <c r="H47" i="64"/>
  <c r="E25" i="64"/>
  <c r="E36" i="64"/>
  <c r="E47" i="64"/>
  <c r="H48" i="64"/>
  <c r="I48" i="64" s="1"/>
  <c r="I15" i="64"/>
  <c r="H26" i="64"/>
  <c r="I26" i="64" s="1"/>
  <c r="H37" i="64"/>
  <c r="I37" i="64" s="1"/>
  <c r="C17" i="5" l="1"/>
  <c r="I41" i="64"/>
  <c r="I52" i="64"/>
  <c r="G36" i="64"/>
  <c r="I14" i="64"/>
  <c r="G25" i="64"/>
  <c r="I21" i="64"/>
  <c r="H43" i="64"/>
  <c r="I43" i="64" s="1"/>
  <c r="H32" i="64"/>
  <c r="I32" i="64" s="1"/>
  <c r="H54" i="64"/>
  <c r="I54" i="64" s="1"/>
  <c r="D25" i="64"/>
  <c r="D36" i="64"/>
  <c r="D47" i="64"/>
  <c r="I30" i="64"/>
  <c r="H31" i="64"/>
  <c r="I31" i="64" s="1"/>
  <c r="H53" i="64"/>
  <c r="I53" i="64" s="1"/>
  <c r="H42" i="64"/>
  <c r="I42" i="64" s="1"/>
  <c r="I20" i="64"/>
  <c r="I23" i="64"/>
  <c r="H34" i="64"/>
  <c r="I34" i="64" s="1"/>
  <c r="H45" i="64"/>
  <c r="I45" i="64" s="1"/>
  <c r="H56" i="64"/>
  <c r="I56" i="64" s="1"/>
  <c r="H33" i="64"/>
  <c r="I33" i="64" s="1"/>
  <c r="H55" i="64"/>
  <c r="I55" i="64" s="1"/>
  <c r="I22" i="64"/>
  <c r="H44" i="64"/>
  <c r="I44" i="64" s="1"/>
  <c r="F36" i="64"/>
  <c r="F47" i="64"/>
  <c r="F25" i="64"/>
  <c r="C19" i="5" l="1"/>
  <c r="C25" i="5"/>
  <c r="C24" i="5" s="1"/>
  <c r="C29" i="5"/>
  <c r="C28" i="5" s="1"/>
  <c r="I25" i="64"/>
  <c r="I36" i="64"/>
  <c r="I47" i="64"/>
  <c r="C21" i="5" l="1"/>
  <c r="C22" i="5"/>
  <c r="I19" i="5"/>
  <c r="I21" i="5" s="1"/>
  <c r="I22" i="5" l="1"/>
</calcChain>
</file>

<file path=xl/sharedStrings.xml><?xml version="1.0" encoding="utf-8"?>
<sst xmlns="http://schemas.openxmlformats.org/spreadsheetml/2006/main" count="24460" uniqueCount="6211">
  <si>
    <t>ABOUT:</t>
  </si>
  <si>
    <t>For the California State Transportation Agency (CalSTA) Transit and Intercity Rail Capital Program (TIRCP), CARB staff developed this TIRCP Benefits Calculator Tool to estimate the greenhouse gas (GHG) emission reductions and selected co-benefits of each proposed project type.  In an effort to enhance analysis, provide greater transparency, and assist in project‑level reporting, CARB has included an output summary tab in this Benefits Calculator Tool for selected co‑benefits and key variables. This Benefits Calculator Tool is available for download at:</t>
  </si>
  <si>
    <t>www.arb.ca.gov/cci-resources.</t>
  </si>
  <si>
    <t> Questions on this Benefits Calculator Tool should be sent to:</t>
  </si>
  <si>
    <t>GGRFProgram@arb.ca.gov</t>
  </si>
  <si>
    <t>This Benefits Calculator Tool estimates GHG emission reductions and air pollutant emission co-benefits using methods described in the supporting TIRCP Quantification Methodology.  Other co-benefits estimated in this and other benefits calculator tools use methods described in CARB Co-benefit Assessment Methodologies.  All CARB Co-benefit Assessment Methodologies are available at:</t>
  </si>
  <si>
    <t xml:space="preserve"> For more information on CARB’s efforts to support implementation of California Climate Investments, see: </t>
  </si>
  <si>
    <t>www.arb.ca.gov/auctionproceeds</t>
  </si>
  <si>
    <r>
      <t> Questions pertaining to TIRCP</t>
    </r>
    <r>
      <rPr>
        <sz val="12"/>
        <color rgb="FFFF0000"/>
        <rFont val="Avenir LT Std 55 Roman"/>
        <family val="2"/>
      </rPr>
      <t xml:space="preserve"> </t>
    </r>
    <r>
      <rPr>
        <sz val="12"/>
        <rFont val="Avenir LT Std 55 Roman"/>
        <family val="2"/>
      </rPr>
      <t>should be sent to:</t>
    </r>
  </si>
  <si>
    <t>www.arb.ca.gov/cci-cobenefits.</t>
  </si>
  <si>
    <t>TIRCPcomments@dot.ca.gov</t>
  </si>
  <si>
    <t>INSTRUCTIONS:</t>
  </si>
  <si>
    <t>Applicants must use this calculator to estimate the GHG emission reductions, air pollutant emissions, and other co-benefits associated with the quantification methodology, as applicable.  This Excel file must be submitted with other documentation requirements.  Please use the following file naming convention:  “[Project Name]_calc” not to exceed 20 characters.  Project names may be abbreviated.   Additional documentation may be necessary to substantiate the inputs to this file.  Fields highlighted in green indicate input needed by the project applicant, while fields highlighted in blue indicate optional inputs.</t>
  </si>
  <si>
    <t>More information:</t>
  </si>
  <si>
    <r>
      <rPr>
        <b/>
        <sz val="12"/>
        <rFont val="Avenir LT Std 55 Roman"/>
        <family val="2"/>
      </rPr>
      <t>Step 1 Enter Basic Project Information</t>
    </r>
    <r>
      <rPr>
        <sz val="12"/>
        <rFont val="Avenir LT Std 55 Roman"/>
        <family val="2"/>
      </rPr>
      <t xml:space="preserve">: Applicants must input basic project information in the </t>
    </r>
    <r>
      <rPr>
        <b/>
        <sz val="12"/>
        <rFont val="Avenir LT Std 55 Roman"/>
        <family val="2"/>
      </rPr>
      <t xml:space="preserve">Project Info </t>
    </r>
    <r>
      <rPr>
        <sz val="12"/>
        <rFont val="Avenir LT Std 55 Roman"/>
        <family val="2"/>
      </rPr>
      <t>tab.</t>
    </r>
    <r>
      <rPr>
        <b/>
        <sz val="12"/>
        <rFont val="Avenir LT Std 55 Roman"/>
        <family val="2"/>
      </rPr>
      <t/>
    </r>
  </si>
  <si>
    <r>
      <t xml:space="preserve">Applicants must input basic project information in the </t>
    </r>
    <r>
      <rPr>
        <b/>
        <sz val="12"/>
        <rFont val="Avenir LT Std 55 Roman"/>
        <family val="2"/>
      </rPr>
      <t xml:space="preserve">Project Info </t>
    </r>
    <r>
      <rPr>
        <sz val="12"/>
        <rFont val="Avenir LT Std 55 Roman"/>
        <family val="2"/>
      </rPr>
      <t xml:space="preserve">tab.
</t>
    </r>
    <r>
      <rPr>
        <b/>
        <sz val="12"/>
        <rFont val="Avenir LT Std 55 Roman"/>
        <family val="2"/>
      </rPr>
      <t/>
    </r>
  </si>
  <si>
    <r>
      <rPr>
        <b/>
        <sz val="12"/>
        <rFont val="Avenir LT Std 55 Roman"/>
        <family val="2"/>
      </rPr>
      <t>Step 2 Identify the Project Subcomponent and Select the Applicable Project Type</t>
    </r>
    <r>
      <rPr>
        <sz val="12"/>
        <rFont val="Avenir LT Std 55 Roman"/>
        <family val="2"/>
      </rPr>
      <t>:</t>
    </r>
  </si>
  <si>
    <r>
      <t xml:space="preserve">Applicants must define the project by identifying the eligible project type in Table 1 of the Quantification Methodology, and determine the number of quantifiable sub-components needed.  Refer to the </t>
    </r>
    <r>
      <rPr>
        <b/>
        <sz val="12"/>
        <rFont val="Avenir LT Std 55 Roman"/>
        <family val="2"/>
      </rPr>
      <t>Definitions &amp; Acronyms</t>
    </r>
    <r>
      <rPr>
        <sz val="12"/>
        <rFont val="Avenir LT Std 55 Roman"/>
        <family val="2"/>
      </rPr>
      <t xml:space="preserve"> tab for descriptions and examples of the project types.  Upon selecting the applicable project type(s) in the tool, the required input fields for the project type(s) are automatically revealed.  Applicants may refer to the </t>
    </r>
    <r>
      <rPr>
        <b/>
        <sz val="12"/>
        <rFont val="Avenir LT Std 55 Roman"/>
        <family val="2"/>
      </rPr>
      <t>Documentation</t>
    </r>
    <r>
      <rPr>
        <sz val="12"/>
        <rFont val="Avenir LT Std 55 Roman"/>
        <family val="2"/>
      </rPr>
      <t xml:space="preserve"> tab for a list of required information by project type.</t>
    </r>
  </si>
  <si>
    <r>
      <rPr>
        <b/>
        <sz val="12"/>
        <rFont val="Avenir LT Std 55 Roman"/>
        <family val="2"/>
      </rPr>
      <t>Step 3</t>
    </r>
    <r>
      <rPr>
        <sz val="12"/>
        <rFont val="Avenir LT Std 55 Roman"/>
        <family val="2"/>
      </rPr>
      <t xml:space="preserve"> </t>
    </r>
    <r>
      <rPr>
        <b/>
        <sz val="12"/>
        <rFont val="Avenir LT Std 55 Roman"/>
        <family val="2"/>
      </rPr>
      <t>Enter Project Subcomponent-Specific Information</t>
    </r>
    <r>
      <rPr>
        <sz val="12"/>
        <rFont val="Avenir LT Std 55 Roman"/>
        <family val="2"/>
      </rPr>
      <t>:</t>
    </r>
  </si>
  <si>
    <r>
      <t xml:space="preserve">Based upon the project type selection(s) in Step 2, applicants must input the required information identified by the tool to estimate the GHG emission reductions and co-benefits for each quantifiable component.  Default values for trip length, adjustment factors, and fare cost are available on the </t>
    </r>
    <r>
      <rPr>
        <b/>
        <sz val="12"/>
        <rFont val="Avenir LT Std 55 Roman"/>
        <family val="2"/>
      </rPr>
      <t>Lookup Tables</t>
    </r>
    <r>
      <rPr>
        <sz val="12"/>
        <rFont val="Avenir LT Std 55 Roman"/>
        <family val="2"/>
      </rPr>
      <t xml:space="preserve"> tab.</t>
    </r>
  </si>
  <si>
    <r>
      <rPr>
        <b/>
        <sz val="12"/>
        <rFont val="Avenir LT Std 55 Roman"/>
        <family val="2"/>
      </rPr>
      <t>Step 4 Review the Estimated Benefits of the Proposed Project</t>
    </r>
    <r>
      <rPr>
        <sz val="12"/>
        <rFont val="Avenir LT Std 55 Roman"/>
        <family val="2"/>
      </rPr>
      <t>:</t>
    </r>
  </si>
  <si>
    <t xml:space="preserve">Applicants must use this calculator to estimate the GHG emission reductions, air pollutant emissions, and other co-benefits associated with the quantification methodology, as applicable. This Excel file must be submitted with other documentation requirements.  Please use the following file naming convention:  “[Project Name]_calc” not to exceed 20 characters.  Project names may be abbreviated.   Additional documentation may be necessary to substantiate the inputs to this file.  Fields highlighted in green indicate input needed by the project applicant.   </t>
  </si>
  <si>
    <r>
      <t xml:space="preserve">Applicants must review the </t>
    </r>
    <r>
      <rPr>
        <b/>
        <sz val="12"/>
        <rFont val="Avenir LT Std 55 Roman"/>
        <family val="2"/>
      </rPr>
      <t>GHG Summary</t>
    </r>
    <r>
      <rPr>
        <sz val="12"/>
        <rFont val="Avenir LT Std 55 Roman"/>
        <family val="2"/>
      </rPr>
      <t xml:space="preserve"> and </t>
    </r>
    <r>
      <rPr>
        <b/>
        <sz val="12"/>
        <rFont val="Avenir LT Std 55 Roman"/>
        <family val="2"/>
      </rPr>
      <t>Co-benefits Summary</t>
    </r>
    <r>
      <rPr>
        <sz val="12"/>
        <rFont val="Avenir LT Std 55 Roman"/>
        <family val="2"/>
      </rPr>
      <t xml:space="preserve"> tabs and check that all information has been entered correctly and to the best of the applicant's ability.</t>
    </r>
  </si>
  <si>
    <r>
      <rPr>
        <b/>
        <sz val="12"/>
        <rFont val="Avenir LT Std 55 Roman"/>
        <family val="2"/>
      </rPr>
      <t xml:space="preserve">
Step 1 Identify the Project Subcomponent and Select the Applicable Project Type</t>
    </r>
    <r>
      <rPr>
        <sz val="12"/>
        <rFont val="Avenir LT Std 55 Roman"/>
        <family val="2"/>
      </rPr>
      <t xml:space="preserve">: Applicants must define the project by identifying the eligible project type in Table 1 of the Quantification Methodology, and determine the number of quantifiable sub-components needed. Refer to the </t>
    </r>
    <r>
      <rPr>
        <b/>
        <sz val="12"/>
        <rFont val="Avenir LT Std 55 Roman"/>
        <family val="2"/>
      </rPr>
      <t>Definitions &amp; Acronyms</t>
    </r>
    <r>
      <rPr>
        <sz val="12"/>
        <rFont val="Avenir LT Std 55 Roman"/>
        <family val="2"/>
      </rPr>
      <t xml:space="preserve"> tab for descriptions and examples of the project types.  Upon selecting the applicable project type(s) in the tool, the required input fields for the project type(s) are automatically revealed.  Applicants may refer to the </t>
    </r>
    <r>
      <rPr>
        <b/>
        <sz val="12"/>
        <rFont val="Avenir LT Std 55 Roman"/>
        <family val="2"/>
      </rPr>
      <t>Documentation</t>
    </r>
    <r>
      <rPr>
        <sz val="12"/>
        <rFont val="Avenir LT Std 55 Roman"/>
        <family val="2"/>
      </rPr>
      <t xml:space="preserve"> tab for a list of required information by project type.
</t>
    </r>
    <r>
      <rPr>
        <b/>
        <sz val="12"/>
        <rFont val="Avenir LT Std 55 Roman"/>
        <family val="2"/>
      </rPr>
      <t>Step 2</t>
    </r>
    <r>
      <rPr>
        <sz val="12"/>
        <rFont val="Avenir LT Std 55 Roman"/>
        <family val="2"/>
      </rPr>
      <t xml:space="preserve"> </t>
    </r>
    <r>
      <rPr>
        <b/>
        <sz val="12"/>
        <rFont val="Avenir LT Std 55 Roman"/>
        <family val="2"/>
      </rPr>
      <t>Enter Project Subcomponent-Specific Information</t>
    </r>
    <r>
      <rPr>
        <sz val="12"/>
        <rFont val="Avenir LT Std 55 Roman"/>
        <family val="2"/>
      </rPr>
      <t xml:space="preserve">: Based upon the project type selection(s) in Step 2, applicants must input the required information identified by the tool to estimate the GHG emission reductions and co-benefits for each quantifiable component. 
</t>
    </r>
    <r>
      <rPr>
        <b/>
        <sz val="12"/>
        <rFont val="Avenir LT Std 55 Roman"/>
        <family val="2"/>
      </rPr>
      <t xml:space="preserve">
Step 3 Review the Estimated Benefits of the Proposed Project</t>
    </r>
    <r>
      <rPr>
        <sz val="12"/>
        <rFont val="Avenir LT Std 55 Roman"/>
        <family val="2"/>
      </rPr>
      <t xml:space="preserve">: Applicants must review the </t>
    </r>
    <r>
      <rPr>
        <b/>
        <sz val="12"/>
        <rFont val="Avenir LT Std 55 Roman"/>
        <family val="2"/>
      </rPr>
      <t>GHG Summary</t>
    </r>
    <r>
      <rPr>
        <sz val="12"/>
        <rFont val="Avenir LT Std 55 Roman"/>
        <family val="2"/>
      </rPr>
      <t xml:space="preserve"> and </t>
    </r>
    <r>
      <rPr>
        <b/>
        <sz val="12"/>
        <rFont val="Avenir LT Std 55 Roman"/>
        <family val="2"/>
      </rPr>
      <t>Co-benefits Summary</t>
    </r>
    <r>
      <rPr>
        <sz val="12"/>
        <rFont val="Avenir LT Std 55 Roman"/>
        <family val="2"/>
      </rPr>
      <t xml:space="preserve"> tabs and check that all information has been entered correctly and to the best of their ability.</t>
    </r>
  </si>
  <si>
    <t>Key for color-coded fields:</t>
  </si>
  <si>
    <t>Green</t>
  </si>
  <si>
    <t>Required input field</t>
  </si>
  <si>
    <t>Blue</t>
  </si>
  <si>
    <t>Optional input field</t>
  </si>
  <si>
    <t>Note to applicants:</t>
  </si>
  <si>
    <t>Gray</t>
  </si>
  <si>
    <t>Output field / not modifiable</t>
  </si>
  <si>
    <t>Black</t>
  </si>
  <si>
    <t>Not applicable</t>
  </si>
  <si>
    <t>Staff Directions to Convert Tool between LCTOP and TIRCP</t>
  </si>
  <si>
    <t>Project Name:</t>
  </si>
  <si>
    <t>Notes for LCTOP</t>
  </si>
  <si>
    <t>Notes for TIRCP</t>
  </si>
  <si>
    <t>*Hide for TIRCP</t>
  </si>
  <si>
    <t>*Hide for LCTOP and TIRCP</t>
  </si>
  <si>
    <t>Input</t>
  </si>
  <si>
    <t>Description</t>
  </si>
  <si>
    <t>Required</t>
  </si>
  <si>
    <t>*Hide for LCTOP</t>
  </si>
  <si>
    <t>Identifying Descriptor (ID)</t>
  </si>
  <si>
    <t>Brief description of the quantifiable component identifying it from other separable components.</t>
  </si>
  <si>
    <t>Yes</t>
  </si>
  <si>
    <t>[Blank]; 2; 3</t>
  </si>
  <si>
    <t>[Blank]; [Blank]; [Blank]</t>
  </si>
  <si>
    <t>Funding Inputs</t>
  </si>
  <si>
    <t>TIRCP Funds Requested ($)</t>
  </si>
  <si>
    <t xml:space="preserve">Total TIRCP funds requested for this separable component.   </t>
  </si>
  <si>
    <t>[Blank]</t>
  </si>
  <si>
    <t>Total Project Cost ($)</t>
  </si>
  <si>
    <t xml:space="preserve">Total cost of this separable component.   </t>
  </si>
  <si>
    <t>Additional CCI Program 1, if applicable</t>
  </si>
  <si>
    <t>CCI Program</t>
  </si>
  <si>
    <t>Other CCI Program from which project has or will be requesting GGRF funds.</t>
  </si>
  <si>
    <t>Optional</t>
  </si>
  <si>
    <t>Caltrans - LCTOP (Past)</t>
  </si>
  <si>
    <t>Additional GGRF Funds ($)</t>
  </si>
  <si>
    <t>Total GGRF funds requested or to be requested from Additional CCI Program 1.</t>
  </si>
  <si>
    <t>Additional CCI Program 2, if applicable</t>
  </si>
  <si>
    <t>Total GGRF funds requested or to be requested from Additional CCI Program 2.</t>
  </si>
  <si>
    <t>Total GGRF Funds Requested ($)</t>
  </si>
  <si>
    <t>Total GGRF funds requested from all CCI Programs</t>
  </si>
  <si>
    <t>Calculated</t>
  </si>
  <si>
    <t>This section is used to determine the quantification method and emission factors to use to estimate emissions.</t>
  </si>
  <si>
    <t>Project Info Inputs</t>
  </si>
  <si>
    <t>Project Type</t>
  </si>
  <si>
    <t>For the purposes of this quantification, eligible LCTOP projects fall into four project types.  Select the project type that best describes this component.</t>
  </si>
  <si>
    <t>Required Input</t>
  </si>
  <si>
    <t>Change for LCTOP</t>
  </si>
  <si>
    <t>Change for TIRCP</t>
  </si>
  <si>
    <t>Service Type</t>
  </si>
  <si>
    <t>The transit service (e.g., Intercity/Express Bus (Long Distance), Light Rail, Vanpool, etc.) directly associated with the proposed project.  For projects that serve multiple services, select Multi-modal.</t>
  </si>
  <si>
    <t>Type of Region</t>
  </si>
  <si>
    <t>The type of region that best encompasses the geographic location for the proposed project type.</t>
  </si>
  <si>
    <t>Region</t>
  </si>
  <si>
    <t>The County or Air Basin where the majority of the service occurs.</t>
  </si>
  <si>
    <t>Year 1 (Yr1)</t>
  </si>
  <si>
    <t xml:space="preserve">The first year of service or the first year the facility or rolling stock will be in use. </t>
  </si>
  <si>
    <t>Year F (YrF)</t>
  </si>
  <si>
    <t xml:space="preserve">The final year of service or the final year the facility or rolling stock's useful life. </t>
  </si>
  <si>
    <t>Useful Life (yrs)</t>
  </si>
  <si>
    <t>The number of years the service is funded or the useful life of the facility or rolling stock. Limited to up to 50 years.</t>
  </si>
  <si>
    <t>This section is used to estimate the emission and cost reductions from displaced auto vehicle miles traveled (VMT).</t>
  </si>
  <si>
    <t>Displaced Auto VMT Inputs</t>
  </si>
  <si>
    <t>Documentation</t>
  </si>
  <si>
    <t>Yr1 Ridership</t>
  </si>
  <si>
    <t>The increase in unlinked passenger trips directly associated with the proposed project in the first year (Yr1).</t>
  </si>
  <si>
    <t>YrF Ridership</t>
  </si>
  <si>
    <t>The increase in unlinked passenger trips directly associated with the proposed project in the final year. If the ridership is not expected to change, Yr1 and YrF should be the same value.</t>
  </si>
  <si>
    <t>Adjustment Factor</t>
  </si>
  <si>
    <t xml:space="preserve">Discount factor applied to annual ridership to account for transit-dependent riders. 
Use: Document project-specific data or system average developed from a recent, statistically valid survey or default. </t>
  </si>
  <si>
    <r>
      <t xml:space="preserve">Discount factor applied to annual ridership to account for transit-dependent riders. 
</t>
    </r>
    <r>
      <rPr>
        <u/>
        <sz val="12"/>
        <color theme="1"/>
        <rFont val="Avenir LT Std 55 Roman"/>
        <family val="2"/>
      </rPr>
      <t>Use</t>
    </r>
    <r>
      <rPr>
        <sz val="12"/>
        <color theme="1"/>
        <rFont val="Avenir LT Std 55 Roman"/>
        <family val="2"/>
      </rPr>
      <t xml:space="preserve">: Document project-specific data or system average developed from a recent, statistically valid survey or default. </t>
    </r>
  </si>
  <si>
    <t>Length of Average Trip (mi)</t>
  </si>
  <si>
    <t>Annual passenger miles over unlinked trips directly associated with the proposed project.</t>
  </si>
  <si>
    <t xml:space="preserve">Annual passenger miles over unlinked trips directly associated with the proposed project. </t>
  </si>
  <si>
    <t>Additional VMT Displaced (mi)</t>
  </si>
  <si>
    <t>Additional VMT displaced from land use impacts.</t>
  </si>
  <si>
    <t>*Hide for LCTOP (UNUSED)</t>
  </si>
  <si>
    <t>*Hide for TIRCP (UNUSED)</t>
  </si>
  <si>
    <t>Passenger VMT Reductions (mi)</t>
  </si>
  <si>
    <t>The estimated displaced auto VMT from the proposed project.</t>
  </si>
  <si>
    <r>
      <t>GHG Emission Reductions (MTCO</t>
    </r>
    <r>
      <rPr>
        <vertAlign val="subscript"/>
        <sz val="12"/>
        <rFont val="Avenir LT Std 55 Roman"/>
        <family val="2"/>
      </rPr>
      <t>2</t>
    </r>
    <r>
      <rPr>
        <sz val="12"/>
        <rFont val="Avenir LT Std 55 Roman"/>
        <family val="2"/>
      </rPr>
      <t>e)</t>
    </r>
  </si>
  <si>
    <t>The estimated GHG emission reductions in metric tons (MT) of carbon dioxide equivalent (CO2e) from displaced auto VMT from the proposed project."))</t>
  </si>
  <si>
    <t>This section is used to estimate the net emission reductions from new service or from the purchase of new zero-emission/hybrid vehicle(s).</t>
  </si>
  <si>
    <t>New Service Vehicle Inputs</t>
  </si>
  <si>
    <t>Vehicle Type</t>
  </si>
  <si>
    <t>The vehicle type (e.g., Transit Bus, Streetcar, Ferry, etc.) that will operate the new service or will be procured.</t>
  </si>
  <si>
    <t>Engine Tier</t>
  </si>
  <si>
    <t>The engine tier for the vehicle(s) that will operate the new service.</t>
  </si>
  <si>
    <t>Engine Horsepower</t>
  </si>
  <si>
    <t>The engine horsepower rating for the vehicle(s) that will operate the new service.</t>
  </si>
  <si>
    <t>Fuel Type</t>
  </si>
  <si>
    <t>The fuel type (e.g., electric, diesel, etc.) of the vehicle for the new service, or of the new vehicle(s) to be procured.</t>
  </si>
  <si>
    <t xml:space="preserve">Hybrid Vehicle </t>
  </si>
  <si>
    <t>Is the vehicle for the new service, or vehicle(s) to be procured, a hybrid? (Only applicable to non-zero emission fuel types)</t>
  </si>
  <si>
    <t>Model Year</t>
  </si>
  <si>
    <t>The engine model year of the vehicle that will operate the new service, or of the new vehicle(s) to be procured.</t>
  </si>
  <si>
    <t>Project-Specific GHG Emission Factor (gCO2e/MJ)</t>
  </si>
  <si>
    <t>If used, applicant must be able to demonstrate an approved carbon intensity value under the Low Carbon Fuel Standard and submit additional documentation.</t>
  </si>
  <si>
    <t xml:space="preserve">If used, applicant must be able to demonstrate an approved carbon intensity value under the Low Carbon Fuel Standard and submit additional documentation. </t>
  </si>
  <si>
    <t>Annual VMT (mi/yr)</t>
  </si>
  <si>
    <t>The estimated annual VMT required to operate the new service or of the new vehicle(s) to be procured (e.g., 72,000).  For rail and ferry vehicles, applicants may alternatively use Annual Fuel. For vehicles with multiple engines (e.g., DMUs), provide the cumulative VMT across all the engines.</t>
  </si>
  <si>
    <t>Annual Fuel/Energy Use</t>
  </si>
  <si>
    <t>The estimated annual fuel (i.e., gallon of diesel, KWh of electricity) required to operate the new service, or of the new rail or ferry vehicle(s) to be procured (e.g., 26,000).
Units of gallons for biodiesel, diesel, gasoline, LNG, renewable diesel; scf for CNG and renewable natural gas; kWh for electric; kg for hydrogen.</t>
  </si>
  <si>
    <t>Annual Renewable Energy Generated (kWh/yr)</t>
  </si>
  <si>
    <t>The estimated annual amount of renewable electricity generated as a direct result of this project to charge the new service vehicles(s), e.g., installing solar panels. "&amp;"If the renewable electricity is acquired through a utility power purchase agreement, input '0'.</t>
  </si>
  <si>
    <t>This section is used to estimate the net emission reductions from vehicle replacement as a result of the proposed project.</t>
  </si>
  <si>
    <t>Baseline Vehicle Inputs</t>
  </si>
  <si>
    <t>The vehicle type (e.g., Transit Bus, Streetcar, Ferry, etc.) of the baseline vehicle(s).</t>
  </si>
  <si>
    <t>The engine tier of the baseline vehicle(s).</t>
  </si>
  <si>
    <t>The engine horsepower rating of the baseline vehicle(s).</t>
  </si>
  <si>
    <t>The fuel type (e.g., electric, diesel, etc.) of the baseline vehicle(s).</t>
  </si>
  <si>
    <t xml:space="preserve">The fuel type (e.g., electric, diesel, etc.) of the baseline vehicle(s). </t>
  </si>
  <si>
    <t>The average engine model year(s) of the baseline vehicle(s).</t>
  </si>
  <si>
    <t xml:space="preserve">The average engine model year(s) of the baseline vehicle(s).     </t>
  </si>
  <si>
    <t>Annual VMT
(mi/yr)</t>
  </si>
  <si>
    <t>The estimated annual VMT of the baseline vehicle(s).  For rail and ferry vehicles, applicants may alternatively use Annual Fuel. For vehicles with multiple engines (e.g., DMUs), provide the cumulative VMT across all the engines.</t>
  </si>
  <si>
    <t>Annual Fuel Use</t>
  </si>
  <si>
    <t>The estimated annual fuel the baseline vehicle(s) would have required to operate the equivalent as the new vehicle to be procured.
Units of gallons for biodiesel, diesel, gasoline, LNG, renewable diesel; scf for CNG and renewable natural gas; kWh for electric; kg for hydrogen.</t>
  </si>
  <si>
    <t>This section is used to estimate the net emission reductions from fuel/energy reductions as a result of the proposed project.</t>
  </si>
  <si>
    <t>Fuel/Energy Reductions Inputs</t>
  </si>
  <si>
    <t>The vehicle type (e.g., Transit Bus, Streetcar, Ferry, etc.) of the vehicle(s) that will realize fuel/energy reductions as a result of The project.</t>
  </si>
  <si>
    <t>The engine tier of the vehicle(s) that will realize fuel/energy reductions as a result of the project.</t>
  </si>
  <si>
    <t>The engine horsepower rating of the vehicle(s) that will realize fuel/energy reductions as a result of the project.</t>
  </si>
  <si>
    <t>The fuel/energy type (e.g., diesel, grid electricity, etc.) being reduced as a result of the project.</t>
  </si>
  <si>
    <t xml:space="preserve">The fuel/energy type (e.g., diesel, grid electricity, etc.) being reduced as a result of the project. </t>
  </si>
  <si>
    <t>The average engine model year(s) of the vehicle(s) that will realize fuel/energy reductions as a result of the project.</t>
  </si>
  <si>
    <t xml:space="preserve">The average engine model year(s) of the vehicle(s) that will realize fuel/energy reductions as a result of the project. </t>
  </si>
  <si>
    <t>Annual Fuel/Energy Reduced</t>
  </si>
  <si>
    <t>The estimated annual fuel/energy reductions expected to be realized as a result of the project.
Units of gallons for biodiesel, diesel, gasoline, LNG, renewable diesel; scf for CNG and renewable natural gas; kWh for electric; kg for hydrogen.
For projects that generate renewable electricity using solar photovoltaic panels, applicants should use the PVWatts Calculator to determine this input, available at http://pvwatts.nrel.gov/.</t>
  </si>
  <si>
    <r>
      <t xml:space="preserve">The estimated annual fuel/energy reductions expected to be realized as a result of the project.
Units of gallons for biodiesel, diesel, gasoline, LNG, renewable diesel; scf for CNG and renewable natural gas; kWh for electric; kg for hydrogen.
For projects that generate renewable electricity using solar photovoltaic panels, applicants should use the PVWatts Calculator to determine this input, available at </t>
    </r>
    <r>
      <rPr>
        <sz val="12"/>
        <color rgb="FF0563C1"/>
        <rFont val="Avenir LT Std 55 Roman"/>
        <family val="2"/>
      </rPr>
      <t>http://pvwatts.nrel.gov/</t>
    </r>
    <r>
      <rPr>
        <sz val="12"/>
        <color theme="1"/>
        <rFont val="Avenir LT Std 55 Roman"/>
        <family val="2"/>
      </rPr>
      <t>.</t>
    </r>
  </si>
  <si>
    <t>This section is used to estimate the travel cost savings as a result of the proposed project.</t>
  </si>
  <si>
    <t>Travel Cost Savings Inputs</t>
  </si>
  <si>
    <t>Baseline Average One-Way Fare Cost ($/Trip/Rider)</t>
  </si>
  <si>
    <t>The average fare cost per trip per rider prior to project implementation. If expanding service, baseline fare cost is zero.</t>
  </si>
  <si>
    <t>For projects that generate renewable electricity using solar photovoltaic panels, applicants should use the PVWatts Calculator to determine this input, available at http://pvwatts.nrel.gov/."))</t>
  </si>
  <si>
    <t>New Average
One-Way Fare Cost ($/Trip/Rider)</t>
  </si>
  <si>
    <t>The new expected average fare cost per trip per rider resulting from the proposed project.</t>
  </si>
  <si>
    <t>Average Transit Facility Parking Cost ($/Trip/Rider)</t>
  </si>
  <si>
    <t>The average expected cost of parking per trip per rider that riders would pay at the transit facility where the trip originates. Consider that not all transit riders may use the parking. However, the calculations will already take into account that parking is only paid once per round trip.</t>
  </si>
  <si>
    <t xml:space="preserve">The average expected cost of parking per trip per rider that riders would pay at the transit facility where the trip originates. Consider that not all transit riders may use the parking. However, the calculations will already take into account that parking is only paid once per round trip. </t>
  </si>
  <si>
    <t>Average Avoided Parking Cost ($/Trip/Rider)</t>
  </si>
  <si>
    <t>The average expected cost of parking per trip per rider  that riders would have otherwise paid if not using the service resulting from the project. The calculations will already take into account that parking is only paid once per round trip.</t>
  </si>
  <si>
    <t>Average Avoided Toll Cost ($/Trip/Rider)</t>
  </si>
  <si>
    <t>The average expected cost of tolls per auto trip per rider that riders would have otherwise paid if not using the service resulting from the project. The calculations will already take into account that tolls are only paid once per round trip.</t>
  </si>
  <si>
    <t xml:space="preserve">The average expected cost of tolls per trip per rider that riders would have otherwise paid if not using the service resulting from the project. The calculations will already take into account that tolls are only paid once per round trip. </t>
  </si>
  <si>
    <r>
      <t>Total Project GHG Emission Reductions (MTCO</t>
    </r>
    <r>
      <rPr>
        <vertAlign val="subscript"/>
        <sz val="12"/>
        <rFont val="Avenir LT Std 55 Roman"/>
        <family val="2"/>
      </rPr>
      <t>2</t>
    </r>
    <r>
      <rPr>
        <sz val="12"/>
        <rFont val="Avenir LT Std 55 Roman"/>
        <family val="2"/>
      </rPr>
      <t>e)</t>
    </r>
  </si>
  <si>
    <t>Total GHG emission reductions (MTCO2e) from the project during the useful life.</t>
  </si>
  <si>
    <r>
      <t>Total LCTOP Project GHG Emission Reductions (MTCO</t>
    </r>
    <r>
      <rPr>
        <vertAlign val="subscript"/>
        <sz val="12"/>
        <rFont val="Avenir LT Std 55 Roman"/>
        <family val="2"/>
      </rPr>
      <t>2</t>
    </r>
    <r>
      <rPr>
        <sz val="12"/>
        <rFont val="Avenir LT Std 55 Roman"/>
        <family val="2"/>
      </rPr>
      <t>e)</t>
    </r>
  </si>
  <si>
    <t>The portion of GHG emission reductions attributable to funding from LCTOP; GHG emission reductions are prorated according to the level of program funding contributed from LCTOP and other CCI programs, as applicable.</t>
  </si>
  <si>
    <r>
      <t>FY 20-21 LCTOP Project GHG Emission Reductions (MTCO</t>
    </r>
    <r>
      <rPr>
        <vertAlign val="subscript"/>
        <sz val="12"/>
        <rFont val="Avenir LT Std 55 Roman"/>
        <family val="2"/>
      </rPr>
      <t>2</t>
    </r>
    <r>
      <rPr>
        <sz val="12"/>
        <rFont val="Avenir LT Std 55 Roman"/>
        <family val="2"/>
      </rPr>
      <t>e)</t>
    </r>
  </si>
  <si>
    <t>The portion of GHG emission reductions attributable to funding from FY 20-21 LCTOP; GHG emission reductions are prorated according to the level of program funding contributed from FY 20-21 LCTOP and other CCI programs, as applicable.</t>
  </si>
  <si>
    <t>Step 3: Review the Estimated GHG Emission Reductions for the Proposed Project</t>
  </si>
  <si>
    <t>Quantified GHG Component 1</t>
  </si>
  <si>
    <t>Quantified GHG Component 2</t>
  </si>
  <si>
    <t>Quantified GHG Component 3</t>
  </si>
  <si>
    <t>Quantified GHG Component 4</t>
  </si>
  <si>
    <t>Quantified GHG Component 5</t>
  </si>
  <si>
    <t>Quantified GHG Component 6</t>
  </si>
  <si>
    <t>Total
Project</t>
  </si>
  <si>
    <t>***Equations/Notes [Hide or delete column for posting]</t>
  </si>
  <si>
    <t>Identifying Descriptor</t>
  </si>
  <si>
    <t>*Vary by Quantifiable Component tab</t>
  </si>
  <si>
    <t>GHG Emission Reduction Start Date (Year)</t>
  </si>
  <si>
    <t xml:space="preserve">Total CCI </t>
  </si>
  <si>
    <r>
      <t>Total GHG Emission Reductions  (MTCO</t>
    </r>
    <r>
      <rPr>
        <b/>
        <vertAlign val="subscript"/>
        <sz val="12"/>
        <color theme="1"/>
        <rFont val="Avenir LT Std 55 Roman"/>
        <family val="2"/>
      </rPr>
      <t>2</t>
    </r>
    <r>
      <rPr>
        <b/>
        <sz val="12"/>
        <color theme="1"/>
        <rFont val="Avenir LT Std 55 Roman"/>
        <family val="2"/>
      </rPr>
      <t>e)</t>
    </r>
  </si>
  <si>
    <r>
      <t>Total GHG Emission Reductions/Total GGRF Funds Requested (MTCO</t>
    </r>
    <r>
      <rPr>
        <b/>
        <vertAlign val="subscript"/>
        <sz val="12"/>
        <color theme="1"/>
        <rFont val="Avenir LT Std 55 Roman"/>
        <family val="2"/>
      </rPr>
      <t>2</t>
    </r>
    <r>
      <rPr>
        <b/>
        <sz val="12"/>
        <color theme="1"/>
        <rFont val="Avenir LT Std 55 Roman"/>
        <family val="2"/>
      </rPr>
      <t>e/$)</t>
    </r>
  </si>
  <si>
    <t>TIRCP</t>
  </si>
  <si>
    <r>
      <t>TIRCP GHG Emission Reductions (MTCO</t>
    </r>
    <r>
      <rPr>
        <b/>
        <vertAlign val="subscript"/>
        <sz val="12"/>
        <color theme="1"/>
        <rFont val="Avenir LT Std 55 Roman"/>
        <family val="2"/>
      </rPr>
      <t>2</t>
    </r>
    <r>
      <rPr>
        <b/>
        <sz val="12"/>
        <color theme="1"/>
        <rFont val="Avenir LT Std 55 Roman"/>
        <family val="2"/>
      </rPr>
      <t>e)</t>
    </r>
  </si>
  <si>
    <r>
      <t>TIRCP GHG Emission Reductions/TIRCP Funds Requested (MTCO</t>
    </r>
    <r>
      <rPr>
        <b/>
        <vertAlign val="subscript"/>
        <sz val="12"/>
        <color theme="1"/>
        <rFont val="Avenir LT Std 55 Roman"/>
        <family val="2"/>
      </rPr>
      <t>2</t>
    </r>
    <r>
      <rPr>
        <b/>
        <sz val="12"/>
        <color theme="1"/>
        <rFont val="Avenir LT Std 55 Roman"/>
        <family val="2"/>
      </rPr>
      <t>e/$)</t>
    </r>
  </si>
  <si>
    <r>
      <t>TIRCP Funds Requested/TIRCP GHG Emission Reductions ($/MTCO</t>
    </r>
    <r>
      <rPr>
        <b/>
        <vertAlign val="subscript"/>
        <sz val="12"/>
        <color theme="1"/>
        <rFont val="Avenir LT Std 55 Roman"/>
        <family val="2"/>
      </rPr>
      <t>2</t>
    </r>
    <r>
      <rPr>
        <b/>
        <sz val="12"/>
        <color theme="1"/>
        <rFont val="Avenir LT Std 55 Roman"/>
        <family val="2"/>
      </rPr>
      <t>e)</t>
    </r>
  </si>
  <si>
    <t>Additional CCI Program 1</t>
  </si>
  <si>
    <t>GHG Emission Reductions Attributable to other GGRF Programs (MTCO2e)</t>
  </si>
  <si>
    <t>Total Additional GGRF Funds to Implement Project ($)</t>
  </si>
  <si>
    <t>Additional CCI Program 2</t>
  </si>
  <si>
    <t>Quantified
Co-Benefit
Component 1</t>
  </si>
  <si>
    <t>Quantified
Co-Benefit
Component 2</t>
  </si>
  <si>
    <t>Quantified
Co-Benefit
Component 3</t>
  </si>
  <si>
    <t>Quantified
Co-Benefit
Component 4</t>
  </si>
  <si>
    <t>Quantified
Co-Benefit
Component 5</t>
  </si>
  <si>
    <t>Quantified
Co-Benefit
Component 6</t>
  </si>
  <si>
    <t>Total 
Project</t>
  </si>
  <si>
    <t>Total CCI</t>
  </si>
  <si>
    <t>Passenger VMT Reductions
(miles)</t>
  </si>
  <si>
    <t>Fossil Fuel Use Reductions (gallons)</t>
  </si>
  <si>
    <t>Fossil Fuel Energy Use Reductions (kWh)</t>
  </si>
  <si>
    <t>Renewable Energy Generated (kWh)</t>
  </si>
  <si>
    <t>Energy and Fuel Cost Savings ($)</t>
  </si>
  <si>
    <t>Passenger Travel Cost Savings ($)</t>
  </si>
  <si>
    <t>ROG Emission Reductions (lbs)</t>
  </si>
  <si>
    <r>
      <t>NO</t>
    </r>
    <r>
      <rPr>
        <b/>
        <vertAlign val="subscript"/>
        <sz val="12"/>
        <color theme="1"/>
        <rFont val="Avenir LT Std 55 Roman"/>
        <family val="2"/>
      </rPr>
      <t>x</t>
    </r>
    <r>
      <rPr>
        <b/>
        <sz val="12"/>
        <color theme="1"/>
        <rFont val="Avenir LT Std 55 Roman"/>
        <family val="2"/>
      </rPr>
      <t xml:space="preserve"> Emission Reductions (lbs)</t>
    </r>
  </si>
  <si>
    <r>
      <t>PM</t>
    </r>
    <r>
      <rPr>
        <b/>
        <vertAlign val="subscript"/>
        <sz val="12"/>
        <color theme="1"/>
        <rFont val="Avenir LT Std 55 Roman"/>
        <family val="2"/>
      </rPr>
      <t>2.5</t>
    </r>
    <r>
      <rPr>
        <b/>
        <sz val="12"/>
        <color theme="1"/>
        <rFont val="Avenir LT Std 55 Roman"/>
        <family val="2"/>
      </rPr>
      <t xml:space="preserve"> Emission Reductions (lbs)</t>
    </r>
  </si>
  <si>
    <t>Diesel PM Emission Reductions (lbs)</t>
  </si>
  <si>
    <t>Co-benefits and Key Variables Summary</t>
  </si>
  <si>
    <t>LCTOP GGRF Funds</t>
  </si>
  <si>
    <t>Local Diesel PM Emission Reductions (lbs)</t>
  </si>
  <si>
    <r>
      <t>Local NO</t>
    </r>
    <r>
      <rPr>
        <vertAlign val="subscript"/>
        <sz val="12"/>
        <color theme="1"/>
        <rFont val="Avenir LT Std 55 Roman"/>
        <family val="2"/>
      </rPr>
      <t>x</t>
    </r>
    <r>
      <rPr>
        <sz val="12"/>
        <color theme="1"/>
        <rFont val="Avenir LT Std 55 Roman"/>
        <family val="2"/>
      </rPr>
      <t xml:space="preserve"> Emission Reductions (lbs)</t>
    </r>
  </si>
  <si>
    <r>
      <t>Local PM</t>
    </r>
    <r>
      <rPr>
        <vertAlign val="subscript"/>
        <sz val="12"/>
        <color theme="1"/>
        <rFont val="Avenir LT Std 55 Roman"/>
        <family val="2"/>
      </rPr>
      <t>2.5</t>
    </r>
    <r>
      <rPr>
        <sz val="12"/>
        <color theme="1"/>
        <rFont val="Avenir LT Std 55 Roman"/>
        <family val="2"/>
      </rPr>
      <t xml:space="preserve"> Emission Reductions (lbs)</t>
    </r>
  </si>
  <si>
    <t>Local ROG Emission Reductions (lbs)</t>
  </si>
  <si>
    <t>Remote Diesel PM Emission Reductions (lbs)</t>
  </si>
  <si>
    <r>
      <t>Remote NO</t>
    </r>
    <r>
      <rPr>
        <vertAlign val="subscript"/>
        <sz val="12"/>
        <color theme="1"/>
        <rFont val="Avenir LT Std 55 Roman"/>
        <family val="2"/>
      </rPr>
      <t>x</t>
    </r>
    <r>
      <rPr>
        <sz val="12"/>
        <color theme="1"/>
        <rFont val="Avenir LT Std 55 Roman"/>
        <family val="2"/>
      </rPr>
      <t xml:space="preserve"> Emission Reductions (lbs)</t>
    </r>
  </si>
  <si>
    <r>
      <t>Remote PM</t>
    </r>
    <r>
      <rPr>
        <vertAlign val="subscript"/>
        <sz val="12"/>
        <color theme="1"/>
        <rFont val="Avenir LT Std 55 Roman"/>
        <family val="2"/>
      </rPr>
      <t>2.5</t>
    </r>
    <r>
      <rPr>
        <sz val="12"/>
        <color theme="1"/>
        <rFont val="Avenir LT Std 55 Roman"/>
        <family val="2"/>
      </rPr>
      <t xml:space="preserve"> Emission Reductions (lbs)</t>
    </r>
  </si>
  <si>
    <t>Remote ROG Emission Reductions (lbs)</t>
  </si>
  <si>
    <t>Passenger VMT Reductions (miles)</t>
  </si>
  <si>
    <t>Travel Cost Savings ($)</t>
  </si>
  <si>
    <t>Additional California Climate Investments Program(s)</t>
  </si>
  <si>
    <t>Total California Climate Investments</t>
  </si>
  <si>
    <t>Key Terms</t>
  </si>
  <si>
    <t>Definitions of Key Terms</t>
  </si>
  <si>
    <t>Discount factor applied to annual ridership to account for transit-dependent riders.</t>
  </si>
  <si>
    <t>Baseline Vehicle</t>
  </si>
  <si>
    <t>The vehicle that is currently owned/in operation that will be replaced by a new zero- or near zero-emission vehicle purchase, or the vehicle that would have been purchased if not for this project (e.g., 2022 diesel bus).</t>
  </si>
  <si>
    <t>Co-benefit</t>
  </si>
  <si>
    <t>A social, economic, or environmental benefit as a result of the proposed project in addition to the GHG reduction benefit.</t>
  </si>
  <si>
    <t>Directly Operated</t>
  </si>
  <si>
    <t>Transportation service provided directly by a transit agency, using their employees to supply the necessary labor to operate the revenue vehicles. This includes instances where an agency’s employees provide purchased transportation (PT) services to the agency through a contractual agreement.</t>
  </si>
  <si>
    <t>Energy and Fuel Cost Savings</t>
  </si>
  <si>
    <t>Changes in energy and fuel costs to the transit operator as a result of the project. Savings may be achieved by changing the quantity of energy or fuel used, conversion to an alternative energy or fuel source/vehicle, or renewable energy or fuel generation to displace existing fuel purchases.</t>
  </si>
  <si>
    <t>Fuel/Energy Reduction</t>
  </si>
  <si>
    <t>Project type that identifies project subcomponents that result in using less fuel or energy from existing transit services, or producing renewable energy/fuel. This includes projects that reduce transit VMT and idling, or generate renewable electricity. For example, optimizing bus routes to reduce diesel fuel usage or installing solar panels to displace grid electricity would be considered the “fuel/energy reduction” project type.</t>
  </si>
  <si>
    <t>Increased Ridership</t>
  </si>
  <si>
    <t>Project type that identifies project subcomponents that result in increased ridership for existing routes. This may include projects that increase service levels, reliability, safety, or decrease travel times. For example, implementing integrated ticketing or improving scheduling systems would be considered the “increased ridership” project type.</t>
  </si>
  <si>
    <t>Key Variable</t>
  </si>
  <si>
    <t xml:space="preserve">Project characteristics that contribute to a project’s GHG emission reductions and signal an additional benefit (e.g., passenger VMT reductions, renewable energy generated). </t>
  </si>
  <si>
    <t>New Service</t>
  </si>
  <si>
    <t>Project type that identifies project subcomponents that result in a new transportation service. This may include expansion of an existing service. For example, constructing a new rail line or adding new buses to an existing transit route would be considered the “new service” project type.</t>
  </si>
  <si>
    <t>Project Component</t>
  </si>
  <si>
    <t>An overarching activity which may encompass more than one project subcomponent.</t>
  </si>
  <si>
    <t>For the purposes of the TIRCP Quantification Methodology, eligible projects fall into four project types that meet the objectives program and for which there are methods to quantify GHG emission reductions.</t>
  </si>
  <si>
    <t>Project Subcomponent</t>
  </si>
  <si>
    <t>A project activity that corresponds to a specific project type for which GHG emission reductions and air pollutant emission co-benefits may be estimated, evaluated and reported separately from other subcomponents within a TIRCP project component.</t>
  </si>
  <si>
    <t>Purchased Transportation</t>
  </si>
  <si>
    <t>Transportation service provided to a public transit agency or governmental unit from a public or private transportation provider based on a written contract. The provider is obligated in advance to operate public transportation services for a public transit agency or governmental unit for a specific monetary consideration, using its own employees to operate revenue vehicles.</t>
  </si>
  <si>
    <t>Quantification Period</t>
  </si>
  <si>
    <t>Number of years that the project subcomponent will provide GHG emission reductions that can reasonable be achieved and assured. Sometimes referred to as "Project Life” or “Useful Life”.</t>
  </si>
  <si>
    <t>Replacement</t>
  </si>
  <si>
    <t>Identifies project subcomponents that replace a baseline vehicle(s) with a new vehicle(s) without resulting in new service.</t>
  </si>
  <si>
    <t>Technology Conversion</t>
  </si>
  <si>
    <t>Project type that identifies project subcomponents that result in the use of cleaner vehicles, technologies, or fuels. For example, replacing existing diesel buses with electric buses or using renewable natural gas instead of fossil natural gas would be considered the “technology conversion” project type.</t>
  </si>
  <si>
    <t>Travel Cost Savings</t>
  </si>
  <si>
    <t>Changes in travel costs to the user as a result of the project from switching travel modes.</t>
  </si>
  <si>
    <t>Unlinked Passenger Trips</t>
  </si>
  <si>
    <t>Number of passengers who board public transportation vehicles.</t>
  </si>
  <si>
    <t>Acronym</t>
  </si>
  <si>
    <t>Term</t>
  </si>
  <si>
    <t>CARB</t>
  </si>
  <si>
    <t>California Air Resources Board</t>
  </si>
  <si>
    <t>CalSTA</t>
  </si>
  <si>
    <t>California State Transportation Agency</t>
  </si>
  <si>
    <t>CB</t>
  </si>
  <si>
    <t>commuter bus</t>
  </si>
  <si>
    <t>CC</t>
  </si>
  <si>
    <t>cable car</t>
  </si>
  <si>
    <t>CR</t>
  </si>
  <si>
    <t>commuter rail</t>
  </si>
  <si>
    <t>Diesel PM</t>
  </si>
  <si>
    <t>diesel particulate matter</t>
  </si>
  <si>
    <t>DMU</t>
  </si>
  <si>
    <t>diesel multiple unit</t>
  </si>
  <si>
    <t>DO</t>
  </si>
  <si>
    <t>directly operated</t>
  </si>
  <si>
    <t>DR</t>
  </si>
  <si>
    <t>demand response</t>
  </si>
  <si>
    <t>DT</t>
  </si>
  <si>
    <t>demand response taxi</t>
  </si>
  <si>
    <t>FB</t>
  </si>
  <si>
    <t>ferryboat</t>
  </si>
  <si>
    <t>GGRF</t>
  </si>
  <si>
    <t>Greenhouse Gas Reduction Fund</t>
  </si>
  <si>
    <t>GHG</t>
  </si>
  <si>
    <t>greenhouse gas</t>
  </si>
  <si>
    <t>hp</t>
  </si>
  <si>
    <t>horsepower</t>
  </si>
  <si>
    <t>HR</t>
  </si>
  <si>
    <t>heavy rail</t>
  </si>
  <si>
    <t>kWh</t>
  </si>
  <si>
    <t>kilowatt hours</t>
  </si>
  <si>
    <t>lbs</t>
  </si>
  <si>
    <t>pounds</t>
  </si>
  <si>
    <t>LR</t>
  </si>
  <si>
    <t>light rail</t>
  </si>
  <si>
    <t>MB</t>
  </si>
  <si>
    <t>bus</t>
  </si>
  <si>
    <t>MG</t>
  </si>
  <si>
    <t>monorail/automated guideway</t>
  </si>
  <si>
    <t>MJ</t>
  </si>
  <si>
    <t>megajoule</t>
  </si>
  <si>
    <r>
      <t>MTCO</t>
    </r>
    <r>
      <rPr>
        <vertAlign val="subscript"/>
        <sz val="12"/>
        <color rgb="FF000000"/>
        <rFont val="Avenir LT Std 55 Roman"/>
        <family val="2"/>
      </rPr>
      <t>2</t>
    </r>
    <r>
      <rPr>
        <sz val="12"/>
        <color rgb="FF000000"/>
        <rFont val="Avenir LT Std 55 Roman"/>
        <family val="2"/>
      </rPr>
      <t>e</t>
    </r>
  </si>
  <si>
    <t>metric tons of carbon dioxide equivalent</t>
  </si>
  <si>
    <r>
      <t>NO</t>
    </r>
    <r>
      <rPr>
        <vertAlign val="subscript"/>
        <sz val="12"/>
        <color rgb="FF000000"/>
        <rFont val="Avenir LT Std 55 Roman"/>
        <family val="2"/>
      </rPr>
      <t>x</t>
    </r>
  </si>
  <si>
    <t>nitrous oxide</t>
  </si>
  <si>
    <t>PM</t>
  </si>
  <si>
    <t>particulate matter</t>
  </si>
  <si>
    <r>
      <t>PM</t>
    </r>
    <r>
      <rPr>
        <vertAlign val="subscript"/>
        <sz val="12"/>
        <color rgb="FF000000"/>
        <rFont val="Avenir LT Std 55 Roman"/>
        <family val="2"/>
      </rPr>
      <t>2.5</t>
    </r>
  </si>
  <si>
    <t>particulate matter with a diameter less than 2.5 micrometers</t>
  </si>
  <si>
    <r>
      <t>PM</t>
    </r>
    <r>
      <rPr>
        <vertAlign val="subscript"/>
        <sz val="12"/>
        <color rgb="FF000000"/>
        <rFont val="Avenir LT Std 55 Roman"/>
        <family val="2"/>
      </rPr>
      <t>10</t>
    </r>
  </si>
  <si>
    <t>particulate matter with a diameter less than 10 micrometers</t>
  </si>
  <si>
    <t>PT</t>
  </si>
  <si>
    <t>purchased transportation</t>
  </si>
  <si>
    <t>RB</t>
  </si>
  <si>
    <t>bus rapid transit</t>
  </si>
  <si>
    <t>ROG</t>
  </si>
  <si>
    <t>reactive organic gas</t>
  </si>
  <si>
    <t>SR</t>
  </si>
  <si>
    <t>streetcar rail</t>
  </si>
  <si>
    <t>TB</t>
  </si>
  <si>
    <t>trolley bus</t>
  </si>
  <si>
    <t>TN</t>
  </si>
  <si>
    <t>transportation network company</t>
  </si>
  <si>
    <t>TX</t>
  </si>
  <si>
    <t>taxi</t>
  </si>
  <si>
    <t>Transit and Intercity Rail Program</t>
  </si>
  <si>
    <t>VMT</t>
  </si>
  <si>
    <t>vehicle miles traveled</t>
  </si>
  <si>
    <t>VP</t>
  </si>
  <si>
    <t>vanpool</t>
  </si>
  <si>
    <t>YR</t>
  </si>
  <si>
    <t>hybrid rail</t>
  </si>
  <si>
    <t>Project Types</t>
  </si>
  <si>
    <t>Description of Project Types</t>
  </si>
  <si>
    <t>Quantification Methodology</t>
  </si>
  <si>
    <t>Provide a new transit service that does not currently exist, or expand the use of an existing transit service (e.g., new or extended transit routes).</t>
  </si>
  <si>
    <t>Provide a new alternative transportation service that does not currently exist, or expand the use of an existing alternative transportation service (e.g., new or expanded car-sharing program).</t>
  </si>
  <si>
    <t>Take an existing vehicle out of service and replace it with a new vehicle which will provide a higher level of service (e.g., longer transit route/range, additional seating capacity).</t>
  </si>
  <si>
    <t>Install infrastructure needed to provide a new or expanded transit service (e.g., transit stops / centers / stations).</t>
  </si>
  <si>
    <t>Purchase new battery electric or fuel cell electric vehicles, along with associated charging or hydrogen refueling instrastructure to support those vehicles. The vehicles must be used to provide a new service or expand an existing service. The baseline vehicle is assumed to be what would have otherwise been bought (e.g., current model year diesel vehicle).</t>
  </si>
  <si>
    <t>Implement infrastructure, such as charging or hydrogen refueling stations, for the use of new zero-emission vehicle(s) which will provide a new service.</t>
  </si>
  <si>
    <t>Install a system to produce renewable energy or fuel that will be used to power an alternative fuel transit vehicle. The vehicle must provide a new service (e.g., solar panel installations must be used to power electric vehicles, not buildings or other applications).</t>
  </si>
  <si>
    <t>Purchase an additional vehicle that will offset the use of an existing vehicle to provide the same level of service. No new or additional service is provided.</t>
  </si>
  <si>
    <t>Take an existing vehicle out of service and replace it with a new vehicle to provide the same service. No new or additional service is provided.</t>
  </si>
  <si>
    <t>Implement infrastructure, such as charging or hydrogen refueling stations, for the use of existing zero-emission vehicle(s). No new or additional service is provided.</t>
  </si>
  <si>
    <t>Implement aesthetic improvements to existing transit vehicles (e.g., improved bus seating, ADA enhancements).</t>
  </si>
  <si>
    <t>Implement transit-related amenities or infrastructure (e.g., transit stop seating / lighting / shelters, signage, bus lanes).</t>
  </si>
  <si>
    <t>Implement active transportation infrastructure at transit stops/stations to enable rides to connect to other transit stops/stations (e.g., bicycle racks, scooter stations).</t>
  </si>
  <si>
    <t>Reduce transit fares, provide transit vouchers, or offer free fares to transit riders.</t>
  </si>
  <si>
    <t>Implement a system for riders more easily travel between different transit modes or agencies.</t>
  </si>
  <si>
    <t>CARB staff developed these recommended values for applicants to use for the length of the average unlinked passenger trip and</t>
  </si>
  <si>
    <t>baseline average fare cost, by agency or statewide, by mode, and by type of service using 2021 Annual data from the National</t>
  </si>
  <si>
    <t>Transit Databasee, supplemented by the previously used 2017 data for transit services that are absent from the 2021 data due to</t>
  </si>
  <si>
    <t>COVID-19 service interruptions or other reasons.  These values were calculated by dividing passenger miles traveled by unlinked</t>
  </si>
  <si>
    <t>passenger trips.  Adjustment factors were developed by the Institute of Transportation Studies based on a review of research on</t>
  </si>
  <si>
    <t>transit dependency and data from the 2013 California Household Travel Survey.</t>
  </si>
  <si>
    <t>Length of Average Trip and Adjustment Factor by Mode</t>
  </si>
  <si>
    <t>Mode Type</t>
  </si>
  <si>
    <t>Mode</t>
  </si>
  <si>
    <t>Type of Service</t>
  </si>
  <si>
    <t>Length of Average Trip (Miles/Trip)</t>
  </si>
  <si>
    <t>Commuter Bus (Express/Intercity)</t>
  </si>
  <si>
    <t>Cable Car</t>
  </si>
  <si>
    <t>Commuter Rail</t>
  </si>
  <si>
    <t>Demand Response</t>
  </si>
  <si>
    <t>Demand Response Transportation Network Company</t>
  </si>
  <si>
    <t>Demand Response Taxi</t>
  </si>
  <si>
    <t>Ferryboat</t>
  </si>
  <si>
    <t>Heavy Rail</t>
  </si>
  <si>
    <t>Light Rail</t>
  </si>
  <si>
    <t>Bus (Local)</t>
  </si>
  <si>
    <t>0.561 (Transit Bus)
0.585 (Shuttle)</t>
  </si>
  <si>
    <t>Monorail/Automated Guideway</t>
  </si>
  <si>
    <t>Bus Rapid Transit</t>
  </si>
  <si>
    <t>Streetcar Rail</t>
  </si>
  <si>
    <t xml:space="preserve">Trolley Bus </t>
  </si>
  <si>
    <t>Vanpool</t>
  </si>
  <si>
    <t>Hybrid Rail</t>
  </si>
  <si>
    <t>Length of Average Trip and Average Fare Cost by Transit Agency</t>
  </si>
  <si>
    <t>Agency</t>
  </si>
  <si>
    <t>Average Fare Cost per Trip</t>
  </si>
  <si>
    <t xml:space="preserve">Access Services  </t>
  </si>
  <si>
    <t>Access Services</t>
  </si>
  <si>
    <t>Alameda-Contra Costa Transit District</t>
  </si>
  <si>
    <t>Altamont Corridor Express</t>
  </si>
  <si>
    <t>Anaheim Transportation Network</t>
  </si>
  <si>
    <t>-</t>
  </si>
  <si>
    <t>Antelope Valley Transit Authority</t>
  </si>
  <si>
    <t>Butte County Association of Governments</t>
  </si>
  <si>
    <t>California Vanpool Authority</t>
  </si>
  <si>
    <t>Central Contra Costa Transit Authority</t>
  </si>
  <si>
    <t>City and County of San Francisco</t>
  </si>
  <si>
    <t>City of Commerce</t>
  </si>
  <si>
    <t>City of Culver City</t>
  </si>
  <si>
    <t>City of Elk Grove</t>
  </si>
  <si>
    <t>City of Fairfield, California</t>
  </si>
  <si>
    <t>City of Fresno</t>
  </si>
  <si>
    <t>City of Gardena</t>
  </si>
  <si>
    <t>City of Glendale</t>
  </si>
  <si>
    <t xml:space="preserve">City of La Mirada </t>
  </si>
  <si>
    <t>City of Los Angeles</t>
  </si>
  <si>
    <t xml:space="preserve">City of Modesto </t>
  </si>
  <si>
    <t>City of Montebello</t>
  </si>
  <si>
    <t xml:space="preserve">City of Norwalk </t>
  </si>
  <si>
    <t>City of Pasadena</t>
  </si>
  <si>
    <t>City of Petaluma</t>
  </si>
  <si>
    <t>City of Redondo Beach</t>
  </si>
  <si>
    <t>City of Riverside</t>
  </si>
  <si>
    <t>City of San Luis Obispo</t>
  </si>
  <si>
    <t>City of Santa Clarita</t>
  </si>
  <si>
    <t>City of Santa Maria</t>
  </si>
  <si>
    <t>City of Santa Monica</t>
  </si>
  <si>
    <t>City of Santa Rosa</t>
  </si>
  <si>
    <t>City of Torrance</t>
  </si>
  <si>
    <t>City of Tulare</t>
  </si>
  <si>
    <t>City of Turlock</t>
  </si>
  <si>
    <t xml:space="preserve">City of Visalia  </t>
  </si>
  <si>
    <t>County of Placer</t>
  </si>
  <si>
    <t xml:space="preserve">County of Sonoma </t>
  </si>
  <si>
    <t>El Dorado County Transit Authority</t>
  </si>
  <si>
    <t>Foothill Transit</t>
  </si>
  <si>
    <t>Gold Coast Transit District</t>
  </si>
  <si>
    <t>Golden Empire Transit District</t>
  </si>
  <si>
    <t>Golden Gate Bridge, Highway and Transportation District</t>
  </si>
  <si>
    <t>Imperial County Transportation Commission</t>
  </si>
  <si>
    <t>Kings County Area Public Transit Agency</t>
  </si>
  <si>
    <t>Laguna Beach Municipal Transit</t>
  </si>
  <si>
    <t>Livermore / Amador Valley Transit Authority</t>
  </si>
  <si>
    <t>Long Beach Transit</t>
  </si>
  <si>
    <t xml:space="preserve">Los Angeles County Metropolitan Transportation Authority </t>
  </si>
  <si>
    <t>Marin County Transit District</t>
  </si>
  <si>
    <t>Metropolitan Transportation Commission</t>
  </si>
  <si>
    <t>Monterey-Salinas Transit</t>
  </si>
  <si>
    <t>Napa Valley Transportation Authority</t>
  </si>
  <si>
    <t>North County Transit District</t>
  </si>
  <si>
    <t>Omnitrans</t>
  </si>
  <si>
    <t>Orange County Transportation Authority</t>
  </si>
  <si>
    <t>Paratransit, Inc.</t>
  </si>
  <si>
    <t>Peninsula Corridor Joint Powers Board dba: Caltrain</t>
  </si>
  <si>
    <t>Pomona Valley Transportation Authority</t>
  </si>
  <si>
    <t>Redding Area Bus Authority</t>
  </si>
  <si>
    <t>Riverside County Transportation Commission</t>
  </si>
  <si>
    <t>Riverside Transit Agency</t>
  </si>
  <si>
    <t>Sacramento Regional Transit District</t>
  </si>
  <si>
    <t>San Bernardino County Transportation Authority</t>
  </si>
  <si>
    <t>San Diego Association of Governments</t>
  </si>
  <si>
    <t>San Diego Metropolitan Transit System</t>
  </si>
  <si>
    <t>San Francisco Bay Area Rapid Transit District</t>
  </si>
  <si>
    <t>San Francisco Bay Area Water Emergency Transportation Authority</t>
  </si>
  <si>
    <t>San Francisco Municipal Railway</t>
  </si>
  <si>
    <t>San Joaquin Council</t>
  </si>
  <si>
    <t>San Joaquin Regional Transit District</t>
  </si>
  <si>
    <t>San Luis Obispo Regional Transit Authority</t>
  </si>
  <si>
    <t>San Mateo County Transit District</t>
  </si>
  <si>
    <t>Santa Barbara Metropolitan Transit District</t>
  </si>
  <si>
    <t>Santa Clara Valley Transportation Authority</t>
  </si>
  <si>
    <t>Santa Cruz Metropolitan Transit District</t>
  </si>
  <si>
    <t>Solano County Transit</t>
  </si>
  <si>
    <t>Sonoma-Marin Area Rail Transit District</t>
  </si>
  <si>
    <t>Southern California Regional Rail Authority</t>
  </si>
  <si>
    <t>SunLine Transit Agency</t>
  </si>
  <si>
    <t>The Eastern Contra Costa Transit Authority</t>
  </si>
  <si>
    <t>Transit Joint Powers Authority for Merced County</t>
  </si>
  <si>
    <t>University of California, Davis</t>
  </si>
  <si>
    <t>Ventura County Transportation Commission</t>
  </si>
  <si>
    <t>Victor Valley Transit Authority</t>
  </si>
  <si>
    <t>Western Contra Costa Transit Authority</t>
  </si>
  <si>
    <t>Yolo County Transportation District</t>
  </si>
  <si>
    <t>Yuba-Sutter Transit Authority</t>
  </si>
  <si>
    <t>Applicants must use this Benefits Calculator Tool to report the estimated GHG benefits and selected co-benefits associated with proposed projects.  In addition to LCTOP application requirements, applicants for GGRF funding are required to document results from the use of this Benefits Calculator Tool, including supporting materials to verify the accuracy of project-specific inputs.  Applicants are required to provide electronic documentation that is complete and sufficient to allow the calculations to be reviewed and replicated.  Paper copies of supporting materials must be available upon request by agency staff.</t>
  </si>
  <si>
    <t>General Documentation</t>
  </si>
  <si>
    <t>The following checklist is provided as a guide to applicants; additional data and/or information may be necessary to support project-specific input assumptions.</t>
  </si>
  <si>
    <t>Documentation Description</t>
  </si>
  <si>
    <t>Completed?</t>
  </si>
  <si>
    <t>Contact information for the person who can answer project specific questions from
staff reviewers on the quantification calculations</t>
  </si>
  <si>
    <t>Project description, including excerpts or specific references to the location of the
project information in the main LCTOP allocation request necessary to complete the
applicable portions of this Benefits Calculator Tool</t>
  </si>
  <si>
    <r>
      <rPr>
        <sz val="12"/>
        <rFont val="Avenir LT Std 55 Roman"/>
        <family val="2"/>
      </rPr>
      <t xml:space="preserve">LCTOP </t>
    </r>
    <r>
      <rPr>
        <sz val="12"/>
        <color rgb="FF000000"/>
        <rFont val="Avenir LT Std 55 Roman"/>
        <family val="2"/>
      </rPr>
      <t>Benefits Calculator Tool (this file) (in</t>
    </r>
    <r>
      <rPr>
        <sz val="12"/>
        <rFont val="Avenir LT Std 55 Roman"/>
        <family val="2"/>
      </rPr>
      <t xml:space="preserve"> .xlsx)</t>
    </r>
    <r>
      <rPr>
        <sz val="12"/>
        <color rgb="FF000000"/>
        <rFont val="Avenir LT Std 55 Roman"/>
        <family val="2"/>
      </rPr>
      <t xml:space="preserve"> with worksheets applicable to the 
project populated (ensure that all fields in the GHG Summary and Co-benefits 
Summary tabs are populated)</t>
    </r>
  </si>
  <si>
    <t>Any other information as necessary and appropriate to substantiate LCTOP Benefits 
Calculator Tool inputs (e.g., ridership documentation, route map)</t>
  </si>
  <si>
    <t>Project-Specific Documentation</t>
  </si>
  <si>
    <t>The applicant will use the following table of Required Fields by Quantification Method to determine the required project details needed for input into this LCTOP Calculator Tool for the applicable quantification method identified in the previous table.</t>
  </si>
  <si>
    <t>Input Fields</t>
  </si>
  <si>
    <t>ü</t>
  </si>
  <si>
    <t>This section is used to determine the amount of funding being requested/provided to the project.</t>
  </si>
  <si>
    <t>Multi-Year</t>
  </si>
  <si>
    <t>This section is used to estimate the net emission reductions from new service.</t>
  </si>
  <si>
    <r>
      <rPr>
        <sz val="12"/>
        <color rgb="FF000000"/>
        <rFont val="Wingdings"/>
        <charset val="2"/>
      </rPr>
      <t>ü</t>
    </r>
    <r>
      <rPr>
        <sz val="12"/>
        <color rgb="FF000000"/>
        <rFont val="Avenir LT Std 55 Roman"/>
        <family val="2"/>
      </rPr>
      <t>, if applicable</t>
    </r>
  </si>
  <si>
    <t>Annual Fuel</t>
  </si>
  <si>
    <t>This section is used to estimate the net emission reductions from avoided use of the baseline vehicle.</t>
  </si>
  <si>
    <t>This section is used to estimate the net emission reductions from fuel/energy reductions.</t>
  </si>
  <si>
    <t>This section is used to estimate the travel cost savings co-benefit.</t>
  </si>
  <si>
    <t>Baseline Fare Cost ($/Trip/Rider)</t>
  </si>
  <si>
    <t>Project Fare Cost ($/Trip/Rider)</t>
  </si>
  <si>
    <t>Transit Facility Parking Cost ($/Trip/Rider)</t>
  </si>
  <si>
    <t>Avoided Parking Cost ($/Trip/Rider)</t>
  </si>
  <si>
    <t>Avoided Toll Cost ($/Trip/Rider)</t>
  </si>
  <si>
    <t>Key</t>
  </si>
  <si>
    <t>Input is required.</t>
  </si>
  <si>
    <t>Input is required, if applicable.</t>
  </si>
  <si>
    <t>Inputs depend on the project and vehicle type that is selected.</t>
  </si>
  <si>
    <r>
      <rPr>
        <sz val="12"/>
        <color rgb="FF000000"/>
        <rFont val="Wingdings"/>
        <charset val="2"/>
      </rPr>
      <t>ü</t>
    </r>
    <r>
      <rPr>
        <sz val="12"/>
        <color rgb="FF000000"/>
        <rFont val="Avenir LT Std 55 Roman"/>
        <family val="2"/>
      </rPr>
      <t>/ Optional</t>
    </r>
  </si>
  <si>
    <t>Inputs depend on the vehicle type that is selected and may be required.</t>
  </si>
  <si>
    <t>*changed Van and Cut-A-Way to default gasoline baseline unless diesel</t>
  </si>
  <si>
    <t xml:space="preserve"> </t>
  </si>
  <si>
    <t>*changed to default gasoline baseline unless diesel</t>
  </si>
  <si>
    <t>GHGs of Displaced Autos</t>
  </si>
  <si>
    <t>New Service Vehicle Details</t>
  </si>
  <si>
    <t>Baseline Service Vehicle Details</t>
  </si>
  <si>
    <t>Fuel/Energy Reduction Details</t>
  </si>
  <si>
    <t>Net GHG Benefits</t>
  </si>
  <si>
    <t>***Equations/Notes [Hide or delete row for posting]</t>
  </si>
  <si>
    <t>*Not applied</t>
  </si>
  <si>
    <t>=Yr1 Ridership * Adjustment factor * Trip length [mi]</t>
  </si>
  <si>
    <t>= Yr1 VMT [mi] * Yr1 Emission factor [g/mi] / 1,000,000 [g/ton]</t>
  </si>
  <si>
    <t>=YrF Ridership * Adjustment factor * Trip length [mi]</t>
  </si>
  <si>
    <t>= YrF VMT [mi] * YrF Emission factor [g/mi] / 1,000,000 [g/ton]</t>
  </si>
  <si>
    <t>= (Yr1 VMT + YrF VMT) / 2</t>
  </si>
  <si>
    <t>= (Yr1 VMT + YrF VMT)/2 * (YrF - Yr1)</t>
  </si>
  <si>
    <t>= (Yr1 GHG + YrF GHG)/2 * (YrF - Yr1)</t>
  </si>
  <si>
    <t>= Fuel consumption [gal_GASorDSL/mi] * Gallon Equivalent [kWh/gal_GASorDSL]</t>
  </si>
  <si>
    <t>= Fuel consumption [gal_GASorDSL/mi] / EER</t>
  </si>
  <si>
    <t>= Fuel consumption [gal_GASorDSL/mi] * Gallon Equivalent [unit/gal_GASorDSL]</t>
  </si>
  <si>
    <t>= Fuel consumption [gal_GASorDSL_Bus/mi] * Gallon Equivalent [unit/gal_GASorDSL] * CI [gCO2e/MJ] * Energy Density [MJ/unit]</t>
  </si>
  <si>
    <t>= Fuel consumption [gal_GASorDSL_Van/mi] * Gallon Equivalent [unit/gal_GASorDSL] * CI [gCO2e/MJ] * Energy Density [MJ/unit]</t>
  </si>
  <si>
    <t>= Fuel consumption [gal_GASorDSL_Cutaway/mi] * Gallon Equivalent [unit/gal_GASorDSL] * CI [gCO2e/MJ] * Energy Density [MJ/unit]</t>
  </si>
  <si>
    <t>= Fuel consumption [gal_DSL_OverroadCoach/mi] * Gallon Equivalent [unit/gal_DSL] * CI [gCO2e/MJ] * Energy Density [MJ/unit]</t>
  </si>
  <si>
    <t>= Fuel consumption [gal_DSL_HeavyRail/mi] * Gallon Equivalent [unit/gal_DSL] * CI [gCO2e/MJ] * Energy Density [MJ/unit]</t>
  </si>
  <si>
    <t>= CI [gCO2e/MJ] * Energy Density [MJ/unit]</t>
  </si>
  <si>
    <t>= Fuel consumption [gal_DSL_LightRail/mi] * Gallon Equivalent [kWh/gal_DSL] * CI [gCO2e/MJ] * Energy Density [MJ/kWh]</t>
  </si>
  <si>
    <t>= Fuel consumption [gal_DSL_StreetCar/mi] * Gallon Equivalent [kWh/gal_DSL] * CI [gCO2e/MJ] * Energy Density [MJ/kWh]</t>
  </si>
  <si>
    <t>= YrMid Project EF [gCO2e/mi] * Annual VMT [mi/yr] / 1,000,000 [g/ton]</t>
  </si>
  <si>
    <t>= Fuel EF [gCO2e/unit] * Annual Units of Fuel [unit/yr] / 1,000,000 [g/ton]</t>
  </si>
  <si>
    <t>=CI [gCO2e/MJ] * Energy Density [MJ/unit]</t>
  </si>
  <si>
    <t>= Annual Units of Fuel [unit] * Fuel EF [gCO2e/unit] / 1,000,000 [g/ton]</t>
  </si>
  <si>
    <t>=Emission Reductions From Fuel [MTCO2e/yr] * (YrF - Yr1)</t>
  </si>
  <si>
    <t>Quantifiable Component</t>
  </si>
  <si>
    <t>Subcomponent</t>
  </si>
  <si>
    <t>Subcomponent Column</t>
  </si>
  <si>
    <t>Component Name</t>
  </si>
  <si>
    <t>Transit Service Type</t>
  </si>
  <si>
    <t>Yr 1</t>
  </si>
  <si>
    <t>YrF</t>
  </si>
  <si>
    <t>County/Air Basin</t>
  </si>
  <si>
    <t>Region Yr1</t>
  </si>
  <si>
    <t>Region Yr F</t>
  </si>
  <si>
    <t>Yr1 Annual Ridership Increase</t>
  </si>
  <si>
    <t>Yr1 Auto Vehicle Emission Factor (g/mi)</t>
  </si>
  <si>
    <t>YrF Annual Ridership Increase</t>
  </si>
  <si>
    <t>YrF Auto Vehicle Emission Factor (g/mi)</t>
  </si>
  <si>
    <t>Adjustment factor (A) transit dependency</t>
  </si>
  <si>
    <t>Length  auto trip reduced (mi)</t>
  </si>
  <si>
    <t>Land Use Multiplier</t>
  </si>
  <si>
    <t>Yr1 Annual Auto VMT Reduced (mi/yr)</t>
  </si>
  <si>
    <r>
      <t>Yr1 Annual GHG Emission Reductions (MTCO</t>
    </r>
    <r>
      <rPr>
        <b/>
        <vertAlign val="subscript"/>
        <sz val="12"/>
        <rFont val="Avenir LT Std 55 Roman"/>
        <family val="2"/>
      </rPr>
      <t>2</t>
    </r>
    <r>
      <rPr>
        <b/>
        <sz val="12"/>
        <rFont val="Avenir LT Std 55 Roman"/>
        <family val="2"/>
      </rPr>
      <t>e)</t>
    </r>
  </si>
  <si>
    <t>YrF Annual Auto VMT Reduced (mi/yr)</t>
  </si>
  <si>
    <r>
      <t>YrF Annual GHG Emission Reductions (MTCO</t>
    </r>
    <r>
      <rPr>
        <b/>
        <vertAlign val="subscript"/>
        <sz val="12"/>
        <rFont val="Avenir LT Std 55 Roman"/>
        <family val="2"/>
      </rPr>
      <t>2</t>
    </r>
    <r>
      <rPr>
        <b/>
        <sz val="12"/>
        <rFont val="Avenir LT Std 55 Roman"/>
        <family val="2"/>
      </rPr>
      <t>e)</t>
    </r>
  </si>
  <si>
    <t>Annual Average Auto VMT Displaced (mi/yr)</t>
  </si>
  <si>
    <t>Total Project Auto VMT Displaced (mi)</t>
  </si>
  <si>
    <r>
      <t>Displaced Auto GHG Emission Reductions (MTCO</t>
    </r>
    <r>
      <rPr>
        <b/>
        <vertAlign val="subscript"/>
        <sz val="12"/>
        <rFont val="Avenir LT Std 55 Roman"/>
        <family val="2"/>
      </rPr>
      <t>2</t>
    </r>
    <r>
      <rPr>
        <b/>
        <sz val="12"/>
        <rFont val="Avenir LT Std 55 Roman"/>
        <family val="2"/>
      </rPr>
      <t>e)</t>
    </r>
  </si>
  <si>
    <r>
      <t>System and Efficiency Improvements
 GHG Emission Reductions (MTCO</t>
    </r>
    <r>
      <rPr>
        <b/>
        <vertAlign val="subscript"/>
        <sz val="12"/>
        <rFont val="Avenir LT Std 55 Roman"/>
        <family val="2"/>
      </rPr>
      <t>2</t>
    </r>
    <r>
      <rPr>
        <b/>
        <sz val="12"/>
        <rFont val="Avenir LT Std 55 Roman"/>
        <family val="2"/>
      </rPr>
      <t>e)</t>
    </r>
  </si>
  <si>
    <t>Annual Units of Fuel (unit/yr)</t>
  </si>
  <si>
    <r>
      <t>Project-Specific GHG Emission Factor (gCO</t>
    </r>
    <r>
      <rPr>
        <b/>
        <vertAlign val="subscript"/>
        <sz val="12"/>
        <rFont val="Avenir LT Std 55 Roman"/>
        <family val="2"/>
      </rPr>
      <t>2</t>
    </r>
    <r>
      <rPr>
        <b/>
        <sz val="12"/>
        <rFont val="Avenir LT Std 55 Roman"/>
        <family val="2"/>
      </rPr>
      <t>e/MJ)</t>
    </r>
  </si>
  <si>
    <t>Engine 
MY</t>
  </si>
  <si>
    <t>CY_YrMid</t>
  </si>
  <si>
    <t>Electric Consumption Rate (kWh/mi)</t>
  </si>
  <si>
    <t>Fossil Fuel Consumption Rate (gal/mi)</t>
  </si>
  <si>
    <t>Fuel Consumption Rate (unit/mi)</t>
  </si>
  <si>
    <r>
      <t>Bus YrMid EF (gCO</t>
    </r>
    <r>
      <rPr>
        <b/>
        <vertAlign val="subscript"/>
        <sz val="12"/>
        <rFont val="Avenir LT Std 55 Roman"/>
        <family val="2"/>
      </rPr>
      <t>2</t>
    </r>
    <r>
      <rPr>
        <b/>
        <sz val="12"/>
        <rFont val="Avenir LT Std 55 Roman"/>
        <family val="2"/>
      </rPr>
      <t>e/mi)</t>
    </r>
  </si>
  <si>
    <r>
      <t>Van YrMid EF (gCO</t>
    </r>
    <r>
      <rPr>
        <b/>
        <vertAlign val="subscript"/>
        <sz val="12"/>
        <rFont val="Avenir LT Std 55 Roman"/>
        <family val="2"/>
      </rPr>
      <t>2</t>
    </r>
    <r>
      <rPr>
        <b/>
        <sz val="12"/>
        <rFont val="Avenir LT Std 55 Roman"/>
        <family val="2"/>
      </rPr>
      <t>e/mi)</t>
    </r>
  </si>
  <si>
    <r>
      <t>Cut-A-Way YrMid EF (gCO</t>
    </r>
    <r>
      <rPr>
        <b/>
        <vertAlign val="subscript"/>
        <sz val="12"/>
        <rFont val="Avenir LT Std 55 Roman"/>
        <family val="2"/>
      </rPr>
      <t>2</t>
    </r>
    <r>
      <rPr>
        <b/>
        <sz val="12"/>
        <rFont val="Avenir LT Std 55 Roman"/>
        <family val="2"/>
      </rPr>
      <t>e/mi)</t>
    </r>
  </si>
  <si>
    <r>
      <t>Over-Road Coach YrMid EF (gCO</t>
    </r>
    <r>
      <rPr>
        <b/>
        <vertAlign val="subscript"/>
        <sz val="12"/>
        <rFont val="Avenir LT Std 55 Roman"/>
        <family val="2"/>
      </rPr>
      <t>2</t>
    </r>
    <r>
      <rPr>
        <b/>
        <sz val="12"/>
        <rFont val="Avenir LT Std 55 Roman"/>
        <family val="2"/>
      </rPr>
      <t>e/mi)</t>
    </r>
  </si>
  <si>
    <r>
      <t>Heavy Rail EF (gCO</t>
    </r>
    <r>
      <rPr>
        <b/>
        <vertAlign val="subscript"/>
        <sz val="12"/>
        <rFont val="Avenir LT Std 55 Roman"/>
        <family val="2"/>
      </rPr>
      <t>2</t>
    </r>
    <r>
      <rPr>
        <b/>
        <sz val="12"/>
        <rFont val="Avenir LT Std 55 Roman"/>
        <family val="2"/>
      </rPr>
      <t>e/mi)</t>
    </r>
  </si>
  <si>
    <r>
      <t>DMU EF (gCO</t>
    </r>
    <r>
      <rPr>
        <b/>
        <vertAlign val="subscript"/>
        <sz val="12"/>
        <rFont val="Avenir LT Std 55 Roman"/>
        <family val="2"/>
      </rPr>
      <t>2</t>
    </r>
    <r>
      <rPr>
        <b/>
        <sz val="12"/>
        <rFont val="Avenir LT Std 55 Roman"/>
        <family val="2"/>
      </rPr>
      <t>e/mi)</t>
    </r>
  </si>
  <si>
    <r>
      <t>Ferry EF (gCO</t>
    </r>
    <r>
      <rPr>
        <b/>
        <vertAlign val="subscript"/>
        <sz val="12"/>
        <rFont val="Avenir LT Std 55 Roman"/>
        <family val="2"/>
      </rPr>
      <t>2</t>
    </r>
    <r>
      <rPr>
        <b/>
        <sz val="12"/>
        <rFont val="Avenir LT Std 55 Roman"/>
        <family val="2"/>
      </rPr>
      <t>e/unit)</t>
    </r>
  </si>
  <si>
    <r>
      <t>Light Rail EF (gCO</t>
    </r>
    <r>
      <rPr>
        <b/>
        <vertAlign val="subscript"/>
        <sz val="12"/>
        <rFont val="Avenir LT Std 55 Roman"/>
        <family val="2"/>
      </rPr>
      <t>2</t>
    </r>
    <r>
      <rPr>
        <b/>
        <sz val="12"/>
        <rFont val="Avenir LT Std 55 Roman"/>
        <family val="2"/>
      </rPr>
      <t>e/mi)</t>
    </r>
  </si>
  <si>
    <r>
      <t>Street Car EF (gCO</t>
    </r>
    <r>
      <rPr>
        <b/>
        <vertAlign val="subscript"/>
        <sz val="12"/>
        <rFont val="Avenir LT Std 55 Roman"/>
        <family val="2"/>
      </rPr>
      <t>2</t>
    </r>
    <r>
      <rPr>
        <b/>
        <sz val="12"/>
        <rFont val="Avenir LT Std 55 Roman"/>
        <family val="2"/>
      </rPr>
      <t>e/mi)</t>
    </r>
  </si>
  <si>
    <t>Hybrid</t>
  </si>
  <si>
    <t>YrMid Project EF</t>
  </si>
  <si>
    <r>
      <t>Fuel EF (gCO</t>
    </r>
    <r>
      <rPr>
        <b/>
        <vertAlign val="subscript"/>
        <sz val="12"/>
        <rFont val="Avenir LT Std 55 Roman"/>
        <family val="2"/>
      </rPr>
      <t>2</t>
    </r>
    <r>
      <rPr>
        <b/>
        <sz val="12"/>
        <rFont val="Avenir LT Std 55 Roman"/>
        <family val="2"/>
      </rPr>
      <t>e/unit)</t>
    </r>
  </si>
  <si>
    <r>
      <t>YrMid Emissions from VMT (MTCO</t>
    </r>
    <r>
      <rPr>
        <b/>
        <vertAlign val="subscript"/>
        <sz val="12"/>
        <rFont val="Avenir LT Std 55 Roman"/>
        <family val="2"/>
      </rPr>
      <t>2</t>
    </r>
    <r>
      <rPr>
        <b/>
        <sz val="12"/>
        <rFont val="Avenir LT Std 55 Roman"/>
        <family val="2"/>
      </rPr>
      <t>e/yr)</t>
    </r>
  </si>
  <si>
    <r>
      <t>Emissions From Fuel (MTCO</t>
    </r>
    <r>
      <rPr>
        <b/>
        <vertAlign val="subscript"/>
        <sz val="12"/>
        <rFont val="Avenir LT Std 55 Roman"/>
        <family val="2"/>
      </rPr>
      <t>2</t>
    </r>
    <r>
      <rPr>
        <b/>
        <sz val="12"/>
        <rFont val="Avenir LT Std 55 Roman"/>
        <family val="2"/>
      </rPr>
      <t>e/yr)</t>
    </r>
  </si>
  <si>
    <r>
      <t>N/E Service Emissions (MTCO</t>
    </r>
    <r>
      <rPr>
        <b/>
        <vertAlign val="subscript"/>
        <sz val="12"/>
        <rFont val="Avenir LT Std 55 Roman"/>
        <family val="2"/>
      </rPr>
      <t>2</t>
    </r>
    <r>
      <rPr>
        <b/>
        <sz val="12"/>
        <rFont val="Avenir LT Std 55 Roman"/>
        <family val="2"/>
      </rPr>
      <t>e)</t>
    </r>
  </si>
  <si>
    <r>
      <t xml:space="preserve"> N/E Service GHG Emission Reductions (MTCO</t>
    </r>
    <r>
      <rPr>
        <b/>
        <vertAlign val="subscript"/>
        <sz val="12"/>
        <rFont val="Avenir LT Std 55 Roman"/>
        <family val="2"/>
      </rPr>
      <t>2</t>
    </r>
    <r>
      <rPr>
        <b/>
        <sz val="12"/>
        <rFont val="Avenir LT Std 55 Roman"/>
        <family val="2"/>
      </rPr>
      <t>e)</t>
    </r>
  </si>
  <si>
    <t>CY_MY YrMid</t>
  </si>
  <si>
    <r>
      <t>YrMid Project EF (gCO</t>
    </r>
    <r>
      <rPr>
        <b/>
        <vertAlign val="subscript"/>
        <sz val="12"/>
        <rFont val="Avenir LT Std 55 Roman"/>
        <family val="2"/>
      </rPr>
      <t>2</t>
    </r>
    <r>
      <rPr>
        <b/>
        <sz val="12"/>
        <rFont val="Avenir LT Std 55 Roman"/>
        <family val="2"/>
      </rPr>
      <t>e/mi)</t>
    </r>
  </si>
  <si>
    <r>
      <t>Emission Reductions From Fuel (MTCO</t>
    </r>
    <r>
      <rPr>
        <b/>
        <vertAlign val="subscript"/>
        <sz val="12"/>
        <rFont val="Avenir LT Std 55 Roman"/>
        <family val="2"/>
      </rPr>
      <t>2</t>
    </r>
    <r>
      <rPr>
        <b/>
        <sz val="12"/>
        <rFont val="Avenir LT Std 55 Roman"/>
        <family val="2"/>
      </rPr>
      <t>e/yr)</t>
    </r>
  </si>
  <si>
    <r>
      <t>Old Vehicle Emissions (MTCO</t>
    </r>
    <r>
      <rPr>
        <b/>
        <vertAlign val="subscript"/>
        <sz val="12"/>
        <rFont val="Avenir LT Std 55 Roman"/>
        <family val="2"/>
      </rPr>
      <t>2</t>
    </r>
    <r>
      <rPr>
        <b/>
        <sz val="12"/>
        <rFont val="Avenir LT Std 55 Roman"/>
        <family val="2"/>
      </rPr>
      <t>e)</t>
    </r>
  </si>
  <si>
    <r>
      <t xml:space="preserve"> Old-New GHG Emission Reductions (MTCO</t>
    </r>
    <r>
      <rPr>
        <b/>
        <vertAlign val="subscript"/>
        <sz val="12"/>
        <rFont val="Avenir LT Std 55 Roman"/>
        <family val="2"/>
      </rPr>
      <t>2</t>
    </r>
    <r>
      <rPr>
        <b/>
        <sz val="12"/>
        <rFont val="Avenir LT Std 55 Roman"/>
        <family val="2"/>
      </rPr>
      <t>e)</t>
    </r>
  </si>
  <si>
    <r>
      <t>Fuel Emissions (MTCO</t>
    </r>
    <r>
      <rPr>
        <b/>
        <vertAlign val="subscript"/>
        <sz val="12"/>
        <rFont val="Avenir LT Std 55 Roman"/>
        <family val="2"/>
      </rPr>
      <t>2</t>
    </r>
    <r>
      <rPr>
        <b/>
        <sz val="12"/>
        <rFont val="Avenir LT Std 55 Roman"/>
        <family val="2"/>
      </rPr>
      <t>e)</t>
    </r>
  </si>
  <si>
    <r>
      <t>Total GHG Emission Reductions (MTCO</t>
    </r>
    <r>
      <rPr>
        <b/>
        <vertAlign val="subscript"/>
        <sz val="12"/>
        <rFont val="Avenir LT Std 55 Roman"/>
        <family val="2"/>
      </rPr>
      <t>2</t>
    </r>
    <r>
      <rPr>
        <b/>
        <sz val="12"/>
        <rFont val="Avenir LT Std 55 Roman"/>
        <family val="2"/>
      </rPr>
      <t>e)</t>
    </r>
  </si>
  <si>
    <r>
      <t>Total GHG Emission Reductions, by Component (MTCO</t>
    </r>
    <r>
      <rPr>
        <b/>
        <vertAlign val="subscript"/>
        <sz val="12"/>
        <rFont val="Avenir LT Std 55 Roman"/>
        <family val="2"/>
      </rPr>
      <t>2</t>
    </r>
    <r>
      <rPr>
        <b/>
        <sz val="12"/>
        <rFont val="Avenir LT Std 55 Roman"/>
        <family val="2"/>
      </rPr>
      <t>e)</t>
    </r>
  </si>
  <si>
    <t>*Added direct look-up for electric transit bus</t>
  </si>
  <si>
    <t>*Added direct look-up for natural gas transit bus and adjusted reference columns; Add renewable diesel and biodiesel with diesel</t>
  </si>
  <si>
    <t>*Added direct look-up for natural gas transit bus; electricity, renewable electricity, and hydrogen; and adjusted reference columns; Add renewable diesel and biodiesel with diesel</t>
  </si>
  <si>
    <t>*Added electricity, renewable electricity, and hydrogen</t>
  </si>
  <si>
    <t>*Added electricity, renewable electricity, and hydrogen; Add renewable diesel and biodiesel with diesel</t>
  </si>
  <si>
    <t>*Adjusted reference column</t>
  </si>
  <si>
    <t>IF(OR(BH12="LNG",BH12="CNG",BH12="Renewable Natural Gas"),VLOOKUP(BP12,'Fuel Consumption'!$A$31:$K$2314,8,0)*VLOOKUP(BH12,'GHG EF'!$B$10:$H$19,4,0)</t>
  </si>
  <si>
    <t>*Add in VDECS (50% reduction for Level 2, 85% for Level 3)</t>
  </si>
  <si>
    <t>C&amp;T Co-Benefits from Displaced Autos</t>
  </si>
  <si>
    <t>= Yr1 Annual Auto VMT Reduced [mi/yr] * ROG emission factor [g/mi]</t>
  </si>
  <si>
    <t>= YrF Annual Auto VMT Reduced [mi/yr] * ROG emission factor [g/mi]</t>
  </si>
  <si>
    <t>= Yr1 Annual Auto VMT Reduced [mi/yr] * NOx emission factor [g/mi]</t>
  </si>
  <si>
    <t>= YrF Annual Auto VMT Reduced [mi/yr] * NOx emission factor [g/mi]</t>
  </si>
  <si>
    <t>= Yr1 Annual Auto VMT Reduced [mi/yr] * PM2.5 emission factor [g/mi]</t>
  </si>
  <si>
    <t>= YrF Annual Auto VMT Reduced [mi/yr] * PM2.5 emission factor [g/mi]</t>
  </si>
  <si>
    <t>= Yr1 Annual Auto VMT Reduced [mi/yr] * Diesel PM emission factor [g/mi]</t>
  </si>
  <si>
    <t>= YrF Annual Auto VMT Reduced [mi/yr] * Diesel PM emission factor [g/mi]</t>
  </si>
  <si>
    <t>= ((Yr1 ROG Emission Reductions [g/yr] + YrF ROG Emission Reductions [g/yr]) / 2) * (YrF - Yr1)</t>
  </si>
  <si>
    <t>= ((Yr1 NOx Emission Reductions [g/yr] + YrF NOx Emission Reductions [g/yr]) / 2) * (YrF - Yr1)</t>
  </si>
  <si>
    <t>= ((Yr1 PM2.5 Emission Reductions [g/yr] + YrF PM2.5 Emission Reductions [g/yr]) / 2) * (YrF - Yr1)</t>
  </si>
  <si>
    <t>= ((Yr1 Diesel PM Emission Reductions [g/yr] + YrF Diesel PM Emission Reductions [g/yr]) / 2) * (YrF - Yr1)</t>
  </si>
  <si>
    <t xml:space="preserve"> *Vary by Quantifiable Component tab</t>
  </si>
  <si>
    <t>If fossil fuel, then = Annual Units of Fuel [unit/yr] * DGE conversion [diesel gallon/unit, if applicable] * (YrF - Yr1)    OR    = Annual VMT [mi/yr] * Fossil Fuel Consumption Rate [gal/mi] * (YrF - Yr1)</t>
  </si>
  <si>
    <t>If electricity, then = Annual Units of Fuel [kWh/yr] * (Project CI / Electricity CI) * (YrF - Yr1)    OR    = Annual VMT [mi/yr] * Electric Consumption Rate [kWh/mi] * (Project CI / Electricity CI) * (YrF - Yr1)</t>
  </si>
  <si>
    <t>= Annual Units of Fuel [unit/yr] * Fuel price [$/unit] * (YrF - Yr1)    OR    = Annual VMT [mi/yr] * Fuel Consumption Rate [unit/mi] * Fuel price [$/unit] * (YrF - Yr1)</t>
  </si>
  <si>
    <t>'= Annual Units of Fuel [unit/yr] * Fuel price [$/unit] * (YrF - Yr1)    OR    = Annual VMT [mi/yr] * Fuel Consumption Rate [unit/mi] * Fuel price [$/unit] * (YrF - Yr1)</t>
  </si>
  <si>
    <t>If fossil fuel, then = Annual Units of Fuel [unit/yr] * DGE conversion [diesel gallon/unit, if applicable] * (YrF - Yr1)</t>
  </si>
  <si>
    <t>If electricity, then = Annual Units of Fuel [kWh/yr] * (Project CI / Electricity CI) * (YrF - Yr1)</t>
  </si>
  <si>
    <t>= Annual Units of Fuel [unit/yr] * Fuel price [$/unit] * (YrF - Yr1)</t>
  </si>
  <si>
    <t>Bus</t>
  </si>
  <si>
    <t>Van</t>
  </si>
  <si>
    <t>Shuttle</t>
  </si>
  <si>
    <t>Over Road Coach</t>
  </si>
  <si>
    <t>Train</t>
  </si>
  <si>
    <t>Ferry</t>
  </si>
  <si>
    <t>Fossil Fuel Consumption Rates</t>
  </si>
  <si>
    <t>Co-Benefits</t>
  </si>
  <si>
    <t>Yr1 ROG Emission Reductions (g/yr)</t>
  </si>
  <si>
    <t>YrF ROG Emission Reductions (g/yr)</t>
  </si>
  <si>
    <r>
      <t>Yr1 NO</t>
    </r>
    <r>
      <rPr>
        <vertAlign val="subscript"/>
        <sz val="12"/>
        <rFont val="Avenir LT Std 55 Roman"/>
        <family val="2"/>
      </rPr>
      <t>x</t>
    </r>
    <r>
      <rPr>
        <sz val="12"/>
        <rFont val="Avenir LT Std 55 Roman"/>
        <family val="2"/>
      </rPr>
      <t xml:space="preserve"> Emission Reductions (g/yr)</t>
    </r>
  </si>
  <si>
    <r>
      <t>YrF NO</t>
    </r>
    <r>
      <rPr>
        <vertAlign val="subscript"/>
        <sz val="12"/>
        <rFont val="Avenir LT Std 55 Roman"/>
        <family val="2"/>
      </rPr>
      <t>x</t>
    </r>
    <r>
      <rPr>
        <sz val="12"/>
        <rFont val="Avenir LT Std 55 Roman"/>
        <family val="2"/>
      </rPr>
      <t xml:space="preserve"> Emission Reductions (g/yr)</t>
    </r>
  </si>
  <si>
    <r>
      <t>Yr1 PM</t>
    </r>
    <r>
      <rPr>
        <vertAlign val="subscript"/>
        <sz val="12"/>
        <rFont val="Avenir LT Std 55 Roman"/>
        <family val="2"/>
      </rPr>
      <t>2.5</t>
    </r>
    <r>
      <rPr>
        <sz val="12"/>
        <rFont val="Avenir LT Std 55 Roman"/>
        <family val="2"/>
      </rPr>
      <t xml:space="preserve"> Emission Reductions (g/yr)</t>
    </r>
  </si>
  <si>
    <r>
      <t>YrF PM</t>
    </r>
    <r>
      <rPr>
        <vertAlign val="subscript"/>
        <sz val="12"/>
        <rFont val="Avenir LT Std 55 Roman"/>
        <family val="2"/>
      </rPr>
      <t>2.5</t>
    </r>
    <r>
      <rPr>
        <sz val="12"/>
        <rFont val="Avenir LT Std 55 Roman"/>
        <family val="2"/>
      </rPr>
      <t xml:space="preserve"> Emission Reductions (g/yr)</t>
    </r>
  </si>
  <si>
    <r>
      <t>Yr1 Diesel PM</t>
    </r>
    <r>
      <rPr>
        <vertAlign val="subscript"/>
        <sz val="12"/>
        <rFont val="Avenir LT Std 55 Roman"/>
        <family val="2"/>
      </rPr>
      <t>10</t>
    </r>
    <r>
      <rPr>
        <sz val="12"/>
        <rFont val="Avenir LT Std 55 Roman"/>
        <family val="2"/>
      </rPr>
      <t xml:space="preserve"> Emission Reductions (g/yr)</t>
    </r>
  </si>
  <si>
    <r>
      <t>YrF Diesel PM</t>
    </r>
    <r>
      <rPr>
        <vertAlign val="subscript"/>
        <sz val="12"/>
        <rFont val="Avenir LT Std 55 Roman"/>
        <family val="2"/>
      </rPr>
      <t>10</t>
    </r>
    <r>
      <rPr>
        <sz val="12"/>
        <rFont val="Avenir LT Std 55 Roman"/>
        <family val="2"/>
      </rPr>
      <t xml:space="preserve"> Emission Reductions (g/yr)</t>
    </r>
  </si>
  <si>
    <t>ROG Emission Reductions</t>
  </si>
  <si>
    <r>
      <t>NO</t>
    </r>
    <r>
      <rPr>
        <vertAlign val="subscript"/>
        <sz val="12"/>
        <rFont val="Avenir LT Std 55 Roman"/>
        <family val="2"/>
      </rPr>
      <t>x</t>
    </r>
    <r>
      <rPr>
        <sz val="12"/>
        <rFont val="Avenir LT Std 55 Roman"/>
        <family val="2"/>
      </rPr>
      <t xml:space="preserve"> Emission Reductions</t>
    </r>
  </si>
  <si>
    <r>
      <t>PM</t>
    </r>
    <r>
      <rPr>
        <vertAlign val="subscript"/>
        <sz val="12"/>
        <rFont val="Avenir LT Std 55 Roman"/>
        <family val="2"/>
      </rPr>
      <t>2.5</t>
    </r>
    <r>
      <rPr>
        <sz val="12"/>
        <rFont val="Avenir LT Std 55 Roman"/>
        <family val="2"/>
      </rPr>
      <t xml:space="preserve"> Emission Reductions</t>
    </r>
  </si>
  <si>
    <r>
      <t>Diesel PM</t>
    </r>
    <r>
      <rPr>
        <vertAlign val="subscript"/>
        <sz val="12"/>
        <rFont val="Avenir LT Std 55 Roman"/>
        <family val="2"/>
      </rPr>
      <t>10</t>
    </r>
    <r>
      <rPr>
        <sz val="12"/>
        <rFont val="Avenir LT Std 55 Roman"/>
        <family val="2"/>
      </rPr>
      <t xml:space="preserve"> Emission Reductions</t>
    </r>
  </si>
  <si>
    <t>YrMid ROG (g/mi or g/unit)</t>
  </si>
  <si>
    <r>
      <t>YrMid NO</t>
    </r>
    <r>
      <rPr>
        <vertAlign val="subscript"/>
        <sz val="12"/>
        <rFont val="Avenir LT Std 55 Roman"/>
        <family val="2"/>
      </rPr>
      <t>x</t>
    </r>
    <r>
      <rPr>
        <sz val="12"/>
        <rFont val="Avenir LT Std 55 Roman"/>
        <family val="2"/>
      </rPr>
      <t xml:space="preserve"> (g/mi or g/unit)</t>
    </r>
  </si>
  <si>
    <r>
      <t>YrMid PM</t>
    </r>
    <r>
      <rPr>
        <vertAlign val="subscript"/>
        <sz val="12"/>
        <rFont val="Avenir LT Std 55 Roman"/>
        <family val="2"/>
      </rPr>
      <t>2.5</t>
    </r>
    <r>
      <rPr>
        <sz val="12"/>
        <rFont val="Avenir LT Std 55 Roman"/>
        <family val="2"/>
      </rPr>
      <t xml:space="preserve"> (g/mi or g/unit)</t>
    </r>
  </si>
  <si>
    <r>
      <t>YrMid PM</t>
    </r>
    <r>
      <rPr>
        <vertAlign val="subscript"/>
        <sz val="12"/>
        <rFont val="Avenir LT Std 55 Roman"/>
        <family val="2"/>
      </rPr>
      <t>2.5</t>
    </r>
    <r>
      <rPr>
        <sz val="12"/>
        <rFont val="Avenir LT Std 55 Roman"/>
        <family val="2"/>
      </rPr>
      <t xml:space="preserve"> Tire Wear (g/mi or g/unit)</t>
    </r>
  </si>
  <si>
    <r>
      <t>YrMid PM</t>
    </r>
    <r>
      <rPr>
        <vertAlign val="subscript"/>
        <sz val="12"/>
        <rFont val="Avenir LT Std 55 Roman"/>
        <family val="2"/>
      </rPr>
      <t>2.5</t>
    </r>
    <r>
      <rPr>
        <sz val="12"/>
        <rFont val="Avenir LT Std 55 Roman"/>
        <family val="2"/>
      </rPr>
      <t xml:space="preserve"> Brake Wear (g/mi or g/unit)</t>
    </r>
  </si>
  <si>
    <t>YrMid Diesel PM (g/mi or g/unit)</t>
  </si>
  <si>
    <t>ROG (g/mi or g/unit)</t>
  </si>
  <si>
    <r>
      <t>NO</t>
    </r>
    <r>
      <rPr>
        <vertAlign val="subscript"/>
        <sz val="12"/>
        <rFont val="Avenir LT Std 55 Roman"/>
        <family val="2"/>
      </rPr>
      <t>x</t>
    </r>
    <r>
      <rPr>
        <sz val="12"/>
        <rFont val="Avenir LT Std 55 Roman"/>
        <family val="2"/>
      </rPr>
      <t xml:space="preserve"> (g/mi or g/unit)</t>
    </r>
  </si>
  <si>
    <r>
      <t>PM</t>
    </r>
    <r>
      <rPr>
        <vertAlign val="subscript"/>
        <sz val="12"/>
        <rFont val="Avenir LT Std 55 Roman"/>
        <family val="2"/>
      </rPr>
      <t>2.5</t>
    </r>
    <r>
      <rPr>
        <sz val="12"/>
        <rFont val="Avenir LT Std 55 Roman"/>
        <family val="2"/>
      </rPr>
      <t xml:space="preserve"> (g/mi or g/unit)</t>
    </r>
  </si>
  <si>
    <t>Diesel PM (g/mi or g/unit)</t>
  </si>
  <si>
    <t>ROG (g/gal)</t>
  </si>
  <si>
    <r>
      <t>NO</t>
    </r>
    <r>
      <rPr>
        <vertAlign val="subscript"/>
        <sz val="12"/>
        <rFont val="Avenir LT Std 55 Roman"/>
        <family val="2"/>
      </rPr>
      <t>x</t>
    </r>
    <r>
      <rPr>
        <sz val="12"/>
        <rFont val="Avenir LT Std 55 Roman"/>
        <family val="2"/>
      </rPr>
      <t xml:space="preserve"> (g/gal)</t>
    </r>
  </si>
  <si>
    <r>
      <t>PM</t>
    </r>
    <r>
      <rPr>
        <vertAlign val="subscript"/>
        <sz val="12"/>
        <rFont val="Avenir LT Std 55 Roman"/>
        <family val="2"/>
      </rPr>
      <t>2.5</t>
    </r>
    <r>
      <rPr>
        <sz val="12"/>
        <rFont val="Avenir LT Std 55 Roman"/>
        <family val="2"/>
      </rPr>
      <t xml:space="preserve"> (g/gal)</t>
    </r>
  </si>
  <si>
    <t>Diesel PM (g/gal)</t>
  </si>
  <si>
    <t>Bus YrMid (unit/mi)</t>
  </si>
  <si>
    <t>Van YrMid (unit/mi)</t>
  </si>
  <si>
    <t>Shuttle YrMid (unit/mi)</t>
  </si>
  <si>
    <t>Over-Road Coach YrMid (unit/mi)</t>
  </si>
  <si>
    <t>Fossil Fuel Use (gallons)</t>
  </si>
  <si>
    <t>Fossil Fuel Energy Use (kWh)</t>
  </si>
  <si>
    <t>Fuel Cost ($)</t>
  </si>
  <si>
    <t>Fuel Cost Savings ($)</t>
  </si>
  <si>
    <t>YrMid ROG (g/unit)</t>
  </si>
  <si>
    <r>
      <t>YrMid NO</t>
    </r>
    <r>
      <rPr>
        <vertAlign val="subscript"/>
        <sz val="12"/>
        <rFont val="Avenir LT Std 55 Roman"/>
        <family val="2"/>
      </rPr>
      <t>x</t>
    </r>
    <r>
      <rPr>
        <sz val="12"/>
        <rFont val="Avenir LT Std 55 Roman"/>
        <family val="2"/>
      </rPr>
      <t xml:space="preserve"> (g/unit)</t>
    </r>
  </si>
  <si>
    <r>
      <t>YrMid PM</t>
    </r>
    <r>
      <rPr>
        <vertAlign val="subscript"/>
        <sz val="12"/>
        <rFont val="Avenir LT Std 55 Roman"/>
        <family val="2"/>
      </rPr>
      <t>2.5</t>
    </r>
    <r>
      <rPr>
        <sz val="12"/>
        <rFont val="Avenir LT Std 55 Roman"/>
        <family val="2"/>
      </rPr>
      <t xml:space="preserve"> (g/unit)</t>
    </r>
  </si>
  <si>
    <r>
      <t>YrMid PM</t>
    </r>
    <r>
      <rPr>
        <vertAlign val="subscript"/>
        <sz val="12"/>
        <rFont val="Avenir LT Std 55 Roman"/>
        <family val="2"/>
      </rPr>
      <t>2.5</t>
    </r>
    <r>
      <rPr>
        <sz val="12"/>
        <rFont val="Avenir LT Std 55 Roman"/>
        <family val="2"/>
      </rPr>
      <t xml:space="preserve"> Tire Wear (g/unit)</t>
    </r>
  </si>
  <si>
    <r>
      <t>YrMid PM</t>
    </r>
    <r>
      <rPr>
        <vertAlign val="subscript"/>
        <sz val="12"/>
        <rFont val="Avenir LT Std 55 Roman"/>
        <family val="2"/>
      </rPr>
      <t>2.5</t>
    </r>
    <r>
      <rPr>
        <sz val="12"/>
        <rFont val="Avenir LT Std 55 Roman"/>
        <family val="2"/>
      </rPr>
      <t xml:space="preserve"> Brake Wear (g/unit)</t>
    </r>
  </si>
  <si>
    <t>YrMid Diesel PM (g/unit)</t>
  </si>
  <si>
    <t>ROG (g/unit)</t>
  </si>
  <si>
    <r>
      <t>NO</t>
    </r>
    <r>
      <rPr>
        <vertAlign val="subscript"/>
        <sz val="12"/>
        <rFont val="Avenir LT Std 55 Roman"/>
        <family val="2"/>
      </rPr>
      <t>x</t>
    </r>
    <r>
      <rPr>
        <sz val="12"/>
        <rFont val="Avenir LT Std 55 Roman"/>
        <family val="2"/>
      </rPr>
      <t xml:space="preserve"> (g/unit)</t>
    </r>
  </si>
  <si>
    <r>
      <t>PM</t>
    </r>
    <r>
      <rPr>
        <vertAlign val="subscript"/>
        <sz val="12"/>
        <rFont val="Avenir LT Std 55 Roman"/>
        <family val="2"/>
      </rPr>
      <t>2.5</t>
    </r>
    <r>
      <rPr>
        <sz val="12"/>
        <rFont val="Avenir LT Std 55 Roman"/>
        <family val="2"/>
      </rPr>
      <t xml:space="preserve"> (g/unit)</t>
    </r>
  </si>
  <si>
    <t>Diesel PM (g/unit)</t>
  </si>
  <si>
    <t>YrMid ROG (g/gal)</t>
  </si>
  <si>
    <r>
      <t>YrMid NO</t>
    </r>
    <r>
      <rPr>
        <vertAlign val="subscript"/>
        <sz val="12"/>
        <rFont val="Avenir LT Std 55 Roman"/>
        <family val="2"/>
      </rPr>
      <t>x</t>
    </r>
    <r>
      <rPr>
        <sz val="12"/>
        <rFont val="Avenir LT Std 55 Roman"/>
        <family val="2"/>
      </rPr>
      <t xml:space="preserve"> (g/gal)</t>
    </r>
  </si>
  <si>
    <r>
      <t>YrMid PM</t>
    </r>
    <r>
      <rPr>
        <vertAlign val="subscript"/>
        <sz val="12"/>
        <rFont val="Avenir LT Std 55 Roman"/>
        <family val="2"/>
      </rPr>
      <t>2.5</t>
    </r>
    <r>
      <rPr>
        <sz val="12"/>
        <rFont val="Avenir LT Std 55 Roman"/>
        <family val="2"/>
      </rPr>
      <t xml:space="preserve"> (g/gal)</t>
    </r>
  </si>
  <si>
    <t>YrMid Diesel PM (g/gal)</t>
  </si>
  <si>
    <t>Baseline Average Fare Cost ($/Trip)</t>
  </si>
  <si>
    <t>New Average Fare Cost ($/Trip)</t>
  </si>
  <si>
    <t>Average Transit Facility Parking Cost ($/Trip)</t>
  </si>
  <si>
    <t>Average Avoided Parking Cost ($/Trip)</t>
  </si>
  <si>
    <t>Average Avoided Toll Cost ($/Trip)</t>
  </si>
  <si>
    <t>*Nat gas and Diesel references were switched</t>
  </si>
  <si>
    <t>*Corrected references</t>
  </si>
  <si>
    <t>*Add renewable diesel and biodiesel to use diesel</t>
  </si>
  <si>
    <t>*Corrected references for Electricity (Electric, Renewable Eletricity, Hydrogen Fuel Cell); Add renewable diesel and biodiesel to use diesel</t>
  </si>
  <si>
    <t>*Added references for Electricity (Electric, Renewable Eletricity, Hydrogen Fuel Cell); Add renewable diesel and biodiesel to use diesel</t>
  </si>
  <si>
    <t>*Updated reference column</t>
  </si>
  <si>
    <t>*Add natural gas; Update reference column</t>
  </si>
  <si>
    <t>*Add renewable diesel and biodiesel to use diesel; Update reference columns</t>
  </si>
  <si>
    <t>*Update reference column</t>
  </si>
  <si>
    <t>*Corrected column reference for natural gas and lookup reference for diesel</t>
  </si>
  <si>
    <t>*Corrected lookup reference for diesel</t>
  </si>
  <si>
    <t>*Corrected references for Electricity (Electric, Renewable Eletricity, Hydrogen Fuel Cell)</t>
  </si>
  <si>
    <t>*Add renewable diesel and biodiesel to use; Update reference columns</t>
  </si>
  <si>
    <t>New Service/Vehicle Summary</t>
  </si>
  <si>
    <t>Old Vehicle Summary</t>
  </si>
  <si>
    <t>Fuel Reduction Summary</t>
  </si>
  <si>
    <t>Unlinked Trip</t>
  </si>
  <si>
    <t>ROG Emissions (g)</t>
  </si>
  <si>
    <r>
      <t>NO</t>
    </r>
    <r>
      <rPr>
        <vertAlign val="subscript"/>
        <sz val="12"/>
        <rFont val="Avenir LT Std 55 Roman"/>
        <family val="2"/>
      </rPr>
      <t>x</t>
    </r>
    <r>
      <rPr>
        <sz val="12"/>
        <rFont val="Avenir LT Std 55 Roman"/>
        <family val="2"/>
      </rPr>
      <t xml:space="preserve"> Emissions (g)</t>
    </r>
  </si>
  <si>
    <r>
      <t>PM</t>
    </r>
    <r>
      <rPr>
        <vertAlign val="subscript"/>
        <sz val="12"/>
        <rFont val="Avenir LT Std 55 Roman"/>
        <family val="2"/>
      </rPr>
      <t>2.5</t>
    </r>
    <r>
      <rPr>
        <sz val="12"/>
        <rFont val="Avenir LT Std 55 Roman"/>
        <family val="2"/>
      </rPr>
      <t xml:space="preserve"> Emissions (g)</t>
    </r>
  </si>
  <si>
    <t>Diesel PM Emissions (g)</t>
  </si>
  <si>
    <t>*Halving should only apply to over-road coaches, which doesn't pull directly from electric data</t>
  </si>
  <si>
    <t>Project Co-Benefits Summary</t>
  </si>
  <si>
    <t>Local ROG Emission Reduction (lb)</t>
  </si>
  <si>
    <r>
      <t>Local NO</t>
    </r>
    <r>
      <rPr>
        <b/>
        <vertAlign val="subscript"/>
        <sz val="12"/>
        <rFont val="Avenir LT Std 55 Roman"/>
        <family val="2"/>
      </rPr>
      <t>x</t>
    </r>
    <r>
      <rPr>
        <b/>
        <sz val="12"/>
        <rFont val="Avenir LT Std 55 Roman"/>
        <family val="2"/>
      </rPr>
      <t xml:space="preserve"> Emission Reduction (lb)</t>
    </r>
  </si>
  <si>
    <r>
      <t>Local PM</t>
    </r>
    <r>
      <rPr>
        <b/>
        <vertAlign val="subscript"/>
        <sz val="12"/>
        <rFont val="Avenir LT Std 55 Roman"/>
        <family val="2"/>
      </rPr>
      <t>2.5</t>
    </r>
    <r>
      <rPr>
        <b/>
        <sz val="12"/>
        <rFont val="Avenir LT Std 55 Roman"/>
        <family val="2"/>
      </rPr>
      <t xml:space="preserve"> Emission Reduction (lb)</t>
    </r>
  </si>
  <si>
    <t>Local Diesel PM Emission Reduction (lb)</t>
  </si>
  <si>
    <t>Remote ROG Emission Reduction (lb)</t>
  </si>
  <si>
    <r>
      <t>Remote NO</t>
    </r>
    <r>
      <rPr>
        <b/>
        <vertAlign val="subscript"/>
        <sz val="12"/>
        <rFont val="Avenir LT Std 55 Roman"/>
        <family val="2"/>
      </rPr>
      <t>x</t>
    </r>
    <r>
      <rPr>
        <b/>
        <sz val="12"/>
        <rFont val="Avenir LT Std 55 Roman"/>
        <family val="2"/>
      </rPr>
      <t xml:space="preserve"> Emission Reduction (lb)</t>
    </r>
  </si>
  <si>
    <r>
      <t>Remote PM</t>
    </r>
    <r>
      <rPr>
        <b/>
        <vertAlign val="subscript"/>
        <sz val="12"/>
        <rFont val="Avenir LT Std 55 Roman"/>
        <family val="2"/>
      </rPr>
      <t>2.5</t>
    </r>
    <r>
      <rPr>
        <b/>
        <sz val="12"/>
        <rFont val="Avenir LT Std 55 Roman"/>
        <family val="2"/>
      </rPr>
      <t xml:space="preserve"> Emission Reduction (lb)</t>
    </r>
  </si>
  <si>
    <t>Remote Diesel PM Emission Reduction (lb)</t>
  </si>
  <si>
    <t>Passenger Auto VMT Reduction (mi)</t>
  </si>
  <si>
    <t>Travel Cost Savings [by the transit riders] ($)</t>
  </si>
  <si>
    <t>VMT Reduction (mi)</t>
  </si>
  <si>
    <t>Train C&amp;T Emission Factors (g/mile)</t>
  </si>
  <si>
    <r>
      <t>NO</t>
    </r>
    <r>
      <rPr>
        <vertAlign val="subscript"/>
        <sz val="12"/>
        <rFont val="Avenir LT Std 55 Roman"/>
        <family val="2"/>
      </rPr>
      <t>x</t>
    </r>
  </si>
  <si>
    <r>
      <t>PM</t>
    </r>
    <r>
      <rPr>
        <vertAlign val="subscript"/>
        <sz val="12"/>
        <rFont val="Avenir LT Std 55 Roman"/>
        <family val="2"/>
      </rPr>
      <t>2.5</t>
    </r>
  </si>
  <si>
    <r>
      <t>PM</t>
    </r>
    <r>
      <rPr>
        <vertAlign val="subscript"/>
        <sz val="12"/>
        <rFont val="Avenir LT Std 55 Roman"/>
        <family val="2"/>
      </rPr>
      <t>10</t>
    </r>
    <r>
      <rPr>
        <sz val="12"/>
        <rFont val="Avenir LT Std 55 Roman"/>
        <family val="2"/>
      </rPr>
      <t xml:space="preserve"> (Diesel PM)</t>
    </r>
  </si>
  <si>
    <t>Fuel Type (unit)</t>
  </si>
  <si>
    <t>Energy Density (MJ/unit)</t>
  </si>
  <si>
    <r>
      <t>Carbon Intensity 
(gCO</t>
    </r>
    <r>
      <rPr>
        <b/>
        <vertAlign val="subscript"/>
        <sz val="12"/>
        <color rgb="FF000000"/>
        <rFont val="Avenir LT Std 55 Roman"/>
        <family val="2"/>
      </rPr>
      <t>2</t>
    </r>
    <r>
      <rPr>
        <b/>
        <sz val="12"/>
        <color rgb="FF000000"/>
        <rFont val="Avenir LT Std 55 Roman"/>
        <family val="2"/>
      </rPr>
      <t>/MJ)</t>
    </r>
  </si>
  <si>
    <t>Diesel Gallon Equivalent (DGE)</t>
  </si>
  <si>
    <t>Gasoline Gallon Equivalent (GGE)</t>
  </si>
  <si>
    <r>
      <t>Diesel Gallon Equivalent Emission Factor (gCO</t>
    </r>
    <r>
      <rPr>
        <b/>
        <vertAlign val="subscript"/>
        <sz val="12"/>
        <color rgb="FF000000"/>
        <rFont val="Avenir LT Std 55 Roman"/>
        <family val="2"/>
      </rPr>
      <t>2</t>
    </r>
    <r>
      <rPr>
        <b/>
        <sz val="12"/>
        <color rgb="FF000000"/>
        <rFont val="Avenir LT Std 55 Roman"/>
        <family val="2"/>
      </rPr>
      <t>e/DGE)</t>
    </r>
  </si>
  <si>
    <r>
      <t>Gasoline Gallon Equivalent Emission Factor (gCO</t>
    </r>
    <r>
      <rPr>
        <b/>
        <vertAlign val="subscript"/>
        <sz val="12"/>
        <rFont val="Avenir LT Std 55 Roman"/>
        <family val="2"/>
      </rPr>
      <t>2</t>
    </r>
    <r>
      <rPr>
        <b/>
        <sz val="12"/>
        <rFont val="Avenir LT Std 55 Roman"/>
        <family val="2"/>
      </rPr>
      <t>e/GGE)</t>
    </r>
  </si>
  <si>
    <t>EER Values Relative to Diesel</t>
  </si>
  <si>
    <t>EER Values Relative to Gasoline</t>
  </si>
  <si>
    <t>Biodiesel</t>
  </si>
  <si>
    <t>CNG</t>
  </si>
  <si>
    <t>Diesel</t>
  </si>
  <si>
    <t>Electric</t>
  </si>
  <si>
    <t>Gasoline</t>
  </si>
  <si>
    <t>Hydrogen Fuel Cell</t>
  </si>
  <si>
    <t>LNG</t>
  </si>
  <si>
    <t>Renewable Diesel</t>
  </si>
  <si>
    <t>Renewable Electricity</t>
  </si>
  <si>
    <t>Renewable Natural Gas</t>
  </si>
  <si>
    <t>*Units of gallon for biodiesel, diesel, gasoline, LNG, and renewable diesel; scf for CNG and renewable natural gas; kWh for electric and renewable electricity, and kilogram for hydrogen.</t>
  </si>
  <si>
    <t>References</t>
  </si>
  <si>
    <t>Low Carbon Fuel Standard (LCFS) GHG emission factors for Gasoline, Diesel, CNG, Renewable Electricity, LPG / Propane, and Hydrogen are derived from Lookup Table 7-1 in:</t>
  </si>
  <si>
    <t>https://www.arb.ca.gov/regact/2018/lcfs18/frolcfs.pdf</t>
  </si>
  <si>
    <t>Hydrogen is volume-weighted based upon an assumption of 33.3% renewable content, persuant to the requirements of SB 1505 (Lowenthal, Chapter 877, Statutes of 2005).</t>
  </si>
  <si>
    <t>LCFS GHG emission factors for Biodiesel, Ethanol, LNG, Renewable Diesel, and Renewable Natural Gas are 2021 Volume-Weighted Averages derived from the LCFS Reporting Tool system.</t>
  </si>
  <si>
    <t>LCFS GHG emission factor for Electricity is sourced from the 2022 annual update to the California average grid electricity carbon intensity:</t>
  </si>
  <si>
    <t>https://ww2.arb.ca.gov/sites/default/files/classic/fuels/lcfs/fuelpathways/comments/tier2/elec_update.pdf</t>
  </si>
  <si>
    <t>GHG Emission Factors for Passenger Autos</t>
  </si>
  <si>
    <t>EMFAC2021 (v1.0.2) Emissions</t>
  </si>
  <si>
    <t>Region Type:  County and Air Basin</t>
  </si>
  <si>
    <t>Region:  California</t>
  </si>
  <si>
    <t>Calendar Year:  2015, 2016, 2017, 2018, 2019, 2020, 2021, 2022, 2023, 2024, 2025, 2026, 2027, 2028, 2029, 2030, 2031, 2032, 2033, 2034, 2035,</t>
  </si>
  <si>
    <t>2036, 2037, 2038, 2039, 2040, 2041, 2042, 2043, 2044, 2045, 2046, 2047, 2048, 2049, 2050</t>
  </si>
  <si>
    <t>Season:  Annual</t>
  </si>
  <si>
    <t>Vehicle Classification:  EMFAC202x Categories</t>
  </si>
  <si>
    <t>Model Year:  All model years</t>
  </si>
  <si>
    <t>Speed:  Aggregated</t>
  </si>
  <si>
    <t>Fuel:  All</t>
  </si>
  <si>
    <t>Units:  miles/day for VMT, trips/day for Trips, tons/day for Emissions, 1000 gallons/day for Fuel Consumption</t>
  </si>
  <si>
    <t xml:space="preserve">Data is derived from EMFAC. Available online at: 
</t>
  </si>
  <si>
    <t>https://arb.ca.gov/emfac/</t>
  </si>
  <si>
    <t>* Passenger auto GHGs are annually weighted to account for the four different vehicle class types (LDA, LDT1, LDT2, MDV). The weighting is</t>
  </si>
  <si>
    <r>
      <rPr>
        <b/>
        <sz val="12"/>
        <color rgb="FF000000"/>
        <rFont val="Avenir LT Std 55 Roman"/>
        <family val="2"/>
      </rPr>
      <t>calculated as follows:</t>
    </r>
    <r>
      <rPr>
        <sz val="12"/>
        <color rgb="FF000000"/>
        <rFont val="Avenir LT Std 55 Roman"/>
        <family val="2"/>
      </rPr>
      <t xml:space="preserve"> The annual fuel consumption (gallons/day) from each vehicle class type using both diesel and gasoline is calculated and</t>
    </r>
  </si>
  <si>
    <t>multiplied by the relevant fuel specific Low Carbon Fuel Standard (LCFS) emission factor (gCO2e/gallon) to generate values in emissions per day</t>
  </si>
  <si>
    <t>(gCO2e/day). The summation of the emissions per day values is divided by the summation of the associated annual vehicle miles traveled (VMT)</t>
  </si>
  <si>
    <t>(miles/day) driven by each vehicle class using both diesel and gasoline. The final result is an annually weighted GHG emission factor in grams of</t>
  </si>
  <si>
    <t>carbon dioxide equivalent (CO2e) per mile (gCO2e/mile).</t>
  </si>
  <si>
    <t>** Passenger auto mileage are similarly annually weighted to account for the four different vehicle class types (LDA, LDT1, LDT2, MDV). The</t>
  </si>
  <si>
    <r>
      <rPr>
        <b/>
        <sz val="12"/>
        <color rgb="FF000000"/>
        <rFont val="Avenir LT Std 55 Roman"/>
        <family val="2"/>
      </rPr>
      <t>weighting is calculated as follows</t>
    </r>
    <r>
      <rPr>
        <sz val="12"/>
        <color rgb="FF000000"/>
        <rFont val="Avenir LT Std 55 Roman"/>
        <family val="2"/>
      </rPr>
      <t>: The annual vehicle miles traveled (VMT) (miles/day) from each vehicle class type using both diesel and gasoline</t>
    </r>
  </si>
  <si>
    <t>is calculated and multiplied by the respective annual fuel consumption (gallons/day) for each vehicle class type using both diesel and gasoline fuel,</t>
  </si>
  <si>
    <t>resulting in the average mileage for each vehicle class type using both diesel and gasoline. Individual average mileages are multiplied again by the</t>
  </si>
  <si>
    <t>respective VMT, then summed, and divided by the summation of the associated VMT driven by each vehicle class using both diesel and gasoline.</t>
  </si>
  <si>
    <t>The final result is an annually weighted mileage in miles per gallon (mile/gallon).</t>
  </si>
  <si>
    <t>CalYr</t>
  </si>
  <si>
    <t>Region_Yr</t>
  </si>
  <si>
    <r>
      <t>gCO</t>
    </r>
    <r>
      <rPr>
        <b/>
        <vertAlign val="subscript"/>
        <sz val="12"/>
        <rFont val="Avenir LT Std 55 Roman"/>
        <family val="2"/>
      </rPr>
      <t>2</t>
    </r>
    <r>
      <rPr>
        <b/>
        <sz val="12"/>
        <rFont val="Avenir LT Std 55 Roman"/>
        <family val="2"/>
      </rPr>
      <t>e/mile</t>
    </r>
  </si>
  <si>
    <t>Counties</t>
  </si>
  <si>
    <t>Air Basins</t>
  </si>
  <si>
    <t>Alameda</t>
  </si>
  <si>
    <t>Alameda_2015</t>
  </si>
  <si>
    <t>Great Basin Valley</t>
  </si>
  <si>
    <t>Alameda_2016</t>
  </si>
  <si>
    <t>Alpine</t>
  </si>
  <si>
    <t>Lake County (Air Basin)</t>
  </si>
  <si>
    <t>Amador</t>
  </si>
  <si>
    <t>Lake Tahoe</t>
  </si>
  <si>
    <t>Butte</t>
  </si>
  <si>
    <t>Mojave Desert</t>
  </si>
  <si>
    <t>Calaveras</t>
  </si>
  <si>
    <t>Mountain Counties</t>
  </si>
  <si>
    <t>Colusa</t>
  </si>
  <si>
    <t>North Central Coast</t>
  </si>
  <si>
    <t>Contra Costa</t>
  </si>
  <si>
    <t>North Coast</t>
  </si>
  <si>
    <t>Del Norte</t>
  </si>
  <si>
    <t>Northeast Plateau</t>
  </si>
  <si>
    <t>El Dorado</t>
  </si>
  <si>
    <t>Sacramento Valley</t>
  </si>
  <si>
    <t>Fresno</t>
  </si>
  <si>
    <t>Salton Sea</t>
  </si>
  <si>
    <t>Glenn</t>
  </si>
  <si>
    <t>San Diego (Air Basin)</t>
  </si>
  <si>
    <t>Humboldt</t>
  </si>
  <si>
    <t>San Francisco Bay Area</t>
  </si>
  <si>
    <t>Imperial</t>
  </si>
  <si>
    <t>San Joaquin Valley</t>
  </si>
  <si>
    <t>Inyo</t>
  </si>
  <si>
    <t>South Central Coast</t>
  </si>
  <si>
    <t>Kern</t>
  </si>
  <si>
    <t>South Coast</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</si>
  <si>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</si>
  <si>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</si>
  <si>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</si>
  <si>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</si>
  <si>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</si>
  <si>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</si>
  <si>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</si>
  <si>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</si>
  <si>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</si>
  <si>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</si>
  <si>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</si>
  <si>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</si>
  <si>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</si>
  <si>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</si>
  <si>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</si>
  <si>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</si>
  <si>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</si>
  <si>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</si>
  <si>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</si>
  <si>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</si>
  <si>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</si>
  <si>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Alpine_2015</t>
  </si>
  <si>
    <t>San Diego</t>
  </si>
  <si>
    <t>Alpine_2016</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</si>
  <si>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</si>
  <si>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</si>
  <si>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</si>
  <si>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</si>
  <si>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</si>
  <si>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</si>
  <si>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</si>
  <si>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</si>
  <si>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</si>
  <si>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</si>
  <si>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</si>
  <si>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</si>
  <si>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</si>
  <si>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</si>
  <si>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</si>
  <si>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</si>
  <si>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</si>
  <si>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</si>
  <si>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</si>
  <si>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</si>
  <si>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</si>
  <si>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Amador_2015</t>
  </si>
  <si>
    <t>Amador_2016</t>
  </si>
  <si>
    <t>Butte_2015</t>
  </si>
  <si>
    <t>Butte_2016</t>
  </si>
  <si>
    <t>Calaveras_2015</t>
  </si>
  <si>
    <t>Calaveras_2016</t>
  </si>
  <si>
    <t>Colusa _2015</t>
  </si>
  <si>
    <t>Colusa _2016</t>
  </si>
  <si>
    <t>Contra Costa_2015</t>
  </si>
  <si>
    <t>Contra Costa_2016</t>
  </si>
  <si>
    <t>Del Norte_2015</t>
  </si>
  <si>
    <t>Del Norte_2016</t>
  </si>
  <si>
    <t>El Dorado_2015</t>
  </si>
  <si>
    <t>El Dorado_2016</t>
  </si>
  <si>
    <t>Fresno_2015</t>
  </si>
  <si>
    <t>Fresno_2016</t>
  </si>
  <si>
    <t>Glenn_2015</t>
  </si>
  <si>
    <t>Glenn_2016</t>
  </si>
  <si>
    <t>Humboldt_2015</t>
  </si>
  <si>
    <t>Humboldt_2016</t>
  </si>
  <si>
    <t>Imperial_2015</t>
  </si>
  <si>
    <t>Imperial_2016</t>
  </si>
  <si>
    <t>Inyo_2015</t>
  </si>
  <si>
    <t>Inyo_2016</t>
  </si>
  <si>
    <t>Kern_2015</t>
  </si>
  <si>
    <t>Kern_2016</t>
  </si>
  <si>
    <t>Kings_2015</t>
  </si>
  <si>
    <t>Kings_2016</t>
  </si>
  <si>
    <t>Lake_2015</t>
  </si>
  <si>
    <t>Lake_2016</t>
  </si>
  <si>
    <t>Lassen_2015</t>
  </si>
  <si>
    <t>Lassen_2016</t>
  </si>
  <si>
    <t>Los Angeles_2015</t>
  </si>
  <si>
    <t>Los Angeles_2016</t>
  </si>
  <si>
    <t>Madera_2015</t>
  </si>
  <si>
    <t>Madera_2016</t>
  </si>
  <si>
    <t>Marin_2015</t>
  </si>
  <si>
    <t>Marin_2016</t>
  </si>
  <si>
    <t>Mariposa_2015</t>
  </si>
  <si>
    <t>Mariposa_2016</t>
  </si>
  <si>
    <t>Mendocino_2015</t>
  </si>
  <si>
    <t>Mendocino_2016</t>
  </si>
  <si>
    <t>Merced_2015</t>
  </si>
  <si>
    <t>Merced_2016</t>
  </si>
  <si>
    <t>Modoc_2015</t>
  </si>
  <si>
    <t>Modoc_2016</t>
  </si>
  <si>
    <t>Mono_2015</t>
  </si>
  <si>
    <t>Mono_2016</t>
  </si>
  <si>
    <t>Monterey_2015</t>
  </si>
  <si>
    <t>Monterey_2016</t>
  </si>
  <si>
    <t>Napa_2015</t>
  </si>
  <si>
    <t>Napa_2016</t>
  </si>
  <si>
    <t>Nevada_2015</t>
  </si>
  <si>
    <t>Nevada_2016</t>
  </si>
  <si>
    <t>Orange_2015</t>
  </si>
  <si>
    <t>Orange_2016</t>
  </si>
  <si>
    <t>Placer_2015</t>
  </si>
  <si>
    <t>Placer_2016</t>
  </si>
  <si>
    <t>Plumas_2015</t>
  </si>
  <si>
    <t>Plumas_2016</t>
  </si>
  <si>
    <t>Riverside_2015</t>
  </si>
  <si>
    <t>Riverside_2016</t>
  </si>
  <si>
    <t>Sacramento_2015</t>
  </si>
  <si>
    <t>Sacramento_2016</t>
  </si>
  <si>
    <t>San Benito_2015</t>
  </si>
  <si>
    <t>San Benito_2016</t>
  </si>
  <si>
    <t>San Bernardino_2015</t>
  </si>
  <si>
    <t>San Bernardino_2016</t>
  </si>
  <si>
    <t>San Diego_2015</t>
  </si>
  <si>
    <t>San Diego_2016</t>
  </si>
  <si>
    <t>San Francisco_2015</t>
  </si>
  <si>
    <t>San Francisco_2016</t>
  </si>
  <si>
    <t>San Joaquin_2015</t>
  </si>
  <si>
    <t>San Joaquin_2016</t>
  </si>
  <si>
    <t>San Luis Obispo_2015</t>
  </si>
  <si>
    <t>San Luis Obispo_2016</t>
  </si>
  <si>
    <t>San Mateo_2015</t>
  </si>
  <si>
    <t>San Mateo_2016</t>
  </si>
  <si>
    <t>Santa Barbara_2015</t>
  </si>
  <si>
    <t>Santa Barbara_2016</t>
  </si>
  <si>
    <t>Santa Clara_2015</t>
  </si>
  <si>
    <t>Santa Clara_2016</t>
  </si>
  <si>
    <t>Santa Cruz_2015</t>
  </si>
  <si>
    <t>Santa Cruz_2016</t>
  </si>
  <si>
    <t>Shasta_2015</t>
  </si>
  <si>
    <t>Shasta_2016</t>
  </si>
  <si>
    <t>Sierra_2015</t>
  </si>
  <si>
    <t>Sierra_2016</t>
  </si>
  <si>
    <t>Siskiyou_2015</t>
  </si>
  <si>
    <t>Siskiyou_2016</t>
  </si>
  <si>
    <t>Solano_2015</t>
  </si>
  <si>
    <t>Solano_2016</t>
  </si>
  <si>
    <t>Sonoma_2015</t>
  </si>
  <si>
    <t>Sonoma_2016</t>
  </si>
  <si>
    <t>Stanislaus_2015</t>
  </si>
  <si>
    <t>Stanislaus_2016</t>
  </si>
  <si>
    <t>Sutter_2015</t>
  </si>
  <si>
    <t>Sutter_2016</t>
  </si>
  <si>
    <t>Tehama_2015</t>
  </si>
  <si>
    <t>Tehama_2016</t>
  </si>
  <si>
    <t>Trinity_2015</t>
  </si>
  <si>
    <t>Trinity_2016</t>
  </si>
  <si>
    <t>Tulare_2015</t>
  </si>
  <si>
    <t>Tulare_2016</t>
  </si>
  <si>
    <t>Tuolumne_2015</t>
  </si>
  <si>
    <t>Tuolumne_2016</t>
  </si>
  <si>
    <t>Ventura_2015</t>
  </si>
  <si>
    <t>Ventura_2016</t>
  </si>
  <si>
    <t>Yolo_2015</t>
  </si>
  <si>
    <t>Yolo_2016</t>
  </si>
  <si>
    <t>Yuba_2015</t>
  </si>
  <si>
    <t>Yuba_2016</t>
  </si>
  <si>
    <t>Fuel Consumption Rates by Vehicle Type</t>
  </si>
  <si>
    <t>EMFAC2021 (v1.0.2) Emissions Inventory</t>
  </si>
  <si>
    <t>Region Type: Statewide</t>
  </si>
  <si>
    <t>Region: California</t>
  </si>
  <si>
    <t>Calendar Year: 2015 - 2050</t>
  </si>
  <si>
    <t>Season: Annual</t>
  </si>
  <si>
    <t>Vehicle Classification: EMFAC202x Categories</t>
  </si>
  <si>
    <t>Mdl Year: All Mdl years</t>
  </si>
  <si>
    <t>Speed: Aggregated</t>
  </si>
  <si>
    <t>Fuel: All</t>
  </si>
  <si>
    <t>Units: miles/day for VMT, trips/day for Trips, tons/day for Emissions, 1000 gallons/day for Fuel Consumption (natural gas in diesel gallon equivalents), kWh/day for Energy Consumption</t>
  </si>
  <si>
    <t>* Fuel consumption rate for Van uses Population-weighted average of LHD1 and MDV.</t>
  </si>
  <si>
    <t>Fuel Consumption Rate (gal/mi)</t>
  </si>
  <si>
    <t>Calendar Year_Model Year</t>
  </si>
  <si>
    <t>Shuttle
(Cut-A-Way)</t>
  </si>
  <si>
    <t>Shuttle (Cut-A-Way)</t>
  </si>
  <si>
    <t>Over-Road Coach</t>
  </si>
  <si>
    <t>Gas</t>
  </si>
  <si>
    <t>Natural Gas</t>
  </si>
  <si>
    <t>Electric (kWh/mi)</t>
  </si>
  <si>
    <t>2015_1971</t>
  </si>
  <si>
    <t>2015_1972</t>
  </si>
  <si>
    <t>2015_1973</t>
  </si>
  <si>
    <t>2015_1974</t>
  </si>
  <si>
    <t>2015_1975</t>
  </si>
  <si>
    <t>2015_1976</t>
  </si>
  <si>
    <t>2015_1977</t>
  </si>
  <si>
    <t>2015_1978</t>
  </si>
  <si>
    <t>2015_1979</t>
  </si>
  <si>
    <t>2015_1980</t>
  </si>
  <si>
    <t>2015_1981</t>
  </si>
  <si>
    <t>2015_1982</t>
  </si>
  <si>
    <t>2015_1983</t>
  </si>
  <si>
    <t>2015_1984</t>
  </si>
  <si>
    <t>2015_1985</t>
  </si>
  <si>
    <t>2015_1986</t>
  </si>
  <si>
    <t>2015_1987</t>
  </si>
  <si>
    <t>2015_1988</t>
  </si>
  <si>
    <t>2015_1989</t>
  </si>
  <si>
    <t>2015_1990</t>
  </si>
  <si>
    <t>2015_1991</t>
  </si>
  <si>
    <t>2015_1992</t>
  </si>
  <si>
    <t>2015_1993</t>
  </si>
  <si>
    <t>2015_1994</t>
  </si>
  <si>
    <t>2015_1995</t>
  </si>
  <si>
    <t>2015_1996</t>
  </si>
  <si>
    <t>2015_1997</t>
  </si>
  <si>
    <t>2015_1998</t>
  </si>
  <si>
    <t>2015_1999</t>
  </si>
  <si>
    <t>2015_2000</t>
  </si>
  <si>
    <t>2015_2001</t>
  </si>
  <si>
    <t>2015_2002</t>
  </si>
  <si>
    <t>2015_2003</t>
  </si>
  <si>
    <t>2015_2004</t>
  </si>
  <si>
    <t>2015_2005</t>
  </si>
  <si>
    <t>2015_2006</t>
  </si>
  <si>
    <t>2015_2007</t>
  </si>
  <si>
    <t>2015_2008</t>
  </si>
  <si>
    <t>2015_2009</t>
  </si>
  <si>
    <t>2015_2010</t>
  </si>
  <si>
    <t>2015_2011</t>
  </si>
  <si>
    <t>2015_2012</t>
  </si>
  <si>
    <t>2015_2013</t>
  </si>
  <si>
    <t>2015_2014</t>
  </si>
  <si>
    <t>2015_2015</t>
  </si>
  <si>
    <t>2015_2016</t>
  </si>
  <si>
    <t>2016_1971</t>
  </si>
  <si>
    <t>2016_1972</t>
  </si>
  <si>
    <t>2016_1973</t>
  </si>
  <si>
    <t>2016_1974</t>
  </si>
  <si>
    <t>2016_1975</t>
  </si>
  <si>
    <t>2016_1976</t>
  </si>
  <si>
    <t>2016_1977</t>
  </si>
  <si>
    <t>2016_1978</t>
  </si>
  <si>
    <t>2016_1979</t>
  </si>
  <si>
    <t>2016_1980</t>
  </si>
  <si>
    <t>2016_1981</t>
  </si>
  <si>
    <t>2016_1982</t>
  </si>
  <si>
    <t>2016_1983</t>
  </si>
  <si>
    <t>2016_1984</t>
  </si>
  <si>
    <t>2016_1985</t>
  </si>
  <si>
    <t>2016_1986</t>
  </si>
  <si>
    <t>2016_1987</t>
  </si>
  <si>
    <t>2016_1988</t>
  </si>
  <si>
    <t>2016_1989</t>
  </si>
  <si>
    <t>2016_1990</t>
  </si>
  <si>
    <t>2016_1991</t>
  </si>
  <si>
    <t>2016_1992</t>
  </si>
  <si>
    <t>2016_1993</t>
  </si>
  <si>
    <t>2016_1994</t>
  </si>
  <si>
    <t>2016_1995</t>
  </si>
  <si>
    <t>2016_1996</t>
  </si>
  <si>
    <t>2016_1997</t>
  </si>
  <si>
    <t>2016_1998</t>
  </si>
  <si>
    <t>2016_1999</t>
  </si>
  <si>
    <t>2016_2000</t>
  </si>
  <si>
    <t>2016_2001</t>
  </si>
  <si>
    <t>2016_2002</t>
  </si>
  <si>
    <t>2016_2003</t>
  </si>
  <si>
    <t>2016_2004</t>
  </si>
  <si>
    <t>2016_2005</t>
  </si>
  <si>
    <t>2016_2006</t>
  </si>
  <si>
    <t>2016_2007</t>
  </si>
  <si>
    <t>2016_2008</t>
  </si>
  <si>
    <t>2016_2009</t>
  </si>
  <si>
    <t>2016_2010</t>
  </si>
  <si>
    <t>2016_2011</t>
  </si>
  <si>
    <t>2016_2012</t>
  </si>
  <si>
    <t>2016_2013</t>
  </si>
  <si>
    <t>2016_2014</t>
  </si>
  <si>
    <t>2016_2015</t>
  </si>
  <si>
    <t>2016_2016</t>
  </si>
  <si>
    <t>2016_2017</t>
  </si>
  <si>
    <t>2017_1971</t>
  </si>
  <si>
    <t>2017_1972</t>
  </si>
  <si>
    <t>2017_1973</t>
  </si>
  <si>
    <t>2017_1974</t>
  </si>
  <si>
    <t>2017_1975</t>
  </si>
  <si>
    <t>2017_1976</t>
  </si>
  <si>
    <t>2017_1977</t>
  </si>
  <si>
    <t>2017_1978</t>
  </si>
  <si>
    <t>2017_1979</t>
  </si>
  <si>
    <t>2017_1980</t>
  </si>
  <si>
    <t>2017_1981</t>
  </si>
  <si>
    <t>2017_1982</t>
  </si>
  <si>
    <t>2017_1983</t>
  </si>
  <si>
    <t>2017_1984</t>
  </si>
  <si>
    <t>2017_1985</t>
  </si>
  <si>
    <t>2017_1986</t>
  </si>
  <si>
    <t>2017_1987</t>
  </si>
  <si>
    <t>2017_1988</t>
  </si>
  <si>
    <t>2017_1989</t>
  </si>
  <si>
    <t>2017_1990</t>
  </si>
  <si>
    <t>2017_1991</t>
  </si>
  <si>
    <t>2017_1992</t>
  </si>
  <si>
    <t>2017_1993</t>
  </si>
  <si>
    <t>2017_1994</t>
  </si>
  <si>
    <t>2017_1995</t>
  </si>
  <si>
    <t>2017_1996</t>
  </si>
  <si>
    <t>2017_1997</t>
  </si>
  <si>
    <t>2017_1998</t>
  </si>
  <si>
    <t>2017_1999</t>
  </si>
  <si>
    <t>2017_2000</t>
  </si>
  <si>
    <t>2017_2001</t>
  </si>
  <si>
    <t>2017_2002</t>
  </si>
  <si>
    <t>2017_2003</t>
  </si>
  <si>
    <t>2017_2004</t>
  </si>
  <si>
    <t>2017_2005</t>
  </si>
  <si>
    <t>2017_2006</t>
  </si>
  <si>
    <t>2017_2007</t>
  </si>
  <si>
    <t>2017_2008</t>
  </si>
  <si>
    <t>2017_2009</t>
  </si>
  <si>
    <t>2017_2010</t>
  </si>
  <si>
    <t>2017_2011</t>
  </si>
  <si>
    <t>2017_2012</t>
  </si>
  <si>
    <t>2017_2013</t>
  </si>
  <si>
    <t>2017_2014</t>
  </si>
  <si>
    <t>2017_2015</t>
  </si>
  <si>
    <t>2017_2016</t>
  </si>
  <si>
    <t>2017_2017</t>
  </si>
  <si>
    <t>2017_2018</t>
  </si>
  <si>
    <t>2018_1971</t>
  </si>
  <si>
    <t>2018_1972</t>
  </si>
  <si>
    <t>2018_1973</t>
  </si>
  <si>
    <t>2018_1974</t>
  </si>
  <si>
    <t>2018_1975</t>
  </si>
  <si>
    <t>2018_1976</t>
  </si>
  <si>
    <t>2018_1977</t>
  </si>
  <si>
    <t>2018_1978</t>
  </si>
  <si>
    <t>2018_1979</t>
  </si>
  <si>
    <t>2018_1980</t>
  </si>
  <si>
    <t>2018_1981</t>
  </si>
  <si>
    <t>2018_1982</t>
  </si>
  <si>
    <t>2018_1983</t>
  </si>
  <si>
    <t>2018_1984</t>
  </si>
  <si>
    <t>2018_1985</t>
  </si>
  <si>
    <t>2018_1986</t>
  </si>
  <si>
    <t>2018_1987</t>
  </si>
  <si>
    <t>2018_1988</t>
  </si>
  <si>
    <t>2018_1989</t>
  </si>
  <si>
    <t>2018_1990</t>
  </si>
  <si>
    <t>2018_1991</t>
  </si>
  <si>
    <t>2018_1992</t>
  </si>
  <si>
    <t>2018_1993</t>
  </si>
  <si>
    <t>2018_1994</t>
  </si>
  <si>
    <t>2018_1995</t>
  </si>
  <si>
    <t>2018_1996</t>
  </si>
  <si>
    <t>2018_1997</t>
  </si>
  <si>
    <t>2018_1998</t>
  </si>
  <si>
    <t>2018_1999</t>
  </si>
  <si>
    <t>2018_2000</t>
  </si>
  <si>
    <t>2018_2001</t>
  </si>
  <si>
    <t>2018_2002</t>
  </si>
  <si>
    <t>2018_2003</t>
  </si>
  <si>
    <t>2018_2004</t>
  </si>
  <si>
    <t>2018_2005</t>
  </si>
  <si>
    <t>2018_2006</t>
  </si>
  <si>
    <t>2018_2007</t>
  </si>
  <si>
    <t>2018_2008</t>
  </si>
  <si>
    <t>2018_2009</t>
  </si>
  <si>
    <t>2018_2010</t>
  </si>
  <si>
    <t>2018_2011</t>
  </si>
  <si>
    <t>2018_2012</t>
  </si>
  <si>
    <t>2018_2013</t>
  </si>
  <si>
    <t>2018_2014</t>
  </si>
  <si>
    <t>2018_2015</t>
  </si>
  <si>
    <t>2018_2016</t>
  </si>
  <si>
    <t>2018_2017</t>
  </si>
  <si>
    <t>2018_2018</t>
  </si>
  <si>
    <t>2018_2019</t>
  </si>
  <si>
    <t>2019_1971</t>
  </si>
  <si>
    <t>2019_1972</t>
  </si>
  <si>
    <t>2019_1973</t>
  </si>
  <si>
    <t>2019_1974</t>
  </si>
  <si>
    <t>2019_1975</t>
  </si>
  <si>
    <t>2019_1976</t>
  </si>
  <si>
    <t>2019_1977</t>
  </si>
  <si>
    <t>2019_1978</t>
  </si>
  <si>
    <t>2019_1979</t>
  </si>
  <si>
    <t>2019_1980</t>
  </si>
  <si>
    <t>2019_1981</t>
  </si>
  <si>
    <t>2019_1982</t>
  </si>
  <si>
    <t>2019_1983</t>
  </si>
  <si>
    <t>2019_1984</t>
  </si>
  <si>
    <t>2019_1985</t>
  </si>
  <si>
    <t>2019_1986</t>
  </si>
  <si>
    <t>2019_1987</t>
  </si>
  <si>
    <t>2019_1988</t>
  </si>
  <si>
    <t>2019_1989</t>
  </si>
  <si>
    <t>2019_1990</t>
  </si>
  <si>
    <t>2019_1991</t>
  </si>
  <si>
    <t>2019_1992</t>
  </si>
  <si>
    <t>2019_1993</t>
  </si>
  <si>
    <t>2019_1994</t>
  </si>
  <si>
    <t>2019_1995</t>
  </si>
  <si>
    <t>2019_1996</t>
  </si>
  <si>
    <t>2019_1997</t>
  </si>
  <si>
    <t>2019_1998</t>
  </si>
  <si>
    <t>2019_1999</t>
  </si>
  <si>
    <t>2019_2000</t>
  </si>
  <si>
    <t>2019_2001</t>
  </si>
  <si>
    <t>2019_2002</t>
  </si>
  <si>
    <t>2019_2003</t>
  </si>
  <si>
    <t>2019_2004</t>
  </si>
  <si>
    <t>2019_2005</t>
  </si>
  <si>
    <t>2019_2006</t>
  </si>
  <si>
    <t>2019_2007</t>
  </si>
  <si>
    <t>2019_2008</t>
  </si>
  <si>
    <t>2019_2009</t>
  </si>
  <si>
    <t>2019_2010</t>
  </si>
  <si>
    <t>2019_2011</t>
  </si>
  <si>
    <t>2019_2012</t>
  </si>
  <si>
    <t>2019_2013</t>
  </si>
  <si>
    <t>2019_2014</t>
  </si>
  <si>
    <t>2019_2015</t>
  </si>
  <si>
    <t>2019_2016</t>
  </si>
  <si>
    <t>2019_2017</t>
  </si>
  <si>
    <t>2019_2018</t>
  </si>
  <si>
    <t>2019_2019</t>
  </si>
  <si>
    <t>2019_2020</t>
  </si>
  <si>
    <t>2020_1971</t>
  </si>
  <si>
    <t>2020_1972</t>
  </si>
  <si>
    <t>2020_1973</t>
  </si>
  <si>
    <t>2020_1974</t>
  </si>
  <si>
    <t>2020_1975</t>
  </si>
  <si>
    <t>2020_1976</t>
  </si>
  <si>
    <t>2020_1977</t>
  </si>
  <si>
    <t>2020_1978</t>
  </si>
  <si>
    <t>2020_1979</t>
  </si>
  <si>
    <t>2020_1980</t>
  </si>
  <si>
    <t>2020_1981</t>
  </si>
  <si>
    <t>2020_1982</t>
  </si>
  <si>
    <t>2020_1983</t>
  </si>
  <si>
    <t>2020_1984</t>
  </si>
  <si>
    <t>2020_1985</t>
  </si>
  <si>
    <t>2020_1986</t>
  </si>
  <si>
    <t>2020_1987</t>
  </si>
  <si>
    <t>2020_1988</t>
  </si>
  <si>
    <t>2020_1989</t>
  </si>
  <si>
    <t>2020_1990</t>
  </si>
  <si>
    <t>2020_1991</t>
  </si>
  <si>
    <t>2020_1992</t>
  </si>
  <si>
    <t>2020_1993</t>
  </si>
  <si>
    <t>2020_1994</t>
  </si>
  <si>
    <t>2020_1995</t>
  </si>
  <si>
    <t>2020_1996</t>
  </si>
  <si>
    <t>2020_1997</t>
  </si>
  <si>
    <t>2020_1998</t>
  </si>
  <si>
    <t>2020_1999</t>
  </si>
  <si>
    <t>2020_2000</t>
  </si>
  <si>
    <t>2020_2001</t>
  </si>
  <si>
    <t>2020_2002</t>
  </si>
  <si>
    <t>2020_2003</t>
  </si>
  <si>
    <t>2020_2004</t>
  </si>
  <si>
    <t>2020_2005</t>
  </si>
  <si>
    <t>2020_2006</t>
  </si>
  <si>
    <t>2020_2007</t>
  </si>
  <si>
    <t>2020_2008</t>
  </si>
  <si>
    <t>2020_2009</t>
  </si>
  <si>
    <t>2020_2010</t>
  </si>
  <si>
    <t>2020_2011</t>
  </si>
  <si>
    <t>2020_2012</t>
  </si>
  <si>
    <t>2020_2013</t>
  </si>
  <si>
    <t>2020_2014</t>
  </si>
  <si>
    <t>2020_2015</t>
  </si>
  <si>
    <t>2020_2016</t>
  </si>
  <si>
    <t>2020_2017</t>
  </si>
  <si>
    <t>2020_2018</t>
  </si>
  <si>
    <t>2020_2019</t>
  </si>
  <si>
    <t>2020_2020</t>
  </si>
  <si>
    <t>2020_2021</t>
  </si>
  <si>
    <t>2021_1971</t>
  </si>
  <si>
    <t>2021_1972</t>
  </si>
  <si>
    <t>2021_1973</t>
  </si>
  <si>
    <t>2021_1974</t>
  </si>
  <si>
    <t>2021_1975</t>
  </si>
  <si>
    <t>2021_1976</t>
  </si>
  <si>
    <t>2021_1977</t>
  </si>
  <si>
    <t>2021_1978</t>
  </si>
  <si>
    <t>2021_1979</t>
  </si>
  <si>
    <t>2021_1980</t>
  </si>
  <si>
    <t>2021_1981</t>
  </si>
  <si>
    <t>2021_1982</t>
  </si>
  <si>
    <t>2021_1983</t>
  </si>
  <si>
    <t>2021_1984</t>
  </si>
  <si>
    <t>2021_1985</t>
  </si>
  <si>
    <t>2021_1986</t>
  </si>
  <si>
    <t>2021_1987</t>
  </si>
  <si>
    <t>2021_1988</t>
  </si>
  <si>
    <t>2021_1989</t>
  </si>
  <si>
    <t>2021_1990</t>
  </si>
  <si>
    <t>2021_1991</t>
  </si>
  <si>
    <t>2021_1992</t>
  </si>
  <si>
    <t>2021_1993</t>
  </si>
  <si>
    <t>2021_1994</t>
  </si>
  <si>
    <t>2021_1995</t>
  </si>
  <si>
    <t>2021_1996</t>
  </si>
  <si>
    <t>2021_1997</t>
  </si>
  <si>
    <t>2021_1998</t>
  </si>
  <si>
    <t>2021_1999</t>
  </si>
  <si>
    <t>2021_2000</t>
  </si>
  <si>
    <t>2021_2001</t>
  </si>
  <si>
    <t>2021_2002</t>
  </si>
  <si>
    <t>2021_2003</t>
  </si>
  <si>
    <t>2021_2004</t>
  </si>
  <si>
    <t>2021_2005</t>
  </si>
  <si>
    <t>2021_2006</t>
  </si>
  <si>
    <t>2021_2007</t>
  </si>
  <si>
    <t>2021_2008</t>
  </si>
  <si>
    <t>2021_2009</t>
  </si>
  <si>
    <t>2021_2010</t>
  </si>
  <si>
    <t>2021_2011</t>
  </si>
  <si>
    <t>2021_2012</t>
  </si>
  <si>
    <t>2021_2013</t>
  </si>
  <si>
    <t>2021_2014</t>
  </si>
  <si>
    <t>2021_2015</t>
  </si>
  <si>
    <t>2021_2016</t>
  </si>
  <si>
    <t>2021_2017</t>
  </si>
  <si>
    <t>2021_2018</t>
  </si>
  <si>
    <t>2021_2019</t>
  </si>
  <si>
    <t>2021_2020</t>
  </si>
  <si>
    <t>2021_2021</t>
  </si>
  <si>
    <t>2021_2022</t>
  </si>
  <si>
    <t>2022_1971</t>
  </si>
  <si>
    <t>2022_1972</t>
  </si>
  <si>
    <t>2022_1973</t>
  </si>
  <si>
    <t>2022_1974</t>
  </si>
  <si>
    <t>2022_1975</t>
  </si>
  <si>
    <t>2022_1976</t>
  </si>
  <si>
    <t>2022_1977</t>
  </si>
  <si>
    <t>2022_1978</t>
  </si>
  <si>
    <t>2022_1979</t>
  </si>
  <si>
    <t>2022_1980</t>
  </si>
  <si>
    <t>2022_1981</t>
  </si>
  <si>
    <t>2022_1982</t>
  </si>
  <si>
    <t>2022_1983</t>
  </si>
  <si>
    <t>2022_1984</t>
  </si>
  <si>
    <t>2022_1985</t>
  </si>
  <si>
    <t>2022_1986</t>
  </si>
  <si>
    <t>2022_1987</t>
  </si>
  <si>
    <t>2022_1988</t>
  </si>
  <si>
    <t>2022_1989</t>
  </si>
  <si>
    <t>2022_1990</t>
  </si>
  <si>
    <t>2022_1991</t>
  </si>
  <si>
    <t>2022_1992</t>
  </si>
  <si>
    <t>2022_1993</t>
  </si>
  <si>
    <t>2022_1994</t>
  </si>
  <si>
    <t>2022_1995</t>
  </si>
  <si>
    <t>2022_1996</t>
  </si>
  <si>
    <t>2022_1997</t>
  </si>
  <si>
    <t>2022_1998</t>
  </si>
  <si>
    <t>2022_1999</t>
  </si>
  <si>
    <t>2022_2000</t>
  </si>
  <si>
    <t>2022_2001</t>
  </si>
  <si>
    <t>2022_2002</t>
  </si>
  <si>
    <t>2022_2003</t>
  </si>
  <si>
    <t>2022_2004</t>
  </si>
  <si>
    <t>2022_2005</t>
  </si>
  <si>
    <t>2022_2006</t>
  </si>
  <si>
    <t>2022_2007</t>
  </si>
  <si>
    <t>2022_2008</t>
  </si>
  <si>
    <t>2022_2009</t>
  </si>
  <si>
    <t>2022_2010</t>
  </si>
  <si>
    <t>2022_2011</t>
  </si>
  <si>
    <t>2022_2012</t>
  </si>
  <si>
    <t>2022_2013</t>
  </si>
  <si>
    <t>2022_2014</t>
  </si>
  <si>
    <t>2022_2015</t>
  </si>
  <si>
    <t>2022_2016</t>
  </si>
  <si>
    <t>2022_2017</t>
  </si>
  <si>
    <t>2022_2018</t>
  </si>
  <si>
    <t>2022_2019</t>
  </si>
  <si>
    <t>2022_2020</t>
  </si>
  <si>
    <t>2022_2021</t>
  </si>
  <si>
    <t>2022_2022</t>
  </si>
  <si>
    <t>2022_2023</t>
  </si>
  <si>
    <t>2023_1971</t>
  </si>
  <si>
    <t>2023_1972</t>
  </si>
  <si>
    <t>2023_1973</t>
  </si>
  <si>
    <t>2023_1974</t>
  </si>
  <si>
    <t>2023_1975</t>
  </si>
  <si>
    <t>2023_1976</t>
  </si>
  <si>
    <t>2023_1977</t>
  </si>
  <si>
    <t>2023_1978</t>
  </si>
  <si>
    <t>2023_1979</t>
  </si>
  <si>
    <t>2023_1980</t>
  </si>
  <si>
    <t>2023_1981</t>
  </si>
  <si>
    <t>2023_1982</t>
  </si>
  <si>
    <t>2023_1983</t>
  </si>
  <si>
    <t>2023_1984</t>
  </si>
  <si>
    <t>2023_1985</t>
  </si>
  <si>
    <t>2023_1986</t>
  </si>
  <si>
    <t>2023_1987</t>
  </si>
  <si>
    <t>2023_1988</t>
  </si>
  <si>
    <t>2023_1989</t>
  </si>
  <si>
    <t>2023_1990</t>
  </si>
  <si>
    <t>2023_1991</t>
  </si>
  <si>
    <t>2023_1992</t>
  </si>
  <si>
    <t>2023_1993</t>
  </si>
  <si>
    <t>2023_1994</t>
  </si>
  <si>
    <t>2023_1995</t>
  </si>
  <si>
    <t>2023_1996</t>
  </si>
  <si>
    <t>2023_1997</t>
  </si>
  <si>
    <t>2023_1998</t>
  </si>
  <si>
    <t>2023_1999</t>
  </si>
  <si>
    <t>2023_2000</t>
  </si>
  <si>
    <t>2023_2001</t>
  </si>
  <si>
    <t>2023_2002</t>
  </si>
  <si>
    <t>2023_2003</t>
  </si>
  <si>
    <t>2023_2004</t>
  </si>
  <si>
    <t>2023_2005</t>
  </si>
  <si>
    <t>2023_2006</t>
  </si>
  <si>
    <t>2023_2007</t>
  </si>
  <si>
    <t>2023_2008</t>
  </si>
  <si>
    <t>2023_2009</t>
  </si>
  <si>
    <t>2023_2010</t>
  </si>
  <si>
    <t>2023_2011</t>
  </si>
  <si>
    <t>2023_2012</t>
  </si>
  <si>
    <t>2023_2013</t>
  </si>
  <si>
    <t>2023_2014</t>
  </si>
  <si>
    <t>2023_2015</t>
  </si>
  <si>
    <t>2023_2016</t>
  </si>
  <si>
    <t>2023_2017</t>
  </si>
  <si>
    <t>2023_2018</t>
  </si>
  <si>
    <t>2023_2019</t>
  </si>
  <si>
    <t>2023_2020</t>
  </si>
  <si>
    <t>2023_2021</t>
  </si>
  <si>
    <t>2023_2022</t>
  </si>
  <si>
    <t>2023_2023</t>
  </si>
  <si>
    <t>2023_2024</t>
  </si>
  <si>
    <t>2024_1971</t>
  </si>
  <si>
    <t>2024_1972</t>
  </si>
  <si>
    <t>2024_1973</t>
  </si>
  <si>
    <t>2024_1974</t>
  </si>
  <si>
    <t>2024_1975</t>
  </si>
  <si>
    <t>2024_1976</t>
  </si>
  <si>
    <t>2024_1977</t>
  </si>
  <si>
    <t>2024_1978</t>
  </si>
  <si>
    <t>2024_1979</t>
  </si>
  <si>
    <t>2024_1980</t>
  </si>
  <si>
    <t>2024_1981</t>
  </si>
  <si>
    <t>2024_1982</t>
  </si>
  <si>
    <t>2024_1983</t>
  </si>
  <si>
    <t>2024_1984</t>
  </si>
  <si>
    <t>2024_1985</t>
  </si>
  <si>
    <t>2024_1986</t>
  </si>
  <si>
    <t>2024_1987</t>
  </si>
  <si>
    <t>2024_1988</t>
  </si>
  <si>
    <t>2024_1989</t>
  </si>
  <si>
    <t>2024_1990</t>
  </si>
  <si>
    <t>2024_1991</t>
  </si>
  <si>
    <t>2024_1992</t>
  </si>
  <si>
    <t>2024_1993</t>
  </si>
  <si>
    <t>2024_1994</t>
  </si>
  <si>
    <t>2024_1995</t>
  </si>
  <si>
    <t>2024_1996</t>
  </si>
  <si>
    <t>2024_1997</t>
  </si>
  <si>
    <t>2024_1998</t>
  </si>
  <si>
    <t>2024_1999</t>
  </si>
  <si>
    <t>2024_2000</t>
  </si>
  <si>
    <t>2024_2001</t>
  </si>
  <si>
    <t>2024_2002</t>
  </si>
  <si>
    <t>2024_2003</t>
  </si>
  <si>
    <t>2024_2004</t>
  </si>
  <si>
    <t>2024_2005</t>
  </si>
  <si>
    <t>2024_2006</t>
  </si>
  <si>
    <t>2024_2007</t>
  </si>
  <si>
    <t>2024_2008</t>
  </si>
  <si>
    <t>2024_2009</t>
  </si>
  <si>
    <t>2024_2010</t>
  </si>
  <si>
    <t>2024_2011</t>
  </si>
  <si>
    <t>2024_2012</t>
  </si>
  <si>
    <t>2024_2013</t>
  </si>
  <si>
    <t>2024_2014</t>
  </si>
  <si>
    <t>2024_2015</t>
  </si>
  <si>
    <t>2024_2016</t>
  </si>
  <si>
    <t>2024_2017</t>
  </si>
  <si>
    <t>2024_2018</t>
  </si>
  <si>
    <t>2024_2019</t>
  </si>
  <si>
    <t>2024_2020</t>
  </si>
  <si>
    <t>2024_2021</t>
  </si>
  <si>
    <t>2024_2022</t>
  </si>
  <si>
    <t>2024_2023</t>
  </si>
  <si>
    <t>2024_2024</t>
  </si>
  <si>
    <t>2024_2025</t>
  </si>
  <si>
    <t>2025_1971</t>
  </si>
  <si>
    <t>2025_1972</t>
  </si>
  <si>
    <t>2025_1973</t>
  </si>
  <si>
    <t>2025_1974</t>
  </si>
  <si>
    <t>2025_1975</t>
  </si>
  <si>
    <t>2025_1976</t>
  </si>
  <si>
    <t>2025_1977</t>
  </si>
  <si>
    <t>2025_1978</t>
  </si>
  <si>
    <t>2025_1979</t>
  </si>
  <si>
    <t>2025_1980</t>
  </si>
  <si>
    <t>2025_1981</t>
  </si>
  <si>
    <t>2025_1982</t>
  </si>
  <si>
    <t>2025_1983</t>
  </si>
  <si>
    <t>2025_1984</t>
  </si>
  <si>
    <t>2025_1985</t>
  </si>
  <si>
    <t>2025_1986</t>
  </si>
  <si>
    <t>2025_1987</t>
  </si>
  <si>
    <t>2025_1988</t>
  </si>
  <si>
    <t>2025_1989</t>
  </si>
  <si>
    <t>2025_1990</t>
  </si>
  <si>
    <t>2025_1991</t>
  </si>
  <si>
    <t>2025_1992</t>
  </si>
  <si>
    <t>2025_1993</t>
  </si>
  <si>
    <t>2025_1994</t>
  </si>
  <si>
    <t>2025_1995</t>
  </si>
  <si>
    <t>2025_1996</t>
  </si>
  <si>
    <t>2025_1997</t>
  </si>
  <si>
    <t>2025_1998</t>
  </si>
  <si>
    <t>2025_1999</t>
  </si>
  <si>
    <t>2025_2000</t>
  </si>
  <si>
    <t>2025_2001</t>
  </si>
  <si>
    <t>2025_2002</t>
  </si>
  <si>
    <t>2025_2003</t>
  </si>
  <si>
    <t>2025_2004</t>
  </si>
  <si>
    <t>2025_2005</t>
  </si>
  <si>
    <t>2025_2006</t>
  </si>
  <si>
    <t>2025_2007</t>
  </si>
  <si>
    <t>2025_2008</t>
  </si>
  <si>
    <t>2025_2009</t>
  </si>
  <si>
    <t>2025_2010</t>
  </si>
  <si>
    <t>2025_2011</t>
  </si>
  <si>
    <t>2025_2012</t>
  </si>
  <si>
    <t>2025_2013</t>
  </si>
  <si>
    <t>2025_2014</t>
  </si>
  <si>
    <t>2025_2015</t>
  </si>
  <si>
    <t>2025_2016</t>
  </si>
  <si>
    <t>2025_2017</t>
  </si>
  <si>
    <t>2025_2018</t>
  </si>
  <si>
    <t>2025_2019</t>
  </si>
  <si>
    <t>2025_2020</t>
  </si>
  <si>
    <t>2025_2021</t>
  </si>
  <si>
    <t>2025_2022</t>
  </si>
  <si>
    <t>2025_2023</t>
  </si>
  <si>
    <t>2025_2024</t>
  </si>
  <si>
    <t>2025_2025</t>
  </si>
  <si>
    <t>2025_2026</t>
  </si>
  <si>
    <t>2026_1971</t>
  </si>
  <si>
    <t>2026_1972</t>
  </si>
  <si>
    <t>2026_1973</t>
  </si>
  <si>
    <t>2026_1974</t>
  </si>
  <si>
    <t>2026_1975</t>
  </si>
  <si>
    <t>2026_1976</t>
  </si>
  <si>
    <t>2026_1977</t>
  </si>
  <si>
    <t>2026_1978</t>
  </si>
  <si>
    <t>2026_1979</t>
  </si>
  <si>
    <t>2026_1980</t>
  </si>
  <si>
    <t>2026_1981</t>
  </si>
  <si>
    <t>2026_1982</t>
  </si>
  <si>
    <t>2026_1983</t>
  </si>
  <si>
    <t>2026_1984</t>
  </si>
  <si>
    <t>2026_1985</t>
  </si>
  <si>
    <t>2026_1986</t>
  </si>
  <si>
    <t>2026_1987</t>
  </si>
  <si>
    <t>2026_1988</t>
  </si>
  <si>
    <t>2026_1989</t>
  </si>
  <si>
    <t>2026_1990</t>
  </si>
  <si>
    <t>2026_1991</t>
  </si>
  <si>
    <t>2026_1992</t>
  </si>
  <si>
    <t>2026_1993</t>
  </si>
  <si>
    <t>2026_1994</t>
  </si>
  <si>
    <t>2026_1995</t>
  </si>
  <si>
    <t>2026_1996</t>
  </si>
  <si>
    <t>2026_1997</t>
  </si>
  <si>
    <t>2026_1998</t>
  </si>
  <si>
    <t>2026_1999</t>
  </si>
  <si>
    <t>2026_2000</t>
  </si>
  <si>
    <t>2026_2001</t>
  </si>
  <si>
    <t>2026_2002</t>
  </si>
  <si>
    <t>2026_2003</t>
  </si>
  <si>
    <t>2026_2004</t>
  </si>
  <si>
    <t>2026_2005</t>
  </si>
  <si>
    <t>2026_2006</t>
  </si>
  <si>
    <t>2026_2007</t>
  </si>
  <si>
    <t>2026_2008</t>
  </si>
  <si>
    <t>2026_2009</t>
  </si>
  <si>
    <t>2026_2010</t>
  </si>
  <si>
    <t>2026_2011</t>
  </si>
  <si>
    <t>2026_2012</t>
  </si>
  <si>
    <t>2026_2013</t>
  </si>
  <si>
    <t>2026_2014</t>
  </si>
  <si>
    <t>2026_2015</t>
  </si>
  <si>
    <t>2026_2016</t>
  </si>
  <si>
    <t>2026_2017</t>
  </si>
  <si>
    <t>2026_2018</t>
  </si>
  <si>
    <t>2026_2019</t>
  </si>
  <si>
    <t>2026_2020</t>
  </si>
  <si>
    <t>2026_2021</t>
  </si>
  <si>
    <t>2026_2022</t>
  </si>
  <si>
    <t>2026_2023</t>
  </si>
  <si>
    <t>2026_2024</t>
  </si>
  <si>
    <t>2026_2025</t>
  </si>
  <si>
    <t>2026_2026</t>
  </si>
  <si>
    <t>2026_2027</t>
  </si>
  <si>
    <t>2027_1971</t>
  </si>
  <si>
    <t>2027_1972</t>
  </si>
  <si>
    <t>2027_1973</t>
  </si>
  <si>
    <t>2027_1974</t>
  </si>
  <si>
    <t>2027_1975</t>
  </si>
  <si>
    <t>2027_1976</t>
  </si>
  <si>
    <t>2027_1977</t>
  </si>
  <si>
    <t>2027_1978</t>
  </si>
  <si>
    <t>2027_1979</t>
  </si>
  <si>
    <t>2027_1980</t>
  </si>
  <si>
    <t>2027_1981</t>
  </si>
  <si>
    <t>2027_1982</t>
  </si>
  <si>
    <t>2027_1983</t>
  </si>
  <si>
    <t>2027_1984</t>
  </si>
  <si>
    <t>2027_1985</t>
  </si>
  <si>
    <t>2027_1986</t>
  </si>
  <si>
    <t>2027_1987</t>
  </si>
  <si>
    <t>2027_1988</t>
  </si>
  <si>
    <t>2027_1989</t>
  </si>
  <si>
    <t>2027_1990</t>
  </si>
  <si>
    <t>2027_1991</t>
  </si>
  <si>
    <t>2027_1992</t>
  </si>
  <si>
    <t>2027_1993</t>
  </si>
  <si>
    <t>2027_1994</t>
  </si>
  <si>
    <t>2027_1995</t>
  </si>
  <si>
    <t>2027_1996</t>
  </si>
  <si>
    <t>2027_1997</t>
  </si>
  <si>
    <t>2027_1998</t>
  </si>
  <si>
    <t>2027_1999</t>
  </si>
  <si>
    <t>2027_2000</t>
  </si>
  <si>
    <t>2027_2001</t>
  </si>
  <si>
    <t>2027_2002</t>
  </si>
  <si>
    <t>2027_2003</t>
  </si>
  <si>
    <t>2027_2004</t>
  </si>
  <si>
    <t>2027_2005</t>
  </si>
  <si>
    <t>2027_2006</t>
  </si>
  <si>
    <t>2027_2007</t>
  </si>
  <si>
    <t>2027_2008</t>
  </si>
  <si>
    <t>2027_2009</t>
  </si>
  <si>
    <t>2027_2010</t>
  </si>
  <si>
    <t>2027_2011</t>
  </si>
  <si>
    <t>2027_2012</t>
  </si>
  <si>
    <t>2027_2013</t>
  </si>
  <si>
    <t>2027_2014</t>
  </si>
  <si>
    <t>2027_2015</t>
  </si>
  <si>
    <t>2027_2016</t>
  </si>
  <si>
    <t>2027_2017</t>
  </si>
  <si>
    <t>2027_2018</t>
  </si>
  <si>
    <t>2027_2019</t>
  </si>
  <si>
    <t>2027_2020</t>
  </si>
  <si>
    <t>2027_2021</t>
  </si>
  <si>
    <t>2027_2022</t>
  </si>
  <si>
    <t>2027_2023</t>
  </si>
  <si>
    <t>2027_2024</t>
  </si>
  <si>
    <t>2027_2025</t>
  </si>
  <si>
    <t>2027_2026</t>
  </si>
  <si>
    <t>2027_2027</t>
  </si>
  <si>
    <t>2027_2028</t>
  </si>
  <si>
    <t>2028_1971</t>
  </si>
  <si>
    <t>2028_1972</t>
  </si>
  <si>
    <t>2028_1973</t>
  </si>
  <si>
    <t>2028_1974</t>
  </si>
  <si>
    <t>2028_1975</t>
  </si>
  <si>
    <t>2028_1976</t>
  </si>
  <si>
    <t>2028_1977</t>
  </si>
  <si>
    <t>2028_1978</t>
  </si>
  <si>
    <t>2028_1979</t>
  </si>
  <si>
    <t>2028_1980</t>
  </si>
  <si>
    <t>2028_1981</t>
  </si>
  <si>
    <t>2028_1982</t>
  </si>
  <si>
    <t>2028_1983</t>
  </si>
  <si>
    <t>2028_1984</t>
  </si>
  <si>
    <t>2028_1985</t>
  </si>
  <si>
    <t>2028_1986</t>
  </si>
  <si>
    <t>2028_1987</t>
  </si>
  <si>
    <t>2028_1988</t>
  </si>
  <si>
    <t>2028_1989</t>
  </si>
  <si>
    <t>2028_1990</t>
  </si>
  <si>
    <t>2028_1991</t>
  </si>
  <si>
    <t>2028_1992</t>
  </si>
  <si>
    <t>2028_1993</t>
  </si>
  <si>
    <t>2028_1994</t>
  </si>
  <si>
    <t>2028_1995</t>
  </si>
  <si>
    <t>2028_1996</t>
  </si>
  <si>
    <t>2028_1997</t>
  </si>
  <si>
    <t>2028_1998</t>
  </si>
  <si>
    <t>2028_1999</t>
  </si>
  <si>
    <t>2028_2000</t>
  </si>
  <si>
    <t>2028_2001</t>
  </si>
  <si>
    <t>2028_2002</t>
  </si>
  <si>
    <t>2028_2003</t>
  </si>
  <si>
    <t>2028_2004</t>
  </si>
  <si>
    <t>2028_2005</t>
  </si>
  <si>
    <t>2028_2006</t>
  </si>
  <si>
    <t>2028_2007</t>
  </si>
  <si>
    <t>2028_2008</t>
  </si>
  <si>
    <t>2028_2009</t>
  </si>
  <si>
    <t>2028_2010</t>
  </si>
  <si>
    <t>2028_2011</t>
  </si>
  <si>
    <t>2028_2012</t>
  </si>
  <si>
    <t>2028_2013</t>
  </si>
  <si>
    <t>2028_2014</t>
  </si>
  <si>
    <t>2028_2015</t>
  </si>
  <si>
    <t>2028_2016</t>
  </si>
  <si>
    <t>2028_2017</t>
  </si>
  <si>
    <t>2028_2018</t>
  </si>
  <si>
    <t>2028_2019</t>
  </si>
  <si>
    <t>2028_2020</t>
  </si>
  <si>
    <t>2028_2021</t>
  </si>
  <si>
    <t>2028_2022</t>
  </si>
  <si>
    <t>2028_2023</t>
  </si>
  <si>
    <t>2028_2024</t>
  </si>
  <si>
    <t>2028_2025</t>
  </si>
  <si>
    <t>2028_2026</t>
  </si>
  <si>
    <t>2028_2027</t>
  </si>
  <si>
    <t>2028_2028</t>
  </si>
  <si>
    <t>2028_2029</t>
  </si>
  <si>
    <t>2029_1971</t>
  </si>
  <si>
    <t>2029_1972</t>
  </si>
  <si>
    <t>2029_1973</t>
  </si>
  <si>
    <t>2029_1974</t>
  </si>
  <si>
    <t>2029_1975</t>
  </si>
  <si>
    <t>2029_1976</t>
  </si>
  <si>
    <t>2029_1977</t>
  </si>
  <si>
    <t>2029_1978</t>
  </si>
  <si>
    <t>2029_1979</t>
  </si>
  <si>
    <t>2029_1980</t>
  </si>
  <si>
    <t>2029_1981</t>
  </si>
  <si>
    <t>2029_1982</t>
  </si>
  <si>
    <t>2029_1983</t>
  </si>
  <si>
    <t>2029_1984</t>
  </si>
  <si>
    <t>2029_1985</t>
  </si>
  <si>
    <t>2029_1986</t>
  </si>
  <si>
    <t>2029_1987</t>
  </si>
  <si>
    <t>2029_1988</t>
  </si>
  <si>
    <t>2029_1989</t>
  </si>
  <si>
    <t>2029_1990</t>
  </si>
  <si>
    <t>2029_1991</t>
  </si>
  <si>
    <t>2029_1992</t>
  </si>
  <si>
    <t>2029_1993</t>
  </si>
  <si>
    <t>2029_1994</t>
  </si>
  <si>
    <t>2029_1995</t>
  </si>
  <si>
    <t>2029_1996</t>
  </si>
  <si>
    <t>2029_1997</t>
  </si>
  <si>
    <t>2029_1998</t>
  </si>
  <si>
    <t>2029_1999</t>
  </si>
  <si>
    <t>2029_2000</t>
  </si>
  <si>
    <t>2029_2001</t>
  </si>
  <si>
    <t>2029_2002</t>
  </si>
  <si>
    <t>2029_2003</t>
  </si>
  <si>
    <t>2029_2004</t>
  </si>
  <si>
    <t>2029_2005</t>
  </si>
  <si>
    <t>2029_2006</t>
  </si>
  <si>
    <t>2029_2007</t>
  </si>
  <si>
    <t>2029_2008</t>
  </si>
  <si>
    <t>2029_2009</t>
  </si>
  <si>
    <t>2029_2010</t>
  </si>
  <si>
    <t>2029_2011</t>
  </si>
  <si>
    <t>2029_2012</t>
  </si>
  <si>
    <t>2029_2013</t>
  </si>
  <si>
    <t>2029_2014</t>
  </si>
  <si>
    <t>2029_2015</t>
  </si>
  <si>
    <t>2029_2016</t>
  </si>
  <si>
    <t>2029_2017</t>
  </si>
  <si>
    <t>2029_2018</t>
  </si>
  <si>
    <t>2029_2019</t>
  </si>
  <si>
    <t>2029_2020</t>
  </si>
  <si>
    <t>2029_2021</t>
  </si>
  <si>
    <t>2029_2022</t>
  </si>
  <si>
    <t>2029_2023</t>
  </si>
  <si>
    <t>2029_2024</t>
  </si>
  <si>
    <t>2029_2025</t>
  </si>
  <si>
    <t>2029_2026</t>
  </si>
  <si>
    <t>2029_2027</t>
  </si>
  <si>
    <t>2029_2028</t>
  </si>
  <si>
    <t>2029_2029</t>
  </si>
  <si>
    <t>2029_2030</t>
  </si>
  <si>
    <t>2030_1971</t>
  </si>
  <si>
    <t>2030_1972</t>
  </si>
  <si>
    <t>2030_1973</t>
  </si>
  <si>
    <t>2030_1974</t>
  </si>
  <si>
    <t>2030_1975</t>
  </si>
  <si>
    <t>2030_1976</t>
  </si>
  <si>
    <t>2030_1977</t>
  </si>
  <si>
    <t>2030_1978</t>
  </si>
  <si>
    <t>2030_1979</t>
  </si>
  <si>
    <t>2030_1980</t>
  </si>
  <si>
    <t>2030_1981</t>
  </si>
  <si>
    <t>2030_1982</t>
  </si>
  <si>
    <t>2030_1983</t>
  </si>
  <si>
    <t>2030_1984</t>
  </si>
  <si>
    <t>2030_1985</t>
  </si>
  <si>
    <t>2030_1986</t>
  </si>
  <si>
    <t>2030_1987</t>
  </si>
  <si>
    <t>2030_1988</t>
  </si>
  <si>
    <t>2030_1989</t>
  </si>
  <si>
    <t>2030_1990</t>
  </si>
  <si>
    <t>2030_1991</t>
  </si>
  <si>
    <t>2030_1992</t>
  </si>
  <si>
    <t>2030_1993</t>
  </si>
  <si>
    <t>2030_1994</t>
  </si>
  <si>
    <t>2030_1995</t>
  </si>
  <si>
    <t>2030_1996</t>
  </si>
  <si>
    <t>2030_1997</t>
  </si>
  <si>
    <t>2030_1998</t>
  </si>
  <si>
    <t>2030_1999</t>
  </si>
  <si>
    <t>2030_2000</t>
  </si>
  <si>
    <t>2030_2001</t>
  </si>
  <si>
    <t>2030_2002</t>
  </si>
  <si>
    <t>2030_2003</t>
  </si>
  <si>
    <t>2030_2004</t>
  </si>
  <si>
    <t>2030_2005</t>
  </si>
  <si>
    <t>2030_2006</t>
  </si>
  <si>
    <t>2030_2007</t>
  </si>
  <si>
    <t>2030_2008</t>
  </si>
  <si>
    <t>2030_2009</t>
  </si>
  <si>
    <t>2030_2010</t>
  </si>
  <si>
    <t>2030_2011</t>
  </si>
  <si>
    <t>2030_2012</t>
  </si>
  <si>
    <t>2030_2013</t>
  </si>
  <si>
    <t>2030_2014</t>
  </si>
  <si>
    <t>2030_2015</t>
  </si>
  <si>
    <t>2030_2016</t>
  </si>
  <si>
    <t>2030_2017</t>
  </si>
  <si>
    <t>2030_2018</t>
  </si>
  <si>
    <t>2030_2019</t>
  </si>
  <si>
    <t>2030_2020</t>
  </si>
  <si>
    <t>2030_2021</t>
  </si>
  <si>
    <t>2030_2022</t>
  </si>
  <si>
    <t>2030_2023</t>
  </si>
  <si>
    <t>2030_2024</t>
  </si>
  <si>
    <t>2030_2025</t>
  </si>
  <si>
    <t>2030_2026</t>
  </si>
  <si>
    <t>2030_2027</t>
  </si>
  <si>
    <t>2030_2028</t>
  </si>
  <si>
    <t>2030_2029</t>
  </si>
  <si>
    <t>2030_2030</t>
  </si>
  <si>
    <t>2030_2031</t>
  </si>
  <si>
    <t>2031_1971</t>
  </si>
  <si>
    <t>2031_1972</t>
  </si>
  <si>
    <t>2031_1973</t>
  </si>
  <si>
    <t>2031_1974</t>
  </si>
  <si>
    <t>2031_1975</t>
  </si>
  <si>
    <t>2031_1976</t>
  </si>
  <si>
    <t>2031_1977</t>
  </si>
  <si>
    <t>2031_1978</t>
  </si>
  <si>
    <t>2031_1979</t>
  </si>
  <si>
    <t>2031_1980</t>
  </si>
  <si>
    <t>2031_1981</t>
  </si>
  <si>
    <t>2031_1982</t>
  </si>
  <si>
    <t>2031_1983</t>
  </si>
  <si>
    <t>2031_1984</t>
  </si>
  <si>
    <t>2031_1985</t>
  </si>
  <si>
    <t>2031_1986</t>
  </si>
  <si>
    <t>2031_1987</t>
  </si>
  <si>
    <t>2031_1988</t>
  </si>
  <si>
    <t>2031_1989</t>
  </si>
  <si>
    <t>2031_1990</t>
  </si>
  <si>
    <t>2031_1991</t>
  </si>
  <si>
    <t>2031_1992</t>
  </si>
  <si>
    <t>2031_1993</t>
  </si>
  <si>
    <t>2031_1994</t>
  </si>
  <si>
    <t>2031_1995</t>
  </si>
  <si>
    <t>2031_1996</t>
  </si>
  <si>
    <t>2031_1997</t>
  </si>
  <si>
    <t>2031_1998</t>
  </si>
  <si>
    <t>2031_1999</t>
  </si>
  <si>
    <t>2031_2000</t>
  </si>
  <si>
    <t>2031_2001</t>
  </si>
  <si>
    <t>2031_2002</t>
  </si>
  <si>
    <t>2031_2003</t>
  </si>
  <si>
    <t>2031_2004</t>
  </si>
  <si>
    <t>2031_2005</t>
  </si>
  <si>
    <t>2031_2006</t>
  </si>
  <si>
    <t>2031_2007</t>
  </si>
  <si>
    <t>2031_2008</t>
  </si>
  <si>
    <t>2031_2009</t>
  </si>
  <si>
    <t>2031_2010</t>
  </si>
  <si>
    <t>2031_2011</t>
  </si>
  <si>
    <t>2031_2012</t>
  </si>
  <si>
    <t>2031_2013</t>
  </si>
  <si>
    <t>2031_2014</t>
  </si>
  <si>
    <t>2031_2015</t>
  </si>
  <si>
    <t>2031_2016</t>
  </si>
  <si>
    <t>2031_2017</t>
  </si>
  <si>
    <t>2031_2018</t>
  </si>
  <si>
    <t>2031_2019</t>
  </si>
  <si>
    <t>2031_2020</t>
  </si>
  <si>
    <t>2031_2021</t>
  </si>
  <si>
    <t>2031_2022</t>
  </si>
  <si>
    <t>2031_2023</t>
  </si>
  <si>
    <t>2031_2024</t>
  </si>
  <si>
    <t>2031_2025</t>
  </si>
  <si>
    <t>2031_2026</t>
  </si>
  <si>
    <t>2031_2027</t>
  </si>
  <si>
    <t>2031_2028</t>
  </si>
  <si>
    <t>2031_2029</t>
  </si>
  <si>
    <t>2031_2030</t>
  </si>
  <si>
    <t>2031_2031</t>
  </si>
  <si>
    <t>2031_2032</t>
  </si>
  <si>
    <t>2032_1971</t>
  </si>
  <si>
    <t>2032_1972</t>
  </si>
  <si>
    <t>2032_1973</t>
  </si>
  <si>
    <t>2032_1974</t>
  </si>
  <si>
    <t>2032_1975</t>
  </si>
  <si>
    <t>2032_1976</t>
  </si>
  <si>
    <t>2032_1977</t>
  </si>
  <si>
    <t>2032_1978</t>
  </si>
  <si>
    <t>2032_1979</t>
  </si>
  <si>
    <t>2032_1980</t>
  </si>
  <si>
    <t>2032_1981</t>
  </si>
  <si>
    <t>2032_1982</t>
  </si>
  <si>
    <t>2032_1983</t>
  </si>
  <si>
    <t>2032_1984</t>
  </si>
  <si>
    <t>2032_1985</t>
  </si>
  <si>
    <t>2032_1986</t>
  </si>
  <si>
    <t>2032_1987</t>
  </si>
  <si>
    <t>2032_1988</t>
  </si>
  <si>
    <t>2032_1989</t>
  </si>
  <si>
    <t>2032_1990</t>
  </si>
  <si>
    <t>2032_1991</t>
  </si>
  <si>
    <t>2032_1992</t>
  </si>
  <si>
    <t>2032_1993</t>
  </si>
  <si>
    <t>2032_1994</t>
  </si>
  <si>
    <t>2032_1995</t>
  </si>
  <si>
    <t>2032_1996</t>
  </si>
  <si>
    <t>2032_1997</t>
  </si>
  <si>
    <t>2032_1998</t>
  </si>
  <si>
    <t>2032_1999</t>
  </si>
  <si>
    <t>2032_2000</t>
  </si>
  <si>
    <t>2032_2001</t>
  </si>
  <si>
    <t>2032_2002</t>
  </si>
  <si>
    <t>2032_2003</t>
  </si>
  <si>
    <t>2032_2004</t>
  </si>
  <si>
    <t>2032_2005</t>
  </si>
  <si>
    <t>2032_2006</t>
  </si>
  <si>
    <t>2032_2007</t>
  </si>
  <si>
    <t>2032_2008</t>
  </si>
  <si>
    <t>2032_2009</t>
  </si>
  <si>
    <t>2032_2010</t>
  </si>
  <si>
    <t>2032_2011</t>
  </si>
  <si>
    <t>2032_2012</t>
  </si>
  <si>
    <t>2032_2013</t>
  </si>
  <si>
    <t>2032_2014</t>
  </si>
  <si>
    <t>2032_2015</t>
  </si>
  <si>
    <t>2032_2016</t>
  </si>
  <si>
    <t>2032_2017</t>
  </si>
  <si>
    <t>2032_2018</t>
  </si>
  <si>
    <t>2032_2019</t>
  </si>
  <si>
    <t>2032_2020</t>
  </si>
  <si>
    <t>2032_2021</t>
  </si>
  <si>
    <t>2032_2022</t>
  </si>
  <si>
    <t>2032_2023</t>
  </si>
  <si>
    <t>2032_2024</t>
  </si>
  <si>
    <t>2032_2025</t>
  </si>
  <si>
    <t>2032_2026</t>
  </si>
  <si>
    <t>2032_2027</t>
  </si>
  <si>
    <t>2032_2028</t>
  </si>
  <si>
    <t>2032_2029</t>
  </si>
  <si>
    <t>2032_2030</t>
  </si>
  <si>
    <t>2032_2031</t>
  </si>
  <si>
    <t>2032_2032</t>
  </si>
  <si>
    <t>2032_2033</t>
  </si>
  <si>
    <t>2033_1971</t>
  </si>
  <si>
    <t>2033_1972</t>
  </si>
  <si>
    <t>2033_1973</t>
  </si>
  <si>
    <t>2033_1974</t>
  </si>
  <si>
    <t>2033_1975</t>
  </si>
  <si>
    <t>2033_1976</t>
  </si>
  <si>
    <t>2033_1977</t>
  </si>
  <si>
    <t>2033_1978</t>
  </si>
  <si>
    <t>2033_1979</t>
  </si>
  <si>
    <t>2033_1980</t>
  </si>
  <si>
    <t>2033_1981</t>
  </si>
  <si>
    <t>2033_1982</t>
  </si>
  <si>
    <t>2033_1983</t>
  </si>
  <si>
    <t>2033_1984</t>
  </si>
  <si>
    <t>2033_1985</t>
  </si>
  <si>
    <t>2033_1986</t>
  </si>
  <si>
    <t>2033_1987</t>
  </si>
  <si>
    <t>2033_1988</t>
  </si>
  <si>
    <t>2033_1989</t>
  </si>
  <si>
    <t>2033_1990</t>
  </si>
  <si>
    <t>2033_1991</t>
  </si>
  <si>
    <t>2033_1992</t>
  </si>
  <si>
    <t>2033_1993</t>
  </si>
  <si>
    <t>2033_1994</t>
  </si>
  <si>
    <t>2033_1995</t>
  </si>
  <si>
    <t>2033_1996</t>
  </si>
  <si>
    <t>2033_1997</t>
  </si>
  <si>
    <t>2033_1998</t>
  </si>
  <si>
    <t>2033_1999</t>
  </si>
  <si>
    <t>2033_2000</t>
  </si>
  <si>
    <t>2033_2001</t>
  </si>
  <si>
    <t>2033_2002</t>
  </si>
  <si>
    <t>2033_2003</t>
  </si>
  <si>
    <t>2033_2004</t>
  </si>
  <si>
    <t>2033_2005</t>
  </si>
  <si>
    <t>2033_2006</t>
  </si>
  <si>
    <t>2033_2007</t>
  </si>
  <si>
    <t>2033_2008</t>
  </si>
  <si>
    <t>2033_2009</t>
  </si>
  <si>
    <t>2033_2010</t>
  </si>
  <si>
    <t>2033_2011</t>
  </si>
  <si>
    <t>2033_2012</t>
  </si>
  <si>
    <t>2033_2013</t>
  </si>
  <si>
    <t>2033_2014</t>
  </si>
  <si>
    <t>2033_2015</t>
  </si>
  <si>
    <t>2033_2016</t>
  </si>
  <si>
    <t>2033_2017</t>
  </si>
  <si>
    <t>2033_2018</t>
  </si>
  <si>
    <t>2033_2019</t>
  </si>
  <si>
    <t>2033_2020</t>
  </si>
  <si>
    <t>2033_2021</t>
  </si>
  <si>
    <t>2033_2022</t>
  </si>
  <si>
    <t>2033_2023</t>
  </si>
  <si>
    <t>2033_2024</t>
  </si>
  <si>
    <t>2033_2025</t>
  </si>
  <si>
    <t>2033_2026</t>
  </si>
  <si>
    <t>2033_2027</t>
  </si>
  <si>
    <t>2033_2028</t>
  </si>
  <si>
    <t>2033_2029</t>
  </si>
  <si>
    <t>2033_2030</t>
  </si>
  <si>
    <t>2033_2031</t>
  </si>
  <si>
    <t>2033_2032</t>
  </si>
  <si>
    <t>2033_2033</t>
  </si>
  <si>
    <t>2033_2034</t>
  </si>
  <si>
    <t>2034_1971</t>
  </si>
  <si>
    <t>2034_1972</t>
  </si>
  <si>
    <t>2034_1973</t>
  </si>
  <si>
    <t>2034_1974</t>
  </si>
  <si>
    <t>2034_1975</t>
  </si>
  <si>
    <t>2034_1976</t>
  </si>
  <si>
    <t>2034_1977</t>
  </si>
  <si>
    <t>2034_1978</t>
  </si>
  <si>
    <t>2034_1979</t>
  </si>
  <si>
    <t>2034_1980</t>
  </si>
  <si>
    <t>2034_1981</t>
  </si>
  <si>
    <t>2034_1982</t>
  </si>
  <si>
    <t>2034_1983</t>
  </si>
  <si>
    <t>2034_1984</t>
  </si>
  <si>
    <t>2034_1985</t>
  </si>
  <si>
    <t>2034_1986</t>
  </si>
  <si>
    <t>2034_1987</t>
  </si>
  <si>
    <t>2034_1988</t>
  </si>
  <si>
    <t>2034_1989</t>
  </si>
  <si>
    <t>2034_1990</t>
  </si>
  <si>
    <t>2034_1991</t>
  </si>
  <si>
    <t>2034_1992</t>
  </si>
  <si>
    <t>2034_1993</t>
  </si>
  <si>
    <t>2034_1994</t>
  </si>
  <si>
    <t>2034_1995</t>
  </si>
  <si>
    <t>2034_1996</t>
  </si>
  <si>
    <t>2034_1997</t>
  </si>
  <si>
    <t>2034_1998</t>
  </si>
  <si>
    <t>2034_1999</t>
  </si>
  <si>
    <t>2034_2000</t>
  </si>
  <si>
    <t>2034_2001</t>
  </si>
  <si>
    <t>2034_2002</t>
  </si>
  <si>
    <t>2034_2003</t>
  </si>
  <si>
    <t>2034_2004</t>
  </si>
  <si>
    <t>2034_2005</t>
  </si>
  <si>
    <t>2034_2006</t>
  </si>
  <si>
    <t>2034_2007</t>
  </si>
  <si>
    <t>2034_2008</t>
  </si>
  <si>
    <t>2034_2009</t>
  </si>
  <si>
    <t>2034_2010</t>
  </si>
  <si>
    <t>2034_2011</t>
  </si>
  <si>
    <t>2034_2012</t>
  </si>
  <si>
    <t>2034_2013</t>
  </si>
  <si>
    <t>2034_2014</t>
  </si>
  <si>
    <t>2034_2015</t>
  </si>
  <si>
    <t>2034_2016</t>
  </si>
  <si>
    <t>2034_2017</t>
  </si>
  <si>
    <t>2034_2018</t>
  </si>
  <si>
    <t>2034_2019</t>
  </si>
  <si>
    <t>2034_2020</t>
  </si>
  <si>
    <t>2034_2021</t>
  </si>
  <si>
    <t>2034_2022</t>
  </si>
  <si>
    <t>2034_2023</t>
  </si>
  <si>
    <t>2034_2024</t>
  </si>
  <si>
    <t>2034_2025</t>
  </si>
  <si>
    <t>2034_2026</t>
  </si>
  <si>
    <t>2034_2027</t>
  </si>
  <si>
    <t>2034_2028</t>
  </si>
  <si>
    <t>2034_2029</t>
  </si>
  <si>
    <t>2034_2030</t>
  </si>
  <si>
    <t>2034_2031</t>
  </si>
  <si>
    <t>2034_2032</t>
  </si>
  <si>
    <t>2034_2033</t>
  </si>
  <si>
    <t>2034_2034</t>
  </si>
  <si>
    <t>2034_2035</t>
  </si>
  <si>
    <t>2035_1971</t>
  </si>
  <si>
    <t>2035_1972</t>
  </si>
  <si>
    <t>2035_1973</t>
  </si>
  <si>
    <t>2035_1974</t>
  </si>
  <si>
    <t>2035_1975</t>
  </si>
  <si>
    <t>2035_1976</t>
  </si>
  <si>
    <t>2035_1977</t>
  </si>
  <si>
    <t>2035_1978</t>
  </si>
  <si>
    <t>2035_1979</t>
  </si>
  <si>
    <t>2035_1980</t>
  </si>
  <si>
    <t>2035_1981</t>
  </si>
  <si>
    <t>2035_1982</t>
  </si>
  <si>
    <t>2035_1983</t>
  </si>
  <si>
    <t>2035_1984</t>
  </si>
  <si>
    <t>2035_1985</t>
  </si>
  <si>
    <t>2035_1986</t>
  </si>
  <si>
    <t>2035_1987</t>
  </si>
  <si>
    <t>2035_1988</t>
  </si>
  <si>
    <t>2035_1989</t>
  </si>
  <si>
    <t>2035_1990</t>
  </si>
  <si>
    <t>2035_1991</t>
  </si>
  <si>
    <t>2035_1992</t>
  </si>
  <si>
    <t>2035_1993</t>
  </si>
  <si>
    <t>2035_1994</t>
  </si>
  <si>
    <t>2035_1995</t>
  </si>
  <si>
    <t>2035_1996</t>
  </si>
  <si>
    <t>2035_1997</t>
  </si>
  <si>
    <t>2035_1998</t>
  </si>
  <si>
    <t>2035_1999</t>
  </si>
  <si>
    <t>2035_2000</t>
  </si>
  <si>
    <t>2035_2001</t>
  </si>
  <si>
    <t>2035_2002</t>
  </si>
  <si>
    <t>2035_2003</t>
  </si>
  <si>
    <t>2035_2004</t>
  </si>
  <si>
    <t>2035_2005</t>
  </si>
  <si>
    <t>2035_2006</t>
  </si>
  <si>
    <t>2035_2007</t>
  </si>
  <si>
    <t>2035_2008</t>
  </si>
  <si>
    <t>2035_2009</t>
  </si>
  <si>
    <t>2035_2010</t>
  </si>
  <si>
    <t>2035_2011</t>
  </si>
  <si>
    <t>2035_2012</t>
  </si>
  <si>
    <t>2035_2013</t>
  </si>
  <si>
    <t>2035_2014</t>
  </si>
  <si>
    <t>2035_2015</t>
  </si>
  <si>
    <t>2035_2016</t>
  </si>
  <si>
    <t>2035_2017</t>
  </si>
  <si>
    <t>2035_2018</t>
  </si>
  <si>
    <t>2035_2019</t>
  </si>
  <si>
    <t>2035_2020</t>
  </si>
  <si>
    <t>2035_2021</t>
  </si>
  <si>
    <t>2035_2022</t>
  </si>
  <si>
    <t>2035_2023</t>
  </si>
  <si>
    <t>2035_2024</t>
  </si>
  <si>
    <t>2035_2025</t>
  </si>
  <si>
    <t>2035_2026</t>
  </si>
  <si>
    <t>2035_2027</t>
  </si>
  <si>
    <t>2035_2028</t>
  </si>
  <si>
    <t>2035_2029</t>
  </si>
  <si>
    <t>2035_2030</t>
  </si>
  <si>
    <t>2035_2031</t>
  </si>
  <si>
    <t>2035_2032</t>
  </si>
  <si>
    <t>2035_2033</t>
  </si>
  <si>
    <t>2035_2034</t>
  </si>
  <si>
    <t>2035_2035</t>
  </si>
  <si>
    <t>2035_2036</t>
  </si>
  <si>
    <t>2036_1971</t>
  </si>
  <si>
    <t>2036_1972</t>
  </si>
  <si>
    <t>2036_1973</t>
  </si>
  <si>
    <t>2036_1974</t>
  </si>
  <si>
    <t>2036_1975</t>
  </si>
  <si>
    <t>2036_1976</t>
  </si>
  <si>
    <t>2036_1977</t>
  </si>
  <si>
    <t>2036_1978</t>
  </si>
  <si>
    <t>2036_1979</t>
  </si>
  <si>
    <t>2036_1980</t>
  </si>
  <si>
    <t>2036_1981</t>
  </si>
  <si>
    <t>2036_1982</t>
  </si>
  <si>
    <t>2036_1983</t>
  </si>
  <si>
    <t>2036_1984</t>
  </si>
  <si>
    <t>2036_1985</t>
  </si>
  <si>
    <t>2036_1986</t>
  </si>
  <si>
    <t>2036_1987</t>
  </si>
  <si>
    <t>2036_1988</t>
  </si>
  <si>
    <t>2036_1989</t>
  </si>
  <si>
    <t>2036_1990</t>
  </si>
  <si>
    <t>2036_1991</t>
  </si>
  <si>
    <t>2036_1992</t>
  </si>
  <si>
    <t>2036_1993</t>
  </si>
  <si>
    <t>2036_1994</t>
  </si>
  <si>
    <t>2036_1995</t>
  </si>
  <si>
    <t>2036_1996</t>
  </si>
  <si>
    <t>2036_1997</t>
  </si>
  <si>
    <t>2036_1998</t>
  </si>
  <si>
    <t>2036_1999</t>
  </si>
  <si>
    <t>2036_2000</t>
  </si>
  <si>
    <t>2036_2001</t>
  </si>
  <si>
    <t>2036_2002</t>
  </si>
  <si>
    <t>2036_2003</t>
  </si>
  <si>
    <t>2036_2004</t>
  </si>
  <si>
    <t>2036_2005</t>
  </si>
  <si>
    <t>2036_2006</t>
  </si>
  <si>
    <t>2036_2007</t>
  </si>
  <si>
    <t>2036_2008</t>
  </si>
  <si>
    <t>2036_2009</t>
  </si>
  <si>
    <t>2036_2010</t>
  </si>
  <si>
    <t>2036_2011</t>
  </si>
  <si>
    <t>2036_2012</t>
  </si>
  <si>
    <t>2036_2013</t>
  </si>
  <si>
    <t>2036_2014</t>
  </si>
  <si>
    <t>2036_2015</t>
  </si>
  <si>
    <t>2036_2016</t>
  </si>
  <si>
    <t>2036_2017</t>
  </si>
  <si>
    <t>2036_2018</t>
  </si>
  <si>
    <t>2036_2019</t>
  </si>
  <si>
    <t>2036_2020</t>
  </si>
  <si>
    <t>2036_2021</t>
  </si>
  <si>
    <t>2036_2022</t>
  </si>
  <si>
    <t>2036_2023</t>
  </si>
  <si>
    <t>2036_2024</t>
  </si>
  <si>
    <t>2036_2025</t>
  </si>
  <si>
    <t>2036_2026</t>
  </si>
  <si>
    <t>2036_2027</t>
  </si>
  <si>
    <t>2036_2028</t>
  </si>
  <si>
    <t>2036_2029</t>
  </si>
  <si>
    <t>2036_2030</t>
  </si>
  <si>
    <t>2036_2031</t>
  </si>
  <si>
    <t>2036_2032</t>
  </si>
  <si>
    <t>2036_2033</t>
  </si>
  <si>
    <t>2036_2034</t>
  </si>
  <si>
    <t>2036_2035</t>
  </si>
  <si>
    <t>2036_2036</t>
  </si>
  <si>
    <t>2036_2037</t>
  </si>
  <si>
    <t>2037_1971</t>
  </si>
  <si>
    <t>2037_1972</t>
  </si>
  <si>
    <t>2037_1973</t>
  </si>
  <si>
    <t>2037_1974</t>
  </si>
  <si>
    <t>2037_1975</t>
  </si>
  <si>
    <t>2037_1976</t>
  </si>
  <si>
    <t>2037_1977</t>
  </si>
  <si>
    <t>2037_1978</t>
  </si>
  <si>
    <t>2037_1979</t>
  </si>
  <si>
    <t>2037_1980</t>
  </si>
  <si>
    <t>2037_1981</t>
  </si>
  <si>
    <t>2037_1982</t>
  </si>
  <si>
    <t>2037_1983</t>
  </si>
  <si>
    <t>2037_1984</t>
  </si>
  <si>
    <t>2037_1985</t>
  </si>
  <si>
    <t>2037_1986</t>
  </si>
  <si>
    <t>2037_1987</t>
  </si>
  <si>
    <t>2037_1988</t>
  </si>
  <si>
    <t>2037_1989</t>
  </si>
  <si>
    <t>2037_1990</t>
  </si>
  <si>
    <t>2037_1991</t>
  </si>
  <si>
    <t>2037_1992</t>
  </si>
  <si>
    <t>2037_1993</t>
  </si>
  <si>
    <t>2037_1994</t>
  </si>
  <si>
    <t>2037_1995</t>
  </si>
  <si>
    <t>2037_1996</t>
  </si>
  <si>
    <t>2037_1997</t>
  </si>
  <si>
    <t>2037_1998</t>
  </si>
  <si>
    <t>2037_1999</t>
  </si>
  <si>
    <t>2037_2000</t>
  </si>
  <si>
    <t>2037_2001</t>
  </si>
  <si>
    <t>2037_2002</t>
  </si>
  <si>
    <t>2037_2003</t>
  </si>
  <si>
    <t>2037_2004</t>
  </si>
  <si>
    <t>2037_2005</t>
  </si>
  <si>
    <t>2037_2006</t>
  </si>
  <si>
    <t>2037_2007</t>
  </si>
  <si>
    <t>2037_2008</t>
  </si>
  <si>
    <t>2037_2009</t>
  </si>
  <si>
    <t>2037_2010</t>
  </si>
  <si>
    <t>2037_2011</t>
  </si>
  <si>
    <t>2037_2012</t>
  </si>
  <si>
    <t>2037_2013</t>
  </si>
  <si>
    <t>2037_2014</t>
  </si>
  <si>
    <t>2037_2015</t>
  </si>
  <si>
    <t>2037_2016</t>
  </si>
  <si>
    <t>2037_2017</t>
  </si>
  <si>
    <t>2037_2018</t>
  </si>
  <si>
    <t>2037_2019</t>
  </si>
  <si>
    <t>2037_2020</t>
  </si>
  <si>
    <t>2037_2021</t>
  </si>
  <si>
    <t>2037_2022</t>
  </si>
  <si>
    <t>2037_2023</t>
  </si>
  <si>
    <t>2037_2024</t>
  </si>
  <si>
    <t>2037_2025</t>
  </si>
  <si>
    <t>2037_2026</t>
  </si>
  <si>
    <t>2037_2027</t>
  </si>
  <si>
    <t>2037_2028</t>
  </si>
  <si>
    <t>2037_2029</t>
  </si>
  <si>
    <t>2037_2030</t>
  </si>
  <si>
    <t>2037_2031</t>
  </si>
  <si>
    <t>2037_2032</t>
  </si>
  <si>
    <t>2037_2033</t>
  </si>
  <si>
    <t>2037_2034</t>
  </si>
  <si>
    <t>2037_2035</t>
  </si>
  <si>
    <t>2037_2036</t>
  </si>
  <si>
    <t>2037_2037</t>
  </si>
  <si>
    <t>2037_2038</t>
  </si>
  <si>
    <t>2038_1971</t>
  </si>
  <si>
    <t>2038_1972</t>
  </si>
  <si>
    <t>2038_1973</t>
  </si>
  <si>
    <t>2038_1974</t>
  </si>
  <si>
    <t>2038_1975</t>
  </si>
  <si>
    <t>2038_1976</t>
  </si>
  <si>
    <t>2038_1977</t>
  </si>
  <si>
    <t>2038_1978</t>
  </si>
  <si>
    <t>2038_1979</t>
  </si>
  <si>
    <t>2038_1980</t>
  </si>
  <si>
    <t>2038_1981</t>
  </si>
  <si>
    <t>2038_1982</t>
  </si>
  <si>
    <t>2038_1983</t>
  </si>
  <si>
    <t>2038_1984</t>
  </si>
  <si>
    <t>2038_1985</t>
  </si>
  <si>
    <t>2038_1986</t>
  </si>
  <si>
    <t>2038_1987</t>
  </si>
  <si>
    <t>2038_1988</t>
  </si>
  <si>
    <t>2038_1989</t>
  </si>
  <si>
    <t>2038_1990</t>
  </si>
  <si>
    <t>2038_1991</t>
  </si>
  <si>
    <t>2038_1992</t>
  </si>
  <si>
    <t>2038_1993</t>
  </si>
  <si>
    <t>2038_1994</t>
  </si>
  <si>
    <t>2038_1995</t>
  </si>
  <si>
    <t>2038_1996</t>
  </si>
  <si>
    <t>2038_1997</t>
  </si>
  <si>
    <t>2038_1998</t>
  </si>
  <si>
    <t>2038_1999</t>
  </si>
  <si>
    <t>2038_2000</t>
  </si>
  <si>
    <t>2038_2001</t>
  </si>
  <si>
    <t>2038_2002</t>
  </si>
  <si>
    <t>2038_2003</t>
  </si>
  <si>
    <t>2038_2004</t>
  </si>
  <si>
    <t>2038_2005</t>
  </si>
  <si>
    <t>2038_2006</t>
  </si>
  <si>
    <t>2038_2007</t>
  </si>
  <si>
    <t>2038_2008</t>
  </si>
  <si>
    <t>2038_2009</t>
  </si>
  <si>
    <t>2038_2010</t>
  </si>
  <si>
    <t>2038_2011</t>
  </si>
  <si>
    <t>2038_2012</t>
  </si>
  <si>
    <t>2038_2013</t>
  </si>
  <si>
    <t>2038_2014</t>
  </si>
  <si>
    <t>2038_2015</t>
  </si>
  <si>
    <t>2038_2016</t>
  </si>
  <si>
    <t>2038_2017</t>
  </si>
  <si>
    <t>2038_2018</t>
  </si>
  <si>
    <t>2038_2019</t>
  </si>
  <si>
    <t>2038_2020</t>
  </si>
  <si>
    <t>2038_2021</t>
  </si>
  <si>
    <t>2038_2022</t>
  </si>
  <si>
    <t>2038_2023</t>
  </si>
  <si>
    <t>2038_2024</t>
  </si>
  <si>
    <t>2038_2025</t>
  </si>
  <si>
    <t>2038_2026</t>
  </si>
  <si>
    <t>2038_2027</t>
  </si>
  <si>
    <t>2038_2028</t>
  </si>
  <si>
    <t>2038_2029</t>
  </si>
  <si>
    <t>2038_2030</t>
  </si>
  <si>
    <t>2038_2031</t>
  </si>
  <si>
    <t>2038_2032</t>
  </si>
  <si>
    <t>2038_2033</t>
  </si>
  <si>
    <t>2038_2034</t>
  </si>
  <si>
    <t>2038_2035</t>
  </si>
  <si>
    <t>2038_2036</t>
  </si>
  <si>
    <t>2038_2037</t>
  </si>
  <si>
    <t>2038_2038</t>
  </si>
  <si>
    <t>2038_2039</t>
  </si>
  <si>
    <t>2039_1971</t>
  </si>
  <si>
    <t>2039_1972</t>
  </si>
  <si>
    <t>2039_1973</t>
  </si>
  <si>
    <t>2039_1974</t>
  </si>
  <si>
    <t>2039_1975</t>
  </si>
  <si>
    <t>2039_1976</t>
  </si>
  <si>
    <t>2039_1977</t>
  </si>
  <si>
    <t>2039_1978</t>
  </si>
  <si>
    <t>2039_1979</t>
  </si>
  <si>
    <t>2039_1980</t>
  </si>
  <si>
    <t>2039_1981</t>
  </si>
  <si>
    <t>2039_1982</t>
  </si>
  <si>
    <t>2039_1983</t>
  </si>
  <si>
    <t>2039_1984</t>
  </si>
  <si>
    <t>2039_1985</t>
  </si>
  <si>
    <t>2039_1986</t>
  </si>
  <si>
    <t>2039_1987</t>
  </si>
  <si>
    <t>2039_1988</t>
  </si>
  <si>
    <t>2039_1989</t>
  </si>
  <si>
    <t>2039_1990</t>
  </si>
  <si>
    <t>2039_1991</t>
  </si>
  <si>
    <t>2039_1992</t>
  </si>
  <si>
    <t>2039_1993</t>
  </si>
  <si>
    <t>2039_1994</t>
  </si>
  <si>
    <t>2039_1995</t>
  </si>
  <si>
    <t>2039_1996</t>
  </si>
  <si>
    <t>2039_1997</t>
  </si>
  <si>
    <t>2039_1998</t>
  </si>
  <si>
    <t>2039_1999</t>
  </si>
  <si>
    <t>2039_2000</t>
  </si>
  <si>
    <t>2039_2001</t>
  </si>
  <si>
    <t>2039_2002</t>
  </si>
  <si>
    <t>2039_2003</t>
  </si>
  <si>
    <t>2039_2004</t>
  </si>
  <si>
    <t>2039_2005</t>
  </si>
  <si>
    <t>2039_2006</t>
  </si>
  <si>
    <t>2039_2007</t>
  </si>
  <si>
    <t>2039_2008</t>
  </si>
  <si>
    <t>2039_2009</t>
  </si>
  <si>
    <t>2039_2010</t>
  </si>
  <si>
    <t>2039_2011</t>
  </si>
  <si>
    <t>2039_2012</t>
  </si>
  <si>
    <t>2039_2013</t>
  </si>
  <si>
    <t>2039_2014</t>
  </si>
  <si>
    <t>2039_2015</t>
  </si>
  <si>
    <t>2039_2016</t>
  </si>
  <si>
    <t>2039_2017</t>
  </si>
  <si>
    <t>2039_2018</t>
  </si>
  <si>
    <t>2039_2019</t>
  </si>
  <si>
    <t>2039_2020</t>
  </si>
  <si>
    <t>2039_2021</t>
  </si>
  <si>
    <t>2039_2022</t>
  </si>
  <si>
    <t>2039_2023</t>
  </si>
  <si>
    <t>2039_2024</t>
  </si>
  <si>
    <t>2039_2025</t>
  </si>
  <si>
    <t>2039_2026</t>
  </si>
  <si>
    <t>2039_2027</t>
  </si>
  <si>
    <t>2039_2028</t>
  </si>
  <si>
    <t>2039_2029</t>
  </si>
  <si>
    <t>2039_2030</t>
  </si>
  <si>
    <t>2039_2031</t>
  </si>
  <si>
    <t>2039_2032</t>
  </si>
  <si>
    <t>2039_2033</t>
  </si>
  <si>
    <t>2039_2034</t>
  </si>
  <si>
    <t>2039_2035</t>
  </si>
  <si>
    <t>2039_2036</t>
  </si>
  <si>
    <t>2039_2037</t>
  </si>
  <si>
    <t>2039_2038</t>
  </si>
  <si>
    <t>2039_2039</t>
  </si>
  <si>
    <t>2039_2040</t>
  </si>
  <si>
    <t>2040_1971</t>
  </si>
  <si>
    <t>2040_1972</t>
  </si>
  <si>
    <t>2040_1973</t>
  </si>
  <si>
    <t>2040_1974</t>
  </si>
  <si>
    <t>2040_1975</t>
  </si>
  <si>
    <t>2040_1976</t>
  </si>
  <si>
    <t>2040_1977</t>
  </si>
  <si>
    <t>2040_1978</t>
  </si>
  <si>
    <t>2040_1979</t>
  </si>
  <si>
    <t>2040_1980</t>
  </si>
  <si>
    <t>2040_1981</t>
  </si>
  <si>
    <t>2040_1982</t>
  </si>
  <si>
    <t>2040_1983</t>
  </si>
  <si>
    <t>2040_1984</t>
  </si>
  <si>
    <t>2040_1985</t>
  </si>
  <si>
    <t>2040_1986</t>
  </si>
  <si>
    <t>2040_1987</t>
  </si>
  <si>
    <t>2040_1988</t>
  </si>
  <si>
    <t>2040_1989</t>
  </si>
  <si>
    <t>2040_1990</t>
  </si>
  <si>
    <t>2040_1991</t>
  </si>
  <si>
    <t>2040_1992</t>
  </si>
  <si>
    <t>2040_1993</t>
  </si>
  <si>
    <t>2040_1994</t>
  </si>
  <si>
    <t>2040_1995</t>
  </si>
  <si>
    <t>2040_1996</t>
  </si>
  <si>
    <t>2040_1997</t>
  </si>
  <si>
    <t>2040_1998</t>
  </si>
  <si>
    <t>2040_1999</t>
  </si>
  <si>
    <t>2040_2000</t>
  </si>
  <si>
    <t>2040_2001</t>
  </si>
  <si>
    <t>2040_2002</t>
  </si>
  <si>
    <t>2040_2003</t>
  </si>
  <si>
    <t>2040_2004</t>
  </si>
  <si>
    <t>2040_2005</t>
  </si>
  <si>
    <t>2040_2006</t>
  </si>
  <si>
    <t>2040_2007</t>
  </si>
  <si>
    <t>2040_2008</t>
  </si>
  <si>
    <t>2040_2009</t>
  </si>
  <si>
    <t>2040_2010</t>
  </si>
  <si>
    <t>2040_2011</t>
  </si>
  <si>
    <t>2040_2012</t>
  </si>
  <si>
    <t>2040_2013</t>
  </si>
  <si>
    <t>2040_2014</t>
  </si>
  <si>
    <t>2040_2015</t>
  </si>
  <si>
    <t>2040_2016</t>
  </si>
  <si>
    <t>2040_2017</t>
  </si>
  <si>
    <t>2040_2018</t>
  </si>
  <si>
    <t>2040_2019</t>
  </si>
  <si>
    <t>2040_2020</t>
  </si>
  <si>
    <t>2040_2021</t>
  </si>
  <si>
    <t>2040_2022</t>
  </si>
  <si>
    <t>2040_2023</t>
  </si>
  <si>
    <t>2040_2024</t>
  </si>
  <si>
    <t>2040_2025</t>
  </si>
  <si>
    <t>2040_2026</t>
  </si>
  <si>
    <t>2040_2027</t>
  </si>
  <si>
    <t>2040_2028</t>
  </si>
  <si>
    <t>2040_2029</t>
  </si>
  <si>
    <t>2040_2030</t>
  </si>
  <si>
    <t>2040_2031</t>
  </si>
  <si>
    <t>2040_2032</t>
  </si>
  <si>
    <t>2040_2033</t>
  </si>
  <si>
    <t>2040_2034</t>
  </si>
  <si>
    <t>2040_2035</t>
  </si>
  <si>
    <t>2040_2036</t>
  </si>
  <si>
    <t>2040_2037</t>
  </si>
  <si>
    <t>2040_2038</t>
  </si>
  <si>
    <t>2040_2039</t>
  </si>
  <si>
    <t>2040_2040</t>
  </si>
  <si>
    <t>2040_2041</t>
  </si>
  <si>
    <t>2041_1971</t>
  </si>
  <si>
    <t>2041_1972</t>
  </si>
  <si>
    <t>2041_1973</t>
  </si>
  <si>
    <t>2041_1974</t>
  </si>
  <si>
    <t>2041_1975</t>
  </si>
  <si>
    <t>2041_1976</t>
  </si>
  <si>
    <t>2041_1977</t>
  </si>
  <si>
    <t>2041_1978</t>
  </si>
  <si>
    <t>2041_1979</t>
  </si>
  <si>
    <t>2041_1980</t>
  </si>
  <si>
    <t>2041_1981</t>
  </si>
  <si>
    <t>2041_1982</t>
  </si>
  <si>
    <t>2041_1983</t>
  </si>
  <si>
    <t>2041_1984</t>
  </si>
  <si>
    <t>2041_1985</t>
  </si>
  <si>
    <t>2041_1986</t>
  </si>
  <si>
    <t>2041_1987</t>
  </si>
  <si>
    <t>2041_1988</t>
  </si>
  <si>
    <t>2041_1989</t>
  </si>
  <si>
    <t>2041_1990</t>
  </si>
  <si>
    <t>2041_1991</t>
  </si>
  <si>
    <t>2041_1992</t>
  </si>
  <si>
    <t>2041_1993</t>
  </si>
  <si>
    <t>2041_1994</t>
  </si>
  <si>
    <t>2041_1995</t>
  </si>
  <si>
    <t>2041_1996</t>
  </si>
  <si>
    <t>2041_1997</t>
  </si>
  <si>
    <t>2041_1998</t>
  </si>
  <si>
    <t>2041_1999</t>
  </si>
  <si>
    <t>2041_2000</t>
  </si>
  <si>
    <t>2041_2001</t>
  </si>
  <si>
    <t>2041_2002</t>
  </si>
  <si>
    <t>2041_2003</t>
  </si>
  <si>
    <t>2041_2004</t>
  </si>
  <si>
    <t>2041_2005</t>
  </si>
  <si>
    <t>2041_2006</t>
  </si>
  <si>
    <t>2041_2007</t>
  </si>
  <si>
    <t>2041_2008</t>
  </si>
  <si>
    <t>2041_2009</t>
  </si>
  <si>
    <t>2041_2010</t>
  </si>
  <si>
    <t>2041_2011</t>
  </si>
  <si>
    <t>2041_2012</t>
  </si>
  <si>
    <t>2041_2013</t>
  </si>
  <si>
    <t>2041_2014</t>
  </si>
  <si>
    <t>2041_2015</t>
  </si>
  <si>
    <t>2041_2016</t>
  </si>
  <si>
    <t>2041_2017</t>
  </si>
  <si>
    <t>2041_2018</t>
  </si>
  <si>
    <t>2041_2019</t>
  </si>
  <si>
    <t>2041_2020</t>
  </si>
  <si>
    <t>2041_2021</t>
  </si>
  <si>
    <t>2041_2022</t>
  </si>
  <si>
    <t>2041_2023</t>
  </si>
  <si>
    <t>2041_2024</t>
  </si>
  <si>
    <t>2041_2025</t>
  </si>
  <si>
    <t>2041_2026</t>
  </si>
  <si>
    <t>2041_2027</t>
  </si>
  <si>
    <t>2041_2028</t>
  </si>
  <si>
    <t>2041_2029</t>
  </si>
  <si>
    <t>2041_2030</t>
  </si>
  <si>
    <t>2041_2031</t>
  </si>
  <si>
    <t>2041_2032</t>
  </si>
  <si>
    <t>2041_2033</t>
  </si>
  <si>
    <t>2041_2034</t>
  </si>
  <si>
    <t>2041_2035</t>
  </si>
  <si>
    <t>2041_2036</t>
  </si>
  <si>
    <t>2041_2037</t>
  </si>
  <si>
    <t>2041_2038</t>
  </si>
  <si>
    <t>2041_2039</t>
  </si>
  <si>
    <t>2041_2040</t>
  </si>
  <si>
    <t>2041_2041</t>
  </si>
  <si>
    <t>2041_2042</t>
  </si>
  <si>
    <t>2042_1971</t>
  </si>
  <si>
    <t>2042_1972</t>
  </si>
  <si>
    <t>2042_1973</t>
  </si>
  <si>
    <t>2042_1974</t>
  </si>
  <si>
    <t>2042_1975</t>
  </si>
  <si>
    <t>2042_1976</t>
  </si>
  <si>
    <t>2042_1977</t>
  </si>
  <si>
    <t>2042_1978</t>
  </si>
  <si>
    <t>2042_1979</t>
  </si>
  <si>
    <t>2042_1980</t>
  </si>
  <si>
    <t>2042_1981</t>
  </si>
  <si>
    <t>2042_1982</t>
  </si>
  <si>
    <t>2042_1983</t>
  </si>
  <si>
    <t>2042_1984</t>
  </si>
  <si>
    <t>2042_1985</t>
  </si>
  <si>
    <t>2042_1986</t>
  </si>
  <si>
    <t>2042_1987</t>
  </si>
  <si>
    <t>2042_1988</t>
  </si>
  <si>
    <t>2042_1989</t>
  </si>
  <si>
    <t>2042_1990</t>
  </si>
  <si>
    <t>2042_1991</t>
  </si>
  <si>
    <t>2042_1992</t>
  </si>
  <si>
    <t>2042_1993</t>
  </si>
  <si>
    <t>2042_1994</t>
  </si>
  <si>
    <t>2042_1995</t>
  </si>
  <si>
    <t>2042_1996</t>
  </si>
  <si>
    <t>2042_1997</t>
  </si>
  <si>
    <t>2042_1998</t>
  </si>
  <si>
    <t>2042_1999</t>
  </si>
  <si>
    <t>2042_2000</t>
  </si>
  <si>
    <t>2042_2001</t>
  </si>
  <si>
    <t>2042_2002</t>
  </si>
  <si>
    <t>2042_2003</t>
  </si>
  <si>
    <t>2042_2004</t>
  </si>
  <si>
    <t>2042_2005</t>
  </si>
  <si>
    <t>2042_2006</t>
  </si>
  <si>
    <t>2042_2007</t>
  </si>
  <si>
    <t>2042_2008</t>
  </si>
  <si>
    <t>2042_2009</t>
  </si>
  <si>
    <t>2042_2010</t>
  </si>
  <si>
    <t>2042_2011</t>
  </si>
  <si>
    <t>2042_2012</t>
  </si>
  <si>
    <t>2042_2013</t>
  </si>
  <si>
    <t>2042_2014</t>
  </si>
  <si>
    <t>2042_2015</t>
  </si>
  <si>
    <t>2042_2016</t>
  </si>
  <si>
    <t>2042_2017</t>
  </si>
  <si>
    <t>2042_2018</t>
  </si>
  <si>
    <t>2042_2019</t>
  </si>
  <si>
    <t>2042_2020</t>
  </si>
  <si>
    <t>2042_2021</t>
  </si>
  <si>
    <t>2042_2022</t>
  </si>
  <si>
    <t>2042_2023</t>
  </si>
  <si>
    <t>2042_2024</t>
  </si>
  <si>
    <t>2042_2025</t>
  </si>
  <si>
    <t>2042_2026</t>
  </si>
  <si>
    <t>2042_2027</t>
  </si>
  <si>
    <t>2042_2028</t>
  </si>
  <si>
    <t>2042_2029</t>
  </si>
  <si>
    <t>2042_2030</t>
  </si>
  <si>
    <t>2042_2031</t>
  </si>
  <si>
    <t>2042_2032</t>
  </si>
  <si>
    <t>2042_2033</t>
  </si>
  <si>
    <t>2042_2034</t>
  </si>
  <si>
    <t>2042_2035</t>
  </si>
  <si>
    <t>2042_2036</t>
  </si>
  <si>
    <t>2042_2037</t>
  </si>
  <si>
    <t>2042_2038</t>
  </si>
  <si>
    <t>2042_2039</t>
  </si>
  <si>
    <t>2042_2040</t>
  </si>
  <si>
    <t>2042_2041</t>
  </si>
  <si>
    <t>2042_2042</t>
  </si>
  <si>
    <t>2042_2043</t>
  </si>
  <si>
    <t>2043_1971</t>
  </si>
  <si>
    <t>2043_1972</t>
  </si>
  <si>
    <t>2043_1973</t>
  </si>
  <si>
    <t>2043_1974</t>
  </si>
  <si>
    <t>2043_1975</t>
  </si>
  <si>
    <t>2043_1976</t>
  </si>
  <si>
    <t>2043_1977</t>
  </si>
  <si>
    <t>2043_1978</t>
  </si>
  <si>
    <t>2043_1979</t>
  </si>
  <si>
    <t>2043_1980</t>
  </si>
  <si>
    <t>2043_1981</t>
  </si>
  <si>
    <t>2043_1982</t>
  </si>
  <si>
    <t>2043_1983</t>
  </si>
  <si>
    <t>2043_1984</t>
  </si>
  <si>
    <t>2043_1985</t>
  </si>
  <si>
    <t>2043_1986</t>
  </si>
  <si>
    <t>2043_1987</t>
  </si>
  <si>
    <t>2043_1988</t>
  </si>
  <si>
    <t>2043_1989</t>
  </si>
  <si>
    <t>2043_1990</t>
  </si>
  <si>
    <t>2043_1991</t>
  </si>
  <si>
    <t>2043_1992</t>
  </si>
  <si>
    <t>2043_1993</t>
  </si>
  <si>
    <t>2043_1994</t>
  </si>
  <si>
    <t>2043_1995</t>
  </si>
  <si>
    <t>2043_1996</t>
  </si>
  <si>
    <t>2043_1997</t>
  </si>
  <si>
    <t>2043_1998</t>
  </si>
  <si>
    <t>2043_1999</t>
  </si>
  <si>
    <t>2043_2000</t>
  </si>
  <si>
    <t>2043_2001</t>
  </si>
  <si>
    <t>2043_2002</t>
  </si>
  <si>
    <t>2043_2003</t>
  </si>
  <si>
    <t>2043_2004</t>
  </si>
  <si>
    <t>2043_2005</t>
  </si>
  <si>
    <t>2043_2006</t>
  </si>
  <si>
    <t>2043_2007</t>
  </si>
  <si>
    <t>2043_2008</t>
  </si>
  <si>
    <t>2043_2009</t>
  </si>
  <si>
    <t>2043_2010</t>
  </si>
  <si>
    <t>2043_2011</t>
  </si>
  <si>
    <t>2043_2012</t>
  </si>
  <si>
    <t>2043_2013</t>
  </si>
  <si>
    <t>2043_2014</t>
  </si>
  <si>
    <t>2043_2015</t>
  </si>
  <si>
    <t>2043_2016</t>
  </si>
  <si>
    <t>2043_2017</t>
  </si>
  <si>
    <t>2043_2018</t>
  </si>
  <si>
    <t>2043_2019</t>
  </si>
  <si>
    <t>2043_2020</t>
  </si>
  <si>
    <t>2043_2021</t>
  </si>
  <si>
    <t>2043_2022</t>
  </si>
  <si>
    <t>2043_2023</t>
  </si>
  <si>
    <t>2043_2024</t>
  </si>
  <si>
    <t>2043_2025</t>
  </si>
  <si>
    <t>2043_2026</t>
  </si>
  <si>
    <t>2043_2027</t>
  </si>
  <si>
    <t>2043_2028</t>
  </si>
  <si>
    <t>2043_2029</t>
  </si>
  <si>
    <t>2043_2030</t>
  </si>
  <si>
    <t>2043_2031</t>
  </si>
  <si>
    <t>2043_2032</t>
  </si>
  <si>
    <t>2043_2033</t>
  </si>
  <si>
    <t>2043_2034</t>
  </si>
  <si>
    <t>2043_2035</t>
  </si>
  <si>
    <t>2043_2036</t>
  </si>
  <si>
    <t>2043_2037</t>
  </si>
  <si>
    <t>2043_2038</t>
  </si>
  <si>
    <t>2043_2039</t>
  </si>
  <si>
    <t>2043_2040</t>
  </si>
  <si>
    <t>2043_2041</t>
  </si>
  <si>
    <t>2043_2042</t>
  </si>
  <si>
    <t>2043_2043</t>
  </si>
  <si>
    <t>2043_2044</t>
  </si>
  <si>
    <t>2044_1971</t>
  </si>
  <si>
    <t>2044_1972</t>
  </si>
  <si>
    <t>2044_1973</t>
  </si>
  <si>
    <t>2044_1974</t>
  </si>
  <si>
    <t>2044_1975</t>
  </si>
  <si>
    <t>2044_1976</t>
  </si>
  <si>
    <t>2044_1977</t>
  </si>
  <si>
    <t>2044_1978</t>
  </si>
  <si>
    <t>2044_1979</t>
  </si>
  <si>
    <t>2044_1980</t>
  </si>
  <si>
    <t>2044_1981</t>
  </si>
  <si>
    <t>2044_1982</t>
  </si>
  <si>
    <t>2044_1983</t>
  </si>
  <si>
    <t>2044_1984</t>
  </si>
  <si>
    <t>2044_1985</t>
  </si>
  <si>
    <t>2044_1986</t>
  </si>
  <si>
    <t>2044_1987</t>
  </si>
  <si>
    <t>2044_1988</t>
  </si>
  <si>
    <t>2044_1989</t>
  </si>
  <si>
    <t>2044_1990</t>
  </si>
  <si>
    <t>2044_1991</t>
  </si>
  <si>
    <t>2044_1992</t>
  </si>
  <si>
    <t>2044_1993</t>
  </si>
  <si>
    <t>2044_1994</t>
  </si>
  <si>
    <t>2044_1995</t>
  </si>
  <si>
    <t>2044_1996</t>
  </si>
  <si>
    <t>2044_1997</t>
  </si>
  <si>
    <t>2044_1998</t>
  </si>
  <si>
    <t>2044_1999</t>
  </si>
  <si>
    <t>2044_2000</t>
  </si>
  <si>
    <t>2044_2001</t>
  </si>
  <si>
    <t>2044_2002</t>
  </si>
  <si>
    <t>2044_2003</t>
  </si>
  <si>
    <t>2044_2004</t>
  </si>
  <si>
    <t>2044_2005</t>
  </si>
  <si>
    <t>2044_2006</t>
  </si>
  <si>
    <t>2044_2007</t>
  </si>
  <si>
    <t>2044_2008</t>
  </si>
  <si>
    <t>2044_2009</t>
  </si>
  <si>
    <t>2044_2010</t>
  </si>
  <si>
    <t>2044_2011</t>
  </si>
  <si>
    <t>2044_2012</t>
  </si>
  <si>
    <t>2044_2013</t>
  </si>
  <si>
    <t>2044_2014</t>
  </si>
  <si>
    <t>2044_2015</t>
  </si>
  <si>
    <t>2044_2016</t>
  </si>
  <si>
    <t>2044_2017</t>
  </si>
  <si>
    <t>2044_2018</t>
  </si>
  <si>
    <t>2044_2019</t>
  </si>
  <si>
    <t>2044_2020</t>
  </si>
  <si>
    <t>2044_2021</t>
  </si>
  <si>
    <t>2044_2022</t>
  </si>
  <si>
    <t>2044_2023</t>
  </si>
  <si>
    <t>2044_2024</t>
  </si>
  <si>
    <t>2044_2025</t>
  </si>
  <si>
    <t>2044_2026</t>
  </si>
  <si>
    <t>2044_2027</t>
  </si>
  <si>
    <t>2044_2028</t>
  </si>
  <si>
    <t>2044_2029</t>
  </si>
  <si>
    <t>2044_2030</t>
  </si>
  <si>
    <t>2044_2031</t>
  </si>
  <si>
    <t>2044_2032</t>
  </si>
  <si>
    <t>2044_2033</t>
  </si>
  <si>
    <t>2044_2034</t>
  </si>
  <si>
    <t>2044_2035</t>
  </si>
  <si>
    <t>2044_2036</t>
  </si>
  <si>
    <t>2044_2037</t>
  </si>
  <si>
    <t>2044_2038</t>
  </si>
  <si>
    <t>2044_2039</t>
  </si>
  <si>
    <t>2044_2040</t>
  </si>
  <si>
    <t>2044_2041</t>
  </si>
  <si>
    <t>2044_2042</t>
  </si>
  <si>
    <t>2044_2043</t>
  </si>
  <si>
    <t>2044_2044</t>
  </si>
  <si>
    <t>2044_2045</t>
  </si>
  <si>
    <t>2045_1971</t>
  </si>
  <si>
    <t>2045_1972</t>
  </si>
  <si>
    <t>2045_1973</t>
  </si>
  <si>
    <t>2045_1974</t>
  </si>
  <si>
    <t>2045_1975</t>
  </si>
  <si>
    <t>2045_1976</t>
  </si>
  <si>
    <t>2045_1977</t>
  </si>
  <si>
    <t>2045_1978</t>
  </si>
  <si>
    <t>2045_1979</t>
  </si>
  <si>
    <t>2045_1980</t>
  </si>
  <si>
    <t>2045_1981</t>
  </si>
  <si>
    <t>2045_1982</t>
  </si>
  <si>
    <t>2045_1983</t>
  </si>
  <si>
    <t>2045_1984</t>
  </si>
  <si>
    <t>2045_1985</t>
  </si>
  <si>
    <t>2045_1986</t>
  </si>
  <si>
    <t>2045_1987</t>
  </si>
  <si>
    <t>2045_1988</t>
  </si>
  <si>
    <t>2045_1989</t>
  </si>
  <si>
    <t>2045_1990</t>
  </si>
  <si>
    <t>2045_1991</t>
  </si>
  <si>
    <t>2045_1992</t>
  </si>
  <si>
    <t>2045_1993</t>
  </si>
  <si>
    <t>2045_1994</t>
  </si>
  <si>
    <t>2045_1995</t>
  </si>
  <si>
    <t>2045_1996</t>
  </si>
  <si>
    <t>2045_1997</t>
  </si>
  <si>
    <t>2045_1998</t>
  </si>
  <si>
    <t>2045_1999</t>
  </si>
  <si>
    <t>2045_2000</t>
  </si>
  <si>
    <t>2045_2001</t>
  </si>
  <si>
    <t>2045_2002</t>
  </si>
  <si>
    <t>2045_2003</t>
  </si>
  <si>
    <t>2045_2004</t>
  </si>
  <si>
    <t>2045_2005</t>
  </si>
  <si>
    <t>2045_2006</t>
  </si>
  <si>
    <t>2045_2007</t>
  </si>
  <si>
    <t>2045_2008</t>
  </si>
  <si>
    <t>2045_2009</t>
  </si>
  <si>
    <t>2045_2010</t>
  </si>
  <si>
    <t>2045_2011</t>
  </si>
  <si>
    <t>2045_2012</t>
  </si>
  <si>
    <t>2045_2013</t>
  </si>
  <si>
    <t>2045_2014</t>
  </si>
  <si>
    <t>2045_2015</t>
  </si>
  <si>
    <t>2045_2016</t>
  </si>
  <si>
    <t>2045_2017</t>
  </si>
  <si>
    <t>2045_2018</t>
  </si>
  <si>
    <t>2045_2019</t>
  </si>
  <si>
    <t>2045_2020</t>
  </si>
  <si>
    <t>2045_2021</t>
  </si>
  <si>
    <t>2045_2022</t>
  </si>
  <si>
    <t>2045_2023</t>
  </si>
  <si>
    <t>2045_2024</t>
  </si>
  <si>
    <t>2045_2025</t>
  </si>
  <si>
    <t>2045_2026</t>
  </si>
  <si>
    <t>2045_2027</t>
  </si>
  <si>
    <t>2045_2028</t>
  </si>
  <si>
    <t>2045_2029</t>
  </si>
  <si>
    <t>2045_2030</t>
  </si>
  <si>
    <t>2045_2031</t>
  </si>
  <si>
    <t>2045_2032</t>
  </si>
  <si>
    <t>2045_2033</t>
  </si>
  <si>
    <t>2045_2034</t>
  </si>
  <si>
    <t>2045_2035</t>
  </si>
  <si>
    <t>2045_2036</t>
  </si>
  <si>
    <t>2045_2037</t>
  </si>
  <si>
    <t>2045_2038</t>
  </si>
  <si>
    <t>2045_2039</t>
  </si>
  <si>
    <t>2045_2040</t>
  </si>
  <si>
    <t>2045_2041</t>
  </si>
  <si>
    <t>2045_2042</t>
  </si>
  <si>
    <t>2045_2043</t>
  </si>
  <si>
    <t>2045_2044</t>
  </si>
  <si>
    <t>2045_2045</t>
  </si>
  <si>
    <t>2045_2046</t>
  </si>
  <si>
    <t>2046_1971</t>
  </si>
  <si>
    <t>2046_1972</t>
  </si>
  <si>
    <t>2046_1973</t>
  </si>
  <si>
    <t>2046_1974</t>
  </si>
  <si>
    <t>2046_1975</t>
  </si>
  <si>
    <t>2046_1976</t>
  </si>
  <si>
    <t>2046_1977</t>
  </si>
  <si>
    <t>2046_1978</t>
  </si>
  <si>
    <t>2046_1979</t>
  </si>
  <si>
    <t>2046_1980</t>
  </si>
  <si>
    <t>2046_1981</t>
  </si>
  <si>
    <t>2046_1982</t>
  </si>
  <si>
    <t>2046_1983</t>
  </si>
  <si>
    <t>2046_1984</t>
  </si>
  <si>
    <t>2046_1985</t>
  </si>
  <si>
    <t>2046_1986</t>
  </si>
  <si>
    <t>2046_1987</t>
  </si>
  <si>
    <t>2046_1988</t>
  </si>
  <si>
    <t>2046_1989</t>
  </si>
  <si>
    <t>2046_1990</t>
  </si>
  <si>
    <t>2046_1991</t>
  </si>
  <si>
    <t>2046_1992</t>
  </si>
  <si>
    <t>2046_1993</t>
  </si>
  <si>
    <t>2046_1994</t>
  </si>
  <si>
    <t>2046_1995</t>
  </si>
  <si>
    <t>2046_1996</t>
  </si>
  <si>
    <t>2046_1997</t>
  </si>
  <si>
    <t>2046_1998</t>
  </si>
  <si>
    <t>2046_1999</t>
  </si>
  <si>
    <t>2046_2000</t>
  </si>
  <si>
    <t>2046_2001</t>
  </si>
  <si>
    <t>2046_2002</t>
  </si>
  <si>
    <t>2046_2003</t>
  </si>
  <si>
    <t>2046_2004</t>
  </si>
  <si>
    <t>2046_2005</t>
  </si>
  <si>
    <t>2046_2006</t>
  </si>
  <si>
    <t>2046_2007</t>
  </si>
  <si>
    <t>2046_2008</t>
  </si>
  <si>
    <t>2046_2009</t>
  </si>
  <si>
    <t>2046_2010</t>
  </si>
  <si>
    <t>2046_2011</t>
  </si>
  <si>
    <t>2046_2012</t>
  </si>
  <si>
    <t>2046_2013</t>
  </si>
  <si>
    <t>2046_2014</t>
  </si>
  <si>
    <t>2046_2015</t>
  </si>
  <si>
    <t>2046_2016</t>
  </si>
  <si>
    <t>2046_2017</t>
  </si>
  <si>
    <t>2046_2018</t>
  </si>
  <si>
    <t>2046_2019</t>
  </si>
  <si>
    <t>2046_2020</t>
  </si>
  <si>
    <t>2046_2021</t>
  </si>
  <si>
    <t>2046_2022</t>
  </si>
  <si>
    <t>2046_2023</t>
  </si>
  <si>
    <t>2046_2024</t>
  </si>
  <si>
    <t>2046_2025</t>
  </si>
  <si>
    <t>2046_2026</t>
  </si>
  <si>
    <t>2046_2027</t>
  </si>
  <si>
    <t>2046_2028</t>
  </si>
  <si>
    <t>2046_2029</t>
  </si>
  <si>
    <t>2046_2030</t>
  </si>
  <si>
    <t>2046_2031</t>
  </si>
  <si>
    <t>2046_2032</t>
  </si>
  <si>
    <t>2046_2033</t>
  </si>
  <si>
    <t>2046_2034</t>
  </si>
  <si>
    <t>2046_2035</t>
  </si>
  <si>
    <t>2046_2036</t>
  </si>
  <si>
    <t>2046_2037</t>
  </si>
  <si>
    <t>2046_2038</t>
  </si>
  <si>
    <t>2046_2039</t>
  </si>
  <si>
    <t>2046_2040</t>
  </si>
  <si>
    <t>2046_2041</t>
  </si>
  <si>
    <t>2046_2042</t>
  </si>
  <si>
    <t>2046_2043</t>
  </si>
  <si>
    <t>2046_2044</t>
  </si>
  <si>
    <t>2046_2045</t>
  </si>
  <si>
    <t>2046_2046</t>
  </si>
  <si>
    <t>2046_2047</t>
  </si>
  <si>
    <t>2047_1971</t>
  </si>
  <si>
    <t>2047_1972</t>
  </si>
  <si>
    <t>2047_1973</t>
  </si>
  <si>
    <t>2047_1974</t>
  </si>
  <si>
    <t>2047_1975</t>
  </si>
  <si>
    <t>2047_1976</t>
  </si>
  <si>
    <t>2047_1977</t>
  </si>
  <si>
    <t>2047_1978</t>
  </si>
  <si>
    <t>2047_1979</t>
  </si>
  <si>
    <t>2047_1980</t>
  </si>
  <si>
    <t>2047_1981</t>
  </si>
  <si>
    <t>2047_1982</t>
  </si>
  <si>
    <t>2047_1983</t>
  </si>
  <si>
    <t>2047_1984</t>
  </si>
  <si>
    <t>2047_1985</t>
  </si>
  <si>
    <t>2047_1986</t>
  </si>
  <si>
    <t>2047_1987</t>
  </si>
  <si>
    <t>2047_1988</t>
  </si>
  <si>
    <t>2047_1989</t>
  </si>
  <si>
    <t>2047_1990</t>
  </si>
  <si>
    <t>2047_1991</t>
  </si>
  <si>
    <t>2047_1992</t>
  </si>
  <si>
    <t>2047_1993</t>
  </si>
  <si>
    <t>2047_1994</t>
  </si>
  <si>
    <t>2047_1995</t>
  </si>
  <si>
    <t>2047_1996</t>
  </si>
  <si>
    <t>2047_1997</t>
  </si>
  <si>
    <t>2047_1998</t>
  </si>
  <si>
    <t>2047_1999</t>
  </si>
  <si>
    <t>2047_2000</t>
  </si>
  <si>
    <t>2047_2001</t>
  </si>
  <si>
    <t>2047_2002</t>
  </si>
  <si>
    <t>2047_2003</t>
  </si>
  <si>
    <t>2047_2004</t>
  </si>
  <si>
    <t>2047_2005</t>
  </si>
  <si>
    <t>2047_2006</t>
  </si>
  <si>
    <t>2047_2007</t>
  </si>
  <si>
    <t>2047_2008</t>
  </si>
  <si>
    <t>2047_2009</t>
  </si>
  <si>
    <t>2047_2010</t>
  </si>
  <si>
    <t>2047_2011</t>
  </si>
  <si>
    <t>2047_2012</t>
  </si>
  <si>
    <t>2047_2013</t>
  </si>
  <si>
    <t>2047_2014</t>
  </si>
  <si>
    <t>2047_2015</t>
  </si>
  <si>
    <t>2047_2016</t>
  </si>
  <si>
    <t>2047_2017</t>
  </si>
  <si>
    <t>2047_2018</t>
  </si>
  <si>
    <t>2047_2019</t>
  </si>
  <si>
    <t>2047_2020</t>
  </si>
  <si>
    <t>2047_2021</t>
  </si>
  <si>
    <t>2047_2022</t>
  </si>
  <si>
    <t>2047_2023</t>
  </si>
  <si>
    <t>2047_2024</t>
  </si>
  <si>
    <t>2047_2025</t>
  </si>
  <si>
    <t>2047_2026</t>
  </si>
  <si>
    <t>2047_2027</t>
  </si>
  <si>
    <t>2047_2028</t>
  </si>
  <si>
    <t>2047_2029</t>
  </si>
  <si>
    <t>2047_2030</t>
  </si>
  <si>
    <t>2047_2031</t>
  </si>
  <si>
    <t>2047_2032</t>
  </si>
  <si>
    <t>2047_2033</t>
  </si>
  <si>
    <t>2047_2034</t>
  </si>
  <si>
    <t>2047_2035</t>
  </si>
  <si>
    <t>2047_2036</t>
  </si>
  <si>
    <t>2047_2037</t>
  </si>
  <si>
    <t>2047_2038</t>
  </si>
  <si>
    <t>2047_2039</t>
  </si>
  <si>
    <t>2047_2040</t>
  </si>
  <si>
    <t>2047_2041</t>
  </si>
  <si>
    <t>2047_2042</t>
  </si>
  <si>
    <t>2047_2043</t>
  </si>
  <si>
    <t>2047_2044</t>
  </si>
  <si>
    <t>2047_2045</t>
  </si>
  <si>
    <t>2047_2046</t>
  </si>
  <si>
    <t>2047_2047</t>
  </si>
  <si>
    <t>2047_2048</t>
  </si>
  <si>
    <t>2048_1971</t>
  </si>
  <si>
    <t>2048_1972</t>
  </si>
  <si>
    <t>2048_1973</t>
  </si>
  <si>
    <t>2048_1974</t>
  </si>
  <si>
    <t>2048_1975</t>
  </si>
  <si>
    <t>2048_1976</t>
  </si>
  <si>
    <t>2048_1977</t>
  </si>
  <si>
    <t>2048_1978</t>
  </si>
  <si>
    <t>2048_1979</t>
  </si>
  <si>
    <t>2048_1980</t>
  </si>
  <si>
    <t>2048_1981</t>
  </si>
  <si>
    <t>2048_1982</t>
  </si>
  <si>
    <t>2048_1983</t>
  </si>
  <si>
    <t>2048_1984</t>
  </si>
  <si>
    <t>2048_1985</t>
  </si>
  <si>
    <t>2048_1986</t>
  </si>
  <si>
    <t>2048_1987</t>
  </si>
  <si>
    <t>2048_1988</t>
  </si>
  <si>
    <t>2048_1989</t>
  </si>
  <si>
    <t>2048_1990</t>
  </si>
  <si>
    <t>2048_1991</t>
  </si>
  <si>
    <t>2048_1992</t>
  </si>
  <si>
    <t>2048_1993</t>
  </si>
  <si>
    <t>2048_1994</t>
  </si>
  <si>
    <t>2048_1995</t>
  </si>
  <si>
    <t>2048_1996</t>
  </si>
  <si>
    <t>2048_1997</t>
  </si>
  <si>
    <t>2048_1998</t>
  </si>
  <si>
    <t>2048_1999</t>
  </si>
  <si>
    <t>2048_2000</t>
  </si>
  <si>
    <t>2048_2001</t>
  </si>
  <si>
    <t>2048_2002</t>
  </si>
  <si>
    <t>2048_2003</t>
  </si>
  <si>
    <t>2048_2004</t>
  </si>
  <si>
    <t>2048_2005</t>
  </si>
  <si>
    <t>2048_2006</t>
  </si>
  <si>
    <t>2048_2007</t>
  </si>
  <si>
    <t>2048_2008</t>
  </si>
  <si>
    <t>2048_2009</t>
  </si>
  <si>
    <t>2048_2010</t>
  </si>
  <si>
    <t>2048_2011</t>
  </si>
  <si>
    <t>2048_2012</t>
  </si>
  <si>
    <t>2048_2013</t>
  </si>
  <si>
    <t>2048_2014</t>
  </si>
  <si>
    <t>2048_2015</t>
  </si>
  <si>
    <t>2048_2016</t>
  </si>
  <si>
    <t>2048_2017</t>
  </si>
  <si>
    <t>2048_2018</t>
  </si>
  <si>
    <t>2048_2019</t>
  </si>
  <si>
    <t>2048_2020</t>
  </si>
  <si>
    <t>2048_2021</t>
  </si>
  <si>
    <t>2048_2022</t>
  </si>
  <si>
    <t>2048_2023</t>
  </si>
  <si>
    <t>2048_2024</t>
  </si>
  <si>
    <t>2048_2025</t>
  </si>
  <si>
    <t>2048_2026</t>
  </si>
  <si>
    <t>2048_2027</t>
  </si>
  <si>
    <t>2048_2028</t>
  </si>
  <si>
    <t>2048_2029</t>
  </si>
  <si>
    <t>2048_2030</t>
  </si>
  <si>
    <t>2048_2031</t>
  </si>
  <si>
    <t>2048_2032</t>
  </si>
  <si>
    <t>2048_2033</t>
  </si>
  <si>
    <t>2048_2034</t>
  </si>
  <si>
    <t>2048_2035</t>
  </si>
  <si>
    <t>2048_2036</t>
  </si>
  <si>
    <t>2048_2037</t>
  </si>
  <si>
    <t>2048_2038</t>
  </si>
  <si>
    <t>2048_2039</t>
  </si>
  <si>
    <t>2048_2040</t>
  </si>
  <si>
    <t>2048_2041</t>
  </si>
  <si>
    <t>2048_2042</t>
  </si>
  <si>
    <t>2048_2043</t>
  </si>
  <si>
    <t>2048_2044</t>
  </si>
  <si>
    <t>2048_2045</t>
  </si>
  <si>
    <t>2048_2046</t>
  </si>
  <si>
    <t>2048_2047</t>
  </si>
  <si>
    <t>2048_2048</t>
  </si>
  <si>
    <t>2048_2049</t>
  </si>
  <si>
    <t>2049_1971</t>
  </si>
  <si>
    <t>2049_1972</t>
  </si>
  <si>
    <t>2049_1973</t>
  </si>
  <si>
    <t>2049_1974</t>
  </si>
  <si>
    <t>2049_1975</t>
  </si>
  <si>
    <t>2049_1976</t>
  </si>
  <si>
    <t>2049_1977</t>
  </si>
  <si>
    <t>2049_1978</t>
  </si>
  <si>
    <t>2049_1979</t>
  </si>
  <si>
    <t>2049_1980</t>
  </si>
  <si>
    <t>2049_1981</t>
  </si>
  <si>
    <t>2049_1982</t>
  </si>
  <si>
    <t>2049_1983</t>
  </si>
  <si>
    <t>2049_1984</t>
  </si>
  <si>
    <t>2049_1985</t>
  </si>
  <si>
    <t>2049_1986</t>
  </si>
  <si>
    <t>2049_1987</t>
  </si>
  <si>
    <t>2049_1988</t>
  </si>
  <si>
    <t>2049_1989</t>
  </si>
  <si>
    <t>2049_1990</t>
  </si>
  <si>
    <t>2049_1991</t>
  </si>
  <si>
    <t>2049_1992</t>
  </si>
  <si>
    <t>2049_1993</t>
  </si>
  <si>
    <t>2049_1994</t>
  </si>
  <si>
    <t>2049_1995</t>
  </si>
  <si>
    <t>2049_1996</t>
  </si>
  <si>
    <t>2049_1997</t>
  </si>
  <si>
    <t>2049_1998</t>
  </si>
  <si>
    <t>2049_1999</t>
  </si>
  <si>
    <t>2049_2000</t>
  </si>
  <si>
    <t>2049_2001</t>
  </si>
  <si>
    <t>2049_2002</t>
  </si>
  <si>
    <t>2049_2003</t>
  </si>
  <si>
    <t>2049_2004</t>
  </si>
  <si>
    <t>2049_2005</t>
  </si>
  <si>
    <t>2049_2006</t>
  </si>
  <si>
    <t>2049_2007</t>
  </si>
  <si>
    <t>2049_2008</t>
  </si>
  <si>
    <t>2049_2009</t>
  </si>
  <si>
    <t>2049_2010</t>
  </si>
  <si>
    <t>2049_2011</t>
  </si>
  <si>
    <t>2049_2012</t>
  </si>
  <si>
    <t>2049_2013</t>
  </si>
  <si>
    <t>2049_2014</t>
  </si>
  <si>
    <t>2049_2015</t>
  </si>
  <si>
    <t>2049_2016</t>
  </si>
  <si>
    <t>2049_2017</t>
  </si>
  <si>
    <t>2049_2018</t>
  </si>
  <si>
    <t>2049_2019</t>
  </si>
  <si>
    <t>2049_2020</t>
  </si>
  <si>
    <t>2049_2021</t>
  </si>
  <si>
    <t>2049_2022</t>
  </si>
  <si>
    <t>2049_2023</t>
  </si>
  <si>
    <t>2049_2024</t>
  </si>
  <si>
    <t>2049_2025</t>
  </si>
  <si>
    <t>2049_2026</t>
  </si>
  <si>
    <t>2049_2027</t>
  </si>
  <si>
    <t>2049_2028</t>
  </si>
  <si>
    <t>2049_2029</t>
  </si>
  <si>
    <t>2049_2030</t>
  </si>
  <si>
    <t>2049_2031</t>
  </si>
  <si>
    <t>2049_2032</t>
  </si>
  <si>
    <t>2049_2033</t>
  </si>
  <si>
    <t>2049_2034</t>
  </si>
  <si>
    <t>2049_2035</t>
  </si>
  <si>
    <t>2049_2036</t>
  </si>
  <si>
    <t>2049_2037</t>
  </si>
  <si>
    <t>2049_2038</t>
  </si>
  <si>
    <t>2049_2039</t>
  </si>
  <si>
    <t>2049_2040</t>
  </si>
  <si>
    <t>2049_2041</t>
  </si>
  <si>
    <t>2049_2042</t>
  </si>
  <si>
    <t>2049_2043</t>
  </si>
  <si>
    <t>2049_2044</t>
  </si>
  <si>
    <t>2049_2045</t>
  </si>
  <si>
    <t>2049_2046</t>
  </si>
  <si>
    <t>2049_2047</t>
  </si>
  <si>
    <t>2049_2048</t>
  </si>
  <si>
    <t>2049_2049</t>
  </si>
  <si>
    <t>2049_2050</t>
  </si>
  <si>
    <t>2050_1971</t>
  </si>
  <si>
    <t>2050_1972</t>
  </si>
  <si>
    <t>2050_1973</t>
  </si>
  <si>
    <t>2050_1974</t>
  </si>
  <si>
    <t>2050_1975</t>
  </si>
  <si>
    <t>2050_1976</t>
  </si>
  <si>
    <t>2050_1977</t>
  </si>
  <si>
    <t>2050_1978</t>
  </si>
  <si>
    <t>2050_1979</t>
  </si>
  <si>
    <t>2050_1980</t>
  </si>
  <si>
    <t>2050_1981</t>
  </si>
  <si>
    <t>2050_1982</t>
  </si>
  <si>
    <t>2050_1983</t>
  </si>
  <si>
    <t>2050_1984</t>
  </si>
  <si>
    <t>2050_1985</t>
  </si>
  <si>
    <t>2050_1986</t>
  </si>
  <si>
    <t>2050_1987</t>
  </si>
  <si>
    <t>2050_1988</t>
  </si>
  <si>
    <t>2050_1989</t>
  </si>
  <si>
    <t>2050_1990</t>
  </si>
  <si>
    <t>2050_1991</t>
  </si>
  <si>
    <t>2050_1992</t>
  </si>
  <si>
    <t>2050_1993</t>
  </si>
  <si>
    <t>2050_1994</t>
  </si>
  <si>
    <t>2050_1995</t>
  </si>
  <si>
    <t>2050_1996</t>
  </si>
  <si>
    <t>2050_1997</t>
  </si>
  <si>
    <t>2050_1998</t>
  </si>
  <si>
    <t>2050_1999</t>
  </si>
  <si>
    <t>2050_2000</t>
  </si>
  <si>
    <t>2050_2001</t>
  </si>
  <si>
    <t>2050_2002</t>
  </si>
  <si>
    <t>2050_2003</t>
  </si>
  <si>
    <t>2050_2004</t>
  </si>
  <si>
    <t>2050_2005</t>
  </si>
  <si>
    <t>2050_2006</t>
  </si>
  <si>
    <t>2050_2007</t>
  </si>
  <si>
    <t>2050_2008</t>
  </si>
  <si>
    <t>2050_2009</t>
  </si>
  <si>
    <t>2050_2010</t>
  </si>
  <si>
    <t>2050_2011</t>
  </si>
  <si>
    <t>2050_2012</t>
  </si>
  <si>
    <t>2050_2013</t>
  </si>
  <si>
    <t>2050_2014</t>
  </si>
  <si>
    <t>2050_2015</t>
  </si>
  <si>
    <t>2050_2016</t>
  </si>
  <si>
    <t>2050_2017</t>
  </si>
  <si>
    <t>2050_2018</t>
  </si>
  <si>
    <t>2050_2019</t>
  </si>
  <si>
    <t>2050_2020</t>
  </si>
  <si>
    <t>2050_2021</t>
  </si>
  <si>
    <t>2050_2022</t>
  </si>
  <si>
    <t>2050_2023</t>
  </si>
  <si>
    <t>2050_2024</t>
  </si>
  <si>
    <t>2050_2025</t>
  </si>
  <si>
    <t>2050_2026</t>
  </si>
  <si>
    <t>2050_2027</t>
  </si>
  <si>
    <t>2050_2028</t>
  </si>
  <si>
    <t>2050_2029</t>
  </si>
  <si>
    <t>2050_2030</t>
  </si>
  <si>
    <t>2050_2031</t>
  </si>
  <si>
    <t>2050_2032</t>
  </si>
  <si>
    <t>2050_2033</t>
  </si>
  <si>
    <t>2050_2034</t>
  </si>
  <si>
    <t>2050_2035</t>
  </si>
  <si>
    <t>2050_2036</t>
  </si>
  <si>
    <t>2050_2037</t>
  </si>
  <si>
    <t>2050_2038</t>
  </si>
  <si>
    <t>2050_2039</t>
  </si>
  <si>
    <t>2050_2040</t>
  </si>
  <si>
    <t>2050_2041</t>
  </si>
  <si>
    <t>2050_2042</t>
  </si>
  <si>
    <t>2050_2043</t>
  </si>
  <si>
    <t>2050_2044</t>
  </si>
  <si>
    <t>2050_2045</t>
  </si>
  <si>
    <t>2050_2046</t>
  </si>
  <si>
    <t>2050_2047</t>
  </si>
  <si>
    <t>2050_2048</t>
  </si>
  <si>
    <t>2050_2049</t>
  </si>
  <si>
    <t>2050_2050</t>
  </si>
  <si>
    <t>2050_2051</t>
  </si>
  <si>
    <t>Select Criteria and Toxic Air Pollutant Emission Factors for Passenger Autos</t>
  </si>
  <si>
    <t>Calendar Year:  2015, 2016, 2017, 2018, 2019, 2020, 2021, 2022, 2023, 2024, 2025, 2026, 2027, 2028, 2029, 2030, 2031, 2032, 2033, 2034, 2035, 2036, 2037, 2038, 2039, 2040, 2041, 2042, 2043, 2044, 2045, 2046, 2047,</t>
  </si>
  <si>
    <t>2048, 2049, 2050</t>
  </si>
  <si>
    <t>Model Year:  Aggregated</t>
  </si>
  <si>
    <t>Units:  miles/day for VMT, trips/day for Trips, g/mile for RUNEX, PMBW and PMTW, g/trip for STREX, HTSK and RUNLS, g/vehicle/day for IDLEX, RESTL and DIURN</t>
  </si>
  <si>
    <t>* Passenger auto criteria pollutant and toxic air contaminant emission factors are annually weighted to account for the four different vehicle class types (LDA, LDT1, LDT2, MDV). The</t>
  </si>
  <si>
    <r>
      <rPr>
        <b/>
        <sz val="12"/>
        <rFont val="Avenir LT Std 55 Roman"/>
        <family val="2"/>
      </rPr>
      <t>weighting is calculated as follows:</t>
    </r>
    <r>
      <rPr>
        <sz val="12"/>
        <rFont val="Avenir LT Std 55 Roman"/>
        <family val="2"/>
      </rPr>
      <t xml:space="preserve"> Each criteria and toxic RUNEX emission factor (g/mile) for each vehicle class type using both diesel and gasoline is multiplied by the associated vehicle miles</t>
    </r>
  </si>
  <si>
    <t>traveled (VMT) (miles/day) to generate a daily emissions output (g/day). The annual VMT driven by each vehicle class and the calculated emissions output (g/day) are both aggregated separately.</t>
  </si>
  <si>
    <t>The aggregated emissions output (g/day) is divided by the aggregated VMT (miles/day) of the four vehicle class types. The final result is an annually weighted emission factor in grams per mile</t>
  </si>
  <si>
    <t>(g/mile) for each air pollutant.</t>
  </si>
  <si>
    <t xml:space="preserve">Criteria </t>
  </si>
  <si>
    <t>Toxics</t>
  </si>
  <si>
    <t>Calendar Year</t>
  </si>
  <si>
    <t>Region_Calendar Year</t>
  </si>
  <si>
    <t>Weighted ROG (g/mile)</t>
  </si>
  <si>
    <r>
      <t>Weighted NO</t>
    </r>
    <r>
      <rPr>
        <b/>
        <vertAlign val="subscript"/>
        <sz val="12"/>
        <color theme="1"/>
        <rFont val="Avenir LT Std 55 Roman"/>
        <family val="2"/>
      </rPr>
      <t xml:space="preserve">x </t>
    </r>
    <r>
      <rPr>
        <b/>
        <sz val="12"/>
        <color theme="1"/>
        <rFont val="Avenir LT Std 55 Roman"/>
        <family val="2"/>
      </rPr>
      <t>(g/mile)</t>
    </r>
  </si>
  <si>
    <r>
      <t>Weighted PM</t>
    </r>
    <r>
      <rPr>
        <b/>
        <vertAlign val="subscript"/>
        <sz val="12"/>
        <color theme="1"/>
        <rFont val="Avenir LT Std 55 Roman"/>
        <family val="2"/>
      </rPr>
      <t>10</t>
    </r>
    <r>
      <rPr>
        <b/>
        <sz val="12"/>
        <color theme="1"/>
        <rFont val="Avenir LT Std 55 Roman"/>
        <family val="2"/>
      </rPr>
      <t xml:space="preserve"> (g/mile)</t>
    </r>
  </si>
  <si>
    <r>
      <t>Weighted PM</t>
    </r>
    <r>
      <rPr>
        <b/>
        <vertAlign val="subscript"/>
        <sz val="12"/>
        <color theme="1"/>
        <rFont val="Avenir LT Std 55 Roman"/>
        <family val="2"/>
      </rPr>
      <t>2.5</t>
    </r>
    <r>
      <rPr>
        <b/>
        <sz val="12"/>
        <color theme="1"/>
        <rFont val="Avenir LT Std 55 Roman"/>
        <family val="2"/>
      </rPr>
      <t xml:space="preserve"> (g/mile)</t>
    </r>
  </si>
  <si>
    <r>
      <t>Weighted PM</t>
    </r>
    <r>
      <rPr>
        <b/>
        <vertAlign val="subscript"/>
        <sz val="12"/>
        <color theme="1"/>
        <rFont val="Avenir LT Std 55 Roman"/>
        <family val="2"/>
      </rPr>
      <t>2.5</t>
    </r>
    <r>
      <rPr>
        <b/>
        <sz val="12"/>
        <color theme="1"/>
        <rFont val="Avenir LT Std 55 Roman"/>
        <family val="2"/>
      </rPr>
      <t xml:space="preserve"> Tire Wear (g/mile)</t>
    </r>
  </si>
  <si>
    <r>
      <t>Weighted PM</t>
    </r>
    <r>
      <rPr>
        <b/>
        <vertAlign val="subscript"/>
        <sz val="12"/>
        <color theme="1"/>
        <rFont val="Avenir LT Std 55 Roman"/>
        <family val="2"/>
      </rPr>
      <t>2.5</t>
    </r>
    <r>
      <rPr>
        <b/>
        <sz val="12"/>
        <color theme="1"/>
        <rFont val="Avenir LT Std 55 Roman"/>
        <family val="2"/>
      </rPr>
      <t xml:space="preserve"> Brake Wear (g/mile)</t>
    </r>
  </si>
  <si>
    <r>
      <t>Weighted DSL PM</t>
    </r>
    <r>
      <rPr>
        <b/>
        <vertAlign val="subscript"/>
        <sz val="12"/>
        <color theme="1"/>
        <rFont val="Avenir LT Std 55 Roman"/>
        <family val="2"/>
      </rPr>
      <t>10</t>
    </r>
    <r>
      <rPr>
        <b/>
        <sz val="12"/>
        <color theme="1"/>
        <rFont val="Avenir LT Std 55 Roman"/>
        <family val="2"/>
      </rPr>
      <t xml:space="preserve"> (g/mile)</t>
    </r>
  </si>
  <si>
    <r>
      <t>Weighted DSL PM</t>
    </r>
    <r>
      <rPr>
        <b/>
        <vertAlign val="subscript"/>
        <sz val="12"/>
        <color theme="1"/>
        <rFont val="Avenir LT Std 55 Roman"/>
        <family val="2"/>
      </rPr>
      <t>2.5</t>
    </r>
    <r>
      <rPr>
        <b/>
        <sz val="12"/>
        <color theme="1"/>
        <rFont val="Avenir LT Std 55 Roman"/>
        <family val="2"/>
      </rPr>
      <t xml:space="preserve"> (g/mile)</t>
    </r>
  </si>
  <si>
    <t>Fuel Economy (gal/mi)</t>
  </si>
  <si>
    <t>Alameda_2017</t>
  </si>
  <si>
    <t>Alameda_2018</t>
  </si>
  <si>
    <t>Alameda_2019</t>
  </si>
  <si>
    <t>Alameda_2020</t>
  </si>
  <si>
    <t>Alameda_2021</t>
  </si>
  <si>
    <t>Alameda_2022</t>
  </si>
  <si>
    <t>Alameda_2023</t>
  </si>
  <si>
    <t>Alameda_2024</t>
  </si>
  <si>
    <t>Alameda_2025</t>
  </si>
  <si>
    <t>Alameda_2026</t>
  </si>
  <si>
    <t>Alameda_2027</t>
  </si>
  <si>
    <t>Alameda_2028</t>
  </si>
  <si>
    <t>Alameda_2029</t>
  </si>
  <si>
    <t>Alameda_2030</t>
  </si>
  <si>
    <t>Alameda_2031</t>
  </si>
  <si>
    <t>Alameda_2032</t>
  </si>
  <si>
    <t>Alameda_2033</t>
  </si>
  <si>
    <t>Alameda_2034</t>
  </si>
  <si>
    <t>Alameda_2035</t>
  </si>
  <si>
    <t>Alameda_2036</t>
  </si>
  <si>
    <t>Alameda_2037</t>
  </si>
  <si>
    <t>Alameda_2038</t>
  </si>
  <si>
    <t>Alameda_2039</t>
  </si>
  <si>
    <t>Alameda_2040</t>
  </si>
  <si>
    <t>Alameda_2041</t>
  </si>
  <si>
    <t>Alameda_2042</t>
  </si>
  <si>
    <t>Alameda_2043</t>
  </si>
  <si>
    <t>Alameda_2044</t>
  </si>
  <si>
    <t>Alameda_2045</t>
  </si>
  <si>
    <t>Alameda_2046</t>
  </si>
  <si>
    <t>Alameda_2047</t>
  </si>
  <si>
    <t>Alameda_2048</t>
  </si>
  <si>
    <t>Alameda_2049</t>
  </si>
  <si>
    <t>Alameda_2050</t>
  </si>
  <si>
    <t>Alpine_2017</t>
  </si>
  <si>
    <t>Alpine_2018</t>
  </si>
  <si>
    <t>Alpine_2019</t>
  </si>
  <si>
    <t>Alpine_2020</t>
  </si>
  <si>
    <t>Alpine_2021</t>
  </si>
  <si>
    <t>Alpine_2022</t>
  </si>
  <si>
    <t>Alpine_2023</t>
  </si>
  <si>
    <t>Alpine_2024</t>
  </si>
  <si>
    <t>Alpine_2025</t>
  </si>
  <si>
    <t>Alpine_2026</t>
  </si>
  <si>
    <t>Alpine_2027</t>
  </si>
  <si>
    <t>Alpine_2028</t>
  </si>
  <si>
    <t>Alpine_2029</t>
  </si>
  <si>
    <t>Alpine_2030</t>
  </si>
  <si>
    <t>Alpine_2031</t>
  </si>
  <si>
    <t>Alpine_2032</t>
  </si>
  <si>
    <t>Alpine_2033</t>
  </si>
  <si>
    <t>Alpine_2034</t>
  </si>
  <si>
    <t>Alpine_2035</t>
  </si>
  <si>
    <t>Alpine_2036</t>
  </si>
  <si>
    <t>Alpine_2037</t>
  </si>
  <si>
    <t>Alpine_2038</t>
  </si>
  <si>
    <t>Alpine_2039</t>
  </si>
  <si>
    <t>Alpine_2040</t>
  </si>
  <si>
    <t>Alpine_2041</t>
  </si>
  <si>
    <t>Alpine_2042</t>
  </si>
  <si>
    <t>Alpine_2043</t>
  </si>
  <si>
    <t>Alpine_2044</t>
  </si>
  <si>
    <t>Alpine_2045</t>
  </si>
  <si>
    <t>Alpine_2046</t>
  </si>
  <si>
    <t>Alpine_2047</t>
  </si>
  <si>
    <t>Alpine_2048</t>
  </si>
  <si>
    <t>Alpine_2049</t>
  </si>
  <si>
    <t>Alpine_2050</t>
  </si>
  <si>
    <t>Amador_2017</t>
  </si>
  <si>
    <t>Amador_2018</t>
  </si>
  <si>
    <t>Amador_2019</t>
  </si>
  <si>
    <t>Amador_2020</t>
  </si>
  <si>
    <t>Amador_2021</t>
  </si>
  <si>
    <t>Amador_2022</t>
  </si>
  <si>
    <t>Amador_2023</t>
  </si>
  <si>
    <t>Amador_2024</t>
  </si>
  <si>
    <t>Amador_2025</t>
  </si>
  <si>
    <t>Amador_2026</t>
  </si>
  <si>
    <t>Amador_2027</t>
  </si>
  <si>
    <t>Amador_2028</t>
  </si>
  <si>
    <t>Amador_2029</t>
  </si>
  <si>
    <t>Amador_2030</t>
  </si>
  <si>
    <t>Amador_2031</t>
  </si>
  <si>
    <t>Amador_2032</t>
  </si>
  <si>
    <t>Amador_2033</t>
  </si>
  <si>
    <t>Amador_2034</t>
  </si>
  <si>
    <t>Amador_2035</t>
  </si>
  <si>
    <t>Amador_2036</t>
  </si>
  <si>
    <t>Amador_2037</t>
  </si>
  <si>
    <t>Amador_2038</t>
  </si>
  <si>
    <t>Amador_2039</t>
  </si>
  <si>
    <t>Amador_2040</t>
  </si>
  <si>
    <t>Amador_2041</t>
  </si>
  <si>
    <t>Amador_2042</t>
  </si>
  <si>
    <t>Amador_2043</t>
  </si>
  <si>
    <t>Amador_2044</t>
  </si>
  <si>
    <t>Amador_2045</t>
  </si>
  <si>
    <t>Amador_2046</t>
  </si>
  <si>
    <t>Amador_2047</t>
  </si>
  <si>
    <t>Amador_2048</t>
  </si>
  <si>
    <t>Amador_2049</t>
  </si>
  <si>
    <t>Amador_2050</t>
  </si>
  <si>
    <t>Butte_2017</t>
  </si>
  <si>
    <t>Butte_2018</t>
  </si>
  <si>
    <t>Butte_2019</t>
  </si>
  <si>
    <t>Butte_2020</t>
  </si>
  <si>
    <t>Butte_2021</t>
  </si>
  <si>
    <t>Butte_2022</t>
  </si>
  <si>
    <t>Butte_2023</t>
  </si>
  <si>
    <t>Butte_2024</t>
  </si>
  <si>
    <t>Butte_2025</t>
  </si>
  <si>
    <t>Butte_2026</t>
  </si>
  <si>
    <t>Butte_2027</t>
  </si>
  <si>
    <t>Butte_2028</t>
  </si>
  <si>
    <t>Butte_2029</t>
  </si>
  <si>
    <t>Butte_2030</t>
  </si>
  <si>
    <t>Butte_2031</t>
  </si>
  <si>
    <t>Butte_2032</t>
  </si>
  <si>
    <t>Butte_2033</t>
  </si>
  <si>
    <t>Butte_2034</t>
  </si>
  <si>
    <t>Butte_2035</t>
  </si>
  <si>
    <t>Butte_2036</t>
  </si>
  <si>
    <t>Butte_2037</t>
  </si>
  <si>
    <t>Butte_2038</t>
  </si>
  <si>
    <t>Butte_2039</t>
  </si>
  <si>
    <t>Butte_2040</t>
  </si>
  <si>
    <t>Butte_2041</t>
  </si>
  <si>
    <t>Butte_2042</t>
  </si>
  <si>
    <t>Butte_2043</t>
  </si>
  <si>
    <t>Butte_2044</t>
  </si>
  <si>
    <t>Butte_2045</t>
  </si>
  <si>
    <t>Butte_2046</t>
  </si>
  <si>
    <t>Butte_2047</t>
  </si>
  <si>
    <t>Butte_2048</t>
  </si>
  <si>
    <t>Butte_2049</t>
  </si>
  <si>
    <t>Butte_2050</t>
  </si>
  <si>
    <t>Calaveras_2017</t>
  </si>
  <si>
    <t>Calaveras_2018</t>
  </si>
  <si>
    <t>Calaveras_2019</t>
  </si>
  <si>
    <t>Calaveras_2020</t>
  </si>
  <si>
    <t>Calaveras_2021</t>
  </si>
  <si>
    <t>Calaveras_2022</t>
  </si>
  <si>
    <t>Calaveras_2023</t>
  </si>
  <si>
    <t>Calaveras_2024</t>
  </si>
  <si>
    <t>Calaveras_2025</t>
  </si>
  <si>
    <t>Calaveras_2026</t>
  </si>
  <si>
    <t>Calaveras_2027</t>
  </si>
  <si>
    <t>Calaveras_2028</t>
  </si>
  <si>
    <t>Calaveras_2029</t>
  </si>
  <si>
    <t>Calaveras_2030</t>
  </si>
  <si>
    <t>Calaveras_2031</t>
  </si>
  <si>
    <t>Calaveras_2032</t>
  </si>
  <si>
    <t>Calaveras_2033</t>
  </si>
  <si>
    <t>Calaveras_2034</t>
  </si>
  <si>
    <t>Calaveras_2035</t>
  </si>
  <si>
    <t>Calaveras_2036</t>
  </si>
  <si>
    <t>Calaveras_2037</t>
  </si>
  <si>
    <t>Calaveras_2038</t>
  </si>
  <si>
    <t>Calaveras_2039</t>
  </si>
  <si>
    <t>Calaveras_2040</t>
  </si>
  <si>
    <t>Calaveras_2041</t>
  </si>
  <si>
    <t>Calaveras_2042</t>
  </si>
  <si>
    <t>Calaveras_2043</t>
  </si>
  <si>
    <t>Calaveras_2044</t>
  </si>
  <si>
    <t>Calaveras_2045</t>
  </si>
  <si>
    <t>Calaveras_2046</t>
  </si>
  <si>
    <t>Calaveras_2047</t>
  </si>
  <si>
    <t>Calaveras_2048</t>
  </si>
  <si>
    <t>Calaveras_2049</t>
  </si>
  <si>
    <t>Calaveras_2050</t>
  </si>
  <si>
    <t>Colusa_2015</t>
  </si>
  <si>
    <t>Colusa_2016</t>
  </si>
  <si>
    <t>Colusa_2017</t>
  </si>
  <si>
    <t>Colusa_2018</t>
  </si>
  <si>
    <t>Colusa_2019</t>
  </si>
  <si>
    <t>Colusa_2020</t>
  </si>
  <si>
    <t>Colusa_2021</t>
  </si>
  <si>
    <t>Colusa_2022</t>
  </si>
  <si>
    <t>Colusa_2023</t>
  </si>
  <si>
    <t>Colusa_2024</t>
  </si>
  <si>
    <t>Colusa_2025</t>
  </si>
  <si>
    <t>Colusa_2026</t>
  </si>
  <si>
    <t>Colusa_2027</t>
  </si>
  <si>
    <t>Colusa_2028</t>
  </si>
  <si>
    <t>Colusa_2029</t>
  </si>
  <si>
    <t>Colusa_2030</t>
  </si>
  <si>
    <t>Colusa_2031</t>
  </si>
  <si>
    <t>Colusa_2032</t>
  </si>
  <si>
    <t>Colusa_2033</t>
  </si>
  <si>
    <t>Colusa_2034</t>
  </si>
  <si>
    <t>Colusa_2035</t>
  </si>
  <si>
    <t>Colusa_2036</t>
  </si>
  <si>
    <t>Colusa_2037</t>
  </si>
  <si>
    <t>Colusa_2038</t>
  </si>
  <si>
    <t>Colusa_2039</t>
  </si>
  <si>
    <t>Colusa_2040</t>
  </si>
  <si>
    <t>Colusa_2041</t>
  </si>
  <si>
    <t>Colusa_2042</t>
  </si>
  <si>
    <t>Colusa_2043</t>
  </si>
  <si>
    <t>Colusa_2044</t>
  </si>
  <si>
    <t>Colusa_2045</t>
  </si>
  <si>
    <t>Colusa_2046</t>
  </si>
  <si>
    <t>Colusa_2047</t>
  </si>
  <si>
    <t>Colusa_2048</t>
  </si>
  <si>
    <t>Colusa_2049</t>
  </si>
  <si>
    <t>Colusa_2050</t>
  </si>
  <si>
    <t>Contra Costa_2017</t>
  </si>
  <si>
    <t>Contra Costa_2018</t>
  </si>
  <si>
    <t>Contra Costa_2019</t>
  </si>
  <si>
    <t>Contra Costa_2020</t>
  </si>
  <si>
    <t>Contra Costa_2021</t>
  </si>
  <si>
    <t>Contra Costa_2022</t>
  </si>
  <si>
    <t>Contra Costa_2023</t>
  </si>
  <si>
    <t>Contra Costa_2024</t>
  </si>
  <si>
    <t>Contra Costa_2025</t>
  </si>
  <si>
    <t>Contra Costa_2026</t>
  </si>
  <si>
    <t>Contra Costa_2027</t>
  </si>
  <si>
    <t>Contra Costa_2028</t>
  </si>
  <si>
    <t>Contra Costa_2029</t>
  </si>
  <si>
    <t>Contra Costa_2030</t>
  </si>
  <si>
    <t>Contra Costa_2031</t>
  </si>
  <si>
    <t>Contra Costa_2032</t>
  </si>
  <si>
    <t>Contra Costa_2033</t>
  </si>
  <si>
    <t>Contra Costa_2034</t>
  </si>
  <si>
    <t>Contra Costa_2035</t>
  </si>
  <si>
    <t>Contra Costa_2036</t>
  </si>
  <si>
    <t>Contra Costa_2037</t>
  </si>
  <si>
    <t>Contra Costa_2038</t>
  </si>
  <si>
    <t>Contra Costa_2039</t>
  </si>
  <si>
    <t>Contra Costa_2040</t>
  </si>
  <si>
    <t>Contra Costa_2041</t>
  </si>
  <si>
    <t>Contra Costa_2042</t>
  </si>
  <si>
    <t>Contra Costa_2043</t>
  </si>
  <si>
    <t>Contra Costa_2044</t>
  </si>
  <si>
    <t>Contra Costa_2045</t>
  </si>
  <si>
    <t>Contra Costa_2046</t>
  </si>
  <si>
    <t>Contra Costa_2047</t>
  </si>
  <si>
    <t>Contra Costa_2048</t>
  </si>
  <si>
    <t>Contra Costa_2049</t>
  </si>
  <si>
    <t>Contra Costa_2050</t>
  </si>
  <si>
    <t>Del Norte_2017</t>
  </si>
  <si>
    <t>Del Norte_2018</t>
  </si>
  <si>
    <t>Del Norte_2019</t>
  </si>
  <si>
    <t>Del Norte_2020</t>
  </si>
  <si>
    <t>Del Norte_2021</t>
  </si>
  <si>
    <t>Del Norte_2022</t>
  </si>
  <si>
    <t>Del Norte_2023</t>
  </si>
  <si>
    <t>Del Norte_2024</t>
  </si>
  <si>
    <t>Del Norte_2025</t>
  </si>
  <si>
    <t>Del Norte_2026</t>
  </si>
  <si>
    <t>Del Norte_2027</t>
  </si>
  <si>
    <t>Del Norte_2028</t>
  </si>
  <si>
    <t>Del Norte_2029</t>
  </si>
  <si>
    <t>Del Norte_2030</t>
  </si>
  <si>
    <t>Del Norte_2031</t>
  </si>
  <si>
    <t>Del Norte_2032</t>
  </si>
  <si>
    <t>Del Norte_2033</t>
  </si>
  <si>
    <t>Del Norte_2034</t>
  </si>
  <si>
    <t>Del Norte_2035</t>
  </si>
  <si>
    <t>Del Norte_2036</t>
  </si>
  <si>
    <t>Del Norte_2037</t>
  </si>
  <si>
    <t>Del Norte_2038</t>
  </si>
  <si>
    <t>Del Norte_2039</t>
  </si>
  <si>
    <t>Del Norte_2040</t>
  </si>
  <si>
    <t>Del Norte_2041</t>
  </si>
  <si>
    <t>Del Norte_2042</t>
  </si>
  <si>
    <t>Del Norte_2043</t>
  </si>
  <si>
    <t>Del Norte_2044</t>
  </si>
  <si>
    <t>Del Norte_2045</t>
  </si>
  <si>
    <t>Del Norte_2046</t>
  </si>
  <si>
    <t>Del Norte_2047</t>
  </si>
  <si>
    <t>Del Norte_2048</t>
  </si>
  <si>
    <t>Del Norte_2049</t>
  </si>
  <si>
    <t>Del Norte_2050</t>
  </si>
  <si>
    <t>El Dorado_2017</t>
  </si>
  <si>
    <t>El Dorado_2018</t>
  </si>
  <si>
    <t>El Dorado_2019</t>
  </si>
  <si>
    <t>El Dorado_2020</t>
  </si>
  <si>
    <t>El Dorado_2021</t>
  </si>
  <si>
    <t>El Dorado_2022</t>
  </si>
  <si>
    <t>El Dorado_2023</t>
  </si>
  <si>
    <t>El Dorado_2024</t>
  </si>
  <si>
    <t>El Dorado_2025</t>
  </si>
  <si>
    <t>El Dorado_2026</t>
  </si>
  <si>
    <t>El Dorado_2027</t>
  </si>
  <si>
    <t>El Dorado_2028</t>
  </si>
  <si>
    <t>El Dorado_2029</t>
  </si>
  <si>
    <t>El Dorado_2030</t>
  </si>
  <si>
    <t>El Dorado_2031</t>
  </si>
  <si>
    <t>El Dorado_2032</t>
  </si>
  <si>
    <t>El Dorado_2033</t>
  </si>
  <si>
    <t>El Dorado_2034</t>
  </si>
  <si>
    <t>El Dorado_2035</t>
  </si>
  <si>
    <t>El Dorado_2036</t>
  </si>
  <si>
    <t>El Dorado_2037</t>
  </si>
  <si>
    <t>El Dorado_2038</t>
  </si>
  <si>
    <t>El Dorado_2039</t>
  </si>
  <si>
    <t>El Dorado_2040</t>
  </si>
  <si>
    <t>El Dorado_2041</t>
  </si>
  <si>
    <t>El Dorado_2042</t>
  </si>
  <si>
    <t>El Dorado_2043</t>
  </si>
  <si>
    <t>El Dorado_2044</t>
  </si>
  <si>
    <t>El Dorado_2045</t>
  </si>
  <si>
    <t>El Dorado_2046</t>
  </si>
  <si>
    <t>El Dorado_2047</t>
  </si>
  <si>
    <t>El Dorado_2048</t>
  </si>
  <si>
    <t>El Dorado_2049</t>
  </si>
  <si>
    <t>El Dorado_2050</t>
  </si>
  <si>
    <t>Fresno_2017</t>
  </si>
  <si>
    <t>Fresno_2018</t>
  </si>
  <si>
    <t>Fresno_2019</t>
  </si>
  <si>
    <t>Fresno_2020</t>
  </si>
  <si>
    <t>Fresno_2021</t>
  </si>
  <si>
    <t>Fresno_2022</t>
  </si>
  <si>
    <t>Fresno_2023</t>
  </si>
  <si>
    <t>Fresno_2024</t>
  </si>
  <si>
    <t>Fresno_2025</t>
  </si>
  <si>
    <t>Fresno_2026</t>
  </si>
  <si>
    <t>Fresno_2027</t>
  </si>
  <si>
    <t>Fresno_2028</t>
  </si>
  <si>
    <t>Fresno_2029</t>
  </si>
  <si>
    <t>Fresno_2030</t>
  </si>
  <si>
    <t>Fresno_2031</t>
  </si>
  <si>
    <t>Fresno_2032</t>
  </si>
  <si>
    <t>Fresno_2033</t>
  </si>
  <si>
    <t>Fresno_2034</t>
  </si>
  <si>
    <t>Fresno_2035</t>
  </si>
  <si>
    <t>Fresno_2036</t>
  </si>
  <si>
    <t>Fresno_2037</t>
  </si>
  <si>
    <t>Fresno_2038</t>
  </si>
  <si>
    <t>Fresno_2039</t>
  </si>
  <si>
    <t>Fresno_2040</t>
  </si>
  <si>
    <t>Fresno_2041</t>
  </si>
  <si>
    <t>Fresno_2042</t>
  </si>
  <si>
    <t>Fresno_2043</t>
  </si>
  <si>
    <t>Fresno_2044</t>
  </si>
  <si>
    <t>Fresno_2045</t>
  </si>
  <si>
    <t>Fresno_2046</t>
  </si>
  <si>
    <t>Fresno_2047</t>
  </si>
  <si>
    <t>Fresno_2048</t>
  </si>
  <si>
    <t>Fresno_2049</t>
  </si>
  <si>
    <t>Fresno_2050</t>
  </si>
  <si>
    <t>Glenn_2017</t>
  </si>
  <si>
    <t>Glenn_2018</t>
  </si>
  <si>
    <t>Glenn_2019</t>
  </si>
  <si>
    <t>Glenn_2020</t>
  </si>
  <si>
    <t>Glenn_2021</t>
  </si>
  <si>
    <t>Glenn_2022</t>
  </si>
  <si>
    <t>Glenn_2023</t>
  </si>
  <si>
    <t>Glenn_2024</t>
  </si>
  <si>
    <t>Glenn_2025</t>
  </si>
  <si>
    <t>Glenn_2026</t>
  </si>
  <si>
    <t>Glenn_2027</t>
  </si>
  <si>
    <t>Glenn_2028</t>
  </si>
  <si>
    <t>Glenn_2029</t>
  </si>
  <si>
    <t>Glenn_2030</t>
  </si>
  <si>
    <t>Glenn_2031</t>
  </si>
  <si>
    <t>Glenn_2032</t>
  </si>
  <si>
    <t>Glenn_2033</t>
  </si>
  <si>
    <t>Glenn_2034</t>
  </si>
  <si>
    <t>Glenn_2035</t>
  </si>
  <si>
    <t>Glenn_2036</t>
  </si>
  <si>
    <t>Glenn_2037</t>
  </si>
  <si>
    <t>Glenn_2038</t>
  </si>
  <si>
    <t>Glenn_2039</t>
  </si>
  <si>
    <t>Glenn_2040</t>
  </si>
  <si>
    <t>Glenn_2041</t>
  </si>
  <si>
    <t>Glenn_2042</t>
  </si>
  <si>
    <t>Glenn_2043</t>
  </si>
  <si>
    <t>Glenn_2044</t>
  </si>
  <si>
    <t>Glenn_2045</t>
  </si>
  <si>
    <t>Glenn_2046</t>
  </si>
  <si>
    <t>Glenn_2047</t>
  </si>
  <si>
    <t>Glenn_2048</t>
  </si>
  <si>
    <t>Glenn_2049</t>
  </si>
  <si>
    <t>Glenn_2050</t>
  </si>
  <si>
    <t>Humboldt_2017</t>
  </si>
  <si>
    <t>Humboldt_2018</t>
  </si>
  <si>
    <t>Humboldt_2019</t>
  </si>
  <si>
    <t>Humboldt_2020</t>
  </si>
  <si>
    <t>Humboldt_2021</t>
  </si>
  <si>
    <t>Humboldt_2022</t>
  </si>
  <si>
    <t>Humboldt_2023</t>
  </si>
  <si>
    <t>Humboldt_2024</t>
  </si>
  <si>
    <t>Humboldt_2025</t>
  </si>
  <si>
    <t>Humboldt_2026</t>
  </si>
  <si>
    <t>Humboldt_2027</t>
  </si>
  <si>
    <t>Humboldt_2028</t>
  </si>
  <si>
    <t>Humboldt_2029</t>
  </si>
  <si>
    <t>Humboldt_2030</t>
  </si>
  <si>
    <t>Humboldt_2031</t>
  </si>
  <si>
    <t>Humboldt_2032</t>
  </si>
  <si>
    <t>Humboldt_2033</t>
  </si>
  <si>
    <t>Humboldt_2034</t>
  </si>
  <si>
    <t>Humboldt_2035</t>
  </si>
  <si>
    <t>Humboldt_2036</t>
  </si>
  <si>
    <t>Humboldt_2037</t>
  </si>
  <si>
    <t>Humboldt_2038</t>
  </si>
  <si>
    <t>Humboldt_2039</t>
  </si>
  <si>
    <t>Humboldt_2040</t>
  </si>
  <si>
    <t>Humboldt_2041</t>
  </si>
  <si>
    <t>Humboldt_2042</t>
  </si>
  <si>
    <t>Humboldt_2043</t>
  </si>
  <si>
    <t>Humboldt_2044</t>
  </si>
  <si>
    <t>Humboldt_2045</t>
  </si>
  <si>
    <t>Humboldt_2046</t>
  </si>
  <si>
    <t>Humboldt_2047</t>
  </si>
  <si>
    <t>Humboldt_2048</t>
  </si>
  <si>
    <t>Humboldt_2049</t>
  </si>
  <si>
    <t>Humboldt_2050</t>
  </si>
  <si>
    <t>Imperial_2017</t>
  </si>
  <si>
    <t>Imperial_2018</t>
  </si>
  <si>
    <t>Imperial_2019</t>
  </si>
  <si>
    <t>Imperial_2020</t>
  </si>
  <si>
    <t>Imperial_2021</t>
  </si>
  <si>
    <t>Imperial_2022</t>
  </si>
  <si>
    <t>Imperial_2023</t>
  </si>
  <si>
    <t>Imperial_2024</t>
  </si>
  <si>
    <t>Imperial_2025</t>
  </si>
  <si>
    <t>Imperial_2026</t>
  </si>
  <si>
    <t>Imperial_2027</t>
  </si>
  <si>
    <t>Imperial_2028</t>
  </si>
  <si>
    <t>Imperial_2029</t>
  </si>
  <si>
    <t>Imperial_2030</t>
  </si>
  <si>
    <t>Imperial_2031</t>
  </si>
  <si>
    <t>Imperial_2032</t>
  </si>
  <si>
    <t>Imperial_2033</t>
  </si>
  <si>
    <t>Imperial_2034</t>
  </si>
  <si>
    <t>Imperial_2035</t>
  </si>
  <si>
    <t>Imperial_2036</t>
  </si>
  <si>
    <t>Imperial_2037</t>
  </si>
  <si>
    <t>Imperial_2038</t>
  </si>
  <si>
    <t>Imperial_2039</t>
  </si>
  <si>
    <t>Imperial_2040</t>
  </si>
  <si>
    <t>Imperial_2041</t>
  </si>
  <si>
    <t>Imperial_2042</t>
  </si>
  <si>
    <t>Imperial_2043</t>
  </si>
  <si>
    <t>Imperial_2044</t>
  </si>
  <si>
    <t>Imperial_2045</t>
  </si>
  <si>
    <t>Imperial_2046</t>
  </si>
  <si>
    <t>Imperial_2047</t>
  </si>
  <si>
    <t>Imperial_2048</t>
  </si>
  <si>
    <t>Imperial_2049</t>
  </si>
  <si>
    <t>Imperial_2050</t>
  </si>
  <si>
    <t>Inyo_2017</t>
  </si>
  <si>
    <t>Inyo_2018</t>
  </si>
  <si>
    <t>Inyo_2019</t>
  </si>
  <si>
    <t>Inyo_2020</t>
  </si>
  <si>
    <t>Inyo_2021</t>
  </si>
  <si>
    <t>Inyo_2022</t>
  </si>
  <si>
    <t>Inyo_2023</t>
  </si>
  <si>
    <t>Inyo_2024</t>
  </si>
  <si>
    <t>Inyo_2025</t>
  </si>
  <si>
    <t>Inyo_2026</t>
  </si>
  <si>
    <t>Inyo_2027</t>
  </si>
  <si>
    <t>Inyo_2028</t>
  </si>
  <si>
    <t>Inyo_2029</t>
  </si>
  <si>
    <t>Inyo_2030</t>
  </si>
  <si>
    <t>Inyo_2031</t>
  </si>
  <si>
    <t>Inyo_2032</t>
  </si>
  <si>
    <t>Inyo_2033</t>
  </si>
  <si>
    <t>Inyo_2034</t>
  </si>
  <si>
    <t>Inyo_2035</t>
  </si>
  <si>
    <t>Inyo_2036</t>
  </si>
  <si>
    <t>Inyo_2037</t>
  </si>
  <si>
    <t>Inyo_2038</t>
  </si>
  <si>
    <t>Inyo_2039</t>
  </si>
  <si>
    <t>Inyo_2040</t>
  </si>
  <si>
    <t>Inyo_2041</t>
  </si>
  <si>
    <t>Inyo_2042</t>
  </si>
  <si>
    <t>Inyo_2043</t>
  </si>
  <si>
    <t>Inyo_2044</t>
  </si>
  <si>
    <t>Inyo_2045</t>
  </si>
  <si>
    <t>Inyo_2046</t>
  </si>
  <si>
    <t>Inyo_2047</t>
  </si>
  <si>
    <t>Inyo_2048</t>
  </si>
  <si>
    <t>Inyo_2049</t>
  </si>
  <si>
    <t>Inyo_2050</t>
  </si>
  <si>
    <t>Kern_2017</t>
  </si>
  <si>
    <t>Kern_2018</t>
  </si>
  <si>
    <t>Kern_2019</t>
  </si>
  <si>
    <t>Kern_2020</t>
  </si>
  <si>
    <t>Kern_2021</t>
  </si>
  <si>
    <t>Kern_2022</t>
  </si>
  <si>
    <t>Kern_2023</t>
  </si>
  <si>
    <t>Kern_2024</t>
  </si>
  <si>
    <t>Kern_2025</t>
  </si>
  <si>
    <t>Kern_2026</t>
  </si>
  <si>
    <t>Kern_2027</t>
  </si>
  <si>
    <t>Kern_2028</t>
  </si>
  <si>
    <t>Kern_2029</t>
  </si>
  <si>
    <t>Kern_2030</t>
  </si>
  <si>
    <t>Kern_2031</t>
  </si>
  <si>
    <t>Kern_2032</t>
  </si>
  <si>
    <t>Kern_2033</t>
  </si>
  <si>
    <t>Kern_2034</t>
  </si>
  <si>
    <t>Kern_2035</t>
  </si>
  <si>
    <t>Kern_2036</t>
  </si>
  <si>
    <t>Kern_2037</t>
  </si>
  <si>
    <t>Kern_2038</t>
  </si>
  <si>
    <t>Kern_2039</t>
  </si>
  <si>
    <t>Kern_2040</t>
  </si>
  <si>
    <t>Kern_2041</t>
  </si>
  <si>
    <t>Kern_2042</t>
  </si>
  <si>
    <t>Kern_2043</t>
  </si>
  <si>
    <t>Kern_2044</t>
  </si>
  <si>
    <t>Kern_2045</t>
  </si>
  <si>
    <t>Kern_2046</t>
  </si>
  <si>
    <t>Kern_2047</t>
  </si>
  <si>
    <t>Kern_2048</t>
  </si>
  <si>
    <t>Kern_2049</t>
  </si>
  <si>
    <t>Kern_2050</t>
  </si>
  <si>
    <t>Kings_2017</t>
  </si>
  <si>
    <t>Kings_2018</t>
  </si>
  <si>
    <t>Kings_2019</t>
  </si>
  <si>
    <t>Kings_2020</t>
  </si>
  <si>
    <t>Kings_2021</t>
  </si>
  <si>
    <t>Kings_2022</t>
  </si>
  <si>
    <t>Kings_2023</t>
  </si>
  <si>
    <t>Kings_2024</t>
  </si>
  <si>
    <t>Kings_2025</t>
  </si>
  <si>
    <t>Kings_2026</t>
  </si>
  <si>
    <t>Kings_2027</t>
  </si>
  <si>
    <t>Kings_2028</t>
  </si>
  <si>
    <t>Kings_2029</t>
  </si>
  <si>
    <t>Kings_2030</t>
  </si>
  <si>
    <t>Kings_2031</t>
  </si>
  <si>
    <t>Kings_2032</t>
  </si>
  <si>
    <t>Kings_2033</t>
  </si>
  <si>
    <t>Kings_2034</t>
  </si>
  <si>
    <t>Kings_2035</t>
  </si>
  <si>
    <t>Kings_2036</t>
  </si>
  <si>
    <t>Kings_2037</t>
  </si>
  <si>
    <t>Kings_2038</t>
  </si>
  <si>
    <t>Kings_2039</t>
  </si>
  <si>
    <t>Kings_2040</t>
  </si>
  <si>
    <t>Kings_2041</t>
  </si>
  <si>
    <t>Kings_2042</t>
  </si>
  <si>
    <t>Kings_2043</t>
  </si>
  <si>
    <t>Kings_2044</t>
  </si>
  <si>
    <t>Kings_2045</t>
  </si>
  <si>
    <t>Kings_2046</t>
  </si>
  <si>
    <t>Kings_2047</t>
  </si>
  <si>
    <t>Kings_2048</t>
  </si>
  <si>
    <t>Kings_2049</t>
  </si>
  <si>
    <t>Kings_2050</t>
  </si>
  <si>
    <t>Lake_2017</t>
  </si>
  <si>
    <t>Lake_2018</t>
  </si>
  <si>
    <t>Lake_2019</t>
  </si>
  <si>
    <t>Lake_2020</t>
  </si>
  <si>
    <t>Lake_2021</t>
  </si>
  <si>
    <t>Lake_2022</t>
  </si>
  <si>
    <t>Lake_2023</t>
  </si>
  <si>
    <t>Lake_2024</t>
  </si>
  <si>
    <t>Lake_2025</t>
  </si>
  <si>
    <t>Lake_2026</t>
  </si>
  <si>
    <t>Lake_2027</t>
  </si>
  <si>
    <t>Lake_2028</t>
  </si>
  <si>
    <t>Lake_2029</t>
  </si>
  <si>
    <t>Lake_2030</t>
  </si>
  <si>
    <t>Lake_2031</t>
  </si>
  <si>
    <t>Lake_2032</t>
  </si>
  <si>
    <t>Lake_2033</t>
  </si>
  <si>
    <t>Lake_2034</t>
  </si>
  <si>
    <t>Lake_2035</t>
  </si>
  <si>
    <t>Lake_2036</t>
  </si>
  <si>
    <t>Lake_2037</t>
  </si>
  <si>
    <t>Lake_2038</t>
  </si>
  <si>
    <t>Lake_2039</t>
  </si>
  <si>
    <t>Lake_2040</t>
  </si>
  <si>
    <t>Lake_2041</t>
  </si>
  <si>
    <t>Lake_2042</t>
  </si>
  <si>
    <t>Lake_2043</t>
  </si>
  <si>
    <t>Lake_2044</t>
  </si>
  <si>
    <t>Lake_2045</t>
  </si>
  <si>
    <t>Lake_2046</t>
  </si>
  <si>
    <t>Lake_2047</t>
  </si>
  <si>
    <t>Lake_2048</t>
  </si>
  <si>
    <t>Lake_2049</t>
  </si>
  <si>
    <t>Lake_2050</t>
  </si>
  <si>
    <t>Lassen_2017</t>
  </si>
  <si>
    <t>Lassen_2018</t>
  </si>
  <si>
    <t>Lassen_2019</t>
  </si>
  <si>
    <t>Lassen_2020</t>
  </si>
  <si>
    <t>Lassen_2021</t>
  </si>
  <si>
    <t>Lassen_2022</t>
  </si>
  <si>
    <t>Lassen_2023</t>
  </si>
  <si>
    <t>Lassen_2024</t>
  </si>
  <si>
    <t>Lassen_2025</t>
  </si>
  <si>
    <t>Lassen_2026</t>
  </si>
  <si>
    <t>Lassen_2027</t>
  </si>
  <si>
    <t>Lassen_2028</t>
  </si>
  <si>
    <t>Lassen_2029</t>
  </si>
  <si>
    <t>Lassen_2030</t>
  </si>
  <si>
    <t>Lassen_2031</t>
  </si>
  <si>
    <t>Lassen_2032</t>
  </si>
  <si>
    <t>Lassen_2033</t>
  </si>
  <si>
    <t>Lassen_2034</t>
  </si>
  <si>
    <t>Lassen_2035</t>
  </si>
  <si>
    <t>Lassen_2036</t>
  </si>
  <si>
    <t>Lassen_2037</t>
  </si>
  <si>
    <t>Lassen_2038</t>
  </si>
  <si>
    <t>Lassen_2039</t>
  </si>
  <si>
    <t>Lassen_2040</t>
  </si>
  <si>
    <t>Lassen_2041</t>
  </si>
  <si>
    <t>Lassen_2042</t>
  </si>
  <si>
    <t>Lassen_2043</t>
  </si>
  <si>
    <t>Lassen_2044</t>
  </si>
  <si>
    <t>Lassen_2045</t>
  </si>
  <si>
    <t>Lassen_2046</t>
  </si>
  <si>
    <t>Lassen_2047</t>
  </si>
  <si>
    <t>Lassen_2048</t>
  </si>
  <si>
    <t>Lassen_2049</t>
  </si>
  <si>
    <t>Lassen_2050</t>
  </si>
  <si>
    <t>Los Angeles_2017</t>
  </si>
  <si>
    <t>Los Angeles_2018</t>
  </si>
  <si>
    <t>Los Angeles_2019</t>
  </si>
  <si>
    <t>Los Angeles_2020</t>
  </si>
  <si>
    <t>Los Angeles_2021</t>
  </si>
  <si>
    <t>Los Angeles_2022</t>
  </si>
  <si>
    <t>Los Angeles_2023</t>
  </si>
  <si>
    <t>Los Angeles_2024</t>
  </si>
  <si>
    <t>Los Angeles_2025</t>
  </si>
  <si>
    <t>Los Angeles_2026</t>
  </si>
  <si>
    <t>Los Angeles_2027</t>
  </si>
  <si>
    <t>Los Angeles_2028</t>
  </si>
  <si>
    <t>Los Angeles_2029</t>
  </si>
  <si>
    <t>Los Angeles_2030</t>
  </si>
  <si>
    <t>Los Angeles_2031</t>
  </si>
  <si>
    <t>Los Angeles_2032</t>
  </si>
  <si>
    <t>Los Angeles_2033</t>
  </si>
  <si>
    <t>Los Angeles_2034</t>
  </si>
  <si>
    <t>Los Angeles_2035</t>
  </si>
  <si>
    <t>Los Angeles_2036</t>
  </si>
  <si>
    <t>Los Angeles_2037</t>
  </si>
  <si>
    <t>Los Angeles_2038</t>
  </si>
  <si>
    <t>Los Angeles_2039</t>
  </si>
  <si>
    <t>Los Angeles_2040</t>
  </si>
  <si>
    <t>Los Angeles_2041</t>
  </si>
  <si>
    <t>Los Angeles_2042</t>
  </si>
  <si>
    <t>Los Angeles_2043</t>
  </si>
  <si>
    <t>Los Angeles_2044</t>
  </si>
  <si>
    <t>Los Angeles_2045</t>
  </si>
  <si>
    <t>Los Angeles_2046</t>
  </si>
  <si>
    <t>Los Angeles_2047</t>
  </si>
  <si>
    <t>Los Angeles_2048</t>
  </si>
  <si>
    <t>Los Angeles_2049</t>
  </si>
  <si>
    <t>Los Angeles_2050</t>
  </si>
  <si>
    <t>Madera_2017</t>
  </si>
  <si>
    <t>Madera_2018</t>
  </si>
  <si>
    <t>Madera_2019</t>
  </si>
  <si>
    <t>Madera_2020</t>
  </si>
  <si>
    <t>Madera_2021</t>
  </si>
  <si>
    <t>Madera_2022</t>
  </si>
  <si>
    <t>Madera_2023</t>
  </si>
  <si>
    <t>Madera_2024</t>
  </si>
  <si>
    <t>Madera_2025</t>
  </si>
  <si>
    <t>Madera_2026</t>
  </si>
  <si>
    <t>Madera_2027</t>
  </si>
  <si>
    <t>Madera_2028</t>
  </si>
  <si>
    <t>Madera_2029</t>
  </si>
  <si>
    <t>Madera_2030</t>
  </si>
  <si>
    <t>Madera_2031</t>
  </si>
  <si>
    <t>Madera_2032</t>
  </si>
  <si>
    <t>Madera_2033</t>
  </si>
  <si>
    <t>Madera_2034</t>
  </si>
  <si>
    <t>Madera_2035</t>
  </si>
  <si>
    <t>Madera_2036</t>
  </si>
  <si>
    <t>Madera_2037</t>
  </si>
  <si>
    <t>Madera_2038</t>
  </si>
  <si>
    <t>Madera_2039</t>
  </si>
  <si>
    <t>Madera_2040</t>
  </si>
  <si>
    <t>Madera_2041</t>
  </si>
  <si>
    <t>Madera_2042</t>
  </si>
  <si>
    <t>Madera_2043</t>
  </si>
  <si>
    <t>Madera_2044</t>
  </si>
  <si>
    <t>Madera_2045</t>
  </si>
  <si>
    <t>Madera_2046</t>
  </si>
  <si>
    <t>Madera_2047</t>
  </si>
  <si>
    <t>Madera_2048</t>
  </si>
  <si>
    <t>Madera_2049</t>
  </si>
  <si>
    <t>Madera_2050</t>
  </si>
  <si>
    <t>Marin_2017</t>
  </si>
  <si>
    <t>Marin_2018</t>
  </si>
  <si>
    <t>Marin_2019</t>
  </si>
  <si>
    <t>Marin_2020</t>
  </si>
  <si>
    <t>Marin_2021</t>
  </si>
  <si>
    <t>Marin_2022</t>
  </si>
  <si>
    <t>Marin_2023</t>
  </si>
  <si>
    <t>Marin_2024</t>
  </si>
  <si>
    <t>Marin_2025</t>
  </si>
  <si>
    <t>Marin_2026</t>
  </si>
  <si>
    <t>Marin_2027</t>
  </si>
  <si>
    <t>Marin_2028</t>
  </si>
  <si>
    <t>Marin_2029</t>
  </si>
  <si>
    <t>Marin_2030</t>
  </si>
  <si>
    <t>Marin_2031</t>
  </si>
  <si>
    <t>Marin_2032</t>
  </si>
  <si>
    <t>Marin_2033</t>
  </si>
  <si>
    <t>Marin_2034</t>
  </si>
  <si>
    <t>Marin_2035</t>
  </si>
  <si>
    <t>Marin_2036</t>
  </si>
  <si>
    <t>Marin_2037</t>
  </si>
  <si>
    <t>Marin_2038</t>
  </si>
  <si>
    <t>Marin_2039</t>
  </si>
  <si>
    <t>Marin_2040</t>
  </si>
  <si>
    <t>Marin_2041</t>
  </si>
  <si>
    <t>Marin_2042</t>
  </si>
  <si>
    <t>Marin_2043</t>
  </si>
  <si>
    <t>Marin_2044</t>
  </si>
  <si>
    <t>Marin_2045</t>
  </si>
  <si>
    <t>Marin_2046</t>
  </si>
  <si>
    <t>Marin_2047</t>
  </si>
  <si>
    <t>Marin_2048</t>
  </si>
  <si>
    <t>Marin_2049</t>
  </si>
  <si>
    <t>Marin_2050</t>
  </si>
  <si>
    <t>Mariposa_2017</t>
  </si>
  <si>
    <t>Mariposa_2018</t>
  </si>
  <si>
    <t>Mariposa_2019</t>
  </si>
  <si>
    <t>Mariposa_2020</t>
  </si>
  <si>
    <t>Mariposa_2021</t>
  </si>
  <si>
    <t>Mariposa_2022</t>
  </si>
  <si>
    <t>Mariposa_2023</t>
  </si>
  <si>
    <t>Mariposa_2024</t>
  </si>
  <si>
    <t>Mariposa_2025</t>
  </si>
  <si>
    <t>Mariposa_2026</t>
  </si>
  <si>
    <t>Mariposa_2027</t>
  </si>
  <si>
    <t>Mariposa_2028</t>
  </si>
  <si>
    <t>Mariposa_2029</t>
  </si>
  <si>
    <t>Mariposa_2030</t>
  </si>
  <si>
    <t>Mariposa_2031</t>
  </si>
  <si>
    <t>Mariposa_2032</t>
  </si>
  <si>
    <t>Mariposa_2033</t>
  </si>
  <si>
    <t>Mariposa_2034</t>
  </si>
  <si>
    <t>Mariposa_2035</t>
  </si>
  <si>
    <t>Mariposa_2036</t>
  </si>
  <si>
    <t>Mariposa_2037</t>
  </si>
  <si>
    <t>Mariposa_2038</t>
  </si>
  <si>
    <t>Mariposa_2039</t>
  </si>
  <si>
    <t>Mariposa_2040</t>
  </si>
  <si>
    <t>Mariposa_2041</t>
  </si>
  <si>
    <t>Mariposa_2042</t>
  </si>
  <si>
    <t>Mariposa_2043</t>
  </si>
  <si>
    <t>Mariposa_2044</t>
  </si>
  <si>
    <t>Mariposa_2045</t>
  </si>
  <si>
    <t>Mariposa_2046</t>
  </si>
  <si>
    <t>Mariposa_2047</t>
  </si>
  <si>
    <t>Mariposa_2048</t>
  </si>
  <si>
    <t>Mariposa_2049</t>
  </si>
  <si>
    <t>Mariposa_2050</t>
  </si>
  <si>
    <t>Mendocino_2017</t>
  </si>
  <si>
    <t>Mendocino_2018</t>
  </si>
  <si>
    <t>Mendocino_2019</t>
  </si>
  <si>
    <t>Mendocino_2020</t>
  </si>
  <si>
    <t>Mendocino_2021</t>
  </si>
  <si>
    <t>Mendocino_2022</t>
  </si>
  <si>
    <t>Mendocino_2023</t>
  </si>
  <si>
    <t>Mendocino_2024</t>
  </si>
  <si>
    <t>Mendocino_2025</t>
  </si>
  <si>
    <t>Mendocino_2026</t>
  </si>
  <si>
    <t>Mendocino_2027</t>
  </si>
  <si>
    <t>Mendocino_2028</t>
  </si>
  <si>
    <t>Mendocino_2029</t>
  </si>
  <si>
    <t>Mendocino_2030</t>
  </si>
  <si>
    <t>Mendocino_2031</t>
  </si>
  <si>
    <t>Mendocino_2032</t>
  </si>
  <si>
    <t>Mendocino_2033</t>
  </si>
  <si>
    <t>Mendocino_2034</t>
  </si>
  <si>
    <t>Mendocino_2035</t>
  </si>
  <si>
    <t>Mendocino_2036</t>
  </si>
  <si>
    <t>Mendocino_2037</t>
  </si>
  <si>
    <t>Mendocino_2038</t>
  </si>
  <si>
    <t>Mendocino_2039</t>
  </si>
  <si>
    <t>Mendocino_2040</t>
  </si>
  <si>
    <t>Mendocino_2041</t>
  </si>
  <si>
    <t>Mendocino_2042</t>
  </si>
  <si>
    <t>Mendocino_2043</t>
  </si>
  <si>
    <t>Mendocino_2044</t>
  </si>
  <si>
    <t>Mendocino_2045</t>
  </si>
  <si>
    <t>Mendocino_2046</t>
  </si>
  <si>
    <t>Mendocino_2047</t>
  </si>
  <si>
    <t>Mendocino_2048</t>
  </si>
  <si>
    <t>Mendocino_2049</t>
  </si>
  <si>
    <t>Mendocino_2050</t>
  </si>
  <si>
    <t>Merced_2017</t>
  </si>
  <si>
    <t>Merced_2018</t>
  </si>
  <si>
    <t>Merced_2019</t>
  </si>
  <si>
    <t>Merced_2020</t>
  </si>
  <si>
    <t>Merced_2021</t>
  </si>
  <si>
    <t>Merced_2022</t>
  </si>
  <si>
    <t>Merced_2023</t>
  </si>
  <si>
    <t>Merced_2024</t>
  </si>
  <si>
    <t>Merced_2025</t>
  </si>
  <si>
    <t>Merced_2026</t>
  </si>
  <si>
    <t>Merced_2027</t>
  </si>
  <si>
    <t>Merced_2028</t>
  </si>
  <si>
    <t>Merced_2029</t>
  </si>
  <si>
    <t>Merced_2030</t>
  </si>
  <si>
    <t>Merced_2031</t>
  </si>
  <si>
    <t>Merced_2032</t>
  </si>
  <si>
    <t>Merced_2033</t>
  </si>
  <si>
    <t>Merced_2034</t>
  </si>
  <si>
    <t>Merced_2035</t>
  </si>
  <si>
    <t>Merced_2036</t>
  </si>
  <si>
    <t>Merced_2037</t>
  </si>
  <si>
    <t>Merced_2038</t>
  </si>
  <si>
    <t>Merced_2039</t>
  </si>
  <si>
    <t>Merced_2040</t>
  </si>
  <si>
    <t>Merced_2041</t>
  </si>
  <si>
    <t>Merced_2042</t>
  </si>
  <si>
    <t>Merced_2043</t>
  </si>
  <si>
    <t>Merced_2044</t>
  </si>
  <si>
    <t>Merced_2045</t>
  </si>
  <si>
    <t>Merced_2046</t>
  </si>
  <si>
    <t>Merced_2047</t>
  </si>
  <si>
    <t>Merced_2048</t>
  </si>
  <si>
    <t>Merced_2049</t>
  </si>
  <si>
    <t>Merced_2050</t>
  </si>
  <si>
    <t>Modoc_2017</t>
  </si>
  <si>
    <t>Modoc_2018</t>
  </si>
  <si>
    <t>Modoc_2019</t>
  </si>
  <si>
    <t>Modoc_2020</t>
  </si>
  <si>
    <t>Modoc_2021</t>
  </si>
  <si>
    <t>Modoc_2022</t>
  </si>
  <si>
    <t>Modoc_2023</t>
  </si>
  <si>
    <t>Modoc_2024</t>
  </si>
  <si>
    <t>Modoc_2025</t>
  </si>
  <si>
    <t>Modoc_2026</t>
  </si>
  <si>
    <t>Modoc_2027</t>
  </si>
  <si>
    <t>Modoc_2028</t>
  </si>
  <si>
    <t>Modoc_2029</t>
  </si>
  <si>
    <t>Modoc_2030</t>
  </si>
  <si>
    <t>Modoc_2031</t>
  </si>
  <si>
    <t>Modoc_2032</t>
  </si>
  <si>
    <t>Modoc_2033</t>
  </si>
  <si>
    <t>Modoc_2034</t>
  </si>
  <si>
    <t>Modoc_2035</t>
  </si>
  <si>
    <t>Modoc_2036</t>
  </si>
  <si>
    <t>Modoc_2037</t>
  </si>
  <si>
    <t>Modoc_2038</t>
  </si>
  <si>
    <t>Modoc_2039</t>
  </si>
  <si>
    <t>Modoc_2040</t>
  </si>
  <si>
    <t>Modoc_2041</t>
  </si>
  <si>
    <t>Modoc_2042</t>
  </si>
  <si>
    <t>Modoc_2043</t>
  </si>
  <si>
    <t>Modoc_2044</t>
  </si>
  <si>
    <t>Modoc_2045</t>
  </si>
  <si>
    <t>Modoc_2046</t>
  </si>
  <si>
    <t>Modoc_2047</t>
  </si>
  <si>
    <t>Modoc_2048</t>
  </si>
  <si>
    <t>Modoc_2049</t>
  </si>
  <si>
    <t>Modoc_2050</t>
  </si>
  <si>
    <t>Mono_2017</t>
  </si>
  <si>
    <t>Mono_2018</t>
  </si>
  <si>
    <t>Mono_2019</t>
  </si>
  <si>
    <t>Mono_2020</t>
  </si>
  <si>
    <t>Mono_2021</t>
  </si>
  <si>
    <t>Mono_2022</t>
  </si>
  <si>
    <t>Mono_2023</t>
  </si>
  <si>
    <t>Mono_2024</t>
  </si>
  <si>
    <t>Mono_2025</t>
  </si>
  <si>
    <t>Mono_2026</t>
  </si>
  <si>
    <t>Mono_2027</t>
  </si>
  <si>
    <t>Mono_2028</t>
  </si>
  <si>
    <t>Mono_2029</t>
  </si>
  <si>
    <t>Mono_2030</t>
  </si>
  <si>
    <t>Mono_2031</t>
  </si>
  <si>
    <t>Mono_2032</t>
  </si>
  <si>
    <t>Mono_2033</t>
  </si>
  <si>
    <t>Mono_2034</t>
  </si>
  <si>
    <t>Mono_2035</t>
  </si>
  <si>
    <t>Mono_2036</t>
  </si>
  <si>
    <t>Mono_2037</t>
  </si>
  <si>
    <t>Mono_2038</t>
  </si>
  <si>
    <t>Mono_2039</t>
  </si>
  <si>
    <t>Mono_2040</t>
  </si>
  <si>
    <t>Mono_2041</t>
  </si>
  <si>
    <t>Mono_2042</t>
  </si>
  <si>
    <t>Mono_2043</t>
  </si>
  <si>
    <t>Mono_2044</t>
  </si>
  <si>
    <t>Mono_2045</t>
  </si>
  <si>
    <t>Mono_2046</t>
  </si>
  <si>
    <t>Mono_2047</t>
  </si>
  <si>
    <t>Mono_2048</t>
  </si>
  <si>
    <t>Mono_2049</t>
  </si>
  <si>
    <t>Mono_2050</t>
  </si>
  <si>
    <t>Monterey_2017</t>
  </si>
  <si>
    <t>Monterey_2018</t>
  </si>
  <si>
    <t>Monterey_2019</t>
  </si>
  <si>
    <t>Monterey_2020</t>
  </si>
  <si>
    <t>Monterey_2021</t>
  </si>
  <si>
    <t>Monterey_2022</t>
  </si>
  <si>
    <t>Monterey_2023</t>
  </si>
  <si>
    <t>Monterey_2024</t>
  </si>
  <si>
    <t>Monterey_2025</t>
  </si>
  <si>
    <t>Monterey_2026</t>
  </si>
  <si>
    <t>Monterey_2027</t>
  </si>
  <si>
    <t>Monterey_2028</t>
  </si>
  <si>
    <t>Monterey_2029</t>
  </si>
  <si>
    <t>Monterey_2030</t>
  </si>
  <si>
    <t>Monterey_2031</t>
  </si>
  <si>
    <t>Monterey_2032</t>
  </si>
  <si>
    <t>Monterey_2033</t>
  </si>
  <si>
    <t>Monterey_2034</t>
  </si>
  <si>
    <t>Monterey_2035</t>
  </si>
  <si>
    <t>Monterey_2036</t>
  </si>
  <si>
    <t>Monterey_2037</t>
  </si>
  <si>
    <t>Monterey_2038</t>
  </si>
  <si>
    <t>Monterey_2039</t>
  </si>
  <si>
    <t>Monterey_2040</t>
  </si>
  <si>
    <t>Monterey_2041</t>
  </si>
  <si>
    <t>Monterey_2042</t>
  </si>
  <si>
    <t>Monterey_2043</t>
  </si>
  <si>
    <t>Monterey_2044</t>
  </si>
  <si>
    <t>Monterey_2045</t>
  </si>
  <si>
    <t>Monterey_2046</t>
  </si>
  <si>
    <t>Monterey_2047</t>
  </si>
  <si>
    <t>Monterey_2048</t>
  </si>
  <si>
    <t>Monterey_2049</t>
  </si>
  <si>
    <t>Monterey_2050</t>
  </si>
  <si>
    <t>Napa_2017</t>
  </si>
  <si>
    <t>Napa_2018</t>
  </si>
  <si>
    <t>Napa_2019</t>
  </si>
  <si>
    <t>Napa_2020</t>
  </si>
  <si>
    <t>Napa_2021</t>
  </si>
  <si>
    <t>Napa_2022</t>
  </si>
  <si>
    <t>Napa_2023</t>
  </si>
  <si>
    <t>Napa_2024</t>
  </si>
  <si>
    <t>Napa_2025</t>
  </si>
  <si>
    <t>Napa_2026</t>
  </si>
  <si>
    <t>Napa_2027</t>
  </si>
  <si>
    <t>Napa_2028</t>
  </si>
  <si>
    <t>Napa_2029</t>
  </si>
  <si>
    <t>Napa_2030</t>
  </si>
  <si>
    <t>Napa_2031</t>
  </si>
  <si>
    <t>Napa_2032</t>
  </si>
  <si>
    <t>Napa_2033</t>
  </si>
  <si>
    <t>Napa_2034</t>
  </si>
  <si>
    <t>Napa_2035</t>
  </si>
  <si>
    <t>Napa_2036</t>
  </si>
  <si>
    <t>Napa_2037</t>
  </si>
  <si>
    <t>Napa_2038</t>
  </si>
  <si>
    <t>Napa_2039</t>
  </si>
  <si>
    <t>Napa_2040</t>
  </si>
  <si>
    <t>Napa_2041</t>
  </si>
  <si>
    <t>Napa_2042</t>
  </si>
  <si>
    <t>Napa_2043</t>
  </si>
  <si>
    <t>Napa_2044</t>
  </si>
  <si>
    <t>Napa_2045</t>
  </si>
  <si>
    <t>Napa_2046</t>
  </si>
  <si>
    <t>Napa_2047</t>
  </si>
  <si>
    <t>Napa_2048</t>
  </si>
  <si>
    <t>Napa_2049</t>
  </si>
  <si>
    <t>Napa_2050</t>
  </si>
  <si>
    <t>Nevada_2017</t>
  </si>
  <si>
    <t>Nevada_2018</t>
  </si>
  <si>
    <t>Nevada_2019</t>
  </si>
  <si>
    <t>Nevada_2020</t>
  </si>
  <si>
    <t>Nevada_2021</t>
  </si>
  <si>
    <t>Nevada_2022</t>
  </si>
  <si>
    <t>Nevada_2023</t>
  </si>
  <si>
    <t>Nevada_2024</t>
  </si>
  <si>
    <t>Nevada_2025</t>
  </si>
  <si>
    <t>Nevada_2026</t>
  </si>
  <si>
    <t>Nevada_2027</t>
  </si>
  <si>
    <t>Nevada_2028</t>
  </si>
  <si>
    <t>Nevada_2029</t>
  </si>
  <si>
    <t>Nevada_2030</t>
  </si>
  <si>
    <t>Nevada_2031</t>
  </si>
  <si>
    <t>Nevada_2032</t>
  </si>
  <si>
    <t>Nevada_2033</t>
  </si>
  <si>
    <t>Nevada_2034</t>
  </si>
  <si>
    <t>Nevada_2035</t>
  </si>
  <si>
    <t>Nevada_2036</t>
  </si>
  <si>
    <t>Nevada_2037</t>
  </si>
  <si>
    <t>Nevada_2038</t>
  </si>
  <si>
    <t>Nevada_2039</t>
  </si>
  <si>
    <t>Nevada_2040</t>
  </si>
  <si>
    <t>Nevada_2041</t>
  </si>
  <si>
    <t>Nevada_2042</t>
  </si>
  <si>
    <t>Nevada_2043</t>
  </si>
  <si>
    <t>Nevada_2044</t>
  </si>
  <si>
    <t>Nevada_2045</t>
  </si>
  <si>
    <t>Nevada_2046</t>
  </si>
  <si>
    <t>Nevada_2047</t>
  </si>
  <si>
    <t>Nevada_2048</t>
  </si>
  <si>
    <t>Nevada_2049</t>
  </si>
  <si>
    <t>Nevada_2050</t>
  </si>
  <si>
    <t>Orange_2017</t>
  </si>
  <si>
    <t>Orange_2018</t>
  </si>
  <si>
    <t>Orange_2019</t>
  </si>
  <si>
    <t>Orange_2020</t>
  </si>
  <si>
    <t>Orange_2021</t>
  </si>
  <si>
    <t>Orange_2022</t>
  </si>
  <si>
    <t>Orange_2023</t>
  </si>
  <si>
    <t>Orange_2024</t>
  </si>
  <si>
    <t>Orange_2025</t>
  </si>
  <si>
    <t>Orange_2026</t>
  </si>
  <si>
    <t>Orange_2027</t>
  </si>
  <si>
    <t>Orange_2028</t>
  </si>
  <si>
    <t>Orange_2029</t>
  </si>
  <si>
    <t>Orange_2030</t>
  </si>
  <si>
    <t>Orange_2031</t>
  </si>
  <si>
    <t>Orange_2032</t>
  </si>
  <si>
    <t>Orange_2033</t>
  </si>
  <si>
    <t>Orange_2034</t>
  </si>
  <si>
    <t>Orange_2035</t>
  </si>
  <si>
    <t>Orange_2036</t>
  </si>
  <si>
    <t>Orange_2037</t>
  </si>
  <si>
    <t>Orange_2038</t>
  </si>
  <si>
    <t>Orange_2039</t>
  </si>
  <si>
    <t>Orange_2040</t>
  </si>
  <si>
    <t>Orange_2041</t>
  </si>
  <si>
    <t>Orange_2042</t>
  </si>
  <si>
    <t>Orange_2043</t>
  </si>
  <si>
    <t>Orange_2044</t>
  </si>
  <si>
    <t>Orange_2045</t>
  </si>
  <si>
    <t>Orange_2046</t>
  </si>
  <si>
    <t>Orange_2047</t>
  </si>
  <si>
    <t>Orange_2048</t>
  </si>
  <si>
    <t>Orange_2049</t>
  </si>
  <si>
    <t>Orange_2050</t>
  </si>
  <si>
    <t>Placer_2017</t>
  </si>
  <si>
    <t>Placer_2018</t>
  </si>
  <si>
    <t>Placer_2019</t>
  </si>
  <si>
    <t>Placer_2020</t>
  </si>
  <si>
    <t>Placer_2021</t>
  </si>
  <si>
    <t>Placer_2022</t>
  </si>
  <si>
    <t>Placer_2023</t>
  </si>
  <si>
    <t>Placer_2024</t>
  </si>
  <si>
    <t>Placer_2025</t>
  </si>
  <si>
    <t>Placer_2026</t>
  </si>
  <si>
    <t>Placer_2027</t>
  </si>
  <si>
    <t>Placer_2028</t>
  </si>
  <si>
    <t>Placer_2029</t>
  </si>
  <si>
    <t>Placer_2030</t>
  </si>
  <si>
    <t>Placer_2031</t>
  </si>
  <si>
    <t>Placer_2032</t>
  </si>
  <si>
    <t>Placer_2033</t>
  </si>
  <si>
    <t>Placer_2034</t>
  </si>
  <si>
    <t>Placer_2035</t>
  </si>
  <si>
    <t>Placer_2036</t>
  </si>
  <si>
    <t>Placer_2037</t>
  </si>
  <si>
    <t>Placer_2038</t>
  </si>
  <si>
    <t>Placer_2039</t>
  </si>
  <si>
    <t>Placer_2040</t>
  </si>
  <si>
    <t>Placer_2041</t>
  </si>
  <si>
    <t>Placer_2042</t>
  </si>
  <si>
    <t>Placer_2043</t>
  </si>
  <si>
    <t>Placer_2044</t>
  </si>
  <si>
    <t>Placer_2045</t>
  </si>
  <si>
    <t>Placer_2046</t>
  </si>
  <si>
    <t>Placer_2047</t>
  </si>
  <si>
    <t>Placer_2048</t>
  </si>
  <si>
    <t>Placer_2049</t>
  </si>
  <si>
    <t>Placer_2050</t>
  </si>
  <si>
    <t>Plumas_2017</t>
  </si>
  <si>
    <t>Plumas_2018</t>
  </si>
  <si>
    <t>Plumas_2019</t>
  </si>
  <si>
    <t>Plumas_2020</t>
  </si>
  <si>
    <t>Plumas_2021</t>
  </si>
  <si>
    <t>Plumas_2022</t>
  </si>
  <si>
    <t>Plumas_2023</t>
  </si>
  <si>
    <t>Plumas_2024</t>
  </si>
  <si>
    <t>Plumas_2025</t>
  </si>
  <si>
    <t>Plumas_2026</t>
  </si>
  <si>
    <t>Plumas_2027</t>
  </si>
  <si>
    <t>Plumas_2028</t>
  </si>
  <si>
    <t>Plumas_2029</t>
  </si>
  <si>
    <t>Plumas_2030</t>
  </si>
  <si>
    <t>Plumas_2031</t>
  </si>
  <si>
    <t>Plumas_2032</t>
  </si>
  <si>
    <t>Plumas_2033</t>
  </si>
  <si>
    <t>Plumas_2034</t>
  </si>
  <si>
    <t>Plumas_2035</t>
  </si>
  <si>
    <t>Plumas_2036</t>
  </si>
  <si>
    <t>Plumas_2037</t>
  </si>
  <si>
    <t>Plumas_2038</t>
  </si>
  <si>
    <t>Plumas_2039</t>
  </si>
  <si>
    <t>Plumas_2040</t>
  </si>
  <si>
    <t>Plumas_2041</t>
  </si>
  <si>
    <t>Plumas_2042</t>
  </si>
  <si>
    <t>Plumas_2043</t>
  </si>
  <si>
    <t>Plumas_2044</t>
  </si>
  <si>
    <t>Plumas_2045</t>
  </si>
  <si>
    <t>Plumas_2046</t>
  </si>
  <si>
    <t>Plumas_2047</t>
  </si>
  <si>
    <t>Plumas_2048</t>
  </si>
  <si>
    <t>Plumas_2049</t>
  </si>
  <si>
    <t>Plumas_2050</t>
  </si>
  <si>
    <t>Riverside_2017</t>
  </si>
  <si>
    <t>Riverside_2018</t>
  </si>
  <si>
    <t>Riverside_2019</t>
  </si>
  <si>
    <t>Riverside_2020</t>
  </si>
  <si>
    <t>Riverside_2021</t>
  </si>
  <si>
    <t>Riverside_2022</t>
  </si>
  <si>
    <t>Riverside_2023</t>
  </si>
  <si>
    <t>Riverside_2024</t>
  </si>
  <si>
    <t>Riverside_2025</t>
  </si>
  <si>
    <t>Riverside_2026</t>
  </si>
  <si>
    <t>Riverside_2027</t>
  </si>
  <si>
    <t>Riverside_2028</t>
  </si>
  <si>
    <t>Riverside_2029</t>
  </si>
  <si>
    <t>Riverside_2030</t>
  </si>
  <si>
    <t>Riverside_2031</t>
  </si>
  <si>
    <t>Riverside_2032</t>
  </si>
  <si>
    <t>Riverside_2033</t>
  </si>
  <si>
    <t>Riverside_2034</t>
  </si>
  <si>
    <t>Riverside_2035</t>
  </si>
  <si>
    <t>Riverside_2036</t>
  </si>
  <si>
    <t>Riverside_2037</t>
  </si>
  <si>
    <t>Riverside_2038</t>
  </si>
  <si>
    <t>Riverside_2039</t>
  </si>
  <si>
    <t>Riverside_2040</t>
  </si>
  <si>
    <t>Riverside_2041</t>
  </si>
  <si>
    <t>Riverside_2042</t>
  </si>
  <si>
    <t>Riverside_2043</t>
  </si>
  <si>
    <t>Riverside_2044</t>
  </si>
  <si>
    <t>Riverside_2045</t>
  </si>
  <si>
    <t>Riverside_2046</t>
  </si>
  <si>
    <t>Riverside_2047</t>
  </si>
  <si>
    <t>Riverside_2048</t>
  </si>
  <si>
    <t>Riverside_2049</t>
  </si>
  <si>
    <t>Riverside_2050</t>
  </si>
  <si>
    <t>Sacramento_2017</t>
  </si>
  <si>
    <t>Sacramento_2018</t>
  </si>
  <si>
    <t>Sacramento_2019</t>
  </si>
  <si>
    <t>Sacramento_2020</t>
  </si>
  <si>
    <t>Sacramento_2021</t>
  </si>
  <si>
    <t>Sacramento_2022</t>
  </si>
  <si>
    <t>Sacramento_2023</t>
  </si>
  <si>
    <t>Sacramento_2024</t>
  </si>
  <si>
    <t>Sacramento_2025</t>
  </si>
  <si>
    <t>Sacramento_2026</t>
  </si>
  <si>
    <t>Sacramento_2027</t>
  </si>
  <si>
    <t>Sacramento_2028</t>
  </si>
  <si>
    <t>Sacramento_2029</t>
  </si>
  <si>
    <t>Sacramento_2030</t>
  </si>
  <si>
    <t>Sacramento_2031</t>
  </si>
  <si>
    <t>Sacramento_2032</t>
  </si>
  <si>
    <t>Sacramento_2033</t>
  </si>
  <si>
    <t>Sacramento_2034</t>
  </si>
  <si>
    <t>Sacramento_2035</t>
  </si>
  <si>
    <t>Sacramento_2036</t>
  </si>
  <si>
    <t>Sacramento_2037</t>
  </si>
  <si>
    <t>Sacramento_2038</t>
  </si>
  <si>
    <t>Sacramento_2039</t>
  </si>
  <si>
    <t>Sacramento_2040</t>
  </si>
  <si>
    <t>Sacramento_2041</t>
  </si>
  <si>
    <t>Sacramento_2042</t>
  </si>
  <si>
    <t>Sacramento_2043</t>
  </si>
  <si>
    <t>Sacramento_2044</t>
  </si>
  <si>
    <t>Sacramento_2045</t>
  </si>
  <si>
    <t>Sacramento_2046</t>
  </si>
  <si>
    <t>Sacramento_2047</t>
  </si>
  <si>
    <t>Sacramento_2048</t>
  </si>
  <si>
    <t>Sacramento_2049</t>
  </si>
  <si>
    <t>Sacramento_2050</t>
  </si>
  <si>
    <t>San Benito_2017</t>
  </si>
  <si>
    <t>San Benito_2018</t>
  </si>
  <si>
    <t>San Benito_2019</t>
  </si>
  <si>
    <t>San Benito_2020</t>
  </si>
  <si>
    <t>San Benito_2021</t>
  </si>
  <si>
    <t>San Benito_2022</t>
  </si>
  <si>
    <t>San Benito_2023</t>
  </si>
  <si>
    <t>San Benito_2024</t>
  </si>
  <si>
    <t>San Benito_2025</t>
  </si>
  <si>
    <t>San Benito_2026</t>
  </si>
  <si>
    <t>San Benito_2027</t>
  </si>
  <si>
    <t>San Benito_2028</t>
  </si>
  <si>
    <t>San Benito_2029</t>
  </si>
  <si>
    <t>San Benito_2030</t>
  </si>
  <si>
    <t>San Benito_2031</t>
  </si>
  <si>
    <t>San Benito_2032</t>
  </si>
  <si>
    <t>San Benito_2033</t>
  </si>
  <si>
    <t>San Benito_2034</t>
  </si>
  <si>
    <t>San Benito_2035</t>
  </si>
  <si>
    <t>San Benito_2036</t>
  </si>
  <si>
    <t>San Benito_2037</t>
  </si>
  <si>
    <t>San Benito_2038</t>
  </si>
  <si>
    <t>San Benito_2039</t>
  </si>
  <si>
    <t>San Benito_2040</t>
  </si>
  <si>
    <t>San Benito_2041</t>
  </si>
  <si>
    <t>San Benito_2042</t>
  </si>
  <si>
    <t>San Benito_2043</t>
  </si>
  <si>
    <t>San Benito_2044</t>
  </si>
  <si>
    <t>San Benito_2045</t>
  </si>
  <si>
    <t>San Benito_2046</t>
  </si>
  <si>
    <t>San Benito_2047</t>
  </si>
  <si>
    <t>San Benito_2048</t>
  </si>
  <si>
    <t>San Benito_2049</t>
  </si>
  <si>
    <t>San Benito_2050</t>
  </si>
  <si>
    <t>San Bernardino_2017</t>
  </si>
  <si>
    <t>San Bernardino_2018</t>
  </si>
  <si>
    <t>San Bernardino_2019</t>
  </si>
  <si>
    <t>San Bernardino_2020</t>
  </si>
  <si>
    <t>San Bernardino_2021</t>
  </si>
  <si>
    <t>San Bernardino_2022</t>
  </si>
  <si>
    <t>San Bernardino_2023</t>
  </si>
  <si>
    <t>San Bernardino_2024</t>
  </si>
  <si>
    <t>San Bernardino_2025</t>
  </si>
  <si>
    <t>San Bernardino_2026</t>
  </si>
  <si>
    <t>San Bernardino_2027</t>
  </si>
  <si>
    <t>San Bernardino_2028</t>
  </si>
  <si>
    <t>San Bernardino_2029</t>
  </si>
  <si>
    <t>San Bernardino_2030</t>
  </si>
  <si>
    <t>San Bernardino_2031</t>
  </si>
  <si>
    <t>San Bernardino_2032</t>
  </si>
  <si>
    <t>San Bernardino_2033</t>
  </si>
  <si>
    <t>San Bernardino_2034</t>
  </si>
  <si>
    <t>San Bernardino_2035</t>
  </si>
  <si>
    <t>San Bernardino_2036</t>
  </si>
  <si>
    <t>San Bernardino_2037</t>
  </si>
  <si>
    <t>San Bernardino_2038</t>
  </si>
  <si>
    <t>San Bernardino_2039</t>
  </si>
  <si>
    <t>San Bernardino_2040</t>
  </si>
  <si>
    <t>San Bernardino_2041</t>
  </si>
  <si>
    <t>San Bernardino_2042</t>
  </si>
  <si>
    <t>San Bernardino_2043</t>
  </si>
  <si>
    <t>San Bernardino_2044</t>
  </si>
  <si>
    <t>San Bernardino_2045</t>
  </si>
  <si>
    <t>San Bernardino_2046</t>
  </si>
  <si>
    <t>San Bernardino_2047</t>
  </si>
  <si>
    <t>San Bernardino_2048</t>
  </si>
  <si>
    <t>San Bernardino_2049</t>
  </si>
  <si>
    <t>San Bernardino_2050</t>
  </si>
  <si>
    <t>San Diego_2017</t>
  </si>
  <si>
    <t>San Diego_2018</t>
  </si>
  <si>
    <t>San Diego_2019</t>
  </si>
  <si>
    <t>San Diego_2020</t>
  </si>
  <si>
    <t>San Diego_2021</t>
  </si>
  <si>
    <t>San Diego_2022</t>
  </si>
  <si>
    <t>San Diego_2023</t>
  </si>
  <si>
    <t>San Diego_2024</t>
  </si>
  <si>
    <t>San Diego_2025</t>
  </si>
  <si>
    <t>San Diego_2026</t>
  </si>
  <si>
    <t>San Diego_2027</t>
  </si>
  <si>
    <t>San Diego_2028</t>
  </si>
  <si>
    <t>San Diego_2029</t>
  </si>
  <si>
    <t>San Diego_2030</t>
  </si>
  <si>
    <t>San Diego_2031</t>
  </si>
  <si>
    <t>San Diego_2032</t>
  </si>
  <si>
    <t>San Diego_2033</t>
  </si>
  <si>
    <t>San Diego_2034</t>
  </si>
  <si>
    <t>San Diego_2035</t>
  </si>
  <si>
    <t>San Diego_2036</t>
  </si>
  <si>
    <t>San Diego_2037</t>
  </si>
  <si>
    <t>San Diego_2038</t>
  </si>
  <si>
    <t>San Diego_2039</t>
  </si>
  <si>
    <t>San Diego_2040</t>
  </si>
  <si>
    <t>San Diego_2041</t>
  </si>
  <si>
    <t>San Diego_2042</t>
  </si>
  <si>
    <t>San Diego_2043</t>
  </si>
  <si>
    <t>San Diego_2044</t>
  </si>
  <si>
    <t>San Diego_2045</t>
  </si>
  <si>
    <t>San Diego_2046</t>
  </si>
  <si>
    <t>San Diego_2047</t>
  </si>
  <si>
    <t>San Diego_2048</t>
  </si>
  <si>
    <t>San Diego_2049</t>
  </si>
  <si>
    <t>San Diego_2050</t>
  </si>
  <si>
    <t>San Francisco_2017</t>
  </si>
  <si>
    <t>San Francisco_2018</t>
  </si>
  <si>
    <t>San Francisco_2019</t>
  </si>
  <si>
    <t>San Francisco_2020</t>
  </si>
  <si>
    <t>San Francisco_2021</t>
  </si>
  <si>
    <t>San Francisco_2022</t>
  </si>
  <si>
    <t>San Francisco_2023</t>
  </si>
  <si>
    <t>San Francisco_2024</t>
  </si>
  <si>
    <t>San Francisco_2025</t>
  </si>
  <si>
    <t>San Francisco_2026</t>
  </si>
  <si>
    <t>San Francisco_2027</t>
  </si>
  <si>
    <t>San Francisco_2028</t>
  </si>
  <si>
    <t>San Francisco_2029</t>
  </si>
  <si>
    <t>San Francisco_2030</t>
  </si>
  <si>
    <t>San Francisco_2031</t>
  </si>
  <si>
    <t>San Francisco_2032</t>
  </si>
  <si>
    <t>San Francisco_2033</t>
  </si>
  <si>
    <t>San Francisco_2034</t>
  </si>
  <si>
    <t>San Francisco_2035</t>
  </si>
  <si>
    <t>San Francisco_2036</t>
  </si>
  <si>
    <t>San Francisco_2037</t>
  </si>
  <si>
    <t>San Francisco_2038</t>
  </si>
  <si>
    <t>San Francisco_2039</t>
  </si>
  <si>
    <t>San Francisco_2040</t>
  </si>
  <si>
    <t>San Francisco_2041</t>
  </si>
  <si>
    <t>San Francisco_2042</t>
  </si>
  <si>
    <t>San Francisco_2043</t>
  </si>
  <si>
    <t>San Francisco_2044</t>
  </si>
  <si>
    <t>San Francisco_2045</t>
  </si>
  <si>
    <t>San Francisco_2046</t>
  </si>
  <si>
    <t>San Francisco_2047</t>
  </si>
  <si>
    <t>San Francisco_2048</t>
  </si>
  <si>
    <t>San Francisco_2049</t>
  </si>
  <si>
    <t>San Francisco_2050</t>
  </si>
  <si>
    <t>San Joaquin_2017</t>
  </si>
  <si>
    <t>San Joaquin_2018</t>
  </si>
  <si>
    <t>San Joaquin_2019</t>
  </si>
  <si>
    <t>San Joaquin_2020</t>
  </si>
  <si>
    <t>San Joaquin_2021</t>
  </si>
  <si>
    <t>San Joaquin_2022</t>
  </si>
  <si>
    <t>San Joaquin_2023</t>
  </si>
  <si>
    <t>San Joaquin_2024</t>
  </si>
  <si>
    <t>San Joaquin_2025</t>
  </si>
  <si>
    <t>San Joaquin_2026</t>
  </si>
  <si>
    <t>San Joaquin_2027</t>
  </si>
  <si>
    <t>San Joaquin_2028</t>
  </si>
  <si>
    <t>San Joaquin_2029</t>
  </si>
  <si>
    <t>San Joaquin_2030</t>
  </si>
  <si>
    <t>San Joaquin_2031</t>
  </si>
  <si>
    <t>San Joaquin_2032</t>
  </si>
  <si>
    <t>San Joaquin_2033</t>
  </si>
  <si>
    <t>San Joaquin_2034</t>
  </si>
  <si>
    <t>San Joaquin_2035</t>
  </si>
  <si>
    <t>San Joaquin_2036</t>
  </si>
  <si>
    <t>San Joaquin_2037</t>
  </si>
  <si>
    <t>San Joaquin_2038</t>
  </si>
  <si>
    <t>San Joaquin_2039</t>
  </si>
  <si>
    <t>San Joaquin_2040</t>
  </si>
  <si>
    <t>San Joaquin_2041</t>
  </si>
  <si>
    <t>San Joaquin_2042</t>
  </si>
  <si>
    <t>San Joaquin_2043</t>
  </si>
  <si>
    <t>San Joaquin_2044</t>
  </si>
  <si>
    <t>San Joaquin_2045</t>
  </si>
  <si>
    <t>San Joaquin_2046</t>
  </si>
  <si>
    <t>San Joaquin_2047</t>
  </si>
  <si>
    <t>San Joaquin_2048</t>
  </si>
  <si>
    <t>San Joaquin_2049</t>
  </si>
  <si>
    <t>San Joaquin_2050</t>
  </si>
  <si>
    <t>San Luis Obispo_2017</t>
  </si>
  <si>
    <t>San Luis Obispo_2018</t>
  </si>
  <si>
    <t>San Luis Obispo_2019</t>
  </si>
  <si>
    <t>San Luis Obispo_2020</t>
  </si>
  <si>
    <t>San Luis Obispo_2021</t>
  </si>
  <si>
    <t>San Luis Obispo_2022</t>
  </si>
  <si>
    <t>San Luis Obispo_2023</t>
  </si>
  <si>
    <t>San Luis Obispo_2024</t>
  </si>
  <si>
    <t>San Luis Obispo_2025</t>
  </si>
  <si>
    <t>San Luis Obispo_2026</t>
  </si>
  <si>
    <t>San Luis Obispo_2027</t>
  </si>
  <si>
    <t>San Luis Obispo_2028</t>
  </si>
  <si>
    <t>San Luis Obispo_2029</t>
  </si>
  <si>
    <t>San Luis Obispo_2030</t>
  </si>
  <si>
    <t>San Luis Obispo_2031</t>
  </si>
  <si>
    <t>San Luis Obispo_2032</t>
  </si>
  <si>
    <t>San Luis Obispo_2033</t>
  </si>
  <si>
    <t>San Luis Obispo_2034</t>
  </si>
  <si>
    <t>San Luis Obispo_2035</t>
  </si>
  <si>
    <t>San Luis Obispo_2036</t>
  </si>
  <si>
    <t>San Luis Obispo_2037</t>
  </si>
  <si>
    <t>San Luis Obispo_2038</t>
  </si>
  <si>
    <t>San Luis Obispo_2039</t>
  </si>
  <si>
    <t>San Luis Obispo_2040</t>
  </si>
  <si>
    <t>San Luis Obispo_2041</t>
  </si>
  <si>
    <t>San Luis Obispo_2042</t>
  </si>
  <si>
    <t>San Luis Obispo_2043</t>
  </si>
  <si>
    <t>San Luis Obispo_2044</t>
  </si>
  <si>
    <t>San Luis Obispo_2045</t>
  </si>
  <si>
    <t>San Luis Obispo_2046</t>
  </si>
  <si>
    <t>San Luis Obispo_2047</t>
  </si>
  <si>
    <t>San Luis Obispo_2048</t>
  </si>
  <si>
    <t>San Luis Obispo_2049</t>
  </si>
  <si>
    <t>San Luis Obispo_2050</t>
  </si>
  <si>
    <t>San Mateo_2017</t>
  </si>
  <si>
    <t>San Mateo_2018</t>
  </si>
  <si>
    <t>San Mateo_2019</t>
  </si>
  <si>
    <t>San Mateo_2020</t>
  </si>
  <si>
    <t>San Mateo_2021</t>
  </si>
  <si>
    <t>San Mateo_2022</t>
  </si>
  <si>
    <t>San Mateo_2023</t>
  </si>
  <si>
    <t>San Mateo_2024</t>
  </si>
  <si>
    <t>San Mateo_2025</t>
  </si>
  <si>
    <t>San Mateo_2026</t>
  </si>
  <si>
    <t>San Mateo_2027</t>
  </si>
  <si>
    <t>San Mateo_2028</t>
  </si>
  <si>
    <t>San Mateo_2029</t>
  </si>
  <si>
    <t>San Mateo_2030</t>
  </si>
  <si>
    <t>San Mateo_2031</t>
  </si>
  <si>
    <t>San Mateo_2032</t>
  </si>
  <si>
    <t>San Mateo_2033</t>
  </si>
  <si>
    <t>San Mateo_2034</t>
  </si>
  <si>
    <t>San Mateo_2035</t>
  </si>
  <si>
    <t>San Mateo_2036</t>
  </si>
  <si>
    <t>San Mateo_2037</t>
  </si>
  <si>
    <t>San Mateo_2038</t>
  </si>
  <si>
    <t>San Mateo_2039</t>
  </si>
  <si>
    <t>San Mateo_2040</t>
  </si>
  <si>
    <t>San Mateo_2041</t>
  </si>
  <si>
    <t>San Mateo_2042</t>
  </si>
  <si>
    <t>San Mateo_2043</t>
  </si>
  <si>
    <t>San Mateo_2044</t>
  </si>
  <si>
    <t>San Mateo_2045</t>
  </si>
  <si>
    <t>San Mateo_2046</t>
  </si>
  <si>
    <t>San Mateo_2047</t>
  </si>
  <si>
    <t>San Mateo_2048</t>
  </si>
  <si>
    <t>San Mateo_2049</t>
  </si>
  <si>
    <t>San Mateo_2050</t>
  </si>
  <si>
    <t>Santa Barbara_2017</t>
  </si>
  <si>
    <t>Santa Barbara_2018</t>
  </si>
  <si>
    <t>Santa Barbara_2019</t>
  </si>
  <si>
    <t>Santa Barbara_2020</t>
  </si>
  <si>
    <t>Santa Barbara_2021</t>
  </si>
  <si>
    <t>Santa Barbara_2022</t>
  </si>
  <si>
    <t>Santa Barbara_2023</t>
  </si>
  <si>
    <t>Santa Barbara_2024</t>
  </si>
  <si>
    <t>Santa Barbara_2025</t>
  </si>
  <si>
    <t>Santa Barbara_2026</t>
  </si>
  <si>
    <t>Santa Barbara_2027</t>
  </si>
  <si>
    <t>Santa Barbara_2028</t>
  </si>
  <si>
    <t>Santa Barbara_2029</t>
  </si>
  <si>
    <t>Santa Barbara_2030</t>
  </si>
  <si>
    <t>Santa Barbara_2031</t>
  </si>
  <si>
    <t>Santa Barbara_2032</t>
  </si>
  <si>
    <t>Santa Barbara_2033</t>
  </si>
  <si>
    <t>Santa Barbara_2034</t>
  </si>
  <si>
    <t>Santa Barbara_2035</t>
  </si>
  <si>
    <t>Santa Barbara_2036</t>
  </si>
  <si>
    <t>Santa Barbara_2037</t>
  </si>
  <si>
    <t>Santa Barbara_2038</t>
  </si>
  <si>
    <t>Santa Barbara_2039</t>
  </si>
  <si>
    <t>Santa Barbara_2040</t>
  </si>
  <si>
    <t>Santa Barbara_2041</t>
  </si>
  <si>
    <t>Santa Barbara_2042</t>
  </si>
  <si>
    <t>Santa Barbara_2043</t>
  </si>
  <si>
    <t>Santa Barbara_2044</t>
  </si>
  <si>
    <t>Santa Barbara_2045</t>
  </si>
  <si>
    <t>Santa Barbara_2046</t>
  </si>
  <si>
    <t>Santa Barbara_2047</t>
  </si>
  <si>
    <t>Santa Barbara_2048</t>
  </si>
  <si>
    <t>Santa Barbara_2049</t>
  </si>
  <si>
    <t>Santa Barbara_2050</t>
  </si>
  <si>
    <t>Santa Clara_2017</t>
  </si>
  <si>
    <t>Santa Clara_2018</t>
  </si>
  <si>
    <t>Santa Clara_2019</t>
  </si>
  <si>
    <t>Santa Clara_2020</t>
  </si>
  <si>
    <t>Santa Clara_2021</t>
  </si>
  <si>
    <t>Santa Clara_2022</t>
  </si>
  <si>
    <t>Santa Clara_2023</t>
  </si>
  <si>
    <t>Santa Clara_2024</t>
  </si>
  <si>
    <t>Santa Clara_2025</t>
  </si>
  <si>
    <t>Santa Clara_2026</t>
  </si>
  <si>
    <t>Santa Clara_2027</t>
  </si>
  <si>
    <t>Santa Clara_2028</t>
  </si>
  <si>
    <t>Santa Clara_2029</t>
  </si>
  <si>
    <t>Santa Clara_2030</t>
  </si>
  <si>
    <t>Santa Clara_2031</t>
  </si>
  <si>
    <t>Santa Clara_2032</t>
  </si>
  <si>
    <t>Santa Clara_2033</t>
  </si>
  <si>
    <t>Santa Clara_2034</t>
  </si>
  <si>
    <t>Santa Clara_2035</t>
  </si>
  <si>
    <t>Santa Clara_2036</t>
  </si>
  <si>
    <t>Santa Clara_2037</t>
  </si>
  <si>
    <t>Santa Clara_2038</t>
  </si>
  <si>
    <t>Santa Clara_2039</t>
  </si>
  <si>
    <t>Santa Clara_2040</t>
  </si>
  <si>
    <t>Santa Clara_2041</t>
  </si>
  <si>
    <t>Santa Clara_2042</t>
  </si>
  <si>
    <t>Santa Clara_2043</t>
  </si>
  <si>
    <t>Santa Clara_2044</t>
  </si>
  <si>
    <t>Santa Clara_2045</t>
  </si>
  <si>
    <t>Santa Clara_2046</t>
  </si>
  <si>
    <t>Santa Clara_2047</t>
  </si>
  <si>
    <t>Santa Clara_2048</t>
  </si>
  <si>
    <t>Santa Clara_2049</t>
  </si>
  <si>
    <t>Santa Clara_2050</t>
  </si>
  <si>
    <t>Santa Cruz_2017</t>
  </si>
  <si>
    <t>Santa Cruz_2018</t>
  </si>
  <si>
    <t>Santa Cruz_2019</t>
  </si>
  <si>
    <t>Santa Cruz_2020</t>
  </si>
  <si>
    <t>Santa Cruz_2021</t>
  </si>
  <si>
    <t>Santa Cruz_2022</t>
  </si>
  <si>
    <t>Santa Cruz_2023</t>
  </si>
  <si>
    <t>Santa Cruz_2024</t>
  </si>
  <si>
    <t>Santa Cruz_2025</t>
  </si>
  <si>
    <t>Santa Cruz_2026</t>
  </si>
  <si>
    <t>Santa Cruz_2027</t>
  </si>
  <si>
    <t>Santa Cruz_2028</t>
  </si>
  <si>
    <t>Santa Cruz_2029</t>
  </si>
  <si>
    <t>Santa Cruz_2030</t>
  </si>
  <si>
    <t>Santa Cruz_2031</t>
  </si>
  <si>
    <t>Santa Cruz_2032</t>
  </si>
  <si>
    <t>Santa Cruz_2033</t>
  </si>
  <si>
    <t>Santa Cruz_2034</t>
  </si>
  <si>
    <t>Santa Cruz_2035</t>
  </si>
  <si>
    <t>Santa Cruz_2036</t>
  </si>
  <si>
    <t>Santa Cruz_2037</t>
  </si>
  <si>
    <t>Santa Cruz_2038</t>
  </si>
  <si>
    <t>Santa Cruz_2039</t>
  </si>
  <si>
    <t>Santa Cruz_2040</t>
  </si>
  <si>
    <t>Santa Cruz_2041</t>
  </si>
  <si>
    <t>Santa Cruz_2042</t>
  </si>
  <si>
    <t>Santa Cruz_2043</t>
  </si>
  <si>
    <t>Santa Cruz_2044</t>
  </si>
  <si>
    <t>Santa Cruz_2045</t>
  </si>
  <si>
    <t>Santa Cruz_2046</t>
  </si>
  <si>
    <t>Santa Cruz_2047</t>
  </si>
  <si>
    <t>Santa Cruz_2048</t>
  </si>
  <si>
    <t>Santa Cruz_2049</t>
  </si>
  <si>
    <t>Santa Cruz_2050</t>
  </si>
  <si>
    <t>Shasta_2017</t>
  </si>
  <si>
    <t>Shasta_2018</t>
  </si>
  <si>
    <t>Shasta_2019</t>
  </si>
  <si>
    <t>Shasta_2020</t>
  </si>
  <si>
    <t>Shasta_2021</t>
  </si>
  <si>
    <t>Shasta_2022</t>
  </si>
  <si>
    <t>Shasta_2023</t>
  </si>
  <si>
    <t>Shasta_2024</t>
  </si>
  <si>
    <t>Shasta_2025</t>
  </si>
  <si>
    <t>Shasta_2026</t>
  </si>
  <si>
    <t>Shasta_2027</t>
  </si>
  <si>
    <t>Shasta_2028</t>
  </si>
  <si>
    <t>Shasta_2029</t>
  </si>
  <si>
    <t>Shasta_2030</t>
  </si>
  <si>
    <t>Shasta_2031</t>
  </si>
  <si>
    <t>Shasta_2032</t>
  </si>
  <si>
    <t>Shasta_2033</t>
  </si>
  <si>
    <t>Shasta_2034</t>
  </si>
  <si>
    <t>Shasta_2035</t>
  </si>
  <si>
    <t>Shasta_2036</t>
  </si>
  <si>
    <t>Shasta_2037</t>
  </si>
  <si>
    <t>Shasta_2038</t>
  </si>
  <si>
    <t>Shasta_2039</t>
  </si>
  <si>
    <t>Shasta_2040</t>
  </si>
  <si>
    <t>Shasta_2041</t>
  </si>
  <si>
    <t>Shasta_2042</t>
  </si>
  <si>
    <t>Shasta_2043</t>
  </si>
  <si>
    <t>Shasta_2044</t>
  </si>
  <si>
    <t>Shasta_2045</t>
  </si>
  <si>
    <t>Shasta_2046</t>
  </si>
  <si>
    <t>Shasta_2047</t>
  </si>
  <si>
    <t>Shasta_2048</t>
  </si>
  <si>
    <t>Shasta_2049</t>
  </si>
  <si>
    <t>Shasta_2050</t>
  </si>
  <si>
    <t>Sierra_2017</t>
  </si>
  <si>
    <t>Sierra_2018</t>
  </si>
  <si>
    <t>Sierra_2019</t>
  </si>
  <si>
    <t>Sierra_2020</t>
  </si>
  <si>
    <t>Sierra_2021</t>
  </si>
  <si>
    <t>Sierra_2022</t>
  </si>
  <si>
    <t>Sierra_2023</t>
  </si>
  <si>
    <t>Sierra_2024</t>
  </si>
  <si>
    <t>Sierra_2025</t>
  </si>
  <si>
    <t>Sierra_2026</t>
  </si>
  <si>
    <t>Sierra_2027</t>
  </si>
  <si>
    <t>Sierra_2028</t>
  </si>
  <si>
    <t>Sierra_2029</t>
  </si>
  <si>
    <t>Sierra_2030</t>
  </si>
  <si>
    <t>Sierra_2031</t>
  </si>
  <si>
    <t>Sierra_2032</t>
  </si>
  <si>
    <t>Sierra_2033</t>
  </si>
  <si>
    <t>Sierra_2034</t>
  </si>
  <si>
    <t>Sierra_2035</t>
  </si>
  <si>
    <t>Sierra_2036</t>
  </si>
  <si>
    <t>Sierra_2037</t>
  </si>
  <si>
    <t>Sierra_2038</t>
  </si>
  <si>
    <t>Sierra_2039</t>
  </si>
  <si>
    <t>Sierra_2040</t>
  </si>
  <si>
    <t>Sierra_2041</t>
  </si>
  <si>
    <t>Sierra_2042</t>
  </si>
  <si>
    <t>Sierra_2043</t>
  </si>
  <si>
    <t>Sierra_2044</t>
  </si>
  <si>
    <t>Sierra_2045</t>
  </si>
  <si>
    <t>Sierra_2046</t>
  </si>
  <si>
    <t>Sierra_2047</t>
  </si>
  <si>
    <t>Sierra_2048</t>
  </si>
  <si>
    <t>Sierra_2049</t>
  </si>
  <si>
    <t>Sierra_2050</t>
  </si>
  <si>
    <t>Siskiyou_2017</t>
  </si>
  <si>
    <t>Siskiyou_2018</t>
  </si>
  <si>
    <t>Siskiyou_2019</t>
  </si>
  <si>
    <t>Siskiyou_2020</t>
  </si>
  <si>
    <t>Siskiyou_2021</t>
  </si>
  <si>
    <t>Siskiyou_2022</t>
  </si>
  <si>
    <t>Siskiyou_2023</t>
  </si>
  <si>
    <t>Siskiyou_2024</t>
  </si>
  <si>
    <t>Siskiyou_2025</t>
  </si>
  <si>
    <t>Siskiyou_2026</t>
  </si>
  <si>
    <t>Siskiyou_2027</t>
  </si>
  <si>
    <t>Siskiyou_2028</t>
  </si>
  <si>
    <t>Siskiyou_2029</t>
  </si>
  <si>
    <t>Siskiyou_2030</t>
  </si>
  <si>
    <t>Siskiyou_2031</t>
  </si>
  <si>
    <t>Siskiyou_2032</t>
  </si>
  <si>
    <t>Siskiyou_2033</t>
  </si>
  <si>
    <t>Siskiyou_2034</t>
  </si>
  <si>
    <t>Siskiyou_2035</t>
  </si>
  <si>
    <t>Siskiyou_2036</t>
  </si>
  <si>
    <t>Siskiyou_2037</t>
  </si>
  <si>
    <t>Siskiyou_2038</t>
  </si>
  <si>
    <t>Siskiyou_2039</t>
  </si>
  <si>
    <t>Siskiyou_2040</t>
  </si>
  <si>
    <t>Siskiyou_2041</t>
  </si>
  <si>
    <t>Siskiyou_2042</t>
  </si>
  <si>
    <t>Siskiyou_2043</t>
  </si>
  <si>
    <t>Siskiyou_2044</t>
  </si>
  <si>
    <t>Siskiyou_2045</t>
  </si>
  <si>
    <t>Siskiyou_2046</t>
  </si>
  <si>
    <t>Siskiyou_2047</t>
  </si>
  <si>
    <t>Siskiyou_2048</t>
  </si>
  <si>
    <t>Siskiyou_2049</t>
  </si>
  <si>
    <t>Siskiyou_2050</t>
  </si>
  <si>
    <t>Solano_2017</t>
  </si>
  <si>
    <t>Solano_2018</t>
  </si>
  <si>
    <t>Solano_2019</t>
  </si>
  <si>
    <t>Solano_2020</t>
  </si>
  <si>
    <t>Solano_2021</t>
  </si>
  <si>
    <t>Solano_2022</t>
  </si>
  <si>
    <t>Solano_2023</t>
  </si>
  <si>
    <t>Solano_2024</t>
  </si>
  <si>
    <t>Solano_2025</t>
  </si>
  <si>
    <t>Solano_2026</t>
  </si>
  <si>
    <t>Solano_2027</t>
  </si>
  <si>
    <t>Solano_2028</t>
  </si>
  <si>
    <t>Solano_2029</t>
  </si>
  <si>
    <t>Solano_2030</t>
  </si>
  <si>
    <t>Solano_2031</t>
  </si>
  <si>
    <t>Solano_2032</t>
  </si>
  <si>
    <t>Solano_2033</t>
  </si>
  <si>
    <t>Solano_2034</t>
  </si>
  <si>
    <t>Solano_2035</t>
  </si>
  <si>
    <t>Solano_2036</t>
  </si>
  <si>
    <t>Solano_2037</t>
  </si>
  <si>
    <t>Solano_2038</t>
  </si>
  <si>
    <t>Solano_2039</t>
  </si>
  <si>
    <t>Solano_2040</t>
  </si>
  <si>
    <t>Solano_2041</t>
  </si>
  <si>
    <t>Solano_2042</t>
  </si>
  <si>
    <t>Solano_2043</t>
  </si>
  <si>
    <t>Solano_2044</t>
  </si>
  <si>
    <t>Solano_2045</t>
  </si>
  <si>
    <t>Solano_2046</t>
  </si>
  <si>
    <t>Solano_2047</t>
  </si>
  <si>
    <t>Solano_2048</t>
  </si>
  <si>
    <t>Solano_2049</t>
  </si>
  <si>
    <t>Solano_2050</t>
  </si>
  <si>
    <t>Sonoma_2017</t>
  </si>
  <si>
    <t>Sonoma_2018</t>
  </si>
  <si>
    <t>Sonoma_2019</t>
  </si>
  <si>
    <t>Sonoma_2020</t>
  </si>
  <si>
    <t>Sonoma_2021</t>
  </si>
  <si>
    <t>Sonoma_2022</t>
  </si>
  <si>
    <t>Sonoma_2023</t>
  </si>
  <si>
    <t>Sonoma_2024</t>
  </si>
  <si>
    <t>Sonoma_2025</t>
  </si>
  <si>
    <t>Sonoma_2026</t>
  </si>
  <si>
    <t>Sonoma_2027</t>
  </si>
  <si>
    <t>Sonoma_2028</t>
  </si>
  <si>
    <t>Sonoma_2029</t>
  </si>
  <si>
    <t>Sonoma_2030</t>
  </si>
  <si>
    <t>Sonoma_2031</t>
  </si>
  <si>
    <t>Sonoma_2032</t>
  </si>
  <si>
    <t>Sonoma_2033</t>
  </si>
  <si>
    <t>Sonoma_2034</t>
  </si>
  <si>
    <t>Sonoma_2035</t>
  </si>
  <si>
    <t>Sonoma_2036</t>
  </si>
  <si>
    <t>Sonoma_2037</t>
  </si>
  <si>
    <t>Sonoma_2038</t>
  </si>
  <si>
    <t>Sonoma_2039</t>
  </si>
  <si>
    <t>Sonoma_2040</t>
  </si>
  <si>
    <t>Sonoma_2041</t>
  </si>
  <si>
    <t>Sonoma_2042</t>
  </si>
  <si>
    <t>Sonoma_2043</t>
  </si>
  <si>
    <t>Sonoma_2044</t>
  </si>
  <si>
    <t>Sonoma_2045</t>
  </si>
  <si>
    <t>Sonoma_2046</t>
  </si>
  <si>
    <t>Sonoma_2047</t>
  </si>
  <si>
    <t>Sonoma_2048</t>
  </si>
  <si>
    <t>Sonoma_2049</t>
  </si>
  <si>
    <t>Sonoma_2050</t>
  </si>
  <si>
    <t>Stanislaus_2017</t>
  </si>
  <si>
    <t>Stanislaus_2018</t>
  </si>
  <si>
    <t>Stanislaus_2019</t>
  </si>
  <si>
    <t>Stanislaus_2020</t>
  </si>
  <si>
    <t>Stanislaus_2021</t>
  </si>
  <si>
    <t>Stanislaus_2022</t>
  </si>
  <si>
    <t>Stanislaus_2023</t>
  </si>
  <si>
    <t>Stanislaus_2024</t>
  </si>
  <si>
    <t>Stanislaus_2025</t>
  </si>
  <si>
    <t>Stanislaus_2026</t>
  </si>
  <si>
    <t>Stanislaus_2027</t>
  </si>
  <si>
    <t>Stanislaus_2028</t>
  </si>
  <si>
    <t>Stanislaus_2029</t>
  </si>
  <si>
    <t>Stanislaus_2030</t>
  </si>
  <si>
    <t>Stanislaus_2031</t>
  </si>
  <si>
    <t>Stanislaus_2032</t>
  </si>
  <si>
    <t>Stanislaus_2033</t>
  </si>
  <si>
    <t>Stanislaus_2034</t>
  </si>
  <si>
    <t>Stanislaus_2035</t>
  </si>
  <si>
    <t>Stanislaus_2036</t>
  </si>
  <si>
    <t>Stanislaus_2037</t>
  </si>
  <si>
    <t>Stanislaus_2038</t>
  </si>
  <si>
    <t>Stanislaus_2039</t>
  </si>
  <si>
    <t>Stanislaus_2040</t>
  </si>
  <si>
    <t>Stanislaus_2041</t>
  </si>
  <si>
    <t>Stanislaus_2042</t>
  </si>
  <si>
    <t>Stanislaus_2043</t>
  </si>
  <si>
    <t>Stanislaus_2044</t>
  </si>
  <si>
    <t>Stanislaus_2045</t>
  </si>
  <si>
    <t>Stanislaus_2046</t>
  </si>
  <si>
    <t>Stanislaus_2047</t>
  </si>
  <si>
    <t>Stanislaus_2048</t>
  </si>
  <si>
    <t>Stanislaus_2049</t>
  </si>
  <si>
    <t>Stanislaus_2050</t>
  </si>
  <si>
    <t>Sutter_2017</t>
  </si>
  <si>
    <t>Sutter_2018</t>
  </si>
  <si>
    <t>Sutter_2019</t>
  </si>
  <si>
    <t>Sutter_2020</t>
  </si>
  <si>
    <t>Sutter_2021</t>
  </si>
  <si>
    <t>Sutter_2022</t>
  </si>
  <si>
    <t>Sutter_2023</t>
  </si>
  <si>
    <t>Sutter_2024</t>
  </si>
  <si>
    <t>Sutter_2025</t>
  </si>
  <si>
    <t>Sutter_2026</t>
  </si>
  <si>
    <t>Sutter_2027</t>
  </si>
  <si>
    <t>Sutter_2028</t>
  </si>
  <si>
    <t>Sutter_2029</t>
  </si>
  <si>
    <t>Sutter_2030</t>
  </si>
  <si>
    <t>Sutter_2031</t>
  </si>
  <si>
    <t>Sutter_2032</t>
  </si>
  <si>
    <t>Sutter_2033</t>
  </si>
  <si>
    <t>Sutter_2034</t>
  </si>
  <si>
    <t>Sutter_2035</t>
  </si>
  <si>
    <t>Sutter_2036</t>
  </si>
  <si>
    <t>Sutter_2037</t>
  </si>
  <si>
    <t>Sutter_2038</t>
  </si>
  <si>
    <t>Sutter_2039</t>
  </si>
  <si>
    <t>Sutter_2040</t>
  </si>
  <si>
    <t>Sutter_2041</t>
  </si>
  <si>
    <t>Sutter_2042</t>
  </si>
  <si>
    <t>Sutter_2043</t>
  </si>
  <si>
    <t>Sutter_2044</t>
  </si>
  <si>
    <t>Sutter_2045</t>
  </si>
  <si>
    <t>Sutter_2046</t>
  </si>
  <si>
    <t>Sutter_2047</t>
  </si>
  <si>
    <t>Sutter_2048</t>
  </si>
  <si>
    <t>Sutter_2049</t>
  </si>
  <si>
    <t>Sutter_2050</t>
  </si>
  <si>
    <t>Tehama_2017</t>
  </si>
  <si>
    <t>Tehama_2018</t>
  </si>
  <si>
    <t>Tehama_2019</t>
  </si>
  <si>
    <t>Tehama_2020</t>
  </si>
  <si>
    <t>Tehama_2021</t>
  </si>
  <si>
    <t>Tehama_2022</t>
  </si>
  <si>
    <t>Tehama_2023</t>
  </si>
  <si>
    <t>Tehama_2024</t>
  </si>
  <si>
    <t>Tehama_2025</t>
  </si>
  <si>
    <t>Tehama_2026</t>
  </si>
  <si>
    <t>Tehama_2027</t>
  </si>
  <si>
    <t>Tehama_2028</t>
  </si>
  <si>
    <t>Tehama_2029</t>
  </si>
  <si>
    <t>Tehama_2030</t>
  </si>
  <si>
    <t>Tehama_2031</t>
  </si>
  <si>
    <t>Tehama_2032</t>
  </si>
  <si>
    <t>Tehama_2033</t>
  </si>
  <si>
    <t>Tehama_2034</t>
  </si>
  <si>
    <t>Tehama_2035</t>
  </si>
  <si>
    <t>Tehama_2036</t>
  </si>
  <si>
    <t>Tehama_2037</t>
  </si>
  <si>
    <t>Tehama_2038</t>
  </si>
  <si>
    <t>Tehama_2039</t>
  </si>
  <si>
    <t>Tehama_2040</t>
  </si>
  <si>
    <t>Tehama_2041</t>
  </si>
  <si>
    <t>Tehama_2042</t>
  </si>
  <si>
    <t>Tehama_2043</t>
  </si>
  <si>
    <t>Tehama_2044</t>
  </si>
  <si>
    <t>Tehama_2045</t>
  </si>
  <si>
    <t>Tehama_2046</t>
  </si>
  <si>
    <t>Tehama_2047</t>
  </si>
  <si>
    <t>Tehama_2048</t>
  </si>
  <si>
    <t>Tehama_2049</t>
  </si>
  <si>
    <t>Tehama_2050</t>
  </si>
  <si>
    <t>Trinity_2017</t>
  </si>
  <si>
    <t>Trinity_2018</t>
  </si>
  <si>
    <t>Trinity_2019</t>
  </si>
  <si>
    <t>Trinity_2020</t>
  </si>
  <si>
    <t>Trinity_2021</t>
  </si>
  <si>
    <t>Trinity_2022</t>
  </si>
  <si>
    <t>Trinity_2023</t>
  </si>
  <si>
    <t>Trinity_2024</t>
  </si>
  <si>
    <t>Trinity_2025</t>
  </si>
  <si>
    <t>Trinity_2026</t>
  </si>
  <si>
    <t>Trinity_2027</t>
  </si>
  <si>
    <t>Trinity_2028</t>
  </si>
  <si>
    <t>Trinity_2029</t>
  </si>
  <si>
    <t>Trinity_2030</t>
  </si>
  <si>
    <t>Trinity_2031</t>
  </si>
  <si>
    <t>Trinity_2032</t>
  </si>
  <si>
    <t>Trinity_2033</t>
  </si>
  <si>
    <t>Trinity_2034</t>
  </si>
  <si>
    <t>Trinity_2035</t>
  </si>
  <si>
    <t>Trinity_2036</t>
  </si>
  <si>
    <t>Trinity_2037</t>
  </si>
  <si>
    <t>Trinity_2038</t>
  </si>
  <si>
    <t>Trinity_2039</t>
  </si>
  <si>
    <t>Trinity_2040</t>
  </si>
  <si>
    <t>Trinity_2041</t>
  </si>
  <si>
    <t>Trinity_2042</t>
  </si>
  <si>
    <t>Trinity_2043</t>
  </si>
  <si>
    <t>Trinity_2044</t>
  </si>
  <si>
    <t>Trinity_2045</t>
  </si>
  <si>
    <t>Trinity_2046</t>
  </si>
  <si>
    <t>Trinity_2047</t>
  </si>
  <si>
    <t>Trinity_2048</t>
  </si>
  <si>
    <t>Trinity_2049</t>
  </si>
  <si>
    <t>Trinity_2050</t>
  </si>
  <si>
    <t>Tulare_2017</t>
  </si>
  <si>
    <t>Tulare_2018</t>
  </si>
  <si>
    <t>Tulare_2019</t>
  </si>
  <si>
    <t>Tulare_2020</t>
  </si>
  <si>
    <t>Tulare_2021</t>
  </si>
  <si>
    <t>Tulare_2022</t>
  </si>
  <si>
    <t>Tulare_2023</t>
  </si>
  <si>
    <t>Tulare_2024</t>
  </si>
  <si>
    <t>Tulare_2025</t>
  </si>
  <si>
    <t>Tulare_2026</t>
  </si>
  <si>
    <t>Tulare_2027</t>
  </si>
  <si>
    <t>Tulare_2028</t>
  </si>
  <si>
    <t>Tulare_2029</t>
  </si>
  <si>
    <t>Tulare_2030</t>
  </si>
  <si>
    <t>Tulare_2031</t>
  </si>
  <si>
    <t>Tulare_2032</t>
  </si>
  <si>
    <t>Tulare_2033</t>
  </si>
  <si>
    <t>Tulare_2034</t>
  </si>
  <si>
    <t>Tulare_2035</t>
  </si>
  <si>
    <t>Tulare_2036</t>
  </si>
  <si>
    <t>Tulare_2037</t>
  </si>
  <si>
    <t>Tulare_2038</t>
  </si>
  <si>
    <t>Tulare_2039</t>
  </si>
  <si>
    <t>Tulare_2040</t>
  </si>
  <si>
    <t>Tulare_2041</t>
  </si>
  <si>
    <t>Tulare_2042</t>
  </si>
  <si>
    <t>Tulare_2043</t>
  </si>
  <si>
    <t>Tulare_2044</t>
  </si>
  <si>
    <t>Tulare_2045</t>
  </si>
  <si>
    <t>Tulare_2046</t>
  </si>
  <si>
    <t>Tulare_2047</t>
  </si>
  <si>
    <t>Tulare_2048</t>
  </si>
  <si>
    <t>Tulare_2049</t>
  </si>
  <si>
    <t>Tulare_2050</t>
  </si>
  <si>
    <t>Tuolumne_2017</t>
  </si>
  <si>
    <t>Tuolumne_2018</t>
  </si>
  <si>
    <t>Tuolumne_2019</t>
  </si>
  <si>
    <t>Tuolumne_2020</t>
  </si>
  <si>
    <t>Tuolumne_2021</t>
  </si>
  <si>
    <t>Tuolumne_2022</t>
  </si>
  <si>
    <t>Tuolumne_2023</t>
  </si>
  <si>
    <t>Tuolumne_2024</t>
  </si>
  <si>
    <t>Tuolumne_2025</t>
  </si>
  <si>
    <t>Tuolumne_2026</t>
  </si>
  <si>
    <t>Tuolumne_2027</t>
  </si>
  <si>
    <t>Tuolumne_2028</t>
  </si>
  <si>
    <t>Tuolumne_2029</t>
  </si>
  <si>
    <t>Tuolumne_2030</t>
  </si>
  <si>
    <t>Tuolumne_2031</t>
  </si>
  <si>
    <t>Tuolumne_2032</t>
  </si>
  <si>
    <t>Tuolumne_2033</t>
  </si>
  <si>
    <t>Tuolumne_2034</t>
  </si>
  <si>
    <t>Tuolumne_2035</t>
  </si>
  <si>
    <t>Tuolumne_2036</t>
  </si>
  <si>
    <t>Tuolumne_2037</t>
  </si>
  <si>
    <t>Tuolumne_2038</t>
  </si>
  <si>
    <t>Tuolumne_2039</t>
  </si>
  <si>
    <t>Tuolumne_2040</t>
  </si>
  <si>
    <t>Tuolumne_2041</t>
  </si>
  <si>
    <t>Tuolumne_2042</t>
  </si>
  <si>
    <t>Tuolumne_2043</t>
  </si>
  <si>
    <t>Tuolumne_2044</t>
  </si>
  <si>
    <t>Tuolumne_2045</t>
  </si>
  <si>
    <t>Tuolumne_2046</t>
  </si>
  <si>
    <t>Tuolumne_2047</t>
  </si>
  <si>
    <t>Tuolumne_2048</t>
  </si>
  <si>
    <t>Tuolumne_2049</t>
  </si>
  <si>
    <t>Tuolumne_2050</t>
  </si>
  <si>
    <t>Ventura_2017</t>
  </si>
  <si>
    <t>Ventura_2018</t>
  </si>
  <si>
    <t>Ventura_2019</t>
  </si>
  <si>
    <t>Ventura_2020</t>
  </si>
  <si>
    <t>Ventura_2021</t>
  </si>
  <si>
    <t>Ventura_2022</t>
  </si>
  <si>
    <t>Ventura_2023</t>
  </si>
  <si>
    <t>Ventura_2024</t>
  </si>
  <si>
    <t>Ventura_2025</t>
  </si>
  <si>
    <t>Ventura_2026</t>
  </si>
  <si>
    <t>Ventura_2027</t>
  </si>
  <si>
    <t>Ventura_2028</t>
  </si>
  <si>
    <t>Ventura_2029</t>
  </si>
  <si>
    <t>Ventura_2030</t>
  </si>
  <si>
    <t>Ventura_2031</t>
  </si>
  <si>
    <t>Ventura_2032</t>
  </si>
  <si>
    <t>Ventura_2033</t>
  </si>
  <si>
    <t>Ventura_2034</t>
  </si>
  <si>
    <t>Ventura_2035</t>
  </si>
  <si>
    <t>Ventura_2036</t>
  </si>
  <si>
    <t>Ventura_2037</t>
  </si>
  <si>
    <t>Ventura_2038</t>
  </si>
  <si>
    <t>Ventura_2039</t>
  </si>
  <si>
    <t>Ventura_2040</t>
  </si>
  <si>
    <t>Ventura_2041</t>
  </si>
  <si>
    <t>Ventura_2042</t>
  </si>
  <si>
    <t>Ventura_2043</t>
  </si>
  <si>
    <t>Ventura_2044</t>
  </si>
  <si>
    <t>Ventura_2045</t>
  </si>
  <si>
    <t>Ventura_2046</t>
  </si>
  <si>
    <t>Ventura_2047</t>
  </si>
  <si>
    <t>Ventura_2048</t>
  </si>
  <si>
    <t>Ventura_2049</t>
  </si>
  <si>
    <t>Ventura_2050</t>
  </si>
  <si>
    <t>Yolo_2017</t>
  </si>
  <si>
    <t>Yolo_2018</t>
  </si>
  <si>
    <t>Yolo_2019</t>
  </si>
  <si>
    <t>Yolo_2020</t>
  </si>
  <si>
    <t>Yolo_2021</t>
  </si>
  <si>
    <t>Yolo_2022</t>
  </si>
  <si>
    <t>Yolo_2023</t>
  </si>
  <si>
    <t>Yolo_2024</t>
  </si>
  <si>
    <t>Yolo_2025</t>
  </si>
  <si>
    <t>Yolo_2026</t>
  </si>
  <si>
    <t>Yolo_2027</t>
  </si>
  <si>
    <t>Yolo_2028</t>
  </si>
  <si>
    <t>Yolo_2029</t>
  </si>
  <si>
    <t>Yolo_2030</t>
  </si>
  <si>
    <t>Yolo_2031</t>
  </si>
  <si>
    <t>Yolo_2032</t>
  </si>
  <si>
    <t>Yolo_2033</t>
  </si>
  <si>
    <t>Yolo_2034</t>
  </si>
  <si>
    <t>Yolo_2035</t>
  </si>
  <si>
    <t>Yolo_2036</t>
  </si>
  <si>
    <t>Yolo_2037</t>
  </si>
  <si>
    <t>Yolo_2038</t>
  </si>
  <si>
    <t>Yolo_2039</t>
  </si>
  <si>
    <t>Yolo_2040</t>
  </si>
  <si>
    <t>Yolo_2041</t>
  </si>
  <si>
    <t>Yolo_2042</t>
  </si>
  <si>
    <t>Yolo_2043</t>
  </si>
  <si>
    <t>Yolo_2044</t>
  </si>
  <si>
    <t>Yolo_2045</t>
  </si>
  <si>
    <t>Yolo_2046</t>
  </si>
  <si>
    <t>Yolo_2047</t>
  </si>
  <si>
    <t>Yolo_2048</t>
  </si>
  <si>
    <t>Yolo_2049</t>
  </si>
  <si>
    <t>Yolo_2050</t>
  </si>
  <si>
    <t>Yuba_2017</t>
  </si>
  <si>
    <t>Yuba_2018</t>
  </si>
  <si>
    <t>Yuba_2019</t>
  </si>
  <si>
    <t>Yuba_2020</t>
  </si>
  <si>
    <t>Yuba_2021</t>
  </si>
  <si>
    <t>Yuba_2022</t>
  </si>
  <si>
    <t>Yuba_2023</t>
  </si>
  <si>
    <t>Yuba_2024</t>
  </si>
  <si>
    <t>Yuba_2025</t>
  </si>
  <si>
    <t>Yuba_2026</t>
  </si>
  <si>
    <t>Yuba_2027</t>
  </si>
  <si>
    <t>Yuba_2028</t>
  </si>
  <si>
    <t>Yuba_2029</t>
  </si>
  <si>
    <t>Yuba_2030</t>
  </si>
  <si>
    <t>Yuba_2031</t>
  </si>
  <si>
    <t>Yuba_2032</t>
  </si>
  <si>
    <t>Yuba_2033</t>
  </si>
  <si>
    <t>Yuba_2034</t>
  </si>
  <si>
    <t>Yuba_2035</t>
  </si>
  <si>
    <t>Yuba_2036</t>
  </si>
  <si>
    <t>Yuba_2037</t>
  </si>
  <si>
    <t>Yuba_2038</t>
  </si>
  <si>
    <t>Yuba_2039</t>
  </si>
  <si>
    <t>Yuba_2040</t>
  </si>
  <si>
    <t>Yuba_2041</t>
  </si>
  <si>
    <t>Yuba_2042</t>
  </si>
  <si>
    <t>Yuba_2043</t>
  </si>
  <si>
    <t>Yuba_2044</t>
  </si>
  <si>
    <t>Yuba_2045</t>
  </si>
  <si>
    <t>Yuba_2046</t>
  </si>
  <si>
    <t>Yuba_2047</t>
  </si>
  <si>
    <t>Yuba_2048</t>
  </si>
  <si>
    <t>Yuba_2049</t>
  </si>
  <si>
    <t>Yuba_2050</t>
  </si>
  <si>
    <t>Great Basin Valley_2015</t>
  </si>
  <si>
    <t>Great Basin Valley_2016</t>
  </si>
  <si>
    <t>Great Basin Valley_2017</t>
  </si>
  <si>
    <t>Great Basin Valley_2018</t>
  </si>
  <si>
    <t>Great Basin Valley_2019</t>
  </si>
  <si>
    <t>Great Basin Valley_2020</t>
  </si>
  <si>
    <t>Great Basin Valley_2021</t>
  </si>
  <si>
    <t>Great Basin Valley_2022</t>
  </si>
  <si>
    <t>Great Basin Valley_2023</t>
  </si>
  <si>
    <t>Great Basin Valley_2024</t>
  </si>
  <si>
    <t>Great Basin Valley_2025</t>
  </si>
  <si>
    <t>Great Basin Valley_2026</t>
  </si>
  <si>
    <t>Great Basin Valley_2027</t>
  </si>
  <si>
    <t>Great Basin Valley_2028</t>
  </si>
  <si>
    <t>Great Basin Valley_2029</t>
  </si>
  <si>
    <t>Great Basin Valley_2030</t>
  </si>
  <si>
    <t>Great Basin Valley_2031</t>
  </si>
  <si>
    <t>Great Basin Valley_2032</t>
  </si>
  <si>
    <t>Great Basin Valley_2033</t>
  </si>
  <si>
    <t>Great Basin Valley_2034</t>
  </si>
  <si>
    <t>Great Basin Valley_2035</t>
  </si>
  <si>
    <t>Great Basin Valley_2036</t>
  </si>
  <si>
    <t>Great Basin Valley_2037</t>
  </si>
  <si>
    <t>Great Basin Valley_2038</t>
  </si>
  <si>
    <t>Great Basin Valley_2039</t>
  </si>
  <si>
    <t>Great Basin Valley_2040</t>
  </si>
  <si>
    <t>Great Basin Valley_2041</t>
  </si>
  <si>
    <t>Great Basin Valley_2042</t>
  </si>
  <si>
    <t>Great Basin Valley_2043</t>
  </si>
  <si>
    <t>Great Basin Valley_2044</t>
  </si>
  <si>
    <t>Great Basin Valley_2045</t>
  </si>
  <si>
    <t>Great Basin Valley_2046</t>
  </si>
  <si>
    <t>Great Basin Valley_2047</t>
  </si>
  <si>
    <t>Great Basin Valley_2048</t>
  </si>
  <si>
    <t>Great Basin Valley_2049</t>
  </si>
  <si>
    <t>Great Basin Valley_2050</t>
  </si>
  <si>
    <t>Lake County (Air Basin)_2015</t>
  </si>
  <si>
    <t>Lake County (Air Basin)_2016</t>
  </si>
  <si>
    <t>Lake County (Air Basin)_2017</t>
  </si>
  <si>
    <t>Lake County (Air Basin)_2018</t>
  </si>
  <si>
    <t>Lake County (Air Basin)_2019</t>
  </si>
  <si>
    <t>Lake County (Air Basin)_2020</t>
  </si>
  <si>
    <t>Lake County (Air Basin)_2021</t>
  </si>
  <si>
    <t>Lake County (Air Basin)_2022</t>
  </si>
  <si>
    <t>Lake County (Air Basin)_2023</t>
  </si>
  <si>
    <t>Lake County (Air Basin)_2024</t>
  </si>
  <si>
    <t>Lake County (Air Basin)_2025</t>
  </si>
  <si>
    <t>Lake County (Air Basin)_2026</t>
  </si>
  <si>
    <t>Lake County (Air Basin)_2027</t>
  </si>
  <si>
    <t>Lake County (Air Basin)_2028</t>
  </si>
  <si>
    <t>Lake County (Air Basin)_2029</t>
  </si>
  <si>
    <t>Lake County (Air Basin)_2030</t>
  </si>
  <si>
    <t>Lake County (Air Basin)_2031</t>
  </si>
  <si>
    <t>Lake County (Air Basin)_2032</t>
  </si>
  <si>
    <t>Lake County (Air Basin)_2033</t>
  </si>
  <si>
    <t>Lake County (Air Basin)_2034</t>
  </si>
  <si>
    <t>Lake County (Air Basin)_2035</t>
  </si>
  <si>
    <t>Lake County (Air Basin)_2036</t>
  </si>
  <si>
    <t>Lake County (Air Basin)_2037</t>
  </si>
  <si>
    <t>Lake County (Air Basin)_2038</t>
  </si>
  <si>
    <t>Lake County (Air Basin)_2039</t>
  </si>
  <si>
    <t>Lake County (Air Basin)_2040</t>
  </si>
  <si>
    <t>Lake County (Air Basin)_2041</t>
  </si>
  <si>
    <t>Lake County (Air Basin)_2042</t>
  </si>
  <si>
    <t>Lake County (Air Basin)_2043</t>
  </si>
  <si>
    <t>Lake County (Air Basin)_2044</t>
  </si>
  <si>
    <t>Lake County (Air Basin)_2045</t>
  </si>
  <si>
    <t>Lake County (Air Basin)_2046</t>
  </si>
  <si>
    <t>Lake County (Air Basin)_2047</t>
  </si>
  <si>
    <t>Lake County (Air Basin)_2048</t>
  </si>
  <si>
    <t>Lake County (Air Basin)_2049</t>
  </si>
  <si>
    <t>Lake County (Air Basin)_2050</t>
  </si>
  <si>
    <t>Lake Tahoe_2015</t>
  </si>
  <si>
    <t>Lake Tahoe_2016</t>
  </si>
  <si>
    <t>Lake Tahoe_2017</t>
  </si>
  <si>
    <t>Lake Tahoe_2018</t>
  </si>
  <si>
    <t>Lake Tahoe_2019</t>
  </si>
  <si>
    <t>Lake Tahoe_2020</t>
  </si>
  <si>
    <t>Lake Tahoe_2021</t>
  </si>
  <si>
    <t>Lake Tahoe_2022</t>
  </si>
  <si>
    <t>Lake Tahoe_2023</t>
  </si>
  <si>
    <t>Lake Tahoe_2024</t>
  </si>
  <si>
    <t>Lake Tahoe_2025</t>
  </si>
  <si>
    <t>Lake Tahoe_2026</t>
  </si>
  <si>
    <t>Lake Tahoe_2027</t>
  </si>
  <si>
    <t>Lake Tahoe_2028</t>
  </si>
  <si>
    <t>Lake Tahoe_2029</t>
  </si>
  <si>
    <t>Lake Tahoe_2030</t>
  </si>
  <si>
    <t>Lake Tahoe_2031</t>
  </si>
  <si>
    <t>Lake Tahoe_2032</t>
  </si>
  <si>
    <t>Lake Tahoe_2033</t>
  </si>
  <si>
    <t>Lake Tahoe_2034</t>
  </si>
  <si>
    <t>Lake Tahoe_2035</t>
  </si>
  <si>
    <t>Lake Tahoe_2036</t>
  </si>
  <si>
    <t>Lake Tahoe_2037</t>
  </si>
  <si>
    <t>Lake Tahoe_2038</t>
  </si>
  <si>
    <t>Lake Tahoe_2039</t>
  </si>
  <si>
    <t>Lake Tahoe_2040</t>
  </si>
  <si>
    <t>Lake Tahoe_2041</t>
  </si>
  <si>
    <t>Lake Tahoe_2042</t>
  </si>
  <si>
    <t>Lake Tahoe_2043</t>
  </si>
  <si>
    <t>Lake Tahoe_2044</t>
  </si>
  <si>
    <t>Lake Tahoe_2045</t>
  </si>
  <si>
    <t>Lake Tahoe_2046</t>
  </si>
  <si>
    <t>Lake Tahoe_2047</t>
  </si>
  <si>
    <t>Lake Tahoe_2048</t>
  </si>
  <si>
    <t>Lake Tahoe_2049</t>
  </si>
  <si>
    <t>Lake Tahoe_2050</t>
  </si>
  <si>
    <t>Mojave Desert_2015</t>
  </si>
  <si>
    <t>Mojave Desert_2016</t>
  </si>
  <si>
    <t>Mojave Desert_2017</t>
  </si>
  <si>
    <t>Mojave Desert_2018</t>
  </si>
  <si>
    <t>Mojave Desert_2019</t>
  </si>
  <si>
    <t>Mojave Desert_2020</t>
  </si>
  <si>
    <t>Mojave Desert_2021</t>
  </si>
  <si>
    <t>Mojave Desert_2022</t>
  </si>
  <si>
    <t>Mojave Desert_2023</t>
  </si>
  <si>
    <t>Mojave Desert_2024</t>
  </si>
  <si>
    <t>Mojave Desert_2025</t>
  </si>
  <si>
    <t>Mojave Desert_2026</t>
  </si>
  <si>
    <t>Mojave Desert_2027</t>
  </si>
  <si>
    <t>Mojave Desert_2028</t>
  </si>
  <si>
    <t>Mojave Desert_2029</t>
  </si>
  <si>
    <t>Mojave Desert_2030</t>
  </si>
  <si>
    <t>Mojave Desert_2031</t>
  </si>
  <si>
    <t>Mojave Desert_2032</t>
  </si>
  <si>
    <t>Mojave Desert_2033</t>
  </si>
  <si>
    <t>Mojave Desert_2034</t>
  </si>
  <si>
    <t>Mojave Desert_2035</t>
  </si>
  <si>
    <t>Mojave Desert_2036</t>
  </si>
  <si>
    <t>Mojave Desert_2037</t>
  </si>
  <si>
    <t>Mojave Desert_2038</t>
  </si>
  <si>
    <t>Mojave Desert_2039</t>
  </si>
  <si>
    <t>Mojave Desert_2040</t>
  </si>
  <si>
    <t>Mojave Desert_2041</t>
  </si>
  <si>
    <t>Mojave Desert_2042</t>
  </si>
  <si>
    <t>Mojave Desert_2043</t>
  </si>
  <si>
    <t>Mojave Desert_2044</t>
  </si>
  <si>
    <t>Mojave Desert_2045</t>
  </si>
  <si>
    <t>Mojave Desert_2046</t>
  </si>
  <si>
    <t>Mojave Desert_2047</t>
  </si>
  <si>
    <t>Mojave Desert_2048</t>
  </si>
  <si>
    <t>Mojave Desert_2049</t>
  </si>
  <si>
    <t>Mojave Desert_2050</t>
  </si>
  <si>
    <t>Mountain Counties_2015</t>
  </si>
  <si>
    <t>Mountain Counties_2016</t>
  </si>
  <si>
    <t>Mountain Counties_2017</t>
  </si>
  <si>
    <t>Mountain Counties_2018</t>
  </si>
  <si>
    <t>Mountain Counties_2019</t>
  </si>
  <si>
    <t>Mountain Counties_2020</t>
  </si>
  <si>
    <t>Mountain Counties_2021</t>
  </si>
  <si>
    <t>Mountain Counties_2022</t>
  </si>
  <si>
    <t>Mountain Counties_2023</t>
  </si>
  <si>
    <t>Mountain Counties_2024</t>
  </si>
  <si>
    <t>Mountain Counties_2025</t>
  </si>
  <si>
    <t>Mountain Counties_2026</t>
  </si>
  <si>
    <t>Mountain Counties_2027</t>
  </si>
  <si>
    <t>Mountain Counties_2028</t>
  </si>
  <si>
    <t>Mountain Counties_2029</t>
  </si>
  <si>
    <t>Mountain Counties_2030</t>
  </si>
  <si>
    <t>Mountain Counties_2031</t>
  </si>
  <si>
    <t>Mountain Counties_2032</t>
  </si>
  <si>
    <t>Mountain Counties_2033</t>
  </si>
  <si>
    <t>Mountain Counties_2034</t>
  </si>
  <si>
    <t>Mountain Counties_2035</t>
  </si>
  <si>
    <t>Mountain Counties_2036</t>
  </si>
  <si>
    <t>Mountain Counties_2037</t>
  </si>
  <si>
    <t>Mountain Counties_2038</t>
  </si>
  <si>
    <t>Mountain Counties_2039</t>
  </si>
  <si>
    <t>Mountain Counties_2040</t>
  </si>
  <si>
    <t>Mountain Counties_2041</t>
  </si>
  <si>
    <t>Mountain Counties_2042</t>
  </si>
  <si>
    <t>Mountain Counties_2043</t>
  </si>
  <si>
    <t>Mountain Counties_2044</t>
  </si>
  <si>
    <t>Mountain Counties_2045</t>
  </si>
  <si>
    <t>Mountain Counties_2046</t>
  </si>
  <si>
    <t>Mountain Counties_2047</t>
  </si>
  <si>
    <t>Mountain Counties_2048</t>
  </si>
  <si>
    <t>Mountain Counties_2049</t>
  </si>
  <si>
    <t>Mountain Counties_2050</t>
  </si>
  <si>
    <t>North Central Coast_2015</t>
  </si>
  <si>
    <t>North Central Coast_2016</t>
  </si>
  <si>
    <t>North Central Coast_2017</t>
  </si>
  <si>
    <t>North Central Coast_2018</t>
  </si>
  <si>
    <t>North Central Coast_2019</t>
  </si>
  <si>
    <t>North Central Coast_2020</t>
  </si>
  <si>
    <t>North Central Coast_2021</t>
  </si>
  <si>
    <t>North Central Coast_2022</t>
  </si>
  <si>
    <t>North Central Coast_2023</t>
  </si>
  <si>
    <t>North Central Coast_2024</t>
  </si>
  <si>
    <t>North Central Coast_2025</t>
  </si>
  <si>
    <t>North Central Coast_2026</t>
  </si>
  <si>
    <t>North Central Coast_2027</t>
  </si>
  <si>
    <t>North Central Coast_2028</t>
  </si>
  <si>
    <t>North Central Coast_2029</t>
  </si>
  <si>
    <t>North Central Coast_2030</t>
  </si>
  <si>
    <t>North Central Coast_2031</t>
  </si>
  <si>
    <t>North Central Coast_2032</t>
  </si>
  <si>
    <t>North Central Coast_2033</t>
  </si>
  <si>
    <t>North Central Coast_2034</t>
  </si>
  <si>
    <t>North Central Coast_2035</t>
  </si>
  <si>
    <t>North Central Coast_2036</t>
  </si>
  <si>
    <t>North Central Coast_2037</t>
  </si>
  <si>
    <t>North Central Coast_2038</t>
  </si>
  <si>
    <t>North Central Coast_2039</t>
  </si>
  <si>
    <t>North Central Coast_2040</t>
  </si>
  <si>
    <t>North Central Coast_2041</t>
  </si>
  <si>
    <t>North Central Coast_2042</t>
  </si>
  <si>
    <t>North Central Coast_2043</t>
  </si>
  <si>
    <t>North Central Coast_2044</t>
  </si>
  <si>
    <t>North Central Coast_2045</t>
  </si>
  <si>
    <t>North Central Coast_2046</t>
  </si>
  <si>
    <t>North Central Coast_2047</t>
  </si>
  <si>
    <t>North Central Coast_2048</t>
  </si>
  <si>
    <t>North Central Coast_2049</t>
  </si>
  <si>
    <t>North Central Coast_2050</t>
  </si>
  <si>
    <t>North Coast_2015</t>
  </si>
  <si>
    <t>North Coast_2016</t>
  </si>
  <si>
    <t>North Coast_2017</t>
  </si>
  <si>
    <t>North Coast_2018</t>
  </si>
  <si>
    <t>North Coast_2019</t>
  </si>
  <si>
    <t>North Coast_2020</t>
  </si>
  <si>
    <t>North Coast_2021</t>
  </si>
  <si>
    <t>North Coast_2022</t>
  </si>
  <si>
    <t>North Coast_2023</t>
  </si>
  <si>
    <t>North Coast_2024</t>
  </si>
  <si>
    <t>North Coast_2025</t>
  </si>
  <si>
    <t>North Coast_2026</t>
  </si>
  <si>
    <t>North Coast_2027</t>
  </si>
  <si>
    <t>North Coast_2028</t>
  </si>
  <si>
    <t>North Coast_2029</t>
  </si>
  <si>
    <t>North Coast_2030</t>
  </si>
  <si>
    <t>North Coast_2031</t>
  </si>
  <si>
    <t>North Coast_2032</t>
  </si>
  <si>
    <t>North Coast_2033</t>
  </si>
  <si>
    <t>North Coast_2034</t>
  </si>
  <si>
    <t>North Coast_2035</t>
  </si>
  <si>
    <t>North Coast_2036</t>
  </si>
  <si>
    <t>North Coast_2037</t>
  </si>
  <si>
    <t>North Coast_2038</t>
  </si>
  <si>
    <t>North Coast_2039</t>
  </si>
  <si>
    <t>North Coast_2040</t>
  </si>
  <si>
    <t>North Coast_2041</t>
  </si>
  <si>
    <t>North Coast_2042</t>
  </si>
  <si>
    <t>North Coast_2043</t>
  </si>
  <si>
    <t>North Coast_2044</t>
  </si>
  <si>
    <t>North Coast_2045</t>
  </si>
  <si>
    <t>North Coast_2046</t>
  </si>
  <si>
    <t>North Coast_2047</t>
  </si>
  <si>
    <t>North Coast_2048</t>
  </si>
  <si>
    <t>North Coast_2049</t>
  </si>
  <si>
    <t>North Coast_2050</t>
  </si>
  <si>
    <t>Northeast Plateau_2015</t>
  </si>
  <si>
    <t>Northeast Plateau_2016</t>
  </si>
  <si>
    <t>Northeast Plateau_2017</t>
  </si>
  <si>
    <t>Northeast Plateau_2018</t>
  </si>
  <si>
    <t>Northeast Plateau_2019</t>
  </si>
  <si>
    <t>Northeast Plateau_2020</t>
  </si>
  <si>
    <t>Northeast Plateau_2021</t>
  </si>
  <si>
    <t>Northeast Plateau_2022</t>
  </si>
  <si>
    <t>Northeast Plateau_2023</t>
  </si>
  <si>
    <t>Northeast Plateau_2024</t>
  </si>
  <si>
    <t>Northeast Plateau_2025</t>
  </si>
  <si>
    <t>Northeast Plateau_2026</t>
  </si>
  <si>
    <t>Northeast Plateau_2027</t>
  </si>
  <si>
    <t>Northeast Plateau_2028</t>
  </si>
  <si>
    <t>Northeast Plateau_2029</t>
  </si>
  <si>
    <t>Northeast Plateau_2030</t>
  </si>
  <si>
    <t>Northeast Plateau_2031</t>
  </si>
  <si>
    <t>Northeast Plateau_2032</t>
  </si>
  <si>
    <t>Northeast Plateau_2033</t>
  </si>
  <si>
    <t>Northeast Plateau_2034</t>
  </si>
  <si>
    <t>Northeast Plateau_2035</t>
  </si>
  <si>
    <t>Northeast Plateau_2036</t>
  </si>
  <si>
    <t>Northeast Plateau_2037</t>
  </si>
  <si>
    <t>Northeast Plateau_2038</t>
  </si>
  <si>
    <t>Northeast Plateau_2039</t>
  </si>
  <si>
    <t>Northeast Plateau_2040</t>
  </si>
  <si>
    <t>Northeast Plateau_2041</t>
  </si>
  <si>
    <t>Northeast Plateau_2042</t>
  </si>
  <si>
    <t>Northeast Plateau_2043</t>
  </si>
  <si>
    <t>Northeast Plateau_2044</t>
  </si>
  <si>
    <t>Northeast Plateau_2045</t>
  </si>
  <si>
    <t>Northeast Plateau_2046</t>
  </si>
  <si>
    <t>Northeast Plateau_2047</t>
  </si>
  <si>
    <t>Northeast Plateau_2048</t>
  </si>
  <si>
    <t>Northeast Plateau_2049</t>
  </si>
  <si>
    <t>Northeast Plateau_2050</t>
  </si>
  <si>
    <t>Sacramento Valley_2015</t>
  </si>
  <si>
    <t>Sacramento Valley_2016</t>
  </si>
  <si>
    <t>Sacramento Valley_2017</t>
  </si>
  <si>
    <t>Sacramento Valley_2018</t>
  </si>
  <si>
    <t>Sacramento Valley_2019</t>
  </si>
  <si>
    <t>Sacramento Valley_2020</t>
  </si>
  <si>
    <t>Sacramento Valley_2021</t>
  </si>
  <si>
    <t>Sacramento Valley_2022</t>
  </si>
  <si>
    <t>Sacramento Valley_2023</t>
  </si>
  <si>
    <t>Sacramento Valley_2024</t>
  </si>
  <si>
    <t>Sacramento Valley_2025</t>
  </si>
  <si>
    <t>Sacramento Valley_2026</t>
  </si>
  <si>
    <t>Sacramento Valley_2027</t>
  </si>
  <si>
    <t>Sacramento Valley_2028</t>
  </si>
  <si>
    <t>Sacramento Valley_2029</t>
  </si>
  <si>
    <t>Sacramento Valley_2030</t>
  </si>
  <si>
    <t>Sacramento Valley_2031</t>
  </si>
  <si>
    <t>Sacramento Valley_2032</t>
  </si>
  <si>
    <t>Sacramento Valley_2033</t>
  </si>
  <si>
    <t>Sacramento Valley_2034</t>
  </si>
  <si>
    <t>Sacramento Valley_2035</t>
  </si>
  <si>
    <t>Sacramento Valley_2036</t>
  </si>
  <si>
    <t>Sacramento Valley_2037</t>
  </si>
  <si>
    <t>Sacramento Valley_2038</t>
  </si>
  <si>
    <t>Sacramento Valley_2039</t>
  </si>
  <si>
    <t>Sacramento Valley_2040</t>
  </si>
  <si>
    <t>Sacramento Valley_2041</t>
  </si>
  <si>
    <t>Sacramento Valley_2042</t>
  </si>
  <si>
    <t>Sacramento Valley_2043</t>
  </si>
  <si>
    <t>Sacramento Valley_2044</t>
  </si>
  <si>
    <t>Sacramento Valley_2045</t>
  </si>
  <si>
    <t>Sacramento Valley_2046</t>
  </si>
  <si>
    <t>Sacramento Valley_2047</t>
  </si>
  <si>
    <t>Sacramento Valley_2048</t>
  </si>
  <si>
    <t>Sacramento Valley_2049</t>
  </si>
  <si>
    <t>Sacramento Valley_2050</t>
  </si>
  <si>
    <t>Salton Sea_2015</t>
  </si>
  <si>
    <t>Salton Sea_2016</t>
  </si>
  <si>
    <t>Salton Sea_2017</t>
  </si>
  <si>
    <t>Salton Sea_2018</t>
  </si>
  <si>
    <t>Salton Sea_2019</t>
  </si>
  <si>
    <t>Salton Sea_2020</t>
  </si>
  <si>
    <t>Salton Sea_2021</t>
  </si>
  <si>
    <t>Salton Sea_2022</t>
  </si>
  <si>
    <t>Salton Sea_2023</t>
  </si>
  <si>
    <t>Salton Sea_2024</t>
  </si>
  <si>
    <t>Salton Sea_2025</t>
  </si>
  <si>
    <t>Salton Sea_2026</t>
  </si>
  <si>
    <t>Salton Sea_2027</t>
  </si>
  <si>
    <t>Salton Sea_2028</t>
  </si>
  <si>
    <t>Salton Sea_2029</t>
  </si>
  <si>
    <t>Salton Sea_2030</t>
  </si>
  <si>
    <t>Salton Sea_2031</t>
  </si>
  <si>
    <t>Salton Sea_2032</t>
  </si>
  <si>
    <t>Salton Sea_2033</t>
  </si>
  <si>
    <t>Salton Sea_2034</t>
  </si>
  <si>
    <t>Salton Sea_2035</t>
  </si>
  <si>
    <t>Salton Sea_2036</t>
  </si>
  <si>
    <t>Salton Sea_2037</t>
  </si>
  <si>
    <t>Salton Sea_2038</t>
  </si>
  <si>
    <t>Salton Sea_2039</t>
  </si>
  <si>
    <t>Salton Sea_2040</t>
  </si>
  <si>
    <t>Salton Sea_2041</t>
  </si>
  <si>
    <t>Salton Sea_2042</t>
  </si>
  <si>
    <t>Salton Sea_2043</t>
  </si>
  <si>
    <t>Salton Sea_2044</t>
  </si>
  <si>
    <t>Salton Sea_2045</t>
  </si>
  <si>
    <t>Salton Sea_2046</t>
  </si>
  <si>
    <t>Salton Sea_2047</t>
  </si>
  <si>
    <t>Salton Sea_2048</t>
  </si>
  <si>
    <t>Salton Sea_2049</t>
  </si>
  <si>
    <t>Salton Sea_2050</t>
  </si>
  <si>
    <t>San Diego (Air Basin)_2015</t>
  </si>
  <si>
    <t>San Diego (Air Basin)_2016</t>
  </si>
  <si>
    <t>San Diego (Air Basin)_2017</t>
  </si>
  <si>
    <t>San Diego (Air Basin)_2018</t>
  </si>
  <si>
    <t>San Diego (Air Basin)_2019</t>
  </si>
  <si>
    <t>San Diego (Air Basin)_2020</t>
  </si>
  <si>
    <t>San Diego (Air Basin)_2021</t>
  </si>
  <si>
    <t>San Diego (Air Basin)_2022</t>
  </si>
  <si>
    <t>San Diego (Air Basin)_2023</t>
  </si>
  <si>
    <t>San Diego (Air Basin)_2024</t>
  </si>
  <si>
    <t>San Diego (Air Basin)_2025</t>
  </si>
  <si>
    <t>San Diego (Air Basin)_2026</t>
  </si>
  <si>
    <t>San Diego (Air Basin)_2027</t>
  </si>
  <si>
    <t>San Diego (Air Basin)_2028</t>
  </si>
  <si>
    <t>San Diego (Air Basin)_2029</t>
  </si>
  <si>
    <t>San Diego (Air Basin)_2030</t>
  </si>
  <si>
    <t>San Diego (Air Basin)_2031</t>
  </si>
  <si>
    <t>San Diego (Air Basin)_2032</t>
  </si>
  <si>
    <t>San Diego (Air Basin)_2033</t>
  </si>
  <si>
    <t>San Diego (Air Basin)_2034</t>
  </si>
  <si>
    <t>San Diego (Air Basin)_2035</t>
  </si>
  <si>
    <t>San Diego (Air Basin)_2036</t>
  </si>
  <si>
    <t>San Diego (Air Basin)_2037</t>
  </si>
  <si>
    <t>San Diego (Air Basin)_2038</t>
  </si>
  <si>
    <t>San Diego (Air Basin)_2039</t>
  </si>
  <si>
    <t>San Diego (Air Basin)_2040</t>
  </si>
  <si>
    <t>San Diego (Air Basin)_2041</t>
  </si>
  <si>
    <t>San Diego (Air Basin)_2042</t>
  </si>
  <si>
    <t>San Diego (Air Basin)_2043</t>
  </si>
  <si>
    <t>San Diego (Air Basin)_2044</t>
  </si>
  <si>
    <t>San Diego (Air Basin)_2045</t>
  </si>
  <si>
    <t>San Diego (Air Basin)_2046</t>
  </si>
  <si>
    <t>San Diego (Air Basin)_2047</t>
  </si>
  <si>
    <t>San Diego (Air Basin)_2048</t>
  </si>
  <si>
    <t>San Diego (Air Basin)_2049</t>
  </si>
  <si>
    <t>San Diego (Air Basin)_2050</t>
  </si>
  <si>
    <t>San Francisco Bay Area_2015</t>
  </si>
  <si>
    <t>San Francisco Bay Area_2016</t>
  </si>
  <si>
    <t>San Francisco Bay Area_2017</t>
  </si>
  <si>
    <t>San Francisco Bay Area_2018</t>
  </si>
  <si>
    <t>San Francisco Bay Area_2019</t>
  </si>
  <si>
    <t>San Francisco Bay Area_2020</t>
  </si>
  <si>
    <t>San Francisco Bay Area_2021</t>
  </si>
  <si>
    <t>San Francisco Bay Area_2022</t>
  </si>
  <si>
    <t>San Francisco Bay Area_2023</t>
  </si>
  <si>
    <t>San Francisco Bay Area_2024</t>
  </si>
  <si>
    <t>San Francisco Bay Area_2025</t>
  </si>
  <si>
    <t>San Francisco Bay Area_2026</t>
  </si>
  <si>
    <t>San Francisco Bay Area_2027</t>
  </si>
  <si>
    <t>San Francisco Bay Area_2028</t>
  </si>
  <si>
    <t>San Francisco Bay Area_2029</t>
  </si>
  <si>
    <t>San Francisco Bay Area_2030</t>
  </si>
  <si>
    <t>San Francisco Bay Area_2031</t>
  </si>
  <si>
    <t>San Francisco Bay Area_2032</t>
  </si>
  <si>
    <t>San Francisco Bay Area_2033</t>
  </si>
  <si>
    <t>San Francisco Bay Area_2034</t>
  </si>
  <si>
    <t>San Francisco Bay Area_2035</t>
  </si>
  <si>
    <t>San Francisco Bay Area_2036</t>
  </si>
  <si>
    <t>San Francisco Bay Area_2037</t>
  </si>
  <si>
    <t>San Francisco Bay Area_2038</t>
  </si>
  <si>
    <t>San Francisco Bay Area_2039</t>
  </si>
  <si>
    <t>San Francisco Bay Area_2040</t>
  </si>
  <si>
    <t>San Francisco Bay Area_2041</t>
  </si>
  <si>
    <t>San Francisco Bay Area_2042</t>
  </si>
  <si>
    <t>San Francisco Bay Area_2043</t>
  </si>
  <si>
    <t>San Francisco Bay Area_2044</t>
  </si>
  <si>
    <t>San Francisco Bay Area_2045</t>
  </si>
  <si>
    <t>San Francisco Bay Area_2046</t>
  </si>
  <si>
    <t>San Francisco Bay Area_2047</t>
  </si>
  <si>
    <t>San Francisco Bay Area_2048</t>
  </si>
  <si>
    <t>San Francisco Bay Area_2049</t>
  </si>
  <si>
    <t>San Francisco Bay Area_2050</t>
  </si>
  <si>
    <t>San Joaquin Valley_2015</t>
  </si>
  <si>
    <t>San Joaquin Valley_2016</t>
  </si>
  <si>
    <t>San Joaquin Valley_2017</t>
  </si>
  <si>
    <t>San Joaquin Valley_2018</t>
  </si>
  <si>
    <t>San Joaquin Valley_2019</t>
  </si>
  <si>
    <t>San Joaquin Valley_2020</t>
  </si>
  <si>
    <t>San Joaquin Valley_2021</t>
  </si>
  <si>
    <t>San Joaquin Valley_2022</t>
  </si>
  <si>
    <t>San Joaquin Valley_2023</t>
  </si>
  <si>
    <t>San Joaquin Valley_2024</t>
  </si>
  <si>
    <t>San Joaquin Valley_2025</t>
  </si>
  <si>
    <t>San Joaquin Valley_2026</t>
  </si>
  <si>
    <t>San Joaquin Valley_2027</t>
  </si>
  <si>
    <t>San Joaquin Valley_2028</t>
  </si>
  <si>
    <t>San Joaquin Valley_2029</t>
  </si>
  <si>
    <t>San Joaquin Valley_2030</t>
  </si>
  <si>
    <t>San Joaquin Valley_2031</t>
  </si>
  <si>
    <t>San Joaquin Valley_2032</t>
  </si>
  <si>
    <t>San Joaquin Valley_2033</t>
  </si>
  <si>
    <t>San Joaquin Valley_2034</t>
  </si>
  <si>
    <t>San Joaquin Valley_2035</t>
  </si>
  <si>
    <t>San Joaquin Valley_2036</t>
  </si>
  <si>
    <t>San Joaquin Valley_2037</t>
  </si>
  <si>
    <t>San Joaquin Valley_2038</t>
  </si>
  <si>
    <t>San Joaquin Valley_2039</t>
  </si>
  <si>
    <t>San Joaquin Valley_2040</t>
  </si>
  <si>
    <t>San Joaquin Valley_2041</t>
  </si>
  <si>
    <t>San Joaquin Valley_2042</t>
  </si>
  <si>
    <t>San Joaquin Valley_2043</t>
  </si>
  <si>
    <t>San Joaquin Valley_2044</t>
  </si>
  <si>
    <t>San Joaquin Valley_2045</t>
  </si>
  <si>
    <t>San Joaquin Valley_2046</t>
  </si>
  <si>
    <t>San Joaquin Valley_2047</t>
  </si>
  <si>
    <t>San Joaquin Valley_2048</t>
  </si>
  <si>
    <t>San Joaquin Valley_2049</t>
  </si>
  <si>
    <t>San Joaquin Valley_2050</t>
  </si>
  <si>
    <t>South Central Coast_2015</t>
  </si>
  <si>
    <t>South Central Coast_2016</t>
  </si>
  <si>
    <t>South Central Coast_2017</t>
  </si>
  <si>
    <t>South Central Coast_2018</t>
  </si>
  <si>
    <t>South Central Coast_2019</t>
  </si>
  <si>
    <t>South Central Coast_2020</t>
  </si>
  <si>
    <t>South Central Coast_2021</t>
  </si>
  <si>
    <t>South Central Coast_2022</t>
  </si>
  <si>
    <t>South Central Coast_2023</t>
  </si>
  <si>
    <t>South Central Coast_2024</t>
  </si>
  <si>
    <t>South Central Coast_2025</t>
  </si>
  <si>
    <t>South Central Coast_2026</t>
  </si>
  <si>
    <t>South Central Coast_2027</t>
  </si>
  <si>
    <t>South Central Coast_2028</t>
  </si>
  <si>
    <t>South Central Coast_2029</t>
  </si>
  <si>
    <t>South Central Coast_2030</t>
  </si>
  <si>
    <t>South Central Coast_2031</t>
  </si>
  <si>
    <t>South Central Coast_2032</t>
  </si>
  <si>
    <t>South Central Coast_2033</t>
  </si>
  <si>
    <t>South Central Coast_2034</t>
  </si>
  <si>
    <t>South Central Coast_2035</t>
  </si>
  <si>
    <t>South Central Coast_2036</t>
  </si>
  <si>
    <t>South Central Coast_2037</t>
  </si>
  <si>
    <t>South Central Coast_2038</t>
  </si>
  <si>
    <t>South Central Coast_2039</t>
  </si>
  <si>
    <t>South Central Coast_2040</t>
  </si>
  <si>
    <t>South Central Coast_2041</t>
  </si>
  <si>
    <t>South Central Coast_2042</t>
  </si>
  <si>
    <t>South Central Coast_2043</t>
  </si>
  <si>
    <t>South Central Coast_2044</t>
  </si>
  <si>
    <t>South Central Coast_2045</t>
  </si>
  <si>
    <t>South Central Coast_2046</t>
  </si>
  <si>
    <t>South Central Coast_2047</t>
  </si>
  <si>
    <t>South Central Coast_2048</t>
  </si>
  <si>
    <t>South Central Coast_2049</t>
  </si>
  <si>
    <t>South Central Coast_2050</t>
  </si>
  <si>
    <t>South Coast_2015</t>
  </si>
  <si>
    <t>South Coast_2016</t>
  </si>
  <si>
    <t>South Coast_2017</t>
  </si>
  <si>
    <t>South Coast_2018</t>
  </si>
  <si>
    <t>South Coast_2019</t>
  </si>
  <si>
    <t>South Coast_2020</t>
  </si>
  <si>
    <t>South Coast_2021</t>
  </si>
  <si>
    <t>South Coast_2022</t>
  </si>
  <si>
    <t>South Coast_2023</t>
  </si>
  <si>
    <t>South Coast_2024</t>
  </si>
  <si>
    <t>South Coast_2025</t>
  </si>
  <si>
    <t>South Coast_2026</t>
  </si>
  <si>
    <t>South Coast_2027</t>
  </si>
  <si>
    <t>South Coast_2028</t>
  </si>
  <si>
    <t>South Coast_2029</t>
  </si>
  <si>
    <t>South Coast_2030</t>
  </si>
  <si>
    <t>South Coast_2031</t>
  </si>
  <si>
    <t>South Coast_2032</t>
  </si>
  <si>
    <t>South Coast_2033</t>
  </si>
  <si>
    <t>South Coast_2034</t>
  </si>
  <si>
    <t>South Coast_2035</t>
  </si>
  <si>
    <t>South Coast_2036</t>
  </si>
  <si>
    <t>South Coast_2037</t>
  </si>
  <si>
    <t>South Coast_2038</t>
  </si>
  <si>
    <t>South Coast_2039</t>
  </si>
  <si>
    <t>South Coast_2040</t>
  </si>
  <si>
    <t>South Coast_2041</t>
  </si>
  <si>
    <t>South Coast_2042</t>
  </si>
  <si>
    <t>South Coast_2043</t>
  </si>
  <si>
    <t>South Coast_2044</t>
  </si>
  <si>
    <t>South Coast_2045</t>
  </si>
  <si>
    <t>South Coast_2046</t>
  </si>
  <si>
    <t>South Coast_2047</t>
  </si>
  <si>
    <t>South Coast_2048</t>
  </si>
  <si>
    <t>South Coast_2049</t>
  </si>
  <si>
    <t>South Coast_2050</t>
  </si>
  <si>
    <t>Select Criteria and Toxic Air Pollutant Emission Factors for Urban Buses</t>
  </si>
  <si>
    <t>Units: miles/day for VMT, trips/day for Trips, g/mile for RUNEX, PMBW and PMTW, g/trip for STREX, HTSK and RUNLS, g/vehicle/day for IDLEX, RESTL and DIURN</t>
  </si>
  <si>
    <r>
      <t>* Criteria pollutant and toxic emission factors for Urban Buses utilize the RUNEX emission factors (g/mile), and the PMTW and PMBW emission factors (g/mile) for PM</t>
    </r>
    <r>
      <rPr>
        <vertAlign val="subscript"/>
        <sz val="12"/>
        <rFont val="Avenir LT Std 55 Roman"/>
        <family val="2"/>
      </rPr>
      <t>2.5</t>
    </r>
    <r>
      <rPr>
        <sz val="12"/>
        <rFont val="Avenir LT Std 55 Roman"/>
        <family val="2"/>
      </rPr>
      <t>.</t>
    </r>
  </si>
  <si>
    <t>Vehicle Class</t>
  </si>
  <si>
    <t>ROG (g/mile)</t>
  </si>
  <si>
    <r>
      <t>NO</t>
    </r>
    <r>
      <rPr>
        <b/>
        <vertAlign val="subscript"/>
        <sz val="12"/>
        <color theme="1"/>
        <rFont val="Avenir LT Std 55 Roman"/>
        <family val="2"/>
      </rPr>
      <t>x</t>
    </r>
    <r>
      <rPr>
        <b/>
        <sz val="12"/>
        <color theme="1"/>
        <rFont val="Avenir LT Std 55 Roman"/>
        <family val="2"/>
      </rPr>
      <t xml:space="preserve"> (g/mile)</t>
    </r>
  </si>
  <si>
    <t>NOx (g/mile)</t>
  </si>
  <si>
    <r>
      <t>PM</t>
    </r>
    <r>
      <rPr>
        <b/>
        <vertAlign val="subscript"/>
        <sz val="12"/>
        <color theme="1"/>
        <rFont val="Avenir LT Std 55 Roman"/>
        <family val="2"/>
      </rPr>
      <t>2.5</t>
    </r>
    <r>
      <rPr>
        <b/>
        <sz val="12"/>
        <color theme="1"/>
        <rFont val="Avenir LT Std 55 Roman"/>
        <family val="2"/>
      </rPr>
      <t xml:space="preserve"> (g/mile)</t>
    </r>
  </si>
  <si>
    <t>PM2.5 (g/mile)</t>
  </si>
  <si>
    <r>
      <t>PM</t>
    </r>
    <r>
      <rPr>
        <b/>
        <vertAlign val="subscript"/>
        <sz val="12"/>
        <color theme="1"/>
        <rFont val="Avenir LT Std 55 Roman"/>
        <family val="2"/>
      </rPr>
      <t>2.5</t>
    </r>
    <r>
      <rPr>
        <b/>
        <sz val="12"/>
        <color theme="1"/>
        <rFont val="Avenir LT Std 55 Roman"/>
        <family val="2"/>
      </rPr>
      <t xml:space="preserve"> Tire Wear (g/mile)</t>
    </r>
  </si>
  <si>
    <t>PM2.5 Tire Wear (g/mile)</t>
  </si>
  <si>
    <r>
      <t>PM</t>
    </r>
    <r>
      <rPr>
        <b/>
        <vertAlign val="subscript"/>
        <sz val="12"/>
        <color theme="1"/>
        <rFont val="Avenir LT Std 55 Roman"/>
        <family val="2"/>
      </rPr>
      <t>2.5</t>
    </r>
    <r>
      <rPr>
        <b/>
        <sz val="12"/>
        <color theme="1"/>
        <rFont val="Avenir LT Std 55 Roman"/>
        <family val="2"/>
      </rPr>
      <t xml:space="preserve"> Brake Wear (g/mile)</t>
    </r>
  </si>
  <si>
    <t>PM2.5 Brake Wear (g/mile)</t>
  </si>
  <si>
    <r>
      <t>PM</t>
    </r>
    <r>
      <rPr>
        <b/>
        <vertAlign val="subscript"/>
        <sz val="12"/>
        <color theme="1"/>
        <rFont val="Avenir LT Std 55 Roman"/>
        <family val="2"/>
      </rPr>
      <t>10</t>
    </r>
    <r>
      <rPr>
        <b/>
        <sz val="12"/>
        <color theme="1"/>
        <rFont val="Avenir LT Std 55 Roman"/>
        <family val="2"/>
      </rPr>
      <t xml:space="preserve"> (g/mile)</t>
    </r>
  </si>
  <si>
    <t>Electricity</t>
  </si>
  <si>
    <t>UBUS</t>
  </si>
  <si>
    <t/>
  </si>
  <si>
    <t>Select Criteria and Toxic Air Pollutant Emission Factors for Vans</t>
  </si>
  <si>
    <r>
      <t>* Criteria pollutant and toxic emission factors for vans (Population-weighted average for LHD1 and MDV) utilize the RUNEX emission factors (g/mile), and the PMTW and PMBW emission factors (g/mile) for PM</t>
    </r>
    <r>
      <rPr>
        <vertAlign val="subscript"/>
        <sz val="12"/>
        <rFont val="Avenir LT Std 55 Roman"/>
        <family val="2"/>
      </rPr>
      <t>2.5</t>
    </r>
    <r>
      <rPr>
        <sz val="12"/>
        <rFont val="Avenir LT Std 55 Roman"/>
        <family val="2"/>
      </rPr>
      <t>.</t>
    </r>
  </si>
  <si>
    <t>Vehicle Classes</t>
  </si>
  <si>
    <t>LHD1, MDV</t>
  </si>
  <si>
    <t>Select Criteria and Toxic Air Pollutant Emission Factors for Cut-A-Ways (Shuttles)</t>
  </si>
  <si>
    <r>
      <t>* Criteria pollutant and toxic emission factors for cut-a-ways (LHD2) utilize the RUNEX emission factors (g/mile), and the PMTW and PMBW emission factors (g/mile) for PM</t>
    </r>
    <r>
      <rPr>
        <vertAlign val="subscript"/>
        <sz val="12"/>
        <rFont val="Avenir LT Std 55 Roman"/>
        <family val="2"/>
      </rPr>
      <t>2.5</t>
    </r>
    <r>
      <rPr>
        <sz val="12"/>
        <rFont val="Avenir LT Std 55 Roman"/>
        <family val="2"/>
      </rPr>
      <t>.</t>
    </r>
  </si>
  <si>
    <t xml:space="preserve">Diesel </t>
  </si>
  <si>
    <t>LHD2</t>
  </si>
  <si>
    <t>Select Criteria and Toxic Air Pollutant Emission Factors for Motor Coaches</t>
  </si>
  <si>
    <t>Fuel: All [DSL]</t>
  </si>
  <si>
    <r>
      <t>* Criteria pollutant and toxic emission factors for Over-Road Coaches utilize the RUNEX and IDLEX emission factors (g/mile), and the PMTW and PMBW emission factors (g/mile) for PM</t>
    </r>
    <r>
      <rPr>
        <vertAlign val="subscript"/>
        <sz val="12"/>
        <rFont val="Avenir LT Std 55 Roman"/>
        <family val="2"/>
      </rPr>
      <t>2.5</t>
    </r>
    <r>
      <rPr>
        <sz val="12"/>
        <rFont val="Avenir LT Std 55 Roman"/>
        <family val="2"/>
      </rPr>
      <t>.</t>
    </r>
  </si>
  <si>
    <t>ROG Idle (g/mile)</t>
  </si>
  <si>
    <r>
      <t>NO</t>
    </r>
    <r>
      <rPr>
        <b/>
        <vertAlign val="subscript"/>
        <sz val="12"/>
        <color theme="1"/>
        <rFont val="Avenir LT Std 55 Roman"/>
        <family val="2"/>
      </rPr>
      <t>x</t>
    </r>
    <r>
      <rPr>
        <b/>
        <sz val="12"/>
        <color theme="1"/>
        <rFont val="Avenir LT Std 55 Roman"/>
        <family val="2"/>
      </rPr>
      <t xml:space="preserve"> Idle (g/mile)</t>
    </r>
  </si>
  <si>
    <r>
      <t>PM</t>
    </r>
    <r>
      <rPr>
        <b/>
        <vertAlign val="subscript"/>
        <sz val="12"/>
        <color theme="1"/>
        <rFont val="Avenir LT Std 55 Roman"/>
        <family val="2"/>
      </rPr>
      <t>2.5</t>
    </r>
    <r>
      <rPr>
        <b/>
        <sz val="12"/>
        <color theme="1"/>
        <rFont val="Avenir LT Std 55 Roman"/>
        <family val="2"/>
      </rPr>
      <t xml:space="preserve"> Idle (g/mile)</t>
    </r>
  </si>
  <si>
    <r>
      <t>PM</t>
    </r>
    <r>
      <rPr>
        <b/>
        <vertAlign val="subscript"/>
        <sz val="12"/>
        <color theme="1"/>
        <rFont val="Avenir LT Std 55 Roman"/>
        <family val="2"/>
      </rPr>
      <t>10</t>
    </r>
    <r>
      <rPr>
        <b/>
        <sz val="12"/>
        <color theme="1"/>
        <rFont val="Avenir LT Std 55 Roman"/>
        <family val="2"/>
      </rPr>
      <t xml:space="preserve"> Idle (g/mile)</t>
    </r>
  </si>
  <si>
    <t>Motor Coach</t>
  </si>
  <si>
    <t>Select Criteria and Toxic Air Pollutant Emission Factors for Locomotives</t>
  </si>
  <si>
    <t>Line Haul Emission Rates (g/bhp-hr)</t>
  </si>
  <si>
    <t>Locomotive Fuel Consumption Rate (gal/mile)</t>
  </si>
  <si>
    <r>
      <t xml:space="preserve">HC </t>
    </r>
    <r>
      <rPr>
        <b/>
        <vertAlign val="superscript"/>
        <sz val="12"/>
        <rFont val="Avenir LT Std 55 Roman"/>
        <family val="2"/>
      </rPr>
      <t>a</t>
    </r>
  </si>
  <si>
    <r>
      <t xml:space="preserve">ROG </t>
    </r>
    <r>
      <rPr>
        <b/>
        <vertAlign val="superscript"/>
        <sz val="12"/>
        <rFont val="Avenir LT Std 55 Roman"/>
        <family val="2"/>
      </rPr>
      <t>c</t>
    </r>
  </si>
  <si>
    <r>
      <t>NO</t>
    </r>
    <r>
      <rPr>
        <b/>
        <vertAlign val="subscript"/>
        <sz val="12"/>
        <rFont val="Avenir LT Std 55 Roman"/>
        <family val="2"/>
      </rPr>
      <t>x</t>
    </r>
  </si>
  <si>
    <r>
      <t>PM</t>
    </r>
    <r>
      <rPr>
        <b/>
        <vertAlign val="subscript"/>
        <sz val="12"/>
        <rFont val="Avenir LT Std 55 Roman"/>
        <family val="2"/>
      </rPr>
      <t>10</t>
    </r>
  </si>
  <si>
    <r>
      <t>PM</t>
    </r>
    <r>
      <rPr>
        <b/>
        <vertAlign val="subscript"/>
        <sz val="12"/>
        <rFont val="Avenir LT Std 55 Roman"/>
        <family val="2"/>
      </rPr>
      <t>2.5</t>
    </r>
    <r>
      <rPr>
        <b/>
        <sz val="12"/>
        <rFont val="Avenir LT Std 55 Roman"/>
        <family val="2"/>
      </rPr>
      <t xml:space="preserve"> </t>
    </r>
    <r>
      <rPr>
        <b/>
        <vertAlign val="superscript"/>
        <sz val="12"/>
        <rFont val="Avenir LT Std 55 Roman"/>
        <family val="2"/>
      </rPr>
      <t>b</t>
    </r>
  </si>
  <si>
    <t>State average fuel consumption rate</t>
  </si>
  <si>
    <t>UNCONTROLLED</t>
  </si>
  <si>
    <t>Tier 0</t>
  </si>
  <si>
    <t>Conversion Factors (bhp-hr/gal)</t>
  </si>
  <si>
    <t>Tier 0+</t>
  </si>
  <si>
    <t>Locomotive Application</t>
  </si>
  <si>
    <t>Conversion Factor (bhp-hr/gal)</t>
  </si>
  <si>
    <t>Tier 1</t>
  </si>
  <si>
    <t>Large Line-Haul and Passenger</t>
  </si>
  <si>
    <t>Tier 1+</t>
  </si>
  <si>
    <t>Small Line-Haul and Passenger</t>
  </si>
  <si>
    <t>Tier 2</t>
  </si>
  <si>
    <t>Switching</t>
  </si>
  <si>
    <t>Tier 2+ &amp; Tier 3</t>
  </si>
  <si>
    <t>Tier 4</t>
  </si>
  <si>
    <t>+ Indicates that these are the revised standards in 40 CFR Part 1033</t>
  </si>
  <si>
    <r>
      <rPr>
        <vertAlign val="superscript"/>
        <sz val="12"/>
        <rFont val="Avenir LT Std 55 Roman"/>
        <family val="2"/>
      </rPr>
      <t>a</t>
    </r>
    <r>
      <rPr>
        <sz val="12"/>
        <rFont val="Avenir LT Std 55 Roman"/>
        <family val="2"/>
      </rPr>
      <t xml:space="preserve"> HC = hydrocarbons</t>
    </r>
  </si>
  <si>
    <r>
      <t xml:space="preserve">b </t>
    </r>
    <r>
      <rPr>
        <sz val="12"/>
        <rFont val="Avenir LT Std 55 Roman"/>
        <family val="2"/>
      </rPr>
      <t>According to EPA emission factors for locomotives document, PM</t>
    </r>
    <r>
      <rPr>
        <vertAlign val="subscript"/>
        <sz val="12"/>
        <rFont val="Avenir LT Std 55 Roman"/>
        <family val="2"/>
      </rPr>
      <t>2.5</t>
    </r>
    <r>
      <rPr>
        <sz val="12"/>
        <rFont val="Avenir LT Std 55 Roman"/>
        <family val="2"/>
      </rPr>
      <t xml:space="preserve"> emissions can be estimated as</t>
    </r>
  </si>
  <si>
    <r>
      <rPr>
        <sz val="12"/>
        <rFont val="Avenir LT Std 55 Roman"/>
        <family val="2"/>
      </rPr>
      <t>0.97 times the PM</t>
    </r>
    <r>
      <rPr>
        <vertAlign val="subscript"/>
        <sz val="12"/>
        <rFont val="Avenir LT Std 55 Roman"/>
        <family val="2"/>
      </rPr>
      <t>10</t>
    </r>
    <r>
      <rPr>
        <sz val="12"/>
        <rFont val="Avenir LT Std 55 Roman"/>
        <family val="2"/>
      </rPr>
      <t xml:space="preserve"> emissions</t>
    </r>
  </si>
  <si>
    <r>
      <t xml:space="preserve">c </t>
    </r>
    <r>
      <rPr>
        <sz val="12"/>
        <rFont val="Avenir LT Std 55 Roman"/>
        <family val="2"/>
      </rPr>
      <t>VOC emissions can be assumed to be equal to 1.053 times HC emissions. VOC is often referred to as</t>
    </r>
  </si>
  <si>
    <t>ROG. VOC is an EPA term. ARB uses ROG. ROG is similar, but not identical, to VOC due to minor</t>
  </si>
  <si>
    <t xml:space="preserve">variations of exempted pollutants between the two terms </t>
  </si>
  <si>
    <t>Locomotive emission factors codified at 40 CFR part 1033, found at:</t>
  </si>
  <si>
    <t>https://www.epa.gov/regulations-emissions-vehicles-and-engines/final-rule-control-emissions-air-pollution-locomotive</t>
  </si>
  <si>
    <t>Criteria pollutant emission factors are derived from US EPA Emission Factors for Locomotives, EPA-420-F-09-025, found at:</t>
  </si>
  <si>
    <t>https://nepis.epa.gov/Exe/ZyPDF.cgi/P100500B.PDF?Dockey=P100500B.PDF</t>
  </si>
  <si>
    <t>Select Criteria and Toxic Air Pollutant Emission Factors for Diesel Multiple Units (DMUs)</t>
  </si>
  <si>
    <t>In-Use Off-Road Diesel Vehicle Emission Rates (g/hp-hr)</t>
  </si>
  <si>
    <t>HP Range</t>
  </si>
  <si>
    <t>HC</t>
  </si>
  <si>
    <r>
      <rPr>
        <vertAlign val="superscript"/>
        <sz val="12"/>
        <rFont val="Avenir LT Std 55 Roman"/>
        <family val="2"/>
      </rPr>
      <t>b</t>
    </r>
    <r>
      <rPr>
        <sz val="12"/>
        <rFont val="Avenir LT Std 55 Roman"/>
        <family val="2"/>
      </rPr>
      <t xml:space="preserve"> NO</t>
    </r>
    <r>
      <rPr>
        <vertAlign val="subscript"/>
        <sz val="12"/>
        <rFont val="Avenir LT Std 55 Roman"/>
        <family val="2"/>
      </rPr>
      <t>x</t>
    </r>
    <r>
      <rPr>
        <sz val="12"/>
        <rFont val="Avenir LT Std 55 Roman"/>
        <family val="2"/>
      </rPr>
      <t xml:space="preserve"> and PM</t>
    </r>
    <r>
      <rPr>
        <vertAlign val="subscript"/>
        <sz val="12"/>
        <rFont val="Avenir LT Std 55 Roman"/>
        <family val="2"/>
      </rPr>
      <t>10</t>
    </r>
    <r>
      <rPr>
        <sz val="12"/>
        <rFont val="Avenir LT Std 55 Roman"/>
        <family val="2"/>
      </rPr>
      <t xml:space="preserve"> values were pulled from the In-Use Off-Road Diesel-Fueled Fleets Regulation. For controlled years, HC values are based upon engine</t>
    </r>
  </si>
  <si>
    <t>standards. For uncontrolled years, HC values were derived based upon data and methodology used to develop the In-Use Off-Road Diesel-Fueled Fleets</t>
  </si>
  <si>
    <t>Regulation.</t>
  </si>
  <si>
    <t>ROG-to-THC ratio (ROG/THC)</t>
  </si>
  <si>
    <t>Ratio</t>
  </si>
  <si>
    <t>Alt Fuel</t>
  </si>
  <si>
    <r>
      <t>PM</t>
    </r>
    <r>
      <rPr>
        <b/>
        <vertAlign val="subscript"/>
        <sz val="12"/>
        <rFont val="Avenir LT Std 55 Roman"/>
        <family val="2"/>
      </rPr>
      <t>2.5</t>
    </r>
    <r>
      <rPr>
        <b/>
        <sz val="12"/>
        <rFont val="Avenir LT Std 55 Roman"/>
        <family val="2"/>
      </rPr>
      <t>-to-PM</t>
    </r>
    <r>
      <rPr>
        <b/>
        <vertAlign val="subscript"/>
        <sz val="12"/>
        <rFont val="Avenir LT Std 55 Roman"/>
        <family val="2"/>
      </rPr>
      <t>10</t>
    </r>
    <r>
      <rPr>
        <b/>
        <sz val="12"/>
        <rFont val="Avenir LT Std 55 Roman"/>
        <family val="2"/>
      </rPr>
      <t xml:space="preserve"> ratio</t>
    </r>
  </si>
  <si>
    <t>DMU Fuel Consumption Rate (gal/mile)</t>
  </si>
  <si>
    <t>In-Use Off-Road Diesel Vehicles emission factors codified at 13 CCR part 2449, found at:</t>
  </si>
  <si>
    <t>https://ww3.arb.ca.gov/regact/2007/ordiesl07/frooal.pdf</t>
  </si>
  <si>
    <t>Off-Road Diesel New Engine Emission Standards</t>
  </si>
  <si>
    <t>https://www.arb.ca.gov/msei/ordiesel/ordieselstandards.xls</t>
  </si>
  <si>
    <t>OFFROAD Diesel Equipment Documentation</t>
  </si>
  <si>
    <t>https://ww2.arb.ca.gov/our-work/programs/mobile-source-emissions-inventory/road-documentation/msei-documentation-offroad-0</t>
  </si>
  <si>
    <t>Technical Support Document: Proposed Regulation For In-use Off-road Diesel Vehicles - Appendix E: Emissions Inventory Methodology and Results</t>
  </si>
  <si>
    <t>https://ww3.arb.ca.gov/regact/2007/ordiesl07/tsdappe.pdf</t>
  </si>
  <si>
    <t>Carl Moyer Program Guidelines</t>
  </si>
  <si>
    <t>https://ww3.arb.ca.gov/msprog/moyer/guidelines/current.htm</t>
  </si>
  <si>
    <t>Select Criteria and Toxic Air Pollutant Emission Factors for Ferries</t>
  </si>
  <si>
    <t>Commercial Harbor Craft Emission Rates (g/hp-hr)</t>
  </si>
  <si>
    <r>
      <t>ME NO</t>
    </r>
    <r>
      <rPr>
        <b/>
        <vertAlign val="subscript"/>
        <sz val="12"/>
        <rFont val="Avenir LT Std 55 Roman"/>
        <family val="2"/>
      </rPr>
      <t>x</t>
    </r>
  </si>
  <si>
    <t>ME ROG</t>
  </si>
  <si>
    <r>
      <t>ME PM</t>
    </r>
    <r>
      <rPr>
        <b/>
        <vertAlign val="subscript"/>
        <sz val="12"/>
        <rFont val="Avenir LT Std 55 Roman"/>
        <family val="2"/>
      </rPr>
      <t>10</t>
    </r>
  </si>
  <si>
    <r>
      <t>ME PM</t>
    </r>
    <r>
      <rPr>
        <b/>
        <vertAlign val="subscript"/>
        <sz val="12"/>
        <rFont val="Avenir LT Std 55 Roman"/>
        <family val="2"/>
      </rPr>
      <t>2.5</t>
    </r>
  </si>
  <si>
    <r>
      <t>AE NO</t>
    </r>
    <r>
      <rPr>
        <b/>
        <vertAlign val="subscript"/>
        <sz val="12"/>
        <rFont val="Avenir LT Std 55 Roman"/>
        <family val="2"/>
      </rPr>
      <t>x</t>
    </r>
  </si>
  <si>
    <t>AE ROG</t>
  </si>
  <si>
    <r>
      <t>AE PM</t>
    </r>
    <r>
      <rPr>
        <b/>
        <vertAlign val="subscript"/>
        <sz val="12"/>
        <rFont val="Avenir LT Std 55 Roman"/>
        <family val="2"/>
      </rPr>
      <t>10</t>
    </r>
  </si>
  <si>
    <r>
      <t>AE PM</t>
    </r>
    <r>
      <rPr>
        <b/>
        <vertAlign val="subscript"/>
        <sz val="12"/>
        <rFont val="Avenir LT Std 55 Roman"/>
        <family val="2"/>
      </rPr>
      <t>2.5</t>
    </r>
  </si>
  <si>
    <t>Conversion Factor (gal/hp-hr)</t>
  </si>
  <si>
    <t>25-50 HP</t>
  </si>
  <si>
    <t>pre-1998</t>
  </si>
  <si>
    <t>Brake Fuel Consumption Rate</t>
  </si>
  <si>
    <t>1998-1999</t>
  </si>
  <si>
    <t>2000-2004</t>
  </si>
  <si>
    <t>Load Factor</t>
  </si>
  <si>
    <t>2005-2008</t>
  </si>
  <si>
    <t>Main Engine</t>
  </si>
  <si>
    <t>2009-2020</t>
  </si>
  <si>
    <t>Auxiliary Engine</t>
  </si>
  <si>
    <t>51-120 HP</t>
  </si>
  <si>
    <t>pre-1997</t>
  </si>
  <si>
    <t>1997-1999</t>
  </si>
  <si>
    <t xml:space="preserve">Engine Deterioration Factor </t>
  </si>
  <si>
    <t>Horsepower Range</t>
  </si>
  <si>
    <t>CO</t>
  </si>
  <si>
    <t>25-50</t>
  </si>
  <si>
    <t>51-250</t>
  </si>
  <si>
    <t>121-175 HP</t>
  </si>
  <si>
    <t>pre-1971</t>
  </si>
  <si>
    <t>&gt;251</t>
  </si>
  <si>
    <t>1971-1978</t>
  </si>
  <si>
    <t>1979-1983</t>
  </si>
  <si>
    <t>Fuel Correction Factor</t>
  </si>
  <si>
    <t>1984-1986</t>
  </si>
  <si>
    <t>Calendar Years</t>
  </si>
  <si>
    <t>Model Years</t>
  </si>
  <si>
    <t>1987-1995</t>
  </si>
  <si>
    <t>&lt;25</t>
  </si>
  <si>
    <t>Pre-1995</t>
  </si>
  <si>
    <t>1996-1999</t>
  </si>
  <si>
    <t>Pre-1999</t>
  </si>
  <si>
    <t>2000-2003</t>
  </si>
  <si>
    <t>51-100</t>
  </si>
  <si>
    <t>Pre-1998</t>
  </si>
  <si>
    <t>2004-2012</t>
  </si>
  <si>
    <t>101-175</t>
  </si>
  <si>
    <t>Pre-1997</t>
  </si>
  <si>
    <t>2013-2020</t>
  </si>
  <si>
    <t>1994-2006</t>
  </si>
  <si>
    <t>176+</t>
  </si>
  <si>
    <t>Pre-1996</t>
  </si>
  <si>
    <t>176-250 HP</t>
  </si>
  <si>
    <t>1995+</t>
  </si>
  <si>
    <t>1999-2010</t>
  </si>
  <si>
    <t>1998-2010</t>
  </si>
  <si>
    <t>1997-2010</t>
  </si>
  <si>
    <t>1987-1994</t>
  </si>
  <si>
    <t>1996-2010</t>
  </si>
  <si>
    <t>1995-1999</t>
  </si>
  <si>
    <t>2004-2013</t>
  </si>
  <si>
    <t>2014-2020</t>
  </si>
  <si>
    <t>251-500 HP</t>
  </si>
  <si>
    <t>2007+</t>
  </si>
  <si>
    <t>All</t>
  </si>
  <si>
    <t>2011+</t>
  </si>
  <si>
    <t>501-750 HP</t>
  </si>
  <si>
    <t>Ferry Emission Factors* (g/gal)</t>
  </si>
  <si>
    <r>
      <t>PM</t>
    </r>
    <r>
      <rPr>
        <vertAlign val="subscript"/>
        <sz val="12"/>
        <rFont val="Avenir LT Std 55 Roman"/>
        <family val="2"/>
      </rPr>
      <t>10</t>
    </r>
  </si>
  <si>
    <t>*Emission Factors are based on the following formulas below</t>
  </si>
  <si>
    <r>
      <t>Emissions equation for commercial harbor craft engines (NO</t>
    </r>
    <r>
      <rPr>
        <b/>
        <vertAlign val="subscript"/>
        <sz val="12"/>
        <color theme="1"/>
        <rFont val="Avenir LT Std 55 Roman"/>
        <family val="2"/>
      </rPr>
      <t>x</t>
    </r>
    <r>
      <rPr>
        <b/>
        <sz val="12"/>
        <color theme="1"/>
        <rFont val="Avenir LT Std 55 Roman"/>
        <family val="2"/>
      </rPr>
      <t xml:space="preserve"> and PM)</t>
    </r>
  </si>
  <si>
    <t>2000-2006</t>
  </si>
  <si>
    <t>2007-2012</t>
  </si>
  <si>
    <t>Emissions equation for ROG</t>
  </si>
  <si>
    <t>751-1900 HP</t>
  </si>
  <si>
    <t>1987-1998</t>
  </si>
  <si>
    <t>2007-2011</t>
  </si>
  <si>
    <t>2012-2016</t>
  </si>
  <si>
    <t>2017-2020</t>
  </si>
  <si>
    <t>1901-3300 HP</t>
  </si>
  <si>
    <t>2013-2015</t>
  </si>
  <si>
    <t>2016-2020</t>
  </si>
  <si>
    <t>3301-5000 HP</t>
  </si>
  <si>
    <t>2007-2013</t>
  </si>
  <si>
    <t>2014-2015</t>
  </si>
  <si>
    <t>* ME refers to Main Engine. AE refers to Auxiliary Engine. Most commercial harbor craft are powered by marine</t>
  </si>
  <si>
    <t>diesel engines, including propulsion engines (main engine) and auxiliary engines. Propulsion engines are the primary</t>
  </si>
  <si>
    <t>engines that move vessels through the water. Auxiliary engines generally provide power to vessel electrical systems</t>
  </si>
  <si>
    <t>and may also provide additional power to unique, essential vessel equipment (i.e., refrigeration units) during the</t>
  </si>
  <si>
    <t>normal day-to-day operation of the vessel.</t>
  </si>
  <si>
    <t>Criteria Pollutant emission factors are derived from CARB's Emissions Estimation Methodology for Commercial Harbor Craft Operating in CA</t>
  </si>
  <si>
    <t>Available online at:</t>
  </si>
  <si>
    <t>https://www.arb.ca.gov/msei/chc-appendix-b-emission-estimates-ver02-27-2012.pdf</t>
  </si>
  <si>
    <t>Ferry Emission Factors (g/gal)*</t>
  </si>
  <si>
    <r>
      <t>PM</t>
    </r>
    <r>
      <rPr>
        <b/>
        <vertAlign val="subscript"/>
        <sz val="12"/>
        <rFont val="Avenir LT Std 55 Roman"/>
        <family val="2"/>
      </rPr>
      <t>2.5</t>
    </r>
  </si>
  <si>
    <r>
      <t>Emissions equation for ROG, NO</t>
    </r>
    <r>
      <rPr>
        <b/>
        <vertAlign val="subscript"/>
        <sz val="12"/>
        <color theme="1"/>
        <rFont val="Avenir LT Std 55 Roman"/>
        <family val="2"/>
      </rPr>
      <t>x</t>
    </r>
    <r>
      <rPr>
        <b/>
        <sz val="12"/>
        <color theme="1"/>
        <rFont val="Avenir LT Std 55 Roman"/>
        <family val="2"/>
      </rPr>
      <t>, and PM</t>
    </r>
  </si>
  <si>
    <t xml:space="preserve">Private Station
Fuel Price ($/unit)* </t>
  </si>
  <si>
    <t>*Units of gallon for biodiesel, diesel, gasoline, LNG, and renewable diesel; scf for CNG and renewable natural gas; kWh for electric, and kilogram for hydrogen.</t>
  </si>
  <si>
    <t>**Assume renewable diesel price comparable to conventional diesel, and renewable natural gas price comparable to CNG.</t>
  </si>
  <si>
    <t>***California 2022 electricity price for transportation sector; assume not cost for onsite production of renewable electricity.</t>
  </si>
  <si>
    <t>Reference</t>
  </si>
  <si>
    <t>California Air Resources Board. Co-benefit Assessment Methodology for Energy and Fuel Cost Savings</t>
  </si>
  <si>
    <t>https://ww2.arb.ca.gov/sites/default/files/auction-proceeds/final_energyfuelcost_am_2023.pdf</t>
  </si>
  <si>
    <t>Travel Cost</t>
  </si>
  <si>
    <t>Transportation mode</t>
  </si>
  <si>
    <t>Cost per mile ($/mi)</t>
  </si>
  <si>
    <t>Personal vehicles</t>
  </si>
  <si>
    <t>California Air Resources Board. Co-benefit Assessment Methodology: Travel Cost Savings</t>
  </si>
  <si>
    <t>https://ww2.arb.ca.gov/sites/default/files/auction-proceeds/final_travelcost_am_2022.pdf</t>
  </si>
  <si>
    <t>Quantification Approach</t>
  </si>
  <si>
    <t>Quantification Approach 1</t>
  </si>
  <si>
    <t>Quantification Approach 2</t>
  </si>
  <si>
    <t>Description of Quantification Approach</t>
  </si>
  <si>
    <t>Description of YR 1</t>
  </si>
  <si>
    <t>Description of YR F</t>
  </si>
  <si>
    <t>Useful life</t>
  </si>
  <si>
    <t>Vehicle Type Description</t>
  </si>
  <si>
    <t>Annual VMT</t>
  </si>
  <si>
    <t>GHG Emissions</t>
  </si>
  <si>
    <t>Net GHG Reductions</t>
  </si>
  <si>
    <t>Provision of a new expanded/enhanced transit service</t>
  </si>
  <si>
    <t>Emission Estimates = Emission Reductions from Displaced Autos – Emissions from New Service</t>
  </si>
  <si>
    <t>The first year of operation for the new expanded/enhanced service - funded by FY 2022-23 LCTOP funds.</t>
  </si>
  <si>
    <t>The final year of operation for the new expanded/enhanced service - funded by FY 2022-23 LCTOP funds.</t>
  </si>
  <si>
    <t>The number of years the service is funded by FY 2022-23 LCTOP funds. Limited to up to 50 years.</t>
  </si>
  <si>
    <t>The vehicle type (e.g., Transit Bus, Streetcar, Ferry, etc.) that will operate the new service.</t>
  </si>
  <si>
    <t>Is the vehicle that will operate the new service a hybrid?</t>
  </si>
  <si>
    <t>The fuel type (e.g. Electric, Diesel, etc.) of the vehicle that will operate the new service.</t>
  </si>
  <si>
    <t>The engine model year of the vehicle that will operate the new service.</t>
  </si>
  <si>
    <t>The estimated annual VMT required to operate the new service or of the new vehicle(s) to be procured (e.g., 72,000 mi/yr).  For rail vehicles, applicants may alternatively use Annual Fuel. For vehicles with multiple engines (e.g., DMUs), provide the cumulative VMT across all the engines.</t>
  </si>
  <si>
    <t>Due to the high variability in rail and ferry vehicles, applicants may provide project-specific information on the estimated annual fuel required to operate the new service (e.g., 26,000 units/yr).
Units of gallons/yr for biodiesel, diesel, gasoline, LNG, renewable diesel; scf/yr for CNG and renewable natural gas; kWh/yr for electric; kg/yr for hydrogen.</t>
  </si>
  <si>
    <r>
      <t>The estimated GHG emissions (MTCO</t>
    </r>
    <r>
      <rPr>
        <vertAlign val="subscript"/>
        <sz val="12"/>
        <rFont val="Avenir LT Std 55 Roman"/>
        <family val="2"/>
      </rPr>
      <t>2</t>
    </r>
    <r>
      <rPr>
        <sz val="12"/>
        <rFont val="Avenir LT Std 55 Roman"/>
        <family val="2"/>
      </rPr>
      <t>e) of the vehicle that will operate the new service.</t>
    </r>
  </si>
  <si>
    <r>
      <t>The estimated GHG emission reductions (MTCO</t>
    </r>
    <r>
      <rPr>
        <vertAlign val="subscript"/>
        <sz val="12"/>
        <color theme="1"/>
        <rFont val="Avenir LT Std 55 Roman"/>
        <family val="2"/>
      </rPr>
      <t>2</t>
    </r>
    <r>
      <rPr>
        <sz val="12"/>
        <color theme="1"/>
        <rFont val="Avenir LT Std 55 Roman"/>
        <family val="2"/>
      </rPr>
      <t xml:space="preserve">e) of the new service.  </t>
    </r>
  </si>
  <si>
    <t>Creation of new alternative transportation services (e.g., new or expanded car-sharing program)</t>
  </si>
  <si>
    <t>The vehicle type (e.g., Cut-a-way, Van, Bikeshare, etc.) that will operate the alternative transportation service.</t>
  </si>
  <si>
    <t>Purchase of replacement vehicle(s) and equipment/infrastructure in support of new expanded/enhanced transit service</t>
  </si>
  <si>
    <t>Emission Estimates = (Emission Reductions from Displaced Autos – Emissions from New Service) + (Emissions from Baseline Vehicle – Emissions from New Vehicle)</t>
  </si>
  <si>
    <t xml:space="preserve">The first year of service that the rolling stock acquisition will support. </t>
  </si>
  <si>
    <t xml:space="preserve">The final year of service that the rolling stock acquisition will support. </t>
  </si>
  <si>
    <t>The useful life of the rolling stock. Limited to up to 50 years.</t>
  </si>
  <si>
    <t>The vehicle type (e.g., Transit Bus, Streetcar, Ferry, etc.) of the rolling stock to be acquired that will operate the new service.</t>
  </si>
  <si>
    <t>Purchase, construction, and installation of equipment and facilities needed to provide expanded/enhanced transit service</t>
  </si>
  <si>
    <t>The first year of service that the capital expenditure will support.</t>
  </si>
  <si>
    <t>The final year of service that the capital expenditure will support.</t>
  </si>
  <si>
    <t>The useful life of the capital expenditure. Limited to up to 50 years.</t>
  </si>
  <si>
    <t>The vehicle type (e.g., Transit Bus, Streetcar, Ferry, etc.) supported by the capital expenditure in support of new service.</t>
  </si>
  <si>
    <t>Purchase of expansion zero-emission vehicle(s) and equipment/infrastructure in support of new expanded/enhanced transit service</t>
  </si>
  <si>
    <t>Purchase, construction, and/or installation of infrastructure to support zero-emission or low-emission vehicles in support of new expanded/enhanced transit service</t>
  </si>
  <si>
    <t>Purchase, construction, and installation of renewable energy/fuel for transit facilities in support of new expanded/enhanced transit service</t>
  </si>
  <si>
    <t>Emission Estimates =  Emission Reductions from Displaced Autos – Emissions from New Service + Emission Reductions from Fuel/Energy Reductions</t>
  </si>
  <si>
    <t xml:space="preserve">The first year of the capital expenditure's useful life. </t>
  </si>
  <si>
    <t xml:space="preserve">The final year of the capital expenditure's useful life. </t>
  </si>
  <si>
    <t>The vehicle type (e.g., Transit Bus, Streetcar, Ferry, etc.) of the rolling stock to be acquired.</t>
  </si>
  <si>
    <t>Is the vehicle to be acquired a hybrid?</t>
  </si>
  <si>
    <t>The fuel type (e.g. Electric, Diesel, etc.) of the vehicle to be acquired.</t>
  </si>
  <si>
    <t>The engine model year of the vehicle to be acquired.</t>
  </si>
  <si>
    <t xml:space="preserve">The estimated annual VMT of the vehicle to be acquired (e.g., 72,000 mi/yr). </t>
  </si>
  <si>
    <t>The estimated annual fuel (i.e., gallons of diesel, KWh of electricity) of the rail or ferry to be acquired (e.g., 26,000 units/yr).
Units of gallons/yr for biodiesel, diesel, gasoline, LNG, renewable diesel; scf/yr for CNG and renewable natural gas; kWh/yr for electric; kg/yr for hydrogen.</t>
  </si>
  <si>
    <r>
      <t>The estimated GHG emissions (MTCO</t>
    </r>
    <r>
      <rPr>
        <vertAlign val="subscript"/>
        <sz val="12"/>
        <color theme="1"/>
        <rFont val="Avenir LT Std 55 Roman"/>
        <family val="2"/>
      </rPr>
      <t>2</t>
    </r>
    <r>
      <rPr>
        <sz val="12"/>
        <color theme="1"/>
        <rFont val="Avenir LT Std 55 Roman"/>
        <family val="2"/>
      </rPr>
      <t>e) of the vehicle to be acquired.</t>
    </r>
  </si>
  <si>
    <t xml:space="preserve">Not applicable for this project type. </t>
  </si>
  <si>
    <t>Purchase of expansion zero-emission vehicle(s) (may include equipment/infrastructure)</t>
  </si>
  <si>
    <t>Emission Estimates = Emissions from Baseline Vehicle – Emissions from New Vehicle</t>
  </si>
  <si>
    <t xml:space="preserve">The first year of the rolling stock's useful life. </t>
  </si>
  <si>
    <t xml:space="preserve">The final year of the rolling stock's useful life. </t>
  </si>
  <si>
    <t>Purchase of replacement zero-emission vehicle(s) (may include equipment/infrastructure)</t>
  </si>
  <si>
    <t>Purchase, construction, and/or installation of infrastructure, equipment, or facilities to support zero-emission vehicle(s)</t>
  </si>
  <si>
    <t>Emission Estimates = Emissions from Baseline Vehicle – Emissions from New Vehicle + Emission Reductions from Fuel/Energy Reductions</t>
  </si>
  <si>
    <t>Not applicable for this project type.</t>
  </si>
  <si>
    <t>Purchase and installation of equipment on transit vehicles to encourage increased transit ridership</t>
  </si>
  <si>
    <t>Emission Estimates = Emission Reductions from Displaced Autos</t>
  </si>
  <si>
    <t xml:space="preserve">The first year of increased ridership as a result of the capital expenditure. </t>
  </si>
  <si>
    <t xml:space="preserve">The final year of increased ridership as a result of the capital expenditure. </t>
  </si>
  <si>
    <t>Due to the high variability in rail and ferry vehicles, applicants may provide project-specific information on the estimated annual fuel (i.e., gallons of diesel, KWh of electricity) required to operate the new service (e.g., 26,000).</t>
  </si>
  <si>
    <t>Purchase, construction, and/or installation of transit-related amenities or infrastructure to encourage increased transit ridership</t>
  </si>
  <si>
    <t>Purchase and construction of active transportation facilities that connect to stops/stations and encourage ridership</t>
  </si>
  <si>
    <t>Implementation of free or reduced fares</t>
  </si>
  <si>
    <t>Network/fare integration</t>
  </si>
  <si>
    <t>Engine Model Year</t>
  </si>
  <si>
    <t>County</t>
  </si>
  <si>
    <t>Air Basin</t>
  </si>
  <si>
    <t>Baseline Fuel Type (unit)</t>
  </si>
  <si>
    <t>New Fuel Type</t>
  </si>
  <si>
    <t>New Fuel Type Unit</t>
  </si>
  <si>
    <t>Additional GHG Reductions</t>
  </si>
  <si>
    <t>Engine Tiers</t>
  </si>
  <si>
    <t>Eligible Project Type</t>
  </si>
  <si>
    <t>CCI Programs</t>
  </si>
  <si>
    <t>DMU Horsepower Range</t>
  </si>
  <si>
    <t>Ferry Horsepower Range</t>
  </si>
  <si>
    <t>Tab Names</t>
  </si>
  <si>
    <t>Cut-A-Way</t>
  </si>
  <si>
    <t>gal</t>
  </si>
  <si>
    <t>Not Applicable</t>
  </si>
  <si>
    <t>CARB - Ag Vanpools</t>
  </si>
  <si>
    <t>25-49</t>
  </si>
  <si>
    <t>Rail</t>
  </si>
  <si>
    <t>DMU / EMU</t>
  </si>
  <si>
    <t>scf</t>
  </si>
  <si>
    <t>System and Efficiency Improvements</t>
  </si>
  <si>
    <t>CARB - CAP</t>
  </si>
  <si>
    <t>50-74</t>
  </si>
  <si>
    <t>51-120</t>
  </si>
  <si>
    <t>Intercity/Express Bus (Long Distance)</t>
  </si>
  <si>
    <t>Vehicle Replacement</t>
  </si>
  <si>
    <t>Cleaner Vehicles/Technology/Fuels</t>
  </si>
  <si>
    <t>CARB - CC4A</t>
  </si>
  <si>
    <t>75-99</t>
  </si>
  <si>
    <t>121-175</t>
  </si>
  <si>
    <t>Local/ Intercity Bus (Short Distances)</t>
  </si>
  <si>
    <t>CARB - CORE</t>
  </si>
  <si>
    <t>100-174</t>
  </si>
  <si>
    <t>176-250</t>
  </si>
  <si>
    <t>Multi-modal</t>
  </si>
  <si>
    <t>CARB - Clean Mobility</t>
  </si>
  <si>
    <t>175-299</t>
  </si>
  <si>
    <t>251-500</t>
  </si>
  <si>
    <t>kg</t>
  </si>
  <si>
    <t>CARB - Clean Mobility in Schools</t>
  </si>
  <si>
    <t>300-599</t>
  </si>
  <si>
    <t>501-750</t>
  </si>
  <si>
    <t>Streetcar</t>
  </si>
  <si>
    <t>CARB - Clean Truck &amp; Bus</t>
  </si>
  <si>
    <t>600-750</t>
  </si>
  <si>
    <t>751-1900</t>
  </si>
  <si>
    <t>Transit Bus</t>
  </si>
  <si>
    <t>CARB - CVRP</t>
  </si>
  <si>
    <t>Over 750</t>
  </si>
  <si>
    <t>1901-3300</t>
  </si>
  <si>
    <t>CARB - FARMER</t>
  </si>
  <si>
    <t>3301-5000</t>
  </si>
  <si>
    <t>CARB - Financing</t>
  </si>
  <si>
    <t>Train Fuel Type</t>
  </si>
  <si>
    <t>gCO2e/mile</t>
  </si>
  <si>
    <t>TEFnew</t>
  </si>
  <si>
    <t>CARB - Rural School Bus</t>
  </si>
  <si>
    <t>CARB - ZANZEFF</t>
  </si>
  <si>
    <t>No</t>
  </si>
  <si>
    <t>Caltrans - LCTOP</t>
  </si>
  <si>
    <t>Electric/BEV or PHEV</t>
  </si>
  <si>
    <t>N/A</t>
  </si>
  <si>
    <t>Caltrans - TIRCP (Past)</t>
  </si>
  <si>
    <t>Electric (Heavy Rail)</t>
  </si>
  <si>
    <t>Caltrans - TIRCP (Future)</t>
  </si>
  <si>
    <t>Electric (Light Rail)</t>
  </si>
  <si>
    <t>SGC - TCC</t>
  </si>
  <si>
    <r>
      <t>Electric (</t>
    </r>
    <r>
      <rPr>
        <sz val="12"/>
        <rFont val="Avenir LT Std 55 Roman"/>
        <family val="2"/>
      </rPr>
      <t>Trolley Bus, Cable Car, Street Car</t>
    </r>
    <r>
      <rPr>
        <sz val="12"/>
        <color rgb="FF000000"/>
        <rFont val="Avenir LT Std 55 Roman"/>
        <family val="2"/>
      </rPr>
      <t>)</t>
    </r>
  </si>
  <si>
    <t>SGC - AHSC</t>
  </si>
  <si>
    <t>1-1</t>
  </si>
  <si>
    <t>Hydrogen Fuel Cell (SB 1505)</t>
  </si>
  <si>
    <t>1-2</t>
  </si>
  <si>
    <t>1-3</t>
  </si>
  <si>
    <t>2-1</t>
  </si>
  <si>
    <t>Biodiesel (gal)</t>
  </si>
  <si>
    <t>2-2</t>
  </si>
  <si>
    <t>Shuttle/Van Fuel Type</t>
  </si>
  <si>
    <t>gCO2e/unit</t>
  </si>
  <si>
    <t>CNG (ft3)</t>
  </si>
  <si>
    <t>2-3</t>
  </si>
  <si>
    <t>Diesel (gal)</t>
  </si>
  <si>
    <t>3-1</t>
  </si>
  <si>
    <t>Electric (kWh)</t>
  </si>
  <si>
    <t>3-2</t>
  </si>
  <si>
    <t>Gasoline (gal)</t>
  </si>
  <si>
    <t>3-3</t>
  </si>
  <si>
    <t>Hydrogen Fuel Cell (kg)</t>
  </si>
  <si>
    <t>4-1</t>
  </si>
  <si>
    <t>LNG (gal)</t>
  </si>
  <si>
    <t>4-2</t>
  </si>
  <si>
    <t>Renewable Diesel (gal)</t>
  </si>
  <si>
    <t>4-3</t>
  </si>
  <si>
    <t>Renewable Natural Gas (ft3)</t>
  </si>
  <si>
    <t>5-1</t>
  </si>
  <si>
    <t>5-2</t>
  </si>
  <si>
    <t>Ferry Fuel Type</t>
  </si>
  <si>
    <t>5-3</t>
  </si>
  <si>
    <t>6-1</t>
  </si>
  <si>
    <t>6-2</t>
  </si>
  <si>
    <t>6-3</t>
  </si>
  <si>
    <t>Selected</t>
  </si>
  <si>
    <t>Defaults</t>
  </si>
  <si>
    <t>A</t>
  </si>
  <si>
    <t>L</t>
  </si>
  <si>
    <t>AA</t>
  </si>
  <si>
    <t>LL</t>
  </si>
  <si>
    <t>A step-by-step user guide, including project examples, for this Benefits Calculator Tool is available here:</t>
  </si>
  <si>
    <t>Step 1: Enter Basic Project Information</t>
  </si>
  <si>
    <t>Lead Agency Name:</t>
  </si>
  <si>
    <t>Contact Name:</t>
  </si>
  <si>
    <t>Contact Phone Number:</t>
  </si>
  <si>
    <t>Contact Email:</t>
  </si>
  <si>
    <t>Date Calculator Completed:</t>
  </si>
  <si>
    <t>TIRCP GGRF Funds Requested ($):</t>
  </si>
  <si>
    <t>Total TIRCP GGRF Funds ($):</t>
  </si>
  <si>
    <t>Total GGRF Funds ($):</t>
  </si>
  <si>
    <t>Non-GGRF Leveraged Funds ($):</t>
  </si>
  <si>
    <t>Total Funds ($):</t>
  </si>
  <si>
    <t>Optional input field*</t>
  </si>
  <si>
    <t>Grey</t>
  </si>
  <si>
    <t>Yellow</t>
  </si>
  <si>
    <t>Helpful hints / important tips</t>
  </si>
  <si>
    <t>*See "Documentation" tab for additional information</t>
  </si>
  <si>
    <t>CARB released the Draft TIRCP Benefits Calculator Tool and Draft TIRCP Quantification Methodology for public comment on December 13, 2025.  This Final TIRCP Benefits Calculator Tool and accompanying Final TIRCP Quantification Methodology will be updated to address public comments, where appropriate, and for consistency with updates to the TIRCP Guidelines.</t>
  </si>
  <si>
    <t>https://ww2.arb.ca.gov/sites/default/files/auction-proceeds/calsta_tircp_DRAFT_UsersGuide_cycle8.pdf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</si>
</sst>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_);_(* \(#,##0\);_(* &quot;-&quot;??_);_(@_)"/>
    <numFmt numFmtId="165" formatCode="#,##0.000"/>
    <numFmt numFmtId="166" formatCode="_(* #,##0.000000_);_(* \(#,##0.000000\);_(* &quot;-&quot;??_);_(@_)"/>
    <numFmt numFmtId="167" formatCode="_(* #,##0.0000_);_(* \(#,##0.0000\);_(* &quot;-&quot;??_);_(@_)"/>
    <numFmt numFmtId="168" formatCode="0.0000"/>
    <numFmt numFmtId="169" formatCode="_(&quot;$&quot;* #,##0_);_(&quot;$&quot;* \(#,##0\);_(&quot;$&quot;* &quot;-&quot;??_);_(@_)"/>
    <numFmt numFmtId="170" formatCode="0.000"/>
    <numFmt numFmtId="171" formatCode="_(* #,##0.0_);_(* \(#,##0.0\);_(* &quot;-&quot;?_);_(@_)"/>
    <numFmt numFmtId="172" formatCode="0.0"/>
    <numFmt numFmtId="173" formatCode="#,##0;#,##0;&quot;-&quot;??;_(@_)"/>
    <numFmt numFmtId="174" formatCode="&quot;$&quot;#,##0.000"/>
    <numFmt numFmtId="175" formatCode="&quot;$&quot;#,##0"/>
    <numFmt numFmtId="176" formatCode="_(* &quot;$&quot;#,##0_);_(* \(&quot;$&quot;#,##0\);_(* &quot;&quot;??_);_(@_)"/>
    <numFmt numFmtId="177" formatCode="_(* #,##0_);_(* \(#,##0\);_(* &quot;&quot;??_);_(@_)"/>
    <numFmt numFmtId="178" formatCode="_(* #,##0.000000_);_(* \(#,##0.000000\);_(* &quot;&quot;??_);_(@_)"/>
    <numFmt numFmtId="179" formatCode="_(* &quot;$&quot;#,##0_);_(* \(&quot;$&quot;#,##0\);_(* &quot;-&quot;??_);_(@_)"/>
    <numFmt numFmtId="180" formatCode="&quot;$&quot;#,##0.00"/>
    <numFmt numFmtId="181" formatCode="0."/>
    <numFmt numFmtId="182" formatCode="0.00000"/>
    <numFmt numFmtId="183" formatCode="#,##0.000_);\(#,##0.000\)"/>
    <numFmt numFmtId="184" formatCode="[&lt;=9999999]###\-####;\(###\)\ ###\-####"/>
  </numFmts>
  <fonts count="10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0"/>
      <color indexed="12"/>
      <name val="Arial"/>
      <family val="2"/>
    </font>
    <font>
      <sz val="10"/>
      <name val="Arial"/>
      <family val="2"/>
    </font>
    <font>
      <b/>
      <sz val="9"/>
      <color indexed="8"/>
      <name val="Tahoma"/>
      <family val="2"/>
    </font>
    <font>
      <sz val="10"/>
      <name val="MS Sans Serif"/>
      <family val="2"/>
    </font>
    <font>
      <sz val="10"/>
      <name val="Arial"/>
      <family val="2"/>
    </font>
    <font>
      <sz val="10"/>
      <name val="Arial"/>
      <family val="2"/>
    </font>
    <font>
      <u/>
      <sz val="12"/>
      <color theme="10"/>
      <name val="Arial"/>
      <family val="2"/>
    </font>
    <font>
      <u/>
      <sz val="11"/>
      <color theme="10"/>
      <name val="Calibri"/>
      <family val="2"/>
      <scheme val="minor"/>
    </font>
    <font>
      <sz val="12"/>
      <color rgb="FF000000"/>
      <name val="Wingdings"/>
      <charset val="2"/>
    </font>
    <font>
      <b/>
      <sz val="16"/>
      <color theme="1"/>
      <name val="Avenir LT Std 55 Roman"/>
      <family val="2"/>
    </font>
    <font>
      <sz val="12"/>
      <name val="Avenir LT Std 55 Roman"/>
      <family val="2"/>
    </font>
    <font>
      <sz val="10"/>
      <name val="Avenir LT Std 55 Roman"/>
      <family val="2"/>
    </font>
    <font>
      <b/>
      <sz val="16"/>
      <name val="Avenir LT Std 55 Roman"/>
      <family val="2"/>
    </font>
    <font>
      <sz val="11"/>
      <color rgb="FF000000"/>
      <name val="Avenir LT Std 55 Roman"/>
      <family val="2"/>
    </font>
    <font>
      <b/>
      <sz val="12"/>
      <color theme="1"/>
      <name val="Avenir LT Std 55 Roman"/>
      <family val="2"/>
    </font>
    <font>
      <sz val="11"/>
      <color theme="1"/>
      <name val="Avenir LT Std 55 Roman"/>
      <family val="2"/>
    </font>
    <font>
      <sz val="12"/>
      <color theme="1"/>
      <name val="Avenir LT Std 55 Roman"/>
      <family val="2"/>
    </font>
    <font>
      <b/>
      <sz val="12"/>
      <name val="Avenir LT Std 55 Roman"/>
      <family val="2"/>
    </font>
    <font>
      <b/>
      <vertAlign val="superscript"/>
      <sz val="12"/>
      <name val="Avenir LT Std 55 Roman"/>
      <family val="2"/>
    </font>
    <font>
      <b/>
      <vertAlign val="subscript"/>
      <sz val="12"/>
      <name val="Avenir LT Std 55 Roman"/>
      <family val="2"/>
    </font>
    <font>
      <vertAlign val="superscript"/>
      <sz val="12"/>
      <name val="Avenir LT Std 55 Roman"/>
      <family val="2"/>
    </font>
    <font>
      <vertAlign val="subscript"/>
      <sz val="12"/>
      <name val="Avenir LT Std 55 Roman"/>
      <family val="2"/>
    </font>
    <font>
      <sz val="11"/>
      <name val="Avenir LT Std 55 Roman"/>
      <family val="2"/>
    </font>
    <font>
      <b/>
      <sz val="11"/>
      <color rgb="FFFF0000"/>
      <name val="Avenir LT Std 55 Roman"/>
      <family val="2"/>
    </font>
    <font>
      <u/>
      <sz val="12"/>
      <color theme="10"/>
      <name val="Avenir LT Std 55 Roman"/>
      <family val="2"/>
    </font>
    <font>
      <b/>
      <sz val="12"/>
      <color rgb="FF000000"/>
      <name val="Avenir LT Std 55 Roman"/>
      <family val="2"/>
    </font>
    <font>
      <sz val="12"/>
      <color rgb="FF000000"/>
      <name val="Avenir LT Std 55 Roman"/>
      <family val="2"/>
    </font>
    <font>
      <vertAlign val="subscript"/>
      <sz val="12"/>
      <color rgb="FF000000"/>
      <name val="Avenir LT Std 55 Roman"/>
      <family val="2"/>
    </font>
    <font>
      <b/>
      <vertAlign val="subscript"/>
      <sz val="12"/>
      <color theme="1"/>
      <name val="Avenir LT Std 55 Roman"/>
      <family val="2"/>
    </font>
    <font>
      <u/>
      <sz val="12"/>
      <color rgb="FF0563C1"/>
      <name val="Avenir LT Std 55 Roman"/>
      <family val="2"/>
    </font>
    <font>
      <sz val="12"/>
      <color rgb="FFFF0000"/>
      <name val="Avenir LT Std 55 Roman"/>
      <family val="2"/>
    </font>
    <font>
      <b/>
      <sz val="16"/>
      <color rgb="FFFF0000"/>
      <name val="Avenir LT Std 55 Roman"/>
      <family val="2"/>
    </font>
    <font>
      <sz val="11"/>
      <color rgb="FFFF0000"/>
      <name val="Avenir LT Std 55 Roman"/>
      <family val="2"/>
    </font>
    <font>
      <b/>
      <vertAlign val="subscript"/>
      <sz val="12"/>
      <color rgb="FF000000"/>
      <name val="Avenir LT Std 55 Roman"/>
      <family val="2"/>
    </font>
    <font>
      <b/>
      <sz val="14"/>
      <color theme="1"/>
      <name val="Avenir LT Std 55 Roman"/>
      <family val="2"/>
    </font>
    <font>
      <sz val="14"/>
      <color theme="1"/>
      <name val="Avenir LT Std 55 Roman"/>
      <family val="2"/>
    </font>
    <font>
      <b/>
      <sz val="14"/>
      <name val="Avenir LT Std 55 Roman"/>
      <family val="2"/>
    </font>
    <font>
      <sz val="16"/>
      <name val="Avenir LT Std 55 Roman"/>
      <family val="2"/>
    </font>
    <font>
      <u/>
      <sz val="12"/>
      <color theme="1"/>
      <name val="Avenir LT Std 55 Roman"/>
      <family val="2"/>
    </font>
    <font>
      <b/>
      <sz val="12"/>
      <color rgb="FFFF0000"/>
      <name val="Avenir LT Std 55 Roman"/>
      <family val="2"/>
    </font>
    <font>
      <u/>
      <sz val="12"/>
      <color rgb="FF0070C0"/>
      <name val="Avenir LT Std 55 Roman"/>
      <family val="2"/>
    </font>
    <font>
      <sz val="12"/>
      <color rgb="FF2D333D"/>
      <name val="Avenir LT Std 55 Roman"/>
      <family val="2"/>
    </font>
    <font>
      <sz val="12"/>
      <color rgb="FF0563C1"/>
      <name val="Avenir LT Std 55 Roman"/>
      <family val="2"/>
    </font>
    <font>
      <sz val="12"/>
      <color rgb="FFFA7D00"/>
      <name val="Avenir LT Std 55 Roman"/>
      <family val="2"/>
    </font>
    <font>
      <b/>
      <sz val="11"/>
      <name val="Avenir LT Std 55 Roman"/>
      <family val="2"/>
    </font>
    <font>
      <sz val="11"/>
      <color theme="4"/>
      <name val="Avenir LT Std 55 Roman"/>
      <family val="2"/>
    </font>
    <font>
      <sz val="11"/>
      <color rgb="FF7030A0"/>
      <name val="Avenir LT Std 55 Roman"/>
      <family val="2"/>
    </font>
    <font>
      <b/>
      <sz val="11"/>
      <color theme="1"/>
      <name val="Avenir LT Std 55 Roman"/>
      <family val="2"/>
    </font>
    <font>
      <vertAlign val="subscript"/>
      <sz val="12"/>
      <color theme="1"/>
      <name val="Avenir LT Std 55 Roman"/>
      <family val="2"/>
    </font>
    <font>
      <b/>
      <u/>
      <sz val="16"/>
      <name val="Avenir LT Std 55 Roman"/>
      <family val="2"/>
    </font>
    <font>
      <u/>
      <sz val="11"/>
      <color theme="10"/>
      <name val="Calibri"/>
      <family val="2"/>
    </font>
    <font>
      <u/>
      <sz val="10"/>
      <color theme="10"/>
      <name val="Arial"/>
      <family val="2"/>
    </font>
    <font>
      <sz val="12"/>
      <color rgb="FFC80000"/>
      <name val="Avenir LT Std 55 Roman"/>
      <family val="2"/>
    </font>
    <font>
      <i/>
      <sz val="12"/>
      <color rgb="FFFF0000"/>
      <name val="Avenir LT Std 55 Roman"/>
      <family val="2"/>
    </font>
    <font>
      <sz val="12"/>
      <color theme="1"/>
      <name val="Avenir Next LT Pro"/>
      <family val="2"/>
    </font>
    <font>
      <sz val="10"/>
      <color rgb="FFFF0000"/>
      <name val="Avenir LT Std 55 Roman"/>
      <family val="2"/>
    </font>
    <font>
      <sz val="12"/>
      <color rgb="FFC00000"/>
      <name val="Avenir Next LT Pro"/>
      <family val="2"/>
    </font>
    <font>
      <sz val="8"/>
      <name val="Arial"/>
      <family val="2"/>
    </font>
    <font>
      <sz val="12"/>
      <name val="Avenir Next LT Pro"/>
      <family val="2"/>
    </font>
    <font>
      <sz val="12"/>
      <color rgb="FF000000"/>
      <name val="Avenir Next LT Pro"/>
      <family val="2"/>
    </font>
    <font>
      <sz val="12"/>
      <color rgb="FFC80000"/>
      <name val="Avenir Next LT Pro"/>
      <family val="2"/>
    </font>
    <font>
      <b/>
      <sz val="12"/>
      <name val="Avenir Next LT Pro"/>
      <family val="2"/>
    </font>
    <font>
      <b/>
      <sz val="16"/>
      <color theme="1"/>
      <name val="Avenir Next LT Pro"/>
      <family val="2"/>
    </font>
    <font>
      <sz val="16"/>
      <color theme="1"/>
      <name val="Avenir Next LT Pro"/>
      <family val="2"/>
    </font>
    <font>
      <b/>
      <sz val="16"/>
      <name val="Avenir Next LT Pro"/>
      <family val="2"/>
    </font>
    <font>
      <sz val="12"/>
      <color theme="0"/>
      <name val="Avenir Next LT Pro"/>
      <family val="2"/>
    </font>
    <font>
      <sz val="12"/>
      <color theme="0"/>
      <name val="Avenir LT Std 55 Roman"/>
      <family val="2"/>
    </font>
    <font>
      <u/>
      <sz val="11"/>
      <color theme="10"/>
      <name val="Avenir LT Std 55 Roman"/>
      <family val="2"/>
    </font>
  </fonts>
  <fills count="7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9"/>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1"/>
        <bgColor indexed="64"/>
      </patternFill>
    </fill>
    <fill>
      <patternFill patternType="solid">
        <fgColor rgb="FF92D050"/>
        <bgColor indexed="64"/>
      </patternFill>
    </fill>
    <fill>
      <patternFill patternType="solid">
        <fgColor rgb="FFE6DEDB"/>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5" tint="0.39997558519241921"/>
        <bgColor indexed="64"/>
      </patternFill>
    </fill>
    <fill>
      <patternFill patternType="solid">
        <fgColor theme="5" tint="0.39997558519241921"/>
        <bgColor rgb="FF000000"/>
      </patternFill>
    </fill>
    <fill>
      <patternFill patternType="solid">
        <fgColor rgb="FFBFBFBF"/>
        <bgColor rgb="FF000000"/>
      </patternFill>
    </fill>
    <fill>
      <patternFill patternType="solid">
        <fgColor theme="4"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79998168889431442"/>
        <bgColor rgb="FF000000"/>
      </patternFill>
    </fill>
    <fill>
      <patternFill patternType="solid">
        <fgColor rgb="FFFFFF66"/>
        <bgColor indexed="64"/>
      </patternFill>
    </fill>
    <fill>
      <patternFill patternType="solid">
        <fgColor theme="9" tint="0.79998168889431442"/>
        <bgColor indexed="64"/>
      </patternFill>
    </fill>
    <fill>
      <patternFill patternType="solid">
        <fgColor rgb="FFFFFF0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5" tint="0.59999389629810485"/>
        <bgColor rgb="FF000000"/>
      </patternFill>
    </fill>
    <fill>
      <patternFill patternType="solid">
        <fgColor rgb="FFFFE699"/>
        <bgColor rgb="FF000000"/>
      </patternFill>
    </fill>
    <fill>
      <patternFill patternType="solid">
        <fgColor rgb="FFDBDBDB"/>
        <bgColor rgb="FF000000"/>
      </patternFill>
    </fill>
    <fill>
      <patternFill patternType="solid">
        <fgColor theme="9" tint="0.39997558519241921"/>
        <bgColor indexed="64"/>
      </patternFill>
    </fill>
    <fill>
      <patternFill patternType="solid">
        <fgColor rgb="FF27AAE1"/>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4" tint="0.79998168889431442"/>
        <bgColor theme="4" tint="0.79998168889431442"/>
      </patternFill>
    </fill>
    <fill>
      <patternFill patternType="solid">
        <fgColor theme="0"/>
        <bgColor theme="4" tint="0.79998168889431442"/>
      </patternFill>
    </fill>
    <fill>
      <patternFill patternType="solid">
        <fgColor theme="0" tint="-0.24994659260841701"/>
        <bgColor indexed="64"/>
      </patternFill>
    </fill>
    <fill>
      <patternFill patternType="solid">
        <fgColor theme="6" tint="0.59999389629810485"/>
        <bgColor indexed="64"/>
      </patternFill>
    </fill>
    <fill>
      <patternFill patternType="solid">
        <fgColor theme="2"/>
        <bgColor indexed="64"/>
      </patternFill>
    </fill>
    <fill>
      <patternFill patternType="solid">
        <fgColor theme="9" tint="0.79992065187536243"/>
        <bgColor indexed="64"/>
      </patternFill>
    </fill>
    <fill>
      <patternFill patternType="solid">
        <fgColor theme="4" tint="0.59999389629810485"/>
        <bgColor theme="1"/>
      </patternFill>
    </fill>
    <fill>
      <patternFill patternType="solid">
        <fgColor theme="2"/>
        <bgColor theme="1"/>
      </patternFill>
    </fill>
    <fill>
      <patternFill patternType="solid">
        <fgColor theme="1"/>
        <bgColor theme="1"/>
      </patternFill>
    </fill>
  </fills>
  <borders count="9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diagonal/>
    </border>
    <border>
      <left/>
      <right/>
      <top style="thin">
        <color auto="1"/>
      </top>
      <bottom style="medium">
        <color auto="1"/>
      </bottom>
      <diagonal/>
    </border>
    <border>
      <left style="medium">
        <color auto="1"/>
      </left>
      <right style="medium">
        <color auto="1"/>
      </right>
      <top/>
      <bottom style="medium">
        <color auto="1"/>
      </bottom>
      <diagonal/>
    </border>
    <border>
      <left style="thin">
        <color indexed="64"/>
      </left>
      <right/>
      <top style="medium">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right/>
      <top/>
      <bottom style="thin">
        <color indexed="64"/>
      </bottom>
      <diagonal/>
    </border>
    <border>
      <left style="medium">
        <color indexed="64"/>
      </left>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medium">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s>
  <cellStyleXfs count="165">
    <xf numFmtId="0" fontId="0" fillId="0" borderId="0"/>
    <xf numFmtId="0" fontId="22" fillId="0" borderId="0" applyNumberFormat="0" applyFill="0" applyBorder="0" applyAlignment="0" applyProtection="0"/>
    <xf numFmtId="0" fontId="23" fillId="0" borderId="1" applyNumberFormat="0" applyFill="0" applyAlignment="0" applyProtection="0"/>
    <xf numFmtId="0" fontId="24" fillId="0" borderId="2" applyNumberFormat="0" applyFill="0" applyAlignment="0" applyProtection="0"/>
    <xf numFmtId="0" fontId="25" fillId="0" borderId="3" applyNumberFormat="0" applyFill="0" applyAlignment="0" applyProtection="0"/>
    <xf numFmtId="0" fontId="25" fillId="0" borderId="0" applyNumberFormat="0" applyFill="0" applyBorder="0" applyAlignment="0" applyProtection="0"/>
    <xf numFmtId="0" fontId="26" fillId="2" borderId="0" applyNumberFormat="0" applyBorder="0" applyAlignment="0" applyProtection="0"/>
    <xf numFmtId="0" fontId="27" fillId="3" borderId="0" applyNumberFormat="0" applyBorder="0" applyAlignment="0" applyProtection="0"/>
    <xf numFmtId="0" fontId="28" fillId="4" borderId="0" applyNumberFormat="0" applyBorder="0" applyAlignment="0" applyProtection="0"/>
    <xf numFmtId="0" fontId="29" fillId="5" borderId="4" applyNumberFormat="0" applyAlignment="0" applyProtection="0"/>
    <xf numFmtId="0" fontId="30" fillId="6" borderId="5" applyNumberFormat="0" applyAlignment="0" applyProtection="0"/>
    <xf numFmtId="0" fontId="31" fillId="6" borderId="4" applyNumberFormat="0" applyAlignment="0" applyProtection="0"/>
    <xf numFmtId="0" fontId="32" fillId="0" borderId="6" applyNumberFormat="0" applyFill="0" applyAlignment="0" applyProtection="0"/>
    <xf numFmtId="0" fontId="33" fillId="7" borderId="7" applyNumberFormat="0" applyAlignment="0" applyProtection="0"/>
    <xf numFmtId="0" fontId="34" fillId="0" borderId="0" applyNumberFormat="0" applyFill="0" applyBorder="0" applyAlignment="0" applyProtection="0"/>
    <xf numFmtId="0" fontId="21" fillId="8" borderId="8" applyNumberFormat="0" applyFont="0" applyAlignment="0" applyProtection="0"/>
    <xf numFmtId="0" fontId="35" fillId="0" borderId="0" applyNumberFormat="0" applyFill="0" applyBorder="0" applyAlignment="0" applyProtection="0"/>
    <xf numFmtId="0" fontId="36" fillId="0" borderId="9" applyNumberFormat="0" applyFill="0" applyAlignment="0" applyProtection="0"/>
    <xf numFmtId="0" fontId="37" fillId="9"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37" fillId="32" borderId="0" applyNumberFormat="0" applyBorder="0" applyAlignment="0" applyProtection="0"/>
    <xf numFmtId="0" fontId="40" fillId="33" borderId="10">
      <alignment vertical="center"/>
    </xf>
    <xf numFmtId="0" fontId="20" fillId="0" borderId="0"/>
    <xf numFmtId="0" fontId="39" fillId="0" borderId="0"/>
    <xf numFmtId="9" fontId="39" fillId="0" borderId="0" applyFont="0" applyFill="0" applyBorder="0" applyAlignment="0" applyProtection="0"/>
    <xf numFmtId="44" fontId="39" fillId="0" borderId="0" applyFont="0" applyFill="0" applyBorder="0" applyAlignment="0" applyProtection="0"/>
    <xf numFmtId="0" fontId="39" fillId="0" borderId="0"/>
    <xf numFmtId="0" fontId="41" fillId="0" borderId="0"/>
    <xf numFmtId="0" fontId="38" fillId="0" borderId="11" applyNumberFormat="0" applyFill="0" applyProtection="0">
      <alignment horizontal="left"/>
    </xf>
    <xf numFmtId="0" fontId="20" fillId="0" borderId="0"/>
    <xf numFmtId="0" fontId="20" fillId="8" borderId="8" applyNumberFormat="0" applyFont="0" applyAlignment="0" applyProtection="0"/>
    <xf numFmtId="0" fontId="20" fillId="10" borderId="0" applyNumberFormat="0" applyBorder="0" applyAlignment="0" applyProtection="0"/>
    <xf numFmtId="0" fontId="20" fillId="11"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43" fontId="42" fillId="0" borderId="0" applyFont="0" applyFill="0" applyBorder="0" applyAlignment="0" applyProtection="0"/>
    <xf numFmtId="0" fontId="19" fillId="0" borderId="0"/>
    <xf numFmtId="0" fontId="18" fillId="0" borderId="0"/>
    <xf numFmtId="0" fontId="17" fillId="0" borderId="0"/>
    <xf numFmtId="43" fontId="17" fillId="0" borderId="0" applyFont="0" applyFill="0" applyBorder="0" applyAlignment="0" applyProtection="0"/>
    <xf numFmtId="0" fontId="16" fillId="0" borderId="0"/>
    <xf numFmtId="0" fontId="15" fillId="0" borderId="0"/>
    <xf numFmtId="0" fontId="62" fillId="0" borderId="0" applyNumberFormat="0" applyFill="0" applyBorder="0" applyAlignment="0" applyProtection="0"/>
    <xf numFmtId="0" fontId="39"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39" fillId="0" borderId="0"/>
    <xf numFmtId="0" fontId="14" fillId="0" borderId="0"/>
    <xf numFmtId="0" fontId="14" fillId="0" borderId="0"/>
    <xf numFmtId="0" fontId="14" fillId="8" borderId="8" applyNumberFormat="0" applyFont="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43" fontId="39"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4" fontId="39" fillId="0" borderId="0" applyFont="0" applyFill="0" applyBorder="0" applyAlignment="0" applyProtection="0"/>
    <xf numFmtId="0" fontId="13" fillId="0" borderId="0"/>
    <xf numFmtId="0" fontId="12" fillId="0" borderId="0"/>
    <xf numFmtId="0" fontId="11" fillId="0" borderId="0"/>
    <xf numFmtId="0" fontId="11" fillId="0" borderId="0"/>
    <xf numFmtId="0" fontId="10" fillId="0" borderId="0"/>
    <xf numFmtId="0" fontId="9" fillId="0" borderId="0"/>
    <xf numFmtId="44" fontId="43" fillId="0" borderId="0" applyFont="0" applyFill="0" applyBorder="0" applyAlignment="0" applyProtection="0"/>
    <xf numFmtId="0" fontId="8" fillId="0" borderId="0"/>
    <xf numFmtId="0" fontId="45" fillId="0" borderId="0" applyNumberFormat="0" applyFill="0" applyBorder="0" applyAlignment="0" applyProtection="0"/>
    <xf numFmtId="0" fontId="39" fillId="0" borderId="0"/>
    <xf numFmtId="0" fontId="8" fillId="0" borderId="0"/>
    <xf numFmtId="0" fontId="44" fillId="0" borderId="0" applyNumberFormat="0" applyFill="0" applyBorder="0" applyAlignment="0" applyProtection="0"/>
    <xf numFmtId="44" fontId="8" fillId="0" borderId="0" applyFont="0" applyFill="0" applyBorder="0" applyAlignment="0" applyProtection="0"/>
    <xf numFmtId="0" fontId="7" fillId="0" borderId="0"/>
    <xf numFmtId="0" fontId="7" fillId="0" borderId="0"/>
    <xf numFmtId="0" fontId="6" fillId="0" borderId="0"/>
    <xf numFmtId="0" fontId="5" fillId="0" borderId="0"/>
    <xf numFmtId="0" fontId="5" fillId="10" borderId="0" applyNumberFormat="0" applyBorder="0" applyAlignment="0" applyProtection="0"/>
    <xf numFmtId="0" fontId="4" fillId="0" borderId="0"/>
    <xf numFmtId="0" fontId="4" fillId="0" borderId="0"/>
    <xf numFmtId="44" fontId="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88" fillId="0" borderId="0" applyNumberFormat="0" applyFill="0" applyBorder="0" applyAlignment="0" applyProtection="0">
      <alignment vertical="top"/>
      <protection locked="0"/>
    </xf>
    <xf numFmtId="0" fontId="3" fillId="0" borderId="0"/>
    <xf numFmtId="0" fontId="44" fillId="0" borderId="0" applyNumberFormat="0" applyFill="0" applyBorder="0" applyAlignment="0" applyProtection="0"/>
    <xf numFmtId="0" fontId="45" fillId="0" borderId="0" applyNumberFormat="0" applyFill="0" applyBorder="0" applyAlignment="0" applyProtection="0"/>
    <xf numFmtId="0" fontId="88" fillId="0" borderId="0" applyNumberFormat="0" applyFill="0" applyBorder="0" applyAlignment="0" applyProtection="0">
      <alignment vertical="top"/>
      <protection locked="0"/>
    </xf>
    <xf numFmtId="0" fontId="3" fillId="0" borderId="0"/>
    <xf numFmtId="0" fontId="3" fillId="0" borderId="0"/>
    <xf numFmtId="0" fontId="89" fillId="0" borderId="0" applyNumberFormat="0" applyFill="0" applyBorder="0" applyAlignment="0" applyProtection="0"/>
    <xf numFmtId="43" fontId="3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62" fillId="0" borderId="0" applyNumberFormat="0" applyFill="0" applyBorder="0" applyAlignment="0" applyProtection="0"/>
    <xf numFmtId="44" fontId="2" fillId="0" borderId="0" applyFont="0" applyFill="0" applyBorder="0" applyAlignment="0" applyProtection="0"/>
    <xf numFmtId="0" fontId="1" fillId="0" borderId="0"/>
    <xf numFmtId="44" fontId="1" fillId="0" borderId="0" applyFont="0" applyFill="0" applyBorder="0" applyAlignment="0" applyProtection="0"/>
  </cellStyleXfs>
  <cellXfs count="1658">
    <xf numFmtId="0" fontId="0" fillId="0" borderId="0" xfId="0"/>
    <xf numFmtId="0" fontId="46" fillId="0" borderId="12" xfId="0" applyFont="1" applyBorder="1" applyAlignment="1">
      <alignment horizontal="center" vertical="center" wrapText="1"/>
    </xf>
    <xf numFmtId="0" fontId="47" fillId="0" borderId="0" xfId="72" applyFont="1" applyAlignment="1">
      <alignment vertical="center"/>
    </xf>
    <xf numFmtId="0" fontId="48" fillId="0" borderId="0" xfId="72" applyFont="1"/>
    <xf numFmtId="0" fontId="49" fillId="0" borderId="0" xfId="72" applyFont="1" applyAlignment="1">
      <alignment horizontal="center"/>
    </xf>
    <xf numFmtId="0" fontId="50" fillId="0" borderId="0" xfId="125" applyFont="1" applyAlignment="1">
      <alignment vertical="center"/>
    </xf>
    <xf numFmtId="0" fontId="49" fillId="0" borderId="0" xfId="72" applyFont="1"/>
    <xf numFmtId="0" fontId="51" fillId="0" borderId="0" xfId="72" applyFont="1"/>
    <xf numFmtId="0" fontId="52" fillId="0" borderId="0" xfId="126" applyFont="1"/>
    <xf numFmtId="0" fontId="53" fillId="0" borderId="0" xfId="126" applyFont="1"/>
    <xf numFmtId="0" fontId="54" fillId="0" borderId="0" xfId="126" applyFont="1"/>
    <xf numFmtId="0" fontId="48" fillId="0" borderId="0" xfId="126" applyFont="1"/>
    <xf numFmtId="0" fontId="54" fillId="0" borderId="0" xfId="126" applyFont="1" applyAlignment="1">
      <alignment horizontal="center"/>
    </xf>
    <xf numFmtId="2" fontId="54" fillId="0" borderId="0" xfId="126" applyNumberFormat="1" applyFont="1" applyAlignment="1">
      <alignment horizontal="center"/>
    </xf>
    <xf numFmtId="0" fontId="48" fillId="0" borderId="51" xfId="126" applyFont="1" applyBorder="1"/>
    <xf numFmtId="0" fontId="54" fillId="55" borderId="13" xfId="126" applyFont="1" applyFill="1" applyBorder="1" applyAlignment="1">
      <alignment horizontal="center"/>
    </xf>
    <xf numFmtId="2" fontId="54" fillId="55" borderId="11" xfId="126" applyNumberFormat="1" applyFont="1" applyFill="1" applyBorder="1" applyAlignment="1">
      <alignment horizontal="center"/>
    </xf>
    <xf numFmtId="0" fontId="54" fillId="55" borderId="23" xfId="126" applyFont="1" applyFill="1" applyBorder="1" applyAlignment="1">
      <alignment horizontal="center"/>
    </xf>
    <xf numFmtId="0" fontId="54" fillId="62" borderId="13" xfId="126" applyFont="1" applyFill="1" applyBorder="1" applyAlignment="1">
      <alignment horizontal="center"/>
    </xf>
    <xf numFmtId="2" fontId="54" fillId="62" borderId="23" xfId="126" applyNumberFormat="1" applyFont="1" applyFill="1" applyBorder="1" applyAlignment="1">
      <alignment horizontal="center"/>
    </xf>
    <xf numFmtId="0" fontId="54" fillId="56" borderId="23" xfId="126" applyFont="1" applyFill="1" applyBorder="1" applyAlignment="1">
      <alignment horizontal="center" wrapText="1"/>
    </xf>
    <xf numFmtId="0" fontId="54" fillId="0" borderId="23" xfId="126" applyFont="1" applyBorder="1" applyAlignment="1">
      <alignment horizontal="center"/>
    </xf>
    <xf numFmtId="170" fontId="54" fillId="0" borderId="0" xfId="126" applyNumberFormat="1" applyFont="1" applyAlignment="1">
      <alignment horizontal="center"/>
    </xf>
    <xf numFmtId="0" fontId="48" fillId="0" borderId="0" xfId="126" quotePrefix="1" applyFont="1"/>
    <xf numFmtId="0" fontId="54" fillId="0" borderId="25" xfId="126" applyFont="1" applyBorder="1" applyAlignment="1">
      <alignment horizontal="center"/>
    </xf>
    <xf numFmtId="0" fontId="48" fillId="0" borderId="52" xfId="126" applyFont="1" applyBorder="1"/>
    <xf numFmtId="170" fontId="54" fillId="55" borderId="54" xfId="126" applyNumberFormat="1" applyFont="1" applyFill="1" applyBorder="1" applyAlignment="1">
      <alignment horizontal="center"/>
    </xf>
    <xf numFmtId="2" fontId="54" fillId="55" borderId="37" xfId="126" applyNumberFormat="1" applyFont="1" applyFill="1" applyBorder="1" applyAlignment="1">
      <alignment horizontal="center"/>
    </xf>
    <xf numFmtId="0" fontId="54" fillId="55" borderId="25" xfId="126" applyFont="1" applyFill="1" applyBorder="1" applyAlignment="1">
      <alignment horizontal="center"/>
    </xf>
    <xf numFmtId="0" fontId="54" fillId="62" borderId="54" xfId="126" applyFont="1" applyFill="1" applyBorder="1" applyAlignment="1">
      <alignment horizontal="center"/>
    </xf>
    <xf numFmtId="2" fontId="54" fillId="62" borderId="25" xfId="126" applyNumberFormat="1" applyFont="1" applyFill="1" applyBorder="1" applyAlignment="1">
      <alignment horizontal="center"/>
    </xf>
    <xf numFmtId="0" fontId="58" fillId="0" borderId="0" xfId="126" applyFont="1" applyAlignment="1">
      <alignment vertical="top" wrapText="1"/>
    </xf>
    <xf numFmtId="0" fontId="58" fillId="0" borderId="0" xfId="126" applyFont="1" applyAlignment="1">
      <alignment horizontal="left" vertical="top" wrapText="1"/>
    </xf>
    <xf numFmtId="0" fontId="60" fillId="0" borderId="0" xfId="126" applyFont="1"/>
    <xf numFmtId="0" fontId="61" fillId="0" borderId="0" xfId="126" applyFont="1"/>
    <xf numFmtId="0" fontId="54" fillId="0" borderId="45" xfId="126" applyFont="1" applyBorder="1"/>
    <xf numFmtId="0" fontId="54" fillId="0" borderId="38" xfId="126" applyFont="1" applyBorder="1"/>
    <xf numFmtId="0" fontId="62" fillId="0" borderId="45" xfId="71" applyFill="1" applyBorder="1"/>
    <xf numFmtId="0" fontId="62" fillId="0" borderId="46" xfId="71" applyBorder="1"/>
    <xf numFmtId="0" fontId="54" fillId="0" borderId="47" xfId="126" applyFont="1" applyBorder="1"/>
    <xf numFmtId="0" fontId="54" fillId="0" borderId="48" xfId="126" applyFont="1" applyBorder="1"/>
    <xf numFmtId="0" fontId="55" fillId="63" borderId="46" xfId="72" applyFont="1" applyFill="1" applyBorder="1" applyAlignment="1">
      <alignment horizontal="center"/>
    </xf>
    <xf numFmtId="0" fontId="55" fillId="63" borderId="55" xfId="72" applyFont="1" applyFill="1" applyBorder="1" applyAlignment="1">
      <alignment horizontal="center"/>
    </xf>
    <xf numFmtId="0" fontId="55" fillId="64" borderId="57" xfId="72" applyFont="1" applyFill="1" applyBorder="1" applyAlignment="1">
      <alignment horizontal="center"/>
    </xf>
    <xf numFmtId="0" fontId="48" fillId="0" borderId="29" xfId="126" applyFont="1" applyBorder="1" applyAlignment="1">
      <alignment horizontal="right"/>
    </xf>
    <xf numFmtId="172" fontId="48" fillId="55" borderId="42" xfId="126" applyNumberFormat="1" applyFont="1" applyFill="1" applyBorder="1" applyAlignment="1">
      <alignment horizontal="right"/>
    </xf>
    <xf numFmtId="0" fontId="48" fillId="55" borderId="43" xfId="126" applyFont="1" applyFill="1" applyBorder="1" applyAlignment="1">
      <alignment horizontal="right"/>
    </xf>
    <xf numFmtId="0" fontId="48" fillId="62" borderId="44" xfId="126" applyFont="1" applyFill="1" applyBorder="1" applyAlignment="1">
      <alignment horizontal="right"/>
    </xf>
    <xf numFmtId="170" fontId="48" fillId="62" borderId="44" xfId="126" applyNumberFormat="1" applyFont="1" applyFill="1" applyBorder="1" applyAlignment="1">
      <alignment horizontal="right"/>
    </xf>
    <xf numFmtId="172" fontId="48" fillId="55" borderId="82" xfId="126" applyNumberFormat="1" applyFont="1" applyFill="1" applyBorder="1" applyAlignment="1">
      <alignment horizontal="right"/>
    </xf>
    <xf numFmtId="170" fontId="48" fillId="62" borderId="75" xfId="126" applyNumberFormat="1" applyFont="1" applyFill="1" applyBorder="1" applyAlignment="1">
      <alignment horizontal="right"/>
    </xf>
    <xf numFmtId="0" fontId="48" fillId="0" borderId="28" xfId="126" applyFont="1" applyBorder="1" applyAlignment="1">
      <alignment horizontal="right"/>
    </xf>
    <xf numFmtId="172" fontId="48" fillId="55" borderId="22" xfId="126" applyNumberFormat="1" applyFont="1" applyFill="1" applyBorder="1" applyAlignment="1">
      <alignment horizontal="right"/>
    </xf>
    <xf numFmtId="0" fontId="48" fillId="55" borderId="11" xfId="126" applyFont="1" applyFill="1" applyBorder="1" applyAlignment="1">
      <alignment horizontal="right"/>
    </xf>
    <xf numFmtId="0" fontId="48" fillId="62" borderId="23" xfId="126" applyFont="1" applyFill="1" applyBorder="1" applyAlignment="1">
      <alignment horizontal="right"/>
    </xf>
    <xf numFmtId="170" fontId="48" fillId="62" borderId="23" xfId="126" applyNumberFormat="1" applyFont="1" applyFill="1" applyBorder="1" applyAlignment="1">
      <alignment horizontal="right"/>
    </xf>
    <xf numFmtId="172" fontId="48" fillId="55" borderId="13" xfId="126" applyNumberFormat="1" applyFont="1" applyFill="1" applyBorder="1" applyAlignment="1">
      <alignment horizontal="right"/>
    </xf>
    <xf numFmtId="170" fontId="48" fillId="62" borderId="14" xfId="126" applyNumberFormat="1" applyFont="1" applyFill="1" applyBorder="1" applyAlignment="1">
      <alignment horizontal="right"/>
    </xf>
    <xf numFmtId="172" fontId="48" fillId="55" borderId="11" xfId="126" applyNumberFormat="1" applyFont="1" applyFill="1" applyBorder="1" applyAlignment="1">
      <alignment horizontal="right"/>
    </xf>
    <xf numFmtId="2" fontId="48" fillId="62" borderId="14" xfId="126" applyNumberFormat="1" applyFont="1" applyFill="1" applyBorder="1" applyAlignment="1">
      <alignment horizontal="right"/>
    </xf>
    <xf numFmtId="2" fontId="48" fillId="62" borderId="23" xfId="126" applyNumberFormat="1" applyFont="1" applyFill="1" applyBorder="1" applyAlignment="1">
      <alignment horizontal="right"/>
    </xf>
    <xf numFmtId="0" fontId="48" fillId="55" borderId="22" xfId="126" applyFont="1" applyFill="1" applyBorder="1" applyAlignment="1">
      <alignment horizontal="right"/>
    </xf>
    <xf numFmtId="0" fontId="48" fillId="55" borderId="13" xfId="126" applyFont="1" applyFill="1" applyBorder="1" applyAlignment="1">
      <alignment horizontal="right"/>
    </xf>
    <xf numFmtId="0" fontId="48" fillId="62" borderId="14" xfId="126" applyFont="1" applyFill="1" applyBorder="1" applyAlignment="1">
      <alignment horizontal="right"/>
    </xf>
    <xf numFmtId="0" fontId="48" fillId="0" borderId="85" xfId="126" applyFont="1" applyBorder="1" applyAlignment="1">
      <alignment horizontal="right"/>
    </xf>
    <xf numFmtId="0" fontId="48" fillId="0" borderId="31" xfId="126" applyFont="1" applyBorder="1" applyAlignment="1">
      <alignment horizontal="right"/>
    </xf>
    <xf numFmtId="172" fontId="48" fillId="55" borderId="24" xfId="126" applyNumberFormat="1" applyFont="1" applyFill="1" applyBorder="1" applyAlignment="1">
      <alignment horizontal="right"/>
    </xf>
    <xf numFmtId="172" fontId="48" fillId="55" borderId="37" xfId="126" applyNumberFormat="1" applyFont="1" applyFill="1" applyBorder="1" applyAlignment="1">
      <alignment horizontal="right"/>
    </xf>
    <xf numFmtId="0" fontId="48" fillId="62" borderId="25" xfId="126" applyFont="1" applyFill="1" applyBorder="1" applyAlignment="1">
      <alignment horizontal="right"/>
    </xf>
    <xf numFmtId="0" fontId="48" fillId="55" borderId="54" xfId="126" applyFont="1" applyFill="1" applyBorder="1" applyAlignment="1">
      <alignment horizontal="right"/>
    </xf>
    <xf numFmtId="0" fontId="48" fillId="55" borderId="37" xfId="126" applyFont="1" applyFill="1" applyBorder="1" applyAlignment="1">
      <alignment horizontal="right"/>
    </xf>
    <xf numFmtId="0" fontId="48" fillId="62" borderId="26" xfId="126" applyFont="1" applyFill="1" applyBorder="1" applyAlignment="1">
      <alignment horizontal="right"/>
    </xf>
    <xf numFmtId="0" fontId="48" fillId="55" borderId="24" xfId="126" applyFont="1" applyFill="1" applyBorder="1" applyAlignment="1">
      <alignment horizontal="right"/>
    </xf>
    <xf numFmtId="0" fontId="48" fillId="0" borderId="0" xfId="126" applyFont="1" applyAlignment="1">
      <alignment horizontal="right"/>
    </xf>
    <xf numFmtId="172" fontId="48" fillId="0" borderId="0" xfId="126" applyNumberFormat="1" applyFont="1" applyAlignment="1">
      <alignment horizontal="right"/>
    </xf>
    <xf numFmtId="0" fontId="54" fillId="56" borderId="22" xfId="126" applyFont="1" applyFill="1" applyBorder="1" applyAlignment="1">
      <alignment horizontal="left" vertical="center"/>
    </xf>
    <xf numFmtId="0" fontId="54" fillId="0" borderId="22" xfId="126" applyFont="1" applyBorder="1"/>
    <xf numFmtId="0" fontId="54" fillId="0" borderId="24" xfId="126" applyFont="1" applyBorder="1"/>
    <xf numFmtId="0" fontId="54" fillId="0" borderId="24" xfId="126" applyFont="1" applyBorder="1" applyAlignment="1">
      <alignment horizontal="left" wrapText="1"/>
    </xf>
    <xf numFmtId="0" fontId="62" fillId="0" borderId="45" xfId="71" applyBorder="1"/>
    <xf numFmtId="0" fontId="62" fillId="0" borderId="47" xfId="71" applyFill="1" applyBorder="1"/>
    <xf numFmtId="0" fontId="64" fillId="0" borderId="0" xfId="72" applyFont="1"/>
    <xf numFmtId="0" fontId="64" fillId="0" borderId="65" xfId="72" applyFont="1" applyBorder="1"/>
    <xf numFmtId="0" fontId="64" fillId="0" borderId="65" xfId="72" applyFont="1" applyBorder="1" applyAlignment="1">
      <alignment horizontal="center"/>
    </xf>
    <xf numFmtId="0" fontId="64" fillId="0" borderId="29" xfId="72" applyFont="1" applyBorder="1" applyAlignment="1">
      <alignment horizontal="center"/>
    </xf>
    <xf numFmtId="0" fontId="64" fillId="0" borderId="28" xfId="72" applyFont="1" applyBorder="1" applyAlignment="1">
      <alignment horizontal="center"/>
    </xf>
    <xf numFmtId="0" fontId="64" fillId="0" borderId="31" xfId="72" applyFont="1" applyBorder="1" applyAlignment="1">
      <alignment horizontal="center"/>
    </xf>
    <xf numFmtId="0" fontId="64" fillId="0" borderId="39" xfId="72" applyFont="1" applyBorder="1" applyAlignment="1">
      <alignment horizontal="center"/>
    </xf>
    <xf numFmtId="0" fontId="64" fillId="0" borderId="15" xfId="72" applyFont="1" applyBorder="1" applyAlignment="1">
      <alignment horizontal="center"/>
    </xf>
    <xf numFmtId="0" fontId="64" fillId="0" borderId="73" xfId="72" applyFont="1" applyBorder="1" applyAlignment="1">
      <alignment horizontal="center"/>
    </xf>
    <xf numFmtId="0" fontId="64" fillId="0" borderId="65" xfId="72" applyFont="1" applyBorder="1" applyAlignment="1">
      <alignment horizontal="center" vertical="center"/>
    </xf>
    <xf numFmtId="0" fontId="48" fillId="0" borderId="11" xfId="72" applyFont="1" applyBorder="1"/>
    <xf numFmtId="0" fontId="52" fillId="0" borderId="0" xfId="72" applyFont="1"/>
    <xf numFmtId="0" fontId="63" fillId="53" borderId="58" xfId="72" applyFont="1" applyFill="1" applyBorder="1"/>
    <xf numFmtId="0" fontId="64" fillId="53" borderId="35" xfId="72" applyFont="1" applyFill="1" applyBorder="1"/>
    <xf numFmtId="0" fontId="64" fillId="53" borderId="59" xfId="72" applyFont="1" applyFill="1" applyBorder="1"/>
    <xf numFmtId="0" fontId="64" fillId="0" borderId="45" xfId="72" applyFont="1" applyBorder="1"/>
    <xf numFmtId="0" fontId="64" fillId="0" borderId="38" xfId="72" applyFont="1" applyBorder="1"/>
    <xf numFmtId="0" fontId="67" fillId="0" borderId="0" xfId="123" applyFont="1" applyFill="1" applyBorder="1"/>
    <xf numFmtId="0" fontId="64" fillId="0" borderId="46" xfId="72" applyFont="1" applyBorder="1"/>
    <xf numFmtId="0" fontId="64" fillId="0" borderId="47" xfId="72" applyFont="1" applyBorder="1"/>
    <xf numFmtId="0" fontId="64" fillId="0" borderId="48" xfId="72" applyFont="1" applyBorder="1"/>
    <xf numFmtId="0" fontId="55" fillId="47" borderId="11" xfId="0" applyFont="1" applyFill="1" applyBorder="1" applyAlignment="1">
      <alignment horizontal="center" wrapText="1"/>
    </xf>
    <xf numFmtId="0" fontId="63" fillId="37" borderId="11" xfId="0" applyFont="1" applyFill="1" applyBorder="1" applyAlignment="1">
      <alignment horizontal="center" wrapText="1"/>
    </xf>
    <xf numFmtId="0" fontId="52" fillId="41" borderId="11" xfId="70" applyFont="1" applyFill="1" applyBorder="1" applyAlignment="1">
      <alignment horizontal="center"/>
    </xf>
    <xf numFmtId="0" fontId="52" fillId="41" borderId="0" xfId="70" applyFont="1" applyFill="1" applyAlignment="1">
      <alignment horizontal="center"/>
    </xf>
    <xf numFmtId="0" fontId="55" fillId="40" borderId="11" xfId="0" applyFont="1" applyFill="1" applyBorder="1" applyAlignment="1">
      <alignment horizontal="center"/>
    </xf>
    <xf numFmtId="0" fontId="55" fillId="40" borderId="11" xfId="0" applyFont="1" applyFill="1" applyBorder="1" applyAlignment="1">
      <alignment horizontal="center" wrapText="1"/>
    </xf>
    <xf numFmtId="0" fontId="55" fillId="40" borderId="11" xfId="0" applyFont="1" applyFill="1" applyBorder="1"/>
    <xf numFmtId="0" fontId="48" fillId="0" borderId="0" xfId="0" applyFont="1" applyAlignment="1">
      <alignment horizontal="center"/>
    </xf>
    <xf numFmtId="0" fontId="48" fillId="0" borderId="11" xfId="0" applyFont="1" applyBorder="1"/>
    <xf numFmtId="0" fontId="48" fillId="0" borderId="15" xfId="0" applyFont="1" applyBorder="1"/>
    <xf numFmtId="0" fontId="54" fillId="0" borderId="11" xfId="70" applyFont="1" applyBorder="1"/>
    <xf numFmtId="0" fontId="48" fillId="0" borderId="13" xfId="0" applyFont="1" applyBorder="1"/>
    <xf numFmtId="0" fontId="64" fillId="0" borderId="14" xfId="0" applyFont="1" applyBorder="1" applyAlignment="1">
      <alignment vertical="center" wrapText="1"/>
    </xf>
    <xf numFmtId="0" fontId="48" fillId="0" borderId="11" xfId="0" applyFont="1" applyBorder="1" applyAlignment="1">
      <alignment vertical="center" wrapText="1"/>
    </xf>
    <xf numFmtId="165" fontId="48" fillId="0" borderId="11" xfId="0" applyNumberFormat="1" applyFont="1" applyBorder="1"/>
    <xf numFmtId="0" fontId="48" fillId="0" borderId="0" xfId="0" applyFont="1"/>
    <xf numFmtId="0" fontId="48" fillId="0" borderId="27" xfId="0" applyFont="1" applyBorder="1"/>
    <xf numFmtId="165" fontId="48" fillId="0" borderId="0" xfId="0" applyNumberFormat="1" applyFont="1"/>
    <xf numFmtId="0" fontId="48" fillId="0" borderId="0" xfId="0" applyFont="1" applyAlignment="1">
      <alignment horizontal="center" vertical="top"/>
    </xf>
    <xf numFmtId="1" fontId="48" fillId="0" borderId="0" xfId="0" applyNumberFormat="1" applyFont="1"/>
    <xf numFmtId="166" fontId="48" fillId="0" borderId="0" xfId="64" applyNumberFormat="1" applyFont="1" applyBorder="1"/>
    <xf numFmtId="0" fontId="55" fillId="0" borderId="0" xfId="0" applyFont="1" applyAlignment="1">
      <alignment vertical="center"/>
    </xf>
    <xf numFmtId="0" fontId="55" fillId="39" borderId="11" xfId="0" applyFont="1" applyFill="1" applyBorder="1" applyAlignment="1">
      <alignment vertical="top"/>
    </xf>
    <xf numFmtId="0" fontId="63" fillId="39" borderId="11" xfId="0" applyFont="1" applyFill="1" applyBorder="1" applyAlignment="1">
      <alignment horizontal="left" vertical="top" wrapText="1"/>
    </xf>
    <xf numFmtId="0" fontId="64" fillId="36" borderId="11" xfId="0" applyFont="1" applyFill="1" applyBorder="1" applyAlignment="1">
      <alignment vertical="center" wrapText="1"/>
    </xf>
    <xf numFmtId="3" fontId="48" fillId="36" borderId="11" xfId="0" applyNumberFormat="1" applyFont="1" applyFill="1" applyBorder="1" applyAlignment="1">
      <alignment vertical="center"/>
    </xf>
    <xf numFmtId="3" fontId="68" fillId="46" borderId="11" xfId="0" applyNumberFormat="1" applyFont="1" applyFill="1" applyBorder="1" applyAlignment="1">
      <alignment vertical="center"/>
    </xf>
    <xf numFmtId="3" fontId="48" fillId="46" borderId="11" xfId="0" applyNumberFormat="1" applyFont="1" applyFill="1" applyBorder="1" applyAlignment="1">
      <alignment vertical="center"/>
    </xf>
    <xf numFmtId="0" fontId="54" fillId="0" borderId="0" xfId="70" applyFont="1"/>
    <xf numFmtId="3" fontId="48" fillId="36" borderId="11" xfId="0" applyNumberFormat="1" applyFont="1" applyFill="1" applyBorder="1" applyAlignment="1">
      <alignment horizontal="right" vertical="center"/>
    </xf>
    <xf numFmtId="16" fontId="54" fillId="0" borderId="0" xfId="70" quotePrefix="1" applyNumberFormat="1" applyFont="1" applyAlignment="1">
      <alignment horizontal="right"/>
    </xf>
    <xf numFmtId="3" fontId="68" fillId="46" borderId="11" xfId="0" applyNumberFormat="1" applyFont="1" applyFill="1" applyBorder="1" applyAlignment="1">
      <alignment horizontal="right" vertical="center"/>
    </xf>
    <xf numFmtId="0" fontId="55" fillId="38" borderId="11" xfId="0" applyFont="1" applyFill="1" applyBorder="1"/>
    <xf numFmtId="0" fontId="54" fillId="0" borderId="11" xfId="0" applyFont="1" applyBorder="1"/>
    <xf numFmtId="43" fontId="48" fillId="0" borderId="11" xfId="64" applyFont="1" applyBorder="1"/>
    <xf numFmtId="43" fontId="48" fillId="0" borderId="0" xfId="0" applyNumberFormat="1" applyFont="1"/>
    <xf numFmtId="0" fontId="52" fillId="0" borderId="0" xfId="70" applyFont="1" applyAlignment="1">
      <alignment horizontal="right"/>
    </xf>
    <xf numFmtId="0" fontId="55" fillId="48" borderId="11" xfId="0" applyFont="1" applyFill="1" applyBorder="1"/>
    <xf numFmtId="0" fontId="48" fillId="46" borderId="11" xfId="0" applyFont="1" applyFill="1" applyBorder="1"/>
    <xf numFmtId="0" fontId="48" fillId="0" borderId="14" xfId="0" applyFont="1" applyBorder="1"/>
    <xf numFmtId="0" fontId="53" fillId="0" borderId="0" xfId="73" applyFont="1"/>
    <xf numFmtId="0" fontId="55" fillId="40" borderId="16" xfId="0" applyFont="1" applyFill="1" applyBorder="1" applyAlignment="1">
      <alignment horizontal="center" vertical="center" wrapText="1"/>
    </xf>
    <xf numFmtId="0" fontId="63" fillId="40" borderId="17" xfId="0" applyFont="1" applyFill="1" applyBorder="1" applyAlignment="1">
      <alignment horizontal="center" vertical="center" wrapText="1"/>
    </xf>
    <xf numFmtId="0" fontId="63" fillId="0" borderId="0" xfId="0" applyFont="1" applyAlignment="1">
      <alignment horizontal="center" vertical="center" wrapText="1"/>
    </xf>
    <xf numFmtId="0" fontId="55" fillId="0" borderId="0" xfId="0" applyFont="1" applyAlignment="1">
      <alignment horizontal="center" vertical="center" wrapText="1"/>
    </xf>
    <xf numFmtId="0" fontId="64" fillId="50" borderId="18" xfId="0" applyFont="1" applyFill="1" applyBorder="1" applyAlignment="1">
      <alignment vertical="center" wrapText="1"/>
    </xf>
    <xf numFmtId="7" fontId="48" fillId="50" borderId="19" xfId="104" applyNumberFormat="1" applyFont="1" applyFill="1" applyBorder="1"/>
    <xf numFmtId="43" fontId="48" fillId="0" borderId="0" xfId="104" applyFont="1" applyFill="1" applyBorder="1"/>
    <xf numFmtId="2" fontId="48" fillId="0" borderId="0" xfId="0" applyNumberFormat="1" applyFont="1" applyAlignment="1">
      <alignment vertical="center" wrapText="1"/>
    </xf>
    <xf numFmtId="2" fontId="48" fillId="0" borderId="0" xfId="0" applyNumberFormat="1" applyFont="1"/>
    <xf numFmtId="43" fontId="68" fillId="0" borderId="0" xfId="104" applyFont="1" applyFill="1" applyBorder="1"/>
    <xf numFmtId="0" fontId="64" fillId="50" borderId="22" xfId="0" applyFont="1" applyFill="1" applyBorder="1" applyAlignment="1">
      <alignment vertical="center" wrapText="1"/>
    </xf>
    <xf numFmtId="7" fontId="48" fillId="50" borderId="23" xfId="104" applyNumberFormat="1" applyFont="1" applyFill="1" applyBorder="1"/>
    <xf numFmtId="0" fontId="64" fillId="50" borderId="24" xfId="0" applyFont="1" applyFill="1" applyBorder="1" applyAlignment="1">
      <alignment vertical="center" wrapText="1"/>
    </xf>
    <xf numFmtId="7" fontId="48" fillId="50" borderId="25" xfId="104" applyNumberFormat="1" applyFont="1" applyFill="1" applyBorder="1"/>
    <xf numFmtId="0" fontId="48" fillId="0" borderId="0" xfId="0" applyFont="1" applyAlignment="1">
      <alignment horizontal="left" vertical="top"/>
    </xf>
    <xf numFmtId="0" fontId="48" fillId="0" borderId="0" xfId="0" applyFont="1" applyAlignment="1">
      <alignment horizontal="left" vertical="top" wrapText="1"/>
    </xf>
    <xf numFmtId="0" fontId="48" fillId="0" borderId="45" xfId="0" applyFont="1" applyBorder="1" applyAlignment="1">
      <alignment vertical="top"/>
    </xf>
    <xf numFmtId="0" fontId="48" fillId="0" borderId="0" xfId="0" applyFont="1" applyAlignment="1">
      <alignment vertical="top"/>
    </xf>
    <xf numFmtId="0" fontId="48" fillId="0" borderId="38" xfId="0" applyFont="1" applyBorder="1" applyAlignment="1">
      <alignment vertical="top"/>
    </xf>
    <xf numFmtId="0" fontId="48" fillId="0" borderId="47" xfId="0" applyFont="1" applyBorder="1" applyAlignment="1">
      <alignment vertical="top"/>
    </xf>
    <xf numFmtId="0" fontId="48" fillId="0" borderId="48" xfId="0" applyFont="1" applyBorder="1" applyAlignment="1">
      <alignment vertical="top"/>
    </xf>
    <xf numFmtId="0" fontId="55" fillId="40" borderId="64" xfId="0" applyFont="1" applyFill="1" applyBorder="1" applyAlignment="1">
      <alignment horizontal="center" vertical="center" wrapText="1"/>
    </xf>
    <xf numFmtId="0" fontId="55" fillId="40" borderId="65" xfId="0" applyFont="1" applyFill="1" applyBorder="1" applyAlignment="1">
      <alignment horizontal="center" vertical="center" wrapText="1"/>
    </xf>
    <xf numFmtId="0" fontId="64" fillId="50" borderId="65" xfId="0" applyFont="1" applyFill="1" applyBorder="1" applyAlignment="1">
      <alignment vertical="center" wrapText="1"/>
    </xf>
    <xf numFmtId="174" fontId="64" fillId="50" borderId="74" xfId="0" applyNumberFormat="1" applyFont="1" applyFill="1" applyBorder="1" applyAlignment="1">
      <alignment vertical="center" wrapText="1"/>
    </xf>
    <xf numFmtId="0" fontId="47" fillId="0" borderId="0" xfId="0" applyFont="1" applyAlignment="1">
      <alignment vertical="center"/>
    </xf>
    <xf numFmtId="0" fontId="49" fillId="0" borderId="0" xfId="0" applyFont="1" applyAlignment="1">
      <alignment horizontal="center"/>
    </xf>
    <xf numFmtId="0" fontId="50" fillId="0" borderId="0" xfId="112" applyFont="1" applyAlignment="1">
      <alignment vertical="center"/>
    </xf>
    <xf numFmtId="0" fontId="47" fillId="0" borderId="0" xfId="0" applyFont="1" applyAlignment="1">
      <alignment horizontal="center" vertical="center"/>
    </xf>
    <xf numFmtId="0" fontId="69" fillId="0" borderId="0" xfId="0" applyFont="1" applyAlignment="1">
      <alignment horizontal="left" vertical="center"/>
    </xf>
    <xf numFmtId="0" fontId="63" fillId="0" borderId="0" xfId="72" applyFont="1"/>
    <xf numFmtId="0" fontId="48" fillId="0" borderId="45" xfId="119" applyFont="1" applyBorder="1"/>
    <xf numFmtId="0" fontId="54" fillId="0" borderId="0" xfId="119" applyFont="1"/>
    <xf numFmtId="0" fontId="54" fillId="0" borderId="38" xfId="119" applyFont="1" applyBorder="1"/>
    <xf numFmtId="0" fontId="54" fillId="0" borderId="45" xfId="119" applyFont="1" applyBorder="1"/>
    <xf numFmtId="0" fontId="54" fillId="0" borderId="0" xfId="119" applyFont="1" applyAlignment="1">
      <alignment wrapText="1"/>
    </xf>
    <xf numFmtId="0" fontId="64" fillId="0" borderId="45" xfId="72" applyFont="1" applyBorder="1" applyAlignment="1">
      <alignment vertical="top"/>
    </xf>
    <xf numFmtId="0" fontId="64" fillId="0" borderId="0" xfId="72" applyFont="1" applyAlignment="1">
      <alignment vertical="top" wrapText="1"/>
    </xf>
    <xf numFmtId="0" fontId="64" fillId="0" borderId="38" xfId="72" applyFont="1" applyBorder="1" applyAlignment="1">
      <alignment vertical="top" wrapText="1"/>
    </xf>
    <xf numFmtId="0" fontId="62" fillId="0" borderId="46" xfId="71" applyFill="1" applyBorder="1"/>
    <xf numFmtId="0" fontId="54" fillId="0" borderId="47" xfId="119" applyFont="1" applyBorder="1"/>
    <xf numFmtId="0" fontId="54" fillId="0" borderId="48" xfId="119" applyFont="1" applyBorder="1"/>
    <xf numFmtId="0" fontId="62" fillId="0" borderId="0" xfId="71" applyFill="1" applyBorder="1"/>
    <xf numFmtId="0" fontId="53" fillId="0" borderId="0" xfId="116" applyFont="1"/>
    <xf numFmtId="0" fontId="52" fillId="51" borderId="16" xfId="116" applyFont="1" applyFill="1" applyBorder="1" applyAlignment="1">
      <alignment horizontal="center" wrapText="1"/>
    </xf>
    <xf numFmtId="0" fontId="52" fillId="51" borderId="49" xfId="116" applyFont="1" applyFill="1" applyBorder="1" applyAlignment="1">
      <alignment horizontal="center" wrapText="1"/>
    </xf>
    <xf numFmtId="0" fontId="52" fillId="51" borderId="17" xfId="116" applyFont="1" applyFill="1" applyBorder="1" applyAlignment="1">
      <alignment horizontal="center" wrapText="1"/>
    </xf>
    <xf numFmtId="0" fontId="52" fillId="51" borderId="64" xfId="116" applyFont="1" applyFill="1" applyBorder="1" applyAlignment="1">
      <alignment horizontal="center" wrapText="1"/>
    </xf>
    <xf numFmtId="0" fontId="52" fillId="51" borderId="60" xfId="116" applyFont="1" applyFill="1" applyBorder="1" applyAlignment="1">
      <alignment horizontal="center" wrapText="1"/>
    </xf>
    <xf numFmtId="0" fontId="52" fillId="51" borderId="62" xfId="116" applyFont="1" applyFill="1" applyBorder="1" applyAlignment="1">
      <alignment horizontal="center" wrapText="1"/>
    </xf>
    <xf numFmtId="0" fontId="52" fillId="51" borderId="32" xfId="116" applyFont="1" applyFill="1" applyBorder="1" applyAlignment="1">
      <alignment horizontal="center" wrapText="1"/>
    </xf>
    <xf numFmtId="0" fontId="54" fillId="0" borderId="18" xfId="116" applyFont="1" applyBorder="1"/>
    <xf numFmtId="0" fontId="54" fillId="0" borderId="12" xfId="116" applyFont="1" applyBorder="1"/>
    <xf numFmtId="0" fontId="48" fillId="0" borderId="12" xfId="0" applyFont="1" applyBorder="1"/>
    <xf numFmtId="0" fontId="54" fillId="0" borderId="11" xfId="116" applyFont="1" applyBorder="1"/>
    <xf numFmtId="0" fontId="54" fillId="0" borderId="22" xfId="116" applyFont="1" applyBorder="1"/>
    <xf numFmtId="0" fontId="48" fillId="0" borderId="22" xfId="0" applyFont="1" applyBorder="1"/>
    <xf numFmtId="0" fontId="48" fillId="0" borderId="24" xfId="0" applyFont="1" applyBorder="1"/>
    <xf numFmtId="0" fontId="48" fillId="0" borderId="37" xfId="0" applyFont="1" applyBorder="1"/>
    <xf numFmtId="0" fontId="68" fillId="0" borderId="0" xfId="0" applyFont="1"/>
    <xf numFmtId="0" fontId="53" fillId="0" borderId="38" xfId="116" applyFont="1" applyBorder="1"/>
    <xf numFmtId="0" fontId="53" fillId="0" borderId="47" xfId="116" applyFont="1" applyBorder="1"/>
    <xf numFmtId="0" fontId="53" fillId="0" borderId="48" xfId="116" applyFont="1" applyBorder="1"/>
    <xf numFmtId="0" fontId="67" fillId="0" borderId="0" xfId="71" applyFont="1" applyFill="1" applyBorder="1"/>
    <xf numFmtId="0" fontId="48" fillId="0" borderId="0" xfId="120" applyFont="1" applyFill="1" applyBorder="1" applyAlignment="1">
      <alignment vertical="top"/>
    </xf>
    <xf numFmtId="0" fontId="60" fillId="0" borderId="0" xfId="116" applyFont="1"/>
    <xf numFmtId="0" fontId="52" fillId="51" borderId="54" xfId="116" applyFont="1" applyFill="1" applyBorder="1"/>
    <xf numFmtId="0" fontId="52" fillId="51" borderId="26" xfId="116" applyFont="1" applyFill="1" applyBorder="1"/>
    <xf numFmtId="0" fontId="54" fillId="0" borderId="19" xfId="116" applyFont="1" applyBorder="1"/>
    <xf numFmtId="0" fontId="54" fillId="0" borderId="0" xfId="116" applyFont="1"/>
    <xf numFmtId="0" fontId="54" fillId="0" borderId="23" xfId="116" applyFont="1" applyBorder="1"/>
    <xf numFmtId="0" fontId="54" fillId="0" borderId="24" xfId="116" applyFont="1" applyBorder="1"/>
    <xf numFmtId="0" fontId="54" fillId="0" borderId="37" xfId="116" applyFont="1" applyBorder="1"/>
    <xf numFmtId="0" fontId="54" fillId="0" borderId="25" xfId="116" applyFont="1" applyBorder="1"/>
    <xf numFmtId="0" fontId="52" fillId="56" borderId="24" xfId="116" applyFont="1" applyFill="1" applyBorder="1"/>
    <xf numFmtId="0" fontId="52" fillId="56" borderId="26" xfId="116" applyFont="1" applyFill="1" applyBorder="1"/>
    <xf numFmtId="0" fontId="52" fillId="56" borderId="25" xfId="116" applyFont="1" applyFill="1" applyBorder="1"/>
    <xf numFmtId="0" fontId="52" fillId="56" borderId="52" xfId="116" applyFont="1" applyFill="1" applyBorder="1"/>
    <xf numFmtId="0" fontId="54" fillId="0" borderId="20" xfId="116" applyFont="1" applyBorder="1"/>
    <xf numFmtId="0" fontId="54" fillId="0" borderId="34" xfId="116" applyFont="1" applyBorder="1"/>
    <xf numFmtId="0" fontId="54" fillId="0" borderId="36" xfId="116" applyFont="1" applyBorder="1"/>
    <xf numFmtId="168" fontId="54" fillId="0" borderId="34" xfId="116" applyNumberFormat="1" applyFont="1" applyBorder="1"/>
    <xf numFmtId="0" fontId="54" fillId="0" borderId="14" xfId="116" applyFont="1" applyBorder="1"/>
    <xf numFmtId="168" fontId="54" fillId="0" borderId="11" xfId="116" applyNumberFormat="1" applyFont="1" applyBorder="1"/>
    <xf numFmtId="168" fontId="54" fillId="0" borderId="14" xfId="116" applyNumberFormat="1" applyFont="1" applyBorder="1"/>
    <xf numFmtId="168" fontId="54" fillId="0" borderId="23" xfId="116" applyNumberFormat="1" applyFont="1" applyBorder="1"/>
    <xf numFmtId="0" fontId="48" fillId="0" borderId="14" xfId="116" applyFont="1" applyBorder="1"/>
    <xf numFmtId="0" fontId="54" fillId="0" borderId="26" xfId="116" applyFont="1" applyBorder="1"/>
    <xf numFmtId="168" fontId="54" fillId="0" borderId="37" xfId="116" applyNumberFormat="1" applyFont="1" applyBorder="1"/>
    <xf numFmtId="168" fontId="54" fillId="0" borderId="26" xfId="116" applyNumberFormat="1" applyFont="1" applyBorder="1"/>
    <xf numFmtId="168" fontId="54" fillId="0" borderId="25" xfId="116" applyNumberFormat="1" applyFont="1" applyBorder="1"/>
    <xf numFmtId="0" fontId="54" fillId="0" borderId="70" xfId="116" applyFont="1" applyBorder="1"/>
    <xf numFmtId="168" fontId="54" fillId="0" borderId="70" xfId="116" applyNumberFormat="1" applyFont="1" applyBorder="1"/>
    <xf numFmtId="168" fontId="54" fillId="0" borderId="19" xfId="116" applyNumberFormat="1" applyFont="1" applyBorder="1"/>
    <xf numFmtId="168" fontId="54" fillId="0" borderId="69" xfId="116" applyNumberFormat="1" applyFont="1" applyBorder="1"/>
    <xf numFmtId="168" fontId="54" fillId="0" borderId="12" xfId="116" applyNumberFormat="1" applyFont="1" applyBorder="1"/>
    <xf numFmtId="168" fontId="54" fillId="0" borderId="13" xfId="116" applyNumberFormat="1" applyFont="1" applyBorder="1"/>
    <xf numFmtId="0" fontId="48" fillId="0" borderId="22" xfId="116" applyFont="1" applyBorder="1"/>
    <xf numFmtId="0" fontId="48" fillId="0" borderId="11" xfId="116" applyFont="1" applyBorder="1"/>
    <xf numFmtId="168" fontId="54" fillId="0" borderId="54" xfId="116" applyNumberFormat="1" applyFont="1" applyBorder="1"/>
    <xf numFmtId="0" fontId="52" fillId="51" borderId="35" xfId="116" applyFont="1" applyFill="1" applyBorder="1" applyAlignment="1">
      <alignment horizontal="center"/>
    </xf>
    <xf numFmtId="0" fontId="52" fillId="51" borderId="16" xfId="116" applyFont="1" applyFill="1" applyBorder="1"/>
    <xf numFmtId="0" fontId="52" fillId="51" borderId="49" xfId="113" applyFont="1" applyFill="1" applyBorder="1" applyAlignment="1">
      <alignment wrapText="1"/>
    </xf>
    <xf numFmtId="0" fontId="52" fillId="51" borderId="60" xfId="113" applyFont="1" applyFill="1" applyBorder="1" applyAlignment="1">
      <alignment wrapText="1"/>
    </xf>
    <xf numFmtId="0" fontId="52" fillId="51" borderId="16" xfId="116" applyFont="1" applyFill="1" applyBorder="1" applyAlignment="1">
      <alignment horizontal="center" vertical="center" wrapText="1"/>
    </xf>
    <xf numFmtId="0" fontId="52" fillId="51" borderId="49" xfId="116" applyFont="1" applyFill="1" applyBorder="1" applyAlignment="1">
      <alignment horizontal="center" vertical="center" wrapText="1"/>
    </xf>
    <xf numFmtId="0" fontId="52" fillId="51" borderId="60" xfId="116" applyFont="1" applyFill="1" applyBorder="1" applyAlignment="1">
      <alignment horizontal="center" vertical="center" wrapText="1"/>
    </xf>
    <xf numFmtId="0" fontId="52" fillId="51" borderId="17" xfId="116" applyFont="1" applyFill="1" applyBorder="1" applyAlignment="1">
      <alignment horizontal="center" vertical="center" wrapText="1"/>
    </xf>
    <xf numFmtId="0" fontId="54" fillId="0" borderId="0" xfId="116" applyFont="1" applyAlignment="1">
      <alignment wrapText="1"/>
    </xf>
    <xf numFmtId="168" fontId="54" fillId="0" borderId="79" xfId="116" applyNumberFormat="1" applyFont="1" applyBorder="1"/>
    <xf numFmtId="182" fontId="54" fillId="0" borderId="18" xfId="116" applyNumberFormat="1" applyFont="1" applyBorder="1"/>
    <xf numFmtId="182" fontId="54" fillId="0" borderId="19" xfId="116" applyNumberFormat="1" applyFont="1" applyBorder="1"/>
    <xf numFmtId="168" fontId="54" fillId="0" borderId="15" xfId="116" applyNumberFormat="1" applyFont="1" applyBorder="1"/>
    <xf numFmtId="182" fontId="54" fillId="0" borderId="22" xfId="116" applyNumberFormat="1" applyFont="1" applyBorder="1"/>
    <xf numFmtId="182" fontId="54" fillId="0" borderId="23" xfId="116" applyNumberFormat="1" applyFont="1" applyBorder="1"/>
    <xf numFmtId="168" fontId="54" fillId="0" borderId="73" xfId="116" applyNumberFormat="1" applyFont="1" applyBorder="1"/>
    <xf numFmtId="182" fontId="54" fillId="0" borderId="24" xfId="116" applyNumberFormat="1" applyFont="1" applyBorder="1"/>
    <xf numFmtId="182" fontId="54" fillId="0" borderId="25" xfId="116" applyNumberFormat="1" applyFont="1" applyBorder="1"/>
    <xf numFmtId="0" fontId="49" fillId="0" borderId="0" xfId="0" applyFont="1"/>
    <xf numFmtId="0" fontId="48" fillId="0" borderId="0" xfId="0" quotePrefix="1" applyFont="1"/>
    <xf numFmtId="0" fontId="49" fillId="0" borderId="0" xfId="0" quotePrefix="1" applyFont="1"/>
    <xf numFmtId="0" fontId="48" fillId="0" borderId="0" xfId="0" applyFont="1" applyAlignment="1">
      <alignment horizontal="left"/>
    </xf>
    <xf numFmtId="0" fontId="48" fillId="44" borderId="0" xfId="0" quotePrefix="1" applyFont="1" applyFill="1" applyAlignment="1">
      <alignment horizontal="left"/>
    </xf>
    <xf numFmtId="0" fontId="48" fillId="67" borderId="58" xfId="0" applyFont="1" applyFill="1" applyBorder="1" applyAlignment="1">
      <alignment horizontal="left"/>
    </xf>
    <xf numFmtId="0" fontId="48" fillId="67" borderId="44" xfId="0" applyFont="1" applyFill="1" applyBorder="1" applyAlignment="1">
      <alignment horizontal="left"/>
    </xf>
    <xf numFmtId="0" fontId="48" fillId="66" borderId="86" xfId="0" applyFont="1" applyFill="1" applyBorder="1" applyAlignment="1">
      <alignment vertical="center" wrapText="1"/>
    </xf>
    <xf numFmtId="0" fontId="48" fillId="66" borderId="33" xfId="0" applyFont="1" applyFill="1" applyBorder="1" applyAlignment="1">
      <alignment vertical="center" wrapText="1"/>
    </xf>
    <xf numFmtId="0" fontId="48" fillId="66" borderId="40" xfId="0" applyFont="1" applyFill="1" applyBorder="1" applyAlignment="1">
      <alignment vertical="center" wrapText="1"/>
    </xf>
    <xf numFmtId="0" fontId="48" fillId="66" borderId="40" xfId="0" applyFont="1" applyFill="1" applyBorder="1" applyAlignment="1">
      <alignment vertical="center"/>
    </xf>
    <xf numFmtId="0" fontId="48" fillId="66" borderId="33" xfId="0" applyFont="1" applyFill="1" applyBorder="1" applyAlignment="1">
      <alignment vertical="center"/>
    </xf>
    <xf numFmtId="0" fontId="48" fillId="66" borderId="41" xfId="0" applyFont="1" applyFill="1" applyBorder="1" applyAlignment="1">
      <alignment vertical="center" wrapText="1"/>
    </xf>
    <xf numFmtId="0" fontId="48" fillId="66" borderId="40" xfId="0" applyFont="1" applyFill="1" applyBorder="1" applyAlignment="1">
      <alignment wrapText="1"/>
    </xf>
    <xf numFmtId="0" fontId="48" fillId="66" borderId="33" xfId="0" applyFont="1" applyFill="1" applyBorder="1" applyAlignment="1">
      <alignment wrapText="1"/>
    </xf>
    <xf numFmtId="0" fontId="48" fillId="66" borderId="41" xfId="0" applyFont="1" applyFill="1" applyBorder="1" applyAlignment="1">
      <alignment wrapText="1"/>
    </xf>
    <xf numFmtId="0" fontId="48" fillId="66" borderId="0" xfId="0" quotePrefix="1" applyFont="1" applyFill="1"/>
    <xf numFmtId="0" fontId="48" fillId="66" borderId="75" xfId="0" quotePrefix="1" applyFont="1" applyFill="1" applyBorder="1"/>
    <xf numFmtId="0" fontId="48" fillId="66" borderId="44" xfId="0" quotePrefix="1" applyFont="1" applyFill="1" applyBorder="1"/>
    <xf numFmtId="0" fontId="55" fillId="67" borderId="58" xfId="0" applyFont="1" applyFill="1" applyBorder="1" applyAlignment="1">
      <alignment horizontal="left"/>
    </xf>
    <xf numFmtId="0" fontId="55" fillId="67" borderId="44" xfId="0" applyFont="1" applyFill="1" applyBorder="1" applyAlignment="1">
      <alignment horizontal="left"/>
    </xf>
    <xf numFmtId="0" fontId="48" fillId="45" borderId="66" xfId="0" applyFont="1" applyFill="1" applyBorder="1" applyAlignment="1">
      <alignment horizontal="left"/>
    </xf>
    <xf numFmtId="0" fontId="48" fillId="45" borderId="27" xfId="0" applyFont="1" applyFill="1" applyBorder="1" applyAlignment="1">
      <alignment horizontal="left"/>
    </xf>
    <xf numFmtId="0" fontId="48" fillId="45" borderId="83" xfId="0" applyFont="1" applyFill="1" applyBorder="1" applyAlignment="1">
      <alignment horizontal="left"/>
    </xf>
    <xf numFmtId="0" fontId="48" fillId="45" borderId="40" xfId="0" applyFont="1" applyFill="1" applyBorder="1" applyAlignment="1">
      <alignment horizontal="left"/>
    </xf>
    <xf numFmtId="0" fontId="48" fillId="45" borderId="33" xfId="0" applyFont="1" applyFill="1" applyBorder="1" applyAlignment="1">
      <alignment horizontal="left"/>
    </xf>
    <xf numFmtId="0" fontId="48" fillId="45" borderId="41" xfId="0" applyFont="1" applyFill="1" applyBorder="1" applyAlignment="1">
      <alignment horizontal="left"/>
    </xf>
    <xf numFmtId="0" fontId="48" fillId="45" borderId="84" xfId="0" applyFont="1" applyFill="1" applyBorder="1" applyAlignment="1">
      <alignment horizontal="left"/>
    </xf>
    <xf numFmtId="0" fontId="48" fillId="45" borderId="67" xfId="0" applyFont="1" applyFill="1" applyBorder="1" applyAlignment="1">
      <alignment horizontal="left"/>
    </xf>
    <xf numFmtId="0" fontId="48" fillId="45" borderId="0" xfId="0" quotePrefix="1" applyFont="1" applyFill="1" applyAlignment="1">
      <alignment horizontal="left"/>
    </xf>
    <xf numFmtId="0" fontId="48" fillId="45" borderId="75" xfId="0" quotePrefix="1" applyFont="1" applyFill="1" applyBorder="1" applyAlignment="1">
      <alignment horizontal="left"/>
    </xf>
    <xf numFmtId="0" fontId="48" fillId="45" borderId="44" xfId="0" applyFont="1" applyFill="1" applyBorder="1" applyAlignment="1">
      <alignment horizontal="left"/>
    </xf>
    <xf numFmtId="0" fontId="48" fillId="67" borderId="45" xfId="0" applyFont="1" applyFill="1" applyBorder="1" applyAlignment="1">
      <alignment horizontal="left"/>
    </xf>
    <xf numFmtId="0" fontId="48" fillId="51" borderId="66" xfId="0" applyFont="1" applyFill="1" applyBorder="1" applyAlignment="1">
      <alignment horizontal="left"/>
    </xf>
    <xf numFmtId="0" fontId="48" fillId="51" borderId="27" xfId="0" applyFont="1" applyFill="1" applyBorder="1" applyAlignment="1">
      <alignment horizontal="left"/>
    </xf>
    <xf numFmtId="0" fontId="48" fillId="51" borderId="83" xfId="0" applyFont="1" applyFill="1" applyBorder="1" applyAlignment="1">
      <alignment horizontal="left"/>
    </xf>
    <xf numFmtId="0" fontId="48" fillId="51" borderId="67" xfId="0" applyFont="1" applyFill="1" applyBorder="1" applyAlignment="1">
      <alignment horizontal="left"/>
    </xf>
    <xf numFmtId="0" fontId="48" fillId="51" borderId="84" xfId="0" applyFont="1" applyFill="1" applyBorder="1" applyAlignment="1">
      <alignment horizontal="left"/>
    </xf>
    <xf numFmtId="0" fontId="48" fillId="51" borderId="42" xfId="0" quotePrefix="1" applyFont="1" applyFill="1" applyBorder="1" applyAlignment="1">
      <alignment horizontal="left"/>
    </xf>
    <xf numFmtId="0" fontId="48" fillId="51" borderId="43" xfId="0" quotePrefix="1" applyFont="1" applyFill="1" applyBorder="1" applyAlignment="1">
      <alignment horizontal="left"/>
    </xf>
    <xf numFmtId="0" fontId="48" fillId="51" borderId="75" xfId="0" quotePrefix="1" applyFont="1" applyFill="1" applyBorder="1" applyAlignment="1">
      <alignment horizontal="left"/>
    </xf>
    <xf numFmtId="0" fontId="48" fillId="45" borderId="66" xfId="0" applyFont="1" applyFill="1" applyBorder="1" applyAlignment="1">
      <alignment vertical="center" wrapText="1"/>
    </xf>
    <xf numFmtId="0" fontId="48" fillId="45" borderId="27" xfId="0" applyFont="1" applyFill="1" applyBorder="1" applyAlignment="1">
      <alignment vertical="center" wrapText="1"/>
    </xf>
    <xf numFmtId="0" fontId="48" fillId="45" borderId="67" xfId="0" applyFont="1" applyFill="1" applyBorder="1" applyAlignment="1">
      <alignment vertical="center" wrapText="1"/>
    </xf>
    <xf numFmtId="0" fontId="48" fillId="51" borderId="67" xfId="0" applyFont="1" applyFill="1" applyBorder="1" applyAlignment="1">
      <alignment vertical="center" wrapText="1"/>
    </xf>
    <xf numFmtId="0" fontId="48" fillId="50" borderId="11" xfId="0" applyFont="1" applyFill="1" applyBorder="1"/>
    <xf numFmtId="0" fontId="48" fillId="0" borderId="0" xfId="0" applyFont="1" applyAlignment="1">
      <alignment wrapText="1"/>
    </xf>
    <xf numFmtId="0" fontId="48" fillId="66" borderId="45" xfId="0" applyFont="1" applyFill="1" applyBorder="1" applyAlignment="1">
      <alignment vertical="center" wrapText="1"/>
    </xf>
    <xf numFmtId="0" fontId="48" fillId="66" borderId="27" xfId="0" applyFont="1" applyFill="1" applyBorder="1" applyAlignment="1">
      <alignment vertical="center" wrapText="1"/>
    </xf>
    <xf numFmtId="0" fontId="48" fillId="66" borderId="67" xfId="0" applyFont="1" applyFill="1" applyBorder="1" applyAlignment="1">
      <alignment vertical="center" wrapText="1"/>
    </xf>
    <xf numFmtId="0" fontId="48" fillId="35" borderId="66" xfId="0" applyFont="1" applyFill="1" applyBorder="1" applyAlignment="1">
      <alignment vertical="center" wrapText="1"/>
    </xf>
    <xf numFmtId="0" fontId="48" fillId="35" borderId="27" xfId="0" applyFont="1" applyFill="1" applyBorder="1" applyAlignment="1">
      <alignment vertical="center" wrapText="1"/>
    </xf>
    <xf numFmtId="0" fontId="48" fillId="35" borderId="67" xfId="0" applyFont="1" applyFill="1" applyBorder="1" applyAlignment="1">
      <alignment vertical="center" wrapText="1"/>
    </xf>
    <xf numFmtId="0" fontId="48" fillId="45" borderId="58" xfId="0" applyFont="1" applyFill="1" applyBorder="1" applyAlignment="1">
      <alignment vertical="center" wrapText="1"/>
    </xf>
    <xf numFmtId="0" fontId="48" fillId="45" borderId="43" xfId="0" applyFont="1" applyFill="1" applyBorder="1" applyAlignment="1">
      <alignment vertical="center" wrapText="1"/>
    </xf>
    <xf numFmtId="0" fontId="48" fillId="45" borderId="44" xfId="0" applyFont="1" applyFill="1" applyBorder="1" applyAlignment="1">
      <alignment vertical="center" wrapText="1"/>
    </xf>
    <xf numFmtId="0" fontId="48" fillId="51" borderId="45" xfId="0" applyFont="1" applyFill="1" applyBorder="1" applyAlignment="1">
      <alignment vertical="center" wrapText="1"/>
    </xf>
    <xf numFmtId="0" fontId="48" fillId="51" borderId="27" xfId="0" applyFont="1" applyFill="1" applyBorder="1" applyAlignment="1">
      <alignment vertical="center" wrapText="1"/>
    </xf>
    <xf numFmtId="2" fontId="48" fillId="50" borderId="11" xfId="0" applyNumberFormat="1" applyFont="1" applyFill="1" applyBorder="1"/>
    <xf numFmtId="0" fontId="55" fillId="49" borderId="66" xfId="0" applyFont="1" applyFill="1" applyBorder="1" applyAlignment="1">
      <alignment wrapText="1"/>
    </xf>
    <xf numFmtId="0" fontId="55" fillId="49" borderId="27" xfId="0" applyFont="1" applyFill="1" applyBorder="1" applyAlignment="1">
      <alignment wrapText="1"/>
    </xf>
    <xf numFmtId="0" fontId="55" fillId="49" borderId="67" xfId="0" applyFont="1" applyFill="1" applyBorder="1" applyAlignment="1">
      <alignment wrapText="1"/>
    </xf>
    <xf numFmtId="0" fontId="55" fillId="40" borderId="67" xfId="0" applyFont="1" applyFill="1" applyBorder="1" applyAlignment="1">
      <alignment wrapText="1"/>
    </xf>
    <xf numFmtId="0" fontId="49" fillId="0" borderId="0" xfId="0" applyFont="1" applyAlignment="1">
      <alignment wrapText="1"/>
    </xf>
    <xf numFmtId="0" fontId="53" fillId="0" borderId="0" xfId="114" applyFont="1"/>
    <xf numFmtId="0" fontId="54" fillId="0" borderId="0" xfId="114" applyFont="1"/>
    <xf numFmtId="0" fontId="54" fillId="0" borderId="80" xfId="114" applyFont="1" applyBorder="1"/>
    <xf numFmtId="0" fontId="54" fillId="0" borderId="28" xfId="114" applyFont="1" applyBorder="1"/>
    <xf numFmtId="0" fontId="54" fillId="0" borderId="31" xfId="114" applyFont="1" applyBorder="1"/>
    <xf numFmtId="0" fontId="53" fillId="0" borderId="0" xfId="115" applyFont="1"/>
    <xf numFmtId="0" fontId="70" fillId="0" borderId="0" xfId="115" applyFont="1"/>
    <xf numFmtId="0" fontId="51" fillId="0" borderId="0" xfId="72" applyFont="1" applyAlignment="1">
      <alignment horizontal="center"/>
    </xf>
    <xf numFmtId="0" fontId="64" fillId="0" borderId="0" xfId="72" applyFont="1" applyAlignment="1">
      <alignment horizontal="center"/>
    </xf>
    <xf numFmtId="0" fontId="51" fillId="0" borderId="38" xfId="72" applyFont="1" applyBorder="1"/>
    <xf numFmtId="0" fontId="64" fillId="0" borderId="47" xfId="72" applyFont="1" applyBorder="1" applyAlignment="1">
      <alignment horizontal="center"/>
    </xf>
    <xf numFmtId="0" fontId="67" fillId="0" borderId="47" xfId="71" applyFont="1" applyFill="1" applyBorder="1"/>
    <xf numFmtId="0" fontId="51" fillId="0" borderId="48" xfId="72" applyFont="1" applyBorder="1"/>
    <xf numFmtId="0" fontId="53" fillId="0" borderId="0" xfId="113" applyFont="1"/>
    <xf numFmtId="0" fontId="54" fillId="0" borderId="0" xfId="113" applyFont="1"/>
    <xf numFmtId="0" fontId="52" fillId="51" borderId="65" xfId="113" applyFont="1" applyFill="1" applyBorder="1"/>
    <xf numFmtId="0" fontId="52" fillId="51" borderId="32" xfId="113" applyFont="1" applyFill="1" applyBorder="1"/>
    <xf numFmtId="0" fontId="54" fillId="0" borderId="68" xfId="113" applyFont="1" applyBorder="1"/>
    <xf numFmtId="0" fontId="54" fillId="0" borderId="76" xfId="113" applyFont="1" applyBorder="1"/>
    <xf numFmtId="0" fontId="54" fillId="0" borderId="51" xfId="113" applyFont="1" applyBorder="1"/>
    <xf numFmtId="0" fontId="54" fillId="0" borderId="63" xfId="113" applyFont="1" applyBorder="1"/>
    <xf numFmtId="0" fontId="54" fillId="0" borderId="77" xfId="113" applyFont="1" applyBorder="1"/>
    <xf numFmtId="0" fontId="54" fillId="0" borderId="52" xfId="113" applyFont="1" applyBorder="1"/>
    <xf numFmtId="0" fontId="63" fillId="40" borderId="49" xfId="0" applyFont="1" applyFill="1" applyBorder="1" applyAlignment="1">
      <alignment horizontal="center" vertical="center" wrapText="1"/>
    </xf>
    <xf numFmtId="0" fontId="63" fillId="40" borderId="60" xfId="0" applyFont="1" applyFill="1" applyBorder="1" applyAlignment="1">
      <alignment horizontal="center" vertical="center" wrapText="1"/>
    </xf>
    <xf numFmtId="0" fontId="55" fillId="40" borderId="49" xfId="0" applyFont="1" applyFill="1" applyBorder="1" applyAlignment="1">
      <alignment horizontal="center" vertical="center" wrapText="1"/>
    </xf>
    <xf numFmtId="0" fontId="55" fillId="40" borderId="17" xfId="0" applyFont="1" applyFill="1" applyBorder="1" applyAlignment="1">
      <alignment horizontal="center" vertical="center" wrapText="1"/>
    </xf>
    <xf numFmtId="0" fontId="63" fillId="40" borderId="62" xfId="0" applyFont="1" applyFill="1" applyBorder="1" applyAlignment="1">
      <alignment horizontal="center" vertical="center" wrapText="1"/>
    </xf>
    <xf numFmtId="0" fontId="63" fillId="40" borderId="16" xfId="0" applyFont="1" applyFill="1" applyBorder="1" applyAlignment="1">
      <alignment horizontal="center" vertical="center" wrapText="1"/>
    </xf>
    <xf numFmtId="43" fontId="48" fillId="50" borderId="12" xfId="104" applyFont="1" applyFill="1" applyBorder="1"/>
    <xf numFmtId="43" fontId="48" fillId="50" borderId="70" xfId="104" applyFont="1" applyFill="1" applyBorder="1"/>
    <xf numFmtId="2" fontId="48" fillId="50" borderId="12" xfId="0" applyNumberFormat="1" applyFont="1" applyFill="1" applyBorder="1" applyAlignment="1">
      <alignment vertical="center" wrapText="1"/>
    </xf>
    <xf numFmtId="2" fontId="48" fillId="50" borderId="19" xfId="0" applyNumberFormat="1" applyFont="1" applyFill="1" applyBorder="1"/>
    <xf numFmtId="43" fontId="48" fillId="50" borderId="39" xfId="104" applyFont="1" applyFill="1" applyBorder="1"/>
    <xf numFmtId="172" fontId="48" fillId="50" borderId="29" xfId="104" applyNumberFormat="1" applyFont="1" applyFill="1" applyBorder="1"/>
    <xf numFmtId="171" fontId="48" fillId="50" borderId="21" xfId="104" applyNumberFormat="1" applyFont="1" applyFill="1" applyBorder="1"/>
    <xf numFmtId="43" fontId="48" fillId="50" borderId="11" xfId="104" applyFont="1" applyFill="1" applyBorder="1"/>
    <xf numFmtId="43" fontId="48" fillId="50" borderId="14" xfId="104" applyFont="1" applyFill="1" applyBorder="1"/>
    <xf numFmtId="2" fontId="48" fillId="50" borderId="23" xfId="0" applyNumberFormat="1" applyFont="1" applyFill="1" applyBorder="1"/>
    <xf numFmtId="43" fontId="48" fillId="50" borderId="19" xfId="104" applyFont="1" applyFill="1" applyBorder="1"/>
    <xf numFmtId="172" fontId="48" fillId="50" borderId="80" xfId="104" applyNumberFormat="1" applyFont="1" applyFill="1" applyBorder="1"/>
    <xf numFmtId="171" fontId="48" fillId="50" borderId="19" xfId="104" applyNumberFormat="1" applyFont="1" applyFill="1" applyBorder="1"/>
    <xf numFmtId="43" fontId="48" fillId="50" borderId="37" xfId="104" applyFont="1" applyFill="1" applyBorder="1"/>
    <xf numFmtId="43" fontId="48" fillId="50" borderId="26" xfId="104" applyFont="1" applyFill="1" applyBorder="1"/>
    <xf numFmtId="2" fontId="48" fillId="50" borderId="55" xfId="0" applyNumberFormat="1" applyFont="1" applyFill="1" applyBorder="1" applyAlignment="1">
      <alignment vertical="center" wrapText="1"/>
    </xf>
    <xf numFmtId="2" fontId="48" fillId="50" borderId="25" xfId="0" applyNumberFormat="1" applyFont="1" applyFill="1" applyBorder="1"/>
    <xf numFmtId="172" fontId="48" fillId="50" borderId="46" xfId="104" applyNumberFormat="1" applyFont="1" applyFill="1" applyBorder="1"/>
    <xf numFmtId="171" fontId="48" fillId="50" borderId="57" xfId="104" applyNumberFormat="1" applyFont="1" applyFill="1" applyBorder="1"/>
    <xf numFmtId="0" fontId="48" fillId="0" borderId="0" xfId="0" applyFont="1" applyAlignment="1">
      <alignment vertical="top" wrapText="1"/>
    </xf>
    <xf numFmtId="0" fontId="48" fillId="0" borderId="38" xfId="0" applyFont="1" applyBorder="1" applyAlignment="1">
      <alignment vertical="top" wrapText="1"/>
    </xf>
    <xf numFmtId="0" fontId="48" fillId="34" borderId="0" xfId="0" applyFont="1" applyFill="1"/>
    <xf numFmtId="0" fontId="49" fillId="34" borderId="0" xfId="0" applyFont="1" applyFill="1"/>
    <xf numFmtId="43" fontId="48" fillId="34" borderId="0" xfId="0" applyNumberFormat="1" applyFont="1" applyFill="1"/>
    <xf numFmtId="1" fontId="48" fillId="34" borderId="0" xfId="0" applyNumberFormat="1" applyFont="1" applyFill="1"/>
    <xf numFmtId="0" fontId="48" fillId="67" borderId="0" xfId="0" applyFont="1" applyFill="1"/>
    <xf numFmtId="0" fontId="55" fillId="67" borderId="22" xfId="0" applyFont="1" applyFill="1" applyBorder="1" applyAlignment="1">
      <alignment horizontal="left"/>
    </xf>
    <xf numFmtId="0" fontId="55" fillId="67" borderId="11" xfId="0" applyFont="1" applyFill="1" applyBorder="1" applyAlignment="1">
      <alignment horizontal="left"/>
    </xf>
    <xf numFmtId="0" fontId="55" fillId="43" borderId="11" xfId="0" applyFont="1" applyFill="1" applyBorder="1" applyAlignment="1">
      <alignment horizontal="left" wrapText="1"/>
    </xf>
    <xf numFmtId="0" fontId="55" fillId="43" borderId="11" xfId="0" quotePrefix="1" applyFont="1" applyFill="1" applyBorder="1" applyAlignment="1">
      <alignment horizontal="left"/>
    </xf>
    <xf numFmtId="0" fontId="55" fillId="45" borderId="11" xfId="0" quotePrefix="1" applyFont="1" applyFill="1" applyBorder="1" applyAlignment="1">
      <alignment horizontal="left"/>
    </xf>
    <xf numFmtId="0" fontId="55" fillId="45" borderId="11" xfId="0" applyFont="1" applyFill="1" applyBorder="1" applyAlignment="1">
      <alignment horizontal="left"/>
    </xf>
    <xf numFmtId="0" fontId="55" fillId="45" borderId="23" xfId="0" applyFont="1" applyFill="1" applyBorder="1" applyAlignment="1">
      <alignment horizontal="left"/>
    </xf>
    <xf numFmtId="0" fontId="55" fillId="51" borderId="11" xfId="0" applyFont="1" applyFill="1" applyBorder="1" applyAlignment="1">
      <alignment horizontal="left"/>
    </xf>
    <xf numFmtId="0" fontId="55" fillId="51" borderId="11" xfId="0" quotePrefix="1" applyFont="1" applyFill="1" applyBorder="1" applyAlignment="1">
      <alignment horizontal="left"/>
    </xf>
    <xf numFmtId="0" fontId="55" fillId="51" borderId="23" xfId="0" quotePrefix="1" applyFont="1" applyFill="1" applyBorder="1" applyAlignment="1">
      <alignment horizontal="left"/>
    </xf>
    <xf numFmtId="0" fontId="55" fillId="35" borderId="18" xfId="0" applyFont="1" applyFill="1" applyBorder="1" applyAlignment="1">
      <alignment horizontal="left" vertical="center" wrapText="1"/>
    </xf>
    <xf numFmtId="0" fontId="55" fillId="35" borderId="19" xfId="0" applyFont="1" applyFill="1" applyBorder="1" applyAlignment="1">
      <alignment horizontal="left" vertical="center" wrapText="1"/>
    </xf>
    <xf numFmtId="1" fontId="49" fillId="0" borderId="0" xfId="0" applyNumberFormat="1" applyFont="1"/>
    <xf numFmtId="0" fontId="53" fillId="0" borderId="0" xfId="127" applyFont="1"/>
    <xf numFmtId="0" fontId="73" fillId="0" borderId="0" xfId="127" applyFont="1"/>
    <xf numFmtId="0" fontId="54" fillId="0" borderId="0" xfId="127" applyFont="1" applyAlignment="1">
      <alignment vertical="top" wrapText="1"/>
    </xf>
    <xf numFmtId="0" fontId="54" fillId="0" borderId="0" xfId="127" applyFont="1" applyAlignment="1">
      <alignment horizontal="left" vertical="top" wrapText="1"/>
    </xf>
    <xf numFmtId="0" fontId="63" fillId="40" borderId="11" xfId="127" applyFont="1" applyFill="1" applyBorder="1" applyAlignment="1">
      <alignment horizontal="center" vertical="center" wrapText="1"/>
    </xf>
    <xf numFmtId="0" fontId="48" fillId="0" borderId="0" xfId="127" applyFont="1"/>
    <xf numFmtId="181" fontId="64" fillId="0" borderId="11" xfId="127" applyNumberFormat="1" applyFont="1" applyBorder="1" applyAlignment="1">
      <alignment horizontal="center" vertical="center" wrapText="1"/>
    </xf>
    <xf numFmtId="0" fontId="64" fillId="59" borderId="11" xfId="127" applyFont="1" applyFill="1" applyBorder="1" applyAlignment="1" applyProtection="1">
      <alignment vertical="center" wrapText="1"/>
      <protection locked="0"/>
    </xf>
    <xf numFmtId="0" fontId="52" fillId="0" borderId="0" xfId="127" applyFont="1"/>
    <xf numFmtId="0" fontId="54" fillId="0" borderId="0" xfId="127" applyFont="1"/>
    <xf numFmtId="0" fontId="48" fillId="0" borderId="0" xfId="127" applyFont="1" applyAlignment="1">
      <alignment vertical="top" wrapText="1"/>
    </xf>
    <xf numFmtId="0" fontId="63" fillId="40" borderId="11" xfId="0" applyFont="1" applyFill="1" applyBorder="1" applyAlignment="1">
      <alignment horizontal="center" vertical="center" wrapText="1"/>
    </xf>
    <xf numFmtId="0" fontId="64" fillId="50" borderId="12" xfId="0" applyFont="1" applyFill="1" applyBorder="1" applyAlignment="1">
      <alignment vertical="center" wrapText="1"/>
    </xf>
    <xf numFmtId="0" fontId="64" fillId="50" borderId="11" xfId="0" applyFont="1" applyFill="1" applyBorder="1" applyAlignment="1">
      <alignment vertical="center" wrapText="1"/>
    </xf>
    <xf numFmtId="0" fontId="64" fillId="0" borderId="11" xfId="0" applyFont="1" applyBorder="1" applyAlignment="1">
      <alignment horizontal="center" vertical="center" wrapText="1"/>
    </xf>
    <xf numFmtId="0" fontId="63" fillId="0" borderId="11" xfId="0" applyFont="1" applyBorder="1" applyAlignment="1">
      <alignment horizontal="center" vertical="center" wrapText="1"/>
    </xf>
    <xf numFmtId="0" fontId="63" fillId="0" borderId="0" xfId="0" applyFont="1" applyAlignment="1">
      <alignment vertical="center" wrapText="1"/>
    </xf>
    <xf numFmtId="0" fontId="64" fillId="0" borderId="0" xfId="0" applyFont="1" applyAlignment="1">
      <alignment vertical="center" wrapText="1"/>
    </xf>
    <xf numFmtId="0" fontId="75" fillId="0" borderId="0" xfId="0" applyFont="1" applyAlignment="1">
      <alignment horizontal="center" vertical="center"/>
    </xf>
    <xf numFmtId="0" fontId="75" fillId="0" borderId="0" xfId="0" applyFont="1"/>
    <xf numFmtId="0" fontId="50" fillId="0" borderId="0" xfId="43" applyFont="1" applyAlignment="1">
      <alignment horizontal="center"/>
    </xf>
    <xf numFmtId="0" fontId="47" fillId="0" borderId="0" xfId="43" applyFont="1" applyAlignment="1">
      <alignment horizontal="center"/>
    </xf>
    <xf numFmtId="0" fontId="48" fillId="0" borderId="0" xfId="0" applyFont="1" applyAlignment="1">
      <alignment horizontal="center" vertical="center"/>
    </xf>
    <xf numFmtId="0" fontId="52" fillId="0" borderId="0" xfId="43" applyFont="1"/>
    <xf numFmtId="0" fontId="54" fillId="68" borderId="42" xfId="0" applyFont="1" applyFill="1" applyBorder="1" applyAlignment="1">
      <alignment horizontal="center" vertical="center"/>
    </xf>
    <xf numFmtId="0" fontId="52" fillId="68" borderId="44" xfId="0" applyFont="1" applyFill="1" applyBorder="1" applyAlignment="1">
      <alignment horizontal="center" vertical="center" wrapText="1"/>
    </xf>
    <xf numFmtId="0" fontId="52" fillId="35" borderId="16" xfId="0" applyFont="1" applyFill="1" applyBorder="1" applyAlignment="1">
      <alignment horizontal="left" vertical="center"/>
    </xf>
    <xf numFmtId="0" fontId="54" fillId="46" borderId="17" xfId="0" applyFont="1" applyFill="1" applyBorder="1" applyAlignment="1">
      <alignment horizontal="center" vertical="center"/>
    </xf>
    <xf numFmtId="0" fontId="52" fillId="35" borderId="20" xfId="117" applyFont="1" applyFill="1" applyBorder="1" applyAlignment="1">
      <alignment horizontal="left" vertical="center" wrapText="1"/>
    </xf>
    <xf numFmtId="177" fontId="54" fillId="50" borderId="21" xfId="64" applyNumberFormat="1" applyFont="1" applyFill="1" applyBorder="1" applyAlignment="1" applyProtection="1">
      <alignment horizontal="center" vertical="center" wrapText="1"/>
    </xf>
    <xf numFmtId="0" fontId="52" fillId="35" borderId="22" xfId="117" applyFont="1" applyFill="1" applyBorder="1" applyAlignment="1">
      <alignment horizontal="left" vertical="center" wrapText="1"/>
    </xf>
    <xf numFmtId="177" fontId="54" fillId="50" borderId="23" xfId="64" applyNumberFormat="1" applyFont="1" applyFill="1" applyBorder="1" applyAlignment="1" applyProtection="1">
      <alignment horizontal="center" vertical="center" wrapText="1"/>
    </xf>
    <xf numFmtId="176" fontId="54" fillId="50" borderId="19" xfId="64" applyNumberFormat="1" applyFont="1" applyFill="1" applyBorder="1" applyAlignment="1" applyProtection="1">
      <alignment horizontal="center" vertical="center" wrapText="1"/>
    </xf>
    <xf numFmtId="0" fontId="52" fillId="35" borderId="24" xfId="117" applyFont="1" applyFill="1" applyBorder="1" applyAlignment="1">
      <alignment horizontal="left" vertical="center" wrapText="1"/>
    </xf>
    <xf numFmtId="176" fontId="54" fillId="50" borderId="67" xfId="64" applyNumberFormat="1" applyFont="1" applyFill="1" applyBorder="1" applyAlignment="1" applyProtection="1">
      <alignment horizontal="center" vertical="center" wrapText="1"/>
    </xf>
    <xf numFmtId="0" fontId="52" fillId="35" borderId="18" xfId="117" applyFont="1" applyFill="1" applyBorder="1" applyAlignment="1">
      <alignment horizontal="left" vertical="center" wrapText="1"/>
    </xf>
    <xf numFmtId="177" fontId="54" fillId="50" borderId="25" xfId="64" applyNumberFormat="1" applyFont="1" applyFill="1" applyBorder="1" applyAlignment="1" applyProtection="1">
      <alignment horizontal="center" vertical="center" wrapText="1"/>
    </xf>
    <xf numFmtId="177" fontId="48" fillId="0" borderId="0" xfId="0" applyNumberFormat="1" applyFont="1"/>
    <xf numFmtId="177" fontId="54" fillId="50" borderId="19" xfId="64" applyNumberFormat="1" applyFont="1" applyFill="1" applyBorder="1" applyAlignment="1" applyProtection="1">
      <alignment horizontal="center" vertical="center" wrapText="1"/>
    </xf>
    <xf numFmtId="0" fontId="52" fillId="35" borderId="40" xfId="117" applyFont="1" applyFill="1" applyBorder="1" applyAlignment="1">
      <alignment horizontal="left" vertical="center" wrapText="1"/>
    </xf>
    <xf numFmtId="176" fontId="54" fillId="50" borderId="57" xfId="64" applyNumberFormat="1" applyFont="1" applyFill="1" applyBorder="1" applyAlignment="1" applyProtection="1">
      <alignment horizontal="center" vertical="center" wrapText="1"/>
    </xf>
    <xf numFmtId="7" fontId="48" fillId="0" borderId="0" xfId="0" applyNumberFormat="1" applyFont="1"/>
    <xf numFmtId="176" fontId="54" fillId="50" borderId="23" xfId="64" applyNumberFormat="1" applyFont="1" applyFill="1" applyBorder="1" applyAlignment="1" applyProtection="1">
      <alignment horizontal="center" vertical="center" wrapText="1"/>
    </xf>
    <xf numFmtId="176" fontId="54" fillId="50" borderId="25" xfId="64" applyNumberFormat="1" applyFont="1" applyFill="1" applyBorder="1" applyAlignment="1" applyProtection="1">
      <alignment horizontal="center" vertical="center" wrapText="1"/>
    </xf>
    <xf numFmtId="0" fontId="54" fillId="0" borderId="0" xfId="117" applyFont="1" applyAlignment="1">
      <alignment horizontal="left" vertical="center" wrapText="1"/>
    </xf>
    <xf numFmtId="2" fontId="54" fillId="0" borderId="0" xfId="0" applyNumberFormat="1" applyFont="1" applyAlignment="1">
      <alignment horizontal="center" vertical="center" wrapText="1"/>
    </xf>
    <xf numFmtId="0" fontId="49" fillId="0" borderId="0" xfId="0" applyFont="1" applyAlignment="1">
      <alignment horizontal="center" vertical="center"/>
    </xf>
    <xf numFmtId="0" fontId="52" fillId="0" borderId="11" xfId="0" applyFont="1" applyBorder="1" applyAlignment="1">
      <alignment horizontal="right" vertical="center"/>
    </xf>
    <xf numFmtId="0" fontId="54" fillId="68" borderId="16" xfId="0" applyFont="1" applyFill="1" applyBorder="1" applyAlignment="1">
      <alignment horizontal="center" vertical="center"/>
    </xf>
    <xf numFmtId="0" fontId="52" fillId="68" borderId="49" xfId="0" applyFont="1" applyFill="1" applyBorder="1" applyAlignment="1">
      <alignment horizontal="center" vertical="center" wrapText="1"/>
    </xf>
    <xf numFmtId="0" fontId="52" fillId="68" borderId="17" xfId="0" applyFont="1" applyFill="1" applyBorder="1" applyAlignment="1">
      <alignment horizontal="center" vertical="center" wrapText="1"/>
    </xf>
    <xf numFmtId="0" fontId="52" fillId="35" borderId="18" xfId="0" applyFont="1" applyFill="1" applyBorder="1" applyAlignment="1">
      <alignment horizontal="left" vertical="center"/>
    </xf>
    <xf numFmtId="0" fontId="54" fillId="50" borderId="12" xfId="0" applyFont="1" applyFill="1" applyBorder="1" applyAlignment="1">
      <alignment horizontal="center" vertical="center" wrapText="1"/>
    </xf>
    <xf numFmtId="0" fontId="54" fillId="46" borderId="19" xfId="0" applyFont="1" applyFill="1" applyBorder="1" applyAlignment="1">
      <alignment horizontal="center" vertical="center"/>
    </xf>
    <xf numFmtId="0" fontId="52" fillId="35" borderId="24" xfId="0" applyFont="1" applyFill="1" applyBorder="1" applyAlignment="1">
      <alignment horizontal="left" vertical="center" wrapText="1"/>
    </xf>
    <xf numFmtId="0" fontId="54" fillId="46" borderId="25" xfId="0" applyFont="1" applyFill="1" applyBorder="1" applyAlignment="1">
      <alignment horizontal="center" vertical="center"/>
    </xf>
    <xf numFmtId="0" fontId="52" fillId="35" borderId="22" xfId="0" applyFont="1" applyFill="1" applyBorder="1" applyAlignment="1">
      <alignment horizontal="left" vertical="center" wrapText="1"/>
    </xf>
    <xf numFmtId="177" fontId="54" fillId="50" borderId="11" xfId="64" applyNumberFormat="1" applyFont="1" applyFill="1" applyBorder="1" applyAlignment="1" applyProtection="1">
      <alignment horizontal="center" vertical="center"/>
    </xf>
    <xf numFmtId="176" fontId="54" fillId="50" borderId="11" xfId="64" applyNumberFormat="1" applyFont="1" applyFill="1" applyBorder="1" applyAlignment="1" applyProtection="1">
      <alignment horizontal="center" vertical="center"/>
    </xf>
    <xf numFmtId="176" fontId="54" fillId="50" borderId="23" xfId="64" applyNumberFormat="1" applyFont="1" applyFill="1" applyBorder="1" applyAlignment="1" applyProtection="1">
      <alignment horizontal="center" vertical="center"/>
    </xf>
    <xf numFmtId="178" fontId="54" fillId="50" borderId="37" xfId="64" applyNumberFormat="1" applyFont="1" applyFill="1" applyBorder="1" applyAlignment="1" applyProtection="1">
      <alignment horizontal="center" vertical="center"/>
    </xf>
    <xf numFmtId="178" fontId="54" fillId="50" borderId="25" xfId="64" applyNumberFormat="1" applyFont="1" applyFill="1" applyBorder="1" applyAlignment="1" applyProtection="1">
      <alignment horizontal="center" vertical="center"/>
    </xf>
    <xf numFmtId="178" fontId="54" fillId="50" borderId="11" xfId="64" applyNumberFormat="1" applyFont="1" applyFill="1" applyBorder="1" applyAlignment="1" applyProtection="1">
      <alignment horizontal="center" vertical="center"/>
    </xf>
    <xf numFmtId="178" fontId="54" fillId="50" borderId="23" xfId="64" applyNumberFormat="1" applyFont="1" applyFill="1" applyBorder="1" applyAlignment="1" applyProtection="1">
      <alignment horizontal="center" vertical="center"/>
    </xf>
    <xf numFmtId="177" fontId="54" fillId="50" borderId="37" xfId="64" applyNumberFormat="1" applyFont="1" applyFill="1" applyBorder="1" applyAlignment="1" applyProtection="1">
      <alignment horizontal="center" vertical="center"/>
    </xf>
    <xf numFmtId="177" fontId="54" fillId="50" borderId="25" xfId="64" applyNumberFormat="1" applyFont="1" applyFill="1" applyBorder="1" applyAlignment="1" applyProtection="1">
      <alignment horizontal="center" vertical="center"/>
    </xf>
    <xf numFmtId="0" fontId="54" fillId="46" borderId="23" xfId="0" applyFont="1" applyFill="1" applyBorder="1" applyAlignment="1">
      <alignment horizontal="center" vertical="center"/>
    </xf>
    <xf numFmtId="176" fontId="54" fillId="50" borderId="37" xfId="64" applyNumberFormat="1" applyFont="1" applyFill="1" applyBorder="1" applyAlignment="1" applyProtection="1">
      <alignment horizontal="center" vertical="center"/>
    </xf>
    <xf numFmtId="1" fontId="75" fillId="0" borderId="0" xfId="0" applyNumberFormat="1" applyFont="1"/>
    <xf numFmtId="0" fontId="75" fillId="0" borderId="0" xfId="0" quotePrefix="1" applyFont="1"/>
    <xf numFmtId="0" fontId="54" fillId="0" borderId="0" xfId="112" applyFont="1"/>
    <xf numFmtId="0" fontId="52" fillId="40" borderId="16" xfId="112" applyFont="1" applyFill="1" applyBorder="1" applyAlignment="1">
      <alignment horizontal="center" vertical="center"/>
    </xf>
    <xf numFmtId="0" fontId="52" fillId="40" borderId="49" xfId="112" applyFont="1" applyFill="1" applyBorder="1" applyAlignment="1">
      <alignment horizontal="center" vertical="center"/>
    </xf>
    <xf numFmtId="0" fontId="53" fillId="0" borderId="0" xfId="112" applyFont="1"/>
    <xf numFmtId="0" fontId="48" fillId="35" borderId="66" xfId="112" applyFont="1" applyFill="1" applyBorder="1" applyAlignment="1">
      <alignment vertical="center" wrapText="1"/>
    </xf>
    <xf numFmtId="0" fontId="54" fillId="60" borderId="27" xfId="112" applyFont="1" applyFill="1" applyBorder="1" applyAlignment="1">
      <alignment horizontal="left" vertical="center" wrapText="1"/>
    </xf>
    <xf numFmtId="0" fontId="48" fillId="35" borderId="18" xfId="0" applyFont="1" applyFill="1" applyBorder="1" applyAlignment="1">
      <alignment horizontal="left" vertical="center" wrapText="1"/>
    </xf>
    <xf numFmtId="0" fontId="48" fillId="60" borderId="12" xfId="0" applyFont="1" applyFill="1" applyBorder="1" applyAlignment="1">
      <alignment horizontal="left" vertical="center" wrapText="1"/>
    </xf>
    <xf numFmtId="0" fontId="48" fillId="35" borderId="24" xfId="0" applyFont="1" applyFill="1" applyBorder="1" applyAlignment="1">
      <alignment horizontal="left" vertical="center" wrapText="1"/>
    </xf>
    <xf numFmtId="0" fontId="48" fillId="60" borderId="37" xfId="0" applyFont="1" applyFill="1" applyBorder="1" applyAlignment="1">
      <alignment horizontal="left" vertical="center" wrapText="1"/>
    </xf>
    <xf numFmtId="0" fontId="48" fillId="35" borderId="24" xfId="112" applyFont="1" applyFill="1" applyBorder="1" applyAlignment="1">
      <alignment vertical="center" wrapText="1"/>
    </xf>
    <xf numFmtId="0" fontId="48" fillId="60" borderId="37" xfId="0" applyFont="1" applyFill="1" applyBorder="1" applyAlignment="1">
      <alignment vertical="center" wrapText="1"/>
    </xf>
    <xf numFmtId="0" fontId="48" fillId="35" borderId="22" xfId="0" applyFont="1" applyFill="1" applyBorder="1" applyAlignment="1">
      <alignment horizontal="left" vertical="center" wrapText="1"/>
    </xf>
    <xf numFmtId="0" fontId="48" fillId="60" borderId="11" xfId="0" applyFont="1" applyFill="1" applyBorder="1" applyAlignment="1">
      <alignment horizontal="left" vertical="center" wrapText="1"/>
    </xf>
    <xf numFmtId="0" fontId="48" fillId="35" borderId="22" xfId="112" applyFont="1" applyFill="1" applyBorder="1" applyAlignment="1">
      <alignment horizontal="left" vertical="center" wrapText="1"/>
    </xf>
    <xf numFmtId="0" fontId="54" fillId="60" borderId="11" xfId="112" applyFont="1" applyFill="1" applyBorder="1" applyAlignment="1">
      <alignment horizontal="left" vertical="center" wrapText="1"/>
    </xf>
    <xf numFmtId="0" fontId="48" fillId="35" borderId="40" xfId="112" applyFont="1" applyFill="1" applyBorder="1" applyAlignment="1">
      <alignment horizontal="left" vertical="center" wrapText="1"/>
    </xf>
    <xf numFmtId="0" fontId="54" fillId="60" borderId="33" xfId="112" applyFont="1" applyFill="1" applyBorder="1" applyAlignment="1">
      <alignment horizontal="left" vertical="center" wrapText="1"/>
    </xf>
    <xf numFmtId="0" fontId="52" fillId="40" borderId="34" xfId="112" applyFont="1" applyFill="1" applyBorder="1" applyAlignment="1">
      <alignment horizontal="center" vertical="center"/>
    </xf>
    <xf numFmtId="0" fontId="52" fillId="40" borderId="21" xfId="112" applyFont="1" applyFill="1" applyBorder="1" applyAlignment="1">
      <alignment horizontal="center" vertical="center"/>
    </xf>
    <xf numFmtId="0" fontId="60" fillId="0" borderId="0" xfId="112" applyFont="1"/>
    <xf numFmtId="0" fontId="48" fillId="35" borderId="24" xfId="112" applyFont="1" applyFill="1" applyBorder="1" applyAlignment="1">
      <alignment horizontal="left" vertical="center" wrapText="1"/>
    </xf>
    <xf numFmtId="0" fontId="54" fillId="60" borderId="37" xfId="112" applyFont="1" applyFill="1" applyBorder="1" applyAlignment="1">
      <alignment horizontal="left" vertical="center" wrapText="1"/>
    </xf>
    <xf numFmtId="0" fontId="52" fillId="40" borderId="53" xfId="112" applyFont="1" applyFill="1" applyBorder="1" applyAlignment="1">
      <alignment horizontal="center" vertical="center"/>
    </xf>
    <xf numFmtId="0" fontId="53" fillId="0" borderId="0" xfId="122" applyFont="1"/>
    <xf numFmtId="0" fontId="52" fillId="0" borderId="0" xfId="122" applyFont="1"/>
    <xf numFmtId="0" fontId="50" fillId="0" borderId="0" xfId="0" applyFont="1" applyAlignment="1">
      <alignment horizontal="center" vertical="center"/>
    </xf>
    <xf numFmtId="0" fontId="47" fillId="0" borderId="0" xfId="43" applyFont="1" applyAlignment="1">
      <alignment horizontal="center" vertical="center"/>
    </xf>
    <xf numFmtId="0" fontId="52" fillId="0" borderId="0" xfId="112" applyFont="1"/>
    <xf numFmtId="0" fontId="49" fillId="0" borderId="0" xfId="0" applyFont="1" applyAlignment="1">
      <alignment horizontal="left" vertical="top"/>
    </xf>
    <xf numFmtId="0" fontId="49" fillId="0" borderId="0" xfId="0" applyFont="1" applyAlignment="1">
      <alignment vertical="top"/>
    </xf>
    <xf numFmtId="0" fontId="78" fillId="0" borderId="0" xfId="71" applyFont="1" applyAlignment="1" applyProtection="1">
      <alignment horizontal="left" vertical="top"/>
    </xf>
    <xf numFmtId="0" fontId="49" fillId="0" borderId="0" xfId="0" applyFont="1" applyAlignment="1">
      <alignment horizontal="left" vertical="center"/>
    </xf>
    <xf numFmtId="0" fontId="48" fillId="0" borderId="0" xfId="0" applyFont="1" applyAlignment="1">
      <alignment horizontal="left" vertical="center"/>
    </xf>
    <xf numFmtId="165" fontId="48" fillId="0" borderId="11" xfId="0" applyNumberFormat="1" applyFont="1" applyBorder="1" applyAlignment="1">
      <alignment wrapText="1"/>
    </xf>
    <xf numFmtId="0" fontId="55" fillId="63" borderId="66" xfId="72" applyFont="1" applyFill="1" applyBorder="1" applyAlignment="1">
      <alignment horizontal="center"/>
    </xf>
    <xf numFmtId="0" fontId="55" fillId="63" borderId="27" xfId="72" applyFont="1" applyFill="1" applyBorder="1" applyAlignment="1">
      <alignment horizontal="center"/>
    </xf>
    <xf numFmtId="2" fontId="48" fillId="55" borderId="20" xfId="126" applyNumberFormat="1" applyFont="1" applyFill="1" applyBorder="1" applyAlignment="1">
      <alignment horizontal="right"/>
    </xf>
    <xf numFmtId="2" fontId="48" fillId="55" borderId="34" xfId="126" applyNumberFormat="1" applyFont="1" applyFill="1" applyBorder="1" applyAlignment="1">
      <alignment horizontal="right"/>
    </xf>
    <xf numFmtId="2" fontId="48" fillId="62" borderId="34" xfId="126" applyNumberFormat="1" applyFont="1" applyFill="1" applyBorder="1" applyAlignment="1">
      <alignment horizontal="right"/>
    </xf>
    <xf numFmtId="2" fontId="48" fillId="62" borderId="36" xfId="126" applyNumberFormat="1" applyFont="1" applyFill="1" applyBorder="1" applyAlignment="1">
      <alignment horizontal="right"/>
    </xf>
    <xf numFmtId="2" fontId="48" fillId="55" borderId="36" xfId="126" applyNumberFormat="1" applyFont="1" applyFill="1" applyBorder="1" applyAlignment="1">
      <alignment horizontal="right"/>
    </xf>
    <xf numFmtId="2" fontId="48" fillId="62" borderId="21" xfId="126" applyNumberFormat="1" applyFont="1" applyFill="1" applyBorder="1" applyAlignment="1">
      <alignment horizontal="right"/>
    </xf>
    <xf numFmtId="2" fontId="48" fillId="55" borderId="22" xfId="126" applyNumberFormat="1" applyFont="1" applyFill="1" applyBorder="1" applyAlignment="1">
      <alignment horizontal="right"/>
    </xf>
    <xf numFmtId="2" fontId="48" fillId="55" borderId="11" xfId="126" applyNumberFormat="1" applyFont="1" applyFill="1" applyBorder="1" applyAlignment="1">
      <alignment horizontal="right"/>
    </xf>
    <xf numFmtId="2" fontId="48" fillId="62" borderId="11" xfId="126" applyNumberFormat="1" applyFont="1" applyFill="1" applyBorder="1" applyAlignment="1">
      <alignment horizontal="right"/>
    </xf>
    <xf numFmtId="2" fontId="48" fillId="55" borderId="14" xfId="126" applyNumberFormat="1" applyFont="1" applyFill="1" applyBorder="1" applyAlignment="1">
      <alignment horizontal="right"/>
    </xf>
    <xf numFmtId="2" fontId="48" fillId="55" borderId="24" xfId="126" applyNumberFormat="1" applyFont="1" applyFill="1" applyBorder="1" applyAlignment="1">
      <alignment horizontal="right"/>
    </xf>
    <xf numFmtId="2" fontId="48" fillId="55" borderId="37" xfId="126" applyNumberFormat="1" applyFont="1" applyFill="1" applyBorder="1" applyAlignment="1">
      <alignment horizontal="right"/>
    </xf>
    <xf numFmtId="2" fontId="48" fillId="62" borderId="37" xfId="126" applyNumberFormat="1" applyFont="1" applyFill="1" applyBorder="1" applyAlignment="1">
      <alignment horizontal="right"/>
    </xf>
    <xf numFmtId="2" fontId="48" fillId="62" borderId="26" xfId="126" applyNumberFormat="1" applyFont="1" applyFill="1" applyBorder="1" applyAlignment="1">
      <alignment horizontal="right"/>
    </xf>
    <xf numFmtId="2" fontId="48" fillId="55" borderId="26" xfId="126" applyNumberFormat="1" applyFont="1" applyFill="1" applyBorder="1" applyAlignment="1">
      <alignment horizontal="right"/>
    </xf>
    <xf numFmtId="2" fontId="48" fillId="62" borderId="25" xfId="126" applyNumberFormat="1" applyFont="1" applyFill="1" applyBorder="1" applyAlignment="1">
      <alignment horizontal="right"/>
    </xf>
    <xf numFmtId="16" fontId="48" fillId="0" borderId="0" xfId="70" quotePrefix="1" applyNumberFormat="1" applyFont="1" applyAlignment="1">
      <alignment horizontal="right"/>
    </xf>
    <xf numFmtId="0" fontId="48" fillId="0" borderId="0" xfId="0" applyFont="1" applyAlignment="1">
      <alignment vertical="center" wrapText="1"/>
    </xf>
    <xf numFmtId="0" fontId="47" fillId="0" borderId="0" xfId="43" applyFont="1" applyAlignment="1">
      <alignment vertical="center"/>
    </xf>
    <xf numFmtId="0" fontId="50" fillId="0" borderId="0" xfId="0" applyFont="1" applyAlignment="1">
      <alignment vertical="center"/>
    </xf>
    <xf numFmtId="0" fontId="50" fillId="0" borderId="0" xfId="43" applyFont="1" applyAlignment="1">
      <alignment vertical="center"/>
    </xf>
    <xf numFmtId="0" fontId="62" fillId="0" borderId="72" xfId="71" applyFill="1" applyBorder="1" applyAlignment="1">
      <alignment horizontal="left" vertical="top"/>
    </xf>
    <xf numFmtId="0" fontId="62" fillId="0" borderId="72" xfId="71" applyFill="1" applyBorder="1" applyAlignment="1">
      <alignment horizontal="left"/>
    </xf>
    <xf numFmtId="0" fontId="48" fillId="0" borderId="72" xfId="120" applyFont="1" applyFill="1" applyBorder="1" applyAlignment="1">
      <alignment horizontal="left" vertical="top" wrapText="1"/>
    </xf>
    <xf numFmtId="0" fontId="48" fillId="0" borderId="72" xfId="121" applyFont="1" applyBorder="1" applyAlignment="1">
      <alignment horizontal="left" indent="3"/>
    </xf>
    <xf numFmtId="0" fontId="62" fillId="0" borderId="72" xfId="71" applyBorder="1" applyAlignment="1" applyProtection="1">
      <alignment horizontal="left" indent="6"/>
    </xf>
    <xf numFmtId="0" fontId="62" fillId="0" borderId="72" xfId="71" applyFill="1" applyBorder="1" applyAlignment="1" applyProtection="1">
      <alignment horizontal="left" indent="6"/>
      <protection locked="0"/>
    </xf>
    <xf numFmtId="0" fontId="48" fillId="0" borderId="74" xfId="120" applyFont="1" applyFill="1" applyBorder="1" applyAlignment="1">
      <alignment horizontal="left" vertical="top" wrapText="1"/>
    </xf>
    <xf numFmtId="0" fontId="48" fillId="0" borderId="71" xfId="0" applyFont="1" applyBorder="1" applyAlignment="1">
      <alignment horizontal="left" vertical="center" wrapText="1"/>
    </xf>
    <xf numFmtId="0" fontId="48" fillId="0" borderId="72" xfId="0" applyFont="1" applyBorder="1" applyAlignment="1">
      <alignment horizontal="left" vertical="center"/>
    </xf>
    <xf numFmtId="0" fontId="62" fillId="58" borderId="79" xfId="71" applyFill="1" applyBorder="1" applyAlignment="1">
      <alignment horizontal="left"/>
    </xf>
    <xf numFmtId="0" fontId="62" fillId="58" borderId="69" xfId="71" applyFill="1" applyBorder="1" applyAlignment="1">
      <alignment horizontal="left"/>
    </xf>
    <xf numFmtId="0" fontId="48" fillId="60" borderId="87" xfId="0" applyFont="1" applyFill="1" applyBorder="1"/>
    <xf numFmtId="0" fontId="48" fillId="60" borderId="86" xfId="0" applyFont="1" applyFill="1" applyBorder="1"/>
    <xf numFmtId="0" fontId="62" fillId="58" borderId="70" xfId="71" applyFill="1" applyBorder="1" applyAlignment="1">
      <alignment horizontal="left"/>
    </xf>
    <xf numFmtId="0" fontId="72" fillId="0" borderId="0" xfId="127" applyFont="1" applyAlignment="1">
      <alignment vertical="center"/>
    </xf>
    <xf numFmtId="0" fontId="74" fillId="0" borderId="0" xfId="127" applyFont="1" applyAlignment="1">
      <alignment vertical="center"/>
    </xf>
    <xf numFmtId="0" fontId="63" fillId="53" borderId="28" xfId="72" applyFont="1" applyFill="1" applyBorder="1"/>
    <xf numFmtId="0" fontId="63" fillId="53" borderId="15" xfId="72" applyFont="1" applyFill="1" applyBorder="1"/>
    <xf numFmtId="0" fontId="63" fillId="53" borderId="63" xfId="72" applyFont="1" applyFill="1" applyBorder="1"/>
    <xf numFmtId="0" fontId="64" fillId="0" borderId="0" xfId="72" applyFont="1" applyAlignment="1">
      <alignment vertical="top"/>
    </xf>
    <xf numFmtId="0" fontId="48" fillId="55" borderId="0" xfId="120" applyFont="1" applyFill="1" applyBorder="1" applyAlignment="1">
      <alignment vertical="top"/>
    </xf>
    <xf numFmtId="0" fontId="63" fillId="53" borderId="80" xfId="72" applyFont="1" applyFill="1" applyBorder="1"/>
    <xf numFmtId="0" fontId="63" fillId="53" borderId="79" xfId="72" applyFont="1" applyFill="1" applyBorder="1"/>
    <xf numFmtId="0" fontId="63" fillId="53" borderId="76" xfId="72" applyFont="1" applyFill="1" applyBorder="1"/>
    <xf numFmtId="0" fontId="55" fillId="48" borderId="14" xfId="0" applyFont="1" applyFill="1" applyBorder="1"/>
    <xf numFmtId="0" fontId="55" fillId="48" borderId="15" xfId="0" applyFont="1" applyFill="1" applyBorder="1"/>
    <xf numFmtId="0" fontId="55" fillId="48" borderId="13" xfId="0" applyFont="1" applyFill="1" applyBorder="1"/>
    <xf numFmtId="0" fontId="72" fillId="40" borderId="20" xfId="0" applyFont="1" applyFill="1" applyBorder="1"/>
    <xf numFmtId="0" fontId="72" fillId="40" borderId="21" xfId="0" applyFont="1" applyFill="1" applyBorder="1"/>
    <xf numFmtId="0" fontId="64" fillId="0" borderId="22" xfId="0" applyFont="1" applyBorder="1" applyAlignment="1">
      <alignment vertical="center" wrapText="1"/>
    </xf>
    <xf numFmtId="0" fontId="64" fillId="0" borderId="23" xfId="0" applyFont="1" applyBorder="1" applyAlignment="1">
      <alignment vertical="center" wrapText="1"/>
    </xf>
    <xf numFmtId="0" fontId="79" fillId="0" borderId="23" xfId="0" applyFont="1" applyBorder="1" applyAlignment="1">
      <alignment vertical="center" wrapText="1"/>
    </xf>
    <xf numFmtId="0" fontId="79" fillId="0" borderId="24" xfId="0" applyFont="1" applyBorder="1" applyAlignment="1">
      <alignment vertical="center" wrapText="1"/>
    </xf>
    <xf numFmtId="0" fontId="79" fillId="0" borderId="25" xfId="0" applyFont="1" applyBorder="1" applyAlignment="1">
      <alignment vertical="center" wrapText="1"/>
    </xf>
    <xf numFmtId="0" fontId="64" fillId="0" borderId="24" xfId="0" applyFont="1" applyBorder="1" applyAlignment="1">
      <alignment vertical="center" wrapText="1"/>
    </xf>
    <xf numFmtId="0" fontId="64" fillId="0" borderId="25" xfId="0" applyFont="1" applyBorder="1" applyAlignment="1">
      <alignment vertical="center" wrapText="1"/>
    </xf>
    <xf numFmtId="0" fontId="48" fillId="0" borderId="72" xfId="0" applyFont="1" applyBorder="1" applyAlignment="1">
      <alignment vertical="top" wrapText="1"/>
    </xf>
    <xf numFmtId="0" fontId="48" fillId="0" borderId="71" xfId="112" applyFont="1" applyBorder="1" applyAlignment="1">
      <alignment horizontal="left" vertical="top" wrapText="1"/>
    </xf>
    <xf numFmtId="0" fontId="63" fillId="40" borderId="14" xfId="127" applyFont="1" applyFill="1" applyBorder="1" applyAlignment="1">
      <alignment horizontal="center" vertical="center" wrapText="1"/>
    </xf>
    <xf numFmtId="0" fontId="48" fillId="51" borderId="72" xfId="114" applyFont="1" applyFill="1" applyBorder="1" applyAlignment="1">
      <alignment horizontal="center" wrapText="1"/>
    </xf>
    <xf numFmtId="0" fontId="52" fillId="51" borderId="42" xfId="113" applyFont="1" applyFill="1" applyBorder="1" applyAlignment="1">
      <alignment horizontal="center" wrapText="1"/>
    </xf>
    <xf numFmtId="0" fontId="52" fillId="51" borderId="43" xfId="116" applyFont="1" applyFill="1" applyBorder="1" applyAlignment="1">
      <alignment horizontal="center" wrapText="1"/>
    </xf>
    <xf numFmtId="0" fontId="52" fillId="51" borderId="75" xfId="116" applyFont="1" applyFill="1" applyBorder="1" applyAlignment="1">
      <alignment horizontal="center" wrapText="1"/>
    </xf>
    <xf numFmtId="0" fontId="52" fillId="51" borderId="42" xfId="116" applyFont="1" applyFill="1" applyBorder="1" applyAlignment="1">
      <alignment horizontal="center" wrapText="1"/>
    </xf>
    <xf numFmtId="0" fontId="52" fillId="51" borderId="44" xfId="116" applyFont="1" applyFill="1" applyBorder="1" applyAlignment="1">
      <alignment horizontal="center" wrapText="1"/>
    </xf>
    <xf numFmtId="0" fontId="55" fillId="0" borderId="20" xfId="72" applyFont="1" applyBorder="1" applyAlignment="1">
      <alignment horizontal="center"/>
    </xf>
    <xf numFmtId="0" fontId="55" fillId="0" borderId="34" xfId="72" applyFont="1" applyBorder="1" applyAlignment="1">
      <alignment horizontal="center"/>
    </xf>
    <xf numFmtId="0" fontId="55" fillId="0" borderId="21" xfId="72" applyFont="1" applyBorder="1" applyAlignment="1">
      <alignment horizontal="center"/>
    </xf>
    <xf numFmtId="0" fontId="55" fillId="40" borderId="0" xfId="0" applyFont="1" applyFill="1"/>
    <xf numFmtId="165" fontId="48" fillId="50" borderId="11" xfId="0" applyNumberFormat="1" applyFont="1" applyFill="1" applyBorder="1"/>
    <xf numFmtId="165" fontId="48" fillId="50" borderId="11" xfId="0" applyNumberFormat="1" applyFont="1" applyFill="1" applyBorder="1" applyAlignment="1">
      <alignment wrapText="1"/>
    </xf>
    <xf numFmtId="0" fontId="49" fillId="0" borderId="68" xfId="0" applyFont="1" applyBorder="1"/>
    <xf numFmtId="0" fontId="52" fillId="50" borderId="14" xfId="0" applyFont="1" applyFill="1" applyBorder="1" applyAlignment="1">
      <alignment vertical="center"/>
    </xf>
    <xf numFmtId="0" fontId="52" fillId="50" borderId="15" xfId="0" applyFont="1" applyFill="1" applyBorder="1" applyAlignment="1">
      <alignment vertical="center"/>
    </xf>
    <xf numFmtId="0" fontId="52" fillId="50" borderId="13" xfId="0" applyFont="1" applyFill="1" applyBorder="1" applyAlignment="1">
      <alignment vertical="center"/>
    </xf>
    <xf numFmtId="0" fontId="48" fillId="60" borderId="33" xfId="0" applyFont="1" applyFill="1" applyBorder="1" applyAlignment="1">
      <alignment horizontal="left" vertical="center" wrapText="1"/>
    </xf>
    <xf numFmtId="0" fontId="81" fillId="50" borderId="27" xfId="112" applyFont="1" applyFill="1" applyBorder="1" applyAlignment="1">
      <alignment horizontal="center" vertical="center" wrapText="1"/>
    </xf>
    <xf numFmtId="0" fontId="52" fillId="41" borderId="13" xfId="128" applyFont="1" applyFill="1" applyBorder="1" applyAlignment="1">
      <alignment horizontal="center" wrapText="1" shrinkToFit="1"/>
    </xf>
    <xf numFmtId="0" fontId="52" fillId="41" borderId="11" xfId="128" applyFont="1" applyFill="1" applyBorder="1" applyAlignment="1">
      <alignment horizontal="center" wrapText="1" shrinkToFit="1"/>
    </xf>
    <xf numFmtId="0" fontId="82" fillId="40" borderId="11" xfId="129" applyFont="1" applyFill="1" applyBorder="1" applyAlignment="1">
      <alignment vertical="center" wrapText="1"/>
    </xf>
    <xf numFmtId="0" fontId="48" fillId="0" borderId="11" xfId="72" applyFont="1" applyBorder="1" applyAlignment="1">
      <alignment wrapText="1" shrinkToFit="1"/>
    </xf>
    <xf numFmtId="0" fontId="54" fillId="70" borderId="11" xfId="128" applyFont="1" applyFill="1" applyBorder="1" applyAlignment="1">
      <alignment wrapText="1"/>
    </xf>
    <xf numFmtId="0" fontId="54" fillId="70" borderId="11" xfId="72" applyFont="1" applyFill="1" applyBorder="1" applyAlignment="1">
      <alignment wrapText="1"/>
    </xf>
    <xf numFmtId="0" fontId="54" fillId="0" borderId="11" xfId="72" applyFont="1" applyBorder="1" applyAlignment="1">
      <alignment wrapText="1"/>
    </xf>
    <xf numFmtId="0" fontId="54" fillId="71" borderId="11" xfId="72" applyFont="1" applyFill="1" applyBorder="1" applyAlignment="1">
      <alignment wrapText="1"/>
    </xf>
    <xf numFmtId="0" fontId="54" fillId="71" borderId="11" xfId="128" applyFont="1" applyFill="1" applyBorder="1" applyAlignment="1">
      <alignment wrapText="1"/>
    </xf>
    <xf numFmtId="0" fontId="54" fillId="42" borderId="11" xfId="72" applyFont="1" applyFill="1" applyBorder="1" applyAlignment="1">
      <alignment wrapText="1"/>
    </xf>
    <xf numFmtId="0" fontId="48" fillId="42" borderId="11" xfId="72" applyFont="1" applyFill="1" applyBorder="1" applyAlignment="1">
      <alignment wrapText="1" shrinkToFit="1"/>
    </xf>
    <xf numFmtId="0" fontId="48" fillId="42" borderId="14" xfId="72" applyFont="1" applyFill="1" applyBorder="1" applyAlignment="1">
      <alignment wrapText="1" shrinkToFit="1"/>
    </xf>
    <xf numFmtId="0" fontId="64" fillId="35" borderId="14" xfId="0" applyFont="1" applyFill="1" applyBorder="1" applyAlignment="1">
      <alignment vertical="center"/>
    </xf>
    <xf numFmtId="0" fontId="64" fillId="35" borderId="15" xfId="0" applyFont="1" applyFill="1" applyBorder="1" applyAlignment="1">
      <alignment vertical="center"/>
    </xf>
    <xf numFmtId="0" fontId="64" fillId="35" borderId="13" xfId="0" applyFont="1" applyFill="1" applyBorder="1" applyAlignment="1">
      <alignment vertical="center"/>
    </xf>
    <xf numFmtId="0" fontId="63" fillId="40" borderId="14" xfId="0" applyFont="1" applyFill="1" applyBorder="1" applyAlignment="1">
      <alignment horizontal="center" vertical="center" wrapText="1"/>
    </xf>
    <xf numFmtId="0" fontId="46" fillId="50" borderId="14" xfId="0" applyFont="1" applyFill="1" applyBorder="1" applyAlignment="1">
      <alignment horizontal="center" vertical="center" wrapText="1"/>
    </xf>
    <xf numFmtId="0" fontId="64" fillId="50" borderId="14" xfId="0" applyFont="1" applyFill="1" applyBorder="1" applyAlignment="1">
      <alignment horizontal="center" vertical="center" wrapText="1"/>
    </xf>
    <xf numFmtId="0" fontId="64" fillId="0" borderId="69" xfId="0" applyFont="1" applyBorder="1" applyAlignment="1">
      <alignment vertical="center"/>
    </xf>
    <xf numFmtId="0" fontId="63" fillId="40" borderId="14" xfId="0" applyFont="1" applyFill="1" applyBorder="1" applyAlignment="1">
      <alignment vertical="center"/>
    </xf>
    <xf numFmtId="0" fontId="63" fillId="40" borderId="13" xfId="0" applyFont="1" applyFill="1" applyBorder="1" applyAlignment="1">
      <alignment vertical="center"/>
    </xf>
    <xf numFmtId="0" fontId="64" fillId="0" borderId="14" xfId="0" applyFont="1" applyBorder="1" applyAlignment="1">
      <alignment vertical="center"/>
    </xf>
    <xf numFmtId="0" fontId="64" fillId="0" borderId="13" xfId="0" applyFont="1" applyBorder="1" applyAlignment="1">
      <alignment vertical="center"/>
    </xf>
    <xf numFmtId="0" fontId="64" fillId="0" borderId="14" xfId="127" applyFont="1" applyBorder="1" applyAlignment="1">
      <alignment vertical="center" wrapText="1"/>
    </xf>
    <xf numFmtId="0" fontId="48" fillId="0" borderId="14" xfId="127" applyFont="1" applyBorder="1" applyAlignment="1">
      <alignment vertical="center" wrapText="1"/>
    </xf>
    <xf numFmtId="0" fontId="54" fillId="0" borderId="0" xfId="127" applyFont="1" applyAlignment="1">
      <alignment vertical="top"/>
    </xf>
    <xf numFmtId="0" fontId="72" fillId="0" borderId="0" xfId="127" applyFont="1" applyAlignment="1">
      <alignment vertical="top"/>
    </xf>
    <xf numFmtId="0" fontId="81" fillId="50" borderId="11" xfId="112" applyFont="1" applyFill="1" applyBorder="1" applyAlignment="1">
      <alignment horizontal="center" vertical="center" wrapText="1"/>
    </xf>
    <xf numFmtId="0" fontId="81" fillId="50" borderId="34" xfId="112" applyFont="1" applyFill="1" applyBorder="1" applyAlignment="1">
      <alignment horizontal="center" vertical="center" wrapText="1"/>
    </xf>
    <xf numFmtId="0" fontId="48" fillId="35" borderId="18" xfId="0" applyFont="1" applyFill="1" applyBorder="1" applyAlignment="1">
      <alignment vertical="center" wrapText="1"/>
    </xf>
    <xf numFmtId="0" fontId="48" fillId="60" borderId="12" xfId="0" applyFont="1" applyFill="1" applyBorder="1" applyAlignment="1">
      <alignment vertical="center" wrapText="1"/>
    </xf>
    <xf numFmtId="0" fontId="81" fillId="50" borderId="12" xfId="112" applyFont="1" applyFill="1" applyBorder="1" applyAlignment="1">
      <alignment horizontal="center" vertical="center" wrapText="1"/>
    </xf>
    <xf numFmtId="0" fontId="48" fillId="35" borderId="40" xfId="0" applyFont="1" applyFill="1" applyBorder="1" applyAlignment="1">
      <alignment horizontal="left" vertical="center" wrapText="1"/>
    </xf>
    <xf numFmtId="0" fontId="81" fillId="50" borderId="33" xfId="112" applyFont="1" applyFill="1" applyBorder="1" applyAlignment="1">
      <alignment horizontal="center" vertical="center" wrapText="1"/>
    </xf>
    <xf numFmtId="0" fontId="55" fillId="40" borderId="64" xfId="0" applyFont="1" applyFill="1" applyBorder="1" applyAlignment="1">
      <alignment vertical="center"/>
    </xf>
    <xf numFmtId="0" fontId="55" fillId="40" borderId="61" xfId="0" applyFont="1" applyFill="1" applyBorder="1" applyAlignment="1">
      <alignment vertical="center" wrapText="1"/>
    </xf>
    <xf numFmtId="0" fontId="52" fillId="40" borderId="61" xfId="112" applyFont="1" applyFill="1" applyBorder="1" applyAlignment="1">
      <alignment horizontal="center" vertical="center"/>
    </xf>
    <xf numFmtId="0" fontId="55" fillId="40" borderId="32" xfId="0" applyFont="1" applyFill="1" applyBorder="1" applyAlignment="1">
      <alignment vertical="center" wrapText="1"/>
    </xf>
    <xf numFmtId="0" fontId="55" fillId="40" borderId="80" xfId="0" applyFont="1" applyFill="1" applyBorder="1" applyAlignment="1">
      <alignment vertical="center" wrapText="1"/>
    </xf>
    <xf numFmtId="0" fontId="52" fillId="35" borderId="64" xfId="112" applyFont="1" applyFill="1" applyBorder="1" applyAlignment="1">
      <alignment vertical="center"/>
    </xf>
    <xf numFmtId="0" fontId="52" fillId="35" borderId="61" xfId="112" applyFont="1" applyFill="1" applyBorder="1" applyAlignment="1">
      <alignment vertical="center"/>
    </xf>
    <xf numFmtId="0" fontId="52" fillId="35" borderId="32" xfId="112" applyFont="1" applyFill="1" applyBorder="1" applyAlignment="1">
      <alignment vertical="center"/>
    </xf>
    <xf numFmtId="0" fontId="48" fillId="35" borderId="39" xfId="0" applyFont="1" applyFill="1" applyBorder="1" applyAlignment="1">
      <alignment vertical="center"/>
    </xf>
    <xf numFmtId="0" fontId="48" fillId="35" borderId="30" xfId="0" applyFont="1" applyFill="1" applyBorder="1" applyAlignment="1">
      <alignment vertical="center"/>
    </xf>
    <xf numFmtId="0" fontId="54" fillId="35" borderId="35" xfId="112" applyFont="1" applyFill="1" applyBorder="1" applyAlignment="1">
      <alignment horizontal="left" vertical="center"/>
    </xf>
    <xf numFmtId="0" fontId="54" fillId="35" borderId="59" xfId="112" applyFont="1" applyFill="1" applyBorder="1" applyAlignment="1">
      <alignment horizontal="left" vertical="center"/>
    </xf>
    <xf numFmtId="0" fontId="52" fillId="35" borderId="58" xfId="112" applyFont="1" applyFill="1" applyBorder="1" applyAlignment="1">
      <alignment horizontal="left" vertical="center" indent="1"/>
    </xf>
    <xf numFmtId="0" fontId="55" fillId="35" borderId="29" xfId="0" applyFont="1" applyFill="1" applyBorder="1" applyAlignment="1">
      <alignment horizontal="left" vertical="center" indent="1"/>
    </xf>
    <xf numFmtId="0" fontId="52" fillId="40" borderId="12" xfId="112" applyFont="1" applyFill="1" applyBorder="1" applyAlignment="1">
      <alignment horizontal="center" vertical="center"/>
    </xf>
    <xf numFmtId="0" fontId="55" fillId="40" borderId="12" xfId="0" applyFont="1" applyFill="1" applyBorder="1" applyAlignment="1">
      <alignment vertical="center" wrapText="1"/>
    </xf>
    <xf numFmtId="0" fontId="55" fillId="40" borderId="20" xfId="0" applyFont="1" applyFill="1" applyBorder="1" applyAlignment="1">
      <alignment vertical="center" wrapText="1"/>
    </xf>
    <xf numFmtId="0" fontId="55" fillId="40" borderId="34" xfId="0" applyFont="1" applyFill="1" applyBorder="1" applyAlignment="1">
      <alignment vertical="center" wrapText="1"/>
    </xf>
    <xf numFmtId="0" fontId="55" fillId="40" borderId="61" xfId="0" applyFont="1" applyFill="1" applyBorder="1" applyAlignment="1">
      <alignment vertical="center"/>
    </xf>
    <xf numFmtId="0" fontId="55" fillId="40" borderId="61" xfId="0" applyFont="1" applyFill="1" applyBorder="1" applyAlignment="1">
      <alignment horizontal="center" vertical="center"/>
    </xf>
    <xf numFmtId="0" fontId="52" fillId="40" borderId="32" xfId="112" applyFont="1" applyFill="1" applyBorder="1" applyAlignment="1">
      <alignment horizontal="center" vertical="center"/>
    </xf>
    <xf numFmtId="0" fontId="68" fillId="60" borderId="11" xfId="112" applyFont="1" applyFill="1" applyBorder="1" applyAlignment="1">
      <alignment horizontal="left" vertical="center" wrapText="1"/>
    </xf>
    <xf numFmtId="0" fontId="48" fillId="35" borderId="20" xfId="112" applyFont="1" applyFill="1" applyBorder="1" applyAlignment="1">
      <alignment horizontal="left" vertical="center" wrapText="1"/>
    </xf>
    <xf numFmtId="0" fontId="48" fillId="35" borderId="56" xfId="112" applyFont="1" applyFill="1" applyBorder="1" applyAlignment="1">
      <alignment horizontal="left" vertical="center" wrapText="1"/>
    </xf>
    <xf numFmtId="0" fontId="81" fillId="50" borderId="43" xfId="112" applyFont="1" applyFill="1" applyBorder="1" applyAlignment="1">
      <alignment horizontal="center" vertical="center" wrapText="1"/>
    </xf>
    <xf numFmtId="0" fontId="81" fillId="50" borderId="37" xfId="112" applyFont="1" applyFill="1" applyBorder="1" applyAlignment="1">
      <alignment horizontal="center" vertical="center" wrapText="1"/>
    </xf>
    <xf numFmtId="0" fontId="70" fillId="0" borderId="0" xfId="112" applyFont="1"/>
    <xf numFmtId="0" fontId="85" fillId="0" borderId="11" xfId="112" applyFont="1" applyBorder="1"/>
    <xf numFmtId="0" fontId="70" fillId="0" borderId="11" xfId="112" applyFont="1" applyBorder="1" applyAlignment="1">
      <alignment wrapText="1"/>
    </xf>
    <xf numFmtId="0" fontId="53" fillId="0" borderId="11" xfId="112" applyFont="1" applyBorder="1" applyAlignment="1">
      <alignment wrapText="1"/>
    </xf>
    <xf numFmtId="0" fontId="83" fillId="0" borderId="11" xfId="112" applyFont="1" applyBorder="1" applyAlignment="1">
      <alignment wrapText="1"/>
    </xf>
    <xf numFmtId="0" fontId="53" fillId="60" borderId="11" xfId="112" applyFont="1" applyFill="1" applyBorder="1" applyAlignment="1">
      <alignment wrapText="1"/>
    </xf>
    <xf numFmtId="0" fontId="53" fillId="60" borderId="11" xfId="112" quotePrefix="1" applyFont="1" applyFill="1" applyBorder="1" applyAlignment="1">
      <alignment wrapText="1"/>
    </xf>
    <xf numFmtId="0" fontId="54" fillId="60" borderId="11" xfId="112" applyFont="1" applyFill="1" applyBorder="1" applyAlignment="1">
      <alignment wrapText="1"/>
    </xf>
    <xf numFmtId="0" fontId="52" fillId="40" borderId="60" xfId="112" applyFont="1" applyFill="1" applyBorder="1" applyAlignment="1">
      <alignment horizontal="center" vertical="center"/>
    </xf>
    <xf numFmtId="0" fontId="54" fillId="0" borderId="47" xfId="112" applyFont="1" applyBorder="1"/>
    <xf numFmtId="0" fontId="70" fillId="0" borderId="47" xfId="112" applyFont="1" applyBorder="1"/>
    <xf numFmtId="0" fontId="52" fillId="40" borderId="60" xfId="112" applyFont="1" applyFill="1" applyBorder="1" applyAlignment="1">
      <alignment horizontal="left" vertical="center"/>
    </xf>
    <xf numFmtId="0" fontId="52" fillId="40" borderId="62" xfId="112" applyFont="1" applyFill="1" applyBorder="1" applyAlignment="1">
      <alignment horizontal="left" vertical="center"/>
    </xf>
    <xf numFmtId="0" fontId="52" fillId="40" borderId="62" xfId="112" applyFont="1" applyFill="1" applyBorder="1" applyAlignment="1">
      <alignment vertical="center"/>
    </xf>
    <xf numFmtId="0" fontId="52" fillId="51" borderId="58" xfId="116" applyFont="1" applyFill="1" applyBorder="1"/>
    <xf numFmtId="0" fontId="52" fillId="51" borderId="35" xfId="116" applyFont="1" applyFill="1" applyBorder="1"/>
    <xf numFmtId="0" fontId="52" fillId="51" borderId="59" xfId="116" applyFont="1" applyFill="1" applyBorder="1"/>
    <xf numFmtId="0" fontId="54" fillId="0" borderId="38" xfId="119" applyFont="1" applyBorder="1" applyAlignment="1">
      <alignment wrapText="1"/>
    </xf>
    <xf numFmtId="0" fontId="63" fillId="52" borderId="29" xfId="72" applyFont="1" applyFill="1" applyBorder="1"/>
    <xf numFmtId="0" fontId="63" fillId="52" borderId="39" xfId="72" applyFont="1" applyFill="1" applyBorder="1"/>
    <xf numFmtId="0" fontId="63" fillId="52" borderId="30" xfId="72" applyFont="1" applyFill="1" applyBorder="1"/>
    <xf numFmtId="0" fontId="52" fillId="51" borderId="50" xfId="116" applyFont="1" applyFill="1" applyBorder="1" applyAlignment="1">
      <alignment horizontal="center" wrapText="1"/>
    </xf>
    <xf numFmtId="0" fontId="52" fillId="51" borderId="56" xfId="113" applyFont="1" applyFill="1" applyBorder="1" applyAlignment="1">
      <alignment wrapText="1"/>
    </xf>
    <xf numFmtId="0" fontId="52" fillId="51" borderId="55" xfId="116" applyFont="1" applyFill="1" applyBorder="1" applyAlignment="1">
      <alignment wrapText="1"/>
    </xf>
    <xf numFmtId="0" fontId="52" fillId="51" borderId="78" xfId="116" applyFont="1" applyFill="1" applyBorder="1" applyAlignment="1">
      <alignment wrapText="1"/>
    </xf>
    <xf numFmtId="0" fontId="52" fillId="51" borderId="56" xfId="116" applyFont="1" applyFill="1" applyBorder="1" applyAlignment="1">
      <alignment wrapText="1"/>
    </xf>
    <xf numFmtId="0" fontId="52" fillId="56" borderId="54" xfId="116" applyFont="1" applyFill="1" applyBorder="1"/>
    <xf numFmtId="0" fontId="52" fillId="51" borderId="57" xfId="116" applyFont="1" applyFill="1" applyBorder="1" applyAlignment="1">
      <alignment wrapText="1"/>
    </xf>
    <xf numFmtId="0" fontId="52" fillId="51" borderId="20" xfId="116" applyFont="1" applyFill="1" applyBorder="1" applyAlignment="1">
      <alignment horizontal="center" vertical="center" wrapText="1"/>
    </xf>
    <xf numFmtId="0" fontId="52" fillId="51" borderId="36" xfId="116" applyFont="1" applyFill="1" applyBorder="1" applyAlignment="1">
      <alignment horizontal="center" vertical="center" wrapText="1"/>
    </xf>
    <xf numFmtId="0" fontId="52" fillId="51" borderId="34" xfId="116" applyFont="1" applyFill="1" applyBorder="1" applyAlignment="1">
      <alignment horizontal="center" vertical="center" wrapText="1"/>
    </xf>
    <xf numFmtId="0" fontId="52" fillId="51" borderId="21" xfId="116" applyFont="1" applyFill="1" applyBorder="1" applyAlignment="1">
      <alignment horizontal="center" vertical="center" wrapText="1"/>
    </xf>
    <xf numFmtId="0" fontId="52" fillId="51" borderId="53" xfId="116" applyFont="1" applyFill="1" applyBorder="1" applyAlignment="1">
      <alignment horizontal="center" vertical="center" wrapText="1"/>
    </xf>
    <xf numFmtId="0" fontId="52" fillId="51" borderId="50" xfId="116" applyFont="1" applyFill="1" applyBorder="1" applyAlignment="1">
      <alignment horizontal="center" vertical="center"/>
    </xf>
    <xf numFmtId="0" fontId="52" fillId="51" borderId="24" xfId="116" applyFont="1" applyFill="1" applyBorder="1"/>
    <xf numFmtId="0" fontId="52" fillId="51" borderId="25" xfId="116" applyFont="1" applyFill="1" applyBorder="1"/>
    <xf numFmtId="0" fontId="52" fillId="51" borderId="14" xfId="126" applyFont="1" applyFill="1" applyBorder="1"/>
    <xf numFmtId="0" fontId="52" fillId="51" borderId="15" xfId="126" applyFont="1" applyFill="1" applyBorder="1"/>
    <xf numFmtId="0" fontId="52" fillId="51" borderId="13" xfId="126" applyFont="1" applyFill="1" applyBorder="1"/>
    <xf numFmtId="0" fontId="55" fillId="51" borderId="29" xfId="126" applyFont="1" applyFill="1" applyBorder="1"/>
    <xf numFmtId="0" fontId="55" fillId="51" borderId="39" xfId="126" applyFont="1" applyFill="1" applyBorder="1"/>
    <xf numFmtId="0" fontId="55" fillId="51" borderId="30" xfId="126" applyFont="1" applyFill="1" applyBorder="1"/>
    <xf numFmtId="0" fontId="48" fillId="0" borderId="28" xfId="126" applyFont="1" applyBorder="1"/>
    <xf numFmtId="0" fontId="55" fillId="56" borderId="81" xfId="126" applyFont="1" applyFill="1" applyBorder="1" applyAlignment="1">
      <alignment horizontal="center" vertical="center"/>
    </xf>
    <xf numFmtId="0" fontId="55" fillId="56" borderId="55" xfId="126" applyFont="1" applyFill="1" applyBorder="1" applyAlignment="1">
      <alignment horizontal="center" vertical="center"/>
    </xf>
    <xf numFmtId="0" fontId="55" fillId="56" borderId="57" xfId="126" applyFont="1" applyFill="1" applyBorder="1" applyAlignment="1">
      <alignment horizontal="center" vertical="center"/>
    </xf>
    <xf numFmtId="0" fontId="55" fillId="61" borderId="81" xfId="126" applyFont="1" applyFill="1" applyBorder="1" applyAlignment="1">
      <alignment horizontal="center" vertical="center"/>
    </xf>
    <xf numFmtId="0" fontId="55" fillId="61" borderId="57" xfId="126" applyFont="1" applyFill="1" applyBorder="1" applyAlignment="1">
      <alignment horizontal="center" vertical="center"/>
    </xf>
    <xf numFmtId="0" fontId="52" fillId="0" borderId="74" xfId="126" applyFont="1" applyBorder="1" applyAlignment="1">
      <alignment horizontal="center" vertical="center"/>
    </xf>
    <xf numFmtId="0" fontId="55" fillId="51" borderId="64" xfId="126" applyFont="1" applyFill="1" applyBorder="1"/>
    <xf numFmtId="0" fontId="55" fillId="51" borderId="61" xfId="126" applyFont="1" applyFill="1" applyBorder="1"/>
    <xf numFmtId="0" fontId="55" fillId="51" borderId="32" xfId="126" applyFont="1" applyFill="1" applyBorder="1"/>
    <xf numFmtId="0" fontId="48" fillId="0" borderId="50" xfId="126" applyFont="1" applyBorder="1"/>
    <xf numFmtId="0" fontId="54" fillId="55" borderId="53" xfId="126" applyFont="1" applyFill="1" applyBorder="1" applyAlignment="1">
      <alignment horizontal="center"/>
    </xf>
    <xf numFmtId="2" fontId="54" fillId="55" borderId="34" xfId="126" applyNumberFormat="1" applyFont="1" applyFill="1" applyBorder="1" applyAlignment="1">
      <alignment horizontal="center"/>
    </xf>
    <xf numFmtId="0" fontId="54" fillId="55" borderId="21" xfId="126" applyFont="1" applyFill="1" applyBorder="1" applyAlignment="1">
      <alignment horizontal="center"/>
    </xf>
    <xf numFmtId="0" fontId="54" fillId="62" borderId="53" xfId="126" applyFont="1" applyFill="1" applyBorder="1" applyAlignment="1">
      <alignment horizontal="center"/>
    </xf>
    <xf numFmtId="2" fontId="54" fillId="62" borderId="21" xfId="126" applyNumberFormat="1" applyFont="1" applyFill="1" applyBorder="1" applyAlignment="1">
      <alignment horizontal="center"/>
    </xf>
    <xf numFmtId="0" fontId="48" fillId="0" borderId="29" xfId="126" quotePrefix="1" applyFont="1" applyBorder="1"/>
    <xf numFmtId="0" fontId="54" fillId="0" borderId="39" xfId="126" applyFont="1" applyBorder="1"/>
    <xf numFmtId="0" fontId="54" fillId="0" borderId="30" xfId="126" applyFont="1" applyBorder="1"/>
    <xf numFmtId="0" fontId="52" fillId="40" borderId="58" xfId="126" applyFont="1" applyFill="1" applyBorder="1"/>
    <xf numFmtId="0" fontId="52" fillId="40" borderId="35" xfId="126" applyFont="1" applyFill="1" applyBorder="1"/>
    <xf numFmtId="0" fontId="52" fillId="40" borderId="59" xfId="126" applyFont="1" applyFill="1" applyBorder="1"/>
    <xf numFmtId="0" fontId="55" fillId="52" borderId="61" xfId="72" applyFont="1" applyFill="1" applyBorder="1"/>
    <xf numFmtId="0" fontId="55" fillId="52" borderId="32" xfId="72" applyFont="1" applyFill="1" applyBorder="1"/>
    <xf numFmtId="0" fontId="55" fillId="52" borderId="58" xfId="72" applyFont="1" applyFill="1" applyBorder="1"/>
    <xf numFmtId="0" fontId="55" fillId="0" borderId="0" xfId="72" applyFont="1"/>
    <xf numFmtId="0" fontId="55" fillId="63" borderId="47" xfId="72" applyFont="1" applyFill="1" applyBorder="1" applyAlignment="1">
      <alignment horizontal="center"/>
    </xf>
    <xf numFmtId="0" fontId="55" fillId="0" borderId="71" xfId="72" applyFont="1" applyBorder="1"/>
    <xf numFmtId="0" fontId="55" fillId="0" borderId="74" xfId="72" applyFont="1" applyBorder="1"/>
    <xf numFmtId="0" fontId="55" fillId="0" borderId="72" xfId="72" applyFont="1" applyBorder="1" applyAlignment="1">
      <alignment horizontal="center"/>
    </xf>
    <xf numFmtId="0" fontId="55" fillId="0" borderId="53" xfId="72" applyFont="1" applyBorder="1" applyAlignment="1">
      <alignment horizontal="center"/>
    </xf>
    <xf numFmtId="0" fontId="55" fillId="0" borderId="38" xfId="72" applyFont="1" applyBorder="1"/>
    <xf numFmtId="0" fontId="55" fillId="40" borderId="32" xfId="0" applyFont="1" applyFill="1" applyBorder="1" applyAlignment="1">
      <alignment vertical="center"/>
    </xf>
    <xf numFmtId="0" fontId="55" fillId="40" borderId="64" xfId="0" applyFont="1" applyFill="1" applyBorder="1" applyAlignment="1">
      <alignment horizontal="right" vertical="center"/>
    </xf>
    <xf numFmtId="0" fontId="48" fillId="0" borderId="35" xfId="0" applyFont="1" applyBorder="1" applyAlignment="1">
      <alignment vertical="top"/>
    </xf>
    <xf numFmtId="0" fontId="54" fillId="56" borderId="19" xfId="114" applyFont="1" applyFill="1" applyBorder="1"/>
    <xf numFmtId="0" fontId="54" fillId="51" borderId="61" xfId="114" applyFont="1" applyFill="1" applyBorder="1"/>
    <xf numFmtId="0" fontId="54" fillId="51" borderId="32" xfId="114" applyFont="1" applyFill="1" applyBorder="1"/>
    <xf numFmtId="0" fontId="48" fillId="51" borderId="74" xfId="114" applyFont="1" applyFill="1" applyBorder="1" applyAlignment="1">
      <alignment wrapText="1"/>
    </xf>
    <xf numFmtId="0" fontId="54" fillId="56" borderId="18" xfId="114" applyFont="1" applyFill="1" applyBorder="1" applyAlignment="1">
      <alignment horizontal="center" wrapText="1"/>
    </xf>
    <xf numFmtId="0" fontId="54" fillId="56" borderId="12" xfId="114" applyFont="1" applyFill="1" applyBorder="1" applyAlignment="1">
      <alignment horizontal="center" wrapText="1"/>
    </xf>
    <xf numFmtId="0" fontId="81" fillId="50" borderId="55" xfId="112" applyFont="1" applyFill="1" applyBorder="1" applyAlignment="1">
      <alignment horizontal="center" vertical="center" wrapText="1"/>
    </xf>
    <xf numFmtId="0" fontId="68" fillId="35" borderId="22" xfId="112" applyFont="1" applyFill="1" applyBorder="1" applyAlignment="1">
      <alignment horizontal="left" vertical="center" wrapText="1"/>
    </xf>
    <xf numFmtId="0" fontId="0" fillId="0" borderId="0" xfId="0" applyAlignment="1">
      <alignment horizontal="center"/>
    </xf>
    <xf numFmtId="0" fontId="83" fillId="0" borderId="47" xfId="112" applyFont="1" applyBorder="1"/>
    <xf numFmtId="0" fontId="87" fillId="0" borderId="0" xfId="0" applyFont="1"/>
    <xf numFmtId="0" fontId="54" fillId="60" borderId="11" xfId="112" quotePrefix="1" applyFont="1" applyFill="1" applyBorder="1" applyAlignment="1">
      <alignment wrapText="1"/>
    </xf>
    <xf numFmtId="0" fontId="54" fillId="60" borderId="11" xfId="112" quotePrefix="1" applyFont="1" applyFill="1" applyBorder="1" applyAlignment="1">
      <alignment horizontal="left" vertical="center" wrapText="1"/>
    </xf>
    <xf numFmtId="177" fontId="54" fillId="50" borderId="26" xfId="64" applyNumberFormat="1" applyFont="1" applyFill="1" applyBorder="1" applyAlignment="1" applyProtection="1">
      <alignment horizontal="center" vertical="center" wrapText="1"/>
    </xf>
    <xf numFmtId="177" fontId="54" fillId="50" borderId="36" xfId="64" applyNumberFormat="1" applyFont="1" applyFill="1" applyBorder="1" applyAlignment="1" applyProtection="1">
      <alignment horizontal="center" vertical="center" wrapText="1"/>
    </xf>
    <xf numFmtId="177" fontId="54" fillId="50" borderId="70" xfId="64" applyNumberFormat="1" applyFont="1" applyFill="1" applyBorder="1" applyAlignment="1" applyProtection="1">
      <alignment horizontal="center" vertical="center" wrapText="1"/>
    </xf>
    <xf numFmtId="177" fontId="54" fillId="50" borderId="11" xfId="64" applyNumberFormat="1" applyFont="1" applyFill="1" applyBorder="1" applyAlignment="1" applyProtection="1">
      <alignment horizontal="center" vertical="center" wrapText="1"/>
    </xf>
    <xf numFmtId="0" fontId="52" fillId="68" borderId="60" xfId="0" applyFont="1" applyFill="1" applyBorder="1" applyAlignment="1">
      <alignment horizontal="center" vertical="center" wrapText="1"/>
    </xf>
    <xf numFmtId="177" fontId="54" fillId="50" borderId="14" xfId="64" applyNumberFormat="1" applyFont="1" applyFill="1" applyBorder="1" applyAlignment="1" applyProtection="1">
      <alignment horizontal="center" vertical="center" wrapText="1"/>
    </xf>
    <xf numFmtId="0" fontId="54" fillId="50" borderId="60" xfId="0" applyFont="1" applyFill="1" applyBorder="1" applyAlignment="1">
      <alignment horizontal="center" vertical="center" wrapText="1"/>
    </xf>
    <xf numFmtId="177" fontId="54" fillId="50" borderId="75" xfId="64" applyNumberFormat="1" applyFont="1" applyFill="1" applyBorder="1" applyAlignment="1" applyProtection="1">
      <alignment horizontal="center" vertical="center" wrapText="1"/>
    </xf>
    <xf numFmtId="176" fontId="54" fillId="50" borderId="11" xfId="64" applyNumberFormat="1" applyFont="1" applyFill="1" applyBorder="1" applyAlignment="1" applyProtection="1">
      <alignment horizontal="center" vertical="center" wrapText="1"/>
    </xf>
    <xf numFmtId="176" fontId="54" fillId="50" borderId="78" xfId="64" applyNumberFormat="1" applyFont="1" applyFill="1" applyBorder="1" applyAlignment="1" applyProtection="1">
      <alignment horizontal="center" vertical="center" wrapText="1"/>
    </xf>
    <xf numFmtId="176" fontId="54" fillId="50" borderId="70" xfId="64" applyNumberFormat="1" applyFont="1" applyFill="1" applyBorder="1" applyAlignment="1" applyProtection="1">
      <alignment horizontal="center" vertical="center" wrapText="1"/>
    </xf>
    <xf numFmtId="176" fontId="54" fillId="50" borderId="26" xfId="64" applyNumberFormat="1" applyFont="1" applyFill="1" applyBorder="1" applyAlignment="1" applyProtection="1">
      <alignment horizontal="center" vertical="center" wrapText="1"/>
    </xf>
    <xf numFmtId="176" fontId="54" fillId="50" borderId="37" xfId="64" applyNumberFormat="1" applyFont="1" applyFill="1" applyBorder="1" applyAlignment="1" applyProtection="1">
      <alignment horizontal="center" vertical="center" wrapText="1"/>
    </xf>
    <xf numFmtId="0" fontId="64" fillId="0" borderId="11" xfId="0" applyFont="1" applyBorder="1" applyAlignment="1">
      <alignment vertical="center" wrapText="1"/>
    </xf>
    <xf numFmtId="0" fontId="64" fillId="0" borderId="11" xfId="0" applyFont="1" applyBorder="1" applyAlignment="1">
      <alignment vertical="center"/>
    </xf>
    <xf numFmtId="0" fontId="64" fillId="0" borderId="12" xfId="0" applyFont="1" applyBorder="1" applyAlignment="1">
      <alignment vertical="center" wrapText="1"/>
    </xf>
    <xf numFmtId="0" fontId="64" fillId="0" borderId="12" xfId="0" applyFont="1" applyBorder="1" applyAlignment="1">
      <alignment vertical="center"/>
    </xf>
    <xf numFmtId="0" fontId="64" fillId="0" borderId="18" xfId="0" applyFont="1" applyBorder="1" applyAlignment="1">
      <alignment vertical="center" wrapText="1"/>
    </xf>
    <xf numFmtId="8" fontId="64" fillId="0" borderId="19" xfId="0" applyNumberFormat="1" applyFont="1" applyBorder="1" applyAlignment="1">
      <alignment horizontal="right" vertical="center" wrapText="1"/>
    </xf>
    <xf numFmtId="8" fontId="64" fillId="0" borderId="23" xfId="0" applyNumberFormat="1" applyFont="1" applyBorder="1" applyAlignment="1">
      <alignment horizontal="right" vertical="center" wrapText="1"/>
    </xf>
    <xf numFmtId="0" fontId="64" fillId="0" borderId="37" xfId="0" applyFont="1" applyBorder="1" applyAlignment="1">
      <alignment vertical="center"/>
    </xf>
    <xf numFmtId="0" fontId="64" fillId="0" borderId="37" xfId="0" applyFont="1" applyBorder="1" applyAlignment="1">
      <alignment vertical="center" wrapText="1"/>
    </xf>
    <xf numFmtId="8" fontId="64" fillId="0" borderId="25" xfId="0" applyNumberFormat="1" applyFont="1" applyBorder="1" applyAlignment="1">
      <alignment horizontal="right" vertical="center" wrapText="1"/>
    </xf>
    <xf numFmtId="0" fontId="64" fillId="0" borderId="56" xfId="0" applyFont="1" applyBorder="1" applyAlignment="1">
      <alignment vertical="center" wrapText="1"/>
    </xf>
    <xf numFmtId="0" fontId="64" fillId="0" borderId="55" xfId="0" applyFont="1" applyBorder="1" applyAlignment="1">
      <alignment vertical="center"/>
    </xf>
    <xf numFmtId="0" fontId="64" fillId="0" borderId="55" xfId="0" applyFont="1" applyBorder="1" applyAlignment="1">
      <alignment vertical="center" wrapText="1"/>
    </xf>
    <xf numFmtId="8" fontId="64" fillId="0" borderId="57" xfId="0" applyNumberFormat="1" applyFont="1" applyBorder="1" applyAlignment="1">
      <alignment horizontal="right" vertical="center" wrapText="1"/>
    </xf>
    <xf numFmtId="2" fontId="64" fillId="0" borderId="12" xfId="0" applyNumberFormat="1" applyFont="1" applyBorder="1" applyAlignment="1">
      <alignment horizontal="right" vertical="center"/>
    </xf>
    <xf numFmtId="2" fontId="64" fillId="0" borderId="37" xfId="0" applyNumberFormat="1" applyFont="1" applyBorder="1" applyAlignment="1">
      <alignment horizontal="right" vertical="center"/>
    </xf>
    <xf numFmtId="2" fontId="64" fillId="0" borderId="11" xfId="0" applyNumberFormat="1" applyFont="1" applyBorder="1" applyAlignment="1">
      <alignment horizontal="right" vertical="center"/>
    </xf>
    <xf numFmtId="2" fontId="64" fillId="0" borderId="55" xfId="0" applyNumberFormat="1" applyFont="1" applyBorder="1" applyAlignment="1">
      <alignment horizontal="right" vertical="center"/>
    </xf>
    <xf numFmtId="0" fontId="64" fillId="0" borderId="16" xfId="0" applyFont="1" applyBorder="1" applyAlignment="1">
      <alignment vertical="center" wrapText="1"/>
    </xf>
    <xf numFmtId="0" fontId="64" fillId="0" borderId="49" xfId="0" applyFont="1" applyBorder="1" applyAlignment="1">
      <alignment vertical="center"/>
    </xf>
    <xf numFmtId="0" fontId="64" fillId="0" borderId="49" xfId="0" applyFont="1" applyBorder="1" applyAlignment="1">
      <alignment vertical="center" wrapText="1"/>
    </xf>
    <xf numFmtId="2" fontId="64" fillId="0" borderId="49" xfId="0" applyNumberFormat="1" applyFont="1" applyBorder="1" applyAlignment="1">
      <alignment horizontal="right" vertical="center"/>
    </xf>
    <xf numFmtId="8" fontId="64" fillId="0" borderId="17" xfId="0" applyNumberFormat="1" applyFont="1" applyBorder="1" applyAlignment="1">
      <alignment horizontal="right" vertical="center" wrapText="1"/>
    </xf>
    <xf numFmtId="0" fontId="64" fillId="0" borderId="24" xfId="0" applyFont="1" applyBorder="1" applyAlignment="1">
      <alignment vertical="center"/>
    </xf>
    <xf numFmtId="0" fontId="64" fillId="0" borderId="37" xfId="0" applyFont="1" applyBorder="1" applyAlignment="1">
      <alignment horizontal="center" vertical="center"/>
    </xf>
    <xf numFmtId="0" fontId="64" fillId="0" borderId="37" xfId="0" applyFont="1" applyBorder="1" applyAlignment="1">
      <alignment horizontal="center" vertical="center" wrapText="1"/>
    </xf>
    <xf numFmtId="0" fontId="64" fillId="0" borderId="25" xfId="0" applyFont="1" applyBorder="1" applyAlignment="1">
      <alignment horizontal="right" vertical="center" wrapText="1"/>
    </xf>
    <xf numFmtId="0" fontId="64" fillId="0" borderId="12" xfId="0" applyFont="1" applyBorder="1" applyAlignment="1">
      <alignment horizontal="center" vertical="center"/>
    </xf>
    <xf numFmtId="0" fontId="64" fillId="0" borderId="12" xfId="0" applyFont="1" applyBorder="1" applyAlignment="1">
      <alignment horizontal="center" vertical="center" wrapText="1"/>
    </xf>
    <xf numFmtId="0" fontId="64" fillId="0" borderId="19" xfId="0" applyFont="1" applyBorder="1" applyAlignment="1">
      <alignment horizontal="right" vertical="center" wrapText="1"/>
    </xf>
    <xf numFmtId="0" fontId="64" fillId="0" borderId="24" xfId="0" applyFont="1" applyBorder="1" applyAlignment="1">
      <alignment horizontal="left" vertical="center"/>
    </xf>
    <xf numFmtId="0" fontId="64" fillId="0" borderId="18" xfId="0" applyFont="1" applyBorder="1" applyAlignment="1">
      <alignment vertical="center"/>
    </xf>
    <xf numFmtId="0" fontId="64" fillId="0" borderId="55" xfId="0" applyFont="1" applyBorder="1" applyAlignment="1">
      <alignment horizontal="center" vertical="center"/>
    </xf>
    <xf numFmtId="0" fontId="64" fillId="0" borderId="55" xfId="0" applyFont="1" applyBorder="1" applyAlignment="1">
      <alignment horizontal="center" vertical="center" wrapText="1"/>
    </xf>
    <xf numFmtId="0" fontId="64" fillId="0" borderId="56" xfId="0" applyFont="1" applyBorder="1" applyAlignment="1">
      <alignment vertical="center"/>
    </xf>
    <xf numFmtId="0" fontId="63" fillId="40" borderId="16" xfId="0" applyFont="1" applyFill="1" applyBorder="1" applyAlignment="1">
      <alignment horizontal="center" vertical="center"/>
    </xf>
    <xf numFmtId="170" fontId="64" fillId="0" borderId="19" xfId="0" applyNumberFormat="1" applyFont="1" applyBorder="1" applyAlignment="1">
      <alignment vertical="center" wrapText="1"/>
    </xf>
    <xf numFmtId="170" fontId="64" fillId="0" borderId="25" xfId="0" applyNumberFormat="1" applyFont="1" applyBorder="1" applyAlignment="1">
      <alignment vertical="center" wrapText="1"/>
    </xf>
    <xf numFmtId="170" fontId="64" fillId="0" borderId="25" xfId="0" applyNumberFormat="1" applyFont="1" applyBorder="1" applyAlignment="1">
      <alignment horizontal="right" vertical="center" wrapText="1"/>
    </xf>
    <xf numFmtId="170" fontId="64" fillId="0" borderId="57" xfId="0" applyNumberFormat="1" applyFont="1" applyBorder="1" applyAlignment="1">
      <alignment horizontal="right" vertical="center" wrapText="1"/>
    </xf>
    <xf numFmtId="1" fontId="64" fillId="0" borderId="19" xfId="0" applyNumberFormat="1" applyFont="1" applyBorder="1" applyAlignment="1">
      <alignment vertical="center" wrapText="1"/>
    </xf>
    <xf numFmtId="1" fontId="64" fillId="0" borderId="25" xfId="0" applyNumberFormat="1" applyFont="1" applyBorder="1" applyAlignment="1">
      <alignment vertical="center" wrapText="1"/>
    </xf>
    <xf numFmtId="0" fontId="54" fillId="0" borderId="37" xfId="112" applyFont="1" applyBorder="1" applyAlignment="1">
      <alignment horizontal="left" vertical="center" wrapText="1"/>
    </xf>
    <xf numFmtId="0" fontId="54" fillId="0" borderId="11" xfId="112" applyFont="1" applyBorder="1" applyAlignment="1">
      <alignment wrapText="1"/>
    </xf>
    <xf numFmtId="0" fontId="54" fillId="0" borderId="11" xfId="112" applyFont="1" applyBorder="1" applyAlignment="1">
      <alignment horizontal="left" vertical="center" wrapText="1"/>
    </xf>
    <xf numFmtId="0" fontId="54" fillId="0" borderId="33" xfId="112" applyFont="1" applyBorder="1" applyAlignment="1">
      <alignment horizontal="left" vertical="center" wrapText="1"/>
    </xf>
    <xf numFmtId="3" fontId="48" fillId="50" borderId="11" xfId="112" applyNumberFormat="1" applyFont="1" applyFill="1" applyBorder="1" applyAlignment="1">
      <alignment wrapText="1"/>
    </xf>
    <xf numFmtId="0" fontId="52" fillId="40" borderId="30" xfId="112" applyFont="1" applyFill="1" applyBorder="1" applyAlignment="1">
      <alignment horizontal="center" vertical="center"/>
    </xf>
    <xf numFmtId="0" fontId="68" fillId="46" borderId="63" xfId="112" applyFont="1" applyFill="1" applyBorder="1" applyAlignment="1" applyProtection="1">
      <alignment horizontal="center" vertical="center" wrapText="1"/>
      <protection locked="0"/>
    </xf>
    <xf numFmtId="0" fontId="52" fillId="0" borderId="0" xfId="0" applyFont="1" applyAlignment="1">
      <alignment horizontal="right" vertical="center"/>
    </xf>
    <xf numFmtId="0" fontId="52" fillId="0" borderId="0" xfId="0" applyFont="1" applyAlignment="1">
      <alignment vertical="center"/>
    </xf>
    <xf numFmtId="0" fontId="70" fillId="0" borderId="12" xfId="112" applyFont="1" applyBorder="1" applyAlignment="1">
      <alignment wrapText="1"/>
    </xf>
    <xf numFmtId="0" fontId="53" fillId="0" borderId="12" xfId="112" applyFont="1" applyBorder="1" applyAlignment="1">
      <alignment wrapText="1"/>
    </xf>
    <xf numFmtId="0" fontId="84" fillId="0" borderId="11" xfId="112" applyFont="1" applyBorder="1"/>
    <xf numFmtId="0" fontId="54" fillId="0" borderId="11" xfId="112" applyFont="1" applyBorder="1"/>
    <xf numFmtId="0" fontId="48" fillId="59" borderId="11" xfId="112" applyFont="1" applyFill="1" applyBorder="1" applyAlignment="1">
      <alignment wrapText="1"/>
    </xf>
    <xf numFmtId="0" fontId="48" fillId="54" borderId="11" xfId="112" applyFont="1" applyFill="1" applyBorder="1" applyAlignment="1">
      <alignment wrapText="1"/>
    </xf>
    <xf numFmtId="0" fontId="48" fillId="46" borderId="21" xfId="112" applyFont="1" applyFill="1" applyBorder="1" applyAlignment="1">
      <alignment horizontal="center" vertical="center" wrapText="1"/>
    </xf>
    <xf numFmtId="0" fontId="48" fillId="46" borderId="57" xfId="112" applyFont="1" applyFill="1" applyBorder="1" applyAlignment="1">
      <alignment horizontal="center" vertical="center" wrapText="1"/>
    </xf>
    <xf numFmtId="37" fontId="48" fillId="50" borderId="34" xfId="112" applyNumberFormat="1" applyFont="1" applyFill="1" applyBorder="1" applyAlignment="1">
      <alignment horizontal="center" vertical="center"/>
    </xf>
    <xf numFmtId="37" fontId="48" fillId="50" borderId="55" xfId="112" applyNumberFormat="1" applyFont="1" applyFill="1" applyBorder="1" applyAlignment="1">
      <alignment horizontal="center" vertical="center"/>
    </xf>
    <xf numFmtId="175" fontId="48" fillId="59" borderId="11" xfId="112" applyNumberFormat="1" applyFont="1" applyFill="1" applyBorder="1" applyAlignment="1">
      <alignment wrapText="1"/>
    </xf>
    <xf numFmtId="175" fontId="48" fillId="54" borderId="11" xfId="112" applyNumberFormat="1" applyFont="1" applyFill="1" applyBorder="1" applyAlignment="1">
      <alignment wrapText="1"/>
    </xf>
    <xf numFmtId="0" fontId="87" fillId="0" borderId="0" xfId="0" applyFont="1" applyAlignment="1">
      <alignment vertical="top"/>
    </xf>
    <xf numFmtId="0" fontId="52" fillId="35" borderId="40" xfId="0" applyFont="1" applyFill="1" applyBorder="1" applyAlignment="1">
      <alignment horizontal="left" vertical="center" wrapText="1"/>
    </xf>
    <xf numFmtId="0" fontId="52" fillId="35" borderId="18" xfId="0" applyFont="1" applyFill="1" applyBorder="1" applyAlignment="1">
      <alignment horizontal="left" vertical="center" wrapText="1"/>
    </xf>
    <xf numFmtId="0" fontId="54" fillId="46" borderId="19" xfId="0" applyFont="1" applyFill="1" applyBorder="1" applyAlignment="1">
      <alignment horizontal="center" vertical="center" wrapText="1"/>
    </xf>
    <xf numFmtId="0" fontId="52" fillId="40" borderId="0" xfId="0" applyFont="1" applyFill="1" applyAlignment="1">
      <alignment vertical="center" wrapText="1"/>
    </xf>
    <xf numFmtId="0" fontId="52" fillId="40" borderId="39" xfId="0" applyFont="1" applyFill="1" applyBorder="1" applyAlignment="1">
      <alignment vertical="center" wrapText="1"/>
    </xf>
    <xf numFmtId="0" fontId="52" fillId="40" borderId="30" xfId="0" applyFont="1" applyFill="1" applyBorder="1" applyAlignment="1">
      <alignment vertical="center" wrapText="1"/>
    </xf>
    <xf numFmtId="0" fontId="52" fillId="40" borderId="29" xfId="0" applyFont="1" applyFill="1" applyBorder="1" applyAlignment="1">
      <alignment horizontal="right" vertical="center" wrapText="1"/>
    </xf>
    <xf numFmtId="176" fontId="54" fillId="50" borderId="33" xfId="64" applyNumberFormat="1" applyFont="1" applyFill="1" applyBorder="1" applyAlignment="1" applyProtection="1">
      <alignment horizontal="center" vertical="center"/>
    </xf>
    <xf numFmtId="0" fontId="54" fillId="46" borderId="41" xfId="0" applyFont="1" applyFill="1" applyBorder="1" applyAlignment="1">
      <alignment horizontal="center" vertical="center"/>
    </xf>
    <xf numFmtId="0" fontId="54" fillId="50" borderId="33" xfId="0" applyFont="1" applyFill="1" applyBorder="1" applyAlignment="1">
      <alignment horizontal="center" vertical="center"/>
    </xf>
    <xf numFmtId="177" fontId="54" fillId="50" borderId="12" xfId="64" applyNumberFormat="1" applyFont="1" applyFill="1" applyBorder="1" applyAlignment="1" applyProtection="1">
      <alignment horizontal="center" vertical="center"/>
    </xf>
    <xf numFmtId="177" fontId="54" fillId="50" borderId="19" xfId="64" applyNumberFormat="1" applyFont="1" applyFill="1" applyBorder="1" applyAlignment="1" applyProtection="1">
      <alignment horizontal="center" vertical="center"/>
    </xf>
    <xf numFmtId="177" fontId="54" fillId="50" borderId="19" xfId="118" applyNumberFormat="1" applyFont="1" applyFill="1" applyBorder="1" applyAlignment="1" applyProtection="1">
      <alignment horizontal="center" vertical="center"/>
    </xf>
    <xf numFmtId="0" fontId="52" fillId="0" borderId="0" xfId="130" applyFont="1" applyAlignment="1">
      <alignment horizontal="right"/>
    </xf>
    <xf numFmtId="0" fontId="50" fillId="0" borderId="0" xfId="120" applyFont="1" applyFill="1" applyBorder="1" applyAlignment="1" applyProtection="1">
      <alignment vertical="center" wrapText="1"/>
    </xf>
    <xf numFmtId="0" fontId="50" fillId="0" borderId="0" xfId="120" applyFont="1" applyFill="1" applyBorder="1" applyAlignment="1" applyProtection="1">
      <alignment vertical="center"/>
    </xf>
    <xf numFmtId="0" fontId="52" fillId="50" borderId="14" xfId="0" applyFont="1" applyFill="1" applyBorder="1" applyAlignment="1">
      <alignment vertical="center" wrapText="1"/>
    </xf>
    <xf numFmtId="0" fontId="52" fillId="50" borderId="15" xfId="0" applyFont="1" applyFill="1" applyBorder="1" applyAlignment="1">
      <alignment vertical="center" wrapText="1"/>
    </xf>
    <xf numFmtId="0" fontId="52" fillId="50" borderId="13" xfId="0" applyFont="1" applyFill="1" applyBorder="1" applyAlignment="1">
      <alignment vertical="center" wrapText="1"/>
    </xf>
    <xf numFmtId="0" fontId="54" fillId="50" borderId="60" xfId="0" applyFont="1" applyFill="1" applyBorder="1" applyAlignment="1">
      <alignment vertical="center" wrapText="1"/>
    </xf>
    <xf numFmtId="0" fontId="52" fillId="40" borderId="38" xfId="0" applyFont="1" applyFill="1" applyBorder="1" applyAlignment="1">
      <alignment vertical="center" wrapText="1"/>
    </xf>
    <xf numFmtId="177" fontId="54" fillId="50" borderId="75" xfId="64" applyNumberFormat="1" applyFont="1" applyFill="1" applyBorder="1" applyAlignment="1" applyProtection="1">
      <alignment vertical="center" wrapText="1"/>
    </xf>
    <xf numFmtId="177" fontId="54" fillId="50" borderId="14" xfId="64" applyNumberFormat="1" applyFont="1" applyFill="1" applyBorder="1" applyAlignment="1" applyProtection="1">
      <alignment vertical="center" wrapText="1"/>
    </xf>
    <xf numFmtId="177" fontId="54" fillId="50" borderId="11" xfId="64" applyNumberFormat="1" applyFont="1" applyFill="1" applyBorder="1" applyAlignment="1" applyProtection="1">
      <alignment vertical="center" wrapText="1"/>
    </xf>
    <xf numFmtId="176" fontId="54" fillId="50" borderId="11" xfId="64" applyNumberFormat="1" applyFont="1" applyFill="1" applyBorder="1" applyAlignment="1" applyProtection="1">
      <alignment vertical="center" wrapText="1"/>
    </xf>
    <xf numFmtId="176" fontId="54" fillId="50" borderId="37" xfId="64" applyNumberFormat="1" applyFont="1" applyFill="1" applyBorder="1" applyAlignment="1" applyProtection="1">
      <alignment vertical="center" wrapText="1"/>
    </xf>
    <xf numFmtId="177" fontId="54" fillId="50" borderId="70" xfId="64" applyNumberFormat="1" applyFont="1" applyFill="1" applyBorder="1" applyAlignment="1" applyProtection="1">
      <alignment vertical="center" wrapText="1"/>
    </xf>
    <xf numFmtId="177" fontId="54" fillId="50" borderId="26" xfId="64" applyNumberFormat="1" applyFont="1" applyFill="1" applyBorder="1" applyAlignment="1" applyProtection="1">
      <alignment vertical="center" wrapText="1"/>
    </xf>
    <xf numFmtId="177" fontId="54" fillId="50" borderId="36" xfId="64" applyNumberFormat="1" applyFont="1" applyFill="1" applyBorder="1" applyAlignment="1" applyProtection="1">
      <alignment vertical="center" wrapText="1"/>
    </xf>
    <xf numFmtId="176" fontId="54" fillId="50" borderId="78" xfId="64" applyNumberFormat="1" applyFont="1" applyFill="1" applyBorder="1" applyAlignment="1" applyProtection="1">
      <alignment vertical="center" wrapText="1"/>
    </xf>
    <xf numFmtId="176" fontId="54" fillId="50" borderId="14" xfId="64" applyNumberFormat="1" applyFont="1" applyFill="1" applyBorder="1" applyAlignment="1" applyProtection="1">
      <alignment horizontal="center" vertical="center" wrapText="1"/>
    </xf>
    <xf numFmtId="0" fontId="52" fillId="35" borderId="14" xfId="0" applyFont="1" applyFill="1" applyBorder="1" applyAlignment="1">
      <alignment horizontal="right" vertical="center"/>
    </xf>
    <xf numFmtId="0" fontId="52" fillId="35" borderId="11" xfId="0" applyFont="1" applyFill="1" applyBorder="1" applyAlignment="1">
      <alignment horizontal="right" vertical="center"/>
    </xf>
    <xf numFmtId="0" fontId="72" fillId="0" borderId="0" xfId="131" applyFont="1" applyAlignment="1">
      <alignment vertical="center"/>
    </xf>
    <xf numFmtId="0" fontId="54" fillId="0" borderId="0" xfId="131" applyFont="1" applyAlignment="1">
      <alignment vertical="center"/>
    </xf>
    <xf numFmtId="0" fontId="52" fillId="0" borderId="0" xfId="131" applyFont="1" applyAlignment="1">
      <alignment vertical="center"/>
    </xf>
    <xf numFmtId="3" fontId="54" fillId="0" borderId="0" xfId="132" applyNumberFormat="1" applyFont="1" applyFill="1" applyBorder="1" applyAlignment="1" applyProtection="1">
      <alignment vertical="center"/>
    </xf>
    <xf numFmtId="0" fontId="48" fillId="0" borderId="0" xfId="131" applyFont="1" applyAlignment="1">
      <alignment vertical="center"/>
    </xf>
    <xf numFmtId="175" fontId="54" fillId="0" borderId="0" xfId="132" applyNumberFormat="1" applyFont="1" applyFill="1" applyBorder="1" applyAlignment="1" applyProtection="1">
      <alignment vertical="center"/>
    </xf>
    <xf numFmtId="0" fontId="55" fillId="0" borderId="0" xfId="131" applyFont="1" applyAlignment="1">
      <alignment vertical="center"/>
    </xf>
    <xf numFmtId="3" fontId="48" fillId="0" borderId="0" xfId="132" applyNumberFormat="1" applyFont="1" applyFill="1" applyBorder="1" applyAlignment="1" applyProtection="1">
      <alignment vertical="center"/>
    </xf>
    <xf numFmtId="0" fontId="52" fillId="35" borderId="80" xfId="131" applyFont="1" applyFill="1" applyBorder="1" applyAlignment="1">
      <alignment horizontal="right" vertical="center"/>
    </xf>
    <xf numFmtId="0" fontId="48" fillId="35" borderId="23" xfId="131" applyFont="1" applyFill="1" applyBorder="1" applyAlignment="1">
      <alignment vertical="center"/>
    </xf>
    <xf numFmtId="0" fontId="54" fillId="50" borderId="22" xfId="131" applyFont="1" applyFill="1" applyBorder="1" applyAlignment="1">
      <alignment vertical="center"/>
    </xf>
    <xf numFmtId="3" fontId="54" fillId="50" borderId="23" xfId="132" applyNumberFormat="1" applyFont="1" applyFill="1" applyBorder="1" applyAlignment="1" applyProtection="1">
      <alignment vertical="center"/>
    </xf>
    <xf numFmtId="0" fontId="48" fillId="50" borderId="22" xfId="131" applyFont="1" applyFill="1" applyBorder="1" applyAlignment="1">
      <alignment vertical="center"/>
    </xf>
    <xf numFmtId="175" fontId="54" fillId="50" borderId="23" xfId="132" applyNumberFormat="1" applyFont="1" applyFill="1" applyBorder="1" applyAlignment="1" applyProtection="1">
      <alignment vertical="center"/>
    </xf>
    <xf numFmtId="0" fontId="52" fillId="35" borderId="28" xfId="131" applyFont="1" applyFill="1" applyBorder="1" applyAlignment="1">
      <alignment horizontal="right" vertical="center"/>
    </xf>
    <xf numFmtId="0" fontId="55" fillId="35" borderId="28" xfId="131" applyFont="1" applyFill="1" applyBorder="1" applyAlignment="1">
      <alignment horizontal="right" vertical="center"/>
    </xf>
    <xf numFmtId="3" fontId="48" fillId="50" borderId="23" xfId="132" applyNumberFormat="1" applyFont="1" applyFill="1" applyBorder="1" applyAlignment="1" applyProtection="1">
      <alignment horizontal="right" vertical="center"/>
    </xf>
    <xf numFmtId="3" fontId="48" fillId="50" borderId="23" xfId="132" applyNumberFormat="1" applyFont="1" applyFill="1" applyBorder="1" applyAlignment="1" applyProtection="1">
      <alignment vertical="center"/>
    </xf>
    <xf numFmtId="0" fontId="48" fillId="50" borderId="24" xfId="131" applyFont="1" applyFill="1" applyBorder="1" applyAlignment="1">
      <alignment vertical="center"/>
    </xf>
    <xf numFmtId="175" fontId="54" fillId="50" borderId="25" xfId="132" applyNumberFormat="1" applyFont="1" applyFill="1" applyBorder="1" applyAlignment="1" applyProtection="1">
      <alignment vertical="center"/>
    </xf>
    <xf numFmtId="0" fontId="48" fillId="35" borderId="19" xfId="131" applyFont="1" applyFill="1" applyBorder="1" applyAlignment="1">
      <alignment vertical="center"/>
    </xf>
    <xf numFmtId="0" fontId="72" fillId="72" borderId="64" xfId="131" applyFont="1" applyFill="1" applyBorder="1" applyAlignment="1">
      <alignment vertical="center"/>
    </xf>
    <xf numFmtId="0" fontId="72" fillId="72" borderId="32" xfId="131" applyFont="1" applyFill="1" applyBorder="1" applyAlignment="1">
      <alignment vertical="center"/>
    </xf>
    <xf numFmtId="0" fontId="52" fillId="40" borderId="45" xfId="0" applyFont="1" applyFill="1" applyBorder="1" applyAlignment="1">
      <alignment horizontal="right" vertical="center" wrapText="1"/>
    </xf>
    <xf numFmtId="0" fontId="48" fillId="0" borderId="0" xfId="0" applyFont="1" applyAlignment="1">
      <alignment vertical="center" textRotation="90"/>
    </xf>
    <xf numFmtId="0" fontId="48" fillId="0" borderId="0" xfId="0" applyFont="1" applyAlignment="1">
      <alignment horizontal="center" vertical="center" textRotation="90"/>
    </xf>
    <xf numFmtId="0" fontId="49" fillId="0" borderId="0" xfId="0" applyFont="1" applyAlignment="1">
      <alignment horizontal="center" vertical="center" textRotation="90"/>
    </xf>
    <xf numFmtId="0" fontId="64" fillId="35" borderId="14" xfId="0" applyFont="1" applyFill="1" applyBorder="1" applyAlignment="1">
      <alignment vertical="center" wrapText="1"/>
    </xf>
    <xf numFmtId="0" fontId="64" fillId="35" borderId="15" xfId="0" applyFont="1" applyFill="1" applyBorder="1" applyAlignment="1">
      <alignment vertical="center" wrapText="1"/>
    </xf>
    <xf numFmtId="0" fontId="64" fillId="35" borderId="13" xfId="0" applyFont="1" applyFill="1" applyBorder="1" applyAlignment="1">
      <alignment vertical="center" wrapText="1"/>
    </xf>
    <xf numFmtId="0" fontId="54" fillId="0" borderId="63" xfId="126" applyFont="1" applyBorder="1" applyAlignment="1">
      <alignment horizontal="center"/>
    </xf>
    <xf numFmtId="0" fontId="54" fillId="0" borderId="77" xfId="126" applyFont="1" applyBorder="1" applyAlignment="1">
      <alignment horizontal="center"/>
    </xf>
    <xf numFmtId="168" fontId="54" fillId="0" borderId="48" xfId="126" applyNumberFormat="1" applyFont="1" applyBorder="1"/>
    <xf numFmtId="0" fontId="54" fillId="0" borderId="46" xfId="126" applyFont="1" applyBorder="1"/>
    <xf numFmtId="0" fontId="54" fillId="0" borderId="76" xfId="126" applyFont="1" applyBorder="1" applyAlignment="1">
      <alignment horizontal="center"/>
    </xf>
    <xf numFmtId="0" fontId="54" fillId="0" borderId="28" xfId="126" applyFont="1" applyBorder="1"/>
    <xf numFmtId="0" fontId="54" fillId="0" borderId="15" xfId="126" applyFont="1" applyBorder="1"/>
    <xf numFmtId="0" fontId="64" fillId="0" borderId="38" xfId="72" applyFont="1" applyBorder="1" applyAlignment="1">
      <alignment vertical="top"/>
    </xf>
    <xf numFmtId="0" fontId="72" fillId="40" borderId="36" xfId="0" applyFont="1" applyFill="1" applyBorder="1"/>
    <xf numFmtId="0" fontId="64" fillId="0" borderId="26" xfId="0" applyFont="1" applyBorder="1" applyAlignment="1">
      <alignment vertical="center" wrapText="1"/>
    </xf>
    <xf numFmtId="37" fontId="48" fillId="50" borderId="53" xfId="112" applyNumberFormat="1" applyFont="1" applyFill="1" applyBorder="1" applyAlignment="1">
      <alignment horizontal="center" vertical="center"/>
    </xf>
    <xf numFmtId="37" fontId="48" fillId="50" borderId="81" xfId="112" applyNumberFormat="1" applyFont="1" applyFill="1" applyBorder="1" applyAlignment="1">
      <alignment horizontal="center" vertical="center"/>
    </xf>
    <xf numFmtId="43" fontId="48" fillId="50" borderId="11" xfId="104" applyFont="1" applyFill="1" applyBorder="1" applyAlignment="1">
      <alignment vertical="center"/>
    </xf>
    <xf numFmtId="43" fontId="48" fillId="50" borderId="14" xfId="104" applyFont="1" applyFill="1" applyBorder="1" applyAlignment="1">
      <alignment vertical="center"/>
    </xf>
    <xf numFmtId="2" fontId="48" fillId="50" borderId="23" xfId="0" applyNumberFormat="1" applyFont="1" applyFill="1" applyBorder="1" applyAlignment="1">
      <alignment vertical="center"/>
    </xf>
    <xf numFmtId="172" fontId="48" fillId="50" borderId="80" xfId="104" applyNumberFormat="1" applyFont="1" applyFill="1" applyBorder="1" applyAlignment="1">
      <alignment vertical="center"/>
    </xf>
    <xf numFmtId="171" fontId="48" fillId="50" borderId="19" xfId="104" applyNumberFormat="1" applyFont="1" applyFill="1" applyBorder="1" applyAlignment="1">
      <alignment vertical="center"/>
    </xf>
    <xf numFmtId="0" fontId="48" fillId="35" borderId="27" xfId="112" applyFont="1" applyFill="1" applyBorder="1" applyAlignment="1">
      <alignment horizontal="center" vertical="center" wrapText="1"/>
    </xf>
    <xf numFmtId="0" fontId="48" fillId="35" borderId="67" xfId="112" applyFont="1" applyFill="1" applyBorder="1" applyAlignment="1">
      <alignment horizontal="center" vertical="center" wrapText="1"/>
    </xf>
    <xf numFmtId="0" fontId="64" fillId="0" borderId="58" xfId="72" applyFont="1" applyBorder="1" applyAlignment="1">
      <alignment horizontal="center" vertical="center"/>
    </xf>
    <xf numFmtId="0" fontId="64" fillId="0" borderId="45" xfId="72" applyFont="1" applyBorder="1" applyAlignment="1">
      <alignment horizontal="center" vertical="center"/>
    </xf>
    <xf numFmtId="0" fontId="64" fillId="0" borderId="46" xfId="72" applyFont="1" applyBorder="1" applyAlignment="1">
      <alignment horizontal="center" vertical="center"/>
    </xf>
    <xf numFmtId="0" fontId="64" fillId="0" borderId="71" xfId="72" applyFont="1" applyBorder="1" applyAlignment="1">
      <alignment horizontal="center" vertical="center"/>
    </xf>
    <xf numFmtId="0" fontId="64" fillId="0" borderId="72" xfId="72" applyFont="1" applyBorder="1" applyAlignment="1">
      <alignment horizontal="center" vertical="center"/>
    </xf>
    <xf numFmtId="0" fontId="64" fillId="0" borderId="74" xfId="72" applyFont="1" applyBorder="1" applyAlignment="1">
      <alignment horizontal="center" vertical="center"/>
    </xf>
    <xf numFmtId="0" fontId="48" fillId="46" borderId="30" xfId="112" applyFont="1" applyFill="1" applyBorder="1" applyAlignment="1">
      <alignment horizontal="center" vertical="center" wrapText="1"/>
    </xf>
    <xf numFmtId="0" fontId="48" fillId="46" borderId="48" xfId="112" applyFont="1" applyFill="1" applyBorder="1" applyAlignment="1">
      <alignment horizontal="center" vertical="center" wrapText="1"/>
    </xf>
    <xf numFmtId="0" fontId="48" fillId="59" borderId="23" xfId="112" applyFont="1" applyFill="1" applyBorder="1" applyAlignment="1" applyProtection="1">
      <alignment horizontal="center" vertical="center"/>
      <protection locked="0"/>
    </xf>
    <xf numFmtId="37" fontId="48" fillId="50" borderId="21" xfId="112" applyNumberFormat="1" applyFont="1" applyFill="1" applyBorder="1" applyAlignment="1">
      <alignment horizontal="center" vertical="center"/>
    </xf>
    <xf numFmtId="37" fontId="48" fillId="50" borderId="57" xfId="112" applyNumberFormat="1" applyFont="1" applyFill="1" applyBorder="1" applyAlignment="1">
      <alignment horizontal="center" vertical="center"/>
    </xf>
    <xf numFmtId="0" fontId="54" fillId="60" borderId="55" xfId="112" applyFont="1" applyFill="1" applyBorder="1" applyAlignment="1">
      <alignment horizontal="left" vertical="center" wrapText="1"/>
    </xf>
    <xf numFmtId="37" fontId="48" fillId="50" borderId="23" xfId="112" applyNumberFormat="1" applyFont="1" applyFill="1" applyBorder="1" applyAlignment="1">
      <alignment horizontal="center" vertical="center"/>
    </xf>
    <xf numFmtId="0" fontId="64" fillId="50" borderId="40" xfId="0" applyFont="1" applyFill="1" applyBorder="1" applyAlignment="1">
      <alignment vertical="center" wrapText="1"/>
    </xf>
    <xf numFmtId="7" fontId="48" fillId="50" borderId="41" xfId="104" applyNumberFormat="1" applyFont="1" applyFill="1" applyBorder="1"/>
    <xf numFmtId="43" fontId="48" fillId="50" borderId="33" xfId="104" applyFont="1" applyFill="1" applyBorder="1" applyAlignment="1">
      <alignment vertical="center"/>
    </xf>
    <xf numFmtId="2" fontId="48" fillId="50" borderId="41" xfId="0" applyNumberFormat="1" applyFont="1" applyFill="1" applyBorder="1" applyAlignment="1">
      <alignment vertical="center"/>
    </xf>
    <xf numFmtId="0" fontId="48" fillId="0" borderId="0" xfId="127" applyFont="1" applyAlignment="1">
      <alignment vertical="top"/>
    </xf>
    <xf numFmtId="0" fontId="64" fillId="0" borderId="74" xfId="72" applyFont="1" applyBorder="1"/>
    <xf numFmtId="0" fontId="64" fillId="0" borderId="74" xfId="72" applyFont="1" applyBorder="1" applyAlignment="1">
      <alignment horizontal="center"/>
    </xf>
    <xf numFmtId="0" fontId="63" fillId="52" borderId="64" xfId="72" applyFont="1" applyFill="1" applyBorder="1" applyAlignment="1">
      <alignment horizontal="centerContinuous"/>
    </xf>
    <xf numFmtId="0" fontId="63" fillId="52" borderId="32" xfId="72" applyFont="1" applyFill="1" applyBorder="1" applyAlignment="1">
      <alignment horizontal="centerContinuous"/>
    </xf>
    <xf numFmtId="0" fontId="64" fillId="63" borderId="74" xfId="72" applyFont="1" applyFill="1" applyBorder="1" applyAlignment="1">
      <alignment horizontal="center"/>
    </xf>
    <xf numFmtId="0" fontId="55" fillId="64" borderId="78" xfId="72" applyFont="1" applyFill="1" applyBorder="1" applyAlignment="1">
      <alignment horizontal="center"/>
    </xf>
    <xf numFmtId="0" fontId="55" fillId="63" borderId="56" xfId="72" applyFont="1" applyFill="1" applyBorder="1" applyAlignment="1">
      <alignment horizontal="center"/>
    </xf>
    <xf numFmtId="0" fontId="55" fillId="52" borderId="64" xfId="72" applyFont="1" applyFill="1" applyBorder="1" applyAlignment="1">
      <alignment horizontal="centerContinuous"/>
    </xf>
    <xf numFmtId="0" fontId="55" fillId="52" borderId="61" xfId="72" applyFont="1" applyFill="1" applyBorder="1" applyAlignment="1">
      <alignment horizontal="centerContinuous"/>
    </xf>
    <xf numFmtId="0" fontId="55" fillId="52" borderId="32" xfId="72" applyFont="1" applyFill="1" applyBorder="1" applyAlignment="1">
      <alignment horizontal="centerContinuous"/>
    </xf>
    <xf numFmtId="0" fontId="64" fillId="52" borderId="61" xfId="72" applyFont="1" applyFill="1" applyBorder="1" applyAlignment="1">
      <alignment horizontal="centerContinuous"/>
    </xf>
    <xf numFmtId="0" fontId="64" fillId="52" borderId="32" xfId="72" applyFont="1" applyFill="1" applyBorder="1" applyAlignment="1">
      <alignment horizontal="centerContinuous"/>
    </xf>
    <xf numFmtId="0" fontId="63" fillId="52" borderId="61" xfId="72" applyFont="1" applyFill="1" applyBorder="1" applyAlignment="1">
      <alignment horizontal="centerContinuous"/>
    </xf>
    <xf numFmtId="0" fontId="48" fillId="56" borderId="12" xfId="72" applyFont="1" applyFill="1" applyBorder="1" applyAlignment="1">
      <alignment horizontal="center"/>
    </xf>
    <xf numFmtId="0" fontId="55" fillId="51" borderId="14" xfId="72" applyFont="1" applyFill="1" applyBorder="1" applyAlignment="1">
      <alignment horizontal="centerContinuous"/>
    </xf>
    <xf numFmtId="0" fontId="55" fillId="51" borderId="15" xfId="72" applyFont="1" applyFill="1" applyBorder="1" applyAlignment="1">
      <alignment horizontal="centerContinuous"/>
    </xf>
    <xf numFmtId="0" fontId="55" fillId="51" borderId="13" xfId="72" applyFont="1" applyFill="1" applyBorder="1" applyAlignment="1">
      <alignment horizontal="centerContinuous"/>
    </xf>
    <xf numFmtId="0" fontId="63" fillId="52" borderId="14" xfId="72" applyFont="1" applyFill="1" applyBorder="1" applyAlignment="1">
      <alignment horizontal="centerContinuous"/>
    </xf>
    <xf numFmtId="0" fontId="63" fillId="52" borderId="15" xfId="72" applyFont="1" applyFill="1" applyBorder="1" applyAlignment="1">
      <alignment horizontal="centerContinuous"/>
    </xf>
    <xf numFmtId="0" fontId="63" fillId="52" borderId="13" xfId="72" applyFont="1" applyFill="1" applyBorder="1" applyAlignment="1">
      <alignment horizontal="centerContinuous"/>
    </xf>
    <xf numFmtId="0" fontId="58" fillId="0" borderId="45" xfId="126" applyFont="1" applyBorder="1" applyAlignment="1">
      <alignment vertical="top"/>
    </xf>
    <xf numFmtId="0" fontId="58" fillId="0" borderId="0" xfId="126" applyFont="1" applyAlignment="1">
      <alignment vertical="top"/>
    </xf>
    <xf numFmtId="0" fontId="58" fillId="0" borderId="38" xfId="126" applyFont="1" applyBorder="1" applyAlignment="1">
      <alignment vertical="top"/>
    </xf>
    <xf numFmtId="0" fontId="48" fillId="0" borderId="85" xfId="126" applyFont="1" applyBorder="1"/>
    <xf numFmtId="0" fontId="48" fillId="0" borderId="38" xfId="126" applyFont="1" applyBorder="1"/>
    <xf numFmtId="0" fontId="58" fillId="0" borderId="80" xfId="126" applyFont="1" applyBorder="1" applyAlignment="1">
      <alignment vertical="top"/>
    </xf>
    <xf numFmtId="0" fontId="58" fillId="0" borderId="79" xfId="126" applyFont="1" applyBorder="1" applyAlignment="1">
      <alignment vertical="top"/>
    </xf>
    <xf numFmtId="0" fontId="58" fillId="0" borderId="76" xfId="126" applyFont="1" applyBorder="1" applyAlignment="1">
      <alignment vertical="top"/>
    </xf>
    <xf numFmtId="0" fontId="48" fillId="0" borderId="15" xfId="126" applyFont="1" applyBorder="1"/>
    <xf numFmtId="0" fontId="48" fillId="0" borderId="63" xfId="126" applyFont="1" applyBorder="1"/>
    <xf numFmtId="0" fontId="55" fillId="51" borderId="29" xfId="126" applyFont="1" applyFill="1" applyBorder="1" applyAlignment="1">
      <alignment horizontal="centerContinuous"/>
    </xf>
    <xf numFmtId="0" fontId="55" fillId="51" borderId="30" xfId="126" applyFont="1" applyFill="1" applyBorder="1" applyAlignment="1">
      <alignment horizontal="centerContinuous"/>
    </xf>
    <xf numFmtId="0" fontId="54" fillId="56" borderId="63" xfId="126" applyFont="1" applyFill="1" applyBorder="1" applyAlignment="1">
      <alignment horizontal="center" wrapText="1"/>
    </xf>
    <xf numFmtId="0" fontId="55" fillId="51" borderId="42" xfId="126" applyFont="1" applyFill="1" applyBorder="1"/>
    <xf numFmtId="0" fontId="55" fillId="51" borderId="43" xfId="126" applyFont="1" applyFill="1" applyBorder="1"/>
    <xf numFmtId="0" fontId="55" fillId="51" borderId="75" xfId="126" applyFont="1" applyFill="1" applyBorder="1"/>
    <xf numFmtId="0" fontId="54" fillId="0" borderId="80" xfId="126" applyFont="1" applyBorder="1"/>
    <xf numFmtId="0" fontId="54" fillId="0" borderId="79" xfId="126" applyFont="1" applyBorder="1"/>
    <xf numFmtId="0" fontId="54" fillId="56" borderId="15" xfId="126" applyFont="1" applyFill="1" applyBorder="1" applyAlignment="1">
      <alignment vertical="center"/>
    </xf>
    <xf numFmtId="0" fontId="54" fillId="56" borderId="13" xfId="126" applyFont="1" applyFill="1" applyBorder="1" applyAlignment="1">
      <alignment vertical="center"/>
    </xf>
    <xf numFmtId="0" fontId="54" fillId="56" borderId="28" xfId="126" applyFont="1" applyFill="1" applyBorder="1" applyAlignment="1">
      <alignment vertical="center"/>
    </xf>
    <xf numFmtId="0" fontId="48" fillId="0" borderId="46" xfId="126" applyFont="1" applyBorder="1"/>
    <xf numFmtId="0" fontId="48" fillId="0" borderId="47" xfId="126" applyFont="1" applyBorder="1"/>
    <xf numFmtId="0" fontId="48" fillId="0" borderId="48" xfId="126" applyFont="1" applyBorder="1"/>
    <xf numFmtId="0" fontId="48" fillId="0" borderId="45" xfId="126" applyFont="1" applyBorder="1"/>
    <xf numFmtId="0" fontId="48" fillId="0" borderId="58" xfId="126" applyFont="1" applyBorder="1"/>
    <xf numFmtId="0" fontId="48" fillId="0" borderId="35" xfId="126" applyFont="1" applyBorder="1"/>
    <xf numFmtId="0" fontId="48" fillId="0" borderId="59" xfId="126" applyFont="1" applyBorder="1"/>
    <xf numFmtId="0" fontId="48" fillId="0" borderId="87" xfId="126" applyFont="1" applyBorder="1"/>
    <xf numFmtId="0" fontId="48" fillId="0" borderId="46" xfId="126" applyFont="1" applyBorder="1" applyAlignment="1">
      <alignment vertical="top"/>
    </xf>
    <xf numFmtId="0" fontId="58" fillId="0" borderId="47" xfId="126" applyFont="1" applyBorder="1" applyAlignment="1">
      <alignment vertical="top"/>
    </xf>
    <xf numFmtId="0" fontId="58" fillId="0" borderId="48" xfId="126" applyFont="1" applyBorder="1" applyAlignment="1">
      <alignment vertical="top"/>
    </xf>
    <xf numFmtId="0" fontId="48" fillId="0" borderId="45" xfId="126" applyFont="1" applyBorder="1" applyAlignment="1">
      <alignment vertical="top"/>
    </xf>
    <xf numFmtId="0" fontId="55" fillId="55" borderId="0" xfId="120" applyFont="1" applyFill="1" applyBorder="1" applyAlignment="1">
      <alignment vertical="top"/>
    </xf>
    <xf numFmtId="0" fontId="64" fillId="57" borderId="0" xfId="72" applyFont="1" applyFill="1" applyAlignment="1">
      <alignment vertical="top"/>
    </xf>
    <xf numFmtId="0" fontId="63" fillId="57" borderId="0" xfId="72" applyFont="1" applyFill="1" applyAlignment="1">
      <alignment vertical="top"/>
    </xf>
    <xf numFmtId="1" fontId="55" fillId="67" borderId="18" xfId="64" applyNumberFormat="1" applyFont="1" applyFill="1" applyBorder="1" applyAlignment="1">
      <alignment horizontal="left"/>
    </xf>
    <xf numFmtId="1" fontId="55" fillId="44" borderId="12" xfId="64" applyNumberFormat="1" applyFont="1" applyFill="1" applyBorder="1" applyAlignment="1">
      <alignment horizontal="left"/>
    </xf>
    <xf numFmtId="1" fontId="55" fillId="67" borderId="12" xfId="64" applyNumberFormat="1" applyFont="1" applyFill="1" applyBorder="1" applyAlignment="1">
      <alignment horizontal="left"/>
    </xf>
    <xf numFmtId="1" fontId="77" fillId="44" borderId="12" xfId="64" applyNumberFormat="1" applyFont="1" applyFill="1" applyBorder="1" applyAlignment="1">
      <alignment horizontal="left"/>
    </xf>
    <xf numFmtId="1" fontId="55" fillId="44" borderId="12" xfId="64" quotePrefix="1" applyNumberFormat="1" applyFont="1" applyFill="1" applyBorder="1" applyAlignment="1">
      <alignment horizontal="left" wrapText="1"/>
    </xf>
    <xf numFmtId="1" fontId="55" fillId="44" borderId="19" xfId="64" applyNumberFormat="1" applyFont="1" applyFill="1" applyBorder="1" applyAlignment="1">
      <alignment horizontal="left" wrapText="1"/>
    </xf>
    <xf numFmtId="0" fontId="55" fillId="51" borderId="14" xfId="0" applyFont="1" applyFill="1" applyBorder="1" applyAlignment="1">
      <alignment horizontal="centerContinuous"/>
    </xf>
    <xf numFmtId="0" fontId="55" fillId="51" borderId="15" xfId="0" applyFont="1" applyFill="1" applyBorder="1" applyAlignment="1">
      <alignment horizontal="centerContinuous"/>
    </xf>
    <xf numFmtId="0" fontId="55" fillId="51" borderId="13" xfId="0" applyFont="1" applyFill="1" applyBorder="1" applyAlignment="1">
      <alignment horizontal="centerContinuous"/>
    </xf>
    <xf numFmtId="0" fontId="55" fillId="43" borderId="39" xfId="0" applyFont="1" applyFill="1" applyBorder="1" applyAlignment="1">
      <alignment horizontal="centerContinuous" wrapText="1"/>
    </xf>
    <xf numFmtId="0" fontId="55" fillId="44" borderId="64" xfId="0" applyFont="1" applyFill="1" applyBorder="1" applyAlignment="1">
      <alignment horizontal="centerContinuous" vertical="center"/>
    </xf>
    <xf numFmtId="0" fontId="55" fillId="44" borderId="61" xfId="0" applyFont="1" applyFill="1" applyBorder="1" applyAlignment="1">
      <alignment horizontal="centerContinuous" vertical="center"/>
    </xf>
    <xf numFmtId="0" fontId="55" fillId="44" borderId="32" xfId="0" applyFont="1" applyFill="1" applyBorder="1" applyAlignment="1">
      <alignment horizontal="centerContinuous" vertical="center"/>
    </xf>
    <xf numFmtId="0" fontId="55" fillId="66" borderId="64" xfId="0" applyFont="1" applyFill="1" applyBorder="1" applyAlignment="1">
      <alignment horizontal="centerContinuous"/>
    </xf>
    <xf numFmtId="0" fontId="55" fillId="66" borderId="61" xfId="0" applyFont="1" applyFill="1" applyBorder="1" applyAlignment="1">
      <alignment horizontal="centerContinuous"/>
    </xf>
    <xf numFmtId="0" fontId="55" fillId="66" borderId="32" xfId="0" applyFont="1" applyFill="1" applyBorder="1" applyAlignment="1">
      <alignment horizontal="centerContinuous"/>
    </xf>
    <xf numFmtId="0" fontId="55" fillId="45" borderId="64" xfId="0" applyFont="1" applyFill="1" applyBorder="1" applyAlignment="1">
      <alignment horizontal="centerContinuous"/>
    </xf>
    <xf numFmtId="0" fontId="55" fillId="45" borderId="61" xfId="0" applyFont="1" applyFill="1" applyBorder="1" applyAlignment="1">
      <alignment horizontal="centerContinuous"/>
    </xf>
    <xf numFmtId="0" fontId="55" fillId="45" borderId="32" xfId="0" applyFont="1" applyFill="1" applyBorder="1" applyAlignment="1">
      <alignment horizontal="centerContinuous"/>
    </xf>
    <xf numFmtId="0" fontId="55" fillId="51" borderId="64" xfId="0" applyFont="1" applyFill="1" applyBorder="1" applyAlignment="1">
      <alignment horizontal="centerContinuous"/>
    </xf>
    <xf numFmtId="0" fontId="55" fillId="51" borderId="61" xfId="0" applyFont="1" applyFill="1" applyBorder="1" applyAlignment="1">
      <alignment horizontal="centerContinuous"/>
    </xf>
    <xf numFmtId="0" fontId="55" fillId="51" borderId="32" xfId="0" applyFont="1" applyFill="1" applyBorder="1" applyAlignment="1">
      <alignment horizontal="centerContinuous"/>
    </xf>
    <xf numFmtId="0" fontId="48" fillId="67" borderId="83" xfId="0" applyFont="1" applyFill="1" applyBorder="1" applyAlignment="1">
      <alignment horizontal="left"/>
    </xf>
    <xf numFmtId="0" fontId="48" fillId="67" borderId="67" xfId="0" applyFont="1" applyFill="1" applyBorder="1" applyAlignment="1">
      <alignment horizontal="left"/>
    </xf>
    <xf numFmtId="0" fontId="55" fillId="69" borderId="64" xfId="0" applyFont="1" applyFill="1" applyBorder="1" applyAlignment="1">
      <alignment horizontal="centerContinuous"/>
    </xf>
    <xf numFmtId="0" fontId="55" fillId="69" borderId="61" xfId="0" applyFont="1" applyFill="1" applyBorder="1" applyAlignment="1">
      <alignment horizontal="centerContinuous"/>
    </xf>
    <xf numFmtId="0" fontId="55" fillId="69" borderId="32" xfId="0" applyFont="1" applyFill="1" applyBorder="1" applyAlignment="1">
      <alignment horizontal="centerContinuous"/>
    </xf>
    <xf numFmtId="0" fontId="48" fillId="44" borderId="58" xfId="0" applyFont="1" applyFill="1" applyBorder="1" applyAlignment="1">
      <alignment vertical="center" wrapText="1"/>
    </xf>
    <xf numFmtId="0" fontId="48" fillId="44" borderId="35" xfId="0" applyFont="1" applyFill="1" applyBorder="1" applyAlignment="1">
      <alignment vertical="center" wrapText="1"/>
    </xf>
    <xf numFmtId="0" fontId="48" fillId="44" borderId="75" xfId="0" applyFont="1" applyFill="1" applyBorder="1" applyAlignment="1">
      <alignment vertical="center" wrapText="1"/>
    </xf>
    <xf numFmtId="0" fontId="48" fillId="44" borderId="66" xfId="0" applyFont="1" applyFill="1" applyBorder="1" applyAlignment="1">
      <alignment horizontal="left"/>
    </xf>
    <xf numFmtId="0" fontId="48" fillId="44" borderId="27" xfId="0" applyFont="1" applyFill="1" applyBorder="1" applyAlignment="1">
      <alignment horizontal="left"/>
    </xf>
    <xf numFmtId="0" fontId="48" fillId="44" borderId="27" xfId="0" quotePrefix="1" applyFont="1" applyFill="1" applyBorder="1" applyAlignment="1">
      <alignment horizontal="left"/>
    </xf>
    <xf numFmtId="0" fontId="48" fillId="44" borderId="84" xfId="0" quotePrefix="1" applyFont="1" applyFill="1" applyBorder="1" applyAlignment="1">
      <alignment horizontal="left"/>
    </xf>
    <xf numFmtId="0" fontId="48" fillId="44" borderId="83" xfId="0" quotePrefix="1" applyFont="1" applyFill="1" applyBorder="1" applyAlignment="1">
      <alignment horizontal="left"/>
    </xf>
    <xf numFmtId="0" fontId="48" fillId="44" borderId="71" xfId="0" applyFont="1" applyFill="1" applyBorder="1" applyAlignment="1">
      <alignment vertical="center" wrapText="1"/>
    </xf>
    <xf numFmtId="0" fontId="48" fillId="66" borderId="87" xfId="0" applyFont="1" applyFill="1" applyBorder="1" applyAlignment="1">
      <alignment vertical="center" wrapText="1"/>
    </xf>
    <xf numFmtId="0" fontId="55" fillId="66" borderId="29" xfId="0" applyFont="1" applyFill="1" applyBorder="1" applyAlignment="1">
      <alignment horizontal="centerContinuous"/>
    </xf>
    <xf numFmtId="0" fontId="55" fillId="66" borderId="39" xfId="0" applyFont="1" applyFill="1" applyBorder="1" applyAlignment="1">
      <alignment horizontal="centerContinuous"/>
    </xf>
    <xf numFmtId="0" fontId="55" fillId="66" borderId="30" xfId="0" applyFont="1" applyFill="1" applyBorder="1" applyAlignment="1">
      <alignment horizontal="centerContinuous"/>
    </xf>
    <xf numFmtId="0" fontId="48" fillId="45" borderId="87" xfId="0" applyFont="1" applyFill="1" applyBorder="1" applyAlignment="1">
      <alignment vertical="center" wrapText="1"/>
    </xf>
    <xf numFmtId="0" fontId="55" fillId="45" borderId="29" xfId="0" applyFont="1" applyFill="1" applyBorder="1" applyAlignment="1">
      <alignment horizontal="centerContinuous"/>
    </xf>
    <xf numFmtId="0" fontId="55" fillId="45" borderId="39" xfId="0" applyFont="1" applyFill="1" applyBorder="1" applyAlignment="1">
      <alignment horizontal="centerContinuous"/>
    </xf>
    <xf numFmtId="0" fontId="55" fillId="45" borderId="30" xfId="0" applyFont="1" applyFill="1" applyBorder="1" applyAlignment="1">
      <alignment horizontal="centerContinuous"/>
    </xf>
    <xf numFmtId="0" fontId="55" fillId="45" borderId="29" xfId="0" applyFont="1" applyFill="1" applyBorder="1" applyAlignment="1">
      <alignment horizontal="centerContinuous" wrapText="1"/>
    </xf>
    <xf numFmtId="0" fontId="55" fillId="45" borderId="39" xfId="0" applyFont="1" applyFill="1" applyBorder="1" applyAlignment="1">
      <alignment horizontal="centerContinuous" wrapText="1"/>
    </xf>
    <xf numFmtId="0" fontId="55" fillId="45" borderId="30" xfId="0" applyFont="1" applyFill="1" applyBorder="1" applyAlignment="1">
      <alignment horizontal="centerContinuous" wrapText="1"/>
    </xf>
    <xf numFmtId="0" fontId="48" fillId="51" borderId="87" xfId="0" applyFont="1" applyFill="1" applyBorder="1" applyAlignment="1">
      <alignment vertical="center" wrapText="1"/>
    </xf>
    <xf numFmtId="0" fontId="55" fillId="51" borderId="29" xfId="0" applyFont="1" applyFill="1" applyBorder="1" applyAlignment="1">
      <alignment horizontal="centerContinuous"/>
    </xf>
    <xf numFmtId="0" fontId="55" fillId="51" borderId="39" xfId="0" applyFont="1" applyFill="1" applyBorder="1" applyAlignment="1">
      <alignment horizontal="centerContinuous"/>
    </xf>
    <xf numFmtId="0" fontId="55" fillId="51" borderId="30" xfId="0" applyFont="1" applyFill="1" applyBorder="1" applyAlignment="1">
      <alignment horizontal="centerContinuous"/>
    </xf>
    <xf numFmtId="0" fontId="48" fillId="51" borderId="44" xfId="0" quotePrefix="1" applyFont="1" applyFill="1" applyBorder="1" applyAlignment="1">
      <alignment horizontal="left"/>
    </xf>
    <xf numFmtId="0" fontId="55" fillId="51" borderId="29" xfId="0" applyFont="1" applyFill="1" applyBorder="1" applyAlignment="1">
      <alignment horizontal="centerContinuous" wrapText="1"/>
    </xf>
    <xf numFmtId="0" fontId="55" fillId="51" borderId="39" xfId="0" applyFont="1" applyFill="1" applyBorder="1" applyAlignment="1">
      <alignment horizontal="centerContinuous" wrapText="1"/>
    </xf>
    <xf numFmtId="0" fontId="55" fillId="51" borderId="30" xfId="0" applyFont="1" applyFill="1" applyBorder="1" applyAlignment="1">
      <alignment horizontal="centerContinuous" wrapText="1"/>
    </xf>
    <xf numFmtId="0" fontId="48" fillId="35" borderId="84" xfId="112" applyFont="1" applyFill="1" applyBorder="1" applyAlignment="1">
      <alignment horizontal="center" vertical="center" wrapText="1"/>
    </xf>
    <xf numFmtId="0" fontId="48" fillId="35" borderId="86" xfId="112" applyFont="1" applyFill="1" applyBorder="1" applyAlignment="1">
      <alignment vertical="center" wrapText="1"/>
    </xf>
    <xf numFmtId="0" fontId="48" fillId="35" borderId="33" xfId="112" applyFont="1" applyFill="1" applyBorder="1" applyAlignment="1">
      <alignment vertical="center" wrapText="1"/>
    </xf>
    <xf numFmtId="0" fontId="48" fillId="35" borderId="41" xfId="112" applyFont="1" applyFill="1" applyBorder="1" applyAlignment="1">
      <alignment vertical="center" wrapText="1"/>
    </xf>
    <xf numFmtId="0" fontId="48" fillId="42" borderId="58" xfId="0" applyFont="1" applyFill="1" applyBorder="1" applyAlignment="1">
      <alignment wrapText="1"/>
    </xf>
    <xf numFmtId="0" fontId="48" fillId="42" borderId="35" xfId="0" applyFont="1" applyFill="1" applyBorder="1" applyAlignment="1">
      <alignment wrapText="1"/>
    </xf>
    <xf numFmtId="0" fontId="48" fillId="42" borderId="82" xfId="0" applyFont="1" applyFill="1" applyBorder="1" applyAlignment="1">
      <alignment wrapText="1"/>
    </xf>
    <xf numFmtId="0" fontId="48" fillId="42" borderId="59" xfId="0" applyFont="1" applyFill="1" applyBorder="1" applyAlignment="1">
      <alignment wrapText="1"/>
    </xf>
    <xf numFmtId="0" fontId="48" fillId="56" borderId="12" xfId="0" applyFont="1" applyFill="1" applyBorder="1"/>
    <xf numFmtId="0" fontId="55" fillId="40" borderId="84" xfId="0" applyFont="1" applyFill="1" applyBorder="1" applyAlignment="1">
      <alignment wrapText="1"/>
    </xf>
    <xf numFmtId="0" fontId="55" fillId="40" borderId="27" xfId="0" applyFont="1" applyFill="1" applyBorder="1" applyAlignment="1">
      <alignment wrapText="1"/>
    </xf>
    <xf numFmtId="0" fontId="55" fillId="40" borderId="83" xfId="0" applyFont="1" applyFill="1" applyBorder="1" applyAlignment="1">
      <alignment wrapText="1"/>
    </xf>
    <xf numFmtId="0" fontId="55" fillId="40" borderId="66" xfId="0" applyFont="1" applyFill="1" applyBorder="1" applyAlignment="1">
      <alignment wrapText="1"/>
    </xf>
    <xf numFmtId="0" fontId="48" fillId="42" borderId="66" xfId="0" applyFont="1" applyFill="1" applyBorder="1" applyAlignment="1">
      <alignment wrapText="1"/>
    </xf>
    <xf numFmtId="0" fontId="48" fillId="42" borderId="83" xfId="0" applyFont="1" applyFill="1" applyBorder="1" applyAlignment="1">
      <alignment wrapText="1"/>
    </xf>
    <xf numFmtId="0" fontId="55" fillId="44" borderId="64" xfId="0" applyFont="1" applyFill="1" applyBorder="1" applyAlignment="1">
      <alignment horizontal="centerContinuous"/>
    </xf>
    <xf numFmtId="0" fontId="55" fillId="44" borderId="61" xfId="0" applyFont="1" applyFill="1" applyBorder="1" applyAlignment="1">
      <alignment horizontal="centerContinuous"/>
    </xf>
    <xf numFmtId="0" fontId="55" fillId="44" borderId="32" xfId="0" applyFont="1" applyFill="1" applyBorder="1" applyAlignment="1">
      <alignment horizontal="centerContinuous"/>
    </xf>
    <xf numFmtId="0" fontId="55" fillId="52" borderId="58" xfId="72" applyFont="1" applyFill="1" applyBorder="1" applyAlignment="1">
      <alignment horizontal="centerContinuous"/>
    </xf>
    <xf numFmtId="0" fontId="48" fillId="0" borderId="80" xfId="126" applyFont="1" applyBorder="1" applyAlignment="1">
      <alignment horizontal="right"/>
    </xf>
    <xf numFmtId="0" fontId="55" fillId="0" borderId="71" xfId="72" applyFont="1" applyBorder="1" applyAlignment="1">
      <alignment horizontal="center"/>
    </xf>
    <xf numFmtId="0" fontId="64" fillId="65" borderId="53" xfId="72" applyFont="1" applyFill="1" applyBorder="1"/>
    <xf numFmtId="0" fontId="64" fillId="0" borderId="13" xfId="72" applyFont="1" applyBorder="1"/>
    <xf numFmtId="0" fontId="64" fillId="65" borderId="13" xfId="72" applyFont="1" applyFill="1" applyBorder="1"/>
    <xf numFmtId="0" fontId="64" fillId="65" borderId="54" xfId="72" applyFont="1" applyFill="1" applyBorder="1"/>
    <xf numFmtId="0" fontId="64" fillId="0" borderId="69" xfId="72" applyFont="1" applyBorder="1"/>
    <xf numFmtId="0" fontId="64" fillId="0" borderId="54" xfId="72" applyFont="1" applyBorder="1"/>
    <xf numFmtId="0" fontId="64" fillId="65" borderId="69" xfId="72" applyFont="1" applyFill="1" applyBorder="1"/>
    <xf numFmtId="0" fontId="55" fillId="0" borderId="66" xfId="72" applyFont="1" applyBorder="1" applyAlignment="1">
      <alignment horizontal="center"/>
    </xf>
    <xf numFmtId="0" fontId="55" fillId="0" borderId="27" xfId="72" applyFont="1" applyBorder="1" applyAlignment="1">
      <alignment horizontal="center"/>
    </xf>
    <xf numFmtId="0" fontId="55" fillId="64" borderId="66" xfId="72" applyFont="1" applyFill="1" applyBorder="1" applyAlignment="1">
      <alignment horizontal="center"/>
    </xf>
    <xf numFmtId="0" fontId="55" fillId="64" borderId="83" xfId="72" applyFont="1" applyFill="1" applyBorder="1" applyAlignment="1">
      <alignment horizontal="center"/>
    </xf>
    <xf numFmtId="0" fontId="55" fillId="64" borderId="67" xfId="72" applyFont="1" applyFill="1" applyBorder="1" applyAlignment="1">
      <alignment horizontal="center"/>
    </xf>
    <xf numFmtId="0" fontId="64" fillId="0" borderId="42" xfId="72" applyFont="1" applyBorder="1" applyAlignment="1">
      <alignment horizontal="center" vertical="center"/>
    </xf>
    <xf numFmtId="0" fontId="64" fillId="0" borderId="66" xfId="72" applyFont="1" applyBorder="1" applyAlignment="1">
      <alignment horizontal="center" vertical="center"/>
    </xf>
    <xf numFmtId="0" fontId="64" fillId="0" borderId="56" xfId="72" applyFont="1" applyBorder="1" applyAlignment="1">
      <alignment horizontal="center" vertical="center"/>
    </xf>
    <xf numFmtId="0" fontId="64" fillId="0" borderId="53" xfId="72" applyFont="1" applyBorder="1"/>
    <xf numFmtId="0" fontId="55" fillId="0" borderId="45" xfId="72" applyFont="1" applyBorder="1"/>
    <xf numFmtId="0" fontId="55" fillId="0" borderId="46" xfId="72" applyFont="1" applyBorder="1"/>
    <xf numFmtId="0" fontId="55" fillId="0" borderId="29" xfId="72" applyFont="1" applyBorder="1" applyAlignment="1">
      <alignment horizontal="centerContinuous"/>
    </xf>
    <xf numFmtId="0" fontId="55" fillId="0" borderId="39" xfId="72" applyFont="1" applyBorder="1" applyAlignment="1">
      <alignment horizontal="centerContinuous"/>
    </xf>
    <xf numFmtId="0" fontId="55" fillId="0" borderId="30" xfId="72" applyFont="1" applyBorder="1" applyAlignment="1">
      <alignment horizontal="centerContinuous"/>
    </xf>
    <xf numFmtId="0" fontId="55" fillId="64" borderId="55" xfId="72" applyFont="1" applyFill="1" applyBorder="1" applyAlignment="1">
      <alignment horizontal="center"/>
    </xf>
    <xf numFmtId="0" fontId="55" fillId="63" borderId="81" xfId="72" applyFont="1" applyFill="1" applyBorder="1" applyAlignment="1">
      <alignment horizontal="center"/>
    </xf>
    <xf numFmtId="0" fontId="55" fillId="64" borderId="37" xfId="72" applyFont="1" applyFill="1" applyBorder="1" applyAlignment="1">
      <alignment horizontal="center"/>
    </xf>
    <xf numFmtId="0" fontId="55" fillId="64" borderId="25" xfId="72" applyFont="1" applyFill="1" applyBorder="1" applyAlignment="1">
      <alignment horizontal="center"/>
    </xf>
    <xf numFmtId="0" fontId="55" fillId="0" borderId="35" xfId="72" applyFont="1" applyBorder="1" applyAlignment="1">
      <alignment horizontal="centerContinuous"/>
    </xf>
    <xf numFmtId="0" fontId="55" fillId="0" borderId="59" xfId="72" applyFont="1" applyBorder="1" applyAlignment="1">
      <alignment horizontal="centerContinuous"/>
    </xf>
    <xf numFmtId="0" fontId="64" fillId="0" borderId="29" xfId="72" applyFont="1" applyBorder="1" applyAlignment="1">
      <alignment horizontal="center" vertical="center"/>
    </xf>
    <xf numFmtId="0" fontId="64" fillId="0" borderId="28" xfId="72" applyFont="1" applyBorder="1" applyAlignment="1">
      <alignment horizontal="center" vertical="center"/>
    </xf>
    <xf numFmtId="0" fontId="64" fillId="0" borderId="31" xfId="72" applyFont="1" applyBorder="1" applyAlignment="1">
      <alignment horizontal="center" vertical="center"/>
    </xf>
    <xf numFmtId="0" fontId="64" fillId="63" borderId="72" xfId="72" applyFont="1" applyFill="1" applyBorder="1" applyAlignment="1">
      <alignment horizontal="center"/>
    </xf>
    <xf numFmtId="170" fontId="64" fillId="0" borderId="59" xfId="72" applyNumberFormat="1" applyFont="1" applyBorder="1" applyAlignment="1">
      <alignment horizontal="center" vertical="center"/>
    </xf>
    <xf numFmtId="170" fontId="64" fillId="0" borderId="38" xfId="72" applyNumberFormat="1" applyFont="1" applyBorder="1" applyAlignment="1">
      <alignment horizontal="center" vertical="center"/>
    </xf>
    <xf numFmtId="170" fontId="64" fillId="0" borderId="48" xfId="72" applyNumberFormat="1" applyFont="1" applyBorder="1" applyAlignment="1">
      <alignment horizontal="center" vertical="center"/>
    </xf>
    <xf numFmtId="170" fontId="64" fillId="0" borderId="71" xfId="72" applyNumberFormat="1" applyFont="1" applyBorder="1" applyAlignment="1">
      <alignment horizontal="center" vertical="center"/>
    </xf>
    <xf numFmtId="170" fontId="64" fillId="0" borderId="72" xfId="72" applyNumberFormat="1" applyFont="1" applyBorder="1" applyAlignment="1">
      <alignment horizontal="center" vertical="center"/>
    </xf>
    <xf numFmtId="170" fontId="64" fillId="0" borderId="74" xfId="72" applyNumberFormat="1" applyFont="1" applyBorder="1" applyAlignment="1">
      <alignment horizontal="center" vertical="center"/>
    </xf>
    <xf numFmtId="0" fontId="55" fillId="35" borderId="29" xfId="0" applyFont="1" applyFill="1" applyBorder="1" applyAlignment="1">
      <alignment horizontal="centerContinuous" vertical="center" wrapText="1"/>
    </xf>
    <xf numFmtId="0" fontId="55" fillId="35" borderId="30" xfId="0" applyFont="1" applyFill="1" applyBorder="1" applyAlignment="1">
      <alignment horizontal="centerContinuous" vertical="center" wrapText="1"/>
    </xf>
    <xf numFmtId="0" fontId="48" fillId="35" borderId="42" xfId="0" applyFont="1" applyFill="1" applyBorder="1" applyAlignment="1">
      <alignment vertical="center" wrapText="1"/>
    </xf>
    <xf numFmtId="0" fontId="48" fillId="35" borderId="43" xfId="0" applyFont="1" applyFill="1" applyBorder="1" applyAlignment="1">
      <alignment vertical="center" wrapText="1"/>
    </xf>
    <xf numFmtId="0" fontId="48" fillId="35" borderId="44" xfId="0" applyFont="1" applyFill="1" applyBorder="1" applyAlignment="1">
      <alignment vertical="center" wrapText="1"/>
    </xf>
    <xf numFmtId="0" fontId="55" fillId="45" borderId="33" xfId="0" applyFont="1" applyFill="1" applyBorder="1" applyAlignment="1">
      <alignment horizontal="center" wrapText="1"/>
    </xf>
    <xf numFmtId="0" fontId="55" fillId="45" borderId="40" xfId="0" applyFont="1" applyFill="1" applyBorder="1" applyAlignment="1">
      <alignment horizontal="center"/>
    </xf>
    <xf numFmtId="0" fontId="55" fillId="45" borderId="33" xfId="0" applyFont="1" applyFill="1" applyBorder="1" applyAlignment="1">
      <alignment horizontal="center"/>
    </xf>
    <xf numFmtId="0" fontId="55" fillId="43" borderId="29" xfId="0" applyFont="1" applyFill="1" applyBorder="1" applyAlignment="1">
      <alignment horizontal="centerContinuous" wrapText="1"/>
    </xf>
    <xf numFmtId="0" fontId="55" fillId="43" borderId="30" xfId="0" applyFont="1" applyFill="1" applyBorder="1" applyAlignment="1">
      <alignment horizontal="centerContinuous" wrapText="1"/>
    </xf>
    <xf numFmtId="0" fontId="55" fillId="43" borderId="23" xfId="0" applyFont="1" applyFill="1" applyBorder="1" applyAlignment="1">
      <alignment horizontal="left" wrapText="1"/>
    </xf>
    <xf numFmtId="1" fontId="55" fillId="44" borderId="29" xfId="64" applyNumberFormat="1" applyFont="1" applyFill="1" applyBorder="1" applyAlignment="1">
      <alignment horizontal="centerContinuous" wrapText="1"/>
    </xf>
    <xf numFmtId="1" fontId="55" fillId="44" borderId="39" xfId="64" applyNumberFormat="1" applyFont="1" applyFill="1" applyBorder="1" applyAlignment="1">
      <alignment horizontal="centerContinuous" wrapText="1"/>
    </xf>
    <xf numFmtId="1" fontId="55" fillId="44" borderId="30" xfId="64" applyNumberFormat="1" applyFont="1" applyFill="1" applyBorder="1" applyAlignment="1">
      <alignment horizontal="centerContinuous" wrapText="1"/>
    </xf>
    <xf numFmtId="0" fontId="63" fillId="53" borderId="87" xfId="72" applyFont="1" applyFill="1" applyBorder="1"/>
    <xf numFmtId="0" fontId="63" fillId="53" borderId="85" xfId="72" applyFont="1" applyFill="1" applyBorder="1"/>
    <xf numFmtId="0" fontId="48" fillId="0" borderId="85" xfId="119" applyFont="1" applyBorder="1"/>
    <xf numFmtId="0" fontId="54" fillId="0" borderId="87" xfId="119" applyFont="1" applyBorder="1"/>
    <xf numFmtId="3" fontId="48" fillId="0" borderId="0" xfId="0" applyNumberFormat="1" applyFont="1"/>
    <xf numFmtId="0" fontId="55" fillId="40" borderId="42" xfId="0" applyFont="1" applyFill="1" applyBorder="1" applyAlignment="1">
      <alignment wrapText="1"/>
    </xf>
    <xf numFmtId="0" fontId="55" fillId="40" borderId="43" xfId="0" applyFont="1" applyFill="1" applyBorder="1" applyAlignment="1">
      <alignment wrapText="1"/>
    </xf>
    <xf numFmtId="0" fontId="55" fillId="40" borderId="44" xfId="0" applyFont="1" applyFill="1" applyBorder="1" applyAlignment="1">
      <alignment wrapText="1"/>
    </xf>
    <xf numFmtId="0" fontId="48" fillId="46" borderId="51" xfId="112" applyFont="1" applyFill="1" applyBorder="1" applyAlignment="1">
      <alignment horizontal="center" vertical="center" wrapText="1"/>
    </xf>
    <xf numFmtId="37" fontId="48" fillId="50" borderId="13" xfId="112" applyNumberFormat="1" applyFont="1" applyFill="1" applyBorder="1" applyAlignment="1">
      <alignment horizontal="center" vertical="center"/>
    </xf>
    <xf numFmtId="0" fontId="48" fillId="46" borderId="23" xfId="112" applyFont="1" applyFill="1" applyBorder="1" applyAlignment="1">
      <alignment horizontal="center" vertical="center" wrapText="1"/>
    </xf>
    <xf numFmtId="37" fontId="48" fillId="50" borderId="11" xfId="112" applyNumberFormat="1" applyFont="1" applyFill="1" applyBorder="1" applyAlignment="1">
      <alignment horizontal="center" vertical="center"/>
    </xf>
    <xf numFmtId="0" fontId="90" fillId="0" borderId="14" xfId="116" applyFont="1" applyBorder="1"/>
    <xf numFmtId="0" fontId="90" fillId="0" borderId="0" xfId="0" applyFont="1"/>
    <xf numFmtId="0" fontId="90" fillId="0" borderId="11" xfId="0" applyFont="1" applyBorder="1"/>
    <xf numFmtId="43" fontId="90" fillId="0" borderId="11" xfId="64" applyFont="1" applyBorder="1"/>
    <xf numFmtId="3" fontId="90" fillId="36" borderId="11" xfId="0" applyNumberFormat="1" applyFont="1" applyFill="1" applyBorder="1" applyAlignment="1">
      <alignment vertical="center"/>
    </xf>
    <xf numFmtId="0" fontId="64" fillId="0" borderId="45" xfId="0" applyFont="1" applyBorder="1" applyAlignment="1">
      <alignment vertical="center"/>
    </xf>
    <xf numFmtId="0" fontId="62" fillId="0" borderId="45" xfId="71" applyFill="1" applyBorder="1" applyAlignment="1">
      <alignment vertical="center"/>
    </xf>
    <xf numFmtId="0" fontId="48" fillId="0" borderId="45" xfId="71" applyFont="1" applyFill="1" applyBorder="1" applyAlignment="1"/>
    <xf numFmtId="0" fontId="48" fillId="0" borderId="45" xfId="71" applyFont="1" applyFill="1" applyBorder="1" applyAlignment="1">
      <alignment horizontal="left"/>
    </xf>
    <xf numFmtId="0" fontId="48" fillId="0" borderId="38" xfId="0" applyFont="1" applyBorder="1"/>
    <xf numFmtId="0" fontId="48" fillId="0" borderId="47" xfId="0" applyFont="1" applyBorder="1"/>
    <xf numFmtId="0" fontId="48" fillId="0" borderId="48" xfId="0" applyFont="1" applyBorder="1"/>
    <xf numFmtId="0" fontId="64" fillId="0" borderId="66" xfId="0" applyFont="1" applyBorder="1" applyAlignment="1">
      <alignment horizontal="left" vertical="center"/>
    </xf>
    <xf numFmtId="0" fontId="64" fillId="0" borderId="27" xfId="0" applyFont="1" applyBorder="1" applyAlignment="1">
      <alignment horizontal="center" vertical="center"/>
    </xf>
    <xf numFmtId="0" fontId="64" fillId="0" borderId="27" xfId="0" applyFont="1" applyBorder="1" applyAlignment="1">
      <alignment horizontal="center" vertical="center" wrapText="1"/>
    </xf>
    <xf numFmtId="170" fontId="64" fillId="0" borderId="67" xfId="0" applyNumberFormat="1" applyFont="1" applyBorder="1" applyAlignment="1">
      <alignment horizontal="right" vertical="center" wrapText="1"/>
    </xf>
    <xf numFmtId="170" fontId="64" fillId="0" borderId="57" xfId="0" applyNumberFormat="1" applyFont="1" applyBorder="1" applyAlignment="1">
      <alignment vertical="center" wrapText="1"/>
    </xf>
    <xf numFmtId="2" fontId="64" fillId="0" borderId="27" xfId="0" applyNumberFormat="1" applyFont="1" applyBorder="1" applyAlignment="1">
      <alignment horizontal="right" vertical="center"/>
    </xf>
    <xf numFmtId="0" fontId="64" fillId="0" borderId="20" xfId="0" applyFont="1" applyBorder="1" applyAlignment="1">
      <alignment vertical="center"/>
    </xf>
    <xf numFmtId="0" fontId="64" fillId="0" borderId="34" xfId="0" applyFont="1" applyBorder="1" applyAlignment="1">
      <alignment horizontal="center" vertical="center"/>
    </xf>
    <xf numFmtId="0" fontId="64" fillId="0" borderId="34" xfId="0" applyFont="1" applyBorder="1" applyAlignment="1">
      <alignment horizontal="center" vertical="center" wrapText="1"/>
    </xf>
    <xf numFmtId="2" fontId="64" fillId="0" borderId="34" xfId="0" applyNumberFormat="1" applyFont="1" applyBorder="1" applyAlignment="1">
      <alignment horizontal="right" vertical="center"/>
    </xf>
    <xf numFmtId="170" fontId="64" fillId="0" borderId="21" xfId="0" applyNumberFormat="1" applyFont="1" applyBorder="1" applyAlignment="1">
      <alignment vertical="center" wrapText="1"/>
    </xf>
    <xf numFmtId="0" fontId="63" fillId="40" borderId="42" xfId="0" applyFont="1" applyFill="1" applyBorder="1" applyAlignment="1">
      <alignment horizontal="center" vertical="center" wrapText="1"/>
    </xf>
    <xf numFmtId="0" fontId="63" fillId="40" borderId="43" xfId="0" applyFont="1" applyFill="1" applyBorder="1" applyAlignment="1">
      <alignment horizontal="center" vertical="center" wrapText="1"/>
    </xf>
    <xf numFmtId="0" fontId="63" fillId="40" borderId="44" xfId="0" applyFont="1" applyFill="1" applyBorder="1" applyAlignment="1">
      <alignment horizontal="center" vertical="center" wrapText="1"/>
    </xf>
    <xf numFmtId="0" fontId="64" fillId="0" borderId="20" xfId="0" applyFont="1" applyBorder="1" applyAlignment="1">
      <alignment vertical="center" wrapText="1"/>
    </xf>
    <xf numFmtId="0" fontId="64" fillId="0" borderId="34" xfId="0" applyFont="1" applyBorder="1" applyAlignment="1">
      <alignment vertical="center"/>
    </xf>
    <xf numFmtId="0" fontId="64" fillId="0" borderId="34" xfId="0" applyFont="1" applyBorder="1" applyAlignment="1">
      <alignment vertical="center" wrapText="1"/>
    </xf>
    <xf numFmtId="8" fontId="64" fillId="0" borderId="21" xfId="0" applyNumberFormat="1" applyFont="1" applyBorder="1" applyAlignment="1">
      <alignment horizontal="right" vertical="center" wrapText="1"/>
    </xf>
    <xf numFmtId="0" fontId="54" fillId="0" borderId="11" xfId="127" applyFont="1" applyBorder="1"/>
    <xf numFmtId="0" fontId="54" fillId="0" borderId="12" xfId="127" applyFont="1" applyBorder="1"/>
    <xf numFmtId="0" fontId="54" fillId="0" borderId="24" xfId="127" applyFont="1" applyBorder="1"/>
    <xf numFmtId="0" fontId="54" fillId="0" borderId="37" xfId="127" applyFont="1" applyBorder="1"/>
    <xf numFmtId="0" fontId="54" fillId="0" borderId="56" xfId="127" applyFont="1" applyBorder="1"/>
    <xf numFmtId="0" fontId="54" fillId="0" borderId="55" xfId="127" applyFont="1" applyBorder="1"/>
    <xf numFmtId="0" fontId="54" fillId="0" borderId="18" xfId="127" applyFont="1" applyBorder="1"/>
    <xf numFmtId="0" fontId="54" fillId="0" borderId="22" xfId="127" applyFont="1" applyBorder="1"/>
    <xf numFmtId="0" fontId="48" fillId="0" borderId="22" xfId="72" applyFont="1" applyBorder="1" applyAlignment="1">
      <alignment vertical="center" wrapText="1" shrinkToFit="1"/>
    </xf>
    <xf numFmtId="0" fontId="48" fillId="0" borderId="24" xfId="72" applyFont="1" applyBorder="1" applyAlignment="1">
      <alignment vertical="center" wrapText="1" shrinkToFit="1"/>
    </xf>
    <xf numFmtId="180" fontId="64" fillId="0" borderId="23" xfId="0" applyNumberFormat="1" applyFont="1" applyBorder="1" applyAlignment="1">
      <alignment horizontal="right" vertical="center" wrapText="1"/>
    </xf>
    <xf numFmtId="180" fontId="64" fillId="0" borderId="25" xfId="0" applyNumberFormat="1" applyFont="1" applyBorder="1" applyAlignment="1">
      <alignment horizontal="right" vertical="center" wrapText="1"/>
    </xf>
    <xf numFmtId="180" fontId="64" fillId="0" borderId="21" xfId="0" applyNumberFormat="1" applyFont="1" applyBorder="1" applyAlignment="1">
      <alignment horizontal="right" vertical="center" wrapText="1"/>
    </xf>
    <xf numFmtId="180" fontId="54" fillId="0" borderId="25" xfId="127" applyNumberFormat="1" applyFont="1" applyBorder="1"/>
    <xf numFmtId="180" fontId="54" fillId="0" borderId="57" xfId="127" applyNumberFormat="1" applyFont="1" applyBorder="1"/>
    <xf numFmtId="180" fontId="54" fillId="0" borderId="19" xfId="127" applyNumberFormat="1" applyFont="1" applyBorder="1"/>
    <xf numFmtId="180" fontId="54" fillId="0" borderId="23" xfId="127" applyNumberFormat="1" applyFont="1" applyBorder="1"/>
    <xf numFmtId="180" fontId="91" fillId="0" borderId="19" xfId="127" applyNumberFormat="1" applyFont="1" applyBorder="1"/>
    <xf numFmtId="180" fontId="91" fillId="0" borderId="23" xfId="127" applyNumberFormat="1" applyFont="1" applyBorder="1"/>
    <xf numFmtId="180" fontId="91" fillId="0" borderId="25" xfId="127" applyNumberFormat="1" applyFont="1" applyBorder="1"/>
    <xf numFmtId="8" fontId="91" fillId="0" borderId="19" xfId="0" applyNumberFormat="1" applyFont="1" applyBorder="1" applyAlignment="1">
      <alignment horizontal="right" vertical="center" wrapText="1"/>
    </xf>
    <xf numFmtId="8" fontId="91" fillId="0" borderId="25" xfId="0" applyNumberFormat="1" applyFont="1" applyBorder="1" applyAlignment="1">
      <alignment horizontal="right" vertical="center" wrapText="1"/>
    </xf>
    <xf numFmtId="0" fontId="54" fillId="0" borderId="20" xfId="70" applyFont="1" applyBorder="1" applyAlignment="1">
      <alignment horizontal="center"/>
    </xf>
    <xf numFmtId="0" fontId="54" fillId="0" borderId="34" xfId="70" applyFont="1" applyBorder="1" applyAlignment="1">
      <alignment horizontal="center"/>
    </xf>
    <xf numFmtId="0" fontId="48" fillId="0" borderId="34" xfId="72" applyFont="1" applyBorder="1" applyAlignment="1">
      <alignment horizontal="center"/>
    </xf>
    <xf numFmtId="0" fontId="54" fillId="0" borderId="22" xfId="70" applyFont="1" applyBorder="1" applyAlignment="1">
      <alignment horizontal="center"/>
    </xf>
    <xf numFmtId="0" fontId="54" fillId="0" borderId="11" xfId="70" applyFont="1" applyBorder="1" applyAlignment="1">
      <alignment horizontal="center"/>
    </xf>
    <xf numFmtId="0" fontId="48" fillId="0" borderId="11" xfId="72" applyFont="1" applyBorder="1" applyAlignment="1">
      <alignment horizontal="center"/>
    </xf>
    <xf numFmtId="0" fontId="64" fillId="0" borderId="22" xfId="72" applyFont="1" applyBorder="1" applyAlignment="1">
      <alignment horizontal="center" vertical="center"/>
    </xf>
    <xf numFmtId="0" fontId="64" fillId="0" borderId="11" xfId="72" applyFont="1" applyBorder="1" applyAlignment="1">
      <alignment horizontal="center" vertical="center"/>
    </xf>
    <xf numFmtId="0" fontId="48" fillId="0" borderId="22" xfId="0" applyFont="1" applyBorder="1" applyAlignment="1">
      <alignment horizontal="center"/>
    </xf>
    <xf numFmtId="0" fontId="48" fillId="0" borderId="11" xfId="0" applyFont="1" applyBorder="1" applyAlignment="1">
      <alignment horizontal="center"/>
    </xf>
    <xf numFmtId="0" fontId="64" fillId="0" borderId="22" xfId="113" applyFont="1" applyBorder="1" applyAlignment="1">
      <alignment horizontal="center" vertical="center"/>
    </xf>
    <xf numFmtId="0" fontId="64" fillId="0" borderId="11" xfId="113" applyFont="1" applyBorder="1" applyAlignment="1">
      <alignment horizontal="center" vertical="center"/>
    </xf>
    <xf numFmtId="0" fontId="48" fillId="0" borderId="22" xfId="72" applyFont="1" applyBorder="1" applyAlignment="1">
      <alignment horizontal="center"/>
    </xf>
    <xf numFmtId="0" fontId="64" fillId="0" borderId="24" xfId="72" applyFont="1" applyBorder="1" applyAlignment="1">
      <alignment horizontal="center" vertical="center"/>
    </xf>
    <xf numFmtId="0" fontId="64" fillId="0" borderId="37" xfId="72" applyFont="1" applyBorder="1" applyAlignment="1">
      <alignment horizontal="center" vertical="center"/>
    </xf>
    <xf numFmtId="2" fontId="48" fillId="55" borderId="21" xfId="0" applyNumberFormat="1" applyFont="1" applyFill="1" applyBorder="1" applyAlignment="1">
      <alignment horizontal="center"/>
    </xf>
    <xf numFmtId="2" fontId="48" fillId="55" borderId="23" xfId="0" applyNumberFormat="1" applyFont="1" applyFill="1" applyBorder="1" applyAlignment="1">
      <alignment horizontal="center"/>
    </xf>
    <xf numFmtId="2" fontId="64" fillId="57" borderId="23" xfId="113" applyNumberFormat="1" applyFont="1" applyFill="1" applyBorder="1" applyAlignment="1">
      <alignment horizontal="center" vertical="center"/>
    </xf>
    <xf numFmtId="2" fontId="64" fillId="57" borderId="25" xfId="113" applyNumberFormat="1" applyFont="1" applyFill="1" applyBorder="1" applyAlignment="1">
      <alignment horizontal="center" vertical="center"/>
    </xf>
    <xf numFmtId="0" fontId="54" fillId="0" borderId="45" xfId="0" applyFont="1" applyBorder="1"/>
    <xf numFmtId="0" fontId="54" fillId="0" borderId="45" xfId="0" applyFont="1" applyBorder="1" applyAlignment="1">
      <alignment vertical="top"/>
    </xf>
    <xf numFmtId="0" fontId="92" fillId="73" borderId="20" xfId="0" applyFont="1" applyFill="1" applyBorder="1"/>
    <xf numFmtId="0" fontId="92" fillId="73" borderId="21" xfId="0" applyFont="1" applyFill="1" applyBorder="1"/>
    <xf numFmtId="170" fontId="92" fillId="73" borderId="36" xfId="0" applyNumberFormat="1" applyFont="1" applyFill="1" applyBorder="1"/>
    <xf numFmtId="0" fontId="92" fillId="73" borderId="34" xfId="0" applyFont="1" applyFill="1" applyBorder="1"/>
    <xf numFmtId="0" fontId="92" fillId="0" borderId="22" xfId="0" applyFont="1" applyBorder="1"/>
    <xf numFmtId="0" fontId="92" fillId="0" borderId="23" xfId="0" applyFont="1" applyBorder="1"/>
    <xf numFmtId="170" fontId="92" fillId="0" borderId="14" xfId="0" applyNumberFormat="1" applyFont="1" applyBorder="1"/>
    <xf numFmtId="0" fontId="92" fillId="0" borderId="11" xfId="0" applyFont="1" applyBorder="1"/>
    <xf numFmtId="0" fontId="92" fillId="0" borderId="19" xfId="0" applyFont="1" applyBorder="1"/>
    <xf numFmtId="0" fontId="92" fillId="73" borderId="22" xfId="0" applyFont="1" applyFill="1" applyBorder="1"/>
    <xf numFmtId="0" fontId="92" fillId="73" borderId="23" xfId="0" applyFont="1" applyFill="1" applyBorder="1"/>
    <xf numFmtId="170" fontId="92" fillId="73" borderId="14" xfId="0" applyNumberFormat="1" applyFont="1" applyFill="1" applyBorder="1"/>
    <xf numFmtId="0" fontId="92" fillId="73" borderId="11" xfId="0" applyFont="1" applyFill="1" applyBorder="1"/>
    <xf numFmtId="0" fontId="92" fillId="73" borderId="19" xfId="0" applyFont="1" applyFill="1" applyBorder="1"/>
    <xf numFmtId="0" fontId="92" fillId="73" borderId="24" xfId="0" applyFont="1" applyFill="1" applyBorder="1"/>
    <xf numFmtId="0" fontId="92" fillId="73" borderId="25" xfId="0" applyFont="1" applyFill="1" applyBorder="1"/>
    <xf numFmtId="170" fontId="92" fillId="73" borderId="26" xfId="0" applyNumberFormat="1" applyFont="1" applyFill="1" applyBorder="1"/>
    <xf numFmtId="0" fontId="92" fillId="73" borderId="37" xfId="0" applyFont="1" applyFill="1" applyBorder="1"/>
    <xf numFmtId="0" fontId="92" fillId="73" borderId="57" xfId="0" applyFont="1" applyFill="1" applyBorder="1"/>
    <xf numFmtId="0" fontId="92" fillId="0" borderId="18" xfId="0" applyFont="1" applyBorder="1"/>
    <xf numFmtId="170" fontId="92" fillId="0" borderId="70" xfId="0" applyNumberFormat="1" applyFont="1" applyBorder="1"/>
    <xf numFmtId="0" fontId="92" fillId="0" borderId="12" xfId="0" applyFont="1" applyBorder="1"/>
    <xf numFmtId="0" fontId="92" fillId="0" borderId="40" xfId="0" applyFont="1" applyBorder="1"/>
    <xf numFmtId="0" fontId="92" fillId="0" borderId="41" xfId="0" applyFont="1" applyBorder="1"/>
    <xf numFmtId="0" fontId="92" fillId="0" borderId="33" xfId="0" applyFont="1" applyBorder="1"/>
    <xf numFmtId="0" fontId="92" fillId="0" borderId="67" xfId="0" applyFont="1" applyBorder="1"/>
    <xf numFmtId="0" fontId="92" fillId="0" borderId="24" xfId="0" applyFont="1" applyBorder="1"/>
    <xf numFmtId="0" fontId="92" fillId="0" borderId="25" xfId="0" applyFont="1" applyBorder="1"/>
    <xf numFmtId="170" fontId="92" fillId="0" borderId="26" xfId="0" applyNumberFormat="1" applyFont="1" applyBorder="1"/>
    <xf numFmtId="0" fontId="92" fillId="0" borderId="37" xfId="0" applyFont="1" applyBorder="1"/>
    <xf numFmtId="0" fontId="92" fillId="0" borderId="57" xfId="0" applyFont="1" applyBorder="1"/>
    <xf numFmtId="0" fontId="92" fillId="73" borderId="18" xfId="0" applyFont="1" applyFill="1" applyBorder="1"/>
    <xf numFmtId="170" fontId="92" fillId="73" borderId="70" xfId="0" applyNumberFormat="1" applyFont="1" applyFill="1" applyBorder="1"/>
    <xf numFmtId="0" fontId="92" fillId="73" borderId="12" xfId="0" applyFont="1" applyFill="1" applyBorder="1"/>
    <xf numFmtId="0" fontId="48" fillId="46" borderId="0" xfId="0" applyFont="1" applyFill="1"/>
    <xf numFmtId="0" fontId="54" fillId="56" borderId="70" xfId="114" applyFont="1" applyFill="1" applyBorder="1" applyAlignment="1">
      <alignment horizontal="center" wrapText="1"/>
    </xf>
    <xf numFmtId="0" fontId="52" fillId="51" borderId="30" xfId="116" applyFont="1" applyFill="1" applyBorder="1" applyAlignment="1">
      <alignment horizontal="center" vertical="center" wrapText="1"/>
    </xf>
    <xf numFmtId="0" fontId="52" fillId="51" borderId="77" xfId="116" applyFont="1" applyFill="1" applyBorder="1"/>
    <xf numFmtId="0" fontId="48" fillId="51" borderId="58" xfId="114" applyFont="1" applyFill="1" applyBorder="1" applyAlignment="1">
      <alignment horizontal="center" wrapText="1"/>
    </xf>
    <xf numFmtId="0" fontId="54" fillId="51" borderId="64" xfId="114" applyFont="1" applyFill="1" applyBorder="1"/>
    <xf numFmtId="0" fontId="93" fillId="0" borderId="0" xfId="0" applyFont="1"/>
    <xf numFmtId="0" fontId="0" fillId="0" borderId="47" xfId="0" applyBorder="1"/>
    <xf numFmtId="0" fontId="0" fillId="0" borderId="48" xfId="0" applyBorder="1"/>
    <xf numFmtId="0" fontId="52" fillId="51" borderId="40" xfId="116" applyFont="1" applyFill="1" applyBorder="1"/>
    <xf numFmtId="0" fontId="52" fillId="51" borderId="33" xfId="116" applyFont="1" applyFill="1" applyBorder="1"/>
    <xf numFmtId="0" fontId="52" fillId="51" borderId="41" xfId="116" applyFont="1" applyFill="1" applyBorder="1"/>
    <xf numFmtId="0" fontId="52" fillId="51" borderId="86" xfId="116" applyFont="1" applyFill="1" applyBorder="1"/>
    <xf numFmtId="168" fontId="94" fillId="0" borderId="20" xfId="0" applyNumberFormat="1" applyFont="1" applyBorder="1"/>
    <xf numFmtId="168" fontId="94" fillId="0" borderId="43" xfId="0" applyNumberFormat="1" applyFont="1" applyBorder="1"/>
    <xf numFmtId="168" fontId="94" fillId="0" borderId="34" xfId="0" applyNumberFormat="1" applyFont="1" applyBorder="1"/>
    <xf numFmtId="168" fontId="94" fillId="0" borderId="36" xfId="0" applyNumberFormat="1" applyFont="1" applyBorder="1"/>
    <xf numFmtId="168" fontId="94" fillId="0" borderId="29" xfId="0" applyNumberFormat="1" applyFont="1" applyBorder="1"/>
    <xf numFmtId="168" fontId="94" fillId="0" borderId="21" xfId="0" applyNumberFormat="1" applyFont="1" applyBorder="1"/>
    <xf numFmtId="168" fontId="94" fillId="0" borderId="22" xfId="0" applyNumberFormat="1" applyFont="1" applyBorder="1"/>
    <xf numFmtId="168" fontId="94" fillId="0" borderId="11" xfId="0" applyNumberFormat="1" applyFont="1" applyBorder="1"/>
    <xf numFmtId="168" fontId="94" fillId="0" borderId="14" xfId="0" applyNumberFormat="1" applyFont="1" applyBorder="1"/>
    <xf numFmtId="168" fontId="94" fillId="0" borderId="28" xfId="0" applyNumberFormat="1" applyFont="1" applyBorder="1"/>
    <xf numFmtId="168" fontId="94" fillId="0" borderId="23" xfId="0" applyNumberFormat="1" applyFont="1" applyBorder="1"/>
    <xf numFmtId="168" fontId="92" fillId="0" borderId="22" xfId="0" applyNumberFormat="1" applyFont="1" applyBorder="1"/>
    <xf numFmtId="168" fontId="92" fillId="0" borderId="11" xfId="0" applyNumberFormat="1" applyFont="1" applyBorder="1"/>
    <xf numFmtId="168" fontId="92" fillId="0" borderId="14" xfId="0" applyNumberFormat="1" applyFont="1" applyBorder="1"/>
    <xf numFmtId="168" fontId="92" fillId="0" borderId="28" xfId="0" applyNumberFormat="1" applyFont="1" applyBorder="1"/>
    <xf numFmtId="168" fontId="92" fillId="0" borderId="23" xfId="0" applyNumberFormat="1" applyFont="1" applyBorder="1"/>
    <xf numFmtId="168" fontId="94" fillId="0" borderId="15" xfId="0" applyNumberFormat="1" applyFont="1" applyBorder="1"/>
    <xf numFmtId="168" fontId="94" fillId="0" borderId="63" xfId="0" applyNumberFormat="1" applyFont="1" applyBorder="1"/>
    <xf numFmtId="168" fontId="92" fillId="0" borderId="24" xfId="0" applyNumberFormat="1" applyFont="1" applyBorder="1"/>
    <xf numFmtId="168" fontId="92" fillId="0" borderId="37" xfId="0" applyNumberFormat="1" applyFont="1" applyBorder="1"/>
    <xf numFmtId="168" fontId="92" fillId="0" borderId="26" xfId="0" applyNumberFormat="1" applyFont="1" applyBorder="1"/>
    <xf numFmtId="168" fontId="92" fillId="0" borderId="31" xfId="0" applyNumberFormat="1" applyFont="1" applyBorder="1"/>
    <xf numFmtId="168" fontId="92" fillId="0" borderId="25" xfId="0" applyNumberFormat="1" applyFont="1" applyBorder="1"/>
    <xf numFmtId="168" fontId="96" fillId="0" borderId="53" xfId="116" applyNumberFormat="1" applyFont="1" applyBorder="1"/>
    <xf numFmtId="168" fontId="96" fillId="0" borderId="36" xfId="116" applyNumberFormat="1" applyFont="1" applyBorder="1"/>
    <xf numFmtId="168" fontId="96" fillId="0" borderId="34" xfId="116" applyNumberFormat="1" applyFont="1" applyBorder="1"/>
    <xf numFmtId="168" fontId="94" fillId="0" borderId="34" xfId="0" applyNumberFormat="1" applyFont="1" applyBorder="1" applyAlignment="1">
      <alignment horizontal="right" vertical="center"/>
    </xf>
    <xf numFmtId="168" fontId="96" fillId="0" borderId="50" xfId="116" applyNumberFormat="1" applyFont="1" applyBorder="1"/>
    <xf numFmtId="168" fontId="96" fillId="0" borderId="69" xfId="116" applyNumberFormat="1" applyFont="1" applyBorder="1"/>
    <xf numFmtId="168" fontId="96" fillId="0" borderId="70" xfId="116" applyNumberFormat="1" applyFont="1" applyBorder="1"/>
    <xf numFmtId="168" fontId="96" fillId="0" borderId="12" xfId="116" applyNumberFormat="1" applyFont="1" applyBorder="1"/>
    <xf numFmtId="168" fontId="94" fillId="0" borderId="11" xfId="0" applyNumberFormat="1" applyFont="1" applyBorder="1" applyAlignment="1">
      <alignment horizontal="right" vertical="center"/>
    </xf>
    <xf numFmtId="168" fontId="96" fillId="0" borderId="68" xfId="116" applyNumberFormat="1" applyFont="1" applyBorder="1"/>
    <xf numFmtId="168" fontId="94" fillId="0" borderId="12" xfId="116" applyNumberFormat="1" applyFont="1" applyBorder="1"/>
    <xf numFmtId="168" fontId="94" fillId="0" borderId="68" xfId="116" applyNumberFormat="1" applyFont="1" applyBorder="1"/>
    <xf numFmtId="168" fontId="94" fillId="0" borderId="69" xfId="116" applyNumberFormat="1" applyFont="1" applyBorder="1"/>
    <xf numFmtId="168" fontId="94" fillId="0" borderId="70" xfId="116" applyNumberFormat="1" applyFont="1" applyBorder="1"/>
    <xf numFmtId="168" fontId="94" fillId="0" borderId="11" xfId="116" applyNumberFormat="1" applyFont="1" applyBorder="1"/>
    <xf numFmtId="168" fontId="96" fillId="0" borderId="11" xfId="116" applyNumberFormat="1" applyFont="1" applyBorder="1"/>
    <xf numFmtId="168" fontId="94" fillId="0" borderId="11" xfId="0" applyNumberFormat="1" applyFont="1" applyBorder="1" applyAlignment="1">
      <alignment vertical="center"/>
    </xf>
    <xf numFmtId="168" fontId="97" fillId="0" borderId="11" xfId="0" applyNumberFormat="1" applyFont="1" applyBorder="1" applyAlignment="1">
      <alignment horizontal="right" vertical="center"/>
    </xf>
    <xf numFmtId="168" fontId="94" fillId="0" borderId="81" xfId="116" applyNumberFormat="1" applyFont="1" applyBorder="1"/>
    <xf numFmtId="168" fontId="94" fillId="0" borderId="78" xfId="116" applyNumberFormat="1" applyFont="1" applyBorder="1"/>
    <xf numFmtId="168" fontId="94" fillId="0" borderId="55" xfId="116" applyNumberFormat="1" applyFont="1" applyBorder="1"/>
    <xf numFmtId="168" fontId="94" fillId="0" borderId="37" xfId="0" applyNumberFormat="1" applyFont="1" applyBorder="1" applyAlignment="1">
      <alignment horizontal="right" vertical="center"/>
    </xf>
    <xf numFmtId="168" fontId="94" fillId="0" borderId="74" xfId="116" applyNumberFormat="1" applyFont="1" applyBorder="1"/>
    <xf numFmtId="168" fontId="96" fillId="0" borderId="20" xfId="116" applyNumberFormat="1" applyFont="1" applyBorder="1"/>
    <xf numFmtId="168" fontId="96" fillId="0" borderId="18" xfId="116" applyNumberFormat="1" applyFont="1" applyBorder="1"/>
    <xf numFmtId="168" fontId="94" fillId="0" borderId="18" xfId="116" applyNumberFormat="1" applyFont="1" applyBorder="1"/>
    <xf numFmtId="168" fontId="94" fillId="0" borderId="56" xfId="116" applyNumberFormat="1" applyFont="1" applyBorder="1"/>
    <xf numFmtId="168" fontId="96" fillId="0" borderId="13" xfId="116" applyNumberFormat="1" applyFont="1" applyBorder="1"/>
    <xf numFmtId="168" fontId="94" fillId="0" borderId="13" xfId="116" applyNumberFormat="1" applyFont="1" applyBorder="1"/>
    <xf numFmtId="168" fontId="94" fillId="0" borderId="21" xfId="0" applyNumberFormat="1" applyFont="1" applyBorder="1" applyAlignment="1">
      <alignment horizontal="right" vertical="center"/>
    </xf>
    <xf numFmtId="168" fontId="94" fillId="0" borderId="23" xfId="0" applyNumberFormat="1" applyFont="1" applyBorder="1" applyAlignment="1">
      <alignment horizontal="right" vertical="center"/>
    </xf>
    <xf numFmtId="168" fontId="94" fillId="0" borderId="23" xfId="0" applyNumberFormat="1" applyFont="1" applyBorder="1" applyAlignment="1">
      <alignment vertical="center"/>
    </xf>
    <xf numFmtId="168" fontId="97" fillId="0" borderId="23" xfId="0" applyNumberFormat="1" applyFont="1" applyBorder="1" applyAlignment="1">
      <alignment horizontal="right" vertical="center"/>
    </xf>
    <xf numFmtId="168" fontId="94" fillId="0" borderId="25" xfId="0" applyNumberFormat="1" applyFont="1" applyBorder="1" applyAlignment="1">
      <alignment horizontal="right" vertical="center"/>
    </xf>
    <xf numFmtId="168" fontId="96" fillId="0" borderId="21" xfId="116" applyNumberFormat="1" applyFont="1" applyBorder="1"/>
    <xf numFmtId="168" fontId="96" fillId="0" borderId="19" xfId="116" applyNumberFormat="1" applyFont="1" applyBorder="1"/>
    <xf numFmtId="168" fontId="94" fillId="0" borderId="19" xfId="116" applyNumberFormat="1" applyFont="1" applyBorder="1"/>
    <xf numFmtId="168" fontId="94" fillId="0" borderId="23" xfId="116" applyNumberFormat="1" applyFont="1" applyBorder="1"/>
    <xf numFmtId="168" fontId="96" fillId="0" borderId="23" xfId="116" applyNumberFormat="1" applyFont="1" applyBorder="1"/>
    <xf numFmtId="168" fontId="94" fillId="0" borderId="57" xfId="116" applyNumberFormat="1" applyFont="1" applyBorder="1"/>
    <xf numFmtId="168" fontId="92" fillId="0" borderId="20" xfId="116" applyNumberFormat="1" applyFont="1" applyBorder="1"/>
    <xf numFmtId="168" fontId="92" fillId="0" borderId="34" xfId="116" applyNumberFormat="1" applyFont="1" applyBorder="1"/>
    <xf numFmtId="168" fontId="92" fillId="0" borderId="36" xfId="116" applyNumberFormat="1" applyFont="1" applyBorder="1"/>
    <xf numFmtId="168" fontId="92" fillId="0" borderId="50" xfId="116" applyNumberFormat="1" applyFont="1" applyBorder="1"/>
    <xf numFmtId="168" fontId="92" fillId="0" borderId="22" xfId="116" applyNumberFormat="1" applyFont="1" applyBorder="1"/>
    <xf numFmtId="168" fontId="92" fillId="0" borderId="11" xfId="116" applyNumberFormat="1" applyFont="1" applyBorder="1"/>
    <xf numFmtId="168" fontId="94" fillId="0" borderId="13" xfId="0" applyNumberFormat="1" applyFont="1" applyBorder="1"/>
    <xf numFmtId="168" fontId="92" fillId="0" borderId="51" xfId="116" applyNumberFormat="1" applyFont="1" applyBorder="1"/>
    <xf numFmtId="168" fontId="94" fillId="0" borderId="22" xfId="116" applyNumberFormat="1" applyFont="1" applyBorder="1"/>
    <xf numFmtId="168" fontId="94" fillId="0" borderId="51" xfId="116" applyNumberFormat="1" applyFont="1" applyBorder="1"/>
    <xf numFmtId="168" fontId="94" fillId="0" borderId="63" xfId="116" applyNumberFormat="1" applyFont="1" applyBorder="1"/>
    <xf numFmtId="168" fontId="92" fillId="0" borderId="63" xfId="116" applyNumberFormat="1" applyFont="1" applyBorder="1"/>
    <xf numFmtId="168" fontId="98" fillId="0" borderId="63" xfId="116" applyNumberFormat="1" applyFont="1" applyBorder="1"/>
    <xf numFmtId="168" fontId="94" fillId="0" borderId="24" xfId="116" applyNumberFormat="1" applyFont="1" applyBorder="1"/>
    <xf numFmtId="168" fontId="94" fillId="0" borderId="37" xfId="116" applyNumberFormat="1" applyFont="1" applyBorder="1"/>
    <xf numFmtId="168" fontId="94" fillId="0" borderId="26" xfId="116" applyNumberFormat="1" applyFont="1" applyBorder="1"/>
    <xf numFmtId="168" fontId="94" fillId="0" borderId="25" xfId="116" applyNumberFormat="1" applyFont="1" applyBorder="1"/>
    <xf numFmtId="168" fontId="94" fillId="0" borderId="52" xfId="116" applyNumberFormat="1" applyFont="1" applyBorder="1"/>
    <xf numFmtId="168" fontId="97" fillId="0" borderId="76" xfId="0" applyNumberFormat="1" applyFont="1" applyBorder="1"/>
    <xf numFmtId="168" fontId="92" fillId="0" borderId="53" xfId="116" applyNumberFormat="1" applyFont="1" applyBorder="1"/>
    <xf numFmtId="168" fontId="92" fillId="0" borderId="13" xfId="116" applyNumberFormat="1" applyFont="1" applyBorder="1"/>
    <xf numFmtId="168" fontId="94" fillId="0" borderId="54" xfId="116" applyNumberFormat="1" applyFont="1" applyBorder="1"/>
    <xf numFmtId="168" fontId="97" fillId="0" borderId="23" xfId="0" applyNumberFormat="1" applyFont="1" applyBorder="1"/>
    <xf numFmtId="168" fontId="92" fillId="0" borderId="23" xfId="116" applyNumberFormat="1" applyFont="1" applyBorder="1"/>
    <xf numFmtId="168" fontId="98" fillId="0" borderId="23" xfId="116" applyNumberFormat="1" applyFont="1" applyBorder="1"/>
    <xf numFmtId="168" fontId="92" fillId="0" borderId="21" xfId="116" applyNumberFormat="1" applyFont="1" applyBorder="1"/>
    <xf numFmtId="168" fontId="94" fillId="0" borderId="34" xfId="116" applyNumberFormat="1" applyFont="1" applyBorder="1"/>
    <xf numFmtId="168" fontId="94" fillId="0" borderId="21" xfId="116" applyNumberFormat="1" applyFont="1" applyBorder="1"/>
    <xf numFmtId="168" fontId="94" fillId="0" borderId="20" xfId="116" applyNumberFormat="1" applyFont="1" applyBorder="1"/>
    <xf numFmtId="0" fontId="52" fillId="56" borderId="40" xfId="116" applyFont="1" applyFill="1" applyBorder="1"/>
    <xf numFmtId="0" fontId="52" fillId="56" borderId="87" xfId="116" applyFont="1" applyFill="1" applyBorder="1"/>
    <xf numFmtId="0" fontId="52" fillId="56" borderId="41" xfId="116" applyFont="1" applyFill="1" applyBorder="1"/>
    <xf numFmtId="0" fontId="52" fillId="56" borderId="0" xfId="116" applyFont="1" applyFill="1"/>
    <xf numFmtId="0" fontId="52" fillId="56" borderId="27" xfId="116" applyFont="1" applyFill="1" applyBorder="1"/>
    <xf numFmtId="0" fontId="52" fillId="56" borderId="83" xfId="116" applyFont="1" applyFill="1" applyBorder="1"/>
    <xf numFmtId="0" fontId="52" fillId="56" borderId="33" xfId="116" applyFont="1" applyFill="1" applyBorder="1"/>
    <xf numFmtId="0" fontId="52" fillId="56" borderId="88" xfId="116" applyFont="1" applyFill="1" applyBorder="1"/>
    <xf numFmtId="0" fontId="52" fillId="56" borderId="89" xfId="116" applyFont="1" applyFill="1" applyBorder="1"/>
    <xf numFmtId="0" fontId="52" fillId="56" borderId="90" xfId="116" applyFont="1" applyFill="1" applyBorder="1"/>
    <xf numFmtId="168" fontId="94" fillId="0" borderId="24" xfId="0" applyNumberFormat="1" applyFont="1" applyBorder="1"/>
    <xf numFmtId="168" fontId="94" fillId="0" borderId="30" xfId="116" applyNumberFormat="1" applyFont="1" applyBorder="1"/>
    <xf numFmtId="168" fontId="94" fillId="0" borderId="77" xfId="116" applyNumberFormat="1" applyFont="1" applyBorder="1"/>
    <xf numFmtId="168" fontId="94" fillId="0" borderId="53" xfId="116" applyNumberFormat="1" applyFont="1" applyBorder="1"/>
    <xf numFmtId="0" fontId="48" fillId="55" borderId="66" xfId="114" applyFont="1" applyFill="1" applyBorder="1" applyAlignment="1">
      <alignment horizontal="center"/>
    </xf>
    <xf numFmtId="0" fontId="48" fillId="55" borderId="27" xfId="114" applyFont="1" applyFill="1" applyBorder="1" applyAlignment="1">
      <alignment horizontal="center"/>
    </xf>
    <xf numFmtId="0" fontId="48" fillId="55" borderId="83" xfId="114" applyFont="1" applyFill="1" applyBorder="1" applyAlignment="1">
      <alignment horizontal="center"/>
    </xf>
    <xf numFmtId="0" fontId="48" fillId="55" borderId="67" xfId="114" applyFont="1" applyFill="1" applyBorder="1" applyAlignment="1">
      <alignment horizontal="center"/>
    </xf>
    <xf numFmtId="168" fontId="92" fillId="0" borderId="63" xfId="0" applyNumberFormat="1" applyFont="1" applyBorder="1"/>
    <xf numFmtId="168" fontId="92" fillId="0" borderId="77" xfId="0" applyNumberFormat="1" applyFont="1" applyBorder="1"/>
    <xf numFmtId="0" fontId="48" fillId="60" borderId="88" xfId="0" applyFont="1" applyFill="1" applyBorder="1"/>
    <xf numFmtId="43" fontId="48" fillId="50" borderId="88" xfId="104" applyFont="1" applyFill="1" applyBorder="1" applyAlignment="1">
      <alignment vertical="center"/>
    </xf>
    <xf numFmtId="0" fontId="63" fillId="53" borderId="89" xfId="72" applyFont="1" applyFill="1" applyBorder="1"/>
    <xf numFmtId="0" fontId="54" fillId="0" borderId="89" xfId="119" applyFont="1" applyBorder="1"/>
    <xf numFmtId="0" fontId="48" fillId="66" borderId="88" xfId="0" applyFont="1" applyFill="1" applyBorder="1" applyAlignment="1">
      <alignment vertical="center"/>
    </xf>
    <xf numFmtId="0" fontId="48" fillId="66" borderId="88" xfId="0" applyFont="1" applyFill="1" applyBorder="1" applyAlignment="1">
      <alignment vertical="center" wrapText="1"/>
    </xf>
    <xf numFmtId="0" fontId="48" fillId="45" borderId="88" xfId="0" applyFont="1" applyFill="1" applyBorder="1" applyAlignment="1">
      <alignment vertical="center" wrapText="1"/>
    </xf>
    <xf numFmtId="0" fontId="48" fillId="51" borderId="88" xfId="0" applyFont="1" applyFill="1" applyBorder="1" applyAlignment="1">
      <alignment vertical="center" wrapText="1"/>
    </xf>
    <xf numFmtId="1" fontId="55" fillId="45" borderId="89" xfId="0" applyNumberFormat="1" applyFont="1" applyFill="1" applyBorder="1" applyAlignment="1">
      <alignment horizontal="center" wrapText="1"/>
    </xf>
    <xf numFmtId="0" fontId="48" fillId="0" borderId="89" xfId="126" applyFont="1" applyBorder="1"/>
    <xf numFmtId="170" fontId="92" fillId="0" borderId="88" xfId="0" applyNumberFormat="1" applyFont="1" applyBorder="1"/>
    <xf numFmtId="0" fontId="48" fillId="0" borderId="72" xfId="120" applyFont="1" applyFill="1" applyBorder="1" applyAlignment="1">
      <alignment horizontal="center" vertical="top" wrapText="1"/>
    </xf>
    <xf numFmtId="0" fontId="49" fillId="0" borderId="74" xfId="0" applyFont="1" applyBorder="1"/>
    <xf numFmtId="0" fontId="48" fillId="0" borderId="72" xfId="0" applyFont="1" applyBorder="1"/>
    <xf numFmtId="0" fontId="62" fillId="0" borderId="74" xfId="71" applyFill="1" applyBorder="1" applyAlignment="1">
      <alignment horizontal="left"/>
    </xf>
    <xf numFmtId="0" fontId="48" fillId="42" borderId="58" xfId="0" applyFont="1" applyFill="1" applyBorder="1" applyAlignment="1">
      <alignment horizontal="center" wrapText="1"/>
    </xf>
    <xf numFmtId="0" fontId="48" fillId="42" borderId="35" xfId="0" applyFont="1" applyFill="1" applyBorder="1" applyAlignment="1">
      <alignment horizontal="center" wrapText="1"/>
    </xf>
    <xf numFmtId="0" fontId="48" fillId="42" borderId="43" xfId="0" applyFont="1" applyFill="1" applyBorder="1" applyAlignment="1">
      <alignment horizontal="center" wrapText="1"/>
    </xf>
    <xf numFmtId="0" fontId="48" fillId="42" borderId="43" xfId="0" applyFont="1" applyFill="1" applyBorder="1" applyAlignment="1">
      <alignment horizontal="center"/>
    </xf>
    <xf numFmtId="0" fontId="48" fillId="42" borderId="75" xfId="0" applyFont="1" applyFill="1" applyBorder="1" applyAlignment="1">
      <alignment horizontal="center"/>
    </xf>
    <xf numFmtId="0" fontId="48" fillId="44" borderId="40" xfId="0" applyFont="1" applyFill="1" applyBorder="1"/>
    <xf numFmtId="0" fontId="48" fillId="44" borderId="33" xfId="0" applyFont="1" applyFill="1" applyBorder="1"/>
    <xf numFmtId="0" fontId="55" fillId="44" borderId="33" xfId="0" applyFont="1" applyFill="1" applyBorder="1" applyAlignment="1">
      <alignment horizontal="center" wrapText="1"/>
    </xf>
    <xf numFmtId="0" fontId="55" fillId="44" borderId="41" xfId="0" applyFont="1" applyFill="1" applyBorder="1" applyAlignment="1">
      <alignment horizontal="center" wrapText="1"/>
    </xf>
    <xf numFmtId="0" fontId="55" fillId="43" borderId="40" xfId="0" applyFont="1" applyFill="1" applyBorder="1" applyAlignment="1">
      <alignment horizontal="center"/>
    </xf>
    <xf numFmtId="0" fontId="55" fillId="43" borderId="33" xfId="0" applyFont="1" applyFill="1" applyBorder="1" applyAlignment="1">
      <alignment horizontal="center"/>
    </xf>
    <xf numFmtId="0" fontId="55" fillId="43" borderId="33" xfId="0" applyFont="1" applyFill="1" applyBorder="1" applyAlignment="1">
      <alignment horizontal="center" wrapText="1"/>
    </xf>
    <xf numFmtId="1" fontId="55" fillId="43" borderId="89" xfId="0" applyNumberFormat="1" applyFont="1" applyFill="1" applyBorder="1" applyAlignment="1">
      <alignment horizontal="center" wrapText="1"/>
    </xf>
    <xf numFmtId="1" fontId="55" fillId="51" borderId="40" xfId="0" applyNumberFormat="1" applyFont="1" applyFill="1" applyBorder="1" applyAlignment="1">
      <alignment horizontal="center" wrapText="1"/>
    </xf>
    <xf numFmtId="1" fontId="55" fillId="51" borderId="86" xfId="0" applyNumberFormat="1" applyFont="1" applyFill="1" applyBorder="1" applyAlignment="1">
      <alignment horizontal="center" wrapText="1"/>
    </xf>
    <xf numFmtId="1" fontId="55" fillId="51" borderId="33" xfId="0" applyNumberFormat="1" applyFont="1" applyFill="1" applyBorder="1" applyAlignment="1">
      <alignment horizontal="center" wrapText="1"/>
    </xf>
    <xf numFmtId="0" fontId="55" fillId="51" borderId="33" xfId="0" applyFont="1" applyFill="1" applyBorder="1" applyAlignment="1">
      <alignment horizontal="center" wrapText="1"/>
    </xf>
    <xf numFmtId="1" fontId="55" fillId="51" borderId="89" xfId="0" applyNumberFormat="1" applyFont="1" applyFill="1" applyBorder="1" applyAlignment="1">
      <alignment horizontal="center" wrapText="1"/>
    </xf>
    <xf numFmtId="1" fontId="55" fillId="35" borderId="40" xfId="0" applyNumberFormat="1" applyFont="1" applyFill="1" applyBorder="1" applyAlignment="1">
      <alignment horizontal="center" wrapText="1"/>
    </xf>
    <xf numFmtId="1" fontId="55" fillId="35" borderId="41" xfId="0" applyNumberFormat="1" applyFont="1" applyFill="1" applyBorder="1" applyAlignment="1">
      <alignment horizontal="center" wrapText="1"/>
    </xf>
    <xf numFmtId="0" fontId="48" fillId="50" borderId="11" xfId="0" quotePrefix="1" applyFont="1" applyFill="1" applyBorder="1" applyAlignment="1">
      <alignment horizontal="center" vertical="center"/>
    </xf>
    <xf numFmtId="0" fontId="48" fillId="50" borderId="11" xfId="0" quotePrefix="1" applyFont="1" applyFill="1" applyBorder="1" applyAlignment="1">
      <alignment horizontal="left"/>
    </xf>
    <xf numFmtId="0" fontId="48" fillId="50" borderId="11" xfId="43" applyFont="1" applyFill="1" applyBorder="1" applyAlignment="1">
      <alignment horizontal="left"/>
    </xf>
    <xf numFmtId="164" fontId="54" fillId="50" borderId="11" xfId="64" applyNumberFormat="1" applyFont="1" applyFill="1" applyBorder="1" applyAlignment="1">
      <alignment horizontal="left"/>
    </xf>
    <xf numFmtId="43" fontId="54" fillId="50" borderId="11" xfId="64" applyFont="1" applyFill="1" applyBorder="1" applyAlignment="1">
      <alignment horizontal="left"/>
    </xf>
    <xf numFmtId="164" fontId="48" fillId="50" borderId="11" xfId="64" applyNumberFormat="1" applyFont="1" applyFill="1" applyBorder="1" applyAlignment="1">
      <alignment horizontal="left"/>
    </xf>
    <xf numFmtId="3" fontId="48" fillId="50" borderId="11" xfId="0" applyNumberFormat="1" applyFont="1" applyFill="1" applyBorder="1"/>
    <xf numFmtId="164" fontId="48" fillId="50" borderId="11" xfId="64" applyNumberFormat="1" applyFont="1" applyFill="1" applyBorder="1"/>
    <xf numFmtId="43" fontId="48" fillId="50" borderId="11" xfId="64" applyFont="1" applyFill="1" applyBorder="1"/>
    <xf numFmtId="1" fontId="48" fillId="50" borderId="11" xfId="0" applyNumberFormat="1" applyFont="1" applyFill="1" applyBorder="1"/>
    <xf numFmtId="3" fontId="48" fillId="50" borderId="11" xfId="64" applyNumberFormat="1" applyFont="1" applyFill="1" applyBorder="1"/>
    <xf numFmtId="4" fontId="48" fillId="50" borderId="11" xfId="0" applyNumberFormat="1" applyFont="1" applyFill="1" applyBorder="1"/>
    <xf numFmtId="0" fontId="48" fillId="50" borderId="11" xfId="0" quotePrefix="1" applyFont="1" applyFill="1" applyBorder="1" applyAlignment="1">
      <alignment horizontal="center"/>
    </xf>
    <xf numFmtId="0" fontId="48" fillId="50" borderId="11" xfId="0" quotePrefix="1" applyFont="1" applyFill="1" applyBorder="1" applyAlignment="1">
      <alignment horizontal="right"/>
    </xf>
    <xf numFmtId="0" fontId="48" fillId="42" borderId="45" xfId="0" applyFont="1" applyFill="1" applyBorder="1" applyAlignment="1">
      <alignment wrapText="1"/>
    </xf>
    <xf numFmtId="0" fontId="48" fillId="42" borderId="0" xfId="0" applyFont="1" applyFill="1" applyAlignment="1">
      <alignment horizontal="center" wrapText="1"/>
    </xf>
    <xf numFmtId="0" fontId="48" fillId="42" borderId="84" xfId="0" applyFont="1" applyFill="1" applyBorder="1" applyAlignment="1">
      <alignment horizontal="center" wrapText="1"/>
    </xf>
    <xf numFmtId="0" fontId="48" fillId="42" borderId="38" xfId="0" applyFont="1" applyFill="1" applyBorder="1" applyAlignment="1">
      <alignment horizontal="center" wrapText="1"/>
    </xf>
    <xf numFmtId="0" fontId="48" fillId="44" borderId="0" xfId="0" applyFont="1" applyFill="1" applyAlignment="1">
      <alignment vertical="center" wrapText="1"/>
    </xf>
    <xf numFmtId="0" fontId="48" fillId="44" borderId="83" xfId="0" applyFont="1" applyFill="1" applyBorder="1" applyAlignment="1">
      <alignment vertical="center" wrapText="1"/>
    </xf>
    <xf numFmtId="0" fontId="48" fillId="44" borderId="45" xfId="0" applyFont="1" applyFill="1" applyBorder="1" applyAlignment="1">
      <alignment vertical="center" wrapText="1"/>
    </xf>
    <xf numFmtId="0" fontId="48" fillId="44" borderId="72" xfId="0" applyFont="1" applyFill="1" applyBorder="1" applyAlignment="1">
      <alignment vertical="center" wrapText="1"/>
    </xf>
    <xf numFmtId="0" fontId="48" fillId="66" borderId="0" xfId="0" applyFont="1" applyFill="1" applyAlignment="1">
      <alignment horizontal="center" vertical="center" wrapText="1"/>
    </xf>
    <xf numFmtId="0" fontId="48" fillId="66" borderId="83" xfId="0" applyFont="1" applyFill="1" applyBorder="1" applyAlignment="1">
      <alignment horizontal="center" vertical="center" wrapText="1"/>
    </xf>
    <xf numFmtId="0" fontId="48" fillId="66" borderId="66" xfId="0" applyFont="1" applyFill="1" applyBorder="1" applyAlignment="1">
      <alignment vertical="center" wrapText="1"/>
    </xf>
    <xf numFmtId="0" fontId="48" fillId="66" borderId="84" xfId="0" applyFont="1" applyFill="1" applyBorder="1" applyAlignment="1">
      <alignment vertical="center" wrapText="1"/>
    </xf>
    <xf numFmtId="0" fontId="48" fillId="66" borderId="83" xfId="0" applyFont="1" applyFill="1" applyBorder="1" applyAlignment="1">
      <alignment vertical="center" wrapText="1"/>
    </xf>
    <xf numFmtId="0" fontId="48" fillId="66" borderId="66" xfId="0" applyFont="1" applyFill="1" applyBorder="1" applyAlignment="1">
      <alignment wrapText="1"/>
    </xf>
    <xf numFmtId="0" fontId="48" fillId="66" borderId="27" xfId="0" applyFont="1" applyFill="1" applyBorder="1" applyAlignment="1">
      <alignment wrapText="1"/>
    </xf>
    <xf numFmtId="0" fontId="48" fillId="66" borderId="67" xfId="0" applyFont="1" applyFill="1" applyBorder="1" applyAlignment="1">
      <alignment wrapText="1"/>
    </xf>
    <xf numFmtId="0" fontId="48" fillId="66" borderId="83" xfId="0" applyFont="1" applyFill="1" applyBorder="1" applyAlignment="1">
      <alignment wrapText="1"/>
    </xf>
    <xf numFmtId="0" fontId="48" fillId="45" borderId="0" xfId="0" applyFont="1" applyFill="1" applyAlignment="1">
      <alignment horizontal="center" vertical="center" wrapText="1"/>
    </xf>
    <xf numFmtId="0" fontId="48" fillId="45" borderId="83" xfId="0" applyFont="1" applyFill="1" applyBorder="1" applyAlignment="1">
      <alignment horizontal="center" vertical="center" wrapText="1"/>
    </xf>
    <xf numFmtId="0" fontId="48" fillId="45" borderId="84" xfId="0" applyFont="1" applyFill="1" applyBorder="1" applyAlignment="1">
      <alignment vertical="center" wrapText="1"/>
    </xf>
    <xf numFmtId="0" fontId="48" fillId="45" borderId="84" xfId="0" applyFont="1" applyFill="1" applyBorder="1" applyAlignment="1">
      <alignment wrapText="1"/>
    </xf>
    <xf numFmtId="0" fontId="48" fillId="45" borderId="27" xfId="0" applyFont="1" applyFill="1" applyBorder="1" applyAlignment="1">
      <alignment wrapText="1"/>
    </xf>
    <xf numFmtId="0" fontId="48" fillId="45" borderId="83" xfId="0" applyFont="1" applyFill="1" applyBorder="1" applyAlignment="1">
      <alignment wrapText="1"/>
    </xf>
    <xf numFmtId="0" fontId="48" fillId="45" borderId="40" xfId="0" applyFont="1" applyFill="1" applyBorder="1" applyAlignment="1">
      <alignment wrapText="1"/>
    </xf>
    <xf numFmtId="0" fontId="48" fillId="45" borderId="33" xfId="0" applyFont="1" applyFill="1" applyBorder="1" applyAlignment="1">
      <alignment wrapText="1"/>
    </xf>
    <xf numFmtId="0" fontId="48" fillId="45" borderId="41" xfId="0" applyFont="1" applyFill="1" applyBorder="1" applyAlignment="1">
      <alignment wrapText="1"/>
    </xf>
    <xf numFmtId="0" fontId="48" fillId="51" borderId="0" xfId="0" applyFont="1" applyFill="1" applyAlignment="1">
      <alignment horizontal="center" vertical="center" wrapText="1"/>
    </xf>
    <xf numFmtId="0" fontId="48" fillId="51" borderId="83" xfId="0" applyFont="1" applyFill="1" applyBorder="1" applyAlignment="1">
      <alignment horizontal="center" vertical="center" wrapText="1"/>
    </xf>
    <xf numFmtId="0" fontId="48" fillId="51" borderId="66" xfId="0" applyFont="1" applyFill="1" applyBorder="1" applyAlignment="1">
      <alignment vertical="center" wrapText="1"/>
    </xf>
    <xf numFmtId="0" fontId="48" fillId="51" borderId="84" xfId="0" applyFont="1" applyFill="1" applyBorder="1" applyAlignment="1">
      <alignment vertical="center" wrapText="1"/>
    </xf>
    <xf numFmtId="0" fontId="48" fillId="51" borderId="83" xfId="0" applyFont="1" applyFill="1" applyBorder="1" applyAlignment="1">
      <alignment vertical="center" wrapText="1"/>
    </xf>
    <xf numFmtId="0" fontId="48" fillId="51" borderId="66" xfId="0" applyFont="1" applyFill="1" applyBorder="1" applyAlignment="1">
      <alignment wrapText="1"/>
    </xf>
    <xf numFmtId="0" fontId="48" fillId="51" borderId="27" xfId="0" applyFont="1" applyFill="1" applyBorder="1" applyAlignment="1">
      <alignment wrapText="1"/>
    </xf>
    <xf numFmtId="0" fontId="48" fillId="51" borderId="67" xfId="0" applyFont="1" applyFill="1" applyBorder="1" applyAlignment="1">
      <alignment wrapText="1"/>
    </xf>
    <xf numFmtId="0" fontId="48" fillId="51" borderId="83" xfId="0" applyFont="1" applyFill="1" applyBorder="1" applyAlignment="1">
      <alignment wrapText="1"/>
    </xf>
    <xf numFmtId="173" fontId="48" fillId="50" borderId="11" xfId="0" applyNumberFormat="1" applyFont="1" applyFill="1" applyBorder="1" applyAlignment="1">
      <alignment horizontal="center" wrapText="1"/>
    </xf>
    <xf numFmtId="4" fontId="48" fillId="50" borderId="11" xfId="0" applyNumberFormat="1" applyFont="1" applyFill="1" applyBorder="1" applyAlignment="1">
      <alignment horizontal="center" wrapText="1"/>
    </xf>
    <xf numFmtId="4" fontId="48" fillId="50" borderId="11" xfId="0" applyNumberFormat="1" applyFont="1" applyFill="1" applyBorder="1" applyAlignment="1">
      <alignment horizontal="center"/>
    </xf>
    <xf numFmtId="0" fontId="48" fillId="60" borderId="11" xfId="0" applyFont="1" applyFill="1" applyBorder="1"/>
    <xf numFmtId="175" fontId="48" fillId="50" borderId="11" xfId="0" applyNumberFormat="1" applyFont="1" applyFill="1" applyBorder="1"/>
    <xf numFmtId="167" fontId="48" fillId="60" borderId="11" xfId="0" applyNumberFormat="1" applyFont="1" applyFill="1" applyBorder="1"/>
    <xf numFmtId="167" fontId="48" fillId="50" borderId="11" xfId="0" applyNumberFormat="1" applyFont="1" applyFill="1" applyBorder="1"/>
    <xf numFmtId="0" fontId="48" fillId="42" borderId="67" xfId="0" applyFont="1" applyFill="1" applyBorder="1" applyAlignment="1">
      <alignment wrapText="1"/>
    </xf>
    <xf numFmtId="0" fontId="48" fillId="42" borderId="42" xfId="0" applyFont="1" applyFill="1" applyBorder="1" applyAlignment="1">
      <alignment wrapText="1"/>
    </xf>
    <xf numFmtId="0" fontId="48" fillId="42" borderId="44" xfId="0" applyFont="1" applyFill="1" applyBorder="1" applyAlignment="1">
      <alignment wrapText="1"/>
    </xf>
    <xf numFmtId="164" fontId="48" fillId="50" borderId="11" xfId="0" applyNumberFormat="1" applyFont="1" applyFill="1" applyBorder="1"/>
    <xf numFmtId="179" fontId="48" fillId="50" borderId="11" xfId="0" applyNumberFormat="1" applyFont="1" applyFill="1" applyBorder="1"/>
    <xf numFmtId="43" fontId="48" fillId="46" borderId="23" xfId="112" applyNumberFormat="1" applyFont="1" applyFill="1" applyBorder="1" applyAlignment="1" applyProtection="1">
      <alignment horizontal="center" vertical="center"/>
      <protection locked="0"/>
    </xf>
    <xf numFmtId="0" fontId="68" fillId="59" borderId="63" xfId="112" applyFont="1" applyFill="1" applyBorder="1" applyAlignment="1" applyProtection="1">
      <alignment horizontal="center" vertical="center" wrapText="1"/>
      <protection locked="0"/>
    </xf>
    <xf numFmtId="37" fontId="68" fillId="59" borderId="13" xfId="64" applyNumberFormat="1" applyFont="1" applyFill="1" applyBorder="1" applyAlignment="1" applyProtection="1">
      <alignment horizontal="center" vertical="center"/>
      <protection locked="0"/>
    </xf>
    <xf numFmtId="37" fontId="68" fillId="59" borderId="23" xfId="64" applyNumberFormat="1" applyFont="1" applyFill="1" applyBorder="1" applyAlignment="1" applyProtection="1">
      <alignment horizontal="center" vertical="center"/>
      <protection locked="0"/>
    </xf>
    <xf numFmtId="0" fontId="68" fillId="74" borderId="63" xfId="112" applyFont="1" applyFill="1" applyBorder="1" applyAlignment="1" applyProtection="1">
      <alignment horizontal="center" vertical="center" wrapText="1"/>
      <protection locked="0"/>
    </xf>
    <xf numFmtId="0" fontId="68" fillId="74" borderId="77" xfId="112" applyFont="1" applyFill="1" applyBorder="1" applyAlignment="1" applyProtection="1">
      <alignment horizontal="center" vertical="center" wrapText="1"/>
      <protection locked="0"/>
    </xf>
    <xf numFmtId="0" fontId="72" fillId="0" borderId="0" xfId="130" applyFont="1" applyAlignment="1">
      <alignment horizontal="left" vertical="center"/>
    </xf>
    <xf numFmtId="0" fontId="72" fillId="0" borderId="0" xfId="130" applyFont="1" applyAlignment="1">
      <alignment vertical="center"/>
    </xf>
    <xf numFmtId="0" fontId="54" fillId="0" borderId="0" xfId="130" applyFont="1"/>
    <xf numFmtId="169" fontId="54" fillId="0" borderId="0" xfId="130" applyNumberFormat="1" applyFont="1" applyAlignment="1">
      <alignment horizontal="center" vertical="center"/>
    </xf>
    <xf numFmtId="0" fontId="48" fillId="0" borderId="0" xfId="130" applyFont="1" applyAlignment="1">
      <alignment horizontal="left" vertical="center"/>
    </xf>
    <xf numFmtId="3" fontId="54" fillId="0" borderId="0" xfId="130" applyNumberFormat="1" applyFont="1" applyAlignment="1">
      <alignment horizontal="center" vertical="center"/>
    </xf>
    <xf numFmtId="0" fontId="54" fillId="0" borderId="0" xfId="130" applyFont="1" applyAlignment="1">
      <alignment vertical="center"/>
    </xf>
    <xf numFmtId="0" fontId="48" fillId="0" borderId="0" xfId="130" applyFont="1" applyAlignment="1">
      <alignment vertical="center"/>
    </xf>
    <xf numFmtId="43" fontId="48" fillId="46" borderId="13" xfId="112" applyNumberFormat="1" applyFont="1" applyFill="1" applyBorder="1" applyAlignment="1" applyProtection="1">
      <alignment horizontal="center" vertical="center"/>
      <protection locked="0"/>
    </xf>
    <xf numFmtId="0" fontId="48" fillId="46" borderId="23" xfId="112" applyFont="1" applyFill="1" applyBorder="1" applyAlignment="1" applyProtection="1">
      <alignment horizontal="center" vertical="center" wrapText="1"/>
      <protection locked="0"/>
    </xf>
    <xf numFmtId="0" fontId="48" fillId="46" borderId="63" xfId="112" applyFont="1" applyFill="1" applyBorder="1" applyAlignment="1" applyProtection="1">
      <alignment horizontal="center" vertical="center" wrapText="1"/>
      <protection locked="0"/>
    </xf>
    <xf numFmtId="0" fontId="48" fillId="74" borderId="63" xfId="112" applyFont="1" applyFill="1" applyBorder="1" applyAlignment="1" applyProtection="1">
      <alignment horizontal="center" vertical="center" wrapText="1"/>
      <protection locked="0"/>
    </xf>
    <xf numFmtId="0" fontId="48" fillId="74" borderId="77" xfId="112" applyFont="1" applyFill="1" applyBorder="1" applyAlignment="1" applyProtection="1">
      <alignment horizontal="center" vertical="center" wrapText="1"/>
      <protection locked="0"/>
    </xf>
    <xf numFmtId="183" fontId="48" fillId="46" borderId="23" xfId="112" applyNumberFormat="1" applyFont="1" applyFill="1" applyBorder="1" applyAlignment="1" applyProtection="1">
      <alignment horizontal="center" vertical="center"/>
      <protection locked="0"/>
    </xf>
    <xf numFmtId="39" fontId="48" fillId="46" borderId="23" xfId="112" applyNumberFormat="1" applyFont="1" applyFill="1" applyBorder="1" applyAlignment="1" applyProtection="1">
      <alignment horizontal="center" vertical="center"/>
      <protection locked="0"/>
    </xf>
    <xf numFmtId="0" fontId="48" fillId="46" borderId="23" xfId="112" applyFont="1" applyFill="1" applyBorder="1" applyAlignment="1" applyProtection="1">
      <alignment horizontal="center" vertical="center"/>
      <protection locked="0"/>
    </xf>
    <xf numFmtId="37" fontId="48" fillId="46" borderId="23" xfId="64" applyNumberFormat="1" applyFont="1" applyFill="1" applyBorder="1" applyAlignment="1" applyProtection="1">
      <alignment horizontal="center" vertical="center"/>
      <protection locked="0"/>
    </xf>
    <xf numFmtId="3" fontId="48" fillId="46" borderId="23" xfId="112" applyNumberFormat="1" applyFont="1" applyFill="1" applyBorder="1" applyAlignment="1" applyProtection="1">
      <alignment horizontal="center" vertical="center"/>
      <protection locked="0"/>
    </xf>
    <xf numFmtId="0" fontId="48" fillId="46" borderId="13" xfId="112" applyFont="1" applyFill="1" applyBorder="1" applyAlignment="1" applyProtection="1">
      <alignment vertical="center"/>
      <protection locked="0"/>
    </xf>
    <xf numFmtId="180" fontId="48" fillId="46" borderId="23" xfId="112" applyNumberFormat="1" applyFont="1" applyFill="1" applyBorder="1" applyAlignment="1" applyProtection="1">
      <alignment horizontal="center" vertical="center"/>
      <protection locked="0"/>
    </xf>
    <xf numFmtId="180" fontId="48" fillId="46" borderId="25" xfId="112" applyNumberFormat="1" applyFont="1" applyFill="1" applyBorder="1" applyAlignment="1" applyProtection="1">
      <alignment horizontal="center" vertical="center"/>
      <protection locked="0"/>
    </xf>
    <xf numFmtId="180" fontId="68" fillId="46" borderId="13" xfId="112" applyNumberFormat="1" applyFont="1" applyFill="1" applyBorder="1" applyAlignment="1" applyProtection="1">
      <alignment horizontal="right" vertical="center"/>
      <protection locked="0"/>
    </xf>
    <xf numFmtId="37" fontId="48" fillId="46" borderId="13" xfId="64" applyNumberFormat="1" applyFont="1" applyFill="1" applyBorder="1" applyAlignment="1" applyProtection="1">
      <alignment horizontal="center" vertical="center"/>
      <protection locked="0"/>
    </xf>
    <xf numFmtId="183" fontId="48" fillId="46" borderId="13" xfId="112" applyNumberFormat="1" applyFont="1" applyFill="1" applyBorder="1" applyAlignment="1" applyProtection="1">
      <alignment horizontal="center" vertical="center"/>
      <protection locked="0"/>
    </xf>
    <xf numFmtId="39" fontId="48" fillId="46" borderId="13" xfId="112" applyNumberFormat="1" applyFont="1" applyFill="1" applyBorder="1" applyAlignment="1" applyProtection="1">
      <alignment horizontal="center" vertical="center"/>
      <protection locked="0"/>
    </xf>
    <xf numFmtId="0" fontId="48" fillId="46" borderId="13" xfId="112" applyFont="1" applyFill="1" applyBorder="1" applyAlignment="1" applyProtection="1">
      <alignment vertical="center" wrapText="1"/>
      <protection locked="0"/>
    </xf>
    <xf numFmtId="3" fontId="54" fillId="46" borderId="23" xfId="112" applyNumberFormat="1" applyFont="1" applyFill="1" applyBorder="1" applyAlignment="1" applyProtection="1">
      <alignment horizontal="center" vertical="center"/>
      <protection locked="0"/>
    </xf>
    <xf numFmtId="0" fontId="48" fillId="46" borderId="13" xfId="112" applyFont="1" applyFill="1" applyBorder="1" applyAlignment="1" applyProtection="1">
      <alignment horizontal="center" vertical="center"/>
      <protection locked="0"/>
    </xf>
    <xf numFmtId="0" fontId="48" fillId="46" borderId="13" xfId="112" applyFont="1" applyFill="1" applyBorder="1" applyAlignment="1" applyProtection="1">
      <alignment horizontal="center" vertical="center" wrapText="1"/>
      <protection locked="0"/>
    </xf>
    <xf numFmtId="3" fontId="48" fillId="46" borderId="13" xfId="112" applyNumberFormat="1" applyFont="1" applyFill="1" applyBorder="1" applyAlignment="1" applyProtection="1">
      <alignment horizontal="center" vertical="center"/>
      <protection locked="0"/>
    </xf>
    <xf numFmtId="0" fontId="48" fillId="59" borderId="13" xfId="112" applyFont="1" applyFill="1" applyBorder="1" applyAlignment="1" applyProtection="1">
      <alignment horizontal="center" vertical="center"/>
      <protection locked="0"/>
    </xf>
    <xf numFmtId="180" fontId="48" fillId="46" borderId="13" xfId="112" applyNumberFormat="1" applyFont="1" applyFill="1" applyBorder="1" applyAlignment="1" applyProtection="1">
      <alignment horizontal="right" vertical="center"/>
      <protection locked="0"/>
    </xf>
    <xf numFmtId="180" fontId="48" fillId="46" borderId="54" xfId="112" applyNumberFormat="1" applyFont="1" applyFill="1" applyBorder="1" applyAlignment="1" applyProtection="1">
      <alignment horizontal="right" vertical="center"/>
      <protection locked="0"/>
    </xf>
    <xf numFmtId="0" fontId="55" fillId="40" borderId="30" xfId="0" applyFont="1" applyFill="1" applyBorder="1" applyAlignment="1">
      <alignment horizontal="center" vertical="center" wrapText="1"/>
    </xf>
    <xf numFmtId="0" fontId="52" fillId="40" borderId="61" xfId="112" applyFont="1" applyFill="1" applyBorder="1" applyAlignment="1">
      <alignment horizontal="left" vertical="center"/>
    </xf>
    <xf numFmtId="0" fontId="52" fillId="40" borderId="39" xfId="112" applyFont="1" applyFill="1" applyBorder="1" applyAlignment="1">
      <alignment horizontal="center" vertical="center"/>
    </xf>
    <xf numFmtId="0" fontId="48" fillId="46" borderId="15" xfId="112" applyFont="1" applyFill="1" applyBorder="1" applyAlignment="1" applyProtection="1">
      <alignment horizontal="center" vertical="center" wrapText="1"/>
      <protection locked="0"/>
    </xf>
    <xf numFmtId="0" fontId="68" fillId="46" borderId="15" xfId="112" applyFont="1" applyFill="1" applyBorder="1" applyAlignment="1" applyProtection="1">
      <alignment horizontal="center" vertical="center" wrapText="1"/>
      <protection locked="0"/>
    </xf>
    <xf numFmtId="0" fontId="68" fillId="74" borderId="15" xfId="112" applyFont="1" applyFill="1" applyBorder="1" applyAlignment="1" applyProtection="1">
      <alignment horizontal="center" vertical="center" wrapText="1"/>
      <protection locked="0"/>
    </xf>
    <xf numFmtId="0" fontId="68" fillId="74" borderId="73" xfId="112" applyFont="1" applyFill="1" applyBorder="1" applyAlignment="1" applyProtection="1">
      <alignment horizontal="center" vertical="center" wrapText="1"/>
      <protection locked="0"/>
    </xf>
    <xf numFmtId="0" fontId="68" fillId="46" borderId="15" xfId="112" applyFont="1" applyFill="1" applyBorder="1" applyAlignment="1" applyProtection="1">
      <alignment vertical="center" wrapText="1"/>
      <protection locked="0"/>
    </xf>
    <xf numFmtId="0" fontId="68" fillId="59" borderId="15" xfId="112" applyFont="1" applyFill="1" applyBorder="1" applyAlignment="1" applyProtection="1">
      <alignment horizontal="center" vertical="center" wrapText="1"/>
      <protection locked="0"/>
    </xf>
    <xf numFmtId="0" fontId="68" fillId="46" borderId="15" xfId="112" applyFont="1" applyFill="1" applyBorder="1" applyAlignment="1" applyProtection="1">
      <alignment horizontal="left" vertical="center" wrapText="1"/>
      <protection locked="0"/>
    </xf>
    <xf numFmtId="0" fontId="48" fillId="46" borderId="73" xfId="112" applyFont="1" applyFill="1" applyBorder="1" applyAlignment="1" applyProtection="1">
      <alignment horizontal="center" vertical="center" wrapText="1"/>
      <protection locked="0"/>
    </xf>
    <xf numFmtId="0" fontId="48" fillId="46" borderId="39" xfId="112" applyFont="1" applyFill="1" applyBorder="1" applyAlignment="1">
      <alignment horizontal="center" vertical="center" wrapText="1"/>
    </xf>
    <xf numFmtId="0" fontId="48" fillId="46" borderId="15" xfId="112" applyFont="1" applyFill="1" applyBorder="1" applyAlignment="1">
      <alignment horizontal="center" vertical="center" wrapText="1"/>
    </xf>
    <xf numFmtId="0" fontId="48" fillId="46" borderId="47" xfId="112" applyFont="1" applyFill="1" applyBorder="1" applyAlignment="1">
      <alignment horizontal="center" vertical="center" wrapText="1"/>
    </xf>
    <xf numFmtId="0" fontId="52" fillId="40" borderId="61" xfId="112" applyFont="1" applyFill="1" applyBorder="1" applyAlignment="1">
      <alignment vertical="center"/>
    </xf>
    <xf numFmtId="0" fontId="48" fillId="46" borderId="14" xfId="112" applyFont="1" applyFill="1" applyBorder="1" applyAlignment="1" applyProtection="1">
      <alignment horizontal="center" vertical="center" wrapText="1"/>
      <protection locked="0"/>
    </xf>
    <xf numFmtId="0" fontId="48" fillId="46" borderId="36" xfId="112" applyFont="1" applyFill="1" applyBorder="1" applyAlignment="1">
      <alignment horizontal="center" vertical="center" wrapText="1"/>
    </xf>
    <xf numFmtId="0" fontId="48" fillId="46" borderId="14" xfId="112" applyFont="1" applyFill="1" applyBorder="1" applyAlignment="1">
      <alignment horizontal="center" vertical="center" wrapText="1"/>
    </xf>
    <xf numFmtId="0" fontId="48" fillId="46" borderId="78" xfId="112" applyFont="1" applyFill="1" applyBorder="1" applyAlignment="1">
      <alignment horizontal="center" vertical="center" wrapText="1"/>
    </xf>
    <xf numFmtId="0" fontId="52" fillId="40" borderId="0" xfId="112" applyFont="1" applyFill="1" applyAlignment="1">
      <alignment horizontal="center" vertical="center"/>
    </xf>
    <xf numFmtId="0" fontId="48" fillId="46" borderId="0" xfId="112" applyFont="1" applyFill="1" applyAlignment="1">
      <alignment horizontal="center" vertical="center" wrapText="1"/>
    </xf>
    <xf numFmtId="0" fontId="48" fillId="35" borderId="35" xfId="0" applyFont="1" applyFill="1" applyBorder="1" applyAlignment="1">
      <alignment vertical="center"/>
    </xf>
    <xf numFmtId="0" fontId="52" fillId="40" borderId="59" xfId="112" applyFont="1" applyFill="1" applyBorder="1" applyAlignment="1">
      <alignment horizontal="center" vertical="center"/>
    </xf>
    <xf numFmtId="0" fontId="52" fillId="40" borderId="36" xfId="112" applyFont="1" applyFill="1" applyBorder="1" applyAlignment="1">
      <alignment horizontal="center" vertical="center"/>
    </xf>
    <xf numFmtId="0" fontId="48" fillId="74" borderId="14" xfId="112" applyFont="1" applyFill="1" applyBorder="1" applyAlignment="1" applyProtection="1">
      <alignment horizontal="center" vertical="center" wrapText="1"/>
      <protection locked="0"/>
    </xf>
    <xf numFmtId="0" fontId="48" fillId="74" borderId="26" xfId="112" applyFont="1" applyFill="1" applyBorder="1" applyAlignment="1" applyProtection="1">
      <alignment horizontal="center" vertical="center" wrapText="1"/>
      <protection locked="0"/>
    </xf>
    <xf numFmtId="0" fontId="68" fillId="46" borderId="14" xfId="112" applyFont="1" applyFill="1" applyBorder="1" applyAlignment="1" applyProtection="1">
      <alignment vertical="center" wrapText="1"/>
      <protection locked="0"/>
    </xf>
    <xf numFmtId="0" fontId="68" fillId="46" borderId="14" xfId="112" applyFont="1" applyFill="1" applyBorder="1" applyAlignment="1" applyProtection="1">
      <alignment horizontal="center" vertical="center" wrapText="1"/>
      <protection locked="0"/>
    </xf>
    <xf numFmtId="0" fontId="68" fillId="59" borderId="14" xfId="112" applyFont="1" applyFill="1" applyBorder="1" applyAlignment="1" applyProtection="1">
      <alignment horizontal="center" vertical="center" wrapText="1"/>
      <protection locked="0"/>
    </xf>
    <xf numFmtId="0" fontId="48" fillId="46" borderId="26" xfId="112" applyFont="1" applyFill="1" applyBorder="1" applyAlignment="1" applyProtection="1">
      <alignment horizontal="center" vertical="center" wrapText="1"/>
      <protection locked="0"/>
    </xf>
    <xf numFmtId="37" fontId="48" fillId="46" borderId="63" xfId="64" applyNumberFormat="1" applyFont="1" applyFill="1" applyBorder="1" applyAlignment="1" applyProtection="1">
      <alignment horizontal="center" vertical="center"/>
      <protection locked="0"/>
    </xf>
    <xf numFmtId="183" fontId="48" fillId="46" borderId="63" xfId="112" applyNumberFormat="1" applyFont="1" applyFill="1" applyBorder="1" applyAlignment="1" applyProtection="1">
      <alignment horizontal="center" vertical="center"/>
      <protection locked="0"/>
    </xf>
    <xf numFmtId="39" fontId="48" fillId="46" borderId="63" xfId="112" applyNumberFormat="1" applyFont="1" applyFill="1" applyBorder="1" applyAlignment="1" applyProtection="1">
      <alignment horizontal="center" vertical="center"/>
      <protection locked="0"/>
    </xf>
    <xf numFmtId="43" fontId="48" fillId="46" borderId="63" xfId="112" applyNumberFormat="1" applyFont="1" applyFill="1" applyBorder="1" applyAlignment="1" applyProtection="1">
      <alignment horizontal="center" vertical="center"/>
      <protection locked="0"/>
    </xf>
    <xf numFmtId="0" fontId="52" fillId="40" borderId="61" xfId="112" applyFont="1" applyFill="1" applyBorder="1" applyAlignment="1">
      <alignment horizontal="right" vertical="center"/>
    </xf>
    <xf numFmtId="0" fontId="48" fillId="74" borderId="15" xfId="112" applyFont="1" applyFill="1" applyBorder="1" applyAlignment="1" applyProtection="1">
      <alignment horizontal="center" vertical="center" wrapText="1"/>
      <protection locked="0"/>
    </xf>
    <xf numFmtId="0" fontId="48" fillId="74" borderId="73" xfId="112" applyFont="1" applyFill="1" applyBorder="1" applyAlignment="1" applyProtection="1">
      <alignment horizontal="center" vertical="center" wrapText="1"/>
      <protection locked="0"/>
    </xf>
    <xf numFmtId="0" fontId="52" fillId="40" borderId="32" xfId="112" applyFont="1" applyFill="1" applyBorder="1" applyAlignment="1">
      <alignment horizontal="right" vertical="center"/>
    </xf>
    <xf numFmtId="0" fontId="48" fillId="35" borderId="59" xfId="0" applyFont="1" applyFill="1" applyBorder="1" applyAlignment="1">
      <alignment vertical="center"/>
    </xf>
    <xf numFmtId="0" fontId="55" fillId="40" borderId="59" xfId="0" applyFont="1" applyFill="1" applyBorder="1" applyAlignment="1">
      <alignment horizontal="center" vertical="center" wrapText="1"/>
    </xf>
    <xf numFmtId="0" fontId="48" fillId="74" borderId="48" xfId="112" applyFont="1" applyFill="1" applyBorder="1" applyAlignment="1" applyProtection="1">
      <alignment horizontal="center" vertical="center" wrapText="1"/>
      <protection locked="0"/>
    </xf>
    <xf numFmtId="0" fontId="68" fillId="59" borderId="48" xfId="112" applyFont="1" applyFill="1" applyBorder="1" applyAlignment="1" applyProtection="1">
      <alignment horizontal="center" vertical="center" wrapText="1"/>
      <protection locked="0"/>
    </xf>
    <xf numFmtId="0" fontId="52" fillId="40" borderId="48" xfId="112" applyFont="1" applyFill="1" applyBorder="1" applyAlignment="1">
      <alignment horizontal="center" vertical="center"/>
    </xf>
    <xf numFmtId="0" fontId="62" fillId="0" borderId="0" xfId="71" applyFill="1" applyBorder="1" applyAlignment="1">
      <alignment horizontal="left"/>
    </xf>
    <xf numFmtId="0" fontId="54" fillId="59" borderId="32" xfId="112" applyFont="1" applyFill="1" applyBorder="1" applyAlignment="1">
      <alignment horizontal="center" vertical="center" wrapText="1"/>
    </xf>
    <xf numFmtId="0" fontId="54" fillId="59" borderId="30" xfId="112" applyFont="1" applyFill="1" applyBorder="1" applyAlignment="1">
      <alignment horizontal="center" vertical="center" wrapText="1"/>
    </xf>
    <xf numFmtId="0" fontId="54" fillId="59" borderId="48" xfId="112" applyFont="1" applyFill="1" applyBorder="1" applyAlignment="1">
      <alignment horizontal="center" vertical="center" wrapText="1"/>
    </xf>
    <xf numFmtId="5" fontId="48" fillId="59" borderId="77" xfId="0" applyNumberFormat="1" applyFont="1" applyFill="1" applyBorder="1" applyAlignment="1">
      <alignment horizontal="center" vertical="center"/>
    </xf>
    <xf numFmtId="0" fontId="54" fillId="54" borderId="63" xfId="112" applyFont="1" applyFill="1" applyBorder="1" applyAlignment="1">
      <alignment horizontal="center" vertical="center" wrapText="1"/>
    </xf>
    <xf numFmtId="0" fontId="48" fillId="54" borderId="63" xfId="0" applyFont="1" applyFill="1" applyBorder="1" applyAlignment="1">
      <alignment horizontal="center" vertical="center"/>
    </xf>
    <xf numFmtId="0" fontId="54" fillId="54" borderId="77" xfId="112" applyFont="1" applyFill="1" applyBorder="1" applyAlignment="1">
      <alignment horizontal="center" vertical="center" wrapText="1"/>
    </xf>
    <xf numFmtId="5" fontId="48" fillId="54" borderId="77" xfId="0" applyNumberFormat="1" applyFont="1" applyFill="1" applyBorder="1" applyAlignment="1">
      <alignment horizontal="center" vertical="center"/>
    </xf>
    <xf numFmtId="5" fontId="48" fillId="54" borderId="63" xfId="0" applyNumberFormat="1" applyFont="1" applyFill="1" applyBorder="1" applyAlignment="1">
      <alignment horizontal="center" vertical="center"/>
    </xf>
    <xf numFmtId="0" fontId="54" fillId="59" borderId="89" xfId="112" applyFont="1" applyFill="1" applyBorder="1" applyAlignment="1">
      <alignment horizontal="center" vertical="center" wrapText="1"/>
    </xf>
    <xf numFmtId="0" fontId="48" fillId="59" borderId="63" xfId="112" applyFont="1" applyFill="1" applyBorder="1" applyAlignment="1">
      <alignment horizontal="center" vertical="center" wrapText="1"/>
    </xf>
    <xf numFmtId="0" fontId="54" fillId="59" borderId="63" xfId="112" applyFont="1" applyFill="1" applyBorder="1" applyAlignment="1">
      <alignment horizontal="center" vertical="center" wrapText="1"/>
    </xf>
    <xf numFmtId="0" fontId="48" fillId="59" borderId="63" xfId="112" applyFont="1" applyFill="1" applyBorder="1" applyAlignment="1">
      <alignment horizontal="center" vertical="center"/>
    </xf>
    <xf numFmtId="0" fontId="54" fillId="59" borderId="76" xfId="112" applyFont="1" applyFill="1" applyBorder="1" applyAlignment="1">
      <alignment horizontal="center" vertical="center" wrapText="1"/>
    </xf>
    <xf numFmtId="0" fontId="54" fillId="46" borderId="63" xfId="112" applyFont="1" applyFill="1" applyBorder="1" applyAlignment="1">
      <alignment horizontal="center" vertical="center" wrapText="1"/>
    </xf>
    <xf numFmtId="0" fontId="48" fillId="46" borderId="63" xfId="112" applyFont="1" applyFill="1" applyBorder="1" applyAlignment="1">
      <alignment horizontal="center" vertical="center" wrapText="1"/>
    </xf>
    <xf numFmtId="37" fontId="48" fillId="74" borderId="23" xfId="112" applyNumberFormat="1" applyFont="1" applyFill="1" applyBorder="1" applyAlignment="1">
      <alignment horizontal="center" vertical="center"/>
    </xf>
    <xf numFmtId="37" fontId="48" fillId="74" borderId="13" xfId="112" applyNumberFormat="1" applyFont="1" applyFill="1" applyBorder="1" applyAlignment="1">
      <alignment horizontal="center" vertical="center"/>
    </xf>
    <xf numFmtId="37" fontId="48" fillId="74" borderId="63" xfId="112" applyNumberFormat="1" applyFont="1" applyFill="1" applyBorder="1" applyAlignment="1">
      <alignment horizontal="center" vertical="center"/>
    </xf>
    <xf numFmtId="37" fontId="48" fillId="74" borderId="25" xfId="112" applyNumberFormat="1" applyFont="1" applyFill="1" applyBorder="1" applyAlignment="1">
      <alignment horizontal="center" vertical="center"/>
    </xf>
    <xf numFmtId="37" fontId="48" fillId="74" borderId="54" xfId="112" applyNumberFormat="1" applyFont="1" applyFill="1" applyBorder="1" applyAlignment="1">
      <alignment horizontal="center" vertical="center"/>
    </xf>
    <xf numFmtId="37" fontId="48" fillId="74" borderId="77" xfId="112" applyNumberFormat="1" applyFont="1" applyFill="1" applyBorder="1" applyAlignment="1">
      <alignment horizontal="center" vertical="center"/>
    </xf>
    <xf numFmtId="0" fontId="48" fillId="46" borderId="63" xfId="112" applyFont="1" applyFill="1" applyBorder="1" applyAlignment="1">
      <alignment vertical="center" wrapText="1"/>
    </xf>
    <xf numFmtId="0" fontId="48" fillId="46" borderId="63" xfId="112" applyFont="1" applyFill="1" applyBorder="1" applyAlignment="1">
      <alignment horizontal="left" vertical="center" wrapText="1"/>
    </xf>
    <xf numFmtId="0" fontId="48" fillId="46" borderId="77" xfId="112" applyFont="1" applyFill="1" applyBorder="1" applyAlignment="1">
      <alignment horizontal="center" vertical="center" wrapText="1"/>
    </xf>
    <xf numFmtId="0" fontId="54" fillId="54" borderId="32" xfId="112" applyFont="1" applyFill="1" applyBorder="1" applyAlignment="1">
      <alignment horizontal="center" vertical="center" wrapText="1"/>
    </xf>
    <xf numFmtId="5" fontId="48" fillId="59" borderId="30" xfId="0" applyNumberFormat="1" applyFont="1" applyFill="1" applyBorder="1" applyAlignment="1">
      <alignment horizontal="center" vertical="center"/>
    </xf>
    <xf numFmtId="5" fontId="48" fillId="59" borderId="59" xfId="0" applyNumberFormat="1" applyFont="1" applyFill="1" applyBorder="1" applyAlignment="1">
      <alignment horizontal="center" vertical="center"/>
    </xf>
    <xf numFmtId="5" fontId="48" fillId="74" borderId="77" xfId="0" applyNumberFormat="1" applyFont="1" applyFill="1" applyBorder="1" applyAlignment="1">
      <alignment horizontal="center" vertical="center"/>
    </xf>
    <xf numFmtId="5" fontId="48" fillId="74" borderId="48" xfId="0" applyNumberFormat="1" applyFont="1" applyFill="1" applyBorder="1" applyAlignment="1">
      <alignment horizontal="center" vertical="center"/>
    </xf>
    <xf numFmtId="0" fontId="54" fillId="74" borderId="77" xfId="112" applyFont="1" applyFill="1" applyBorder="1" applyAlignment="1">
      <alignment horizontal="center" vertical="center"/>
    </xf>
    <xf numFmtId="0" fontId="54" fillId="74" borderId="48" xfId="112" applyFont="1" applyFill="1" applyBorder="1" applyAlignment="1">
      <alignment horizontal="center" vertical="center"/>
    </xf>
    <xf numFmtId="0" fontId="99" fillId="34" borderId="29" xfId="122" applyFont="1" applyFill="1" applyBorder="1" applyAlignment="1">
      <alignment horizontal="left" vertical="center" indent="1"/>
    </xf>
    <xf numFmtId="0" fontId="96" fillId="75" borderId="28" xfId="122" applyFont="1" applyFill="1" applyBorder="1" applyAlignment="1">
      <alignment horizontal="left" vertical="center" wrapText="1" indent="1"/>
    </xf>
    <xf numFmtId="0" fontId="99" fillId="34" borderId="59" xfId="122" applyFont="1" applyFill="1" applyBorder="1" applyAlignment="1">
      <alignment vertical="center"/>
    </xf>
    <xf numFmtId="0" fontId="96" fillId="0" borderId="41" xfId="122" applyFont="1" applyBorder="1" applyAlignment="1">
      <alignment horizontal="left" vertical="center" indent="1"/>
    </xf>
    <xf numFmtId="0" fontId="96" fillId="0" borderId="23" xfId="122" applyFont="1" applyBorder="1" applyAlignment="1">
      <alignment horizontal="left" vertical="center" indent="1"/>
    </xf>
    <xf numFmtId="0" fontId="96" fillId="0" borderId="25" xfId="122" applyFont="1" applyBorder="1" applyAlignment="1">
      <alignment horizontal="left" vertical="center" indent="1"/>
    </xf>
    <xf numFmtId="0" fontId="100" fillId="0" borderId="45" xfId="0" applyFont="1" applyBorder="1" applyAlignment="1">
      <alignment vertical="center"/>
    </xf>
    <xf numFmtId="0" fontId="101" fillId="0" borderId="45" xfId="0" applyFont="1" applyBorder="1" applyAlignment="1">
      <alignment vertical="center"/>
    </xf>
    <xf numFmtId="0" fontId="102" fillId="0" borderId="45" xfId="0" applyFont="1" applyBorder="1" applyAlignment="1">
      <alignment vertical="center"/>
    </xf>
    <xf numFmtId="0" fontId="101" fillId="34" borderId="45" xfId="0" applyFont="1" applyFill="1" applyBorder="1" applyAlignment="1">
      <alignment vertical="center"/>
    </xf>
    <xf numFmtId="0" fontId="96" fillId="76" borderId="28" xfId="122" applyFont="1" applyFill="1" applyBorder="1" applyAlignment="1">
      <alignment horizontal="left" vertical="center" wrapText="1" indent="1"/>
    </xf>
    <xf numFmtId="0" fontId="96" fillId="77" borderId="22" xfId="122" applyFont="1" applyFill="1" applyBorder="1" applyAlignment="1">
      <alignment horizontal="left" vertical="center" wrapText="1" indent="1"/>
    </xf>
    <xf numFmtId="0" fontId="103" fillId="78" borderId="31" xfId="122" applyFont="1" applyFill="1" applyBorder="1" applyAlignment="1">
      <alignment horizontal="left" vertical="center" wrapText="1" indent="1"/>
    </xf>
    <xf numFmtId="0" fontId="52" fillId="50" borderId="14" xfId="0" applyFont="1" applyFill="1" applyBorder="1" applyAlignment="1" applyProtection="1">
      <alignment vertical="center"/>
      <protection locked="0"/>
    </xf>
    <xf numFmtId="0" fontId="48" fillId="0" borderId="72" xfId="112" applyFont="1" applyBorder="1" applyAlignment="1">
      <alignment horizontal="left" vertical="top" wrapText="1"/>
    </xf>
    <xf numFmtId="0" fontId="54" fillId="74" borderId="73" xfId="112" applyFont="1" applyFill="1" applyBorder="1" applyAlignment="1">
      <alignment horizontal="center" vertical="center"/>
    </xf>
    <xf numFmtId="176" fontId="48" fillId="0" borderId="0" xfId="0" applyNumberFormat="1" applyFont="1"/>
    <xf numFmtId="0" fontId="47" fillId="0" borderId="0" xfId="122" applyFont="1" applyAlignment="1">
      <alignment vertical="center"/>
    </xf>
    <xf numFmtId="0" fontId="53" fillId="0" borderId="0" xfId="122" applyFont="1" applyAlignment="1">
      <alignment horizontal="left" vertical="center"/>
    </xf>
    <xf numFmtId="0" fontId="48" fillId="50" borderId="29" xfId="121" applyFont="1" applyFill="1" applyBorder="1" applyAlignment="1">
      <alignment vertical="center"/>
    </xf>
    <xf numFmtId="0" fontId="48" fillId="50" borderId="36" xfId="121" applyFont="1" applyFill="1" applyBorder="1" applyAlignment="1">
      <alignment vertical="center"/>
    </xf>
    <xf numFmtId="0" fontId="48" fillId="50" borderId="53" xfId="121" applyFont="1" applyFill="1" applyBorder="1" applyAlignment="1">
      <alignment vertical="center"/>
    </xf>
    <xf numFmtId="0" fontId="54" fillId="59" borderId="30" xfId="0" applyFont="1" applyFill="1" applyBorder="1" applyAlignment="1" applyProtection="1">
      <alignment horizontal="right" vertical="center"/>
      <protection locked="0"/>
    </xf>
    <xf numFmtId="0" fontId="48" fillId="50" borderId="28" xfId="121" applyFont="1" applyFill="1" applyBorder="1" applyAlignment="1">
      <alignment vertical="center"/>
    </xf>
    <xf numFmtId="0" fontId="48" fillId="50" borderId="14" xfId="121" applyFont="1" applyFill="1" applyBorder="1" applyAlignment="1">
      <alignment vertical="center"/>
    </xf>
    <xf numFmtId="0" fontId="48" fillId="50" borderId="13" xfId="121" applyFont="1" applyFill="1" applyBorder="1" applyAlignment="1">
      <alignment vertical="center"/>
    </xf>
    <xf numFmtId="49" fontId="48" fillId="59" borderId="63" xfId="8" applyNumberFormat="1" applyFont="1" applyFill="1" applyBorder="1" applyAlignment="1" applyProtection="1">
      <alignment horizontal="right" vertical="center"/>
      <protection locked="0"/>
    </xf>
    <xf numFmtId="0" fontId="54" fillId="59" borderId="63" xfId="0" applyFont="1" applyFill="1" applyBorder="1" applyAlignment="1" applyProtection="1">
      <alignment horizontal="right" vertical="center"/>
      <protection locked="0"/>
    </xf>
    <xf numFmtId="184" fontId="54" fillId="59" borderId="63" xfId="0" applyNumberFormat="1" applyFont="1" applyFill="1" applyBorder="1" applyAlignment="1" applyProtection="1">
      <alignment horizontal="right" vertical="center"/>
      <protection locked="0"/>
    </xf>
    <xf numFmtId="14" fontId="62" fillId="59" borderId="63" xfId="71" applyNumberFormat="1" applyFill="1" applyBorder="1" applyAlignment="1" applyProtection="1">
      <alignment horizontal="right" vertical="center"/>
      <protection locked="0"/>
    </xf>
    <xf numFmtId="0" fontId="48" fillId="50" borderId="31" xfId="121" applyFont="1" applyFill="1" applyBorder="1" applyAlignment="1">
      <alignment vertical="center"/>
    </xf>
    <xf numFmtId="0" fontId="48" fillId="50" borderId="26" xfId="121" applyFont="1" applyFill="1" applyBorder="1" applyAlignment="1">
      <alignment vertical="center"/>
    </xf>
    <xf numFmtId="0" fontId="48" fillId="50" borderId="54" xfId="121" applyFont="1" applyFill="1" applyBorder="1" applyAlignment="1">
      <alignment vertical="center"/>
    </xf>
    <xf numFmtId="14" fontId="54" fillId="59" borderId="77" xfId="0" applyNumberFormat="1" applyFont="1" applyFill="1" applyBorder="1" applyAlignment="1" applyProtection="1">
      <alignment horizontal="right" vertical="center"/>
      <protection locked="0"/>
    </xf>
    <xf numFmtId="169" fontId="48" fillId="59" borderId="12" xfId="124" applyNumberFormat="1" applyFont="1" applyFill="1" applyBorder="1" applyAlignment="1" applyProtection="1">
      <alignment horizontal="right" vertical="center"/>
      <protection locked="0"/>
    </xf>
    <xf numFmtId="169" fontId="48" fillId="59" borderId="11" xfId="124" applyNumberFormat="1" applyFont="1" applyFill="1" applyBorder="1" applyAlignment="1" applyProtection="1">
      <alignment horizontal="right" vertical="center"/>
      <protection locked="0"/>
    </xf>
    <xf numFmtId="169" fontId="48" fillId="50" borderId="37" xfId="124" applyNumberFormat="1" applyFont="1" applyFill="1" applyBorder="1" applyAlignment="1" applyProtection="1">
      <alignment horizontal="right" vertical="center"/>
    </xf>
    <xf numFmtId="0" fontId="55" fillId="0" borderId="0" xfId="122" applyFont="1" applyAlignment="1">
      <alignment vertical="top" wrapText="1"/>
    </xf>
    <xf numFmtId="0" fontId="55" fillId="50" borderId="91" xfId="122" applyFont="1" applyFill="1" applyBorder="1" applyAlignment="1">
      <alignment horizontal="left" vertical="top"/>
    </xf>
    <xf numFmtId="0" fontId="55" fillId="50" borderId="92" xfId="122" applyFont="1" applyFill="1" applyBorder="1" applyAlignment="1">
      <alignment vertical="top"/>
    </xf>
    <xf numFmtId="0" fontId="48" fillId="0" borderId="0" xfId="122" applyFont="1"/>
    <xf numFmtId="1" fontId="48" fillId="0" borderId="0" xfId="122" applyNumberFormat="1" applyFont="1"/>
    <xf numFmtId="0" fontId="48" fillId="59" borderId="45" xfId="122" applyFont="1" applyFill="1" applyBorder="1" applyAlignment="1">
      <alignment vertical="top" wrapText="1"/>
    </xf>
    <xf numFmtId="0" fontId="48" fillId="0" borderId="38" xfId="122" applyFont="1" applyBorder="1" applyAlignment="1">
      <alignment vertical="top" wrapText="1"/>
    </xf>
    <xf numFmtId="0" fontId="48" fillId="54" borderId="45" xfId="122" applyFont="1" applyFill="1" applyBorder="1" applyAlignment="1">
      <alignment vertical="top" wrapText="1"/>
    </xf>
    <xf numFmtId="0" fontId="68" fillId="0" borderId="0" xfId="122" applyFont="1" applyAlignment="1">
      <alignment vertical="top" wrapText="1"/>
    </xf>
    <xf numFmtId="0" fontId="48" fillId="50" borderId="45" xfId="122" applyFont="1" applyFill="1" applyBorder="1" applyAlignment="1">
      <alignment vertical="top" wrapText="1"/>
    </xf>
    <xf numFmtId="0" fontId="77" fillId="0" borderId="0" xfId="0" applyFont="1" applyAlignment="1">
      <alignment horizontal="left" vertical="center"/>
    </xf>
    <xf numFmtId="0" fontId="48" fillId="58" borderId="45" xfId="122" applyFont="1" applyFill="1" applyBorder="1" applyAlignment="1">
      <alignment vertical="top" wrapText="1"/>
    </xf>
    <xf numFmtId="0" fontId="104" fillId="46" borderId="46" xfId="122" applyFont="1" applyFill="1" applyBorder="1" applyAlignment="1">
      <alignment vertical="top" wrapText="1"/>
    </xf>
    <xf numFmtId="0" fontId="48" fillId="0" borderId="48" xfId="122" applyFont="1" applyBorder="1" applyAlignment="1">
      <alignment vertical="top" wrapText="1"/>
    </xf>
    <xf numFmtId="0" fontId="48" fillId="0" borderId="0" xfId="122" applyFont="1" applyAlignment="1">
      <alignment vertical="top"/>
    </xf>
    <xf numFmtId="0" fontId="54" fillId="0" borderId="0" xfId="122" applyFont="1"/>
    <xf numFmtId="0" fontId="105" fillId="0" borderId="0" xfId="120" applyFont="1" applyFill="1" applyBorder="1"/>
    <xf numFmtId="0" fontId="48" fillId="0" borderId="72" xfId="112" applyFont="1" applyBorder="1" applyAlignment="1">
      <alignment horizontal="left" vertical="top" wrapText="1"/>
    </xf>
    <xf numFmtId="0" fontId="48" fillId="0" borderId="72" xfId="71" applyFont="1" applyFill="1" applyBorder="1" applyAlignment="1">
      <alignment horizontal="left" vertical="top" wrapText="1"/>
    </xf>
    <xf numFmtId="0" fontId="48" fillId="50" borderId="24" xfId="121" applyFont="1" applyFill="1" applyBorder="1" applyAlignment="1">
      <alignment vertical="center"/>
    </xf>
    <xf numFmtId="0" fontId="48" fillId="50" borderId="54" xfId="121" applyFont="1" applyFill="1" applyBorder="1" applyAlignment="1">
      <alignment vertical="center"/>
    </xf>
    <xf numFmtId="0" fontId="48" fillId="50" borderId="37" xfId="121" applyFont="1" applyFill="1" applyBorder="1" applyAlignment="1">
      <alignment vertical="center"/>
    </xf>
    <xf numFmtId="0" fontId="68" fillId="0" borderId="0" xfId="120" applyFont="1" applyFill="1" applyBorder="1" applyAlignment="1">
      <alignment horizontal="left" vertical="top" wrapText="1"/>
    </xf>
    <xf numFmtId="0" fontId="50" fillId="0" borderId="0" xfId="120" applyFont="1" applyFill="1" applyBorder="1" applyAlignment="1">
      <alignment horizontal="left" vertical="top" wrapText="1"/>
    </xf>
    <xf numFmtId="0" fontId="48" fillId="50" borderId="18" xfId="121" applyFont="1" applyFill="1" applyBorder="1" applyAlignment="1">
      <alignment vertical="center"/>
    </xf>
    <xf numFmtId="0" fontId="48" fillId="50" borderId="69" xfId="121" applyFont="1" applyFill="1" applyBorder="1" applyAlignment="1">
      <alignment vertical="center"/>
    </xf>
    <xf numFmtId="0" fontId="48" fillId="50" borderId="12" xfId="121" applyFont="1" applyFill="1" applyBorder="1" applyAlignment="1">
      <alignment vertical="center"/>
    </xf>
    <xf numFmtId="0" fontId="48" fillId="50" borderId="22" xfId="121" applyFont="1" applyFill="1" applyBorder="1" applyAlignment="1">
      <alignment vertical="center"/>
    </xf>
    <xf numFmtId="0" fontId="48" fillId="50" borderId="13" xfId="121" applyFont="1" applyFill="1" applyBorder="1" applyAlignment="1">
      <alignment vertical="center"/>
    </xf>
    <xf numFmtId="0" fontId="48" fillId="50" borderId="11" xfId="121" applyFont="1" applyFill="1" applyBorder="1" applyAlignment="1">
      <alignment vertical="center"/>
    </xf>
    <xf numFmtId="5" fontId="48" fillId="54" borderId="15" xfId="0" applyNumberFormat="1" applyFont="1" applyFill="1" applyBorder="1" applyAlignment="1" applyProtection="1">
      <alignment horizontal="center" vertical="center"/>
      <protection locked="0"/>
    </xf>
    <xf numFmtId="5" fontId="48" fillId="74" borderId="73" xfId="0" applyNumberFormat="1" applyFont="1" applyFill="1" applyBorder="1" applyAlignment="1">
      <alignment horizontal="center" vertical="center"/>
    </xf>
    <xf numFmtId="0" fontId="54" fillId="54" borderId="64" xfId="112" applyFont="1" applyFill="1" applyBorder="1" applyAlignment="1" applyProtection="1">
      <alignment horizontal="center" vertical="center" wrapText="1"/>
      <protection locked="0"/>
    </xf>
    <xf numFmtId="0" fontId="54" fillId="54" borderId="61" xfId="112" applyFont="1" applyFill="1" applyBorder="1" applyAlignment="1" applyProtection="1">
      <alignment horizontal="center" vertical="center" wrapText="1"/>
      <protection locked="0"/>
    </xf>
    <xf numFmtId="5" fontId="48" fillId="59" borderId="39" xfId="0" applyNumberFormat="1" applyFont="1" applyFill="1" applyBorder="1" applyAlignment="1" applyProtection="1">
      <alignment horizontal="center" vertical="center"/>
      <protection locked="0"/>
    </xf>
    <xf numFmtId="5" fontId="48" fillId="59" borderId="73" xfId="0" applyNumberFormat="1" applyFont="1" applyFill="1" applyBorder="1" applyAlignment="1" applyProtection="1">
      <alignment horizontal="center" vertical="center"/>
      <protection locked="0"/>
    </xf>
    <xf numFmtId="0" fontId="48" fillId="54" borderId="15" xfId="0" applyFont="1" applyFill="1" applyBorder="1" applyAlignment="1" applyProtection="1">
      <alignment horizontal="center" vertical="center"/>
      <protection locked="0"/>
    </xf>
    <xf numFmtId="5" fontId="48" fillId="54" borderId="73" xfId="0" applyNumberFormat="1" applyFont="1" applyFill="1" applyBorder="1" applyAlignment="1" applyProtection="1">
      <alignment horizontal="center" vertical="center"/>
      <protection locked="0"/>
    </xf>
    <xf numFmtId="5" fontId="48" fillId="54" borderId="14" xfId="0" applyNumberFormat="1" applyFont="1" applyFill="1" applyBorder="1" applyAlignment="1" applyProtection="1">
      <alignment horizontal="center" vertical="center"/>
      <protection locked="0"/>
    </xf>
    <xf numFmtId="5" fontId="48" fillId="74" borderId="26" xfId="0" applyNumberFormat="1" applyFont="1" applyFill="1" applyBorder="1" applyAlignment="1">
      <alignment horizontal="center" vertical="center"/>
    </xf>
    <xf numFmtId="5" fontId="48" fillId="59" borderId="29" xfId="0" applyNumberFormat="1" applyFont="1" applyFill="1" applyBorder="1" applyAlignment="1" applyProtection="1">
      <alignment horizontal="center" vertical="center"/>
      <protection locked="0"/>
    </xf>
    <xf numFmtId="5" fontId="48" fillId="59" borderId="31" xfId="0" applyNumberFormat="1" applyFont="1" applyFill="1" applyBorder="1" applyAlignment="1" applyProtection="1">
      <alignment horizontal="center" vertical="center"/>
      <protection locked="0"/>
    </xf>
    <xf numFmtId="0" fontId="48" fillId="54" borderId="28" xfId="0" applyFont="1" applyFill="1" applyBorder="1" applyAlignment="1" applyProtection="1">
      <alignment horizontal="center" vertical="center"/>
      <protection locked="0"/>
    </xf>
    <xf numFmtId="5" fontId="48" fillId="54" borderId="31" xfId="0" applyNumberFormat="1" applyFont="1" applyFill="1" applyBorder="1" applyAlignment="1" applyProtection="1">
      <alignment horizontal="center" vertical="center"/>
      <protection locked="0"/>
    </xf>
    <xf numFmtId="5" fontId="48" fillId="54" borderId="28" xfId="0" applyNumberFormat="1" applyFont="1" applyFill="1" applyBorder="1" applyAlignment="1" applyProtection="1">
      <alignment horizontal="center" vertical="center"/>
      <protection locked="0"/>
    </xf>
    <xf numFmtId="5" fontId="48" fillId="74" borderId="31" xfId="0" applyNumberFormat="1" applyFont="1" applyFill="1" applyBorder="1" applyAlignment="1">
      <alignment horizontal="center" vertical="center"/>
    </xf>
    <xf numFmtId="0" fontId="54" fillId="59" borderId="60" xfId="112" applyFont="1" applyFill="1" applyBorder="1" applyAlignment="1" applyProtection="1">
      <alignment horizontal="center" vertical="center" wrapText="1"/>
      <protection locked="0"/>
    </xf>
    <xf numFmtId="0" fontId="54" fillId="59" borderId="61" xfId="112" applyFont="1" applyFill="1" applyBorder="1" applyAlignment="1" applyProtection="1">
      <alignment horizontal="center" vertical="center" wrapText="1"/>
      <protection locked="0"/>
    </xf>
    <xf numFmtId="5" fontId="48" fillId="59" borderId="36" xfId="0" applyNumberFormat="1" applyFont="1" applyFill="1" applyBorder="1" applyAlignment="1" applyProtection="1">
      <alignment horizontal="center" vertical="center"/>
      <protection locked="0"/>
    </xf>
    <xf numFmtId="5" fontId="48" fillId="59" borderId="26" xfId="0" applyNumberFormat="1" applyFont="1" applyFill="1" applyBorder="1" applyAlignment="1" applyProtection="1">
      <alignment horizontal="center" vertical="center"/>
      <protection locked="0"/>
    </xf>
    <xf numFmtId="0" fontId="48" fillId="54" borderId="14" xfId="0" applyFont="1" applyFill="1" applyBorder="1" applyAlignment="1" applyProtection="1">
      <alignment horizontal="center" vertical="center"/>
      <protection locked="0"/>
    </xf>
    <xf numFmtId="5" fontId="48" fillId="54" borderId="26" xfId="0" applyNumberFormat="1" applyFont="1" applyFill="1" applyBorder="1" applyAlignment="1" applyProtection="1">
      <alignment horizontal="center" vertical="center"/>
      <protection locked="0"/>
    </xf>
    <xf numFmtId="0" fontId="54" fillId="59" borderId="14" xfId="112" applyFont="1" applyFill="1" applyBorder="1" applyAlignment="1" applyProtection="1">
      <alignment horizontal="center" vertical="center"/>
      <protection locked="0"/>
    </xf>
    <xf numFmtId="0" fontId="54" fillId="59" borderId="15" xfId="112" applyFont="1" applyFill="1" applyBorder="1" applyAlignment="1" applyProtection="1">
      <alignment horizontal="center" vertical="center"/>
      <protection locked="0"/>
    </xf>
    <xf numFmtId="0" fontId="54" fillId="74" borderId="26" xfId="112" applyFont="1" applyFill="1" applyBorder="1" applyAlignment="1">
      <alignment horizontal="center" vertical="center"/>
    </xf>
    <xf numFmtId="0" fontId="54" fillId="74" borderId="73" xfId="112" applyFont="1" applyFill="1" applyBorder="1" applyAlignment="1">
      <alignment horizontal="center" vertical="center"/>
    </xf>
    <xf numFmtId="0" fontId="55" fillId="40" borderId="39" xfId="0" applyFont="1" applyFill="1" applyBorder="1" applyAlignment="1">
      <alignment horizontal="center" vertical="center" wrapText="1"/>
    </xf>
    <xf numFmtId="0" fontId="54" fillId="59" borderId="28" xfId="112" applyFont="1" applyFill="1" applyBorder="1" applyAlignment="1" applyProtection="1">
      <alignment horizontal="center" vertical="center" wrapText="1"/>
      <protection locked="0"/>
    </xf>
    <xf numFmtId="0" fontId="54" fillId="59" borderId="15" xfId="112" applyFont="1" applyFill="1" applyBorder="1" applyAlignment="1" applyProtection="1">
      <alignment horizontal="center" vertical="center" wrapText="1"/>
      <protection locked="0"/>
    </xf>
    <xf numFmtId="0" fontId="54" fillId="59" borderId="28" xfId="112" applyFont="1" applyFill="1" applyBorder="1" applyAlignment="1" applyProtection="1">
      <alignment horizontal="center" vertical="center"/>
      <protection locked="0"/>
    </xf>
    <xf numFmtId="0" fontId="55" fillId="40" borderId="36" xfId="0" applyFont="1" applyFill="1" applyBorder="1" applyAlignment="1">
      <alignment horizontal="center" vertical="center" wrapText="1"/>
    </xf>
    <xf numFmtId="0" fontId="54" fillId="59" borderId="14" xfId="112" applyFont="1" applyFill="1" applyBorder="1" applyAlignment="1" applyProtection="1">
      <alignment horizontal="center" vertical="center" wrapText="1"/>
      <protection locked="0"/>
    </xf>
    <xf numFmtId="0" fontId="54" fillId="74" borderId="31" xfId="112" applyFont="1" applyFill="1" applyBorder="1" applyAlignment="1">
      <alignment horizontal="center" vertical="center"/>
    </xf>
    <xf numFmtId="4" fontId="48" fillId="50" borderId="33" xfId="0" applyNumberFormat="1" applyFont="1" applyFill="1" applyBorder="1" applyAlignment="1">
      <alignment horizontal="center" vertical="center"/>
    </xf>
    <xf numFmtId="4" fontId="48" fillId="50" borderId="27" xfId="0" applyNumberFormat="1" applyFont="1" applyFill="1" applyBorder="1" applyAlignment="1">
      <alignment horizontal="center" vertical="center"/>
    </xf>
    <xf numFmtId="4" fontId="48" fillId="50" borderId="12" xfId="0" applyNumberFormat="1" applyFont="1" applyFill="1" applyBorder="1" applyAlignment="1">
      <alignment horizontal="center" vertical="center"/>
    </xf>
    <xf numFmtId="0" fontId="48" fillId="50" borderId="33" xfId="0" quotePrefix="1" applyFont="1" applyFill="1" applyBorder="1" applyAlignment="1">
      <alignment horizontal="center" vertical="center"/>
    </xf>
    <xf numFmtId="0" fontId="48" fillId="50" borderId="27" xfId="0" quotePrefix="1" applyFont="1" applyFill="1" applyBorder="1" applyAlignment="1">
      <alignment horizontal="center" vertical="center"/>
    </xf>
    <xf numFmtId="0" fontId="48" fillId="50" borderId="12" xfId="0" quotePrefix="1" applyFont="1" applyFill="1" applyBorder="1" applyAlignment="1">
      <alignment horizontal="center" vertical="center"/>
    </xf>
    <xf numFmtId="44" fontId="48" fillId="50" borderId="33" xfId="0" applyNumberFormat="1" applyFont="1" applyFill="1" applyBorder="1" applyAlignment="1">
      <alignment horizontal="center"/>
    </xf>
    <xf numFmtId="44" fontId="48" fillId="50" borderId="27" xfId="0" applyNumberFormat="1" applyFont="1" applyFill="1" applyBorder="1" applyAlignment="1">
      <alignment horizontal="center"/>
    </xf>
    <xf numFmtId="44" fontId="48" fillId="50" borderId="12" xfId="0" applyNumberFormat="1" applyFont="1" applyFill="1" applyBorder="1" applyAlignment="1">
      <alignment horizontal="center"/>
    </xf>
    <xf numFmtId="41" fontId="48" fillId="50" borderId="33" xfId="0" applyNumberFormat="1" applyFont="1" applyFill="1" applyBorder="1" applyAlignment="1">
      <alignment horizontal="center"/>
    </xf>
    <xf numFmtId="41" fontId="48" fillId="50" borderId="27" xfId="0" applyNumberFormat="1" applyFont="1" applyFill="1" applyBorder="1" applyAlignment="1">
      <alignment horizontal="center"/>
    </xf>
    <xf numFmtId="41" fontId="48" fillId="50" borderId="12" xfId="0" applyNumberFormat="1" applyFont="1" applyFill="1" applyBorder="1" applyAlignment="1">
      <alignment horizontal="center"/>
    </xf>
    <xf numFmtId="4" fontId="48" fillId="50" borderId="33" xfId="0" applyNumberFormat="1" applyFont="1" applyFill="1" applyBorder="1" applyAlignment="1">
      <alignment horizontal="center"/>
    </xf>
    <xf numFmtId="4" fontId="48" fillId="50" borderId="27" xfId="0" applyNumberFormat="1" applyFont="1" applyFill="1" applyBorder="1" applyAlignment="1">
      <alignment horizontal="center"/>
    </xf>
    <xf numFmtId="4" fontId="48" fillId="50" borderId="12" xfId="0" applyNumberFormat="1" applyFont="1" applyFill="1" applyBorder="1" applyAlignment="1">
      <alignment horizontal="center"/>
    </xf>
  </cellXfs>
  <cellStyles count="165">
    <cellStyle name="20% - Accent1" xfId="19" builtinId="30" customBuiltin="1"/>
    <cellStyle name="20% - Accent1 2" xfId="52" xr:uid="{00000000-0005-0000-0000-000001000000}"/>
    <cellStyle name="20% - Accent1 2 2" xfId="92" xr:uid="{00000000-0005-0000-0000-000002000000}"/>
    <cellStyle name="20% - Accent1 3" xfId="76" xr:uid="{00000000-0005-0000-0000-000003000000}"/>
    <cellStyle name="20% - Accent1 4" xfId="129" xr:uid="{00000000-0005-0000-0000-000004000000}"/>
    <cellStyle name="20% - Accent2" xfId="23" builtinId="34" customBuiltin="1"/>
    <cellStyle name="20% - Accent2 2" xfId="54" xr:uid="{00000000-0005-0000-0000-000006000000}"/>
    <cellStyle name="20% - Accent2 2 2" xfId="94" xr:uid="{00000000-0005-0000-0000-000007000000}"/>
    <cellStyle name="20% - Accent2 3" xfId="78" xr:uid="{00000000-0005-0000-0000-000008000000}"/>
    <cellStyle name="20% - Accent3" xfId="27" builtinId="38" customBuiltin="1"/>
    <cellStyle name="20% - Accent3 2" xfId="56" xr:uid="{00000000-0005-0000-0000-00000A000000}"/>
    <cellStyle name="20% - Accent3 2 2" xfId="96" xr:uid="{00000000-0005-0000-0000-00000B000000}"/>
    <cellStyle name="20% - Accent3 3" xfId="80" xr:uid="{00000000-0005-0000-0000-00000C000000}"/>
    <cellStyle name="20% - Accent4" xfId="31" builtinId="42" customBuiltin="1"/>
    <cellStyle name="20% - Accent4 2" xfId="58" xr:uid="{00000000-0005-0000-0000-00000E000000}"/>
    <cellStyle name="20% - Accent4 2 2" xfId="98" xr:uid="{00000000-0005-0000-0000-00000F000000}"/>
    <cellStyle name="20% - Accent4 3" xfId="82" xr:uid="{00000000-0005-0000-0000-000010000000}"/>
    <cellStyle name="20% - Accent5" xfId="35" builtinId="46" customBuiltin="1"/>
    <cellStyle name="20% - Accent5 2" xfId="60" xr:uid="{00000000-0005-0000-0000-000012000000}"/>
    <cellStyle name="20% - Accent5 2 2" xfId="100" xr:uid="{00000000-0005-0000-0000-000013000000}"/>
    <cellStyle name="20% - Accent5 3" xfId="84" xr:uid="{00000000-0005-0000-0000-000014000000}"/>
    <cellStyle name="20% - Accent6" xfId="39" builtinId="50" customBuiltin="1"/>
    <cellStyle name="20% - Accent6 2" xfId="62" xr:uid="{00000000-0005-0000-0000-000016000000}"/>
    <cellStyle name="20% - Accent6 2 2" xfId="102" xr:uid="{00000000-0005-0000-0000-000017000000}"/>
    <cellStyle name="20% - Accent6 3" xfId="86" xr:uid="{00000000-0005-0000-0000-000018000000}"/>
    <cellStyle name="40% - Accent1" xfId="20" builtinId="31" customBuiltin="1"/>
    <cellStyle name="40% - Accent1 2" xfId="53" xr:uid="{00000000-0005-0000-0000-00001A000000}"/>
    <cellStyle name="40% - Accent1 2 2" xfId="93" xr:uid="{00000000-0005-0000-0000-00001B000000}"/>
    <cellStyle name="40% - Accent1 3" xfId="77" xr:uid="{00000000-0005-0000-0000-00001C000000}"/>
    <cellStyle name="40% - Accent2" xfId="24" builtinId="35" customBuiltin="1"/>
    <cellStyle name="40% - Accent2 2" xfId="55" xr:uid="{00000000-0005-0000-0000-00001E000000}"/>
    <cellStyle name="40% - Accent2 2 2" xfId="95" xr:uid="{00000000-0005-0000-0000-00001F000000}"/>
    <cellStyle name="40% - Accent2 3" xfId="79" xr:uid="{00000000-0005-0000-0000-000020000000}"/>
    <cellStyle name="40% - Accent3" xfId="28" builtinId="39" customBuiltin="1"/>
    <cellStyle name="40% - Accent3 2" xfId="57" xr:uid="{00000000-0005-0000-0000-000022000000}"/>
    <cellStyle name="40% - Accent3 2 2" xfId="97" xr:uid="{00000000-0005-0000-0000-000023000000}"/>
    <cellStyle name="40% - Accent3 3" xfId="81" xr:uid="{00000000-0005-0000-0000-000024000000}"/>
    <cellStyle name="40% - Accent4" xfId="32" builtinId="43" customBuiltin="1"/>
    <cellStyle name="40% - Accent4 2" xfId="59" xr:uid="{00000000-0005-0000-0000-000026000000}"/>
    <cellStyle name="40% - Accent4 2 2" xfId="99" xr:uid="{00000000-0005-0000-0000-000027000000}"/>
    <cellStyle name="40% - Accent4 3" xfId="83" xr:uid="{00000000-0005-0000-0000-000028000000}"/>
    <cellStyle name="40% - Accent5" xfId="36" builtinId="47" customBuiltin="1"/>
    <cellStyle name="40% - Accent5 2" xfId="61" xr:uid="{00000000-0005-0000-0000-00002A000000}"/>
    <cellStyle name="40% - Accent5 2 2" xfId="101" xr:uid="{00000000-0005-0000-0000-00002B000000}"/>
    <cellStyle name="40% - Accent5 3" xfId="85" xr:uid="{00000000-0005-0000-0000-00002C000000}"/>
    <cellStyle name="40% - Accent6" xfId="40" builtinId="51" customBuiltin="1"/>
    <cellStyle name="40% - Accent6 2" xfId="63" xr:uid="{00000000-0005-0000-0000-00002E000000}"/>
    <cellStyle name="40% - Accent6 2 2" xfId="103" xr:uid="{00000000-0005-0000-0000-00002F000000}"/>
    <cellStyle name="40% - Accent6 3" xfId="87" xr:uid="{00000000-0005-0000-0000-000030000000}"/>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64" builtinId="3"/>
    <cellStyle name="Comma 2" xfId="68" xr:uid="{00000000-0005-0000-0000-000041000000}"/>
    <cellStyle name="Comma 2 2" xfId="108" xr:uid="{00000000-0005-0000-0000-000042000000}"/>
    <cellStyle name="Comma 2 3" xfId="149" xr:uid="{00000000-0005-0000-0000-000043000000}"/>
    <cellStyle name="Comma 3" xfId="104" xr:uid="{00000000-0005-0000-0000-000044000000}"/>
    <cellStyle name="Comma 4" xfId="74" xr:uid="{00000000-0005-0000-0000-000045000000}"/>
    <cellStyle name="Comma 5" xfId="139" xr:uid="{00000000-0005-0000-0000-000046000000}"/>
    <cellStyle name="Comma 6" xfId="156" xr:uid="{22A2D3B4-663E-461F-BF36-5D686A55D60A}"/>
    <cellStyle name="Currency" xfId="118" builtinId="4"/>
    <cellStyle name="Currency 2" xfId="46" xr:uid="{00000000-0005-0000-0000-000048000000}"/>
    <cellStyle name="Currency 3" xfId="111" xr:uid="{00000000-0005-0000-0000-000049000000}"/>
    <cellStyle name="Currency 3 2" xfId="124" xr:uid="{00000000-0005-0000-0000-00004A000000}"/>
    <cellStyle name="Currency 3 2 2" xfId="164" xr:uid="{DB9B7D6F-7B91-4159-B1A9-A564060FB40C}"/>
    <cellStyle name="Currency 3 3" xfId="132" xr:uid="{00000000-0005-0000-0000-00004B000000}"/>
    <cellStyle name="Currency 4" xfId="162" xr:uid="{0CF17720-FE0F-468F-BAAF-7305FE11ACE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71" builtinId="8" customBuiltin="1"/>
    <cellStyle name="Hyperlink 2" xfId="49" xr:uid="{00000000-0005-0000-0000-000053000000}"/>
    <cellStyle name="Hyperlink 2 2" xfId="144" xr:uid="{00000000-0005-0000-0000-000054000000}"/>
    <cellStyle name="Hyperlink 2 3" xfId="141" xr:uid="{00000000-0005-0000-0000-000055000000}"/>
    <cellStyle name="Hyperlink 2 3 2" xfId="161" xr:uid="{441DBD54-C99F-4FED-BD5D-73E394E87F85}"/>
    <cellStyle name="Hyperlink 3" xfId="120" xr:uid="{00000000-0005-0000-0000-000056000000}"/>
    <cellStyle name="Hyperlink 3 2" xfId="143" xr:uid="{00000000-0005-0000-0000-000057000000}"/>
    <cellStyle name="Hyperlink 3 3" xfId="145" xr:uid="{00000000-0005-0000-0000-000058000000}"/>
    <cellStyle name="Hyperlink 4" xfId="123" xr:uid="{00000000-0005-0000-0000-000059000000}"/>
    <cellStyle name="Hyperlink 4 2" xfId="148" xr:uid="{00000000-0005-0000-0000-00005A000000}"/>
    <cellStyle name="Input" xfId="9" builtinId="20" customBuiltin="1"/>
    <cellStyle name="Linked Cell" xfId="12" builtinId="24" customBuiltin="1"/>
    <cellStyle name="Neutral" xfId="8" builtinId="28" customBuiltin="1"/>
    <cellStyle name="Normal" xfId="0" builtinId="0" customBuiltin="1"/>
    <cellStyle name="Normal 10" xfId="72" xr:uid="{00000000-0005-0000-0000-00005F000000}"/>
    <cellStyle name="Normal 11" xfId="88" xr:uid="{00000000-0005-0000-0000-000060000000}"/>
    <cellStyle name="Normal 11 3" xfId="121" xr:uid="{00000000-0005-0000-0000-000061000000}"/>
    <cellStyle name="Normal 12" xfId="73" xr:uid="{00000000-0005-0000-0000-000062000000}"/>
    <cellStyle name="Normal 12 2" xfId="115" xr:uid="{00000000-0005-0000-0000-000063000000}"/>
    <cellStyle name="Normal 12 4" xfId="119" xr:uid="{00000000-0005-0000-0000-000064000000}"/>
    <cellStyle name="Normal 12 4 2" xfId="126" xr:uid="{00000000-0005-0000-0000-000065000000}"/>
    <cellStyle name="Normal 12 4 2 2" xfId="142" xr:uid="{00000000-0005-0000-0000-000066000000}"/>
    <cellStyle name="Normal 12 4 2 3" xfId="158" xr:uid="{AD83CC56-7E04-40C5-9DBB-B2168D5EE8B2}"/>
    <cellStyle name="Normal 13" xfId="112" xr:uid="{00000000-0005-0000-0000-000067000000}"/>
    <cellStyle name="Normal 13 2" xfId="122" xr:uid="{00000000-0005-0000-0000-000068000000}"/>
    <cellStyle name="Normal 13 2 2" xfId="163" xr:uid="{FEBEA836-1096-4FB8-B987-687011CCC27F}"/>
    <cellStyle name="Normal 13 3" xfId="125" xr:uid="{00000000-0005-0000-0000-000069000000}"/>
    <cellStyle name="Normal 13 4" xfId="131" xr:uid="{00000000-0005-0000-0000-00006A000000}"/>
    <cellStyle name="Normal 13 5" xfId="135" xr:uid="{00000000-0005-0000-0000-00006B000000}"/>
    <cellStyle name="Normal 13 6" xfId="152" xr:uid="{B620C32C-9ED5-4404-9DD6-89ED647E99A7}"/>
    <cellStyle name="Normal 14" xfId="113" xr:uid="{00000000-0005-0000-0000-00006C000000}"/>
    <cellStyle name="Normal 14 2" xfId="137" xr:uid="{00000000-0005-0000-0000-00006D000000}"/>
    <cellStyle name="Normal 14 3" xfId="154" xr:uid="{ECE7735D-FBCD-4A5D-A40E-FD33892BE8BC}"/>
    <cellStyle name="Normal 15" xfId="114" xr:uid="{00000000-0005-0000-0000-00006E000000}"/>
    <cellStyle name="Normal 15 2" xfId="147" xr:uid="{00000000-0005-0000-0000-00006F000000}"/>
    <cellStyle name="Normal 15 3" xfId="160" xr:uid="{53FB503F-C9D1-485A-9A8E-29A091EEAFBF}"/>
    <cellStyle name="Normal 16" xfId="116" xr:uid="{00000000-0005-0000-0000-000070000000}"/>
    <cellStyle name="Normal 16 2" xfId="138" xr:uid="{00000000-0005-0000-0000-000071000000}"/>
    <cellStyle name="Normal 16 3" xfId="155" xr:uid="{0A92804C-BAFB-499F-9728-5CC3BB2F2BA7}"/>
    <cellStyle name="Normal 17" xfId="117" xr:uid="{00000000-0005-0000-0000-000072000000}"/>
    <cellStyle name="Normal 17 2" xfId="146" xr:uid="{00000000-0005-0000-0000-000073000000}"/>
    <cellStyle name="Normal 17 3" xfId="159" xr:uid="{6A78543B-2492-4C17-96C3-F957AA64F497}"/>
    <cellStyle name="Normal 18" xfId="127" xr:uid="{00000000-0005-0000-0000-000074000000}"/>
    <cellStyle name="Normal 18 2" xfId="130" xr:uid="{00000000-0005-0000-0000-000075000000}"/>
    <cellStyle name="Normal 19" xfId="133" xr:uid="{00000000-0005-0000-0000-000076000000}"/>
    <cellStyle name="Normal 2" xfId="44" xr:uid="{00000000-0005-0000-0000-000077000000}"/>
    <cellStyle name="Normal 2 2" xfId="47" xr:uid="{00000000-0005-0000-0000-000078000000}"/>
    <cellStyle name="Normal 2_RTCI_Update_Dec_2011_Complete_Inventory_v3" xfId="48" xr:uid="{00000000-0005-0000-0000-000079000000}"/>
    <cellStyle name="Normal 20" xfId="150" xr:uid="{ED1C95C0-8FC8-4B91-BB6A-3798AE402B64}"/>
    <cellStyle name="Normal 3" xfId="43" xr:uid="{00000000-0005-0000-0000-00007A000000}"/>
    <cellStyle name="Normal 3 2" xfId="89" xr:uid="{00000000-0005-0000-0000-00007B000000}"/>
    <cellStyle name="Normal 3 3" xfId="136" xr:uid="{00000000-0005-0000-0000-00007C000000}"/>
    <cellStyle name="Normal 3 4" xfId="153" xr:uid="{496F30C4-8040-45D5-A21D-F140328C1CEF}"/>
    <cellStyle name="Normal 4" xfId="50" xr:uid="{00000000-0005-0000-0000-00007D000000}"/>
    <cellStyle name="Normal 4 2" xfId="90" xr:uid="{00000000-0005-0000-0000-00007E000000}"/>
    <cellStyle name="Normal 5" xfId="65" xr:uid="{00000000-0005-0000-0000-00007F000000}"/>
    <cellStyle name="Normal 5 2" xfId="105" xr:uid="{00000000-0005-0000-0000-000080000000}"/>
    <cellStyle name="Normal 6" xfId="66" xr:uid="{00000000-0005-0000-0000-000081000000}"/>
    <cellStyle name="Normal 6 2" xfId="106" xr:uid="{00000000-0005-0000-0000-000082000000}"/>
    <cellStyle name="Normal 7" xfId="67" xr:uid="{00000000-0005-0000-0000-000083000000}"/>
    <cellStyle name="Normal 7 2" xfId="107" xr:uid="{00000000-0005-0000-0000-000084000000}"/>
    <cellStyle name="Normal 8" xfId="69" xr:uid="{00000000-0005-0000-0000-000085000000}"/>
    <cellStyle name="Normal 8 2" xfId="109" xr:uid="{00000000-0005-0000-0000-000086000000}"/>
    <cellStyle name="Normal 9" xfId="70" xr:uid="{00000000-0005-0000-0000-000087000000}"/>
    <cellStyle name="Normal 9 2" xfId="110" xr:uid="{00000000-0005-0000-0000-000088000000}"/>
    <cellStyle name="Normal 9 2 2" xfId="128" xr:uid="{00000000-0005-0000-0000-000089000000}"/>
    <cellStyle name="Normal 9 3" xfId="134" xr:uid="{00000000-0005-0000-0000-00008A000000}"/>
    <cellStyle name="Normal 9 4" xfId="151" xr:uid="{11C4F8F7-0AC5-4CD9-9F7E-5826A6430627}"/>
    <cellStyle name="Note" xfId="15" builtinId="10" customBuiltin="1"/>
    <cellStyle name="Note 2" xfId="51" xr:uid="{00000000-0005-0000-0000-00008C000000}"/>
    <cellStyle name="Note 2 2" xfId="91" xr:uid="{00000000-0005-0000-0000-00008D000000}"/>
    <cellStyle name="Note 3" xfId="75" xr:uid="{00000000-0005-0000-0000-00008E000000}"/>
    <cellStyle name="OBI_ColHeader" xfId="42" xr:uid="{00000000-0005-0000-0000-00008F000000}"/>
    <cellStyle name="Output" xfId="10" builtinId="21" customBuiltin="1"/>
    <cellStyle name="Percent 2" xfId="45" xr:uid="{00000000-0005-0000-0000-000091000000}"/>
    <cellStyle name="Percent 3" xfId="140" xr:uid="{00000000-0005-0000-0000-000092000000}"/>
    <cellStyle name="Percent 4" xfId="157" xr:uid="{F4E65BF9-FD37-4C6F-8221-4C29C697517D}"/>
    <cellStyle name="Title" xfId="1" builtinId="15" customBuiltin="1"/>
    <cellStyle name="Total" xfId="17" builtinId="25" customBuiltin="1"/>
    <cellStyle name="Warning Text" xfId="14" builtinId="11" customBuiltin="1"/>
  </cellStyles>
  <dxfs count="625">
    <dxf>
      <font>
        <color rgb="FF9C0006"/>
      </font>
      <fill>
        <patternFill>
          <bgColor rgb="FFFFC7CE"/>
        </patternFill>
      </fill>
    </dxf>
    <dxf>
      <fill>
        <patternFill>
          <bgColor theme="4" tint="0.59996337778862885"/>
        </patternFill>
      </fill>
    </dxf>
    <dxf>
      <font>
        <b val="0"/>
        <i val="0"/>
      </font>
      <fill>
        <patternFill>
          <bgColor theme="9" tint="0.79998168889431442"/>
        </patternFill>
      </fill>
    </dxf>
    <dxf>
      <fill>
        <patternFill>
          <bgColor theme="4" tint="0.59996337778862885"/>
        </patternFill>
      </fill>
    </dxf>
    <dxf>
      <font>
        <color auto="1"/>
      </font>
      <fill>
        <patternFill>
          <bgColor theme="1"/>
        </patternFill>
      </fill>
    </dxf>
    <dxf>
      <font>
        <color auto="1"/>
      </font>
      <fill>
        <patternFill>
          <bgColor theme="1"/>
        </patternFill>
      </fill>
    </dxf>
    <dxf>
      <fill>
        <patternFill>
          <bgColor theme="4" tint="0.39994506668294322"/>
        </patternFill>
      </fill>
    </dxf>
    <dxf>
      <font>
        <color auto="1"/>
      </font>
      <fill>
        <patternFill>
          <bgColor theme="1"/>
        </patternFill>
      </fill>
    </dxf>
    <dxf>
      <font>
        <color auto="1"/>
      </font>
      <fill>
        <patternFill>
          <bgColor theme="1"/>
        </patternFill>
      </fill>
    </dxf>
    <dxf>
      <font>
        <color rgb="FFFF0000"/>
      </font>
      <fill>
        <patternFill>
          <bgColor theme="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4" tint="0.39994506668294322"/>
        </patternFill>
      </fill>
    </dxf>
    <dxf>
      <font>
        <color rgb="FFFF0000"/>
      </font>
      <fill>
        <patternFill>
          <bgColor theme="1"/>
        </patternFill>
      </fill>
    </dxf>
    <dxf>
      <font>
        <color rgb="FFFF0000"/>
      </font>
      <fill>
        <patternFill>
          <bgColor theme="1"/>
        </patternFill>
      </fill>
    </dxf>
    <dxf>
      <fill>
        <patternFill>
          <bgColor theme="9" tint="0.79998168889431442"/>
        </patternFill>
      </fill>
    </dxf>
    <dxf>
      <fill>
        <patternFill>
          <bgColor theme="4" tint="0.59996337778862885"/>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1"/>
        </patternFill>
      </fill>
    </dxf>
    <dxf>
      <fill>
        <patternFill>
          <bgColor theme="4" tint="0.59996337778862885"/>
        </patternFill>
      </fill>
    </dxf>
    <dxf>
      <font>
        <b val="0"/>
        <i val="0"/>
      </font>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ont>
        <color auto="1"/>
      </font>
      <fill>
        <patternFill>
          <bgColor theme="1"/>
        </patternFill>
      </fill>
    </dxf>
    <dxf>
      <fill>
        <patternFill>
          <bgColor theme="4" tint="0.39994506668294322"/>
        </patternFill>
      </fill>
    </dxf>
    <dxf>
      <font>
        <color auto="1"/>
      </font>
      <fill>
        <patternFill>
          <bgColor theme="1"/>
        </patternFill>
      </fill>
    </dxf>
    <dxf>
      <fill>
        <patternFill>
          <bgColor theme="4" tint="0.39994506668294322"/>
        </patternFill>
      </fill>
    </dxf>
    <dxf>
      <font>
        <color auto="1"/>
      </font>
      <fill>
        <patternFill>
          <bgColor theme="1"/>
        </patternFill>
      </fill>
    </dxf>
    <dxf>
      <font>
        <color auto="1"/>
      </font>
      <fill>
        <patternFill>
          <bgColor theme="1"/>
        </patternFill>
      </fill>
    </dxf>
    <dxf>
      <font>
        <color rgb="FFFF0000"/>
      </font>
      <fill>
        <patternFill>
          <bgColor theme="2"/>
        </patternFill>
      </fill>
    </dxf>
    <dxf>
      <fill>
        <patternFill>
          <bgColor theme="9" tint="0.79998168889431442"/>
        </patternFill>
      </fill>
    </dxf>
    <dxf>
      <font>
        <color rgb="FFFF0000"/>
      </font>
      <fill>
        <patternFill>
          <bgColor theme="1"/>
        </patternFill>
      </fill>
    </dxf>
    <dxf>
      <fill>
        <patternFill>
          <bgColor theme="4" tint="0.59996337778862885"/>
        </patternFill>
      </fill>
    </dxf>
    <dxf>
      <fill>
        <patternFill>
          <bgColor theme="4" tint="0.59996337778862885"/>
        </patternFill>
      </fill>
    </dxf>
    <dxf>
      <font>
        <color rgb="FFFF0000"/>
      </font>
      <fill>
        <patternFill>
          <bgColor theme="1"/>
        </patternFill>
      </fill>
    </dxf>
    <dxf>
      <font>
        <color rgb="FFFF0000"/>
      </font>
      <fill>
        <patternFill>
          <bgColor theme="1"/>
        </patternFill>
      </fill>
    </dxf>
    <dxf>
      <fill>
        <patternFill>
          <bgColor theme="9" tint="0.79998168889431442"/>
        </patternFill>
      </fill>
    </dxf>
    <dxf>
      <font>
        <color rgb="FFFF0000"/>
      </font>
      <fill>
        <patternFill>
          <bgColor theme="1"/>
        </patternFill>
      </fill>
    </dxf>
    <dxf>
      <font>
        <color rgb="FFFF0000"/>
      </font>
      <fill>
        <patternFill>
          <bgColor theme="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ont>
        <color rgb="FFFF0000"/>
      </font>
      <fill>
        <patternFill>
          <bgColor theme="1"/>
        </patternFill>
      </fill>
    </dxf>
    <dxf>
      <font>
        <color rgb="FFFF0000"/>
      </font>
      <fill>
        <patternFill>
          <bgColor theme="1"/>
        </patternFill>
      </fill>
    </dxf>
    <dxf>
      <fill>
        <patternFill>
          <bgColor theme="4" tint="0.59996337778862885"/>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1"/>
        </patternFill>
      </fill>
    </dxf>
    <dxf>
      <fill>
        <patternFill>
          <bgColor theme="1"/>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1"/>
        </patternFill>
      </fill>
    </dxf>
    <dxf>
      <fill>
        <patternFill>
          <bgColor theme="9" tint="0.79998168889431442"/>
        </patternFill>
      </fill>
    </dxf>
    <dxf>
      <fill>
        <patternFill>
          <bgColor theme="1"/>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ont>
        <color auto="1"/>
      </font>
      <fill>
        <patternFill>
          <bgColor theme="1"/>
        </patternFill>
      </fill>
    </dxf>
    <dxf>
      <fill>
        <patternFill>
          <bgColor theme="9" tint="0.79998168889431442"/>
        </patternFill>
      </fill>
    </dxf>
    <dxf>
      <font>
        <color auto="1"/>
      </font>
      <fill>
        <patternFill>
          <bgColor theme="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4" tint="0.59996337778862885"/>
        </patternFill>
      </fill>
    </dxf>
    <dxf>
      <fill>
        <patternFill>
          <bgColor theme="4" tint="0.59996337778862885"/>
        </patternFill>
      </fill>
    </dxf>
    <dxf>
      <font>
        <color rgb="FFFF0000"/>
      </font>
      <fill>
        <patternFill>
          <bgColor theme="2"/>
        </patternFill>
      </fill>
    </dxf>
    <dxf>
      <fill>
        <patternFill>
          <bgColor theme="4" tint="0.59996337778862885"/>
        </patternFill>
      </fill>
    </dxf>
    <dxf>
      <fill>
        <patternFill>
          <bgColor theme="4" tint="0.59996337778862885"/>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ill>
        <patternFill>
          <bgColor theme="4" tint="0.59996337778862885"/>
        </patternFill>
      </fill>
    </dxf>
    <dxf>
      <font>
        <b val="0"/>
        <i val="0"/>
      </font>
      <fill>
        <patternFill>
          <bgColor theme="9" tint="0.79998168889431442"/>
        </patternFill>
      </fill>
    </dxf>
    <dxf>
      <fill>
        <patternFill>
          <bgColor theme="4" tint="0.59996337778862885"/>
        </patternFill>
      </fill>
    </dxf>
    <dxf>
      <font>
        <color auto="1"/>
      </font>
      <fill>
        <patternFill>
          <bgColor theme="1"/>
        </patternFill>
      </fill>
    </dxf>
    <dxf>
      <font>
        <color auto="1"/>
      </font>
      <fill>
        <patternFill>
          <bgColor theme="1"/>
        </patternFill>
      </fill>
    </dxf>
    <dxf>
      <fill>
        <patternFill>
          <bgColor theme="4" tint="0.39994506668294322"/>
        </patternFill>
      </fill>
    </dxf>
    <dxf>
      <font>
        <color auto="1"/>
      </font>
      <fill>
        <patternFill>
          <bgColor theme="1"/>
        </patternFill>
      </fill>
    </dxf>
    <dxf>
      <font>
        <color auto="1"/>
      </font>
      <fill>
        <patternFill>
          <bgColor theme="1"/>
        </patternFill>
      </fill>
    </dxf>
    <dxf>
      <font>
        <color rgb="FFFF0000"/>
      </font>
      <fill>
        <patternFill>
          <bgColor theme="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4" tint="0.39994506668294322"/>
        </patternFill>
      </fill>
    </dxf>
    <dxf>
      <font>
        <color rgb="FFFF0000"/>
      </font>
      <fill>
        <patternFill>
          <bgColor theme="1"/>
        </patternFill>
      </fill>
    </dxf>
    <dxf>
      <font>
        <color rgb="FFFF0000"/>
      </font>
      <fill>
        <patternFill>
          <bgColor theme="1"/>
        </patternFill>
      </fill>
    </dxf>
    <dxf>
      <fill>
        <patternFill>
          <bgColor theme="9" tint="0.79998168889431442"/>
        </patternFill>
      </fill>
    </dxf>
    <dxf>
      <fill>
        <patternFill>
          <bgColor theme="4" tint="0.59996337778862885"/>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1"/>
        </patternFill>
      </fill>
    </dxf>
    <dxf>
      <fill>
        <patternFill>
          <bgColor theme="4" tint="0.59996337778862885"/>
        </patternFill>
      </fill>
    </dxf>
    <dxf>
      <font>
        <b val="0"/>
        <i val="0"/>
      </font>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ont>
        <color auto="1"/>
      </font>
      <fill>
        <patternFill>
          <bgColor theme="1"/>
        </patternFill>
      </fill>
    </dxf>
    <dxf>
      <fill>
        <patternFill>
          <bgColor theme="4" tint="0.39994506668294322"/>
        </patternFill>
      </fill>
    </dxf>
    <dxf>
      <font>
        <color auto="1"/>
      </font>
      <fill>
        <patternFill>
          <bgColor theme="1"/>
        </patternFill>
      </fill>
    </dxf>
    <dxf>
      <fill>
        <patternFill>
          <bgColor theme="4" tint="0.39994506668294322"/>
        </patternFill>
      </fill>
    </dxf>
    <dxf>
      <font>
        <color auto="1"/>
      </font>
      <fill>
        <patternFill>
          <bgColor theme="1"/>
        </patternFill>
      </fill>
    </dxf>
    <dxf>
      <font>
        <color auto="1"/>
      </font>
      <fill>
        <patternFill>
          <bgColor theme="1"/>
        </patternFill>
      </fill>
    </dxf>
    <dxf>
      <font>
        <color rgb="FFFF0000"/>
      </font>
      <fill>
        <patternFill>
          <bgColor theme="2"/>
        </patternFill>
      </fill>
    </dxf>
    <dxf>
      <fill>
        <patternFill>
          <bgColor theme="9" tint="0.79998168889431442"/>
        </patternFill>
      </fill>
    </dxf>
    <dxf>
      <font>
        <color rgb="FFFF0000"/>
      </font>
      <fill>
        <patternFill>
          <bgColor theme="1"/>
        </patternFill>
      </fill>
    </dxf>
    <dxf>
      <fill>
        <patternFill>
          <bgColor theme="4" tint="0.59996337778862885"/>
        </patternFill>
      </fill>
    </dxf>
    <dxf>
      <fill>
        <patternFill>
          <bgColor theme="4" tint="0.59996337778862885"/>
        </patternFill>
      </fill>
    </dxf>
    <dxf>
      <font>
        <color rgb="FFFF0000"/>
      </font>
      <fill>
        <patternFill>
          <bgColor theme="1"/>
        </patternFill>
      </fill>
    </dxf>
    <dxf>
      <font>
        <color rgb="FFFF0000"/>
      </font>
      <fill>
        <patternFill>
          <bgColor theme="1"/>
        </patternFill>
      </fill>
    </dxf>
    <dxf>
      <fill>
        <patternFill>
          <bgColor theme="9" tint="0.79998168889431442"/>
        </patternFill>
      </fill>
    </dxf>
    <dxf>
      <font>
        <color rgb="FFFF0000"/>
      </font>
      <fill>
        <patternFill>
          <bgColor theme="1"/>
        </patternFill>
      </fill>
    </dxf>
    <dxf>
      <font>
        <color rgb="FFFF0000"/>
      </font>
      <fill>
        <patternFill>
          <bgColor theme="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ont>
        <color rgb="FFFF0000"/>
      </font>
      <fill>
        <patternFill>
          <bgColor theme="1"/>
        </patternFill>
      </fill>
    </dxf>
    <dxf>
      <font>
        <color rgb="FFFF0000"/>
      </font>
      <fill>
        <patternFill>
          <bgColor theme="1"/>
        </patternFill>
      </fill>
    </dxf>
    <dxf>
      <fill>
        <patternFill>
          <bgColor theme="4" tint="0.59996337778862885"/>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1"/>
        </patternFill>
      </fill>
    </dxf>
    <dxf>
      <fill>
        <patternFill>
          <bgColor theme="1"/>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1"/>
        </patternFill>
      </fill>
    </dxf>
    <dxf>
      <fill>
        <patternFill>
          <bgColor theme="9" tint="0.79998168889431442"/>
        </patternFill>
      </fill>
    </dxf>
    <dxf>
      <fill>
        <patternFill>
          <bgColor theme="1"/>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ont>
        <color auto="1"/>
      </font>
      <fill>
        <patternFill>
          <bgColor theme="1"/>
        </patternFill>
      </fill>
    </dxf>
    <dxf>
      <fill>
        <patternFill>
          <bgColor theme="9" tint="0.79998168889431442"/>
        </patternFill>
      </fill>
    </dxf>
    <dxf>
      <font>
        <color auto="1"/>
      </font>
      <fill>
        <patternFill>
          <bgColor theme="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4" tint="0.59996337778862885"/>
        </patternFill>
      </fill>
    </dxf>
    <dxf>
      <fill>
        <patternFill>
          <bgColor theme="4" tint="0.59996337778862885"/>
        </patternFill>
      </fill>
    </dxf>
    <dxf>
      <font>
        <color rgb="FFFF0000"/>
      </font>
      <fill>
        <patternFill>
          <bgColor theme="2"/>
        </patternFill>
      </fill>
    </dxf>
    <dxf>
      <fill>
        <patternFill>
          <bgColor theme="4" tint="0.59996337778862885"/>
        </patternFill>
      </fill>
    </dxf>
    <dxf>
      <fill>
        <patternFill>
          <bgColor theme="4" tint="0.59996337778862885"/>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ill>
        <patternFill>
          <bgColor theme="4" tint="0.59996337778862885"/>
        </patternFill>
      </fill>
    </dxf>
    <dxf>
      <font>
        <b val="0"/>
        <i val="0"/>
      </font>
      <fill>
        <patternFill>
          <bgColor theme="9" tint="0.79998168889431442"/>
        </patternFill>
      </fill>
    </dxf>
    <dxf>
      <fill>
        <patternFill>
          <bgColor theme="4" tint="0.59996337778862885"/>
        </patternFill>
      </fill>
    </dxf>
    <dxf>
      <font>
        <color auto="1"/>
      </font>
      <fill>
        <patternFill>
          <bgColor theme="1"/>
        </patternFill>
      </fill>
    </dxf>
    <dxf>
      <font>
        <color auto="1"/>
      </font>
      <fill>
        <patternFill>
          <bgColor theme="1"/>
        </patternFill>
      </fill>
    </dxf>
    <dxf>
      <fill>
        <patternFill>
          <bgColor theme="4" tint="0.39994506668294322"/>
        </patternFill>
      </fill>
    </dxf>
    <dxf>
      <font>
        <color auto="1"/>
      </font>
      <fill>
        <patternFill>
          <bgColor theme="1"/>
        </patternFill>
      </fill>
    </dxf>
    <dxf>
      <font>
        <color auto="1"/>
      </font>
      <fill>
        <patternFill>
          <bgColor theme="1"/>
        </patternFill>
      </fill>
    </dxf>
    <dxf>
      <font>
        <color rgb="FFFF0000"/>
      </font>
      <fill>
        <patternFill>
          <bgColor theme="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4" tint="0.39994506668294322"/>
        </patternFill>
      </fill>
    </dxf>
    <dxf>
      <font>
        <color rgb="FFFF0000"/>
      </font>
      <fill>
        <patternFill>
          <bgColor theme="1"/>
        </patternFill>
      </fill>
    </dxf>
    <dxf>
      <font>
        <color rgb="FFFF0000"/>
      </font>
      <fill>
        <patternFill>
          <bgColor theme="1"/>
        </patternFill>
      </fill>
    </dxf>
    <dxf>
      <fill>
        <patternFill>
          <bgColor theme="9" tint="0.79998168889431442"/>
        </patternFill>
      </fill>
    </dxf>
    <dxf>
      <fill>
        <patternFill>
          <bgColor theme="4" tint="0.59996337778862885"/>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1"/>
        </patternFill>
      </fill>
    </dxf>
    <dxf>
      <fill>
        <patternFill>
          <bgColor theme="4" tint="0.59996337778862885"/>
        </patternFill>
      </fill>
    </dxf>
    <dxf>
      <font>
        <b val="0"/>
        <i val="0"/>
      </font>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ont>
        <color auto="1"/>
      </font>
      <fill>
        <patternFill>
          <bgColor theme="1"/>
        </patternFill>
      </fill>
    </dxf>
    <dxf>
      <fill>
        <patternFill>
          <bgColor theme="4" tint="0.39994506668294322"/>
        </patternFill>
      </fill>
    </dxf>
    <dxf>
      <font>
        <color auto="1"/>
      </font>
      <fill>
        <patternFill>
          <bgColor theme="1"/>
        </patternFill>
      </fill>
    </dxf>
    <dxf>
      <fill>
        <patternFill>
          <bgColor theme="4" tint="0.39994506668294322"/>
        </patternFill>
      </fill>
    </dxf>
    <dxf>
      <font>
        <color auto="1"/>
      </font>
      <fill>
        <patternFill>
          <bgColor theme="1"/>
        </patternFill>
      </fill>
    </dxf>
    <dxf>
      <font>
        <color auto="1"/>
      </font>
      <fill>
        <patternFill>
          <bgColor theme="1"/>
        </patternFill>
      </fill>
    </dxf>
    <dxf>
      <font>
        <color rgb="FFFF0000"/>
      </font>
      <fill>
        <patternFill>
          <bgColor theme="2"/>
        </patternFill>
      </fill>
    </dxf>
    <dxf>
      <fill>
        <patternFill>
          <bgColor theme="9" tint="0.79998168889431442"/>
        </patternFill>
      </fill>
    </dxf>
    <dxf>
      <font>
        <color rgb="FFFF0000"/>
      </font>
      <fill>
        <patternFill>
          <bgColor theme="1"/>
        </patternFill>
      </fill>
    </dxf>
    <dxf>
      <fill>
        <patternFill>
          <bgColor theme="4" tint="0.59996337778862885"/>
        </patternFill>
      </fill>
    </dxf>
    <dxf>
      <fill>
        <patternFill>
          <bgColor theme="4" tint="0.59996337778862885"/>
        </patternFill>
      </fill>
    </dxf>
    <dxf>
      <font>
        <color rgb="FFFF0000"/>
      </font>
      <fill>
        <patternFill>
          <bgColor theme="1"/>
        </patternFill>
      </fill>
    </dxf>
    <dxf>
      <font>
        <color rgb="FFFF0000"/>
      </font>
      <fill>
        <patternFill>
          <bgColor theme="1"/>
        </patternFill>
      </fill>
    </dxf>
    <dxf>
      <fill>
        <patternFill>
          <bgColor theme="9" tint="0.79998168889431442"/>
        </patternFill>
      </fill>
    </dxf>
    <dxf>
      <font>
        <color rgb="FFFF0000"/>
      </font>
      <fill>
        <patternFill>
          <bgColor theme="1"/>
        </patternFill>
      </fill>
    </dxf>
    <dxf>
      <font>
        <color rgb="FFFF0000"/>
      </font>
      <fill>
        <patternFill>
          <bgColor theme="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ont>
        <color rgb="FFFF0000"/>
      </font>
      <fill>
        <patternFill>
          <bgColor theme="1"/>
        </patternFill>
      </fill>
    </dxf>
    <dxf>
      <font>
        <color rgb="FFFF0000"/>
      </font>
      <fill>
        <patternFill>
          <bgColor theme="1"/>
        </patternFill>
      </fill>
    </dxf>
    <dxf>
      <fill>
        <patternFill>
          <bgColor theme="4" tint="0.59996337778862885"/>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1"/>
        </patternFill>
      </fill>
    </dxf>
    <dxf>
      <fill>
        <patternFill>
          <bgColor theme="1"/>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1"/>
        </patternFill>
      </fill>
    </dxf>
    <dxf>
      <fill>
        <patternFill>
          <bgColor theme="9" tint="0.79998168889431442"/>
        </patternFill>
      </fill>
    </dxf>
    <dxf>
      <fill>
        <patternFill>
          <bgColor theme="1"/>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ont>
        <color auto="1"/>
      </font>
      <fill>
        <patternFill>
          <bgColor theme="1"/>
        </patternFill>
      </fill>
    </dxf>
    <dxf>
      <fill>
        <patternFill>
          <bgColor theme="9" tint="0.79998168889431442"/>
        </patternFill>
      </fill>
    </dxf>
    <dxf>
      <font>
        <color auto="1"/>
      </font>
      <fill>
        <patternFill>
          <bgColor theme="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4" tint="0.59996337778862885"/>
        </patternFill>
      </fill>
    </dxf>
    <dxf>
      <fill>
        <patternFill>
          <bgColor theme="4" tint="0.59996337778862885"/>
        </patternFill>
      </fill>
    </dxf>
    <dxf>
      <font>
        <color rgb="FFFF0000"/>
      </font>
      <fill>
        <patternFill>
          <bgColor theme="2"/>
        </patternFill>
      </fill>
    </dxf>
    <dxf>
      <fill>
        <patternFill>
          <bgColor theme="4" tint="0.59996337778862885"/>
        </patternFill>
      </fill>
    </dxf>
    <dxf>
      <fill>
        <patternFill>
          <bgColor theme="4" tint="0.59996337778862885"/>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ill>
        <patternFill>
          <bgColor theme="4" tint="0.59996337778862885"/>
        </patternFill>
      </fill>
    </dxf>
    <dxf>
      <font>
        <b val="0"/>
        <i val="0"/>
      </font>
      <fill>
        <patternFill>
          <bgColor theme="9" tint="0.79998168889431442"/>
        </patternFill>
      </fill>
    </dxf>
    <dxf>
      <fill>
        <patternFill>
          <bgColor theme="4" tint="0.59996337778862885"/>
        </patternFill>
      </fill>
    </dxf>
    <dxf>
      <font>
        <color auto="1"/>
      </font>
      <fill>
        <patternFill>
          <bgColor theme="1"/>
        </patternFill>
      </fill>
    </dxf>
    <dxf>
      <font>
        <color auto="1"/>
      </font>
      <fill>
        <patternFill>
          <bgColor theme="1"/>
        </patternFill>
      </fill>
    </dxf>
    <dxf>
      <fill>
        <patternFill>
          <bgColor theme="4" tint="0.39994506668294322"/>
        </patternFill>
      </fill>
    </dxf>
    <dxf>
      <font>
        <color auto="1"/>
      </font>
      <fill>
        <patternFill>
          <bgColor theme="1"/>
        </patternFill>
      </fill>
    </dxf>
    <dxf>
      <font>
        <color auto="1"/>
      </font>
      <fill>
        <patternFill>
          <bgColor theme="1"/>
        </patternFill>
      </fill>
    </dxf>
    <dxf>
      <font>
        <color rgb="FFFF0000"/>
      </font>
      <fill>
        <patternFill>
          <bgColor theme="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4" tint="0.39994506668294322"/>
        </patternFill>
      </fill>
    </dxf>
    <dxf>
      <font>
        <color rgb="FFFF0000"/>
      </font>
      <fill>
        <patternFill>
          <bgColor theme="1"/>
        </patternFill>
      </fill>
    </dxf>
    <dxf>
      <font>
        <color rgb="FFFF0000"/>
      </font>
      <fill>
        <patternFill>
          <bgColor theme="1"/>
        </patternFill>
      </fill>
    </dxf>
    <dxf>
      <fill>
        <patternFill>
          <bgColor theme="9" tint="0.79998168889431442"/>
        </patternFill>
      </fill>
    </dxf>
    <dxf>
      <fill>
        <patternFill>
          <bgColor theme="4" tint="0.59996337778862885"/>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1"/>
        </patternFill>
      </fill>
    </dxf>
    <dxf>
      <fill>
        <patternFill>
          <bgColor theme="4" tint="0.59996337778862885"/>
        </patternFill>
      </fill>
    </dxf>
    <dxf>
      <font>
        <b val="0"/>
        <i val="0"/>
      </font>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ont>
        <color auto="1"/>
      </font>
      <fill>
        <patternFill>
          <bgColor theme="1"/>
        </patternFill>
      </fill>
    </dxf>
    <dxf>
      <fill>
        <patternFill>
          <bgColor theme="4" tint="0.39994506668294322"/>
        </patternFill>
      </fill>
    </dxf>
    <dxf>
      <font>
        <color auto="1"/>
      </font>
      <fill>
        <patternFill>
          <bgColor theme="1"/>
        </patternFill>
      </fill>
    </dxf>
    <dxf>
      <fill>
        <patternFill>
          <bgColor theme="4" tint="0.39994506668294322"/>
        </patternFill>
      </fill>
    </dxf>
    <dxf>
      <font>
        <color auto="1"/>
      </font>
      <fill>
        <patternFill>
          <bgColor theme="1"/>
        </patternFill>
      </fill>
    </dxf>
    <dxf>
      <font>
        <color auto="1"/>
      </font>
      <fill>
        <patternFill>
          <bgColor theme="1"/>
        </patternFill>
      </fill>
    </dxf>
    <dxf>
      <font>
        <color rgb="FFFF0000"/>
      </font>
      <fill>
        <patternFill>
          <bgColor theme="2"/>
        </patternFill>
      </fill>
    </dxf>
    <dxf>
      <fill>
        <patternFill>
          <bgColor theme="9" tint="0.79998168889431442"/>
        </patternFill>
      </fill>
    </dxf>
    <dxf>
      <font>
        <color rgb="FFFF0000"/>
      </font>
      <fill>
        <patternFill>
          <bgColor theme="1"/>
        </patternFill>
      </fill>
    </dxf>
    <dxf>
      <fill>
        <patternFill>
          <bgColor theme="4" tint="0.59996337778862885"/>
        </patternFill>
      </fill>
    </dxf>
    <dxf>
      <fill>
        <patternFill>
          <bgColor theme="4" tint="0.59996337778862885"/>
        </patternFill>
      </fill>
    </dxf>
    <dxf>
      <font>
        <color rgb="FFFF0000"/>
      </font>
      <fill>
        <patternFill>
          <bgColor theme="1"/>
        </patternFill>
      </fill>
    </dxf>
    <dxf>
      <font>
        <color rgb="FFFF0000"/>
      </font>
      <fill>
        <patternFill>
          <bgColor theme="1"/>
        </patternFill>
      </fill>
    </dxf>
    <dxf>
      <fill>
        <patternFill>
          <bgColor theme="9" tint="0.79998168889431442"/>
        </patternFill>
      </fill>
    </dxf>
    <dxf>
      <font>
        <color rgb="FFFF0000"/>
      </font>
      <fill>
        <patternFill>
          <bgColor theme="1"/>
        </patternFill>
      </fill>
    </dxf>
    <dxf>
      <font>
        <color rgb="FFFF0000"/>
      </font>
      <fill>
        <patternFill>
          <bgColor theme="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ont>
        <color rgb="FFFF0000"/>
      </font>
      <fill>
        <patternFill>
          <bgColor theme="1"/>
        </patternFill>
      </fill>
    </dxf>
    <dxf>
      <font>
        <color rgb="FFFF0000"/>
      </font>
      <fill>
        <patternFill>
          <bgColor theme="1"/>
        </patternFill>
      </fill>
    </dxf>
    <dxf>
      <fill>
        <patternFill>
          <bgColor theme="4" tint="0.59996337778862885"/>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1"/>
        </patternFill>
      </fill>
    </dxf>
    <dxf>
      <fill>
        <patternFill>
          <bgColor theme="1"/>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1"/>
        </patternFill>
      </fill>
    </dxf>
    <dxf>
      <fill>
        <patternFill>
          <bgColor theme="9" tint="0.79998168889431442"/>
        </patternFill>
      </fill>
    </dxf>
    <dxf>
      <fill>
        <patternFill>
          <bgColor theme="1"/>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ont>
        <color auto="1"/>
      </font>
      <fill>
        <patternFill>
          <bgColor theme="1"/>
        </patternFill>
      </fill>
    </dxf>
    <dxf>
      <fill>
        <patternFill>
          <bgColor theme="9" tint="0.79998168889431442"/>
        </patternFill>
      </fill>
    </dxf>
    <dxf>
      <font>
        <color auto="1"/>
      </font>
      <fill>
        <patternFill>
          <bgColor theme="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4" tint="0.59996337778862885"/>
        </patternFill>
      </fill>
    </dxf>
    <dxf>
      <fill>
        <patternFill>
          <bgColor theme="4" tint="0.59996337778862885"/>
        </patternFill>
      </fill>
    </dxf>
    <dxf>
      <font>
        <color rgb="FFFF0000"/>
      </font>
      <fill>
        <patternFill>
          <bgColor theme="2"/>
        </patternFill>
      </fill>
    </dxf>
    <dxf>
      <fill>
        <patternFill>
          <bgColor theme="4" tint="0.59996337778862885"/>
        </patternFill>
      </fill>
    </dxf>
    <dxf>
      <fill>
        <patternFill>
          <bgColor theme="4" tint="0.59996337778862885"/>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ill>
        <patternFill>
          <bgColor theme="4" tint="0.59996337778862885"/>
        </patternFill>
      </fill>
    </dxf>
    <dxf>
      <font>
        <b val="0"/>
        <i val="0"/>
      </font>
      <fill>
        <patternFill>
          <bgColor theme="9" tint="0.79998168889431442"/>
        </patternFill>
      </fill>
    </dxf>
    <dxf>
      <fill>
        <patternFill>
          <bgColor theme="4" tint="0.59996337778862885"/>
        </patternFill>
      </fill>
    </dxf>
    <dxf>
      <font>
        <color auto="1"/>
      </font>
      <fill>
        <patternFill>
          <bgColor theme="1"/>
        </patternFill>
      </fill>
    </dxf>
    <dxf>
      <font>
        <color auto="1"/>
      </font>
      <fill>
        <patternFill>
          <bgColor theme="1"/>
        </patternFill>
      </fill>
    </dxf>
    <dxf>
      <fill>
        <patternFill>
          <bgColor theme="4" tint="0.39994506668294322"/>
        </patternFill>
      </fill>
    </dxf>
    <dxf>
      <font>
        <color auto="1"/>
      </font>
      <fill>
        <patternFill>
          <bgColor theme="1"/>
        </patternFill>
      </fill>
    </dxf>
    <dxf>
      <font>
        <color auto="1"/>
      </font>
      <fill>
        <patternFill>
          <bgColor theme="1"/>
        </patternFill>
      </fill>
    </dxf>
    <dxf>
      <font>
        <color rgb="FFFF0000"/>
      </font>
      <fill>
        <patternFill>
          <bgColor theme="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4" tint="0.39994506668294322"/>
        </patternFill>
      </fill>
    </dxf>
    <dxf>
      <font>
        <color rgb="FFFF0000"/>
      </font>
      <fill>
        <patternFill>
          <bgColor theme="1"/>
        </patternFill>
      </fill>
    </dxf>
    <dxf>
      <font>
        <color rgb="FFFF0000"/>
      </font>
      <fill>
        <patternFill>
          <bgColor theme="1"/>
        </patternFill>
      </fill>
    </dxf>
    <dxf>
      <fill>
        <patternFill>
          <bgColor theme="9" tint="0.79998168889431442"/>
        </patternFill>
      </fill>
    </dxf>
    <dxf>
      <fill>
        <patternFill>
          <bgColor theme="4" tint="0.59996337778862885"/>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1"/>
        </patternFill>
      </fill>
    </dxf>
    <dxf>
      <fill>
        <patternFill>
          <bgColor theme="4" tint="0.59996337778862885"/>
        </patternFill>
      </fill>
    </dxf>
    <dxf>
      <font>
        <b val="0"/>
        <i val="0"/>
      </font>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ont>
        <color auto="1"/>
      </font>
      <fill>
        <patternFill>
          <bgColor theme="1"/>
        </patternFill>
      </fill>
    </dxf>
    <dxf>
      <fill>
        <patternFill>
          <bgColor theme="4" tint="0.39994506668294322"/>
        </patternFill>
      </fill>
    </dxf>
    <dxf>
      <font>
        <color auto="1"/>
      </font>
      <fill>
        <patternFill>
          <bgColor theme="1"/>
        </patternFill>
      </fill>
    </dxf>
    <dxf>
      <fill>
        <patternFill>
          <bgColor theme="4" tint="0.39994506668294322"/>
        </patternFill>
      </fill>
    </dxf>
    <dxf>
      <font>
        <color auto="1"/>
      </font>
      <fill>
        <patternFill>
          <bgColor theme="1"/>
        </patternFill>
      </fill>
    </dxf>
    <dxf>
      <font>
        <color auto="1"/>
      </font>
      <fill>
        <patternFill>
          <bgColor theme="1"/>
        </patternFill>
      </fill>
    </dxf>
    <dxf>
      <font>
        <color rgb="FFFF0000"/>
      </font>
      <fill>
        <patternFill>
          <bgColor theme="2"/>
        </patternFill>
      </fill>
    </dxf>
    <dxf>
      <fill>
        <patternFill>
          <bgColor theme="9" tint="0.79998168889431442"/>
        </patternFill>
      </fill>
    </dxf>
    <dxf>
      <font>
        <color rgb="FFFF0000"/>
      </font>
      <fill>
        <patternFill>
          <bgColor theme="1"/>
        </patternFill>
      </fill>
    </dxf>
    <dxf>
      <fill>
        <patternFill>
          <bgColor theme="4" tint="0.59996337778862885"/>
        </patternFill>
      </fill>
    </dxf>
    <dxf>
      <fill>
        <patternFill>
          <bgColor theme="4" tint="0.59996337778862885"/>
        </patternFill>
      </fill>
    </dxf>
    <dxf>
      <font>
        <color rgb="FFFF0000"/>
      </font>
      <fill>
        <patternFill>
          <bgColor theme="1"/>
        </patternFill>
      </fill>
    </dxf>
    <dxf>
      <font>
        <color rgb="FFFF0000"/>
      </font>
      <fill>
        <patternFill>
          <bgColor theme="1"/>
        </patternFill>
      </fill>
    </dxf>
    <dxf>
      <fill>
        <patternFill>
          <bgColor theme="9" tint="0.79998168889431442"/>
        </patternFill>
      </fill>
    </dxf>
    <dxf>
      <font>
        <color rgb="FFFF0000"/>
      </font>
      <fill>
        <patternFill>
          <bgColor theme="1"/>
        </patternFill>
      </fill>
    </dxf>
    <dxf>
      <font>
        <color rgb="FFFF0000"/>
      </font>
      <fill>
        <patternFill>
          <bgColor theme="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ont>
        <color rgb="FFFF0000"/>
      </font>
      <fill>
        <patternFill>
          <bgColor theme="1"/>
        </patternFill>
      </fill>
    </dxf>
    <dxf>
      <font>
        <color rgb="FFFF0000"/>
      </font>
      <fill>
        <patternFill>
          <bgColor theme="1"/>
        </patternFill>
      </fill>
    </dxf>
    <dxf>
      <fill>
        <patternFill>
          <bgColor theme="4" tint="0.59996337778862885"/>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1"/>
        </patternFill>
      </fill>
    </dxf>
    <dxf>
      <fill>
        <patternFill>
          <bgColor theme="1"/>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1"/>
        </patternFill>
      </fill>
    </dxf>
    <dxf>
      <fill>
        <patternFill>
          <bgColor theme="9" tint="0.79998168889431442"/>
        </patternFill>
      </fill>
    </dxf>
    <dxf>
      <fill>
        <patternFill>
          <bgColor theme="1"/>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ont>
        <color auto="1"/>
      </font>
      <fill>
        <patternFill>
          <bgColor theme="1"/>
        </patternFill>
      </fill>
    </dxf>
    <dxf>
      <fill>
        <patternFill>
          <bgColor theme="9" tint="0.79998168889431442"/>
        </patternFill>
      </fill>
    </dxf>
    <dxf>
      <font>
        <color auto="1"/>
      </font>
      <fill>
        <patternFill>
          <bgColor theme="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4" tint="0.59996337778862885"/>
        </patternFill>
      </fill>
    </dxf>
    <dxf>
      <fill>
        <patternFill>
          <bgColor theme="4" tint="0.59996337778862885"/>
        </patternFill>
      </fill>
    </dxf>
    <dxf>
      <font>
        <color rgb="FFFF0000"/>
      </font>
      <fill>
        <patternFill>
          <bgColor theme="2"/>
        </patternFill>
      </fill>
    </dxf>
    <dxf>
      <fill>
        <patternFill>
          <bgColor theme="4" tint="0.59996337778862885"/>
        </patternFill>
      </fill>
    </dxf>
    <dxf>
      <fill>
        <patternFill>
          <bgColor theme="4" tint="0.59996337778862885"/>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ill>
        <patternFill>
          <bgColor theme="4" tint="0.59996337778862885"/>
        </patternFill>
      </fill>
    </dxf>
    <dxf>
      <font>
        <b val="0"/>
        <i val="0"/>
      </font>
      <fill>
        <patternFill>
          <bgColor theme="9" tint="0.79998168889431442"/>
        </patternFill>
      </fill>
    </dxf>
    <dxf>
      <fill>
        <patternFill>
          <bgColor theme="4" tint="0.59996337778862885"/>
        </patternFill>
      </fill>
    </dxf>
    <dxf>
      <font>
        <color auto="1"/>
      </font>
      <fill>
        <patternFill>
          <bgColor theme="1"/>
        </patternFill>
      </fill>
    </dxf>
    <dxf>
      <font>
        <color auto="1"/>
      </font>
      <fill>
        <patternFill>
          <bgColor theme="1"/>
        </patternFill>
      </fill>
    </dxf>
    <dxf>
      <fill>
        <patternFill>
          <bgColor theme="4" tint="0.39994506668294322"/>
        </patternFill>
      </fill>
    </dxf>
    <dxf>
      <font>
        <color auto="1"/>
      </font>
      <fill>
        <patternFill>
          <bgColor theme="1"/>
        </patternFill>
      </fill>
    </dxf>
    <dxf>
      <font>
        <color auto="1"/>
      </font>
      <fill>
        <patternFill>
          <bgColor theme="1"/>
        </patternFill>
      </fill>
    </dxf>
    <dxf>
      <font>
        <color rgb="FFFF0000"/>
      </font>
      <fill>
        <patternFill>
          <bgColor theme="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4" tint="0.39994506668294322"/>
        </patternFill>
      </fill>
    </dxf>
    <dxf>
      <font>
        <color rgb="FFFF0000"/>
      </font>
      <fill>
        <patternFill>
          <bgColor theme="1"/>
        </patternFill>
      </fill>
    </dxf>
    <dxf>
      <font>
        <color rgb="FFFF0000"/>
      </font>
      <fill>
        <patternFill>
          <bgColor theme="1"/>
        </patternFill>
      </fill>
    </dxf>
    <dxf>
      <fill>
        <patternFill>
          <bgColor theme="9" tint="0.79998168889431442"/>
        </patternFill>
      </fill>
    </dxf>
    <dxf>
      <fill>
        <patternFill>
          <bgColor theme="4" tint="0.59996337778862885"/>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1"/>
        </patternFill>
      </fill>
    </dxf>
    <dxf>
      <fill>
        <patternFill>
          <bgColor theme="4" tint="0.59996337778862885"/>
        </patternFill>
      </fill>
    </dxf>
    <dxf>
      <font>
        <b val="0"/>
        <i val="0"/>
      </font>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ont>
        <color auto="1"/>
      </font>
      <fill>
        <patternFill>
          <bgColor theme="1"/>
        </patternFill>
      </fill>
    </dxf>
    <dxf>
      <fill>
        <patternFill>
          <bgColor theme="4" tint="0.39994506668294322"/>
        </patternFill>
      </fill>
    </dxf>
    <dxf>
      <font>
        <color auto="1"/>
      </font>
      <fill>
        <patternFill>
          <bgColor theme="1"/>
        </patternFill>
      </fill>
    </dxf>
    <dxf>
      <fill>
        <patternFill>
          <bgColor theme="4" tint="0.39994506668294322"/>
        </patternFill>
      </fill>
    </dxf>
    <dxf>
      <font>
        <color auto="1"/>
      </font>
      <fill>
        <patternFill>
          <bgColor theme="1"/>
        </patternFill>
      </fill>
    </dxf>
    <dxf>
      <font>
        <color auto="1"/>
      </font>
      <fill>
        <patternFill>
          <bgColor theme="1"/>
        </patternFill>
      </fill>
    </dxf>
    <dxf>
      <font>
        <color rgb="FFFF0000"/>
      </font>
      <fill>
        <patternFill>
          <bgColor theme="2"/>
        </patternFill>
      </fill>
    </dxf>
    <dxf>
      <fill>
        <patternFill>
          <bgColor theme="9" tint="0.79998168889431442"/>
        </patternFill>
      </fill>
    </dxf>
    <dxf>
      <font>
        <color rgb="FFFF0000"/>
      </font>
      <fill>
        <patternFill>
          <bgColor theme="1"/>
        </patternFill>
      </fill>
    </dxf>
    <dxf>
      <fill>
        <patternFill>
          <bgColor theme="4" tint="0.59996337778862885"/>
        </patternFill>
      </fill>
    </dxf>
    <dxf>
      <fill>
        <patternFill>
          <bgColor theme="4" tint="0.59996337778862885"/>
        </patternFill>
      </fill>
    </dxf>
    <dxf>
      <font>
        <color rgb="FFFF0000"/>
      </font>
      <fill>
        <patternFill>
          <bgColor theme="1"/>
        </patternFill>
      </fill>
    </dxf>
    <dxf>
      <font>
        <color rgb="FFFF0000"/>
      </font>
      <fill>
        <patternFill>
          <bgColor theme="1"/>
        </patternFill>
      </fill>
    </dxf>
    <dxf>
      <fill>
        <patternFill>
          <bgColor theme="9" tint="0.79998168889431442"/>
        </patternFill>
      </fill>
    </dxf>
    <dxf>
      <font>
        <color rgb="FFFF0000"/>
      </font>
      <fill>
        <patternFill>
          <bgColor theme="1"/>
        </patternFill>
      </fill>
    </dxf>
    <dxf>
      <font>
        <color rgb="FFFF0000"/>
      </font>
      <fill>
        <patternFill>
          <bgColor theme="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ont>
        <color rgb="FFFF0000"/>
      </font>
      <fill>
        <patternFill>
          <bgColor theme="1"/>
        </patternFill>
      </fill>
    </dxf>
    <dxf>
      <font>
        <color rgb="FFFF0000"/>
      </font>
      <fill>
        <patternFill>
          <bgColor theme="1"/>
        </patternFill>
      </fill>
    </dxf>
    <dxf>
      <fill>
        <patternFill>
          <bgColor theme="4" tint="0.59996337778862885"/>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1"/>
        </patternFill>
      </fill>
    </dxf>
    <dxf>
      <fill>
        <patternFill>
          <bgColor theme="1"/>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ill>
        <patternFill>
          <bgColor theme="1"/>
        </patternFill>
      </fill>
    </dxf>
    <dxf>
      <fill>
        <patternFill>
          <bgColor theme="9" tint="0.79998168889431442"/>
        </patternFill>
      </fill>
    </dxf>
    <dxf>
      <fill>
        <patternFill>
          <bgColor theme="1"/>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4" tint="0.59996337778862885"/>
        </patternFill>
      </fill>
    </dxf>
    <dxf>
      <fill>
        <patternFill>
          <bgColor theme="9" tint="0.79998168889431442"/>
        </patternFill>
      </fill>
    </dxf>
    <dxf>
      <fill>
        <patternFill>
          <bgColor theme="9" tint="0.79998168889431442"/>
        </patternFill>
      </fill>
    </dxf>
    <dxf>
      <font>
        <color auto="1"/>
      </font>
      <fill>
        <patternFill>
          <bgColor theme="1"/>
        </patternFill>
      </fill>
    </dxf>
    <dxf>
      <fill>
        <patternFill>
          <bgColor theme="9" tint="0.79998168889431442"/>
        </patternFill>
      </fill>
    </dxf>
    <dxf>
      <font>
        <color auto="1"/>
      </font>
      <fill>
        <patternFill>
          <bgColor theme="1"/>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4" tint="0.59996337778862885"/>
        </patternFill>
      </fill>
    </dxf>
    <dxf>
      <fill>
        <patternFill>
          <bgColor theme="4" tint="0.59996337778862885"/>
        </patternFill>
      </fill>
    </dxf>
    <dxf>
      <fill>
        <patternFill>
          <bgColor theme="4" tint="0.59996337778862885"/>
        </patternFill>
      </fill>
    </dxf>
    <dxf>
      <font>
        <color rgb="FFFF0000"/>
      </font>
      <fill>
        <patternFill>
          <bgColor theme="2"/>
        </patternFill>
      </fill>
    </dxf>
    <dxf>
      <fill>
        <patternFill>
          <bgColor theme="4" tint="0.59996337778862885"/>
        </patternFill>
      </fill>
    </dxf>
    <dxf>
      <fill>
        <patternFill>
          <bgColor theme="4" tint="0.59996337778862885"/>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ont>
        <color rgb="FFFF0000"/>
      </font>
      <fill>
        <patternFill>
          <bgColor theme="1"/>
        </patternFill>
      </fill>
    </dxf>
    <dxf>
      <fill>
        <patternFill>
          <bgColor theme="9" tint="0.79998168889431442"/>
        </patternFill>
      </fill>
    </dxf>
    <dxf>
      <font>
        <color rgb="FFFF0000"/>
      </font>
      <fill>
        <patternFill>
          <bgColor theme="1"/>
        </patternFill>
      </fill>
    </dxf>
    <dxf>
      <fill>
        <patternFill>
          <bgColor theme="9" tint="0.79998168889431442"/>
        </patternFill>
      </fill>
    </dxf>
  </dxfs>
  <tableStyles count="0" defaultTableStyle="TableStyleMedium2" defaultPivotStyle="PivotStyleLight16"/>
  <colors>
    <mruColors>
      <color rgb="FFC80000"/>
      <color rgb="FFB35311"/>
      <color rgb="FF823C0C"/>
      <color rgb="FFBF5711"/>
      <color rgb="FFFA7D00"/>
      <color rgb="FF0563C1"/>
      <color rgb="FF27AAE1"/>
      <color rgb="FF9999FF"/>
      <color rgb="FF99FF66"/>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5.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2076450</xdr:colOff>
      <xdr:row>0</xdr:row>
      <xdr:rowOff>152400</xdr:rowOff>
    </xdr:from>
    <xdr:to>
      <xdr:col>1</xdr:col>
      <xdr:colOff>6000750</xdr:colOff>
      <xdr:row>6</xdr:row>
      <xdr:rowOff>53587</xdr:rowOff>
    </xdr:to>
    <xdr:pic>
      <xdr:nvPicPr>
        <xdr:cNvPr id="4" name="Picture 3"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2350940B-2B01-48CE-8D54-21235297E487}"/>
            </a:ext>
          </a:extLst>
        </xdr:cNvPr>
        <xdr:cNvPicPr>
          <a:picLocks noChangeAspect="1"/>
        </xdr:cNvPicPr>
      </xdr:nvPicPr>
      <xdr:blipFill rotWithShape="1">
        <a:blip xmlns:r="http://schemas.openxmlformats.org/officeDocument/2006/relationships" r:embed="rId1"/>
        <a:srcRect l="29485" r="29750"/>
        <a:stretch>
          <a:fillRect/>
        </a:stretch>
      </xdr:blipFill>
      <xdr:spPr>
        <a:xfrm>
          <a:off x="2279650" y="152400"/>
          <a:ext cx="3924300" cy="1393437"/>
        </a:xfrm>
        <a:prstGeom prst="rect">
          <a:avLst/>
        </a:prstGeom>
      </xdr:spPr>
    </xdr:pic>
    <xdr:clientData/>
  </xdr:twoCellAnchor>
  <xdr:twoCellAnchor editAs="oneCell">
    <xdr:from>
      <xdr:col>1</xdr:col>
      <xdr:colOff>152400</xdr:colOff>
      <xdr:row>0</xdr:row>
      <xdr:rowOff>44450</xdr:rowOff>
    </xdr:from>
    <xdr:to>
      <xdr:col>1</xdr:col>
      <xdr:colOff>1771196</xdr:colOff>
      <xdr:row>6</xdr:row>
      <xdr:rowOff>170996</xdr:rowOff>
    </xdr:to>
    <xdr:pic>
      <xdr:nvPicPr>
        <xdr:cNvPr id="3" name="Picture 2">
          <a:extLst>
            <a:ext uri="{FF2B5EF4-FFF2-40B4-BE49-F238E27FC236}">
              <a16:creationId xmlns:a16="http://schemas.microsoft.com/office/drawing/2014/main" id="{8E977C1F-B182-1251-2DE5-C58E3A3B79D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600" y="44450"/>
          <a:ext cx="1618796" cy="16187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2530022</xdr:colOff>
      <xdr:row>0</xdr:row>
      <xdr:rowOff>107950</xdr:rowOff>
    </xdr:from>
    <xdr:to>
      <xdr:col>2</xdr:col>
      <xdr:colOff>1809750</xdr:colOff>
      <xdr:row>5</xdr:row>
      <xdr:rowOff>231387</xdr:rowOff>
    </xdr:to>
    <xdr:pic>
      <xdr:nvPicPr>
        <xdr:cNvPr id="3" name="Picture 2"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6F00AC92-BB5D-4B8A-9BDC-7EBFDA19C399}"/>
            </a:ext>
          </a:extLst>
        </xdr:cNvPr>
        <xdr:cNvPicPr>
          <a:picLocks noChangeAspect="1"/>
        </xdr:cNvPicPr>
      </xdr:nvPicPr>
      <xdr:blipFill rotWithShape="1">
        <a:blip xmlns:r="http://schemas.openxmlformats.org/officeDocument/2006/relationships" r:embed="rId1"/>
        <a:srcRect l="29485" r="29750"/>
        <a:stretch>
          <a:fillRect/>
        </a:stretch>
      </xdr:blipFill>
      <xdr:spPr>
        <a:xfrm>
          <a:off x="2733222" y="107950"/>
          <a:ext cx="3921578" cy="1393437"/>
        </a:xfrm>
        <a:prstGeom prst="rect">
          <a:avLst/>
        </a:prstGeom>
      </xdr:spPr>
    </xdr:pic>
    <xdr:clientData/>
  </xdr:twoCellAnchor>
  <xdr:twoCellAnchor editAs="oneCell">
    <xdr:from>
      <xdr:col>1</xdr:col>
      <xdr:colOff>605972</xdr:colOff>
      <xdr:row>0</xdr:row>
      <xdr:rowOff>0</xdr:rowOff>
    </xdr:from>
    <xdr:to>
      <xdr:col>1</xdr:col>
      <xdr:colOff>2224768</xdr:colOff>
      <xdr:row>6</xdr:row>
      <xdr:rowOff>94796</xdr:rowOff>
    </xdr:to>
    <xdr:pic>
      <xdr:nvPicPr>
        <xdr:cNvPr id="4" name="Picture 3">
          <a:extLst>
            <a:ext uri="{FF2B5EF4-FFF2-40B4-BE49-F238E27FC236}">
              <a16:creationId xmlns:a16="http://schemas.microsoft.com/office/drawing/2014/main" id="{9D5A3FFC-044D-467D-A7C8-4E4EC08D22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9172" y="0"/>
          <a:ext cx="1618796" cy="16187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514350</xdr:colOff>
      <xdr:row>0</xdr:row>
      <xdr:rowOff>107950</xdr:rowOff>
    </xdr:from>
    <xdr:to>
      <xdr:col>2</xdr:col>
      <xdr:colOff>4438650</xdr:colOff>
      <xdr:row>6</xdr:row>
      <xdr:rowOff>180587</xdr:rowOff>
    </xdr:to>
    <xdr:pic>
      <xdr:nvPicPr>
        <xdr:cNvPr id="3" name="Picture 2"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EBACDC0D-87BE-41AB-BFE8-F52A4A02BF27}"/>
            </a:ext>
          </a:extLst>
        </xdr:cNvPr>
        <xdr:cNvPicPr>
          <a:picLocks noChangeAspect="1"/>
        </xdr:cNvPicPr>
      </xdr:nvPicPr>
      <xdr:blipFill rotWithShape="1">
        <a:blip xmlns:r="http://schemas.openxmlformats.org/officeDocument/2006/relationships" r:embed="rId1"/>
        <a:srcRect l="29485" r="29750"/>
        <a:stretch>
          <a:fillRect/>
        </a:stretch>
      </xdr:blipFill>
      <xdr:spPr>
        <a:xfrm>
          <a:off x="2857500" y="107950"/>
          <a:ext cx="3924300" cy="1393437"/>
        </a:xfrm>
        <a:prstGeom prst="rect">
          <a:avLst/>
        </a:prstGeom>
      </xdr:spPr>
    </xdr:pic>
    <xdr:clientData/>
  </xdr:twoCellAnchor>
  <xdr:twoCellAnchor editAs="oneCell">
    <xdr:from>
      <xdr:col>1</xdr:col>
      <xdr:colOff>622300</xdr:colOff>
      <xdr:row>0</xdr:row>
      <xdr:rowOff>0</xdr:rowOff>
    </xdr:from>
    <xdr:to>
      <xdr:col>2</xdr:col>
      <xdr:colOff>209096</xdr:colOff>
      <xdr:row>7</xdr:row>
      <xdr:rowOff>107496</xdr:rowOff>
    </xdr:to>
    <xdr:pic>
      <xdr:nvPicPr>
        <xdr:cNvPr id="4" name="Picture 3">
          <a:extLst>
            <a:ext uri="{FF2B5EF4-FFF2-40B4-BE49-F238E27FC236}">
              <a16:creationId xmlns:a16="http://schemas.microsoft.com/office/drawing/2014/main" id="{B2190D36-664A-4687-8921-20168B86BBB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3450" y="0"/>
          <a:ext cx="1618796" cy="16187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2768600</xdr:colOff>
      <xdr:row>0</xdr:row>
      <xdr:rowOff>107950</xdr:rowOff>
    </xdr:from>
    <xdr:to>
      <xdr:col>2</xdr:col>
      <xdr:colOff>2260600</xdr:colOff>
      <xdr:row>6</xdr:row>
      <xdr:rowOff>180587</xdr:rowOff>
    </xdr:to>
    <xdr:pic>
      <xdr:nvPicPr>
        <xdr:cNvPr id="3" name="Picture 2"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0987C858-6745-4476-A7B8-28E5949FE5A9}"/>
            </a:ext>
          </a:extLst>
        </xdr:cNvPr>
        <xdr:cNvPicPr>
          <a:picLocks noChangeAspect="1"/>
        </xdr:cNvPicPr>
      </xdr:nvPicPr>
      <xdr:blipFill rotWithShape="1">
        <a:blip xmlns:r="http://schemas.openxmlformats.org/officeDocument/2006/relationships" r:embed="rId1"/>
        <a:srcRect l="29485" r="29750"/>
        <a:stretch>
          <a:fillRect/>
        </a:stretch>
      </xdr:blipFill>
      <xdr:spPr>
        <a:xfrm>
          <a:off x="3079750" y="107950"/>
          <a:ext cx="3924300" cy="1393437"/>
        </a:xfrm>
        <a:prstGeom prst="rect">
          <a:avLst/>
        </a:prstGeom>
      </xdr:spPr>
    </xdr:pic>
    <xdr:clientData/>
  </xdr:twoCellAnchor>
  <xdr:twoCellAnchor editAs="oneCell">
    <xdr:from>
      <xdr:col>1</xdr:col>
      <xdr:colOff>844550</xdr:colOff>
      <xdr:row>0</xdr:row>
      <xdr:rowOff>0</xdr:rowOff>
    </xdr:from>
    <xdr:to>
      <xdr:col>1</xdr:col>
      <xdr:colOff>2463346</xdr:colOff>
      <xdr:row>7</xdr:row>
      <xdr:rowOff>107496</xdr:rowOff>
    </xdr:to>
    <xdr:pic>
      <xdr:nvPicPr>
        <xdr:cNvPr id="4" name="Picture 3">
          <a:extLst>
            <a:ext uri="{FF2B5EF4-FFF2-40B4-BE49-F238E27FC236}">
              <a16:creationId xmlns:a16="http://schemas.microsoft.com/office/drawing/2014/main" id="{7CED2152-FF21-4F03-998B-D957DD8F5F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5700" y="0"/>
          <a:ext cx="1618796" cy="16187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2552700</xdr:colOff>
      <xdr:row>0</xdr:row>
      <xdr:rowOff>107950</xdr:rowOff>
    </xdr:from>
    <xdr:to>
      <xdr:col>4</xdr:col>
      <xdr:colOff>742950</xdr:colOff>
      <xdr:row>6</xdr:row>
      <xdr:rowOff>180587</xdr:rowOff>
    </xdr:to>
    <xdr:pic>
      <xdr:nvPicPr>
        <xdr:cNvPr id="3" name="Picture 2"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82A4100F-F960-4BC7-AE71-50308932D038}"/>
            </a:ext>
          </a:extLst>
        </xdr:cNvPr>
        <xdr:cNvPicPr>
          <a:picLocks noChangeAspect="1"/>
        </xdr:cNvPicPr>
      </xdr:nvPicPr>
      <xdr:blipFill rotWithShape="1">
        <a:blip xmlns:r="http://schemas.openxmlformats.org/officeDocument/2006/relationships" r:embed="rId1"/>
        <a:srcRect l="29485" r="29750"/>
        <a:stretch>
          <a:fillRect/>
        </a:stretch>
      </xdr:blipFill>
      <xdr:spPr>
        <a:xfrm>
          <a:off x="2863850" y="107950"/>
          <a:ext cx="3924300" cy="1393437"/>
        </a:xfrm>
        <a:prstGeom prst="rect">
          <a:avLst/>
        </a:prstGeom>
      </xdr:spPr>
    </xdr:pic>
    <xdr:clientData/>
  </xdr:twoCellAnchor>
  <xdr:twoCellAnchor editAs="oneCell">
    <xdr:from>
      <xdr:col>1</xdr:col>
      <xdr:colOff>628650</xdr:colOff>
      <xdr:row>0</xdr:row>
      <xdr:rowOff>0</xdr:rowOff>
    </xdr:from>
    <xdr:to>
      <xdr:col>1</xdr:col>
      <xdr:colOff>2247446</xdr:colOff>
      <xdr:row>7</xdr:row>
      <xdr:rowOff>63046</xdr:rowOff>
    </xdr:to>
    <xdr:pic>
      <xdr:nvPicPr>
        <xdr:cNvPr id="4" name="Picture 3">
          <a:extLst>
            <a:ext uri="{FF2B5EF4-FFF2-40B4-BE49-F238E27FC236}">
              <a16:creationId xmlns:a16="http://schemas.microsoft.com/office/drawing/2014/main" id="{E37BEA9A-B83A-477A-AB29-5E1FBD6A241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39800" y="0"/>
          <a:ext cx="1618796" cy="16187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2330450</xdr:colOff>
      <xdr:row>0</xdr:row>
      <xdr:rowOff>107950</xdr:rowOff>
    </xdr:from>
    <xdr:to>
      <xdr:col>1</xdr:col>
      <xdr:colOff>6254750</xdr:colOff>
      <xdr:row>6</xdr:row>
      <xdr:rowOff>180587</xdr:rowOff>
    </xdr:to>
    <xdr:pic>
      <xdr:nvPicPr>
        <xdr:cNvPr id="3" name="Picture 2"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5D3A0B3B-B03E-4093-ABEC-51E07DA0F3B9}"/>
            </a:ext>
          </a:extLst>
        </xdr:cNvPr>
        <xdr:cNvPicPr>
          <a:picLocks noChangeAspect="1"/>
        </xdr:cNvPicPr>
      </xdr:nvPicPr>
      <xdr:blipFill rotWithShape="1">
        <a:blip xmlns:r="http://schemas.openxmlformats.org/officeDocument/2006/relationships" r:embed="rId1"/>
        <a:srcRect l="29485" r="29750"/>
        <a:stretch>
          <a:fillRect/>
        </a:stretch>
      </xdr:blipFill>
      <xdr:spPr>
        <a:xfrm>
          <a:off x="2641600" y="107950"/>
          <a:ext cx="3924300" cy="1393437"/>
        </a:xfrm>
        <a:prstGeom prst="rect">
          <a:avLst/>
        </a:prstGeom>
      </xdr:spPr>
    </xdr:pic>
    <xdr:clientData/>
  </xdr:twoCellAnchor>
  <xdr:twoCellAnchor editAs="oneCell">
    <xdr:from>
      <xdr:col>1</xdr:col>
      <xdr:colOff>406400</xdr:colOff>
      <xdr:row>0</xdr:row>
      <xdr:rowOff>0</xdr:rowOff>
    </xdr:from>
    <xdr:to>
      <xdr:col>1</xdr:col>
      <xdr:colOff>2025196</xdr:colOff>
      <xdr:row>7</xdr:row>
      <xdr:rowOff>63046</xdr:rowOff>
    </xdr:to>
    <xdr:pic>
      <xdr:nvPicPr>
        <xdr:cNvPr id="4" name="Picture 3">
          <a:extLst>
            <a:ext uri="{FF2B5EF4-FFF2-40B4-BE49-F238E27FC236}">
              <a16:creationId xmlns:a16="http://schemas.microsoft.com/office/drawing/2014/main" id="{0BE17DDF-13EF-4F63-84EE-33BBB923FB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7550" y="0"/>
          <a:ext cx="1618796" cy="161879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139700</xdr:colOff>
      <xdr:row>1</xdr:row>
      <xdr:rowOff>63500</xdr:rowOff>
    </xdr:from>
    <xdr:to>
      <xdr:col>4</xdr:col>
      <xdr:colOff>1625600</xdr:colOff>
      <xdr:row>7</xdr:row>
      <xdr:rowOff>85337</xdr:rowOff>
    </xdr:to>
    <xdr:pic>
      <xdr:nvPicPr>
        <xdr:cNvPr id="3" name="Picture 2"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1CECF4B8-E26D-4587-932F-357B6FECD09C}"/>
            </a:ext>
          </a:extLst>
        </xdr:cNvPr>
        <xdr:cNvPicPr>
          <a:picLocks noChangeAspect="1"/>
        </xdr:cNvPicPr>
      </xdr:nvPicPr>
      <xdr:blipFill rotWithShape="1">
        <a:blip xmlns:r="http://schemas.openxmlformats.org/officeDocument/2006/relationships" r:embed="rId1"/>
        <a:srcRect l="29485" r="29750"/>
        <a:stretch>
          <a:fillRect/>
        </a:stretch>
      </xdr:blipFill>
      <xdr:spPr>
        <a:xfrm>
          <a:off x="2438400" y="323850"/>
          <a:ext cx="3924300" cy="1393437"/>
        </a:xfrm>
        <a:prstGeom prst="rect">
          <a:avLst/>
        </a:prstGeom>
      </xdr:spPr>
    </xdr:pic>
    <xdr:clientData/>
  </xdr:twoCellAnchor>
  <xdr:twoCellAnchor editAs="oneCell">
    <xdr:from>
      <xdr:col>0</xdr:col>
      <xdr:colOff>514350</xdr:colOff>
      <xdr:row>0</xdr:row>
      <xdr:rowOff>215900</xdr:rowOff>
    </xdr:from>
    <xdr:to>
      <xdr:col>1</xdr:col>
      <xdr:colOff>983796</xdr:colOff>
      <xdr:row>8</xdr:row>
      <xdr:rowOff>2721</xdr:rowOff>
    </xdr:to>
    <xdr:pic>
      <xdr:nvPicPr>
        <xdr:cNvPr id="4" name="Picture 3">
          <a:extLst>
            <a:ext uri="{FF2B5EF4-FFF2-40B4-BE49-F238E27FC236}">
              <a16:creationId xmlns:a16="http://schemas.microsoft.com/office/drawing/2014/main" id="{223496C2-1D49-41BA-86BA-43CC6F9CC1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4350" y="215900"/>
          <a:ext cx="1618796" cy="161879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1168400</xdr:colOff>
      <xdr:row>0</xdr:row>
      <xdr:rowOff>107950</xdr:rowOff>
    </xdr:from>
    <xdr:to>
      <xdr:col>4</xdr:col>
      <xdr:colOff>177800</xdr:colOff>
      <xdr:row>6</xdr:row>
      <xdr:rowOff>66287</xdr:rowOff>
    </xdr:to>
    <xdr:pic>
      <xdr:nvPicPr>
        <xdr:cNvPr id="3" name="Picture 2"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6174E89D-B904-4B38-A360-B349F79CF2AD}"/>
            </a:ext>
          </a:extLst>
        </xdr:cNvPr>
        <xdr:cNvPicPr>
          <a:picLocks noChangeAspect="1"/>
        </xdr:cNvPicPr>
      </xdr:nvPicPr>
      <xdr:blipFill rotWithShape="1">
        <a:blip xmlns:r="http://schemas.openxmlformats.org/officeDocument/2006/relationships" r:embed="rId1"/>
        <a:srcRect l="29485" r="29750"/>
        <a:stretch>
          <a:fillRect/>
        </a:stretch>
      </xdr:blipFill>
      <xdr:spPr>
        <a:xfrm>
          <a:off x="2806700" y="107950"/>
          <a:ext cx="3924300" cy="1393437"/>
        </a:xfrm>
        <a:prstGeom prst="rect">
          <a:avLst/>
        </a:prstGeom>
      </xdr:spPr>
    </xdr:pic>
    <xdr:clientData/>
  </xdr:twoCellAnchor>
  <xdr:twoCellAnchor editAs="oneCell">
    <xdr:from>
      <xdr:col>0</xdr:col>
      <xdr:colOff>882650</xdr:colOff>
      <xdr:row>0</xdr:row>
      <xdr:rowOff>0</xdr:rowOff>
    </xdr:from>
    <xdr:to>
      <xdr:col>1</xdr:col>
      <xdr:colOff>863146</xdr:colOff>
      <xdr:row>6</xdr:row>
      <xdr:rowOff>183696</xdr:rowOff>
    </xdr:to>
    <xdr:pic>
      <xdr:nvPicPr>
        <xdr:cNvPr id="4" name="Picture 3">
          <a:extLst>
            <a:ext uri="{FF2B5EF4-FFF2-40B4-BE49-F238E27FC236}">
              <a16:creationId xmlns:a16="http://schemas.microsoft.com/office/drawing/2014/main" id="{85A2A158-07DD-409C-BAFA-49EDEF3507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2650" y="0"/>
          <a:ext cx="1618796" cy="161879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519579</xdr:colOff>
      <xdr:row>0</xdr:row>
      <xdr:rowOff>107950</xdr:rowOff>
    </xdr:from>
    <xdr:to>
      <xdr:col>4</xdr:col>
      <xdr:colOff>932703</xdr:colOff>
      <xdr:row>6</xdr:row>
      <xdr:rowOff>67034</xdr:rowOff>
    </xdr:to>
    <xdr:pic>
      <xdr:nvPicPr>
        <xdr:cNvPr id="3" name="Picture 2"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D78B4212-EB43-4FBF-BFD5-3EE82E76CDDE}"/>
            </a:ext>
          </a:extLst>
        </xdr:cNvPr>
        <xdr:cNvPicPr>
          <a:picLocks noChangeAspect="1"/>
        </xdr:cNvPicPr>
      </xdr:nvPicPr>
      <xdr:blipFill rotWithShape="1">
        <a:blip xmlns:r="http://schemas.openxmlformats.org/officeDocument/2006/relationships" r:embed="rId1"/>
        <a:srcRect l="29485" r="29750"/>
        <a:stretch>
          <a:fillRect/>
        </a:stretch>
      </xdr:blipFill>
      <xdr:spPr>
        <a:xfrm>
          <a:off x="2850403" y="107950"/>
          <a:ext cx="3924300" cy="1393437"/>
        </a:xfrm>
        <a:prstGeom prst="rect">
          <a:avLst/>
        </a:prstGeom>
      </xdr:spPr>
    </xdr:pic>
    <xdr:clientData/>
  </xdr:twoCellAnchor>
  <xdr:twoCellAnchor editAs="oneCell">
    <xdr:from>
      <xdr:col>1</xdr:col>
      <xdr:colOff>724647</xdr:colOff>
      <xdr:row>0</xdr:row>
      <xdr:rowOff>0</xdr:rowOff>
    </xdr:from>
    <xdr:to>
      <xdr:col>2</xdr:col>
      <xdr:colOff>214325</xdr:colOff>
      <xdr:row>6</xdr:row>
      <xdr:rowOff>184443</xdr:rowOff>
    </xdr:to>
    <xdr:pic>
      <xdr:nvPicPr>
        <xdr:cNvPr id="4" name="Picture 3">
          <a:extLst>
            <a:ext uri="{FF2B5EF4-FFF2-40B4-BE49-F238E27FC236}">
              <a16:creationId xmlns:a16="http://schemas.microsoft.com/office/drawing/2014/main" id="{6416EE00-2C0F-4E2C-99BF-0E4C9B5413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6353" y="0"/>
          <a:ext cx="1618796" cy="161879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939800</xdr:colOff>
      <xdr:row>1</xdr:row>
      <xdr:rowOff>0</xdr:rowOff>
    </xdr:from>
    <xdr:to>
      <xdr:col>4</xdr:col>
      <xdr:colOff>165100</xdr:colOff>
      <xdr:row>7</xdr:row>
      <xdr:rowOff>110737</xdr:rowOff>
    </xdr:to>
    <xdr:pic>
      <xdr:nvPicPr>
        <xdr:cNvPr id="3" name="Picture 2"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C910755A-719F-4B24-8462-61D1CE69C0DD}"/>
            </a:ext>
          </a:extLst>
        </xdr:cNvPr>
        <xdr:cNvPicPr>
          <a:picLocks noChangeAspect="1"/>
        </xdr:cNvPicPr>
      </xdr:nvPicPr>
      <xdr:blipFill rotWithShape="1">
        <a:blip xmlns:r="http://schemas.openxmlformats.org/officeDocument/2006/relationships" r:embed="rId1"/>
        <a:srcRect l="29485" r="29750"/>
        <a:stretch>
          <a:fillRect/>
        </a:stretch>
      </xdr:blipFill>
      <xdr:spPr>
        <a:xfrm>
          <a:off x="2413000" y="190500"/>
          <a:ext cx="3924300" cy="1393437"/>
        </a:xfrm>
        <a:prstGeom prst="rect">
          <a:avLst/>
        </a:prstGeom>
      </xdr:spPr>
    </xdr:pic>
    <xdr:clientData/>
  </xdr:twoCellAnchor>
  <xdr:twoCellAnchor editAs="oneCell">
    <xdr:from>
      <xdr:col>0</xdr:col>
      <xdr:colOff>488950</xdr:colOff>
      <xdr:row>0</xdr:row>
      <xdr:rowOff>82550</xdr:rowOff>
    </xdr:from>
    <xdr:to>
      <xdr:col>1</xdr:col>
      <xdr:colOff>634546</xdr:colOff>
      <xdr:row>8</xdr:row>
      <xdr:rowOff>50346</xdr:rowOff>
    </xdr:to>
    <xdr:pic>
      <xdr:nvPicPr>
        <xdr:cNvPr id="4" name="Picture 3">
          <a:extLst>
            <a:ext uri="{FF2B5EF4-FFF2-40B4-BE49-F238E27FC236}">
              <a16:creationId xmlns:a16="http://schemas.microsoft.com/office/drawing/2014/main" id="{3C9D6F15-E8DB-4152-B737-58A0769CD2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8950" y="82550"/>
          <a:ext cx="1618796" cy="161879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1035050</xdr:colOff>
      <xdr:row>0</xdr:row>
      <xdr:rowOff>158750</xdr:rowOff>
    </xdr:from>
    <xdr:to>
      <xdr:col>5</xdr:col>
      <xdr:colOff>457200</xdr:colOff>
      <xdr:row>8</xdr:row>
      <xdr:rowOff>28187</xdr:rowOff>
    </xdr:to>
    <xdr:pic>
      <xdr:nvPicPr>
        <xdr:cNvPr id="5" name="Picture 4"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5347D970-1CF3-445B-89BE-C613841A90FC}"/>
            </a:ext>
          </a:extLst>
        </xdr:cNvPr>
        <xdr:cNvPicPr>
          <a:picLocks noChangeAspect="1"/>
        </xdr:cNvPicPr>
      </xdr:nvPicPr>
      <xdr:blipFill rotWithShape="1">
        <a:blip xmlns:r="http://schemas.openxmlformats.org/officeDocument/2006/relationships" r:embed="rId1"/>
        <a:srcRect l="29485" r="29750"/>
        <a:stretch>
          <a:fillRect/>
        </a:stretch>
      </xdr:blipFill>
      <xdr:spPr>
        <a:xfrm>
          <a:off x="2673350" y="158750"/>
          <a:ext cx="3924300" cy="1393437"/>
        </a:xfrm>
        <a:prstGeom prst="rect">
          <a:avLst/>
        </a:prstGeom>
      </xdr:spPr>
    </xdr:pic>
    <xdr:clientData/>
  </xdr:twoCellAnchor>
  <xdr:twoCellAnchor editAs="oneCell">
    <xdr:from>
      <xdr:col>0</xdr:col>
      <xdr:colOff>749300</xdr:colOff>
      <xdr:row>0</xdr:row>
      <xdr:rowOff>50800</xdr:rowOff>
    </xdr:from>
    <xdr:to>
      <xdr:col>1</xdr:col>
      <xdr:colOff>729796</xdr:colOff>
      <xdr:row>8</xdr:row>
      <xdr:rowOff>145596</xdr:rowOff>
    </xdr:to>
    <xdr:pic>
      <xdr:nvPicPr>
        <xdr:cNvPr id="6" name="Picture 5">
          <a:extLst>
            <a:ext uri="{FF2B5EF4-FFF2-40B4-BE49-F238E27FC236}">
              <a16:creationId xmlns:a16="http://schemas.microsoft.com/office/drawing/2014/main" id="{AC31AF34-ADBC-4B31-98FE-0C411C5C1E1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9300" y="50800"/>
          <a:ext cx="1618796" cy="16187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1822450</xdr:colOff>
      <xdr:row>0</xdr:row>
      <xdr:rowOff>127000</xdr:rowOff>
    </xdr:from>
    <xdr:to>
      <xdr:col>4</xdr:col>
      <xdr:colOff>819150</xdr:colOff>
      <xdr:row>6</xdr:row>
      <xdr:rowOff>126612</xdr:rowOff>
    </xdr:to>
    <xdr:pic>
      <xdr:nvPicPr>
        <xdr:cNvPr id="3" name="Picture 2"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24975B0E-B8D2-48DD-BB6A-8D33579C8032}"/>
            </a:ext>
          </a:extLst>
        </xdr:cNvPr>
        <xdr:cNvPicPr>
          <a:picLocks noChangeAspect="1"/>
        </xdr:cNvPicPr>
      </xdr:nvPicPr>
      <xdr:blipFill rotWithShape="1">
        <a:blip xmlns:r="http://schemas.openxmlformats.org/officeDocument/2006/relationships" r:embed="rId1"/>
        <a:srcRect l="29485" r="29750"/>
        <a:stretch>
          <a:fillRect/>
        </a:stretch>
      </xdr:blipFill>
      <xdr:spPr>
        <a:xfrm>
          <a:off x="2616200" y="127000"/>
          <a:ext cx="3924300" cy="1393437"/>
        </a:xfrm>
        <a:prstGeom prst="rect">
          <a:avLst/>
        </a:prstGeom>
      </xdr:spPr>
    </xdr:pic>
    <xdr:clientData/>
  </xdr:twoCellAnchor>
  <xdr:twoCellAnchor editAs="oneCell">
    <xdr:from>
      <xdr:col>1</xdr:col>
      <xdr:colOff>495300</xdr:colOff>
      <xdr:row>0</xdr:row>
      <xdr:rowOff>19050</xdr:rowOff>
    </xdr:from>
    <xdr:to>
      <xdr:col>2</xdr:col>
      <xdr:colOff>1514021</xdr:colOff>
      <xdr:row>7</xdr:row>
      <xdr:rowOff>47171</xdr:rowOff>
    </xdr:to>
    <xdr:pic>
      <xdr:nvPicPr>
        <xdr:cNvPr id="4" name="Picture 3">
          <a:extLst>
            <a:ext uri="{FF2B5EF4-FFF2-40B4-BE49-F238E27FC236}">
              <a16:creationId xmlns:a16="http://schemas.microsoft.com/office/drawing/2014/main" id="{FE06CB62-6778-4361-BDBD-A986C56DC5D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2150" y="19050"/>
          <a:ext cx="1618796" cy="161879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539750</xdr:colOff>
      <xdr:row>1</xdr:row>
      <xdr:rowOff>25400</xdr:rowOff>
    </xdr:from>
    <xdr:to>
      <xdr:col>4</xdr:col>
      <xdr:colOff>374650</xdr:colOff>
      <xdr:row>7</xdr:row>
      <xdr:rowOff>136137</xdr:rowOff>
    </xdr:to>
    <xdr:pic>
      <xdr:nvPicPr>
        <xdr:cNvPr id="3" name="Picture 2"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FF6954FD-42FA-4BA2-A9F6-DFB23548BAC4}"/>
            </a:ext>
          </a:extLst>
        </xdr:cNvPr>
        <xdr:cNvPicPr>
          <a:picLocks noChangeAspect="1"/>
        </xdr:cNvPicPr>
      </xdr:nvPicPr>
      <xdr:blipFill rotWithShape="1">
        <a:blip xmlns:r="http://schemas.openxmlformats.org/officeDocument/2006/relationships" r:embed="rId1"/>
        <a:srcRect l="29485" r="29750"/>
        <a:stretch>
          <a:fillRect/>
        </a:stretch>
      </xdr:blipFill>
      <xdr:spPr>
        <a:xfrm>
          <a:off x="2565400" y="215900"/>
          <a:ext cx="3924300" cy="1393437"/>
        </a:xfrm>
        <a:prstGeom prst="rect">
          <a:avLst/>
        </a:prstGeom>
      </xdr:spPr>
    </xdr:pic>
    <xdr:clientData/>
  </xdr:twoCellAnchor>
  <xdr:twoCellAnchor editAs="oneCell">
    <xdr:from>
      <xdr:col>0</xdr:col>
      <xdr:colOff>641350</xdr:colOff>
      <xdr:row>0</xdr:row>
      <xdr:rowOff>107950</xdr:rowOff>
    </xdr:from>
    <xdr:to>
      <xdr:col>1</xdr:col>
      <xdr:colOff>234496</xdr:colOff>
      <xdr:row>8</xdr:row>
      <xdr:rowOff>63046</xdr:rowOff>
    </xdr:to>
    <xdr:pic>
      <xdr:nvPicPr>
        <xdr:cNvPr id="4" name="Picture 3">
          <a:extLst>
            <a:ext uri="{FF2B5EF4-FFF2-40B4-BE49-F238E27FC236}">
              <a16:creationId xmlns:a16="http://schemas.microsoft.com/office/drawing/2014/main" id="{791E9D93-282F-4001-963F-2C091662E0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1350" y="107950"/>
          <a:ext cx="1618796" cy="161879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82550</xdr:colOff>
      <xdr:row>0</xdr:row>
      <xdr:rowOff>177800</xdr:rowOff>
    </xdr:from>
    <xdr:to>
      <xdr:col>6</xdr:col>
      <xdr:colOff>241300</xdr:colOff>
      <xdr:row>7</xdr:row>
      <xdr:rowOff>98037</xdr:rowOff>
    </xdr:to>
    <xdr:pic>
      <xdr:nvPicPr>
        <xdr:cNvPr id="3" name="Picture 2"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A3556246-CAB7-423C-A0C4-AE9B6FD30C95}"/>
            </a:ext>
          </a:extLst>
        </xdr:cNvPr>
        <xdr:cNvPicPr>
          <a:picLocks noChangeAspect="1"/>
        </xdr:cNvPicPr>
      </xdr:nvPicPr>
      <xdr:blipFill rotWithShape="1">
        <a:blip xmlns:r="http://schemas.openxmlformats.org/officeDocument/2006/relationships" r:embed="rId1"/>
        <a:srcRect l="29485" r="29750"/>
        <a:stretch>
          <a:fillRect/>
        </a:stretch>
      </xdr:blipFill>
      <xdr:spPr>
        <a:xfrm>
          <a:off x="2692400" y="177800"/>
          <a:ext cx="3924300" cy="1393437"/>
        </a:xfrm>
        <a:prstGeom prst="rect">
          <a:avLst/>
        </a:prstGeom>
      </xdr:spPr>
    </xdr:pic>
    <xdr:clientData/>
  </xdr:twoCellAnchor>
  <xdr:twoCellAnchor editAs="oneCell">
    <xdr:from>
      <xdr:col>0</xdr:col>
      <xdr:colOff>768350</xdr:colOff>
      <xdr:row>0</xdr:row>
      <xdr:rowOff>69850</xdr:rowOff>
    </xdr:from>
    <xdr:to>
      <xdr:col>2</xdr:col>
      <xdr:colOff>647246</xdr:colOff>
      <xdr:row>8</xdr:row>
      <xdr:rowOff>24946</xdr:rowOff>
    </xdr:to>
    <xdr:pic>
      <xdr:nvPicPr>
        <xdr:cNvPr id="4" name="Picture 3">
          <a:extLst>
            <a:ext uri="{FF2B5EF4-FFF2-40B4-BE49-F238E27FC236}">
              <a16:creationId xmlns:a16="http://schemas.microsoft.com/office/drawing/2014/main" id="{F53C67CF-4F63-4DE9-AF09-2F7C815B65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8350" y="69850"/>
          <a:ext cx="1618796" cy="161879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450850</xdr:colOff>
      <xdr:row>1</xdr:row>
      <xdr:rowOff>31750</xdr:rowOff>
    </xdr:from>
    <xdr:to>
      <xdr:col>5</xdr:col>
      <xdr:colOff>857250</xdr:colOff>
      <xdr:row>7</xdr:row>
      <xdr:rowOff>142487</xdr:rowOff>
    </xdr:to>
    <xdr:pic>
      <xdr:nvPicPr>
        <xdr:cNvPr id="3" name="Picture 2"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91E6C871-F8D4-4EC3-A326-E8A9E4616AEC}"/>
            </a:ext>
          </a:extLst>
        </xdr:cNvPr>
        <xdr:cNvPicPr>
          <a:picLocks noChangeAspect="1"/>
        </xdr:cNvPicPr>
      </xdr:nvPicPr>
      <xdr:blipFill rotWithShape="1">
        <a:blip xmlns:r="http://schemas.openxmlformats.org/officeDocument/2006/relationships" r:embed="rId1"/>
        <a:srcRect l="29485" r="29750"/>
        <a:stretch>
          <a:fillRect/>
        </a:stretch>
      </xdr:blipFill>
      <xdr:spPr>
        <a:xfrm>
          <a:off x="2578100" y="222250"/>
          <a:ext cx="3924300" cy="1393437"/>
        </a:xfrm>
        <a:prstGeom prst="rect">
          <a:avLst/>
        </a:prstGeom>
      </xdr:spPr>
    </xdr:pic>
    <xdr:clientData/>
  </xdr:twoCellAnchor>
  <xdr:twoCellAnchor editAs="oneCell">
    <xdr:from>
      <xdr:col>0</xdr:col>
      <xdr:colOff>654050</xdr:colOff>
      <xdr:row>0</xdr:row>
      <xdr:rowOff>114300</xdr:rowOff>
    </xdr:from>
    <xdr:to>
      <xdr:col>2</xdr:col>
      <xdr:colOff>145596</xdr:colOff>
      <xdr:row>8</xdr:row>
      <xdr:rowOff>69396</xdr:rowOff>
    </xdr:to>
    <xdr:pic>
      <xdr:nvPicPr>
        <xdr:cNvPr id="4" name="Picture 3">
          <a:extLst>
            <a:ext uri="{FF2B5EF4-FFF2-40B4-BE49-F238E27FC236}">
              <a16:creationId xmlns:a16="http://schemas.microsoft.com/office/drawing/2014/main" id="{1B1507ED-BF22-4C53-9AD3-3ADC950351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4050" y="114300"/>
          <a:ext cx="1618796" cy="161879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857250</xdr:colOff>
      <xdr:row>1</xdr:row>
      <xdr:rowOff>25400</xdr:rowOff>
    </xdr:from>
    <xdr:to>
      <xdr:col>6</xdr:col>
      <xdr:colOff>349250</xdr:colOff>
      <xdr:row>7</xdr:row>
      <xdr:rowOff>136137</xdr:rowOff>
    </xdr:to>
    <xdr:pic>
      <xdr:nvPicPr>
        <xdr:cNvPr id="3" name="Picture 2"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68D0144E-1E64-4B41-9FDA-BF2D7F7E97C7}"/>
            </a:ext>
          </a:extLst>
        </xdr:cNvPr>
        <xdr:cNvPicPr>
          <a:picLocks noChangeAspect="1"/>
        </xdr:cNvPicPr>
      </xdr:nvPicPr>
      <xdr:blipFill rotWithShape="1">
        <a:blip xmlns:r="http://schemas.openxmlformats.org/officeDocument/2006/relationships" r:embed="rId1"/>
        <a:srcRect l="29485" r="29750"/>
        <a:stretch>
          <a:fillRect/>
        </a:stretch>
      </xdr:blipFill>
      <xdr:spPr>
        <a:xfrm>
          <a:off x="2597150" y="215900"/>
          <a:ext cx="3924300" cy="1393437"/>
        </a:xfrm>
        <a:prstGeom prst="rect">
          <a:avLst/>
        </a:prstGeom>
      </xdr:spPr>
    </xdr:pic>
    <xdr:clientData/>
  </xdr:twoCellAnchor>
  <xdr:twoCellAnchor editAs="oneCell">
    <xdr:from>
      <xdr:col>0</xdr:col>
      <xdr:colOff>673100</xdr:colOff>
      <xdr:row>0</xdr:row>
      <xdr:rowOff>107950</xdr:rowOff>
    </xdr:from>
    <xdr:to>
      <xdr:col>2</xdr:col>
      <xdr:colOff>551996</xdr:colOff>
      <xdr:row>8</xdr:row>
      <xdr:rowOff>63046</xdr:rowOff>
    </xdr:to>
    <xdr:pic>
      <xdr:nvPicPr>
        <xdr:cNvPr id="4" name="Picture 3">
          <a:extLst>
            <a:ext uri="{FF2B5EF4-FFF2-40B4-BE49-F238E27FC236}">
              <a16:creationId xmlns:a16="http://schemas.microsoft.com/office/drawing/2014/main" id="{50474777-AB3D-4C8D-915D-3F33152980D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100" y="107950"/>
          <a:ext cx="1618796" cy="161879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812800</xdr:colOff>
      <xdr:row>1</xdr:row>
      <xdr:rowOff>12700</xdr:rowOff>
    </xdr:from>
    <xdr:to>
      <xdr:col>6</xdr:col>
      <xdr:colOff>279400</xdr:colOff>
      <xdr:row>7</xdr:row>
      <xdr:rowOff>123437</xdr:rowOff>
    </xdr:to>
    <xdr:pic>
      <xdr:nvPicPr>
        <xdr:cNvPr id="3" name="Picture 2"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2B09BA97-C8DA-409A-9205-C57BB89DB570}"/>
            </a:ext>
          </a:extLst>
        </xdr:cNvPr>
        <xdr:cNvPicPr>
          <a:picLocks noChangeAspect="1"/>
        </xdr:cNvPicPr>
      </xdr:nvPicPr>
      <xdr:blipFill rotWithShape="1">
        <a:blip xmlns:r="http://schemas.openxmlformats.org/officeDocument/2006/relationships" r:embed="rId1"/>
        <a:srcRect l="29485" r="29750"/>
        <a:stretch>
          <a:fillRect/>
        </a:stretch>
      </xdr:blipFill>
      <xdr:spPr>
        <a:xfrm>
          <a:off x="2692400" y="203200"/>
          <a:ext cx="3924300" cy="1393437"/>
        </a:xfrm>
        <a:prstGeom prst="rect">
          <a:avLst/>
        </a:prstGeom>
      </xdr:spPr>
    </xdr:pic>
    <xdr:clientData/>
  </xdr:twoCellAnchor>
  <xdr:twoCellAnchor editAs="oneCell">
    <xdr:from>
      <xdr:col>0</xdr:col>
      <xdr:colOff>768350</xdr:colOff>
      <xdr:row>0</xdr:row>
      <xdr:rowOff>95250</xdr:rowOff>
    </xdr:from>
    <xdr:to>
      <xdr:col>2</xdr:col>
      <xdr:colOff>507546</xdr:colOff>
      <xdr:row>8</xdr:row>
      <xdr:rowOff>50346</xdr:rowOff>
    </xdr:to>
    <xdr:pic>
      <xdr:nvPicPr>
        <xdr:cNvPr id="4" name="Picture 3">
          <a:extLst>
            <a:ext uri="{FF2B5EF4-FFF2-40B4-BE49-F238E27FC236}">
              <a16:creationId xmlns:a16="http://schemas.microsoft.com/office/drawing/2014/main" id="{16CD2D38-07A6-4D56-A211-8BDC1953F3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8350" y="95250"/>
          <a:ext cx="1618796" cy="161879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2495550</xdr:colOff>
      <xdr:row>0</xdr:row>
      <xdr:rowOff>114300</xdr:rowOff>
    </xdr:from>
    <xdr:to>
      <xdr:col>4</xdr:col>
      <xdr:colOff>812800</xdr:colOff>
      <xdr:row>7</xdr:row>
      <xdr:rowOff>174237</xdr:rowOff>
    </xdr:to>
    <xdr:pic>
      <xdr:nvPicPr>
        <xdr:cNvPr id="3" name="Picture 2"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EAB51700-BA38-4587-8EC7-699FD00F7FEA}"/>
            </a:ext>
          </a:extLst>
        </xdr:cNvPr>
        <xdr:cNvPicPr>
          <a:picLocks noChangeAspect="1"/>
        </xdr:cNvPicPr>
      </xdr:nvPicPr>
      <xdr:blipFill rotWithShape="1">
        <a:blip xmlns:r="http://schemas.openxmlformats.org/officeDocument/2006/relationships" r:embed="rId1"/>
        <a:srcRect l="29485" r="29750"/>
        <a:stretch>
          <a:fillRect/>
        </a:stretch>
      </xdr:blipFill>
      <xdr:spPr>
        <a:xfrm>
          <a:off x="2495550" y="114300"/>
          <a:ext cx="3924300" cy="1393437"/>
        </a:xfrm>
        <a:prstGeom prst="rect">
          <a:avLst/>
        </a:prstGeom>
      </xdr:spPr>
    </xdr:pic>
    <xdr:clientData/>
  </xdr:twoCellAnchor>
  <xdr:twoCellAnchor editAs="oneCell">
    <xdr:from>
      <xdr:col>0</xdr:col>
      <xdr:colOff>571500</xdr:colOff>
      <xdr:row>0</xdr:row>
      <xdr:rowOff>6350</xdr:rowOff>
    </xdr:from>
    <xdr:to>
      <xdr:col>0</xdr:col>
      <xdr:colOff>2190296</xdr:colOff>
      <xdr:row>8</xdr:row>
      <xdr:rowOff>113846</xdr:rowOff>
    </xdr:to>
    <xdr:pic>
      <xdr:nvPicPr>
        <xdr:cNvPr id="4" name="Picture 3">
          <a:extLst>
            <a:ext uri="{FF2B5EF4-FFF2-40B4-BE49-F238E27FC236}">
              <a16:creationId xmlns:a16="http://schemas.microsoft.com/office/drawing/2014/main" id="{1058C448-AE90-475D-9292-AC9B407208F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0" y="6350"/>
          <a:ext cx="1618796" cy="161879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11</xdr:col>
      <xdr:colOff>123825</xdr:colOff>
      <xdr:row>56</xdr:row>
      <xdr:rowOff>209550</xdr:rowOff>
    </xdr:from>
    <xdr:ext cx="2855397" cy="380361"/>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8810625" y="11696700"/>
              <a:ext cx="2855397"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𝐸</m:t>
                    </m:r>
                    <m:r>
                      <a:rPr lang="en-US" sz="1100" b="0" i="1">
                        <a:latin typeface="Cambria Math" panose="02040503050406030204" pitchFamily="18" charset="0"/>
                      </a:rPr>
                      <m:t>= </m:t>
                    </m:r>
                    <m:sSub>
                      <m:sSubPr>
                        <m:ctrlPr>
                          <a:rPr lang="en-US" sz="1100" b="0" i="1">
                            <a:latin typeface="Cambria Math" panose="02040503050406030204" pitchFamily="18" charset="0"/>
                          </a:rPr>
                        </m:ctrlPr>
                      </m:sSubPr>
                      <m:e>
                        <m:r>
                          <a:rPr lang="en-US" sz="1100" b="0" i="1">
                            <a:latin typeface="Cambria Math" panose="02040503050406030204" pitchFamily="18" charset="0"/>
                          </a:rPr>
                          <m:t>𝐸𝐹</m:t>
                        </m:r>
                      </m:e>
                      <m:sub>
                        <m:r>
                          <a:rPr lang="en-US" sz="1100" b="0" i="1">
                            <a:latin typeface="Cambria Math" panose="02040503050406030204" pitchFamily="18" charset="0"/>
                          </a:rPr>
                          <m:t>0</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rPr>
                      <m:t>𝐹</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rPr>
                        </m:ctrlPr>
                      </m:dPr>
                      <m:e>
                        <m:r>
                          <a:rPr lang="en-US" sz="1100" b="0" i="1">
                            <a:latin typeface="Cambria Math" panose="02040503050406030204" pitchFamily="18" charset="0"/>
                          </a:rPr>
                          <m:t>1+</m:t>
                        </m:r>
                        <m:r>
                          <a:rPr lang="en-US" sz="1100" b="0" i="1">
                            <a:latin typeface="Cambria Math" panose="02040503050406030204" pitchFamily="18" charset="0"/>
                          </a:rPr>
                          <m:t>𝐷</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𝐴</m:t>
                            </m:r>
                          </m:num>
                          <m:den>
                            <m:r>
                              <a:rPr lang="en-US" sz="1100" b="0" i="1">
                                <a:latin typeface="Cambria Math" panose="02040503050406030204" pitchFamily="18" charset="0"/>
                              </a:rPr>
                              <m:t>𝑈𝐿</m:t>
                            </m:r>
                          </m:den>
                        </m:f>
                      </m:e>
                    </m:d>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rPr>
                      <m:t>𝐻𝑃</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rPr>
                      <m:t>𝐿𝐹</m:t>
                    </m:r>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rPr>
                      <m:t>𝐻𝑟</m:t>
                    </m:r>
                  </m:oMath>
                </m:oMathPara>
              </a14:m>
              <a:endParaRPr lang="en-US" sz="1100"/>
            </a:p>
          </xdr:txBody>
        </xdr:sp>
      </mc:Choice>
      <mc:Fallback xmlns="">
        <xdr:sp macro="" textlink="">
          <xdr:nvSpPr>
            <xdr:cNvPr id="2" name="TextBox 1"/>
            <xdr:cNvSpPr txBox="1"/>
          </xdr:nvSpPr>
          <xdr:spPr>
            <a:xfrm>
              <a:off x="8810625" y="11696700"/>
              <a:ext cx="2855397" cy="380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US" sz="1100" b="0" i="0">
                  <a:latin typeface="Cambria Math" panose="02040503050406030204" pitchFamily="18" charset="0"/>
                </a:rPr>
                <a:t>𝐸= 〖𝐸𝐹〗_0</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𝐹</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(1+𝐷</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𝐴/𝑈𝐿)</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𝐻𝑃</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𝐿𝐹</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𝐻𝑟</a:t>
              </a:r>
              <a:endParaRPr lang="en-US" sz="1100"/>
            </a:p>
          </xdr:txBody>
        </xdr:sp>
      </mc:Fallback>
    </mc:AlternateContent>
    <xdr:clientData/>
  </xdr:oneCellAnchor>
  <xdr:oneCellAnchor>
    <xdr:from>
      <xdr:col>11</xdr:col>
      <xdr:colOff>161925</xdr:colOff>
      <xdr:row>60</xdr:row>
      <xdr:rowOff>0</xdr:rowOff>
    </xdr:from>
    <xdr:ext cx="1162050" cy="316946"/>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1900-000003000000}"/>
                </a:ext>
              </a:extLst>
            </xdr:cNvPr>
            <xdr:cNvSpPr txBox="1"/>
          </xdr:nvSpPr>
          <xdr:spPr>
            <a:xfrm>
              <a:off x="8601075" y="12277725"/>
              <a:ext cx="1162050"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𝐸</m:t>
                    </m:r>
                    <m:r>
                      <a:rPr lang="en-US" sz="1100" b="0" i="1">
                        <a:latin typeface="Cambria Math" panose="02040503050406030204" pitchFamily="18" charset="0"/>
                      </a:rPr>
                      <m:t>=  </m:t>
                    </m:r>
                    <m:r>
                      <a:rPr lang="en-US" sz="1100" b="0" i="1">
                        <a:latin typeface="Cambria Math" panose="02040503050406030204" pitchFamily="18" charset="0"/>
                      </a:rPr>
                      <m:t>𝑔𝑎𝑙</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rPr>
                        </m:ctrlPr>
                      </m:fPr>
                      <m:num>
                        <m:sSub>
                          <m:sSubPr>
                            <m:ctrlPr>
                              <a:rPr lang="en-US" sz="1100" b="0" i="1">
                                <a:latin typeface="Cambria Math" panose="02040503050406030204" pitchFamily="18" charset="0"/>
                              </a:rPr>
                            </m:ctrlPr>
                          </m:sSubPr>
                          <m:e>
                            <m:r>
                              <a:rPr lang="en-US" sz="1100" b="0" i="1">
                                <a:latin typeface="Cambria Math" panose="02040503050406030204" pitchFamily="18" charset="0"/>
                              </a:rPr>
                              <m:t>𝐸𝐹</m:t>
                            </m:r>
                          </m:e>
                          <m:sub>
                            <m:r>
                              <a:rPr lang="en-US" sz="1100" b="0" i="1">
                                <a:latin typeface="Cambria Math" panose="02040503050406030204" pitchFamily="18" charset="0"/>
                              </a:rPr>
                              <m:t>0</m:t>
                            </m:r>
                          </m:sub>
                        </m:sSub>
                      </m:num>
                      <m:den>
                        <m:r>
                          <a:rPr lang="en-US" sz="1100" b="0" i="1">
                            <a:latin typeface="Cambria Math" panose="02040503050406030204" pitchFamily="18" charset="0"/>
                          </a:rPr>
                          <m:t>𝐵𝑆𝐹𝐶</m:t>
                        </m:r>
                      </m:den>
                    </m:f>
                    <m:r>
                      <a:rPr lang="en-US" sz="1100" b="0" i="1">
                        <a:latin typeface="Cambria Math" panose="02040503050406030204" pitchFamily="18" charset="0"/>
                      </a:rPr>
                      <m:t>  </m:t>
                    </m:r>
                  </m:oMath>
                </m:oMathPara>
              </a14:m>
              <a:endParaRPr lang="en-US" sz="1100"/>
            </a:p>
          </xdr:txBody>
        </xdr:sp>
      </mc:Choice>
      <mc:Fallback xmlns="">
        <xdr:sp macro="" textlink="">
          <xdr:nvSpPr>
            <xdr:cNvPr id="3" name="TextBox 2"/>
            <xdr:cNvSpPr txBox="1"/>
          </xdr:nvSpPr>
          <xdr:spPr>
            <a:xfrm>
              <a:off x="8601075" y="12277725"/>
              <a:ext cx="1162050"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𝐸=  𝑔𝑎𝑙</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〖𝐸𝐹〗_0/𝐵𝑆𝐹𝐶   </a:t>
              </a:r>
              <a:endParaRPr lang="en-US" sz="1100"/>
            </a:p>
          </xdr:txBody>
        </xdr:sp>
      </mc:Fallback>
    </mc:AlternateContent>
    <xdr:clientData/>
  </xdr:oneCellAnchor>
  <xdr:twoCellAnchor editAs="oneCell">
    <xdr:from>
      <xdr:col>11</xdr:col>
      <xdr:colOff>0</xdr:colOff>
      <xdr:row>63</xdr:row>
      <xdr:rowOff>0</xdr:rowOff>
    </xdr:from>
    <xdr:to>
      <xdr:col>15</xdr:col>
      <xdr:colOff>209550</xdr:colOff>
      <xdr:row>77</xdr:row>
      <xdr:rowOff>25400</xdr:rowOff>
    </xdr:to>
    <xdr:pic>
      <xdr:nvPicPr>
        <xdr:cNvPr id="5" name="Picture 4" descr="Variables for emissions equation for commercial harbor craft engines">
          <a:extLst>
            <a:ext uri="{FF2B5EF4-FFF2-40B4-BE49-F238E27FC236}">
              <a16:creationId xmlns:a16="http://schemas.microsoft.com/office/drawing/2014/main" id="{00000000-0008-0000-19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39150" y="12877800"/>
          <a:ext cx="5543550" cy="2838450"/>
        </a:xfrm>
        <a:prstGeom prst="rect">
          <a:avLst/>
        </a:prstGeom>
        <a:noFill/>
        <a:ln>
          <a:noFill/>
        </a:ln>
      </xdr:spPr>
    </xdr:pic>
    <xdr:clientData/>
  </xdr:twoCellAnchor>
  <xdr:oneCellAnchor>
    <xdr:from>
      <xdr:col>0</xdr:col>
      <xdr:colOff>161925</xdr:colOff>
      <xdr:row>198</xdr:row>
      <xdr:rowOff>0</xdr:rowOff>
    </xdr:from>
    <xdr:ext cx="1162050" cy="316946"/>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1900-000007000000}"/>
                </a:ext>
              </a:extLst>
            </xdr:cNvPr>
            <xdr:cNvSpPr txBox="1"/>
          </xdr:nvSpPr>
          <xdr:spPr>
            <a:xfrm>
              <a:off x="8848725" y="12334875"/>
              <a:ext cx="1162050"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100" b="0" i="1">
                        <a:latin typeface="Cambria Math" panose="02040503050406030204" pitchFamily="18" charset="0"/>
                      </a:rPr>
                      <m:t>𝐸</m:t>
                    </m:r>
                    <m:r>
                      <a:rPr lang="en-US" sz="1100" b="0" i="1">
                        <a:latin typeface="Cambria Math" panose="02040503050406030204" pitchFamily="18" charset="0"/>
                      </a:rPr>
                      <m:t>=</m:t>
                    </m:r>
                    <m:r>
                      <a:rPr lang="en-US" sz="1100" b="0" i="1">
                        <a:latin typeface="Cambria Math" panose="02040503050406030204" pitchFamily="18" charset="0"/>
                      </a:rPr>
                      <m:t>𝑔𝑎𝑙</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rPr>
                        </m:ctrlPr>
                      </m:fPr>
                      <m:num>
                        <m:sSub>
                          <m:sSubPr>
                            <m:ctrlPr>
                              <a:rPr lang="en-US" sz="1100" b="0" i="1">
                                <a:latin typeface="Cambria Math" panose="02040503050406030204" pitchFamily="18" charset="0"/>
                              </a:rPr>
                            </m:ctrlPr>
                          </m:sSubPr>
                          <m:e>
                            <m:r>
                              <a:rPr lang="en-US" sz="1100" b="0" i="1">
                                <a:latin typeface="Cambria Math" panose="02040503050406030204" pitchFamily="18" charset="0"/>
                              </a:rPr>
                              <m:t>𝐸𝐹</m:t>
                            </m:r>
                          </m:e>
                          <m:sub>
                            <m:r>
                              <a:rPr lang="en-US" sz="1100" b="0" i="1">
                                <a:latin typeface="Cambria Math" panose="02040503050406030204" pitchFamily="18" charset="0"/>
                              </a:rPr>
                              <m:t>0</m:t>
                            </m:r>
                          </m:sub>
                        </m:sSub>
                      </m:num>
                      <m:den>
                        <m:r>
                          <a:rPr lang="en-US" sz="1100" b="0" i="1">
                            <a:latin typeface="Cambria Math" panose="02040503050406030204" pitchFamily="18" charset="0"/>
                          </a:rPr>
                          <m:t>𝐵𝑆𝐹𝐶</m:t>
                        </m:r>
                      </m:den>
                    </m:f>
                    <m:r>
                      <a:rPr lang="en-US" sz="1100" b="0" i="1">
                        <a:latin typeface="Cambria Math" panose="02040503050406030204" pitchFamily="18" charset="0"/>
                      </a:rPr>
                      <m:t>  </m:t>
                    </m:r>
                  </m:oMath>
                </m:oMathPara>
              </a14:m>
              <a:endParaRPr lang="en-US" sz="1100"/>
            </a:p>
          </xdr:txBody>
        </xdr:sp>
      </mc:Choice>
      <mc:Fallback xmlns="">
        <xdr:sp macro="" textlink="">
          <xdr:nvSpPr>
            <xdr:cNvPr id="7" name="TextBox 6"/>
            <xdr:cNvSpPr txBox="1"/>
          </xdr:nvSpPr>
          <xdr:spPr>
            <a:xfrm>
              <a:off x="8848725" y="12334875"/>
              <a:ext cx="1162050" cy="3169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100" b="0" i="0">
                  <a:latin typeface="Cambria Math" panose="02040503050406030204" pitchFamily="18" charset="0"/>
                </a:rPr>
                <a:t>𝐸=𝑔𝑎𝑙</a:t>
              </a:r>
              <a:r>
                <a:rPr lang="en-US" sz="1100" b="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rPr>
                <a:t>〖𝐸𝐹〗_0/𝐵𝑆𝐹𝐶   </a:t>
              </a:r>
              <a:endParaRPr lang="en-US" sz="1100"/>
            </a:p>
          </xdr:txBody>
        </xdr:sp>
      </mc:Fallback>
    </mc:AlternateContent>
    <xdr:clientData/>
  </xdr:oneCellAnchor>
  <xdr:twoCellAnchor editAs="oneCell">
    <xdr:from>
      <xdr:col>2</xdr:col>
      <xdr:colOff>266700</xdr:colOff>
      <xdr:row>0</xdr:row>
      <xdr:rowOff>107950</xdr:rowOff>
    </xdr:from>
    <xdr:to>
      <xdr:col>7</xdr:col>
      <xdr:colOff>190500</xdr:colOff>
      <xdr:row>7</xdr:row>
      <xdr:rowOff>167887</xdr:rowOff>
    </xdr:to>
    <xdr:pic>
      <xdr:nvPicPr>
        <xdr:cNvPr id="6" name="Picture 5"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927DB62F-5DCB-4855-9B3E-1D796972BF67}"/>
            </a:ext>
          </a:extLst>
        </xdr:cNvPr>
        <xdr:cNvPicPr>
          <a:picLocks noChangeAspect="1"/>
        </xdr:cNvPicPr>
      </xdr:nvPicPr>
      <xdr:blipFill rotWithShape="1">
        <a:blip xmlns:r="http://schemas.openxmlformats.org/officeDocument/2006/relationships" r:embed="rId2"/>
        <a:srcRect l="29485" r="29750"/>
        <a:stretch>
          <a:fillRect/>
        </a:stretch>
      </xdr:blipFill>
      <xdr:spPr>
        <a:xfrm>
          <a:off x="2425700" y="107950"/>
          <a:ext cx="3924300" cy="1393437"/>
        </a:xfrm>
        <a:prstGeom prst="rect">
          <a:avLst/>
        </a:prstGeom>
      </xdr:spPr>
    </xdr:pic>
    <xdr:clientData/>
  </xdr:twoCellAnchor>
  <xdr:twoCellAnchor editAs="oneCell">
    <xdr:from>
      <xdr:col>0</xdr:col>
      <xdr:colOff>501650</xdr:colOff>
      <xdr:row>0</xdr:row>
      <xdr:rowOff>0</xdr:rowOff>
    </xdr:from>
    <xdr:to>
      <xdr:col>1</xdr:col>
      <xdr:colOff>901246</xdr:colOff>
      <xdr:row>8</xdr:row>
      <xdr:rowOff>107496</xdr:rowOff>
    </xdr:to>
    <xdr:pic>
      <xdr:nvPicPr>
        <xdr:cNvPr id="8" name="Picture 7">
          <a:extLst>
            <a:ext uri="{FF2B5EF4-FFF2-40B4-BE49-F238E27FC236}">
              <a16:creationId xmlns:a16="http://schemas.microsoft.com/office/drawing/2014/main" id="{1541934C-6D67-4DE5-A515-35FC7AD402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650" y="0"/>
          <a:ext cx="1618796" cy="161879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196850</xdr:colOff>
      <xdr:row>0</xdr:row>
      <xdr:rowOff>146050</xdr:rowOff>
    </xdr:from>
    <xdr:to>
      <xdr:col>4</xdr:col>
      <xdr:colOff>615950</xdr:colOff>
      <xdr:row>6</xdr:row>
      <xdr:rowOff>104387</xdr:rowOff>
    </xdr:to>
    <xdr:pic>
      <xdr:nvPicPr>
        <xdr:cNvPr id="3" name="Picture 2"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AE895885-A60A-4E46-919C-1FA9984882B6}"/>
            </a:ext>
          </a:extLst>
        </xdr:cNvPr>
        <xdr:cNvPicPr>
          <a:picLocks noChangeAspect="1"/>
        </xdr:cNvPicPr>
      </xdr:nvPicPr>
      <xdr:blipFill rotWithShape="1">
        <a:blip xmlns:r="http://schemas.openxmlformats.org/officeDocument/2006/relationships" r:embed="rId1"/>
        <a:srcRect l="29485" r="29750"/>
        <a:stretch>
          <a:fillRect/>
        </a:stretch>
      </xdr:blipFill>
      <xdr:spPr>
        <a:xfrm>
          <a:off x="2527300" y="146050"/>
          <a:ext cx="3924300" cy="1393437"/>
        </a:xfrm>
        <a:prstGeom prst="rect">
          <a:avLst/>
        </a:prstGeom>
      </xdr:spPr>
    </xdr:pic>
    <xdr:clientData/>
  </xdr:twoCellAnchor>
  <xdr:twoCellAnchor editAs="oneCell">
    <xdr:from>
      <xdr:col>1</xdr:col>
      <xdr:colOff>400050</xdr:colOff>
      <xdr:row>0</xdr:row>
      <xdr:rowOff>38100</xdr:rowOff>
    </xdr:from>
    <xdr:to>
      <xdr:col>1</xdr:col>
      <xdr:colOff>2018846</xdr:colOff>
      <xdr:row>7</xdr:row>
      <xdr:rowOff>24946</xdr:rowOff>
    </xdr:to>
    <xdr:pic>
      <xdr:nvPicPr>
        <xdr:cNvPr id="4" name="Picture 3">
          <a:extLst>
            <a:ext uri="{FF2B5EF4-FFF2-40B4-BE49-F238E27FC236}">
              <a16:creationId xmlns:a16="http://schemas.microsoft.com/office/drawing/2014/main" id="{90DB37C4-1C8E-4A97-A1AB-BFB6280CD8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3250" y="38100"/>
          <a:ext cx="1618796" cy="161879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2940050</xdr:colOff>
      <xdr:row>0</xdr:row>
      <xdr:rowOff>107950</xdr:rowOff>
    </xdr:from>
    <xdr:to>
      <xdr:col>2</xdr:col>
      <xdr:colOff>1657350</xdr:colOff>
      <xdr:row>9</xdr:row>
      <xdr:rowOff>15487</xdr:rowOff>
    </xdr:to>
    <xdr:pic>
      <xdr:nvPicPr>
        <xdr:cNvPr id="2" name="Picture 1"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48EDCB6B-72E0-4FF9-A35F-816356C87728}"/>
            </a:ext>
          </a:extLst>
        </xdr:cNvPr>
        <xdr:cNvPicPr>
          <a:picLocks noChangeAspect="1"/>
        </xdr:cNvPicPr>
      </xdr:nvPicPr>
      <xdr:blipFill rotWithShape="1">
        <a:blip xmlns:r="http://schemas.openxmlformats.org/officeDocument/2006/relationships" r:embed="rId1"/>
        <a:srcRect l="29485" r="29750"/>
        <a:stretch>
          <a:fillRect/>
        </a:stretch>
      </xdr:blipFill>
      <xdr:spPr>
        <a:xfrm>
          <a:off x="3143250" y="107950"/>
          <a:ext cx="3924300" cy="1393437"/>
        </a:xfrm>
        <a:prstGeom prst="rect">
          <a:avLst/>
        </a:prstGeom>
      </xdr:spPr>
    </xdr:pic>
    <xdr:clientData/>
  </xdr:twoCellAnchor>
  <xdr:twoCellAnchor editAs="oneCell">
    <xdr:from>
      <xdr:col>1</xdr:col>
      <xdr:colOff>1016000</xdr:colOff>
      <xdr:row>0</xdr:row>
      <xdr:rowOff>0</xdr:rowOff>
    </xdr:from>
    <xdr:to>
      <xdr:col>1</xdr:col>
      <xdr:colOff>2634796</xdr:colOff>
      <xdr:row>9</xdr:row>
      <xdr:rowOff>132896</xdr:rowOff>
    </xdr:to>
    <xdr:pic>
      <xdr:nvPicPr>
        <xdr:cNvPr id="4" name="Picture 3">
          <a:extLst>
            <a:ext uri="{FF2B5EF4-FFF2-40B4-BE49-F238E27FC236}">
              <a16:creationId xmlns:a16="http://schemas.microsoft.com/office/drawing/2014/main" id="{C56F1A38-47B5-4E88-8C09-5C0DBBD412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9200" y="0"/>
          <a:ext cx="1618796" cy="16187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704850</xdr:colOff>
      <xdr:row>0</xdr:row>
      <xdr:rowOff>107950</xdr:rowOff>
    </xdr:from>
    <xdr:to>
      <xdr:col>4</xdr:col>
      <xdr:colOff>200025</xdr:colOff>
      <xdr:row>5</xdr:row>
      <xdr:rowOff>193287</xdr:rowOff>
    </xdr:to>
    <xdr:pic>
      <xdr:nvPicPr>
        <xdr:cNvPr id="5" name="Picture 4"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7963C1E8-653C-42C7-8BEC-4F54B453C8C9}"/>
            </a:ext>
          </a:extLst>
        </xdr:cNvPr>
        <xdr:cNvPicPr>
          <a:picLocks noChangeAspect="1"/>
        </xdr:cNvPicPr>
      </xdr:nvPicPr>
      <xdr:blipFill rotWithShape="1">
        <a:blip xmlns:r="http://schemas.openxmlformats.org/officeDocument/2006/relationships" r:embed="rId1"/>
        <a:srcRect l="29485" r="29750"/>
        <a:stretch>
          <a:fillRect/>
        </a:stretch>
      </xdr:blipFill>
      <xdr:spPr>
        <a:xfrm>
          <a:off x="2413000" y="107950"/>
          <a:ext cx="3924300" cy="1393437"/>
        </a:xfrm>
        <a:prstGeom prst="rect">
          <a:avLst/>
        </a:prstGeom>
      </xdr:spPr>
    </xdr:pic>
    <xdr:clientData/>
  </xdr:twoCellAnchor>
  <xdr:twoCellAnchor editAs="oneCell">
    <xdr:from>
      <xdr:col>1</xdr:col>
      <xdr:colOff>488950</xdr:colOff>
      <xdr:row>0</xdr:row>
      <xdr:rowOff>0</xdr:rowOff>
    </xdr:from>
    <xdr:to>
      <xdr:col>2</xdr:col>
      <xdr:colOff>399596</xdr:colOff>
      <xdr:row>6</xdr:row>
      <xdr:rowOff>47171</xdr:rowOff>
    </xdr:to>
    <xdr:pic>
      <xdr:nvPicPr>
        <xdr:cNvPr id="6" name="Picture 5">
          <a:extLst>
            <a:ext uri="{FF2B5EF4-FFF2-40B4-BE49-F238E27FC236}">
              <a16:creationId xmlns:a16="http://schemas.microsoft.com/office/drawing/2014/main" id="{49EB28F7-E305-402C-A10E-CCDE8FBDC1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8950" y="0"/>
          <a:ext cx="1618796" cy="16187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711200</xdr:colOff>
      <xdr:row>0</xdr:row>
      <xdr:rowOff>107950</xdr:rowOff>
    </xdr:from>
    <xdr:to>
      <xdr:col>4</xdr:col>
      <xdr:colOff>200025</xdr:colOff>
      <xdr:row>5</xdr:row>
      <xdr:rowOff>193287</xdr:rowOff>
    </xdr:to>
    <xdr:pic>
      <xdr:nvPicPr>
        <xdr:cNvPr id="3" name="Picture 2"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EFFC5C5A-0B4F-42DC-9245-B35C86DFB65D}"/>
            </a:ext>
          </a:extLst>
        </xdr:cNvPr>
        <xdr:cNvPicPr>
          <a:picLocks noChangeAspect="1"/>
        </xdr:cNvPicPr>
      </xdr:nvPicPr>
      <xdr:blipFill rotWithShape="1">
        <a:blip xmlns:r="http://schemas.openxmlformats.org/officeDocument/2006/relationships" r:embed="rId1"/>
        <a:srcRect l="29485" r="29750"/>
        <a:stretch>
          <a:fillRect/>
        </a:stretch>
      </xdr:blipFill>
      <xdr:spPr>
        <a:xfrm>
          <a:off x="2419350" y="107950"/>
          <a:ext cx="3924300" cy="1393437"/>
        </a:xfrm>
        <a:prstGeom prst="rect">
          <a:avLst/>
        </a:prstGeom>
      </xdr:spPr>
    </xdr:pic>
    <xdr:clientData/>
  </xdr:twoCellAnchor>
  <xdr:twoCellAnchor editAs="oneCell">
    <xdr:from>
      <xdr:col>1</xdr:col>
      <xdr:colOff>495300</xdr:colOff>
      <xdr:row>0</xdr:row>
      <xdr:rowOff>0</xdr:rowOff>
    </xdr:from>
    <xdr:to>
      <xdr:col>2</xdr:col>
      <xdr:colOff>409121</xdr:colOff>
      <xdr:row>6</xdr:row>
      <xdr:rowOff>47171</xdr:rowOff>
    </xdr:to>
    <xdr:pic>
      <xdr:nvPicPr>
        <xdr:cNvPr id="4" name="Picture 3">
          <a:extLst>
            <a:ext uri="{FF2B5EF4-FFF2-40B4-BE49-F238E27FC236}">
              <a16:creationId xmlns:a16="http://schemas.microsoft.com/office/drawing/2014/main" id="{5D88C838-27BB-44E4-8DA6-7CBC8DF9B58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5300" y="0"/>
          <a:ext cx="1618796" cy="16187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704850</xdr:colOff>
      <xdr:row>0</xdr:row>
      <xdr:rowOff>107950</xdr:rowOff>
    </xdr:from>
    <xdr:to>
      <xdr:col>4</xdr:col>
      <xdr:colOff>200025</xdr:colOff>
      <xdr:row>5</xdr:row>
      <xdr:rowOff>193287</xdr:rowOff>
    </xdr:to>
    <xdr:pic>
      <xdr:nvPicPr>
        <xdr:cNvPr id="5" name="Picture 4"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7E5104A5-05FD-4E49-BC6A-CBCE248BF789}"/>
            </a:ext>
          </a:extLst>
        </xdr:cNvPr>
        <xdr:cNvPicPr>
          <a:picLocks noChangeAspect="1"/>
        </xdr:cNvPicPr>
      </xdr:nvPicPr>
      <xdr:blipFill rotWithShape="1">
        <a:blip xmlns:r="http://schemas.openxmlformats.org/officeDocument/2006/relationships" r:embed="rId1"/>
        <a:srcRect l="29485" r="29750"/>
        <a:stretch>
          <a:fillRect/>
        </a:stretch>
      </xdr:blipFill>
      <xdr:spPr>
        <a:xfrm>
          <a:off x="2413000" y="107950"/>
          <a:ext cx="3924300" cy="1393437"/>
        </a:xfrm>
        <a:prstGeom prst="rect">
          <a:avLst/>
        </a:prstGeom>
      </xdr:spPr>
    </xdr:pic>
    <xdr:clientData/>
  </xdr:twoCellAnchor>
  <xdr:twoCellAnchor editAs="oneCell">
    <xdr:from>
      <xdr:col>1</xdr:col>
      <xdr:colOff>488950</xdr:colOff>
      <xdr:row>0</xdr:row>
      <xdr:rowOff>0</xdr:rowOff>
    </xdr:from>
    <xdr:to>
      <xdr:col>2</xdr:col>
      <xdr:colOff>399596</xdr:colOff>
      <xdr:row>6</xdr:row>
      <xdr:rowOff>47171</xdr:rowOff>
    </xdr:to>
    <xdr:pic>
      <xdr:nvPicPr>
        <xdr:cNvPr id="6" name="Picture 5">
          <a:extLst>
            <a:ext uri="{FF2B5EF4-FFF2-40B4-BE49-F238E27FC236}">
              <a16:creationId xmlns:a16="http://schemas.microsoft.com/office/drawing/2014/main" id="{1C88A413-A5E1-4961-A74F-76751A4FBA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8950" y="0"/>
          <a:ext cx="1618796" cy="16187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704850</xdr:colOff>
      <xdr:row>0</xdr:row>
      <xdr:rowOff>107950</xdr:rowOff>
    </xdr:from>
    <xdr:to>
      <xdr:col>4</xdr:col>
      <xdr:colOff>200025</xdr:colOff>
      <xdr:row>5</xdr:row>
      <xdr:rowOff>193287</xdr:rowOff>
    </xdr:to>
    <xdr:pic>
      <xdr:nvPicPr>
        <xdr:cNvPr id="3" name="Picture 2"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66B7A2B9-F340-452A-8A5C-9650664D6959}"/>
            </a:ext>
          </a:extLst>
        </xdr:cNvPr>
        <xdr:cNvPicPr>
          <a:picLocks noChangeAspect="1"/>
        </xdr:cNvPicPr>
      </xdr:nvPicPr>
      <xdr:blipFill rotWithShape="1">
        <a:blip xmlns:r="http://schemas.openxmlformats.org/officeDocument/2006/relationships" r:embed="rId1"/>
        <a:srcRect l="29485" r="29750"/>
        <a:stretch>
          <a:fillRect/>
        </a:stretch>
      </xdr:blipFill>
      <xdr:spPr>
        <a:xfrm>
          <a:off x="2413000" y="107950"/>
          <a:ext cx="3924300" cy="1393437"/>
        </a:xfrm>
        <a:prstGeom prst="rect">
          <a:avLst/>
        </a:prstGeom>
      </xdr:spPr>
    </xdr:pic>
    <xdr:clientData/>
  </xdr:twoCellAnchor>
  <xdr:twoCellAnchor editAs="oneCell">
    <xdr:from>
      <xdr:col>1</xdr:col>
      <xdr:colOff>488950</xdr:colOff>
      <xdr:row>0</xdr:row>
      <xdr:rowOff>0</xdr:rowOff>
    </xdr:from>
    <xdr:to>
      <xdr:col>2</xdr:col>
      <xdr:colOff>399596</xdr:colOff>
      <xdr:row>6</xdr:row>
      <xdr:rowOff>47171</xdr:rowOff>
    </xdr:to>
    <xdr:pic>
      <xdr:nvPicPr>
        <xdr:cNvPr id="4" name="Picture 3">
          <a:extLst>
            <a:ext uri="{FF2B5EF4-FFF2-40B4-BE49-F238E27FC236}">
              <a16:creationId xmlns:a16="http://schemas.microsoft.com/office/drawing/2014/main" id="{13184CC1-E5AB-45A2-8CAC-D44A870F86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8950" y="0"/>
          <a:ext cx="1618796" cy="16187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711200</xdr:colOff>
      <xdr:row>0</xdr:row>
      <xdr:rowOff>107950</xdr:rowOff>
    </xdr:from>
    <xdr:to>
      <xdr:col>4</xdr:col>
      <xdr:colOff>196850</xdr:colOff>
      <xdr:row>5</xdr:row>
      <xdr:rowOff>193287</xdr:rowOff>
    </xdr:to>
    <xdr:pic>
      <xdr:nvPicPr>
        <xdr:cNvPr id="3" name="Picture 2"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29F80C7B-6B71-436D-93DE-EE585BB0443D}"/>
            </a:ext>
          </a:extLst>
        </xdr:cNvPr>
        <xdr:cNvPicPr>
          <a:picLocks noChangeAspect="1"/>
        </xdr:cNvPicPr>
      </xdr:nvPicPr>
      <xdr:blipFill rotWithShape="1">
        <a:blip xmlns:r="http://schemas.openxmlformats.org/officeDocument/2006/relationships" r:embed="rId1"/>
        <a:srcRect l="29485" r="29750"/>
        <a:stretch>
          <a:fillRect/>
        </a:stretch>
      </xdr:blipFill>
      <xdr:spPr>
        <a:xfrm>
          <a:off x="2419350" y="107950"/>
          <a:ext cx="3924300" cy="1393437"/>
        </a:xfrm>
        <a:prstGeom prst="rect">
          <a:avLst/>
        </a:prstGeom>
      </xdr:spPr>
    </xdr:pic>
    <xdr:clientData/>
  </xdr:twoCellAnchor>
  <xdr:twoCellAnchor editAs="oneCell">
    <xdr:from>
      <xdr:col>1</xdr:col>
      <xdr:colOff>495300</xdr:colOff>
      <xdr:row>0</xdr:row>
      <xdr:rowOff>0</xdr:rowOff>
    </xdr:from>
    <xdr:to>
      <xdr:col>2</xdr:col>
      <xdr:colOff>412296</xdr:colOff>
      <xdr:row>6</xdr:row>
      <xdr:rowOff>50346</xdr:rowOff>
    </xdr:to>
    <xdr:pic>
      <xdr:nvPicPr>
        <xdr:cNvPr id="4" name="Picture 3">
          <a:extLst>
            <a:ext uri="{FF2B5EF4-FFF2-40B4-BE49-F238E27FC236}">
              <a16:creationId xmlns:a16="http://schemas.microsoft.com/office/drawing/2014/main" id="{B24C61D3-021F-4AC2-B368-B2F6E02FA37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5300" y="0"/>
          <a:ext cx="1618796" cy="16187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704850</xdr:colOff>
      <xdr:row>0</xdr:row>
      <xdr:rowOff>107950</xdr:rowOff>
    </xdr:from>
    <xdr:to>
      <xdr:col>4</xdr:col>
      <xdr:colOff>196850</xdr:colOff>
      <xdr:row>5</xdr:row>
      <xdr:rowOff>193287</xdr:rowOff>
    </xdr:to>
    <xdr:pic>
      <xdr:nvPicPr>
        <xdr:cNvPr id="5" name="Picture 4"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1B93CBCD-CD1F-419C-8307-BC01A6E2FD8F}"/>
            </a:ext>
          </a:extLst>
        </xdr:cNvPr>
        <xdr:cNvPicPr>
          <a:picLocks noChangeAspect="1"/>
        </xdr:cNvPicPr>
      </xdr:nvPicPr>
      <xdr:blipFill rotWithShape="1">
        <a:blip xmlns:r="http://schemas.openxmlformats.org/officeDocument/2006/relationships" r:embed="rId1"/>
        <a:srcRect l="29485" r="29750"/>
        <a:stretch>
          <a:fillRect/>
        </a:stretch>
      </xdr:blipFill>
      <xdr:spPr>
        <a:xfrm>
          <a:off x="2413000" y="107950"/>
          <a:ext cx="3924300" cy="1393437"/>
        </a:xfrm>
        <a:prstGeom prst="rect">
          <a:avLst/>
        </a:prstGeom>
      </xdr:spPr>
    </xdr:pic>
    <xdr:clientData/>
  </xdr:twoCellAnchor>
  <xdr:twoCellAnchor editAs="oneCell">
    <xdr:from>
      <xdr:col>1</xdr:col>
      <xdr:colOff>488950</xdr:colOff>
      <xdr:row>0</xdr:row>
      <xdr:rowOff>0</xdr:rowOff>
    </xdr:from>
    <xdr:to>
      <xdr:col>2</xdr:col>
      <xdr:colOff>399596</xdr:colOff>
      <xdr:row>6</xdr:row>
      <xdr:rowOff>50346</xdr:rowOff>
    </xdr:to>
    <xdr:pic>
      <xdr:nvPicPr>
        <xdr:cNvPr id="6" name="Picture 5">
          <a:extLst>
            <a:ext uri="{FF2B5EF4-FFF2-40B4-BE49-F238E27FC236}">
              <a16:creationId xmlns:a16="http://schemas.microsoft.com/office/drawing/2014/main" id="{3D0720E8-1E56-44D3-A0EB-CF607D23DF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8950" y="0"/>
          <a:ext cx="1618796" cy="16187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2517775</xdr:colOff>
      <xdr:row>0</xdr:row>
      <xdr:rowOff>107950</xdr:rowOff>
    </xdr:from>
    <xdr:to>
      <xdr:col>1</xdr:col>
      <xdr:colOff>6445250</xdr:colOff>
      <xdr:row>5</xdr:row>
      <xdr:rowOff>191699</xdr:rowOff>
    </xdr:to>
    <xdr:pic>
      <xdr:nvPicPr>
        <xdr:cNvPr id="2" name="Picture 1" descr="California Climate Investments, Cap and Trade Dollars at Work. California Air Resources Board, Benefits Calculator Tool for the Transit and Intercity Rail Capital Program.">
          <a:extLst>
            <a:ext uri="{FF2B5EF4-FFF2-40B4-BE49-F238E27FC236}">
              <a16:creationId xmlns:a16="http://schemas.microsoft.com/office/drawing/2014/main" id="{52C5E0C2-C412-4993-89AE-26D6FDB37A20}"/>
            </a:ext>
          </a:extLst>
        </xdr:cNvPr>
        <xdr:cNvPicPr>
          <a:picLocks noChangeAspect="1"/>
        </xdr:cNvPicPr>
      </xdr:nvPicPr>
      <xdr:blipFill rotWithShape="1">
        <a:blip xmlns:r="http://schemas.openxmlformats.org/officeDocument/2006/relationships" r:embed="rId1"/>
        <a:srcRect l="29485" r="29750"/>
        <a:stretch>
          <a:fillRect/>
        </a:stretch>
      </xdr:blipFill>
      <xdr:spPr>
        <a:xfrm>
          <a:off x="2720975" y="107950"/>
          <a:ext cx="3924300" cy="1385499"/>
        </a:xfrm>
        <a:prstGeom prst="rect">
          <a:avLst/>
        </a:prstGeom>
      </xdr:spPr>
    </xdr:pic>
    <xdr:clientData/>
  </xdr:twoCellAnchor>
  <xdr:twoCellAnchor editAs="oneCell">
    <xdr:from>
      <xdr:col>1</xdr:col>
      <xdr:colOff>593725</xdr:colOff>
      <xdr:row>0</xdr:row>
      <xdr:rowOff>0</xdr:rowOff>
    </xdr:from>
    <xdr:to>
      <xdr:col>1</xdr:col>
      <xdr:colOff>2212521</xdr:colOff>
      <xdr:row>6</xdr:row>
      <xdr:rowOff>50346</xdr:rowOff>
    </xdr:to>
    <xdr:pic>
      <xdr:nvPicPr>
        <xdr:cNvPr id="3" name="Picture 2">
          <a:extLst>
            <a:ext uri="{FF2B5EF4-FFF2-40B4-BE49-F238E27FC236}">
              <a16:creationId xmlns:a16="http://schemas.microsoft.com/office/drawing/2014/main" id="{2A2277B2-141C-40E0-9970-656659294A5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6925" y="0"/>
          <a:ext cx="1618796" cy="16092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CIB%20Benefits%20Section\State%20Agency%20Program%20FY%202016-17\AHSC\QM\QM%20FY17-18\Final%20Revised\sgc_ahsc_finalrevisedcalc_16-1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QCSISD/CIB%20Benefits%20Section/State%20Agency%20Program%20FY%202015-16/SGC/AHSC/Calculator/previous%20drafts/AHSC_QM_fy15-16_DRAFT_20160301_unlocked.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CIB%20Benefits%20Section\State%20Agency%20Program%20FY%202016-17\LCTOP\QM\caltrans_lctop_finalcalculator_16-17.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CIB%20Benefits%20Section\LCTOP\LCTOP%20FY%2018-19\QM\Final\Posted%20Version\archive\caltrans_lctop_finalcalculator_18-19_unlocke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QCSISD/Cap%20and%20Trade/LCTOP/02%20Program/02%20FY15-16/04%20Forms/5%20LCTOP%20Allocation%20RequestI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QCSISD/CIB%20Benefits%20Section/State%20Agency%20Program%20FY%202015-16/SGC/AHSC/Calculator/AHSC_QM_fy15-16_DRAFT_20160301_LOCKED.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QISD/Div/CIB%20Benefits%20Section/State%20Agency%20Program%20FY%202018-19/TIRCP/QM/Draft/calsta_tircp_draftcalculator_18-19.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1B%20Bond\Emissions%20Estimates\Calculators\2010%20Updated%20Calculators\TruckCalculator\updatestarted042820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CalEEMod Steps 4-6"/>
      <sheetName val="TAC Inputs"/>
      <sheetName val="GHG Summary"/>
      <sheetName val="Co-Benefits Summary"/>
      <sheetName val="Definitions"/>
      <sheetName val="GHG Calculations"/>
      <sheetName val="Criteria &amp; Toxics Calculations"/>
      <sheetName val="Defaults"/>
      <sheetName val="Auto GHGs"/>
      <sheetName val="Auto Criteria &amp; Toxics"/>
      <sheetName val="Cut-A-Way"/>
      <sheetName val="Van"/>
      <sheetName val="Transit Bus"/>
      <sheetName val="Train-criteria &amp; toxics"/>
      <sheetName val="Ferry-criteria &amp; toxi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aults"/>
      <sheetName val="TAC Inputs"/>
      <sheetName val="READ ME"/>
      <sheetName val="CalEEMod Steps 4-7"/>
      <sheetName val="GHG Summary"/>
      <sheetName val="Definitions"/>
      <sheetName val="GHG Calculations"/>
      <sheetName val="Auto GHGs"/>
      <sheetName val="Bus EF"/>
      <sheetName val="LDH EF"/>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Project Types by Category"/>
      <sheetName val="Required Fields by Category"/>
      <sheetName val="GHG Calculator "/>
      <sheetName val="Summary"/>
      <sheetName val="EF Default Tables"/>
      <sheetName val="GHG Calcs"/>
      <sheetName val="Defaults"/>
      <sheetName val="Van"/>
      <sheetName val="Cut-A-Way"/>
      <sheetName val="Over-Road Coach"/>
      <sheetName val="Transit Bus"/>
      <sheetName val="Auto GH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Project Info"/>
      <sheetName val="Inputs"/>
      <sheetName val="GHG Summary"/>
      <sheetName val="Co-benefits Summary"/>
      <sheetName val="Documentation"/>
      <sheetName val="GHG &amp; Cost Calcs"/>
      <sheetName val="GHG EF &amp; Fuel Price Tables"/>
      <sheetName val="Auto GHG EFs"/>
      <sheetName val="Van GHG EFs"/>
      <sheetName val="Cut-A-Way GHG EFs"/>
      <sheetName val="Transit Bus GHG EFs"/>
      <sheetName val="Criteria &amp; Toxics Calculations"/>
      <sheetName val="Van Criteria &amp; Toxic"/>
      <sheetName val="Passenger Auto Criteria &amp; Toxic"/>
      <sheetName val="Shuttle Criteria &amp; Toxic"/>
      <sheetName val="Motor Coach Criteria &amp; Toxic"/>
      <sheetName val="Transit Bus Criteria &amp; Toxic"/>
      <sheetName val="Ferry Criteria &amp; Toxics"/>
      <sheetName val="Locomotive Criteria &amp; Toxic"/>
      <sheetName val="Fuel Consumption Rates"/>
      <sheetName val="Lookup"/>
      <sheetName val="Defaul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READ ME!!"/>
      <sheetName val="Allocation-Request"/>
      <sheetName val="Attchment A"/>
      <sheetName val="Attchment B"/>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aults"/>
      <sheetName val="READ ME"/>
      <sheetName val="CalEEMod Steps 4-7"/>
      <sheetName val="TAC Inputs"/>
      <sheetName val="GHG Summary"/>
      <sheetName val="Definitions"/>
      <sheetName val="GHG Calculations"/>
      <sheetName val="Auto GHGs"/>
      <sheetName val="Bus EF"/>
      <sheetName val="LDH EF"/>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Quantifiable Component 1"/>
      <sheetName val="Quantifiable Component 2"/>
      <sheetName val="Quantifiable Component 3"/>
      <sheetName val="Quantifiable Component 4"/>
      <sheetName val="Quantifiable Component 5"/>
      <sheetName val="Quantifiable Component 6"/>
      <sheetName val="GHG Summary"/>
      <sheetName val="Co-benefits Summary"/>
      <sheetName val="GHG Calcs"/>
      <sheetName val="Co-Benefit Calcs"/>
      <sheetName val="Defaults"/>
      <sheetName val="Auto GHG"/>
      <sheetName val="Auto C&amp;T EF"/>
      <sheetName val="EF Default Tables"/>
      <sheetName val="Fuel Consumption"/>
      <sheetName val="Bus C&amp;T EF"/>
      <sheetName val="Van C&amp;T EF"/>
      <sheetName val="Shuttle C&amp;T EF"/>
      <sheetName val="Over-Road Coach C&amp;T 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ions"/>
      <sheetName val="Sample Inputs"/>
      <sheetName val="Input Data"/>
      <sheetName val="Benefits Summary"/>
      <sheetName val="V"/>
      <sheetName val="Calc Inputs"/>
      <sheetName val="Final Calculations"/>
      <sheetName val="3-Way-Truck8to8"/>
      <sheetName val="3-Way-TruckFinal"/>
      <sheetName val="3-Way-Truck8to8drayage"/>
      <sheetName val="3-Way-Truck7to7drayage"/>
      <sheetName val="3-Way-Truck7to7"/>
      <sheetName val="Final Calculationsclass7"/>
      <sheetName val="Final Calculationsclass8"/>
      <sheetName val="Baseline Calculations Class 8"/>
      <sheetName val="Baseline Cals Drayage Class8"/>
      <sheetName val="Baseline Calculations Class 7"/>
      <sheetName val="Baseline Cals Drayage Class7"/>
      <sheetName val="Funding Check"/>
      <sheetName val="HYBRID_Class8"/>
      <sheetName val="HYBRID_Class7"/>
      <sheetName val="DIESEL-LNG-CNG_Class8"/>
      <sheetName val="DIESEL-LNG-CNG_Class7"/>
      <sheetName val="RETROFITClass7"/>
      <sheetName val="RETROFITClass8"/>
      <sheetName val="2-truckfinal"/>
      <sheetName val="2-truck-newtruck7"/>
      <sheetName val="2-truck-newtruck8"/>
      <sheetName val="2-truckbaseline7"/>
      <sheetName val="2-truckbaselinedrayageclass7"/>
      <sheetName val="2-truckbaseline8"/>
      <sheetName val="2-truckbaselinedrayageclass8"/>
      <sheetName val="ER Diesel "/>
      <sheetName val="Valid Entries"/>
      <sheetName val="FE &amp; VMT - 2017 MYs"/>
      <sheetName val="CV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arb.ca.gov/cci-resources" TargetMode="External"/><Relationship Id="rId3" Type="http://schemas.openxmlformats.org/officeDocument/2006/relationships/hyperlink" Target="mailto:TIRCPcomments@dot.ca.gov" TargetMode="External"/><Relationship Id="rId7" Type="http://schemas.openxmlformats.org/officeDocument/2006/relationships/hyperlink" Target="mailto:GGRFProgram@arb.ca.gov" TargetMode="External"/><Relationship Id="rId2" Type="http://schemas.openxmlformats.org/officeDocument/2006/relationships/hyperlink" Target="http://www.arb.ca.gov/auctionproceeds" TargetMode="External"/><Relationship Id="rId1" Type="http://schemas.openxmlformats.org/officeDocument/2006/relationships/hyperlink" Target="mailto:GGRFProgram@arb.ca.gov" TargetMode="External"/><Relationship Id="rId6" Type="http://schemas.openxmlformats.org/officeDocument/2006/relationships/hyperlink" Target="mailto:TIRCPcomments@dot.ca.gov" TargetMode="External"/><Relationship Id="rId5" Type="http://schemas.openxmlformats.org/officeDocument/2006/relationships/hyperlink" Target="http://www.arb.ca.gov/cci-cobenefits." TargetMode="External"/><Relationship Id="rId10" Type="http://schemas.openxmlformats.org/officeDocument/2006/relationships/drawing" Target="../drawings/drawing1.xml"/><Relationship Id="rId4" Type="http://schemas.openxmlformats.org/officeDocument/2006/relationships/hyperlink" Target="http://www.arb.ca.gov/auctionproceeds"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2.arb.ca.gov/sites/default/files/classic/fuels/lcfs/fuelpathways/comments/tier2/elec_update.pdf" TargetMode="External"/><Relationship Id="rId1" Type="http://schemas.openxmlformats.org/officeDocument/2006/relationships/hyperlink" Target="https://www.arb.ca.gov/regact/2018/lcfs18/frolcfs.pdf" TargetMode="External"/><Relationship Id="rId5" Type="http://schemas.openxmlformats.org/officeDocument/2006/relationships/vmlDrawing" Target="../drawings/vmlDrawing9.vm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7.bin"/><Relationship Id="rId1" Type="http://schemas.openxmlformats.org/officeDocument/2006/relationships/hyperlink" Target="https://arb.ca.gov/emfac/" TargetMode="External"/><Relationship Id="rId4"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https://arb.ca.gov/emfac/" TargetMode="External"/><Relationship Id="rId4"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19.bin"/><Relationship Id="rId1" Type="http://schemas.openxmlformats.org/officeDocument/2006/relationships/hyperlink" Target="https://arb.ca.gov/emfac/" TargetMode="External"/><Relationship Id="rId4" Type="http://schemas.openxmlformats.org/officeDocument/2006/relationships/vmlDrawing" Target="../drawings/vmlDrawing12.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0.bin"/><Relationship Id="rId1" Type="http://schemas.openxmlformats.org/officeDocument/2006/relationships/hyperlink" Target="https://arb.ca.gov/emfac/" TargetMode="External"/><Relationship Id="rId4"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1.bin"/><Relationship Id="rId1" Type="http://schemas.openxmlformats.org/officeDocument/2006/relationships/hyperlink" Target="https://arb.ca.gov/emfac/" TargetMode="External"/><Relationship Id="rId4"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2.bin"/><Relationship Id="rId1" Type="http://schemas.openxmlformats.org/officeDocument/2006/relationships/hyperlink" Target="https://arb.ca.gov/emfac/" TargetMode="External"/><Relationship Id="rId4"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3.bin"/><Relationship Id="rId1" Type="http://schemas.openxmlformats.org/officeDocument/2006/relationships/hyperlink" Target="https://arb.ca.gov/emfac/" TargetMode="External"/><Relationship Id="rId4"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hyperlink" Target="https://ww3.arb.ca.gov/regact/2007/ordiesl07/frooal.pdf" TargetMode="External"/><Relationship Id="rId7" Type="http://schemas.openxmlformats.org/officeDocument/2006/relationships/hyperlink" Target="https://ww3.arb.ca.gov/regact/2007/ordiesl07/tsdappe.pdf" TargetMode="External"/><Relationship Id="rId2" Type="http://schemas.openxmlformats.org/officeDocument/2006/relationships/hyperlink" Target="https://nepis.epa.gov/Exe/ZyPDF.cgi/P100500B.PDF?Dockey=P100500B.PDF" TargetMode="External"/><Relationship Id="rId1" Type="http://schemas.openxmlformats.org/officeDocument/2006/relationships/hyperlink" Target="https://www.epa.gov/regulations-emissions-vehicles-and-engines/final-rule-control-emissions-air-pollution-locomotive" TargetMode="External"/><Relationship Id="rId6" Type="http://schemas.openxmlformats.org/officeDocument/2006/relationships/hyperlink" Target="https://ww2.arb.ca.gov/our-work/programs/mobile-source-emissions-inventory/road-documentation/msei-documentation-offroad-0" TargetMode="External"/><Relationship Id="rId5" Type="http://schemas.openxmlformats.org/officeDocument/2006/relationships/hyperlink" Target="https://www.arb.ca.gov/msei/ordiesel/ordieselstandards.xls" TargetMode="External"/><Relationship Id="rId10" Type="http://schemas.openxmlformats.org/officeDocument/2006/relationships/vmlDrawing" Target="../drawings/vmlDrawing17.vml"/><Relationship Id="rId4" Type="http://schemas.openxmlformats.org/officeDocument/2006/relationships/hyperlink" Target="https://ww3.arb.ca.gov/msprog/moyer/guidelines/current.htm" TargetMode="External"/><Relationship Id="rId9"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5.bin"/><Relationship Id="rId1" Type="http://schemas.openxmlformats.org/officeDocument/2006/relationships/hyperlink" Target="https://www.arb.ca.gov/msei/chc-appendix-b-emission-estimates-ver02-27-2012.pdf" TargetMode="External"/><Relationship Id="rId4"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2.arb.ca.gov/sites/default/files/auction-proceeds/final_energyfuelcost_am_2023.pdf" TargetMode="External"/><Relationship Id="rId1" Type="http://schemas.openxmlformats.org/officeDocument/2006/relationships/hyperlink" Target="https://ww2.arb.ca.gov/sites/default/files/auction-proceeds/final_travelcost_am_2022.pdf" TargetMode="External"/><Relationship Id="rId5" Type="http://schemas.openxmlformats.org/officeDocument/2006/relationships/vmlDrawing" Target="../drawings/vmlDrawing19.vm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34"/>
  <sheetViews>
    <sheetView showGridLines="0" tabSelected="1" zoomScaleNormal="100" zoomScaleSheetLayoutView="100" zoomScalePageLayoutView="70" workbookViewId="0">
      <selection activeCell="B12" sqref="B12:B14"/>
    </sheetView>
  </sheetViews>
  <sheetFormatPr defaultColWidth="9.08984375" defaultRowHeight="13" x14ac:dyDescent="0.3"/>
  <cols>
    <col min="1" max="1" width="2.90625" style="261" customWidth="1"/>
    <col min="2" max="2" width="167.08984375" style="261" customWidth="1"/>
    <col min="3" max="3" width="20" style="261" customWidth="1"/>
    <col min="4" max="4" width="167.08984375" style="261" hidden="1" customWidth="1"/>
    <col min="5" max="5" width="18" style="261" customWidth="1"/>
    <col min="6" max="6" width="16.90625" style="261" customWidth="1"/>
    <col min="7" max="8" width="15.453125" style="261" customWidth="1"/>
    <col min="9" max="9" width="18" style="261" customWidth="1"/>
    <col min="10" max="10" width="23" style="261" customWidth="1"/>
    <col min="11" max="16384" width="9.08984375" style="261"/>
  </cols>
  <sheetData>
    <row r="1" spans="1:5" ht="20.5" x14ac:dyDescent="0.3">
      <c r="A1" s="520"/>
      <c r="B1" s="520"/>
    </row>
    <row r="2" spans="1:5" ht="20.5" x14ac:dyDescent="0.3">
      <c r="A2" s="489"/>
    </row>
    <row r="3" spans="1:5" ht="20.5" x14ac:dyDescent="0.3">
      <c r="A3" s="519"/>
      <c r="B3" s="519"/>
    </row>
    <row r="4" spans="1:5" ht="20.5" x14ac:dyDescent="0.3">
      <c r="A4" s="518"/>
      <c r="B4" s="518"/>
    </row>
    <row r="5" spans="1:5" ht="20.5" x14ac:dyDescent="0.3">
      <c r="A5" s="490"/>
    </row>
    <row r="6" spans="1:5" ht="15" customHeight="1" x14ac:dyDescent="0.3">
      <c r="A6" s="518"/>
      <c r="B6" s="518"/>
    </row>
    <row r="7" spans="1:5" ht="15.75" customHeight="1" x14ac:dyDescent="0.3"/>
    <row r="8" spans="1:5" ht="15.75" customHeight="1" thickBot="1" x14ac:dyDescent="0.4">
      <c r="B8" s="491" t="s">
        <v>0</v>
      </c>
      <c r="D8" s="491" t="s">
        <v>0</v>
      </c>
    </row>
    <row r="9" spans="1:5" s="492" customFormat="1" ht="62" x14ac:dyDescent="0.25">
      <c r="B9" s="558" t="s">
        <v>1</v>
      </c>
      <c r="C9" s="373"/>
      <c r="D9" s="558" t="s">
        <v>1</v>
      </c>
      <c r="E9" s="373"/>
    </row>
    <row r="10" spans="1:5" s="493" customFormat="1" ht="17.25" customHeight="1" x14ac:dyDescent="0.35">
      <c r="B10" s="521" t="s">
        <v>2</v>
      </c>
      <c r="C10" s="373"/>
      <c r="D10" s="524" t="s">
        <v>3</v>
      </c>
      <c r="E10" s="373"/>
    </row>
    <row r="11" spans="1:5" s="493" customFormat="1" ht="17.25" customHeight="1" x14ac:dyDescent="0.35">
      <c r="B11" s="1557"/>
      <c r="C11" s="373"/>
      <c r="D11" s="525" t="s">
        <v>4</v>
      </c>
      <c r="E11" s="373"/>
    </row>
    <row r="12" spans="1:5" s="493" customFormat="1" ht="17.25" customHeight="1" x14ac:dyDescent="0.35">
      <c r="B12" s="1597" t="s">
        <v>5</v>
      </c>
      <c r="C12" s="373"/>
      <c r="D12" s="524" t="s">
        <v>6</v>
      </c>
      <c r="E12" s="373"/>
    </row>
    <row r="13" spans="1:5" s="493" customFormat="1" ht="17.25" customHeight="1" x14ac:dyDescent="0.35">
      <c r="B13" s="1597"/>
      <c r="C13" s="373"/>
      <c r="D13" s="526" t="s">
        <v>7</v>
      </c>
      <c r="E13" s="373"/>
    </row>
    <row r="14" spans="1:5" s="493" customFormat="1" ht="17.25" customHeight="1" x14ac:dyDescent="0.35">
      <c r="B14" s="1597"/>
      <c r="C14" s="373"/>
      <c r="D14" s="524" t="s">
        <v>8</v>
      </c>
      <c r="E14" s="373"/>
    </row>
    <row r="15" spans="1:5" s="493" customFormat="1" ht="17.25" customHeight="1" x14ac:dyDescent="0.35">
      <c r="B15" s="522" t="s">
        <v>9</v>
      </c>
      <c r="C15" s="373"/>
      <c r="D15" s="525" t="s">
        <v>10</v>
      </c>
      <c r="E15" s="373"/>
    </row>
    <row r="16" spans="1:5" s="493" customFormat="1" ht="17.25" customHeight="1" thickBot="1" x14ac:dyDescent="0.4">
      <c r="B16" s="522"/>
      <c r="C16" s="373"/>
      <c r="D16" s="527"/>
      <c r="E16" s="373"/>
    </row>
    <row r="17" spans="2:5" s="493" customFormat="1" ht="17.25" customHeight="1" x14ac:dyDescent="0.25">
      <c r="B17" s="1598" t="s">
        <v>6209</v>
      </c>
      <c r="C17" s="373"/>
      <c r="D17" s="494"/>
      <c r="E17" s="373"/>
    </row>
    <row r="18" spans="2:5" s="493" customFormat="1" ht="17.25" customHeight="1" thickBot="1" x14ac:dyDescent="0.4">
      <c r="B18" s="1598"/>
      <c r="C18" s="373"/>
      <c r="D18" s="491" t="s">
        <v>11</v>
      </c>
      <c r="E18" s="373"/>
    </row>
    <row r="19" spans="2:5" s="495" customFormat="1" ht="18.899999999999999" customHeight="1" x14ac:dyDescent="0.25">
      <c r="B19" s="1598"/>
      <c r="C19" s="517"/>
      <c r="D19" s="528" t="s">
        <v>12</v>
      </c>
      <c r="E19" s="517"/>
    </row>
    <row r="20" spans="2:5" s="495" customFormat="1" ht="15" customHeight="1" x14ac:dyDescent="0.25">
      <c r="B20" s="1343"/>
      <c r="C20" s="496"/>
      <c r="D20" s="529"/>
      <c r="E20" s="496"/>
    </row>
    <row r="21" spans="2:5" s="495" customFormat="1" ht="15" customHeight="1" x14ac:dyDescent="0.25">
      <c r="B21" s="523" t="s">
        <v>13</v>
      </c>
      <c r="C21" s="496"/>
      <c r="D21" s="557" t="s">
        <v>14</v>
      </c>
      <c r="E21" s="496"/>
    </row>
    <row r="22" spans="2:5" s="495" customFormat="1" ht="15" customHeight="1" x14ac:dyDescent="0.35">
      <c r="B22" s="524" t="s">
        <v>3</v>
      </c>
      <c r="C22" s="496"/>
      <c r="D22" s="557" t="s">
        <v>15</v>
      </c>
      <c r="E22" s="496"/>
    </row>
    <row r="23" spans="2:5" s="495" customFormat="1" ht="15" customHeight="1" x14ac:dyDescent="0.35">
      <c r="B23" s="525" t="s">
        <v>4</v>
      </c>
      <c r="C23" s="496"/>
      <c r="D23" s="529"/>
      <c r="E23" s="496"/>
    </row>
    <row r="24" spans="2:5" s="495" customFormat="1" ht="15" customHeight="1" x14ac:dyDescent="0.35">
      <c r="B24" s="524" t="s">
        <v>6</v>
      </c>
      <c r="C24" s="496"/>
      <c r="D24" s="557" t="s">
        <v>16</v>
      </c>
      <c r="E24" s="496"/>
    </row>
    <row r="25" spans="2:5" s="495" customFormat="1" ht="33" customHeight="1" x14ac:dyDescent="0.35">
      <c r="B25" s="526" t="s">
        <v>7</v>
      </c>
      <c r="C25" s="496"/>
      <c r="D25" s="557" t="s">
        <v>17</v>
      </c>
      <c r="E25" s="496"/>
    </row>
    <row r="26" spans="2:5" s="495" customFormat="1" ht="15" customHeight="1" x14ac:dyDescent="0.35">
      <c r="B26" s="524" t="s">
        <v>8</v>
      </c>
      <c r="C26" s="496"/>
      <c r="D26" s="529"/>
      <c r="E26" s="496"/>
    </row>
    <row r="27" spans="2:5" s="495" customFormat="1" ht="15" customHeight="1" x14ac:dyDescent="0.35">
      <c r="B27" s="525" t="s">
        <v>10</v>
      </c>
      <c r="C27" s="496"/>
      <c r="D27" s="557" t="s">
        <v>18</v>
      </c>
      <c r="E27" s="496"/>
    </row>
    <row r="28" spans="2:5" s="495" customFormat="1" ht="31.5" thickBot="1" x14ac:dyDescent="0.3">
      <c r="B28" s="527"/>
      <c r="C28" s="496"/>
      <c r="D28" s="557" t="s">
        <v>19</v>
      </c>
      <c r="E28" s="496"/>
    </row>
    <row r="29" spans="2:5" s="495" customFormat="1" ht="15" customHeight="1" x14ac:dyDescent="0.25">
      <c r="B29" s="494"/>
      <c r="C29" s="496"/>
      <c r="D29" s="557"/>
      <c r="E29" s="496"/>
    </row>
    <row r="30" spans="2:5" s="495" customFormat="1" ht="18" customHeight="1" thickBot="1" x14ac:dyDescent="0.4">
      <c r="B30" s="491" t="s">
        <v>11</v>
      </c>
      <c r="C30" s="496"/>
      <c r="D30" s="557" t="s">
        <v>20</v>
      </c>
      <c r="E30" s="496"/>
    </row>
    <row r="31" spans="2:5" s="495" customFormat="1" ht="62" x14ac:dyDescent="0.25">
      <c r="B31" s="528" t="s">
        <v>21</v>
      </c>
      <c r="C31" s="373"/>
      <c r="D31" s="557" t="s">
        <v>22</v>
      </c>
      <c r="E31" s="373"/>
    </row>
    <row r="32" spans="2:5" ht="15.5" x14ac:dyDescent="0.3">
      <c r="B32" s="529"/>
      <c r="D32" s="572"/>
    </row>
    <row r="33" spans="2:8" ht="170.5" x14ac:dyDescent="0.35">
      <c r="B33" s="557" t="s">
        <v>23</v>
      </c>
      <c r="C33" s="373"/>
      <c r="D33" s="1345"/>
      <c r="E33" s="373"/>
      <c r="F33" s="373"/>
      <c r="G33" s="373"/>
      <c r="H33" s="373"/>
    </row>
    <row r="34" spans="2:8" ht="16" thickBot="1" x14ac:dyDescent="0.4">
      <c r="B34" s="1344"/>
      <c r="C34" s="373"/>
      <c r="D34" s="1346"/>
      <c r="E34" s="373"/>
      <c r="F34" s="373"/>
      <c r="G34" s="373"/>
      <c r="H34" s="373"/>
    </row>
  </sheetData>
  <mergeCells count="2">
    <mergeCell ref="B12:B14"/>
    <mergeCell ref="B17:B19"/>
  </mergeCells>
  <hyperlinks>
    <hyperlink ref="D11" r:id="rId1" tooltip="Email to send questions on this Benefits Calculator Tool " xr:uid="{00000000-0004-0000-0000-000008000000}"/>
    <hyperlink ref="D13" r:id="rId2" tooltip="Link for more information on CARB’s efforts to support implementation of California Climate Investments" xr:uid="{00000000-0004-0000-0000-00000A000000}"/>
    <hyperlink ref="D15" r:id="rId3" tooltip="Email for questions pertaining to TIRCP" xr:uid="{00000000-0004-0000-0000-00000B000000}"/>
    <hyperlink ref="B25" r:id="rId4" tooltip="Link for more information on CARB’s efforts to support implementation of California Climate Investments" xr:uid="{871C8A6B-2428-44E3-8025-08B39F1C0EB9}"/>
    <hyperlink ref="B15" r:id="rId5" tooltip="Link to CARB Co-benefit Assessment Methodologies" xr:uid="{2F0E2F51-6A7D-433B-90A2-EBF82EBEDCFC}"/>
    <hyperlink ref="B27" r:id="rId6" tooltip="Email for questions pertaining to TIRCP" xr:uid="{A1B28428-5B44-4A7F-BFAD-8901EEE8137A}"/>
    <hyperlink ref="B23" r:id="rId7" tooltip="Email to send questions on this Benefits Calculator Tool " xr:uid="{2B208621-48F5-4BA5-BEE4-5E54B2580E12}"/>
    <hyperlink ref="B10" r:id="rId8" tooltip="Link to download this Benefits Calculator Tool " xr:uid="{3A7978FF-D6A9-4980-8E14-A3CBED352460}"/>
  </hyperlinks>
  <printOptions horizontalCentered="1"/>
  <pageMargins left="0.7" right="0.7" top="0.75" bottom="0.75" header="0.3" footer="0.3"/>
  <pageSetup scale="59" orientation="landscape" r:id="rId9"/>
  <headerFooter>
    <oddFooter>&amp;L&amp;"Avenir LT Std 55 Roman,Regular"&amp;12January 9, 2023&amp;C&amp;"Avenir LT Std 55 Roman,Regular"&amp;12&amp;P of &amp;N&amp;R&amp;"Avenir LT Std 55 Roman,Regular"&amp;12&amp;A</oddFooter>
  </headerFooter>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tabColor theme="2" tint="-9.9978637043366805E-2"/>
  </sheetPr>
  <dimension ref="A1:N103"/>
  <sheetViews>
    <sheetView showGridLines="0" zoomScaleNormal="100" zoomScaleSheetLayoutView="70" zoomScalePageLayoutView="70" workbookViewId="0">
      <selection activeCell="B2" sqref="B2"/>
    </sheetView>
  </sheetViews>
  <sheetFormatPr defaultColWidth="9.08984375" defaultRowHeight="13" x14ac:dyDescent="0.3"/>
  <cols>
    <col min="1" max="1" width="2.90625" style="439" customWidth="1"/>
    <col min="2" max="2" width="66.453125" style="261" customWidth="1"/>
    <col min="3" max="3" width="35.90625" style="261" customWidth="1"/>
    <col min="4" max="5" width="27.453125" style="261" customWidth="1"/>
    <col min="6" max="6" width="32.453125" style="261" customWidth="1"/>
    <col min="7" max="8" width="27.453125" style="261" customWidth="1"/>
    <col min="9" max="9" width="22.90625" style="261" customWidth="1"/>
    <col min="10" max="10" width="15.453125" style="261" customWidth="1"/>
    <col min="11" max="11" width="18" style="261" hidden="1" customWidth="1"/>
    <col min="12" max="12" width="23" style="261" hidden="1" customWidth="1"/>
    <col min="13" max="16384" width="9.08984375" style="261"/>
  </cols>
  <sheetData>
    <row r="1" spans="1:14" s="412" customFormat="1" ht="20.25" customHeight="1" x14ac:dyDescent="0.45">
      <c r="A1" s="411"/>
      <c r="E1" s="413"/>
    </row>
    <row r="2" spans="1:14" s="412" customFormat="1" ht="20.25" customHeight="1" x14ac:dyDescent="0.45">
      <c r="A2" s="411"/>
      <c r="E2" s="413"/>
    </row>
    <row r="3" spans="1:14" s="412" customFormat="1" ht="20.25" customHeight="1" x14ac:dyDescent="0.45">
      <c r="A3" s="411"/>
      <c r="E3" s="413"/>
    </row>
    <row r="4" spans="1:14" s="412" customFormat="1" ht="20.25" customHeight="1" x14ac:dyDescent="0.45">
      <c r="A4" s="411"/>
      <c r="E4" s="413"/>
    </row>
    <row r="5" spans="1:14" s="412" customFormat="1" ht="20.25" customHeight="1" x14ac:dyDescent="0.45">
      <c r="A5" s="411"/>
      <c r="E5" s="413"/>
    </row>
    <row r="6" spans="1:14" s="412" customFormat="1" ht="20.25" customHeight="1" x14ac:dyDescent="0.45">
      <c r="A6" s="411"/>
      <c r="D6" s="414"/>
      <c r="E6" s="413"/>
    </row>
    <row r="7" spans="1:14" s="412" customFormat="1" ht="12" customHeight="1" x14ac:dyDescent="0.45">
      <c r="A7" s="411"/>
    </row>
    <row r="8" spans="1:14" s="412" customFormat="1" ht="20.5" x14ac:dyDescent="0.45">
      <c r="A8" s="411"/>
      <c r="B8" s="820" t="s">
        <v>176</v>
      </c>
    </row>
    <row r="9" spans="1:14" s="117" customFormat="1" ht="20.25" customHeight="1" x14ac:dyDescent="0.35">
      <c r="A9" s="415"/>
      <c r="B9" s="836" t="s">
        <v>35</v>
      </c>
      <c r="C9" s="573" t="str">
        <f>IF('Project Info'!E13="","",'Project Info'!E13)</f>
        <v/>
      </c>
      <c r="D9" s="574"/>
      <c r="E9" s="575"/>
      <c r="K9" s="804" t="s">
        <v>34</v>
      </c>
    </row>
    <row r="10" spans="1:14" s="117" customFormat="1" ht="16" thickBot="1" x14ac:dyDescent="0.4">
      <c r="A10" s="415"/>
      <c r="B10" s="416"/>
      <c r="C10" s="264"/>
      <c r="D10" s="264"/>
      <c r="K10" s="639" t="s">
        <v>36</v>
      </c>
      <c r="L10" s="639" t="s">
        <v>37</v>
      </c>
      <c r="M10" s="121"/>
      <c r="N10" s="121"/>
    </row>
    <row r="11" spans="1:14" s="117" customFormat="1" ht="54" customHeight="1" thickBot="1" x14ac:dyDescent="0.4">
      <c r="A11" s="415"/>
      <c r="B11" s="417"/>
      <c r="C11" s="732" t="s">
        <v>199</v>
      </c>
      <c r="D11" s="732" t="s">
        <v>200</v>
      </c>
      <c r="E11" s="732" t="s">
        <v>201</v>
      </c>
      <c r="F11" s="732" t="s">
        <v>202</v>
      </c>
      <c r="G11" s="732" t="s">
        <v>203</v>
      </c>
      <c r="H11" s="732" t="s">
        <v>204</v>
      </c>
      <c r="I11" s="418" t="s">
        <v>205</v>
      </c>
      <c r="K11" s="792" t="s">
        <v>43</v>
      </c>
      <c r="L11" s="793"/>
    </row>
    <row r="12" spans="1:14" s="117" customFormat="1" ht="84.9" customHeight="1" thickBot="1" x14ac:dyDescent="0.4">
      <c r="A12" s="415"/>
      <c r="B12" s="419" t="s">
        <v>185</v>
      </c>
      <c r="C12" s="824" t="str">
        <f>'GHG Summary'!C12</f>
        <v/>
      </c>
      <c r="D12" s="734" t="str">
        <f>'GHG Summary'!D12</f>
        <v/>
      </c>
      <c r="E12" s="734" t="str">
        <f>'GHG Summary'!E12</f>
        <v/>
      </c>
      <c r="F12" s="734" t="str">
        <f>'GHG Summary'!F12</f>
        <v/>
      </c>
      <c r="G12" s="734" t="str">
        <f>'GHG Summary'!G12</f>
        <v/>
      </c>
      <c r="H12" s="734" t="str">
        <f>'GHG Summary'!H12</f>
        <v/>
      </c>
      <c r="I12" s="420"/>
      <c r="K12" s="792" t="s">
        <v>43</v>
      </c>
      <c r="L12" s="642"/>
    </row>
    <row r="13" spans="1:14" s="117" customFormat="1" ht="15" customHeight="1" thickBot="1" x14ac:dyDescent="0.4">
      <c r="A13" s="415"/>
      <c r="B13" s="861" t="s">
        <v>206</v>
      </c>
      <c r="C13" s="808"/>
      <c r="D13" s="808"/>
      <c r="E13" s="808"/>
      <c r="F13" s="808"/>
      <c r="G13" s="808"/>
      <c r="H13" s="808"/>
      <c r="I13" s="825"/>
      <c r="K13" s="792" t="s">
        <v>43</v>
      </c>
      <c r="L13" s="641"/>
    </row>
    <row r="14" spans="1:14" s="117" customFormat="1" ht="33.75" customHeight="1" x14ac:dyDescent="0.35">
      <c r="A14" s="862"/>
      <c r="B14" s="421" t="s">
        <v>207</v>
      </c>
      <c r="C14" s="826">
        <f ca="1">IFERROR('Co-Benefit Calcs'!AH55,"")</f>
        <v>0</v>
      </c>
      <c r="D14" s="735">
        <f ca="1">IFERROR('Co-Benefit Calcs'!AH58,"")</f>
        <v>0</v>
      </c>
      <c r="E14" s="735">
        <f ca="1">IFERROR('Co-Benefit Calcs'!AH61,"")</f>
        <v>0</v>
      </c>
      <c r="F14" s="735">
        <f ca="1">IFERROR('Co-Benefit Calcs'!AH64,"")</f>
        <v>0</v>
      </c>
      <c r="G14" s="735">
        <f ca="1">IFERROR('Co-Benefit Calcs'!AH67,"")</f>
        <v>0</v>
      </c>
      <c r="H14" s="729">
        <f ca="1">IFERROR('Co-Benefit Calcs'!AH70,"")</f>
        <v>0</v>
      </c>
      <c r="I14" s="422">
        <f ca="1">IF(SUM(C14:H14)=0,0,SUM(C14:H14))</f>
        <v>0</v>
      </c>
      <c r="K14" s="792" t="s">
        <v>43</v>
      </c>
      <c r="L14" s="641"/>
    </row>
    <row r="15" spans="1:14" s="117" customFormat="1" ht="33.75" customHeight="1" x14ac:dyDescent="0.35">
      <c r="A15" s="862"/>
      <c r="B15" s="423" t="s">
        <v>208</v>
      </c>
      <c r="C15" s="827">
        <f ca="1">IFERROR('Co-Benefit Calcs'!AC55,"")</f>
        <v>0</v>
      </c>
      <c r="D15" s="733">
        <f ca="1">IFERROR('Co-Benefit Calcs'!AC58,"")</f>
        <v>0</v>
      </c>
      <c r="E15" s="733">
        <f ca="1">IFERROR('Co-Benefit Calcs'!AC61,"")</f>
        <v>0</v>
      </c>
      <c r="F15" s="733">
        <f ca="1">IFERROR('Co-Benefit Calcs'!AC64,"")</f>
        <v>0</v>
      </c>
      <c r="G15" s="733">
        <f ca="1">IFERROR('Co-Benefit Calcs'!AC67,"")</f>
        <v>0</v>
      </c>
      <c r="H15" s="733">
        <f ca="1">IFERROR('Co-Benefit Calcs'!AC70,"")</f>
        <v>0</v>
      </c>
      <c r="I15" s="424" t="str">
        <f ca="1">IF(SUM(C15:H15)=0,"",SUM(C15:H15))</f>
        <v/>
      </c>
      <c r="K15" s="792" t="s">
        <v>43</v>
      </c>
      <c r="L15" s="641"/>
    </row>
    <row r="16" spans="1:14" s="117" customFormat="1" ht="33.75" customHeight="1" x14ac:dyDescent="0.35">
      <c r="A16" s="862"/>
      <c r="B16" s="423" t="s">
        <v>209</v>
      </c>
      <c r="C16" s="828">
        <f ca="1">IFERROR('Co-Benefit Calcs'!AD55,"")</f>
        <v>0</v>
      </c>
      <c r="D16" s="731">
        <f ca="1">IFERROR('Co-Benefit Calcs'!AD58,"")</f>
        <v>0</v>
      </c>
      <c r="E16" s="731">
        <f ca="1">IFERROR('Co-Benefit Calcs'!AD61,"")</f>
        <v>0</v>
      </c>
      <c r="F16" s="731">
        <f ca="1">IFERROR('Co-Benefit Calcs'!AD64,"")</f>
        <v>0</v>
      </c>
      <c r="G16" s="731">
        <f ca="1">IFERROR('Co-Benefit Calcs'!AD67,"")</f>
        <v>0</v>
      </c>
      <c r="H16" s="733">
        <f ca="1">IFERROR('Co-Benefit Calcs'!AD70,"")</f>
        <v>0</v>
      </c>
      <c r="I16" s="424" t="str">
        <f ca="1">IF(SUM(C16:H16)=0,"",SUM(C16:H16))</f>
        <v/>
      </c>
      <c r="K16" s="792" t="s">
        <v>43</v>
      </c>
      <c r="L16" s="641"/>
    </row>
    <row r="17" spans="1:12" s="117" customFormat="1" ht="33.75" hidden="1" customHeight="1" x14ac:dyDescent="0.35">
      <c r="A17" s="863"/>
      <c r="B17" s="423" t="s">
        <v>210</v>
      </c>
      <c r="C17" s="828">
        <f ca="1">IFERROR('Co-Benefit Calcs'!AE55,"")</f>
        <v>0</v>
      </c>
      <c r="D17" s="731" t="str">
        <f>IFERROR('Co-Benefit Calcs'!#REF!,"")</f>
        <v/>
      </c>
      <c r="E17" s="731" t="str">
        <f>IFERROR('Co-Benefit Calcs'!#REF!,"")</f>
        <v/>
      </c>
      <c r="F17" s="731" t="str">
        <f>IFERROR('Co-Benefit Calcs'!#REF!,"")</f>
        <v/>
      </c>
      <c r="G17" s="731" t="str">
        <f>IFERROR('Co-Benefit Calcs'!#REF!,"")</f>
        <v/>
      </c>
      <c r="H17" s="733" t="str">
        <f>IFERROR('Co-Benefit Calcs'!#REF!,"")</f>
        <v/>
      </c>
      <c r="I17" s="424" t="str">
        <f ca="1">IF(SUM(C17:H17)=0,"",SUM(C17:H17))</f>
        <v/>
      </c>
      <c r="K17" s="792" t="s">
        <v>43</v>
      </c>
      <c r="L17" s="641"/>
    </row>
    <row r="18" spans="1:12" s="117" customFormat="1" ht="33.75" customHeight="1" x14ac:dyDescent="0.35">
      <c r="A18" s="863"/>
      <c r="B18" s="423" t="s">
        <v>211</v>
      </c>
      <c r="C18" s="829">
        <f ca="1">IFERROR('Co-Benefit Calcs'!AF55,"")</f>
        <v>0</v>
      </c>
      <c r="D18" s="736">
        <f ca="1">IFERROR('Co-Benefit Calcs'!AF58,"")</f>
        <v>0</v>
      </c>
      <c r="E18" s="736">
        <f ca="1">IFERROR('Co-Benefit Calcs'!AF61,"")</f>
        <v>0</v>
      </c>
      <c r="F18" s="736">
        <f ca="1">IFERROR('Co-Benefit Calcs'!AF64,"")</f>
        <v>0</v>
      </c>
      <c r="G18" s="736">
        <f ca="1">IFERROR('Co-Benefit Calcs'!AF67,"")</f>
        <v>0</v>
      </c>
      <c r="H18" s="835">
        <f ca="1">IFERROR('Co-Benefit Calcs'!AF70,"")</f>
        <v>0</v>
      </c>
      <c r="I18" s="425" t="str">
        <f ca="1">IF(SUM(C18:H18)=0,"",SUM(C18:H18))</f>
        <v/>
      </c>
      <c r="K18" s="792" t="s">
        <v>43</v>
      </c>
      <c r="L18" s="641"/>
    </row>
    <row r="19" spans="1:12" s="117" customFormat="1" ht="33.75" customHeight="1" thickBot="1" x14ac:dyDescent="0.4">
      <c r="A19" s="863"/>
      <c r="B19" s="426" t="s">
        <v>212</v>
      </c>
      <c r="C19" s="830">
        <f ca="1">IFERROR('Co-Benefit Calcs'!AG55,"")</f>
        <v>0</v>
      </c>
      <c r="D19" s="740">
        <f ca="1">IFERROR('Co-Benefit Calcs'!AG58,"")</f>
        <v>0</v>
      </c>
      <c r="E19" s="740">
        <f ca="1">IFERROR('Co-Benefit Calcs'!AG61,"")</f>
        <v>0</v>
      </c>
      <c r="F19" s="740">
        <f ca="1">IFERROR('Co-Benefit Calcs'!AG64,"")</f>
        <v>0</v>
      </c>
      <c r="G19" s="740">
        <f ca="1">IFERROR('Co-Benefit Calcs'!AG67,"")</f>
        <v>0</v>
      </c>
      <c r="H19" s="739">
        <f ca="1">IFERROR('Co-Benefit Calcs'!AG70,"")</f>
        <v>0</v>
      </c>
      <c r="I19" s="427" t="str">
        <f ca="1">IF(SUM(C19:H19)=0,"",SUM(C19:H19))</f>
        <v/>
      </c>
      <c r="K19" s="792" t="s">
        <v>43</v>
      </c>
      <c r="L19" s="641"/>
    </row>
    <row r="20" spans="1:12" s="117" customFormat="1" ht="20.149999999999999" customHeight="1" x14ac:dyDescent="0.35">
      <c r="A20" s="862"/>
      <c r="B20" s="428" t="s">
        <v>213</v>
      </c>
      <c r="C20" s="831">
        <f ca="1">IFERROR('Co-Benefit Calcs'!U55,"")</f>
        <v>0</v>
      </c>
      <c r="D20" s="730">
        <f ca="1">IFERROR('Co-Benefit Calcs'!U58,"")</f>
        <v>0</v>
      </c>
      <c r="E20" s="730">
        <f ca="1">IFERROR('Co-Benefit Calcs'!U61,"")</f>
        <v>0</v>
      </c>
      <c r="F20" s="730">
        <f ca="1">IFERROR('Co-Benefit Calcs'!U64,"")</f>
        <v>0</v>
      </c>
      <c r="G20" s="730">
        <f ca="1">IFERROR('Co-Benefit Calcs'!U67,"")</f>
        <v>0</v>
      </c>
      <c r="H20" s="729">
        <f ca="1">IFERROR('Co-Benefit Calcs'!U70,"")</f>
        <v>0</v>
      </c>
      <c r="I20" s="422">
        <f ca="1">IF(SUM(C20:H20)=0,0,SUM(C20:H20))</f>
        <v>0</v>
      </c>
      <c r="K20" s="792" t="s">
        <v>43</v>
      </c>
      <c r="L20" s="641"/>
    </row>
    <row r="21" spans="1:12" s="117" customFormat="1" ht="20.149999999999999" customHeight="1" x14ac:dyDescent="0.35">
      <c r="A21" s="862"/>
      <c r="B21" s="423" t="s">
        <v>214</v>
      </c>
      <c r="C21" s="827">
        <f ca="1">IFERROR('Co-Benefit Calcs'!V55,"")</f>
        <v>0</v>
      </c>
      <c r="D21" s="733">
        <f ca="1">IFERROR('Co-Benefit Calcs'!V58,"")</f>
        <v>0</v>
      </c>
      <c r="E21" s="733">
        <f ca="1">IFERROR('Co-Benefit Calcs'!V61,"")</f>
        <v>0</v>
      </c>
      <c r="F21" s="733">
        <f ca="1">IFERROR('Co-Benefit Calcs'!V64,"")</f>
        <v>0</v>
      </c>
      <c r="G21" s="733">
        <f ca="1">IFERROR('Co-Benefit Calcs'!V67,"")</f>
        <v>0</v>
      </c>
      <c r="H21" s="733">
        <f ca="1">IFERROR('Co-Benefit Calcs'!V70,"")</f>
        <v>0</v>
      </c>
      <c r="I21" s="424">
        <f ca="1">IF(SUM(C21:H21)=0,0,SUM(C21:H21))</f>
        <v>0</v>
      </c>
      <c r="K21" s="792" t="s">
        <v>43</v>
      </c>
      <c r="L21" s="641"/>
    </row>
    <row r="22" spans="1:12" s="117" customFormat="1" ht="20.149999999999999" customHeight="1" x14ac:dyDescent="0.35">
      <c r="A22" s="862"/>
      <c r="B22" s="423" t="s">
        <v>215</v>
      </c>
      <c r="C22" s="827">
        <f ca="1">IFERROR('Co-Benefit Calcs'!W55,"")</f>
        <v>0</v>
      </c>
      <c r="D22" s="733">
        <f ca="1">IFERROR('Co-Benefit Calcs'!W58,"")</f>
        <v>0</v>
      </c>
      <c r="E22" s="733">
        <f ca="1">IFERROR('Co-Benefit Calcs'!W61,"")</f>
        <v>0</v>
      </c>
      <c r="F22" s="733">
        <f ca="1">IFERROR('Co-Benefit Calcs'!W64,"")</f>
        <v>0</v>
      </c>
      <c r="G22" s="733">
        <f ca="1">IFERROR('Co-Benefit Calcs'!W67,"")</f>
        <v>0</v>
      </c>
      <c r="H22" s="733">
        <f ca="1">IFERROR('Co-Benefit Calcs'!W70,"")</f>
        <v>0</v>
      </c>
      <c r="I22" s="424">
        <f ca="1">IF(SUM(C22:H22)=0,0,SUM(C22:H22))</f>
        <v>0</v>
      </c>
      <c r="K22" s="792" t="s">
        <v>43</v>
      </c>
      <c r="L22" s="641"/>
    </row>
    <row r="23" spans="1:12" s="117" customFormat="1" ht="20.149999999999999" customHeight="1" thickBot="1" x14ac:dyDescent="0.4">
      <c r="A23" s="862"/>
      <c r="B23" s="426" t="s">
        <v>216</v>
      </c>
      <c r="C23" s="832">
        <f ca="1">IFERROR('Co-Benefit Calcs'!X55,"")</f>
        <v>0</v>
      </c>
      <c r="D23" s="728">
        <f ca="1">IFERROR('Co-Benefit Calcs'!X58,"")</f>
        <v>0</v>
      </c>
      <c r="E23" s="728">
        <f ca="1">IFERROR('Co-Benefit Calcs'!X61,"")</f>
        <v>0</v>
      </c>
      <c r="F23" s="728">
        <f ca="1">IFERROR('Co-Benefit Calcs'!X64,"")</f>
        <v>0</v>
      </c>
      <c r="G23" s="728">
        <f ca="1">IFERROR('Co-Benefit Calcs'!X67,"")</f>
        <v>0</v>
      </c>
      <c r="H23" s="728">
        <f ca="1">IFERROR('Co-Benefit Calcs'!X70,"")</f>
        <v>0</v>
      </c>
      <c r="I23" s="429">
        <f ca="1">IF(SUM(C23:H23)=0,0,SUM(C23:H23))</f>
        <v>0</v>
      </c>
      <c r="K23" s="792" t="s">
        <v>43</v>
      </c>
      <c r="L23" s="641"/>
    </row>
    <row r="24" spans="1:12" s="117" customFormat="1" ht="15" customHeight="1" thickBot="1" x14ac:dyDescent="0.4">
      <c r="A24" s="415"/>
      <c r="B24" s="861" t="s">
        <v>191</v>
      </c>
      <c r="C24" s="808"/>
      <c r="D24" s="808"/>
      <c r="E24" s="808"/>
      <c r="F24" s="808"/>
      <c r="G24" s="808"/>
      <c r="H24" s="808"/>
      <c r="I24" s="825"/>
      <c r="K24" s="792" t="s">
        <v>43</v>
      </c>
      <c r="L24" s="641"/>
    </row>
    <row r="25" spans="1:12" s="117" customFormat="1" ht="33.75" customHeight="1" x14ac:dyDescent="0.35">
      <c r="A25" s="862"/>
      <c r="B25" s="421" t="s">
        <v>207</v>
      </c>
      <c r="C25" s="833">
        <f ca="1">IFERROR(IF(C14="","",IF('GHG Summary'!$C$20='GHG Summary'!$C$16,'Co-benefits Summary'!C14,C14*'GHG Summary'!$C$20/'GHG Summary'!$C$16)),"")</f>
        <v>0</v>
      </c>
      <c r="D25" s="729">
        <f ca="1">IFERROR(IF(D14="","",IF('GHG Summary'!$D$20='GHG Summary'!$D$16,'Co-benefits Summary'!D14,D14*'GHG Summary'!$D$20/'GHG Summary'!$D$16)),"")</f>
        <v>0</v>
      </c>
      <c r="E25" s="729">
        <f ca="1">IFERROR(IF(E14="","",IF('GHG Summary'!$E$20='GHG Summary'!$E$16,'Co-benefits Summary'!E14,E14*('GHG Summary'!$E$20/'GHG Summary'!$E$16))),"")</f>
        <v>0</v>
      </c>
      <c r="F25" s="729">
        <f ca="1">IFERROR(IF(F14="","",IF('GHG Summary'!$F$20='GHG Summary'!$F$16,'Co-benefits Summary'!F14,F14*'GHG Summary'!$F$20/'GHG Summary'!$F$16)),"")</f>
        <v>0</v>
      </c>
      <c r="G25" s="729">
        <f ca="1">IFERROR(IF(G14="","",IF('GHG Summary'!$G$20='GHG Summary'!$G$16,'Co-benefits Summary'!G14,G14*'GHG Summary'!$G$20/'GHG Summary'!$G$16)),"")</f>
        <v>0</v>
      </c>
      <c r="H25" s="729">
        <f ca="1">IFERROR(IF(H14="","",IF('GHG Summary'!$H$20='GHG Summary'!$H$16,'Co-benefits Summary'!H14,H14*'GHG Summary'!$H$20/'GHG Summary'!$H$16)),"")</f>
        <v>0</v>
      </c>
      <c r="I25" s="422" t="str">
        <f t="shared" ref="I25:I30" ca="1" si="0">IF(SUM(C25:H25)=0,"",SUM(C25:H25))</f>
        <v/>
      </c>
      <c r="J25" s="430"/>
      <c r="K25" s="792" t="s">
        <v>43</v>
      </c>
      <c r="L25" s="641"/>
    </row>
    <row r="26" spans="1:12" s="117" customFormat="1" ht="33.75" customHeight="1" x14ac:dyDescent="0.35">
      <c r="A26" s="862"/>
      <c r="B26" s="423" t="s">
        <v>208</v>
      </c>
      <c r="C26" s="831">
        <f ca="1">IFERROR(IF(C15="","",IF('GHG Summary'!$C$20='GHG Summary'!$C$16,'Co-benefits Summary'!C15,C15*'GHG Summary'!$C$20/'GHG Summary'!$C$16)),"")</f>
        <v>0</v>
      </c>
      <c r="D26" s="730">
        <f ca="1">IFERROR(IF(D15="","",IF('GHG Summary'!$D$20='GHG Summary'!$D$16,'Co-benefits Summary'!D15,D15*'GHG Summary'!$D$20/'GHG Summary'!$D$16)),"")</f>
        <v>0</v>
      </c>
      <c r="E26" s="730">
        <f ca="1">IFERROR(IF(E15="","",IF('GHG Summary'!$E$20='GHG Summary'!$E$16,'Co-benefits Summary'!E15,E15*('GHG Summary'!$E$20/'GHG Summary'!$E$16))),"")</f>
        <v>0</v>
      </c>
      <c r="F26" s="730">
        <f ca="1">IFERROR(IF(F15="","",IF('GHG Summary'!$F$20='GHG Summary'!$F$16,'Co-benefits Summary'!F15,F15*'GHG Summary'!$F$20/'GHG Summary'!$F$16)),"")</f>
        <v>0</v>
      </c>
      <c r="G26" s="730">
        <f ca="1">IFERROR(IF(G15="","",IF('GHG Summary'!$G$20='GHG Summary'!$G$16,'Co-benefits Summary'!G15,G15*'GHG Summary'!$G$20/'GHG Summary'!$G$16)),"")</f>
        <v>0</v>
      </c>
      <c r="H26" s="733">
        <f ca="1">IFERROR(IF(H15="","",IF('GHG Summary'!$H$20='GHG Summary'!$H$16,'Co-benefits Summary'!H15,H15*'GHG Summary'!$H$20/'GHG Summary'!$H$16)),"")</f>
        <v>0</v>
      </c>
      <c r="I26" s="431" t="str">
        <f t="shared" ca="1" si="0"/>
        <v/>
      </c>
      <c r="K26" s="792" t="s">
        <v>43</v>
      </c>
      <c r="L26" s="641"/>
    </row>
    <row r="27" spans="1:12" s="117" customFormat="1" ht="33.75" customHeight="1" x14ac:dyDescent="0.35">
      <c r="A27" s="862"/>
      <c r="B27" s="432" t="s">
        <v>209</v>
      </c>
      <c r="C27" s="828">
        <f ca="1">IFERROR(IF(C16="","",IF('GHG Summary'!$C$20='GHG Summary'!$C$16,'Co-benefits Summary'!C16,C16*'GHG Summary'!$C$20/'GHG Summary'!$C$16)),"")</f>
        <v>0</v>
      </c>
      <c r="D27" s="731">
        <f ca="1">IFERROR(IF(D16="","",IF('GHG Summary'!$D$20='GHG Summary'!$D$16,'Co-benefits Summary'!D16,D16*'GHG Summary'!$D$20/'GHG Summary'!$D$16)),"")</f>
        <v>0</v>
      </c>
      <c r="E27" s="731">
        <f ca="1">IFERROR(IF(E16="","",IF('GHG Summary'!$E$20='GHG Summary'!$E$16,'Co-benefits Summary'!E16,E16*('GHG Summary'!$E$20/'GHG Summary'!$E$16))),"")</f>
        <v>0</v>
      </c>
      <c r="F27" s="731">
        <f ca="1">IFERROR(IF(F16="","",IF('GHG Summary'!$F$20='GHG Summary'!$F$16,'Co-benefits Summary'!F16,F16*'GHG Summary'!$F$20/'GHG Summary'!$F$16)),"")</f>
        <v>0</v>
      </c>
      <c r="G27" s="731">
        <f ca="1">IFERROR(IF(G16="","",IF('GHG Summary'!$G$20='GHG Summary'!$G$16,'Co-benefits Summary'!G16,G16*'GHG Summary'!$G$20/'GHG Summary'!$G$16)),"")</f>
        <v>0</v>
      </c>
      <c r="H27" s="733">
        <f ca="1">IFERROR(IF(H16="","",IF('GHG Summary'!$H$20='GHG Summary'!$H$16,'Co-benefits Summary'!H16,H16*'GHG Summary'!$H$20/'GHG Summary'!$H$16)),"")</f>
        <v>0</v>
      </c>
      <c r="I27" s="424" t="str">
        <f t="shared" ca="1" si="0"/>
        <v/>
      </c>
      <c r="K27" s="792" t="s">
        <v>43</v>
      </c>
      <c r="L27" s="641"/>
    </row>
    <row r="28" spans="1:12" s="117" customFormat="1" ht="33.75" hidden="1" customHeight="1" x14ac:dyDescent="0.35">
      <c r="A28" s="863"/>
      <c r="B28" s="423" t="s">
        <v>210</v>
      </c>
      <c r="C28" s="828">
        <f ca="1">IFERROR(IF(C17="","",IF('GHG Summary'!$C$20='GHG Summary'!$C$16,'Co-benefits Summary'!C17,C17*'GHG Summary'!$C$20/'GHG Summary'!$C$16)),"")</f>
        <v>0</v>
      </c>
      <c r="D28" s="731" t="str">
        <f>IFERROR(IF(D17="","",IF('GHG Summary'!$D$20='GHG Summary'!$D$16,'Co-benefits Summary'!D17,D17*'GHG Summary'!$D$20/'GHG Summary'!$D$16)),"")</f>
        <v/>
      </c>
      <c r="E28" s="731" t="str">
        <f>IFERROR(IF(E17="","",IF('GHG Summary'!$E$20='GHG Summary'!$E$16,'Co-benefits Summary'!E17,E17*('GHG Summary'!$E$20/'GHG Summary'!$E$16))),"")</f>
        <v/>
      </c>
      <c r="F28" s="731" t="str">
        <f>IFERROR(IF(F17="","",IF('GHG Summary'!$F$20='GHG Summary'!$F$16,'Co-benefits Summary'!F17,F17*'GHG Summary'!$F$20/'GHG Summary'!$F$16)),"")</f>
        <v/>
      </c>
      <c r="G28" s="731" t="str">
        <f>IFERROR(IF(G17="","",IF('GHG Summary'!$G$20='GHG Summary'!$G$16,'Co-benefits Summary'!G17,G17*'GHG Summary'!$G$20/'GHG Summary'!$G$16)),"")</f>
        <v/>
      </c>
      <c r="H28" s="733" t="str">
        <f>IFERROR(IF(H17="","",IF('GHG Summary'!$H$20='GHG Summary'!$H$16,'Co-benefits Summary'!H17,H17*'GHG Summary'!$H$20/'GHG Summary'!$H$16)),"")</f>
        <v/>
      </c>
      <c r="I28" s="424" t="str">
        <f t="shared" ca="1" si="0"/>
        <v/>
      </c>
      <c r="K28" s="792" t="s">
        <v>43</v>
      </c>
      <c r="L28" s="641"/>
    </row>
    <row r="29" spans="1:12" s="117" customFormat="1" ht="33.75" customHeight="1" x14ac:dyDescent="0.35">
      <c r="A29" s="863"/>
      <c r="B29" s="423" t="s">
        <v>211</v>
      </c>
      <c r="C29" s="829">
        <f ca="1">IFERROR(IF(C18="","",IF('GHG Summary'!$C$20='GHG Summary'!$C$16,'Co-benefits Summary'!C18,C18*'GHG Summary'!$C$20/'GHG Summary'!$C$16)),"")</f>
        <v>0</v>
      </c>
      <c r="D29" s="736">
        <f ca="1">IFERROR(IF(D18="","",IF('GHG Summary'!$D$20='GHG Summary'!$D$16,'Co-benefits Summary'!D18,D18*'GHG Summary'!$D$20/'GHG Summary'!$D$16)),"")</f>
        <v>0</v>
      </c>
      <c r="E29" s="736">
        <f ca="1">IFERROR(IF(E18="","",IF('GHG Summary'!$E$20='GHG Summary'!$E$16,'Co-benefits Summary'!E18,E18*('GHG Summary'!$E$20/'GHG Summary'!$E$16))),"")</f>
        <v>0</v>
      </c>
      <c r="F29" s="736">
        <f ca="1">IFERROR(IF(F18="","",IF('GHG Summary'!$F$20='GHG Summary'!$F$16,'Co-benefits Summary'!F18,F18*'GHG Summary'!$F$20/'GHG Summary'!$F$16)),"")</f>
        <v>0</v>
      </c>
      <c r="G29" s="736">
        <f ca="1">IFERROR(IF(G18="","",IF('GHG Summary'!$G$20='GHG Summary'!$G$16,'Co-benefits Summary'!G18,G18*'GHG Summary'!$G$20/'GHG Summary'!$G$16)),"")</f>
        <v>0</v>
      </c>
      <c r="H29" s="835">
        <f ca="1">IFERROR(IF(H18="","",IF('GHG Summary'!$H$20='GHG Summary'!$H$16,'Co-benefits Summary'!H18,H18*'GHG Summary'!$H$20/'GHG Summary'!$H$16)),"")</f>
        <v>0</v>
      </c>
      <c r="I29" s="425" t="str">
        <f t="shared" ca="1" si="0"/>
        <v/>
      </c>
      <c r="K29" s="792" t="s">
        <v>43</v>
      </c>
      <c r="L29" s="641"/>
    </row>
    <row r="30" spans="1:12" s="117" customFormat="1" ht="33.75" customHeight="1" thickBot="1" x14ac:dyDescent="0.4">
      <c r="A30" s="863"/>
      <c r="B30" s="426" t="s">
        <v>212</v>
      </c>
      <c r="C30" s="834">
        <f ca="1">IFERROR(IF(C19="","",IF('GHG Summary'!$C$20='GHG Summary'!$C$16,'Co-benefits Summary'!C19,C19*'GHG Summary'!$C$20/'GHG Summary'!$C$16)),"")</f>
        <v>0</v>
      </c>
      <c r="D30" s="737">
        <f ca="1">IFERROR(IF(D19="","",IF('GHG Summary'!$D$20='GHG Summary'!$D$16,'Co-benefits Summary'!D19,D19*'GHG Summary'!$D$20/'GHG Summary'!$D$16)),"")</f>
        <v>0</v>
      </c>
      <c r="E30" s="737">
        <f ca="1">IFERROR(IF(E19="","",IF('GHG Summary'!$E$20='GHG Summary'!$E$16,'Co-benefits Summary'!E19,E19*('GHG Summary'!$E$20/'GHG Summary'!$E$16))),"")</f>
        <v>0</v>
      </c>
      <c r="F30" s="737">
        <f ca="1">IFERROR(IF(F19="","",IF('GHG Summary'!$F$20='GHG Summary'!$F$16,'Co-benefits Summary'!F19,F19*'GHG Summary'!$F$20/'GHG Summary'!$F$16)),"")</f>
        <v>0</v>
      </c>
      <c r="G30" s="737">
        <f ca="1">IFERROR(IF(G19="","",IF('GHG Summary'!$G$20='GHG Summary'!$G$16,'Co-benefits Summary'!G19,G19*'GHG Summary'!$G$20/'GHG Summary'!$G$16)),"")</f>
        <v>0</v>
      </c>
      <c r="H30" s="739">
        <f ca="1">IFERROR(IF(H19="","",IF('GHG Summary'!$H$20='GHG Summary'!$H$16,'Co-benefits Summary'!H19,H19*'GHG Summary'!$H$20/'GHG Summary'!$H$16)),"")</f>
        <v>0</v>
      </c>
      <c r="I30" s="433" t="str">
        <f t="shared" ca="1" si="0"/>
        <v/>
      </c>
      <c r="K30" s="792" t="s">
        <v>43</v>
      </c>
      <c r="L30" s="641"/>
    </row>
    <row r="31" spans="1:12" s="117" customFormat="1" ht="20.149999999999999" customHeight="1" x14ac:dyDescent="0.35">
      <c r="A31" s="862"/>
      <c r="B31" s="428" t="s">
        <v>213</v>
      </c>
      <c r="C31" s="831">
        <f ca="1">IF(C20="","",IF('GHG Summary'!C20='GHG Summary'!C16,'Co-benefits Summary'!C20,C20*'GHG Summary'!$C$20/'GHG Summary'!$C$16))</f>
        <v>0</v>
      </c>
      <c r="D31" s="730">
        <f ca="1">IF(D20="","",IF('GHG Summary'!D20='GHG Summary'!D16,'Co-benefits Summary'!D20,D20*'GHG Summary'!$D$20/'GHG Summary'!$D$16))</f>
        <v>0</v>
      </c>
      <c r="E31" s="730">
        <f ca="1">IF(E20="","",IF('GHG Summary'!E20='GHG Summary'!E16,'Co-benefits Summary'!E20,E20*'GHG Summary'!$E$20/'GHG Summary'!$E$16))</f>
        <v>0</v>
      </c>
      <c r="F31" s="730">
        <f ca="1">IF(F20="","",IF('GHG Summary'!F20='GHG Summary'!F16,'Co-benefits Summary'!F20,F20*'GHG Summary'!$F$20/'GHG Summary'!$F$16))</f>
        <v>0</v>
      </c>
      <c r="G31" s="730">
        <f ca="1">IF(G20="","",IF('GHG Summary'!G20='GHG Summary'!G16,'Co-benefits Summary'!G20,G20*'GHG Summary'!$G$20/'GHG Summary'!$G$16))</f>
        <v>0</v>
      </c>
      <c r="H31" s="729">
        <f ca="1">IF(H20="","",IF('GHG Summary'!H20='GHG Summary'!H16,'Co-benefits Summary'!H20,H20*'GHG Summary'!$H$20/'GHG Summary'!$H$16))</f>
        <v>0</v>
      </c>
      <c r="I31" s="431">
        <f ca="1">IF(SUM(C31:H31)=0,0,SUM(C31:H31))</f>
        <v>0</v>
      </c>
      <c r="J31" s="430"/>
      <c r="K31" s="792" t="s">
        <v>43</v>
      </c>
      <c r="L31" s="641"/>
    </row>
    <row r="32" spans="1:12" s="117" customFormat="1" ht="20.149999999999999" customHeight="1" x14ac:dyDescent="0.35">
      <c r="A32" s="862"/>
      <c r="B32" s="423" t="s">
        <v>214</v>
      </c>
      <c r="C32" s="827">
        <f ca="1">IF(C21="","",IF('GHG Summary'!C20='GHG Summary'!C16,'Co-benefits Summary'!C21,C21*'GHG Summary'!$C$20/'GHG Summary'!$C$16))</f>
        <v>0</v>
      </c>
      <c r="D32" s="733">
        <f ca="1">IF(D21="","",IF('GHG Summary'!D20='GHG Summary'!D16,'Co-benefits Summary'!D21,D21*'GHG Summary'!$D$20/'GHG Summary'!$D$16))</f>
        <v>0</v>
      </c>
      <c r="E32" s="733">
        <f ca="1">IF(E21="","",IF('GHG Summary'!E20='GHG Summary'!E16,'Co-benefits Summary'!E21,E21*'GHG Summary'!$E$20/'GHG Summary'!$E$16))</f>
        <v>0</v>
      </c>
      <c r="F32" s="733">
        <f ca="1">IF(F21="","",IF('GHG Summary'!F20='GHG Summary'!F16,'Co-benefits Summary'!F21,F21*'GHG Summary'!$F$20/'GHG Summary'!$F$16))</f>
        <v>0</v>
      </c>
      <c r="G32" s="733">
        <f ca="1">IF(G21="","",IF('GHG Summary'!G20='GHG Summary'!G16,'Co-benefits Summary'!G21,G21*'GHG Summary'!$G$20/'GHG Summary'!$G$16))</f>
        <v>0</v>
      </c>
      <c r="H32" s="733">
        <f ca="1">IF(H21="","",IF('GHG Summary'!H20='GHG Summary'!H16,'Co-benefits Summary'!H21,H21*'GHG Summary'!$H$20/'GHG Summary'!$H$16))</f>
        <v>0</v>
      </c>
      <c r="I32" s="424">
        <f ca="1">IF(SUM(C32:H32)=0,0,SUM(C32:H32))</f>
        <v>0</v>
      </c>
      <c r="K32" s="792" t="s">
        <v>43</v>
      </c>
      <c r="L32" s="641"/>
    </row>
    <row r="33" spans="1:12" s="117" customFormat="1" ht="20.149999999999999" customHeight="1" x14ac:dyDescent="0.35">
      <c r="A33" s="862"/>
      <c r="B33" s="423" t="s">
        <v>215</v>
      </c>
      <c r="C33" s="827">
        <f ca="1">IF(C22="","",IF('GHG Summary'!C20='GHG Summary'!C16,'Co-benefits Summary'!C22,C22*'GHG Summary'!$C$20/'GHG Summary'!$C$16))</f>
        <v>0</v>
      </c>
      <c r="D33" s="733">
        <f ca="1">IF(D22="","",IF('GHG Summary'!D20='GHG Summary'!D16,'Co-benefits Summary'!D22,D22*'GHG Summary'!$D$20/'GHG Summary'!$D$16))</f>
        <v>0</v>
      </c>
      <c r="E33" s="733">
        <f ca="1">IF(E22="","",IF('GHG Summary'!E20='GHG Summary'!E16,'Co-benefits Summary'!E22,E22*'GHG Summary'!$E$20/'GHG Summary'!$E$16))</f>
        <v>0</v>
      </c>
      <c r="F33" s="733">
        <f ca="1">IF(F22="","",IF('GHG Summary'!F20='GHG Summary'!F16,'Co-benefits Summary'!F22,F22*'GHG Summary'!$F$20/'GHG Summary'!$F$16))</f>
        <v>0</v>
      </c>
      <c r="G33" s="733">
        <f ca="1">IF(G22="","",IF('GHG Summary'!G20='GHG Summary'!G16,'Co-benefits Summary'!G22,G22*'GHG Summary'!$G$20/'GHG Summary'!$G$16))</f>
        <v>0</v>
      </c>
      <c r="H33" s="733">
        <f ca="1">IF(H22="","",IF('GHG Summary'!H20='GHG Summary'!H16,'Co-benefits Summary'!H22,H22*'GHG Summary'!$H$20/'GHG Summary'!$H$16))</f>
        <v>0</v>
      </c>
      <c r="I33" s="424">
        <f ca="1">IF(SUM(C33:H33)=0,0,SUM(C33:H33))</f>
        <v>0</v>
      </c>
      <c r="K33" s="792" t="s">
        <v>43</v>
      </c>
      <c r="L33" s="641"/>
    </row>
    <row r="34" spans="1:12" s="117" customFormat="1" ht="20.149999999999999" customHeight="1" thickBot="1" x14ac:dyDescent="0.4">
      <c r="A34" s="862"/>
      <c r="B34" s="426" t="s">
        <v>216</v>
      </c>
      <c r="C34" s="832">
        <f ca="1">IF(C23="","",IF('GHG Summary'!C20='GHG Summary'!C16,'Co-benefits Summary'!C23,C23*'GHG Summary'!$C$20/'GHG Summary'!$C$16))</f>
        <v>0</v>
      </c>
      <c r="D34" s="728">
        <f ca="1">IF(D23="","",IF('GHG Summary'!D20='GHG Summary'!D16,'Co-benefits Summary'!D23,D23*'GHG Summary'!$D$20/'GHG Summary'!$D$16))</f>
        <v>0</v>
      </c>
      <c r="E34" s="728">
        <f ca="1">IF(E23="","",IF('GHG Summary'!E20='GHG Summary'!E16,'Co-benefits Summary'!E23,E23*'GHG Summary'!$E$20/'GHG Summary'!$E$16))</f>
        <v>0</v>
      </c>
      <c r="F34" s="728">
        <f ca="1">IF(F23="","",IF('GHG Summary'!F20='GHG Summary'!F16,'Co-benefits Summary'!F23,F23*'GHG Summary'!$F$20/'GHG Summary'!$F$16))</f>
        <v>0</v>
      </c>
      <c r="G34" s="728">
        <f ca="1">IF(G23="","",IF('GHG Summary'!G20='GHG Summary'!G16,'Co-benefits Summary'!G23,G23*'GHG Summary'!$G$20/'GHG Summary'!$G$16))</f>
        <v>0</v>
      </c>
      <c r="H34" s="728">
        <f ca="1">IF(H23="","",IF('GHG Summary'!H20='GHG Summary'!H16,'Co-benefits Summary'!H23,H23*'GHG Summary'!$H$20/'GHG Summary'!$H$16))</f>
        <v>0</v>
      </c>
      <c r="I34" s="429">
        <f ca="1">IF(SUM(C34:H34)=0,0,SUM(C34:H34))</f>
        <v>0</v>
      </c>
      <c r="K34" s="792" t="s">
        <v>43</v>
      </c>
      <c r="L34" s="641"/>
    </row>
    <row r="35" spans="1:12" s="117" customFormat="1" ht="16.5" customHeight="1" thickBot="1" x14ac:dyDescent="0.4">
      <c r="A35" s="415"/>
      <c r="B35" s="861" t="s">
        <v>195</v>
      </c>
      <c r="C35" s="808"/>
      <c r="D35" s="808"/>
      <c r="E35" s="808"/>
      <c r="F35" s="808"/>
      <c r="G35" s="808"/>
      <c r="H35" s="808"/>
      <c r="I35" s="825"/>
      <c r="K35" s="792" t="s">
        <v>43</v>
      </c>
      <c r="L35" s="641"/>
    </row>
    <row r="36" spans="1:12" s="117" customFormat="1" ht="33.75" customHeight="1" x14ac:dyDescent="0.35">
      <c r="A36" s="862"/>
      <c r="B36" s="421" t="s">
        <v>207</v>
      </c>
      <c r="C36" s="833" t="str">
        <f ca="1">IFERROR(IF('GHG Summary'!$C$26="","",C14*'GHG Summary'!$C$26/'GHG Summary'!$C$16),"")</f>
        <v/>
      </c>
      <c r="D36" s="729" t="str">
        <f ca="1">IFERROR(IF('GHG Summary'!$D$26="","",D14*'GHG Summary'!$D$26/'GHG Summary'!$D$16),"")</f>
        <v/>
      </c>
      <c r="E36" s="729" t="str">
        <f ca="1">IFERROR(IF('GHG Summary'!$E$26="","",E14*'GHG Summary'!$E$26/'GHG Summary'!$E$16),"")</f>
        <v/>
      </c>
      <c r="F36" s="729" t="str">
        <f ca="1">IFERROR(IF('GHG Summary'!$F$26="","",F14*'GHG Summary'!$F$26/'GHG Summary'!$F$16),"")</f>
        <v/>
      </c>
      <c r="G36" s="729" t="str">
        <f ca="1">IFERROR(IF('GHG Summary'!$G$26="","",G14*'GHG Summary'!$G$26/'GHG Summary'!$G$16),"")</f>
        <v/>
      </c>
      <c r="H36" s="729" t="str">
        <f ca="1">IFERROR(IF('GHG Summary'!$H$26="","",H14*'GHG Summary'!$H$26/'GHG Summary'!$H$16),"")</f>
        <v/>
      </c>
      <c r="I36" s="422">
        <f t="shared" ref="I36:I45" ca="1" si="1">IF(SUM(C36:H36)=0,0,SUM(C36:H36))</f>
        <v>0</v>
      </c>
      <c r="J36" s="434"/>
      <c r="K36" s="792" t="s">
        <v>43</v>
      </c>
      <c r="L36" s="641"/>
    </row>
    <row r="37" spans="1:12" s="117" customFormat="1" ht="33.75" customHeight="1" x14ac:dyDescent="0.35">
      <c r="A37" s="862"/>
      <c r="B37" s="423" t="s">
        <v>208</v>
      </c>
      <c r="C37" s="730" t="str">
        <f ca="1">IFERROR(IF('GHG Summary'!$C$26="","",C15*'GHG Summary'!$C$26/'GHG Summary'!$C$16),"")</f>
        <v/>
      </c>
      <c r="D37" s="730" t="str">
        <f ca="1">IFERROR(IF('GHG Summary'!$D$26="","",D15*'GHG Summary'!$D$26/'GHG Summary'!$D$16),"")</f>
        <v/>
      </c>
      <c r="E37" s="730" t="str">
        <f ca="1">IFERROR(IF('GHG Summary'!$E$26="","",E15*'GHG Summary'!$E$26/'GHG Summary'!$E$16),"")</f>
        <v/>
      </c>
      <c r="F37" s="730" t="str">
        <f ca="1">IFERROR(IF('GHG Summary'!$F$26="","",F15*'GHG Summary'!$F$26/'GHG Summary'!$F$16),"")</f>
        <v/>
      </c>
      <c r="G37" s="730" t="str">
        <f ca="1">IFERROR(IF('GHG Summary'!$G$26="","",G15*'GHG Summary'!$G$26/'GHG Summary'!$G$16),"")</f>
        <v/>
      </c>
      <c r="H37" s="733" t="str">
        <f ca="1">IFERROR(IF('GHG Summary'!$H$26="","",H15*'GHG Summary'!$H$26/'GHG Summary'!$H$16),"")</f>
        <v/>
      </c>
      <c r="I37" s="431">
        <f t="shared" ca="1" si="1"/>
        <v>0</v>
      </c>
      <c r="K37" s="792" t="s">
        <v>43</v>
      </c>
      <c r="L37" s="641"/>
    </row>
    <row r="38" spans="1:12" s="117" customFormat="1" ht="33.75" customHeight="1" x14ac:dyDescent="0.35">
      <c r="A38" s="862"/>
      <c r="B38" s="423" t="s">
        <v>209</v>
      </c>
      <c r="C38" s="730" t="str">
        <f ca="1">IFERROR(IF('GHG Summary'!$C$26="","",C16*'GHG Summary'!$C$26/'GHG Summary'!$C$16),"")</f>
        <v/>
      </c>
      <c r="D38" s="730" t="str">
        <f ca="1">IFERROR(IF('GHG Summary'!$D$26="","",D16*'GHG Summary'!$D$26/'GHG Summary'!$D$16),"")</f>
        <v/>
      </c>
      <c r="E38" s="730" t="str">
        <f ca="1">IFERROR(IF('GHG Summary'!$E$26="","",E16*'GHG Summary'!$E$26/'GHG Summary'!$E$16),"")</f>
        <v/>
      </c>
      <c r="F38" s="730" t="str">
        <f ca="1">IFERROR(IF('GHG Summary'!$F$26="","",F16*'GHG Summary'!$F$26/'GHG Summary'!$F$16),"")</f>
        <v/>
      </c>
      <c r="G38" s="730" t="str">
        <f ca="1">IFERROR(IF('GHG Summary'!$G$26="","",G16*'GHG Summary'!$G$26/'GHG Summary'!$G$16),"")</f>
        <v/>
      </c>
      <c r="H38" s="733" t="str">
        <f ca="1">IFERROR(IF('GHG Summary'!$H$26="","",H16*'GHG Summary'!$H$26/'GHG Summary'!$H$16),"")</f>
        <v/>
      </c>
      <c r="I38" s="424">
        <f t="shared" ca="1" si="1"/>
        <v>0</v>
      </c>
      <c r="K38" s="792" t="s">
        <v>43</v>
      </c>
      <c r="L38" s="641"/>
    </row>
    <row r="39" spans="1:12" s="117" customFormat="1" ht="33.75" hidden="1" customHeight="1" x14ac:dyDescent="0.35">
      <c r="A39" s="863"/>
      <c r="B39" s="423" t="s">
        <v>210</v>
      </c>
      <c r="C39" s="730" t="str">
        <f ca="1">IFERROR(IF('GHG Summary'!$C$26="","",C17*'GHG Summary'!$C$26/'GHG Summary'!$C$16),"")</f>
        <v/>
      </c>
      <c r="D39" s="730" t="str">
        <f>IFERROR(IF('GHG Summary'!$D$26="","",D17*'GHG Summary'!$D$26/'GHG Summary'!$D$16),"")</f>
        <v/>
      </c>
      <c r="E39" s="730" t="str">
        <f>IFERROR(IF('GHG Summary'!$E$26="","",E17*'GHG Summary'!$E$26/'GHG Summary'!$E$16),"")</f>
        <v/>
      </c>
      <c r="F39" s="730" t="str">
        <f>IFERROR(IF('GHG Summary'!$F$26="","",F17*'GHG Summary'!$F$26/'GHG Summary'!$F$16),"")</f>
        <v/>
      </c>
      <c r="G39" s="730" t="str">
        <f>IFERROR(IF('GHG Summary'!$G$26="","",G17*'GHG Summary'!$G$26/'GHG Summary'!$G$16),"")</f>
        <v/>
      </c>
      <c r="H39" s="733" t="str">
        <f>IFERROR(IF('GHG Summary'!$H$26="","",H17*'GHG Summary'!$H$26/'GHG Summary'!$H$16),"")</f>
        <v/>
      </c>
      <c r="I39" s="424">
        <f t="shared" ca="1" si="1"/>
        <v>0</v>
      </c>
      <c r="K39" s="792" t="s">
        <v>43</v>
      </c>
      <c r="L39" s="641"/>
    </row>
    <row r="40" spans="1:12" s="117" customFormat="1" ht="33.75" customHeight="1" x14ac:dyDescent="0.35">
      <c r="A40" s="863"/>
      <c r="B40" s="423" t="s">
        <v>211</v>
      </c>
      <c r="C40" s="738" t="str">
        <f ca="1">IFERROR(IF('GHG Summary'!$C$26="","",C18*'GHG Summary'!$C$26/'GHG Summary'!$C$16),"")</f>
        <v/>
      </c>
      <c r="D40" s="738" t="str">
        <f ca="1">IFERROR(IF('GHG Summary'!$D$26="","",D18*'GHG Summary'!$D$26/'GHG Summary'!$D$16),"")</f>
        <v/>
      </c>
      <c r="E40" s="738" t="str">
        <f ca="1">IFERROR(IF('GHG Summary'!$E$26="","",E18*'GHG Summary'!$E$26/'GHG Summary'!$E$16),"")</f>
        <v/>
      </c>
      <c r="F40" s="738" t="str">
        <f ca="1">IFERROR(IF('GHG Summary'!$F$26="","",F18*'GHG Summary'!$F$26/'GHG Summary'!$F$16),"")</f>
        <v/>
      </c>
      <c r="G40" s="738" t="str">
        <f ca="1">IFERROR(IF('GHG Summary'!$G$26="","",G18*'GHG Summary'!$G$26/'GHG Summary'!$G$16),"")</f>
        <v/>
      </c>
      <c r="H40" s="835" t="str">
        <f ca="1">IFERROR(IF('GHG Summary'!$H$26="","",H18*'GHG Summary'!$H$26/'GHG Summary'!$H$16),"")</f>
        <v/>
      </c>
      <c r="I40" s="435">
        <f t="shared" ca="1" si="1"/>
        <v>0</v>
      </c>
      <c r="K40" s="792" t="s">
        <v>43</v>
      </c>
      <c r="L40" s="641"/>
    </row>
    <row r="41" spans="1:12" s="117" customFormat="1" ht="33.75" customHeight="1" thickBot="1" x14ac:dyDescent="0.4">
      <c r="A41" s="863"/>
      <c r="B41" s="426" t="s">
        <v>212</v>
      </c>
      <c r="C41" s="739" t="str">
        <f ca="1">IFERROR(IF('GHG Summary'!$C$26="","",C19*'GHG Summary'!$C$26/'GHG Summary'!$C$16),"")</f>
        <v/>
      </c>
      <c r="D41" s="739" t="str">
        <f ca="1">IFERROR(IF('GHG Summary'!$D$26="","",D19*'GHG Summary'!$D$26/'GHG Summary'!$D$16),"")</f>
        <v/>
      </c>
      <c r="E41" s="739" t="str">
        <f ca="1">IFERROR(IF('GHG Summary'!$E$26="","",E19*'GHG Summary'!$E$26/'GHG Summary'!$E$16),"")</f>
        <v/>
      </c>
      <c r="F41" s="739" t="str">
        <f ca="1">IFERROR(IF('GHG Summary'!$F$26="","",F19*'GHG Summary'!$F$26/'GHG Summary'!$F$16),"")</f>
        <v/>
      </c>
      <c r="G41" s="739" t="str">
        <f ca="1">IFERROR(IF('GHG Summary'!$G$26="","",G19*'GHG Summary'!$G$26/'GHG Summary'!$G$16),"")</f>
        <v/>
      </c>
      <c r="H41" s="739" t="str">
        <f ca="1">IFERROR(IF('GHG Summary'!$H$26="","",H19*'GHG Summary'!$H$26/'GHG Summary'!$H$16),"")</f>
        <v/>
      </c>
      <c r="I41" s="436">
        <f t="shared" ca="1" si="1"/>
        <v>0</v>
      </c>
      <c r="K41" s="792" t="s">
        <v>43</v>
      </c>
      <c r="L41" s="641"/>
    </row>
    <row r="42" spans="1:12" s="117" customFormat="1" ht="20.149999999999999" customHeight="1" x14ac:dyDescent="0.35">
      <c r="A42" s="862"/>
      <c r="B42" s="421" t="s">
        <v>213</v>
      </c>
      <c r="C42" s="729" t="str">
        <f ca="1">IFERROR(IF('GHG Summary'!C26="","",C20*'GHG Summary'!$C$26/'GHG Summary'!$C$16),"")</f>
        <v/>
      </c>
      <c r="D42" s="729" t="str">
        <f ca="1">IFERROR(IF('GHG Summary'!D26="","",D20*'GHG Summary'!$D$26/'GHG Summary'!$D$16),"")</f>
        <v/>
      </c>
      <c r="E42" s="729" t="str">
        <f ca="1">IFERROR(IF('GHG Summary'!E26="","",E20*'GHG Summary'!$E$26/'GHG Summary'!$E$16),"")</f>
        <v/>
      </c>
      <c r="F42" s="729" t="str">
        <f ca="1">IFERROR(IF('GHG Summary'!$F$26="","",F20*'GHG Summary'!$F$26/'GHG Summary'!$F$16),"")</f>
        <v/>
      </c>
      <c r="G42" s="729" t="str">
        <f ca="1">IFERROR(IF('GHG Summary'!$G$26="","",G20*'GHG Summary'!$G$26/'GHG Summary'!$G$16),"")</f>
        <v/>
      </c>
      <c r="H42" s="729" t="str">
        <f ca="1">IFERROR(IF('GHG Summary'!$H$26="","",H20*'GHG Summary'!$H$26/'GHG Summary'!$H$16),"")</f>
        <v/>
      </c>
      <c r="I42" s="431">
        <f t="shared" ca="1" si="1"/>
        <v>0</v>
      </c>
      <c r="K42" s="792" t="s">
        <v>43</v>
      </c>
      <c r="L42" s="641"/>
    </row>
    <row r="43" spans="1:12" s="117" customFormat="1" ht="20.149999999999999" customHeight="1" x14ac:dyDescent="0.35">
      <c r="A43" s="862"/>
      <c r="B43" s="423" t="s">
        <v>214</v>
      </c>
      <c r="C43" s="733" t="str">
        <f ca="1">IFERROR(IF('GHG Summary'!C26="","",C21*'GHG Summary'!$C$26/'GHG Summary'!$C$16),"")</f>
        <v/>
      </c>
      <c r="D43" s="733" t="str">
        <f ca="1">IFERROR(IF('GHG Summary'!D26="","",D21*'GHG Summary'!$D$26/'GHG Summary'!$D$16),"")</f>
        <v/>
      </c>
      <c r="E43" s="733" t="str">
        <f ca="1">IFERROR(IF('GHG Summary'!E26="","",E21*'GHG Summary'!$E$26/'GHG Summary'!$E$16),"")</f>
        <v/>
      </c>
      <c r="F43" s="733" t="str">
        <f ca="1">IFERROR(IF('GHG Summary'!$F$26="","",F21*'GHG Summary'!$F$26/'GHG Summary'!$F$16),"")</f>
        <v/>
      </c>
      <c r="G43" s="733" t="str">
        <f ca="1">IFERROR(IF('GHG Summary'!$G$26="","",G21*'GHG Summary'!$G$26/'GHG Summary'!$G$16),"")</f>
        <v/>
      </c>
      <c r="H43" s="733" t="str">
        <f ca="1">IFERROR(IF('GHG Summary'!$H$26="","",H21*'GHG Summary'!$H$26/'GHG Summary'!$H$16),"")</f>
        <v/>
      </c>
      <c r="I43" s="431">
        <f t="shared" ca="1" si="1"/>
        <v>0</v>
      </c>
      <c r="K43" s="792" t="s">
        <v>43</v>
      </c>
      <c r="L43" s="641"/>
    </row>
    <row r="44" spans="1:12" s="117" customFormat="1" ht="20.149999999999999" customHeight="1" x14ac:dyDescent="0.35">
      <c r="A44" s="862"/>
      <c r="B44" s="423" t="s">
        <v>215</v>
      </c>
      <c r="C44" s="733" t="str">
        <f ca="1">IFERROR(IF('GHG Summary'!C26="","",C22*'GHG Summary'!$C$26/'GHG Summary'!$C$16),"")</f>
        <v/>
      </c>
      <c r="D44" s="733" t="str">
        <f ca="1">IFERROR(IF('GHG Summary'!D26="","",D22*'GHG Summary'!$D$26/'GHG Summary'!$D$16),"")</f>
        <v/>
      </c>
      <c r="E44" s="733" t="str">
        <f ca="1">IFERROR(IF('GHG Summary'!E26="","",E22*'GHG Summary'!$E$26/'GHG Summary'!$E$16),"")</f>
        <v/>
      </c>
      <c r="F44" s="733" t="str">
        <f ca="1">IFERROR(IF('GHG Summary'!$F$26="","",F22*'GHG Summary'!$F$26/'GHG Summary'!$F$16),"")</f>
        <v/>
      </c>
      <c r="G44" s="733" t="str">
        <f ca="1">IFERROR(IF('GHG Summary'!$G$26="","",G22*'GHG Summary'!$G$26/'GHG Summary'!$G$16),"")</f>
        <v/>
      </c>
      <c r="H44" s="733" t="str">
        <f ca="1">IFERROR(IF('GHG Summary'!$H$26="","",H22*'GHG Summary'!$H$26/'GHG Summary'!$H$16),"")</f>
        <v/>
      </c>
      <c r="I44" s="431">
        <f t="shared" ca="1" si="1"/>
        <v>0</v>
      </c>
      <c r="K44" s="792" t="s">
        <v>43</v>
      </c>
      <c r="L44" s="641"/>
    </row>
    <row r="45" spans="1:12" s="117" customFormat="1" ht="20.149999999999999" customHeight="1" thickBot="1" x14ac:dyDescent="0.4">
      <c r="A45" s="862"/>
      <c r="B45" s="426" t="s">
        <v>216</v>
      </c>
      <c r="C45" s="728" t="str">
        <f ca="1">IFERROR(IF('GHG Summary'!C26="","",C23*'GHG Summary'!$C$26/'GHG Summary'!$C$16),"")</f>
        <v/>
      </c>
      <c r="D45" s="728" t="str">
        <f ca="1">IFERROR(IF('GHG Summary'!D26="","",D23*'GHG Summary'!$D$26/'GHG Summary'!$D$16),"")</f>
        <v/>
      </c>
      <c r="E45" s="728" t="str">
        <f ca="1">IFERROR(IF('GHG Summary'!E26="","",E23*'GHG Summary'!$E$26/'GHG Summary'!$E$16),"")</f>
        <v/>
      </c>
      <c r="F45" s="728" t="str">
        <f ca="1">IFERROR(IF('GHG Summary'!$F$26="","",F23*'GHG Summary'!$F$26/'GHG Summary'!$F$16),"")</f>
        <v/>
      </c>
      <c r="G45" s="728" t="str">
        <f ca="1">IFERROR(IF('GHG Summary'!$G$26="","",G23*'GHG Summary'!$G$26/'GHG Summary'!$G$16),"")</f>
        <v/>
      </c>
      <c r="H45" s="728" t="str">
        <f ca="1">IFERROR(IF('GHG Summary'!$H$26="","",H23*'GHG Summary'!$H$26/'GHG Summary'!$H$16),"")</f>
        <v/>
      </c>
      <c r="I45" s="429">
        <f t="shared" ca="1" si="1"/>
        <v>0</v>
      </c>
      <c r="K45" s="792" t="s">
        <v>43</v>
      </c>
      <c r="L45" s="641"/>
    </row>
    <row r="46" spans="1:12" s="117" customFormat="1" ht="15" customHeight="1" thickBot="1" x14ac:dyDescent="0.4">
      <c r="A46" s="415"/>
      <c r="B46" s="861" t="s">
        <v>198</v>
      </c>
      <c r="C46" s="808"/>
      <c r="D46" s="808"/>
      <c r="E46" s="808"/>
      <c r="F46" s="808"/>
      <c r="G46" s="808"/>
      <c r="H46" s="808"/>
      <c r="I46" s="825"/>
      <c r="K46" s="792" t="s">
        <v>43</v>
      </c>
      <c r="L46" s="641"/>
    </row>
    <row r="47" spans="1:12" s="117" customFormat="1" ht="33.75" customHeight="1" x14ac:dyDescent="0.35">
      <c r="A47" s="862"/>
      <c r="B47" s="421" t="s">
        <v>207</v>
      </c>
      <c r="C47" s="729" t="str">
        <f ca="1">IFERROR(IF('GHG Summary'!$C$30="","",C14*'GHG Summary'!$C$30/'GHG Summary'!$C$16),"")</f>
        <v/>
      </c>
      <c r="D47" s="729" t="str">
        <f ca="1">IFERROR(IF('GHG Summary'!$D$30="","",D14*'GHG Summary'!$D$30/'GHG Summary'!$D$16),"")</f>
        <v/>
      </c>
      <c r="E47" s="729" t="str">
        <f ca="1">IFERROR(IF('GHG Summary'!$E$30="","",E14*'GHG Summary'!$E$30/'GHG Summary'!$E$16),"")</f>
        <v/>
      </c>
      <c r="F47" s="729" t="str">
        <f ca="1">IFERROR(IF('GHG Summary'!$F$30="","",F14*'GHG Summary'!$F$30/'GHG Summary'!$F$16),"")</f>
        <v/>
      </c>
      <c r="G47" s="729" t="str">
        <f ca="1">IFERROR(IF('GHG Summary'!$G$30="","",G14*'GHG Summary'!$G$30/'GHG Summary'!$G$16),"")</f>
        <v/>
      </c>
      <c r="H47" s="729" t="str">
        <f ca="1">IFERROR(IF('GHG Summary'!$H$30="","",H14*'GHG Summary'!$H$30/'GHG Summary'!$H$16),"")</f>
        <v/>
      </c>
      <c r="I47" s="422">
        <f t="shared" ref="I47:I52" ca="1" si="2">IF(SUM(C47:H47)=0,,SUM(C47:H47))</f>
        <v>0</v>
      </c>
      <c r="J47" s="430"/>
      <c r="K47" s="792" t="s">
        <v>43</v>
      </c>
      <c r="L47" s="641"/>
    </row>
    <row r="48" spans="1:12" s="117" customFormat="1" ht="33.75" customHeight="1" x14ac:dyDescent="0.35">
      <c r="A48" s="862"/>
      <c r="B48" s="423" t="s">
        <v>208</v>
      </c>
      <c r="C48" s="730" t="str">
        <f ca="1">IFERROR(IF('GHG Summary'!$C$30="","",C15*'GHG Summary'!$C$30/'GHG Summary'!$C$16),"")</f>
        <v/>
      </c>
      <c r="D48" s="730" t="str">
        <f ca="1">IFERROR(IF('GHG Summary'!$D$30="","",D15*'GHG Summary'!$D$30/'GHG Summary'!$D$16),"")</f>
        <v/>
      </c>
      <c r="E48" s="730" t="str">
        <f ca="1">IFERROR(IF('GHG Summary'!$E$30="","",E15*'GHG Summary'!$E$30/'GHG Summary'!$E$16),"")</f>
        <v/>
      </c>
      <c r="F48" s="730" t="str">
        <f ca="1">IFERROR(IF('GHG Summary'!$F$30="","",F15*'GHG Summary'!$F$30/'GHG Summary'!$F$16),"")</f>
        <v/>
      </c>
      <c r="G48" s="730" t="str">
        <f ca="1">IFERROR(IF('GHG Summary'!$G$30="","",G15*'GHG Summary'!$G$30/'GHG Summary'!$G$16),"")</f>
        <v/>
      </c>
      <c r="H48" s="733" t="str">
        <f ca="1">IFERROR(IF('GHG Summary'!$H$30="","",H15*'GHG Summary'!$H$30/'GHG Summary'!$H$16),"")</f>
        <v/>
      </c>
      <c r="I48" s="431">
        <f t="shared" ca="1" si="2"/>
        <v>0</v>
      </c>
      <c r="K48" s="792" t="s">
        <v>43</v>
      </c>
      <c r="L48" s="641"/>
    </row>
    <row r="49" spans="1:12" s="117" customFormat="1" ht="33.75" customHeight="1" x14ac:dyDescent="0.35">
      <c r="A49" s="862"/>
      <c r="B49" s="423" t="s">
        <v>209</v>
      </c>
      <c r="C49" s="730" t="str">
        <f ca="1">IFERROR(IF('GHG Summary'!$C$30="","",C16*'GHG Summary'!$C$30/'GHG Summary'!$C$16),"")</f>
        <v/>
      </c>
      <c r="D49" s="730" t="str">
        <f ca="1">IFERROR(IF('GHG Summary'!$D$30="","",D16*'GHG Summary'!$D$30/'GHG Summary'!$D$16),"")</f>
        <v/>
      </c>
      <c r="E49" s="730" t="str">
        <f ca="1">IFERROR(IF('GHG Summary'!$E$30="","",E16*'GHG Summary'!$E$30/'GHG Summary'!$E$16),"")</f>
        <v/>
      </c>
      <c r="F49" s="730" t="str">
        <f ca="1">IFERROR(IF('GHG Summary'!$F$30="","",F16*'GHG Summary'!$F$30/'GHG Summary'!$F$16),"")</f>
        <v/>
      </c>
      <c r="G49" s="730" t="str">
        <f ca="1">IFERROR(IF('GHG Summary'!$G$30="","",G16*'GHG Summary'!$G$30/'GHG Summary'!$G$16),"")</f>
        <v/>
      </c>
      <c r="H49" s="733" t="str">
        <f ca="1">IFERROR(IF('GHG Summary'!$H$30="","",H16*'GHG Summary'!$H$30/'GHG Summary'!$H$16),"")</f>
        <v/>
      </c>
      <c r="I49" s="424">
        <f t="shared" ca="1" si="2"/>
        <v>0</v>
      </c>
      <c r="K49" s="792" t="s">
        <v>43</v>
      </c>
      <c r="L49" s="641"/>
    </row>
    <row r="50" spans="1:12" s="117" customFormat="1" ht="33.75" hidden="1" customHeight="1" x14ac:dyDescent="0.35">
      <c r="A50" s="863"/>
      <c r="B50" s="423" t="s">
        <v>210</v>
      </c>
      <c r="C50" s="730" t="str">
        <f ca="1">IFERROR(IF('GHG Summary'!$C$30="","",C17*'GHG Summary'!$C$30/'GHG Summary'!$C$16),"")</f>
        <v/>
      </c>
      <c r="D50" s="730" t="str">
        <f>IFERROR(IF('GHG Summary'!$D$30="","",D17*'GHG Summary'!$D$30/'GHG Summary'!$D$16),"")</f>
        <v/>
      </c>
      <c r="E50" s="730" t="str">
        <f>IFERROR(IF('GHG Summary'!$E$30="","",E17*'GHG Summary'!$E$30/'GHG Summary'!$E$16),"")</f>
        <v/>
      </c>
      <c r="F50" s="730" t="str">
        <f>IFERROR(IF('GHG Summary'!$F$30="","",F17*'GHG Summary'!$F$30/'GHG Summary'!$F$16),"")</f>
        <v/>
      </c>
      <c r="G50" s="730" t="str">
        <f>IFERROR(IF('GHG Summary'!$G$30="","",G17*'GHG Summary'!$G$30/'GHG Summary'!$G$16),"")</f>
        <v/>
      </c>
      <c r="H50" s="733" t="str">
        <f>IFERROR(IF('GHG Summary'!$H$30="","",H17*'GHG Summary'!$H$30/'GHG Summary'!$H$16),"")</f>
        <v/>
      </c>
      <c r="I50" s="424">
        <f t="shared" ca="1" si="2"/>
        <v>0</v>
      </c>
      <c r="K50" s="792" t="s">
        <v>43</v>
      </c>
      <c r="L50" s="641"/>
    </row>
    <row r="51" spans="1:12" s="117" customFormat="1" ht="33.75" customHeight="1" x14ac:dyDescent="0.35">
      <c r="A51" s="863"/>
      <c r="B51" s="423" t="s">
        <v>211</v>
      </c>
      <c r="C51" s="738" t="str">
        <f ca="1">IFERROR(IF('GHG Summary'!$C$30="","",C18*'GHG Summary'!$C$30/'GHG Summary'!$C$16),"")</f>
        <v/>
      </c>
      <c r="D51" s="738" t="str">
        <f ca="1">IFERROR(IF('GHG Summary'!$D$30="","",D18*'GHG Summary'!$D$30/'GHG Summary'!$D$16),"")</f>
        <v/>
      </c>
      <c r="E51" s="738" t="str">
        <f ca="1">IFERROR(IF('GHG Summary'!$E$30="","",E18*'GHG Summary'!$E$30/'GHG Summary'!$E$16),"")</f>
        <v/>
      </c>
      <c r="F51" s="738" t="str">
        <f ca="1">IFERROR(IF('GHG Summary'!$F$30="","",F18*'GHG Summary'!$F$30/'GHG Summary'!$F$16),"")</f>
        <v/>
      </c>
      <c r="G51" s="738" t="str">
        <f ca="1">IFERROR(IF('GHG Summary'!$G$30="","",G18*'GHG Summary'!$G$30/'GHG Summary'!$G$16),"")</f>
        <v/>
      </c>
      <c r="H51" s="835" t="str">
        <f ca="1">IFERROR(IF('GHG Summary'!$H$30="","",H18*'GHG Summary'!$H$30/'GHG Summary'!$H$16),"")</f>
        <v/>
      </c>
      <c r="I51" s="435">
        <f t="shared" ca="1" si="2"/>
        <v>0</v>
      </c>
      <c r="K51" s="792" t="s">
        <v>43</v>
      </c>
      <c r="L51" s="641"/>
    </row>
    <row r="52" spans="1:12" s="117" customFormat="1" ht="33.75" customHeight="1" thickBot="1" x14ac:dyDescent="0.4">
      <c r="A52" s="863"/>
      <c r="B52" s="426" t="s">
        <v>212</v>
      </c>
      <c r="C52" s="739" t="str">
        <f ca="1">IFERROR(IF('GHG Summary'!$C$30="","",C19*'GHG Summary'!$C$30/'GHG Summary'!$C$16),"")</f>
        <v/>
      </c>
      <c r="D52" s="739" t="str">
        <f ca="1">IFERROR(IF('GHG Summary'!$D$30="","",D19*'GHG Summary'!$D$30/'GHG Summary'!$D$16),"")</f>
        <v/>
      </c>
      <c r="E52" s="739" t="str">
        <f ca="1">IFERROR(IF('GHG Summary'!$E$30="","",E19*'GHG Summary'!$E$30/'GHG Summary'!$E$16),"")</f>
        <v/>
      </c>
      <c r="F52" s="739" t="str">
        <f ca="1">IFERROR(IF('GHG Summary'!$F$30="","",F19*'GHG Summary'!$F$30/'GHG Summary'!$F$16),"")</f>
        <v/>
      </c>
      <c r="G52" s="739" t="str">
        <f ca="1">IFERROR(IF('GHG Summary'!$G$30="","",G19*'GHG Summary'!$G$30/'GHG Summary'!$G$16),"")</f>
        <v/>
      </c>
      <c r="H52" s="739" t="str">
        <f ca="1">IFERROR(IF('GHG Summary'!$H$30="","",H19*'GHG Summary'!$H$30/'GHG Summary'!$H$16),"")</f>
        <v/>
      </c>
      <c r="I52" s="436">
        <f t="shared" ca="1" si="2"/>
        <v>0</v>
      </c>
      <c r="K52" s="792" t="s">
        <v>43</v>
      </c>
      <c r="L52" s="641"/>
    </row>
    <row r="53" spans="1:12" s="117" customFormat="1" ht="20.149999999999999" customHeight="1" x14ac:dyDescent="0.35">
      <c r="A53" s="862"/>
      <c r="B53" s="421" t="s">
        <v>213</v>
      </c>
      <c r="C53" s="729" t="str">
        <f ca="1">IFERROR(IF('GHG Summary'!$C$30="","",C20*'GHG Summary'!$C$30/'GHG Summary'!$C$16),"")</f>
        <v/>
      </c>
      <c r="D53" s="729" t="str">
        <f ca="1">IFERROR(IF('GHG Summary'!$D$30="","",D20*'GHG Summary'!$D$30/'GHG Summary'!$D$16),"")</f>
        <v/>
      </c>
      <c r="E53" s="729" t="str">
        <f ca="1">IFERROR(IF('GHG Summary'!$E$30="","",E20*'GHG Summary'!$E$30/'GHG Summary'!$E$16),"")</f>
        <v/>
      </c>
      <c r="F53" s="729" t="str">
        <f ca="1">IFERROR(IF('GHG Summary'!$F$30="","",F20*'GHG Summary'!$F$30/'GHG Summary'!$F$16),"")</f>
        <v/>
      </c>
      <c r="G53" s="729" t="str">
        <f ca="1">IFERROR(IF('GHG Summary'!$G$30="","",G20*'GHG Summary'!$G$30/'GHG Summary'!$G$16),"")</f>
        <v/>
      </c>
      <c r="H53" s="729" t="str">
        <f ca="1">IFERROR(IF('GHG Summary'!$H$30="","",H20*'GHG Summary'!$H$30/'GHG Summary'!$H$16),"")</f>
        <v/>
      </c>
      <c r="I53" s="431">
        <f ca="1">IF(SUM(C53:H53)=0,0,SUM(C53:H53))</f>
        <v>0</v>
      </c>
      <c r="K53" s="792" t="s">
        <v>43</v>
      </c>
      <c r="L53" s="641"/>
    </row>
    <row r="54" spans="1:12" s="117" customFormat="1" ht="20.149999999999999" customHeight="1" x14ac:dyDescent="0.35">
      <c r="A54" s="862"/>
      <c r="B54" s="423" t="s">
        <v>214</v>
      </c>
      <c r="C54" s="733" t="str">
        <f ca="1">IFERROR(IF('GHG Summary'!$C$30="","",C21*'GHG Summary'!$C$30/'GHG Summary'!$C$16),"")</f>
        <v/>
      </c>
      <c r="D54" s="733" t="str">
        <f ca="1">IFERROR(IF('GHG Summary'!$D$30="","",D21*'GHG Summary'!$D$30/'GHG Summary'!$D$16),"")</f>
        <v/>
      </c>
      <c r="E54" s="733" t="str">
        <f ca="1">IFERROR(IF('GHG Summary'!$E$30="","",E21*'GHG Summary'!$E$30/'GHG Summary'!$E$16),"")</f>
        <v/>
      </c>
      <c r="F54" s="733" t="str">
        <f ca="1">IFERROR(IF('GHG Summary'!$F$30="","",F21*'GHG Summary'!$F$30/'GHG Summary'!$F$16),"")</f>
        <v/>
      </c>
      <c r="G54" s="733" t="str">
        <f ca="1">IFERROR(IF('GHG Summary'!$G$30="","",G21*'GHG Summary'!$G$30/'GHG Summary'!$G$16),"")</f>
        <v/>
      </c>
      <c r="H54" s="733" t="str">
        <f ca="1">IFERROR(IF('GHG Summary'!$H$30="","",H21*'GHG Summary'!$H$30/'GHG Summary'!$H$16),"")</f>
        <v/>
      </c>
      <c r="I54" s="431">
        <f ca="1">IF(SUM(C54:H54)=0,0,SUM(C54:H54))</f>
        <v>0</v>
      </c>
      <c r="K54" s="792" t="s">
        <v>43</v>
      </c>
      <c r="L54" s="641"/>
    </row>
    <row r="55" spans="1:12" s="117" customFormat="1" ht="20.149999999999999" customHeight="1" x14ac:dyDescent="0.35">
      <c r="A55" s="862"/>
      <c r="B55" s="423" t="s">
        <v>215</v>
      </c>
      <c r="C55" s="733" t="str">
        <f ca="1">IFERROR(IF('GHG Summary'!$C$30="","",C22*'GHG Summary'!$C$30/'GHG Summary'!$C$16),"")</f>
        <v/>
      </c>
      <c r="D55" s="733" t="str">
        <f ca="1">IFERROR(IF('GHG Summary'!$D$30="","",D22*'GHG Summary'!$D$30/'GHG Summary'!$D$16),"")</f>
        <v/>
      </c>
      <c r="E55" s="733" t="str">
        <f ca="1">IFERROR(IF('GHG Summary'!$E$30="","",E22*'GHG Summary'!$E$30/'GHG Summary'!$E$16),"")</f>
        <v/>
      </c>
      <c r="F55" s="733" t="str">
        <f ca="1">IFERROR(IF('GHG Summary'!$F$30="","",F22*'GHG Summary'!$F$30/'GHG Summary'!$F$16),"")</f>
        <v/>
      </c>
      <c r="G55" s="733" t="str">
        <f ca="1">IFERROR(IF('GHG Summary'!$G$30="","",G22*'GHG Summary'!$G$30/'GHG Summary'!$G$16),"")</f>
        <v/>
      </c>
      <c r="H55" s="733" t="str">
        <f ca="1">IFERROR(IF('GHG Summary'!$H$30="","",H22*'GHG Summary'!$H$30/'GHG Summary'!$H$16),"")</f>
        <v/>
      </c>
      <c r="I55" s="431">
        <f ca="1">IF(SUM(C55:H55)=0,0,SUM(C55:H55))</f>
        <v>0</v>
      </c>
      <c r="K55" s="792" t="s">
        <v>43</v>
      </c>
      <c r="L55" s="641"/>
    </row>
    <row r="56" spans="1:12" s="117" customFormat="1" ht="20.149999999999999" customHeight="1" thickBot="1" x14ac:dyDescent="0.4">
      <c r="A56" s="862"/>
      <c r="B56" s="426" t="s">
        <v>216</v>
      </c>
      <c r="C56" s="728" t="str">
        <f ca="1">IFERROR(IF('GHG Summary'!$C$30="","",C23*'GHG Summary'!$C$30/'GHG Summary'!$C$16),"")</f>
        <v/>
      </c>
      <c r="D56" s="728" t="str">
        <f ca="1">IFERROR(IF('GHG Summary'!$D$30="","",D23*'GHG Summary'!$D$30/'GHG Summary'!$D$16),"")</f>
        <v/>
      </c>
      <c r="E56" s="728" t="str">
        <f ca="1">IFERROR(IF('GHG Summary'!$E$30="","",E23*'GHG Summary'!$E$30/'GHG Summary'!$E$16),"")</f>
        <v/>
      </c>
      <c r="F56" s="728" t="str">
        <f ca="1">IFERROR(IF('GHG Summary'!$F$30="","",F23*'GHG Summary'!$F$30/'GHG Summary'!$F$16),"")</f>
        <v/>
      </c>
      <c r="G56" s="728" t="str">
        <f ca="1">IFERROR(IF('GHG Summary'!$G$30="","",G23*'GHG Summary'!$G$30/'GHG Summary'!$G$16),"")</f>
        <v/>
      </c>
      <c r="H56" s="728" t="str">
        <f ca="1">IFERROR(IF('GHG Summary'!$H$30="","",H23*'GHG Summary'!$H$30/'GHG Summary'!$H$16),"")</f>
        <v/>
      </c>
      <c r="I56" s="429">
        <f ca="1">IF(SUM(C56:H56)=0,0,SUM(C56:H56))</f>
        <v>0</v>
      </c>
      <c r="K56" s="792" t="s">
        <v>43</v>
      </c>
      <c r="L56" s="641"/>
    </row>
    <row r="57" spans="1:12" ht="15" customHeight="1" x14ac:dyDescent="0.3">
      <c r="A57" s="864"/>
      <c r="B57" s="437"/>
      <c r="C57" s="438"/>
      <c r="D57" s="438"/>
      <c r="E57" s="438"/>
      <c r="F57" s="438"/>
      <c r="G57" s="438"/>
      <c r="H57" s="438"/>
      <c r="I57" s="438"/>
      <c r="K57" s="792" t="s">
        <v>43</v>
      </c>
      <c r="L57" s="640"/>
    </row>
    <row r="58" spans="1:12" ht="18.5" hidden="1" thickBot="1" x14ac:dyDescent="0.35">
      <c r="B58" s="859" t="s">
        <v>217</v>
      </c>
      <c r="C58" s="860"/>
      <c r="D58" s="838"/>
      <c r="F58" s="838"/>
      <c r="K58" s="640"/>
      <c r="L58" s="642" t="s">
        <v>38</v>
      </c>
    </row>
    <row r="59" spans="1:12" ht="15.5" hidden="1" x14ac:dyDescent="0.3">
      <c r="B59" s="846" t="s">
        <v>218</v>
      </c>
      <c r="C59" s="858"/>
      <c r="D59" s="839"/>
      <c r="F59" s="840"/>
      <c r="K59" s="640"/>
      <c r="L59" s="642" t="s">
        <v>38</v>
      </c>
    </row>
    <row r="60" spans="1:12" ht="15.5" hidden="1" x14ac:dyDescent="0.3">
      <c r="B60" s="848" t="s">
        <v>219</v>
      </c>
      <c r="C60" s="849" t="str">
        <f ca="1">IFERROR(C90*#REF!/#REF!,"")</f>
        <v/>
      </c>
      <c r="D60" s="839"/>
      <c r="F60" s="841"/>
      <c r="K60" s="640"/>
      <c r="L60" s="642" t="s">
        <v>38</v>
      </c>
    </row>
    <row r="61" spans="1:12" ht="17.5" hidden="1" x14ac:dyDescent="0.3">
      <c r="B61" s="848" t="s">
        <v>220</v>
      </c>
      <c r="C61" s="849" t="str">
        <f ca="1">IFERROR(C91*#REF!/#REF!,"")</f>
        <v/>
      </c>
      <c r="D61" s="839"/>
      <c r="F61" s="841"/>
      <c r="K61" s="640"/>
      <c r="L61" s="642" t="s">
        <v>38</v>
      </c>
    </row>
    <row r="62" spans="1:12" ht="17.5" hidden="1" x14ac:dyDescent="0.3">
      <c r="B62" s="848" t="s">
        <v>221</v>
      </c>
      <c r="C62" s="849" t="str">
        <f ca="1">IFERROR(C92*#REF!/#REF!,"")</f>
        <v/>
      </c>
      <c r="D62" s="839"/>
      <c r="F62" s="841"/>
      <c r="K62" s="640"/>
      <c r="L62" s="642" t="s">
        <v>38</v>
      </c>
    </row>
    <row r="63" spans="1:12" ht="15.5" hidden="1" x14ac:dyDescent="0.3">
      <c r="B63" s="848" t="s">
        <v>222</v>
      </c>
      <c r="C63" s="849" t="str">
        <f ca="1">IFERROR(C93*#REF!/#REF!,"")</f>
        <v/>
      </c>
      <c r="D63" s="839"/>
      <c r="F63" s="841"/>
      <c r="K63" s="640"/>
      <c r="L63" s="642" t="s">
        <v>38</v>
      </c>
    </row>
    <row r="64" spans="1:12" ht="15.5" hidden="1" x14ac:dyDescent="0.3">
      <c r="B64" s="848" t="s">
        <v>223</v>
      </c>
      <c r="C64" s="849" t="e">
        <f>IF(#REF!="","",0)</f>
        <v>#REF!</v>
      </c>
      <c r="D64" s="839"/>
      <c r="F64" s="841"/>
      <c r="K64" s="640"/>
      <c r="L64" s="642" t="s">
        <v>38</v>
      </c>
    </row>
    <row r="65" spans="2:12" ht="17.5" hidden="1" x14ac:dyDescent="0.3">
      <c r="B65" s="848" t="s">
        <v>224</v>
      </c>
      <c r="C65" s="849" t="e">
        <f>IF(#REF!="","",0)</f>
        <v>#REF!</v>
      </c>
      <c r="D65" s="839"/>
      <c r="F65" s="841"/>
      <c r="K65" s="640"/>
      <c r="L65" s="642" t="s">
        <v>38</v>
      </c>
    </row>
    <row r="66" spans="2:12" ht="17.5" hidden="1" x14ac:dyDescent="0.3">
      <c r="B66" s="848" t="s">
        <v>225</v>
      </c>
      <c r="C66" s="849" t="e">
        <f>IF(#REF!="","",0)</f>
        <v>#REF!</v>
      </c>
      <c r="D66" s="839"/>
      <c r="F66" s="841"/>
      <c r="K66" s="640"/>
      <c r="L66" s="642" t="s">
        <v>38</v>
      </c>
    </row>
    <row r="67" spans="2:12" ht="15.5" hidden="1" x14ac:dyDescent="0.3">
      <c r="B67" s="848" t="s">
        <v>226</v>
      </c>
      <c r="C67" s="849" t="e">
        <f>IF(#REF!="","",0)</f>
        <v>#REF!</v>
      </c>
      <c r="D67" s="839"/>
      <c r="F67" s="841"/>
      <c r="K67" s="640"/>
      <c r="L67" s="642" t="s">
        <v>38</v>
      </c>
    </row>
    <row r="68" spans="2:12" ht="15.5" hidden="1" x14ac:dyDescent="0.3">
      <c r="B68" s="850" t="s">
        <v>227</v>
      </c>
      <c r="C68" s="849" t="str">
        <f ca="1">IFERROR(C98*#REF!/#REF!,"")</f>
        <v/>
      </c>
      <c r="D68" s="842"/>
      <c r="F68" s="841"/>
      <c r="K68" s="640"/>
      <c r="L68" s="642" t="s">
        <v>38</v>
      </c>
    </row>
    <row r="69" spans="2:12" ht="15.5" hidden="1" x14ac:dyDescent="0.3">
      <c r="B69" s="850" t="s">
        <v>208</v>
      </c>
      <c r="C69" s="849" t="str">
        <f ca="1">IFERROR(C99*#REF!/#REF!,"")</f>
        <v/>
      </c>
      <c r="D69" s="842"/>
      <c r="F69" s="841"/>
      <c r="K69" s="640"/>
      <c r="L69" s="642" t="s">
        <v>38</v>
      </c>
    </row>
    <row r="70" spans="2:12" ht="15.5" hidden="1" x14ac:dyDescent="0.3">
      <c r="B70" s="850" t="s">
        <v>209</v>
      </c>
      <c r="C70" s="849" t="str">
        <f ca="1">IFERROR(C100*#REF!/#REF!,"")</f>
        <v/>
      </c>
      <c r="D70" s="842"/>
      <c r="F70" s="841"/>
      <c r="K70" s="640"/>
      <c r="L70" s="642" t="s">
        <v>38</v>
      </c>
    </row>
    <row r="71" spans="2:12" ht="15.5" hidden="1" x14ac:dyDescent="0.3">
      <c r="B71" s="850" t="s">
        <v>210</v>
      </c>
      <c r="C71" s="849" t="str">
        <f ca="1">IFERROR(C101*#REF!/#REF!,"")</f>
        <v/>
      </c>
      <c r="D71" s="842"/>
      <c r="F71" s="841"/>
      <c r="K71" s="640"/>
      <c r="L71" s="642" t="s">
        <v>38</v>
      </c>
    </row>
    <row r="72" spans="2:12" ht="15.5" hidden="1" x14ac:dyDescent="0.3">
      <c r="B72" s="850" t="s">
        <v>228</v>
      </c>
      <c r="C72" s="851" t="str">
        <f ca="1">IFERROR(C102*#REF!/#REF!,"")</f>
        <v/>
      </c>
      <c r="D72" s="842"/>
      <c r="F72" s="843"/>
      <c r="K72" s="640"/>
      <c r="L72" s="642" t="s">
        <v>38</v>
      </c>
    </row>
    <row r="73" spans="2:12" ht="15.5" hidden="1" x14ac:dyDescent="0.3">
      <c r="B73" s="850" t="s">
        <v>211</v>
      </c>
      <c r="C73" s="851" t="str">
        <f ca="1">IFERROR(C103*#REF!/#REF!,"")</f>
        <v/>
      </c>
      <c r="D73" s="842"/>
      <c r="F73" s="843"/>
      <c r="K73" s="640"/>
      <c r="L73" s="642" t="s">
        <v>38</v>
      </c>
    </row>
    <row r="74" spans="2:12" ht="15.5" hidden="1" x14ac:dyDescent="0.3">
      <c r="B74" s="852" t="s">
        <v>229</v>
      </c>
      <c r="C74" s="847"/>
      <c r="D74" s="842"/>
      <c r="F74" s="840"/>
      <c r="K74" s="640"/>
      <c r="L74" s="642" t="s">
        <v>38</v>
      </c>
    </row>
    <row r="75" spans="2:12" ht="15.5" hidden="1" x14ac:dyDescent="0.3">
      <c r="B75" s="848" t="s">
        <v>219</v>
      </c>
      <c r="C75" s="849" t="str">
        <f t="shared" ref="C75:C88" ca="1" si="3">IFERROR(IF((C90-C60)=0,0,(C90-C60)),"")</f>
        <v/>
      </c>
      <c r="D75" s="839"/>
      <c r="F75" s="841"/>
      <c r="K75" s="640"/>
      <c r="L75" s="642" t="s">
        <v>38</v>
      </c>
    </row>
    <row r="76" spans="2:12" ht="17.5" hidden="1" x14ac:dyDescent="0.3">
      <c r="B76" s="848" t="s">
        <v>220</v>
      </c>
      <c r="C76" s="849" t="str">
        <f t="shared" ca="1" si="3"/>
        <v/>
      </c>
      <c r="D76" s="839"/>
      <c r="F76" s="841"/>
      <c r="K76" s="640"/>
      <c r="L76" s="642" t="s">
        <v>38</v>
      </c>
    </row>
    <row r="77" spans="2:12" ht="17.5" hidden="1" x14ac:dyDescent="0.3">
      <c r="B77" s="848" t="s">
        <v>221</v>
      </c>
      <c r="C77" s="849" t="str">
        <f t="shared" ca="1" si="3"/>
        <v/>
      </c>
      <c r="D77" s="839"/>
      <c r="F77" s="841"/>
      <c r="K77" s="640"/>
      <c r="L77" s="642" t="s">
        <v>38</v>
      </c>
    </row>
    <row r="78" spans="2:12" ht="15.5" hidden="1" x14ac:dyDescent="0.3">
      <c r="B78" s="848" t="s">
        <v>222</v>
      </c>
      <c r="C78" s="849" t="str">
        <f t="shared" ca="1" si="3"/>
        <v/>
      </c>
      <c r="D78" s="839"/>
      <c r="F78" s="841"/>
      <c r="K78" s="640"/>
      <c r="L78" s="642" t="s">
        <v>38</v>
      </c>
    </row>
    <row r="79" spans="2:12" ht="15.5" hidden="1" x14ac:dyDescent="0.3">
      <c r="B79" s="848" t="s">
        <v>223</v>
      </c>
      <c r="C79" s="849" t="str">
        <f t="shared" si="3"/>
        <v/>
      </c>
      <c r="D79" s="839"/>
      <c r="F79" s="841"/>
      <c r="K79" s="640"/>
      <c r="L79" s="642" t="s">
        <v>38</v>
      </c>
    </row>
    <row r="80" spans="2:12" ht="17.5" hidden="1" x14ac:dyDescent="0.3">
      <c r="B80" s="848" t="s">
        <v>224</v>
      </c>
      <c r="C80" s="849" t="str">
        <f t="shared" si="3"/>
        <v/>
      </c>
      <c r="D80" s="839"/>
      <c r="F80" s="841"/>
      <c r="K80" s="640"/>
      <c r="L80" s="642" t="s">
        <v>38</v>
      </c>
    </row>
    <row r="81" spans="2:12" ht="17.5" hidden="1" x14ac:dyDescent="0.3">
      <c r="B81" s="848" t="s">
        <v>225</v>
      </c>
      <c r="C81" s="849" t="str">
        <f t="shared" si="3"/>
        <v/>
      </c>
      <c r="D81" s="839"/>
      <c r="F81" s="841"/>
      <c r="K81" s="640"/>
      <c r="L81" s="642" t="s">
        <v>38</v>
      </c>
    </row>
    <row r="82" spans="2:12" ht="15.5" hidden="1" x14ac:dyDescent="0.3">
      <c r="B82" s="848" t="s">
        <v>226</v>
      </c>
      <c r="C82" s="849" t="str">
        <f t="shared" si="3"/>
        <v/>
      </c>
      <c r="D82" s="839"/>
      <c r="F82" s="841"/>
      <c r="K82" s="640"/>
      <c r="L82" s="642" t="s">
        <v>38</v>
      </c>
    </row>
    <row r="83" spans="2:12" ht="15.5" hidden="1" x14ac:dyDescent="0.3">
      <c r="B83" s="850" t="s">
        <v>227</v>
      </c>
      <c r="C83" s="849" t="str">
        <f t="shared" ca="1" si="3"/>
        <v/>
      </c>
      <c r="D83" s="842"/>
      <c r="F83" s="841"/>
      <c r="K83" s="640"/>
      <c r="L83" s="642" t="s">
        <v>38</v>
      </c>
    </row>
    <row r="84" spans="2:12" ht="15.5" hidden="1" x14ac:dyDescent="0.3">
      <c r="B84" s="850" t="s">
        <v>208</v>
      </c>
      <c r="C84" s="849" t="str">
        <f t="shared" ca="1" si="3"/>
        <v/>
      </c>
      <c r="D84" s="842"/>
      <c r="F84" s="841"/>
      <c r="K84" s="640"/>
      <c r="L84" s="642" t="s">
        <v>38</v>
      </c>
    </row>
    <row r="85" spans="2:12" ht="15.5" hidden="1" x14ac:dyDescent="0.3">
      <c r="B85" s="850" t="s">
        <v>209</v>
      </c>
      <c r="C85" s="849" t="str">
        <f t="shared" ca="1" si="3"/>
        <v/>
      </c>
      <c r="D85" s="842"/>
      <c r="F85" s="841"/>
      <c r="K85" s="640"/>
      <c r="L85" s="642" t="s">
        <v>38</v>
      </c>
    </row>
    <row r="86" spans="2:12" ht="15.5" hidden="1" x14ac:dyDescent="0.3">
      <c r="B86" s="850" t="s">
        <v>210</v>
      </c>
      <c r="C86" s="849" t="str">
        <f t="shared" ca="1" si="3"/>
        <v/>
      </c>
      <c r="D86" s="842"/>
      <c r="F86" s="841"/>
      <c r="K86" s="640"/>
      <c r="L86" s="642" t="s">
        <v>38</v>
      </c>
    </row>
    <row r="87" spans="2:12" ht="15.5" hidden="1" x14ac:dyDescent="0.3">
      <c r="B87" s="850" t="s">
        <v>228</v>
      </c>
      <c r="C87" s="851" t="str">
        <f t="shared" ca="1" si="3"/>
        <v/>
      </c>
      <c r="D87" s="842"/>
      <c r="F87" s="843"/>
      <c r="K87" s="640"/>
      <c r="L87" s="642" t="s">
        <v>38</v>
      </c>
    </row>
    <row r="88" spans="2:12" ht="15.5" hidden="1" x14ac:dyDescent="0.3">
      <c r="B88" s="850" t="s">
        <v>211</v>
      </c>
      <c r="C88" s="851" t="str">
        <f t="shared" ca="1" si="3"/>
        <v/>
      </c>
      <c r="D88" s="842"/>
      <c r="F88" s="843"/>
      <c r="K88" s="640"/>
      <c r="L88" s="642" t="s">
        <v>38</v>
      </c>
    </row>
    <row r="89" spans="2:12" ht="15.5" hidden="1" x14ac:dyDescent="0.3">
      <c r="B89" s="853" t="s">
        <v>230</v>
      </c>
      <c r="C89" s="847"/>
      <c r="D89" s="842"/>
      <c r="F89" s="844"/>
      <c r="K89" s="640"/>
      <c r="L89" s="642" t="s">
        <v>38</v>
      </c>
    </row>
    <row r="90" spans="2:12" ht="15.5" hidden="1" x14ac:dyDescent="0.3">
      <c r="B90" s="848" t="s">
        <v>219</v>
      </c>
      <c r="C90" s="849">
        <f ca="1">IFERROR('Co-Benefit Calcs'!X55,"")</f>
        <v>0</v>
      </c>
      <c r="D90" s="839"/>
      <c r="F90" s="841"/>
      <c r="K90" s="640"/>
      <c r="L90" s="642" t="s">
        <v>38</v>
      </c>
    </row>
    <row r="91" spans="2:12" ht="17.5" hidden="1" x14ac:dyDescent="0.3">
      <c r="B91" s="848" t="s">
        <v>220</v>
      </c>
      <c r="C91" s="849">
        <f ca="1">IFERROR('Co-Benefit Calcs'!V55,"")</f>
        <v>0</v>
      </c>
      <c r="D91" s="839"/>
      <c r="F91" s="841"/>
      <c r="K91" s="640"/>
      <c r="L91" s="642" t="s">
        <v>38</v>
      </c>
    </row>
    <row r="92" spans="2:12" ht="17.5" hidden="1" x14ac:dyDescent="0.3">
      <c r="B92" s="848" t="s">
        <v>221</v>
      </c>
      <c r="C92" s="849">
        <f ca="1">IFERROR('Co-Benefit Calcs'!W55,"")</f>
        <v>0</v>
      </c>
      <c r="D92" s="839"/>
      <c r="F92" s="841"/>
      <c r="K92" s="640"/>
      <c r="L92" s="642" t="s">
        <v>38</v>
      </c>
    </row>
    <row r="93" spans="2:12" ht="15.5" hidden="1" x14ac:dyDescent="0.3">
      <c r="B93" s="848" t="s">
        <v>222</v>
      </c>
      <c r="C93" s="849">
        <f ca="1">IFERROR('Co-Benefit Calcs'!U55,"")</f>
        <v>0</v>
      </c>
      <c r="D93" s="839"/>
      <c r="F93" s="841"/>
      <c r="K93" s="640"/>
      <c r="L93" s="642" t="s">
        <v>38</v>
      </c>
    </row>
    <row r="94" spans="2:12" ht="15.5" hidden="1" x14ac:dyDescent="0.3">
      <c r="B94" s="848" t="s">
        <v>223</v>
      </c>
      <c r="C94" s="849" t="e">
        <f>IF(#REF!="","",0)</f>
        <v>#REF!</v>
      </c>
      <c r="D94" s="839"/>
      <c r="F94" s="841"/>
      <c r="K94" s="640"/>
      <c r="L94" s="642" t="s">
        <v>38</v>
      </c>
    </row>
    <row r="95" spans="2:12" ht="17.5" hidden="1" x14ac:dyDescent="0.3">
      <c r="B95" s="848" t="s">
        <v>224</v>
      </c>
      <c r="C95" s="849" t="e">
        <f>IF(#REF!="","",0)</f>
        <v>#REF!</v>
      </c>
      <c r="D95" s="839"/>
      <c r="F95" s="841"/>
      <c r="K95" s="640"/>
      <c r="L95" s="642" t="s">
        <v>38</v>
      </c>
    </row>
    <row r="96" spans="2:12" ht="17.5" hidden="1" x14ac:dyDescent="0.3">
      <c r="B96" s="848" t="s">
        <v>225</v>
      </c>
      <c r="C96" s="849" t="e">
        <f>IF(#REF!="","",0)</f>
        <v>#REF!</v>
      </c>
      <c r="D96" s="839"/>
      <c r="F96" s="841"/>
      <c r="K96" s="640"/>
      <c r="L96" s="642" t="s">
        <v>38</v>
      </c>
    </row>
    <row r="97" spans="2:12" ht="15.5" hidden="1" x14ac:dyDescent="0.3">
      <c r="B97" s="848" t="s">
        <v>226</v>
      </c>
      <c r="C97" s="849" t="e">
        <f>IF(#REF!="","",0)</f>
        <v>#REF!</v>
      </c>
      <c r="D97" s="839"/>
      <c r="F97" s="841"/>
      <c r="K97" s="640"/>
      <c r="L97" s="642" t="s">
        <v>38</v>
      </c>
    </row>
    <row r="98" spans="2:12" ht="15.5" hidden="1" x14ac:dyDescent="0.3">
      <c r="B98" s="850" t="s">
        <v>227</v>
      </c>
      <c r="C98" s="849">
        <f ca="1">IFERROR('Co-Benefit Calcs'!AH55,"")</f>
        <v>0</v>
      </c>
      <c r="D98" s="842"/>
      <c r="F98" s="841"/>
      <c r="K98" s="640"/>
      <c r="L98" s="642" t="s">
        <v>38</v>
      </c>
    </row>
    <row r="99" spans="2:12" ht="15.5" hidden="1" x14ac:dyDescent="0.3">
      <c r="B99" s="850" t="s">
        <v>208</v>
      </c>
      <c r="C99" s="854">
        <f ca="1">IFERROR('Co-Benefit Calcs'!AC55,"")</f>
        <v>0</v>
      </c>
      <c r="D99" s="842"/>
      <c r="F99" s="845"/>
      <c r="K99" s="640"/>
      <c r="L99" s="642" t="s">
        <v>38</v>
      </c>
    </row>
    <row r="100" spans="2:12" ht="15.5" hidden="1" x14ac:dyDescent="0.3">
      <c r="B100" s="850" t="s">
        <v>209</v>
      </c>
      <c r="C100" s="855">
        <f ca="1">IFERROR('Co-Benefit Calcs'!AD55,"")</f>
        <v>0</v>
      </c>
      <c r="D100" s="842"/>
      <c r="F100" s="845"/>
      <c r="K100" s="640"/>
      <c r="L100" s="642" t="s">
        <v>38</v>
      </c>
    </row>
    <row r="101" spans="2:12" ht="15.5" hidden="1" x14ac:dyDescent="0.3">
      <c r="B101" s="850" t="s">
        <v>210</v>
      </c>
      <c r="C101" s="855">
        <f ca="1">IFERROR('Co-Benefit Calcs'!AE55,"")</f>
        <v>0</v>
      </c>
      <c r="D101" s="842"/>
      <c r="F101" s="845"/>
      <c r="K101" s="640"/>
      <c r="L101" s="642" t="s">
        <v>38</v>
      </c>
    </row>
    <row r="102" spans="2:12" ht="15.5" hidden="1" x14ac:dyDescent="0.3">
      <c r="B102" s="850" t="s">
        <v>228</v>
      </c>
      <c r="C102" s="851">
        <f ca="1">IFERROR('Co-Benefit Calcs'!AG55,"")</f>
        <v>0</v>
      </c>
      <c r="D102" s="842"/>
      <c r="F102" s="843"/>
      <c r="K102" s="640"/>
      <c r="L102" s="642" t="s">
        <v>38</v>
      </c>
    </row>
    <row r="103" spans="2:12" ht="16" hidden="1" thickBot="1" x14ac:dyDescent="0.35">
      <c r="B103" s="856" t="s">
        <v>211</v>
      </c>
      <c r="C103" s="857">
        <f ca="1">IFERROR('Co-Benefit Calcs'!AF55,"")</f>
        <v>0</v>
      </c>
      <c r="D103" s="842"/>
      <c r="F103" s="843"/>
      <c r="K103" s="640"/>
      <c r="L103" s="642" t="s">
        <v>38</v>
      </c>
    </row>
  </sheetData>
  <protectedRanges>
    <protectedRange password="C38A" sqref="B36:B45 B13:B34 B47:B57" name="Range1"/>
  </protectedRanges>
  <pageMargins left="0.7" right="0.7" top="0.75" bottom="0.75" header="0.3" footer="0.3"/>
  <pageSetup scale="59" fitToHeight="0" orientation="landscape" r:id="rId1"/>
  <headerFooter>
    <oddFooter>&amp;L&amp;"Avenir LT Std 55 Roman,Regular"&amp;12January 9, 2023&amp;C&amp;"Avenir LT Std 55 Roman,Regular"&amp;12&amp;P of &amp;N&amp;R&amp;"Avenir LT Std 55 Roman,Regular"&amp;12&amp;A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66"/>
  </sheetPr>
  <dimension ref="A1:I66"/>
  <sheetViews>
    <sheetView showGridLines="0" zoomScaleNormal="100" zoomScalePageLayoutView="70" workbookViewId="0">
      <selection activeCell="A2" sqref="A2"/>
    </sheetView>
  </sheetViews>
  <sheetFormatPr defaultColWidth="9.08984375" defaultRowHeight="14" x14ac:dyDescent="0.3"/>
  <cols>
    <col min="1" max="1" width="4.453125" style="393" customWidth="1"/>
    <col min="2" max="2" width="29.08984375" style="393" customWidth="1"/>
    <col min="3" max="3" width="156.453125" style="393" customWidth="1"/>
    <col min="4" max="4" width="9" style="393" customWidth="1"/>
    <col min="5" max="5" width="9.08984375" style="393" customWidth="1"/>
    <col min="6" max="6" width="34.453125" style="393" bestFit="1" customWidth="1"/>
    <col min="7" max="7" width="19.453125" style="393" customWidth="1"/>
    <col min="8" max="8" width="16.90625" style="393" customWidth="1"/>
    <col min="9" max="9" width="14.08984375" style="393" customWidth="1"/>
    <col min="10" max="10" width="31.453125" style="393" customWidth="1"/>
    <col min="11" max="16384" width="9.08984375" style="393"/>
  </cols>
  <sheetData>
    <row r="1" spans="1:9" ht="18.75" customHeight="1" x14ac:dyDescent="0.3">
      <c r="A1" s="535"/>
      <c r="B1" s="535"/>
      <c r="C1" s="535"/>
    </row>
    <row r="2" spans="1:9" ht="15" customHeight="1" x14ac:dyDescent="0.4">
      <c r="A2" s="394"/>
      <c r="B2" s="394"/>
      <c r="C2" s="394"/>
    </row>
    <row r="3" spans="1:9" ht="18.75" customHeight="1" x14ac:dyDescent="0.3">
      <c r="A3" s="535"/>
      <c r="B3" s="535"/>
      <c r="C3" s="535"/>
    </row>
    <row r="4" spans="1:9" ht="18.75" customHeight="1" x14ac:dyDescent="0.3">
      <c r="A4" s="536"/>
      <c r="B4" s="536"/>
      <c r="C4" s="536"/>
    </row>
    <row r="5" spans="1:9" ht="15" customHeight="1" x14ac:dyDescent="0.4">
      <c r="A5" s="394"/>
      <c r="B5" s="394"/>
      <c r="C5" s="394"/>
    </row>
    <row r="6" spans="1:9" ht="18.75" customHeight="1" x14ac:dyDescent="0.3">
      <c r="A6" s="535"/>
      <c r="B6" s="535"/>
      <c r="C6" s="535"/>
    </row>
    <row r="7" spans="1:9" ht="15" customHeight="1" x14ac:dyDescent="0.4">
      <c r="A7" s="394"/>
      <c r="B7" s="394"/>
      <c r="C7" s="394"/>
    </row>
    <row r="8" spans="1:9" ht="18" customHeight="1" thickBot="1" x14ac:dyDescent="0.35">
      <c r="A8" s="395"/>
      <c r="B8" s="395"/>
      <c r="C8" s="395"/>
    </row>
    <row r="9" spans="1:9" ht="18" x14ac:dyDescent="0.4">
      <c r="B9" s="548" t="s">
        <v>231</v>
      </c>
      <c r="C9" s="549" t="s">
        <v>232</v>
      </c>
      <c r="D9" s="398"/>
      <c r="E9" s="398"/>
      <c r="F9" s="398"/>
      <c r="G9" s="398"/>
      <c r="H9" s="398"/>
      <c r="I9" s="398"/>
    </row>
    <row r="10" spans="1:9" ht="31.5" customHeight="1" x14ac:dyDescent="0.35">
      <c r="B10" s="550" t="s">
        <v>93</v>
      </c>
      <c r="C10" s="551" t="s">
        <v>233</v>
      </c>
      <c r="D10" s="398"/>
      <c r="E10" s="398"/>
      <c r="F10" s="398"/>
      <c r="G10" s="398"/>
      <c r="H10" s="398"/>
      <c r="I10" s="398"/>
    </row>
    <row r="11" spans="1:9" ht="31" x14ac:dyDescent="0.35">
      <c r="B11" s="550" t="s">
        <v>234</v>
      </c>
      <c r="C11" s="551" t="s">
        <v>235</v>
      </c>
      <c r="D11" s="398"/>
      <c r="E11" s="398"/>
      <c r="F11" s="398"/>
      <c r="G11" s="398"/>
      <c r="H11" s="398"/>
      <c r="I11" s="398"/>
    </row>
    <row r="12" spans="1:9" ht="31.5" customHeight="1" x14ac:dyDescent="0.35">
      <c r="B12" s="550" t="s">
        <v>236</v>
      </c>
      <c r="C12" s="551" t="s">
        <v>237</v>
      </c>
      <c r="D12" s="398"/>
      <c r="E12" s="398"/>
      <c r="F12" s="398"/>
      <c r="G12" s="398"/>
      <c r="H12" s="398"/>
      <c r="I12" s="398"/>
    </row>
    <row r="13" spans="1:9" ht="31.5" customHeight="1" x14ac:dyDescent="0.35">
      <c r="B13" s="550" t="s">
        <v>238</v>
      </c>
      <c r="C13" s="551" t="s">
        <v>239</v>
      </c>
      <c r="D13" s="398"/>
      <c r="E13" s="398"/>
      <c r="F13" s="398"/>
      <c r="G13" s="398"/>
      <c r="H13" s="398"/>
      <c r="I13" s="398"/>
    </row>
    <row r="14" spans="1:9" ht="31" x14ac:dyDescent="0.35">
      <c r="B14" s="550" t="s">
        <v>240</v>
      </c>
      <c r="C14" s="552" t="s">
        <v>241</v>
      </c>
      <c r="D14" s="398"/>
      <c r="E14" s="398"/>
      <c r="F14" s="398"/>
      <c r="G14" s="398"/>
      <c r="H14" s="398"/>
      <c r="I14" s="398"/>
    </row>
    <row r="15" spans="1:9" ht="46.5" x14ac:dyDescent="0.35">
      <c r="B15" s="550" t="s">
        <v>242</v>
      </c>
      <c r="C15" s="551" t="s">
        <v>243</v>
      </c>
      <c r="D15" s="398"/>
      <c r="E15" s="398"/>
      <c r="F15" s="398"/>
      <c r="G15" s="398"/>
      <c r="H15" s="398"/>
      <c r="I15" s="398"/>
    </row>
    <row r="16" spans="1:9" ht="46.5" x14ac:dyDescent="0.35">
      <c r="B16" s="550" t="s">
        <v>244</v>
      </c>
      <c r="C16" s="551" t="s">
        <v>245</v>
      </c>
      <c r="D16" s="398"/>
      <c r="E16" s="398"/>
      <c r="F16" s="398"/>
      <c r="G16" s="398"/>
      <c r="H16" s="398"/>
      <c r="I16" s="398"/>
    </row>
    <row r="17" spans="2:9" ht="31" x14ac:dyDescent="0.35">
      <c r="B17" s="550" t="s">
        <v>246</v>
      </c>
      <c r="C17" s="551" t="s">
        <v>247</v>
      </c>
      <c r="D17" s="398"/>
      <c r="E17" s="398"/>
      <c r="F17" s="398"/>
      <c r="G17" s="398"/>
      <c r="H17" s="398"/>
      <c r="I17" s="398"/>
    </row>
    <row r="18" spans="2:9" ht="31" x14ac:dyDescent="0.35">
      <c r="B18" s="550" t="s">
        <v>248</v>
      </c>
      <c r="C18" s="551" t="s">
        <v>249</v>
      </c>
      <c r="D18" s="398"/>
      <c r="E18" s="398"/>
      <c r="F18" s="398"/>
      <c r="G18" s="398"/>
      <c r="H18" s="398"/>
      <c r="I18" s="398"/>
    </row>
    <row r="19" spans="2:9" ht="31.5" customHeight="1" x14ac:dyDescent="0.35">
      <c r="B19" s="550" t="s">
        <v>250</v>
      </c>
      <c r="C19" s="551" t="s">
        <v>251</v>
      </c>
      <c r="D19" s="398"/>
      <c r="E19" s="398"/>
      <c r="F19" s="398"/>
      <c r="G19" s="398"/>
      <c r="H19" s="398"/>
      <c r="I19" s="398"/>
    </row>
    <row r="20" spans="2:9" ht="31" x14ac:dyDescent="0.35">
      <c r="B20" s="550" t="s">
        <v>69</v>
      </c>
      <c r="C20" s="551" t="s">
        <v>252</v>
      </c>
      <c r="D20" s="398"/>
      <c r="E20" s="398"/>
      <c r="F20" s="398"/>
      <c r="G20" s="398"/>
      <c r="H20" s="398"/>
      <c r="I20" s="398"/>
    </row>
    <row r="21" spans="2:9" ht="31" x14ac:dyDescent="0.35">
      <c r="B21" s="550" t="s">
        <v>253</v>
      </c>
      <c r="C21" s="551" t="s">
        <v>254</v>
      </c>
      <c r="D21" s="398"/>
      <c r="E21" s="398"/>
      <c r="F21" s="398"/>
      <c r="G21" s="398"/>
      <c r="H21" s="398"/>
      <c r="I21" s="398"/>
    </row>
    <row r="22" spans="2:9" ht="46.5" x14ac:dyDescent="0.35">
      <c r="B22" s="550" t="s">
        <v>255</v>
      </c>
      <c r="C22" s="551" t="s">
        <v>256</v>
      </c>
      <c r="D22" s="398"/>
      <c r="E22" s="398"/>
      <c r="F22" s="398"/>
      <c r="G22" s="398"/>
      <c r="H22" s="398"/>
      <c r="I22" s="398"/>
    </row>
    <row r="23" spans="2:9" ht="31" x14ac:dyDescent="0.35">
      <c r="B23" s="550" t="s">
        <v>257</v>
      </c>
      <c r="C23" s="551" t="s">
        <v>258</v>
      </c>
      <c r="D23" s="398"/>
      <c r="E23" s="398"/>
      <c r="F23" s="398"/>
      <c r="G23" s="398"/>
      <c r="H23" s="398"/>
      <c r="I23" s="398"/>
    </row>
    <row r="24" spans="2:9" ht="31.5" customHeight="1" x14ac:dyDescent="0.35">
      <c r="B24" s="550" t="s">
        <v>259</v>
      </c>
      <c r="C24" s="551" t="s">
        <v>260</v>
      </c>
      <c r="D24" s="398"/>
      <c r="E24" s="398"/>
      <c r="F24" s="398"/>
      <c r="G24" s="398"/>
      <c r="H24" s="398"/>
      <c r="I24" s="398"/>
    </row>
    <row r="25" spans="2:9" ht="31" x14ac:dyDescent="0.35">
      <c r="B25" s="550" t="s">
        <v>261</v>
      </c>
      <c r="C25" s="551" t="s">
        <v>262</v>
      </c>
      <c r="D25" s="398"/>
      <c r="E25" s="398"/>
      <c r="F25" s="398"/>
      <c r="G25" s="398"/>
      <c r="H25" s="398"/>
      <c r="I25" s="398"/>
    </row>
    <row r="26" spans="2:9" ht="31.5" customHeight="1" x14ac:dyDescent="0.35">
      <c r="B26" s="550" t="s">
        <v>263</v>
      </c>
      <c r="C26" s="551" t="s">
        <v>264</v>
      </c>
      <c r="D26" s="398"/>
      <c r="E26" s="398"/>
      <c r="F26" s="398"/>
      <c r="G26" s="398"/>
      <c r="H26" s="398"/>
      <c r="I26" s="398"/>
    </row>
    <row r="27" spans="2:9" ht="31.5" customHeight="1" thickBot="1" x14ac:dyDescent="0.4">
      <c r="B27" s="553" t="s">
        <v>265</v>
      </c>
      <c r="C27" s="554" t="s">
        <v>266</v>
      </c>
      <c r="D27" s="398"/>
      <c r="E27" s="398"/>
      <c r="F27" s="398"/>
      <c r="G27" s="398"/>
      <c r="H27" s="398"/>
      <c r="I27" s="398"/>
    </row>
    <row r="28" spans="2:9" ht="16" thickBot="1" x14ac:dyDescent="0.4">
      <c r="D28" s="398"/>
      <c r="E28" s="398"/>
      <c r="F28" s="398"/>
      <c r="G28" s="398"/>
      <c r="H28" s="398"/>
      <c r="I28" s="398"/>
    </row>
    <row r="29" spans="2:9" ht="18" x14ac:dyDescent="0.4">
      <c r="B29" s="548" t="s">
        <v>267</v>
      </c>
      <c r="C29" s="549" t="s">
        <v>268</v>
      </c>
      <c r="D29" s="398"/>
      <c r="E29" s="398"/>
      <c r="F29" s="398"/>
      <c r="G29" s="398"/>
      <c r="H29" s="398"/>
      <c r="I29" s="398"/>
    </row>
    <row r="30" spans="2:9" ht="15.5" x14ac:dyDescent="0.35">
      <c r="B30" s="550" t="s">
        <v>269</v>
      </c>
      <c r="C30" s="551" t="s">
        <v>270</v>
      </c>
      <c r="D30" s="398"/>
      <c r="E30" s="398"/>
      <c r="F30" s="398"/>
      <c r="G30" s="398"/>
      <c r="H30" s="398"/>
      <c r="I30" s="398"/>
    </row>
    <row r="31" spans="2:9" ht="15.5" x14ac:dyDescent="0.35">
      <c r="B31" s="550" t="s">
        <v>271</v>
      </c>
      <c r="C31" s="551" t="s">
        <v>272</v>
      </c>
      <c r="D31" s="398"/>
      <c r="E31" s="398"/>
      <c r="F31" s="398"/>
      <c r="G31" s="398"/>
      <c r="H31" s="398"/>
      <c r="I31" s="398"/>
    </row>
    <row r="32" spans="2:9" ht="15.5" x14ac:dyDescent="0.35">
      <c r="B32" s="550" t="s">
        <v>273</v>
      </c>
      <c r="C32" s="551" t="s">
        <v>274</v>
      </c>
      <c r="D32" s="398"/>
      <c r="E32" s="398"/>
      <c r="F32" s="398"/>
      <c r="G32" s="398"/>
      <c r="H32" s="398"/>
      <c r="I32" s="398"/>
    </row>
    <row r="33" spans="2:9" ht="15.5" x14ac:dyDescent="0.35">
      <c r="B33" s="550" t="s">
        <v>275</v>
      </c>
      <c r="C33" s="551" t="s">
        <v>276</v>
      </c>
      <c r="D33" s="398"/>
      <c r="E33" s="398"/>
      <c r="F33" s="398"/>
      <c r="G33" s="398"/>
      <c r="H33" s="398"/>
      <c r="I33" s="398"/>
    </row>
    <row r="34" spans="2:9" ht="15.5" x14ac:dyDescent="0.35">
      <c r="B34" s="550" t="s">
        <v>277</v>
      </c>
      <c r="C34" s="551" t="s">
        <v>278</v>
      </c>
      <c r="D34" s="398"/>
      <c r="E34" s="398"/>
      <c r="F34" s="398"/>
      <c r="G34" s="398"/>
      <c r="H34" s="398"/>
      <c r="I34" s="398"/>
    </row>
    <row r="35" spans="2:9" ht="15.5" x14ac:dyDescent="0.35">
      <c r="B35" s="550" t="s">
        <v>279</v>
      </c>
      <c r="C35" s="551" t="s">
        <v>280</v>
      </c>
      <c r="D35" s="398"/>
      <c r="E35" s="398"/>
      <c r="F35" s="398"/>
      <c r="G35" s="398"/>
      <c r="H35" s="398"/>
      <c r="I35" s="398"/>
    </row>
    <row r="36" spans="2:9" ht="15.5" x14ac:dyDescent="0.35">
      <c r="B36" s="550" t="s">
        <v>281</v>
      </c>
      <c r="C36" s="551" t="s">
        <v>282</v>
      </c>
      <c r="D36" s="398"/>
      <c r="E36" s="398"/>
      <c r="F36" s="398"/>
      <c r="G36" s="398"/>
      <c r="H36" s="398"/>
      <c r="I36" s="398"/>
    </row>
    <row r="37" spans="2:9" ht="15.5" x14ac:dyDescent="0.3">
      <c r="B37" s="550" t="s">
        <v>283</v>
      </c>
      <c r="C37" s="551" t="s">
        <v>284</v>
      </c>
    </row>
    <row r="38" spans="2:9" ht="15.5" x14ac:dyDescent="0.3">
      <c r="B38" s="550" t="s">
        <v>285</v>
      </c>
      <c r="C38" s="551" t="s">
        <v>286</v>
      </c>
    </row>
    <row r="39" spans="2:9" ht="15.5" x14ac:dyDescent="0.3">
      <c r="B39" s="550" t="s">
        <v>287</v>
      </c>
      <c r="C39" s="551" t="s">
        <v>288</v>
      </c>
    </row>
    <row r="40" spans="2:9" ht="15.5" x14ac:dyDescent="0.3">
      <c r="B40" s="550" t="s">
        <v>289</v>
      </c>
      <c r="C40" s="551" t="s">
        <v>290</v>
      </c>
    </row>
    <row r="41" spans="2:9" ht="15.5" x14ac:dyDescent="0.3">
      <c r="B41" s="550" t="s">
        <v>291</v>
      </c>
      <c r="C41" s="551" t="s">
        <v>292</v>
      </c>
    </row>
    <row r="42" spans="2:9" ht="15.5" x14ac:dyDescent="0.3">
      <c r="B42" s="550" t="s">
        <v>293</v>
      </c>
      <c r="C42" s="551" t="s">
        <v>294</v>
      </c>
    </row>
    <row r="43" spans="2:9" ht="15.5" x14ac:dyDescent="0.3">
      <c r="B43" s="550" t="s">
        <v>295</v>
      </c>
      <c r="C43" s="551" t="s">
        <v>296</v>
      </c>
    </row>
    <row r="44" spans="2:9" ht="15.5" x14ac:dyDescent="0.3">
      <c r="B44" s="550" t="s">
        <v>297</v>
      </c>
      <c r="C44" s="551" t="s">
        <v>298</v>
      </c>
    </row>
    <row r="45" spans="2:9" ht="15.5" x14ac:dyDescent="0.3">
      <c r="B45" s="550" t="s">
        <v>299</v>
      </c>
      <c r="C45" s="551" t="s">
        <v>300</v>
      </c>
    </row>
    <row r="46" spans="2:9" ht="15.5" x14ac:dyDescent="0.3">
      <c r="B46" s="550" t="s">
        <v>301</v>
      </c>
      <c r="C46" s="551" t="s">
        <v>302</v>
      </c>
    </row>
    <row r="47" spans="2:9" ht="15.5" x14ac:dyDescent="0.3">
      <c r="B47" s="550" t="s">
        <v>303</v>
      </c>
      <c r="C47" s="551" t="s">
        <v>304</v>
      </c>
    </row>
    <row r="48" spans="2:9" ht="15.5" x14ac:dyDescent="0.3">
      <c r="B48" s="550" t="s">
        <v>305</v>
      </c>
      <c r="C48" s="551" t="s">
        <v>306</v>
      </c>
    </row>
    <row r="49" spans="2:3" ht="15.5" x14ac:dyDescent="0.3">
      <c r="B49" s="550" t="s">
        <v>307</v>
      </c>
      <c r="C49" s="551" t="s">
        <v>308</v>
      </c>
    </row>
    <row r="50" spans="2:3" ht="15.5" x14ac:dyDescent="0.3">
      <c r="B50" s="550" t="s">
        <v>309</v>
      </c>
      <c r="C50" s="551" t="s">
        <v>310</v>
      </c>
    </row>
    <row r="51" spans="2:3" ht="17.5" x14ac:dyDescent="0.3">
      <c r="B51" s="550" t="s">
        <v>311</v>
      </c>
      <c r="C51" s="551" t="s">
        <v>312</v>
      </c>
    </row>
    <row r="52" spans="2:3" ht="17.5" x14ac:dyDescent="0.3">
      <c r="B52" s="550" t="s">
        <v>313</v>
      </c>
      <c r="C52" s="551" t="s">
        <v>314</v>
      </c>
    </row>
    <row r="53" spans="2:3" ht="15.5" x14ac:dyDescent="0.3">
      <c r="B53" s="550" t="s">
        <v>315</v>
      </c>
      <c r="C53" s="551" t="s">
        <v>316</v>
      </c>
    </row>
    <row r="54" spans="2:3" ht="17.5" x14ac:dyDescent="0.3">
      <c r="B54" s="550" t="s">
        <v>317</v>
      </c>
      <c r="C54" s="551" t="s">
        <v>318</v>
      </c>
    </row>
    <row r="55" spans="2:3" ht="17.5" x14ac:dyDescent="0.3">
      <c r="B55" s="550" t="s">
        <v>319</v>
      </c>
      <c r="C55" s="551" t="s">
        <v>320</v>
      </c>
    </row>
    <row r="56" spans="2:3" ht="15.5" x14ac:dyDescent="0.3">
      <c r="B56" s="550" t="s">
        <v>321</v>
      </c>
      <c r="C56" s="551" t="s">
        <v>322</v>
      </c>
    </row>
    <row r="57" spans="2:3" ht="15.5" x14ac:dyDescent="0.3">
      <c r="B57" s="550" t="s">
        <v>323</v>
      </c>
      <c r="C57" s="551" t="s">
        <v>324</v>
      </c>
    </row>
    <row r="58" spans="2:3" ht="15.5" x14ac:dyDescent="0.3">
      <c r="B58" s="550" t="s">
        <v>325</v>
      </c>
      <c r="C58" s="551" t="s">
        <v>326</v>
      </c>
    </row>
    <row r="59" spans="2:3" ht="15.5" x14ac:dyDescent="0.3">
      <c r="B59" s="550" t="s">
        <v>327</v>
      </c>
      <c r="C59" s="551" t="s">
        <v>328</v>
      </c>
    </row>
    <row r="60" spans="2:3" ht="15.5" x14ac:dyDescent="0.3">
      <c r="B60" s="550" t="s">
        <v>329</v>
      </c>
      <c r="C60" s="551" t="s">
        <v>330</v>
      </c>
    </row>
    <row r="61" spans="2:3" ht="15.5" x14ac:dyDescent="0.3">
      <c r="B61" s="550" t="s">
        <v>331</v>
      </c>
      <c r="C61" s="551" t="s">
        <v>332</v>
      </c>
    </row>
    <row r="62" spans="2:3" ht="15.5" x14ac:dyDescent="0.3">
      <c r="B62" s="550" t="s">
        <v>333</v>
      </c>
      <c r="C62" s="551" t="s">
        <v>334</v>
      </c>
    </row>
    <row r="63" spans="2:3" ht="15.5" x14ac:dyDescent="0.3">
      <c r="B63" s="550" t="s">
        <v>191</v>
      </c>
      <c r="C63" s="551" t="s">
        <v>335</v>
      </c>
    </row>
    <row r="64" spans="2:3" ht="15.5" x14ac:dyDescent="0.3">
      <c r="B64" s="550" t="s">
        <v>336</v>
      </c>
      <c r="C64" s="551" t="s">
        <v>337</v>
      </c>
    </row>
    <row r="65" spans="2:3" ht="15.5" x14ac:dyDescent="0.3">
      <c r="B65" s="550" t="s">
        <v>338</v>
      </c>
      <c r="C65" s="551" t="s">
        <v>339</v>
      </c>
    </row>
    <row r="66" spans="2:3" ht="16" thickBot="1" x14ac:dyDescent="0.35">
      <c r="B66" s="555" t="s">
        <v>340</v>
      </c>
      <c r="C66" s="556" t="s">
        <v>341</v>
      </c>
    </row>
  </sheetData>
  <pageMargins left="0.7" right="0.7" top="0.75" bottom="0.75" header="0.3" footer="0.3"/>
  <pageSetup scale="59" fitToHeight="0" orientation="landscape" r:id="rId1"/>
  <headerFooter>
    <oddFooter>&amp;L&amp;"Avenir LT Std 55 Roman,Regular"&amp;12January 9, 2023&amp;C&amp;"Avenir LT Std 55 Roman,Regular"&amp;12&amp;P of &amp;N&amp;R&amp;"Avenir LT Std 55 Roman,Regular"&amp;12&amp;A</oddFooter>
  </headerFooter>
  <rowBreaks count="1" manualBreakCount="1">
    <brk id="27" max="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66"/>
  </sheetPr>
  <dimension ref="A1:J25"/>
  <sheetViews>
    <sheetView showGridLines="0" zoomScaleNormal="100" zoomScalePageLayoutView="70" workbookViewId="0">
      <selection activeCell="B2" sqref="B2"/>
    </sheetView>
  </sheetViews>
  <sheetFormatPr defaultColWidth="9.08984375" defaultRowHeight="14" x14ac:dyDescent="0.3"/>
  <cols>
    <col min="1" max="1" width="4.453125" style="393" customWidth="1"/>
    <col min="2" max="2" width="63.453125" style="393" customWidth="1"/>
    <col min="3" max="3" width="123.453125" style="393" customWidth="1"/>
    <col min="4" max="4" width="39.08984375" style="393" customWidth="1"/>
    <col min="5" max="5" width="9" style="393" customWidth="1"/>
    <col min="6" max="6" width="9.08984375" style="393" customWidth="1"/>
    <col min="7" max="7" width="34.453125" style="393" bestFit="1" customWidth="1"/>
    <col min="8" max="8" width="19.453125" style="393" customWidth="1"/>
    <col min="9" max="9" width="16.90625" style="393" customWidth="1"/>
    <col min="10" max="10" width="14.08984375" style="393" customWidth="1"/>
    <col min="11" max="11" width="31.453125" style="393" customWidth="1"/>
    <col min="12" max="16384" width="9.08984375" style="393"/>
  </cols>
  <sheetData>
    <row r="1" spans="1:10" ht="18.75" customHeight="1" x14ac:dyDescent="0.3">
      <c r="A1" s="535"/>
      <c r="B1" s="535"/>
      <c r="C1" s="535"/>
      <c r="D1" s="535"/>
    </row>
    <row r="2" spans="1:10" ht="15" customHeight="1" x14ac:dyDescent="0.4">
      <c r="A2" s="394"/>
      <c r="B2" s="394"/>
      <c r="C2" s="394"/>
      <c r="D2" s="394"/>
    </row>
    <row r="3" spans="1:10" ht="18.75" customHeight="1" x14ac:dyDescent="0.3">
      <c r="A3" s="535"/>
      <c r="B3" s="535"/>
      <c r="C3" s="535"/>
      <c r="D3" s="535"/>
    </row>
    <row r="4" spans="1:10" ht="18.75" customHeight="1" x14ac:dyDescent="0.3">
      <c r="A4" s="536"/>
      <c r="B4" s="536"/>
      <c r="C4" s="536"/>
      <c r="D4" s="536"/>
    </row>
    <row r="5" spans="1:10" ht="15" customHeight="1" x14ac:dyDescent="0.4">
      <c r="A5" s="394"/>
      <c r="B5" s="394"/>
      <c r="C5" s="394"/>
      <c r="D5" s="394"/>
    </row>
    <row r="6" spans="1:10" ht="18.75" customHeight="1" x14ac:dyDescent="0.3">
      <c r="A6" s="535"/>
      <c r="B6" s="535"/>
      <c r="C6" s="535"/>
      <c r="D6" s="535"/>
    </row>
    <row r="7" spans="1:10" ht="15" customHeight="1" x14ac:dyDescent="0.4">
      <c r="A7" s="394"/>
      <c r="B7" s="394"/>
      <c r="C7" s="394"/>
      <c r="D7" s="394"/>
    </row>
    <row r="8" spans="1:10" ht="18" customHeight="1" thickBot="1" x14ac:dyDescent="0.35">
      <c r="A8" s="395"/>
      <c r="B8" s="395"/>
      <c r="C8" s="395"/>
      <c r="D8" s="395"/>
    </row>
    <row r="9" spans="1:10" ht="18" x14ac:dyDescent="0.4">
      <c r="B9" s="548" t="s">
        <v>342</v>
      </c>
      <c r="C9" s="876" t="s">
        <v>343</v>
      </c>
      <c r="D9" s="549" t="s">
        <v>344</v>
      </c>
      <c r="E9" s="398"/>
      <c r="F9" s="398"/>
      <c r="G9" s="398"/>
      <c r="H9" s="398"/>
      <c r="I9" s="398"/>
      <c r="J9" s="398"/>
    </row>
    <row r="10" spans="1:10" ht="31.5" customHeight="1" x14ac:dyDescent="0.35">
      <c r="B10" s="1138" t="str">
        <f>'LCTOP Project Types'!B12</f>
        <v>Provision of a new expanded/enhanced transit service</v>
      </c>
      <c r="C10" s="114" t="s">
        <v>345</v>
      </c>
      <c r="D10" s="551" t="str">
        <f>'LCTOP Project Types'!C12</f>
        <v>New Service</v>
      </c>
      <c r="E10" s="398"/>
      <c r="F10" s="398"/>
      <c r="G10" s="398"/>
      <c r="H10" s="398"/>
      <c r="I10" s="398"/>
      <c r="J10" s="398"/>
    </row>
    <row r="11" spans="1:10" ht="31" x14ac:dyDescent="0.35">
      <c r="B11" s="1138" t="str">
        <f>'LCTOP Project Types'!B13</f>
        <v>Creation of new alternative transportation services (e.g., new or expanded car-sharing program)</v>
      </c>
      <c r="C11" s="114" t="s">
        <v>346</v>
      </c>
      <c r="D11" s="551" t="str">
        <f>'LCTOP Project Types'!C13</f>
        <v>New Service</v>
      </c>
      <c r="E11" s="398"/>
      <c r="F11" s="398"/>
      <c r="G11" s="398"/>
      <c r="H11" s="398"/>
      <c r="I11" s="398"/>
      <c r="J11" s="398"/>
    </row>
    <row r="12" spans="1:10" ht="46.5" x14ac:dyDescent="0.35">
      <c r="B12" s="1138" t="str">
        <f>'LCTOP Project Types'!B14</f>
        <v>Purchase of replacement vehicle(s) and equipment/infrastructure in support of new expanded/enhanced transit service</v>
      </c>
      <c r="C12" s="114" t="s">
        <v>347</v>
      </c>
      <c r="D12" s="551" t="str">
        <f>'LCTOP Project Types'!C14</f>
        <v>New Service and Cleaner Vehicles/Technology/Fuels</v>
      </c>
      <c r="E12" s="398"/>
      <c r="F12" s="398"/>
      <c r="G12" s="398"/>
      <c r="H12" s="398"/>
      <c r="I12" s="398"/>
      <c r="J12" s="398"/>
    </row>
    <row r="13" spans="1:10" ht="46.5" x14ac:dyDescent="0.35">
      <c r="B13" s="1138" t="str">
        <f>'LCTOP Project Types'!B15</f>
        <v>Purchase, construction, and installation of equipment and facilities needed to provide expanded/enhanced transit service</v>
      </c>
      <c r="C13" s="114" t="s">
        <v>348</v>
      </c>
      <c r="D13" s="551" t="str">
        <f>'LCTOP Project Types'!C15</f>
        <v>New Service</v>
      </c>
      <c r="E13" s="398"/>
      <c r="F13" s="398"/>
      <c r="G13" s="398"/>
      <c r="H13" s="398"/>
      <c r="I13" s="398"/>
      <c r="J13" s="398"/>
    </row>
    <row r="14" spans="1:10" ht="62" x14ac:dyDescent="0.35">
      <c r="B14" s="1138" t="str">
        <f>'LCTOP Project Types'!B16</f>
        <v>Purchase of expansion zero-emission vehicle(s) and equipment/infrastructure in support of new expanded/enhanced transit service</v>
      </c>
      <c r="C14" s="114" t="s">
        <v>349</v>
      </c>
      <c r="D14" s="551" t="str">
        <f>'LCTOP Project Types'!C16</f>
        <v>New Service and Cleaner Vehicles/Technology/Fuels</v>
      </c>
      <c r="E14" s="398"/>
      <c r="F14" s="398"/>
      <c r="G14" s="398"/>
      <c r="H14" s="398"/>
      <c r="I14" s="398"/>
      <c r="J14" s="398"/>
    </row>
    <row r="15" spans="1:10" ht="46.5" x14ac:dyDescent="0.35">
      <c r="B15" s="1138" t="str">
        <f>'LCTOP Project Types'!B17</f>
        <v>Purchase, construction, and/or installation of infrastructure to support zero-emission or low-emission vehicles in support of new expanded/enhanced transit service</v>
      </c>
      <c r="C15" s="114" t="s">
        <v>350</v>
      </c>
      <c r="D15" s="551" t="str">
        <f>'LCTOP Project Types'!C17</f>
        <v>New Service</v>
      </c>
      <c r="E15" s="398"/>
      <c r="F15" s="398"/>
      <c r="G15" s="398"/>
      <c r="H15" s="398"/>
      <c r="I15" s="398"/>
      <c r="J15" s="398"/>
    </row>
    <row r="16" spans="1:10" ht="46.5" x14ac:dyDescent="0.35">
      <c r="B16" s="1138" t="str">
        <f>'LCTOP Project Types'!B18</f>
        <v>Purchase, construction, and installation of renewable energy/fuel for transit facilities in support of new expanded/enhanced transit service</v>
      </c>
      <c r="C16" s="114" t="s">
        <v>351</v>
      </c>
      <c r="D16" s="551" t="str">
        <f>'LCTOP Project Types'!C18</f>
        <v>New Service and Fuel/Energy Reduction</v>
      </c>
      <c r="E16" s="398"/>
      <c r="F16" s="398"/>
      <c r="G16" s="398"/>
      <c r="H16" s="398"/>
      <c r="I16" s="398"/>
      <c r="J16" s="398"/>
    </row>
    <row r="17" spans="2:10" ht="31" x14ac:dyDescent="0.35">
      <c r="B17" s="1138" t="str">
        <f>'LCTOP Project Types'!B19</f>
        <v>Purchase of expansion zero-emission vehicle(s) (may include equipment/infrastructure)</v>
      </c>
      <c r="C17" s="114" t="s">
        <v>352</v>
      </c>
      <c r="D17" s="551" t="str">
        <f>'LCTOP Project Types'!C19</f>
        <v>Cleaner Vehicles/Technology/Fuels</v>
      </c>
      <c r="E17" s="398"/>
      <c r="F17" s="398"/>
      <c r="G17" s="398"/>
      <c r="H17" s="398"/>
      <c r="I17" s="398"/>
      <c r="J17" s="398"/>
    </row>
    <row r="18" spans="2:10" ht="31" x14ac:dyDescent="0.35">
      <c r="B18" s="1138" t="str">
        <f>'LCTOP Project Types'!B20</f>
        <v>Purchase of replacement zero-emission vehicle(s) (may include equipment/infrastructure)</v>
      </c>
      <c r="C18" s="114" t="s">
        <v>353</v>
      </c>
      <c r="D18" s="551" t="str">
        <f>'LCTOP Project Types'!C20</f>
        <v>Cleaner Vehicles/Technology/Fuels</v>
      </c>
      <c r="E18" s="398"/>
      <c r="F18" s="398"/>
      <c r="G18" s="398"/>
      <c r="H18" s="398"/>
      <c r="I18" s="398"/>
      <c r="J18" s="398"/>
    </row>
    <row r="19" spans="2:10" ht="31.5" customHeight="1" x14ac:dyDescent="0.35">
      <c r="B19" s="1138" t="str">
        <f>'LCTOP Project Types'!B21</f>
        <v>Purchase, construction, and/or installation of infrastructure, equipment, or facilities to support zero-emission vehicle(s)</v>
      </c>
      <c r="C19" s="114" t="s">
        <v>354</v>
      </c>
      <c r="D19" s="551" t="str">
        <f>'LCTOP Project Types'!C21</f>
        <v>Cleaner Vehicles/Technology/Fuels</v>
      </c>
      <c r="E19" s="398"/>
      <c r="F19" s="398"/>
      <c r="G19" s="398"/>
      <c r="H19" s="398"/>
      <c r="I19" s="398"/>
      <c r="J19" s="398"/>
    </row>
    <row r="20" spans="2:10" ht="31" x14ac:dyDescent="0.35">
      <c r="B20" s="1138" t="str">
        <f>'LCTOP Project Types'!B22</f>
        <v>Purchase and installation of equipment on transit vehicles to encourage increased transit ridership</v>
      </c>
      <c r="C20" s="114" t="s">
        <v>355</v>
      </c>
      <c r="D20" s="551" t="str">
        <f>'LCTOP Project Types'!C22</f>
        <v>System and Efficiency Improvements</v>
      </c>
      <c r="E20" s="398"/>
      <c r="F20" s="398"/>
      <c r="G20" s="398"/>
      <c r="H20" s="398"/>
      <c r="I20" s="398"/>
      <c r="J20" s="398"/>
    </row>
    <row r="21" spans="2:10" ht="46.5" x14ac:dyDescent="0.35">
      <c r="B21" s="1138" t="str">
        <f>'LCTOP Project Types'!B23</f>
        <v>Purchase, construction, and/or installation of transit-related amenities or infrastructure to encourage increased transit ridership</v>
      </c>
      <c r="C21" s="114" t="s">
        <v>356</v>
      </c>
      <c r="D21" s="551" t="str">
        <f>'LCTOP Project Types'!C23</f>
        <v>System and Efficiency Improvements</v>
      </c>
      <c r="E21" s="398"/>
      <c r="F21" s="398"/>
      <c r="G21" s="398"/>
      <c r="H21" s="398"/>
      <c r="I21" s="398"/>
      <c r="J21" s="398"/>
    </row>
    <row r="22" spans="2:10" ht="31" x14ac:dyDescent="0.35">
      <c r="B22" s="1138" t="str">
        <f>'LCTOP Project Types'!B24</f>
        <v>Purchase and construction of active transportation facilities that connect to stops/stations and encourage ridership</v>
      </c>
      <c r="C22" s="114" t="s">
        <v>357</v>
      </c>
      <c r="D22" s="551" t="str">
        <f>'LCTOP Project Types'!C24</f>
        <v>System and Efficiency Improvements</v>
      </c>
      <c r="E22" s="398"/>
      <c r="F22" s="398"/>
      <c r="G22" s="398"/>
      <c r="H22" s="398"/>
      <c r="I22" s="398"/>
      <c r="J22" s="398"/>
    </row>
    <row r="23" spans="2:10" ht="31.5" customHeight="1" x14ac:dyDescent="0.35">
      <c r="B23" s="1138" t="str">
        <f>'LCTOP Project Types'!B25</f>
        <v>Implementation of free or reduced fares</v>
      </c>
      <c r="C23" s="114" t="s">
        <v>358</v>
      </c>
      <c r="D23" s="551" t="str">
        <f>'LCTOP Project Types'!C25</f>
        <v>System and Efficiency Improvements</v>
      </c>
      <c r="E23" s="398"/>
      <c r="F23" s="398"/>
      <c r="G23" s="398"/>
      <c r="H23" s="398"/>
      <c r="I23" s="398"/>
      <c r="J23" s="398"/>
    </row>
    <row r="24" spans="2:10" ht="31.5" customHeight="1" thickBot="1" x14ac:dyDescent="0.4">
      <c r="B24" s="1139" t="str">
        <f>'LCTOP Project Types'!B26</f>
        <v>Network/fare integration</v>
      </c>
      <c r="C24" s="877" t="s">
        <v>359</v>
      </c>
      <c r="D24" s="556" t="str">
        <f>'LCTOP Project Types'!C26</f>
        <v>System and Efficiency Improvements</v>
      </c>
      <c r="E24" s="398"/>
      <c r="F24" s="398"/>
      <c r="G24" s="398"/>
      <c r="H24" s="398"/>
      <c r="I24" s="398"/>
      <c r="J24" s="398"/>
    </row>
    <row r="25" spans="2:10" ht="15.5" x14ac:dyDescent="0.35">
      <c r="E25" s="398"/>
      <c r="F25" s="398"/>
      <c r="G25" s="398"/>
      <c r="H25" s="398"/>
      <c r="I25" s="398"/>
      <c r="J25" s="398"/>
    </row>
  </sheetData>
  <pageMargins left="0.7" right="0.7" top="0.75" bottom="0.75" header="0.3" footer="0.3"/>
  <pageSetup scale="52" fitToHeight="0" orientation="landscape" r:id="rId1"/>
  <headerFooter>
    <oddFooter>&amp;L&amp;"Avenir LT Std 55 Roman,Regular"&amp;12January 9, 2023&amp;C&amp;"Avenir LT Std 55 Roman,Regular"&amp;12&amp;P of &amp;N&amp;R&amp;"Avenir LT Std 55 Roman,Regular"&amp;12&amp;A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66"/>
  </sheetPr>
  <dimension ref="A1:L278"/>
  <sheetViews>
    <sheetView showGridLines="0" zoomScaleNormal="100" zoomScalePageLayoutView="70" workbookViewId="0">
      <selection activeCell="B5" sqref="B5"/>
    </sheetView>
  </sheetViews>
  <sheetFormatPr defaultColWidth="9.08984375" defaultRowHeight="14" x14ac:dyDescent="0.3"/>
  <cols>
    <col min="1" max="1" width="4.453125" style="393" customWidth="1"/>
    <col min="2" max="2" width="48.90625" style="393" customWidth="1"/>
    <col min="3" max="3" width="14.08984375" style="393" customWidth="1"/>
    <col min="4" max="4" width="19.08984375" style="393" customWidth="1"/>
    <col min="5" max="5" width="27.453125" style="393" customWidth="1"/>
    <col min="6" max="6" width="29.453125" style="393" customWidth="1"/>
    <col min="7" max="7" width="9" style="393" customWidth="1"/>
    <col min="8" max="8" width="9.08984375" style="393" customWidth="1"/>
    <col min="9" max="9" width="34.453125" style="393" bestFit="1" customWidth="1"/>
    <col min="10" max="10" width="19.453125" style="393" customWidth="1"/>
    <col min="11" max="11" width="16.90625" style="393" customWidth="1"/>
    <col min="12" max="12" width="14.08984375" style="393" customWidth="1"/>
    <col min="13" max="13" width="31.453125" style="393" customWidth="1"/>
    <col min="14" max="16384" width="9.08984375" style="393"/>
  </cols>
  <sheetData>
    <row r="1" spans="1:6" ht="18.75" customHeight="1" x14ac:dyDescent="0.3">
      <c r="A1" s="535"/>
      <c r="B1" s="535"/>
      <c r="C1" s="535"/>
      <c r="D1" s="535"/>
      <c r="E1" s="535"/>
      <c r="F1" s="535"/>
    </row>
    <row r="2" spans="1:6" ht="15" customHeight="1" x14ac:dyDescent="0.4">
      <c r="A2" s="394"/>
      <c r="B2" s="394"/>
      <c r="C2" s="394"/>
      <c r="D2" s="394"/>
      <c r="E2" s="394"/>
      <c r="F2" s="394"/>
    </row>
    <row r="3" spans="1:6" ht="18.75" customHeight="1" x14ac:dyDescent="0.3">
      <c r="A3" s="535"/>
      <c r="B3" s="535"/>
      <c r="C3" s="535"/>
      <c r="D3" s="535"/>
      <c r="E3" s="535"/>
      <c r="F3" s="535"/>
    </row>
    <row r="4" spans="1:6" ht="18.75" customHeight="1" x14ac:dyDescent="0.3">
      <c r="A4" s="536"/>
      <c r="B4" s="536"/>
      <c r="C4" s="536"/>
      <c r="D4" s="536"/>
      <c r="E4" s="536"/>
      <c r="F4" s="536"/>
    </row>
    <row r="5" spans="1:6" ht="15" customHeight="1" x14ac:dyDescent="0.4">
      <c r="A5" s="394"/>
      <c r="B5" s="394"/>
      <c r="C5" s="394"/>
      <c r="D5" s="394"/>
      <c r="E5" s="394"/>
      <c r="F5" s="394"/>
    </row>
    <row r="6" spans="1:6" ht="18.75" customHeight="1" x14ac:dyDescent="0.3">
      <c r="A6" s="535"/>
      <c r="B6" s="535"/>
      <c r="C6" s="535"/>
      <c r="D6" s="535"/>
      <c r="E6" s="535"/>
      <c r="F6" s="535"/>
    </row>
    <row r="7" spans="1:6" ht="18.75" customHeight="1" x14ac:dyDescent="0.3">
      <c r="A7" s="535"/>
      <c r="B7" s="535"/>
      <c r="C7" s="535"/>
      <c r="D7" s="535"/>
      <c r="E7" s="535"/>
      <c r="F7" s="535"/>
    </row>
    <row r="8" spans="1:6" ht="15" customHeight="1" x14ac:dyDescent="0.4">
      <c r="A8" s="394"/>
      <c r="B8" s="394"/>
      <c r="C8" s="394"/>
      <c r="D8" s="394"/>
      <c r="E8" s="394"/>
      <c r="F8" s="394"/>
    </row>
    <row r="9" spans="1:6" ht="15" customHeight="1" x14ac:dyDescent="0.3">
      <c r="A9" s="904" t="s">
        <v>360</v>
      </c>
      <c r="B9" s="904"/>
      <c r="C9" s="904"/>
      <c r="D9" s="904"/>
      <c r="E9" s="904"/>
      <c r="F9" s="904"/>
    </row>
    <row r="10" spans="1:6" ht="15" customHeight="1" x14ac:dyDescent="0.3">
      <c r="A10" s="904" t="s">
        <v>361</v>
      </c>
      <c r="B10" s="904"/>
      <c r="C10" s="904"/>
      <c r="D10" s="904"/>
      <c r="E10" s="904"/>
      <c r="F10" s="904"/>
    </row>
    <row r="11" spans="1:6" ht="15" customHeight="1" x14ac:dyDescent="0.3">
      <c r="A11" s="904" t="s">
        <v>362</v>
      </c>
      <c r="B11" s="904"/>
      <c r="C11" s="904"/>
      <c r="D11" s="904"/>
      <c r="E11" s="904"/>
      <c r="F11" s="904"/>
    </row>
    <row r="12" spans="1:6" ht="15" customHeight="1" x14ac:dyDescent="0.3">
      <c r="A12" s="904" t="s">
        <v>363</v>
      </c>
      <c r="B12" s="904"/>
      <c r="C12" s="904"/>
      <c r="D12" s="904"/>
      <c r="E12" s="904"/>
      <c r="F12" s="904"/>
    </row>
    <row r="13" spans="1:6" ht="15" customHeight="1" x14ac:dyDescent="0.3">
      <c r="A13" s="904" t="s">
        <v>364</v>
      </c>
      <c r="B13" s="904"/>
      <c r="C13" s="904"/>
      <c r="D13" s="904"/>
      <c r="E13" s="904"/>
      <c r="F13" s="904"/>
    </row>
    <row r="14" spans="1:6" ht="23.25" customHeight="1" x14ac:dyDescent="0.3">
      <c r="A14" s="904" t="s">
        <v>365</v>
      </c>
      <c r="B14" s="904"/>
      <c r="C14" s="904"/>
      <c r="D14" s="904"/>
      <c r="E14" s="904"/>
      <c r="F14" s="904"/>
    </row>
    <row r="15" spans="1:6" ht="18" customHeight="1" x14ac:dyDescent="0.3">
      <c r="A15" s="395"/>
      <c r="B15" s="395"/>
      <c r="C15" s="395"/>
      <c r="D15" s="395"/>
      <c r="E15" s="395"/>
      <c r="F15" s="395"/>
    </row>
    <row r="16" spans="1:6" ht="18" customHeight="1" x14ac:dyDescent="0.3">
      <c r="A16" s="604" t="s">
        <v>366</v>
      </c>
      <c r="B16" s="604"/>
      <c r="C16" s="604"/>
      <c r="D16" s="604"/>
      <c r="E16" s="604"/>
      <c r="F16" s="604"/>
    </row>
    <row r="17" spans="1:12" ht="15" customHeight="1" thickBot="1" x14ac:dyDescent="0.35">
      <c r="A17" s="396"/>
      <c r="B17" s="396"/>
      <c r="C17" s="396"/>
      <c r="D17" s="396"/>
      <c r="E17" s="396"/>
      <c r="F17" s="396"/>
    </row>
    <row r="18" spans="1:12" ht="32.25" customHeight="1" thickBot="1" x14ac:dyDescent="0.4">
      <c r="B18" s="776" t="s">
        <v>367</v>
      </c>
      <c r="C18" s="348" t="s">
        <v>368</v>
      </c>
      <c r="D18" s="348" t="s">
        <v>369</v>
      </c>
      <c r="E18" s="348" t="s">
        <v>370</v>
      </c>
      <c r="F18" s="144" t="s">
        <v>93</v>
      </c>
      <c r="G18" s="398"/>
      <c r="H18" s="398"/>
      <c r="I18" s="398"/>
      <c r="J18" s="398"/>
      <c r="K18" s="398"/>
      <c r="L18" s="398"/>
    </row>
    <row r="19" spans="1:12" ht="15.5" x14ac:dyDescent="0.35">
      <c r="B19" s="1118" t="s">
        <v>371</v>
      </c>
      <c r="C19" s="1119" t="s">
        <v>273</v>
      </c>
      <c r="D19" s="1120" t="s">
        <v>283</v>
      </c>
      <c r="E19" s="1121">
        <v>23.15</v>
      </c>
      <c r="F19" s="1122">
        <v>0.70499999999999996</v>
      </c>
      <c r="G19" s="398"/>
      <c r="H19" s="398"/>
      <c r="I19" s="398"/>
      <c r="J19" s="398"/>
      <c r="K19" s="398"/>
      <c r="L19" s="398"/>
    </row>
    <row r="20" spans="1:12" ht="16" thickBot="1" x14ac:dyDescent="0.4">
      <c r="B20" s="764" t="s">
        <v>371</v>
      </c>
      <c r="C20" s="765" t="s">
        <v>273</v>
      </c>
      <c r="D20" s="766" t="s">
        <v>321</v>
      </c>
      <c r="E20" s="756">
        <v>22.61</v>
      </c>
      <c r="F20" s="778">
        <v>0.70499999999999996</v>
      </c>
      <c r="G20" s="398"/>
      <c r="H20" s="398"/>
      <c r="I20" s="398"/>
      <c r="J20" s="398"/>
      <c r="K20" s="398"/>
      <c r="L20" s="398"/>
    </row>
    <row r="21" spans="1:12" ht="16" thickBot="1" x14ac:dyDescent="0.4">
      <c r="B21" s="771" t="s">
        <v>372</v>
      </c>
      <c r="C21" s="765" t="s">
        <v>275</v>
      </c>
      <c r="D21" s="766" t="s">
        <v>283</v>
      </c>
      <c r="E21" s="756">
        <v>1.26</v>
      </c>
      <c r="F21" s="779">
        <v>0.47899999999999998</v>
      </c>
      <c r="G21" s="398"/>
      <c r="H21" s="398"/>
      <c r="I21" s="398"/>
      <c r="J21" s="398"/>
      <c r="K21" s="398"/>
      <c r="L21" s="398"/>
    </row>
    <row r="22" spans="1:12" ht="15.5" x14ac:dyDescent="0.35">
      <c r="B22" s="1112" t="s">
        <v>373</v>
      </c>
      <c r="C22" s="1113" t="s">
        <v>277</v>
      </c>
      <c r="D22" s="1114" t="s">
        <v>283</v>
      </c>
      <c r="E22" s="1117">
        <v>25.63</v>
      </c>
      <c r="F22" s="1115">
        <v>0.86699999999999999</v>
      </c>
      <c r="G22" s="398"/>
      <c r="H22" s="398"/>
      <c r="I22" s="398"/>
      <c r="J22" s="398"/>
      <c r="K22" s="398"/>
      <c r="L22" s="398"/>
    </row>
    <row r="23" spans="1:12" ht="16" thickBot="1" x14ac:dyDescent="0.4">
      <c r="B23" s="771" t="s">
        <v>373</v>
      </c>
      <c r="C23" s="765" t="s">
        <v>277</v>
      </c>
      <c r="D23" s="766" t="s">
        <v>321</v>
      </c>
      <c r="E23" s="756">
        <v>33.549999999999997</v>
      </c>
      <c r="F23" s="779">
        <v>0.86699999999999999</v>
      </c>
      <c r="G23" s="398"/>
      <c r="H23" s="398"/>
      <c r="I23" s="398"/>
      <c r="J23" s="398"/>
      <c r="K23" s="398"/>
      <c r="L23" s="398"/>
    </row>
    <row r="24" spans="1:12" ht="15.5" x14ac:dyDescent="0.35">
      <c r="B24" s="772" t="s">
        <v>374</v>
      </c>
      <c r="C24" s="768" t="s">
        <v>285</v>
      </c>
      <c r="D24" s="769" t="s">
        <v>283</v>
      </c>
      <c r="E24" s="755">
        <v>5.81</v>
      </c>
      <c r="F24" s="777">
        <v>0.54</v>
      </c>
      <c r="G24" s="398"/>
      <c r="H24" s="398"/>
      <c r="I24" s="398"/>
      <c r="J24" s="398"/>
      <c r="K24" s="398"/>
      <c r="L24" s="398"/>
    </row>
    <row r="25" spans="1:12" ht="16" thickBot="1" x14ac:dyDescent="0.4">
      <c r="B25" s="764" t="s">
        <v>374</v>
      </c>
      <c r="C25" s="765" t="s">
        <v>285</v>
      </c>
      <c r="D25" s="766" t="s">
        <v>321</v>
      </c>
      <c r="E25" s="756">
        <v>8.8800000000000008</v>
      </c>
      <c r="F25" s="778">
        <v>0.54</v>
      </c>
      <c r="G25" s="398"/>
      <c r="H25" s="398"/>
      <c r="I25" s="398"/>
      <c r="J25" s="398"/>
      <c r="K25" s="398"/>
      <c r="L25" s="398"/>
    </row>
    <row r="26" spans="1:12" ht="31.5" thickBot="1" x14ac:dyDescent="0.4">
      <c r="B26" s="751" t="s">
        <v>375</v>
      </c>
      <c r="C26" s="773" t="s">
        <v>285</v>
      </c>
      <c r="D26" s="774" t="s">
        <v>331</v>
      </c>
      <c r="E26" s="758">
        <v>4.6399999999999997</v>
      </c>
      <c r="F26" s="1116">
        <v>0.54</v>
      </c>
      <c r="G26" s="398"/>
      <c r="H26" s="398"/>
      <c r="I26" s="398"/>
      <c r="J26" s="398"/>
      <c r="K26" s="398"/>
      <c r="L26" s="398"/>
    </row>
    <row r="27" spans="1:12" ht="16" thickBot="1" x14ac:dyDescent="0.4">
      <c r="B27" s="775" t="s">
        <v>376</v>
      </c>
      <c r="C27" s="773" t="s">
        <v>285</v>
      </c>
      <c r="D27" s="774" t="s">
        <v>333</v>
      </c>
      <c r="E27" s="758">
        <v>9.1</v>
      </c>
      <c r="F27" s="780">
        <v>0.54</v>
      </c>
      <c r="G27" s="398"/>
      <c r="H27" s="398"/>
      <c r="I27" s="398"/>
      <c r="J27" s="398"/>
      <c r="K27" s="398"/>
      <c r="L27" s="398"/>
    </row>
    <row r="28" spans="1:12" ht="15.5" x14ac:dyDescent="0.35">
      <c r="B28" s="772" t="s">
        <v>377</v>
      </c>
      <c r="C28" s="768" t="s">
        <v>289</v>
      </c>
      <c r="D28" s="769" t="s">
        <v>283</v>
      </c>
      <c r="E28" s="755">
        <v>12.01</v>
      </c>
      <c r="F28" s="781">
        <v>1</v>
      </c>
      <c r="G28" s="398"/>
      <c r="H28" s="398"/>
      <c r="I28" s="398"/>
      <c r="J28" s="398"/>
      <c r="K28" s="398"/>
      <c r="L28" s="398"/>
    </row>
    <row r="29" spans="1:12" ht="16" thickBot="1" x14ac:dyDescent="0.4">
      <c r="B29" s="764" t="s">
        <v>377</v>
      </c>
      <c r="C29" s="765" t="s">
        <v>289</v>
      </c>
      <c r="D29" s="766" t="s">
        <v>321</v>
      </c>
      <c r="E29" s="756">
        <v>23.7</v>
      </c>
      <c r="F29" s="782">
        <v>1</v>
      </c>
      <c r="G29" s="398"/>
      <c r="H29" s="398"/>
      <c r="I29" s="398"/>
      <c r="J29" s="398"/>
      <c r="K29" s="398"/>
      <c r="L29" s="398"/>
    </row>
    <row r="30" spans="1:12" ht="16" thickBot="1" x14ac:dyDescent="0.4">
      <c r="B30" s="775" t="s">
        <v>378</v>
      </c>
      <c r="C30" s="773" t="s">
        <v>297</v>
      </c>
      <c r="D30" s="774" t="s">
        <v>283</v>
      </c>
      <c r="E30" s="758">
        <v>9.24</v>
      </c>
      <c r="F30" s="780">
        <v>0.79400000000000004</v>
      </c>
      <c r="G30" s="398"/>
      <c r="H30" s="398"/>
      <c r="I30" s="398"/>
      <c r="J30" s="398"/>
      <c r="K30" s="398"/>
      <c r="L30" s="398"/>
    </row>
    <row r="31" spans="1:12" ht="16" thickBot="1" x14ac:dyDescent="0.4">
      <c r="B31" s="775" t="s">
        <v>379</v>
      </c>
      <c r="C31" s="773" t="s">
        <v>303</v>
      </c>
      <c r="D31" s="774" t="s">
        <v>283</v>
      </c>
      <c r="E31" s="758">
        <v>6.03</v>
      </c>
      <c r="F31" s="780">
        <v>0.68500000000000005</v>
      </c>
      <c r="G31" s="398"/>
      <c r="H31" s="398"/>
      <c r="I31" s="398"/>
      <c r="J31" s="398"/>
      <c r="K31" s="398"/>
      <c r="L31" s="398"/>
    </row>
    <row r="32" spans="1:12" ht="31" x14ac:dyDescent="0.35">
      <c r="B32" s="772" t="s">
        <v>380</v>
      </c>
      <c r="C32" s="768" t="s">
        <v>305</v>
      </c>
      <c r="D32" s="769" t="s">
        <v>283</v>
      </c>
      <c r="E32" s="755">
        <v>3.29</v>
      </c>
      <c r="F32" s="770" t="s">
        <v>381</v>
      </c>
      <c r="G32" s="398"/>
      <c r="H32" s="398"/>
      <c r="I32" s="398"/>
      <c r="J32" s="398"/>
      <c r="K32" s="398"/>
      <c r="L32" s="398"/>
    </row>
    <row r="33" spans="1:12" ht="31.5" thickBot="1" x14ac:dyDescent="0.4">
      <c r="B33" s="764" t="s">
        <v>380</v>
      </c>
      <c r="C33" s="765" t="s">
        <v>305</v>
      </c>
      <c r="D33" s="766" t="s">
        <v>321</v>
      </c>
      <c r="E33" s="756">
        <v>4.2</v>
      </c>
      <c r="F33" s="767" t="s">
        <v>381</v>
      </c>
      <c r="G33" s="398"/>
      <c r="H33" s="398"/>
      <c r="I33" s="398"/>
      <c r="J33" s="398"/>
      <c r="K33" s="398"/>
      <c r="L33" s="398"/>
    </row>
    <row r="34" spans="1:12" ht="16" thickBot="1" x14ac:dyDescent="0.4">
      <c r="B34" s="775" t="s">
        <v>382</v>
      </c>
      <c r="C34" s="773" t="s">
        <v>307</v>
      </c>
      <c r="D34" s="774" t="s">
        <v>321</v>
      </c>
      <c r="E34" s="758">
        <v>3.18</v>
      </c>
      <c r="F34" s="780">
        <v>0.47899999999999998</v>
      </c>
      <c r="G34" s="398"/>
      <c r="H34" s="398"/>
      <c r="I34" s="398"/>
      <c r="J34" s="398"/>
      <c r="K34" s="398"/>
      <c r="L34" s="398"/>
    </row>
    <row r="35" spans="1:12" ht="16" thickBot="1" x14ac:dyDescent="0.4">
      <c r="B35" s="775" t="s">
        <v>383</v>
      </c>
      <c r="C35" s="773" t="s">
        <v>323</v>
      </c>
      <c r="D35" s="774" t="s">
        <v>283</v>
      </c>
      <c r="E35" s="758">
        <v>4.6100000000000003</v>
      </c>
      <c r="F35" s="780">
        <v>0.54200000000000004</v>
      </c>
      <c r="G35" s="398"/>
      <c r="H35" s="398"/>
      <c r="I35" s="398"/>
      <c r="J35" s="398"/>
      <c r="K35" s="398"/>
      <c r="L35" s="398"/>
    </row>
    <row r="36" spans="1:12" ht="16" thickBot="1" x14ac:dyDescent="0.4">
      <c r="B36" s="775" t="s">
        <v>384</v>
      </c>
      <c r="C36" s="773" t="s">
        <v>327</v>
      </c>
      <c r="D36" s="774" t="s">
        <v>283</v>
      </c>
      <c r="E36" s="758">
        <v>1.43</v>
      </c>
      <c r="F36" s="780">
        <v>0.47899999999999998</v>
      </c>
      <c r="G36" s="398"/>
      <c r="H36" s="398"/>
      <c r="I36" s="398"/>
      <c r="J36" s="398"/>
      <c r="K36" s="398"/>
      <c r="L36" s="398"/>
    </row>
    <row r="37" spans="1:12" ht="16" thickBot="1" x14ac:dyDescent="0.4">
      <c r="B37" s="775" t="s">
        <v>385</v>
      </c>
      <c r="C37" s="773" t="s">
        <v>329</v>
      </c>
      <c r="D37" s="774" t="s">
        <v>283</v>
      </c>
      <c r="E37" s="758">
        <v>1.53</v>
      </c>
      <c r="F37" s="780">
        <v>0.47899999999999998</v>
      </c>
      <c r="G37" s="398"/>
      <c r="H37" s="398"/>
      <c r="I37" s="398"/>
      <c r="J37" s="398"/>
      <c r="K37" s="398"/>
      <c r="L37" s="398"/>
    </row>
    <row r="38" spans="1:12" ht="15.5" x14ac:dyDescent="0.35">
      <c r="B38" s="772" t="s">
        <v>386</v>
      </c>
      <c r="C38" s="768" t="s">
        <v>338</v>
      </c>
      <c r="D38" s="769" t="s">
        <v>283</v>
      </c>
      <c r="E38" s="755">
        <v>31.72</v>
      </c>
      <c r="F38" s="777">
        <v>0.879</v>
      </c>
      <c r="G38" s="398"/>
      <c r="H38" s="398"/>
      <c r="I38" s="398"/>
      <c r="J38" s="398"/>
      <c r="K38" s="398"/>
      <c r="L38" s="398"/>
    </row>
    <row r="39" spans="1:12" ht="16" thickBot="1" x14ac:dyDescent="0.4">
      <c r="B39" s="764" t="s">
        <v>386</v>
      </c>
      <c r="C39" s="765" t="s">
        <v>338</v>
      </c>
      <c r="D39" s="766" t="s">
        <v>321</v>
      </c>
      <c r="E39" s="756">
        <v>48.56</v>
      </c>
      <c r="F39" s="778">
        <v>0.879</v>
      </c>
      <c r="G39" s="398"/>
      <c r="H39" s="398"/>
      <c r="I39" s="398"/>
      <c r="J39" s="398"/>
      <c r="K39" s="398"/>
      <c r="L39" s="398"/>
    </row>
    <row r="40" spans="1:12" ht="15.5" x14ac:dyDescent="0.35">
      <c r="B40" s="1118" t="s">
        <v>387</v>
      </c>
      <c r="C40" s="1119" t="s">
        <v>340</v>
      </c>
      <c r="D40" s="1120" t="s">
        <v>283</v>
      </c>
      <c r="E40" s="1121">
        <v>6.86</v>
      </c>
      <c r="F40" s="1122">
        <v>0.73799999999999999</v>
      </c>
      <c r="G40" s="398"/>
      <c r="H40" s="398"/>
      <c r="I40" s="398"/>
      <c r="J40" s="398"/>
      <c r="K40" s="398"/>
      <c r="L40" s="398"/>
    </row>
    <row r="41" spans="1:12" ht="16" thickBot="1" x14ac:dyDescent="0.4">
      <c r="B41" s="775" t="s">
        <v>387</v>
      </c>
      <c r="C41" s="773" t="s">
        <v>340</v>
      </c>
      <c r="D41" s="774" t="s">
        <v>321</v>
      </c>
      <c r="E41" s="758">
        <v>7.29</v>
      </c>
      <c r="F41" s="780">
        <v>0.73799999999999999</v>
      </c>
      <c r="G41" s="398"/>
      <c r="H41" s="398"/>
      <c r="I41" s="398"/>
      <c r="J41" s="398"/>
      <c r="K41" s="398"/>
      <c r="L41" s="398"/>
    </row>
    <row r="42" spans="1:12" ht="15.5" x14ac:dyDescent="0.35">
      <c r="G42" s="398"/>
      <c r="H42" s="398"/>
      <c r="I42" s="398"/>
      <c r="J42" s="398"/>
      <c r="K42" s="398"/>
      <c r="L42" s="398"/>
    </row>
    <row r="43" spans="1:12" ht="18" x14ac:dyDescent="0.35">
      <c r="A43" s="604" t="s">
        <v>388</v>
      </c>
      <c r="B43" s="604"/>
      <c r="C43" s="604"/>
      <c r="D43" s="604"/>
      <c r="E43" s="604"/>
      <c r="F43" s="604"/>
      <c r="G43" s="398"/>
      <c r="H43" s="398"/>
      <c r="I43" s="398"/>
      <c r="J43" s="398"/>
      <c r="K43" s="398"/>
      <c r="L43" s="398"/>
    </row>
    <row r="44" spans="1:12" ht="16" thickBot="1" x14ac:dyDescent="0.4">
      <c r="G44" s="398"/>
      <c r="H44" s="398"/>
      <c r="I44" s="398"/>
      <c r="J44" s="398"/>
      <c r="K44" s="398"/>
      <c r="L44" s="398"/>
    </row>
    <row r="45" spans="1:12" ht="31.5" thickBot="1" x14ac:dyDescent="0.4">
      <c r="B45" s="1123" t="s">
        <v>389</v>
      </c>
      <c r="C45" s="1124" t="s">
        <v>368</v>
      </c>
      <c r="D45" s="1124" t="s">
        <v>369</v>
      </c>
      <c r="E45" s="1124" t="s">
        <v>370</v>
      </c>
      <c r="F45" s="1125" t="s">
        <v>390</v>
      </c>
      <c r="G45" s="398"/>
      <c r="H45" s="398"/>
      <c r="I45" s="398"/>
      <c r="J45" s="398"/>
      <c r="K45" s="398"/>
      <c r="L45" s="398"/>
    </row>
    <row r="46" spans="1:12" ht="15.5" x14ac:dyDescent="0.3">
      <c r="B46" s="1126" t="s">
        <v>391</v>
      </c>
      <c r="C46" s="1127" t="s">
        <v>285</v>
      </c>
      <c r="D46" s="1128" t="s">
        <v>333</v>
      </c>
      <c r="E46" s="1121">
        <v>12.04</v>
      </c>
      <c r="F46" s="1129">
        <v>2.56</v>
      </c>
    </row>
    <row r="47" spans="1:12" ht="15.5" x14ac:dyDescent="0.3">
      <c r="B47" s="550" t="s">
        <v>392</v>
      </c>
      <c r="C47" s="742" t="s">
        <v>285</v>
      </c>
      <c r="D47" s="741" t="s">
        <v>321</v>
      </c>
      <c r="E47" s="757">
        <v>10.76</v>
      </c>
      <c r="F47" s="747">
        <v>2.41</v>
      </c>
    </row>
    <row r="48" spans="1:12" ht="16" thickBot="1" x14ac:dyDescent="0.35">
      <c r="B48" s="555" t="s">
        <v>392</v>
      </c>
      <c r="C48" s="748" t="s">
        <v>287</v>
      </c>
      <c r="D48" s="749" t="s">
        <v>321</v>
      </c>
      <c r="E48" s="756">
        <v>14.69</v>
      </c>
      <c r="F48" s="750">
        <v>2.39</v>
      </c>
    </row>
    <row r="49" spans="2:6" ht="15.5" x14ac:dyDescent="0.3">
      <c r="B49" s="745" t="s">
        <v>393</v>
      </c>
      <c r="C49" s="744" t="s">
        <v>273</v>
      </c>
      <c r="D49" s="743" t="s">
        <v>283</v>
      </c>
      <c r="E49" s="755">
        <v>13.68</v>
      </c>
      <c r="F49" s="746">
        <v>4.46</v>
      </c>
    </row>
    <row r="50" spans="2:6" ht="15.5" x14ac:dyDescent="0.3">
      <c r="B50" s="550" t="s">
        <v>393</v>
      </c>
      <c r="C50" s="742" t="s">
        <v>285</v>
      </c>
      <c r="D50" s="741" t="s">
        <v>321</v>
      </c>
      <c r="E50" s="757">
        <v>7.71</v>
      </c>
      <c r="F50" s="747">
        <v>2.6</v>
      </c>
    </row>
    <row r="51" spans="2:6" ht="15.5" x14ac:dyDescent="0.3">
      <c r="B51" s="550" t="s">
        <v>393</v>
      </c>
      <c r="C51" s="742" t="s">
        <v>305</v>
      </c>
      <c r="D51" s="741" t="s">
        <v>283</v>
      </c>
      <c r="E51" s="757">
        <v>3.89</v>
      </c>
      <c r="F51" s="747">
        <v>1.2</v>
      </c>
    </row>
    <row r="52" spans="2:6" ht="15.5" x14ac:dyDescent="0.3">
      <c r="B52" s="550" t="s">
        <v>393</v>
      </c>
      <c r="C52" s="742" t="s">
        <v>305</v>
      </c>
      <c r="D52" s="741" t="s">
        <v>321</v>
      </c>
      <c r="E52" s="757">
        <v>12.6</v>
      </c>
      <c r="F52" s="747">
        <v>1.21</v>
      </c>
    </row>
    <row r="53" spans="2:6" ht="16" thickBot="1" x14ac:dyDescent="0.35">
      <c r="B53" s="555" t="s">
        <v>393</v>
      </c>
      <c r="C53" s="748" t="s">
        <v>323</v>
      </c>
      <c r="D53" s="749" t="s">
        <v>283</v>
      </c>
      <c r="E53" s="756">
        <v>3.07</v>
      </c>
      <c r="F53" s="750">
        <v>0.44</v>
      </c>
    </row>
    <row r="54" spans="2:6" ht="16" thickBot="1" x14ac:dyDescent="0.35">
      <c r="B54" s="751" t="s">
        <v>394</v>
      </c>
      <c r="C54" s="752" t="s">
        <v>277</v>
      </c>
      <c r="D54" s="753" t="s">
        <v>321</v>
      </c>
      <c r="E54" s="758">
        <v>55.57</v>
      </c>
      <c r="F54" s="754">
        <v>9.18</v>
      </c>
    </row>
    <row r="55" spans="2:6" ht="15.5" x14ac:dyDescent="0.3">
      <c r="B55" s="745" t="s">
        <v>395</v>
      </c>
      <c r="C55" s="744" t="s">
        <v>285</v>
      </c>
      <c r="D55" s="743" t="s">
        <v>321</v>
      </c>
      <c r="E55" s="755">
        <v>1.35</v>
      </c>
      <c r="F55" s="746" t="s">
        <v>396</v>
      </c>
    </row>
    <row r="56" spans="2:6" ht="16" thickBot="1" x14ac:dyDescent="0.35">
      <c r="B56" s="555" t="s">
        <v>395</v>
      </c>
      <c r="C56" s="748" t="s">
        <v>305</v>
      </c>
      <c r="D56" s="749" t="s">
        <v>321</v>
      </c>
      <c r="E56" s="756">
        <v>2.3199999999999998</v>
      </c>
      <c r="F56" s="750">
        <v>0.8</v>
      </c>
    </row>
    <row r="57" spans="2:6" ht="15.5" x14ac:dyDescent="0.3">
      <c r="B57" s="745" t="s">
        <v>397</v>
      </c>
      <c r="C57" s="744" t="s">
        <v>273</v>
      </c>
      <c r="D57" s="743" t="s">
        <v>321</v>
      </c>
      <c r="E57" s="755">
        <v>56.54</v>
      </c>
      <c r="F57" s="746">
        <v>6.56</v>
      </c>
    </row>
    <row r="58" spans="2:6" ht="15.5" x14ac:dyDescent="0.3">
      <c r="B58" s="550" t="s">
        <v>397</v>
      </c>
      <c r="C58" s="742" t="s">
        <v>285</v>
      </c>
      <c r="D58" s="741" t="s">
        <v>321</v>
      </c>
      <c r="E58" s="757">
        <v>8.86</v>
      </c>
      <c r="F58" s="747">
        <v>1.23</v>
      </c>
    </row>
    <row r="59" spans="2:6" ht="16" thickBot="1" x14ac:dyDescent="0.35">
      <c r="B59" s="555" t="s">
        <v>397</v>
      </c>
      <c r="C59" s="748" t="s">
        <v>305</v>
      </c>
      <c r="D59" s="749" t="s">
        <v>321</v>
      </c>
      <c r="E59" s="756">
        <v>5.41</v>
      </c>
      <c r="F59" s="750">
        <v>1.08</v>
      </c>
    </row>
    <row r="60" spans="2:6" ht="15.5" x14ac:dyDescent="0.3">
      <c r="B60" s="745" t="s">
        <v>398</v>
      </c>
      <c r="C60" s="744" t="s">
        <v>285</v>
      </c>
      <c r="D60" s="743" t="s">
        <v>321</v>
      </c>
      <c r="E60" s="755">
        <v>2.89</v>
      </c>
      <c r="F60" s="746">
        <v>2.66</v>
      </c>
    </row>
    <row r="61" spans="2:6" ht="16" thickBot="1" x14ac:dyDescent="0.35">
      <c r="B61" s="555" t="s">
        <v>398</v>
      </c>
      <c r="C61" s="748" t="s">
        <v>305</v>
      </c>
      <c r="D61" s="749" t="s">
        <v>321</v>
      </c>
      <c r="E61" s="756">
        <v>4.92</v>
      </c>
      <c r="F61" s="750">
        <v>1.81</v>
      </c>
    </row>
    <row r="62" spans="2:6" ht="16" thickBot="1" x14ac:dyDescent="0.35">
      <c r="B62" s="751" t="s">
        <v>399</v>
      </c>
      <c r="C62" s="752" t="s">
        <v>338</v>
      </c>
      <c r="D62" s="753" t="s">
        <v>283</v>
      </c>
      <c r="E62" s="758">
        <v>31.72</v>
      </c>
      <c r="F62" s="754">
        <v>3.49</v>
      </c>
    </row>
    <row r="63" spans="2:6" ht="15.5" x14ac:dyDescent="0.3">
      <c r="B63" s="745" t="s">
        <v>400</v>
      </c>
      <c r="C63" s="744" t="s">
        <v>285</v>
      </c>
      <c r="D63" s="743" t="s">
        <v>321</v>
      </c>
      <c r="E63" s="755">
        <v>7.32</v>
      </c>
      <c r="F63" s="746">
        <v>1.96</v>
      </c>
    </row>
    <row r="64" spans="2:6" ht="15.5" x14ac:dyDescent="0.3">
      <c r="B64" s="550" t="s">
        <v>400</v>
      </c>
      <c r="C64" s="742" t="s">
        <v>305</v>
      </c>
      <c r="D64" s="741" t="s">
        <v>283</v>
      </c>
      <c r="E64" s="757">
        <v>4.32</v>
      </c>
      <c r="F64" s="747">
        <v>0.97</v>
      </c>
    </row>
    <row r="65" spans="2:6" ht="16" thickBot="1" x14ac:dyDescent="0.35">
      <c r="B65" s="555" t="s">
        <v>400</v>
      </c>
      <c r="C65" s="748" t="s">
        <v>305</v>
      </c>
      <c r="D65" s="749" t="s">
        <v>321</v>
      </c>
      <c r="E65" s="756">
        <v>14.6</v>
      </c>
      <c r="F65" s="750" t="s">
        <v>396</v>
      </c>
    </row>
    <row r="66" spans="2:6" ht="15.5" x14ac:dyDescent="0.3">
      <c r="B66" s="745" t="s">
        <v>401</v>
      </c>
      <c r="C66" s="744" t="s">
        <v>285</v>
      </c>
      <c r="D66" s="743" t="s">
        <v>321</v>
      </c>
      <c r="E66" s="755">
        <v>6.76</v>
      </c>
      <c r="F66" s="746">
        <v>2.39</v>
      </c>
    </row>
    <row r="67" spans="2:6" ht="15.5" x14ac:dyDescent="0.3">
      <c r="B67" s="550" t="s">
        <v>401</v>
      </c>
      <c r="C67" s="742" t="s">
        <v>303</v>
      </c>
      <c r="D67" s="741" t="s">
        <v>283</v>
      </c>
      <c r="E67" s="757">
        <v>0.74</v>
      </c>
      <c r="F67" s="747">
        <v>0.25</v>
      </c>
    </row>
    <row r="68" spans="2:6" ht="15.5" x14ac:dyDescent="0.3">
      <c r="B68" s="550" t="s">
        <v>401</v>
      </c>
      <c r="C68" s="742" t="s">
        <v>305</v>
      </c>
      <c r="D68" s="741" t="s">
        <v>283</v>
      </c>
      <c r="E68" s="757">
        <v>2.0099999999999998</v>
      </c>
      <c r="F68" s="747">
        <v>0.32</v>
      </c>
    </row>
    <row r="69" spans="2:6" ht="16" thickBot="1" x14ac:dyDescent="0.35">
      <c r="B69" s="555" t="s">
        <v>401</v>
      </c>
      <c r="C69" s="748" t="s">
        <v>329</v>
      </c>
      <c r="D69" s="749" t="s">
        <v>283</v>
      </c>
      <c r="E69" s="756">
        <v>1.53</v>
      </c>
      <c r="F69" s="750">
        <v>0.23</v>
      </c>
    </row>
    <row r="70" spans="2:6" ht="15.5" x14ac:dyDescent="0.3">
      <c r="B70" s="745" t="s">
        <v>402</v>
      </c>
      <c r="C70" s="744" t="s">
        <v>285</v>
      </c>
      <c r="D70" s="743" t="s">
        <v>283</v>
      </c>
      <c r="E70" s="755">
        <v>4.99</v>
      </c>
      <c r="F70" s="746" t="s">
        <v>396</v>
      </c>
    </row>
    <row r="71" spans="2:6" ht="16" thickBot="1" x14ac:dyDescent="0.35">
      <c r="B71" s="555" t="s">
        <v>402</v>
      </c>
      <c r="C71" s="748" t="s">
        <v>305</v>
      </c>
      <c r="D71" s="749" t="s">
        <v>283</v>
      </c>
      <c r="E71" s="756">
        <v>3.83</v>
      </c>
      <c r="F71" s="750" t="s">
        <v>396</v>
      </c>
    </row>
    <row r="72" spans="2:6" ht="15.5" x14ac:dyDescent="0.3">
      <c r="B72" s="1126" t="s">
        <v>403</v>
      </c>
      <c r="C72" s="1127" t="s">
        <v>285</v>
      </c>
      <c r="D72" s="1128" t="s">
        <v>283</v>
      </c>
      <c r="E72" s="1121">
        <v>1.69</v>
      </c>
      <c r="F72" s="1129">
        <v>0.83</v>
      </c>
    </row>
    <row r="73" spans="2:6" ht="16" thickBot="1" x14ac:dyDescent="0.35">
      <c r="B73" s="555" t="s">
        <v>403</v>
      </c>
      <c r="C73" s="748" t="s">
        <v>305</v>
      </c>
      <c r="D73" s="749" t="s">
        <v>283</v>
      </c>
      <c r="E73" s="756">
        <v>4.43</v>
      </c>
      <c r="F73" s="750">
        <v>0.46</v>
      </c>
    </row>
    <row r="74" spans="2:6" ht="15.5" x14ac:dyDescent="0.3">
      <c r="B74" s="745" t="s">
        <v>404</v>
      </c>
      <c r="C74" s="744" t="s">
        <v>273</v>
      </c>
      <c r="D74" s="743" t="s">
        <v>321</v>
      </c>
      <c r="E74" s="755">
        <v>14.06</v>
      </c>
      <c r="F74" s="746">
        <v>2.81</v>
      </c>
    </row>
    <row r="75" spans="2:6" ht="15.5" x14ac:dyDescent="0.3">
      <c r="B75" s="550" t="s">
        <v>404</v>
      </c>
      <c r="C75" s="742" t="s">
        <v>285</v>
      </c>
      <c r="D75" s="741" t="s">
        <v>321</v>
      </c>
      <c r="E75" s="757">
        <v>4.68</v>
      </c>
      <c r="F75" s="747">
        <v>6.63</v>
      </c>
    </row>
    <row r="76" spans="2:6" ht="16" thickBot="1" x14ac:dyDescent="0.35">
      <c r="B76" s="555" t="s">
        <v>404</v>
      </c>
      <c r="C76" s="748" t="s">
        <v>305</v>
      </c>
      <c r="D76" s="749" t="s">
        <v>321</v>
      </c>
      <c r="E76" s="756">
        <v>3.44</v>
      </c>
      <c r="F76" s="750">
        <v>1.06</v>
      </c>
    </row>
    <row r="77" spans="2:6" ht="15.5" x14ac:dyDescent="0.3">
      <c r="B77" s="745" t="s">
        <v>405</v>
      </c>
      <c r="C77" s="744" t="s">
        <v>273</v>
      </c>
      <c r="D77" s="743" t="s">
        <v>321</v>
      </c>
      <c r="E77" s="755">
        <v>23.56</v>
      </c>
      <c r="F77" s="746">
        <v>3.9</v>
      </c>
    </row>
    <row r="78" spans="2:6" ht="15.5" x14ac:dyDescent="0.3">
      <c r="B78" s="550" t="s">
        <v>405</v>
      </c>
      <c r="C78" s="742" t="s">
        <v>285</v>
      </c>
      <c r="D78" s="741" t="s">
        <v>321</v>
      </c>
      <c r="E78" s="757">
        <v>10.18</v>
      </c>
      <c r="F78" s="747">
        <v>1.92</v>
      </c>
    </row>
    <row r="79" spans="2:6" ht="16" thickBot="1" x14ac:dyDescent="0.35">
      <c r="B79" s="555" t="s">
        <v>405</v>
      </c>
      <c r="C79" s="748" t="s">
        <v>305</v>
      </c>
      <c r="D79" s="749" t="s">
        <v>321</v>
      </c>
      <c r="E79" s="756">
        <v>2.86</v>
      </c>
      <c r="F79" s="750">
        <v>0.4</v>
      </c>
    </row>
    <row r="80" spans="2:6" ht="15.5" x14ac:dyDescent="0.3">
      <c r="B80" s="745" t="s">
        <v>406</v>
      </c>
      <c r="C80" s="744" t="s">
        <v>285</v>
      </c>
      <c r="D80" s="743" t="s">
        <v>321</v>
      </c>
      <c r="E80" s="755">
        <v>5.74</v>
      </c>
      <c r="F80" s="746">
        <v>1.22</v>
      </c>
    </row>
    <row r="81" spans="2:6" ht="16" thickBot="1" x14ac:dyDescent="0.35">
      <c r="B81" s="555" t="s">
        <v>406</v>
      </c>
      <c r="C81" s="748" t="s">
        <v>305</v>
      </c>
      <c r="D81" s="749" t="s">
        <v>283</v>
      </c>
      <c r="E81" s="756">
        <v>2.88</v>
      </c>
      <c r="F81" s="750">
        <v>0.31</v>
      </c>
    </row>
    <row r="82" spans="2:6" ht="16" x14ac:dyDescent="0.3">
      <c r="B82" s="745" t="s">
        <v>407</v>
      </c>
      <c r="C82" s="744" t="s">
        <v>285</v>
      </c>
      <c r="D82" s="743" t="s">
        <v>283</v>
      </c>
      <c r="E82" s="755">
        <v>2.59</v>
      </c>
      <c r="F82" s="1150">
        <v>0.5</v>
      </c>
    </row>
    <row r="83" spans="2:6" ht="16.5" thickBot="1" x14ac:dyDescent="0.35">
      <c r="B83" s="555" t="s">
        <v>407</v>
      </c>
      <c r="C83" s="748" t="s">
        <v>305</v>
      </c>
      <c r="D83" s="749" t="s">
        <v>283</v>
      </c>
      <c r="E83" s="756">
        <v>3.34</v>
      </c>
      <c r="F83" s="1151">
        <v>0.77</v>
      </c>
    </row>
    <row r="84" spans="2:6" ht="16" x14ac:dyDescent="0.3">
      <c r="B84" s="745" t="s">
        <v>408</v>
      </c>
      <c r="C84" s="744" t="s">
        <v>285</v>
      </c>
      <c r="D84" s="743" t="s">
        <v>321</v>
      </c>
      <c r="E84" s="755">
        <v>3.04</v>
      </c>
      <c r="F84" s="1150">
        <v>1.0900000000000001</v>
      </c>
    </row>
    <row r="85" spans="2:6" ht="16" thickBot="1" x14ac:dyDescent="0.35">
      <c r="B85" s="555" t="s">
        <v>408</v>
      </c>
      <c r="C85" s="748" t="s">
        <v>305</v>
      </c>
      <c r="D85" s="749" t="s">
        <v>321</v>
      </c>
      <c r="E85" s="756">
        <v>2.1800000000000002</v>
      </c>
      <c r="F85" s="750">
        <v>0.01</v>
      </c>
    </row>
    <row r="86" spans="2:6" ht="16" thickBot="1" x14ac:dyDescent="0.35">
      <c r="B86" s="751" t="s">
        <v>409</v>
      </c>
      <c r="C86" s="752" t="s">
        <v>285</v>
      </c>
      <c r="D86" s="753" t="s">
        <v>321</v>
      </c>
      <c r="E86" s="758">
        <v>2.34</v>
      </c>
      <c r="F86" s="754">
        <v>0.64</v>
      </c>
    </row>
    <row r="87" spans="2:6" ht="15.5" x14ac:dyDescent="0.3">
      <c r="B87" s="745" t="s">
        <v>410</v>
      </c>
      <c r="C87" s="744" t="s">
        <v>273</v>
      </c>
      <c r="D87" s="743" t="s">
        <v>321</v>
      </c>
      <c r="E87" s="755">
        <v>10.91</v>
      </c>
      <c r="F87" s="746">
        <v>0.83</v>
      </c>
    </row>
    <row r="88" spans="2:6" ht="15.5" x14ac:dyDescent="0.3">
      <c r="B88" s="550" t="s">
        <v>410</v>
      </c>
      <c r="C88" s="742" t="s">
        <v>285</v>
      </c>
      <c r="D88" s="741" t="s">
        <v>321</v>
      </c>
      <c r="E88" s="757">
        <v>3.81</v>
      </c>
      <c r="F88" s="747">
        <v>0.26</v>
      </c>
    </row>
    <row r="89" spans="2:6" ht="15.5" x14ac:dyDescent="0.3">
      <c r="B89" s="550" t="s">
        <v>410</v>
      </c>
      <c r="C89" s="742" t="s">
        <v>285</v>
      </c>
      <c r="D89" s="741" t="s">
        <v>333</v>
      </c>
      <c r="E89" s="757">
        <v>2.38</v>
      </c>
      <c r="F89" s="747">
        <v>1.38</v>
      </c>
    </row>
    <row r="90" spans="2:6" ht="16.5" thickBot="1" x14ac:dyDescent="0.35">
      <c r="B90" s="555" t="s">
        <v>410</v>
      </c>
      <c r="C90" s="748" t="s">
        <v>305</v>
      </c>
      <c r="D90" s="749" t="s">
        <v>321</v>
      </c>
      <c r="E90" s="756">
        <v>1.19</v>
      </c>
      <c r="F90" s="1151">
        <v>0.37</v>
      </c>
    </row>
    <row r="91" spans="2:6" ht="15.5" x14ac:dyDescent="0.3">
      <c r="B91" s="745" t="s">
        <v>411</v>
      </c>
      <c r="C91" s="744" t="s">
        <v>285</v>
      </c>
      <c r="D91" s="743" t="s">
        <v>321</v>
      </c>
      <c r="E91" s="755">
        <v>4.5</v>
      </c>
      <c r="F91" s="746">
        <v>2.96</v>
      </c>
    </row>
    <row r="92" spans="2:6" ht="15.5" x14ac:dyDescent="0.3">
      <c r="B92" s="550" t="s">
        <v>411</v>
      </c>
      <c r="C92" s="742" t="s">
        <v>285</v>
      </c>
      <c r="D92" s="741" t="s">
        <v>333</v>
      </c>
      <c r="E92" s="757">
        <v>5.33</v>
      </c>
      <c r="F92" s="747">
        <v>1.58</v>
      </c>
    </row>
    <row r="93" spans="2:6" ht="16" thickBot="1" x14ac:dyDescent="0.35">
      <c r="B93" s="555" t="s">
        <v>411</v>
      </c>
      <c r="C93" s="748" t="s">
        <v>305</v>
      </c>
      <c r="D93" s="749" t="s">
        <v>321</v>
      </c>
      <c r="E93" s="756">
        <v>4.1900000000000004</v>
      </c>
      <c r="F93" s="750">
        <v>0.89</v>
      </c>
    </row>
    <row r="94" spans="2:6" ht="15.5" x14ac:dyDescent="0.3">
      <c r="B94" s="1126" t="s">
        <v>412</v>
      </c>
      <c r="C94" s="1127" t="s">
        <v>285</v>
      </c>
      <c r="D94" s="1128" t="s">
        <v>333</v>
      </c>
      <c r="E94" s="1121">
        <v>1.8</v>
      </c>
      <c r="F94" s="1129">
        <v>0.69</v>
      </c>
    </row>
    <row r="95" spans="2:6" ht="15.5" x14ac:dyDescent="0.3">
      <c r="B95" s="550" t="s">
        <v>412</v>
      </c>
      <c r="C95" s="742" t="s">
        <v>305</v>
      </c>
      <c r="D95" s="741" t="s">
        <v>283</v>
      </c>
      <c r="E95" s="757">
        <v>3.3</v>
      </c>
      <c r="F95" s="747">
        <v>0.68</v>
      </c>
    </row>
    <row r="96" spans="2:6" ht="16" thickBot="1" x14ac:dyDescent="0.35">
      <c r="B96" s="555" t="s">
        <v>412</v>
      </c>
      <c r="C96" s="748" t="s">
        <v>305</v>
      </c>
      <c r="D96" s="749" t="s">
        <v>321</v>
      </c>
      <c r="E96" s="756">
        <v>2.4700000000000002</v>
      </c>
      <c r="F96" s="750">
        <v>1.29</v>
      </c>
    </row>
    <row r="97" spans="2:6" ht="15.5" x14ac:dyDescent="0.3">
      <c r="B97" s="745" t="s">
        <v>413</v>
      </c>
      <c r="C97" s="744" t="s">
        <v>285</v>
      </c>
      <c r="D97" s="743" t="s">
        <v>321</v>
      </c>
      <c r="E97" s="755">
        <v>2.4700000000000002</v>
      </c>
      <c r="F97" s="746">
        <v>0.69</v>
      </c>
    </row>
    <row r="98" spans="2:6" ht="16.5" thickBot="1" x14ac:dyDescent="0.35">
      <c r="B98" s="555" t="s">
        <v>413</v>
      </c>
      <c r="C98" s="748" t="s">
        <v>305</v>
      </c>
      <c r="D98" s="749" t="s">
        <v>283</v>
      </c>
      <c r="E98" s="756">
        <v>4.2</v>
      </c>
      <c r="F98" s="1151">
        <v>0.88</v>
      </c>
    </row>
    <row r="99" spans="2:6" ht="15.5" x14ac:dyDescent="0.3">
      <c r="B99" s="745" t="s">
        <v>414</v>
      </c>
      <c r="C99" s="744" t="s">
        <v>285</v>
      </c>
      <c r="D99" s="743" t="s">
        <v>321</v>
      </c>
      <c r="E99" s="755">
        <v>2.94</v>
      </c>
      <c r="F99" s="746">
        <v>0.13</v>
      </c>
    </row>
    <row r="100" spans="2:6" ht="16" thickBot="1" x14ac:dyDescent="0.35">
      <c r="B100" s="555" t="s">
        <v>414</v>
      </c>
      <c r="C100" s="748" t="s">
        <v>305</v>
      </c>
      <c r="D100" s="749" t="s">
        <v>321</v>
      </c>
      <c r="E100" s="756">
        <v>1.99</v>
      </c>
      <c r="F100" s="750">
        <v>0.1</v>
      </c>
    </row>
    <row r="101" spans="2:6" ht="15.5" x14ac:dyDescent="0.3">
      <c r="B101" s="745" t="s">
        <v>415</v>
      </c>
      <c r="C101" s="744" t="s">
        <v>285</v>
      </c>
      <c r="D101" s="743" t="s">
        <v>321</v>
      </c>
      <c r="E101" s="755">
        <v>4.09</v>
      </c>
      <c r="F101" s="746">
        <v>1.02</v>
      </c>
    </row>
    <row r="102" spans="2:6" ht="16" thickBot="1" x14ac:dyDescent="0.35">
      <c r="B102" s="555" t="s">
        <v>415</v>
      </c>
      <c r="C102" s="748" t="s">
        <v>305</v>
      </c>
      <c r="D102" s="749" t="s">
        <v>321</v>
      </c>
      <c r="E102" s="756">
        <v>2.73</v>
      </c>
      <c r="F102" s="750">
        <v>0.41</v>
      </c>
    </row>
    <row r="103" spans="2:6" ht="16" x14ac:dyDescent="0.3">
      <c r="B103" s="745" t="s">
        <v>416</v>
      </c>
      <c r="C103" s="744" t="s">
        <v>285</v>
      </c>
      <c r="D103" s="743" t="s">
        <v>321</v>
      </c>
      <c r="E103" s="755">
        <v>5.4</v>
      </c>
      <c r="F103" s="1150">
        <v>0.85</v>
      </c>
    </row>
    <row r="104" spans="2:6" ht="16.5" thickBot="1" x14ac:dyDescent="0.35">
      <c r="B104" s="555" t="s">
        <v>416</v>
      </c>
      <c r="C104" s="748" t="s">
        <v>305</v>
      </c>
      <c r="D104" s="749" t="s">
        <v>321</v>
      </c>
      <c r="E104" s="756">
        <v>3.6</v>
      </c>
      <c r="F104" s="1151">
        <v>0.84</v>
      </c>
    </row>
    <row r="105" spans="2:6" ht="16" thickBot="1" x14ac:dyDescent="0.35">
      <c r="B105" s="751" t="s">
        <v>417</v>
      </c>
      <c r="C105" s="752" t="s">
        <v>285</v>
      </c>
      <c r="D105" s="753" t="s">
        <v>283</v>
      </c>
      <c r="E105" s="758">
        <v>5.63</v>
      </c>
      <c r="F105" s="754">
        <v>2.4700000000000002</v>
      </c>
    </row>
    <row r="106" spans="2:6" ht="16" thickBot="1" x14ac:dyDescent="0.35">
      <c r="B106" s="751" t="s">
        <v>418</v>
      </c>
      <c r="C106" s="752" t="s">
        <v>305</v>
      </c>
      <c r="D106" s="753" t="s">
        <v>321</v>
      </c>
      <c r="E106" s="758">
        <v>3.1</v>
      </c>
      <c r="F106" s="754">
        <v>1.8</v>
      </c>
    </row>
    <row r="107" spans="2:6" ht="15.5" x14ac:dyDescent="0.3">
      <c r="B107" s="745" t="s">
        <v>419</v>
      </c>
      <c r="C107" s="744" t="s">
        <v>273</v>
      </c>
      <c r="D107" s="743" t="s">
        <v>321</v>
      </c>
      <c r="E107" s="755">
        <v>24.78</v>
      </c>
      <c r="F107" s="746">
        <v>0.86</v>
      </c>
    </row>
    <row r="108" spans="2:6" ht="15.5" x14ac:dyDescent="0.3">
      <c r="B108" s="550" t="s">
        <v>419</v>
      </c>
      <c r="C108" s="742" t="s">
        <v>285</v>
      </c>
      <c r="D108" s="741" t="s">
        <v>321</v>
      </c>
      <c r="E108" s="757">
        <v>6.54</v>
      </c>
      <c r="F108" s="747">
        <v>0.98</v>
      </c>
    </row>
    <row r="109" spans="2:6" ht="16" thickBot="1" x14ac:dyDescent="0.35">
      <c r="B109" s="555" t="s">
        <v>419</v>
      </c>
      <c r="C109" s="748" t="s">
        <v>305</v>
      </c>
      <c r="D109" s="749" t="s">
        <v>321</v>
      </c>
      <c r="E109" s="756">
        <v>4.2300000000000004</v>
      </c>
      <c r="F109" s="750">
        <v>0.15</v>
      </c>
    </row>
    <row r="110" spans="2:6" ht="16" x14ac:dyDescent="0.3">
      <c r="B110" s="745" t="s">
        <v>420</v>
      </c>
      <c r="C110" s="744" t="s">
        <v>285</v>
      </c>
      <c r="D110" s="743" t="s">
        <v>321</v>
      </c>
      <c r="E110" s="755">
        <v>8.3000000000000007</v>
      </c>
      <c r="F110" s="1150">
        <v>0.44</v>
      </c>
    </row>
    <row r="111" spans="2:6" ht="16.5" thickBot="1" x14ac:dyDescent="0.35">
      <c r="B111" s="555" t="s">
        <v>420</v>
      </c>
      <c r="C111" s="748" t="s">
        <v>305</v>
      </c>
      <c r="D111" s="749" t="s">
        <v>321</v>
      </c>
      <c r="E111" s="756">
        <v>3.49</v>
      </c>
      <c r="F111" s="1151">
        <v>1.02</v>
      </c>
    </row>
    <row r="112" spans="2:6" ht="15.5" x14ac:dyDescent="0.3">
      <c r="B112" s="745" t="s">
        <v>421</v>
      </c>
      <c r="C112" s="744" t="s">
        <v>285</v>
      </c>
      <c r="D112" s="743" t="s">
        <v>321</v>
      </c>
      <c r="E112" s="755">
        <v>1.84</v>
      </c>
      <c r="F112" s="746">
        <v>0.56999999999999995</v>
      </c>
    </row>
    <row r="113" spans="2:6" ht="15.5" x14ac:dyDescent="0.3">
      <c r="B113" s="550" t="s">
        <v>421</v>
      </c>
      <c r="C113" s="742" t="s">
        <v>285</v>
      </c>
      <c r="D113" s="741" t="s">
        <v>331</v>
      </c>
      <c r="E113" s="757">
        <v>1.57</v>
      </c>
      <c r="F113" s="747">
        <v>0.56999999999999995</v>
      </c>
    </row>
    <row r="114" spans="2:6" ht="16" thickBot="1" x14ac:dyDescent="0.35">
      <c r="B114" s="555" t="s">
        <v>421</v>
      </c>
      <c r="C114" s="748" t="s">
        <v>305</v>
      </c>
      <c r="D114" s="749" t="s">
        <v>283</v>
      </c>
      <c r="E114" s="756">
        <v>3.36</v>
      </c>
      <c r="F114" s="750">
        <v>0.4</v>
      </c>
    </row>
    <row r="115" spans="2:6" ht="15.5" x14ac:dyDescent="0.3">
      <c r="B115" s="745" t="s">
        <v>422</v>
      </c>
      <c r="C115" s="744" t="s">
        <v>285</v>
      </c>
      <c r="D115" s="743" t="s">
        <v>321</v>
      </c>
      <c r="E115" s="755">
        <v>3.99</v>
      </c>
      <c r="F115" s="746">
        <v>1.35</v>
      </c>
    </row>
    <row r="116" spans="2:6" ht="15.5" x14ac:dyDescent="0.3">
      <c r="B116" s="550" t="s">
        <v>422</v>
      </c>
      <c r="C116" s="742" t="s">
        <v>305</v>
      </c>
      <c r="D116" s="741" t="s">
        <v>283</v>
      </c>
      <c r="E116" s="757">
        <v>2.75</v>
      </c>
      <c r="F116" s="747">
        <v>0.28999999999999998</v>
      </c>
    </row>
    <row r="117" spans="2:6" ht="16" thickBot="1" x14ac:dyDescent="0.35">
      <c r="B117" s="555" t="s">
        <v>422</v>
      </c>
      <c r="C117" s="748" t="s">
        <v>305</v>
      </c>
      <c r="D117" s="749" t="s">
        <v>321</v>
      </c>
      <c r="E117" s="756">
        <v>3.61</v>
      </c>
      <c r="F117" s="750">
        <v>20.05</v>
      </c>
    </row>
    <row r="118" spans="2:6" ht="15.5" x14ac:dyDescent="0.3">
      <c r="B118" s="745" t="s">
        <v>423</v>
      </c>
      <c r="C118" s="744" t="s">
        <v>285</v>
      </c>
      <c r="D118" s="743" t="s">
        <v>333</v>
      </c>
      <c r="E118" s="755">
        <v>3.47</v>
      </c>
      <c r="F118" s="746">
        <v>1.97</v>
      </c>
    </row>
    <row r="119" spans="2:6" ht="16" thickBot="1" x14ac:dyDescent="0.35">
      <c r="B119" s="555" t="s">
        <v>423</v>
      </c>
      <c r="C119" s="748" t="s">
        <v>305</v>
      </c>
      <c r="D119" s="749" t="s">
        <v>283</v>
      </c>
      <c r="E119" s="756">
        <v>4.95</v>
      </c>
      <c r="F119" s="750">
        <v>0.01</v>
      </c>
    </row>
    <row r="120" spans="2:6" ht="15.5" x14ac:dyDescent="0.3">
      <c r="B120" s="745" t="s">
        <v>424</v>
      </c>
      <c r="C120" s="744" t="s">
        <v>285</v>
      </c>
      <c r="D120" s="743" t="s">
        <v>321</v>
      </c>
      <c r="E120" s="755">
        <v>4.21</v>
      </c>
      <c r="F120" s="746">
        <v>1.1399999999999999</v>
      </c>
    </row>
    <row r="121" spans="2:6" ht="16" thickBot="1" x14ac:dyDescent="0.35">
      <c r="B121" s="555" t="s">
        <v>424</v>
      </c>
      <c r="C121" s="748" t="s">
        <v>305</v>
      </c>
      <c r="D121" s="749" t="s">
        <v>321</v>
      </c>
      <c r="E121" s="756">
        <v>6.06</v>
      </c>
      <c r="F121" s="750">
        <v>0.6</v>
      </c>
    </row>
    <row r="122" spans="2:6" ht="15.5" x14ac:dyDescent="0.3">
      <c r="B122" s="745" t="s">
        <v>425</v>
      </c>
      <c r="C122" s="744" t="s">
        <v>285</v>
      </c>
      <c r="D122" s="743" t="s">
        <v>321</v>
      </c>
      <c r="E122" s="755">
        <v>7.09</v>
      </c>
      <c r="F122" s="746">
        <v>2.0099999999999998</v>
      </c>
    </row>
    <row r="123" spans="2:6" ht="16" thickBot="1" x14ac:dyDescent="0.35">
      <c r="B123" s="555" t="s">
        <v>425</v>
      </c>
      <c r="C123" s="748" t="s">
        <v>305</v>
      </c>
      <c r="D123" s="749" t="s">
        <v>321</v>
      </c>
      <c r="E123" s="756">
        <v>3.34</v>
      </c>
      <c r="F123" s="750">
        <v>1.36</v>
      </c>
    </row>
    <row r="124" spans="2:6" ht="15.5" x14ac:dyDescent="0.3">
      <c r="B124" s="745" t="s">
        <v>426</v>
      </c>
      <c r="C124" s="744" t="s">
        <v>273</v>
      </c>
      <c r="D124" s="743" t="s">
        <v>321</v>
      </c>
      <c r="E124" s="755">
        <v>51.99</v>
      </c>
      <c r="F124" s="746">
        <v>2.89</v>
      </c>
    </row>
    <row r="125" spans="2:6" ht="15.5" x14ac:dyDescent="0.3">
      <c r="B125" s="550" t="s">
        <v>426</v>
      </c>
      <c r="C125" s="742" t="s">
        <v>285</v>
      </c>
      <c r="D125" s="741" t="s">
        <v>321</v>
      </c>
      <c r="E125" s="757">
        <v>6.38</v>
      </c>
      <c r="F125" s="747">
        <v>3.61</v>
      </c>
    </row>
    <row r="126" spans="2:6" ht="16" thickBot="1" x14ac:dyDescent="0.35">
      <c r="B126" s="555" t="s">
        <v>426</v>
      </c>
      <c r="C126" s="748" t="s">
        <v>305</v>
      </c>
      <c r="D126" s="749" t="s">
        <v>321</v>
      </c>
      <c r="E126" s="756">
        <v>6.68</v>
      </c>
      <c r="F126" s="750">
        <v>0.93</v>
      </c>
    </row>
    <row r="127" spans="2:6" ht="15.5" x14ac:dyDescent="0.3">
      <c r="B127" s="1126" t="s">
        <v>427</v>
      </c>
      <c r="C127" s="1127" t="s">
        <v>273</v>
      </c>
      <c r="D127" s="1128" t="s">
        <v>321</v>
      </c>
      <c r="E127" s="1121">
        <v>24.74</v>
      </c>
      <c r="F127" s="1129">
        <v>6.61</v>
      </c>
    </row>
    <row r="128" spans="2:6" ht="15.5" x14ac:dyDescent="0.3">
      <c r="B128" s="550" t="s">
        <v>427</v>
      </c>
      <c r="C128" s="742" t="s">
        <v>285</v>
      </c>
      <c r="D128" s="741" t="s">
        <v>283</v>
      </c>
      <c r="E128" s="757">
        <v>10.8</v>
      </c>
      <c r="F128" s="747">
        <v>3.5</v>
      </c>
    </row>
    <row r="129" spans="2:6" ht="15.5" x14ac:dyDescent="0.3">
      <c r="B129" s="550" t="s">
        <v>427</v>
      </c>
      <c r="C129" s="742" t="s">
        <v>285</v>
      </c>
      <c r="D129" s="741" t="s">
        <v>321</v>
      </c>
      <c r="E129" s="757">
        <v>4.22</v>
      </c>
      <c r="F129" s="747">
        <v>0.82</v>
      </c>
    </row>
    <row r="130" spans="2:6" ht="15.5" x14ac:dyDescent="0.3">
      <c r="B130" s="550" t="s">
        <v>427</v>
      </c>
      <c r="C130" s="742" t="s">
        <v>305</v>
      </c>
      <c r="D130" s="741" t="s">
        <v>283</v>
      </c>
      <c r="E130" s="757">
        <v>7.76</v>
      </c>
      <c r="F130" s="747">
        <v>1.24</v>
      </c>
    </row>
    <row r="131" spans="2:6" ht="15.5" x14ac:dyDescent="0.3">
      <c r="B131" s="550" t="s">
        <v>427</v>
      </c>
      <c r="C131" s="742" t="s">
        <v>305</v>
      </c>
      <c r="D131" s="741" t="s">
        <v>321</v>
      </c>
      <c r="E131" s="757">
        <v>3.32</v>
      </c>
      <c r="F131" s="747">
        <v>0.64</v>
      </c>
    </row>
    <row r="132" spans="2:6" ht="16" thickBot="1" x14ac:dyDescent="0.35">
      <c r="B132" s="555" t="s">
        <v>427</v>
      </c>
      <c r="C132" s="748" t="s">
        <v>338</v>
      </c>
      <c r="D132" s="749" t="s">
        <v>321</v>
      </c>
      <c r="E132" s="756">
        <v>33.909999999999997</v>
      </c>
      <c r="F132" s="750">
        <v>4.68</v>
      </c>
    </row>
    <row r="133" spans="2:6" ht="15.5" x14ac:dyDescent="0.3">
      <c r="B133" s="745" t="s">
        <v>428</v>
      </c>
      <c r="C133" s="744" t="s">
        <v>285</v>
      </c>
      <c r="D133" s="743" t="s">
        <v>321</v>
      </c>
      <c r="E133" s="755">
        <v>12.17</v>
      </c>
      <c r="F133" s="746">
        <v>0.71</v>
      </c>
    </row>
    <row r="134" spans="2:6" ht="16" thickBot="1" x14ac:dyDescent="0.35">
      <c r="B134" s="555" t="s">
        <v>428</v>
      </c>
      <c r="C134" s="748" t="s">
        <v>305</v>
      </c>
      <c r="D134" s="749" t="s">
        <v>321</v>
      </c>
      <c r="E134" s="756">
        <v>8.33</v>
      </c>
      <c r="F134" s="750">
        <v>0.56999999999999995</v>
      </c>
    </row>
    <row r="135" spans="2:6" ht="15.5" x14ac:dyDescent="0.3">
      <c r="B135" s="745" t="s">
        <v>429</v>
      </c>
      <c r="C135" s="744" t="s">
        <v>273</v>
      </c>
      <c r="D135" s="743" t="s">
        <v>283</v>
      </c>
      <c r="E135" s="755">
        <v>31.03</v>
      </c>
      <c r="F135" s="746">
        <v>5.37</v>
      </c>
    </row>
    <row r="136" spans="2:6" ht="15.5" x14ac:dyDescent="0.3">
      <c r="B136" s="550" t="s">
        <v>429</v>
      </c>
      <c r="C136" s="742" t="s">
        <v>285</v>
      </c>
      <c r="D136" s="741" t="s">
        <v>283</v>
      </c>
      <c r="E136" s="757">
        <v>11.22</v>
      </c>
      <c r="F136" s="747">
        <v>10.25</v>
      </c>
    </row>
    <row r="137" spans="2:6" ht="16" thickBot="1" x14ac:dyDescent="0.35">
      <c r="B137" s="555" t="s">
        <v>429</v>
      </c>
      <c r="C137" s="748" t="s">
        <v>305</v>
      </c>
      <c r="D137" s="749" t="s">
        <v>283</v>
      </c>
      <c r="E137" s="756">
        <v>8.9700000000000006</v>
      </c>
      <c r="F137" s="750">
        <v>1.47</v>
      </c>
    </row>
    <row r="138" spans="2:6" ht="16" thickBot="1" x14ac:dyDescent="0.35">
      <c r="B138" s="751" t="s">
        <v>430</v>
      </c>
      <c r="C138" s="752" t="s">
        <v>305</v>
      </c>
      <c r="D138" s="753" t="s">
        <v>321</v>
      </c>
      <c r="E138" s="758">
        <v>6.07</v>
      </c>
      <c r="F138" s="754">
        <v>0.66</v>
      </c>
    </row>
    <row r="139" spans="2:6" ht="15.5" x14ac:dyDescent="0.3">
      <c r="B139" s="745" t="s">
        <v>431</v>
      </c>
      <c r="C139" s="744" t="s">
        <v>285</v>
      </c>
      <c r="D139" s="743" t="s">
        <v>321</v>
      </c>
      <c r="E139" s="755">
        <v>6.29</v>
      </c>
      <c r="F139" s="746">
        <v>0.73</v>
      </c>
    </row>
    <row r="140" spans="2:6" ht="16" thickBot="1" x14ac:dyDescent="0.35">
      <c r="B140" s="555" t="s">
        <v>431</v>
      </c>
      <c r="C140" s="748" t="s">
        <v>305</v>
      </c>
      <c r="D140" s="749" t="s">
        <v>283</v>
      </c>
      <c r="E140" s="756">
        <v>3.58</v>
      </c>
      <c r="F140" s="750">
        <v>0.15</v>
      </c>
    </row>
    <row r="141" spans="2:6" ht="15.5" x14ac:dyDescent="0.3">
      <c r="B141" s="745" t="s">
        <v>432</v>
      </c>
      <c r="C141" s="744" t="s">
        <v>285</v>
      </c>
      <c r="D141" s="743" t="s">
        <v>283</v>
      </c>
      <c r="E141" s="755">
        <v>5.17</v>
      </c>
      <c r="F141" s="746">
        <v>6.13</v>
      </c>
    </row>
    <row r="142" spans="2:6" ht="16" thickBot="1" x14ac:dyDescent="0.35">
      <c r="B142" s="555" t="s">
        <v>432</v>
      </c>
      <c r="C142" s="748" t="s">
        <v>305</v>
      </c>
      <c r="D142" s="749" t="s">
        <v>283</v>
      </c>
      <c r="E142" s="756">
        <v>3.46</v>
      </c>
      <c r="F142" s="750">
        <v>0.87</v>
      </c>
    </row>
    <row r="143" spans="2:6" ht="31" x14ac:dyDescent="0.3">
      <c r="B143" s="745" t="s">
        <v>433</v>
      </c>
      <c r="C143" s="744" t="s">
        <v>285</v>
      </c>
      <c r="D143" s="743" t="s">
        <v>321</v>
      </c>
      <c r="E143" s="755">
        <v>11.99</v>
      </c>
      <c r="F143" s="746">
        <v>5.67</v>
      </c>
    </row>
    <row r="144" spans="2:6" ht="31" x14ac:dyDescent="0.3">
      <c r="B144" s="550" t="s">
        <v>433</v>
      </c>
      <c r="C144" s="742" t="s">
        <v>289</v>
      </c>
      <c r="D144" s="741" t="s">
        <v>283</v>
      </c>
      <c r="E144" s="757">
        <v>12.01</v>
      </c>
      <c r="F144" s="747">
        <v>9.44</v>
      </c>
    </row>
    <row r="145" spans="2:6" ht="31.5" thickBot="1" x14ac:dyDescent="0.35">
      <c r="B145" s="555" t="s">
        <v>433</v>
      </c>
      <c r="C145" s="748" t="s">
        <v>305</v>
      </c>
      <c r="D145" s="749" t="s">
        <v>283</v>
      </c>
      <c r="E145" s="756">
        <v>18.84</v>
      </c>
      <c r="F145" s="750">
        <v>6.22</v>
      </c>
    </row>
    <row r="146" spans="2:6" ht="15.5" x14ac:dyDescent="0.3">
      <c r="B146" s="745" t="s">
        <v>434</v>
      </c>
      <c r="C146" s="744" t="s">
        <v>285</v>
      </c>
      <c r="D146" s="743" t="s">
        <v>321</v>
      </c>
      <c r="E146" s="755">
        <v>26.67</v>
      </c>
      <c r="F146" s="746">
        <v>2.48</v>
      </c>
    </row>
    <row r="147" spans="2:6" ht="16" thickBot="1" x14ac:dyDescent="0.35">
      <c r="B147" s="555" t="s">
        <v>434</v>
      </c>
      <c r="C147" s="748" t="s">
        <v>305</v>
      </c>
      <c r="D147" s="749" t="s">
        <v>321</v>
      </c>
      <c r="E147" s="756">
        <v>9.91</v>
      </c>
      <c r="F147" s="750">
        <v>0.05</v>
      </c>
    </row>
    <row r="148" spans="2:6" ht="15.5" x14ac:dyDescent="0.3">
      <c r="B148" s="745" t="s">
        <v>435</v>
      </c>
      <c r="C148" s="744" t="s">
        <v>285</v>
      </c>
      <c r="D148" s="743" t="s">
        <v>321</v>
      </c>
      <c r="E148" s="755">
        <v>2.9</v>
      </c>
      <c r="F148" s="746">
        <v>2.42</v>
      </c>
    </row>
    <row r="149" spans="2:6" ht="15.5" x14ac:dyDescent="0.3">
      <c r="B149" s="550" t="s">
        <v>435</v>
      </c>
      <c r="C149" s="742" t="s">
        <v>305</v>
      </c>
      <c r="D149" s="741" t="s">
        <v>321</v>
      </c>
      <c r="E149" s="757">
        <v>5.21</v>
      </c>
      <c r="F149" s="747">
        <v>1.02</v>
      </c>
    </row>
    <row r="150" spans="2:6" ht="16" thickBot="1" x14ac:dyDescent="0.35">
      <c r="B150" s="555" t="s">
        <v>435</v>
      </c>
      <c r="C150" s="748" t="s">
        <v>338</v>
      </c>
      <c r="D150" s="749" t="s">
        <v>321</v>
      </c>
      <c r="E150" s="756">
        <v>38.69</v>
      </c>
      <c r="F150" s="750">
        <v>3.7</v>
      </c>
    </row>
    <row r="151" spans="2:6" ht="16" thickBot="1" x14ac:dyDescent="0.35">
      <c r="B151" s="751" t="s">
        <v>436</v>
      </c>
      <c r="C151" s="752" t="s">
        <v>305</v>
      </c>
      <c r="D151" s="753" t="s">
        <v>283</v>
      </c>
      <c r="E151" s="758">
        <v>2.2200000000000002</v>
      </c>
      <c r="F151" s="754">
        <v>0.04</v>
      </c>
    </row>
    <row r="152" spans="2:6" ht="15.5" x14ac:dyDescent="0.3">
      <c r="B152" s="745" t="s">
        <v>437</v>
      </c>
      <c r="C152" s="744" t="s">
        <v>285</v>
      </c>
      <c r="D152" s="743" t="s">
        <v>321</v>
      </c>
      <c r="E152" s="755">
        <v>4.75</v>
      </c>
      <c r="F152" s="746">
        <v>3.82</v>
      </c>
    </row>
    <row r="153" spans="2:6" ht="16" thickBot="1" x14ac:dyDescent="0.35">
      <c r="B153" s="555" t="s">
        <v>437</v>
      </c>
      <c r="C153" s="748" t="s">
        <v>305</v>
      </c>
      <c r="D153" s="749" t="s">
        <v>321</v>
      </c>
      <c r="E153" s="756">
        <v>4.2699999999999996</v>
      </c>
      <c r="F153" s="750">
        <v>1.98</v>
      </c>
    </row>
    <row r="154" spans="2:6" ht="15.5" x14ac:dyDescent="0.3">
      <c r="B154" s="745" t="s">
        <v>438</v>
      </c>
      <c r="C154" s="744" t="s">
        <v>285</v>
      </c>
      <c r="D154" s="743" t="s">
        <v>321</v>
      </c>
      <c r="E154" s="755">
        <v>4.1399999999999997</v>
      </c>
      <c r="F154" s="746">
        <v>1.67</v>
      </c>
    </row>
    <row r="155" spans="2:6" ht="16" thickBot="1" x14ac:dyDescent="0.35">
      <c r="B155" s="555" t="s">
        <v>438</v>
      </c>
      <c r="C155" s="748" t="s">
        <v>305</v>
      </c>
      <c r="D155" s="749" t="s">
        <v>283</v>
      </c>
      <c r="E155" s="756">
        <v>3.12</v>
      </c>
      <c r="F155" s="750">
        <v>0.01</v>
      </c>
    </row>
    <row r="156" spans="2:6" ht="31" x14ac:dyDescent="0.3">
      <c r="B156" s="745" t="s">
        <v>439</v>
      </c>
      <c r="C156" s="744" t="s">
        <v>285</v>
      </c>
      <c r="D156" s="743" t="s">
        <v>283</v>
      </c>
      <c r="E156" s="755">
        <v>2.4900000000000002</v>
      </c>
      <c r="F156" s="746" t="s">
        <v>396</v>
      </c>
    </row>
    <row r="157" spans="2:6" ht="31" x14ac:dyDescent="0.3">
      <c r="B157" s="550" t="s">
        <v>439</v>
      </c>
      <c r="C157" s="742" t="s">
        <v>297</v>
      </c>
      <c r="D157" s="741" t="s">
        <v>283</v>
      </c>
      <c r="E157" s="757">
        <v>5.24</v>
      </c>
      <c r="F157" s="747">
        <v>0.14000000000000001</v>
      </c>
    </row>
    <row r="158" spans="2:6" ht="31" x14ac:dyDescent="0.3">
      <c r="B158" s="550" t="s">
        <v>439</v>
      </c>
      <c r="C158" s="742" t="s">
        <v>303</v>
      </c>
      <c r="D158" s="741" t="s">
        <v>283</v>
      </c>
      <c r="E158" s="757">
        <v>6.61</v>
      </c>
      <c r="F158" s="747">
        <v>0.13</v>
      </c>
    </row>
    <row r="159" spans="2:6" ht="31" x14ac:dyDescent="0.3">
      <c r="B159" s="550" t="s">
        <v>439</v>
      </c>
      <c r="C159" s="742" t="s">
        <v>305</v>
      </c>
      <c r="D159" s="741" t="s">
        <v>283</v>
      </c>
      <c r="E159" s="757">
        <v>2.86</v>
      </c>
      <c r="F159" s="747">
        <v>0.11</v>
      </c>
    </row>
    <row r="160" spans="2:6" ht="31" x14ac:dyDescent="0.3">
      <c r="B160" s="550" t="s">
        <v>439</v>
      </c>
      <c r="C160" s="742" t="s">
        <v>305</v>
      </c>
      <c r="D160" s="741" t="s">
        <v>321</v>
      </c>
      <c r="E160" s="757">
        <v>3.79</v>
      </c>
      <c r="F160" s="747">
        <v>0.01</v>
      </c>
    </row>
    <row r="161" spans="2:6" ht="31" x14ac:dyDescent="0.3">
      <c r="B161" s="550" t="s">
        <v>439</v>
      </c>
      <c r="C161" s="742" t="s">
        <v>323</v>
      </c>
      <c r="D161" s="741" t="s">
        <v>283</v>
      </c>
      <c r="E161" s="757">
        <v>5.85</v>
      </c>
      <c r="F161" s="747">
        <v>0.13</v>
      </c>
    </row>
    <row r="162" spans="2:6" ht="31.5" thickBot="1" x14ac:dyDescent="0.35">
      <c r="B162" s="555" t="s">
        <v>439</v>
      </c>
      <c r="C162" s="748" t="s">
        <v>338</v>
      </c>
      <c r="D162" s="749" t="s">
        <v>321</v>
      </c>
      <c r="E162" s="756">
        <v>46.98</v>
      </c>
      <c r="F162" s="750">
        <v>7.49</v>
      </c>
    </row>
    <row r="163" spans="2:6" ht="15.5" x14ac:dyDescent="0.3">
      <c r="B163" s="1126" t="s">
        <v>440</v>
      </c>
      <c r="C163" s="1127" t="s">
        <v>285</v>
      </c>
      <c r="D163" s="1128" t="s">
        <v>321</v>
      </c>
      <c r="E163" s="1121">
        <v>6.77</v>
      </c>
      <c r="F163" s="1129">
        <v>4.46</v>
      </c>
    </row>
    <row r="164" spans="2:6" ht="16" thickBot="1" x14ac:dyDescent="0.35">
      <c r="B164" s="555" t="s">
        <v>440</v>
      </c>
      <c r="C164" s="748" t="s">
        <v>305</v>
      </c>
      <c r="D164" s="749" t="s">
        <v>321</v>
      </c>
      <c r="E164" s="756">
        <v>5.63</v>
      </c>
      <c r="F164" s="750">
        <v>1.06</v>
      </c>
    </row>
    <row r="165" spans="2:6" ht="16" thickBot="1" x14ac:dyDescent="0.35">
      <c r="B165" s="751" t="s">
        <v>441</v>
      </c>
      <c r="C165" s="752" t="s">
        <v>338</v>
      </c>
      <c r="D165" s="753" t="s">
        <v>321</v>
      </c>
      <c r="E165" s="758">
        <v>56.57</v>
      </c>
      <c r="F165" s="754">
        <v>7.43</v>
      </c>
    </row>
    <row r="166" spans="2:6" ht="15.5" x14ac:dyDescent="0.3">
      <c r="B166" s="745" t="s">
        <v>442</v>
      </c>
      <c r="C166" s="744" t="s">
        <v>273</v>
      </c>
      <c r="D166" s="743" t="s">
        <v>283</v>
      </c>
      <c r="E166" s="755">
        <v>40.49</v>
      </c>
      <c r="F166" s="746">
        <v>16.91</v>
      </c>
    </row>
    <row r="167" spans="2:6" ht="15.5" x14ac:dyDescent="0.3">
      <c r="B167" s="550" t="s">
        <v>442</v>
      </c>
      <c r="C167" s="742" t="s">
        <v>285</v>
      </c>
      <c r="D167" s="741" t="s">
        <v>321</v>
      </c>
      <c r="E167" s="757">
        <v>8.57</v>
      </c>
      <c r="F167" s="747">
        <v>1.23</v>
      </c>
    </row>
    <row r="168" spans="2:6" ht="15.5" x14ac:dyDescent="0.3">
      <c r="B168" s="550" t="s">
        <v>442</v>
      </c>
      <c r="C168" s="742" t="s">
        <v>305</v>
      </c>
      <c r="D168" s="741" t="s">
        <v>283</v>
      </c>
      <c r="E168" s="757">
        <v>6.9</v>
      </c>
      <c r="F168" s="747">
        <v>1.42</v>
      </c>
    </row>
    <row r="169" spans="2:6" ht="16" thickBot="1" x14ac:dyDescent="0.35">
      <c r="B169" s="555" t="s">
        <v>442</v>
      </c>
      <c r="C169" s="748" t="s">
        <v>305</v>
      </c>
      <c r="D169" s="749" t="s">
        <v>321</v>
      </c>
      <c r="E169" s="756">
        <v>3.7</v>
      </c>
      <c r="F169" s="750">
        <v>1.27</v>
      </c>
    </row>
    <row r="170" spans="2:6" ht="15.5" x14ac:dyDescent="0.3">
      <c r="B170" s="745" t="s">
        <v>443</v>
      </c>
      <c r="C170" s="744" t="s">
        <v>273</v>
      </c>
      <c r="D170" s="743" t="s">
        <v>321</v>
      </c>
      <c r="E170" s="755">
        <v>16.63</v>
      </c>
      <c r="F170" s="746">
        <v>1.1100000000000001</v>
      </c>
    </row>
    <row r="171" spans="2:6" ht="15.5" x14ac:dyDescent="0.3">
      <c r="B171" s="550" t="s">
        <v>443</v>
      </c>
      <c r="C171" s="742" t="s">
        <v>285</v>
      </c>
      <c r="D171" s="741" t="s">
        <v>321</v>
      </c>
      <c r="E171" s="757">
        <v>2.61</v>
      </c>
      <c r="F171" s="747">
        <v>3.21</v>
      </c>
    </row>
    <row r="172" spans="2:6" ht="16" thickBot="1" x14ac:dyDescent="0.35">
      <c r="B172" s="555" t="s">
        <v>443</v>
      </c>
      <c r="C172" s="748" t="s">
        <v>305</v>
      </c>
      <c r="D172" s="749" t="s">
        <v>321</v>
      </c>
      <c r="E172" s="756">
        <v>9.5399999999999991</v>
      </c>
      <c r="F172" s="750">
        <v>0.75</v>
      </c>
    </row>
    <row r="173" spans="2:6" ht="15.5" x14ac:dyDescent="0.3">
      <c r="B173" s="745" t="s">
        <v>444</v>
      </c>
      <c r="C173" s="744" t="s">
        <v>277</v>
      </c>
      <c r="D173" s="743" t="s">
        <v>321</v>
      </c>
      <c r="E173" s="755">
        <v>26.44</v>
      </c>
      <c r="F173" s="746">
        <v>5.58</v>
      </c>
    </row>
    <row r="174" spans="2:6" ht="15.5" x14ac:dyDescent="0.3">
      <c r="B174" s="550" t="s">
        <v>444</v>
      </c>
      <c r="C174" s="742" t="s">
        <v>285</v>
      </c>
      <c r="D174" s="741" t="s">
        <v>321</v>
      </c>
      <c r="E174" s="757">
        <v>13.48</v>
      </c>
      <c r="F174" s="747">
        <v>14.64</v>
      </c>
    </row>
    <row r="175" spans="2:6" ht="15.5" x14ac:dyDescent="0.3">
      <c r="B175" s="550" t="s">
        <v>444</v>
      </c>
      <c r="C175" s="742" t="s">
        <v>305</v>
      </c>
      <c r="D175" s="741" t="s">
        <v>321</v>
      </c>
      <c r="E175" s="757">
        <v>4.34</v>
      </c>
      <c r="F175" s="747">
        <v>0.85</v>
      </c>
    </row>
    <row r="176" spans="2:6" ht="16" thickBot="1" x14ac:dyDescent="0.35">
      <c r="B176" s="555" t="s">
        <v>444</v>
      </c>
      <c r="C176" s="748" t="s">
        <v>340</v>
      </c>
      <c r="D176" s="749" t="s">
        <v>321</v>
      </c>
      <c r="E176" s="756">
        <v>7.29</v>
      </c>
      <c r="F176" s="750">
        <v>1.18</v>
      </c>
    </row>
    <row r="177" spans="2:6" ht="15.5" x14ac:dyDescent="0.3">
      <c r="B177" s="745" t="s">
        <v>445</v>
      </c>
      <c r="C177" s="744" t="s">
        <v>285</v>
      </c>
      <c r="D177" s="743" t="s">
        <v>321</v>
      </c>
      <c r="E177" s="755">
        <v>9.85</v>
      </c>
      <c r="F177" s="746">
        <v>4.87</v>
      </c>
    </row>
    <row r="178" spans="2:6" ht="15.5" x14ac:dyDescent="0.3">
      <c r="B178" s="550" t="s">
        <v>445</v>
      </c>
      <c r="C178" s="742" t="s">
        <v>305</v>
      </c>
      <c r="D178" s="741" t="s">
        <v>283</v>
      </c>
      <c r="E178" s="757">
        <v>5.63</v>
      </c>
      <c r="F178" s="747">
        <v>1.69</v>
      </c>
    </row>
    <row r="179" spans="2:6" ht="16" thickBot="1" x14ac:dyDescent="0.35">
      <c r="B179" s="555" t="s">
        <v>445</v>
      </c>
      <c r="C179" s="748" t="s">
        <v>305</v>
      </c>
      <c r="D179" s="749" t="s">
        <v>321</v>
      </c>
      <c r="E179" s="756">
        <v>3.77</v>
      </c>
      <c r="F179" s="750">
        <v>1.55</v>
      </c>
    </row>
    <row r="180" spans="2:6" ht="15.5" x14ac:dyDescent="0.3">
      <c r="B180" s="745" t="s">
        <v>446</v>
      </c>
      <c r="C180" s="744" t="s">
        <v>273</v>
      </c>
      <c r="D180" s="743" t="s">
        <v>283</v>
      </c>
      <c r="E180" s="755">
        <v>21.11</v>
      </c>
      <c r="F180" s="746">
        <v>1.68</v>
      </c>
    </row>
    <row r="181" spans="2:6" ht="15.5" x14ac:dyDescent="0.3">
      <c r="B181" s="550" t="s">
        <v>446</v>
      </c>
      <c r="C181" s="742" t="s">
        <v>273</v>
      </c>
      <c r="D181" s="741" t="s">
        <v>321</v>
      </c>
      <c r="E181" s="757">
        <v>19.28</v>
      </c>
      <c r="F181" s="747">
        <v>1.44</v>
      </c>
    </row>
    <row r="182" spans="2:6" ht="15.5" x14ac:dyDescent="0.3">
      <c r="B182" s="550" t="s">
        <v>446</v>
      </c>
      <c r="C182" s="742" t="s">
        <v>285</v>
      </c>
      <c r="D182" s="741" t="s">
        <v>321</v>
      </c>
      <c r="E182" s="757">
        <v>10.46</v>
      </c>
      <c r="F182" s="747">
        <v>4.26</v>
      </c>
    </row>
    <row r="183" spans="2:6" ht="15.5" x14ac:dyDescent="0.3">
      <c r="B183" s="550" t="s">
        <v>446</v>
      </c>
      <c r="C183" s="742" t="s">
        <v>285</v>
      </c>
      <c r="D183" s="741" t="s">
        <v>333</v>
      </c>
      <c r="E183" s="757">
        <v>4.76</v>
      </c>
      <c r="F183" s="747">
        <v>3.09</v>
      </c>
    </row>
    <row r="184" spans="2:6" ht="15.5" x14ac:dyDescent="0.3">
      <c r="B184" s="550" t="s">
        <v>446</v>
      </c>
      <c r="C184" s="742" t="s">
        <v>287</v>
      </c>
      <c r="D184" s="741" t="s">
        <v>321</v>
      </c>
      <c r="E184" s="757">
        <v>3.02</v>
      </c>
      <c r="F184" s="747">
        <v>3.44</v>
      </c>
    </row>
    <row r="185" spans="2:6" ht="15.5" x14ac:dyDescent="0.3">
      <c r="B185" s="550" t="s">
        <v>446</v>
      </c>
      <c r="C185" s="742" t="s">
        <v>305</v>
      </c>
      <c r="D185" s="741" t="s">
        <v>283</v>
      </c>
      <c r="E185" s="757">
        <v>4.41</v>
      </c>
      <c r="F185" s="747">
        <v>0.7</v>
      </c>
    </row>
    <row r="186" spans="2:6" ht="15.5" x14ac:dyDescent="0.3">
      <c r="B186" s="550" t="s">
        <v>446</v>
      </c>
      <c r="C186" s="742" t="s">
        <v>305</v>
      </c>
      <c r="D186" s="741" t="s">
        <v>321</v>
      </c>
      <c r="E186" s="757">
        <v>5.12</v>
      </c>
      <c r="F186" s="747">
        <v>0.53</v>
      </c>
    </row>
    <row r="187" spans="2:6" ht="16" thickBot="1" x14ac:dyDescent="0.35">
      <c r="B187" s="555" t="s">
        <v>446</v>
      </c>
      <c r="C187" s="748" t="s">
        <v>338</v>
      </c>
      <c r="D187" s="749" t="s">
        <v>321</v>
      </c>
      <c r="E187" s="756">
        <v>36.82</v>
      </c>
      <c r="F187" s="750">
        <v>6.47</v>
      </c>
    </row>
    <row r="188" spans="2:6" ht="16" x14ac:dyDescent="0.3">
      <c r="B188" s="745" t="s">
        <v>447</v>
      </c>
      <c r="C188" s="744" t="s">
        <v>285</v>
      </c>
      <c r="D188" s="743" t="s">
        <v>283</v>
      </c>
      <c r="E188" s="755">
        <v>9.82</v>
      </c>
      <c r="F188" s="1150">
        <v>4.2</v>
      </c>
    </row>
    <row r="189" spans="2:6" ht="15.5" x14ac:dyDescent="0.3">
      <c r="B189" s="550" t="s">
        <v>447</v>
      </c>
      <c r="C189" s="742" t="s">
        <v>285</v>
      </c>
      <c r="D189" s="741" t="s">
        <v>321</v>
      </c>
      <c r="E189" s="757">
        <v>10.46</v>
      </c>
      <c r="F189" s="747">
        <v>7.07</v>
      </c>
    </row>
    <row r="190" spans="2:6" ht="16" thickBot="1" x14ac:dyDescent="0.35">
      <c r="B190" s="555" t="s">
        <v>447</v>
      </c>
      <c r="C190" s="748" t="s">
        <v>287</v>
      </c>
      <c r="D190" s="749" t="s">
        <v>321</v>
      </c>
      <c r="E190" s="756">
        <v>8.3699999999999992</v>
      </c>
      <c r="F190" s="750">
        <v>4.47</v>
      </c>
    </row>
    <row r="191" spans="2:6" ht="31" x14ac:dyDescent="0.3">
      <c r="B191" s="1126" t="s">
        <v>448</v>
      </c>
      <c r="C191" s="1127" t="s">
        <v>277</v>
      </c>
      <c r="D191" s="1128" t="s">
        <v>321</v>
      </c>
      <c r="E191" s="1121">
        <v>22.28</v>
      </c>
      <c r="F191" s="1129">
        <v>25.68</v>
      </c>
    </row>
    <row r="192" spans="2:6" ht="31.5" thickBot="1" x14ac:dyDescent="0.35">
      <c r="B192" s="555" t="s">
        <v>448</v>
      </c>
      <c r="C192" s="748" t="s">
        <v>305</v>
      </c>
      <c r="D192" s="749" t="s">
        <v>321</v>
      </c>
      <c r="E192" s="756">
        <v>3.47</v>
      </c>
      <c r="F192" s="750" t="s">
        <v>396</v>
      </c>
    </row>
    <row r="193" spans="2:6" ht="15.5" x14ac:dyDescent="0.3">
      <c r="B193" s="745" t="s">
        <v>449</v>
      </c>
      <c r="C193" s="744" t="s">
        <v>285</v>
      </c>
      <c r="D193" s="743" t="s">
        <v>321</v>
      </c>
      <c r="E193" s="755">
        <v>6.02</v>
      </c>
      <c r="F193" s="746">
        <v>0.33</v>
      </c>
    </row>
    <row r="194" spans="2:6" ht="15.5" x14ac:dyDescent="0.3">
      <c r="B194" s="550" t="s">
        <v>449</v>
      </c>
      <c r="C194" s="742" t="s">
        <v>285</v>
      </c>
      <c r="D194" s="741" t="s">
        <v>333</v>
      </c>
      <c r="E194" s="757">
        <v>4.34</v>
      </c>
      <c r="F194" s="747">
        <v>1.45</v>
      </c>
    </row>
    <row r="195" spans="2:6" ht="16" thickBot="1" x14ac:dyDescent="0.35">
      <c r="B195" s="555" t="s">
        <v>449</v>
      </c>
      <c r="C195" s="748" t="s">
        <v>287</v>
      </c>
      <c r="D195" s="749" t="s">
        <v>321</v>
      </c>
      <c r="E195" s="756">
        <v>4.8099999999999996</v>
      </c>
      <c r="F195" s="750">
        <v>1.94</v>
      </c>
    </row>
    <row r="196" spans="2:6" ht="15.5" x14ac:dyDescent="0.3">
      <c r="B196" s="745" t="s">
        <v>450</v>
      </c>
      <c r="C196" s="744" t="s">
        <v>285</v>
      </c>
      <c r="D196" s="743" t="s">
        <v>321</v>
      </c>
      <c r="E196" s="755">
        <v>6.36</v>
      </c>
      <c r="F196" s="746">
        <v>3.53</v>
      </c>
    </row>
    <row r="197" spans="2:6" ht="16" thickBot="1" x14ac:dyDescent="0.35">
      <c r="B197" s="555" t="s">
        <v>450</v>
      </c>
      <c r="C197" s="748" t="s">
        <v>305</v>
      </c>
      <c r="D197" s="749" t="s">
        <v>321</v>
      </c>
      <c r="E197" s="756">
        <v>5.3</v>
      </c>
      <c r="F197" s="750">
        <v>1.1399999999999999</v>
      </c>
    </row>
    <row r="198" spans="2:6" ht="16" thickBot="1" x14ac:dyDescent="0.35">
      <c r="B198" s="751" t="s">
        <v>451</v>
      </c>
      <c r="C198" s="752" t="s">
        <v>338</v>
      </c>
      <c r="D198" s="753" t="s">
        <v>321</v>
      </c>
      <c r="E198" s="758">
        <v>39.33</v>
      </c>
      <c r="F198" s="754">
        <v>6.72</v>
      </c>
    </row>
    <row r="199" spans="2:6" ht="15.5" x14ac:dyDescent="0.3">
      <c r="B199" s="745" t="s">
        <v>452</v>
      </c>
      <c r="C199" s="744" t="s">
        <v>273</v>
      </c>
      <c r="D199" s="743" t="s">
        <v>283</v>
      </c>
      <c r="E199" s="755">
        <v>26.21</v>
      </c>
      <c r="F199" s="746">
        <v>1.56</v>
      </c>
    </row>
    <row r="200" spans="2:6" ht="15.5" x14ac:dyDescent="0.3">
      <c r="B200" s="550" t="s">
        <v>452</v>
      </c>
      <c r="C200" s="742" t="s">
        <v>273</v>
      </c>
      <c r="D200" s="741" t="s">
        <v>321</v>
      </c>
      <c r="E200" s="757">
        <v>23.22</v>
      </c>
      <c r="F200" s="747">
        <v>2.08</v>
      </c>
    </row>
    <row r="201" spans="2:6" ht="15.5" x14ac:dyDescent="0.3">
      <c r="B201" s="550" t="s">
        <v>452</v>
      </c>
      <c r="C201" s="742" t="s">
        <v>285</v>
      </c>
      <c r="D201" s="741" t="s">
        <v>321</v>
      </c>
      <c r="E201" s="757">
        <v>11.38</v>
      </c>
      <c r="F201" s="747">
        <v>5.13</v>
      </c>
    </row>
    <row r="202" spans="2:6" ht="15.5" x14ac:dyDescent="0.3">
      <c r="B202" s="550" t="s">
        <v>452</v>
      </c>
      <c r="C202" s="742" t="s">
        <v>287</v>
      </c>
      <c r="D202" s="741" t="s">
        <v>321</v>
      </c>
      <c r="E202" s="757">
        <v>17.510000000000002</v>
      </c>
      <c r="F202" s="747">
        <v>4.05</v>
      </c>
    </row>
    <row r="203" spans="2:6" ht="15.5" x14ac:dyDescent="0.3">
      <c r="B203" s="550" t="s">
        <v>452</v>
      </c>
      <c r="C203" s="742" t="s">
        <v>305</v>
      </c>
      <c r="D203" s="741" t="s">
        <v>283</v>
      </c>
      <c r="E203" s="757">
        <v>6.84</v>
      </c>
      <c r="F203" s="747">
        <v>0.73</v>
      </c>
    </row>
    <row r="204" spans="2:6" ht="16" thickBot="1" x14ac:dyDescent="0.35">
      <c r="B204" s="555" t="s">
        <v>452</v>
      </c>
      <c r="C204" s="748" t="s">
        <v>305</v>
      </c>
      <c r="D204" s="749" t="s">
        <v>321</v>
      </c>
      <c r="E204" s="756">
        <v>11.8</v>
      </c>
      <c r="F204" s="750">
        <v>1.52</v>
      </c>
    </row>
    <row r="205" spans="2:6" ht="15.5" x14ac:dyDescent="0.3">
      <c r="B205" s="745" t="s">
        <v>453</v>
      </c>
      <c r="C205" s="744" t="s">
        <v>285</v>
      </c>
      <c r="D205" s="743" t="s">
        <v>283</v>
      </c>
      <c r="E205" s="755">
        <v>5.82</v>
      </c>
      <c r="F205" s="746">
        <v>3.58</v>
      </c>
    </row>
    <row r="206" spans="2:6" ht="15.5" x14ac:dyDescent="0.3">
      <c r="B206" s="550" t="s">
        <v>453</v>
      </c>
      <c r="C206" s="742" t="s">
        <v>303</v>
      </c>
      <c r="D206" s="741" t="s">
        <v>283</v>
      </c>
      <c r="E206" s="757">
        <v>5.78</v>
      </c>
      <c r="F206" s="747">
        <v>1.43</v>
      </c>
    </row>
    <row r="207" spans="2:6" ht="16" thickBot="1" x14ac:dyDescent="0.35">
      <c r="B207" s="555" t="s">
        <v>453</v>
      </c>
      <c r="C207" s="748" t="s">
        <v>305</v>
      </c>
      <c r="D207" s="749" t="s">
        <v>283</v>
      </c>
      <c r="E207" s="756">
        <v>3.73</v>
      </c>
      <c r="F207" s="750">
        <v>1.38</v>
      </c>
    </row>
    <row r="208" spans="2:6" ht="31.5" thickBot="1" x14ac:dyDescent="0.35">
      <c r="B208" s="759" t="s">
        <v>454</v>
      </c>
      <c r="C208" s="760" t="s">
        <v>338</v>
      </c>
      <c r="D208" s="761" t="s">
        <v>321</v>
      </c>
      <c r="E208" s="762">
        <v>40.47</v>
      </c>
      <c r="F208" s="763">
        <v>7.66</v>
      </c>
    </row>
    <row r="209" spans="2:6" ht="16" thickBot="1" x14ac:dyDescent="0.35">
      <c r="B209" s="751" t="s">
        <v>455</v>
      </c>
      <c r="C209" s="752" t="s">
        <v>338</v>
      </c>
      <c r="D209" s="753" t="s">
        <v>321</v>
      </c>
      <c r="E209" s="758">
        <v>55.11</v>
      </c>
      <c r="F209" s="754">
        <v>6.61</v>
      </c>
    </row>
    <row r="210" spans="2:6" ht="15.5" x14ac:dyDescent="0.3">
      <c r="B210" s="745" t="s">
        <v>456</v>
      </c>
      <c r="C210" s="744" t="s">
        <v>273</v>
      </c>
      <c r="D210" s="743" t="s">
        <v>321</v>
      </c>
      <c r="E210" s="755">
        <v>26.1</v>
      </c>
      <c r="F210" s="746">
        <v>6.78</v>
      </c>
    </row>
    <row r="211" spans="2:6" ht="15.5" x14ac:dyDescent="0.3">
      <c r="B211" s="550" t="s">
        <v>456</v>
      </c>
      <c r="C211" s="742" t="s">
        <v>285</v>
      </c>
      <c r="D211" s="741" t="s">
        <v>321</v>
      </c>
      <c r="E211" s="757">
        <v>10.039999999999999</v>
      </c>
      <c r="F211" s="747">
        <v>4.26</v>
      </c>
    </row>
    <row r="212" spans="2:6" ht="15.5" x14ac:dyDescent="0.3">
      <c r="B212" s="550" t="s">
        <v>456</v>
      </c>
      <c r="C212" s="742" t="s">
        <v>285</v>
      </c>
      <c r="D212" s="741" t="s">
        <v>333</v>
      </c>
      <c r="E212" s="757">
        <v>12.05</v>
      </c>
      <c r="F212" s="747">
        <v>4.58</v>
      </c>
    </row>
    <row r="213" spans="2:6" ht="15.5" x14ac:dyDescent="0.3">
      <c r="B213" s="550" t="s">
        <v>456</v>
      </c>
      <c r="C213" s="742" t="s">
        <v>303</v>
      </c>
      <c r="D213" s="741" t="s">
        <v>283</v>
      </c>
      <c r="E213" s="757">
        <v>6.32</v>
      </c>
      <c r="F213" s="747">
        <v>0.99</v>
      </c>
    </row>
    <row r="214" spans="2:6" ht="15.5" x14ac:dyDescent="0.3">
      <c r="B214" s="550" t="s">
        <v>456</v>
      </c>
      <c r="C214" s="742" t="s">
        <v>305</v>
      </c>
      <c r="D214" s="741" t="s">
        <v>283</v>
      </c>
      <c r="E214" s="757">
        <v>5.32</v>
      </c>
      <c r="F214" s="747">
        <v>1.68</v>
      </c>
    </row>
    <row r="215" spans="2:6" ht="16" thickBot="1" x14ac:dyDescent="0.35">
      <c r="B215" s="555" t="s">
        <v>456</v>
      </c>
      <c r="C215" s="748" t="s">
        <v>305</v>
      </c>
      <c r="D215" s="749" t="s">
        <v>321</v>
      </c>
      <c r="E215" s="756">
        <v>3.86</v>
      </c>
      <c r="F215" s="750">
        <v>1.23</v>
      </c>
    </row>
    <row r="216" spans="2:6" ht="15.5" x14ac:dyDescent="0.3">
      <c r="B216" s="745" t="s">
        <v>457</v>
      </c>
      <c r="C216" s="744" t="s">
        <v>297</v>
      </c>
      <c r="D216" s="743" t="s">
        <v>283</v>
      </c>
      <c r="E216" s="755">
        <v>13.65</v>
      </c>
      <c r="F216" s="746">
        <v>3.5</v>
      </c>
    </row>
    <row r="217" spans="2:6" ht="15.5" x14ac:dyDescent="0.3">
      <c r="B217" s="550" t="s">
        <v>457</v>
      </c>
      <c r="C217" s="742" t="s">
        <v>307</v>
      </c>
      <c r="D217" s="741" t="s">
        <v>321</v>
      </c>
      <c r="E217" s="757">
        <v>3.18</v>
      </c>
      <c r="F217" s="747">
        <v>5.78</v>
      </c>
    </row>
    <row r="218" spans="2:6" ht="16" thickBot="1" x14ac:dyDescent="0.35">
      <c r="B218" s="555" t="s">
        <v>457</v>
      </c>
      <c r="C218" s="748" t="s">
        <v>340</v>
      </c>
      <c r="D218" s="749" t="s">
        <v>283</v>
      </c>
      <c r="E218" s="756">
        <v>6.86</v>
      </c>
      <c r="F218" s="750">
        <v>2.88</v>
      </c>
    </row>
    <row r="219" spans="2:6" ht="31.5" thickBot="1" x14ac:dyDescent="0.35">
      <c r="B219" s="751" t="s">
        <v>458</v>
      </c>
      <c r="C219" s="752" t="s">
        <v>289</v>
      </c>
      <c r="D219" s="753" t="s">
        <v>321</v>
      </c>
      <c r="E219" s="758">
        <v>23.7</v>
      </c>
      <c r="F219" s="754">
        <v>7.32</v>
      </c>
    </row>
    <row r="220" spans="2:6" ht="15.5" x14ac:dyDescent="0.3">
      <c r="B220" s="745" t="s">
        <v>459</v>
      </c>
      <c r="C220" s="744" t="s">
        <v>275</v>
      </c>
      <c r="D220" s="743" t="s">
        <v>283</v>
      </c>
      <c r="E220" s="755">
        <v>1.26</v>
      </c>
      <c r="F220" s="746">
        <v>4.34</v>
      </c>
    </row>
    <row r="221" spans="2:6" ht="15.5" x14ac:dyDescent="0.3">
      <c r="B221" s="550" t="s">
        <v>459</v>
      </c>
      <c r="C221" s="742" t="s">
        <v>285</v>
      </c>
      <c r="D221" s="741" t="s">
        <v>321</v>
      </c>
      <c r="E221" s="757">
        <v>6.17</v>
      </c>
      <c r="F221" s="747">
        <v>2.29</v>
      </c>
    </row>
    <row r="222" spans="2:6" ht="15.5" x14ac:dyDescent="0.3">
      <c r="B222" s="550" t="s">
        <v>459</v>
      </c>
      <c r="C222" s="742" t="s">
        <v>303</v>
      </c>
      <c r="D222" s="741" t="s">
        <v>283</v>
      </c>
      <c r="E222" s="757">
        <v>2.73</v>
      </c>
      <c r="F222" s="747">
        <v>0.77</v>
      </c>
    </row>
    <row r="223" spans="2:6" ht="15.5" x14ac:dyDescent="0.3">
      <c r="B223" s="550" t="s">
        <v>459</v>
      </c>
      <c r="C223" s="742" t="s">
        <v>305</v>
      </c>
      <c r="D223" s="741" t="s">
        <v>283</v>
      </c>
      <c r="E223" s="757">
        <v>2.15</v>
      </c>
      <c r="F223" s="747">
        <v>0.77</v>
      </c>
    </row>
    <row r="224" spans="2:6" ht="15.5" x14ac:dyDescent="0.3">
      <c r="B224" s="550" t="s">
        <v>459</v>
      </c>
      <c r="C224" s="742" t="s">
        <v>327</v>
      </c>
      <c r="D224" s="741" t="s">
        <v>283</v>
      </c>
      <c r="E224" s="757">
        <v>1.43</v>
      </c>
      <c r="F224" s="747">
        <v>0.77</v>
      </c>
    </row>
    <row r="225" spans="2:6" ht="16" thickBot="1" x14ac:dyDescent="0.35">
      <c r="B225" s="555" t="s">
        <v>459</v>
      </c>
      <c r="C225" s="748" t="s">
        <v>329</v>
      </c>
      <c r="D225" s="749" t="s">
        <v>283</v>
      </c>
      <c r="E225" s="756">
        <v>1.48</v>
      </c>
      <c r="F225" s="750">
        <v>0.77</v>
      </c>
    </row>
    <row r="226" spans="2:6" ht="16" thickBot="1" x14ac:dyDescent="0.35">
      <c r="B226" s="751" t="s">
        <v>460</v>
      </c>
      <c r="C226" s="752" t="s">
        <v>338</v>
      </c>
      <c r="D226" s="753" t="s">
        <v>321</v>
      </c>
      <c r="E226" s="758">
        <v>47.37</v>
      </c>
      <c r="F226" s="754">
        <v>7.05</v>
      </c>
    </row>
    <row r="227" spans="2:6" ht="15.5" x14ac:dyDescent="0.3">
      <c r="B227" s="745" t="s">
        <v>461</v>
      </c>
      <c r="C227" s="744" t="s">
        <v>273</v>
      </c>
      <c r="D227" s="743" t="s">
        <v>321</v>
      </c>
      <c r="E227" s="755">
        <v>44.32</v>
      </c>
      <c r="F227" s="746">
        <v>5.3</v>
      </c>
    </row>
    <row r="228" spans="2:6" ht="15.5" x14ac:dyDescent="0.3">
      <c r="B228" s="550" t="s">
        <v>461</v>
      </c>
      <c r="C228" s="742" t="s">
        <v>285</v>
      </c>
      <c r="D228" s="741" t="s">
        <v>321</v>
      </c>
      <c r="E228" s="757">
        <v>7.29</v>
      </c>
      <c r="F228" s="747">
        <v>3.97</v>
      </c>
    </row>
    <row r="229" spans="2:6" ht="15.5" x14ac:dyDescent="0.3">
      <c r="B229" s="550" t="s">
        <v>461</v>
      </c>
      <c r="C229" s="742" t="s">
        <v>285</v>
      </c>
      <c r="D229" s="741" t="s">
        <v>333</v>
      </c>
      <c r="E229" s="757">
        <v>5.13</v>
      </c>
      <c r="F229" s="747">
        <v>4.7699999999999996</v>
      </c>
    </row>
    <row r="230" spans="2:6" ht="15.5" x14ac:dyDescent="0.3">
      <c r="B230" s="550" t="s">
        <v>461</v>
      </c>
      <c r="C230" s="742" t="s">
        <v>287</v>
      </c>
      <c r="D230" s="741" t="s">
        <v>321</v>
      </c>
      <c r="E230" s="757">
        <v>5.83</v>
      </c>
      <c r="F230" s="747">
        <v>3.73</v>
      </c>
    </row>
    <row r="231" spans="2:6" ht="15.5" x14ac:dyDescent="0.3">
      <c r="B231" s="550" t="s">
        <v>461</v>
      </c>
      <c r="C231" s="742" t="s">
        <v>305</v>
      </c>
      <c r="D231" s="741" t="s">
        <v>283</v>
      </c>
      <c r="E231" s="757">
        <v>3.51</v>
      </c>
      <c r="F231" s="747">
        <v>0.66</v>
      </c>
    </row>
    <row r="232" spans="2:6" ht="16" thickBot="1" x14ac:dyDescent="0.35">
      <c r="B232" s="555" t="s">
        <v>461</v>
      </c>
      <c r="C232" s="748" t="s">
        <v>305</v>
      </c>
      <c r="D232" s="749" t="s">
        <v>321</v>
      </c>
      <c r="E232" s="756">
        <v>4.55</v>
      </c>
      <c r="F232" s="750">
        <v>0.59</v>
      </c>
    </row>
    <row r="233" spans="2:6" ht="15.5" x14ac:dyDescent="0.3">
      <c r="B233" s="745" t="s">
        <v>462</v>
      </c>
      <c r="C233" s="744" t="s">
        <v>285</v>
      </c>
      <c r="D233" s="743" t="s">
        <v>283</v>
      </c>
      <c r="E233" s="755">
        <v>7.11</v>
      </c>
      <c r="F233" s="746">
        <v>3.12</v>
      </c>
    </row>
    <row r="234" spans="2:6" ht="16" thickBot="1" x14ac:dyDescent="0.35">
      <c r="B234" s="555" t="s">
        <v>462</v>
      </c>
      <c r="C234" s="748" t="s">
        <v>305</v>
      </c>
      <c r="D234" s="749" t="s">
        <v>283</v>
      </c>
      <c r="E234" s="756">
        <v>12.09</v>
      </c>
      <c r="F234" s="750">
        <v>0.62</v>
      </c>
    </row>
    <row r="235" spans="2:6" ht="15.5" x14ac:dyDescent="0.3">
      <c r="B235" s="745" t="s">
        <v>463</v>
      </c>
      <c r="C235" s="744" t="s">
        <v>285</v>
      </c>
      <c r="D235" s="743" t="s">
        <v>321</v>
      </c>
      <c r="E235" s="755">
        <v>8.14</v>
      </c>
      <c r="F235" s="746">
        <v>2.08</v>
      </c>
    </row>
    <row r="236" spans="2:6" ht="15.5" x14ac:dyDescent="0.3">
      <c r="B236" s="550" t="s">
        <v>463</v>
      </c>
      <c r="C236" s="742" t="s">
        <v>285</v>
      </c>
      <c r="D236" s="741" t="s">
        <v>333</v>
      </c>
      <c r="E236" s="757">
        <v>15.51</v>
      </c>
      <c r="F236" s="747">
        <v>1.73</v>
      </c>
    </row>
    <row r="237" spans="2:6" ht="15.5" x14ac:dyDescent="0.3">
      <c r="B237" s="550" t="s">
        <v>463</v>
      </c>
      <c r="C237" s="742" t="s">
        <v>287</v>
      </c>
      <c r="D237" s="741" t="s">
        <v>321</v>
      </c>
      <c r="E237" s="757">
        <v>11.89</v>
      </c>
      <c r="F237" s="747">
        <v>2.38</v>
      </c>
    </row>
    <row r="238" spans="2:6" ht="15.5" x14ac:dyDescent="0.3">
      <c r="B238" s="550" t="s">
        <v>463</v>
      </c>
      <c r="C238" s="742" t="s">
        <v>305</v>
      </c>
      <c r="D238" s="741" t="s">
        <v>283</v>
      </c>
      <c r="E238" s="757">
        <v>3.57</v>
      </c>
      <c r="F238" s="747">
        <v>1.1499999999999999</v>
      </c>
    </row>
    <row r="239" spans="2:6" ht="16" thickBot="1" x14ac:dyDescent="0.35">
      <c r="B239" s="555" t="s">
        <v>463</v>
      </c>
      <c r="C239" s="748" t="s">
        <v>305</v>
      </c>
      <c r="D239" s="749" t="s">
        <v>321</v>
      </c>
      <c r="E239" s="756">
        <v>5.2</v>
      </c>
      <c r="F239" s="750">
        <v>1.3</v>
      </c>
    </row>
    <row r="240" spans="2:6" ht="16" thickBot="1" x14ac:dyDescent="0.35">
      <c r="B240" s="759" t="s">
        <v>464</v>
      </c>
      <c r="C240" s="760" t="s">
        <v>305</v>
      </c>
      <c r="D240" s="761" t="s">
        <v>283</v>
      </c>
      <c r="E240" s="762">
        <v>4.09</v>
      </c>
      <c r="F240" s="763">
        <v>0.17</v>
      </c>
    </row>
    <row r="241" spans="2:6" ht="15.5" x14ac:dyDescent="0.3">
      <c r="B241" s="745" t="s">
        <v>465</v>
      </c>
      <c r="C241" s="744" t="s">
        <v>285</v>
      </c>
      <c r="D241" s="743" t="s">
        <v>321</v>
      </c>
      <c r="E241" s="755">
        <v>8.08</v>
      </c>
      <c r="F241" s="746">
        <v>2.71</v>
      </c>
    </row>
    <row r="242" spans="2:6" ht="15.5" x14ac:dyDescent="0.3">
      <c r="B242" s="550" t="s">
        <v>465</v>
      </c>
      <c r="C242" s="742" t="s">
        <v>287</v>
      </c>
      <c r="D242" s="741" t="s">
        <v>321</v>
      </c>
      <c r="E242" s="757">
        <v>10.68</v>
      </c>
      <c r="F242" s="747">
        <v>2.86</v>
      </c>
    </row>
    <row r="243" spans="2:6" ht="15.5" x14ac:dyDescent="0.3">
      <c r="B243" s="550" t="s">
        <v>465</v>
      </c>
      <c r="C243" s="742" t="s">
        <v>303</v>
      </c>
      <c r="D243" s="741" t="s">
        <v>283</v>
      </c>
      <c r="E243" s="757">
        <v>6.44</v>
      </c>
      <c r="F243" s="747">
        <v>1.1000000000000001</v>
      </c>
    </row>
    <row r="244" spans="2:6" ht="15.5" x14ac:dyDescent="0.3">
      <c r="B244" s="550" t="s">
        <v>465</v>
      </c>
      <c r="C244" s="742" t="s">
        <v>305</v>
      </c>
      <c r="D244" s="741" t="s">
        <v>283</v>
      </c>
      <c r="E244" s="757">
        <v>5</v>
      </c>
      <c r="F244" s="747">
        <v>1.1000000000000001</v>
      </c>
    </row>
    <row r="245" spans="2:6" ht="16" thickBot="1" x14ac:dyDescent="0.35">
      <c r="B245" s="555" t="s">
        <v>465</v>
      </c>
      <c r="C245" s="748" t="s">
        <v>305</v>
      </c>
      <c r="D245" s="749" t="s">
        <v>321</v>
      </c>
      <c r="E245" s="756">
        <v>4.5</v>
      </c>
      <c r="F245" s="750">
        <v>2.65</v>
      </c>
    </row>
    <row r="246" spans="2:6" ht="15.5" x14ac:dyDescent="0.3">
      <c r="B246" s="745" t="s">
        <v>466</v>
      </c>
      <c r="C246" s="744" t="s">
        <v>273</v>
      </c>
      <c r="D246" s="743" t="s">
        <v>283</v>
      </c>
      <c r="E246" s="755">
        <v>30.59</v>
      </c>
      <c r="F246" s="746">
        <v>4.43</v>
      </c>
    </row>
    <row r="247" spans="2:6" ht="15.5" x14ac:dyDescent="0.3">
      <c r="B247" s="550" t="s">
        <v>466</v>
      </c>
      <c r="C247" s="742" t="s">
        <v>285</v>
      </c>
      <c r="D247" s="741" t="s">
        <v>283</v>
      </c>
      <c r="E247" s="757">
        <v>6.36</v>
      </c>
      <c r="F247" s="1140">
        <v>2.95</v>
      </c>
    </row>
    <row r="248" spans="2:6" ht="15.5" x14ac:dyDescent="0.3">
      <c r="B248" s="550" t="s">
        <v>466</v>
      </c>
      <c r="C248" s="742" t="s">
        <v>287</v>
      </c>
      <c r="D248" s="741" t="s">
        <v>321</v>
      </c>
      <c r="E248" s="757">
        <v>7.23</v>
      </c>
      <c r="F248" s="1140">
        <v>2.09</v>
      </c>
    </row>
    <row r="249" spans="2:6" ht="16" thickBot="1" x14ac:dyDescent="0.35">
      <c r="B249" s="555" t="s">
        <v>466</v>
      </c>
      <c r="C249" s="748" t="s">
        <v>305</v>
      </c>
      <c r="D249" s="749" t="s">
        <v>283</v>
      </c>
      <c r="E249" s="756">
        <v>4.41</v>
      </c>
      <c r="F249" s="1141">
        <v>4.7</v>
      </c>
    </row>
    <row r="250" spans="2:6" ht="15.5" x14ac:dyDescent="0.3">
      <c r="B250" s="1126" t="s">
        <v>467</v>
      </c>
      <c r="C250" s="1127" t="s">
        <v>273</v>
      </c>
      <c r="D250" s="1128" t="s">
        <v>321</v>
      </c>
      <c r="E250" s="1121">
        <v>13.78</v>
      </c>
      <c r="F250" s="1142">
        <v>4.17</v>
      </c>
    </row>
    <row r="251" spans="2:6" ht="15.5" x14ac:dyDescent="0.3">
      <c r="B251" s="550" t="s">
        <v>467</v>
      </c>
      <c r="C251" s="742" t="s">
        <v>285</v>
      </c>
      <c r="D251" s="741" t="s">
        <v>321</v>
      </c>
      <c r="E251" s="757">
        <v>3.59</v>
      </c>
      <c r="F251" s="1140">
        <v>3.72</v>
      </c>
    </row>
    <row r="252" spans="2:6" ht="16" thickBot="1" x14ac:dyDescent="0.4">
      <c r="B252" s="1132" t="s">
        <v>467</v>
      </c>
      <c r="C252" s="1133" t="s">
        <v>305</v>
      </c>
      <c r="D252" s="1133" t="s">
        <v>321</v>
      </c>
      <c r="E252" s="1133">
        <v>2.82</v>
      </c>
      <c r="F252" s="1143">
        <v>1.22</v>
      </c>
    </row>
    <row r="253" spans="2:6" ht="16" thickBot="1" x14ac:dyDescent="0.4">
      <c r="B253" s="1134" t="s">
        <v>468</v>
      </c>
      <c r="C253" s="1135" t="s">
        <v>277</v>
      </c>
      <c r="D253" s="1135" t="s">
        <v>283</v>
      </c>
      <c r="E253" s="1135">
        <v>25.63</v>
      </c>
      <c r="F253" s="1144">
        <v>5.75</v>
      </c>
    </row>
    <row r="254" spans="2:6" ht="16" thickBot="1" x14ac:dyDescent="0.4">
      <c r="B254" s="1134" t="s">
        <v>469</v>
      </c>
      <c r="C254" s="1135" t="s">
        <v>277</v>
      </c>
      <c r="D254" s="1135" t="s">
        <v>321</v>
      </c>
      <c r="E254" s="1135">
        <v>39.200000000000003</v>
      </c>
      <c r="F254" s="1144">
        <v>7.73</v>
      </c>
    </row>
    <row r="255" spans="2:6" ht="15.5" x14ac:dyDescent="0.35">
      <c r="B255" s="1136" t="s">
        <v>470</v>
      </c>
      <c r="C255" s="1131" t="s">
        <v>285</v>
      </c>
      <c r="D255" s="1131" t="s">
        <v>283</v>
      </c>
      <c r="E255" s="1131">
        <v>8</v>
      </c>
      <c r="F255" s="1145">
        <v>1.37</v>
      </c>
    </row>
    <row r="256" spans="2:6" ht="15.5" x14ac:dyDescent="0.35">
      <c r="B256" s="1137" t="s">
        <v>470</v>
      </c>
      <c r="C256" s="1130" t="s">
        <v>305</v>
      </c>
      <c r="D256" s="1130" t="s">
        <v>283</v>
      </c>
      <c r="E256" s="1130">
        <v>6.05</v>
      </c>
      <c r="F256" s="1146">
        <v>0.12</v>
      </c>
    </row>
    <row r="257" spans="2:6" ht="16" thickBot="1" x14ac:dyDescent="0.4">
      <c r="B257" s="1132" t="s">
        <v>470</v>
      </c>
      <c r="C257" s="1133" t="s">
        <v>338</v>
      </c>
      <c r="D257" s="1133" t="s">
        <v>321</v>
      </c>
      <c r="E257" s="1133">
        <v>57.99</v>
      </c>
      <c r="F257" s="1143">
        <v>7.5</v>
      </c>
    </row>
    <row r="258" spans="2:6" ht="15.5" x14ac:dyDescent="0.35">
      <c r="B258" s="1136" t="s">
        <v>471</v>
      </c>
      <c r="C258" s="1131" t="s">
        <v>285</v>
      </c>
      <c r="D258" s="1131" t="s">
        <v>321</v>
      </c>
      <c r="E258" s="1131">
        <v>4.74</v>
      </c>
      <c r="F258" s="1145">
        <v>4.18</v>
      </c>
    </row>
    <row r="259" spans="2:6" ht="15.5" x14ac:dyDescent="0.35">
      <c r="B259" s="1137" t="s">
        <v>471</v>
      </c>
      <c r="C259" s="1130" t="s">
        <v>285</v>
      </c>
      <c r="D259" s="1130" t="s">
        <v>331</v>
      </c>
      <c r="E259" s="1130">
        <v>6.17</v>
      </c>
      <c r="F259" s="1146">
        <v>4</v>
      </c>
    </row>
    <row r="260" spans="2:6" ht="16" thickBot="1" x14ac:dyDescent="0.4">
      <c r="B260" s="1132" t="s">
        <v>471</v>
      </c>
      <c r="C260" s="1133" t="s">
        <v>305</v>
      </c>
      <c r="D260" s="1133" t="s">
        <v>321</v>
      </c>
      <c r="E260" s="1133">
        <v>4.5199999999999996</v>
      </c>
      <c r="F260" s="1143">
        <v>0.37</v>
      </c>
    </row>
    <row r="261" spans="2:6" ht="15.5" x14ac:dyDescent="0.35">
      <c r="B261" s="1136" t="s">
        <v>472</v>
      </c>
      <c r="C261" s="1131" t="s">
        <v>285</v>
      </c>
      <c r="D261" s="1131" t="s">
        <v>321</v>
      </c>
      <c r="E261" s="1131">
        <v>5.87</v>
      </c>
      <c r="F261" s="1145">
        <v>0.92</v>
      </c>
    </row>
    <row r="262" spans="2:6" ht="16" thickBot="1" x14ac:dyDescent="0.4">
      <c r="B262" s="1132" t="s">
        <v>472</v>
      </c>
      <c r="C262" s="1133" t="s">
        <v>305</v>
      </c>
      <c r="D262" s="1133" t="s">
        <v>321</v>
      </c>
      <c r="E262" s="1133">
        <v>6.36</v>
      </c>
      <c r="F262" s="1143">
        <v>1.63</v>
      </c>
    </row>
    <row r="263" spans="2:6" ht="16" thickBot="1" x14ac:dyDescent="0.4">
      <c r="B263" s="1134" t="s">
        <v>473</v>
      </c>
      <c r="C263" s="1135" t="s">
        <v>305</v>
      </c>
      <c r="D263" s="1135" t="s">
        <v>283</v>
      </c>
      <c r="E263" s="1135">
        <v>2.16</v>
      </c>
      <c r="F263" s="1144">
        <v>12.78</v>
      </c>
    </row>
    <row r="264" spans="2:6" ht="16" x14ac:dyDescent="0.4">
      <c r="B264" s="1136" t="s">
        <v>474</v>
      </c>
      <c r="C264" s="1131" t="s">
        <v>273</v>
      </c>
      <c r="D264" s="1131" t="s">
        <v>321</v>
      </c>
      <c r="E264" s="1131">
        <v>26.77</v>
      </c>
      <c r="F264" s="1147">
        <v>1.6</v>
      </c>
    </row>
    <row r="265" spans="2:6" ht="16" x14ac:dyDescent="0.4">
      <c r="B265" s="1137" t="s">
        <v>474</v>
      </c>
      <c r="C265" s="1130" t="s">
        <v>285</v>
      </c>
      <c r="D265" s="1130" t="s">
        <v>321</v>
      </c>
      <c r="E265" s="1130">
        <v>2.8</v>
      </c>
      <c r="F265" s="1148">
        <v>1.78</v>
      </c>
    </row>
    <row r="266" spans="2:6" ht="16.5" thickBot="1" x14ac:dyDescent="0.45">
      <c r="B266" s="1132" t="s">
        <v>474</v>
      </c>
      <c r="C266" s="1133" t="s">
        <v>305</v>
      </c>
      <c r="D266" s="1133" t="s">
        <v>321</v>
      </c>
      <c r="E266" s="1133">
        <v>4.37</v>
      </c>
      <c r="F266" s="1149">
        <v>0.85</v>
      </c>
    </row>
    <row r="267" spans="2:6" ht="15.5" x14ac:dyDescent="0.35">
      <c r="B267" s="1136" t="s">
        <v>475</v>
      </c>
      <c r="C267" s="1131" t="s">
        <v>273</v>
      </c>
      <c r="D267" s="1131" t="s">
        <v>321</v>
      </c>
      <c r="E267" s="1131">
        <v>52.89</v>
      </c>
      <c r="F267" s="1145">
        <v>13.08</v>
      </c>
    </row>
    <row r="268" spans="2:6" ht="15.5" x14ac:dyDescent="0.35">
      <c r="B268" s="1137" t="s">
        <v>475</v>
      </c>
      <c r="C268" s="1130" t="s">
        <v>285</v>
      </c>
      <c r="D268" s="1130" t="s">
        <v>321</v>
      </c>
      <c r="E268" s="1130">
        <v>13.92</v>
      </c>
      <c r="F268" s="1146">
        <v>3.29</v>
      </c>
    </row>
    <row r="269" spans="2:6" ht="15.5" x14ac:dyDescent="0.35">
      <c r="B269" s="1137" t="s">
        <v>475</v>
      </c>
      <c r="C269" s="1130" t="s">
        <v>305</v>
      </c>
      <c r="D269" s="1130" t="s">
        <v>321</v>
      </c>
      <c r="E269" s="1130">
        <v>6.85</v>
      </c>
      <c r="F269" s="1146">
        <v>1.52</v>
      </c>
    </row>
    <row r="270" spans="2:6" ht="16" thickBot="1" x14ac:dyDescent="0.4">
      <c r="B270" s="1132" t="s">
        <v>475</v>
      </c>
      <c r="C270" s="1133" t="s">
        <v>338</v>
      </c>
      <c r="D270" s="1133" t="s">
        <v>321</v>
      </c>
      <c r="E270" s="1133">
        <v>45.48</v>
      </c>
      <c r="F270" s="1143">
        <v>6.23</v>
      </c>
    </row>
    <row r="271" spans="2:6" ht="15.5" x14ac:dyDescent="0.35">
      <c r="B271" s="1136" t="s">
        <v>476</v>
      </c>
      <c r="C271" s="1131" t="s">
        <v>273</v>
      </c>
      <c r="D271" s="1131" t="s">
        <v>321</v>
      </c>
      <c r="E271" s="1131">
        <v>28.39</v>
      </c>
      <c r="F271" s="1145">
        <v>1.79</v>
      </c>
    </row>
    <row r="272" spans="2:6" ht="15.5" x14ac:dyDescent="0.35">
      <c r="B272" s="1137" t="s">
        <v>476</v>
      </c>
      <c r="C272" s="1130" t="s">
        <v>285</v>
      </c>
      <c r="D272" s="1130" t="s">
        <v>321</v>
      </c>
      <c r="E272" s="1130">
        <v>6.08</v>
      </c>
      <c r="F272" s="1146">
        <v>0.59</v>
      </c>
    </row>
    <row r="273" spans="2:6" ht="16" thickBot="1" x14ac:dyDescent="0.4">
      <c r="B273" s="1132" t="s">
        <v>476</v>
      </c>
      <c r="C273" s="1133" t="s">
        <v>305</v>
      </c>
      <c r="D273" s="1133" t="s">
        <v>321</v>
      </c>
      <c r="E273" s="1133">
        <v>6.27</v>
      </c>
      <c r="F273" s="1143">
        <v>0.42</v>
      </c>
    </row>
    <row r="274" spans="2:6" ht="15.5" x14ac:dyDescent="0.35">
      <c r="B274" s="1136" t="s">
        <v>477</v>
      </c>
      <c r="C274" s="1131" t="s">
        <v>285</v>
      </c>
      <c r="D274" s="1131" t="s">
        <v>321</v>
      </c>
      <c r="E274" s="1131">
        <v>11.29</v>
      </c>
      <c r="F274" s="1145">
        <v>4.83</v>
      </c>
    </row>
    <row r="275" spans="2:6" ht="16" thickBot="1" x14ac:dyDescent="0.4">
      <c r="B275" s="1132" t="s">
        <v>477</v>
      </c>
      <c r="C275" s="1133" t="s">
        <v>305</v>
      </c>
      <c r="D275" s="1133" t="s">
        <v>321</v>
      </c>
      <c r="E275" s="1133">
        <v>11.5</v>
      </c>
      <c r="F275" s="1143">
        <v>2.54</v>
      </c>
    </row>
    <row r="276" spans="2:6" ht="15.5" x14ac:dyDescent="0.35">
      <c r="B276" s="1136" t="s">
        <v>478</v>
      </c>
      <c r="C276" s="1131" t="s">
        <v>273</v>
      </c>
      <c r="D276" s="1131" t="s">
        <v>321</v>
      </c>
      <c r="E276" s="1131">
        <v>39.299999999999997</v>
      </c>
      <c r="F276" s="1145">
        <v>6.69</v>
      </c>
    </row>
    <row r="277" spans="2:6" ht="15.5" x14ac:dyDescent="0.35">
      <c r="B277" s="1137" t="s">
        <v>478</v>
      </c>
      <c r="C277" s="1130" t="s">
        <v>285</v>
      </c>
      <c r="D277" s="1130" t="s">
        <v>321</v>
      </c>
      <c r="E277" s="1130">
        <v>5.86</v>
      </c>
      <c r="F277" s="1146">
        <v>5.67</v>
      </c>
    </row>
    <row r="278" spans="2:6" ht="16" thickBot="1" x14ac:dyDescent="0.4">
      <c r="B278" s="1132" t="s">
        <v>478</v>
      </c>
      <c r="C278" s="1133" t="s">
        <v>305</v>
      </c>
      <c r="D278" s="1133" t="s">
        <v>321</v>
      </c>
      <c r="E278" s="1133">
        <v>3.04</v>
      </c>
      <c r="F278" s="1143">
        <v>1.04</v>
      </c>
    </row>
  </sheetData>
  <pageMargins left="0.7" right="0.7" top="0.75" bottom="0.75" header="0.3" footer="0.3"/>
  <pageSetup scale="59" fitToHeight="0" orientation="landscape" r:id="rId1"/>
  <headerFooter>
    <oddFooter>&amp;L&amp;"Avenir LT Std 55 Roman,Regular"&amp;12January 9, 2023&amp;C&amp;"Avenir LT Std 55 Roman,Regular"&amp;12&amp;P of &amp;N&amp;R&amp;"Avenir LT Std 55 Roman,Regular"&amp;12&amp;A</oddFooter>
  </headerFooter>
  <rowBreaks count="7" manualBreakCount="7">
    <brk id="41" max="7" man="1"/>
    <brk id="74" max="7" man="1"/>
    <brk id="106" max="7" man="1"/>
    <brk id="136" max="7" man="1"/>
    <brk id="167" max="7" man="1"/>
    <brk id="205" max="7" man="1"/>
    <brk id="239" max="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66"/>
  </sheetPr>
  <dimension ref="A1:L110"/>
  <sheetViews>
    <sheetView showGridLines="0" zoomScaleNormal="100" zoomScalePageLayoutView="70" workbookViewId="0">
      <selection activeCell="C9" sqref="C9"/>
    </sheetView>
  </sheetViews>
  <sheetFormatPr defaultColWidth="9.08984375" defaultRowHeight="14" x14ac:dyDescent="0.3"/>
  <cols>
    <col min="1" max="1" width="4.453125" style="393" customWidth="1"/>
    <col min="2" max="2" width="93.90625" style="393" customWidth="1"/>
    <col min="3" max="3" width="34.453125" style="393" customWidth="1"/>
    <col min="4" max="4" width="45.08984375" style="393" customWidth="1"/>
    <col min="5" max="5" width="43.08984375" style="393" customWidth="1"/>
    <col min="6" max="6" width="33.453125" style="393" customWidth="1"/>
    <col min="7" max="7" width="9" style="393" customWidth="1"/>
    <col min="8" max="8" width="9.08984375" style="393" customWidth="1"/>
    <col min="9" max="9" width="34.453125" style="393" bestFit="1" customWidth="1"/>
    <col min="10" max="10" width="19.453125" style="393" customWidth="1"/>
    <col min="11" max="11" width="16.90625" style="393" customWidth="1"/>
    <col min="12" max="12" width="14.08984375" style="393" customWidth="1"/>
    <col min="13" max="13" width="31.453125" style="393" customWidth="1"/>
    <col min="14" max="16384" width="9.08984375" style="393"/>
  </cols>
  <sheetData>
    <row r="1" spans="1:12" ht="18.75" customHeight="1" x14ac:dyDescent="0.3">
      <c r="A1" s="535"/>
      <c r="B1" s="535"/>
      <c r="C1" s="535"/>
      <c r="D1" s="535"/>
      <c r="E1" s="535"/>
      <c r="F1" s="535"/>
    </row>
    <row r="2" spans="1:12" ht="15" customHeight="1" x14ac:dyDescent="0.4">
      <c r="A2" s="394"/>
      <c r="B2" s="394"/>
      <c r="C2" s="394"/>
      <c r="D2" s="394"/>
      <c r="E2" s="394"/>
      <c r="F2" s="394"/>
    </row>
    <row r="3" spans="1:12" ht="18.75" customHeight="1" x14ac:dyDescent="0.3">
      <c r="A3" s="535"/>
      <c r="B3" s="535"/>
      <c r="C3" s="535"/>
      <c r="D3" s="535"/>
      <c r="E3" s="535"/>
      <c r="F3" s="535"/>
    </row>
    <row r="4" spans="1:12" ht="18.75" customHeight="1" x14ac:dyDescent="0.3">
      <c r="A4" s="536"/>
      <c r="B4" s="536"/>
      <c r="C4" s="536"/>
      <c r="D4" s="536"/>
      <c r="E4" s="536"/>
      <c r="F4" s="536"/>
    </row>
    <row r="5" spans="1:12" ht="15" customHeight="1" x14ac:dyDescent="0.4">
      <c r="A5" s="394"/>
      <c r="B5" s="394"/>
      <c r="C5" s="394"/>
      <c r="D5" s="394"/>
      <c r="E5" s="394"/>
      <c r="F5" s="394"/>
    </row>
    <row r="6" spans="1:12" ht="18.75" customHeight="1" x14ac:dyDescent="0.3">
      <c r="A6" s="535"/>
      <c r="B6" s="535"/>
      <c r="C6" s="535"/>
      <c r="D6" s="535"/>
      <c r="E6" s="535"/>
      <c r="F6" s="535"/>
    </row>
    <row r="7" spans="1:12" ht="18.75" customHeight="1" x14ac:dyDescent="0.3">
      <c r="A7" s="535"/>
      <c r="B7" s="535"/>
      <c r="C7" s="535"/>
      <c r="D7" s="535"/>
      <c r="E7" s="535"/>
      <c r="F7" s="535"/>
    </row>
    <row r="8" spans="1:12" ht="15" customHeight="1" x14ac:dyDescent="0.4">
      <c r="A8" s="394"/>
      <c r="B8" s="394"/>
      <c r="C8" s="394"/>
      <c r="D8" s="394"/>
      <c r="E8" s="394"/>
      <c r="F8" s="394"/>
    </row>
    <row r="9" spans="1:12" ht="108.5" x14ac:dyDescent="0.3">
      <c r="B9" s="403" t="s">
        <v>479</v>
      </c>
      <c r="C9" s="403"/>
      <c r="D9" s="403"/>
      <c r="E9" s="403"/>
      <c r="F9" s="403"/>
    </row>
    <row r="10" spans="1:12" ht="15.5" x14ac:dyDescent="0.3">
      <c r="B10" s="403"/>
      <c r="C10" s="403"/>
      <c r="D10" s="403"/>
      <c r="E10" s="403"/>
      <c r="F10" s="403"/>
    </row>
    <row r="11" spans="1:12" ht="18" customHeight="1" x14ac:dyDescent="0.3">
      <c r="A11" s="604" t="s">
        <v>480</v>
      </c>
      <c r="B11" s="604"/>
      <c r="C11" s="604"/>
      <c r="D11" s="604"/>
      <c r="E11" s="604"/>
      <c r="F11" s="604"/>
    </row>
    <row r="12" spans="1:12" ht="31" x14ac:dyDescent="0.3">
      <c r="B12" s="395" t="s">
        <v>481</v>
      </c>
      <c r="C12" s="603"/>
      <c r="D12" s="603"/>
      <c r="E12" s="603"/>
      <c r="F12" s="603"/>
    </row>
    <row r="13" spans="1:12" ht="15" customHeight="1" x14ac:dyDescent="0.3">
      <c r="A13" s="396"/>
      <c r="B13" s="396"/>
      <c r="C13" s="396"/>
      <c r="D13" s="396"/>
      <c r="E13" s="396"/>
      <c r="F13" s="396"/>
    </row>
    <row r="14" spans="1:12" ht="15" customHeight="1" x14ac:dyDescent="0.35">
      <c r="A14" s="397"/>
      <c r="B14" s="559" t="s">
        <v>482</v>
      </c>
      <c r="C14" s="397" t="s">
        <v>483</v>
      </c>
      <c r="G14" s="398"/>
      <c r="H14" s="398"/>
      <c r="I14" s="398"/>
      <c r="J14" s="398"/>
      <c r="K14" s="398"/>
      <c r="L14" s="398"/>
    </row>
    <row r="15" spans="1:12" ht="31.5" customHeight="1" x14ac:dyDescent="0.35">
      <c r="A15" s="399">
        <v>1</v>
      </c>
      <c r="B15" s="601" t="s">
        <v>484</v>
      </c>
      <c r="C15" s="400"/>
      <c r="G15" s="398"/>
      <c r="H15" s="398"/>
      <c r="I15" s="398"/>
      <c r="J15" s="398"/>
      <c r="K15" s="398"/>
      <c r="L15" s="398"/>
    </row>
    <row r="16" spans="1:12" ht="45.75" customHeight="1" x14ac:dyDescent="0.35">
      <c r="A16" s="399">
        <v>2</v>
      </c>
      <c r="B16" s="602" t="s">
        <v>485</v>
      </c>
      <c r="C16" s="400"/>
      <c r="G16" s="398"/>
      <c r="H16" s="398"/>
      <c r="I16" s="398"/>
      <c r="J16" s="398"/>
      <c r="K16" s="398"/>
      <c r="L16" s="398"/>
    </row>
    <row r="17" spans="1:12" ht="47.25" customHeight="1" x14ac:dyDescent="0.35">
      <c r="A17" s="399">
        <v>3</v>
      </c>
      <c r="B17" s="601" t="s">
        <v>486</v>
      </c>
      <c r="C17" s="400"/>
      <c r="E17" s="401"/>
      <c r="F17" s="402"/>
      <c r="G17" s="398"/>
      <c r="H17" s="398"/>
      <c r="I17" s="398"/>
      <c r="J17" s="398"/>
      <c r="K17" s="398"/>
      <c r="L17" s="398"/>
    </row>
    <row r="18" spans="1:12" ht="31.5" customHeight="1" x14ac:dyDescent="0.35">
      <c r="A18" s="399">
        <v>4</v>
      </c>
      <c r="B18" s="602" t="s">
        <v>487</v>
      </c>
      <c r="C18" s="400"/>
      <c r="E18" s="395"/>
      <c r="F18" s="395"/>
      <c r="G18" s="398"/>
      <c r="H18" s="398"/>
      <c r="I18" s="398"/>
      <c r="J18" s="398"/>
      <c r="K18" s="398"/>
      <c r="L18" s="398"/>
    </row>
    <row r="19" spans="1:12" ht="16.5" customHeight="1" x14ac:dyDescent="0.35">
      <c r="A19" s="395"/>
      <c r="B19" s="395"/>
      <c r="C19" s="395"/>
      <c r="D19" s="395"/>
      <c r="E19" s="395"/>
      <c r="F19" s="395"/>
      <c r="G19" s="398"/>
      <c r="H19" s="398"/>
      <c r="I19" s="398"/>
      <c r="J19" s="398"/>
      <c r="K19" s="398"/>
      <c r="L19" s="398"/>
    </row>
    <row r="20" spans="1:12" ht="18" customHeight="1" x14ac:dyDescent="0.3">
      <c r="A20" s="604" t="s">
        <v>488</v>
      </c>
      <c r="B20" s="604"/>
      <c r="C20" s="604"/>
      <c r="D20" s="604"/>
      <c r="E20" s="604"/>
      <c r="F20" s="604"/>
    </row>
    <row r="21" spans="1:12" s="403" customFormat="1" ht="46.5" x14ac:dyDescent="0.25">
      <c r="B21" s="403" t="s">
        <v>489</v>
      </c>
    </row>
    <row r="22" spans="1:12" s="403" customFormat="1" ht="15.75" customHeight="1" x14ac:dyDescent="0.25"/>
    <row r="23" spans="1:12" ht="10.5" customHeight="1" x14ac:dyDescent="0.35">
      <c r="G23" s="398"/>
      <c r="H23" s="398"/>
      <c r="I23" s="398"/>
      <c r="J23" s="398"/>
      <c r="K23" s="398"/>
      <c r="L23" s="398"/>
    </row>
    <row r="24" spans="1:12" ht="15.5" x14ac:dyDescent="0.35">
      <c r="B24" s="404" t="s">
        <v>490</v>
      </c>
      <c r="C24" s="404" t="str">
        <f>Defaults!M2</f>
        <v>New Service</v>
      </c>
      <c r="D24" s="404" t="str">
        <f>Defaults!M3</f>
        <v>System and Efficiency Improvements</v>
      </c>
      <c r="E24" s="404" t="str">
        <f>Defaults!M4</f>
        <v>Cleaner Vehicles/Technology/Fuels</v>
      </c>
      <c r="F24" s="404" t="str">
        <f>Defaults!M5</f>
        <v>Fuel/Energy Reduction</v>
      </c>
      <c r="G24" s="398"/>
      <c r="H24" s="398"/>
      <c r="I24" s="398"/>
      <c r="J24" s="398"/>
      <c r="K24" s="398"/>
      <c r="L24" s="398"/>
    </row>
    <row r="25" spans="1:12" ht="15.5" hidden="1" x14ac:dyDescent="0.35">
      <c r="B25" s="405" t="s">
        <v>44</v>
      </c>
      <c r="C25" s="1" t="s">
        <v>491</v>
      </c>
      <c r="D25" s="1" t="s">
        <v>491</v>
      </c>
      <c r="E25" s="1" t="s">
        <v>491</v>
      </c>
      <c r="F25" s="1" t="s">
        <v>491</v>
      </c>
      <c r="G25" s="398"/>
      <c r="H25" s="398"/>
      <c r="I25" s="398"/>
      <c r="J25" s="398"/>
      <c r="K25" s="398"/>
      <c r="L25" s="398"/>
    </row>
    <row r="26" spans="1:12" ht="15.75" hidden="1" customHeight="1" x14ac:dyDescent="0.35">
      <c r="B26" s="865" t="s">
        <v>492</v>
      </c>
      <c r="C26" s="866"/>
      <c r="D26" s="866"/>
      <c r="E26" s="866"/>
      <c r="F26" s="867"/>
      <c r="G26" s="398"/>
      <c r="H26" s="398"/>
      <c r="I26" s="398"/>
      <c r="J26" s="398"/>
      <c r="K26" s="398"/>
      <c r="L26" s="398"/>
    </row>
    <row r="27" spans="1:12" ht="15.5" hidden="1" x14ac:dyDescent="0.35">
      <c r="B27" s="405" t="s">
        <v>50</v>
      </c>
      <c r="C27" s="1" t="s">
        <v>491</v>
      </c>
      <c r="D27" s="1" t="s">
        <v>491</v>
      </c>
      <c r="E27" s="1" t="s">
        <v>491</v>
      </c>
      <c r="F27" s="1" t="s">
        <v>491</v>
      </c>
      <c r="G27" s="398"/>
      <c r="H27" s="398"/>
      <c r="I27" s="398"/>
      <c r="J27" s="398"/>
      <c r="K27" s="398"/>
      <c r="L27" s="398"/>
    </row>
    <row r="28" spans="1:12" ht="15.5" hidden="1" x14ac:dyDescent="0.35">
      <c r="B28" s="405" t="s">
        <v>493</v>
      </c>
      <c r="C28" s="1" t="s">
        <v>491</v>
      </c>
      <c r="D28" s="1" t="s">
        <v>491</v>
      </c>
      <c r="E28" s="1" t="s">
        <v>491</v>
      </c>
      <c r="F28" s="1" t="s">
        <v>491</v>
      </c>
      <c r="G28" s="398"/>
      <c r="H28" s="398"/>
      <c r="I28" s="398"/>
      <c r="J28" s="398"/>
      <c r="K28" s="398"/>
      <c r="L28" s="398"/>
    </row>
    <row r="29" spans="1:12" ht="15.5" hidden="1" x14ac:dyDescent="0.35">
      <c r="B29" s="406" t="s">
        <v>56</v>
      </c>
      <c r="C29" s="407" t="s">
        <v>58</v>
      </c>
      <c r="D29" s="407" t="s">
        <v>58</v>
      </c>
      <c r="E29" s="407" t="s">
        <v>58</v>
      </c>
      <c r="F29" s="407" t="s">
        <v>58</v>
      </c>
      <c r="G29" s="398"/>
      <c r="H29" s="398"/>
      <c r="I29" s="398"/>
      <c r="J29" s="398"/>
      <c r="K29" s="398"/>
      <c r="L29" s="398"/>
    </row>
    <row r="30" spans="1:12" ht="15.5" hidden="1" x14ac:dyDescent="0.35">
      <c r="B30" s="406" t="s">
        <v>60</v>
      </c>
      <c r="C30" s="407" t="s">
        <v>58</v>
      </c>
      <c r="D30" s="407" t="s">
        <v>58</v>
      </c>
      <c r="E30" s="407" t="s">
        <v>58</v>
      </c>
      <c r="F30" s="407" t="s">
        <v>58</v>
      </c>
      <c r="G30" s="398"/>
      <c r="H30" s="398"/>
      <c r="I30" s="398"/>
      <c r="J30" s="398"/>
      <c r="K30" s="398"/>
      <c r="L30" s="398"/>
    </row>
    <row r="31" spans="1:12" ht="15.5" hidden="1" x14ac:dyDescent="0.35">
      <c r="B31" s="406" t="s">
        <v>56</v>
      </c>
      <c r="C31" s="407" t="s">
        <v>58</v>
      </c>
      <c r="D31" s="407" t="s">
        <v>58</v>
      </c>
      <c r="E31" s="407" t="s">
        <v>58</v>
      </c>
      <c r="F31" s="407" t="s">
        <v>58</v>
      </c>
      <c r="G31" s="398"/>
      <c r="H31" s="398"/>
      <c r="I31" s="398"/>
      <c r="J31" s="398"/>
      <c r="K31" s="398"/>
      <c r="L31" s="398"/>
    </row>
    <row r="32" spans="1:12" ht="15.5" hidden="1" x14ac:dyDescent="0.35">
      <c r="B32" s="406" t="s">
        <v>60</v>
      </c>
      <c r="C32" s="407" t="s">
        <v>58</v>
      </c>
      <c r="D32" s="407" t="s">
        <v>58</v>
      </c>
      <c r="E32" s="407" t="s">
        <v>58</v>
      </c>
      <c r="F32" s="407" t="s">
        <v>58</v>
      </c>
      <c r="G32" s="398"/>
      <c r="H32" s="398"/>
      <c r="I32" s="398"/>
      <c r="J32" s="398"/>
      <c r="K32" s="398"/>
      <c r="L32" s="398"/>
    </row>
    <row r="33" spans="2:12" ht="15.75" customHeight="1" x14ac:dyDescent="0.35">
      <c r="B33" s="590" t="s">
        <v>67</v>
      </c>
      <c r="C33" s="591"/>
      <c r="D33" s="591"/>
      <c r="E33" s="591"/>
      <c r="F33" s="592"/>
      <c r="G33" s="398"/>
      <c r="H33" s="398"/>
      <c r="I33" s="398"/>
      <c r="J33" s="398"/>
      <c r="K33" s="398"/>
      <c r="L33" s="398"/>
    </row>
    <row r="34" spans="2:12" ht="15.5" x14ac:dyDescent="0.35">
      <c r="B34" s="405" t="s">
        <v>69</v>
      </c>
      <c r="C34" s="1" t="s">
        <v>491</v>
      </c>
      <c r="D34" s="1" t="s">
        <v>491</v>
      </c>
      <c r="E34" s="1" t="s">
        <v>491</v>
      </c>
      <c r="F34" s="1" t="s">
        <v>491</v>
      </c>
      <c r="G34" s="398"/>
      <c r="H34" s="398"/>
      <c r="I34" s="398"/>
      <c r="J34" s="398"/>
      <c r="K34" s="398"/>
      <c r="L34" s="398"/>
    </row>
    <row r="35" spans="2:12" ht="15.5" x14ac:dyDescent="0.35">
      <c r="B35" s="405" t="s">
        <v>74</v>
      </c>
      <c r="C35" s="1" t="s">
        <v>491</v>
      </c>
      <c r="D35" s="1" t="s">
        <v>491</v>
      </c>
      <c r="E35" s="1" t="s">
        <v>491</v>
      </c>
      <c r="F35" s="1" t="s">
        <v>491</v>
      </c>
      <c r="G35" s="398"/>
      <c r="H35" s="398"/>
      <c r="I35" s="398"/>
      <c r="J35" s="398"/>
      <c r="K35" s="398"/>
      <c r="L35" s="398"/>
    </row>
    <row r="36" spans="2:12" ht="15.5" x14ac:dyDescent="0.35">
      <c r="B36" s="406" t="s">
        <v>76</v>
      </c>
      <c r="C36" s="1" t="s">
        <v>491</v>
      </c>
      <c r="D36" s="1" t="s">
        <v>491</v>
      </c>
      <c r="E36" s="1" t="s">
        <v>491</v>
      </c>
      <c r="F36" s="1" t="s">
        <v>491</v>
      </c>
      <c r="G36" s="398"/>
      <c r="H36" s="398"/>
      <c r="I36" s="398"/>
      <c r="J36" s="398"/>
      <c r="K36" s="398"/>
      <c r="L36" s="398"/>
    </row>
    <row r="37" spans="2:12" ht="15.5" x14ac:dyDescent="0.35">
      <c r="B37" s="406" t="s">
        <v>78</v>
      </c>
      <c r="C37" s="1" t="s">
        <v>491</v>
      </c>
      <c r="D37" s="1" t="s">
        <v>491</v>
      </c>
      <c r="E37" s="1" t="s">
        <v>491</v>
      </c>
      <c r="F37" s="1" t="s">
        <v>491</v>
      </c>
      <c r="G37" s="398"/>
      <c r="H37" s="398"/>
      <c r="I37" s="398"/>
      <c r="J37" s="398"/>
      <c r="K37" s="398"/>
      <c r="L37" s="398"/>
    </row>
    <row r="38" spans="2:12" ht="15.5" x14ac:dyDescent="0.35">
      <c r="B38" s="406" t="s">
        <v>80</v>
      </c>
      <c r="C38" s="1" t="s">
        <v>491</v>
      </c>
      <c r="D38" s="1" t="s">
        <v>491</v>
      </c>
      <c r="E38" s="1" t="s">
        <v>491</v>
      </c>
      <c r="F38" s="1" t="s">
        <v>491</v>
      </c>
      <c r="G38" s="398"/>
      <c r="H38" s="398"/>
      <c r="I38" s="398"/>
      <c r="J38" s="398"/>
      <c r="K38" s="398"/>
      <c r="L38" s="398"/>
    </row>
    <row r="39" spans="2:12" ht="15.5" x14ac:dyDescent="0.35">
      <c r="B39" s="406" t="s">
        <v>82</v>
      </c>
      <c r="C39" s="1" t="s">
        <v>491</v>
      </c>
      <c r="D39" s="1" t="s">
        <v>491</v>
      </c>
      <c r="E39" s="1" t="s">
        <v>491</v>
      </c>
      <c r="F39" s="1" t="s">
        <v>491</v>
      </c>
      <c r="G39" s="398"/>
      <c r="H39" s="398"/>
      <c r="I39" s="398"/>
      <c r="J39" s="398"/>
      <c r="K39" s="398"/>
      <c r="L39" s="398"/>
    </row>
    <row r="40" spans="2:12" ht="15.5" x14ac:dyDescent="0.35">
      <c r="B40" s="406" t="s">
        <v>84</v>
      </c>
      <c r="C40" s="1" t="s">
        <v>491</v>
      </c>
      <c r="D40" s="1" t="s">
        <v>491</v>
      </c>
      <c r="E40" s="1" t="s">
        <v>491</v>
      </c>
      <c r="F40" s="1" t="s">
        <v>491</v>
      </c>
      <c r="G40" s="398"/>
      <c r="H40" s="398"/>
      <c r="I40" s="398"/>
      <c r="J40" s="398"/>
      <c r="K40" s="398"/>
      <c r="L40" s="398"/>
    </row>
    <row r="41" spans="2:12" ht="15.75" customHeight="1" x14ac:dyDescent="0.35">
      <c r="B41" s="590" t="s">
        <v>86</v>
      </c>
      <c r="C41" s="591"/>
      <c r="D41" s="591"/>
      <c r="E41" s="591"/>
      <c r="F41" s="592"/>
      <c r="H41" s="398"/>
      <c r="I41" s="398"/>
      <c r="J41" s="398"/>
      <c r="K41" s="398"/>
      <c r="L41" s="398"/>
    </row>
    <row r="42" spans="2:12" ht="15.5" x14ac:dyDescent="0.35">
      <c r="B42" s="406" t="s">
        <v>89</v>
      </c>
      <c r="C42" s="1" t="s">
        <v>491</v>
      </c>
      <c r="D42" s="1" t="s">
        <v>491</v>
      </c>
      <c r="E42" s="407"/>
      <c r="F42" s="407"/>
      <c r="G42" s="398"/>
      <c r="H42" s="398"/>
      <c r="I42" s="398"/>
      <c r="J42" s="398"/>
      <c r="K42" s="398"/>
      <c r="L42" s="398"/>
    </row>
    <row r="43" spans="2:12" ht="15.5" x14ac:dyDescent="0.35">
      <c r="B43" s="406" t="s">
        <v>91</v>
      </c>
      <c r="C43" s="1" t="s">
        <v>491</v>
      </c>
      <c r="D43" s="1" t="s">
        <v>491</v>
      </c>
      <c r="E43" s="407"/>
      <c r="F43" s="407"/>
      <c r="G43" s="398"/>
      <c r="H43" s="398"/>
      <c r="I43" s="398"/>
      <c r="J43" s="398"/>
      <c r="K43" s="398"/>
      <c r="L43" s="398"/>
    </row>
    <row r="44" spans="2:12" ht="15.5" x14ac:dyDescent="0.35">
      <c r="B44" s="406" t="s">
        <v>93</v>
      </c>
      <c r="C44" s="1" t="s">
        <v>491</v>
      </c>
      <c r="D44" s="1" t="s">
        <v>491</v>
      </c>
      <c r="E44" s="407"/>
      <c r="F44" s="407"/>
      <c r="G44" s="398"/>
      <c r="H44" s="398"/>
      <c r="I44" s="398"/>
      <c r="J44" s="398"/>
      <c r="K44" s="398"/>
      <c r="L44" s="398"/>
    </row>
    <row r="45" spans="2:12" ht="15.5" x14ac:dyDescent="0.35">
      <c r="B45" s="406" t="s">
        <v>96</v>
      </c>
      <c r="C45" s="1" t="s">
        <v>491</v>
      </c>
      <c r="D45" s="1" t="s">
        <v>491</v>
      </c>
      <c r="E45" s="407"/>
      <c r="F45" s="407"/>
      <c r="G45" s="398"/>
      <c r="H45" s="398"/>
      <c r="I45" s="398"/>
      <c r="J45" s="398"/>
      <c r="K45" s="398"/>
      <c r="L45" s="398"/>
    </row>
    <row r="46" spans="2:12" ht="15.75" customHeight="1" x14ac:dyDescent="0.35">
      <c r="B46" s="590" t="s">
        <v>494</v>
      </c>
      <c r="C46" s="591"/>
      <c r="D46" s="591"/>
      <c r="E46" s="591"/>
      <c r="F46" s="592"/>
      <c r="G46" s="398"/>
      <c r="H46" s="398"/>
      <c r="I46" s="398"/>
      <c r="J46" s="398"/>
      <c r="K46" s="398"/>
      <c r="L46" s="398"/>
    </row>
    <row r="47" spans="2:12" ht="15.5" x14ac:dyDescent="0.35">
      <c r="B47" s="406" t="s">
        <v>109</v>
      </c>
      <c r="C47" s="1" t="s">
        <v>491</v>
      </c>
      <c r="D47" s="407"/>
      <c r="E47" s="1" t="s">
        <v>491</v>
      </c>
      <c r="F47" s="407"/>
      <c r="G47" s="398"/>
      <c r="H47" s="398"/>
      <c r="I47" s="398"/>
      <c r="J47" s="398"/>
      <c r="K47" s="398"/>
      <c r="L47" s="398"/>
    </row>
    <row r="48" spans="2:12" ht="15.5" x14ac:dyDescent="0.35">
      <c r="B48" s="406" t="s">
        <v>111</v>
      </c>
      <c r="C48" s="407" t="s">
        <v>495</v>
      </c>
      <c r="D48" s="407"/>
      <c r="E48" s="407" t="s">
        <v>495</v>
      </c>
      <c r="F48" s="407"/>
      <c r="G48" s="398"/>
      <c r="H48" s="398"/>
      <c r="I48" s="398"/>
      <c r="J48" s="398"/>
      <c r="K48" s="398"/>
      <c r="L48" s="398"/>
    </row>
    <row r="49" spans="2:12" ht="15.5" x14ac:dyDescent="0.35">
      <c r="B49" s="406" t="s">
        <v>113</v>
      </c>
      <c r="C49" s="407" t="s">
        <v>495</v>
      </c>
      <c r="D49" s="407"/>
      <c r="E49" s="407" t="s">
        <v>495</v>
      </c>
      <c r="F49" s="407"/>
      <c r="G49" s="398"/>
      <c r="H49" s="398"/>
      <c r="I49" s="398"/>
      <c r="J49" s="398"/>
      <c r="K49" s="398"/>
      <c r="L49" s="398"/>
    </row>
    <row r="50" spans="2:12" ht="15.5" x14ac:dyDescent="0.35">
      <c r="B50" s="406" t="s">
        <v>117</v>
      </c>
      <c r="C50" s="1" t="s">
        <v>491</v>
      </c>
      <c r="D50" s="407"/>
      <c r="E50" s="1" t="s">
        <v>491</v>
      </c>
      <c r="F50" s="407"/>
      <c r="G50" s="398"/>
      <c r="H50" s="398"/>
      <c r="I50" s="398"/>
      <c r="J50" s="398"/>
      <c r="K50" s="398"/>
      <c r="L50" s="398"/>
    </row>
    <row r="51" spans="2:12" ht="15.5" x14ac:dyDescent="0.35">
      <c r="B51" s="406" t="s">
        <v>115</v>
      </c>
      <c r="C51" s="1" t="s">
        <v>491</v>
      </c>
      <c r="D51" s="407"/>
      <c r="E51" s="1" t="s">
        <v>491</v>
      </c>
      <c r="F51" s="407"/>
      <c r="G51" s="398"/>
      <c r="H51" s="398"/>
      <c r="I51" s="398"/>
      <c r="J51" s="398"/>
      <c r="K51" s="398"/>
      <c r="L51" s="398"/>
    </row>
    <row r="52" spans="2:12" ht="15.5" x14ac:dyDescent="0.35">
      <c r="B52" s="406" t="s">
        <v>119</v>
      </c>
      <c r="C52" s="407" t="s">
        <v>495</v>
      </c>
      <c r="D52" s="408"/>
      <c r="E52" s="407" t="s">
        <v>495</v>
      </c>
      <c r="F52" s="407"/>
      <c r="G52" s="398"/>
      <c r="H52" s="398"/>
      <c r="I52" s="398"/>
      <c r="J52" s="398"/>
      <c r="K52" s="398"/>
      <c r="L52" s="398"/>
    </row>
    <row r="53" spans="2:12" ht="15.5" x14ac:dyDescent="0.35">
      <c r="B53" s="406" t="s">
        <v>121</v>
      </c>
      <c r="C53" s="407" t="s">
        <v>58</v>
      </c>
      <c r="D53" s="408"/>
      <c r="E53" s="407" t="s">
        <v>58</v>
      </c>
      <c r="F53" s="407"/>
      <c r="G53" s="398"/>
      <c r="H53" s="398"/>
      <c r="I53" s="398"/>
      <c r="J53" s="398"/>
      <c r="K53" s="398"/>
      <c r="L53" s="398"/>
    </row>
    <row r="54" spans="2:12" ht="15.5" x14ac:dyDescent="0.35">
      <c r="B54" s="406" t="s">
        <v>124</v>
      </c>
      <c r="C54" s="407" t="s">
        <v>495</v>
      </c>
      <c r="D54" s="408"/>
      <c r="E54" s="407" t="s">
        <v>495</v>
      </c>
      <c r="F54" s="407"/>
      <c r="G54" s="398"/>
      <c r="H54" s="398"/>
      <c r="I54" s="398"/>
      <c r="J54" s="398"/>
      <c r="K54" s="398"/>
      <c r="L54" s="398"/>
    </row>
    <row r="55" spans="2:12" ht="15.5" x14ac:dyDescent="0.35">
      <c r="B55" s="406" t="s">
        <v>496</v>
      </c>
      <c r="C55" s="407" t="s">
        <v>495</v>
      </c>
      <c r="D55" s="408"/>
      <c r="E55" s="407" t="s">
        <v>495</v>
      </c>
      <c r="F55" s="407"/>
      <c r="G55" s="398"/>
      <c r="H55" s="398"/>
      <c r="I55" s="398"/>
      <c r="J55" s="398"/>
      <c r="K55" s="398"/>
      <c r="L55" s="398"/>
    </row>
    <row r="56" spans="2:12" ht="15.75" customHeight="1" x14ac:dyDescent="0.35">
      <c r="B56" s="590" t="s">
        <v>497</v>
      </c>
      <c r="C56" s="591"/>
      <c r="D56" s="591"/>
      <c r="E56" s="591"/>
      <c r="F56" s="592"/>
      <c r="G56" s="398"/>
      <c r="H56" s="398"/>
      <c r="I56" s="398"/>
      <c r="J56" s="398"/>
      <c r="K56" s="398"/>
      <c r="L56" s="398"/>
    </row>
    <row r="57" spans="2:12" ht="15.5" x14ac:dyDescent="0.35">
      <c r="B57" s="406" t="s">
        <v>109</v>
      </c>
      <c r="C57" s="407" t="s">
        <v>58</v>
      </c>
      <c r="D57" s="407"/>
      <c r="E57" s="1" t="s">
        <v>491</v>
      </c>
      <c r="F57" s="407"/>
      <c r="G57" s="398"/>
      <c r="H57" s="398"/>
      <c r="I57" s="398"/>
      <c r="J57" s="398"/>
      <c r="K57" s="398"/>
      <c r="L57" s="398"/>
    </row>
    <row r="58" spans="2:12" ht="15.5" x14ac:dyDescent="0.35">
      <c r="B58" s="406" t="s">
        <v>111</v>
      </c>
      <c r="C58" s="407" t="s">
        <v>58</v>
      </c>
      <c r="D58" s="407"/>
      <c r="E58" s="407" t="s">
        <v>495</v>
      </c>
      <c r="F58" s="407"/>
      <c r="G58" s="398"/>
      <c r="H58" s="398"/>
      <c r="I58" s="398"/>
      <c r="J58" s="398"/>
      <c r="K58" s="398"/>
      <c r="L58" s="398"/>
    </row>
    <row r="59" spans="2:12" ht="15.5" x14ac:dyDescent="0.35">
      <c r="B59" s="406" t="s">
        <v>113</v>
      </c>
      <c r="C59" s="407" t="s">
        <v>58</v>
      </c>
      <c r="D59" s="407"/>
      <c r="E59" s="407" t="s">
        <v>495</v>
      </c>
      <c r="F59" s="407"/>
      <c r="G59" s="398"/>
      <c r="H59" s="398"/>
      <c r="I59" s="398"/>
      <c r="J59" s="398"/>
      <c r="K59" s="398"/>
      <c r="L59" s="398"/>
    </row>
    <row r="60" spans="2:12" ht="15.5" x14ac:dyDescent="0.35">
      <c r="B60" s="406" t="s">
        <v>115</v>
      </c>
      <c r="C60" s="407" t="s">
        <v>58</v>
      </c>
      <c r="D60" s="407"/>
      <c r="E60" s="1" t="s">
        <v>491</v>
      </c>
      <c r="F60" s="407"/>
      <c r="G60" s="398"/>
      <c r="H60" s="398"/>
      <c r="I60" s="398"/>
      <c r="J60" s="398"/>
      <c r="K60" s="398"/>
      <c r="L60" s="398"/>
    </row>
    <row r="61" spans="2:12" ht="15.5" x14ac:dyDescent="0.35">
      <c r="B61" s="406" t="s">
        <v>119</v>
      </c>
      <c r="C61" s="407" t="s">
        <v>58</v>
      </c>
      <c r="D61" s="407"/>
      <c r="E61" s="407" t="s">
        <v>495</v>
      </c>
      <c r="F61" s="407"/>
      <c r="G61" s="398"/>
      <c r="H61" s="398"/>
      <c r="I61" s="398"/>
      <c r="J61" s="398"/>
      <c r="K61" s="398"/>
      <c r="L61" s="398"/>
    </row>
    <row r="62" spans="2:12" ht="15.5" x14ac:dyDescent="0.35">
      <c r="B62" s="406" t="s">
        <v>124</v>
      </c>
      <c r="C62" s="407" t="s">
        <v>58</v>
      </c>
      <c r="D62" s="407"/>
      <c r="E62" s="407" t="s">
        <v>495</v>
      </c>
      <c r="F62" s="407"/>
      <c r="G62" s="398"/>
      <c r="H62" s="398"/>
      <c r="I62" s="398"/>
      <c r="J62" s="398"/>
      <c r="K62" s="398"/>
      <c r="L62" s="398"/>
    </row>
    <row r="63" spans="2:12" ht="15.5" x14ac:dyDescent="0.35">
      <c r="B63" s="406" t="s">
        <v>496</v>
      </c>
      <c r="C63" s="407" t="s">
        <v>58</v>
      </c>
      <c r="D63" s="407"/>
      <c r="E63" s="407" t="s">
        <v>495</v>
      </c>
      <c r="F63" s="407"/>
      <c r="G63" s="398"/>
      <c r="H63" s="398"/>
      <c r="I63" s="398"/>
      <c r="J63" s="398"/>
      <c r="K63" s="398"/>
      <c r="L63" s="398"/>
    </row>
    <row r="64" spans="2:12" ht="15.75" customHeight="1" x14ac:dyDescent="0.35">
      <c r="B64" s="590" t="s">
        <v>498</v>
      </c>
      <c r="C64" s="591"/>
      <c r="D64" s="591"/>
      <c r="E64" s="591"/>
      <c r="F64" s="592"/>
      <c r="G64" s="398"/>
      <c r="H64" s="398"/>
      <c r="I64" s="398"/>
      <c r="J64" s="398"/>
      <c r="K64" s="398"/>
      <c r="L64" s="398"/>
    </row>
    <row r="65" spans="2:12" ht="15.5" x14ac:dyDescent="0.35">
      <c r="B65" s="406" t="s">
        <v>109</v>
      </c>
      <c r="C65" s="407" t="s">
        <v>58</v>
      </c>
      <c r="D65" s="407" t="s">
        <v>58</v>
      </c>
      <c r="E65" s="407" t="s">
        <v>58</v>
      </c>
      <c r="F65" s="1" t="s">
        <v>491</v>
      </c>
      <c r="G65" s="398"/>
      <c r="H65" s="398"/>
      <c r="I65" s="398"/>
      <c r="J65" s="398"/>
      <c r="K65" s="398"/>
      <c r="L65" s="398"/>
    </row>
    <row r="66" spans="2:12" ht="15.5" x14ac:dyDescent="0.35">
      <c r="B66" s="406" t="s">
        <v>111</v>
      </c>
      <c r="C66" s="407" t="s">
        <v>58</v>
      </c>
      <c r="D66" s="407" t="s">
        <v>58</v>
      </c>
      <c r="E66" s="407" t="s">
        <v>58</v>
      </c>
      <c r="F66" s="407" t="s">
        <v>495</v>
      </c>
      <c r="G66" s="398"/>
      <c r="H66" s="398"/>
      <c r="I66" s="398"/>
      <c r="J66" s="398"/>
      <c r="K66" s="398"/>
      <c r="L66" s="398"/>
    </row>
    <row r="67" spans="2:12" ht="15.5" x14ac:dyDescent="0.35">
      <c r="B67" s="406" t="s">
        <v>113</v>
      </c>
      <c r="C67" s="407" t="s">
        <v>58</v>
      </c>
      <c r="D67" s="407" t="s">
        <v>58</v>
      </c>
      <c r="E67" s="407" t="s">
        <v>58</v>
      </c>
      <c r="F67" s="407" t="s">
        <v>495</v>
      </c>
      <c r="G67" s="398"/>
      <c r="H67" s="398"/>
      <c r="I67" s="398"/>
      <c r="J67" s="398"/>
      <c r="K67" s="398"/>
      <c r="L67" s="398"/>
    </row>
    <row r="68" spans="2:12" ht="15.5" x14ac:dyDescent="0.35">
      <c r="B68" s="406" t="s">
        <v>115</v>
      </c>
      <c r="C68" s="407" t="s">
        <v>58</v>
      </c>
      <c r="D68" s="407" t="s">
        <v>58</v>
      </c>
      <c r="E68" s="407" t="s">
        <v>58</v>
      </c>
      <c r="F68" s="1" t="s">
        <v>491</v>
      </c>
      <c r="G68" s="398"/>
      <c r="H68" s="398"/>
      <c r="I68" s="398"/>
      <c r="J68" s="398"/>
      <c r="K68" s="398"/>
      <c r="L68" s="398"/>
    </row>
    <row r="69" spans="2:12" ht="15.5" x14ac:dyDescent="0.35">
      <c r="B69" s="406" t="s">
        <v>119</v>
      </c>
      <c r="C69" s="407" t="s">
        <v>58</v>
      </c>
      <c r="D69" s="407" t="s">
        <v>58</v>
      </c>
      <c r="E69" s="407" t="s">
        <v>58</v>
      </c>
      <c r="F69" s="407" t="s">
        <v>495</v>
      </c>
      <c r="G69" s="398"/>
      <c r="H69" s="398"/>
      <c r="I69" s="398"/>
      <c r="J69" s="398"/>
      <c r="K69" s="398"/>
      <c r="L69" s="398"/>
    </row>
    <row r="70" spans="2:12" ht="15.5" x14ac:dyDescent="0.35">
      <c r="B70" s="406" t="s">
        <v>496</v>
      </c>
      <c r="C70" s="407" t="s">
        <v>58</v>
      </c>
      <c r="D70" s="407" t="s">
        <v>58</v>
      </c>
      <c r="E70" s="407" t="s">
        <v>58</v>
      </c>
      <c r="F70" s="1" t="s">
        <v>491</v>
      </c>
      <c r="G70" s="398"/>
      <c r="H70" s="398"/>
      <c r="I70" s="398"/>
      <c r="J70" s="398"/>
      <c r="K70" s="398"/>
      <c r="L70" s="398"/>
    </row>
    <row r="71" spans="2:12" ht="15.75" customHeight="1" x14ac:dyDescent="0.35">
      <c r="B71" s="590" t="s">
        <v>499</v>
      </c>
      <c r="C71" s="591"/>
      <c r="D71" s="591"/>
      <c r="E71" s="591"/>
      <c r="F71" s="592"/>
      <c r="G71" s="398"/>
      <c r="H71" s="398"/>
      <c r="I71" s="398"/>
      <c r="J71" s="398"/>
      <c r="K71" s="398"/>
      <c r="L71" s="398"/>
    </row>
    <row r="72" spans="2:12" ht="15.5" x14ac:dyDescent="0.35">
      <c r="B72" s="406" t="s">
        <v>500</v>
      </c>
      <c r="C72" s="407"/>
      <c r="D72" s="407" t="s">
        <v>58</v>
      </c>
      <c r="E72" s="407"/>
      <c r="F72" s="407"/>
      <c r="G72" s="398"/>
      <c r="H72" s="398"/>
      <c r="I72" s="398"/>
      <c r="J72" s="398"/>
      <c r="K72" s="398"/>
      <c r="L72" s="398"/>
    </row>
    <row r="73" spans="2:12" ht="15.5" x14ac:dyDescent="0.35">
      <c r="B73" s="406" t="s">
        <v>501</v>
      </c>
      <c r="C73" s="407" t="s">
        <v>58</v>
      </c>
      <c r="D73" s="407" t="s">
        <v>58</v>
      </c>
      <c r="E73" s="407"/>
      <c r="F73" s="407"/>
      <c r="G73" s="398"/>
      <c r="H73" s="398"/>
      <c r="I73" s="398"/>
      <c r="J73" s="398"/>
      <c r="K73" s="398"/>
      <c r="L73" s="398"/>
    </row>
    <row r="74" spans="2:12" ht="15.5" x14ac:dyDescent="0.35">
      <c r="B74" s="406" t="s">
        <v>502</v>
      </c>
      <c r="C74" s="407" t="s">
        <v>58</v>
      </c>
      <c r="D74" s="407" t="s">
        <v>58</v>
      </c>
      <c r="E74" s="407"/>
      <c r="F74" s="407"/>
      <c r="G74" s="398"/>
      <c r="H74" s="398"/>
      <c r="I74" s="398"/>
      <c r="J74" s="398"/>
      <c r="K74" s="398"/>
      <c r="L74" s="398"/>
    </row>
    <row r="75" spans="2:12" ht="15.5" x14ac:dyDescent="0.35">
      <c r="B75" s="406" t="s">
        <v>503</v>
      </c>
      <c r="C75" s="407" t="s">
        <v>58</v>
      </c>
      <c r="D75" s="407" t="s">
        <v>58</v>
      </c>
      <c r="E75" s="407"/>
      <c r="F75" s="407"/>
      <c r="G75" s="398"/>
      <c r="H75" s="398"/>
      <c r="I75" s="398"/>
      <c r="J75" s="398"/>
      <c r="K75" s="398"/>
      <c r="L75" s="398"/>
    </row>
    <row r="76" spans="2:12" ht="15.5" x14ac:dyDescent="0.35">
      <c r="B76" s="406" t="s">
        <v>504</v>
      </c>
      <c r="C76" s="407" t="s">
        <v>58</v>
      </c>
      <c r="D76" s="407" t="s">
        <v>58</v>
      </c>
      <c r="E76" s="407"/>
      <c r="F76" s="407"/>
      <c r="G76" s="398"/>
      <c r="H76" s="398"/>
      <c r="I76" s="398"/>
      <c r="J76" s="398"/>
      <c r="K76" s="398"/>
      <c r="L76" s="398"/>
    </row>
    <row r="77" spans="2:12" ht="15.5" x14ac:dyDescent="0.35">
      <c r="B77" s="117"/>
      <c r="C77" s="117"/>
      <c r="D77" s="117"/>
      <c r="E77" s="117"/>
      <c r="F77" s="117"/>
      <c r="G77" s="398"/>
      <c r="H77" s="398"/>
      <c r="I77" s="398"/>
      <c r="J77" s="398"/>
      <c r="K77" s="398"/>
      <c r="L77" s="398"/>
    </row>
    <row r="78" spans="2:12" ht="15.5" x14ac:dyDescent="0.35">
      <c r="B78" s="593" t="s">
        <v>505</v>
      </c>
      <c r="C78" s="597" t="s">
        <v>41</v>
      </c>
      <c r="D78" s="598"/>
      <c r="E78" s="409"/>
      <c r="F78" s="409"/>
      <c r="G78" s="398"/>
      <c r="H78" s="398"/>
      <c r="I78" s="398"/>
      <c r="J78" s="398"/>
      <c r="K78" s="398"/>
      <c r="L78" s="398"/>
    </row>
    <row r="79" spans="2:12" ht="15.5" x14ac:dyDescent="0.35">
      <c r="B79" s="594" t="s">
        <v>491</v>
      </c>
      <c r="C79" s="599" t="s">
        <v>506</v>
      </c>
      <c r="D79" s="600"/>
      <c r="E79" s="410"/>
      <c r="F79" s="410"/>
      <c r="G79" s="398"/>
      <c r="H79" s="398"/>
      <c r="I79" s="398"/>
      <c r="J79" s="398"/>
      <c r="K79" s="398"/>
      <c r="L79" s="398"/>
    </row>
    <row r="80" spans="2:12" ht="15.5" x14ac:dyDescent="0.35">
      <c r="B80" s="595" t="s">
        <v>495</v>
      </c>
      <c r="C80" s="599" t="s">
        <v>507</v>
      </c>
      <c r="D80" s="596"/>
      <c r="E80" s="410"/>
      <c r="F80" s="410"/>
      <c r="G80" s="398"/>
      <c r="H80" s="398"/>
      <c r="I80" s="398"/>
      <c r="J80" s="398"/>
      <c r="K80" s="398"/>
      <c r="L80" s="398"/>
    </row>
    <row r="81" spans="2:12" ht="16.5" customHeight="1" x14ac:dyDescent="0.35">
      <c r="B81" s="595" t="s">
        <v>58</v>
      </c>
      <c r="C81" s="599" t="s">
        <v>508</v>
      </c>
      <c r="D81" s="596"/>
      <c r="E81" s="410"/>
      <c r="F81" s="410"/>
      <c r="G81" s="398"/>
      <c r="H81" s="398"/>
      <c r="I81" s="398"/>
      <c r="J81" s="398"/>
      <c r="K81" s="398"/>
      <c r="L81" s="398"/>
    </row>
    <row r="82" spans="2:12" ht="15.75" customHeight="1" x14ac:dyDescent="0.35">
      <c r="B82" s="595" t="s">
        <v>509</v>
      </c>
      <c r="C82" s="599" t="s">
        <v>510</v>
      </c>
      <c r="D82" s="596"/>
      <c r="E82" s="410"/>
      <c r="F82" s="410"/>
      <c r="G82" s="398"/>
      <c r="H82" s="398"/>
      <c r="I82" s="398"/>
      <c r="J82" s="398"/>
      <c r="K82" s="398"/>
      <c r="L82" s="398"/>
    </row>
    <row r="83" spans="2:12" ht="15.5" x14ac:dyDescent="0.35">
      <c r="G83" s="398"/>
      <c r="H83" s="398"/>
      <c r="I83" s="398"/>
      <c r="J83" s="398"/>
      <c r="K83" s="398"/>
      <c r="L83" s="398"/>
    </row>
    <row r="84" spans="2:12" ht="15.5" x14ac:dyDescent="0.35">
      <c r="G84" s="398"/>
      <c r="H84" s="398"/>
      <c r="I84" s="398"/>
      <c r="J84" s="398"/>
      <c r="K84" s="398"/>
      <c r="L84" s="398"/>
    </row>
    <row r="85" spans="2:12" ht="15.5" x14ac:dyDescent="0.35">
      <c r="G85" s="398"/>
      <c r="H85" s="398"/>
      <c r="I85" s="398"/>
      <c r="J85" s="398"/>
      <c r="K85" s="398"/>
      <c r="L85" s="398"/>
    </row>
    <row r="86" spans="2:12" ht="15.5" x14ac:dyDescent="0.35">
      <c r="G86" s="398"/>
      <c r="H86" s="398"/>
      <c r="I86" s="398"/>
      <c r="J86" s="398"/>
      <c r="K86" s="398"/>
      <c r="L86" s="398"/>
    </row>
    <row r="87" spans="2:12" ht="15.5" x14ac:dyDescent="0.35">
      <c r="G87" s="398"/>
      <c r="H87" s="398"/>
      <c r="I87" s="398"/>
      <c r="J87" s="398"/>
      <c r="K87" s="398"/>
      <c r="L87" s="398"/>
    </row>
    <row r="88" spans="2:12" ht="15.5" x14ac:dyDescent="0.35">
      <c r="G88" s="398"/>
      <c r="H88" s="398"/>
      <c r="I88" s="398"/>
      <c r="J88" s="398"/>
      <c r="K88" s="398"/>
      <c r="L88" s="398"/>
    </row>
    <row r="89" spans="2:12" ht="15.5" x14ac:dyDescent="0.35">
      <c r="G89" s="398"/>
      <c r="H89" s="398"/>
      <c r="I89" s="398"/>
      <c r="J89" s="398"/>
      <c r="K89" s="398"/>
      <c r="L89" s="398"/>
    </row>
    <row r="90" spans="2:12" ht="15.5" x14ac:dyDescent="0.35">
      <c r="G90" s="398"/>
      <c r="H90" s="398"/>
      <c r="I90" s="398"/>
      <c r="J90" s="398"/>
      <c r="K90" s="398"/>
      <c r="L90" s="398"/>
    </row>
    <row r="91" spans="2:12" ht="15.5" x14ac:dyDescent="0.35">
      <c r="G91" s="398"/>
      <c r="H91" s="398"/>
      <c r="I91" s="398"/>
      <c r="J91" s="398"/>
      <c r="K91" s="398"/>
      <c r="L91" s="398"/>
    </row>
    <row r="92" spans="2:12" ht="15.5" x14ac:dyDescent="0.35">
      <c r="G92" s="398"/>
      <c r="H92" s="398"/>
      <c r="I92" s="398"/>
      <c r="J92" s="398"/>
      <c r="K92" s="398"/>
      <c r="L92" s="398"/>
    </row>
    <row r="93" spans="2:12" ht="15.5" x14ac:dyDescent="0.35">
      <c r="G93" s="398"/>
      <c r="H93" s="398"/>
      <c r="I93" s="398"/>
      <c r="J93" s="398"/>
      <c r="K93" s="398"/>
      <c r="L93" s="398"/>
    </row>
    <row r="94" spans="2:12" ht="15.5" x14ac:dyDescent="0.35">
      <c r="G94" s="398"/>
      <c r="H94" s="398"/>
      <c r="I94" s="398"/>
      <c r="J94" s="398"/>
      <c r="K94" s="398"/>
      <c r="L94" s="398"/>
    </row>
    <row r="95" spans="2:12" ht="15.5" x14ac:dyDescent="0.35">
      <c r="G95" s="398"/>
      <c r="H95" s="398"/>
      <c r="I95" s="398"/>
      <c r="J95" s="398"/>
      <c r="K95" s="398"/>
      <c r="L95" s="398"/>
    </row>
    <row r="96" spans="2:12" ht="15.5" x14ac:dyDescent="0.35">
      <c r="G96" s="398"/>
      <c r="H96" s="398"/>
      <c r="I96" s="398"/>
      <c r="J96" s="398"/>
      <c r="K96" s="398"/>
      <c r="L96" s="398"/>
    </row>
    <row r="97" spans="7:12" ht="15.5" x14ac:dyDescent="0.35">
      <c r="G97" s="398"/>
      <c r="H97" s="398"/>
      <c r="I97" s="398"/>
      <c r="J97" s="398"/>
      <c r="K97" s="398"/>
      <c r="L97" s="398"/>
    </row>
    <row r="98" spans="7:12" ht="15.5" x14ac:dyDescent="0.35">
      <c r="G98" s="398"/>
      <c r="H98" s="398"/>
      <c r="I98" s="398"/>
      <c r="J98" s="398"/>
      <c r="K98" s="398"/>
      <c r="L98" s="398"/>
    </row>
    <row r="99" spans="7:12" ht="15.5" x14ac:dyDescent="0.35">
      <c r="G99" s="398"/>
      <c r="H99" s="398"/>
      <c r="I99" s="398"/>
      <c r="J99" s="398"/>
      <c r="K99" s="398"/>
      <c r="L99" s="398"/>
    </row>
    <row r="100" spans="7:12" ht="15.5" x14ac:dyDescent="0.35">
      <c r="G100" s="398"/>
      <c r="H100" s="398"/>
      <c r="I100" s="398"/>
      <c r="J100" s="398"/>
      <c r="K100" s="398"/>
      <c r="L100" s="398"/>
    </row>
    <row r="101" spans="7:12" ht="15.5" x14ac:dyDescent="0.35">
      <c r="G101" s="398"/>
      <c r="H101" s="398"/>
      <c r="I101" s="398"/>
      <c r="J101" s="398"/>
      <c r="K101" s="398"/>
      <c r="L101" s="398"/>
    </row>
    <row r="102" spans="7:12" ht="15.5" x14ac:dyDescent="0.35">
      <c r="G102" s="398"/>
      <c r="H102" s="398"/>
      <c r="I102" s="398"/>
      <c r="J102" s="398"/>
      <c r="K102" s="398"/>
      <c r="L102" s="398"/>
    </row>
    <row r="103" spans="7:12" ht="15.5" x14ac:dyDescent="0.35">
      <c r="G103" s="398"/>
      <c r="H103" s="398"/>
      <c r="I103" s="398"/>
      <c r="J103" s="398"/>
      <c r="K103" s="398"/>
      <c r="L103" s="398"/>
    </row>
    <row r="104" spans="7:12" ht="15.5" x14ac:dyDescent="0.35">
      <c r="G104" s="398"/>
      <c r="H104" s="398"/>
      <c r="I104" s="398"/>
      <c r="J104" s="398"/>
      <c r="K104" s="398"/>
      <c r="L104" s="398"/>
    </row>
    <row r="105" spans="7:12" ht="15.5" x14ac:dyDescent="0.35">
      <c r="G105" s="398"/>
      <c r="H105" s="398"/>
      <c r="I105" s="398"/>
      <c r="J105" s="398"/>
      <c r="K105" s="398"/>
      <c r="L105" s="398"/>
    </row>
    <row r="106" spans="7:12" ht="15.5" x14ac:dyDescent="0.35">
      <c r="G106" s="398"/>
      <c r="H106" s="398"/>
      <c r="I106" s="398"/>
      <c r="J106" s="398"/>
      <c r="K106" s="398"/>
      <c r="L106" s="398"/>
    </row>
    <row r="107" spans="7:12" ht="15.5" x14ac:dyDescent="0.35">
      <c r="G107" s="398"/>
      <c r="H107" s="398"/>
      <c r="I107" s="398"/>
      <c r="J107" s="398"/>
      <c r="K107" s="398"/>
      <c r="L107" s="398"/>
    </row>
    <row r="108" spans="7:12" ht="15.5" x14ac:dyDescent="0.35">
      <c r="G108" s="398"/>
      <c r="H108" s="398"/>
      <c r="I108" s="398"/>
      <c r="J108" s="398"/>
      <c r="K108" s="398"/>
      <c r="L108" s="398"/>
    </row>
    <row r="109" spans="7:12" ht="15.5" x14ac:dyDescent="0.35">
      <c r="G109" s="398"/>
      <c r="H109" s="398"/>
      <c r="I109" s="398"/>
      <c r="J109" s="398"/>
      <c r="K109" s="398"/>
      <c r="L109" s="398"/>
    </row>
    <row r="110" spans="7:12" ht="15.5" x14ac:dyDescent="0.35">
      <c r="G110" s="398"/>
      <c r="H110" s="398"/>
      <c r="I110" s="398"/>
      <c r="J110" s="398"/>
      <c r="K110" s="398"/>
      <c r="L110" s="398"/>
    </row>
  </sheetData>
  <pageMargins left="0.7" right="0.7" top="0.75" bottom="0.75" header="0.3" footer="0.3"/>
  <pageSetup scale="47" fitToHeight="0" orientation="landscape" r:id="rId1"/>
  <headerFooter>
    <oddFooter>&amp;L&amp;"Avenir LT Std 55 Roman,Regular"&amp;12January 9, 2023&amp;C&amp;"Avenir LT Std 55 Roman,Regular"&amp;12&amp;P of &amp;N&amp;R&amp;"Avenir LT Std 55 Roman,Regular"&amp;12&amp;A</oddFooter>
  </headerFooter>
  <rowBreaks count="2" manualBreakCount="2">
    <brk id="19" max="6" man="1"/>
    <brk id="76"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Defaults!$G$13:$G$14</xm:f>
          </x14:formula1>
          <xm:sqref>C15:C18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theme="1" tint="0.34998626667073579"/>
  </sheetPr>
  <dimension ref="A1:CL36"/>
  <sheetViews>
    <sheetView showGridLines="0" zoomScaleNormal="100" zoomScalePageLayoutView="70" workbookViewId="0">
      <selection activeCell="E12" sqref="E12"/>
    </sheetView>
  </sheetViews>
  <sheetFormatPr defaultColWidth="9.08984375" defaultRowHeight="13" x14ac:dyDescent="0.3"/>
  <cols>
    <col min="1" max="2" width="16.453125" style="261" customWidth="1"/>
    <col min="3" max="4" width="17.453125" style="261" customWidth="1"/>
    <col min="5" max="5" width="30" style="261" bestFit="1" customWidth="1"/>
    <col min="6" max="6" width="45" style="261" customWidth="1"/>
    <col min="7" max="7" width="28.453125" style="261" customWidth="1"/>
    <col min="8" max="9" width="13.453125" style="261" bestFit="1" customWidth="1"/>
    <col min="10" max="10" width="21.453125" style="261" bestFit="1" customWidth="1"/>
    <col min="11" max="11" width="34.08984375" style="261" customWidth="1"/>
    <col min="12" max="12" width="31.453125" style="261" customWidth="1"/>
    <col min="13" max="14" width="16.453125" style="261" customWidth="1"/>
    <col min="15" max="15" width="14.90625" style="261" customWidth="1"/>
    <col min="16" max="16" width="17.453125" style="261" customWidth="1"/>
    <col min="17" max="17" width="16" style="261" customWidth="1"/>
    <col min="18" max="18" width="14.90625" style="261" customWidth="1"/>
    <col min="19" max="19" width="14.90625" style="261" hidden="1" customWidth="1"/>
    <col min="20" max="20" width="14.90625" style="261" customWidth="1"/>
    <col min="21" max="27" width="23.453125" style="261" customWidth="1"/>
    <col min="28" max="29" width="26.453125" style="261" customWidth="1"/>
    <col min="30" max="30" width="30.453125" style="261" customWidth="1"/>
    <col min="31" max="32" width="24.453125" style="261" customWidth="1"/>
    <col min="33" max="33" width="10.453125" style="261" customWidth="1"/>
    <col min="34" max="34" width="14" style="261" bestFit="1" customWidth="1"/>
    <col min="35" max="35" width="13.453125" style="261" customWidth="1"/>
    <col min="36" max="38" width="16.453125" style="261" customWidth="1"/>
    <col min="39" max="44" width="14.453125" style="261" customWidth="1"/>
    <col min="45" max="45" width="16.453125" style="261" customWidth="1"/>
    <col min="46" max="47" width="14.453125" style="261" customWidth="1"/>
    <col min="48" max="48" width="11.453125" style="261" customWidth="1"/>
    <col min="49" max="49" width="10.90625" style="261" customWidth="1"/>
    <col min="50" max="50" width="11.453125" style="261" customWidth="1"/>
    <col min="51" max="51" width="19.08984375" style="261" customWidth="1"/>
    <col min="52" max="52" width="17" style="261" customWidth="1"/>
    <col min="53" max="53" width="17.90625" style="261" customWidth="1"/>
    <col min="54" max="55" width="28.08984375" style="392" customWidth="1"/>
    <col min="56" max="56" width="36.453125" style="261" customWidth="1"/>
    <col min="57" max="58" width="25" style="261" customWidth="1"/>
    <col min="59" max="60" width="14.453125" style="261" customWidth="1"/>
    <col min="61" max="63" width="18.90625" style="261" customWidth="1"/>
    <col min="64" max="70" width="14.453125" style="261" customWidth="1"/>
    <col min="71" max="71" width="17" style="261" customWidth="1"/>
    <col min="72" max="75" width="14.453125" style="261" customWidth="1"/>
    <col min="76" max="76" width="17" style="261" customWidth="1"/>
    <col min="77" max="77" width="16.90625" style="261" customWidth="1"/>
    <col min="78" max="78" width="16.453125" style="261" bestFit="1" customWidth="1"/>
    <col min="79" max="79" width="20.453125" style="261" customWidth="1"/>
    <col min="80" max="85" width="14.453125" style="261" customWidth="1"/>
    <col min="86" max="86" width="16.08984375" style="261" customWidth="1"/>
    <col min="87" max="87" width="16.453125" style="261" customWidth="1"/>
    <col min="88" max="88" width="14.453125" style="261" customWidth="1"/>
    <col min="89" max="89" width="24.90625" style="261" customWidth="1"/>
    <col min="90" max="90" width="23" style="261" bestFit="1" customWidth="1"/>
    <col min="91" max="16384" width="9.08984375" style="261"/>
  </cols>
  <sheetData>
    <row r="1" spans="1:90" s="117" customFormat="1" ht="20.5" x14ac:dyDescent="0.35">
      <c r="A1" s="168"/>
      <c r="B1" s="168"/>
      <c r="C1" s="168"/>
      <c r="D1" s="168"/>
      <c r="E1" s="168"/>
      <c r="F1" s="168"/>
      <c r="G1" s="168"/>
      <c r="H1" s="168"/>
      <c r="I1" s="168"/>
      <c r="J1" s="168"/>
      <c r="K1" s="168"/>
      <c r="L1" s="168"/>
      <c r="M1" s="168"/>
      <c r="AM1" s="137"/>
    </row>
    <row r="2" spans="1:90" s="117" customFormat="1" ht="15.5" x14ac:dyDescent="0.35">
      <c r="A2" s="261"/>
      <c r="B2" s="261"/>
      <c r="C2" s="261"/>
      <c r="D2" s="261"/>
      <c r="E2" s="261"/>
      <c r="F2" s="261"/>
      <c r="G2" s="261"/>
      <c r="H2" s="261"/>
      <c r="AI2" s="375"/>
      <c r="CK2" s="261"/>
    </row>
    <row r="3" spans="1:90" s="117" customFormat="1" ht="20.5" x14ac:dyDescent="0.35">
      <c r="A3" s="168"/>
      <c r="B3" s="168"/>
      <c r="C3" s="168"/>
      <c r="D3" s="168"/>
      <c r="E3" s="168"/>
      <c r="F3" s="168"/>
      <c r="G3" s="168"/>
      <c r="H3" s="168"/>
      <c r="I3" s="168"/>
      <c r="J3" s="168"/>
      <c r="K3" s="168"/>
      <c r="L3" s="168"/>
      <c r="M3" s="168"/>
      <c r="AM3" s="137"/>
      <c r="CK3" s="261"/>
      <c r="CL3" s="261"/>
    </row>
    <row r="4" spans="1:90" s="117" customFormat="1" ht="20.5" x14ac:dyDescent="0.35">
      <c r="A4" s="170"/>
      <c r="B4" s="170"/>
      <c r="C4" s="170"/>
      <c r="D4" s="170"/>
      <c r="E4" s="170"/>
      <c r="F4" s="170"/>
      <c r="G4" s="170"/>
      <c r="H4" s="170"/>
      <c r="I4" s="170"/>
      <c r="J4" s="170"/>
      <c r="K4" s="170"/>
      <c r="L4" s="170"/>
      <c r="M4" s="170"/>
      <c r="AK4" s="117" t="str">
        <f>Defaults!$I$8</f>
        <v>LNG</v>
      </c>
      <c r="AM4" s="137"/>
      <c r="CK4" s="261"/>
      <c r="CL4" s="261"/>
    </row>
    <row r="5" spans="1:90" s="117" customFormat="1" ht="15.5" x14ac:dyDescent="0.35">
      <c r="A5" s="261"/>
      <c r="B5" s="261"/>
      <c r="C5" s="261"/>
      <c r="D5" s="261"/>
      <c r="E5" s="261"/>
      <c r="F5" s="261"/>
      <c r="G5" s="261"/>
      <c r="H5" s="261"/>
      <c r="AM5" s="137"/>
      <c r="BQ5" s="375"/>
      <c r="CK5" s="261"/>
      <c r="CL5" s="261"/>
    </row>
    <row r="6" spans="1:90" s="117" customFormat="1" ht="20.5" x14ac:dyDescent="0.35">
      <c r="A6" s="168"/>
      <c r="B6" s="168"/>
      <c r="C6" s="168"/>
      <c r="D6" s="168"/>
      <c r="E6" s="168"/>
      <c r="F6" s="168"/>
      <c r="G6" s="168"/>
      <c r="H6" s="168"/>
      <c r="I6" s="168"/>
      <c r="J6" s="168"/>
      <c r="K6" s="168"/>
      <c r="L6" s="168"/>
      <c r="M6" s="168"/>
      <c r="AM6" s="137"/>
      <c r="CI6" s="121"/>
      <c r="CK6" s="263"/>
      <c r="CL6" s="261"/>
    </row>
    <row r="7" spans="1:90" s="117" customFormat="1" ht="15.5" x14ac:dyDescent="0.35">
      <c r="AM7" s="137"/>
      <c r="BD7" s="121"/>
    </row>
    <row r="8" spans="1:90" s="376" customFormat="1" ht="16" thickBot="1" x14ac:dyDescent="0.4">
      <c r="G8" s="375"/>
      <c r="H8" s="375"/>
      <c r="I8" s="375"/>
      <c r="J8" s="375"/>
      <c r="K8" s="375"/>
      <c r="L8" s="375"/>
      <c r="M8" s="375"/>
      <c r="N8" s="375"/>
      <c r="O8" s="375"/>
      <c r="P8" s="375"/>
      <c r="Q8" s="375"/>
      <c r="R8" s="375"/>
      <c r="S8" s="375"/>
      <c r="T8" s="375"/>
      <c r="U8" s="375"/>
      <c r="V8" s="377"/>
      <c r="W8" s="375"/>
      <c r="X8" s="375"/>
      <c r="Y8" s="375"/>
      <c r="Z8" s="375"/>
      <c r="AA8" s="375"/>
      <c r="AB8" s="375"/>
      <c r="AC8" s="375"/>
      <c r="AD8" s="375"/>
      <c r="AE8" s="375"/>
      <c r="AF8" s="375"/>
      <c r="AG8" s="375"/>
      <c r="AH8" s="375"/>
      <c r="AI8" s="117"/>
      <c r="AJ8" s="117" t="s">
        <v>511</v>
      </c>
      <c r="AK8" s="117" t="s">
        <v>511</v>
      </c>
      <c r="AL8" s="117" t="s">
        <v>511</v>
      </c>
      <c r="AM8" s="375" t="s">
        <v>512</v>
      </c>
      <c r="AN8" s="375" t="s">
        <v>513</v>
      </c>
      <c r="AO8" s="375" t="s">
        <v>513</v>
      </c>
      <c r="AP8" s="376" t="s">
        <v>512</v>
      </c>
      <c r="AQ8" s="377"/>
      <c r="AR8" s="377"/>
      <c r="AS8" s="375"/>
      <c r="AT8" s="375"/>
      <c r="AU8" s="375"/>
      <c r="AV8" s="375"/>
      <c r="AW8" s="375"/>
      <c r="AX8" s="375"/>
      <c r="AY8" s="375"/>
      <c r="AZ8" s="375"/>
      <c r="BA8" s="375"/>
      <c r="BB8" s="378"/>
      <c r="BC8" s="378"/>
      <c r="BD8" s="375"/>
      <c r="BE8" s="375"/>
      <c r="BF8" s="375"/>
      <c r="BI8" s="117"/>
      <c r="BJ8" s="117"/>
      <c r="BK8" s="117"/>
      <c r="BN8" s="375"/>
      <c r="BO8" s="375"/>
      <c r="BR8" s="375"/>
      <c r="BS8" s="375"/>
      <c r="BT8" s="375"/>
      <c r="BU8" s="375"/>
      <c r="BV8" s="375"/>
    </row>
    <row r="9" spans="1:90" s="109" customFormat="1" ht="30" customHeight="1" x14ac:dyDescent="0.35">
      <c r="G9" s="375"/>
      <c r="H9" s="375"/>
      <c r="I9" s="375"/>
      <c r="J9" s="1085" t="s">
        <v>514</v>
      </c>
      <c r="K9" s="1086"/>
      <c r="L9" s="1086"/>
      <c r="M9" s="1086"/>
      <c r="N9" s="1086"/>
      <c r="O9" s="1086"/>
      <c r="P9" s="1086"/>
      <c r="Q9" s="1086"/>
      <c r="R9" s="1086"/>
      <c r="S9" s="1086"/>
      <c r="T9" s="1086"/>
      <c r="U9" s="1086"/>
      <c r="V9" s="1086"/>
      <c r="W9" s="1086"/>
      <c r="X9" s="1086"/>
      <c r="Y9" s="1086"/>
      <c r="Z9" s="1086"/>
      <c r="AA9" s="1086"/>
      <c r="AB9" s="1087"/>
      <c r="AC9" s="1082" t="s">
        <v>515</v>
      </c>
      <c r="AD9" s="970"/>
      <c r="AE9" s="970"/>
      <c r="AF9" s="970"/>
      <c r="AG9" s="970"/>
      <c r="AH9" s="970"/>
      <c r="AI9" s="970"/>
      <c r="AJ9" s="970"/>
      <c r="AK9" s="970"/>
      <c r="AL9" s="970"/>
      <c r="AM9" s="970"/>
      <c r="AN9" s="970"/>
      <c r="AO9" s="970"/>
      <c r="AP9" s="970"/>
      <c r="AQ9" s="970"/>
      <c r="AR9" s="970"/>
      <c r="AS9" s="970"/>
      <c r="AT9" s="970"/>
      <c r="AU9" s="970"/>
      <c r="AV9" s="970"/>
      <c r="AW9" s="970"/>
      <c r="AX9" s="970"/>
      <c r="AY9" s="970"/>
      <c r="AZ9" s="970"/>
      <c r="BA9" s="970"/>
      <c r="BB9" s="1083"/>
      <c r="BC9" s="1002" t="s">
        <v>516</v>
      </c>
      <c r="BD9" s="1003"/>
      <c r="BE9" s="1003"/>
      <c r="BF9" s="1003"/>
      <c r="BG9" s="1003"/>
      <c r="BH9" s="1003"/>
      <c r="BI9" s="1003"/>
      <c r="BJ9" s="1003"/>
      <c r="BK9" s="1003"/>
      <c r="BL9" s="1003"/>
      <c r="BM9" s="1003"/>
      <c r="BN9" s="1003"/>
      <c r="BO9" s="1003"/>
      <c r="BP9" s="1003"/>
      <c r="BQ9" s="1003"/>
      <c r="BR9" s="1003"/>
      <c r="BS9" s="1003"/>
      <c r="BT9" s="1003"/>
      <c r="BU9" s="1003"/>
      <c r="BV9" s="1003"/>
      <c r="BW9" s="1003"/>
      <c r="BX9" s="1003"/>
      <c r="BY9" s="1003"/>
      <c r="BZ9" s="1003"/>
      <c r="CA9" s="1003"/>
      <c r="CB9" s="1004"/>
      <c r="CC9" s="1009" t="s">
        <v>517</v>
      </c>
      <c r="CD9" s="1010"/>
      <c r="CE9" s="1010"/>
      <c r="CF9" s="1010"/>
      <c r="CG9" s="1010"/>
      <c r="CH9" s="1010"/>
      <c r="CI9" s="1010"/>
      <c r="CJ9" s="1011"/>
      <c r="CK9" s="1074" t="s">
        <v>518</v>
      </c>
      <c r="CL9" s="1075"/>
    </row>
    <row r="10" spans="1:90" s="109" customFormat="1" ht="62.5" thickBot="1" x14ac:dyDescent="0.4">
      <c r="A10" s="264" t="s">
        <v>519</v>
      </c>
      <c r="B10" s="264"/>
      <c r="F10" s="379" t="s">
        <v>186</v>
      </c>
      <c r="G10" s="379" t="s">
        <v>186</v>
      </c>
      <c r="H10" s="379" t="s">
        <v>186</v>
      </c>
      <c r="I10" s="379" t="s">
        <v>186</v>
      </c>
      <c r="J10" s="961" t="s">
        <v>186</v>
      </c>
      <c r="K10" s="962" t="s">
        <v>512</v>
      </c>
      <c r="L10" s="962" t="s">
        <v>512</v>
      </c>
      <c r="M10" s="963" t="s">
        <v>186</v>
      </c>
      <c r="N10" s="962" t="s">
        <v>512</v>
      </c>
      <c r="O10" s="963" t="s">
        <v>186</v>
      </c>
      <c r="P10" s="962" t="s">
        <v>512</v>
      </c>
      <c r="Q10" s="963" t="s">
        <v>186</v>
      </c>
      <c r="R10" s="963" t="s">
        <v>186</v>
      </c>
      <c r="S10" s="963" t="s">
        <v>186</v>
      </c>
      <c r="T10" s="964" t="s">
        <v>520</v>
      </c>
      <c r="U10" s="965" t="s">
        <v>521</v>
      </c>
      <c r="V10" s="965" t="s">
        <v>522</v>
      </c>
      <c r="W10" s="965" t="s">
        <v>523</v>
      </c>
      <c r="X10" s="965" t="s">
        <v>524</v>
      </c>
      <c r="Y10" s="965" t="s">
        <v>525</v>
      </c>
      <c r="Z10" s="965" t="s">
        <v>526</v>
      </c>
      <c r="AA10" s="965" t="s">
        <v>527</v>
      </c>
      <c r="AB10" s="966"/>
      <c r="AC10" s="380" t="s">
        <v>186</v>
      </c>
      <c r="AD10" s="381" t="s">
        <v>186</v>
      </c>
      <c r="AE10" s="381" t="s">
        <v>186</v>
      </c>
      <c r="AF10" s="381" t="s">
        <v>186</v>
      </c>
      <c r="AG10" s="381" t="s">
        <v>186</v>
      </c>
      <c r="AH10" s="382" t="s">
        <v>512</v>
      </c>
      <c r="AI10" s="381" t="s">
        <v>186</v>
      </c>
      <c r="AJ10" s="383" t="s">
        <v>528</v>
      </c>
      <c r="AK10" s="383" t="s">
        <v>529</v>
      </c>
      <c r="AL10" s="383" t="s">
        <v>530</v>
      </c>
      <c r="AM10" s="383" t="s">
        <v>531</v>
      </c>
      <c r="AN10" s="383" t="s">
        <v>532</v>
      </c>
      <c r="AO10" s="383" t="s">
        <v>533</v>
      </c>
      <c r="AP10" s="383" t="s">
        <v>534</v>
      </c>
      <c r="AQ10" s="383" t="s">
        <v>535</v>
      </c>
      <c r="AR10" s="383"/>
      <c r="AS10" s="383" t="s">
        <v>536</v>
      </c>
      <c r="AT10" s="383" t="s">
        <v>537</v>
      </c>
      <c r="AU10" s="383" t="s">
        <v>538</v>
      </c>
      <c r="AV10" s="381" t="s">
        <v>186</v>
      </c>
      <c r="AW10" s="382" t="s">
        <v>512</v>
      </c>
      <c r="AX10" s="383" t="s">
        <v>536</v>
      </c>
      <c r="AY10" s="383" t="s">
        <v>539</v>
      </c>
      <c r="AZ10" s="383" t="s">
        <v>540</v>
      </c>
      <c r="BA10" s="382" t="s">
        <v>512</v>
      </c>
      <c r="BB10" s="1084"/>
      <c r="BC10" s="380" t="s">
        <v>186</v>
      </c>
      <c r="BD10" s="381" t="s">
        <v>186</v>
      </c>
      <c r="BE10" s="381" t="s">
        <v>186</v>
      </c>
      <c r="BF10" s="381" t="s">
        <v>186</v>
      </c>
      <c r="BG10" s="381" t="s">
        <v>186</v>
      </c>
      <c r="BH10" s="381" t="s">
        <v>186</v>
      </c>
      <c r="BI10" s="384" t="s">
        <v>528</v>
      </c>
      <c r="BJ10" s="384" t="s">
        <v>529</v>
      </c>
      <c r="BK10" s="384" t="s">
        <v>530</v>
      </c>
      <c r="BL10" s="385" t="s">
        <v>512</v>
      </c>
      <c r="BM10" s="384" t="s">
        <v>531</v>
      </c>
      <c r="BN10" s="384" t="s">
        <v>532</v>
      </c>
      <c r="BO10" s="384" t="s">
        <v>533</v>
      </c>
      <c r="BP10" s="384" t="s">
        <v>534</v>
      </c>
      <c r="BQ10" s="384" t="s">
        <v>535</v>
      </c>
      <c r="BR10" s="384"/>
      <c r="BS10" s="384" t="s">
        <v>536</v>
      </c>
      <c r="BT10" s="384" t="s">
        <v>537</v>
      </c>
      <c r="BU10" s="384" t="s">
        <v>538</v>
      </c>
      <c r="BV10" s="381" t="s">
        <v>186</v>
      </c>
      <c r="BW10" s="385" t="s">
        <v>512</v>
      </c>
      <c r="BX10" s="384" t="s">
        <v>536</v>
      </c>
      <c r="BY10" s="384" t="s">
        <v>539</v>
      </c>
      <c r="BZ10" s="384" t="s">
        <v>540</v>
      </c>
      <c r="CA10" s="385" t="s">
        <v>512</v>
      </c>
      <c r="CB10" s="386"/>
      <c r="CC10" s="380" t="s">
        <v>186</v>
      </c>
      <c r="CD10" s="381" t="s">
        <v>186</v>
      </c>
      <c r="CE10" s="381" t="s">
        <v>186</v>
      </c>
      <c r="CF10" s="381" t="s">
        <v>186</v>
      </c>
      <c r="CG10" s="387" t="s">
        <v>512</v>
      </c>
      <c r="CH10" s="388" t="s">
        <v>541</v>
      </c>
      <c r="CI10" s="388" t="s">
        <v>542</v>
      </c>
      <c r="CJ10" s="389" t="s">
        <v>543</v>
      </c>
      <c r="CK10" s="390" t="s">
        <v>512</v>
      </c>
      <c r="CL10" s="391" t="s">
        <v>512</v>
      </c>
    </row>
    <row r="11" spans="1:90" s="109" customFormat="1" ht="79.5" x14ac:dyDescent="0.45">
      <c r="A11" s="1347" t="s">
        <v>544</v>
      </c>
      <c r="B11" s="1348" t="s">
        <v>544</v>
      </c>
      <c r="C11" s="1349" t="s">
        <v>545</v>
      </c>
      <c r="D11" s="1349" t="s">
        <v>546</v>
      </c>
      <c r="E11" s="1349" t="s">
        <v>547</v>
      </c>
      <c r="F11" s="1349" t="s">
        <v>69</v>
      </c>
      <c r="G11" s="1350" t="s">
        <v>548</v>
      </c>
      <c r="H11" s="1350" t="s">
        <v>549</v>
      </c>
      <c r="I11" s="1351" t="s">
        <v>550</v>
      </c>
      <c r="J11" s="1352" t="s">
        <v>551</v>
      </c>
      <c r="K11" s="1353" t="s">
        <v>552</v>
      </c>
      <c r="L11" s="1353" t="s">
        <v>553</v>
      </c>
      <c r="M11" s="1354" t="s">
        <v>554</v>
      </c>
      <c r="N11" s="1354" t="s">
        <v>555</v>
      </c>
      <c r="O11" s="1354" t="s">
        <v>556</v>
      </c>
      <c r="P11" s="1354" t="s">
        <v>557</v>
      </c>
      <c r="Q11" s="1354" t="s">
        <v>558</v>
      </c>
      <c r="R11" s="1354" t="s">
        <v>559</v>
      </c>
      <c r="S11" s="1354" t="s">
        <v>99</v>
      </c>
      <c r="T11" s="1354" t="s">
        <v>560</v>
      </c>
      <c r="U11" s="1354" t="s">
        <v>561</v>
      </c>
      <c r="V11" s="1354" t="s">
        <v>562</v>
      </c>
      <c r="W11" s="1354" t="s">
        <v>563</v>
      </c>
      <c r="X11" s="1354" t="s">
        <v>564</v>
      </c>
      <c r="Y11" s="1354" t="s">
        <v>565</v>
      </c>
      <c r="Z11" s="1354" t="s">
        <v>566</v>
      </c>
      <c r="AA11" s="1354" t="s">
        <v>567</v>
      </c>
      <c r="AB11" s="1355" t="s">
        <v>568</v>
      </c>
      <c r="AC11" s="1356" t="s">
        <v>109</v>
      </c>
      <c r="AD11" s="1357" t="s">
        <v>115</v>
      </c>
      <c r="AE11" s="1358" t="s">
        <v>569</v>
      </c>
      <c r="AF11" s="1358" t="s">
        <v>570</v>
      </c>
      <c r="AG11" s="1358" t="s">
        <v>571</v>
      </c>
      <c r="AH11" s="1358" t="s">
        <v>572</v>
      </c>
      <c r="AI11" s="1358" t="s">
        <v>124</v>
      </c>
      <c r="AJ11" s="1358" t="s">
        <v>573</v>
      </c>
      <c r="AK11" s="1358" t="s">
        <v>574</v>
      </c>
      <c r="AL11" s="1358" t="s">
        <v>575</v>
      </c>
      <c r="AM11" s="1358" t="s">
        <v>576</v>
      </c>
      <c r="AN11" s="1358" t="s">
        <v>577</v>
      </c>
      <c r="AO11" s="1358" t="s">
        <v>578</v>
      </c>
      <c r="AP11" s="1358" t="s">
        <v>579</v>
      </c>
      <c r="AQ11" s="1358" t="s">
        <v>580</v>
      </c>
      <c r="AR11" s="1358" t="s">
        <v>581</v>
      </c>
      <c r="AS11" s="1358" t="s">
        <v>582</v>
      </c>
      <c r="AT11" s="1358" t="s">
        <v>583</v>
      </c>
      <c r="AU11" s="1358" t="s">
        <v>584</v>
      </c>
      <c r="AV11" s="1358" t="s">
        <v>585</v>
      </c>
      <c r="AW11" s="1358" t="s">
        <v>586</v>
      </c>
      <c r="AX11" s="1358" t="s">
        <v>587</v>
      </c>
      <c r="AY11" s="1358" t="s">
        <v>588</v>
      </c>
      <c r="AZ11" s="1358" t="s">
        <v>589</v>
      </c>
      <c r="BA11" s="1358" t="s">
        <v>590</v>
      </c>
      <c r="BB11" s="1359" t="s">
        <v>591</v>
      </c>
      <c r="BC11" s="1080" t="s">
        <v>109</v>
      </c>
      <c r="BD11" s="1081" t="s">
        <v>115</v>
      </c>
      <c r="BE11" s="1079" t="s">
        <v>569</v>
      </c>
      <c r="BF11" s="1079" t="s">
        <v>121</v>
      </c>
      <c r="BG11" s="1079" t="s">
        <v>571</v>
      </c>
      <c r="BH11" s="1079" t="s">
        <v>124</v>
      </c>
      <c r="BI11" s="1079" t="s">
        <v>573</v>
      </c>
      <c r="BJ11" s="1079" t="s">
        <v>574</v>
      </c>
      <c r="BK11" s="1079" t="s">
        <v>575</v>
      </c>
      <c r="BL11" s="1079" t="s">
        <v>592</v>
      </c>
      <c r="BM11" s="1079" t="s">
        <v>576</v>
      </c>
      <c r="BN11" s="1079" t="s">
        <v>577</v>
      </c>
      <c r="BO11" s="1079" t="s">
        <v>578</v>
      </c>
      <c r="BP11" s="1079" t="s">
        <v>579</v>
      </c>
      <c r="BQ11" s="1079" t="s">
        <v>580</v>
      </c>
      <c r="BR11" s="1079" t="s">
        <v>581</v>
      </c>
      <c r="BS11" s="1079" t="s">
        <v>582</v>
      </c>
      <c r="BT11" s="1079" t="s">
        <v>583</v>
      </c>
      <c r="BU11" s="1079" t="s">
        <v>584</v>
      </c>
      <c r="BV11" s="1079" t="s">
        <v>585</v>
      </c>
      <c r="BW11" s="1079" t="s">
        <v>593</v>
      </c>
      <c r="BX11" s="1079" t="s">
        <v>587</v>
      </c>
      <c r="BY11" s="1079" t="s">
        <v>588</v>
      </c>
      <c r="BZ11" s="1079" t="s">
        <v>594</v>
      </c>
      <c r="CA11" s="1079" t="s">
        <v>595</v>
      </c>
      <c r="CB11" s="1340" t="s">
        <v>596</v>
      </c>
      <c r="CC11" s="1360" t="s">
        <v>109</v>
      </c>
      <c r="CD11" s="1361" t="s">
        <v>115</v>
      </c>
      <c r="CE11" s="1361" t="s">
        <v>569</v>
      </c>
      <c r="CF11" s="1361" t="s">
        <v>571</v>
      </c>
      <c r="CG11" s="1362" t="s">
        <v>592</v>
      </c>
      <c r="CH11" s="1363" t="s">
        <v>587</v>
      </c>
      <c r="CI11" s="1361" t="s">
        <v>594</v>
      </c>
      <c r="CJ11" s="1364" t="s">
        <v>597</v>
      </c>
      <c r="CK11" s="1365" t="s">
        <v>598</v>
      </c>
      <c r="CL11" s="1366" t="s">
        <v>599</v>
      </c>
    </row>
    <row r="12" spans="1:90" s="117" customFormat="1" ht="15.5" x14ac:dyDescent="0.35">
      <c r="A12" s="1646">
        <v>1</v>
      </c>
      <c r="B12" s="1367">
        <v>1</v>
      </c>
      <c r="C12" s="1368">
        <v>1</v>
      </c>
      <c r="D12" s="1368" t="str">
        <f>SUBSTITUTE(ADDRESS(1,COLUMN('Quantifiable Component 1'!E:E),4),"1","")</f>
        <v>E</v>
      </c>
      <c r="E12" s="1368" t="str">
        <f>"Quantifiable Component "&amp;$B12&amp;D12</f>
        <v>Quantifiable Component 1E</v>
      </c>
      <c r="F12" s="306">
        <f ca="1">INDIRECT("'Quantifiable Component "&amp;$B12&amp;"'!"&amp;$D12&amp;ROW('Quantifiable Component 1'!$28:$28))</f>
        <v>0</v>
      </c>
      <c r="G12" s="306">
        <f ca="1">INDIRECT("'Quantifiable Component "&amp;$B12&amp;"'!"&amp;$D12&amp;ROW('Quantifiable Component 1'!$29:$29))</f>
        <v>0</v>
      </c>
      <c r="H12" s="306">
        <f ca="1">INDIRECT("'Quantifiable Component "&amp;$B12&amp;"'!"&amp;$D12&amp;ROW('Quantifiable Component 1'!$32:$32))</f>
        <v>0</v>
      </c>
      <c r="I12" s="306">
        <f ca="1">INDIRECT("'Quantifiable Component "&amp;$B12&amp;"'!"&amp;$D12&amp;ROW('Quantifiable Component 1'!$33:$33))</f>
        <v>0</v>
      </c>
      <c r="J12" s="306">
        <f ca="1">INDIRECT("'Quantifiable Component "&amp;$B12&amp;"'!"&amp;$D12&amp;ROW('Quantifiable Component 1'!$31:$31))</f>
        <v>0</v>
      </c>
      <c r="K12" s="306" t="str">
        <f ca="1">CONCATENATE(J12,"_",H12)</f>
        <v>0_0</v>
      </c>
      <c r="L12" s="306" t="str">
        <f ca="1">IF(I12&lt;=2050,CONCATENATE(J12,"_",I12),CONCATENATE(J12,"_",2050))</f>
        <v>0_0</v>
      </c>
      <c r="M12" s="306">
        <f ca="1">INDIRECT("'Quantifiable Component "&amp;$B12&amp;"'!"&amp;$D12&amp;ROW('Quantifiable Component 1'!$37:$37))</f>
        <v>0</v>
      </c>
      <c r="N12" s="1369" t="str">
        <f ca="1">IFERROR(VLOOKUP((CONCATENATE(J12,"_",H12)),'Auto GHG'!$C$41:$D$2668,2,0),"")</f>
        <v/>
      </c>
      <c r="O12" s="306">
        <f ca="1">INDIRECT("'Quantifiable Component "&amp;$B12&amp;"'!"&amp;$D12&amp;ROW('Quantifiable Component 1'!$38:$38))</f>
        <v>0</v>
      </c>
      <c r="P12" s="1369" t="str">
        <f ca="1">IFERROR(IF(I12&lt;=2050,VLOOKUP((CONCATENATE(J12,"_",I12)),'Auto GHG'!$C$41:$D$2668,2,),VLOOKUP((CONCATENATE(J12,"_",2050)),'Auto GHG'!$C$41:$D$2668,2,)),"")</f>
        <v/>
      </c>
      <c r="Q12" s="306">
        <f ca="1">INDIRECT("'Quantifiable Component "&amp;$B12&amp;"'!"&amp;$D12&amp;ROW('Quantifiable Component 1'!$39:$39))</f>
        <v>0</v>
      </c>
      <c r="R12" s="306">
        <f ca="1">INDIRECT("'Quantifiable Component "&amp;$B12&amp;"'!"&amp;$D12&amp;ROW('Quantifiable Component 1'!$40:$40))</f>
        <v>0</v>
      </c>
      <c r="S12" s="306" t="e">
        <f ca="1">INDIRECT("'Quantifiable Component "&amp;$B12&amp;"'!"&amp;$D12&amp;ROW(#REF!))</f>
        <v>#REF!</v>
      </c>
      <c r="T12" s="306" t="str">
        <f ca="1">IF(R12&gt;0,0,"")</f>
        <v/>
      </c>
      <c r="U12" s="1370" t="str">
        <f ca="1">IFERROR(M12*Q12*R12*(1+T12),"")</f>
        <v/>
      </c>
      <c r="V12" s="1371" t="str">
        <f ca="1">IFERROR((U12*N12)/1000000,"")</f>
        <v/>
      </c>
      <c r="W12" s="1370" t="str">
        <f ca="1">IFERROR(O12*Q12*R12*(1+T12),"")</f>
        <v/>
      </c>
      <c r="X12" s="1370" t="str">
        <f ca="1">IFERROR((W12*P12)/1000000,"")</f>
        <v/>
      </c>
      <c r="Y12" s="1372" t="str">
        <f ca="1">IFERROR(('GHG Calcs'!U12+'GHG Calcs'!W12)/2,"")</f>
        <v/>
      </c>
      <c r="Z12" s="1372" t="str">
        <f ca="1">IFERROR(Y12*(I12-H12),"")</f>
        <v/>
      </c>
      <c r="AA12" s="1370" t="str">
        <f ca="1">IFERROR(((V12+X12)/2)*(I12-H12),"")</f>
        <v/>
      </c>
      <c r="AB12" s="1370" t="str">
        <f ca="1">IF(OR(F12=Defaults!$M$3,F12=Defaults!$M$3),AA12,"")</f>
        <v/>
      </c>
      <c r="AC12" s="306">
        <f ca="1">INDIRECT("'Quantifiable Component "&amp;$B12&amp;"'!"&amp;$D12&amp;ROW('Quantifiable Component 1'!$46:$46))</f>
        <v>0</v>
      </c>
      <c r="AD12" s="306">
        <f ca="1">INDIRECT("'Quantifiable Component "&amp;$B12&amp;"'!"&amp;$D12&amp;ROW('Quantifiable Component 1'!$49:$49))</f>
        <v>0</v>
      </c>
      <c r="AE12" s="1373">
        <f ca="1">INDIRECT("'Quantifiable Component "&amp;$B12&amp;"'!"&amp;$D12&amp;ROW('Quantifiable Component 1'!$54:$54))</f>
        <v>0</v>
      </c>
      <c r="AF12" s="306" t="str">
        <f ca="1">IFERROR(IF(ISBLANK(INDIRECT("'Quantifiable Component "&amp;$B12&amp;"'!"&amp;$D12&amp;ROW('Quantifiable Component 1'!$52:$52))),VLOOKUP($AD12,'GHG EF'!$B$10:$H$19,3,0),INDIRECT("'Quantifiable Component "&amp;$B12&amp;"'!"&amp;$D12&amp;ROW('Quantifiable Component 1'!$52:$52))),"")</f>
        <v/>
      </c>
      <c r="AG12" s="306">
        <f ca="1">INDIRECT("'Quantifiable Component "&amp;$B12&amp;"'!"&amp;$D12&amp;ROW('Quantifiable Component 1'!$51:$51))</f>
        <v>0</v>
      </c>
      <c r="AH12" s="306" t="str">
        <f ca="1">CONCATENATE(IF(H12+ROUNDDOWN((I12-H12)/2,0)&gt;2050,2050,H12+ROUNDDOWN((I12-H12)/2,0)),"_",AG12)</f>
        <v>0_0</v>
      </c>
      <c r="AI12" s="1373">
        <f ca="1">INDIRECT("'Quantifiable Component "&amp;$B12&amp;"'!"&amp;$D12&amp;ROW('Quantifiable Component 1'!$53:$53))</f>
        <v>0</v>
      </c>
      <c r="AJ12" s="306" t="str">
        <f ca="1">IF(AND(AI12&gt;0,OR(AD12=Defaults!$I$5,AD12=Defaults!$I$11)), IF(AC12="Transit Bus",VLOOKUP(AH12,'Fuel Consumption'!$A$31:$L$2316,5,0), IF(AC12="Van",VLOOKUP(AH12,'Fuel Consumption'!$A$31:$L$2316,8,0), IF(AC12="Cut-A-Way",VLOOKUP(AH12,'Fuel Consumption'!$A$31:$L$2316,11,0), IF(AC12="Over-Road Coach",VLOOKUP(AH12,'Fuel Consumption'!$A$31:$L$2316,12,0)*VLOOKUP(AD12,'GHG EF'!$B$10:$H$19,4,0),IF(AC12="Heavy Rail",'Rail C&amp;T EF'!$K$14*'GHG EF'!$C$12/'GHG EF'!$C$13/4.6, IF(AC12="DMU / EMU",'Rail C&amp;T EF'!$B$149*'GHG EF'!$C$12/'GHG EF'!$C$13/3.3, IF(AC12="Light Rail",'Rail C&amp;T EF'!$K$14*'GHG EF'!$C$12/'GHG EF'!$C$13/3.3, IF(AC12="Streetcar",'Rail C&amp;T EF'!$K$14*'GHG EF'!$C$12/'GHG EF'!$C$13/3.1,0)))))))),"")</f>
        <v/>
      </c>
      <c r="AK12" s="306" t="b">
        <f ca="1">IF(AI12&gt;0,IF(OR(AD12=Defaults!$I$3,AD12=Defaults!$I$4,AD12=Defaults!$I$6,AD12=Defaults!$I$8),IF(AC12="Transit Bus",IF(AD12="Gasoline",VLOOKUP(AH12,'Fuel Consumption'!$A$31:$L$2316,3),IF(OR(AD12="CNG",AD12="LNG"),VLOOKUP(AH12,'Fuel Consumption'!$A$31:$L$2316,4),VLOOKUP(AH12,'Fuel Consumption'!$A$31:$L$2316,2))),IF(AC12="Van",IF(OR(AD12="Diesel",AD12="Renewable Diesel",AD12="Biodiesel"),VLOOKUP(AH12,'Fuel Consumption'!$A$31:$L$2316,6),IF(OR(AD12="CNG",AD12="LNG"),VLOOKUP(AH12,'Fuel Consumption'!$A$31:$L$2316,7)*VLOOKUP(AD12,'GHG EF'!$B$10:$H$19,5,0),VLOOKUP(AH12,'Fuel Consumption'!$A$31:$L$2316,7))),IF(AC12="Cut-A-Way",IF(OR(AD12="Diesel",AD12="Renewable Diesel",AD12="Biodiesel"),VLOOKUP(AH12,'Fuel Consumption'!$A$31:$L$2316,9),IF(OR(AD12="CNG",AD12="LNG"),VLOOKUP(AH12,'Fuel Consumption'!$A$31:$L$2316,10)*VLOOKUP(AD12,'GHG EF'!$B$10:$H$19,5,0),VLOOKUP(AH12,'Fuel Consumption'!$A$31:$L$2316,10))),IF(AC12="Over-Road Coach",VLOOKUP(AH12,'Fuel Consumption'!$A$31:$L$2316,12),IF(AC12="Heavy Rail",'Rail C&amp;T EF'!$K$14,IF(AC12="DMU / EMU",'Rail C&amp;T EF'!$B$149,"")))))*IF(AD12=Defaults!$I$3,1/'GHG EF'!$I$11,1)*IF(AD12=Defaults!$I$8,1/'GHG EF'!$I$16,1)),""))</f>
        <v>0</v>
      </c>
      <c r="AL12" s="306" t="str">
        <f ca="1">IF(AI12&gt;0,IF(AC12="Transit Bus",IF(AD12="Gasoline",VLOOKUP(AH12,'Fuel Consumption'!$A$31:$L$2316,3,0)*VLOOKUP(AD12,'GHG EF'!$B$10:$H$19,5,0),IF(OR(AD12="LNG",AD12="CNG",AD12="Renewable Natural Gas"),VLOOKUP(AH12,'Fuel Consumption'!$A$31:$L$2316,4)*VLOOKUP(AD12,'GHG EF'!$B$10:$H$19,4,0),IF(OR(AD12="Electric",AD12="Renewable Electricity"),VLOOKUP(AH12,'Fuel Consumption'!$A$31:$L$2316,5,0),IF(AD12="Hydrogen Fuel Cell",VLOOKUP(AH12,'Fuel Consumption'!$A$31:$L$2316,5,0)*'GHG EF'!$C$13/'GHG EF'!$C$15*'GHG EF'!$I$13/'GHG EF'!$I$15,VLOOKUP(AH12,'Fuel Consumption'!$A$31:$L$2316,2,0)*VLOOKUP(AD12,'GHG EF'!$B$10:$H$19,4,0))))),
IF(AC12="Van",IF(OR(AD12="Diesel",AD12="Renewable Diesel",AD12="Biodiesel"),VLOOKUP(AH12,'Fuel Consumption'!$A$31:$L$2316,6,0)*VLOOKUP(AD12,'GHG EF'!$B$10:$H$19,4,0),IF(OR(AD12="LNG",AD12="CNG",AD12="Renewable Natural Gas"),VLOOKUP(AH12,'Fuel Consumption'!$A$31:$L$2316,7)*VLOOKUP(AD12,'GHG EF'!$B$10:$H$19,5,0),IF(OR(AD12="Electric",AD12="Renewable Electricity"),VLOOKUP(AH12,'Fuel Consumption'!$A$31:$L$2316,8,0),IF(AD12="Hydrogen Fuel Cell",VLOOKUP(AH12,'Fuel Consumption'!$A$31:$L$2316,8,0)*'GHG EF'!$C$13/'GHG EF'!$C$15*'GHG EF'!$J$13/'GHG EF'!$J$15,VLOOKUP(AH12,'Fuel Consumption'!$A$31:$L$2316,7,0)*VLOOKUP(AD12,'GHG EF'!$B$10:$H$19,5,0))))),
IF(AC12="Cut-A-Way",IF(OR(AD12="Diesel",AD12="Renewable Diesel",AD12="Biodiesel"),VLOOKUP(AH12,'Fuel Consumption'!$A$31:$L$2316,9,0)*VLOOKUP(AD12,'GHG EF'!$B$10:$H$19,4,0),IF(OR(AD12="LNG",AD12="CNG",AD12="Renewable Natural Gas"),VLOOKUP(AH12,'Fuel Consumption'!$A$31:$L$2316,10)*VLOOKUP(AD12,'GHG EF'!$B$10:$H$19,5,0),IF(OR(AD12="Electric",AD12="Renewable Electricity"),VLOOKUP(AH12,'Fuel Consumption'!$A$31:$L$2316,11,0),IF(AD12="Hydrogen Fuel Cell",VLOOKUP(AH12,'Fuel Consumption'!$A$31:$L$2316,11,0)*'GHG EF'!$C$13/'GHG EF'!$C$15*'GHG EF'!$J$13/'GHG EF'!$J$15,VLOOKUP(AH12,'Fuel Consumption'!$A$31:$L$2316,10,0)*VLOOKUP(AD12,'GHG EF'!$B$10:$H$19,5,0))))),
IF(AC12="Over-Road Coach",VLOOKUP(AH12,'Fuel Consumption'!$A$31:$L$2316,12,0)*VLOOKUP(AD12,'GHG EF'!$B$10:$H$19,4,0),IF(AC12="Heavy Rail",IF(OR(AD12=Defaults!$I$5,AD12=Defaults!$I$11),'Rail C&amp;T EF'!$K$14*'GHG EF'!$C$12/'GHG EF'!$C$13/4.6,'Rail C&amp;T EF'!$K$14*VLOOKUP(AD12,'GHG EF'!$B$10:$H$19,4,0)),IF(AC12="DMU / EMU",IF(OR(AD12=Defaults!$I$5,AD12=Defaults!$I$11),'Rail C&amp;T EF'!$B$149*'GHG EF'!$C$12/'GHG EF'!$C$13/3.3,'Rail C&amp;T EF'!$B$149*VLOOKUP(AD12,'GHG EF'!$B$10:$H$19,4,0)),IF(AC12="Light Rail",'Rail C&amp;T EF'!$K$14*'GHG EF'!$C$12/'GHG EF'!$C$13/3.3,IF(AC12="Streetcar",'Rail C&amp;T EF'!$K$14*'GHG EF'!$C$12/'GHG EF'!$C$13/3.1,"")))))))),"")</f>
        <v/>
      </c>
      <c r="AM12" s="306" t="str">
        <f ca="1">IFERROR((IF(AD12="Gasoline",VLOOKUP(AH12,'Fuel Consumption'!$A$31:$L$2316,3,0)*VLOOKUP(AD12,'GHG EF'!$B$10:$H$19,5,0), IF(OR(AD12="CNG",AD12="LNG",AD12="Renewable Natural Gas"),VLOOKUP(AH12,'Fuel Consumption'!$A$31:$L$2316,4,0)*VLOOKUP(AD12,'GHG EF'!$B$10:$H$19,4,0),IF(OR(AD12="Electric",AD12="Renewable Electricity"),VLOOKUP(AH12,'Fuel Consumption'!$A$31:$L$2316,5,0),IF(AD12="Hydrogen Fuel Cell",VLOOKUP(AH12,'Fuel Consumption'!$A$31:$L$2316,5,0)*'GHG EF'!$C$13/'GHG EF'!$C$15*'GHG EF'!$I$13/'GHG EF'!$I$15,VLOOKUP(AH12,'Fuel Consumption'!$A$31:$L$2316,2,0)*VLOOKUP(AD12,'GHG EF'!$B$10:$H$19,4,0))))) * VLOOKUP(AD12,'GHG EF'!$B$10:$H$19,2,0) * AF12),"")</f>
        <v/>
      </c>
      <c r="AN12" s="306" t="str">
        <f ca="1">IFERROR((IF(OR(AD12="Diesel",AD12="Renewable Diesel",AD12="Biodiesel"),VLOOKUP(AH12,'Fuel Consumption'!$A$31:$L$2316,6,0)*VLOOKUP(AD12,'GHG EF'!$B$10:$H$19,4,0),IF(OR(AD12="CNG",AD12="LNG",AD12="Renewable Natural Gas"),VLOOKUP(AH12,'Fuel Consumption'!$A$31:$L$2316,7,0)*VLOOKUP(AD12,'GHG EF'!$B$10:$H$19,5,0),IF(OR(AD12="Electric",AD12="Renewable Electricity"),VLOOKUP(AH12,'Fuel Consumption'!$A$31:$L$2316,8,0),IF(AD12="Hydrogen Fuel Cell",VLOOKUP(AH12,'Fuel Consumption'!$A$31:$L$2316,8,0)*'GHG EF'!$C$13/'GHG EF'!$C$15*'GHG EF'!$J$13/'GHG EF'!$J$15,VLOOKUP(AH12,'Fuel Consumption'!$A$31:$L$2316,7,0)*VLOOKUP(AD12,'GHG EF'!$B$10:$H$19,5,0)))))*VLOOKUP(AD12,'GHG EF'!$B$10:$H$19,2,0)*AF12),"")</f>
        <v/>
      </c>
      <c r="AO12" s="306" t="str">
        <f ca="1">IFERROR((IF(OR(AD12="Diesel",AD12="Renewable Diesel",AD12="Biodiesel"),VLOOKUP(AH12,'Fuel Consumption'!$A$31:$L$2316,9,0)*VLOOKUP(AD12,'GHG EF'!$B$10:$H$19,4,0),IF(OR(AD12="CNG",AD12="LNG",AD12="Renewable Natural Gas"),VLOOKUP(AH12,'Fuel Consumption'!$A$31:$L$2316,10,0)*VLOOKUP(AD12,'GHG EF'!$B$10:$H$19,5,0),IF(OR(AD12="Electric",AD12="Renewable Electricity"),VLOOKUP(AH12,'Fuel Consumption'!$A$31:$L$2316,11,0),IF(AD12="Hydrogen Fuel Cell",VLOOKUP(AH12,'Fuel Consumption'!$A$31:$L$2316,11,0)*'GHG EF'!$C$13/'GHG EF'!$C$15*'GHG EF'!$J$13/'GHG EF'!$J$15,VLOOKUP(AH12,'Fuel Consumption'!$A$31:$L$2316,10,0)*VLOOKUP(AD12,'GHG EF'!$B$10:$H$19,5,0))))) * VLOOKUP(AD12,'GHG EF'!$B$10:$H$19,2,0) * AF12),"")</f>
        <v/>
      </c>
      <c r="AP12" s="306" t="str">
        <f ca="1">IFERROR(VLOOKUP(AH12,'Fuel Consumption'!$A$31:$L$2316,12,0)*VLOOKUP(AD12,'GHG EF'!$B$10:$H$19,4,0) * VLOOKUP(AD12,'GHG EF'!$B$10:$H$19,2,0) * AF12,"")</f>
        <v/>
      </c>
      <c r="AQ12" s="1374" t="str">
        <f ca="1">IFERROR(IF(OR(AD12=Defaults!$I$5,AD12=Defaults!$I$11), 'GHG EF'!$C$13*'GHG EF'!$C$12/'GHG EF'!$C$13/4.6, VLOOKUP(AD12,'GHG EF'!$B$10:$H$19,4,0)*VLOOKUP(AD12,'GHG EF'!$B$10:$H$19,2,0))*AF12*'Rail C&amp;T EF'!$K$14,"")</f>
        <v/>
      </c>
      <c r="AR12" s="1374" t="str">
        <f ca="1">IFERROR(IF(OR(AD12=Defaults!$I$5,AD12=Defaults!$I$11), 'GHG EF'!$C$13*'GHG EF'!$C$12/'GHG EF'!$C$13/3.3, VLOOKUP(AD12,'GHG EF'!$B$10:$H$19,4,0)*VLOOKUP(AD12,'GHG EF'!$B$10:$H$19,2,0))*AF12*'Rail C&amp;T EF'!$B$149,"")</f>
        <v/>
      </c>
      <c r="AS12" s="1374" t="str">
        <f ca="1">IFERROR(VLOOKUP(AD12,'GHG EF'!$B$10:$H$19,2,0)*AF12,"")</f>
        <v/>
      </c>
      <c r="AT12" s="1374" t="str">
        <f ca="1">IF(OR(AD12=Defaults!$I$5,AD12=Defaults!$I$10),'GHG EF'!$C$13*AF12*'GHG EF'!$C$12/'GHG EF'!$C$13/3.3*'Rail C&amp;T EF'!$K$14,"")</f>
        <v/>
      </c>
      <c r="AU12" s="1374" t="str">
        <f ca="1">IF(OR(AD12=Defaults!$I$5,AD12=Defaults!$I$10),'GHG EF'!$C$13*AF12*'GHG EF'!$C$12/'GHG EF'!$C$13/3.1*'Rail C&amp;T EF'!$K$14,"")</f>
        <v/>
      </c>
      <c r="AV12" s="1374">
        <f ca="1">IF(OR($AD12=Defaults!$I$5, $AD12=Defaults!$I$7, $AD12=Defaults!$I$11),Defaults!$G$15,INDIRECT("'Quantifiable Component "&amp;$B12&amp;"'!"&amp;$D12&amp;ROW('Quantifiable Component 1'!$50:$50)))</f>
        <v>0</v>
      </c>
      <c r="AW12" s="1374" t="str">
        <f ca="1">IFERROR((IF(AND(AV12="yes",NOT(AD12=Defaults!$I$5),NOT(AD12=Defaults!$I$7),NOT(AD12=Defaults!$I$11)),0.8,1))*(IF(AC12="Transit Bus",AM12,IF(AC12="Van",AN12,IF(AC12="Cut-A-Way",AO12,IF(AC12="Over-Road Coach",AP12,IF(AC12="Heavy Rail",AQ12,IF(AC12="DMU / EMU",AR12,IF(AC12="Ferry",AS12,IF(AC12="Light Rail",AT12,AU12))))))))),"")</f>
        <v/>
      </c>
      <c r="AX12" s="1374" t="str">
        <f ca="1">IFERROR(VLOOKUP($AD12,'GHG EF'!$B$10:$H$19,2,0)*AF12,"")</f>
        <v/>
      </c>
      <c r="AY12" s="1375" t="str">
        <f ca="1">IFERROR(AW12*$AI12/1000000,"")</f>
        <v/>
      </c>
      <c r="AZ12" s="1374" t="str">
        <f ca="1">IFERROR(AX12*AE12/1000000,"")</f>
        <v/>
      </c>
      <c r="BA12" s="1375" t="str">
        <f ca="1">IFERROR(IF(G12=Defaults!$F$2,0,IF(AZ12&gt;0,AZ12*(I12-H12),AY12*(I12-H12))),"")</f>
        <v/>
      </c>
      <c r="BB12" s="1373" t="str">
        <f ca="1">IFERROR(AA12-BA12,"")</f>
        <v/>
      </c>
      <c r="BC12" s="1376">
        <f ca="1">INDIRECT("'Quantifiable Component "&amp;$B12&amp;"'!"&amp;$D12&amp;ROW('Quantifiable Component 1'!$58:$58))</f>
        <v>0</v>
      </c>
      <c r="BD12" s="306">
        <f ca="1">INDIRECT("'Quantifiable Component "&amp;$B12&amp;"'!"&amp;$D12&amp;ROW('Quantifiable Component 1'!$61:$61))</f>
        <v>0</v>
      </c>
      <c r="BE12" s="306">
        <f ca="1">INDIRECT("'Quantifiable Component "&amp;$B12&amp;"'!"&amp;$D12&amp;ROW('Quantifiable Component 1'!$66:$66))</f>
        <v>0</v>
      </c>
      <c r="BF12" s="306" t="str">
        <f ca="1">IFERROR(IF(ISBLANK(INDIRECT("'Quantifiable Component "&amp;$B12&amp;"'!"&amp;$D12&amp;ROW('Quantifiable Component 1'!$64:$64))),VLOOKUP($BD12,'GHG EF'!$B$10:$H$19,3,0),INDIRECT("'Quantifiable Component "&amp;$B12&amp;"'!"&amp;$D12&amp;ROW('Quantifiable Component 1'!$64:$64))),"")</f>
        <v/>
      </c>
      <c r="BG12" s="306">
        <f ca="1">INDIRECT("'Quantifiable Component "&amp;$B12&amp;"'!"&amp;$D12&amp;ROW('Quantifiable Component 1'!$63:$63))</f>
        <v>0</v>
      </c>
      <c r="BH12" s="1373">
        <f ca="1">INDIRECT("'Quantifiable Component "&amp;$B12&amp;"'!"&amp;$D12&amp;ROW('Quantifiable Component 1'!$65:$65))</f>
        <v>0</v>
      </c>
      <c r="BI12" s="306" t="str">
        <f ca="1">IF(AND(BH12&gt;0,OR(BD12=Defaults!$I$5,BD12=Defaults!$I$11)), IF(BC12="Transit Bus",VLOOKUP(BL12,'Fuel Consumption'!$A$31:$L$2316,5,0), IF(BC12="Van",VLOOKUP(BL12,'Fuel Consumption'!$A$31:$L$2316,8,0), IF(BC12="Cut-A-Way",VLOOKUP(BL12,'Fuel Consumption'!$A$31:$L$2316,11,0), IF(BC12="Over-Road Coach",VLOOKUP(BL12,'Fuel Consumption'!$A$31:$L$2316,12,0)*VLOOKUP(BD12,'GHG EF'!$B$10:$H$19,4,0),IF(BC12="Heavy Rail",'Rail C&amp;T EF'!$K$14*'GHG EF'!$C$12/'GHG EF'!$C$13/4.6, IF(BC12="DMU / EMU",'Rail C&amp;T EF'!$B$149*'GHG EF'!$C$12/'GHG EF'!$C$13/3.3, IF(BC12="Light Rail",'Rail C&amp;T EF'!$K$14*'GHG EF'!$C$12/'GHG EF'!$C$13/3.3, IF(BC12="Streetcar",'Rail C&amp;T EF'!$K$14*'GHG EF'!$C$12/'GHG EF'!$C$13/3.1,0)))))))),"")</f>
        <v/>
      </c>
      <c r="BJ12" s="306" t="str">
        <f ca="1">IF(BH12&gt;0,IF(OR(BD12=Defaults!$I$3,BD12=Defaults!$I$4, BD12=Defaults!$I$6, BD12=Defaults!$I$8),IF(BC12="Transit Bus",IF(BD12="Gasoline",VLOOKUP(BL12,'Fuel Consumption'!$A$31:$L$2316,3), IF(OR(BD12="CNG",BD12="LNG"),VLOOKUP(BL12,'Fuel Consumption'!$A$31:$L$2316,4,0),VLOOKUP(BL12,'Fuel Consumption'!$A$31:$L$2316,2))), IF(BC12="Van",IF(OR(BD12="Diesel",BD12="Renewable Diesel",BD12="Biodiesel"),VLOOKUP(BL12,'Fuel Consumption'!$A$31:$L$2316,6),IF(OR(BD12="CNG",BD12="LNG"),VLOOKUP(BL12,'Fuel Consumption'!$A$31:$L$2316,7,0)*VLOOKUP(BD12,'GHG EF'!$B$10:$H$19,5,0), VLOOKUP(BL12,'Fuel Consumption'!$A$31:$L$2316,7))), IF(BC12="Cut-A-Way",IF(OR(BD12="Diesel",BD12="Renewable Diesel",BD12="Biodiesel"),VLOOKUP(BL12,'Fuel Consumption'!$A$31:$L$2316,9),IF(OR(BD12="CNG",BD12="LNG"),VLOOKUP(BL12,'Fuel Consumption'!$A$31:$L$2316,10,0)*VLOOKUP(BD12,'GHG EF'!$B$10:$H$19,5,0), VLOOKUP(BL12,'Fuel Consumption'!$A$31:$L$2316,10))), IF(BC12="Over-Road Coach",VLOOKUP(BL12,'Fuel Consumption'!$A$31:$L$2316,12),IF(BC12="Heavy Rail",'Rail C&amp;T EF'!$K$14, IF(BC12="DMU / EMU",'Rail C&amp;T EF'!$B$149,"")))))) * IF(BD12=Defaults!$I$3,1/'GHG EF'!$I$11,1) * IF(BD12=Defaults!$I$8,1/'GHG EF'!$I$16,1),""),"")</f>
        <v/>
      </c>
      <c r="BK12" s="306" t="str">
        <f ca="1">IF(BH12&gt;0,IF(BC12="Transit Bus",IF(BD12="Gasoline",VLOOKUP(BL12,'Fuel Consumption'!$A$31:$L$2316,3,0)*VLOOKUP(BD12,'GHG EF'!$B$10:$H$19,5,0),IF(OR(BD12="CNG",BD12="LNG",BD12="Renewable Natural Gas"),VLOOKUP(BL12,'Fuel Consumption'!$A$31:$L$2316,4,0)*VLOOKUP(BD12,'GHG EF'!$B$10:$H$19,4,0), IF(OR(BD12="Electric",BD12="Renewable Electricity"),VLOOKUP(BL12,'Fuel Consumption'!$A$31:$L$2316,5,0),IF(BD12="Hydrogen Fuel Cell",VLOOKUP(BL12,'Fuel Consumption'!$A$31:$L$2316,5,0)*'GHG EF'!$C$13/'GHG EF'!$C$15*'GHG EF'!$I$13/'GHG EF'!$I$15, VLOOKUP(BL12,'Fuel Consumption'!$A$31:$L$2316,2,0)*VLOOKUP(BD12,'GHG EF'!$B$10:$H$19,4,0))))),
IF(BC12="Van",IF(OR(BD12="Diesel",BD12="Renewable Diesel",BD12="Biodiesel"),VLOOKUP(BL12,'Fuel Consumption'!$A$31:$L$2316,6,0)*VLOOKUP(BD12,'GHG EF'!$B$10:$H$19,4,0), IF(OR(BD12="CNG",BD12="LNG",BD12="Renewable Natural Gas"),VLOOKUP(BL12,'Fuel Consumption'!$A$31:$L$2316,7,0)*VLOOKUP(BD12,'GHG EF'!$B$10:$H$19,5,0), IF(OR(BD12="Electric",BD12="Renewable Electricity"),VLOOKUP(BL12,'Fuel Consumption'!$A$31:$L$2316,8,0),IF(BD12="Hydrogen Fuel Cell",VLOOKUP(BL12,'Fuel Consumption'!$A$31:$L$2316,8,0)*'GHG EF'!$C$13/'GHG EF'!$C$15*'GHG EF'!$J$13/'GHG EF'!$J$15,VLOOKUP(BL12,'Fuel Consumption'!$A$31:$L$2316,7,0)*VLOOKUP(BD12,'GHG EF'!$B$10:$H$19,5,0))))),
IF(BC12="Cut-A-Way",IF(OR(BD12="Diesel",BD12="Renewable Diesel",BD12="Biodiesel"),VLOOKUP(BL12,'Fuel Consumption'!$A$31:$L$2316,9,0)*VLOOKUP(BD12,'GHG EF'!$B$10:$H$19,4,0),IF(OR(BD12="CNG",BD12="LNG",BD12="Renewable Natural Gas"),VLOOKUP(BL12,'Fuel Consumption'!$A$31:$L$2316,10,0)*VLOOKUP(BD12,'GHG EF'!$B$10:$H$19,5,0), IF(OR(BD12="Electric",BD12="Renewable Electricity"),VLOOKUP(BL12,'Fuel Consumption'!$A$31:$L$2316,11,0),IF(BD12="Hydrogen Fuel Cell",VLOOKUP(BL12,'Fuel Consumption'!$A$31:$L$2316,11,0)*'GHG EF'!$C$13/'GHG EF'!$C$15*'GHG EF'!$J$13/'GHG EF'!$J$15, VLOOKUP(BL12,'Fuel Consumption'!$A$31:$L$2316,10,0)*VLOOKUP(BD12,'GHG EF'!$B$10:$H$19,5,0))))),
IF(BC12="Over-Road Coach",VLOOKUP(BL12,'Fuel Consumption'!$A$31:$L$2316,12,0)*VLOOKUP(BD12,'GHG EF'!$B$10:$H$19,4,0),IF(BC12="Heavy Rail",IF(OR(BD12=Defaults!$I$5,BD12=Defaults!$I$11), 'Rail C&amp;T EF'!$K$14*'GHG EF'!$C$12/'GHG EF'!$C$13/4.6, 'Rail C&amp;T EF'!$K$14*VLOOKUP(BD12,'GHG EF'!$B$10:$H$19,4,0)),IF(BC12="DMU / EMU",IF(OR(BD12=Defaults!$I$5,BD12=Defaults!$I$11), 'Rail C&amp;T EF'!$B$149*'GHG EF'!$C$12/'GHG EF'!$C$13/3.3, 'Rail C&amp;T EF'!$B$149*VLOOKUP(BD12,'GHG EF'!$B$10:$H$19,4,0)),IF(BC12="Light Rail",'Rail C&amp;T EF'!$K$14*'GHG EF'!$C$12/'GHG EF'!$C$13/3.3,IF(BC12="Streetcar",'Rail C&amp;T EF'!$K$14*'GHG EF'!$C$12/'GHG EF'!$C$13/3.1,"")))))))),"")</f>
        <v/>
      </c>
      <c r="BL12" s="306" t="str">
        <f ca="1">CONCATENATE(IF(H12+ROUNDDOWN((I12-H12)/2,0)&gt;2050,2050,H12+ROUNDDOWN((I12-H12)/2,0)),"_",BG12)</f>
        <v>0_0</v>
      </c>
      <c r="BM12" s="306" t="str">
        <f ca="1">IFERROR((IF(BD12="Gasoline",VLOOKUP(BL12,'Fuel Consumption'!$A$31:$L$2316,3,0)*VLOOKUP(BD12,'GHG EF'!$B$10:$H$19,5,0), IF(OR(BD12="CNG",BD12="LNG",BD12="Renewable Natural Gas"),VLOOKUP(BL12,'Fuel Consumption'!$A$31:$L$2316,4,0)*VLOOKUP(BD12,'GHG EF'!$B$10:$H$19,4,0),IF(OR(BD12="Electric",BD12="Renewable Electricity"),VLOOKUP(BL12,'Fuel Consumption'!$A$31:$L$2316,5,0),IF(BD12="Hydrogen Fuel Cell",VLOOKUP(BL12,'Fuel Consumption'!$A$31:$L$2316,5,0)*'GHG EF'!$C$13/'GHG EF'!$C$15*'GHG EF'!$I$13/'GHG EF'!$I$15,VLOOKUP(BL12,'Fuel Consumption'!$A$31:$L$2316,2,0)*VLOOKUP(BD12,'GHG EF'!$B$10:$H$19,4,0))))) * VLOOKUP(BD12,'GHG EF'!$B$10:$H$19,2,0) * BF12),"")</f>
        <v/>
      </c>
      <c r="BN12" s="306" t="str">
        <f ca="1">IFERROR((IF(OR(BD12="Diesel",BD12="Renewable Diesel",BD12="Biodiesel"),VLOOKUP(BL12,'Fuel Consumption'!$A$31:$L$2316,6,0)*VLOOKUP(BD12,'GHG EF'!$B$10:$H$19,4,0),IF(OR(BD12="CNG",BD12="LNG",BD12="Renewable Natural Gas"),VLOOKUP(BL12,'Fuel Consumption'!$A$31:$L$2316,7,0)*VLOOKUP(BD12,'GHG EF'!$B$10:$H$19,5,0),IF(OR(BD12="Electric",BD12="Renewable Electricity"),VLOOKUP(BL12,'Fuel Consumption'!$A$31:$L$2316,8,0),IF(BD12="Hydrogen Fuel Cell",VLOOKUP(BL12,'Fuel Consumption'!$A$31:$L$2316,8,0)*'GHG EF'!$C$13/'GHG EF'!$C$15*'GHG EF'!$J$13/'GHG EF'!$J$15,VLOOKUP(BL12,'Fuel Consumption'!$A$31:$L$2316,7,0)*VLOOKUP(BD12,'GHG EF'!$B$10:$H$19,5,0)))))*VLOOKUP(BD12,'GHG EF'!$B$10:$H$19,2,0)*BF12),"")</f>
        <v/>
      </c>
      <c r="BO12" s="306" t="str">
        <f ca="1">IFERROR((IF(OR(BD12="Diesel",BD12="Renewable Diesel",BD12="Biodiesel"),VLOOKUP(BL12,'Fuel Consumption'!$A$31:$L$2316,9,0)*VLOOKUP(BD12,'GHG EF'!$B$10:$H$19,4,0),IF(OR(BD12="CNG",BD12="LNG",BD12="Renewable Natural Gas"),VLOOKUP(BL12,'Fuel Consumption'!$A$31:$L$2316,10,0)*VLOOKUP(BD12,'GHG EF'!$B$10:$H$19,5,0),IF(OR(BD12="Electric",BD12="Renewable Electricity"),VLOOKUP(BL12,'Fuel Consumption'!$A$31:$L$2316,11,0),IF(BD12="Hydrogen Fuel Cell",VLOOKUP(BL12,'Fuel Consumption'!$A$31:$L$2316,11,0)*'GHG EF'!$C$13/'GHG EF'!$C$15*'GHG EF'!$J$13/'GHG EF'!$J$15,VLOOKUP(BL12,'Fuel Consumption'!$A$31:$L$2316,10,0)*VLOOKUP(BD12,'GHG EF'!$B$10:$H$19,5,0))))) * VLOOKUP(BD12,'GHG EF'!$B$10:$H$19,2,0) * BF12),"")</f>
        <v/>
      </c>
      <c r="BP12" s="306" t="str">
        <f ca="1">IFERROR(VLOOKUP(BL12,'Fuel Consumption'!$A$31:$L$2316,12,0)*VLOOKUP(BD12,'GHG EF'!$B$10:$H$19,4,0) * VLOOKUP(BD12,'GHG EF'!$B$10:$H$19,2,0) * BF12,"")</f>
        <v/>
      </c>
      <c r="BQ12" s="1374" t="str">
        <f ca="1">IFERROR(IF(OR($BD12=Defaults!$I$5,$BD12=Defaults!$I$11), 'GHG EF'!$C$13*'GHG EF'!$C$12/'GHG EF'!$C$13/4.6, VLOOKUP(BD12,'GHG EF'!$B$10:$H$19,4,0)*VLOOKUP(BD12,'GHG EF'!$B$10:$H$19,2,0))*BF12*'Rail C&amp;T EF'!$K$14,"")</f>
        <v/>
      </c>
      <c r="BR12" s="1374" t="str">
        <f ca="1">IFERROR(IF(OR($BD12=Defaults!$I$5,$BD12=Defaults!$I$11), 'GHG EF'!$C$13*'GHG EF'!$C$12/'GHG EF'!$C$13/3.3, VLOOKUP(BD12,'GHG EF'!$B$10:$H$19,4,0)*VLOOKUP(BD12,'GHG EF'!$B$10:$H$19,2,0))*BF12*'Rail C&amp;T EF'!$B$149,"")</f>
        <v/>
      </c>
      <c r="BS12" s="1374" t="str">
        <f ca="1">IFERROR(VLOOKUP(BD12,'GHG EF'!$B$10:$H$19,2,0)*BF12,"")</f>
        <v/>
      </c>
      <c r="BT12" s="1374" t="str">
        <f ca="1">IF(OR($BD12=Defaults!$I$5,$BD12=Defaults!$I$10),'GHG EF'!$C$13*BF12*'GHG EF'!$C$12/'GHG EF'!$C$13/3.3*'Rail C&amp;T EF'!$K$14,"")</f>
        <v/>
      </c>
      <c r="BU12" s="1374" t="str">
        <f ca="1">IF(OR($BD12=Defaults!$I$5,$BD12=Defaults!$I$10),'GHG EF'!$C$13*BF12*'GHG EF'!$C$12/'GHG EF'!$C$13/3.1*'Rail C&amp;T EF'!$K$14,"")</f>
        <v/>
      </c>
      <c r="BV12" s="1374">
        <f ca="1">IF(OR($AD12=Defaults!$I$5, $AD12=Defaults!$I$7, $AD12=Defaults!$I$11),Defaults!$G$15,INDIRECT("'Quantifiable Component "&amp;$B12&amp;"'!"&amp;$D12&amp;ROW('Quantifiable Component 1'!$62:$62)))</f>
        <v>0</v>
      </c>
      <c r="BW12" s="1374" t="str">
        <f ca="1">IFERROR((IF(AND(BV12="yes",NOT(BD12=Defaults!$I$5),NOT(BD12=Defaults!$I$7),NOT(BD12=Defaults!$I$11)),0.8,1))*(IF(BC12="Transit Bus",BM12,IF(BC12="Van",BN12,IF(BC12="Cut-A-Way",BO12,IF(BC12="Over-Road Coach",BP12,IF(BC12="Heavy Rail",BQ12,IF(BC12="DMU / EMU",BR12,IF(BC12="Ferry",BS12,IF(BC12="Light Rail",BT12,BU12))))))))),"")</f>
        <v/>
      </c>
      <c r="BX12" s="1377" t="str">
        <f ca="1">IFERROR(VLOOKUP($BD12,'GHG EF'!$B$10:$H$19,2,0)*BF12,"")</f>
        <v/>
      </c>
      <c r="BY12" s="1377" t="str">
        <f ca="1">IFERROR(BW12*$BH12/1000000,"")</f>
        <v/>
      </c>
      <c r="BZ12" s="1377" t="str">
        <f ca="1">IFERROR(BX12*BE12/1000000,"")</f>
        <v/>
      </c>
      <c r="CA12" s="1377" t="str">
        <f ca="1">IFERROR(IF(BZ12&gt;0,BZ12,BY12)*(I12-H12),"")</f>
        <v/>
      </c>
      <c r="CB12" s="1373" t="str">
        <f ca="1">IFERROR(CA12-BA12,"")</f>
        <v/>
      </c>
      <c r="CC12" s="1376">
        <f ca="1">INDIRECT("'Quantifiable Component "&amp;$B12&amp;"'!"&amp;$D12&amp;ROW('Quantifiable Component 1'!$69:$69))</f>
        <v>0</v>
      </c>
      <c r="CD12" s="1376">
        <f ca="1">INDIRECT("'Quantifiable Component "&amp;$B12&amp;"'!"&amp;$D12&amp;ROW('Quantifiable Component 1'!$72:$72))</f>
        <v>0</v>
      </c>
      <c r="CE12" s="1373">
        <f ca="1">INDIRECT("'Quantifiable Component "&amp;$B12&amp;"'!"&amp;$D12&amp;ROW('Quantifiable Component 1'!$74:$74))</f>
        <v>0</v>
      </c>
      <c r="CF12" s="306">
        <f ca="1">INDIRECT("'Quantifiable Component "&amp;$B12&amp;"'!"&amp;$D12&amp;ROW('Quantifiable Component 1'!$73:$73))</f>
        <v>0</v>
      </c>
      <c r="CG12" s="306" t="str">
        <f ca="1">CONCATENATE(IF(H12+ROUNDDOWN((I12-H12)/2,0)&gt;2050,2050,H12+ROUNDDOWN((I12-H12)/2,0)),"_",CF12)</f>
        <v>0_0</v>
      </c>
      <c r="CH12" s="1373" t="str">
        <f ca="1">IFERROR(VLOOKUP($CD12,'GHG EF'!$B$10:$H$19,2,0)*VLOOKUP($CD12,'GHG EF'!$B$10:$H$19,3,0),"")</f>
        <v/>
      </c>
      <c r="CI12" s="1373" t="str">
        <f ca="1">IFERROR(CH12*CE12/1000000,"")</f>
        <v/>
      </c>
      <c r="CJ12" s="1373" t="str">
        <f ca="1">IFERROR(CI12*(I12-H12),"")</f>
        <v/>
      </c>
      <c r="CK12" s="1378" t="str">
        <f ca="1">IF($F12=Defaults!$M$2, $BB12+IF($CA12="",0,$CA12)+IF($CJ12="",0,$CJ12), IF($F12=Defaults!$M$4,$CB12+IF($CJ12="",0,$CJ12),IF($F12=Defaults!$M$3,$AB12+IF($CJ12="",0,$CJ12), IF($F12=Defaults!$M$5,$CJ12,""))))</f>
        <v/>
      </c>
      <c r="CL12" s="1643">
        <f ca="1">SUM(CK12:CK14)</f>
        <v>0</v>
      </c>
    </row>
    <row r="13" spans="1:90" s="117" customFormat="1" ht="15.5" x14ac:dyDescent="0.35">
      <c r="A13" s="1647"/>
      <c r="B13" s="1367">
        <v>1</v>
      </c>
      <c r="C13" s="1368">
        <v>2</v>
      </c>
      <c r="D13" s="1368" t="str">
        <f>SUBSTITUTE(ADDRESS(1,COLUMN('Quantifiable Component 1'!H:H),4),"1","")</f>
        <v>H</v>
      </c>
      <c r="E13" s="1368" t="str">
        <f t="shared" ref="E13:E29" si="0">"Quantifiable Component "&amp;$B13&amp;D13</f>
        <v>Quantifiable Component 1H</v>
      </c>
      <c r="F13" s="306">
        <f ca="1">INDIRECT("'Quantifiable Component "&amp;$B13&amp;"'!"&amp;$D13&amp;ROW('Quantifiable Component 1'!$28:$28))</f>
        <v>0</v>
      </c>
      <c r="G13" s="306">
        <f ca="1">INDIRECT("'Quantifiable Component "&amp;$B13&amp;"'!"&amp;$D13&amp;ROW('Quantifiable Component 1'!$29:$29))</f>
        <v>0</v>
      </c>
      <c r="H13" s="306">
        <f ca="1">INDIRECT("'Quantifiable Component "&amp;$B13&amp;"'!"&amp;$D13&amp;ROW('Quantifiable Component 1'!$32:$32))</f>
        <v>0</v>
      </c>
      <c r="I13" s="306">
        <f ca="1">INDIRECT("'Quantifiable Component "&amp;$B13&amp;"'!"&amp;$D13&amp;ROW('Quantifiable Component 1'!$33:$33))</f>
        <v>0</v>
      </c>
      <c r="J13" s="306">
        <f ca="1">INDIRECT("'Quantifiable Component "&amp;$B13&amp;"'!"&amp;$D13&amp;ROW('Quantifiable Component 1'!$31:$31))</f>
        <v>0</v>
      </c>
      <c r="K13" s="306" t="str">
        <f t="shared" ref="K13:K29" ca="1" si="1">CONCATENATE(J13,"_",H13)</f>
        <v>0_0</v>
      </c>
      <c r="L13" s="306" t="str">
        <f t="shared" ref="L13:L29" ca="1" si="2">IF(I13&lt;=2050,CONCATENATE(J13,"_",I13),CONCATENATE(J13,"_",2050))</f>
        <v>0_0</v>
      </c>
      <c r="M13" s="306">
        <f ca="1">INDIRECT("'Quantifiable Component "&amp;$B13&amp;"'!"&amp;$D13&amp;ROW('Quantifiable Component 1'!$37:$37))</f>
        <v>0</v>
      </c>
      <c r="N13" s="1369" t="str">
        <f ca="1">IFERROR(VLOOKUP((CONCATENATE(J13,"_",H13)),'Auto GHG'!$C$41:$D$2668,2,0),"")</f>
        <v/>
      </c>
      <c r="O13" s="306">
        <f ca="1">INDIRECT("'Quantifiable Component "&amp;$B13&amp;"'!"&amp;$D13&amp;ROW('Quantifiable Component 1'!$38:$38))</f>
        <v>0</v>
      </c>
      <c r="P13" s="1369" t="str">
        <f ca="1">IFERROR(IF(I13&lt;=2050,VLOOKUP((CONCATENATE(J13,"_",I13)),'Auto GHG'!$C$41:$D$2668,2,),VLOOKUP((CONCATENATE(J13,"_",2050)),'Auto GHG'!$C$41:$D$2668,2,)),"")</f>
        <v/>
      </c>
      <c r="Q13" s="306">
        <f ca="1">INDIRECT("'Quantifiable Component "&amp;$B13&amp;"'!"&amp;$D13&amp;ROW('Quantifiable Component 1'!$39:$39))</f>
        <v>0</v>
      </c>
      <c r="R13" s="306">
        <f ca="1">INDIRECT("'Quantifiable Component "&amp;$B13&amp;"'!"&amp;$D13&amp;ROW('Quantifiable Component 1'!$40:$40))</f>
        <v>0</v>
      </c>
      <c r="S13" s="306"/>
      <c r="T13" s="306"/>
      <c r="U13" s="1370">
        <f t="shared" ref="U13:U29" ca="1" si="3">IFERROR(M13*Q13*R13*(1+T13),"")</f>
        <v>0</v>
      </c>
      <c r="V13" s="1371" t="str">
        <f t="shared" ref="V13:V29" ca="1" si="4">IFERROR((U13*N13)/1000000,"")</f>
        <v/>
      </c>
      <c r="W13" s="1370">
        <f t="shared" ref="W13:W29" ca="1" si="5">IFERROR(O13*Q13*R13*(1+T13),"")</f>
        <v>0</v>
      </c>
      <c r="X13" s="1370" t="str">
        <f t="shared" ref="X13:X29" ca="1" si="6">IFERROR((W13*P13)/1000000,"")</f>
        <v/>
      </c>
      <c r="Y13" s="1372">
        <f ca="1">IFERROR(('GHG Calcs'!U13+'GHG Calcs'!W13)/2,"")</f>
        <v>0</v>
      </c>
      <c r="Z13" s="1372">
        <f t="shared" ref="Z13:Z29" ca="1" si="7">IFERROR(Y13*(I13-H13),"")</f>
        <v>0</v>
      </c>
      <c r="AA13" s="1370" t="str">
        <f t="shared" ref="AA13:AA29" ca="1" si="8">IFERROR(((V13+X13)/2)*(I13-H13),"")</f>
        <v/>
      </c>
      <c r="AB13" s="1370" t="str">
        <f ca="1">IF(OR(F13=Defaults!$M$3,F13=Defaults!$M$3),AA13,"")</f>
        <v/>
      </c>
      <c r="AC13" s="306">
        <f ca="1">INDIRECT("'Quantifiable Component "&amp;$B13&amp;"'!"&amp;$D13&amp;ROW('Quantifiable Component 1'!$46:$46))</f>
        <v>0</v>
      </c>
      <c r="AD13" s="306">
        <f ca="1">INDIRECT("'Quantifiable Component "&amp;$B13&amp;"'!"&amp;$D13&amp;ROW('Quantifiable Component 1'!$49:$49))</f>
        <v>0</v>
      </c>
      <c r="AE13" s="1373">
        <f ca="1">INDIRECT("'Quantifiable Component "&amp;$B13&amp;"'!"&amp;$D13&amp;ROW('Quantifiable Component 1'!$54:$54))</f>
        <v>0</v>
      </c>
      <c r="AF13" s="306" t="str">
        <f ca="1">IFERROR(IF(ISBLANK(INDIRECT("'Quantifiable Component "&amp;$B13&amp;"'!"&amp;$D13&amp;ROW('Quantifiable Component 1'!$52:$52))),VLOOKUP($AD13,'GHG EF'!$B$10:$H$19,3,0),INDIRECT("'Quantifiable Component "&amp;$B13&amp;"'!"&amp;$D13&amp;ROW('Quantifiable Component 1'!$52:$52))),"")</f>
        <v/>
      </c>
      <c r="AG13" s="306">
        <f ca="1">INDIRECT("'Quantifiable Component "&amp;$B13&amp;"'!"&amp;$D13&amp;ROW('Quantifiable Component 1'!$51:$51))</f>
        <v>0</v>
      </c>
      <c r="AH13" s="306" t="str">
        <f t="shared" ref="AH13:AH29" ca="1" si="9">CONCATENATE(IF(H13+ROUNDDOWN((I13-H13)/2,0)&gt;2050,2050,H13+ROUNDDOWN((I13-H13)/2,0)),"_",AG13)</f>
        <v>0_0</v>
      </c>
      <c r="AI13" s="1373">
        <f ca="1">INDIRECT("'Quantifiable Component "&amp;$B13&amp;"'!"&amp;$D13&amp;ROW('Quantifiable Component 1'!$53:$53))</f>
        <v>0</v>
      </c>
      <c r="AJ13" s="306" t="str">
        <f ca="1">IF(AND(AI13&gt;0,OR(AD13=Defaults!$I$5,AD13=Defaults!$I$11)), IF(AC13="Transit Bus",VLOOKUP(AH13,'Fuel Consumption'!$A$31:$L$2316,5,0), IF(AC13="Van",VLOOKUP(AH13,'Fuel Consumption'!$A$31:$L$2316,8,0), IF(AC13="Cut-A-Way",VLOOKUP(AH13,'Fuel Consumption'!$A$31:$L$2316,11,0), IF(AC13="Over-Road Coach",VLOOKUP(AH13,'Fuel Consumption'!$A$31:$L$2316,12,0)*VLOOKUP(AD13,'GHG EF'!$B$10:$H$19,4,0),IF(AC13="Heavy Rail",'Rail C&amp;T EF'!$K$14*'GHG EF'!$C$12/'GHG EF'!$C$13/4.6, IF(AC13="DMU / EMU",'Rail C&amp;T EF'!$B$149*'GHG EF'!$C$12/'GHG EF'!$C$13/3.3, IF(AC13="Light Rail",'Rail C&amp;T EF'!$K$14*'GHG EF'!$C$12/'GHG EF'!$C$13/3.3, IF(AC13="Streetcar",'Rail C&amp;T EF'!$K$14*'GHG EF'!$C$12/'GHG EF'!$C$13/3.1,0)))))))),"")</f>
        <v/>
      </c>
      <c r="AK13" s="306" t="b">
        <f ca="1">IF(AI13&gt;0,IF(OR(AD13=Defaults!$I$3,AD13=Defaults!$I$4,AD13=Defaults!$I$6,AD13=Defaults!$I$8),IF(AC13="Transit Bus",IF(AD13="Gasoline",VLOOKUP(AH13,'Fuel Consumption'!$A$31:$L$2316,3),IF(OR(AD13="CNG",AD13="LNG"),VLOOKUP(AH13,'Fuel Consumption'!$A$31:$L$2316,4),VLOOKUP(AH13,'Fuel Consumption'!$A$31:$L$2316,2))),IF(AC13="Van",IF(OR(AD13="Diesel",AD13="Renewable Diesel",AD13="Biodiesel"),VLOOKUP(AH13,'Fuel Consumption'!$A$31:$L$2316,6),IF(OR(AD13="CNG",AD13="LNG"),VLOOKUP(AH13,'Fuel Consumption'!$A$31:$L$2316,7)*VLOOKUP(AD13,'GHG EF'!$B$10:$H$19,5,0),VLOOKUP(AH13,'Fuel Consumption'!$A$31:$L$2316,7))),IF(AC13="Cut-A-Way",IF(OR(AD13="Diesel",AD13="Renewable Diesel",AD13="Biodiesel"),VLOOKUP(AH13,'Fuel Consumption'!$A$31:$L$2316,9),IF(OR(AD13="CNG",AD13="LNG"),VLOOKUP(AH13,'Fuel Consumption'!$A$31:$L$2316,10)*VLOOKUP(AD13,'GHG EF'!$B$10:$H$19,5,0),VLOOKUP(AH13,'Fuel Consumption'!$A$31:$L$2316,10))),IF(AC13="Over-Road Coach",VLOOKUP(AH13,'Fuel Consumption'!$A$31:$L$2316,12),IF(AC13="Heavy Rail",'Rail C&amp;T EF'!$K$14,IF(AC13="DMU / EMU",'Rail C&amp;T EF'!$B$149,"")))))*IF(AD13=Defaults!$I$3,1/'GHG EF'!$I$11,1)*IF(AD13=Defaults!$I$8,1/'GHG EF'!$I$16,1)),""))</f>
        <v>0</v>
      </c>
      <c r="AL13" s="306" t="str">
        <f ca="1">IF(AI13&gt;0,IF(AC13="Transit Bus",IF(AD13="Gasoline",VLOOKUP(AH13,'Fuel Consumption'!$A$31:$L$2316,3,0)*VLOOKUP(AD13,'GHG EF'!$B$10:$H$19,5,0),IF(OR(AD13="LNG",AD13="CNG",AD13="Renewable Natural Gas"),VLOOKUP(AH13,'Fuel Consumption'!$A$31:$L$2316,4)*VLOOKUP(AD13,'GHG EF'!$B$10:$H$19,4,0),IF(OR(AD13="Electric",AD13="Renewable Electricity"),VLOOKUP(AH13,'Fuel Consumption'!$A$31:$L$2316,5,0),IF(AD13="Hydrogen Fuel Cell",VLOOKUP(AH13,'Fuel Consumption'!$A$31:$L$2316,5,0)*'GHG EF'!$C$13/'GHG EF'!$C$15*'GHG EF'!$I$13/'GHG EF'!$I$15,VLOOKUP(AH13,'Fuel Consumption'!$A$31:$L$2316,2,0)*VLOOKUP(AD13,'GHG EF'!$B$10:$H$19,4,0))))),
IF(AC13="Van",IF(OR(AD13="Diesel",AD13="Renewable Diesel",AD13="Biodiesel"),VLOOKUP(AH13,'Fuel Consumption'!$A$31:$L$2316,6,0)*VLOOKUP(AD13,'GHG EF'!$B$10:$H$19,4,0),IF(OR(AD13="LNG",AD13="CNG",AD13="Renewable Natural Gas"),VLOOKUP(AH13,'Fuel Consumption'!$A$31:$L$2316,7)*VLOOKUP(AD13,'GHG EF'!$B$10:$H$19,5,0),IF(OR(AD13="Electric",AD13="Renewable Electricity"),VLOOKUP(AH13,'Fuel Consumption'!$A$31:$L$2316,8,0),IF(AD13="Hydrogen Fuel Cell",VLOOKUP(AH13,'Fuel Consumption'!$A$31:$L$2316,8,0)*'GHG EF'!$C$13/'GHG EF'!$C$15*'GHG EF'!$J$13/'GHG EF'!$J$15,VLOOKUP(AH13,'Fuel Consumption'!$A$31:$L$2316,7,0)*VLOOKUP(AD13,'GHG EF'!$B$10:$H$19,5,0))))),
IF(AC13="Cut-A-Way",IF(OR(AD13="Diesel",AD13="Renewable Diesel",AD13="Biodiesel"),VLOOKUP(AH13,'Fuel Consumption'!$A$31:$L$2316,9,0)*VLOOKUP(AD13,'GHG EF'!$B$10:$H$19,4,0),IF(OR(AD13="LNG",AD13="CNG",AD13="Renewable Natural Gas"),VLOOKUP(AH13,'Fuel Consumption'!$A$31:$L$2316,10)*VLOOKUP(AD13,'GHG EF'!$B$10:$H$19,5,0),IF(OR(AD13="Electric",AD13="Renewable Electricity"),VLOOKUP(AH13,'Fuel Consumption'!$A$31:$L$2316,11,0),IF(AD13="Hydrogen Fuel Cell",VLOOKUP(AH13,'Fuel Consumption'!$A$31:$L$2316,11,0)*'GHG EF'!$C$13/'GHG EF'!$C$15*'GHG EF'!$J$13/'GHG EF'!$J$15,VLOOKUP(AH13,'Fuel Consumption'!$A$31:$L$2316,10,0)*VLOOKUP(AD13,'GHG EF'!$B$10:$H$19,5,0))))),
IF(AC13="Over-Road Coach",VLOOKUP(AH13,'Fuel Consumption'!$A$31:$L$2316,12,0)*VLOOKUP(AD13,'GHG EF'!$B$10:$H$19,4,0),IF(AC13="Heavy Rail",IF(OR(AD13=Defaults!$I$5,AD13=Defaults!$I$11),'Rail C&amp;T EF'!$K$14*'GHG EF'!$C$12/'GHG EF'!$C$13/4.6,'Rail C&amp;T EF'!$K$14*VLOOKUP(AD13,'GHG EF'!$B$10:$H$19,4,0)),IF(AC13="DMU / EMU",IF(OR(AD13=Defaults!$I$5,AD13=Defaults!$I$11),'Rail C&amp;T EF'!$B$149*'GHG EF'!$C$12/'GHG EF'!$C$13/3.3,'Rail C&amp;T EF'!$B$149*VLOOKUP(AD13,'GHG EF'!$B$10:$H$19,4,0)),IF(AC13="Light Rail",'Rail C&amp;T EF'!$K$14*'GHG EF'!$C$12/'GHG EF'!$C$13/3.3,IF(AC13="Streetcar",'Rail C&amp;T EF'!$K$14*'GHG EF'!$C$12/'GHG EF'!$C$13/3.1,"")))))))),"")</f>
        <v/>
      </c>
      <c r="AM13" s="306" t="str">
        <f ca="1">IFERROR((IF(AD13="Gasoline",VLOOKUP(AH13,'Fuel Consumption'!$A$31:$L$2316,3,0)*VLOOKUP(AD13,'GHG EF'!$B$10:$H$19,5,0), IF(OR(AD13="CNG",AD13="LNG",AD13="Renewable Natural Gas"),VLOOKUP(AH13,'Fuel Consumption'!$A$31:$L$2316,4,0)*VLOOKUP(AD13,'GHG EF'!$B$10:$H$19,4,0),IF(OR(AD13="Electric",AD13="Renewable Electricity"),VLOOKUP(AH13,'Fuel Consumption'!$A$31:$L$2316,5,0),IF(AD13="Hydrogen Fuel Cell",VLOOKUP(AH13,'Fuel Consumption'!$A$31:$L$2316,5,0)*'GHG EF'!$C$13/'GHG EF'!$C$15*'GHG EF'!$I$13/'GHG EF'!$I$15,VLOOKUP(AH13,'Fuel Consumption'!$A$31:$L$2316,2,0)*VLOOKUP(AD13,'GHG EF'!$B$10:$H$19,4,0))))) * VLOOKUP(AD13,'GHG EF'!$B$10:$H$19,2,0) * AF13),"")</f>
        <v/>
      </c>
      <c r="AN13" s="306" t="str">
        <f ca="1">IFERROR((IF(OR(AD13="Diesel",AD13="Renewable Diesel",AD13="Biodiesel"),VLOOKUP(AH13,'Fuel Consumption'!$A$31:$L$2316,6,0)*VLOOKUP(AD13,'GHG EF'!$B$10:$H$19,4,0),IF(OR(AD13="CNG",AD13="LNG",AD13="Renewable Natural Gas"),VLOOKUP(AH13,'Fuel Consumption'!$A$31:$L$2316,7,0)*VLOOKUP(AD13,'GHG EF'!$B$10:$H$19,5,0),IF(OR(AD13="Electric",AD13="Renewable Electricity"),VLOOKUP(AH13,'Fuel Consumption'!$A$31:$L$2316,8,0),IF(AD13="Hydrogen Fuel Cell",VLOOKUP(AH13,'Fuel Consumption'!$A$31:$L$2316,8,0)*'GHG EF'!$C$13/'GHG EF'!$C$15*'GHG EF'!$J$13/'GHG EF'!$J$15,VLOOKUP(AH13,'Fuel Consumption'!$A$31:$L$2316,7,0)*VLOOKUP(AD13,'GHG EF'!$B$10:$H$19,5,0)))))*VLOOKUP(AD13,'GHG EF'!$B$10:$H$19,2,0)*AF13),"")</f>
        <v/>
      </c>
      <c r="AO13" s="306" t="str">
        <f ca="1">IFERROR((IF(OR(AD13="Diesel",AD13="Renewable Diesel",AD13="Biodiesel"),VLOOKUP(AH13,'Fuel Consumption'!$A$31:$L$2316,9,0)*VLOOKUP(AD13,'GHG EF'!$B$10:$H$19,4,0),IF(OR(AD13="CNG",AD13="LNG",AD13="Renewable Natural Gas"),VLOOKUP(AH13,'Fuel Consumption'!$A$31:$L$2316,10,0)*VLOOKUP(AD13,'GHG EF'!$B$10:$H$19,5,0),IF(OR(AD13="Electric",AD13="Renewable Electricity"),VLOOKUP(AH13,'Fuel Consumption'!$A$31:$L$2316,11,0),IF(AD13="Hydrogen Fuel Cell",VLOOKUP(AH13,'Fuel Consumption'!$A$31:$L$2316,11,0)*'GHG EF'!$C$13/'GHG EF'!$C$15*'GHG EF'!$J$13/'GHG EF'!$J$15,VLOOKUP(AH13,'Fuel Consumption'!$A$31:$L$2316,10,0)*VLOOKUP(AD13,'GHG EF'!$B$10:$H$19,5,0))))) * VLOOKUP(AD13,'GHG EF'!$B$10:$H$19,2,0) * AF13),"")</f>
        <v/>
      </c>
      <c r="AP13" s="306" t="str">
        <f ca="1">IFERROR(VLOOKUP(AH13,'Fuel Consumption'!$A$31:$L$2316,12,0)*VLOOKUP(AD13,'GHG EF'!$B$10:$H$19,4,0) * VLOOKUP(AD13,'GHG EF'!$B$10:$H$19,2,0) * AF13,"")</f>
        <v/>
      </c>
      <c r="AQ13" s="1374" t="str">
        <f ca="1">IFERROR(IF(OR(AD13=Defaults!$I$5,AD13=Defaults!$I$11), 'GHG EF'!$C$13*'GHG EF'!$C$12/'GHG EF'!$C$13/4.6, VLOOKUP(AD13,'GHG EF'!$B$10:$H$19,4,0)*VLOOKUP(AD13,'GHG EF'!$B$10:$H$19,2,0))*AF13*'Rail C&amp;T EF'!$K$14,"")</f>
        <v/>
      </c>
      <c r="AR13" s="1374" t="str">
        <f ca="1">IFERROR(IF(OR(AD13=Defaults!$I$5,AD13=Defaults!$I$11), 'GHG EF'!$C$13*'GHG EF'!$C$12/'GHG EF'!$C$13/3.3, VLOOKUP(AD13,'GHG EF'!$B$10:$H$19,4,0)*VLOOKUP(AD13,'GHG EF'!$B$10:$H$19,2,0))*AF13*'Rail C&amp;T EF'!$B$149,"")</f>
        <v/>
      </c>
      <c r="AS13" s="1374" t="str">
        <f ca="1">IFERROR(VLOOKUP(AD13,'GHG EF'!$B$10:$H$19,2,0)*AF13,"")</f>
        <v/>
      </c>
      <c r="AT13" s="1374" t="str">
        <f ca="1">IF(OR(AD13=Defaults!$I$5,AD13=Defaults!$I$10),'GHG EF'!$C$13*AF13*'GHG EF'!$C$12/'GHG EF'!$C$13/3.3*'Rail C&amp;T EF'!$K$14,"")</f>
        <v/>
      </c>
      <c r="AU13" s="1374" t="str">
        <f ca="1">IF(OR(AD13=Defaults!$I$5,AD13=Defaults!$I$10),'GHG EF'!$C$13*AF13*'GHG EF'!$C$12/'GHG EF'!$C$13/3.1*'Rail C&amp;T EF'!$K$14,"")</f>
        <v/>
      </c>
      <c r="AV13" s="1374">
        <f ca="1">IF(OR($AD13=Defaults!$I$5, $AD13=Defaults!$I$7, $AD13=Defaults!$I$11),Defaults!$G$15,INDIRECT("'Quantifiable Component "&amp;$B13&amp;"'!"&amp;$D13&amp;ROW('Quantifiable Component 1'!$50:$50)))</f>
        <v>0</v>
      </c>
      <c r="AW13" s="1374" t="str">
        <f ca="1">IFERROR((IF(AND(AV13="yes",NOT(AD13=Defaults!$I$5),NOT(AD13=Defaults!$I$7),NOT(AD13=Defaults!$I$11)),0.8,1))*(IF(AC13="Transit Bus",AM13,IF(AC13="Van",AN13,IF(AC13="Cut-A-Way",AO13,IF(AC13="Over-Road Coach",AP13,IF(AC13="Heavy Rail",AQ13,IF(AC13="DMU / EMU",AR13,IF(AC13="Ferry",AS13,IF(AC13="Light Rail",AT13,AU13))))))))),"")</f>
        <v/>
      </c>
      <c r="AX13" s="1374" t="str">
        <f ca="1">IFERROR(VLOOKUP($AD13,'GHG EF'!$B$10:$H$19,2,0)*AF13,"")</f>
        <v/>
      </c>
      <c r="AY13" s="1375" t="str">
        <f t="shared" ref="AY13:AY29" ca="1" si="10">IFERROR(AW13*$AI13/1000000,"")</f>
        <v/>
      </c>
      <c r="AZ13" s="1374" t="str">
        <f t="shared" ref="AZ13:AZ29" ca="1" si="11">IFERROR(AX13*AE13/1000000,"")</f>
        <v/>
      </c>
      <c r="BA13" s="1375" t="str">
        <f ca="1">IFERROR(IF(G13=Defaults!$F$2,0,IF(AZ13&gt;0,AZ13*(I13-H13),AY13*(I13-H13))),"")</f>
        <v/>
      </c>
      <c r="BB13" s="1373" t="str">
        <f t="shared" ref="BB13:BB29" ca="1" si="12">IFERROR(AA13-BA13,"")</f>
        <v/>
      </c>
      <c r="BC13" s="1376">
        <f ca="1">INDIRECT("'Quantifiable Component "&amp;$B13&amp;"'!"&amp;$D13&amp;ROW('Quantifiable Component 1'!$58:$58))</f>
        <v>0</v>
      </c>
      <c r="BD13" s="306">
        <f ca="1">INDIRECT("'Quantifiable Component "&amp;$B13&amp;"'!"&amp;$D13&amp;ROW('Quantifiable Component 1'!$61:$61))</f>
        <v>0</v>
      </c>
      <c r="BE13" s="306">
        <f ca="1">INDIRECT("'Quantifiable Component "&amp;$B13&amp;"'!"&amp;$D13&amp;ROW('Quantifiable Component 1'!$66:$66))</f>
        <v>0</v>
      </c>
      <c r="BF13" s="306" t="str">
        <f ca="1">IFERROR(IF(ISBLANK(INDIRECT("'Quantifiable Component "&amp;$B13&amp;"'!"&amp;$D13&amp;ROW('Quantifiable Component 1'!$64:$64))),VLOOKUP($BD13,'GHG EF'!$B$10:$H$19,3,0),INDIRECT("'Quantifiable Component "&amp;$B13&amp;"'!"&amp;$D13&amp;ROW('Quantifiable Component 1'!$64:$64))),"")</f>
        <v/>
      </c>
      <c r="BG13" s="306">
        <f ca="1">INDIRECT("'Quantifiable Component "&amp;$B13&amp;"'!"&amp;$D13&amp;ROW('Quantifiable Component 1'!$63:$63))</f>
        <v>0</v>
      </c>
      <c r="BH13" s="1373">
        <f ca="1">INDIRECT("'Quantifiable Component "&amp;$B13&amp;"'!"&amp;$D13&amp;ROW('Quantifiable Component 1'!$65:$65))</f>
        <v>0</v>
      </c>
      <c r="BI13" s="306" t="str">
        <f ca="1">IF(AND(BH13&gt;0,OR(BD13=Defaults!$I$5,BD13=Defaults!$I$11)), IF(BC13="Transit Bus",VLOOKUP(BL13,'Fuel Consumption'!$A$31:$L$2316,5,0), IF(BC13="Van",VLOOKUP(BL13,'Fuel Consumption'!$A$31:$L$2316,8,0), IF(BC13="Cut-A-Way",VLOOKUP(BL13,'Fuel Consumption'!$A$31:$L$2316,11,0), IF(BC13="Over-Road Coach",VLOOKUP(BL13,'Fuel Consumption'!$A$31:$L$2316,12,0)*VLOOKUP(BD13,'GHG EF'!$B$10:$H$19,4,0),IF(BC13="Heavy Rail",'Rail C&amp;T EF'!$K$14*'GHG EF'!$C$12/'GHG EF'!$C$13/4.6, IF(BC13="DMU / EMU",'Rail C&amp;T EF'!$B$149*'GHG EF'!$C$12/'GHG EF'!$C$13/3.3, IF(BC13="Light Rail",'Rail C&amp;T EF'!$K$14*'GHG EF'!$C$12/'GHG EF'!$C$13/3.3, IF(BC13="Streetcar",'Rail C&amp;T EF'!$K$14*'GHG EF'!$C$12/'GHG EF'!$C$13/3.1,0)))))))),"")</f>
        <v/>
      </c>
      <c r="BJ13" s="306" t="str">
        <f ca="1">IF(BH13&gt;0,IF(OR(BD13=Defaults!$I$3,BD13=Defaults!$I$4, BD13=Defaults!$I$6, BD13=Defaults!$I$8),IF(BC13="Transit Bus",IF(BD13="Gasoline",VLOOKUP(BL13,'Fuel Consumption'!$A$31:$L$2316,3), IF(OR(BD13="CNG",BD13="LNG"),VLOOKUP(BL13,'Fuel Consumption'!$A$31:$L$2316,4,0),VLOOKUP(BL13,'Fuel Consumption'!$A$31:$L$2316,2))), IF(BC13="Van",IF(OR(BD13="Diesel",BD13="Renewable Diesel",BD13="Biodiesel"),VLOOKUP(BL13,'Fuel Consumption'!$A$31:$L$2316,6),IF(OR(BD13="CNG",BD13="LNG"),VLOOKUP(BL13,'Fuel Consumption'!$A$31:$L$2316,7,0)*VLOOKUP(BD13,'GHG EF'!$B$10:$H$19,5,0), VLOOKUP(BL13,'Fuel Consumption'!$A$31:$L$2316,7))), IF(BC13="Cut-A-Way",IF(OR(BD13="Diesel",BD13="Renewable Diesel",BD13="Biodiesel"),VLOOKUP(BL13,'Fuel Consumption'!$A$31:$L$2316,9),IF(OR(BD13="CNG",BD13="LNG"),VLOOKUP(BL13,'Fuel Consumption'!$A$31:$L$2316,10,0)*VLOOKUP(BD13,'GHG EF'!$B$10:$H$19,5,0), VLOOKUP(BL13,'Fuel Consumption'!$A$31:$L$2316,10))), IF(BC13="Over-Road Coach",VLOOKUP(BL13,'Fuel Consumption'!$A$31:$L$2316,12),IF(BC13="Heavy Rail",'Rail C&amp;T EF'!$K$14, IF(BC13="DMU / EMU",'Rail C&amp;T EF'!$B$149,"")))))) * IF(BD13=Defaults!$I$3,1/'GHG EF'!$I$11,1) * IF(BD13=Defaults!$I$8,1/'GHG EF'!$I$16,1),""),"")</f>
        <v/>
      </c>
      <c r="BK13" s="306" t="str">
        <f ca="1">IF(BH13&gt;0,IF(BC13="Transit Bus",IF(BD13="Gasoline",VLOOKUP(BL13,'Fuel Consumption'!$A$31:$L$2316,3,0)*VLOOKUP(BD13,'GHG EF'!$B$10:$H$19,5,0),IF(OR(BD13="CNG",BD13="LNG",BD13="Renewable Natural Gas"),VLOOKUP(BL13,'Fuel Consumption'!$A$31:$L$2316,4,0)*VLOOKUP(BD13,'GHG EF'!$B$10:$H$19,4,0), IF(OR(BD13="Electric",BD13="Renewable Electricity"),VLOOKUP(BL13,'Fuel Consumption'!$A$31:$L$2316,5,0),IF(BD13="Hydrogen Fuel Cell",VLOOKUP(BL13,'Fuel Consumption'!$A$31:$L$2316,5,0)*'GHG EF'!$C$13/'GHG EF'!$C$15*'GHG EF'!$I$13/'GHG EF'!$I$15, VLOOKUP(BL13,'Fuel Consumption'!$A$31:$L$2316,2,0)*VLOOKUP(BD13,'GHG EF'!$B$10:$H$19,4,0))))),
IF(BC13="Van",IF(OR(BD13="Diesel",BD13="Renewable Diesel",BD13="Biodiesel"),VLOOKUP(BL13,'Fuel Consumption'!$A$31:$L$2316,6,0)*VLOOKUP(BD13,'GHG EF'!$B$10:$H$19,4,0), IF(OR(BD13="CNG",BD13="LNG",BD13="Renewable Natural Gas"),VLOOKUP(BL13,'Fuel Consumption'!$A$31:$L$2316,7,0)*VLOOKUP(BD13,'GHG EF'!$B$10:$H$19,5,0), IF(OR(BD13="Electric",BD13="Renewable Electricity"),VLOOKUP(BL13,'Fuel Consumption'!$A$31:$L$2316,8,0),IF(BD13="Hydrogen Fuel Cell",VLOOKUP(BL13,'Fuel Consumption'!$A$31:$L$2316,8,0)*'GHG EF'!$C$13/'GHG EF'!$C$15*'GHG EF'!$J$13/'GHG EF'!$J$15,VLOOKUP(BL13,'Fuel Consumption'!$A$31:$L$2316,7,0)*VLOOKUP(BD13,'GHG EF'!$B$10:$H$19,5,0))))),
IF(BC13="Cut-A-Way",IF(OR(BD13="Diesel",BD13="Renewable Diesel",BD13="Biodiesel"),VLOOKUP(BL13,'Fuel Consumption'!$A$31:$L$2316,9,0)*VLOOKUP(BD13,'GHG EF'!$B$10:$H$19,4,0),IF(OR(BD13="CNG",BD13="LNG",BD13="Renewable Natural Gas"),VLOOKUP(BL13,'Fuel Consumption'!$A$31:$L$2316,10,0)*VLOOKUP(BD13,'GHG EF'!$B$10:$H$19,5,0), IF(OR(BD13="Electric",BD13="Renewable Electricity"),VLOOKUP(BL13,'Fuel Consumption'!$A$31:$L$2316,11,0),IF(BD13="Hydrogen Fuel Cell",VLOOKUP(BL13,'Fuel Consumption'!$A$31:$L$2316,11,0)*'GHG EF'!$C$13/'GHG EF'!$C$15*'GHG EF'!$J$13/'GHG EF'!$J$15, VLOOKUP(BL13,'Fuel Consumption'!$A$31:$L$2316,10,0)*VLOOKUP(BD13,'GHG EF'!$B$10:$H$19,5,0))))),
IF(BC13="Over-Road Coach",VLOOKUP(BL13,'Fuel Consumption'!$A$31:$L$2316,12,0)*VLOOKUP(BD13,'GHG EF'!$B$10:$H$19,4,0),IF(BC13="Heavy Rail",IF(OR(BD13=Defaults!$I$5,BD13=Defaults!$I$11), 'Rail C&amp;T EF'!$K$14*'GHG EF'!$C$12/'GHG EF'!$C$13/4.6, 'Rail C&amp;T EF'!$K$14*VLOOKUP(BD13,'GHG EF'!$B$10:$H$19,4,0)),IF(BC13="DMU / EMU",IF(OR(BD13=Defaults!$I$5,BD13=Defaults!$I$11), 'Rail C&amp;T EF'!$B$149*'GHG EF'!$C$12/'GHG EF'!$C$13/3.3, 'Rail C&amp;T EF'!$B$149*VLOOKUP(BD13,'GHG EF'!$B$10:$H$19,4,0)),IF(BC13="Light Rail",'Rail C&amp;T EF'!$K$14*'GHG EF'!$C$12/'GHG EF'!$C$13/3.3,IF(BC13="Streetcar",'Rail C&amp;T EF'!$K$14*'GHG EF'!$C$12/'GHG EF'!$C$13/3.1,"")))))))),"")</f>
        <v/>
      </c>
      <c r="BL13" s="306" t="str">
        <f t="shared" ref="BL13:BL29" ca="1" si="13">CONCATENATE(IF(H13+ROUNDDOWN((I13-H13)/2,0)&gt;2050,2050,H13+ROUNDDOWN((I13-H13)/2,0)),"_",BG13)</f>
        <v>0_0</v>
      </c>
      <c r="BM13" s="306" t="str">
        <f ca="1">IFERROR((IF(BD13="Gasoline",VLOOKUP(BL13,'Fuel Consumption'!$A$31:$L$2316,3,0)*VLOOKUP(BD13,'GHG EF'!$B$10:$H$19,5,0), IF(OR(BD13="CNG",BD13="LNG",BD13="Renewable Natural Gas"),VLOOKUP(BL13,'Fuel Consumption'!$A$31:$L$2316,4,0)*VLOOKUP(BD13,'GHG EF'!$B$10:$H$19,4,0),IF(OR(BD13="Electric",BD13="Renewable Electricity"),VLOOKUP(BL13,'Fuel Consumption'!$A$31:$L$2316,5,0),IF(BD13="Hydrogen Fuel Cell",VLOOKUP(BL13,'Fuel Consumption'!$A$31:$L$2316,5,0)*'GHG EF'!$C$13/'GHG EF'!$C$15*'GHG EF'!$I$13/'GHG EF'!$I$15,VLOOKUP(BL13,'Fuel Consumption'!$A$31:$L$2316,2,0)*VLOOKUP(BD13,'GHG EF'!$B$10:$H$19,4,0))))) * VLOOKUP(BD13,'GHG EF'!$B$10:$H$19,2,0) * BF13),"")</f>
        <v/>
      </c>
      <c r="BN13" s="306" t="str">
        <f ca="1">IFERROR((IF(OR(BD13="Diesel",BD13="Renewable Diesel",BD13="Biodiesel"),VLOOKUP(BL13,'Fuel Consumption'!$A$31:$L$2316,6,0)*VLOOKUP(BD13,'GHG EF'!$B$10:$H$19,4,0),IF(OR(BD13="CNG",BD13="LNG",BD13="Renewable Natural Gas"),VLOOKUP(BL13,'Fuel Consumption'!$A$31:$L$2316,7,0)*VLOOKUP(BD13,'GHG EF'!$B$10:$H$19,5,0),IF(OR(BD13="Electric",BD13="Renewable Electricity"),VLOOKUP(BL13,'Fuel Consumption'!$A$31:$L$2316,8,0),IF(BD13="Hydrogen Fuel Cell",VLOOKUP(BL13,'Fuel Consumption'!$A$31:$L$2316,8,0)*'GHG EF'!$C$13/'GHG EF'!$C$15*'GHG EF'!$J$13/'GHG EF'!$J$15,VLOOKUP(BL13,'Fuel Consumption'!$A$31:$L$2316,7,0)*VLOOKUP(BD13,'GHG EF'!$B$10:$H$19,5,0)))))*VLOOKUP(BD13,'GHG EF'!$B$10:$H$19,2,0)*BF13),"")</f>
        <v/>
      </c>
      <c r="BO13" s="306" t="str">
        <f ca="1">IFERROR((IF(OR(BD13="Diesel",BD13="Renewable Diesel",BD13="Biodiesel"),VLOOKUP(BL13,'Fuel Consumption'!$A$31:$L$2316,9,0)*VLOOKUP(BD13,'GHG EF'!$B$10:$H$19,4,0),IF(OR(BD13="CNG",BD13="LNG",BD13="Renewable Natural Gas"),VLOOKUP(BL13,'Fuel Consumption'!$A$31:$L$2316,10,0)*VLOOKUP(BD13,'GHG EF'!$B$10:$H$19,5,0),IF(OR(BD13="Electric",BD13="Renewable Electricity"),VLOOKUP(BL13,'Fuel Consumption'!$A$31:$L$2316,11,0),IF(BD13="Hydrogen Fuel Cell",VLOOKUP(BL13,'Fuel Consumption'!$A$31:$L$2316,11,0)*'GHG EF'!$C$13/'GHG EF'!$C$15*'GHG EF'!$J$13/'GHG EF'!$J$15,VLOOKUP(BL13,'Fuel Consumption'!$A$31:$L$2316,10,0)*VLOOKUP(BD13,'GHG EF'!$B$10:$H$19,5,0))))) * VLOOKUP(BD13,'GHG EF'!$B$10:$H$19,2,0) * BF13),"")</f>
        <v/>
      </c>
      <c r="BP13" s="306" t="str">
        <f ca="1">IFERROR(VLOOKUP(BL13,'Fuel Consumption'!$A$31:$L$2316,12,0)*VLOOKUP(BD13,'GHG EF'!$B$10:$H$19,4,0) * VLOOKUP(BD13,'GHG EF'!$B$10:$H$19,2,0) * BF13,"")</f>
        <v/>
      </c>
      <c r="BQ13" s="1374" t="str">
        <f ca="1">IFERROR(IF(OR($BD13=Defaults!$I$5,$BD13=Defaults!$I$11), 'GHG EF'!$C$13*'GHG EF'!$C$12/'GHG EF'!$C$13/4.6, VLOOKUP(BD13,'GHG EF'!$B$10:$H$19,4,0)*VLOOKUP(BD13,'GHG EF'!$B$10:$H$19,2,0))*BF13*'Rail C&amp;T EF'!$K$14,"")</f>
        <v/>
      </c>
      <c r="BR13" s="1374" t="str">
        <f ca="1">IFERROR(IF(OR($BD13=Defaults!$I$5,$BD13=Defaults!$I$11), 'GHG EF'!$C$13*'GHG EF'!$C$12/'GHG EF'!$C$13/3.3, VLOOKUP(BD13,'GHG EF'!$B$10:$H$19,4,0)*VLOOKUP(BD13,'GHG EF'!$B$10:$H$19,2,0))*BF13*'Rail C&amp;T EF'!$B$149,"")</f>
        <v/>
      </c>
      <c r="BS13" s="1374" t="str">
        <f ca="1">IFERROR(VLOOKUP(BD13,'GHG EF'!$B$10:$H$19,2,0)*BF13,"")</f>
        <v/>
      </c>
      <c r="BT13" s="1374" t="str">
        <f ca="1">IF(OR($BD13=Defaults!$I$5,$BD13=Defaults!$I$10),'GHG EF'!$C$13*BF13*'GHG EF'!$C$12/'GHG EF'!$C$13/3.3*'Rail C&amp;T EF'!$K$14,"")</f>
        <v/>
      </c>
      <c r="BU13" s="1374" t="str">
        <f ca="1">IF(OR($BD13=Defaults!$I$5,$BD13=Defaults!$I$10),'GHG EF'!$C$13*BF13*'GHG EF'!$C$12/'GHG EF'!$C$13/3.1*'Rail C&amp;T EF'!$K$14,"")</f>
        <v/>
      </c>
      <c r="BV13" s="1374">
        <f ca="1">IF(OR($AD13=Defaults!$I$5, $AD13=Defaults!$I$7, $AD13=Defaults!$I$11),Defaults!$G$15,INDIRECT("'Quantifiable Component "&amp;$B13&amp;"'!"&amp;$D13&amp;ROW('Quantifiable Component 1'!$62:$62)))</f>
        <v>0</v>
      </c>
      <c r="BW13" s="1374" t="str">
        <f ca="1">IFERROR((IF(AND(BV13="yes",NOT(BD13=Defaults!$I$5),NOT(BD13=Defaults!$I$7),NOT(BD13=Defaults!$I$11)),0.8,1))*(IF(BC13="Transit Bus",BM13,IF(BC13="Van",BN13,IF(BC13="Cut-A-Way",BO13,IF(BC13="Over-Road Coach",BP13,IF(BC13="Heavy Rail",BQ13,IF(BC13="DMU / EMU",BR13,IF(BC13="Ferry",BS13,IF(BC13="Light Rail",BT13,BU13))))))))),"")</f>
        <v/>
      </c>
      <c r="BX13" s="1377" t="str">
        <f ca="1">IFERROR(VLOOKUP($BD13,'GHG EF'!$B$10:$H$19,2,0)*BF13,"")</f>
        <v/>
      </c>
      <c r="BY13" s="1377" t="str">
        <f t="shared" ref="BY13:BY29" ca="1" si="14">IFERROR(BW13*$BH13/1000000,"")</f>
        <v/>
      </c>
      <c r="BZ13" s="1377" t="str">
        <f t="shared" ref="BZ13:BZ29" ca="1" si="15">IFERROR(BX13*BE13/1000000,"")</f>
        <v/>
      </c>
      <c r="CA13" s="1377" t="str">
        <f t="shared" ref="CA13:CA29" ca="1" si="16">IFERROR(IF(BZ13&gt;0,BZ13,BY13)*(I13-H13),"")</f>
        <v/>
      </c>
      <c r="CB13" s="1373" t="str">
        <f t="shared" ref="CB13:CB29" ca="1" si="17">IFERROR(CA13-BA13,"")</f>
        <v/>
      </c>
      <c r="CC13" s="1376">
        <f ca="1">INDIRECT("'Quantifiable Component "&amp;$B13&amp;"'!"&amp;$D13&amp;ROW('Quantifiable Component 1'!$69:$69))</f>
        <v>0</v>
      </c>
      <c r="CD13" s="1376">
        <f ca="1">INDIRECT("'Quantifiable Component "&amp;$B13&amp;"'!"&amp;$D13&amp;ROW('Quantifiable Component 1'!$72:$72))</f>
        <v>0</v>
      </c>
      <c r="CE13" s="1373">
        <f ca="1">INDIRECT("'Quantifiable Component "&amp;$B13&amp;"'!"&amp;$D13&amp;ROW('Quantifiable Component 1'!$74:$74))</f>
        <v>0</v>
      </c>
      <c r="CF13" s="306">
        <f ca="1">INDIRECT("'Quantifiable Component "&amp;$B13&amp;"'!"&amp;$D13&amp;ROW('Quantifiable Component 1'!$73:$73))</f>
        <v>0</v>
      </c>
      <c r="CG13" s="306" t="str">
        <f t="shared" ref="CG13:CG29" ca="1" si="18">CONCATENATE(IF(H13+ROUNDDOWN((I13-H13)/2,0)&gt;2050,2050,H13+ROUNDDOWN((I13-H13)/2,0)),"_",CF13)</f>
        <v>0_0</v>
      </c>
      <c r="CH13" s="1373" t="str">
        <f ca="1">IFERROR(VLOOKUP($CD13,'GHG EF'!$B$10:$H$19,2,0)*VLOOKUP($CD13,'GHG EF'!$B$10:$H$19,3,0),"")</f>
        <v/>
      </c>
      <c r="CI13" s="1373" t="str">
        <f t="shared" ref="CI13:CI29" ca="1" si="19">IFERROR(CH13*CE13/1000000,"")</f>
        <v/>
      </c>
      <c r="CJ13" s="1373" t="str">
        <f t="shared" ref="CJ13:CJ29" ca="1" si="20">IFERROR(CI13*(I13-H13),"")</f>
        <v/>
      </c>
      <c r="CK13" s="1378" t="str">
        <f ca="1">IF($F13=Defaults!$M$2, $BB13+IF($CA13="",0,$CA13)+IF($CJ13="",0,$CJ13), IF($F13=Defaults!$M$4,$CB13+IF($CJ13="",0,$CJ13),IF($F13=Defaults!$M$3,$AB13+IF($CJ13="",0,$CJ13), IF($F13=Defaults!$M$5,$CJ13,""))))</f>
        <v/>
      </c>
      <c r="CL13" s="1644"/>
    </row>
    <row r="14" spans="1:90" s="117" customFormat="1" ht="15.5" x14ac:dyDescent="0.35">
      <c r="A14" s="1648"/>
      <c r="B14" s="1367">
        <v>1</v>
      </c>
      <c r="C14" s="1368">
        <v>3</v>
      </c>
      <c r="D14" s="1368" t="str">
        <f>SUBSTITUTE(ADDRESS(1,COLUMN('Quantifiable Component 1'!K:K),4),"1","")</f>
        <v>K</v>
      </c>
      <c r="E14" s="1368" t="str">
        <f t="shared" si="0"/>
        <v>Quantifiable Component 1K</v>
      </c>
      <c r="F14" s="306">
        <f ca="1">INDIRECT("'Quantifiable Component "&amp;$B14&amp;"'!"&amp;$D14&amp;ROW('Quantifiable Component 1'!$28:$28))</f>
        <v>0</v>
      </c>
      <c r="G14" s="306">
        <f ca="1">INDIRECT("'Quantifiable Component "&amp;$B14&amp;"'!"&amp;$D14&amp;ROW('Quantifiable Component 1'!$29:$29))</f>
        <v>0</v>
      </c>
      <c r="H14" s="306">
        <f ca="1">INDIRECT("'Quantifiable Component "&amp;$B14&amp;"'!"&amp;$D14&amp;ROW('Quantifiable Component 1'!$32:$32))</f>
        <v>0</v>
      </c>
      <c r="I14" s="306">
        <f ca="1">INDIRECT("'Quantifiable Component "&amp;$B14&amp;"'!"&amp;$D14&amp;ROW('Quantifiable Component 1'!$33:$33))</f>
        <v>0</v>
      </c>
      <c r="J14" s="306">
        <f ca="1">INDIRECT("'Quantifiable Component "&amp;$B14&amp;"'!"&amp;$D14&amp;ROW('Quantifiable Component 1'!$31:$31))</f>
        <v>0</v>
      </c>
      <c r="K14" s="306" t="str">
        <f t="shared" ca="1" si="1"/>
        <v>0_0</v>
      </c>
      <c r="L14" s="306" t="str">
        <f t="shared" ca="1" si="2"/>
        <v>0_0</v>
      </c>
      <c r="M14" s="306">
        <f ca="1">INDIRECT("'Quantifiable Component "&amp;$B14&amp;"'!"&amp;$D14&amp;ROW('Quantifiable Component 1'!$37:$37))</f>
        <v>0</v>
      </c>
      <c r="N14" s="1369" t="str">
        <f ca="1">IFERROR(VLOOKUP((CONCATENATE(J14,"_",H14)),'Auto GHG'!$C$41:$D$2668,2,0),"")</f>
        <v/>
      </c>
      <c r="O14" s="306">
        <f ca="1">INDIRECT("'Quantifiable Component "&amp;$B14&amp;"'!"&amp;$D14&amp;ROW('Quantifiable Component 1'!$38:$38))</f>
        <v>0</v>
      </c>
      <c r="P14" s="1369" t="str">
        <f ca="1">IFERROR(IF(I14&lt;=2050,VLOOKUP((CONCATENATE(J14,"_",I14)),'Auto GHG'!$C$41:$D$2668,2,),VLOOKUP((CONCATENATE(J14,"_",2050)),'Auto GHG'!$C$41:$D$2668,2,)),"")</f>
        <v/>
      </c>
      <c r="Q14" s="306">
        <f ca="1">INDIRECT("'Quantifiable Component "&amp;$B14&amp;"'!"&amp;$D14&amp;ROW('Quantifiable Component 1'!$39:$39))</f>
        <v>0</v>
      </c>
      <c r="R14" s="306">
        <f ca="1">INDIRECT("'Quantifiable Component "&amp;$B14&amp;"'!"&amp;$D14&amp;ROW('Quantifiable Component 1'!$40:$40))</f>
        <v>0</v>
      </c>
      <c r="S14" s="306"/>
      <c r="T14" s="306"/>
      <c r="U14" s="1370">
        <f t="shared" ca="1" si="3"/>
        <v>0</v>
      </c>
      <c r="V14" s="1371" t="str">
        <f t="shared" ca="1" si="4"/>
        <v/>
      </c>
      <c r="W14" s="1370">
        <f t="shared" ca="1" si="5"/>
        <v>0</v>
      </c>
      <c r="X14" s="1370" t="str">
        <f t="shared" ca="1" si="6"/>
        <v/>
      </c>
      <c r="Y14" s="1372">
        <f ca="1">IFERROR(('GHG Calcs'!U14+'GHG Calcs'!W14)/2,"")</f>
        <v>0</v>
      </c>
      <c r="Z14" s="1372">
        <f t="shared" ca="1" si="7"/>
        <v>0</v>
      </c>
      <c r="AA14" s="1370" t="str">
        <f t="shared" ca="1" si="8"/>
        <v/>
      </c>
      <c r="AB14" s="1370" t="str">
        <f ca="1">IF(OR(F14=Defaults!$M$3,F14=Defaults!$M$3),AA14,"")</f>
        <v/>
      </c>
      <c r="AC14" s="306">
        <f ca="1">INDIRECT("'Quantifiable Component "&amp;$B14&amp;"'!"&amp;$D14&amp;ROW('Quantifiable Component 1'!$46:$46))</f>
        <v>0</v>
      </c>
      <c r="AD14" s="306">
        <f ca="1">INDIRECT("'Quantifiable Component "&amp;$B14&amp;"'!"&amp;$D14&amp;ROW('Quantifiable Component 1'!$49:$49))</f>
        <v>0</v>
      </c>
      <c r="AE14" s="1373">
        <f ca="1">INDIRECT("'Quantifiable Component "&amp;$B14&amp;"'!"&amp;$D14&amp;ROW('Quantifiable Component 1'!$54:$54))</f>
        <v>0</v>
      </c>
      <c r="AF14" s="306" t="str">
        <f ca="1">IFERROR(IF(ISBLANK(INDIRECT("'Quantifiable Component "&amp;$B14&amp;"'!"&amp;$D14&amp;ROW('Quantifiable Component 1'!$52:$52))),VLOOKUP($AD14,'GHG EF'!$B$10:$H$19,3,0),INDIRECT("'Quantifiable Component "&amp;$B14&amp;"'!"&amp;$D14&amp;ROW('Quantifiable Component 1'!$52:$52))),"")</f>
        <v/>
      </c>
      <c r="AG14" s="306">
        <f ca="1">INDIRECT("'Quantifiable Component "&amp;$B14&amp;"'!"&amp;$D14&amp;ROW('Quantifiable Component 1'!$51:$51))</f>
        <v>0</v>
      </c>
      <c r="AH14" s="306" t="str">
        <f t="shared" ca="1" si="9"/>
        <v>0_0</v>
      </c>
      <c r="AI14" s="1373">
        <f ca="1">INDIRECT("'Quantifiable Component "&amp;$B14&amp;"'!"&amp;$D14&amp;ROW('Quantifiable Component 1'!$53:$53))</f>
        <v>0</v>
      </c>
      <c r="AJ14" s="306" t="str">
        <f ca="1">IF(AND(AI14&gt;0,OR(AD14=Defaults!$I$5,AD14=Defaults!$I$11)), IF(AC14="Transit Bus",VLOOKUP(AH14,'Fuel Consumption'!$A$31:$L$2316,5,0), IF(AC14="Van",VLOOKUP(AH14,'Fuel Consumption'!$A$31:$L$2316,8,0), IF(AC14="Cut-A-Way",VLOOKUP(AH14,'Fuel Consumption'!$A$31:$L$2316,11,0), IF(AC14="Over-Road Coach",VLOOKUP(AH14,'Fuel Consumption'!$A$31:$L$2316,12,0)*VLOOKUP(AD14,'GHG EF'!$B$10:$H$19,4,0),IF(AC14="Heavy Rail",'Rail C&amp;T EF'!$K$14*'GHG EF'!$C$12/'GHG EF'!$C$13/4.6, IF(AC14="DMU / EMU",'Rail C&amp;T EF'!$B$149*'GHG EF'!$C$12/'GHG EF'!$C$13/3.3, IF(AC14="Light Rail",'Rail C&amp;T EF'!$K$14*'GHG EF'!$C$12/'GHG EF'!$C$13/3.3, IF(AC14="Streetcar",'Rail C&amp;T EF'!$K$14*'GHG EF'!$C$12/'GHG EF'!$C$13/3.1,0)))))))),"")</f>
        <v/>
      </c>
      <c r="AK14" s="306" t="b">
        <f ca="1">IF(AI14&gt;0,IF(OR(AD14=Defaults!$I$3,AD14=Defaults!$I$4,AD14=Defaults!$I$6,AD14=Defaults!$I$8),IF(AC14="Transit Bus",IF(AD14="Gasoline",VLOOKUP(AH14,'Fuel Consumption'!$A$31:$L$2316,3),IF(OR(AD14="CNG",AD14="LNG"),VLOOKUP(AH14,'Fuel Consumption'!$A$31:$L$2316,4),VLOOKUP(AH14,'Fuel Consumption'!$A$31:$L$2316,2))),IF(AC14="Van",IF(OR(AD14="Diesel",AD14="Renewable Diesel",AD14="Biodiesel"),VLOOKUP(AH14,'Fuel Consumption'!$A$31:$L$2316,6),IF(OR(AD14="CNG",AD14="LNG"),VLOOKUP(AH14,'Fuel Consumption'!$A$31:$L$2316,7)*VLOOKUP(AD14,'GHG EF'!$B$10:$H$19,5,0),VLOOKUP(AH14,'Fuel Consumption'!$A$31:$L$2316,7))),IF(AC14="Cut-A-Way",IF(OR(AD14="Diesel",AD14="Renewable Diesel",AD14="Biodiesel"),VLOOKUP(AH14,'Fuel Consumption'!$A$31:$L$2316,9),IF(OR(AD14="CNG",AD14="LNG"),VLOOKUP(AH14,'Fuel Consumption'!$A$31:$L$2316,10)*VLOOKUP(AD14,'GHG EF'!$B$10:$H$19,5,0),VLOOKUP(AH14,'Fuel Consumption'!$A$31:$L$2316,10))),IF(AC14="Over-Road Coach",VLOOKUP(AH14,'Fuel Consumption'!$A$31:$L$2316,12),IF(AC14="Heavy Rail",'Rail C&amp;T EF'!$K$14,IF(AC14="DMU / EMU",'Rail C&amp;T EF'!$B$149,"")))))*IF(AD14=Defaults!$I$3,1/'GHG EF'!$I$11,1)*IF(AD14=Defaults!$I$8,1/'GHG EF'!$I$16,1)),""))</f>
        <v>0</v>
      </c>
      <c r="AL14" s="306" t="str">
        <f ca="1">IF(AI14&gt;0,IF(AC14="Transit Bus",IF(AD14="Gasoline",VLOOKUP(AH14,'Fuel Consumption'!$A$31:$L$2316,3,0)*VLOOKUP(AD14,'GHG EF'!$B$10:$H$19,5,0),IF(OR(AD14="LNG",AD14="CNG",AD14="Renewable Natural Gas"),VLOOKUP(AH14,'Fuel Consumption'!$A$31:$L$2316,4)*VLOOKUP(AD14,'GHG EF'!$B$10:$H$19,4,0),IF(OR(AD14="Electric",AD14="Renewable Electricity"),VLOOKUP(AH14,'Fuel Consumption'!$A$31:$L$2316,5,0),IF(AD14="Hydrogen Fuel Cell",VLOOKUP(AH14,'Fuel Consumption'!$A$31:$L$2316,5,0)*'GHG EF'!$C$13/'GHG EF'!$C$15*'GHG EF'!$I$13/'GHG EF'!$I$15,VLOOKUP(AH14,'Fuel Consumption'!$A$31:$L$2316,2,0)*VLOOKUP(AD14,'GHG EF'!$B$10:$H$19,4,0))))),
IF(AC14="Van",IF(OR(AD14="Diesel",AD14="Renewable Diesel",AD14="Biodiesel"),VLOOKUP(AH14,'Fuel Consumption'!$A$31:$L$2316,6,0)*VLOOKUP(AD14,'GHG EF'!$B$10:$H$19,4,0),IF(OR(AD14="LNG",AD14="CNG",AD14="Renewable Natural Gas"),VLOOKUP(AH14,'Fuel Consumption'!$A$31:$L$2316,7)*VLOOKUP(AD14,'GHG EF'!$B$10:$H$19,5,0),IF(OR(AD14="Electric",AD14="Renewable Electricity"),VLOOKUP(AH14,'Fuel Consumption'!$A$31:$L$2316,8,0),IF(AD14="Hydrogen Fuel Cell",VLOOKUP(AH14,'Fuel Consumption'!$A$31:$L$2316,8,0)*'GHG EF'!$C$13/'GHG EF'!$C$15*'GHG EF'!$J$13/'GHG EF'!$J$15,VLOOKUP(AH14,'Fuel Consumption'!$A$31:$L$2316,7,0)*VLOOKUP(AD14,'GHG EF'!$B$10:$H$19,5,0))))),
IF(AC14="Cut-A-Way",IF(OR(AD14="Diesel",AD14="Renewable Diesel",AD14="Biodiesel"),VLOOKUP(AH14,'Fuel Consumption'!$A$31:$L$2316,9,0)*VLOOKUP(AD14,'GHG EF'!$B$10:$H$19,4,0),IF(OR(AD14="LNG",AD14="CNG",AD14="Renewable Natural Gas"),VLOOKUP(AH14,'Fuel Consumption'!$A$31:$L$2316,10)*VLOOKUP(AD14,'GHG EF'!$B$10:$H$19,5,0),IF(OR(AD14="Electric",AD14="Renewable Electricity"),VLOOKUP(AH14,'Fuel Consumption'!$A$31:$L$2316,11,0),IF(AD14="Hydrogen Fuel Cell",VLOOKUP(AH14,'Fuel Consumption'!$A$31:$L$2316,11,0)*'GHG EF'!$C$13/'GHG EF'!$C$15*'GHG EF'!$J$13/'GHG EF'!$J$15,VLOOKUP(AH14,'Fuel Consumption'!$A$31:$L$2316,10,0)*VLOOKUP(AD14,'GHG EF'!$B$10:$H$19,5,0))))),
IF(AC14="Over-Road Coach",VLOOKUP(AH14,'Fuel Consumption'!$A$31:$L$2316,12,0)*VLOOKUP(AD14,'GHG EF'!$B$10:$H$19,4,0),IF(AC14="Heavy Rail",IF(OR(AD14=Defaults!$I$5,AD14=Defaults!$I$11),'Rail C&amp;T EF'!$K$14*'GHG EF'!$C$12/'GHG EF'!$C$13/4.6,'Rail C&amp;T EF'!$K$14*VLOOKUP(AD14,'GHG EF'!$B$10:$H$19,4,0)),IF(AC14="DMU / EMU",IF(OR(AD14=Defaults!$I$5,AD14=Defaults!$I$11),'Rail C&amp;T EF'!$B$149*'GHG EF'!$C$12/'GHG EF'!$C$13/3.3,'Rail C&amp;T EF'!$B$149*VLOOKUP(AD14,'GHG EF'!$B$10:$H$19,4,0)),IF(AC14="Light Rail",'Rail C&amp;T EF'!$K$14*'GHG EF'!$C$12/'GHG EF'!$C$13/3.3,IF(AC14="Streetcar",'Rail C&amp;T EF'!$K$14*'GHG EF'!$C$12/'GHG EF'!$C$13/3.1,"")))))))),"")</f>
        <v/>
      </c>
      <c r="AM14" s="306" t="str">
        <f ca="1">IFERROR((IF(AD14="Gasoline",VLOOKUP(AH14,'Fuel Consumption'!$A$31:$L$2316,3,0)*VLOOKUP(AD14,'GHG EF'!$B$10:$H$19,5,0), IF(OR(AD14="CNG",AD14="LNG",AD14="Renewable Natural Gas"),VLOOKUP(AH14,'Fuel Consumption'!$A$31:$L$2316,4,0)*VLOOKUP(AD14,'GHG EF'!$B$10:$H$19,4,0),IF(OR(AD14="Electric",AD14="Renewable Electricity"),VLOOKUP(AH14,'Fuel Consumption'!$A$31:$L$2316,5,0),IF(AD14="Hydrogen Fuel Cell",VLOOKUP(AH14,'Fuel Consumption'!$A$31:$L$2316,5,0)*'GHG EF'!$C$13/'GHG EF'!$C$15*'GHG EF'!$I$13/'GHG EF'!$I$15,VLOOKUP(AH14,'Fuel Consumption'!$A$31:$L$2316,2,0)*VLOOKUP(AD14,'GHG EF'!$B$10:$H$19,4,0))))) * VLOOKUP(AD14,'GHG EF'!$B$10:$H$19,2,0) * AF14),"")</f>
        <v/>
      </c>
      <c r="AN14" s="306" t="str">
        <f ca="1">IFERROR((IF(OR(AD14="Diesel",AD14="Renewable Diesel",AD14="Biodiesel"),VLOOKUP(AH14,'Fuel Consumption'!$A$31:$L$2316,6,0)*VLOOKUP(AD14,'GHG EF'!$B$10:$H$19,4,0),IF(OR(AD14="CNG",AD14="LNG",AD14="Renewable Natural Gas"),VLOOKUP(AH14,'Fuel Consumption'!$A$31:$L$2316,7,0)*VLOOKUP(AD14,'GHG EF'!$B$10:$H$19,5,0),IF(OR(AD14="Electric",AD14="Renewable Electricity"),VLOOKUP(AH14,'Fuel Consumption'!$A$31:$L$2316,8,0),IF(AD14="Hydrogen Fuel Cell",VLOOKUP(AH14,'Fuel Consumption'!$A$31:$L$2316,8,0)*'GHG EF'!$C$13/'GHG EF'!$C$15*'GHG EF'!$J$13/'GHG EF'!$J$15,VLOOKUP(AH14,'Fuel Consumption'!$A$31:$L$2316,7,0)*VLOOKUP(AD14,'GHG EF'!$B$10:$H$19,5,0)))))*VLOOKUP(AD14,'GHG EF'!$B$10:$H$19,2,0)*AF14),"")</f>
        <v/>
      </c>
      <c r="AO14" s="306" t="str">
        <f ca="1">IFERROR((IF(OR(AD14="Diesel",AD14="Renewable Diesel",AD14="Biodiesel"),VLOOKUP(AH14,'Fuel Consumption'!$A$31:$L$2316,9,0)*VLOOKUP(AD14,'GHG EF'!$B$10:$H$19,4,0),IF(OR(AD14="CNG",AD14="LNG",AD14="Renewable Natural Gas"),VLOOKUP(AH14,'Fuel Consumption'!$A$31:$L$2316,10,0)*VLOOKUP(AD14,'GHG EF'!$B$10:$H$19,5,0),IF(OR(AD14="Electric",AD14="Renewable Electricity"),VLOOKUP(AH14,'Fuel Consumption'!$A$31:$L$2316,11,0),IF(AD14="Hydrogen Fuel Cell",VLOOKUP(AH14,'Fuel Consumption'!$A$31:$L$2316,11,0)*'GHG EF'!$C$13/'GHG EF'!$C$15*'GHG EF'!$J$13/'GHG EF'!$J$15,VLOOKUP(AH14,'Fuel Consumption'!$A$31:$L$2316,10,0)*VLOOKUP(AD14,'GHG EF'!$B$10:$H$19,5,0))))) * VLOOKUP(AD14,'GHG EF'!$B$10:$H$19,2,0) * AF14),"")</f>
        <v/>
      </c>
      <c r="AP14" s="306" t="str">
        <f ca="1">IFERROR(VLOOKUP(AH14,'Fuel Consumption'!$A$31:$L$2316,12,0)*VLOOKUP(AD14,'GHG EF'!$B$10:$H$19,4,0) * VLOOKUP(AD14,'GHG EF'!$B$10:$H$19,2,0) * AF14,"")</f>
        <v/>
      </c>
      <c r="AQ14" s="1374" t="str">
        <f ca="1">IFERROR(IF(OR(AD14=Defaults!$I$5,AD14=Defaults!$I$11), 'GHG EF'!$C$13*'GHG EF'!$C$12/'GHG EF'!$C$13/4.6, VLOOKUP(AD14,'GHG EF'!$B$10:$H$19,4,0)*VLOOKUP(AD14,'GHG EF'!$B$10:$H$19,2,0))*AF14*'Rail C&amp;T EF'!$K$14,"")</f>
        <v/>
      </c>
      <c r="AR14" s="1374" t="str">
        <f ca="1">IFERROR(IF(OR(AD14=Defaults!$I$5,AD14=Defaults!$I$11), 'GHG EF'!$C$13*'GHG EF'!$C$12/'GHG EF'!$C$13/3.3, VLOOKUP(AD14,'GHG EF'!$B$10:$H$19,4,0)*VLOOKUP(AD14,'GHG EF'!$B$10:$H$19,2,0))*AF14*'Rail C&amp;T EF'!$B$149,"")</f>
        <v/>
      </c>
      <c r="AS14" s="1374" t="str">
        <f ca="1">IFERROR(VLOOKUP(AD14,'GHG EF'!$B$10:$H$19,2,0)*AF14,"")</f>
        <v/>
      </c>
      <c r="AT14" s="1374" t="str">
        <f ca="1">IF(OR(AD14=Defaults!$I$5,AD14=Defaults!$I$10),'GHG EF'!$C$13*AF14*'GHG EF'!$C$12/'GHG EF'!$C$13/3.3*'Rail C&amp;T EF'!$K$14,"")</f>
        <v/>
      </c>
      <c r="AU14" s="1374" t="str">
        <f ca="1">IF(OR(AD14=Defaults!$I$5,AD14=Defaults!$I$10),'GHG EF'!$C$13*AF14*'GHG EF'!$C$12/'GHG EF'!$C$13/3.1*'Rail C&amp;T EF'!$K$14,"")</f>
        <v/>
      </c>
      <c r="AV14" s="1374">
        <f ca="1">IF(OR($AD14=Defaults!$I$5, $AD14=Defaults!$I$7, $AD14=Defaults!$I$11),Defaults!$G$15,INDIRECT("'Quantifiable Component "&amp;$B14&amp;"'!"&amp;$D14&amp;ROW('Quantifiable Component 1'!$50:$50)))</f>
        <v>0</v>
      </c>
      <c r="AW14" s="1374" t="str">
        <f ca="1">IFERROR((IF(AND(AV14="yes",NOT(AD14=Defaults!$I$5),NOT(AD14=Defaults!$I$7),NOT(AD14=Defaults!$I$11)),0.8,1))*(IF(AC14="Transit Bus",AM14,IF(AC14="Van",AN14,IF(AC14="Cut-A-Way",AO14,IF(AC14="Over-Road Coach",AP14,IF(AC14="Heavy Rail",AQ14,IF(AC14="DMU / EMU",AR14,IF(AC14="Ferry",AS14,IF(AC14="Light Rail",AT14,AU14))))))))),"")</f>
        <v/>
      </c>
      <c r="AX14" s="1374" t="str">
        <f ca="1">IFERROR(VLOOKUP($AD14,'GHG EF'!$B$10:$H$19,2,0)*AF14,"")</f>
        <v/>
      </c>
      <c r="AY14" s="1375" t="str">
        <f t="shared" ca="1" si="10"/>
        <v/>
      </c>
      <c r="AZ14" s="1374" t="str">
        <f t="shared" ca="1" si="11"/>
        <v/>
      </c>
      <c r="BA14" s="1375" t="str">
        <f ca="1">IFERROR(IF(G14=Defaults!$F$2,0,IF(AZ14&gt;0,AZ14*(I14-H14),AY14*(I14-H14))),"")</f>
        <v/>
      </c>
      <c r="BB14" s="1373" t="str">
        <f t="shared" ca="1" si="12"/>
        <v/>
      </c>
      <c r="BC14" s="1376">
        <f ca="1">INDIRECT("'Quantifiable Component "&amp;$B14&amp;"'!"&amp;$D14&amp;ROW('Quantifiable Component 1'!$58:$58))</f>
        <v>0</v>
      </c>
      <c r="BD14" s="306">
        <f ca="1">INDIRECT("'Quantifiable Component "&amp;$B14&amp;"'!"&amp;$D14&amp;ROW('Quantifiable Component 1'!$61:$61))</f>
        <v>0</v>
      </c>
      <c r="BE14" s="306">
        <f ca="1">INDIRECT("'Quantifiable Component "&amp;$B14&amp;"'!"&amp;$D14&amp;ROW('Quantifiable Component 1'!$66:$66))</f>
        <v>0</v>
      </c>
      <c r="BF14" s="306" t="str">
        <f ca="1">IFERROR(IF(ISBLANK(INDIRECT("'Quantifiable Component "&amp;$B14&amp;"'!"&amp;$D14&amp;ROW('Quantifiable Component 1'!$64:$64))),VLOOKUP($BD14,'GHG EF'!$B$10:$H$19,3,0),INDIRECT("'Quantifiable Component "&amp;$B14&amp;"'!"&amp;$D14&amp;ROW('Quantifiable Component 1'!$64:$64))),"")</f>
        <v/>
      </c>
      <c r="BG14" s="306">
        <f ca="1">INDIRECT("'Quantifiable Component "&amp;$B14&amp;"'!"&amp;$D14&amp;ROW('Quantifiable Component 1'!$63:$63))</f>
        <v>0</v>
      </c>
      <c r="BH14" s="1373">
        <f ca="1">INDIRECT("'Quantifiable Component "&amp;$B14&amp;"'!"&amp;$D14&amp;ROW('Quantifiable Component 1'!$65:$65))</f>
        <v>0</v>
      </c>
      <c r="BI14" s="306" t="str">
        <f ca="1">IF(AND(BH14&gt;0,OR(BD14=Defaults!$I$5,BD14=Defaults!$I$11)), IF(BC14="Transit Bus",VLOOKUP(BL14,'Fuel Consumption'!$A$31:$L$2316,5,0), IF(BC14="Van",VLOOKUP(BL14,'Fuel Consumption'!$A$31:$L$2316,8,0), IF(BC14="Cut-A-Way",VLOOKUP(BL14,'Fuel Consumption'!$A$31:$L$2316,11,0), IF(BC14="Over-Road Coach",VLOOKUP(BL14,'Fuel Consumption'!$A$31:$L$2316,12,0)*VLOOKUP(BD14,'GHG EF'!$B$10:$H$19,4,0),IF(BC14="Heavy Rail",'Rail C&amp;T EF'!$K$14*'GHG EF'!$C$12/'GHG EF'!$C$13/4.6, IF(BC14="DMU / EMU",'Rail C&amp;T EF'!$B$149*'GHG EF'!$C$12/'GHG EF'!$C$13/3.3, IF(BC14="Light Rail",'Rail C&amp;T EF'!$K$14*'GHG EF'!$C$12/'GHG EF'!$C$13/3.3, IF(BC14="Streetcar",'Rail C&amp;T EF'!$K$14*'GHG EF'!$C$12/'GHG EF'!$C$13/3.1,0)))))))),"")</f>
        <v/>
      </c>
      <c r="BJ14" s="306" t="str">
        <f ca="1">IF(BH14&gt;0,IF(OR(BD14=Defaults!$I$3,BD14=Defaults!$I$4, BD14=Defaults!$I$6, BD14=Defaults!$I$8),IF(BC14="Transit Bus",IF(BD14="Gasoline",VLOOKUP(BL14,'Fuel Consumption'!$A$31:$L$2316,3), IF(OR(BD14="CNG",BD14="LNG"),VLOOKUP(BL14,'Fuel Consumption'!$A$31:$L$2316,4,0),VLOOKUP(BL14,'Fuel Consumption'!$A$31:$L$2316,2))), IF(BC14="Van",IF(OR(BD14="Diesel",BD14="Renewable Diesel",BD14="Biodiesel"),VLOOKUP(BL14,'Fuel Consumption'!$A$31:$L$2316,6),IF(OR(BD14="CNG",BD14="LNG"),VLOOKUP(BL14,'Fuel Consumption'!$A$31:$L$2316,7,0)*VLOOKUP(BD14,'GHG EF'!$B$10:$H$19,5,0), VLOOKUP(BL14,'Fuel Consumption'!$A$31:$L$2316,7))), IF(BC14="Cut-A-Way",IF(OR(BD14="Diesel",BD14="Renewable Diesel",BD14="Biodiesel"),VLOOKUP(BL14,'Fuel Consumption'!$A$31:$L$2316,9),IF(OR(BD14="CNG",BD14="LNG"),VLOOKUP(BL14,'Fuel Consumption'!$A$31:$L$2316,10,0)*VLOOKUP(BD14,'GHG EF'!$B$10:$H$19,5,0), VLOOKUP(BL14,'Fuel Consumption'!$A$31:$L$2316,10))), IF(BC14="Over-Road Coach",VLOOKUP(BL14,'Fuel Consumption'!$A$31:$L$2316,12),IF(BC14="Heavy Rail",'Rail C&amp;T EF'!$K$14, IF(BC14="DMU / EMU",'Rail C&amp;T EF'!$B$149,"")))))) * IF(BD14=Defaults!$I$3,1/'GHG EF'!$I$11,1) * IF(BD14=Defaults!$I$8,1/'GHG EF'!$I$16,1),""),"")</f>
        <v/>
      </c>
      <c r="BK14" s="306" t="str">
        <f ca="1">IF(BH14&gt;0,IF(BC14="Transit Bus",IF(BD14="Gasoline",VLOOKUP(BL14,'Fuel Consumption'!$A$31:$L$2316,3,0)*VLOOKUP(BD14,'GHG EF'!$B$10:$H$19,5,0),IF(OR(BD14="CNG",BD14="LNG",BD14="Renewable Natural Gas"),VLOOKUP(BL14,'Fuel Consumption'!$A$31:$L$2316,4,0)*VLOOKUP(BD14,'GHG EF'!$B$10:$H$19,4,0), IF(OR(BD14="Electric",BD14="Renewable Electricity"),VLOOKUP(BL14,'Fuel Consumption'!$A$31:$L$2316,5,0),IF(BD14="Hydrogen Fuel Cell",VLOOKUP(BL14,'Fuel Consumption'!$A$31:$L$2316,5,0)*'GHG EF'!$C$13/'GHG EF'!$C$15*'GHG EF'!$I$13/'GHG EF'!$I$15, VLOOKUP(BL14,'Fuel Consumption'!$A$31:$L$2316,2,0)*VLOOKUP(BD14,'GHG EF'!$B$10:$H$19,4,0))))),
IF(BC14="Van",IF(OR(BD14="Diesel",BD14="Renewable Diesel",BD14="Biodiesel"),VLOOKUP(BL14,'Fuel Consumption'!$A$31:$L$2316,6,0)*VLOOKUP(BD14,'GHG EF'!$B$10:$H$19,4,0), IF(OR(BD14="CNG",BD14="LNG",BD14="Renewable Natural Gas"),VLOOKUP(BL14,'Fuel Consumption'!$A$31:$L$2316,7,0)*VLOOKUP(BD14,'GHG EF'!$B$10:$H$19,5,0), IF(OR(BD14="Electric",BD14="Renewable Electricity"),VLOOKUP(BL14,'Fuel Consumption'!$A$31:$L$2316,8,0),IF(BD14="Hydrogen Fuel Cell",VLOOKUP(BL14,'Fuel Consumption'!$A$31:$L$2316,8,0)*'GHG EF'!$C$13/'GHG EF'!$C$15*'GHG EF'!$J$13/'GHG EF'!$J$15,VLOOKUP(BL14,'Fuel Consumption'!$A$31:$L$2316,7,0)*VLOOKUP(BD14,'GHG EF'!$B$10:$H$19,5,0))))),
IF(BC14="Cut-A-Way",IF(OR(BD14="Diesel",BD14="Renewable Diesel",BD14="Biodiesel"),VLOOKUP(BL14,'Fuel Consumption'!$A$31:$L$2316,9,0)*VLOOKUP(BD14,'GHG EF'!$B$10:$H$19,4,0),IF(OR(BD14="CNG",BD14="LNG",BD14="Renewable Natural Gas"),VLOOKUP(BL14,'Fuel Consumption'!$A$31:$L$2316,10,0)*VLOOKUP(BD14,'GHG EF'!$B$10:$H$19,5,0), IF(OR(BD14="Electric",BD14="Renewable Electricity"),VLOOKUP(BL14,'Fuel Consumption'!$A$31:$L$2316,11,0),IF(BD14="Hydrogen Fuel Cell",VLOOKUP(BL14,'Fuel Consumption'!$A$31:$L$2316,11,0)*'GHG EF'!$C$13/'GHG EF'!$C$15*'GHG EF'!$J$13/'GHG EF'!$J$15, VLOOKUP(BL14,'Fuel Consumption'!$A$31:$L$2316,10,0)*VLOOKUP(BD14,'GHG EF'!$B$10:$H$19,5,0))))),
IF(BC14="Over-Road Coach",VLOOKUP(BL14,'Fuel Consumption'!$A$31:$L$2316,12,0)*VLOOKUP(BD14,'GHG EF'!$B$10:$H$19,4,0),IF(BC14="Heavy Rail",IF(OR(BD14=Defaults!$I$5,BD14=Defaults!$I$11), 'Rail C&amp;T EF'!$K$14*'GHG EF'!$C$12/'GHG EF'!$C$13/4.6, 'Rail C&amp;T EF'!$K$14*VLOOKUP(BD14,'GHG EF'!$B$10:$H$19,4,0)),IF(BC14="DMU / EMU",IF(OR(BD14=Defaults!$I$5,BD14=Defaults!$I$11), 'Rail C&amp;T EF'!$B$149*'GHG EF'!$C$12/'GHG EF'!$C$13/3.3, 'Rail C&amp;T EF'!$B$149*VLOOKUP(BD14,'GHG EF'!$B$10:$H$19,4,0)),IF(BC14="Light Rail",'Rail C&amp;T EF'!$K$14*'GHG EF'!$C$12/'GHG EF'!$C$13/3.3,IF(BC14="Streetcar",'Rail C&amp;T EF'!$K$14*'GHG EF'!$C$12/'GHG EF'!$C$13/3.1,"")))))))),"")</f>
        <v/>
      </c>
      <c r="BL14" s="306" t="str">
        <f t="shared" ca="1" si="13"/>
        <v>0_0</v>
      </c>
      <c r="BM14" s="306" t="str">
        <f ca="1">IFERROR((IF(BD14="Gasoline",VLOOKUP(BL14,'Fuel Consumption'!$A$31:$L$2316,3,0)*VLOOKUP(BD14,'GHG EF'!$B$10:$H$19,5,0), IF(OR(BD14="CNG",BD14="LNG",BD14="Renewable Natural Gas"),VLOOKUP(BL14,'Fuel Consumption'!$A$31:$L$2316,4,0)*VLOOKUP(BD14,'GHG EF'!$B$10:$H$19,4,0),IF(OR(BD14="Electric",BD14="Renewable Electricity"),VLOOKUP(BL14,'Fuel Consumption'!$A$31:$L$2316,5,0),IF(BD14="Hydrogen Fuel Cell",VLOOKUP(BL14,'Fuel Consumption'!$A$31:$L$2316,5,0)*'GHG EF'!$C$13/'GHG EF'!$C$15*'GHG EF'!$I$13/'GHG EF'!$I$15,VLOOKUP(BL14,'Fuel Consumption'!$A$31:$L$2316,2,0)*VLOOKUP(BD14,'GHG EF'!$B$10:$H$19,4,0))))) * VLOOKUP(BD14,'GHG EF'!$B$10:$H$19,2,0) * BF14),"")</f>
        <v/>
      </c>
      <c r="BN14" s="306" t="str">
        <f ca="1">IFERROR((IF(OR(BD14="Diesel",BD14="Renewable Diesel",BD14="Biodiesel"),VLOOKUP(BL14,'Fuel Consumption'!$A$31:$L$2316,6,0)*VLOOKUP(BD14,'GHG EF'!$B$10:$H$19,4,0),IF(OR(BD14="CNG",BD14="LNG",BD14="Renewable Natural Gas"),VLOOKUP(BL14,'Fuel Consumption'!$A$31:$L$2316,7,0)*VLOOKUP(BD14,'GHG EF'!$B$10:$H$19,5,0),IF(OR(BD14="Electric",BD14="Renewable Electricity"),VLOOKUP(BL14,'Fuel Consumption'!$A$31:$L$2316,8,0),IF(BD14="Hydrogen Fuel Cell",VLOOKUP(BL14,'Fuel Consumption'!$A$31:$L$2316,8,0)*'GHG EF'!$C$13/'GHG EF'!$C$15*'GHG EF'!$J$13/'GHG EF'!$J$15,VLOOKUP(BL14,'Fuel Consumption'!$A$31:$L$2316,7,0)*VLOOKUP(BD14,'GHG EF'!$B$10:$H$19,5,0)))))*VLOOKUP(BD14,'GHG EF'!$B$10:$H$19,2,0)*BF14),"")</f>
        <v/>
      </c>
      <c r="BO14" s="306" t="str">
        <f ca="1">IFERROR((IF(OR(BD14="Diesel",BD14="Renewable Diesel",BD14="Biodiesel"),VLOOKUP(BL14,'Fuel Consumption'!$A$31:$L$2316,9,0)*VLOOKUP(BD14,'GHG EF'!$B$10:$H$19,4,0),IF(OR(BD14="CNG",BD14="LNG",BD14="Renewable Natural Gas"),VLOOKUP(BL14,'Fuel Consumption'!$A$31:$L$2316,10,0)*VLOOKUP(BD14,'GHG EF'!$B$10:$H$19,5,0),IF(OR(BD14="Electric",BD14="Renewable Electricity"),VLOOKUP(BL14,'Fuel Consumption'!$A$31:$L$2316,11,0),IF(BD14="Hydrogen Fuel Cell",VLOOKUP(BL14,'Fuel Consumption'!$A$31:$L$2316,11,0)*'GHG EF'!$C$13/'GHG EF'!$C$15*'GHG EF'!$J$13/'GHG EF'!$J$15,VLOOKUP(BL14,'Fuel Consumption'!$A$31:$L$2316,10,0)*VLOOKUP(BD14,'GHG EF'!$B$10:$H$19,5,0))))) * VLOOKUP(BD14,'GHG EF'!$B$10:$H$19,2,0) * BF14),"")</f>
        <v/>
      </c>
      <c r="BP14" s="306" t="str">
        <f ca="1">IFERROR(VLOOKUP(BL14,'Fuel Consumption'!$A$31:$L$2316,12,0)*VLOOKUP(BD14,'GHG EF'!$B$10:$H$19,4,0) * VLOOKUP(BD14,'GHG EF'!$B$10:$H$19,2,0) * BF14,"")</f>
        <v/>
      </c>
      <c r="BQ14" s="1374" t="str">
        <f ca="1">IFERROR(IF(OR($BD14=Defaults!$I$5,$BD14=Defaults!$I$11), 'GHG EF'!$C$13*'GHG EF'!$C$12/'GHG EF'!$C$13/4.6, VLOOKUP(BD14,'GHG EF'!$B$10:$H$19,4,0)*VLOOKUP(BD14,'GHG EF'!$B$10:$H$19,2,0))*BF14*'Rail C&amp;T EF'!$K$14,"")</f>
        <v/>
      </c>
      <c r="BR14" s="1374" t="str">
        <f ca="1">IFERROR(IF(OR($BD14=Defaults!$I$5,$BD14=Defaults!$I$11), 'GHG EF'!$C$13*'GHG EF'!$C$12/'GHG EF'!$C$13/3.3, VLOOKUP(BD14,'GHG EF'!$B$10:$H$19,4,0)*VLOOKUP(BD14,'GHG EF'!$B$10:$H$19,2,0))*BF14*'Rail C&amp;T EF'!$B$149,"")</f>
        <v/>
      </c>
      <c r="BS14" s="1374" t="str">
        <f ca="1">IFERROR(VLOOKUP(BD14,'GHG EF'!$B$10:$H$19,2,0)*BF14,"")</f>
        <v/>
      </c>
      <c r="BT14" s="1374" t="str">
        <f ca="1">IF(OR($BD14=Defaults!$I$5,$BD14=Defaults!$I$10),'GHG EF'!$C$13*BF14*'GHG EF'!$C$12/'GHG EF'!$C$13/3.3*'Rail C&amp;T EF'!$K$14,"")</f>
        <v/>
      </c>
      <c r="BU14" s="1374" t="str">
        <f ca="1">IF(OR($BD14=Defaults!$I$5,$BD14=Defaults!$I$10),'GHG EF'!$C$13*BF14*'GHG EF'!$C$12/'GHG EF'!$C$13/3.1*'Rail C&amp;T EF'!$K$14,"")</f>
        <v/>
      </c>
      <c r="BV14" s="1374">
        <f ca="1">IF(OR($AD14=Defaults!$I$5, $AD14=Defaults!$I$7, $AD14=Defaults!$I$11),Defaults!$G$15,INDIRECT("'Quantifiable Component "&amp;$B14&amp;"'!"&amp;$D14&amp;ROW('Quantifiable Component 1'!$62:$62)))</f>
        <v>0</v>
      </c>
      <c r="BW14" s="1374" t="str">
        <f ca="1">IFERROR((IF(AND(BV14="yes",NOT(BD14=Defaults!$I$5),NOT(BD14=Defaults!$I$7),NOT(BD14=Defaults!$I$11)),0.8,1))*(IF(BC14="Transit Bus",BM14,IF(BC14="Van",BN14,IF(BC14="Cut-A-Way",BO14,IF(BC14="Over-Road Coach",BP14,IF(BC14="Heavy Rail",BQ14,IF(BC14="DMU / EMU",BR14,IF(BC14="Ferry",BS14,IF(BC14="Light Rail",BT14,BU14))))))))),"")</f>
        <v/>
      </c>
      <c r="BX14" s="1377" t="str">
        <f ca="1">IFERROR(VLOOKUP($BD14,'GHG EF'!$B$10:$H$19,2,0)*BF14,"")</f>
        <v/>
      </c>
      <c r="BY14" s="1377" t="str">
        <f t="shared" ca="1" si="14"/>
        <v/>
      </c>
      <c r="BZ14" s="1377" t="str">
        <f t="shared" ca="1" si="15"/>
        <v/>
      </c>
      <c r="CA14" s="1377" t="str">
        <f t="shared" ca="1" si="16"/>
        <v/>
      </c>
      <c r="CB14" s="1373" t="str">
        <f t="shared" ca="1" si="17"/>
        <v/>
      </c>
      <c r="CC14" s="1376">
        <f ca="1">INDIRECT("'Quantifiable Component "&amp;$B14&amp;"'!"&amp;$D14&amp;ROW('Quantifiable Component 1'!$69:$69))</f>
        <v>0</v>
      </c>
      <c r="CD14" s="1376">
        <f ca="1">INDIRECT("'Quantifiable Component "&amp;$B14&amp;"'!"&amp;$D14&amp;ROW('Quantifiable Component 1'!$72:$72))</f>
        <v>0</v>
      </c>
      <c r="CE14" s="1373">
        <f ca="1">INDIRECT("'Quantifiable Component "&amp;$B14&amp;"'!"&amp;$D14&amp;ROW('Quantifiable Component 1'!$74:$74))</f>
        <v>0</v>
      </c>
      <c r="CF14" s="306">
        <f ca="1">INDIRECT("'Quantifiable Component "&amp;$B14&amp;"'!"&amp;$D14&amp;ROW('Quantifiable Component 1'!$73:$73))</f>
        <v>0</v>
      </c>
      <c r="CG14" s="306" t="str">
        <f t="shared" ca="1" si="18"/>
        <v>0_0</v>
      </c>
      <c r="CH14" s="1373" t="str">
        <f ca="1">IFERROR(VLOOKUP($CD14,'GHG EF'!$B$10:$H$19,2,0)*VLOOKUP($CD14,'GHG EF'!$B$10:$H$19,3,0),"")</f>
        <v/>
      </c>
      <c r="CI14" s="1373" t="str">
        <f t="shared" ca="1" si="19"/>
        <v/>
      </c>
      <c r="CJ14" s="1373" t="str">
        <f t="shared" ca="1" si="20"/>
        <v/>
      </c>
      <c r="CK14" s="1378" t="str">
        <f ca="1">IF($F14=Defaults!$M$2, $BB14+IF($CA14="",0,$CA14)+IF($CJ14="",0,$CJ14), IF($F14=Defaults!$M$4,$CB14+IF($CJ14="",0,$CJ14),IF($F14=Defaults!$M$3,$AB14+IF($CJ14="",0,$CJ14), IF($F14=Defaults!$M$5,$CJ14,""))))</f>
        <v/>
      </c>
      <c r="CL14" s="1645"/>
    </row>
    <row r="15" spans="1:90" s="117" customFormat="1" ht="15.5" x14ac:dyDescent="0.35">
      <c r="A15" s="1646">
        <v>2</v>
      </c>
      <c r="B15" s="1367">
        <v>2</v>
      </c>
      <c r="C15" s="1379">
        <v>1</v>
      </c>
      <c r="D15" s="1368" t="str">
        <f>SUBSTITUTE(ADDRESS(1,COLUMN('Quantifiable Component 1'!E:E),4),"1","")</f>
        <v>E</v>
      </c>
      <c r="E15" s="1368" t="str">
        <f t="shared" si="0"/>
        <v>Quantifiable Component 2E</v>
      </c>
      <c r="F15" s="306">
        <f ca="1">INDIRECT("'Quantifiable Component "&amp;$B15&amp;"'!"&amp;$D15&amp;ROW('Quantifiable Component 1'!$28:$28))</f>
        <v>0</v>
      </c>
      <c r="G15" s="306">
        <f ca="1">INDIRECT("'Quantifiable Component "&amp;$B15&amp;"'!"&amp;$D15&amp;ROW('Quantifiable Component 1'!$29:$29))</f>
        <v>0</v>
      </c>
      <c r="H15" s="306">
        <f ca="1">INDIRECT("'Quantifiable Component "&amp;$B15&amp;"'!"&amp;$D15&amp;ROW('Quantifiable Component 1'!$32:$32))</f>
        <v>0</v>
      </c>
      <c r="I15" s="306">
        <f ca="1">INDIRECT("'Quantifiable Component "&amp;$B15&amp;"'!"&amp;$D15&amp;ROW('Quantifiable Component 1'!$33:$33))</f>
        <v>0</v>
      </c>
      <c r="J15" s="306">
        <f ca="1">INDIRECT("'Quantifiable Component "&amp;$B15&amp;"'!"&amp;$D15&amp;ROW('Quantifiable Component 1'!$31:$31))</f>
        <v>0</v>
      </c>
      <c r="K15" s="306" t="str">
        <f t="shared" ca="1" si="1"/>
        <v>0_0</v>
      </c>
      <c r="L15" s="306" t="str">
        <f t="shared" ca="1" si="2"/>
        <v>0_0</v>
      </c>
      <c r="M15" s="306">
        <f ca="1">INDIRECT("'Quantifiable Component "&amp;$B15&amp;"'!"&amp;$D15&amp;ROW('Quantifiable Component 1'!$37:$37))</f>
        <v>0</v>
      </c>
      <c r="N15" s="1369" t="str">
        <f ca="1">IFERROR(VLOOKUP((CONCATENATE(J15,"_",H15)),'Auto GHG'!$C$41:$D$2668,2,0),"")</f>
        <v/>
      </c>
      <c r="O15" s="306">
        <f ca="1">INDIRECT("'Quantifiable Component "&amp;$B15&amp;"'!"&amp;$D15&amp;ROW('Quantifiable Component 1'!$38:$38))</f>
        <v>0</v>
      </c>
      <c r="P15" s="1369" t="str">
        <f ca="1">IFERROR(IF(I15&lt;=2050,VLOOKUP((CONCATENATE(J15,"_",I15)),'Auto GHG'!$C$41:$D$2668,2,),VLOOKUP((CONCATENATE(J15,"_",2050)),'Auto GHG'!$C$41:$D$2668,2,)),"")</f>
        <v/>
      </c>
      <c r="Q15" s="306">
        <f ca="1">INDIRECT("'Quantifiable Component "&amp;$B15&amp;"'!"&amp;$D15&amp;ROW('Quantifiable Component 1'!$39:$39))</f>
        <v>0</v>
      </c>
      <c r="R15" s="306">
        <f ca="1">INDIRECT("'Quantifiable Component "&amp;$B15&amp;"'!"&amp;$D15&amp;ROW('Quantifiable Component 1'!$40:$40))</f>
        <v>0</v>
      </c>
      <c r="S15" s="306"/>
      <c r="T15" s="306"/>
      <c r="U15" s="1370">
        <f t="shared" ca="1" si="3"/>
        <v>0</v>
      </c>
      <c r="V15" s="1371" t="str">
        <f t="shared" ca="1" si="4"/>
        <v/>
      </c>
      <c r="W15" s="1370">
        <f t="shared" ca="1" si="5"/>
        <v>0</v>
      </c>
      <c r="X15" s="1370" t="str">
        <f t="shared" ca="1" si="6"/>
        <v/>
      </c>
      <c r="Y15" s="1372">
        <f ca="1">IFERROR(('GHG Calcs'!U15+'GHG Calcs'!W15)/2,"")</f>
        <v>0</v>
      </c>
      <c r="Z15" s="1372">
        <f t="shared" ca="1" si="7"/>
        <v>0</v>
      </c>
      <c r="AA15" s="1370" t="str">
        <f t="shared" ca="1" si="8"/>
        <v/>
      </c>
      <c r="AB15" s="1370" t="str">
        <f ca="1">IF(OR(F15=Defaults!$M$3,F15=Defaults!$M$3),AA15,"")</f>
        <v/>
      </c>
      <c r="AC15" s="306">
        <f ca="1">INDIRECT("'Quantifiable Component "&amp;$B15&amp;"'!"&amp;$D15&amp;ROW('Quantifiable Component 1'!$46:$46))</f>
        <v>0</v>
      </c>
      <c r="AD15" s="306">
        <f ca="1">INDIRECT("'Quantifiable Component "&amp;$B15&amp;"'!"&amp;$D15&amp;ROW('Quantifiable Component 1'!$49:$49))</f>
        <v>0</v>
      </c>
      <c r="AE15" s="1373">
        <f ca="1">INDIRECT("'Quantifiable Component "&amp;$B15&amp;"'!"&amp;$D15&amp;ROW('Quantifiable Component 1'!$54:$54))</f>
        <v>0</v>
      </c>
      <c r="AF15" s="306" t="str">
        <f ca="1">IFERROR(IF(ISBLANK(INDIRECT("'Quantifiable Component "&amp;$B15&amp;"'!"&amp;$D15&amp;ROW('Quantifiable Component 1'!$52:$52))),VLOOKUP($AD15,'GHG EF'!$B$10:$H$19,3,0),INDIRECT("'Quantifiable Component "&amp;$B15&amp;"'!"&amp;$D15&amp;ROW('Quantifiable Component 1'!$52:$52))),"")</f>
        <v/>
      </c>
      <c r="AG15" s="306">
        <f ca="1">INDIRECT("'Quantifiable Component "&amp;$B15&amp;"'!"&amp;$D15&amp;ROW('Quantifiable Component 1'!$51:$51))</f>
        <v>0</v>
      </c>
      <c r="AH15" s="306" t="str">
        <f t="shared" ca="1" si="9"/>
        <v>0_0</v>
      </c>
      <c r="AI15" s="1373">
        <f ca="1">INDIRECT("'Quantifiable Component "&amp;$B15&amp;"'!"&amp;$D15&amp;ROW('Quantifiable Component 1'!$53:$53))</f>
        <v>0</v>
      </c>
      <c r="AJ15" s="306" t="str">
        <f ca="1">IF(AND(AI15&gt;0,OR(AD15=Defaults!$I$5,AD15=Defaults!$I$11)), IF(AC15="Transit Bus",VLOOKUP(AH15,'Fuel Consumption'!$A$31:$L$2316,5,0), IF(AC15="Van",VLOOKUP(AH15,'Fuel Consumption'!$A$31:$L$2316,8,0), IF(AC15="Cut-A-Way",VLOOKUP(AH15,'Fuel Consumption'!$A$31:$L$2316,11,0), IF(AC15="Over-Road Coach",VLOOKUP(AH15,'Fuel Consumption'!$A$31:$L$2316,12,0)*VLOOKUP(AD15,'GHG EF'!$B$10:$H$19,4,0),IF(AC15="Heavy Rail",'Rail C&amp;T EF'!$K$14*'GHG EF'!$C$12/'GHG EF'!$C$13/4.6, IF(AC15="DMU / EMU",'Rail C&amp;T EF'!$B$149*'GHG EF'!$C$12/'GHG EF'!$C$13/3.3, IF(AC15="Light Rail",'Rail C&amp;T EF'!$K$14*'GHG EF'!$C$12/'GHG EF'!$C$13/3.3, IF(AC15="Streetcar",'Rail C&amp;T EF'!$K$14*'GHG EF'!$C$12/'GHG EF'!$C$13/3.1,0)))))))),"")</f>
        <v/>
      </c>
      <c r="AK15" s="306" t="b">
        <f ca="1">IF(AI15&gt;0,IF(OR(AD15=Defaults!$I$3,AD15=Defaults!$I$4,AD15=Defaults!$I$6,AD15=Defaults!$I$8),IF(AC15="Transit Bus",IF(AD15="Gasoline",VLOOKUP(AH15,'Fuel Consumption'!$A$31:$L$2316,3),IF(OR(AD15="CNG",AD15="LNG"),VLOOKUP(AH15,'Fuel Consumption'!$A$31:$L$2316,4),VLOOKUP(AH15,'Fuel Consumption'!$A$31:$L$2316,2))),IF(AC15="Van",IF(OR(AD15="Diesel",AD15="Renewable Diesel",AD15="Biodiesel"),VLOOKUP(AH15,'Fuel Consumption'!$A$31:$L$2316,6),IF(OR(AD15="CNG",AD15="LNG"),VLOOKUP(AH15,'Fuel Consumption'!$A$31:$L$2316,7)*VLOOKUP(AD15,'GHG EF'!$B$10:$H$19,5,0),VLOOKUP(AH15,'Fuel Consumption'!$A$31:$L$2316,7))),IF(AC15="Cut-A-Way",IF(OR(AD15="Diesel",AD15="Renewable Diesel",AD15="Biodiesel"),VLOOKUP(AH15,'Fuel Consumption'!$A$31:$L$2316,9),IF(OR(AD15="CNG",AD15="LNG"),VLOOKUP(AH15,'Fuel Consumption'!$A$31:$L$2316,10)*VLOOKUP(AD15,'GHG EF'!$B$10:$H$19,5,0),VLOOKUP(AH15,'Fuel Consumption'!$A$31:$L$2316,10))),IF(AC15="Over-Road Coach",VLOOKUP(AH15,'Fuel Consumption'!$A$31:$L$2316,12),IF(AC15="Heavy Rail",'Rail C&amp;T EF'!$K$14,IF(AC15="DMU / EMU",'Rail C&amp;T EF'!$B$149,"")))))*IF(AD15=Defaults!$I$3,1/'GHG EF'!$I$11,1)*IF(AD15=Defaults!$I$8,1/'GHG EF'!$I$16,1)),""))</f>
        <v>0</v>
      </c>
      <c r="AL15" s="306" t="str">
        <f ca="1">IF(AI15&gt;0,IF(AC15="Transit Bus",IF(AD15="Gasoline",VLOOKUP(AH15,'Fuel Consumption'!$A$31:$L$2316,3,0)*VLOOKUP(AD15,'GHG EF'!$B$10:$H$19,5,0),IF(OR(AD15="LNG",AD15="CNG",AD15="Renewable Natural Gas"),VLOOKUP(AH15,'Fuel Consumption'!$A$31:$L$2316,4)*VLOOKUP(AD15,'GHG EF'!$B$10:$H$19,4,0),IF(OR(AD15="Electric",AD15="Renewable Electricity"),VLOOKUP(AH15,'Fuel Consumption'!$A$31:$L$2316,5,0),IF(AD15="Hydrogen Fuel Cell",VLOOKUP(AH15,'Fuel Consumption'!$A$31:$L$2316,5,0)*'GHG EF'!$C$13/'GHG EF'!$C$15*'GHG EF'!$I$13/'GHG EF'!$I$15,VLOOKUP(AH15,'Fuel Consumption'!$A$31:$L$2316,2,0)*VLOOKUP(AD15,'GHG EF'!$B$10:$H$19,4,0))))),
IF(AC15="Van",IF(OR(AD15="Diesel",AD15="Renewable Diesel",AD15="Biodiesel"),VLOOKUP(AH15,'Fuel Consumption'!$A$31:$L$2316,6,0)*VLOOKUP(AD15,'GHG EF'!$B$10:$H$19,4,0),IF(OR(AD15="LNG",AD15="CNG",AD15="Renewable Natural Gas"),VLOOKUP(AH15,'Fuel Consumption'!$A$31:$L$2316,7)*VLOOKUP(AD15,'GHG EF'!$B$10:$H$19,5,0),IF(OR(AD15="Electric",AD15="Renewable Electricity"),VLOOKUP(AH15,'Fuel Consumption'!$A$31:$L$2316,8,0),IF(AD15="Hydrogen Fuel Cell",VLOOKUP(AH15,'Fuel Consumption'!$A$31:$L$2316,8,0)*'GHG EF'!$C$13/'GHG EF'!$C$15*'GHG EF'!$J$13/'GHG EF'!$J$15,VLOOKUP(AH15,'Fuel Consumption'!$A$31:$L$2316,7,0)*VLOOKUP(AD15,'GHG EF'!$B$10:$H$19,5,0))))),
IF(AC15="Cut-A-Way",IF(OR(AD15="Diesel",AD15="Renewable Diesel",AD15="Biodiesel"),VLOOKUP(AH15,'Fuel Consumption'!$A$31:$L$2316,9,0)*VLOOKUP(AD15,'GHG EF'!$B$10:$H$19,4,0),IF(OR(AD15="LNG",AD15="CNG",AD15="Renewable Natural Gas"),VLOOKUP(AH15,'Fuel Consumption'!$A$31:$L$2316,10)*VLOOKUP(AD15,'GHG EF'!$B$10:$H$19,5,0),IF(OR(AD15="Electric",AD15="Renewable Electricity"),VLOOKUP(AH15,'Fuel Consumption'!$A$31:$L$2316,11,0),IF(AD15="Hydrogen Fuel Cell",VLOOKUP(AH15,'Fuel Consumption'!$A$31:$L$2316,11,0)*'GHG EF'!$C$13/'GHG EF'!$C$15*'GHG EF'!$J$13/'GHG EF'!$J$15,VLOOKUP(AH15,'Fuel Consumption'!$A$31:$L$2316,10,0)*VLOOKUP(AD15,'GHG EF'!$B$10:$H$19,5,0))))),
IF(AC15="Over-Road Coach",VLOOKUP(AH15,'Fuel Consumption'!$A$31:$L$2316,12,0)*VLOOKUP(AD15,'GHG EF'!$B$10:$H$19,4,0),IF(AC15="Heavy Rail",IF(OR(AD15=Defaults!$I$5,AD15=Defaults!$I$11),'Rail C&amp;T EF'!$K$14*'GHG EF'!$C$12/'GHG EF'!$C$13/4.6,'Rail C&amp;T EF'!$K$14*VLOOKUP(AD15,'GHG EF'!$B$10:$H$19,4,0)),IF(AC15="DMU / EMU",IF(OR(AD15=Defaults!$I$5,AD15=Defaults!$I$11),'Rail C&amp;T EF'!$B$149*'GHG EF'!$C$12/'GHG EF'!$C$13/3.3,'Rail C&amp;T EF'!$B$149*VLOOKUP(AD15,'GHG EF'!$B$10:$H$19,4,0)),IF(AC15="Light Rail",'Rail C&amp;T EF'!$K$14*'GHG EF'!$C$12/'GHG EF'!$C$13/3.3,IF(AC15="Streetcar",'Rail C&amp;T EF'!$K$14*'GHG EF'!$C$12/'GHG EF'!$C$13/3.1,"")))))))),"")</f>
        <v/>
      </c>
      <c r="AM15" s="306" t="str">
        <f ca="1">IFERROR((IF(AD15="Gasoline",VLOOKUP(AH15,'Fuel Consumption'!$A$31:$L$2316,3,0)*VLOOKUP(AD15,'GHG EF'!$B$10:$H$19,5,0), IF(OR(AD15="CNG",AD15="LNG",AD15="Renewable Natural Gas"),VLOOKUP(AH15,'Fuel Consumption'!$A$31:$L$2316,4,0)*VLOOKUP(AD15,'GHG EF'!$B$10:$H$19,4,0),IF(OR(AD15="Electric",AD15="Renewable Electricity"),VLOOKUP(AH15,'Fuel Consumption'!$A$31:$L$2316,5,0),IF(AD15="Hydrogen Fuel Cell",VLOOKUP(AH15,'Fuel Consumption'!$A$31:$L$2316,5,0)*'GHG EF'!$C$13/'GHG EF'!$C$15*'GHG EF'!$I$13/'GHG EF'!$I$15,VLOOKUP(AH15,'Fuel Consumption'!$A$31:$L$2316,2,0)*VLOOKUP(AD15,'GHG EF'!$B$10:$H$19,4,0))))) * VLOOKUP(AD15,'GHG EF'!$B$10:$H$19,2,0) * AF15),"")</f>
        <v/>
      </c>
      <c r="AN15" s="306" t="str">
        <f ca="1">IFERROR((IF(OR(AD15="Diesel",AD15="Renewable Diesel",AD15="Biodiesel"),VLOOKUP(AH15,'Fuel Consumption'!$A$31:$L$2316,6,0)*VLOOKUP(AD15,'GHG EF'!$B$10:$H$19,4,0),IF(OR(AD15="CNG",AD15="LNG",AD15="Renewable Natural Gas"),VLOOKUP(AH15,'Fuel Consumption'!$A$31:$L$2316,7,0)*VLOOKUP(AD15,'GHG EF'!$B$10:$H$19,5,0),IF(OR(AD15="Electric",AD15="Renewable Electricity"),VLOOKUP(AH15,'Fuel Consumption'!$A$31:$L$2316,8,0),IF(AD15="Hydrogen Fuel Cell",VLOOKUP(AH15,'Fuel Consumption'!$A$31:$L$2316,8,0)*'GHG EF'!$C$13/'GHG EF'!$C$15*'GHG EF'!$J$13/'GHG EF'!$J$15,VLOOKUP(AH15,'Fuel Consumption'!$A$31:$L$2316,7,0)*VLOOKUP(AD15,'GHG EF'!$B$10:$H$19,5,0)))))*VLOOKUP(AD15,'GHG EF'!$B$10:$H$19,2,0)*AF15),"")</f>
        <v/>
      </c>
      <c r="AO15" s="306" t="str">
        <f ca="1">IFERROR((IF(OR(AD15="Diesel",AD15="Renewable Diesel",AD15="Biodiesel"),VLOOKUP(AH15,'Fuel Consumption'!$A$31:$L$2316,9,0)*VLOOKUP(AD15,'GHG EF'!$B$10:$H$19,4,0),IF(OR(AD15="CNG",AD15="LNG",AD15="Renewable Natural Gas"),VLOOKUP(AH15,'Fuel Consumption'!$A$31:$L$2316,10,0)*VLOOKUP(AD15,'GHG EF'!$B$10:$H$19,5,0),IF(OR(AD15="Electric",AD15="Renewable Electricity"),VLOOKUP(AH15,'Fuel Consumption'!$A$31:$L$2316,11,0),IF(AD15="Hydrogen Fuel Cell",VLOOKUP(AH15,'Fuel Consumption'!$A$31:$L$2316,11,0)*'GHG EF'!$C$13/'GHG EF'!$C$15*'GHG EF'!$J$13/'GHG EF'!$J$15,VLOOKUP(AH15,'Fuel Consumption'!$A$31:$L$2316,10,0)*VLOOKUP(AD15,'GHG EF'!$B$10:$H$19,5,0))))) * VLOOKUP(AD15,'GHG EF'!$B$10:$H$19,2,0) * AF15),"")</f>
        <v/>
      </c>
      <c r="AP15" s="306" t="str">
        <f ca="1">IFERROR(VLOOKUP(AH15,'Fuel Consumption'!$A$31:$L$2316,12,0)*VLOOKUP(AD15,'GHG EF'!$B$10:$H$19,4,0) * VLOOKUP(AD15,'GHG EF'!$B$10:$H$19,2,0) * AF15,"")</f>
        <v/>
      </c>
      <c r="AQ15" s="1374" t="str">
        <f ca="1">IFERROR(IF(OR(AD15=Defaults!$I$5,AD15=Defaults!$I$11), 'GHG EF'!$C$13*'GHG EF'!$C$12/'GHG EF'!$C$13/4.6, VLOOKUP(AD15,'GHG EF'!$B$10:$H$19,4,0)*VLOOKUP(AD15,'GHG EF'!$B$10:$H$19,2,0))*AF15*'Rail C&amp;T EF'!$K$14,"")</f>
        <v/>
      </c>
      <c r="AR15" s="1374" t="str">
        <f ca="1">IFERROR(IF(OR(AD15=Defaults!$I$5,AD15=Defaults!$I$11), 'GHG EF'!$C$13*'GHG EF'!$C$12/'GHG EF'!$C$13/3.3, VLOOKUP(AD15,'GHG EF'!$B$10:$H$19,4,0)*VLOOKUP(AD15,'GHG EF'!$B$10:$H$19,2,0))*AF15*'Rail C&amp;T EF'!$B$149,"")</f>
        <v/>
      </c>
      <c r="AS15" s="1374" t="str">
        <f ca="1">IFERROR(VLOOKUP(AD15,'GHG EF'!$B$10:$H$19,2,0)*AF15,"")</f>
        <v/>
      </c>
      <c r="AT15" s="1374" t="str">
        <f ca="1">IF(OR(AD15=Defaults!$I$5,AD15=Defaults!$I$10),'GHG EF'!$C$13*AF15*'GHG EF'!$C$12/'GHG EF'!$C$13/3.3*'Rail C&amp;T EF'!$K$14,"")</f>
        <v/>
      </c>
      <c r="AU15" s="1374" t="str">
        <f ca="1">IF(OR(AD15=Defaults!$I$5,AD15=Defaults!$I$10),'GHG EF'!$C$13*AF15*'GHG EF'!$C$12/'GHG EF'!$C$13/3.1*'Rail C&amp;T EF'!$K$14,"")</f>
        <v/>
      </c>
      <c r="AV15" s="1374">
        <f ca="1">IF(OR($AD15=Defaults!$I$5, $AD15=Defaults!$I$7, $AD15=Defaults!$I$11),Defaults!$G$15,INDIRECT("'Quantifiable Component "&amp;$B15&amp;"'!"&amp;$D15&amp;ROW('Quantifiable Component 1'!$50:$50)))</f>
        <v>0</v>
      </c>
      <c r="AW15" s="1374" t="str">
        <f ca="1">IFERROR((IF(AND(AV15="yes",NOT(AD15=Defaults!$I$5),NOT(AD15=Defaults!$I$7),NOT(AD15=Defaults!$I$11)),0.8,1))*(IF(AC15="Transit Bus",AM15,IF(AC15="Van",AN15,IF(AC15="Cut-A-Way",AO15,IF(AC15="Over-Road Coach",AP15,IF(AC15="Heavy Rail",AQ15,IF(AC15="DMU / EMU",AR15,IF(AC15="Ferry",AS15,IF(AC15="Light Rail",AT15,AU15))))))))),"")</f>
        <v/>
      </c>
      <c r="AX15" s="1374" t="str">
        <f ca="1">IFERROR(VLOOKUP($AD15,'GHG EF'!$B$10:$H$19,2,0)*AF15,"")</f>
        <v/>
      </c>
      <c r="AY15" s="1375" t="str">
        <f t="shared" ca="1" si="10"/>
        <v/>
      </c>
      <c r="AZ15" s="1374" t="str">
        <f t="shared" ca="1" si="11"/>
        <v/>
      </c>
      <c r="BA15" s="1375" t="str">
        <f ca="1">IFERROR(IF(G15=Defaults!$F$2,0,IF(AZ15&gt;0,AZ15*(I15-H15),AY15*(I15-H15))),"")</f>
        <v/>
      </c>
      <c r="BB15" s="1373" t="str">
        <f t="shared" ca="1" si="12"/>
        <v/>
      </c>
      <c r="BC15" s="1376">
        <f ca="1">INDIRECT("'Quantifiable Component "&amp;$B15&amp;"'!"&amp;$D15&amp;ROW('Quantifiable Component 1'!$58:$58))</f>
        <v>0</v>
      </c>
      <c r="BD15" s="306">
        <f ca="1">INDIRECT("'Quantifiable Component "&amp;$B15&amp;"'!"&amp;$D15&amp;ROW('Quantifiable Component 1'!$61:$61))</f>
        <v>0</v>
      </c>
      <c r="BE15" s="306">
        <f ca="1">INDIRECT("'Quantifiable Component "&amp;$B15&amp;"'!"&amp;$D15&amp;ROW('Quantifiable Component 1'!$66:$66))</f>
        <v>0</v>
      </c>
      <c r="BF15" s="306" t="str">
        <f ca="1">IFERROR(IF(ISBLANK(INDIRECT("'Quantifiable Component "&amp;$B15&amp;"'!"&amp;$D15&amp;ROW('Quantifiable Component 1'!$64:$64))),VLOOKUP($BD15,'GHG EF'!$B$10:$H$19,3,0),INDIRECT("'Quantifiable Component "&amp;$B15&amp;"'!"&amp;$D15&amp;ROW('Quantifiable Component 1'!$64:$64))),"")</f>
        <v/>
      </c>
      <c r="BG15" s="306">
        <f ca="1">INDIRECT("'Quantifiable Component "&amp;$B15&amp;"'!"&amp;$D15&amp;ROW('Quantifiable Component 1'!$63:$63))</f>
        <v>0</v>
      </c>
      <c r="BH15" s="1373">
        <f ca="1">INDIRECT("'Quantifiable Component "&amp;$B15&amp;"'!"&amp;$D15&amp;ROW('Quantifiable Component 1'!$65:$65))</f>
        <v>0</v>
      </c>
      <c r="BI15" s="306" t="str">
        <f ca="1">IF(AND(BH15&gt;0,OR(BD15=Defaults!$I$5,BD15=Defaults!$I$11)), IF(BC15="Transit Bus",VLOOKUP(BL15,'Fuel Consumption'!$A$31:$L$2316,5,0), IF(BC15="Van",VLOOKUP(BL15,'Fuel Consumption'!$A$31:$L$2316,8,0), IF(BC15="Cut-A-Way",VLOOKUP(BL15,'Fuel Consumption'!$A$31:$L$2316,11,0), IF(BC15="Over-Road Coach",VLOOKUP(BL15,'Fuel Consumption'!$A$31:$L$2316,12,0)*VLOOKUP(BD15,'GHG EF'!$B$10:$H$19,4,0),IF(BC15="Heavy Rail",'Rail C&amp;T EF'!$K$14*'GHG EF'!$C$12/'GHG EF'!$C$13/4.6, IF(BC15="DMU / EMU",'Rail C&amp;T EF'!$B$149*'GHG EF'!$C$12/'GHG EF'!$C$13/3.3, IF(BC15="Light Rail",'Rail C&amp;T EF'!$K$14*'GHG EF'!$C$12/'GHG EF'!$C$13/3.3, IF(BC15="Streetcar",'Rail C&amp;T EF'!$K$14*'GHG EF'!$C$12/'GHG EF'!$C$13/3.1,0)))))))),"")</f>
        <v/>
      </c>
      <c r="BJ15" s="306" t="str">
        <f ca="1">IF(BH15&gt;0,IF(OR(BD15=Defaults!$I$3,BD15=Defaults!$I$4, BD15=Defaults!$I$6, BD15=Defaults!$I$8),IF(BC15="Transit Bus",IF(BD15="Gasoline",VLOOKUP(BL15,'Fuel Consumption'!$A$31:$L$2316,3), IF(OR(BD15="CNG",BD15="LNG"),VLOOKUP(BL15,'Fuel Consumption'!$A$31:$L$2316,4,0),VLOOKUP(BL15,'Fuel Consumption'!$A$31:$L$2316,2))), IF(BC15="Van",IF(OR(BD15="Diesel",BD15="Renewable Diesel",BD15="Biodiesel"),VLOOKUP(BL15,'Fuel Consumption'!$A$31:$L$2316,6),IF(OR(BD15="CNG",BD15="LNG"),VLOOKUP(BL15,'Fuel Consumption'!$A$31:$L$2316,7,0)*VLOOKUP(BD15,'GHG EF'!$B$10:$H$19,5,0), VLOOKUP(BL15,'Fuel Consumption'!$A$31:$L$2316,7))), IF(BC15="Cut-A-Way",IF(OR(BD15="Diesel",BD15="Renewable Diesel",BD15="Biodiesel"),VLOOKUP(BL15,'Fuel Consumption'!$A$31:$L$2316,9),IF(OR(BD15="CNG",BD15="LNG"),VLOOKUP(BL15,'Fuel Consumption'!$A$31:$L$2316,10,0)*VLOOKUP(BD15,'GHG EF'!$B$10:$H$19,5,0), VLOOKUP(BL15,'Fuel Consumption'!$A$31:$L$2316,10))), IF(BC15="Over-Road Coach",VLOOKUP(BL15,'Fuel Consumption'!$A$31:$L$2316,12),IF(BC15="Heavy Rail",'Rail C&amp;T EF'!$K$14, IF(BC15="DMU / EMU",'Rail C&amp;T EF'!$B$149,"")))))) * IF(BD15=Defaults!$I$3,1/'GHG EF'!$I$11,1) * IF(BD15=Defaults!$I$8,1/'GHG EF'!$I$16,1),""),"")</f>
        <v/>
      </c>
      <c r="BK15" s="306" t="str">
        <f ca="1">IF(BH15&gt;0,IF(BC15="Transit Bus",IF(BD15="Gasoline",VLOOKUP(BL15,'Fuel Consumption'!$A$31:$L$2316,3,0)*VLOOKUP(BD15,'GHG EF'!$B$10:$H$19,5,0),IF(OR(BD15="CNG",BD15="LNG",BD15="Renewable Natural Gas"),VLOOKUP(BL15,'Fuel Consumption'!$A$31:$L$2316,4,0)*VLOOKUP(BD15,'GHG EF'!$B$10:$H$19,4,0), IF(OR(BD15="Electric",BD15="Renewable Electricity"),VLOOKUP(BL15,'Fuel Consumption'!$A$31:$L$2316,5,0),IF(BD15="Hydrogen Fuel Cell",VLOOKUP(BL15,'Fuel Consumption'!$A$31:$L$2316,5,0)*'GHG EF'!$C$13/'GHG EF'!$C$15*'GHG EF'!$I$13/'GHG EF'!$I$15, VLOOKUP(BL15,'Fuel Consumption'!$A$31:$L$2316,2,0)*VLOOKUP(BD15,'GHG EF'!$B$10:$H$19,4,0))))),
IF(BC15="Van",IF(OR(BD15="Diesel",BD15="Renewable Diesel",BD15="Biodiesel"),VLOOKUP(BL15,'Fuel Consumption'!$A$31:$L$2316,6,0)*VLOOKUP(BD15,'GHG EF'!$B$10:$H$19,4,0), IF(OR(BD15="CNG",BD15="LNG",BD15="Renewable Natural Gas"),VLOOKUP(BL15,'Fuel Consumption'!$A$31:$L$2316,7,0)*VLOOKUP(BD15,'GHG EF'!$B$10:$H$19,5,0), IF(OR(BD15="Electric",BD15="Renewable Electricity"),VLOOKUP(BL15,'Fuel Consumption'!$A$31:$L$2316,8,0),IF(BD15="Hydrogen Fuel Cell",VLOOKUP(BL15,'Fuel Consumption'!$A$31:$L$2316,8,0)*'GHG EF'!$C$13/'GHG EF'!$C$15*'GHG EF'!$J$13/'GHG EF'!$J$15,VLOOKUP(BL15,'Fuel Consumption'!$A$31:$L$2316,7,0)*VLOOKUP(BD15,'GHG EF'!$B$10:$H$19,5,0))))),
IF(BC15="Cut-A-Way",IF(OR(BD15="Diesel",BD15="Renewable Diesel",BD15="Biodiesel"),VLOOKUP(BL15,'Fuel Consumption'!$A$31:$L$2316,9,0)*VLOOKUP(BD15,'GHG EF'!$B$10:$H$19,4,0),IF(OR(BD15="CNG",BD15="LNG",BD15="Renewable Natural Gas"),VLOOKUP(BL15,'Fuel Consumption'!$A$31:$L$2316,10,0)*VLOOKUP(BD15,'GHG EF'!$B$10:$H$19,5,0), IF(OR(BD15="Electric",BD15="Renewable Electricity"),VLOOKUP(BL15,'Fuel Consumption'!$A$31:$L$2316,11,0),IF(BD15="Hydrogen Fuel Cell",VLOOKUP(BL15,'Fuel Consumption'!$A$31:$L$2316,11,0)*'GHG EF'!$C$13/'GHG EF'!$C$15*'GHG EF'!$J$13/'GHG EF'!$J$15, VLOOKUP(BL15,'Fuel Consumption'!$A$31:$L$2316,10,0)*VLOOKUP(BD15,'GHG EF'!$B$10:$H$19,5,0))))),
IF(BC15="Over-Road Coach",VLOOKUP(BL15,'Fuel Consumption'!$A$31:$L$2316,12,0)*VLOOKUP(BD15,'GHG EF'!$B$10:$H$19,4,0),IF(BC15="Heavy Rail",IF(OR(BD15=Defaults!$I$5,BD15=Defaults!$I$11), 'Rail C&amp;T EF'!$K$14*'GHG EF'!$C$12/'GHG EF'!$C$13/4.6, 'Rail C&amp;T EF'!$K$14*VLOOKUP(BD15,'GHG EF'!$B$10:$H$19,4,0)),IF(BC15="DMU / EMU",IF(OR(BD15=Defaults!$I$5,BD15=Defaults!$I$11), 'Rail C&amp;T EF'!$B$149*'GHG EF'!$C$12/'GHG EF'!$C$13/3.3, 'Rail C&amp;T EF'!$B$149*VLOOKUP(BD15,'GHG EF'!$B$10:$H$19,4,0)),IF(BC15="Light Rail",'Rail C&amp;T EF'!$K$14*'GHG EF'!$C$12/'GHG EF'!$C$13/3.3,IF(BC15="Streetcar",'Rail C&amp;T EF'!$K$14*'GHG EF'!$C$12/'GHG EF'!$C$13/3.1,"")))))))),"")</f>
        <v/>
      </c>
      <c r="BL15" s="306" t="str">
        <f t="shared" ca="1" si="13"/>
        <v>0_0</v>
      </c>
      <c r="BM15" s="306" t="str">
        <f ca="1">IFERROR((IF(BD15="Gasoline",VLOOKUP(BL15,'Fuel Consumption'!$A$31:$L$2316,3,0)*VLOOKUP(BD15,'GHG EF'!$B$10:$H$19,5,0), IF(OR(BD15="CNG",BD15="LNG",BD15="Renewable Natural Gas"),VLOOKUP(BL15,'Fuel Consumption'!$A$31:$L$2316,4,0)*VLOOKUP(BD15,'GHG EF'!$B$10:$H$19,4,0),IF(OR(BD15="Electric",BD15="Renewable Electricity"),VLOOKUP(BL15,'Fuel Consumption'!$A$31:$L$2316,5,0),IF(BD15="Hydrogen Fuel Cell",VLOOKUP(BL15,'Fuel Consumption'!$A$31:$L$2316,5,0)*'GHG EF'!$C$13/'GHG EF'!$C$15*'GHG EF'!$I$13/'GHG EF'!$I$15,VLOOKUP(BL15,'Fuel Consumption'!$A$31:$L$2316,2,0)*VLOOKUP(BD15,'GHG EF'!$B$10:$H$19,4,0))))) * VLOOKUP(BD15,'GHG EF'!$B$10:$H$19,2,0) * BF15),"")</f>
        <v/>
      </c>
      <c r="BN15" s="306" t="str">
        <f ca="1">IFERROR((IF(OR(BD15="Diesel",BD15="Renewable Diesel",BD15="Biodiesel"),VLOOKUP(BL15,'Fuel Consumption'!$A$31:$L$2316,6,0)*VLOOKUP(BD15,'GHG EF'!$B$10:$H$19,4,0),IF(OR(BD15="CNG",BD15="LNG",BD15="Renewable Natural Gas"),VLOOKUP(BL15,'Fuel Consumption'!$A$31:$L$2316,7,0)*VLOOKUP(BD15,'GHG EF'!$B$10:$H$19,5,0),IF(OR(BD15="Electric",BD15="Renewable Electricity"),VLOOKUP(BL15,'Fuel Consumption'!$A$31:$L$2316,8,0),IF(BD15="Hydrogen Fuel Cell",VLOOKUP(BL15,'Fuel Consumption'!$A$31:$L$2316,8,0)*'GHG EF'!$C$13/'GHG EF'!$C$15*'GHG EF'!$J$13/'GHG EF'!$J$15,VLOOKUP(BL15,'Fuel Consumption'!$A$31:$L$2316,7,0)*VLOOKUP(BD15,'GHG EF'!$B$10:$H$19,5,0)))))*VLOOKUP(BD15,'GHG EF'!$B$10:$H$19,2,0)*BF15),"")</f>
        <v/>
      </c>
      <c r="BO15" s="306" t="str">
        <f ca="1">IFERROR((IF(OR(BD15="Diesel",BD15="Renewable Diesel",BD15="Biodiesel"),VLOOKUP(BL15,'Fuel Consumption'!$A$31:$L$2316,9,0)*VLOOKUP(BD15,'GHG EF'!$B$10:$H$19,4,0),IF(OR(BD15="CNG",BD15="LNG",BD15="Renewable Natural Gas"),VLOOKUP(BL15,'Fuel Consumption'!$A$31:$L$2316,10,0)*VLOOKUP(BD15,'GHG EF'!$B$10:$H$19,5,0),IF(OR(BD15="Electric",BD15="Renewable Electricity"),VLOOKUP(BL15,'Fuel Consumption'!$A$31:$L$2316,11,0),IF(BD15="Hydrogen Fuel Cell",VLOOKUP(BL15,'Fuel Consumption'!$A$31:$L$2316,11,0)*'GHG EF'!$C$13/'GHG EF'!$C$15*'GHG EF'!$J$13/'GHG EF'!$J$15,VLOOKUP(BL15,'Fuel Consumption'!$A$31:$L$2316,10,0)*VLOOKUP(BD15,'GHG EF'!$B$10:$H$19,5,0))))) * VLOOKUP(BD15,'GHG EF'!$B$10:$H$19,2,0) * BF15),"")</f>
        <v/>
      </c>
      <c r="BP15" s="306" t="str">
        <f ca="1">IFERROR(VLOOKUP(BL15,'Fuel Consumption'!$A$31:$L$2316,12,0)*VLOOKUP(BD15,'GHG EF'!$B$10:$H$19,4,0) * VLOOKUP(BD15,'GHG EF'!$B$10:$H$19,2,0) * BF15,"")</f>
        <v/>
      </c>
      <c r="BQ15" s="1374" t="str">
        <f ca="1">IFERROR(IF(OR($BD15=Defaults!$I$5,$BD15=Defaults!$I$11), 'GHG EF'!$C$13*'GHG EF'!$C$12/'GHG EF'!$C$13/4.6, VLOOKUP(BD15,'GHG EF'!$B$10:$H$19,4,0)*VLOOKUP(BD15,'GHG EF'!$B$10:$H$19,2,0))*BF15*'Rail C&amp;T EF'!$K$14,"")</f>
        <v/>
      </c>
      <c r="BR15" s="1374" t="str">
        <f ca="1">IFERROR(IF(OR($BD15=Defaults!$I$5,$BD15=Defaults!$I$11), 'GHG EF'!$C$13*'GHG EF'!$C$12/'GHG EF'!$C$13/3.3, VLOOKUP(BD15,'GHG EF'!$B$10:$H$19,4,0)*VLOOKUP(BD15,'GHG EF'!$B$10:$H$19,2,0))*BF15*'Rail C&amp;T EF'!$B$149,"")</f>
        <v/>
      </c>
      <c r="BS15" s="1374" t="str">
        <f ca="1">IFERROR(VLOOKUP(BD15,'GHG EF'!$B$10:$H$19,2,0)*BF15,"")</f>
        <v/>
      </c>
      <c r="BT15" s="1374" t="str">
        <f ca="1">IF(OR($BD15=Defaults!$I$5,$BD15=Defaults!$I$10),'GHG EF'!$C$13*BF15*'GHG EF'!$C$12/'GHG EF'!$C$13/3.3*'Rail C&amp;T EF'!$K$14,"")</f>
        <v/>
      </c>
      <c r="BU15" s="1374" t="str">
        <f ca="1">IF(OR($BD15=Defaults!$I$5,$BD15=Defaults!$I$10),'GHG EF'!$C$13*BF15*'GHG EF'!$C$12/'GHG EF'!$C$13/3.1*'Rail C&amp;T EF'!$K$14,"")</f>
        <v/>
      </c>
      <c r="BV15" s="1374">
        <f ca="1">IF(OR($AD15=Defaults!$I$5, $AD15=Defaults!$I$7, $AD15=Defaults!$I$11),Defaults!$G$15,INDIRECT("'Quantifiable Component "&amp;$B15&amp;"'!"&amp;$D15&amp;ROW('Quantifiable Component 1'!$62:$62)))</f>
        <v>0</v>
      </c>
      <c r="BW15" s="1374" t="str">
        <f ca="1">IFERROR((IF(AND(BV15="yes",NOT(BD15=Defaults!$I$5),NOT(BD15=Defaults!$I$7),NOT(BD15=Defaults!$I$11)),0.8,1))*(IF(BC15="Transit Bus",BM15,IF(BC15="Van",BN15,IF(BC15="Cut-A-Way",BO15,IF(BC15="Over-Road Coach",BP15,IF(BC15="Heavy Rail",BQ15,IF(BC15="DMU / EMU",BR15,IF(BC15="Ferry",BS15,IF(BC15="Light Rail",BT15,BU15))))))))),"")</f>
        <v/>
      </c>
      <c r="BX15" s="1377" t="str">
        <f ca="1">IFERROR(VLOOKUP($BD15,'GHG EF'!$B$10:$H$19,2,0)*BF15,"")</f>
        <v/>
      </c>
      <c r="BY15" s="1377" t="str">
        <f t="shared" ca="1" si="14"/>
        <v/>
      </c>
      <c r="BZ15" s="1377" t="str">
        <f t="shared" ca="1" si="15"/>
        <v/>
      </c>
      <c r="CA15" s="1377" t="str">
        <f t="shared" ca="1" si="16"/>
        <v/>
      </c>
      <c r="CB15" s="1373" t="str">
        <f t="shared" ca="1" si="17"/>
        <v/>
      </c>
      <c r="CC15" s="1376">
        <f ca="1">INDIRECT("'Quantifiable Component "&amp;$B15&amp;"'!"&amp;$D15&amp;ROW('Quantifiable Component 1'!$69:$69))</f>
        <v>0</v>
      </c>
      <c r="CD15" s="1376">
        <f ca="1">INDIRECT("'Quantifiable Component "&amp;$B15&amp;"'!"&amp;$D15&amp;ROW('Quantifiable Component 1'!$72:$72))</f>
        <v>0</v>
      </c>
      <c r="CE15" s="1373">
        <f ca="1">INDIRECT("'Quantifiable Component "&amp;$B15&amp;"'!"&amp;$D15&amp;ROW('Quantifiable Component 1'!$74:$74))</f>
        <v>0</v>
      </c>
      <c r="CF15" s="306">
        <f ca="1">INDIRECT("'Quantifiable Component "&amp;$B15&amp;"'!"&amp;$D15&amp;ROW('Quantifiable Component 1'!$73:$73))</f>
        <v>0</v>
      </c>
      <c r="CG15" s="306" t="str">
        <f t="shared" ca="1" si="18"/>
        <v>0_0</v>
      </c>
      <c r="CH15" s="1373" t="str">
        <f ca="1">IFERROR(VLOOKUP($CD15,'GHG EF'!$B$10:$H$19,2,0)*VLOOKUP($CD15,'GHG EF'!$B$10:$H$19,3,0),"")</f>
        <v/>
      </c>
      <c r="CI15" s="1373" t="str">
        <f t="shared" ca="1" si="19"/>
        <v/>
      </c>
      <c r="CJ15" s="1373" t="str">
        <f t="shared" ca="1" si="20"/>
        <v/>
      </c>
      <c r="CK15" s="1378" t="str">
        <f ca="1">IF($F15=Defaults!$M$2, $BB15+IF($CA15="",0,$CA15)+IF($CJ15="",0,$CJ15), IF($F15=Defaults!$M$4,$CB15+IF($CJ15="",0,$CJ15),IF($F15=Defaults!$M$3,$AB15+IF($CJ15="",0,$CJ15), IF($F15=Defaults!$M$5,$CJ15,""))))</f>
        <v/>
      </c>
      <c r="CL15" s="1643">
        <f t="shared" ref="CL15" ca="1" si="21">SUM(CK15:CK17)</f>
        <v>0</v>
      </c>
    </row>
    <row r="16" spans="1:90" s="117" customFormat="1" ht="15.5" x14ac:dyDescent="0.35">
      <c r="A16" s="1647"/>
      <c r="B16" s="1367">
        <v>2</v>
      </c>
      <c r="C16" s="1379">
        <v>2</v>
      </c>
      <c r="D16" s="1368" t="str">
        <f>SUBSTITUTE(ADDRESS(1,COLUMN('Quantifiable Component 1'!H:H),4),"1","")</f>
        <v>H</v>
      </c>
      <c r="E16" s="1368" t="str">
        <f t="shared" si="0"/>
        <v>Quantifiable Component 2H</v>
      </c>
      <c r="F16" s="306">
        <f ca="1">INDIRECT("'Quantifiable Component "&amp;$B16&amp;"'!"&amp;$D16&amp;ROW('Quantifiable Component 1'!$28:$28))</f>
        <v>0</v>
      </c>
      <c r="G16" s="306">
        <f ca="1">INDIRECT("'Quantifiable Component "&amp;$B16&amp;"'!"&amp;$D16&amp;ROW('Quantifiable Component 1'!$29:$29))</f>
        <v>0</v>
      </c>
      <c r="H16" s="306">
        <f ca="1">INDIRECT("'Quantifiable Component "&amp;$B16&amp;"'!"&amp;$D16&amp;ROW('Quantifiable Component 1'!$32:$32))</f>
        <v>0</v>
      </c>
      <c r="I16" s="306">
        <f ca="1">INDIRECT("'Quantifiable Component "&amp;$B16&amp;"'!"&amp;$D16&amp;ROW('Quantifiable Component 1'!$33:$33))</f>
        <v>0</v>
      </c>
      <c r="J16" s="306">
        <f ca="1">INDIRECT("'Quantifiable Component "&amp;$B16&amp;"'!"&amp;$D16&amp;ROW('Quantifiable Component 1'!$31:$31))</f>
        <v>0</v>
      </c>
      <c r="K16" s="306" t="str">
        <f t="shared" ca="1" si="1"/>
        <v>0_0</v>
      </c>
      <c r="L16" s="306" t="str">
        <f t="shared" ca="1" si="2"/>
        <v>0_0</v>
      </c>
      <c r="M16" s="306">
        <f ca="1">INDIRECT("'Quantifiable Component "&amp;$B16&amp;"'!"&amp;$D16&amp;ROW('Quantifiable Component 1'!$37:$37))</f>
        <v>0</v>
      </c>
      <c r="N16" s="1369" t="str">
        <f ca="1">IFERROR(VLOOKUP((CONCATENATE(J16,"_",H16)),'Auto GHG'!$C$41:$D$2668,2,0),"")</f>
        <v/>
      </c>
      <c r="O16" s="306">
        <f ca="1">INDIRECT("'Quantifiable Component "&amp;$B16&amp;"'!"&amp;$D16&amp;ROW('Quantifiable Component 1'!$38:$38))</f>
        <v>0</v>
      </c>
      <c r="P16" s="1369" t="str">
        <f ca="1">IFERROR(IF(I16&lt;=2050,VLOOKUP((CONCATENATE(J16,"_",I16)),'Auto GHG'!$C$41:$D$2668,2,),VLOOKUP((CONCATENATE(J16,"_",2050)),'Auto GHG'!$C$41:$D$2668,2,)),"")</f>
        <v/>
      </c>
      <c r="Q16" s="306">
        <f ca="1">INDIRECT("'Quantifiable Component "&amp;$B16&amp;"'!"&amp;$D16&amp;ROW('Quantifiable Component 1'!$39:$39))</f>
        <v>0</v>
      </c>
      <c r="R16" s="306">
        <f ca="1">INDIRECT("'Quantifiable Component "&amp;$B16&amp;"'!"&amp;$D16&amp;ROW('Quantifiable Component 1'!$40:$40))</f>
        <v>0</v>
      </c>
      <c r="S16" s="306"/>
      <c r="T16" s="306"/>
      <c r="U16" s="1370">
        <f t="shared" ca="1" si="3"/>
        <v>0</v>
      </c>
      <c r="V16" s="1371" t="str">
        <f t="shared" ca="1" si="4"/>
        <v/>
      </c>
      <c r="W16" s="1370">
        <f t="shared" ca="1" si="5"/>
        <v>0</v>
      </c>
      <c r="X16" s="1370" t="str">
        <f t="shared" ca="1" si="6"/>
        <v/>
      </c>
      <c r="Y16" s="1372">
        <f ca="1">IFERROR(('GHG Calcs'!U16+'GHG Calcs'!W16)/2,"")</f>
        <v>0</v>
      </c>
      <c r="Z16" s="1372">
        <f t="shared" ca="1" si="7"/>
        <v>0</v>
      </c>
      <c r="AA16" s="1370" t="str">
        <f t="shared" ca="1" si="8"/>
        <v/>
      </c>
      <c r="AB16" s="1370" t="str">
        <f ca="1">IF(OR(F16=Defaults!$M$3,F16=Defaults!$M$3),AA16,"")</f>
        <v/>
      </c>
      <c r="AC16" s="306">
        <f ca="1">INDIRECT("'Quantifiable Component "&amp;$B16&amp;"'!"&amp;$D16&amp;ROW('Quantifiable Component 1'!$46:$46))</f>
        <v>0</v>
      </c>
      <c r="AD16" s="306">
        <f ca="1">INDIRECT("'Quantifiable Component "&amp;$B16&amp;"'!"&amp;$D16&amp;ROW('Quantifiable Component 1'!$49:$49))</f>
        <v>0</v>
      </c>
      <c r="AE16" s="1373">
        <f ca="1">INDIRECT("'Quantifiable Component "&amp;$B16&amp;"'!"&amp;$D16&amp;ROW('Quantifiable Component 1'!$54:$54))</f>
        <v>0</v>
      </c>
      <c r="AF16" s="306" t="str">
        <f ca="1">IFERROR(IF(ISBLANK(INDIRECT("'Quantifiable Component "&amp;$B16&amp;"'!"&amp;$D16&amp;ROW('Quantifiable Component 1'!$52:$52))),VLOOKUP($AD16,'GHG EF'!$B$10:$H$19,3,0),INDIRECT("'Quantifiable Component "&amp;$B16&amp;"'!"&amp;$D16&amp;ROW('Quantifiable Component 1'!$52:$52))),"")</f>
        <v/>
      </c>
      <c r="AG16" s="306">
        <f ca="1">INDIRECT("'Quantifiable Component "&amp;$B16&amp;"'!"&amp;$D16&amp;ROW('Quantifiable Component 1'!$51:$51))</f>
        <v>0</v>
      </c>
      <c r="AH16" s="306" t="str">
        <f t="shared" ca="1" si="9"/>
        <v>0_0</v>
      </c>
      <c r="AI16" s="1373">
        <f ca="1">INDIRECT("'Quantifiable Component "&amp;$B16&amp;"'!"&amp;$D16&amp;ROW('Quantifiable Component 1'!$53:$53))</f>
        <v>0</v>
      </c>
      <c r="AJ16" s="306" t="str">
        <f ca="1">IF(AND(AI16&gt;0,OR(AD16=Defaults!$I$5,AD16=Defaults!$I$11)), IF(AC16="Transit Bus",VLOOKUP(AH16,'Fuel Consumption'!$A$31:$L$2316,5,0), IF(AC16="Van",VLOOKUP(AH16,'Fuel Consumption'!$A$31:$L$2316,8,0), IF(AC16="Cut-A-Way",VLOOKUP(AH16,'Fuel Consumption'!$A$31:$L$2316,11,0), IF(AC16="Over-Road Coach",VLOOKUP(AH16,'Fuel Consumption'!$A$31:$L$2316,12,0)*VLOOKUP(AD16,'GHG EF'!$B$10:$H$19,4,0),IF(AC16="Heavy Rail",'Rail C&amp;T EF'!$K$14*'GHG EF'!$C$12/'GHG EF'!$C$13/4.6, IF(AC16="DMU / EMU",'Rail C&amp;T EF'!$B$149*'GHG EF'!$C$12/'GHG EF'!$C$13/3.3, IF(AC16="Light Rail",'Rail C&amp;T EF'!$K$14*'GHG EF'!$C$12/'GHG EF'!$C$13/3.3, IF(AC16="Streetcar",'Rail C&amp;T EF'!$K$14*'GHG EF'!$C$12/'GHG EF'!$C$13/3.1,0)))))))),"")</f>
        <v/>
      </c>
      <c r="AK16" s="306" t="b">
        <f ca="1">IF(AI16&gt;0,IF(OR(AD16=Defaults!$I$3,AD16=Defaults!$I$4,AD16=Defaults!$I$6,AD16=Defaults!$I$8),IF(AC16="Transit Bus",IF(AD16="Gasoline",VLOOKUP(AH16,'Fuel Consumption'!$A$31:$L$2316,3),IF(OR(AD16="CNG",AD16="LNG"),VLOOKUP(AH16,'Fuel Consumption'!$A$31:$L$2316,4),VLOOKUP(AH16,'Fuel Consumption'!$A$31:$L$2316,2))),IF(AC16="Van",IF(OR(AD16="Diesel",AD16="Renewable Diesel",AD16="Biodiesel"),VLOOKUP(AH16,'Fuel Consumption'!$A$31:$L$2316,6),IF(OR(AD16="CNG",AD16="LNG"),VLOOKUP(AH16,'Fuel Consumption'!$A$31:$L$2316,7)*VLOOKUP(AD16,'GHG EF'!$B$10:$H$19,5,0),VLOOKUP(AH16,'Fuel Consumption'!$A$31:$L$2316,7))),IF(AC16="Cut-A-Way",IF(OR(AD16="Diesel",AD16="Renewable Diesel",AD16="Biodiesel"),VLOOKUP(AH16,'Fuel Consumption'!$A$31:$L$2316,9),IF(OR(AD16="CNG",AD16="LNG"),VLOOKUP(AH16,'Fuel Consumption'!$A$31:$L$2316,10)*VLOOKUP(AD16,'GHG EF'!$B$10:$H$19,5,0),VLOOKUP(AH16,'Fuel Consumption'!$A$31:$L$2316,10))),IF(AC16="Over-Road Coach",VLOOKUP(AH16,'Fuel Consumption'!$A$31:$L$2316,12),IF(AC16="Heavy Rail",'Rail C&amp;T EF'!$K$14,IF(AC16="DMU / EMU",'Rail C&amp;T EF'!$B$149,"")))))*IF(AD16=Defaults!$I$3,1/'GHG EF'!$I$11,1)*IF(AD16=Defaults!$I$8,1/'GHG EF'!$I$16,1)),""))</f>
        <v>0</v>
      </c>
      <c r="AL16" s="306" t="str">
        <f ca="1">IF(AI16&gt;0,IF(AC16="Transit Bus",IF(AD16="Gasoline",VLOOKUP(AH16,'Fuel Consumption'!$A$31:$L$2316,3,0)*VLOOKUP(AD16,'GHG EF'!$B$10:$H$19,5,0),IF(OR(AD16="LNG",AD16="CNG",AD16="Renewable Natural Gas"),VLOOKUP(AH16,'Fuel Consumption'!$A$31:$L$2316,4)*VLOOKUP(AD16,'GHG EF'!$B$10:$H$19,4,0),IF(OR(AD16="Electric",AD16="Renewable Electricity"),VLOOKUP(AH16,'Fuel Consumption'!$A$31:$L$2316,5,0),IF(AD16="Hydrogen Fuel Cell",VLOOKUP(AH16,'Fuel Consumption'!$A$31:$L$2316,5,0)*'GHG EF'!$C$13/'GHG EF'!$C$15*'GHG EF'!$I$13/'GHG EF'!$I$15,VLOOKUP(AH16,'Fuel Consumption'!$A$31:$L$2316,2,0)*VLOOKUP(AD16,'GHG EF'!$B$10:$H$19,4,0))))),
IF(AC16="Van",IF(OR(AD16="Diesel",AD16="Renewable Diesel",AD16="Biodiesel"),VLOOKUP(AH16,'Fuel Consumption'!$A$31:$L$2316,6,0)*VLOOKUP(AD16,'GHG EF'!$B$10:$H$19,4,0),IF(OR(AD16="LNG",AD16="CNG",AD16="Renewable Natural Gas"),VLOOKUP(AH16,'Fuel Consumption'!$A$31:$L$2316,7)*VLOOKUP(AD16,'GHG EF'!$B$10:$H$19,5,0),IF(OR(AD16="Electric",AD16="Renewable Electricity"),VLOOKUP(AH16,'Fuel Consumption'!$A$31:$L$2316,8,0),IF(AD16="Hydrogen Fuel Cell",VLOOKUP(AH16,'Fuel Consumption'!$A$31:$L$2316,8,0)*'GHG EF'!$C$13/'GHG EF'!$C$15*'GHG EF'!$J$13/'GHG EF'!$J$15,VLOOKUP(AH16,'Fuel Consumption'!$A$31:$L$2316,7,0)*VLOOKUP(AD16,'GHG EF'!$B$10:$H$19,5,0))))),
IF(AC16="Cut-A-Way",IF(OR(AD16="Diesel",AD16="Renewable Diesel",AD16="Biodiesel"),VLOOKUP(AH16,'Fuel Consumption'!$A$31:$L$2316,9,0)*VLOOKUP(AD16,'GHG EF'!$B$10:$H$19,4,0),IF(OR(AD16="LNG",AD16="CNG",AD16="Renewable Natural Gas"),VLOOKUP(AH16,'Fuel Consumption'!$A$31:$L$2316,10)*VLOOKUP(AD16,'GHG EF'!$B$10:$H$19,5,0),IF(OR(AD16="Electric",AD16="Renewable Electricity"),VLOOKUP(AH16,'Fuel Consumption'!$A$31:$L$2316,11,0),IF(AD16="Hydrogen Fuel Cell",VLOOKUP(AH16,'Fuel Consumption'!$A$31:$L$2316,11,0)*'GHG EF'!$C$13/'GHG EF'!$C$15*'GHG EF'!$J$13/'GHG EF'!$J$15,VLOOKUP(AH16,'Fuel Consumption'!$A$31:$L$2316,10,0)*VLOOKUP(AD16,'GHG EF'!$B$10:$H$19,5,0))))),
IF(AC16="Over-Road Coach",VLOOKUP(AH16,'Fuel Consumption'!$A$31:$L$2316,12,0)*VLOOKUP(AD16,'GHG EF'!$B$10:$H$19,4,0),IF(AC16="Heavy Rail",IF(OR(AD16=Defaults!$I$5,AD16=Defaults!$I$11),'Rail C&amp;T EF'!$K$14*'GHG EF'!$C$12/'GHG EF'!$C$13/4.6,'Rail C&amp;T EF'!$K$14*VLOOKUP(AD16,'GHG EF'!$B$10:$H$19,4,0)),IF(AC16="DMU / EMU",IF(OR(AD16=Defaults!$I$5,AD16=Defaults!$I$11),'Rail C&amp;T EF'!$B$149*'GHG EF'!$C$12/'GHG EF'!$C$13/3.3,'Rail C&amp;T EF'!$B$149*VLOOKUP(AD16,'GHG EF'!$B$10:$H$19,4,0)),IF(AC16="Light Rail",'Rail C&amp;T EF'!$K$14*'GHG EF'!$C$12/'GHG EF'!$C$13/3.3,IF(AC16="Streetcar",'Rail C&amp;T EF'!$K$14*'GHG EF'!$C$12/'GHG EF'!$C$13/3.1,"")))))))),"")</f>
        <v/>
      </c>
      <c r="AM16" s="306" t="str">
        <f ca="1">IFERROR((IF(AD16="Gasoline",VLOOKUP(AH16,'Fuel Consumption'!$A$31:$L$2316,3,0)*VLOOKUP(AD16,'GHG EF'!$B$10:$H$19,5,0), IF(OR(AD16="CNG",AD16="LNG",AD16="Renewable Natural Gas"),VLOOKUP(AH16,'Fuel Consumption'!$A$31:$L$2316,4,0)*VLOOKUP(AD16,'GHG EF'!$B$10:$H$19,4,0),IF(OR(AD16="Electric",AD16="Renewable Electricity"),VLOOKUP(AH16,'Fuel Consumption'!$A$31:$L$2316,5,0),IF(AD16="Hydrogen Fuel Cell",VLOOKUP(AH16,'Fuel Consumption'!$A$31:$L$2316,5,0)*'GHG EF'!$C$13/'GHG EF'!$C$15*'GHG EF'!$I$13/'GHG EF'!$I$15,VLOOKUP(AH16,'Fuel Consumption'!$A$31:$L$2316,2,0)*VLOOKUP(AD16,'GHG EF'!$B$10:$H$19,4,0))))) * VLOOKUP(AD16,'GHG EF'!$B$10:$H$19,2,0) * AF16),"")</f>
        <v/>
      </c>
      <c r="AN16" s="306" t="str">
        <f ca="1">IFERROR((IF(OR(AD16="Diesel",AD16="Renewable Diesel",AD16="Biodiesel"),VLOOKUP(AH16,'Fuel Consumption'!$A$31:$L$2316,6,0)*VLOOKUP(AD16,'GHG EF'!$B$10:$H$19,4,0),IF(OR(AD16="CNG",AD16="LNG",AD16="Renewable Natural Gas"),VLOOKUP(AH16,'Fuel Consumption'!$A$31:$L$2316,7,0)*VLOOKUP(AD16,'GHG EF'!$B$10:$H$19,5,0),IF(OR(AD16="Electric",AD16="Renewable Electricity"),VLOOKUP(AH16,'Fuel Consumption'!$A$31:$L$2316,8,0),IF(AD16="Hydrogen Fuel Cell",VLOOKUP(AH16,'Fuel Consumption'!$A$31:$L$2316,8,0)*'GHG EF'!$C$13/'GHG EF'!$C$15*'GHG EF'!$J$13/'GHG EF'!$J$15,VLOOKUP(AH16,'Fuel Consumption'!$A$31:$L$2316,7,0)*VLOOKUP(AD16,'GHG EF'!$B$10:$H$19,5,0)))))*VLOOKUP(AD16,'GHG EF'!$B$10:$H$19,2,0)*AF16),"")</f>
        <v/>
      </c>
      <c r="AO16" s="306" t="str">
        <f ca="1">IFERROR((IF(OR(AD16="Diesel",AD16="Renewable Diesel",AD16="Biodiesel"),VLOOKUP(AH16,'Fuel Consumption'!$A$31:$L$2316,9,0)*VLOOKUP(AD16,'GHG EF'!$B$10:$H$19,4,0),IF(OR(AD16="CNG",AD16="LNG",AD16="Renewable Natural Gas"),VLOOKUP(AH16,'Fuel Consumption'!$A$31:$L$2316,10,0)*VLOOKUP(AD16,'GHG EF'!$B$10:$H$19,5,0),IF(OR(AD16="Electric",AD16="Renewable Electricity"),VLOOKUP(AH16,'Fuel Consumption'!$A$31:$L$2316,11,0),IF(AD16="Hydrogen Fuel Cell",VLOOKUP(AH16,'Fuel Consumption'!$A$31:$L$2316,11,0)*'GHG EF'!$C$13/'GHG EF'!$C$15*'GHG EF'!$J$13/'GHG EF'!$J$15,VLOOKUP(AH16,'Fuel Consumption'!$A$31:$L$2316,10,0)*VLOOKUP(AD16,'GHG EF'!$B$10:$H$19,5,0))))) * VLOOKUP(AD16,'GHG EF'!$B$10:$H$19,2,0) * AF16),"")</f>
        <v/>
      </c>
      <c r="AP16" s="306" t="str">
        <f ca="1">IFERROR(VLOOKUP(AH16,'Fuel Consumption'!$A$31:$L$2316,12,0)*VLOOKUP(AD16,'GHG EF'!$B$10:$H$19,4,0) * VLOOKUP(AD16,'GHG EF'!$B$10:$H$19,2,0) * AF16,"")</f>
        <v/>
      </c>
      <c r="AQ16" s="1374" t="str">
        <f ca="1">IFERROR(IF(OR(AD16=Defaults!$I$5,AD16=Defaults!$I$11), 'GHG EF'!$C$13*'GHG EF'!$C$12/'GHG EF'!$C$13/4.6, VLOOKUP(AD16,'GHG EF'!$B$10:$H$19,4,0)*VLOOKUP(AD16,'GHG EF'!$B$10:$H$19,2,0))*AF16*'Rail C&amp;T EF'!$K$14,"")</f>
        <v/>
      </c>
      <c r="AR16" s="1374" t="str">
        <f ca="1">IFERROR(IF(OR(AD16=Defaults!$I$5,AD16=Defaults!$I$11), 'GHG EF'!$C$13*'GHG EF'!$C$12/'GHG EF'!$C$13/3.3, VLOOKUP(AD16,'GHG EF'!$B$10:$H$19,4,0)*VLOOKUP(AD16,'GHG EF'!$B$10:$H$19,2,0))*AF16*'Rail C&amp;T EF'!$B$149,"")</f>
        <v/>
      </c>
      <c r="AS16" s="1374" t="str">
        <f ca="1">IFERROR(VLOOKUP(AD16,'GHG EF'!$B$10:$H$19,2,0)*AF16,"")</f>
        <v/>
      </c>
      <c r="AT16" s="1374" t="str">
        <f ca="1">IF(OR(AD16=Defaults!$I$5,AD16=Defaults!$I$10),'GHG EF'!$C$13*AF16*'GHG EF'!$C$12/'GHG EF'!$C$13/3.3*'Rail C&amp;T EF'!$K$14,"")</f>
        <v/>
      </c>
      <c r="AU16" s="1374" t="str">
        <f ca="1">IF(OR(AD16=Defaults!$I$5,AD16=Defaults!$I$10),'GHG EF'!$C$13*AF16*'GHG EF'!$C$12/'GHG EF'!$C$13/3.1*'Rail C&amp;T EF'!$K$14,"")</f>
        <v/>
      </c>
      <c r="AV16" s="1374">
        <f ca="1">IF(OR($AD16=Defaults!$I$5, $AD16=Defaults!$I$7, $AD16=Defaults!$I$11),Defaults!$G$15,INDIRECT("'Quantifiable Component "&amp;$B16&amp;"'!"&amp;$D16&amp;ROW('Quantifiable Component 1'!$50:$50)))</f>
        <v>0</v>
      </c>
      <c r="AW16" s="1374" t="str">
        <f ca="1">IFERROR((IF(AND(AV16="yes",NOT(AD16=Defaults!$I$5),NOT(AD16=Defaults!$I$7),NOT(AD16=Defaults!$I$11)),0.8,1))*(IF(AC16="Transit Bus",AM16,IF(AC16="Van",AN16,IF(AC16="Cut-A-Way",AO16,IF(AC16="Over-Road Coach",AP16,IF(AC16="Heavy Rail",AQ16,IF(AC16="DMU / EMU",AR16,IF(AC16="Ferry",AS16,IF(AC16="Light Rail",AT16,AU16))))))))),"")</f>
        <v/>
      </c>
      <c r="AX16" s="1374" t="str">
        <f ca="1">IFERROR(VLOOKUP($AD16,'GHG EF'!$B$10:$H$19,2,0)*AF16,"")</f>
        <v/>
      </c>
      <c r="AY16" s="1375" t="str">
        <f t="shared" ca="1" si="10"/>
        <v/>
      </c>
      <c r="AZ16" s="1374" t="str">
        <f t="shared" ca="1" si="11"/>
        <v/>
      </c>
      <c r="BA16" s="1375" t="str">
        <f ca="1">IFERROR(IF(G16=Defaults!$F$2,0,IF(AZ16&gt;0,AZ16*(I16-H16),AY16*(I16-H16))),"")</f>
        <v/>
      </c>
      <c r="BB16" s="1373" t="str">
        <f t="shared" ca="1" si="12"/>
        <v/>
      </c>
      <c r="BC16" s="1376">
        <f ca="1">INDIRECT("'Quantifiable Component "&amp;$B16&amp;"'!"&amp;$D16&amp;ROW('Quantifiable Component 1'!$58:$58))</f>
        <v>0</v>
      </c>
      <c r="BD16" s="306">
        <f ca="1">INDIRECT("'Quantifiable Component "&amp;$B16&amp;"'!"&amp;$D16&amp;ROW('Quantifiable Component 1'!$61:$61))</f>
        <v>0</v>
      </c>
      <c r="BE16" s="306">
        <f ca="1">INDIRECT("'Quantifiable Component "&amp;$B16&amp;"'!"&amp;$D16&amp;ROW('Quantifiable Component 1'!$66:$66))</f>
        <v>0</v>
      </c>
      <c r="BF16" s="306" t="str">
        <f ca="1">IFERROR(IF(ISBLANK(INDIRECT("'Quantifiable Component "&amp;$B16&amp;"'!"&amp;$D16&amp;ROW('Quantifiable Component 1'!$64:$64))),VLOOKUP($BD16,'GHG EF'!$B$10:$H$19,3,0),INDIRECT("'Quantifiable Component "&amp;$B16&amp;"'!"&amp;$D16&amp;ROW('Quantifiable Component 1'!$64:$64))),"")</f>
        <v/>
      </c>
      <c r="BG16" s="306">
        <f ca="1">INDIRECT("'Quantifiable Component "&amp;$B16&amp;"'!"&amp;$D16&amp;ROW('Quantifiable Component 1'!$63:$63))</f>
        <v>0</v>
      </c>
      <c r="BH16" s="1373">
        <f ca="1">INDIRECT("'Quantifiable Component "&amp;$B16&amp;"'!"&amp;$D16&amp;ROW('Quantifiable Component 1'!$65:$65))</f>
        <v>0</v>
      </c>
      <c r="BI16" s="306" t="str">
        <f ca="1">IF(AND(BH16&gt;0,OR(BD16=Defaults!$I$5,BD16=Defaults!$I$11)), IF(BC16="Transit Bus",VLOOKUP(BL16,'Fuel Consumption'!$A$31:$L$2316,5,0), IF(BC16="Van",VLOOKUP(BL16,'Fuel Consumption'!$A$31:$L$2316,8,0), IF(BC16="Cut-A-Way",VLOOKUP(BL16,'Fuel Consumption'!$A$31:$L$2316,11,0), IF(BC16="Over-Road Coach",VLOOKUP(BL16,'Fuel Consumption'!$A$31:$L$2316,12,0)*VLOOKUP(BD16,'GHG EF'!$B$10:$H$19,4,0),IF(BC16="Heavy Rail",'Rail C&amp;T EF'!$K$14*'GHG EF'!$C$12/'GHG EF'!$C$13/4.6, IF(BC16="DMU / EMU",'Rail C&amp;T EF'!$B$149*'GHG EF'!$C$12/'GHG EF'!$C$13/3.3, IF(BC16="Light Rail",'Rail C&amp;T EF'!$K$14*'GHG EF'!$C$12/'GHG EF'!$C$13/3.3, IF(BC16="Streetcar",'Rail C&amp;T EF'!$K$14*'GHG EF'!$C$12/'GHG EF'!$C$13/3.1,0)))))))),"")</f>
        <v/>
      </c>
      <c r="BJ16" s="306" t="str">
        <f ca="1">IF(BH16&gt;0,IF(OR(BD16=Defaults!$I$3,BD16=Defaults!$I$4, BD16=Defaults!$I$6, BD16=Defaults!$I$8),IF(BC16="Transit Bus",IF(BD16="Gasoline",VLOOKUP(BL16,'Fuel Consumption'!$A$31:$L$2316,3), IF(OR(BD16="CNG",BD16="LNG"),VLOOKUP(BL16,'Fuel Consumption'!$A$31:$L$2316,4,0),VLOOKUP(BL16,'Fuel Consumption'!$A$31:$L$2316,2))), IF(BC16="Van",IF(OR(BD16="Diesel",BD16="Renewable Diesel",BD16="Biodiesel"),VLOOKUP(BL16,'Fuel Consumption'!$A$31:$L$2316,6),IF(OR(BD16="CNG",BD16="LNG"),VLOOKUP(BL16,'Fuel Consumption'!$A$31:$L$2316,7,0)*VLOOKUP(BD16,'GHG EF'!$B$10:$H$19,5,0), VLOOKUP(BL16,'Fuel Consumption'!$A$31:$L$2316,7))), IF(BC16="Cut-A-Way",IF(OR(BD16="Diesel",BD16="Renewable Diesel",BD16="Biodiesel"),VLOOKUP(BL16,'Fuel Consumption'!$A$31:$L$2316,9),IF(OR(BD16="CNG",BD16="LNG"),VLOOKUP(BL16,'Fuel Consumption'!$A$31:$L$2316,10,0)*VLOOKUP(BD16,'GHG EF'!$B$10:$H$19,5,0), VLOOKUP(BL16,'Fuel Consumption'!$A$31:$L$2316,10))), IF(BC16="Over-Road Coach",VLOOKUP(BL16,'Fuel Consumption'!$A$31:$L$2316,12),IF(BC16="Heavy Rail",'Rail C&amp;T EF'!$K$14, IF(BC16="DMU / EMU",'Rail C&amp;T EF'!$B$149,"")))))) * IF(BD16=Defaults!$I$3,1/'GHG EF'!$I$11,1) * IF(BD16=Defaults!$I$8,1/'GHG EF'!$I$16,1),""),"")</f>
        <v/>
      </c>
      <c r="BK16" s="306" t="str">
        <f ca="1">IF(BH16&gt;0,IF(BC16="Transit Bus",IF(BD16="Gasoline",VLOOKUP(BL16,'Fuel Consumption'!$A$31:$L$2316,3,0)*VLOOKUP(BD16,'GHG EF'!$B$10:$H$19,5,0),IF(OR(BD16="CNG",BD16="LNG",BD16="Renewable Natural Gas"),VLOOKUP(BL16,'Fuel Consumption'!$A$31:$L$2316,4,0)*VLOOKUP(BD16,'GHG EF'!$B$10:$H$19,4,0), IF(OR(BD16="Electric",BD16="Renewable Electricity"),VLOOKUP(BL16,'Fuel Consumption'!$A$31:$L$2316,5,0),IF(BD16="Hydrogen Fuel Cell",VLOOKUP(BL16,'Fuel Consumption'!$A$31:$L$2316,5,0)*'GHG EF'!$C$13/'GHG EF'!$C$15*'GHG EF'!$I$13/'GHG EF'!$I$15, VLOOKUP(BL16,'Fuel Consumption'!$A$31:$L$2316,2,0)*VLOOKUP(BD16,'GHG EF'!$B$10:$H$19,4,0))))),
IF(BC16="Van",IF(OR(BD16="Diesel",BD16="Renewable Diesel",BD16="Biodiesel"),VLOOKUP(BL16,'Fuel Consumption'!$A$31:$L$2316,6,0)*VLOOKUP(BD16,'GHG EF'!$B$10:$H$19,4,0), IF(OR(BD16="CNG",BD16="LNG",BD16="Renewable Natural Gas"),VLOOKUP(BL16,'Fuel Consumption'!$A$31:$L$2316,7,0)*VLOOKUP(BD16,'GHG EF'!$B$10:$H$19,5,0), IF(OR(BD16="Electric",BD16="Renewable Electricity"),VLOOKUP(BL16,'Fuel Consumption'!$A$31:$L$2316,8,0),IF(BD16="Hydrogen Fuel Cell",VLOOKUP(BL16,'Fuel Consumption'!$A$31:$L$2316,8,0)*'GHG EF'!$C$13/'GHG EF'!$C$15*'GHG EF'!$J$13/'GHG EF'!$J$15,VLOOKUP(BL16,'Fuel Consumption'!$A$31:$L$2316,7,0)*VLOOKUP(BD16,'GHG EF'!$B$10:$H$19,5,0))))),
IF(BC16="Cut-A-Way",IF(OR(BD16="Diesel",BD16="Renewable Diesel",BD16="Biodiesel"),VLOOKUP(BL16,'Fuel Consumption'!$A$31:$L$2316,9,0)*VLOOKUP(BD16,'GHG EF'!$B$10:$H$19,4,0),IF(OR(BD16="CNG",BD16="LNG",BD16="Renewable Natural Gas"),VLOOKUP(BL16,'Fuel Consumption'!$A$31:$L$2316,10,0)*VLOOKUP(BD16,'GHG EF'!$B$10:$H$19,5,0), IF(OR(BD16="Electric",BD16="Renewable Electricity"),VLOOKUP(BL16,'Fuel Consumption'!$A$31:$L$2316,11,0),IF(BD16="Hydrogen Fuel Cell",VLOOKUP(BL16,'Fuel Consumption'!$A$31:$L$2316,11,0)*'GHG EF'!$C$13/'GHG EF'!$C$15*'GHG EF'!$J$13/'GHG EF'!$J$15, VLOOKUP(BL16,'Fuel Consumption'!$A$31:$L$2316,10,0)*VLOOKUP(BD16,'GHG EF'!$B$10:$H$19,5,0))))),
IF(BC16="Over-Road Coach",VLOOKUP(BL16,'Fuel Consumption'!$A$31:$L$2316,12,0)*VLOOKUP(BD16,'GHG EF'!$B$10:$H$19,4,0),IF(BC16="Heavy Rail",IF(OR(BD16=Defaults!$I$5,BD16=Defaults!$I$11), 'Rail C&amp;T EF'!$K$14*'GHG EF'!$C$12/'GHG EF'!$C$13/4.6, 'Rail C&amp;T EF'!$K$14*VLOOKUP(BD16,'GHG EF'!$B$10:$H$19,4,0)),IF(BC16="DMU / EMU",IF(OR(BD16=Defaults!$I$5,BD16=Defaults!$I$11), 'Rail C&amp;T EF'!$B$149*'GHG EF'!$C$12/'GHG EF'!$C$13/3.3, 'Rail C&amp;T EF'!$B$149*VLOOKUP(BD16,'GHG EF'!$B$10:$H$19,4,0)),IF(BC16="Light Rail",'Rail C&amp;T EF'!$K$14*'GHG EF'!$C$12/'GHG EF'!$C$13/3.3,IF(BC16="Streetcar",'Rail C&amp;T EF'!$K$14*'GHG EF'!$C$12/'GHG EF'!$C$13/3.1,"")))))))),"")</f>
        <v/>
      </c>
      <c r="BL16" s="306" t="str">
        <f t="shared" ca="1" si="13"/>
        <v>0_0</v>
      </c>
      <c r="BM16" s="306" t="str">
        <f ca="1">IFERROR((IF(BD16="Gasoline",VLOOKUP(BL16,'Fuel Consumption'!$A$31:$L$2316,3,0)*VLOOKUP(BD16,'GHG EF'!$B$10:$H$19,5,0), IF(OR(BD16="CNG",BD16="LNG",BD16="Renewable Natural Gas"),VLOOKUP(BL16,'Fuel Consumption'!$A$31:$L$2316,4,0)*VLOOKUP(BD16,'GHG EF'!$B$10:$H$19,4,0),IF(OR(BD16="Electric",BD16="Renewable Electricity"),VLOOKUP(BL16,'Fuel Consumption'!$A$31:$L$2316,5,0),IF(BD16="Hydrogen Fuel Cell",VLOOKUP(BL16,'Fuel Consumption'!$A$31:$L$2316,5,0)*'GHG EF'!$C$13/'GHG EF'!$C$15*'GHG EF'!$I$13/'GHG EF'!$I$15,VLOOKUP(BL16,'Fuel Consumption'!$A$31:$L$2316,2,0)*VLOOKUP(BD16,'GHG EF'!$B$10:$H$19,4,0))))) * VLOOKUP(BD16,'GHG EF'!$B$10:$H$19,2,0) * BF16),"")</f>
        <v/>
      </c>
      <c r="BN16" s="306" t="str">
        <f ca="1">IFERROR((IF(OR(BD16="Diesel",BD16="Renewable Diesel",BD16="Biodiesel"),VLOOKUP(BL16,'Fuel Consumption'!$A$31:$L$2316,6,0)*VLOOKUP(BD16,'GHG EF'!$B$10:$H$19,4,0),IF(OR(BD16="CNG",BD16="LNG",BD16="Renewable Natural Gas"),VLOOKUP(BL16,'Fuel Consumption'!$A$31:$L$2316,7,0)*VLOOKUP(BD16,'GHG EF'!$B$10:$H$19,5,0),IF(OR(BD16="Electric",BD16="Renewable Electricity"),VLOOKUP(BL16,'Fuel Consumption'!$A$31:$L$2316,8,0),IF(BD16="Hydrogen Fuel Cell",VLOOKUP(BL16,'Fuel Consumption'!$A$31:$L$2316,8,0)*'GHG EF'!$C$13/'GHG EF'!$C$15*'GHG EF'!$J$13/'GHG EF'!$J$15,VLOOKUP(BL16,'Fuel Consumption'!$A$31:$L$2316,7,0)*VLOOKUP(BD16,'GHG EF'!$B$10:$H$19,5,0)))))*VLOOKUP(BD16,'GHG EF'!$B$10:$H$19,2,0)*BF16),"")</f>
        <v/>
      </c>
      <c r="BO16" s="306" t="str">
        <f ca="1">IFERROR((IF(OR(BD16="Diesel",BD16="Renewable Diesel",BD16="Biodiesel"),VLOOKUP(BL16,'Fuel Consumption'!$A$31:$L$2316,9,0)*VLOOKUP(BD16,'GHG EF'!$B$10:$H$19,4,0),IF(OR(BD16="CNG",BD16="LNG",BD16="Renewable Natural Gas"),VLOOKUP(BL16,'Fuel Consumption'!$A$31:$L$2316,10,0)*VLOOKUP(BD16,'GHG EF'!$B$10:$H$19,5,0),IF(OR(BD16="Electric",BD16="Renewable Electricity"),VLOOKUP(BL16,'Fuel Consumption'!$A$31:$L$2316,11,0),IF(BD16="Hydrogen Fuel Cell",VLOOKUP(BL16,'Fuel Consumption'!$A$31:$L$2316,11,0)*'GHG EF'!$C$13/'GHG EF'!$C$15*'GHG EF'!$J$13/'GHG EF'!$J$15,VLOOKUP(BL16,'Fuel Consumption'!$A$31:$L$2316,10,0)*VLOOKUP(BD16,'GHG EF'!$B$10:$H$19,5,0))))) * VLOOKUP(BD16,'GHG EF'!$B$10:$H$19,2,0) * BF16),"")</f>
        <v/>
      </c>
      <c r="BP16" s="306" t="str">
        <f ca="1">IFERROR(VLOOKUP(BL16,'Fuel Consumption'!$A$31:$L$2316,12,0)*VLOOKUP(BD16,'GHG EF'!$B$10:$H$19,4,0) * VLOOKUP(BD16,'GHG EF'!$B$10:$H$19,2,0) * BF16,"")</f>
        <v/>
      </c>
      <c r="BQ16" s="1374" t="str">
        <f ca="1">IFERROR(IF(OR($BD16=Defaults!$I$5,$BD16=Defaults!$I$11), 'GHG EF'!$C$13*'GHG EF'!$C$12/'GHG EF'!$C$13/4.6, VLOOKUP(BD16,'GHG EF'!$B$10:$H$19,4,0)*VLOOKUP(BD16,'GHG EF'!$B$10:$H$19,2,0))*BF16*'Rail C&amp;T EF'!$K$14,"")</f>
        <v/>
      </c>
      <c r="BR16" s="1374" t="str">
        <f ca="1">IFERROR(IF(OR($BD16=Defaults!$I$5,$BD16=Defaults!$I$11), 'GHG EF'!$C$13*'GHG EF'!$C$12/'GHG EF'!$C$13/3.3, VLOOKUP(BD16,'GHG EF'!$B$10:$H$19,4,0)*VLOOKUP(BD16,'GHG EF'!$B$10:$H$19,2,0))*BF16*'Rail C&amp;T EF'!$B$149,"")</f>
        <v/>
      </c>
      <c r="BS16" s="1374" t="str">
        <f ca="1">IFERROR(VLOOKUP(BD16,'GHG EF'!$B$10:$H$19,2,0)*BF16,"")</f>
        <v/>
      </c>
      <c r="BT16" s="1374" t="str">
        <f ca="1">IF(OR($BD16=Defaults!$I$5,$BD16=Defaults!$I$10),'GHG EF'!$C$13*BF16*'GHG EF'!$C$12/'GHG EF'!$C$13/3.3*'Rail C&amp;T EF'!$K$14,"")</f>
        <v/>
      </c>
      <c r="BU16" s="1374" t="str">
        <f ca="1">IF(OR($BD16=Defaults!$I$5,$BD16=Defaults!$I$10),'GHG EF'!$C$13*BF16*'GHG EF'!$C$12/'GHG EF'!$C$13/3.1*'Rail C&amp;T EF'!$K$14,"")</f>
        <v/>
      </c>
      <c r="BV16" s="1374">
        <f ca="1">IF(OR($AD16=Defaults!$I$5, $AD16=Defaults!$I$7, $AD16=Defaults!$I$11),Defaults!$G$15,INDIRECT("'Quantifiable Component "&amp;$B16&amp;"'!"&amp;$D16&amp;ROW('Quantifiable Component 1'!$62:$62)))</f>
        <v>0</v>
      </c>
      <c r="BW16" s="1374" t="str">
        <f ca="1">IFERROR((IF(AND(BV16="yes",NOT(BD16=Defaults!$I$5),NOT(BD16=Defaults!$I$7),NOT(BD16=Defaults!$I$11)),0.8,1))*(IF(BC16="Transit Bus",BM16,IF(BC16="Van",BN16,IF(BC16="Cut-A-Way",BO16,IF(BC16="Over-Road Coach",BP16,IF(BC16="Heavy Rail",BQ16,IF(BC16="DMU / EMU",BR16,IF(BC16="Ferry",BS16,IF(BC16="Light Rail",BT16,BU16))))))))),"")</f>
        <v/>
      </c>
      <c r="BX16" s="1377" t="str">
        <f ca="1">IFERROR(VLOOKUP($BD16,'GHG EF'!$B$10:$H$19,2,0)*BF16,"")</f>
        <v/>
      </c>
      <c r="BY16" s="1377" t="str">
        <f t="shared" ca="1" si="14"/>
        <v/>
      </c>
      <c r="BZ16" s="1377" t="str">
        <f t="shared" ca="1" si="15"/>
        <v/>
      </c>
      <c r="CA16" s="1377" t="str">
        <f t="shared" ca="1" si="16"/>
        <v/>
      </c>
      <c r="CB16" s="1373" t="str">
        <f t="shared" ca="1" si="17"/>
        <v/>
      </c>
      <c r="CC16" s="1376">
        <f ca="1">INDIRECT("'Quantifiable Component "&amp;$B16&amp;"'!"&amp;$D16&amp;ROW('Quantifiable Component 1'!$69:$69))</f>
        <v>0</v>
      </c>
      <c r="CD16" s="1376">
        <f ca="1">INDIRECT("'Quantifiable Component "&amp;$B16&amp;"'!"&amp;$D16&amp;ROW('Quantifiable Component 1'!$72:$72))</f>
        <v>0</v>
      </c>
      <c r="CE16" s="1373">
        <f ca="1">INDIRECT("'Quantifiable Component "&amp;$B16&amp;"'!"&amp;$D16&amp;ROW('Quantifiable Component 1'!$74:$74))</f>
        <v>0</v>
      </c>
      <c r="CF16" s="306">
        <f ca="1">INDIRECT("'Quantifiable Component "&amp;$B16&amp;"'!"&amp;$D16&amp;ROW('Quantifiable Component 1'!$73:$73))</f>
        <v>0</v>
      </c>
      <c r="CG16" s="306" t="str">
        <f t="shared" ca="1" si="18"/>
        <v>0_0</v>
      </c>
      <c r="CH16" s="1373" t="str">
        <f ca="1">IFERROR(VLOOKUP($CD16,'GHG EF'!$B$10:$H$19,2,0)*VLOOKUP($CD16,'GHG EF'!$B$10:$H$19,3,0),"")</f>
        <v/>
      </c>
      <c r="CI16" s="1373" t="str">
        <f t="shared" ca="1" si="19"/>
        <v/>
      </c>
      <c r="CJ16" s="1373" t="str">
        <f t="shared" ca="1" si="20"/>
        <v/>
      </c>
      <c r="CK16" s="1378" t="str">
        <f ca="1">IF($F16=Defaults!$M$2, $BB16+IF($CA16="",0,$CA16)+IF($CJ16="",0,$CJ16), IF($F16=Defaults!$M$4,$CB16+IF($CJ16="",0,$CJ16),IF($F16=Defaults!$M$3,$AB16+IF($CJ16="",0,$CJ16), IF($F16=Defaults!$M$5,$CJ16,""))))</f>
        <v/>
      </c>
      <c r="CL16" s="1644"/>
    </row>
    <row r="17" spans="1:90" s="117" customFormat="1" ht="15.5" x14ac:dyDescent="0.35">
      <c r="A17" s="1648"/>
      <c r="B17" s="1367">
        <v>2</v>
      </c>
      <c r="C17" s="1379">
        <v>3</v>
      </c>
      <c r="D17" s="1368" t="str">
        <f>SUBSTITUTE(ADDRESS(1,COLUMN('Quantifiable Component 1'!K:K),4),"1","")</f>
        <v>K</v>
      </c>
      <c r="E17" s="1368" t="str">
        <f t="shared" si="0"/>
        <v>Quantifiable Component 2K</v>
      </c>
      <c r="F17" s="306">
        <f ca="1">INDIRECT("'Quantifiable Component "&amp;$B17&amp;"'!"&amp;$D17&amp;ROW('Quantifiable Component 1'!$28:$28))</f>
        <v>0</v>
      </c>
      <c r="G17" s="306">
        <f ca="1">INDIRECT("'Quantifiable Component "&amp;$B17&amp;"'!"&amp;$D17&amp;ROW('Quantifiable Component 1'!$29:$29))</f>
        <v>0</v>
      </c>
      <c r="H17" s="306">
        <f ca="1">INDIRECT("'Quantifiable Component "&amp;$B17&amp;"'!"&amp;$D17&amp;ROW('Quantifiable Component 1'!$32:$32))</f>
        <v>0</v>
      </c>
      <c r="I17" s="306">
        <f ca="1">INDIRECT("'Quantifiable Component "&amp;$B17&amp;"'!"&amp;$D17&amp;ROW('Quantifiable Component 1'!$33:$33))</f>
        <v>0</v>
      </c>
      <c r="J17" s="306">
        <f ca="1">INDIRECT("'Quantifiable Component "&amp;$B17&amp;"'!"&amp;$D17&amp;ROW('Quantifiable Component 1'!$31:$31))</f>
        <v>0</v>
      </c>
      <c r="K17" s="306" t="str">
        <f t="shared" ca="1" si="1"/>
        <v>0_0</v>
      </c>
      <c r="L17" s="306" t="str">
        <f t="shared" ca="1" si="2"/>
        <v>0_0</v>
      </c>
      <c r="M17" s="306">
        <f ca="1">INDIRECT("'Quantifiable Component "&amp;$B17&amp;"'!"&amp;$D17&amp;ROW('Quantifiable Component 1'!$37:$37))</f>
        <v>0</v>
      </c>
      <c r="N17" s="1369" t="str">
        <f ca="1">IFERROR(VLOOKUP((CONCATENATE(J17,"_",H17)),'Auto GHG'!$C$41:$D$2668,2,0),"")</f>
        <v/>
      </c>
      <c r="O17" s="306">
        <f ca="1">INDIRECT("'Quantifiable Component "&amp;$B17&amp;"'!"&amp;$D17&amp;ROW('Quantifiable Component 1'!$38:$38))</f>
        <v>0</v>
      </c>
      <c r="P17" s="1369" t="str">
        <f ca="1">IFERROR(IF(I17&lt;=2050,VLOOKUP((CONCATENATE(J17,"_",I17)),'Auto GHG'!$C$41:$D$2668,2,),VLOOKUP((CONCATENATE(J17,"_",2050)),'Auto GHG'!$C$41:$D$2668,2,)),"")</f>
        <v/>
      </c>
      <c r="Q17" s="306">
        <f ca="1">INDIRECT("'Quantifiable Component "&amp;$B17&amp;"'!"&amp;$D17&amp;ROW('Quantifiable Component 1'!$39:$39))</f>
        <v>0</v>
      </c>
      <c r="R17" s="306">
        <f ca="1">INDIRECT("'Quantifiable Component "&amp;$B17&amp;"'!"&amp;$D17&amp;ROW('Quantifiable Component 1'!$40:$40))</f>
        <v>0</v>
      </c>
      <c r="S17" s="306"/>
      <c r="T17" s="306"/>
      <c r="U17" s="1370">
        <f t="shared" ca="1" si="3"/>
        <v>0</v>
      </c>
      <c r="V17" s="1371" t="str">
        <f t="shared" ca="1" si="4"/>
        <v/>
      </c>
      <c r="W17" s="1370">
        <f t="shared" ca="1" si="5"/>
        <v>0</v>
      </c>
      <c r="X17" s="1370" t="str">
        <f t="shared" ca="1" si="6"/>
        <v/>
      </c>
      <c r="Y17" s="1372">
        <f ca="1">IFERROR(('GHG Calcs'!U17+'GHG Calcs'!W17)/2,"")</f>
        <v>0</v>
      </c>
      <c r="Z17" s="1372">
        <f t="shared" ca="1" si="7"/>
        <v>0</v>
      </c>
      <c r="AA17" s="1370" t="str">
        <f t="shared" ca="1" si="8"/>
        <v/>
      </c>
      <c r="AB17" s="1370" t="str">
        <f ca="1">IF(OR(F17=Defaults!$M$3,F17=Defaults!$M$3),AA17,"")</f>
        <v/>
      </c>
      <c r="AC17" s="306">
        <f ca="1">INDIRECT("'Quantifiable Component "&amp;$B17&amp;"'!"&amp;$D17&amp;ROW('Quantifiable Component 1'!$46:$46))</f>
        <v>0</v>
      </c>
      <c r="AD17" s="306">
        <f ca="1">INDIRECT("'Quantifiable Component "&amp;$B17&amp;"'!"&amp;$D17&amp;ROW('Quantifiable Component 1'!$49:$49))</f>
        <v>0</v>
      </c>
      <c r="AE17" s="1373">
        <f ca="1">INDIRECT("'Quantifiable Component "&amp;$B17&amp;"'!"&amp;$D17&amp;ROW('Quantifiable Component 1'!$54:$54))</f>
        <v>0</v>
      </c>
      <c r="AF17" s="306" t="str">
        <f ca="1">IFERROR(IF(ISBLANK(INDIRECT("'Quantifiable Component "&amp;$B17&amp;"'!"&amp;$D17&amp;ROW('Quantifiable Component 1'!$52:$52))),VLOOKUP($AD17,'GHG EF'!$B$10:$H$19,3,0),INDIRECT("'Quantifiable Component "&amp;$B17&amp;"'!"&amp;$D17&amp;ROW('Quantifiable Component 1'!$52:$52))),"")</f>
        <v/>
      </c>
      <c r="AG17" s="306">
        <f ca="1">INDIRECT("'Quantifiable Component "&amp;$B17&amp;"'!"&amp;$D17&amp;ROW('Quantifiable Component 1'!$51:$51))</f>
        <v>0</v>
      </c>
      <c r="AH17" s="306" t="str">
        <f t="shared" ca="1" si="9"/>
        <v>0_0</v>
      </c>
      <c r="AI17" s="1373">
        <f ca="1">INDIRECT("'Quantifiable Component "&amp;$B17&amp;"'!"&amp;$D17&amp;ROW('Quantifiable Component 1'!$53:$53))</f>
        <v>0</v>
      </c>
      <c r="AJ17" s="306" t="str">
        <f ca="1">IF(AND(AI17&gt;0,OR(AD17=Defaults!$I$5,AD17=Defaults!$I$11)), IF(AC17="Transit Bus",VLOOKUP(AH17,'Fuel Consumption'!$A$31:$L$2316,5,0), IF(AC17="Van",VLOOKUP(AH17,'Fuel Consumption'!$A$31:$L$2316,8,0), IF(AC17="Cut-A-Way",VLOOKUP(AH17,'Fuel Consumption'!$A$31:$L$2316,11,0), IF(AC17="Over-Road Coach",VLOOKUP(AH17,'Fuel Consumption'!$A$31:$L$2316,12,0)*VLOOKUP(AD17,'GHG EF'!$B$10:$H$19,4,0),IF(AC17="Heavy Rail",'Rail C&amp;T EF'!$K$14*'GHG EF'!$C$12/'GHG EF'!$C$13/4.6, IF(AC17="DMU / EMU",'Rail C&amp;T EF'!$B$149*'GHG EF'!$C$12/'GHG EF'!$C$13/3.3, IF(AC17="Light Rail",'Rail C&amp;T EF'!$K$14*'GHG EF'!$C$12/'GHG EF'!$C$13/3.3, IF(AC17="Streetcar",'Rail C&amp;T EF'!$K$14*'GHG EF'!$C$12/'GHG EF'!$C$13/3.1,0)))))))),"")</f>
        <v/>
      </c>
      <c r="AK17" s="306" t="b">
        <f ca="1">IF(AI17&gt;0,IF(OR(AD17=Defaults!$I$3,AD17=Defaults!$I$4,AD17=Defaults!$I$6,AD17=Defaults!$I$8),IF(AC17="Transit Bus",IF(AD17="Gasoline",VLOOKUP(AH17,'Fuel Consumption'!$A$31:$L$2316,3),IF(OR(AD17="CNG",AD17="LNG"),VLOOKUP(AH17,'Fuel Consumption'!$A$31:$L$2316,4),VLOOKUP(AH17,'Fuel Consumption'!$A$31:$L$2316,2))),IF(AC17="Van",IF(OR(AD17="Diesel",AD17="Renewable Diesel",AD17="Biodiesel"),VLOOKUP(AH17,'Fuel Consumption'!$A$31:$L$2316,6),IF(OR(AD17="CNG",AD17="LNG"),VLOOKUP(AH17,'Fuel Consumption'!$A$31:$L$2316,7)*VLOOKUP(AD17,'GHG EF'!$B$10:$H$19,5,0),VLOOKUP(AH17,'Fuel Consumption'!$A$31:$L$2316,7))),IF(AC17="Cut-A-Way",IF(OR(AD17="Diesel",AD17="Renewable Diesel",AD17="Biodiesel"),VLOOKUP(AH17,'Fuel Consumption'!$A$31:$L$2316,9),IF(OR(AD17="CNG",AD17="LNG"),VLOOKUP(AH17,'Fuel Consumption'!$A$31:$L$2316,10)*VLOOKUP(AD17,'GHG EF'!$B$10:$H$19,5,0),VLOOKUP(AH17,'Fuel Consumption'!$A$31:$L$2316,10))),IF(AC17="Over-Road Coach",VLOOKUP(AH17,'Fuel Consumption'!$A$31:$L$2316,12),IF(AC17="Heavy Rail",'Rail C&amp;T EF'!$K$14,IF(AC17="DMU / EMU",'Rail C&amp;T EF'!$B$149,"")))))*IF(AD17=Defaults!$I$3,1/'GHG EF'!$I$11,1)*IF(AD17=Defaults!$I$8,1/'GHG EF'!$I$16,1)),""))</f>
        <v>0</v>
      </c>
      <c r="AL17" s="306" t="str">
        <f ca="1">IF(AI17&gt;0,IF(AC17="Transit Bus",IF(AD17="Gasoline",VLOOKUP(AH17,'Fuel Consumption'!$A$31:$L$2316,3,0)*VLOOKUP(AD17,'GHG EF'!$B$10:$H$19,5,0),IF(OR(AD17="LNG",AD17="CNG",AD17="Renewable Natural Gas"),VLOOKUP(AH17,'Fuel Consumption'!$A$31:$L$2316,4)*VLOOKUP(AD17,'GHG EF'!$B$10:$H$19,4,0),IF(OR(AD17="Electric",AD17="Renewable Electricity"),VLOOKUP(AH17,'Fuel Consumption'!$A$31:$L$2316,5,0),IF(AD17="Hydrogen Fuel Cell",VLOOKUP(AH17,'Fuel Consumption'!$A$31:$L$2316,5,0)*'GHG EF'!$C$13/'GHG EF'!$C$15*'GHG EF'!$I$13/'GHG EF'!$I$15,VLOOKUP(AH17,'Fuel Consumption'!$A$31:$L$2316,2,0)*VLOOKUP(AD17,'GHG EF'!$B$10:$H$19,4,0))))),
IF(AC17="Van",IF(OR(AD17="Diesel",AD17="Renewable Diesel",AD17="Biodiesel"),VLOOKUP(AH17,'Fuel Consumption'!$A$31:$L$2316,6,0)*VLOOKUP(AD17,'GHG EF'!$B$10:$H$19,4,0),IF(OR(AD17="LNG",AD17="CNG",AD17="Renewable Natural Gas"),VLOOKUP(AH17,'Fuel Consumption'!$A$31:$L$2316,7)*VLOOKUP(AD17,'GHG EF'!$B$10:$H$19,5,0),IF(OR(AD17="Electric",AD17="Renewable Electricity"),VLOOKUP(AH17,'Fuel Consumption'!$A$31:$L$2316,8,0),IF(AD17="Hydrogen Fuel Cell",VLOOKUP(AH17,'Fuel Consumption'!$A$31:$L$2316,8,0)*'GHG EF'!$C$13/'GHG EF'!$C$15*'GHG EF'!$J$13/'GHG EF'!$J$15,VLOOKUP(AH17,'Fuel Consumption'!$A$31:$L$2316,7,0)*VLOOKUP(AD17,'GHG EF'!$B$10:$H$19,5,0))))),
IF(AC17="Cut-A-Way",IF(OR(AD17="Diesel",AD17="Renewable Diesel",AD17="Biodiesel"),VLOOKUP(AH17,'Fuel Consumption'!$A$31:$L$2316,9,0)*VLOOKUP(AD17,'GHG EF'!$B$10:$H$19,4,0),IF(OR(AD17="LNG",AD17="CNG",AD17="Renewable Natural Gas"),VLOOKUP(AH17,'Fuel Consumption'!$A$31:$L$2316,10)*VLOOKUP(AD17,'GHG EF'!$B$10:$H$19,5,0),IF(OR(AD17="Electric",AD17="Renewable Electricity"),VLOOKUP(AH17,'Fuel Consumption'!$A$31:$L$2316,11,0),IF(AD17="Hydrogen Fuel Cell",VLOOKUP(AH17,'Fuel Consumption'!$A$31:$L$2316,11,0)*'GHG EF'!$C$13/'GHG EF'!$C$15*'GHG EF'!$J$13/'GHG EF'!$J$15,VLOOKUP(AH17,'Fuel Consumption'!$A$31:$L$2316,10,0)*VLOOKUP(AD17,'GHG EF'!$B$10:$H$19,5,0))))),
IF(AC17="Over-Road Coach",VLOOKUP(AH17,'Fuel Consumption'!$A$31:$L$2316,12,0)*VLOOKUP(AD17,'GHG EF'!$B$10:$H$19,4,0),IF(AC17="Heavy Rail",IF(OR(AD17=Defaults!$I$5,AD17=Defaults!$I$11),'Rail C&amp;T EF'!$K$14*'GHG EF'!$C$12/'GHG EF'!$C$13/4.6,'Rail C&amp;T EF'!$K$14*VLOOKUP(AD17,'GHG EF'!$B$10:$H$19,4,0)),IF(AC17="DMU / EMU",IF(OR(AD17=Defaults!$I$5,AD17=Defaults!$I$11),'Rail C&amp;T EF'!$B$149*'GHG EF'!$C$12/'GHG EF'!$C$13/3.3,'Rail C&amp;T EF'!$B$149*VLOOKUP(AD17,'GHG EF'!$B$10:$H$19,4,0)),IF(AC17="Light Rail",'Rail C&amp;T EF'!$K$14*'GHG EF'!$C$12/'GHG EF'!$C$13/3.3,IF(AC17="Streetcar",'Rail C&amp;T EF'!$K$14*'GHG EF'!$C$12/'GHG EF'!$C$13/3.1,"")))))))),"")</f>
        <v/>
      </c>
      <c r="AM17" s="306" t="str">
        <f ca="1">IFERROR((IF(AD17="Gasoline",VLOOKUP(AH17,'Fuel Consumption'!$A$31:$L$2316,3,0)*VLOOKUP(AD17,'GHG EF'!$B$10:$H$19,5,0), IF(OR(AD17="CNG",AD17="LNG",AD17="Renewable Natural Gas"),VLOOKUP(AH17,'Fuel Consumption'!$A$31:$L$2316,4,0)*VLOOKUP(AD17,'GHG EF'!$B$10:$H$19,4,0),IF(OR(AD17="Electric",AD17="Renewable Electricity"),VLOOKUP(AH17,'Fuel Consumption'!$A$31:$L$2316,5,0),IF(AD17="Hydrogen Fuel Cell",VLOOKUP(AH17,'Fuel Consumption'!$A$31:$L$2316,5,0)*'GHG EF'!$C$13/'GHG EF'!$C$15*'GHG EF'!$I$13/'GHG EF'!$I$15,VLOOKUP(AH17,'Fuel Consumption'!$A$31:$L$2316,2,0)*VLOOKUP(AD17,'GHG EF'!$B$10:$H$19,4,0))))) * VLOOKUP(AD17,'GHG EF'!$B$10:$H$19,2,0) * AF17),"")</f>
        <v/>
      </c>
      <c r="AN17" s="306" t="str">
        <f ca="1">IFERROR((IF(OR(AD17="Diesel",AD17="Renewable Diesel",AD17="Biodiesel"),VLOOKUP(AH17,'Fuel Consumption'!$A$31:$L$2316,6,0)*VLOOKUP(AD17,'GHG EF'!$B$10:$H$19,4,0),IF(OR(AD17="CNG",AD17="LNG",AD17="Renewable Natural Gas"),VLOOKUP(AH17,'Fuel Consumption'!$A$31:$L$2316,7,0)*VLOOKUP(AD17,'GHG EF'!$B$10:$H$19,5,0),IF(OR(AD17="Electric",AD17="Renewable Electricity"),VLOOKUP(AH17,'Fuel Consumption'!$A$31:$L$2316,8,0),IF(AD17="Hydrogen Fuel Cell",VLOOKUP(AH17,'Fuel Consumption'!$A$31:$L$2316,8,0)*'GHG EF'!$C$13/'GHG EF'!$C$15*'GHG EF'!$J$13/'GHG EF'!$J$15,VLOOKUP(AH17,'Fuel Consumption'!$A$31:$L$2316,7,0)*VLOOKUP(AD17,'GHG EF'!$B$10:$H$19,5,0)))))*VLOOKUP(AD17,'GHG EF'!$B$10:$H$19,2,0)*AF17),"")</f>
        <v/>
      </c>
      <c r="AO17" s="306" t="str">
        <f ca="1">IFERROR((IF(OR(AD17="Diesel",AD17="Renewable Diesel",AD17="Biodiesel"),VLOOKUP(AH17,'Fuel Consumption'!$A$31:$L$2316,9,0)*VLOOKUP(AD17,'GHG EF'!$B$10:$H$19,4,0),IF(OR(AD17="CNG",AD17="LNG",AD17="Renewable Natural Gas"),VLOOKUP(AH17,'Fuel Consumption'!$A$31:$L$2316,10,0)*VLOOKUP(AD17,'GHG EF'!$B$10:$H$19,5,0),IF(OR(AD17="Electric",AD17="Renewable Electricity"),VLOOKUP(AH17,'Fuel Consumption'!$A$31:$L$2316,11,0),IF(AD17="Hydrogen Fuel Cell",VLOOKUP(AH17,'Fuel Consumption'!$A$31:$L$2316,11,0)*'GHG EF'!$C$13/'GHG EF'!$C$15*'GHG EF'!$J$13/'GHG EF'!$J$15,VLOOKUP(AH17,'Fuel Consumption'!$A$31:$L$2316,10,0)*VLOOKUP(AD17,'GHG EF'!$B$10:$H$19,5,0))))) * VLOOKUP(AD17,'GHG EF'!$B$10:$H$19,2,0) * AF17),"")</f>
        <v/>
      </c>
      <c r="AP17" s="306" t="str">
        <f ca="1">IFERROR(VLOOKUP(AH17,'Fuel Consumption'!$A$31:$L$2316,12,0)*VLOOKUP(AD17,'GHG EF'!$B$10:$H$19,4,0) * VLOOKUP(AD17,'GHG EF'!$B$10:$H$19,2,0) * AF17,"")</f>
        <v/>
      </c>
      <c r="AQ17" s="1374" t="str">
        <f ca="1">IFERROR(IF(OR(AD17=Defaults!$I$5,AD17=Defaults!$I$11), 'GHG EF'!$C$13*'GHG EF'!$C$12/'GHG EF'!$C$13/4.6, VLOOKUP(AD17,'GHG EF'!$B$10:$H$19,4,0)*VLOOKUP(AD17,'GHG EF'!$B$10:$H$19,2,0))*AF17*'Rail C&amp;T EF'!$K$14,"")</f>
        <v/>
      </c>
      <c r="AR17" s="1374" t="str">
        <f ca="1">IFERROR(IF(OR(AD17=Defaults!$I$5,AD17=Defaults!$I$11), 'GHG EF'!$C$13*'GHG EF'!$C$12/'GHG EF'!$C$13/3.3, VLOOKUP(AD17,'GHG EF'!$B$10:$H$19,4,0)*VLOOKUP(AD17,'GHG EF'!$B$10:$H$19,2,0))*AF17*'Rail C&amp;T EF'!$B$149,"")</f>
        <v/>
      </c>
      <c r="AS17" s="1374" t="str">
        <f ca="1">IFERROR(VLOOKUP(AD17,'GHG EF'!$B$10:$H$19,2,0)*AF17,"")</f>
        <v/>
      </c>
      <c r="AT17" s="1374" t="str">
        <f ca="1">IF(OR(AD17=Defaults!$I$5,AD17=Defaults!$I$10),'GHG EF'!$C$13*AF17*'GHG EF'!$C$12/'GHG EF'!$C$13/3.3*'Rail C&amp;T EF'!$K$14,"")</f>
        <v/>
      </c>
      <c r="AU17" s="1374" t="str">
        <f ca="1">IF(OR(AD17=Defaults!$I$5,AD17=Defaults!$I$10),'GHG EF'!$C$13*AF17*'GHG EF'!$C$12/'GHG EF'!$C$13/3.1*'Rail C&amp;T EF'!$K$14,"")</f>
        <v/>
      </c>
      <c r="AV17" s="1374">
        <f ca="1">IF(OR($AD17=Defaults!$I$5, $AD17=Defaults!$I$7, $AD17=Defaults!$I$11),Defaults!$G$15,INDIRECT("'Quantifiable Component "&amp;$B17&amp;"'!"&amp;$D17&amp;ROW('Quantifiable Component 1'!$50:$50)))</f>
        <v>0</v>
      </c>
      <c r="AW17" s="1374" t="str">
        <f ca="1">IFERROR((IF(AND(AV17="yes",NOT(AD17=Defaults!$I$5),NOT(AD17=Defaults!$I$7),NOT(AD17=Defaults!$I$11)),0.8,1))*(IF(AC17="Transit Bus",AM17,IF(AC17="Van",AN17,IF(AC17="Cut-A-Way",AO17,IF(AC17="Over-Road Coach",AP17,IF(AC17="Heavy Rail",AQ17,IF(AC17="DMU / EMU",AR17,IF(AC17="Ferry",AS17,IF(AC17="Light Rail",AT17,AU17))))))))),"")</f>
        <v/>
      </c>
      <c r="AX17" s="1374" t="str">
        <f ca="1">IFERROR(VLOOKUP($AD17,'GHG EF'!$B$10:$H$19,2,0)*AF17,"")</f>
        <v/>
      </c>
      <c r="AY17" s="1375" t="str">
        <f t="shared" ca="1" si="10"/>
        <v/>
      </c>
      <c r="AZ17" s="1374" t="str">
        <f t="shared" ca="1" si="11"/>
        <v/>
      </c>
      <c r="BA17" s="1375" t="str">
        <f ca="1">IFERROR(IF(G17=Defaults!$F$2,0,IF(AZ17&gt;0,AZ17*(I17-H17),AY17*(I17-H17))),"")</f>
        <v/>
      </c>
      <c r="BB17" s="1373" t="str">
        <f t="shared" ca="1" si="12"/>
        <v/>
      </c>
      <c r="BC17" s="1376">
        <f ca="1">INDIRECT("'Quantifiable Component "&amp;$B17&amp;"'!"&amp;$D17&amp;ROW('Quantifiable Component 1'!$58:$58))</f>
        <v>0</v>
      </c>
      <c r="BD17" s="306">
        <f ca="1">INDIRECT("'Quantifiable Component "&amp;$B17&amp;"'!"&amp;$D17&amp;ROW('Quantifiable Component 1'!$61:$61))</f>
        <v>0</v>
      </c>
      <c r="BE17" s="306">
        <f ca="1">INDIRECT("'Quantifiable Component "&amp;$B17&amp;"'!"&amp;$D17&amp;ROW('Quantifiable Component 1'!$66:$66))</f>
        <v>0</v>
      </c>
      <c r="BF17" s="306" t="str">
        <f ca="1">IFERROR(IF(ISBLANK(INDIRECT("'Quantifiable Component "&amp;$B17&amp;"'!"&amp;$D17&amp;ROW('Quantifiable Component 1'!$64:$64))),VLOOKUP($BD17,'GHG EF'!$B$10:$H$19,3,0),INDIRECT("'Quantifiable Component "&amp;$B17&amp;"'!"&amp;$D17&amp;ROW('Quantifiable Component 1'!$64:$64))),"")</f>
        <v/>
      </c>
      <c r="BG17" s="306">
        <f ca="1">INDIRECT("'Quantifiable Component "&amp;$B17&amp;"'!"&amp;$D17&amp;ROW('Quantifiable Component 1'!$63:$63))</f>
        <v>0</v>
      </c>
      <c r="BH17" s="1373">
        <f ca="1">INDIRECT("'Quantifiable Component "&amp;$B17&amp;"'!"&amp;$D17&amp;ROW('Quantifiable Component 1'!$65:$65))</f>
        <v>0</v>
      </c>
      <c r="BI17" s="306" t="str">
        <f ca="1">IF(AND(BH17&gt;0,OR(BD17=Defaults!$I$5,BD17=Defaults!$I$11)), IF(BC17="Transit Bus",VLOOKUP(BL17,'Fuel Consumption'!$A$31:$L$2316,5,0), IF(BC17="Van",VLOOKUP(BL17,'Fuel Consumption'!$A$31:$L$2316,8,0), IF(BC17="Cut-A-Way",VLOOKUP(BL17,'Fuel Consumption'!$A$31:$L$2316,11,0), IF(BC17="Over-Road Coach",VLOOKUP(BL17,'Fuel Consumption'!$A$31:$L$2316,12,0)*VLOOKUP(BD17,'GHG EF'!$B$10:$H$19,4,0),IF(BC17="Heavy Rail",'Rail C&amp;T EF'!$K$14*'GHG EF'!$C$12/'GHG EF'!$C$13/4.6, IF(BC17="DMU / EMU",'Rail C&amp;T EF'!$B$149*'GHG EF'!$C$12/'GHG EF'!$C$13/3.3, IF(BC17="Light Rail",'Rail C&amp;T EF'!$K$14*'GHG EF'!$C$12/'GHG EF'!$C$13/3.3, IF(BC17="Streetcar",'Rail C&amp;T EF'!$K$14*'GHG EF'!$C$12/'GHG EF'!$C$13/3.1,0)))))))),"")</f>
        <v/>
      </c>
      <c r="BJ17" s="306" t="str">
        <f ca="1">IF(BH17&gt;0,IF(OR(BD17=Defaults!$I$3,BD17=Defaults!$I$4, BD17=Defaults!$I$6, BD17=Defaults!$I$8),IF(BC17="Transit Bus",IF(BD17="Gasoline",VLOOKUP(BL17,'Fuel Consumption'!$A$31:$L$2316,3), IF(OR(BD17="CNG",BD17="LNG"),VLOOKUP(BL17,'Fuel Consumption'!$A$31:$L$2316,4,0),VLOOKUP(BL17,'Fuel Consumption'!$A$31:$L$2316,2))), IF(BC17="Van",IF(OR(BD17="Diesel",BD17="Renewable Diesel",BD17="Biodiesel"),VLOOKUP(BL17,'Fuel Consumption'!$A$31:$L$2316,6),IF(OR(BD17="CNG",BD17="LNG"),VLOOKUP(BL17,'Fuel Consumption'!$A$31:$L$2316,7,0)*VLOOKUP(BD17,'GHG EF'!$B$10:$H$19,5,0), VLOOKUP(BL17,'Fuel Consumption'!$A$31:$L$2316,7))), IF(BC17="Cut-A-Way",IF(OR(BD17="Diesel",BD17="Renewable Diesel",BD17="Biodiesel"),VLOOKUP(BL17,'Fuel Consumption'!$A$31:$L$2316,9),IF(OR(BD17="CNG",BD17="LNG"),VLOOKUP(BL17,'Fuel Consumption'!$A$31:$L$2316,10,0)*VLOOKUP(BD17,'GHG EF'!$B$10:$H$19,5,0), VLOOKUP(BL17,'Fuel Consumption'!$A$31:$L$2316,10))), IF(BC17="Over-Road Coach",VLOOKUP(BL17,'Fuel Consumption'!$A$31:$L$2316,12),IF(BC17="Heavy Rail",'Rail C&amp;T EF'!$K$14, IF(BC17="DMU / EMU",'Rail C&amp;T EF'!$B$149,"")))))) * IF(BD17=Defaults!$I$3,1/'GHG EF'!$I$11,1) * IF(BD17=Defaults!$I$8,1/'GHG EF'!$I$16,1),""),"")</f>
        <v/>
      </c>
      <c r="BK17" s="306" t="str">
        <f ca="1">IF(BH17&gt;0,IF(BC17="Transit Bus",IF(BD17="Gasoline",VLOOKUP(BL17,'Fuel Consumption'!$A$31:$L$2316,3,0)*VLOOKUP(BD17,'GHG EF'!$B$10:$H$19,5,0),IF(OR(BD17="CNG",BD17="LNG",BD17="Renewable Natural Gas"),VLOOKUP(BL17,'Fuel Consumption'!$A$31:$L$2316,4,0)*VLOOKUP(BD17,'GHG EF'!$B$10:$H$19,4,0), IF(OR(BD17="Electric",BD17="Renewable Electricity"),VLOOKUP(BL17,'Fuel Consumption'!$A$31:$L$2316,5,0),IF(BD17="Hydrogen Fuel Cell",VLOOKUP(BL17,'Fuel Consumption'!$A$31:$L$2316,5,0)*'GHG EF'!$C$13/'GHG EF'!$C$15*'GHG EF'!$I$13/'GHG EF'!$I$15, VLOOKUP(BL17,'Fuel Consumption'!$A$31:$L$2316,2,0)*VLOOKUP(BD17,'GHG EF'!$B$10:$H$19,4,0))))),
IF(BC17="Van",IF(OR(BD17="Diesel",BD17="Renewable Diesel",BD17="Biodiesel"),VLOOKUP(BL17,'Fuel Consumption'!$A$31:$L$2316,6,0)*VLOOKUP(BD17,'GHG EF'!$B$10:$H$19,4,0), IF(OR(BD17="CNG",BD17="LNG",BD17="Renewable Natural Gas"),VLOOKUP(BL17,'Fuel Consumption'!$A$31:$L$2316,7,0)*VLOOKUP(BD17,'GHG EF'!$B$10:$H$19,5,0), IF(OR(BD17="Electric",BD17="Renewable Electricity"),VLOOKUP(BL17,'Fuel Consumption'!$A$31:$L$2316,8,0),IF(BD17="Hydrogen Fuel Cell",VLOOKUP(BL17,'Fuel Consumption'!$A$31:$L$2316,8,0)*'GHG EF'!$C$13/'GHG EF'!$C$15*'GHG EF'!$J$13/'GHG EF'!$J$15,VLOOKUP(BL17,'Fuel Consumption'!$A$31:$L$2316,7,0)*VLOOKUP(BD17,'GHG EF'!$B$10:$H$19,5,0))))),
IF(BC17="Cut-A-Way",IF(OR(BD17="Diesel",BD17="Renewable Diesel",BD17="Biodiesel"),VLOOKUP(BL17,'Fuel Consumption'!$A$31:$L$2316,9,0)*VLOOKUP(BD17,'GHG EF'!$B$10:$H$19,4,0),IF(OR(BD17="CNG",BD17="LNG",BD17="Renewable Natural Gas"),VLOOKUP(BL17,'Fuel Consumption'!$A$31:$L$2316,10,0)*VLOOKUP(BD17,'GHG EF'!$B$10:$H$19,5,0), IF(OR(BD17="Electric",BD17="Renewable Electricity"),VLOOKUP(BL17,'Fuel Consumption'!$A$31:$L$2316,11,0),IF(BD17="Hydrogen Fuel Cell",VLOOKUP(BL17,'Fuel Consumption'!$A$31:$L$2316,11,0)*'GHG EF'!$C$13/'GHG EF'!$C$15*'GHG EF'!$J$13/'GHG EF'!$J$15, VLOOKUP(BL17,'Fuel Consumption'!$A$31:$L$2316,10,0)*VLOOKUP(BD17,'GHG EF'!$B$10:$H$19,5,0))))),
IF(BC17="Over-Road Coach",VLOOKUP(BL17,'Fuel Consumption'!$A$31:$L$2316,12,0)*VLOOKUP(BD17,'GHG EF'!$B$10:$H$19,4,0),IF(BC17="Heavy Rail",IF(OR(BD17=Defaults!$I$5,BD17=Defaults!$I$11), 'Rail C&amp;T EF'!$K$14*'GHG EF'!$C$12/'GHG EF'!$C$13/4.6, 'Rail C&amp;T EF'!$K$14*VLOOKUP(BD17,'GHG EF'!$B$10:$H$19,4,0)),IF(BC17="DMU / EMU",IF(OR(BD17=Defaults!$I$5,BD17=Defaults!$I$11), 'Rail C&amp;T EF'!$B$149*'GHG EF'!$C$12/'GHG EF'!$C$13/3.3, 'Rail C&amp;T EF'!$B$149*VLOOKUP(BD17,'GHG EF'!$B$10:$H$19,4,0)),IF(BC17="Light Rail",'Rail C&amp;T EF'!$K$14*'GHG EF'!$C$12/'GHG EF'!$C$13/3.3,IF(BC17="Streetcar",'Rail C&amp;T EF'!$K$14*'GHG EF'!$C$12/'GHG EF'!$C$13/3.1,"")))))))),"")</f>
        <v/>
      </c>
      <c r="BL17" s="306" t="str">
        <f t="shared" ca="1" si="13"/>
        <v>0_0</v>
      </c>
      <c r="BM17" s="306" t="str">
        <f ca="1">IFERROR((IF(BD17="Gasoline",VLOOKUP(BL17,'Fuel Consumption'!$A$31:$L$2316,3,0)*VLOOKUP(BD17,'GHG EF'!$B$10:$H$19,5,0), IF(OR(BD17="CNG",BD17="LNG",BD17="Renewable Natural Gas"),VLOOKUP(BL17,'Fuel Consumption'!$A$31:$L$2316,4,0)*VLOOKUP(BD17,'GHG EF'!$B$10:$H$19,4,0),IF(OR(BD17="Electric",BD17="Renewable Electricity"),VLOOKUP(BL17,'Fuel Consumption'!$A$31:$L$2316,5,0),IF(BD17="Hydrogen Fuel Cell",VLOOKUP(BL17,'Fuel Consumption'!$A$31:$L$2316,5,0)*'GHG EF'!$C$13/'GHG EF'!$C$15*'GHG EF'!$I$13/'GHG EF'!$I$15,VLOOKUP(BL17,'Fuel Consumption'!$A$31:$L$2316,2,0)*VLOOKUP(BD17,'GHG EF'!$B$10:$H$19,4,0))))) * VLOOKUP(BD17,'GHG EF'!$B$10:$H$19,2,0) * BF17),"")</f>
        <v/>
      </c>
      <c r="BN17" s="306" t="str">
        <f ca="1">IFERROR((IF(OR(BD17="Diesel",BD17="Renewable Diesel",BD17="Biodiesel"),VLOOKUP(BL17,'Fuel Consumption'!$A$31:$L$2316,6,0)*VLOOKUP(BD17,'GHG EF'!$B$10:$H$19,4,0),IF(OR(BD17="CNG",BD17="LNG",BD17="Renewable Natural Gas"),VLOOKUP(BL17,'Fuel Consumption'!$A$31:$L$2316,7,0)*VLOOKUP(BD17,'GHG EF'!$B$10:$H$19,5,0),IF(OR(BD17="Electric",BD17="Renewable Electricity"),VLOOKUP(BL17,'Fuel Consumption'!$A$31:$L$2316,8,0),IF(BD17="Hydrogen Fuel Cell",VLOOKUP(BL17,'Fuel Consumption'!$A$31:$L$2316,8,0)*'GHG EF'!$C$13/'GHG EF'!$C$15*'GHG EF'!$J$13/'GHG EF'!$J$15,VLOOKUP(BL17,'Fuel Consumption'!$A$31:$L$2316,7,0)*VLOOKUP(BD17,'GHG EF'!$B$10:$H$19,5,0)))))*VLOOKUP(BD17,'GHG EF'!$B$10:$H$19,2,0)*BF17),"")</f>
        <v/>
      </c>
      <c r="BO17" s="306" t="str">
        <f ca="1">IFERROR((IF(OR(BD17="Diesel",BD17="Renewable Diesel",BD17="Biodiesel"),VLOOKUP(BL17,'Fuel Consumption'!$A$31:$L$2316,9,0)*VLOOKUP(BD17,'GHG EF'!$B$10:$H$19,4,0),IF(OR(BD17="CNG",BD17="LNG",BD17="Renewable Natural Gas"),VLOOKUP(BL17,'Fuel Consumption'!$A$31:$L$2316,10,0)*VLOOKUP(BD17,'GHG EF'!$B$10:$H$19,5,0),IF(OR(BD17="Electric",BD17="Renewable Electricity"),VLOOKUP(BL17,'Fuel Consumption'!$A$31:$L$2316,11,0),IF(BD17="Hydrogen Fuel Cell",VLOOKUP(BL17,'Fuel Consumption'!$A$31:$L$2316,11,0)*'GHG EF'!$C$13/'GHG EF'!$C$15*'GHG EF'!$J$13/'GHG EF'!$J$15,VLOOKUP(BL17,'Fuel Consumption'!$A$31:$L$2316,10,0)*VLOOKUP(BD17,'GHG EF'!$B$10:$H$19,5,0))))) * VLOOKUP(BD17,'GHG EF'!$B$10:$H$19,2,0) * BF17),"")</f>
        <v/>
      </c>
      <c r="BP17" s="306" t="str">
        <f ca="1">IFERROR(VLOOKUP(BL17,'Fuel Consumption'!$A$31:$L$2316,12,0)*VLOOKUP(BD17,'GHG EF'!$B$10:$H$19,4,0) * VLOOKUP(BD17,'GHG EF'!$B$10:$H$19,2,0) * BF17,"")</f>
        <v/>
      </c>
      <c r="BQ17" s="1374" t="str">
        <f ca="1">IFERROR(IF(OR($BD17=Defaults!$I$5,$BD17=Defaults!$I$11), 'GHG EF'!$C$13*'GHG EF'!$C$12/'GHG EF'!$C$13/4.6, VLOOKUP(BD17,'GHG EF'!$B$10:$H$19,4,0)*VLOOKUP(BD17,'GHG EF'!$B$10:$H$19,2,0))*BF17*'Rail C&amp;T EF'!$K$14,"")</f>
        <v/>
      </c>
      <c r="BR17" s="1374" t="str">
        <f ca="1">IFERROR(IF(OR($BD17=Defaults!$I$5,$BD17=Defaults!$I$11), 'GHG EF'!$C$13*'GHG EF'!$C$12/'GHG EF'!$C$13/3.3, VLOOKUP(BD17,'GHG EF'!$B$10:$H$19,4,0)*VLOOKUP(BD17,'GHG EF'!$B$10:$H$19,2,0))*BF17*'Rail C&amp;T EF'!$B$149,"")</f>
        <v/>
      </c>
      <c r="BS17" s="1374" t="str">
        <f ca="1">IFERROR(VLOOKUP(BD17,'GHG EF'!$B$10:$H$19,2,0)*BF17,"")</f>
        <v/>
      </c>
      <c r="BT17" s="1374" t="str">
        <f ca="1">IF(OR($BD17=Defaults!$I$5,$BD17=Defaults!$I$10),'GHG EF'!$C$13*BF17*'GHG EF'!$C$12/'GHG EF'!$C$13/3.3*'Rail C&amp;T EF'!$K$14,"")</f>
        <v/>
      </c>
      <c r="BU17" s="1374" t="str">
        <f ca="1">IF(OR($BD17=Defaults!$I$5,$BD17=Defaults!$I$10),'GHG EF'!$C$13*BF17*'GHG EF'!$C$12/'GHG EF'!$C$13/3.1*'Rail C&amp;T EF'!$K$14,"")</f>
        <v/>
      </c>
      <c r="BV17" s="1374">
        <f ca="1">IF(OR($AD17=Defaults!$I$5, $AD17=Defaults!$I$7, $AD17=Defaults!$I$11),Defaults!$G$15,INDIRECT("'Quantifiable Component "&amp;$B17&amp;"'!"&amp;$D17&amp;ROW('Quantifiable Component 1'!$62:$62)))</f>
        <v>0</v>
      </c>
      <c r="BW17" s="1374" t="str">
        <f ca="1">IFERROR((IF(AND(BV17="yes",NOT(BD17=Defaults!$I$5),NOT(BD17=Defaults!$I$7),NOT(BD17=Defaults!$I$11)),0.8,1))*(IF(BC17="Transit Bus",BM17,IF(BC17="Van",BN17,IF(BC17="Cut-A-Way",BO17,IF(BC17="Over-Road Coach",BP17,IF(BC17="Heavy Rail",BQ17,IF(BC17="DMU / EMU",BR17,IF(BC17="Ferry",BS17,IF(BC17="Light Rail",BT17,BU17))))))))),"")</f>
        <v/>
      </c>
      <c r="BX17" s="1377" t="str">
        <f ca="1">IFERROR(VLOOKUP($BD17,'GHG EF'!$B$10:$H$19,2,0)*BF17,"")</f>
        <v/>
      </c>
      <c r="BY17" s="1377" t="str">
        <f t="shared" ca="1" si="14"/>
        <v/>
      </c>
      <c r="BZ17" s="1377" t="str">
        <f t="shared" ca="1" si="15"/>
        <v/>
      </c>
      <c r="CA17" s="1377" t="str">
        <f t="shared" ca="1" si="16"/>
        <v/>
      </c>
      <c r="CB17" s="1373" t="str">
        <f t="shared" ca="1" si="17"/>
        <v/>
      </c>
      <c r="CC17" s="1376">
        <f ca="1">INDIRECT("'Quantifiable Component "&amp;$B17&amp;"'!"&amp;$D17&amp;ROW('Quantifiable Component 1'!$69:$69))</f>
        <v>0</v>
      </c>
      <c r="CD17" s="1376">
        <f ca="1">INDIRECT("'Quantifiable Component "&amp;$B17&amp;"'!"&amp;$D17&amp;ROW('Quantifiable Component 1'!$72:$72))</f>
        <v>0</v>
      </c>
      <c r="CE17" s="1373">
        <f ca="1">INDIRECT("'Quantifiable Component "&amp;$B17&amp;"'!"&amp;$D17&amp;ROW('Quantifiable Component 1'!$74:$74))</f>
        <v>0</v>
      </c>
      <c r="CF17" s="306">
        <f ca="1">INDIRECT("'Quantifiable Component "&amp;$B17&amp;"'!"&amp;$D17&amp;ROW('Quantifiable Component 1'!$73:$73))</f>
        <v>0</v>
      </c>
      <c r="CG17" s="306" t="str">
        <f t="shared" ca="1" si="18"/>
        <v>0_0</v>
      </c>
      <c r="CH17" s="1373" t="str">
        <f ca="1">IFERROR(VLOOKUP($CD17,'GHG EF'!$B$10:$H$19,2,0)*VLOOKUP($CD17,'GHG EF'!$B$10:$H$19,3,0),"")</f>
        <v/>
      </c>
      <c r="CI17" s="1373" t="str">
        <f t="shared" ca="1" si="19"/>
        <v/>
      </c>
      <c r="CJ17" s="1373" t="str">
        <f t="shared" ca="1" si="20"/>
        <v/>
      </c>
      <c r="CK17" s="1378" t="str">
        <f ca="1">IF($F17=Defaults!$M$2, $BB17+IF($CA17="",0,$CA17)+IF($CJ17="",0,$CJ17), IF($F17=Defaults!$M$4,$CB17+IF($CJ17="",0,$CJ17),IF($F17=Defaults!$M$3,$AB17+IF($CJ17="",0,$CJ17), IF($F17=Defaults!$M$5,$CJ17,""))))</f>
        <v/>
      </c>
      <c r="CL17" s="1645"/>
    </row>
    <row r="18" spans="1:90" s="117" customFormat="1" ht="15.5" x14ac:dyDescent="0.35">
      <c r="A18" s="1646">
        <v>3</v>
      </c>
      <c r="B18" s="1367">
        <v>3</v>
      </c>
      <c r="C18" s="1380">
        <v>1</v>
      </c>
      <c r="D18" s="1368" t="str">
        <f>SUBSTITUTE(ADDRESS(1,COLUMN('Quantifiable Component 1'!E:E),4),"1","")</f>
        <v>E</v>
      </c>
      <c r="E18" s="1368" t="str">
        <f t="shared" si="0"/>
        <v>Quantifiable Component 3E</v>
      </c>
      <c r="F18" s="306">
        <f ca="1">INDIRECT("'Quantifiable Component "&amp;$B18&amp;"'!"&amp;$D18&amp;ROW('Quantifiable Component 1'!$28:$28))</f>
        <v>0</v>
      </c>
      <c r="G18" s="306">
        <f ca="1">INDIRECT("'Quantifiable Component "&amp;$B18&amp;"'!"&amp;$D18&amp;ROW('Quantifiable Component 1'!$29:$29))</f>
        <v>0</v>
      </c>
      <c r="H18" s="306">
        <f ca="1">INDIRECT("'Quantifiable Component "&amp;$B18&amp;"'!"&amp;$D18&amp;ROW('Quantifiable Component 1'!$32:$32))</f>
        <v>0</v>
      </c>
      <c r="I18" s="306">
        <f ca="1">INDIRECT("'Quantifiable Component "&amp;$B18&amp;"'!"&amp;$D18&amp;ROW('Quantifiable Component 1'!$33:$33))</f>
        <v>0</v>
      </c>
      <c r="J18" s="306">
        <f ca="1">INDIRECT("'Quantifiable Component "&amp;$B18&amp;"'!"&amp;$D18&amp;ROW('Quantifiable Component 1'!$31:$31))</f>
        <v>0</v>
      </c>
      <c r="K18" s="306" t="str">
        <f t="shared" ca="1" si="1"/>
        <v>0_0</v>
      </c>
      <c r="L18" s="306" t="str">
        <f t="shared" ca="1" si="2"/>
        <v>0_0</v>
      </c>
      <c r="M18" s="306">
        <f ca="1">INDIRECT("'Quantifiable Component "&amp;$B18&amp;"'!"&amp;$D18&amp;ROW('Quantifiable Component 1'!$37:$37))</f>
        <v>0</v>
      </c>
      <c r="N18" s="1369" t="str">
        <f ca="1">IFERROR(VLOOKUP((CONCATENATE(J18,"_",H18)),'Auto GHG'!$C$41:$D$2668,2,0),"")</f>
        <v/>
      </c>
      <c r="O18" s="306">
        <f ca="1">INDIRECT("'Quantifiable Component "&amp;$B18&amp;"'!"&amp;$D18&amp;ROW('Quantifiable Component 1'!$38:$38))</f>
        <v>0</v>
      </c>
      <c r="P18" s="1369" t="str">
        <f ca="1">IFERROR(IF(I18&lt;=2050,VLOOKUP((CONCATENATE(J18,"_",I18)),'Auto GHG'!$C$41:$D$2668,2,),VLOOKUP((CONCATENATE(J18,"_",2050)),'Auto GHG'!$C$41:$D$2668,2,)),"")</f>
        <v/>
      </c>
      <c r="Q18" s="306">
        <f ca="1">INDIRECT("'Quantifiable Component "&amp;$B18&amp;"'!"&amp;$D18&amp;ROW('Quantifiable Component 1'!$39:$39))</f>
        <v>0</v>
      </c>
      <c r="R18" s="306">
        <f ca="1">INDIRECT("'Quantifiable Component "&amp;$B18&amp;"'!"&amp;$D18&amp;ROW('Quantifiable Component 1'!$40:$40))</f>
        <v>0</v>
      </c>
      <c r="S18" s="306"/>
      <c r="T18" s="306"/>
      <c r="U18" s="1370">
        <f t="shared" ca="1" si="3"/>
        <v>0</v>
      </c>
      <c r="V18" s="1371" t="str">
        <f t="shared" ca="1" si="4"/>
        <v/>
      </c>
      <c r="W18" s="1370">
        <f t="shared" ca="1" si="5"/>
        <v>0</v>
      </c>
      <c r="X18" s="1370" t="str">
        <f t="shared" ca="1" si="6"/>
        <v/>
      </c>
      <c r="Y18" s="1372">
        <f ca="1">IFERROR(('GHG Calcs'!U18+'GHG Calcs'!W18)/2,"")</f>
        <v>0</v>
      </c>
      <c r="Z18" s="1372">
        <f t="shared" ca="1" si="7"/>
        <v>0</v>
      </c>
      <c r="AA18" s="1370" t="str">
        <f t="shared" ca="1" si="8"/>
        <v/>
      </c>
      <c r="AB18" s="1370" t="str">
        <f ca="1">IF(OR(F18=Defaults!$M$3,F18=Defaults!$M$3),AA18,"")</f>
        <v/>
      </c>
      <c r="AC18" s="306">
        <f ca="1">INDIRECT("'Quantifiable Component "&amp;$B18&amp;"'!"&amp;$D18&amp;ROW('Quantifiable Component 1'!$46:$46))</f>
        <v>0</v>
      </c>
      <c r="AD18" s="306">
        <f ca="1">INDIRECT("'Quantifiable Component "&amp;$B18&amp;"'!"&amp;$D18&amp;ROW('Quantifiable Component 1'!$49:$49))</f>
        <v>0</v>
      </c>
      <c r="AE18" s="1373">
        <f ca="1">INDIRECT("'Quantifiable Component "&amp;$B18&amp;"'!"&amp;$D18&amp;ROW('Quantifiable Component 1'!$54:$54))</f>
        <v>0</v>
      </c>
      <c r="AF18" s="306" t="str">
        <f ca="1">IFERROR(IF(ISBLANK(INDIRECT("'Quantifiable Component "&amp;$B18&amp;"'!"&amp;$D18&amp;ROW('Quantifiable Component 1'!$52:$52))),VLOOKUP($AD18,'GHG EF'!$B$10:$H$19,3,0),INDIRECT("'Quantifiable Component "&amp;$B18&amp;"'!"&amp;$D18&amp;ROW('Quantifiable Component 1'!$52:$52))),"")</f>
        <v/>
      </c>
      <c r="AG18" s="306">
        <f ca="1">INDIRECT("'Quantifiable Component "&amp;$B18&amp;"'!"&amp;$D18&amp;ROW('Quantifiable Component 1'!$51:$51))</f>
        <v>0</v>
      </c>
      <c r="AH18" s="306" t="str">
        <f t="shared" ca="1" si="9"/>
        <v>0_0</v>
      </c>
      <c r="AI18" s="1373">
        <f ca="1">INDIRECT("'Quantifiable Component "&amp;$B18&amp;"'!"&amp;$D18&amp;ROW('Quantifiable Component 1'!$53:$53))</f>
        <v>0</v>
      </c>
      <c r="AJ18" s="306" t="str">
        <f ca="1">IF(AND(AI18&gt;0,OR(AD18=Defaults!$I$5,AD18=Defaults!$I$11)), IF(AC18="Transit Bus",VLOOKUP(AH18,'Fuel Consumption'!$A$31:$L$2316,5,0), IF(AC18="Van",VLOOKUP(AH18,'Fuel Consumption'!$A$31:$L$2316,8,0), IF(AC18="Cut-A-Way",VLOOKUP(AH18,'Fuel Consumption'!$A$31:$L$2316,11,0), IF(AC18="Over-Road Coach",VLOOKUP(AH18,'Fuel Consumption'!$A$31:$L$2316,12,0)*VLOOKUP(AD18,'GHG EF'!$B$10:$H$19,4,0),IF(AC18="Heavy Rail",'Rail C&amp;T EF'!$K$14*'GHG EF'!$C$12/'GHG EF'!$C$13/4.6, IF(AC18="DMU / EMU",'Rail C&amp;T EF'!$B$149*'GHG EF'!$C$12/'GHG EF'!$C$13/3.3, IF(AC18="Light Rail",'Rail C&amp;T EF'!$K$14*'GHG EF'!$C$12/'GHG EF'!$C$13/3.3, IF(AC18="Streetcar",'Rail C&amp;T EF'!$K$14*'GHG EF'!$C$12/'GHG EF'!$C$13/3.1,0)))))))),"")</f>
        <v/>
      </c>
      <c r="AK18" s="306" t="b">
        <f ca="1">IF(AI18&gt;0,IF(OR(AD18=Defaults!$I$3,AD18=Defaults!$I$4,AD18=Defaults!$I$6,AD18=Defaults!$I$8),IF(AC18="Transit Bus",IF(AD18="Gasoline",VLOOKUP(AH18,'Fuel Consumption'!$A$31:$L$2316,3),IF(OR(AD18="CNG",AD18="LNG"),VLOOKUP(AH18,'Fuel Consumption'!$A$31:$L$2316,4),VLOOKUP(AH18,'Fuel Consumption'!$A$31:$L$2316,2))),IF(AC18="Van",IF(OR(AD18="Diesel",AD18="Renewable Diesel",AD18="Biodiesel"),VLOOKUP(AH18,'Fuel Consumption'!$A$31:$L$2316,6),IF(OR(AD18="CNG",AD18="LNG"),VLOOKUP(AH18,'Fuel Consumption'!$A$31:$L$2316,7)*VLOOKUP(AD18,'GHG EF'!$B$10:$H$19,5,0),VLOOKUP(AH18,'Fuel Consumption'!$A$31:$L$2316,7))),IF(AC18="Cut-A-Way",IF(OR(AD18="Diesel",AD18="Renewable Diesel",AD18="Biodiesel"),VLOOKUP(AH18,'Fuel Consumption'!$A$31:$L$2316,9),IF(OR(AD18="CNG",AD18="LNG"),VLOOKUP(AH18,'Fuel Consumption'!$A$31:$L$2316,10)*VLOOKUP(AD18,'GHG EF'!$B$10:$H$19,5,0),VLOOKUP(AH18,'Fuel Consumption'!$A$31:$L$2316,10))),IF(AC18="Over-Road Coach",VLOOKUP(AH18,'Fuel Consumption'!$A$31:$L$2316,12),IF(AC18="Heavy Rail",'Rail C&amp;T EF'!$K$14,IF(AC18="DMU / EMU",'Rail C&amp;T EF'!$B$149,"")))))*IF(AD18=Defaults!$I$3,1/'GHG EF'!$I$11,1)*IF(AD18=Defaults!$I$8,1/'GHG EF'!$I$16,1)),""))</f>
        <v>0</v>
      </c>
      <c r="AL18" s="306" t="str">
        <f ca="1">IF(AI18&gt;0,IF(AC18="Transit Bus",IF(AD18="Gasoline",VLOOKUP(AH18,'Fuel Consumption'!$A$31:$L$2316,3,0)*VLOOKUP(AD18,'GHG EF'!$B$10:$H$19,5,0),IF(OR(AD18="LNG",AD18="CNG",AD18="Renewable Natural Gas"),VLOOKUP(AH18,'Fuel Consumption'!$A$31:$L$2316,4)*VLOOKUP(AD18,'GHG EF'!$B$10:$H$19,4,0),IF(OR(AD18="Electric",AD18="Renewable Electricity"),VLOOKUP(AH18,'Fuel Consumption'!$A$31:$L$2316,5,0),IF(AD18="Hydrogen Fuel Cell",VLOOKUP(AH18,'Fuel Consumption'!$A$31:$L$2316,5,0)*'GHG EF'!$C$13/'GHG EF'!$C$15*'GHG EF'!$I$13/'GHG EF'!$I$15,VLOOKUP(AH18,'Fuel Consumption'!$A$31:$L$2316,2,0)*VLOOKUP(AD18,'GHG EF'!$B$10:$H$19,4,0))))),
IF(AC18="Van",IF(OR(AD18="Diesel",AD18="Renewable Diesel",AD18="Biodiesel"),VLOOKUP(AH18,'Fuel Consumption'!$A$31:$L$2316,6,0)*VLOOKUP(AD18,'GHG EF'!$B$10:$H$19,4,0),IF(OR(AD18="LNG",AD18="CNG",AD18="Renewable Natural Gas"),VLOOKUP(AH18,'Fuel Consumption'!$A$31:$L$2316,7)*VLOOKUP(AD18,'GHG EF'!$B$10:$H$19,5,0),IF(OR(AD18="Electric",AD18="Renewable Electricity"),VLOOKUP(AH18,'Fuel Consumption'!$A$31:$L$2316,8,0),IF(AD18="Hydrogen Fuel Cell",VLOOKUP(AH18,'Fuel Consumption'!$A$31:$L$2316,8,0)*'GHG EF'!$C$13/'GHG EF'!$C$15*'GHG EF'!$J$13/'GHG EF'!$J$15,VLOOKUP(AH18,'Fuel Consumption'!$A$31:$L$2316,7,0)*VLOOKUP(AD18,'GHG EF'!$B$10:$H$19,5,0))))),
IF(AC18="Cut-A-Way",IF(OR(AD18="Diesel",AD18="Renewable Diesel",AD18="Biodiesel"),VLOOKUP(AH18,'Fuel Consumption'!$A$31:$L$2316,9,0)*VLOOKUP(AD18,'GHG EF'!$B$10:$H$19,4,0),IF(OR(AD18="LNG",AD18="CNG",AD18="Renewable Natural Gas"),VLOOKUP(AH18,'Fuel Consumption'!$A$31:$L$2316,10)*VLOOKUP(AD18,'GHG EF'!$B$10:$H$19,5,0),IF(OR(AD18="Electric",AD18="Renewable Electricity"),VLOOKUP(AH18,'Fuel Consumption'!$A$31:$L$2316,11,0),IF(AD18="Hydrogen Fuel Cell",VLOOKUP(AH18,'Fuel Consumption'!$A$31:$L$2316,11,0)*'GHG EF'!$C$13/'GHG EF'!$C$15*'GHG EF'!$J$13/'GHG EF'!$J$15,VLOOKUP(AH18,'Fuel Consumption'!$A$31:$L$2316,10,0)*VLOOKUP(AD18,'GHG EF'!$B$10:$H$19,5,0))))),
IF(AC18="Over-Road Coach",VLOOKUP(AH18,'Fuel Consumption'!$A$31:$L$2316,12,0)*VLOOKUP(AD18,'GHG EF'!$B$10:$H$19,4,0),IF(AC18="Heavy Rail",IF(OR(AD18=Defaults!$I$5,AD18=Defaults!$I$11),'Rail C&amp;T EF'!$K$14*'GHG EF'!$C$12/'GHG EF'!$C$13/4.6,'Rail C&amp;T EF'!$K$14*VLOOKUP(AD18,'GHG EF'!$B$10:$H$19,4,0)),IF(AC18="DMU / EMU",IF(OR(AD18=Defaults!$I$5,AD18=Defaults!$I$11),'Rail C&amp;T EF'!$B$149*'GHG EF'!$C$12/'GHG EF'!$C$13/3.3,'Rail C&amp;T EF'!$B$149*VLOOKUP(AD18,'GHG EF'!$B$10:$H$19,4,0)),IF(AC18="Light Rail",'Rail C&amp;T EF'!$K$14*'GHG EF'!$C$12/'GHG EF'!$C$13/3.3,IF(AC18="Streetcar",'Rail C&amp;T EF'!$K$14*'GHG EF'!$C$12/'GHG EF'!$C$13/3.1,"")))))))),"")</f>
        <v/>
      </c>
      <c r="AM18" s="306" t="str">
        <f ca="1">IFERROR((IF(AD18="Gasoline",VLOOKUP(AH18,'Fuel Consumption'!$A$31:$L$2316,3,0)*VLOOKUP(AD18,'GHG EF'!$B$10:$H$19,5,0), IF(OR(AD18="CNG",AD18="LNG",AD18="Renewable Natural Gas"),VLOOKUP(AH18,'Fuel Consumption'!$A$31:$L$2316,4,0)*VLOOKUP(AD18,'GHG EF'!$B$10:$H$19,4,0),IF(OR(AD18="Electric",AD18="Renewable Electricity"),VLOOKUP(AH18,'Fuel Consumption'!$A$31:$L$2316,5,0),IF(AD18="Hydrogen Fuel Cell",VLOOKUP(AH18,'Fuel Consumption'!$A$31:$L$2316,5,0)*'GHG EF'!$C$13/'GHG EF'!$C$15*'GHG EF'!$I$13/'GHG EF'!$I$15,VLOOKUP(AH18,'Fuel Consumption'!$A$31:$L$2316,2,0)*VLOOKUP(AD18,'GHG EF'!$B$10:$H$19,4,0))))) * VLOOKUP(AD18,'GHG EF'!$B$10:$H$19,2,0) * AF18),"")</f>
        <v/>
      </c>
      <c r="AN18" s="306" t="str">
        <f ca="1">IFERROR((IF(OR(AD18="Diesel",AD18="Renewable Diesel",AD18="Biodiesel"),VLOOKUP(AH18,'Fuel Consumption'!$A$31:$L$2316,6,0)*VLOOKUP(AD18,'GHG EF'!$B$10:$H$19,4,0),IF(OR(AD18="CNG",AD18="LNG",AD18="Renewable Natural Gas"),VLOOKUP(AH18,'Fuel Consumption'!$A$31:$L$2316,7,0)*VLOOKUP(AD18,'GHG EF'!$B$10:$H$19,5,0),IF(OR(AD18="Electric",AD18="Renewable Electricity"),VLOOKUP(AH18,'Fuel Consumption'!$A$31:$L$2316,8,0),IF(AD18="Hydrogen Fuel Cell",VLOOKUP(AH18,'Fuel Consumption'!$A$31:$L$2316,8,0)*'GHG EF'!$C$13/'GHG EF'!$C$15*'GHG EF'!$J$13/'GHG EF'!$J$15,VLOOKUP(AH18,'Fuel Consumption'!$A$31:$L$2316,7,0)*VLOOKUP(AD18,'GHG EF'!$B$10:$H$19,5,0)))))*VLOOKUP(AD18,'GHG EF'!$B$10:$H$19,2,0)*AF18),"")</f>
        <v/>
      </c>
      <c r="AO18" s="306" t="str">
        <f ca="1">IFERROR((IF(OR(AD18="Diesel",AD18="Renewable Diesel",AD18="Biodiesel"),VLOOKUP(AH18,'Fuel Consumption'!$A$31:$L$2316,9,0)*VLOOKUP(AD18,'GHG EF'!$B$10:$H$19,4,0),IF(OR(AD18="CNG",AD18="LNG",AD18="Renewable Natural Gas"),VLOOKUP(AH18,'Fuel Consumption'!$A$31:$L$2316,10,0)*VLOOKUP(AD18,'GHG EF'!$B$10:$H$19,5,0),IF(OR(AD18="Electric",AD18="Renewable Electricity"),VLOOKUP(AH18,'Fuel Consumption'!$A$31:$L$2316,11,0),IF(AD18="Hydrogen Fuel Cell",VLOOKUP(AH18,'Fuel Consumption'!$A$31:$L$2316,11,0)*'GHG EF'!$C$13/'GHG EF'!$C$15*'GHG EF'!$J$13/'GHG EF'!$J$15,VLOOKUP(AH18,'Fuel Consumption'!$A$31:$L$2316,10,0)*VLOOKUP(AD18,'GHG EF'!$B$10:$H$19,5,0))))) * VLOOKUP(AD18,'GHG EF'!$B$10:$H$19,2,0) * AF18),"")</f>
        <v/>
      </c>
      <c r="AP18" s="306" t="str">
        <f ca="1">IFERROR(VLOOKUP(AH18,'Fuel Consumption'!$A$31:$L$2316,12,0)*VLOOKUP(AD18,'GHG EF'!$B$10:$H$19,4,0) * VLOOKUP(AD18,'GHG EF'!$B$10:$H$19,2,0) * AF18,"")</f>
        <v/>
      </c>
      <c r="AQ18" s="1374" t="str">
        <f ca="1">IFERROR(IF(OR(AD18=Defaults!$I$5,AD18=Defaults!$I$11), 'GHG EF'!$C$13*'GHG EF'!$C$12/'GHG EF'!$C$13/4.6, VLOOKUP(AD18,'GHG EF'!$B$10:$H$19,4,0)*VLOOKUP(AD18,'GHG EF'!$B$10:$H$19,2,0))*AF18*'Rail C&amp;T EF'!$K$14,"")</f>
        <v/>
      </c>
      <c r="AR18" s="1374" t="str">
        <f ca="1">IFERROR(IF(OR(AD18=Defaults!$I$5,AD18=Defaults!$I$11), 'GHG EF'!$C$13*'GHG EF'!$C$12/'GHG EF'!$C$13/3.3, VLOOKUP(AD18,'GHG EF'!$B$10:$H$19,4,0)*VLOOKUP(AD18,'GHG EF'!$B$10:$H$19,2,0))*AF18*'Rail C&amp;T EF'!$B$149,"")</f>
        <v/>
      </c>
      <c r="AS18" s="1374" t="str">
        <f ca="1">IFERROR(VLOOKUP(AD18,'GHG EF'!$B$10:$H$19,2,0)*AF18,"")</f>
        <v/>
      </c>
      <c r="AT18" s="1374" t="str">
        <f ca="1">IF(OR(AD18=Defaults!$I$5,AD18=Defaults!$I$10),'GHG EF'!$C$13*AF18*'GHG EF'!$C$12/'GHG EF'!$C$13/3.3*'Rail C&amp;T EF'!$K$14,"")</f>
        <v/>
      </c>
      <c r="AU18" s="1374" t="str">
        <f ca="1">IF(OR(AD18=Defaults!$I$5,AD18=Defaults!$I$10),'GHG EF'!$C$13*AF18*'GHG EF'!$C$12/'GHG EF'!$C$13/3.1*'Rail C&amp;T EF'!$K$14,"")</f>
        <v/>
      </c>
      <c r="AV18" s="1374">
        <f ca="1">IF(OR($AD18=Defaults!$I$5, $AD18=Defaults!$I$7, $AD18=Defaults!$I$11),Defaults!$G$15,INDIRECT("'Quantifiable Component "&amp;$B18&amp;"'!"&amp;$D18&amp;ROW('Quantifiable Component 1'!$50:$50)))</f>
        <v>0</v>
      </c>
      <c r="AW18" s="1374" t="str">
        <f ca="1">IFERROR((IF(AND(AV18="yes",NOT(AD18=Defaults!$I$5),NOT(AD18=Defaults!$I$7),NOT(AD18=Defaults!$I$11)),0.8,1))*(IF(AC18="Transit Bus",AM18,IF(AC18="Van",AN18,IF(AC18="Cut-A-Way",AO18,IF(AC18="Over-Road Coach",AP18,IF(AC18="Heavy Rail",AQ18,IF(AC18="DMU / EMU",AR18,IF(AC18="Ferry",AS18,IF(AC18="Light Rail",AT18,AU18))))))))),"")</f>
        <v/>
      </c>
      <c r="AX18" s="1374" t="str">
        <f ca="1">IFERROR(VLOOKUP($AD18,'GHG EF'!$B$10:$H$19,2,0)*AF18,"")</f>
        <v/>
      </c>
      <c r="AY18" s="1375" t="str">
        <f t="shared" ca="1" si="10"/>
        <v/>
      </c>
      <c r="AZ18" s="1374" t="str">
        <f t="shared" ca="1" si="11"/>
        <v/>
      </c>
      <c r="BA18" s="1375" t="str">
        <f ca="1">IFERROR(IF(G18=Defaults!$F$2,0,IF(AZ18&gt;0,AZ18*(I18-H18),AY18*(I18-H18))),"")</f>
        <v/>
      </c>
      <c r="BB18" s="1373" t="str">
        <f t="shared" ca="1" si="12"/>
        <v/>
      </c>
      <c r="BC18" s="1376">
        <f ca="1">INDIRECT("'Quantifiable Component "&amp;$B18&amp;"'!"&amp;$D18&amp;ROW('Quantifiable Component 1'!$58:$58))</f>
        <v>0</v>
      </c>
      <c r="BD18" s="306">
        <f ca="1">INDIRECT("'Quantifiable Component "&amp;$B18&amp;"'!"&amp;$D18&amp;ROW('Quantifiable Component 1'!$61:$61))</f>
        <v>0</v>
      </c>
      <c r="BE18" s="306">
        <f ca="1">INDIRECT("'Quantifiable Component "&amp;$B18&amp;"'!"&amp;$D18&amp;ROW('Quantifiable Component 1'!$66:$66))</f>
        <v>0</v>
      </c>
      <c r="BF18" s="306" t="str">
        <f ca="1">IFERROR(IF(ISBLANK(INDIRECT("'Quantifiable Component "&amp;$B18&amp;"'!"&amp;$D18&amp;ROW('Quantifiable Component 1'!$64:$64))),VLOOKUP($BD18,'GHG EF'!$B$10:$H$19,3,0),INDIRECT("'Quantifiable Component "&amp;$B18&amp;"'!"&amp;$D18&amp;ROW('Quantifiable Component 1'!$64:$64))),"")</f>
        <v/>
      </c>
      <c r="BG18" s="306">
        <f ca="1">INDIRECT("'Quantifiable Component "&amp;$B18&amp;"'!"&amp;$D18&amp;ROW('Quantifiable Component 1'!$63:$63))</f>
        <v>0</v>
      </c>
      <c r="BH18" s="1373">
        <f ca="1">INDIRECT("'Quantifiable Component "&amp;$B18&amp;"'!"&amp;$D18&amp;ROW('Quantifiable Component 1'!$65:$65))</f>
        <v>0</v>
      </c>
      <c r="BI18" s="306" t="str">
        <f ca="1">IF(AND(BH18&gt;0,OR(BD18=Defaults!$I$5,BD18=Defaults!$I$11)), IF(BC18="Transit Bus",VLOOKUP(BL18,'Fuel Consumption'!$A$31:$L$2316,5,0), IF(BC18="Van",VLOOKUP(BL18,'Fuel Consumption'!$A$31:$L$2316,8,0), IF(BC18="Cut-A-Way",VLOOKUP(BL18,'Fuel Consumption'!$A$31:$L$2316,11,0), IF(BC18="Over-Road Coach",VLOOKUP(BL18,'Fuel Consumption'!$A$31:$L$2316,12,0)*VLOOKUP(BD18,'GHG EF'!$B$10:$H$19,4,0),IF(BC18="Heavy Rail",'Rail C&amp;T EF'!$K$14*'GHG EF'!$C$12/'GHG EF'!$C$13/4.6, IF(BC18="DMU / EMU",'Rail C&amp;T EF'!$B$149*'GHG EF'!$C$12/'GHG EF'!$C$13/3.3, IF(BC18="Light Rail",'Rail C&amp;T EF'!$K$14*'GHG EF'!$C$12/'GHG EF'!$C$13/3.3, IF(BC18="Streetcar",'Rail C&amp;T EF'!$K$14*'GHG EF'!$C$12/'GHG EF'!$C$13/3.1,0)))))))),"")</f>
        <v/>
      </c>
      <c r="BJ18" s="306" t="str">
        <f ca="1">IF(BH18&gt;0,IF(OR(BD18=Defaults!$I$3,BD18=Defaults!$I$4, BD18=Defaults!$I$6, BD18=Defaults!$I$8),IF(BC18="Transit Bus",IF(BD18="Gasoline",VLOOKUP(BL18,'Fuel Consumption'!$A$31:$L$2316,3), IF(OR(BD18="CNG",BD18="LNG"),VLOOKUP(BL18,'Fuel Consumption'!$A$31:$L$2316,4,0),VLOOKUP(BL18,'Fuel Consumption'!$A$31:$L$2316,2))), IF(BC18="Van",IF(OR(BD18="Diesel",BD18="Renewable Diesel",BD18="Biodiesel"),VLOOKUP(BL18,'Fuel Consumption'!$A$31:$L$2316,6),IF(OR(BD18="CNG",BD18="LNG"),VLOOKUP(BL18,'Fuel Consumption'!$A$31:$L$2316,7,0)*VLOOKUP(BD18,'GHG EF'!$B$10:$H$19,5,0), VLOOKUP(BL18,'Fuel Consumption'!$A$31:$L$2316,7))), IF(BC18="Cut-A-Way",IF(OR(BD18="Diesel",BD18="Renewable Diesel",BD18="Biodiesel"),VLOOKUP(BL18,'Fuel Consumption'!$A$31:$L$2316,9),IF(OR(BD18="CNG",BD18="LNG"),VLOOKUP(BL18,'Fuel Consumption'!$A$31:$L$2316,10,0)*VLOOKUP(BD18,'GHG EF'!$B$10:$H$19,5,0), VLOOKUP(BL18,'Fuel Consumption'!$A$31:$L$2316,10))), IF(BC18="Over-Road Coach",VLOOKUP(BL18,'Fuel Consumption'!$A$31:$L$2316,12),IF(BC18="Heavy Rail",'Rail C&amp;T EF'!$K$14, IF(BC18="DMU / EMU",'Rail C&amp;T EF'!$B$149,"")))))) * IF(BD18=Defaults!$I$3,1/'GHG EF'!$I$11,1) * IF(BD18=Defaults!$I$8,1/'GHG EF'!$I$16,1),""),"")</f>
        <v/>
      </c>
      <c r="BK18" s="306" t="str">
        <f ca="1">IF(BH18&gt;0,IF(BC18="Transit Bus",IF(BD18="Gasoline",VLOOKUP(BL18,'Fuel Consumption'!$A$31:$L$2316,3,0)*VLOOKUP(BD18,'GHG EF'!$B$10:$H$19,5,0),IF(OR(BD18="CNG",BD18="LNG",BD18="Renewable Natural Gas"),VLOOKUP(BL18,'Fuel Consumption'!$A$31:$L$2316,4,0)*VLOOKUP(BD18,'GHG EF'!$B$10:$H$19,4,0), IF(OR(BD18="Electric",BD18="Renewable Electricity"),VLOOKUP(BL18,'Fuel Consumption'!$A$31:$L$2316,5,0),IF(BD18="Hydrogen Fuel Cell",VLOOKUP(BL18,'Fuel Consumption'!$A$31:$L$2316,5,0)*'GHG EF'!$C$13/'GHG EF'!$C$15*'GHG EF'!$I$13/'GHG EF'!$I$15, VLOOKUP(BL18,'Fuel Consumption'!$A$31:$L$2316,2,0)*VLOOKUP(BD18,'GHG EF'!$B$10:$H$19,4,0))))),
IF(BC18="Van",IF(OR(BD18="Diesel",BD18="Renewable Diesel",BD18="Biodiesel"),VLOOKUP(BL18,'Fuel Consumption'!$A$31:$L$2316,6,0)*VLOOKUP(BD18,'GHG EF'!$B$10:$H$19,4,0), IF(OR(BD18="CNG",BD18="LNG",BD18="Renewable Natural Gas"),VLOOKUP(BL18,'Fuel Consumption'!$A$31:$L$2316,7,0)*VLOOKUP(BD18,'GHG EF'!$B$10:$H$19,5,0), IF(OR(BD18="Electric",BD18="Renewable Electricity"),VLOOKUP(BL18,'Fuel Consumption'!$A$31:$L$2316,8,0),IF(BD18="Hydrogen Fuel Cell",VLOOKUP(BL18,'Fuel Consumption'!$A$31:$L$2316,8,0)*'GHG EF'!$C$13/'GHG EF'!$C$15*'GHG EF'!$J$13/'GHG EF'!$J$15,VLOOKUP(BL18,'Fuel Consumption'!$A$31:$L$2316,7,0)*VLOOKUP(BD18,'GHG EF'!$B$10:$H$19,5,0))))),
IF(BC18="Cut-A-Way",IF(OR(BD18="Diesel",BD18="Renewable Diesel",BD18="Biodiesel"),VLOOKUP(BL18,'Fuel Consumption'!$A$31:$L$2316,9,0)*VLOOKUP(BD18,'GHG EF'!$B$10:$H$19,4,0),IF(OR(BD18="CNG",BD18="LNG",BD18="Renewable Natural Gas"),VLOOKUP(BL18,'Fuel Consumption'!$A$31:$L$2316,10,0)*VLOOKUP(BD18,'GHG EF'!$B$10:$H$19,5,0), IF(OR(BD18="Electric",BD18="Renewable Electricity"),VLOOKUP(BL18,'Fuel Consumption'!$A$31:$L$2316,11,0),IF(BD18="Hydrogen Fuel Cell",VLOOKUP(BL18,'Fuel Consumption'!$A$31:$L$2316,11,0)*'GHG EF'!$C$13/'GHG EF'!$C$15*'GHG EF'!$J$13/'GHG EF'!$J$15, VLOOKUP(BL18,'Fuel Consumption'!$A$31:$L$2316,10,0)*VLOOKUP(BD18,'GHG EF'!$B$10:$H$19,5,0))))),
IF(BC18="Over-Road Coach",VLOOKUP(BL18,'Fuel Consumption'!$A$31:$L$2316,12,0)*VLOOKUP(BD18,'GHG EF'!$B$10:$H$19,4,0),IF(BC18="Heavy Rail",IF(OR(BD18=Defaults!$I$5,BD18=Defaults!$I$11), 'Rail C&amp;T EF'!$K$14*'GHG EF'!$C$12/'GHG EF'!$C$13/4.6, 'Rail C&amp;T EF'!$K$14*VLOOKUP(BD18,'GHG EF'!$B$10:$H$19,4,0)),IF(BC18="DMU / EMU",IF(OR(BD18=Defaults!$I$5,BD18=Defaults!$I$11), 'Rail C&amp;T EF'!$B$149*'GHG EF'!$C$12/'GHG EF'!$C$13/3.3, 'Rail C&amp;T EF'!$B$149*VLOOKUP(BD18,'GHG EF'!$B$10:$H$19,4,0)),IF(BC18="Light Rail",'Rail C&amp;T EF'!$K$14*'GHG EF'!$C$12/'GHG EF'!$C$13/3.3,IF(BC18="Streetcar",'Rail C&amp;T EF'!$K$14*'GHG EF'!$C$12/'GHG EF'!$C$13/3.1,"")))))))),"")</f>
        <v/>
      </c>
      <c r="BL18" s="306" t="str">
        <f t="shared" ca="1" si="13"/>
        <v>0_0</v>
      </c>
      <c r="BM18" s="306" t="str">
        <f ca="1">IFERROR((IF(BD18="Gasoline",VLOOKUP(BL18,'Fuel Consumption'!$A$31:$L$2316,3,0)*VLOOKUP(BD18,'GHG EF'!$B$10:$H$19,5,0), IF(OR(BD18="CNG",BD18="LNG",BD18="Renewable Natural Gas"),VLOOKUP(BL18,'Fuel Consumption'!$A$31:$L$2316,4,0)*VLOOKUP(BD18,'GHG EF'!$B$10:$H$19,4,0),IF(OR(BD18="Electric",BD18="Renewable Electricity"),VLOOKUP(BL18,'Fuel Consumption'!$A$31:$L$2316,5,0),IF(BD18="Hydrogen Fuel Cell",VLOOKUP(BL18,'Fuel Consumption'!$A$31:$L$2316,5,0)*'GHG EF'!$C$13/'GHG EF'!$C$15*'GHG EF'!$I$13/'GHG EF'!$I$15,VLOOKUP(BL18,'Fuel Consumption'!$A$31:$L$2316,2,0)*VLOOKUP(BD18,'GHG EF'!$B$10:$H$19,4,0))))) * VLOOKUP(BD18,'GHG EF'!$B$10:$H$19,2,0) * BF18),"")</f>
        <v/>
      </c>
      <c r="BN18" s="306" t="str">
        <f ca="1">IFERROR((IF(OR(BD18="Diesel",BD18="Renewable Diesel",BD18="Biodiesel"),VLOOKUP(BL18,'Fuel Consumption'!$A$31:$L$2316,6,0)*VLOOKUP(BD18,'GHG EF'!$B$10:$H$19,4,0),IF(OR(BD18="CNG",BD18="LNG",BD18="Renewable Natural Gas"),VLOOKUP(BL18,'Fuel Consumption'!$A$31:$L$2316,7,0)*VLOOKUP(BD18,'GHG EF'!$B$10:$H$19,5,0),IF(OR(BD18="Electric",BD18="Renewable Electricity"),VLOOKUP(BL18,'Fuel Consumption'!$A$31:$L$2316,8,0),IF(BD18="Hydrogen Fuel Cell",VLOOKUP(BL18,'Fuel Consumption'!$A$31:$L$2316,8,0)*'GHG EF'!$C$13/'GHG EF'!$C$15*'GHG EF'!$J$13/'GHG EF'!$J$15,VLOOKUP(BL18,'Fuel Consumption'!$A$31:$L$2316,7,0)*VLOOKUP(BD18,'GHG EF'!$B$10:$H$19,5,0)))))*VLOOKUP(BD18,'GHG EF'!$B$10:$H$19,2,0)*BF18),"")</f>
        <v/>
      </c>
      <c r="BO18" s="306" t="str">
        <f ca="1">IFERROR((IF(OR(BD18="Diesel",BD18="Renewable Diesel",BD18="Biodiesel"),VLOOKUP(BL18,'Fuel Consumption'!$A$31:$L$2316,9,0)*VLOOKUP(BD18,'GHG EF'!$B$10:$H$19,4,0),IF(OR(BD18="CNG",BD18="LNG",BD18="Renewable Natural Gas"),VLOOKUP(BL18,'Fuel Consumption'!$A$31:$L$2316,10,0)*VLOOKUP(BD18,'GHG EF'!$B$10:$H$19,5,0),IF(OR(BD18="Electric",BD18="Renewable Electricity"),VLOOKUP(BL18,'Fuel Consumption'!$A$31:$L$2316,11,0),IF(BD18="Hydrogen Fuel Cell",VLOOKUP(BL18,'Fuel Consumption'!$A$31:$L$2316,11,0)*'GHG EF'!$C$13/'GHG EF'!$C$15*'GHG EF'!$J$13/'GHG EF'!$J$15,VLOOKUP(BL18,'Fuel Consumption'!$A$31:$L$2316,10,0)*VLOOKUP(BD18,'GHG EF'!$B$10:$H$19,5,0))))) * VLOOKUP(BD18,'GHG EF'!$B$10:$H$19,2,0) * BF18),"")</f>
        <v/>
      </c>
      <c r="BP18" s="306" t="str">
        <f ca="1">IFERROR(VLOOKUP(BL18,'Fuel Consumption'!$A$31:$L$2316,12,0)*VLOOKUP(BD18,'GHG EF'!$B$10:$H$19,4,0) * VLOOKUP(BD18,'GHG EF'!$B$10:$H$19,2,0) * BF18,"")</f>
        <v/>
      </c>
      <c r="BQ18" s="1374" t="str">
        <f ca="1">IFERROR(IF(OR($BD18=Defaults!$I$5,$BD18=Defaults!$I$11), 'GHG EF'!$C$13*'GHG EF'!$C$12/'GHG EF'!$C$13/4.6, VLOOKUP(BD18,'GHG EF'!$B$10:$H$19,4,0)*VLOOKUP(BD18,'GHG EF'!$B$10:$H$19,2,0))*BF18*'Rail C&amp;T EF'!$K$14,"")</f>
        <v/>
      </c>
      <c r="BR18" s="1374" t="str">
        <f ca="1">IFERROR(IF(OR($BD18=Defaults!$I$5,$BD18=Defaults!$I$11), 'GHG EF'!$C$13*'GHG EF'!$C$12/'GHG EF'!$C$13/3.3, VLOOKUP(BD18,'GHG EF'!$B$10:$H$19,4,0)*VLOOKUP(BD18,'GHG EF'!$B$10:$H$19,2,0))*BF18*'Rail C&amp;T EF'!$B$149,"")</f>
        <v/>
      </c>
      <c r="BS18" s="1374" t="str">
        <f ca="1">IFERROR(VLOOKUP(BD18,'GHG EF'!$B$10:$H$19,2,0)*BF18,"")</f>
        <v/>
      </c>
      <c r="BT18" s="1374" t="str">
        <f ca="1">IF(OR($BD18=Defaults!$I$5,$BD18=Defaults!$I$10),'GHG EF'!$C$13*BF18*'GHG EF'!$C$12/'GHG EF'!$C$13/3.3*'Rail C&amp;T EF'!$K$14,"")</f>
        <v/>
      </c>
      <c r="BU18" s="1374" t="str">
        <f ca="1">IF(OR($BD18=Defaults!$I$5,$BD18=Defaults!$I$10),'GHG EF'!$C$13*BF18*'GHG EF'!$C$12/'GHG EF'!$C$13/3.1*'Rail C&amp;T EF'!$K$14,"")</f>
        <v/>
      </c>
      <c r="BV18" s="1374">
        <f ca="1">IF(OR($AD18=Defaults!$I$5, $AD18=Defaults!$I$7, $AD18=Defaults!$I$11),Defaults!$G$15,INDIRECT("'Quantifiable Component "&amp;$B18&amp;"'!"&amp;$D18&amp;ROW('Quantifiable Component 1'!$62:$62)))</f>
        <v>0</v>
      </c>
      <c r="BW18" s="1374" t="str">
        <f ca="1">IFERROR((IF(AND(BV18="yes",NOT(BD18=Defaults!$I$5),NOT(BD18=Defaults!$I$7),NOT(BD18=Defaults!$I$11)),0.8,1))*(IF(BC18="Transit Bus",BM18,IF(BC18="Van",BN18,IF(BC18="Cut-A-Way",BO18,IF(BC18="Over-Road Coach",BP18,IF(BC18="Heavy Rail",BQ18,IF(BC18="DMU / EMU",BR18,IF(BC18="Ferry",BS18,IF(BC18="Light Rail",BT18,BU18))))))))),"")</f>
        <v/>
      </c>
      <c r="BX18" s="1377" t="str">
        <f ca="1">IFERROR(VLOOKUP($BD18,'GHG EF'!$B$10:$H$19,2,0)*BF18,"")</f>
        <v/>
      </c>
      <c r="BY18" s="1377" t="str">
        <f t="shared" ca="1" si="14"/>
        <v/>
      </c>
      <c r="BZ18" s="1377" t="str">
        <f t="shared" ca="1" si="15"/>
        <v/>
      </c>
      <c r="CA18" s="1377" t="str">
        <f t="shared" ca="1" si="16"/>
        <v/>
      </c>
      <c r="CB18" s="1373" t="str">
        <f t="shared" ca="1" si="17"/>
        <v/>
      </c>
      <c r="CC18" s="1376">
        <f ca="1">INDIRECT("'Quantifiable Component "&amp;$B18&amp;"'!"&amp;$D18&amp;ROW('Quantifiable Component 1'!$69:$69))</f>
        <v>0</v>
      </c>
      <c r="CD18" s="1376">
        <f ca="1">INDIRECT("'Quantifiable Component "&amp;$B18&amp;"'!"&amp;$D18&amp;ROW('Quantifiable Component 1'!$72:$72))</f>
        <v>0</v>
      </c>
      <c r="CE18" s="1373">
        <f ca="1">INDIRECT("'Quantifiable Component "&amp;$B18&amp;"'!"&amp;$D18&amp;ROW('Quantifiable Component 1'!$74:$74))</f>
        <v>0</v>
      </c>
      <c r="CF18" s="306">
        <f ca="1">INDIRECT("'Quantifiable Component "&amp;$B18&amp;"'!"&amp;$D18&amp;ROW('Quantifiable Component 1'!$73:$73))</f>
        <v>0</v>
      </c>
      <c r="CG18" s="306" t="str">
        <f t="shared" ca="1" si="18"/>
        <v>0_0</v>
      </c>
      <c r="CH18" s="1373" t="str">
        <f ca="1">IFERROR(VLOOKUP($CD18,'GHG EF'!$B$10:$H$19,2,0)*VLOOKUP($CD18,'GHG EF'!$B$10:$H$19,3,0),"")</f>
        <v/>
      </c>
      <c r="CI18" s="1373" t="str">
        <f t="shared" ca="1" si="19"/>
        <v/>
      </c>
      <c r="CJ18" s="1373" t="str">
        <f t="shared" ca="1" si="20"/>
        <v/>
      </c>
      <c r="CK18" s="1378" t="str">
        <f ca="1">IF($F18=Defaults!$M$2, $BB18+IF($CA18="",0,$CA18)+IF($CJ18="",0,$CJ18), IF($F18=Defaults!$M$4,$CB18+IF($CJ18="",0,$CJ18),IF($F18=Defaults!$M$3,$AB18+IF($CJ18="",0,$CJ18), IF($F18=Defaults!$M$5,$CJ18,""))))</f>
        <v/>
      </c>
      <c r="CL18" s="1643">
        <f t="shared" ref="CL18" ca="1" si="22">SUM(CK18:CK20)</f>
        <v>0</v>
      </c>
    </row>
    <row r="19" spans="1:90" s="117" customFormat="1" ht="15.5" x14ac:dyDescent="0.35">
      <c r="A19" s="1647"/>
      <c r="B19" s="1367">
        <v>3</v>
      </c>
      <c r="C19" s="1380">
        <v>2</v>
      </c>
      <c r="D19" s="1368" t="str">
        <f>SUBSTITUTE(ADDRESS(1,COLUMN('Quantifiable Component 1'!H:H),4),"1","")</f>
        <v>H</v>
      </c>
      <c r="E19" s="1368" t="str">
        <f t="shared" si="0"/>
        <v>Quantifiable Component 3H</v>
      </c>
      <c r="F19" s="306">
        <f ca="1">INDIRECT("'Quantifiable Component "&amp;$B19&amp;"'!"&amp;$D19&amp;ROW('Quantifiable Component 1'!$28:$28))</f>
        <v>0</v>
      </c>
      <c r="G19" s="306">
        <f ca="1">INDIRECT("'Quantifiable Component "&amp;$B19&amp;"'!"&amp;$D19&amp;ROW('Quantifiable Component 1'!$29:$29))</f>
        <v>0</v>
      </c>
      <c r="H19" s="306">
        <f ca="1">INDIRECT("'Quantifiable Component "&amp;$B19&amp;"'!"&amp;$D19&amp;ROW('Quantifiable Component 1'!$32:$32))</f>
        <v>0</v>
      </c>
      <c r="I19" s="306">
        <f ca="1">INDIRECT("'Quantifiable Component "&amp;$B19&amp;"'!"&amp;$D19&amp;ROW('Quantifiable Component 1'!$33:$33))</f>
        <v>0</v>
      </c>
      <c r="J19" s="306">
        <f ca="1">INDIRECT("'Quantifiable Component "&amp;$B19&amp;"'!"&amp;$D19&amp;ROW('Quantifiable Component 1'!$31:$31))</f>
        <v>0</v>
      </c>
      <c r="K19" s="306" t="str">
        <f t="shared" ca="1" si="1"/>
        <v>0_0</v>
      </c>
      <c r="L19" s="306" t="str">
        <f t="shared" ca="1" si="2"/>
        <v>0_0</v>
      </c>
      <c r="M19" s="306">
        <f ca="1">INDIRECT("'Quantifiable Component "&amp;$B19&amp;"'!"&amp;$D19&amp;ROW('Quantifiable Component 1'!$37:$37))</f>
        <v>0</v>
      </c>
      <c r="N19" s="1369" t="str">
        <f ca="1">IFERROR(VLOOKUP((CONCATENATE(J19,"_",H19)),'Auto GHG'!$C$41:$D$2668,2,0),"")</f>
        <v/>
      </c>
      <c r="O19" s="306">
        <f ca="1">INDIRECT("'Quantifiable Component "&amp;$B19&amp;"'!"&amp;$D19&amp;ROW('Quantifiable Component 1'!$38:$38))</f>
        <v>0</v>
      </c>
      <c r="P19" s="1369" t="str">
        <f ca="1">IFERROR(IF(I19&lt;=2050,VLOOKUP((CONCATENATE(J19,"_",I19)),'Auto GHG'!$C$41:$D$2668,2,),VLOOKUP((CONCATENATE(J19,"_",2050)),'Auto GHG'!$C$41:$D$2668,2,)),"")</f>
        <v/>
      </c>
      <c r="Q19" s="306">
        <f ca="1">INDIRECT("'Quantifiable Component "&amp;$B19&amp;"'!"&amp;$D19&amp;ROW('Quantifiable Component 1'!$39:$39))</f>
        <v>0</v>
      </c>
      <c r="R19" s="306">
        <f ca="1">INDIRECT("'Quantifiable Component "&amp;$B19&amp;"'!"&amp;$D19&amp;ROW('Quantifiable Component 1'!$40:$40))</f>
        <v>0</v>
      </c>
      <c r="S19" s="306"/>
      <c r="T19" s="306"/>
      <c r="U19" s="1370">
        <f t="shared" ca="1" si="3"/>
        <v>0</v>
      </c>
      <c r="V19" s="1371" t="str">
        <f t="shared" ca="1" si="4"/>
        <v/>
      </c>
      <c r="W19" s="1370">
        <f t="shared" ca="1" si="5"/>
        <v>0</v>
      </c>
      <c r="X19" s="1370" t="str">
        <f t="shared" ca="1" si="6"/>
        <v/>
      </c>
      <c r="Y19" s="1372">
        <f ca="1">IFERROR(('GHG Calcs'!U19+'GHG Calcs'!W19)/2,"")</f>
        <v>0</v>
      </c>
      <c r="Z19" s="1372">
        <f t="shared" ca="1" si="7"/>
        <v>0</v>
      </c>
      <c r="AA19" s="1370" t="str">
        <f t="shared" ca="1" si="8"/>
        <v/>
      </c>
      <c r="AB19" s="1370" t="str">
        <f ca="1">IF(OR(F19=Defaults!$M$3,F19=Defaults!$M$3),AA19,"")</f>
        <v/>
      </c>
      <c r="AC19" s="306">
        <f ca="1">INDIRECT("'Quantifiable Component "&amp;$B19&amp;"'!"&amp;$D19&amp;ROW('Quantifiable Component 1'!$46:$46))</f>
        <v>0</v>
      </c>
      <c r="AD19" s="306">
        <f ca="1">INDIRECT("'Quantifiable Component "&amp;$B19&amp;"'!"&amp;$D19&amp;ROW('Quantifiable Component 1'!$49:$49))</f>
        <v>0</v>
      </c>
      <c r="AE19" s="1373">
        <f ca="1">INDIRECT("'Quantifiable Component "&amp;$B19&amp;"'!"&amp;$D19&amp;ROW('Quantifiable Component 1'!$54:$54))</f>
        <v>0</v>
      </c>
      <c r="AF19" s="306" t="str">
        <f ca="1">IFERROR(IF(ISBLANK(INDIRECT("'Quantifiable Component "&amp;$B19&amp;"'!"&amp;$D19&amp;ROW('Quantifiable Component 1'!$52:$52))),VLOOKUP($AD19,'GHG EF'!$B$10:$H$19,3,0),INDIRECT("'Quantifiable Component "&amp;$B19&amp;"'!"&amp;$D19&amp;ROW('Quantifiable Component 1'!$52:$52))),"")</f>
        <v/>
      </c>
      <c r="AG19" s="306">
        <f ca="1">INDIRECT("'Quantifiable Component "&amp;$B19&amp;"'!"&amp;$D19&amp;ROW('Quantifiable Component 1'!$51:$51))</f>
        <v>0</v>
      </c>
      <c r="AH19" s="306" t="str">
        <f t="shared" ca="1" si="9"/>
        <v>0_0</v>
      </c>
      <c r="AI19" s="1373">
        <f ca="1">INDIRECT("'Quantifiable Component "&amp;$B19&amp;"'!"&amp;$D19&amp;ROW('Quantifiable Component 1'!$53:$53))</f>
        <v>0</v>
      </c>
      <c r="AJ19" s="306" t="str">
        <f ca="1">IF(AND(AI19&gt;0,OR(AD19=Defaults!$I$5,AD19=Defaults!$I$11)), IF(AC19="Transit Bus",VLOOKUP(AH19,'Fuel Consumption'!$A$31:$L$2316,5,0), IF(AC19="Van",VLOOKUP(AH19,'Fuel Consumption'!$A$31:$L$2316,8,0), IF(AC19="Cut-A-Way",VLOOKUP(AH19,'Fuel Consumption'!$A$31:$L$2316,11,0), IF(AC19="Over-Road Coach",VLOOKUP(AH19,'Fuel Consumption'!$A$31:$L$2316,12,0)*VLOOKUP(AD19,'GHG EF'!$B$10:$H$19,4,0),IF(AC19="Heavy Rail",'Rail C&amp;T EF'!$K$14*'GHG EF'!$C$12/'GHG EF'!$C$13/4.6, IF(AC19="DMU / EMU",'Rail C&amp;T EF'!$B$149*'GHG EF'!$C$12/'GHG EF'!$C$13/3.3, IF(AC19="Light Rail",'Rail C&amp;T EF'!$K$14*'GHG EF'!$C$12/'GHG EF'!$C$13/3.3, IF(AC19="Streetcar",'Rail C&amp;T EF'!$K$14*'GHG EF'!$C$12/'GHG EF'!$C$13/3.1,0)))))))),"")</f>
        <v/>
      </c>
      <c r="AK19" s="306" t="b">
        <f ca="1">IF(AI19&gt;0,IF(OR(AD19=Defaults!$I$3,AD19=Defaults!$I$4,AD19=Defaults!$I$6,AD19=Defaults!$I$8),IF(AC19="Transit Bus",IF(AD19="Gasoline",VLOOKUP(AH19,'Fuel Consumption'!$A$31:$L$2316,3),IF(OR(AD19="CNG",AD19="LNG"),VLOOKUP(AH19,'Fuel Consumption'!$A$31:$L$2316,4),VLOOKUP(AH19,'Fuel Consumption'!$A$31:$L$2316,2))),IF(AC19="Van",IF(OR(AD19="Diesel",AD19="Renewable Diesel",AD19="Biodiesel"),VLOOKUP(AH19,'Fuel Consumption'!$A$31:$L$2316,6),IF(OR(AD19="CNG",AD19="LNG"),VLOOKUP(AH19,'Fuel Consumption'!$A$31:$L$2316,7)*VLOOKUP(AD19,'GHG EF'!$B$10:$H$19,5,0),VLOOKUP(AH19,'Fuel Consumption'!$A$31:$L$2316,7))),IF(AC19="Cut-A-Way",IF(OR(AD19="Diesel",AD19="Renewable Diesel",AD19="Biodiesel"),VLOOKUP(AH19,'Fuel Consumption'!$A$31:$L$2316,9),IF(OR(AD19="CNG",AD19="LNG"),VLOOKUP(AH19,'Fuel Consumption'!$A$31:$L$2316,10)*VLOOKUP(AD19,'GHG EF'!$B$10:$H$19,5,0),VLOOKUP(AH19,'Fuel Consumption'!$A$31:$L$2316,10))),IF(AC19="Over-Road Coach",VLOOKUP(AH19,'Fuel Consumption'!$A$31:$L$2316,12),IF(AC19="Heavy Rail",'Rail C&amp;T EF'!$K$14,IF(AC19="DMU / EMU",'Rail C&amp;T EF'!$B$149,"")))))*IF(AD19=Defaults!$I$3,1/'GHG EF'!$I$11,1)*IF(AD19=Defaults!$I$8,1/'GHG EF'!$I$16,1)),""))</f>
        <v>0</v>
      </c>
      <c r="AL19" s="306" t="str">
        <f ca="1">IF(AI19&gt;0,IF(AC19="Transit Bus",IF(AD19="Gasoline",VLOOKUP(AH19,'Fuel Consumption'!$A$31:$L$2316,3,0)*VLOOKUP(AD19,'GHG EF'!$B$10:$H$19,5,0),IF(OR(AD19="LNG",AD19="CNG",AD19="Renewable Natural Gas"),VLOOKUP(AH19,'Fuel Consumption'!$A$31:$L$2316,4)*VLOOKUP(AD19,'GHG EF'!$B$10:$H$19,4,0),IF(OR(AD19="Electric",AD19="Renewable Electricity"),VLOOKUP(AH19,'Fuel Consumption'!$A$31:$L$2316,5,0),IF(AD19="Hydrogen Fuel Cell",VLOOKUP(AH19,'Fuel Consumption'!$A$31:$L$2316,5,0)*'GHG EF'!$C$13/'GHG EF'!$C$15*'GHG EF'!$I$13/'GHG EF'!$I$15,VLOOKUP(AH19,'Fuel Consumption'!$A$31:$L$2316,2,0)*VLOOKUP(AD19,'GHG EF'!$B$10:$H$19,4,0))))),
IF(AC19="Van",IF(OR(AD19="Diesel",AD19="Renewable Diesel",AD19="Biodiesel"),VLOOKUP(AH19,'Fuel Consumption'!$A$31:$L$2316,6,0)*VLOOKUP(AD19,'GHG EF'!$B$10:$H$19,4,0),IF(OR(AD19="LNG",AD19="CNG",AD19="Renewable Natural Gas"),VLOOKUP(AH19,'Fuel Consumption'!$A$31:$L$2316,7)*VLOOKUP(AD19,'GHG EF'!$B$10:$H$19,5,0),IF(OR(AD19="Electric",AD19="Renewable Electricity"),VLOOKUP(AH19,'Fuel Consumption'!$A$31:$L$2316,8,0),IF(AD19="Hydrogen Fuel Cell",VLOOKUP(AH19,'Fuel Consumption'!$A$31:$L$2316,8,0)*'GHG EF'!$C$13/'GHG EF'!$C$15*'GHG EF'!$J$13/'GHG EF'!$J$15,VLOOKUP(AH19,'Fuel Consumption'!$A$31:$L$2316,7,0)*VLOOKUP(AD19,'GHG EF'!$B$10:$H$19,5,0))))),
IF(AC19="Cut-A-Way",IF(OR(AD19="Diesel",AD19="Renewable Diesel",AD19="Biodiesel"),VLOOKUP(AH19,'Fuel Consumption'!$A$31:$L$2316,9,0)*VLOOKUP(AD19,'GHG EF'!$B$10:$H$19,4,0),IF(OR(AD19="LNG",AD19="CNG",AD19="Renewable Natural Gas"),VLOOKUP(AH19,'Fuel Consumption'!$A$31:$L$2316,10)*VLOOKUP(AD19,'GHG EF'!$B$10:$H$19,5,0),IF(OR(AD19="Electric",AD19="Renewable Electricity"),VLOOKUP(AH19,'Fuel Consumption'!$A$31:$L$2316,11,0),IF(AD19="Hydrogen Fuel Cell",VLOOKUP(AH19,'Fuel Consumption'!$A$31:$L$2316,11,0)*'GHG EF'!$C$13/'GHG EF'!$C$15*'GHG EF'!$J$13/'GHG EF'!$J$15,VLOOKUP(AH19,'Fuel Consumption'!$A$31:$L$2316,10,0)*VLOOKUP(AD19,'GHG EF'!$B$10:$H$19,5,0))))),
IF(AC19="Over-Road Coach",VLOOKUP(AH19,'Fuel Consumption'!$A$31:$L$2316,12,0)*VLOOKUP(AD19,'GHG EF'!$B$10:$H$19,4,0),IF(AC19="Heavy Rail",IF(OR(AD19=Defaults!$I$5,AD19=Defaults!$I$11),'Rail C&amp;T EF'!$K$14*'GHG EF'!$C$12/'GHG EF'!$C$13/4.6,'Rail C&amp;T EF'!$K$14*VLOOKUP(AD19,'GHG EF'!$B$10:$H$19,4,0)),IF(AC19="DMU / EMU",IF(OR(AD19=Defaults!$I$5,AD19=Defaults!$I$11),'Rail C&amp;T EF'!$B$149*'GHG EF'!$C$12/'GHG EF'!$C$13/3.3,'Rail C&amp;T EF'!$B$149*VLOOKUP(AD19,'GHG EF'!$B$10:$H$19,4,0)),IF(AC19="Light Rail",'Rail C&amp;T EF'!$K$14*'GHG EF'!$C$12/'GHG EF'!$C$13/3.3,IF(AC19="Streetcar",'Rail C&amp;T EF'!$K$14*'GHG EF'!$C$12/'GHG EF'!$C$13/3.1,"")))))))),"")</f>
        <v/>
      </c>
      <c r="AM19" s="306" t="str">
        <f ca="1">IFERROR((IF(AD19="Gasoline",VLOOKUP(AH19,'Fuel Consumption'!$A$31:$L$2316,3,0)*VLOOKUP(AD19,'GHG EF'!$B$10:$H$19,5,0), IF(OR(AD19="CNG",AD19="LNG",AD19="Renewable Natural Gas"),VLOOKUP(AH19,'Fuel Consumption'!$A$31:$L$2316,4,0)*VLOOKUP(AD19,'GHG EF'!$B$10:$H$19,4,0),IF(OR(AD19="Electric",AD19="Renewable Electricity"),VLOOKUP(AH19,'Fuel Consumption'!$A$31:$L$2316,5,0),IF(AD19="Hydrogen Fuel Cell",VLOOKUP(AH19,'Fuel Consumption'!$A$31:$L$2316,5,0)*'GHG EF'!$C$13/'GHG EF'!$C$15*'GHG EF'!$I$13/'GHG EF'!$I$15,VLOOKUP(AH19,'Fuel Consumption'!$A$31:$L$2316,2,0)*VLOOKUP(AD19,'GHG EF'!$B$10:$H$19,4,0))))) * VLOOKUP(AD19,'GHG EF'!$B$10:$H$19,2,0) * AF19),"")</f>
        <v/>
      </c>
      <c r="AN19" s="306" t="str">
        <f ca="1">IFERROR((IF(OR(AD19="Diesel",AD19="Renewable Diesel",AD19="Biodiesel"),VLOOKUP(AH19,'Fuel Consumption'!$A$31:$L$2316,6,0)*VLOOKUP(AD19,'GHG EF'!$B$10:$H$19,4,0),IF(OR(AD19="CNG",AD19="LNG",AD19="Renewable Natural Gas"),VLOOKUP(AH19,'Fuel Consumption'!$A$31:$L$2316,7,0)*VLOOKUP(AD19,'GHG EF'!$B$10:$H$19,5,0),IF(OR(AD19="Electric",AD19="Renewable Electricity"),VLOOKUP(AH19,'Fuel Consumption'!$A$31:$L$2316,8,0),IF(AD19="Hydrogen Fuel Cell",VLOOKUP(AH19,'Fuel Consumption'!$A$31:$L$2316,8,0)*'GHG EF'!$C$13/'GHG EF'!$C$15*'GHG EF'!$J$13/'GHG EF'!$J$15,VLOOKUP(AH19,'Fuel Consumption'!$A$31:$L$2316,7,0)*VLOOKUP(AD19,'GHG EF'!$B$10:$H$19,5,0)))))*VLOOKUP(AD19,'GHG EF'!$B$10:$H$19,2,0)*AF19),"")</f>
        <v/>
      </c>
      <c r="AO19" s="306" t="str">
        <f ca="1">IFERROR((IF(OR(AD19="Diesel",AD19="Renewable Diesel",AD19="Biodiesel"),VLOOKUP(AH19,'Fuel Consumption'!$A$31:$L$2316,9,0)*VLOOKUP(AD19,'GHG EF'!$B$10:$H$19,4,0),IF(OR(AD19="CNG",AD19="LNG",AD19="Renewable Natural Gas"),VLOOKUP(AH19,'Fuel Consumption'!$A$31:$L$2316,10,0)*VLOOKUP(AD19,'GHG EF'!$B$10:$H$19,5,0),IF(OR(AD19="Electric",AD19="Renewable Electricity"),VLOOKUP(AH19,'Fuel Consumption'!$A$31:$L$2316,11,0),IF(AD19="Hydrogen Fuel Cell",VLOOKUP(AH19,'Fuel Consumption'!$A$31:$L$2316,11,0)*'GHG EF'!$C$13/'GHG EF'!$C$15*'GHG EF'!$J$13/'GHG EF'!$J$15,VLOOKUP(AH19,'Fuel Consumption'!$A$31:$L$2316,10,0)*VLOOKUP(AD19,'GHG EF'!$B$10:$H$19,5,0))))) * VLOOKUP(AD19,'GHG EF'!$B$10:$H$19,2,0) * AF19),"")</f>
        <v/>
      </c>
      <c r="AP19" s="306" t="str">
        <f ca="1">IFERROR(VLOOKUP(AH19,'Fuel Consumption'!$A$31:$L$2316,12,0)*VLOOKUP(AD19,'GHG EF'!$B$10:$H$19,4,0) * VLOOKUP(AD19,'GHG EF'!$B$10:$H$19,2,0) * AF19,"")</f>
        <v/>
      </c>
      <c r="AQ19" s="1374" t="str">
        <f ca="1">IFERROR(IF(OR(AD19=Defaults!$I$5,AD19=Defaults!$I$11), 'GHG EF'!$C$13*'GHG EF'!$C$12/'GHG EF'!$C$13/4.6, VLOOKUP(AD19,'GHG EF'!$B$10:$H$19,4,0)*VLOOKUP(AD19,'GHG EF'!$B$10:$H$19,2,0))*AF19*'Rail C&amp;T EF'!$K$14,"")</f>
        <v/>
      </c>
      <c r="AR19" s="1374" t="str">
        <f ca="1">IFERROR(IF(OR(AD19=Defaults!$I$5,AD19=Defaults!$I$11), 'GHG EF'!$C$13*'GHG EF'!$C$12/'GHG EF'!$C$13/3.3, VLOOKUP(AD19,'GHG EF'!$B$10:$H$19,4,0)*VLOOKUP(AD19,'GHG EF'!$B$10:$H$19,2,0))*AF19*'Rail C&amp;T EF'!$B$149,"")</f>
        <v/>
      </c>
      <c r="AS19" s="1374" t="str">
        <f ca="1">IFERROR(VLOOKUP(AD19,'GHG EF'!$B$10:$H$19,2,0)*AF19,"")</f>
        <v/>
      </c>
      <c r="AT19" s="1374" t="str">
        <f ca="1">IF(OR(AD19=Defaults!$I$5,AD19=Defaults!$I$10),'GHG EF'!$C$13*AF19*'GHG EF'!$C$12/'GHG EF'!$C$13/3.3*'Rail C&amp;T EF'!$K$14,"")</f>
        <v/>
      </c>
      <c r="AU19" s="1374" t="str">
        <f ca="1">IF(OR(AD19=Defaults!$I$5,AD19=Defaults!$I$10),'GHG EF'!$C$13*AF19*'GHG EF'!$C$12/'GHG EF'!$C$13/3.1*'Rail C&amp;T EF'!$K$14,"")</f>
        <v/>
      </c>
      <c r="AV19" s="1374">
        <f ca="1">IF(OR($AD19=Defaults!$I$5, $AD19=Defaults!$I$7, $AD19=Defaults!$I$11),Defaults!$G$15,INDIRECT("'Quantifiable Component "&amp;$B19&amp;"'!"&amp;$D19&amp;ROW('Quantifiable Component 1'!$50:$50)))</f>
        <v>0</v>
      </c>
      <c r="AW19" s="1374" t="str">
        <f ca="1">IFERROR((IF(AND(AV19="yes",NOT(AD19=Defaults!$I$5),NOT(AD19=Defaults!$I$7),NOT(AD19=Defaults!$I$11)),0.8,1))*(IF(AC19="Transit Bus",AM19,IF(AC19="Van",AN19,IF(AC19="Cut-A-Way",AO19,IF(AC19="Over-Road Coach",AP19,IF(AC19="Heavy Rail",AQ19,IF(AC19="DMU / EMU",AR19,IF(AC19="Ferry",AS19,IF(AC19="Light Rail",AT19,AU19))))))))),"")</f>
        <v/>
      </c>
      <c r="AX19" s="1374" t="str">
        <f ca="1">IFERROR(VLOOKUP($AD19,'GHG EF'!$B$10:$H$19,2,0)*AF19,"")</f>
        <v/>
      </c>
      <c r="AY19" s="1375" t="str">
        <f t="shared" ca="1" si="10"/>
        <v/>
      </c>
      <c r="AZ19" s="1374" t="str">
        <f t="shared" ca="1" si="11"/>
        <v/>
      </c>
      <c r="BA19" s="1375" t="str">
        <f ca="1">IFERROR(IF(G19=Defaults!$F$2,0,IF(AZ19&gt;0,AZ19*(I19-H19),AY19*(I19-H19))),"")</f>
        <v/>
      </c>
      <c r="BB19" s="1373" t="str">
        <f t="shared" ca="1" si="12"/>
        <v/>
      </c>
      <c r="BC19" s="1376">
        <f ca="1">INDIRECT("'Quantifiable Component "&amp;$B19&amp;"'!"&amp;$D19&amp;ROW('Quantifiable Component 1'!$58:$58))</f>
        <v>0</v>
      </c>
      <c r="BD19" s="306">
        <f ca="1">INDIRECT("'Quantifiable Component "&amp;$B19&amp;"'!"&amp;$D19&amp;ROW('Quantifiable Component 1'!$61:$61))</f>
        <v>0</v>
      </c>
      <c r="BE19" s="306">
        <f ca="1">INDIRECT("'Quantifiable Component "&amp;$B19&amp;"'!"&amp;$D19&amp;ROW('Quantifiable Component 1'!$66:$66))</f>
        <v>0</v>
      </c>
      <c r="BF19" s="306" t="str">
        <f ca="1">IFERROR(IF(ISBLANK(INDIRECT("'Quantifiable Component "&amp;$B19&amp;"'!"&amp;$D19&amp;ROW('Quantifiable Component 1'!$64:$64))),VLOOKUP($BD19,'GHG EF'!$B$10:$H$19,3,0),INDIRECT("'Quantifiable Component "&amp;$B19&amp;"'!"&amp;$D19&amp;ROW('Quantifiable Component 1'!$64:$64))),"")</f>
        <v/>
      </c>
      <c r="BG19" s="306">
        <f ca="1">INDIRECT("'Quantifiable Component "&amp;$B19&amp;"'!"&amp;$D19&amp;ROW('Quantifiable Component 1'!$63:$63))</f>
        <v>0</v>
      </c>
      <c r="BH19" s="1373">
        <f ca="1">INDIRECT("'Quantifiable Component "&amp;$B19&amp;"'!"&amp;$D19&amp;ROW('Quantifiable Component 1'!$65:$65))</f>
        <v>0</v>
      </c>
      <c r="BI19" s="306" t="str">
        <f ca="1">IF(AND(BH19&gt;0,OR(BD19=Defaults!$I$5,BD19=Defaults!$I$11)), IF(BC19="Transit Bus",VLOOKUP(BL19,'Fuel Consumption'!$A$31:$L$2316,5,0), IF(BC19="Van",VLOOKUP(BL19,'Fuel Consumption'!$A$31:$L$2316,8,0), IF(BC19="Cut-A-Way",VLOOKUP(BL19,'Fuel Consumption'!$A$31:$L$2316,11,0), IF(BC19="Over-Road Coach",VLOOKUP(BL19,'Fuel Consumption'!$A$31:$L$2316,12,0)*VLOOKUP(BD19,'GHG EF'!$B$10:$H$19,4,0),IF(BC19="Heavy Rail",'Rail C&amp;T EF'!$K$14*'GHG EF'!$C$12/'GHG EF'!$C$13/4.6, IF(BC19="DMU / EMU",'Rail C&amp;T EF'!$B$149*'GHG EF'!$C$12/'GHG EF'!$C$13/3.3, IF(BC19="Light Rail",'Rail C&amp;T EF'!$K$14*'GHG EF'!$C$12/'GHG EF'!$C$13/3.3, IF(BC19="Streetcar",'Rail C&amp;T EF'!$K$14*'GHG EF'!$C$12/'GHG EF'!$C$13/3.1,0)))))))),"")</f>
        <v/>
      </c>
      <c r="BJ19" s="306" t="str">
        <f ca="1">IF(BH19&gt;0,IF(OR(BD19=Defaults!$I$3,BD19=Defaults!$I$4, BD19=Defaults!$I$6, BD19=Defaults!$I$8),IF(BC19="Transit Bus",IF(BD19="Gasoline",VLOOKUP(BL19,'Fuel Consumption'!$A$31:$L$2316,3), IF(OR(BD19="CNG",BD19="LNG"),VLOOKUP(BL19,'Fuel Consumption'!$A$31:$L$2316,4,0),VLOOKUP(BL19,'Fuel Consumption'!$A$31:$L$2316,2))), IF(BC19="Van",IF(OR(BD19="Diesel",BD19="Renewable Diesel",BD19="Biodiesel"),VLOOKUP(BL19,'Fuel Consumption'!$A$31:$L$2316,6),IF(OR(BD19="CNG",BD19="LNG"),VLOOKUP(BL19,'Fuel Consumption'!$A$31:$L$2316,7,0)*VLOOKUP(BD19,'GHG EF'!$B$10:$H$19,5,0), VLOOKUP(BL19,'Fuel Consumption'!$A$31:$L$2316,7))), IF(BC19="Cut-A-Way",IF(OR(BD19="Diesel",BD19="Renewable Diesel",BD19="Biodiesel"),VLOOKUP(BL19,'Fuel Consumption'!$A$31:$L$2316,9),IF(OR(BD19="CNG",BD19="LNG"),VLOOKUP(BL19,'Fuel Consumption'!$A$31:$L$2316,10,0)*VLOOKUP(BD19,'GHG EF'!$B$10:$H$19,5,0), VLOOKUP(BL19,'Fuel Consumption'!$A$31:$L$2316,10))), IF(BC19="Over-Road Coach",VLOOKUP(BL19,'Fuel Consumption'!$A$31:$L$2316,12),IF(BC19="Heavy Rail",'Rail C&amp;T EF'!$K$14, IF(BC19="DMU / EMU",'Rail C&amp;T EF'!$B$149,"")))))) * IF(BD19=Defaults!$I$3,1/'GHG EF'!$I$11,1) * IF(BD19=Defaults!$I$8,1/'GHG EF'!$I$16,1),""),"")</f>
        <v/>
      </c>
      <c r="BK19" s="306" t="str">
        <f ca="1">IF(BH19&gt;0,IF(BC19="Transit Bus",IF(BD19="Gasoline",VLOOKUP(BL19,'Fuel Consumption'!$A$31:$L$2316,3,0)*VLOOKUP(BD19,'GHG EF'!$B$10:$H$19,5,0),IF(OR(BD19="CNG",BD19="LNG",BD19="Renewable Natural Gas"),VLOOKUP(BL19,'Fuel Consumption'!$A$31:$L$2316,4,0)*VLOOKUP(BD19,'GHG EF'!$B$10:$H$19,4,0), IF(OR(BD19="Electric",BD19="Renewable Electricity"),VLOOKUP(BL19,'Fuel Consumption'!$A$31:$L$2316,5,0),IF(BD19="Hydrogen Fuel Cell",VLOOKUP(BL19,'Fuel Consumption'!$A$31:$L$2316,5,0)*'GHG EF'!$C$13/'GHG EF'!$C$15*'GHG EF'!$I$13/'GHG EF'!$I$15, VLOOKUP(BL19,'Fuel Consumption'!$A$31:$L$2316,2,0)*VLOOKUP(BD19,'GHG EF'!$B$10:$H$19,4,0))))),
IF(BC19="Van",IF(OR(BD19="Diesel",BD19="Renewable Diesel",BD19="Biodiesel"),VLOOKUP(BL19,'Fuel Consumption'!$A$31:$L$2316,6,0)*VLOOKUP(BD19,'GHG EF'!$B$10:$H$19,4,0), IF(OR(BD19="CNG",BD19="LNG",BD19="Renewable Natural Gas"),VLOOKUP(BL19,'Fuel Consumption'!$A$31:$L$2316,7,0)*VLOOKUP(BD19,'GHG EF'!$B$10:$H$19,5,0), IF(OR(BD19="Electric",BD19="Renewable Electricity"),VLOOKUP(BL19,'Fuel Consumption'!$A$31:$L$2316,8,0),IF(BD19="Hydrogen Fuel Cell",VLOOKUP(BL19,'Fuel Consumption'!$A$31:$L$2316,8,0)*'GHG EF'!$C$13/'GHG EF'!$C$15*'GHG EF'!$J$13/'GHG EF'!$J$15,VLOOKUP(BL19,'Fuel Consumption'!$A$31:$L$2316,7,0)*VLOOKUP(BD19,'GHG EF'!$B$10:$H$19,5,0))))),
IF(BC19="Cut-A-Way",IF(OR(BD19="Diesel",BD19="Renewable Diesel",BD19="Biodiesel"),VLOOKUP(BL19,'Fuel Consumption'!$A$31:$L$2316,9,0)*VLOOKUP(BD19,'GHG EF'!$B$10:$H$19,4,0),IF(OR(BD19="CNG",BD19="LNG",BD19="Renewable Natural Gas"),VLOOKUP(BL19,'Fuel Consumption'!$A$31:$L$2316,10,0)*VLOOKUP(BD19,'GHG EF'!$B$10:$H$19,5,0), IF(OR(BD19="Electric",BD19="Renewable Electricity"),VLOOKUP(BL19,'Fuel Consumption'!$A$31:$L$2316,11,0),IF(BD19="Hydrogen Fuel Cell",VLOOKUP(BL19,'Fuel Consumption'!$A$31:$L$2316,11,0)*'GHG EF'!$C$13/'GHG EF'!$C$15*'GHG EF'!$J$13/'GHG EF'!$J$15, VLOOKUP(BL19,'Fuel Consumption'!$A$31:$L$2316,10,0)*VLOOKUP(BD19,'GHG EF'!$B$10:$H$19,5,0))))),
IF(BC19="Over-Road Coach",VLOOKUP(BL19,'Fuel Consumption'!$A$31:$L$2316,12,0)*VLOOKUP(BD19,'GHG EF'!$B$10:$H$19,4,0),IF(BC19="Heavy Rail",IF(OR(BD19=Defaults!$I$5,BD19=Defaults!$I$11), 'Rail C&amp;T EF'!$K$14*'GHG EF'!$C$12/'GHG EF'!$C$13/4.6, 'Rail C&amp;T EF'!$K$14*VLOOKUP(BD19,'GHG EF'!$B$10:$H$19,4,0)),IF(BC19="DMU / EMU",IF(OR(BD19=Defaults!$I$5,BD19=Defaults!$I$11), 'Rail C&amp;T EF'!$B$149*'GHG EF'!$C$12/'GHG EF'!$C$13/3.3, 'Rail C&amp;T EF'!$B$149*VLOOKUP(BD19,'GHG EF'!$B$10:$H$19,4,0)),IF(BC19="Light Rail",'Rail C&amp;T EF'!$K$14*'GHG EF'!$C$12/'GHG EF'!$C$13/3.3,IF(BC19="Streetcar",'Rail C&amp;T EF'!$K$14*'GHG EF'!$C$12/'GHG EF'!$C$13/3.1,"")))))))),"")</f>
        <v/>
      </c>
      <c r="BL19" s="306" t="str">
        <f t="shared" ca="1" si="13"/>
        <v>0_0</v>
      </c>
      <c r="BM19" s="306" t="str">
        <f ca="1">IFERROR((IF(BD19="Gasoline",VLOOKUP(BL19,'Fuel Consumption'!$A$31:$L$2316,3,0)*VLOOKUP(BD19,'GHG EF'!$B$10:$H$19,5,0), IF(OR(BD19="CNG",BD19="LNG",BD19="Renewable Natural Gas"),VLOOKUP(BL19,'Fuel Consumption'!$A$31:$L$2316,4,0)*VLOOKUP(BD19,'GHG EF'!$B$10:$H$19,4,0),IF(OR(BD19="Electric",BD19="Renewable Electricity"),VLOOKUP(BL19,'Fuel Consumption'!$A$31:$L$2316,5,0),IF(BD19="Hydrogen Fuel Cell",VLOOKUP(BL19,'Fuel Consumption'!$A$31:$L$2316,5,0)*'GHG EF'!$C$13/'GHG EF'!$C$15*'GHG EF'!$I$13/'GHG EF'!$I$15,VLOOKUP(BL19,'Fuel Consumption'!$A$31:$L$2316,2,0)*VLOOKUP(BD19,'GHG EF'!$B$10:$H$19,4,0))))) * VLOOKUP(BD19,'GHG EF'!$B$10:$H$19,2,0) * BF19),"")</f>
        <v/>
      </c>
      <c r="BN19" s="306" t="str">
        <f ca="1">IFERROR((IF(OR(BD19="Diesel",BD19="Renewable Diesel",BD19="Biodiesel"),VLOOKUP(BL19,'Fuel Consumption'!$A$31:$L$2316,6,0)*VLOOKUP(BD19,'GHG EF'!$B$10:$H$19,4,0),IF(OR(BD19="CNG",BD19="LNG",BD19="Renewable Natural Gas"),VLOOKUP(BL19,'Fuel Consumption'!$A$31:$L$2316,7,0)*VLOOKUP(BD19,'GHG EF'!$B$10:$H$19,5,0),IF(OR(BD19="Electric",BD19="Renewable Electricity"),VLOOKUP(BL19,'Fuel Consumption'!$A$31:$L$2316,8,0),IF(BD19="Hydrogen Fuel Cell",VLOOKUP(BL19,'Fuel Consumption'!$A$31:$L$2316,8,0)*'GHG EF'!$C$13/'GHG EF'!$C$15*'GHG EF'!$J$13/'GHG EF'!$J$15,VLOOKUP(BL19,'Fuel Consumption'!$A$31:$L$2316,7,0)*VLOOKUP(BD19,'GHG EF'!$B$10:$H$19,5,0)))))*VLOOKUP(BD19,'GHG EF'!$B$10:$H$19,2,0)*BF19),"")</f>
        <v/>
      </c>
      <c r="BO19" s="306" t="str">
        <f ca="1">IFERROR((IF(OR(BD19="Diesel",BD19="Renewable Diesel",BD19="Biodiesel"),VLOOKUP(BL19,'Fuel Consumption'!$A$31:$L$2316,9,0)*VLOOKUP(BD19,'GHG EF'!$B$10:$H$19,4,0),IF(OR(BD19="CNG",BD19="LNG",BD19="Renewable Natural Gas"),VLOOKUP(BL19,'Fuel Consumption'!$A$31:$L$2316,10,0)*VLOOKUP(BD19,'GHG EF'!$B$10:$H$19,5,0),IF(OR(BD19="Electric",BD19="Renewable Electricity"),VLOOKUP(BL19,'Fuel Consumption'!$A$31:$L$2316,11,0),IF(BD19="Hydrogen Fuel Cell",VLOOKUP(BL19,'Fuel Consumption'!$A$31:$L$2316,11,0)*'GHG EF'!$C$13/'GHG EF'!$C$15*'GHG EF'!$J$13/'GHG EF'!$J$15,VLOOKUP(BL19,'Fuel Consumption'!$A$31:$L$2316,10,0)*VLOOKUP(BD19,'GHG EF'!$B$10:$H$19,5,0))))) * VLOOKUP(BD19,'GHG EF'!$B$10:$H$19,2,0) * BF19),"")</f>
        <v/>
      </c>
      <c r="BP19" s="306" t="str">
        <f ca="1">IFERROR(VLOOKUP(BL19,'Fuel Consumption'!$A$31:$L$2316,12,0)*VLOOKUP(BD19,'GHG EF'!$B$10:$H$19,4,0) * VLOOKUP(BD19,'GHG EF'!$B$10:$H$19,2,0) * BF19,"")</f>
        <v/>
      </c>
      <c r="BQ19" s="1374" t="str">
        <f ca="1">IFERROR(IF(OR($BD19=Defaults!$I$5,$BD19=Defaults!$I$11), 'GHG EF'!$C$13*'GHG EF'!$C$12/'GHG EF'!$C$13/4.6, VLOOKUP(BD19,'GHG EF'!$B$10:$H$19,4,0)*VLOOKUP(BD19,'GHG EF'!$B$10:$H$19,2,0))*BF19*'Rail C&amp;T EF'!$K$14,"")</f>
        <v/>
      </c>
      <c r="BR19" s="1374" t="str">
        <f ca="1">IFERROR(IF(OR($BD19=Defaults!$I$5,$BD19=Defaults!$I$11), 'GHG EF'!$C$13*'GHG EF'!$C$12/'GHG EF'!$C$13/3.3, VLOOKUP(BD19,'GHG EF'!$B$10:$H$19,4,0)*VLOOKUP(BD19,'GHG EF'!$B$10:$H$19,2,0))*BF19*'Rail C&amp;T EF'!$B$149,"")</f>
        <v/>
      </c>
      <c r="BS19" s="1374" t="str">
        <f ca="1">IFERROR(VLOOKUP(BD19,'GHG EF'!$B$10:$H$19,2,0)*BF19,"")</f>
        <v/>
      </c>
      <c r="BT19" s="1374" t="str">
        <f ca="1">IF(OR($BD19=Defaults!$I$5,$BD19=Defaults!$I$10),'GHG EF'!$C$13*BF19*'GHG EF'!$C$12/'GHG EF'!$C$13/3.3*'Rail C&amp;T EF'!$K$14,"")</f>
        <v/>
      </c>
      <c r="BU19" s="1374" t="str">
        <f ca="1">IF(OR($BD19=Defaults!$I$5,$BD19=Defaults!$I$10),'GHG EF'!$C$13*BF19*'GHG EF'!$C$12/'GHG EF'!$C$13/3.1*'Rail C&amp;T EF'!$K$14,"")</f>
        <v/>
      </c>
      <c r="BV19" s="1374">
        <f ca="1">IF(OR($AD19=Defaults!$I$5, $AD19=Defaults!$I$7, $AD19=Defaults!$I$11),Defaults!$G$15,INDIRECT("'Quantifiable Component "&amp;$B19&amp;"'!"&amp;$D19&amp;ROW('Quantifiable Component 1'!$62:$62)))</f>
        <v>0</v>
      </c>
      <c r="BW19" s="1374" t="str">
        <f ca="1">IFERROR((IF(AND(BV19="yes",NOT(BD19=Defaults!$I$5),NOT(BD19=Defaults!$I$7),NOT(BD19=Defaults!$I$11)),0.8,1))*(IF(BC19="Transit Bus",BM19,IF(BC19="Van",BN19,IF(BC19="Cut-A-Way",BO19,IF(BC19="Over-Road Coach",BP19,IF(BC19="Heavy Rail",BQ19,IF(BC19="DMU / EMU",BR19,IF(BC19="Ferry",BS19,IF(BC19="Light Rail",BT19,BU19))))))))),"")</f>
        <v/>
      </c>
      <c r="BX19" s="1377" t="str">
        <f ca="1">IFERROR(VLOOKUP($BD19,'GHG EF'!$B$10:$H$19,2,0)*BF19,"")</f>
        <v/>
      </c>
      <c r="BY19" s="1377" t="str">
        <f t="shared" ca="1" si="14"/>
        <v/>
      </c>
      <c r="BZ19" s="1377" t="str">
        <f t="shared" ca="1" si="15"/>
        <v/>
      </c>
      <c r="CA19" s="1377" t="str">
        <f t="shared" ca="1" si="16"/>
        <v/>
      </c>
      <c r="CB19" s="1373" t="str">
        <f t="shared" ca="1" si="17"/>
        <v/>
      </c>
      <c r="CC19" s="1376">
        <f ca="1">INDIRECT("'Quantifiable Component "&amp;$B19&amp;"'!"&amp;$D19&amp;ROW('Quantifiable Component 1'!$69:$69))</f>
        <v>0</v>
      </c>
      <c r="CD19" s="1376">
        <f ca="1">INDIRECT("'Quantifiable Component "&amp;$B19&amp;"'!"&amp;$D19&amp;ROW('Quantifiable Component 1'!$72:$72))</f>
        <v>0</v>
      </c>
      <c r="CE19" s="1373">
        <f ca="1">INDIRECT("'Quantifiable Component "&amp;$B19&amp;"'!"&amp;$D19&amp;ROW('Quantifiable Component 1'!$74:$74))</f>
        <v>0</v>
      </c>
      <c r="CF19" s="306">
        <f ca="1">INDIRECT("'Quantifiable Component "&amp;$B19&amp;"'!"&amp;$D19&amp;ROW('Quantifiable Component 1'!$73:$73))</f>
        <v>0</v>
      </c>
      <c r="CG19" s="306" t="str">
        <f t="shared" ca="1" si="18"/>
        <v>0_0</v>
      </c>
      <c r="CH19" s="1373" t="str">
        <f ca="1">IFERROR(VLOOKUP($CD19,'GHG EF'!$B$10:$H$19,2,0)*VLOOKUP($CD19,'GHG EF'!$B$10:$H$19,3,0),"")</f>
        <v/>
      </c>
      <c r="CI19" s="1373" t="str">
        <f t="shared" ca="1" si="19"/>
        <v/>
      </c>
      <c r="CJ19" s="1373" t="str">
        <f t="shared" ca="1" si="20"/>
        <v/>
      </c>
      <c r="CK19" s="1378" t="str">
        <f ca="1">IF($F19=Defaults!$M$2, $BB19+IF($CA19="",0,$CA19)+IF($CJ19="",0,$CJ19), IF($F19=Defaults!$M$4,$CB19+IF($CJ19="",0,$CJ19),IF($F19=Defaults!$M$3,$AB19+IF($CJ19="",0,$CJ19), IF($F19=Defaults!$M$5,$CJ19,""))))</f>
        <v/>
      </c>
      <c r="CL19" s="1644"/>
    </row>
    <row r="20" spans="1:90" s="117" customFormat="1" ht="15.5" x14ac:dyDescent="0.35">
      <c r="A20" s="1648"/>
      <c r="B20" s="1367">
        <v>3</v>
      </c>
      <c r="C20" s="1380">
        <v>3</v>
      </c>
      <c r="D20" s="1368" t="str">
        <f>SUBSTITUTE(ADDRESS(1,COLUMN('Quantifiable Component 1'!K:K),4),"1","")</f>
        <v>K</v>
      </c>
      <c r="E20" s="1368" t="str">
        <f t="shared" si="0"/>
        <v>Quantifiable Component 3K</v>
      </c>
      <c r="F20" s="306">
        <f ca="1">INDIRECT("'Quantifiable Component "&amp;$B20&amp;"'!"&amp;$D20&amp;ROW('Quantifiable Component 1'!$28:$28))</f>
        <v>0</v>
      </c>
      <c r="G20" s="306">
        <f ca="1">INDIRECT("'Quantifiable Component "&amp;$B20&amp;"'!"&amp;$D20&amp;ROW('Quantifiable Component 1'!$29:$29))</f>
        <v>0</v>
      </c>
      <c r="H20" s="306">
        <f ca="1">INDIRECT("'Quantifiable Component "&amp;$B20&amp;"'!"&amp;$D20&amp;ROW('Quantifiable Component 1'!$32:$32))</f>
        <v>0</v>
      </c>
      <c r="I20" s="306">
        <f ca="1">INDIRECT("'Quantifiable Component "&amp;$B20&amp;"'!"&amp;$D20&amp;ROW('Quantifiable Component 1'!$33:$33))</f>
        <v>0</v>
      </c>
      <c r="J20" s="306">
        <f ca="1">INDIRECT("'Quantifiable Component "&amp;$B20&amp;"'!"&amp;$D20&amp;ROW('Quantifiable Component 1'!$31:$31))</f>
        <v>0</v>
      </c>
      <c r="K20" s="306" t="str">
        <f t="shared" ca="1" si="1"/>
        <v>0_0</v>
      </c>
      <c r="L20" s="306" t="str">
        <f t="shared" ca="1" si="2"/>
        <v>0_0</v>
      </c>
      <c r="M20" s="306">
        <f ca="1">INDIRECT("'Quantifiable Component "&amp;$B20&amp;"'!"&amp;$D20&amp;ROW('Quantifiable Component 1'!$37:$37))</f>
        <v>0</v>
      </c>
      <c r="N20" s="1369" t="str">
        <f ca="1">IFERROR(VLOOKUP((CONCATENATE(J20,"_",H20)),'Auto GHG'!$C$41:$D$2668,2,0),"")</f>
        <v/>
      </c>
      <c r="O20" s="306">
        <f ca="1">INDIRECT("'Quantifiable Component "&amp;$B20&amp;"'!"&amp;$D20&amp;ROW('Quantifiable Component 1'!$38:$38))</f>
        <v>0</v>
      </c>
      <c r="P20" s="1369" t="str">
        <f ca="1">IFERROR(IF(I20&lt;=2050,VLOOKUP((CONCATENATE(J20,"_",I20)),'Auto GHG'!$C$41:$D$2668,2,),VLOOKUP((CONCATENATE(J20,"_",2050)),'Auto GHG'!$C$41:$D$2668,2,)),"")</f>
        <v/>
      </c>
      <c r="Q20" s="306">
        <f ca="1">INDIRECT("'Quantifiable Component "&amp;$B20&amp;"'!"&amp;$D20&amp;ROW('Quantifiable Component 1'!$39:$39))</f>
        <v>0</v>
      </c>
      <c r="R20" s="306">
        <f ca="1">INDIRECT("'Quantifiable Component "&amp;$B20&amp;"'!"&amp;$D20&amp;ROW('Quantifiable Component 1'!$40:$40))</f>
        <v>0</v>
      </c>
      <c r="S20" s="306"/>
      <c r="T20" s="306"/>
      <c r="U20" s="1370">
        <f t="shared" ca="1" si="3"/>
        <v>0</v>
      </c>
      <c r="V20" s="1371" t="str">
        <f t="shared" ca="1" si="4"/>
        <v/>
      </c>
      <c r="W20" s="1370">
        <f t="shared" ca="1" si="5"/>
        <v>0</v>
      </c>
      <c r="X20" s="1370" t="str">
        <f t="shared" ca="1" si="6"/>
        <v/>
      </c>
      <c r="Y20" s="1372">
        <f ca="1">IFERROR(('GHG Calcs'!U20+'GHG Calcs'!W20)/2,"")</f>
        <v>0</v>
      </c>
      <c r="Z20" s="1372">
        <f t="shared" ca="1" si="7"/>
        <v>0</v>
      </c>
      <c r="AA20" s="1370" t="str">
        <f t="shared" ca="1" si="8"/>
        <v/>
      </c>
      <c r="AB20" s="1370" t="str">
        <f ca="1">IF(OR(F20=Defaults!$M$3,F20=Defaults!$M$3),AA20,"")</f>
        <v/>
      </c>
      <c r="AC20" s="306">
        <f ca="1">INDIRECT("'Quantifiable Component "&amp;$B20&amp;"'!"&amp;$D20&amp;ROW('Quantifiable Component 1'!$46:$46))</f>
        <v>0</v>
      </c>
      <c r="AD20" s="306">
        <f ca="1">INDIRECT("'Quantifiable Component "&amp;$B20&amp;"'!"&amp;$D20&amp;ROW('Quantifiable Component 1'!$49:$49))</f>
        <v>0</v>
      </c>
      <c r="AE20" s="1373">
        <f ca="1">INDIRECT("'Quantifiable Component "&amp;$B20&amp;"'!"&amp;$D20&amp;ROW('Quantifiable Component 1'!$54:$54))</f>
        <v>0</v>
      </c>
      <c r="AF20" s="306" t="str">
        <f ca="1">IFERROR(IF(ISBLANK(INDIRECT("'Quantifiable Component "&amp;$B20&amp;"'!"&amp;$D20&amp;ROW('Quantifiable Component 1'!$52:$52))),VLOOKUP($AD20,'GHG EF'!$B$10:$H$19,3,0),INDIRECT("'Quantifiable Component "&amp;$B20&amp;"'!"&amp;$D20&amp;ROW('Quantifiable Component 1'!$52:$52))),"")</f>
        <v/>
      </c>
      <c r="AG20" s="306">
        <f ca="1">INDIRECT("'Quantifiable Component "&amp;$B20&amp;"'!"&amp;$D20&amp;ROW('Quantifiable Component 1'!$51:$51))</f>
        <v>0</v>
      </c>
      <c r="AH20" s="306" t="str">
        <f t="shared" ca="1" si="9"/>
        <v>0_0</v>
      </c>
      <c r="AI20" s="1373">
        <f ca="1">INDIRECT("'Quantifiable Component "&amp;$B20&amp;"'!"&amp;$D20&amp;ROW('Quantifiable Component 1'!$53:$53))</f>
        <v>0</v>
      </c>
      <c r="AJ20" s="306" t="str">
        <f ca="1">IF(AND(AI20&gt;0,OR(AD20=Defaults!$I$5,AD20=Defaults!$I$11)), IF(AC20="Transit Bus",VLOOKUP(AH20,'Fuel Consumption'!$A$31:$L$2316,5,0), IF(AC20="Van",VLOOKUP(AH20,'Fuel Consumption'!$A$31:$L$2316,8,0), IF(AC20="Cut-A-Way",VLOOKUP(AH20,'Fuel Consumption'!$A$31:$L$2316,11,0), IF(AC20="Over-Road Coach",VLOOKUP(AH20,'Fuel Consumption'!$A$31:$L$2316,12,0)*VLOOKUP(AD20,'GHG EF'!$B$10:$H$19,4,0),IF(AC20="Heavy Rail",'Rail C&amp;T EF'!$K$14*'GHG EF'!$C$12/'GHG EF'!$C$13/4.6, IF(AC20="DMU / EMU",'Rail C&amp;T EF'!$B$149*'GHG EF'!$C$12/'GHG EF'!$C$13/3.3, IF(AC20="Light Rail",'Rail C&amp;T EF'!$K$14*'GHG EF'!$C$12/'GHG EF'!$C$13/3.3, IF(AC20="Streetcar",'Rail C&amp;T EF'!$K$14*'GHG EF'!$C$12/'GHG EF'!$C$13/3.1,0)))))))),"")</f>
        <v/>
      </c>
      <c r="AK20" s="306" t="b">
        <f ca="1">IF(AI20&gt;0,IF(OR(AD20=Defaults!$I$3,AD20=Defaults!$I$4,AD20=Defaults!$I$6,AD20=Defaults!$I$8),IF(AC20="Transit Bus",IF(AD20="Gasoline",VLOOKUP(AH20,'Fuel Consumption'!$A$31:$L$2316,3),IF(OR(AD20="CNG",AD20="LNG"),VLOOKUP(AH20,'Fuel Consumption'!$A$31:$L$2316,4),VLOOKUP(AH20,'Fuel Consumption'!$A$31:$L$2316,2))),IF(AC20="Van",IF(OR(AD20="Diesel",AD20="Renewable Diesel",AD20="Biodiesel"),VLOOKUP(AH20,'Fuel Consumption'!$A$31:$L$2316,6),IF(OR(AD20="CNG",AD20="LNG"),VLOOKUP(AH20,'Fuel Consumption'!$A$31:$L$2316,7)*VLOOKUP(AD20,'GHG EF'!$B$10:$H$19,5,0),VLOOKUP(AH20,'Fuel Consumption'!$A$31:$L$2316,7))),IF(AC20="Cut-A-Way",IF(OR(AD20="Diesel",AD20="Renewable Diesel",AD20="Biodiesel"),VLOOKUP(AH20,'Fuel Consumption'!$A$31:$L$2316,9),IF(OR(AD20="CNG",AD20="LNG"),VLOOKUP(AH20,'Fuel Consumption'!$A$31:$L$2316,10)*VLOOKUP(AD20,'GHG EF'!$B$10:$H$19,5,0),VLOOKUP(AH20,'Fuel Consumption'!$A$31:$L$2316,10))),IF(AC20="Over-Road Coach",VLOOKUP(AH20,'Fuel Consumption'!$A$31:$L$2316,12),IF(AC20="Heavy Rail",'Rail C&amp;T EF'!$K$14,IF(AC20="DMU / EMU",'Rail C&amp;T EF'!$B$149,"")))))*IF(AD20=Defaults!$I$3,1/'GHG EF'!$I$11,1)*IF(AD20=Defaults!$I$8,1/'GHG EF'!$I$16,1)),""))</f>
        <v>0</v>
      </c>
      <c r="AL20" s="306" t="str">
        <f ca="1">IF(AI20&gt;0,IF(AC20="Transit Bus",IF(AD20="Gasoline",VLOOKUP(AH20,'Fuel Consumption'!$A$31:$L$2316,3,0)*VLOOKUP(AD20,'GHG EF'!$B$10:$H$19,5,0),IF(OR(AD20="LNG",AD20="CNG",AD20="Renewable Natural Gas"),VLOOKUP(AH20,'Fuel Consumption'!$A$31:$L$2316,4)*VLOOKUP(AD20,'GHG EF'!$B$10:$H$19,4,0),IF(OR(AD20="Electric",AD20="Renewable Electricity"),VLOOKUP(AH20,'Fuel Consumption'!$A$31:$L$2316,5,0),IF(AD20="Hydrogen Fuel Cell",VLOOKUP(AH20,'Fuel Consumption'!$A$31:$L$2316,5,0)*'GHG EF'!$C$13/'GHG EF'!$C$15*'GHG EF'!$I$13/'GHG EF'!$I$15,VLOOKUP(AH20,'Fuel Consumption'!$A$31:$L$2316,2,0)*VLOOKUP(AD20,'GHG EF'!$B$10:$H$19,4,0))))),
IF(AC20="Van",IF(OR(AD20="Diesel",AD20="Renewable Diesel",AD20="Biodiesel"),VLOOKUP(AH20,'Fuel Consumption'!$A$31:$L$2316,6,0)*VLOOKUP(AD20,'GHG EF'!$B$10:$H$19,4,0),IF(OR(AD20="LNG",AD20="CNG",AD20="Renewable Natural Gas"),VLOOKUP(AH20,'Fuel Consumption'!$A$31:$L$2316,7)*VLOOKUP(AD20,'GHG EF'!$B$10:$H$19,5,0),IF(OR(AD20="Electric",AD20="Renewable Electricity"),VLOOKUP(AH20,'Fuel Consumption'!$A$31:$L$2316,8,0),IF(AD20="Hydrogen Fuel Cell",VLOOKUP(AH20,'Fuel Consumption'!$A$31:$L$2316,8,0)*'GHG EF'!$C$13/'GHG EF'!$C$15*'GHG EF'!$J$13/'GHG EF'!$J$15,VLOOKUP(AH20,'Fuel Consumption'!$A$31:$L$2316,7,0)*VLOOKUP(AD20,'GHG EF'!$B$10:$H$19,5,0))))),
IF(AC20="Cut-A-Way",IF(OR(AD20="Diesel",AD20="Renewable Diesel",AD20="Biodiesel"),VLOOKUP(AH20,'Fuel Consumption'!$A$31:$L$2316,9,0)*VLOOKUP(AD20,'GHG EF'!$B$10:$H$19,4,0),IF(OR(AD20="LNG",AD20="CNG",AD20="Renewable Natural Gas"),VLOOKUP(AH20,'Fuel Consumption'!$A$31:$L$2316,10)*VLOOKUP(AD20,'GHG EF'!$B$10:$H$19,5,0),IF(OR(AD20="Electric",AD20="Renewable Electricity"),VLOOKUP(AH20,'Fuel Consumption'!$A$31:$L$2316,11,0),IF(AD20="Hydrogen Fuel Cell",VLOOKUP(AH20,'Fuel Consumption'!$A$31:$L$2316,11,0)*'GHG EF'!$C$13/'GHG EF'!$C$15*'GHG EF'!$J$13/'GHG EF'!$J$15,VLOOKUP(AH20,'Fuel Consumption'!$A$31:$L$2316,10,0)*VLOOKUP(AD20,'GHG EF'!$B$10:$H$19,5,0))))),
IF(AC20="Over-Road Coach",VLOOKUP(AH20,'Fuel Consumption'!$A$31:$L$2316,12,0)*VLOOKUP(AD20,'GHG EF'!$B$10:$H$19,4,0),IF(AC20="Heavy Rail",IF(OR(AD20=Defaults!$I$5,AD20=Defaults!$I$11),'Rail C&amp;T EF'!$K$14*'GHG EF'!$C$12/'GHG EF'!$C$13/4.6,'Rail C&amp;T EF'!$K$14*VLOOKUP(AD20,'GHG EF'!$B$10:$H$19,4,0)),IF(AC20="DMU / EMU",IF(OR(AD20=Defaults!$I$5,AD20=Defaults!$I$11),'Rail C&amp;T EF'!$B$149*'GHG EF'!$C$12/'GHG EF'!$C$13/3.3,'Rail C&amp;T EF'!$B$149*VLOOKUP(AD20,'GHG EF'!$B$10:$H$19,4,0)),IF(AC20="Light Rail",'Rail C&amp;T EF'!$K$14*'GHG EF'!$C$12/'GHG EF'!$C$13/3.3,IF(AC20="Streetcar",'Rail C&amp;T EF'!$K$14*'GHG EF'!$C$12/'GHG EF'!$C$13/3.1,"")))))))),"")</f>
        <v/>
      </c>
      <c r="AM20" s="306" t="str">
        <f ca="1">IFERROR((IF(AD20="Gasoline",VLOOKUP(AH20,'Fuel Consumption'!$A$31:$L$2316,3,0)*VLOOKUP(AD20,'GHG EF'!$B$10:$H$19,5,0), IF(OR(AD20="CNG",AD20="LNG",AD20="Renewable Natural Gas"),VLOOKUP(AH20,'Fuel Consumption'!$A$31:$L$2316,4,0)*VLOOKUP(AD20,'GHG EF'!$B$10:$H$19,4,0),IF(OR(AD20="Electric",AD20="Renewable Electricity"),VLOOKUP(AH20,'Fuel Consumption'!$A$31:$L$2316,5,0),IF(AD20="Hydrogen Fuel Cell",VLOOKUP(AH20,'Fuel Consumption'!$A$31:$L$2316,5,0)*'GHG EF'!$C$13/'GHG EF'!$C$15*'GHG EF'!$I$13/'GHG EF'!$I$15,VLOOKUP(AH20,'Fuel Consumption'!$A$31:$L$2316,2,0)*VLOOKUP(AD20,'GHG EF'!$B$10:$H$19,4,0))))) * VLOOKUP(AD20,'GHG EF'!$B$10:$H$19,2,0) * AF20),"")</f>
        <v/>
      </c>
      <c r="AN20" s="306" t="str">
        <f ca="1">IFERROR((IF(OR(AD20="Diesel",AD20="Renewable Diesel",AD20="Biodiesel"),VLOOKUP(AH20,'Fuel Consumption'!$A$31:$L$2316,6,0)*VLOOKUP(AD20,'GHG EF'!$B$10:$H$19,4,0),IF(OR(AD20="CNG",AD20="LNG",AD20="Renewable Natural Gas"),VLOOKUP(AH20,'Fuel Consumption'!$A$31:$L$2316,7,0)*VLOOKUP(AD20,'GHG EF'!$B$10:$H$19,5,0),IF(OR(AD20="Electric",AD20="Renewable Electricity"),VLOOKUP(AH20,'Fuel Consumption'!$A$31:$L$2316,8,0),IF(AD20="Hydrogen Fuel Cell",VLOOKUP(AH20,'Fuel Consumption'!$A$31:$L$2316,8,0)*'GHG EF'!$C$13/'GHG EF'!$C$15*'GHG EF'!$J$13/'GHG EF'!$J$15,VLOOKUP(AH20,'Fuel Consumption'!$A$31:$L$2316,7,0)*VLOOKUP(AD20,'GHG EF'!$B$10:$H$19,5,0)))))*VLOOKUP(AD20,'GHG EF'!$B$10:$H$19,2,0)*AF20),"")</f>
        <v/>
      </c>
      <c r="AO20" s="306" t="str">
        <f ca="1">IFERROR((IF(OR(AD20="Diesel",AD20="Renewable Diesel",AD20="Biodiesel"),VLOOKUP(AH20,'Fuel Consumption'!$A$31:$L$2316,9,0)*VLOOKUP(AD20,'GHG EF'!$B$10:$H$19,4,0),IF(OR(AD20="CNG",AD20="LNG",AD20="Renewable Natural Gas"),VLOOKUP(AH20,'Fuel Consumption'!$A$31:$L$2316,10,0)*VLOOKUP(AD20,'GHG EF'!$B$10:$H$19,5,0),IF(OR(AD20="Electric",AD20="Renewable Electricity"),VLOOKUP(AH20,'Fuel Consumption'!$A$31:$L$2316,11,0),IF(AD20="Hydrogen Fuel Cell",VLOOKUP(AH20,'Fuel Consumption'!$A$31:$L$2316,11,0)*'GHG EF'!$C$13/'GHG EF'!$C$15*'GHG EF'!$J$13/'GHG EF'!$J$15,VLOOKUP(AH20,'Fuel Consumption'!$A$31:$L$2316,10,0)*VLOOKUP(AD20,'GHG EF'!$B$10:$H$19,5,0))))) * VLOOKUP(AD20,'GHG EF'!$B$10:$H$19,2,0) * AF20),"")</f>
        <v/>
      </c>
      <c r="AP20" s="306" t="str">
        <f ca="1">IFERROR(VLOOKUP(AH20,'Fuel Consumption'!$A$31:$L$2316,12,0)*VLOOKUP(AD20,'GHG EF'!$B$10:$H$19,4,0) * VLOOKUP(AD20,'GHG EF'!$B$10:$H$19,2,0) * AF20,"")</f>
        <v/>
      </c>
      <c r="AQ20" s="1374" t="str">
        <f ca="1">IFERROR(IF(OR(AD20=Defaults!$I$5,AD20=Defaults!$I$11), 'GHG EF'!$C$13*'GHG EF'!$C$12/'GHG EF'!$C$13/4.6, VLOOKUP(AD20,'GHG EF'!$B$10:$H$19,4,0)*VLOOKUP(AD20,'GHG EF'!$B$10:$H$19,2,0))*AF20*'Rail C&amp;T EF'!$K$14,"")</f>
        <v/>
      </c>
      <c r="AR20" s="1374" t="str">
        <f ca="1">IFERROR(IF(OR(AD20=Defaults!$I$5,AD20=Defaults!$I$11), 'GHG EF'!$C$13*'GHG EF'!$C$12/'GHG EF'!$C$13/3.3, VLOOKUP(AD20,'GHG EF'!$B$10:$H$19,4,0)*VLOOKUP(AD20,'GHG EF'!$B$10:$H$19,2,0))*AF20*'Rail C&amp;T EF'!$B$149,"")</f>
        <v/>
      </c>
      <c r="AS20" s="1374" t="str">
        <f ca="1">IFERROR(VLOOKUP(AD20,'GHG EF'!$B$10:$H$19,2,0)*AF20,"")</f>
        <v/>
      </c>
      <c r="AT20" s="1374" t="str">
        <f ca="1">IF(OR(AD20=Defaults!$I$5,AD20=Defaults!$I$10),'GHG EF'!$C$13*AF20*'GHG EF'!$C$12/'GHG EF'!$C$13/3.3*'Rail C&amp;T EF'!$K$14,"")</f>
        <v/>
      </c>
      <c r="AU20" s="1374" t="str">
        <f ca="1">IF(OR(AD20=Defaults!$I$5,AD20=Defaults!$I$10),'GHG EF'!$C$13*AF20*'GHG EF'!$C$12/'GHG EF'!$C$13/3.1*'Rail C&amp;T EF'!$K$14,"")</f>
        <v/>
      </c>
      <c r="AV20" s="1374">
        <f ca="1">IF(OR($AD20=Defaults!$I$5, $AD20=Defaults!$I$7, $AD20=Defaults!$I$11),Defaults!$G$15,INDIRECT("'Quantifiable Component "&amp;$B20&amp;"'!"&amp;$D20&amp;ROW('Quantifiable Component 1'!$50:$50)))</f>
        <v>0</v>
      </c>
      <c r="AW20" s="1374" t="str">
        <f ca="1">IFERROR((IF(AND(AV20="yes",NOT(AD20=Defaults!$I$5),NOT(AD20=Defaults!$I$7),NOT(AD20=Defaults!$I$11)),0.8,1))*(IF(AC20="Transit Bus",AM20,IF(AC20="Van",AN20,IF(AC20="Cut-A-Way",AO20,IF(AC20="Over-Road Coach",AP20,IF(AC20="Heavy Rail",AQ20,IF(AC20="DMU / EMU",AR20,IF(AC20="Ferry",AS20,IF(AC20="Light Rail",AT20,AU20))))))))),"")</f>
        <v/>
      </c>
      <c r="AX20" s="1374" t="str">
        <f ca="1">IFERROR(VLOOKUP($AD20,'GHG EF'!$B$10:$H$19,2,0)*AF20,"")</f>
        <v/>
      </c>
      <c r="AY20" s="1375" t="str">
        <f t="shared" ca="1" si="10"/>
        <v/>
      </c>
      <c r="AZ20" s="1374" t="str">
        <f t="shared" ca="1" si="11"/>
        <v/>
      </c>
      <c r="BA20" s="1375" t="str">
        <f ca="1">IFERROR(IF(G20=Defaults!$F$2,0,IF(AZ20&gt;0,AZ20*(I20-H20),AY20*(I20-H20))),"")</f>
        <v/>
      </c>
      <c r="BB20" s="1373" t="str">
        <f t="shared" ca="1" si="12"/>
        <v/>
      </c>
      <c r="BC20" s="1376">
        <f ca="1">INDIRECT("'Quantifiable Component "&amp;$B20&amp;"'!"&amp;$D20&amp;ROW('Quantifiable Component 1'!$58:$58))</f>
        <v>0</v>
      </c>
      <c r="BD20" s="306">
        <f ca="1">INDIRECT("'Quantifiable Component "&amp;$B20&amp;"'!"&amp;$D20&amp;ROW('Quantifiable Component 1'!$61:$61))</f>
        <v>0</v>
      </c>
      <c r="BE20" s="306">
        <f ca="1">INDIRECT("'Quantifiable Component "&amp;$B20&amp;"'!"&amp;$D20&amp;ROW('Quantifiable Component 1'!$66:$66))</f>
        <v>0</v>
      </c>
      <c r="BF20" s="306" t="str">
        <f ca="1">IFERROR(IF(ISBLANK(INDIRECT("'Quantifiable Component "&amp;$B20&amp;"'!"&amp;$D20&amp;ROW('Quantifiable Component 1'!$64:$64))),VLOOKUP($BD20,'GHG EF'!$B$10:$H$19,3,0),INDIRECT("'Quantifiable Component "&amp;$B20&amp;"'!"&amp;$D20&amp;ROW('Quantifiable Component 1'!$64:$64))),"")</f>
        <v/>
      </c>
      <c r="BG20" s="306">
        <f ca="1">INDIRECT("'Quantifiable Component "&amp;$B20&amp;"'!"&amp;$D20&amp;ROW('Quantifiable Component 1'!$63:$63))</f>
        <v>0</v>
      </c>
      <c r="BH20" s="1373">
        <f ca="1">INDIRECT("'Quantifiable Component "&amp;$B20&amp;"'!"&amp;$D20&amp;ROW('Quantifiable Component 1'!$65:$65))</f>
        <v>0</v>
      </c>
      <c r="BI20" s="306" t="str">
        <f ca="1">IF(AND(BH20&gt;0,OR(BD20=Defaults!$I$5,BD20=Defaults!$I$11)), IF(BC20="Transit Bus",VLOOKUP(BL20,'Fuel Consumption'!$A$31:$L$2316,5,0), IF(BC20="Van",VLOOKUP(BL20,'Fuel Consumption'!$A$31:$L$2316,8,0), IF(BC20="Cut-A-Way",VLOOKUP(BL20,'Fuel Consumption'!$A$31:$L$2316,11,0), IF(BC20="Over-Road Coach",VLOOKUP(BL20,'Fuel Consumption'!$A$31:$L$2316,12,0)*VLOOKUP(BD20,'GHG EF'!$B$10:$H$19,4,0),IF(BC20="Heavy Rail",'Rail C&amp;T EF'!$K$14*'GHG EF'!$C$12/'GHG EF'!$C$13/4.6, IF(BC20="DMU / EMU",'Rail C&amp;T EF'!$B$149*'GHG EF'!$C$12/'GHG EF'!$C$13/3.3, IF(BC20="Light Rail",'Rail C&amp;T EF'!$K$14*'GHG EF'!$C$12/'GHG EF'!$C$13/3.3, IF(BC20="Streetcar",'Rail C&amp;T EF'!$K$14*'GHG EF'!$C$12/'GHG EF'!$C$13/3.1,0)))))))),"")</f>
        <v/>
      </c>
      <c r="BJ20" s="306" t="str">
        <f ca="1">IF(BH20&gt;0,IF(OR(BD20=Defaults!$I$3,BD20=Defaults!$I$4, BD20=Defaults!$I$6, BD20=Defaults!$I$8),IF(BC20="Transit Bus",IF(BD20="Gasoline",VLOOKUP(BL20,'Fuel Consumption'!$A$31:$L$2316,3), IF(OR(BD20="CNG",BD20="LNG"),VLOOKUP(BL20,'Fuel Consumption'!$A$31:$L$2316,4,0),VLOOKUP(BL20,'Fuel Consumption'!$A$31:$L$2316,2))), IF(BC20="Van",IF(OR(BD20="Diesel",BD20="Renewable Diesel",BD20="Biodiesel"),VLOOKUP(BL20,'Fuel Consumption'!$A$31:$L$2316,6),IF(OR(BD20="CNG",BD20="LNG"),VLOOKUP(BL20,'Fuel Consumption'!$A$31:$L$2316,7,0)*VLOOKUP(BD20,'GHG EF'!$B$10:$H$19,5,0), VLOOKUP(BL20,'Fuel Consumption'!$A$31:$L$2316,7))), IF(BC20="Cut-A-Way",IF(OR(BD20="Diesel",BD20="Renewable Diesel",BD20="Biodiesel"),VLOOKUP(BL20,'Fuel Consumption'!$A$31:$L$2316,9),IF(OR(BD20="CNG",BD20="LNG"),VLOOKUP(BL20,'Fuel Consumption'!$A$31:$L$2316,10,0)*VLOOKUP(BD20,'GHG EF'!$B$10:$H$19,5,0), VLOOKUP(BL20,'Fuel Consumption'!$A$31:$L$2316,10))), IF(BC20="Over-Road Coach",VLOOKUP(BL20,'Fuel Consumption'!$A$31:$L$2316,12),IF(BC20="Heavy Rail",'Rail C&amp;T EF'!$K$14, IF(BC20="DMU / EMU",'Rail C&amp;T EF'!$B$149,"")))))) * IF(BD20=Defaults!$I$3,1/'GHG EF'!$I$11,1) * IF(BD20=Defaults!$I$8,1/'GHG EF'!$I$16,1),""),"")</f>
        <v/>
      </c>
      <c r="BK20" s="306" t="str">
        <f ca="1">IF(BH20&gt;0,IF(BC20="Transit Bus",IF(BD20="Gasoline",VLOOKUP(BL20,'Fuel Consumption'!$A$31:$L$2316,3,0)*VLOOKUP(BD20,'GHG EF'!$B$10:$H$19,5,0),IF(OR(BD20="CNG",BD20="LNG",BD20="Renewable Natural Gas"),VLOOKUP(BL20,'Fuel Consumption'!$A$31:$L$2316,4,0)*VLOOKUP(BD20,'GHG EF'!$B$10:$H$19,4,0), IF(OR(BD20="Electric",BD20="Renewable Electricity"),VLOOKUP(BL20,'Fuel Consumption'!$A$31:$L$2316,5,0),IF(BD20="Hydrogen Fuel Cell",VLOOKUP(BL20,'Fuel Consumption'!$A$31:$L$2316,5,0)*'GHG EF'!$C$13/'GHG EF'!$C$15*'GHG EF'!$I$13/'GHG EF'!$I$15, VLOOKUP(BL20,'Fuel Consumption'!$A$31:$L$2316,2,0)*VLOOKUP(BD20,'GHG EF'!$B$10:$H$19,4,0))))),
IF(BC20="Van",IF(OR(BD20="Diesel",BD20="Renewable Diesel",BD20="Biodiesel"),VLOOKUP(BL20,'Fuel Consumption'!$A$31:$L$2316,6,0)*VLOOKUP(BD20,'GHG EF'!$B$10:$H$19,4,0), IF(OR(BD20="CNG",BD20="LNG",BD20="Renewable Natural Gas"),VLOOKUP(BL20,'Fuel Consumption'!$A$31:$L$2316,7,0)*VLOOKUP(BD20,'GHG EF'!$B$10:$H$19,5,0), IF(OR(BD20="Electric",BD20="Renewable Electricity"),VLOOKUP(BL20,'Fuel Consumption'!$A$31:$L$2316,8,0),IF(BD20="Hydrogen Fuel Cell",VLOOKUP(BL20,'Fuel Consumption'!$A$31:$L$2316,8,0)*'GHG EF'!$C$13/'GHG EF'!$C$15*'GHG EF'!$J$13/'GHG EF'!$J$15,VLOOKUP(BL20,'Fuel Consumption'!$A$31:$L$2316,7,0)*VLOOKUP(BD20,'GHG EF'!$B$10:$H$19,5,0))))),
IF(BC20="Cut-A-Way",IF(OR(BD20="Diesel",BD20="Renewable Diesel",BD20="Biodiesel"),VLOOKUP(BL20,'Fuel Consumption'!$A$31:$L$2316,9,0)*VLOOKUP(BD20,'GHG EF'!$B$10:$H$19,4,0),IF(OR(BD20="CNG",BD20="LNG",BD20="Renewable Natural Gas"),VLOOKUP(BL20,'Fuel Consumption'!$A$31:$L$2316,10,0)*VLOOKUP(BD20,'GHG EF'!$B$10:$H$19,5,0), IF(OR(BD20="Electric",BD20="Renewable Electricity"),VLOOKUP(BL20,'Fuel Consumption'!$A$31:$L$2316,11,0),IF(BD20="Hydrogen Fuel Cell",VLOOKUP(BL20,'Fuel Consumption'!$A$31:$L$2316,11,0)*'GHG EF'!$C$13/'GHG EF'!$C$15*'GHG EF'!$J$13/'GHG EF'!$J$15, VLOOKUP(BL20,'Fuel Consumption'!$A$31:$L$2316,10,0)*VLOOKUP(BD20,'GHG EF'!$B$10:$H$19,5,0))))),
IF(BC20="Over-Road Coach",VLOOKUP(BL20,'Fuel Consumption'!$A$31:$L$2316,12,0)*VLOOKUP(BD20,'GHG EF'!$B$10:$H$19,4,0),IF(BC20="Heavy Rail",IF(OR(BD20=Defaults!$I$5,BD20=Defaults!$I$11), 'Rail C&amp;T EF'!$K$14*'GHG EF'!$C$12/'GHG EF'!$C$13/4.6, 'Rail C&amp;T EF'!$K$14*VLOOKUP(BD20,'GHG EF'!$B$10:$H$19,4,0)),IF(BC20="DMU / EMU",IF(OR(BD20=Defaults!$I$5,BD20=Defaults!$I$11), 'Rail C&amp;T EF'!$B$149*'GHG EF'!$C$12/'GHG EF'!$C$13/3.3, 'Rail C&amp;T EF'!$B$149*VLOOKUP(BD20,'GHG EF'!$B$10:$H$19,4,0)),IF(BC20="Light Rail",'Rail C&amp;T EF'!$K$14*'GHG EF'!$C$12/'GHG EF'!$C$13/3.3,IF(BC20="Streetcar",'Rail C&amp;T EF'!$K$14*'GHG EF'!$C$12/'GHG EF'!$C$13/3.1,"")))))))),"")</f>
        <v/>
      </c>
      <c r="BL20" s="306" t="str">
        <f t="shared" ca="1" si="13"/>
        <v>0_0</v>
      </c>
      <c r="BM20" s="306" t="str">
        <f ca="1">IFERROR((IF(BD20="Gasoline",VLOOKUP(BL20,'Fuel Consumption'!$A$31:$L$2316,3,0)*VLOOKUP(BD20,'GHG EF'!$B$10:$H$19,5,0), IF(OR(BD20="CNG",BD20="LNG",BD20="Renewable Natural Gas"),VLOOKUP(BL20,'Fuel Consumption'!$A$31:$L$2316,4,0)*VLOOKUP(BD20,'GHG EF'!$B$10:$H$19,4,0),IF(OR(BD20="Electric",BD20="Renewable Electricity"),VLOOKUP(BL20,'Fuel Consumption'!$A$31:$L$2316,5,0),IF(BD20="Hydrogen Fuel Cell",VLOOKUP(BL20,'Fuel Consumption'!$A$31:$L$2316,5,0)*'GHG EF'!$C$13/'GHG EF'!$C$15*'GHG EF'!$I$13/'GHG EF'!$I$15,VLOOKUP(BL20,'Fuel Consumption'!$A$31:$L$2316,2,0)*VLOOKUP(BD20,'GHG EF'!$B$10:$H$19,4,0))))) * VLOOKUP(BD20,'GHG EF'!$B$10:$H$19,2,0) * BF20),"")</f>
        <v/>
      </c>
      <c r="BN20" s="306" t="str">
        <f ca="1">IFERROR((IF(OR(BD20="Diesel",BD20="Renewable Diesel",BD20="Biodiesel"),VLOOKUP(BL20,'Fuel Consumption'!$A$31:$L$2316,6,0)*VLOOKUP(BD20,'GHG EF'!$B$10:$H$19,4,0),IF(OR(BD20="CNG",BD20="LNG",BD20="Renewable Natural Gas"),VLOOKUP(BL20,'Fuel Consumption'!$A$31:$L$2316,7,0)*VLOOKUP(BD20,'GHG EF'!$B$10:$H$19,5,0),IF(OR(BD20="Electric",BD20="Renewable Electricity"),VLOOKUP(BL20,'Fuel Consumption'!$A$31:$L$2316,8,0),IF(BD20="Hydrogen Fuel Cell",VLOOKUP(BL20,'Fuel Consumption'!$A$31:$L$2316,8,0)*'GHG EF'!$C$13/'GHG EF'!$C$15*'GHG EF'!$J$13/'GHG EF'!$J$15,VLOOKUP(BL20,'Fuel Consumption'!$A$31:$L$2316,7,0)*VLOOKUP(BD20,'GHG EF'!$B$10:$H$19,5,0)))))*VLOOKUP(BD20,'GHG EF'!$B$10:$H$19,2,0)*BF20),"")</f>
        <v/>
      </c>
      <c r="BO20" s="306" t="str">
        <f ca="1">IFERROR((IF(OR(BD20="Diesel",BD20="Renewable Diesel",BD20="Biodiesel"),VLOOKUP(BL20,'Fuel Consumption'!$A$31:$L$2316,9,0)*VLOOKUP(BD20,'GHG EF'!$B$10:$H$19,4,0),IF(OR(BD20="CNG",BD20="LNG",BD20="Renewable Natural Gas"),VLOOKUP(BL20,'Fuel Consumption'!$A$31:$L$2316,10,0)*VLOOKUP(BD20,'GHG EF'!$B$10:$H$19,5,0),IF(OR(BD20="Electric",BD20="Renewable Electricity"),VLOOKUP(BL20,'Fuel Consumption'!$A$31:$L$2316,11,0),IF(BD20="Hydrogen Fuel Cell",VLOOKUP(BL20,'Fuel Consumption'!$A$31:$L$2316,11,0)*'GHG EF'!$C$13/'GHG EF'!$C$15*'GHG EF'!$J$13/'GHG EF'!$J$15,VLOOKUP(BL20,'Fuel Consumption'!$A$31:$L$2316,10,0)*VLOOKUP(BD20,'GHG EF'!$B$10:$H$19,5,0))))) * VLOOKUP(BD20,'GHG EF'!$B$10:$H$19,2,0) * BF20),"")</f>
        <v/>
      </c>
      <c r="BP20" s="306" t="str">
        <f ca="1">IFERROR(VLOOKUP(BL20,'Fuel Consumption'!$A$31:$L$2316,12,0)*VLOOKUP(BD20,'GHG EF'!$B$10:$H$19,4,0) * VLOOKUP(BD20,'GHG EF'!$B$10:$H$19,2,0) * BF20,"")</f>
        <v/>
      </c>
      <c r="BQ20" s="1374" t="str">
        <f ca="1">IFERROR(IF(OR($BD20=Defaults!$I$5,$BD20=Defaults!$I$11), 'GHG EF'!$C$13*'GHG EF'!$C$12/'GHG EF'!$C$13/4.6, VLOOKUP(BD20,'GHG EF'!$B$10:$H$19,4,0)*VLOOKUP(BD20,'GHG EF'!$B$10:$H$19,2,0))*BF20*'Rail C&amp;T EF'!$K$14,"")</f>
        <v/>
      </c>
      <c r="BR20" s="1374" t="str">
        <f ca="1">IFERROR(IF(OR($BD20=Defaults!$I$5,$BD20=Defaults!$I$11), 'GHG EF'!$C$13*'GHG EF'!$C$12/'GHG EF'!$C$13/3.3, VLOOKUP(BD20,'GHG EF'!$B$10:$H$19,4,0)*VLOOKUP(BD20,'GHG EF'!$B$10:$H$19,2,0))*BF20*'Rail C&amp;T EF'!$B$149,"")</f>
        <v/>
      </c>
      <c r="BS20" s="1374" t="str">
        <f ca="1">IFERROR(VLOOKUP(BD20,'GHG EF'!$B$10:$H$19,2,0)*BF20,"")</f>
        <v/>
      </c>
      <c r="BT20" s="1374" t="str">
        <f ca="1">IF(OR($BD20=Defaults!$I$5,$BD20=Defaults!$I$10),'GHG EF'!$C$13*BF20*'GHG EF'!$C$12/'GHG EF'!$C$13/3.3*'Rail C&amp;T EF'!$K$14,"")</f>
        <v/>
      </c>
      <c r="BU20" s="1374" t="str">
        <f ca="1">IF(OR($BD20=Defaults!$I$5,$BD20=Defaults!$I$10),'GHG EF'!$C$13*BF20*'GHG EF'!$C$12/'GHG EF'!$C$13/3.1*'Rail C&amp;T EF'!$K$14,"")</f>
        <v/>
      </c>
      <c r="BV20" s="1374">
        <f ca="1">IF(OR($AD20=Defaults!$I$5, $AD20=Defaults!$I$7, $AD20=Defaults!$I$11),Defaults!$G$15,INDIRECT("'Quantifiable Component "&amp;$B20&amp;"'!"&amp;$D20&amp;ROW('Quantifiable Component 1'!$62:$62)))</f>
        <v>0</v>
      </c>
      <c r="BW20" s="1374" t="str">
        <f ca="1">IFERROR((IF(AND(BV20="yes",NOT(BD20=Defaults!$I$5),NOT(BD20=Defaults!$I$7),NOT(BD20=Defaults!$I$11)),0.8,1))*(IF(BC20="Transit Bus",BM20,IF(BC20="Van",BN20,IF(BC20="Cut-A-Way",BO20,IF(BC20="Over-Road Coach",BP20,IF(BC20="Heavy Rail",BQ20,IF(BC20="DMU / EMU",BR20,IF(BC20="Ferry",BS20,IF(BC20="Light Rail",BT20,BU20))))))))),"")</f>
        <v/>
      </c>
      <c r="BX20" s="1377" t="str">
        <f ca="1">IFERROR(VLOOKUP($BD20,'GHG EF'!$B$10:$H$19,2,0)*BF20,"")</f>
        <v/>
      </c>
      <c r="BY20" s="1377" t="str">
        <f t="shared" ca="1" si="14"/>
        <v/>
      </c>
      <c r="BZ20" s="1377" t="str">
        <f t="shared" ca="1" si="15"/>
        <v/>
      </c>
      <c r="CA20" s="1377" t="str">
        <f t="shared" ca="1" si="16"/>
        <v/>
      </c>
      <c r="CB20" s="1373" t="str">
        <f t="shared" ca="1" si="17"/>
        <v/>
      </c>
      <c r="CC20" s="1376">
        <f ca="1">INDIRECT("'Quantifiable Component "&amp;$B20&amp;"'!"&amp;$D20&amp;ROW('Quantifiable Component 1'!$69:$69))</f>
        <v>0</v>
      </c>
      <c r="CD20" s="1376">
        <f ca="1">INDIRECT("'Quantifiable Component "&amp;$B20&amp;"'!"&amp;$D20&amp;ROW('Quantifiable Component 1'!$72:$72))</f>
        <v>0</v>
      </c>
      <c r="CE20" s="1373">
        <f ca="1">INDIRECT("'Quantifiable Component "&amp;$B20&amp;"'!"&amp;$D20&amp;ROW('Quantifiable Component 1'!$74:$74))</f>
        <v>0</v>
      </c>
      <c r="CF20" s="306">
        <f ca="1">INDIRECT("'Quantifiable Component "&amp;$B20&amp;"'!"&amp;$D20&amp;ROW('Quantifiable Component 1'!$73:$73))</f>
        <v>0</v>
      </c>
      <c r="CG20" s="306" t="str">
        <f t="shared" ca="1" si="18"/>
        <v>0_0</v>
      </c>
      <c r="CH20" s="1373" t="str">
        <f ca="1">IFERROR(VLOOKUP($CD20,'GHG EF'!$B$10:$H$19,2,0)*VLOOKUP($CD20,'GHG EF'!$B$10:$H$19,3,0),"")</f>
        <v/>
      </c>
      <c r="CI20" s="1373" t="str">
        <f t="shared" ca="1" si="19"/>
        <v/>
      </c>
      <c r="CJ20" s="1373" t="str">
        <f t="shared" ca="1" si="20"/>
        <v/>
      </c>
      <c r="CK20" s="1378" t="str">
        <f ca="1">IF($F20=Defaults!$M$2, $BB20+IF($CA20="",0,$CA20)+IF($CJ20="",0,$CJ20), IF($F20=Defaults!$M$4,$CB20+IF($CJ20="",0,$CJ20),IF($F20=Defaults!$M$3,$AB20+IF($CJ20="",0,$CJ20), IF($F20=Defaults!$M$5,$CJ20,""))))</f>
        <v/>
      </c>
      <c r="CL20" s="1645"/>
    </row>
    <row r="21" spans="1:90" s="117" customFormat="1" ht="15.5" x14ac:dyDescent="0.35">
      <c r="A21" s="1646">
        <v>4</v>
      </c>
      <c r="B21" s="1367">
        <v>4</v>
      </c>
      <c r="C21" s="1368">
        <v>1</v>
      </c>
      <c r="D21" s="1368" t="str">
        <f>SUBSTITUTE(ADDRESS(1,COLUMN('Quantifiable Component 1'!E:E),4),"1","")</f>
        <v>E</v>
      </c>
      <c r="E21" s="1368" t="str">
        <f t="shared" si="0"/>
        <v>Quantifiable Component 4E</v>
      </c>
      <c r="F21" s="306">
        <f ca="1">INDIRECT("'Quantifiable Component "&amp;$B21&amp;"'!"&amp;$D21&amp;ROW('Quantifiable Component 1'!$28:$28))</f>
        <v>0</v>
      </c>
      <c r="G21" s="306">
        <f ca="1">INDIRECT("'Quantifiable Component "&amp;$B21&amp;"'!"&amp;$D21&amp;ROW('Quantifiable Component 1'!$29:$29))</f>
        <v>0</v>
      </c>
      <c r="H21" s="306">
        <f ca="1">INDIRECT("'Quantifiable Component "&amp;$B21&amp;"'!"&amp;$D21&amp;ROW('Quantifiable Component 1'!$32:$32))</f>
        <v>0</v>
      </c>
      <c r="I21" s="306">
        <f ca="1">INDIRECT("'Quantifiable Component "&amp;$B21&amp;"'!"&amp;$D21&amp;ROW('Quantifiable Component 1'!$33:$33))</f>
        <v>0</v>
      </c>
      <c r="J21" s="306">
        <f ca="1">INDIRECT("'Quantifiable Component "&amp;$B21&amp;"'!"&amp;$D21&amp;ROW('Quantifiable Component 1'!$31:$31))</f>
        <v>0</v>
      </c>
      <c r="K21" s="306" t="str">
        <f t="shared" ca="1" si="1"/>
        <v>0_0</v>
      </c>
      <c r="L21" s="306" t="str">
        <f t="shared" ca="1" si="2"/>
        <v>0_0</v>
      </c>
      <c r="M21" s="306">
        <f ca="1">INDIRECT("'Quantifiable Component "&amp;$B21&amp;"'!"&amp;$D21&amp;ROW('Quantifiable Component 1'!$37:$37))</f>
        <v>0</v>
      </c>
      <c r="N21" s="1369" t="str">
        <f ca="1">IFERROR(VLOOKUP((CONCATENATE(J21,"_",H21)),'Auto GHG'!$C$41:$D$2668,2,0),"")</f>
        <v/>
      </c>
      <c r="O21" s="306">
        <f ca="1">INDIRECT("'Quantifiable Component "&amp;$B21&amp;"'!"&amp;$D21&amp;ROW('Quantifiable Component 1'!$38:$38))</f>
        <v>0</v>
      </c>
      <c r="P21" s="1369" t="str">
        <f ca="1">IFERROR(IF(I21&lt;=2050,VLOOKUP((CONCATENATE(J21,"_",I21)),'Auto GHG'!$C$41:$D$2668,2,),VLOOKUP((CONCATENATE(J21,"_",2050)),'Auto GHG'!$C$41:$D$2668,2,)),"")</f>
        <v/>
      </c>
      <c r="Q21" s="306">
        <f ca="1">INDIRECT("'Quantifiable Component "&amp;$B21&amp;"'!"&amp;$D21&amp;ROW('Quantifiable Component 1'!$39:$39))</f>
        <v>0</v>
      </c>
      <c r="R21" s="306">
        <f ca="1">INDIRECT("'Quantifiable Component "&amp;$B21&amp;"'!"&amp;$D21&amp;ROW('Quantifiable Component 1'!$40:$40))</f>
        <v>0</v>
      </c>
      <c r="S21" s="306"/>
      <c r="T21" s="306"/>
      <c r="U21" s="1370">
        <f t="shared" ca="1" si="3"/>
        <v>0</v>
      </c>
      <c r="V21" s="1371" t="str">
        <f t="shared" ca="1" si="4"/>
        <v/>
      </c>
      <c r="W21" s="1370">
        <f t="shared" ca="1" si="5"/>
        <v>0</v>
      </c>
      <c r="X21" s="1370" t="str">
        <f t="shared" ca="1" si="6"/>
        <v/>
      </c>
      <c r="Y21" s="1372">
        <f ca="1">IFERROR(('GHG Calcs'!U21+'GHG Calcs'!W21)/2,"")</f>
        <v>0</v>
      </c>
      <c r="Z21" s="1372">
        <f t="shared" ca="1" si="7"/>
        <v>0</v>
      </c>
      <c r="AA21" s="1370" t="str">
        <f t="shared" ca="1" si="8"/>
        <v/>
      </c>
      <c r="AB21" s="1370" t="str">
        <f ca="1">IF(OR(F21=Defaults!$M$3,F21=Defaults!$M$3),AA21,"")</f>
        <v/>
      </c>
      <c r="AC21" s="306">
        <f ca="1">INDIRECT("'Quantifiable Component "&amp;$B21&amp;"'!"&amp;$D21&amp;ROW('Quantifiable Component 1'!$46:$46))</f>
        <v>0</v>
      </c>
      <c r="AD21" s="306">
        <f ca="1">INDIRECT("'Quantifiable Component "&amp;$B21&amp;"'!"&amp;$D21&amp;ROW('Quantifiable Component 1'!$49:$49))</f>
        <v>0</v>
      </c>
      <c r="AE21" s="1373">
        <f ca="1">INDIRECT("'Quantifiable Component "&amp;$B21&amp;"'!"&amp;$D21&amp;ROW('Quantifiable Component 1'!$54:$54))</f>
        <v>0</v>
      </c>
      <c r="AF21" s="306" t="str">
        <f ca="1">IFERROR(IF(ISBLANK(INDIRECT("'Quantifiable Component "&amp;$B21&amp;"'!"&amp;$D21&amp;ROW('Quantifiable Component 1'!$52:$52))),VLOOKUP($AD21,'GHG EF'!$B$10:$H$19,3,0),INDIRECT("'Quantifiable Component "&amp;$B21&amp;"'!"&amp;$D21&amp;ROW('Quantifiable Component 1'!$52:$52))),"")</f>
        <v/>
      </c>
      <c r="AG21" s="306">
        <f ca="1">INDIRECT("'Quantifiable Component "&amp;$B21&amp;"'!"&amp;$D21&amp;ROW('Quantifiable Component 1'!$51:$51))</f>
        <v>0</v>
      </c>
      <c r="AH21" s="306" t="str">
        <f t="shared" ca="1" si="9"/>
        <v>0_0</v>
      </c>
      <c r="AI21" s="1373">
        <f ca="1">INDIRECT("'Quantifiable Component "&amp;$B21&amp;"'!"&amp;$D21&amp;ROW('Quantifiable Component 1'!$53:$53))</f>
        <v>0</v>
      </c>
      <c r="AJ21" s="306" t="str">
        <f ca="1">IF(AND(AI21&gt;0,OR(AD21=Defaults!$I$5,AD21=Defaults!$I$11)), IF(AC21="Transit Bus",VLOOKUP(AH21,'Fuel Consumption'!$A$31:$L$2316,5,0), IF(AC21="Van",VLOOKUP(AH21,'Fuel Consumption'!$A$31:$L$2316,8,0), IF(AC21="Cut-A-Way",VLOOKUP(AH21,'Fuel Consumption'!$A$31:$L$2316,11,0), IF(AC21="Over-Road Coach",VLOOKUP(AH21,'Fuel Consumption'!$A$31:$L$2316,12,0)*VLOOKUP(AD21,'GHG EF'!$B$10:$H$19,4,0),IF(AC21="Heavy Rail",'Rail C&amp;T EF'!$K$14*'GHG EF'!$C$12/'GHG EF'!$C$13/4.6, IF(AC21="DMU / EMU",'Rail C&amp;T EF'!$B$149*'GHG EF'!$C$12/'GHG EF'!$C$13/3.3, IF(AC21="Light Rail",'Rail C&amp;T EF'!$K$14*'GHG EF'!$C$12/'GHG EF'!$C$13/3.3, IF(AC21="Streetcar",'Rail C&amp;T EF'!$K$14*'GHG EF'!$C$12/'GHG EF'!$C$13/3.1,0)))))))),"")</f>
        <v/>
      </c>
      <c r="AK21" s="306" t="b">
        <f ca="1">IF(AI21&gt;0,IF(OR(AD21=Defaults!$I$3,AD21=Defaults!$I$4,AD21=Defaults!$I$6,AD21=Defaults!$I$8),IF(AC21="Transit Bus",IF(AD21="Gasoline",VLOOKUP(AH21,'Fuel Consumption'!$A$31:$L$2316,3),IF(OR(AD21="CNG",AD21="LNG"),VLOOKUP(AH21,'Fuel Consumption'!$A$31:$L$2316,4),VLOOKUP(AH21,'Fuel Consumption'!$A$31:$L$2316,2))),IF(AC21="Van",IF(OR(AD21="Diesel",AD21="Renewable Diesel",AD21="Biodiesel"),VLOOKUP(AH21,'Fuel Consumption'!$A$31:$L$2316,6),IF(OR(AD21="CNG",AD21="LNG"),VLOOKUP(AH21,'Fuel Consumption'!$A$31:$L$2316,7)*VLOOKUP(AD21,'GHG EF'!$B$10:$H$19,5,0),VLOOKUP(AH21,'Fuel Consumption'!$A$31:$L$2316,7))),IF(AC21="Cut-A-Way",IF(OR(AD21="Diesel",AD21="Renewable Diesel",AD21="Biodiesel"),VLOOKUP(AH21,'Fuel Consumption'!$A$31:$L$2316,9),IF(OR(AD21="CNG",AD21="LNG"),VLOOKUP(AH21,'Fuel Consumption'!$A$31:$L$2316,10)*VLOOKUP(AD21,'GHG EF'!$B$10:$H$19,5,0),VLOOKUP(AH21,'Fuel Consumption'!$A$31:$L$2316,10))),IF(AC21="Over-Road Coach",VLOOKUP(AH21,'Fuel Consumption'!$A$31:$L$2316,12),IF(AC21="Heavy Rail",'Rail C&amp;T EF'!$K$14,IF(AC21="DMU / EMU",'Rail C&amp;T EF'!$B$149,"")))))*IF(AD21=Defaults!$I$3,1/'GHG EF'!$I$11,1)*IF(AD21=Defaults!$I$8,1/'GHG EF'!$I$16,1)),""))</f>
        <v>0</v>
      </c>
      <c r="AL21" s="306" t="str">
        <f ca="1">IF(AI21&gt;0,IF(AC21="Transit Bus",IF(AD21="Gasoline",VLOOKUP(AH21,'Fuel Consumption'!$A$31:$L$2316,3,0)*VLOOKUP(AD21,'GHG EF'!$B$10:$H$19,5,0),IF(OR(AD21="LNG",AD21="CNG",AD21="Renewable Natural Gas"),VLOOKUP(AH21,'Fuel Consumption'!$A$31:$L$2316,4)*VLOOKUP(AD21,'GHG EF'!$B$10:$H$19,4,0),IF(OR(AD21="Electric",AD21="Renewable Electricity"),VLOOKUP(AH21,'Fuel Consumption'!$A$31:$L$2316,5,0),IF(AD21="Hydrogen Fuel Cell",VLOOKUP(AH21,'Fuel Consumption'!$A$31:$L$2316,5,0)*'GHG EF'!$C$13/'GHG EF'!$C$15*'GHG EF'!$I$13/'GHG EF'!$I$15,VLOOKUP(AH21,'Fuel Consumption'!$A$31:$L$2316,2,0)*VLOOKUP(AD21,'GHG EF'!$B$10:$H$19,4,0))))),
IF(AC21="Van",IF(OR(AD21="Diesel",AD21="Renewable Diesel",AD21="Biodiesel"),VLOOKUP(AH21,'Fuel Consumption'!$A$31:$L$2316,6,0)*VLOOKUP(AD21,'GHG EF'!$B$10:$H$19,4,0),IF(OR(AD21="LNG",AD21="CNG",AD21="Renewable Natural Gas"),VLOOKUP(AH21,'Fuel Consumption'!$A$31:$L$2316,7)*VLOOKUP(AD21,'GHG EF'!$B$10:$H$19,5,0),IF(OR(AD21="Electric",AD21="Renewable Electricity"),VLOOKUP(AH21,'Fuel Consumption'!$A$31:$L$2316,8,0),IF(AD21="Hydrogen Fuel Cell",VLOOKUP(AH21,'Fuel Consumption'!$A$31:$L$2316,8,0)*'GHG EF'!$C$13/'GHG EF'!$C$15*'GHG EF'!$J$13/'GHG EF'!$J$15,VLOOKUP(AH21,'Fuel Consumption'!$A$31:$L$2316,7,0)*VLOOKUP(AD21,'GHG EF'!$B$10:$H$19,5,0))))),
IF(AC21="Cut-A-Way",IF(OR(AD21="Diesel",AD21="Renewable Diesel",AD21="Biodiesel"),VLOOKUP(AH21,'Fuel Consumption'!$A$31:$L$2316,9,0)*VLOOKUP(AD21,'GHG EF'!$B$10:$H$19,4,0),IF(OR(AD21="LNG",AD21="CNG",AD21="Renewable Natural Gas"),VLOOKUP(AH21,'Fuel Consumption'!$A$31:$L$2316,10)*VLOOKUP(AD21,'GHG EF'!$B$10:$H$19,5,0),IF(OR(AD21="Electric",AD21="Renewable Electricity"),VLOOKUP(AH21,'Fuel Consumption'!$A$31:$L$2316,11,0),IF(AD21="Hydrogen Fuel Cell",VLOOKUP(AH21,'Fuel Consumption'!$A$31:$L$2316,11,0)*'GHG EF'!$C$13/'GHG EF'!$C$15*'GHG EF'!$J$13/'GHG EF'!$J$15,VLOOKUP(AH21,'Fuel Consumption'!$A$31:$L$2316,10,0)*VLOOKUP(AD21,'GHG EF'!$B$10:$H$19,5,0))))),
IF(AC21="Over-Road Coach",VLOOKUP(AH21,'Fuel Consumption'!$A$31:$L$2316,12,0)*VLOOKUP(AD21,'GHG EF'!$B$10:$H$19,4,0),IF(AC21="Heavy Rail",IF(OR(AD21=Defaults!$I$5,AD21=Defaults!$I$11),'Rail C&amp;T EF'!$K$14*'GHG EF'!$C$12/'GHG EF'!$C$13/4.6,'Rail C&amp;T EF'!$K$14*VLOOKUP(AD21,'GHG EF'!$B$10:$H$19,4,0)),IF(AC21="DMU / EMU",IF(OR(AD21=Defaults!$I$5,AD21=Defaults!$I$11),'Rail C&amp;T EF'!$B$149*'GHG EF'!$C$12/'GHG EF'!$C$13/3.3,'Rail C&amp;T EF'!$B$149*VLOOKUP(AD21,'GHG EF'!$B$10:$H$19,4,0)),IF(AC21="Light Rail",'Rail C&amp;T EF'!$K$14*'GHG EF'!$C$12/'GHG EF'!$C$13/3.3,IF(AC21="Streetcar",'Rail C&amp;T EF'!$K$14*'GHG EF'!$C$12/'GHG EF'!$C$13/3.1,"")))))))),"")</f>
        <v/>
      </c>
      <c r="AM21" s="306" t="str">
        <f ca="1">IFERROR((IF(AD21="Gasoline",VLOOKUP(AH21,'Fuel Consumption'!$A$31:$L$2316,3,0)*VLOOKUP(AD21,'GHG EF'!$B$10:$H$19,5,0), IF(OR(AD21="CNG",AD21="LNG",AD21="Renewable Natural Gas"),VLOOKUP(AH21,'Fuel Consumption'!$A$31:$L$2316,4,0)*VLOOKUP(AD21,'GHG EF'!$B$10:$H$19,4,0),IF(OR(AD21="Electric",AD21="Renewable Electricity"),VLOOKUP(AH21,'Fuel Consumption'!$A$31:$L$2316,5,0),IF(AD21="Hydrogen Fuel Cell",VLOOKUP(AH21,'Fuel Consumption'!$A$31:$L$2316,5,0)*'GHG EF'!$C$13/'GHG EF'!$C$15*'GHG EF'!$I$13/'GHG EF'!$I$15,VLOOKUP(AH21,'Fuel Consumption'!$A$31:$L$2316,2,0)*VLOOKUP(AD21,'GHG EF'!$B$10:$H$19,4,0))))) * VLOOKUP(AD21,'GHG EF'!$B$10:$H$19,2,0) * AF21),"")</f>
        <v/>
      </c>
      <c r="AN21" s="306" t="str">
        <f ca="1">IFERROR((IF(OR(AD21="Diesel",AD21="Renewable Diesel",AD21="Biodiesel"),VLOOKUP(AH21,'Fuel Consumption'!$A$31:$L$2316,6,0)*VLOOKUP(AD21,'GHG EF'!$B$10:$H$19,4,0),IF(OR(AD21="CNG",AD21="LNG",AD21="Renewable Natural Gas"),VLOOKUP(AH21,'Fuel Consumption'!$A$31:$L$2316,7,0)*VLOOKUP(AD21,'GHG EF'!$B$10:$H$19,5,0),IF(OR(AD21="Electric",AD21="Renewable Electricity"),VLOOKUP(AH21,'Fuel Consumption'!$A$31:$L$2316,8,0),IF(AD21="Hydrogen Fuel Cell",VLOOKUP(AH21,'Fuel Consumption'!$A$31:$L$2316,8,0)*'GHG EF'!$C$13/'GHG EF'!$C$15*'GHG EF'!$J$13/'GHG EF'!$J$15,VLOOKUP(AH21,'Fuel Consumption'!$A$31:$L$2316,7,0)*VLOOKUP(AD21,'GHG EF'!$B$10:$H$19,5,0)))))*VLOOKUP(AD21,'GHG EF'!$B$10:$H$19,2,0)*AF21),"")</f>
        <v/>
      </c>
      <c r="AO21" s="306" t="str">
        <f ca="1">IFERROR((IF(OR(AD21="Diesel",AD21="Renewable Diesel",AD21="Biodiesel"),VLOOKUP(AH21,'Fuel Consumption'!$A$31:$L$2316,9,0)*VLOOKUP(AD21,'GHG EF'!$B$10:$H$19,4,0),IF(OR(AD21="CNG",AD21="LNG",AD21="Renewable Natural Gas"),VLOOKUP(AH21,'Fuel Consumption'!$A$31:$L$2316,10,0)*VLOOKUP(AD21,'GHG EF'!$B$10:$H$19,5,0),IF(OR(AD21="Electric",AD21="Renewable Electricity"),VLOOKUP(AH21,'Fuel Consumption'!$A$31:$L$2316,11,0),IF(AD21="Hydrogen Fuel Cell",VLOOKUP(AH21,'Fuel Consumption'!$A$31:$L$2316,11,0)*'GHG EF'!$C$13/'GHG EF'!$C$15*'GHG EF'!$J$13/'GHG EF'!$J$15,VLOOKUP(AH21,'Fuel Consumption'!$A$31:$L$2316,10,0)*VLOOKUP(AD21,'GHG EF'!$B$10:$H$19,5,0))))) * VLOOKUP(AD21,'GHG EF'!$B$10:$H$19,2,0) * AF21),"")</f>
        <v/>
      </c>
      <c r="AP21" s="306" t="str">
        <f ca="1">IFERROR(VLOOKUP(AH21,'Fuel Consumption'!$A$31:$L$2316,12,0)*VLOOKUP(AD21,'GHG EF'!$B$10:$H$19,4,0) * VLOOKUP(AD21,'GHG EF'!$B$10:$H$19,2,0) * AF21,"")</f>
        <v/>
      </c>
      <c r="AQ21" s="1374" t="str">
        <f ca="1">IFERROR(IF(OR(AD21=Defaults!$I$5,AD21=Defaults!$I$11), 'GHG EF'!$C$13*'GHG EF'!$C$12/'GHG EF'!$C$13/4.6, VLOOKUP(AD21,'GHG EF'!$B$10:$H$19,4,0)*VLOOKUP(AD21,'GHG EF'!$B$10:$H$19,2,0))*AF21*'Rail C&amp;T EF'!$K$14,"")</f>
        <v/>
      </c>
      <c r="AR21" s="1374" t="str">
        <f ca="1">IFERROR(IF(OR(AD21=Defaults!$I$5,AD21=Defaults!$I$11), 'GHG EF'!$C$13*'GHG EF'!$C$12/'GHG EF'!$C$13/3.3, VLOOKUP(AD21,'GHG EF'!$B$10:$H$19,4,0)*VLOOKUP(AD21,'GHG EF'!$B$10:$H$19,2,0))*AF21*'Rail C&amp;T EF'!$B$149,"")</f>
        <v/>
      </c>
      <c r="AS21" s="1374" t="str">
        <f ca="1">IFERROR(VLOOKUP(AD21,'GHG EF'!$B$10:$H$19,2,0)*AF21,"")</f>
        <v/>
      </c>
      <c r="AT21" s="1374" t="str">
        <f ca="1">IF(OR(AD21=Defaults!$I$5,AD21=Defaults!$I$10),'GHG EF'!$C$13*AF21*'GHG EF'!$C$12/'GHG EF'!$C$13/3.3*'Rail C&amp;T EF'!$K$14,"")</f>
        <v/>
      </c>
      <c r="AU21" s="1374" t="str">
        <f ca="1">IF(OR(AD21=Defaults!$I$5,AD21=Defaults!$I$10),'GHG EF'!$C$13*AF21*'GHG EF'!$C$12/'GHG EF'!$C$13/3.1*'Rail C&amp;T EF'!$K$14,"")</f>
        <v/>
      </c>
      <c r="AV21" s="1374">
        <f ca="1">IF(OR($AD21=Defaults!$I$5, $AD21=Defaults!$I$7, $AD21=Defaults!$I$11),Defaults!$G$15,INDIRECT("'Quantifiable Component "&amp;$B21&amp;"'!"&amp;$D21&amp;ROW('Quantifiable Component 1'!$50:$50)))</f>
        <v>0</v>
      </c>
      <c r="AW21" s="1374" t="str">
        <f ca="1">IFERROR((IF(AND(AV21="yes",NOT(AD21=Defaults!$I$5),NOT(AD21=Defaults!$I$7),NOT(AD21=Defaults!$I$11)),0.8,1))*(IF(AC21="Transit Bus",AM21,IF(AC21="Van",AN21,IF(AC21="Cut-A-Way",AO21,IF(AC21="Over-Road Coach",AP21,IF(AC21="Heavy Rail",AQ21,IF(AC21="DMU / EMU",AR21,IF(AC21="Ferry",AS21,IF(AC21="Light Rail",AT21,AU21))))))))),"")</f>
        <v/>
      </c>
      <c r="AX21" s="1374" t="str">
        <f ca="1">IFERROR(VLOOKUP($AD21,'GHG EF'!$B$10:$H$19,2,0)*AF21,"")</f>
        <v/>
      </c>
      <c r="AY21" s="1375" t="str">
        <f t="shared" ca="1" si="10"/>
        <v/>
      </c>
      <c r="AZ21" s="1374" t="str">
        <f t="shared" ca="1" si="11"/>
        <v/>
      </c>
      <c r="BA21" s="1375" t="str">
        <f ca="1">IFERROR(IF(G21=Defaults!$F$2,0,IF(AZ21&gt;0,AZ21*(I21-H21),AY21*(I21-H21))),"")</f>
        <v/>
      </c>
      <c r="BB21" s="1373" t="str">
        <f t="shared" ca="1" si="12"/>
        <v/>
      </c>
      <c r="BC21" s="1376">
        <f ca="1">INDIRECT("'Quantifiable Component "&amp;$B21&amp;"'!"&amp;$D21&amp;ROW('Quantifiable Component 1'!$58:$58))</f>
        <v>0</v>
      </c>
      <c r="BD21" s="306">
        <f ca="1">INDIRECT("'Quantifiable Component "&amp;$B21&amp;"'!"&amp;$D21&amp;ROW('Quantifiable Component 1'!$61:$61))</f>
        <v>0</v>
      </c>
      <c r="BE21" s="306">
        <f ca="1">INDIRECT("'Quantifiable Component "&amp;$B21&amp;"'!"&amp;$D21&amp;ROW('Quantifiable Component 1'!$66:$66))</f>
        <v>0</v>
      </c>
      <c r="BF21" s="306" t="str">
        <f ca="1">IFERROR(IF(ISBLANK(INDIRECT("'Quantifiable Component "&amp;$B21&amp;"'!"&amp;$D21&amp;ROW('Quantifiable Component 1'!$64:$64))),VLOOKUP($BD21,'GHG EF'!$B$10:$H$19,3,0),INDIRECT("'Quantifiable Component "&amp;$B21&amp;"'!"&amp;$D21&amp;ROW('Quantifiable Component 1'!$64:$64))),"")</f>
        <v/>
      </c>
      <c r="BG21" s="306">
        <f ca="1">INDIRECT("'Quantifiable Component "&amp;$B21&amp;"'!"&amp;$D21&amp;ROW('Quantifiable Component 1'!$63:$63))</f>
        <v>0</v>
      </c>
      <c r="BH21" s="1373">
        <f ca="1">INDIRECT("'Quantifiable Component "&amp;$B21&amp;"'!"&amp;$D21&amp;ROW('Quantifiable Component 1'!$65:$65))</f>
        <v>0</v>
      </c>
      <c r="BI21" s="306" t="str">
        <f ca="1">IF(AND(BH21&gt;0,OR(BD21=Defaults!$I$5,BD21=Defaults!$I$11)), IF(BC21="Transit Bus",VLOOKUP(BL21,'Fuel Consumption'!$A$31:$L$2316,5,0), IF(BC21="Van",VLOOKUP(BL21,'Fuel Consumption'!$A$31:$L$2316,8,0), IF(BC21="Cut-A-Way",VLOOKUP(BL21,'Fuel Consumption'!$A$31:$L$2316,11,0), IF(BC21="Over-Road Coach",VLOOKUP(BL21,'Fuel Consumption'!$A$31:$L$2316,12,0)*VLOOKUP(BD21,'GHG EF'!$B$10:$H$19,4,0),IF(BC21="Heavy Rail",'Rail C&amp;T EF'!$K$14*'GHG EF'!$C$12/'GHG EF'!$C$13/4.6, IF(BC21="DMU / EMU",'Rail C&amp;T EF'!$B$149*'GHG EF'!$C$12/'GHG EF'!$C$13/3.3, IF(BC21="Light Rail",'Rail C&amp;T EF'!$K$14*'GHG EF'!$C$12/'GHG EF'!$C$13/3.3, IF(BC21="Streetcar",'Rail C&amp;T EF'!$K$14*'GHG EF'!$C$12/'GHG EF'!$C$13/3.1,0)))))))),"")</f>
        <v/>
      </c>
      <c r="BJ21" s="306" t="str">
        <f ca="1">IF(BH21&gt;0,IF(OR(BD21=Defaults!$I$3,BD21=Defaults!$I$4, BD21=Defaults!$I$6, BD21=Defaults!$I$8),IF(BC21="Transit Bus",IF(BD21="Gasoline",VLOOKUP(BL21,'Fuel Consumption'!$A$31:$L$2316,3), IF(OR(BD21="CNG",BD21="LNG"),VLOOKUP(BL21,'Fuel Consumption'!$A$31:$L$2316,4,0),VLOOKUP(BL21,'Fuel Consumption'!$A$31:$L$2316,2))), IF(BC21="Van",IF(OR(BD21="Diesel",BD21="Renewable Diesel",BD21="Biodiesel"),VLOOKUP(BL21,'Fuel Consumption'!$A$31:$L$2316,6),IF(OR(BD21="CNG",BD21="LNG"),VLOOKUP(BL21,'Fuel Consumption'!$A$31:$L$2316,7,0)*VLOOKUP(BD21,'GHG EF'!$B$10:$H$19,5,0), VLOOKUP(BL21,'Fuel Consumption'!$A$31:$L$2316,7))), IF(BC21="Cut-A-Way",IF(OR(BD21="Diesel",BD21="Renewable Diesel",BD21="Biodiesel"),VLOOKUP(BL21,'Fuel Consumption'!$A$31:$L$2316,9),IF(OR(BD21="CNG",BD21="LNG"),VLOOKUP(BL21,'Fuel Consumption'!$A$31:$L$2316,10,0)*VLOOKUP(BD21,'GHG EF'!$B$10:$H$19,5,0), VLOOKUP(BL21,'Fuel Consumption'!$A$31:$L$2316,10))), IF(BC21="Over-Road Coach",VLOOKUP(BL21,'Fuel Consumption'!$A$31:$L$2316,12),IF(BC21="Heavy Rail",'Rail C&amp;T EF'!$K$14, IF(BC21="DMU / EMU",'Rail C&amp;T EF'!$B$149,"")))))) * IF(BD21=Defaults!$I$3,1/'GHG EF'!$I$11,1) * IF(BD21=Defaults!$I$8,1/'GHG EF'!$I$16,1),""),"")</f>
        <v/>
      </c>
      <c r="BK21" s="306" t="str">
        <f ca="1">IF(BH21&gt;0,IF(BC21="Transit Bus",IF(BD21="Gasoline",VLOOKUP(BL21,'Fuel Consumption'!$A$31:$L$2316,3,0)*VLOOKUP(BD21,'GHG EF'!$B$10:$H$19,5,0),IF(OR(BD21="CNG",BD21="LNG",BD21="Renewable Natural Gas"),VLOOKUP(BL21,'Fuel Consumption'!$A$31:$L$2316,4,0)*VLOOKUP(BD21,'GHG EF'!$B$10:$H$19,4,0), IF(OR(BD21="Electric",BD21="Renewable Electricity"),VLOOKUP(BL21,'Fuel Consumption'!$A$31:$L$2316,5,0),IF(BD21="Hydrogen Fuel Cell",VLOOKUP(BL21,'Fuel Consumption'!$A$31:$L$2316,5,0)*'GHG EF'!$C$13/'GHG EF'!$C$15*'GHG EF'!$I$13/'GHG EF'!$I$15, VLOOKUP(BL21,'Fuel Consumption'!$A$31:$L$2316,2,0)*VLOOKUP(BD21,'GHG EF'!$B$10:$H$19,4,0))))),
IF(BC21="Van",IF(OR(BD21="Diesel",BD21="Renewable Diesel",BD21="Biodiesel"),VLOOKUP(BL21,'Fuel Consumption'!$A$31:$L$2316,6,0)*VLOOKUP(BD21,'GHG EF'!$B$10:$H$19,4,0), IF(OR(BD21="CNG",BD21="LNG",BD21="Renewable Natural Gas"),VLOOKUP(BL21,'Fuel Consumption'!$A$31:$L$2316,7,0)*VLOOKUP(BD21,'GHG EF'!$B$10:$H$19,5,0), IF(OR(BD21="Electric",BD21="Renewable Electricity"),VLOOKUP(BL21,'Fuel Consumption'!$A$31:$L$2316,8,0),IF(BD21="Hydrogen Fuel Cell",VLOOKUP(BL21,'Fuel Consumption'!$A$31:$L$2316,8,0)*'GHG EF'!$C$13/'GHG EF'!$C$15*'GHG EF'!$J$13/'GHG EF'!$J$15,VLOOKUP(BL21,'Fuel Consumption'!$A$31:$L$2316,7,0)*VLOOKUP(BD21,'GHG EF'!$B$10:$H$19,5,0))))),
IF(BC21="Cut-A-Way",IF(OR(BD21="Diesel",BD21="Renewable Diesel",BD21="Biodiesel"),VLOOKUP(BL21,'Fuel Consumption'!$A$31:$L$2316,9,0)*VLOOKUP(BD21,'GHG EF'!$B$10:$H$19,4,0),IF(OR(BD21="CNG",BD21="LNG",BD21="Renewable Natural Gas"),VLOOKUP(BL21,'Fuel Consumption'!$A$31:$L$2316,10,0)*VLOOKUP(BD21,'GHG EF'!$B$10:$H$19,5,0), IF(OR(BD21="Electric",BD21="Renewable Electricity"),VLOOKUP(BL21,'Fuel Consumption'!$A$31:$L$2316,11,0),IF(BD21="Hydrogen Fuel Cell",VLOOKUP(BL21,'Fuel Consumption'!$A$31:$L$2316,11,0)*'GHG EF'!$C$13/'GHG EF'!$C$15*'GHG EF'!$J$13/'GHG EF'!$J$15, VLOOKUP(BL21,'Fuel Consumption'!$A$31:$L$2316,10,0)*VLOOKUP(BD21,'GHG EF'!$B$10:$H$19,5,0))))),
IF(BC21="Over-Road Coach",VLOOKUP(BL21,'Fuel Consumption'!$A$31:$L$2316,12,0)*VLOOKUP(BD21,'GHG EF'!$B$10:$H$19,4,0),IF(BC21="Heavy Rail",IF(OR(BD21=Defaults!$I$5,BD21=Defaults!$I$11), 'Rail C&amp;T EF'!$K$14*'GHG EF'!$C$12/'GHG EF'!$C$13/4.6, 'Rail C&amp;T EF'!$K$14*VLOOKUP(BD21,'GHG EF'!$B$10:$H$19,4,0)),IF(BC21="DMU / EMU",IF(OR(BD21=Defaults!$I$5,BD21=Defaults!$I$11), 'Rail C&amp;T EF'!$B$149*'GHG EF'!$C$12/'GHG EF'!$C$13/3.3, 'Rail C&amp;T EF'!$B$149*VLOOKUP(BD21,'GHG EF'!$B$10:$H$19,4,0)),IF(BC21="Light Rail",'Rail C&amp;T EF'!$K$14*'GHG EF'!$C$12/'GHG EF'!$C$13/3.3,IF(BC21="Streetcar",'Rail C&amp;T EF'!$K$14*'GHG EF'!$C$12/'GHG EF'!$C$13/3.1,"")))))))),"")</f>
        <v/>
      </c>
      <c r="BL21" s="306" t="str">
        <f t="shared" ca="1" si="13"/>
        <v>0_0</v>
      </c>
      <c r="BM21" s="306" t="str">
        <f ca="1">IFERROR((IF(BD21="Gasoline",VLOOKUP(BL21,'Fuel Consumption'!$A$31:$L$2316,3,0)*VLOOKUP(BD21,'GHG EF'!$B$10:$H$19,5,0), IF(OR(BD21="CNG",BD21="LNG",BD21="Renewable Natural Gas"),VLOOKUP(BL21,'Fuel Consumption'!$A$31:$L$2316,4,0)*VLOOKUP(BD21,'GHG EF'!$B$10:$H$19,4,0),IF(OR(BD21="Electric",BD21="Renewable Electricity"),VLOOKUP(BL21,'Fuel Consumption'!$A$31:$L$2316,5,0),IF(BD21="Hydrogen Fuel Cell",VLOOKUP(BL21,'Fuel Consumption'!$A$31:$L$2316,5,0)*'GHG EF'!$C$13/'GHG EF'!$C$15*'GHG EF'!$I$13/'GHG EF'!$I$15,VLOOKUP(BL21,'Fuel Consumption'!$A$31:$L$2316,2,0)*VLOOKUP(BD21,'GHG EF'!$B$10:$H$19,4,0))))) * VLOOKUP(BD21,'GHG EF'!$B$10:$H$19,2,0) * BF21),"")</f>
        <v/>
      </c>
      <c r="BN21" s="306" t="str">
        <f ca="1">IFERROR((IF(OR(BD21="Diesel",BD21="Renewable Diesel",BD21="Biodiesel"),VLOOKUP(BL21,'Fuel Consumption'!$A$31:$L$2316,6,0)*VLOOKUP(BD21,'GHG EF'!$B$10:$H$19,4,0),IF(OR(BD21="CNG",BD21="LNG",BD21="Renewable Natural Gas"),VLOOKUP(BL21,'Fuel Consumption'!$A$31:$L$2316,7,0)*VLOOKUP(BD21,'GHG EF'!$B$10:$H$19,5,0),IF(OR(BD21="Electric",BD21="Renewable Electricity"),VLOOKUP(BL21,'Fuel Consumption'!$A$31:$L$2316,8,0),IF(BD21="Hydrogen Fuel Cell",VLOOKUP(BL21,'Fuel Consumption'!$A$31:$L$2316,8,0)*'GHG EF'!$C$13/'GHG EF'!$C$15*'GHG EF'!$J$13/'GHG EF'!$J$15,VLOOKUP(BL21,'Fuel Consumption'!$A$31:$L$2316,7,0)*VLOOKUP(BD21,'GHG EF'!$B$10:$H$19,5,0)))))*VLOOKUP(BD21,'GHG EF'!$B$10:$H$19,2,0)*BF21),"")</f>
        <v/>
      </c>
      <c r="BO21" s="306" t="str">
        <f ca="1">IFERROR((IF(OR(BD21="Diesel",BD21="Renewable Diesel",BD21="Biodiesel"),VLOOKUP(BL21,'Fuel Consumption'!$A$31:$L$2316,9,0)*VLOOKUP(BD21,'GHG EF'!$B$10:$H$19,4,0),IF(OR(BD21="CNG",BD21="LNG",BD21="Renewable Natural Gas"),VLOOKUP(BL21,'Fuel Consumption'!$A$31:$L$2316,10,0)*VLOOKUP(BD21,'GHG EF'!$B$10:$H$19,5,0),IF(OR(BD21="Electric",BD21="Renewable Electricity"),VLOOKUP(BL21,'Fuel Consumption'!$A$31:$L$2316,11,0),IF(BD21="Hydrogen Fuel Cell",VLOOKUP(BL21,'Fuel Consumption'!$A$31:$L$2316,11,0)*'GHG EF'!$C$13/'GHG EF'!$C$15*'GHG EF'!$J$13/'GHG EF'!$J$15,VLOOKUP(BL21,'Fuel Consumption'!$A$31:$L$2316,10,0)*VLOOKUP(BD21,'GHG EF'!$B$10:$H$19,5,0))))) * VLOOKUP(BD21,'GHG EF'!$B$10:$H$19,2,0) * BF21),"")</f>
        <v/>
      </c>
      <c r="BP21" s="306" t="str">
        <f ca="1">IFERROR(VLOOKUP(BL21,'Fuel Consumption'!$A$31:$L$2316,12,0)*VLOOKUP(BD21,'GHG EF'!$B$10:$H$19,4,0) * VLOOKUP(BD21,'GHG EF'!$B$10:$H$19,2,0) * BF21,"")</f>
        <v/>
      </c>
      <c r="BQ21" s="1374" t="str">
        <f ca="1">IFERROR(IF(OR($BD21=Defaults!$I$5,$BD21=Defaults!$I$11), 'GHG EF'!$C$13*'GHG EF'!$C$12/'GHG EF'!$C$13/4.6, VLOOKUP(BD21,'GHG EF'!$B$10:$H$19,4,0)*VLOOKUP(BD21,'GHG EF'!$B$10:$H$19,2,0))*BF21*'Rail C&amp;T EF'!$K$14,"")</f>
        <v/>
      </c>
      <c r="BR21" s="1374" t="str">
        <f ca="1">IFERROR(IF(OR($BD21=Defaults!$I$5,$BD21=Defaults!$I$11), 'GHG EF'!$C$13*'GHG EF'!$C$12/'GHG EF'!$C$13/3.3, VLOOKUP(BD21,'GHG EF'!$B$10:$H$19,4,0)*VLOOKUP(BD21,'GHG EF'!$B$10:$H$19,2,0))*BF21*'Rail C&amp;T EF'!$B$149,"")</f>
        <v/>
      </c>
      <c r="BS21" s="1374" t="str">
        <f ca="1">IFERROR(VLOOKUP(BD21,'GHG EF'!$B$10:$H$19,2,0)*BF21,"")</f>
        <v/>
      </c>
      <c r="BT21" s="1374" t="str">
        <f ca="1">IF(OR($BD21=Defaults!$I$5,$BD21=Defaults!$I$10),'GHG EF'!$C$13*BF21*'GHG EF'!$C$12/'GHG EF'!$C$13/3.3*'Rail C&amp;T EF'!$K$14,"")</f>
        <v/>
      </c>
      <c r="BU21" s="1374" t="str">
        <f ca="1">IF(OR($BD21=Defaults!$I$5,$BD21=Defaults!$I$10),'GHG EF'!$C$13*BF21*'GHG EF'!$C$12/'GHG EF'!$C$13/3.1*'Rail C&amp;T EF'!$K$14,"")</f>
        <v/>
      </c>
      <c r="BV21" s="1374">
        <f ca="1">IF(OR($AD21=Defaults!$I$5, $AD21=Defaults!$I$7, $AD21=Defaults!$I$11),Defaults!$G$15,INDIRECT("'Quantifiable Component "&amp;$B21&amp;"'!"&amp;$D21&amp;ROW('Quantifiable Component 1'!$62:$62)))</f>
        <v>0</v>
      </c>
      <c r="BW21" s="1374" t="str">
        <f ca="1">IFERROR((IF(AND(BV21="yes",NOT(BD21=Defaults!$I$5),NOT(BD21=Defaults!$I$7),NOT(BD21=Defaults!$I$11)),0.8,1))*(IF(BC21="Transit Bus",BM21,IF(BC21="Van",BN21,IF(BC21="Cut-A-Way",BO21,IF(BC21="Over-Road Coach",BP21,IF(BC21="Heavy Rail",BQ21,IF(BC21="DMU / EMU",BR21,IF(BC21="Ferry",BS21,IF(BC21="Light Rail",BT21,BU21))))))))),"")</f>
        <v/>
      </c>
      <c r="BX21" s="1377" t="str">
        <f ca="1">IFERROR(VLOOKUP($BD21,'GHG EF'!$B$10:$H$19,2,0)*BF21,"")</f>
        <v/>
      </c>
      <c r="BY21" s="1377" t="str">
        <f t="shared" ca="1" si="14"/>
        <v/>
      </c>
      <c r="BZ21" s="1377" t="str">
        <f t="shared" ca="1" si="15"/>
        <v/>
      </c>
      <c r="CA21" s="1377" t="str">
        <f t="shared" ca="1" si="16"/>
        <v/>
      </c>
      <c r="CB21" s="1373" t="str">
        <f t="shared" ca="1" si="17"/>
        <v/>
      </c>
      <c r="CC21" s="1376">
        <f ca="1">INDIRECT("'Quantifiable Component "&amp;$B21&amp;"'!"&amp;$D21&amp;ROW('Quantifiable Component 1'!$69:$69))</f>
        <v>0</v>
      </c>
      <c r="CD21" s="1376">
        <f ca="1">INDIRECT("'Quantifiable Component "&amp;$B21&amp;"'!"&amp;$D21&amp;ROW('Quantifiable Component 1'!$72:$72))</f>
        <v>0</v>
      </c>
      <c r="CE21" s="1373">
        <f ca="1">INDIRECT("'Quantifiable Component "&amp;$B21&amp;"'!"&amp;$D21&amp;ROW('Quantifiable Component 1'!$74:$74))</f>
        <v>0</v>
      </c>
      <c r="CF21" s="306">
        <f ca="1">INDIRECT("'Quantifiable Component "&amp;$B21&amp;"'!"&amp;$D21&amp;ROW('Quantifiable Component 1'!$73:$73))</f>
        <v>0</v>
      </c>
      <c r="CG21" s="306" t="str">
        <f t="shared" ca="1" si="18"/>
        <v>0_0</v>
      </c>
      <c r="CH21" s="1373" t="str">
        <f ca="1">IFERROR(VLOOKUP($CD21,'GHG EF'!$B$10:$H$19,2,0)*VLOOKUP($CD21,'GHG EF'!$B$10:$H$19,3,0),"")</f>
        <v/>
      </c>
      <c r="CI21" s="1373" t="str">
        <f t="shared" ca="1" si="19"/>
        <v/>
      </c>
      <c r="CJ21" s="1373" t="str">
        <f t="shared" ca="1" si="20"/>
        <v/>
      </c>
      <c r="CK21" s="1378" t="str">
        <f ca="1">IF($F21=Defaults!$M$2, $BB21+IF($CA21="",0,$CA21)+IF($CJ21="",0,$CJ21), IF($F21=Defaults!$M$4,$CB21+IF($CJ21="",0,$CJ21),IF($F21=Defaults!$M$3,$AB21+IF($CJ21="",0,$CJ21), IF($F21=Defaults!$M$5,$CJ21,""))))</f>
        <v/>
      </c>
      <c r="CL21" s="1643">
        <f t="shared" ref="CL21" ca="1" si="23">SUM(CK21:CK23)</f>
        <v>0</v>
      </c>
    </row>
    <row r="22" spans="1:90" s="117" customFormat="1" ht="15.5" x14ac:dyDescent="0.35">
      <c r="A22" s="1647"/>
      <c r="B22" s="1367">
        <v>4</v>
      </c>
      <c r="C22" s="1368">
        <v>2</v>
      </c>
      <c r="D22" s="1368" t="str">
        <f>SUBSTITUTE(ADDRESS(1,COLUMN('Quantifiable Component 1'!H:H),4),"1","")</f>
        <v>H</v>
      </c>
      <c r="E22" s="1368" t="str">
        <f t="shared" si="0"/>
        <v>Quantifiable Component 4H</v>
      </c>
      <c r="F22" s="306">
        <f ca="1">INDIRECT("'Quantifiable Component "&amp;$B22&amp;"'!"&amp;$D22&amp;ROW('Quantifiable Component 1'!$28:$28))</f>
        <v>0</v>
      </c>
      <c r="G22" s="306">
        <f ca="1">INDIRECT("'Quantifiable Component "&amp;$B22&amp;"'!"&amp;$D22&amp;ROW('Quantifiable Component 1'!$29:$29))</f>
        <v>0</v>
      </c>
      <c r="H22" s="306">
        <f ca="1">INDIRECT("'Quantifiable Component "&amp;$B22&amp;"'!"&amp;$D22&amp;ROW('Quantifiable Component 1'!$32:$32))</f>
        <v>0</v>
      </c>
      <c r="I22" s="306">
        <f ca="1">INDIRECT("'Quantifiable Component "&amp;$B22&amp;"'!"&amp;$D22&amp;ROW('Quantifiable Component 1'!$33:$33))</f>
        <v>0</v>
      </c>
      <c r="J22" s="306">
        <f ca="1">INDIRECT("'Quantifiable Component "&amp;$B22&amp;"'!"&amp;$D22&amp;ROW('Quantifiable Component 1'!$31:$31))</f>
        <v>0</v>
      </c>
      <c r="K22" s="306" t="str">
        <f t="shared" ca="1" si="1"/>
        <v>0_0</v>
      </c>
      <c r="L22" s="306" t="str">
        <f t="shared" ca="1" si="2"/>
        <v>0_0</v>
      </c>
      <c r="M22" s="306">
        <f ca="1">INDIRECT("'Quantifiable Component "&amp;$B22&amp;"'!"&amp;$D22&amp;ROW('Quantifiable Component 1'!$37:$37))</f>
        <v>0</v>
      </c>
      <c r="N22" s="1369" t="str">
        <f ca="1">IFERROR(VLOOKUP((CONCATENATE(J22,"_",H22)),'Auto GHG'!$C$41:$D$2668,2,0),"")</f>
        <v/>
      </c>
      <c r="O22" s="306">
        <f ca="1">INDIRECT("'Quantifiable Component "&amp;$B22&amp;"'!"&amp;$D22&amp;ROW('Quantifiable Component 1'!$38:$38))</f>
        <v>0</v>
      </c>
      <c r="P22" s="1369" t="str">
        <f ca="1">IFERROR(IF(I22&lt;=2050,VLOOKUP((CONCATENATE(J22,"_",I22)),'Auto GHG'!$C$41:$D$2668,2,),VLOOKUP((CONCATENATE(J22,"_",2050)),'Auto GHG'!$C$41:$D$2668,2,)),"")</f>
        <v/>
      </c>
      <c r="Q22" s="306">
        <f ca="1">INDIRECT("'Quantifiable Component "&amp;$B22&amp;"'!"&amp;$D22&amp;ROW('Quantifiable Component 1'!$39:$39))</f>
        <v>0</v>
      </c>
      <c r="R22" s="306">
        <f ca="1">INDIRECT("'Quantifiable Component "&amp;$B22&amp;"'!"&amp;$D22&amp;ROW('Quantifiable Component 1'!$40:$40))</f>
        <v>0</v>
      </c>
      <c r="S22" s="306"/>
      <c r="T22" s="306"/>
      <c r="U22" s="1370">
        <f t="shared" ca="1" si="3"/>
        <v>0</v>
      </c>
      <c r="V22" s="1371" t="str">
        <f t="shared" ca="1" si="4"/>
        <v/>
      </c>
      <c r="W22" s="1370">
        <f t="shared" ca="1" si="5"/>
        <v>0</v>
      </c>
      <c r="X22" s="1370" t="str">
        <f t="shared" ca="1" si="6"/>
        <v/>
      </c>
      <c r="Y22" s="1372">
        <f ca="1">IFERROR(('GHG Calcs'!U22+'GHG Calcs'!W22)/2,"")</f>
        <v>0</v>
      </c>
      <c r="Z22" s="1372">
        <f t="shared" ca="1" si="7"/>
        <v>0</v>
      </c>
      <c r="AA22" s="1370" t="str">
        <f t="shared" ca="1" si="8"/>
        <v/>
      </c>
      <c r="AB22" s="1370" t="str">
        <f ca="1">IF(OR(F22=Defaults!$M$3,F22=Defaults!$M$3),AA22,"")</f>
        <v/>
      </c>
      <c r="AC22" s="306">
        <f ca="1">INDIRECT("'Quantifiable Component "&amp;$B22&amp;"'!"&amp;$D22&amp;ROW('Quantifiable Component 1'!$46:$46))</f>
        <v>0</v>
      </c>
      <c r="AD22" s="306">
        <f ca="1">INDIRECT("'Quantifiable Component "&amp;$B22&amp;"'!"&amp;$D22&amp;ROW('Quantifiable Component 1'!$49:$49))</f>
        <v>0</v>
      </c>
      <c r="AE22" s="1373">
        <f ca="1">INDIRECT("'Quantifiable Component "&amp;$B22&amp;"'!"&amp;$D22&amp;ROW('Quantifiable Component 1'!$54:$54))</f>
        <v>0</v>
      </c>
      <c r="AF22" s="306" t="str">
        <f ca="1">IFERROR(IF(ISBLANK(INDIRECT("'Quantifiable Component "&amp;$B22&amp;"'!"&amp;$D22&amp;ROW('Quantifiable Component 1'!$52:$52))),VLOOKUP($AD22,'GHG EF'!$B$10:$H$19,3,0),INDIRECT("'Quantifiable Component "&amp;$B22&amp;"'!"&amp;$D22&amp;ROW('Quantifiable Component 1'!$52:$52))),"")</f>
        <v/>
      </c>
      <c r="AG22" s="306">
        <f ca="1">INDIRECT("'Quantifiable Component "&amp;$B22&amp;"'!"&amp;$D22&amp;ROW('Quantifiable Component 1'!$51:$51))</f>
        <v>0</v>
      </c>
      <c r="AH22" s="306" t="str">
        <f t="shared" ca="1" si="9"/>
        <v>0_0</v>
      </c>
      <c r="AI22" s="1373">
        <f ca="1">INDIRECT("'Quantifiable Component "&amp;$B22&amp;"'!"&amp;$D22&amp;ROW('Quantifiable Component 1'!$53:$53))</f>
        <v>0</v>
      </c>
      <c r="AJ22" s="306" t="str">
        <f ca="1">IF(AND(AI22&gt;0,OR(AD22=Defaults!$I$5,AD22=Defaults!$I$11)), IF(AC22="Transit Bus",VLOOKUP(AH22,'Fuel Consumption'!$A$31:$L$2316,5,0), IF(AC22="Van",VLOOKUP(AH22,'Fuel Consumption'!$A$31:$L$2316,8,0), IF(AC22="Cut-A-Way",VLOOKUP(AH22,'Fuel Consumption'!$A$31:$L$2316,11,0), IF(AC22="Over-Road Coach",VLOOKUP(AH22,'Fuel Consumption'!$A$31:$L$2316,12,0)*VLOOKUP(AD22,'GHG EF'!$B$10:$H$19,4,0),IF(AC22="Heavy Rail",'Rail C&amp;T EF'!$K$14*'GHG EF'!$C$12/'GHG EF'!$C$13/4.6, IF(AC22="DMU / EMU",'Rail C&amp;T EF'!$B$149*'GHG EF'!$C$12/'GHG EF'!$C$13/3.3, IF(AC22="Light Rail",'Rail C&amp;T EF'!$K$14*'GHG EF'!$C$12/'GHG EF'!$C$13/3.3, IF(AC22="Streetcar",'Rail C&amp;T EF'!$K$14*'GHG EF'!$C$12/'GHG EF'!$C$13/3.1,0)))))))),"")</f>
        <v/>
      </c>
      <c r="AK22" s="306" t="b">
        <f ca="1">IF(AI22&gt;0,IF(OR(AD22=Defaults!$I$3,AD22=Defaults!$I$4,AD22=Defaults!$I$6,AD22=Defaults!$I$8),IF(AC22="Transit Bus",IF(AD22="Gasoline",VLOOKUP(AH22,'Fuel Consumption'!$A$31:$L$2316,3),IF(OR(AD22="CNG",AD22="LNG"),VLOOKUP(AH22,'Fuel Consumption'!$A$31:$L$2316,4),VLOOKUP(AH22,'Fuel Consumption'!$A$31:$L$2316,2))),IF(AC22="Van",IF(OR(AD22="Diesel",AD22="Renewable Diesel",AD22="Biodiesel"),VLOOKUP(AH22,'Fuel Consumption'!$A$31:$L$2316,6),IF(OR(AD22="CNG",AD22="LNG"),VLOOKUP(AH22,'Fuel Consumption'!$A$31:$L$2316,7)*VLOOKUP(AD22,'GHG EF'!$B$10:$H$19,5,0),VLOOKUP(AH22,'Fuel Consumption'!$A$31:$L$2316,7))),IF(AC22="Cut-A-Way",IF(OR(AD22="Diesel",AD22="Renewable Diesel",AD22="Biodiesel"),VLOOKUP(AH22,'Fuel Consumption'!$A$31:$L$2316,9),IF(OR(AD22="CNG",AD22="LNG"),VLOOKUP(AH22,'Fuel Consumption'!$A$31:$L$2316,10)*VLOOKUP(AD22,'GHG EF'!$B$10:$H$19,5,0),VLOOKUP(AH22,'Fuel Consumption'!$A$31:$L$2316,10))),IF(AC22="Over-Road Coach",VLOOKUP(AH22,'Fuel Consumption'!$A$31:$L$2316,12),IF(AC22="Heavy Rail",'Rail C&amp;T EF'!$K$14,IF(AC22="DMU / EMU",'Rail C&amp;T EF'!$B$149,"")))))*IF(AD22=Defaults!$I$3,1/'GHG EF'!$I$11,1)*IF(AD22=Defaults!$I$8,1/'GHG EF'!$I$16,1)),""))</f>
        <v>0</v>
      </c>
      <c r="AL22" s="306" t="str">
        <f ca="1">IF(AI22&gt;0,IF(AC22="Transit Bus",IF(AD22="Gasoline",VLOOKUP(AH22,'Fuel Consumption'!$A$31:$L$2316,3,0)*VLOOKUP(AD22,'GHG EF'!$B$10:$H$19,5,0),IF(OR(AD22="LNG",AD22="CNG",AD22="Renewable Natural Gas"),VLOOKUP(AH22,'Fuel Consumption'!$A$31:$L$2316,4)*VLOOKUP(AD22,'GHG EF'!$B$10:$H$19,4,0),IF(OR(AD22="Electric",AD22="Renewable Electricity"),VLOOKUP(AH22,'Fuel Consumption'!$A$31:$L$2316,5,0),IF(AD22="Hydrogen Fuel Cell",VLOOKUP(AH22,'Fuel Consumption'!$A$31:$L$2316,5,0)*'GHG EF'!$C$13/'GHG EF'!$C$15*'GHG EF'!$I$13/'GHG EF'!$I$15,VLOOKUP(AH22,'Fuel Consumption'!$A$31:$L$2316,2,0)*VLOOKUP(AD22,'GHG EF'!$B$10:$H$19,4,0))))),
IF(AC22="Van",IF(OR(AD22="Diesel",AD22="Renewable Diesel",AD22="Biodiesel"),VLOOKUP(AH22,'Fuel Consumption'!$A$31:$L$2316,6,0)*VLOOKUP(AD22,'GHG EF'!$B$10:$H$19,4,0),IF(OR(AD22="LNG",AD22="CNG",AD22="Renewable Natural Gas"),VLOOKUP(AH22,'Fuel Consumption'!$A$31:$L$2316,7)*VLOOKUP(AD22,'GHG EF'!$B$10:$H$19,5,0),IF(OR(AD22="Electric",AD22="Renewable Electricity"),VLOOKUP(AH22,'Fuel Consumption'!$A$31:$L$2316,8,0),IF(AD22="Hydrogen Fuel Cell",VLOOKUP(AH22,'Fuel Consumption'!$A$31:$L$2316,8,0)*'GHG EF'!$C$13/'GHG EF'!$C$15*'GHG EF'!$J$13/'GHG EF'!$J$15,VLOOKUP(AH22,'Fuel Consumption'!$A$31:$L$2316,7,0)*VLOOKUP(AD22,'GHG EF'!$B$10:$H$19,5,0))))),
IF(AC22="Cut-A-Way",IF(OR(AD22="Diesel",AD22="Renewable Diesel",AD22="Biodiesel"),VLOOKUP(AH22,'Fuel Consumption'!$A$31:$L$2316,9,0)*VLOOKUP(AD22,'GHG EF'!$B$10:$H$19,4,0),IF(OR(AD22="LNG",AD22="CNG",AD22="Renewable Natural Gas"),VLOOKUP(AH22,'Fuel Consumption'!$A$31:$L$2316,10)*VLOOKUP(AD22,'GHG EF'!$B$10:$H$19,5,0),IF(OR(AD22="Electric",AD22="Renewable Electricity"),VLOOKUP(AH22,'Fuel Consumption'!$A$31:$L$2316,11,0),IF(AD22="Hydrogen Fuel Cell",VLOOKUP(AH22,'Fuel Consumption'!$A$31:$L$2316,11,0)*'GHG EF'!$C$13/'GHG EF'!$C$15*'GHG EF'!$J$13/'GHG EF'!$J$15,VLOOKUP(AH22,'Fuel Consumption'!$A$31:$L$2316,10,0)*VLOOKUP(AD22,'GHG EF'!$B$10:$H$19,5,0))))),
IF(AC22="Over-Road Coach",VLOOKUP(AH22,'Fuel Consumption'!$A$31:$L$2316,12,0)*VLOOKUP(AD22,'GHG EF'!$B$10:$H$19,4,0),IF(AC22="Heavy Rail",IF(OR(AD22=Defaults!$I$5,AD22=Defaults!$I$11),'Rail C&amp;T EF'!$K$14*'GHG EF'!$C$12/'GHG EF'!$C$13/4.6,'Rail C&amp;T EF'!$K$14*VLOOKUP(AD22,'GHG EF'!$B$10:$H$19,4,0)),IF(AC22="DMU / EMU",IF(OR(AD22=Defaults!$I$5,AD22=Defaults!$I$11),'Rail C&amp;T EF'!$B$149*'GHG EF'!$C$12/'GHG EF'!$C$13/3.3,'Rail C&amp;T EF'!$B$149*VLOOKUP(AD22,'GHG EF'!$B$10:$H$19,4,0)),IF(AC22="Light Rail",'Rail C&amp;T EF'!$K$14*'GHG EF'!$C$12/'GHG EF'!$C$13/3.3,IF(AC22="Streetcar",'Rail C&amp;T EF'!$K$14*'GHG EF'!$C$12/'GHG EF'!$C$13/3.1,"")))))))),"")</f>
        <v/>
      </c>
      <c r="AM22" s="306" t="str">
        <f ca="1">IFERROR((IF(AD22="Gasoline",VLOOKUP(AH22,'Fuel Consumption'!$A$31:$L$2316,3,0)*VLOOKUP(AD22,'GHG EF'!$B$10:$H$19,5,0), IF(OR(AD22="CNG",AD22="LNG",AD22="Renewable Natural Gas"),VLOOKUP(AH22,'Fuel Consumption'!$A$31:$L$2316,4,0)*VLOOKUP(AD22,'GHG EF'!$B$10:$H$19,4,0),IF(OR(AD22="Electric",AD22="Renewable Electricity"),VLOOKUP(AH22,'Fuel Consumption'!$A$31:$L$2316,5,0),IF(AD22="Hydrogen Fuel Cell",VLOOKUP(AH22,'Fuel Consumption'!$A$31:$L$2316,5,0)*'GHG EF'!$C$13/'GHG EF'!$C$15*'GHG EF'!$I$13/'GHG EF'!$I$15,VLOOKUP(AH22,'Fuel Consumption'!$A$31:$L$2316,2,0)*VLOOKUP(AD22,'GHG EF'!$B$10:$H$19,4,0))))) * VLOOKUP(AD22,'GHG EF'!$B$10:$H$19,2,0) * AF22),"")</f>
        <v/>
      </c>
      <c r="AN22" s="306" t="str">
        <f ca="1">IFERROR((IF(OR(AD22="Diesel",AD22="Renewable Diesel",AD22="Biodiesel"),VLOOKUP(AH22,'Fuel Consumption'!$A$31:$L$2316,6,0)*VLOOKUP(AD22,'GHG EF'!$B$10:$H$19,4,0),IF(OR(AD22="CNG",AD22="LNG",AD22="Renewable Natural Gas"),VLOOKUP(AH22,'Fuel Consumption'!$A$31:$L$2316,7,0)*VLOOKUP(AD22,'GHG EF'!$B$10:$H$19,5,0),IF(OR(AD22="Electric",AD22="Renewable Electricity"),VLOOKUP(AH22,'Fuel Consumption'!$A$31:$L$2316,8,0),IF(AD22="Hydrogen Fuel Cell",VLOOKUP(AH22,'Fuel Consumption'!$A$31:$L$2316,8,0)*'GHG EF'!$C$13/'GHG EF'!$C$15*'GHG EF'!$J$13/'GHG EF'!$J$15,VLOOKUP(AH22,'Fuel Consumption'!$A$31:$L$2316,7,0)*VLOOKUP(AD22,'GHG EF'!$B$10:$H$19,5,0)))))*VLOOKUP(AD22,'GHG EF'!$B$10:$H$19,2,0)*AF22),"")</f>
        <v/>
      </c>
      <c r="AO22" s="306" t="str">
        <f ca="1">IFERROR((IF(OR(AD22="Diesel",AD22="Renewable Diesel",AD22="Biodiesel"),VLOOKUP(AH22,'Fuel Consumption'!$A$31:$L$2316,9,0)*VLOOKUP(AD22,'GHG EF'!$B$10:$H$19,4,0),IF(OR(AD22="CNG",AD22="LNG",AD22="Renewable Natural Gas"),VLOOKUP(AH22,'Fuel Consumption'!$A$31:$L$2316,10,0)*VLOOKUP(AD22,'GHG EF'!$B$10:$H$19,5,0),IF(OR(AD22="Electric",AD22="Renewable Electricity"),VLOOKUP(AH22,'Fuel Consumption'!$A$31:$L$2316,11,0),IF(AD22="Hydrogen Fuel Cell",VLOOKUP(AH22,'Fuel Consumption'!$A$31:$L$2316,11,0)*'GHG EF'!$C$13/'GHG EF'!$C$15*'GHG EF'!$J$13/'GHG EF'!$J$15,VLOOKUP(AH22,'Fuel Consumption'!$A$31:$L$2316,10,0)*VLOOKUP(AD22,'GHG EF'!$B$10:$H$19,5,0))))) * VLOOKUP(AD22,'GHG EF'!$B$10:$H$19,2,0) * AF22),"")</f>
        <v/>
      </c>
      <c r="AP22" s="306" t="str">
        <f ca="1">IFERROR(VLOOKUP(AH22,'Fuel Consumption'!$A$31:$L$2316,12,0)*VLOOKUP(AD22,'GHG EF'!$B$10:$H$19,4,0) * VLOOKUP(AD22,'GHG EF'!$B$10:$H$19,2,0) * AF22,"")</f>
        <v/>
      </c>
      <c r="AQ22" s="1374" t="str">
        <f ca="1">IFERROR(IF(OR(AD22=Defaults!$I$5,AD22=Defaults!$I$11), 'GHG EF'!$C$13*'GHG EF'!$C$12/'GHG EF'!$C$13/4.6, VLOOKUP(AD22,'GHG EF'!$B$10:$H$19,4,0)*VLOOKUP(AD22,'GHG EF'!$B$10:$H$19,2,0))*AF22*'Rail C&amp;T EF'!$K$14,"")</f>
        <v/>
      </c>
      <c r="AR22" s="1374" t="str">
        <f ca="1">IFERROR(IF(OR(AD22=Defaults!$I$5,AD22=Defaults!$I$11), 'GHG EF'!$C$13*'GHG EF'!$C$12/'GHG EF'!$C$13/3.3, VLOOKUP(AD22,'GHG EF'!$B$10:$H$19,4,0)*VLOOKUP(AD22,'GHG EF'!$B$10:$H$19,2,0))*AF22*'Rail C&amp;T EF'!$B$149,"")</f>
        <v/>
      </c>
      <c r="AS22" s="1374" t="str">
        <f ca="1">IFERROR(VLOOKUP(AD22,'GHG EF'!$B$10:$H$19,2,0)*AF22,"")</f>
        <v/>
      </c>
      <c r="AT22" s="1374" t="str">
        <f ca="1">IF(OR(AD22=Defaults!$I$5,AD22=Defaults!$I$10),'GHG EF'!$C$13*AF22*'GHG EF'!$C$12/'GHG EF'!$C$13/3.3*'Rail C&amp;T EF'!$K$14,"")</f>
        <v/>
      </c>
      <c r="AU22" s="1374" t="str">
        <f ca="1">IF(OR(AD22=Defaults!$I$5,AD22=Defaults!$I$10),'GHG EF'!$C$13*AF22*'GHG EF'!$C$12/'GHG EF'!$C$13/3.1*'Rail C&amp;T EF'!$K$14,"")</f>
        <v/>
      </c>
      <c r="AV22" s="1374">
        <f ca="1">IF(OR($AD22=Defaults!$I$5, $AD22=Defaults!$I$7, $AD22=Defaults!$I$11),Defaults!$G$15,INDIRECT("'Quantifiable Component "&amp;$B22&amp;"'!"&amp;$D22&amp;ROW('Quantifiable Component 1'!$50:$50)))</f>
        <v>0</v>
      </c>
      <c r="AW22" s="1374" t="str">
        <f ca="1">IFERROR((IF(AND(AV22="yes",NOT(AD22=Defaults!$I$5),NOT(AD22=Defaults!$I$7),NOT(AD22=Defaults!$I$11)),0.8,1))*(IF(AC22="Transit Bus",AM22,IF(AC22="Van",AN22,IF(AC22="Cut-A-Way",AO22,IF(AC22="Over-Road Coach",AP22,IF(AC22="Heavy Rail",AQ22,IF(AC22="DMU / EMU",AR22,IF(AC22="Ferry",AS22,IF(AC22="Light Rail",AT22,AU22))))))))),"")</f>
        <v/>
      </c>
      <c r="AX22" s="1374" t="str">
        <f ca="1">IFERROR(VLOOKUP($AD22,'GHG EF'!$B$10:$H$19,2,0)*AF22,"")</f>
        <v/>
      </c>
      <c r="AY22" s="1375" t="str">
        <f t="shared" ca="1" si="10"/>
        <v/>
      </c>
      <c r="AZ22" s="1374" t="str">
        <f t="shared" ca="1" si="11"/>
        <v/>
      </c>
      <c r="BA22" s="1375" t="str">
        <f ca="1">IFERROR(IF(G22=Defaults!$F$2,0,IF(AZ22&gt;0,AZ22*(I22-H22),AY22*(I22-H22))),"")</f>
        <v/>
      </c>
      <c r="BB22" s="1373" t="str">
        <f t="shared" ca="1" si="12"/>
        <v/>
      </c>
      <c r="BC22" s="1376">
        <f ca="1">INDIRECT("'Quantifiable Component "&amp;$B22&amp;"'!"&amp;$D22&amp;ROW('Quantifiable Component 1'!$58:$58))</f>
        <v>0</v>
      </c>
      <c r="BD22" s="306">
        <f ca="1">INDIRECT("'Quantifiable Component "&amp;$B22&amp;"'!"&amp;$D22&amp;ROW('Quantifiable Component 1'!$61:$61))</f>
        <v>0</v>
      </c>
      <c r="BE22" s="306">
        <f ca="1">INDIRECT("'Quantifiable Component "&amp;$B22&amp;"'!"&amp;$D22&amp;ROW('Quantifiable Component 1'!$66:$66))</f>
        <v>0</v>
      </c>
      <c r="BF22" s="306" t="str">
        <f ca="1">IFERROR(IF(ISBLANK(INDIRECT("'Quantifiable Component "&amp;$B22&amp;"'!"&amp;$D22&amp;ROW('Quantifiable Component 1'!$64:$64))),VLOOKUP($BD22,'GHG EF'!$B$10:$H$19,3,0),INDIRECT("'Quantifiable Component "&amp;$B22&amp;"'!"&amp;$D22&amp;ROW('Quantifiable Component 1'!$64:$64))),"")</f>
        <v/>
      </c>
      <c r="BG22" s="306">
        <f ca="1">INDIRECT("'Quantifiable Component "&amp;$B22&amp;"'!"&amp;$D22&amp;ROW('Quantifiable Component 1'!$63:$63))</f>
        <v>0</v>
      </c>
      <c r="BH22" s="1373">
        <f ca="1">INDIRECT("'Quantifiable Component "&amp;$B22&amp;"'!"&amp;$D22&amp;ROW('Quantifiable Component 1'!$65:$65))</f>
        <v>0</v>
      </c>
      <c r="BI22" s="306" t="str">
        <f ca="1">IF(AND(BH22&gt;0,OR(BD22=Defaults!$I$5,BD22=Defaults!$I$11)), IF(BC22="Transit Bus",VLOOKUP(BL22,'Fuel Consumption'!$A$31:$L$2316,5,0), IF(BC22="Van",VLOOKUP(BL22,'Fuel Consumption'!$A$31:$L$2316,8,0), IF(BC22="Cut-A-Way",VLOOKUP(BL22,'Fuel Consumption'!$A$31:$L$2316,11,0), IF(BC22="Over-Road Coach",VLOOKUP(BL22,'Fuel Consumption'!$A$31:$L$2316,12,0)*VLOOKUP(BD22,'GHG EF'!$B$10:$H$19,4,0),IF(BC22="Heavy Rail",'Rail C&amp;T EF'!$K$14*'GHG EF'!$C$12/'GHG EF'!$C$13/4.6, IF(BC22="DMU / EMU",'Rail C&amp;T EF'!$B$149*'GHG EF'!$C$12/'GHG EF'!$C$13/3.3, IF(BC22="Light Rail",'Rail C&amp;T EF'!$K$14*'GHG EF'!$C$12/'GHG EF'!$C$13/3.3, IF(BC22="Streetcar",'Rail C&amp;T EF'!$K$14*'GHG EF'!$C$12/'GHG EF'!$C$13/3.1,0)))))))),"")</f>
        <v/>
      </c>
      <c r="BJ22" s="306" t="str">
        <f ca="1">IF(BH22&gt;0,IF(OR(BD22=Defaults!$I$3,BD22=Defaults!$I$4, BD22=Defaults!$I$6, BD22=Defaults!$I$8),IF(BC22="Transit Bus",IF(BD22="Gasoline",VLOOKUP(BL22,'Fuel Consumption'!$A$31:$L$2316,3), IF(OR(BD22="CNG",BD22="LNG"),VLOOKUP(BL22,'Fuel Consumption'!$A$31:$L$2316,4,0),VLOOKUP(BL22,'Fuel Consumption'!$A$31:$L$2316,2))), IF(BC22="Van",IF(OR(BD22="Diesel",BD22="Renewable Diesel",BD22="Biodiesel"),VLOOKUP(BL22,'Fuel Consumption'!$A$31:$L$2316,6),IF(OR(BD22="CNG",BD22="LNG"),VLOOKUP(BL22,'Fuel Consumption'!$A$31:$L$2316,7,0)*VLOOKUP(BD22,'GHG EF'!$B$10:$H$19,5,0), VLOOKUP(BL22,'Fuel Consumption'!$A$31:$L$2316,7))), IF(BC22="Cut-A-Way",IF(OR(BD22="Diesel",BD22="Renewable Diesel",BD22="Biodiesel"),VLOOKUP(BL22,'Fuel Consumption'!$A$31:$L$2316,9),IF(OR(BD22="CNG",BD22="LNG"),VLOOKUP(BL22,'Fuel Consumption'!$A$31:$L$2316,10,0)*VLOOKUP(BD22,'GHG EF'!$B$10:$H$19,5,0), VLOOKUP(BL22,'Fuel Consumption'!$A$31:$L$2316,10))), IF(BC22="Over-Road Coach",VLOOKUP(BL22,'Fuel Consumption'!$A$31:$L$2316,12),IF(BC22="Heavy Rail",'Rail C&amp;T EF'!$K$14, IF(BC22="DMU / EMU",'Rail C&amp;T EF'!$B$149,"")))))) * IF(BD22=Defaults!$I$3,1/'GHG EF'!$I$11,1) * IF(BD22=Defaults!$I$8,1/'GHG EF'!$I$16,1),""),"")</f>
        <v/>
      </c>
      <c r="BK22" s="306" t="str">
        <f ca="1">IF(BH22&gt;0,IF(BC22="Transit Bus",IF(BD22="Gasoline",VLOOKUP(BL22,'Fuel Consumption'!$A$31:$L$2316,3,0)*VLOOKUP(BD22,'GHG EF'!$B$10:$H$19,5,0),IF(OR(BD22="CNG",BD22="LNG",BD22="Renewable Natural Gas"),VLOOKUP(BL22,'Fuel Consumption'!$A$31:$L$2316,4,0)*VLOOKUP(BD22,'GHG EF'!$B$10:$H$19,4,0), IF(OR(BD22="Electric",BD22="Renewable Electricity"),VLOOKUP(BL22,'Fuel Consumption'!$A$31:$L$2316,5,0),IF(BD22="Hydrogen Fuel Cell",VLOOKUP(BL22,'Fuel Consumption'!$A$31:$L$2316,5,0)*'GHG EF'!$C$13/'GHG EF'!$C$15*'GHG EF'!$I$13/'GHG EF'!$I$15, VLOOKUP(BL22,'Fuel Consumption'!$A$31:$L$2316,2,0)*VLOOKUP(BD22,'GHG EF'!$B$10:$H$19,4,0))))),
IF(BC22="Van",IF(OR(BD22="Diesel",BD22="Renewable Diesel",BD22="Biodiesel"),VLOOKUP(BL22,'Fuel Consumption'!$A$31:$L$2316,6,0)*VLOOKUP(BD22,'GHG EF'!$B$10:$H$19,4,0), IF(OR(BD22="CNG",BD22="LNG",BD22="Renewable Natural Gas"),VLOOKUP(BL22,'Fuel Consumption'!$A$31:$L$2316,7,0)*VLOOKUP(BD22,'GHG EF'!$B$10:$H$19,5,0), IF(OR(BD22="Electric",BD22="Renewable Electricity"),VLOOKUP(BL22,'Fuel Consumption'!$A$31:$L$2316,8,0),IF(BD22="Hydrogen Fuel Cell",VLOOKUP(BL22,'Fuel Consumption'!$A$31:$L$2316,8,0)*'GHG EF'!$C$13/'GHG EF'!$C$15*'GHG EF'!$J$13/'GHG EF'!$J$15,VLOOKUP(BL22,'Fuel Consumption'!$A$31:$L$2316,7,0)*VLOOKUP(BD22,'GHG EF'!$B$10:$H$19,5,0))))),
IF(BC22="Cut-A-Way",IF(OR(BD22="Diesel",BD22="Renewable Diesel",BD22="Biodiesel"),VLOOKUP(BL22,'Fuel Consumption'!$A$31:$L$2316,9,0)*VLOOKUP(BD22,'GHG EF'!$B$10:$H$19,4,0),IF(OR(BD22="CNG",BD22="LNG",BD22="Renewable Natural Gas"),VLOOKUP(BL22,'Fuel Consumption'!$A$31:$L$2316,10,0)*VLOOKUP(BD22,'GHG EF'!$B$10:$H$19,5,0), IF(OR(BD22="Electric",BD22="Renewable Electricity"),VLOOKUP(BL22,'Fuel Consumption'!$A$31:$L$2316,11,0),IF(BD22="Hydrogen Fuel Cell",VLOOKUP(BL22,'Fuel Consumption'!$A$31:$L$2316,11,0)*'GHG EF'!$C$13/'GHG EF'!$C$15*'GHG EF'!$J$13/'GHG EF'!$J$15, VLOOKUP(BL22,'Fuel Consumption'!$A$31:$L$2316,10,0)*VLOOKUP(BD22,'GHG EF'!$B$10:$H$19,5,0))))),
IF(BC22="Over-Road Coach",VLOOKUP(BL22,'Fuel Consumption'!$A$31:$L$2316,12,0)*VLOOKUP(BD22,'GHG EF'!$B$10:$H$19,4,0),IF(BC22="Heavy Rail",IF(OR(BD22=Defaults!$I$5,BD22=Defaults!$I$11), 'Rail C&amp;T EF'!$K$14*'GHG EF'!$C$12/'GHG EF'!$C$13/4.6, 'Rail C&amp;T EF'!$K$14*VLOOKUP(BD22,'GHG EF'!$B$10:$H$19,4,0)),IF(BC22="DMU / EMU",IF(OR(BD22=Defaults!$I$5,BD22=Defaults!$I$11), 'Rail C&amp;T EF'!$B$149*'GHG EF'!$C$12/'GHG EF'!$C$13/3.3, 'Rail C&amp;T EF'!$B$149*VLOOKUP(BD22,'GHG EF'!$B$10:$H$19,4,0)),IF(BC22="Light Rail",'Rail C&amp;T EF'!$K$14*'GHG EF'!$C$12/'GHG EF'!$C$13/3.3,IF(BC22="Streetcar",'Rail C&amp;T EF'!$K$14*'GHG EF'!$C$12/'GHG EF'!$C$13/3.1,"")))))))),"")</f>
        <v/>
      </c>
      <c r="BL22" s="306" t="str">
        <f t="shared" ca="1" si="13"/>
        <v>0_0</v>
      </c>
      <c r="BM22" s="306" t="str">
        <f ca="1">IFERROR((IF(BD22="Gasoline",VLOOKUP(BL22,'Fuel Consumption'!$A$31:$L$2316,3,0)*VLOOKUP(BD22,'GHG EF'!$B$10:$H$19,5,0), IF(OR(BD22="CNG",BD22="LNG",BD22="Renewable Natural Gas"),VLOOKUP(BL22,'Fuel Consumption'!$A$31:$L$2316,4,0)*VLOOKUP(BD22,'GHG EF'!$B$10:$H$19,4,0),IF(OR(BD22="Electric",BD22="Renewable Electricity"),VLOOKUP(BL22,'Fuel Consumption'!$A$31:$L$2316,5,0),IF(BD22="Hydrogen Fuel Cell",VLOOKUP(BL22,'Fuel Consumption'!$A$31:$L$2316,5,0)*'GHG EF'!$C$13/'GHG EF'!$C$15*'GHG EF'!$I$13/'GHG EF'!$I$15,VLOOKUP(BL22,'Fuel Consumption'!$A$31:$L$2316,2,0)*VLOOKUP(BD22,'GHG EF'!$B$10:$H$19,4,0))))) * VLOOKUP(BD22,'GHG EF'!$B$10:$H$19,2,0) * BF22),"")</f>
        <v/>
      </c>
      <c r="BN22" s="306" t="str">
        <f ca="1">IFERROR((IF(OR(BD22="Diesel",BD22="Renewable Diesel",BD22="Biodiesel"),VLOOKUP(BL22,'Fuel Consumption'!$A$31:$L$2316,6,0)*VLOOKUP(BD22,'GHG EF'!$B$10:$H$19,4,0),IF(OR(BD22="CNG",BD22="LNG",BD22="Renewable Natural Gas"),VLOOKUP(BL22,'Fuel Consumption'!$A$31:$L$2316,7,0)*VLOOKUP(BD22,'GHG EF'!$B$10:$H$19,5,0),IF(OR(BD22="Electric",BD22="Renewable Electricity"),VLOOKUP(BL22,'Fuel Consumption'!$A$31:$L$2316,8,0),IF(BD22="Hydrogen Fuel Cell",VLOOKUP(BL22,'Fuel Consumption'!$A$31:$L$2316,8,0)*'GHG EF'!$C$13/'GHG EF'!$C$15*'GHG EF'!$J$13/'GHG EF'!$J$15,VLOOKUP(BL22,'Fuel Consumption'!$A$31:$L$2316,7,0)*VLOOKUP(BD22,'GHG EF'!$B$10:$H$19,5,0)))))*VLOOKUP(BD22,'GHG EF'!$B$10:$H$19,2,0)*BF22),"")</f>
        <v/>
      </c>
      <c r="BO22" s="306" t="str">
        <f ca="1">IFERROR((IF(OR(BD22="Diesel",BD22="Renewable Diesel",BD22="Biodiesel"),VLOOKUP(BL22,'Fuel Consumption'!$A$31:$L$2316,9,0)*VLOOKUP(BD22,'GHG EF'!$B$10:$H$19,4,0),IF(OR(BD22="CNG",BD22="LNG",BD22="Renewable Natural Gas"),VLOOKUP(BL22,'Fuel Consumption'!$A$31:$L$2316,10,0)*VLOOKUP(BD22,'GHG EF'!$B$10:$H$19,5,0),IF(OR(BD22="Electric",BD22="Renewable Electricity"),VLOOKUP(BL22,'Fuel Consumption'!$A$31:$L$2316,11,0),IF(BD22="Hydrogen Fuel Cell",VLOOKUP(BL22,'Fuel Consumption'!$A$31:$L$2316,11,0)*'GHG EF'!$C$13/'GHG EF'!$C$15*'GHG EF'!$J$13/'GHG EF'!$J$15,VLOOKUP(BL22,'Fuel Consumption'!$A$31:$L$2316,10,0)*VLOOKUP(BD22,'GHG EF'!$B$10:$H$19,5,0))))) * VLOOKUP(BD22,'GHG EF'!$B$10:$H$19,2,0) * BF22),"")</f>
        <v/>
      </c>
      <c r="BP22" s="306" t="str">
        <f ca="1">IFERROR(VLOOKUP(BL22,'Fuel Consumption'!$A$31:$L$2316,12,0)*VLOOKUP(BD22,'GHG EF'!$B$10:$H$19,4,0) * VLOOKUP(BD22,'GHG EF'!$B$10:$H$19,2,0) * BF22,"")</f>
        <v/>
      </c>
      <c r="BQ22" s="1374" t="str">
        <f ca="1">IFERROR(IF(OR($BD22=Defaults!$I$5,$BD22=Defaults!$I$11), 'GHG EF'!$C$13*'GHG EF'!$C$12/'GHG EF'!$C$13/4.6, VLOOKUP(BD22,'GHG EF'!$B$10:$H$19,4,0)*VLOOKUP(BD22,'GHG EF'!$B$10:$H$19,2,0))*BF22*'Rail C&amp;T EF'!$K$14,"")</f>
        <v/>
      </c>
      <c r="BR22" s="1374" t="str">
        <f ca="1">IFERROR(IF(OR($BD22=Defaults!$I$5,$BD22=Defaults!$I$11), 'GHG EF'!$C$13*'GHG EF'!$C$12/'GHG EF'!$C$13/3.3, VLOOKUP(BD22,'GHG EF'!$B$10:$H$19,4,0)*VLOOKUP(BD22,'GHG EF'!$B$10:$H$19,2,0))*BF22*'Rail C&amp;T EF'!$B$149,"")</f>
        <v/>
      </c>
      <c r="BS22" s="1374" t="str">
        <f ca="1">IFERROR(VLOOKUP(BD22,'GHG EF'!$B$10:$H$19,2,0)*BF22,"")</f>
        <v/>
      </c>
      <c r="BT22" s="1374" t="str">
        <f ca="1">IF(OR($BD22=Defaults!$I$5,$BD22=Defaults!$I$10),'GHG EF'!$C$13*BF22*'GHG EF'!$C$12/'GHG EF'!$C$13/3.3*'Rail C&amp;T EF'!$K$14,"")</f>
        <v/>
      </c>
      <c r="BU22" s="1374" t="str">
        <f ca="1">IF(OR($BD22=Defaults!$I$5,$BD22=Defaults!$I$10),'GHG EF'!$C$13*BF22*'GHG EF'!$C$12/'GHG EF'!$C$13/3.1*'Rail C&amp;T EF'!$K$14,"")</f>
        <v/>
      </c>
      <c r="BV22" s="1374">
        <f ca="1">IF(OR($AD22=Defaults!$I$5, $AD22=Defaults!$I$7, $AD22=Defaults!$I$11),Defaults!$G$15,INDIRECT("'Quantifiable Component "&amp;$B22&amp;"'!"&amp;$D22&amp;ROW('Quantifiable Component 1'!$62:$62)))</f>
        <v>0</v>
      </c>
      <c r="BW22" s="1374" t="str">
        <f ca="1">IFERROR((IF(AND(BV22="yes",NOT(BD22=Defaults!$I$5),NOT(BD22=Defaults!$I$7),NOT(BD22=Defaults!$I$11)),0.8,1))*(IF(BC22="Transit Bus",BM22,IF(BC22="Van",BN22,IF(BC22="Cut-A-Way",BO22,IF(BC22="Over-Road Coach",BP22,IF(BC22="Heavy Rail",BQ22,IF(BC22="DMU / EMU",BR22,IF(BC22="Ferry",BS22,IF(BC22="Light Rail",BT22,BU22))))))))),"")</f>
        <v/>
      </c>
      <c r="BX22" s="1377" t="str">
        <f ca="1">IFERROR(VLOOKUP($BD22,'GHG EF'!$B$10:$H$19,2,0)*BF22,"")</f>
        <v/>
      </c>
      <c r="BY22" s="1377" t="str">
        <f t="shared" ca="1" si="14"/>
        <v/>
      </c>
      <c r="BZ22" s="1377" t="str">
        <f t="shared" ca="1" si="15"/>
        <v/>
      </c>
      <c r="CA22" s="1377" t="str">
        <f t="shared" ca="1" si="16"/>
        <v/>
      </c>
      <c r="CB22" s="1373" t="str">
        <f t="shared" ca="1" si="17"/>
        <v/>
      </c>
      <c r="CC22" s="1376">
        <f ca="1">INDIRECT("'Quantifiable Component "&amp;$B22&amp;"'!"&amp;$D22&amp;ROW('Quantifiable Component 1'!$69:$69))</f>
        <v>0</v>
      </c>
      <c r="CD22" s="1376">
        <f ca="1">INDIRECT("'Quantifiable Component "&amp;$B22&amp;"'!"&amp;$D22&amp;ROW('Quantifiable Component 1'!$72:$72))</f>
        <v>0</v>
      </c>
      <c r="CE22" s="1373">
        <f ca="1">INDIRECT("'Quantifiable Component "&amp;$B22&amp;"'!"&amp;$D22&amp;ROW('Quantifiable Component 1'!$74:$74))</f>
        <v>0</v>
      </c>
      <c r="CF22" s="306">
        <f ca="1">INDIRECT("'Quantifiable Component "&amp;$B22&amp;"'!"&amp;$D22&amp;ROW('Quantifiable Component 1'!$73:$73))</f>
        <v>0</v>
      </c>
      <c r="CG22" s="306" t="str">
        <f t="shared" ca="1" si="18"/>
        <v>0_0</v>
      </c>
      <c r="CH22" s="1373" t="str">
        <f ca="1">IFERROR(VLOOKUP($CD22,'GHG EF'!$B$10:$H$19,2,0)*VLOOKUP($CD22,'GHG EF'!$B$10:$H$19,3,0),"")</f>
        <v/>
      </c>
      <c r="CI22" s="1373" t="str">
        <f t="shared" ca="1" si="19"/>
        <v/>
      </c>
      <c r="CJ22" s="1373" t="str">
        <f t="shared" ca="1" si="20"/>
        <v/>
      </c>
      <c r="CK22" s="1378" t="str">
        <f ca="1">IF($F22=Defaults!$M$2, $BB22+IF($CA22="",0,$CA22)+IF($CJ22="",0,$CJ22), IF($F22=Defaults!$M$4,$CB22+IF($CJ22="",0,$CJ22),IF($F22=Defaults!$M$3,$AB22+IF($CJ22="",0,$CJ22), IF($F22=Defaults!$M$5,$CJ22,""))))</f>
        <v/>
      </c>
      <c r="CL22" s="1644"/>
    </row>
    <row r="23" spans="1:90" s="117" customFormat="1" ht="15.5" x14ac:dyDescent="0.35">
      <c r="A23" s="1648"/>
      <c r="B23" s="1367">
        <v>4</v>
      </c>
      <c r="C23" s="1368">
        <v>3</v>
      </c>
      <c r="D23" s="1368" t="str">
        <f>SUBSTITUTE(ADDRESS(1,COLUMN('Quantifiable Component 1'!K:K),4),"1","")</f>
        <v>K</v>
      </c>
      <c r="E23" s="1368" t="str">
        <f t="shared" si="0"/>
        <v>Quantifiable Component 4K</v>
      </c>
      <c r="F23" s="306">
        <f ca="1">INDIRECT("'Quantifiable Component "&amp;$B23&amp;"'!"&amp;$D23&amp;ROW('Quantifiable Component 1'!$28:$28))</f>
        <v>0</v>
      </c>
      <c r="G23" s="306">
        <f ca="1">INDIRECT("'Quantifiable Component "&amp;$B23&amp;"'!"&amp;$D23&amp;ROW('Quantifiable Component 1'!$29:$29))</f>
        <v>0</v>
      </c>
      <c r="H23" s="306">
        <f ca="1">INDIRECT("'Quantifiable Component "&amp;$B23&amp;"'!"&amp;$D23&amp;ROW('Quantifiable Component 1'!$32:$32))</f>
        <v>0</v>
      </c>
      <c r="I23" s="306">
        <f ca="1">INDIRECT("'Quantifiable Component "&amp;$B23&amp;"'!"&amp;$D23&amp;ROW('Quantifiable Component 1'!$33:$33))</f>
        <v>0</v>
      </c>
      <c r="J23" s="306">
        <f ca="1">INDIRECT("'Quantifiable Component "&amp;$B23&amp;"'!"&amp;$D23&amp;ROW('Quantifiable Component 1'!$31:$31))</f>
        <v>0</v>
      </c>
      <c r="K23" s="306" t="str">
        <f t="shared" ca="1" si="1"/>
        <v>0_0</v>
      </c>
      <c r="L23" s="306" t="str">
        <f t="shared" ca="1" si="2"/>
        <v>0_0</v>
      </c>
      <c r="M23" s="306">
        <f ca="1">INDIRECT("'Quantifiable Component "&amp;$B23&amp;"'!"&amp;$D23&amp;ROW('Quantifiable Component 1'!$37:$37))</f>
        <v>0</v>
      </c>
      <c r="N23" s="1369" t="str">
        <f ca="1">IFERROR(VLOOKUP((CONCATENATE(J23,"_",H23)),'Auto GHG'!$C$41:$D$2668,2,0),"")</f>
        <v/>
      </c>
      <c r="O23" s="306">
        <f ca="1">INDIRECT("'Quantifiable Component "&amp;$B23&amp;"'!"&amp;$D23&amp;ROW('Quantifiable Component 1'!$38:$38))</f>
        <v>0</v>
      </c>
      <c r="P23" s="1369" t="str">
        <f ca="1">IFERROR(IF(I23&lt;=2050,VLOOKUP((CONCATENATE(J23,"_",I23)),'Auto GHG'!$C$41:$D$2668,2,),VLOOKUP((CONCATENATE(J23,"_",2050)),'Auto GHG'!$C$41:$D$2668,2,)),"")</f>
        <v/>
      </c>
      <c r="Q23" s="306">
        <f ca="1">INDIRECT("'Quantifiable Component "&amp;$B23&amp;"'!"&amp;$D23&amp;ROW('Quantifiable Component 1'!$39:$39))</f>
        <v>0</v>
      </c>
      <c r="R23" s="306">
        <f ca="1">INDIRECT("'Quantifiable Component "&amp;$B23&amp;"'!"&amp;$D23&amp;ROW('Quantifiable Component 1'!$40:$40))</f>
        <v>0</v>
      </c>
      <c r="S23" s="306"/>
      <c r="T23" s="306"/>
      <c r="U23" s="1370">
        <f t="shared" ca="1" si="3"/>
        <v>0</v>
      </c>
      <c r="V23" s="1371" t="str">
        <f t="shared" ca="1" si="4"/>
        <v/>
      </c>
      <c r="W23" s="1370">
        <f t="shared" ca="1" si="5"/>
        <v>0</v>
      </c>
      <c r="X23" s="1370" t="str">
        <f t="shared" ca="1" si="6"/>
        <v/>
      </c>
      <c r="Y23" s="1372">
        <f ca="1">IFERROR(('GHG Calcs'!U23+'GHG Calcs'!W23)/2,"")</f>
        <v>0</v>
      </c>
      <c r="Z23" s="1372">
        <f t="shared" ca="1" si="7"/>
        <v>0</v>
      </c>
      <c r="AA23" s="1370" t="str">
        <f t="shared" ca="1" si="8"/>
        <v/>
      </c>
      <c r="AB23" s="1370" t="str">
        <f ca="1">IF(OR(F23=Defaults!$M$3,F23=Defaults!$M$3),AA23,"")</f>
        <v/>
      </c>
      <c r="AC23" s="306">
        <f ca="1">INDIRECT("'Quantifiable Component "&amp;$B23&amp;"'!"&amp;$D23&amp;ROW('Quantifiable Component 1'!$46:$46))</f>
        <v>0</v>
      </c>
      <c r="AD23" s="306">
        <f ca="1">INDIRECT("'Quantifiable Component "&amp;$B23&amp;"'!"&amp;$D23&amp;ROW('Quantifiable Component 1'!$49:$49))</f>
        <v>0</v>
      </c>
      <c r="AE23" s="1373">
        <f ca="1">INDIRECT("'Quantifiable Component "&amp;$B23&amp;"'!"&amp;$D23&amp;ROW('Quantifiable Component 1'!$54:$54))</f>
        <v>0</v>
      </c>
      <c r="AF23" s="306" t="str">
        <f ca="1">IFERROR(IF(ISBLANK(INDIRECT("'Quantifiable Component "&amp;$B23&amp;"'!"&amp;$D23&amp;ROW('Quantifiable Component 1'!$52:$52))),VLOOKUP($AD23,'GHG EF'!$B$10:$H$19,3,0),INDIRECT("'Quantifiable Component "&amp;$B23&amp;"'!"&amp;$D23&amp;ROW('Quantifiable Component 1'!$52:$52))),"")</f>
        <v/>
      </c>
      <c r="AG23" s="306">
        <f ca="1">INDIRECT("'Quantifiable Component "&amp;$B23&amp;"'!"&amp;$D23&amp;ROW('Quantifiable Component 1'!$51:$51))</f>
        <v>0</v>
      </c>
      <c r="AH23" s="306" t="str">
        <f t="shared" ca="1" si="9"/>
        <v>0_0</v>
      </c>
      <c r="AI23" s="1373">
        <f ca="1">INDIRECT("'Quantifiable Component "&amp;$B23&amp;"'!"&amp;$D23&amp;ROW('Quantifiable Component 1'!$53:$53))</f>
        <v>0</v>
      </c>
      <c r="AJ23" s="306" t="str">
        <f ca="1">IF(AND(AI23&gt;0,OR(AD23=Defaults!$I$5,AD23=Defaults!$I$11)), IF(AC23="Transit Bus",VLOOKUP(AH23,'Fuel Consumption'!$A$31:$L$2316,5,0), IF(AC23="Van",VLOOKUP(AH23,'Fuel Consumption'!$A$31:$L$2316,8,0), IF(AC23="Cut-A-Way",VLOOKUP(AH23,'Fuel Consumption'!$A$31:$L$2316,11,0), IF(AC23="Over-Road Coach",VLOOKUP(AH23,'Fuel Consumption'!$A$31:$L$2316,12,0)*VLOOKUP(AD23,'GHG EF'!$B$10:$H$19,4,0),IF(AC23="Heavy Rail",'Rail C&amp;T EF'!$K$14*'GHG EF'!$C$12/'GHG EF'!$C$13/4.6, IF(AC23="DMU / EMU",'Rail C&amp;T EF'!$B$149*'GHG EF'!$C$12/'GHG EF'!$C$13/3.3, IF(AC23="Light Rail",'Rail C&amp;T EF'!$K$14*'GHG EF'!$C$12/'GHG EF'!$C$13/3.3, IF(AC23="Streetcar",'Rail C&amp;T EF'!$K$14*'GHG EF'!$C$12/'GHG EF'!$C$13/3.1,0)))))))),"")</f>
        <v/>
      </c>
      <c r="AK23" s="306" t="b">
        <f ca="1">IF(AI23&gt;0,IF(OR(AD23=Defaults!$I$3,AD23=Defaults!$I$4,AD23=Defaults!$I$6,AD23=Defaults!$I$8),IF(AC23="Transit Bus",IF(AD23="Gasoline",VLOOKUP(AH23,'Fuel Consumption'!$A$31:$L$2316,3),IF(OR(AD23="CNG",AD23="LNG"),VLOOKUP(AH23,'Fuel Consumption'!$A$31:$L$2316,4),VLOOKUP(AH23,'Fuel Consumption'!$A$31:$L$2316,2))),IF(AC23="Van",IF(OR(AD23="Diesel",AD23="Renewable Diesel",AD23="Biodiesel"),VLOOKUP(AH23,'Fuel Consumption'!$A$31:$L$2316,6),IF(OR(AD23="CNG",AD23="LNG"),VLOOKUP(AH23,'Fuel Consumption'!$A$31:$L$2316,7)*VLOOKUP(AD23,'GHG EF'!$B$10:$H$19,5,0),VLOOKUP(AH23,'Fuel Consumption'!$A$31:$L$2316,7))),IF(AC23="Cut-A-Way",IF(OR(AD23="Diesel",AD23="Renewable Diesel",AD23="Biodiesel"),VLOOKUP(AH23,'Fuel Consumption'!$A$31:$L$2316,9),IF(OR(AD23="CNG",AD23="LNG"),VLOOKUP(AH23,'Fuel Consumption'!$A$31:$L$2316,10)*VLOOKUP(AD23,'GHG EF'!$B$10:$H$19,5,0),VLOOKUP(AH23,'Fuel Consumption'!$A$31:$L$2316,10))),IF(AC23="Over-Road Coach",VLOOKUP(AH23,'Fuel Consumption'!$A$31:$L$2316,12),IF(AC23="Heavy Rail",'Rail C&amp;T EF'!$K$14,IF(AC23="DMU / EMU",'Rail C&amp;T EF'!$B$149,"")))))*IF(AD23=Defaults!$I$3,1/'GHG EF'!$I$11,1)*IF(AD23=Defaults!$I$8,1/'GHG EF'!$I$16,1)),""))</f>
        <v>0</v>
      </c>
      <c r="AL23" s="306" t="str">
        <f ca="1">IF(AI23&gt;0,IF(AC23="Transit Bus",IF(AD23="Gasoline",VLOOKUP(AH23,'Fuel Consumption'!$A$31:$L$2316,3,0)*VLOOKUP(AD23,'GHG EF'!$B$10:$H$19,5,0),IF(OR(AD23="LNG",AD23="CNG",AD23="Renewable Natural Gas"),VLOOKUP(AH23,'Fuel Consumption'!$A$31:$L$2316,4)*VLOOKUP(AD23,'GHG EF'!$B$10:$H$19,4,0),IF(OR(AD23="Electric",AD23="Renewable Electricity"),VLOOKUP(AH23,'Fuel Consumption'!$A$31:$L$2316,5,0),IF(AD23="Hydrogen Fuel Cell",VLOOKUP(AH23,'Fuel Consumption'!$A$31:$L$2316,5,0)*'GHG EF'!$C$13/'GHG EF'!$C$15*'GHG EF'!$I$13/'GHG EF'!$I$15,VLOOKUP(AH23,'Fuel Consumption'!$A$31:$L$2316,2,0)*VLOOKUP(AD23,'GHG EF'!$B$10:$H$19,4,0))))),
IF(AC23="Van",IF(OR(AD23="Diesel",AD23="Renewable Diesel",AD23="Biodiesel"),VLOOKUP(AH23,'Fuel Consumption'!$A$31:$L$2316,6,0)*VLOOKUP(AD23,'GHG EF'!$B$10:$H$19,4,0),IF(OR(AD23="LNG",AD23="CNG",AD23="Renewable Natural Gas"),VLOOKUP(AH23,'Fuel Consumption'!$A$31:$L$2316,7)*VLOOKUP(AD23,'GHG EF'!$B$10:$H$19,5,0),IF(OR(AD23="Electric",AD23="Renewable Electricity"),VLOOKUP(AH23,'Fuel Consumption'!$A$31:$L$2316,8,0),IF(AD23="Hydrogen Fuel Cell",VLOOKUP(AH23,'Fuel Consumption'!$A$31:$L$2316,8,0)*'GHG EF'!$C$13/'GHG EF'!$C$15*'GHG EF'!$J$13/'GHG EF'!$J$15,VLOOKUP(AH23,'Fuel Consumption'!$A$31:$L$2316,7,0)*VLOOKUP(AD23,'GHG EF'!$B$10:$H$19,5,0))))),
IF(AC23="Cut-A-Way",IF(OR(AD23="Diesel",AD23="Renewable Diesel",AD23="Biodiesel"),VLOOKUP(AH23,'Fuel Consumption'!$A$31:$L$2316,9,0)*VLOOKUP(AD23,'GHG EF'!$B$10:$H$19,4,0),IF(OR(AD23="LNG",AD23="CNG",AD23="Renewable Natural Gas"),VLOOKUP(AH23,'Fuel Consumption'!$A$31:$L$2316,10)*VLOOKUP(AD23,'GHG EF'!$B$10:$H$19,5,0),IF(OR(AD23="Electric",AD23="Renewable Electricity"),VLOOKUP(AH23,'Fuel Consumption'!$A$31:$L$2316,11,0),IF(AD23="Hydrogen Fuel Cell",VLOOKUP(AH23,'Fuel Consumption'!$A$31:$L$2316,11,0)*'GHG EF'!$C$13/'GHG EF'!$C$15*'GHG EF'!$J$13/'GHG EF'!$J$15,VLOOKUP(AH23,'Fuel Consumption'!$A$31:$L$2316,10,0)*VLOOKUP(AD23,'GHG EF'!$B$10:$H$19,5,0))))),
IF(AC23="Over-Road Coach",VLOOKUP(AH23,'Fuel Consumption'!$A$31:$L$2316,12,0)*VLOOKUP(AD23,'GHG EF'!$B$10:$H$19,4,0),IF(AC23="Heavy Rail",IF(OR(AD23=Defaults!$I$5,AD23=Defaults!$I$11),'Rail C&amp;T EF'!$K$14*'GHG EF'!$C$12/'GHG EF'!$C$13/4.6,'Rail C&amp;T EF'!$K$14*VLOOKUP(AD23,'GHG EF'!$B$10:$H$19,4,0)),IF(AC23="DMU / EMU",IF(OR(AD23=Defaults!$I$5,AD23=Defaults!$I$11),'Rail C&amp;T EF'!$B$149*'GHG EF'!$C$12/'GHG EF'!$C$13/3.3,'Rail C&amp;T EF'!$B$149*VLOOKUP(AD23,'GHG EF'!$B$10:$H$19,4,0)),IF(AC23="Light Rail",'Rail C&amp;T EF'!$K$14*'GHG EF'!$C$12/'GHG EF'!$C$13/3.3,IF(AC23="Streetcar",'Rail C&amp;T EF'!$K$14*'GHG EF'!$C$12/'GHG EF'!$C$13/3.1,"")))))))),"")</f>
        <v/>
      </c>
      <c r="AM23" s="306" t="str">
        <f ca="1">IFERROR((IF(AD23="Gasoline",VLOOKUP(AH23,'Fuel Consumption'!$A$31:$L$2316,3,0)*VLOOKUP(AD23,'GHG EF'!$B$10:$H$19,5,0), IF(OR(AD23="CNG",AD23="LNG",AD23="Renewable Natural Gas"),VLOOKUP(AH23,'Fuel Consumption'!$A$31:$L$2316,4,0)*VLOOKUP(AD23,'GHG EF'!$B$10:$H$19,4,0),IF(OR(AD23="Electric",AD23="Renewable Electricity"),VLOOKUP(AH23,'Fuel Consumption'!$A$31:$L$2316,5,0),IF(AD23="Hydrogen Fuel Cell",VLOOKUP(AH23,'Fuel Consumption'!$A$31:$L$2316,5,0)*'GHG EF'!$C$13/'GHG EF'!$C$15*'GHG EF'!$I$13/'GHG EF'!$I$15,VLOOKUP(AH23,'Fuel Consumption'!$A$31:$L$2316,2,0)*VLOOKUP(AD23,'GHG EF'!$B$10:$H$19,4,0))))) * VLOOKUP(AD23,'GHG EF'!$B$10:$H$19,2,0) * AF23),"")</f>
        <v/>
      </c>
      <c r="AN23" s="306" t="str">
        <f ca="1">IFERROR((IF(OR(AD23="Diesel",AD23="Renewable Diesel",AD23="Biodiesel"),VLOOKUP(AH23,'Fuel Consumption'!$A$31:$L$2316,6,0)*VLOOKUP(AD23,'GHG EF'!$B$10:$H$19,4,0),IF(OR(AD23="CNG",AD23="LNG",AD23="Renewable Natural Gas"),VLOOKUP(AH23,'Fuel Consumption'!$A$31:$L$2316,7,0)*VLOOKUP(AD23,'GHG EF'!$B$10:$H$19,5,0),IF(OR(AD23="Electric",AD23="Renewable Electricity"),VLOOKUP(AH23,'Fuel Consumption'!$A$31:$L$2316,8,0),IF(AD23="Hydrogen Fuel Cell",VLOOKUP(AH23,'Fuel Consumption'!$A$31:$L$2316,8,0)*'GHG EF'!$C$13/'GHG EF'!$C$15*'GHG EF'!$J$13/'GHG EF'!$J$15,VLOOKUP(AH23,'Fuel Consumption'!$A$31:$L$2316,7,0)*VLOOKUP(AD23,'GHG EF'!$B$10:$H$19,5,0)))))*VLOOKUP(AD23,'GHG EF'!$B$10:$H$19,2,0)*AF23),"")</f>
        <v/>
      </c>
      <c r="AO23" s="306" t="str">
        <f ca="1">IFERROR((IF(OR(AD23="Diesel",AD23="Renewable Diesel",AD23="Biodiesel"),VLOOKUP(AH23,'Fuel Consumption'!$A$31:$L$2316,9,0)*VLOOKUP(AD23,'GHG EF'!$B$10:$H$19,4,0),IF(OR(AD23="CNG",AD23="LNG",AD23="Renewable Natural Gas"),VLOOKUP(AH23,'Fuel Consumption'!$A$31:$L$2316,10,0)*VLOOKUP(AD23,'GHG EF'!$B$10:$H$19,5,0),IF(OR(AD23="Electric",AD23="Renewable Electricity"),VLOOKUP(AH23,'Fuel Consumption'!$A$31:$L$2316,11,0),IF(AD23="Hydrogen Fuel Cell",VLOOKUP(AH23,'Fuel Consumption'!$A$31:$L$2316,11,0)*'GHG EF'!$C$13/'GHG EF'!$C$15*'GHG EF'!$J$13/'GHG EF'!$J$15,VLOOKUP(AH23,'Fuel Consumption'!$A$31:$L$2316,10,0)*VLOOKUP(AD23,'GHG EF'!$B$10:$H$19,5,0))))) * VLOOKUP(AD23,'GHG EF'!$B$10:$H$19,2,0) * AF23),"")</f>
        <v/>
      </c>
      <c r="AP23" s="306" t="str">
        <f ca="1">IFERROR(VLOOKUP(AH23,'Fuel Consumption'!$A$31:$L$2316,12,0)*VLOOKUP(AD23,'GHG EF'!$B$10:$H$19,4,0) * VLOOKUP(AD23,'GHG EF'!$B$10:$H$19,2,0) * AF23,"")</f>
        <v/>
      </c>
      <c r="AQ23" s="1374" t="str">
        <f ca="1">IFERROR(IF(OR(AD23=Defaults!$I$5,AD23=Defaults!$I$11), 'GHG EF'!$C$13*'GHG EF'!$C$12/'GHG EF'!$C$13/4.6, VLOOKUP(AD23,'GHG EF'!$B$10:$H$19,4,0)*VLOOKUP(AD23,'GHG EF'!$B$10:$H$19,2,0))*AF23*'Rail C&amp;T EF'!$K$14,"")</f>
        <v/>
      </c>
      <c r="AR23" s="1374" t="str">
        <f ca="1">IFERROR(IF(OR(AD23=Defaults!$I$5,AD23=Defaults!$I$11), 'GHG EF'!$C$13*'GHG EF'!$C$12/'GHG EF'!$C$13/3.3, VLOOKUP(AD23,'GHG EF'!$B$10:$H$19,4,0)*VLOOKUP(AD23,'GHG EF'!$B$10:$H$19,2,0))*AF23*'Rail C&amp;T EF'!$B$149,"")</f>
        <v/>
      </c>
      <c r="AS23" s="1374" t="str">
        <f ca="1">IFERROR(VLOOKUP(AD23,'GHG EF'!$B$10:$H$19,2,0)*AF23,"")</f>
        <v/>
      </c>
      <c r="AT23" s="1374" t="str">
        <f ca="1">IF(OR(AD23=Defaults!$I$5,AD23=Defaults!$I$10),'GHG EF'!$C$13*AF23*'GHG EF'!$C$12/'GHG EF'!$C$13/3.3*'Rail C&amp;T EF'!$K$14,"")</f>
        <v/>
      </c>
      <c r="AU23" s="1374" t="str">
        <f ca="1">IF(OR(AD23=Defaults!$I$5,AD23=Defaults!$I$10),'GHG EF'!$C$13*AF23*'GHG EF'!$C$12/'GHG EF'!$C$13/3.1*'Rail C&amp;T EF'!$K$14,"")</f>
        <v/>
      </c>
      <c r="AV23" s="1374">
        <f ca="1">IF(OR($AD23=Defaults!$I$5, $AD23=Defaults!$I$7, $AD23=Defaults!$I$11),Defaults!$G$15,INDIRECT("'Quantifiable Component "&amp;$B23&amp;"'!"&amp;$D23&amp;ROW('Quantifiable Component 1'!$50:$50)))</f>
        <v>0</v>
      </c>
      <c r="AW23" s="1374" t="str">
        <f ca="1">IFERROR((IF(AND(AV23="yes",NOT(AD23=Defaults!$I$5),NOT(AD23=Defaults!$I$7),NOT(AD23=Defaults!$I$11)),0.8,1))*(IF(AC23="Transit Bus",AM23,IF(AC23="Van",AN23,IF(AC23="Cut-A-Way",AO23,IF(AC23="Over-Road Coach",AP23,IF(AC23="Heavy Rail",AQ23,IF(AC23="DMU / EMU",AR23,IF(AC23="Ferry",AS23,IF(AC23="Light Rail",AT23,AU23))))))))),"")</f>
        <v/>
      </c>
      <c r="AX23" s="1374" t="str">
        <f ca="1">IFERROR(VLOOKUP($AD23,'GHG EF'!$B$10:$H$19,2,0)*AF23,"")</f>
        <v/>
      </c>
      <c r="AY23" s="1375" t="str">
        <f t="shared" ca="1" si="10"/>
        <v/>
      </c>
      <c r="AZ23" s="1374" t="str">
        <f t="shared" ca="1" si="11"/>
        <v/>
      </c>
      <c r="BA23" s="1375" t="str">
        <f ca="1">IFERROR(IF(G23=Defaults!$F$2,0,IF(AZ23&gt;0,AZ23*(I23-H23),AY23*(I23-H23))),"")</f>
        <v/>
      </c>
      <c r="BB23" s="1373" t="str">
        <f t="shared" ca="1" si="12"/>
        <v/>
      </c>
      <c r="BC23" s="1376">
        <f ca="1">INDIRECT("'Quantifiable Component "&amp;$B23&amp;"'!"&amp;$D23&amp;ROW('Quantifiable Component 1'!$58:$58))</f>
        <v>0</v>
      </c>
      <c r="BD23" s="306">
        <f ca="1">INDIRECT("'Quantifiable Component "&amp;$B23&amp;"'!"&amp;$D23&amp;ROW('Quantifiable Component 1'!$61:$61))</f>
        <v>0</v>
      </c>
      <c r="BE23" s="306">
        <f ca="1">INDIRECT("'Quantifiable Component "&amp;$B23&amp;"'!"&amp;$D23&amp;ROW('Quantifiable Component 1'!$66:$66))</f>
        <v>0</v>
      </c>
      <c r="BF23" s="306" t="str">
        <f ca="1">IFERROR(IF(ISBLANK(INDIRECT("'Quantifiable Component "&amp;$B23&amp;"'!"&amp;$D23&amp;ROW('Quantifiable Component 1'!$64:$64))),VLOOKUP($BD23,'GHG EF'!$B$10:$H$19,3,0),INDIRECT("'Quantifiable Component "&amp;$B23&amp;"'!"&amp;$D23&amp;ROW('Quantifiable Component 1'!$64:$64))),"")</f>
        <v/>
      </c>
      <c r="BG23" s="306">
        <f ca="1">INDIRECT("'Quantifiable Component "&amp;$B23&amp;"'!"&amp;$D23&amp;ROW('Quantifiable Component 1'!$63:$63))</f>
        <v>0</v>
      </c>
      <c r="BH23" s="1373">
        <f ca="1">INDIRECT("'Quantifiable Component "&amp;$B23&amp;"'!"&amp;$D23&amp;ROW('Quantifiable Component 1'!$65:$65))</f>
        <v>0</v>
      </c>
      <c r="BI23" s="306" t="str">
        <f ca="1">IF(AND(BH23&gt;0,OR(BD23=Defaults!$I$5,BD23=Defaults!$I$11)), IF(BC23="Transit Bus",VLOOKUP(BL23,'Fuel Consumption'!$A$31:$L$2316,5,0), IF(BC23="Van",VLOOKUP(BL23,'Fuel Consumption'!$A$31:$L$2316,8,0), IF(BC23="Cut-A-Way",VLOOKUP(BL23,'Fuel Consumption'!$A$31:$L$2316,11,0), IF(BC23="Over-Road Coach",VLOOKUP(BL23,'Fuel Consumption'!$A$31:$L$2316,12,0)*VLOOKUP(BD23,'GHG EF'!$B$10:$H$19,4,0),IF(BC23="Heavy Rail",'Rail C&amp;T EF'!$K$14*'GHG EF'!$C$12/'GHG EF'!$C$13/4.6, IF(BC23="DMU / EMU",'Rail C&amp;T EF'!$B$149*'GHG EF'!$C$12/'GHG EF'!$C$13/3.3, IF(BC23="Light Rail",'Rail C&amp;T EF'!$K$14*'GHG EF'!$C$12/'GHG EF'!$C$13/3.3, IF(BC23="Streetcar",'Rail C&amp;T EF'!$K$14*'GHG EF'!$C$12/'GHG EF'!$C$13/3.1,0)))))))),"")</f>
        <v/>
      </c>
      <c r="BJ23" s="306" t="str">
        <f ca="1">IF(BH23&gt;0,IF(OR(BD23=Defaults!$I$3,BD23=Defaults!$I$4, BD23=Defaults!$I$6, BD23=Defaults!$I$8),IF(BC23="Transit Bus",IF(BD23="Gasoline",VLOOKUP(BL23,'Fuel Consumption'!$A$31:$L$2316,3), IF(OR(BD23="CNG",BD23="LNG"),VLOOKUP(BL23,'Fuel Consumption'!$A$31:$L$2316,4,0),VLOOKUP(BL23,'Fuel Consumption'!$A$31:$L$2316,2))), IF(BC23="Van",IF(OR(BD23="Diesel",BD23="Renewable Diesel",BD23="Biodiesel"),VLOOKUP(BL23,'Fuel Consumption'!$A$31:$L$2316,6),IF(OR(BD23="CNG",BD23="LNG"),VLOOKUP(BL23,'Fuel Consumption'!$A$31:$L$2316,7,0)*VLOOKUP(BD23,'GHG EF'!$B$10:$H$19,5,0), VLOOKUP(BL23,'Fuel Consumption'!$A$31:$L$2316,7))), IF(BC23="Cut-A-Way",IF(OR(BD23="Diesel",BD23="Renewable Diesel",BD23="Biodiesel"),VLOOKUP(BL23,'Fuel Consumption'!$A$31:$L$2316,9),IF(OR(BD23="CNG",BD23="LNG"),VLOOKUP(BL23,'Fuel Consumption'!$A$31:$L$2316,10,0)*VLOOKUP(BD23,'GHG EF'!$B$10:$H$19,5,0), VLOOKUP(BL23,'Fuel Consumption'!$A$31:$L$2316,10))), IF(BC23="Over-Road Coach",VLOOKUP(BL23,'Fuel Consumption'!$A$31:$L$2316,12),IF(BC23="Heavy Rail",'Rail C&amp;T EF'!$K$14, IF(BC23="DMU / EMU",'Rail C&amp;T EF'!$B$149,"")))))) * IF(BD23=Defaults!$I$3,1/'GHG EF'!$I$11,1) * IF(BD23=Defaults!$I$8,1/'GHG EF'!$I$16,1),""),"")</f>
        <v/>
      </c>
      <c r="BK23" s="306" t="str">
        <f ca="1">IF(BH23&gt;0,IF(BC23="Transit Bus",IF(BD23="Gasoline",VLOOKUP(BL23,'Fuel Consumption'!$A$31:$L$2316,3,0)*VLOOKUP(BD23,'GHG EF'!$B$10:$H$19,5,0),IF(OR(BD23="CNG",BD23="LNG",BD23="Renewable Natural Gas"),VLOOKUP(BL23,'Fuel Consumption'!$A$31:$L$2316,4,0)*VLOOKUP(BD23,'GHG EF'!$B$10:$H$19,4,0), IF(OR(BD23="Electric",BD23="Renewable Electricity"),VLOOKUP(BL23,'Fuel Consumption'!$A$31:$L$2316,5,0),IF(BD23="Hydrogen Fuel Cell",VLOOKUP(BL23,'Fuel Consumption'!$A$31:$L$2316,5,0)*'GHG EF'!$C$13/'GHG EF'!$C$15*'GHG EF'!$I$13/'GHG EF'!$I$15, VLOOKUP(BL23,'Fuel Consumption'!$A$31:$L$2316,2,0)*VLOOKUP(BD23,'GHG EF'!$B$10:$H$19,4,0))))),
IF(BC23="Van",IF(OR(BD23="Diesel",BD23="Renewable Diesel",BD23="Biodiesel"),VLOOKUP(BL23,'Fuel Consumption'!$A$31:$L$2316,6,0)*VLOOKUP(BD23,'GHG EF'!$B$10:$H$19,4,0), IF(OR(BD23="CNG",BD23="LNG",BD23="Renewable Natural Gas"),VLOOKUP(BL23,'Fuel Consumption'!$A$31:$L$2316,7,0)*VLOOKUP(BD23,'GHG EF'!$B$10:$H$19,5,0), IF(OR(BD23="Electric",BD23="Renewable Electricity"),VLOOKUP(BL23,'Fuel Consumption'!$A$31:$L$2316,8,0),IF(BD23="Hydrogen Fuel Cell",VLOOKUP(BL23,'Fuel Consumption'!$A$31:$L$2316,8,0)*'GHG EF'!$C$13/'GHG EF'!$C$15*'GHG EF'!$J$13/'GHG EF'!$J$15,VLOOKUP(BL23,'Fuel Consumption'!$A$31:$L$2316,7,0)*VLOOKUP(BD23,'GHG EF'!$B$10:$H$19,5,0))))),
IF(BC23="Cut-A-Way",IF(OR(BD23="Diesel",BD23="Renewable Diesel",BD23="Biodiesel"),VLOOKUP(BL23,'Fuel Consumption'!$A$31:$L$2316,9,0)*VLOOKUP(BD23,'GHG EF'!$B$10:$H$19,4,0),IF(OR(BD23="CNG",BD23="LNG",BD23="Renewable Natural Gas"),VLOOKUP(BL23,'Fuel Consumption'!$A$31:$L$2316,10,0)*VLOOKUP(BD23,'GHG EF'!$B$10:$H$19,5,0), IF(OR(BD23="Electric",BD23="Renewable Electricity"),VLOOKUP(BL23,'Fuel Consumption'!$A$31:$L$2316,11,0),IF(BD23="Hydrogen Fuel Cell",VLOOKUP(BL23,'Fuel Consumption'!$A$31:$L$2316,11,0)*'GHG EF'!$C$13/'GHG EF'!$C$15*'GHG EF'!$J$13/'GHG EF'!$J$15, VLOOKUP(BL23,'Fuel Consumption'!$A$31:$L$2316,10,0)*VLOOKUP(BD23,'GHG EF'!$B$10:$H$19,5,0))))),
IF(BC23="Over-Road Coach",VLOOKUP(BL23,'Fuel Consumption'!$A$31:$L$2316,12,0)*VLOOKUP(BD23,'GHG EF'!$B$10:$H$19,4,0),IF(BC23="Heavy Rail",IF(OR(BD23=Defaults!$I$5,BD23=Defaults!$I$11), 'Rail C&amp;T EF'!$K$14*'GHG EF'!$C$12/'GHG EF'!$C$13/4.6, 'Rail C&amp;T EF'!$K$14*VLOOKUP(BD23,'GHG EF'!$B$10:$H$19,4,0)),IF(BC23="DMU / EMU",IF(OR(BD23=Defaults!$I$5,BD23=Defaults!$I$11), 'Rail C&amp;T EF'!$B$149*'GHG EF'!$C$12/'GHG EF'!$C$13/3.3, 'Rail C&amp;T EF'!$B$149*VLOOKUP(BD23,'GHG EF'!$B$10:$H$19,4,0)),IF(BC23="Light Rail",'Rail C&amp;T EF'!$K$14*'GHG EF'!$C$12/'GHG EF'!$C$13/3.3,IF(BC23="Streetcar",'Rail C&amp;T EF'!$K$14*'GHG EF'!$C$12/'GHG EF'!$C$13/3.1,"")))))))),"")</f>
        <v/>
      </c>
      <c r="BL23" s="306" t="str">
        <f t="shared" ca="1" si="13"/>
        <v>0_0</v>
      </c>
      <c r="BM23" s="306" t="str">
        <f ca="1">IFERROR((IF(BD23="Gasoline",VLOOKUP(BL23,'Fuel Consumption'!$A$31:$L$2316,3,0)*VLOOKUP(BD23,'GHG EF'!$B$10:$H$19,5,0), IF(OR(BD23="CNG",BD23="LNG",BD23="Renewable Natural Gas"),VLOOKUP(BL23,'Fuel Consumption'!$A$31:$L$2316,4,0)*VLOOKUP(BD23,'GHG EF'!$B$10:$H$19,4,0),IF(OR(BD23="Electric",BD23="Renewable Electricity"),VLOOKUP(BL23,'Fuel Consumption'!$A$31:$L$2316,5,0),IF(BD23="Hydrogen Fuel Cell",VLOOKUP(BL23,'Fuel Consumption'!$A$31:$L$2316,5,0)*'GHG EF'!$C$13/'GHG EF'!$C$15*'GHG EF'!$I$13/'GHG EF'!$I$15,VLOOKUP(BL23,'Fuel Consumption'!$A$31:$L$2316,2,0)*VLOOKUP(BD23,'GHG EF'!$B$10:$H$19,4,0))))) * VLOOKUP(BD23,'GHG EF'!$B$10:$H$19,2,0) * BF23),"")</f>
        <v/>
      </c>
      <c r="BN23" s="306" t="str">
        <f ca="1">IFERROR((IF(OR(BD23="Diesel",BD23="Renewable Diesel",BD23="Biodiesel"),VLOOKUP(BL23,'Fuel Consumption'!$A$31:$L$2316,6,0)*VLOOKUP(BD23,'GHG EF'!$B$10:$H$19,4,0),IF(OR(BD23="CNG",BD23="LNG",BD23="Renewable Natural Gas"),VLOOKUP(BL23,'Fuel Consumption'!$A$31:$L$2316,7,0)*VLOOKUP(BD23,'GHG EF'!$B$10:$H$19,5,0),IF(OR(BD23="Electric",BD23="Renewable Electricity"),VLOOKUP(BL23,'Fuel Consumption'!$A$31:$L$2316,8,0),IF(BD23="Hydrogen Fuel Cell",VLOOKUP(BL23,'Fuel Consumption'!$A$31:$L$2316,8,0)*'GHG EF'!$C$13/'GHG EF'!$C$15*'GHG EF'!$J$13/'GHG EF'!$J$15,VLOOKUP(BL23,'Fuel Consumption'!$A$31:$L$2316,7,0)*VLOOKUP(BD23,'GHG EF'!$B$10:$H$19,5,0)))))*VLOOKUP(BD23,'GHG EF'!$B$10:$H$19,2,0)*BF23),"")</f>
        <v/>
      </c>
      <c r="BO23" s="306" t="str">
        <f ca="1">IFERROR((IF(OR(BD23="Diesel",BD23="Renewable Diesel",BD23="Biodiesel"),VLOOKUP(BL23,'Fuel Consumption'!$A$31:$L$2316,9,0)*VLOOKUP(BD23,'GHG EF'!$B$10:$H$19,4,0),IF(OR(BD23="CNG",BD23="LNG",BD23="Renewable Natural Gas"),VLOOKUP(BL23,'Fuel Consumption'!$A$31:$L$2316,10,0)*VLOOKUP(BD23,'GHG EF'!$B$10:$H$19,5,0),IF(OR(BD23="Electric",BD23="Renewable Electricity"),VLOOKUP(BL23,'Fuel Consumption'!$A$31:$L$2316,11,0),IF(BD23="Hydrogen Fuel Cell",VLOOKUP(BL23,'Fuel Consumption'!$A$31:$L$2316,11,0)*'GHG EF'!$C$13/'GHG EF'!$C$15*'GHG EF'!$J$13/'GHG EF'!$J$15,VLOOKUP(BL23,'Fuel Consumption'!$A$31:$L$2316,10,0)*VLOOKUP(BD23,'GHG EF'!$B$10:$H$19,5,0))))) * VLOOKUP(BD23,'GHG EF'!$B$10:$H$19,2,0) * BF23),"")</f>
        <v/>
      </c>
      <c r="BP23" s="306" t="str">
        <f ca="1">IFERROR(VLOOKUP(BL23,'Fuel Consumption'!$A$31:$L$2316,12,0)*VLOOKUP(BD23,'GHG EF'!$B$10:$H$19,4,0) * VLOOKUP(BD23,'GHG EF'!$B$10:$H$19,2,0) * BF23,"")</f>
        <v/>
      </c>
      <c r="BQ23" s="1374" t="str">
        <f ca="1">IFERROR(IF(OR($BD23=Defaults!$I$5,$BD23=Defaults!$I$11), 'GHG EF'!$C$13*'GHG EF'!$C$12/'GHG EF'!$C$13/4.6, VLOOKUP(BD23,'GHG EF'!$B$10:$H$19,4,0)*VLOOKUP(BD23,'GHG EF'!$B$10:$H$19,2,0))*BF23*'Rail C&amp;T EF'!$K$14,"")</f>
        <v/>
      </c>
      <c r="BR23" s="1374" t="str">
        <f ca="1">IFERROR(IF(OR($BD23=Defaults!$I$5,$BD23=Defaults!$I$11), 'GHG EF'!$C$13*'GHG EF'!$C$12/'GHG EF'!$C$13/3.3, VLOOKUP(BD23,'GHG EF'!$B$10:$H$19,4,0)*VLOOKUP(BD23,'GHG EF'!$B$10:$H$19,2,0))*BF23*'Rail C&amp;T EF'!$B$149,"")</f>
        <v/>
      </c>
      <c r="BS23" s="1374" t="str">
        <f ca="1">IFERROR(VLOOKUP(BD23,'GHG EF'!$B$10:$H$19,2,0)*BF23,"")</f>
        <v/>
      </c>
      <c r="BT23" s="1374" t="str">
        <f ca="1">IF(OR($BD23=Defaults!$I$5,$BD23=Defaults!$I$10),'GHG EF'!$C$13*BF23*'GHG EF'!$C$12/'GHG EF'!$C$13/3.3*'Rail C&amp;T EF'!$K$14,"")</f>
        <v/>
      </c>
      <c r="BU23" s="1374" t="str">
        <f ca="1">IF(OR($BD23=Defaults!$I$5,$BD23=Defaults!$I$10),'GHG EF'!$C$13*BF23*'GHG EF'!$C$12/'GHG EF'!$C$13/3.1*'Rail C&amp;T EF'!$K$14,"")</f>
        <v/>
      </c>
      <c r="BV23" s="1374">
        <f ca="1">IF(OR($AD23=Defaults!$I$5, $AD23=Defaults!$I$7, $AD23=Defaults!$I$11),Defaults!$G$15,INDIRECT("'Quantifiable Component "&amp;$B23&amp;"'!"&amp;$D23&amp;ROW('Quantifiable Component 1'!$62:$62)))</f>
        <v>0</v>
      </c>
      <c r="BW23" s="1374" t="str">
        <f ca="1">IFERROR((IF(AND(BV23="yes",NOT(BD23=Defaults!$I$5),NOT(BD23=Defaults!$I$7),NOT(BD23=Defaults!$I$11)),0.8,1))*(IF(BC23="Transit Bus",BM23,IF(BC23="Van",BN23,IF(BC23="Cut-A-Way",BO23,IF(BC23="Over-Road Coach",BP23,IF(BC23="Heavy Rail",BQ23,IF(BC23="DMU / EMU",BR23,IF(BC23="Ferry",BS23,IF(BC23="Light Rail",BT23,BU23))))))))),"")</f>
        <v/>
      </c>
      <c r="BX23" s="1377" t="str">
        <f ca="1">IFERROR(VLOOKUP($BD23,'GHG EF'!$B$10:$H$19,2,0)*BF23,"")</f>
        <v/>
      </c>
      <c r="BY23" s="1377" t="str">
        <f t="shared" ca="1" si="14"/>
        <v/>
      </c>
      <c r="BZ23" s="1377" t="str">
        <f t="shared" ca="1" si="15"/>
        <v/>
      </c>
      <c r="CA23" s="1377" t="str">
        <f t="shared" ca="1" si="16"/>
        <v/>
      </c>
      <c r="CB23" s="1373" t="str">
        <f t="shared" ca="1" si="17"/>
        <v/>
      </c>
      <c r="CC23" s="1376">
        <f ca="1">INDIRECT("'Quantifiable Component "&amp;$B23&amp;"'!"&amp;$D23&amp;ROW('Quantifiable Component 1'!$69:$69))</f>
        <v>0</v>
      </c>
      <c r="CD23" s="1376">
        <f ca="1">INDIRECT("'Quantifiable Component "&amp;$B23&amp;"'!"&amp;$D23&amp;ROW('Quantifiable Component 1'!$72:$72))</f>
        <v>0</v>
      </c>
      <c r="CE23" s="1373">
        <f ca="1">INDIRECT("'Quantifiable Component "&amp;$B23&amp;"'!"&amp;$D23&amp;ROW('Quantifiable Component 1'!$74:$74))</f>
        <v>0</v>
      </c>
      <c r="CF23" s="306">
        <f ca="1">INDIRECT("'Quantifiable Component "&amp;$B23&amp;"'!"&amp;$D23&amp;ROW('Quantifiable Component 1'!$73:$73))</f>
        <v>0</v>
      </c>
      <c r="CG23" s="306" t="str">
        <f t="shared" ca="1" si="18"/>
        <v>0_0</v>
      </c>
      <c r="CH23" s="1373" t="str">
        <f ca="1">IFERROR(VLOOKUP($CD23,'GHG EF'!$B$10:$H$19,2,0)*VLOOKUP($CD23,'GHG EF'!$B$10:$H$19,3,0),"")</f>
        <v/>
      </c>
      <c r="CI23" s="1373" t="str">
        <f t="shared" ca="1" si="19"/>
        <v/>
      </c>
      <c r="CJ23" s="1373" t="str">
        <f t="shared" ca="1" si="20"/>
        <v/>
      </c>
      <c r="CK23" s="1378" t="str">
        <f ca="1">IF($F23=Defaults!$M$2, $BB23+IF($CA23="",0,$CA23)+IF($CJ23="",0,$CJ23), IF($F23=Defaults!$M$4,$CB23+IF($CJ23="",0,$CJ23),IF($F23=Defaults!$M$3,$AB23+IF($CJ23="",0,$CJ23), IF($F23=Defaults!$M$5,$CJ23,""))))</f>
        <v/>
      </c>
      <c r="CL23" s="1645"/>
    </row>
    <row r="24" spans="1:90" s="117" customFormat="1" ht="15.5" x14ac:dyDescent="0.35">
      <c r="A24" s="1646">
        <v>5</v>
      </c>
      <c r="B24" s="1367">
        <v>5</v>
      </c>
      <c r="C24" s="1379">
        <v>1</v>
      </c>
      <c r="D24" s="1368" t="str">
        <f>SUBSTITUTE(ADDRESS(1,COLUMN('Quantifiable Component 1'!E:E),4),"1","")</f>
        <v>E</v>
      </c>
      <c r="E24" s="1368" t="str">
        <f t="shared" si="0"/>
        <v>Quantifiable Component 5E</v>
      </c>
      <c r="F24" s="306">
        <f ca="1">INDIRECT("'Quantifiable Component "&amp;$B24&amp;"'!"&amp;$D24&amp;ROW('Quantifiable Component 1'!$28:$28))</f>
        <v>0</v>
      </c>
      <c r="G24" s="306">
        <f ca="1">INDIRECT("'Quantifiable Component "&amp;$B24&amp;"'!"&amp;$D24&amp;ROW('Quantifiable Component 1'!$29:$29))</f>
        <v>0</v>
      </c>
      <c r="H24" s="306">
        <f ca="1">INDIRECT("'Quantifiable Component "&amp;$B24&amp;"'!"&amp;$D24&amp;ROW('Quantifiable Component 1'!$32:$32))</f>
        <v>0</v>
      </c>
      <c r="I24" s="306">
        <f ca="1">INDIRECT("'Quantifiable Component "&amp;$B24&amp;"'!"&amp;$D24&amp;ROW('Quantifiable Component 1'!$33:$33))</f>
        <v>0</v>
      </c>
      <c r="J24" s="306">
        <f ca="1">INDIRECT("'Quantifiable Component "&amp;$B24&amp;"'!"&amp;$D24&amp;ROW('Quantifiable Component 1'!$31:$31))</f>
        <v>0</v>
      </c>
      <c r="K24" s="306" t="str">
        <f t="shared" ca="1" si="1"/>
        <v>0_0</v>
      </c>
      <c r="L24" s="306" t="str">
        <f t="shared" ca="1" si="2"/>
        <v>0_0</v>
      </c>
      <c r="M24" s="306">
        <f ca="1">INDIRECT("'Quantifiable Component "&amp;$B24&amp;"'!"&amp;$D24&amp;ROW('Quantifiable Component 1'!$37:$37))</f>
        <v>0</v>
      </c>
      <c r="N24" s="1369" t="str">
        <f ca="1">IFERROR(VLOOKUP((CONCATENATE(J24,"_",H24)),'Auto GHG'!$C$41:$D$2668,2,0),"")</f>
        <v/>
      </c>
      <c r="O24" s="306">
        <f ca="1">INDIRECT("'Quantifiable Component "&amp;$B24&amp;"'!"&amp;$D24&amp;ROW('Quantifiable Component 1'!$38:$38))</f>
        <v>0</v>
      </c>
      <c r="P24" s="1369" t="str">
        <f ca="1">IFERROR(IF(I24&lt;=2050,VLOOKUP((CONCATENATE(J24,"_",I24)),'Auto GHG'!$C$41:$D$2668,2,),VLOOKUP((CONCATENATE(J24,"_",2050)),'Auto GHG'!$C$41:$D$2668,2,)),"")</f>
        <v/>
      </c>
      <c r="Q24" s="306">
        <f ca="1">INDIRECT("'Quantifiable Component "&amp;$B24&amp;"'!"&amp;$D24&amp;ROW('Quantifiable Component 1'!$39:$39))</f>
        <v>0</v>
      </c>
      <c r="R24" s="306">
        <f ca="1">INDIRECT("'Quantifiable Component "&amp;$B24&amp;"'!"&amp;$D24&amp;ROW('Quantifiable Component 1'!$40:$40))</f>
        <v>0</v>
      </c>
      <c r="S24" s="306"/>
      <c r="T24" s="306"/>
      <c r="U24" s="1370">
        <f t="shared" ca="1" si="3"/>
        <v>0</v>
      </c>
      <c r="V24" s="1371" t="str">
        <f t="shared" ca="1" si="4"/>
        <v/>
      </c>
      <c r="W24" s="1370">
        <f t="shared" ca="1" si="5"/>
        <v>0</v>
      </c>
      <c r="X24" s="1370" t="str">
        <f t="shared" ca="1" si="6"/>
        <v/>
      </c>
      <c r="Y24" s="1372">
        <f ca="1">IFERROR(('GHG Calcs'!U24+'GHG Calcs'!W24)/2,"")</f>
        <v>0</v>
      </c>
      <c r="Z24" s="1372">
        <f t="shared" ca="1" si="7"/>
        <v>0</v>
      </c>
      <c r="AA24" s="1370" t="str">
        <f t="shared" ca="1" si="8"/>
        <v/>
      </c>
      <c r="AB24" s="1370" t="str">
        <f ca="1">IF(OR(F24=Defaults!$M$3,F24=Defaults!$M$3),AA24,"")</f>
        <v/>
      </c>
      <c r="AC24" s="306">
        <f ca="1">INDIRECT("'Quantifiable Component "&amp;$B24&amp;"'!"&amp;$D24&amp;ROW('Quantifiable Component 1'!$46:$46))</f>
        <v>0</v>
      </c>
      <c r="AD24" s="306">
        <f ca="1">INDIRECT("'Quantifiable Component "&amp;$B24&amp;"'!"&amp;$D24&amp;ROW('Quantifiable Component 1'!$49:$49))</f>
        <v>0</v>
      </c>
      <c r="AE24" s="1373">
        <f ca="1">INDIRECT("'Quantifiable Component "&amp;$B24&amp;"'!"&amp;$D24&amp;ROW('Quantifiable Component 1'!$54:$54))</f>
        <v>0</v>
      </c>
      <c r="AF24" s="306" t="str">
        <f ca="1">IFERROR(IF(ISBLANK(INDIRECT("'Quantifiable Component "&amp;$B24&amp;"'!"&amp;$D24&amp;ROW('Quantifiable Component 1'!$52:$52))),VLOOKUP($AD24,'GHG EF'!$B$10:$H$19,3,0),INDIRECT("'Quantifiable Component "&amp;$B24&amp;"'!"&amp;$D24&amp;ROW('Quantifiable Component 1'!$52:$52))),"")</f>
        <v/>
      </c>
      <c r="AG24" s="306">
        <f ca="1">INDIRECT("'Quantifiable Component "&amp;$B24&amp;"'!"&amp;$D24&amp;ROW('Quantifiable Component 1'!$51:$51))</f>
        <v>0</v>
      </c>
      <c r="AH24" s="306" t="str">
        <f t="shared" ca="1" si="9"/>
        <v>0_0</v>
      </c>
      <c r="AI24" s="1373">
        <f ca="1">INDIRECT("'Quantifiable Component "&amp;$B24&amp;"'!"&amp;$D24&amp;ROW('Quantifiable Component 1'!$53:$53))</f>
        <v>0</v>
      </c>
      <c r="AJ24" s="306" t="str">
        <f ca="1">IF(AND(AI24&gt;0,OR(AD24=Defaults!$I$5,AD24=Defaults!$I$11)), IF(AC24="Transit Bus",VLOOKUP(AH24,'Fuel Consumption'!$A$31:$L$2316,5,0), IF(AC24="Van",VLOOKUP(AH24,'Fuel Consumption'!$A$31:$L$2316,8,0), IF(AC24="Cut-A-Way",VLOOKUP(AH24,'Fuel Consumption'!$A$31:$L$2316,11,0), IF(AC24="Over-Road Coach",VLOOKUP(AH24,'Fuel Consumption'!$A$31:$L$2316,12,0)*VLOOKUP(AD24,'GHG EF'!$B$10:$H$19,4,0),IF(AC24="Heavy Rail",'Rail C&amp;T EF'!$K$14*'GHG EF'!$C$12/'GHG EF'!$C$13/4.6, IF(AC24="DMU / EMU",'Rail C&amp;T EF'!$B$149*'GHG EF'!$C$12/'GHG EF'!$C$13/3.3, IF(AC24="Light Rail",'Rail C&amp;T EF'!$K$14*'GHG EF'!$C$12/'GHG EF'!$C$13/3.3, IF(AC24="Streetcar",'Rail C&amp;T EF'!$K$14*'GHG EF'!$C$12/'GHG EF'!$C$13/3.1,0)))))))),"")</f>
        <v/>
      </c>
      <c r="AK24" s="306" t="b">
        <f ca="1">IF(AI24&gt;0,IF(OR(AD24=Defaults!$I$3,AD24=Defaults!$I$4,AD24=Defaults!$I$6,AD24=Defaults!$I$8),IF(AC24="Transit Bus",IF(AD24="Gasoline",VLOOKUP(AH24,'Fuel Consumption'!$A$31:$L$2316,3),IF(OR(AD24="CNG",AD24="LNG"),VLOOKUP(AH24,'Fuel Consumption'!$A$31:$L$2316,4),VLOOKUP(AH24,'Fuel Consumption'!$A$31:$L$2316,2))),IF(AC24="Van",IF(OR(AD24="Diesel",AD24="Renewable Diesel",AD24="Biodiesel"),VLOOKUP(AH24,'Fuel Consumption'!$A$31:$L$2316,6),IF(OR(AD24="CNG",AD24="LNG"),VLOOKUP(AH24,'Fuel Consumption'!$A$31:$L$2316,7)*VLOOKUP(AD24,'GHG EF'!$B$10:$H$19,5,0),VLOOKUP(AH24,'Fuel Consumption'!$A$31:$L$2316,7))),IF(AC24="Cut-A-Way",IF(OR(AD24="Diesel",AD24="Renewable Diesel",AD24="Biodiesel"),VLOOKUP(AH24,'Fuel Consumption'!$A$31:$L$2316,9),IF(OR(AD24="CNG",AD24="LNG"),VLOOKUP(AH24,'Fuel Consumption'!$A$31:$L$2316,10)*VLOOKUP(AD24,'GHG EF'!$B$10:$H$19,5,0),VLOOKUP(AH24,'Fuel Consumption'!$A$31:$L$2316,10))),IF(AC24="Over-Road Coach",VLOOKUP(AH24,'Fuel Consumption'!$A$31:$L$2316,12),IF(AC24="Heavy Rail",'Rail C&amp;T EF'!$K$14,IF(AC24="DMU / EMU",'Rail C&amp;T EF'!$B$149,"")))))*IF(AD24=Defaults!$I$3,1/'GHG EF'!$I$11,1)*IF(AD24=Defaults!$I$8,1/'GHG EF'!$I$16,1)),""))</f>
        <v>0</v>
      </c>
      <c r="AL24" s="306" t="str">
        <f ca="1">IF(AI24&gt;0,IF(AC24="Transit Bus",IF(AD24="Gasoline",VLOOKUP(AH24,'Fuel Consumption'!$A$31:$L$2316,3,0)*VLOOKUP(AD24,'GHG EF'!$B$10:$H$19,5,0),IF(OR(AD24="LNG",AD24="CNG",AD24="Renewable Natural Gas"),VLOOKUP(AH24,'Fuel Consumption'!$A$31:$L$2316,4)*VLOOKUP(AD24,'GHG EF'!$B$10:$H$19,4,0),IF(OR(AD24="Electric",AD24="Renewable Electricity"),VLOOKUP(AH24,'Fuel Consumption'!$A$31:$L$2316,5,0),IF(AD24="Hydrogen Fuel Cell",VLOOKUP(AH24,'Fuel Consumption'!$A$31:$L$2316,5,0)*'GHG EF'!$C$13/'GHG EF'!$C$15*'GHG EF'!$I$13/'GHG EF'!$I$15,VLOOKUP(AH24,'Fuel Consumption'!$A$31:$L$2316,2,0)*VLOOKUP(AD24,'GHG EF'!$B$10:$H$19,4,0))))),
IF(AC24="Van",IF(OR(AD24="Diesel",AD24="Renewable Diesel",AD24="Biodiesel"),VLOOKUP(AH24,'Fuel Consumption'!$A$31:$L$2316,6,0)*VLOOKUP(AD24,'GHG EF'!$B$10:$H$19,4,0),IF(OR(AD24="LNG",AD24="CNG",AD24="Renewable Natural Gas"),VLOOKUP(AH24,'Fuel Consumption'!$A$31:$L$2316,7)*VLOOKUP(AD24,'GHG EF'!$B$10:$H$19,5,0),IF(OR(AD24="Electric",AD24="Renewable Electricity"),VLOOKUP(AH24,'Fuel Consumption'!$A$31:$L$2316,8,0),IF(AD24="Hydrogen Fuel Cell",VLOOKUP(AH24,'Fuel Consumption'!$A$31:$L$2316,8,0)*'GHG EF'!$C$13/'GHG EF'!$C$15*'GHG EF'!$J$13/'GHG EF'!$J$15,VLOOKUP(AH24,'Fuel Consumption'!$A$31:$L$2316,7,0)*VLOOKUP(AD24,'GHG EF'!$B$10:$H$19,5,0))))),
IF(AC24="Cut-A-Way",IF(OR(AD24="Diesel",AD24="Renewable Diesel",AD24="Biodiesel"),VLOOKUP(AH24,'Fuel Consumption'!$A$31:$L$2316,9,0)*VLOOKUP(AD24,'GHG EF'!$B$10:$H$19,4,0),IF(OR(AD24="LNG",AD24="CNG",AD24="Renewable Natural Gas"),VLOOKUP(AH24,'Fuel Consumption'!$A$31:$L$2316,10)*VLOOKUP(AD24,'GHG EF'!$B$10:$H$19,5,0),IF(OR(AD24="Electric",AD24="Renewable Electricity"),VLOOKUP(AH24,'Fuel Consumption'!$A$31:$L$2316,11,0),IF(AD24="Hydrogen Fuel Cell",VLOOKUP(AH24,'Fuel Consumption'!$A$31:$L$2316,11,0)*'GHG EF'!$C$13/'GHG EF'!$C$15*'GHG EF'!$J$13/'GHG EF'!$J$15,VLOOKUP(AH24,'Fuel Consumption'!$A$31:$L$2316,10,0)*VLOOKUP(AD24,'GHG EF'!$B$10:$H$19,5,0))))),
IF(AC24="Over-Road Coach",VLOOKUP(AH24,'Fuel Consumption'!$A$31:$L$2316,12,0)*VLOOKUP(AD24,'GHG EF'!$B$10:$H$19,4,0),IF(AC24="Heavy Rail",IF(OR(AD24=Defaults!$I$5,AD24=Defaults!$I$11),'Rail C&amp;T EF'!$K$14*'GHG EF'!$C$12/'GHG EF'!$C$13/4.6,'Rail C&amp;T EF'!$K$14*VLOOKUP(AD24,'GHG EF'!$B$10:$H$19,4,0)),IF(AC24="DMU / EMU",IF(OR(AD24=Defaults!$I$5,AD24=Defaults!$I$11),'Rail C&amp;T EF'!$B$149*'GHG EF'!$C$12/'GHG EF'!$C$13/3.3,'Rail C&amp;T EF'!$B$149*VLOOKUP(AD24,'GHG EF'!$B$10:$H$19,4,0)),IF(AC24="Light Rail",'Rail C&amp;T EF'!$K$14*'GHG EF'!$C$12/'GHG EF'!$C$13/3.3,IF(AC24="Streetcar",'Rail C&amp;T EF'!$K$14*'GHG EF'!$C$12/'GHG EF'!$C$13/3.1,"")))))))),"")</f>
        <v/>
      </c>
      <c r="AM24" s="306" t="str">
        <f ca="1">IFERROR((IF(AD24="Gasoline",VLOOKUP(AH24,'Fuel Consumption'!$A$31:$L$2316,3,0)*VLOOKUP(AD24,'GHG EF'!$B$10:$H$19,5,0), IF(OR(AD24="CNG",AD24="LNG",AD24="Renewable Natural Gas"),VLOOKUP(AH24,'Fuel Consumption'!$A$31:$L$2316,4,0)*VLOOKUP(AD24,'GHG EF'!$B$10:$H$19,4,0),IF(OR(AD24="Electric",AD24="Renewable Electricity"),VLOOKUP(AH24,'Fuel Consumption'!$A$31:$L$2316,5,0),IF(AD24="Hydrogen Fuel Cell",VLOOKUP(AH24,'Fuel Consumption'!$A$31:$L$2316,5,0)*'GHG EF'!$C$13/'GHG EF'!$C$15*'GHG EF'!$I$13/'GHG EF'!$I$15,VLOOKUP(AH24,'Fuel Consumption'!$A$31:$L$2316,2,0)*VLOOKUP(AD24,'GHG EF'!$B$10:$H$19,4,0))))) * VLOOKUP(AD24,'GHG EF'!$B$10:$H$19,2,0) * AF24),"")</f>
        <v/>
      </c>
      <c r="AN24" s="306" t="str">
        <f ca="1">IFERROR((IF(OR(AD24="Diesel",AD24="Renewable Diesel",AD24="Biodiesel"),VLOOKUP(AH24,'Fuel Consumption'!$A$31:$L$2316,6,0)*VLOOKUP(AD24,'GHG EF'!$B$10:$H$19,4,0),IF(OR(AD24="CNG",AD24="LNG",AD24="Renewable Natural Gas"),VLOOKUP(AH24,'Fuel Consumption'!$A$31:$L$2316,7,0)*VLOOKUP(AD24,'GHG EF'!$B$10:$H$19,5,0),IF(OR(AD24="Electric",AD24="Renewable Electricity"),VLOOKUP(AH24,'Fuel Consumption'!$A$31:$L$2316,8,0),IF(AD24="Hydrogen Fuel Cell",VLOOKUP(AH24,'Fuel Consumption'!$A$31:$L$2316,8,0)*'GHG EF'!$C$13/'GHG EF'!$C$15*'GHG EF'!$J$13/'GHG EF'!$J$15,VLOOKUP(AH24,'Fuel Consumption'!$A$31:$L$2316,7,0)*VLOOKUP(AD24,'GHG EF'!$B$10:$H$19,5,0)))))*VLOOKUP(AD24,'GHG EF'!$B$10:$H$19,2,0)*AF24),"")</f>
        <v/>
      </c>
      <c r="AO24" s="306" t="str">
        <f ca="1">IFERROR((IF(OR(AD24="Diesel",AD24="Renewable Diesel",AD24="Biodiesel"),VLOOKUP(AH24,'Fuel Consumption'!$A$31:$L$2316,9,0)*VLOOKUP(AD24,'GHG EF'!$B$10:$H$19,4,0),IF(OR(AD24="CNG",AD24="LNG",AD24="Renewable Natural Gas"),VLOOKUP(AH24,'Fuel Consumption'!$A$31:$L$2316,10,0)*VLOOKUP(AD24,'GHG EF'!$B$10:$H$19,5,0),IF(OR(AD24="Electric",AD24="Renewable Electricity"),VLOOKUP(AH24,'Fuel Consumption'!$A$31:$L$2316,11,0),IF(AD24="Hydrogen Fuel Cell",VLOOKUP(AH24,'Fuel Consumption'!$A$31:$L$2316,11,0)*'GHG EF'!$C$13/'GHG EF'!$C$15*'GHG EF'!$J$13/'GHG EF'!$J$15,VLOOKUP(AH24,'Fuel Consumption'!$A$31:$L$2316,10,0)*VLOOKUP(AD24,'GHG EF'!$B$10:$H$19,5,0))))) * VLOOKUP(AD24,'GHG EF'!$B$10:$H$19,2,0) * AF24),"")</f>
        <v/>
      </c>
      <c r="AP24" s="306" t="str">
        <f ca="1">IFERROR(VLOOKUP(AH24,'Fuel Consumption'!$A$31:$L$2316,12,0)*VLOOKUP(AD24,'GHG EF'!$B$10:$H$19,4,0) * VLOOKUP(AD24,'GHG EF'!$B$10:$H$19,2,0) * AF24,"")</f>
        <v/>
      </c>
      <c r="AQ24" s="1374" t="str">
        <f ca="1">IFERROR(IF(OR(AD24=Defaults!$I$5,AD24=Defaults!$I$11), 'GHG EF'!$C$13*'GHG EF'!$C$12/'GHG EF'!$C$13/4.6, VLOOKUP(AD24,'GHG EF'!$B$10:$H$19,4,0)*VLOOKUP(AD24,'GHG EF'!$B$10:$H$19,2,0))*AF24*'Rail C&amp;T EF'!$K$14,"")</f>
        <v/>
      </c>
      <c r="AR24" s="1374" t="str">
        <f ca="1">IFERROR(IF(OR(AD24=Defaults!$I$5,AD24=Defaults!$I$11), 'GHG EF'!$C$13*'GHG EF'!$C$12/'GHG EF'!$C$13/3.3, VLOOKUP(AD24,'GHG EF'!$B$10:$H$19,4,0)*VLOOKUP(AD24,'GHG EF'!$B$10:$H$19,2,0))*AF24*'Rail C&amp;T EF'!$B$149,"")</f>
        <v/>
      </c>
      <c r="AS24" s="1374" t="str">
        <f ca="1">IFERROR(VLOOKUP(AD24,'GHG EF'!$B$10:$H$19,2,0)*AF24,"")</f>
        <v/>
      </c>
      <c r="AT24" s="1374" t="str">
        <f ca="1">IF(OR(AD24=Defaults!$I$5,AD24=Defaults!$I$10),'GHG EF'!$C$13*AF24*'GHG EF'!$C$12/'GHG EF'!$C$13/3.3*'Rail C&amp;T EF'!$K$14,"")</f>
        <v/>
      </c>
      <c r="AU24" s="1374" t="str">
        <f ca="1">IF(OR(AD24=Defaults!$I$5,AD24=Defaults!$I$10),'GHG EF'!$C$13*AF24*'GHG EF'!$C$12/'GHG EF'!$C$13/3.1*'Rail C&amp;T EF'!$K$14,"")</f>
        <v/>
      </c>
      <c r="AV24" s="1374">
        <f ca="1">IF(OR($AD24=Defaults!$I$5, $AD24=Defaults!$I$7, $AD24=Defaults!$I$11),Defaults!$G$15,INDIRECT("'Quantifiable Component "&amp;$B24&amp;"'!"&amp;$D24&amp;ROW('Quantifiable Component 1'!$50:$50)))</f>
        <v>0</v>
      </c>
      <c r="AW24" s="1374" t="str">
        <f ca="1">IFERROR((IF(AND(AV24="yes",NOT(AD24=Defaults!$I$5),NOT(AD24=Defaults!$I$7),NOT(AD24=Defaults!$I$11)),0.8,1))*(IF(AC24="Transit Bus",AM24,IF(AC24="Van",AN24,IF(AC24="Cut-A-Way",AO24,IF(AC24="Over-Road Coach",AP24,IF(AC24="Heavy Rail",AQ24,IF(AC24="DMU / EMU",AR24,IF(AC24="Ferry",AS24,IF(AC24="Light Rail",AT24,AU24))))))))),"")</f>
        <v/>
      </c>
      <c r="AX24" s="1374" t="str">
        <f ca="1">IFERROR(VLOOKUP($AD24,'GHG EF'!$B$10:$H$19,2,0)*AF24,"")</f>
        <v/>
      </c>
      <c r="AY24" s="1375" t="str">
        <f t="shared" ca="1" si="10"/>
        <v/>
      </c>
      <c r="AZ24" s="1374" t="str">
        <f t="shared" ca="1" si="11"/>
        <v/>
      </c>
      <c r="BA24" s="1375" t="str">
        <f ca="1">IFERROR(IF(G24=Defaults!$F$2,0,IF(AZ24&gt;0,AZ24*(I24-H24),AY24*(I24-H24))),"")</f>
        <v/>
      </c>
      <c r="BB24" s="1373" t="str">
        <f t="shared" ca="1" si="12"/>
        <v/>
      </c>
      <c r="BC24" s="1376">
        <f ca="1">INDIRECT("'Quantifiable Component "&amp;$B24&amp;"'!"&amp;$D24&amp;ROW('Quantifiable Component 1'!$58:$58))</f>
        <v>0</v>
      </c>
      <c r="BD24" s="306">
        <f ca="1">INDIRECT("'Quantifiable Component "&amp;$B24&amp;"'!"&amp;$D24&amp;ROW('Quantifiable Component 1'!$61:$61))</f>
        <v>0</v>
      </c>
      <c r="BE24" s="306">
        <f ca="1">INDIRECT("'Quantifiable Component "&amp;$B24&amp;"'!"&amp;$D24&amp;ROW('Quantifiable Component 1'!$66:$66))</f>
        <v>0</v>
      </c>
      <c r="BF24" s="306" t="str">
        <f ca="1">IFERROR(IF(ISBLANK(INDIRECT("'Quantifiable Component "&amp;$B24&amp;"'!"&amp;$D24&amp;ROW('Quantifiable Component 1'!$64:$64))),VLOOKUP($BD24,'GHG EF'!$B$10:$H$19,3,0),INDIRECT("'Quantifiable Component "&amp;$B24&amp;"'!"&amp;$D24&amp;ROW('Quantifiable Component 1'!$64:$64))),"")</f>
        <v/>
      </c>
      <c r="BG24" s="306">
        <f ca="1">INDIRECT("'Quantifiable Component "&amp;$B24&amp;"'!"&amp;$D24&amp;ROW('Quantifiable Component 1'!$63:$63))</f>
        <v>0</v>
      </c>
      <c r="BH24" s="1373">
        <f ca="1">INDIRECT("'Quantifiable Component "&amp;$B24&amp;"'!"&amp;$D24&amp;ROW('Quantifiable Component 1'!$65:$65))</f>
        <v>0</v>
      </c>
      <c r="BI24" s="306" t="str">
        <f ca="1">IF(AND(BH24&gt;0,OR(BD24=Defaults!$I$5,BD24=Defaults!$I$11)), IF(BC24="Transit Bus",VLOOKUP(BL24,'Fuel Consumption'!$A$31:$L$2316,5,0), IF(BC24="Van",VLOOKUP(BL24,'Fuel Consumption'!$A$31:$L$2316,8,0), IF(BC24="Cut-A-Way",VLOOKUP(BL24,'Fuel Consumption'!$A$31:$L$2316,11,0), IF(BC24="Over-Road Coach",VLOOKUP(BL24,'Fuel Consumption'!$A$31:$L$2316,12,0)*VLOOKUP(BD24,'GHG EF'!$B$10:$H$19,4,0),IF(BC24="Heavy Rail",'Rail C&amp;T EF'!$K$14*'GHG EF'!$C$12/'GHG EF'!$C$13/4.6, IF(BC24="DMU / EMU",'Rail C&amp;T EF'!$B$149*'GHG EF'!$C$12/'GHG EF'!$C$13/3.3, IF(BC24="Light Rail",'Rail C&amp;T EF'!$K$14*'GHG EF'!$C$12/'GHG EF'!$C$13/3.3, IF(BC24="Streetcar",'Rail C&amp;T EF'!$K$14*'GHG EF'!$C$12/'GHG EF'!$C$13/3.1,0)))))))),"")</f>
        <v/>
      </c>
      <c r="BJ24" s="306" t="str">
        <f ca="1">IF(BH24&gt;0,IF(OR(BD24=Defaults!$I$3,BD24=Defaults!$I$4, BD24=Defaults!$I$6, BD24=Defaults!$I$8),IF(BC24="Transit Bus",IF(BD24="Gasoline",VLOOKUP(BL24,'Fuel Consumption'!$A$31:$L$2316,3), IF(OR(BD24="CNG",BD24="LNG"),VLOOKUP(BL24,'Fuel Consumption'!$A$31:$L$2316,4,0),VLOOKUP(BL24,'Fuel Consumption'!$A$31:$L$2316,2))), IF(BC24="Van",IF(OR(BD24="Diesel",BD24="Renewable Diesel",BD24="Biodiesel"),VLOOKUP(BL24,'Fuel Consumption'!$A$31:$L$2316,6),IF(OR(BD24="CNG",BD24="LNG"),VLOOKUP(BL24,'Fuel Consumption'!$A$31:$L$2316,7,0)*VLOOKUP(BD24,'GHG EF'!$B$10:$H$19,5,0), VLOOKUP(BL24,'Fuel Consumption'!$A$31:$L$2316,7))), IF(BC24="Cut-A-Way",IF(OR(BD24="Diesel",BD24="Renewable Diesel",BD24="Biodiesel"),VLOOKUP(BL24,'Fuel Consumption'!$A$31:$L$2316,9),IF(OR(BD24="CNG",BD24="LNG"),VLOOKUP(BL24,'Fuel Consumption'!$A$31:$L$2316,10,0)*VLOOKUP(BD24,'GHG EF'!$B$10:$H$19,5,0), VLOOKUP(BL24,'Fuel Consumption'!$A$31:$L$2316,10))), IF(BC24="Over-Road Coach",VLOOKUP(BL24,'Fuel Consumption'!$A$31:$L$2316,12),IF(BC24="Heavy Rail",'Rail C&amp;T EF'!$K$14, IF(BC24="DMU / EMU",'Rail C&amp;T EF'!$B$149,"")))))) * IF(BD24=Defaults!$I$3,1/'GHG EF'!$I$11,1) * IF(BD24=Defaults!$I$8,1/'GHG EF'!$I$16,1),""),"")</f>
        <v/>
      </c>
      <c r="BK24" s="306" t="str">
        <f ca="1">IF(BH24&gt;0,IF(BC24="Transit Bus",IF(BD24="Gasoline",VLOOKUP(BL24,'Fuel Consumption'!$A$31:$L$2316,3,0)*VLOOKUP(BD24,'GHG EF'!$B$10:$H$19,5,0),IF(OR(BD24="CNG",BD24="LNG",BD24="Renewable Natural Gas"),VLOOKUP(BL24,'Fuel Consumption'!$A$31:$L$2316,4,0)*VLOOKUP(BD24,'GHG EF'!$B$10:$H$19,4,0), IF(OR(BD24="Electric",BD24="Renewable Electricity"),VLOOKUP(BL24,'Fuel Consumption'!$A$31:$L$2316,5,0),IF(BD24="Hydrogen Fuel Cell",VLOOKUP(BL24,'Fuel Consumption'!$A$31:$L$2316,5,0)*'GHG EF'!$C$13/'GHG EF'!$C$15*'GHG EF'!$I$13/'GHG EF'!$I$15, VLOOKUP(BL24,'Fuel Consumption'!$A$31:$L$2316,2,0)*VLOOKUP(BD24,'GHG EF'!$B$10:$H$19,4,0))))),
IF(BC24="Van",IF(OR(BD24="Diesel",BD24="Renewable Diesel",BD24="Biodiesel"),VLOOKUP(BL24,'Fuel Consumption'!$A$31:$L$2316,6,0)*VLOOKUP(BD24,'GHG EF'!$B$10:$H$19,4,0), IF(OR(BD24="CNG",BD24="LNG",BD24="Renewable Natural Gas"),VLOOKUP(BL24,'Fuel Consumption'!$A$31:$L$2316,7,0)*VLOOKUP(BD24,'GHG EF'!$B$10:$H$19,5,0), IF(OR(BD24="Electric",BD24="Renewable Electricity"),VLOOKUP(BL24,'Fuel Consumption'!$A$31:$L$2316,8,0),IF(BD24="Hydrogen Fuel Cell",VLOOKUP(BL24,'Fuel Consumption'!$A$31:$L$2316,8,0)*'GHG EF'!$C$13/'GHG EF'!$C$15*'GHG EF'!$J$13/'GHG EF'!$J$15,VLOOKUP(BL24,'Fuel Consumption'!$A$31:$L$2316,7,0)*VLOOKUP(BD24,'GHG EF'!$B$10:$H$19,5,0))))),
IF(BC24="Cut-A-Way",IF(OR(BD24="Diesel",BD24="Renewable Diesel",BD24="Biodiesel"),VLOOKUP(BL24,'Fuel Consumption'!$A$31:$L$2316,9,0)*VLOOKUP(BD24,'GHG EF'!$B$10:$H$19,4,0),IF(OR(BD24="CNG",BD24="LNG",BD24="Renewable Natural Gas"),VLOOKUP(BL24,'Fuel Consumption'!$A$31:$L$2316,10,0)*VLOOKUP(BD24,'GHG EF'!$B$10:$H$19,5,0), IF(OR(BD24="Electric",BD24="Renewable Electricity"),VLOOKUP(BL24,'Fuel Consumption'!$A$31:$L$2316,11,0),IF(BD24="Hydrogen Fuel Cell",VLOOKUP(BL24,'Fuel Consumption'!$A$31:$L$2316,11,0)*'GHG EF'!$C$13/'GHG EF'!$C$15*'GHG EF'!$J$13/'GHG EF'!$J$15, VLOOKUP(BL24,'Fuel Consumption'!$A$31:$L$2316,10,0)*VLOOKUP(BD24,'GHG EF'!$B$10:$H$19,5,0))))),
IF(BC24="Over-Road Coach",VLOOKUP(BL24,'Fuel Consumption'!$A$31:$L$2316,12,0)*VLOOKUP(BD24,'GHG EF'!$B$10:$H$19,4,0),IF(BC24="Heavy Rail",IF(OR(BD24=Defaults!$I$5,BD24=Defaults!$I$11), 'Rail C&amp;T EF'!$K$14*'GHG EF'!$C$12/'GHG EF'!$C$13/4.6, 'Rail C&amp;T EF'!$K$14*VLOOKUP(BD24,'GHG EF'!$B$10:$H$19,4,0)),IF(BC24="DMU / EMU",IF(OR(BD24=Defaults!$I$5,BD24=Defaults!$I$11), 'Rail C&amp;T EF'!$B$149*'GHG EF'!$C$12/'GHG EF'!$C$13/3.3, 'Rail C&amp;T EF'!$B$149*VLOOKUP(BD24,'GHG EF'!$B$10:$H$19,4,0)),IF(BC24="Light Rail",'Rail C&amp;T EF'!$K$14*'GHG EF'!$C$12/'GHG EF'!$C$13/3.3,IF(BC24="Streetcar",'Rail C&amp;T EF'!$K$14*'GHG EF'!$C$12/'GHG EF'!$C$13/3.1,"")))))))),"")</f>
        <v/>
      </c>
      <c r="BL24" s="306" t="str">
        <f t="shared" ca="1" si="13"/>
        <v>0_0</v>
      </c>
      <c r="BM24" s="306" t="str">
        <f ca="1">IFERROR((IF(BD24="Gasoline",VLOOKUP(BL24,'Fuel Consumption'!$A$31:$L$2316,3,0)*VLOOKUP(BD24,'GHG EF'!$B$10:$H$19,5,0), IF(OR(BD24="CNG",BD24="LNG",BD24="Renewable Natural Gas"),VLOOKUP(BL24,'Fuel Consumption'!$A$31:$L$2316,4,0)*VLOOKUP(BD24,'GHG EF'!$B$10:$H$19,4,0),IF(OR(BD24="Electric",BD24="Renewable Electricity"),VLOOKUP(BL24,'Fuel Consumption'!$A$31:$L$2316,5,0),IF(BD24="Hydrogen Fuel Cell",VLOOKUP(BL24,'Fuel Consumption'!$A$31:$L$2316,5,0)*'GHG EF'!$C$13/'GHG EF'!$C$15*'GHG EF'!$I$13/'GHG EF'!$I$15,VLOOKUP(BL24,'Fuel Consumption'!$A$31:$L$2316,2,0)*VLOOKUP(BD24,'GHG EF'!$B$10:$H$19,4,0))))) * VLOOKUP(BD24,'GHG EF'!$B$10:$H$19,2,0) * BF24),"")</f>
        <v/>
      </c>
      <c r="BN24" s="306" t="str">
        <f ca="1">IFERROR((IF(OR(BD24="Diesel",BD24="Renewable Diesel",BD24="Biodiesel"),VLOOKUP(BL24,'Fuel Consumption'!$A$31:$L$2316,6,0)*VLOOKUP(BD24,'GHG EF'!$B$10:$H$19,4,0),IF(OR(BD24="CNG",BD24="LNG",BD24="Renewable Natural Gas"),VLOOKUP(BL24,'Fuel Consumption'!$A$31:$L$2316,7,0)*VLOOKUP(BD24,'GHG EF'!$B$10:$H$19,5,0),IF(OR(BD24="Electric",BD24="Renewable Electricity"),VLOOKUP(BL24,'Fuel Consumption'!$A$31:$L$2316,8,0),IF(BD24="Hydrogen Fuel Cell",VLOOKUP(BL24,'Fuel Consumption'!$A$31:$L$2316,8,0)*'GHG EF'!$C$13/'GHG EF'!$C$15*'GHG EF'!$J$13/'GHG EF'!$J$15,VLOOKUP(BL24,'Fuel Consumption'!$A$31:$L$2316,7,0)*VLOOKUP(BD24,'GHG EF'!$B$10:$H$19,5,0)))))*VLOOKUP(BD24,'GHG EF'!$B$10:$H$19,2,0)*BF24),"")</f>
        <v/>
      </c>
      <c r="BO24" s="306" t="str">
        <f ca="1">IFERROR((IF(OR(BD24="Diesel",BD24="Renewable Diesel",BD24="Biodiesel"),VLOOKUP(BL24,'Fuel Consumption'!$A$31:$L$2316,9,0)*VLOOKUP(BD24,'GHG EF'!$B$10:$H$19,4,0),IF(OR(BD24="CNG",BD24="LNG",BD24="Renewable Natural Gas"),VLOOKUP(BL24,'Fuel Consumption'!$A$31:$L$2316,10,0)*VLOOKUP(BD24,'GHG EF'!$B$10:$H$19,5,0),IF(OR(BD24="Electric",BD24="Renewable Electricity"),VLOOKUP(BL24,'Fuel Consumption'!$A$31:$L$2316,11,0),IF(BD24="Hydrogen Fuel Cell",VLOOKUP(BL24,'Fuel Consumption'!$A$31:$L$2316,11,0)*'GHG EF'!$C$13/'GHG EF'!$C$15*'GHG EF'!$J$13/'GHG EF'!$J$15,VLOOKUP(BL24,'Fuel Consumption'!$A$31:$L$2316,10,0)*VLOOKUP(BD24,'GHG EF'!$B$10:$H$19,5,0))))) * VLOOKUP(BD24,'GHG EF'!$B$10:$H$19,2,0) * BF24),"")</f>
        <v/>
      </c>
      <c r="BP24" s="306" t="str">
        <f ca="1">IFERROR(VLOOKUP(BL24,'Fuel Consumption'!$A$31:$L$2316,12,0)*VLOOKUP(BD24,'GHG EF'!$B$10:$H$19,4,0) * VLOOKUP(BD24,'GHG EF'!$B$10:$H$19,2,0) * BF24,"")</f>
        <v/>
      </c>
      <c r="BQ24" s="1374" t="str">
        <f ca="1">IFERROR(IF(OR($BD24=Defaults!$I$5,$BD24=Defaults!$I$11), 'GHG EF'!$C$13*'GHG EF'!$C$12/'GHG EF'!$C$13/4.6, VLOOKUP(BD24,'GHG EF'!$B$10:$H$19,4,0)*VLOOKUP(BD24,'GHG EF'!$B$10:$H$19,2,0))*BF24*'Rail C&amp;T EF'!$K$14,"")</f>
        <v/>
      </c>
      <c r="BR24" s="1374" t="str">
        <f ca="1">IFERROR(IF(OR($BD24=Defaults!$I$5,$BD24=Defaults!$I$11), 'GHG EF'!$C$13*'GHG EF'!$C$12/'GHG EF'!$C$13/3.3, VLOOKUP(BD24,'GHG EF'!$B$10:$H$19,4,0)*VLOOKUP(BD24,'GHG EF'!$B$10:$H$19,2,0))*BF24*'Rail C&amp;T EF'!$B$149,"")</f>
        <v/>
      </c>
      <c r="BS24" s="1374" t="str">
        <f ca="1">IFERROR(VLOOKUP(BD24,'GHG EF'!$B$10:$H$19,2,0)*BF24,"")</f>
        <v/>
      </c>
      <c r="BT24" s="1374" t="str">
        <f ca="1">IF(OR($BD24=Defaults!$I$5,$BD24=Defaults!$I$10),'GHG EF'!$C$13*BF24*'GHG EF'!$C$12/'GHG EF'!$C$13/3.3*'Rail C&amp;T EF'!$K$14,"")</f>
        <v/>
      </c>
      <c r="BU24" s="1374" t="str">
        <f ca="1">IF(OR($BD24=Defaults!$I$5,$BD24=Defaults!$I$10),'GHG EF'!$C$13*BF24*'GHG EF'!$C$12/'GHG EF'!$C$13/3.1*'Rail C&amp;T EF'!$K$14,"")</f>
        <v/>
      </c>
      <c r="BV24" s="1374">
        <f ca="1">IF(OR($AD24=Defaults!$I$5, $AD24=Defaults!$I$7, $AD24=Defaults!$I$11),Defaults!$G$15,INDIRECT("'Quantifiable Component "&amp;$B24&amp;"'!"&amp;$D24&amp;ROW('Quantifiable Component 1'!$62:$62)))</f>
        <v>0</v>
      </c>
      <c r="BW24" s="1374" t="str">
        <f ca="1">IFERROR((IF(AND(BV24="yes",NOT(BD24=Defaults!$I$5),NOT(BD24=Defaults!$I$7),NOT(BD24=Defaults!$I$11)),0.8,1))*(IF(BC24="Transit Bus",BM24,IF(BC24="Van",BN24,IF(BC24="Cut-A-Way",BO24,IF(BC24="Over-Road Coach",BP24,IF(BC24="Heavy Rail",BQ24,IF(BC24="DMU / EMU",BR24,IF(BC24="Ferry",BS24,IF(BC24="Light Rail",BT24,BU24))))))))),"")</f>
        <v/>
      </c>
      <c r="BX24" s="1377" t="str">
        <f ca="1">IFERROR(VLOOKUP($BD24,'GHG EF'!$B$10:$H$19,2,0)*BF24,"")</f>
        <v/>
      </c>
      <c r="BY24" s="1377" t="str">
        <f t="shared" ca="1" si="14"/>
        <v/>
      </c>
      <c r="BZ24" s="1377" t="str">
        <f t="shared" ca="1" si="15"/>
        <v/>
      </c>
      <c r="CA24" s="1377" t="str">
        <f t="shared" ca="1" si="16"/>
        <v/>
      </c>
      <c r="CB24" s="1373" t="str">
        <f t="shared" ca="1" si="17"/>
        <v/>
      </c>
      <c r="CC24" s="1376">
        <f ca="1">INDIRECT("'Quantifiable Component "&amp;$B24&amp;"'!"&amp;$D24&amp;ROW('Quantifiable Component 1'!$69:$69))</f>
        <v>0</v>
      </c>
      <c r="CD24" s="1376">
        <f ca="1">INDIRECT("'Quantifiable Component "&amp;$B24&amp;"'!"&amp;$D24&amp;ROW('Quantifiable Component 1'!$72:$72))</f>
        <v>0</v>
      </c>
      <c r="CE24" s="1373">
        <f ca="1">INDIRECT("'Quantifiable Component "&amp;$B24&amp;"'!"&amp;$D24&amp;ROW('Quantifiable Component 1'!$74:$74))</f>
        <v>0</v>
      </c>
      <c r="CF24" s="306">
        <f ca="1">INDIRECT("'Quantifiable Component "&amp;$B24&amp;"'!"&amp;$D24&amp;ROW('Quantifiable Component 1'!$73:$73))</f>
        <v>0</v>
      </c>
      <c r="CG24" s="306" t="str">
        <f t="shared" ca="1" si="18"/>
        <v>0_0</v>
      </c>
      <c r="CH24" s="1373" t="str">
        <f ca="1">IFERROR(VLOOKUP($CD24,'GHG EF'!$B$10:$H$19,2,0)*VLOOKUP($CD24,'GHG EF'!$B$10:$H$19,3,0),"")</f>
        <v/>
      </c>
      <c r="CI24" s="1373" t="str">
        <f t="shared" ca="1" si="19"/>
        <v/>
      </c>
      <c r="CJ24" s="1373" t="str">
        <f t="shared" ca="1" si="20"/>
        <v/>
      </c>
      <c r="CK24" s="1378" t="str">
        <f ca="1">IF($F24=Defaults!$M$2, $BB24+IF($CA24="",0,$CA24)+IF($CJ24="",0,$CJ24), IF($F24=Defaults!$M$4,$CB24+IF($CJ24="",0,$CJ24),IF($F24=Defaults!$M$3,$AB24+IF($CJ24="",0,$CJ24), IF($F24=Defaults!$M$5,$CJ24,""))))</f>
        <v/>
      </c>
      <c r="CL24" s="1643">
        <f t="shared" ref="CL24" ca="1" si="24">SUM(CK24:CK26)</f>
        <v>0</v>
      </c>
    </row>
    <row r="25" spans="1:90" s="117" customFormat="1" ht="15.5" x14ac:dyDescent="0.35">
      <c r="A25" s="1647"/>
      <c r="B25" s="1367">
        <v>5</v>
      </c>
      <c r="C25" s="1379">
        <v>2</v>
      </c>
      <c r="D25" s="1368" t="str">
        <f>SUBSTITUTE(ADDRESS(1,COLUMN('Quantifiable Component 1'!H:H),4),"1","")</f>
        <v>H</v>
      </c>
      <c r="E25" s="1368" t="str">
        <f t="shared" si="0"/>
        <v>Quantifiable Component 5H</v>
      </c>
      <c r="F25" s="306">
        <f ca="1">INDIRECT("'Quantifiable Component "&amp;$B25&amp;"'!"&amp;$D25&amp;ROW('Quantifiable Component 1'!$28:$28))</f>
        <v>0</v>
      </c>
      <c r="G25" s="306">
        <f ca="1">INDIRECT("'Quantifiable Component "&amp;$B25&amp;"'!"&amp;$D25&amp;ROW('Quantifiable Component 1'!$29:$29))</f>
        <v>0</v>
      </c>
      <c r="H25" s="306">
        <f ca="1">INDIRECT("'Quantifiable Component "&amp;$B25&amp;"'!"&amp;$D25&amp;ROW('Quantifiable Component 1'!$32:$32))</f>
        <v>0</v>
      </c>
      <c r="I25" s="306">
        <f ca="1">INDIRECT("'Quantifiable Component "&amp;$B25&amp;"'!"&amp;$D25&amp;ROW('Quantifiable Component 1'!$33:$33))</f>
        <v>0</v>
      </c>
      <c r="J25" s="306">
        <f ca="1">INDIRECT("'Quantifiable Component "&amp;$B25&amp;"'!"&amp;$D25&amp;ROW('Quantifiable Component 1'!$31:$31))</f>
        <v>0</v>
      </c>
      <c r="K25" s="306" t="str">
        <f t="shared" ca="1" si="1"/>
        <v>0_0</v>
      </c>
      <c r="L25" s="306" t="str">
        <f t="shared" ca="1" si="2"/>
        <v>0_0</v>
      </c>
      <c r="M25" s="306">
        <f ca="1">INDIRECT("'Quantifiable Component "&amp;$B25&amp;"'!"&amp;$D25&amp;ROW('Quantifiable Component 1'!$37:$37))</f>
        <v>0</v>
      </c>
      <c r="N25" s="1369" t="str">
        <f ca="1">IFERROR(VLOOKUP((CONCATENATE(J25,"_",H25)),'Auto GHG'!$C$41:$D$2668,2,0),"")</f>
        <v/>
      </c>
      <c r="O25" s="306">
        <f ca="1">INDIRECT("'Quantifiable Component "&amp;$B25&amp;"'!"&amp;$D25&amp;ROW('Quantifiable Component 1'!$38:$38))</f>
        <v>0</v>
      </c>
      <c r="P25" s="1369" t="str">
        <f ca="1">IFERROR(IF(I25&lt;=2050,VLOOKUP((CONCATENATE(J25,"_",I25)),'Auto GHG'!$C$41:$D$2668,2,),VLOOKUP((CONCATENATE(J25,"_",2050)),'Auto GHG'!$C$41:$D$2668,2,)),"")</f>
        <v/>
      </c>
      <c r="Q25" s="306">
        <f ca="1">INDIRECT("'Quantifiable Component "&amp;$B25&amp;"'!"&amp;$D25&amp;ROW('Quantifiable Component 1'!$39:$39))</f>
        <v>0</v>
      </c>
      <c r="R25" s="306">
        <f ca="1">INDIRECT("'Quantifiable Component "&amp;$B25&amp;"'!"&amp;$D25&amp;ROW('Quantifiable Component 1'!$40:$40))</f>
        <v>0</v>
      </c>
      <c r="S25" s="306"/>
      <c r="T25" s="306"/>
      <c r="U25" s="1370">
        <f t="shared" ca="1" si="3"/>
        <v>0</v>
      </c>
      <c r="V25" s="1371" t="str">
        <f t="shared" ca="1" si="4"/>
        <v/>
      </c>
      <c r="W25" s="1370">
        <f t="shared" ca="1" si="5"/>
        <v>0</v>
      </c>
      <c r="X25" s="1370" t="str">
        <f t="shared" ca="1" si="6"/>
        <v/>
      </c>
      <c r="Y25" s="1372">
        <f ca="1">IFERROR(('GHG Calcs'!U25+'GHG Calcs'!W25)/2,"")</f>
        <v>0</v>
      </c>
      <c r="Z25" s="1372">
        <f t="shared" ca="1" si="7"/>
        <v>0</v>
      </c>
      <c r="AA25" s="1370" t="str">
        <f t="shared" ca="1" si="8"/>
        <v/>
      </c>
      <c r="AB25" s="1370" t="str">
        <f ca="1">IF(OR(F25=Defaults!$M$3,F25=Defaults!$M$3),AA25,"")</f>
        <v/>
      </c>
      <c r="AC25" s="306">
        <f ca="1">INDIRECT("'Quantifiable Component "&amp;$B25&amp;"'!"&amp;$D25&amp;ROW('Quantifiable Component 1'!$46:$46))</f>
        <v>0</v>
      </c>
      <c r="AD25" s="306">
        <f ca="1">INDIRECT("'Quantifiable Component "&amp;$B25&amp;"'!"&amp;$D25&amp;ROW('Quantifiable Component 1'!$49:$49))</f>
        <v>0</v>
      </c>
      <c r="AE25" s="1373">
        <f ca="1">INDIRECT("'Quantifiable Component "&amp;$B25&amp;"'!"&amp;$D25&amp;ROW('Quantifiable Component 1'!$54:$54))</f>
        <v>0</v>
      </c>
      <c r="AF25" s="306" t="str">
        <f ca="1">IFERROR(IF(ISBLANK(INDIRECT("'Quantifiable Component "&amp;$B25&amp;"'!"&amp;$D25&amp;ROW('Quantifiable Component 1'!$52:$52))),VLOOKUP($AD25,'GHG EF'!$B$10:$H$19,3,0),INDIRECT("'Quantifiable Component "&amp;$B25&amp;"'!"&amp;$D25&amp;ROW('Quantifiable Component 1'!$52:$52))),"")</f>
        <v/>
      </c>
      <c r="AG25" s="306">
        <f ca="1">INDIRECT("'Quantifiable Component "&amp;$B25&amp;"'!"&amp;$D25&amp;ROW('Quantifiable Component 1'!$51:$51))</f>
        <v>0</v>
      </c>
      <c r="AH25" s="306" t="str">
        <f t="shared" ca="1" si="9"/>
        <v>0_0</v>
      </c>
      <c r="AI25" s="1373">
        <f ca="1">INDIRECT("'Quantifiable Component "&amp;$B25&amp;"'!"&amp;$D25&amp;ROW('Quantifiable Component 1'!$53:$53))</f>
        <v>0</v>
      </c>
      <c r="AJ25" s="306" t="str">
        <f ca="1">IF(AND(AI25&gt;0,OR(AD25=Defaults!$I$5,AD25=Defaults!$I$11)), IF(AC25="Transit Bus",VLOOKUP(AH25,'Fuel Consumption'!$A$31:$L$2316,5,0), IF(AC25="Van",VLOOKUP(AH25,'Fuel Consumption'!$A$31:$L$2316,8,0), IF(AC25="Cut-A-Way",VLOOKUP(AH25,'Fuel Consumption'!$A$31:$L$2316,11,0), IF(AC25="Over-Road Coach",VLOOKUP(AH25,'Fuel Consumption'!$A$31:$L$2316,12,0)*VLOOKUP(AD25,'GHG EF'!$B$10:$H$19,4,0),IF(AC25="Heavy Rail",'Rail C&amp;T EF'!$K$14*'GHG EF'!$C$12/'GHG EF'!$C$13/4.6, IF(AC25="DMU / EMU",'Rail C&amp;T EF'!$B$149*'GHG EF'!$C$12/'GHG EF'!$C$13/3.3, IF(AC25="Light Rail",'Rail C&amp;T EF'!$K$14*'GHG EF'!$C$12/'GHG EF'!$C$13/3.3, IF(AC25="Streetcar",'Rail C&amp;T EF'!$K$14*'GHG EF'!$C$12/'GHG EF'!$C$13/3.1,0)))))))),"")</f>
        <v/>
      </c>
      <c r="AK25" s="306" t="b">
        <f ca="1">IF(AI25&gt;0,IF(OR(AD25=Defaults!$I$3,AD25=Defaults!$I$4,AD25=Defaults!$I$6,AD25=Defaults!$I$8),IF(AC25="Transit Bus",IF(AD25="Gasoline",VLOOKUP(AH25,'Fuel Consumption'!$A$31:$L$2316,3),IF(OR(AD25="CNG",AD25="LNG"),VLOOKUP(AH25,'Fuel Consumption'!$A$31:$L$2316,4),VLOOKUP(AH25,'Fuel Consumption'!$A$31:$L$2316,2))),IF(AC25="Van",IF(OR(AD25="Diesel",AD25="Renewable Diesel",AD25="Biodiesel"),VLOOKUP(AH25,'Fuel Consumption'!$A$31:$L$2316,6),IF(OR(AD25="CNG",AD25="LNG"),VLOOKUP(AH25,'Fuel Consumption'!$A$31:$L$2316,7)*VLOOKUP(AD25,'GHG EF'!$B$10:$H$19,5,0),VLOOKUP(AH25,'Fuel Consumption'!$A$31:$L$2316,7))),IF(AC25="Cut-A-Way",IF(OR(AD25="Diesel",AD25="Renewable Diesel",AD25="Biodiesel"),VLOOKUP(AH25,'Fuel Consumption'!$A$31:$L$2316,9),IF(OR(AD25="CNG",AD25="LNG"),VLOOKUP(AH25,'Fuel Consumption'!$A$31:$L$2316,10)*VLOOKUP(AD25,'GHG EF'!$B$10:$H$19,5,0),VLOOKUP(AH25,'Fuel Consumption'!$A$31:$L$2316,10))),IF(AC25="Over-Road Coach",VLOOKUP(AH25,'Fuel Consumption'!$A$31:$L$2316,12),IF(AC25="Heavy Rail",'Rail C&amp;T EF'!$K$14,IF(AC25="DMU / EMU",'Rail C&amp;T EF'!$B$149,"")))))*IF(AD25=Defaults!$I$3,1/'GHG EF'!$I$11,1)*IF(AD25=Defaults!$I$8,1/'GHG EF'!$I$16,1)),""))</f>
        <v>0</v>
      </c>
      <c r="AL25" s="306" t="str">
        <f ca="1">IF(AI25&gt;0,IF(AC25="Transit Bus",IF(AD25="Gasoline",VLOOKUP(AH25,'Fuel Consumption'!$A$31:$L$2316,3,0)*VLOOKUP(AD25,'GHG EF'!$B$10:$H$19,5,0),IF(OR(AD25="LNG",AD25="CNG",AD25="Renewable Natural Gas"),VLOOKUP(AH25,'Fuel Consumption'!$A$31:$L$2316,4)*VLOOKUP(AD25,'GHG EF'!$B$10:$H$19,4,0),IF(OR(AD25="Electric",AD25="Renewable Electricity"),VLOOKUP(AH25,'Fuel Consumption'!$A$31:$L$2316,5,0),IF(AD25="Hydrogen Fuel Cell",VLOOKUP(AH25,'Fuel Consumption'!$A$31:$L$2316,5,0)*'GHG EF'!$C$13/'GHG EF'!$C$15*'GHG EF'!$I$13/'GHG EF'!$I$15,VLOOKUP(AH25,'Fuel Consumption'!$A$31:$L$2316,2,0)*VLOOKUP(AD25,'GHG EF'!$B$10:$H$19,4,0))))),
IF(AC25="Van",IF(OR(AD25="Diesel",AD25="Renewable Diesel",AD25="Biodiesel"),VLOOKUP(AH25,'Fuel Consumption'!$A$31:$L$2316,6,0)*VLOOKUP(AD25,'GHG EF'!$B$10:$H$19,4,0),IF(OR(AD25="LNG",AD25="CNG",AD25="Renewable Natural Gas"),VLOOKUP(AH25,'Fuel Consumption'!$A$31:$L$2316,7)*VLOOKUP(AD25,'GHG EF'!$B$10:$H$19,5,0),IF(OR(AD25="Electric",AD25="Renewable Electricity"),VLOOKUP(AH25,'Fuel Consumption'!$A$31:$L$2316,8,0),IF(AD25="Hydrogen Fuel Cell",VLOOKUP(AH25,'Fuel Consumption'!$A$31:$L$2316,8,0)*'GHG EF'!$C$13/'GHG EF'!$C$15*'GHG EF'!$J$13/'GHG EF'!$J$15,VLOOKUP(AH25,'Fuel Consumption'!$A$31:$L$2316,7,0)*VLOOKUP(AD25,'GHG EF'!$B$10:$H$19,5,0))))),
IF(AC25="Cut-A-Way",IF(OR(AD25="Diesel",AD25="Renewable Diesel",AD25="Biodiesel"),VLOOKUP(AH25,'Fuel Consumption'!$A$31:$L$2316,9,0)*VLOOKUP(AD25,'GHG EF'!$B$10:$H$19,4,0),IF(OR(AD25="LNG",AD25="CNG",AD25="Renewable Natural Gas"),VLOOKUP(AH25,'Fuel Consumption'!$A$31:$L$2316,10)*VLOOKUP(AD25,'GHG EF'!$B$10:$H$19,5,0),IF(OR(AD25="Electric",AD25="Renewable Electricity"),VLOOKUP(AH25,'Fuel Consumption'!$A$31:$L$2316,11,0),IF(AD25="Hydrogen Fuel Cell",VLOOKUP(AH25,'Fuel Consumption'!$A$31:$L$2316,11,0)*'GHG EF'!$C$13/'GHG EF'!$C$15*'GHG EF'!$J$13/'GHG EF'!$J$15,VLOOKUP(AH25,'Fuel Consumption'!$A$31:$L$2316,10,0)*VLOOKUP(AD25,'GHG EF'!$B$10:$H$19,5,0))))),
IF(AC25="Over-Road Coach",VLOOKUP(AH25,'Fuel Consumption'!$A$31:$L$2316,12,0)*VLOOKUP(AD25,'GHG EF'!$B$10:$H$19,4,0),IF(AC25="Heavy Rail",IF(OR(AD25=Defaults!$I$5,AD25=Defaults!$I$11),'Rail C&amp;T EF'!$K$14*'GHG EF'!$C$12/'GHG EF'!$C$13/4.6,'Rail C&amp;T EF'!$K$14*VLOOKUP(AD25,'GHG EF'!$B$10:$H$19,4,0)),IF(AC25="DMU / EMU",IF(OR(AD25=Defaults!$I$5,AD25=Defaults!$I$11),'Rail C&amp;T EF'!$B$149*'GHG EF'!$C$12/'GHG EF'!$C$13/3.3,'Rail C&amp;T EF'!$B$149*VLOOKUP(AD25,'GHG EF'!$B$10:$H$19,4,0)),IF(AC25="Light Rail",'Rail C&amp;T EF'!$K$14*'GHG EF'!$C$12/'GHG EF'!$C$13/3.3,IF(AC25="Streetcar",'Rail C&amp;T EF'!$K$14*'GHG EF'!$C$12/'GHG EF'!$C$13/3.1,"")))))))),"")</f>
        <v/>
      </c>
      <c r="AM25" s="306" t="str">
        <f ca="1">IFERROR((IF(AD25="Gasoline",VLOOKUP(AH25,'Fuel Consumption'!$A$31:$L$2316,3,0)*VLOOKUP(AD25,'GHG EF'!$B$10:$H$19,5,0), IF(OR(AD25="CNG",AD25="LNG",AD25="Renewable Natural Gas"),VLOOKUP(AH25,'Fuel Consumption'!$A$31:$L$2316,4,0)*VLOOKUP(AD25,'GHG EF'!$B$10:$H$19,4,0),IF(OR(AD25="Electric",AD25="Renewable Electricity"),VLOOKUP(AH25,'Fuel Consumption'!$A$31:$L$2316,5,0),IF(AD25="Hydrogen Fuel Cell",VLOOKUP(AH25,'Fuel Consumption'!$A$31:$L$2316,5,0)*'GHG EF'!$C$13/'GHG EF'!$C$15*'GHG EF'!$I$13/'GHG EF'!$I$15,VLOOKUP(AH25,'Fuel Consumption'!$A$31:$L$2316,2,0)*VLOOKUP(AD25,'GHG EF'!$B$10:$H$19,4,0))))) * VLOOKUP(AD25,'GHG EF'!$B$10:$H$19,2,0) * AF25),"")</f>
        <v/>
      </c>
      <c r="AN25" s="306" t="str">
        <f ca="1">IFERROR((IF(OR(AD25="Diesel",AD25="Renewable Diesel",AD25="Biodiesel"),VLOOKUP(AH25,'Fuel Consumption'!$A$31:$L$2316,6,0)*VLOOKUP(AD25,'GHG EF'!$B$10:$H$19,4,0),IF(OR(AD25="CNG",AD25="LNG",AD25="Renewable Natural Gas"),VLOOKUP(AH25,'Fuel Consumption'!$A$31:$L$2316,7,0)*VLOOKUP(AD25,'GHG EF'!$B$10:$H$19,5,0),IF(OR(AD25="Electric",AD25="Renewable Electricity"),VLOOKUP(AH25,'Fuel Consumption'!$A$31:$L$2316,8,0),IF(AD25="Hydrogen Fuel Cell",VLOOKUP(AH25,'Fuel Consumption'!$A$31:$L$2316,8,0)*'GHG EF'!$C$13/'GHG EF'!$C$15*'GHG EF'!$J$13/'GHG EF'!$J$15,VLOOKUP(AH25,'Fuel Consumption'!$A$31:$L$2316,7,0)*VLOOKUP(AD25,'GHG EF'!$B$10:$H$19,5,0)))))*VLOOKUP(AD25,'GHG EF'!$B$10:$H$19,2,0)*AF25),"")</f>
        <v/>
      </c>
      <c r="AO25" s="306" t="str">
        <f ca="1">IFERROR((IF(OR(AD25="Diesel",AD25="Renewable Diesel",AD25="Biodiesel"),VLOOKUP(AH25,'Fuel Consumption'!$A$31:$L$2316,9,0)*VLOOKUP(AD25,'GHG EF'!$B$10:$H$19,4,0),IF(OR(AD25="CNG",AD25="LNG",AD25="Renewable Natural Gas"),VLOOKUP(AH25,'Fuel Consumption'!$A$31:$L$2316,10,0)*VLOOKUP(AD25,'GHG EF'!$B$10:$H$19,5,0),IF(OR(AD25="Electric",AD25="Renewable Electricity"),VLOOKUP(AH25,'Fuel Consumption'!$A$31:$L$2316,11,0),IF(AD25="Hydrogen Fuel Cell",VLOOKUP(AH25,'Fuel Consumption'!$A$31:$L$2316,11,0)*'GHG EF'!$C$13/'GHG EF'!$C$15*'GHG EF'!$J$13/'GHG EF'!$J$15,VLOOKUP(AH25,'Fuel Consumption'!$A$31:$L$2316,10,0)*VLOOKUP(AD25,'GHG EF'!$B$10:$H$19,5,0))))) * VLOOKUP(AD25,'GHG EF'!$B$10:$H$19,2,0) * AF25),"")</f>
        <v/>
      </c>
      <c r="AP25" s="306" t="str">
        <f ca="1">IFERROR(VLOOKUP(AH25,'Fuel Consumption'!$A$31:$L$2316,12,0)*VLOOKUP(AD25,'GHG EF'!$B$10:$H$19,4,0) * VLOOKUP(AD25,'GHG EF'!$B$10:$H$19,2,0) * AF25,"")</f>
        <v/>
      </c>
      <c r="AQ25" s="1374" t="str">
        <f ca="1">IFERROR(IF(OR(AD25=Defaults!$I$5,AD25=Defaults!$I$11), 'GHG EF'!$C$13*'GHG EF'!$C$12/'GHG EF'!$C$13/4.6, VLOOKUP(AD25,'GHG EF'!$B$10:$H$19,4,0)*VLOOKUP(AD25,'GHG EF'!$B$10:$H$19,2,0))*AF25*'Rail C&amp;T EF'!$K$14,"")</f>
        <v/>
      </c>
      <c r="AR25" s="1374" t="str">
        <f ca="1">IFERROR(IF(OR(AD25=Defaults!$I$5,AD25=Defaults!$I$11), 'GHG EF'!$C$13*'GHG EF'!$C$12/'GHG EF'!$C$13/3.3, VLOOKUP(AD25,'GHG EF'!$B$10:$H$19,4,0)*VLOOKUP(AD25,'GHG EF'!$B$10:$H$19,2,0))*AF25*'Rail C&amp;T EF'!$B$149,"")</f>
        <v/>
      </c>
      <c r="AS25" s="1374" t="str">
        <f ca="1">IFERROR(VLOOKUP(AD25,'GHG EF'!$B$10:$H$19,2,0)*AF25,"")</f>
        <v/>
      </c>
      <c r="AT25" s="1374" t="str">
        <f ca="1">IF(OR(AD25=Defaults!$I$5,AD25=Defaults!$I$10),'GHG EF'!$C$13*AF25*'GHG EF'!$C$12/'GHG EF'!$C$13/3.3*'Rail C&amp;T EF'!$K$14,"")</f>
        <v/>
      </c>
      <c r="AU25" s="1374" t="str">
        <f ca="1">IF(OR(AD25=Defaults!$I$5,AD25=Defaults!$I$10),'GHG EF'!$C$13*AF25*'GHG EF'!$C$12/'GHG EF'!$C$13/3.1*'Rail C&amp;T EF'!$K$14,"")</f>
        <v/>
      </c>
      <c r="AV25" s="1374">
        <f ca="1">IF(OR($AD25=Defaults!$I$5, $AD25=Defaults!$I$7, $AD25=Defaults!$I$11),Defaults!$G$15,INDIRECT("'Quantifiable Component "&amp;$B25&amp;"'!"&amp;$D25&amp;ROW('Quantifiable Component 1'!$50:$50)))</f>
        <v>0</v>
      </c>
      <c r="AW25" s="1374" t="str">
        <f ca="1">IFERROR((IF(AND(AV25="yes",NOT(AD25=Defaults!$I$5),NOT(AD25=Defaults!$I$7),NOT(AD25=Defaults!$I$11)),0.8,1))*(IF(AC25="Transit Bus",AM25,IF(AC25="Van",AN25,IF(AC25="Cut-A-Way",AO25,IF(AC25="Over-Road Coach",AP25,IF(AC25="Heavy Rail",AQ25,IF(AC25="DMU / EMU",AR25,IF(AC25="Ferry",AS25,IF(AC25="Light Rail",AT25,AU25))))))))),"")</f>
        <v/>
      </c>
      <c r="AX25" s="1374" t="str">
        <f ca="1">IFERROR(VLOOKUP($AD25,'GHG EF'!$B$10:$H$19,2,0)*AF25,"")</f>
        <v/>
      </c>
      <c r="AY25" s="1375" t="str">
        <f t="shared" ca="1" si="10"/>
        <v/>
      </c>
      <c r="AZ25" s="1374" t="str">
        <f t="shared" ca="1" si="11"/>
        <v/>
      </c>
      <c r="BA25" s="1375" t="str">
        <f ca="1">IFERROR(IF(G25=Defaults!$F$2,0,IF(AZ25&gt;0,AZ25*(I25-H25),AY25*(I25-H25))),"")</f>
        <v/>
      </c>
      <c r="BB25" s="1373" t="str">
        <f t="shared" ca="1" si="12"/>
        <v/>
      </c>
      <c r="BC25" s="1376">
        <f ca="1">INDIRECT("'Quantifiable Component "&amp;$B25&amp;"'!"&amp;$D25&amp;ROW('Quantifiable Component 1'!$58:$58))</f>
        <v>0</v>
      </c>
      <c r="BD25" s="306">
        <f ca="1">INDIRECT("'Quantifiable Component "&amp;$B25&amp;"'!"&amp;$D25&amp;ROW('Quantifiable Component 1'!$61:$61))</f>
        <v>0</v>
      </c>
      <c r="BE25" s="306">
        <f ca="1">INDIRECT("'Quantifiable Component "&amp;$B25&amp;"'!"&amp;$D25&amp;ROW('Quantifiable Component 1'!$66:$66))</f>
        <v>0</v>
      </c>
      <c r="BF25" s="306" t="str">
        <f ca="1">IFERROR(IF(ISBLANK(INDIRECT("'Quantifiable Component "&amp;$B25&amp;"'!"&amp;$D25&amp;ROW('Quantifiable Component 1'!$64:$64))),VLOOKUP($BD25,'GHG EF'!$B$10:$H$19,3,0),INDIRECT("'Quantifiable Component "&amp;$B25&amp;"'!"&amp;$D25&amp;ROW('Quantifiable Component 1'!$64:$64))),"")</f>
        <v/>
      </c>
      <c r="BG25" s="306">
        <f ca="1">INDIRECT("'Quantifiable Component "&amp;$B25&amp;"'!"&amp;$D25&amp;ROW('Quantifiable Component 1'!$63:$63))</f>
        <v>0</v>
      </c>
      <c r="BH25" s="1373">
        <f ca="1">INDIRECT("'Quantifiable Component "&amp;$B25&amp;"'!"&amp;$D25&amp;ROW('Quantifiable Component 1'!$65:$65))</f>
        <v>0</v>
      </c>
      <c r="BI25" s="306" t="str">
        <f ca="1">IF(AND(BH25&gt;0,OR(BD25=Defaults!$I$5,BD25=Defaults!$I$11)), IF(BC25="Transit Bus",VLOOKUP(BL25,'Fuel Consumption'!$A$31:$L$2316,5,0), IF(BC25="Van",VLOOKUP(BL25,'Fuel Consumption'!$A$31:$L$2316,8,0), IF(BC25="Cut-A-Way",VLOOKUP(BL25,'Fuel Consumption'!$A$31:$L$2316,11,0), IF(BC25="Over-Road Coach",VLOOKUP(BL25,'Fuel Consumption'!$A$31:$L$2316,12,0)*VLOOKUP(BD25,'GHG EF'!$B$10:$H$19,4,0),IF(BC25="Heavy Rail",'Rail C&amp;T EF'!$K$14*'GHG EF'!$C$12/'GHG EF'!$C$13/4.6, IF(BC25="DMU / EMU",'Rail C&amp;T EF'!$B$149*'GHG EF'!$C$12/'GHG EF'!$C$13/3.3, IF(BC25="Light Rail",'Rail C&amp;T EF'!$K$14*'GHG EF'!$C$12/'GHG EF'!$C$13/3.3, IF(BC25="Streetcar",'Rail C&amp;T EF'!$K$14*'GHG EF'!$C$12/'GHG EF'!$C$13/3.1,0)))))))),"")</f>
        <v/>
      </c>
      <c r="BJ25" s="306" t="str">
        <f ca="1">IF(BH25&gt;0,IF(OR(BD25=Defaults!$I$3,BD25=Defaults!$I$4, BD25=Defaults!$I$6, BD25=Defaults!$I$8),IF(BC25="Transit Bus",IF(BD25="Gasoline",VLOOKUP(BL25,'Fuel Consumption'!$A$31:$L$2316,3), IF(OR(BD25="CNG",BD25="LNG"),VLOOKUP(BL25,'Fuel Consumption'!$A$31:$L$2316,4,0),VLOOKUP(BL25,'Fuel Consumption'!$A$31:$L$2316,2))), IF(BC25="Van",IF(OR(BD25="Diesel",BD25="Renewable Diesel",BD25="Biodiesel"),VLOOKUP(BL25,'Fuel Consumption'!$A$31:$L$2316,6),IF(OR(BD25="CNG",BD25="LNG"),VLOOKUP(BL25,'Fuel Consumption'!$A$31:$L$2316,7,0)*VLOOKUP(BD25,'GHG EF'!$B$10:$H$19,5,0), VLOOKUP(BL25,'Fuel Consumption'!$A$31:$L$2316,7))), IF(BC25="Cut-A-Way",IF(OR(BD25="Diesel",BD25="Renewable Diesel",BD25="Biodiesel"),VLOOKUP(BL25,'Fuel Consumption'!$A$31:$L$2316,9),IF(OR(BD25="CNG",BD25="LNG"),VLOOKUP(BL25,'Fuel Consumption'!$A$31:$L$2316,10,0)*VLOOKUP(BD25,'GHG EF'!$B$10:$H$19,5,0), VLOOKUP(BL25,'Fuel Consumption'!$A$31:$L$2316,10))), IF(BC25="Over-Road Coach",VLOOKUP(BL25,'Fuel Consumption'!$A$31:$L$2316,12),IF(BC25="Heavy Rail",'Rail C&amp;T EF'!$K$14, IF(BC25="DMU / EMU",'Rail C&amp;T EF'!$B$149,"")))))) * IF(BD25=Defaults!$I$3,1/'GHG EF'!$I$11,1) * IF(BD25=Defaults!$I$8,1/'GHG EF'!$I$16,1),""),"")</f>
        <v/>
      </c>
      <c r="BK25" s="306" t="str">
        <f ca="1">IF(BH25&gt;0,IF(BC25="Transit Bus",IF(BD25="Gasoline",VLOOKUP(BL25,'Fuel Consumption'!$A$31:$L$2316,3,0)*VLOOKUP(BD25,'GHG EF'!$B$10:$H$19,5,0),IF(OR(BD25="CNG",BD25="LNG",BD25="Renewable Natural Gas"),VLOOKUP(BL25,'Fuel Consumption'!$A$31:$L$2316,4,0)*VLOOKUP(BD25,'GHG EF'!$B$10:$H$19,4,0), IF(OR(BD25="Electric",BD25="Renewable Electricity"),VLOOKUP(BL25,'Fuel Consumption'!$A$31:$L$2316,5,0),IF(BD25="Hydrogen Fuel Cell",VLOOKUP(BL25,'Fuel Consumption'!$A$31:$L$2316,5,0)*'GHG EF'!$C$13/'GHG EF'!$C$15*'GHG EF'!$I$13/'GHG EF'!$I$15, VLOOKUP(BL25,'Fuel Consumption'!$A$31:$L$2316,2,0)*VLOOKUP(BD25,'GHG EF'!$B$10:$H$19,4,0))))),
IF(BC25="Van",IF(OR(BD25="Diesel",BD25="Renewable Diesel",BD25="Biodiesel"),VLOOKUP(BL25,'Fuel Consumption'!$A$31:$L$2316,6,0)*VLOOKUP(BD25,'GHG EF'!$B$10:$H$19,4,0), IF(OR(BD25="CNG",BD25="LNG",BD25="Renewable Natural Gas"),VLOOKUP(BL25,'Fuel Consumption'!$A$31:$L$2316,7,0)*VLOOKUP(BD25,'GHG EF'!$B$10:$H$19,5,0), IF(OR(BD25="Electric",BD25="Renewable Electricity"),VLOOKUP(BL25,'Fuel Consumption'!$A$31:$L$2316,8,0),IF(BD25="Hydrogen Fuel Cell",VLOOKUP(BL25,'Fuel Consumption'!$A$31:$L$2316,8,0)*'GHG EF'!$C$13/'GHG EF'!$C$15*'GHG EF'!$J$13/'GHG EF'!$J$15,VLOOKUP(BL25,'Fuel Consumption'!$A$31:$L$2316,7,0)*VLOOKUP(BD25,'GHG EF'!$B$10:$H$19,5,0))))),
IF(BC25="Cut-A-Way",IF(OR(BD25="Diesel",BD25="Renewable Diesel",BD25="Biodiesel"),VLOOKUP(BL25,'Fuel Consumption'!$A$31:$L$2316,9,0)*VLOOKUP(BD25,'GHG EF'!$B$10:$H$19,4,0),IF(OR(BD25="CNG",BD25="LNG",BD25="Renewable Natural Gas"),VLOOKUP(BL25,'Fuel Consumption'!$A$31:$L$2316,10,0)*VLOOKUP(BD25,'GHG EF'!$B$10:$H$19,5,0), IF(OR(BD25="Electric",BD25="Renewable Electricity"),VLOOKUP(BL25,'Fuel Consumption'!$A$31:$L$2316,11,0),IF(BD25="Hydrogen Fuel Cell",VLOOKUP(BL25,'Fuel Consumption'!$A$31:$L$2316,11,0)*'GHG EF'!$C$13/'GHG EF'!$C$15*'GHG EF'!$J$13/'GHG EF'!$J$15, VLOOKUP(BL25,'Fuel Consumption'!$A$31:$L$2316,10,0)*VLOOKUP(BD25,'GHG EF'!$B$10:$H$19,5,0))))),
IF(BC25="Over-Road Coach",VLOOKUP(BL25,'Fuel Consumption'!$A$31:$L$2316,12,0)*VLOOKUP(BD25,'GHG EF'!$B$10:$H$19,4,0),IF(BC25="Heavy Rail",IF(OR(BD25=Defaults!$I$5,BD25=Defaults!$I$11), 'Rail C&amp;T EF'!$K$14*'GHG EF'!$C$12/'GHG EF'!$C$13/4.6, 'Rail C&amp;T EF'!$K$14*VLOOKUP(BD25,'GHG EF'!$B$10:$H$19,4,0)),IF(BC25="DMU / EMU",IF(OR(BD25=Defaults!$I$5,BD25=Defaults!$I$11), 'Rail C&amp;T EF'!$B$149*'GHG EF'!$C$12/'GHG EF'!$C$13/3.3, 'Rail C&amp;T EF'!$B$149*VLOOKUP(BD25,'GHG EF'!$B$10:$H$19,4,0)),IF(BC25="Light Rail",'Rail C&amp;T EF'!$K$14*'GHG EF'!$C$12/'GHG EF'!$C$13/3.3,IF(BC25="Streetcar",'Rail C&amp;T EF'!$K$14*'GHG EF'!$C$12/'GHG EF'!$C$13/3.1,"")))))))),"")</f>
        <v/>
      </c>
      <c r="BL25" s="306" t="str">
        <f t="shared" ca="1" si="13"/>
        <v>0_0</v>
      </c>
      <c r="BM25" s="306" t="str">
        <f ca="1">IFERROR((IF(BD25="Gasoline",VLOOKUP(BL25,'Fuel Consumption'!$A$31:$L$2316,3,0)*VLOOKUP(BD25,'GHG EF'!$B$10:$H$19,5,0), IF(OR(BD25="CNG",BD25="LNG",BD25="Renewable Natural Gas"),VLOOKUP(BL25,'Fuel Consumption'!$A$31:$L$2316,4,0)*VLOOKUP(BD25,'GHG EF'!$B$10:$H$19,4,0),IF(OR(BD25="Electric",BD25="Renewable Electricity"),VLOOKUP(BL25,'Fuel Consumption'!$A$31:$L$2316,5,0),IF(BD25="Hydrogen Fuel Cell",VLOOKUP(BL25,'Fuel Consumption'!$A$31:$L$2316,5,0)*'GHG EF'!$C$13/'GHG EF'!$C$15*'GHG EF'!$I$13/'GHG EF'!$I$15,VLOOKUP(BL25,'Fuel Consumption'!$A$31:$L$2316,2,0)*VLOOKUP(BD25,'GHG EF'!$B$10:$H$19,4,0))))) * VLOOKUP(BD25,'GHG EF'!$B$10:$H$19,2,0) * BF25),"")</f>
        <v/>
      </c>
      <c r="BN25" s="306" t="str">
        <f ca="1">IFERROR((IF(OR(BD25="Diesel",BD25="Renewable Diesel",BD25="Biodiesel"),VLOOKUP(BL25,'Fuel Consumption'!$A$31:$L$2316,6,0)*VLOOKUP(BD25,'GHG EF'!$B$10:$H$19,4,0),IF(OR(BD25="CNG",BD25="LNG",BD25="Renewable Natural Gas"),VLOOKUP(BL25,'Fuel Consumption'!$A$31:$L$2316,7,0)*VLOOKUP(BD25,'GHG EF'!$B$10:$H$19,5,0),IF(OR(BD25="Electric",BD25="Renewable Electricity"),VLOOKUP(BL25,'Fuel Consumption'!$A$31:$L$2316,8,0),IF(BD25="Hydrogen Fuel Cell",VLOOKUP(BL25,'Fuel Consumption'!$A$31:$L$2316,8,0)*'GHG EF'!$C$13/'GHG EF'!$C$15*'GHG EF'!$J$13/'GHG EF'!$J$15,VLOOKUP(BL25,'Fuel Consumption'!$A$31:$L$2316,7,0)*VLOOKUP(BD25,'GHG EF'!$B$10:$H$19,5,0)))))*VLOOKUP(BD25,'GHG EF'!$B$10:$H$19,2,0)*BF25),"")</f>
        <v/>
      </c>
      <c r="BO25" s="306" t="str">
        <f ca="1">IFERROR((IF(OR(BD25="Diesel",BD25="Renewable Diesel",BD25="Biodiesel"),VLOOKUP(BL25,'Fuel Consumption'!$A$31:$L$2316,9,0)*VLOOKUP(BD25,'GHG EF'!$B$10:$H$19,4,0),IF(OR(BD25="CNG",BD25="LNG",BD25="Renewable Natural Gas"),VLOOKUP(BL25,'Fuel Consumption'!$A$31:$L$2316,10,0)*VLOOKUP(BD25,'GHG EF'!$B$10:$H$19,5,0),IF(OR(BD25="Electric",BD25="Renewable Electricity"),VLOOKUP(BL25,'Fuel Consumption'!$A$31:$L$2316,11,0),IF(BD25="Hydrogen Fuel Cell",VLOOKUP(BL25,'Fuel Consumption'!$A$31:$L$2316,11,0)*'GHG EF'!$C$13/'GHG EF'!$C$15*'GHG EF'!$J$13/'GHG EF'!$J$15,VLOOKUP(BL25,'Fuel Consumption'!$A$31:$L$2316,10,0)*VLOOKUP(BD25,'GHG EF'!$B$10:$H$19,5,0))))) * VLOOKUP(BD25,'GHG EF'!$B$10:$H$19,2,0) * BF25),"")</f>
        <v/>
      </c>
      <c r="BP25" s="306" t="str">
        <f ca="1">IFERROR(VLOOKUP(BL25,'Fuel Consumption'!$A$31:$L$2316,12,0)*VLOOKUP(BD25,'GHG EF'!$B$10:$H$19,4,0) * VLOOKUP(BD25,'GHG EF'!$B$10:$H$19,2,0) * BF25,"")</f>
        <v/>
      </c>
      <c r="BQ25" s="1374" t="str">
        <f ca="1">IFERROR(IF(OR($BD25=Defaults!$I$5,$BD25=Defaults!$I$11), 'GHG EF'!$C$13*'GHG EF'!$C$12/'GHG EF'!$C$13/4.6, VLOOKUP(BD25,'GHG EF'!$B$10:$H$19,4,0)*VLOOKUP(BD25,'GHG EF'!$B$10:$H$19,2,0))*BF25*'Rail C&amp;T EF'!$K$14,"")</f>
        <v/>
      </c>
      <c r="BR25" s="1374" t="str">
        <f ca="1">IFERROR(IF(OR($BD25=Defaults!$I$5,$BD25=Defaults!$I$11), 'GHG EF'!$C$13*'GHG EF'!$C$12/'GHG EF'!$C$13/3.3, VLOOKUP(BD25,'GHG EF'!$B$10:$H$19,4,0)*VLOOKUP(BD25,'GHG EF'!$B$10:$H$19,2,0))*BF25*'Rail C&amp;T EF'!$B$149,"")</f>
        <v/>
      </c>
      <c r="BS25" s="1374" t="str">
        <f ca="1">IFERROR(VLOOKUP(BD25,'GHG EF'!$B$10:$H$19,2,0)*BF25,"")</f>
        <v/>
      </c>
      <c r="BT25" s="1374" t="str">
        <f ca="1">IF(OR($BD25=Defaults!$I$5,$BD25=Defaults!$I$10),'GHG EF'!$C$13*BF25*'GHG EF'!$C$12/'GHG EF'!$C$13/3.3*'Rail C&amp;T EF'!$K$14,"")</f>
        <v/>
      </c>
      <c r="BU25" s="1374" t="str">
        <f ca="1">IF(OR($BD25=Defaults!$I$5,$BD25=Defaults!$I$10),'GHG EF'!$C$13*BF25*'GHG EF'!$C$12/'GHG EF'!$C$13/3.1*'Rail C&amp;T EF'!$K$14,"")</f>
        <v/>
      </c>
      <c r="BV25" s="1374">
        <f ca="1">IF(OR($AD25=Defaults!$I$5, $AD25=Defaults!$I$7, $AD25=Defaults!$I$11),Defaults!$G$15,INDIRECT("'Quantifiable Component "&amp;$B25&amp;"'!"&amp;$D25&amp;ROW('Quantifiable Component 1'!$62:$62)))</f>
        <v>0</v>
      </c>
      <c r="BW25" s="1374" t="str">
        <f ca="1">IFERROR((IF(AND(BV25="yes",NOT(BD25=Defaults!$I$5),NOT(BD25=Defaults!$I$7),NOT(BD25=Defaults!$I$11)),0.8,1))*(IF(BC25="Transit Bus",BM25,IF(BC25="Van",BN25,IF(BC25="Cut-A-Way",BO25,IF(BC25="Over-Road Coach",BP25,IF(BC25="Heavy Rail",BQ25,IF(BC25="DMU / EMU",BR25,IF(BC25="Ferry",BS25,IF(BC25="Light Rail",BT25,BU25))))))))),"")</f>
        <v/>
      </c>
      <c r="BX25" s="1377" t="str">
        <f ca="1">IFERROR(VLOOKUP($BD25,'GHG EF'!$B$10:$H$19,2,0)*BF25,"")</f>
        <v/>
      </c>
      <c r="BY25" s="1377" t="str">
        <f t="shared" ca="1" si="14"/>
        <v/>
      </c>
      <c r="BZ25" s="1377" t="str">
        <f t="shared" ca="1" si="15"/>
        <v/>
      </c>
      <c r="CA25" s="1377" t="str">
        <f t="shared" ca="1" si="16"/>
        <v/>
      </c>
      <c r="CB25" s="1373" t="str">
        <f t="shared" ca="1" si="17"/>
        <v/>
      </c>
      <c r="CC25" s="1376">
        <f ca="1">INDIRECT("'Quantifiable Component "&amp;$B25&amp;"'!"&amp;$D25&amp;ROW('Quantifiable Component 1'!$69:$69))</f>
        <v>0</v>
      </c>
      <c r="CD25" s="1376">
        <f ca="1">INDIRECT("'Quantifiable Component "&amp;$B25&amp;"'!"&amp;$D25&amp;ROW('Quantifiable Component 1'!$72:$72))</f>
        <v>0</v>
      </c>
      <c r="CE25" s="1373">
        <f ca="1">INDIRECT("'Quantifiable Component "&amp;$B25&amp;"'!"&amp;$D25&amp;ROW('Quantifiable Component 1'!$74:$74))</f>
        <v>0</v>
      </c>
      <c r="CF25" s="306">
        <f ca="1">INDIRECT("'Quantifiable Component "&amp;$B25&amp;"'!"&amp;$D25&amp;ROW('Quantifiable Component 1'!$73:$73))</f>
        <v>0</v>
      </c>
      <c r="CG25" s="306" t="str">
        <f t="shared" ca="1" si="18"/>
        <v>0_0</v>
      </c>
      <c r="CH25" s="1373" t="str">
        <f ca="1">IFERROR(VLOOKUP($CD25,'GHG EF'!$B$10:$H$19,2,0)*VLOOKUP($CD25,'GHG EF'!$B$10:$H$19,3,0),"")</f>
        <v/>
      </c>
      <c r="CI25" s="1373" t="str">
        <f t="shared" ca="1" si="19"/>
        <v/>
      </c>
      <c r="CJ25" s="1373" t="str">
        <f t="shared" ca="1" si="20"/>
        <v/>
      </c>
      <c r="CK25" s="1378" t="str">
        <f ca="1">IF($F25=Defaults!$M$2, $BB25+IF($CA25="",0,$CA25)+IF($CJ25="",0,$CJ25), IF($F25=Defaults!$M$4,$CB25+IF($CJ25="",0,$CJ25),IF($F25=Defaults!$M$3,$AB25+IF($CJ25="",0,$CJ25), IF($F25=Defaults!$M$5,$CJ25,""))))</f>
        <v/>
      </c>
      <c r="CL25" s="1644"/>
    </row>
    <row r="26" spans="1:90" s="117" customFormat="1" ht="15.5" x14ac:dyDescent="0.35">
      <c r="A26" s="1648"/>
      <c r="B26" s="1367">
        <v>5</v>
      </c>
      <c r="C26" s="1379">
        <v>3</v>
      </c>
      <c r="D26" s="1368" t="str">
        <f>SUBSTITUTE(ADDRESS(1,COLUMN('Quantifiable Component 1'!K:K),4),"1","")</f>
        <v>K</v>
      </c>
      <c r="E26" s="1368" t="str">
        <f t="shared" si="0"/>
        <v>Quantifiable Component 5K</v>
      </c>
      <c r="F26" s="306">
        <f ca="1">INDIRECT("'Quantifiable Component "&amp;$B26&amp;"'!"&amp;$D26&amp;ROW('Quantifiable Component 1'!$28:$28))</f>
        <v>0</v>
      </c>
      <c r="G26" s="306">
        <f ca="1">INDIRECT("'Quantifiable Component "&amp;$B26&amp;"'!"&amp;$D26&amp;ROW('Quantifiable Component 1'!$29:$29))</f>
        <v>0</v>
      </c>
      <c r="H26" s="306">
        <f ca="1">INDIRECT("'Quantifiable Component "&amp;$B26&amp;"'!"&amp;$D26&amp;ROW('Quantifiable Component 1'!$32:$32))</f>
        <v>0</v>
      </c>
      <c r="I26" s="306">
        <f ca="1">INDIRECT("'Quantifiable Component "&amp;$B26&amp;"'!"&amp;$D26&amp;ROW('Quantifiable Component 1'!$33:$33))</f>
        <v>0</v>
      </c>
      <c r="J26" s="306">
        <f ca="1">INDIRECT("'Quantifiable Component "&amp;$B26&amp;"'!"&amp;$D26&amp;ROW('Quantifiable Component 1'!$31:$31))</f>
        <v>0</v>
      </c>
      <c r="K26" s="306" t="str">
        <f t="shared" ca="1" si="1"/>
        <v>0_0</v>
      </c>
      <c r="L26" s="306" t="str">
        <f t="shared" ca="1" si="2"/>
        <v>0_0</v>
      </c>
      <c r="M26" s="306">
        <f ca="1">INDIRECT("'Quantifiable Component "&amp;$B26&amp;"'!"&amp;$D26&amp;ROW('Quantifiable Component 1'!$37:$37))</f>
        <v>0</v>
      </c>
      <c r="N26" s="1369" t="str">
        <f ca="1">IFERROR(VLOOKUP((CONCATENATE(J26,"_",H26)),'Auto GHG'!$C$41:$D$2668,2,0),"")</f>
        <v/>
      </c>
      <c r="O26" s="306">
        <f ca="1">INDIRECT("'Quantifiable Component "&amp;$B26&amp;"'!"&amp;$D26&amp;ROW('Quantifiable Component 1'!$38:$38))</f>
        <v>0</v>
      </c>
      <c r="P26" s="1369" t="str">
        <f ca="1">IFERROR(IF(I26&lt;=2050,VLOOKUP((CONCATENATE(J26,"_",I26)),'Auto GHG'!$C$41:$D$2668,2,),VLOOKUP((CONCATENATE(J26,"_",2050)),'Auto GHG'!$C$41:$D$2668,2,)),"")</f>
        <v/>
      </c>
      <c r="Q26" s="306">
        <f ca="1">INDIRECT("'Quantifiable Component "&amp;$B26&amp;"'!"&amp;$D26&amp;ROW('Quantifiable Component 1'!$39:$39))</f>
        <v>0</v>
      </c>
      <c r="R26" s="306">
        <f ca="1">INDIRECT("'Quantifiable Component "&amp;$B26&amp;"'!"&amp;$D26&amp;ROW('Quantifiable Component 1'!$40:$40))</f>
        <v>0</v>
      </c>
      <c r="S26" s="306"/>
      <c r="T26" s="306"/>
      <c r="U26" s="1370">
        <f t="shared" ca="1" si="3"/>
        <v>0</v>
      </c>
      <c r="V26" s="1371" t="str">
        <f t="shared" ca="1" si="4"/>
        <v/>
      </c>
      <c r="W26" s="1370">
        <f t="shared" ca="1" si="5"/>
        <v>0</v>
      </c>
      <c r="X26" s="1370" t="str">
        <f t="shared" ca="1" si="6"/>
        <v/>
      </c>
      <c r="Y26" s="1372">
        <f ca="1">IFERROR(('GHG Calcs'!U26+'GHG Calcs'!W26)/2,"")</f>
        <v>0</v>
      </c>
      <c r="Z26" s="1372">
        <f t="shared" ca="1" si="7"/>
        <v>0</v>
      </c>
      <c r="AA26" s="1370" t="str">
        <f t="shared" ca="1" si="8"/>
        <v/>
      </c>
      <c r="AB26" s="1370" t="str">
        <f ca="1">IF(OR(F26=Defaults!$M$3,F26=Defaults!$M$3),AA26,"")</f>
        <v/>
      </c>
      <c r="AC26" s="306">
        <f ca="1">INDIRECT("'Quantifiable Component "&amp;$B26&amp;"'!"&amp;$D26&amp;ROW('Quantifiable Component 1'!$46:$46))</f>
        <v>0</v>
      </c>
      <c r="AD26" s="306">
        <f ca="1">INDIRECT("'Quantifiable Component "&amp;$B26&amp;"'!"&amp;$D26&amp;ROW('Quantifiable Component 1'!$49:$49))</f>
        <v>0</v>
      </c>
      <c r="AE26" s="1373">
        <f ca="1">INDIRECT("'Quantifiable Component "&amp;$B26&amp;"'!"&amp;$D26&amp;ROW('Quantifiable Component 1'!$54:$54))</f>
        <v>0</v>
      </c>
      <c r="AF26" s="306" t="str">
        <f ca="1">IFERROR(IF(ISBLANK(INDIRECT("'Quantifiable Component "&amp;$B26&amp;"'!"&amp;$D26&amp;ROW('Quantifiable Component 1'!$52:$52))),VLOOKUP($AD26,'GHG EF'!$B$10:$H$19,3,0),INDIRECT("'Quantifiable Component "&amp;$B26&amp;"'!"&amp;$D26&amp;ROW('Quantifiable Component 1'!$52:$52))),"")</f>
        <v/>
      </c>
      <c r="AG26" s="306">
        <f ca="1">INDIRECT("'Quantifiable Component "&amp;$B26&amp;"'!"&amp;$D26&amp;ROW('Quantifiable Component 1'!$51:$51))</f>
        <v>0</v>
      </c>
      <c r="AH26" s="306" t="str">
        <f t="shared" ca="1" si="9"/>
        <v>0_0</v>
      </c>
      <c r="AI26" s="1373">
        <f ca="1">INDIRECT("'Quantifiable Component "&amp;$B26&amp;"'!"&amp;$D26&amp;ROW('Quantifiable Component 1'!$53:$53))</f>
        <v>0</v>
      </c>
      <c r="AJ26" s="306" t="str">
        <f ca="1">IF(AND(AI26&gt;0,OR(AD26=Defaults!$I$5,AD26=Defaults!$I$11)), IF(AC26="Transit Bus",VLOOKUP(AH26,'Fuel Consumption'!$A$31:$L$2316,5,0), IF(AC26="Van",VLOOKUP(AH26,'Fuel Consumption'!$A$31:$L$2316,8,0), IF(AC26="Cut-A-Way",VLOOKUP(AH26,'Fuel Consumption'!$A$31:$L$2316,11,0), IF(AC26="Over-Road Coach",VLOOKUP(AH26,'Fuel Consumption'!$A$31:$L$2316,12,0)*VLOOKUP(AD26,'GHG EF'!$B$10:$H$19,4,0),IF(AC26="Heavy Rail",'Rail C&amp;T EF'!$K$14*'GHG EF'!$C$12/'GHG EF'!$C$13/4.6, IF(AC26="DMU / EMU",'Rail C&amp;T EF'!$B$149*'GHG EF'!$C$12/'GHG EF'!$C$13/3.3, IF(AC26="Light Rail",'Rail C&amp;T EF'!$K$14*'GHG EF'!$C$12/'GHG EF'!$C$13/3.3, IF(AC26="Streetcar",'Rail C&amp;T EF'!$K$14*'GHG EF'!$C$12/'GHG EF'!$C$13/3.1,0)))))))),"")</f>
        <v/>
      </c>
      <c r="AK26" s="306" t="b">
        <f ca="1">IF(AI26&gt;0,IF(OR(AD26=Defaults!$I$3,AD26=Defaults!$I$4,AD26=Defaults!$I$6,AD26=Defaults!$I$8),IF(AC26="Transit Bus",IF(AD26="Gasoline",VLOOKUP(AH26,'Fuel Consumption'!$A$31:$L$2316,3),IF(OR(AD26="CNG",AD26="LNG"),VLOOKUP(AH26,'Fuel Consumption'!$A$31:$L$2316,4),VLOOKUP(AH26,'Fuel Consumption'!$A$31:$L$2316,2))),IF(AC26="Van",IF(OR(AD26="Diesel",AD26="Renewable Diesel",AD26="Biodiesel"),VLOOKUP(AH26,'Fuel Consumption'!$A$31:$L$2316,6),IF(OR(AD26="CNG",AD26="LNG"),VLOOKUP(AH26,'Fuel Consumption'!$A$31:$L$2316,7)*VLOOKUP(AD26,'GHG EF'!$B$10:$H$19,5,0),VLOOKUP(AH26,'Fuel Consumption'!$A$31:$L$2316,7))),IF(AC26="Cut-A-Way",IF(OR(AD26="Diesel",AD26="Renewable Diesel",AD26="Biodiesel"),VLOOKUP(AH26,'Fuel Consumption'!$A$31:$L$2316,9),IF(OR(AD26="CNG",AD26="LNG"),VLOOKUP(AH26,'Fuel Consumption'!$A$31:$L$2316,10)*VLOOKUP(AD26,'GHG EF'!$B$10:$H$19,5,0),VLOOKUP(AH26,'Fuel Consumption'!$A$31:$L$2316,10))),IF(AC26="Over-Road Coach",VLOOKUP(AH26,'Fuel Consumption'!$A$31:$L$2316,12),IF(AC26="Heavy Rail",'Rail C&amp;T EF'!$K$14,IF(AC26="DMU / EMU",'Rail C&amp;T EF'!$B$149,"")))))*IF(AD26=Defaults!$I$3,1/'GHG EF'!$I$11,1)*IF(AD26=Defaults!$I$8,1/'GHG EF'!$I$16,1)),""))</f>
        <v>0</v>
      </c>
      <c r="AL26" s="306" t="str">
        <f ca="1">IF(AI26&gt;0,IF(AC26="Transit Bus",IF(AD26="Gasoline",VLOOKUP(AH26,'Fuel Consumption'!$A$31:$L$2316,3,0)*VLOOKUP(AD26,'GHG EF'!$B$10:$H$19,5,0),IF(OR(AD26="LNG",AD26="CNG",AD26="Renewable Natural Gas"),VLOOKUP(AH26,'Fuel Consumption'!$A$31:$L$2316,4)*VLOOKUP(AD26,'GHG EF'!$B$10:$H$19,4,0),IF(OR(AD26="Electric",AD26="Renewable Electricity"),VLOOKUP(AH26,'Fuel Consumption'!$A$31:$L$2316,5,0),IF(AD26="Hydrogen Fuel Cell",VLOOKUP(AH26,'Fuel Consumption'!$A$31:$L$2316,5,0)*'GHG EF'!$C$13/'GHG EF'!$C$15*'GHG EF'!$I$13/'GHG EF'!$I$15,VLOOKUP(AH26,'Fuel Consumption'!$A$31:$L$2316,2,0)*VLOOKUP(AD26,'GHG EF'!$B$10:$H$19,4,0))))),
IF(AC26="Van",IF(OR(AD26="Diesel",AD26="Renewable Diesel",AD26="Biodiesel"),VLOOKUP(AH26,'Fuel Consumption'!$A$31:$L$2316,6,0)*VLOOKUP(AD26,'GHG EF'!$B$10:$H$19,4,0),IF(OR(AD26="LNG",AD26="CNG",AD26="Renewable Natural Gas"),VLOOKUP(AH26,'Fuel Consumption'!$A$31:$L$2316,7)*VLOOKUP(AD26,'GHG EF'!$B$10:$H$19,5,0),IF(OR(AD26="Electric",AD26="Renewable Electricity"),VLOOKUP(AH26,'Fuel Consumption'!$A$31:$L$2316,8,0),IF(AD26="Hydrogen Fuel Cell",VLOOKUP(AH26,'Fuel Consumption'!$A$31:$L$2316,8,0)*'GHG EF'!$C$13/'GHG EF'!$C$15*'GHG EF'!$J$13/'GHG EF'!$J$15,VLOOKUP(AH26,'Fuel Consumption'!$A$31:$L$2316,7,0)*VLOOKUP(AD26,'GHG EF'!$B$10:$H$19,5,0))))),
IF(AC26="Cut-A-Way",IF(OR(AD26="Diesel",AD26="Renewable Diesel",AD26="Biodiesel"),VLOOKUP(AH26,'Fuel Consumption'!$A$31:$L$2316,9,0)*VLOOKUP(AD26,'GHG EF'!$B$10:$H$19,4,0),IF(OR(AD26="LNG",AD26="CNG",AD26="Renewable Natural Gas"),VLOOKUP(AH26,'Fuel Consumption'!$A$31:$L$2316,10)*VLOOKUP(AD26,'GHG EF'!$B$10:$H$19,5,0),IF(OR(AD26="Electric",AD26="Renewable Electricity"),VLOOKUP(AH26,'Fuel Consumption'!$A$31:$L$2316,11,0),IF(AD26="Hydrogen Fuel Cell",VLOOKUP(AH26,'Fuel Consumption'!$A$31:$L$2316,11,0)*'GHG EF'!$C$13/'GHG EF'!$C$15*'GHG EF'!$J$13/'GHG EF'!$J$15,VLOOKUP(AH26,'Fuel Consumption'!$A$31:$L$2316,10,0)*VLOOKUP(AD26,'GHG EF'!$B$10:$H$19,5,0))))),
IF(AC26="Over-Road Coach",VLOOKUP(AH26,'Fuel Consumption'!$A$31:$L$2316,12,0)*VLOOKUP(AD26,'GHG EF'!$B$10:$H$19,4,0),IF(AC26="Heavy Rail",IF(OR(AD26=Defaults!$I$5,AD26=Defaults!$I$11),'Rail C&amp;T EF'!$K$14*'GHG EF'!$C$12/'GHG EF'!$C$13/4.6,'Rail C&amp;T EF'!$K$14*VLOOKUP(AD26,'GHG EF'!$B$10:$H$19,4,0)),IF(AC26="DMU / EMU",IF(OR(AD26=Defaults!$I$5,AD26=Defaults!$I$11),'Rail C&amp;T EF'!$B$149*'GHG EF'!$C$12/'GHG EF'!$C$13/3.3,'Rail C&amp;T EF'!$B$149*VLOOKUP(AD26,'GHG EF'!$B$10:$H$19,4,0)),IF(AC26="Light Rail",'Rail C&amp;T EF'!$K$14*'GHG EF'!$C$12/'GHG EF'!$C$13/3.3,IF(AC26="Streetcar",'Rail C&amp;T EF'!$K$14*'GHG EF'!$C$12/'GHG EF'!$C$13/3.1,"")))))))),"")</f>
        <v/>
      </c>
      <c r="AM26" s="306" t="str">
        <f ca="1">IFERROR((IF(AD26="Gasoline",VLOOKUP(AH26,'Fuel Consumption'!$A$31:$L$2316,3,0)*VLOOKUP(AD26,'GHG EF'!$B$10:$H$19,5,0), IF(OR(AD26="CNG",AD26="LNG",AD26="Renewable Natural Gas"),VLOOKUP(AH26,'Fuel Consumption'!$A$31:$L$2316,4,0)*VLOOKUP(AD26,'GHG EF'!$B$10:$H$19,4,0),IF(OR(AD26="Electric",AD26="Renewable Electricity"),VLOOKUP(AH26,'Fuel Consumption'!$A$31:$L$2316,5,0),IF(AD26="Hydrogen Fuel Cell",VLOOKUP(AH26,'Fuel Consumption'!$A$31:$L$2316,5,0)*'GHG EF'!$C$13/'GHG EF'!$C$15*'GHG EF'!$I$13/'GHG EF'!$I$15,VLOOKUP(AH26,'Fuel Consumption'!$A$31:$L$2316,2,0)*VLOOKUP(AD26,'GHG EF'!$B$10:$H$19,4,0))))) * VLOOKUP(AD26,'GHG EF'!$B$10:$H$19,2,0) * AF26),"")</f>
        <v/>
      </c>
      <c r="AN26" s="306" t="str">
        <f ca="1">IFERROR((IF(OR(AD26="Diesel",AD26="Renewable Diesel",AD26="Biodiesel"),VLOOKUP(AH26,'Fuel Consumption'!$A$31:$L$2316,6,0)*VLOOKUP(AD26,'GHG EF'!$B$10:$H$19,4,0),IF(OR(AD26="CNG",AD26="LNG",AD26="Renewable Natural Gas"),VLOOKUP(AH26,'Fuel Consumption'!$A$31:$L$2316,7,0)*VLOOKUP(AD26,'GHG EF'!$B$10:$H$19,5,0),IF(OR(AD26="Electric",AD26="Renewable Electricity"),VLOOKUP(AH26,'Fuel Consumption'!$A$31:$L$2316,8,0),IF(AD26="Hydrogen Fuel Cell",VLOOKUP(AH26,'Fuel Consumption'!$A$31:$L$2316,8,0)*'GHG EF'!$C$13/'GHG EF'!$C$15*'GHG EF'!$J$13/'GHG EF'!$J$15,VLOOKUP(AH26,'Fuel Consumption'!$A$31:$L$2316,7,0)*VLOOKUP(AD26,'GHG EF'!$B$10:$H$19,5,0)))))*VLOOKUP(AD26,'GHG EF'!$B$10:$H$19,2,0)*AF26),"")</f>
        <v/>
      </c>
      <c r="AO26" s="306" t="str">
        <f ca="1">IFERROR((IF(OR(AD26="Diesel",AD26="Renewable Diesel",AD26="Biodiesel"),VLOOKUP(AH26,'Fuel Consumption'!$A$31:$L$2316,9,0)*VLOOKUP(AD26,'GHG EF'!$B$10:$H$19,4,0),IF(OR(AD26="CNG",AD26="LNG",AD26="Renewable Natural Gas"),VLOOKUP(AH26,'Fuel Consumption'!$A$31:$L$2316,10,0)*VLOOKUP(AD26,'GHG EF'!$B$10:$H$19,5,0),IF(OR(AD26="Electric",AD26="Renewable Electricity"),VLOOKUP(AH26,'Fuel Consumption'!$A$31:$L$2316,11,0),IF(AD26="Hydrogen Fuel Cell",VLOOKUP(AH26,'Fuel Consumption'!$A$31:$L$2316,11,0)*'GHG EF'!$C$13/'GHG EF'!$C$15*'GHG EF'!$J$13/'GHG EF'!$J$15,VLOOKUP(AH26,'Fuel Consumption'!$A$31:$L$2316,10,0)*VLOOKUP(AD26,'GHG EF'!$B$10:$H$19,5,0))))) * VLOOKUP(AD26,'GHG EF'!$B$10:$H$19,2,0) * AF26),"")</f>
        <v/>
      </c>
      <c r="AP26" s="306" t="str">
        <f ca="1">IFERROR(VLOOKUP(AH26,'Fuel Consumption'!$A$31:$L$2316,12,0)*VLOOKUP(AD26,'GHG EF'!$B$10:$H$19,4,0) * VLOOKUP(AD26,'GHG EF'!$B$10:$H$19,2,0) * AF26,"")</f>
        <v/>
      </c>
      <c r="AQ26" s="1374" t="str">
        <f ca="1">IFERROR(IF(OR(AD26=Defaults!$I$5,AD26=Defaults!$I$11), 'GHG EF'!$C$13*'GHG EF'!$C$12/'GHG EF'!$C$13/4.6, VLOOKUP(AD26,'GHG EF'!$B$10:$H$19,4,0)*VLOOKUP(AD26,'GHG EF'!$B$10:$H$19,2,0))*AF26*'Rail C&amp;T EF'!$K$14,"")</f>
        <v/>
      </c>
      <c r="AR26" s="1374" t="str">
        <f ca="1">IFERROR(IF(OR(AD26=Defaults!$I$5,AD26=Defaults!$I$11), 'GHG EF'!$C$13*'GHG EF'!$C$12/'GHG EF'!$C$13/3.3, VLOOKUP(AD26,'GHG EF'!$B$10:$H$19,4,0)*VLOOKUP(AD26,'GHG EF'!$B$10:$H$19,2,0))*AF26*'Rail C&amp;T EF'!$B$149,"")</f>
        <v/>
      </c>
      <c r="AS26" s="1374" t="str">
        <f ca="1">IFERROR(VLOOKUP(AD26,'GHG EF'!$B$10:$H$19,2,0)*AF26,"")</f>
        <v/>
      </c>
      <c r="AT26" s="1374" t="str">
        <f ca="1">IF(OR(AD26=Defaults!$I$5,AD26=Defaults!$I$10),'GHG EF'!$C$13*AF26*'GHG EF'!$C$12/'GHG EF'!$C$13/3.3*'Rail C&amp;T EF'!$K$14,"")</f>
        <v/>
      </c>
      <c r="AU26" s="1374" t="str">
        <f ca="1">IF(OR(AD26=Defaults!$I$5,AD26=Defaults!$I$10),'GHG EF'!$C$13*AF26*'GHG EF'!$C$12/'GHG EF'!$C$13/3.1*'Rail C&amp;T EF'!$K$14,"")</f>
        <v/>
      </c>
      <c r="AV26" s="1374">
        <f ca="1">IF(OR($AD26=Defaults!$I$5, $AD26=Defaults!$I$7, $AD26=Defaults!$I$11),Defaults!$G$15,INDIRECT("'Quantifiable Component "&amp;$B26&amp;"'!"&amp;$D26&amp;ROW('Quantifiable Component 1'!$50:$50)))</f>
        <v>0</v>
      </c>
      <c r="AW26" s="1374" t="str">
        <f ca="1">IFERROR((IF(AND(AV26="yes",NOT(AD26=Defaults!$I$5),NOT(AD26=Defaults!$I$7),NOT(AD26=Defaults!$I$11)),0.8,1))*(IF(AC26="Transit Bus",AM26,IF(AC26="Van",AN26,IF(AC26="Cut-A-Way",AO26,IF(AC26="Over-Road Coach",AP26,IF(AC26="Heavy Rail",AQ26,IF(AC26="DMU / EMU",AR26,IF(AC26="Ferry",AS26,IF(AC26="Light Rail",AT26,AU26))))))))),"")</f>
        <v/>
      </c>
      <c r="AX26" s="1374" t="str">
        <f ca="1">IFERROR(VLOOKUP($AD26,'GHG EF'!$B$10:$H$19,2,0)*AF26,"")</f>
        <v/>
      </c>
      <c r="AY26" s="1375" t="str">
        <f t="shared" ca="1" si="10"/>
        <v/>
      </c>
      <c r="AZ26" s="1374" t="str">
        <f t="shared" ca="1" si="11"/>
        <v/>
      </c>
      <c r="BA26" s="1375" t="str">
        <f ca="1">IFERROR(IF(G26=Defaults!$F$2,0,IF(AZ26&gt;0,AZ26*(I26-H26),AY26*(I26-H26))),"")</f>
        <v/>
      </c>
      <c r="BB26" s="1373" t="str">
        <f t="shared" ca="1" si="12"/>
        <v/>
      </c>
      <c r="BC26" s="1376">
        <f ca="1">INDIRECT("'Quantifiable Component "&amp;$B26&amp;"'!"&amp;$D26&amp;ROW('Quantifiable Component 1'!$58:$58))</f>
        <v>0</v>
      </c>
      <c r="BD26" s="306">
        <f ca="1">INDIRECT("'Quantifiable Component "&amp;$B26&amp;"'!"&amp;$D26&amp;ROW('Quantifiable Component 1'!$61:$61))</f>
        <v>0</v>
      </c>
      <c r="BE26" s="306">
        <f ca="1">INDIRECT("'Quantifiable Component "&amp;$B26&amp;"'!"&amp;$D26&amp;ROW('Quantifiable Component 1'!$66:$66))</f>
        <v>0</v>
      </c>
      <c r="BF26" s="306" t="str">
        <f ca="1">IFERROR(IF(ISBLANK(INDIRECT("'Quantifiable Component "&amp;$B26&amp;"'!"&amp;$D26&amp;ROW('Quantifiable Component 1'!$64:$64))),VLOOKUP($BD26,'GHG EF'!$B$10:$H$19,3,0),INDIRECT("'Quantifiable Component "&amp;$B26&amp;"'!"&amp;$D26&amp;ROW('Quantifiable Component 1'!$64:$64))),"")</f>
        <v/>
      </c>
      <c r="BG26" s="306">
        <f ca="1">INDIRECT("'Quantifiable Component "&amp;$B26&amp;"'!"&amp;$D26&amp;ROW('Quantifiable Component 1'!$63:$63))</f>
        <v>0</v>
      </c>
      <c r="BH26" s="1373">
        <f ca="1">INDIRECT("'Quantifiable Component "&amp;$B26&amp;"'!"&amp;$D26&amp;ROW('Quantifiable Component 1'!$65:$65))</f>
        <v>0</v>
      </c>
      <c r="BI26" s="306" t="str">
        <f ca="1">IF(AND(BH26&gt;0,OR(BD26=Defaults!$I$5,BD26=Defaults!$I$11)), IF(BC26="Transit Bus",VLOOKUP(BL26,'Fuel Consumption'!$A$31:$L$2316,5,0), IF(BC26="Van",VLOOKUP(BL26,'Fuel Consumption'!$A$31:$L$2316,8,0), IF(BC26="Cut-A-Way",VLOOKUP(BL26,'Fuel Consumption'!$A$31:$L$2316,11,0), IF(BC26="Over-Road Coach",VLOOKUP(BL26,'Fuel Consumption'!$A$31:$L$2316,12,0)*VLOOKUP(BD26,'GHG EF'!$B$10:$H$19,4,0),IF(BC26="Heavy Rail",'Rail C&amp;T EF'!$K$14*'GHG EF'!$C$12/'GHG EF'!$C$13/4.6, IF(BC26="DMU / EMU",'Rail C&amp;T EF'!$B$149*'GHG EF'!$C$12/'GHG EF'!$C$13/3.3, IF(BC26="Light Rail",'Rail C&amp;T EF'!$K$14*'GHG EF'!$C$12/'GHG EF'!$C$13/3.3, IF(BC26="Streetcar",'Rail C&amp;T EF'!$K$14*'GHG EF'!$C$12/'GHG EF'!$C$13/3.1,0)))))))),"")</f>
        <v/>
      </c>
      <c r="BJ26" s="306" t="str">
        <f ca="1">IF(BH26&gt;0,IF(OR(BD26=Defaults!$I$3,BD26=Defaults!$I$4, BD26=Defaults!$I$6, BD26=Defaults!$I$8),IF(BC26="Transit Bus",IF(BD26="Gasoline",VLOOKUP(BL26,'Fuel Consumption'!$A$31:$L$2316,3), IF(OR(BD26="CNG",BD26="LNG"),VLOOKUP(BL26,'Fuel Consumption'!$A$31:$L$2316,4,0),VLOOKUP(BL26,'Fuel Consumption'!$A$31:$L$2316,2))), IF(BC26="Van",IF(OR(BD26="Diesel",BD26="Renewable Diesel",BD26="Biodiesel"),VLOOKUP(BL26,'Fuel Consumption'!$A$31:$L$2316,6),IF(OR(BD26="CNG",BD26="LNG"),VLOOKUP(BL26,'Fuel Consumption'!$A$31:$L$2316,7,0)*VLOOKUP(BD26,'GHG EF'!$B$10:$H$19,5,0), VLOOKUP(BL26,'Fuel Consumption'!$A$31:$L$2316,7))), IF(BC26="Cut-A-Way",IF(OR(BD26="Diesel",BD26="Renewable Diesel",BD26="Biodiesel"),VLOOKUP(BL26,'Fuel Consumption'!$A$31:$L$2316,9),IF(OR(BD26="CNG",BD26="LNG"),VLOOKUP(BL26,'Fuel Consumption'!$A$31:$L$2316,10,0)*VLOOKUP(BD26,'GHG EF'!$B$10:$H$19,5,0), VLOOKUP(BL26,'Fuel Consumption'!$A$31:$L$2316,10))), IF(BC26="Over-Road Coach",VLOOKUP(BL26,'Fuel Consumption'!$A$31:$L$2316,12),IF(BC26="Heavy Rail",'Rail C&amp;T EF'!$K$14, IF(BC26="DMU / EMU",'Rail C&amp;T EF'!$B$149,"")))))) * IF(BD26=Defaults!$I$3,1/'GHG EF'!$I$11,1) * IF(BD26=Defaults!$I$8,1/'GHG EF'!$I$16,1),""),"")</f>
        <v/>
      </c>
      <c r="BK26" s="306" t="str">
        <f ca="1">IF(BH26&gt;0,IF(BC26="Transit Bus",IF(BD26="Gasoline",VLOOKUP(BL26,'Fuel Consumption'!$A$31:$L$2316,3,0)*VLOOKUP(BD26,'GHG EF'!$B$10:$H$19,5,0),IF(OR(BD26="CNG",BD26="LNG",BD26="Renewable Natural Gas"),VLOOKUP(BL26,'Fuel Consumption'!$A$31:$L$2316,4,0)*VLOOKUP(BD26,'GHG EF'!$B$10:$H$19,4,0), IF(OR(BD26="Electric",BD26="Renewable Electricity"),VLOOKUP(BL26,'Fuel Consumption'!$A$31:$L$2316,5,0),IF(BD26="Hydrogen Fuel Cell",VLOOKUP(BL26,'Fuel Consumption'!$A$31:$L$2316,5,0)*'GHG EF'!$C$13/'GHG EF'!$C$15*'GHG EF'!$I$13/'GHG EF'!$I$15, VLOOKUP(BL26,'Fuel Consumption'!$A$31:$L$2316,2,0)*VLOOKUP(BD26,'GHG EF'!$B$10:$H$19,4,0))))),
IF(BC26="Van",IF(OR(BD26="Diesel",BD26="Renewable Diesel",BD26="Biodiesel"),VLOOKUP(BL26,'Fuel Consumption'!$A$31:$L$2316,6,0)*VLOOKUP(BD26,'GHG EF'!$B$10:$H$19,4,0), IF(OR(BD26="CNG",BD26="LNG",BD26="Renewable Natural Gas"),VLOOKUP(BL26,'Fuel Consumption'!$A$31:$L$2316,7,0)*VLOOKUP(BD26,'GHG EF'!$B$10:$H$19,5,0), IF(OR(BD26="Electric",BD26="Renewable Electricity"),VLOOKUP(BL26,'Fuel Consumption'!$A$31:$L$2316,8,0),IF(BD26="Hydrogen Fuel Cell",VLOOKUP(BL26,'Fuel Consumption'!$A$31:$L$2316,8,0)*'GHG EF'!$C$13/'GHG EF'!$C$15*'GHG EF'!$J$13/'GHG EF'!$J$15,VLOOKUP(BL26,'Fuel Consumption'!$A$31:$L$2316,7,0)*VLOOKUP(BD26,'GHG EF'!$B$10:$H$19,5,0))))),
IF(BC26="Cut-A-Way",IF(OR(BD26="Diesel",BD26="Renewable Diesel",BD26="Biodiesel"),VLOOKUP(BL26,'Fuel Consumption'!$A$31:$L$2316,9,0)*VLOOKUP(BD26,'GHG EF'!$B$10:$H$19,4,0),IF(OR(BD26="CNG",BD26="LNG",BD26="Renewable Natural Gas"),VLOOKUP(BL26,'Fuel Consumption'!$A$31:$L$2316,10,0)*VLOOKUP(BD26,'GHG EF'!$B$10:$H$19,5,0), IF(OR(BD26="Electric",BD26="Renewable Electricity"),VLOOKUP(BL26,'Fuel Consumption'!$A$31:$L$2316,11,0),IF(BD26="Hydrogen Fuel Cell",VLOOKUP(BL26,'Fuel Consumption'!$A$31:$L$2316,11,0)*'GHG EF'!$C$13/'GHG EF'!$C$15*'GHG EF'!$J$13/'GHG EF'!$J$15, VLOOKUP(BL26,'Fuel Consumption'!$A$31:$L$2316,10,0)*VLOOKUP(BD26,'GHG EF'!$B$10:$H$19,5,0))))),
IF(BC26="Over-Road Coach",VLOOKUP(BL26,'Fuel Consumption'!$A$31:$L$2316,12,0)*VLOOKUP(BD26,'GHG EF'!$B$10:$H$19,4,0),IF(BC26="Heavy Rail",IF(OR(BD26=Defaults!$I$5,BD26=Defaults!$I$11), 'Rail C&amp;T EF'!$K$14*'GHG EF'!$C$12/'GHG EF'!$C$13/4.6, 'Rail C&amp;T EF'!$K$14*VLOOKUP(BD26,'GHG EF'!$B$10:$H$19,4,0)),IF(BC26="DMU / EMU",IF(OR(BD26=Defaults!$I$5,BD26=Defaults!$I$11), 'Rail C&amp;T EF'!$B$149*'GHG EF'!$C$12/'GHG EF'!$C$13/3.3, 'Rail C&amp;T EF'!$B$149*VLOOKUP(BD26,'GHG EF'!$B$10:$H$19,4,0)),IF(BC26="Light Rail",'Rail C&amp;T EF'!$K$14*'GHG EF'!$C$12/'GHG EF'!$C$13/3.3,IF(BC26="Streetcar",'Rail C&amp;T EF'!$K$14*'GHG EF'!$C$12/'GHG EF'!$C$13/3.1,"")))))))),"")</f>
        <v/>
      </c>
      <c r="BL26" s="306" t="str">
        <f t="shared" ca="1" si="13"/>
        <v>0_0</v>
      </c>
      <c r="BM26" s="306" t="str">
        <f ca="1">IFERROR((IF(BD26="Gasoline",VLOOKUP(BL26,'Fuel Consumption'!$A$31:$L$2316,3,0)*VLOOKUP(BD26,'GHG EF'!$B$10:$H$19,5,0), IF(OR(BD26="CNG",BD26="LNG",BD26="Renewable Natural Gas"),VLOOKUP(BL26,'Fuel Consumption'!$A$31:$L$2316,4,0)*VLOOKUP(BD26,'GHG EF'!$B$10:$H$19,4,0),IF(OR(BD26="Electric",BD26="Renewable Electricity"),VLOOKUP(BL26,'Fuel Consumption'!$A$31:$L$2316,5,0),IF(BD26="Hydrogen Fuel Cell",VLOOKUP(BL26,'Fuel Consumption'!$A$31:$L$2316,5,0)*'GHG EF'!$C$13/'GHG EF'!$C$15*'GHG EF'!$I$13/'GHG EF'!$I$15,VLOOKUP(BL26,'Fuel Consumption'!$A$31:$L$2316,2,0)*VLOOKUP(BD26,'GHG EF'!$B$10:$H$19,4,0))))) * VLOOKUP(BD26,'GHG EF'!$B$10:$H$19,2,0) * BF26),"")</f>
        <v/>
      </c>
      <c r="BN26" s="306" t="str">
        <f ca="1">IFERROR((IF(OR(BD26="Diesel",BD26="Renewable Diesel",BD26="Biodiesel"),VLOOKUP(BL26,'Fuel Consumption'!$A$31:$L$2316,6,0)*VLOOKUP(BD26,'GHG EF'!$B$10:$H$19,4,0),IF(OR(BD26="CNG",BD26="LNG",BD26="Renewable Natural Gas"),VLOOKUP(BL26,'Fuel Consumption'!$A$31:$L$2316,7,0)*VLOOKUP(BD26,'GHG EF'!$B$10:$H$19,5,0),IF(OR(BD26="Electric",BD26="Renewable Electricity"),VLOOKUP(BL26,'Fuel Consumption'!$A$31:$L$2316,8,0),IF(BD26="Hydrogen Fuel Cell",VLOOKUP(BL26,'Fuel Consumption'!$A$31:$L$2316,8,0)*'GHG EF'!$C$13/'GHG EF'!$C$15*'GHG EF'!$J$13/'GHG EF'!$J$15,VLOOKUP(BL26,'Fuel Consumption'!$A$31:$L$2316,7,0)*VLOOKUP(BD26,'GHG EF'!$B$10:$H$19,5,0)))))*VLOOKUP(BD26,'GHG EF'!$B$10:$H$19,2,0)*BF26),"")</f>
        <v/>
      </c>
      <c r="BO26" s="306" t="str">
        <f ca="1">IFERROR((IF(OR(BD26="Diesel",BD26="Renewable Diesel",BD26="Biodiesel"),VLOOKUP(BL26,'Fuel Consumption'!$A$31:$L$2316,9,0)*VLOOKUP(BD26,'GHG EF'!$B$10:$H$19,4,0),IF(OR(BD26="CNG",BD26="LNG",BD26="Renewable Natural Gas"),VLOOKUP(BL26,'Fuel Consumption'!$A$31:$L$2316,10,0)*VLOOKUP(BD26,'GHG EF'!$B$10:$H$19,5,0),IF(OR(BD26="Electric",BD26="Renewable Electricity"),VLOOKUP(BL26,'Fuel Consumption'!$A$31:$L$2316,11,0),IF(BD26="Hydrogen Fuel Cell",VLOOKUP(BL26,'Fuel Consumption'!$A$31:$L$2316,11,0)*'GHG EF'!$C$13/'GHG EF'!$C$15*'GHG EF'!$J$13/'GHG EF'!$J$15,VLOOKUP(BL26,'Fuel Consumption'!$A$31:$L$2316,10,0)*VLOOKUP(BD26,'GHG EF'!$B$10:$H$19,5,0))))) * VLOOKUP(BD26,'GHG EF'!$B$10:$H$19,2,0) * BF26),"")</f>
        <v/>
      </c>
      <c r="BP26" s="306" t="str">
        <f ca="1">IFERROR(VLOOKUP(BL26,'Fuel Consumption'!$A$31:$L$2316,12,0)*VLOOKUP(BD26,'GHG EF'!$B$10:$H$19,4,0) * VLOOKUP(BD26,'GHG EF'!$B$10:$H$19,2,0) * BF26,"")</f>
        <v/>
      </c>
      <c r="BQ26" s="1374" t="str">
        <f ca="1">IFERROR(IF(OR($BD26=Defaults!$I$5,$BD26=Defaults!$I$11), 'GHG EF'!$C$13*'GHG EF'!$C$12/'GHG EF'!$C$13/4.6, VLOOKUP(BD26,'GHG EF'!$B$10:$H$19,4,0)*VLOOKUP(BD26,'GHG EF'!$B$10:$H$19,2,0))*BF26*'Rail C&amp;T EF'!$K$14,"")</f>
        <v/>
      </c>
      <c r="BR26" s="1374" t="str">
        <f ca="1">IFERROR(IF(OR($BD26=Defaults!$I$5,$BD26=Defaults!$I$11), 'GHG EF'!$C$13*'GHG EF'!$C$12/'GHG EF'!$C$13/3.3, VLOOKUP(BD26,'GHG EF'!$B$10:$H$19,4,0)*VLOOKUP(BD26,'GHG EF'!$B$10:$H$19,2,0))*BF26*'Rail C&amp;T EF'!$B$149,"")</f>
        <v/>
      </c>
      <c r="BS26" s="1374" t="str">
        <f ca="1">IFERROR(VLOOKUP(BD26,'GHG EF'!$B$10:$H$19,2,0)*BF26,"")</f>
        <v/>
      </c>
      <c r="BT26" s="1374" t="str">
        <f ca="1">IF(OR($BD26=Defaults!$I$5,$BD26=Defaults!$I$10),'GHG EF'!$C$13*BF26*'GHG EF'!$C$12/'GHG EF'!$C$13/3.3*'Rail C&amp;T EF'!$K$14,"")</f>
        <v/>
      </c>
      <c r="BU26" s="1374" t="str">
        <f ca="1">IF(OR($BD26=Defaults!$I$5,$BD26=Defaults!$I$10),'GHG EF'!$C$13*BF26*'GHG EF'!$C$12/'GHG EF'!$C$13/3.1*'Rail C&amp;T EF'!$K$14,"")</f>
        <v/>
      </c>
      <c r="BV26" s="1374">
        <f ca="1">IF(OR($AD26=Defaults!$I$5, $AD26=Defaults!$I$7, $AD26=Defaults!$I$11),Defaults!$G$15,INDIRECT("'Quantifiable Component "&amp;$B26&amp;"'!"&amp;$D26&amp;ROW('Quantifiable Component 1'!$62:$62)))</f>
        <v>0</v>
      </c>
      <c r="BW26" s="1374" t="str">
        <f ca="1">IFERROR((IF(AND(BV26="yes",NOT(BD26=Defaults!$I$5),NOT(BD26=Defaults!$I$7),NOT(BD26=Defaults!$I$11)),0.8,1))*(IF(BC26="Transit Bus",BM26,IF(BC26="Van",BN26,IF(BC26="Cut-A-Way",BO26,IF(BC26="Over-Road Coach",BP26,IF(BC26="Heavy Rail",BQ26,IF(BC26="DMU / EMU",BR26,IF(BC26="Ferry",BS26,IF(BC26="Light Rail",BT26,BU26))))))))),"")</f>
        <v/>
      </c>
      <c r="BX26" s="1377" t="str">
        <f ca="1">IFERROR(VLOOKUP($BD26,'GHG EF'!$B$10:$H$19,2,0)*BF26,"")</f>
        <v/>
      </c>
      <c r="BY26" s="1377" t="str">
        <f t="shared" ca="1" si="14"/>
        <v/>
      </c>
      <c r="BZ26" s="1377" t="str">
        <f t="shared" ca="1" si="15"/>
        <v/>
      </c>
      <c r="CA26" s="1377" t="str">
        <f t="shared" ca="1" si="16"/>
        <v/>
      </c>
      <c r="CB26" s="1373" t="str">
        <f t="shared" ca="1" si="17"/>
        <v/>
      </c>
      <c r="CC26" s="1376">
        <f ca="1">INDIRECT("'Quantifiable Component "&amp;$B26&amp;"'!"&amp;$D26&amp;ROW('Quantifiable Component 1'!$69:$69))</f>
        <v>0</v>
      </c>
      <c r="CD26" s="1376">
        <f ca="1">INDIRECT("'Quantifiable Component "&amp;$B26&amp;"'!"&amp;$D26&amp;ROW('Quantifiable Component 1'!$72:$72))</f>
        <v>0</v>
      </c>
      <c r="CE26" s="1373">
        <f ca="1">INDIRECT("'Quantifiable Component "&amp;$B26&amp;"'!"&amp;$D26&amp;ROW('Quantifiable Component 1'!$74:$74))</f>
        <v>0</v>
      </c>
      <c r="CF26" s="306">
        <f ca="1">INDIRECT("'Quantifiable Component "&amp;$B26&amp;"'!"&amp;$D26&amp;ROW('Quantifiable Component 1'!$73:$73))</f>
        <v>0</v>
      </c>
      <c r="CG26" s="306" t="str">
        <f t="shared" ca="1" si="18"/>
        <v>0_0</v>
      </c>
      <c r="CH26" s="1373" t="str">
        <f ca="1">IFERROR(VLOOKUP($CD26,'GHG EF'!$B$10:$H$19,2,0)*VLOOKUP($CD26,'GHG EF'!$B$10:$H$19,3,0),"")</f>
        <v/>
      </c>
      <c r="CI26" s="1373" t="str">
        <f t="shared" ca="1" si="19"/>
        <v/>
      </c>
      <c r="CJ26" s="1373" t="str">
        <f t="shared" ca="1" si="20"/>
        <v/>
      </c>
      <c r="CK26" s="1378" t="str">
        <f ca="1">IF($F26=Defaults!$M$2, $BB26+IF($CA26="",0,$CA26)+IF($CJ26="",0,$CJ26), IF($F26=Defaults!$M$4,$CB26+IF($CJ26="",0,$CJ26),IF($F26=Defaults!$M$3,$AB26+IF($CJ26="",0,$CJ26), IF($F26=Defaults!$M$5,$CJ26,""))))</f>
        <v/>
      </c>
      <c r="CL26" s="1645"/>
    </row>
    <row r="27" spans="1:90" s="117" customFormat="1" ht="15.5" x14ac:dyDescent="0.35">
      <c r="A27" s="1646">
        <v>6</v>
      </c>
      <c r="B27" s="1367">
        <v>6</v>
      </c>
      <c r="C27" s="1380">
        <v>1</v>
      </c>
      <c r="D27" s="1368" t="str">
        <f>SUBSTITUTE(ADDRESS(1,COLUMN('Quantifiable Component 1'!E:E),4),"1","")</f>
        <v>E</v>
      </c>
      <c r="E27" s="1368" t="str">
        <f t="shared" si="0"/>
        <v>Quantifiable Component 6E</v>
      </c>
      <c r="F27" s="306">
        <f ca="1">INDIRECT("'Quantifiable Component "&amp;$B27&amp;"'!"&amp;$D27&amp;ROW('Quantifiable Component 1'!$28:$28))</f>
        <v>0</v>
      </c>
      <c r="G27" s="306">
        <f ca="1">INDIRECT("'Quantifiable Component "&amp;$B27&amp;"'!"&amp;$D27&amp;ROW('Quantifiable Component 1'!$29:$29))</f>
        <v>0</v>
      </c>
      <c r="H27" s="306">
        <f ca="1">INDIRECT("'Quantifiable Component "&amp;$B27&amp;"'!"&amp;$D27&amp;ROW('Quantifiable Component 1'!$32:$32))</f>
        <v>0</v>
      </c>
      <c r="I27" s="306">
        <f ca="1">INDIRECT("'Quantifiable Component "&amp;$B27&amp;"'!"&amp;$D27&amp;ROW('Quantifiable Component 1'!$33:$33))</f>
        <v>0</v>
      </c>
      <c r="J27" s="306">
        <f ca="1">INDIRECT("'Quantifiable Component "&amp;$B27&amp;"'!"&amp;$D27&amp;ROW('Quantifiable Component 1'!$31:$31))</f>
        <v>0</v>
      </c>
      <c r="K27" s="306" t="str">
        <f t="shared" ca="1" si="1"/>
        <v>0_0</v>
      </c>
      <c r="L27" s="306" t="str">
        <f t="shared" ca="1" si="2"/>
        <v>0_0</v>
      </c>
      <c r="M27" s="306">
        <f ca="1">INDIRECT("'Quantifiable Component "&amp;$B27&amp;"'!"&amp;$D27&amp;ROW('Quantifiable Component 1'!$37:$37))</f>
        <v>0</v>
      </c>
      <c r="N27" s="1369" t="str">
        <f ca="1">IFERROR(VLOOKUP((CONCATENATE(J27,"_",H27)),'Auto GHG'!$C$41:$D$2668,2,0),"")</f>
        <v/>
      </c>
      <c r="O27" s="306">
        <f ca="1">INDIRECT("'Quantifiable Component "&amp;$B27&amp;"'!"&amp;$D27&amp;ROW('Quantifiable Component 1'!$38:$38))</f>
        <v>0</v>
      </c>
      <c r="P27" s="1369" t="str">
        <f ca="1">IFERROR(IF(I27&lt;=2050,VLOOKUP((CONCATENATE(J27,"_",I27)),'Auto GHG'!$C$41:$D$2668,2,),VLOOKUP((CONCATENATE(J27,"_",2050)),'Auto GHG'!$C$41:$D$2668,2,)),"")</f>
        <v/>
      </c>
      <c r="Q27" s="306">
        <f ca="1">INDIRECT("'Quantifiable Component "&amp;$B27&amp;"'!"&amp;$D27&amp;ROW('Quantifiable Component 1'!$39:$39))</f>
        <v>0</v>
      </c>
      <c r="R27" s="306">
        <f ca="1">INDIRECT("'Quantifiable Component "&amp;$B27&amp;"'!"&amp;$D27&amp;ROW('Quantifiable Component 1'!$40:$40))</f>
        <v>0</v>
      </c>
      <c r="S27" s="306"/>
      <c r="T27" s="306"/>
      <c r="U27" s="1370">
        <f t="shared" ca="1" si="3"/>
        <v>0</v>
      </c>
      <c r="V27" s="1371" t="str">
        <f t="shared" ca="1" si="4"/>
        <v/>
      </c>
      <c r="W27" s="1370">
        <f t="shared" ca="1" si="5"/>
        <v>0</v>
      </c>
      <c r="X27" s="1370" t="str">
        <f t="shared" ca="1" si="6"/>
        <v/>
      </c>
      <c r="Y27" s="1372">
        <f ca="1">IFERROR(('GHG Calcs'!U27+'GHG Calcs'!W27)/2,"")</f>
        <v>0</v>
      </c>
      <c r="Z27" s="1372">
        <f t="shared" ca="1" si="7"/>
        <v>0</v>
      </c>
      <c r="AA27" s="1370" t="str">
        <f t="shared" ca="1" si="8"/>
        <v/>
      </c>
      <c r="AB27" s="1370" t="str">
        <f ca="1">IF(OR(F27=Defaults!$M$3,F27=Defaults!$M$3),AA27,"")</f>
        <v/>
      </c>
      <c r="AC27" s="306">
        <f ca="1">INDIRECT("'Quantifiable Component "&amp;$B27&amp;"'!"&amp;$D27&amp;ROW('Quantifiable Component 1'!$46:$46))</f>
        <v>0</v>
      </c>
      <c r="AD27" s="306">
        <f ca="1">INDIRECT("'Quantifiable Component "&amp;$B27&amp;"'!"&amp;$D27&amp;ROW('Quantifiable Component 1'!$49:$49))</f>
        <v>0</v>
      </c>
      <c r="AE27" s="1373">
        <f ca="1">INDIRECT("'Quantifiable Component "&amp;$B27&amp;"'!"&amp;$D27&amp;ROW('Quantifiable Component 1'!$54:$54))</f>
        <v>0</v>
      </c>
      <c r="AF27" s="306" t="str">
        <f ca="1">IFERROR(IF(ISBLANK(INDIRECT("'Quantifiable Component "&amp;$B27&amp;"'!"&amp;$D27&amp;ROW('Quantifiable Component 1'!$52:$52))),VLOOKUP($AD27,'GHG EF'!$B$10:$H$19,3,0),INDIRECT("'Quantifiable Component "&amp;$B27&amp;"'!"&amp;$D27&amp;ROW('Quantifiable Component 1'!$52:$52))),"")</f>
        <v/>
      </c>
      <c r="AG27" s="306">
        <f ca="1">INDIRECT("'Quantifiable Component "&amp;$B27&amp;"'!"&amp;$D27&amp;ROW('Quantifiable Component 1'!$51:$51))</f>
        <v>0</v>
      </c>
      <c r="AH27" s="306" t="str">
        <f t="shared" ca="1" si="9"/>
        <v>0_0</v>
      </c>
      <c r="AI27" s="1373">
        <f ca="1">INDIRECT("'Quantifiable Component "&amp;$B27&amp;"'!"&amp;$D27&amp;ROW('Quantifiable Component 1'!$53:$53))</f>
        <v>0</v>
      </c>
      <c r="AJ27" s="306" t="str">
        <f ca="1">IF(AND(AI27&gt;0,OR(AD27=Defaults!$I$5,AD27=Defaults!$I$11)), IF(AC27="Transit Bus",VLOOKUP(AH27,'Fuel Consumption'!$A$31:$L$2316,5,0), IF(AC27="Van",VLOOKUP(AH27,'Fuel Consumption'!$A$31:$L$2316,8,0), IF(AC27="Cut-A-Way",VLOOKUP(AH27,'Fuel Consumption'!$A$31:$L$2316,11,0), IF(AC27="Over-Road Coach",VLOOKUP(AH27,'Fuel Consumption'!$A$31:$L$2316,12,0)*VLOOKUP(AD27,'GHG EF'!$B$10:$H$19,4,0),IF(AC27="Heavy Rail",'Rail C&amp;T EF'!$K$14*'GHG EF'!$C$12/'GHG EF'!$C$13/4.6, IF(AC27="DMU / EMU",'Rail C&amp;T EF'!$B$149*'GHG EF'!$C$12/'GHG EF'!$C$13/3.3, IF(AC27="Light Rail",'Rail C&amp;T EF'!$K$14*'GHG EF'!$C$12/'GHG EF'!$C$13/3.3, IF(AC27="Streetcar",'Rail C&amp;T EF'!$K$14*'GHG EF'!$C$12/'GHG EF'!$C$13/3.1,0)))))))),"")</f>
        <v/>
      </c>
      <c r="AK27" s="306" t="b">
        <f ca="1">IF(AI27&gt;0,IF(OR(AD27=Defaults!$I$3,AD27=Defaults!$I$4,AD27=Defaults!$I$6,AD27=Defaults!$I$8),IF(AC27="Transit Bus",IF(AD27="Gasoline",VLOOKUP(AH27,'Fuel Consumption'!$A$31:$L$2316,3),IF(OR(AD27="CNG",AD27="LNG"),VLOOKUP(AH27,'Fuel Consumption'!$A$31:$L$2316,4),VLOOKUP(AH27,'Fuel Consumption'!$A$31:$L$2316,2))),IF(AC27="Van",IF(OR(AD27="Diesel",AD27="Renewable Diesel",AD27="Biodiesel"),VLOOKUP(AH27,'Fuel Consumption'!$A$31:$L$2316,6),IF(OR(AD27="CNG",AD27="LNG"),VLOOKUP(AH27,'Fuel Consumption'!$A$31:$L$2316,7)*VLOOKUP(AD27,'GHG EF'!$B$10:$H$19,5,0),VLOOKUP(AH27,'Fuel Consumption'!$A$31:$L$2316,7))),IF(AC27="Cut-A-Way",IF(OR(AD27="Diesel",AD27="Renewable Diesel",AD27="Biodiesel"),VLOOKUP(AH27,'Fuel Consumption'!$A$31:$L$2316,9),IF(OR(AD27="CNG",AD27="LNG"),VLOOKUP(AH27,'Fuel Consumption'!$A$31:$L$2316,10)*VLOOKUP(AD27,'GHG EF'!$B$10:$H$19,5,0),VLOOKUP(AH27,'Fuel Consumption'!$A$31:$L$2316,10))),IF(AC27="Over-Road Coach",VLOOKUP(AH27,'Fuel Consumption'!$A$31:$L$2316,12),IF(AC27="Heavy Rail",'Rail C&amp;T EF'!$K$14,IF(AC27="DMU / EMU",'Rail C&amp;T EF'!$B$149,"")))))*IF(AD27=Defaults!$I$3,1/'GHG EF'!$I$11,1)*IF(AD27=Defaults!$I$8,1/'GHG EF'!$I$16,1)),""))</f>
        <v>0</v>
      </c>
      <c r="AL27" s="306" t="str">
        <f ca="1">IF(AI27&gt;0,IF(AC27="Transit Bus",IF(AD27="Gasoline",VLOOKUP(AH27,'Fuel Consumption'!$A$31:$L$2316,3,0)*VLOOKUP(AD27,'GHG EF'!$B$10:$H$19,5,0),IF(OR(AD27="LNG",AD27="CNG",AD27="Renewable Natural Gas"),VLOOKUP(AH27,'Fuel Consumption'!$A$31:$L$2316,4)*VLOOKUP(AD27,'GHG EF'!$B$10:$H$19,4,0),IF(OR(AD27="Electric",AD27="Renewable Electricity"),VLOOKUP(AH27,'Fuel Consumption'!$A$31:$L$2316,5,0),IF(AD27="Hydrogen Fuel Cell",VLOOKUP(AH27,'Fuel Consumption'!$A$31:$L$2316,5,0)*'GHG EF'!$C$13/'GHG EF'!$C$15*'GHG EF'!$I$13/'GHG EF'!$I$15,VLOOKUP(AH27,'Fuel Consumption'!$A$31:$L$2316,2,0)*VLOOKUP(AD27,'GHG EF'!$B$10:$H$19,4,0))))),
IF(AC27="Van",IF(OR(AD27="Diesel",AD27="Renewable Diesel",AD27="Biodiesel"),VLOOKUP(AH27,'Fuel Consumption'!$A$31:$L$2316,6,0)*VLOOKUP(AD27,'GHG EF'!$B$10:$H$19,4,0),IF(OR(AD27="LNG",AD27="CNG",AD27="Renewable Natural Gas"),VLOOKUP(AH27,'Fuel Consumption'!$A$31:$L$2316,7)*VLOOKUP(AD27,'GHG EF'!$B$10:$H$19,5,0),IF(OR(AD27="Electric",AD27="Renewable Electricity"),VLOOKUP(AH27,'Fuel Consumption'!$A$31:$L$2316,8,0),IF(AD27="Hydrogen Fuel Cell",VLOOKUP(AH27,'Fuel Consumption'!$A$31:$L$2316,8,0)*'GHG EF'!$C$13/'GHG EF'!$C$15*'GHG EF'!$J$13/'GHG EF'!$J$15,VLOOKUP(AH27,'Fuel Consumption'!$A$31:$L$2316,7,0)*VLOOKUP(AD27,'GHG EF'!$B$10:$H$19,5,0))))),
IF(AC27="Cut-A-Way",IF(OR(AD27="Diesel",AD27="Renewable Diesel",AD27="Biodiesel"),VLOOKUP(AH27,'Fuel Consumption'!$A$31:$L$2316,9,0)*VLOOKUP(AD27,'GHG EF'!$B$10:$H$19,4,0),IF(OR(AD27="LNG",AD27="CNG",AD27="Renewable Natural Gas"),VLOOKUP(AH27,'Fuel Consumption'!$A$31:$L$2316,10)*VLOOKUP(AD27,'GHG EF'!$B$10:$H$19,5,0),IF(OR(AD27="Electric",AD27="Renewable Electricity"),VLOOKUP(AH27,'Fuel Consumption'!$A$31:$L$2316,11,0),IF(AD27="Hydrogen Fuel Cell",VLOOKUP(AH27,'Fuel Consumption'!$A$31:$L$2316,11,0)*'GHG EF'!$C$13/'GHG EF'!$C$15*'GHG EF'!$J$13/'GHG EF'!$J$15,VLOOKUP(AH27,'Fuel Consumption'!$A$31:$L$2316,10,0)*VLOOKUP(AD27,'GHG EF'!$B$10:$H$19,5,0))))),
IF(AC27="Over-Road Coach",VLOOKUP(AH27,'Fuel Consumption'!$A$31:$L$2316,12,0)*VLOOKUP(AD27,'GHG EF'!$B$10:$H$19,4,0),IF(AC27="Heavy Rail",IF(OR(AD27=Defaults!$I$5,AD27=Defaults!$I$11),'Rail C&amp;T EF'!$K$14*'GHG EF'!$C$12/'GHG EF'!$C$13/4.6,'Rail C&amp;T EF'!$K$14*VLOOKUP(AD27,'GHG EF'!$B$10:$H$19,4,0)),IF(AC27="DMU / EMU",IF(OR(AD27=Defaults!$I$5,AD27=Defaults!$I$11),'Rail C&amp;T EF'!$B$149*'GHG EF'!$C$12/'GHG EF'!$C$13/3.3,'Rail C&amp;T EF'!$B$149*VLOOKUP(AD27,'GHG EF'!$B$10:$H$19,4,0)),IF(AC27="Light Rail",'Rail C&amp;T EF'!$K$14*'GHG EF'!$C$12/'GHG EF'!$C$13/3.3,IF(AC27="Streetcar",'Rail C&amp;T EF'!$K$14*'GHG EF'!$C$12/'GHG EF'!$C$13/3.1,"")))))))),"")</f>
        <v/>
      </c>
      <c r="AM27" s="306" t="str">
        <f ca="1">IFERROR((IF(AD27="Gasoline",VLOOKUP(AH27,'Fuel Consumption'!$A$31:$L$2316,3,0)*VLOOKUP(AD27,'GHG EF'!$B$10:$H$19,5,0), IF(OR(AD27="CNG",AD27="LNG",AD27="Renewable Natural Gas"),VLOOKUP(AH27,'Fuel Consumption'!$A$31:$L$2316,4,0)*VLOOKUP(AD27,'GHG EF'!$B$10:$H$19,4,0),IF(OR(AD27="Electric",AD27="Renewable Electricity"),VLOOKUP(AH27,'Fuel Consumption'!$A$31:$L$2316,5,0),IF(AD27="Hydrogen Fuel Cell",VLOOKUP(AH27,'Fuel Consumption'!$A$31:$L$2316,5,0)*'GHG EF'!$C$13/'GHG EF'!$C$15*'GHG EF'!$I$13/'GHG EF'!$I$15,VLOOKUP(AH27,'Fuel Consumption'!$A$31:$L$2316,2,0)*VLOOKUP(AD27,'GHG EF'!$B$10:$H$19,4,0))))) * VLOOKUP(AD27,'GHG EF'!$B$10:$H$19,2,0) * AF27),"")</f>
        <v/>
      </c>
      <c r="AN27" s="306" t="str">
        <f ca="1">IFERROR((IF(OR(AD27="Diesel",AD27="Renewable Diesel",AD27="Biodiesel"),VLOOKUP(AH27,'Fuel Consumption'!$A$31:$L$2316,6,0)*VLOOKUP(AD27,'GHG EF'!$B$10:$H$19,4,0),IF(OR(AD27="CNG",AD27="LNG",AD27="Renewable Natural Gas"),VLOOKUP(AH27,'Fuel Consumption'!$A$31:$L$2316,7,0)*VLOOKUP(AD27,'GHG EF'!$B$10:$H$19,5,0),IF(OR(AD27="Electric",AD27="Renewable Electricity"),VLOOKUP(AH27,'Fuel Consumption'!$A$31:$L$2316,8,0),IF(AD27="Hydrogen Fuel Cell",VLOOKUP(AH27,'Fuel Consumption'!$A$31:$L$2316,8,0)*'GHG EF'!$C$13/'GHG EF'!$C$15*'GHG EF'!$J$13/'GHG EF'!$J$15,VLOOKUP(AH27,'Fuel Consumption'!$A$31:$L$2316,7,0)*VLOOKUP(AD27,'GHG EF'!$B$10:$H$19,5,0)))))*VLOOKUP(AD27,'GHG EF'!$B$10:$H$19,2,0)*AF27),"")</f>
        <v/>
      </c>
      <c r="AO27" s="306" t="str">
        <f ca="1">IFERROR((IF(OR(AD27="Diesel",AD27="Renewable Diesel",AD27="Biodiesel"),VLOOKUP(AH27,'Fuel Consumption'!$A$31:$L$2316,9,0)*VLOOKUP(AD27,'GHG EF'!$B$10:$H$19,4,0),IF(OR(AD27="CNG",AD27="LNG",AD27="Renewable Natural Gas"),VLOOKUP(AH27,'Fuel Consumption'!$A$31:$L$2316,10,0)*VLOOKUP(AD27,'GHG EF'!$B$10:$H$19,5,0),IF(OR(AD27="Electric",AD27="Renewable Electricity"),VLOOKUP(AH27,'Fuel Consumption'!$A$31:$L$2316,11,0),IF(AD27="Hydrogen Fuel Cell",VLOOKUP(AH27,'Fuel Consumption'!$A$31:$L$2316,11,0)*'GHG EF'!$C$13/'GHG EF'!$C$15*'GHG EF'!$J$13/'GHG EF'!$J$15,VLOOKUP(AH27,'Fuel Consumption'!$A$31:$L$2316,10,0)*VLOOKUP(AD27,'GHG EF'!$B$10:$H$19,5,0))))) * VLOOKUP(AD27,'GHG EF'!$B$10:$H$19,2,0) * AF27),"")</f>
        <v/>
      </c>
      <c r="AP27" s="306" t="str">
        <f ca="1">IFERROR(VLOOKUP(AH27,'Fuel Consumption'!$A$31:$L$2316,12,0)*VLOOKUP(AD27,'GHG EF'!$B$10:$H$19,4,0) * VLOOKUP(AD27,'GHG EF'!$B$10:$H$19,2,0) * AF27,"")</f>
        <v/>
      </c>
      <c r="AQ27" s="1374" t="str">
        <f ca="1">IFERROR(IF(OR(AD27=Defaults!$I$5,AD27=Defaults!$I$11), 'GHG EF'!$C$13*'GHG EF'!$C$12/'GHG EF'!$C$13/4.6, VLOOKUP(AD27,'GHG EF'!$B$10:$H$19,4,0)*VLOOKUP(AD27,'GHG EF'!$B$10:$H$19,2,0))*AF27*'Rail C&amp;T EF'!$K$14,"")</f>
        <v/>
      </c>
      <c r="AR27" s="1374" t="str">
        <f ca="1">IFERROR(IF(OR(AD27=Defaults!$I$5,AD27=Defaults!$I$11), 'GHG EF'!$C$13*'GHG EF'!$C$12/'GHG EF'!$C$13/3.3, VLOOKUP(AD27,'GHG EF'!$B$10:$H$19,4,0)*VLOOKUP(AD27,'GHG EF'!$B$10:$H$19,2,0))*AF27*'Rail C&amp;T EF'!$B$149,"")</f>
        <v/>
      </c>
      <c r="AS27" s="1374" t="str">
        <f ca="1">IFERROR(VLOOKUP(AD27,'GHG EF'!$B$10:$H$19,2,0)*AF27,"")</f>
        <v/>
      </c>
      <c r="AT27" s="1374" t="str">
        <f ca="1">IF(OR(AD27=Defaults!$I$5,AD27=Defaults!$I$10),'GHG EF'!$C$13*AF27*'GHG EF'!$C$12/'GHG EF'!$C$13/3.3*'Rail C&amp;T EF'!$K$14,"")</f>
        <v/>
      </c>
      <c r="AU27" s="1374" t="str">
        <f ca="1">IF(OR(AD27=Defaults!$I$5,AD27=Defaults!$I$10),'GHG EF'!$C$13*AF27*'GHG EF'!$C$12/'GHG EF'!$C$13/3.1*'Rail C&amp;T EF'!$K$14,"")</f>
        <v/>
      </c>
      <c r="AV27" s="1374">
        <f ca="1">IF(OR($AD27=Defaults!$I$5, $AD27=Defaults!$I$7, $AD27=Defaults!$I$11),Defaults!$G$15,INDIRECT("'Quantifiable Component "&amp;$B27&amp;"'!"&amp;$D27&amp;ROW('Quantifiable Component 1'!$50:$50)))</f>
        <v>0</v>
      </c>
      <c r="AW27" s="1374" t="str">
        <f ca="1">IFERROR((IF(AND(AV27="yes",NOT(AD27=Defaults!$I$5),NOT(AD27=Defaults!$I$7),NOT(AD27=Defaults!$I$11)),0.8,1))*(IF(AC27="Transit Bus",AM27,IF(AC27="Van",AN27,IF(AC27="Cut-A-Way",AO27,IF(AC27="Over-Road Coach",AP27,IF(AC27="Heavy Rail",AQ27,IF(AC27="DMU / EMU",AR27,IF(AC27="Ferry",AS27,IF(AC27="Light Rail",AT27,AU27))))))))),"")</f>
        <v/>
      </c>
      <c r="AX27" s="1374" t="str">
        <f ca="1">IFERROR(VLOOKUP($AD27,'GHG EF'!$B$10:$H$19,2,0)*AF27,"")</f>
        <v/>
      </c>
      <c r="AY27" s="1375" t="str">
        <f t="shared" ca="1" si="10"/>
        <v/>
      </c>
      <c r="AZ27" s="1374" t="str">
        <f t="shared" ca="1" si="11"/>
        <v/>
      </c>
      <c r="BA27" s="1375" t="str">
        <f ca="1">IFERROR(IF(G27=Defaults!$F$2,0,IF(AZ27&gt;0,AZ27*(I27-H27),AY27*(I27-H27))),"")</f>
        <v/>
      </c>
      <c r="BB27" s="1373" t="str">
        <f t="shared" ca="1" si="12"/>
        <v/>
      </c>
      <c r="BC27" s="1376">
        <f ca="1">INDIRECT("'Quantifiable Component "&amp;$B27&amp;"'!"&amp;$D27&amp;ROW('Quantifiable Component 1'!$58:$58))</f>
        <v>0</v>
      </c>
      <c r="BD27" s="306">
        <f ca="1">INDIRECT("'Quantifiable Component "&amp;$B27&amp;"'!"&amp;$D27&amp;ROW('Quantifiable Component 1'!$61:$61))</f>
        <v>0</v>
      </c>
      <c r="BE27" s="306">
        <f ca="1">INDIRECT("'Quantifiable Component "&amp;$B27&amp;"'!"&amp;$D27&amp;ROW('Quantifiable Component 1'!$66:$66))</f>
        <v>0</v>
      </c>
      <c r="BF27" s="306" t="str">
        <f ca="1">IFERROR(IF(ISBLANK(INDIRECT("'Quantifiable Component "&amp;$B27&amp;"'!"&amp;$D27&amp;ROW('Quantifiable Component 1'!$64:$64))),VLOOKUP($BD27,'GHG EF'!$B$10:$H$19,3,0),INDIRECT("'Quantifiable Component "&amp;$B27&amp;"'!"&amp;$D27&amp;ROW('Quantifiable Component 1'!$64:$64))),"")</f>
        <v/>
      </c>
      <c r="BG27" s="306">
        <f ca="1">INDIRECT("'Quantifiable Component "&amp;$B27&amp;"'!"&amp;$D27&amp;ROW('Quantifiable Component 1'!$63:$63))</f>
        <v>0</v>
      </c>
      <c r="BH27" s="1373">
        <f ca="1">INDIRECT("'Quantifiable Component "&amp;$B27&amp;"'!"&amp;$D27&amp;ROW('Quantifiable Component 1'!$65:$65))</f>
        <v>0</v>
      </c>
      <c r="BI27" s="306" t="str">
        <f ca="1">IF(AND(BH27&gt;0,OR(BD27=Defaults!$I$5,BD27=Defaults!$I$11)), IF(BC27="Transit Bus",VLOOKUP(BL27,'Fuel Consumption'!$A$31:$L$2316,5,0), IF(BC27="Van",VLOOKUP(BL27,'Fuel Consumption'!$A$31:$L$2316,8,0), IF(BC27="Cut-A-Way",VLOOKUP(BL27,'Fuel Consumption'!$A$31:$L$2316,11,0), IF(BC27="Over-Road Coach",VLOOKUP(BL27,'Fuel Consumption'!$A$31:$L$2316,12,0)*VLOOKUP(BD27,'GHG EF'!$B$10:$H$19,4,0),IF(BC27="Heavy Rail",'Rail C&amp;T EF'!$K$14*'GHG EF'!$C$12/'GHG EF'!$C$13/4.6, IF(BC27="DMU / EMU",'Rail C&amp;T EF'!$B$149*'GHG EF'!$C$12/'GHG EF'!$C$13/3.3, IF(BC27="Light Rail",'Rail C&amp;T EF'!$K$14*'GHG EF'!$C$12/'GHG EF'!$C$13/3.3, IF(BC27="Streetcar",'Rail C&amp;T EF'!$K$14*'GHG EF'!$C$12/'GHG EF'!$C$13/3.1,0)))))))),"")</f>
        <v/>
      </c>
      <c r="BJ27" s="306" t="str">
        <f ca="1">IF(BH27&gt;0,IF(OR(BD27=Defaults!$I$3,BD27=Defaults!$I$4, BD27=Defaults!$I$6, BD27=Defaults!$I$8),IF(BC27="Transit Bus",IF(BD27="Gasoline",VLOOKUP(BL27,'Fuel Consumption'!$A$31:$L$2316,3), IF(OR(BD27="CNG",BD27="LNG"),VLOOKUP(BL27,'Fuel Consumption'!$A$31:$L$2316,4,0),VLOOKUP(BL27,'Fuel Consumption'!$A$31:$L$2316,2))), IF(BC27="Van",IF(OR(BD27="Diesel",BD27="Renewable Diesel",BD27="Biodiesel"),VLOOKUP(BL27,'Fuel Consumption'!$A$31:$L$2316,6),IF(OR(BD27="CNG",BD27="LNG"),VLOOKUP(BL27,'Fuel Consumption'!$A$31:$L$2316,7,0)*VLOOKUP(BD27,'GHG EF'!$B$10:$H$19,5,0), VLOOKUP(BL27,'Fuel Consumption'!$A$31:$L$2316,7))), IF(BC27="Cut-A-Way",IF(OR(BD27="Diesel",BD27="Renewable Diesel",BD27="Biodiesel"),VLOOKUP(BL27,'Fuel Consumption'!$A$31:$L$2316,9),IF(OR(BD27="CNG",BD27="LNG"),VLOOKUP(BL27,'Fuel Consumption'!$A$31:$L$2316,10,0)*VLOOKUP(BD27,'GHG EF'!$B$10:$H$19,5,0), VLOOKUP(BL27,'Fuel Consumption'!$A$31:$L$2316,10))), IF(BC27="Over-Road Coach",VLOOKUP(BL27,'Fuel Consumption'!$A$31:$L$2316,12),IF(BC27="Heavy Rail",'Rail C&amp;T EF'!$K$14, IF(BC27="DMU / EMU",'Rail C&amp;T EF'!$B$149,"")))))) * IF(BD27=Defaults!$I$3,1/'GHG EF'!$I$11,1) * IF(BD27=Defaults!$I$8,1/'GHG EF'!$I$16,1),""),"")</f>
        <v/>
      </c>
      <c r="BK27" s="306" t="str">
        <f ca="1">IF(BH27&gt;0,IF(BC27="Transit Bus",IF(BD27="Gasoline",VLOOKUP(BL27,'Fuel Consumption'!$A$31:$L$2316,3,0)*VLOOKUP(BD27,'GHG EF'!$B$10:$H$19,5,0),IF(OR(BD27="CNG",BD27="LNG",BD27="Renewable Natural Gas"),VLOOKUP(BL27,'Fuel Consumption'!$A$31:$L$2316,4,0)*VLOOKUP(BD27,'GHG EF'!$B$10:$H$19,4,0), IF(OR(BD27="Electric",BD27="Renewable Electricity"),VLOOKUP(BL27,'Fuel Consumption'!$A$31:$L$2316,5,0),IF(BD27="Hydrogen Fuel Cell",VLOOKUP(BL27,'Fuel Consumption'!$A$31:$L$2316,5,0)*'GHG EF'!$C$13/'GHG EF'!$C$15*'GHG EF'!$I$13/'GHG EF'!$I$15, VLOOKUP(BL27,'Fuel Consumption'!$A$31:$L$2316,2,0)*VLOOKUP(BD27,'GHG EF'!$B$10:$H$19,4,0))))),
IF(BC27="Van",IF(OR(BD27="Diesel",BD27="Renewable Diesel",BD27="Biodiesel"),VLOOKUP(BL27,'Fuel Consumption'!$A$31:$L$2316,6,0)*VLOOKUP(BD27,'GHG EF'!$B$10:$H$19,4,0), IF(OR(BD27="CNG",BD27="LNG",BD27="Renewable Natural Gas"),VLOOKUP(BL27,'Fuel Consumption'!$A$31:$L$2316,7,0)*VLOOKUP(BD27,'GHG EF'!$B$10:$H$19,5,0), IF(OR(BD27="Electric",BD27="Renewable Electricity"),VLOOKUP(BL27,'Fuel Consumption'!$A$31:$L$2316,8,0),IF(BD27="Hydrogen Fuel Cell",VLOOKUP(BL27,'Fuel Consumption'!$A$31:$L$2316,8,0)*'GHG EF'!$C$13/'GHG EF'!$C$15*'GHG EF'!$J$13/'GHG EF'!$J$15,VLOOKUP(BL27,'Fuel Consumption'!$A$31:$L$2316,7,0)*VLOOKUP(BD27,'GHG EF'!$B$10:$H$19,5,0))))),
IF(BC27="Cut-A-Way",IF(OR(BD27="Diesel",BD27="Renewable Diesel",BD27="Biodiesel"),VLOOKUP(BL27,'Fuel Consumption'!$A$31:$L$2316,9,0)*VLOOKUP(BD27,'GHG EF'!$B$10:$H$19,4,0),IF(OR(BD27="CNG",BD27="LNG",BD27="Renewable Natural Gas"),VLOOKUP(BL27,'Fuel Consumption'!$A$31:$L$2316,10,0)*VLOOKUP(BD27,'GHG EF'!$B$10:$H$19,5,0), IF(OR(BD27="Electric",BD27="Renewable Electricity"),VLOOKUP(BL27,'Fuel Consumption'!$A$31:$L$2316,11,0),IF(BD27="Hydrogen Fuel Cell",VLOOKUP(BL27,'Fuel Consumption'!$A$31:$L$2316,11,0)*'GHG EF'!$C$13/'GHG EF'!$C$15*'GHG EF'!$J$13/'GHG EF'!$J$15, VLOOKUP(BL27,'Fuel Consumption'!$A$31:$L$2316,10,0)*VLOOKUP(BD27,'GHG EF'!$B$10:$H$19,5,0))))),
IF(BC27="Over-Road Coach",VLOOKUP(BL27,'Fuel Consumption'!$A$31:$L$2316,12,0)*VLOOKUP(BD27,'GHG EF'!$B$10:$H$19,4,0),IF(BC27="Heavy Rail",IF(OR(BD27=Defaults!$I$5,BD27=Defaults!$I$11), 'Rail C&amp;T EF'!$K$14*'GHG EF'!$C$12/'GHG EF'!$C$13/4.6, 'Rail C&amp;T EF'!$K$14*VLOOKUP(BD27,'GHG EF'!$B$10:$H$19,4,0)),IF(BC27="DMU / EMU",IF(OR(BD27=Defaults!$I$5,BD27=Defaults!$I$11), 'Rail C&amp;T EF'!$B$149*'GHG EF'!$C$12/'GHG EF'!$C$13/3.3, 'Rail C&amp;T EF'!$B$149*VLOOKUP(BD27,'GHG EF'!$B$10:$H$19,4,0)),IF(BC27="Light Rail",'Rail C&amp;T EF'!$K$14*'GHG EF'!$C$12/'GHG EF'!$C$13/3.3,IF(BC27="Streetcar",'Rail C&amp;T EF'!$K$14*'GHG EF'!$C$12/'GHG EF'!$C$13/3.1,"")))))))),"")</f>
        <v/>
      </c>
      <c r="BL27" s="306" t="str">
        <f t="shared" ca="1" si="13"/>
        <v>0_0</v>
      </c>
      <c r="BM27" s="306" t="str">
        <f ca="1">IFERROR((IF(BD27="Gasoline",VLOOKUP(BL27,'Fuel Consumption'!$A$31:$L$2316,3,0)*VLOOKUP(BD27,'GHG EF'!$B$10:$H$19,5,0), IF(OR(BD27="CNG",BD27="LNG",BD27="Renewable Natural Gas"),VLOOKUP(BL27,'Fuel Consumption'!$A$31:$L$2316,4,0)*VLOOKUP(BD27,'GHG EF'!$B$10:$H$19,4,0),IF(OR(BD27="Electric",BD27="Renewable Electricity"),VLOOKUP(BL27,'Fuel Consumption'!$A$31:$L$2316,5,0),IF(BD27="Hydrogen Fuel Cell",VLOOKUP(BL27,'Fuel Consumption'!$A$31:$L$2316,5,0)*'GHG EF'!$C$13/'GHG EF'!$C$15*'GHG EF'!$I$13/'GHG EF'!$I$15,VLOOKUP(BL27,'Fuel Consumption'!$A$31:$L$2316,2,0)*VLOOKUP(BD27,'GHG EF'!$B$10:$H$19,4,0))))) * VLOOKUP(BD27,'GHG EF'!$B$10:$H$19,2,0) * BF27),"")</f>
        <v/>
      </c>
      <c r="BN27" s="306" t="str">
        <f ca="1">IFERROR((IF(OR(BD27="Diesel",BD27="Renewable Diesel",BD27="Biodiesel"),VLOOKUP(BL27,'Fuel Consumption'!$A$31:$L$2316,6,0)*VLOOKUP(BD27,'GHG EF'!$B$10:$H$19,4,0),IF(OR(BD27="CNG",BD27="LNG",BD27="Renewable Natural Gas"),VLOOKUP(BL27,'Fuel Consumption'!$A$31:$L$2316,7,0)*VLOOKUP(BD27,'GHG EF'!$B$10:$H$19,5,0),IF(OR(BD27="Electric",BD27="Renewable Electricity"),VLOOKUP(BL27,'Fuel Consumption'!$A$31:$L$2316,8,0),IF(BD27="Hydrogen Fuel Cell",VLOOKUP(BL27,'Fuel Consumption'!$A$31:$L$2316,8,0)*'GHG EF'!$C$13/'GHG EF'!$C$15*'GHG EF'!$J$13/'GHG EF'!$J$15,VLOOKUP(BL27,'Fuel Consumption'!$A$31:$L$2316,7,0)*VLOOKUP(BD27,'GHG EF'!$B$10:$H$19,5,0)))))*VLOOKUP(BD27,'GHG EF'!$B$10:$H$19,2,0)*BF27),"")</f>
        <v/>
      </c>
      <c r="BO27" s="306" t="str">
        <f ca="1">IFERROR((IF(OR(BD27="Diesel",BD27="Renewable Diesel",BD27="Biodiesel"),VLOOKUP(BL27,'Fuel Consumption'!$A$31:$L$2316,9,0)*VLOOKUP(BD27,'GHG EF'!$B$10:$H$19,4,0),IF(OR(BD27="CNG",BD27="LNG",BD27="Renewable Natural Gas"),VLOOKUP(BL27,'Fuel Consumption'!$A$31:$L$2316,10,0)*VLOOKUP(BD27,'GHG EF'!$B$10:$H$19,5,0),IF(OR(BD27="Electric",BD27="Renewable Electricity"),VLOOKUP(BL27,'Fuel Consumption'!$A$31:$L$2316,11,0),IF(BD27="Hydrogen Fuel Cell",VLOOKUP(BL27,'Fuel Consumption'!$A$31:$L$2316,11,0)*'GHG EF'!$C$13/'GHG EF'!$C$15*'GHG EF'!$J$13/'GHG EF'!$J$15,VLOOKUP(BL27,'Fuel Consumption'!$A$31:$L$2316,10,0)*VLOOKUP(BD27,'GHG EF'!$B$10:$H$19,5,0))))) * VLOOKUP(BD27,'GHG EF'!$B$10:$H$19,2,0) * BF27),"")</f>
        <v/>
      </c>
      <c r="BP27" s="306" t="str">
        <f ca="1">IFERROR(VLOOKUP(BL27,'Fuel Consumption'!$A$31:$L$2316,12,0)*VLOOKUP(BD27,'GHG EF'!$B$10:$H$19,4,0) * VLOOKUP(BD27,'GHG EF'!$B$10:$H$19,2,0) * BF27,"")</f>
        <v/>
      </c>
      <c r="BQ27" s="1374" t="str">
        <f ca="1">IFERROR(IF(OR($BD27=Defaults!$I$5,$BD27=Defaults!$I$11), 'GHG EF'!$C$13*'GHG EF'!$C$12/'GHG EF'!$C$13/4.6, VLOOKUP(BD27,'GHG EF'!$B$10:$H$19,4,0)*VLOOKUP(BD27,'GHG EF'!$B$10:$H$19,2,0))*BF27*'Rail C&amp;T EF'!$K$14,"")</f>
        <v/>
      </c>
      <c r="BR27" s="1374" t="str">
        <f ca="1">IFERROR(IF(OR($BD27=Defaults!$I$5,$BD27=Defaults!$I$11), 'GHG EF'!$C$13*'GHG EF'!$C$12/'GHG EF'!$C$13/3.3, VLOOKUP(BD27,'GHG EF'!$B$10:$H$19,4,0)*VLOOKUP(BD27,'GHG EF'!$B$10:$H$19,2,0))*BF27*'Rail C&amp;T EF'!$B$149,"")</f>
        <v/>
      </c>
      <c r="BS27" s="1374" t="str">
        <f ca="1">IFERROR(VLOOKUP(BD27,'GHG EF'!$B$10:$H$19,2,0)*BF27,"")</f>
        <v/>
      </c>
      <c r="BT27" s="1374" t="str">
        <f ca="1">IF(OR($BD27=Defaults!$I$5,$BD27=Defaults!$I$10),'GHG EF'!$C$13*BF27*'GHG EF'!$C$12/'GHG EF'!$C$13/3.3*'Rail C&amp;T EF'!$K$14,"")</f>
        <v/>
      </c>
      <c r="BU27" s="1374" t="str">
        <f ca="1">IF(OR($BD27=Defaults!$I$5,$BD27=Defaults!$I$10),'GHG EF'!$C$13*BF27*'GHG EF'!$C$12/'GHG EF'!$C$13/3.1*'Rail C&amp;T EF'!$K$14,"")</f>
        <v/>
      </c>
      <c r="BV27" s="1374">
        <f ca="1">IF(OR($AD27=Defaults!$I$5, $AD27=Defaults!$I$7, $AD27=Defaults!$I$11),Defaults!$G$15,INDIRECT("'Quantifiable Component "&amp;$B27&amp;"'!"&amp;$D27&amp;ROW('Quantifiable Component 1'!$62:$62)))</f>
        <v>0</v>
      </c>
      <c r="BW27" s="1374" t="str">
        <f ca="1">IFERROR((IF(AND(BV27="yes",NOT(BD27=Defaults!$I$5),NOT(BD27=Defaults!$I$7),NOT(BD27=Defaults!$I$11)),0.8,1))*(IF(BC27="Transit Bus",BM27,IF(BC27="Van",BN27,IF(BC27="Cut-A-Way",BO27,IF(BC27="Over-Road Coach",BP27,IF(BC27="Heavy Rail",BQ27,IF(BC27="DMU / EMU",BR27,IF(BC27="Ferry",BS27,IF(BC27="Light Rail",BT27,BU27))))))))),"")</f>
        <v/>
      </c>
      <c r="BX27" s="1377" t="str">
        <f ca="1">IFERROR(VLOOKUP($BD27,'GHG EF'!$B$10:$H$19,2,0)*BF27,"")</f>
        <v/>
      </c>
      <c r="BY27" s="1377" t="str">
        <f t="shared" ca="1" si="14"/>
        <v/>
      </c>
      <c r="BZ27" s="1377" t="str">
        <f t="shared" ca="1" si="15"/>
        <v/>
      </c>
      <c r="CA27" s="1377" t="str">
        <f t="shared" ca="1" si="16"/>
        <v/>
      </c>
      <c r="CB27" s="1373" t="str">
        <f t="shared" ca="1" si="17"/>
        <v/>
      </c>
      <c r="CC27" s="1376">
        <f ca="1">INDIRECT("'Quantifiable Component "&amp;$B27&amp;"'!"&amp;$D27&amp;ROW('Quantifiable Component 1'!$69:$69))</f>
        <v>0</v>
      </c>
      <c r="CD27" s="1376">
        <f ca="1">INDIRECT("'Quantifiable Component "&amp;$B27&amp;"'!"&amp;$D27&amp;ROW('Quantifiable Component 1'!$72:$72))</f>
        <v>0</v>
      </c>
      <c r="CE27" s="1373">
        <f ca="1">INDIRECT("'Quantifiable Component "&amp;$B27&amp;"'!"&amp;$D27&amp;ROW('Quantifiable Component 1'!$74:$74))</f>
        <v>0</v>
      </c>
      <c r="CF27" s="306">
        <f ca="1">INDIRECT("'Quantifiable Component "&amp;$B27&amp;"'!"&amp;$D27&amp;ROW('Quantifiable Component 1'!$73:$73))</f>
        <v>0</v>
      </c>
      <c r="CG27" s="306" t="str">
        <f t="shared" ca="1" si="18"/>
        <v>0_0</v>
      </c>
      <c r="CH27" s="1373" t="str">
        <f ca="1">IFERROR(VLOOKUP($CD27,'GHG EF'!$B$10:$H$19,2,0)*VLOOKUP($CD27,'GHG EF'!$B$10:$H$19,3,0),"")</f>
        <v/>
      </c>
      <c r="CI27" s="1373" t="str">
        <f t="shared" ca="1" si="19"/>
        <v/>
      </c>
      <c r="CJ27" s="1373" t="str">
        <f t="shared" ca="1" si="20"/>
        <v/>
      </c>
      <c r="CK27" s="1378" t="str">
        <f ca="1">IF($F27=Defaults!$M$2, $BB27+IF($CA27="",0,$CA27)+IF($CJ27="",0,$CJ27), IF($F27=Defaults!$M$4,$CB27+IF($CJ27="",0,$CJ27),IF($F27=Defaults!$M$3,$AB27+IF($CJ27="",0,$CJ27), IF($F27=Defaults!$M$5,$CJ27,""))))</f>
        <v/>
      </c>
      <c r="CL27" s="1643">
        <f t="shared" ref="CL27" ca="1" si="25">SUM(CK27:CK29)</f>
        <v>0</v>
      </c>
    </row>
    <row r="28" spans="1:90" s="117" customFormat="1" ht="15.5" x14ac:dyDescent="0.35">
      <c r="A28" s="1647"/>
      <c r="B28" s="1367">
        <v>6</v>
      </c>
      <c r="C28" s="1380">
        <v>2</v>
      </c>
      <c r="D28" s="1368" t="str">
        <f>SUBSTITUTE(ADDRESS(1,COLUMN('Quantifiable Component 1'!H:H),4),"1","")</f>
        <v>H</v>
      </c>
      <c r="E28" s="1368" t="str">
        <f t="shared" si="0"/>
        <v>Quantifiable Component 6H</v>
      </c>
      <c r="F28" s="306">
        <f ca="1">INDIRECT("'Quantifiable Component "&amp;$B28&amp;"'!"&amp;$D28&amp;ROW('Quantifiable Component 1'!$28:$28))</f>
        <v>0</v>
      </c>
      <c r="G28" s="306">
        <f ca="1">INDIRECT("'Quantifiable Component "&amp;$B28&amp;"'!"&amp;$D28&amp;ROW('Quantifiable Component 1'!$29:$29))</f>
        <v>0</v>
      </c>
      <c r="H28" s="306">
        <f ca="1">INDIRECT("'Quantifiable Component "&amp;$B28&amp;"'!"&amp;$D28&amp;ROW('Quantifiable Component 1'!$32:$32))</f>
        <v>0</v>
      </c>
      <c r="I28" s="306">
        <f ca="1">INDIRECT("'Quantifiable Component "&amp;$B28&amp;"'!"&amp;$D28&amp;ROW('Quantifiable Component 1'!$33:$33))</f>
        <v>0</v>
      </c>
      <c r="J28" s="306">
        <f ca="1">INDIRECT("'Quantifiable Component "&amp;$B28&amp;"'!"&amp;$D28&amp;ROW('Quantifiable Component 1'!$31:$31))</f>
        <v>0</v>
      </c>
      <c r="K28" s="306" t="str">
        <f t="shared" ca="1" si="1"/>
        <v>0_0</v>
      </c>
      <c r="L28" s="306" t="str">
        <f t="shared" ca="1" si="2"/>
        <v>0_0</v>
      </c>
      <c r="M28" s="306">
        <f ca="1">INDIRECT("'Quantifiable Component "&amp;$B28&amp;"'!"&amp;$D28&amp;ROW('Quantifiable Component 1'!$37:$37))</f>
        <v>0</v>
      </c>
      <c r="N28" s="1369" t="str">
        <f ca="1">IFERROR(VLOOKUP((CONCATENATE(J28,"_",H28)),'Auto GHG'!$C$41:$D$2668,2,0),"")</f>
        <v/>
      </c>
      <c r="O28" s="306">
        <f ca="1">INDIRECT("'Quantifiable Component "&amp;$B28&amp;"'!"&amp;$D28&amp;ROW('Quantifiable Component 1'!$38:$38))</f>
        <v>0</v>
      </c>
      <c r="P28" s="1369" t="str">
        <f ca="1">IFERROR(IF(I28&lt;=2050,VLOOKUP((CONCATENATE(J28,"_",I28)),'Auto GHG'!$C$41:$D$2668,2,),VLOOKUP((CONCATENATE(J28,"_",2050)),'Auto GHG'!$C$41:$D$2668,2,)),"")</f>
        <v/>
      </c>
      <c r="Q28" s="306">
        <f ca="1">INDIRECT("'Quantifiable Component "&amp;$B28&amp;"'!"&amp;$D28&amp;ROW('Quantifiable Component 1'!$39:$39))</f>
        <v>0</v>
      </c>
      <c r="R28" s="306">
        <f ca="1">INDIRECT("'Quantifiable Component "&amp;$B28&amp;"'!"&amp;$D28&amp;ROW('Quantifiable Component 1'!$40:$40))</f>
        <v>0</v>
      </c>
      <c r="S28" s="306"/>
      <c r="T28" s="306"/>
      <c r="U28" s="1370">
        <f t="shared" ca="1" si="3"/>
        <v>0</v>
      </c>
      <c r="V28" s="1371" t="str">
        <f t="shared" ca="1" si="4"/>
        <v/>
      </c>
      <c r="W28" s="1370">
        <f t="shared" ca="1" si="5"/>
        <v>0</v>
      </c>
      <c r="X28" s="1370" t="str">
        <f t="shared" ca="1" si="6"/>
        <v/>
      </c>
      <c r="Y28" s="1372">
        <f ca="1">IFERROR(('GHG Calcs'!U28+'GHG Calcs'!W28)/2,"")</f>
        <v>0</v>
      </c>
      <c r="Z28" s="1372">
        <f t="shared" ca="1" si="7"/>
        <v>0</v>
      </c>
      <c r="AA28" s="1370" t="str">
        <f t="shared" ca="1" si="8"/>
        <v/>
      </c>
      <c r="AB28" s="1370" t="str">
        <f ca="1">IF(OR(F28=Defaults!$M$3,F28=Defaults!$M$3),AA28,"")</f>
        <v/>
      </c>
      <c r="AC28" s="306">
        <f ca="1">INDIRECT("'Quantifiable Component "&amp;$B28&amp;"'!"&amp;$D28&amp;ROW('Quantifiable Component 1'!$46:$46))</f>
        <v>0</v>
      </c>
      <c r="AD28" s="306">
        <f ca="1">INDIRECT("'Quantifiable Component "&amp;$B28&amp;"'!"&amp;$D28&amp;ROW('Quantifiable Component 1'!$49:$49))</f>
        <v>0</v>
      </c>
      <c r="AE28" s="1373">
        <f ca="1">INDIRECT("'Quantifiable Component "&amp;$B28&amp;"'!"&amp;$D28&amp;ROW('Quantifiable Component 1'!$54:$54))</f>
        <v>0</v>
      </c>
      <c r="AF28" s="306" t="str">
        <f ca="1">IFERROR(IF(ISBLANK(INDIRECT("'Quantifiable Component "&amp;$B28&amp;"'!"&amp;$D28&amp;ROW('Quantifiable Component 1'!$52:$52))),VLOOKUP($AD28,'GHG EF'!$B$10:$H$19,3,0),INDIRECT("'Quantifiable Component "&amp;$B28&amp;"'!"&amp;$D28&amp;ROW('Quantifiable Component 1'!$52:$52))),"")</f>
        <v/>
      </c>
      <c r="AG28" s="306">
        <f ca="1">INDIRECT("'Quantifiable Component "&amp;$B28&amp;"'!"&amp;$D28&amp;ROW('Quantifiable Component 1'!$51:$51))</f>
        <v>0</v>
      </c>
      <c r="AH28" s="306" t="str">
        <f t="shared" ca="1" si="9"/>
        <v>0_0</v>
      </c>
      <c r="AI28" s="1373">
        <f ca="1">INDIRECT("'Quantifiable Component "&amp;$B28&amp;"'!"&amp;$D28&amp;ROW('Quantifiable Component 1'!$53:$53))</f>
        <v>0</v>
      </c>
      <c r="AJ28" s="306" t="str">
        <f ca="1">IF(AND(AI28&gt;0,OR(AD28=Defaults!$I$5,AD28=Defaults!$I$11)), IF(AC28="Transit Bus",VLOOKUP(AH28,'Fuel Consumption'!$A$31:$L$2316,5,0), IF(AC28="Van",VLOOKUP(AH28,'Fuel Consumption'!$A$31:$L$2316,8,0), IF(AC28="Cut-A-Way",VLOOKUP(AH28,'Fuel Consumption'!$A$31:$L$2316,11,0), IF(AC28="Over-Road Coach",VLOOKUP(AH28,'Fuel Consumption'!$A$31:$L$2316,12,0)*VLOOKUP(AD28,'GHG EF'!$B$10:$H$19,4,0),IF(AC28="Heavy Rail",'Rail C&amp;T EF'!$K$14*'GHG EF'!$C$12/'GHG EF'!$C$13/4.6, IF(AC28="DMU / EMU",'Rail C&amp;T EF'!$B$149*'GHG EF'!$C$12/'GHG EF'!$C$13/3.3, IF(AC28="Light Rail",'Rail C&amp;T EF'!$K$14*'GHG EF'!$C$12/'GHG EF'!$C$13/3.3, IF(AC28="Streetcar",'Rail C&amp;T EF'!$K$14*'GHG EF'!$C$12/'GHG EF'!$C$13/3.1,0)))))))),"")</f>
        <v/>
      </c>
      <c r="AK28" s="306" t="b">
        <f ca="1">IF(AI28&gt;0,IF(OR(AD28=Defaults!$I$3,AD28=Defaults!$I$4,AD28=Defaults!$I$6,AD28=Defaults!$I$8),IF(AC28="Transit Bus",IF(AD28="Gasoline",VLOOKUP(AH28,'Fuel Consumption'!$A$31:$L$2316,3),IF(OR(AD28="CNG",AD28="LNG"),VLOOKUP(AH28,'Fuel Consumption'!$A$31:$L$2316,4),VLOOKUP(AH28,'Fuel Consumption'!$A$31:$L$2316,2))),IF(AC28="Van",IF(OR(AD28="Diesel",AD28="Renewable Diesel",AD28="Biodiesel"),VLOOKUP(AH28,'Fuel Consumption'!$A$31:$L$2316,6),IF(OR(AD28="CNG",AD28="LNG"),VLOOKUP(AH28,'Fuel Consumption'!$A$31:$L$2316,7)*VLOOKUP(AD28,'GHG EF'!$B$10:$H$19,5,0),VLOOKUP(AH28,'Fuel Consumption'!$A$31:$L$2316,7))),IF(AC28="Cut-A-Way",IF(OR(AD28="Diesel",AD28="Renewable Diesel",AD28="Biodiesel"),VLOOKUP(AH28,'Fuel Consumption'!$A$31:$L$2316,9),IF(OR(AD28="CNG",AD28="LNG"),VLOOKUP(AH28,'Fuel Consumption'!$A$31:$L$2316,10)*VLOOKUP(AD28,'GHG EF'!$B$10:$H$19,5,0),VLOOKUP(AH28,'Fuel Consumption'!$A$31:$L$2316,10))),IF(AC28="Over-Road Coach",VLOOKUP(AH28,'Fuel Consumption'!$A$31:$L$2316,12),IF(AC28="Heavy Rail",'Rail C&amp;T EF'!$K$14,IF(AC28="DMU / EMU",'Rail C&amp;T EF'!$B$149,"")))))*IF(AD28=Defaults!$I$3,1/'GHG EF'!$I$11,1)*IF(AD28=Defaults!$I$8,1/'GHG EF'!$I$16,1)),""))</f>
        <v>0</v>
      </c>
      <c r="AL28" s="306" t="str">
        <f ca="1">IF(AI28&gt;0,IF(AC28="Transit Bus",IF(AD28="Gasoline",VLOOKUP(AH28,'Fuel Consumption'!$A$31:$L$2316,3,0)*VLOOKUP(AD28,'GHG EF'!$B$10:$H$19,5,0),IF(OR(AD28="LNG",AD28="CNG",AD28="Renewable Natural Gas"),VLOOKUP(AH28,'Fuel Consumption'!$A$31:$L$2316,4)*VLOOKUP(AD28,'GHG EF'!$B$10:$H$19,4,0),IF(OR(AD28="Electric",AD28="Renewable Electricity"),VLOOKUP(AH28,'Fuel Consumption'!$A$31:$L$2316,5,0),IF(AD28="Hydrogen Fuel Cell",VLOOKUP(AH28,'Fuel Consumption'!$A$31:$L$2316,5,0)*'GHG EF'!$C$13/'GHG EF'!$C$15*'GHG EF'!$I$13/'GHG EF'!$I$15,VLOOKUP(AH28,'Fuel Consumption'!$A$31:$L$2316,2,0)*VLOOKUP(AD28,'GHG EF'!$B$10:$H$19,4,0))))),
IF(AC28="Van",IF(OR(AD28="Diesel",AD28="Renewable Diesel",AD28="Biodiesel"),VLOOKUP(AH28,'Fuel Consumption'!$A$31:$L$2316,6,0)*VLOOKUP(AD28,'GHG EF'!$B$10:$H$19,4,0),IF(OR(AD28="LNG",AD28="CNG",AD28="Renewable Natural Gas"),VLOOKUP(AH28,'Fuel Consumption'!$A$31:$L$2316,7)*VLOOKUP(AD28,'GHG EF'!$B$10:$H$19,5,0),IF(OR(AD28="Electric",AD28="Renewable Electricity"),VLOOKUP(AH28,'Fuel Consumption'!$A$31:$L$2316,8,0),IF(AD28="Hydrogen Fuel Cell",VLOOKUP(AH28,'Fuel Consumption'!$A$31:$L$2316,8,0)*'GHG EF'!$C$13/'GHG EF'!$C$15*'GHG EF'!$J$13/'GHG EF'!$J$15,VLOOKUP(AH28,'Fuel Consumption'!$A$31:$L$2316,7,0)*VLOOKUP(AD28,'GHG EF'!$B$10:$H$19,5,0))))),
IF(AC28="Cut-A-Way",IF(OR(AD28="Diesel",AD28="Renewable Diesel",AD28="Biodiesel"),VLOOKUP(AH28,'Fuel Consumption'!$A$31:$L$2316,9,0)*VLOOKUP(AD28,'GHG EF'!$B$10:$H$19,4,0),IF(OR(AD28="LNG",AD28="CNG",AD28="Renewable Natural Gas"),VLOOKUP(AH28,'Fuel Consumption'!$A$31:$L$2316,10)*VLOOKUP(AD28,'GHG EF'!$B$10:$H$19,5,0),IF(OR(AD28="Electric",AD28="Renewable Electricity"),VLOOKUP(AH28,'Fuel Consumption'!$A$31:$L$2316,11,0),IF(AD28="Hydrogen Fuel Cell",VLOOKUP(AH28,'Fuel Consumption'!$A$31:$L$2316,11,0)*'GHG EF'!$C$13/'GHG EF'!$C$15*'GHG EF'!$J$13/'GHG EF'!$J$15,VLOOKUP(AH28,'Fuel Consumption'!$A$31:$L$2316,10,0)*VLOOKUP(AD28,'GHG EF'!$B$10:$H$19,5,0))))),
IF(AC28="Over-Road Coach",VLOOKUP(AH28,'Fuel Consumption'!$A$31:$L$2316,12,0)*VLOOKUP(AD28,'GHG EF'!$B$10:$H$19,4,0),IF(AC28="Heavy Rail",IF(OR(AD28=Defaults!$I$5,AD28=Defaults!$I$11),'Rail C&amp;T EF'!$K$14*'GHG EF'!$C$12/'GHG EF'!$C$13/4.6,'Rail C&amp;T EF'!$K$14*VLOOKUP(AD28,'GHG EF'!$B$10:$H$19,4,0)),IF(AC28="DMU / EMU",IF(OR(AD28=Defaults!$I$5,AD28=Defaults!$I$11),'Rail C&amp;T EF'!$B$149*'GHG EF'!$C$12/'GHG EF'!$C$13/3.3,'Rail C&amp;T EF'!$B$149*VLOOKUP(AD28,'GHG EF'!$B$10:$H$19,4,0)),IF(AC28="Light Rail",'Rail C&amp;T EF'!$K$14*'GHG EF'!$C$12/'GHG EF'!$C$13/3.3,IF(AC28="Streetcar",'Rail C&amp;T EF'!$K$14*'GHG EF'!$C$12/'GHG EF'!$C$13/3.1,"")))))))),"")</f>
        <v/>
      </c>
      <c r="AM28" s="306" t="str">
        <f ca="1">IFERROR((IF(AD28="Gasoline",VLOOKUP(AH28,'Fuel Consumption'!$A$31:$L$2316,3,0)*VLOOKUP(AD28,'GHG EF'!$B$10:$H$19,5,0), IF(OR(AD28="CNG",AD28="LNG",AD28="Renewable Natural Gas"),VLOOKUP(AH28,'Fuel Consumption'!$A$31:$L$2316,4,0)*VLOOKUP(AD28,'GHG EF'!$B$10:$H$19,4,0),IF(OR(AD28="Electric",AD28="Renewable Electricity"),VLOOKUP(AH28,'Fuel Consumption'!$A$31:$L$2316,5,0),IF(AD28="Hydrogen Fuel Cell",VLOOKUP(AH28,'Fuel Consumption'!$A$31:$L$2316,5,0)*'GHG EF'!$C$13/'GHG EF'!$C$15*'GHG EF'!$I$13/'GHG EF'!$I$15,VLOOKUP(AH28,'Fuel Consumption'!$A$31:$L$2316,2,0)*VLOOKUP(AD28,'GHG EF'!$B$10:$H$19,4,0))))) * VLOOKUP(AD28,'GHG EF'!$B$10:$H$19,2,0) * AF28),"")</f>
        <v/>
      </c>
      <c r="AN28" s="306" t="str">
        <f ca="1">IFERROR((IF(OR(AD28="Diesel",AD28="Renewable Diesel",AD28="Biodiesel"),VLOOKUP(AH28,'Fuel Consumption'!$A$31:$L$2316,6,0)*VLOOKUP(AD28,'GHG EF'!$B$10:$H$19,4,0),IF(OR(AD28="CNG",AD28="LNG",AD28="Renewable Natural Gas"),VLOOKUP(AH28,'Fuel Consumption'!$A$31:$L$2316,7,0)*VLOOKUP(AD28,'GHG EF'!$B$10:$H$19,5,0),IF(OR(AD28="Electric",AD28="Renewable Electricity"),VLOOKUP(AH28,'Fuel Consumption'!$A$31:$L$2316,8,0),IF(AD28="Hydrogen Fuel Cell",VLOOKUP(AH28,'Fuel Consumption'!$A$31:$L$2316,8,0)*'GHG EF'!$C$13/'GHG EF'!$C$15*'GHG EF'!$J$13/'GHG EF'!$J$15,VLOOKUP(AH28,'Fuel Consumption'!$A$31:$L$2316,7,0)*VLOOKUP(AD28,'GHG EF'!$B$10:$H$19,5,0)))))*VLOOKUP(AD28,'GHG EF'!$B$10:$H$19,2,0)*AF28),"")</f>
        <v/>
      </c>
      <c r="AO28" s="306" t="str">
        <f ca="1">IFERROR((IF(OR(AD28="Diesel",AD28="Renewable Diesel",AD28="Biodiesel"),VLOOKUP(AH28,'Fuel Consumption'!$A$31:$L$2316,9,0)*VLOOKUP(AD28,'GHG EF'!$B$10:$H$19,4,0),IF(OR(AD28="CNG",AD28="LNG",AD28="Renewable Natural Gas"),VLOOKUP(AH28,'Fuel Consumption'!$A$31:$L$2316,10,0)*VLOOKUP(AD28,'GHG EF'!$B$10:$H$19,5,0),IF(OR(AD28="Electric",AD28="Renewable Electricity"),VLOOKUP(AH28,'Fuel Consumption'!$A$31:$L$2316,11,0),IF(AD28="Hydrogen Fuel Cell",VLOOKUP(AH28,'Fuel Consumption'!$A$31:$L$2316,11,0)*'GHG EF'!$C$13/'GHG EF'!$C$15*'GHG EF'!$J$13/'GHG EF'!$J$15,VLOOKUP(AH28,'Fuel Consumption'!$A$31:$L$2316,10,0)*VLOOKUP(AD28,'GHG EF'!$B$10:$H$19,5,0))))) * VLOOKUP(AD28,'GHG EF'!$B$10:$H$19,2,0) * AF28),"")</f>
        <v/>
      </c>
      <c r="AP28" s="306" t="str">
        <f ca="1">IFERROR(VLOOKUP(AH28,'Fuel Consumption'!$A$31:$L$2316,12,0)*VLOOKUP(AD28,'GHG EF'!$B$10:$H$19,4,0) * VLOOKUP(AD28,'GHG EF'!$B$10:$H$19,2,0) * AF28,"")</f>
        <v/>
      </c>
      <c r="AQ28" s="1374" t="str">
        <f ca="1">IFERROR(IF(OR(AD28=Defaults!$I$5,AD28=Defaults!$I$11), 'GHG EF'!$C$13*'GHG EF'!$C$12/'GHG EF'!$C$13/4.6, VLOOKUP(AD28,'GHG EF'!$B$10:$H$19,4,0)*VLOOKUP(AD28,'GHG EF'!$B$10:$H$19,2,0))*AF28*'Rail C&amp;T EF'!$K$14,"")</f>
        <v/>
      </c>
      <c r="AR28" s="1374" t="str">
        <f ca="1">IFERROR(IF(OR(AD28=Defaults!$I$5,AD28=Defaults!$I$11), 'GHG EF'!$C$13*'GHG EF'!$C$12/'GHG EF'!$C$13/3.3, VLOOKUP(AD28,'GHG EF'!$B$10:$H$19,4,0)*VLOOKUP(AD28,'GHG EF'!$B$10:$H$19,2,0))*AF28*'Rail C&amp;T EF'!$B$149,"")</f>
        <v/>
      </c>
      <c r="AS28" s="1374" t="str">
        <f ca="1">IFERROR(VLOOKUP(AD28,'GHG EF'!$B$10:$H$19,2,0)*AF28,"")</f>
        <v/>
      </c>
      <c r="AT28" s="1374" t="str">
        <f ca="1">IF(OR(AD28=Defaults!$I$5,AD28=Defaults!$I$10),'GHG EF'!$C$13*AF28*'GHG EF'!$C$12/'GHG EF'!$C$13/3.3*'Rail C&amp;T EF'!$K$14,"")</f>
        <v/>
      </c>
      <c r="AU28" s="1374" t="str">
        <f ca="1">IF(OR(AD28=Defaults!$I$5,AD28=Defaults!$I$10),'GHG EF'!$C$13*AF28*'GHG EF'!$C$12/'GHG EF'!$C$13/3.1*'Rail C&amp;T EF'!$K$14,"")</f>
        <v/>
      </c>
      <c r="AV28" s="1374">
        <f ca="1">IF(OR($AD28=Defaults!$I$5, $AD28=Defaults!$I$7, $AD28=Defaults!$I$11),Defaults!$G$15,INDIRECT("'Quantifiable Component "&amp;$B28&amp;"'!"&amp;$D28&amp;ROW('Quantifiable Component 1'!$50:$50)))</f>
        <v>0</v>
      </c>
      <c r="AW28" s="1374" t="str">
        <f ca="1">IFERROR((IF(AND(AV28="yes",NOT(AD28=Defaults!$I$5),NOT(AD28=Defaults!$I$7),NOT(AD28=Defaults!$I$11)),0.8,1))*(IF(AC28="Transit Bus",AM28,IF(AC28="Van",AN28,IF(AC28="Cut-A-Way",AO28,IF(AC28="Over-Road Coach",AP28,IF(AC28="Heavy Rail",AQ28,IF(AC28="DMU / EMU",AR28,IF(AC28="Ferry",AS28,IF(AC28="Light Rail",AT28,AU28))))))))),"")</f>
        <v/>
      </c>
      <c r="AX28" s="1374" t="str">
        <f ca="1">IFERROR(VLOOKUP($AD28,'GHG EF'!$B$10:$H$19,2,0)*AF28,"")</f>
        <v/>
      </c>
      <c r="AY28" s="1375" t="str">
        <f t="shared" ca="1" si="10"/>
        <v/>
      </c>
      <c r="AZ28" s="1374" t="str">
        <f t="shared" ca="1" si="11"/>
        <v/>
      </c>
      <c r="BA28" s="1375" t="str">
        <f ca="1">IFERROR(IF(G28=Defaults!$F$2,0,IF(AZ28&gt;0,AZ28*(I28-H28),AY28*(I28-H28))),"")</f>
        <v/>
      </c>
      <c r="BB28" s="1373" t="str">
        <f t="shared" ca="1" si="12"/>
        <v/>
      </c>
      <c r="BC28" s="1376">
        <f ca="1">INDIRECT("'Quantifiable Component "&amp;$B28&amp;"'!"&amp;$D28&amp;ROW('Quantifiable Component 1'!$58:$58))</f>
        <v>0</v>
      </c>
      <c r="BD28" s="306">
        <f ca="1">INDIRECT("'Quantifiable Component "&amp;$B28&amp;"'!"&amp;$D28&amp;ROW('Quantifiable Component 1'!$61:$61))</f>
        <v>0</v>
      </c>
      <c r="BE28" s="306">
        <f ca="1">INDIRECT("'Quantifiable Component "&amp;$B28&amp;"'!"&amp;$D28&amp;ROW('Quantifiable Component 1'!$66:$66))</f>
        <v>0</v>
      </c>
      <c r="BF28" s="306" t="str">
        <f ca="1">IFERROR(IF(ISBLANK(INDIRECT("'Quantifiable Component "&amp;$B28&amp;"'!"&amp;$D28&amp;ROW('Quantifiable Component 1'!$64:$64))),VLOOKUP($BD28,'GHG EF'!$B$10:$H$19,3,0),INDIRECT("'Quantifiable Component "&amp;$B28&amp;"'!"&amp;$D28&amp;ROW('Quantifiable Component 1'!$64:$64))),"")</f>
        <v/>
      </c>
      <c r="BG28" s="306">
        <f ca="1">INDIRECT("'Quantifiable Component "&amp;$B28&amp;"'!"&amp;$D28&amp;ROW('Quantifiable Component 1'!$63:$63))</f>
        <v>0</v>
      </c>
      <c r="BH28" s="1373">
        <f ca="1">INDIRECT("'Quantifiable Component "&amp;$B28&amp;"'!"&amp;$D28&amp;ROW('Quantifiable Component 1'!$65:$65))</f>
        <v>0</v>
      </c>
      <c r="BI28" s="306" t="str">
        <f ca="1">IF(AND(BH28&gt;0,OR(BD28=Defaults!$I$5,BD28=Defaults!$I$11)), IF(BC28="Transit Bus",VLOOKUP(BL28,'Fuel Consumption'!$A$31:$L$2316,5,0), IF(BC28="Van",VLOOKUP(BL28,'Fuel Consumption'!$A$31:$L$2316,8,0), IF(BC28="Cut-A-Way",VLOOKUP(BL28,'Fuel Consumption'!$A$31:$L$2316,11,0), IF(BC28="Over-Road Coach",VLOOKUP(BL28,'Fuel Consumption'!$A$31:$L$2316,12,0)*VLOOKUP(BD28,'GHG EF'!$B$10:$H$19,4,0),IF(BC28="Heavy Rail",'Rail C&amp;T EF'!$K$14*'GHG EF'!$C$12/'GHG EF'!$C$13/4.6, IF(BC28="DMU / EMU",'Rail C&amp;T EF'!$B$149*'GHG EF'!$C$12/'GHG EF'!$C$13/3.3, IF(BC28="Light Rail",'Rail C&amp;T EF'!$K$14*'GHG EF'!$C$12/'GHG EF'!$C$13/3.3, IF(BC28="Streetcar",'Rail C&amp;T EF'!$K$14*'GHG EF'!$C$12/'GHG EF'!$C$13/3.1,0)))))))),"")</f>
        <v/>
      </c>
      <c r="BJ28" s="306" t="str">
        <f ca="1">IF(BH28&gt;0,IF(OR(BD28=Defaults!$I$3,BD28=Defaults!$I$4, BD28=Defaults!$I$6, BD28=Defaults!$I$8),IF(BC28="Transit Bus",IF(BD28="Gasoline",VLOOKUP(BL28,'Fuel Consumption'!$A$31:$L$2316,3), IF(OR(BD28="CNG",BD28="LNG"),VLOOKUP(BL28,'Fuel Consumption'!$A$31:$L$2316,4,0),VLOOKUP(BL28,'Fuel Consumption'!$A$31:$L$2316,2))), IF(BC28="Van",IF(OR(BD28="Diesel",BD28="Renewable Diesel",BD28="Biodiesel"),VLOOKUP(BL28,'Fuel Consumption'!$A$31:$L$2316,6),IF(OR(BD28="CNG",BD28="LNG"),VLOOKUP(BL28,'Fuel Consumption'!$A$31:$L$2316,7,0)*VLOOKUP(BD28,'GHG EF'!$B$10:$H$19,5,0), VLOOKUP(BL28,'Fuel Consumption'!$A$31:$L$2316,7))), IF(BC28="Cut-A-Way",IF(OR(BD28="Diesel",BD28="Renewable Diesel",BD28="Biodiesel"),VLOOKUP(BL28,'Fuel Consumption'!$A$31:$L$2316,9),IF(OR(BD28="CNG",BD28="LNG"),VLOOKUP(BL28,'Fuel Consumption'!$A$31:$L$2316,10,0)*VLOOKUP(BD28,'GHG EF'!$B$10:$H$19,5,0), VLOOKUP(BL28,'Fuel Consumption'!$A$31:$L$2316,10))), IF(BC28="Over-Road Coach",VLOOKUP(BL28,'Fuel Consumption'!$A$31:$L$2316,12),IF(BC28="Heavy Rail",'Rail C&amp;T EF'!$K$14, IF(BC28="DMU / EMU",'Rail C&amp;T EF'!$B$149,"")))))) * IF(BD28=Defaults!$I$3,1/'GHG EF'!$I$11,1) * IF(BD28=Defaults!$I$8,1/'GHG EF'!$I$16,1),""),"")</f>
        <v/>
      </c>
      <c r="BK28" s="306" t="str">
        <f ca="1">IF(BH28&gt;0,IF(BC28="Transit Bus",IF(BD28="Gasoline",VLOOKUP(BL28,'Fuel Consumption'!$A$31:$L$2316,3,0)*VLOOKUP(BD28,'GHG EF'!$B$10:$H$19,5,0),IF(OR(BD28="CNG",BD28="LNG",BD28="Renewable Natural Gas"),VLOOKUP(BL28,'Fuel Consumption'!$A$31:$L$2316,4,0)*VLOOKUP(BD28,'GHG EF'!$B$10:$H$19,4,0), IF(OR(BD28="Electric",BD28="Renewable Electricity"),VLOOKUP(BL28,'Fuel Consumption'!$A$31:$L$2316,5,0),IF(BD28="Hydrogen Fuel Cell",VLOOKUP(BL28,'Fuel Consumption'!$A$31:$L$2316,5,0)*'GHG EF'!$C$13/'GHG EF'!$C$15*'GHG EF'!$I$13/'GHG EF'!$I$15, VLOOKUP(BL28,'Fuel Consumption'!$A$31:$L$2316,2,0)*VLOOKUP(BD28,'GHG EF'!$B$10:$H$19,4,0))))),
IF(BC28="Van",IF(OR(BD28="Diesel",BD28="Renewable Diesel",BD28="Biodiesel"),VLOOKUP(BL28,'Fuel Consumption'!$A$31:$L$2316,6,0)*VLOOKUP(BD28,'GHG EF'!$B$10:$H$19,4,0), IF(OR(BD28="CNG",BD28="LNG",BD28="Renewable Natural Gas"),VLOOKUP(BL28,'Fuel Consumption'!$A$31:$L$2316,7,0)*VLOOKUP(BD28,'GHG EF'!$B$10:$H$19,5,0), IF(OR(BD28="Electric",BD28="Renewable Electricity"),VLOOKUP(BL28,'Fuel Consumption'!$A$31:$L$2316,8,0),IF(BD28="Hydrogen Fuel Cell",VLOOKUP(BL28,'Fuel Consumption'!$A$31:$L$2316,8,0)*'GHG EF'!$C$13/'GHG EF'!$C$15*'GHG EF'!$J$13/'GHG EF'!$J$15,VLOOKUP(BL28,'Fuel Consumption'!$A$31:$L$2316,7,0)*VLOOKUP(BD28,'GHG EF'!$B$10:$H$19,5,0))))),
IF(BC28="Cut-A-Way",IF(OR(BD28="Diesel",BD28="Renewable Diesel",BD28="Biodiesel"),VLOOKUP(BL28,'Fuel Consumption'!$A$31:$L$2316,9,0)*VLOOKUP(BD28,'GHG EF'!$B$10:$H$19,4,0),IF(OR(BD28="CNG",BD28="LNG",BD28="Renewable Natural Gas"),VLOOKUP(BL28,'Fuel Consumption'!$A$31:$L$2316,10,0)*VLOOKUP(BD28,'GHG EF'!$B$10:$H$19,5,0), IF(OR(BD28="Electric",BD28="Renewable Electricity"),VLOOKUP(BL28,'Fuel Consumption'!$A$31:$L$2316,11,0),IF(BD28="Hydrogen Fuel Cell",VLOOKUP(BL28,'Fuel Consumption'!$A$31:$L$2316,11,0)*'GHG EF'!$C$13/'GHG EF'!$C$15*'GHG EF'!$J$13/'GHG EF'!$J$15, VLOOKUP(BL28,'Fuel Consumption'!$A$31:$L$2316,10,0)*VLOOKUP(BD28,'GHG EF'!$B$10:$H$19,5,0))))),
IF(BC28="Over-Road Coach",VLOOKUP(BL28,'Fuel Consumption'!$A$31:$L$2316,12,0)*VLOOKUP(BD28,'GHG EF'!$B$10:$H$19,4,0),IF(BC28="Heavy Rail",IF(OR(BD28=Defaults!$I$5,BD28=Defaults!$I$11), 'Rail C&amp;T EF'!$K$14*'GHG EF'!$C$12/'GHG EF'!$C$13/4.6, 'Rail C&amp;T EF'!$K$14*VLOOKUP(BD28,'GHG EF'!$B$10:$H$19,4,0)),IF(BC28="DMU / EMU",IF(OR(BD28=Defaults!$I$5,BD28=Defaults!$I$11), 'Rail C&amp;T EF'!$B$149*'GHG EF'!$C$12/'GHG EF'!$C$13/3.3, 'Rail C&amp;T EF'!$B$149*VLOOKUP(BD28,'GHG EF'!$B$10:$H$19,4,0)),IF(BC28="Light Rail",'Rail C&amp;T EF'!$K$14*'GHG EF'!$C$12/'GHG EF'!$C$13/3.3,IF(BC28="Streetcar",'Rail C&amp;T EF'!$K$14*'GHG EF'!$C$12/'GHG EF'!$C$13/3.1,"")))))))),"")</f>
        <v/>
      </c>
      <c r="BL28" s="306" t="str">
        <f t="shared" ca="1" si="13"/>
        <v>0_0</v>
      </c>
      <c r="BM28" s="306" t="str">
        <f ca="1">IFERROR((IF(BD28="Gasoline",VLOOKUP(BL28,'Fuel Consumption'!$A$31:$L$2316,3,0)*VLOOKUP(BD28,'GHG EF'!$B$10:$H$19,5,0), IF(OR(BD28="CNG",BD28="LNG",BD28="Renewable Natural Gas"),VLOOKUP(BL28,'Fuel Consumption'!$A$31:$L$2316,4,0)*VLOOKUP(BD28,'GHG EF'!$B$10:$H$19,4,0),IF(OR(BD28="Electric",BD28="Renewable Electricity"),VLOOKUP(BL28,'Fuel Consumption'!$A$31:$L$2316,5,0),IF(BD28="Hydrogen Fuel Cell",VLOOKUP(BL28,'Fuel Consumption'!$A$31:$L$2316,5,0)*'GHG EF'!$C$13/'GHG EF'!$C$15*'GHG EF'!$I$13/'GHG EF'!$I$15,VLOOKUP(BL28,'Fuel Consumption'!$A$31:$L$2316,2,0)*VLOOKUP(BD28,'GHG EF'!$B$10:$H$19,4,0))))) * VLOOKUP(BD28,'GHG EF'!$B$10:$H$19,2,0) * BF28),"")</f>
        <v/>
      </c>
      <c r="BN28" s="306" t="str">
        <f ca="1">IFERROR((IF(OR(BD28="Diesel",BD28="Renewable Diesel",BD28="Biodiesel"),VLOOKUP(BL28,'Fuel Consumption'!$A$31:$L$2316,6,0)*VLOOKUP(BD28,'GHG EF'!$B$10:$H$19,4,0),IF(OR(BD28="CNG",BD28="LNG",BD28="Renewable Natural Gas"),VLOOKUP(BL28,'Fuel Consumption'!$A$31:$L$2316,7,0)*VLOOKUP(BD28,'GHG EF'!$B$10:$H$19,5,0),IF(OR(BD28="Electric",BD28="Renewable Electricity"),VLOOKUP(BL28,'Fuel Consumption'!$A$31:$L$2316,8,0),IF(BD28="Hydrogen Fuel Cell",VLOOKUP(BL28,'Fuel Consumption'!$A$31:$L$2316,8,0)*'GHG EF'!$C$13/'GHG EF'!$C$15*'GHG EF'!$J$13/'GHG EF'!$J$15,VLOOKUP(BL28,'Fuel Consumption'!$A$31:$L$2316,7,0)*VLOOKUP(BD28,'GHG EF'!$B$10:$H$19,5,0)))))*VLOOKUP(BD28,'GHG EF'!$B$10:$H$19,2,0)*BF28),"")</f>
        <v/>
      </c>
      <c r="BO28" s="306" t="str">
        <f ca="1">IFERROR((IF(OR(BD28="Diesel",BD28="Renewable Diesel",BD28="Biodiesel"),VLOOKUP(BL28,'Fuel Consumption'!$A$31:$L$2316,9,0)*VLOOKUP(BD28,'GHG EF'!$B$10:$H$19,4,0),IF(OR(BD28="CNG",BD28="LNG",BD28="Renewable Natural Gas"),VLOOKUP(BL28,'Fuel Consumption'!$A$31:$L$2316,10,0)*VLOOKUP(BD28,'GHG EF'!$B$10:$H$19,5,0),IF(OR(BD28="Electric",BD28="Renewable Electricity"),VLOOKUP(BL28,'Fuel Consumption'!$A$31:$L$2316,11,0),IF(BD28="Hydrogen Fuel Cell",VLOOKUP(BL28,'Fuel Consumption'!$A$31:$L$2316,11,0)*'GHG EF'!$C$13/'GHG EF'!$C$15*'GHG EF'!$J$13/'GHG EF'!$J$15,VLOOKUP(BL28,'Fuel Consumption'!$A$31:$L$2316,10,0)*VLOOKUP(BD28,'GHG EF'!$B$10:$H$19,5,0))))) * VLOOKUP(BD28,'GHG EF'!$B$10:$H$19,2,0) * BF28),"")</f>
        <v/>
      </c>
      <c r="BP28" s="306" t="str">
        <f ca="1">IFERROR(VLOOKUP(BL28,'Fuel Consumption'!$A$31:$L$2316,12,0)*VLOOKUP(BD28,'GHG EF'!$B$10:$H$19,4,0) * VLOOKUP(BD28,'GHG EF'!$B$10:$H$19,2,0) * BF28,"")</f>
        <v/>
      </c>
      <c r="BQ28" s="1374" t="str">
        <f ca="1">IFERROR(IF(OR($BD28=Defaults!$I$5,$BD28=Defaults!$I$11), 'GHG EF'!$C$13*'GHG EF'!$C$12/'GHG EF'!$C$13/4.6, VLOOKUP(BD28,'GHG EF'!$B$10:$H$19,4,0)*VLOOKUP(BD28,'GHG EF'!$B$10:$H$19,2,0))*BF28*'Rail C&amp;T EF'!$K$14,"")</f>
        <v/>
      </c>
      <c r="BR28" s="1374" t="str">
        <f ca="1">IFERROR(IF(OR($BD28=Defaults!$I$5,$BD28=Defaults!$I$11), 'GHG EF'!$C$13*'GHG EF'!$C$12/'GHG EF'!$C$13/3.3, VLOOKUP(BD28,'GHG EF'!$B$10:$H$19,4,0)*VLOOKUP(BD28,'GHG EF'!$B$10:$H$19,2,0))*BF28*'Rail C&amp;T EF'!$B$149,"")</f>
        <v/>
      </c>
      <c r="BS28" s="1374" t="str">
        <f ca="1">IFERROR(VLOOKUP(BD28,'GHG EF'!$B$10:$H$19,2,0)*BF28,"")</f>
        <v/>
      </c>
      <c r="BT28" s="1374" t="str">
        <f ca="1">IF(OR($BD28=Defaults!$I$5,$BD28=Defaults!$I$10),'GHG EF'!$C$13*BF28*'GHG EF'!$C$12/'GHG EF'!$C$13/3.3*'Rail C&amp;T EF'!$K$14,"")</f>
        <v/>
      </c>
      <c r="BU28" s="1374" t="str">
        <f ca="1">IF(OR($BD28=Defaults!$I$5,$BD28=Defaults!$I$10),'GHG EF'!$C$13*BF28*'GHG EF'!$C$12/'GHG EF'!$C$13/3.1*'Rail C&amp;T EF'!$K$14,"")</f>
        <v/>
      </c>
      <c r="BV28" s="1374">
        <f ca="1">IF(OR($AD28=Defaults!$I$5, $AD28=Defaults!$I$7, $AD28=Defaults!$I$11),Defaults!$G$15,INDIRECT("'Quantifiable Component "&amp;$B28&amp;"'!"&amp;$D28&amp;ROW('Quantifiable Component 1'!$62:$62)))</f>
        <v>0</v>
      </c>
      <c r="BW28" s="1374" t="str">
        <f ca="1">IFERROR((IF(AND(BV28="yes",NOT(BD28=Defaults!$I$5),NOT(BD28=Defaults!$I$7),NOT(BD28=Defaults!$I$11)),0.8,1))*(IF(BC28="Transit Bus",BM28,IF(BC28="Van",BN28,IF(BC28="Cut-A-Way",BO28,IF(BC28="Over-Road Coach",BP28,IF(BC28="Heavy Rail",BQ28,IF(BC28="DMU / EMU",BR28,IF(BC28="Ferry",BS28,IF(BC28="Light Rail",BT28,BU28))))))))),"")</f>
        <v/>
      </c>
      <c r="BX28" s="1377" t="str">
        <f ca="1">IFERROR(VLOOKUP($BD28,'GHG EF'!$B$10:$H$19,2,0)*BF28,"")</f>
        <v/>
      </c>
      <c r="BY28" s="1377" t="str">
        <f t="shared" ca="1" si="14"/>
        <v/>
      </c>
      <c r="BZ28" s="1377" t="str">
        <f t="shared" ca="1" si="15"/>
        <v/>
      </c>
      <c r="CA28" s="1377" t="str">
        <f t="shared" ca="1" si="16"/>
        <v/>
      </c>
      <c r="CB28" s="1373" t="str">
        <f t="shared" ca="1" si="17"/>
        <v/>
      </c>
      <c r="CC28" s="1376">
        <f ca="1">INDIRECT("'Quantifiable Component "&amp;$B28&amp;"'!"&amp;$D28&amp;ROW('Quantifiable Component 1'!$69:$69))</f>
        <v>0</v>
      </c>
      <c r="CD28" s="1376">
        <f ca="1">INDIRECT("'Quantifiable Component "&amp;$B28&amp;"'!"&amp;$D28&amp;ROW('Quantifiable Component 1'!$72:$72))</f>
        <v>0</v>
      </c>
      <c r="CE28" s="1373">
        <f ca="1">INDIRECT("'Quantifiable Component "&amp;$B28&amp;"'!"&amp;$D28&amp;ROW('Quantifiable Component 1'!$74:$74))</f>
        <v>0</v>
      </c>
      <c r="CF28" s="306">
        <f ca="1">INDIRECT("'Quantifiable Component "&amp;$B28&amp;"'!"&amp;$D28&amp;ROW('Quantifiable Component 1'!$73:$73))</f>
        <v>0</v>
      </c>
      <c r="CG28" s="306" t="str">
        <f t="shared" ca="1" si="18"/>
        <v>0_0</v>
      </c>
      <c r="CH28" s="1373" t="str">
        <f ca="1">IFERROR(VLOOKUP($CD28,'GHG EF'!$B$10:$H$19,2,0)*VLOOKUP($CD28,'GHG EF'!$B$10:$H$19,3,0),"")</f>
        <v/>
      </c>
      <c r="CI28" s="1373" t="str">
        <f t="shared" ca="1" si="19"/>
        <v/>
      </c>
      <c r="CJ28" s="1373" t="str">
        <f t="shared" ca="1" si="20"/>
        <v/>
      </c>
      <c r="CK28" s="1378" t="str">
        <f ca="1">IF($F28=Defaults!$M$2, $BB28+IF($CA28="",0,$CA28)+IF($CJ28="",0,$CJ28), IF($F28=Defaults!$M$4,$CB28+IF($CJ28="",0,$CJ28),IF($F28=Defaults!$M$3,$AB28+IF($CJ28="",0,$CJ28), IF($F28=Defaults!$M$5,$CJ28,""))))</f>
        <v/>
      </c>
      <c r="CL28" s="1644"/>
    </row>
    <row r="29" spans="1:90" s="117" customFormat="1" ht="15.5" x14ac:dyDescent="0.35">
      <c r="A29" s="1648"/>
      <c r="B29" s="1367">
        <v>6</v>
      </c>
      <c r="C29" s="1380">
        <v>3</v>
      </c>
      <c r="D29" s="1368" t="str">
        <f>SUBSTITUTE(ADDRESS(1,COLUMN('Quantifiable Component 1'!K:K),4),"1","")</f>
        <v>K</v>
      </c>
      <c r="E29" s="1368" t="str">
        <f t="shared" si="0"/>
        <v>Quantifiable Component 6K</v>
      </c>
      <c r="F29" s="306">
        <f ca="1">INDIRECT("'Quantifiable Component "&amp;$B29&amp;"'!"&amp;$D29&amp;ROW('Quantifiable Component 1'!$28:$28))</f>
        <v>0</v>
      </c>
      <c r="G29" s="306">
        <f ca="1">INDIRECT("'Quantifiable Component "&amp;$B29&amp;"'!"&amp;$D29&amp;ROW('Quantifiable Component 1'!$29:$29))</f>
        <v>0</v>
      </c>
      <c r="H29" s="306">
        <f ca="1">INDIRECT("'Quantifiable Component "&amp;$B29&amp;"'!"&amp;$D29&amp;ROW('Quantifiable Component 1'!$32:$32))</f>
        <v>0</v>
      </c>
      <c r="I29" s="306">
        <f ca="1">INDIRECT("'Quantifiable Component "&amp;$B29&amp;"'!"&amp;$D29&amp;ROW('Quantifiable Component 1'!$33:$33))</f>
        <v>0</v>
      </c>
      <c r="J29" s="306">
        <f ca="1">INDIRECT("'Quantifiable Component "&amp;$B29&amp;"'!"&amp;$D29&amp;ROW('Quantifiable Component 1'!$31:$31))</f>
        <v>0</v>
      </c>
      <c r="K29" s="306" t="str">
        <f t="shared" ca="1" si="1"/>
        <v>0_0</v>
      </c>
      <c r="L29" s="306" t="str">
        <f t="shared" ca="1" si="2"/>
        <v>0_0</v>
      </c>
      <c r="M29" s="306">
        <f ca="1">INDIRECT("'Quantifiable Component "&amp;$B29&amp;"'!"&amp;$D29&amp;ROW('Quantifiable Component 1'!$37:$37))</f>
        <v>0</v>
      </c>
      <c r="N29" s="1369" t="str">
        <f ca="1">IFERROR(VLOOKUP((CONCATENATE(J29,"_",H29)),'Auto GHG'!$C$41:$D$2668,2,0),"")</f>
        <v/>
      </c>
      <c r="O29" s="306">
        <f ca="1">INDIRECT("'Quantifiable Component "&amp;$B29&amp;"'!"&amp;$D29&amp;ROW('Quantifiable Component 1'!$38:$38))</f>
        <v>0</v>
      </c>
      <c r="P29" s="1369" t="str">
        <f ca="1">IFERROR(IF(I29&lt;=2050,VLOOKUP((CONCATENATE(J29,"_",I29)),'Auto GHG'!$C$41:$D$2668,2,),VLOOKUP((CONCATENATE(J29,"_",2050)),'Auto GHG'!$C$41:$D$2668,2,)),"")</f>
        <v/>
      </c>
      <c r="Q29" s="306">
        <f ca="1">INDIRECT("'Quantifiable Component "&amp;$B29&amp;"'!"&amp;$D29&amp;ROW('Quantifiable Component 1'!$39:$39))</f>
        <v>0</v>
      </c>
      <c r="R29" s="306">
        <f ca="1">INDIRECT("'Quantifiable Component "&amp;$B29&amp;"'!"&amp;$D29&amp;ROW('Quantifiable Component 1'!$40:$40))</f>
        <v>0</v>
      </c>
      <c r="S29" s="306"/>
      <c r="T29" s="306"/>
      <c r="U29" s="1370">
        <f t="shared" ca="1" si="3"/>
        <v>0</v>
      </c>
      <c r="V29" s="1371" t="str">
        <f t="shared" ca="1" si="4"/>
        <v/>
      </c>
      <c r="W29" s="1370">
        <f t="shared" ca="1" si="5"/>
        <v>0</v>
      </c>
      <c r="X29" s="1370" t="str">
        <f t="shared" ca="1" si="6"/>
        <v/>
      </c>
      <c r="Y29" s="1372">
        <f ca="1">IFERROR(('GHG Calcs'!U29+'GHG Calcs'!W29)/2,"")</f>
        <v>0</v>
      </c>
      <c r="Z29" s="1372">
        <f t="shared" ca="1" si="7"/>
        <v>0</v>
      </c>
      <c r="AA29" s="1370" t="str">
        <f t="shared" ca="1" si="8"/>
        <v/>
      </c>
      <c r="AB29" s="1370" t="str">
        <f ca="1">IF(OR(F29=Defaults!$M$3,F29=Defaults!$M$3),AA29,"")</f>
        <v/>
      </c>
      <c r="AC29" s="306">
        <f ca="1">INDIRECT("'Quantifiable Component "&amp;$B29&amp;"'!"&amp;$D29&amp;ROW('Quantifiable Component 1'!$46:$46))</f>
        <v>0</v>
      </c>
      <c r="AD29" s="306">
        <f ca="1">INDIRECT("'Quantifiable Component "&amp;$B29&amp;"'!"&amp;$D29&amp;ROW('Quantifiable Component 1'!$49:$49))</f>
        <v>0</v>
      </c>
      <c r="AE29" s="1373">
        <f ca="1">INDIRECT("'Quantifiable Component "&amp;$B29&amp;"'!"&amp;$D29&amp;ROW('Quantifiable Component 1'!$54:$54))</f>
        <v>0</v>
      </c>
      <c r="AF29" s="306" t="str">
        <f ca="1">IFERROR(IF(ISBLANK(INDIRECT("'Quantifiable Component "&amp;$B29&amp;"'!"&amp;$D29&amp;ROW('Quantifiable Component 1'!$52:$52))),VLOOKUP($AD29,'GHG EF'!$B$10:$H$19,3,0),INDIRECT("'Quantifiable Component "&amp;$B29&amp;"'!"&amp;$D29&amp;ROW('Quantifiable Component 1'!$52:$52))),"")</f>
        <v/>
      </c>
      <c r="AG29" s="306">
        <f ca="1">INDIRECT("'Quantifiable Component "&amp;$B29&amp;"'!"&amp;$D29&amp;ROW('Quantifiable Component 1'!$51:$51))</f>
        <v>0</v>
      </c>
      <c r="AH29" s="306" t="str">
        <f t="shared" ca="1" si="9"/>
        <v>0_0</v>
      </c>
      <c r="AI29" s="1373">
        <f ca="1">INDIRECT("'Quantifiable Component "&amp;$B29&amp;"'!"&amp;$D29&amp;ROW('Quantifiable Component 1'!$53:$53))</f>
        <v>0</v>
      </c>
      <c r="AJ29" s="306" t="str">
        <f ca="1">IF(AND(AI29&gt;0,OR(AD29=Defaults!$I$5,AD29=Defaults!$I$11)), IF(AC29="Transit Bus",VLOOKUP(AH29,'Fuel Consumption'!$A$31:$L$2316,5,0), IF(AC29="Van",VLOOKUP(AH29,'Fuel Consumption'!$A$31:$L$2316,8,0), IF(AC29="Cut-A-Way",VLOOKUP(AH29,'Fuel Consumption'!$A$31:$L$2316,11,0), IF(AC29="Over-Road Coach",VLOOKUP(AH29,'Fuel Consumption'!$A$31:$L$2316,12,0)*VLOOKUP(AD29,'GHG EF'!$B$10:$H$19,4,0),IF(AC29="Heavy Rail",'Rail C&amp;T EF'!$K$14*'GHG EF'!$C$12/'GHG EF'!$C$13/4.6, IF(AC29="DMU / EMU",'Rail C&amp;T EF'!$B$149*'GHG EF'!$C$12/'GHG EF'!$C$13/3.3, IF(AC29="Light Rail",'Rail C&amp;T EF'!$K$14*'GHG EF'!$C$12/'GHG EF'!$C$13/3.3, IF(AC29="Streetcar",'Rail C&amp;T EF'!$K$14*'GHG EF'!$C$12/'GHG EF'!$C$13/3.1,0)))))))),"")</f>
        <v/>
      </c>
      <c r="AK29" s="306" t="b">
        <f ca="1">IF(AI29&gt;0,IF(OR(AD29=Defaults!$I$3,AD29=Defaults!$I$4,AD29=Defaults!$I$6,AD29=Defaults!$I$8),IF(AC29="Transit Bus",IF(AD29="Gasoline",VLOOKUP(AH29,'Fuel Consumption'!$A$31:$L$2316,3),IF(OR(AD29="CNG",AD29="LNG"),VLOOKUP(AH29,'Fuel Consumption'!$A$31:$L$2316,4),VLOOKUP(AH29,'Fuel Consumption'!$A$31:$L$2316,2))),IF(AC29="Van",IF(OR(AD29="Diesel",AD29="Renewable Diesel",AD29="Biodiesel"),VLOOKUP(AH29,'Fuel Consumption'!$A$31:$L$2316,6),IF(OR(AD29="CNG",AD29="LNG"),VLOOKUP(AH29,'Fuel Consumption'!$A$31:$L$2316,7)*VLOOKUP(AD29,'GHG EF'!$B$10:$H$19,5,0),VLOOKUP(AH29,'Fuel Consumption'!$A$31:$L$2316,7))),IF(AC29="Cut-A-Way",IF(OR(AD29="Diesel",AD29="Renewable Diesel",AD29="Biodiesel"),VLOOKUP(AH29,'Fuel Consumption'!$A$31:$L$2316,9),IF(OR(AD29="CNG",AD29="LNG"),VLOOKUP(AH29,'Fuel Consumption'!$A$31:$L$2316,10)*VLOOKUP(AD29,'GHG EF'!$B$10:$H$19,5,0),VLOOKUP(AH29,'Fuel Consumption'!$A$31:$L$2316,10))),IF(AC29="Over-Road Coach",VLOOKUP(AH29,'Fuel Consumption'!$A$31:$L$2316,12),IF(AC29="Heavy Rail",'Rail C&amp;T EF'!$K$14,IF(AC29="DMU / EMU",'Rail C&amp;T EF'!$B$149,"")))))*IF(AD29=Defaults!$I$3,1/'GHG EF'!$I$11,1)*IF(AD29=Defaults!$I$8,1/'GHG EF'!$I$16,1)),""))</f>
        <v>0</v>
      </c>
      <c r="AL29" s="306" t="str">
        <f ca="1">IF(AI29&gt;0,IF(AC29="Transit Bus",IF(AD29="Gasoline",VLOOKUP(AH29,'Fuel Consumption'!$A$31:$L$2316,3,0)*VLOOKUP(AD29,'GHG EF'!$B$10:$H$19,5,0),IF(OR(AD29="LNG",AD29="CNG",AD29="Renewable Natural Gas"),VLOOKUP(AH29,'Fuel Consumption'!$A$31:$L$2316,4)*VLOOKUP(AD29,'GHG EF'!$B$10:$H$19,4,0),IF(OR(AD29="Electric",AD29="Renewable Electricity"),VLOOKUP(AH29,'Fuel Consumption'!$A$31:$L$2316,5,0),IF(AD29="Hydrogen Fuel Cell",VLOOKUP(AH29,'Fuel Consumption'!$A$31:$L$2316,5,0)*'GHG EF'!$C$13/'GHG EF'!$C$15*'GHG EF'!$I$13/'GHG EF'!$I$15,VLOOKUP(AH29,'Fuel Consumption'!$A$31:$L$2316,2,0)*VLOOKUP(AD29,'GHG EF'!$B$10:$H$19,4,0))))),
IF(AC29="Van",IF(OR(AD29="Diesel",AD29="Renewable Diesel",AD29="Biodiesel"),VLOOKUP(AH29,'Fuel Consumption'!$A$31:$L$2316,6,0)*VLOOKUP(AD29,'GHG EF'!$B$10:$H$19,4,0),IF(OR(AD29="LNG",AD29="CNG",AD29="Renewable Natural Gas"),VLOOKUP(AH29,'Fuel Consumption'!$A$31:$L$2316,7)*VLOOKUP(AD29,'GHG EF'!$B$10:$H$19,5,0),IF(OR(AD29="Electric",AD29="Renewable Electricity"),VLOOKUP(AH29,'Fuel Consumption'!$A$31:$L$2316,8,0),IF(AD29="Hydrogen Fuel Cell",VLOOKUP(AH29,'Fuel Consumption'!$A$31:$L$2316,8,0)*'GHG EF'!$C$13/'GHG EF'!$C$15*'GHG EF'!$J$13/'GHG EF'!$J$15,VLOOKUP(AH29,'Fuel Consumption'!$A$31:$L$2316,7,0)*VLOOKUP(AD29,'GHG EF'!$B$10:$H$19,5,0))))),
IF(AC29="Cut-A-Way",IF(OR(AD29="Diesel",AD29="Renewable Diesel",AD29="Biodiesel"),VLOOKUP(AH29,'Fuel Consumption'!$A$31:$L$2316,9,0)*VLOOKUP(AD29,'GHG EF'!$B$10:$H$19,4,0),IF(OR(AD29="LNG",AD29="CNG",AD29="Renewable Natural Gas"),VLOOKUP(AH29,'Fuel Consumption'!$A$31:$L$2316,10)*VLOOKUP(AD29,'GHG EF'!$B$10:$H$19,5,0),IF(OR(AD29="Electric",AD29="Renewable Electricity"),VLOOKUP(AH29,'Fuel Consumption'!$A$31:$L$2316,11,0),IF(AD29="Hydrogen Fuel Cell",VLOOKUP(AH29,'Fuel Consumption'!$A$31:$L$2316,11,0)*'GHG EF'!$C$13/'GHG EF'!$C$15*'GHG EF'!$J$13/'GHG EF'!$J$15,VLOOKUP(AH29,'Fuel Consumption'!$A$31:$L$2316,10,0)*VLOOKUP(AD29,'GHG EF'!$B$10:$H$19,5,0))))),
IF(AC29="Over-Road Coach",VLOOKUP(AH29,'Fuel Consumption'!$A$31:$L$2316,12,0)*VLOOKUP(AD29,'GHG EF'!$B$10:$H$19,4,0),IF(AC29="Heavy Rail",IF(OR(AD29=Defaults!$I$5,AD29=Defaults!$I$11),'Rail C&amp;T EF'!$K$14*'GHG EF'!$C$12/'GHG EF'!$C$13/4.6,'Rail C&amp;T EF'!$K$14*VLOOKUP(AD29,'GHG EF'!$B$10:$H$19,4,0)),IF(AC29="DMU / EMU",IF(OR(AD29=Defaults!$I$5,AD29=Defaults!$I$11),'Rail C&amp;T EF'!$B$149*'GHG EF'!$C$12/'GHG EF'!$C$13/3.3,'Rail C&amp;T EF'!$B$149*VLOOKUP(AD29,'GHG EF'!$B$10:$H$19,4,0)),IF(AC29="Light Rail",'Rail C&amp;T EF'!$K$14*'GHG EF'!$C$12/'GHG EF'!$C$13/3.3,IF(AC29="Streetcar",'Rail C&amp;T EF'!$K$14*'GHG EF'!$C$12/'GHG EF'!$C$13/3.1,"")))))))),"")</f>
        <v/>
      </c>
      <c r="AM29" s="306" t="str">
        <f ca="1">IFERROR((IF(AD29="Gasoline",VLOOKUP(AH29,'Fuel Consumption'!$A$31:$L$2316,3,0)*VLOOKUP(AD29,'GHG EF'!$B$10:$H$19,5,0), IF(OR(AD29="CNG",AD29="LNG",AD29="Renewable Natural Gas"),VLOOKUP(AH29,'Fuel Consumption'!$A$31:$L$2316,4,0)*VLOOKUP(AD29,'GHG EF'!$B$10:$H$19,4,0),IF(OR(AD29="Electric",AD29="Renewable Electricity"),VLOOKUP(AH29,'Fuel Consumption'!$A$31:$L$2316,5,0),IF(AD29="Hydrogen Fuel Cell",VLOOKUP(AH29,'Fuel Consumption'!$A$31:$L$2316,5,0)*'GHG EF'!$C$13/'GHG EF'!$C$15*'GHG EF'!$I$13/'GHG EF'!$I$15,VLOOKUP(AH29,'Fuel Consumption'!$A$31:$L$2316,2,0)*VLOOKUP(AD29,'GHG EF'!$B$10:$H$19,4,0))))) * VLOOKUP(AD29,'GHG EF'!$B$10:$H$19,2,0) * AF29),"")</f>
        <v/>
      </c>
      <c r="AN29" s="306" t="str">
        <f ca="1">IFERROR((IF(OR(AD29="Diesel",AD29="Renewable Diesel",AD29="Biodiesel"),VLOOKUP(AH29,'Fuel Consumption'!$A$31:$L$2316,6,0)*VLOOKUP(AD29,'GHG EF'!$B$10:$H$19,4,0),IF(OR(AD29="CNG",AD29="LNG",AD29="Renewable Natural Gas"),VLOOKUP(AH29,'Fuel Consumption'!$A$31:$L$2316,7,0)*VLOOKUP(AD29,'GHG EF'!$B$10:$H$19,5,0),IF(OR(AD29="Electric",AD29="Renewable Electricity"),VLOOKUP(AH29,'Fuel Consumption'!$A$31:$L$2316,8,0),IF(AD29="Hydrogen Fuel Cell",VLOOKUP(AH29,'Fuel Consumption'!$A$31:$L$2316,8,0)*'GHG EF'!$C$13/'GHG EF'!$C$15*'GHG EF'!$J$13/'GHG EF'!$J$15,VLOOKUP(AH29,'Fuel Consumption'!$A$31:$L$2316,7,0)*VLOOKUP(AD29,'GHG EF'!$B$10:$H$19,5,0)))))*VLOOKUP(AD29,'GHG EF'!$B$10:$H$19,2,0)*AF29),"")</f>
        <v/>
      </c>
      <c r="AO29" s="306" t="str">
        <f ca="1">IFERROR((IF(OR(AD29="Diesel",AD29="Renewable Diesel",AD29="Biodiesel"),VLOOKUP(AH29,'Fuel Consumption'!$A$31:$L$2316,9,0)*VLOOKUP(AD29,'GHG EF'!$B$10:$H$19,4,0),IF(OR(AD29="CNG",AD29="LNG",AD29="Renewable Natural Gas"),VLOOKUP(AH29,'Fuel Consumption'!$A$31:$L$2316,10,0)*VLOOKUP(AD29,'GHG EF'!$B$10:$H$19,5,0),IF(OR(AD29="Electric",AD29="Renewable Electricity"),VLOOKUP(AH29,'Fuel Consumption'!$A$31:$L$2316,11,0),IF(AD29="Hydrogen Fuel Cell",VLOOKUP(AH29,'Fuel Consumption'!$A$31:$L$2316,11,0)*'GHG EF'!$C$13/'GHG EF'!$C$15*'GHG EF'!$J$13/'GHG EF'!$J$15,VLOOKUP(AH29,'Fuel Consumption'!$A$31:$L$2316,10,0)*VLOOKUP(AD29,'GHG EF'!$B$10:$H$19,5,0))))) * VLOOKUP(AD29,'GHG EF'!$B$10:$H$19,2,0) * AF29),"")</f>
        <v/>
      </c>
      <c r="AP29" s="306" t="str">
        <f ca="1">IFERROR(VLOOKUP(AH29,'Fuel Consumption'!$A$31:$L$2316,12,0)*VLOOKUP(AD29,'GHG EF'!$B$10:$H$19,4,0) * VLOOKUP(AD29,'GHG EF'!$B$10:$H$19,2,0) * AF29,"")</f>
        <v/>
      </c>
      <c r="AQ29" s="1374" t="str">
        <f ca="1">IFERROR(IF(OR(AD29=Defaults!$I$5,AD29=Defaults!$I$11), 'GHG EF'!$C$13*'GHG EF'!$C$12/'GHG EF'!$C$13/4.6, VLOOKUP(AD29,'GHG EF'!$B$10:$H$19,4,0)*VLOOKUP(AD29,'GHG EF'!$B$10:$H$19,2,0))*AF29*'Rail C&amp;T EF'!$K$14,"")</f>
        <v/>
      </c>
      <c r="AR29" s="1374" t="str">
        <f ca="1">IFERROR(IF(OR(AD29=Defaults!$I$5,AD29=Defaults!$I$11), 'GHG EF'!$C$13*'GHG EF'!$C$12/'GHG EF'!$C$13/3.3, VLOOKUP(AD29,'GHG EF'!$B$10:$H$19,4,0)*VLOOKUP(AD29,'GHG EF'!$B$10:$H$19,2,0))*AF29*'Rail C&amp;T EF'!$B$149,"")</f>
        <v/>
      </c>
      <c r="AS29" s="1374" t="str">
        <f ca="1">IFERROR(VLOOKUP(AD29,'GHG EF'!$B$10:$H$19,2,0)*AF29,"")</f>
        <v/>
      </c>
      <c r="AT29" s="1374" t="str">
        <f ca="1">IF(OR(AD29=Defaults!$I$5,AD29=Defaults!$I$10),'GHG EF'!$C$13*AF29*'GHG EF'!$C$12/'GHG EF'!$C$13/3.3*'Rail C&amp;T EF'!$K$14,"")</f>
        <v/>
      </c>
      <c r="AU29" s="1374" t="str">
        <f ca="1">IF(OR(AD29=Defaults!$I$5,AD29=Defaults!$I$10),'GHG EF'!$C$13*AF29*'GHG EF'!$C$12/'GHG EF'!$C$13/3.1*'Rail C&amp;T EF'!$K$14,"")</f>
        <v/>
      </c>
      <c r="AV29" s="1374">
        <f ca="1">IF(OR($AD29=Defaults!$I$5, $AD29=Defaults!$I$7, $AD29=Defaults!$I$11),Defaults!$G$15,INDIRECT("'Quantifiable Component "&amp;$B29&amp;"'!"&amp;$D29&amp;ROW('Quantifiable Component 1'!$50:$50)))</f>
        <v>0</v>
      </c>
      <c r="AW29" s="1374" t="str">
        <f ca="1">IFERROR((IF(AND(AV29="yes",NOT(AD29=Defaults!$I$5),NOT(AD29=Defaults!$I$7),NOT(AD29=Defaults!$I$11)),0.8,1))*(IF(AC29="Transit Bus",AM29,IF(AC29="Van",AN29,IF(AC29="Cut-A-Way",AO29,IF(AC29="Over-Road Coach",AP29,IF(AC29="Heavy Rail",AQ29,IF(AC29="DMU / EMU",AR29,IF(AC29="Ferry",AS29,IF(AC29="Light Rail",AT29,AU29))))))))),"")</f>
        <v/>
      </c>
      <c r="AX29" s="1374" t="str">
        <f ca="1">IFERROR(VLOOKUP($AD29,'GHG EF'!$B$10:$H$19,2,0)*AF29,"")</f>
        <v/>
      </c>
      <c r="AY29" s="1375" t="str">
        <f t="shared" ca="1" si="10"/>
        <v/>
      </c>
      <c r="AZ29" s="1374" t="str">
        <f t="shared" ca="1" si="11"/>
        <v/>
      </c>
      <c r="BA29" s="1375" t="str">
        <f ca="1">IFERROR(IF(G29=Defaults!$F$2,0,IF(AZ29&gt;0,AZ29*(I29-H29),AY29*(I29-H29))),"")</f>
        <v/>
      </c>
      <c r="BB29" s="1373" t="str">
        <f t="shared" ca="1" si="12"/>
        <v/>
      </c>
      <c r="BC29" s="1376">
        <f ca="1">INDIRECT("'Quantifiable Component "&amp;$B29&amp;"'!"&amp;$D29&amp;ROW('Quantifiable Component 1'!$58:$58))</f>
        <v>0</v>
      </c>
      <c r="BD29" s="306">
        <f ca="1">INDIRECT("'Quantifiable Component "&amp;$B29&amp;"'!"&amp;$D29&amp;ROW('Quantifiable Component 1'!$61:$61))</f>
        <v>0</v>
      </c>
      <c r="BE29" s="306">
        <f ca="1">INDIRECT("'Quantifiable Component "&amp;$B29&amp;"'!"&amp;$D29&amp;ROW('Quantifiable Component 1'!$66:$66))</f>
        <v>0</v>
      </c>
      <c r="BF29" s="306" t="str">
        <f ca="1">IFERROR(IF(ISBLANK(INDIRECT("'Quantifiable Component "&amp;$B29&amp;"'!"&amp;$D29&amp;ROW('Quantifiable Component 1'!$64:$64))),VLOOKUP($BD29,'GHG EF'!$B$10:$H$19,3,0),INDIRECT("'Quantifiable Component "&amp;$B29&amp;"'!"&amp;$D29&amp;ROW('Quantifiable Component 1'!$64:$64))),"")</f>
        <v/>
      </c>
      <c r="BG29" s="306">
        <f ca="1">INDIRECT("'Quantifiable Component "&amp;$B29&amp;"'!"&amp;$D29&amp;ROW('Quantifiable Component 1'!$63:$63))</f>
        <v>0</v>
      </c>
      <c r="BH29" s="1373">
        <f ca="1">INDIRECT("'Quantifiable Component "&amp;$B29&amp;"'!"&amp;$D29&amp;ROW('Quantifiable Component 1'!$65:$65))</f>
        <v>0</v>
      </c>
      <c r="BI29" s="306" t="str">
        <f ca="1">IF(AND(BH29&gt;0,OR(BD29=Defaults!$I$5,BD29=Defaults!$I$11)), IF(BC29="Transit Bus",VLOOKUP(BL29,'Fuel Consumption'!$A$31:$L$2316,5,0), IF(BC29="Van",VLOOKUP(BL29,'Fuel Consumption'!$A$31:$L$2316,8,0), IF(BC29="Cut-A-Way",VLOOKUP(BL29,'Fuel Consumption'!$A$31:$L$2316,11,0), IF(BC29="Over-Road Coach",VLOOKUP(BL29,'Fuel Consumption'!$A$31:$L$2316,12,0)*VLOOKUP(BD29,'GHG EF'!$B$10:$H$19,4,0),IF(BC29="Heavy Rail",'Rail C&amp;T EF'!$K$14*'GHG EF'!$C$12/'GHG EF'!$C$13/4.6, IF(BC29="DMU / EMU",'Rail C&amp;T EF'!$B$149*'GHG EF'!$C$12/'GHG EF'!$C$13/3.3, IF(BC29="Light Rail",'Rail C&amp;T EF'!$K$14*'GHG EF'!$C$12/'GHG EF'!$C$13/3.3, IF(BC29="Streetcar",'Rail C&amp;T EF'!$K$14*'GHG EF'!$C$12/'GHG EF'!$C$13/3.1,0)))))))),"")</f>
        <v/>
      </c>
      <c r="BJ29" s="306" t="str">
        <f ca="1">IF(BH29&gt;0,IF(OR(BD29=Defaults!$I$3,BD29=Defaults!$I$4, BD29=Defaults!$I$6, BD29=Defaults!$I$8),IF(BC29="Transit Bus",IF(BD29="Gasoline",VLOOKUP(BL29,'Fuel Consumption'!$A$31:$L$2316,3), IF(OR(BD29="CNG",BD29="LNG"),VLOOKUP(BL29,'Fuel Consumption'!$A$31:$L$2316,4,0),VLOOKUP(BL29,'Fuel Consumption'!$A$31:$L$2316,2))), IF(BC29="Van",IF(OR(BD29="Diesel",BD29="Renewable Diesel",BD29="Biodiesel"),VLOOKUP(BL29,'Fuel Consumption'!$A$31:$L$2316,6),IF(OR(BD29="CNG",BD29="LNG"),VLOOKUP(BL29,'Fuel Consumption'!$A$31:$L$2316,7,0)*VLOOKUP(BD29,'GHG EF'!$B$10:$H$19,5,0), VLOOKUP(BL29,'Fuel Consumption'!$A$31:$L$2316,7))), IF(BC29="Cut-A-Way",IF(OR(BD29="Diesel",BD29="Renewable Diesel",BD29="Biodiesel"),VLOOKUP(BL29,'Fuel Consumption'!$A$31:$L$2316,9),IF(OR(BD29="CNG",BD29="LNG"),VLOOKUP(BL29,'Fuel Consumption'!$A$31:$L$2316,10,0)*VLOOKUP(BD29,'GHG EF'!$B$10:$H$19,5,0), VLOOKUP(BL29,'Fuel Consumption'!$A$31:$L$2316,10))), IF(BC29="Over-Road Coach",VLOOKUP(BL29,'Fuel Consumption'!$A$31:$L$2316,12),IF(BC29="Heavy Rail",'Rail C&amp;T EF'!$K$14, IF(BC29="DMU / EMU",'Rail C&amp;T EF'!$B$149,"")))))) * IF(BD29=Defaults!$I$3,1/'GHG EF'!$I$11,1) * IF(BD29=Defaults!$I$8,1/'GHG EF'!$I$16,1),""),"")</f>
        <v/>
      </c>
      <c r="BK29" s="306" t="str">
        <f ca="1">IF(BH29&gt;0,IF(BC29="Transit Bus",IF(BD29="Gasoline",VLOOKUP(BL29,'Fuel Consumption'!$A$31:$L$2316,3,0)*VLOOKUP(BD29,'GHG EF'!$B$10:$H$19,5,0),IF(OR(BD29="CNG",BD29="LNG",BD29="Renewable Natural Gas"),VLOOKUP(BL29,'Fuel Consumption'!$A$31:$L$2316,4,0)*VLOOKUP(BD29,'GHG EF'!$B$10:$H$19,4,0), IF(OR(BD29="Electric",BD29="Renewable Electricity"),VLOOKUP(BL29,'Fuel Consumption'!$A$31:$L$2316,5,0),IF(BD29="Hydrogen Fuel Cell",VLOOKUP(BL29,'Fuel Consumption'!$A$31:$L$2316,5,0)*'GHG EF'!$C$13/'GHG EF'!$C$15*'GHG EF'!$I$13/'GHG EF'!$I$15, VLOOKUP(BL29,'Fuel Consumption'!$A$31:$L$2316,2,0)*VLOOKUP(BD29,'GHG EF'!$B$10:$H$19,4,0))))),
IF(BC29="Van",IF(OR(BD29="Diesel",BD29="Renewable Diesel",BD29="Biodiesel"),VLOOKUP(BL29,'Fuel Consumption'!$A$31:$L$2316,6,0)*VLOOKUP(BD29,'GHG EF'!$B$10:$H$19,4,0), IF(OR(BD29="CNG",BD29="LNG",BD29="Renewable Natural Gas"),VLOOKUP(BL29,'Fuel Consumption'!$A$31:$L$2316,7,0)*VLOOKUP(BD29,'GHG EF'!$B$10:$H$19,5,0), IF(OR(BD29="Electric",BD29="Renewable Electricity"),VLOOKUP(BL29,'Fuel Consumption'!$A$31:$L$2316,8,0),IF(BD29="Hydrogen Fuel Cell",VLOOKUP(BL29,'Fuel Consumption'!$A$31:$L$2316,8,0)*'GHG EF'!$C$13/'GHG EF'!$C$15*'GHG EF'!$J$13/'GHG EF'!$J$15,VLOOKUP(BL29,'Fuel Consumption'!$A$31:$L$2316,7,0)*VLOOKUP(BD29,'GHG EF'!$B$10:$H$19,5,0))))),
IF(BC29="Cut-A-Way",IF(OR(BD29="Diesel",BD29="Renewable Diesel",BD29="Biodiesel"),VLOOKUP(BL29,'Fuel Consumption'!$A$31:$L$2316,9,0)*VLOOKUP(BD29,'GHG EF'!$B$10:$H$19,4,0),IF(OR(BD29="CNG",BD29="LNG",BD29="Renewable Natural Gas"),VLOOKUP(BL29,'Fuel Consumption'!$A$31:$L$2316,10,0)*VLOOKUP(BD29,'GHG EF'!$B$10:$H$19,5,0), IF(OR(BD29="Electric",BD29="Renewable Electricity"),VLOOKUP(BL29,'Fuel Consumption'!$A$31:$L$2316,11,0),IF(BD29="Hydrogen Fuel Cell",VLOOKUP(BL29,'Fuel Consumption'!$A$31:$L$2316,11,0)*'GHG EF'!$C$13/'GHG EF'!$C$15*'GHG EF'!$J$13/'GHG EF'!$J$15, VLOOKUP(BL29,'Fuel Consumption'!$A$31:$L$2316,10,0)*VLOOKUP(BD29,'GHG EF'!$B$10:$H$19,5,0))))),
IF(BC29="Over-Road Coach",VLOOKUP(BL29,'Fuel Consumption'!$A$31:$L$2316,12,0)*VLOOKUP(BD29,'GHG EF'!$B$10:$H$19,4,0),IF(BC29="Heavy Rail",IF(OR(BD29=Defaults!$I$5,BD29=Defaults!$I$11), 'Rail C&amp;T EF'!$K$14*'GHG EF'!$C$12/'GHG EF'!$C$13/4.6, 'Rail C&amp;T EF'!$K$14*VLOOKUP(BD29,'GHG EF'!$B$10:$H$19,4,0)),IF(BC29="DMU / EMU",IF(OR(BD29=Defaults!$I$5,BD29=Defaults!$I$11), 'Rail C&amp;T EF'!$B$149*'GHG EF'!$C$12/'GHG EF'!$C$13/3.3, 'Rail C&amp;T EF'!$B$149*VLOOKUP(BD29,'GHG EF'!$B$10:$H$19,4,0)),IF(BC29="Light Rail",'Rail C&amp;T EF'!$K$14*'GHG EF'!$C$12/'GHG EF'!$C$13/3.3,IF(BC29="Streetcar",'Rail C&amp;T EF'!$K$14*'GHG EF'!$C$12/'GHG EF'!$C$13/3.1,"")))))))),"")</f>
        <v/>
      </c>
      <c r="BL29" s="306" t="str">
        <f t="shared" ca="1" si="13"/>
        <v>0_0</v>
      </c>
      <c r="BM29" s="306" t="str">
        <f ca="1">IFERROR((IF(BD29="Gasoline",VLOOKUP(BL29,'Fuel Consumption'!$A$31:$L$2316,3,0)*VLOOKUP(BD29,'GHG EF'!$B$10:$H$19,5,0), IF(OR(BD29="CNG",BD29="LNG",BD29="Renewable Natural Gas"),VLOOKUP(BL29,'Fuel Consumption'!$A$31:$L$2316,4,0)*VLOOKUP(BD29,'GHG EF'!$B$10:$H$19,4,0),IF(OR(BD29="Electric",BD29="Renewable Electricity"),VLOOKUP(BL29,'Fuel Consumption'!$A$31:$L$2316,5,0),IF(BD29="Hydrogen Fuel Cell",VLOOKUP(BL29,'Fuel Consumption'!$A$31:$L$2316,5,0)*'GHG EF'!$C$13/'GHG EF'!$C$15*'GHG EF'!$I$13/'GHG EF'!$I$15,VLOOKUP(BL29,'Fuel Consumption'!$A$31:$L$2316,2,0)*VLOOKUP(BD29,'GHG EF'!$B$10:$H$19,4,0))))) * VLOOKUP(BD29,'GHG EF'!$B$10:$H$19,2,0) * BF29),"")</f>
        <v/>
      </c>
      <c r="BN29" s="306" t="str">
        <f ca="1">IFERROR((IF(OR(BD29="Diesel",BD29="Renewable Diesel",BD29="Biodiesel"),VLOOKUP(BL29,'Fuel Consumption'!$A$31:$L$2316,6,0)*VLOOKUP(BD29,'GHG EF'!$B$10:$H$19,4,0),IF(OR(BD29="CNG",BD29="LNG",BD29="Renewable Natural Gas"),VLOOKUP(BL29,'Fuel Consumption'!$A$31:$L$2316,7,0)*VLOOKUP(BD29,'GHG EF'!$B$10:$H$19,5,0),IF(OR(BD29="Electric",BD29="Renewable Electricity"),VLOOKUP(BL29,'Fuel Consumption'!$A$31:$L$2316,8,0),IF(BD29="Hydrogen Fuel Cell",VLOOKUP(BL29,'Fuel Consumption'!$A$31:$L$2316,8,0)*'GHG EF'!$C$13/'GHG EF'!$C$15*'GHG EF'!$J$13/'GHG EF'!$J$15,VLOOKUP(BL29,'Fuel Consumption'!$A$31:$L$2316,7,0)*VLOOKUP(BD29,'GHG EF'!$B$10:$H$19,5,0)))))*VLOOKUP(BD29,'GHG EF'!$B$10:$H$19,2,0)*BF29),"")</f>
        <v/>
      </c>
      <c r="BO29" s="306" t="str">
        <f ca="1">IFERROR((IF(OR(BD29="Diesel",BD29="Renewable Diesel",BD29="Biodiesel"),VLOOKUP(BL29,'Fuel Consumption'!$A$31:$L$2316,9,0)*VLOOKUP(BD29,'GHG EF'!$B$10:$H$19,4,0),IF(OR(BD29="CNG",BD29="LNG",BD29="Renewable Natural Gas"),VLOOKUP(BL29,'Fuel Consumption'!$A$31:$L$2316,10,0)*VLOOKUP(BD29,'GHG EF'!$B$10:$H$19,5,0),IF(OR(BD29="Electric",BD29="Renewable Electricity"),VLOOKUP(BL29,'Fuel Consumption'!$A$31:$L$2316,11,0),IF(BD29="Hydrogen Fuel Cell",VLOOKUP(BL29,'Fuel Consumption'!$A$31:$L$2316,11,0)*'GHG EF'!$C$13/'GHG EF'!$C$15*'GHG EF'!$J$13/'GHG EF'!$J$15,VLOOKUP(BL29,'Fuel Consumption'!$A$31:$L$2316,10,0)*VLOOKUP(BD29,'GHG EF'!$B$10:$H$19,5,0))))) * VLOOKUP(BD29,'GHG EF'!$B$10:$H$19,2,0) * BF29),"")</f>
        <v/>
      </c>
      <c r="BP29" s="306" t="str">
        <f ca="1">IFERROR(VLOOKUP(BL29,'Fuel Consumption'!$A$31:$L$2316,12,0)*VLOOKUP(BD29,'GHG EF'!$B$10:$H$19,4,0) * VLOOKUP(BD29,'GHG EF'!$B$10:$H$19,2,0) * BF29,"")</f>
        <v/>
      </c>
      <c r="BQ29" s="1374" t="str">
        <f ca="1">IFERROR(IF(OR($BD29=Defaults!$I$5,$BD29=Defaults!$I$11), 'GHG EF'!$C$13*'GHG EF'!$C$12/'GHG EF'!$C$13/4.6, VLOOKUP(BD29,'GHG EF'!$B$10:$H$19,4,0)*VLOOKUP(BD29,'GHG EF'!$B$10:$H$19,2,0))*BF29*'Rail C&amp;T EF'!$K$14,"")</f>
        <v/>
      </c>
      <c r="BR29" s="1374" t="str">
        <f ca="1">IFERROR(IF(OR($BD29=Defaults!$I$5,$BD29=Defaults!$I$11), 'GHG EF'!$C$13*'GHG EF'!$C$12/'GHG EF'!$C$13/3.3, VLOOKUP(BD29,'GHG EF'!$B$10:$H$19,4,0)*VLOOKUP(BD29,'GHG EF'!$B$10:$H$19,2,0))*BF29*'Rail C&amp;T EF'!$B$149,"")</f>
        <v/>
      </c>
      <c r="BS29" s="1374" t="str">
        <f ca="1">IFERROR(VLOOKUP(BD29,'GHG EF'!$B$10:$H$19,2,0)*BF29,"")</f>
        <v/>
      </c>
      <c r="BT29" s="1374" t="str">
        <f ca="1">IF(OR($BD29=Defaults!$I$5,$BD29=Defaults!$I$10),'GHG EF'!$C$13*BF29*'GHG EF'!$C$12/'GHG EF'!$C$13/3.3*'Rail C&amp;T EF'!$K$14,"")</f>
        <v/>
      </c>
      <c r="BU29" s="1374" t="str">
        <f ca="1">IF(OR($BD29=Defaults!$I$5,$BD29=Defaults!$I$10),'GHG EF'!$C$13*BF29*'GHG EF'!$C$12/'GHG EF'!$C$13/3.1*'Rail C&amp;T EF'!$K$14,"")</f>
        <v/>
      </c>
      <c r="BV29" s="1374">
        <f ca="1">IF(OR($AD29=Defaults!$I$5, $AD29=Defaults!$I$7, $AD29=Defaults!$I$11),Defaults!$G$15,INDIRECT("'Quantifiable Component "&amp;$B29&amp;"'!"&amp;$D29&amp;ROW('Quantifiable Component 1'!$62:$62)))</f>
        <v>0</v>
      </c>
      <c r="BW29" s="1374" t="str">
        <f ca="1">IFERROR((IF(AND(BV29="yes",NOT(BD29=Defaults!$I$5),NOT(BD29=Defaults!$I$7),NOT(BD29=Defaults!$I$11)),0.8,1))*(IF(BC29="Transit Bus",BM29,IF(BC29="Van",BN29,IF(BC29="Cut-A-Way",BO29,IF(BC29="Over-Road Coach",BP29,IF(BC29="Heavy Rail",BQ29,IF(BC29="DMU / EMU",BR29,IF(BC29="Ferry",BS29,IF(BC29="Light Rail",BT29,BU29))))))))),"")</f>
        <v/>
      </c>
      <c r="BX29" s="1377" t="str">
        <f ca="1">IFERROR(VLOOKUP($BD29,'GHG EF'!$B$10:$H$19,2,0)*BF29,"")</f>
        <v/>
      </c>
      <c r="BY29" s="1377" t="str">
        <f t="shared" ca="1" si="14"/>
        <v/>
      </c>
      <c r="BZ29" s="1377" t="str">
        <f t="shared" ca="1" si="15"/>
        <v/>
      </c>
      <c r="CA29" s="1377" t="str">
        <f t="shared" ca="1" si="16"/>
        <v/>
      </c>
      <c r="CB29" s="1373" t="str">
        <f t="shared" ca="1" si="17"/>
        <v/>
      </c>
      <c r="CC29" s="1376">
        <f ca="1">INDIRECT("'Quantifiable Component "&amp;$B29&amp;"'!"&amp;$D29&amp;ROW('Quantifiable Component 1'!$69:$69))</f>
        <v>0</v>
      </c>
      <c r="CD29" s="1376">
        <f ca="1">INDIRECT("'Quantifiable Component "&amp;$B29&amp;"'!"&amp;$D29&amp;ROW('Quantifiable Component 1'!$72:$72))</f>
        <v>0</v>
      </c>
      <c r="CE29" s="1373">
        <f ca="1">INDIRECT("'Quantifiable Component "&amp;$B29&amp;"'!"&amp;$D29&amp;ROW('Quantifiable Component 1'!$74:$74))</f>
        <v>0</v>
      </c>
      <c r="CF29" s="306">
        <f ca="1">INDIRECT("'Quantifiable Component "&amp;$B29&amp;"'!"&amp;$D29&amp;ROW('Quantifiable Component 1'!$73:$73))</f>
        <v>0</v>
      </c>
      <c r="CG29" s="306" t="str">
        <f t="shared" ca="1" si="18"/>
        <v>0_0</v>
      </c>
      <c r="CH29" s="1373" t="str">
        <f ca="1">IFERROR(VLOOKUP($CD29,'GHG EF'!$B$10:$H$19,2,0)*VLOOKUP($CD29,'GHG EF'!$B$10:$H$19,3,0),"")</f>
        <v/>
      </c>
      <c r="CI29" s="1373" t="str">
        <f t="shared" ca="1" si="19"/>
        <v/>
      </c>
      <c r="CJ29" s="1373" t="str">
        <f t="shared" ca="1" si="20"/>
        <v/>
      </c>
      <c r="CK29" s="1378" t="str">
        <f ca="1">IF($F29=Defaults!$M$2, $BB29+IF($CA29="",0,$CA29)+IF($CJ29="",0,$CJ29), IF($F29=Defaults!$M$4,$CB29+IF($CJ29="",0,$CJ29),IF($F29=Defaults!$M$3,$AB29+IF($CJ29="",0,$CJ29), IF($F29=Defaults!$M$5,$CJ29,""))))</f>
        <v/>
      </c>
      <c r="CL29" s="1645"/>
    </row>
    <row r="30" spans="1:90" x14ac:dyDescent="0.3">
      <c r="AJ30" s="1213" t="s">
        <v>600</v>
      </c>
      <c r="AK30" s="1213" t="s">
        <v>601</v>
      </c>
      <c r="AL30" s="1213" t="s">
        <v>602</v>
      </c>
      <c r="AM30" s="1213" t="s">
        <v>603</v>
      </c>
      <c r="AN30" s="1213" t="s">
        <v>604</v>
      </c>
      <c r="AO30" s="1213" t="s">
        <v>604</v>
      </c>
      <c r="AP30" s="1213" t="s">
        <v>605</v>
      </c>
      <c r="BB30" s="261"/>
      <c r="BC30" s="261"/>
      <c r="BI30" s="1213" t="s">
        <v>600</v>
      </c>
      <c r="BJ30" s="1213" t="s">
        <v>601</v>
      </c>
      <c r="BK30" s="1213" t="s">
        <v>602</v>
      </c>
      <c r="BM30" s="1213" t="s">
        <v>603</v>
      </c>
      <c r="BN30" s="1213" t="s">
        <v>604</v>
      </c>
      <c r="BO30" s="1213" t="s">
        <v>604</v>
      </c>
      <c r="BP30" s="1213" t="s">
        <v>605</v>
      </c>
    </row>
    <row r="31" spans="1:90" x14ac:dyDescent="0.3">
      <c r="CK31" s="263"/>
    </row>
    <row r="32" spans="1:90" x14ac:dyDescent="0.3">
      <c r="CK32" s="263"/>
    </row>
    <row r="33" spans="63:89" x14ac:dyDescent="0.3">
      <c r="CK33" s="263"/>
    </row>
    <row r="34" spans="63:89" x14ac:dyDescent="0.3">
      <c r="CK34" s="263"/>
    </row>
    <row r="36" spans="63:89" x14ac:dyDescent="0.3">
      <c r="BK36" s="261" t="s">
        <v>606</v>
      </c>
    </row>
  </sheetData>
  <protectedRanges>
    <protectedRange password="C38A" sqref="A11:L11 A12:BA29 BD12:CA29" name="Range1"/>
  </protectedRanges>
  <dataConsolidate link="1"/>
  <mergeCells count="12">
    <mergeCell ref="CL27:CL29"/>
    <mergeCell ref="A12:A14"/>
    <mergeCell ref="A15:A17"/>
    <mergeCell ref="A18:A20"/>
    <mergeCell ref="A21:A23"/>
    <mergeCell ref="A24:A26"/>
    <mergeCell ref="A27:A29"/>
    <mergeCell ref="CL12:CL14"/>
    <mergeCell ref="CL15:CL17"/>
    <mergeCell ref="CL18:CL20"/>
    <mergeCell ref="CL21:CL23"/>
    <mergeCell ref="CL24:CL26"/>
  </mergeCells>
  <pageMargins left="0.7" right="0.7" top="0.75" bottom="0.75" header="0.3" footer="0.3"/>
  <pageSetup scale="59" fitToWidth="4" orientation="landscape" r:id="rId1"/>
  <headerFooter>
    <oddFooter>&amp;L&amp;"Avenir LT Std 55 Roman,Regular"&amp;12December 30, 2020&amp;C&amp;"Avenir LT Std 55 Roman,Regular"&amp;12&amp;P of &amp;N&amp;R&amp;"Avenir LT Std 55 Roman,Regular"&amp;12&amp;A</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tabColor theme="1" tint="0.34998626667073579"/>
  </sheetPr>
  <dimension ref="A1:FF83"/>
  <sheetViews>
    <sheetView showGridLines="0" zoomScaleNormal="100" zoomScalePageLayoutView="70" workbookViewId="0">
      <selection activeCell="A2" sqref="A2"/>
    </sheetView>
  </sheetViews>
  <sheetFormatPr defaultColWidth="9.08984375" defaultRowHeight="15.5" x14ac:dyDescent="0.35"/>
  <cols>
    <col min="1" max="1" width="23.453125" style="261" bestFit="1" customWidth="1"/>
    <col min="2" max="4" width="23.453125" style="261" customWidth="1"/>
    <col min="5" max="5" width="22.453125" style="261" customWidth="1"/>
    <col min="6" max="6" width="23.453125" style="261" customWidth="1"/>
    <col min="7" max="7" width="20.453125" style="324" customWidth="1"/>
    <col min="8" max="8" width="18.453125" style="324" customWidth="1"/>
    <col min="9" max="14" width="19.453125" style="261" customWidth="1"/>
    <col min="15" max="16" width="16.453125" style="261" customWidth="1"/>
    <col min="17" max="21" width="18.453125" style="261" customWidth="1"/>
    <col min="22" max="22" width="18.08984375" style="261" customWidth="1"/>
    <col min="23" max="34" width="17" style="261" customWidth="1"/>
    <col min="35" max="65" width="12.453125" style="261" customWidth="1"/>
    <col min="66" max="67" width="15.453125" style="261" customWidth="1"/>
    <col min="68" max="107" width="12.453125" style="261" customWidth="1"/>
    <col min="108" max="110" width="14.453125" style="261" customWidth="1"/>
    <col min="111" max="152" width="15.453125" style="261" customWidth="1"/>
    <col min="153" max="156" width="14.453125" style="261" customWidth="1"/>
    <col min="157" max="161" width="14.453125" style="117" customWidth="1"/>
    <col min="162" max="16384" width="9.08984375" style="261"/>
  </cols>
  <sheetData>
    <row r="1" spans="1:162" s="117" customFormat="1" ht="20.5" x14ac:dyDescent="0.35">
      <c r="A1" s="168"/>
      <c r="B1" s="168"/>
      <c r="C1" s="168"/>
      <c r="D1" s="168"/>
      <c r="E1" s="168"/>
      <c r="F1" s="168"/>
      <c r="G1" s="168"/>
      <c r="H1" s="168"/>
      <c r="I1" s="168"/>
      <c r="J1" s="168"/>
      <c r="K1" s="168"/>
      <c r="L1" s="168"/>
      <c r="M1" s="168"/>
    </row>
    <row r="2" spans="1:162" s="117" customFormat="1" x14ac:dyDescent="0.35">
      <c r="A2" s="261"/>
      <c r="B2" s="261"/>
      <c r="C2" s="261"/>
      <c r="D2" s="261"/>
      <c r="E2" s="261"/>
      <c r="F2" s="261"/>
      <c r="G2" s="261"/>
      <c r="H2" s="261"/>
      <c r="BU2" s="261"/>
    </row>
    <row r="3" spans="1:162" s="117" customFormat="1" ht="20.5" x14ac:dyDescent="0.35">
      <c r="A3" s="168"/>
      <c r="B3" s="168"/>
      <c r="C3" s="168"/>
      <c r="D3" s="168"/>
      <c r="E3" s="168"/>
      <c r="F3" s="168"/>
      <c r="G3" s="168"/>
      <c r="H3" s="168"/>
      <c r="I3" s="168"/>
      <c r="J3" s="168"/>
      <c r="K3" s="168"/>
      <c r="L3" s="168"/>
      <c r="M3" s="168"/>
      <c r="BU3" s="261"/>
    </row>
    <row r="4" spans="1:162" s="117" customFormat="1" ht="20.5" x14ac:dyDescent="0.35">
      <c r="A4" s="170"/>
      <c r="B4" s="170"/>
      <c r="C4" s="170"/>
      <c r="D4" s="170"/>
      <c r="E4" s="170"/>
      <c r="F4" s="170"/>
      <c r="G4" s="170"/>
      <c r="H4" s="170"/>
      <c r="I4" s="170"/>
      <c r="J4" s="170"/>
      <c r="K4" s="170"/>
      <c r="L4" s="170"/>
      <c r="M4" s="170"/>
      <c r="BL4" s="1092"/>
    </row>
    <row r="5" spans="1:162" s="117" customFormat="1" x14ac:dyDescent="0.35">
      <c r="A5" s="261"/>
      <c r="B5" s="261"/>
      <c r="C5" s="261"/>
      <c r="D5" s="261"/>
      <c r="E5" s="261"/>
      <c r="F5" s="261"/>
      <c r="G5" s="261"/>
      <c r="H5" s="261"/>
      <c r="BU5" s="261"/>
    </row>
    <row r="6" spans="1:162" s="117" customFormat="1" ht="20.5" x14ac:dyDescent="0.35">
      <c r="A6" s="168"/>
      <c r="B6" s="168"/>
      <c r="C6" s="168"/>
      <c r="D6" s="168"/>
      <c r="E6" s="168"/>
      <c r="F6" s="168"/>
      <c r="G6" s="168"/>
      <c r="H6" s="168"/>
      <c r="I6" s="168"/>
      <c r="J6" s="168"/>
      <c r="K6" s="168"/>
      <c r="L6" s="168"/>
      <c r="M6" s="168"/>
      <c r="BK6" s="1092"/>
      <c r="BP6" s="262"/>
      <c r="BR6" s="121"/>
      <c r="BS6" s="121"/>
      <c r="BT6" s="121"/>
      <c r="BU6" s="263"/>
    </row>
    <row r="7" spans="1:162" s="117" customFormat="1" ht="16" thickBot="1" x14ac:dyDescent="0.4">
      <c r="V7" s="1207"/>
      <c r="W7" s="1207"/>
      <c r="X7" s="1207"/>
      <c r="Y7" s="1207"/>
      <c r="Z7" s="1207"/>
      <c r="AA7" s="1207"/>
      <c r="AB7" s="117" t="s">
        <v>513</v>
      </c>
      <c r="AC7" s="117" t="s">
        <v>513</v>
      </c>
      <c r="AD7" s="117" t="s">
        <v>513</v>
      </c>
      <c r="AE7" s="117" t="s">
        <v>513</v>
      </c>
      <c r="AF7" s="117" t="s">
        <v>513</v>
      </c>
      <c r="AG7" s="117" t="s">
        <v>513</v>
      </c>
      <c r="AH7" s="117" t="s">
        <v>513</v>
      </c>
      <c r="AI7" s="117" t="s">
        <v>513</v>
      </c>
      <c r="AJ7" s="117" t="s">
        <v>513</v>
      </c>
      <c r="AK7" s="117" t="s">
        <v>513</v>
      </c>
      <c r="AL7" s="117" t="s">
        <v>513</v>
      </c>
      <c r="AM7" s="117" t="s">
        <v>513</v>
      </c>
      <c r="AN7" s="117" t="s">
        <v>512</v>
      </c>
      <c r="AT7" s="264"/>
      <c r="AU7" s="264"/>
      <c r="AV7" s="264"/>
      <c r="AW7" s="264"/>
      <c r="AX7" s="264"/>
      <c r="AY7" s="264"/>
      <c r="AZ7" s="264"/>
      <c r="BA7" s="264" t="s">
        <v>607</v>
      </c>
      <c r="BG7" s="117" t="s">
        <v>513</v>
      </c>
      <c r="BH7" s="117" t="s">
        <v>513</v>
      </c>
      <c r="BI7" s="117" t="s">
        <v>512</v>
      </c>
      <c r="BP7" s="1207"/>
      <c r="BQ7" s="1207"/>
      <c r="BR7" s="1207"/>
      <c r="BS7" s="1207"/>
      <c r="BT7" s="1207"/>
      <c r="BU7" s="1207"/>
      <c r="BV7" s="117" t="s">
        <v>513</v>
      </c>
      <c r="BW7" s="117" t="s">
        <v>513</v>
      </c>
      <c r="BX7" s="117" t="s">
        <v>513</v>
      </c>
      <c r="BY7" s="117" t="s">
        <v>513</v>
      </c>
      <c r="BZ7" s="117" t="s">
        <v>513</v>
      </c>
      <c r="CA7" s="117" t="s">
        <v>513</v>
      </c>
      <c r="CB7" s="117" t="s">
        <v>513</v>
      </c>
      <c r="CC7" s="117" t="s">
        <v>513</v>
      </c>
      <c r="CD7" s="117" t="s">
        <v>513</v>
      </c>
      <c r="CE7" s="117" t="s">
        <v>513</v>
      </c>
      <c r="CF7" s="117" t="s">
        <v>513</v>
      </c>
      <c r="CG7" s="117" t="s">
        <v>513</v>
      </c>
      <c r="CH7" s="117" t="s">
        <v>512</v>
      </c>
      <c r="CU7" s="264" t="s">
        <v>607</v>
      </c>
      <c r="DA7" s="117" t="s">
        <v>513</v>
      </c>
      <c r="DB7" s="117" t="s">
        <v>513</v>
      </c>
      <c r="DC7" s="117" t="s">
        <v>512</v>
      </c>
      <c r="DO7" s="117" t="s">
        <v>513</v>
      </c>
      <c r="DP7" s="117" t="s">
        <v>513</v>
      </c>
      <c r="DQ7" s="117" t="s">
        <v>513</v>
      </c>
      <c r="DR7" s="117" t="s">
        <v>513</v>
      </c>
      <c r="DS7" s="117" t="s">
        <v>513</v>
      </c>
      <c r="DT7" s="117" t="s">
        <v>513</v>
      </c>
      <c r="DU7" s="117" t="s">
        <v>513</v>
      </c>
      <c r="DV7" s="117" t="s">
        <v>513</v>
      </c>
      <c r="DW7" s="117" t="s">
        <v>513</v>
      </c>
      <c r="DX7" s="117" t="s">
        <v>513</v>
      </c>
      <c r="DY7" s="117" t="s">
        <v>513</v>
      </c>
      <c r="DZ7" s="117" t="s">
        <v>513</v>
      </c>
      <c r="EA7" s="117" t="s">
        <v>512</v>
      </c>
      <c r="EN7" s="264"/>
      <c r="ET7" s="117" t="s">
        <v>513</v>
      </c>
      <c r="EU7" s="117" t="s">
        <v>513</v>
      </c>
      <c r="EV7" s="117" t="s">
        <v>512</v>
      </c>
    </row>
    <row r="8" spans="1:162" s="117" customFormat="1" ht="16" thickBot="1" x14ac:dyDescent="0.4">
      <c r="E8" s="971" t="s">
        <v>608</v>
      </c>
      <c r="F8" s="972"/>
      <c r="G8" s="972"/>
      <c r="H8" s="972"/>
      <c r="I8" s="972"/>
      <c r="J8" s="972"/>
      <c r="K8" s="972"/>
      <c r="L8" s="972"/>
      <c r="M8" s="972"/>
      <c r="N8" s="972"/>
      <c r="O8" s="972"/>
      <c r="P8" s="972"/>
      <c r="Q8" s="972"/>
      <c r="R8" s="972"/>
      <c r="S8" s="973"/>
      <c r="T8" s="975" t="s">
        <v>515</v>
      </c>
      <c r="U8" s="975"/>
      <c r="V8" s="975"/>
      <c r="W8" s="975"/>
      <c r="X8" s="975"/>
      <c r="Y8" s="975"/>
      <c r="Z8" s="975"/>
      <c r="AA8" s="975"/>
      <c r="AB8" s="975"/>
      <c r="AC8" s="975"/>
      <c r="AD8" s="975"/>
      <c r="AE8" s="975"/>
      <c r="AF8" s="975"/>
      <c r="AG8" s="975"/>
      <c r="AH8" s="975"/>
      <c r="AI8" s="975"/>
      <c r="AJ8" s="975"/>
      <c r="AK8" s="975"/>
      <c r="AL8" s="975"/>
      <c r="AM8" s="975"/>
      <c r="AN8" s="975"/>
      <c r="AO8" s="975"/>
      <c r="AP8" s="975"/>
      <c r="AQ8" s="975"/>
      <c r="AR8" s="975"/>
      <c r="AS8" s="975"/>
      <c r="AT8" s="975"/>
      <c r="AU8" s="975"/>
      <c r="AV8" s="975"/>
      <c r="AW8" s="975"/>
      <c r="AX8" s="975"/>
      <c r="AY8" s="975"/>
      <c r="AZ8" s="975"/>
      <c r="BA8" s="975"/>
      <c r="BB8" s="975"/>
      <c r="BC8" s="975"/>
      <c r="BD8" s="975"/>
      <c r="BE8" s="975"/>
      <c r="BF8" s="975"/>
      <c r="BG8" s="975"/>
      <c r="BH8" s="975"/>
      <c r="BI8" s="975"/>
      <c r="BJ8" s="975"/>
      <c r="BK8" s="975"/>
      <c r="BL8" s="975"/>
      <c r="BM8" s="976"/>
      <c r="BN8" s="977" t="s">
        <v>516</v>
      </c>
      <c r="BO8" s="978"/>
      <c r="BP8" s="978"/>
      <c r="BQ8" s="978"/>
      <c r="BR8" s="978"/>
      <c r="BS8" s="978"/>
      <c r="BT8" s="978"/>
      <c r="BU8" s="978"/>
      <c r="BV8" s="978"/>
      <c r="BW8" s="978"/>
      <c r="BX8" s="978"/>
      <c r="BY8" s="978"/>
      <c r="BZ8" s="978"/>
      <c r="CA8" s="978"/>
      <c r="CB8" s="978"/>
      <c r="CC8" s="978"/>
      <c r="CD8" s="978"/>
      <c r="CE8" s="978"/>
      <c r="CF8" s="978"/>
      <c r="CG8" s="978"/>
      <c r="CH8" s="978"/>
      <c r="CI8" s="978"/>
      <c r="CJ8" s="978"/>
      <c r="CK8" s="978"/>
      <c r="CL8" s="978"/>
      <c r="CM8" s="978"/>
      <c r="CN8" s="978"/>
      <c r="CO8" s="978"/>
      <c r="CP8" s="978"/>
      <c r="CQ8" s="978"/>
      <c r="CR8" s="978"/>
      <c r="CS8" s="978"/>
      <c r="CT8" s="978"/>
      <c r="CU8" s="978"/>
      <c r="CV8" s="978"/>
      <c r="CW8" s="978"/>
      <c r="CX8" s="978"/>
      <c r="CY8" s="978"/>
      <c r="CZ8" s="978"/>
      <c r="DA8" s="978"/>
      <c r="DB8" s="978"/>
      <c r="DC8" s="978"/>
      <c r="DD8" s="978"/>
      <c r="DE8" s="978"/>
      <c r="DF8" s="979"/>
      <c r="DG8" s="980" t="s">
        <v>517</v>
      </c>
      <c r="DH8" s="981"/>
      <c r="DI8" s="981"/>
      <c r="DJ8" s="981"/>
      <c r="DK8" s="981"/>
      <c r="DL8" s="981"/>
      <c r="DM8" s="981"/>
      <c r="DN8" s="981"/>
      <c r="DO8" s="981"/>
      <c r="DP8" s="981"/>
      <c r="DQ8" s="981"/>
      <c r="DR8" s="981"/>
      <c r="DS8" s="981"/>
      <c r="DT8" s="981"/>
      <c r="DU8" s="981"/>
      <c r="DV8" s="981"/>
      <c r="DW8" s="981"/>
      <c r="DX8" s="981"/>
      <c r="DY8" s="981"/>
      <c r="DZ8" s="981"/>
      <c r="EA8" s="981"/>
      <c r="EB8" s="981"/>
      <c r="EC8" s="981"/>
      <c r="ED8" s="981"/>
      <c r="EE8" s="981"/>
      <c r="EF8" s="981"/>
      <c r="EG8" s="981"/>
      <c r="EH8" s="981"/>
      <c r="EI8" s="981"/>
      <c r="EJ8" s="981"/>
      <c r="EK8" s="981"/>
      <c r="EL8" s="981"/>
      <c r="EM8" s="981"/>
      <c r="EN8" s="981"/>
      <c r="EO8" s="981"/>
      <c r="EP8" s="981"/>
      <c r="EQ8" s="981"/>
      <c r="ER8" s="981"/>
      <c r="ES8" s="981"/>
      <c r="ET8" s="981"/>
      <c r="EU8" s="981"/>
      <c r="EV8" s="981"/>
      <c r="EW8" s="981"/>
      <c r="EX8" s="981"/>
      <c r="EY8" s="981"/>
      <c r="EZ8" s="981"/>
      <c r="FA8" s="985" t="s">
        <v>263</v>
      </c>
      <c r="FB8" s="986"/>
      <c r="FC8" s="986"/>
      <c r="FD8" s="986"/>
      <c r="FE8" s="987"/>
    </row>
    <row r="9" spans="1:162" s="117" customFormat="1" ht="16" hidden="1" thickBot="1" x14ac:dyDescent="0.4">
      <c r="A9" s="264" t="s">
        <v>519</v>
      </c>
      <c r="B9" s="264"/>
      <c r="E9" s="991"/>
      <c r="F9" s="992"/>
      <c r="G9" s="993" t="s">
        <v>609</v>
      </c>
      <c r="H9" s="993" t="s">
        <v>610</v>
      </c>
      <c r="I9" s="993" t="s">
        <v>611</v>
      </c>
      <c r="J9" s="993" t="s">
        <v>612</v>
      </c>
      <c r="K9" s="993" t="s">
        <v>613</v>
      </c>
      <c r="L9" s="993" t="s">
        <v>614</v>
      </c>
      <c r="M9" s="993" t="s">
        <v>615</v>
      </c>
      <c r="N9" s="993" t="s">
        <v>616</v>
      </c>
      <c r="O9" s="994" t="s">
        <v>617</v>
      </c>
      <c r="P9" s="993" t="s">
        <v>618</v>
      </c>
      <c r="Q9" s="993" t="s">
        <v>619</v>
      </c>
      <c r="R9" s="995" t="s">
        <v>620</v>
      </c>
      <c r="S9" s="265"/>
      <c r="T9" s="266" t="s">
        <v>621</v>
      </c>
      <c r="U9" s="267" t="s">
        <v>621</v>
      </c>
      <c r="V9" s="268" t="s">
        <v>512</v>
      </c>
      <c r="W9" s="269"/>
      <c r="X9" s="269"/>
      <c r="Y9" s="269"/>
      <c r="Z9" s="269"/>
      <c r="AA9" s="269"/>
      <c r="AB9" s="270"/>
      <c r="AC9" s="269"/>
      <c r="AD9" s="269"/>
      <c r="AE9" s="269"/>
      <c r="AF9" s="269"/>
      <c r="AG9" s="269"/>
      <c r="AH9" s="270"/>
      <c r="AI9" s="269"/>
      <c r="AJ9" s="269"/>
      <c r="AK9" s="269"/>
      <c r="AL9" s="269"/>
      <c r="AM9" s="269"/>
      <c r="AN9" s="270"/>
      <c r="AO9" s="269"/>
      <c r="AP9" s="269"/>
      <c r="AQ9" s="269"/>
      <c r="AR9" s="269"/>
      <c r="AS9" s="269"/>
      <c r="AT9" s="271"/>
      <c r="AU9" s="272"/>
      <c r="AV9" s="272"/>
      <c r="AW9" s="1336"/>
      <c r="AX9" s="270" t="s">
        <v>512</v>
      </c>
      <c r="AY9" s="1336"/>
      <c r="AZ9" s="1336"/>
      <c r="BA9" s="1336"/>
      <c r="BB9" s="270" t="s">
        <v>512</v>
      </c>
      <c r="BC9" s="269"/>
      <c r="BD9" s="269"/>
      <c r="BE9" s="273"/>
      <c r="BF9" s="274"/>
      <c r="BG9" s="275"/>
      <c r="BH9" s="275"/>
      <c r="BI9" s="276"/>
      <c r="BJ9" s="277" t="s">
        <v>622</v>
      </c>
      <c r="BK9" s="278" t="s">
        <v>623</v>
      </c>
      <c r="BL9" s="280" t="s">
        <v>186</v>
      </c>
      <c r="BM9" s="279" t="s">
        <v>624</v>
      </c>
      <c r="BN9" s="280" t="s">
        <v>186</v>
      </c>
      <c r="BO9" s="281" t="s">
        <v>186</v>
      </c>
      <c r="BP9" s="282" t="s">
        <v>512</v>
      </c>
      <c r="BQ9" s="283"/>
      <c r="BR9" s="283"/>
      <c r="BS9" s="283"/>
      <c r="BT9" s="283"/>
      <c r="BU9" s="283"/>
      <c r="BV9" s="282"/>
      <c r="BW9" s="283"/>
      <c r="BX9" s="283"/>
      <c r="BY9" s="283"/>
      <c r="BZ9" s="283"/>
      <c r="CA9" s="283"/>
      <c r="CB9" s="282"/>
      <c r="CC9" s="283"/>
      <c r="CD9" s="283"/>
      <c r="CE9" s="283"/>
      <c r="CF9" s="283"/>
      <c r="CG9" s="283"/>
      <c r="CH9" s="282"/>
      <c r="CI9" s="283"/>
      <c r="CJ9" s="283"/>
      <c r="CK9" s="284"/>
      <c r="CL9" s="284"/>
      <c r="CM9" s="284"/>
      <c r="CN9" s="285"/>
      <c r="CO9" s="286"/>
      <c r="CP9" s="286"/>
      <c r="CQ9" s="287"/>
      <c r="CR9" s="285"/>
      <c r="CS9" s="286"/>
      <c r="CT9" s="286"/>
      <c r="CU9" s="287"/>
      <c r="CV9" s="285" t="s">
        <v>512</v>
      </c>
      <c r="CW9" s="286"/>
      <c r="CX9" s="286"/>
      <c r="CY9" s="287"/>
      <c r="CZ9" s="288"/>
      <c r="DA9" s="283"/>
      <c r="DB9" s="283"/>
      <c r="DC9" s="289"/>
      <c r="DD9" s="290" t="s">
        <v>622</v>
      </c>
      <c r="DE9" s="291" t="s">
        <v>623</v>
      </c>
      <c r="DF9" s="292" t="s">
        <v>625</v>
      </c>
      <c r="DG9" s="293" t="s">
        <v>186</v>
      </c>
      <c r="DH9" s="267" t="s">
        <v>186</v>
      </c>
      <c r="DI9" s="294" t="s">
        <v>512</v>
      </c>
      <c r="DJ9" s="295"/>
      <c r="DK9" s="295"/>
      <c r="DL9" s="295"/>
      <c r="DM9" s="295"/>
      <c r="DN9" s="295"/>
      <c r="DO9" s="294"/>
      <c r="DP9" s="295"/>
      <c r="DQ9" s="295"/>
      <c r="DR9" s="295"/>
      <c r="DS9" s="295"/>
      <c r="DT9" s="295"/>
      <c r="DU9" s="294"/>
      <c r="DV9" s="295"/>
      <c r="DW9" s="295"/>
      <c r="DX9" s="295"/>
      <c r="DY9" s="295"/>
      <c r="DZ9" s="295"/>
      <c r="EA9" s="294"/>
      <c r="EB9" s="295"/>
      <c r="EC9" s="295"/>
      <c r="ED9" s="296"/>
      <c r="EE9" s="296"/>
      <c r="EF9" s="296"/>
      <c r="EG9" s="294"/>
      <c r="EH9" s="295"/>
      <c r="EI9" s="295"/>
      <c r="EJ9" s="297"/>
      <c r="EK9" s="294"/>
      <c r="EL9" s="295"/>
      <c r="EM9" s="295"/>
      <c r="EN9" s="297"/>
      <c r="EO9" s="294"/>
      <c r="EP9" s="295"/>
      <c r="EQ9" s="295"/>
      <c r="ER9" s="297"/>
      <c r="ES9" s="298"/>
      <c r="ET9" s="295"/>
      <c r="EU9" s="295"/>
      <c r="EV9" s="296"/>
      <c r="EW9" s="299" t="s">
        <v>626</v>
      </c>
      <c r="EX9" s="300" t="s">
        <v>627</v>
      </c>
      <c r="EY9" s="301" t="s">
        <v>628</v>
      </c>
      <c r="EZ9" s="1012"/>
      <c r="FA9" s="293" t="s">
        <v>621</v>
      </c>
      <c r="FB9" s="983" t="s">
        <v>621</v>
      </c>
      <c r="FC9" s="983" t="s">
        <v>621</v>
      </c>
      <c r="FD9" s="983" t="s">
        <v>621</v>
      </c>
      <c r="FE9" s="984" t="s">
        <v>621</v>
      </c>
      <c r="FF9" s="117" t="s">
        <v>512</v>
      </c>
    </row>
    <row r="10" spans="1:162" s="264" customFormat="1" ht="15" customHeight="1" x14ac:dyDescent="0.35">
      <c r="A10" s="1020"/>
      <c r="B10" s="1021"/>
      <c r="C10" s="1022"/>
      <c r="D10" s="1023"/>
      <c r="E10" s="989"/>
      <c r="F10" s="990"/>
      <c r="G10" s="990"/>
      <c r="H10" s="990"/>
      <c r="I10" s="990"/>
      <c r="J10" s="990"/>
      <c r="K10" s="990"/>
      <c r="L10" s="990"/>
      <c r="M10" s="990"/>
      <c r="N10" s="990"/>
      <c r="O10" s="988"/>
      <c r="P10" s="990"/>
      <c r="Q10" s="990"/>
      <c r="R10" s="990"/>
      <c r="S10" s="996"/>
      <c r="T10" s="997"/>
      <c r="U10" s="1337"/>
      <c r="V10" s="998" t="s">
        <v>629</v>
      </c>
      <c r="W10" s="999"/>
      <c r="X10" s="999"/>
      <c r="Y10" s="999"/>
      <c r="Z10" s="999"/>
      <c r="AA10" s="1000"/>
      <c r="AB10" s="998" t="s">
        <v>630</v>
      </c>
      <c r="AC10" s="999"/>
      <c r="AD10" s="999"/>
      <c r="AE10" s="999"/>
      <c r="AF10" s="999"/>
      <c r="AG10" s="999"/>
      <c r="AH10" s="998" t="s">
        <v>631</v>
      </c>
      <c r="AI10" s="999"/>
      <c r="AJ10" s="999"/>
      <c r="AK10" s="999"/>
      <c r="AL10" s="999"/>
      <c r="AM10" s="1000"/>
      <c r="AN10" s="998" t="s">
        <v>632</v>
      </c>
      <c r="AO10" s="999"/>
      <c r="AP10" s="999"/>
      <c r="AQ10" s="999"/>
      <c r="AR10" s="999"/>
      <c r="AS10" s="999"/>
      <c r="AT10" s="998" t="s">
        <v>633</v>
      </c>
      <c r="AU10" s="999"/>
      <c r="AV10" s="999"/>
      <c r="AW10" s="1000"/>
      <c r="AX10" s="999" t="s">
        <v>281</v>
      </c>
      <c r="AY10" s="999"/>
      <c r="AZ10" s="999"/>
      <c r="BA10" s="1000"/>
      <c r="BB10" s="999" t="s">
        <v>634</v>
      </c>
      <c r="BC10" s="999"/>
      <c r="BD10" s="999"/>
      <c r="BE10" s="999"/>
      <c r="BF10" s="998" t="s">
        <v>635</v>
      </c>
      <c r="BG10" s="999"/>
      <c r="BH10" s="999"/>
      <c r="BI10" s="1000"/>
      <c r="BJ10" s="998" t="s">
        <v>636</v>
      </c>
      <c r="BK10" s="999"/>
      <c r="BL10" s="999"/>
      <c r="BM10" s="1000"/>
      <c r="BN10" s="1001"/>
      <c r="BO10" s="1338"/>
      <c r="BP10" s="1002" t="s">
        <v>629</v>
      </c>
      <c r="BQ10" s="1003"/>
      <c r="BR10" s="1003"/>
      <c r="BS10" s="1003"/>
      <c r="BT10" s="1003"/>
      <c r="BU10" s="1004"/>
      <c r="BV10" s="1002" t="s">
        <v>630</v>
      </c>
      <c r="BW10" s="1003"/>
      <c r="BX10" s="1003"/>
      <c r="BY10" s="1003"/>
      <c r="BZ10" s="1003"/>
      <c r="CA10" s="1003"/>
      <c r="CB10" s="1002" t="s">
        <v>631</v>
      </c>
      <c r="CC10" s="1003"/>
      <c r="CD10" s="1003"/>
      <c r="CE10" s="1003"/>
      <c r="CF10" s="1003"/>
      <c r="CG10" s="1003"/>
      <c r="CH10" s="1002" t="s">
        <v>632</v>
      </c>
      <c r="CI10" s="1003"/>
      <c r="CJ10" s="1003"/>
      <c r="CK10" s="1003"/>
      <c r="CL10" s="1003"/>
      <c r="CM10" s="1003"/>
      <c r="CN10" s="1002" t="s">
        <v>633</v>
      </c>
      <c r="CO10" s="1003"/>
      <c r="CP10" s="1003"/>
      <c r="CQ10" s="1003"/>
      <c r="CR10" s="1002" t="s">
        <v>281</v>
      </c>
      <c r="CS10" s="1003"/>
      <c r="CT10" s="1003"/>
      <c r="CU10" s="1004"/>
      <c r="CV10" s="1002" t="s">
        <v>634</v>
      </c>
      <c r="CW10" s="1003"/>
      <c r="CX10" s="1003"/>
      <c r="CY10" s="1004"/>
      <c r="CZ10" s="1002" t="s">
        <v>635</v>
      </c>
      <c r="DA10" s="1003"/>
      <c r="DB10" s="1003"/>
      <c r="DC10" s="1004"/>
      <c r="DD10" s="1005" t="s">
        <v>636</v>
      </c>
      <c r="DE10" s="1006"/>
      <c r="DF10" s="1007"/>
      <c r="DG10" s="1008"/>
      <c r="DH10" s="1339"/>
      <c r="DI10" s="1009" t="s">
        <v>629</v>
      </c>
      <c r="DJ10" s="1010"/>
      <c r="DK10" s="1010"/>
      <c r="DL10" s="1010"/>
      <c r="DM10" s="1010"/>
      <c r="DN10" s="1011"/>
      <c r="DO10" s="1009" t="s">
        <v>630</v>
      </c>
      <c r="DP10" s="1010"/>
      <c r="DQ10" s="1010"/>
      <c r="DR10" s="1010"/>
      <c r="DS10" s="1010"/>
      <c r="DT10" s="1010"/>
      <c r="DU10" s="1009" t="s">
        <v>631</v>
      </c>
      <c r="DV10" s="1010"/>
      <c r="DW10" s="1010"/>
      <c r="DX10" s="1010"/>
      <c r="DY10" s="1010"/>
      <c r="DZ10" s="1011"/>
      <c r="EA10" s="1009" t="s">
        <v>632</v>
      </c>
      <c r="EB10" s="1010"/>
      <c r="EC10" s="1010"/>
      <c r="ED10" s="1010"/>
      <c r="EE10" s="1010"/>
      <c r="EF10" s="1010"/>
      <c r="EG10" s="1009" t="s">
        <v>633</v>
      </c>
      <c r="EH10" s="1010"/>
      <c r="EI10" s="1010"/>
      <c r="EJ10" s="1011"/>
      <c r="EK10" s="1010" t="s">
        <v>281</v>
      </c>
      <c r="EL10" s="1010"/>
      <c r="EM10" s="1010"/>
      <c r="EN10" s="1011"/>
      <c r="EO10" s="1010" t="s">
        <v>634</v>
      </c>
      <c r="EP10" s="1010"/>
      <c r="EQ10" s="1010"/>
      <c r="ER10" s="1010"/>
      <c r="ES10" s="1009" t="s">
        <v>635</v>
      </c>
      <c r="ET10" s="1010"/>
      <c r="EU10" s="1010"/>
      <c r="EV10" s="1011"/>
      <c r="EW10" s="1013" t="s">
        <v>636</v>
      </c>
      <c r="EX10" s="1014"/>
      <c r="EY10" s="1014"/>
      <c r="EZ10" s="1015"/>
      <c r="FA10" s="1017"/>
      <c r="FB10" s="1018"/>
      <c r="FC10" s="1018"/>
      <c r="FD10" s="1018"/>
      <c r="FE10" s="1019"/>
    </row>
    <row r="11" spans="1:162" s="117" customFormat="1" ht="79.5" x14ac:dyDescent="0.35">
      <c r="A11" s="1381"/>
      <c r="B11" s="1382" t="s">
        <v>544</v>
      </c>
      <c r="C11" s="1383" t="s">
        <v>545</v>
      </c>
      <c r="D11" s="1384" t="s">
        <v>546</v>
      </c>
      <c r="E11" s="1385" t="str">
        <f>'GHG Calcs'!U11</f>
        <v>Yr1 Annual Auto VMT Reduced (mi/yr)</v>
      </c>
      <c r="F11" s="1386" t="str">
        <f>'GHG Calcs'!W11</f>
        <v>YrF Annual Auto VMT Reduced (mi/yr)</v>
      </c>
      <c r="G11" s="1386" t="s">
        <v>637</v>
      </c>
      <c r="H11" s="1386" t="s">
        <v>638</v>
      </c>
      <c r="I11" s="1386" t="s">
        <v>639</v>
      </c>
      <c r="J11" s="1386" t="s">
        <v>640</v>
      </c>
      <c r="K11" s="1386" t="s">
        <v>641</v>
      </c>
      <c r="L11" s="1386" t="s">
        <v>642</v>
      </c>
      <c r="M11" s="1386" t="s">
        <v>643</v>
      </c>
      <c r="N11" s="1386" t="s">
        <v>644</v>
      </c>
      <c r="O11" s="1387" t="s">
        <v>645</v>
      </c>
      <c r="P11" s="1386" t="s">
        <v>646</v>
      </c>
      <c r="Q11" s="1386" t="s">
        <v>647</v>
      </c>
      <c r="R11" s="1386" t="s">
        <v>648</v>
      </c>
      <c r="S11" s="1388" t="s">
        <v>208</v>
      </c>
      <c r="T11" s="1389" t="s">
        <v>111</v>
      </c>
      <c r="U11" s="1390" t="s">
        <v>113</v>
      </c>
      <c r="V11" s="1391" t="s">
        <v>649</v>
      </c>
      <c r="W11" s="309" t="s">
        <v>650</v>
      </c>
      <c r="X11" s="309" t="s">
        <v>651</v>
      </c>
      <c r="Y11" s="309" t="s">
        <v>652</v>
      </c>
      <c r="Z11" s="309" t="s">
        <v>653</v>
      </c>
      <c r="AA11" s="310" t="s">
        <v>654</v>
      </c>
      <c r="AB11" s="1391" t="s">
        <v>649</v>
      </c>
      <c r="AC11" s="309" t="s">
        <v>650</v>
      </c>
      <c r="AD11" s="309" t="s">
        <v>651</v>
      </c>
      <c r="AE11" s="309" t="s">
        <v>652</v>
      </c>
      <c r="AF11" s="309" t="s">
        <v>653</v>
      </c>
      <c r="AG11" s="310" t="s">
        <v>654</v>
      </c>
      <c r="AH11" s="1391" t="s">
        <v>649</v>
      </c>
      <c r="AI11" s="309" t="s">
        <v>650</v>
      </c>
      <c r="AJ11" s="309" t="s">
        <v>651</v>
      </c>
      <c r="AK11" s="309" t="s">
        <v>652</v>
      </c>
      <c r="AL11" s="309" t="s">
        <v>653</v>
      </c>
      <c r="AM11" s="310" t="s">
        <v>654</v>
      </c>
      <c r="AN11" s="1391" t="s">
        <v>649</v>
      </c>
      <c r="AO11" s="309" t="s">
        <v>650</v>
      </c>
      <c r="AP11" s="309" t="s">
        <v>651</v>
      </c>
      <c r="AQ11" s="309" t="s">
        <v>652</v>
      </c>
      <c r="AR11" s="309" t="s">
        <v>653</v>
      </c>
      <c r="AS11" s="310" t="s">
        <v>654</v>
      </c>
      <c r="AT11" s="1391" t="s">
        <v>655</v>
      </c>
      <c r="AU11" s="309" t="s">
        <v>656</v>
      </c>
      <c r="AV11" s="309" t="s">
        <v>657</v>
      </c>
      <c r="AW11" s="310" t="s">
        <v>658</v>
      </c>
      <c r="AX11" s="1392" t="s">
        <v>655</v>
      </c>
      <c r="AY11" s="309" t="s">
        <v>656</v>
      </c>
      <c r="AZ11" s="309" t="s">
        <v>657</v>
      </c>
      <c r="BA11" s="310" t="s">
        <v>658</v>
      </c>
      <c r="BB11" s="1392" t="s">
        <v>659</v>
      </c>
      <c r="BC11" s="309" t="s">
        <v>660</v>
      </c>
      <c r="BD11" s="309" t="s">
        <v>661</v>
      </c>
      <c r="BE11" s="1393" t="s">
        <v>662</v>
      </c>
      <c r="BF11" s="1394" t="s">
        <v>663</v>
      </c>
      <c r="BG11" s="1395" t="s">
        <v>664</v>
      </c>
      <c r="BH11" s="1395" t="s">
        <v>665</v>
      </c>
      <c r="BI11" s="1396" t="s">
        <v>666</v>
      </c>
      <c r="BJ11" s="1394" t="s">
        <v>667</v>
      </c>
      <c r="BK11" s="1395" t="s">
        <v>668</v>
      </c>
      <c r="BL11" s="1397" t="s">
        <v>210</v>
      </c>
      <c r="BM11" s="1396" t="s">
        <v>669</v>
      </c>
      <c r="BN11" s="1398" t="s">
        <v>111</v>
      </c>
      <c r="BO11" s="1399" t="s">
        <v>113</v>
      </c>
      <c r="BP11" s="302" t="s">
        <v>649</v>
      </c>
      <c r="BQ11" s="303" t="s">
        <v>650</v>
      </c>
      <c r="BR11" s="303" t="s">
        <v>651</v>
      </c>
      <c r="BS11" s="303" t="s">
        <v>652</v>
      </c>
      <c r="BT11" s="303" t="s">
        <v>653</v>
      </c>
      <c r="BU11" s="304" t="s">
        <v>654</v>
      </c>
      <c r="BV11" s="302" t="s">
        <v>649</v>
      </c>
      <c r="BW11" s="303" t="s">
        <v>650</v>
      </c>
      <c r="BX11" s="303" t="s">
        <v>651</v>
      </c>
      <c r="BY11" s="303" t="s">
        <v>652</v>
      </c>
      <c r="BZ11" s="303" t="s">
        <v>653</v>
      </c>
      <c r="CA11" s="304" t="s">
        <v>654</v>
      </c>
      <c r="CB11" s="302" t="s">
        <v>649</v>
      </c>
      <c r="CC11" s="303" t="s">
        <v>650</v>
      </c>
      <c r="CD11" s="303" t="s">
        <v>651</v>
      </c>
      <c r="CE11" s="303" t="s">
        <v>652</v>
      </c>
      <c r="CF11" s="303" t="s">
        <v>653</v>
      </c>
      <c r="CG11" s="304" t="s">
        <v>654</v>
      </c>
      <c r="CH11" s="302" t="s">
        <v>649</v>
      </c>
      <c r="CI11" s="303" t="s">
        <v>650</v>
      </c>
      <c r="CJ11" s="303" t="s">
        <v>651</v>
      </c>
      <c r="CK11" s="303" t="s">
        <v>652</v>
      </c>
      <c r="CL11" s="303" t="s">
        <v>653</v>
      </c>
      <c r="CM11" s="304" t="s">
        <v>654</v>
      </c>
      <c r="CN11" s="1400" t="s">
        <v>655</v>
      </c>
      <c r="CO11" s="303" t="s">
        <v>656</v>
      </c>
      <c r="CP11" s="303" t="s">
        <v>657</v>
      </c>
      <c r="CQ11" s="304" t="s">
        <v>658</v>
      </c>
      <c r="CR11" s="302" t="s">
        <v>655</v>
      </c>
      <c r="CS11" s="303" t="s">
        <v>656</v>
      </c>
      <c r="CT11" s="303" t="s">
        <v>657</v>
      </c>
      <c r="CU11" s="304" t="s">
        <v>658</v>
      </c>
      <c r="CV11" s="302" t="s">
        <v>659</v>
      </c>
      <c r="CW11" s="303" t="s">
        <v>660</v>
      </c>
      <c r="CX11" s="303" t="s">
        <v>661</v>
      </c>
      <c r="CY11" s="304" t="s">
        <v>662</v>
      </c>
      <c r="CZ11" s="1401" t="s">
        <v>663</v>
      </c>
      <c r="DA11" s="1402" t="s">
        <v>664</v>
      </c>
      <c r="DB11" s="1402" t="s">
        <v>665</v>
      </c>
      <c r="DC11" s="1403" t="s">
        <v>666</v>
      </c>
      <c r="DD11" s="1404" t="s">
        <v>208</v>
      </c>
      <c r="DE11" s="1405" t="s">
        <v>209</v>
      </c>
      <c r="DF11" s="1406" t="s">
        <v>670</v>
      </c>
      <c r="DG11" s="1407" t="s">
        <v>111</v>
      </c>
      <c r="DH11" s="1408" t="s">
        <v>113</v>
      </c>
      <c r="DI11" s="1409" t="s">
        <v>671</v>
      </c>
      <c r="DJ11" s="318" t="s">
        <v>672</v>
      </c>
      <c r="DK11" s="318" t="s">
        <v>673</v>
      </c>
      <c r="DL11" s="318" t="s">
        <v>674</v>
      </c>
      <c r="DM11" s="318" t="s">
        <v>675</v>
      </c>
      <c r="DN11" s="305" t="s">
        <v>676</v>
      </c>
      <c r="DO11" s="1409" t="s">
        <v>671</v>
      </c>
      <c r="DP11" s="318" t="s">
        <v>672</v>
      </c>
      <c r="DQ11" s="318" t="s">
        <v>673</v>
      </c>
      <c r="DR11" s="318" t="s">
        <v>674</v>
      </c>
      <c r="DS11" s="318" t="s">
        <v>675</v>
      </c>
      <c r="DT11" s="305" t="s">
        <v>676</v>
      </c>
      <c r="DU11" s="1409" t="s">
        <v>671</v>
      </c>
      <c r="DV11" s="318" t="s">
        <v>672</v>
      </c>
      <c r="DW11" s="318" t="s">
        <v>673</v>
      </c>
      <c r="DX11" s="318" t="s">
        <v>674</v>
      </c>
      <c r="DY11" s="318" t="s">
        <v>675</v>
      </c>
      <c r="DZ11" s="305" t="s">
        <v>676</v>
      </c>
      <c r="EA11" s="1409" t="s">
        <v>671</v>
      </c>
      <c r="EB11" s="318" t="s">
        <v>672</v>
      </c>
      <c r="EC11" s="318" t="s">
        <v>673</v>
      </c>
      <c r="ED11" s="318" t="s">
        <v>674</v>
      </c>
      <c r="EE11" s="318" t="s">
        <v>675</v>
      </c>
      <c r="EF11" s="305" t="s">
        <v>676</v>
      </c>
      <c r="EG11" s="1409" t="s">
        <v>677</v>
      </c>
      <c r="EH11" s="318" t="s">
        <v>678</v>
      </c>
      <c r="EI11" s="318" t="s">
        <v>679</v>
      </c>
      <c r="EJ11" s="305" t="s">
        <v>680</v>
      </c>
      <c r="EK11" s="1410" t="s">
        <v>677</v>
      </c>
      <c r="EL11" s="318" t="s">
        <v>678</v>
      </c>
      <c r="EM11" s="318" t="s">
        <v>679</v>
      </c>
      <c r="EN11" s="305" t="s">
        <v>680</v>
      </c>
      <c r="EO11" s="1410" t="s">
        <v>681</v>
      </c>
      <c r="EP11" s="318" t="s">
        <v>682</v>
      </c>
      <c r="EQ11" s="318" t="s">
        <v>683</v>
      </c>
      <c r="ER11" s="1411" t="s">
        <v>684</v>
      </c>
      <c r="ES11" s="1412" t="s">
        <v>663</v>
      </c>
      <c r="ET11" s="1413" t="s">
        <v>664</v>
      </c>
      <c r="EU11" s="1413" t="s">
        <v>665</v>
      </c>
      <c r="EV11" s="1414" t="s">
        <v>666</v>
      </c>
      <c r="EW11" s="1412" t="s">
        <v>208</v>
      </c>
      <c r="EX11" s="1413" t="s">
        <v>209</v>
      </c>
      <c r="EY11" s="1415" t="s">
        <v>670</v>
      </c>
      <c r="EZ11" s="1414" t="s">
        <v>210</v>
      </c>
      <c r="FA11" s="1016" t="s">
        <v>685</v>
      </c>
      <c r="FB11" s="885" t="s">
        <v>686</v>
      </c>
      <c r="FC11" s="885" t="s">
        <v>687</v>
      </c>
      <c r="FD11" s="885" t="s">
        <v>688</v>
      </c>
      <c r="FE11" s="886" t="s">
        <v>689</v>
      </c>
    </row>
    <row r="12" spans="1:162" s="117" customFormat="1" x14ac:dyDescent="0.35">
      <c r="A12" s="1646">
        <v>1</v>
      </c>
      <c r="B12" s="1367">
        <v>1</v>
      </c>
      <c r="C12" s="1368">
        <v>1</v>
      </c>
      <c r="D12" s="1368" t="str">
        <f>'GHG Calcs'!D12</f>
        <v>E</v>
      </c>
      <c r="E12" s="1416" t="str">
        <f ca="1">'GHG Calcs'!U12</f>
        <v/>
      </c>
      <c r="F12" s="1416" t="str">
        <f ca="1">'GHG Calcs'!W12</f>
        <v/>
      </c>
      <c r="G12" s="1417" t="str">
        <f ca="1">IFERROR(VLOOKUP('GHG Calcs'!K12,'Auto C&amp;T EF'!$C$35:$K$2662,2,0)*E12,"")</f>
        <v/>
      </c>
      <c r="H12" s="1417" t="str">
        <f ca="1">IFERROR(VLOOKUP('GHG Calcs'!L12,'Auto C&amp;T EF'!$C$35:$K$2662,2,0)*F12,"")</f>
        <v/>
      </c>
      <c r="I12" s="1417" t="str">
        <f ca="1">IFERROR(VLOOKUP('GHG Calcs'!$K12,'Auto C&amp;T EF'!$C$35:$K$2662,3,0)*$E12,"")</f>
        <v/>
      </c>
      <c r="J12" s="1417" t="str">
        <f ca="1">IFERROR(VLOOKUP('GHG Calcs'!$L12,'Auto C&amp;T EF'!$C$35:$K$2662,3,0)*$F12,"")</f>
        <v/>
      </c>
      <c r="K12" s="1417" t="str">
        <f ca="1">IFERROR((VLOOKUP('GHG Calcs'!$K12,'Auto C&amp;T EF'!$C$35:$K$2662,5,0)+VLOOKUP('GHG Calcs'!$K12,'Auto C&amp;T EF'!$C$35:$K$2662,6,0)+VLOOKUP('GHG Calcs'!$K12,'Auto C&amp;T EF'!$C$35:$K$2662,7,0))*$E12,"")</f>
        <v/>
      </c>
      <c r="L12" s="1417" t="str">
        <f ca="1">IFERROR((VLOOKUP('GHG Calcs'!$L12,'Auto C&amp;T EF'!$C$35:$K$2662,5,0)+VLOOKUP('GHG Calcs'!$L12,'Auto C&amp;T EF'!$C$35:$K$2662,6,0)+VLOOKUP('GHG Calcs'!$L12,'Auto C&amp;T EF'!$C$35:$K$2662,7,0))*$F12,"")</f>
        <v/>
      </c>
      <c r="M12" s="1417" t="str">
        <f ca="1">IFERROR(VLOOKUP('GHG Calcs'!$K12,'Auto C&amp;T EF'!$C$35:$K$2662,8,0)*$E12,"")</f>
        <v/>
      </c>
      <c r="N12" s="1417" t="str">
        <f ca="1">IFERROR(VLOOKUP('GHG Calcs'!$L12,'Auto C&amp;T EF'!$C$35:$K$2662,8,0)*$F12,"")</f>
        <v/>
      </c>
      <c r="O12" s="1418">
        <f ca="1">IFERROR(AVERAGE(G12:H12)*('GHG Calcs'!I12-'GHG Calcs'!H12),0)</f>
        <v>0</v>
      </c>
      <c r="P12" s="1418">
        <f ca="1">IFERROR(AVERAGE(I12:J12)*('GHG Calcs'!I12-'GHG Calcs'!H12),0)</f>
        <v>0</v>
      </c>
      <c r="Q12" s="1418">
        <f ca="1">IFERROR(AVERAGE(K12:L12)*('GHG Calcs'!I12-'GHG Calcs'!H12),0)</f>
        <v>0</v>
      </c>
      <c r="R12" s="1418">
        <f ca="1">IFERROR(AVERAGE(M12:N12)*('GHG Calcs'!I12-'GHG Calcs'!H12),0)</f>
        <v>0</v>
      </c>
      <c r="S12" s="1418">
        <f ca="1">IFERROR(AVERAGE(E12*VLOOKUP('GHG Calcs'!K12,'Auto C&amp;T EF'!$C$35:$L$2662,10,0),F12*VLOOKUP('GHG Calcs'!L12,'Auto C&amp;T EF'!$C$35:$L$2662,10,0))*('GHG Calcs'!I12-'GHG Calcs'!H12),0)</f>
        <v>0</v>
      </c>
      <c r="T12" s="1379">
        <f ca="1">INDIRECT("'Quantifiable Component "&amp;$B12&amp;"'!"&amp;$D12&amp;ROW('Quantifiable Component 1'!$47:$47))</f>
        <v>0</v>
      </c>
      <c r="U12" s="1379">
        <f ca="1">INDIRECT("'Quantifiable Component "&amp;$B12&amp;"'!"&amp;$D12&amp;ROW('Quantifiable Component 1'!$48:$48))</f>
        <v>0</v>
      </c>
      <c r="V12" s="306" t="str">
        <f ca="1">IFERROR(IF('GHG Calcs'!$AD12="Gasoline",VLOOKUP('GHG Calcs'!$AH12,'Bus C&amp;T EF'!$D$30:$V$2315,3,0),IF(OR('GHG Calcs'!$AD12="CNG",'GHG Calcs'!$AD12="LNG",'GHG Calcs'!$AD12="Renewable Natural Gas"),VLOOKUP('GHG Calcs'!$AH12,'Bus C&amp;T EF'!$D$30:$V$2315,4,0),VLOOKUP('GHG Calcs'!$AH12,'Bus C&amp;T EF'!$D$30:$V$2315,2,0)))/IF('GHG Calcs'!AE12&gt;0,$BF12,1),"")</f>
        <v/>
      </c>
      <c r="W12" s="306" t="str">
        <f ca="1">IFERROR(IF('GHG Calcs'!$AD12="Gasoline",VLOOKUP('GHG Calcs'!$AH12,'Bus C&amp;T EF'!$D$30:$V$2315,6,0),IF(OR('GHG Calcs'!$AD12="CNG",'GHG Calcs'!$AD12="LNG",'GHG Calcs'!$AD12="Renewable Natural Gas"),VLOOKUP('GHG Calcs'!$AH12,'Bus C&amp;T EF'!$D$30:$V$2315,7,0),VLOOKUP('GHG Calcs'!$AH12,'Bus C&amp;T EF'!$D$30:$V$2315,5,0)))/IF('GHG Calcs'!AE12&gt;0,$BF12,1),"")</f>
        <v/>
      </c>
      <c r="X12" s="1419" t="str">
        <f ca="1">IFERROR(IF('GHG Calcs'!$AD12="Gasoline",VLOOKUP('GHG Calcs'!$AH12,'Bus C&amp;T EF'!$D$30:$V$2315,9,0),IF(OR('GHG Calcs'!$AD12="CNG",'GHG Calcs'!$AD12="LNG",'GHG Calcs'!$AD12="Renewable Natural Gas"),VLOOKUP('GHG Calcs'!$AH12,'Bus C&amp;T EF'!$D$30:$V$2315,10,0),VLOOKUP('GHG Calcs'!$AH12,'Bus C&amp;T EF'!$D$30:$V$2315,8,0)))/IF('GHG Calcs'!AE12&gt;0,$BF12,1),"")</f>
        <v/>
      </c>
      <c r="Y12" s="1419" t="str">
        <f ca="1">IFERROR(IF('GHG Calcs'!$AD12="Gasoline",VLOOKUP('GHG Calcs'!$AH12,'Bus C&amp;T EF'!$D$30:$V$2315,12,0),IF(OR('GHG Calcs'!$AD12="CNG",'GHG Calcs'!$AD12="LNG",'GHG Calcs'!$AD12="Renewable Natural Gas"),VLOOKUP('GHG Calcs'!$AH12,'Bus C&amp;T EF'!$D$30:$V$2315,13,0),IF(OR('GHG Calcs'!$AD12="Electric",'GHG Calcs'!$AD12="Hydrogen Fuel Cell",'GHG Calcs'!$AD12="Renewable Electricity"),VLOOKUP('GHG Calcs'!$AH12,'Bus C&amp;T EF'!$D$30:$V$2315,14,0),VLOOKUP('GHG Calcs'!$AH12,'Bus C&amp;T EF'!$D$30:$V$2315,11,0))))/IF('GHG Calcs'!AE12&gt;0,$BF12,1),"")</f>
        <v/>
      </c>
      <c r="Z12" s="1419" t="str">
        <f ca="1">IFERROR(IF('GHG Calcs'!$AD12="Gasoline",VLOOKUP('GHG Calcs'!$AH12,'Bus C&amp;T EF'!$D$30:$V$2315,16,0),IF(OR('GHG Calcs'!$AD12="CNG",'GHG Calcs'!$AD12="LNG",'GHG Calcs'!$AD12="Renewable Natural Gas"),VLOOKUP('GHG Calcs'!$AH12,'Bus C&amp;T EF'!$D$30:$V$2315,17,0),IF(OR('GHG Calcs'!$AD12="Electric",'GHG Calcs'!$AD12="Hydrogen Fuel Cell",'GHG Calcs'!$AD12="Renewable Electricity"),VLOOKUP('GHG Calcs'!$AH12,'Bus C&amp;T EF'!$D$30:$V$2315,18,0),VLOOKUP('GHG Calcs'!$AH12,'Bus C&amp;T EF'!$D$30:$V$2315,15,0))))/IF('GHG Calcs'!AE12&gt;0,$BF12,1),"")</f>
        <v/>
      </c>
      <c r="AA12" s="306" t="str">
        <f ca="1">IFERROR(IF('GHG Calcs'!$AD12="Gasoline",0,VLOOKUP('GHG Calcs'!$AH12,'Bus C&amp;T EF'!$D$30:$V$2315,19,0))/IF('GHG Calcs'!AE12&gt;0,$BF12,1),"")</f>
        <v/>
      </c>
      <c r="AB12" s="1419" t="str">
        <f ca="1">IFERROR(IF(OR('GHG Calcs'!$AD12="Diesel",'GHG Calcs'!$AD12="Renewable Diesel",'GHG Calcs'!$AD12="Biodiesel"),VLOOKUP('GHG Calcs'!$AH12,'Van C&amp;T EF'!$D$30:$Q$2315,2,0),VLOOKUP('GHG Calcs'!$AH12,'Van C&amp;T EF'!$D$30:$Q$2315,3,0))/IF('GHG Calcs'!AE12&gt;0,$BG12,1),"")</f>
        <v/>
      </c>
      <c r="AC12" s="1419" t="str">
        <f ca="1">IFERROR(IF(OR('GHG Calcs'!$AD12="Diesel",'GHG Calcs'!$AD12="Renewable Diesel",'GHG Calcs'!$AD12="Biodiesel"),VLOOKUP('GHG Calcs'!$AH12,'Van C&amp;T EF'!$D$30:$Q$2315,4,0),VLOOKUP('GHG Calcs'!$AH12,'Van C&amp;T EF'!$D$30:$Q$2315,5,0))/IF('GHG Calcs'!AE12&gt;0,$BG12,1),"")</f>
        <v/>
      </c>
      <c r="AD12" s="1419" t="str">
        <f ca="1">IFERROR(IF(OR('GHG Calcs'!$AD12="Diesel",'GHG Calcs'!$AD12="Renewable Diesel",'GHG Calcs'!$AD12="Biodiesel"),VLOOKUP('GHG Calcs'!$AH12,'Van C&amp;T EF'!$D$30:$Q$2315,6,0),VLOOKUP('GHG Calcs'!$AH12,'Van C&amp;T EF'!$D$30:$Q$2315,7,0))/IF('GHG Calcs'!AE12&gt;0,$BG12,1),"")</f>
        <v/>
      </c>
      <c r="AE12" s="1419" t="str">
        <f ca="1">IFERROR(IF(OR('GHG Calcs'!$AD12="Diesel",'GHG Calcs'!$AD12="Renewable Diesel",'GHG Calcs'!$AD12="Biodiesel"),VLOOKUP('GHG Calcs'!$AH12,'Van C&amp;T EF'!$D$30:$Q$2315,8,0),IF(OR('GHG Calcs'!$AD12="Electric",'GHG Calcs'!$AD12="Hydrogen Fuel Cell",'GHG Calcs'!$AD12="Renewable Electricity"),VLOOKUP('GHG Calcs'!$AH12,'Van C&amp;T EF'!$D$30:$Q$2315,10,0),VLOOKUP('GHG Calcs'!$AH12,'Van C&amp;T EF'!$D$30:$Q$2315,9,0)))/IF('GHG Calcs'!AE12&gt;0,$BG12,1),"")</f>
        <v/>
      </c>
      <c r="AF12" s="1419" t="str">
        <f ca="1">IFERROR(IF(OR('GHG Calcs'!$AD12="Diesel",'GHG Calcs'!$AD12="Renewable Diesel",'GHG Calcs'!$AD12="Biodiesel"),VLOOKUP('GHG Calcs'!$AH12,'Van C&amp;T EF'!$D$30:$Q$2315,11,0),IF(OR('GHG Calcs'!$AD12="Electric",'GHG Calcs'!$AD12="Hydrogen Fuel Cell",'GHG Calcs'!$AD12="Renewable Electricity"),VLOOKUP('GHG Calcs'!$AH12,'Van C&amp;T EF'!$D$30:$Q$2315,13,0),VLOOKUP('GHG Calcs'!$AH12,'Van C&amp;T EF'!$D$30:$Q$2315,12,0)))/IF('GHG Calcs'!AE12&gt;0,$BG12,1),"")</f>
        <v/>
      </c>
      <c r="AG12" s="306">
        <f ca="1">IFERROR(IF(OR('GHG Calcs'!$AD12="Diesel",'GHG Calcs'!$AD12="Biodiesel",'GHG Calcs'!$AD12="Renewable Diesel"),VLOOKUP('GHG Calcs'!$AH12,'Van C&amp;T EF'!$D$30:$Q$2315,14,0),0)/IF('GHG Calcs'!AE12&gt;0,$BG12,1),"")</f>
        <v>0</v>
      </c>
      <c r="AH12" s="1419" t="str">
        <f ca="1">IFERROR(IF(OR('GHG Calcs'!$AD12="Diesel",'GHG Calcs'!$AD12="Renewable Diesel",'GHG Calcs'!$AD12="Biodiesel"),VLOOKUP('GHG Calcs'!$AH12,'Shuttle C&amp;T EF'!$D$30:$Q$2315,2,0),VLOOKUP('GHG Calcs'!$AH12,'Shuttle C&amp;T EF'!$D$30:$Q$2315,3,0))/IF('GHG Calcs'!AE12&gt;0,$BH12,1),"")</f>
        <v/>
      </c>
      <c r="AI12" s="1419" t="str">
        <f ca="1">IFERROR(IF(OR('GHG Calcs'!$AD12="Diesel",'GHG Calcs'!$AD12="Renewable Diesel",'GHG Calcs'!$AD12="Biodiesel"),VLOOKUP('GHG Calcs'!$AH12,'Shuttle C&amp;T EF'!$D$30:$Q$2315,4,0),VLOOKUP('GHG Calcs'!$AH12,'Shuttle C&amp;T EF'!$D$30:$Q$2315,5,0))/IF('GHG Calcs'!AE12&gt;0,$BH12,1),"")</f>
        <v/>
      </c>
      <c r="AJ12" s="1419" t="str">
        <f ca="1">IFERROR(IF(OR('GHG Calcs'!$AD12="Diesel",'GHG Calcs'!$AD12="Renewable Diesel",'GHG Calcs'!$AD12="Biodiesel"),VLOOKUP('GHG Calcs'!$AH12,'Shuttle C&amp;T EF'!$D$30:$Q$2315,6,0),VLOOKUP('GHG Calcs'!$AH12,'Shuttle C&amp;T EF'!$D$30:$Q$2315,7,0))/IF('GHG Calcs'!AE12&gt;0,$BH12,1),"")</f>
        <v/>
      </c>
      <c r="AK12" s="1419" t="str">
        <f ca="1">IFERROR(IF(OR('GHG Calcs'!$AD12="Diesel",'GHG Calcs'!$AD12="Renewable Diesel",'GHG Calcs'!$AD12="Biodiesel"),VLOOKUP('GHG Calcs'!$AH12,'Shuttle C&amp;T EF'!$D$30:$Q$2315,8,0),IF(OR('GHG Calcs'!$AD12="Electric",'GHG Calcs'!$AD12="Hydrogen Fuel Cell",'GHG Calcs'!$AD12="Renewable Electricity"),VLOOKUP('GHG Calcs'!$AH12,'Shuttle C&amp;T EF'!$D$30:$Q$2315,10,0),VLOOKUP('GHG Calcs'!$AH12,'Shuttle C&amp;T EF'!$D$30:$Q$2315,9,0)))/IF('GHG Calcs'!AE12&gt;0,$BH12,1),"")</f>
        <v/>
      </c>
      <c r="AL12" s="1419" t="str">
        <f ca="1">IFERROR(IF(OR('GHG Calcs'!$AD12="Diesel",'GHG Calcs'!$AD12="Renewable Diesel",'GHG Calcs'!$AD12="Biodiesel"),VLOOKUP('GHG Calcs'!$AH12,'Shuttle C&amp;T EF'!$D$30:$Q$2315,11,0),IF(OR('GHG Calcs'!$AD12="Electric",'GHG Calcs'!$AD12="Hydrogen Fuel Cell",'GHG Calcs'!$AD12="Renewable Electricity"),VLOOKUP('GHG Calcs'!$AH12,'Shuttle C&amp;T EF'!$D$30:$Q$2315,13,0),VLOOKUP('GHG Calcs'!$AH12,'Shuttle C&amp;T EF'!$D$30:$Q$2315,12,0)))/IF('GHG Calcs'!AE12&gt;0,$BH12,1),"")</f>
        <v/>
      </c>
      <c r="AM12" s="1419">
        <f ca="1">IFERROR(IF(OR('GHG Calcs'!$AD12="Diesel",'GHG Calcs'!$AD12="Biodiesel",'GHG Calcs'!$AD12="Renewable Diesel"),VLOOKUP('GHG Calcs'!$AH12,'Shuttle C&amp;T EF'!$D$30:$Q$2315,14,0),0)/IF('GHG Calcs'!AE12&gt;0,$BH12,1),"")</f>
        <v>0</v>
      </c>
      <c r="AN12" s="306" t="str">
        <f ca="1">IFERROR((VLOOKUP('GHG Calcs'!$AH12,'Over-Road Coach C&amp;T EF'!$D$29:$N$2314,2,0)+VLOOKUP('GHG Calcs'!$AH12,'Over-Road Coach C&amp;T EF'!$D$29:$N$2314,3,0))/IF('GHG Calcs'!AE12&gt;0,$BI12,1),"")</f>
        <v/>
      </c>
      <c r="AO12" s="306" t="str">
        <f ca="1">IFERROR((VLOOKUP('GHG Calcs'!$AH12,'Over-Road Coach C&amp;T EF'!$D$29:$N$2314,4,0)+VLOOKUP('GHG Calcs'!$AH12,'Over-Road Coach C&amp;T EF'!$D$29:$N$2314,5,0))/IF('GHG Calcs'!AE12&gt;0,$BI12,1),"")</f>
        <v/>
      </c>
      <c r="AP12" s="306" t="str">
        <f ca="1">IFERROR((VLOOKUP('GHG Calcs'!$AH12,'Over-Road Coach C&amp;T EF'!$D$29:$N$2314,6,0)+VLOOKUP('GHG Calcs'!$AH12,'Over-Road Coach C&amp;T EF'!$D$29:$N$2314,7,0))/IF('GHG Calcs'!AE12&gt;0,$BI12,1),"")</f>
        <v/>
      </c>
      <c r="AQ12" s="306" t="str">
        <f ca="1">IFERROR(VLOOKUP('GHG Calcs'!$AH12,'Over-Road Coach C&amp;T EF'!$D$29:$N$2314,8,0)/IF('GHG Calcs'!AE12&gt;0,$BI12,1),"")</f>
        <v/>
      </c>
      <c r="AR12" s="306" t="str">
        <f ca="1">IFERROR(VLOOKUP('GHG Calcs'!$AH12,'Over-Road Coach C&amp;T EF'!$D$29:$N$2314,9,0)/IF('GHG Calcs'!AE12&gt;0,$BI12,1),"")</f>
        <v/>
      </c>
      <c r="AS12" s="306" t="str">
        <f ca="1">IFERROR((VLOOKUP('GHG Calcs'!$AH12,'Over-Road Coach C&amp;T EF'!$D$29:$N$2314,10,0)+VLOOKUP('GHG Calcs'!$AH12,'Over-Road Coach C&amp;T EF'!$D$29:$N$2314,11,0))/IF('GHG Calcs'!AE12&gt;0,$BI12,1),"")</f>
        <v/>
      </c>
      <c r="AT12" s="306" t="str">
        <f ca="1">IFERROR(VLOOKUP(T12,'Co-Benefit Calcs'!$E$76:$I$83,2,0)/IF('GHG Calcs'!$AE12&gt;0,'Rail C&amp;T EF'!$K$14,1),"")</f>
        <v/>
      </c>
      <c r="AU12" s="306" t="str">
        <f ca="1">IFERROR(VLOOKUP(T12,'Co-Benefit Calcs'!$E$76:$I$83,3,0)/IF('GHG Calcs'!$AE12&gt;0,'Rail C&amp;T EF'!$K$14,1),"")</f>
        <v/>
      </c>
      <c r="AV12" s="306" t="str">
        <f ca="1">IFERROR(VLOOKUP(T12,'Co-Benefit Calcs'!$E$76:$I$83,4,0)/IF('GHG Calcs'!$AE12&gt;0,'Rail C&amp;T EF'!$K$14,1),"")</f>
        <v/>
      </c>
      <c r="AW12" s="306" t="str">
        <f ca="1">IFERROR(IF('GHG Calcs'!$AD12="Gasoline",0,VLOOKUP(T12,'Co-Benefit Calcs'!$E$76:$I$83,5,0))/IF('GHG Calcs'!$AE12&gt;0,'Rail C&amp;T EF'!$K$14,1),"")</f>
        <v/>
      </c>
      <c r="AX12" s="306" t="str">
        <f ca="1">IFERROR(VLOOKUP('GHG Calcs'!$AG12,'Rail C&amp;T EF'!$A$43:$Y$133,IF(U12&gt;750,23, IF(U12&gt;=600,20, IF(U12&gt;=300,17, IF(U12&gt;=175,14, IF(U12&gt;=100,11, IF(U12&gt;=75,8, IF(U12&gt;=50,5, 2))))))),0) * IF($U12&gt;=750,'Rail C&amp;T EF'!$K$18,'Rail C&amp;T EF'!$K$19) * IF('GHG Calcs'!$AE12&gt;0,1,'Rail C&amp;T EF'!$B$149) * IF(OR('GHG Calcs'!AD12="Diesel", 'GHG Calcs'!AD12="Renewable Diesel", 'GHG Calcs'!AD12="Biodiesel"),'Rail C&amp;T EF'!$B$141,'Rail C&amp;T EF'!$B$142),"")</f>
        <v/>
      </c>
      <c r="AY12" s="306" t="str">
        <f ca="1">IFERROR(VLOOKUP('GHG Calcs'!$AG12,'Rail C&amp;T EF'!$A$43:$Y$133,IF(U12&gt;750,24, IF(U12&gt;=600,21, IF(U12&gt;=300,18, IF(U12&gt;=175,15, IF(U12&gt;=100,12, IF(U12&gt;=75,9, IF(U12&gt;=50,6, 3))))))),0) * IF($U12&gt;=750,'Rail C&amp;T EF'!$K$18,'Rail C&amp;T EF'!$K$19) * IF('GHG Calcs'!$AE12&gt;0,1,'Rail C&amp;T EF'!$B$149),"")</f>
        <v/>
      </c>
      <c r="AZ12" s="306" t="str">
        <f ca="1">IFERROR(VLOOKUP('GHG Calcs'!$AG12,'Rail C&amp;T EF'!$A$43:$Y$133,IF(U12&gt;750,25, IF(U12&gt;=600,22, IF(U12&gt;=300,19, IF(U12&gt;=175,16, IF(U12&gt;=100,13, IF(U12&gt;=75,10, IF(U12&gt;=50,7, 4))))))),0) * IF($U12&gt;=750,'Rail C&amp;T EF'!$K$18,'Rail C&amp;T EF'!$K$19) * IF('GHG Calcs'!$AE12&gt;0,1,'Rail C&amp;T EF'!$B$149)*'Rail C&amp;T EF'!$B$146,"")</f>
        <v/>
      </c>
      <c r="BA12" s="306" t="str">
        <f ca="1">IFERROR(IF('GHG Calcs'!$AD12="Gasoline",0,VLOOKUP('GHG Calcs'!$AG12,'Rail C&amp;T EF'!$A$43:$Y$133,IF(U12&gt;750,25, IF(U12&gt;=600,22, IF(U12&gt;=300,19, IF(U12&gt;=175,16, IF(U12&gt;=100,13, IF(U12&gt;=75,10, IF(U12&gt;=50,7, 4))))))),0) * IF($U12&gt;=750,'Rail C&amp;T EF'!$K$18,'Rail C&amp;T EF'!$K$19) * IF('GHG Calcs'!$AE12&gt;0,1,'Rail C&amp;T EF'!$B$149)),"")</f>
        <v/>
      </c>
      <c r="BB12" s="306" t="str">
        <f ca="1">IFERROR(VLOOKUP('GHG Calcs'!$AG12,'Ferry C&amp;T EF'!$A$106:$AK$196,IF(U12&gt;=3301,35, IF(U12&gt;=1901,31, IF(U12&gt;=751,27, IF(U12&gt;=501,23, IF(U12&gt;=251,19, IF(U12&gt;=176,15, IF(U12&gt;=121,11, IF(U12&gt;=51,7, 3)))))))),0),"")</f>
        <v/>
      </c>
      <c r="BC12" s="306" t="str">
        <f ca="1">IFERROR(VLOOKUP('GHG Calcs'!$AG12,'Ferry C&amp;T EF'!$A$106:$AK$196,IF(U12&gt;=3301,34, IF(U12&gt;=1901,30, IF(U12&gt;=751,26, IF(U12&gt;=501,22, IF(U12&gt;=251,18, IF(U12&gt;=176,14, IF(U12&gt;=121,10, IF(U12&gt;=51,6, 2)))))))),0),"")</f>
        <v/>
      </c>
      <c r="BD12" s="306" t="str">
        <f ca="1">IFERROR(VLOOKUP('GHG Calcs'!$AG12,'Ferry C&amp;T EF'!$A$106:$AK$196,IF(U12&gt;=3301,37, IF(U12&gt;=1901,33, IF(U12&gt;=751,29, IF(U12&gt;=501,25, IF(U12&gt;=251,21, IF(U12&gt;=176,17, IF(U12&gt;=121,13, IF(U12&gt;=51,9, 5)))))))),0),"")</f>
        <v/>
      </c>
      <c r="BE12" s="306" t="str">
        <f ca="1">IFERROR(IF('GHG Calcs'!$AD12="Gasoline",0,VLOOKUP('GHG Calcs'!$AG12,'Ferry C&amp;T EF'!$A$106:$AK$196,IF(U12&gt;=3301,36, IF(U12&gt;=1901,32, IF(U12&gt;=751,28, IF(U12&gt;=501,24, IF(U12&gt;=251,20, IF(U12&gt;=176,16, IF(U12&gt;=121,12, IF(U12&gt;=51,8, 4)))))))),0)),"")</f>
        <v/>
      </c>
      <c r="BF12" s="1419" t="str">
        <f ca="1">IFERROR(IF('GHG Calcs'!$AD12="Gasoline",VLOOKUP('GHG Calcs'!$AH12,'Fuel Consumption'!$A$31:$L$2316,3,0),IF(OR('GHG Calcs'!$AD12="CNG",'GHG Calcs'!$AD12="LNG",'GHG Calcs'!$AD12="Renewable Natural Gas"),VLOOKUP('GHG Calcs'!$AH12,'Fuel Consumption'!$A$31:$L$2316,4,0)*VLOOKUP('GHG Calcs'!$AD12,'GHG EF'!$B$10:$H$19,4,0),VLOOKUP('GHG Calcs'!$AH12,'Fuel Consumption'!$A$31:$L$2316,2,0)*VLOOKUP('GHG Calcs'!$AD12,'GHG EF'!$B$10:$H$19,4,0))),"")</f>
        <v/>
      </c>
      <c r="BG12" s="1419" t="str">
        <f ca="1">IFERROR(IF(OR('GHG Calcs'!$AD12="Diesel",'GHG Calcs'!$AD12="Renewable Diesel",'GHG Calcs'!$AD12="Biodiesel"),VLOOKUP('GHG Calcs'!$AH12,'Fuel Consumption'!$A$31:$L$2316,6,0)*VLOOKUP('GHG Calcs'!$AD12,'GHG EF'!$B$10:$H$19,4,0),VLOOKUP('GHG Calcs'!$AH12,'Fuel Consumption'!$A$31:$L$2316,7,0)*VLOOKUP('GHG Calcs'!$AD12,'GHG EF'!$B$10:$H$19,5,0)),"")</f>
        <v/>
      </c>
      <c r="BH12" s="1419" t="str">
        <f ca="1">IFERROR(IF(OR('GHG Calcs'!$AD12="Diesel",'GHG Calcs'!$AD12="Renewable Diesel",'GHG Calcs'!$AD12="Biodiesel"),VLOOKUP('GHG Calcs'!$AH12,'Fuel Consumption'!$A$31:$L$2316,9,0)*VLOOKUP('GHG Calcs'!$AD12,'GHG EF'!$B$10:$H$19,4,0),VLOOKUP('GHG Calcs'!$AH12,'Fuel Consumption'!$A$31:$L$2316,10,0)*VLOOKUP('GHG Calcs'!$AD12,'GHG EF'!$B$10:$H$19,5,0)),"")</f>
        <v/>
      </c>
      <c r="BI12" s="1419" t="str">
        <f ca="1">IFERROR(VLOOKUP('GHG Calcs'!$AH12,'Fuel Consumption'!$A$31:$L$2316,12,0)*VLOOKUP('GHG Calcs'!$AD12,'GHG EF'!$B$10:$H$19,4,0),"")</f>
        <v/>
      </c>
      <c r="BJ12" s="1373" t="str">
        <f ca="1">IFERROR(IF(OR('GHG Calcs'!AD12=Defaults!$I$3, 'GHG Calcs'!AD12=Defaults!$I$4, 'GHG Calcs'!AD12=Defaults!$I$6, 'GHG Calcs'!AD12=Defaults!$I$8), IF('GHG Calcs'!AE12&gt;0,'GHG Calcs'!AE12*IF('GHG Calcs'!AD12=Defaults!$I$3,'GHG EF'!$C$11/'GHG EF'!$C$12,1),'GHG Calcs'!AK12*'GHG Calcs'!AI12),"")*('GHG Calcs'!I12-'GHG Calcs'!H12),"")</f>
        <v/>
      </c>
      <c r="BK12" s="1373" t="str">
        <f ca="1">IFERROR(IF('GHG Calcs'!AD12=Defaults!$I$5,IF('GHG Calcs'!AE12&gt;0,'GHG Calcs'!AE12,'GHG Calcs'!AJ12*'GHG Calcs'!AI12),"")*IF('GHG Calcs'!AF12&lt;'GHG EF'!$D$13,'GHG Calcs'!AF12/'GHG EF'!$D$13,1)*IF('GHG Calcs'!AF12&lt;0,0,1)*('GHG Calcs'!I12-'GHG Calcs'!H12),"")</f>
        <v/>
      </c>
      <c r="BL12" s="1373" t="str">
        <f ca="1">IFERROR(IF('GHG Calcs'!AD12=Defaults!$I$11, IF(IF('GHG Calcs'!AE12&gt;0,'GHG Calcs'!AE12,'GHG Calcs'!AJ12*'GHG Calcs'!AI12)&lt;INDIRECT("'"&amp;#REF!&amp;"'!"&amp;$D12&amp;ROW(#REF!)), IF('GHG Calcs'!AE12&gt;0,'GHG Calcs'!AE12,'GHG Calcs'!AJ12*'GHG Calcs'!AI12), INDIRECT("'"&amp;#REF!&amp;"'!"&amp;$D12&amp;ROW(#REF!))),"")*('GHG Calcs'!I12-'GHG Calcs'!H12),"")</f>
        <v/>
      </c>
      <c r="BM12" s="1420" t="str">
        <f ca="1">IFERROR(IF('GHG Calcs'!AE12&gt;0,'GHG Calcs'!AE12,'GHG Calcs'!AL12*'GHG Calcs'!AI12)*VLOOKUP('GHG Calcs'!AD12,'Fuel &amp; Travel Costs'!$B$10:$C$19,2,0)*('GHG Calcs'!I12-'GHG Calcs'!H12),"")</f>
        <v/>
      </c>
      <c r="BN12" s="306">
        <f ca="1">INDIRECT("'Quantifiable Component "&amp;$B12&amp;"'!"&amp;$D12&amp;ROW('Quantifiable Component 1'!$59:$59))</f>
        <v>0</v>
      </c>
      <c r="BO12" s="306">
        <f ca="1">INDIRECT("'Quantifiable Component "&amp;$B12&amp;"'!"&amp;$D12&amp;ROW('Quantifiable Component 1'!$60:$60))</f>
        <v>0</v>
      </c>
      <c r="BP12" s="1421" t="str">
        <f ca="1">IFERROR(IF('GHG Calcs'!$BD12="Gasoline",VLOOKUP('GHG Calcs'!$BL12,'Bus C&amp;T EF'!$D$30:$V$2315,3,0),IF(OR('GHG Calcs'!$BD12="CNG",'GHG Calcs'!$BD12="LNG",'GHG Calcs'!$BD12="Renewable Natural Gas"),VLOOKUP('GHG Calcs'!$BL12,'Bus C&amp;T EF'!$D$30:$V$2315,4,0),VLOOKUP('GHG Calcs'!$BL12,'Bus C&amp;T EF'!$D$30:$V$2315,2,0)))/IF('GHG Calcs'!BE12&gt;0,$CZ12,1),"")</f>
        <v/>
      </c>
      <c r="BQ12" s="1419" t="str">
        <f ca="1">IFERROR(IF('GHG Calcs'!$BD12="Gasoline",VLOOKUP('GHG Calcs'!$BL12,'Bus C&amp;T EF'!$D$30:$V$2315,6,0),IF(OR('GHG Calcs'!$BD12="CNG",'GHG Calcs'!$BD12="LNG",'GHG Calcs'!$BD12="Renewable Natural Gas"),VLOOKUP('GHG Calcs'!$BL12,'Bus C&amp;T EF'!$D$30:$V$2315,7,0),VLOOKUP('GHG Calcs'!$BL12,'Bus C&amp;T EF'!$D$30:$V$2315,5,0)))/IF('GHG Calcs'!BE12&gt;0,$CZ12,1),"")</f>
        <v/>
      </c>
      <c r="BR12" s="1419" t="str">
        <f ca="1">IFERROR(IF('GHG Calcs'!$BD12="Gasoline",VLOOKUP('GHG Calcs'!$BL12,'Bus C&amp;T EF'!$D$30:$V$2315,9,0),IF(OR('GHG Calcs'!$BD12="CNG",'GHG Calcs'!$BD12="LNG",'GHG Calcs'!$BD12="Renewable Natural Gas"),VLOOKUP('GHG Calcs'!$BL12,'Bus C&amp;T EF'!$D$30:$V$2315,10,0),VLOOKUP('GHG Calcs'!$BL12,'Bus C&amp;T EF'!$D$30:$V$2315,8,0)))/IF('GHG Calcs'!BE12&gt;0,$CZ12,1),"")</f>
        <v/>
      </c>
      <c r="BS12" s="1419" t="str">
        <f ca="1">IFERROR(IF('GHG Calcs'!$BD12="Gasoline",VLOOKUP('GHG Calcs'!$BL12,'Bus C&amp;T EF'!$D$30:$V$2315,12,0),IF(OR('GHG Calcs'!$BD12="CNG",'GHG Calcs'!$BD12="LNG",'GHG Calcs'!$BD12="Renewable Natural Gas"),VLOOKUP('GHG Calcs'!$BL12,'Bus C&amp;T EF'!$D$30:$V$2315,13,0),IF(OR('GHG Calcs'!$BD12="Electric",'GHG Calcs'!$BD12="Hydrogen Fuel Cell",'GHG Calcs'!$BD12="Renewable Electricity"),VLOOKUP('GHG Calcs'!$BL12,'Bus C&amp;T EF'!$D$30:$V$2315,14,0),VLOOKUP('GHG Calcs'!$BL12,'Bus C&amp;T EF'!$D$30:$V$2315,11,0))))/IF('GHG Calcs'!BE12&gt;0,$CZ12,1),"")</f>
        <v/>
      </c>
      <c r="BT12" s="1419" t="str">
        <f ca="1">IFERROR(IF('GHG Calcs'!$BD12="Gasoline",VLOOKUP('GHG Calcs'!$BL12,'Bus C&amp;T EF'!$D$30:$V$2315,16,0),IF(OR('GHG Calcs'!$BD12="CNG",'GHG Calcs'!$BD12="LNG",'GHG Calcs'!$BD12="Renewable Natural Gas"),VLOOKUP('GHG Calcs'!$BL12,'Bus C&amp;T EF'!$D$30:$V$2315,17,0),IF(OR('GHG Calcs'!$BD12="Electric",'GHG Calcs'!$BD12="Hydrogen Fuel Cell",'GHG Calcs'!$BD12="Renewable Electricity"),VLOOKUP('GHG Calcs'!$BL12,'Bus C&amp;T EF'!$D$30:$V$2315,18,0),VLOOKUP('GHG Calcs'!$BL12,'Bus C&amp;T EF'!$D$30:$V$2315,15,0))))/IF('GHG Calcs'!BE12&gt;0,$CZ12,1),"")</f>
        <v/>
      </c>
      <c r="BU12" s="306" t="str">
        <f ca="1">IFERROR(IF('GHG Calcs'!$BD12="Gasoline",0,VLOOKUP('GHG Calcs'!$BL12,'Bus C&amp;T EF'!$D$30:$V$2315,19,0))/IF('GHG Calcs'!BE12&gt;0,$CZ12,1),"")</f>
        <v/>
      </c>
      <c r="BV12" s="1419" t="str">
        <f ca="1">IFERROR(IF(OR('GHG Calcs'!$BD12="Diesel",'GHG Calcs'!$BD12="Renewable Diesel",'GHG Calcs'!$BD12="Biodiesel"),VLOOKUP('GHG Calcs'!$BL12,'Van C&amp;T EF'!$D$30:$Q$2315,2,0),VLOOKUP('GHG Calcs'!$BL12,'Van C&amp;T EF'!$D$30:$Q$2315,3,0))/IF('GHG Calcs'!BE12&gt;0,$DA12,1),"")</f>
        <v/>
      </c>
      <c r="BW12" s="1419" t="str">
        <f ca="1">IFERROR(IF(OR('GHG Calcs'!$BD12="Diesel",'GHG Calcs'!$BD12="Renewable Diesel",'GHG Calcs'!$BD12="Biodiesel"),VLOOKUP('GHG Calcs'!$BL12,'Van C&amp;T EF'!$D$30:$Q$2315,4,0),VLOOKUP('GHG Calcs'!$BL12,'Van C&amp;T EF'!$D$30:$Q$2315,5,0))/IF('GHG Calcs'!BE12&gt;0,$DA12,1),"")</f>
        <v/>
      </c>
      <c r="BX12" s="1419" t="str">
        <f ca="1">IFERROR(IF(OR('GHG Calcs'!$BD12="Diesel",'GHG Calcs'!$BD12="Renewable Diesel",'GHG Calcs'!$BD12="Biodiesel"),VLOOKUP('GHG Calcs'!$BL12,'Van C&amp;T EF'!$D$30:$Q$2315,6,0),VLOOKUP('GHG Calcs'!$BL12,'Van C&amp;T EF'!$D$30:$Q$2315,7,0))/IF('GHG Calcs'!BE12&gt;0,$DA12,1),"")</f>
        <v/>
      </c>
      <c r="BY12" s="1419" t="str">
        <f ca="1">IFERROR(IF(OR('GHG Calcs'!$BD12="Diesel",'GHG Calcs'!$BD12="Renewable Diesel",'GHG Calcs'!$BD12="Biodiesel"),VLOOKUP('GHG Calcs'!$BL12,'Van C&amp;T EF'!$D$30:$Q$2315,8,0),IF(OR('GHG Calcs'!$BD12="Electric",'GHG Calcs'!$BD12="Hydrogen Fuel Cell",'GHG Calcs'!$BD12="Renewable Electricity"),VLOOKUP('GHG Calcs'!$BL12,'Van C&amp;T EF'!$D$30:$Q$2315,10,0),VLOOKUP('GHG Calcs'!$BL12,'Van C&amp;T EF'!$D$30:$Q$2315,9,0)))/IF('GHG Calcs'!BE12&gt;0,$DA12,1),"")</f>
        <v/>
      </c>
      <c r="BZ12" s="1419" t="str">
        <f ca="1">IFERROR(IF(OR('GHG Calcs'!$BD12="Diesel",'GHG Calcs'!$BD12="Renewable Diesel",'GHG Calcs'!$BD12="Biodiesel"),VLOOKUP('GHG Calcs'!$BL12,'Van C&amp;T EF'!$D$30:$Q$2315,11,0),IF(OR('GHG Calcs'!$BD12="Electric",'GHG Calcs'!$BD12="Hydrogen Fuel Cell",'GHG Calcs'!$BD12="Renewable Electricity"),VLOOKUP('GHG Calcs'!$BL12,'Van C&amp;T EF'!$D$30:$Q$2315,13,0),VLOOKUP('GHG Calcs'!$BL12,'Van C&amp;T EF'!$D$30:$Q$2315,12,0)))/IF('GHG Calcs'!BE12&gt;0,$DA12,1),"")</f>
        <v/>
      </c>
      <c r="CA12" s="306">
        <f ca="1">IFERROR(IF(OR('GHG Calcs'!$BD12="Diesel",'GHG Calcs'!$BD12="Biodiesel",'GHG Calcs'!$BD12="Renewable Diesel"),VLOOKUP('GHG Calcs'!$BL12,'Van C&amp;T EF'!$D$30:$Q$2315,14,0),0)/IF('GHG Calcs'!BE12&gt;0,$DA12,1),"")</f>
        <v>0</v>
      </c>
      <c r="CB12" s="1419" t="str">
        <f ca="1">IFERROR(IF(OR('GHG Calcs'!$BD12="Diesel",'GHG Calcs'!$BD12="Renewable Diesel",'GHG Calcs'!$BD12="Biodiesel"),VLOOKUP('GHG Calcs'!$BL12,'Shuttle C&amp;T EF'!$D$30:$Q$2315,2,0),VLOOKUP('GHG Calcs'!$BL12,'Shuttle C&amp;T EF'!$D$30:$Q$2315,3,0))/IF('GHG Calcs'!BE12&gt;0,$DB12,1),"")</f>
        <v/>
      </c>
      <c r="CC12" s="1419" t="str">
        <f ca="1">IFERROR(IF(OR('GHG Calcs'!$BD12="Diesel",'GHG Calcs'!$BD12="Renewable Diesel",'GHG Calcs'!$BD12="Biodiesel"),VLOOKUP('GHG Calcs'!$BL12,'Shuttle C&amp;T EF'!$D$30:$Q$2315,4,0),VLOOKUP('GHG Calcs'!$BL12,'Shuttle C&amp;T EF'!$D$30:$Q$2315,5,0))/IF('GHG Calcs'!BE12&gt;0,$DB12,1),"")</f>
        <v/>
      </c>
      <c r="CD12" s="1419" t="str">
        <f ca="1">IFERROR(IF(OR('GHG Calcs'!$BD12="Diesel",'GHG Calcs'!$BD12="Renewable Diesel",'GHG Calcs'!$BD12="Biodiesel"),VLOOKUP('GHG Calcs'!$BL12,'Shuttle C&amp;T EF'!$D$30:$Q$2315,6,0),VLOOKUP('GHG Calcs'!$BL12,'Shuttle C&amp;T EF'!$D$30:$Q$2315,7,0))/IF('GHG Calcs'!BE12&gt;0,$DB12,1),"")</f>
        <v/>
      </c>
      <c r="CE12" s="1419" t="str">
        <f ca="1">IFERROR(IF(OR('GHG Calcs'!$BD12="Diesel",'GHG Calcs'!$BD12="Renewable Diesel",'GHG Calcs'!$BD12="Biodiesel"),VLOOKUP('GHG Calcs'!$BL12,'Shuttle C&amp;T EF'!$D$30:$Q$2315,8,0),IF(OR('GHG Calcs'!$BD12="Electric",'GHG Calcs'!$BD12="Hydrogen Fuel Cell",'GHG Calcs'!$BD12="Renewable Electricity"),VLOOKUP('GHG Calcs'!$BL12,'Shuttle C&amp;T EF'!$D$30:$Q$2315,10,0),VLOOKUP('GHG Calcs'!$BL12,'Shuttle C&amp;T EF'!$D$30:$Q$2315,9,0)))/IF('GHG Calcs'!BE12&gt;0,$DB12,1),"")</f>
        <v/>
      </c>
      <c r="CF12" s="1419" t="str">
        <f ca="1">IFERROR(IF(OR('GHG Calcs'!$BD12="Diesel",'GHG Calcs'!$BD12="Renewable Diesel",'GHG Calcs'!$BD12="Biodiesel"),VLOOKUP('GHG Calcs'!$BL12,'Shuttle C&amp;T EF'!$D$30:$Q$2315,11,0),IF(OR('GHG Calcs'!$BD12="Electric",'GHG Calcs'!$BD12="Hydrogen Fuel Cell",'GHG Calcs'!$BD12="Renewable Electricity"),VLOOKUP('GHG Calcs'!$BL12,'Shuttle C&amp;T EF'!$D$30:$Q$2315,13,0),VLOOKUP('GHG Calcs'!$BL12,'Shuttle C&amp;T EF'!$D$30:$Q$2315,12,0)))/IF('GHG Calcs'!BE12&gt;0,$DB12,1),"")</f>
        <v/>
      </c>
      <c r="CG12" s="1419">
        <f ca="1">IFERROR(IF(OR('GHG Calcs'!$BD12="Diesel",'GHG Calcs'!$BD12="Biodiesel",'GHG Calcs'!$BD12="Renewable Diesel"),VLOOKUP('GHG Calcs'!$BL12,'Shuttle C&amp;T EF'!$D$30:$Q$2315,14,0),0)/IF('GHG Calcs'!BE12&gt;0,$DB12,1),"")</f>
        <v>0</v>
      </c>
      <c r="CH12" s="306" t="str">
        <f ca="1">IFERROR((VLOOKUP('GHG Calcs'!$BL12,'Over-Road Coach C&amp;T EF'!$D$29:$N$2314,2,0)+VLOOKUP('GHG Calcs'!$BL12,'Over-Road Coach C&amp;T EF'!$D$29:$N$2314,3,0))/IF('GHG Calcs'!BE12&gt;0,$DC12,1),"")</f>
        <v/>
      </c>
      <c r="CI12" s="306" t="str">
        <f ca="1">IFERROR((VLOOKUP('GHG Calcs'!$BL12,'Over-Road Coach C&amp;T EF'!$D$29:$N$2314,4,0)+VLOOKUP('GHG Calcs'!$BL12,'Over-Road Coach C&amp;T EF'!$D$29:$N$2314,5,0))/IF('GHG Calcs'!BE12&gt;0,$DC12,1),"")</f>
        <v/>
      </c>
      <c r="CJ12" s="306" t="str">
        <f ca="1">IFERROR((VLOOKUP('GHG Calcs'!$BL12,'Over-Road Coach C&amp;T EF'!$D$29:$N$2314,6,0)+VLOOKUP('GHG Calcs'!$BL12,'Over-Road Coach C&amp;T EF'!$D$29:$N$2314,7,0))/IF('GHG Calcs'!BE12&gt;0,$DC12,1),"")</f>
        <v/>
      </c>
      <c r="CK12" s="306" t="str">
        <f ca="1">IFERROR(VLOOKUP('GHG Calcs'!$BL12,'Over-Road Coach C&amp;T EF'!$D$29:$N$2314,8,0)/IF('GHG Calcs'!BE12&gt;0,$DC12,1),"")</f>
        <v/>
      </c>
      <c r="CL12" s="306" t="str">
        <f ca="1">IFERROR(VLOOKUP('GHG Calcs'!$BL12,'Over-Road Coach C&amp;T EF'!$D$29:$N$2314,9,0)/IF('GHG Calcs'!BE12&gt;0,$DC12,1),"")</f>
        <v/>
      </c>
      <c r="CM12" s="306" t="str">
        <f ca="1">IFERROR((VLOOKUP('GHG Calcs'!$BL12,'Over-Road Coach C&amp;T EF'!$D$29:$N$2314,10,0)+VLOOKUP('GHG Calcs'!$BL12,'Over-Road Coach C&amp;T EF'!$D$29:$N$2314,11,0))/IF('GHG Calcs'!BE12&gt;0,$DC12,1),"")</f>
        <v/>
      </c>
      <c r="CN12" s="306" t="str">
        <f ca="1">IFERROR(VLOOKUP(BN12,'Co-Benefit Calcs'!$E$76:$I$83,2,0)/IF('GHG Calcs'!$BE12&gt;0,'Rail C&amp;T EF'!$K$14,1),"")</f>
        <v/>
      </c>
      <c r="CO12" s="306" t="str">
        <f ca="1">IFERROR(VLOOKUP(BN12,'Co-Benefit Calcs'!$E$76:$I$83,3,0)/IF('GHG Calcs'!$BE12&gt;0,'Rail C&amp;T EF'!$K$14,1),"")</f>
        <v/>
      </c>
      <c r="CP12" s="306" t="str">
        <f ca="1">IFERROR(VLOOKUP(BN12,'Co-Benefit Calcs'!$E$76:$I$83,4,0)/IF('GHG Calcs'!$BE12&gt;0,'Rail C&amp;T EF'!$K$14,1),"")</f>
        <v/>
      </c>
      <c r="CQ12" s="306" t="str">
        <f ca="1">IFERROR(IF('GHG Calcs'!$BD12="Gasoline",0,VLOOKUP(BN12,'Co-Benefit Calcs'!$E$76:$I$83,5,0))/IF('GHG Calcs'!$BE12&gt;0,'Rail C&amp;T EF'!$K$14,1),"")</f>
        <v/>
      </c>
      <c r="CR12" s="306" t="str">
        <f ca="1">IFERROR(VLOOKUP('GHG Calcs'!$BG12,'Rail C&amp;T EF'!$A$43:$Y$133,IF(BO12&gt;750,23, IF(BO12&gt;=600,20, IF(BO12&gt;=300,17, IF(BO12&gt;=175,14, IF(BO12&gt;=100,11, IF(BO12&gt;=75,8, IF(BO12&gt;=50,5, 2))))))),0) * IF($BO12&gt;=750,'Rail C&amp;T EF'!$K$18,'Rail C&amp;T EF'!$K$19) * IF('GHG Calcs'!BE12&gt;0,1,'Rail C&amp;T EF'!$B$149) * IF(OR('GHG Calcs'!BD12="Diesel", 'GHG Calcs'!BD12="Renewable Diesel", 'GHG Calcs'!BD12="Biodiesel"),'Rail C&amp;T EF'!$B$141,'Rail C&amp;T EF'!$B$142),"")</f>
        <v/>
      </c>
      <c r="CS12" s="306" t="str">
        <f ca="1">IFERROR(VLOOKUP('GHG Calcs'!$BG12,'Rail C&amp;T EF'!$A$43:$Y$133,IF(BO12&gt;750,24, IF(BO12&gt;=600,21, IF(BO12&gt;=300,18, IF(BO12&gt;=175,15, IF(BO12&gt;=100,12, IF(BO12&gt;=75,9, IF(BO12&gt;=50,6, 3))))))),0) * IF($BO12&gt;=750,'Rail C&amp;T EF'!$K$18,'Rail C&amp;T EF'!$K$19) * IF('GHG Calcs'!$BE12&gt;0,1,'Rail C&amp;T EF'!$B$149),"")</f>
        <v/>
      </c>
      <c r="CT12" s="306" t="str">
        <f ca="1">IFERROR(VLOOKUP('GHG Calcs'!$BG12,'Rail C&amp;T EF'!$A$43:$Y$133,IF(BO12&gt;750,25, IF(BO12&gt;=600,22, IF(BO12&gt;=300,19, IF(BO12&gt;=175,16, IF(BO12&gt;=100,13, IF(BO12&gt;=75,10, IF(BO12&gt;=50,7, 4))))))),0) * IF($BO12&gt;=750,'Rail C&amp;T EF'!$K$18,'Rail C&amp;T EF'!$K$19) * IF('GHG Calcs'!$BE12&gt;0,1,'Rail C&amp;T EF'!$B$149)*'Rail C&amp;T EF'!$B$146,"")</f>
        <v/>
      </c>
      <c r="CU12" s="306" t="str">
        <f ca="1">IFERROR(IF('GHG Calcs'!BD12="Gasoline",0,VLOOKUP('GHG Calcs'!$BG12,'Rail C&amp;T EF'!$A$43:$Y$133,IF(BO12&gt;750,25, IF(BO12&gt;=600,22, IF(BO12&gt;=300,19, IF(BO12&gt;=175,16, IF(BO12&gt;=100,13, IF(BO12&gt;=75,10, IF(BO12&gt;=50,7, 4))))))),0) * IF($BO12&gt;=750,'Rail C&amp;T EF'!$K$18,'Rail C&amp;T EF'!$K$19) * IF('GHG Calcs'!$BE12&gt;0,1,'Rail C&amp;T EF'!$B$149)),"")</f>
        <v/>
      </c>
      <c r="CV12" s="306" t="str">
        <f ca="1">IFERROR(VLOOKUP('GHG Calcs'!$BG12,'Ferry C&amp;T EF'!$A$106:$AK$196,IF(BO12&gt;=3301,35, IF(BO12&gt;=1901,31, IF(BO12&gt;=751,27, IF(BO12&gt;=501,23, IF(BO12&gt;=251,19, IF(BO12&gt;=176,15, IF(BO12&gt;=121,11, IF(BO12&gt;=51,7, 3)))))))),0),"")</f>
        <v/>
      </c>
      <c r="CW12" s="306" t="str">
        <f ca="1">IFERROR(VLOOKUP('GHG Calcs'!$BG12,'Ferry C&amp;T EF'!$A$106:$AK$196,IF(BO12&gt;=3301,34, IF(BO12&gt;=1901,30, IF(BO12&gt;=751,26, IF(BO12&gt;=501,22, IF(BO12&gt;=251,18, IF(BO12&gt;=176,14, IF(BO12&gt;=121,10, IF(BO12&gt;=51,6, 2)))))))),0),"")</f>
        <v/>
      </c>
      <c r="CX12" s="306" t="str">
        <f ca="1">IFERROR(VLOOKUP('GHG Calcs'!$BG12,'Ferry C&amp;T EF'!$A$106:$AK$196,IF(BO12&gt;=3301,37, IF(BO12&gt;=1901,33, IF(BO12&gt;=751,29, IF(BO12&gt;=501,25, IF(BO12&gt;=251,21, IF(BO12&gt;=176,17, IF(BO12&gt;=121,13, IF(BO12&gt;=51,9, 5)))))))),0),"")</f>
        <v/>
      </c>
      <c r="CY12" s="306" t="str">
        <f ca="1">IFERROR(IF('GHG Calcs'!$BD12="Gasoline",0,VLOOKUP('GHG Calcs'!$BG12,'Ferry C&amp;T EF'!$A$106:$AK$196,IF(BO12&gt;=3301,36, IF(BO12&gt;=1901,32, IF(BO12&gt;=751,28, IF(BO12&gt;=501,24, IF(BO12&gt;=251,20, IF(BO12&gt;=176,16, IF(BO12&gt;=121,12, IF(BO12&gt;=51,8, 4)))))))),0)),"")</f>
        <v/>
      </c>
      <c r="CZ12" s="1419" t="str">
        <f ca="1">IFERROR(IF('GHG Calcs'!$BD12="Gasoline",VLOOKUP('GHG Calcs'!$BL12,'Fuel Consumption'!$A$31:$L$2316,3,0),IF(OR('GHG Calcs'!$BD12="CNG",'GHG Calcs'!$BD12="LNG",'GHG Calcs'!$BD12="Renewable Natural Gas"),VLOOKUP('GHG Calcs'!$BL12,'Fuel Consumption'!$A$31:$L$2316,4,0)*VLOOKUP('GHG Calcs'!$BD12,'GHG EF'!$B$10:$H$19,4,0),VLOOKUP('GHG Calcs'!$BL12,'Fuel Consumption'!$A$31:$L$2316,2,0)*VLOOKUP('GHG Calcs'!$AD12,'GHG EF'!$B$10:$H$19,4,0))),"")</f>
        <v/>
      </c>
      <c r="DA12" s="1419" t="str">
        <f ca="1">IFERROR(IF(OR('GHG Calcs'!$BD12="Diesel",'GHG Calcs'!$BD12="Renewable Diesel",'GHG Calcs'!$BD12="Biodiesel"),VLOOKUP('GHG Calcs'!$BL12,'Fuel Consumption'!$A$31:$L$2316,6,0)*VLOOKUP('GHG Calcs'!$BD12,'GHG EF'!$B$10:$H$19,4,0),VLOOKUP('GHG Calcs'!$BL12,'Fuel Consumption'!$A$31:$L$2316,7,0)*VLOOKUP('GHG Calcs'!$BD12,'GHG EF'!$B$10:$H$19,5,0)),"")</f>
        <v/>
      </c>
      <c r="DB12" s="1419" t="str">
        <f ca="1">IFERROR(IF(OR('GHG Calcs'!$BD12="Diesel",'GHG Calcs'!$BD12="Renewable Diesel",'GHG Calcs'!$BD12="Biodiesel"),VLOOKUP('GHG Calcs'!$BL12,'Fuel Consumption'!$A$31:$L$2316,9,0)*VLOOKUP('GHG Calcs'!$BD12,'GHG EF'!$B$10:$H$19,4,0),VLOOKUP('GHG Calcs'!$BL12,'Fuel Consumption'!$A$31:$L$2316,10,0)*VLOOKUP('GHG Calcs'!$BD12,'GHG EF'!$B$10:$H$19,5,0)),"")</f>
        <v/>
      </c>
      <c r="DC12" s="1419" t="str">
        <f ca="1">IFERROR(VLOOKUP('GHG Calcs'!$BL12,'Fuel Consumption'!$A$31:$L$2316,12,0)*VLOOKUP('GHG Calcs'!$BD12,'GHG EF'!$B$10:$H$19,4,0),"")</f>
        <v/>
      </c>
      <c r="DD12" s="1373" t="str">
        <f ca="1">IFERROR(IF(OR('GHG Calcs'!BD12=Defaults!$I$3, 'GHG Calcs'!BD12=Defaults!$I$4, 'GHG Calcs'!BD12=Defaults!$I$6, 'GHG Calcs'!BD12=Defaults!$I$8), IF('GHG Calcs'!BE12&gt;0,'GHG Calcs'!BE12*IF('GHG Calcs'!BD12=Defaults!$I$3,'GHG EF'!$C$11/'GHG EF'!$C$12,1),'GHG Calcs'!BJ12*'GHG Calcs'!BH12),"")*('GHG Calcs'!I12-'GHG Calcs'!H12),"")</f>
        <v/>
      </c>
      <c r="DE12" s="1373" t="str">
        <f ca="1">IFERROR(IF('GHG Calcs'!BD12=Defaults!$I$5,IF('GHG Calcs'!BE12&gt;0,'GHG Calcs'!BE12,'GHG Calcs'!BI12*'GHG Calcs'!BH12),"")*('GHG Calcs'!I12-'GHG Calcs'!H12),"")</f>
        <v/>
      </c>
      <c r="DF12" s="1420" t="str">
        <f ca="1">IFERROR(IF('GHG Calcs'!BE12&gt;0,'GHG Calcs'!BE12,'GHG Calcs'!BK12*'GHG Calcs'!BH12)*VLOOKUP('GHG Calcs'!BD12,'Fuel &amp; Travel Costs'!$B$10:$C$19,2,0)*('GHG Calcs'!I12-'GHG Calcs'!H12),"")</f>
        <v/>
      </c>
      <c r="DG12" s="306">
        <f ca="1">INDIRECT("'Quantifiable Component "&amp;$B12&amp;"'!"&amp;$D12&amp;ROW('Quantifiable Component 1'!$70:$70))</f>
        <v>0</v>
      </c>
      <c r="DH12" s="306">
        <f ca="1">INDIRECT("'Quantifiable Component "&amp;$B12&amp;"'!"&amp;$D12&amp;ROW('Quantifiable Component 1'!$71:$71))</f>
        <v>0</v>
      </c>
      <c r="DI12" s="1422" t="str">
        <f ca="1">IFERROR(IF('GHG Calcs'!$CD12="Gasoline",VLOOKUP('GHG Calcs'!$CG12,'Bus C&amp;T EF'!$D$30:$V$2315,3,0),IF(OR('GHG Calcs'!$CD12="CNG",'GHG Calcs'!$CD12="LNG",'GHG Calcs'!$CD12="Renewable Natural Gas"),VLOOKUP('GHG Calcs'!$CG12,'Bus C&amp;T EF'!$D$30:$V$2315,4,0),VLOOKUP('GHG Calcs'!$CG12,'Bus C&amp;T EF'!$D$30:$V$2315,2,0)))/$ES12,"")</f>
        <v/>
      </c>
      <c r="DJ12" s="306" t="str">
        <f ca="1">IFERROR(IF('GHG Calcs'!$CD12="Gasoline",VLOOKUP('GHG Calcs'!$CG12,'Bus C&amp;T EF'!$D$30:$V$2315,6,0),IF(OR('GHG Calcs'!$CD12="CNG",'GHG Calcs'!$CD12="LNG",'GHG Calcs'!$CD12="Renewable Natural Gas"),VLOOKUP('GHG Calcs'!$CG12,'Bus C&amp;T EF'!$D$30:$V$2315,7,0),VLOOKUP('GHG Calcs'!$CG12,'Bus C&amp;T EF'!$D$30:$V$2315,5,0)))/$ES12,"")</f>
        <v/>
      </c>
      <c r="DK12" s="306" t="str">
        <f ca="1">IFERROR(IF('GHG Calcs'!$CD12="Gasoline",VLOOKUP('GHG Calcs'!$CG12,'Bus C&amp;T EF'!$D$30:$V$2315,9,0),IF(OR('GHG Calcs'!$CD12="CNG",'GHG Calcs'!$CD12="LNG",'GHG Calcs'!$CD12="Renewable Natural Gas"),VLOOKUP('GHG Calcs'!$CG12,'Bus C&amp;T EF'!$D$30:$V$2315,10,0),VLOOKUP('GHG Calcs'!$CG12,'Bus C&amp;T EF'!$D$30:$V$2315,8,0)))/$ES12,"")</f>
        <v/>
      </c>
      <c r="DL12" s="306" t="str">
        <f ca="1">IFERROR(IF('GHG Calcs'!$CD12="Gasoline",VLOOKUP('GHG Calcs'!$CG12,'Bus C&amp;T EF'!$D$30:$V$2315,12,0),IF(OR('GHG Calcs'!$CD12="CNG",'GHG Calcs'!$CD12="LNG",'GHG Calcs'!$CD12="Renewable Natural Gas"),VLOOKUP('GHG Calcs'!$CG12,'Bus C&amp;T EF'!$D$30:$V$2315,13,0),IF('GHG Calcs'!$CD12="Electric",VLOOKUP('GHG Calcs'!$CG12,'Bus C&amp;T EF'!$D$30:$V$2315,14,0),VLOOKUP('GHG Calcs'!$CG12,'Bus C&amp;T EF'!$D$30:$V$2315,11,0))))/$ES12,"")</f>
        <v/>
      </c>
      <c r="DM12" s="306" t="str">
        <f ca="1">IFERROR(IF('GHG Calcs'!$CD12="Gasoline",VLOOKUP('GHG Calcs'!$CG12,'Bus C&amp;T EF'!$D$30:$V$2315,16,0),IF(OR('GHG Calcs'!$CD12="CNG",'GHG Calcs'!$CD12="LNG",'GHG Calcs'!$CD12="Renewable Natural Gas"),VLOOKUP('GHG Calcs'!$CG12,'Bus C&amp;T EF'!$D$30:$V$2315,17,0),IF('GHG Calcs'!$CD12="Electric",VLOOKUP('GHG Calcs'!$CG12,'Bus C&amp;T EF'!$D$30:$V$2315,18,0),VLOOKUP('GHG Calcs'!$CG12,'Bus C&amp;T EF'!$D$30:$V$2315,15,0))))/$ES12,"")</f>
        <v/>
      </c>
      <c r="DN12" s="306" t="str">
        <f ca="1">IFERROR(IF('GHG Calcs'!$CD12="Gasoline",0,VLOOKUP('GHG Calcs'!$CG12,'Bus C&amp;T EF'!$D$30:$V$2315,19,0))/$ES12,"")</f>
        <v/>
      </c>
      <c r="DO12" s="1419" t="str">
        <f ca="1">IFERROR(IF(OR('GHG Calcs'!$CD12="Diesel",'GHG Calcs'!$CD12="Renewable Diesel",'GHG Calcs'!$CD12="Biodiesel"),VLOOKUP('GHG Calcs'!$CG12,'Van C&amp;T EF'!$D$30:$Q$2315,2,0),VLOOKUP('GHG Calcs'!$CG12,'Van C&amp;T EF'!$D$30:$Q$2315,3,0))/$ET12,"")</f>
        <v/>
      </c>
      <c r="DP12" s="1419" t="str">
        <f ca="1">IFERROR(IF(OR('GHG Calcs'!$CD12="Diesel",'GHG Calcs'!$CD12="Renewable Diesel",'GHG Calcs'!$CD12="Biodiesel"),VLOOKUP('GHG Calcs'!$CG12,'Van C&amp;T EF'!$D$30:$Q$2315,4,0),VLOOKUP('GHG Calcs'!$CG12,'Van C&amp;T EF'!$D$30:$Q$2315,5,0))/$ET12,"")</f>
        <v/>
      </c>
      <c r="DQ12" s="1419" t="str">
        <f ca="1">IFERROR(IF(OR('GHG Calcs'!$CD12="Diesel",'GHG Calcs'!$CD12="Renewable Diesel",'GHG Calcs'!$CD12="Biodiesel"),VLOOKUP('GHG Calcs'!$CG12,'Van C&amp;T EF'!$D$30:$Q$2315,6,0),VLOOKUP('GHG Calcs'!$CG12,'Van C&amp;T EF'!$D$30:$Q$2315,7,0))/$ET12,"")</f>
        <v/>
      </c>
      <c r="DR12" s="1419" t="str">
        <f ca="1">IFERROR(IF(OR('GHG Calcs'!$CD12="Diesel",'GHG Calcs'!$CD12="Renewable Diesel",'GHG Calcs'!$CD12="Biodiesel"),VLOOKUP('GHG Calcs'!$CG12,'Van C&amp;T EF'!$D$30:$Q$2315,8,0),IF(OR('GHG Calcs'!$CD12="Electric",'GHG Calcs'!$CD12="Hydrogen Fuel Cell",'GHG Calcs'!$CD12="Renewable Electricity"),VLOOKUP('GHG Calcs'!$CG12,'Van C&amp;T EF'!$D$30:$Q$2315,10,0),VLOOKUP('GHG Calcs'!$CG12,'Van C&amp;T EF'!$D$30:$Q$2315,9,0)))/$ET12,"")</f>
        <v/>
      </c>
      <c r="DS12" s="1419" t="str">
        <f ca="1">IFERROR(IF(OR('GHG Calcs'!$CD12="Diesel",'GHG Calcs'!$CD12="Renewable Diesel",'GHG Calcs'!$CD12="Biodiesel"),VLOOKUP('GHG Calcs'!$CG12,'Van C&amp;T EF'!$D$30:$Q$2315,11,0),IF(OR('GHG Calcs'!$CD12="Electric",'GHG Calcs'!$CD12="Hydrogen Fuel Cell",'GHG Calcs'!$CD12="Renewable Electricity"),VLOOKUP('GHG Calcs'!$CG12,'Van C&amp;T EF'!$D$30:$Q$2315,13,0),VLOOKUP('GHG Calcs'!$CG12,'Van C&amp;T EF'!$D$30:$Q$2315,12,0)))/$ET12,"")</f>
        <v/>
      </c>
      <c r="DT12" s="306" t="str">
        <f ca="1">IFERROR(IF(OR('GHG Calcs'!$CD12="Diesel",'GHG Calcs'!$CD12="Biodiesel",'GHG Calcs'!$CD12="Renewable Diesel"),VLOOKUP('GHG Calcs'!$CG12,'Van C&amp;T EF'!$D$30:$Q$2315,14,0),0)/$ET12,"")</f>
        <v/>
      </c>
      <c r="DU12" s="1419" t="str">
        <f ca="1">IFERROR(IF(OR('GHG Calcs'!$CD12="Diesel",'GHG Calcs'!$CD12="Renewable Diesel",'GHG Calcs'!$CD12="Biodiesel"),VLOOKUP('GHG Calcs'!$CG12,'Shuttle C&amp;T EF'!$D$30:$Q$2315,2,0),VLOOKUP('GHG Calcs'!$CG12,'Shuttle C&amp;T EF'!$D$30:$Q$2315,3,0))/$EU12,"")</f>
        <v/>
      </c>
      <c r="DV12" s="1419" t="str">
        <f ca="1">IFERROR(IF(OR('GHG Calcs'!$CD12="Diesel",'GHG Calcs'!$CD12="Renewable Diesel",'GHG Calcs'!$CD12="Biodiesel"),VLOOKUP('GHG Calcs'!$CG12,'Shuttle C&amp;T EF'!$D$30:$Q$2315,4,0),VLOOKUP('GHG Calcs'!$CG12,'Shuttle C&amp;T EF'!$D$30:$Q$2315,5,0))/$EU12,"")</f>
        <v/>
      </c>
      <c r="DW12" s="1419" t="str">
        <f ca="1">IFERROR(IF(OR('GHG Calcs'!$CD12="Diesel",'GHG Calcs'!$CD12="Renewable Diesel",'GHG Calcs'!$CD12="Biodiesel"),VLOOKUP('GHG Calcs'!$CG12,'Shuttle C&amp;T EF'!$D$30:$Q$2315,6,0),VLOOKUP('GHG Calcs'!$CG12,'Shuttle C&amp;T EF'!$D$30:$Q$2315,7,0))/$EU12,"")</f>
        <v/>
      </c>
      <c r="DX12" s="1419" t="str">
        <f ca="1">IFERROR(IF(OR('GHG Calcs'!$CD12="Diesel",'GHG Calcs'!$CD12="Renewable Diesel",'GHG Calcs'!$CD12="Biodiesel"),VLOOKUP('GHG Calcs'!$CG12,'Shuttle C&amp;T EF'!$D$30:$Q$2315,8,0),IF(OR('GHG Calcs'!$CD12="Electric",'GHG Calcs'!$CD12="Hydrogen Fuel Cell",'GHG Calcs'!$CD12="Renewable Electricity"),VLOOKUP('GHG Calcs'!$CG12,'Shuttle C&amp;T EF'!$D$30:$Q$2315,10,0),VLOOKUP('GHG Calcs'!$CG12,'Shuttle C&amp;T EF'!$D$30:$Q$2315,9,0)))/$EU12,"")</f>
        <v/>
      </c>
      <c r="DY12" s="1419" t="str">
        <f ca="1">IFERROR(IF(OR('GHG Calcs'!$CD12="Diesel",'GHG Calcs'!$CD12="Renewable Diesel",'GHG Calcs'!$CD12="Biodiesel"),VLOOKUP('GHG Calcs'!$CG12,'Shuttle C&amp;T EF'!$D$30:$Q$2315,11,0),IF(OR('GHG Calcs'!$CD12="Electric",'GHG Calcs'!$CD12="Hydrogen Fuel Cell",'GHG Calcs'!$CD12="Renewable Electricity"),VLOOKUP('GHG Calcs'!$CG12,'Shuttle C&amp;T EF'!$D$30:$Q$2315,13,0),VLOOKUP('GHG Calcs'!$CG12,'Shuttle C&amp;T EF'!$D$30:$Q$2315,12,0)))/$EU12,"")</f>
        <v/>
      </c>
      <c r="DZ12" s="1419" t="str">
        <f ca="1">IFERROR(IF(OR('GHG Calcs'!$CD12="Diesel",'GHG Calcs'!$CD12="Biodiesel",'GHG Calcs'!$CD12="Renewable Diesel"),VLOOKUP('GHG Calcs'!$CG12,'Shuttle C&amp;T EF'!$D$30:$Q$2315,14,0),0)/$EU12,"")</f>
        <v/>
      </c>
      <c r="EA12" s="306" t="str">
        <f ca="1">IFERROR((VLOOKUP('GHG Calcs'!$CG12,'Over-Road Coach C&amp;T EF'!$D$29:$N$2314,2,0)+VLOOKUP('GHG Calcs'!$CG12,'Over-Road Coach C&amp;T EF'!$D$29:$N$2314,3,0))/$EV12,"")</f>
        <v/>
      </c>
      <c r="EB12" s="306" t="str">
        <f ca="1">IFERROR((VLOOKUP('GHG Calcs'!$CG12,'Over-Road Coach C&amp;T EF'!$D$29:$N$2314,4,0)+VLOOKUP('GHG Calcs'!$CG12,'Over-Road Coach C&amp;T EF'!$D$29:$N$2314,5,0))/$EV12,"")</f>
        <v/>
      </c>
      <c r="EC12" s="306" t="str">
        <f ca="1">IFERROR((VLOOKUP('GHG Calcs'!$CG12,'Over-Road Coach C&amp;T EF'!$D$29:$N$2314,6,0)+VLOOKUP('GHG Calcs'!$CG12,'Over-Road Coach C&amp;T EF'!$D$29:$N$2314,7,0))/$EV12,"")</f>
        <v/>
      </c>
      <c r="ED12" s="306" t="str">
        <f ca="1">IFERROR(VLOOKUP('GHG Calcs'!$CG12,'Over-Road Coach C&amp;T EF'!$D$29:$N$2314,8,0)/$EV12,"")</f>
        <v/>
      </c>
      <c r="EE12" s="306" t="str">
        <f ca="1">IFERROR(VLOOKUP('GHG Calcs'!$CG12,'Over-Road Coach C&amp;T EF'!$D$29:$N$2314,9,0)/$EV12,"")</f>
        <v/>
      </c>
      <c r="EF12" s="306" t="str">
        <f ca="1">IFERROR((VLOOKUP('GHG Calcs'!$CG12,'Over-Road Coach C&amp;T EF'!$D$29:$N$2314,10,0)+VLOOKUP('GHG Calcs'!$CG12,'Over-Road Coach C&amp;T EF'!$D$29:$N$2314,11,0))/$EV12,"")</f>
        <v/>
      </c>
      <c r="EG12" s="306" t="str">
        <f ca="1">IFERROR(VLOOKUP(DG12,'Co-Benefit Calcs'!$E$76:$I$83,2,0)/'Rail C&amp;T EF'!$K$14,"")</f>
        <v/>
      </c>
      <c r="EH12" s="306" t="str">
        <f ca="1">IFERROR(VLOOKUP(DG12,'Co-Benefit Calcs'!$E$76:$I$83,3,0)/'Rail C&amp;T EF'!$K$14,"")</f>
        <v/>
      </c>
      <c r="EI12" s="306" t="str">
        <f ca="1">IFERROR(VLOOKUP(DG12,'Co-Benefit Calcs'!$E$76:$I$83,4,0)/'Rail C&amp;T EF'!$K$14,"")</f>
        <v/>
      </c>
      <c r="EJ12" s="306" t="str">
        <f ca="1">IFERROR(IF('GHG Calcs'!$CD12="Gasoline",0,VLOOKUP(DG12,'Co-Benefit Calcs'!$E$76:$I$83,5,0))/'Rail C&amp;T EF'!$K$14,"")</f>
        <v/>
      </c>
      <c r="EK12" s="306" t="str">
        <f ca="1">IFERROR(VLOOKUP('GHG Calcs'!CF12,'Rail C&amp;T EF'!$A$43:$Y$133,IF(DH12&gt;750,23, IF(DH12&gt;=600,20, IF(DH12&gt;=300,17, IF(DH12&gt;=175,14, IF(DH12&gt;=100,11, IF(DH12&gt;=75,8, IF(DH12&gt;=50,5, 2))))))),0) * IF($DH12&gt;=750,'Rail C&amp;T EF'!$K$18,'Rail C&amp;T EF'!$K$19) * IF(OR('GHG Calcs'!CD12="Diesel", 'GHG Calcs'!CD12="Renewable Diesel", 'GHG Calcs'!CD12="Biodiesel"),'Rail C&amp;T EF'!$B$141,'Rail C&amp;T EF'!$B$142),"")</f>
        <v/>
      </c>
      <c r="EL12" s="306" t="str">
        <f ca="1">IFERROR(VLOOKUP('GHG Calcs'!$CF12,'Rail C&amp;T EF'!$A$43:$Y$133,IF(DH12&gt;750,24, IF(DH12&gt;=600,21, IF(DH12&gt;=300,18, IF(DH12&gt;=175,15, IF(DH12&gt;=100,12, IF(DH12&gt;=75,9, IF(DH12&gt;=50,6, 3))))))),0) * IF($DH12&gt;=750,'Rail C&amp;T EF'!$K$18,'Rail C&amp;T EF'!$K$19),"")</f>
        <v/>
      </c>
      <c r="EM12" s="306" t="str">
        <f ca="1">IFERROR(VLOOKUP('GHG Calcs'!$CF12,'Rail C&amp;T EF'!$A$43:$Y$133,IF(DH12&gt;750,25, IF(DH12&gt;=600,22, IF(DH12&gt;=300,19, IF(DH12&gt;=175,16, IF(DH12&gt;=100,13, IF(DH12&gt;=75,10, IF(DH12&gt;=50,7, 4))))))),0) * IF($DH12&gt;=750,'Rail C&amp;T EF'!$K$18,'Rail C&amp;T EF'!$K$19)*'Rail C&amp;T EF'!$B$146,"")</f>
        <v/>
      </c>
      <c r="EN12" s="306" t="str">
        <f ca="1">IFERROR(IF('GHG Calcs'!CD12="Gasoline",0,VLOOKUP('GHG Calcs'!$CF12,'Rail C&amp;T EF'!$A$43:$Y$133,IF(DH12&gt;750,25, IF(DH12&gt;=600,22, IF(DH12&gt;=300,19, IF(DH12&gt;=175,16, IF(DH12&gt;=100,13, IF(DH12&gt;=75,10, IF(DH12&gt;=50,7, 4))))))),0) * IF($DH12&gt;=750,'Rail C&amp;T EF'!$K$18,'Rail C&amp;T EF'!$K$19)),"")</f>
        <v/>
      </c>
      <c r="EO12" s="306" t="str">
        <f ca="1">IFERROR(VLOOKUP('GHG Calcs'!$CF12,'Ferry C&amp;T EF'!$A$106:$AK$196,IF(DH12&gt;=3301,35, IF(DH12&gt;=1901,31, IF(DH12&gt;=751,27, IF(DH12&gt;=501,23, IF(DH12&gt;=251,19, IF(DH12&gt;=176,15, IF(DH12&gt;=121,11, IF(DH12&gt;=51,7, 3)))))))),0),"")</f>
        <v/>
      </c>
      <c r="EP12" s="306" t="str">
        <f ca="1">IFERROR(VLOOKUP('GHG Calcs'!$CF12,'Ferry C&amp;T EF'!$A$106:$AK$196,IF(DH12&gt;=3301,34, IF(DH12&gt;=1901,30, IF(DH12&gt;=751,26, IF(DH12&gt;=501,22, IF(DH12&gt;=251,18, IF(DH12&gt;=176,14, IF(DH12&gt;=121,10, IF(DH12&gt;=51,6, 2)))))))),0),"")</f>
        <v/>
      </c>
      <c r="EQ12" s="306" t="str">
        <f ca="1">IFERROR(VLOOKUP('GHG Calcs'!$CF12,'Ferry C&amp;T EF'!$A$106:$AK$196,IF(DH12&gt;=3301,37, IF(DH12&gt;=1901,33, IF(DH12&gt;=751,29, IF(DH12&gt;=501,25, IF(DH12&gt;=251,21, IF(DH12&gt;=176,17, IF(DH12&gt;=121,13, IF(DH12&gt;=51,9, 5)))))))),0),"")</f>
        <v/>
      </c>
      <c r="ER12" s="306" t="str">
        <f ca="1">IFERROR(IF('GHG Calcs'!$CD12="Gasoline",0,VLOOKUP('GHG Calcs'!$CF12,'Ferry C&amp;T EF'!$A$106:$AK$196,IF(DH12&gt;=3301,36, IF(DH12&gt;=1901,32, IF(DH12&gt;=751,28, IF(DH12&gt;=501,24, IF(DH12&gt;=251,20, IF(DH12&gt;=176,16, IF(DH12&gt;=121,12, IF(DH12&gt;=51,8, 4)))))))),0)),"")</f>
        <v/>
      </c>
      <c r="ES12" s="1419" t="str">
        <f ca="1">IFERROR(IF('GHG Calcs'!$CD12="Gasoline",VLOOKUP('GHG Calcs'!$CG12,'Fuel Consumption'!$A$31:$L$2316,3,0),IF(OR('GHG Calcs'!$CD12="CNG",'GHG Calcs'!$CD12="LNG",'GHG Calcs'!$CD12="Renewable Natural Gas"),VLOOKUP('GHG Calcs'!$CG12,'Fuel Consumption'!$A$31:$L$2316,4,0)*VLOOKUP('GHG Calcs'!$CD12,'GHG EF'!$B$10:$H$19,4,0),VLOOKUP('GHG Calcs'!$CG12,'Fuel Consumption'!$A$31:$L$2316,2,0)*VLOOKUP('GHG Calcs'!$AD12,'GHG EF'!$B$10:$H$19,4,0))),"")</f>
        <v/>
      </c>
      <c r="ET12" s="1419" t="str">
        <f ca="1">IFERROR(IF(OR('GHG Calcs'!$CD12="Diesel",'GHG Calcs'!$CD12="Renewable Diesel",'GHG Calcs'!$CD12="Biodiesel"),VLOOKUP('GHG Calcs'!$CG12,'Fuel Consumption'!$A$31:$L$2316,6,0)*VLOOKUP('GHG Calcs'!$CD12,'GHG EF'!$B$10:$H$19,4,0),VLOOKUP('GHG Calcs'!$CG12,'Fuel Consumption'!$A$31:$L$2316,7,0)*VLOOKUP('GHG Calcs'!$CD12,'GHG EF'!$B$10:$H$19,5,0)),"")</f>
        <v/>
      </c>
      <c r="EU12" s="1419" t="str">
        <f ca="1">IFERROR(IF(OR('GHG Calcs'!$CD12="Diesel",'GHG Calcs'!$CD12="Renewable Diesel",'GHG Calcs'!$CD12="Biodiesel"),VLOOKUP('GHG Calcs'!$CG12,'Fuel Consumption'!$A$31:$L$2316,9,0)*VLOOKUP('GHG Calcs'!$CD12,'GHG EF'!$B$10:$H$19,4,0),VLOOKUP('GHG Calcs'!$CG12,'Fuel Consumption'!$A$31:$L$2316,10,0)*VLOOKUP('GHG Calcs'!$CD12,'GHG EF'!$B$10:$H$19,5,0)),"")</f>
        <v/>
      </c>
      <c r="EV12" s="1419" t="str">
        <f ca="1">IFERROR(VLOOKUP('GHG Calcs'!$CG12,'Fuel Consumption'!$A$31:$L$2316,12,0)*VLOOKUP('GHG Calcs'!$CD12,'GHG EF'!$B$10:$H$19,4,0),"")</f>
        <v/>
      </c>
      <c r="EW12" s="1373" t="str">
        <f ca="1">IFERROR(IF(OR('GHG Calcs'!CD12=Defaults!$I$4, 'GHG Calcs'!CD12=Defaults!$I$6, 'GHG Calcs'!CD12=Defaults!$I$8),'GHG Calcs'!CE12,IF('GHG Calcs'!CD12=Defaults!$I$3, 'GHG Calcs'!CE12*'GHG EF'!$C$11/'GHG EF'!$C$12,""))*('GHG Calcs'!I12-'GHG Calcs'!H12),"")</f>
        <v/>
      </c>
      <c r="EX12" s="1373" t="str">
        <f ca="1">IFERROR(IF('GHG Calcs'!CD12=Defaults!$I$5,'GHG Calcs'!CE12,"")*('GHG Calcs'!I12-'GHG Calcs'!H12),"")</f>
        <v/>
      </c>
      <c r="EY12" s="1420" t="str">
        <f ca="1">IFERROR('GHG Calcs'!CE12*VLOOKUP('GHG Calcs'!CD12,'Fuel &amp; Travel Costs'!$B$10:$C$19,2,0)*('GHG Calcs'!I12-'GHG Calcs'!H12),"")</f>
        <v/>
      </c>
      <c r="EZ12" s="1420" t="str">
        <f ca="1">EX12</f>
        <v/>
      </c>
      <c r="FA12" s="306">
        <f ca="1">INDIRECT("'Quantifiable Component "&amp;$B12&amp;"'!"&amp;$D12&amp;ROW('Quantifiable Component 1'!$77:$77))</f>
        <v>0</v>
      </c>
      <c r="FB12" s="306">
        <f ca="1">INDIRECT("'Quantifiable Component "&amp;$B12&amp;"'!"&amp;$D12&amp;ROW('Quantifiable Component 1'!$78:$78))</f>
        <v>0</v>
      </c>
      <c r="FC12" s="306">
        <f ca="1">INDIRECT("'Quantifiable Component "&amp;$B12&amp;"'!"&amp;$D12&amp;ROW('Quantifiable Component 1'!$79:$79))</f>
        <v>0</v>
      </c>
      <c r="FD12" s="306">
        <f ca="1">INDIRECT("'Quantifiable Component "&amp;$B12&amp;"'!"&amp;$D12&amp;ROW('Quantifiable Component 1'!$80:$80))</f>
        <v>0</v>
      </c>
      <c r="FE12" s="306">
        <f ca="1">INDIRECT("'Quantifiable Component "&amp;$B12&amp;"'!"&amp;$D12&amp;ROW('Quantifiable Component 1'!$81:$81))</f>
        <v>0</v>
      </c>
    </row>
    <row r="13" spans="1:162" s="117" customFormat="1" x14ac:dyDescent="0.35">
      <c r="A13" s="1647"/>
      <c r="B13" s="1367">
        <v>1</v>
      </c>
      <c r="C13" s="1368">
        <v>2</v>
      </c>
      <c r="D13" s="1368" t="str">
        <f>'GHG Calcs'!D13</f>
        <v>H</v>
      </c>
      <c r="E13" s="1416">
        <f ca="1">'GHG Calcs'!U13</f>
        <v>0</v>
      </c>
      <c r="F13" s="1416">
        <f ca="1">'GHG Calcs'!W13</f>
        <v>0</v>
      </c>
      <c r="G13" s="1417" t="str">
        <f ca="1">IFERROR(VLOOKUP('GHG Calcs'!K13,'Auto C&amp;T EF'!$C$35:$K$2662,2,0)*E13,"")</f>
        <v/>
      </c>
      <c r="H13" s="1417" t="str">
        <f ca="1">IFERROR(VLOOKUP('GHG Calcs'!L13,'Auto C&amp;T EF'!$C$35:$K$2662,2,0)*F13,"")</f>
        <v/>
      </c>
      <c r="I13" s="1417" t="str">
        <f ca="1">IFERROR(VLOOKUP('GHG Calcs'!$K13,'Auto C&amp;T EF'!$C$35:$K$2662,3,0)*$E13,"")</f>
        <v/>
      </c>
      <c r="J13" s="1417" t="str">
        <f ca="1">IFERROR(VLOOKUP('GHG Calcs'!$L13,'Auto C&amp;T EF'!$C$35:$K$2662,3,0)*$F13,"")</f>
        <v/>
      </c>
      <c r="K13" s="1417" t="str">
        <f ca="1">IFERROR((VLOOKUP('GHG Calcs'!$K13,'Auto C&amp;T EF'!$C$35:$K$2662,5,0)+VLOOKUP('GHG Calcs'!$K13,'Auto C&amp;T EF'!$C$35:$K$2662,6,0)+VLOOKUP('GHG Calcs'!$K13,'Auto C&amp;T EF'!$C$35:$K$2662,7,0))*$E13,"")</f>
        <v/>
      </c>
      <c r="L13" s="1417" t="str">
        <f ca="1">IFERROR((VLOOKUP('GHG Calcs'!$L13,'Auto C&amp;T EF'!$C$35:$K$2662,5,0)+VLOOKUP('GHG Calcs'!$L13,'Auto C&amp;T EF'!$C$35:$K$2662,6,0)+VLOOKUP('GHG Calcs'!$L13,'Auto C&amp;T EF'!$C$35:$K$2662,7,0))*$F13,"")</f>
        <v/>
      </c>
      <c r="M13" s="1417" t="str">
        <f ca="1">IFERROR(VLOOKUP('GHG Calcs'!$K13,'Auto C&amp;T EF'!$C$35:$K$2662,8,0)*$E13,"")</f>
        <v/>
      </c>
      <c r="N13" s="1417" t="str">
        <f ca="1">IFERROR(VLOOKUP('GHG Calcs'!$L13,'Auto C&amp;T EF'!$C$35:$K$2662,8,0)*$F13,"")</f>
        <v/>
      </c>
      <c r="O13" s="1418">
        <f ca="1">IFERROR(AVERAGE(G13:H13)*('GHG Calcs'!I13-'GHG Calcs'!H13),0)</f>
        <v>0</v>
      </c>
      <c r="P13" s="1418">
        <f ca="1">IFERROR(AVERAGE(I13:J13)*('GHG Calcs'!I13-'GHG Calcs'!H13),0)</f>
        <v>0</v>
      </c>
      <c r="Q13" s="1418">
        <f ca="1">IFERROR(AVERAGE(K13:L13)*('GHG Calcs'!I13-'GHG Calcs'!H13),0)</f>
        <v>0</v>
      </c>
      <c r="R13" s="1418">
        <f ca="1">IFERROR(AVERAGE(M13:N13)*('GHG Calcs'!I13-'GHG Calcs'!H13),0)</f>
        <v>0</v>
      </c>
      <c r="S13" s="1418">
        <f ca="1">IFERROR(AVERAGE(E13*VLOOKUP('GHG Calcs'!K13,'Auto C&amp;T EF'!$C$35:$L$2662,10,0),F13*VLOOKUP('GHG Calcs'!L13,'Auto C&amp;T EF'!$C$35:$L$2662,10,0))*('GHG Calcs'!I13-'GHG Calcs'!H13),0)</f>
        <v>0</v>
      </c>
      <c r="T13" s="1379">
        <f ca="1">INDIRECT("'Quantifiable Component "&amp;$B13&amp;"'!"&amp;$D13&amp;ROW('Quantifiable Component 1'!$47:$47))</f>
        <v>0</v>
      </c>
      <c r="U13" s="1379">
        <f ca="1">INDIRECT("'Quantifiable Component "&amp;$B13&amp;"'!"&amp;$D13&amp;ROW('Quantifiable Component 1'!$48:$48))</f>
        <v>0</v>
      </c>
      <c r="V13" s="306" t="str">
        <f ca="1">IFERROR(IF('GHG Calcs'!$AD13="Gasoline",VLOOKUP('GHG Calcs'!$AH13,'Bus C&amp;T EF'!$D$30:$V$2315,3,0),IF(OR('GHG Calcs'!$AD13="CNG",'GHG Calcs'!$AD13="LNG",'GHG Calcs'!$AD13="Renewable Natural Gas"),VLOOKUP('GHG Calcs'!$AH13,'Bus C&amp;T EF'!$D$30:$V$2315,4,0),VLOOKUP('GHG Calcs'!$AH13,'Bus C&amp;T EF'!$D$30:$V$2315,2,0)))/IF('GHG Calcs'!AE13&gt;0,$BF13,1),"")</f>
        <v/>
      </c>
      <c r="W13" s="306" t="str">
        <f ca="1">IFERROR(IF('GHG Calcs'!$AD13="Gasoline",VLOOKUP('GHG Calcs'!$AH13,'Bus C&amp;T EF'!$D$30:$V$2315,6,0),IF(OR('GHG Calcs'!$AD13="CNG",'GHG Calcs'!$AD13="LNG",'GHG Calcs'!$AD13="Renewable Natural Gas"),VLOOKUP('GHG Calcs'!$AH13,'Bus C&amp;T EF'!$D$30:$V$2315,7,0),VLOOKUP('GHG Calcs'!$AH13,'Bus C&amp;T EF'!$D$30:$V$2315,5,0)))/IF('GHG Calcs'!AE13&gt;0,$BF13,1),"")</f>
        <v/>
      </c>
      <c r="X13" s="1419" t="str">
        <f ca="1">IFERROR(IF('GHG Calcs'!$AD13="Gasoline",VLOOKUP('GHG Calcs'!$AH13,'Bus C&amp;T EF'!$D$30:$V$2315,9,0),IF(OR('GHG Calcs'!$AD13="CNG",'GHG Calcs'!$AD13="LNG",'GHG Calcs'!$AD13="Renewable Natural Gas"),VLOOKUP('GHG Calcs'!$AH13,'Bus C&amp;T EF'!$D$30:$V$2315,10,0),VLOOKUP('GHG Calcs'!$AH13,'Bus C&amp;T EF'!$D$30:$V$2315,8,0)))/IF('GHG Calcs'!AE13&gt;0,$BF13,1),"")</f>
        <v/>
      </c>
      <c r="Y13" s="1419" t="str">
        <f ca="1">IFERROR(IF('GHG Calcs'!$AD13="Gasoline",VLOOKUP('GHG Calcs'!$AH13,'Bus C&amp;T EF'!$D$30:$V$2315,12,0),IF(OR('GHG Calcs'!$AD13="CNG",'GHG Calcs'!$AD13="LNG",'GHG Calcs'!$AD13="Renewable Natural Gas"),VLOOKUP('GHG Calcs'!$AH13,'Bus C&amp;T EF'!$D$30:$V$2315,13,0),IF(OR('GHG Calcs'!$AD13="Electric",'GHG Calcs'!$AD13="Hydrogen Fuel Cell",'GHG Calcs'!$AD13="Renewable Electricity"),VLOOKUP('GHG Calcs'!$AH13,'Bus C&amp;T EF'!$D$30:$V$2315,14,0),VLOOKUP('GHG Calcs'!$AH13,'Bus C&amp;T EF'!$D$30:$V$2315,11,0))))/IF('GHG Calcs'!AE13&gt;0,$BF13,1),"")</f>
        <v/>
      </c>
      <c r="Z13" s="1419" t="str">
        <f ca="1">IFERROR(IF('GHG Calcs'!$AD13="Gasoline",VLOOKUP('GHG Calcs'!$AH13,'Bus C&amp;T EF'!$D$30:$V$2315,16,0),IF(OR('GHG Calcs'!$AD13="CNG",'GHG Calcs'!$AD13="LNG",'GHG Calcs'!$AD13="Renewable Natural Gas"),VLOOKUP('GHG Calcs'!$AH13,'Bus C&amp;T EF'!$D$30:$V$2315,17,0),IF(OR('GHG Calcs'!$AD13="Electric",'GHG Calcs'!$AD13="Hydrogen Fuel Cell",'GHG Calcs'!$AD13="Renewable Electricity"),VLOOKUP('GHG Calcs'!$AH13,'Bus C&amp;T EF'!$D$30:$V$2315,18,0),VLOOKUP('GHG Calcs'!$AH13,'Bus C&amp;T EF'!$D$30:$V$2315,15,0))))/IF('GHG Calcs'!AE13&gt;0,$BF13,1),"")</f>
        <v/>
      </c>
      <c r="AA13" s="306" t="str">
        <f ca="1">IFERROR(IF('GHG Calcs'!$AD13="Gasoline",0,VLOOKUP('GHG Calcs'!$AH13,'Bus C&amp;T EF'!$D$30:$V$2315,19,0))/IF('GHG Calcs'!AE13&gt;0,$BF13,1),"")</f>
        <v/>
      </c>
      <c r="AB13" s="1419" t="str">
        <f ca="1">IFERROR(IF(OR('GHG Calcs'!$AD13="Diesel",'GHG Calcs'!$AD13="Renewable Diesel",'GHG Calcs'!$AD13="Biodiesel"),VLOOKUP('GHG Calcs'!$AH13,'Van C&amp;T EF'!$D$30:$Q$2315,2,0),VLOOKUP('GHG Calcs'!$AH13,'Van C&amp;T EF'!$D$30:$Q$2315,3,0))/IF('GHG Calcs'!AE13&gt;0,$BG13,1),"")</f>
        <v/>
      </c>
      <c r="AC13" s="1419" t="str">
        <f ca="1">IFERROR(IF(OR('GHG Calcs'!$AD13="Diesel",'GHG Calcs'!$AD13="Renewable Diesel",'GHG Calcs'!$AD13="Biodiesel"),VLOOKUP('GHG Calcs'!$AH13,'Van C&amp;T EF'!$D$30:$Q$2315,4,0),VLOOKUP('GHG Calcs'!$AH13,'Van C&amp;T EF'!$D$30:$Q$2315,5,0))/IF('GHG Calcs'!AE13&gt;0,$BG13,1),"")</f>
        <v/>
      </c>
      <c r="AD13" s="1419" t="str">
        <f ca="1">IFERROR(IF(OR('GHG Calcs'!$AD13="Diesel",'GHG Calcs'!$AD13="Renewable Diesel",'GHG Calcs'!$AD13="Biodiesel"),VLOOKUP('GHG Calcs'!$AH13,'Van C&amp;T EF'!$D$30:$Q$2315,6,0),VLOOKUP('GHG Calcs'!$AH13,'Van C&amp;T EF'!$D$30:$Q$2315,7,0))/IF('GHG Calcs'!AE13&gt;0,$BG13,1),"")</f>
        <v/>
      </c>
      <c r="AE13" s="1419" t="str">
        <f ca="1">IFERROR(IF(OR('GHG Calcs'!$AD13="Diesel",'GHG Calcs'!$AD13="Renewable Diesel",'GHG Calcs'!$AD13="Biodiesel"),VLOOKUP('GHG Calcs'!$AH13,'Van C&amp;T EF'!$D$30:$Q$2315,8,0),IF(OR('GHG Calcs'!$AD13="Electric",'GHG Calcs'!$AD13="Hydrogen Fuel Cell",'GHG Calcs'!$AD13="Renewable Electricity"),VLOOKUP('GHG Calcs'!$AH13,'Van C&amp;T EF'!$D$30:$Q$2315,10,0),VLOOKUP('GHG Calcs'!$AH13,'Van C&amp;T EF'!$D$30:$Q$2315,9,0)))/IF('GHG Calcs'!AE13&gt;0,$BG13,1),"")</f>
        <v/>
      </c>
      <c r="AF13" s="1419" t="str">
        <f ca="1">IFERROR(IF(OR('GHG Calcs'!$AD13="Diesel",'GHG Calcs'!$AD13="Renewable Diesel",'GHG Calcs'!$AD13="Biodiesel"),VLOOKUP('GHG Calcs'!$AH13,'Van C&amp;T EF'!$D$30:$Q$2315,11,0),IF(OR('GHG Calcs'!$AD13="Electric",'GHG Calcs'!$AD13="Hydrogen Fuel Cell",'GHG Calcs'!$AD13="Renewable Electricity"),VLOOKUP('GHG Calcs'!$AH13,'Van C&amp;T EF'!$D$30:$Q$2315,13,0),VLOOKUP('GHG Calcs'!$AH13,'Van C&amp;T EF'!$D$30:$Q$2315,12,0)))/IF('GHG Calcs'!AE13&gt;0,$BG13,1),"")</f>
        <v/>
      </c>
      <c r="AG13" s="306">
        <f ca="1">IFERROR(IF(OR('GHG Calcs'!$AD13="Diesel",'GHG Calcs'!$AD13="Biodiesel",'GHG Calcs'!$AD13="Renewable Diesel"),VLOOKUP('GHG Calcs'!$AH13,'Van C&amp;T EF'!$D$30:$Q$2315,14,0),0)/IF('GHG Calcs'!AE13&gt;0,$BG13,1),"")</f>
        <v>0</v>
      </c>
      <c r="AH13" s="1419" t="str">
        <f ca="1">IFERROR(IF(OR('GHG Calcs'!$AD13="Diesel",'GHG Calcs'!$AD13="Renewable Diesel",'GHG Calcs'!$AD13="Biodiesel"),VLOOKUP('GHG Calcs'!$AH13,'Shuttle C&amp;T EF'!$D$30:$Q$2315,2,0),VLOOKUP('GHG Calcs'!$AH13,'Shuttle C&amp;T EF'!$D$30:$Q$2315,3,0))/IF('GHG Calcs'!AE13&gt;0,$BH13,1),"")</f>
        <v/>
      </c>
      <c r="AI13" s="1419" t="str">
        <f ca="1">IFERROR(IF(OR('GHG Calcs'!$AD13="Diesel",'GHG Calcs'!$AD13="Renewable Diesel",'GHG Calcs'!$AD13="Biodiesel"),VLOOKUP('GHG Calcs'!$AH13,'Shuttle C&amp;T EF'!$D$30:$Q$2315,4,0),VLOOKUP('GHG Calcs'!$AH13,'Shuttle C&amp;T EF'!$D$30:$Q$2315,5,0))/IF('GHG Calcs'!AE13&gt;0,$BH13,1),"")</f>
        <v/>
      </c>
      <c r="AJ13" s="1419" t="str">
        <f ca="1">IFERROR(IF(OR('GHG Calcs'!$AD13="Diesel",'GHG Calcs'!$AD13="Renewable Diesel",'GHG Calcs'!$AD13="Biodiesel"),VLOOKUP('GHG Calcs'!$AH13,'Shuttle C&amp;T EF'!$D$30:$Q$2315,6,0),VLOOKUP('GHG Calcs'!$AH13,'Shuttle C&amp;T EF'!$D$30:$Q$2315,7,0))/IF('GHG Calcs'!AE13&gt;0,$BH13,1),"")</f>
        <v/>
      </c>
      <c r="AK13" s="1419" t="str">
        <f ca="1">IFERROR(IF(OR('GHG Calcs'!$AD13="Diesel",'GHG Calcs'!$AD13="Renewable Diesel",'GHG Calcs'!$AD13="Biodiesel"),VLOOKUP('GHG Calcs'!$AH13,'Shuttle C&amp;T EF'!$D$30:$Q$2315,8,0),IF(OR('GHG Calcs'!$AD13="Electric",'GHG Calcs'!$AD13="Hydrogen Fuel Cell",'GHG Calcs'!$AD13="Renewable Electricity"),VLOOKUP('GHG Calcs'!$AH13,'Shuttle C&amp;T EF'!$D$30:$Q$2315,10,0),VLOOKUP('GHG Calcs'!$AH13,'Shuttle C&amp;T EF'!$D$30:$Q$2315,9,0)))/IF('GHG Calcs'!AE13&gt;0,$BH13,1),"")</f>
        <v/>
      </c>
      <c r="AL13" s="1419" t="str">
        <f ca="1">IFERROR(IF(OR('GHG Calcs'!$AD13="Diesel",'GHG Calcs'!$AD13="Renewable Diesel",'GHG Calcs'!$AD13="Biodiesel"),VLOOKUP('GHG Calcs'!$AH13,'Shuttle C&amp;T EF'!$D$30:$Q$2315,11,0),IF(OR('GHG Calcs'!$AD13="Electric",'GHG Calcs'!$AD13="Hydrogen Fuel Cell",'GHG Calcs'!$AD13="Renewable Electricity"),VLOOKUP('GHG Calcs'!$AH13,'Shuttle C&amp;T EF'!$D$30:$Q$2315,13,0),VLOOKUP('GHG Calcs'!$AH13,'Shuttle C&amp;T EF'!$D$30:$Q$2315,12,0)))/IF('GHG Calcs'!AE13&gt;0,$BH13,1),"")</f>
        <v/>
      </c>
      <c r="AM13" s="1419">
        <f ca="1">IFERROR(IF(OR('GHG Calcs'!$AD13="Diesel",'GHG Calcs'!$AD13="Biodiesel",'GHG Calcs'!$AD13="Renewable Diesel"),VLOOKUP('GHG Calcs'!$AH13,'Shuttle C&amp;T EF'!$D$30:$Q$2315,14,0),0)/IF('GHG Calcs'!AE13&gt;0,$BH13,1),"")</f>
        <v>0</v>
      </c>
      <c r="AN13" s="306" t="str">
        <f ca="1">IFERROR((VLOOKUP('GHG Calcs'!$AH13,'Over-Road Coach C&amp;T EF'!$D$29:$N$2314,2,0)+VLOOKUP('GHG Calcs'!$AH13,'Over-Road Coach C&amp;T EF'!$D$29:$N$2314,3,0))/IF('GHG Calcs'!AE13&gt;0,$BI13,1),"")</f>
        <v/>
      </c>
      <c r="AO13" s="306" t="str">
        <f ca="1">IFERROR((VLOOKUP('GHG Calcs'!$AH13,'Over-Road Coach C&amp;T EF'!$D$29:$N$2314,4,0)+VLOOKUP('GHG Calcs'!$AH13,'Over-Road Coach C&amp;T EF'!$D$29:$N$2314,5,0))/IF('GHG Calcs'!AE13&gt;0,$BI13,1),"")</f>
        <v/>
      </c>
      <c r="AP13" s="306" t="str">
        <f ca="1">IFERROR((VLOOKUP('GHG Calcs'!$AH13,'Over-Road Coach C&amp;T EF'!$D$29:$N$2314,6,0)+VLOOKUP('GHG Calcs'!$AH13,'Over-Road Coach C&amp;T EF'!$D$29:$N$2314,7,0))/IF('GHG Calcs'!AE13&gt;0,$BI13,1),"")</f>
        <v/>
      </c>
      <c r="AQ13" s="306" t="str">
        <f ca="1">IFERROR(VLOOKUP('GHG Calcs'!$AH13,'Over-Road Coach C&amp;T EF'!$D$29:$N$2314,8,0)/IF('GHG Calcs'!AE13&gt;0,$BI13,1),"")</f>
        <v/>
      </c>
      <c r="AR13" s="306" t="str">
        <f ca="1">IFERROR(VLOOKUP('GHG Calcs'!$AH13,'Over-Road Coach C&amp;T EF'!$D$29:$N$2314,9,0)/IF('GHG Calcs'!AE13&gt;0,$BI13,1),"")</f>
        <v/>
      </c>
      <c r="AS13" s="306" t="str">
        <f ca="1">IFERROR((VLOOKUP('GHG Calcs'!$AH13,'Over-Road Coach C&amp;T EF'!$D$29:$N$2314,10,0)+VLOOKUP('GHG Calcs'!$AH13,'Over-Road Coach C&amp;T EF'!$D$29:$N$2314,11,0))/IF('GHG Calcs'!AE13&gt;0,$BI13,1),"")</f>
        <v/>
      </c>
      <c r="AT13" s="306" t="str">
        <f ca="1">IFERROR(VLOOKUP(T13,'Co-Benefit Calcs'!$E$76:$I$83,2,0)/IF('GHG Calcs'!$AE13&gt;0,'Rail C&amp;T EF'!$K$14,1),"")</f>
        <v/>
      </c>
      <c r="AU13" s="306" t="str">
        <f ca="1">IFERROR(VLOOKUP(T13,'Co-Benefit Calcs'!$E$76:$I$83,3,0)/IF('GHG Calcs'!$AE13&gt;0,'Rail C&amp;T EF'!$K$14,1),"")</f>
        <v/>
      </c>
      <c r="AV13" s="306" t="str">
        <f ca="1">IFERROR(VLOOKUP(T13,'Co-Benefit Calcs'!$E$76:$I$83,4,0)/IF('GHG Calcs'!$AE13&gt;0,'Rail C&amp;T EF'!$K$14,1),"")</f>
        <v/>
      </c>
      <c r="AW13" s="306" t="str">
        <f ca="1">IFERROR(IF('GHG Calcs'!$AD13="Gasoline",0,VLOOKUP(T13,'Co-Benefit Calcs'!$E$76:$I$83,5,0))/IF('GHG Calcs'!$AE13&gt;0,'Rail C&amp;T EF'!$K$14,1),"")</f>
        <v/>
      </c>
      <c r="AX13" s="306" t="str">
        <f ca="1">IFERROR(VLOOKUP('GHG Calcs'!$AG13,'Rail C&amp;T EF'!$A$43:$Y$133,IF(U13&gt;750,23, IF(U13&gt;=600,20, IF(U13&gt;=300,17, IF(U13&gt;=175,14, IF(U13&gt;=100,11, IF(U13&gt;=75,8, IF(U13&gt;=50,5, 2))))))),0) * IF($U13&gt;=750,'Rail C&amp;T EF'!$K$18,'Rail C&amp;T EF'!$K$19) * IF('GHG Calcs'!$AE13&gt;0,1,'Rail C&amp;T EF'!$B$149) * IF(OR('GHG Calcs'!AD13="Diesel", 'GHG Calcs'!AD13="Renewable Diesel", 'GHG Calcs'!AD13="Biodiesel"),'Rail C&amp;T EF'!$B$141,'Rail C&amp;T EF'!$B$142),"")</f>
        <v/>
      </c>
      <c r="AY13" s="306" t="str">
        <f ca="1">IFERROR(VLOOKUP('GHG Calcs'!$AG13,'Rail C&amp;T EF'!$A$43:$Y$133,IF(U13&gt;750,24, IF(U13&gt;=600,21, IF(U13&gt;=300,18, IF(U13&gt;=175,15, IF(U13&gt;=100,12, IF(U13&gt;=75,9, IF(U13&gt;=50,6, 3))))))),0) * IF($U13&gt;=750,'Rail C&amp;T EF'!$K$18,'Rail C&amp;T EF'!$K$19) * IF('GHG Calcs'!$AE13&gt;0,1,'Rail C&amp;T EF'!$B$149),"")</f>
        <v/>
      </c>
      <c r="AZ13" s="306" t="str">
        <f ca="1">IFERROR(VLOOKUP('GHG Calcs'!$AG13,'Rail C&amp;T EF'!$A$43:$Y$133,IF(U13&gt;750,25, IF(U13&gt;=600,22, IF(U13&gt;=300,19, IF(U13&gt;=175,16, IF(U13&gt;=100,13, IF(U13&gt;=75,10, IF(U13&gt;=50,7, 4))))))),0) * IF($U13&gt;=750,'Rail C&amp;T EF'!$K$18,'Rail C&amp;T EF'!$K$19) * IF('GHG Calcs'!$AE13&gt;0,1,'Rail C&amp;T EF'!$B$149)*'Rail C&amp;T EF'!$B$146,"")</f>
        <v/>
      </c>
      <c r="BA13" s="306" t="str">
        <f ca="1">IFERROR(IF('GHG Calcs'!$AD13="Gasoline",0,VLOOKUP('GHG Calcs'!$AG13,'Rail C&amp;T EF'!$A$43:$Y$133,IF(U13&gt;750,25, IF(U13&gt;=600,22, IF(U13&gt;=300,19, IF(U13&gt;=175,16, IF(U13&gt;=100,13, IF(U13&gt;=75,10, IF(U13&gt;=50,7, 4))))))),0) * IF($U13&gt;=750,'Rail C&amp;T EF'!$K$18,'Rail C&amp;T EF'!$K$19) * IF('GHG Calcs'!$AE13&gt;0,1,'Rail C&amp;T EF'!$B$149)),"")</f>
        <v/>
      </c>
      <c r="BB13" s="306" t="str">
        <f ca="1">IFERROR(VLOOKUP('GHG Calcs'!$AG13,'Ferry C&amp;T EF'!$A$106:$AK$196,IF(U13&gt;=3301,35, IF(U13&gt;=1901,31, IF(U13&gt;=751,27, IF(U13&gt;=501,23, IF(U13&gt;=251,19, IF(U13&gt;=176,15, IF(U13&gt;=121,11, IF(U13&gt;=51,7, 3)))))))),0),"")</f>
        <v/>
      </c>
      <c r="BC13" s="306" t="str">
        <f ca="1">IFERROR(VLOOKUP('GHG Calcs'!$AG13,'Ferry C&amp;T EF'!$A$106:$AK$196,IF(U13&gt;=3301,34, IF(U13&gt;=1901,30, IF(U13&gt;=751,26, IF(U13&gt;=501,22, IF(U13&gt;=251,18, IF(U13&gt;=176,14, IF(U13&gt;=121,10, IF(U13&gt;=51,6, 2)))))))),0),"")</f>
        <v/>
      </c>
      <c r="BD13" s="306" t="str">
        <f ca="1">IFERROR(VLOOKUP('GHG Calcs'!$AG13,'Ferry C&amp;T EF'!$A$106:$AK$196,IF(U13&gt;=3301,37, IF(U13&gt;=1901,33, IF(U13&gt;=751,29, IF(U13&gt;=501,25, IF(U13&gt;=251,21, IF(U13&gt;=176,17, IF(U13&gt;=121,13, IF(U13&gt;=51,9, 5)))))))),0),"")</f>
        <v/>
      </c>
      <c r="BE13" s="306" t="str">
        <f ca="1">IFERROR(IF('GHG Calcs'!$AD13="Gasoline",0,VLOOKUP('GHG Calcs'!$AG13,'Ferry C&amp;T EF'!$A$106:$AK$196,IF(U13&gt;=3301,36, IF(U13&gt;=1901,32, IF(U13&gt;=751,28, IF(U13&gt;=501,24, IF(U13&gt;=251,20, IF(U13&gt;=176,16, IF(U13&gt;=121,12, IF(U13&gt;=51,8, 4)))))))),0)),"")</f>
        <v/>
      </c>
      <c r="BF13" s="1419" t="str">
        <f ca="1">IFERROR(IF('GHG Calcs'!$AD13="Gasoline",VLOOKUP('GHG Calcs'!$AH13,'Fuel Consumption'!$A$31:$L$2316,3,0),IF(OR('GHG Calcs'!$AD13="CNG",'GHG Calcs'!$AD13="LNG",'GHG Calcs'!$AD13="Renewable Natural Gas"),VLOOKUP('GHG Calcs'!$AH13,'Fuel Consumption'!$A$31:$L$2316,4,0)*VLOOKUP('GHG Calcs'!$AD13,'GHG EF'!$B$10:$H$19,4,0),VLOOKUP('GHG Calcs'!$AH13,'Fuel Consumption'!$A$31:$L$2316,2,0)*VLOOKUP('GHG Calcs'!$AD13,'GHG EF'!$B$10:$H$19,4,0))),"")</f>
        <v/>
      </c>
      <c r="BG13" s="1419" t="str">
        <f ca="1">IFERROR(IF(OR('GHG Calcs'!$AD13="Diesel",'GHG Calcs'!$AD13="Renewable Diesel",'GHG Calcs'!$AD13="Biodiesel"),VLOOKUP('GHG Calcs'!$AH13,'Fuel Consumption'!$A$31:$L$2316,6,0)*VLOOKUP('GHG Calcs'!$AD13,'GHG EF'!$B$10:$H$19,4,0),VLOOKUP('GHG Calcs'!$AH13,'Fuel Consumption'!$A$31:$L$2316,7,0)*VLOOKUP('GHG Calcs'!$AD13,'GHG EF'!$B$10:$H$19,5,0)),"")</f>
        <v/>
      </c>
      <c r="BH13" s="1419" t="str">
        <f ca="1">IFERROR(IF(OR('GHG Calcs'!$AD13="Diesel",'GHG Calcs'!$AD13="Renewable Diesel",'GHG Calcs'!$AD13="Biodiesel"),VLOOKUP('GHG Calcs'!$AH13,'Fuel Consumption'!$A$31:$L$2316,9,0)*VLOOKUP('GHG Calcs'!$AD13,'GHG EF'!$B$10:$H$19,4,0),VLOOKUP('GHG Calcs'!$AH13,'Fuel Consumption'!$A$31:$L$2316,10,0)*VLOOKUP('GHG Calcs'!$AD13,'GHG EF'!$B$10:$H$19,5,0)),"")</f>
        <v/>
      </c>
      <c r="BI13" s="1419" t="str">
        <f ca="1">IFERROR(VLOOKUP('GHG Calcs'!$AH13,'Fuel Consumption'!$A$31:$L$2316,12,0)*VLOOKUP('GHG Calcs'!$AD13,'GHG EF'!$B$10:$H$19,4,0),"")</f>
        <v/>
      </c>
      <c r="BJ13" s="1373" t="str">
        <f ca="1">IFERROR(IF(OR('GHG Calcs'!AD13=Defaults!$I$3, 'GHG Calcs'!AD13=Defaults!$I$4, 'GHG Calcs'!AD13=Defaults!$I$6, 'GHG Calcs'!AD13=Defaults!$I$8), IF('GHG Calcs'!AE13&gt;0,'GHG Calcs'!AE13*IF('GHG Calcs'!AD13=Defaults!$I$3,'GHG EF'!$C$11/'GHG EF'!$C$12,1),'GHG Calcs'!AK13*'GHG Calcs'!AI13),"")*('GHG Calcs'!I13-'GHG Calcs'!H13),"")</f>
        <v/>
      </c>
      <c r="BK13" s="1373" t="str">
        <f ca="1">IFERROR(IF('GHG Calcs'!AD13=Defaults!$I$5,IF('GHG Calcs'!AE13&gt;0,'GHG Calcs'!AE13,'GHG Calcs'!AJ13*'GHG Calcs'!AI13),"")*IF('GHG Calcs'!AF13&lt;'GHG EF'!$D$13,'GHG Calcs'!AF13/'GHG EF'!$D$13,1)*IF('GHG Calcs'!AF13&lt;0,0,1)*('GHG Calcs'!I13-'GHG Calcs'!H13),"")</f>
        <v/>
      </c>
      <c r="BL13" s="1373" t="str">
        <f ca="1">IFERROR(IF('GHG Calcs'!AD13=Defaults!$I$11, IF(IF('GHG Calcs'!AE13&gt;0,'GHG Calcs'!AE13,'GHG Calcs'!AJ13*'GHG Calcs'!AI13)&lt;INDIRECT("'"&amp;#REF!&amp;"'!"&amp;$D13&amp;ROW(#REF!)), IF('GHG Calcs'!AE13&gt;0,'GHG Calcs'!AE13,'GHG Calcs'!AJ13*'GHG Calcs'!AI13), INDIRECT("'"&amp;#REF!&amp;"'!"&amp;$D13&amp;ROW(#REF!))),"")*('GHG Calcs'!I13-'GHG Calcs'!H13),"")</f>
        <v/>
      </c>
      <c r="BM13" s="1420" t="str">
        <f ca="1">IFERROR(IF('GHG Calcs'!AE13&gt;0,'GHG Calcs'!AE13,'GHG Calcs'!AL13*'GHG Calcs'!AI13)*VLOOKUP('GHG Calcs'!AD13,'Fuel &amp; Travel Costs'!$B$10:$C$19,2,0)*('GHG Calcs'!I13-'GHG Calcs'!H13),"")</f>
        <v/>
      </c>
      <c r="BN13" s="306">
        <f ca="1">INDIRECT("'Quantifiable Component "&amp;$B13&amp;"'!"&amp;$D13&amp;ROW('Quantifiable Component 1'!$59:$59))</f>
        <v>0</v>
      </c>
      <c r="BO13" s="306">
        <f ca="1">INDIRECT("'Quantifiable Component "&amp;$B13&amp;"'!"&amp;$D13&amp;ROW('Quantifiable Component 1'!$60:$60))</f>
        <v>0</v>
      </c>
      <c r="BP13" s="1421" t="str">
        <f ca="1">IFERROR(IF('GHG Calcs'!$BD13="Gasoline",VLOOKUP('GHG Calcs'!$BL13,'Bus C&amp;T EF'!$D$30:$V$2315,3,0),IF(OR('GHG Calcs'!$BD13="CNG",'GHG Calcs'!$BD13="LNG",'GHG Calcs'!$BD13="Renewable Natural Gas"),VLOOKUP('GHG Calcs'!$BL13,'Bus C&amp;T EF'!$D$30:$V$2315,4,0),VLOOKUP('GHG Calcs'!$BL13,'Bus C&amp;T EF'!$D$30:$V$2315,2,0)))/IF('GHG Calcs'!BE13&gt;0,$CZ13,1),"")</f>
        <v/>
      </c>
      <c r="BQ13" s="1419" t="str">
        <f ca="1">IFERROR(IF('GHG Calcs'!$BD13="Gasoline",VLOOKUP('GHG Calcs'!$BL13,'Bus C&amp;T EF'!$D$30:$V$2315,6,0),IF(OR('GHG Calcs'!$BD13="CNG",'GHG Calcs'!$BD13="LNG",'GHG Calcs'!$BD13="Renewable Natural Gas"),VLOOKUP('GHG Calcs'!$BL13,'Bus C&amp;T EF'!$D$30:$V$2315,7,0),VLOOKUP('GHG Calcs'!$BL13,'Bus C&amp;T EF'!$D$30:$V$2315,5,0)))/IF('GHG Calcs'!BE13&gt;0,$CZ13,1),"")</f>
        <v/>
      </c>
      <c r="BR13" s="1419" t="str">
        <f ca="1">IFERROR(IF('GHG Calcs'!$BD13="Gasoline",VLOOKUP('GHG Calcs'!$BL13,'Bus C&amp;T EF'!$D$30:$V$2315,9,0),IF(OR('GHG Calcs'!$BD13="CNG",'GHG Calcs'!$BD13="LNG",'GHG Calcs'!$BD13="Renewable Natural Gas"),VLOOKUP('GHG Calcs'!$BL13,'Bus C&amp;T EF'!$D$30:$V$2315,10,0),VLOOKUP('GHG Calcs'!$BL13,'Bus C&amp;T EF'!$D$30:$V$2315,8,0)))/IF('GHG Calcs'!BE13&gt;0,$CZ13,1),"")</f>
        <v/>
      </c>
      <c r="BS13" s="1419" t="str">
        <f ca="1">IFERROR(IF('GHG Calcs'!$BD13="Gasoline",VLOOKUP('GHG Calcs'!$BL13,'Bus C&amp;T EF'!$D$30:$V$2315,12,0),IF(OR('GHG Calcs'!$BD13="CNG",'GHG Calcs'!$BD13="LNG",'GHG Calcs'!$BD13="Renewable Natural Gas"),VLOOKUP('GHG Calcs'!$BL13,'Bus C&amp;T EF'!$D$30:$V$2315,13,0),IF(OR('GHG Calcs'!$BD13="Electric",'GHG Calcs'!$BD13="Hydrogen Fuel Cell",'GHG Calcs'!$BD13="Renewable Electricity"),VLOOKUP('GHG Calcs'!$BL13,'Bus C&amp;T EF'!$D$30:$V$2315,14,0),VLOOKUP('GHG Calcs'!$BL13,'Bus C&amp;T EF'!$D$30:$V$2315,11,0))))/IF('GHG Calcs'!BE13&gt;0,$CZ13,1),"")</f>
        <v/>
      </c>
      <c r="BT13" s="1419" t="str">
        <f ca="1">IFERROR(IF('GHG Calcs'!$BD13="Gasoline",VLOOKUP('GHG Calcs'!$BL13,'Bus C&amp;T EF'!$D$30:$V$2315,16,0),IF(OR('GHG Calcs'!$BD13="CNG",'GHG Calcs'!$BD13="LNG",'GHG Calcs'!$BD13="Renewable Natural Gas"),VLOOKUP('GHG Calcs'!$BL13,'Bus C&amp;T EF'!$D$30:$V$2315,17,0),IF(OR('GHG Calcs'!$BD13="Electric",'GHG Calcs'!$BD13="Hydrogen Fuel Cell",'GHG Calcs'!$BD13="Renewable Electricity"),VLOOKUP('GHG Calcs'!$BL13,'Bus C&amp;T EF'!$D$30:$V$2315,18,0),VLOOKUP('GHG Calcs'!$BL13,'Bus C&amp;T EF'!$D$30:$V$2315,15,0))))/IF('GHG Calcs'!BE13&gt;0,$CZ13,1),"")</f>
        <v/>
      </c>
      <c r="BU13" s="306" t="str">
        <f ca="1">IFERROR(IF('GHG Calcs'!$BD13="Gasoline",0,VLOOKUP('GHG Calcs'!$BL13,'Bus C&amp;T EF'!$D$30:$V$2315,19,0))/IF('GHG Calcs'!BE13&gt;0,$CZ13,1),"")</f>
        <v/>
      </c>
      <c r="BV13" s="1419" t="str">
        <f ca="1">IFERROR(IF(OR('GHG Calcs'!$BD13="Diesel",'GHG Calcs'!$BD13="Renewable Diesel",'GHG Calcs'!$BD13="Biodiesel"),VLOOKUP('GHG Calcs'!$BL13,'Van C&amp;T EF'!$D$30:$Q$2315,2,0),VLOOKUP('GHG Calcs'!$BL13,'Van C&amp;T EF'!$D$30:$Q$2315,3,0))/IF('GHG Calcs'!BE13&gt;0,$DA13,1),"")</f>
        <v/>
      </c>
      <c r="BW13" s="1419" t="str">
        <f ca="1">IFERROR(IF(OR('GHG Calcs'!$BD13="Diesel",'GHG Calcs'!$BD13="Renewable Diesel",'GHG Calcs'!$BD13="Biodiesel"),VLOOKUP('GHG Calcs'!$BL13,'Van C&amp;T EF'!$D$30:$Q$2315,4,0),VLOOKUP('GHG Calcs'!$BL13,'Van C&amp;T EF'!$D$30:$Q$2315,5,0))/IF('GHG Calcs'!BE13&gt;0,$DA13,1),"")</f>
        <v/>
      </c>
      <c r="BX13" s="1419" t="str">
        <f ca="1">IFERROR(IF(OR('GHG Calcs'!$BD13="Diesel",'GHG Calcs'!$BD13="Renewable Diesel",'GHG Calcs'!$BD13="Biodiesel"),VLOOKUP('GHG Calcs'!$BL13,'Van C&amp;T EF'!$D$30:$Q$2315,6,0),VLOOKUP('GHG Calcs'!$BL13,'Van C&amp;T EF'!$D$30:$Q$2315,7,0))/IF('GHG Calcs'!BE13&gt;0,$DA13,1),"")</f>
        <v/>
      </c>
      <c r="BY13" s="1419" t="str">
        <f ca="1">IFERROR(IF(OR('GHG Calcs'!$BD13="Diesel",'GHG Calcs'!$BD13="Renewable Diesel",'GHG Calcs'!$BD13="Biodiesel"),VLOOKUP('GHG Calcs'!$BL13,'Van C&amp;T EF'!$D$30:$Q$2315,8,0),IF(OR('GHG Calcs'!$BD13="Electric",'GHG Calcs'!$BD13="Hydrogen Fuel Cell",'GHG Calcs'!$BD13="Renewable Electricity"),VLOOKUP('GHG Calcs'!$BL13,'Van C&amp;T EF'!$D$30:$Q$2315,10,0),VLOOKUP('GHG Calcs'!$BL13,'Van C&amp;T EF'!$D$30:$Q$2315,9,0)))/IF('GHG Calcs'!BE13&gt;0,$DA13,1),"")</f>
        <v/>
      </c>
      <c r="BZ13" s="1419" t="str">
        <f ca="1">IFERROR(IF(OR('GHG Calcs'!$BD13="Diesel",'GHG Calcs'!$BD13="Renewable Diesel",'GHG Calcs'!$BD13="Biodiesel"),VLOOKUP('GHG Calcs'!$BL13,'Van C&amp;T EF'!$D$30:$Q$2315,11,0),IF(OR('GHG Calcs'!$BD13="Electric",'GHG Calcs'!$BD13="Hydrogen Fuel Cell",'GHG Calcs'!$BD13="Renewable Electricity"),VLOOKUP('GHG Calcs'!$BL13,'Van C&amp;T EF'!$D$30:$Q$2315,13,0),VLOOKUP('GHG Calcs'!$BL13,'Van C&amp;T EF'!$D$30:$Q$2315,12,0)))/IF('GHG Calcs'!BE13&gt;0,$DA13,1),"")</f>
        <v/>
      </c>
      <c r="CA13" s="306">
        <f ca="1">IFERROR(IF(OR('GHG Calcs'!$BD13="Diesel",'GHG Calcs'!$BD13="Biodiesel",'GHG Calcs'!$BD13="Renewable Diesel"),VLOOKUP('GHG Calcs'!$BL13,'Van C&amp;T EF'!$D$30:$Q$2315,14,0),0)/IF('GHG Calcs'!BE13&gt;0,$DA13,1),"")</f>
        <v>0</v>
      </c>
      <c r="CB13" s="1419" t="str">
        <f ca="1">IFERROR(IF(OR('GHG Calcs'!$BD13="Diesel",'GHG Calcs'!$BD13="Renewable Diesel",'GHG Calcs'!$BD13="Biodiesel"),VLOOKUP('GHG Calcs'!$BL13,'Shuttle C&amp;T EF'!$D$30:$Q$2315,2,0),VLOOKUP('GHG Calcs'!$BL13,'Shuttle C&amp;T EF'!$D$30:$Q$2315,3,0))/IF('GHG Calcs'!BE13&gt;0,$DB13,1),"")</f>
        <v/>
      </c>
      <c r="CC13" s="1419" t="str">
        <f ca="1">IFERROR(IF(OR('GHG Calcs'!$BD13="Diesel",'GHG Calcs'!$BD13="Renewable Diesel",'GHG Calcs'!$BD13="Biodiesel"),VLOOKUP('GHG Calcs'!$BL13,'Shuttle C&amp;T EF'!$D$30:$Q$2315,4,0),VLOOKUP('GHG Calcs'!$BL13,'Shuttle C&amp;T EF'!$D$30:$Q$2315,5,0))/IF('GHG Calcs'!BE13&gt;0,$DB13,1),"")</f>
        <v/>
      </c>
      <c r="CD13" s="1419" t="str">
        <f ca="1">IFERROR(IF(OR('GHG Calcs'!$BD13="Diesel",'GHG Calcs'!$BD13="Renewable Diesel",'GHG Calcs'!$BD13="Biodiesel"),VLOOKUP('GHG Calcs'!$BL13,'Shuttle C&amp;T EF'!$D$30:$Q$2315,6,0),VLOOKUP('GHG Calcs'!$BL13,'Shuttle C&amp;T EF'!$D$30:$Q$2315,7,0))/IF('GHG Calcs'!BE13&gt;0,$DB13,1),"")</f>
        <v/>
      </c>
      <c r="CE13" s="1419" t="str">
        <f ca="1">IFERROR(IF(OR('GHG Calcs'!$BD13="Diesel",'GHG Calcs'!$BD13="Renewable Diesel",'GHG Calcs'!$BD13="Biodiesel"),VLOOKUP('GHG Calcs'!$BL13,'Shuttle C&amp;T EF'!$D$30:$Q$2315,8,0),IF(OR('GHG Calcs'!$BD13="Electric",'GHG Calcs'!$BD13="Hydrogen Fuel Cell",'GHG Calcs'!$BD13="Renewable Electricity"),VLOOKUP('GHG Calcs'!$BL13,'Shuttle C&amp;T EF'!$D$30:$Q$2315,10,0),VLOOKUP('GHG Calcs'!$BL13,'Shuttle C&amp;T EF'!$D$30:$Q$2315,9,0)))/IF('GHG Calcs'!BE13&gt;0,$DB13,1),"")</f>
        <v/>
      </c>
      <c r="CF13" s="1419" t="str">
        <f ca="1">IFERROR(IF(OR('GHG Calcs'!$BD13="Diesel",'GHG Calcs'!$BD13="Renewable Diesel",'GHG Calcs'!$BD13="Biodiesel"),VLOOKUP('GHG Calcs'!$BL13,'Shuttle C&amp;T EF'!$D$30:$Q$2315,11,0),IF(OR('GHG Calcs'!$BD13="Electric",'GHG Calcs'!$BD13="Hydrogen Fuel Cell",'GHG Calcs'!$BD13="Renewable Electricity"),VLOOKUP('GHG Calcs'!$BL13,'Shuttle C&amp;T EF'!$D$30:$Q$2315,13,0),VLOOKUP('GHG Calcs'!$BL13,'Shuttle C&amp;T EF'!$D$30:$Q$2315,12,0)))/IF('GHG Calcs'!BE13&gt;0,$DB13,1),"")</f>
        <v/>
      </c>
      <c r="CG13" s="1419">
        <f ca="1">IFERROR(IF(OR('GHG Calcs'!$BD13="Diesel",'GHG Calcs'!$BD13="Biodiesel",'GHG Calcs'!$BD13="Renewable Diesel"),VLOOKUP('GHG Calcs'!$BL13,'Shuttle C&amp;T EF'!$D$30:$Q$2315,14,0),0)/IF('GHG Calcs'!BE13&gt;0,$DB13,1),"")</f>
        <v>0</v>
      </c>
      <c r="CH13" s="306" t="str">
        <f ca="1">IFERROR((VLOOKUP('GHG Calcs'!$BL13,'Over-Road Coach C&amp;T EF'!$D$29:$N$2314,2,0)+VLOOKUP('GHG Calcs'!$BL13,'Over-Road Coach C&amp;T EF'!$D$29:$N$2314,3,0))/IF('GHG Calcs'!BE13&gt;0,$DC13,1),"")</f>
        <v/>
      </c>
      <c r="CI13" s="306" t="str">
        <f ca="1">IFERROR((VLOOKUP('GHG Calcs'!$BL13,'Over-Road Coach C&amp;T EF'!$D$29:$N$2314,4,0)+VLOOKUP('GHG Calcs'!$BL13,'Over-Road Coach C&amp;T EF'!$D$29:$N$2314,5,0))/IF('GHG Calcs'!BE13&gt;0,$DC13,1),"")</f>
        <v/>
      </c>
      <c r="CJ13" s="306" t="str">
        <f ca="1">IFERROR((VLOOKUP('GHG Calcs'!$BL13,'Over-Road Coach C&amp;T EF'!$D$29:$N$2314,6,0)+VLOOKUP('GHG Calcs'!$BL13,'Over-Road Coach C&amp;T EF'!$D$29:$N$2314,7,0))/IF('GHG Calcs'!BE13&gt;0,$DC13,1),"")</f>
        <v/>
      </c>
      <c r="CK13" s="306" t="str">
        <f ca="1">IFERROR(VLOOKUP('GHG Calcs'!$BL13,'Over-Road Coach C&amp;T EF'!$D$29:$N$2314,8,0)/IF('GHG Calcs'!BE13&gt;0,$DC13,1),"")</f>
        <v/>
      </c>
      <c r="CL13" s="306" t="str">
        <f ca="1">IFERROR(VLOOKUP('GHG Calcs'!$BL13,'Over-Road Coach C&amp;T EF'!$D$29:$N$2314,9,0)/IF('GHG Calcs'!BE13&gt;0,$DC13,1),"")</f>
        <v/>
      </c>
      <c r="CM13" s="306" t="str">
        <f ca="1">IFERROR((VLOOKUP('GHG Calcs'!$BL13,'Over-Road Coach C&amp;T EF'!$D$29:$N$2314,10,0)+VLOOKUP('GHG Calcs'!$BL13,'Over-Road Coach C&amp;T EF'!$D$29:$N$2314,11,0))/IF('GHG Calcs'!BE13&gt;0,$DC13,1),"")</f>
        <v/>
      </c>
      <c r="CN13" s="306" t="str">
        <f ca="1">IFERROR(VLOOKUP(BN13,'Co-Benefit Calcs'!$E$76:$I$83,2,0)/IF('GHG Calcs'!$BE13&gt;0,'Rail C&amp;T EF'!$K$14,1),"")</f>
        <v/>
      </c>
      <c r="CO13" s="306" t="str">
        <f ca="1">IFERROR(VLOOKUP(BN13,'Co-Benefit Calcs'!$E$76:$I$83,3,0)/IF('GHG Calcs'!$BE13&gt;0,'Rail C&amp;T EF'!$K$14,1),"")</f>
        <v/>
      </c>
      <c r="CP13" s="306" t="str">
        <f ca="1">IFERROR(VLOOKUP(BN13,'Co-Benefit Calcs'!$E$76:$I$83,4,0)/IF('GHG Calcs'!$BE13&gt;0,'Rail C&amp;T EF'!$K$14,1),"")</f>
        <v/>
      </c>
      <c r="CQ13" s="306" t="str">
        <f ca="1">IFERROR(IF('GHG Calcs'!$BD13="Gasoline",0,VLOOKUP(BN13,'Co-Benefit Calcs'!$E$76:$I$83,5,0))/IF('GHG Calcs'!$BE13&gt;0,'Rail C&amp;T EF'!$K$14,1),"")</f>
        <v/>
      </c>
      <c r="CR13" s="306" t="str">
        <f ca="1">IFERROR(VLOOKUP('GHG Calcs'!$BG13,'Rail C&amp;T EF'!$A$43:$Y$133,IF(BO13&gt;750,23, IF(BO13&gt;=600,20, IF(BO13&gt;=300,17, IF(BO13&gt;=175,14, IF(BO13&gt;=100,11, IF(BO13&gt;=75,8, IF(BO13&gt;=50,5, 2))))))),0) * IF($BO13&gt;=750,'Rail C&amp;T EF'!$K$18,'Rail C&amp;T EF'!$K$19) * IF('GHG Calcs'!BE13&gt;0,1,'Rail C&amp;T EF'!$B$149) * IF(OR('GHG Calcs'!BD13="Diesel", 'GHG Calcs'!BD13="Renewable Diesel", 'GHG Calcs'!BD13="Biodiesel"),'Rail C&amp;T EF'!$B$141,'Rail C&amp;T EF'!$B$142),"")</f>
        <v/>
      </c>
      <c r="CS13" s="306" t="str">
        <f ca="1">IFERROR(VLOOKUP('GHG Calcs'!$BG13,'Rail C&amp;T EF'!$A$43:$Y$133,IF(BO13&gt;750,24, IF(BO13&gt;=600,21, IF(BO13&gt;=300,18, IF(BO13&gt;=175,15, IF(BO13&gt;=100,12, IF(BO13&gt;=75,9, IF(BO13&gt;=50,6, 3))))))),0) * IF($BO13&gt;=750,'Rail C&amp;T EF'!$K$18,'Rail C&amp;T EF'!$K$19) * IF('GHG Calcs'!$BE13&gt;0,1,'Rail C&amp;T EF'!$B$149),"")</f>
        <v/>
      </c>
      <c r="CT13" s="306" t="str">
        <f ca="1">IFERROR(VLOOKUP('GHG Calcs'!$BG13,'Rail C&amp;T EF'!$A$43:$Y$133,IF(BO13&gt;750,25, IF(BO13&gt;=600,22, IF(BO13&gt;=300,19, IF(BO13&gt;=175,16, IF(BO13&gt;=100,13, IF(BO13&gt;=75,10, IF(BO13&gt;=50,7, 4))))))),0) * IF($BO13&gt;=750,'Rail C&amp;T EF'!$K$18,'Rail C&amp;T EF'!$K$19) * IF('GHG Calcs'!$BE13&gt;0,1,'Rail C&amp;T EF'!$B$149)*'Rail C&amp;T EF'!$B$146,"")</f>
        <v/>
      </c>
      <c r="CU13" s="306" t="str">
        <f ca="1">IFERROR(IF('GHG Calcs'!BD13="Gasoline",0,VLOOKUP('GHG Calcs'!$BG13,'Rail C&amp;T EF'!$A$43:$Y$133,IF(BO13&gt;750,25, IF(BO13&gt;=600,22, IF(BO13&gt;=300,19, IF(BO13&gt;=175,16, IF(BO13&gt;=100,13, IF(BO13&gt;=75,10, IF(BO13&gt;=50,7, 4))))))),0) * IF($BO13&gt;=750,'Rail C&amp;T EF'!$K$18,'Rail C&amp;T EF'!$K$19) * IF('GHG Calcs'!$BE13&gt;0,1,'Rail C&amp;T EF'!$B$149)),"")</f>
        <v/>
      </c>
      <c r="CV13" s="306" t="str">
        <f ca="1">IFERROR(VLOOKUP('GHG Calcs'!$BG13,'Ferry C&amp;T EF'!$A$106:$AK$196,IF(BO13&gt;=3301,35, IF(BO13&gt;=1901,31, IF(BO13&gt;=751,27, IF(BO13&gt;=501,23, IF(BO13&gt;=251,19, IF(BO13&gt;=176,15, IF(BO13&gt;=121,11, IF(BO13&gt;=51,7, 3)))))))),0),"")</f>
        <v/>
      </c>
      <c r="CW13" s="306" t="str">
        <f ca="1">IFERROR(VLOOKUP('GHG Calcs'!$BG13,'Ferry C&amp;T EF'!$A$106:$AK$196,IF(BO13&gt;=3301,34, IF(BO13&gt;=1901,30, IF(BO13&gt;=751,26, IF(BO13&gt;=501,22, IF(BO13&gt;=251,18, IF(BO13&gt;=176,14, IF(BO13&gt;=121,10, IF(BO13&gt;=51,6, 2)))))))),0),"")</f>
        <v/>
      </c>
      <c r="CX13" s="306" t="str">
        <f ca="1">IFERROR(VLOOKUP('GHG Calcs'!$BG13,'Ferry C&amp;T EF'!$A$106:$AK$196,IF(BO13&gt;=3301,37, IF(BO13&gt;=1901,33, IF(BO13&gt;=751,29, IF(BO13&gt;=501,25, IF(BO13&gt;=251,21, IF(BO13&gt;=176,17, IF(BO13&gt;=121,13, IF(BO13&gt;=51,9, 5)))))))),0),"")</f>
        <v/>
      </c>
      <c r="CY13" s="306" t="str">
        <f ca="1">IFERROR(IF('GHG Calcs'!$BD13="Gasoline",0,VLOOKUP('GHG Calcs'!$BG13,'Ferry C&amp;T EF'!$A$106:$AK$196,IF(BO13&gt;=3301,36, IF(BO13&gt;=1901,32, IF(BO13&gt;=751,28, IF(BO13&gt;=501,24, IF(BO13&gt;=251,20, IF(BO13&gt;=176,16, IF(BO13&gt;=121,12, IF(BO13&gt;=51,8, 4)))))))),0)),"")</f>
        <v/>
      </c>
      <c r="CZ13" s="1419" t="str">
        <f ca="1">IFERROR(IF('GHG Calcs'!$BD13="Gasoline",VLOOKUP('GHG Calcs'!$BL13,'Fuel Consumption'!$A$31:$L$2316,3,0),IF(OR('GHG Calcs'!$BD13="CNG",'GHG Calcs'!$BD13="LNG",'GHG Calcs'!$BD13="Renewable Natural Gas"),VLOOKUP('GHG Calcs'!$BL13,'Fuel Consumption'!$A$31:$L$2316,4,0)*VLOOKUP('GHG Calcs'!$BD13,'GHG EF'!$B$10:$H$19,4,0),VLOOKUP('GHG Calcs'!$BL13,'Fuel Consumption'!$A$31:$L$2316,2,0)*VLOOKUP('GHG Calcs'!$AD13,'GHG EF'!$B$10:$H$19,4,0))),"")</f>
        <v/>
      </c>
      <c r="DA13" s="1419" t="str">
        <f ca="1">IFERROR(IF(OR('GHG Calcs'!$BD13="Diesel",'GHG Calcs'!$BD13="Renewable Diesel",'GHG Calcs'!$BD13="Biodiesel"),VLOOKUP('GHG Calcs'!$BL13,'Fuel Consumption'!$A$31:$L$2316,6,0)*VLOOKUP('GHG Calcs'!$BD13,'GHG EF'!$B$10:$H$19,4,0),VLOOKUP('GHG Calcs'!$BL13,'Fuel Consumption'!$A$31:$L$2316,7,0)*VLOOKUP('GHG Calcs'!$BD13,'GHG EF'!$B$10:$H$19,5,0)),"")</f>
        <v/>
      </c>
      <c r="DB13" s="1419" t="str">
        <f ca="1">IFERROR(IF(OR('GHG Calcs'!$BD13="Diesel",'GHG Calcs'!$BD13="Renewable Diesel",'GHG Calcs'!$BD13="Biodiesel"),VLOOKUP('GHG Calcs'!$BL13,'Fuel Consumption'!$A$31:$L$2316,9,0)*VLOOKUP('GHG Calcs'!$BD13,'GHG EF'!$B$10:$H$19,4,0),VLOOKUP('GHG Calcs'!$BL13,'Fuel Consumption'!$A$31:$L$2316,10,0)*VLOOKUP('GHG Calcs'!$BD13,'GHG EF'!$B$10:$H$19,5,0)),"")</f>
        <v/>
      </c>
      <c r="DC13" s="1419" t="str">
        <f ca="1">IFERROR(VLOOKUP('GHG Calcs'!$BL13,'Fuel Consumption'!$A$31:$L$2316,12,0)*VLOOKUP('GHG Calcs'!$BD13,'GHG EF'!$B$10:$H$19,4,0),"")</f>
        <v/>
      </c>
      <c r="DD13" s="1373" t="str">
        <f ca="1">IFERROR(IF(OR('GHG Calcs'!BD13=Defaults!$I$3, 'GHG Calcs'!BD13=Defaults!$I$4, 'GHG Calcs'!BD13=Defaults!$I$6, 'GHG Calcs'!BD13=Defaults!$I$8), IF('GHG Calcs'!BE13&gt;0,'GHG Calcs'!BE13*IF('GHG Calcs'!BD13=Defaults!$I$3,'GHG EF'!$C$11/'GHG EF'!$C$12,1),'GHG Calcs'!BJ13*'GHG Calcs'!BH13),"")*('GHG Calcs'!I13-'GHG Calcs'!H13),"")</f>
        <v/>
      </c>
      <c r="DE13" s="1373" t="str">
        <f ca="1">IFERROR(IF('GHG Calcs'!BD13=Defaults!$I$5,IF('GHG Calcs'!BE13&gt;0,'GHG Calcs'!BE13,'GHG Calcs'!BI13*'GHG Calcs'!BH13),"")*('GHG Calcs'!I13-'GHG Calcs'!H13),"")</f>
        <v/>
      </c>
      <c r="DF13" s="1420" t="str">
        <f ca="1">IFERROR(IF('GHG Calcs'!BE13&gt;0,'GHG Calcs'!BE13,'GHG Calcs'!BK13*'GHG Calcs'!BH13)*VLOOKUP('GHG Calcs'!BD13,'Fuel &amp; Travel Costs'!$B$10:$C$19,2,0)*('GHG Calcs'!I13-'GHG Calcs'!H13),"")</f>
        <v/>
      </c>
      <c r="DG13" s="306">
        <f ca="1">INDIRECT("'Quantifiable Component "&amp;$B13&amp;"'!"&amp;$D13&amp;ROW('Quantifiable Component 1'!$70:$70))</f>
        <v>0</v>
      </c>
      <c r="DH13" s="306">
        <f ca="1">INDIRECT("'Quantifiable Component "&amp;$B13&amp;"'!"&amp;$D13&amp;ROW('Quantifiable Component 1'!$71:$71))</f>
        <v>0</v>
      </c>
      <c r="DI13" s="1422" t="str">
        <f ca="1">IFERROR(IF('GHG Calcs'!$CD13="Gasoline",VLOOKUP('GHG Calcs'!$CG13,'Bus C&amp;T EF'!$D$30:$V$2315,3,0),IF(OR('GHG Calcs'!$CD13="CNG",'GHG Calcs'!$CD13="LNG",'GHG Calcs'!$CD13="Renewable Natural Gas"),VLOOKUP('GHG Calcs'!$CG13,'Bus C&amp;T EF'!$D$30:$V$2315,4,0),VLOOKUP('GHG Calcs'!$CG13,'Bus C&amp;T EF'!$D$30:$V$2315,2,0)))/$ES13,"")</f>
        <v/>
      </c>
      <c r="DJ13" s="306" t="str">
        <f ca="1">IFERROR(IF('GHG Calcs'!$CD13="Gasoline",VLOOKUP('GHG Calcs'!$CG13,'Bus C&amp;T EF'!$D$30:$V$2315,6,0),IF(OR('GHG Calcs'!$CD13="CNG",'GHG Calcs'!$CD13="LNG",'GHG Calcs'!$CD13="Renewable Natural Gas"),VLOOKUP('GHG Calcs'!$CG13,'Bus C&amp;T EF'!$D$30:$V$2315,7,0),VLOOKUP('GHG Calcs'!$CG13,'Bus C&amp;T EF'!$D$30:$V$2315,5,0)))/$ES13,"")</f>
        <v/>
      </c>
      <c r="DK13" s="306" t="str">
        <f ca="1">IFERROR(IF('GHG Calcs'!$CD13="Gasoline",VLOOKUP('GHG Calcs'!$CG13,'Bus C&amp;T EF'!$D$30:$V$2315,9,0),IF(OR('GHG Calcs'!$CD13="CNG",'GHG Calcs'!$CD13="LNG",'GHG Calcs'!$CD13="Renewable Natural Gas"),VLOOKUP('GHG Calcs'!$CG13,'Bus C&amp;T EF'!$D$30:$V$2315,10,0),VLOOKUP('GHG Calcs'!$CG13,'Bus C&amp;T EF'!$D$30:$V$2315,8,0)))/$ES13,"")</f>
        <v/>
      </c>
      <c r="DL13" s="306" t="str">
        <f ca="1">IFERROR(IF('GHG Calcs'!$CD13="Gasoline",VLOOKUP('GHG Calcs'!$CG13,'Bus C&amp;T EF'!$D$30:$V$2315,12,0),IF(OR('GHG Calcs'!$CD13="CNG",'GHG Calcs'!$CD13="LNG",'GHG Calcs'!$CD13="Renewable Natural Gas"),VLOOKUP('GHG Calcs'!$CG13,'Bus C&amp;T EF'!$D$30:$V$2315,13,0),IF('GHG Calcs'!$CD13="Electric",VLOOKUP('GHG Calcs'!$CG13,'Bus C&amp;T EF'!$D$30:$V$2315,14,0),VLOOKUP('GHG Calcs'!$CG13,'Bus C&amp;T EF'!$D$30:$V$2315,11,0))))/$ES13,"")</f>
        <v/>
      </c>
      <c r="DM13" s="306" t="str">
        <f ca="1">IFERROR(IF('GHG Calcs'!$CD13="Gasoline",VLOOKUP('GHG Calcs'!$CG13,'Bus C&amp;T EF'!$D$30:$V$2315,16,0),IF(OR('GHG Calcs'!$CD13="CNG",'GHG Calcs'!$CD13="LNG",'GHG Calcs'!$CD13="Renewable Natural Gas"),VLOOKUP('GHG Calcs'!$CG13,'Bus C&amp;T EF'!$D$30:$V$2315,17,0),IF('GHG Calcs'!$CD13="Electric",VLOOKUP('GHG Calcs'!$CG13,'Bus C&amp;T EF'!$D$30:$V$2315,18,0),VLOOKUP('GHG Calcs'!$CG13,'Bus C&amp;T EF'!$D$30:$V$2315,15,0))))/$ES13,"")</f>
        <v/>
      </c>
      <c r="DN13" s="306" t="str">
        <f ca="1">IFERROR(IF('GHG Calcs'!$CD13="Gasoline",0,VLOOKUP('GHG Calcs'!$CG13,'Bus C&amp;T EF'!$D$30:$V$2315,19,0))/$ES13,"")</f>
        <v/>
      </c>
      <c r="DO13" s="1419" t="str">
        <f ca="1">IFERROR(IF(OR('GHG Calcs'!$CD13="Diesel",'GHG Calcs'!$CD13="Renewable Diesel",'GHG Calcs'!$CD13="Biodiesel"),VLOOKUP('GHG Calcs'!$CG13,'Van C&amp;T EF'!$D$30:$Q$2315,2,0),VLOOKUP('GHG Calcs'!$CG13,'Van C&amp;T EF'!$D$30:$Q$2315,3,0))/$ET13,"")</f>
        <v/>
      </c>
      <c r="DP13" s="1419" t="str">
        <f ca="1">IFERROR(IF(OR('GHG Calcs'!$CD13="Diesel",'GHG Calcs'!$CD13="Renewable Diesel",'GHG Calcs'!$CD13="Biodiesel"),VLOOKUP('GHG Calcs'!$CG13,'Van C&amp;T EF'!$D$30:$Q$2315,4,0),VLOOKUP('GHG Calcs'!$CG13,'Van C&amp;T EF'!$D$30:$Q$2315,5,0))/$ET13,"")</f>
        <v/>
      </c>
      <c r="DQ13" s="1419" t="str">
        <f ca="1">IFERROR(IF(OR('GHG Calcs'!$CD13="Diesel",'GHG Calcs'!$CD13="Renewable Diesel",'GHG Calcs'!$CD13="Biodiesel"),VLOOKUP('GHG Calcs'!$CG13,'Van C&amp;T EF'!$D$30:$Q$2315,6,0),VLOOKUP('GHG Calcs'!$CG13,'Van C&amp;T EF'!$D$30:$Q$2315,7,0))/$ET13,"")</f>
        <v/>
      </c>
      <c r="DR13" s="1419" t="str">
        <f ca="1">IFERROR(IF(OR('GHG Calcs'!$CD13="Diesel",'GHG Calcs'!$CD13="Renewable Diesel",'GHG Calcs'!$CD13="Biodiesel"),VLOOKUP('GHG Calcs'!$CG13,'Van C&amp;T EF'!$D$30:$Q$2315,8,0),IF(OR('GHG Calcs'!$CD13="Electric",'GHG Calcs'!$CD13="Hydrogen Fuel Cell",'GHG Calcs'!$CD13="Renewable Electricity"),VLOOKUP('GHG Calcs'!$CG13,'Van C&amp;T EF'!$D$30:$Q$2315,10,0),VLOOKUP('GHG Calcs'!$CG13,'Van C&amp;T EF'!$D$30:$Q$2315,9,0)))/$ET13,"")</f>
        <v/>
      </c>
      <c r="DS13" s="1419" t="str">
        <f ca="1">IFERROR(IF(OR('GHG Calcs'!$CD13="Diesel",'GHG Calcs'!$CD13="Renewable Diesel",'GHG Calcs'!$CD13="Biodiesel"),VLOOKUP('GHG Calcs'!$CG13,'Van C&amp;T EF'!$D$30:$Q$2315,11,0),IF(OR('GHG Calcs'!$CD13="Electric",'GHG Calcs'!$CD13="Hydrogen Fuel Cell",'GHG Calcs'!$CD13="Renewable Electricity"),VLOOKUP('GHG Calcs'!$CG13,'Van C&amp;T EF'!$D$30:$Q$2315,13,0),VLOOKUP('GHG Calcs'!$CG13,'Van C&amp;T EF'!$D$30:$Q$2315,12,0)))/$ET13,"")</f>
        <v/>
      </c>
      <c r="DT13" s="306" t="str">
        <f ca="1">IFERROR(IF(OR('GHG Calcs'!$CD13="Diesel",'GHG Calcs'!$CD13="Biodiesel",'GHG Calcs'!$CD13="Renewable Diesel"),VLOOKUP('GHG Calcs'!$CG13,'Van C&amp;T EF'!$D$30:$Q$2315,14,0),0)/$ET13,"")</f>
        <v/>
      </c>
      <c r="DU13" s="1419" t="str">
        <f ca="1">IFERROR(IF(OR('GHG Calcs'!$CD13="Diesel",'GHG Calcs'!$CD13="Renewable Diesel",'GHG Calcs'!$CD13="Biodiesel"),VLOOKUP('GHG Calcs'!$CG13,'Shuttle C&amp;T EF'!$D$30:$Q$2315,2,0),VLOOKUP('GHG Calcs'!$CG13,'Shuttle C&amp;T EF'!$D$30:$Q$2315,3,0))/$EU13,"")</f>
        <v/>
      </c>
      <c r="DV13" s="1419" t="str">
        <f ca="1">IFERROR(IF(OR('GHG Calcs'!$CD13="Diesel",'GHG Calcs'!$CD13="Renewable Diesel",'GHG Calcs'!$CD13="Biodiesel"),VLOOKUP('GHG Calcs'!$CG13,'Shuttle C&amp;T EF'!$D$30:$Q$2315,4,0),VLOOKUP('GHG Calcs'!$CG13,'Shuttle C&amp;T EF'!$D$30:$Q$2315,5,0))/$EU13,"")</f>
        <v/>
      </c>
      <c r="DW13" s="1419" t="str">
        <f ca="1">IFERROR(IF(OR('GHG Calcs'!$CD13="Diesel",'GHG Calcs'!$CD13="Renewable Diesel",'GHG Calcs'!$CD13="Biodiesel"),VLOOKUP('GHG Calcs'!$CG13,'Shuttle C&amp;T EF'!$D$30:$Q$2315,6,0),VLOOKUP('GHG Calcs'!$CG13,'Shuttle C&amp;T EF'!$D$30:$Q$2315,7,0))/$EU13,"")</f>
        <v/>
      </c>
      <c r="DX13" s="1419" t="str">
        <f ca="1">IFERROR(IF(OR('GHG Calcs'!$CD13="Diesel",'GHG Calcs'!$CD13="Renewable Diesel",'GHG Calcs'!$CD13="Biodiesel"),VLOOKUP('GHG Calcs'!$CG13,'Shuttle C&amp;T EF'!$D$30:$Q$2315,8,0),IF(OR('GHG Calcs'!$CD13="Electric",'GHG Calcs'!$CD13="Hydrogen Fuel Cell",'GHG Calcs'!$CD13="Renewable Electricity"),VLOOKUP('GHG Calcs'!$CG13,'Shuttle C&amp;T EF'!$D$30:$Q$2315,10,0),VLOOKUP('GHG Calcs'!$CG13,'Shuttle C&amp;T EF'!$D$30:$Q$2315,9,0)))/$EU13,"")</f>
        <v/>
      </c>
      <c r="DY13" s="1419" t="str">
        <f ca="1">IFERROR(IF(OR('GHG Calcs'!$CD13="Diesel",'GHG Calcs'!$CD13="Renewable Diesel",'GHG Calcs'!$CD13="Biodiesel"),VLOOKUP('GHG Calcs'!$CG13,'Shuttle C&amp;T EF'!$D$30:$Q$2315,11,0),IF(OR('GHG Calcs'!$CD13="Electric",'GHG Calcs'!$CD13="Hydrogen Fuel Cell",'GHG Calcs'!$CD13="Renewable Electricity"),VLOOKUP('GHG Calcs'!$CG13,'Shuttle C&amp;T EF'!$D$30:$Q$2315,13,0),VLOOKUP('GHG Calcs'!$CG13,'Shuttle C&amp;T EF'!$D$30:$Q$2315,12,0)))/$EU13,"")</f>
        <v/>
      </c>
      <c r="DZ13" s="1419" t="str">
        <f ca="1">IFERROR(IF(OR('GHG Calcs'!$CD13="Diesel",'GHG Calcs'!$CD13="Biodiesel",'GHG Calcs'!$CD13="Renewable Diesel"),VLOOKUP('GHG Calcs'!$CG13,'Shuttle C&amp;T EF'!$D$30:$Q$2315,14,0),0)/$EU13,"")</f>
        <v/>
      </c>
      <c r="EA13" s="306" t="str">
        <f ca="1">IFERROR((VLOOKUP('GHG Calcs'!$CG13,'Over-Road Coach C&amp;T EF'!$D$29:$N$2314,2,0)+VLOOKUP('GHG Calcs'!$CG13,'Over-Road Coach C&amp;T EF'!$D$29:$N$2314,3,0))/$EV13,"")</f>
        <v/>
      </c>
      <c r="EB13" s="306" t="str">
        <f ca="1">IFERROR((VLOOKUP('GHG Calcs'!$CG13,'Over-Road Coach C&amp;T EF'!$D$29:$N$2314,4,0)+VLOOKUP('GHG Calcs'!$CG13,'Over-Road Coach C&amp;T EF'!$D$29:$N$2314,5,0))/$EV13,"")</f>
        <v/>
      </c>
      <c r="EC13" s="306" t="str">
        <f ca="1">IFERROR((VLOOKUP('GHG Calcs'!$CG13,'Over-Road Coach C&amp;T EF'!$D$29:$N$2314,6,0)+VLOOKUP('GHG Calcs'!$CG13,'Over-Road Coach C&amp;T EF'!$D$29:$N$2314,7,0))/$EV13,"")</f>
        <v/>
      </c>
      <c r="ED13" s="306" t="str">
        <f ca="1">IFERROR(VLOOKUP('GHG Calcs'!$CG13,'Over-Road Coach C&amp;T EF'!$D$29:$N$2314,8,0)/$EV13,"")</f>
        <v/>
      </c>
      <c r="EE13" s="306" t="str">
        <f ca="1">IFERROR(VLOOKUP('GHG Calcs'!$CG13,'Over-Road Coach C&amp;T EF'!$D$29:$N$2314,9,0)/$EV13,"")</f>
        <v/>
      </c>
      <c r="EF13" s="306" t="str">
        <f ca="1">IFERROR((VLOOKUP('GHG Calcs'!$CG13,'Over-Road Coach C&amp;T EF'!$D$29:$N$2314,10,0)+VLOOKUP('GHG Calcs'!$CG13,'Over-Road Coach C&amp;T EF'!$D$29:$N$2314,11,0))/$EV13,"")</f>
        <v/>
      </c>
      <c r="EG13" s="306" t="str">
        <f ca="1">IFERROR(VLOOKUP(DG13,'Co-Benefit Calcs'!$E$76:$I$83,2,0)/'Rail C&amp;T EF'!$K$14,"")</f>
        <v/>
      </c>
      <c r="EH13" s="306" t="str">
        <f ca="1">IFERROR(VLOOKUP(DG13,'Co-Benefit Calcs'!$E$76:$I$83,3,0)/'Rail C&amp;T EF'!$K$14,"")</f>
        <v/>
      </c>
      <c r="EI13" s="306" t="str">
        <f ca="1">IFERROR(VLOOKUP(DG13,'Co-Benefit Calcs'!$E$76:$I$83,4,0)/'Rail C&amp;T EF'!$K$14,"")</f>
        <v/>
      </c>
      <c r="EJ13" s="306" t="str">
        <f ca="1">IFERROR(IF('GHG Calcs'!$CD13="Gasoline",0,VLOOKUP(DG13,'Co-Benefit Calcs'!$E$76:$I$83,5,0))/'Rail C&amp;T EF'!$K$14,"")</f>
        <v/>
      </c>
      <c r="EK13" s="306" t="str">
        <f ca="1">IFERROR(VLOOKUP('GHG Calcs'!CF13,'Rail C&amp;T EF'!$A$43:$Y$133,IF(DH13&gt;750,23, IF(DH13&gt;=600,20, IF(DH13&gt;=300,17, IF(DH13&gt;=175,14, IF(DH13&gt;=100,11, IF(DH13&gt;=75,8, IF(DH13&gt;=50,5, 2))))))),0) * IF($DH13&gt;=750,'Rail C&amp;T EF'!$K$18,'Rail C&amp;T EF'!$K$19) * IF(OR('GHG Calcs'!CD13="Diesel", 'GHG Calcs'!CD13="Renewable Diesel", 'GHG Calcs'!CD13="Biodiesel"),'Rail C&amp;T EF'!$B$141,'Rail C&amp;T EF'!$B$142),"")</f>
        <v/>
      </c>
      <c r="EL13" s="306" t="str">
        <f ca="1">IFERROR(VLOOKUP('GHG Calcs'!$CF13,'Rail C&amp;T EF'!$A$43:$Y$133,IF(DH13&gt;750,24, IF(DH13&gt;=600,21, IF(DH13&gt;=300,18, IF(DH13&gt;=175,15, IF(DH13&gt;=100,12, IF(DH13&gt;=75,9, IF(DH13&gt;=50,6, 3))))))),0) * IF($DH13&gt;=750,'Rail C&amp;T EF'!$K$18,'Rail C&amp;T EF'!$K$19),"")</f>
        <v/>
      </c>
      <c r="EM13" s="306" t="str">
        <f ca="1">IFERROR(VLOOKUP('GHG Calcs'!$CF13,'Rail C&amp;T EF'!$A$43:$Y$133,IF(DH13&gt;750,25, IF(DH13&gt;=600,22, IF(DH13&gt;=300,19, IF(DH13&gt;=175,16, IF(DH13&gt;=100,13, IF(DH13&gt;=75,10, IF(DH13&gt;=50,7, 4))))))),0) * IF($DH13&gt;=750,'Rail C&amp;T EF'!$K$18,'Rail C&amp;T EF'!$K$19)*'Rail C&amp;T EF'!$B$146,"")</f>
        <v/>
      </c>
      <c r="EN13" s="306" t="str">
        <f ca="1">IFERROR(IF('GHG Calcs'!CD13="Gasoline",0,VLOOKUP('GHG Calcs'!$CF13,'Rail C&amp;T EF'!$A$43:$Y$133,IF(DH13&gt;750,25, IF(DH13&gt;=600,22, IF(DH13&gt;=300,19, IF(DH13&gt;=175,16, IF(DH13&gt;=100,13, IF(DH13&gt;=75,10, IF(DH13&gt;=50,7, 4))))))),0) * IF($DH13&gt;=750,'Rail C&amp;T EF'!$K$18,'Rail C&amp;T EF'!$K$19)),"")</f>
        <v/>
      </c>
      <c r="EO13" s="306" t="str">
        <f ca="1">IFERROR(VLOOKUP('GHG Calcs'!$CF13,'Ferry C&amp;T EF'!$A$106:$AK$196,IF(DH13&gt;=3301,35, IF(DH13&gt;=1901,31, IF(DH13&gt;=751,27, IF(DH13&gt;=501,23, IF(DH13&gt;=251,19, IF(DH13&gt;=176,15, IF(DH13&gt;=121,11, IF(DH13&gt;=51,7, 3)))))))),0),"")</f>
        <v/>
      </c>
      <c r="EP13" s="306" t="str">
        <f ca="1">IFERROR(VLOOKUP('GHG Calcs'!$CF13,'Ferry C&amp;T EF'!$A$106:$AK$196,IF(DH13&gt;=3301,34, IF(DH13&gt;=1901,30, IF(DH13&gt;=751,26, IF(DH13&gt;=501,22, IF(DH13&gt;=251,18, IF(DH13&gt;=176,14, IF(DH13&gt;=121,10, IF(DH13&gt;=51,6, 2)))))))),0),"")</f>
        <v/>
      </c>
      <c r="EQ13" s="306" t="str">
        <f ca="1">IFERROR(VLOOKUP('GHG Calcs'!$CF13,'Ferry C&amp;T EF'!$A$106:$AK$196,IF(DH13&gt;=3301,37, IF(DH13&gt;=1901,33, IF(DH13&gt;=751,29, IF(DH13&gt;=501,25, IF(DH13&gt;=251,21, IF(DH13&gt;=176,17, IF(DH13&gt;=121,13, IF(DH13&gt;=51,9, 5)))))))),0),"")</f>
        <v/>
      </c>
      <c r="ER13" s="306" t="str">
        <f ca="1">IFERROR(IF('GHG Calcs'!$CD13="Gasoline",0,VLOOKUP('GHG Calcs'!$CF13,'Ferry C&amp;T EF'!$A$106:$AK$196,IF(DH13&gt;=3301,36, IF(DH13&gt;=1901,32, IF(DH13&gt;=751,28, IF(DH13&gt;=501,24, IF(DH13&gt;=251,20, IF(DH13&gt;=176,16, IF(DH13&gt;=121,12, IF(DH13&gt;=51,8, 4)))))))),0)),"")</f>
        <v/>
      </c>
      <c r="ES13" s="1419" t="str">
        <f ca="1">IFERROR(IF('GHG Calcs'!$CD13="Gasoline",VLOOKUP('GHG Calcs'!$CG13,'Fuel Consumption'!$A$31:$L$2316,3,0),IF(OR('GHG Calcs'!$CD13="CNG",'GHG Calcs'!$CD13="LNG",'GHG Calcs'!$CD13="Renewable Natural Gas"),VLOOKUP('GHG Calcs'!$CG13,'Fuel Consumption'!$A$31:$L$2316,4,0)*VLOOKUP('GHG Calcs'!$CD13,'GHG EF'!$B$10:$H$19,4,0),VLOOKUP('GHG Calcs'!$CG13,'Fuel Consumption'!$A$31:$L$2316,2,0)*VLOOKUP('GHG Calcs'!$AD13,'GHG EF'!$B$10:$H$19,4,0))),"")</f>
        <v/>
      </c>
      <c r="ET13" s="1419" t="str">
        <f ca="1">IFERROR(IF(OR('GHG Calcs'!$CD13="Diesel",'GHG Calcs'!$CD13="Renewable Diesel",'GHG Calcs'!$CD13="Biodiesel"),VLOOKUP('GHG Calcs'!$CG13,'Fuel Consumption'!$A$31:$L$2316,6,0)*VLOOKUP('GHG Calcs'!$CD13,'GHG EF'!$B$10:$H$19,4,0),VLOOKUP('GHG Calcs'!$CG13,'Fuel Consumption'!$A$31:$L$2316,7,0)*VLOOKUP('GHG Calcs'!$CD13,'GHG EF'!$B$10:$H$19,5,0)),"")</f>
        <v/>
      </c>
      <c r="EU13" s="1419" t="str">
        <f ca="1">IFERROR(IF(OR('GHG Calcs'!$CD13="Diesel",'GHG Calcs'!$CD13="Renewable Diesel",'GHG Calcs'!$CD13="Biodiesel"),VLOOKUP('GHG Calcs'!$CG13,'Fuel Consumption'!$A$31:$L$2316,9,0)*VLOOKUP('GHG Calcs'!$CD13,'GHG EF'!$B$10:$H$19,4,0),VLOOKUP('GHG Calcs'!$CG13,'Fuel Consumption'!$A$31:$L$2316,10,0)*VLOOKUP('GHG Calcs'!$CD13,'GHG EF'!$B$10:$H$19,5,0)),"")</f>
        <v/>
      </c>
      <c r="EV13" s="1419" t="str">
        <f ca="1">IFERROR(VLOOKUP('GHG Calcs'!$CG13,'Fuel Consumption'!$A$31:$L$2316,12,0)*VLOOKUP('GHG Calcs'!$CD13,'GHG EF'!$B$10:$H$19,4,0),"")</f>
        <v/>
      </c>
      <c r="EW13" s="1373" t="str">
        <f ca="1">IFERROR(IF(OR('GHG Calcs'!CD13=Defaults!$I$4, 'GHG Calcs'!CD13=Defaults!$I$6, 'GHG Calcs'!CD13=Defaults!$I$8),'GHG Calcs'!CE13,IF('GHG Calcs'!CD13=Defaults!$I$3, 'GHG Calcs'!CE13*'GHG EF'!$C$11/'GHG EF'!$C$12,""))*('GHG Calcs'!I13-'GHG Calcs'!H13),"")</f>
        <v/>
      </c>
      <c r="EX13" s="1373" t="str">
        <f ca="1">IFERROR(IF('GHG Calcs'!CD13=Defaults!$I$5,'GHG Calcs'!CE13,"")*('GHG Calcs'!I13-'GHG Calcs'!H13),"")</f>
        <v/>
      </c>
      <c r="EY13" s="1420" t="str">
        <f ca="1">IFERROR('GHG Calcs'!CE13*VLOOKUP('GHG Calcs'!CD13,'Fuel &amp; Travel Costs'!$B$10:$C$19,2,0)*('GHG Calcs'!I13-'GHG Calcs'!H13),"")</f>
        <v/>
      </c>
      <c r="EZ13" s="1420" t="str">
        <f t="shared" ref="EZ13:EZ29" ca="1" si="0">EX13</f>
        <v/>
      </c>
      <c r="FA13" s="306">
        <f ca="1">INDIRECT("'Quantifiable Component "&amp;$B13&amp;"'!"&amp;$D13&amp;ROW('Quantifiable Component 1'!$77:$77))</f>
        <v>0</v>
      </c>
      <c r="FB13" s="306">
        <f ca="1">INDIRECT("'Quantifiable Component "&amp;$B13&amp;"'!"&amp;$D13&amp;ROW('Quantifiable Component 1'!$78:$78))</f>
        <v>0</v>
      </c>
      <c r="FC13" s="306">
        <f ca="1">INDIRECT("'Quantifiable Component "&amp;$B13&amp;"'!"&amp;$D13&amp;ROW('Quantifiable Component 1'!$79:$79))</f>
        <v>0</v>
      </c>
      <c r="FD13" s="306">
        <f ca="1">INDIRECT("'Quantifiable Component "&amp;$B13&amp;"'!"&amp;$D13&amp;ROW('Quantifiable Component 1'!$80:$80))</f>
        <v>0</v>
      </c>
      <c r="FE13" s="306">
        <f ca="1">INDIRECT("'Quantifiable Component "&amp;$B13&amp;"'!"&amp;$D13&amp;ROW('Quantifiable Component 1'!$81:$81))</f>
        <v>0</v>
      </c>
    </row>
    <row r="14" spans="1:162" s="117" customFormat="1" x14ac:dyDescent="0.35">
      <c r="A14" s="1648"/>
      <c r="B14" s="1367">
        <v>1</v>
      </c>
      <c r="C14" s="1368">
        <v>3</v>
      </c>
      <c r="D14" s="1368" t="str">
        <f>'GHG Calcs'!D14</f>
        <v>K</v>
      </c>
      <c r="E14" s="1416">
        <f ca="1">'GHG Calcs'!U14</f>
        <v>0</v>
      </c>
      <c r="F14" s="1416">
        <f ca="1">'GHG Calcs'!W14</f>
        <v>0</v>
      </c>
      <c r="G14" s="1417" t="str">
        <f ca="1">IFERROR(VLOOKUP('GHG Calcs'!K14,'Auto C&amp;T EF'!$C$35:$K$2662,2,0)*E14,"")</f>
        <v/>
      </c>
      <c r="H14" s="1417" t="str">
        <f ca="1">IFERROR(VLOOKUP('GHG Calcs'!L14,'Auto C&amp;T EF'!$C$35:$K$2662,2,0)*F14,"")</f>
        <v/>
      </c>
      <c r="I14" s="1417" t="str">
        <f ca="1">IFERROR(VLOOKUP('GHG Calcs'!$K14,'Auto C&amp;T EF'!$C$35:$K$2662,3,0)*$E14,"")</f>
        <v/>
      </c>
      <c r="J14" s="1417" t="str">
        <f ca="1">IFERROR(VLOOKUP('GHG Calcs'!$L14,'Auto C&amp;T EF'!$C$35:$K$2662,3,0)*$F14,"")</f>
        <v/>
      </c>
      <c r="K14" s="1417" t="str">
        <f ca="1">IFERROR((VLOOKUP('GHG Calcs'!$K14,'Auto C&amp;T EF'!$C$35:$K$2662,5,0)+VLOOKUP('GHG Calcs'!$K14,'Auto C&amp;T EF'!$C$35:$K$2662,6,0)+VLOOKUP('GHG Calcs'!$K14,'Auto C&amp;T EF'!$C$35:$K$2662,7,0))*$E14,"")</f>
        <v/>
      </c>
      <c r="L14" s="1417" t="str">
        <f ca="1">IFERROR((VLOOKUP('GHG Calcs'!$L14,'Auto C&amp;T EF'!$C$35:$K$2662,5,0)+VLOOKUP('GHG Calcs'!$L14,'Auto C&amp;T EF'!$C$35:$K$2662,6,0)+VLOOKUP('GHG Calcs'!$L14,'Auto C&amp;T EF'!$C$35:$K$2662,7,0))*$F14,"")</f>
        <v/>
      </c>
      <c r="M14" s="1417" t="str">
        <f ca="1">IFERROR(VLOOKUP('GHG Calcs'!$K14,'Auto C&amp;T EF'!$C$35:$K$2662,8,0)*$E14,"")</f>
        <v/>
      </c>
      <c r="N14" s="1417" t="str">
        <f ca="1">IFERROR(VLOOKUP('GHG Calcs'!$L14,'Auto C&amp;T EF'!$C$35:$K$2662,8,0)*$F14,"")</f>
        <v/>
      </c>
      <c r="O14" s="1418">
        <f ca="1">IFERROR(AVERAGE(G14:H14)*('GHG Calcs'!I14-'GHG Calcs'!H14),0)</f>
        <v>0</v>
      </c>
      <c r="P14" s="1418">
        <f ca="1">IFERROR(AVERAGE(I14:J14)*('GHG Calcs'!I14-'GHG Calcs'!H14),0)</f>
        <v>0</v>
      </c>
      <c r="Q14" s="1418">
        <f ca="1">IFERROR(AVERAGE(K14:L14)*('GHG Calcs'!I14-'GHG Calcs'!H14),0)</f>
        <v>0</v>
      </c>
      <c r="R14" s="1418">
        <f ca="1">IFERROR(AVERAGE(M14:N14)*('GHG Calcs'!I14-'GHG Calcs'!H14),0)</f>
        <v>0</v>
      </c>
      <c r="S14" s="1418">
        <f ca="1">IFERROR(AVERAGE(E14*VLOOKUP('GHG Calcs'!K14,'Auto C&amp;T EF'!$C$35:$L$2662,10,0),F14*VLOOKUP('GHG Calcs'!L14,'Auto C&amp;T EF'!$C$35:$L$2662,10,0))*('GHG Calcs'!I14-'GHG Calcs'!H14),0)</f>
        <v>0</v>
      </c>
      <c r="T14" s="1379">
        <f ca="1">INDIRECT("'Quantifiable Component "&amp;$B14&amp;"'!"&amp;$D14&amp;ROW('Quantifiable Component 1'!$47:$47))</f>
        <v>0</v>
      </c>
      <c r="U14" s="1379">
        <f ca="1">INDIRECT("'Quantifiable Component "&amp;$B14&amp;"'!"&amp;$D14&amp;ROW('Quantifiable Component 1'!$48:$48))</f>
        <v>0</v>
      </c>
      <c r="V14" s="306" t="str">
        <f ca="1">IFERROR(IF('GHG Calcs'!$AD14="Gasoline",VLOOKUP('GHG Calcs'!$AH14,'Bus C&amp;T EF'!$D$30:$V$2315,3,0),IF(OR('GHG Calcs'!$AD14="CNG",'GHG Calcs'!$AD14="LNG",'GHG Calcs'!$AD14="Renewable Natural Gas"),VLOOKUP('GHG Calcs'!$AH14,'Bus C&amp;T EF'!$D$30:$V$2315,4,0),VLOOKUP('GHG Calcs'!$AH14,'Bus C&amp;T EF'!$D$30:$V$2315,2,0)))/IF('GHG Calcs'!AE14&gt;0,$BF14,1),"")</f>
        <v/>
      </c>
      <c r="W14" s="306" t="str">
        <f ca="1">IFERROR(IF('GHG Calcs'!$AD14="Gasoline",VLOOKUP('GHG Calcs'!$AH14,'Bus C&amp;T EF'!$D$30:$V$2315,6,0),IF(OR('GHG Calcs'!$AD14="CNG",'GHG Calcs'!$AD14="LNG",'GHG Calcs'!$AD14="Renewable Natural Gas"),VLOOKUP('GHG Calcs'!$AH14,'Bus C&amp;T EF'!$D$30:$V$2315,7,0),VLOOKUP('GHG Calcs'!$AH14,'Bus C&amp;T EF'!$D$30:$V$2315,5,0)))/IF('GHG Calcs'!AE14&gt;0,$BF14,1),"")</f>
        <v/>
      </c>
      <c r="X14" s="1419" t="str">
        <f ca="1">IFERROR(IF('GHG Calcs'!$AD14="Gasoline",VLOOKUP('GHG Calcs'!$AH14,'Bus C&amp;T EF'!$D$30:$V$2315,9,0),IF(OR('GHG Calcs'!$AD14="CNG",'GHG Calcs'!$AD14="LNG",'GHG Calcs'!$AD14="Renewable Natural Gas"),VLOOKUP('GHG Calcs'!$AH14,'Bus C&amp;T EF'!$D$30:$V$2315,10,0),VLOOKUP('GHG Calcs'!$AH14,'Bus C&amp;T EF'!$D$30:$V$2315,8,0)))/IF('GHG Calcs'!AE14&gt;0,$BF14,1),"")</f>
        <v/>
      </c>
      <c r="Y14" s="1419" t="str">
        <f ca="1">IFERROR(IF('GHG Calcs'!$AD14="Gasoline",VLOOKUP('GHG Calcs'!$AH14,'Bus C&amp;T EF'!$D$30:$V$2315,12,0),IF(OR('GHG Calcs'!$AD14="CNG",'GHG Calcs'!$AD14="LNG",'GHG Calcs'!$AD14="Renewable Natural Gas"),VLOOKUP('GHG Calcs'!$AH14,'Bus C&amp;T EF'!$D$30:$V$2315,13,0),IF(OR('GHG Calcs'!$AD14="Electric",'GHG Calcs'!$AD14="Hydrogen Fuel Cell",'GHG Calcs'!$AD14="Renewable Electricity"),VLOOKUP('GHG Calcs'!$AH14,'Bus C&amp;T EF'!$D$30:$V$2315,14,0),VLOOKUP('GHG Calcs'!$AH14,'Bus C&amp;T EF'!$D$30:$V$2315,11,0))))/IF('GHG Calcs'!AE14&gt;0,$BF14,1),"")</f>
        <v/>
      </c>
      <c r="Z14" s="1419" t="str">
        <f ca="1">IFERROR(IF('GHG Calcs'!$AD14="Gasoline",VLOOKUP('GHG Calcs'!$AH14,'Bus C&amp;T EF'!$D$30:$V$2315,16,0),IF(OR('GHG Calcs'!$AD14="CNG",'GHG Calcs'!$AD14="LNG",'GHG Calcs'!$AD14="Renewable Natural Gas"),VLOOKUP('GHG Calcs'!$AH14,'Bus C&amp;T EF'!$D$30:$V$2315,17,0),IF(OR('GHG Calcs'!$AD14="Electric",'GHG Calcs'!$AD14="Hydrogen Fuel Cell",'GHG Calcs'!$AD14="Renewable Electricity"),VLOOKUP('GHG Calcs'!$AH14,'Bus C&amp;T EF'!$D$30:$V$2315,18,0),VLOOKUP('GHG Calcs'!$AH14,'Bus C&amp;T EF'!$D$30:$V$2315,15,0))))/IF('GHG Calcs'!AE14&gt;0,$BF14,1),"")</f>
        <v/>
      </c>
      <c r="AA14" s="306" t="str">
        <f ca="1">IFERROR(IF('GHG Calcs'!$AD14="Gasoline",0,VLOOKUP('GHG Calcs'!$AH14,'Bus C&amp;T EF'!$D$30:$V$2315,19,0))/IF('GHG Calcs'!AE14&gt;0,$BF14,1),"")</f>
        <v/>
      </c>
      <c r="AB14" s="1419" t="str">
        <f ca="1">IFERROR(IF(OR('GHG Calcs'!$AD14="Diesel",'GHG Calcs'!$AD14="Renewable Diesel",'GHG Calcs'!$AD14="Biodiesel"),VLOOKUP('GHG Calcs'!$AH14,'Van C&amp;T EF'!$D$30:$Q$2315,2,0),VLOOKUP('GHG Calcs'!$AH14,'Van C&amp;T EF'!$D$30:$Q$2315,3,0))/IF('GHG Calcs'!AE14&gt;0,$BG14,1),"")</f>
        <v/>
      </c>
      <c r="AC14" s="1419" t="str">
        <f ca="1">IFERROR(IF(OR('GHG Calcs'!$AD14="Diesel",'GHG Calcs'!$AD14="Renewable Diesel",'GHG Calcs'!$AD14="Biodiesel"),VLOOKUP('GHG Calcs'!$AH14,'Van C&amp;T EF'!$D$30:$Q$2315,4,0),VLOOKUP('GHG Calcs'!$AH14,'Van C&amp;T EF'!$D$30:$Q$2315,5,0))/IF('GHG Calcs'!AE14&gt;0,$BG14,1),"")</f>
        <v/>
      </c>
      <c r="AD14" s="1419" t="str">
        <f ca="1">IFERROR(IF(OR('GHG Calcs'!$AD14="Diesel",'GHG Calcs'!$AD14="Renewable Diesel",'GHG Calcs'!$AD14="Biodiesel"),VLOOKUP('GHG Calcs'!$AH14,'Van C&amp;T EF'!$D$30:$Q$2315,6,0),VLOOKUP('GHG Calcs'!$AH14,'Van C&amp;T EF'!$D$30:$Q$2315,7,0))/IF('GHG Calcs'!AE14&gt;0,$BG14,1),"")</f>
        <v/>
      </c>
      <c r="AE14" s="1419" t="str">
        <f ca="1">IFERROR(IF(OR('GHG Calcs'!$AD14="Diesel",'GHG Calcs'!$AD14="Renewable Diesel",'GHG Calcs'!$AD14="Biodiesel"),VLOOKUP('GHG Calcs'!$AH14,'Van C&amp;T EF'!$D$30:$Q$2315,8,0),IF(OR('GHG Calcs'!$AD14="Electric",'GHG Calcs'!$AD14="Hydrogen Fuel Cell",'GHG Calcs'!$AD14="Renewable Electricity"),VLOOKUP('GHG Calcs'!$AH14,'Van C&amp;T EF'!$D$30:$Q$2315,10,0),VLOOKUP('GHG Calcs'!$AH14,'Van C&amp;T EF'!$D$30:$Q$2315,9,0)))/IF('GHG Calcs'!AE14&gt;0,$BG14,1),"")</f>
        <v/>
      </c>
      <c r="AF14" s="1419" t="str">
        <f ca="1">IFERROR(IF(OR('GHG Calcs'!$AD14="Diesel",'GHG Calcs'!$AD14="Renewable Diesel",'GHG Calcs'!$AD14="Biodiesel"),VLOOKUP('GHG Calcs'!$AH14,'Van C&amp;T EF'!$D$30:$Q$2315,11,0),IF(OR('GHG Calcs'!$AD14="Electric",'GHG Calcs'!$AD14="Hydrogen Fuel Cell",'GHG Calcs'!$AD14="Renewable Electricity"),VLOOKUP('GHG Calcs'!$AH14,'Van C&amp;T EF'!$D$30:$Q$2315,13,0),VLOOKUP('GHG Calcs'!$AH14,'Van C&amp;T EF'!$D$30:$Q$2315,12,0)))/IF('GHG Calcs'!AE14&gt;0,$BG14,1),"")</f>
        <v/>
      </c>
      <c r="AG14" s="306">
        <f ca="1">IFERROR(IF(OR('GHG Calcs'!$AD14="Diesel",'GHG Calcs'!$AD14="Biodiesel",'GHG Calcs'!$AD14="Renewable Diesel"),VLOOKUP('GHG Calcs'!$AH14,'Van C&amp;T EF'!$D$30:$Q$2315,14,0),0)/IF('GHG Calcs'!AE14&gt;0,$BG14,1),"")</f>
        <v>0</v>
      </c>
      <c r="AH14" s="1419" t="str">
        <f ca="1">IFERROR(IF(OR('GHG Calcs'!$AD14="Diesel",'GHG Calcs'!$AD14="Renewable Diesel",'GHG Calcs'!$AD14="Biodiesel"),VLOOKUP('GHG Calcs'!$AH14,'Shuttle C&amp;T EF'!$D$30:$Q$2315,2,0),VLOOKUP('GHG Calcs'!$AH14,'Shuttle C&amp;T EF'!$D$30:$Q$2315,3,0))/IF('GHG Calcs'!AE14&gt;0,$BH14,1),"")</f>
        <v/>
      </c>
      <c r="AI14" s="1419" t="str">
        <f ca="1">IFERROR(IF(OR('GHG Calcs'!$AD14="Diesel",'GHG Calcs'!$AD14="Renewable Diesel",'GHG Calcs'!$AD14="Biodiesel"),VLOOKUP('GHG Calcs'!$AH14,'Shuttle C&amp;T EF'!$D$30:$Q$2315,4,0),VLOOKUP('GHG Calcs'!$AH14,'Shuttle C&amp;T EF'!$D$30:$Q$2315,5,0))/IF('GHG Calcs'!AE14&gt;0,$BH14,1),"")</f>
        <v/>
      </c>
      <c r="AJ14" s="1419" t="str">
        <f ca="1">IFERROR(IF(OR('GHG Calcs'!$AD14="Diesel",'GHG Calcs'!$AD14="Renewable Diesel",'GHG Calcs'!$AD14="Biodiesel"),VLOOKUP('GHG Calcs'!$AH14,'Shuttle C&amp;T EF'!$D$30:$Q$2315,6,0),VLOOKUP('GHG Calcs'!$AH14,'Shuttle C&amp;T EF'!$D$30:$Q$2315,7,0))/IF('GHG Calcs'!AE14&gt;0,$BH14,1),"")</f>
        <v/>
      </c>
      <c r="AK14" s="1419" t="str">
        <f ca="1">IFERROR(IF(OR('GHG Calcs'!$AD14="Diesel",'GHG Calcs'!$AD14="Renewable Diesel",'GHG Calcs'!$AD14="Biodiesel"),VLOOKUP('GHG Calcs'!$AH14,'Shuttle C&amp;T EF'!$D$30:$Q$2315,8,0),IF(OR('GHG Calcs'!$AD14="Electric",'GHG Calcs'!$AD14="Hydrogen Fuel Cell",'GHG Calcs'!$AD14="Renewable Electricity"),VLOOKUP('GHG Calcs'!$AH14,'Shuttle C&amp;T EF'!$D$30:$Q$2315,10,0),VLOOKUP('GHG Calcs'!$AH14,'Shuttle C&amp;T EF'!$D$30:$Q$2315,9,0)))/IF('GHG Calcs'!AE14&gt;0,$BH14,1),"")</f>
        <v/>
      </c>
      <c r="AL14" s="1419" t="str">
        <f ca="1">IFERROR(IF(OR('GHG Calcs'!$AD14="Diesel",'GHG Calcs'!$AD14="Renewable Diesel",'GHG Calcs'!$AD14="Biodiesel"),VLOOKUP('GHG Calcs'!$AH14,'Shuttle C&amp;T EF'!$D$30:$Q$2315,11,0),IF(OR('GHG Calcs'!$AD14="Electric",'GHG Calcs'!$AD14="Hydrogen Fuel Cell",'GHG Calcs'!$AD14="Renewable Electricity"),VLOOKUP('GHG Calcs'!$AH14,'Shuttle C&amp;T EF'!$D$30:$Q$2315,13,0),VLOOKUP('GHG Calcs'!$AH14,'Shuttle C&amp;T EF'!$D$30:$Q$2315,12,0)))/IF('GHG Calcs'!AE14&gt;0,$BH14,1),"")</f>
        <v/>
      </c>
      <c r="AM14" s="1419">
        <f ca="1">IFERROR(IF(OR('GHG Calcs'!$AD14="Diesel",'GHG Calcs'!$AD14="Biodiesel",'GHG Calcs'!$AD14="Renewable Diesel"),VLOOKUP('GHG Calcs'!$AH14,'Shuttle C&amp;T EF'!$D$30:$Q$2315,14,0),0)/IF('GHG Calcs'!AE14&gt;0,$BH14,1),"")</f>
        <v>0</v>
      </c>
      <c r="AN14" s="306" t="str">
        <f ca="1">IFERROR((VLOOKUP('GHG Calcs'!$AH14,'Over-Road Coach C&amp;T EF'!$D$29:$N$2314,2,0)+VLOOKUP('GHG Calcs'!$AH14,'Over-Road Coach C&amp;T EF'!$D$29:$N$2314,3,0))/IF('GHG Calcs'!AE14&gt;0,$BI14,1),"")</f>
        <v/>
      </c>
      <c r="AO14" s="306" t="str">
        <f ca="1">IFERROR((VLOOKUP('GHG Calcs'!$AH14,'Over-Road Coach C&amp;T EF'!$D$29:$N$2314,4,0)+VLOOKUP('GHG Calcs'!$AH14,'Over-Road Coach C&amp;T EF'!$D$29:$N$2314,5,0))/IF('GHG Calcs'!AE14&gt;0,$BI14,1),"")</f>
        <v/>
      </c>
      <c r="AP14" s="306" t="str">
        <f ca="1">IFERROR((VLOOKUP('GHG Calcs'!$AH14,'Over-Road Coach C&amp;T EF'!$D$29:$N$2314,6,0)+VLOOKUP('GHG Calcs'!$AH14,'Over-Road Coach C&amp;T EF'!$D$29:$N$2314,7,0))/IF('GHG Calcs'!AE14&gt;0,$BI14,1),"")</f>
        <v/>
      </c>
      <c r="AQ14" s="306" t="str">
        <f ca="1">IFERROR(VLOOKUP('GHG Calcs'!$AH14,'Over-Road Coach C&amp;T EF'!$D$29:$N$2314,8,0)/IF('GHG Calcs'!AE14&gt;0,$BI14,1),"")</f>
        <v/>
      </c>
      <c r="AR14" s="306" t="str">
        <f ca="1">IFERROR(VLOOKUP('GHG Calcs'!$AH14,'Over-Road Coach C&amp;T EF'!$D$29:$N$2314,9,0)/IF('GHG Calcs'!AE14&gt;0,$BI14,1),"")</f>
        <v/>
      </c>
      <c r="AS14" s="306" t="str">
        <f ca="1">IFERROR((VLOOKUP('GHG Calcs'!$AH14,'Over-Road Coach C&amp;T EF'!$D$29:$N$2314,10,0)+VLOOKUP('GHG Calcs'!$AH14,'Over-Road Coach C&amp;T EF'!$D$29:$N$2314,11,0))/IF('GHG Calcs'!AE14&gt;0,$BI14,1),"")</f>
        <v/>
      </c>
      <c r="AT14" s="306" t="str">
        <f ca="1">IFERROR(VLOOKUP(T14,'Co-Benefit Calcs'!$E$76:$I$83,2,0)/IF('GHG Calcs'!$AE14&gt;0,'Rail C&amp;T EF'!$K$14,1),"")</f>
        <v/>
      </c>
      <c r="AU14" s="306" t="str">
        <f ca="1">IFERROR(VLOOKUP(T14,'Co-Benefit Calcs'!$E$76:$I$83,3,0)/IF('GHG Calcs'!$AE14&gt;0,'Rail C&amp;T EF'!$K$14,1),"")</f>
        <v/>
      </c>
      <c r="AV14" s="306" t="str">
        <f ca="1">IFERROR(VLOOKUP(T14,'Co-Benefit Calcs'!$E$76:$I$83,4,0)/IF('GHG Calcs'!$AE14&gt;0,'Rail C&amp;T EF'!$K$14,1),"")</f>
        <v/>
      </c>
      <c r="AW14" s="306" t="str">
        <f ca="1">IFERROR(IF('GHG Calcs'!$AD14="Gasoline",0,VLOOKUP(T14,'Co-Benefit Calcs'!$E$76:$I$83,5,0))/IF('GHG Calcs'!$AE14&gt;0,'Rail C&amp;T EF'!$K$14,1),"")</f>
        <v/>
      </c>
      <c r="AX14" s="306" t="str">
        <f ca="1">IFERROR(VLOOKUP('GHG Calcs'!$AG14,'Rail C&amp;T EF'!$A$43:$Y$133,IF(U14&gt;750,23, IF(U14&gt;=600,20, IF(U14&gt;=300,17, IF(U14&gt;=175,14, IF(U14&gt;=100,11, IF(U14&gt;=75,8, IF(U14&gt;=50,5, 2))))))),0) * IF($U14&gt;=750,'Rail C&amp;T EF'!$K$18,'Rail C&amp;T EF'!$K$19) * IF('GHG Calcs'!$AE14&gt;0,1,'Rail C&amp;T EF'!$B$149) * IF(OR('GHG Calcs'!AD14="Diesel", 'GHG Calcs'!AD14="Renewable Diesel", 'GHG Calcs'!AD14="Biodiesel"),'Rail C&amp;T EF'!$B$141,'Rail C&amp;T EF'!$B$142),"")</f>
        <v/>
      </c>
      <c r="AY14" s="306" t="str">
        <f ca="1">IFERROR(VLOOKUP('GHG Calcs'!$AG14,'Rail C&amp;T EF'!$A$43:$Y$133,IF(U14&gt;750,24, IF(U14&gt;=600,21, IF(U14&gt;=300,18, IF(U14&gt;=175,15, IF(U14&gt;=100,12, IF(U14&gt;=75,9, IF(U14&gt;=50,6, 3))))))),0) * IF($U14&gt;=750,'Rail C&amp;T EF'!$K$18,'Rail C&amp;T EF'!$K$19) * IF('GHG Calcs'!$AE14&gt;0,1,'Rail C&amp;T EF'!$B$149),"")</f>
        <v/>
      </c>
      <c r="AZ14" s="306" t="str">
        <f ca="1">IFERROR(VLOOKUP('GHG Calcs'!$AG14,'Rail C&amp;T EF'!$A$43:$Y$133,IF(U14&gt;750,25, IF(U14&gt;=600,22, IF(U14&gt;=300,19, IF(U14&gt;=175,16, IF(U14&gt;=100,13, IF(U14&gt;=75,10, IF(U14&gt;=50,7, 4))))))),0) * IF($U14&gt;=750,'Rail C&amp;T EF'!$K$18,'Rail C&amp;T EF'!$K$19) * IF('GHG Calcs'!$AE14&gt;0,1,'Rail C&amp;T EF'!$B$149)*'Rail C&amp;T EF'!$B$146,"")</f>
        <v/>
      </c>
      <c r="BA14" s="306" t="str">
        <f ca="1">IFERROR(IF('GHG Calcs'!$AD14="Gasoline",0,VLOOKUP('GHG Calcs'!$AG14,'Rail C&amp;T EF'!$A$43:$Y$133,IF(U14&gt;750,25, IF(U14&gt;=600,22, IF(U14&gt;=300,19, IF(U14&gt;=175,16, IF(U14&gt;=100,13, IF(U14&gt;=75,10, IF(U14&gt;=50,7, 4))))))),0) * IF($U14&gt;=750,'Rail C&amp;T EF'!$K$18,'Rail C&amp;T EF'!$K$19) * IF('GHG Calcs'!$AE14&gt;0,1,'Rail C&amp;T EF'!$B$149)),"")</f>
        <v/>
      </c>
      <c r="BB14" s="306" t="str">
        <f ca="1">IFERROR(VLOOKUP('GHG Calcs'!$AG14,'Ferry C&amp;T EF'!$A$106:$AK$196,IF(U14&gt;=3301,35, IF(U14&gt;=1901,31, IF(U14&gt;=751,27, IF(U14&gt;=501,23, IF(U14&gt;=251,19, IF(U14&gt;=176,15, IF(U14&gt;=121,11, IF(U14&gt;=51,7, 3)))))))),0),"")</f>
        <v/>
      </c>
      <c r="BC14" s="306" t="str">
        <f ca="1">IFERROR(VLOOKUP('GHG Calcs'!$AG14,'Ferry C&amp;T EF'!$A$106:$AK$196,IF(U14&gt;=3301,34, IF(U14&gt;=1901,30, IF(U14&gt;=751,26, IF(U14&gt;=501,22, IF(U14&gt;=251,18, IF(U14&gt;=176,14, IF(U14&gt;=121,10, IF(U14&gt;=51,6, 2)))))))),0),"")</f>
        <v/>
      </c>
      <c r="BD14" s="306" t="str">
        <f ca="1">IFERROR(VLOOKUP('GHG Calcs'!$AG14,'Ferry C&amp;T EF'!$A$106:$AK$196,IF(U14&gt;=3301,37, IF(U14&gt;=1901,33, IF(U14&gt;=751,29, IF(U14&gt;=501,25, IF(U14&gt;=251,21, IF(U14&gt;=176,17, IF(U14&gt;=121,13, IF(U14&gt;=51,9, 5)))))))),0),"")</f>
        <v/>
      </c>
      <c r="BE14" s="306" t="str">
        <f ca="1">IFERROR(IF('GHG Calcs'!$AD14="Gasoline",0,VLOOKUP('GHG Calcs'!$AG14,'Ferry C&amp;T EF'!$A$106:$AK$196,IF(U14&gt;=3301,36, IF(U14&gt;=1901,32, IF(U14&gt;=751,28, IF(U14&gt;=501,24, IF(U14&gt;=251,20, IF(U14&gt;=176,16, IF(U14&gt;=121,12, IF(U14&gt;=51,8, 4)))))))),0)),"")</f>
        <v/>
      </c>
      <c r="BF14" s="1419" t="str">
        <f ca="1">IFERROR(IF('GHG Calcs'!$AD14="Gasoline",VLOOKUP('GHG Calcs'!$AH14,'Fuel Consumption'!$A$31:$L$2316,3,0),IF(OR('GHG Calcs'!$AD14="CNG",'GHG Calcs'!$AD14="LNG",'GHG Calcs'!$AD14="Renewable Natural Gas"),VLOOKUP('GHG Calcs'!$AH14,'Fuel Consumption'!$A$31:$L$2316,4,0)*VLOOKUP('GHG Calcs'!$AD14,'GHG EF'!$B$10:$H$19,4,0),VLOOKUP('GHG Calcs'!$AH14,'Fuel Consumption'!$A$31:$L$2316,2,0)*VLOOKUP('GHG Calcs'!$AD14,'GHG EF'!$B$10:$H$19,4,0))),"")</f>
        <v/>
      </c>
      <c r="BG14" s="1419" t="str">
        <f ca="1">IFERROR(IF(OR('GHG Calcs'!$AD14="Diesel",'GHG Calcs'!$AD14="Renewable Diesel",'GHG Calcs'!$AD14="Biodiesel"),VLOOKUP('GHG Calcs'!$AH14,'Fuel Consumption'!$A$31:$L$2316,6,0)*VLOOKUP('GHG Calcs'!$AD14,'GHG EF'!$B$10:$H$19,4,0),VLOOKUP('GHG Calcs'!$AH14,'Fuel Consumption'!$A$31:$L$2316,7,0)*VLOOKUP('GHG Calcs'!$AD14,'GHG EF'!$B$10:$H$19,5,0)),"")</f>
        <v/>
      </c>
      <c r="BH14" s="1419" t="str">
        <f ca="1">IFERROR(IF(OR('GHG Calcs'!$AD14="Diesel",'GHG Calcs'!$AD14="Renewable Diesel",'GHG Calcs'!$AD14="Biodiesel"),VLOOKUP('GHG Calcs'!$AH14,'Fuel Consumption'!$A$31:$L$2316,9,0)*VLOOKUP('GHG Calcs'!$AD14,'GHG EF'!$B$10:$H$19,4,0),VLOOKUP('GHG Calcs'!$AH14,'Fuel Consumption'!$A$31:$L$2316,10,0)*VLOOKUP('GHG Calcs'!$AD14,'GHG EF'!$B$10:$H$19,5,0)),"")</f>
        <v/>
      </c>
      <c r="BI14" s="1419" t="str">
        <f ca="1">IFERROR(VLOOKUP('GHG Calcs'!$AH14,'Fuel Consumption'!$A$31:$L$2316,12,0)*VLOOKUP('GHG Calcs'!$AD14,'GHG EF'!$B$10:$H$19,4,0),"")</f>
        <v/>
      </c>
      <c r="BJ14" s="1373" t="str">
        <f ca="1">IFERROR(IF(OR('GHG Calcs'!AD14=Defaults!$I$3, 'GHG Calcs'!AD14=Defaults!$I$4, 'GHG Calcs'!AD14=Defaults!$I$6, 'GHG Calcs'!AD14=Defaults!$I$8), IF('GHG Calcs'!AE14&gt;0,'GHG Calcs'!AE14*IF('GHG Calcs'!AD14=Defaults!$I$3,'GHG EF'!$C$11/'GHG EF'!$C$12,1),'GHG Calcs'!AK14*'GHG Calcs'!AI14),"")*('GHG Calcs'!I14-'GHG Calcs'!H14),"")</f>
        <v/>
      </c>
      <c r="BK14" s="1373" t="str">
        <f ca="1">IFERROR(IF('GHG Calcs'!AD14=Defaults!$I$5,IF('GHG Calcs'!AE14&gt;0,'GHG Calcs'!AE14,'GHG Calcs'!AJ14*'GHG Calcs'!AI14),"")*IF('GHG Calcs'!AF14&lt;'GHG EF'!$D$13,'GHG Calcs'!AF14/'GHG EF'!$D$13,1)*IF('GHG Calcs'!AF14&lt;0,0,1)*('GHG Calcs'!I14-'GHG Calcs'!H14),"")</f>
        <v/>
      </c>
      <c r="BL14" s="1373" t="str">
        <f ca="1">IFERROR(IF('GHG Calcs'!AD14=Defaults!$I$11, IF(IF('GHG Calcs'!AE14&gt;0,'GHG Calcs'!AE14,'GHG Calcs'!AJ14*'GHG Calcs'!AI14)&lt;INDIRECT("'"&amp;#REF!&amp;"'!"&amp;$D14&amp;ROW(#REF!)), IF('GHG Calcs'!AE14&gt;0,'GHG Calcs'!AE14,'GHG Calcs'!AJ14*'GHG Calcs'!AI14), INDIRECT("'"&amp;#REF!&amp;"'!"&amp;$D14&amp;ROW(#REF!))),"")*('GHG Calcs'!I14-'GHG Calcs'!H14),"")</f>
        <v/>
      </c>
      <c r="BM14" s="1420" t="str">
        <f ca="1">IFERROR(IF('GHG Calcs'!AE14&gt;0,'GHG Calcs'!AE14,'GHG Calcs'!AL14*'GHG Calcs'!AI14)*VLOOKUP('GHG Calcs'!AD14,'Fuel &amp; Travel Costs'!$B$10:$C$19,2,0)*('GHG Calcs'!I14-'GHG Calcs'!H14),"")</f>
        <v/>
      </c>
      <c r="BN14" s="306">
        <f ca="1">INDIRECT("'Quantifiable Component "&amp;$B14&amp;"'!"&amp;$D14&amp;ROW('Quantifiable Component 1'!$59:$59))</f>
        <v>0</v>
      </c>
      <c r="BO14" s="306">
        <f ca="1">INDIRECT("'Quantifiable Component "&amp;$B14&amp;"'!"&amp;$D14&amp;ROW('Quantifiable Component 1'!$60:$60))</f>
        <v>0</v>
      </c>
      <c r="BP14" s="1421" t="str">
        <f ca="1">IFERROR(IF('GHG Calcs'!$BD14="Gasoline",VLOOKUP('GHG Calcs'!$BL14,'Bus C&amp;T EF'!$D$30:$V$2315,3,0),IF(OR('GHG Calcs'!$BD14="CNG",'GHG Calcs'!$BD14="LNG",'GHG Calcs'!$BD14="Renewable Natural Gas"),VLOOKUP('GHG Calcs'!$BL14,'Bus C&amp;T EF'!$D$30:$V$2315,4,0),VLOOKUP('GHG Calcs'!$BL14,'Bus C&amp;T EF'!$D$30:$V$2315,2,0)))/IF('GHG Calcs'!BE14&gt;0,$CZ14,1),"")</f>
        <v/>
      </c>
      <c r="BQ14" s="1419" t="str">
        <f ca="1">IFERROR(IF('GHG Calcs'!$BD14="Gasoline",VLOOKUP('GHG Calcs'!$BL14,'Bus C&amp;T EF'!$D$30:$V$2315,6,0),IF(OR('GHG Calcs'!$BD14="CNG",'GHG Calcs'!$BD14="LNG",'GHG Calcs'!$BD14="Renewable Natural Gas"),VLOOKUP('GHG Calcs'!$BL14,'Bus C&amp;T EF'!$D$30:$V$2315,7,0),VLOOKUP('GHG Calcs'!$BL14,'Bus C&amp;T EF'!$D$30:$V$2315,5,0)))/IF('GHG Calcs'!BE14&gt;0,$CZ14,1),"")</f>
        <v/>
      </c>
      <c r="BR14" s="1419" t="str">
        <f ca="1">IFERROR(IF('GHG Calcs'!$BD14="Gasoline",VLOOKUP('GHG Calcs'!$BL14,'Bus C&amp;T EF'!$D$30:$V$2315,9,0),IF(OR('GHG Calcs'!$BD14="CNG",'GHG Calcs'!$BD14="LNG",'GHG Calcs'!$BD14="Renewable Natural Gas"),VLOOKUP('GHG Calcs'!$BL14,'Bus C&amp;T EF'!$D$30:$V$2315,10,0),VLOOKUP('GHG Calcs'!$BL14,'Bus C&amp;T EF'!$D$30:$V$2315,8,0)))/IF('GHG Calcs'!BE14&gt;0,$CZ14,1),"")</f>
        <v/>
      </c>
      <c r="BS14" s="1419" t="str">
        <f ca="1">IFERROR(IF('GHG Calcs'!$BD14="Gasoline",VLOOKUP('GHG Calcs'!$BL14,'Bus C&amp;T EF'!$D$30:$V$2315,12,0),IF(OR('GHG Calcs'!$BD14="CNG",'GHG Calcs'!$BD14="LNG",'GHG Calcs'!$BD14="Renewable Natural Gas"),VLOOKUP('GHG Calcs'!$BL14,'Bus C&amp;T EF'!$D$30:$V$2315,13,0),IF(OR('GHG Calcs'!$BD14="Electric",'GHG Calcs'!$BD14="Hydrogen Fuel Cell",'GHG Calcs'!$BD14="Renewable Electricity"),VLOOKUP('GHG Calcs'!$BL14,'Bus C&amp;T EF'!$D$30:$V$2315,14,0),VLOOKUP('GHG Calcs'!$BL14,'Bus C&amp;T EF'!$D$30:$V$2315,11,0))))/IF('GHG Calcs'!BE14&gt;0,$CZ14,1),"")</f>
        <v/>
      </c>
      <c r="BT14" s="1419" t="str">
        <f ca="1">IFERROR(IF('GHG Calcs'!$BD14="Gasoline",VLOOKUP('GHG Calcs'!$BL14,'Bus C&amp;T EF'!$D$30:$V$2315,16,0),IF(OR('GHG Calcs'!$BD14="CNG",'GHG Calcs'!$BD14="LNG",'GHG Calcs'!$BD14="Renewable Natural Gas"),VLOOKUP('GHG Calcs'!$BL14,'Bus C&amp;T EF'!$D$30:$V$2315,17,0),IF(OR('GHG Calcs'!$BD14="Electric",'GHG Calcs'!$BD14="Hydrogen Fuel Cell",'GHG Calcs'!$BD14="Renewable Electricity"),VLOOKUP('GHG Calcs'!$BL14,'Bus C&amp;T EF'!$D$30:$V$2315,18,0),VLOOKUP('GHG Calcs'!$BL14,'Bus C&amp;T EF'!$D$30:$V$2315,15,0))))/IF('GHG Calcs'!BE14&gt;0,$CZ14,1),"")</f>
        <v/>
      </c>
      <c r="BU14" s="306" t="str">
        <f ca="1">IFERROR(IF('GHG Calcs'!$BD14="Gasoline",0,VLOOKUP('GHG Calcs'!$BL14,'Bus C&amp;T EF'!$D$30:$V$2315,19,0))/IF('GHG Calcs'!BE14&gt;0,$CZ14,1),"")</f>
        <v/>
      </c>
      <c r="BV14" s="1419" t="str">
        <f ca="1">IFERROR(IF(OR('GHG Calcs'!$BD14="Diesel",'GHG Calcs'!$BD14="Renewable Diesel",'GHG Calcs'!$BD14="Biodiesel"),VLOOKUP('GHG Calcs'!$BL14,'Van C&amp;T EF'!$D$30:$Q$2315,2,0),VLOOKUP('GHG Calcs'!$BL14,'Van C&amp;T EF'!$D$30:$Q$2315,3,0))/IF('GHG Calcs'!BE14&gt;0,$DA14,1),"")</f>
        <v/>
      </c>
      <c r="BW14" s="1419" t="str">
        <f ca="1">IFERROR(IF(OR('GHG Calcs'!$BD14="Diesel",'GHG Calcs'!$BD14="Renewable Diesel",'GHG Calcs'!$BD14="Biodiesel"),VLOOKUP('GHG Calcs'!$BL14,'Van C&amp;T EF'!$D$30:$Q$2315,4,0),VLOOKUP('GHG Calcs'!$BL14,'Van C&amp;T EF'!$D$30:$Q$2315,5,0))/IF('GHG Calcs'!BE14&gt;0,$DA14,1),"")</f>
        <v/>
      </c>
      <c r="BX14" s="1419" t="str">
        <f ca="1">IFERROR(IF(OR('GHG Calcs'!$BD14="Diesel",'GHG Calcs'!$BD14="Renewable Diesel",'GHG Calcs'!$BD14="Biodiesel"),VLOOKUP('GHG Calcs'!$BL14,'Van C&amp;T EF'!$D$30:$Q$2315,6,0),VLOOKUP('GHG Calcs'!$BL14,'Van C&amp;T EF'!$D$30:$Q$2315,7,0))/IF('GHG Calcs'!BE14&gt;0,$DA14,1),"")</f>
        <v/>
      </c>
      <c r="BY14" s="1419" t="str">
        <f ca="1">IFERROR(IF(OR('GHG Calcs'!$BD14="Diesel",'GHG Calcs'!$BD14="Renewable Diesel",'GHG Calcs'!$BD14="Biodiesel"),VLOOKUP('GHG Calcs'!$BL14,'Van C&amp;T EF'!$D$30:$Q$2315,8,0),IF(OR('GHG Calcs'!$BD14="Electric",'GHG Calcs'!$BD14="Hydrogen Fuel Cell",'GHG Calcs'!$BD14="Renewable Electricity"),VLOOKUP('GHG Calcs'!$BL14,'Van C&amp;T EF'!$D$30:$Q$2315,10,0),VLOOKUP('GHG Calcs'!$BL14,'Van C&amp;T EF'!$D$30:$Q$2315,9,0)))/IF('GHG Calcs'!BE14&gt;0,$DA14,1),"")</f>
        <v/>
      </c>
      <c r="BZ14" s="1419" t="str">
        <f ca="1">IFERROR(IF(OR('GHG Calcs'!$BD14="Diesel",'GHG Calcs'!$BD14="Renewable Diesel",'GHG Calcs'!$BD14="Biodiesel"),VLOOKUP('GHG Calcs'!$BL14,'Van C&amp;T EF'!$D$30:$Q$2315,11,0),IF(OR('GHG Calcs'!$BD14="Electric",'GHG Calcs'!$BD14="Hydrogen Fuel Cell",'GHG Calcs'!$BD14="Renewable Electricity"),VLOOKUP('GHG Calcs'!$BL14,'Van C&amp;T EF'!$D$30:$Q$2315,13,0),VLOOKUP('GHG Calcs'!$BL14,'Van C&amp;T EF'!$D$30:$Q$2315,12,0)))/IF('GHG Calcs'!BE14&gt;0,$DA14,1),"")</f>
        <v/>
      </c>
      <c r="CA14" s="306">
        <f ca="1">IFERROR(IF(OR('GHG Calcs'!$BD14="Diesel",'GHG Calcs'!$BD14="Biodiesel",'GHG Calcs'!$BD14="Renewable Diesel"),VLOOKUP('GHG Calcs'!$BL14,'Van C&amp;T EF'!$D$30:$Q$2315,14,0),0)/IF('GHG Calcs'!BE14&gt;0,$DA14,1),"")</f>
        <v>0</v>
      </c>
      <c r="CB14" s="1419" t="str">
        <f ca="1">IFERROR(IF(OR('GHG Calcs'!$BD14="Diesel",'GHG Calcs'!$BD14="Renewable Diesel",'GHG Calcs'!$BD14="Biodiesel"),VLOOKUP('GHG Calcs'!$BL14,'Shuttle C&amp;T EF'!$D$30:$Q$2315,2,0),VLOOKUP('GHG Calcs'!$BL14,'Shuttle C&amp;T EF'!$D$30:$Q$2315,3,0))/IF('GHG Calcs'!BE14&gt;0,$DB14,1),"")</f>
        <v/>
      </c>
      <c r="CC14" s="1419" t="str">
        <f ca="1">IFERROR(IF(OR('GHG Calcs'!$BD14="Diesel",'GHG Calcs'!$BD14="Renewable Diesel",'GHG Calcs'!$BD14="Biodiesel"),VLOOKUP('GHG Calcs'!$BL14,'Shuttle C&amp;T EF'!$D$30:$Q$2315,4,0),VLOOKUP('GHG Calcs'!$BL14,'Shuttle C&amp;T EF'!$D$30:$Q$2315,5,0))/IF('GHG Calcs'!BE14&gt;0,$DB14,1),"")</f>
        <v/>
      </c>
      <c r="CD14" s="1419" t="str">
        <f ca="1">IFERROR(IF(OR('GHG Calcs'!$BD14="Diesel",'GHG Calcs'!$BD14="Renewable Diesel",'GHG Calcs'!$BD14="Biodiesel"),VLOOKUP('GHG Calcs'!$BL14,'Shuttle C&amp;T EF'!$D$30:$Q$2315,6,0),VLOOKUP('GHG Calcs'!$BL14,'Shuttle C&amp;T EF'!$D$30:$Q$2315,7,0))/IF('GHG Calcs'!BE14&gt;0,$DB14,1),"")</f>
        <v/>
      </c>
      <c r="CE14" s="1419" t="str">
        <f ca="1">IFERROR(IF(OR('GHG Calcs'!$BD14="Diesel",'GHG Calcs'!$BD14="Renewable Diesel",'GHG Calcs'!$BD14="Biodiesel"),VLOOKUP('GHG Calcs'!$BL14,'Shuttle C&amp;T EF'!$D$30:$Q$2315,8,0),IF(OR('GHG Calcs'!$BD14="Electric",'GHG Calcs'!$BD14="Hydrogen Fuel Cell",'GHG Calcs'!$BD14="Renewable Electricity"),VLOOKUP('GHG Calcs'!$BL14,'Shuttle C&amp;T EF'!$D$30:$Q$2315,10,0),VLOOKUP('GHG Calcs'!$BL14,'Shuttle C&amp;T EF'!$D$30:$Q$2315,9,0)))/IF('GHG Calcs'!BE14&gt;0,$DB14,1),"")</f>
        <v/>
      </c>
      <c r="CF14" s="1419" t="str">
        <f ca="1">IFERROR(IF(OR('GHG Calcs'!$BD14="Diesel",'GHG Calcs'!$BD14="Renewable Diesel",'GHG Calcs'!$BD14="Biodiesel"),VLOOKUP('GHG Calcs'!$BL14,'Shuttle C&amp;T EF'!$D$30:$Q$2315,11,0),IF(OR('GHG Calcs'!$BD14="Electric",'GHG Calcs'!$BD14="Hydrogen Fuel Cell",'GHG Calcs'!$BD14="Renewable Electricity"),VLOOKUP('GHG Calcs'!$BL14,'Shuttle C&amp;T EF'!$D$30:$Q$2315,13,0),VLOOKUP('GHG Calcs'!$BL14,'Shuttle C&amp;T EF'!$D$30:$Q$2315,12,0)))/IF('GHG Calcs'!BE14&gt;0,$DB14,1),"")</f>
        <v/>
      </c>
      <c r="CG14" s="1419">
        <f ca="1">IFERROR(IF(OR('GHG Calcs'!$BD14="Diesel",'GHG Calcs'!$BD14="Biodiesel",'GHG Calcs'!$BD14="Renewable Diesel"),VLOOKUP('GHG Calcs'!$BL14,'Shuttle C&amp;T EF'!$D$30:$Q$2315,14,0),0)/IF('GHG Calcs'!BE14&gt;0,$DB14,1),"")</f>
        <v>0</v>
      </c>
      <c r="CH14" s="306" t="str">
        <f ca="1">IFERROR((VLOOKUP('GHG Calcs'!$BL14,'Over-Road Coach C&amp;T EF'!$D$29:$N$2314,2,0)+VLOOKUP('GHG Calcs'!$BL14,'Over-Road Coach C&amp;T EF'!$D$29:$N$2314,3,0))/IF('GHG Calcs'!BE14&gt;0,$DC14,1),"")</f>
        <v/>
      </c>
      <c r="CI14" s="306" t="str">
        <f ca="1">IFERROR((VLOOKUP('GHG Calcs'!$BL14,'Over-Road Coach C&amp;T EF'!$D$29:$N$2314,4,0)+VLOOKUP('GHG Calcs'!$BL14,'Over-Road Coach C&amp;T EF'!$D$29:$N$2314,5,0))/IF('GHG Calcs'!BE14&gt;0,$DC14,1),"")</f>
        <v/>
      </c>
      <c r="CJ14" s="306" t="str">
        <f ca="1">IFERROR((VLOOKUP('GHG Calcs'!$BL14,'Over-Road Coach C&amp;T EF'!$D$29:$N$2314,6,0)+VLOOKUP('GHG Calcs'!$BL14,'Over-Road Coach C&amp;T EF'!$D$29:$N$2314,7,0))/IF('GHG Calcs'!BE14&gt;0,$DC14,1),"")</f>
        <v/>
      </c>
      <c r="CK14" s="306" t="str">
        <f ca="1">IFERROR(VLOOKUP('GHG Calcs'!$BL14,'Over-Road Coach C&amp;T EF'!$D$29:$N$2314,8,0)/IF('GHG Calcs'!BE14&gt;0,$DC14,1),"")</f>
        <v/>
      </c>
      <c r="CL14" s="306" t="str">
        <f ca="1">IFERROR(VLOOKUP('GHG Calcs'!$BL14,'Over-Road Coach C&amp;T EF'!$D$29:$N$2314,9,0)/IF('GHG Calcs'!BE14&gt;0,$DC14,1),"")</f>
        <v/>
      </c>
      <c r="CM14" s="306" t="str">
        <f ca="1">IFERROR((VLOOKUP('GHG Calcs'!$BL14,'Over-Road Coach C&amp;T EF'!$D$29:$N$2314,10,0)+VLOOKUP('GHG Calcs'!$BL14,'Over-Road Coach C&amp;T EF'!$D$29:$N$2314,11,0))/IF('GHG Calcs'!BE14&gt;0,$DC14,1),"")</f>
        <v/>
      </c>
      <c r="CN14" s="306" t="str">
        <f ca="1">IFERROR(VLOOKUP(BN14,'Co-Benefit Calcs'!$E$76:$I$83,2,0)/IF('GHG Calcs'!$BE14&gt;0,'Rail C&amp;T EF'!$K$14,1),"")</f>
        <v/>
      </c>
      <c r="CO14" s="306" t="str">
        <f ca="1">IFERROR(VLOOKUP(BN14,'Co-Benefit Calcs'!$E$76:$I$83,3,0)/IF('GHG Calcs'!$BE14&gt;0,'Rail C&amp;T EF'!$K$14,1),"")</f>
        <v/>
      </c>
      <c r="CP14" s="306" t="str">
        <f ca="1">IFERROR(VLOOKUP(BN14,'Co-Benefit Calcs'!$E$76:$I$83,4,0)/IF('GHG Calcs'!$BE14&gt;0,'Rail C&amp;T EF'!$K$14,1),"")</f>
        <v/>
      </c>
      <c r="CQ14" s="306" t="str">
        <f ca="1">IFERROR(IF('GHG Calcs'!$BD14="Gasoline",0,VLOOKUP(BN14,'Co-Benefit Calcs'!$E$76:$I$83,5,0))/IF('GHG Calcs'!$BE14&gt;0,'Rail C&amp;T EF'!$K$14,1),"")</f>
        <v/>
      </c>
      <c r="CR14" s="306" t="str">
        <f ca="1">IFERROR(VLOOKUP('GHG Calcs'!$BG14,'Rail C&amp;T EF'!$A$43:$Y$133,IF(BO14&gt;750,23, IF(BO14&gt;=600,20, IF(BO14&gt;=300,17, IF(BO14&gt;=175,14, IF(BO14&gt;=100,11, IF(BO14&gt;=75,8, IF(BO14&gt;=50,5, 2))))))),0) * IF($BO14&gt;=750,'Rail C&amp;T EF'!$K$18,'Rail C&amp;T EF'!$K$19) * IF('GHG Calcs'!BE14&gt;0,1,'Rail C&amp;T EF'!$B$149) * IF(OR('GHG Calcs'!BD14="Diesel", 'GHG Calcs'!BD14="Renewable Diesel", 'GHG Calcs'!BD14="Biodiesel"),'Rail C&amp;T EF'!$B$141,'Rail C&amp;T EF'!$B$142),"")</f>
        <v/>
      </c>
      <c r="CS14" s="306" t="str">
        <f ca="1">IFERROR(VLOOKUP('GHG Calcs'!$BG14,'Rail C&amp;T EF'!$A$43:$Y$133,IF(BO14&gt;750,24, IF(BO14&gt;=600,21, IF(BO14&gt;=300,18, IF(BO14&gt;=175,15, IF(BO14&gt;=100,12, IF(BO14&gt;=75,9, IF(BO14&gt;=50,6, 3))))))),0) * IF($BO14&gt;=750,'Rail C&amp;T EF'!$K$18,'Rail C&amp;T EF'!$K$19) * IF('GHG Calcs'!$BE14&gt;0,1,'Rail C&amp;T EF'!$B$149),"")</f>
        <v/>
      </c>
      <c r="CT14" s="306" t="str">
        <f ca="1">IFERROR(VLOOKUP('GHG Calcs'!$BG14,'Rail C&amp;T EF'!$A$43:$Y$133,IF(BO14&gt;750,25, IF(BO14&gt;=600,22, IF(BO14&gt;=300,19, IF(BO14&gt;=175,16, IF(BO14&gt;=100,13, IF(BO14&gt;=75,10, IF(BO14&gt;=50,7, 4))))))),0) * IF($BO14&gt;=750,'Rail C&amp;T EF'!$K$18,'Rail C&amp;T EF'!$K$19) * IF('GHG Calcs'!$BE14&gt;0,1,'Rail C&amp;T EF'!$B$149)*'Rail C&amp;T EF'!$B$146,"")</f>
        <v/>
      </c>
      <c r="CU14" s="306" t="str">
        <f ca="1">IFERROR(IF('GHG Calcs'!BD14="Gasoline",0,VLOOKUP('GHG Calcs'!$BG14,'Rail C&amp;T EF'!$A$43:$Y$133,IF(BO14&gt;750,25, IF(BO14&gt;=600,22, IF(BO14&gt;=300,19, IF(BO14&gt;=175,16, IF(BO14&gt;=100,13, IF(BO14&gt;=75,10, IF(BO14&gt;=50,7, 4))))))),0) * IF($BO14&gt;=750,'Rail C&amp;T EF'!$K$18,'Rail C&amp;T EF'!$K$19) * IF('GHG Calcs'!$BE14&gt;0,1,'Rail C&amp;T EF'!$B$149)),"")</f>
        <v/>
      </c>
      <c r="CV14" s="306" t="str">
        <f ca="1">IFERROR(VLOOKUP('GHG Calcs'!$BG14,'Ferry C&amp;T EF'!$A$106:$AK$196,IF(BO14&gt;=3301,35, IF(BO14&gt;=1901,31, IF(BO14&gt;=751,27, IF(BO14&gt;=501,23, IF(BO14&gt;=251,19, IF(BO14&gt;=176,15, IF(BO14&gt;=121,11, IF(BO14&gt;=51,7, 3)))))))),0),"")</f>
        <v/>
      </c>
      <c r="CW14" s="306" t="str">
        <f ca="1">IFERROR(VLOOKUP('GHG Calcs'!$BG14,'Ferry C&amp;T EF'!$A$106:$AK$196,IF(BO14&gt;=3301,34, IF(BO14&gt;=1901,30, IF(BO14&gt;=751,26, IF(BO14&gt;=501,22, IF(BO14&gt;=251,18, IF(BO14&gt;=176,14, IF(BO14&gt;=121,10, IF(BO14&gt;=51,6, 2)))))))),0),"")</f>
        <v/>
      </c>
      <c r="CX14" s="306" t="str">
        <f ca="1">IFERROR(VLOOKUP('GHG Calcs'!$BG14,'Ferry C&amp;T EF'!$A$106:$AK$196,IF(BO14&gt;=3301,37, IF(BO14&gt;=1901,33, IF(BO14&gt;=751,29, IF(BO14&gt;=501,25, IF(BO14&gt;=251,21, IF(BO14&gt;=176,17, IF(BO14&gt;=121,13, IF(BO14&gt;=51,9, 5)))))))),0),"")</f>
        <v/>
      </c>
      <c r="CY14" s="306" t="str">
        <f ca="1">IFERROR(IF('GHG Calcs'!$BD14="Gasoline",0,VLOOKUP('GHG Calcs'!$BG14,'Ferry C&amp;T EF'!$A$106:$AK$196,IF(BO14&gt;=3301,36, IF(BO14&gt;=1901,32, IF(BO14&gt;=751,28, IF(BO14&gt;=501,24, IF(BO14&gt;=251,20, IF(BO14&gt;=176,16, IF(BO14&gt;=121,12, IF(BO14&gt;=51,8, 4)))))))),0)),"")</f>
        <v/>
      </c>
      <c r="CZ14" s="1419" t="str">
        <f ca="1">IFERROR(IF('GHG Calcs'!$BD14="Gasoline",VLOOKUP('GHG Calcs'!$BL14,'Fuel Consumption'!$A$31:$L$2316,3,0),IF(OR('GHG Calcs'!$BD14="CNG",'GHG Calcs'!$BD14="LNG",'GHG Calcs'!$BD14="Renewable Natural Gas"),VLOOKUP('GHG Calcs'!$BL14,'Fuel Consumption'!$A$31:$L$2316,4,0)*VLOOKUP('GHG Calcs'!$BD14,'GHG EF'!$B$10:$H$19,4,0),VLOOKUP('GHG Calcs'!$BL14,'Fuel Consumption'!$A$31:$L$2316,2,0)*VLOOKUP('GHG Calcs'!$AD14,'GHG EF'!$B$10:$H$19,4,0))),"")</f>
        <v/>
      </c>
      <c r="DA14" s="1419" t="str">
        <f ca="1">IFERROR(IF(OR('GHG Calcs'!$BD14="Diesel",'GHG Calcs'!$BD14="Renewable Diesel",'GHG Calcs'!$BD14="Biodiesel"),VLOOKUP('GHG Calcs'!$BL14,'Fuel Consumption'!$A$31:$L$2316,6,0)*VLOOKUP('GHG Calcs'!$BD14,'GHG EF'!$B$10:$H$19,4,0),VLOOKUP('GHG Calcs'!$BL14,'Fuel Consumption'!$A$31:$L$2316,7,0)*VLOOKUP('GHG Calcs'!$BD14,'GHG EF'!$B$10:$H$19,5,0)),"")</f>
        <v/>
      </c>
      <c r="DB14" s="1419" t="str">
        <f ca="1">IFERROR(IF(OR('GHG Calcs'!$BD14="Diesel",'GHG Calcs'!$BD14="Renewable Diesel",'GHG Calcs'!$BD14="Biodiesel"),VLOOKUP('GHG Calcs'!$BL14,'Fuel Consumption'!$A$31:$L$2316,9,0)*VLOOKUP('GHG Calcs'!$BD14,'GHG EF'!$B$10:$H$19,4,0),VLOOKUP('GHG Calcs'!$BL14,'Fuel Consumption'!$A$31:$L$2316,10,0)*VLOOKUP('GHG Calcs'!$BD14,'GHG EF'!$B$10:$H$19,5,0)),"")</f>
        <v/>
      </c>
      <c r="DC14" s="1419" t="str">
        <f ca="1">IFERROR(VLOOKUP('GHG Calcs'!$BL14,'Fuel Consumption'!$A$31:$L$2316,12,0)*VLOOKUP('GHG Calcs'!$BD14,'GHG EF'!$B$10:$H$19,4,0),"")</f>
        <v/>
      </c>
      <c r="DD14" s="1373" t="str">
        <f ca="1">IFERROR(IF(OR('GHG Calcs'!BD14=Defaults!$I$3, 'GHG Calcs'!BD14=Defaults!$I$4, 'GHG Calcs'!BD14=Defaults!$I$6, 'GHG Calcs'!BD14=Defaults!$I$8), IF('GHG Calcs'!BE14&gt;0,'GHG Calcs'!BE14*IF('GHG Calcs'!BD14=Defaults!$I$3,'GHG EF'!$C$11/'GHG EF'!$C$12,1),'GHG Calcs'!BJ14*'GHG Calcs'!BH14),"")*('GHG Calcs'!I14-'GHG Calcs'!H14),"")</f>
        <v/>
      </c>
      <c r="DE14" s="1373" t="str">
        <f ca="1">IFERROR(IF('GHG Calcs'!BD14=Defaults!$I$5,IF('GHG Calcs'!BE14&gt;0,'GHG Calcs'!BE14,'GHG Calcs'!BI14*'GHG Calcs'!BH14),"")*('GHG Calcs'!I14-'GHG Calcs'!H14),"")</f>
        <v/>
      </c>
      <c r="DF14" s="1420" t="str">
        <f ca="1">IFERROR(IF('GHG Calcs'!BE14&gt;0,'GHG Calcs'!BE14,'GHG Calcs'!BK14*'GHG Calcs'!BH14)*VLOOKUP('GHG Calcs'!BD14,'Fuel &amp; Travel Costs'!$B$10:$C$19,2,0)*('GHG Calcs'!I14-'GHG Calcs'!H14),"")</f>
        <v/>
      </c>
      <c r="DG14" s="306">
        <f ca="1">INDIRECT("'Quantifiable Component "&amp;$B14&amp;"'!"&amp;$D14&amp;ROW('Quantifiable Component 1'!$70:$70))</f>
        <v>0</v>
      </c>
      <c r="DH14" s="306">
        <f ca="1">INDIRECT("'Quantifiable Component "&amp;$B14&amp;"'!"&amp;$D14&amp;ROW('Quantifiable Component 1'!$71:$71))</f>
        <v>0</v>
      </c>
      <c r="DI14" s="1422" t="str">
        <f ca="1">IFERROR(IF('GHG Calcs'!$CD14="Gasoline",VLOOKUP('GHG Calcs'!$CG14,'Bus C&amp;T EF'!$D$30:$V$2315,3,0),IF(OR('GHG Calcs'!$CD14="CNG",'GHG Calcs'!$CD14="LNG",'GHG Calcs'!$CD14="Renewable Natural Gas"),VLOOKUP('GHG Calcs'!$CG14,'Bus C&amp;T EF'!$D$30:$V$2315,4,0),VLOOKUP('GHG Calcs'!$CG14,'Bus C&amp;T EF'!$D$30:$V$2315,2,0)))/$ES14,"")</f>
        <v/>
      </c>
      <c r="DJ14" s="306" t="str">
        <f ca="1">IFERROR(IF('GHG Calcs'!$CD14="Gasoline",VLOOKUP('GHG Calcs'!$CG14,'Bus C&amp;T EF'!$D$30:$V$2315,6,0),IF(OR('GHG Calcs'!$CD14="CNG",'GHG Calcs'!$CD14="LNG",'GHG Calcs'!$CD14="Renewable Natural Gas"),VLOOKUP('GHG Calcs'!$CG14,'Bus C&amp;T EF'!$D$30:$V$2315,7,0),VLOOKUP('GHG Calcs'!$CG14,'Bus C&amp;T EF'!$D$30:$V$2315,5,0)))/$ES14,"")</f>
        <v/>
      </c>
      <c r="DK14" s="306" t="str">
        <f ca="1">IFERROR(IF('GHG Calcs'!$CD14="Gasoline",VLOOKUP('GHG Calcs'!$CG14,'Bus C&amp;T EF'!$D$30:$V$2315,9,0),IF(OR('GHG Calcs'!$CD14="CNG",'GHG Calcs'!$CD14="LNG",'GHG Calcs'!$CD14="Renewable Natural Gas"),VLOOKUP('GHG Calcs'!$CG14,'Bus C&amp;T EF'!$D$30:$V$2315,10,0),VLOOKUP('GHG Calcs'!$CG14,'Bus C&amp;T EF'!$D$30:$V$2315,8,0)))/$ES14,"")</f>
        <v/>
      </c>
      <c r="DL14" s="306" t="str">
        <f ca="1">IFERROR(IF('GHG Calcs'!$CD14="Gasoline",VLOOKUP('GHG Calcs'!$CG14,'Bus C&amp;T EF'!$D$30:$V$2315,12,0),IF(OR('GHG Calcs'!$CD14="CNG",'GHG Calcs'!$CD14="LNG",'GHG Calcs'!$CD14="Renewable Natural Gas"),VLOOKUP('GHG Calcs'!$CG14,'Bus C&amp;T EF'!$D$30:$V$2315,13,0),IF('GHG Calcs'!$CD14="Electric",VLOOKUP('GHG Calcs'!$CG14,'Bus C&amp;T EF'!$D$30:$V$2315,14,0),VLOOKUP('GHG Calcs'!$CG14,'Bus C&amp;T EF'!$D$30:$V$2315,11,0))))/$ES14,"")</f>
        <v/>
      </c>
      <c r="DM14" s="306" t="str">
        <f ca="1">IFERROR(IF('GHG Calcs'!$CD14="Gasoline",VLOOKUP('GHG Calcs'!$CG14,'Bus C&amp;T EF'!$D$30:$V$2315,16,0),IF(OR('GHG Calcs'!$CD14="CNG",'GHG Calcs'!$CD14="LNG",'GHG Calcs'!$CD14="Renewable Natural Gas"),VLOOKUP('GHG Calcs'!$CG14,'Bus C&amp;T EF'!$D$30:$V$2315,17,0),IF('GHG Calcs'!$CD14="Electric",VLOOKUP('GHG Calcs'!$CG14,'Bus C&amp;T EF'!$D$30:$V$2315,18,0),VLOOKUP('GHG Calcs'!$CG14,'Bus C&amp;T EF'!$D$30:$V$2315,15,0))))/$ES14,"")</f>
        <v/>
      </c>
      <c r="DN14" s="306" t="str">
        <f ca="1">IFERROR(IF('GHG Calcs'!$CD14="Gasoline",0,VLOOKUP('GHG Calcs'!$CG14,'Bus C&amp;T EF'!$D$30:$V$2315,19,0))/$ES14,"")</f>
        <v/>
      </c>
      <c r="DO14" s="1419" t="str">
        <f ca="1">IFERROR(IF(OR('GHG Calcs'!$CD14="Diesel",'GHG Calcs'!$CD14="Renewable Diesel",'GHG Calcs'!$CD14="Biodiesel"),VLOOKUP('GHG Calcs'!$CG14,'Van C&amp;T EF'!$D$30:$Q$2315,2,0),VLOOKUP('GHG Calcs'!$CG14,'Van C&amp;T EF'!$D$30:$Q$2315,3,0))/$ET14,"")</f>
        <v/>
      </c>
      <c r="DP14" s="1419" t="str">
        <f ca="1">IFERROR(IF(OR('GHG Calcs'!$CD14="Diesel",'GHG Calcs'!$CD14="Renewable Diesel",'GHG Calcs'!$CD14="Biodiesel"),VLOOKUP('GHG Calcs'!$CG14,'Van C&amp;T EF'!$D$30:$Q$2315,4,0),VLOOKUP('GHG Calcs'!$CG14,'Van C&amp;T EF'!$D$30:$Q$2315,5,0))/$ET14,"")</f>
        <v/>
      </c>
      <c r="DQ14" s="1419" t="str">
        <f ca="1">IFERROR(IF(OR('GHG Calcs'!$CD14="Diesel",'GHG Calcs'!$CD14="Renewable Diesel",'GHG Calcs'!$CD14="Biodiesel"),VLOOKUP('GHG Calcs'!$CG14,'Van C&amp;T EF'!$D$30:$Q$2315,6,0),VLOOKUP('GHG Calcs'!$CG14,'Van C&amp;T EF'!$D$30:$Q$2315,7,0))/$ET14,"")</f>
        <v/>
      </c>
      <c r="DR14" s="1419" t="str">
        <f ca="1">IFERROR(IF(OR('GHG Calcs'!$CD14="Diesel",'GHG Calcs'!$CD14="Renewable Diesel",'GHG Calcs'!$CD14="Biodiesel"),VLOOKUP('GHG Calcs'!$CG14,'Van C&amp;T EF'!$D$30:$Q$2315,8,0),IF(OR('GHG Calcs'!$CD14="Electric",'GHG Calcs'!$CD14="Hydrogen Fuel Cell",'GHG Calcs'!$CD14="Renewable Electricity"),VLOOKUP('GHG Calcs'!$CG14,'Van C&amp;T EF'!$D$30:$Q$2315,10,0),VLOOKUP('GHG Calcs'!$CG14,'Van C&amp;T EF'!$D$30:$Q$2315,9,0)))/$ET14,"")</f>
        <v/>
      </c>
      <c r="DS14" s="1419" t="str">
        <f ca="1">IFERROR(IF(OR('GHG Calcs'!$CD14="Diesel",'GHG Calcs'!$CD14="Renewable Diesel",'GHG Calcs'!$CD14="Biodiesel"),VLOOKUP('GHG Calcs'!$CG14,'Van C&amp;T EF'!$D$30:$Q$2315,11,0),IF(OR('GHG Calcs'!$CD14="Electric",'GHG Calcs'!$CD14="Hydrogen Fuel Cell",'GHG Calcs'!$CD14="Renewable Electricity"),VLOOKUP('GHG Calcs'!$CG14,'Van C&amp;T EF'!$D$30:$Q$2315,13,0),VLOOKUP('GHG Calcs'!$CG14,'Van C&amp;T EF'!$D$30:$Q$2315,12,0)))/$ET14,"")</f>
        <v/>
      </c>
      <c r="DT14" s="306" t="str">
        <f ca="1">IFERROR(IF(OR('GHG Calcs'!$CD14="Diesel",'GHG Calcs'!$CD14="Biodiesel",'GHG Calcs'!$CD14="Renewable Diesel"),VLOOKUP('GHG Calcs'!$CG14,'Van C&amp;T EF'!$D$30:$Q$2315,14,0),0)/$ET14,"")</f>
        <v/>
      </c>
      <c r="DU14" s="1419" t="str">
        <f ca="1">IFERROR(IF(OR('GHG Calcs'!$CD14="Diesel",'GHG Calcs'!$CD14="Renewable Diesel",'GHG Calcs'!$CD14="Biodiesel"),VLOOKUP('GHG Calcs'!$CG14,'Shuttle C&amp;T EF'!$D$30:$Q$2315,2,0),VLOOKUP('GHG Calcs'!$CG14,'Shuttle C&amp;T EF'!$D$30:$Q$2315,3,0))/$EU14,"")</f>
        <v/>
      </c>
      <c r="DV14" s="1419" t="str">
        <f ca="1">IFERROR(IF(OR('GHG Calcs'!$CD14="Diesel",'GHG Calcs'!$CD14="Renewable Diesel",'GHG Calcs'!$CD14="Biodiesel"),VLOOKUP('GHG Calcs'!$CG14,'Shuttle C&amp;T EF'!$D$30:$Q$2315,4,0),VLOOKUP('GHG Calcs'!$CG14,'Shuttle C&amp;T EF'!$D$30:$Q$2315,5,0))/$EU14,"")</f>
        <v/>
      </c>
      <c r="DW14" s="1419" t="str">
        <f ca="1">IFERROR(IF(OR('GHG Calcs'!$CD14="Diesel",'GHG Calcs'!$CD14="Renewable Diesel",'GHG Calcs'!$CD14="Biodiesel"),VLOOKUP('GHG Calcs'!$CG14,'Shuttle C&amp;T EF'!$D$30:$Q$2315,6,0),VLOOKUP('GHG Calcs'!$CG14,'Shuttle C&amp;T EF'!$D$30:$Q$2315,7,0))/$EU14,"")</f>
        <v/>
      </c>
      <c r="DX14" s="1419" t="str">
        <f ca="1">IFERROR(IF(OR('GHG Calcs'!$CD14="Diesel",'GHG Calcs'!$CD14="Renewable Diesel",'GHG Calcs'!$CD14="Biodiesel"),VLOOKUP('GHG Calcs'!$CG14,'Shuttle C&amp;T EF'!$D$30:$Q$2315,8,0),IF(OR('GHG Calcs'!$CD14="Electric",'GHG Calcs'!$CD14="Hydrogen Fuel Cell",'GHG Calcs'!$CD14="Renewable Electricity"),VLOOKUP('GHG Calcs'!$CG14,'Shuttle C&amp;T EF'!$D$30:$Q$2315,10,0),VLOOKUP('GHG Calcs'!$CG14,'Shuttle C&amp;T EF'!$D$30:$Q$2315,9,0)))/$EU14,"")</f>
        <v/>
      </c>
      <c r="DY14" s="1419" t="str">
        <f ca="1">IFERROR(IF(OR('GHG Calcs'!$CD14="Diesel",'GHG Calcs'!$CD14="Renewable Diesel",'GHG Calcs'!$CD14="Biodiesel"),VLOOKUP('GHG Calcs'!$CG14,'Shuttle C&amp;T EF'!$D$30:$Q$2315,11,0),IF(OR('GHG Calcs'!$CD14="Electric",'GHG Calcs'!$CD14="Hydrogen Fuel Cell",'GHG Calcs'!$CD14="Renewable Electricity"),VLOOKUP('GHG Calcs'!$CG14,'Shuttle C&amp;T EF'!$D$30:$Q$2315,13,0),VLOOKUP('GHG Calcs'!$CG14,'Shuttle C&amp;T EF'!$D$30:$Q$2315,12,0)))/$EU14,"")</f>
        <v/>
      </c>
      <c r="DZ14" s="1419" t="str">
        <f ca="1">IFERROR(IF(OR('GHG Calcs'!$CD14="Diesel",'GHG Calcs'!$CD14="Biodiesel",'GHG Calcs'!$CD14="Renewable Diesel"),VLOOKUP('GHG Calcs'!$CG14,'Shuttle C&amp;T EF'!$D$30:$Q$2315,14,0),0)/$EU14,"")</f>
        <v/>
      </c>
      <c r="EA14" s="306" t="str">
        <f ca="1">IFERROR((VLOOKUP('GHG Calcs'!$CG14,'Over-Road Coach C&amp;T EF'!$D$29:$N$2314,2,0)+VLOOKUP('GHG Calcs'!$CG14,'Over-Road Coach C&amp;T EF'!$D$29:$N$2314,3,0))/$EV14,"")</f>
        <v/>
      </c>
      <c r="EB14" s="306" t="str">
        <f ca="1">IFERROR((VLOOKUP('GHG Calcs'!$CG14,'Over-Road Coach C&amp;T EF'!$D$29:$N$2314,4,0)+VLOOKUP('GHG Calcs'!$CG14,'Over-Road Coach C&amp;T EF'!$D$29:$N$2314,5,0))/$EV14,"")</f>
        <v/>
      </c>
      <c r="EC14" s="306" t="str">
        <f ca="1">IFERROR((VLOOKUP('GHG Calcs'!$CG14,'Over-Road Coach C&amp;T EF'!$D$29:$N$2314,6,0)+VLOOKUP('GHG Calcs'!$CG14,'Over-Road Coach C&amp;T EF'!$D$29:$N$2314,7,0))/$EV14,"")</f>
        <v/>
      </c>
      <c r="ED14" s="306" t="str">
        <f ca="1">IFERROR(VLOOKUP('GHG Calcs'!$CG14,'Over-Road Coach C&amp;T EF'!$D$29:$N$2314,8,0)/$EV14,"")</f>
        <v/>
      </c>
      <c r="EE14" s="306" t="str">
        <f ca="1">IFERROR(VLOOKUP('GHG Calcs'!$CG14,'Over-Road Coach C&amp;T EF'!$D$29:$N$2314,9,0)/$EV14,"")</f>
        <v/>
      </c>
      <c r="EF14" s="306" t="str">
        <f ca="1">IFERROR((VLOOKUP('GHG Calcs'!$CG14,'Over-Road Coach C&amp;T EF'!$D$29:$N$2314,10,0)+VLOOKUP('GHG Calcs'!$CG14,'Over-Road Coach C&amp;T EF'!$D$29:$N$2314,11,0))/$EV14,"")</f>
        <v/>
      </c>
      <c r="EG14" s="306" t="str">
        <f ca="1">IFERROR(VLOOKUP(DG14,'Co-Benefit Calcs'!$E$76:$I$83,2,0)/'Rail C&amp;T EF'!$K$14,"")</f>
        <v/>
      </c>
      <c r="EH14" s="306" t="str">
        <f ca="1">IFERROR(VLOOKUP(DG14,'Co-Benefit Calcs'!$E$76:$I$83,3,0)/'Rail C&amp;T EF'!$K$14,"")</f>
        <v/>
      </c>
      <c r="EI14" s="306" t="str">
        <f ca="1">IFERROR(VLOOKUP(DG14,'Co-Benefit Calcs'!$E$76:$I$83,4,0)/'Rail C&amp;T EF'!$K$14,"")</f>
        <v/>
      </c>
      <c r="EJ14" s="306" t="str">
        <f ca="1">IFERROR(IF('GHG Calcs'!$CD14="Gasoline",0,VLOOKUP(DG14,'Co-Benefit Calcs'!$E$76:$I$83,5,0))/'Rail C&amp;T EF'!$K$14,"")</f>
        <v/>
      </c>
      <c r="EK14" s="306" t="str">
        <f ca="1">IFERROR(VLOOKUP('GHG Calcs'!CF14,'Rail C&amp;T EF'!$A$43:$Y$133,IF(DH14&gt;750,23, IF(DH14&gt;=600,20, IF(DH14&gt;=300,17, IF(DH14&gt;=175,14, IF(DH14&gt;=100,11, IF(DH14&gt;=75,8, IF(DH14&gt;=50,5, 2))))))),0) * IF($DH14&gt;=750,'Rail C&amp;T EF'!$K$18,'Rail C&amp;T EF'!$K$19) * IF(OR('GHG Calcs'!CD14="Diesel", 'GHG Calcs'!CD14="Renewable Diesel", 'GHG Calcs'!CD14="Biodiesel"),'Rail C&amp;T EF'!$B$141,'Rail C&amp;T EF'!$B$142),"")</f>
        <v/>
      </c>
      <c r="EL14" s="306" t="str">
        <f ca="1">IFERROR(VLOOKUP('GHG Calcs'!$CF14,'Rail C&amp;T EF'!$A$43:$Y$133,IF(DH14&gt;750,24, IF(DH14&gt;=600,21, IF(DH14&gt;=300,18, IF(DH14&gt;=175,15, IF(DH14&gt;=100,12, IF(DH14&gt;=75,9, IF(DH14&gt;=50,6, 3))))))),0) * IF($DH14&gt;=750,'Rail C&amp;T EF'!$K$18,'Rail C&amp;T EF'!$K$19),"")</f>
        <v/>
      </c>
      <c r="EM14" s="306" t="str">
        <f ca="1">IFERROR(VLOOKUP('GHG Calcs'!$CF14,'Rail C&amp;T EF'!$A$43:$Y$133,IF(DH14&gt;750,25, IF(DH14&gt;=600,22, IF(DH14&gt;=300,19, IF(DH14&gt;=175,16, IF(DH14&gt;=100,13, IF(DH14&gt;=75,10, IF(DH14&gt;=50,7, 4))))))),0) * IF($DH14&gt;=750,'Rail C&amp;T EF'!$K$18,'Rail C&amp;T EF'!$K$19)*'Rail C&amp;T EF'!$B$146,"")</f>
        <v/>
      </c>
      <c r="EN14" s="306" t="str">
        <f ca="1">IFERROR(IF('GHG Calcs'!CD14="Gasoline",0,VLOOKUP('GHG Calcs'!$CF14,'Rail C&amp;T EF'!$A$43:$Y$133,IF(DH14&gt;750,25, IF(DH14&gt;=600,22, IF(DH14&gt;=300,19, IF(DH14&gt;=175,16, IF(DH14&gt;=100,13, IF(DH14&gt;=75,10, IF(DH14&gt;=50,7, 4))))))),0) * IF($DH14&gt;=750,'Rail C&amp;T EF'!$K$18,'Rail C&amp;T EF'!$K$19)),"")</f>
        <v/>
      </c>
      <c r="EO14" s="306" t="str">
        <f ca="1">IFERROR(VLOOKUP('GHG Calcs'!$CF14,'Ferry C&amp;T EF'!$A$106:$AK$196,IF(DH14&gt;=3301,35, IF(DH14&gt;=1901,31, IF(DH14&gt;=751,27, IF(DH14&gt;=501,23, IF(DH14&gt;=251,19, IF(DH14&gt;=176,15, IF(DH14&gt;=121,11, IF(DH14&gt;=51,7, 3)))))))),0),"")</f>
        <v/>
      </c>
      <c r="EP14" s="306" t="str">
        <f ca="1">IFERROR(VLOOKUP('GHG Calcs'!$CF14,'Ferry C&amp;T EF'!$A$106:$AK$196,IF(DH14&gt;=3301,34, IF(DH14&gt;=1901,30, IF(DH14&gt;=751,26, IF(DH14&gt;=501,22, IF(DH14&gt;=251,18, IF(DH14&gt;=176,14, IF(DH14&gt;=121,10, IF(DH14&gt;=51,6, 2)))))))),0),"")</f>
        <v/>
      </c>
      <c r="EQ14" s="306" t="str">
        <f ca="1">IFERROR(VLOOKUP('GHG Calcs'!$CF14,'Ferry C&amp;T EF'!$A$106:$AK$196,IF(DH14&gt;=3301,37, IF(DH14&gt;=1901,33, IF(DH14&gt;=751,29, IF(DH14&gt;=501,25, IF(DH14&gt;=251,21, IF(DH14&gt;=176,17, IF(DH14&gt;=121,13, IF(DH14&gt;=51,9, 5)))))))),0),"")</f>
        <v/>
      </c>
      <c r="ER14" s="306" t="str">
        <f ca="1">IFERROR(IF('GHG Calcs'!$CD14="Gasoline",0,VLOOKUP('GHG Calcs'!$CF14,'Ferry C&amp;T EF'!$A$106:$AK$196,IF(DH14&gt;=3301,36, IF(DH14&gt;=1901,32, IF(DH14&gt;=751,28, IF(DH14&gt;=501,24, IF(DH14&gt;=251,20, IF(DH14&gt;=176,16, IF(DH14&gt;=121,12, IF(DH14&gt;=51,8, 4)))))))),0)),"")</f>
        <v/>
      </c>
      <c r="ES14" s="1419" t="str">
        <f ca="1">IFERROR(IF('GHG Calcs'!$CD14="Gasoline",VLOOKUP('GHG Calcs'!$CG14,'Fuel Consumption'!$A$31:$L$2316,3,0),IF(OR('GHG Calcs'!$CD14="CNG",'GHG Calcs'!$CD14="LNG",'GHG Calcs'!$CD14="Renewable Natural Gas"),VLOOKUP('GHG Calcs'!$CG14,'Fuel Consumption'!$A$31:$L$2316,4,0)*VLOOKUP('GHG Calcs'!$CD14,'GHG EF'!$B$10:$H$19,4,0),VLOOKUP('GHG Calcs'!$CG14,'Fuel Consumption'!$A$31:$L$2316,2,0)*VLOOKUP('GHG Calcs'!$AD14,'GHG EF'!$B$10:$H$19,4,0))),"")</f>
        <v/>
      </c>
      <c r="ET14" s="1419" t="str">
        <f ca="1">IFERROR(IF(OR('GHG Calcs'!$CD14="Diesel",'GHG Calcs'!$CD14="Renewable Diesel",'GHG Calcs'!$CD14="Biodiesel"),VLOOKUP('GHG Calcs'!$CG14,'Fuel Consumption'!$A$31:$L$2316,6,0)*VLOOKUP('GHG Calcs'!$CD14,'GHG EF'!$B$10:$H$19,4,0),VLOOKUP('GHG Calcs'!$CG14,'Fuel Consumption'!$A$31:$L$2316,7,0)*VLOOKUP('GHG Calcs'!$CD14,'GHG EF'!$B$10:$H$19,5,0)),"")</f>
        <v/>
      </c>
      <c r="EU14" s="1419" t="str">
        <f ca="1">IFERROR(IF(OR('GHG Calcs'!$CD14="Diesel",'GHG Calcs'!$CD14="Renewable Diesel",'GHG Calcs'!$CD14="Biodiesel"),VLOOKUP('GHG Calcs'!$CG14,'Fuel Consumption'!$A$31:$L$2316,9,0)*VLOOKUP('GHG Calcs'!$CD14,'GHG EF'!$B$10:$H$19,4,0),VLOOKUP('GHG Calcs'!$CG14,'Fuel Consumption'!$A$31:$L$2316,10,0)*VLOOKUP('GHG Calcs'!$CD14,'GHG EF'!$B$10:$H$19,5,0)),"")</f>
        <v/>
      </c>
      <c r="EV14" s="1419" t="str">
        <f ca="1">IFERROR(VLOOKUP('GHG Calcs'!$CG14,'Fuel Consumption'!$A$31:$L$2316,12,0)*VLOOKUP('GHG Calcs'!$CD14,'GHG EF'!$B$10:$H$19,4,0),"")</f>
        <v/>
      </c>
      <c r="EW14" s="1373" t="str">
        <f ca="1">IFERROR(IF(OR('GHG Calcs'!CD14=Defaults!$I$4, 'GHG Calcs'!CD14=Defaults!$I$6, 'GHG Calcs'!CD14=Defaults!$I$8),'GHG Calcs'!CE14,IF('GHG Calcs'!CD14=Defaults!$I$3, 'GHG Calcs'!CE14*'GHG EF'!$C$11/'GHG EF'!$C$12,""))*('GHG Calcs'!I14-'GHG Calcs'!H14),"")</f>
        <v/>
      </c>
      <c r="EX14" s="1373" t="str">
        <f ca="1">IFERROR(IF('GHG Calcs'!CD14=Defaults!$I$5,'GHG Calcs'!CE14,"")*('GHG Calcs'!I14-'GHG Calcs'!H14),"")</f>
        <v/>
      </c>
      <c r="EY14" s="1420" t="str">
        <f ca="1">IFERROR('GHG Calcs'!CE14*VLOOKUP('GHG Calcs'!CD14,'Fuel &amp; Travel Costs'!$B$10:$C$19,2,0)*('GHG Calcs'!I14-'GHG Calcs'!H14),"")</f>
        <v/>
      </c>
      <c r="EZ14" s="1420" t="str">
        <f t="shared" ca="1" si="0"/>
        <v/>
      </c>
      <c r="FA14" s="306">
        <f ca="1">INDIRECT("'Quantifiable Component "&amp;$B14&amp;"'!"&amp;$D14&amp;ROW('Quantifiable Component 1'!$77:$77))</f>
        <v>0</v>
      </c>
      <c r="FB14" s="306">
        <f ca="1">INDIRECT("'Quantifiable Component "&amp;$B14&amp;"'!"&amp;$D14&amp;ROW('Quantifiable Component 1'!$78:$78))</f>
        <v>0</v>
      </c>
      <c r="FC14" s="306">
        <f ca="1">INDIRECT("'Quantifiable Component "&amp;$B14&amp;"'!"&amp;$D14&amp;ROW('Quantifiable Component 1'!$79:$79))</f>
        <v>0</v>
      </c>
      <c r="FD14" s="306">
        <f ca="1">INDIRECT("'Quantifiable Component "&amp;$B14&amp;"'!"&amp;$D14&amp;ROW('Quantifiable Component 1'!$80:$80))</f>
        <v>0</v>
      </c>
      <c r="FE14" s="306">
        <f ca="1">INDIRECT("'Quantifiable Component "&amp;$B14&amp;"'!"&amp;$D14&amp;ROW('Quantifiable Component 1'!$81:$81))</f>
        <v>0</v>
      </c>
    </row>
    <row r="15" spans="1:162" s="117" customFormat="1" x14ac:dyDescent="0.35">
      <c r="A15" s="1646">
        <v>2</v>
      </c>
      <c r="B15" s="1367">
        <v>2</v>
      </c>
      <c r="C15" s="1379">
        <v>1</v>
      </c>
      <c r="D15" s="1368" t="str">
        <f>'GHG Calcs'!D15</f>
        <v>E</v>
      </c>
      <c r="E15" s="1416">
        <f ca="1">'GHG Calcs'!U15</f>
        <v>0</v>
      </c>
      <c r="F15" s="1416">
        <f ca="1">'GHG Calcs'!W15</f>
        <v>0</v>
      </c>
      <c r="G15" s="1417" t="str">
        <f ca="1">IFERROR(VLOOKUP('GHG Calcs'!K15,'Auto C&amp;T EF'!$C$35:$K$2662,2,0)*E15,"")</f>
        <v/>
      </c>
      <c r="H15" s="1417" t="str">
        <f ca="1">IFERROR(VLOOKUP('GHG Calcs'!L15,'Auto C&amp;T EF'!$C$35:$K$2662,2,0)*F15,"")</f>
        <v/>
      </c>
      <c r="I15" s="1417" t="str">
        <f ca="1">IFERROR(VLOOKUP('GHG Calcs'!$K15,'Auto C&amp;T EF'!$C$35:$K$2662,3,0)*$E15,"")</f>
        <v/>
      </c>
      <c r="J15" s="1417" t="str">
        <f ca="1">IFERROR(VLOOKUP('GHG Calcs'!$L15,'Auto C&amp;T EF'!$C$35:$K$2662,3,0)*$F15,"")</f>
        <v/>
      </c>
      <c r="K15" s="1417" t="str">
        <f ca="1">IFERROR((VLOOKUP('GHG Calcs'!$K15,'Auto C&amp;T EF'!$C$35:$K$2662,5,0)+VLOOKUP('GHG Calcs'!$K15,'Auto C&amp;T EF'!$C$35:$K$2662,6,0)+VLOOKUP('GHG Calcs'!$K15,'Auto C&amp;T EF'!$C$35:$K$2662,7,0))*$E15,"")</f>
        <v/>
      </c>
      <c r="L15" s="1417" t="str">
        <f ca="1">IFERROR((VLOOKUP('GHG Calcs'!$L15,'Auto C&amp;T EF'!$C$35:$K$2662,5,0)+VLOOKUP('GHG Calcs'!$L15,'Auto C&amp;T EF'!$C$35:$K$2662,6,0)+VLOOKUP('GHG Calcs'!$L15,'Auto C&amp;T EF'!$C$35:$K$2662,7,0))*$F15,"")</f>
        <v/>
      </c>
      <c r="M15" s="1417" t="str">
        <f ca="1">IFERROR(VLOOKUP('GHG Calcs'!$K15,'Auto C&amp;T EF'!$C$35:$K$2662,8,0)*$E15,"")</f>
        <v/>
      </c>
      <c r="N15" s="1417" t="str">
        <f ca="1">IFERROR(VLOOKUP('GHG Calcs'!$L15,'Auto C&amp;T EF'!$C$35:$K$2662,8,0)*$F15,"")</f>
        <v/>
      </c>
      <c r="O15" s="1418">
        <f ca="1">IFERROR(AVERAGE(G15:H15)*('GHG Calcs'!I15-'GHG Calcs'!H15),0)</f>
        <v>0</v>
      </c>
      <c r="P15" s="1418">
        <f ca="1">IFERROR(AVERAGE(I15:J15)*('GHG Calcs'!I15-'GHG Calcs'!H15),0)</f>
        <v>0</v>
      </c>
      <c r="Q15" s="1418">
        <f ca="1">IFERROR(AVERAGE(K15:L15)*('GHG Calcs'!I15-'GHG Calcs'!H15),0)</f>
        <v>0</v>
      </c>
      <c r="R15" s="1418">
        <f ca="1">IFERROR(AVERAGE(M15:N15)*('GHG Calcs'!I15-'GHG Calcs'!H15),0)</f>
        <v>0</v>
      </c>
      <c r="S15" s="1418">
        <f ca="1">IFERROR(AVERAGE(E15*VLOOKUP('GHG Calcs'!K15,'Auto C&amp;T EF'!$C$35:$L$2662,10,0),F15*VLOOKUP('GHG Calcs'!L15,'Auto C&amp;T EF'!$C$35:$L$2662,10,0))*('GHG Calcs'!I15-'GHG Calcs'!H15),0)</f>
        <v>0</v>
      </c>
      <c r="T15" s="1379">
        <f ca="1">INDIRECT("'Quantifiable Component "&amp;$B15&amp;"'!"&amp;$D15&amp;ROW('Quantifiable Component 1'!$47:$47))</f>
        <v>0</v>
      </c>
      <c r="U15" s="1379">
        <f ca="1">INDIRECT("'Quantifiable Component "&amp;$B15&amp;"'!"&amp;$D15&amp;ROW('Quantifiable Component 1'!$48:$48))</f>
        <v>0</v>
      </c>
      <c r="V15" s="306" t="str">
        <f ca="1">IFERROR(IF('GHG Calcs'!$AD15="Gasoline",VLOOKUP('GHG Calcs'!$AH15,'Bus C&amp;T EF'!$D$30:$V$2315,3,0),IF(OR('GHG Calcs'!$AD15="CNG",'GHG Calcs'!$AD15="LNG",'GHG Calcs'!$AD15="Renewable Natural Gas"),VLOOKUP('GHG Calcs'!$AH15,'Bus C&amp;T EF'!$D$30:$V$2315,4,0),VLOOKUP('GHG Calcs'!$AH15,'Bus C&amp;T EF'!$D$30:$V$2315,2,0)))/IF('GHG Calcs'!AE15&gt;0,$BF15,1),"")</f>
        <v/>
      </c>
      <c r="W15" s="306" t="str">
        <f ca="1">IFERROR(IF('GHG Calcs'!$AD15="Gasoline",VLOOKUP('GHG Calcs'!$AH15,'Bus C&amp;T EF'!$D$30:$V$2315,6,0),IF(OR('GHG Calcs'!$AD15="CNG",'GHG Calcs'!$AD15="LNG",'GHG Calcs'!$AD15="Renewable Natural Gas"),VLOOKUP('GHG Calcs'!$AH15,'Bus C&amp;T EF'!$D$30:$V$2315,7,0),VLOOKUP('GHG Calcs'!$AH15,'Bus C&amp;T EF'!$D$30:$V$2315,5,0)))/IF('GHG Calcs'!AE15&gt;0,$BF15,1),"")</f>
        <v/>
      </c>
      <c r="X15" s="1419" t="str">
        <f ca="1">IFERROR(IF('GHG Calcs'!$AD15="Gasoline",VLOOKUP('GHG Calcs'!$AH15,'Bus C&amp;T EF'!$D$30:$V$2315,9,0),IF(OR('GHG Calcs'!$AD15="CNG",'GHG Calcs'!$AD15="LNG",'GHG Calcs'!$AD15="Renewable Natural Gas"),VLOOKUP('GHG Calcs'!$AH15,'Bus C&amp;T EF'!$D$30:$V$2315,10,0),VLOOKUP('GHG Calcs'!$AH15,'Bus C&amp;T EF'!$D$30:$V$2315,8,0)))/IF('GHG Calcs'!AE15&gt;0,$BF15,1),"")</f>
        <v/>
      </c>
      <c r="Y15" s="1419" t="str">
        <f ca="1">IFERROR(IF('GHG Calcs'!$AD15="Gasoline",VLOOKUP('GHG Calcs'!$AH15,'Bus C&amp;T EF'!$D$30:$V$2315,12,0),IF(OR('GHG Calcs'!$AD15="CNG",'GHG Calcs'!$AD15="LNG",'GHG Calcs'!$AD15="Renewable Natural Gas"),VLOOKUP('GHG Calcs'!$AH15,'Bus C&amp;T EF'!$D$30:$V$2315,13,0),IF(OR('GHG Calcs'!$AD15="Electric",'GHG Calcs'!$AD15="Hydrogen Fuel Cell",'GHG Calcs'!$AD15="Renewable Electricity"),VLOOKUP('GHG Calcs'!$AH15,'Bus C&amp;T EF'!$D$30:$V$2315,14,0),VLOOKUP('GHG Calcs'!$AH15,'Bus C&amp;T EF'!$D$30:$V$2315,11,0))))/IF('GHG Calcs'!AE15&gt;0,$BF15,1),"")</f>
        <v/>
      </c>
      <c r="Z15" s="1419" t="str">
        <f ca="1">IFERROR(IF('GHG Calcs'!$AD15="Gasoline",VLOOKUP('GHG Calcs'!$AH15,'Bus C&amp;T EF'!$D$30:$V$2315,16,0),IF(OR('GHG Calcs'!$AD15="CNG",'GHG Calcs'!$AD15="LNG",'GHG Calcs'!$AD15="Renewable Natural Gas"),VLOOKUP('GHG Calcs'!$AH15,'Bus C&amp;T EF'!$D$30:$V$2315,17,0),IF(OR('GHG Calcs'!$AD15="Electric",'GHG Calcs'!$AD15="Hydrogen Fuel Cell",'GHG Calcs'!$AD15="Renewable Electricity"),VLOOKUP('GHG Calcs'!$AH15,'Bus C&amp;T EF'!$D$30:$V$2315,18,0),VLOOKUP('GHG Calcs'!$AH15,'Bus C&amp;T EF'!$D$30:$V$2315,15,0))))/IF('GHG Calcs'!AE15&gt;0,$BF15,1),"")</f>
        <v/>
      </c>
      <c r="AA15" s="306" t="str">
        <f ca="1">IFERROR(IF('GHG Calcs'!$AD15="Gasoline",0,VLOOKUP('GHG Calcs'!$AH15,'Bus C&amp;T EF'!$D$30:$V$2315,19,0))/IF('GHG Calcs'!AE15&gt;0,$BF15,1),"")</f>
        <v/>
      </c>
      <c r="AB15" s="1419" t="str">
        <f ca="1">IFERROR(IF(OR('GHG Calcs'!$AD15="Diesel",'GHG Calcs'!$AD15="Renewable Diesel",'GHG Calcs'!$AD15="Biodiesel"),VLOOKUP('GHG Calcs'!$AH15,'Van C&amp;T EF'!$D$30:$Q$2315,2,0),VLOOKUP('GHG Calcs'!$AH15,'Van C&amp;T EF'!$D$30:$Q$2315,3,0))/IF('GHG Calcs'!AE15&gt;0,$BG15,1),"")</f>
        <v/>
      </c>
      <c r="AC15" s="1419" t="str">
        <f ca="1">IFERROR(IF(OR('GHG Calcs'!$AD15="Diesel",'GHG Calcs'!$AD15="Renewable Diesel",'GHG Calcs'!$AD15="Biodiesel"),VLOOKUP('GHG Calcs'!$AH15,'Van C&amp;T EF'!$D$30:$Q$2315,4,0),VLOOKUP('GHG Calcs'!$AH15,'Van C&amp;T EF'!$D$30:$Q$2315,5,0))/IF('GHG Calcs'!AE15&gt;0,$BG15,1),"")</f>
        <v/>
      </c>
      <c r="AD15" s="1419" t="str">
        <f ca="1">IFERROR(IF(OR('GHG Calcs'!$AD15="Diesel",'GHG Calcs'!$AD15="Renewable Diesel",'GHG Calcs'!$AD15="Biodiesel"),VLOOKUP('GHG Calcs'!$AH15,'Van C&amp;T EF'!$D$30:$Q$2315,6,0),VLOOKUP('GHG Calcs'!$AH15,'Van C&amp;T EF'!$D$30:$Q$2315,7,0))/IF('GHG Calcs'!AE15&gt;0,$BG15,1),"")</f>
        <v/>
      </c>
      <c r="AE15" s="1419" t="str">
        <f ca="1">IFERROR(IF(OR('GHG Calcs'!$AD15="Diesel",'GHG Calcs'!$AD15="Renewable Diesel",'GHG Calcs'!$AD15="Biodiesel"),VLOOKUP('GHG Calcs'!$AH15,'Van C&amp;T EF'!$D$30:$Q$2315,8,0),IF(OR('GHG Calcs'!$AD15="Electric",'GHG Calcs'!$AD15="Hydrogen Fuel Cell",'GHG Calcs'!$AD15="Renewable Electricity"),VLOOKUP('GHG Calcs'!$AH15,'Van C&amp;T EF'!$D$30:$Q$2315,10,0),VLOOKUP('GHG Calcs'!$AH15,'Van C&amp;T EF'!$D$30:$Q$2315,9,0)))/IF('GHG Calcs'!AE15&gt;0,$BG15,1),"")</f>
        <v/>
      </c>
      <c r="AF15" s="1419" t="str">
        <f ca="1">IFERROR(IF(OR('GHG Calcs'!$AD15="Diesel",'GHG Calcs'!$AD15="Renewable Diesel",'GHG Calcs'!$AD15="Biodiesel"),VLOOKUP('GHG Calcs'!$AH15,'Van C&amp;T EF'!$D$30:$Q$2315,11,0),IF(OR('GHG Calcs'!$AD15="Electric",'GHG Calcs'!$AD15="Hydrogen Fuel Cell",'GHG Calcs'!$AD15="Renewable Electricity"),VLOOKUP('GHG Calcs'!$AH15,'Van C&amp;T EF'!$D$30:$Q$2315,13,0),VLOOKUP('GHG Calcs'!$AH15,'Van C&amp;T EF'!$D$30:$Q$2315,12,0)))/IF('GHG Calcs'!AE15&gt;0,$BG15,1),"")</f>
        <v/>
      </c>
      <c r="AG15" s="306">
        <f ca="1">IFERROR(IF(OR('GHG Calcs'!$AD15="Diesel",'GHG Calcs'!$AD15="Biodiesel",'GHG Calcs'!$AD15="Renewable Diesel"),VLOOKUP('GHG Calcs'!$AH15,'Van C&amp;T EF'!$D$30:$Q$2315,14,0),0)/IF('GHG Calcs'!AE15&gt;0,$BG15,1),"")</f>
        <v>0</v>
      </c>
      <c r="AH15" s="1419" t="str">
        <f ca="1">IFERROR(IF(OR('GHG Calcs'!$AD15="Diesel",'GHG Calcs'!$AD15="Renewable Diesel",'GHG Calcs'!$AD15="Biodiesel"),VLOOKUP('GHG Calcs'!$AH15,'Shuttle C&amp;T EF'!$D$30:$Q$2315,2,0),VLOOKUP('GHG Calcs'!$AH15,'Shuttle C&amp;T EF'!$D$30:$Q$2315,3,0))/IF('GHG Calcs'!AE15&gt;0,$BH15,1),"")</f>
        <v/>
      </c>
      <c r="AI15" s="1419" t="str">
        <f ca="1">IFERROR(IF(OR('GHG Calcs'!$AD15="Diesel",'GHG Calcs'!$AD15="Renewable Diesel",'GHG Calcs'!$AD15="Biodiesel"),VLOOKUP('GHG Calcs'!$AH15,'Shuttle C&amp;T EF'!$D$30:$Q$2315,4,0),VLOOKUP('GHG Calcs'!$AH15,'Shuttle C&amp;T EF'!$D$30:$Q$2315,5,0))/IF('GHG Calcs'!AE15&gt;0,$BH15,1),"")</f>
        <v/>
      </c>
      <c r="AJ15" s="1419" t="str">
        <f ca="1">IFERROR(IF(OR('GHG Calcs'!$AD15="Diesel",'GHG Calcs'!$AD15="Renewable Diesel",'GHG Calcs'!$AD15="Biodiesel"),VLOOKUP('GHG Calcs'!$AH15,'Shuttle C&amp;T EF'!$D$30:$Q$2315,6,0),VLOOKUP('GHG Calcs'!$AH15,'Shuttle C&amp;T EF'!$D$30:$Q$2315,7,0))/IF('GHG Calcs'!AE15&gt;0,$BH15,1),"")</f>
        <v/>
      </c>
      <c r="AK15" s="1419" t="str">
        <f ca="1">IFERROR(IF(OR('GHG Calcs'!$AD15="Diesel",'GHG Calcs'!$AD15="Renewable Diesel",'GHG Calcs'!$AD15="Biodiesel"),VLOOKUP('GHG Calcs'!$AH15,'Shuttle C&amp;T EF'!$D$30:$Q$2315,8,0),IF(OR('GHG Calcs'!$AD15="Electric",'GHG Calcs'!$AD15="Hydrogen Fuel Cell",'GHG Calcs'!$AD15="Renewable Electricity"),VLOOKUP('GHG Calcs'!$AH15,'Shuttle C&amp;T EF'!$D$30:$Q$2315,10,0),VLOOKUP('GHG Calcs'!$AH15,'Shuttle C&amp;T EF'!$D$30:$Q$2315,9,0)))/IF('GHG Calcs'!AE15&gt;0,$BH15,1),"")</f>
        <v/>
      </c>
      <c r="AL15" s="1419" t="str">
        <f ca="1">IFERROR(IF(OR('GHG Calcs'!$AD15="Diesel",'GHG Calcs'!$AD15="Renewable Diesel",'GHG Calcs'!$AD15="Biodiesel"),VLOOKUP('GHG Calcs'!$AH15,'Shuttle C&amp;T EF'!$D$30:$Q$2315,11,0),IF(OR('GHG Calcs'!$AD15="Electric",'GHG Calcs'!$AD15="Hydrogen Fuel Cell",'GHG Calcs'!$AD15="Renewable Electricity"),VLOOKUP('GHG Calcs'!$AH15,'Shuttle C&amp;T EF'!$D$30:$Q$2315,13,0),VLOOKUP('GHG Calcs'!$AH15,'Shuttle C&amp;T EF'!$D$30:$Q$2315,12,0)))/IF('GHG Calcs'!AE15&gt;0,$BH15,1),"")</f>
        <v/>
      </c>
      <c r="AM15" s="1419">
        <f ca="1">IFERROR(IF(OR('GHG Calcs'!$AD15="Diesel",'GHG Calcs'!$AD15="Biodiesel",'GHG Calcs'!$AD15="Renewable Diesel"),VLOOKUP('GHG Calcs'!$AH15,'Shuttle C&amp;T EF'!$D$30:$Q$2315,14,0),0)/IF('GHG Calcs'!AE15&gt;0,$BH15,1),"")</f>
        <v>0</v>
      </c>
      <c r="AN15" s="306" t="str">
        <f ca="1">IFERROR((VLOOKUP('GHG Calcs'!$AH15,'Over-Road Coach C&amp;T EF'!$D$29:$N$2314,2,0)+VLOOKUP('GHG Calcs'!$AH15,'Over-Road Coach C&amp;T EF'!$D$29:$N$2314,3,0))/IF('GHG Calcs'!AE15&gt;0,$BI15,1),"")</f>
        <v/>
      </c>
      <c r="AO15" s="306" t="str">
        <f ca="1">IFERROR((VLOOKUP('GHG Calcs'!$AH15,'Over-Road Coach C&amp;T EF'!$D$29:$N$2314,4,0)+VLOOKUP('GHG Calcs'!$AH15,'Over-Road Coach C&amp;T EF'!$D$29:$N$2314,5,0))/IF('GHG Calcs'!AE15&gt;0,$BI15,1),"")</f>
        <v/>
      </c>
      <c r="AP15" s="306" t="str">
        <f ca="1">IFERROR((VLOOKUP('GHG Calcs'!$AH15,'Over-Road Coach C&amp;T EF'!$D$29:$N$2314,6,0)+VLOOKUP('GHG Calcs'!$AH15,'Over-Road Coach C&amp;T EF'!$D$29:$N$2314,7,0))/IF('GHG Calcs'!AE15&gt;0,$BI15,1),"")</f>
        <v/>
      </c>
      <c r="AQ15" s="306" t="str">
        <f ca="1">IFERROR(VLOOKUP('GHG Calcs'!$AH15,'Over-Road Coach C&amp;T EF'!$D$29:$N$2314,8,0)/IF('GHG Calcs'!AE15&gt;0,$BI15,1),"")</f>
        <v/>
      </c>
      <c r="AR15" s="306" t="str">
        <f ca="1">IFERROR(VLOOKUP('GHG Calcs'!$AH15,'Over-Road Coach C&amp;T EF'!$D$29:$N$2314,9,0)/IF('GHG Calcs'!AE15&gt;0,$BI15,1),"")</f>
        <v/>
      </c>
      <c r="AS15" s="306" t="str">
        <f ca="1">IFERROR((VLOOKUP('GHG Calcs'!$AH15,'Over-Road Coach C&amp;T EF'!$D$29:$N$2314,10,0)+VLOOKUP('GHG Calcs'!$AH15,'Over-Road Coach C&amp;T EF'!$D$29:$N$2314,11,0))/IF('GHG Calcs'!AE15&gt;0,$BI15,1),"")</f>
        <v/>
      </c>
      <c r="AT15" s="306" t="str">
        <f ca="1">IFERROR(VLOOKUP(T15,'Co-Benefit Calcs'!$E$76:$I$83,2,0)/IF('GHG Calcs'!$AE15&gt;0,'Rail C&amp;T EF'!$K$14,1),"")</f>
        <v/>
      </c>
      <c r="AU15" s="306" t="str">
        <f ca="1">IFERROR(VLOOKUP(T15,'Co-Benefit Calcs'!$E$76:$I$83,3,0)/IF('GHG Calcs'!$AE15&gt;0,'Rail C&amp;T EF'!$K$14,1),"")</f>
        <v/>
      </c>
      <c r="AV15" s="306" t="str">
        <f ca="1">IFERROR(VLOOKUP(T15,'Co-Benefit Calcs'!$E$76:$I$83,4,0)/IF('GHG Calcs'!$AE15&gt;0,'Rail C&amp;T EF'!$K$14,1),"")</f>
        <v/>
      </c>
      <c r="AW15" s="306" t="str">
        <f ca="1">IFERROR(IF('GHG Calcs'!$AD15="Gasoline",0,VLOOKUP(T15,'Co-Benefit Calcs'!$E$76:$I$83,5,0))/IF('GHG Calcs'!$AE15&gt;0,'Rail C&amp;T EF'!$K$14,1),"")</f>
        <v/>
      </c>
      <c r="AX15" s="306" t="str">
        <f ca="1">IFERROR(VLOOKUP('GHG Calcs'!$AG15,'Rail C&amp;T EF'!$A$43:$Y$133,IF(U15&gt;750,23, IF(U15&gt;=600,20, IF(U15&gt;=300,17, IF(U15&gt;=175,14, IF(U15&gt;=100,11, IF(U15&gt;=75,8, IF(U15&gt;=50,5, 2))))))),0) * IF($U15&gt;=750,'Rail C&amp;T EF'!$K$18,'Rail C&amp;T EF'!$K$19) * IF('GHG Calcs'!$AE15&gt;0,1,'Rail C&amp;T EF'!$B$149) * IF(OR('GHG Calcs'!AD15="Diesel", 'GHG Calcs'!AD15="Renewable Diesel", 'GHG Calcs'!AD15="Biodiesel"),'Rail C&amp;T EF'!$B$141,'Rail C&amp;T EF'!$B$142),"")</f>
        <v/>
      </c>
      <c r="AY15" s="306" t="str">
        <f ca="1">IFERROR(VLOOKUP('GHG Calcs'!$AG15,'Rail C&amp;T EF'!$A$43:$Y$133,IF(U15&gt;750,24, IF(U15&gt;=600,21, IF(U15&gt;=300,18, IF(U15&gt;=175,15, IF(U15&gt;=100,12, IF(U15&gt;=75,9, IF(U15&gt;=50,6, 3))))))),0) * IF($U15&gt;=750,'Rail C&amp;T EF'!$K$18,'Rail C&amp;T EF'!$K$19) * IF('GHG Calcs'!$AE15&gt;0,1,'Rail C&amp;T EF'!$B$149),"")</f>
        <v/>
      </c>
      <c r="AZ15" s="306" t="str">
        <f ca="1">IFERROR(VLOOKUP('GHG Calcs'!$AG15,'Rail C&amp;T EF'!$A$43:$Y$133,IF(U15&gt;750,25, IF(U15&gt;=600,22, IF(U15&gt;=300,19, IF(U15&gt;=175,16, IF(U15&gt;=100,13, IF(U15&gt;=75,10, IF(U15&gt;=50,7, 4))))))),0) * IF($U15&gt;=750,'Rail C&amp;T EF'!$K$18,'Rail C&amp;T EF'!$K$19) * IF('GHG Calcs'!$AE15&gt;0,1,'Rail C&amp;T EF'!$B$149)*'Rail C&amp;T EF'!$B$146,"")</f>
        <v/>
      </c>
      <c r="BA15" s="306" t="str">
        <f ca="1">IFERROR(IF('GHG Calcs'!$AD15="Gasoline",0,VLOOKUP('GHG Calcs'!$AG15,'Rail C&amp;T EF'!$A$43:$Y$133,IF(U15&gt;750,25, IF(U15&gt;=600,22, IF(U15&gt;=300,19, IF(U15&gt;=175,16, IF(U15&gt;=100,13, IF(U15&gt;=75,10, IF(U15&gt;=50,7, 4))))))),0) * IF($U15&gt;=750,'Rail C&amp;T EF'!$K$18,'Rail C&amp;T EF'!$K$19) * IF('GHG Calcs'!$AE15&gt;0,1,'Rail C&amp;T EF'!$B$149)),"")</f>
        <v/>
      </c>
      <c r="BB15" s="306" t="str">
        <f ca="1">IFERROR(VLOOKUP('GHG Calcs'!$AG15,'Ferry C&amp;T EF'!$A$106:$AK$196,IF(U15&gt;=3301,35, IF(U15&gt;=1901,31, IF(U15&gt;=751,27, IF(U15&gt;=501,23, IF(U15&gt;=251,19, IF(U15&gt;=176,15, IF(U15&gt;=121,11, IF(U15&gt;=51,7, 3)))))))),0),"")</f>
        <v/>
      </c>
      <c r="BC15" s="306" t="str">
        <f ca="1">IFERROR(VLOOKUP('GHG Calcs'!$AG15,'Ferry C&amp;T EF'!$A$106:$AK$196,IF(U15&gt;=3301,34, IF(U15&gt;=1901,30, IF(U15&gt;=751,26, IF(U15&gt;=501,22, IF(U15&gt;=251,18, IF(U15&gt;=176,14, IF(U15&gt;=121,10, IF(U15&gt;=51,6, 2)))))))),0),"")</f>
        <v/>
      </c>
      <c r="BD15" s="306" t="str">
        <f ca="1">IFERROR(VLOOKUP('GHG Calcs'!$AG15,'Ferry C&amp;T EF'!$A$106:$AK$196,IF(U15&gt;=3301,37, IF(U15&gt;=1901,33, IF(U15&gt;=751,29, IF(U15&gt;=501,25, IF(U15&gt;=251,21, IF(U15&gt;=176,17, IF(U15&gt;=121,13, IF(U15&gt;=51,9, 5)))))))),0),"")</f>
        <v/>
      </c>
      <c r="BE15" s="306" t="str">
        <f ca="1">IFERROR(IF('GHG Calcs'!$AD15="Gasoline",0,VLOOKUP('GHG Calcs'!$AG15,'Ferry C&amp;T EF'!$A$106:$AK$196,IF(U15&gt;=3301,36, IF(U15&gt;=1901,32, IF(U15&gt;=751,28, IF(U15&gt;=501,24, IF(U15&gt;=251,20, IF(U15&gt;=176,16, IF(U15&gt;=121,12, IF(U15&gt;=51,8, 4)))))))),0)),"")</f>
        <v/>
      </c>
      <c r="BF15" s="1419" t="str">
        <f ca="1">IFERROR(IF('GHG Calcs'!$AD15="Gasoline",VLOOKUP('GHG Calcs'!$AH15,'Fuel Consumption'!$A$31:$L$2316,3,0),IF(OR('GHG Calcs'!$AD15="CNG",'GHG Calcs'!$AD15="LNG",'GHG Calcs'!$AD15="Renewable Natural Gas"),VLOOKUP('GHG Calcs'!$AH15,'Fuel Consumption'!$A$31:$L$2316,4,0)*VLOOKUP('GHG Calcs'!$AD15,'GHG EF'!$B$10:$H$19,4,0),VLOOKUP('GHG Calcs'!$AH15,'Fuel Consumption'!$A$31:$L$2316,2,0)*VLOOKUP('GHG Calcs'!$AD15,'GHG EF'!$B$10:$H$19,4,0))),"")</f>
        <v/>
      </c>
      <c r="BG15" s="1419" t="str">
        <f ca="1">IFERROR(IF(OR('GHG Calcs'!$AD15="Diesel",'GHG Calcs'!$AD15="Renewable Diesel",'GHG Calcs'!$AD15="Biodiesel"),VLOOKUP('GHG Calcs'!$AH15,'Fuel Consumption'!$A$31:$L$2316,6,0)*VLOOKUP('GHG Calcs'!$AD15,'GHG EF'!$B$10:$H$19,4,0),VLOOKUP('GHG Calcs'!$AH15,'Fuel Consumption'!$A$31:$L$2316,7,0)*VLOOKUP('GHG Calcs'!$AD15,'GHG EF'!$B$10:$H$19,5,0)),"")</f>
        <v/>
      </c>
      <c r="BH15" s="1419" t="str">
        <f ca="1">IFERROR(IF(OR('GHG Calcs'!$AD15="Diesel",'GHG Calcs'!$AD15="Renewable Diesel",'GHG Calcs'!$AD15="Biodiesel"),VLOOKUP('GHG Calcs'!$AH15,'Fuel Consumption'!$A$31:$L$2316,9,0)*VLOOKUP('GHG Calcs'!$AD15,'GHG EF'!$B$10:$H$19,4,0),VLOOKUP('GHG Calcs'!$AH15,'Fuel Consumption'!$A$31:$L$2316,10,0)*VLOOKUP('GHG Calcs'!$AD15,'GHG EF'!$B$10:$H$19,5,0)),"")</f>
        <v/>
      </c>
      <c r="BI15" s="1419" t="str">
        <f ca="1">IFERROR(VLOOKUP('GHG Calcs'!$AH15,'Fuel Consumption'!$A$31:$L$2316,12,0)*VLOOKUP('GHG Calcs'!$AD15,'GHG EF'!$B$10:$H$19,4,0),"")</f>
        <v/>
      </c>
      <c r="BJ15" s="1373" t="str">
        <f ca="1">IFERROR(IF(OR('GHG Calcs'!AD15=Defaults!$I$3, 'GHG Calcs'!AD15=Defaults!$I$4, 'GHG Calcs'!AD15=Defaults!$I$6, 'GHG Calcs'!AD15=Defaults!$I$8), IF('GHG Calcs'!AE15&gt;0,'GHG Calcs'!AE15*IF('GHG Calcs'!AD15=Defaults!$I$3,'GHG EF'!$C$11/'GHG EF'!$C$12,1),'GHG Calcs'!AK15*'GHG Calcs'!AI15),"")*('GHG Calcs'!I15-'GHG Calcs'!H15),"")</f>
        <v/>
      </c>
      <c r="BK15" s="1373" t="str">
        <f ca="1">IFERROR(IF('GHG Calcs'!AD15=Defaults!$I$5,IF('GHG Calcs'!AE15&gt;0,'GHG Calcs'!AE15,'GHG Calcs'!AJ15*'GHG Calcs'!AI15),"")*IF('GHG Calcs'!AF15&lt;'GHG EF'!$D$13,'GHG Calcs'!AF15/'GHG EF'!$D$13,1)*IF('GHG Calcs'!AF15&lt;0,0,1)*('GHG Calcs'!I15-'GHG Calcs'!H15),"")</f>
        <v/>
      </c>
      <c r="BL15" s="1373" t="str">
        <f ca="1">IFERROR(IF('GHG Calcs'!AD15=Defaults!$I$11, IF(IF('GHG Calcs'!AE15&gt;0,'GHG Calcs'!AE15,'GHG Calcs'!AJ15*'GHG Calcs'!AI15)&lt;INDIRECT("'"&amp;#REF!&amp;"'!"&amp;$D15&amp;ROW(#REF!)), IF('GHG Calcs'!AE15&gt;0,'GHG Calcs'!AE15,'GHG Calcs'!AJ15*'GHG Calcs'!AI15), INDIRECT("'"&amp;#REF!&amp;"'!"&amp;$D15&amp;ROW(#REF!))),"")*('GHG Calcs'!I15-'GHG Calcs'!H15),"")</f>
        <v/>
      </c>
      <c r="BM15" s="1420" t="str">
        <f ca="1">IFERROR(IF('GHG Calcs'!AE15&gt;0,'GHG Calcs'!AE15,'GHG Calcs'!AL15*'GHG Calcs'!AI15)*VLOOKUP('GHG Calcs'!AD15,'Fuel &amp; Travel Costs'!$B$10:$C$19,2,0)*('GHG Calcs'!I15-'GHG Calcs'!H15),"")</f>
        <v/>
      </c>
      <c r="BN15" s="306">
        <f ca="1">INDIRECT("'Quantifiable Component "&amp;$B15&amp;"'!"&amp;$D15&amp;ROW('Quantifiable Component 1'!$59:$59))</f>
        <v>0</v>
      </c>
      <c r="BO15" s="306">
        <f ca="1">INDIRECT("'Quantifiable Component "&amp;$B15&amp;"'!"&amp;$D15&amp;ROW('Quantifiable Component 1'!$60:$60))</f>
        <v>0</v>
      </c>
      <c r="BP15" s="1421" t="str">
        <f ca="1">IFERROR(IF('GHG Calcs'!$BD15="Gasoline",VLOOKUP('GHG Calcs'!$BL15,'Bus C&amp;T EF'!$D$30:$V$2315,3,0),IF(OR('GHG Calcs'!$BD15="CNG",'GHG Calcs'!$BD15="LNG",'GHG Calcs'!$BD15="Renewable Natural Gas"),VLOOKUP('GHG Calcs'!$BL15,'Bus C&amp;T EF'!$D$30:$V$2315,4,0),VLOOKUP('GHG Calcs'!$BL15,'Bus C&amp;T EF'!$D$30:$V$2315,2,0)))/IF('GHG Calcs'!BE15&gt;0,$CZ15,1),"")</f>
        <v/>
      </c>
      <c r="BQ15" s="1419" t="str">
        <f ca="1">IFERROR(IF('GHG Calcs'!$BD15="Gasoline",VLOOKUP('GHG Calcs'!$BL15,'Bus C&amp;T EF'!$D$30:$V$2315,6,0),IF(OR('GHG Calcs'!$BD15="CNG",'GHG Calcs'!$BD15="LNG",'GHG Calcs'!$BD15="Renewable Natural Gas"),VLOOKUP('GHG Calcs'!$BL15,'Bus C&amp;T EF'!$D$30:$V$2315,7,0),VLOOKUP('GHG Calcs'!$BL15,'Bus C&amp;T EF'!$D$30:$V$2315,5,0)))/IF('GHG Calcs'!BE15&gt;0,$CZ15,1),"")</f>
        <v/>
      </c>
      <c r="BR15" s="1419" t="str">
        <f ca="1">IFERROR(IF('GHG Calcs'!$BD15="Gasoline",VLOOKUP('GHG Calcs'!$BL15,'Bus C&amp;T EF'!$D$30:$V$2315,9,0),IF(OR('GHG Calcs'!$BD15="CNG",'GHG Calcs'!$BD15="LNG",'GHG Calcs'!$BD15="Renewable Natural Gas"),VLOOKUP('GHG Calcs'!$BL15,'Bus C&amp;T EF'!$D$30:$V$2315,10,0),VLOOKUP('GHG Calcs'!$BL15,'Bus C&amp;T EF'!$D$30:$V$2315,8,0)))/IF('GHG Calcs'!BE15&gt;0,$CZ15,1),"")</f>
        <v/>
      </c>
      <c r="BS15" s="1419" t="str">
        <f ca="1">IFERROR(IF('GHG Calcs'!$BD15="Gasoline",VLOOKUP('GHG Calcs'!$BL15,'Bus C&amp;T EF'!$D$30:$V$2315,12,0),IF(OR('GHG Calcs'!$BD15="CNG",'GHG Calcs'!$BD15="LNG",'GHG Calcs'!$BD15="Renewable Natural Gas"),VLOOKUP('GHG Calcs'!$BL15,'Bus C&amp;T EF'!$D$30:$V$2315,13,0),IF(OR('GHG Calcs'!$BD15="Electric",'GHG Calcs'!$BD15="Hydrogen Fuel Cell",'GHG Calcs'!$BD15="Renewable Electricity"),VLOOKUP('GHG Calcs'!$BL15,'Bus C&amp;T EF'!$D$30:$V$2315,14,0),VLOOKUP('GHG Calcs'!$BL15,'Bus C&amp;T EF'!$D$30:$V$2315,11,0))))/IF('GHG Calcs'!BE15&gt;0,$CZ15,1),"")</f>
        <v/>
      </c>
      <c r="BT15" s="1419" t="str">
        <f ca="1">IFERROR(IF('GHG Calcs'!$BD15="Gasoline",VLOOKUP('GHG Calcs'!$BL15,'Bus C&amp;T EF'!$D$30:$V$2315,16,0),IF(OR('GHG Calcs'!$BD15="CNG",'GHG Calcs'!$BD15="LNG",'GHG Calcs'!$BD15="Renewable Natural Gas"),VLOOKUP('GHG Calcs'!$BL15,'Bus C&amp;T EF'!$D$30:$V$2315,17,0),IF(OR('GHG Calcs'!$BD15="Electric",'GHG Calcs'!$BD15="Hydrogen Fuel Cell",'GHG Calcs'!$BD15="Renewable Electricity"),VLOOKUP('GHG Calcs'!$BL15,'Bus C&amp;T EF'!$D$30:$V$2315,18,0),VLOOKUP('GHG Calcs'!$BL15,'Bus C&amp;T EF'!$D$30:$V$2315,15,0))))/IF('GHG Calcs'!BE15&gt;0,$CZ15,1),"")</f>
        <v/>
      </c>
      <c r="BU15" s="306" t="str">
        <f ca="1">IFERROR(IF('GHG Calcs'!$BD15="Gasoline",0,VLOOKUP('GHG Calcs'!$BL15,'Bus C&amp;T EF'!$D$30:$V$2315,19,0))/IF('GHG Calcs'!BE15&gt;0,$CZ15,1),"")</f>
        <v/>
      </c>
      <c r="BV15" s="1419" t="str">
        <f ca="1">IFERROR(IF(OR('GHG Calcs'!$BD15="Diesel",'GHG Calcs'!$BD15="Renewable Diesel",'GHG Calcs'!$BD15="Biodiesel"),VLOOKUP('GHG Calcs'!$BL15,'Van C&amp;T EF'!$D$30:$Q$2315,2,0),VLOOKUP('GHG Calcs'!$BL15,'Van C&amp;T EF'!$D$30:$Q$2315,3,0))/IF('GHG Calcs'!BE15&gt;0,$DA15,1),"")</f>
        <v/>
      </c>
      <c r="BW15" s="1419" t="str">
        <f ca="1">IFERROR(IF(OR('GHG Calcs'!$BD15="Diesel",'GHG Calcs'!$BD15="Renewable Diesel",'GHG Calcs'!$BD15="Biodiesel"),VLOOKUP('GHG Calcs'!$BL15,'Van C&amp;T EF'!$D$30:$Q$2315,4,0),VLOOKUP('GHG Calcs'!$BL15,'Van C&amp;T EF'!$D$30:$Q$2315,5,0))/IF('GHG Calcs'!BE15&gt;0,$DA15,1),"")</f>
        <v/>
      </c>
      <c r="BX15" s="1419" t="str">
        <f ca="1">IFERROR(IF(OR('GHG Calcs'!$BD15="Diesel",'GHG Calcs'!$BD15="Renewable Diesel",'GHG Calcs'!$BD15="Biodiesel"),VLOOKUP('GHG Calcs'!$BL15,'Van C&amp;T EF'!$D$30:$Q$2315,6,0),VLOOKUP('GHG Calcs'!$BL15,'Van C&amp;T EF'!$D$30:$Q$2315,7,0))/IF('GHG Calcs'!BE15&gt;0,$DA15,1),"")</f>
        <v/>
      </c>
      <c r="BY15" s="1419" t="str">
        <f ca="1">IFERROR(IF(OR('GHG Calcs'!$BD15="Diesel",'GHG Calcs'!$BD15="Renewable Diesel",'GHG Calcs'!$BD15="Biodiesel"),VLOOKUP('GHG Calcs'!$BL15,'Van C&amp;T EF'!$D$30:$Q$2315,8,0),IF(OR('GHG Calcs'!$BD15="Electric",'GHG Calcs'!$BD15="Hydrogen Fuel Cell",'GHG Calcs'!$BD15="Renewable Electricity"),VLOOKUP('GHG Calcs'!$BL15,'Van C&amp;T EF'!$D$30:$Q$2315,10,0),VLOOKUP('GHG Calcs'!$BL15,'Van C&amp;T EF'!$D$30:$Q$2315,9,0)))/IF('GHG Calcs'!BE15&gt;0,$DA15,1),"")</f>
        <v/>
      </c>
      <c r="BZ15" s="1419" t="str">
        <f ca="1">IFERROR(IF(OR('GHG Calcs'!$BD15="Diesel",'GHG Calcs'!$BD15="Renewable Diesel",'GHG Calcs'!$BD15="Biodiesel"),VLOOKUP('GHG Calcs'!$BL15,'Van C&amp;T EF'!$D$30:$Q$2315,11,0),IF(OR('GHG Calcs'!$BD15="Electric",'GHG Calcs'!$BD15="Hydrogen Fuel Cell",'GHG Calcs'!$BD15="Renewable Electricity"),VLOOKUP('GHG Calcs'!$BL15,'Van C&amp;T EF'!$D$30:$Q$2315,13,0),VLOOKUP('GHG Calcs'!$BL15,'Van C&amp;T EF'!$D$30:$Q$2315,12,0)))/IF('GHG Calcs'!BE15&gt;0,$DA15,1),"")</f>
        <v/>
      </c>
      <c r="CA15" s="306">
        <f ca="1">IFERROR(IF(OR('GHG Calcs'!$BD15="Diesel",'GHG Calcs'!$BD15="Biodiesel",'GHG Calcs'!$BD15="Renewable Diesel"),VLOOKUP('GHG Calcs'!$BL15,'Van C&amp;T EF'!$D$30:$Q$2315,14,0),0)/IF('GHG Calcs'!BE15&gt;0,$DA15,1),"")</f>
        <v>0</v>
      </c>
      <c r="CB15" s="1419" t="str">
        <f ca="1">IFERROR(IF(OR('GHG Calcs'!$BD15="Diesel",'GHG Calcs'!$BD15="Renewable Diesel",'GHG Calcs'!$BD15="Biodiesel"),VLOOKUP('GHG Calcs'!$BL15,'Shuttle C&amp;T EF'!$D$30:$Q$2315,2,0),VLOOKUP('GHG Calcs'!$BL15,'Shuttle C&amp;T EF'!$D$30:$Q$2315,3,0))/IF('GHG Calcs'!BE15&gt;0,$DB15,1),"")</f>
        <v/>
      </c>
      <c r="CC15" s="1419" t="str">
        <f ca="1">IFERROR(IF(OR('GHG Calcs'!$BD15="Diesel",'GHG Calcs'!$BD15="Renewable Diesel",'GHG Calcs'!$BD15="Biodiesel"),VLOOKUP('GHG Calcs'!$BL15,'Shuttle C&amp;T EF'!$D$30:$Q$2315,4,0),VLOOKUP('GHG Calcs'!$BL15,'Shuttle C&amp;T EF'!$D$30:$Q$2315,5,0))/IF('GHG Calcs'!BE15&gt;0,$DB15,1),"")</f>
        <v/>
      </c>
      <c r="CD15" s="1419" t="str">
        <f ca="1">IFERROR(IF(OR('GHG Calcs'!$BD15="Diesel",'GHG Calcs'!$BD15="Renewable Diesel",'GHG Calcs'!$BD15="Biodiesel"),VLOOKUP('GHG Calcs'!$BL15,'Shuttle C&amp;T EF'!$D$30:$Q$2315,6,0),VLOOKUP('GHG Calcs'!$BL15,'Shuttle C&amp;T EF'!$D$30:$Q$2315,7,0))/IF('GHG Calcs'!BE15&gt;0,$DB15,1),"")</f>
        <v/>
      </c>
      <c r="CE15" s="1419" t="str">
        <f ca="1">IFERROR(IF(OR('GHG Calcs'!$BD15="Diesel",'GHG Calcs'!$BD15="Renewable Diesel",'GHG Calcs'!$BD15="Biodiesel"),VLOOKUP('GHG Calcs'!$BL15,'Shuttle C&amp;T EF'!$D$30:$Q$2315,8,0),IF(OR('GHG Calcs'!$BD15="Electric",'GHG Calcs'!$BD15="Hydrogen Fuel Cell",'GHG Calcs'!$BD15="Renewable Electricity"),VLOOKUP('GHG Calcs'!$BL15,'Shuttle C&amp;T EF'!$D$30:$Q$2315,10,0),VLOOKUP('GHG Calcs'!$BL15,'Shuttle C&amp;T EF'!$D$30:$Q$2315,9,0)))/IF('GHG Calcs'!BE15&gt;0,$DB15,1),"")</f>
        <v/>
      </c>
      <c r="CF15" s="1419" t="str">
        <f ca="1">IFERROR(IF(OR('GHG Calcs'!$BD15="Diesel",'GHG Calcs'!$BD15="Renewable Diesel",'GHG Calcs'!$BD15="Biodiesel"),VLOOKUP('GHG Calcs'!$BL15,'Shuttle C&amp;T EF'!$D$30:$Q$2315,11,0),IF(OR('GHG Calcs'!$BD15="Electric",'GHG Calcs'!$BD15="Hydrogen Fuel Cell",'GHG Calcs'!$BD15="Renewable Electricity"),VLOOKUP('GHG Calcs'!$BL15,'Shuttle C&amp;T EF'!$D$30:$Q$2315,13,0),VLOOKUP('GHG Calcs'!$BL15,'Shuttle C&amp;T EF'!$D$30:$Q$2315,12,0)))/IF('GHG Calcs'!BE15&gt;0,$DB15,1),"")</f>
        <v/>
      </c>
      <c r="CG15" s="1419">
        <f ca="1">IFERROR(IF(OR('GHG Calcs'!$BD15="Diesel",'GHG Calcs'!$BD15="Biodiesel",'GHG Calcs'!$BD15="Renewable Diesel"),VLOOKUP('GHG Calcs'!$BL15,'Shuttle C&amp;T EF'!$D$30:$Q$2315,14,0),0)/IF('GHG Calcs'!BE15&gt;0,$DB15,1),"")</f>
        <v>0</v>
      </c>
      <c r="CH15" s="306" t="str">
        <f ca="1">IFERROR((VLOOKUP('GHG Calcs'!$BL15,'Over-Road Coach C&amp;T EF'!$D$29:$N$2314,2,0)+VLOOKUP('GHG Calcs'!$BL15,'Over-Road Coach C&amp;T EF'!$D$29:$N$2314,3,0))/IF('GHG Calcs'!BE15&gt;0,$DC15,1),"")</f>
        <v/>
      </c>
      <c r="CI15" s="306" t="str">
        <f ca="1">IFERROR((VLOOKUP('GHG Calcs'!$BL15,'Over-Road Coach C&amp;T EF'!$D$29:$N$2314,4,0)+VLOOKUP('GHG Calcs'!$BL15,'Over-Road Coach C&amp;T EF'!$D$29:$N$2314,5,0))/IF('GHG Calcs'!BE15&gt;0,$DC15,1),"")</f>
        <v/>
      </c>
      <c r="CJ15" s="306" t="str">
        <f ca="1">IFERROR((VLOOKUP('GHG Calcs'!$BL15,'Over-Road Coach C&amp;T EF'!$D$29:$N$2314,6,0)+VLOOKUP('GHG Calcs'!$BL15,'Over-Road Coach C&amp;T EF'!$D$29:$N$2314,7,0))/IF('GHG Calcs'!BE15&gt;0,$DC15,1),"")</f>
        <v/>
      </c>
      <c r="CK15" s="306" t="str">
        <f ca="1">IFERROR(VLOOKUP('GHG Calcs'!$BL15,'Over-Road Coach C&amp;T EF'!$D$29:$N$2314,8,0)/IF('GHG Calcs'!BE15&gt;0,$DC15,1),"")</f>
        <v/>
      </c>
      <c r="CL15" s="306" t="str">
        <f ca="1">IFERROR(VLOOKUP('GHG Calcs'!$BL15,'Over-Road Coach C&amp;T EF'!$D$29:$N$2314,9,0)/IF('GHG Calcs'!BE15&gt;0,$DC15,1),"")</f>
        <v/>
      </c>
      <c r="CM15" s="306" t="str">
        <f ca="1">IFERROR((VLOOKUP('GHG Calcs'!$BL15,'Over-Road Coach C&amp;T EF'!$D$29:$N$2314,10,0)+VLOOKUP('GHG Calcs'!$BL15,'Over-Road Coach C&amp;T EF'!$D$29:$N$2314,11,0))/IF('GHG Calcs'!BE15&gt;0,$DC15,1),"")</f>
        <v/>
      </c>
      <c r="CN15" s="306" t="str">
        <f ca="1">IFERROR(VLOOKUP(BN15,'Co-Benefit Calcs'!$E$76:$I$83,2,0)/IF('GHG Calcs'!$BE15&gt;0,'Rail C&amp;T EF'!$K$14,1),"")</f>
        <v/>
      </c>
      <c r="CO15" s="306" t="str">
        <f ca="1">IFERROR(VLOOKUP(BN15,'Co-Benefit Calcs'!$E$76:$I$83,3,0)/IF('GHG Calcs'!$BE15&gt;0,'Rail C&amp;T EF'!$K$14,1),"")</f>
        <v/>
      </c>
      <c r="CP15" s="306" t="str">
        <f ca="1">IFERROR(VLOOKUP(BN15,'Co-Benefit Calcs'!$E$76:$I$83,4,0)/IF('GHG Calcs'!$BE15&gt;0,'Rail C&amp;T EF'!$K$14,1),"")</f>
        <v/>
      </c>
      <c r="CQ15" s="306" t="str">
        <f ca="1">IFERROR(IF('GHG Calcs'!$BD15="Gasoline",0,VLOOKUP(BN15,'Co-Benefit Calcs'!$E$76:$I$83,5,0))/IF('GHG Calcs'!$BE15&gt;0,'Rail C&amp;T EF'!$K$14,1),"")</f>
        <v/>
      </c>
      <c r="CR15" s="306" t="str">
        <f ca="1">IFERROR(VLOOKUP('GHG Calcs'!$BG15,'Rail C&amp;T EF'!$A$43:$Y$133,IF(BO15&gt;750,23, IF(BO15&gt;=600,20, IF(BO15&gt;=300,17, IF(BO15&gt;=175,14, IF(BO15&gt;=100,11, IF(BO15&gt;=75,8, IF(BO15&gt;=50,5, 2))))))),0) * IF($BO15&gt;=750,'Rail C&amp;T EF'!$K$18,'Rail C&amp;T EF'!$K$19) * IF('GHG Calcs'!BE15&gt;0,1,'Rail C&amp;T EF'!$B$149) * IF(OR('GHG Calcs'!BD15="Diesel", 'GHG Calcs'!BD15="Renewable Diesel", 'GHG Calcs'!BD15="Biodiesel"),'Rail C&amp;T EF'!$B$141,'Rail C&amp;T EF'!$B$142),"")</f>
        <v/>
      </c>
      <c r="CS15" s="306" t="str">
        <f ca="1">IFERROR(VLOOKUP('GHG Calcs'!$BG15,'Rail C&amp;T EF'!$A$43:$Y$133,IF(BO15&gt;750,24, IF(BO15&gt;=600,21, IF(BO15&gt;=300,18, IF(BO15&gt;=175,15, IF(BO15&gt;=100,12, IF(BO15&gt;=75,9, IF(BO15&gt;=50,6, 3))))))),0) * IF($BO15&gt;=750,'Rail C&amp;T EF'!$K$18,'Rail C&amp;T EF'!$K$19) * IF('GHG Calcs'!$BE15&gt;0,1,'Rail C&amp;T EF'!$B$149),"")</f>
        <v/>
      </c>
      <c r="CT15" s="306" t="str">
        <f ca="1">IFERROR(VLOOKUP('GHG Calcs'!$BG15,'Rail C&amp;T EF'!$A$43:$Y$133,IF(BO15&gt;750,25, IF(BO15&gt;=600,22, IF(BO15&gt;=300,19, IF(BO15&gt;=175,16, IF(BO15&gt;=100,13, IF(BO15&gt;=75,10, IF(BO15&gt;=50,7, 4))))))),0) * IF($BO15&gt;=750,'Rail C&amp;T EF'!$K$18,'Rail C&amp;T EF'!$K$19) * IF('GHG Calcs'!$BE15&gt;0,1,'Rail C&amp;T EF'!$B$149)*'Rail C&amp;T EF'!$B$146,"")</f>
        <v/>
      </c>
      <c r="CU15" s="306" t="str">
        <f ca="1">IFERROR(IF('GHG Calcs'!BD15="Gasoline",0,VLOOKUP('GHG Calcs'!$BG15,'Rail C&amp;T EF'!$A$43:$Y$133,IF(BO15&gt;750,25, IF(BO15&gt;=600,22, IF(BO15&gt;=300,19, IF(BO15&gt;=175,16, IF(BO15&gt;=100,13, IF(BO15&gt;=75,10, IF(BO15&gt;=50,7, 4))))))),0) * IF($BO15&gt;=750,'Rail C&amp;T EF'!$K$18,'Rail C&amp;T EF'!$K$19) * IF('GHG Calcs'!$BE15&gt;0,1,'Rail C&amp;T EF'!$B$149)),"")</f>
        <v/>
      </c>
      <c r="CV15" s="306" t="str">
        <f ca="1">IFERROR(VLOOKUP('GHG Calcs'!$BG15,'Ferry C&amp;T EF'!$A$106:$AK$196,IF(BO15&gt;=3301,35, IF(BO15&gt;=1901,31, IF(BO15&gt;=751,27, IF(BO15&gt;=501,23, IF(BO15&gt;=251,19, IF(BO15&gt;=176,15, IF(BO15&gt;=121,11, IF(BO15&gt;=51,7, 3)))))))),0),"")</f>
        <v/>
      </c>
      <c r="CW15" s="306" t="str">
        <f ca="1">IFERROR(VLOOKUP('GHG Calcs'!$BG15,'Ferry C&amp;T EF'!$A$106:$AK$196,IF(BO15&gt;=3301,34, IF(BO15&gt;=1901,30, IF(BO15&gt;=751,26, IF(BO15&gt;=501,22, IF(BO15&gt;=251,18, IF(BO15&gt;=176,14, IF(BO15&gt;=121,10, IF(BO15&gt;=51,6, 2)))))))),0),"")</f>
        <v/>
      </c>
      <c r="CX15" s="306" t="str">
        <f ca="1">IFERROR(VLOOKUP('GHG Calcs'!$BG15,'Ferry C&amp;T EF'!$A$106:$AK$196,IF(BO15&gt;=3301,37, IF(BO15&gt;=1901,33, IF(BO15&gt;=751,29, IF(BO15&gt;=501,25, IF(BO15&gt;=251,21, IF(BO15&gt;=176,17, IF(BO15&gt;=121,13, IF(BO15&gt;=51,9, 5)))))))),0),"")</f>
        <v/>
      </c>
      <c r="CY15" s="306" t="str">
        <f ca="1">IFERROR(IF('GHG Calcs'!$BD15="Gasoline",0,VLOOKUP('GHG Calcs'!$BG15,'Ferry C&amp;T EF'!$A$106:$AK$196,IF(BO15&gt;=3301,36, IF(BO15&gt;=1901,32, IF(BO15&gt;=751,28, IF(BO15&gt;=501,24, IF(BO15&gt;=251,20, IF(BO15&gt;=176,16, IF(BO15&gt;=121,12, IF(BO15&gt;=51,8, 4)))))))),0)),"")</f>
        <v/>
      </c>
      <c r="CZ15" s="1419" t="str">
        <f ca="1">IFERROR(IF('GHG Calcs'!$BD15="Gasoline",VLOOKUP('GHG Calcs'!$BL15,'Fuel Consumption'!$A$31:$L$2316,3,0),IF(OR('GHG Calcs'!$BD15="CNG",'GHG Calcs'!$BD15="LNG",'GHG Calcs'!$BD15="Renewable Natural Gas"),VLOOKUP('GHG Calcs'!$BL15,'Fuel Consumption'!$A$31:$L$2316,4,0)*VLOOKUP('GHG Calcs'!$BD15,'GHG EF'!$B$10:$H$19,4,0),VLOOKUP('GHG Calcs'!$BL15,'Fuel Consumption'!$A$31:$L$2316,2,0)*VLOOKUP('GHG Calcs'!$AD15,'GHG EF'!$B$10:$H$19,4,0))),"")</f>
        <v/>
      </c>
      <c r="DA15" s="1419" t="str">
        <f ca="1">IFERROR(IF(OR('GHG Calcs'!$BD15="Diesel",'GHG Calcs'!$BD15="Renewable Diesel",'GHG Calcs'!$BD15="Biodiesel"),VLOOKUP('GHG Calcs'!$BL15,'Fuel Consumption'!$A$31:$L$2316,6,0)*VLOOKUP('GHG Calcs'!$BD15,'GHG EF'!$B$10:$H$19,4,0),VLOOKUP('GHG Calcs'!$BL15,'Fuel Consumption'!$A$31:$L$2316,7,0)*VLOOKUP('GHG Calcs'!$BD15,'GHG EF'!$B$10:$H$19,5,0)),"")</f>
        <v/>
      </c>
      <c r="DB15" s="1419" t="str">
        <f ca="1">IFERROR(IF(OR('GHG Calcs'!$BD15="Diesel",'GHG Calcs'!$BD15="Renewable Diesel",'GHG Calcs'!$BD15="Biodiesel"),VLOOKUP('GHG Calcs'!$BL15,'Fuel Consumption'!$A$31:$L$2316,9,0)*VLOOKUP('GHG Calcs'!$BD15,'GHG EF'!$B$10:$H$19,4,0),VLOOKUP('GHG Calcs'!$BL15,'Fuel Consumption'!$A$31:$L$2316,10,0)*VLOOKUP('GHG Calcs'!$BD15,'GHG EF'!$B$10:$H$19,5,0)),"")</f>
        <v/>
      </c>
      <c r="DC15" s="1419" t="str">
        <f ca="1">IFERROR(VLOOKUP('GHG Calcs'!$BL15,'Fuel Consumption'!$A$31:$L$2316,12,0)*VLOOKUP('GHG Calcs'!$BD15,'GHG EF'!$B$10:$H$19,4,0),"")</f>
        <v/>
      </c>
      <c r="DD15" s="1373" t="str">
        <f ca="1">IFERROR(IF(OR('GHG Calcs'!BD15=Defaults!$I$3, 'GHG Calcs'!BD15=Defaults!$I$4, 'GHG Calcs'!BD15=Defaults!$I$6, 'GHG Calcs'!BD15=Defaults!$I$8), IF('GHG Calcs'!BE15&gt;0,'GHG Calcs'!BE15*IF('GHG Calcs'!BD15=Defaults!$I$3,'GHG EF'!$C$11/'GHG EF'!$C$12,1),'GHG Calcs'!BJ15*'GHG Calcs'!BH15),"")*('GHG Calcs'!I15-'GHG Calcs'!H15),"")</f>
        <v/>
      </c>
      <c r="DE15" s="1373" t="str">
        <f ca="1">IFERROR(IF('GHG Calcs'!BD15=Defaults!$I$5,IF('GHG Calcs'!BE15&gt;0,'GHG Calcs'!BE15,'GHG Calcs'!BI15*'GHG Calcs'!BH15),"")*('GHG Calcs'!I15-'GHG Calcs'!H15),"")</f>
        <v/>
      </c>
      <c r="DF15" s="1420" t="str">
        <f ca="1">IFERROR(IF('GHG Calcs'!BE15&gt;0,'GHG Calcs'!BE15,'GHG Calcs'!BK15*'GHG Calcs'!BH15)*VLOOKUP('GHG Calcs'!BD15,'Fuel &amp; Travel Costs'!$B$10:$C$19,2,0)*('GHG Calcs'!I15-'GHG Calcs'!H15),"")</f>
        <v/>
      </c>
      <c r="DG15" s="306">
        <f ca="1">INDIRECT("'Quantifiable Component "&amp;$B15&amp;"'!"&amp;$D15&amp;ROW('Quantifiable Component 1'!$70:$70))</f>
        <v>0</v>
      </c>
      <c r="DH15" s="306">
        <f ca="1">INDIRECT("'Quantifiable Component "&amp;$B15&amp;"'!"&amp;$D15&amp;ROW('Quantifiable Component 1'!$71:$71))</f>
        <v>0</v>
      </c>
      <c r="DI15" s="1422" t="str">
        <f ca="1">IFERROR(IF('GHG Calcs'!$CD15="Gasoline",VLOOKUP('GHG Calcs'!$CG15,'Bus C&amp;T EF'!$D$30:$V$2315,3,0),IF(OR('GHG Calcs'!$CD15="CNG",'GHG Calcs'!$CD15="LNG",'GHG Calcs'!$CD15="Renewable Natural Gas"),VLOOKUP('GHG Calcs'!$CG15,'Bus C&amp;T EF'!$D$30:$V$2315,4,0),VLOOKUP('GHG Calcs'!$CG15,'Bus C&amp;T EF'!$D$30:$V$2315,2,0)))/$ES15,"")</f>
        <v/>
      </c>
      <c r="DJ15" s="306" t="str">
        <f ca="1">IFERROR(IF('GHG Calcs'!$CD15="Gasoline",VLOOKUP('GHG Calcs'!$CG15,'Bus C&amp;T EF'!$D$30:$V$2315,6,0),IF(OR('GHG Calcs'!$CD15="CNG",'GHG Calcs'!$CD15="LNG",'GHG Calcs'!$CD15="Renewable Natural Gas"),VLOOKUP('GHG Calcs'!$CG15,'Bus C&amp;T EF'!$D$30:$V$2315,7,0),VLOOKUP('GHG Calcs'!$CG15,'Bus C&amp;T EF'!$D$30:$V$2315,5,0)))/$ES15,"")</f>
        <v/>
      </c>
      <c r="DK15" s="306" t="str">
        <f ca="1">IFERROR(IF('GHG Calcs'!$CD15="Gasoline",VLOOKUP('GHG Calcs'!$CG15,'Bus C&amp;T EF'!$D$30:$V$2315,9,0),IF(OR('GHG Calcs'!$CD15="CNG",'GHG Calcs'!$CD15="LNG",'GHG Calcs'!$CD15="Renewable Natural Gas"),VLOOKUP('GHG Calcs'!$CG15,'Bus C&amp;T EF'!$D$30:$V$2315,10,0),VLOOKUP('GHG Calcs'!$CG15,'Bus C&amp;T EF'!$D$30:$V$2315,8,0)))/$ES15,"")</f>
        <v/>
      </c>
      <c r="DL15" s="306" t="str">
        <f ca="1">IFERROR(IF('GHG Calcs'!$CD15="Gasoline",VLOOKUP('GHG Calcs'!$CG15,'Bus C&amp;T EF'!$D$30:$V$2315,12,0),IF(OR('GHG Calcs'!$CD15="CNG",'GHG Calcs'!$CD15="LNG",'GHG Calcs'!$CD15="Renewable Natural Gas"),VLOOKUP('GHG Calcs'!$CG15,'Bus C&amp;T EF'!$D$30:$V$2315,13,0),IF('GHG Calcs'!$CD15="Electric",VLOOKUP('GHG Calcs'!$CG15,'Bus C&amp;T EF'!$D$30:$V$2315,14,0),VLOOKUP('GHG Calcs'!$CG15,'Bus C&amp;T EF'!$D$30:$V$2315,11,0))))/$ES15,"")</f>
        <v/>
      </c>
      <c r="DM15" s="306" t="str">
        <f ca="1">IFERROR(IF('GHG Calcs'!$CD15="Gasoline",VLOOKUP('GHG Calcs'!$CG15,'Bus C&amp;T EF'!$D$30:$V$2315,16,0),IF(OR('GHG Calcs'!$CD15="CNG",'GHG Calcs'!$CD15="LNG",'GHG Calcs'!$CD15="Renewable Natural Gas"),VLOOKUP('GHG Calcs'!$CG15,'Bus C&amp;T EF'!$D$30:$V$2315,17,0),IF('GHG Calcs'!$CD15="Electric",VLOOKUP('GHG Calcs'!$CG15,'Bus C&amp;T EF'!$D$30:$V$2315,18,0),VLOOKUP('GHG Calcs'!$CG15,'Bus C&amp;T EF'!$D$30:$V$2315,15,0))))/$ES15,"")</f>
        <v/>
      </c>
      <c r="DN15" s="306" t="str">
        <f ca="1">IFERROR(IF('GHG Calcs'!$CD15="Gasoline",0,VLOOKUP('GHG Calcs'!$CG15,'Bus C&amp;T EF'!$D$30:$V$2315,19,0))/$ES15,"")</f>
        <v/>
      </c>
      <c r="DO15" s="1419" t="str">
        <f ca="1">IFERROR(IF(OR('GHG Calcs'!$CD15="Diesel",'GHG Calcs'!$CD15="Renewable Diesel",'GHG Calcs'!$CD15="Biodiesel"),VLOOKUP('GHG Calcs'!$CG15,'Van C&amp;T EF'!$D$30:$Q$2315,2,0),VLOOKUP('GHG Calcs'!$CG15,'Van C&amp;T EF'!$D$30:$Q$2315,3,0))/$ET15,"")</f>
        <v/>
      </c>
      <c r="DP15" s="1419" t="str">
        <f ca="1">IFERROR(IF(OR('GHG Calcs'!$CD15="Diesel",'GHG Calcs'!$CD15="Renewable Diesel",'GHG Calcs'!$CD15="Biodiesel"),VLOOKUP('GHG Calcs'!$CG15,'Van C&amp;T EF'!$D$30:$Q$2315,4,0),VLOOKUP('GHG Calcs'!$CG15,'Van C&amp;T EF'!$D$30:$Q$2315,5,0))/$ET15,"")</f>
        <v/>
      </c>
      <c r="DQ15" s="1419" t="str">
        <f ca="1">IFERROR(IF(OR('GHG Calcs'!$CD15="Diesel",'GHG Calcs'!$CD15="Renewable Diesel",'GHG Calcs'!$CD15="Biodiesel"),VLOOKUP('GHG Calcs'!$CG15,'Van C&amp;T EF'!$D$30:$Q$2315,6,0),VLOOKUP('GHG Calcs'!$CG15,'Van C&amp;T EF'!$D$30:$Q$2315,7,0))/$ET15,"")</f>
        <v/>
      </c>
      <c r="DR15" s="1419" t="str">
        <f ca="1">IFERROR(IF(OR('GHG Calcs'!$CD15="Diesel",'GHG Calcs'!$CD15="Renewable Diesel",'GHG Calcs'!$CD15="Biodiesel"),VLOOKUP('GHG Calcs'!$CG15,'Van C&amp;T EF'!$D$30:$Q$2315,8,0),IF(OR('GHG Calcs'!$CD15="Electric",'GHG Calcs'!$CD15="Hydrogen Fuel Cell",'GHG Calcs'!$CD15="Renewable Electricity"),VLOOKUP('GHG Calcs'!$CG15,'Van C&amp;T EF'!$D$30:$Q$2315,10,0),VLOOKUP('GHG Calcs'!$CG15,'Van C&amp;T EF'!$D$30:$Q$2315,9,0)))/$ET15,"")</f>
        <v/>
      </c>
      <c r="DS15" s="1419" t="str">
        <f ca="1">IFERROR(IF(OR('GHG Calcs'!$CD15="Diesel",'GHG Calcs'!$CD15="Renewable Diesel",'GHG Calcs'!$CD15="Biodiesel"),VLOOKUP('GHG Calcs'!$CG15,'Van C&amp;T EF'!$D$30:$Q$2315,11,0),IF(OR('GHG Calcs'!$CD15="Electric",'GHG Calcs'!$CD15="Hydrogen Fuel Cell",'GHG Calcs'!$CD15="Renewable Electricity"),VLOOKUP('GHG Calcs'!$CG15,'Van C&amp;T EF'!$D$30:$Q$2315,13,0),VLOOKUP('GHG Calcs'!$CG15,'Van C&amp;T EF'!$D$30:$Q$2315,12,0)))/$ET15,"")</f>
        <v/>
      </c>
      <c r="DT15" s="306" t="str">
        <f ca="1">IFERROR(IF(OR('GHG Calcs'!$CD15="Diesel",'GHG Calcs'!$CD15="Biodiesel",'GHG Calcs'!$CD15="Renewable Diesel"),VLOOKUP('GHG Calcs'!$CG15,'Van C&amp;T EF'!$D$30:$Q$2315,14,0),0)/$ET15,"")</f>
        <v/>
      </c>
      <c r="DU15" s="1419" t="str">
        <f ca="1">IFERROR(IF(OR('GHG Calcs'!$CD15="Diesel",'GHG Calcs'!$CD15="Renewable Diesel",'GHG Calcs'!$CD15="Biodiesel"),VLOOKUP('GHG Calcs'!$CG15,'Shuttle C&amp;T EF'!$D$30:$Q$2315,2,0),VLOOKUP('GHG Calcs'!$CG15,'Shuttle C&amp;T EF'!$D$30:$Q$2315,3,0))/$EU15,"")</f>
        <v/>
      </c>
      <c r="DV15" s="1419" t="str">
        <f ca="1">IFERROR(IF(OR('GHG Calcs'!$CD15="Diesel",'GHG Calcs'!$CD15="Renewable Diesel",'GHG Calcs'!$CD15="Biodiesel"),VLOOKUP('GHG Calcs'!$CG15,'Shuttle C&amp;T EF'!$D$30:$Q$2315,4,0),VLOOKUP('GHG Calcs'!$CG15,'Shuttle C&amp;T EF'!$D$30:$Q$2315,5,0))/$EU15,"")</f>
        <v/>
      </c>
      <c r="DW15" s="1419" t="str">
        <f ca="1">IFERROR(IF(OR('GHG Calcs'!$CD15="Diesel",'GHG Calcs'!$CD15="Renewable Diesel",'GHG Calcs'!$CD15="Biodiesel"),VLOOKUP('GHG Calcs'!$CG15,'Shuttle C&amp;T EF'!$D$30:$Q$2315,6,0),VLOOKUP('GHG Calcs'!$CG15,'Shuttle C&amp;T EF'!$D$30:$Q$2315,7,0))/$EU15,"")</f>
        <v/>
      </c>
      <c r="DX15" s="1419" t="str">
        <f ca="1">IFERROR(IF(OR('GHG Calcs'!$CD15="Diesel",'GHG Calcs'!$CD15="Renewable Diesel",'GHG Calcs'!$CD15="Biodiesel"),VLOOKUP('GHG Calcs'!$CG15,'Shuttle C&amp;T EF'!$D$30:$Q$2315,8,0),IF(OR('GHG Calcs'!$CD15="Electric",'GHG Calcs'!$CD15="Hydrogen Fuel Cell",'GHG Calcs'!$CD15="Renewable Electricity"),VLOOKUP('GHG Calcs'!$CG15,'Shuttle C&amp;T EF'!$D$30:$Q$2315,10,0),VLOOKUP('GHG Calcs'!$CG15,'Shuttle C&amp;T EF'!$D$30:$Q$2315,9,0)))/$EU15,"")</f>
        <v/>
      </c>
      <c r="DY15" s="1419" t="str">
        <f ca="1">IFERROR(IF(OR('GHG Calcs'!$CD15="Diesel",'GHG Calcs'!$CD15="Renewable Diesel",'GHG Calcs'!$CD15="Biodiesel"),VLOOKUP('GHG Calcs'!$CG15,'Shuttle C&amp;T EF'!$D$30:$Q$2315,11,0),IF(OR('GHG Calcs'!$CD15="Electric",'GHG Calcs'!$CD15="Hydrogen Fuel Cell",'GHG Calcs'!$CD15="Renewable Electricity"),VLOOKUP('GHG Calcs'!$CG15,'Shuttle C&amp;T EF'!$D$30:$Q$2315,13,0),VLOOKUP('GHG Calcs'!$CG15,'Shuttle C&amp;T EF'!$D$30:$Q$2315,12,0)))/$EU15,"")</f>
        <v/>
      </c>
      <c r="DZ15" s="1419" t="str">
        <f ca="1">IFERROR(IF(OR('GHG Calcs'!$CD15="Diesel",'GHG Calcs'!$CD15="Biodiesel",'GHG Calcs'!$CD15="Renewable Diesel"),VLOOKUP('GHG Calcs'!$CG15,'Shuttle C&amp;T EF'!$D$30:$Q$2315,14,0),0)/$EU15,"")</f>
        <v/>
      </c>
      <c r="EA15" s="306" t="str">
        <f ca="1">IFERROR((VLOOKUP('GHG Calcs'!$CG15,'Over-Road Coach C&amp;T EF'!$D$29:$N$2314,2,0)+VLOOKUP('GHG Calcs'!$CG15,'Over-Road Coach C&amp;T EF'!$D$29:$N$2314,3,0))/$EV15,"")</f>
        <v/>
      </c>
      <c r="EB15" s="306" t="str">
        <f ca="1">IFERROR((VLOOKUP('GHG Calcs'!$CG15,'Over-Road Coach C&amp;T EF'!$D$29:$N$2314,4,0)+VLOOKUP('GHG Calcs'!$CG15,'Over-Road Coach C&amp;T EF'!$D$29:$N$2314,5,0))/$EV15,"")</f>
        <v/>
      </c>
      <c r="EC15" s="306" t="str">
        <f ca="1">IFERROR((VLOOKUP('GHG Calcs'!$CG15,'Over-Road Coach C&amp;T EF'!$D$29:$N$2314,6,0)+VLOOKUP('GHG Calcs'!$CG15,'Over-Road Coach C&amp;T EF'!$D$29:$N$2314,7,0))/$EV15,"")</f>
        <v/>
      </c>
      <c r="ED15" s="306" t="str">
        <f ca="1">IFERROR(VLOOKUP('GHG Calcs'!$CG15,'Over-Road Coach C&amp;T EF'!$D$29:$N$2314,8,0)/$EV15,"")</f>
        <v/>
      </c>
      <c r="EE15" s="306" t="str">
        <f ca="1">IFERROR(VLOOKUP('GHG Calcs'!$CG15,'Over-Road Coach C&amp;T EF'!$D$29:$N$2314,9,0)/$EV15,"")</f>
        <v/>
      </c>
      <c r="EF15" s="306" t="str">
        <f ca="1">IFERROR((VLOOKUP('GHG Calcs'!$CG15,'Over-Road Coach C&amp;T EF'!$D$29:$N$2314,10,0)+VLOOKUP('GHG Calcs'!$CG15,'Over-Road Coach C&amp;T EF'!$D$29:$N$2314,11,0))/$EV15,"")</f>
        <v/>
      </c>
      <c r="EG15" s="306" t="str">
        <f ca="1">IFERROR(VLOOKUP(DG15,'Co-Benefit Calcs'!$E$76:$I$83,2,0)/'Rail C&amp;T EF'!$K$14,"")</f>
        <v/>
      </c>
      <c r="EH15" s="306" t="str">
        <f ca="1">IFERROR(VLOOKUP(DG15,'Co-Benefit Calcs'!$E$76:$I$83,3,0)/'Rail C&amp;T EF'!$K$14,"")</f>
        <v/>
      </c>
      <c r="EI15" s="306" t="str">
        <f ca="1">IFERROR(VLOOKUP(DG15,'Co-Benefit Calcs'!$E$76:$I$83,4,0)/'Rail C&amp;T EF'!$K$14,"")</f>
        <v/>
      </c>
      <c r="EJ15" s="306" t="str">
        <f ca="1">IFERROR(IF('GHG Calcs'!$CD15="Gasoline",0,VLOOKUP(DG15,'Co-Benefit Calcs'!$E$76:$I$83,5,0))/'Rail C&amp;T EF'!$K$14,"")</f>
        <v/>
      </c>
      <c r="EK15" s="306" t="str">
        <f ca="1">IFERROR(VLOOKUP('GHG Calcs'!CF15,'Rail C&amp;T EF'!$A$43:$Y$133,IF(DH15&gt;750,23, IF(DH15&gt;=600,20, IF(DH15&gt;=300,17, IF(DH15&gt;=175,14, IF(DH15&gt;=100,11, IF(DH15&gt;=75,8, IF(DH15&gt;=50,5, 2))))))),0) * IF($DH15&gt;=750,'Rail C&amp;T EF'!$K$18,'Rail C&amp;T EF'!$K$19) * IF(OR('GHG Calcs'!CD15="Diesel", 'GHG Calcs'!CD15="Renewable Diesel", 'GHG Calcs'!CD15="Biodiesel"),'Rail C&amp;T EF'!$B$141,'Rail C&amp;T EF'!$B$142),"")</f>
        <v/>
      </c>
      <c r="EL15" s="306" t="str">
        <f ca="1">IFERROR(VLOOKUP('GHG Calcs'!$CF15,'Rail C&amp;T EF'!$A$43:$Y$133,IF(DH15&gt;750,24, IF(DH15&gt;=600,21, IF(DH15&gt;=300,18, IF(DH15&gt;=175,15, IF(DH15&gt;=100,12, IF(DH15&gt;=75,9, IF(DH15&gt;=50,6, 3))))))),0) * IF($DH15&gt;=750,'Rail C&amp;T EF'!$K$18,'Rail C&amp;T EF'!$K$19),"")</f>
        <v/>
      </c>
      <c r="EM15" s="306" t="str">
        <f ca="1">IFERROR(VLOOKUP('GHG Calcs'!$CF15,'Rail C&amp;T EF'!$A$43:$Y$133,IF(DH15&gt;750,25, IF(DH15&gt;=600,22, IF(DH15&gt;=300,19, IF(DH15&gt;=175,16, IF(DH15&gt;=100,13, IF(DH15&gt;=75,10, IF(DH15&gt;=50,7, 4))))))),0) * IF($DH15&gt;=750,'Rail C&amp;T EF'!$K$18,'Rail C&amp;T EF'!$K$19)*'Rail C&amp;T EF'!$B$146,"")</f>
        <v/>
      </c>
      <c r="EN15" s="306" t="str">
        <f ca="1">IFERROR(IF('GHG Calcs'!CD15="Gasoline",0,VLOOKUP('GHG Calcs'!$CF15,'Rail C&amp;T EF'!$A$43:$Y$133,IF(DH15&gt;750,25, IF(DH15&gt;=600,22, IF(DH15&gt;=300,19, IF(DH15&gt;=175,16, IF(DH15&gt;=100,13, IF(DH15&gt;=75,10, IF(DH15&gt;=50,7, 4))))))),0) * IF($DH15&gt;=750,'Rail C&amp;T EF'!$K$18,'Rail C&amp;T EF'!$K$19)),"")</f>
        <v/>
      </c>
      <c r="EO15" s="306" t="str">
        <f ca="1">IFERROR(VLOOKUP('GHG Calcs'!$CF15,'Ferry C&amp;T EF'!$A$106:$AK$196,IF(DH15&gt;=3301,35, IF(DH15&gt;=1901,31, IF(DH15&gt;=751,27, IF(DH15&gt;=501,23, IF(DH15&gt;=251,19, IF(DH15&gt;=176,15, IF(DH15&gt;=121,11, IF(DH15&gt;=51,7, 3)))))))),0),"")</f>
        <v/>
      </c>
      <c r="EP15" s="306" t="str">
        <f ca="1">IFERROR(VLOOKUP('GHG Calcs'!$CF15,'Ferry C&amp;T EF'!$A$106:$AK$196,IF(DH15&gt;=3301,34, IF(DH15&gt;=1901,30, IF(DH15&gt;=751,26, IF(DH15&gt;=501,22, IF(DH15&gt;=251,18, IF(DH15&gt;=176,14, IF(DH15&gt;=121,10, IF(DH15&gt;=51,6, 2)))))))),0),"")</f>
        <v/>
      </c>
      <c r="EQ15" s="306" t="str">
        <f ca="1">IFERROR(VLOOKUP('GHG Calcs'!$CF15,'Ferry C&amp;T EF'!$A$106:$AK$196,IF(DH15&gt;=3301,37, IF(DH15&gt;=1901,33, IF(DH15&gt;=751,29, IF(DH15&gt;=501,25, IF(DH15&gt;=251,21, IF(DH15&gt;=176,17, IF(DH15&gt;=121,13, IF(DH15&gt;=51,9, 5)))))))),0),"")</f>
        <v/>
      </c>
      <c r="ER15" s="306" t="str">
        <f ca="1">IFERROR(IF('GHG Calcs'!$CD15="Gasoline",0,VLOOKUP('GHG Calcs'!$CF15,'Ferry C&amp;T EF'!$A$106:$AK$196,IF(DH15&gt;=3301,36, IF(DH15&gt;=1901,32, IF(DH15&gt;=751,28, IF(DH15&gt;=501,24, IF(DH15&gt;=251,20, IF(DH15&gt;=176,16, IF(DH15&gt;=121,12, IF(DH15&gt;=51,8, 4)))))))),0)),"")</f>
        <v/>
      </c>
      <c r="ES15" s="1419" t="str">
        <f ca="1">IFERROR(IF('GHG Calcs'!$CD15="Gasoline",VLOOKUP('GHG Calcs'!$CG15,'Fuel Consumption'!$A$31:$L$2316,3,0),IF(OR('GHG Calcs'!$CD15="CNG",'GHG Calcs'!$CD15="LNG",'GHG Calcs'!$CD15="Renewable Natural Gas"),VLOOKUP('GHG Calcs'!$CG15,'Fuel Consumption'!$A$31:$L$2316,4,0)*VLOOKUP('GHG Calcs'!$CD15,'GHG EF'!$B$10:$H$19,4,0),VLOOKUP('GHG Calcs'!$CG15,'Fuel Consumption'!$A$31:$L$2316,2,0)*VLOOKUP('GHG Calcs'!$AD15,'GHG EF'!$B$10:$H$19,4,0))),"")</f>
        <v/>
      </c>
      <c r="ET15" s="1419" t="str">
        <f ca="1">IFERROR(IF(OR('GHG Calcs'!$CD15="Diesel",'GHG Calcs'!$CD15="Renewable Diesel",'GHG Calcs'!$CD15="Biodiesel"),VLOOKUP('GHG Calcs'!$CG15,'Fuel Consumption'!$A$31:$L$2316,6,0)*VLOOKUP('GHG Calcs'!$CD15,'GHG EF'!$B$10:$H$19,4,0),VLOOKUP('GHG Calcs'!$CG15,'Fuel Consumption'!$A$31:$L$2316,7,0)*VLOOKUP('GHG Calcs'!$CD15,'GHG EF'!$B$10:$H$19,5,0)),"")</f>
        <v/>
      </c>
      <c r="EU15" s="1419" t="str">
        <f ca="1">IFERROR(IF(OR('GHG Calcs'!$CD15="Diesel",'GHG Calcs'!$CD15="Renewable Diesel",'GHG Calcs'!$CD15="Biodiesel"),VLOOKUP('GHG Calcs'!$CG15,'Fuel Consumption'!$A$31:$L$2316,9,0)*VLOOKUP('GHG Calcs'!$CD15,'GHG EF'!$B$10:$H$19,4,0),VLOOKUP('GHG Calcs'!$CG15,'Fuel Consumption'!$A$31:$L$2316,10,0)*VLOOKUP('GHG Calcs'!$CD15,'GHG EF'!$B$10:$H$19,5,0)),"")</f>
        <v/>
      </c>
      <c r="EV15" s="1419" t="str">
        <f ca="1">IFERROR(VLOOKUP('GHG Calcs'!$CG15,'Fuel Consumption'!$A$31:$L$2316,12,0)*VLOOKUP('GHG Calcs'!$CD15,'GHG EF'!$B$10:$H$19,4,0),"")</f>
        <v/>
      </c>
      <c r="EW15" s="1373" t="str">
        <f ca="1">IFERROR(IF(OR('GHG Calcs'!CD15=Defaults!$I$4, 'GHG Calcs'!CD15=Defaults!$I$6, 'GHG Calcs'!CD15=Defaults!$I$8),'GHG Calcs'!CE15,IF('GHG Calcs'!CD15=Defaults!$I$3, 'GHG Calcs'!CE15*'GHG EF'!$C$11/'GHG EF'!$C$12,""))*('GHG Calcs'!I15-'GHG Calcs'!H15),"")</f>
        <v/>
      </c>
      <c r="EX15" s="1373" t="str">
        <f ca="1">IFERROR(IF('GHG Calcs'!CD15=Defaults!$I$5,'GHG Calcs'!CE15,"")*('GHG Calcs'!I15-'GHG Calcs'!H15),"")</f>
        <v/>
      </c>
      <c r="EY15" s="1420" t="str">
        <f ca="1">IFERROR('GHG Calcs'!CE15*VLOOKUP('GHG Calcs'!CD15,'Fuel &amp; Travel Costs'!$B$10:$C$19,2,0)*('GHG Calcs'!I15-'GHG Calcs'!H15),"")</f>
        <v/>
      </c>
      <c r="EZ15" s="1420" t="str">
        <f t="shared" ca="1" si="0"/>
        <v/>
      </c>
      <c r="FA15" s="306">
        <f ca="1">INDIRECT("'Quantifiable Component "&amp;$B15&amp;"'!"&amp;$D15&amp;ROW('Quantifiable Component 1'!$77:$77))</f>
        <v>0</v>
      </c>
      <c r="FB15" s="306">
        <f ca="1">INDIRECT("'Quantifiable Component "&amp;$B15&amp;"'!"&amp;$D15&amp;ROW('Quantifiable Component 1'!$78:$78))</f>
        <v>0</v>
      </c>
      <c r="FC15" s="306">
        <f ca="1">INDIRECT("'Quantifiable Component "&amp;$B15&amp;"'!"&amp;$D15&amp;ROW('Quantifiable Component 1'!$79:$79))</f>
        <v>0</v>
      </c>
      <c r="FD15" s="306">
        <f ca="1">INDIRECT("'Quantifiable Component "&amp;$B15&amp;"'!"&amp;$D15&amp;ROW('Quantifiable Component 1'!$80:$80))</f>
        <v>0</v>
      </c>
      <c r="FE15" s="306">
        <f ca="1">INDIRECT("'Quantifiable Component "&amp;$B15&amp;"'!"&amp;$D15&amp;ROW('Quantifiable Component 1'!$81:$81))</f>
        <v>0</v>
      </c>
    </row>
    <row r="16" spans="1:162" s="117" customFormat="1" x14ac:dyDescent="0.35">
      <c r="A16" s="1647"/>
      <c r="B16" s="1367">
        <v>2</v>
      </c>
      <c r="C16" s="1379">
        <v>2</v>
      </c>
      <c r="D16" s="1368" t="str">
        <f>'GHG Calcs'!D16</f>
        <v>H</v>
      </c>
      <c r="E16" s="1416">
        <f ca="1">'GHG Calcs'!U16</f>
        <v>0</v>
      </c>
      <c r="F16" s="1416">
        <f ca="1">'GHG Calcs'!W16</f>
        <v>0</v>
      </c>
      <c r="G16" s="1417" t="str">
        <f ca="1">IFERROR(VLOOKUP('GHG Calcs'!K16,'Auto C&amp;T EF'!$C$35:$K$2662,2,0)*E16,"")</f>
        <v/>
      </c>
      <c r="H16" s="1417" t="str">
        <f ca="1">IFERROR(VLOOKUP('GHG Calcs'!L16,'Auto C&amp;T EF'!$C$35:$K$2662,2,0)*F16,"")</f>
        <v/>
      </c>
      <c r="I16" s="1417" t="str">
        <f ca="1">IFERROR(VLOOKUP('GHG Calcs'!$K16,'Auto C&amp;T EF'!$C$35:$K$2662,3,0)*$E16,"")</f>
        <v/>
      </c>
      <c r="J16" s="1417" t="str">
        <f ca="1">IFERROR(VLOOKUP('GHG Calcs'!$L16,'Auto C&amp;T EF'!$C$35:$K$2662,3,0)*$F16,"")</f>
        <v/>
      </c>
      <c r="K16" s="1417" t="str">
        <f ca="1">IFERROR((VLOOKUP('GHG Calcs'!$K16,'Auto C&amp;T EF'!$C$35:$K$2662,5,0)+VLOOKUP('GHG Calcs'!$K16,'Auto C&amp;T EF'!$C$35:$K$2662,6,0)+VLOOKUP('GHG Calcs'!$K16,'Auto C&amp;T EF'!$C$35:$K$2662,7,0))*$E16,"")</f>
        <v/>
      </c>
      <c r="L16" s="1417" t="str">
        <f ca="1">IFERROR((VLOOKUP('GHG Calcs'!$L16,'Auto C&amp;T EF'!$C$35:$K$2662,5,0)+VLOOKUP('GHG Calcs'!$L16,'Auto C&amp;T EF'!$C$35:$K$2662,6,0)+VLOOKUP('GHG Calcs'!$L16,'Auto C&amp;T EF'!$C$35:$K$2662,7,0))*$F16,"")</f>
        <v/>
      </c>
      <c r="M16" s="1417" t="str">
        <f ca="1">IFERROR(VLOOKUP('GHG Calcs'!$K16,'Auto C&amp;T EF'!$C$35:$K$2662,8,0)*$E16,"")</f>
        <v/>
      </c>
      <c r="N16" s="1417" t="str">
        <f ca="1">IFERROR(VLOOKUP('GHG Calcs'!$L16,'Auto C&amp;T EF'!$C$35:$K$2662,8,0)*$F16,"")</f>
        <v/>
      </c>
      <c r="O16" s="1418">
        <f ca="1">IFERROR(AVERAGE(G16:H16)*('GHG Calcs'!I16-'GHG Calcs'!H16),0)</f>
        <v>0</v>
      </c>
      <c r="P16" s="1418">
        <f ca="1">IFERROR(AVERAGE(I16:J16)*('GHG Calcs'!I16-'GHG Calcs'!H16),0)</f>
        <v>0</v>
      </c>
      <c r="Q16" s="1418">
        <f ca="1">IFERROR(AVERAGE(K16:L16)*('GHG Calcs'!I16-'GHG Calcs'!H16),0)</f>
        <v>0</v>
      </c>
      <c r="R16" s="1418">
        <f ca="1">IFERROR(AVERAGE(M16:N16)*('GHG Calcs'!I16-'GHG Calcs'!H16),0)</f>
        <v>0</v>
      </c>
      <c r="S16" s="1418">
        <f ca="1">IFERROR(AVERAGE(E16*VLOOKUP('GHG Calcs'!K16,'Auto C&amp;T EF'!$C$35:$L$2662,10,0),F16*VLOOKUP('GHG Calcs'!L16,'Auto C&amp;T EF'!$C$35:$L$2662,10,0))*('GHG Calcs'!I16-'GHG Calcs'!H16),0)</f>
        <v>0</v>
      </c>
      <c r="T16" s="1379">
        <f ca="1">INDIRECT("'Quantifiable Component "&amp;$B16&amp;"'!"&amp;$D16&amp;ROW('Quantifiable Component 1'!$47:$47))</f>
        <v>0</v>
      </c>
      <c r="U16" s="1379">
        <f ca="1">INDIRECT("'Quantifiable Component "&amp;$B16&amp;"'!"&amp;$D16&amp;ROW('Quantifiable Component 1'!$48:$48))</f>
        <v>0</v>
      </c>
      <c r="V16" s="306" t="str">
        <f ca="1">IFERROR(IF('GHG Calcs'!$AD16="Gasoline",VLOOKUP('GHG Calcs'!$AH16,'Bus C&amp;T EF'!$D$30:$V$2315,3,0),IF(OR('GHG Calcs'!$AD16="CNG",'GHG Calcs'!$AD16="LNG",'GHG Calcs'!$AD16="Renewable Natural Gas"),VLOOKUP('GHG Calcs'!$AH16,'Bus C&amp;T EF'!$D$30:$V$2315,4,0),VLOOKUP('GHG Calcs'!$AH16,'Bus C&amp;T EF'!$D$30:$V$2315,2,0)))/IF('GHG Calcs'!AE16&gt;0,$BF16,1),"")</f>
        <v/>
      </c>
      <c r="W16" s="306" t="str">
        <f ca="1">IFERROR(IF('GHG Calcs'!$AD16="Gasoline",VLOOKUP('GHG Calcs'!$AH16,'Bus C&amp;T EF'!$D$30:$V$2315,6,0),IF(OR('GHG Calcs'!$AD16="CNG",'GHG Calcs'!$AD16="LNG",'GHG Calcs'!$AD16="Renewable Natural Gas"),VLOOKUP('GHG Calcs'!$AH16,'Bus C&amp;T EF'!$D$30:$V$2315,7,0),VLOOKUP('GHG Calcs'!$AH16,'Bus C&amp;T EF'!$D$30:$V$2315,5,0)))/IF('GHG Calcs'!AE16&gt;0,$BF16,1),"")</f>
        <v/>
      </c>
      <c r="X16" s="1419" t="str">
        <f ca="1">IFERROR(IF('GHG Calcs'!$AD16="Gasoline",VLOOKUP('GHG Calcs'!$AH16,'Bus C&amp;T EF'!$D$30:$V$2315,9,0),IF(OR('GHG Calcs'!$AD16="CNG",'GHG Calcs'!$AD16="LNG",'GHG Calcs'!$AD16="Renewable Natural Gas"),VLOOKUP('GHG Calcs'!$AH16,'Bus C&amp;T EF'!$D$30:$V$2315,10,0),VLOOKUP('GHG Calcs'!$AH16,'Bus C&amp;T EF'!$D$30:$V$2315,8,0)))/IF('GHG Calcs'!AE16&gt;0,$BF16,1),"")</f>
        <v/>
      </c>
      <c r="Y16" s="1419" t="str">
        <f ca="1">IFERROR(IF('GHG Calcs'!$AD16="Gasoline",VLOOKUP('GHG Calcs'!$AH16,'Bus C&amp;T EF'!$D$30:$V$2315,12,0),IF(OR('GHG Calcs'!$AD16="CNG",'GHG Calcs'!$AD16="LNG",'GHG Calcs'!$AD16="Renewable Natural Gas"),VLOOKUP('GHG Calcs'!$AH16,'Bus C&amp;T EF'!$D$30:$V$2315,13,0),IF(OR('GHG Calcs'!$AD16="Electric",'GHG Calcs'!$AD16="Hydrogen Fuel Cell",'GHG Calcs'!$AD16="Renewable Electricity"),VLOOKUP('GHG Calcs'!$AH16,'Bus C&amp;T EF'!$D$30:$V$2315,14,0),VLOOKUP('GHG Calcs'!$AH16,'Bus C&amp;T EF'!$D$30:$V$2315,11,0))))/IF('GHG Calcs'!AE16&gt;0,$BF16,1),"")</f>
        <v/>
      </c>
      <c r="Z16" s="1419" t="str">
        <f ca="1">IFERROR(IF('GHG Calcs'!$AD16="Gasoline",VLOOKUP('GHG Calcs'!$AH16,'Bus C&amp;T EF'!$D$30:$V$2315,16,0),IF(OR('GHG Calcs'!$AD16="CNG",'GHG Calcs'!$AD16="LNG",'GHG Calcs'!$AD16="Renewable Natural Gas"),VLOOKUP('GHG Calcs'!$AH16,'Bus C&amp;T EF'!$D$30:$V$2315,17,0),IF(OR('GHG Calcs'!$AD16="Electric",'GHG Calcs'!$AD16="Hydrogen Fuel Cell",'GHG Calcs'!$AD16="Renewable Electricity"),VLOOKUP('GHG Calcs'!$AH16,'Bus C&amp;T EF'!$D$30:$V$2315,18,0),VLOOKUP('GHG Calcs'!$AH16,'Bus C&amp;T EF'!$D$30:$V$2315,15,0))))/IF('GHG Calcs'!AE16&gt;0,$BF16,1),"")</f>
        <v/>
      </c>
      <c r="AA16" s="306" t="str">
        <f ca="1">IFERROR(IF('GHG Calcs'!$AD16="Gasoline",0,VLOOKUP('GHG Calcs'!$AH16,'Bus C&amp;T EF'!$D$30:$V$2315,19,0))/IF('GHG Calcs'!AE16&gt;0,$BF16,1),"")</f>
        <v/>
      </c>
      <c r="AB16" s="1419" t="str">
        <f ca="1">IFERROR(IF(OR('GHG Calcs'!$AD16="Diesel",'GHG Calcs'!$AD16="Renewable Diesel",'GHG Calcs'!$AD16="Biodiesel"),VLOOKUP('GHG Calcs'!$AH16,'Van C&amp;T EF'!$D$30:$Q$2315,2,0),VLOOKUP('GHG Calcs'!$AH16,'Van C&amp;T EF'!$D$30:$Q$2315,3,0))/IF('GHG Calcs'!AE16&gt;0,$BG16,1),"")</f>
        <v/>
      </c>
      <c r="AC16" s="1419" t="str">
        <f ca="1">IFERROR(IF(OR('GHG Calcs'!$AD16="Diesel",'GHG Calcs'!$AD16="Renewable Diesel",'GHG Calcs'!$AD16="Biodiesel"),VLOOKUP('GHG Calcs'!$AH16,'Van C&amp;T EF'!$D$30:$Q$2315,4,0),VLOOKUP('GHG Calcs'!$AH16,'Van C&amp;T EF'!$D$30:$Q$2315,5,0))/IF('GHG Calcs'!AE16&gt;0,$BG16,1),"")</f>
        <v/>
      </c>
      <c r="AD16" s="1419" t="str">
        <f ca="1">IFERROR(IF(OR('GHG Calcs'!$AD16="Diesel",'GHG Calcs'!$AD16="Renewable Diesel",'GHG Calcs'!$AD16="Biodiesel"),VLOOKUP('GHG Calcs'!$AH16,'Van C&amp;T EF'!$D$30:$Q$2315,6,0),VLOOKUP('GHG Calcs'!$AH16,'Van C&amp;T EF'!$D$30:$Q$2315,7,0))/IF('GHG Calcs'!AE16&gt;0,$BG16,1),"")</f>
        <v/>
      </c>
      <c r="AE16" s="1419" t="str">
        <f ca="1">IFERROR(IF(OR('GHG Calcs'!$AD16="Diesel",'GHG Calcs'!$AD16="Renewable Diesel",'GHG Calcs'!$AD16="Biodiesel"),VLOOKUP('GHG Calcs'!$AH16,'Van C&amp;T EF'!$D$30:$Q$2315,8,0),IF(OR('GHG Calcs'!$AD16="Electric",'GHG Calcs'!$AD16="Hydrogen Fuel Cell",'GHG Calcs'!$AD16="Renewable Electricity"),VLOOKUP('GHG Calcs'!$AH16,'Van C&amp;T EF'!$D$30:$Q$2315,10,0),VLOOKUP('GHG Calcs'!$AH16,'Van C&amp;T EF'!$D$30:$Q$2315,9,0)))/IF('GHG Calcs'!AE16&gt;0,$BG16,1),"")</f>
        <v/>
      </c>
      <c r="AF16" s="1419" t="str">
        <f ca="1">IFERROR(IF(OR('GHG Calcs'!$AD16="Diesel",'GHG Calcs'!$AD16="Renewable Diesel",'GHG Calcs'!$AD16="Biodiesel"),VLOOKUP('GHG Calcs'!$AH16,'Van C&amp;T EF'!$D$30:$Q$2315,11,0),IF(OR('GHG Calcs'!$AD16="Electric",'GHG Calcs'!$AD16="Hydrogen Fuel Cell",'GHG Calcs'!$AD16="Renewable Electricity"),VLOOKUP('GHG Calcs'!$AH16,'Van C&amp;T EF'!$D$30:$Q$2315,13,0),VLOOKUP('GHG Calcs'!$AH16,'Van C&amp;T EF'!$D$30:$Q$2315,12,0)))/IF('GHG Calcs'!AE16&gt;0,$BG16,1),"")</f>
        <v/>
      </c>
      <c r="AG16" s="306">
        <f ca="1">IFERROR(IF(OR('GHG Calcs'!$AD16="Diesel",'GHG Calcs'!$AD16="Biodiesel",'GHG Calcs'!$AD16="Renewable Diesel"),VLOOKUP('GHG Calcs'!$AH16,'Van C&amp;T EF'!$D$30:$Q$2315,14,0),0)/IF('GHG Calcs'!AE16&gt;0,$BG16,1),"")</f>
        <v>0</v>
      </c>
      <c r="AH16" s="1419" t="str">
        <f ca="1">IFERROR(IF(OR('GHG Calcs'!$AD16="Diesel",'GHG Calcs'!$AD16="Renewable Diesel",'GHG Calcs'!$AD16="Biodiesel"),VLOOKUP('GHG Calcs'!$AH16,'Shuttle C&amp;T EF'!$D$30:$Q$2315,2,0),VLOOKUP('GHG Calcs'!$AH16,'Shuttle C&amp;T EF'!$D$30:$Q$2315,3,0))/IF('GHG Calcs'!AE16&gt;0,$BH16,1),"")</f>
        <v/>
      </c>
      <c r="AI16" s="1419" t="str">
        <f ca="1">IFERROR(IF(OR('GHG Calcs'!$AD16="Diesel",'GHG Calcs'!$AD16="Renewable Diesel",'GHG Calcs'!$AD16="Biodiesel"),VLOOKUP('GHG Calcs'!$AH16,'Shuttle C&amp;T EF'!$D$30:$Q$2315,4,0),VLOOKUP('GHG Calcs'!$AH16,'Shuttle C&amp;T EF'!$D$30:$Q$2315,5,0))/IF('GHG Calcs'!AE16&gt;0,$BH16,1),"")</f>
        <v/>
      </c>
      <c r="AJ16" s="1419" t="str">
        <f ca="1">IFERROR(IF(OR('GHG Calcs'!$AD16="Diesel",'GHG Calcs'!$AD16="Renewable Diesel",'GHG Calcs'!$AD16="Biodiesel"),VLOOKUP('GHG Calcs'!$AH16,'Shuttle C&amp;T EF'!$D$30:$Q$2315,6,0),VLOOKUP('GHG Calcs'!$AH16,'Shuttle C&amp;T EF'!$D$30:$Q$2315,7,0))/IF('GHG Calcs'!AE16&gt;0,$BH16,1),"")</f>
        <v/>
      </c>
      <c r="AK16" s="1419" t="str">
        <f ca="1">IFERROR(IF(OR('GHG Calcs'!$AD16="Diesel",'GHG Calcs'!$AD16="Renewable Diesel",'GHG Calcs'!$AD16="Biodiesel"),VLOOKUP('GHG Calcs'!$AH16,'Shuttle C&amp;T EF'!$D$30:$Q$2315,8,0),IF(OR('GHG Calcs'!$AD16="Electric",'GHG Calcs'!$AD16="Hydrogen Fuel Cell",'GHG Calcs'!$AD16="Renewable Electricity"),VLOOKUP('GHG Calcs'!$AH16,'Shuttle C&amp;T EF'!$D$30:$Q$2315,10,0),VLOOKUP('GHG Calcs'!$AH16,'Shuttle C&amp;T EF'!$D$30:$Q$2315,9,0)))/IF('GHG Calcs'!AE16&gt;0,$BH16,1),"")</f>
        <v/>
      </c>
      <c r="AL16" s="1419" t="str">
        <f ca="1">IFERROR(IF(OR('GHG Calcs'!$AD16="Diesel",'GHG Calcs'!$AD16="Renewable Diesel",'GHG Calcs'!$AD16="Biodiesel"),VLOOKUP('GHG Calcs'!$AH16,'Shuttle C&amp;T EF'!$D$30:$Q$2315,11,0),IF(OR('GHG Calcs'!$AD16="Electric",'GHG Calcs'!$AD16="Hydrogen Fuel Cell",'GHG Calcs'!$AD16="Renewable Electricity"),VLOOKUP('GHG Calcs'!$AH16,'Shuttle C&amp;T EF'!$D$30:$Q$2315,13,0),VLOOKUP('GHG Calcs'!$AH16,'Shuttle C&amp;T EF'!$D$30:$Q$2315,12,0)))/IF('GHG Calcs'!AE16&gt;0,$BH16,1),"")</f>
        <v/>
      </c>
      <c r="AM16" s="1419">
        <f ca="1">IFERROR(IF(OR('GHG Calcs'!$AD16="Diesel",'GHG Calcs'!$AD16="Biodiesel",'GHG Calcs'!$AD16="Renewable Diesel"),VLOOKUP('GHG Calcs'!$AH16,'Shuttle C&amp;T EF'!$D$30:$Q$2315,14,0),0)/IF('GHG Calcs'!AE16&gt;0,$BH16,1),"")</f>
        <v>0</v>
      </c>
      <c r="AN16" s="306" t="str">
        <f ca="1">IFERROR((VLOOKUP('GHG Calcs'!$AH16,'Over-Road Coach C&amp;T EF'!$D$29:$N$2314,2,0)+VLOOKUP('GHG Calcs'!$AH16,'Over-Road Coach C&amp;T EF'!$D$29:$N$2314,3,0))/IF('GHG Calcs'!AE16&gt;0,$BI16,1),"")</f>
        <v/>
      </c>
      <c r="AO16" s="306" t="str">
        <f ca="1">IFERROR((VLOOKUP('GHG Calcs'!$AH16,'Over-Road Coach C&amp;T EF'!$D$29:$N$2314,4,0)+VLOOKUP('GHG Calcs'!$AH16,'Over-Road Coach C&amp;T EF'!$D$29:$N$2314,5,0))/IF('GHG Calcs'!AE16&gt;0,$BI16,1),"")</f>
        <v/>
      </c>
      <c r="AP16" s="306" t="str">
        <f ca="1">IFERROR((VLOOKUP('GHG Calcs'!$AH16,'Over-Road Coach C&amp;T EF'!$D$29:$N$2314,6,0)+VLOOKUP('GHG Calcs'!$AH16,'Over-Road Coach C&amp;T EF'!$D$29:$N$2314,7,0))/IF('GHG Calcs'!AE16&gt;0,$BI16,1),"")</f>
        <v/>
      </c>
      <c r="AQ16" s="306" t="str">
        <f ca="1">IFERROR(VLOOKUP('GHG Calcs'!$AH16,'Over-Road Coach C&amp;T EF'!$D$29:$N$2314,8,0)/IF('GHG Calcs'!AE16&gt;0,$BI16,1),"")</f>
        <v/>
      </c>
      <c r="AR16" s="306" t="str">
        <f ca="1">IFERROR(VLOOKUP('GHG Calcs'!$AH16,'Over-Road Coach C&amp;T EF'!$D$29:$N$2314,9,0)/IF('GHG Calcs'!AE16&gt;0,$BI16,1),"")</f>
        <v/>
      </c>
      <c r="AS16" s="306" t="str">
        <f ca="1">IFERROR((VLOOKUP('GHG Calcs'!$AH16,'Over-Road Coach C&amp;T EF'!$D$29:$N$2314,10,0)+VLOOKUP('GHG Calcs'!$AH16,'Over-Road Coach C&amp;T EF'!$D$29:$N$2314,11,0))/IF('GHG Calcs'!AE16&gt;0,$BI16,1),"")</f>
        <v/>
      </c>
      <c r="AT16" s="306" t="str">
        <f ca="1">IFERROR(VLOOKUP(T16,'Co-Benefit Calcs'!$E$76:$I$83,2,0)/IF('GHG Calcs'!$AE16&gt;0,'Rail C&amp;T EF'!$K$14,1),"")</f>
        <v/>
      </c>
      <c r="AU16" s="306" t="str">
        <f ca="1">IFERROR(VLOOKUP(T16,'Co-Benefit Calcs'!$E$76:$I$83,3,0)/IF('GHG Calcs'!$AE16&gt;0,'Rail C&amp;T EF'!$K$14,1),"")</f>
        <v/>
      </c>
      <c r="AV16" s="306" t="str">
        <f ca="1">IFERROR(VLOOKUP(T16,'Co-Benefit Calcs'!$E$76:$I$83,4,0)/IF('GHG Calcs'!$AE16&gt;0,'Rail C&amp;T EF'!$K$14,1),"")</f>
        <v/>
      </c>
      <c r="AW16" s="306" t="str">
        <f ca="1">IFERROR(IF('GHG Calcs'!$AD16="Gasoline",0,VLOOKUP(T16,'Co-Benefit Calcs'!$E$76:$I$83,5,0))/IF('GHG Calcs'!$AE16&gt;0,'Rail C&amp;T EF'!$K$14,1),"")</f>
        <v/>
      </c>
      <c r="AX16" s="306" t="str">
        <f ca="1">IFERROR(VLOOKUP('GHG Calcs'!$AG16,'Rail C&amp;T EF'!$A$43:$Y$133,IF(U16&gt;750,23, IF(U16&gt;=600,20, IF(U16&gt;=300,17, IF(U16&gt;=175,14, IF(U16&gt;=100,11, IF(U16&gt;=75,8, IF(U16&gt;=50,5, 2))))))),0) * IF($U16&gt;=750,'Rail C&amp;T EF'!$K$18,'Rail C&amp;T EF'!$K$19) * IF('GHG Calcs'!$AE16&gt;0,1,'Rail C&amp;T EF'!$B$149) * IF(OR('GHG Calcs'!AD16="Diesel", 'GHG Calcs'!AD16="Renewable Diesel", 'GHG Calcs'!AD16="Biodiesel"),'Rail C&amp;T EF'!$B$141,'Rail C&amp;T EF'!$B$142),"")</f>
        <v/>
      </c>
      <c r="AY16" s="306" t="str">
        <f ca="1">IFERROR(VLOOKUP('GHG Calcs'!$AG16,'Rail C&amp;T EF'!$A$43:$Y$133,IF(U16&gt;750,24, IF(U16&gt;=600,21, IF(U16&gt;=300,18, IF(U16&gt;=175,15, IF(U16&gt;=100,12, IF(U16&gt;=75,9, IF(U16&gt;=50,6, 3))))))),0) * IF($U16&gt;=750,'Rail C&amp;T EF'!$K$18,'Rail C&amp;T EF'!$K$19) * IF('GHG Calcs'!$AE16&gt;0,1,'Rail C&amp;T EF'!$B$149),"")</f>
        <v/>
      </c>
      <c r="AZ16" s="306" t="str">
        <f ca="1">IFERROR(VLOOKUP('GHG Calcs'!$AG16,'Rail C&amp;T EF'!$A$43:$Y$133,IF(U16&gt;750,25, IF(U16&gt;=600,22, IF(U16&gt;=300,19, IF(U16&gt;=175,16, IF(U16&gt;=100,13, IF(U16&gt;=75,10, IF(U16&gt;=50,7, 4))))))),0) * IF($U16&gt;=750,'Rail C&amp;T EF'!$K$18,'Rail C&amp;T EF'!$K$19) * IF('GHG Calcs'!$AE16&gt;0,1,'Rail C&amp;T EF'!$B$149)*'Rail C&amp;T EF'!$B$146,"")</f>
        <v/>
      </c>
      <c r="BA16" s="306" t="str">
        <f ca="1">IFERROR(IF('GHG Calcs'!$AD16="Gasoline",0,VLOOKUP('GHG Calcs'!$AG16,'Rail C&amp;T EF'!$A$43:$Y$133,IF(U16&gt;750,25, IF(U16&gt;=600,22, IF(U16&gt;=300,19, IF(U16&gt;=175,16, IF(U16&gt;=100,13, IF(U16&gt;=75,10, IF(U16&gt;=50,7, 4))))))),0) * IF($U16&gt;=750,'Rail C&amp;T EF'!$K$18,'Rail C&amp;T EF'!$K$19) * IF('GHG Calcs'!$AE16&gt;0,1,'Rail C&amp;T EF'!$B$149)),"")</f>
        <v/>
      </c>
      <c r="BB16" s="306" t="str">
        <f ca="1">IFERROR(VLOOKUP('GHG Calcs'!$AG16,'Ferry C&amp;T EF'!$A$106:$AK$196,IF(U16&gt;=3301,35, IF(U16&gt;=1901,31, IF(U16&gt;=751,27, IF(U16&gt;=501,23, IF(U16&gt;=251,19, IF(U16&gt;=176,15, IF(U16&gt;=121,11, IF(U16&gt;=51,7, 3)))))))),0),"")</f>
        <v/>
      </c>
      <c r="BC16" s="306" t="str">
        <f ca="1">IFERROR(VLOOKUP('GHG Calcs'!$AG16,'Ferry C&amp;T EF'!$A$106:$AK$196,IF(U16&gt;=3301,34, IF(U16&gt;=1901,30, IF(U16&gt;=751,26, IF(U16&gt;=501,22, IF(U16&gt;=251,18, IF(U16&gt;=176,14, IF(U16&gt;=121,10, IF(U16&gt;=51,6, 2)))))))),0),"")</f>
        <v/>
      </c>
      <c r="BD16" s="306" t="str">
        <f ca="1">IFERROR(VLOOKUP('GHG Calcs'!$AG16,'Ferry C&amp;T EF'!$A$106:$AK$196,IF(U16&gt;=3301,37, IF(U16&gt;=1901,33, IF(U16&gt;=751,29, IF(U16&gt;=501,25, IF(U16&gt;=251,21, IF(U16&gt;=176,17, IF(U16&gt;=121,13, IF(U16&gt;=51,9, 5)))))))),0),"")</f>
        <v/>
      </c>
      <c r="BE16" s="306" t="str">
        <f ca="1">IFERROR(IF('GHG Calcs'!$AD16="Gasoline",0,VLOOKUP('GHG Calcs'!$AG16,'Ferry C&amp;T EF'!$A$106:$AK$196,IF(U16&gt;=3301,36, IF(U16&gt;=1901,32, IF(U16&gt;=751,28, IF(U16&gt;=501,24, IF(U16&gt;=251,20, IF(U16&gt;=176,16, IF(U16&gt;=121,12, IF(U16&gt;=51,8, 4)))))))),0)),"")</f>
        <v/>
      </c>
      <c r="BF16" s="1419" t="str">
        <f ca="1">IFERROR(IF('GHG Calcs'!$AD16="Gasoline",VLOOKUP('GHG Calcs'!$AH16,'Fuel Consumption'!$A$31:$L$2316,3,0),IF(OR('GHG Calcs'!$AD16="CNG",'GHG Calcs'!$AD16="LNG",'GHG Calcs'!$AD16="Renewable Natural Gas"),VLOOKUP('GHG Calcs'!$AH16,'Fuel Consumption'!$A$31:$L$2316,4,0)*VLOOKUP('GHG Calcs'!$AD16,'GHG EF'!$B$10:$H$19,4,0),VLOOKUP('GHG Calcs'!$AH16,'Fuel Consumption'!$A$31:$L$2316,2,0)*VLOOKUP('GHG Calcs'!$AD16,'GHG EF'!$B$10:$H$19,4,0))),"")</f>
        <v/>
      </c>
      <c r="BG16" s="1419" t="str">
        <f ca="1">IFERROR(IF(OR('GHG Calcs'!$AD16="Diesel",'GHG Calcs'!$AD16="Renewable Diesel",'GHG Calcs'!$AD16="Biodiesel"),VLOOKUP('GHG Calcs'!$AH16,'Fuel Consumption'!$A$31:$L$2316,6,0)*VLOOKUP('GHG Calcs'!$AD16,'GHG EF'!$B$10:$H$19,4,0),VLOOKUP('GHG Calcs'!$AH16,'Fuel Consumption'!$A$31:$L$2316,7,0)*VLOOKUP('GHG Calcs'!$AD16,'GHG EF'!$B$10:$H$19,5,0)),"")</f>
        <v/>
      </c>
      <c r="BH16" s="1419" t="str">
        <f ca="1">IFERROR(IF(OR('GHG Calcs'!$AD16="Diesel",'GHG Calcs'!$AD16="Renewable Diesel",'GHG Calcs'!$AD16="Biodiesel"),VLOOKUP('GHG Calcs'!$AH16,'Fuel Consumption'!$A$31:$L$2316,9,0)*VLOOKUP('GHG Calcs'!$AD16,'GHG EF'!$B$10:$H$19,4,0),VLOOKUP('GHG Calcs'!$AH16,'Fuel Consumption'!$A$31:$L$2316,10,0)*VLOOKUP('GHG Calcs'!$AD16,'GHG EF'!$B$10:$H$19,5,0)),"")</f>
        <v/>
      </c>
      <c r="BI16" s="1419" t="str">
        <f ca="1">IFERROR(VLOOKUP('GHG Calcs'!$AH16,'Fuel Consumption'!$A$31:$L$2316,12,0)*VLOOKUP('GHG Calcs'!$AD16,'GHG EF'!$B$10:$H$19,4,0),"")</f>
        <v/>
      </c>
      <c r="BJ16" s="1373" t="str">
        <f ca="1">IFERROR(IF(OR('GHG Calcs'!AD16=Defaults!$I$3, 'GHG Calcs'!AD16=Defaults!$I$4, 'GHG Calcs'!AD16=Defaults!$I$6, 'GHG Calcs'!AD16=Defaults!$I$8), IF('GHG Calcs'!AE16&gt;0,'GHG Calcs'!AE16*IF('GHG Calcs'!AD16=Defaults!$I$3,'GHG EF'!$C$11/'GHG EF'!$C$12,1),'GHG Calcs'!AK16*'GHG Calcs'!AI16),"")*('GHG Calcs'!I16-'GHG Calcs'!H16),"")</f>
        <v/>
      </c>
      <c r="BK16" s="1373" t="str">
        <f ca="1">IFERROR(IF('GHG Calcs'!AD16=Defaults!$I$5,IF('GHG Calcs'!AE16&gt;0,'GHG Calcs'!AE16,'GHG Calcs'!AJ16*'GHG Calcs'!AI16),"")*IF('GHG Calcs'!AF16&lt;'GHG EF'!$D$13,'GHG Calcs'!AF16/'GHG EF'!$D$13,1)*IF('GHG Calcs'!AF16&lt;0,0,1)*('GHG Calcs'!I16-'GHG Calcs'!H16),"")</f>
        <v/>
      </c>
      <c r="BL16" s="1373" t="str">
        <f ca="1">IFERROR(IF('GHG Calcs'!AD16=Defaults!$I$11, IF(IF('GHG Calcs'!AE16&gt;0,'GHG Calcs'!AE16,'GHG Calcs'!AJ16*'GHG Calcs'!AI16)&lt;INDIRECT("'"&amp;#REF!&amp;"'!"&amp;$D16&amp;ROW(#REF!)), IF('GHG Calcs'!AE16&gt;0,'GHG Calcs'!AE16,'GHG Calcs'!AJ16*'GHG Calcs'!AI16), INDIRECT("'"&amp;#REF!&amp;"'!"&amp;$D16&amp;ROW(#REF!))),"")*('GHG Calcs'!I16-'GHG Calcs'!H16),"")</f>
        <v/>
      </c>
      <c r="BM16" s="1420" t="str">
        <f ca="1">IFERROR(IF('GHG Calcs'!AE16&gt;0,'GHG Calcs'!AE16,'GHG Calcs'!AL16*'GHG Calcs'!AI16)*VLOOKUP('GHG Calcs'!AD16,'Fuel &amp; Travel Costs'!$B$10:$C$19,2,0)*('GHG Calcs'!I16-'GHG Calcs'!H16),"")</f>
        <v/>
      </c>
      <c r="BN16" s="306">
        <f ca="1">INDIRECT("'Quantifiable Component "&amp;$B16&amp;"'!"&amp;$D16&amp;ROW('Quantifiable Component 1'!$59:$59))</f>
        <v>0</v>
      </c>
      <c r="BO16" s="306">
        <f ca="1">INDIRECT("'Quantifiable Component "&amp;$B16&amp;"'!"&amp;$D16&amp;ROW('Quantifiable Component 1'!$60:$60))</f>
        <v>0</v>
      </c>
      <c r="BP16" s="1421" t="str">
        <f ca="1">IFERROR(IF('GHG Calcs'!$BD16="Gasoline",VLOOKUP('GHG Calcs'!$BL16,'Bus C&amp;T EF'!$D$30:$V$2315,3,0),IF(OR('GHG Calcs'!$BD16="CNG",'GHG Calcs'!$BD16="LNG",'GHG Calcs'!$BD16="Renewable Natural Gas"),VLOOKUP('GHG Calcs'!$BL16,'Bus C&amp;T EF'!$D$30:$V$2315,4,0),VLOOKUP('GHG Calcs'!$BL16,'Bus C&amp;T EF'!$D$30:$V$2315,2,0)))/IF('GHG Calcs'!BE16&gt;0,$CZ16,1),"")</f>
        <v/>
      </c>
      <c r="BQ16" s="1419" t="str">
        <f ca="1">IFERROR(IF('GHG Calcs'!$BD16="Gasoline",VLOOKUP('GHG Calcs'!$BL16,'Bus C&amp;T EF'!$D$30:$V$2315,6,0),IF(OR('GHG Calcs'!$BD16="CNG",'GHG Calcs'!$BD16="LNG",'GHG Calcs'!$BD16="Renewable Natural Gas"),VLOOKUP('GHG Calcs'!$BL16,'Bus C&amp;T EF'!$D$30:$V$2315,7,0),VLOOKUP('GHG Calcs'!$BL16,'Bus C&amp;T EF'!$D$30:$V$2315,5,0)))/IF('GHG Calcs'!BE16&gt;0,$CZ16,1),"")</f>
        <v/>
      </c>
      <c r="BR16" s="1419" t="str">
        <f ca="1">IFERROR(IF('GHG Calcs'!$BD16="Gasoline",VLOOKUP('GHG Calcs'!$BL16,'Bus C&amp;T EF'!$D$30:$V$2315,9,0),IF(OR('GHG Calcs'!$BD16="CNG",'GHG Calcs'!$BD16="LNG",'GHG Calcs'!$BD16="Renewable Natural Gas"),VLOOKUP('GHG Calcs'!$BL16,'Bus C&amp;T EF'!$D$30:$V$2315,10,0),VLOOKUP('GHG Calcs'!$BL16,'Bus C&amp;T EF'!$D$30:$V$2315,8,0)))/IF('GHG Calcs'!BE16&gt;0,$CZ16,1),"")</f>
        <v/>
      </c>
      <c r="BS16" s="1419" t="str">
        <f ca="1">IFERROR(IF('GHG Calcs'!$BD16="Gasoline",VLOOKUP('GHG Calcs'!$BL16,'Bus C&amp;T EF'!$D$30:$V$2315,12,0),IF(OR('GHG Calcs'!$BD16="CNG",'GHG Calcs'!$BD16="LNG",'GHG Calcs'!$BD16="Renewable Natural Gas"),VLOOKUP('GHG Calcs'!$BL16,'Bus C&amp;T EF'!$D$30:$V$2315,13,0),IF(OR('GHG Calcs'!$BD16="Electric",'GHG Calcs'!$BD16="Hydrogen Fuel Cell",'GHG Calcs'!$BD16="Renewable Electricity"),VLOOKUP('GHG Calcs'!$BL16,'Bus C&amp;T EF'!$D$30:$V$2315,14,0),VLOOKUP('GHG Calcs'!$BL16,'Bus C&amp;T EF'!$D$30:$V$2315,11,0))))/IF('GHG Calcs'!BE16&gt;0,$CZ16,1),"")</f>
        <v/>
      </c>
      <c r="BT16" s="1419" t="str">
        <f ca="1">IFERROR(IF('GHG Calcs'!$BD16="Gasoline",VLOOKUP('GHG Calcs'!$BL16,'Bus C&amp;T EF'!$D$30:$V$2315,16,0),IF(OR('GHG Calcs'!$BD16="CNG",'GHG Calcs'!$BD16="LNG",'GHG Calcs'!$BD16="Renewable Natural Gas"),VLOOKUP('GHG Calcs'!$BL16,'Bus C&amp;T EF'!$D$30:$V$2315,17,0),IF(OR('GHG Calcs'!$BD16="Electric",'GHG Calcs'!$BD16="Hydrogen Fuel Cell",'GHG Calcs'!$BD16="Renewable Electricity"),VLOOKUP('GHG Calcs'!$BL16,'Bus C&amp;T EF'!$D$30:$V$2315,18,0),VLOOKUP('GHG Calcs'!$BL16,'Bus C&amp;T EF'!$D$30:$V$2315,15,0))))/IF('GHG Calcs'!BE16&gt;0,$CZ16,1),"")</f>
        <v/>
      </c>
      <c r="BU16" s="306" t="str">
        <f ca="1">IFERROR(IF('GHG Calcs'!$BD16="Gasoline",0,VLOOKUP('GHG Calcs'!$BL16,'Bus C&amp;T EF'!$D$30:$V$2315,19,0))/IF('GHG Calcs'!BE16&gt;0,$CZ16,1),"")</f>
        <v/>
      </c>
      <c r="BV16" s="1419" t="str">
        <f ca="1">IFERROR(IF(OR('GHG Calcs'!$BD16="Diesel",'GHG Calcs'!$BD16="Renewable Diesel",'GHG Calcs'!$BD16="Biodiesel"),VLOOKUP('GHG Calcs'!$BL16,'Van C&amp;T EF'!$D$30:$Q$2315,2,0),VLOOKUP('GHG Calcs'!$BL16,'Van C&amp;T EF'!$D$30:$Q$2315,3,0))/IF('GHG Calcs'!BE16&gt;0,$DA16,1),"")</f>
        <v/>
      </c>
      <c r="BW16" s="1419" t="str">
        <f ca="1">IFERROR(IF(OR('GHG Calcs'!$BD16="Diesel",'GHG Calcs'!$BD16="Renewable Diesel",'GHG Calcs'!$BD16="Biodiesel"),VLOOKUP('GHG Calcs'!$BL16,'Van C&amp;T EF'!$D$30:$Q$2315,4,0),VLOOKUP('GHG Calcs'!$BL16,'Van C&amp;T EF'!$D$30:$Q$2315,5,0))/IF('GHG Calcs'!BE16&gt;0,$DA16,1),"")</f>
        <v/>
      </c>
      <c r="BX16" s="1419" t="str">
        <f ca="1">IFERROR(IF(OR('GHG Calcs'!$BD16="Diesel",'GHG Calcs'!$BD16="Renewable Diesel",'GHG Calcs'!$BD16="Biodiesel"),VLOOKUP('GHG Calcs'!$BL16,'Van C&amp;T EF'!$D$30:$Q$2315,6,0),VLOOKUP('GHG Calcs'!$BL16,'Van C&amp;T EF'!$D$30:$Q$2315,7,0))/IF('GHG Calcs'!BE16&gt;0,$DA16,1),"")</f>
        <v/>
      </c>
      <c r="BY16" s="1419" t="str">
        <f ca="1">IFERROR(IF(OR('GHG Calcs'!$BD16="Diesel",'GHG Calcs'!$BD16="Renewable Diesel",'GHG Calcs'!$BD16="Biodiesel"),VLOOKUP('GHG Calcs'!$BL16,'Van C&amp;T EF'!$D$30:$Q$2315,8,0),IF(OR('GHG Calcs'!$BD16="Electric",'GHG Calcs'!$BD16="Hydrogen Fuel Cell",'GHG Calcs'!$BD16="Renewable Electricity"),VLOOKUP('GHG Calcs'!$BL16,'Van C&amp;T EF'!$D$30:$Q$2315,10,0),VLOOKUP('GHG Calcs'!$BL16,'Van C&amp;T EF'!$D$30:$Q$2315,9,0)))/IF('GHG Calcs'!BE16&gt;0,$DA16,1),"")</f>
        <v/>
      </c>
      <c r="BZ16" s="1419" t="str">
        <f ca="1">IFERROR(IF(OR('GHG Calcs'!$BD16="Diesel",'GHG Calcs'!$BD16="Renewable Diesel",'GHG Calcs'!$BD16="Biodiesel"),VLOOKUP('GHG Calcs'!$BL16,'Van C&amp;T EF'!$D$30:$Q$2315,11,0),IF(OR('GHG Calcs'!$BD16="Electric",'GHG Calcs'!$BD16="Hydrogen Fuel Cell",'GHG Calcs'!$BD16="Renewable Electricity"),VLOOKUP('GHG Calcs'!$BL16,'Van C&amp;T EF'!$D$30:$Q$2315,13,0),VLOOKUP('GHG Calcs'!$BL16,'Van C&amp;T EF'!$D$30:$Q$2315,12,0)))/IF('GHG Calcs'!BE16&gt;0,$DA16,1),"")</f>
        <v/>
      </c>
      <c r="CA16" s="306">
        <f ca="1">IFERROR(IF(OR('GHG Calcs'!$BD16="Diesel",'GHG Calcs'!$BD16="Biodiesel",'GHG Calcs'!$BD16="Renewable Diesel"),VLOOKUP('GHG Calcs'!$BL16,'Van C&amp;T EF'!$D$30:$Q$2315,14,0),0)/IF('GHG Calcs'!BE16&gt;0,$DA16,1),"")</f>
        <v>0</v>
      </c>
      <c r="CB16" s="1419" t="str">
        <f ca="1">IFERROR(IF(OR('GHG Calcs'!$BD16="Diesel",'GHG Calcs'!$BD16="Renewable Diesel",'GHG Calcs'!$BD16="Biodiesel"),VLOOKUP('GHG Calcs'!$BL16,'Shuttle C&amp;T EF'!$D$30:$Q$2315,2,0),VLOOKUP('GHG Calcs'!$BL16,'Shuttle C&amp;T EF'!$D$30:$Q$2315,3,0))/IF('GHG Calcs'!BE16&gt;0,$DB16,1),"")</f>
        <v/>
      </c>
      <c r="CC16" s="1419" t="str">
        <f ca="1">IFERROR(IF(OR('GHG Calcs'!$BD16="Diesel",'GHG Calcs'!$BD16="Renewable Diesel",'GHG Calcs'!$BD16="Biodiesel"),VLOOKUP('GHG Calcs'!$BL16,'Shuttle C&amp;T EF'!$D$30:$Q$2315,4,0),VLOOKUP('GHG Calcs'!$BL16,'Shuttle C&amp;T EF'!$D$30:$Q$2315,5,0))/IF('GHG Calcs'!BE16&gt;0,$DB16,1),"")</f>
        <v/>
      </c>
      <c r="CD16" s="1419" t="str">
        <f ca="1">IFERROR(IF(OR('GHG Calcs'!$BD16="Diesel",'GHG Calcs'!$BD16="Renewable Diesel",'GHG Calcs'!$BD16="Biodiesel"),VLOOKUP('GHG Calcs'!$BL16,'Shuttle C&amp;T EF'!$D$30:$Q$2315,6,0),VLOOKUP('GHG Calcs'!$BL16,'Shuttle C&amp;T EF'!$D$30:$Q$2315,7,0))/IF('GHG Calcs'!BE16&gt;0,$DB16,1),"")</f>
        <v/>
      </c>
      <c r="CE16" s="1419" t="str">
        <f ca="1">IFERROR(IF(OR('GHG Calcs'!$BD16="Diesel",'GHG Calcs'!$BD16="Renewable Diesel",'GHG Calcs'!$BD16="Biodiesel"),VLOOKUP('GHG Calcs'!$BL16,'Shuttle C&amp;T EF'!$D$30:$Q$2315,8,0),IF(OR('GHG Calcs'!$BD16="Electric",'GHG Calcs'!$BD16="Hydrogen Fuel Cell",'GHG Calcs'!$BD16="Renewable Electricity"),VLOOKUP('GHG Calcs'!$BL16,'Shuttle C&amp;T EF'!$D$30:$Q$2315,10,0),VLOOKUP('GHG Calcs'!$BL16,'Shuttle C&amp;T EF'!$D$30:$Q$2315,9,0)))/IF('GHG Calcs'!BE16&gt;0,$DB16,1),"")</f>
        <v/>
      </c>
      <c r="CF16" s="1419" t="str">
        <f ca="1">IFERROR(IF(OR('GHG Calcs'!$BD16="Diesel",'GHG Calcs'!$BD16="Renewable Diesel",'GHG Calcs'!$BD16="Biodiesel"),VLOOKUP('GHG Calcs'!$BL16,'Shuttle C&amp;T EF'!$D$30:$Q$2315,11,0),IF(OR('GHG Calcs'!$BD16="Electric",'GHG Calcs'!$BD16="Hydrogen Fuel Cell",'GHG Calcs'!$BD16="Renewable Electricity"),VLOOKUP('GHG Calcs'!$BL16,'Shuttle C&amp;T EF'!$D$30:$Q$2315,13,0),VLOOKUP('GHG Calcs'!$BL16,'Shuttle C&amp;T EF'!$D$30:$Q$2315,12,0)))/IF('GHG Calcs'!BE16&gt;0,$DB16,1),"")</f>
        <v/>
      </c>
      <c r="CG16" s="1419">
        <f ca="1">IFERROR(IF(OR('GHG Calcs'!$BD16="Diesel",'GHG Calcs'!$BD16="Biodiesel",'GHG Calcs'!$BD16="Renewable Diesel"),VLOOKUP('GHG Calcs'!$BL16,'Shuttle C&amp;T EF'!$D$30:$Q$2315,14,0),0)/IF('GHG Calcs'!BE16&gt;0,$DB16,1),"")</f>
        <v>0</v>
      </c>
      <c r="CH16" s="306" t="str">
        <f ca="1">IFERROR((VLOOKUP('GHG Calcs'!$BL16,'Over-Road Coach C&amp;T EF'!$D$29:$N$2314,2,0)+VLOOKUP('GHG Calcs'!$BL16,'Over-Road Coach C&amp;T EF'!$D$29:$N$2314,3,0))/IF('GHG Calcs'!BE16&gt;0,$DC16,1),"")</f>
        <v/>
      </c>
      <c r="CI16" s="306" t="str">
        <f ca="1">IFERROR((VLOOKUP('GHG Calcs'!$BL16,'Over-Road Coach C&amp;T EF'!$D$29:$N$2314,4,0)+VLOOKUP('GHG Calcs'!$BL16,'Over-Road Coach C&amp;T EF'!$D$29:$N$2314,5,0))/IF('GHG Calcs'!BE16&gt;0,$DC16,1),"")</f>
        <v/>
      </c>
      <c r="CJ16" s="306" t="str">
        <f ca="1">IFERROR((VLOOKUP('GHG Calcs'!$BL16,'Over-Road Coach C&amp;T EF'!$D$29:$N$2314,6,0)+VLOOKUP('GHG Calcs'!$BL16,'Over-Road Coach C&amp;T EF'!$D$29:$N$2314,7,0))/IF('GHG Calcs'!BE16&gt;0,$DC16,1),"")</f>
        <v/>
      </c>
      <c r="CK16" s="306" t="str">
        <f ca="1">IFERROR(VLOOKUP('GHG Calcs'!$BL16,'Over-Road Coach C&amp;T EF'!$D$29:$N$2314,8,0)/IF('GHG Calcs'!BE16&gt;0,$DC16,1),"")</f>
        <v/>
      </c>
      <c r="CL16" s="306" t="str">
        <f ca="1">IFERROR(VLOOKUP('GHG Calcs'!$BL16,'Over-Road Coach C&amp;T EF'!$D$29:$N$2314,9,0)/IF('GHG Calcs'!BE16&gt;0,$DC16,1),"")</f>
        <v/>
      </c>
      <c r="CM16" s="306" t="str">
        <f ca="1">IFERROR((VLOOKUP('GHG Calcs'!$BL16,'Over-Road Coach C&amp;T EF'!$D$29:$N$2314,10,0)+VLOOKUP('GHG Calcs'!$BL16,'Over-Road Coach C&amp;T EF'!$D$29:$N$2314,11,0))/IF('GHG Calcs'!BE16&gt;0,$DC16,1),"")</f>
        <v/>
      </c>
      <c r="CN16" s="306" t="str">
        <f ca="1">IFERROR(VLOOKUP(BN16,'Co-Benefit Calcs'!$E$76:$I$83,2,0)/IF('GHG Calcs'!$BE16&gt;0,'Rail C&amp;T EF'!$K$14,1),"")</f>
        <v/>
      </c>
      <c r="CO16" s="306" t="str">
        <f ca="1">IFERROR(VLOOKUP(BN16,'Co-Benefit Calcs'!$E$76:$I$83,3,0)/IF('GHG Calcs'!$BE16&gt;0,'Rail C&amp;T EF'!$K$14,1),"")</f>
        <v/>
      </c>
      <c r="CP16" s="306" t="str">
        <f ca="1">IFERROR(VLOOKUP(BN16,'Co-Benefit Calcs'!$E$76:$I$83,4,0)/IF('GHG Calcs'!$BE16&gt;0,'Rail C&amp;T EF'!$K$14,1),"")</f>
        <v/>
      </c>
      <c r="CQ16" s="306" t="str">
        <f ca="1">IFERROR(IF('GHG Calcs'!$BD16="Gasoline",0,VLOOKUP(BN16,'Co-Benefit Calcs'!$E$76:$I$83,5,0))/IF('GHG Calcs'!$BE16&gt;0,'Rail C&amp;T EF'!$K$14,1),"")</f>
        <v/>
      </c>
      <c r="CR16" s="306" t="str">
        <f ca="1">IFERROR(VLOOKUP('GHG Calcs'!$BG16,'Rail C&amp;T EF'!$A$43:$Y$133,IF(BO16&gt;750,23, IF(BO16&gt;=600,20, IF(BO16&gt;=300,17, IF(BO16&gt;=175,14, IF(BO16&gt;=100,11, IF(BO16&gt;=75,8, IF(BO16&gt;=50,5, 2))))))),0) * IF($BO16&gt;=750,'Rail C&amp;T EF'!$K$18,'Rail C&amp;T EF'!$K$19) * IF('GHG Calcs'!BE16&gt;0,1,'Rail C&amp;T EF'!$B$149) * IF(OR('GHG Calcs'!BD16="Diesel", 'GHG Calcs'!BD16="Renewable Diesel", 'GHG Calcs'!BD16="Biodiesel"),'Rail C&amp;T EF'!$B$141,'Rail C&amp;T EF'!$B$142),"")</f>
        <v/>
      </c>
      <c r="CS16" s="306" t="str">
        <f ca="1">IFERROR(VLOOKUP('GHG Calcs'!$BG16,'Rail C&amp;T EF'!$A$43:$Y$133,IF(BO16&gt;750,24, IF(BO16&gt;=600,21, IF(BO16&gt;=300,18, IF(BO16&gt;=175,15, IF(BO16&gt;=100,12, IF(BO16&gt;=75,9, IF(BO16&gt;=50,6, 3))))))),0) * IF($BO16&gt;=750,'Rail C&amp;T EF'!$K$18,'Rail C&amp;T EF'!$K$19) * IF('GHG Calcs'!$BE16&gt;0,1,'Rail C&amp;T EF'!$B$149),"")</f>
        <v/>
      </c>
      <c r="CT16" s="306" t="str">
        <f ca="1">IFERROR(VLOOKUP('GHG Calcs'!$BG16,'Rail C&amp;T EF'!$A$43:$Y$133,IF(BO16&gt;750,25, IF(BO16&gt;=600,22, IF(BO16&gt;=300,19, IF(BO16&gt;=175,16, IF(BO16&gt;=100,13, IF(BO16&gt;=75,10, IF(BO16&gt;=50,7, 4))))))),0) * IF($BO16&gt;=750,'Rail C&amp;T EF'!$K$18,'Rail C&amp;T EF'!$K$19) * IF('GHG Calcs'!$BE16&gt;0,1,'Rail C&amp;T EF'!$B$149)*'Rail C&amp;T EF'!$B$146,"")</f>
        <v/>
      </c>
      <c r="CU16" s="306" t="str">
        <f ca="1">IFERROR(IF('GHG Calcs'!BD16="Gasoline",0,VLOOKUP('GHG Calcs'!$BG16,'Rail C&amp;T EF'!$A$43:$Y$133,IF(BO16&gt;750,25, IF(BO16&gt;=600,22, IF(BO16&gt;=300,19, IF(BO16&gt;=175,16, IF(BO16&gt;=100,13, IF(BO16&gt;=75,10, IF(BO16&gt;=50,7, 4))))))),0) * IF($BO16&gt;=750,'Rail C&amp;T EF'!$K$18,'Rail C&amp;T EF'!$K$19) * IF('GHG Calcs'!$BE16&gt;0,1,'Rail C&amp;T EF'!$B$149)),"")</f>
        <v/>
      </c>
      <c r="CV16" s="306" t="str">
        <f ca="1">IFERROR(VLOOKUP('GHG Calcs'!$BG16,'Ferry C&amp;T EF'!$A$106:$AK$196,IF(BO16&gt;=3301,35, IF(BO16&gt;=1901,31, IF(BO16&gt;=751,27, IF(BO16&gt;=501,23, IF(BO16&gt;=251,19, IF(BO16&gt;=176,15, IF(BO16&gt;=121,11, IF(BO16&gt;=51,7, 3)))))))),0),"")</f>
        <v/>
      </c>
      <c r="CW16" s="306" t="str">
        <f ca="1">IFERROR(VLOOKUP('GHG Calcs'!$BG16,'Ferry C&amp;T EF'!$A$106:$AK$196,IF(BO16&gt;=3301,34, IF(BO16&gt;=1901,30, IF(BO16&gt;=751,26, IF(BO16&gt;=501,22, IF(BO16&gt;=251,18, IF(BO16&gt;=176,14, IF(BO16&gt;=121,10, IF(BO16&gt;=51,6, 2)))))))),0),"")</f>
        <v/>
      </c>
      <c r="CX16" s="306" t="str">
        <f ca="1">IFERROR(VLOOKUP('GHG Calcs'!$BG16,'Ferry C&amp;T EF'!$A$106:$AK$196,IF(BO16&gt;=3301,37, IF(BO16&gt;=1901,33, IF(BO16&gt;=751,29, IF(BO16&gt;=501,25, IF(BO16&gt;=251,21, IF(BO16&gt;=176,17, IF(BO16&gt;=121,13, IF(BO16&gt;=51,9, 5)))))))),0),"")</f>
        <v/>
      </c>
      <c r="CY16" s="306" t="str">
        <f ca="1">IFERROR(IF('GHG Calcs'!$BD16="Gasoline",0,VLOOKUP('GHG Calcs'!$BG16,'Ferry C&amp;T EF'!$A$106:$AK$196,IF(BO16&gt;=3301,36, IF(BO16&gt;=1901,32, IF(BO16&gt;=751,28, IF(BO16&gt;=501,24, IF(BO16&gt;=251,20, IF(BO16&gt;=176,16, IF(BO16&gt;=121,12, IF(BO16&gt;=51,8, 4)))))))),0)),"")</f>
        <v/>
      </c>
      <c r="CZ16" s="1419" t="str">
        <f ca="1">IFERROR(IF('GHG Calcs'!$BD16="Gasoline",VLOOKUP('GHG Calcs'!$BL16,'Fuel Consumption'!$A$31:$L$2316,3,0),IF(OR('GHG Calcs'!$BD16="CNG",'GHG Calcs'!$BD16="LNG",'GHG Calcs'!$BD16="Renewable Natural Gas"),VLOOKUP('GHG Calcs'!$BL16,'Fuel Consumption'!$A$31:$L$2316,4,0)*VLOOKUP('GHG Calcs'!$BD16,'GHG EF'!$B$10:$H$19,4,0),VLOOKUP('GHG Calcs'!$BL16,'Fuel Consumption'!$A$31:$L$2316,2,0)*VLOOKUP('GHG Calcs'!$AD16,'GHG EF'!$B$10:$H$19,4,0))),"")</f>
        <v/>
      </c>
      <c r="DA16" s="1419" t="str">
        <f ca="1">IFERROR(IF(OR('GHG Calcs'!$BD16="Diesel",'GHG Calcs'!$BD16="Renewable Diesel",'GHG Calcs'!$BD16="Biodiesel"),VLOOKUP('GHG Calcs'!$BL16,'Fuel Consumption'!$A$31:$L$2316,6,0)*VLOOKUP('GHG Calcs'!$BD16,'GHG EF'!$B$10:$H$19,4,0),VLOOKUP('GHG Calcs'!$BL16,'Fuel Consumption'!$A$31:$L$2316,7,0)*VLOOKUP('GHG Calcs'!$BD16,'GHG EF'!$B$10:$H$19,5,0)),"")</f>
        <v/>
      </c>
      <c r="DB16" s="1419" t="str">
        <f ca="1">IFERROR(IF(OR('GHG Calcs'!$BD16="Diesel",'GHG Calcs'!$BD16="Renewable Diesel",'GHG Calcs'!$BD16="Biodiesel"),VLOOKUP('GHG Calcs'!$BL16,'Fuel Consumption'!$A$31:$L$2316,9,0)*VLOOKUP('GHG Calcs'!$BD16,'GHG EF'!$B$10:$H$19,4,0),VLOOKUP('GHG Calcs'!$BL16,'Fuel Consumption'!$A$31:$L$2316,10,0)*VLOOKUP('GHG Calcs'!$BD16,'GHG EF'!$B$10:$H$19,5,0)),"")</f>
        <v/>
      </c>
      <c r="DC16" s="1419" t="str">
        <f ca="1">IFERROR(VLOOKUP('GHG Calcs'!$BL16,'Fuel Consumption'!$A$31:$L$2316,12,0)*VLOOKUP('GHG Calcs'!$BD16,'GHG EF'!$B$10:$H$19,4,0),"")</f>
        <v/>
      </c>
      <c r="DD16" s="1373" t="str">
        <f ca="1">IFERROR(IF(OR('GHG Calcs'!BD16=Defaults!$I$3, 'GHG Calcs'!BD16=Defaults!$I$4, 'GHG Calcs'!BD16=Defaults!$I$6, 'GHG Calcs'!BD16=Defaults!$I$8), IF('GHG Calcs'!BE16&gt;0,'GHG Calcs'!BE16*IF('GHG Calcs'!BD16=Defaults!$I$3,'GHG EF'!$C$11/'GHG EF'!$C$12,1),'GHG Calcs'!BJ16*'GHG Calcs'!BH16),"")*('GHG Calcs'!I16-'GHG Calcs'!H16),"")</f>
        <v/>
      </c>
      <c r="DE16" s="1373" t="str">
        <f ca="1">IFERROR(IF('GHG Calcs'!BD16=Defaults!$I$5,IF('GHG Calcs'!BE16&gt;0,'GHG Calcs'!BE16,'GHG Calcs'!BI16*'GHG Calcs'!BH16),"")*('GHG Calcs'!I16-'GHG Calcs'!H16),"")</f>
        <v/>
      </c>
      <c r="DF16" s="1420" t="str">
        <f ca="1">IFERROR(IF('GHG Calcs'!BE16&gt;0,'GHG Calcs'!BE16,'GHG Calcs'!BK16*'GHG Calcs'!BH16)*VLOOKUP('GHG Calcs'!BD16,'Fuel &amp; Travel Costs'!$B$10:$C$19,2,0)*('GHG Calcs'!I16-'GHG Calcs'!H16),"")</f>
        <v/>
      </c>
      <c r="DG16" s="306">
        <f ca="1">INDIRECT("'Quantifiable Component "&amp;$B16&amp;"'!"&amp;$D16&amp;ROW('Quantifiable Component 1'!$70:$70))</f>
        <v>0</v>
      </c>
      <c r="DH16" s="306">
        <f ca="1">INDIRECT("'Quantifiable Component "&amp;$B16&amp;"'!"&amp;$D16&amp;ROW('Quantifiable Component 1'!$71:$71))</f>
        <v>0</v>
      </c>
      <c r="DI16" s="1422" t="str">
        <f ca="1">IFERROR(IF('GHG Calcs'!$CD16="Gasoline",VLOOKUP('GHG Calcs'!$CG16,'Bus C&amp;T EF'!$D$30:$V$2315,3,0),IF(OR('GHG Calcs'!$CD16="CNG",'GHG Calcs'!$CD16="LNG",'GHG Calcs'!$CD16="Renewable Natural Gas"),VLOOKUP('GHG Calcs'!$CG16,'Bus C&amp;T EF'!$D$30:$V$2315,4,0),VLOOKUP('GHG Calcs'!$CG16,'Bus C&amp;T EF'!$D$30:$V$2315,2,0)))/$ES16,"")</f>
        <v/>
      </c>
      <c r="DJ16" s="306" t="str">
        <f ca="1">IFERROR(IF('GHG Calcs'!$CD16="Gasoline",VLOOKUP('GHG Calcs'!$CG16,'Bus C&amp;T EF'!$D$30:$V$2315,6,0),IF(OR('GHG Calcs'!$CD16="CNG",'GHG Calcs'!$CD16="LNG",'GHG Calcs'!$CD16="Renewable Natural Gas"),VLOOKUP('GHG Calcs'!$CG16,'Bus C&amp;T EF'!$D$30:$V$2315,7,0),VLOOKUP('GHG Calcs'!$CG16,'Bus C&amp;T EF'!$D$30:$V$2315,5,0)))/$ES16,"")</f>
        <v/>
      </c>
      <c r="DK16" s="306" t="str">
        <f ca="1">IFERROR(IF('GHG Calcs'!$CD16="Gasoline",VLOOKUP('GHG Calcs'!$CG16,'Bus C&amp;T EF'!$D$30:$V$2315,9,0),IF(OR('GHG Calcs'!$CD16="CNG",'GHG Calcs'!$CD16="LNG",'GHG Calcs'!$CD16="Renewable Natural Gas"),VLOOKUP('GHG Calcs'!$CG16,'Bus C&amp;T EF'!$D$30:$V$2315,10,0),VLOOKUP('GHG Calcs'!$CG16,'Bus C&amp;T EF'!$D$30:$V$2315,8,0)))/$ES16,"")</f>
        <v/>
      </c>
      <c r="DL16" s="306" t="str">
        <f ca="1">IFERROR(IF('GHG Calcs'!$CD16="Gasoline",VLOOKUP('GHG Calcs'!$CG16,'Bus C&amp;T EF'!$D$30:$V$2315,12,0),IF(OR('GHG Calcs'!$CD16="CNG",'GHG Calcs'!$CD16="LNG",'GHG Calcs'!$CD16="Renewable Natural Gas"),VLOOKUP('GHG Calcs'!$CG16,'Bus C&amp;T EF'!$D$30:$V$2315,13,0),IF('GHG Calcs'!$CD16="Electric",VLOOKUP('GHG Calcs'!$CG16,'Bus C&amp;T EF'!$D$30:$V$2315,14,0),VLOOKUP('GHG Calcs'!$CG16,'Bus C&amp;T EF'!$D$30:$V$2315,11,0))))/$ES16,"")</f>
        <v/>
      </c>
      <c r="DM16" s="306" t="str">
        <f ca="1">IFERROR(IF('GHG Calcs'!$CD16="Gasoline",VLOOKUP('GHG Calcs'!$CG16,'Bus C&amp;T EF'!$D$30:$V$2315,16,0),IF(OR('GHG Calcs'!$CD16="CNG",'GHG Calcs'!$CD16="LNG",'GHG Calcs'!$CD16="Renewable Natural Gas"),VLOOKUP('GHG Calcs'!$CG16,'Bus C&amp;T EF'!$D$30:$V$2315,17,0),IF('GHG Calcs'!$CD16="Electric",VLOOKUP('GHG Calcs'!$CG16,'Bus C&amp;T EF'!$D$30:$V$2315,18,0),VLOOKUP('GHG Calcs'!$CG16,'Bus C&amp;T EF'!$D$30:$V$2315,15,0))))/$ES16,"")</f>
        <v/>
      </c>
      <c r="DN16" s="306" t="str">
        <f ca="1">IFERROR(IF('GHG Calcs'!$CD16="Gasoline",0,VLOOKUP('GHG Calcs'!$CG16,'Bus C&amp;T EF'!$D$30:$V$2315,19,0))/$ES16,"")</f>
        <v/>
      </c>
      <c r="DO16" s="1419" t="str">
        <f ca="1">IFERROR(IF(OR('GHG Calcs'!$CD16="Diesel",'GHG Calcs'!$CD16="Renewable Diesel",'GHG Calcs'!$CD16="Biodiesel"),VLOOKUP('GHG Calcs'!$CG16,'Van C&amp;T EF'!$D$30:$Q$2315,2,0),VLOOKUP('GHG Calcs'!$CG16,'Van C&amp;T EF'!$D$30:$Q$2315,3,0))/$ET16,"")</f>
        <v/>
      </c>
      <c r="DP16" s="1419" t="str">
        <f ca="1">IFERROR(IF(OR('GHG Calcs'!$CD16="Diesel",'GHG Calcs'!$CD16="Renewable Diesel",'GHG Calcs'!$CD16="Biodiesel"),VLOOKUP('GHG Calcs'!$CG16,'Van C&amp;T EF'!$D$30:$Q$2315,4,0),VLOOKUP('GHG Calcs'!$CG16,'Van C&amp;T EF'!$D$30:$Q$2315,5,0))/$ET16,"")</f>
        <v/>
      </c>
      <c r="DQ16" s="1419" t="str">
        <f ca="1">IFERROR(IF(OR('GHG Calcs'!$CD16="Diesel",'GHG Calcs'!$CD16="Renewable Diesel",'GHG Calcs'!$CD16="Biodiesel"),VLOOKUP('GHG Calcs'!$CG16,'Van C&amp;T EF'!$D$30:$Q$2315,6,0),VLOOKUP('GHG Calcs'!$CG16,'Van C&amp;T EF'!$D$30:$Q$2315,7,0))/$ET16,"")</f>
        <v/>
      </c>
      <c r="DR16" s="1419" t="str">
        <f ca="1">IFERROR(IF(OR('GHG Calcs'!$CD16="Diesel",'GHG Calcs'!$CD16="Renewable Diesel",'GHG Calcs'!$CD16="Biodiesel"),VLOOKUP('GHG Calcs'!$CG16,'Van C&amp;T EF'!$D$30:$Q$2315,8,0),IF(OR('GHG Calcs'!$CD16="Electric",'GHG Calcs'!$CD16="Hydrogen Fuel Cell",'GHG Calcs'!$CD16="Renewable Electricity"),VLOOKUP('GHG Calcs'!$CG16,'Van C&amp;T EF'!$D$30:$Q$2315,10,0),VLOOKUP('GHG Calcs'!$CG16,'Van C&amp;T EF'!$D$30:$Q$2315,9,0)))/$ET16,"")</f>
        <v/>
      </c>
      <c r="DS16" s="1419" t="str">
        <f ca="1">IFERROR(IF(OR('GHG Calcs'!$CD16="Diesel",'GHG Calcs'!$CD16="Renewable Diesel",'GHG Calcs'!$CD16="Biodiesel"),VLOOKUP('GHG Calcs'!$CG16,'Van C&amp;T EF'!$D$30:$Q$2315,11,0),IF(OR('GHG Calcs'!$CD16="Electric",'GHG Calcs'!$CD16="Hydrogen Fuel Cell",'GHG Calcs'!$CD16="Renewable Electricity"),VLOOKUP('GHG Calcs'!$CG16,'Van C&amp;T EF'!$D$30:$Q$2315,13,0),VLOOKUP('GHG Calcs'!$CG16,'Van C&amp;T EF'!$D$30:$Q$2315,12,0)))/$ET16,"")</f>
        <v/>
      </c>
      <c r="DT16" s="306" t="str">
        <f ca="1">IFERROR(IF(OR('GHG Calcs'!$CD16="Diesel",'GHG Calcs'!$CD16="Biodiesel",'GHG Calcs'!$CD16="Renewable Diesel"),VLOOKUP('GHG Calcs'!$CG16,'Van C&amp;T EF'!$D$30:$Q$2315,14,0),0)/$ET16,"")</f>
        <v/>
      </c>
      <c r="DU16" s="1419" t="str">
        <f ca="1">IFERROR(IF(OR('GHG Calcs'!$CD16="Diesel",'GHG Calcs'!$CD16="Renewable Diesel",'GHG Calcs'!$CD16="Biodiesel"),VLOOKUP('GHG Calcs'!$CG16,'Shuttle C&amp;T EF'!$D$30:$Q$2315,2,0),VLOOKUP('GHG Calcs'!$CG16,'Shuttle C&amp;T EF'!$D$30:$Q$2315,3,0))/$EU16,"")</f>
        <v/>
      </c>
      <c r="DV16" s="1419" t="str">
        <f ca="1">IFERROR(IF(OR('GHG Calcs'!$CD16="Diesel",'GHG Calcs'!$CD16="Renewable Diesel",'GHG Calcs'!$CD16="Biodiesel"),VLOOKUP('GHG Calcs'!$CG16,'Shuttle C&amp;T EF'!$D$30:$Q$2315,4,0),VLOOKUP('GHG Calcs'!$CG16,'Shuttle C&amp;T EF'!$D$30:$Q$2315,5,0))/$EU16,"")</f>
        <v/>
      </c>
      <c r="DW16" s="1419" t="str">
        <f ca="1">IFERROR(IF(OR('GHG Calcs'!$CD16="Diesel",'GHG Calcs'!$CD16="Renewable Diesel",'GHG Calcs'!$CD16="Biodiesel"),VLOOKUP('GHG Calcs'!$CG16,'Shuttle C&amp;T EF'!$D$30:$Q$2315,6,0),VLOOKUP('GHG Calcs'!$CG16,'Shuttle C&amp;T EF'!$D$30:$Q$2315,7,0))/$EU16,"")</f>
        <v/>
      </c>
      <c r="DX16" s="1419" t="str">
        <f ca="1">IFERROR(IF(OR('GHG Calcs'!$CD16="Diesel",'GHG Calcs'!$CD16="Renewable Diesel",'GHG Calcs'!$CD16="Biodiesel"),VLOOKUP('GHG Calcs'!$CG16,'Shuttle C&amp;T EF'!$D$30:$Q$2315,8,0),IF(OR('GHG Calcs'!$CD16="Electric",'GHG Calcs'!$CD16="Hydrogen Fuel Cell",'GHG Calcs'!$CD16="Renewable Electricity"),VLOOKUP('GHG Calcs'!$CG16,'Shuttle C&amp;T EF'!$D$30:$Q$2315,10,0),VLOOKUP('GHG Calcs'!$CG16,'Shuttle C&amp;T EF'!$D$30:$Q$2315,9,0)))/$EU16,"")</f>
        <v/>
      </c>
      <c r="DY16" s="1419" t="str">
        <f ca="1">IFERROR(IF(OR('GHG Calcs'!$CD16="Diesel",'GHG Calcs'!$CD16="Renewable Diesel",'GHG Calcs'!$CD16="Biodiesel"),VLOOKUP('GHG Calcs'!$CG16,'Shuttle C&amp;T EF'!$D$30:$Q$2315,11,0),IF(OR('GHG Calcs'!$CD16="Electric",'GHG Calcs'!$CD16="Hydrogen Fuel Cell",'GHG Calcs'!$CD16="Renewable Electricity"),VLOOKUP('GHG Calcs'!$CG16,'Shuttle C&amp;T EF'!$D$30:$Q$2315,13,0),VLOOKUP('GHG Calcs'!$CG16,'Shuttle C&amp;T EF'!$D$30:$Q$2315,12,0)))/$EU16,"")</f>
        <v/>
      </c>
      <c r="DZ16" s="1419" t="str">
        <f ca="1">IFERROR(IF(OR('GHG Calcs'!$CD16="Diesel",'GHG Calcs'!$CD16="Biodiesel",'GHG Calcs'!$CD16="Renewable Diesel"),VLOOKUP('GHG Calcs'!$CG16,'Shuttle C&amp;T EF'!$D$30:$Q$2315,14,0),0)/$EU16,"")</f>
        <v/>
      </c>
      <c r="EA16" s="306" t="str">
        <f ca="1">IFERROR((VLOOKUP('GHG Calcs'!$CG16,'Over-Road Coach C&amp;T EF'!$D$29:$N$2314,2,0)+VLOOKUP('GHG Calcs'!$CG16,'Over-Road Coach C&amp;T EF'!$D$29:$N$2314,3,0))/$EV16,"")</f>
        <v/>
      </c>
      <c r="EB16" s="306" t="str">
        <f ca="1">IFERROR((VLOOKUP('GHG Calcs'!$CG16,'Over-Road Coach C&amp;T EF'!$D$29:$N$2314,4,0)+VLOOKUP('GHG Calcs'!$CG16,'Over-Road Coach C&amp;T EF'!$D$29:$N$2314,5,0))/$EV16,"")</f>
        <v/>
      </c>
      <c r="EC16" s="306" t="str">
        <f ca="1">IFERROR((VLOOKUP('GHG Calcs'!$CG16,'Over-Road Coach C&amp;T EF'!$D$29:$N$2314,6,0)+VLOOKUP('GHG Calcs'!$CG16,'Over-Road Coach C&amp;T EF'!$D$29:$N$2314,7,0))/$EV16,"")</f>
        <v/>
      </c>
      <c r="ED16" s="306" t="str">
        <f ca="1">IFERROR(VLOOKUP('GHG Calcs'!$CG16,'Over-Road Coach C&amp;T EF'!$D$29:$N$2314,8,0)/$EV16,"")</f>
        <v/>
      </c>
      <c r="EE16" s="306" t="str">
        <f ca="1">IFERROR(VLOOKUP('GHG Calcs'!$CG16,'Over-Road Coach C&amp;T EF'!$D$29:$N$2314,9,0)/$EV16,"")</f>
        <v/>
      </c>
      <c r="EF16" s="306" t="str">
        <f ca="1">IFERROR((VLOOKUP('GHG Calcs'!$CG16,'Over-Road Coach C&amp;T EF'!$D$29:$N$2314,10,0)+VLOOKUP('GHG Calcs'!$CG16,'Over-Road Coach C&amp;T EF'!$D$29:$N$2314,11,0))/$EV16,"")</f>
        <v/>
      </c>
      <c r="EG16" s="306" t="str">
        <f ca="1">IFERROR(VLOOKUP(DG16,'Co-Benefit Calcs'!$E$76:$I$83,2,0)/'Rail C&amp;T EF'!$K$14,"")</f>
        <v/>
      </c>
      <c r="EH16" s="306" t="str">
        <f ca="1">IFERROR(VLOOKUP(DG16,'Co-Benefit Calcs'!$E$76:$I$83,3,0)/'Rail C&amp;T EF'!$K$14,"")</f>
        <v/>
      </c>
      <c r="EI16" s="306" t="str">
        <f ca="1">IFERROR(VLOOKUP(DG16,'Co-Benefit Calcs'!$E$76:$I$83,4,0)/'Rail C&amp;T EF'!$K$14,"")</f>
        <v/>
      </c>
      <c r="EJ16" s="306" t="str">
        <f ca="1">IFERROR(IF('GHG Calcs'!$CD16="Gasoline",0,VLOOKUP(DG16,'Co-Benefit Calcs'!$E$76:$I$83,5,0))/'Rail C&amp;T EF'!$K$14,"")</f>
        <v/>
      </c>
      <c r="EK16" s="306" t="str">
        <f ca="1">IFERROR(VLOOKUP('GHG Calcs'!CF16,'Rail C&amp;T EF'!$A$43:$Y$133,IF(DH16&gt;750,23, IF(DH16&gt;=600,20, IF(DH16&gt;=300,17, IF(DH16&gt;=175,14, IF(DH16&gt;=100,11, IF(DH16&gt;=75,8, IF(DH16&gt;=50,5, 2))))))),0) * IF($DH16&gt;=750,'Rail C&amp;T EF'!$K$18,'Rail C&amp;T EF'!$K$19) * IF(OR('GHG Calcs'!CD16="Diesel", 'GHG Calcs'!CD16="Renewable Diesel", 'GHG Calcs'!CD16="Biodiesel"),'Rail C&amp;T EF'!$B$141,'Rail C&amp;T EF'!$B$142),"")</f>
        <v/>
      </c>
      <c r="EL16" s="306" t="str">
        <f ca="1">IFERROR(VLOOKUP('GHG Calcs'!$CF16,'Rail C&amp;T EF'!$A$43:$Y$133,IF(DH16&gt;750,24, IF(DH16&gt;=600,21, IF(DH16&gt;=300,18, IF(DH16&gt;=175,15, IF(DH16&gt;=100,12, IF(DH16&gt;=75,9, IF(DH16&gt;=50,6, 3))))))),0) * IF($DH16&gt;=750,'Rail C&amp;T EF'!$K$18,'Rail C&amp;T EF'!$K$19),"")</f>
        <v/>
      </c>
      <c r="EM16" s="306" t="str">
        <f ca="1">IFERROR(VLOOKUP('GHG Calcs'!$CF16,'Rail C&amp;T EF'!$A$43:$Y$133,IF(DH16&gt;750,25, IF(DH16&gt;=600,22, IF(DH16&gt;=300,19, IF(DH16&gt;=175,16, IF(DH16&gt;=100,13, IF(DH16&gt;=75,10, IF(DH16&gt;=50,7, 4))))))),0) * IF($DH16&gt;=750,'Rail C&amp;T EF'!$K$18,'Rail C&amp;T EF'!$K$19)*'Rail C&amp;T EF'!$B$146,"")</f>
        <v/>
      </c>
      <c r="EN16" s="306" t="str">
        <f ca="1">IFERROR(IF('GHG Calcs'!CD16="Gasoline",0,VLOOKUP('GHG Calcs'!$CF16,'Rail C&amp;T EF'!$A$43:$Y$133,IF(DH16&gt;750,25, IF(DH16&gt;=600,22, IF(DH16&gt;=300,19, IF(DH16&gt;=175,16, IF(DH16&gt;=100,13, IF(DH16&gt;=75,10, IF(DH16&gt;=50,7, 4))))))),0) * IF($DH16&gt;=750,'Rail C&amp;T EF'!$K$18,'Rail C&amp;T EF'!$K$19)),"")</f>
        <v/>
      </c>
      <c r="EO16" s="306" t="str">
        <f ca="1">IFERROR(VLOOKUP('GHG Calcs'!$CF16,'Ferry C&amp;T EF'!$A$106:$AK$196,IF(DH16&gt;=3301,35, IF(DH16&gt;=1901,31, IF(DH16&gt;=751,27, IF(DH16&gt;=501,23, IF(DH16&gt;=251,19, IF(DH16&gt;=176,15, IF(DH16&gt;=121,11, IF(DH16&gt;=51,7, 3)))))))),0),"")</f>
        <v/>
      </c>
      <c r="EP16" s="306" t="str">
        <f ca="1">IFERROR(VLOOKUP('GHG Calcs'!$CF16,'Ferry C&amp;T EF'!$A$106:$AK$196,IF(DH16&gt;=3301,34, IF(DH16&gt;=1901,30, IF(DH16&gt;=751,26, IF(DH16&gt;=501,22, IF(DH16&gt;=251,18, IF(DH16&gt;=176,14, IF(DH16&gt;=121,10, IF(DH16&gt;=51,6, 2)))))))),0),"")</f>
        <v/>
      </c>
      <c r="EQ16" s="306" t="str">
        <f ca="1">IFERROR(VLOOKUP('GHG Calcs'!$CF16,'Ferry C&amp;T EF'!$A$106:$AK$196,IF(DH16&gt;=3301,37, IF(DH16&gt;=1901,33, IF(DH16&gt;=751,29, IF(DH16&gt;=501,25, IF(DH16&gt;=251,21, IF(DH16&gt;=176,17, IF(DH16&gt;=121,13, IF(DH16&gt;=51,9, 5)))))))),0),"")</f>
        <v/>
      </c>
      <c r="ER16" s="306" t="str">
        <f ca="1">IFERROR(IF('GHG Calcs'!$CD16="Gasoline",0,VLOOKUP('GHG Calcs'!$CF16,'Ferry C&amp;T EF'!$A$106:$AK$196,IF(DH16&gt;=3301,36, IF(DH16&gt;=1901,32, IF(DH16&gt;=751,28, IF(DH16&gt;=501,24, IF(DH16&gt;=251,20, IF(DH16&gt;=176,16, IF(DH16&gt;=121,12, IF(DH16&gt;=51,8, 4)))))))),0)),"")</f>
        <v/>
      </c>
      <c r="ES16" s="1419" t="str">
        <f ca="1">IFERROR(IF('GHG Calcs'!$CD16="Gasoline",VLOOKUP('GHG Calcs'!$CG16,'Fuel Consumption'!$A$31:$L$2316,3,0),IF(OR('GHG Calcs'!$CD16="CNG",'GHG Calcs'!$CD16="LNG",'GHG Calcs'!$CD16="Renewable Natural Gas"),VLOOKUP('GHG Calcs'!$CG16,'Fuel Consumption'!$A$31:$L$2316,4,0)*VLOOKUP('GHG Calcs'!$CD16,'GHG EF'!$B$10:$H$19,4,0),VLOOKUP('GHG Calcs'!$CG16,'Fuel Consumption'!$A$31:$L$2316,2,0)*VLOOKUP('GHG Calcs'!$AD16,'GHG EF'!$B$10:$H$19,4,0))),"")</f>
        <v/>
      </c>
      <c r="ET16" s="1419" t="str">
        <f ca="1">IFERROR(IF(OR('GHG Calcs'!$CD16="Diesel",'GHG Calcs'!$CD16="Renewable Diesel",'GHG Calcs'!$CD16="Biodiesel"),VLOOKUP('GHG Calcs'!$CG16,'Fuel Consumption'!$A$31:$L$2316,6,0)*VLOOKUP('GHG Calcs'!$CD16,'GHG EF'!$B$10:$H$19,4,0),VLOOKUP('GHG Calcs'!$CG16,'Fuel Consumption'!$A$31:$L$2316,7,0)*VLOOKUP('GHG Calcs'!$CD16,'GHG EF'!$B$10:$H$19,5,0)),"")</f>
        <v/>
      </c>
      <c r="EU16" s="1419" t="str">
        <f ca="1">IFERROR(IF(OR('GHG Calcs'!$CD16="Diesel",'GHG Calcs'!$CD16="Renewable Diesel",'GHG Calcs'!$CD16="Biodiesel"),VLOOKUP('GHG Calcs'!$CG16,'Fuel Consumption'!$A$31:$L$2316,9,0)*VLOOKUP('GHG Calcs'!$CD16,'GHG EF'!$B$10:$H$19,4,0),VLOOKUP('GHG Calcs'!$CG16,'Fuel Consumption'!$A$31:$L$2316,10,0)*VLOOKUP('GHG Calcs'!$CD16,'GHG EF'!$B$10:$H$19,5,0)),"")</f>
        <v/>
      </c>
      <c r="EV16" s="1419" t="str">
        <f ca="1">IFERROR(VLOOKUP('GHG Calcs'!$CG16,'Fuel Consumption'!$A$31:$L$2316,12,0)*VLOOKUP('GHG Calcs'!$CD16,'GHG EF'!$B$10:$H$19,4,0),"")</f>
        <v/>
      </c>
      <c r="EW16" s="1373" t="str">
        <f ca="1">IFERROR(IF(OR('GHG Calcs'!CD16=Defaults!$I$4, 'GHG Calcs'!CD16=Defaults!$I$6, 'GHG Calcs'!CD16=Defaults!$I$8),'GHG Calcs'!CE16,IF('GHG Calcs'!CD16=Defaults!$I$3, 'GHG Calcs'!CE16*'GHG EF'!$C$11/'GHG EF'!$C$12,""))*('GHG Calcs'!I16-'GHG Calcs'!H16),"")</f>
        <v/>
      </c>
      <c r="EX16" s="1373" t="str">
        <f ca="1">IFERROR(IF('GHG Calcs'!CD16=Defaults!$I$5,'GHG Calcs'!CE16,"")*('GHG Calcs'!I16-'GHG Calcs'!H16),"")</f>
        <v/>
      </c>
      <c r="EY16" s="1420" t="str">
        <f ca="1">IFERROR('GHG Calcs'!CE16*VLOOKUP('GHG Calcs'!CD16,'Fuel &amp; Travel Costs'!$B$10:$C$19,2,0)*('GHG Calcs'!I16-'GHG Calcs'!H16),"")</f>
        <v/>
      </c>
      <c r="EZ16" s="1420" t="str">
        <f t="shared" ca="1" si="0"/>
        <v/>
      </c>
      <c r="FA16" s="306">
        <f ca="1">INDIRECT("'Quantifiable Component "&amp;$B16&amp;"'!"&amp;$D16&amp;ROW('Quantifiable Component 1'!$77:$77))</f>
        <v>0</v>
      </c>
      <c r="FB16" s="306">
        <f ca="1">INDIRECT("'Quantifiable Component "&amp;$B16&amp;"'!"&amp;$D16&amp;ROW('Quantifiable Component 1'!$78:$78))</f>
        <v>0</v>
      </c>
      <c r="FC16" s="306">
        <f ca="1">INDIRECT("'Quantifiable Component "&amp;$B16&amp;"'!"&amp;$D16&amp;ROW('Quantifiable Component 1'!$79:$79))</f>
        <v>0</v>
      </c>
      <c r="FD16" s="306">
        <f ca="1">INDIRECT("'Quantifiable Component "&amp;$B16&amp;"'!"&amp;$D16&amp;ROW('Quantifiable Component 1'!$80:$80))</f>
        <v>0</v>
      </c>
      <c r="FE16" s="306">
        <f ca="1">INDIRECT("'Quantifiable Component "&amp;$B16&amp;"'!"&amp;$D16&amp;ROW('Quantifiable Component 1'!$81:$81))</f>
        <v>0</v>
      </c>
    </row>
    <row r="17" spans="1:161" s="117" customFormat="1" x14ac:dyDescent="0.35">
      <c r="A17" s="1648"/>
      <c r="B17" s="1367">
        <v>2</v>
      </c>
      <c r="C17" s="1379">
        <v>3</v>
      </c>
      <c r="D17" s="1368" t="str">
        <f>'GHG Calcs'!D17</f>
        <v>K</v>
      </c>
      <c r="E17" s="1416">
        <f ca="1">'GHG Calcs'!U17</f>
        <v>0</v>
      </c>
      <c r="F17" s="1416">
        <f ca="1">'GHG Calcs'!W17</f>
        <v>0</v>
      </c>
      <c r="G17" s="1417" t="str">
        <f ca="1">IFERROR(VLOOKUP('GHG Calcs'!K17,'Auto C&amp;T EF'!$C$35:$K$2662,2,0)*E17,"")</f>
        <v/>
      </c>
      <c r="H17" s="1417" t="str">
        <f ca="1">IFERROR(VLOOKUP('GHG Calcs'!L17,'Auto C&amp;T EF'!$C$35:$K$2662,2,0)*F17,"")</f>
        <v/>
      </c>
      <c r="I17" s="1417" t="str">
        <f ca="1">IFERROR(VLOOKUP('GHG Calcs'!$K17,'Auto C&amp;T EF'!$C$35:$K$2662,3,0)*$E17,"")</f>
        <v/>
      </c>
      <c r="J17" s="1417" t="str">
        <f ca="1">IFERROR(VLOOKUP('GHG Calcs'!$L17,'Auto C&amp;T EF'!$C$35:$K$2662,3,0)*$F17,"")</f>
        <v/>
      </c>
      <c r="K17" s="1417" t="str">
        <f ca="1">IFERROR((VLOOKUP('GHG Calcs'!$K17,'Auto C&amp;T EF'!$C$35:$K$2662,5,0)+VLOOKUP('GHG Calcs'!$K17,'Auto C&amp;T EF'!$C$35:$K$2662,6,0)+VLOOKUP('GHG Calcs'!$K17,'Auto C&amp;T EF'!$C$35:$K$2662,7,0))*$E17,"")</f>
        <v/>
      </c>
      <c r="L17" s="1417" t="str">
        <f ca="1">IFERROR((VLOOKUP('GHG Calcs'!$L17,'Auto C&amp;T EF'!$C$35:$K$2662,5,0)+VLOOKUP('GHG Calcs'!$L17,'Auto C&amp;T EF'!$C$35:$K$2662,6,0)+VLOOKUP('GHG Calcs'!$L17,'Auto C&amp;T EF'!$C$35:$K$2662,7,0))*$F17,"")</f>
        <v/>
      </c>
      <c r="M17" s="1417" t="str">
        <f ca="1">IFERROR(VLOOKUP('GHG Calcs'!$K17,'Auto C&amp;T EF'!$C$35:$K$2662,8,0)*$E17,"")</f>
        <v/>
      </c>
      <c r="N17" s="1417" t="str">
        <f ca="1">IFERROR(VLOOKUP('GHG Calcs'!$L17,'Auto C&amp;T EF'!$C$35:$K$2662,8,0)*$F17,"")</f>
        <v/>
      </c>
      <c r="O17" s="1418">
        <f ca="1">IFERROR(AVERAGE(G17:H17)*('GHG Calcs'!I17-'GHG Calcs'!H17),0)</f>
        <v>0</v>
      </c>
      <c r="P17" s="1418">
        <f ca="1">IFERROR(AVERAGE(I17:J17)*('GHG Calcs'!I17-'GHG Calcs'!H17),0)</f>
        <v>0</v>
      </c>
      <c r="Q17" s="1418">
        <f ca="1">IFERROR(AVERAGE(K17:L17)*('GHG Calcs'!I17-'GHG Calcs'!H17),0)</f>
        <v>0</v>
      </c>
      <c r="R17" s="1418">
        <f ca="1">IFERROR(AVERAGE(M17:N17)*('GHG Calcs'!I17-'GHG Calcs'!H17),0)</f>
        <v>0</v>
      </c>
      <c r="S17" s="1418">
        <f ca="1">IFERROR(AVERAGE(E17*VLOOKUP('GHG Calcs'!K17,'Auto C&amp;T EF'!$C$35:$L$2662,10,0),F17*VLOOKUP('GHG Calcs'!L17,'Auto C&amp;T EF'!$C$35:$L$2662,10,0))*('GHG Calcs'!I17-'GHG Calcs'!H17),0)</f>
        <v>0</v>
      </c>
      <c r="T17" s="1379">
        <f ca="1">INDIRECT("'Quantifiable Component "&amp;$B17&amp;"'!"&amp;$D17&amp;ROW('Quantifiable Component 1'!$47:$47))</f>
        <v>0</v>
      </c>
      <c r="U17" s="1379">
        <f ca="1">INDIRECT("'Quantifiable Component "&amp;$B17&amp;"'!"&amp;$D17&amp;ROW('Quantifiable Component 1'!$48:$48))</f>
        <v>0</v>
      </c>
      <c r="V17" s="306" t="str">
        <f ca="1">IFERROR(IF('GHG Calcs'!$AD17="Gasoline",VLOOKUP('GHG Calcs'!$AH17,'Bus C&amp;T EF'!$D$30:$V$2315,3,0),IF(OR('GHG Calcs'!$AD17="CNG",'GHG Calcs'!$AD17="LNG",'GHG Calcs'!$AD17="Renewable Natural Gas"),VLOOKUP('GHG Calcs'!$AH17,'Bus C&amp;T EF'!$D$30:$V$2315,4,0),VLOOKUP('GHG Calcs'!$AH17,'Bus C&amp;T EF'!$D$30:$V$2315,2,0)))/IF('GHG Calcs'!AE17&gt;0,$BF17,1),"")</f>
        <v/>
      </c>
      <c r="W17" s="306" t="str">
        <f ca="1">IFERROR(IF('GHG Calcs'!$AD17="Gasoline",VLOOKUP('GHG Calcs'!$AH17,'Bus C&amp;T EF'!$D$30:$V$2315,6,0),IF(OR('GHG Calcs'!$AD17="CNG",'GHG Calcs'!$AD17="LNG",'GHG Calcs'!$AD17="Renewable Natural Gas"),VLOOKUP('GHG Calcs'!$AH17,'Bus C&amp;T EF'!$D$30:$V$2315,7,0),VLOOKUP('GHG Calcs'!$AH17,'Bus C&amp;T EF'!$D$30:$V$2315,5,0)))/IF('GHG Calcs'!AE17&gt;0,$BF17,1),"")</f>
        <v/>
      </c>
      <c r="X17" s="1419" t="str">
        <f ca="1">IFERROR(IF('GHG Calcs'!$AD17="Gasoline",VLOOKUP('GHG Calcs'!$AH17,'Bus C&amp;T EF'!$D$30:$V$2315,9,0),IF(OR('GHG Calcs'!$AD17="CNG",'GHG Calcs'!$AD17="LNG",'GHG Calcs'!$AD17="Renewable Natural Gas"),VLOOKUP('GHG Calcs'!$AH17,'Bus C&amp;T EF'!$D$30:$V$2315,10,0),VLOOKUP('GHG Calcs'!$AH17,'Bus C&amp;T EF'!$D$30:$V$2315,8,0)))/IF('GHG Calcs'!AE17&gt;0,$BF17,1),"")</f>
        <v/>
      </c>
      <c r="Y17" s="1419" t="str">
        <f ca="1">IFERROR(IF('GHG Calcs'!$AD17="Gasoline",VLOOKUP('GHG Calcs'!$AH17,'Bus C&amp;T EF'!$D$30:$V$2315,12,0),IF(OR('GHG Calcs'!$AD17="CNG",'GHG Calcs'!$AD17="LNG",'GHG Calcs'!$AD17="Renewable Natural Gas"),VLOOKUP('GHG Calcs'!$AH17,'Bus C&amp;T EF'!$D$30:$V$2315,13,0),IF(OR('GHG Calcs'!$AD17="Electric",'GHG Calcs'!$AD17="Hydrogen Fuel Cell",'GHG Calcs'!$AD17="Renewable Electricity"),VLOOKUP('GHG Calcs'!$AH17,'Bus C&amp;T EF'!$D$30:$V$2315,14,0),VLOOKUP('GHG Calcs'!$AH17,'Bus C&amp;T EF'!$D$30:$V$2315,11,0))))/IF('GHG Calcs'!AE17&gt;0,$BF17,1),"")</f>
        <v/>
      </c>
      <c r="Z17" s="1419" t="str">
        <f ca="1">IFERROR(IF('GHG Calcs'!$AD17="Gasoline",VLOOKUP('GHG Calcs'!$AH17,'Bus C&amp;T EF'!$D$30:$V$2315,16,0),IF(OR('GHG Calcs'!$AD17="CNG",'GHG Calcs'!$AD17="LNG",'GHG Calcs'!$AD17="Renewable Natural Gas"),VLOOKUP('GHG Calcs'!$AH17,'Bus C&amp;T EF'!$D$30:$V$2315,17,0),IF(OR('GHG Calcs'!$AD17="Electric",'GHG Calcs'!$AD17="Hydrogen Fuel Cell",'GHG Calcs'!$AD17="Renewable Electricity"),VLOOKUP('GHG Calcs'!$AH17,'Bus C&amp;T EF'!$D$30:$V$2315,18,0),VLOOKUP('GHG Calcs'!$AH17,'Bus C&amp;T EF'!$D$30:$V$2315,15,0))))/IF('GHG Calcs'!AE17&gt;0,$BF17,1),"")</f>
        <v/>
      </c>
      <c r="AA17" s="306" t="str">
        <f ca="1">IFERROR(IF('GHG Calcs'!$AD17="Gasoline",0,VLOOKUP('GHG Calcs'!$AH17,'Bus C&amp;T EF'!$D$30:$V$2315,19,0))/IF('GHG Calcs'!AE17&gt;0,$BF17,1),"")</f>
        <v/>
      </c>
      <c r="AB17" s="1419" t="str">
        <f ca="1">IFERROR(IF(OR('GHG Calcs'!$AD17="Diesel",'GHG Calcs'!$AD17="Renewable Diesel",'GHG Calcs'!$AD17="Biodiesel"),VLOOKUP('GHG Calcs'!$AH17,'Van C&amp;T EF'!$D$30:$Q$2315,2,0),VLOOKUP('GHG Calcs'!$AH17,'Van C&amp;T EF'!$D$30:$Q$2315,3,0))/IF('GHG Calcs'!AE17&gt;0,$BG17,1),"")</f>
        <v/>
      </c>
      <c r="AC17" s="1419" t="str">
        <f ca="1">IFERROR(IF(OR('GHG Calcs'!$AD17="Diesel",'GHG Calcs'!$AD17="Renewable Diesel",'GHG Calcs'!$AD17="Biodiesel"),VLOOKUP('GHG Calcs'!$AH17,'Van C&amp;T EF'!$D$30:$Q$2315,4,0),VLOOKUP('GHG Calcs'!$AH17,'Van C&amp;T EF'!$D$30:$Q$2315,5,0))/IF('GHG Calcs'!AE17&gt;0,$BG17,1),"")</f>
        <v/>
      </c>
      <c r="AD17" s="1419" t="str">
        <f ca="1">IFERROR(IF(OR('GHG Calcs'!$AD17="Diesel",'GHG Calcs'!$AD17="Renewable Diesel",'GHG Calcs'!$AD17="Biodiesel"),VLOOKUP('GHG Calcs'!$AH17,'Van C&amp;T EF'!$D$30:$Q$2315,6,0),VLOOKUP('GHG Calcs'!$AH17,'Van C&amp;T EF'!$D$30:$Q$2315,7,0))/IF('GHG Calcs'!AE17&gt;0,$BG17,1),"")</f>
        <v/>
      </c>
      <c r="AE17" s="1419" t="str">
        <f ca="1">IFERROR(IF(OR('GHG Calcs'!$AD17="Diesel",'GHG Calcs'!$AD17="Renewable Diesel",'GHG Calcs'!$AD17="Biodiesel"),VLOOKUP('GHG Calcs'!$AH17,'Van C&amp;T EF'!$D$30:$Q$2315,8,0),IF(OR('GHG Calcs'!$AD17="Electric",'GHG Calcs'!$AD17="Hydrogen Fuel Cell",'GHG Calcs'!$AD17="Renewable Electricity"),VLOOKUP('GHG Calcs'!$AH17,'Van C&amp;T EF'!$D$30:$Q$2315,10,0),VLOOKUP('GHG Calcs'!$AH17,'Van C&amp;T EF'!$D$30:$Q$2315,9,0)))/IF('GHG Calcs'!AE17&gt;0,$BG17,1),"")</f>
        <v/>
      </c>
      <c r="AF17" s="1419" t="str">
        <f ca="1">IFERROR(IF(OR('GHG Calcs'!$AD17="Diesel",'GHG Calcs'!$AD17="Renewable Diesel",'GHG Calcs'!$AD17="Biodiesel"),VLOOKUP('GHG Calcs'!$AH17,'Van C&amp;T EF'!$D$30:$Q$2315,11,0),IF(OR('GHG Calcs'!$AD17="Electric",'GHG Calcs'!$AD17="Hydrogen Fuel Cell",'GHG Calcs'!$AD17="Renewable Electricity"),VLOOKUP('GHG Calcs'!$AH17,'Van C&amp;T EF'!$D$30:$Q$2315,13,0),VLOOKUP('GHG Calcs'!$AH17,'Van C&amp;T EF'!$D$30:$Q$2315,12,0)))/IF('GHG Calcs'!AE17&gt;0,$BG17,1),"")</f>
        <v/>
      </c>
      <c r="AG17" s="306">
        <f ca="1">IFERROR(IF(OR('GHG Calcs'!$AD17="Diesel",'GHG Calcs'!$AD17="Biodiesel",'GHG Calcs'!$AD17="Renewable Diesel"),VLOOKUP('GHG Calcs'!$AH17,'Van C&amp;T EF'!$D$30:$Q$2315,14,0),0)/IF('GHG Calcs'!AE17&gt;0,$BG17,1),"")</f>
        <v>0</v>
      </c>
      <c r="AH17" s="1419" t="str">
        <f ca="1">IFERROR(IF(OR('GHG Calcs'!$AD17="Diesel",'GHG Calcs'!$AD17="Renewable Diesel",'GHG Calcs'!$AD17="Biodiesel"),VLOOKUP('GHG Calcs'!$AH17,'Shuttle C&amp;T EF'!$D$30:$Q$2315,2,0),VLOOKUP('GHG Calcs'!$AH17,'Shuttle C&amp;T EF'!$D$30:$Q$2315,3,0))/IF('GHG Calcs'!AE17&gt;0,$BH17,1),"")</f>
        <v/>
      </c>
      <c r="AI17" s="1419" t="str">
        <f ca="1">IFERROR(IF(OR('GHG Calcs'!$AD17="Diesel",'GHG Calcs'!$AD17="Renewable Diesel",'GHG Calcs'!$AD17="Biodiesel"),VLOOKUP('GHG Calcs'!$AH17,'Shuttle C&amp;T EF'!$D$30:$Q$2315,4,0),VLOOKUP('GHG Calcs'!$AH17,'Shuttle C&amp;T EF'!$D$30:$Q$2315,5,0))/IF('GHG Calcs'!AE17&gt;0,$BH17,1),"")</f>
        <v/>
      </c>
      <c r="AJ17" s="1419" t="str">
        <f ca="1">IFERROR(IF(OR('GHG Calcs'!$AD17="Diesel",'GHG Calcs'!$AD17="Renewable Diesel",'GHG Calcs'!$AD17="Biodiesel"),VLOOKUP('GHG Calcs'!$AH17,'Shuttle C&amp;T EF'!$D$30:$Q$2315,6,0),VLOOKUP('GHG Calcs'!$AH17,'Shuttle C&amp;T EF'!$D$30:$Q$2315,7,0))/IF('GHG Calcs'!AE17&gt;0,$BH17,1),"")</f>
        <v/>
      </c>
      <c r="AK17" s="1419" t="str">
        <f ca="1">IFERROR(IF(OR('GHG Calcs'!$AD17="Diesel",'GHG Calcs'!$AD17="Renewable Diesel",'GHG Calcs'!$AD17="Biodiesel"),VLOOKUP('GHG Calcs'!$AH17,'Shuttle C&amp;T EF'!$D$30:$Q$2315,8,0),IF(OR('GHG Calcs'!$AD17="Electric",'GHG Calcs'!$AD17="Hydrogen Fuel Cell",'GHG Calcs'!$AD17="Renewable Electricity"),VLOOKUP('GHG Calcs'!$AH17,'Shuttle C&amp;T EF'!$D$30:$Q$2315,10,0),VLOOKUP('GHG Calcs'!$AH17,'Shuttle C&amp;T EF'!$D$30:$Q$2315,9,0)))/IF('GHG Calcs'!AE17&gt;0,$BH17,1),"")</f>
        <v/>
      </c>
      <c r="AL17" s="1419" t="str">
        <f ca="1">IFERROR(IF(OR('GHG Calcs'!$AD17="Diesel",'GHG Calcs'!$AD17="Renewable Diesel",'GHG Calcs'!$AD17="Biodiesel"),VLOOKUP('GHG Calcs'!$AH17,'Shuttle C&amp;T EF'!$D$30:$Q$2315,11,0),IF(OR('GHG Calcs'!$AD17="Electric",'GHG Calcs'!$AD17="Hydrogen Fuel Cell",'GHG Calcs'!$AD17="Renewable Electricity"),VLOOKUP('GHG Calcs'!$AH17,'Shuttle C&amp;T EF'!$D$30:$Q$2315,13,0),VLOOKUP('GHG Calcs'!$AH17,'Shuttle C&amp;T EF'!$D$30:$Q$2315,12,0)))/IF('GHG Calcs'!AE17&gt;0,$BH17,1),"")</f>
        <v/>
      </c>
      <c r="AM17" s="1419">
        <f ca="1">IFERROR(IF(OR('GHG Calcs'!$AD17="Diesel",'GHG Calcs'!$AD17="Biodiesel",'GHG Calcs'!$AD17="Renewable Diesel"),VLOOKUP('GHG Calcs'!$AH17,'Shuttle C&amp;T EF'!$D$30:$Q$2315,14,0),0)/IF('GHG Calcs'!AE17&gt;0,$BH17,1),"")</f>
        <v>0</v>
      </c>
      <c r="AN17" s="306" t="str">
        <f ca="1">IFERROR((VLOOKUP('GHG Calcs'!$AH17,'Over-Road Coach C&amp;T EF'!$D$29:$N$2314,2,0)+VLOOKUP('GHG Calcs'!$AH17,'Over-Road Coach C&amp;T EF'!$D$29:$N$2314,3,0))/IF('GHG Calcs'!AE17&gt;0,$BI17,1),"")</f>
        <v/>
      </c>
      <c r="AO17" s="306" t="str">
        <f ca="1">IFERROR((VLOOKUP('GHG Calcs'!$AH17,'Over-Road Coach C&amp;T EF'!$D$29:$N$2314,4,0)+VLOOKUP('GHG Calcs'!$AH17,'Over-Road Coach C&amp;T EF'!$D$29:$N$2314,5,0))/IF('GHG Calcs'!AE17&gt;0,$BI17,1),"")</f>
        <v/>
      </c>
      <c r="AP17" s="306" t="str">
        <f ca="1">IFERROR((VLOOKUP('GHG Calcs'!$AH17,'Over-Road Coach C&amp;T EF'!$D$29:$N$2314,6,0)+VLOOKUP('GHG Calcs'!$AH17,'Over-Road Coach C&amp;T EF'!$D$29:$N$2314,7,0))/IF('GHG Calcs'!AE17&gt;0,$BI17,1),"")</f>
        <v/>
      </c>
      <c r="AQ17" s="306" t="str">
        <f ca="1">IFERROR(VLOOKUP('GHG Calcs'!$AH17,'Over-Road Coach C&amp;T EF'!$D$29:$N$2314,8,0)/IF('GHG Calcs'!AE17&gt;0,$BI17,1),"")</f>
        <v/>
      </c>
      <c r="AR17" s="306" t="str">
        <f ca="1">IFERROR(VLOOKUP('GHG Calcs'!$AH17,'Over-Road Coach C&amp;T EF'!$D$29:$N$2314,9,0)/IF('GHG Calcs'!AE17&gt;0,$BI17,1),"")</f>
        <v/>
      </c>
      <c r="AS17" s="306" t="str">
        <f ca="1">IFERROR((VLOOKUP('GHG Calcs'!$AH17,'Over-Road Coach C&amp;T EF'!$D$29:$N$2314,10,0)+VLOOKUP('GHG Calcs'!$AH17,'Over-Road Coach C&amp;T EF'!$D$29:$N$2314,11,0))/IF('GHG Calcs'!AE17&gt;0,$BI17,1),"")</f>
        <v/>
      </c>
      <c r="AT17" s="306" t="str">
        <f ca="1">IFERROR(VLOOKUP(T17,'Co-Benefit Calcs'!$E$76:$I$83,2,0)/IF('GHG Calcs'!$AE17&gt;0,'Rail C&amp;T EF'!$K$14,1),"")</f>
        <v/>
      </c>
      <c r="AU17" s="306" t="str">
        <f ca="1">IFERROR(VLOOKUP(T17,'Co-Benefit Calcs'!$E$76:$I$83,3,0)/IF('GHG Calcs'!$AE17&gt;0,'Rail C&amp;T EF'!$K$14,1),"")</f>
        <v/>
      </c>
      <c r="AV17" s="306" t="str">
        <f ca="1">IFERROR(VLOOKUP(T17,'Co-Benefit Calcs'!$E$76:$I$83,4,0)/IF('GHG Calcs'!$AE17&gt;0,'Rail C&amp;T EF'!$K$14,1),"")</f>
        <v/>
      </c>
      <c r="AW17" s="306" t="str">
        <f ca="1">IFERROR(IF('GHG Calcs'!$AD17="Gasoline",0,VLOOKUP(T17,'Co-Benefit Calcs'!$E$76:$I$83,5,0))/IF('GHG Calcs'!$AE17&gt;0,'Rail C&amp;T EF'!$K$14,1),"")</f>
        <v/>
      </c>
      <c r="AX17" s="306" t="str">
        <f ca="1">IFERROR(VLOOKUP('GHG Calcs'!$AG17,'Rail C&amp;T EF'!$A$43:$Y$133,IF(U17&gt;750,23, IF(U17&gt;=600,20, IF(U17&gt;=300,17, IF(U17&gt;=175,14, IF(U17&gt;=100,11, IF(U17&gt;=75,8, IF(U17&gt;=50,5, 2))))))),0) * IF($U17&gt;=750,'Rail C&amp;T EF'!$K$18,'Rail C&amp;T EF'!$K$19) * IF('GHG Calcs'!$AE17&gt;0,1,'Rail C&amp;T EF'!$B$149) * IF(OR('GHG Calcs'!AD17="Diesel", 'GHG Calcs'!AD17="Renewable Diesel", 'GHG Calcs'!AD17="Biodiesel"),'Rail C&amp;T EF'!$B$141,'Rail C&amp;T EF'!$B$142),"")</f>
        <v/>
      </c>
      <c r="AY17" s="306" t="str">
        <f ca="1">IFERROR(VLOOKUP('GHG Calcs'!$AG17,'Rail C&amp;T EF'!$A$43:$Y$133,IF(U17&gt;750,24, IF(U17&gt;=600,21, IF(U17&gt;=300,18, IF(U17&gt;=175,15, IF(U17&gt;=100,12, IF(U17&gt;=75,9, IF(U17&gt;=50,6, 3))))))),0) * IF($U17&gt;=750,'Rail C&amp;T EF'!$K$18,'Rail C&amp;T EF'!$K$19) * IF('GHG Calcs'!$AE17&gt;0,1,'Rail C&amp;T EF'!$B$149),"")</f>
        <v/>
      </c>
      <c r="AZ17" s="306" t="str">
        <f ca="1">IFERROR(VLOOKUP('GHG Calcs'!$AG17,'Rail C&amp;T EF'!$A$43:$Y$133,IF(U17&gt;750,25, IF(U17&gt;=600,22, IF(U17&gt;=300,19, IF(U17&gt;=175,16, IF(U17&gt;=100,13, IF(U17&gt;=75,10, IF(U17&gt;=50,7, 4))))))),0) * IF($U17&gt;=750,'Rail C&amp;T EF'!$K$18,'Rail C&amp;T EF'!$K$19) * IF('GHG Calcs'!$AE17&gt;0,1,'Rail C&amp;T EF'!$B$149)*'Rail C&amp;T EF'!$B$146,"")</f>
        <v/>
      </c>
      <c r="BA17" s="306" t="str">
        <f ca="1">IFERROR(IF('GHG Calcs'!$AD17="Gasoline",0,VLOOKUP('GHG Calcs'!$AG17,'Rail C&amp;T EF'!$A$43:$Y$133,IF(U17&gt;750,25, IF(U17&gt;=600,22, IF(U17&gt;=300,19, IF(U17&gt;=175,16, IF(U17&gt;=100,13, IF(U17&gt;=75,10, IF(U17&gt;=50,7, 4))))))),0) * IF($U17&gt;=750,'Rail C&amp;T EF'!$K$18,'Rail C&amp;T EF'!$K$19) * IF('GHG Calcs'!$AE17&gt;0,1,'Rail C&amp;T EF'!$B$149)),"")</f>
        <v/>
      </c>
      <c r="BB17" s="306" t="str">
        <f ca="1">IFERROR(VLOOKUP('GHG Calcs'!$AG17,'Ferry C&amp;T EF'!$A$106:$AK$196,IF(U17&gt;=3301,35, IF(U17&gt;=1901,31, IF(U17&gt;=751,27, IF(U17&gt;=501,23, IF(U17&gt;=251,19, IF(U17&gt;=176,15, IF(U17&gt;=121,11, IF(U17&gt;=51,7, 3)))))))),0),"")</f>
        <v/>
      </c>
      <c r="BC17" s="306" t="str">
        <f ca="1">IFERROR(VLOOKUP('GHG Calcs'!$AG17,'Ferry C&amp;T EF'!$A$106:$AK$196,IF(U17&gt;=3301,34, IF(U17&gt;=1901,30, IF(U17&gt;=751,26, IF(U17&gt;=501,22, IF(U17&gt;=251,18, IF(U17&gt;=176,14, IF(U17&gt;=121,10, IF(U17&gt;=51,6, 2)))))))),0),"")</f>
        <v/>
      </c>
      <c r="BD17" s="306" t="str">
        <f ca="1">IFERROR(VLOOKUP('GHG Calcs'!$AG17,'Ferry C&amp;T EF'!$A$106:$AK$196,IF(U17&gt;=3301,37, IF(U17&gt;=1901,33, IF(U17&gt;=751,29, IF(U17&gt;=501,25, IF(U17&gt;=251,21, IF(U17&gt;=176,17, IF(U17&gt;=121,13, IF(U17&gt;=51,9, 5)))))))),0),"")</f>
        <v/>
      </c>
      <c r="BE17" s="306" t="str">
        <f ca="1">IFERROR(IF('GHG Calcs'!$AD17="Gasoline",0,VLOOKUP('GHG Calcs'!$AG17,'Ferry C&amp;T EF'!$A$106:$AK$196,IF(U17&gt;=3301,36, IF(U17&gt;=1901,32, IF(U17&gt;=751,28, IF(U17&gt;=501,24, IF(U17&gt;=251,20, IF(U17&gt;=176,16, IF(U17&gt;=121,12, IF(U17&gt;=51,8, 4)))))))),0)),"")</f>
        <v/>
      </c>
      <c r="BF17" s="1419" t="str">
        <f ca="1">IFERROR(IF('GHG Calcs'!$AD17="Gasoline",VLOOKUP('GHG Calcs'!$AH17,'Fuel Consumption'!$A$31:$L$2316,3,0),IF(OR('GHG Calcs'!$AD17="CNG",'GHG Calcs'!$AD17="LNG",'GHG Calcs'!$AD17="Renewable Natural Gas"),VLOOKUP('GHG Calcs'!$AH17,'Fuel Consumption'!$A$31:$L$2316,4,0)*VLOOKUP('GHG Calcs'!$AD17,'GHG EF'!$B$10:$H$19,4,0),VLOOKUP('GHG Calcs'!$AH17,'Fuel Consumption'!$A$31:$L$2316,2,0)*VLOOKUP('GHG Calcs'!$AD17,'GHG EF'!$B$10:$H$19,4,0))),"")</f>
        <v/>
      </c>
      <c r="BG17" s="1419" t="str">
        <f ca="1">IFERROR(IF(OR('GHG Calcs'!$AD17="Diesel",'GHG Calcs'!$AD17="Renewable Diesel",'GHG Calcs'!$AD17="Biodiesel"),VLOOKUP('GHG Calcs'!$AH17,'Fuel Consumption'!$A$31:$L$2316,6,0)*VLOOKUP('GHG Calcs'!$AD17,'GHG EF'!$B$10:$H$19,4,0),VLOOKUP('GHG Calcs'!$AH17,'Fuel Consumption'!$A$31:$L$2316,7,0)*VLOOKUP('GHG Calcs'!$AD17,'GHG EF'!$B$10:$H$19,5,0)),"")</f>
        <v/>
      </c>
      <c r="BH17" s="1419" t="str">
        <f ca="1">IFERROR(IF(OR('GHG Calcs'!$AD17="Diesel",'GHG Calcs'!$AD17="Renewable Diesel",'GHG Calcs'!$AD17="Biodiesel"),VLOOKUP('GHG Calcs'!$AH17,'Fuel Consumption'!$A$31:$L$2316,9,0)*VLOOKUP('GHG Calcs'!$AD17,'GHG EF'!$B$10:$H$19,4,0),VLOOKUP('GHG Calcs'!$AH17,'Fuel Consumption'!$A$31:$L$2316,10,0)*VLOOKUP('GHG Calcs'!$AD17,'GHG EF'!$B$10:$H$19,5,0)),"")</f>
        <v/>
      </c>
      <c r="BI17" s="1419" t="str">
        <f ca="1">IFERROR(VLOOKUP('GHG Calcs'!$AH17,'Fuel Consumption'!$A$31:$L$2316,12,0)*VLOOKUP('GHG Calcs'!$AD17,'GHG EF'!$B$10:$H$19,4,0),"")</f>
        <v/>
      </c>
      <c r="BJ17" s="1373" t="str">
        <f ca="1">IFERROR(IF(OR('GHG Calcs'!AD17=Defaults!$I$3, 'GHG Calcs'!AD17=Defaults!$I$4, 'GHG Calcs'!AD17=Defaults!$I$6, 'GHG Calcs'!AD17=Defaults!$I$8), IF('GHG Calcs'!AE17&gt;0,'GHG Calcs'!AE17*IF('GHG Calcs'!AD17=Defaults!$I$3,'GHG EF'!$C$11/'GHG EF'!$C$12,1),'GHG Calcs'!AK17*'GHG Calcs'!AI17),"")*('GHG Calcs'!I17-'GHG Calcs'!H17),"")</f>
        <v/>
      </c>
      <c r="BK17" s="1373" t="str">
        <f ca="1">IFERROR(IF('GHG Calcs'!AD17=Defaults!$I$5,IF('GHG Calcs'!AE17&gt;0,'GHG Calcs'!AE17,'GHG Calcs'!AJ17*'GHG Calcs'!AI17),"")*IF('GHG Calcs'!AF17&lt;'GHG EF'!$D$13,'GHG Calcs'!AF17/'GHG EF'!$D$13,1)*IF('GHG Calcs'!AF17&lt;0,0,1)*('GHG Calcs'!I17-'GHG Calcs'!H17),"")</f>
        <v/>
      </c>
      <c r="BL17" s="1373" t="str">
        <f ca="1">IFERROR(IF('GHG Calcs'!AD17=Defaults!$I$11, IF(IF('GHG Calcs'!AE17&gt;0,'GHG Calcs'!AE17,'GHG Calcs'!AJ17*'GHG Calcs'!AI17)&lt;INDIRECT("'"&amp;#REF!&amp;"'!"&amp;$D17&amp;ROW(#REF!)), IF('GHG Calcs'!AE17&gt;0,'GHG Calcs'!AE17,'GHG Calcs'!AJ17*'GHG Calcs'!AI17), INDIRECT("'"&amp;#REF!&amp;"'!"&amp;$D17&amp;ROW(#REF!))),"")*('GHG Calcs'!I17-'GHG Calcs'!H17),"")</f>
        <v/>
      </c>
      <c r="BM17" s="1420" t="str">
        <f ca="1">IFERROR(IF('GHG Calcs'!AE17&gt;0,'GHG Calcs'!AE17,'GHG Calcs'!AL17*'GHG Calcs'!AI17)*VLOOKUP('GHG Calcs'!AD17,'Fuel &amp; Travel Costs'!$B$10:$C$19,2,0)*('GHG Calcs'!I17-'GHG Calcs'!H17),"")</f>
        <v/>
      </c>
      <c r="BN17" s="306">
        <f ca="1">INDIRECT("'Quantifiable Component "&amp;$B17&amp;"'!"&amp;$D17&amp;ROW('Quantifiable Component 1'!$59:$59))</f>
        <v>0</v>
      </c>
      <c r="BO17" s="306">
        <f ca="1">INDIRECT("'Quantifiable Component "&amp;$B17&amp;"'!"&amp;$D17&amp;ROW('Quantifiable Component 1'!$60:$60))</f>
        <v>0</v>
      </c>
      <c r="BP17" s="1421" t="str">
        <f ca="1">IFERROR(IF('GHG Calcs'!$BD17="Gasoline",VLOOKUP('GHG Calcs'!$BL17,'Bus C&amp;T EF'!$D$30:$V$2315,3,0),IF(OR('GHG Calcs'!$BD17="CNG",'GHG Calcs'!$BD17="LNG",'GHG Calcs'!$BD17="Renewable Natural Gas"),VLOOKUP('GHG Calcs'!$BL17,'Bus C&amp;T EF'!$D$30:$V$2315,4,0),VLOOKUP('GHG Calcs'!$BL17,'Bus C&amp;T EF'!$D$30:$V$2315,2,0)))/IF('GHG Calcs'!BE17&gt;0,$CZ17,1),"")</f>
        <v/>
      </c>
      <c r="BQ17" s="1419" t="str">
        <f ca="1">IFERROR(IF('GHG Calcs'!$BD17="Gasoline",VLOOKUP('GHG Calcs'!$BL17,'Bus C&amp;T EF'!$D$30:$V$2315,6,0),IF(OR('GHG Calcs'!$BD17="CNG",'GHG Calcs'!$BD17="LNG",'GHG Calcs'!$BD17="Renewable Natural Gas"),VLOOKUP('GHG Calcs'!$BL17,'Bus C&amp;T EF'!$D$30:$V$2315,7,0),VLOOKUP('GHG Calcs'!$BL17,'Bus C&amp;T EF'!$D$30:$V$2315,5,0)))/IF('GHG Calcs'!BE17&gt;0,$CZ17,1),"")</f>
        <v/>
      </c>
      <c r="BR17" s="1419" t="str">
        <f ca="1">IFERROR(IF('GHG Calcs'!$BD17="Gasoline",VLOOKUP('GHG Calcs'!$BL17,'Bus C&amp;T EF'!$D$30:$V$2315,9,0),IF(OR('GHG Calcs'!$BD17="CNG",'GHG Calcs'!$BD17="LNG",'GHG Calcs'!$BD17="Renewable Natural Gas"),VLOOKUP('GHG Calcs'!$BL17,'Bus C&amp;T EF'!$D$30:$V$2315,10,0),VLOOKUP('GHG Calcs'!$BL17,'Bus C&amp;T EF'!$D$30:$V$2315,8,0)))/IF('GHG Calcs'!BE17&gt;0,$CZ17,1),"")</f>
        <v/>
      </c>
      <c r="BS17" s="1419" t="str">
        <f ca="1">IFERROR(IF('GHG Calcs'!$BD17="Gasoline",VLOOKUP('GHG Calcs'!$BL17,'Bus C&amp;T EF'!$D$30:$V$2315,12,0),IF(OR('GHG Calcs'!$BD17="CNG",'GHG Calcs'!$BD17="LNG",'GHG Calcs'!$BD17="Renewable Natural Gas"),VLOOKUP('GHG Calcs'!$BL17,'Bus C&amp;T EF'!$D$30:$V$2315,13,0),IF(OR('GHG Calcs'!$BD17="Electric",'GHG Calcs'!$BD17="Hydrogen Fuel Cell",'GHG Calcs'!$BD17="Renewable Electricity"),VLOOKUP('GHG Calcs'!$BL17,'Bus C&amp;T EF'!$D$30:$V$2315,14,0),VLOOKUP('GHG Calcs'!$BL17,'Bus C&amp;T EF'!$D$30:$V$2315,11,0))))/IF('GHG Calcs'!BE17&gt;0,$CZ17,1),"")</f>
        <v/>
      </c>
      <c r="BT17" s="1419" t="str">
        <f ca="1">IFERROR(IF('GHG Calcs'!$BD17="Gasoline",VLOOKUP('GHG Calcs'!$BL17,'Bus C&amp;T EF'!$D$30:$V$2315,16,0),IF(OR('GHG Calcs'!$BD17="CNG",'GHG Calcs'!$BD17="LNG",'GHG Calcs'!$BD17="Renewable Natural Gas"),VLOOKUP('GHG Calcs'!$BL17,'Bus C&amp;T EF'!$D$30:$V$2315,17,0),IF(OR('GHG Calcs'!$BD17="Electric",'GHG Calcs'!$BD17="Hydrogen Fuel Cell",'GHG Calcs'!$BD17="Renewable Electricity"),VLOOKUP('GHG Calcs'!$BL17,'Bus C&amp;T EF'!$D$30:$V$2315,18,0),VLOOKUP('GHG Calcs'!$BL17,'Bus C&amp;T EF'!$D$30:$V$2315,15,0))))/IF('GHG Calcs'!BE17&gt;0,$CZ17,1),"")</f>
        <v/>
      </c>
      <c r="BU17" s="306" t="str">
        <f ca="1">IFERROR(IF('GHG Calcs'!$BD17="Gasoline",0,VLOOKUP('GHG Calcs'!$BL17,'Bus C&amp;T EF'!$D$30:$V$2315,19,0))/IF('GHG Calcs'!BE17&gt;0,$CZ17,1),"")</f>
        <v/>
      </c>
      <c r="BV17" s="1419" t="str">
        <f ca="1">IFERROR(IF(OR('GHG Calcs'!$BD17="Diesel",'GHG Calcs'!$BD17="Renewable Diesel",'GHG Calcs'!$BD17="Biodiesel"),VLOOKUP('GHG Calcs'!$BL17,'Van C&amp;T EF'!$D$30:$Q$2315,2,0),VLOOKUP('GHG Calcs'!$BL17,'Van C&amp;T EF'!$D$30:$Q$2315,3,0))/IF('GHG Calcs'!BE17&gt;0,$DA17,1),"")</f>
        <v/>
      </c>
      <c r="BW17" s="1419" t="str">
        <f ca="1">IFERROR(IF(OR('GHG Calcs'!$BD17="Diesel",'GHG Calcs'!$BD17="Renewable Diesel",'GHG Calcs'!$BD17="Biodiesel"),VLOOKUP('GHG Calcs'!$BL17,'Van C&amp;T EF'!$D$30:$Q$2315,4,0),VLOOKUP('GHG Calcs'!$BL17,'Van C&amp;T EF'!$D$30:$Q$2315,5,0))/IF('GHG Calcs'!BE17&gt;0,$DA17,1),"")</f>
        <v/>
      </c>
      <c r="BX17" s="1419" t="str">
        <f ca="1">IFERROR(IF(OR('GHG Calcs'!$BD17="Diesel",'GHG Calcs'!$BD17="Renewable Diesel",'GHG Calcs'!$BD17="Biodiesel"),VLOOKUP('GHG Calcs'!$BL17,'Van C&amp;T EF'!$D$30:$Q$2315,6,0),VLOOKUP('GHG Calcs'!$BL17,'Van C&amp;T EF'!$D$30:$Q$2315,7,0))/IF('GHG Calcs'!BE17&gt;0,$DA17,1),"")</f>
        <v/>
      </c>
      <c r="BY17" s="1419" t="str">
        <f ca="1">IFERROR(IF(OR('GHG Calcs'!$BD17="Diesel",'GHG Calcs'!$BD17="Renewable Diesel",'GHG Calcs'!$BD17="Biodiesel"),VLOOKUP('GHG Calcs'!$BL17,'Van C&amp;T EF'!$D$30:$Q$2315,8,0),IF(OR('GHG Calcs'!$BD17="Electric",'GHG Calcs'!$BD17="Hydrogen Fuel Cell",'GHG Calcs'!$BD17="Renewable Electricity"),VLOOKUP('GHG Calcs'!$BL17,'Van C&amp;T EF'!$D$30:$Q$2315,10,0),VLOOKUP('GHG Calcs'!$BL17,'Van C&amp;T EF'!$D$30:$Q$2315,9,0)))/IF('GHG Calcs'!BE17&gt;0,$DA17,1),"")</f>
        <v/>
      </c>
      <c r="BZ17" s="1419" t="str">
        <f ca="1">IFERROR(IF(OR('GHG Calcs'!$BD17="Diesel",'GHG Calcs'!$BD17="Renewable Diesel",'GHG Calcs'!$BD17="Biodiesel"),VLOOKUP('GHG Calcs'!$BL17,'Van C&amp;T EF'!$D$30:$Q$2315,11,0),IF(OR('GHG Calcs'!$BD17="Electric",'GHG Calcs'!$BD17="Hydrogen Fuel Cell",'GHG Calcs'!$BD17="Renewable Electricity"),VLOOKUP('GHG Calcs'!$BL17,'Van C&amp;T EF'!$D$30:$Q$2315,13,0),VLOOKUP('GHG Calcs'!$BL17,'Van C&amp;T EF'!$D$30:$Q$2315,12,0)))/IF('GHG Calcs'!BE17&gt;0,$DA17,1),"")</f>
        <v/>
      </c>
      <c r="CA17" s="306">
        <f ca="1">IFERROR(IF(OR('GHG Calcs'!$BD17="Diesel",'GHG Calcs'!$BD17="Biodiesel",'GHG Calcs'!$BD17="Renewable Diesel"),VLOOKUP('GHG Calcs'!$BL17,'Van C&amp;T EF'!$D$30:$Q$2315,14,0),0)/IF('GHG Calcs'!BE17&gt;0,$DA17,1),"")</f>
        <v>0</v>
      </c>
      <c r="CB17" s="1419" t="str">
        <f ca="1">IFERROR(IF(OR('GHG Calcs'!$BD17="Diesel",'GHG Calcs'!$BD17="Renewable Diesel",'GHG Calcs'!$BD17="Biodiesel"),VLOOKUP('GHG Calcs'!$BL17,'Shuttle C&amp;T EF'!$D$30:$Q$2315,2,0),VLOOKUP('GHG Calcs'!$BL17,'Shuttle C&amp;T EF'!$D$30:$Q$2315,3,0))/IF('GHG Calcs'!BE17&gt;0,$DB17,1),"")</f>
        <v/>
      </c>
      <c r="CC17" s="1419" t="str">
        <f ca="1">IFERROR(IF(OR('GHG Calcs'!$BD17="Diesel",'GHG Calcs'!$BD17="Renewable Diesel",'GHG Calcs'!$BD17="Biodiesel"),VLOOKUP('GHG Calcs'!$BL17,'Shuttle C&amp;T EF'!$D$30:$Q$2315,4,0),VLOOKUP('GHG Calcs'!$BL17,'Shuttle C&amp;T EF'!$D$30:$Q$2315,5,0))/IF('GHG Calcs'!BE17&gt;0,$DB17,1),"")</f>
        <v/>
      </c>
      <c r="CD17" s="1419" t="str">
        <f ca="1">IFERROR(IF(OR('GHG Calcs'!$BD17="Diesel",'GHG Calcs'!$BD17="Renewable Diesel",'GHG Calcs'!$BD17="Biodiesel"),VLOOKUP('GHG Calcs'!$BL17,'Shuttle C&amp;T EF'!$D$30:$Q$2315,6,0),VLOOKUP('GHG Calcs'!$BL17,'Shuttle C&amp;T EF'!$D$30:$Q$2315,7,0))/IF('GHG Calcs'!BE17&gt;0,$DB17,1),"")</f>
        <v/>
      </c>
      <c r="CE17" s="1419" t="str">
        <f ca="1">IFERROR(IF(OR('GHG Calcs'!$BD17="Diesel",'GHG Calcs'!$BD17="Renewable Diesel",'GHG Calcs'!$BD17="Biodiesel"),VLOOKUP('GHG Calcs'!$BL17,'Shuttle C&amp;T EF'!$D$30:$Q$2315,8,0),IF(OR('GHG Calcs'!$BD17="Electric",'GHG Calcs'!$BD17="Hydrogen Fuel Cell",'GHG Calcs'!$BD17="Renewable Electricity"),VLOOKUP('GHG Calcs'!$BL17,'Shuttle C&amp;T EF'!$D$30:$Q$2315,10,0),VLOOKUP('GHG Calcs'!$BL17,'Shuttle C&amp;T EF'!$D$30:$Q$2315,9,0)))/IF('GHG Calcs'!BE17&gt;0,$DB17,1),"")</f>
        <v/>
      </c>
      <c r="CF17" s="1419" t="str">
        <f ca="1">IFERROR(IF(OR('GHG Calcs'!$BD17="Diesel",'GHG Calcs'!$BD17="Renewable Diesel",'GHG Calcs'!$BD17="Biodiesel"),VLOOKUP('GHG Calcs'!$BL17,'Shuttle C&amp;T EF'!$D$30:$Q$2315,11,0),IF(OR('GHG Calcs'!$BD17="Electric",'GHG Calcs'!$BD17="Hydrogen Fuel Cell",'GHG Calcs'!$BD17="Renewable Electricity"),VLOOKUP('GHG Calcs'!$BL17,'Shuttle C&amp;T EF'!$D$30:$Q$2315,13,0),VLOOKUP('GHG Calcs'!$BL17,'Shuttle C&amp;T EF'!$D$30:$Q$2315,12,0)))/IF('GHG Calcs'!BE17&gt;0,$DB17,1),"")</f>
        <v/>
      </c>
      <c r="CG17" s="1419">
        <f ca="1">IFERROR(IF(OR('GHG Calcs'!$BD17="Diesel",'GHG Calcs'!$BD17="Biodiesel",'GHG Calcs'!$BD17="Renewable Diesel"),VLOOKUP('GHG Calcs'!$BL17,'Shuttle C&amp;T EF'!$D$30:$Q$2315,14,0),0)/IF('GHG Calcs'!BE17&gt;0,$DB17,1),"")</f>
        <v>0</v>
      </c>
      <c r="CH17" s="306" t="str">
        <f ca="1">IFERROR((VLOOKUP('GHG Calcs'!$BL17,'Over-Road Coach C&amp;T EF'!$D$29:$N$2314,2,0)+VLOOKUP('GHG Calcs'!$BL17,'Over-Road Coach C&amp;T EF'!$D$29:$N$2314,3,0))/IF('GHG Calcs'!BE17&gt;0,$DC17,1),"")</f>
        <v/>
      </c>
      <c r="CI17" s="306" t="str">
        <f ca="1">IFERROR((VLOOKUP('GHG Calcs'!$BL17,'Over-Road Coach C&amp;T EF'!$D$29:$N$2314,4,0)+VLOOKUP('GHG Calcs'!$BL17,'Over-Road Coach C&amp;T EF'!$D$29:$N$2314,5,0))/IF('GHG Calcs'!BE17&gt;0,$DC17,1),"")</f>
        <v/>
      </c>
      <c r="CJ17" s="306" t="str">
        <f ca="1">IFERROR((VLOOKUP('GHG Calcs'!$BL17,'Over-Road Coach C&amp;T EF'!$D$29:$N$2314,6,0)+VLOOKUP('GHG Calcs'!$BL17,'Over-Road Coach C&amp;T EF'!$D$29:$N$2314,7,0))/IF('GHG Calcs'!BE17&gt;0,$DC17,1),"")</f>
        <v/>
      </c>
      <c r="CK17" s="306" t="str">
        <f ca="1">IFERROR(VLOOKUP('GHG Calcs'!$BL17,'Over-Road Coach C&amp;T EF'!$D$29:$N$2314,8,0)/IF('GHG Calcs'!BE17&gt;0,$DC17,1),"")</f>
        <v/>
      </c>
      <c r="CL17" s="306" t="str">
        <f ca="1">IFERROR(VLOOKUP('GHG Calcs'!$BL17,'Over-Road Coach C&amp;T EF'!$D$29:$N$2314,9,0)/IF('GHG Calcs'!BE17&gt;0,$DC17,1),"")</f>
        <v/>
      </c>
      <c r="CM17" s="306" t="str">
        <f ca="1">IFERROR((VLOOKUP('GHG Calcs'!$BL17,'Over-Road Coach C&amp;T EF'!$D$29:$N$2314,10,0)+VLOOKUP('GHG Calcs'!$BL17,'Over-Road Coach C&amp;T EF'!$D$29:$N$2314,11,0))/IF('GHG Calcs'!BE17&gt;0,$DC17,1),"")</f>
        <v/>
      </c>
      <c r="CN17" s="306" t="str">
        <f ca="1">IFERROR(VLOOKUP(BN17,'Co-Benefit Calcs'!$E$76:$I$83,2,0)/IF('GHG Calcs'!$BE17&gt;0,'Rail C&amp;T EF'!$K$14,1),"")</f>
        <v/>
      </c>
      <c r="CO17" s="306" t="str">
        <f ca="1">IFERROR(VLOOKUP(BN17,'Co-Benefit Calcs'!$E$76:$I$83,3,0)/IF('GHG Calcs'!$BE17&gt;0,'Rail C&amp;T EF'!$K$14,1),"")</f>
        <v/>
      </c>
      <c r="CP17" s="306" t="str">
        <f ca="1">IFERROR(VLOOKUP(BN17,'Co-Benefit Calcs'!$E$76:$I$83,4,0)/IF('GHG Calcs'!$BE17&gt;0,'Rail C&amp;T EF'!$K$14,1),"")</f>
        <v/>
      </c>
      <c r="CQ17" s="306" t="str">
        <f ca="1">IFERROR(IF('GHG Calcs'!$BD17="Gasoline",0,VLOOKUP(BN17,'Co-Benefit Calcs'!$E$76:$I$83,5,0))/IF('GHG Calcs'!$BE17&gt;0,'Rail C&amp;T EF'!$K$14,1),"")</f>
        <v/>
      </c>
      <c r="CR17" s="306" t="str">
        <f ca="1">IFERROR(VLOOKUP('GHG Calcs'!$BG17,'Rail C&amp;T EF'!$A$43:$Y$133,IF(BO17&gt;750,23, IF(BO17&gt;=600,20, IF(BO17&gt;=300,17, IF(BO17&gt;=175,14, IF(BO17&gt;=100,11, IF(BO17&gt;=75,8, IF(BO17&gt;=50,5, 2))))))),0) * IF($BO17&gt;=750,'Rail C&amp;T EF'!$K$18,'Rail C&amp;T EF'!$K$19) * IF('GHG Calcs'!BE17&gt;0,1,'Rail C&amp;T EF'!$B$149) * IF(OR('GHG Calcs'!BD17="Diesel", 'GHG Calcs'!BD17="Renewable Diesel", 'GHG Calcs'!BD17="Biodiesel"),'Rail C&amp;T EF'!$B$141,'Rail C&amp;T EF'!$B$142),"")</f>
        <v/>
      </c>
      <c r="CS17" s="306" t="str">
        <f ca="1">IFERROR(VLOOKUP('GHG Calcs'!$BG17,'Rail C&amp;T EF'!$A$43:$Y$133,IF(BO17&gt;750,24, IF(BO17&gt;=600,21, IF(BO17&gt;=300,18, IF(BO17&gt;=175,15, IF(BO17&gt;=100,12, IF(BO17&gt;=75,9, IF(BO17&gt;=50,6, 3))))))),0) * IF($BO17&gt;=750,'Rail C&amp;T EF'!$K$18,'Rail C&amp;T EF'!$K$19) * IF('GHG Calcs'!$BE17&gt;0,1,'Rail C&amp;T EF'!$B$149),"")</f>
        <v/>
      </c>
      <c r="CT17" s="306" t="str">
        <f ca="1">IFERROR(VLOOKUP('GHG Calcs'!$BG17,'Rail C&amp;T EF'!$A$43:$Y$133,IF(BO17&gt;750,25, IF(BO17&gt;=600,22, IF(BO17&gt;=300,19, IF(BO17&gt;=175,16, IF(BO17&gt;=100,13, IF(BO17&gt;=75,10, IF(BO17&gt;=50,7, 4))))))),0) * IF($BO17&gt;=750,'Rail C&amp;T EF'!$K$18,'Rail C&amp;T EF'!$K$19) * IF('GHG Calcs'!$BE17&gt;0,1,'Rail C&amp;T EF'!$B$149)*'Rail C&amp;T EF'!$B$146,"")</f>
        <v/>
      </c>
      <c r="CU17" s="306" t="str">
        <f ca="1">IFERROR(IF('GHG Calcs'!BD17="Gasoline",0,VLOOKUP('GHG Calcs'!$BG17,'Rail C&amp;T EF'!$A$43:$Y$133,IF(BO17&gt;750,25, IF(BO17&gt;=600,22, IF(BO17&gt;=300,19, IF(BO17&gt;=175,16, IF(BO17&gt;=100,13, IF(BO17&gt;=75,10, IF(BO17&gt;=50,7, 4))))))),0) * IF($BO17&gt;=750,'Rail C&amp;T EF'!$K$18,'Rail C&amp;T EF'!$K$19) * IF('GHG Calcs'!$BE17&gt;0,1,'Rail C&amp;T EF'!$B$149)),"")</f>
        <v/>
      </c>
      <c r="CV17" s="306" t="str">
        <f ca="1">IFERROR(VLOOKUP('GHG Calcs'!$BG17,'Ferry C&amp;T EF'!$A$106:$AK$196,IF(BO17&gt;=3301,35, IF(BO17&gt;=1901,31, IF(BO17&gt;=751,27, IF(BO17&gt;=501,23, IF(BO17&gt;=251,19, IF(BO17&gt;=176,15, IF(BO17&gt;=121,11, IF(BO17&gt;=51,7, 3)))))))),0),"")</f>
        <v/>
      </c>
      <c r="CW17" s="306" t="str">
        <f ca="1">IFERROR(VLOOKUP('GHG Calcs'!$BG17,'Ferry C&amp;T EF'!$A$106:$AK$196,IF(BO17&gt;=3301,34, IF(BO17&gt;=1901,30, IF(BO17&gt;=751,26, IF(BO17&gt;=501,22, IF(BO17&gt;=251,18, IF(BO17&gt;=176,14, IF(BO17&gt;=121,10, IF(BO17&gt;=51,6, 2)))))))),0),"")</f>
        <v/>
      </c>
      <c r="CX17" s="306" t="str">
        <f ca="1">IFERROR(VLOOKUP('GHG Calcs'!$BG17,'Ferry C&amp;T EF'!$A$106:$AK$196,IF(BO17&gt;=3301,37, IF(BO17&gt;=1901,33, IF(BO17&gt;=751,29, IF(BO17&gt;=501,25, IF(BO17&gt;=251,21, IF(BO17&gt;=176,17, IF(BO17&gt;=121,13, IF(BO17&gt;=51,9, 5)))))))),0),"")</f>
        <v/>
      </c>
      <c r="CY17" s="306" t="str">
        <f ca="1">IFERROR(IF('GHG Calcs'!$BD17="Gasoline",0,VLOOKUP('GHG Calcs'!$BG17,'Ferry C&amp;T EF'!$A$106:$AK$196,IF(BO17&gt;=3301,36, IF(BO17&gt;=1901,32, IF(BO17&gt;=751,28, IF(BO17&gt;=501,24, IF(BO17&gt;=251,20, IF(BO17&gt;=176,16, IF(BO17&gt;=121,12, IF(BO17&gt;=51,8, 4)))))))),0)),"")</f>
        <v/>
      </c>
      <c r="CZ17" s="1419" t="str">
        <f ca="1">IFERROR(IF('GHG Calcs'!$BD17="Gasoline",VLOOKUP('GHG Calcs'!$BL17,'Fuel Consumption'!$A$31:$L$2316,3,0),IF(OR('GHG Calcs'!$BD17="CNG",'GHG Calcs'!$BD17="LNG",'GHG Calcs'!$BD17="Renewable Natural Gas"),VLOOKUP('GHG Calcs'!$BL17,'Fuel Consumption'!$A$31:$L$2316,4,0)*VLOOKUP('GHG Calcs'!$BD17,'GHG EF'!$B$10:$H$19,4,0),VLOOKUP('GHG Calcs'!$BL17,'Fuel Consumption'!$A$31:$L$2316,2,0)*VLOOKUP('GHG Calcs'!$AD17,'GHG EF'!$B$10:$H$19,4,0))),"")</f>
        <v/>
      </c>
      <c r="DA17" s="1419" t="str">
        <f ca="1">IFERROR(IF(OR('GHG Calcs'!$BD17="Diesel",'GHG Calcs'!$BD17="Renewable Diesel",'GHG Calcs'!$BD17="Biodiesel"),VLOOKUP('GHG Calcs'!$BL17,'Fuel Consumption'!$A$31:$L$2316,6,0)*VLOOKUP('GHG Calcs'!$BD17,'GHG EF'!$B$10:$H$19,4,0),VLOOKUP('GHG Calcs'!$BL17,'Fuel Consumption'!$A$31:$L$2316,7,0)*VLOOKUP('GHG Calcs'!$BD17,'GHG EF'!$B$10:$H$19,5,0)),"")</f>
        <v/>
      </c>
      <c r="DB17" s="1419" t="str">
        <f ca="1">IFERROR(IF(OR('GHG Calcs'!$BD17="Diesel",'GHG Calcs'!$BD17="Renewable Diesel",'GHG Calcs'!$BD17="Biodiesel"),VLOOKUP('GHG Calcs'!$BL17,'Fuel Consumption'!$A$31:$L$2316,9,0)*VLOOKUP('GHG Calcs'!$BD17,'GHG EF'!$B$10:$H$19,4,0),VLOOKUP('GHG Calcs'!$BL17,'Fuel Consumption'!$A$31:$L$2316,10,0)*VLOOKUP('GHG Calcs'!$BD17,'GHG EF'!$B$10:$H$19,5,0)),"")</f>
        <v/>
      </c>
      <c r="DC17" s="1419" t="str">
        <f ca="1">IFERROR(VLOOKUP('GHG Calcs'!$BL17,'Fuel Consumption'!$A$31:$L$2316,12,0)*VLOOKUP('GHG Calcs'!$BD17,'GHG EF'!$B$10:$H$19,4,0),"")</f>
        <v/>
      </c>
      <c r="DD17" s="1373" t="str">
        <f ca="1">IFERROR(IF(OR('GHG Calcs'!BD17=Defaults!$I$3, 'GHG Calcs'!BD17=Defaults!$I$4, 'GHG Calcs'!BD17=Defaults!$I$6, 'GHG Calcs'!BD17=Defaults!$I$8), IF('GHG Calcs'!BE17&gt;0,'GHG Calcs'!BE17*IF('GHG Calcs'!BD17=Defaults!$I$3,'GHG EF'!$C$11/'GHG EF'!$C$12,1),'GHG Calcs'!BJ17*'GHG Calcs'!BH17),"")*('GHG Calcs'!I17-'GHG Calcs'!H17),"")</f>
        <v/>
      </c>
      <c r="DE17" s="1373" t="str">
        <f ca="1">IFERROR(IF('GHG Calcs'!BD17=Defaults!$I$5,IF('GHG Calcs'!BE17&gt;0,'GHG Calcs'!BE17,'GHG Calcs'!BI17*'GHG Calcs'!BH17),"")*('GHG Calcs'!I17-'GHG Calcs'!H17),"")</f>
        <v/>
      </c>
      <c r="DF17" s="1420" t="str">
        <f ca="1">IFERROR(IF('GHG Calcs'!BE17&gt;0,'GHG Calcs'!BE17,'GHG Calcs'!BK17*'GHG Calcs'!BH17)*VLOOKUP('GHG Calcs'!BD17,'Fuel &amp; Travel Costs'!$B$10:$C$19,2,0)*('GHG Calcs'!I17-'GHG Calcs'!H17),"")</f>
        <v/>
      </c>
      <c r="DG17" s="306">
        <f ca="1">INDIRECT("'Quantifiable Component "&amp;$B17&amp;"'!"&amp;$D17&amp;ROW('Quantifiable Component 1'!$70:$70))</f>
        <v>0</v>
      </c>
      <c r="DH17" s="306">
        <f ca="1">INDIRECT("'Quantifiable Component "&amp;$B17&amp;"'!"&amp;$D17&amp;ROW('Quantifiable Component 1'!$71:$71))</f>
        <v>0</v>
      </c>
      <c r="DI17" s="1422" t="str">
        <f ca="1">IFERROR(IF('GHG Calcs'!$CD17="Gasoline",VLOOKUP('GHG Calcs'!$CG17,'Bus C&amp;T EF'!$D$30:$V$2315,3,0),IF(OR('GHG Calcs'!$CD17="CNG",'GHG Calcs'!$CD17="LNG",'GHG Calcs'!$CD17="Renewable Natural Gas"),VLOOKUP('GHG Calcs'!$CG17,'Bus C&amp;T EF'!$D$30:$V$2315,4,0),VLOOKUP('GHG Calcs'!$CG17,'Bus C&amp;T EF'!$D$30:$V$2315,2,0)))/$ES17,"")</f>
        <v/>
      </c>
      <c r="DJ17" s="306" t="str">
        <f ca="1">IFERROR(IF('GHG Calcs'!$CD17="Gasoline",VLOOKUP('GHG Calcs'!$CG17,'Bus C&amp;T EF'!$D$30:$V$2315,6,0),IF(OR('GHG Calcs'!$CD17="CNG",'GHG Calcs'!$CD17="LNG",'GHG Calcs'!$CD17="Renewable Natural Gas"),VLOOKUP('GHG Calcs'!$CG17,'Bus C&amp;T EF'!$D$30:$V$2315,7,0),VLOOKUP('GHG Calcs'!$CG17,'Bus C&amp;T EF'!$D$30:$V$2315,5,0)))/$ES17,"")</f>
        <v/>
      </c>
      <c r="DK17" s="306" t="str">
        <f ca="1">IFERROR(IF('GHG Calcs'!$CD17="Gasoline",VLOOKUP('GHG Calcs'!$CG17,'Bus C&amp;T EF'!$D$30:$V$2315,9,0),IF(OR('GHG Calcs'!$CD17="CNG",'GHG Calcs'!$CD17="LNG",'GHG Calcs'!$CD17="Renewable Natural Gas"),VLOOKUP('GHG Calcs'!$CG17,'Bus C&amp;T EF'!$D$30:$V$2315,10,0),VLOOKUP('GHG Calcs'!$CG17,'Bus C&amp;T EF'!$D$30:$V$2315,8,0)))/$ES17,"")</f>
        <v/>
      </c>
      <c r="DL17" s="306" t="str">
        <f ca="1">IFERROR(IF('GHG Calcs'!$CD17="Gasoline",VLOOKUP('GHG Calcs'!$CG17,'Bus C&amp;T EF'!$D$30:$V$2315,12,0),IF(OR('GHG Calcs'!$CD17="CNG",'GHG Calcs'!$CD17="LNG",'GHG Calcs'!$CD17="Renewable Natural Gas"),VLOOKUP('GHG Calcs'!$CG17,'Bus C&amp;T EF'!$D$30:$V$2315,13,0),IF('GHG Calcs'!$CD17="Electric",VLOOKUP('GHG Calcs'!$CG17,'Bus C&amp;T EF'!$D$30:$V$2315,14,0),VLOOKUP('GHG Calcs'!$CG17,'Bus C&amp;T EF'!$D$30:$V$2315,11,0))))/$ES17,"")</f>
        <v/>
      </c>
      <c r="DM17" s="306" t="str">
        <f ca="1">IFERROR(IF('GHG Calcs'!$CD17="Gasoline",VLOOKUP('GHG Calcs'!$CG17,'Bus C&amp;T EF'!$D$30:$V$2315,16,0),IF(OR('GHG Calcs'!$CD17="CNG",'GHG Calcs'!$CD17="LNG",'GHG Calcs'!$CD17="Renewable Natural Gas"),VLOOKUP('GHG Calcs'!$CG17,'Bus C&amp;T EF'!$D$30:$V$2315,17,0),IF('GHG Calcs'!$CD17="Electric",VLOOKUP('GHG Calcs'!$CG17,'Bus C&amp;T EF'!$D$30:$V$2315,18,0),VLOOKUP('GHG Calcs'!$CG17,'Bus C&amp;T EF'!$D$30:$V$2315,15,0))))/$ES17,"")</f>
        <v/>
      </c>
      <c r="DN17" s="306" t="str">
        <f ca="1">IFERROR(IF('GHG Calcs'!$CD17="Gasoline",0,VLOOKUP('GHG Calcs'!$CG17,'Bus C&amp;T EF'!$D$30:$V$2315,19,0))/$ES17,"")</f>
        <v/>
      </c>
      <c r="DO17" s="1419" t="str">
        <f ca="1">IFERROR(IF(OR('GHG Calcs'!$CD17="Diesel",'GHG Calcs'!$CD17="Renewable Diesel",'GHG Calcs'!$CD17="Biodiesel"),VLOOKUP('GHG Calcs'!$CG17,'Van C&amp;T EF'!$D$30:$Q$2315,2,0),VLOOKUP('GHG Calcs'!$CG17,'Van C&amp;T EF'!$D$30:$Q$2315,3,0))/$ET17,"")</f>
        <v/>
      </c>
      <c r="DP17" s="1419" t="str">
        <f ca="1">IFERROR(IF(OR('GHG Calcs'!$CD17="Diesel",'GHG Calcs'!$CD17="Renewable Diesel",'GHG Calcs'!$CD17="Biodiesel"),VLOOKUP('GHG Calcs'!$CG17,'Van C&amp;T EF'!$D$30:$Q$2315,4,0),VLOOKUP('GHG Calcs'!$CG17,'Van C&amp;T EF'!$D$30:$Q$2315,5,0))/$ET17,"")</f>
        <v/>
      </c>
      <c r="DQ17" s="1419" t="str">
        <f ca="1">IFERROR(IF(OR('GHG Calcs'!$CD17="Diesel",'GHG Calcs'!$CD17="Renewable Diesel",'GHG Calcs'!$CD17="Biodiesel"),VLOOKUP('GHG Calcs'!$CG17,'Van C&amp;T EF'!$D$30:$Q$2315,6,0),VLOOKUP('GHG Calcs'!$CG17,'Van C&amp;T EF'!$D$30:$Q$2315,7,0))/$ET17,"")</f>
        <v/>
      </c>
      <c r="DR17" s="1419" t="str">
        <f ca="1">IFERROR(IF(OR('GHG Calcs'!$CD17="Diesel",'GHG Calcs'!$CD17="Renewable Diesel",'GHG Calcs'!$CD17="Biodiesel"),VLOOKUP('GHG Calcs'!$CG17,'Van C&amp;T EF'!$D$30:$Q$2315,8,0),IF(OR('GHG Calcs'!$CD17="Electric",'GHG Calcs'!$CD17="Hydrogen Fuel Cell",'GHG Calcs'!$CD17="Renewable Electricity"),VLOOKUP('GHG Calcs'!$CG17,'Van C&amp;T EF'!$D$30:$Q$2315,10,0),VLOOKUP('GHG Calcs'!$CG17,'Van C&amp;T EF'!$D$30:$Q$2315,9,0)))/$ET17,"")</f>
        <v/>
      </c>
      <c r="DS17" s="1419" t="str">
        <f ca="1">IFERROR(IF(OR('GHG Calcs'!$CD17="Diesel",'GHG Calcs'!$CD17="Renewable Diesel",'GHG Calcs'!$CD17="Biodiesel"),VLOOKUP('GHG Calcs'!$CG17,'Van C&amp;T EF'!$D$30:$Q$2315,11,0),IF(OR('GHG Calcs'!$CD17="Electric",'GHG Calcs'!$CD17="Hydrogen Fuel Cell",'GHG Calcs'!$CD17="Renewable Electricity"),VLOOKUP('GHG Calcs'!$CG17,'Van C&amp;T EF'!$D$30:$Q$2315,13,0),VLOOKUP('GHG Calcs'!$CG17,'Van C&amp;T EF'!$D$30:$Q$2315,12,0)))/$ET17,"")</f>
        <v/>
      </c>
      <c r="DT17" s="306" t="str">
        <f ca="1">IFERROR(IF(OR('GHG Calcs'!$CD17="Diesel",'GHG Calcs'!$CD17="Biodiesel",'GHG Calcs'!$CD17="Renewable Diesel"),VLOOKUP('GHG Calcs'!$CG17,'Van C&amp;T EF'!$D$30:$Q$2315,14,0),0)/$ET17,"")</f>
        <v/>
      </c>
      <c r="DU17" s="1419" t="str">
        <f ca="1">IFERROR(IF(OR('GHG Calcs'!$CD17="Diesel",'GHG Calcs'!$CD17="Renewable Diesel",'GHG Calcs'!$CD17="Biodiesel"),VLOOKUP('GHG Calcs'!$CG17,'Shuttle C&amp;T EF'!$D$30:$Q$2315,2,0),VLOOKUP('GHG Calcs'!$CG17,'Shuttle C&amp;T EF'!$D$30:$Q$2315,3,0))/$EU17,"")</f>
        <v/>
      </c>
      <c r="DV17" s="1419" t="str">
        <f ca="1">IFERROR(IF(OR('GHG Calcs'!$CD17="Diesel",'GHG Calcs'!$CD17="Renewable Diesel",'GHG Calcs'!$CD17="Biodiesel"),VLOOKUP('GHG Calcs'!$CG17,'Shuttle C&amp;T EF'!$D$30:$Q$2315,4,0),VLOOKUP('GHG Calcs'!$CG17,'Shuttle C&amp;T EF'!$D$30:$Q$2315,5,0))/$EU17,"")</f>
        <v/>
      </c>
      <c r="DW17" s="1419" t="str">
        <f ca="1">IFERROR(IF(OR('GHG Calcs'!$CD17="Diesel",'GHG Calcs'!$CD17="Renewable Diesel",'GHG Calcs'!$CD17="Biodiesel"),VLOOKUP('GHG Calcs'!$CG17,'Shuttle C&amp;T EF'!$D$30:$Q$2315,6,0),VLOOKUP('GHG Calcs'!$CG17,'Shuttle C&amp;T EF'!$D$30:$Q$2315,7,0))/$EU17,"")</f>
        <v/>
      </c>
      <c r="DX17" s="1419" t="str">
        <f ca="1">IFERROR(IF(OR('GHG Calcs'!$CD17="Diesel",'GHG Calcs'!$CD17="Renewable Diesel",'GHG Calcs'!$CD17="Biodiesel"),VLOOKUP('GHG Calcs'!$CG17,'Shuttle C&amp;T EF'!$D$30:$Q$2315,8,0),IF(OR('GHG Calcs'!$CD17="Electric",'GHG Calcs'!$CD17="Hydrogen Fuel Cell",'GHG Calcs'!$CD17="Renewable Electricity"),VLOOKUP('GHG Calcs'!$CG17,'Shuttle C&amp;T EF'!$D$30:$Q$2315,10,0),VLOOKUP('GHG Calcs'!$CG17,'Shuttle C&amp;T EF'!$D$30:$Q$2315,9,0)))/$EU17,"")</f>
        <v/>
      </c>
      <c r="DY17" s="1419" t="str">
        <f ca="1">IFERROR(IF(OR('GHG Calcs'!$CD17="Diesel",'GHG Calcs'!$CD17="Renewable Diesel",'GHG Calcs'!$CD17="Biodiesel"),VLOOKUP('GHG Calcs'!$CG17,'Shuttle C&amp;T EF'!$D$30:$Q$2315,11,0),IF(OR('GHG Calcs'!$CD17="Electric",'GHG Calcs'!$CD17="Hydrogen Fuel Cell",'GHG Calcs'!$CD17="Renewable Electricity"),VLOOKUP('GHG Calcs'!$CG17,'Shuttle C&amp;T EF'!$D$30:$Q$2315,13,0),VLOOKUP('GHG Calcs'!$CG17,'Shuttle C&amp;T EF'!$D$30:$Q$2315,12,0)))/$EU17,"")</f>
        <v/>
      </c>
      <c r="DZ17" s="1419" t="str">
        <f ca="1">IFERROR(IF(OR('GHG Calcs'!$CD17="Diesel",'GHG Calcs'!$CD17="Biodiesel",'GHG Calcs'!$CD17="Renewable Diesel"),VLOOKUP('GHG Calcs'!$CG17,'Shuttle C&amp;T EF'!$D$30:$Q$2315,14,0),0)/$EU17,"")</f>
        <v/>
      </c>
      <c r="EA17" s="306" t="str">
        <f ca="1">IFERROR((VLOOKUP('GHG Calcs'!$CG17,'Over-Road Coach C&amp;T EF'!$D$29:$N$2314,2,0)+VLOOKUP('GHG Calcs'!$CG17,'Over-Road Coach C&amp;T EF'!$D$29:$N$2314,3,0))/$EV17,"")</f>
        <v/>
      </c>
      <c r="EB17" s="306" t="str">
        <f ca="1">IFERROR((VLOOKUP('GHG Calcs'!$CG17,'Over-Road Coach C&amp;T EF'!$D$29:$N$2314,4,0)+VLOOKUP('GHG Calcs'!$CG17,'Over-Road Coach C&amp;T EF'!$D$29:$N$2314,5,0))/$EV17,"")</f>
        <v/>
      </c>
      <c r="EC17" s="306" t="str">
        <f ca="1">IFERROR((VLOOKUP('GHG Calcs'!$CG17,'Over-Road Coach C&amp;T EF'!$D$29:$N$2314,6,0)+VLOOKUP('GHG Calcs'!$CG17,'Over-Road Coach C&amp;T EF'!$D$29:$N$2314,7,0))/$EV17,"")</f>
        <v/>
      </c>
      <c r="ED17" s="306" t="str">
        <f ca="1">IFERROR(VLOOKUP('GHG Calcs'!$CG17,'Over-Road Coach C&amp;T EF'!$D$29:$N$2314,8,0)/$EV17,"")</f>
        <v/>
      </c>
      <c r="EE17" s="306" t="str">
        <f ca="1">IFERROR(VLOOKUP('GHG Calcs'!$CG17,'Over-Road Coach C&amp;T EF'!$D$29:$N$2314,9,0)/$EV17,"")</f>
        <v/>
      </c>
      <c r="EF17" s="306" t="str">
        <f ca="1">IFERROR((VLOOKUP('GHG Calcs'!$CG17,'Over-Road Coach C&amp;T EF'!$D$29:$N$2314,10,0)+VLOOKUP('GHG Calcs'!$CG17,'Over-Road Coach C&amp;T EF'!$D$29:$N$2314,11,0))/$EV17,"")</f>
        <v/>
      </c>
      <c r="EG17" s="306" t="str">
        <f ca="1">IFERROR(VLOOKUP(DG17,'Co-Benefit Calcs'!$E$76:$I$83,2,0)/'Rail C&amp;T EF'!$K$14,"")</f>
        <v/>
      </c>
      <c r="EH17" s="306" t="str">
        <f ca="1">IFERROR(VLOOKUP(DG17,'Co-Benefit Calcs'!$E$76:$I$83,3,0)/'Rail C&amp;T EF'!$K$14,"")</f>
        <v/>
      </c>
      <c r="EI17" s="306" t="str">
        <f ca="1">IFERROR(VLOOKUP(DG17,'Co-Benefit Calcs'!$E$76:$I$83,4,0)/'Rail C&amp;T EF'!$K$14,"")</f>
        <v/>
      </c>
      <c r="EJ17" s="306" t="str">
        <f ca="1">IFERROR(IF('GHG Calcs'!$CD17="Gasoline",0,VLOOKUP(DG17,'Co-Benefit Calcs'!$E$76:$I$83,5,0))/'Rail C&amp;T EF'!$K$14,"")</f>
        <v/>
      </c>
      <c r="EK17" s="306" t="str">
        <f ca="1">IFERROR(VLOOKUP('GHG Calcs'!CF17,'Rail C&amp;T EF'!$A$43:$Y$133,IF(DH17&gt;750,23, IF(DH17&gt;=600,20, IF(DH17&gt;=300,17, IF(DH17&gt;=175,14, IF(DH17&gt;=100,11, IF(DH17&gt;=75,8, IF(DH17&gt;=50,5, 2))))))),0) * IF($DH17&gt;=750,'Rail C&amp;T EF'!$K$18,'Rail C&amp;T EF'!$K$19) * IF(OR('GHG Calcs'!CD17="Diesel", 'GHG Calcs'!CD17="Renewable Diesel", 'GHG Calcs'!CD17="Biodiesel"),'Rail C&amp;T EF'!$B$141,'Rail C&amp;T EF'!$B$142),"")</f>
        <v/>
      </c>
      <c r="EL17" s="306" t="str">
        <f ca="1">IFERROR(VLOOKUP('GHG Calcs'!$CF17,'Rail C&amp;T EF'!$A$43:$Y$133,IF(DH17&gt;750,24, IF(DH17&gt;=600,21, IF(DH17&gt;=300,18, IF(DH17&gt;=175,15, IF(DH17&gt;=100,12, IF(DH17&gt;=75,9, IF(DH17&gt;=50,6, 3))))))),0) * IF($DH17&gt;=750,'Rail C&amp;T EF'!$K$18,'Rail C&amp;T EF'!$K$19),"")</f>
        <v/>
      </c>
      <c r="EM17" s="306" t="str">
        <f ca="1">IFERROR(VLOOKUP('GHG Calcs'!$CF17,'Rail C&amp;T EF'!$A$43:$Y$133,IF(DH17&gt;750,25, IF(DH17&gt;=600,22, IF(DH17&gt;=300,19, IF(DH17&gt;=175,16, IF(DH17&gt;=100,13, IF(DH17&gt;=75,10, IF(DH17&gt;=50,7, 4))))))),0) * IF($DH17&gt;=750,'Rail C&amp;T EF'!$K$18,'Rail C&amp;T EF'!$K$19)*'Rail C&amp;T EF'!$B$146,"")</f>
        <v/>
      </c>
      <c r="EN17" s="306" t="str">
        <f ca="1">IFERROR(IF('GHG Calcs'!CD17="Gasoline",0,VLOOKUP('GHG Calcs'!$CF17,'Rail C&amp;T EF'!$A$43:$Y$133,IF(DH17&gt;750,25, IF(DH17&gt;=600,22, IF(DH17&gt;=300,19, IF(DH17&gt;=175,16, IF(DH17&gt;=100,13, IF(DH17&gt;=75,10, IF(DH17&gt;=50,7, 4))))))),0) * IF($DH17&gt;=750,'Rail C&amp;T EF'!$K$18,'Rail C&amp;T EF'!$K$19)),"")</f>
        <v/>
      </c>
      <c r="EO17" s="306" t="str">
        <f ca="1">IFERROR(VLOOKUP('GHG Calcs'!$CF17,'Ferry C&amp;T EF'!$A$106:$AK$196,IF(DH17&gt;=3301,35, IF(DH17&gt;=1901,31, IF(DH17&gt;=751,27, IF(DH17&gt;=501,23, IF(DH17&gt;=251,19, IF(DH17&gt;=176,15, IF(DH17&gt;=121,11, IF(DH17&gt;=51,7, 3)))))))),0),"")</f>
        <v/>
      </c>
      <c r="EP17" s="306" t="str">
        <f ca="1">IFERROR(VLOOKUP('GHG Calcs'!$CF17,'Ferry C&amp;T EF'!$A$106:$AK$196,IF(DH17&gt;=3301,34, IF(DH17&gt;=1901,30, IF(DH17&gt;=751,26, IF(DH17&gt;=501,22, IF(DH17&gt;=251,18, IF(DH17&gt;=176,14, IF(DH17&gt;=121,10, IF(DH17&gt;=51,6, 2)))))))),0),"")</f>
        <v/>
      </c>
      <c r="EQ17" s="306" t="str">
        <f ca="1">IFERROR(VLOOKUP('GHG Calcs'!$CF17,'Ferry C&amp;T EF'!$A$106:$AK$196,IF(DH17&gt;=3301,37, IF(DH17&gt;=1901,33, IF(DH17&gt;=751,29, IF(DH17&gt;=501,25, IF(DH17&gt;=251,21, IF(DH17&gt;=176,17, IF(DH17&gt;=121,13, IF(DH17&gt;=51,9, 5)))))))),0),"")</f>
        <v/>
      </c>
      <c r="ER17" s="306" t="str">
        <f ca="1">IFERROR(IF('GHG Calcs'!$CD17="Gasoline",0,VLOOKUP('GHG Calcs'!$CF17,'Ferry C&amp;T EF'!$A$106:$AK$196,IF(DH17&gt;=3301,36, IF(DH17&gt;=1901,32, IF(DH17&gt;=751,28, IF(DH17&gt;=501,24, IF(DH17&gt;=251,20, IF(DH17&gt;=176,16, IF(DH17&gt;=121,12, IF(DH17&gt;=51,8, 4)))))))),0)),"")</f>
        <v/>
      </c>
      <c r="ES17" s="1419" t="str">
        <f ca="1">IFERROR(IF('GHG Calcs'!$CD17="Gasoline",VLOOKUP('GHG Calcs'!$CG17,'Fuel Consumption'!$A$31:$L$2316,3,0),IF(OR('GHG Calcs'!$CD17="CNG",'GHG Calcs'!$CD17="LNG",'GHG Calcs'!$CD17="Renewable Natural Gas"),VLOOKUP('GHG Calcs'!$CG17,'Fuel Consumption'!$A$31:$L$2316,4,0)*VLOOKUP('GHG Calcs'!$CD17,'GHG EF'!$B$10:$H$19,4,0),VLOOKUP('GHG Calcs'!$CG17,'Fuel Consumption'!$A$31:$L$2316,2,0)*VLOOKUP('GHG Calcs'!$AD17,'GHG EF'!$B$10:$H$19,4,0))),"")</f>
        <v/>
      </c>
      <c r="ET17" s="1419" t="str">
        <f ca="1">IFERROR(IF(OR('GHG Calcs'!$CD17="Diesel",'GHG Calcs'!$CD17="Renewable Diesel",'GHG Calcs'!$CD17="Biodiesel"),VLOOKUP('GHG Calcs'!$CG17,'Fuel Consumption'!$A$31:$L$2316,6,0)*VLOOKUP('GHG Calcs'!$CD17,'GHG EF'!$B$10:$H$19,4,0),VLOOKUP('GHG Calcs'!$CG17,'Fuel Consumption'!$A$31:$L$2316,7,0)*VLOOKUP('GHG Calcs'!$CD17,'GHG EF'!$B$10:$H$19,5,0)),"")</f>
        <v/>
      </c>
      <c r="EU17" s="1419" t="str">
        <f ca="1">IFERROR(IF(OR('GHG Calcs'!$CD17="Diesel",'GHG Calcs'!$CD17="Renewable Diesel",'GHG Calcs'!$CD17="Biodiesel"),VLOOKUP('GHG Calcs'!$CG17,'Fuel Consumption'!$A$31:$L$2316,9,0)*VLOOKUP('GHG Calcs'!$CD17,'GHG EF'!$B$10:$H$19,4,0),VLOOKUP('GHG Calcs'!$CG17,'Fuel Consumption'!$A$31:$L$2316,10,0)*VLOOKUP('GHG Calcs'!$CD17,'GHG EF'!$B$10:$H$19,5,0)),"")</f>
        <v/>
      </c>
      <c r="EV17" s="1419" t="str">
        <f ca="1">IFERROR(VLOOKUP('GHG Calcs'!$CG17,'Fuel Consumption'!$A$31:$L$2316,12,0)*VLOOKUP('GHG Calcs'!$CD17,'GHG EF'!$B$10:$H$19,4,0),"")</f>
        <v/>
      </c>
      <c r="EW17" s="1373" t="str">
        <f ca="1">IFERROR(IF(OR('GHG Calcs'!CD17=Defaults!$I$4, 'GHG Calcs'!CD17=Defaults!$I$6, 'GHG Calcs'!CD17=Defaults!$I$8),'GHG Calcs'!CE17,IF('GHG Calcs'!CD17=Defaults!$I$3, 'GHG Calcs'!CE17*'GHG EF'!$C$11/'GHG EF'!$C$12,""))*('GHG Calcs'!I17-'GHG Calcs'!H17),"")</f>
        <v/>
      </c>
      <c r="EX17" s="1373" t="str">
        <f ca="1">IFERROR(IF('GHG Calcs'!CD17=Defaults!$I$5,'GHG Calcs'!CE17,"")*('GHG Calcs'!I17-'GHG Calcs'!H17),"")</f>
        <v/>
      </c>
      <c r="EY17" s="1420" t="str">
        <f ca="1">IFERROR('GHG Calcs'!CE17*VLOOKUP('GHG Calcs'!CD17,'Fuel &amp; Travel Costs'!$B$10:$C$19,2,0)*('GHG Calcs'!I17-'GHG Calcs'!H17),"")</f>
        <v/>
      </c>
      <c r="EZ17" s="1420" t="str">
        <f t="shared" ca="1" si="0"/>
        <v/>
      </c>
      <c r="FA17" s="306">
        <f ca="1">INDIRECT("'Quantifiable Component "&amp;$B17&amp;"'!"&amp;$D17&amp;ROW('Quantifiable Component 1'!$77:$77))</f>
        <v>0</v>
      </c>
      <c r="FB17" s="306">
        <f ca="1">INDIRECT("'Quantifiable Component "&amp;$B17&amp;"'!"&amp;$D17&amp;ROW('Quantifiable Component 1'!$78:$78))</f>
        <v>0</v>
      </c>
      <c r="FC17" s="306">
        <f ca="1">INDIRECT("'Quantifiable Component "&amp;$B17&amp;"'!"&amp;$D17&amp;ROW('Quantifiable Component 1'!$79:$79))</f>
        <v>0</v>
      </c>
      <c r="FD17" s="306">
        <f ca="1">INDIRECT("'Quantifiable Component "&amp;$B17&amp;"'!"&amp;$D17&amp;ROW('Quantifiable Component 1'!$80:$80))</f>
        <v>0</v>
      </c>
      <c r="FE17" s="306">
        <f ca="1">INDIRECT("'Quantifiable Component "&amp;$B17&amp;"'!"&amp;$D17&amp;ROW('Quantifiable Component 1'!$81:$81))</f>
        <v>0</v>
      </c>
    </row>
    <row r="18" spans="1:161" s="117" customFormat="1" x14ac:dyDescent="0.35">
      <c r="A18" s="1646">
        <v>3</v>
      </c>
      <c r="B18" s="1367">
        <v>3</v>
      </c>
      <c r="C18" s="1380">
        <v>1</v>
      </c>
      <c r="D18" s="1368" t="str">
        <f>'GHG Calcs'!D18</f>
        <v>E</v>
      </c>
      <c r="E18" s="1416">
        <f ca="1">'GHG Calcs'!U18</f>
        <v>0</v>
      </c>
      <c r="F18" s="1416">
        <f ca="1">'GHG Calcs'!W18</f>
        <v>0</v>
      </c>
      <c r="G18" s="1417" t="str">
        <f ca="1">IFERROR(VLOOKUP('GHG Calcs'!K18,'Auto C&amp;T EF'!$C$35:$K$2662,2,0)*E18,"")</f>
        <v/>
      </c>
      <c r="H18" s="1417" t="str">
        <f ca="1">IFERROR(VLOOKUP('GHG Calcs'!L18,'Auto C&amp;T EF'!$C$35:$K$2662,2,0)*F18,"")</f>
        <v/>
      </c>
      <c r="I18" s="1417" t="str">
        <f ca="1">IFERROR(VLOOKUP('GHG Calcs'!$K18,'Auto C&amp;T EF'!$C$35:$K$2662,3,0)*$E18,"")</f>
        <v/>
      </c>
      <c r="J18" s="1417" t="str">
        <f ca="1">IFERROR(VLOOKUP('GHG Calcs'!$L18,'Auto C&amp;T EF'!$C$35:$K$2662,3,0)*$F18,"")</f>
        <v/>
      </c>
      <c r="K18" s="1417" t="str">
        <f ca="1">IFERROR((VLOOKUP('GHG Calcs'!$K18,'Auto C&amp;T EF'!$C$35:$K$2662,5,0)+VLOOKUP('GHG Calcs'!$K18,'Auto C&amp;T EF'!$C$35:$K$2662,6,0)+VLOOKUP('GHG Calcs'!$K18,'Auto C&amp;T EF'!$C$35:$K$2662,7,0))*$E18,"")</f>
        <v/>
      </c>
      <c r="L18" s="1417" t="str">
        <f ca="1">IFERROR((VLOOKUP('GHG Calcs'!$L18,'Auto C&amp;T EF'!$C$35:$K$2662,5,0)+VLOOKUP('GHG Calcs'!$L18,'Auto C&amp;T EF'!$C$35:$K$2662,6,0)+VLOOKUP('GHG Calcs'!$L18,'Auto C&amp;T EF'!$C$35:$K$2662,7,0))*$F18,"")</f>
        <v/>
      </c>
      <c r="M18" s="1417" t="str">
        <f ca="1">IFERROR(VLOOKUP('GHG Calcs'!$K18,'Auto C&amp;T EF'!$C$35:$K$2662,8,0)*$E18,"")</f>
        <v/>
      </c>
      <c r="N18" s="1417" t="str">
        <f ca="1">IFERROR(VLOOKUP('GHG Calcs'!$L18,'Auto C&amp;T EF'!$C$35:$K$2662,8,0)*$F18,"")</f>
        <v/>
      </c>
      <c r="O18" s="1418">
        <f ca="1">IFERROR(AVERAGE(G18:H18)*('GHG Calcs'!I18-'GHG Calcs'!H18),0)</f>
        <v>0</v>
      </c>
      <c r="P18" s="1418">
        <f ca="1">IFERROR(AVERAGE(I18:J18)*('GHG Calcs'!I18-'GHG Calcs'!H18),0)</f>
        <v>0</v>
      </c>
      <c r="Q18" s="1418">
        <f ca="1">IFERROR(AVERAGE(K18:L18)*('GHG Calcs'!I18-'GHG Calcs'!H18),0)</f>
        <v>0</v>
      </c>
      <c r="R18" s="1418">
        <f ca="1">IFERROR(AVERAGE(M18:N18)*('GHG Calcs'!I18-'GHG Calcs'!H18),0)</f>
        <v>0</v>
      </c>
      <c r="S18" s="1418">
        <f ca="1">IFERROR(AVERAGE(E18*VLOOKUP('GHG Calcs'!K18,'Auto C&amp;T EF'!$C$35:$L$2662,10,0),F18*VLOOKUP('GHG Calcs'!L18,'Auto C&amp;T EF'!$C$35:$L$2662,10,0))*('GHG Calcs'!I18-'GHG Calcs'!H18),0)</f>
        <v>0</v>
      </c>
      <c r="T18" s="1379">
        <f ca="1">INDIRECT("'Quantifiable Component "&amp;$B18&amp;"'!"&amp;$D18&amp;ROW('Quantifiable Component 1'!$47:$47))</f>
        <v>0</v>
      </c>
      <c r="U18" s="1379">
        <f ca="1">INDIRECT("'Quantifiable Component "&amp;$B18&amp;"'!"&amp;$D18&amp;ROW('Quantifiable Component 1'!$48:$48))</f>
        <v>0</v>
      </c>
      <c r="V18" s="306" t="str">
        <f ca="1">IFERROR(IF('GHG Calcs'!$AD18="Gasoline",VLOOKUP('GHG Calcs'!$AH18,'Bus C&amp;T EF'!$D$30:$V$2315,3,0),IF(OR('GHG Calcs'!$AD18="CNG",'GHG Calcs'!$AD18="LNG",'GHG Calcs'!$AD18="Renewable Natural Gas"),VLOOKUP('GHG Calcs'!$AH18,'Bus C&amp;T EF'!$D$30:$V$2315,4,0),VLOOKUP('GHG Calcs'!$AH18,'Bus C&amp;T EF'!$D$30:$V$2315,2,0)))/IF('GHG Calcs'!AE18&gt;0,$BF18,1),"")</f>
        <v/>
      </c>
      <c r="W18" s="306" t="str">
        <f ca="1">IFERROR(IF('GHG Calcs'!$AD18="Gasoline",VLOOKUP('GHG Calcs'!$AH18,'Bus C&amp;T EF'!$D$30:$V$2315,6,0),IF(OR('GHG Calcs'!$AD18="CNG",'GHG Calcs'!$AD18="LNG",'GHG Calcs'!$AD18="Renewable Natural Gas"),VLOOKUP('GHG Calcs'!$AH18,'Bus C&amp;T EF'!$D$30:$V$2315,7,0),VLOOKUP('GHG Calcs'!$AH18,'Bus C&amp;T EF'!$D$30:$V$2315,5,0)))/IF('GHG Calcs'!AE18&gt;0,$BF18,1),"")</f>
        <v/>
      </c>
      <c r="X18" s="1419" t="str">
        <f ca="1">IFERROR(IF('GHG Calcs'!$AD18="Gasoline",VLOOKUP('GHG Calcs'!$AH18,'Bus C&amp;T EF'!$D$30:$V$2315,9,0),IF(OR('GHG Calcs'!$AD18="CNG",'GHG Calcs'!$AD18="LNG",'GHG Calcs'!$AD18="Renewable Natural Gas"),VLOOKUP('GHG Calcs'!$AH18,'Bus C&amp;T EF'!$D$30:$V$2315,10,0),VLOOKUP('GHG Calcs'!$AH18,'Bus C&amp;T EF'!$D$30:$V$2315,8,0)))/IF('GHG Calcs'!AE18&gt;0,$BF18,1),"")</f>
        <v/>
      </c>
      <c r="Y18" s="1419" t="str">
        <f ca="1">IFERROR(IF('GHG Calcs'!$AD18="Gasoline",VLOOKUP('GHG Calcs'!$AH18,'Bus C&amp;T EF'!$D$30:$V$2315,12,0),IF(OR('GHG Calcs'!$AD18="CNG",'GHG Calcs'!$AD18="LNG",'GHG Calcs'!$AD18="Renewable Natural Gas"),VLOOKUP('GHG Calcs'!$AH18,'Bus C&amp;T EF'!$D$30:$V$2315,13,0),IF(OR('GHG Calcs'!$AD18="Electric",'GHG Calcs'!$AD18="Hydrogen Fuel Cell",'GHG Calcs'!$AD18="Renewable Electricity"),VLOOKUP('GHG Calcs'!$AH18,'Bus C&amp;T EF'!$D$30:$V$2315,14,0),VLOOKUP('GHG Calcs'!$AH18,'Bus C&amp;T EF'!$D$30:$V$2315,11,0))))/IF('GHG Calcs'!AE18&gt;0,$BF18,1),"")</f>
        <v/>
      </c>
      <c r="Z18" s="1419" t="str">
        <f ca="1">IFERROR(IF('GHG Calcs'!$AD18="Gasoline",VLOOKUP('GHG Calcs'!$AH18,'Bus C&amp;T EF'!$D$30:$V$2315,16,0),IF(OR('GHG Calcs'!$AD18="CNG",'GHG Calcs'!$AD18="LNG",'GHG Calcs'!$AD18="Renewable Natural Gas"),VLOOKUP('GHG Calcs'!$AH18,'Bus C&amp;T EF'!$D$30:$V$2315,17,0),IF(OR('GHG Calcs'!$AD18="Electric",'GHG Calcs'!$AD18="Hydrogen Fuel Cell",'GHG Calcs'!$AD18="Renewable Electricity"),VLOOKUP('GHG Calcs'!$AH18,'Bus C&amp;T EF'!$D$30:$V$2315,18,0),VLOOKUP('GHG Calcs'!$AH18,'Bus C&amp;T EF'!$D$30:$V$2315,15,0))))/IF('GHG Calcs'!AE18&gt;0,$BF18,1),"")</f>
        <v/>
      </c>
      <c r="AA18" s="306" t="str">
        <f ca="1">IFERROR(IF('GHG Calcs'!$AD18="Gasoline",0,VLOOKUP('GHG Calcs'!$AH18,'Bus C&amp;T EF'!$D$30:$V$2315,19,0))/IF('GHG Calcs'!AE18&gt;0,$BF18,1),"")</f>
        <v/>
      </c>
      <c r="AB18" s="1419" t="str">
        <f ca="1">IFERROR(IF(OR('GHG Calcs'!$AD18="Diesel",'GHG Calcs'!$AD18="Renewable Diesel",'GHG Calcs'!$AD18="Biodiesel"),VLOOKUP('GHG Calcs'!$AH18,'Van C&amp;T EF'!$D$30:$Q$2315,2,0),VLOOKUP('GHG Calcs'!$AH18,'Van C&amp;T EF'!$D$30:$Q$2315,3,0))/IF('GHG Calcs'!AE18&gt;0,$BG18,1),"")</f>
        <v/>
      </c>
      <c r="AC18" s="1419" t="str">
        <f ca="1">IFERROR(IF(OR('GHG Calcs'!$AD18="Diesel",'GHG Calcs'!$AD18="Renewable Diesel",'GHG Calcs'!$AD18="Biodiesel"),VLOOKUP('GHG Calcs'!$AH18,'Van C&amp;T EF'!$D$30:$Q$2315,4,0),VLOOKUP('GHG Calcs'!$AH18,'Van C&amp;T EF'!$D$30:$Q$2315,5,0))/IF('GHG Calcs'!AE18&gt;0,$BG18,1),"")</f>
        <v/>
      </c>
      <c r="AD18" s="1419" t="str">
        <f ca="1">IFERROR(IF(OR('GHG Calcs'!$AD18="Diesel",'GHG Calcs'!$AD18="Renewable Diesel",'GHG Calcs'!$AD18="Biodiesel"),VLOOKUP('GHG Calcs'!$AH18,'Van C&amp;T EF'!$D$30:$Q$2315,6,0),VLOOKUP('GHG Calcs'!$AH18,'Van C&amp;T EF'!$D$30:$Q$2315,7,0))/IF('GHG Calcs'!AE18&gt;0,$BG18,1),"")</f>
        <v/>
      </c>
      <c r="AE18" s="1419" t="str">
        <f ca="1">IFERROR(IF(OR('GHG Calcs'!$AD18="Diesel",'GHG Calcs'!$AD18="Renewable Diesel",'GHG Calcs'!$AD18="Biodiesel"),VLOOKUP('GHG Calcs'!$AH18,'Van C&amp;T EF'!$D$30:$Q$2315,8,0),IF(OR('GHG Calcs'!$AD18="Electric",'GHG Calcs'!$AD18="Hydrogen Fuel Cell",'GHG Calcs'!$AD18="Renewable Electricity"),VLOOKUP('GHG Calcs'!$AH18,'Van C&amp;T EF'!$D$30:$Q$2315,10,0),VLOOKUP('GHG Calcs'!$AH18,'Van C&amp;T EF'!$D$30:$Q$2315,9,0)))/IF('GHG Calcs'!AE18&gt;0,$BG18,1),"")</f>
        <v/>
      </c>
      <c r="AF18" s="1419" t="str">
        <f ca="1">IFERROR(IF(OR('GHG Calcs'!$AD18="Diesel",'GHG Calcs'!$AD18="Renewable Diesel",'GHG Calcs'!$AD18="Biodiesel"),VLOOKUP('GHG Calcs'!$AH18,'Van C&amp;T EF'!$D$30:$Q$2315,11,0),IF(OR('GHG Calcs'!$AD18="Electric",'GHG Calcs'!$AD18="Hydrogen Fuel Cell",'GHG Calcs'!$AD18="Renewable Electricity"),VLOOKUP('GHG Calcs'!$AH18,'Van C&amp;T EF'!$D$30:$Q$2315,13,0),VLOOKUP('GHG Calcs'!$AH18,'Van C&amp;T EF'!$D$30:$Q$2315,12,0)))/IF('GHG Calcs'!AE18&gt;0,$BG18,1),"")</f>
        <v/>
      </c>
      <c r="AG18" s="306">
        <f ca="1">IFERROR(IF(OR('GHG Calcs'!$AD18="Diesel",'GHG Calcs'!$AD18="Biodiesel",'GHG Calcs'!$AD18="Renewable Diesel"),VLOOKUP('GHG Calcs'!$AH18,'Van C&amp;T EF'!$D$30:$Q$2315,14,0),0)/IF('GHG Calcs'!AE18&gt;0,$BG18,1),"")</f>
        <v>0</v>
      </c>
      <c r="AH18" s="1419" t="str">
        <f ca="1">IFERROR(IF(OR('GHG Calcs'!$AD18="Diesel",'GHG Calcs'!$AD18="Renewable Diesel",'GHG Calcs'!$AD18="Biodiesel"),VLOOKUP('GHG Calcs'!$AH18,'Shuttle C&amp;T EF'!$D$30:$Q$2315,2,0),VLOOKUP('GHG Calcs'!$AH18,'Shuttle C&amp;T EF'!$D$30:$Q$2315,3,0))/IF('GHG Calcs'!AE18&gt;0,$BH18,1),"")</f>
        <v/>
      </c>
      <c r="AI18" s="1419" t="str">
        <f ca="1">IFERROR(IF(OR('GHG Calcs'!$AD18="Diesel",'GHG Calcs'!$AD18="Renewable Diesel",'GHG Calcs'!$AD18="Biodiesel"),VLOOKUP('GHG Calcs'!$AH18,'Shuttle C&amp;T EF'!$D$30:$Q$2315,4,0),VLOOKUP('GHG Calcs'!$AH18,'Shuttle C&amp;T EF'!$D$30:$Q$2315,5,0))/IF('GHG Calcs'!AE18&gt;0,$BH18,1),"")</f>
        <v/>
      </c>
      <c r="AJ18" s="1419" t="str">
        <f ca="1">IFERROR(IF(OR('GHG Calcs'!$AD18="Diesel",'GHG Calcs'!$AD18="Renewable Diesel",'GHG Calcs'!$AD18="Biodiesel"),VLOOKUP('GHG Calcs'!$AH18,'Shuttle C&amp;T EF'!$D$30:$Q$2315,6,0),VLOOKUP('GHG Calcs'!$AH18,'Shuttle C&amp;T EF'!$D$30:$Q$2315,7,0))/IF('GHG Calcs'!AE18&gt;0,$BH18,1),"")</f>
        <v/>
      </c>
      <c r="AK18" s="1419" t="str">
        <f ca="1">IFERROR(IF(OR('GHG Calcs'!$AD18="Diesel",'GHG Calcs'!$AD18="Renewable Diesel",'GHG Calcs'!$AD18="Biodiesel"),VLOOKUP('GHG Calcs'!$AH18,'Shuttle C&amp;T EF'!$D$30:$Q$2315,8,0),IF(OR('GHG Calcs'!$AD18="Electric",'GHG Calcs'!$AD18="Hydrogen Fuel Cell",'GHG Calcs'!$AD18="Renewable Electricity"),VLOOKUP('GHG Calcs'!$AH18,'Shuttle C&amp;T EF'!$D$30:$Q$2315,10,0),VLOOKUP('GHG Calcs'!$AH18,'Shuttle C&amp;T EF'!$D$30:$Q$2315,9,0)))/IF('GHG Calcs'!AE18&gt;0,$BH18,1),"")</f>
        <v/>
      </c>
      <c r="AL18" s="1419" t="str">
        <f ca="1">IFERROR(IF(OR('GHG Calcs'!$AD18="Diesel",'GHG Calcs'!$AD18="Renewable Diesel",'GHG Calcs'!$AD18="Biodiesel"),VLOOKUP('GHG Calcs'!$AH18,'Shuttle C&amp;T EF'!$D$30:$Q$2315,11,0),IF(OR('GHG Calcs'!$AD18="Electric",'GHG Calcs'!$AD18="Hydrogen Fuel Cell",'GHG Calcs'!$AD18="Renewable Electricity"),VLOOKUP('GHG Calcs'!$AH18,'Shuttle C&amp;T EF'!$D$30:$Q$2315,13,0),VLOOKUP('GHG Calcs'!$AH18,'Shuttle C&amp;T EF'!$D$30:$Q$2315,12,0)))/IF('GHG Calcs'!AE18&gt;0,$BH18,1),"")</f>
        <v/>
      </c>
      <c r="AM18" s="1419">
        <f ca="1">IFERROR(IF(OR('GHG Calcs'!$AD18="Diesel",'GHG Calcs'!$AD18="Biodiesel",'GHG Calcs'!$AD18="Renewable Diesel"),VLOOKUP('GHG Calcs'!$AH18,'Shuttle C&amp;T EF'!$D$30:$Q$2315,14,0),0)/IF('GHG Calcs'!AE18&gt;0,$BH18,1),"")</f>
        <v>0</v>
      </c>
      <c r="AN18" s="306" t="str">
        <f ca="1">IFERROR((VLOOKUP('GHG Calcs'!$AH18,'Over-Road Coach C&amp;T EF'!$D$29:$N$2314,2,0)+VLOOKUP('GHG Calcs'!$AH18,'Over-Road Coach C&amp;T EF'!$D$29:$N$2314,3,0))/IF('GHG Calcs'!AE18&gt;0,$BI18,1),"")</f>
        <v/>
      </c>
      <c r="AO18" s="306" t="str">
        <f ca="1">IFERROR((VLOOKUP('GHG Calcs'!$AH18,'Over-Road Coach C&amp;T EF'!$D$29:$N$2314,4,0)+VLOOKUP('GHG Calcs'!$AH18,'Over-Road Coach C&amp;T EF'!$D$29:$N$2314,5,0))/IF('GHG Calcs'!AE18&gt;0,$BI18,1),"")</f>
        <v/>
      </c>
      <c r="AP18" s="306" t="str">
        <f ca="1">IFERROR((VLOOKUP('GHG Calcs'!$AH18,'Over-Road Coach C&amp;T EF'!$D$29:$N$2314,6,0)+VLOOKUP('GHG Calcs'!$AH18,'Over-Road Coach C&amp;T EF'!$D$29:$N$2314,7,0))/IF('GHG Calcs'!AE18&gt;0,$BI18,1),"")</f>
        <v/>
      </c>
      <c r="AQ18" s="306" t="str">
        <f ca="1">IFERROR(VLOOKUP('GHG Calcs'!$AH18,'Over-Road Coach C&amp;T EF'!$D$29:$N$2314,8,0)/IF('GHG Calcs'!AE18&gt;0,$BI18,1),"")</f>
        <v/>
      </c>
      <c r="AR18" s="306" t="str">
        <f ca="1">IFERROR(VLOOKUP('GHG Calcs'!$AH18,'Over-Road Coach C&amp;T EF'!$D$29:$N$2314,9,0)/IF('GHG Calcs'!AE18&gt;0,$BI18,1),"")</f>
        <v/>
      </c>
      <c r="AS18" s="306" t="str">
        <f ca="1">IFERROR((VLOOKUP('GHG Calcs'!$AH18,'Over-Road Coach C&amp;T EF'!$D$29:$N$2314,10,0)+VLOOKUP('GHG Calcs'!$AH18,'Over-Road Coach C&amp;T EF'!$D$29:$N$2314,11,0))/IF('GHG Calcs'!AE18&gt;0,$BI18,1),"")</f>
        <v/>
      </c>
      <c r="AT18" s="306" t="str">
        <f ca="1">IFERROR(VLOOKUP(T18,'Co-Benefit Calcs'!$E$76:$I$83,2,0)/IF('GHG Calcs'!$AE18&gt;0,'Rail C&amp;T EF'!$K$14,1),"")</f>
        <v/>
      </c>
      <c r="AU18" s="306" t="str">
        <f ca="1">IFERROR(VLOOKUP(T18,'Co-Benefit Calcs'!$E$76:$I$83,3,0)/IF('GHG Calcs'!$AE18&gt;0,'Rail C&amp;T EF'!$K$14,1),"")</f>
        <v/>
      </c>
      <c r="AV18" s="306" t="str">
        <f ca="1">IFERROR(VLOOKUP(T18,'Co-Benefit Calcs'!$E$76:$I$83,4,0)/IF('GHG Calcs'!$AE18&gt;0,'Rail C&amp;T EF'!$K$14,1),"")</f>
        <v/>
      </c>
      <c r="AW18" s="306" t="str">
        <f ca="1">IFERROR(IF('GHG Calcs'!$AD18="Gasoline",0,VLOOKUP(T18,'Co-Benefit Calcs'!$E$76:$I$83,5,0))/IF('GHG Calcs'!$AE18&gt;0,'Rail C&amp;T EF'!$K$14,1),"")</f>
        <v/>
      </c>
      <c r="AX18" s="306" t="str">
        <f ca="1">IFERROR(VLOOKUP('GHG Calcs'!$AG18,'Rail C&amp;T EF'!$A$43:$Y$133,IF(U18&gt;750,23, IF(U18&gt;=600,20, IF(U18&gt;=300,17, IF(U18&gt;=175,14, IF(U18&gt;=100,11, IF(U18&gt;=75,8, IF(U18&gt;=50,5, 2))))))),0) * IF($U18&gt;=750,'Rail C&amp;T EF'!$K$18,'Rail C&amp;T EF'!$K$19) * IF('GHG Calcs'!$AE18&gt;0,1,'Rail C&amp;T EF'!$B$149) * IF(OR('GHG Calcs'!AD18="Diesel", 'GHG Calcs'!AD18="Renewable Diesel", 'GHG Calcs'!AD18="Biodiesel"),'Rail C&amp;T EF'!$B$141,'Rail C&amp;T EF'!$B$142),"")</f>
        <v/>
      </c>
      <c r="AY18" s="306" t="str">
        <f ca="1">IFERROR(VLOOKUP('GHG Calcs'!$AG18,'Rail C&amp;T EF'!$A$43:$Y$133,IF(U18&gt;750,24, IF(U18&gt;=600,21, IF(U18&gt;=300,18, IF(U18&gt;=175,15, IF(U18&gt;=100,12, IF(U18&gt;=75,9, IF(U18&gt;=50,6, 3))))))),0) * IF($U18&gt;=750,'Rail C&amp;T EF'!$K$18,'Rail C&amp;T EF'!$K$19) * IF('GHG Calcs'!$AE18&gt;0,1,'Rail C&amp;T EF'!$B$149),"")</f>
        <v/>
      </c>
      <c r="AZ18" s="306" t="str">
        <f ca="1">IFERROR(VLOOKUP('GHG Calcs'!$AG18,'Rail C&amp;T EF'!$A$43:$Y$133,IF(U18&gt;750,25, IF(U18&gt;=600,22, IF(U18&gt;=300,19, IF(U18&gt;=175,16, IF(U18&gt;=100,13, IF(U18&gt;=75,10, IF(U18&gt;=50,7, 4))))))),0) * IF($U18&gt;=750,'Rail C&amp;T EF'!$K$18,'Rail C&amp;T EF'!$K$19) * IF('GHG Calcs'!$AE18&gt;0,1,'Rail C&amp;T EF'!$B$149)*'Rail C&amp;T EF'!$B$146,"")</f>
        <v/>
      </c>
      <c r="BA18" s="306" t="str">
        <f ca="1">IFERROR(IF('GHG Calcs'!$AD18="Gasoline",0,VLOOKUP('GHG Calcs'!$AG18,'Rail C&amp;T EF'!$A$43:$Y$133,IF(U18&gt;750,25, IF(U18&gt;=600,22, IF(U18&gt;=300,19, IF(U18&gt;=175,16, IF(U18&gt;=100,13, IF(U18&gt;=75,10, IF(U18&gt;=50,7, 4))))))),0) * IF($U18&gt;=750,'Rail C&amp;T EF'!$K$18,'Rail C&amp;T EF'!$K$19) * IF('GHG Calcs'!$AE18&gt;0,1,'Rail C&amp;T EF'!$B$149)),"")</f>
        <v/>
      </c>
      <c r="BB18" s="306" t="str">
        <f ca="1">IFERROR(VLOOKUP('GHG Calcs'!$AG18,'Ferry C&amp;T EF'!$A$106:$AK$196,IF(U18&gt;=3301,35, IF(U18&gt;=1901,31, IF(U18&gt;=751,27, IF(U18&gt;=501,23, IF(U18&gt;=251,19, IF(U18&gt;=176,15, IF(U18&gt;=121,11, IF(U18&gt;=51,7, 3)))))))),0),"")</f>
        <v/>
      </c>
      <c r="BC18" s="306" t="str">
        <f ca="1">IFERROR(VLOOKUP('GHG Calcs'!$AG18,'Ferry C&amp;T EF'!$A$106:$AK$196,IF(U18&gt;=3301,34, IF(U18&gt;=1901,30, IF(U18&gt;=751,26, IF(U18&gt;=501,22, IF(U18&gt;=251,18, IF(U18&gt;=176,14, IF(U18&gt;=121,10, IF(U18&gt;=51,6, 2)))))))),0),"")</f>
        <v/>
      </c>
      <c r="BD18" s="306" t="str">
        <f ca="1">IFERROR(VLOOKUP('GHG Calcs'!$AG18,'Ferry C&amp;T EF'!$A$106:$AK$196,IF(U18&gt;=3301,37, IF(U18&gt;=1901,33, IF(U18&gt;=751,29, IF(U18&gt;=501,25, IF(U18&gt;=251,21, IF(U18&gt;=176,17, IF(U18&gt;=121,13, IF(U18&gt;=51,9, 5)))))))),0),"")</f>
        <v/>
      </c>
      <c r="BE18" s="306" t="str">
        <f ca="1">IFERROR(IF('GHG Calcs'!$AD18="Gasoline",0,VLOOKUP('GHG Calcs'!$AG18,'Ferry C&amp;T EF'!$A$106:$AK$196,IF(U18&gt;=3301,36, IF(U18&gt;=1901,32, IF(U18&gt;=751,28, IF(U18&gt;=501,24, IF(U18&gt;=251,20, IF(U18&gt;=176,16, IF(U18&gt;=121,12, IF(U18&gt;=51,8, 4)))))))),0)),"")</f>
        <v/>
      </c>
      <c r="BF18" s="1419" t="str">
        <f ca="1">IFERROR(IF('GHG Calcs'!$AD18="Gasoline",VLOOKUP('GHG Calcs'!$AH18,'Fuel Consumption'!$A$31:$L$2316,3,0),IF(OR('GHG Calcs'!$AD18="CNG",'GHG Calcs'!$AD18="LNG",'GHG Calcs'!$AD18="Renewable Natural Gas"),VLOOKUP('GHG Calcs'!$AH18,'Fuel Consumption'!$A$31:$L$2316,4,0)*VLOOKUP('GHG Calcs'!$AD18,'GHG EF'!$B$10:$H$19,4,0),VLOOKUP('GHG Calcs'!$AH18,'Fuel Consumption'!$A$31:$L$2316,2,0)*VLOOKUP('GHG Calcs'!$AD18,'GHG EF'!$B$10:$H$19,4,0))),"")</f>
        <v/>
      </c>
      <c r="BG18" s="1419" t="str">
        <f ca="1">IFERROR(IF(OR('GHG Calcs'!$AD18="Diesel",'GHG Calcs'!$AD18="Renewable Diesel",'GHG Calcs'!$AD18="Biodiesel"),VLOOKUP('GHG Calcs'!$AH18,'Fuel Consumption'!$A$31:$L$2316,6,0)*VLOOKUP('GHG Calcs'!$AD18,'GHG EF'!$B$10:$H$19,4,0),VLOOKUP('GHG Calcs'!$AH18,'Fuel Consumption'!$A$31:$L$2316,7,0)*VLOOKUP('GHG Calcs'!$AD18,'GHG EF'!$B$10:$H$19,5,0)),"")</f>
        <v/>
      </c>
      <c r="BH18" s="1419" t="str">
        <f ca="1">IFERROR(IF(OR('GHG Calcs'!$AD18="Diesel",'GHG Calcs'!$AD18="Renewable Diesel",'GHG Calcs'!$AD18="Biodiesel"),VLOOKUP('GHG Calcs'!$AH18,'Fuel Consumption'!$A$31:$L$2316,9,0)*VLOOKUP('GHG Calcs'!$AD18,'GHG EF'!$B$10:$H$19,4,0),VLOOKUP('GHG Calcs'!$AH18,'Fuel Consumption'!$A$31:$L$2316,10,0)*VLOOKUP('GHG Calcs'!$AD18,'GHG EF'!$B$10:$H$19,5,0)),"")</f>
        <v/>
      </c>
      <c r="BI18" s="1419" t="str">
        <f ca="1">IFERROR(VLOOKUP('GHG Calcs'!$AH18,'Fuel Consumption'!$A$31:$L$2316,12,0)*VLOOKUP('GHG Calcs'!$AD18,'GHG EF'!$B$10:$H$19,4,0),"")</f>
        <v/>
      </c>
      <c r="BJ18" s="1373" t="str">
        <f ca="1">IFERROR(IF(OR('GHG Calcs'!AD18=Defaults!$I$3, 'GHG Calcs'!AD18=Defaults!$I$4, 'GHG Calcs'!AD18=Defaults!$I$6, 'GHG Calcs'!AD18=Defaults!$I$8), IF('GHG Calcs'!AE18&gt;0,'GHG Calcs'!AE18*IF('GHG Calcs'!AD18=Defaults!$I$3,'GHG EF'!$C$11/'GHG EF'!$C$12,1),'GHG Calcs'!AK18*'GHG Calcs'!AI18),"")*('GHG Calcs'!I18-'GHG Calcs'!H18),"")</f>
        <v/>
      </c>
      <c r="BK18" s="1373" t="str">
        <f ca="1">IFERROR(IF('GHG Calcs'!AD18=Defaults!$I$5,IF('GHG Calcs'!AE18&gt;0,'GHG Calcs'!AE18,'GHG Calcs'!AJ18*'GHG Calcs'!AI18),"")*IF('GHG Calcs'!AF18&lt;'GHG EF'!$D$13,'GHG Calcs'!AF18/'GHG EF'!$D$13,1)*IF('GHG Calcs'!AF18&lt;0,0,1)*('GHG Calcs'!I18-'GHG Calcs'!H18),"")</f>
        <v/>
      </c>
      <c r="BL18" s="1373" t="str">
        <f ca="1">IFERROR(IF('GHG Calcs'!AD18=Defaults!$I$11, IF(IF('GHG Calcs'!AE18&gt;0,'GHG Calcs'!AE18,'GHG Calcs'!AJ18*'GHG Calcs'!AI18)&lt;INDIRECT("'"&amp;#REF!&amp;"'!"&amp;$D18&amp;ROW(#REF!)), IF('GHG Calcs'!AE18&gt;0,'GHG Calcs'!AE18,'GHG Calcs'!AJ18*'GHG Calcs'!AI18), INDIRECT("'"&amp;#REF!&amp;"'!"&amp;$D18&amp;ROW(#REF!))),"")*('GHG Calcs'!I18-'GHG Calcs'!H18),"")</f>
        <v/>
      </c>
      <c r="BM18" s="1420" t="str">
        <f ca="1">IFERROR(IF('GHG Calcs'!AE18&gt;0,'GHG Calcs'!AE18,'GHG Calcs'!AL18*'GHG Calcs'!AI18)*VLOOKUP('GHG Calcs'!AD18,'Fuel &amp; Travel Costs'!$B$10:$C$19,2,0)*('GHG Calcs'!I18-'GHG Calcs'!H18),"")</f>
        <v/>
      </c>
      <c r="BN18" s="306">
        <f ca="1">INDIRECT("'Quantifiable Component "&amp;$B18&amp;"'!"&amp;$D18&amp;ROW('Quantifiable Component 1'!$59:$59))</f>
        <v>0</v>
      </c>
      <c r="BO18" s="306">
        <f ca="1">INDIRECT("'Quantifiable Component "&amp;$B18&amp;"'!"&amp;$D18&amp;ROW('Quantifiable Component 1'!$60:$60))</f>
        <v>0</v>
      </c>
      <c r="BP18" s="1421" t="str">
        <f ca="1">IFERROR(IF('GHG Calcs'!$BD18="Gasoline",VLOOKUP('GHG Calcs'!$BL18,'Bus C&amp;T EF'!$D$30:$V$2315,3,0),IF(OR('GHG Calcs'!$BD18="CNG",'GHG Calcs'!$BD18="LNG",'GHG Calcs'!$BD18="Renewable Natural Gas"),VLOOKUP('GHG Calcs'!$BL18,'Bus C&amp;T EF'!$D$30:$V$2315,4,0),VLOOKUP('GHG Calcs'!$BL18,'Bus C&amp;T EF'!$D$30:$V$2315,2,0)))/IF('GHG Calcs'!BE18&gt;0,$CZ18,1),"")</f>
        <v/>
      </c>
      <c r="BQ18" s="1419" t="str">
        <f ca="1">IFERROR(IF('GHG Calcs'!$BD18="Gasoline",VLOOKUP('GHG Calcs'!$BL18,'Bus C&amp;T EF'!$D$30:$V$2315,6,0),IF(OR('GHG Calcs'!$BD18="CNG",'GHG Calcs'!$BD18="LNG",'GHG Calcs'!$BD18="Renewable Natural Gas"),VLOOKUP('GHG Calcs'!$BL18,'Bus C&amp;T EF'!$D$30:$V$2315,7,0),VLOOKUP('GHG Calcs'!$BL18,'Bus C&amp;T EF'!$D$30:$V$2315,5,0)))/IF('GHG Calcs'!BE18&gt;0,$CZ18,1),"")</f>
        <v/>
      </c>
      <c r="BR18" s="1419" t="str">
        <f ca="1">IFERROR(IF('GHG Calcs'!$BD18="Gasoline",VLOOKUP('GHG Calcs'!$BL18,'Bus C&amp;T EF'!$D$30:$V$2315,9,0),IF(OR('GHG Calcs'!$BD18="CNG",'GHG Calcs'!$BD18="LNG",'GHG Calcs'!$BD18="Renewable Natural Gas"),VLOOKUP('GHG Calcs'!$BL18,'Bus C&amp;T EF'!$D$30:$V$2315,10,0),VLOOKUP('GHG Calcs'!$BL18,'Bus C&amp;T EF'!$D$30:$V$2315,8,0)))/IF('GHG Calcs'!BE18&gt;0,$CZ18,1),"")</f>
        <v/>
      </c>
      <c r="BS18" s="1419" t="str">
        <f ca="1">IFERROR(IF('GHG Calcs'!$BD18="Gasoline",VLOOKUP('GHG Calcs'!$BL18,'Bus C&amp;T EF'!$D$30:$V$2315,12,0),IF(OR('GHG Calcs'!$BD18="CNG",'GHG Calcs'!$BD18="LNG",'GHG Calcs'!$BD18="Renewable Natural Gas"),VLOOKUP('GHG Calcs'!$BL18,'Bus C&amp;T EF'!$D$30:$V$2315,13,0),IF(OR('GHG Calcs'!$BD18="Electric",'GHG Calcs'!$BD18="Hydrogen Fuel Cell",'GHG Calcs'!$BD18="Renewable Electricity"),VLOOKUP('GHG Calcs'!$BL18,'Bus C&amp;T EF'!$D$30:$V$2315,14,0),VLOOKUP('GHG Calcs'!$BL18,'Bus C&amp;T EF'!$D$30:$V$2315,11,0))))/IF('GHG Calcs'!BE18&gt;0,$CZ18,1),"")</f>
        <v/>
      </c>
      <c r="BT18" s="1419" t="str">
        <f ca="1">IFERROR(IF('GHG Calcs'!$BD18="Gasoline",VLOOKUP('GHG Calcs'!$BL18,'Bus C&amp;T EF'!$D$30:$V$2315,16,0),IF(OR('GHG Calcs'!$BD18="CNG",'GHG Calcs'!$BD18="LNG",'GHG Calcs'!$BD18="Renewable Natural Gas"),VLOOKUP('GHG Calcs'!$BL18,'Bus C&amp;T EF'!$D$30:$V$2315,17,0),IF(OR('GHG Calcs'!$BD18="Electric",'GHG Calcs'!$BD18="Hydrogen Fuel Cell",'GHG Calcs'!$BD18="Renewable Electricity"),VLOOKUP('GHG Calcs'!$BL18,'Bus C&amp;T EF'!$D$30:$V$2315,18,0),VLOOKUP('GHG Calcs'!$BL18,'Bus C&amp;T EF'!$D$30:$V$2315,15,0))))/IF('GHG Calcs'!BE18&gt;0,$CZ18,1),"")</f>
        <v/>
      </c>
      <c r="BU18" s="306" t="str">
        <f ca="1">IFERROR(IF('GHG Calcs'!$BD18="Gasoline",0,VLOOKUP('GHG Calcs'!$BL18,'Bus C&amp;T EF'!$D$30:$V$2315,19,0))/IF('GHG Calcs'!BE18&gt;0,$CZ18,1),"")</f>
        <v/>
      </c>
      <c r="BV18" s="1419" t="str">
        <f ca="1">IFERROR(IF(OR('GHG Calcs'!$BD18="Diesel",'GHG Calcs'!$BD18="Renewable Diesel",'GHG Calcs'!$BD18="Biodiesel"),VLOOKUP('GHG Calcs'!$BL18,'Van C&amp;T EF'!$D$30:$Q$2315,2,0),VLOOKUP('GHG Calcs'!$BL18,'Van C&amp;T EF'!$D$30:$Q$2315,3,0))/IF('GHG Calcs'!BE18&gt;0,$DA18,1),"")</f>
        <v/>
      </c>
      <c r="BW18" s="1419" t="str">
        <f ca="1">IFERROR(IF(OR('GHG Calcs'!$BD18="Diesel",'GHG Calcs'!$BD18="Renewable Diesel",'GHG Calcs'!$BD18="Biodiesel"),VLOOKUP('GHG Calcs'!$BL18,'Van C&amp;T EF'!$D$30:$Q$2315,4,0),VLOOKUP('GHG Calcs'!$BL18,'Van C&amp;T EF'!$D$30:$Q$2315,5,0))/IF('GHG Calcs'!BE18&gt;0,$DA18,1),"")</f>
        <v/>
      </c>
      <c r="BX18" s="1419" t="str">
        <f ca="1">IFERROR(IF(OR('GHG Calcs'!$BD18="Diesel",'GHG Calcs'!$BD18="Renewable Diesel",'GHG Calcs'!$BD18="Biodiesel"),VLOOKUP('GHG Calcs'!$BL18,'Van C&amp;T EF'!$D$30:$Q$2315,6,0),VLOOKUP('GHG Calcs'!$BL18,'Van C&amp;T EF'!$D$30:$Q$2315,7,0))/IF('GHG Calcs'!BE18&gt;0,$DA18,1),"")</f>
        <v/>
      </c>
      <c r="BY18" s="1419" t="str">
        <f ca="1">IFERROR(IF(OR('GHG Calcs'!$BD18="Diesel",'GHG Calcs'!$BD18="Renewable Diesel",'GHG Calcs'!$BD18="Biodiesel"),VLOOKUP('GHG Calcs'!$BL18,'Van C&amp;T EF'!$D$30:$Q$2315,8,0),IF(OR('GHG Calcs'!$BD18="Electric",'GHG Calcs'!$BD18="Hydrogen Fuel Cell",'GHG Calcs'!$BD18="Renewable Electricity"),VLOOKUP('GHG Calcs'!$BL18,'Van C&amp;T EF'!$D$30:$Q$2315,10,0),VLOOKUP('GHG Calcs'!$BL18,'Van C&amp;T EF'!$D$30:$Q$2315,9,0)))/IF('GHG Calcs'!BE18&gt;0,$DA18,1),"")</f>
        <v/>
      </c>
      <c r="BZ18" s="1419" t="str">
        <f ca="1">IFERROR(IF(OR('GHG Calcs'!$BD18="Diesel",'GHG Calcs'!$BD18="Renewable Diesel",'GHG Calcs'!$BD18="Biodiesel"),VLOOKUP('GHG Calcs'!$BL18,'Van C&amp;T EF'!$D$30:$Q$2315,11,0),IF(OR('GHG Calcs'!$BD18="Electric",'GHG Calcs'!$BD18="Hydrogen Fuel Cell",'GHG Calcs'!$BD18="Renewable Electricity"),VLOOKUP('GHG Calcs'!$BL18,'Van C&amp;T EF'!$D$30:$Q$2315,13,0),VLOOKUP('GHG Calcs'!$BL18,'Van C&amp;T EF'!$D$30:$Q$2315,12,0)))/IF('GHG Calcs'!BE18&gt;0,$DA18,1),"")</f>
        <v/>
      </c>
      <c r="CA18" s="306">
        <f ca="1">IFERROR(IF(OR('GHG Calcs'!$BD18="Diesel",'GHG Calcs'!$BD18="Biodiesel",'GHG Calcs'!$BD18="Renewable Diesel"),VLOOKUP('GHG Calcs'!$BL18,'Van C&amp;T EF'!$D$30:$Q$2315,14,0),0)/IF('GHG Calcs'!BE18&gt;0,$DA18,1),"")</f>
        <v>0</v>
      </c>
      <c r="CB18" s="1419" t="str">
        <f ca="1">IFERROR(IF(OR('GHG Calcs'!$BD18="Diesel",'GHG Calcs'!$BD18="Renewable Diesel",'GHG Calcs'!$BD18="Biodiesel"),VLOOKUP('GHG Calcs'!$BL18,'Shuttle C&amp;T EF'!$D$30:$Q$2315,2,0),VLOOKUP('GHG Calcs'!$BL18,'Shuttle C&amp;T EF'!$D$30:$Q$2315,3,0))/IF('GHG Calcs'!BE18&gt;0,$DB18,1),"")</f>
        <v/>
      </c>
      <c r="CC18" s="1419" t="str">
        <f ca="1">IFERROR(IF(OR('GHG Calcs'!$BD18="Diesel",'GHG Calcs'!$BD18="Renewable Diesel",'GHG Calcs'!$BD18="Biodiesel"),VLOOKUP('GHG Calcs'!$BL18,'Shuttle C&amp;T EF'!$D$30:$Q$2315,4,0),VLOOKUP('GHG Calcs'!$BL18,'Shuttle C&amp;T EF'!$D$30:$Q$2315,5,0))/IF('GHG Calcs'!BE18&gt;0,$DB18,1),"")</f>
        <v/>
      </c>
      <c r="CD18" s="1419" t="str">
        <f ca="1">IFERROR(IF(OR('GHG Calcs'!$BD18="Diesel",'GHG Calcs'!$BD18="Renewable Diesel",'GHG Calcs'!$BD18="Biodiesel"),VLOOKUP('GHG Calcs'!$BL18,'Shuttle C&amp;T EF'!$D$30:$Q$2315,6,0),VLOOKUP('GHG Calcs'!$BL18,'Shuttle C&amp;T EF'!$D$30:$Q$2315,7,0))/IF('GHG Calcs'!BE18&gt;0,$DB18,1),"")</f>
        <v/>
      </c>
      <c r="CE18" s="1419" t="str">
        <f ca="1">IFERROR(IF(OR('GHG Calcs'!$BD18="Diesel",'GHG Calcs'!$BD18="Renewable Diesel",'GHG Calcs'!$BD18="Biodiesel"),VLOOKUP('GHG Calcs'!$BL18,'Shuttle C&amp;T EF'!$D$30:$Q$2315,8,0),IF(OR('GHG Calcs'!$BD18="Electric",'GHG Calcs'!$BD18="Hydrogen Fuel Cell",'GHG Calcs'!$BD18="Renewable Electricity"),VLOOKUP('GHG Calcs'!$BL18,'Shuttle C&amp;T EF'!$D$30:$Q$2315,10,0),VLOOKUP('GHG Calcs'!$BL18,'Shuttle C&amp;T EF'!$D$30:$Q$2315,9,0)))/IF('GHG Calcs'!BE18&gt;0,$DB18,1),"")</f>
        <v/>
      </c>
      <c r="CF18" s="1419" t="str">
        <f ca="1">IFERROR(IF(OR('GHG Calcs'!$BD18="Diesel",'GHG Calcs'!$BD18="Renewable Diesel",'GHG Calcs'!$BD18="Biodiesel"),VLOOKUP('GHG Calcs'!$BL18,'Shuttle C&amp;T EF'!$D$30:$Q$2315,11,0),IF(OR('GHG Calcs'!$BD18="Electric",'GHG Calcs'!$BD18="Hydrogen Fuel Cell",'GHG Calcs'!$BD18="Renewable Electricity"),VLOOKUP('GHG Calcs'!$BL18,'Shuttle C&amp;T EF'!$D$30:$Q$2315,13,0),VLOOKUP('GHG Calcs'!$BL18,'Shuttle C&amp;T EF'!$D$30:$Q$2315,12,0)))/IF('GHG Calcs'!BE18&gt;0,$DB18,1),"")</f>
        <v/>
      </c>
      <c r="CG18" s="1419">
        <f ca="1">IFERROR(IF(OR('GHG Calcs'!$BD18="Diesel",'GHG Calcs'!$BD18="Biodiesel",'GHG Calcs'!$BD18="Renewable Diesel"),VLOOKUP('GHG Calcs'!$BL18,'Shuttle C&amp;T EF'!$D$30:$Q$2315,14,0),0)/IF('GHG Calcs'!BE18&gt;0,$DB18,1),"")</f>
        <v>0</v>
      </c>
      <c r="CH18" s="306" t="str">
        <f ca="1">IFERROR((VLOOKUP('GHG Calcs'!$BL18,'Over-Road Coach C&amp;T EF'!$D$29:$N$2314,2,0)+VLOOKUP('GHG Calcs'!$BL18,'Over-Road Coach C&amp;T EF'!$D$29:$N$2314,3,0))/IF('GHG Calcs'!BE18&gt;0,$DC18,1),"")</f>
        <v/>
      </c>
      <c r="CI18" s="306" t="str">
        <f ca="1">IFERROR((VLOOKUP('GHG Calcs'!$BL18,'Over-Road Coach C&amp;T EF'!$D$29:$N$2314,4,0)+VLOOKUP('GHG Calcs'!$BL18,'Over-Road Coach C&amp;T EF'!$D$29:$N$2314,5,0))/IF('GHG Calcs'!BE18&gt;0,$DC18,1),"")</f>
        <v/>
      </c>
      <c r="CJ18" s="306" t="str">
        <f ca="1">IFERROR((VLOOKUP('GHG Calcs'!$BL18,'Over-Road Coach C&amp;T EF'!$D$29:$N$2314,6,0)+VLOOKUP('GHG Calcs'!$BL18,'Over-Road Coach C&amp;T EF'!$D$29:$N$2314,7,0))/IF('GHG Calcs'!BE18&gt;0,$DC18,1),"")</f>
        <v/>
      </c>
      <c r="CK18" s="306" t="str">
        <f ca="1">IFERROR(VLOOKUP('GHG Calcs'!$BL18,'Over-Road Coach C&amp;T EF'!$D$29:$N$2314,8,0)/IF('GHG Calcs'!BE18&gt;0,$DC18,1),"")</f>
        <v/>
      </c>
      <c r="CL18" s="306" t="str">
        <f ca="1">IFERROR(VLOOKUP('GHG Calcs'!$BL18,'Over-Road Coach C&amp;T EF'!$D$29:$N$2314,9,0)/IF('GHG Calcs'!BE18&gt;0,$DC18,1),"")</f>
        <v/>
      </c>
      <c r="CM18" s="306" t="str">
        <f ca="1">IFERROR((VLOOKUP('GHG Calcs'!$BL18,'Over-Road Coach C&amp;T EF'!$D$29:$N$2314,10,0)+VLOOKUP('GHG Calcs'!$BL18,'Over-Road Coach C&amp;T EF'!$D$29:$N$2314,11,0))/IF('GHG Calcs'!BE18&gt;0,$DC18,1),"")</f>
        <v/>
      </c>
      <c r="CN18" s="306" t="str">
        <f ca="1">IFERROR(VLOOKUP(BN18,'Co-Benefit Calcs'!$E$76:$I$83,2,0)/IF('GHG Calcs'!$BE18&gt;0,'Rail C&amp;T EF'!$K$14,1),"")</f>
        <v/>
      </c>
      <c r="CO18" s="306" t="str">
        <f ca="1">IFERROR(VLOOKUP(BN18,'Co-Benefit Calcs'!$E$76:$I$83,3,0)/IF('GHG Calcs'!$BE18&gt;0,'Rail C&amp;T EF'!$K$14,1),"")</f>
        <v/>
      </c>
      <c r="CP18" s="306" t="str">
        <f ca="1">IFERROR(VLOOKUP(BN18,'Co-Benefit Calcs'!$E$76:$I$83,4,0)/IF('GHG Calcs'!$BE18&gt;0,'Rail C&amp;T EF'!$K$14,1),"")</f>
        <v/>
      </c>
      <c r="CQ18" s="306" t="str">
        <f ca="1">IFERROR(IF('GHG Calcs'!$BD18="Gasoline",0,VLOOKUP(BN18,'Co-Benefit Calcs'!$E$76:$I$83,5,0))/IF('GHG Calcs'!$BE18&gt;0,'Rail C&amp;T EF'!$K$14,1),"")</f>
        <v/>
      </c>
      <c r="CR18" s="306" t="str">
        <f ca="1">IFERROR(VLOOKUP('GHG Calcs'!$BG18,'Rail C&amp;T EF'!$A$43:$Y$133,IF(BO18&gt;750,23, IF(BO18&gt;=600,20, IF(BO18&gt;=300,17, IF(BO18&gt;=175,14, IF(BO18&gt;=100,11, IF(BO18&gt;=75,8, IF(BO18&gt;=50,5, 2))))))),0) * IF($BO18&gt;=750,'Rail C&amp;T EF'!$K$18,'Rail C&amp;T EF'!$K$19) * IF('GHG Calcs'!BE18&gt;0,1,'Rail C&amp;T EF'!$B$149) * IF(OR('GHG Calcs'!BD18="Diesel", 'GHG Calcs'!BD18="Renewable Diesel", 'GHG Calcs'!BD18="Biodiesel"),'Rail C&amp;T EF'!$B$141,'Rail C&amp;T EF'!$B$142),"")</f>
        <v/>
      </c>
      <c r="CS18" s="306" t="str">
        <f ca="1">IFERROR(VLOOKUP('GHG Calcs'!$BG18,'Rail C&amp;T EF'!$A$43:$Y$133,IF(BO18&gt;750,24, IF(BO18&gt;=600,21, IF(BO18&gt;=300,18, IF(BO18&gt;=175,15, IF(BO18&gt;=100,12, IF(BO18&gt;=75,9, IF(BO18&gt;=50,6, 3))))))),0) * IF($BO18&gt;=750,'Rail C&amp;T EF'!$K$18,'Rail C&amp;T EF'!$K$19) * IF('GHG Calcs'!$BE18&gt;0,1,'Rail C&amp;T EF'!$B$149),"")</f>
        <v/>
      </c>
      <c r="CT18" s="306" t="str">
        <f ca="1">IFERROR(VLOOKUP('GHG Calcs'!$BG18,'Rail C&amp;T EF'!$A$43:$Y$133,IF(BO18&gt;750,25, IF(BO18&gt;=600,22, IF(BO18&gt;=300,19, IF(BO18&gt;=175,16, IF(BO18&gt;=100,13, IF(BO18&gt;=75,10, IF(BO18&gt;=50,7, 4))))))),0) * IF($BO18&gt;=750,'Rail C&amp;T EF'!$K$18,'Rail C&amp;T EF'!$K$19) * IF('GHG Calcs'!$BE18&gt;0,1,'Rail C&amp;T EF'!$B$149)*'Rail C&amp;T EF'!$B$146,"")</f>
        <v/>
      </c>
      <c r="CU18" s="306" t="str">
        <f ca="1">IFERROR(IF('GHG Calcs'!BD18="Gasoline",0,VLOOKUP('GHG Calcs'!$BG18,'Rail C&amp;T EF'!$A$43:$Y$133,IF(BO18&gt;750,25, IF(BO18&gt;=600,22, IF(BO18&gt;=300,19, IF(BO18&gt;=175,16, IF(BO18&gt;=100,13, IF(BO18&gt;=75,10, IF(BO18&gt;=50,7, 4))))))),0) * IF($BO18&gt;=750,'Rail C&amp;T EF'!$K$18,'Rail C&amp;T EF'!$K$19) * IF('GHG Calcs'!$BE18&gt;0,1,'Rail C&amp;T EF'!$B$149)),"")</f>
        <v/>
      </c>
      <c r="CV18" s="306" t="str">
        <f ca="1">IFERROR(VLOOKUP('GHG Calcs'!$BG18,'Ferry C&amp;T EF'!$A$106:$AK$196,IF(BO18&gt;=3301,35, IF(BO18&gt;=1901,31, IF(BO18&gt;=751,27, IF(BO18&gt;=501,23, IF(BO18&gt;=251,19, IF(BO18&gt;=176,15, IF(BO18&gt;=121,11, IF(BO18&gt;=51,7, 3)))))))),0),"")</f>
        <v/>
      </c>
      <c r="CW18" s="306" t="str">
        <f ca="1">IFERROR(VLOOKUP('GHG Calcs'!$BG18,'Ferry C&amp;T EF'!$A$106:$AK$196,IF(BO18&gt;=3301,34, IF(BO18&gt;=1901,30, IF(BO18&gt;=751,26, IF(BO18&gt;=501,22, IF(BO18&gt;=251,18, IF(BO18&gt;=176,14, IF(BO18&gt;=121,10, IF(BO18&gt;=51,6, 2)))))))),0),"")</f>
        <v/>
      </c>
      <c r="CX18" s="306" t="str">
        <f ca="1">IFERROR(VLOOKUP('GHG Calcs'!$BG18,'Ferry C&amp;T EF'!$A$106:$AK$196,IF(BO18&gt;=3301,37, IF(BO18&gt;=1901,33, IF(BO18&gt;=751,29, IF(BO18&gt;=501,25, IF(BO18&gt;=251,21, IF(BO18&gt;=176,17, IF(BO18&gt;=121,13, IF(BO18&gt;=51,9, 5)))))))),0),"")</f>
        <v/>
      </c>
      <c r="CY18" s="306" t="str">
        <f ca="1">IFERROR(IF('GHG Calcs'!$BD18="Gasoline",0,VLOOKUP('GHG Calcs'!$BG18,'Ferry C&amp;T EF'!$A$106:$AK$196,IF(BO18&gt;=3301,36, IF(BO18&gt;=1901,32, IF(BO18&gt;=751,28, IF(BO18&gt;=501,24, IF(BO18&gt;=251,20, IF(BO18&gt;=176,16, IF(BO18&gt;=121,12, IF(BO18&gt;=51,8, 4)))))))),0)),"")</f>
        <v/>
      </c>
      <c r="CZ18" s="1419" t="str">
        <f ca="1">IFERROR(IF('GHG Calcs'!$BD18="Gasoline",VLOOKUP('GHG Calcs'!$BL18,'Fuel Consumption'!$A$31:$L$2316,3,0),IF(OR('GHG Calcs'!$BD18="CNG",'GHG Calcs'!$BD18="LNG",'GHG Calcs'!$BD18="Renewable Natural Gas"),VLOOKUP('GHG Calcs'!$BL18,'Fuel Consumption'!$A$31:$L$2316,4,0)*VLOOKUP('GHG Calcs'!$BD18,'GHG EF'!$B$10:$H$19,4,0),VLOOKUP('GHG Calcs'!$BL18,'Fuel Consumption'!$A$31:$L$2316,2,0)*VLOOKUP('GHG Calcs'!$AD18,'GHG EF'!$B$10:$H$19,4,0))),"")</f>
        <v/>
      </c>
      <c r="DA18" s="1419" t="str">
        <f ca="1">IFERROR(IF(OR('GHG Calcs'!$BD18="Diesel",'GHG Calcs'!$BD18="Renewable Diesel",'GHG Calcs'!$BD18="Biodiesel"),VLOOKUP('GHG Calcs'!$BL18,'Fuel Consumption'!$A$31:$L$2316,6,0)*VLOOKUP('GHG Calcs'!$BD18,'GHG EF'!$B$10:$H$19,4,0),VLOOKUP('GHG Calcs'!$BL18,'Fuel Consumption'!$A$31:$L$2316,7,0)*VLOOKUP('GHG Calcs'!$BD18,'GHG EF'!$B$10:$H$19,5,0)),"")</f>
        <v/>
      </c>
      <c r="DB18" s="1419" t="str">
        <f ca="1">IFERROR(IF(OR('GHG Calcs'!$BD18="Diesel",'GHG Calcs'!$BD18="Renewable Diesel",'GHG Calcs'!$BD18="Biodiesel"),VLOOKUP('GHG Calcs'!$BL18,'Fuel Consumption'!$A$31:$L$2316,9,0)*VLOOKUP('GHG Calcs'!$BD18,'GHG EF'!$B$10:$H$19,4,0),VLOOKUP('GHG Calcs'!$BL18,'Fuel Consumption'!$A$31:$L$2316,10,0)*VLOOKUP('GHG Calcs'!$BD18,'GHG EF'!$B$10:$H$19,5,0)),"")</f>
        <v/>
      </c>
      <c r="DC18" s="1419" t="str">
        <f ca="1">IFERROR(VLOOKUP('GHG Calcs'!$BL18,'Fuel Consumption'!$A$31:$L$2316,12,0)*VLOOKUP('GHG Calcs'!$BD18,'GHG EF'!$B$10:$H$19,4,0),"")</f>
        <v/>
      </c>
      <c r="DD18" s="1373" t="str">
        <f ca="1">IFERROR(IF(OR('GHG Calcs'!BD18=Defaults!$I$3, 'GHG Calcs'!BD18=Defaults!$I$4, 'GHG Calcs'!BD18=Defaults!$I$6, 'GHG Calcs'!BD18=Defaults!$I$8), IF('GHG Calcs'!BE18&gt;0,'GHG Calcs'!BE18*IF('GHG Calcs'!BD18=Defaults!$I$3,'GHG EF'!$C$11/'GHG EF'!$C$12,1),'GHG Calcs'!BJ18*'GHG Calcs'!BH18),"")*('GHG Calcs'!I18-'GHG Calcs'!H18),"")</f>
        <v/>
      </c>
      <c r="DE18" s="1373" t="str">
        <f ca="1">IFERROR(IF('GHG Calcs'!BD18=Defaults!$I$5,IF('GHG Calcs'!BE18&gt;0,'GHG Calcs'!BE18,'GHG Calcs'!BI18*'GHG Calcs'!BH18),"")*('GHG Calcs'!I18-'GHG Calcs'!H18),"")</f>
        <v/>
      </c>
      <c r="DF18" s="1420" t="str">
        <f ca="1">IFERROR(IF('GHG Calcs'!BE18&gt;0,'GHG Calcs'!BE18,'GHG Calcs'!BK18*'GHG Calcs'!BH18)*VLOOKUP('GHG Calcs'!BD18,'Fuel &amp; Travel Costs'!$B$10:$C$19,2,0)*('GHG Calcs'!I18-'GHG Calcs'!H18),"")</f>
        <v/>
      </c>
      <c r="DG18" s="306">
        <f ca="1">INDIRECT("'Quantifiable Component "&amp;$B18&amp;"'!"&amp;$D18&amp;ROW('Quantifiable Component 1'!$70:$70))</f>
        <v>0</v>
      </c>
      <c r="DH18" s="306">
        <f ca="1">INDIRECT("'Quantifiable Component "&amp;$B18&amp;"'!"&amp;$D18&amp;ROW('Quantifiable Component 1'!$71:$71))</f>
        <v>0</v>
      </c>
      <c r="DI18" s="1422" t="str">
        <f ca="1">IFERROR(IF('GHG Calcs'!$CD18="Gasoline",VLOOKUP('GHG Calcs'!$CG18,'Bus C&amp;T EF'!$D$30:$V$2315,3,0),IF(OR('GHG Calcs'!$CD18="CNG",'GHG Calcs'!$CD18="LNG",'GHG Calcs'!$CD18="Renewable Natural Gas"),VLOOKUP('GHG Calcs'!$CG18,'Bus C&amp;T EF'!$D$30:$V$2315,4,0),VLOOKUP('GHG Calcs'!$CG18,'Bus C&amp;T EF'!$D$30:$V$2315,2,0)))/$ES18,"")</f>
        <v/>
      </c>
      <c r="DJ18" s="306" t="str">
        <f ca="1">IFERROR(IF('GHG Calcs'!$CD18="Gasoline",VLOOKUP('GHG Calcs'!$CG18,'Bus C&amp;T EF'!$D$30:$V$2315,6,0),IF(OR('GHG Calcs'!$CD18="CNG",'GHG Calcs'!$CD18="LNG",'GHG Calcs'!$CD18="Renewable Natural Gas"),VLOOKUP('GHG Calcs'!$CG18,'Bus C&amp;T EF'!$D$30:$V$2315,7,0),VLOOKUP('GHG Calcs'!$CG18,'Bus C&amp;T EF'!$D$30:$V$2315,5,0)))/$ES18,"")</f>
        <v/>
      </c>
      <c r="DK18" s="306" t="str">
        <f ca="1">IFERROR(IF('GHG Calcs'!$CD18="Gasoline",VLOOKUP('GHG Calcs'!$CG18,'Bus C&amp;T EF'!$D$30:$V$2315,9,0),IF(OR('GHG Calcs'!$CD18="CNG",'GHG Calcs'!$CD18="LNG",'GHG Calcs'!$CD18="Renewable Natural Gas"),VLOOKUP('GHG Calcs'!$CG18,'Bus C&amp;T EF'!$D$30:$V$2315,10,0),VLOOKUP('GHG Calcs'!$CG18,'Bus C&amp;T EF'!$D$30:$V$2315,8,0)))/$ES18,"")</f>
        <v/>
      </c>
      <c r="DL18" s="306" t="str">
        <f ca="1">IFERROR(IF('GHG Calcs'!$CD18="Gasoline",VLOOKUP('GHG Calcs'!$CG18,'Bus C&amp;T EF'!$D$30:$V$2315,12,0),IF(OR('GHG Calcs'!$CD18="CNG",'GHG Calcs'!$CD18="LNG",'GHG Calcs'!$CD18="Renewable Natural Gas"),VLOOKUP('GHG Calcs'!$CG18,'Bus C&amp;T EF'!$D$30:$V$2315,13,0),IF('GHG Calcs'!$CD18="Electric",VLOOKUP('GHG Calcs'!$CG18,'Bus C&amp;T EF'!$D$30:$V$2315,14,0),VLOOKUP('GHG Calcs'!$CG18,'Bus C&amp;T EF'!$D$30:$V$2315,11,0))))/$ES18,"")</f>
        <v/>
      </c>
      <c r="DM18" s="306" t="str">
        <f ca="1">IFERROR(IF('GHG Calcs'!$CD18="Gasoline",VLOOKUP('GHG Calcs'!$CG18,'Bus C&amp;T EF'!$D$30:$V$2315,16,0),IF(OR('GHG Calcs'!$CD18="CNG",'GHG Calcs'!$CD18="LNG",'GHG Calcs'!$CD18="Renewable Natural Gas"),VLOOKUP('GHG Calcs'!$CG18,'Bus C&amp;T EF'!$D$30:$V$2315,17,0),IF('GHG Calcs'!$CD18="Electric",VLOOKUP('GHG Calcs'!$CG18,'Bus C&amp;T EF'!$D$30:$V$2315,18,0),VLOOKUP('GHG Calcs'!$CG18,'Bus C&amp;T EF'!$D$30:$V$2315,15,0))))/$ES18,"")</f>
        <v/>
      </c>
      <c r="DN18" s="306" t="str">
        <f ca="1">IFERROR(IF('GHG Calcs'!$CD18="Gasoline",0,VLOOKUP('GHG Calcs'!$CG18,'Bus C&amp;T EF'!$D$30:$V$2315,19,0))/$ES18,"")</f>
        <v/>
      </c>
      <c r="DO18" s="1419" t="str">
        <f ca="1">IFERROR(IF(OR('GHG Calcs'!$CD18="Diesel",'GHG Calcs'!$CD18="Renewable Diesel",'GHG Calcs'!$CD18="Biodiesel"),VLOOKUP('GHG Calcs'!$CG18,'Van C&amp;T EF'!$D$30:$Q$2315,2,0),VLOOKUP('GHG Calcs'!$CG18,'Van C&amp;T EF'!$D$30:$Q$2315,3,0))/$ET18,"")</f>
        <v/>
      </c>
      <c r="DP18" s="1419" t="str">
        <f ca="1">IFERROR(IF(OR('GHG Calcs'!$CD18="Diesel",'GHG Calcs'!$CD18="Renewable Diesel",'GHG Calcs'!$CD18="Biodiesel"),VLOOKUP('GHG Calcs'!$CG18,'Van C&amp;T EF'!$D$30:$Q$2315,4,0),VLOOKUP('GHG Calcs'!$CG18,'Van C&amp;T EF'!$D$30:$Q$2315,5,0))/$ET18,"")</f>
        <v/>
      </c>
      <c r="DQ18" s="1419" t="str">
        <f ca="1">IFERROR(IF(OR('GHG Calcs'!$CD18="Diesel",'GHG Calcs'!$CD18="Renewable Diesel",'GHG Calcs'!$CD18="Biodiesel"),VLOOKUP('GHG Calcs'!$CG18,'Van C&amp;T EF'!$D$30:$Q$2315,6,0),VLOOKUP('GHG Calcs'!$CG18,'Van C&amp;T EF'!$D$30:$Q$2315,7,0))/$ET18,"")</f>
        <v/>
      </c>
      <c r="DR18" s="1419" t="str">
        <f ca="1">IFERROR(IF(OR('GHG Calcs'!$CD18="Diesel",'GHG Calcs'!$CD18="Renewable Diesel",'GHG Calcs'!$CD18="Biodiesel"),VLOOKUP('GHG Calcs'!$CG18,'Van C&amp;T EF'!$D$30:$Q$2315,8,0),IF(OR('GHG Calcs'!$CD18="Electric",'GHG Calcs'!$CD18="Hydrogen Fuel Cell",'GHG Calcs'!$CD18="Renewable Electricity"),VLOOKUP('GHG Calcs'!$CG18,'Van C&amp;T EF'!$D$30:$Q$2315,10,0),VLOOKUP('GHG Calcs'!$CG18,'Van C&amp;T EF'!$D$30:$Q$2315,9,0)))/$ET18,"")</f>
        <v/>
      </c>
      <c r="DS18" s="1419" t="str">
        <f ca="1">IFERROR(IF(OR('GHG Calcs'!$CD18="Diesel",'GHG Calcs'!$CD18="Renewable Diesel",'GHG Calcs'!$CD18="Biodiesel"),VLOOKUP('GHG Calcs'!$CG18,'Van C&amp;T EF'!$D$30:$Q$2315,11,0),IF(OR('GHG Calcs'!$CD18="Electric",'GHG Calcs'!$CD18="Hydrogen Fuel Cell",'GHG Calcs'!$CD18="Renewable Electricity"),VLOOKUP('GHG Calcs'!$CG18,'Van C&amp;T EF'!$D$30:$Q$2315,13,0),VLOOKUP('GHG Calcs'!$CG18,'Van C&amp;T EF'!$D$30:$Q$2315,12,0)))/$ET18,"")</f>
        <v/>
      </c>
      <c r="DT18" s="306" t="str">
        <f ca="1">IFERROR(IF(OR('GHG Calcs'!$CD18="Diesel",'GHG Calcs'!$CD18="Biodiesel",'GHG Calcs'!$CD18="Renewable Diesel"),VLOOKUP('GHG Calcs'!$CG18,'Van C&amp;T EF'!$D$30:$Q$2315,14,0),0)/$ET18,"")</f>
        <v/>
      </c>
      <c r="DU18" s="1419" t="str">
        <f ca="1">IFERROR(IF(OR('GHG Calcs'!$CD18="Diesel",'GHG Calcs'!$CD18="Renewable Diesel",'GHG Calcs'!$CD18="Biodiesel"),VLOOKUP('GHG Calcs'!$CG18,'Shuttle C&amp;T EF'!$D$30:$Q$2315,2,0),VLOOKUP('GHG Calcs'!$CG18,'Shuttle C&amp;T EF'!$D$30:$Q$2315,3,0))/$EU18,"")</f>
        <v/>
      </c>
      <c r="DV18" s="1419" t="str">
        <f ca="1">IFERROR(IF(OR('GHG Calcs'!$CD18="Diesel",'GHG Calcs'!$CD18="Renewable Diesel",'GHG Calcs'!$CD18="Biodiesel"),VLOOKUP('GHG Calcs'!$CG18,'Shuttle C&amp;T EF'!$D$30:$Q$2315,4,0),VLOOKUP('GHG Calcs'!$CG18,'Shuttle C&amp;T EF'!$D$30:$Q$2315,5,0))/$EU18,"")</f>
        <v/>
      </c>
      <c r="DW18" s="1419" t="str">
        <f ca="1">IFERROR(IF(OR('GHG Calcs'!$CD18="Diesel",'GHG Calcs'!$CD18="Renewable Diesel",'GHG Calcs'!$CD18="Biodiesel"),VLOOKUP('GHG Calcs'!$CG18,'Shuttle C&amp;T EF'!$D$30:$Q$2315,6,0),VLOOKUP('GHG Calcs'!$CG18,'Shuttle C&amp;T EF'!$D$30:$Q$2315,7,0))/$EU18,"")</f>
        <v/>
      </c>
      <c r="DX18" s="1419" t="str">
        <f ca="1">IFERROR(IF(OR('GHG Calcs'!$CD18="Diesel",'GHG Calcs'!$CD18="Renewable Diesel",'GHG Calcs'!$CD18="Biodiesel"),VLOOKUP('GHG Calcs'!$CG18,'Shuttle C&amp;T EF'!$D$30:$Q$2315,8,0),IF(OR('GHG Calcs'!$CD18="Electric",'GHG Calcs'!$CD18="Hydrogen Fuel Cell",'GHG Calcs'!$CD18="Renewable Electricity"),VLOOKUP('GHG Calcs'!$CG18,'Shuttle C&amp;T EF'!$D$30:$Q$2315,10,0),VLOOKUP('GHG Calcs'!$CG18,'Shuttle C&amp;T EF'!$D$30:$Q$2315,9,0)))/$EU18,"")</f>
        <v/>
      </c>
      <c r="DY18" s="1419" t="str">
        <f ca="1">IFERROR(IF(OR('GHG Calcs'!$CD18="Diesel",'GHG Calcs'!$CD18="Renewable Diesel",'GHG Calcs'!$CD18="Biodiesel"),VLOOKUP('GHG Calcs'!$CG18,'Shuttle C&amp;T EF'!$D$30:$Q$2315,11,0),IF(OR('GHG Calcs'!$CD18="Electric",'GHG Calcs'!$CD18="Hydrogen Fuel Cell",'GHG Calcs'!$CD18="Renewable Electricity"),VLOOKUP('GHG Calcs'!$CG18,'Shuttle C&amp;T EF'!$D$30:$Q$2315,13,0),VLOOKUP('GHG Calcs'!$CG18,'Shuttle C&amp;T EF'!$D$30:$Q$2315,12,0)))/$EU18,"")</f>
        <v/>
      </c>
      <c r="DZ18" s="1419" t="str">
        <f ca="1">IFERROR(IF(OR('GHG Calcs'!$CD18="Diesel",'GHG Calcs'!$CD18="Biodiesel",'GHG Calcs'!$CD18="Renewable Diesel"),VLOOKUP('GHG Calcs'!$CG18,'Shuttle C&amp;T EF'!$D$30:$Q$2315,14,0),0)/$EU18,"")</f>
        <v/>
      </c>
      <c r="EA18" s="306" t="str">
        <f ca="1">IFERROR((VLOOKUP('GHG Calcs'!$CG18,'Over-Road Coach C&amp;T EF'!$D$29:$N$2314,2,0)+VLOOKUP('GHG Calcs'!$CG18,'Over-Road Coach C&amp;T EF'!$D$29:$N$2314,3,0))/$EV18,"")</f>
        <v/>
      </c>
      <c r="EB18" s="306" t="str">
        <f ca="1">IFERROR((VLOOKUP('GHG Calcs'!$CG18,'Over-Road Coach C&amp;T EF'!$D$29:$N$2314,4,0)+VLOOKUP('GHG Calcs'!$CG18,'Over-Road Coach C&amp;T EF'!$D$29:$N$2314,5,0))/$EV18,"")</f>
        <v/>
      </c>
      <c r="EC18" s="306" t="str">
        <f ca="1">IFERROR((VLOOKUP('GHG Calcs'!$CG18,'Over-Road Coach C&amp;T EF'!$D$29:$N$2314,6,0)+VLOOKUP('GHG Calcs'!$CG18,'Over-Road Coach C&amp;T EF'!$D$29:$N$2314,7,0))/$EV18,"")</f>
        <v/>
      </c>
      <c r="ED18" s="306" t="str">
        <f ca="1">IFERROR(VLOOKUP('GHG Calcs'!$CG18,'Over-Road Coach C&amp;T EF'!$D$29:$N$2314,8,0)/$EV18,"")</f>
        <v/>
      </c>
      <c r="EE18" s="306" t="str">
        <f ca="1">IFERROR(VLOOKUP('GHG Calcs'!$CG18,'Over-Road Coach C&amp;T EF'!$D$29:$N$2314,9,0)/$EV18,"")</f>
        <v/>
      </c>
      <c r="EF18" s="306" t="str">
        <f ca="1">IFERROR((VLOOKUP('GHG Calcs'!$CG18,'Over-Road Coach C&amp;T EF'!$D$29:$N$2314,10,0)+VLOOKUP('GHG Calcs'!$CG18,'Over-Road Coach C&amp;T EF'!$D$29:$N$2314,11,0))/$EV18,"")</f>
        <v/>
      </c>
      <c r="EG18" s="306" t="str">
        <f ca="1">IFERROR(VLOOKUP(DG18,'Co-Benefit Calcs'!$E$76:$I$83,2,0)/'Rail C&amp;T EF'!$K$14,"")</f>
        <v/>
      </c>
      <c r="EH18" s="306" t="str">
        <f ca="1">IFERROR(VLOOKUP(DG18,'Co-Benefit Calcs'!$E$76:$I$83,3,0)/'Rail C&amp;T EF'!$K$14,"")</f>
        <v/>
      </c>
      <c r="EI18" s="306" t="str">
        <f ca="1">IFERROR(VLOOKUP(DG18,'Co-Benefit Calcs'!$E$76:$I$83,4,0)/'Rail C&amp;T EF'!$K$14,"")</f>
        <v/>
      </c>
      <c r="EJ18" s="306" t="str">
        <f ca="1">IFERROR(IF('GHG Calcs'!$CD18="Gasoline",0,VLOOKUP(DG18,'Co-Benefit Calcs'!$E$76:$I$83,5,0))/'Rail C&amp;T EF'!$K$14,"")</f>
        <v/>
      </c>
      <c r="EK18" s="306" t="str">
        <f ca="1">IFERROR(VLOOKUP('GHG Calcs'!CF18,'Rail C&amp;T EF'!$A$43:$Y$133,IF(DH18&gt;750,23, IF(DH18&gt;=600,20, IF(DH18&gt;=300,17, IF(DH18&gt;=175,14, IF(DH18&gt;=100,11, IF(DH18&gt;=75,8, IF(DH18&gt;=50,5, 2))))))),0) * IF($DH18&gt;=750,'Rail C&amp;T EF'!$K$18,'Rail C&amp;T EF'!$K$19) * IF(OR('GHG Calcs'!CD18="Diesel", 'GHG Calcs'!CD18="Renewable Diesel", 'GHG Calcs'!CD18="Biodiesel"),'Rail C&amp;T EF'!$B$141,'Rail C&amp;T EF'!$B$142),"")</f>
        <v/>
      </c>
      <c r="EL18" s="306" t="str">
        <f ca="1">IFERROR(VLOOKUP('GHG Calcs'!$CF18,'Rail C&amp;T EF'!$A$43:$Y$133,IF(DH18&gt;750,24, IF(DH18&gt;=600,21, IF(DH18&gt;=300,18, IF(DH18&gt;=175,15, IF(DH18&gt;=100,12, IF(DH18&gt;=75,9, IF(DH18&gt;=50,6, 3))))))),0) * IF($DH18&gt;=750,'Rail C&amp;T EF'!$K$18,'Rail C&amp;T EF'!$K$19),"")</f>
        <v/>
      </c>
      <c r="EM18" s="306" t="str">
        <f ca="1">IFERROR(VLOOKUP('GHG Calcs'!$CF18,'Rail C&amp;T EF'!$A$43:$Y$133,IF(DH18&gt;750,25, IF(DH18&gt;=600,22, IF(DH18&gt;=300,19, IF(DH18&gt;=175,16, IF(DH18&gt;=100,13, IF(DH18&gt;=75,10, IF(DH18&gt;=50,7, 4))))))),0) * IF($DH18&gt;=750,'Rail C&amp;T EF'!$K$18,'Rail C&amp;T EF'!$K$19)*'Rail C&amp;T EF'!$B$146,"")</f>
        <v/>
      </c>
      <c r="EN18" s="306" t="str">
        <f ca="1">IFERROR(IF('GHG Calcs'!CD18="Gasoline",0,VLOOKUP('GHG Calcs'!$CF18,'Rail C&amp;T EF'!$A$43:$Y$133,IF(DH18&gt;750,25, IF(DH18&gt;=600,22, IF(DH18&gt;=300,19, IF(DH18&gt;=175,16, IF(DH18&gt;=100,13, IF(DH18&gt;=75,10, IF(DH18&gt;=50,7, 4))))))),0) * IF($DH18&gt;=750,'Rail C&amp;T EF'!$K$18,'Rail C&amp;T EF'!$K$19)),"")</f>
        <v/>
      </c>
      <c r="EO18" s="306" t="str">
        <f ca="1">IFERROR(VLOOKUP('GHG Calcs'!$CF18,'Ferry C&amp;T EF'!$A$106:$AK$196,IF(DH18&gt;=3301,35, IF(DH18&gt;=1901,31, IF(DH18&gt;=751,27, IF(DH18&gt;=501,23, IF(DH18&gt;=251,19, IF(DH18&gt;=176,15, IF(DH18&gt;=121,11, IF(DH18&gt;=51,7, 3)))))))),0),"")</f>
        <v/>
      </c>
      <c r="EP18" s="306" t="str">
        <f ca="1">IFERROR(VLOOKUP('GHG Calcs'!$CF18,'Ferry C&amp;T EF'!$A$106:$AK$196,IF(DH18&gt;=3301,34, IF(DH18&gt;=1901,30, IF(DH18&gt;=751,26, IF(DH18&gt;=501,22, IF(DH18&gt;=251,18, IF(DH18&gt;=176,14, IF(DH18&gt;=121,10, IF(DH18&gt;=51,6, 2)))))))),0),"")</f>
        <v/>
      </c>
      <c r="EQ18" s="306" t="str">
        <f ca="1">IFERROR(VLOOKUP('GHG Calcs'!$CF18,'Ferry C&amp;T EF'!$A$106:$AK$196,IF(DH18&gt;=3301,37, IF(DH18&gt;=1901,33, IF(DH18&gt;=751,29, IF(DH18&gt;=501,25, IF(DH18&gt;=251,21, IF(DH18&gt;=176,17, IF(DH18&gt;=121,13, IF(DH18&gt;=51,9, 5)))))))),0),"")</f>
        <v/>
      </c>
      <c r="ER18" s="306" t="str">
        <f ca="1">IFERROR(IF('GHG Calcs'!$CD18="Gasoline",0,VLOOKUP('GHG Calcs'!$CF18,'Ferry C&amp;T EF'!$A$106:$AK$196,IF(DH18&gt;=3301,36, IF(DH18&gt;=1901,32, IF(DH18&gt;=751,28, IF(DH18&gt;=501,24, IF(DH18&gt;=251,20, IF(DH18&gt;=176,16, IF(DH18&gt;=121,12, IF(DH18&gt;=51,8, 4)))))))),0)),"")</f>
        <v/>
      </c>
      <c r="ES18" s="1419" t="str">
        <f ca="1">IFERROR(IF('GHG Calcs'!$CD18="Gasoline",VLOOKUP('GHG Calcs'!$CG18,'Fuel Consumption'!$A$31:$L$2316,3,0),IF(OR('GHG Calcs'!$CD18="CNG",'GHG Calcs'!$CD18="LNG",'GHG Calcs'!$CD18="Renewable Natural Gas"),VLOOKUP('GHG Calcs'!$CG18,'Fuel Consumption'!$A$31:$L$2316,4,0)*VLOOKUP('GHG Calcs'!$CD18,'GHG EF'!$B$10:$H$19,4,0),VLOOKUP('GHG Calcs'!$CG18,'Fuel Consumption'!$A$31:$L$2316,2,0)*VLOOKUP('GHG Calcs'!$AD18,'GHG EF'!$B$10:$H$19,4,0))),"")</f>
        <v/>
      </c>
      <c r="ET18" s="1419" t="str">
        <f ca="1">IFERROR(IF(OR('GHG Calcs'!$CD18="Diesel",'GHG Calcs'!$CD18="Renewable Diesel",'GHG Calcs'!$CD18="Biodiesel"),VLOOKUP('GHG Calcs'!$CG18,'Fuel Consumption'!$A$31:$L$2316,6,0)*VLOOKUP('GHG Calcs'!$CD18,'GHG EF'!$B$10:$H$19,4,0),VLOOKUP('GHG Calcs'!$CG18,'Fuel Consumption'!$A$31:$L$2316,7,0)*VLOOKUP('GHG Calcs'!$CD18,'GHG EF'!$B$10:$H$19,5,0)),"")</f>
        <v/>
      </c>
      <c r="EU18" s="1419" t="str">
        <f ca="1">IFERROR(IF(OR('GHG Calcs'!$CD18="Diesel",'GHG Calcs'!$CD18="Renewable Diesel",'GHG Calcs'!$CD18="Biodiesel"),VLOOKUP('GHG Calcs'!$CG18,'Fuel Consumption'!$A$31:$L$2316,9,0)*VLOOKUP('GHG Calcs'!$CD18,'GHG EF'!$B$10:$H$19,4,0),VLOOKUP('GHG Calcs'!$CG18,'Fuel Consumption'!$A$31:$L$2316,10,0)*VLOOKUP('GHG Calcs'!$CD18,'GHG EF'!$B$10:$H$19,5,0)),"")</f>
        <v/>
      </c>
      <c r="EV18" s="1419" t="str">
        <f ca="1">IFERROR(VLOOKUP('GHG Calcs'!$CG18,'Fuel Consumption'!$A$31:$L$2316,12,0)*VLOOKUP('GHG Calcs'!$CD18,'GHG EF'!$B$10:$H$19,4,0),"")</f>
        <v/>
      </c>
      <c r="EW18" s="1373" t="str">
        <f ca="1">IFERROR(IF(OR('GHG Calcs'!CD18=Defaults!$I$4, 'GHG Calcs'!CD18=Defaults!$I$6, 'GHG Calcs'!CD18=Defaults!$I$8),'GHG Calcs'!CE18,IF('GHG Calcs'!CD18=Defaults!$I$3, 'GHG Calcs'!CE18*'GHG EF'!$C$11/'GHG EF'!$C$12,""))*('GHG Calcs'!I18-'GHG Calcs'!H18),"")</f>
        <v/>
      </c>
      <c r="EX18" s="1373" t="str">
        <f ca="1">IFERROR(IF('GHG Calcs'!CD18=Defaults!$I$5,'GHG Calcs'!CE18,"")*('GHG Calcs'!I18-'GHG Calcs'!H18),"")</f>
        <v/>
      </c>
      <c r="EY18" s="1420" t="str">
        <f ca="1">IFERROR('GHG Calcs'!CE18*VLOOKUP('GHG Calcs'!CD18,'Fuel &amp; Travel Costs'!$B$10:$C$19,2,0)*('GHG Calcs'!I18-'GHG Calcs'!H18),"")</f>
        <v/>
      </c>
      <c r="EZ18" s="1420" t="str">
        <f t="shared" ca="1" si="0"/>
        <v/>
      </c>
      <c r="FA18" s="306">
        <f ca="1">INDIRECT("'Quantifiable Component "&amp;$B18&amp;"'!"&amp;$D18&amp;ROW('Quantifiable Component 1'!$77:$77))</f>
        <v>0</v>
      </c>
      <c r="FB18" s="306">
        <f ca="1">INDIRECT("'Quantifiable Component "&amp;$B18&amp;"'!"&amp;$D18&amp;ROW('Quantifiable Component 1'!$78:$78))</f>
        <v>0</v>
      </c>
      <c r="FC18" s="306">
        <f ca="1">INDIRECT("'Quantifiable Component "&amp;$B18&amp;"'!"&amp;$D18&amp;ROW('Quantifiable Component 1'!$79:$79))</f>
        <v>0</v>
      </c>
      <c r="FD18" s="306">
        <f ca="1">INDIRECT("'Quantifiable Component "&amp;$B18&amp;"'!"&amp;$D18&amp;ROW('Quantifiable Component 1'!$80:$80))</f>
        <v>0</v>
      </c>
      <c r="FE18" s="306">
        <f ca="1">INDIRECT("'Quantifiable Component "&amp;$B18&amp;"'!"&amp;$D18&amp;ROW('Quantifiable Component 1'!$81:$81))</f>
        <v>0</v>
      </c>
    </row>
    <row r="19" spans="1:161" s="117" customFormat="1" x14ac:dyDescent="0.35">
      <c r="A19" s="1647"/>
      <c r="B19" s="1367">
        <v>3</v>
      </c>
      <c r="C19" s="1380">
        <v>2</v>
      </c>
      <c r="D19" s="1368" t="str">
        <f>'GHG Calcs'!D19</f>
        <v>H</v>
      </c>
      <c r="E19" s="1416">
        <f ca="1">'GHG Calcs'!U19</f>
        <v>0</v>
      </c>
      <c r="F19" s="1416">
        <f ca="1">'GHG Calcs'!W19</f>
        <v>0</v>
      </c>
      <c r="G19" s="1417" t="str">
        <f ca="1">IFERROR(VLOOKUP('GHG Calcs'!K19,'Auto C&amp;T EF'!$C$35:$K$2662,2,0)*E19,"")</f>
        <v/>
      </c>
      <c r="H19" s="1417" t="str">
        <f ca="1">IFERROR(VLOOKUP('GHG Calcs'!L19,'Auto C&amp;T EF'!$C$35:$K$2662,2,0)*F19,"")</f>
        <v/>
      </c>
      <c r="I19" s="1417" t="str">
        <f ca="1">IFERROR(VLOOKUP('GHG Calcs'!$K19,'Auto C&amp;T EF'!$C$35:$K$2662,3,0)*$E19,"")</f>
        <v/>
      </c>
      <c r="J19" s="1417" t="str">
        <f ca="1">IFERROR(VLOOKUP('GHG Calcs'!$L19,'Auto C&amp;T EF'!$C$35:$K$2662,3,0)*$F19,"")</f>
        <v/>
      </c>
      <c r="K19" s="1417" t="str">
        <f ca="1">IFERROR((VLOOKUP('GHG Calcs'!$K19,'Auto C&amp;T EF'!$C$35:$K$2662,5,0)+VLOOKUP('GHG Calcs'!$K19,'Auto C&amp;T EF'!$C$35:$K$2662,6,0)+VLOOKUP('GHG Calcs'!$K19,'Auto C&amp;T EF'!$C$35:$K$2662,7,0))*$E19,"")</f>
        <v/>
      </c>
      <c r="L19" s="1417" t="str">
        <f ca="1">IFERROR((VLOOKUP('GHG Calcs'!$L19,'Auto C&amp;T EF'!$C$35:$K$2662,5,0)+VLOOKUP('GHG Calcs'!$L19,'Auto C&amp;T EF'!$C$35:$K$2662,6,0)+VLOOKUP('GHG Calcs'!$L19,'Auto C&amp;T EF'!$C$35:$K$2662,7,0))*$F19,"")</f>
        <v/>
      </c>
      <c r="M19" s="1417" t="str">
        <f ca="1">IFERROR(VLOOKUP('GHG Calcs'!$K19,'Auto C&amp;T EF'!$C$35:$K$2662,8,0)*$E19,"")</f>
        <v/>
      </c>
      <c r="N19" s="1417" t="str">
        <f ca="1">IFERROR(VLOOKUP('GHG Calcs'!$L19,'Auto C&amp;T EF'!$C$35:$K$2662,8,0)*$F19,"")</f>
        <v/>
      </c>
      <c r="O19" s="1418">
        <f ca="1">IFERROR(AVERAGE(G19:H19)*('GHG Calcs'!I19-'GHG Calcs'!H19),0)</f>
        <v>0</v>
      </c>
      <c r="P19" s="1418">
        <f ca="1">IFERROR(AVERAGE(I19:J19)*('GHG Calcs'!I19-'GHG Calcs'!H19),0)</f>
        <v>0</v>
      </c>
      <c r="Q19" s="1418">
        <f ca="1">IFERROR(AVERAGE(K19:L19)*('GHG Calcs'!I19-'GHG Calcs'!H19),0)</f>
        <v>0</v>
      </c>
      <c r="R19" s="1418">
        <f ca="1">IFERROR(AVERAGE(M19:N19)*('GHG Calcs'!I19-'GHG Calcs'!H19),0)</f>
        <v>0</v>
      </c>
      <c r="S19" s="1418">
        <f ca="1">IFERROR(AVERAGE(E19*VLOOKUP('GHG Calcs'!K19,'Auto C&amp;T EF'!$C$35:$L$2662,10,0),F19*VLOOKUP('GHG Calcs'!L19,'Auto C&amp;T EF'!$C$35:$L$2662,10,0))*('GHG Calcs'!I19-'GHG Calcs'!H19),0)</f>
        <v>0</v>
      </c>
      <c r="T19" s="1379">
        <f ca="1">INDIRECT("'Quantifiable Component "&amp;$B19&amp;"'!"&amp;$D19&amp;ROW('Quantifiable Component 1'!$47:$47))</f>
        <v>0</v>
      </c>
      <c r="U19" s="1379">
        <f ca="1">INDIRECT("'Quantifiable Component "&amp;$B19&amp;"'!"&amp;$D19&amp;ROW('Quantifiable Component 1'!$48:$48))</f>
        <v>0</v>
      </c>
      <c r="V19" s="306" t="str">
        <f ca="1">IFERROR(IF('GHG Calcs'!$AD19="Gasoline",VLOOKUP('GHG Calcs'!$AH19,'Bus C&amp;T EF'!$D$30:$V$2315,3,0),IF(OR('GHG Calcs'!$AD19="CNG",'GHG Calcs'!$AD19="LNG",'GHG Calcs'!$AD19="Renewable Natural Gas"),VLOOKUP('GHG Calcs'!$AH19,'Bus C&amp;T EF'!$D$30:$V$2315,4,0),VLOOKUP('GHG Calcs'!$AH19,'Bus C&amp;T EF'!$D$30:$V$2315,2,0)))/IF('GHG Calcs'!AE19&gt;0,$BF19,1),"")</f>
        <v/>
      </c>
      <c r="W19" s="306" t="str">
        <f ca="1">IFERROR(IF('GHG Calcs'!$AD19="Gasoline",VLOOKUP('GHG Calcs'!$AH19,'Bus C&amp;T EF'!$D$30:$V$2315,6,0),IF(OR('GHG Calcs'!$AD19="CNG",'GHG Calcs'!$AD19="LNG",'GHG Calcs'!$AD19="Renewable Natural Gas"),VLOOKUP('GHG Calcs'!$AH19,'Bus C&amp;T EF'!$D$30:$V$2315,7,0),VLOOKUP('GHG Calcs'!$AH19,'Bus C&amp;T EF'!$D$30:$V$2315,5,0)))/IF('GHG Calcs'!AE19&gt;0,$BF19,1),"")</f>
        <v/>
      </c>
      <c r="X19" s="1419" t="str">
        <f ca="1">IFERROR(IF('GHG Calcs'!$AD19="Gasoline",VLOOKUP('GHG Calcs'!$AH19,'Bus C&amp;T EF'!$D$30:$V$2315,9,0),IF(OR('GHG Calcs'!$AD19="CNG",'GHG Calcs'!$AD19="LNG",'GHG Calcs'!$AD19="Renewable Natural Gas"),VLOOKUP('GHG Calcs'!$AH19,'Bus C&amp;T EF'!$D$30:$V$2315,10,0),VLOOKUP('GHG Calcs'!$AH19,'Bus C&amp;T EF'!$D$30:$V$2315,8,0)))/IF('GHG Calcs'!AE19&gt;0,$BF19,1),"")</f>
        <v/>
      </c>
      <c r="Y19" s="1419" t="str">
        <f ca="1">IFERROR(IF('GHG Calcs'!$AD19="Gasoline",VLOOKUP('GHG Calcs'!$AH19,'Bus C&amp;T EF'!$D$30:$V$2315,12,0),IF(OR('GHG Calcs'!$AD19="CNG",'GHG Calcs'!$AD19="LNG",'GHG Calcs'!$AD19="Renewable Natural Gas"),VLOOKUP('GHG Calcs'!$AH19,'Bus C&amp;T EF'!$D$30:$V$2315,13,0),IF(OR('GHG Calcs'!$AD19="Electric",'GHG Calcs'!$AD19="Hydrogen Fuel Cell",'GHG Calcs'!$AD19="Renewable Electricity"),VLOOKUP('GHG Calcs'!$AH19,'Bus C&amp;T EF'!$D$30:$V$2315,14,0),VLOOKUP('GHG Calcs'!$AH19,'Bus C&amp;T EF'!$D$30:$V$2315,11,0))))/IF('GHG Calcs'!AE19&gt;0,$BF19,1),"")</f>
        <v/>
      </c>
      <c r="Z19" s="1419" t="str">
        <f ca="1">IFERROR(IF('GHG Calcs'!$AD19="Gasoline",VLOOKUP('GHG Calcs'!$AH19,'Bus C&amp;T EF'!$D$30:$V$2315,16,0),IF(OR('GHG Calcs'!$AD19="CNG",'GHG Calcs'!$AD19="LNG",'GHG Calcs'!$AD19="Renewable Natural Gas"),VLOOKUP('GHG Calcs'!$AH19,'Bus C&amp;T EF'!$D$30:$V$2315,17,0),IF(OR('GHG Calcs'!$AD19="Electric",'GHG Calcs'!$AD19="Hydrogen Fuel Cell",'GHG Calcs'!$AD19="Renewable Electricity"),VLOOKUP('GHG Calcs'!$AH19,'Bus C&amp;T EF'!$D$30:$V$2315,18,0),VLOOKUP('GHG Calcs'!$AH19,'Bus C&amp;T EF'!$D$30:$V$2315,15,0))))/IF('GHG Calcs'!AE19&gt;0,$BF19,1),"")</f>
        <v/>
      </c>
      <c r="AA19" s="306" t="str">
        <f ca="1">IFERROR(IF('GHG Calcs'!$AD19="Gasoline",0,VLOOKUP('GHG Calcs'!$AH19,'Bus C&amp;T EF'!$D$30:$V$2315,19,0))/IF('GHG Calcs'!AE19&gt;0,$BF19,1),"")</f>
        <v/>
      </c>
      <c r="AB19" s="1419" t="str">
        <f ca="1">IFERROR(IF(OR('GHG Calcs'!$AD19="Diesel",'GHG Calcs'!$AD19="Renewable Diesel",'GHG Calcs'!$AD19="Biodiesel"),VLOOKUP('GHG Calcs'!$AH19,'Van C&amp;T EF'!$D$30:$Q$2315,2,0),VLOOKUP('GHG Calcs'!$AH19,'Van C&amp;T EF'!$D$30:$Q$2315,3,0))/IF('GHG Calcs'!AE19&gt;0,$BG19,1),"")</f>
        <v/>
      </c>
      <c r="AC19" s="1419" t="str">
        <f ca="1">IFERROR(IF(OR('GHG Calcs'!$AD19="Diesel",'GHG Calcs'!$AD19="Renewable Diesel",'GHG Calcs'!$AD19="Biodiesel"),VLOOKUP('GHG Calcs'!$AH19,'Van C&amp;T EF'!$D$30:$Q$2315,4,0),VLOOKUP('GHG Calcs'!$AH19,'Van C&amp;T EF'!$D$30:$Q$2315,5,0))/IF('GHG Calcs'!AE19&gt;0,$BG19,1),"")</f>
        <v/>
      </c>
      <c r="AD19" s="1419" t="str">
        <f ca="1">IFERROR(IF(OR('GHG Calcs'!$AD19="Diesel",'GHG Calcs'!$AD19="Renewable Diesel",'GHG Calcs'!$AD19="Biodiesel"),VLOOKUP('GHG Calcs'!$AH19,'Van C&amp;T EF'!$D$30:$Q$2315,6,0),VLOOKUP('GHG Calcs'!$AH19,'Van C&amp;T EF'!$D$30:$Q$2315,7,0))/IF('GHG Calcs'!AE19&gt;0,$BG19,1),"")</f>
        <v/>
      </c>
      <c r="AE19" s="1419" t="str">
        <f ca="1">IFERROR(IF(OR('GHG Calcs'!$AD19="Diesel",'GHG Calcs'!$AD19="Renewable Diesel",'GHG Calcs'!$AD19="Biodiesel"),VLOOKUP('GHG Calcs'!$AH19,'Van C&amp;T EF'!$D$30:$Q$2315,8,0),IF(OR('GHG Calcs'!$AD19="Electric",'GHG Calcs'!$AD19="Hydrogen Fuel Cell",'GHG Calcs'!$AD19="Renewable Electricity"),VLOOKUP('GHG Calcs'!$AH19,'Van C&amp;T EF'!$D$30:$Q$2315,10,0),VLOOKUP('GHG Calcs'!$AH19,'Van C&amp;T EF'!$D$30:$Q$2315,9,0)))/IF('GHG Calcs'!AE19&gt;0,$BG19,1),"")</f>
        <v/>
      </c>
      <c r="AF19" s="1419" t="str">
        <f ca="1">IFERROR(IF(OR('GHG Calcs'!$AD19="Diesel",'GHG Calcs'!$AD19="Renewable Diesel",'GHG Calcs'!$AD19="Biodiesel"),VLOOKUP('GHG Calcs'!$AH19,'Van C&amp;T EF'!$D$30:$Q$2315,11,0),IF(OR('GHG Calcs'!$AD19="Electric",'GHG Calcs'!$AD19="Hydrogen Fuel Cell",'GHG Calcs'!$AD19="Renewable Electricity"),VLOOKUP('GHG Calcs'!$AH19,'Van C&amp;T EF'!$D$30:$Q$2315,13,0),VLOOKUP('GHG Calcs'!$AH19,'Van C&amp;T EF'!$D$30:$Q$2315,12,0)))/IF('GHG Calcs'!AE19&gt;0,$BG19,1),"")</f>
        <v/>
      </c>
      <c r="AG19" s="306">
        <f ca="1">IFERROR(IF(OR('GHG Calcs'!$AD19="Diesel",'GHG Calcs'!$AD19="Biodiesel",'GHG Calcs'!$AD19="Renewable Diesel"),VLOOKUP('GHG Calcs'!$AH19,'Van C&amp;T EF'!$D$30:$Q$2315,14,0),0)/IF('GHG Calcs'!AE19&gt;0,$BG19,1),"")</f>
        <v>0</v>
      </c>
      <c r="AH19" s="1419" t="str">
        <f ca="1">IFERROR(IF(OR('GHG Calcs'!$AD19="Diesel",'GHG Calcs'!$AD19="Renewable Diesel",'GHG Calcs'!$AD19="Biodiesel"),VLOOKUP('GHG Calcs'!$AH19,'Shuttle C&amp;T EF'!$D$30:$Q$2315,2,0),VLOOKUP('GHG Calcs'!$AH19,'Shuttle C&amp;T EF'!$D$30:$Q$2315,3,0))/IF('GHG Calcs'!AE19&gt;0,$BH19,1),"")</f>
        <v/>
      </c>
      <c r="AI19" s="1419" t="str">
        <f ca="1">IFERROR(IF(OR('GHG Calcs'!$AD19="Diesel",'GHG Calcs'!$AD19="Renewable Diesel",'GHG Calcs'!$AD19="Biodiesel"),VLOOKUP('GHG Calcs'!$AH19,'Shuttle C&amp;T EF'!$D$30:$Q$2315,4,0),VLOOKUP('GHG Calcs'!$AH19,'Shuttle C&amp;T EF'!$D$30:$Q$2315,5,0))/IF('GHG Calcs'!AE19&gt;0,$BH19,1),"")</f>
        <v/>
      </c>
      <c r="AJ19" s="1419" t="str">
        <f ca="1">IFERROR(IF(OR('GHG Calcs'!$AD19="Diesel",'GHG Calcs'!$AD19="Renewable Diesel",'GHG Calcs'!$AD19="Biodiesel"),VLOOKUP('GHG Calcs'!$AH19,'Shuttle C&amp;T EF'!$D$30:$Q$2315,6,0),VLOOKUP('GHG Calcs'!$AH19,'Shuttle C&amp;T EF'!$D$30:$Q$2315,7,0))/IF('GHG Calcs'!AE19&gt;0,$BH19,1),"")</f>
        <v/>
      </c>
      <c r="AK19" s="1419" t="str">
        <f ca="1">IFERROR(IF(OR('GHG Calcs'!$AD19="Diesel",'GHG Calcs'!$AD19="Renewable Diesel",'GHG Calcs'!$AD19="Biodiesel"),VLOOKUP('GHG Calcs'!$AH19,'Shuttle C&amp;T EF'!$D$30:$Q$2315,8,0),IF(OR('GHG Calcs'!$AD19="Electric",'GHG Calcs'!$AD19="Hydrogen Fuel Cell",'GHG Calcs'!$AD19="Renewable Electricity"),VLOOKUP('GHG Calcs'!$AH19,'Shuttle C&amp;T EF'!$D$30:$Q$2315,10,0),VLOOKUP('GHG Calcs'!$AH19,'Shuttle C&amp;T EF'!$D$30:$Q$2315,9,0)))/IF('GHG Calcs'!AE19&gt;0,$BH19,1),"")</f>
        <v/>
      </c>
      <c r="AL19" s="1419" t="str">
        <f ca="1">IFERROR(IF(OR('GHG Calcs'!$AD19="Diesel",'GHG Calcs'!$AD19="Renewable Diesel",'GHG Calcs'!$AD19="Biodiesel"),VLOOKUP('GHG Calcs'!$AH19,'Shuttle C&amp;T EF'!$D$30:$Q$2315,11,0),IF(OR('GHG Calcs'!$AD19="Electric",'GHG Calcs'!$AD19="Hydrogen Fuel Cell",'GHG Calcs'!$AD19="Renewable Electricity"),VLOOKUP('GHG Calcs'!$AH19,'Shuttle C&amp;T EF'!$D$30:$Q$2315,13,0),VLOOKUP('GHG Calcs'!$AH19,'Shuttle C&amp;T EF'!$D$30:$Q$2315,12,0)))/IF('GHG Calcs'!AE19&gt;0,$BH19,1),"")</f>
        <v/>
      </c>
      <c r="AM19" s="1419">
        <f ca="1">IFERROR(IF(OR('GHG Calcs'!$AD19="Diesel",'GHG Calcs'!$AD19="Biodiesel",'GHG Calcs'!$AD19="Renewable Diesel"),VLOOKUP('GHG Calcs'!$AH19,'Shuttle C&amp;T EF'!$D$30:$Q$2315,14,0),0)/IF('GHG Calcs'!AE19&gt;0,$BH19,1),"")</f>
        <v>0</v>
      </c>
      <c r="AN19" s="306" t="str">
        <f ca="1">IFERROR((VLOOKUP('GHG Calcs'!$AH19,'Over-Road Coach C&amp;T EF'!$D$29:$N$2314,2,0)+VLOOKUP('GHG Calcs'!$AH19,'Over-Road Coach C&amp;T EF'!$D$29:$N$2314,3,0))/IF('GHG Calcs'!AE19&gt;0,$BI19,1),"")</f>
        <v/>
      </c>
      <c r="AO19" s="306" t="str">
        <f ca="1">IFERROR((VLOOKUP('GHG Calcs'!$AH19,'Over-Road Coach C&amp;T EF'!$D$29:$N$2314,4,0)+VLOOKUP('GHG Calcs'!$AH19,'Over-Road Coach C&amp;T EF'!$D$29:$N$2314,5,0))/IF('GHG Calcs'!AE19&gt;0,$BI19,1),"")</f>
        <v/>
      </c>
      <c r="AP19" s="306" t="str">
        <f ca="1">IFERROR((VLOOKUP('GHG Calcs'!$AH19,'Over-Road Coach C&amp;T EF'!$D$29:$N$2314,6,0)+VLOOKUP('GHG Calcs'!$AH19,'Over-Road Coach C&amp;T EF'!$D$29:$N$2314,7,0))/IF('GHG Calcs'!AE19&gt;0,$BI19,1),"")</f>
        <v/>
      </c>
      <c r="AQ19" s="306" t="str">
        <f ca="1">IFERROR(VLOOKUP('GHG Calcs'!$AH19,'Over-Road Coach C&amp;T EF'!$D$29:$N$2314,8,0)/IF('GHG Calcs'!AE19&gt;0,$BI19,1),"")</f>
        <v/>
      </c>
      <c r="AR19" s="306" t="str">
        <f ca="1">IFERROR(VLOOKUP('GHG Calcs'!$AH19,'Over-Road Coach C&amp;T EF'!$D$29:$N$2314,9,0)/IF('GHG Calcs'!AE19&gt;0,$BI19,1),"")</f>
        <v/>
      </c>
      <c r="AS19" s="306" t="str">
        <f ca="1">IFERROR((VLOOKUP('GHG Calcs'!$AH19,'Over-Road Coach C&amp;T EF'!$D$29:$N$2314,10,0)+VLOOKUP('GHG Calcs'!$AH19,'Over-Road Coach C&amp;T EF'!$D$29:$N$2314,11,0))/IF('GHG Calcs'!AE19&gt;0,$BI19,1),"")</f>
        <v/>
      </c>
      <c r="AT19" s="306" t="str">
        <f ca="1">IFERROR(VLOOKUP(T19,'Co-Benefit Calcs'!$E$76:$I$83,2,0)/IF('GHG Calcs'!$AE19&gt;0,'Rail C&amp;T EF'!$K$14,1),"")</f>
        <v/>
      </c>
      <c r="AU19" s="306" t="str">
        <f ca="1">IFERROR(VLOOKUP(T19,'Co-Benefit Calcs'!$E$76:$I$83,3,0)/IF('GHG Calcs'!$AE19&gt;0,'Rail C&amp;T EF'!$K$14,1),"")</f>
        <v/>
      </c>
      <c r="AV19" s="306" t="str">
        <f ca="1">IFERROR(VLOOKUP(T19,'Co-Benefit Calcs'!$E$76:$I$83,4,0)/IF('GHG Calcs'!$AE19&gt;0,'Rail C&amp;T EF'!$K$14,1),"")</f>
        <v/>
      </c>
      <c r="AW19" s="306" t="str">
        <f ca="1">IFERROR(IF('GHG Calcs'!$AD19="Gasoline",0,VLOOKUP(T19,'Co-Benefit Calcs'!$E$76:$I$83,5,0))/IF('GHG Calcs'!$AE19&gt;0,'Rail C&amp;T EF'!$K$14,1),"")</f>
        <v/>
      </c>
      <c r="AX19" s="306" t="str">
        <f ca="1">IFERROR(VLOOKUP('GHG Calcs'!$AG19,'Rail C&amp;T EF'!$A$43:$Y$133,IF(U19&gt;750,23, IF(U19&gt;=600,20, IF(U19&gt;=300,17, IF(U19&gt;=175,14, IF(U19&gt;=100,11, IF(U19&gt;=75,8, IF(U19&gt;=50,5, 2))))))),0) * IF($U19&gt;=750,'Rail C&amp;T EF'!$K$18,'Rail C&amp;T EF'!$K$19) * IF('GHG Calcs'!$AE19&gt;0,1,'Rail C&amp;T EF'!$B$149) * IF(OR('GHG Calcs'!AD19="Diesel", 'GHG Calcs'!AD19="Renewable Diesel", 'GHG Calcs'!AD19="Biodiesel"),'Rail C&amp;T EF'!$B$141,'Rail C&amp;T EF'!$B$142),"")</f>
        <v/>
      </c>
      <c r="AY19" s="306" t="str">
        <f ca="1">IFERROR(VLOOKUP('GHG Calcs'!$AG19,'Rail C&amp;T EF'!$A$43:$Y$133,IF(U19&gt;750,24, IF(U19&gt;=600,21, IF(U19&gt;=300,18, IF(U19&gt;=175,15, IF(U19&gt;=100,12, IF(U19&gt;=75,9, IF(U19&gt;=50,6, 3))))))),0) * IF($U19&gt;=750,'Rail C&amp;T EF'!$K$18,'Rail C&amp;T EF'!$K$19) * IF('GHG Calcs'!$AE19&gt;0,1,'Rail C&amp;T EF'!$B$149),"")</f>
        <v/>
      </c>
      <c r="AZ19" s="306" t="str">
        <f ca="1">IFERROR(VLOOKUP('GHG Calcs'!$AG19,'Rail C&amp;T EF'!$A$43:$Y$133,IF(U19&gt;750,25, IF(U19&gt;=600,22, IF(U19&gt;=300,19, IF(U19&gt;=175,16, IF(U19&gt;=100,13, IF(U19&gt;=75,10, IF(U19&gt;=50,7, 4))))))),0) * IF($U19&gt;=750,'Rail C&amp;T EF'!$K$18,'Rail C&amp;T EF'!$K$19) * IF('GHG Calcs'!$AE19&gt;0,1,'Rail C&amp;T EF'!$B$149)*'Rail C&amp;T EF'!$B$146,"")</f>
        <v/>
      </c>
      <c r="BA19" s="306" t="str">
        <f ca="1">IFERROR(IF('GHG Calcs'!$AD19="Gasoline",0,VLOOKUP('GHG Calcs'!$AG19,'Rail C&amp;T EF'!$A$43:$Y$133,IF(U19&gt;750,25, IF(U19&gt;=600,22, IF(U19&gt;=300,19, IF(U19&gt;=175,16, IF(U19&gt;=100,13, IF(U19&gt;=75,10, IF(U19&gt;=50,7, 4))))))),0) * IF($U19&gt;=750,'Rail C&amp;T EF'!$K$18,'Rail C&amp;T EF'!$K$19) * IF('GHG Calcs'!$AE19&gt;0,1,'Rail C&amp;T EF'!$B$149)),"")</f>
        <v/>
      </c>
      <c r="BB19" s="306" t="str">
        <f ca="1">IFERROR(VLOOKUP('GHG Calcs'!$AG19,'Ferry C&amp;T EF'!$A$106:$AK$196,IF(U19&gt;=3301,35, IF(U19&gt;=1901,31, IF(U19&gt;=751,27, IF(U19&gt;=501,23, IF(U19&gt;=251,19, IF(U19&gt;=176,15, IF(U19&gt;=121,11, IF(U19&gt;=51,7, 3)))))))),0),"")</f>
        <v/>
      </c>
      <c r="BC19" s="306" t="str">
        <f ca="1">IFERROR(VLOOKUP('GHG Calcs'!$AG19,'Ferry C&amp;T EF'!$A$106:$AK$196,IF(U19&gt;=3301,34, IF(U19&gt;=1901,30, IF(U19&gt;=751,26, IF(U19&gt;=501,22, IF(U19&gt;=251,18, IF(U19&gt;=176,14, IF(U19&gt;=121,10, IF(U19&gt;=51,6, 2)))))))),0),"")</f>
        <v/>
      </c>
      <c r="BD19" s="306" t="str">
        <f ca="1">IFERROR(VLOOKUP('GHG Calcs'!$AG19,'Ferry C&amp;T EF'!$A$106:$AK$196,IF(U19&gt;=3301,37, IF(U19&gt;=1901,33, IF(U19&gt;=751,29, IF(U19&gt;=501,25, IF(U19&gt;=251,21, IF(U19&gt;=176,17, IF(U19&gt;=121,13, IF(U19&gt;=51,9, 5)))))))),0),"")</f>
        <v/>
      </c>
      <c r="BE19" s="306" t="str">
        <f ca="1">IFERROR(IF('GHG Calcs'!$AD19="Gasoline",0,VLOOKUP('GHG Calcs'!$AG19,'Ferry C&amp;T EF'!$A$106:$AK$196,IF(U19&gt;=3301,36, IF(U19&gt;=1901,32, IF(U19&gt;=751,28, IF(U19&gt;=501,24, IF(U19&gt;=251,20, IF(U19&gt;=176,16, IF(U19&gt;=121,12, IF(U19&gt;=51,8, 4)))))))),0)),"")</f>
        <v/>
      </c>
      <c r="BF19" s="1419" t="str">
        <f ca="1">IFERROR(IF('GHG Calcs'!$AD19="Gasoline",VLOOKUP('GHG Calcs'!$AH19,'Fuel Consumption'!$A$31:$L$2316,3,0),IF(OR('GHG Calcs'!$AD19="CNG",'GHG Calcs'!$AD19="LNG",'GHG Calcs'!$AD19="Renewable Natural Gas"),VLOOKUP('GHG Calcs'!$AH19,'Fuel Consumption'!$A$31:$L$2316,4,0)*VLOOKUP('GHG Calcs'!$AD19,'GHG EF'!$B$10:$H$19,4,0),VLOOKUP('GHG Calcs'!$AH19,'Fuel Consumption'!$A$31:$L$2316,2,0)*VLOOKUP('GHG Calcs'!$AD19,'GHG EF'!$B$10:$H$19,4,0))),"")</f>
        <v/>
      </c>
      <c r="BG19" s="1419" t="str">
        <f ca="1">IFERROR(IF(OR('GHG Calcs'!$AD19="Diesel",'GHG Calcs'!$AD19="Renewable Diesel",'GHG Calcs'!$AD19="Biodiesel"),VLOOKUP('GHG Calcs'!$AH19,'Fuel Consumption'!$A$31:$L$2316,6,0)*VLOOKUP('GHG Calcs'!$AD19,'GHG EF'!$B$10:$H$19,4,0),VLOOKUP('GHG Calcs'!$AH19,'Fuel Consumption'!$A$31:$L$2316,7,0)*VLOOKUP('GHG Calcs'!$AD19,'GHG EF'!$B$10:$H$19,5,0)),"")</f>
        <v/>
      </c>
      <c r="BH19" s="1419" t="str">
        <f ca="1">IFERROR(IF(OR('GHG Calcs'!$AD19="Diesel",'GHG Calcs'!$AD19="Renewable Diesel",'GHG Calcs'!$AD19="Biodiesel"),VLOOKUP('GHG Calcs'!$AH19,'Fuel Consumption'!$A$31:$L$2316,9,0)*VLOOKUP('GHG Calcs'!$AD19,'GHG EF'!$B$10:$H$19,4,0),VLOOKUP('GHG Calcs'!$AH19,'Fuel Consumption'!$A$31:$L$2316,10,0)*VLOOKUP('GHG Calcs'!$AD19,'GHG EF'!$B$10:$H$19,5,0)),"")</f>
        <v/>
      </c>
      <c r="BI19" s="1419" t="str">
        <f ca="1">IFERROR(VLOOKUP('GHG Calcs'!$AH19,'Fuel Consumption'!$A$31:$L$2316,12,0)*VLOOKUP('GHG Calcs'!$AD19,'GHG EF'!$B$10:$H$19,4,0),"")</f>
        <v/>
      </c>
      <c r="BJ19" s="1373" t="str">
        <f ca="1">IFERROR(IF(OR('GHG Calcs'!AD19=Defaults!$I$3, 'GHG Calcs'!AD19=Defaults!$I$4, 'GHG Calcs'!AD19=Defaults!$I$6, 'GHG Calcs'!AD19=Defaults!$I$8), IF('GHG Calcs'!AE19&gt;0,'GHG Calcs'!AE19*IF('GHG Calcs'!AD19=Defaults!$I$3,'GHG EF'!$C$11/'GHG EF'!$C$12,1),'GHG Calcs'!AK19*'GHG Calcs'!AI19),"")*('GHG Calcs'!I19-'GHG Calcs'!H19),"")</f>
        <v/>
      </c>
      <c r="BK19" s="1373" t="str">
        <f ca="1">IFERROR(IF('GHG Calcs'!AD19=Defaults!$I$5,IF('GHG Calcs'!AE19&gt;0,'GHG Calcs'!AE19,'GHG Calcs'!AJ19*'GHG Calcs'!AI19),"")*IF('GHG Calcs'!AF19&lt;'GHG EF'!$D$13,'GHG Calcs'!AF19/'GHG EF'!$D$13,1)*IF('GHG Calcs'!AF19&lt;0,0,1)*('GHG Calcs'!I19-'GHG Calcs'!H19),"")</f>
        <v/>
      </c>
      <c r="BL19" s="1373" t="str">
        <f ca="1">IFERROR(IF('GHG Calcs'!AD19=Defaults!$I$11, IF(IF('GHG Calcs'!AE19&gt;0,'GHG Calcs'!AE19,'GHG Calcs'!AJ19*'GHG Calcs'!AI19)&lt;INDIRECT("'"&amp;#REF!&amp;"'!"&amp;$D19&amp;ROW(#REF!)), IF('GHG Calcs'!AE19&gt;0,'GHG Calcs'!AE19,'GHG Calcs'!AJ19*'GHG Calcs'!AI19), INDIRECT("'"&amp;#REF!&amp;"'!"&amp;$D19&amp;ROW(#REF!))),"")*('GHG Calcs'!I19-'GHG Calcs'!H19),"")</f>
        <v/>
      </c>
      <c r="BM19" s="1420" t="str">
        <f ca="1">IFERROR(IF('GHG Calcs'!AE19&gt;0,'GHG Calcs'!AE19,'GHG Calcs'!AL19*'GHG Calcs'!AI19)*VLOOKUP('GHG Calcs'!AD19,'Fuel &amp; Travel Costs'!$B$10:$C$19,2,0)*('GHG Calcs'!I19-'GHG Calcs'!H19),"")</f>
        <v/>
      </c>
      <c r="BN19" s="306">
        <f ca="1">INDIRECT("'Quantifiable Component "&amp;$B19&amp;"'!"&amp;$D19&amp;ROW('Quantifiable Component 1'!$59:$59))</f>
        <v>0</v>
      </c>
      <c r="BO19" s="306">
        <f ca="1">INDIRECT("'Quantifiable Component "&amp;$B19&amp;"'!"&amp;$D19&amp;ROW('Quantifiable Component 1'!$60:$60))</f>
        <v>0</v>
      </c>
      <c r="BP19" s="1421" t="str">
        <f ca="1">IFERROR(IF('GHG Calcs'!$BD19="Gasoline",VLOOKUP('GHG Calcs'!$BL19,'Bus C&amp;T EF'!$D$30:$V$2315,3,0),IF(OR('GHG Calcs'!$BD19="CNG",'GHG Calcs'!$BD19="LNG",'GHG Calcs'!$BD19="Renewable Natural Gas"),VLOOKUP('GHG Calcs'!$BL19,'Bus C&amp;T EF'!$D$30:$V$2315,4,0),VLOOKUP('GHG Calcs'!$BL19,'Bus C&amp;T EF'!$D$30:$V$2315,2,0)))/IF('GHG Calcs'!BE19&gt;0,$CZ19,1),"")</f>
        <v/>
      </c>
      <c r="BQ19" s="1419" t="str">
        <f ca="1">IFERROR(IF('GHG Calcs'!$BD19="Gasoline",VLOOKUP('GHG Calcs'!$BL19,'Bus C&amp;T EF'!$D$30:$V$2315,6,0),IF(OR('GHG Calcs'!$BD19="CNG",'GHG Calcs'!$BD19="LNG",'GHG Calcs'!$BD19="Renewable Natural Gas"),VLOOKUP('GHG Calcs'!$BL19,'Bus C&amp;T EF'!$D$30:$V$2315,7,0),VLOOKUP('GHG Calcs'!$BL19,'Bus C&amp;T EF'!$D$30:$V$2315,5,0)))/IF('GHG Calcs'!BE19&gt;0,$CZ19,1),"")</f>
        <v/>
      </c>
      <c r="BR19" s="1419" t="str">
        <f ca="1">IFERROR(IF('GHG Calcs'!$BD19="Gasoline",VLOOKUP('GHG Calcs'!$BL19,'Bus C&amp;T EF'!$D$30:$V$2315,9,0),IF(OR('GHG Calcs'!$BD19="CNG",'GHG Calcs'!$BD19="LNG",'GHG Calcs'!$BD19="Renewable Natural Gas"),VLOOKUP('GHG Calcs'!$BL19,'Bus C&amp;T EF'!$D$30:$V$2315,10,0),VLOOKUP('GHG Calcs'!$BL19,'Bus C&amp;T EF'!$D$30:$V$2315,8,0)))/IF('GHG Calcs'!BE19&gt;0,$CZ19,1),"")</f>
        <v/>
      </c>
      <c r="BS19" s="1419" t="str">
        <f ca="1">IFERROR(IF('GHG Calcs'!$BD19="Gasoline",VLOOKUP('GHG Calcs'!$BL19,'Bus C&amp;T EF'!$D$30:$V$2315,12,0),IF(OR('GHG Calcs'!$BD19="CNG",'GHG Calcs'!$BD19="LNG",'GHG Calcs'!$BD19="Renewable Natural Gas"),VLOOKUP('GHG Calcs'!$BL19,'Bus C&amp;T EF'!$D$30:$V$2315,13,0),IF(OR('GHG Calcs'!$BD19="Electric",'GHG Calcs'!$BD19="Hydrogen Fuel Cell",'GHG Calcs'!$BD19="Renewable Electricity"),VLOOKUP('GHG Calcs'!$BL19,'Bus C&amp;T EF'!$D$30:$V$2315,14,0),VLOOKUP('GHG Calcs'!$BL19,'Bus C&amp;T EF'!$D$30:$V$2315,11,0))))/IF('GHG Calcs'!BE19&gt;0,$CZ19,1),"")</f>
        <v/>
      </c>
      <c r="BT19" s="1419" t="str">
        <f ca="1">IFERROR(IF('GHG Calcs'!$BD19="Gasoline",VLOOKUP('GHG Calcs'!$BL19,'Bus C&amp;T EF'!$D$30:$V$2315,16,0),IF(OR('GHG Calcs'!$BD19="CNG",'GHG Calcs'!$BD19="LNG",'GHG Calcs'!$BD19="Renewable Natural Gas"),VLOOKUP('GHG Calcs'!$BL19,'Bus C&amp;T EF'!$D$30:$V$2315,17,0),IF(OR('GHG Calcs'!$BD19="Electric",'GHG Calcs'!$BD19="Hydrogen Fuel Cell",'GHG Calcs'!$BD19="Renewable Electricity"),VLOOKUP('GHG Calcs'!$BL19,'Bus C&amp;T EF'!$D$30:$V$2315,18,0),VLOOKUP('GHG Calcs'!$BL19,'Bus C&amp;T EF'!$D$30:$V$2315,15,0))))/IF('GHG Calcs'!BE19&gt;0,$CZ19,1),"")</f>
        <v/>
      </c>
      <c r="BU19" s="306" t="str">
        <f ca="1">IFERROR(IF('GHG Calcs'!$BD19="Gasoline",0,VLOOKUP('GHG Calcs'!$BL19,'Bus C&amp;T EF'!$D$30:$V$2315,19,0))/IF('GHG Calcs'!BE19&gt;0,$CZ19,1),"")</f>
        <v/>
      </c>
      <c r="BV19" s="1419" t="str">
        <f ca="1">IFERROR(IF(OR('GHG Calcs'!$BD19="Diesel",'GHG Calcs'!$BD19="Renewable Diesel",'GHG Calcs'!$BD19="Biodiesel"),VLOOKUP('GHG Calcs'!$BL19,'Van C&amp;T EF'!$D$30:$Q$2315,2,0),VLOOKUP('GHG Calcs'!$BL19,'Van C&amp;T EF'!$D$30:$Q$2315,3,0))/IF('GHG Calcs'!BE19&gt;0,$DA19,1),"")</f>
        <v/>
      </c>
      <c r="BW19" s="1419" t="str">
        <f ca="1">IFERROR(IF(OR('GHG Calcs'!$BD19="Diesel",'GHG Calcs'!$BD19="Renewable Diesel",'GHG Calcs'!$BD19="Biodiesel"),VLOOKUP('GHG Calcs'!$BL19,'Van C&amp;T EF'!$D$30:$Q$2315,4,0),VLOOKUP('GHG Calcs'!$BL19,'Van C&amp;T EF'!$D$30:$Q$2315,5,0))/IF('GHG Calcs'!BE19&gt;0,$DA19,1),"")</f>
        <v/>
      </c>
      <c r="BX19" s="1419" t="str">
        <f ca="1">IFERROR(IF(OR('GHG Calcs'!$BD19="Diesel",'GHG Calcs'!$BD19="Renewable Diesel",'GHG Calcs'!$BD19="Biodiesel"),VLOOKUP('GHG Calcs'!$BL19,'Van C&amp;T EF'!$D$30:$Q$2315,6,0),VLOOKUP('GHG Calcs'!$BL19,'Van C&amp;T EF'!$D$30:$Q$2315,7,0))/IF('GHG Calcs'!BE19&gt;0,$DA19,1),"")</f>
        <v/>
      </c>
      <c r="BY19" s="1419" t="str">
        <f ca="1">IFERROR(IF(OR('GHG Calcs'!$BD19="Diesel",'GHG Calcs'!$BD19="Renewable Diesel",'GHG Calcs'!$BD19="Biodiesel"),VLOOKUP('GHG Calcs'!$BL19,'Van C&amp;T EF'!$D$30:$Q$2315,8,0),IF(OR('GHG Calcs'!$BD19="Electric",'GHG Calcs'!$BD19="Hydrogen Fuel Cell",'GHG Calcs'!$BD19="Renewable Electricity"),VLOOKUP('GHG Calcs'!$BL19,'Van C&amp;T EF'!$D$30:$Q$2315,10,0),VLOOKUP('GHG Calcs'!$BL19,'Van C&amp;T EF'!$D$30:$Q$2315,9,0)))/IF('GHG Calcs'!BE19&gt;0,$DA19,1),"")</f>
        <v/>
      </c>
      <c r="BZ19" s="1419" t="str">
        <f ca="1">IFERROR(IF(OR('GHG Calcs'!$BD19="Diesel",'GHG Calcs'!$BD19="Renewable Diesel",'GHG Calcs'!$BD19="Biodiesel"),VLOOKUP('GHG Calcs'!$BL19,'Van C&amp;T EF'!$D$30:$Q$2315,11,0),IF(OR('GHG Calcs'!$BD19="Electric",'GHG Calcs'!$BD19="Hydrogen Fuel Cell",'GHG Calcs'!$BD19="Renewable Electricity"),VLOOKUP('GHG Calcs'!$BL19,'Van C&amp;T EF'!$D$30:$Q$2315,13,0),VLOOKUP('GHG Calcs'!$BL19,'Van C&amp;T EF'!$D$30:$Q$2315,12,0)))/IF('GHG Calcs'!BE19&gt;0,$DA19,1),"")</f>
        <v/>
      </c>
      <c r="CA19" s="306">
        <f ca="1">IFERROR(IF(OR('GHG Calcs'!$BD19="Diesel",'GHG Calcs'!$BD19="Biodiesel",'GHG Calcs'!$BD19="Renewable Diesel"),VLOOKUP('GHG Calcs'!$BL19,'Van C&amp;T EF'!$D$30:$Q$2315,14,0),0)/IF('GHG Calcs'!BE19&gt;0,$DA19,1),"")</f>
        <v>0</v>
      </c>
      <c r="CB19" s="1419" t="str">
        <f ca="1">IFERROR(IF(OR('GHG Calcs'!$BD19="Diesel",'GHG Calcs'!$BD19="Renewable Diesel",'GHG Calcs'!$BD19="Biodiesel"),VLOOKUP('GHG Calcs'!$BL19,'Shuttle C&amp;T EF'!$D$30:$Q$2315,2,0),VLOOKUP('GHG Calcs'!$BL19,'Shuttle C&amp;T EF'!$D$30:$Q$2315,3,0))/IF('GHG Calcs'!BE19&gt;0,$DB19,1),"")</f>
        <v/>
      </c>
      <c r="CC19" s="1419" t="str">
        <f ca="1">IFERROR(IF(OR('GHG Calcs'!$BD19="Diesel",'GHG Calcs'!$BD19="Renewable Diesel",'GHG Calcs'!$BD19="Biodiesel"),VLOOKUP('GHG Calcs'!$BL19,'Shuttle C&amp;T EF'!$D$30:$Q$2315,4,0),VLOOKUP('GHG Calcs'!$BL19,'Shuttle C&amp;T EF'!$D$30:$Q$2315,5,0))/IF('GHG Calcs'!BE19&gt;0,$DB19,1),"")</f>
        <v/>
      </c>
      <c r="CD19" s="1419" t="str">
        <f ca="1">IFERROR(IF(OR('GHG Calcs'!$BD19="Diesel",'GHG Calcs'!$BD19="Renewable Diesel",'GHG Calcs'!$BD19="Biodiesel"),VLOOKUP('GHG Calcs'!$BL19,'Shuttle C&amp;T EF'!$D$30:$Q$2315,6,0),VLOOKUP('GHG Calcs'!$BL19,'Shuttle C&amp;T EF'!$D$30:$Q$2315,7,0))/IF('GHG Calcs'!BE19&gt;0,$DB19,1),"")</f>
        <v/>
      </c>
      <c r="CE19" s="1419" t="str">
        <f ca="1">IFERROR(IF(OR('GHG Calcs'!$BD19="Diesel",'GHG Calcs'!$BD19="Renewable Diesel",'GHG Calcs'!$BD19="Biodiesel"),VLOOKUP('GHG Calcs'!$BL19,'Shuttle C&amp;T EF'!$D$30:$Q$2315,8,0),IF(OR('GHG Calcs'!$BD19="Electric",'GHG Calcs'!$BD19="Hydrogen Fuel Cell",'GHG Calcs'!$BD19="Renewable Electricity"),VLOOKUP('GHG Calcs'!$BL19,'Shuttle C&amp;T EF'!$D$30:$Q$2315,10,0),VLOOKUP('GHG Calcs'!$BL19,'Shuttle C&amp;T EF'!$D$30:$Q$2315,9,0)))/IF('GHG Calcs'!BE19&gt;0,$DB19,1),"")</f>
        <v/>
      </c>
      <c r="CF19" s="1419" t="str">
        <f ca="1">IFERROR(IF(OR('GHG Calcs'!$BD19="Diesel",'GHG Calcs'!$BD19="Renewable Diesel",'GHG Calcs'!$BD19="Biodiesel"),VLOOKUP('GHG Calcs'!$BL19,'Shuttle C&amp;T EF'!$D$30:$Q$2315,11,0),IF(OR('GHG Calcs'!$BD19="Electric",'GHG Calcs'!$BD19="Hydrogen Fuel Cell",'GHG Calcs'!$BD19="Renewable Electricity"),VLOOKUP('GHG Calcs'!$BL19,'Shuttle C&amp;T EF'!$D$30:$Q$2315,13,0),VLOOKUP('GHG Calcs'!$BL19,'Shuttle C&amp;T EF'!$D$30:$Q$2315,12,0)))/IF('GHG Calcs'!BE19&gt;0,$DB19,1),"")</f>
        <v/>
      </c>
      <c r="CG19" s="1419">
        <f ca="1">IFERROR(IF(OR('GHG Calcs'!$BD19="Diesel",'GHG Calcs'!$BD19="Biodiesel",'GHG Calcs'!$BD19="Renewable Diesel"),VLOOKUP('GHG Calcs'!$BL19,'Shuttle C&amp;T EF'!$D$30:$Q$2315,14,0),0)/IF('GHG Calcs'!BE19&gt;0,$DB19,1),"")</f>
        <v>0</v>
      </c>
      <c r="CH19" s="306" t="str">
        <f ca="1">IFERROR((VLOOKUP('GHG Calcs'!$BL19,'Over-Road Coach C&amp;T EF'!$D$29:$N$2314,2,0)+VLOOKUP('GHG Calcs'!$BL19,'Over-Road Coach C&amp;T EF'!$D$29:$N$2314,3,0))/IF('GHG Calcs'!BE19&gt;0,$DC19,1),"")</f>
        <v/>
      </c>
      <c r="CI19" s="306" t="str">
        <f ca="1">IFERROR((VLOOKUP('GHG Calcs'!$BL19,'Over-Road Coach C&amp;T EF'!$D$29:$N$2314,4,0)+VLOOKUP('GHG Calcs'!$BL19,'Over-Road Coach C&amp;T EF'!$D$29:$N$2314,5,0))/IF('GHG Calcs'!BE19&gt;0,$DC19,1),"")</f>
        <v/>
      </c>
      <c r="CJ19" s="306" t="str">
        <f ca="1">IFERROR((VLOOKUP('GHG Calcs'!$BL19,'Over-Road Coach C&amp;T EF'!$D$29:$N$2314,6,0)+VLOOKUP('GHG Calcs'!$BL19,'Over-Road Coach C&amp;T EF'!$D$29:$N$2314,7,0))/IF('GHG Calcs'!BE19&gt;0,$DC19,1),"")</f>
        <v/>
      </c>
      <c r="CK19" s="306" t="str">
        <f ca="1">IFERROR(VLOOKUP('GHG Calcs'!$BL19,'Over-Road Coach C&amp;T EF'!$D$29:$N$2314,8,0)/IF('GHG Calcs'!BE19&gt;0,$DC19,1),"")</f>
        <v/>
      </c>
      <c r="CL19" s="306" t="str">
        <f ca="1">IFERROR(VLOOKUP('GHG Calcs'!$BL19,'Over-Road Coach C&amp;T EF'!$D$29:$N$2314,9,0)/IF('GHG Calcs'!BE19&gt;0,$DC19,1),"")</f>
        <v/>
      </c>
      <c r="CM19" s="306" t="str">
        <f ca="1">IFERROR((VLOOKUP('GHG Calcs'!$BL19,'Over-Road Coach C&amp;T EF'!$D$29:$N$2314,10,0)+VLOOKUP('GHG Calcs'!$BL19,'Over-Road Coach C&amp;T EF'!$D$29:$N$2314,11,0))/IF('GHG Calcs'!BE19&gt;0,$DC19,1),"")</f>
        <v/>
      </c>
      <c r="CN19" s="306" t="str">
        <f ca="1">IFERROR(VLOOKUP(BN19,'Co-Benefit Calcs'!$E$76:$I$83,2,0)/IF('GHG Calcs'!$BE19&gt;0,'Rail C&amp;T EF'!$K$14,1),"")</f>
        <v/>
      </c>
      <c r="CO19" s="306" t="str">
        <f ca="1">IFERROR(VLOOKUP(BN19,'Co-Benefit Calcs'!$E$76:$I$83,3,0)/IF('GHG Calcs'!$BE19&gt;0,'Rail C&amp;T EF'!$K$14,1),"")</f>
        <v/>
      </c>
      <c r="CP19" s="306" t="str">
        <f ca="1">IFERROR(VLOOKUP(BN19,'Co-Benefit Calcs'!$E$76:$I$83,4,0)/IF('GHG Calcs'!$BE19&gt;0,'Rail C&amp;T EF'!$K$14,1),"")</f>
        <v/>
      </c>
      <c r="CQ19" s="306" t="str">
        <f ca="1">IFERROR(IF('GHG Calcs'!$BD19="Gasoline",0,VLOOKUP(BN19,'Co-Benefit Calcs'!$E$76:$I$83,5,0))/IF('GHG Calcs'!$BE19&gt;0,'Rail C&amp;T EF'!$K$14,1),"")</f>
        <v/>
      </c>
      <c r="CR19" s="306" t="str">
        <f ca="1">IFERROR(VLOOKUP('GHG Calcs'!$BG19,'Rail C&amp;T EF'!$A$43:$Y$133,IF(BO19&gt;750,23, IF(BO19&gt;=600,20, IF(BO19&gt;=300,17, IF(BO19&gt;=175,14, IF(BO19&gt;=100,11, IF(BO19&gt;=75,8, IF(BO19&gt;=50,5, 2))))))),0) * IF($BO19&gt;=750,'Rail C&amp;T EF'!$K$18,'Rail C&amp;T EF'!$K$19) * IF('GHG Calcs'!BE19&gt;0,1,'Rail C&amp;T EF'!$B$149) * IF(OR('GHG Calcs'!BD19="Diesel", 'GHG Calcs'!BD19="Renewable Diesel", 'GHG Calcs'!BD19="Biodiesel"),'Rail C&amp;T EF'!$B$141,'Rail C&amp;T EF'!$B$142),"")</f>
        <v/>
      </c>
      <c r="CS19" s="306" t="str">
        <f ca="1">IFERROR(VLOOKUP('GHG Calcs'!$BG19,'Rail C&amp;T EF'!$A$43:$Y$133,IF(BO19&gt;750,24, IF(BO19&gt;=600,21, IF(BO19&gt;=300,18, IF(BO19&gt;=175,15, IF(BO19&gt;=100,12, IF(BO19&gt;=75,9, IF(BO19&gt;=50,6, 3))))))),0) * IF($BO19&gt;=750,'Rail C&amp;T EF'!$K$18,'Rail C&amp;T EF'!$K$19) * IF('GHG Calcs'!$BE19&gt;0,1,'Rail C&amp;T EF'!$B$149),"")</f>
        <v/>
      </c>
      <c r="CT19" s="306" t="str">
        <f ca="1">IFERROR(VLOOKUP('GHG Calcs'!$BG19,'Rail C&amp;T EF'!$A$43:$Y$133,IF(BO19&gt;750,25, IF(BO19&gt;=600,22, IF(BO19&gt;=300,19, IF(BO19&gt;=175,16, IF(BO19&gt;=100,13, IF(BO19&gt;=75,10, IF(BO19&gt;=50,7, 4))))))),0) * IF($BO19&gt;=750,'Rail C&amp;T EF'!$K$18,'Rail C&amp;T EF'!$K$19) * IF('GHG Calcs'!$BE19&gt;0,1,'Rail C&amp;T EF'!$B$149)*'Rail C&amp;T EF'!$B$146,"")</f>
        <v/>
      </c>
      <c r="CU19" s="306" t="str">
        <f ca="1">IFERROR(IF('GHG Calcs'!BD19="Gasoline",0,VLOOKUP('GHG Calcs'!$BG19,'Rail C&amp;T EF'!$A$43:$Y$133,IF(BO19&gt;750,25, IF(BO19&gt;=600,22, IF(BO19&gt;=300,19, IF(BO19&gt;=175,16, IF(BO19&gt;=100,13, IF(BO19&gt;=75,10, IF(BO19&gt;=50,7, 4))))))),0) * IF($BO19&gt;=750,'Rail C&amp;T EF'!$K$18,'Rail C&amp;T EF'!$K$19) * IF('GHG Calcs'!$BE19&gt;0,1,'Rail C&amp;T EF'!$B$149)),"")</f>
        <v/>
      </c>
      <c r="CV19" s="306" t="str">
        <f ca="1">IFERROR(VLOOKUP('GHG Calcs'!$BG19,'Ferry C&amp;T EF'!$A$106:$AK$196,IF(BO19&gt;=3301,35, IF(BO19&gt;=1901,31, IF(BO19&gt;=751,27, IF(BO19&gt;=501,23, IF(BO19&gt;=251,19, IF(BO19&gt;=176,15, IF(BO19&gt;=121,11, IF(BO19&gt;=51,7, 3)))))))),0),"")</f>
        <v/>
      </c>
      <c r="CW19" s="306" t="str">
        <f ca="1">IFERROR(VLOOKUP('GHG Calcs'!$BG19,'Ferry C&amp;T EF'!$A$106:$AK$196,IF(BO19&gt;=3301,34, IF(BO19&gt;=1901,30, IF(BO19&gt;=751,26, IF(BO19&gt;=501,22, IF(BO19&gt;=251,18, IF(BO19&gt;=176,14, IF(BO19&gt;=121,10, IF(BO19&gt;=51,6, 2)))))))),0),"")</f>
        <v/>
      </c>
      <c r="CX19" s="306" t="str">
        <f ca="1">IFERROR(VLOOKUP('GHG Calcs'!$BG19,'Ferry C&amp;T EF'!$A$106:$AK$196,IF(BO19&gt;=3301,37, IF(BO19&gt;=1901,33, IF(BO19&gt;=751,29, IF(BO19&gt;=501,25, IF(BO19&gt;=251,21, IF(BO19&gt;=176,17, IF(BO19&gt;=121,13, IF(BO19&gt;=51,9, 5)))))))),0),"")</f>
        <v/>
      </c>
      <c r="CY19" s="306" t="str">
        <f ca="1">IFERROR(IF('GHG Calcs'!$BD19="Gasoline",0,VLOOKUP('GHG Calcs'!$BG19,'Ferry C&amp;T EF'!$A$106:$AK$196,IF(BO19&gt;=3301,36, IF(BO19&gt;=1901,32, IF(BO19&gt;=751,28, IF(BO19&gt;=501,24, IF(BO19&gt;=251,20, IF(BO19&gt;=176,16, IF(BO19&gt;=121,12, IF(BO19&gt;=51,8, 4)))))))),0)),"")</f>
        <v/>
      </c>
      <c r="CZ19" s="1419" t="str">
        <f ca="1">IFERROR(IF('GHG Calcs'!$BD19="Gasoline",VLOOKUP('GHG Calcs'!$BL19,'Fuel Consumption'!$A$31:$L$2316,3,0),IF(OR('GHG Calcs'!$BD19="CNG",'GHG Calcs'!$BD19="LNG",'GHG Calcs'!$BD19="Renewable Natural Gas"),VLOOKUP('GHG Calcs'!$BL19,'Fuel Consumption'!$A$31:$L$2316,4,0)*VLOOKUP('GHG Calcs'!$BD19,'GHG EF'!$B$10:$H$19,4,0),VLOOKUP('GHG Calcs'!$BL19,'Fuel Consumption'!$A$31:$L$2316,2,0)*VLOOKUP('GHG Calcs'!$AD19,'GHG EF'!$B$10:$H$19,4,0))),"")</f>
        <v/>
      </c>
      <c r="DA19" s="1419" t="str">
        <f ca="1">IFERROR(IF(OR('GHG Calcs'!$BD19="Diesel",'GHG Calcs'!$BD19="Renewable Diesel",'GHG Calcs'!$BD19="Biodiesel"),VLOOKUP('GHG Calcs'!$BL19,'Fuel Consumption'!$A$31:$L$2316,6,0)*VLOOKUP('GHG Calcs'!$BD19,'GHG EF'!$B$10:$H$19,4,0),VLOOKUP('GHG Calcs'!$BL19,'Fuel Consumption'!$A$31:$L$2316,7,0)*VLOOKUP('GHG Calcs'!$BD19,'GHG EF'!$B$10:$H$19,5,0)),"")</f>
        <v/>
      </c>
      <c r="DB19" s="1419" t="str">
        <f ca="1">IFERROR(IF(OR('GHG Calcs'!$BD19="Diesel",'GHG Calcs'!$BD19="Renewable Diesel",'GHG Calcs'!$BD19="Biodiesel"),VLOOKUP('GHG Calcs'!$BL19,'Fuel Consumption'!$A$31:$L$2316,9,0)*VLOOKUP('GHG Calcs'!$BD19,'GHG EF'!$B$10:$H$19,4,0),VLOOKUP('GHG Calcs'!$BL19,'Fuel Consumption'!$A$31:$L$2316,10,0)*VLOOKUP('GHG Calcs'!$BD19,'GHG EF'!$B$10:$H$19,5,0)),"")</f>
        <v/>
      </c>
      <c r="DC19" s="1419" t="str">
        <f ca="1">IFERROR(VLOOKUP('GHG Calcs'!$BL19,'Fuel Consumption'!$A$31:$L$2316,12,0)*VLOOKUP('GHG Calcs'!$BD19,'GHG EF'!$B$10:$H$19,4,0),"")</f>
        <v/>
      </c>
      <c r="DD19" s="1373" t="str">
        <f ca="1">IFERROR(IF(OR('GHG Calcs'!BD19=Defaults!$I$3, 'GHG Calcs'!BD19=Defaults!$I$4, 'GHG Calcs'!BD19=Defaults!$I$6, 'GHG Calcs'!BD19=Defaults!$I$8), IF('GHG Calcs'!BE19&gt;0,'GHG Calcs'!BE19*IF('GHG Calcs'!BD19=Defaults!$I$3,'GHG EF'!$C$11/'GHG EF'!$C$12,1),'GHG Calcs'!BJ19*'GHG Calcs'!BH19),"")*('GHG Calcs'!I19-'GHG Calcs'!H19),"")</f>
        <v/>
      </c>
      <c r="DE19" s="1373" t="str">
        <f ca="1">IFERROR(IF('GHG Calcs'!BD19=Defaults!$I$5,IF('GHG Calcs'!BE19&gt;0,'GHG Calcs'!BE19,'GHG Calcs'!BI19*'GHG Calcs'!BH19),"")*('GHG Calcs'!I19-'GHG Calcs'!H19),"")</f>
        <v/>
      </c>
      <c r="DF19" s="1420" t="str">
        <f ca="1">IFERROR(IF('GHG Calcs'!BE19&gt;0,'GHG Calcs'!BE19,'GHG Calcs'!BK19*'GHG Calcs'!BH19)*VLOOKUP('GHG Calcs'!BD19,'Fuel &amp; Travel Costs'!$B$10:$C$19,2,0)*('GHG Calcs'!I19-'GHG Calcs'!H19),"")</f>
        <v/>
      </c>
      <c r="DG19" s="306">
        <f ca="1">INDIRECT("'Quantifiable Component "&amp;$B19&amp;"'!"&amp;$D19&amp;ROW('Quantifiable Component 1'!$70:$70))</f>
        <v>0</v>
      </c>
      <c r="DH19" s="306">
        <f ca="1">INDIRECT("'Quantifiable Component "&amp;$B19&amp;"'!"&amp;$D19&amp;ROW('Quantifiable Component 1'!$71:$71))</f>
        <v>0</v>
      </c>
      <c r="DI19" s="1422" t="str">
        <f ca="1">IFERROR(IF('GHG Calcs'!$CD19="Gasoline",VLOOKUP('GHG Calcs'!$CG19,'Bus C&amp;T EF'!$D$30:$V$2315,3,0),IF(OR('GHG Calcs'!$CD19="CNG",'GHG Calcs'!$CD19="LNG",'GHG Calcs'!$CD19="Renewable Natural Gas"),VLOOKUP('GHG Calcs'!$CG19,'Bus C&amp;T EF'!$D$30:$V$2315,4,0),VLOOKUP('GHG Calcs'!$CG19,'Bus C&amp;T EF'!$D$30:$V$2315,2,0)))/$ES19,"")</f>
        <v/>
      </c>
      <c r="DJ19" s="306" t="str">
        <f ca="1">IFERROR(IF('GHG Calcs'!$CD19="Gasoline",VLOOKUP('GHG Calcs'!$CG19,'Bus C&amp;T EF'!$D$30:$V$2315,6,0),IF(OR('GHG Calcs'!$CD19="CNG",'GHG Calcs'!$CD19="LNG",'GHG Calcs'!$CD19="Renewable Natural Gas"),VLOOKUP('GHG Calcs'!$CG19,'Bus C&amp;T EF'!$D$30:$V$2315,7,0),VLOOKUP('GHG Calcs'!$CG19,'Bus C&amp;T EF'!$D$30:$V$2315,5,0)))/$ES19,"")</f>
        <v/>
      </c>
      <c r="DK19" s="306" t="str">
        <f ca="1">IFERROR(IF('GHG Calcs'!$CD19="Gasoline",VLOOKUP('GHG Calcs'!$CG19,'Bus C&amp;T EF'!$D$30:$V$2315,9,0),IF(OR('GHG Calcs'!$CD19="CNG",'GHG Calcs'!$CD19="LNG",'GHG Calcs'!$CD19="Renewable Natural Gas"),VLOOKUP('GHG Calcs'!$CG19,'Bus C&amp;T EF'!$D$30:$V$2315,10,0),VLOOKUP('GHG Calcs'!$CG19,'Bus C&amp;T EF'!$D$30:$V$2315,8,0)))/$ES19,"")</f>
        <v/>
      </c>
      <c r="DL19" s="306" t="str">
        <f ca="1">IFERROR(IF('GHG Calcs'!$CD19="Gasoline",VLOOKUP('GHG Calcs'!$CG19,'Bus C&amp;T EF'!$D$30:$V$2315,12,0),IF(OR('GHG Calcs'!$CD19="CNG",'GHG Calcs'!$CD19="LNG",'GHG Calcs'!$CD19="Renewable Natural Gas"),VLOOKUP('GHG Calcs'!$CG19,'Bus C&amp;T EF'!$D$30:$V$2315,13,0),IF('GHG Calcs'!$CD19="Electric",VLOOKUP('GHG Calcs'!$CG19,'Bus C&amp;T EF'!$D$30:$V$2315,14,0),VLOOKUP('GHG Calcs'!$CG19,'Bus C&amp;T EF'!$D$30:$V$2315,11,0))))/$ES19,"")</f>
        <v/>
      </c>
      <c r="DM19" s="306" t="str">
        <f ca="1">IFERROR(IF('GHG Calcs'!$CD19="Gasoline",VLOOKUP('GHG Calcs'!$CG19,'Bus C&amp;T EF'!$D$30:$V$2315,16,0),IF(OR('GHG Calcs'!$CD19="CNG",'GHG Calcs'!$CD19="LNG",'GHG Calcs'!$CD19="Renewable Natural Gas"),VLOOKUP('GHG Calcs'!$CG19,'Bus C&amp;T EF'!$D$30:$V$2315,17,0),IF('GHG Calcs'!$CD19="Electric",VLOOKUP('GHG Calcs'!$CG19,'Bus C&amp;T EF'!$D$30:$V$2315,18,0),VLOOKUP('GHG Calcs'!$CG19,'Bus C&amp;T EF'!$D$30:$V$2315,15,0))))/$ES19,"")</f>
        <v/>
      </c>
      <c r="DN19" s="306" t="str">
        <f ca="1">IFERROR(IF('GHG Calcs'!$CD19="Gasoline",0,VLOOKUP('GHG Calcs'!$CG19,'Bus C&amp;T EF'!$D$30:$V$2315,19,0))/$ES19,"")</f>
        <v/>
      </c>
      <c r="DO19" s="1419" t="str">
        <f ca="1">IFERROR(IF(OR('GHG Calcs'!$CD19="Diesel",'GHG Calcs'!$CD19="Renewable Diesel",'GHG Calcs'!$CD19="Biodiesel"),VLOOKUP('GHG Calcs'!$CG19,'Van C&amp;T EF'!$D$30:$Q$2315,2,0),VLOOKUP('GHG Calcs'!$CG19,'Van C&amp;T EF'!$D$30:$Q$2315,3,0))/$ET19,"")</f>
        <v/>
      </c>
      <c r="DP19" s="1419" t="str">
        <f ca="1">IFERROR(IF(OR('GHG Calcs'!$CD19="Diesel",'GHG Calcs'!$CD19="Renewable Diesel",'GHG Calcs'!$CD19="Biodiesel"),VLOOKUP('GHG Calcs'!$CG19,'Van C&amp;T EF'!$D$30:$Q$2315,4,0),VLOOKUP('GHG Calcs'!$CG19,'Van C&amp;T EF'!$D$30:$Q$2315,5,0))/$ET19,"")</f>
        <v/>
      </c>
      <c r="DQ19" s="1419" t="str">
        <f ca="1">IFERROR(IF(OR('GHG Calcs'!$CD19="Diesel",'GHG Calcs'!$CD19="Renewable Diesel",'GHG Calcs'!$CD19="Biodiesel"),VLOOKUP('GHG Calcs'!$CG19,'Van C&amp;T EF'!$D$30:$Q$2315,6,0),VLOOKUP('GHG Calcs'!$CG19,'Van C&amp;T EF'!$D$30:$Q$2315,7,0))/$ET19,"")</f>
        <v/>
      </c>
      <c r="DR19" s="1419" t="str">
        <f ca="1">IFERROR(IF(OR('GHG Calcs'!$CD19="Diesel",'GHG Calcs'!$CD19="Renewable Diesel",'GHG Calcs'!$CD19="Biodiesel"),VLOOKUP('GHG Calcs'!$CG19,'Van C&amp;T EF'!$D$30:$Q$2315,8,0),IF(OR('GHG Calcs'!$CD19="Electric",'GHG Calcs'!$CD19="Hydrogen Fuel Cell",'GHG Calcs'!$CD19="Renewable Electricity"),VLOOKUP('GHG Calcs'!$CG19,'Van C&amp;T EF'!$D$30:$Q$2315,10,0),VLOOKUP('GHG Calcs'!$CG19,'Van C&amp;T EF'!$D$30:$Q$2315,9,0)))/$ET19,"")</f>
        <v/>
      </c>
      <c r="DS19" s="1419" t="str">
        <f ca="1">IFERROR(IF(OR('GHG Calcs'!$CD19="Diesel",'GHG Calcs'!$CD19="Renewable Diesel",'GHG Calcs'!$CD19="Biodiesel"),VLOOKUP('GHG Calcs'!$CG19,'Van C&amp;T EF'!$D$30:$Q$2315,11,0),IF(OR('GHG Calcs'!$CD19="Electric",'GHG Calcs'!$CD19="Hydrogen Fuel Cell",'GHG Calcs'!$CD19="Renewable Electricity"),VLOOKUP('GHG Calcs'!$CG19,'Van C&amp;T EF'!$D$30:$Q$2315,13,0),VLOOKUP('GHG Calcs'!$CG19,'Van C&amp;T EF'!$D$30:$Q$2315,12,0)))/$ET19,"")</f>
        <v/>
      </c>
      <c r="DT19" s="306" t="str">
        <f ca="1">IFERROR(IF(OR('GHG Calcs'!$CD19="Diesel",'GHG Calcs'!$CD19="Biodiesel",'GHG Calcs'!$CD19="Renewable Diesel"),VLOOKUP('GHG Calcs'!$CG19,'Van C&amp;T EF'!$D$30:$Q$2315,14,0),0)/$ET19,"")</f>
        <v/>
      </c>
      <c r="DU19" s="1419" t="str">
        <f ca="1">IFERROR(IF(OR('GHG Calcs'!$CD19="Diesel",'GHG Calcs'!$CD19="Renewable Diesel",'GHG Calcs'!$CD19="Biodiesel"),VLOOKUP('GHG Calcs'!$CG19,'Shuttle C&amp;T EF'!$D$30:$Q$2315,2,0),VLOOKUP('GHG Calcs'!$CG19,'Shuttle C&amp;T EF'!$D$30:$Q$2315,3,0))/$EU19,"")</f>
        <v/>
      </c>
      <c r="DV19" s="1419" t="str">
        <f ca="1">IFERROR(IF(OR('GHG Calcs'!$CD19="Diesel",'GHG Calcs'!$CD19="Renewable Diesel",'GHG Calcs'!$CD19="Biodiesel"),VLOOKUP('GHG Calcs'!$CG19,'Shuttle C&amp;T EF'!$D$30:$Q$2315,4,0),VLOOKUP('GHG Calcs'!$CG19,'Shuttle C&amp;T EF'!$D$30:$Q$2315,5,0))/$EU19,"")</f>
        <v/>
      </c>
      <c r="DW19" s="1419" t="str">
        <f ca="1">IFERROR(IF(OR('GHG Calcs'!$CD19="Diesel",'GHG Calcs'!$CD19="Renewable Diesel",'GHG Calcs'!$CD19="Biodiesel"),VLOOKUP('GHG Calcs'!$CG19,'Shuttle C&amp;T EF'!$D$30:$Q$2315,6,0),VLOOKUP('GHG Calcs'!$CG19,'Shuttle C&amp;T EF'!$D$30:$Q$2315,7,0))/$EU19,"")</f>
        <v/>
      </c>
      <c r="DX19" s="1419" t="str">
        <f ca="1">IFERROR(IF(OR('GHG Calcs'!$CD19="Diesel",'GHG Calcs'!$CD19="Renewable Diesel",'GHG Calcs'!$CD19="Biodiesel"),VLOOKUP('GHG Calcs'!$CG19,'Shuttle C&amp;T EF'!$D$30:$Q$2315,8,0),IF(OR('GHG Calcs'!$CD19="Electric",'GHG Calcs'!$CD19="Hydrogen Fuel Cell",'GHG Calcs'!$CD19="Renewable Electricity"),VLOOKUP('GHG Calcs'!$CG19,'Shuttle C&amp;T EF'!$D$30:$Q$2315,10,0),VLOOKUP('GHG Calcs'!$CG19,'Shuttle C&amp;T EF'!$D$30:$Q$2315,9,0)))/$EU19,"")</f>
        <v/>
      </c>
      <c r="DY19" s="1419" t="str">
        <f ca="1">IFERROR(IF(OR('GHG Calcs'!$CD19="Diesel",'GHG Calcs'!$CD19="Renewable Diesel",'GHG Calcs'!$CD19="Biodiesel"),VLOOKUP('GHG Calcs'!$CG19,'Shuttle C&amp;T EF'!$D$30:$Q$2315,11,0),IF(OR('GHG Calcs'!$CD19="Electric",'GHG Calcs'!$CD19="Hydrogen Fuel Cell",'GHG Calcs'!$CD19="Renewable Electricity"),VLOOKUP('GHG Calcs'!$CG19,'Shuttle C&amp;T EF'!$D$30:$Q$2315,13,0),VLOOKUP('GHG Calcs'!$CG19,'Shuttle C&amp;T EF'!$D$30:$Q$2315,12,0)))/$EU19,"")</f>
        <v/>
      </c>
      <c r="DZ19" s="1419" t="str">
        <f ca="1">IFERROR(IF(OR('GHG Calcs'!$CD19="Diesel",'GHG Calcs'!$CD19="Biodiesel",'GHG Calcs'!$CD19="Renewable Diesel"),VLOOKUP('GHG Calcs'!$CG19,'Shuttle C&amp;T EF'!$D$30:$Q$2315,14,0),0)/$EU19,"")</f>
        <v/>
      </c>
      <c r="EA19" s="306" t="str">
        <f ca="1">IFERROR((VLOOKUP('GHG Calcs'!$CG19,'Over-Road Coach C&amp;T EF'!$D$29:$N$2314,2,0)+VLOOKUP('GHG Calcs'!$CG19,'Over-Road Coach C&amp;T EF'!$D$29:$N$2314,3,0))/$EV19,"")</f>
        <v/>
      </c>
      <c r="EB19" s="306" t="str">
        <f ca="1">IFERROR((VLOOKUP('GHG Calcs'!$CG19,'Over-Road Coach C&amp;T EF'!$D$29:$N$2314,4,0)+VLOOKUP('GHG Calcs'!$CG19,'Over-Road Coach C&amp;T EF'!$D$29:$N$2314,5,0))/$EV19,"")</f>
        <v/>
      </c>
      <c r="EC19" s="306" t="str">
        <f ca="1">IFERROR((VLOOKUP('GHG Calcs'!$CG19,'Over-Road Coach C&amp;T EF'!$D$29:$N$2314,6,0)+VLOOKUP('GHG Calcs'!$CG19,'Over-Road Coach C&amp;T EF'!$D$29:$N$2314,7,0))/$EV19,"")</f>
        <v/>
      </c>
      <c r="ED19" s="306" t="str">
        <f ca="1">IFERROR(VLOOKUP('GHG Calcs'!$CG19,'Over-Road Coach C&amp;T EF'!$D$29:$N$2314,8,0)/$EV19,"")</f>
        <v/>
      </c>
      <c r="EE19" s="306" t="str">
        <f ca="1">IFERROR(VLOOKUP('GHG Calcs'!$CG19,'Over-Road Coach C&amp;T EF'!$D$29:$N$2314,9,0)/$EV19,"")</f>
        <v/>
      </c>
      <c r="EF19" s="306" t="str">
        <f ca="1">IFERROR((VLOOKUP('GHG Calcs'!$CG19,'Over-Road Coach C&amp;T EF'!$D$29:$N$2314,10,0)+VLOOKUP('GHG Calcs'!$CG19,'Over-Road Coach C&amp;T EF'!$D$29:$N$2314,11,0))/$EV19,"")</f>
        <v/>
      </c>
      <c r="EG19" s="306" t="str">
        <f ca="1">IFERROR(VLOOKUP(DG19,'Co-Benefit Calcs'!$E$76:$I$83,2,0)/'Rail C&amp;T EF'!$K$14,"")</f>
        <v/>
      </c>
      <c r="EH19" s="306" t="str">
        <f ca="1">IFERROR(VLOOKUP(DG19,'Co-Benefit Calcs'!$E$76:$I$83,3,0)/'Rail C&amp;T EF'!$K$14,"")</f>
        <v/>
      </c>
      <c r="EI19" s="306" t="str">
        <f ca="1">IFERROR(VLOOKUP(DG19,'Co-Benefit Calcs'!$E$76:$I$83,4,0)/'Rail C&amp;T EF'!$K$14,"")</f>
        <v/>
      </c>
      <c r="EJ19" s="306" t="str">
        <f ca="1">IFERROR(IF('GHG Calcs'!$CD19="Gasoline",0,VLOOKUP(DG19,'Co-Benefit Calcs'!$E$76:$I$83,5,0))/'Rail C&amp;T EF'!$K$14,"")</f>
        <v/>
      </c>
      <c r="EK19" s="306" t="str">
        <f ca="1">IFERROR(VLOOKUP('GHG Calcs'!CF19,'Rail C&amp;T EF'!$A$43:$Y$133,IF(DH19&gt;750,23, IF(DH19&gt;=600,20, IF(DH19&gt;=300,17, IF(DH19&gt;=175,14, IF(DH19&gt;=100,11, IF(DH19&gt;=75,8, IF(DH19&gt;=50,5, 2))))))),0) * IF($DH19&gt;=750,'Rail C&amp;T EF'!$K$18,'Rail C&amp;T EF'!$K$19) * IF(OR('GHG Calcs'!CD19="Diesel", 'GHG Calcs'!CD19="Renewable Diesel", 'GHG Calcs'!CD19="Biodiesel"),'Rail C&amp;T EF'!$B$141,'Rail C&amp;T EF'!$B$142),"")</f>
        <v/>
      </c>
      <c r="EL19" s="306" t="str">
        <f ca="1">IFERROR(VLOOKUP('GHG Calcs'!$CF19,'Rail C&amp;T EF'!$A$43:$Y$133,IF(DH19&gt;750,24, IF(DH19&gt;=600,21, IF(DH19&gt;=300,18, IF(DH19&gt;=175,15, IF(DH19&gt;=100,12, IF(DH19&gt;=75,9, IF(DH19&gt;=50,6, 3))))))),0) * IF($DH19&gt;=750,'Rail C&amp;T EF'!$K$18,'Rail C&amp;T EF'!$K$19),"")</f>
        <v/>
      </c>
      <c r="EM19" s="306" t="str">
        <f ca="1">IFERROR(VLOOKUP('GHG Calcs'!$CF19,'Rail C&amp;T EF'!$A$43:$Y$133,IF(DH19&gt;750,25, IF(DH19&gt;=600,22, IF(DH19&gt;=300,19, IF(DH19&gt;=175,16, IF(DH19&gt;=100,13, IF(DH19&gt;=75,10, IF(DH19&gt;=50,7, 4))))))),0) * IF($DH19&gt;=750,'Rail C&amp;T EF'!$K$18,'Rail C&amp;T EF'!$K$19)*'Rail C&amp;T EF'!$B$146,"")</f>
        <v/>
      </c>
      <c r="EN19" s="306" t="str">
        <f ca="1">IFERROR(IF('GHG Calcs'!CD19="Gasoline",0,VLOOKUP('GHG Calcs'!$CF19,'Rail C&amp;T EF'!$A$43:$Y$133,IF(DH19&gt;750,25, IF(DH19&gt;=600,22, IF(DH19&gt;=300,19, IF(DH19&gt;=175,16, IF(DH19&gt;=100,13, IF(DH19&gt;=75,10, IF(DH19&gt;=50,7, 4))))))),0) * IF($DH19&gt;=750,'Rail C&amp;T EF'!$K$18,'Rail C&amp;T EF'!$K$19)),"")</f>
        <v/>
      </c>
      <c r="EO19" s="306" t="str">
        <f ca="1">IFERROR(VLOOKUP('GHG Calcs'!$CF19,'Ferry C&amp;T EF'!$A$106:$AK$196,IF(DH19&gt;=3301,35, IF(DH19&gt;=1901,31, IF(DH19&gt;=751,27, IF(DH19&gt;=501,23, IF(DH19&gt;=251,19, IF(DH19&gt;=176,15, IF(DH19&gt;=121,11, IF(DH19&gt;=51,7, 3)))))))),0),"")</f>
        <v/>
      </c>
      <c r="EP19" s="306" t="str">
        <f ca="1">IFERROR(VLOOKUP('GHG Calcs'!$CF19,'Ferry C&amp;T EF'!$A$106:$AK$196,IF(DH19&gt;=3301,34, IF(DH19&gt;=1901,30, IF(DH19&gt;=751,26, IF(DH19&gt;=501,22, IF(DH19&gt;=251,18, IF(DH19&gt;=176,14, IF(DH19&gt;=121,10, IF(DH19&gt;=51,6, 2)))))))),0),"")</f>
        <v/>
      </c>
      <c r="EQ19" s="306" t="str">
        <f ca="1">IFERROR(VLOOKUP('GHG Calcs'!$CF19,'Ferry C&amp;T EF'!$A$106:$AK$196,IF(DH19&gt;=3301,37, IF(DH19&gt;=1901,33, IF(DH19&gt;=751,29, IF(DH19&gt;=501,25, IF(DH19&gt;=251,21, IF(DH19&gt;=176,17, IF(DH19&gt;=121,13, IF(DH19&gt;=51,9, 5)))))))),0),"")</f>
        <v/>
      </c>
      <c r="ER19" s="306" t="str">
        <f ca="1">IFERROR(IF('GHG Calcs'!$CD19="Gasoline",0,VLOOKUP('GHG Calcs'!$CF19,'Ferry C&amp;T EF'!$A$106:$AK$196,IF(DH19&gt;=3301,36, IF(DH19&gt;=1901,32, IF(DH19&gt;=751,28, IF(DH19&gt;=501,24, IF(DH19&gt;=251,20, IF(DH19&gt;=176,16, IF(DH19&gt;=121,12, IF(DH19&gt;=51,8, 4)))))))),0)),"")</f>
        <v/>
      </c>
      <c r="ES19" s="1419" t="str">
        <f ca="1">IFERROR(IF('GHG Calcs'!$CD19="Gasoline",VLOOKUP('GHG Calcs'!$CG19,'Fuel Consumption'!$A$31:$L$2316,3,0),IF(OR('GHG Calcs'!$CD19="CNG",'GHG Calcs'!$CD19="LNG",'GHG Calcs'!$CD19="Renewable Natural Gas"),VLOOKUP('GHG Calcs'!$CG19,'Fuel Consumption'!$A$31:$L$2316,4,0)*VLOOKUP('GHG Calcs'!$CD19,'GHG EF'!$B$10:$H$19,4,0),VLOOKUP('GHG Calcs'!$CG19,'Fuel Consumption'!$A$31:$L$2316,2,0)*VLOOKUP('GHG Calcs'!$AD19,'GHG EF'!$B$10:$H$19,4,0))),"")</f>
        <v/>
      </c>
      <c r="ET19" s="1419" t="str">
        <f ca="1">IFERROR(IF(OR('GHG Calcs'!$CD19="Diesel",'GHG Calcs'!$CD19="Renewable Diesel",'GHG Calcs'!$CD19="Biodiesel"),VLOOKUP('GHG Calcs'!$CG19,'Fuel Consumption'!$A$31:$L$2316,6,0)*VLOOKUP('GHG Calcs'!$CD19,'GHG EF'!$B$10:$H$19,4,0),VLOOKUP('GHG Calcs'!$CG19,'Fuel Consumption'!$A$31:$L$2316,7,0)*VLOOKUP('GHG Calcs'!$CD19,'GHG EF'!$B$10:$H$19,5,0)),"")</f>
        <v/>
      </c>
      <c r="EU19" s="1419" t="str">
        <f ca="1">IFERROR(IF(OR('GHG Calcs'!$CD19="Diesel",'GHG Calcs'!$CD19="Renewable Diesel",'GHG Calcs'!$CD19="Biodiesel"),VLOOKUP('GHG Calcs'!$CG19,'Fuel Consumption'!$A$31:$L$2316,9,0)*VLOOKUP('GHG Calcs'!$CD19,'GHG EF'!$B$10:$H$19,4,0),VLOOKUP('GHG Calcs'!$CG19,'Fuel Consumption'!$A$31:$L$2316,10,0)*VLOOKUP('GHG Calcs'!$CD19,'GHG EF'!$B$10:$H$19,5,0)),"")</f>
        <v/>
      </c>
      <c r="EV19" s="1419" t="str">
        <f ca="1">IFERROR(VLOOKUP('GHG Calcs'!$CG19,'Fuel Consumption'!$A$31:$L$2316,12,0)*VLOOKUP('GHG Calcs'!$CD19,'GHG EF'!$B$10:$H$19,4,0),"")</f>
        <v/>
      </c>
      <c r="EW19" s="1373" t="str">
        <f ca="1">IFERROR(IF(OR('GHG Calcs'!CD19=Defaults!$I$4, 'GHG Calcs'!CD19=Defaults!$I$6, 'GHG Calcs'!CD19=Defaults!$I$8),'GHG Calcs'!CE19,IF('GHG Calcs'!CD19=Defaults!$I$3, 'GHG Calcs'!CE19*'GHG EF'!$C$11/'GHG EF'!$C$12,""))*('GHG Calcs'!I19-'GHG Calcs'!H19),"")</f>
        <v/>
      </c>
      <c r="EX19" s="1373" t="str">
        <f ca="1">IFERROR(IF('GHG Calcs'!CD19=Defaults!$I$5,'GHG Calcs'!CE19,"")*('GHG Calcs'!I19-'GHG Calcs'!H19),"")</f>
        <v/>
      </c>
      <c r="EY19" s="1420" t="str">
        <f ca="1">IFERROR('GHG Calcs'!CE19*VLOOKUP('GHG Calcs'!CD19,'Fuel &amp; Travel Costs'!$B$10:$C$19,2,0)*('GHG Calcs'!I19-'GHG Calcs'!H19),"")</f>
        <v/>
      </c>
      <c r="EZ19" s="1420" t="str">
        <f t="shared" ca="1" si="0"/>
        <v/>
      </c>
      <c r="FA19" s="306">
        <f ca="1">INDIRECT("'Quantifiable Component "&amp;$B19&amp;"'!"&amp;$D19&amp;ROW('Quantifiable Component 1'!$77:$77))</f>
        <v>0</v>
      </c>
      <c r="FB19" s="306">
        <f ca="1">INDIRECT("'Quantifiable Component "&amp;$B19&amp;"'!"&amp;$D19&amp;ROW('Quantifiable Component 1'!$78:$78))</f>
        <v>0</v>
      </c>
      <c r="FC19" s="306">
        <f ca="1">INDIRECT("'Quantifiable Component "&amp;$B19&amp;"'!"&amp;$D19&amp;ROW('Quantifiable Component 1'!$79:$79))</f>
        <v>0</v>
      </c>
      <c r="FD19" s="306">
        <f ca="1">INDIRECT("'Quantifiable Component "&amp;$B19&amp;"'!"&amp;$D19&amp;ROW('Quantifiable Component 1'!$80:$80))</f>
        <v>0</v>
      </c>
      <c r="FE19" s="306">
        <f ca="1">INDIRECT("'Quantifiable Component "&amp;$B19&amp;"'!"&amp;$D19&amp;ROW('Quantifiable Component 1'!$81:$81))</f>
        <v>0</v>
      </c>
    </row>
    <row r="20" spans="1:161" s="117" customFormat="1" x14ac:dyDescent="0.35">
      <c r="A20" s="1648"/>
      <c r="B20" s="1367">
        <v>3</v>
      </c>
      <c r="C20" s="1380">
        <v>3</v>
      </c>
      <c r="D20" s="1368" t="str">
        <f>'GHG Calcs'!D20</f>
        <v>K</v>
      </c>
      <c r="E20" s="1416">
        <f ca="1">'GHG Calcs'!U20</f>
        <v>0</v>
      </c>
      <c r="F20" s="1416">
        <f ca="1">'GHG Calcs'!W20</f>
        <v>0</v>
      </c>
      <c r="G20" s="1417" t="str">
        <f ca="1">IFERROR(VLOOKUP('GHG Calcs'!K20,'Auto C&amp;T EF'!$C$35:$K$2662,2,0)*E20,"")</f>
        <v/>
      </c>
      <c r="H20" s="1417" t="str">
        <f ca="1">IFERROR(VLOOKUP('GHG Calcs'!L20,'Auto C&amp;T EF'!$C$35:$K$2662,2,0)*F20,"")</f>
        <v/>
      </c>
      <c r="I20" s="1417" t="str">
        <f ca="1">IFERROR(VLOOKUP('GHG Calcs'!$K20,'Auto C&amp;T EF'!$C$35:$K$2662,3,0)*$E20,"")</f>
        <v/>
      </c>
      <c r="J20" s="1417" t="str">
        <f ca="1">IFERROR(VLOOKUP('GHG Calcs'!$L20,'Auto C&amp;T EF'!$C$35:$K$2662,3,0)*$F20,"")</f>
        <v/>
      </c>
      <c r="K20" s="1417" t="str">
        <f ca="1">IFERROR((VLOOKUP('GHG Calcs'!$K20,'Auto C&amp;T EF'!$C$35:$K$2662,5,0)+VLOOKUP('GHG Calcs'!$K20,'Auto C&amp;T EF'!$C$35:$K$2662,6,0)+VLOOKUP('GHG Calcs'!$K20,'Auto C&amp;T EF'!$C$35:$K$2662,7,0))*$E20,"")</f>
        <v/>
      </c>
      <c r="L20" s="1417" t="str">
        <f ca="1">IFERROR((VLOOKUP('GHG Calcs'!$L20,'Auto C&amp;T EF'!$C$35:$K$2662,5,0)+VLOOKUP('GHG Calcs'!$L20,'Auto C&amp;T EF'!$C$35:$K$2662,6,0)+VLOOKUP('GHG Calcs'!$L20,'Auto C&amp;T EF'!$C$35:$K$2662,7,0))*$F20,"")</f>
        <v/>
      </c>
      <c r="M20" s="1417" t="str">
        <f ca="1">IFERROR(VLOOKUP('GHG Calcs'!$K20,'Auto C&amp;T EF'!$C$35:$K$2662,8,0)*$E20,"")</f>
        <v/>
      </c>
      <c r="N20" s="1417" t="str">
        <f ca="1">IFERROR(VLOOKUP('GHG Calcs'!$L20,'Auto C&amp;T EF'!$C$35:$K$2662,8,0)*$F20,"")</f>
        <v/>
      </c>
      <c r="O20" s="1418">
        <f ca="1">IFERROR(AVERAGE(G20:H20)*('GHG Calcs'!I20-'GHG Calcs'!H20),0)</f>
        <v>0</v>
      </c>
      <c r="P20" s="1418">
        <f ca="1">IFERROR(AVERAGE(I20:J20)*('GHG Calcs'!I20-'GHG Calcs'!H20),0)</f>
        <v>0</v>
      </c>
      <c r="Q20" s="1418">
        <f ca="1">IFERROR(AVERAGE(K20:L20)*('GHG Calcs'!I20-'GHG Calcs'!H20),0)</f>
        <v>0</v>
      </c>
      <c r="R20" s="1418">
        <f ca="1">IFERROR(AVERAGE(M20:N20)*('GHG Calcs'!I20-'GHG Calcs'!H20),0)</f>
        <v>0</v>
      </c>
      <c r="S20" s="1418">
        <f ca="1">IFERROR(AVERAGE(E20*VLOOKUP('GHG Calcs'!K20,'Auto C&amp;T EF'!$C$35:$L$2662,10,0),F20*VLOOKUP('GHG Calcs'!L20,'Auto C&amp;T EF'!$C$35:$L$2662,10,0))*('GHG Calcs'!I20-'GHG Calcs'!H20),0)</f>
        <v>0</v>
      </c>
      <c r="T20" s="1379">
        <f ca="1">INDIRECT("'Quantifiable Component "&amp;$B20&amp;"'!"&amp;$D20&amp;ROW('Quantifiable Component 1'!$47:$47))</f>
        <v>0</v>
      </c>
      <c r="U20" s="1379">
        <f ca="1">INDIRECT("'Quantifiable Component "&amp;$B20&amp;"'!"&amp;$D20&amp;ROW('Quantifiable Component 1'!$48:$48))</f>
        <v>0</v>
      </c>
      <c r="V20" s="306" t="str">
        <f ca="1">IFERROR(IF('GHG Calcs'!$AD20="Gasoline",VLOOKUP('GHG Calcs'!$AH20,'Bus C&amp;T EF'!$D$30:$V$2315,3,0),IF(OR('GHG Calcs'!$AD20="CNG",'GHG Calcs'!$AD20="LNG",'GHG Calcs'!$AD20="Renewable Natural Gas"),VLOOKUP('GHG Calcs'!$AH20,'Bus C&amp;T EF'!$D$30:$V$2315,4,0),VLOOKUP('GHG Calcs'!$AH20,'Bus C&amp;T EF'!$D$30:$V$2315,2,0)))/IF('GHG Calcs'!AE20&gt;0,$BF20,1),"")</f>
        <v/>
      </c>
      <c r="W20" s="306" t="str">
        <f ca="1">IFERROR(IF('GHG Calcs'!$AD20="Gasoline",VLOOKUP('GHG Calcs'!$AH20,'Bus C&amp;T EF'!$D$30:$V$2315,6,0),IF(OR('GHG Calcs'!$AD20="CNG",'GHG Calcs'!$AD20="LNG",'GHG Calcs'!$AD20="Renewable Natural Gas"),VLOOKUP('GHG Calcs'!$AH20,'Bus C&amp;T EF'!$D$30:$V$2315,7,0),VLOOKUP('GHG Calcs'!$AH20,'Bus C&amp;T EF'!$D$30:$V$2315,5,0)))/IF('GHG Calcs'!AE20&gt;0,$BF20,1),"")</f>
        <v/>
      </c>
      <c r="X20" s="1419" t="str">
        <f ca="1">IFERROR(IF('GHG Calcs'!$AD20="Gasoline",VLOOKUP('GHG Calcs'!$AH20,'Bus C&amp;T EF'!$D$30:$V$2315,9,0),IF(OR('GHG Calcs'!$AD20="CNG",'GHG Calcs'!$AD20="LNG",'GHG Calcs'!$AD20="Renewable Natural Gas"),VLOOKUP('GHG Calcs'!$AH20,'Bus C&amp;T EF'!$D$30:$V$2315,10,0),VLOOKUP('GHG Calcs'!$AH20,'Bus C&amp;T EF'!$D$30:$V$2315,8,0)))/IF('GHG Calcs'!AE20&gt;0,$BF20,1),"")</f>
        <v/>
      </c>
      <c r="Y20" s="1419" t="str">
        <f ca="1">IFERROR(IF('GHG Calcs'!$AD20="Gasoline",VLOOKUP('GHG Calcs'!$AH20,'Bus C&amp;T EF'!$D$30:$V$2315,12,0),IF(OR('GHG Calcs'!$AD20="CNG",'GHG Calcs'!$AD20="LNG",'GHG Calcs'!$AD20="Renewable Natural Gas"),VLOOKUP('GHG Calcs'!$AH20,'Bus C&amp;T EF'!$D$30:$V$2315,13,0),IF(OR('GHG Calcs'!$AD20="Electric",'GHG Calcs'!$AD20="Hydrogen Fuel Cell",'GHG Calcs'!$AD20="Renewable Electricity"),VLOOKUP('GHG Calcs'!$AH20,'Bus C&amp;T EF'!$D$30:$V$2315,14,0),VLOOKUP('GHG Calcs'!$AH20,'Bus C&amp;T EF'!$D$30:$V$2315,11,0))))/IF('GHG Calcs'!AE20&gt;0,$BF20,1),"")</f>
        <v/>
      </c>
      <c r="Z20" s="1419" t="str">
        <f ca="1">IFERROR(IF('GHG Calcs'!$AD20="Gasoline",VLOOKUP('GHG Calcs'!$AH20,'Bus C&amp;T EF'!$D$30:$V$2315,16,0),IF(OR('GHG Calcs'!$AD20="CNG",'GHG Calcs'!$AD20="LNG",'GHG Calcs'!$AD20="Renewable Natural Gas"),VLOOKUP('GHG Calcs'!$AH20,'Bus C&amp;T EF'!$D$30:$V$2315,17,0),IF(OR('GHG Calcs'!$AD20="Electric",'GHG Calcs'!$AD20="Hydrogen Fuel Cell",'GHG Calcs'!$AD20="Renewable Electricity"),VLOOKUP('GHG Calcs'!$AH20,'Bus C&amp;T EF'!$D$30:$V$2315,18,0),VLOOKUP('GHG Calcs'!$AH20,'Bus C&amp;T EF'!$D$30:$V$2315,15,0))))/IF('GHG Calcs'!AE20&gt;0,$BF20,1),"")</f>
        <v/>
      </c>
      <c r="AA20" s="306" t="str">
        <f ca="1">IFERROR(IF('GHG Calcs'!$AD20="Gasoline",0,VLOOKUP('GHG Calcs'!$AH20,'Bus C&amp;T EF'!$D$30:$V$2315,19,0))/IF('GHG Calcs'!AE20&gt;0,$BF20,1),"")</f>
        <v/>
      </c>
      <c r="AB20" s="1419" t="str">
        <f ca="1">IFERROR(IF(OR('GHG Calcs'!$AD20="Diesel",'GHG Calcs'!$AD20="Renewable Diesel",'GHG Calcs'!$AD20="Biodiesel"),VLOOKUP('GHG Calcs'!$AH20,'Van C&amp;T EF'!$D$30:$Q$2315,2,0),VLOOKUP('GHG Calcs'!$AH20,'Van C&amp;T EF'!$D$30:$Q$2315,3,0))/IF('GHG Calcs'!AE20&gt;0,$BG20,1),"")</f>
        <v/>
      </c>
      <c r="AC20" s="1419" t="str">
        <f ca="1">IFERROR(IF(OR('GHG Calcs'!$AD20="Diesel",'GHG Calcs'!$AD20="Renewable Diesel",'GHG Calcs'!$AD20="Biodiesel"),VLOOKUP('GHG Calcs'!$AH20,'Van C&amp;T EF'!$D$30:$Q$2315,4,0),VLOOKUP('GHG Calcs'!$AH20,'Van C&amp;T EF'!$D$30:$Q$2315,5,0))/IF('GHG Calcs'!AE20&gt;0,$BG20,1),"")</f>
        <v/>
      </c>
      <c r="AD20" s="1419" t="str">
        <f ca="1">IFERROR(IF(OR('GHG Calcs'!$AD20="Diesel",'GHG Calcs'!$AD20="Renewable Diesel",'GHG Calcs'!$AD20="Biodiesel"),VLOOKUP('GHG Calcs'!$AH20,'Van C&amp;T EF'!$D$30:$Q$2315,6,0),VLOOKUP('GHG Calcs'!$AH20,'Van C&amp;T EF'!$D$30:$Q$2315,7,0))/IF('GHG Calcs'!AE20&gt;0,$BG20,1),"")</f>
        <v/>
      </c>
      <c r="AE20" s="1419" t="str">
        <f ca="1">IFERROR(IF(OR('GHG Calcs'!$AD20="Diesel",'GHG Calcs'!$AD20="Renewable Diesel",'GHG Calcs'!$AD20="Biodiesel"),VLOOKUP('GHG Calcs'!$AH20,'Van C&amp;T EF'!$D$30:$Q$2315,8,0),IF(OR('GHG Calcs'!$AD20="Electric",'GHG Calcs'!$AD20="Hydrogen Fuel Cell",'GHG Calcs'!$AD20="Renewable Electricity"),VLOOKUP('GHG Calcs'!$AH20,'Van C&amp;T EF'!$D$30:$Q$2315,10,0),VLOOKUP('GHG Calcs'!$AH20,'Van C&amp;T EF'!$D$30:$Q$2315,9,0)))/IF('GHG Calcs'!AE20&gt;0,$BG20,1),"")</f>
        <v/>
      </c>
      <c r="AF20" s="1419" t="str">
        <f ca="1">IFERROR(IF(OR('GHG Calcs'!$AD20="Diesel",'GHG Calcs'!$AD20="Renewable Diesel",'GHG Calcs'!$AD20="Biodiesel"),VLOOKUP('GHG Calcs'!$AH20,'Van C&amp;T EF'!$D$30:$Q$2315,11,0),IF(OR('GHG Calcs'!$AD20="Electric",'GHG Calcs'!$AD20="Hydrogen Fuel Cell",'GHG Calcs'!$AD20="Renewable Electricity"),VLOOKUP('GHG Calcs'!$AH20,'Van C&amp;T EF'!$D$30:$Q$2315,13,0),VLOOKUP('GHG Calcs'!$AH20,'Van C&amp;T EF'!$D$30:$Q$2315,12,0)))/IF('GHG Calcs'!AE20&gt;0,$BG20,1),"")</f>
        <v/>
      </c>
      <c r="AG20" s="306">
        <f ca="1">IFERROR(IF(OR('GHG Calcs'!$AD20="Diesel",'GHG Calcs'!$AD20="Biodiesel",'GHG Calcs'!$AD20="Renewable Diesel"),VLOOKUP('GHG Calcs'!$AH20,'Van C&amp;T EF'!$D$30:$Q$2315,14,0),0)/IF('GHG Calcs'!AE20&gt;0,$BG20,1),"")</f>
        <v>0</v>
      </c>
      <c r="AH20" s="1419" t="str">
        <f ca="1">IFERROR(IF(OR('GHG Calcs'!$AD20="Diesel",'GHG Calcs'!$AD20="Renewable Diesel",'GHG Calcs'!$AD20="Biodiesel"),VLOOKUP('GHG Calcs'!$AH20,'Shuttle C&amp;T EF'!$D$30:$Q$2315,2,0),VLOOKUP('GHG Calcs'!$AH20,'Shuttle C&amp;T EF'!$D$30:$Q$2315,3,0))/IF('GHG Calcs'!AE20&gt;0,$BH20,1),"")</f>
        <v/>
      </c>
      <c r="AI20" s="1419" t="str">
        <f ca="1">IFERROR(IF(OR('GHG Calcs'!$AD20="Diesel",'GHG Calcs'!$AD20="Renewable Diesel",'GHG Calcs'!$AD20="Biodiesel"),VLOOKUP('GHG Calcs'!$AH20,'Shuttle C&amp;T EF'!$D$30:$Q$2315,4,0),VLOOKUP('GHG Calcs'!$AH20,'Shuttle C&amp;T EF'!$D$30:$Q$2315,5,0))/IF('GHG Calcs'!AE20&gt;0,$BH20,1),"")</f>
        <v/>
      </c>
      <c r="AJ20" s="1419" t="str">
        <f ca="1">IFERROR(IF(OR('GHG Calcs'!$AD20="Diesel",'GHG Calcs'!$AD20="Renewable Diesel",'GHG Calcs'!$AD20="Biodiesel"),VLOOKUP('GHG Calcs'!$AH20,'Shuttle C&amp;T EF'!$D$30:$Q$2315,6,0),VLOOKUP('GHG Calcs'!$AH20,'Shuttle C&amp;T EF'!$D$30:$Q$2315,7,0))/IF('GHG Calcs'!AE20&gt;0,$BH20,1),"")</f>
        <v/>
      </c>
      <c r="AK20" s="1419" t="str">
        <f ca="1">IFERROR(IF(OR('GHG Calcs'!$AD20="Diesel",'GHG Calcs'!$AD20="Renewable Diesel",'GHG Calcs'!$AD20="Biodiesel"),VLOOKUP('GHG Calcs'!$AH20,'Shuttle C&amp;T EF'!$D$30:$Q$2315,8,0),IF(OR('GHG Calcs'!$AD20="Electric",'GHG Calcs'!$AD20="Hydrogen Fuel Cell",'GHG Calcs'!$AD20="Renewable Electricity"),VLOOKUP('GHG Calcs'!$AH20,'Shuttle C&amp;T EF'!$D$30:$Q$2315,10,0),VLOOKUP('GHG Calcs'!$AH20,'Shuttle C&amp;T EF'!$D$30:$Q$2315,9,0)))/IF('GHG Calcs'!AE20&gt;0,$BH20,1),"")</f>
        <v/>
      </c>
      <c r="AL20" s="1419" t="str">
        <f ca="1">IFERROR(IF(OR('GHG Calcs'!$AD20="Diesel",'GHG Calcs'!$AD20="Renewable Diesel",'GHG Calcs'!$AD20="Biodiesel"),VLOOKUP('GHG Calcs'!$AH20,'Shuttle C&amp;T EF'!$D$30:$Q$2315,11,0),IF(OR('GHG Calcs'!$AD20="Electric",'GHG Calcs'!$AD20="Hydrogen Fuel Cell",'GHG Calcs'!$AD20="Renewable Electricity"),VLOOKUP('GHG Calcs'!$AH20,'Shuttle C&amp;T EF'!$D$30:$Q$2315,13,0),VLOOKUP('GHG Calcs'!$AH20,'Shuttle C&amp;T EF'!$D$30:$Q$2315,12,0)))/IF('GHG Calcs'!AE20&gt;0,$BH20,1),"")</f>
        <v/>
      </c>
      <c r="AM20" s="1419">
        <f ca="1">IFERROR(IF(OR('GHG Calcs'!$AD20="Diesel",'GHG Calcs'!$AD20="Biodiesel",'GHG Calcs'!$AD20="Renewable Diesel"),VLOOKUP('GHG Calcs'!$AH20,'Shuttle C&amp;T EF'!$D$30:$Q$2315,14,0),0)/IF('GHG Calcs'!AE20&gt;0,$BH20,1),"")</f>
        <v>0</v>
      </c>
      <c r="AN20" s="306" t="str">
        <f ca="1">IFERROR((VLOOKUP('GHG Calcs'!$AH20,'Over-Road Coach C&amp;T EF'!$D$29:$N$2314,2,0)+VLOOKUP('GHG Calcs'!$AH20,'Over-Road Coach C&amp;T EF'!$D$29:$N$2314,3,0))/IF('GHG Calcs'!AE20&gt;0,$BI20,1),"")</f>
        <v/>
      </c>
      <c r="AO20" s="306" t="str">
        <f ca="1">IFERROR((VLOOKUP('GHG Calcs'!$AH20,'Over-Road Coach C&amp;T EF'!$D$29:$N$2314,4,0)+VLOOKUP('GHG Calcs'!$AH20,'Over-Road Coach C&amp;T EF'!$D$29:$N$2314,5,0))/IF('GHG Calcs'!AE20&gt;0,$BI20,1),"")</f>
        <v/>
      </c>
      <c r="AP20" s="306" t="str">
        <f ca="1">IFERROR((VLOOKUP('GHG Calcs'!$AH20,'Over-Road Coach C&amp;T EF'!$D$29:$N$2314,6,0)+VLOOKUP('GHG Calcs'!$AH20,'Over-Road Coach C&amp;T EF'!$D$29:$N$2314,7,0))/IF('GHG Calcs'!AE20&gt;0,$BI20,1),"")</f>
        <v/>
      </c>
      <c r="AQ20" s="306" t="str">
        <f ca="1">IFERROR(VLOOKUP('GHG Calcs'!$AH20,'Over-Road Coach C&amp;T EF'!$D$29:$N$2314,8,0)/IF('GHG Calcs'!AE20&gt;0,$BI20,1),"")</f>
        <v/>
      </c>
      <c r="AR20" s="306" t="str">
        <f ca="1">IFERROR(VLOOKUP('GHG Calcs'!$AH20,'Over-Road Coach C&amp;T EF'!$D$29:$N$2314,9,0)/IF('GHG Calcs'!AE20&gt;0,$BI20,1),"")</f>
        <v/>
      </c>
      <c r="AS20" s="306" t="str">
        <f ca="1">IFERROR((VLOOKUP('GHG Calcs'!$AH20,'Over-Road Coach C&amp;T EF'!$D$29:$N$2314,10,0)+VLOOKUP('GHG Calcs'!$AH20,'Over-Road Coach C&amp;T EF'!$D$29:$N$2314,11,0))/IF('GHG Calcs'!AE20&gt;0,$BI20,1),"")</f>
        <v/>
      </c>
      <c r="AT20" s="306" t="str">
        <f ca="1">IFERROR(VLOOKUP(T20,'Co-Benefit Calcs'!$E$76:$I$83,2,0)/IF('GHG Calcs'!$AE20&gt;0,'Rail C&amp;T EF'!$K$14,1),"")</f>
        <v/>
      </c>
      <c r="AU20" s="306" t="str">
        <f ca="1">IFERROR(VLOOKUP(T20,'Co-Benefit Calcs'!$E$76:$I$83,3,0)/IF('GHG Calcs'!$AE20&gt;0,'Rail C&amp;T EF'!$K$14,1),"")</f>
        <v/>
      </c>
      <c r="AV20" s="306" t="str">
        <f ca="1">IFERROR(VLOOKUP(T20,'Co-Benefit Calcs'!$E$76:$I$83,4,0)/IF('GHG Calcs'!$AE20&gt;0,'Rail C&amp;T EF'!$K$14,1),"")</f>
        <v/>
      </c>
      <c r="AW20" s="306" t="str">
        <f ca="1">IFERROR(IF('GHG Calcs'!$AD20="Gasoline",0,VLOOKUP(T20,'Co-Benefit Calcs'!$E$76:$I$83,5,0))/IF('GHG Calcs'!$AE20&gt;0,'Rail C&amp;T EF'!$K$14,1),"")</f>
        <v/>
      </c>
      <c r="AX20" s="306" t="str">
        <f ca="1">IFERROR(VLOOKUP('GHG Calcs'!$AG20,'Rail C&amp;T EF'!$A$43:$Y$133,IF(U20&gt;750,23, IF(U20&gt;=600,20, IF(U20&gt;=300,17, IF(U20&gt;=175,14, IF(U20&gt;=100,11, IF(U20&gt;=75,8, IF(U20&gt;=50,5, 2))))))),0) * IF($U20&gt;=750,'Rail C&amp;T EF'!$K$18,'Rail C&amp;T EF'!$K$19) * IF('GHG Calcs'!$AE20&gt;0,1,'Rail C&amp;T EF'!$B$149) * IF(OR('GHG Calcs'!AD20="Diesel", 'GHG Calcs'!AD20="Renewable Diesel", 'GHG Calcs'!AD20="Biodiesel"),'Rail C&amp;T EF'!$B$141,'Rail C&amp;T EF'!$B$142),"")</f>
        <v/>
      </c>
      <c r="AY20" s="306" t="str">
        <f ca="1">IFERROR(VLOOKUP('GHG Calcs'!$AG20,'Rail C&amp;T EF'!$A$43:$Y$133,IF(U20&gt;750,24, IF(U20&gt;=600,21, IF(U20&gt;=300,18, IF(U20&gt;=175,15, IF(U20&gt;=100,12, IF(U20&gt;=75,9, IF(U20&gt;=50,6, 3))))))),0) * IF($U20&gt;=750,'Rail C&amp;T EF'!$K$18,'Rail C&amp;T EF'!$K$19) * IF('GHG Calcs'!$AE20&gt;0,1,'Rail C&amp;T EF'!$B$149),"")</f>
        <v/>
      </c>
      <c r="AZ20" s="306" t="str">
        <f ca="1">IFERROR(VLOOKUP('GHG Calcs'!$AG20,'Rail C&amp;T EF'!$A$43:$Y$133,IF(U20&gt;750,25, IF(U20&gt;=600,22, IF(U20&gt;=300,19, IF(U20&gt;=175,16, IF(U20&gt;=100,13, IF(U20&gt;=75,10, IF(U20&gt;=50,7, 4))))))),0) * IF($U20&gt;=750,'Rail C&amp;T EF'!$K$18,'Rail C&amp;T EF'!$K$19) * IF('GHG Calcs'!$AE20&gt;0,1,'Rail C&amp;T EF'!$B$149)*'Rail C&amp;T EF'!$B$146,"")</f>
        <v/>
      </c>
      <c r="BA20" s="306" t="str">
        <f ca="1">IFERROR(IF('GHG Calcs'!$AD20="Gasoline",0,VLOOKUP('GHG Calcs'!$AG20,'Rail C&amp;T EF'!$A$43:$Y$133,IF(U20&gt;750,25, IF(U20&gt;=600,22, IF(U20&gt;=300,19, IF(U20&gt;=175,16, IF(U20&gt;=100,13, IF(U20&gt;=75,10, IF(U20&gt;=50,7, 4))))))),0) * IF($U20&gt;=750,'Rail C&amp;T EF'!$K$18,'Rail C&amp;T EF'!$K$19) * IF('GHG Calcs'!$AE20&gt;0,1,'Rail C&amp;T EF'!$B$149)),"")</f>
        <v/>
      </c>
      <c r="BB20" s="306" t="str">
        <f ca="1">IFERROR(VLOOKUP('GHG Calcs'!$AG20,'Ferry C&amp;T EF'!$A$106:$AK$196,IF(U20&gt;=3301,35, IF(U20&gt;=1901,31, IF(U20&gt;=751,27, IF(U20&gt;=501,23, IF(U20&gt;=251,19, IF(U20&gt;=176,15, IF(U20&gt;=121,11, IF(U20&gt;=51,7, 3)))))))),0),"")</f>
        <v/>
      </c>
      <c r="BC20" s="306" t="str">
        <f ca="1">IFERROR(VLOOKUP('GHG Calcs'!$AG20,'Ferry C&amp;T EF'!$A$106:$AK$196,IF(U20&gt;=3301,34, IF(U20&gt;=1901,30, IF(U20&gt;=751,26, IF(U20&gt;=501,22, IF(U20&gt;=251,18, IF(U20&gt;=176,14, IF(U20&gt;=121,10, IF(U20&gt;=51,6, 2)))))))),0),"")</f>
        <v/>
      </c>
      <c r="BD20" s="306" t="str">
        <f ca="1">IFERROR(VLOOKUP('GHG Calcs'!$AG20,'Ferry C&amp;T EF'!$A$106:$AK$196,IF(U20&gt;=3301,37, IF(U20&gt;=1901,33, IF(U20&gt;=751,29, IF(U20&gt;=501,25, IF(U20&gt;=251,21, IF(U20&gt;=176,17, IF(U20&gt;=121,13, IF(U20&gt;=51,9, 5)))))))),0),"")</f>
        <v/>
      </c>
      <c r="BE20" s="306" t="str">
        <f ca="1">IFERROR(IF('GHG Calcs'!$AD20="Gasoline",0,VLOOKUP('GHG Calcs'!$AG20,'Ferry C&amp;T EF'!$A$106:$AK$196,IF(U20&gt;=3301,36, IF(U20&gt;=1901,32, IF(U20&gt;=751,28, IF(U20&gt;=501,24, IF(U20&gt;=251,20, IF(U20&gt;=176,16, IF(U20&gt;=121,12, IF(U20&gt;=51,8, 4)))))))),0)),"")</f>
        <v/>
      </c>
      <c r="BF20" s="1419" t="str">
        <f ca="1">IFERROR(IF('GHG Calcs'!$AD20="Gasoline",VLOOKUP('GHG Calcs'!$AH20,'Fuel Consumption'!$A$31:$L$2316,3,0),IF(OR('GHG Calcs'!$AD20="CNG",'GHG Calcs'!$AD20="LNG",'GHG Calcs'!$AD20="Renewable Natural Gas"),VLOOKUP('GHG Calcs'!$AH20,'Fuel Consumption'!$A$31:$L$2316,4,0)*VLOOKUP('GHG Calcs'!$AD20,'GHG EF'!$B$10:$H$19,4,0),VLOOKUP('GHG Calcs'!$AH20,'Fuel Consumption'!$A$31:$L$2316,2,0)*VLOOKUP('GHG Calcs'!$AD20,'GHG EF'!$B$10:$H$19,4,0))),"")</f>
        <v/>
      </c>
      <c r="BG20" s="1419" t="str">
        <f ca="1">IFERROR(IF(OR('GHG Calcs'!$AD20="Diesel",'GHG Calcs'!$AD20="Renewable Diesel",'GHG Calcs'!$AD20="Biodiesel"),VLOOKUP('GHG Calcs'!$AH20,'Fuel Consumption'!$A$31:$L$2316,6,0)*VLOOKUP('GHG Calcs'!$AD20,'GHG EF'!$B$10:$H$19,4,0),VLOOKUP('GHG Calcs'!$AH20,'Fuel Consumption'!$A$31:$L$2316,7,0)*VLOOKUP('GHG Calcs'!$AD20,'GHG EF'!$B$10:$H$19,5,0)),"")</f>
        <v/>
      </c>
      <c r="BH20" s="1419" t="str">
        <f ca="1">IFERROR(IF(OR('GHG Calcs'!$AD20="Diesel",'GHG Calcs'!$AD20="Renewable Diesel",'GHG Calcs'!$AD20="Biodiesel"),VLOOKUP('GHG Calcs'!$AH20,'Fuel Consumption'!$A$31:$L$2316,9,0)*VLOOKUP('GHG Calcs'!$AD20,'GHG EF'!$B$10:$H$19,4,0),VLOOKUP('GHG Calcs'!$AH20,'Fuel Consumption'!$A$31:$L$2316,10,0)*VLOOKUP('GHG Calcs'!$AD20,'GHG EF'!$B$10:$H$19,5,0)),"")</f>
        <v/>
      </c>
      <c r="BI20" s="1419" t="str">
        <f ca="1">IFERROR(VLOOKUP('GHG Calcs'!$AH20,'Fuel Consumption'!$A$31:$L$2316,12,0)*VLOOKUP('GHG Calcs'!$AD20,'GHG EF'!$B$10:$H$19,4,0),"")</f>
        <v/>
      </c>
      <c r="BJ20" s="1373" t="str">
        <f ca="1">IFERROR(IF(OR('GHG Calcs'!AD20=Defaults!$I$3, 'GHG Calcs'!AD20=Defaults!$I$4, 'GHG Calcs'!AD20=Defaults!$I$6, 'GHG Calcs'!AD20=Defaults!$I$8), IF('GHG Calcs'!AE20&gt;0,'GHG Calcs'!AE20*IF('GHG Calcs'!AD20=Defaults!$I$3,'GHG EF'!$C$11/'GHG EF'!$C$12,1),'GHG Calcs'!AK20*'GHG Calcs'!AI20),"")*('GHG Calcs'!I20-'GHG Calcs'!H20),"")</f>
        <v/>
      </c>
      <c r="BK20" s="1373" t="str">
        <f ca="1">IFERROR(IF('GHG Calcs'!AD20=Defaults!$I$5,IF('GHG Calcs'!AE20&gt;0,'GHG Calcs'!AE20,'GHG Calcs'!AJ20*'GHG Calcs'!AI20),"")*IF('GHG Calcs'!AF20&lt;'GHG EF'!$D$13,'GHG Calcs'!AF20/'GHG EF'!$D$13,1)*IF('GHG Calcs'!AF20&lt;0,0,1)*('GHG Calcs'!I20-'GHG Calcs'!H20),"")</f>
        <v/>
      </c>
      <c r="BL20" s="1373" t="str">
        <f ca="1">IFERROR(IF('GHG Calcs'!AD20=Defaults!$I$11, IF(IF('GHG Calcs'!AE20&gt;0,'GHG Calcs'!AE20,'GHG Calcs'!AJ20*'GHG Calcs'!AI20)&lt;INDIRECT("'"&amp;#REF!&amp;"'!"&amp;$D20&amp;ROW(#REF!)), IF('GHG Calcs'!AE20&gt;0,'GHG Calcs'!AE20,'GHG Calcs'!AJ20*'GHG Calcs'!AI20), INDIRECT("'"&amp;#REF!&amp;"'!"&amp;$D20&amp;ROW(#REF!))),"")*('GHG Calcs'!I20-'GHG Calcs'!H20),"")</f>
        <v/>
      </c>
      <c r="BM20" s="1420" t="str">
        <f ca="1">IFERROR(IF('GHG Calcs'!AE20&gt;0,'GHG Calcs'!AE20,'GHG Calcs'!AL20*'GHG Calcs'!AI20)*VLOOKUP('GHG Calcs'!AD20,'Fuel &amp; Travel Costs'!$B$10:$C$19,2,0)*('GHG Calcs'!I20-'GHG Calcs'!H20),"")</f>
        <v/>
      </c>
      <c r="BN20" s="306">
        <f ca="1">INDIRECT("'Quantifiable Component "&amp;$B20&amp;"'!"&amp;$D20&amp;ROW('Quantifiable Component 1'!$59:$59))</f>
        <v>0</v>
      </c>
      <c r="BO20" s="306">
        <f ca="1">INDIRECT("'Quantifiable Component "&amp;$B20&amp;"'!"&amp;$D20&amp;ROW('Quantifiable Component 1'!$60:$60))</f>
        <v>0</v>
      </c>
      <c r="BP20" s="1421" t="str">
        <f ca="1">IFERROR(IF('GHG Calcs'!$BD20="Gasoline",VLOOKUP('GHG Calcs'!$BL20,'Bus C&amp;T EF'!$D$30:$V$2315,3,0),IF(OR('GHG Calcs'!$BD20="CNG",'GHG Calcs'!$BD20="LNG",'GHG Calcs'!$BD20="Renewable Natural Gas"),VLOOKUP('GHG Calcs'!$BL20,'Bus C&amp;T EF'!$D$30:$V$2315,4,0),VLOOKUP('GHG Calcs'!$BL20,'Bus C&amp;T EF'!$D$30:$V$2315,2,0)))/IF('GHG Calcs'!BE20&gt;0,$CZ20,1),"")</f>
        <v/>
      </c>
      <c r="BQ20" s="1419" t="str">
        <f ca="1">IFERROR(IF('GHG Calcs'!$BD20="Gasoline",VLOOKUP('GHG Calcs'!$BL20,'Bus C&amp;T EF'!$D$30:$V$2315,6,0),IF(OR('GHG Calcs'!$BD20="CNG",'GHG Calcs'!$BD20="LNG",'GHG Calcs'!$BD20="Renewable Natural Gas"),VLOOKUP('GHG Calcs'!$BL20,'Bus C&amp;T EF'!$D$30:$V$2315,7,0),VLOOKUP('GHG Calcs'!$BL20,'Bus C&amp;T EF'!$D$30:$V$2315,5,0)))/IF('GHG Calcs'!BE20&gt;0,$CZ20,1),"")</f>
        <v/>
      </c>
      <c r="BR20" s="1419" t="str">
        <f ca="1">IFERROR(IF('GHG Calcs'!$BD20="Gasoline",VLOOKUP('GHG Calcs'!$BL20,'Bus C&amp;T EF'!$D$30:$V$2315,9,0),IF(OR('GHG Calcs'!$BD20="CNG",'GHG Calcs'!$BD20="LNG",'GHG Calcs'!$BD20="Renewable Natural Gas"),VLOOKUP('GHG Calcs'!$BL20,'Bus C&amp;T EF'!$D$30:$V$2315,10,0),VLOOKUP('GHG Calcs'!$BL20,'Bus C&amp;T EF'!$D$30:$V$2315,8,0)))/IF('GHG Calcs'!BE20&gt;0,$CZ20,1),"")</f>
        <v/>
      </c>
      <c r="BS20" s="1419" t="str">
        <f ca="1">IFERROR(IF('GHG Calcs'!$BD20="Gasoline",VLOOKUP('GHG Calcs'!$BL20,'Bus C&amp;T EF'!$D$30:$V$2315,12,0),IF(OR('GHG Calcs'!$BD20="CNG",'GHG Calcs'!$BD20="LNG",'GHG Calcs'!$BD20="Renewable Natural Gas"),VLOOKUP('GHG Calcs'!$BL20,'Bus C&amp;T EF'!$D$30:$V$2315,13,0),IF(OR('GHG Calcs'!$BD20="Electric",'GHG Calcs'!$BD20="Hydrogen Fuel Cell",'GHG Calcs'!$BD20="Renewable Electricity"),VLOOKUP('GHG Calcs'!$BL20,'Bus C&amp;T EF'!$D$30:$V$2315,14,0),VLOOKUP('GHG Calcs'!$BL20,'Bus C&amp;T EF'!$D$30:$V$2315,11,0))))/IF('GHG Calcs'!BE20&gt;0,$CZ20,1),"")</f>
        <v/>
      </c>
      <c r="BT20" s="1419" t="str">
        <f ca="1">IFERROR(IF('GHG Calcs'!$BD20="Gasoline",VLOOKUP('GHG Calcs'!$BL20,'Bus C&amp;T EF'!$D$30:$V$2315,16,0),IF(OR('GHG Calcs'!$BD20="CNG",'GHG Calcs'!$BD20="LNG",'GHG Calcs'!$BD20="Renewable Natural Gas"),VLOOKUP('GHG Calcs'!$BL20,'Bus C&amp;T EF'!$D$30:$V$2315,17,0),IF(OR('GHG Calcs'!$BD20="Electric",'GHG Calcs'!$BD20="Hydrogen Fuel Cell",'GHG Calcs'!$BD20="Renewable Electricity"),VLOOKUP('GHG Calcs'!$BL20,'Bus C&amp;T EF'!$D$30:$V$2315,18,0),VLOOKUP('GHG Calcs'!$BL20,'Bus C&amp;T EF'!$D$30:$V$2315,15,0))))/IF('GHG Calcs'!BE20&gt;0,$CZ20,1),"")</f>
        <v/>
      </c>
      <c r="BU20" s="306" t="str">
        <f ca="1">IFERROR(IF('GHG Calcs'!$BD20="Gasoline",0,VLOOKUP('GHG Calcs'!$BL20,'Bus C&amp;T EF'!$D$30:$V$2315,19,0))/IF('GHG Calcs'!BE20&gt;0,$CZ20,1),"")</f>
        <v/>
      </c>
      <c r="BV20" s="1419" t="str">
        <f ca="1">IFERROR(IF(OR('GHG Calcs'!$BD20="Diesel",'GHG Calcs'!$BD20="Renewable Diesel",'GHG Calcs'!$BD20="Biodiesel"),VLOOKUP('GHG Calcs'!$BL20,'Van C&amp;T EF'!$D$30:$Q$2315,2,0),VLOOKUP('GHG Calcs'!$BL20,'Van C&amp;T EF'!$D$30:$Q$2315,3,0))/IF('GHG Calcs'!BE20&gt;0,$DA20,1),"")</f>
        <v/>
      </c>
      <c r="BW20" s="1419" t="str">
        <f ca="1">IFERROR(IF(OR('GHG Calcs'!$BD20="Diesel",'GHG Calcs'!$BD20="Renewable Diesel",'GHG Calcs'!$BD20="Biodiesel"),VLOOKUP('GHG Calcs'!$BL20,'Van C&amp;T EF'!$D$30:$Q$2315,4,0),VLOOKUP('GHG Calcs'!$BL20,'Van C&amp;T EF'!$D$30:$Q$2315,5,0))/IF('GHG Calcs'!BE20&gt;0,$DA20,1),"")</f>
        <v/>
      </c>
      <c r="BX20" s="1419" t="str">
        <f ca="1">IFERROR(IF(OR('GHG Calcs'!$BD20="Diesel",'GHG Calcs'!$BD20="Renewable Diesel",'GHG Calcs'!$BD20="Biodiesel"),VLOOKUP('GHG Calcs'!$BL20,'Van C&amp;T EF'!$D$30:$Q$2315,6,0),VLOOKUP('GHG Calcs'!$BL20,'Van C&amp;T EF'!$D$30:$Q$2315,7,0))/IF('GHG Calcs'!BE20&gt;0,$DA20,1),"")</f>
        <v/>
      </c>
      <c r="BY20" s="1419" t="str">
        <f ca="1">IFERROR(IF(OR('GHG Calcs'!$BD20="Diesel",'GHG Calcs'!$BD20="Renewable Diesel",'GHG Calcs'!$BD20="Biodiesel"),VLOOKUP('GHG Calcs'!$BL20,'Van C&amp;T EF'!$D$30:$Q$2315,8,0),IF(OR('GHG Calcs'!$BD20="Electric",'GHG Calcs'!$BD20="Hydrogen Fuel Cell",'GHG Calcs'!$BD20="Renewable Electricity"),VLOOKUP('GHG Calcs'!$BL20,'Van C&amp;T EF'!$D$30:$Q$2315,10,0),VLOOKUP('GHG Calcs'!$BL20,'Van C&amp;T EF'!$D$30:$Q$2315,9,0)))/IF('GHG Calcs'!BE20&gt;0,$DA20,1),"")</f>
        <v/>
      </c>
      <c r="BZ20" s="1419" t="str">
        <f ca="1">IFERROR(IF(OR('GHG Calcs'!$BD20="Diesel",'GHG Calcs'!$BD20="Renewable Diesel",'GHG Calcs'!$BD20="Biodiesel"),VLOOKUP('GHG Calcs'!$BL20,'Van C&amp;T EF'!$D$30:$Q$2315,11,0),IF(OR('GHG Calcs'!$BD20="Electric",'GHG Calcs'!$BD20="Hydrogen Fuel Cell",'GHG Calcs'!$BD20="Renewable Electricity"),VLOOKUP('GHG Calcs'!$BL20,'Van C&amp;T EF'!$D$30:$Q$2315,13,0),VLOOKUP('GHG Calcs'!$BL20,'Van C&amp;T EF'!$D$30:$Q$2315,12,0)))/IF('GHG Calcs'!BE20&gt;0,$DA20,1),"")</f>
        <v/>
      </c>
      <c r="CA20" s="306">
        <f ca="1">IFERROR(IF(OR('GHG Calcs'!$BD20="Diesel",'GHG Calcs'!$BD20="Biodiesel",'GHG Calcs'!$BD20="Renewable Diesel"),VLOOKUP('GHG Calcs'!$BL20,'Van C&amp;T EF'!$D$30:$Q$2315,14,0),0)/IF('GHG Calcs'!BE20&gt;0,$DA20,1),"")</f>
        <v>0</v>
      </c>
      <c r="CB20" s="1419" t="str">
        <f ca="1">IFERROR(IF(OR('GHG Calcs'!$BD20="Diesel",'GHG Calcs'!$BD20="Renewable Diesel",'GHG Calcs'!$BD20="Biodiesel"),VLOOKUP('GHG Calcs'!$BL20,'Shuttle C&amp;T EF'!$D$30:$Q$2315,2,0),VLOOKUP('GHG Calcs'!$BL20,'Shuttle C&amp;T EF'!$D$30:$Q$2315,3,0))/IF('GHG Calcs'!BE20&gt;0,$DB20,1),"")</f>
        <v/>
      </c>
      <c r="CC20" s="1419" t="str">
        <f ca="1">IFERROR(IF(OR('GHG Calcs'!$BD20="Diesel",'GHG Calcs'!$BD20="Renewable Diesel",'GHG Calcs'!$BD20="Biodiesel"),VLOOKUP('GHG Calcs'!$BL20,'Shuttle C&amp;T EF'!$D$30:$Q$2315,4,0),VLOOKUP('GHG Calcs'!$BL20,'Shuttle C&amp;T EF'!$D$30:$Q$2315,5,0))/IF('GHG Calcs'!BE20&gt;0,$DB20,1),"")</f>
        <v/>
      </c>
      <c r="CD20" s="1419" t="str">
        <f ca="1">IFERROR(IF(OR('GHG Calcs'!$BD20="Diesel",'GHG Calcs'!$BD20="Renewable Diesel",'GHG Calcs'!$BD20="Biodiesel"),VLOOKUP('GHG Calcs'!$BL20,'Shuttle C&amp;T EF'!$D$30:$Q$2315,6,0),VLOOKUP('GHG Calcs'!$BL20,'Shuttle C&amp;T EF'!$D$30:$Q$2315,7,0))/IF('GHG Calcs'!BE20&gt;0,$DB20,1),"")</f>
        <v/>
      </c>
      <c r="CE20" s="1419" t="str">
        <f ca="1">IFERROR(IF(OR('GHG Calcs'!$BD20="Diesel",'GHG Calcs'!$BD20="Renewable Diesel",'GHG Calcs'!$BD20="Biodiesel"),VLOOKUP('GHG Calcs'!$BL20,'Shuttle C&amp;T EF'!$D$30:$Q$2315,8,0),IF(OR('GHG Calcs'!$BD20="Electric",'GHG Calcs'!$BD20="Hydrogen Fuel Cell",'GHG Calcs'!$BD20="Renewable Electricity"),VLOOKUP('GHG Calcs'!$BL20,'Shuttle C&amp;T EF'!$D$30:$Q$2315,10,0),VLOOKUP('GHG Calcs'!$BL20,'Shuttle C&amp;T EF'!$D$30:$Q$2315,9,0)))/IF('GHG Calcs'!BE20&gt;0,$DB20,1),"")</f>
        <v/>
      </c>
      <c r="CF20" s="1419" t="str">
        <f ca="1">IFERROR(IF(OR('GHG Calcs'!$BD20="Diesel",'GHG Calcs'!$BD20="Renewable Diesel",'GHG Calcs'!$BD20="Biodiesel"),VLOOKUP('GHG Calcs'!$BL20,'Shuttle C&amp;T EF'!$D$30:$Q$2315,11,0),IF(OR('GHG Calcs'!$BD20="Electric",'GHG Calcs'!$BD20="Hydrogen Fuel Cell",'GHG Calcs'!$BD20="Renewable Electricity"),VLOOKUP('GHG Calcs'!$BL20,'Shuttle C&amp;T EF'!$D$30:$Q$2315,13,0),VLOOKUP('GHG Calcs'!$BL20,'Shuttle C&amp;T EF'!$D$30:$Q$2315,12,0)))/IF('GHG Calcs'!BE20&gt;0,$DB20,1),"")</f>
        <v/>
      </c>
      <c r="CG20" s="1419">
        <f ca="1">IFERROR(IF(OR('GHG Calcs'!$BD20="Diesel",'GHG Calcs'!$BD20="Biodiesel",'GHG Calcs'!$BD20="Renewable Diesel"),VLOOKUP('GHG Calcs'!$BL20,'Shuttle C&amp;T EF'!$D$30:$Q$2315,14,0),0)/IF('GHG Calcs'!BE20&gt;0,$DB20,1),"")</f>
        <v>0</v>
      </c>
      <c r="CH20" s="306" t="str">
        <f ca="1">IFERROR((VLOOKUP('GHG Calcs'!$BL20,'Over-Road Coach C&amp;T EF'!$D$29:$N$2314,2,0)+VLOOKUP('GHG Calcs'!$BL20,'Over-Road Coach C&amp;T EF'!$D$29:$N$2314,3,0))/IF('GHG Calcs'!BE20&gt;0,$DC20,1),"")</f>
        <v/>
      </c>
      <c r="CI20" s="306" t="str">
        <f ca="1">IFERROR((VLOOKUP('GHG Calcs'!$BL20,'Over-Road Coach C&amp;T EF'!$D$29:$N$2314,4,0)+VLOOKUP('GHG Calcs'!$BL20,'Over-Road Coach C&amp;T EF'!$D$29:$N$2314,5,0))/IF('GHG Calcs'!BE20&gt;0,$DC20,1),"")</f>
        <v/>
      </c>
      <c r="CJ20" s="306" t="str">
        <f ca="1">IFERROR((VLOOKUP('GHG Calcs'!$BL20,'Over-Road Coach C&amp;T EF'!$D$29:$N$2314,6,0)+VLOOKUP('GHG Calcs'!$BL20,'Over-Road Coach C&amp;T EF'!$D$29:$N$2314,7,0))/IF('GHG Calcs'!BE20&gt;0,$DC20,1),"")</f>
        <v/>
      </c>
      <c r="CK20" s="306" t="str">
        <f ca="1">IFERROR(VLOOKUP('GHG Calcs'!$BL20,'Over-Road Coach C&amp;T EF'!$D$29:$N$2314,8,0)/IF('GHG Calcs'!BE20&gt;0,$DC20,1),"")</f>
        <v/>
      </c>
      <c r="CL20" s="306" t="str">
        <f ca="1">IFERROR(VLOOKUP('GHG Calcs'!$BL20,'Over-Road Coach C&amp;T EF'!$D$29:$N$2314,9,0)/IF('GHG Calcs'!BE20&gt;0,$DC20,1),"")</f>
        <v/>
      </c>
      <c r="CM20" s="306" t="str">
        <f ca="1">IFERROR((VLOOKUP('GHG Calcs'!$BL20,'Over-Road Coach C&amp;T EF'!$D$29:$N$2314,10,0)+VLOOKUP('GHG Calcs'!$BL20,'Over-Road Coach C&amp;T EF'!$D$29:$N$2314,11,0))/IF('GHG Calcs'!BE20&gt;0,$DC20,1),"")</f>
        <v/>
      </c>
      <c r="CN20" s="306" t="str">
        <f ca="1">IFERROR(VLOOKUP(BN20,'Co-Benefit Calcs'!$E$76:$I$83,2,0)/IF('GHG Calcs'!$BE20&gt;0,'Rail C&amp;T EF'!$K$14,1),"")</f>
        <v/>
      </c>
      <c r="CO20" s="306" t="str">
        <f ca="1">IFERROR(VLOOKUP(BN20,'Co-Benefit Calcs'!$E$76:$I$83,3,0)/IF('GHG Calcs'!$BE20&gt;0,'Rail C&amp;T EF'!$K$14,1),"")</f>
        <v/>
      </c>
      <c r="CP20" s="306" t="str">
        <f ca="1">IFERROR(VLOOKUP(BN20,'Co-Benefit Calcs'!$E$76:$I$83,4,0)/IF('GHG Calcs'!$BE20&gt;0,'Rail C&amp;T EF'!$K$14,1),"")</f>
        <v/>
      </c>
      <c r="CQ20" s="306" t="str">
        <f ca="1">IFERROR(IF('GHG Calcs'!$BD20="Gasoline",0,VLOOKUP(BN20,'Co-Benefit Calcs'!$E$76:$I$83,5,0))/IF('GHG Calcs'!$BE20&gt;0,'Rail C&amp;T EF'!$K$14,1),"")</f>
        <v/>
      </c>
      <c r="CR20" s="306" t="str">
        <f ca="1">IFERROR(VLOOKUP('GHG Calcs'!$BG20,'Rail C&amp;T EF'!$A$43:$Y$133,IF(BO20&gt;750,23, IF(BO20&gt;=600,20, IF(BO20&gt;=300,17, IF(BO20&gt;=175,14, IF(BO20&gt;=100,11, IF(BO20&gt;=75,8, IF(BO20&gt;=50,5, 2))))))),0) * IF($BO20&gt;=750,'Rail C&amp;T EF'!$K$18,'Rail C&amp;T EF'!$K$19) * IF('GHG Calcs'!BE20&gt;0,1,'Rail C&amp;T EF'!$B$149) * IF(OR('GHG Calcs'!BD20="Diesel", 'GHG Calcs'!BD20="Renewable Diesel", 'GHG Calcs'!BD20="Biodiesel"),'Rail C&amp;T EF'!$B$141,'Rail C&amp;T EF'!$B$142),"")</f>
        <v/>
      </c>
      <c r="CS20" s="306" t="str">
        <f ca="1">IFERROR(VLOOKUP('GHG Calcs'!$BG20,'Rail C&amp;T EF'!$A$43:$Y$133,IF(BO20&gt;750,24, IF(BO20&gt;=600,21, IF(BO20&gt;=300,18, IF(BO20&gt;=175,15, IF(BO20&gt;=100,12, IF(BO20&gt;=75,9, IF(BO20&gt;=50,6, 3))))))),0) * IF($BO20&gt;=750,'Rail C&amp;T EF'!$K$18,'Rail C&amp;T EF'!$K$19) * IF('GHG Calcs'!$BE20&gt;0,1,'Rail C&amp;T EF'!$B$149),"")</f>
        <v/>
      </c>
      <c r="CT20" s="306" t="str">
        <f ca="1">IFERROR(VLOOKUP('GHG Calcs'!$BG20,'Rail C&amp;T EF'!$A$43:$Y$133,IF(BO20&gt;750,25, IF(BO20&gt;=600,22, IF(BO20&gt;=300,19, IF(BO20&gt;=175,16, IF(BO20&gt;=100,13, IF(BO20&gt;=75,10, IF(BO20&gt;=50,7, 4))))))),0) * IF($BO20&gt;=750,'Rail C&amp;T EF'!$K$18,'Rail C&amp;T EF'!$K$19) * IF('GHG Calcs'!$BE20&gt;0,1,'Rail C&amp;T EF'!$B$149)*'Rail C&amp;T EF'!$B$146,"")</f>
        <v/>
      </c>
      <c r="CU20" s="306" t="str">
        <f ca="1">IFERROR(IF('GHG Calcs'!BD20="Gasoline",0,VLOOKUP('GHG Calcs'!$BG20,'Rail C&amp;T EF'!$A$43:$Y$133,IF(BO20&gt;750,25, IF(BO20&gt;=600,22, IF(BO20&gt;=300,19, IF(BO20&gt;=175,16, IF(BO20&gt;=100,13, IF(BO20&gt;=75,10, IF(BO20&gt;=50,7, 4))))))),0) * IF($BO20&gt;=750,'Rail C&amp;T EF'!$K$18,'Rail C&amp;T EF'!$K$19) * IF('GHG Calcs'!$BE20&gt;0,1,'Rail C&amp;T EF'!$B$149)),"")</f>
        <v/>
      </c>
      <c r="CV20" s="306" t="str">
        <f ca="1">IFERROR(VLOOKUP('GHG Calcs'!$BG20,'Ferry C&amp;T EF'!$A$106:$AK$196,IF(BO20&gt;=3301,35, IF(BO20&gt;=1901,31, IF(BO20&gt;=751,27, IF(BO20&gt;=501,23, IF(BO20&gt;=251,19, IF(BO20&gt;=176,15, IF(BO20&gt;=121,11, IF(BO20&gt;=51,7, 3)))))))),0),"")</f>
        <v/>
      </c>
      <c r="CW20" s="306" t="str">
        <f ca="1">IFERROR(VLOOKUP('GHG Calcs'!$BG20,'Ferry C&amp;T EF'!$A$106:$AK$196,IF(BO20&gt;=3301,34, IF(BO20&gt;=1901,30, IF(BO20&gt;=751,26, IF(BO20&gt;=501,22, IF(BO20&gt;=251,18, IF(BO20&gt;=176,14, IF(BO20&gt;=121,10, IF(BO20&gt;=51,6, 2)))))))),0),"")</f>
        <v/>
      </c>
      <c r="CX20" s="306" t="str">
        <f ca="1">IFERROR(VLOOKUP('GHG Calcs'!$BG20,'Ferry C&amp;T EF'!$A$106:$AK$196,IF(BO20&gt;=3301,37, IF(BO20&gt;=1901,33, IF(BO20&gt;=751,29, IF(BO20&gt;=501,25, IF(BO20&gt;=251,21, IF(BO20&gt;=176,17, IF(BO20&gt;=121,13, IF(BO20&gt;=51,9, 5)))))))),0),"")</f>
        <v/>
      </c>
      <c r="CY20" s="306" t="str">
        <f ca="1">IFERROR(IF('GHG Calcs'!$BD20="Gasoline",0,VLOOKUP('GHG Calcs'!$BG20,'Ferry C&amp;T EF'!$A$106:$AK$196,IF(BO20&gt;=3301,36, IF(BO20&gt;=1901,32, IF(BO20&gt;=751,28, IF(BO20&gt;=501,24, IF(BO20&gt;=251,20, IF(BO20&gt;=176,16, IF(BO20&gt;=121,12, IF(BO20&gt;=51,8, 4)))))))),0)),"")</f>
        <v/>
      </c>
      <c r="CZ20" s="1419" t="str">
        <f ca="1">IFERROR(IF('GHG Calcs'!$BD20="Gasoline",VLOOKUP('GHG Calcs'!$BL20,'Fuel Consumption'!$A$31:$L$2316,3,0),IF(OR('GHG Calcs'!$BD20="CNG",'GHG Calcs'!$BD20="LNG",'GHG Calcs'!$BD20="Renewable Natural Gas"),VLOOKUP('GHG Calcs'!$BL20,'Fuel Consumption'!$A$31:$L$2316,4,0)*VLOOKUP('GHG Calcs'!$BD20,'GHG EF'!$B$10:$H$19,4,0),VLOOKUP('GHG Calcs'!$BL20,'Fuel Consumption'!$A$31:$L$2316,2,0)*VLOOKUP('GHG Calcs'!$AD20,'GHG EF'!$B$10:$H$19,4,0))),"")</f>
        <v/>
      </c>
      <c r="DA20" s="1419" t="str">
        <f ca="1">IFERROR(IF(OR('GHG Calcs'!$BD20="Diesel",'GHG Calcs'!$BD20="Renewable Diesel",'GHG Calcs'!$BD20="Biodiesel"),VLOOKUP('GHG Calcs'!$BL20,'Fuel Consumption'!$A$31:$L$2316,6,0)*VLOOKUP('GHG Calcs'!$BD20,'GHG EF'!$B$10:$H$19,4,0),VLOOKUP('GHG Calcs'!$BL20,'Fuel Consumption'!$A$31:$L$2316,7,0)*VLOOKUP('GHG Calcs'!$BD20,'GHG EF'!$B$10:$H$19,5,0)),"")</f>
        <v/>
      </c>
      <c r="DB20" s="1419" t="str">
        <f ca="1">IFERROR(IF(OR('GHG Calcs'!$BD20="Diesel",'GHG Calcs'!$BD20="Renewable Diesel",'GHG Calcs'!$BD20="Biodiesel"),VLOOKUP('GHG Calcs'!$BL20,'Fuel Consumption'!$A$31:$L$2316,9,0)*VLOOKUP('GHG Calcs'!$BD20,'GHG EF'!$B$10:$H$19,4,0),VLOOKUP('GHG Calcs'!$BL20,'Fuel Consumption'!$A$31:$L$2316,10,0)*VLOOKUP('GHG Calcs'!$BD20,'GHG EF'!$B$10:$H$19,5,0)),"")</f>
        <v/>
      </c>
      <c r="DC20" s="1419" t="str">
        <f ca="1">IFERROR(VLOOKUP('GHG Calcs'!$BL20,'Fuel Consumption'!$A$31:$L$2316,12,0)*VLOOKUP('GHG Calcs'!$BD20,'GHG EF'!$B$10:$H$19,4,0),"")</f>
        <v/>
      </c>
      <c r="DD20" s="1373" t="str">
        <f ca="1">IFERROR(IF(OR('GHG Calcs'!BD20=Defaults!$I$3, 'GHG Calcs'!BD20=Defaults!$I$4, 'GHG Calcs'!BD20=Defaults!$I$6, 'GHG Calcs'!BD20=Defaults!$I$8), IF('GHG Calcs'!BE20&gt;0,'GHG Calcs'!BE20*IF('GHG Calcs'!BD20=Defaults!$I$3,'GHG EF'!$C$11/'GHG EF'!$C$12,1),'GHG Calcs'!BJ20*'GHG Calcs'!BH20),"")*('GHG Calcs'!I20-'GHG Calcs'!H20),"")</f>
        <v/>
      </c>
      <c r="DE20" s="1373" t="str">
        <f ca="1">IFERROR(IF('GHG Calcs'!BD20=Defaults!$I$5,IF('GHG Calcs'!BE20&gt;0,'GHG Calcs'!BE20,'GHG Calcs'!BI20*'GHG Calcs'!BH20),"")*('GHG Calcs'!I20-'GHG Calcs'!H20),"")</f>
        <v/>
      </c>
      <c r="DF20" s="1420" t="str">
        <f ca="1">IFERROR(IF('GHG Calcs'!BE20&gt;0,'GHG Calcs'!BE20,'GHG Calcs'!BK20*'GHG Calcs'!BH20)*VLOOKUP('GHG Calcs'!BD20,'Fuel &amp; Travel Costs'!$B$10:$C$19,2,0)*('GHG Calcs'!I20-'GHG Calcs'!H20),"")</f>
        <v/>
      </c>
      <c r="DG20" s="306">
        <f ca="1">INDIRECT("'Quantifiable Component "&amp;$B20&amp;"'!"&amp;$D20&amp;ROW('Quantifiable Component 1'!$70:$70))</f>
        <v>0</v>
      </c>
      <c r="DH20" s="306">
        <f ca="1">INDIRECT("'Quantifiable Component "&amp;$B20&amp;"'!"&amp;$D20&amp;ROW('Quantifiable Component 1'!$71:$71))</f>
        <v>0</v>
      </c>
      <c r="DI20" s="1422" t="str">
        <f ca="1">IFERROR(IF('GHG Calcs'!$CD20="Gasoline",VLOOKUP('GHG Calcs'!$CG20,'Bus C&amp;T EF'!$D$30:$V$2315,3,0),IF(OR('GHG Calcs'!$CD20="CNG",'GHG Calcs'!$CD20="LNG",'GHG Calcs'!$CD20="Renewable Natural Gas"),VLOOKUP('GHG Calcs'!$CG20,'Bus C&amp;T EF'!$D$30:$V$2315,4,0),VLOOKUP('GHG Calcs'!$CG20,'Bus C&amp;T EF'!$D$30:$V$2315,2,0)))/$ES20,"")</f>
        <v/>
      </c>
      <c r="DJ20" s="306" t="str">
        <f ca="1">IFERROR(IF('GHG Calcs'!$CD20="Gasoline",VLOOKUP('GHG Calcs'!$CG20,'Bus C&amp;T EF'!$D$30:$V$2315,6,0),IF(OR('GHG Calcs'!$CD20="CNG",'GHG Calcs'!$CD20="LNG",'GHG Calcs'!$CD20="Renewable Natural Gas"),VLOOKUP('GHG Calcs'!$CG20,'Bus C&amp;T EF'!$D$30:$V$2315,7,0),VLOOKUP('GHG Calcs'!$CG20,'Bus C&amp;T EF'!$D$30:$V$2315,5,0)))/$ES20,"")</f>
        <v/>
      </c>
      <c r="DK20" s="306" t="str">
        <f ca="1">IFERROR(IF('GHG Calcs'!$CD20="Gasoline",VLOOKUP('GHG Calcs'!$CG20,'Bus C&amp;T EF'!$D$30:$V$2315,9,0),IF(OR('GHG Calcs'!$CD20="CNG",'GHG Calcs'!$CD20="LNG",'GHG Calcs'!$CD20="Renewable Natural Gas"),VLOOKUP('GHG Calcs'!$CG20,'Bus C&amp;T EF'!$D$30:$V$2315,10,0),VLOOKUP('GHG Calcs'!$CG20,'Bus C&amp;T EF'!$D$30:$V$2315,8,0)))/$ES20,"")</f>
        <v/>
      </c>
      <c r="DL20" s="306" t="str">
        <f ca="1">IFERROR(IF('GHG Calcs'!$CD20="Gasoline",VLOOKUP('GHG Calcs'!$CG20,'Bus C&amp;T EF'!$D$30:$V$2315,12,0),IF(OR('GHG Calcs'!$CD20="CNG",'GHG Calcs'!$CD20="LNG",'GHG Calcs'!$CD20="Renewable Natural Gas"),VLOOKUP('GHG Calcs'!$CG20,'Bus C&amp;T EF'!$D$30:$V$2315,13,0),IF('GHG Calcs'!$CD20="Electric",VLOOKUP('GHG Calcs'!$CG20,'Bus C&amp;T EF'!$D$30:$V$2315,14,0),VLOOKUP('GHG Calcs'!$CG20,'Bus C&amp;T EF'!$D$30:$V$2315,11,0))))/$ES20,"")</f>
        <v/>
      </c>
      <c r="DM20" s="306" t="str">
        <f ca="1">IFERROR(IF('GHG Calcs'!$CD20="Gasoline",VLOOKUP('GHG Calcs'!$CG20,'Bus C&amp;T EF'!$D$30:$V$2315,16,0),IF(OR('GHG Calcs'!$CD20="CNG",'GHG Calcs'!$CD20="LNG",'GHG Calcs'!$CD20="Renewable Natural Gas"),VLOOKUP('GHG Calcs'!$CG20,'Bus C&amp;T EF'!$D$30:$V$2315,17,0),IF('GHG Calcs'!$CD20="Electric",VLOOKUP('GHG Calcs'!$CG20,'Bus C&amp;T EF'!$D$30:$V$2315,18,0),VLOOKUP('GHG Calcs'!$CG20,'Bus C&amp;T EF'!$D$30:$V$2315,15,0))))/$ES20,"")</f>
        <v/>
      </c>
      <c r="DN20" s="306" t="str">
        <f ca="1">IFERROR(IF('GHG Calcs'!$CD20="Gasoline",0,VLOOKUP('GHG Calcs'!$CG20,'Bus C&amp;T EF'!$D$30:$V$2315,19,0))/$ES20,"")</f>
        <v/>
      </c>
      <c r="DO20" s="1419" t="str">
        <f ca="1">IFERROR(IF(OR('GHG Calcs'!$CD20="Diesel",'GHG Calcs'!$CD20="Renewable Diesel",'GHG Calcs'!$CD20="Biodiesel"),VLOOKUP('GHG Calcs'!$CG20,'Van C&amp;T EF'!$D$30:$Q$2315,2,0),VLOOKUP('GHG Calcs'!$CG20,'Van C&amp;T EF'!$D$30:$Q$2315,3,0))/$ET20,"")</f>
        <v/>
      </c>
      <c r="DP20" s="1419" t="str">
        <f ca="1">IFERROR(IF(OR('GHG Calcs'!$CD20="Diesel",'GHG Calcs'!$CD20="Renewable Diesel",'GHG Calcs'!$CD20="Biodiesel"),VLOOKUP('GHG Calcs'!$CG20,'Van C&amp;T EF'!$D$30:$Q$2315,4,0),VLOOKUP('GHG Calcs'!$CG20,'Van C&amp;T EF'!$D$30:$Q$2315,5,0))/$ET20,"")</f>
        <v/>
      </c>
      <c r="DQ20" s="1419" t="str">
        <f ca="1">IFERROR(IF(OR('GHG Calcs'!$CD20="Diesel",'GHG Calcs'!$CD20="Renewable Diesel",'GHG Calcs'!$CD20="Biodiesel"),VLOOKUP('GHG Calcs'!$CG20,'Van C&amp;T EF'!$D$30:$Q$2315,6,0),VLOOKUP('GHG Calcs'!$CG20,'Van C&amp;T EF'!$D$30:$Q$2315,7,0))/$ET20,"")</f>
        <v/>
      </c>
      <c r="DR20" s="1419" t="str">
        <f ca="1">IFERROR(IF(OR('GHG Calcs'!$CD20="Diesel",'GHG Calcs'!$CD20="Renewable Diesel",'GHG Calcs'!$CD20="Biodiesel"),VLOOKUP('GHG Calcs'!$CG20,'Van C&amp;T EF'!$D$30:$Q$2315,8,0),IF(OR('GHG Calcs'!$CD20="Electric",'GHG Calcs'!$CD20="Hydrogen Fuel Cell",'GHG Calcs'!$CD20="Renewable Electricity"),VLOOKUP('GHG Calcs'!$CG20,'Van C&amp;T EF'!$D$30:$Q$2315,10,0),VLOOKUP('GHG Calcs'!$CG20,'Van C&amp;T EF'!$D$30:$Q$2315,9,0)))/$ET20,"")</f>
        <v/>
      </c>
      <c r="DS20" s="1419" t="str">
        <f ca="1">IFERROR(IF(OR('GHG Calcs'!$CD20="Diesel",'GHG Calcs'!$CD20="Renewable Diesel",'GHG Calcs'!$CD20="Biodiesel"),VLOOKUP('GHG Calcs'!$CG20,'Van C&amp;T EF'!$D$30:$Q$2315,11,0),IF(OR('GHG Calcs'!$CD20="Electric",'GHG Calcs'!$CD20="Hydrogen Fuel Cell",'GHG Calcs'!$CD20="Renewable Electricity"),VLOOKUP('GHG Calcs'!$CG20,'Van C&amp;T EF'!$D$30:$Q$2315,13,0),VLOOKUP('GHG Calcs'!$CG20,'Van C&amp;T EF'!$D$30:$Q$2315,12,0)))/$ET20,"")</f>
        <v/>
      </c>
      <c r="DT20" s="306" t="str">
        <f ca="1">IFERROR(IF(OR('GHG Calcs'!$CD20="Diesel",'GHG Calcs'!$CD20="Biodiesel",'GHG Calcs'!$CD20="Renewable Diesel"),VLOOKUP('GHG Calcs'!$CG20,'Van C&amp;T EF'!$D$30:$Q$2315,14,0),0)/$ET20,"")</f>
        <v/>
      </c>
      <c r="DU20" s="1419" t="str">
        <f ca="1">IFERROR(IF(OR('GHG Calcs'!$CD20="Diesel",'GHG Calcs'!$CD20="Renewable Diesel",'GHG Calcs'!$CD20="Biodiesel"),VLOOKUP('GHG Calcs'!$CG20,'Shuttle C&amp;T EF'!$D$30:$Q$2315,2,0),VLOOKUP('GHG Calcs'!$CG20,'Shuttle C&amp;T EF'!$D$30:$Q$2315,3,0))/$EU20,"")</f>
        <v/>
      </c>
      <c r="DV20" s="1419" t="str">
        <f ca="1">IFERROR(IF(OR('GHG Calcs'!$CD20="Diesel",'GHG Calcs'!$CD20="Renewable Diesel",'GHG Calcs'!$CD20="Biodiesel"),VLOOKUP('GHG Calcs'!$CG20,'Shuttle C&amp;T EF'!$D$30:$Q$2315,4,0),VLOOKUP('GHG Calcs'!$CG20,'Shuttle C&amp;T EF'!$D$30:$Q$2315,5,0))/$EU20,"")</f>
        <v/>
      </c>
      <c r="DW20" s="1419" t="str">
        <f ca="1">IFERROR(IF(OR('GHG Calcs'!$CD20="Diesel",'GHG Calcs'!$CD20="Renewable Diesel",'GHG Calcs'!$CD20="Biodiesel"),VLOOKUP('GHG Calcs'!$CG20,'Shuttle C&amp;T EF'!$D$30:$Q$2315,6,0),VLOOKUP('GHG Calcs'!$CG20,'Shuttle C&amp;T EF'!$D$30:$Q$2315,7,0))/$EU20,"")</f>
        <v/>
      </c>
      <c r="DX20" s="1419" t="str">
        <f ca="1">IFERROR(IF(OR('GHG Calcs'!$CD20="Diesel",'GHG Calcs'!$CD20="Renewable Diesel",'GHG Calcs'!$CD20="Biodiesel"),VLOOKUP('GHG Calcs'!$CG20,'Shuttle C&amp;T EF'!$D$30:$Q$2315,8,0),IF(OR('GHG Calcs'!$CD20="Electric",'GHG Calcs'!$CD20="Hydrogen Fuel Cell",'GHG Calcs'!$CD20="Renewable Electricity"),VLOOKUP('GHG Calcs'!$CG20,'Shuttle C&amp;T EF'!$D$30:$Q$2315,10,0),VLOOKUP('GHG Calcs'!$CG20,'Shuttle C&amp;T EF'!$D$30:$Q$2315,9,0)))/$EU20,"")</f>
        <v/>
      </c>
      <c r="DY20" s="1419" t="str">
        <f ca="1">IFERROR(IF(OR('GHG Calcs'!$CD20="Diesel",'GHG Calcs'!$CD20="Renewable Diesel",'GHG Calcs'!$CD20="Biodiesel"),VLOOKUP('GHG Calcs'!$CG20,'Shuttle C&amp;T EF'!$D$30:$Q$2315,11,0),IF(OR('GHG Calcs'!$CD20="Electric",'GHG Calcs'!$CD20="Hydrogen Fuel Cell",'GHG Calcs'!$CD20="Renewable Electricity"),VLOOKUP('GHG Calcs'!$CG20,'Shuttle C&amp;T EF'!$D$30:$Q$2315,13,0),VLOOKUP('GHG Calcs'!$CG20,'Shuttle C&amp;T EF'!$D$30:$Q$2315,12,0)))/$EU20,"")</f>
        <v/>
      </c>
      <c r="DZ20" s="1419" t="str">
        <f ca="1">IFERROR(IF(OR('GHG Calcs'!$CD20="Diesel",'GHG Calcs'!$CD20="Biodiesel",'GHG Calcs'!$CD20="Renewable Diesel"),VLOOKUP('GHG Calcs'!$CG20,'Shuttle C&amp;T EF'!$D$30:$Q$2315,14,0),0)/$EU20,"")</f>
        <v/>
      </c>
      <c r="EA20" s="306" t="str">
        <f ca="1">IFERROR((VLOOKUP('GHG Calcs'!$CG20,'Over-Road Coach C&amp;T EF'!$D$29:$N$2314,2,0)+VLOOKUP('GHG Calcs'!$CG20,'Over-Road Coach C&amp;T EF'!$D$29:$N$2314,3,0))/$EV20,"")</f>
        <v/>
      </c>
      <c r="EB20" s="306" t="str">
        <f ca="1">IFERROR((VLOOKUP('GHG Calcs'!$CG20,'Over-Road Coach C&amp;T EF'!$D$29:$N$2314,4,0)+VLOOKUP('GHG Calcs'!$CG20,'Over-Road Coach C&amp;T EF'!$D$29:$N$2314,5,0))/$EV20,"")</f>
        <v/>
      </c>
      <c r="EC20" s="306" t="str">
        <f ca="1">IFERROR((VLOOKUP('GHG Calcs'!$CG20,'Over-Road Coach C&amp;T EF'!$D$29:$N$2314,6,0)+VLOOKUP('GHG Calcs'!$CG20,'Over-Road Coach C&amp;T EF'!$D$29:$N$2314,7,0))/$EV20,"")</f>
        <v/>
      </c>
      <c r="ED20" s="306" t="str">
        <f ca="1">IFERROR(VLOOKUP('GHG Calcs'!$CG20,'Over-Road Coach C&amp;T EF'!$D$29:$N$2314,8,0)/$EV20,"")</f>
        <v/>
      </c>
      <c r="EE20" s="306" t="str">
        <f ca="1">IFERROR(VLOOKUP('GHG Calcs'!$CG20,'Over-Road Coach C&amp;T EF'!$D$29:$N$2314,9,0)/$EV20,"")</f>
        <v/>
      </c>
      <c r="EF20" s="306" t="str">
        <f ca="1">IFERROR((VLOOKUP('GHG Calcs'!$CG20,'Over-Road Coach C&amp;T EF'!$D$29:$N$2314,10,0)+VLOOKUP('GHG Calcs'!$CG20,'Over-Road Coach C&amp;T EF'!$D$29:$N$2314,11,0))/$EV20,"")</f>
        <v/>
      </c>
      <c r="EG20" s="306" t="str">
        <f ca="1">IFERROR(VLOOKUP(DG20,'Co-Benefit Calcs'!$E$76:$I$83,2,0)/'Rail C&amp;T EF'!$K$14,"")</f>
        <v/>
      </c>
      <c r="EH20" s="306" t="str">
        <f ca="1">IFERROR(VLOOKUP(DG20,'Co-Benefit Calcs'!$E$76:$I$83,3,0)/'Rail C&amp;T EF'!$K$14,"")</f>
        <v/>
      </c>
      <c r="EI20" s="306" t="str">
        <f ca="1">IFERROR(VLOOKUP(DG20,'Co-Benefit Calcs'!$E$76:$I$83,4,0)/'Rail C&amp;T EF'!$K$14,"")</f>
        <v/>
      </c>
      <c r="EJ20" s="306" t="str">
        <f ca="1">IFERROR(IF('GHG Calcs'!$CD20="Gasoline",0,VLOOKUP(DG20,'Co-Benefit Calcs'!$E$76:$I$83,5,0))/'Rail C&amp;T EF'!$K$14,"")</f>
        <v/>
      </c>
      <c r="EK20" s="306" t="str">
        <f ca="1">IFERROR(VLOOKUP('GHG Calcs'!CF20,'Rail C&amp;T EF'!$A$43:$Y$133,IF(DH20&gt;750,23, IF(DH20&gt;=600,20, IF(DH20&gt;=300,17, IF(DH20&gt;=175,14, IF(DH20&gt;=100,11, IF(DH20&gt;=75,8, IF(DH20&gt;=50,5, 2))))))),0) * IF($DH20&gt;=750,'Rail C&amp;T EF'!$K$18,'Rail C&amp;T EF'!$K$19) * IF(OR('GHG Calcs'!CD20="Diesel", 'GHG Calcs'!CD20="Renewable Diesel", 'GHG Calcs'!CD20="Biodiesel"),'Rail C&amp;T EF'!$B$141,'Rail C&amp;T EF'!$B$142),"")</f>
        <v/>
      </c>
      <c r="EL20" s="306" t="str">
        <f ca="1">IFERROR(VLOOKUP('GHG Calcs'!$CF20,'Rail C&amp;T EF'!$A$43:$Y$133,IF(DH20&gt;750,24, IF(DH20&gt;=600,21, IF(DH20&gt;=300,18, IF(DH20&gt;=175,15, IF(DH20&gt;=100,12, IF(DH20&gt;=75,9, IF(DH20&gt;=50,6, 3))))))),0) * IF($DH20&gt;=750,'Rail C&amp;T EF'!$K$18,'Rail C&amp;T EF'!$K$19),"")</f>
        <v/>
      </c>
      <c r="EM20" s="306" t="str">
        <f ca="1">IFERROR(VLOOKUP('GHG Calcs'!$CF20,'Rail C&amp;T EF'!$A$43:$Y$133,IF(DH20&gt;750,25, IF(DH20&gt;=600,22, IF(DH20&gt;=300,19, IF(DH20&gt;=175,16, IF(DH20&gt;=100,13, IF(DH20&gt;=75,10, IF(DH20&gt;=50,7, 4))))))),0) * IF($DH20&gt;=750,'Rail C&amp;T EF'!$K$18,'Rail C&amp;T EF'!$K$19)*'Rail C&amp;T EF'!$B$146,"")</f>
        <v/>
      </c>
      <c r="EN20" s="306" t="str">
        <f ca="1">IFERROR(IF('GHG Calcs'!CD20="Gasoline",0,VLOOKUP('GHG Calcs'!$CF20,'Rail C&amp;T EF'!$A$43:$Y$133,IF(DH20&gt;750,25, IF(DH20&gt;=600,22, IF(DH20&gt;=300,19, IF(DH20&gt;=175,16, IF(DH20&gt;=100,13, IF(DH20&gt;=75,10, IF(DH20&gt;=50,7, 4))))))),0) * IF($DH20&gt;=750,'Rail C&amp;T EF'!$K$18,'Rail C&amp;T EF'!$K$19)),"")</f>
        <v/>
      </c>
      <c r="EO20" s="306" t="str">
        <f ca="1">IFERROR(VLOOKUP('GHG Calcs'!$CF20,'Ferry C&amp;T EF'!$A$106:$AK$196,IF(DH20&gt;=3301,35, IF(DH20&gt;=1901,31, IF(DH20&gt;=751,27, IF(DH20&gt;=501,23, IF(DH20&gt;=251,19, IF(DH20&gt;=176,15, IF(DH20&gt;=121,11, IF(DH20&gt;=51,7, 3)))))))),0),"")</f>
        <v/>
      </c>
      <c r="EP20" s="306" t="str">
        <f ca="1">IFERROR(VLOOKUP('GHG Calcs'!$CF20,'Ferry C&amp;T EF'!$A$106:$AK$196,IF(DH20&gt;=3301,34, IF(DH20&gt;=1901,30, IF(DH20&gt;=751,26, IF(DH20&gt;=501,22, IF(DH20&gt;=251,18, IF(DH20&gt;=176,14, IF(DH20&gt;=121,10, IF(DH20&gt;=51,6, 2)))))))),0),"")</f>
        <v/>
      </c>
      <c r="EQ20" s="306" t="str">
        <f ca="1">IFERROR(VLOOKUP('GHG Calcs'!$CF20,'Ferry C&amp;T EF'!$A$106:$AK$196,IF(DH20&gt;=3301,37, IF(DH20&gt;=1901,33, IF(DH20&gt;=751,29, IF(DH20&gt;=501,25, IF(DH20&gt;=251,21, IF(DH20&gt;=176,17, IF(DH20&gt;=121,13, IF(DH20&gt;=51,9, 5)))))))),0),"")</f>
        <v/>
      </c>
      <c r="ER20" s="306" t="str">
        <f ca="1">IFERROR(IF('GHG Calcs'!$CD20="Gasoline",0,VLOOKUP('GHG Calcs'!$CF20,'Ferry C&amp;T EF'!$A$106:$AK$196,IF(DH20&gt;=3301,36, IF(DH20&gt;=1901,32, IF(DH20&gt;=751,28, IF(DH20&gt;=501,24, IF(DH20&gt;=251,20, IF(DH20&gt;=176,16, IF(DH20&gt;=121,12, IF(DH20&gt;=51,8, 4)))))))),0)),"")</f>
        <v/>
      </c>
      <c r="ES20" s="1419" t="str">
        <f ca="1">IFERROR(IF('GHG Calcs'!$CD20="Gasoline",VLOOKUP('GHG Calcs'!$CG20,'Fuel Consumption'!$A$31:$L$2316,3,0),IF(OR('GHG Calcs'!$CD20="CNG",'GHG Calcs'!$CD20="LNG",'GHG Calcs'!$CD20="Renewable Natural Gas"),VLOOKUP('GHG Calcs'!$CG20,'Fuel Consumption'!$A$31:$L$2316,4,0)*VLOOKUP('GHG Calcs'!$CD20,'GHG EF'!$B$10:$H$19,4,0),VLOOKUP('GHG Calcs'!$CG20,'Fuel Consumption'!$A$31:$L$2316,2,0)*VLOOKUP('GHG Calcs'!$AD20,'GHG EF'!$B$10:$H$19,4,0))),"")</f>
        <v/>
      </c>
      <c r="ET20" s="1419" t="str">
        <f ca="1">IFERROR(IF(OR('GHG Calcs'!$CD20="Diesel",'GHG Calcs'!$CD20="Renewable Diesel",'GHG Calcs'!$CD20="Biodiesel"),VLOOKUP('GHG Calcs'!$CG20,'Fuel Consumption'!$A$31:$L$2316,6,0)*VLOOKUP('GHG Calcs'!$CD20,'GHG EF'!$B$10:$H$19,4,0),VLOOKUP('GHG Calcs'!$CG20,'Fuel Consumption'!$A$31:$L$2316,7,0)*VLOOKUP('GHG Calcs'!$CD20,'GHG EF'!$B$10:$H$19,5,0)),"")</f>
        <v/>
      </c>
      <c r="EU20" s="1419" t="str">
        <f ca="1">IFERROR(IF(OR('GHG Calcs'!$CD20="Diesel",'GHG Calcs'!$CD20="Renewable Diesel",'GHG Calcs'!$CD20="Biodiesel"),VLOOKUP('GHG Calcs'!$CG20,'Fuel Consumption'!$A$31:$L$2316,9,0)*VLOOKUP('GHG Calcs'!$CD20,'GHG EF'!$B$10:$H$19,4,0),VLOOKUP('GHG Calcs'!$CG20,'Fuel Consumption'!$A$31:$L$2316,10,0)*VLOOKUP('GHG Calcs'!$CD20,'GHG EF'!$B$10:$H$19,5,0)),"")</f>
        <v/>
      </c>
      <c r="EV20" s="1419" t="str">
        <f ca="1">IFERROR(VLOOKUP('GHG Calcs'!$CG20,'Fuel Consumption'!$A$31:$L$2316,12,0)*VLOOKUP('GHG Calcs'!$CD20,'GHG EF'!$B$10:$H$19,4,0),"")</f>
        <v/>
      </c>
      <c r="EW20" s="1373" t="str">
        <f ca="1">IFERROR(IF(OR('GHG Calcs'!CD20=Defaults!$I$4, 'GHG Calcs'!CD20=Defaults!$I$6, 'GHG Calcs'!CD20=Defaults!$I$8),'GHG Calcs'!CE20,IF('GHG Calcs'!CD20=Defaults!$I$3, 'GHG Calcs'!CE20*'GHG EF'!$C$11/'GHG EF'!$C$12,""))*('GHG Calcs'!I20-'GHG Calcs'!H20),"")</f>
        <v/>
      </c>
      <c r="EX20" s="1373" t="str">
        <f ca="1">IFERROR(IF('GHG Calcs'!CD20=Defaults!$I$5,'GHG Calcs'!CE20,"")*('GHG Calcs'!I20-'GHG Calcs'!H20),"")</f>
        <v/>
      </c>
      <c r="EY20" s="1420" t="str">
        <f ca="1">IFERROR('GHG Calcs'!CE20*VLOOKUP('GHG Calcs'!CD20,'Fuel &amp; Travel Costs'!$B$10:$C$19,2,0)*('GHG Calcs'!I20-'GHG Calcs'!H20),"")</f>
        <v/>
      </c>
      <c r="EZ20" s="1420" t="str">
        <f t="shared" ca="1" si="0"/>
        <v/>
      </c>
      <c r="FA20" s="306">
        <f ca="1">INDIRECT("'Quantifiable Component "&amp;$B20&amp;"'!"&amp;$D20&amp;ROW('Quantifiable Component 1'!$77:$77))</f>
        <v>0</v>
      </c>
      <c r="FB20" s="306">
        <f ca="1">INDIRECT("'Quantifiable Component "&amp;$B20&amp;"'!"&amp;$D20&amp;ROW('Quantifiable Component 1'!$78:$78))</f>
        <v>0</v>
      </c>
      <c r="FC20" s="306">
        <f ca="1">INDIRECT("'Quantifiable Component "&amp;$B20&amp;"'!"&amp;$D20&amp;ROW('Quantifiable Component 1'!$79:$79))</f>
        <v>0</v>
      </c>
      <c r="FD20" s="306">
        <f ca="1">INDIRECT("'Quantifiable Component "&amp;$B20&amp;"'!"&amp;$D20&amp;ROW('Quantifiable Component 1'!$80:$80))</f>
        <v>0</v>
      </c>
      <c r="FE20" s="306">
        <f ca="1">INDIRECT("'Quantifiable Component "&amp;$B20&amp;"'!"&amp;$D20&amp;ROW('Quantifiable Component 1'!$81:$81))</f>
        <v>0</v>
      </c>
    </row>
    <row r="21" spans="1:161" s="117" customFormat="1" x14ac:dyDescent="0.35">
      <c r="A21" s="1646">
        <v>4</v>
      </c>
      <c r="B21" s="1367">
        <v>4</v>
      </c>
      <c r="C21" s="1368">
        <v>1</v>
      </c>
      <c r="D21" s="1368" t="str">
        <f>'GHG Calcs'!D21</f>
        <v>E</v>
      </c>
      <c r="E21" s="1416">
        <f ca="1">'GHG Calcs'!U21</f>
        <v>0</v>
      </c>
      <c r="F21" s="1416">
        <f ca="1">'GHG Calcs'!W21</f>
        <v>0</v>
      </c>
      <c r="G21" s="1417" t="str">
        <f ca="1">IFERROR(VLOOKUP('GHG Calcs'!K21,'Auto C&amp;T EF'!$C$35:$K$2662,2,0)*E21,"")</f>
        <v/>
      </c>
      <c r="H21" s="1417" t="str">
        <f ca="1">IFERROR(VLOOKUP('GHG Calcs'!L21,'Auto C&amp;T EF'!$C$35:$K$2662,2,0)*F21,"")</f>
        <v/>
      </c>
      <c r="I21" s="1417" t="str">
        <f ca="1">IFERROR(VLOOKUP('GHG Calcs'!$K21,'Auto C&amp;T EF'!$C$35:$K$2662,3,0)*$E21,"")</f>
        <v/>
      </c>
      <c r="J21" s="1417" t="str">
        <f ca="1">IFERROR(VLOOKUP('GHG Calcs'!$L21,'Auto C&amp;T EF'!$C$35:$K$2662,3,0)*$F21,"")</f>
        <v/>
      </c>
      <c r="K21" s="1417" t="str">
        <f ca="1">IFERROR((VLOOKUP('GHG Calcs'!$K21,'Auto C&amp;T EF'!$C$35:$K$2662,5,0)+VLOOKUP('GHG Calcs'!$K21,'Auto C&amp;T EF'!$C$35:$K$2662,6,0)+VLOOKUP('GHG Calcs'!$K21,'Auto C&amp;T EF'!$C$35:$K$2662,7,0))*$E21,"")</f>
        <v/>
      </c>
      <c r="L21" s="1417" t="str">
        <f ca="1">IFERROR((VLOOKUP('GHG Calcs'!$L21,'Auto C&amp;T EF'!$C$35:$K$2662,5,0)+VLOOKUP('GHG Calcs'!$L21,'Auto C&amp;T EF'!$C$35:$K$2662,6,0)+VLOOKUP('GHG Calcs'!$L21,'Auto C&amp;T EF'!$C$35:$K$2662,7,0))*$F21,"")</f>
        <v/>
      </c>
      <c r="M21" s="1417" t="str">
        <f ca="1">IFERROR(VLOOKUP('GHG Calcs'!$K21,'Auto C&amp;T EF'!$C$35:$K$2662,8,0)*$E21,"")</f>
        <v/>
      </c>
      <c r="N21" s="1417" t="str">
        <f ca="1">IFERROR(VLOOKUP('GHG Calcs'!$L21,'Auto C&amp;T EF'!$C$35:$K$2662,8,0)*$F21,"")</f>
        <v/>
      </c>
      <c r="O21" s="1418">
        <f ca="1">IFERROR(AVERAGE(G21:H21)*('GHG Calcs'!I21-'GHG Calcs'!H21),0)</f>
        <v>0</v>
      </c>
      <c r="P21" s="1418">
        <f ca="1">IFERROR(AVERAGE(I21:J21)*('GHG Calcs'!I21-'GHG Calcs'!H21),0)</f>
        <v>0</v>
      </c>
      <c r="Q21" s="1418">
        <f ca="1">IFERROR(AVERAGE(K21:L21)*('GHG Calcs'!I21-'GHG Calcs'!H21),0)</f>
        <v>0</v>
      </c>
      <c r="R21" s="1418">
        <f ca="1">IFERROR(AVERAGE(M21:N21)*('GHG Calcs'!I21-'GHG Calcs'!H21),0)</f>
        <v>0</v>
      </c>
      <c r="S21" s="1418">
        <f ca="1">IFERROR(AVERAGE(E21*VLOOKUP('GHG Calcs'!K21,'Auto C&amp;T EF'!$C$35:$L$2662,10,0),F21*VLOOKUP('GHG Calcs'!L21,'Auto C&amp;T EF'!$C$35:$L$2662,10,0))*('GHG Calcs'!I21-'GHG Calcs'!H21),0)</f>
        <v>0</v>
      </c>
      <c r="T21" s="1379">
        <f ca="1">INDIRECT("'Quantifiable Component "&amp;$B21&amp;"'!"&amp;$D21&amp;ROW('Quantifiable Component 1'!$47:$47))</f>
        <v>0</v>
      </c>
      <c r="U21" s="1379">
        <f ca="1">INDIRECT("'Quantifiable Component "&amp;$B21&amp;"'!"&amp;$D21&amp;ROW('Quantifiable Component 1'!$48:$48))</f>
        <v>0</v>
      </c>
      <c r="V21" s="306" t="str">
        <f ca="1">IFERROR(IF('GHG Calcs'!$AD21="Gasoline",VLOOKUP('GHG Calcs'!$AH21,'Bus C&amp;T EF'!$D$30:$V$2315,3,0),IF(OR('GHG Calcs'!$AD21="CNG",'GHG Calcs'!$AD21="LNG",'GHG Calcs'!$AD21="Renewable Natural Gas"),VLOOKUP('GHG Calcs'!$AH21,'Bus C&amp;T EF'!$D$30:$V$2315,4,0),VLOOKUP('GHG Calcs'!$AH21,'Bus C&amp;T EF'!$D$30:$V$2315,2,0)))/IF('GHG Calcs'!AE21&gt;0,$BF21,1),"")</f>
        <v/>
      </c>
      <c r="W21" s="306" t="str">
        <f ca="1">IFERROR(IF('GHG Calcs'!$AD21="Gasoline",VLOOKUP('GHG Calcs'!$AH21,'Bus C&amp;T EF'!$D$30:$V$2315,6,0),IF(OR('GHG Calcs'!$AD21="CNG",'GHG Calcs'!$AD21="LNG",'GHG Calcs'!$AD21="Renewable Natural Gas"),VLOOKUP('GHG Calcs'!$AH21,'Bus C&amp;T EF'!$D$30:$V$2315,7,0),VLOOKUP('GHG Calcs'!$AH21,'Bus C&amp;T EF'!$D$30:$V$2315,5,0)))/IF('GHG Calcs'!AE21&gt;0,$BF21,1),"")</f>
        <v/>
      </c>
      <c r="X21" s="1419" t="str">
        <f ca="1">IFERROR(IF('GHG Calcs'!$AD21="Gasoline",VLOOKUP('GHG Calcs'!$AH21,'Bus C&amp;T EF'!$D$30:$V$2315,9,0),IF(OR('GHG Calcs'!$AD21="CNG",'GHG Calcs'!$AD21="LNG",'GHG Calcs'!$AD21="Renewable Natural Gas"),VLOOKUP('GHG Calcs'!$AH21,'Bus C&amp;T EF'!$D$30:$V$2315,10,0),VLOOKUP('GHG Calcs'!$AH21,'Bus C&amp;T EF'!$D$30:$V$2315,8,0)))/IF('GHG Calcs'!AE21&gt;0,$BF21,1),"")</f>
        <v/>
      </c>
      <c r="Y21" s="1419" t="str">
        <f ca="1">IFERROR(IF('GHG Calcs'!$AD21="Gasoline",VLOOKUP('GHG Calcs'!$AH21,'Bus C&amp;T EF'!$D$30:$V$2315,12,0),IF(OR('GHG Calcs'!$AD21="CNG",'GHG Calcs'!$AD21="LNG",'GHG Calcs'!$AD21="Renewable Natural Gas"),VLOOKUP('GHG Calcs'!$AH21,'Bus C&amp;T EF'!$D$30:$V$2315,13,0),IF(OR('GHG Calcs'!$AD21="Electric",'GHG Calcs'!$AD21="Hydrogen Fuel Cell",'GHG Calcs'!$AD21="Renewable Electricity"),VLOOKUP('GHG Calcs'!$AH21,'Bus C&amp;T EF'!$D$30:$V$2315,14,0),VLOOKUP('GHG Calcs'!$AH21,'Bus C&amp;T EF'!$D$30:$V$2315,11,0))))/IF('GHG Calcs'!AE21&gt;0,$BF21,1),"")</f>
        <v/>
      </c>
      <c r="Z21" s="1419" t="str">
        <f ca="1">IFERROR(IF('GHG Calcs'!$AD21="Gasoline",VLOOKUP('GHG Calcs'!$AH21,'Bus C&amp;T EF'!$D$30:$V$2315,16,0),IF(OR('GHG Calcs'!$AD21="CNG",'GHG Calcs'!$AD21="LNG",'GHG Calcs'!$AD21="Renewable Natural Gas"),VLOOKUP('GHG Calcs'!$AH21,'Bus C&amp;T EF'!$D$30:$V$2315,17,0),IF(OR('GHG Calcs'!$AD21="Electric",'GHG Calcs'!$AD21="Hydrogen Fuel Cell",'GHG Calcs'!$AD21="Renewable Electricity"),VLOOKUP('GHG Calcs'!$AH21,'Bus C&amp;T EF'!$D$30:$V$2315,18,0),VLOOKUP('GHG Calcs'!$AH21,'Bus C&amp;T EF'!$D$30:$V$2315,15,0))))/IF('GHG Calcs'!AE21&gt;0,$BF21,1),"")</f>
        <v/>
      </c>
      <c r="AA21" s="306" t="str">
        <f ca="1">IFERROR(IF('GHG Calcs'!$AD21="Gasoline",0,VLOOKUP('GHG Calcs'!$AH21,'Bus C&amp;T EF'!$D$30:$V$2315,19,0))/IF('GHG Calcs'!AE21&gt;0,$BF21,1),"")</f>
        <v/>
      </c>
      <c r="AB21" s="1419" t="str">
        <f ca="1">IFERROR(IF(OR('GHG Calcs'!$AD21="Diesel",'GHG Calcs'!$AD21="Renewable Diesel",'GHG Calcs'!$AD21="Biodiesel"),VLOOKUP('GHG Calcs'!$AH21,'Van C&amp;T EF'!$D$30:$Q$2315,2,0),VLOOKUP('GHG Calcs'!$AH21,'Van C&amp;T EF'!$D$30:$Q$2315,3,0))/IF('GHG Calcs'!AE21&gt;0,$BG21,1),"")</f>
        <v/>
      </c>
      <c r="AC21" s="1419" t="str">
        <f ca="1">IFERROR(IF(OR('GHG Calcs'!$AD21="Diesel",'GHG Calcs'!$AD21="Renewable Diesel",'GHG Calcs'!$AD21="Biodiesel"),VLOOKUP('GHG Calcs'!$AH21,'Van C&amp;T EF'!$D$30:$Q$2315,4,0),VLOOKUP('GHG Calcs'!$AH21,'Van C&amp;T EF'!$D$30:$Q$2315,5,0))/IF('GHG Calcs'!AE21&gt;0,$BG21,1),"")</f>
        <v/>
      </c>
      <c r="AD21" s="1419" t="str">
        <f ca="1">IFERROR(IF(OR('GHG Calcs'!$AD21="Diesel",'GHG Calcs'!$AD21="Renewable Diesel",'GHG Calcs'!$AD21="Biodiesel"),VLOOKUP('GHG Calcs'!$AH21,'Van C&amp;T EF'!$D$30:$Q$2315,6,0),VLOOKUP('GHG Calcs'!$AH21,'Van C&amp;T EF'!$D$30:$Q$2315,7,0))/IF('GHG Calcs'!AE21&gt;0,$BG21,1),"")</f>
        <v/>
      </c>
      <c r="AE21" s="1419" t="str">
        <f ca="1">IFERROR(IF(OR('GHG Calcs'!$AD21="Diesel",'GHG Calcs'!$AD21="Renewable Diesel",'GHG Calcs'!$AD21="Biodiesel"),VLOOKUP('GHG Calcs'!$AH21,'Van C&amp;T EF'!$D$30:$Q$2315,8,0),IF(OR('GHG Calcs'!$AD21="Electric",'GHG Calcs'!$AD21="Hydrogen Fuel Cell",'GHG Calcs'!$AD21="Renewable Electricity"),VLOOKUP('GHG Calcs'!$AH21,'Van C&amp;T EF'!$D$30:$Q$2315,10,0),VLOOKUP('GHG Calcs'!$AH21,'Van C&amp;T EF'!$D$30:$Q$2315,9,0)))/IF('GHG Calcs'!AE21&gt;0,$BG21,1),"")</f>
        <v/>
      </c>
      <c r="AF21" s="1419" t="str">
        <f ca="1">IFERROR(IF(OR('GHG Calcs'!$AD21="Diesel",'GHG Calcs'!$AD21="Renewable Diesel",'GHG Calcs'!$AD21="Biodiesel"),VLOOKUP('GHG Calcs'!$AH21,'Van C&amp;T EF'!$D$30:$Q$2315,11,0),IF(OR('GHG Calcs'!$AD21="Electric",'GHG Calcs'!$AD21="Hydrogen Fuel Cell",'GHG Calcs'!$AD21="Renewable Electricity"),VLOOKUP('GHG Calcs'!$AH21,'Van C&amp;T EF'!$D$30:$Q$2315,13,0),VLOOKUP('GHG Calcs'!$AH21,'Van C&amp;T EF'!$D$30:$Q$2315,12,0)))/IF('GHG Calcs'!AE21&gt;0,$BG21,1),"")</f>
        <v/>
      </c>
      <c r="AG21" s="306">
        <f ca="1">IFERROR(IF(OR('GHG Calcs'!$AD21="Diesel",'GHG Calcs'!$AD21="Biodiesel",'GHG Calcs'!$AD21="Renewable Diesel"),VLOOKUP('GHG Calcs'!$AH21,'Van C&amp;T EF'!$D$30:$Q$2315,14,0),0)/IF('GHG Calcs'!AE21&gt;0,$BG21,1),"")</f>
        <v>0</v>
      </c>
      <c r="AH21" s="1419" t="str">
        <f ca="1">IFERROR(IF(OR('GHG Calcs'!$AD21="Diesel",'GHG Calcs'!$AD21="Renewable Diesel",'GHG Calcs'!$AD21="Biodiesel"),VLOOKUP('GHG Calcs'!$AH21,'Shuttle C&amp;T EF'!$D$30:$Q$2315,2,0),VLOOKUP('GHG Calcs'!$AH21,'Shuttle C&amp;T EF'!$D$30:$Q$2315,3,0))/IF('GHG Calcs'!AE21&gt;0,$BH21,1),"")</f>
        <v/>
      </c>
      <c r="AI21" s="1419" t="str">
        <f ca="1">IFERROR(IF(OR('GHG Calcs'!$AD21="Diesel",'GHG Calcs'!$AD21="Renewable Diesel",'GHG Calcs'!$AD21="Biodiesel"),VLOOKUP('GHG Calcs'!$AH21,'Shuttle C&amp;T EF'!$D$30:$Q$2315,4,0),VLOOKUP('GHG Calcs'!$AH21,'Shuttle C&amp;T EF'!$D$30:$Q$2315,5,0))/IF('GHG Calcs'!AE21&gt;0,$BH21,1),"")</f>
        <v/>
      </c>
      <c r="AJ21" s="1419" t="str">
        <f ca="1">IFERROR(IF(OR('GHG Calcs'!$AD21="Diesel",'GHG Calcs'!$AD21="Renewable Diesel",'GHG Calcs'!$AD21="Biodiesel"),VLOOKUP('GHG Calcs'!$AH21,'Shuttle C&amp;T EF'!$D$30:$Q$2315,6,0),VLOOKUP('GHG Calcs'!$AH21,'Shuttle C&amp;T EF'!$D$30:$Q$2315,7,0))/IF('GHG Calcs'!AE21&gt;0,$BH21,1),"")</f>
        <v/>
      </c>
      <c r="AK21" s="1419" t="str">
        <f ca="1">IFERROR(IF(OR('GHG Calcs'!$AD21="Diesel",'GHG Calcs'!$AD21="Renewable Diesel",'GHG Calcs'!$AD21="Biodiesel"),VLOOKUP('GHG Calcs'!$AH21,'Shuttle C&amp;T EF'!$D$30:$Q$2315,8,0),IF(OR('GHG Calcs'!$AD21="Electric",'GHG Calcs'!$AD21="Hydrogen Fuel Cell",'GHG Calcs'!$AD21="Renewable Electricity"),VLOOKUP('GHG Calcs'!$AH21,'Shuttle C&amp;T EF'!$D$30:$Q$2315,10,0),VLOOKUP('GHG Calcs'!$AH21,'Shuttle C&amp;T EF'!$D$30:$Q$2315,9,0)))/IF('GHG Calcs'!AE21&gt;0,$BH21,1),"")</f>
        <v/>
      </c>
      <c r="AL21" s="1419" t="str">
        <f ca="1">IFERROR(IF(OR('GHG Calcs'!$AD21="Diesel",'GHG Calcs'!$AD21="Renewable Diesel",'GHG Calcs'!$AD21="Biodiesel"),VLOOKUP('GHG Calcs'!$AH21,'Shuttle C&amp;T EF'!$D$30:$Q$2315,11,0),IF(OR('GHG Calcs'!$AD21="Electric",'GHG Calcs'!$AD21="Hydrogen Fuel Cell",'GHG Calcs'!$AD21="Renewable Electricity"),VLOOKUP('GHG Calcs'!$AH21,'Shuttle C&amp;T EF'!$D$30:$Q$2315,13,0),VLOOKUP('GHG Calcs'!$AH21,'Shuttle C&amp;T EF'!$D$30:$Q$2315,12,0)))/IF('GHG Calcs'!AE21&gt;0,$BH21,1),"")</f>
        <v/>
      </c>
      <c r="AM21" s="1419">
        <f ca="1">IFERROR(IF(OR('GHG Calcs'!$AD21="Diesel",'GHG Calcs'!$AD21="Biodiesel",'GHG Calcs'!$AD21="Renewable Diesel"),VLOOKUP('GHG Calcs'!$AH21,'Shuttle C&amp;T EF'!$D$30:$Q$2315,14,0),0)/IF('GHG Calcs'!AE21&gt;0,$BH21,1),"")</f>
        <v>0</v>
      </c>
      <c r="AN21" s="306" t="str">
        <f ca="1">IFERROR((VLOOKUP('GHG Calcs'!$AH21,'Over-Road Coach C&amp;T EF'!$D$29:$N$2314,2,0)+VLOOKUP('GHG Calcs'!$AH21,'Over-Road Coach C&amp;T EF'!$D$29:$N$2314,3,0))/IF('GHG Calcs'!AE21&gt;0,$BI21,1),"")</f>
        <v/>
      </c>
      <c r="AO21" s="306" t="str">
        <f ca="1">IFERROR((VLOOKUP('GHG Calcs'!$AH21,'Over-Road Coach C&amp;T EF'!$D$29:$N$2314,4,0)+VLOOKUP('GHG Calcs'!$AH21,'Over-Road Coach C&amp;T EF'!$D$29:$N$2314,5,0))/IF('GHG Calcs'!AE21&gt;0,$BI21,1),"")</f>
        <v/>
      </c>
      <c r="AP21" s="306" t="str">
        <f ca="1">IFERROR((VLOOKUP('GHG Calcs'!$AH21,'Over-Road Coach C&amp;T EF'!$D$29:$N$2314,6,0)+VLOOKUP('GHG Calcs'!$AH21,'Over-Road Coach C&amp;T EF'!$D$29:$N$2314,7,0))/IF('GHG Calcs'!AE21&gt;0,$BI21,1),"")</f>
        <v/>
      </c>
      <c r="AQ21" s="306" t="str">
        <f ca="1">IFERROR(VLOOKUP('GHG Calcs'!$AH21,'Over-Road Coach C&amp;T EF'!$D$29:$N$2314,8,0)/IF('GHG Calcs'!AE21&gt;0,$BI21,1),"")</f>
        <v/>
      </c>
      <c r="AR21" s="306" t="str">
        <f ca="1">IFERROR(VLOOKUP('GHG Calcs'!$AH21,'Over-Road Coach C&amp;T EF'!$D$29:$N$2314,9,0)/IF('GHG Calcs'!AE21&gt;0,$BI21,1),"")</f>
        <v/>
      </c>
      <c r="AS21" s="306" t="str">
        <f ca="1">IFERROR((VLOOKUP('GHG Calcs'!$AH21,'Over-Road Coach C&amp;T EF'!$D$29:$N$2314,10,0)+VLOOKUP('GHG Calcs'!$AH21,'Over-Road Coach C&amp;T EF'!$D$29:$N$2314,11,0))/IF('GHG Calcs'!AE21&gt;0,$BI21,1),"")</f>
        <v/>
      </c>
      <c r="AT21" s="306" t="str">
        <f ca="1">IFERROR(VLOOKUP(T21,'Co-Benefit Calcs'!$E$76:$I$83,2,0)/IF('GHG Calcs'!$AE21&gt;0,'Rail C&amp;T EF'!$K$14,1),"")</f>
        <v/>
      </c>
      <c r="AU21" s="306" t="str">
        <f ca="1">IFERROR(VLOOKUP(T21,'Co-Benefit Calcs'!$E$76:$I$83,3,0)/IF('GHG Calcs'!$AE21&gt;0,'Rail C&amp;T EF'!$K$14,1),"")</f>
        <v/>
      </c>
      <c r="AV21" s="306" t="str">
        <f ca="1">IFERROR(VLOOKUP(T21,'Co-Benefit Calcs'!$E$76:$I$83,4,0)/IF('GHG Calcs'!$AE21&gt;0,'Rail C&amp;T EF'!$K$14,1),"")</f>
        <v/>
      </c>
      <c r="AW21" s="306" t="str">
        <f ca="1">IFERROR(IF('GHG Calcs'!$AD21="Gasoline",0,VLOOKUP(T21,'Co-Benefit Calcs'!$E$76:$I$83,5,0))/IF('GHG Calcs'!$AE21&gt;0,'Rail C&amp;T EF'!$K$14,1),"")</f>
        <v/>
      </c>
      <c r="AX21" s="306" t="str">
        <f ca="1">IFERROR(VLOOKUP('GHG Calcs'!$AG21,'Rail C&amp;T EF'!$A$43:$Y$133,IF(U21&gt;750,23, IF(U21&gt;=600,20, IF(U21&gt;=300,17, IF(U21&gt;=175,14, IF(U21&gt;=100,11, IF(U21&gt;=75,8, IF(U21&gt;=50,5, 2))))))),0) * IF($U21&gt;=750,'Rail C&amp;T EF'!$K$18,'Rail C&amp;T EF'!$K$19) * IF('GHG Calcs'!$AE21&gt;0,1,'Rail C&amp;T EF'!$B$149) * IF(OR('GHG Calcs'!AD21="Diesel", 'GHG Calcs'!AD21="Renewable Diesel", 'GHG Calcs'!AD21="Biodiesel"),'Rail C&amp;T EF'!$B$141,'Rail C&amp;T EF'!$B$142),"")</f>
        <v/>
      </c>
      <c r="AY21" s="306" t="str">
        <f ca="1">IFERROR(VLOOKUP('GHG Calcs'!$AG21,'Rail C&amp;T EF'!$A$43:$Y$133,IF(U21&gt;750,24, IF(U21&gt;=600,21, IF(U21&gt;=300,18, IF(U21&gt;=175,15, IF(U21&gt;=100,12, IF(U21&gt;=75,9, IF(U21&gt;=50,6, 3))))))),0) * IF($U21&gt;=750,'Rail C&amp;T EF'!$K$18,'Rail C&amp;T EF'!$K$19) * IF('GHG Calcs'!$AE21&gt;0,1,'Rail C&amp;T EF'!$B$149),"")</f>
        <v/>
      </c>
      <c r="AZ21" s="306" t="str">
        <f ca="1">IFERROR(VLOOKUP('GHG Calcs'!$AG21,'Rail C&amp;T EF'!$A$43:$Y$133,IF(U21&gt;750,25, IF(U21&gt;=600,22, IF(U21&gt;=300,19, IF(U21&gt;=175,16, IF(U21&gt;=100,13, IF(U21&gt;=75,10, IF(U21&gt;=50,7, 4))))))),0) * IF($U21&gt;=750,'Rail C&amp;T EF'!$K$18,'Rail C&amp;T EF'!$K$19) * IF('GHG Calcs'!$AE21&gt;0,1,'Rail C&amp;T EF'!$B$149)*'Rail C&amp;T EF'!$B$146,"")</f>
        <v/>
      </c>
      <c r="BA21" s="306" t="str">
        <f ca="1">IFERROR(IF('GHG Calcs'!$AD21="Gasoline",0,VLOOKUP('GHG Calcs'!$AG21,'Rail C&amp;T EF'!$A$43:$Y$133,IF(U21&gt;750,25, IF(U21&gt;=600,22, IF(U21&gt;=300,19, IF(U21&gt;=175,16, IF(U21&gt;=100,13, IF(U21&gt;=75,10, IF(U21&gt;=50,7, 4))))))),0) * IF($U21&gt;=750,'Rail C&amp;T EF'!$K$18,'Rail C&amp;T EF'!$K$19) * IF('GHG Calcs'!$AE21&gt;0,1,'Rail C&amp;T EF'!$B$149)),"")</f>
        <v/>
      </c>
      <c r="BB21" s="306" t="str">
        <f ca="1">IFERROR(VLOOKUP('GHG Calcs'!$AG21,'Ferry C&amp;T EF'!$A$106:$AK$196,IF(U21&gt;=3301,35, IF(U21&gt;=1901,31, IF(U21&gt;=751,27, IF(U21&gt;=501,23, IF(U21&gt;=251,19, IF(U21&gt;=176,15, IF(U21&gt;=121,11, IF(U21&gt;=51,7, 3)))))))),0),"")</f>
        <v/>
      </c>
      <c r="BC21" s="306" t="str">
        <f ca="1">IFERROR(VLOOKUP('GHG Calcs'!$AG21,'Ferry C&amp;T EF'!$A$106:$AK$196,IF(U21&gt;=3301,34, IF(U21&gt;=1901,30, IF(U21&gt;=751,26, IF(U21&gt;=501,22, IF(U21&gt;=251,18, IF(U21&gt;=176,14, IF(U21&gt;=121,10, IF(U21&gt;=51,6, 2)))))))),0),"")</f>
        <v/>
      </c>
      <c r="BD21" s="306" t="str">
        <f ca="1">IFERROR(VLOOKUP('GHG Calcs'!$AG21,'Ferry C&amp;T EF'!$A$106:$AK$196,IF(U21&gt;=3301,37, IF(U21&gt;=1901,33, IF(U21&gt;=751,29, IF(U21&gt;=501,25, IF(U21&gt;=251,21, IF(U21&gt;=176,17, IF(U21&gt;=121,13, IF(U21&gt;=51,9, 5)))))))),0),"")</f>
        <v/>
      </c>
      <c r="BE21" s="306" t="str">
        <f ca="1">IFERROR(IF('GHG Calcs'!$AD21="Gasoline",0,VLOOKUP('GHG Calcs'!$AG21,'Ferry C&amp;T EF'!$A$106:$AK$196,IF(U21&gt;=3301,36, IF(U21&gt;=1901,32, IF(U21&gt;=751,28, IF(U21&gt;=501,24, IF(U21&gt;=251,20, IF(U21&gt;=176,16, IF(U21&gt;=121,12, IF(U21&gt;=51,8, 4)))))))),0)),"")</f>
        <v/>
      </c>
      <c r="BF21" s="1419" t="str">
        <f ca="1">IFERROR(IF('GHG Calcs'!$AD21="Gasoline",VLOOKUP('GHG Calcs'!$AH21,'Fuel Consumption'!$A$31:$L$2316,3,0),IF(OR('GHG Calcs'!$AD21="CNG",'GHG Calcs'!$AD21="LNG",'GHG Calcs'!$AD21="Renewable Natural Gas"),VLOOKUP('GHG Calcs'!$AH21,'Fuel Consumption'!$A$31:$L$2316,4,0)*VLOOKUP('GHG Calcs'!$AD21,'GHG EF'!$B$10:$H$19,4,0),VLOOKUP('GHG Calcs'!$AH21,'Fuel Consumption'!$A$31:$L$2316,2,0)*VLOOKUP('GHG Calcs'!$AD21,'GHG EF'!$B$10:$H$19,4,0))),"")</f>
        <v/>
      </c>
      <c r="BG21" s="1419" t="str">
        <f ca="1">IFERROR(IF(OR('GHG Calcs'!$AD21="Diesel",'GHG Calcs'!$AD21="Renewable Diesel",'GHG Calcs'!$AD21="Biodiesel"),VLOOKUP('GHG Calcs'!$AH21,'Fuel Consumption'!$A$31:$L$2316,6,0)*VLOOKUP('GHG Calcs'!$AD21,'GHG EF'!$B$10:$H$19,4,0),VLOOKUP('GHG Calcs'!$AH21,'Fuel Consumption'!$A$31:$L$2316,7,0)*VLOOKUP('GHG Calcs'!$AD21,'GHG EF'!$B$10:$H$19,5,0)),"")</f>
        <v/>
      </c>
      <c r="BH21" s="1419" t="str">
        <f ca="1">IFERROR(IF(OR('GHG Calcs'!$AD21="Diesel",'GHG Calcs'!$AD21="Renewable Diesel",'GHG Calcs'!$AD21="Biodiesel"),VLOOKUP('GHG Calcs'!$AH21,'Fuel Consumption'!$A$31:$L$2316,9,0)*VLOOKUP('GHG Calcs'!$AD21,'GHG EF'!$B$10:$H$19,4,0),VLOOKUP('GHG Calcs'!$AH21,'Fuel Consumption'!$A$31:$L$2316,10,0)*VLOOKUP('GHG Calcs'!$AD21,'GHG EF'!$B$10:$H$19,5,0)),"")</f>
        <v/>
      </c>
      <c r="BI21" s="1419" t="str">
        <f ca="1">IFERROR(VLOOKUP('GHG Calcs'!$AH21,'Fuel Consumption'!$A$31:$L$2316,12,0)*VLOOKUP('GHG Calcs'!$AD21,'GHG EF'!$B$10:$H$19,4,0),"")</f>
        <v/>
      </c>
      <c r="BJ21" s="1373" t="str">
        <f ca="1">IFERROR(IF(OR('GHG Calcs'!AD21=Defaults!$I$3, 'GHG Calcs'!AD21=Defaults!$I$4, 'GHG Calcs'!AD21=Defaults!$I$6, 'GHG Calcs'!AD21=Defaults!$I$8), IF('GHG Calcs'!AE21&gt;0,'GHG Calcs'!AE21*IF('GHG Calcs'!AD21=Defaults!$I$3,'GHG EF'!$C$11/'GHG EF'!$C$12,1),'GHG Calcs'!AK21*'GHG Calcs'!AI21),"")*('GHG Calcs'!I21-'GHG Calcs'!H21),"")</f>
        <v/>
      </c>
      <c r="BK21" s="1373" t="str">
        <f ca="1">IFERROR(IF('GHG Calcs'!AD21=Defaults!$I$5,IF('GHG Calcs'!AE21&gt;0,'GHG Calcs'!AE21,'GHG Calcs'!AJ21*'GHG Calcs'!AI21),"")*IF('GHG Calcs'!AF21&lt;'GHG EF'!$D$13,'GHG Calcs'!AF21/'GHG EF'!$D$13,1)*IF('GHG Calcs'!AF21&lt;0,0,1)*('GHG Calcs'!I21-'GHG Calcs'!H21),"")</f>
        <v/>
      </c>
      <c r="BL21" s="1373" t="str">
        <f ca="1">IFERROR(IF('GHG Calcs'!AD21=Defaults!$I$11, IF(IF('GHG Calcs'!AE21&gt;0,'GHG Calcs'!AE21,'GHG Calcs'!AJ21*'GHG Calcs'!AI21)&lt;INDIRECT("'"&amp;#REF!&amp;"'!"&amp;$D21&amp;ROW(#REF!)), IF('GHG Calcs'!AE21&gt;0,'GHG Calcs'!AE21,'GHG Calcs'!AJ21*'GHG Calcs'!AI21), INDIRECT("'"&amp;#REF!&amp;"'!"&amp;$D21&amp;ROW(#REF!))),"")*('GHG Calcs'!I21-'GHG Calcs'!H21),"")</f>
        <v/>
      </c>
      <c r="BM21" s="1420" t="str">
        <f ca="1">IFERROR(IF('GHG Calcs'!AE21&gt;0,'GHG Calcs'!AE21,'GHG Calcs'!AL21*'GHG Calcs'!AI21)*VLOOKUP('GHG Calcs'!AD21,'Fuel &amp; Travel Costs'!$B$10:$C$19,2,0)*('GHG Calcs'!I21-'GHG Calcs'!H21),"")</f>
        <v/>
      </c>
      <c r="BN21" s="306">
        <f ca="1">INDIRECT("'Quantifiable Component "&amp;$B21&amp;"'!"&amp;$D21&amp;ROW('Quantifiable Component 1'!$59:$59))</f>
        <v>0</v>
      </c>
      <c r="BO21" s="306">
        <f ca="1">INDIRECT("'Quantifiable Component "&amp;$B21&amp;"'!"&amp;$D21&amp;ROW('Quantifiable Component 1'!$60:$60))</f>
        <v>0</v>
      </c>
      <c r="BP21" s="1421" t="str">
        <f ca="1">IFERROR(IF('GHG Calcs'!$BD21="Gasoline",VLOOKUP('GHG Calcs'!$BL21,'Bus C&amp;T EF'!$D$30:$V$2315,3,0),IF(OR('GHG Calcs'!$BD21="CNG",'GHG Calcs'!$BD21="LNG",'GHG Calcs'!$BD21="Renewable Natural Gas"),VLOOKUP('GHG Calcs'!$BL21,'Bus C&amp;T EF'!$D$30:$V$2315,4,0),VLOOKUP('GHG Calcs'!$BL21,'Bus C&amp;T EF'!$D$30:$V$2315,2,0)))/IF('GHG Calcs'!BE21&gt;0,$CZ21,1),"")</f>
        <v/>
      </c>
      <c r="BQ21" s="1419" t="str">
        <f ca="1">IFERROR(IF('GHG Calcs'!$BD21="Gasoline",VLOOKUP('GHG Calcs'!$BL21,'Bus C&amp;T EF'!$D$30:$V$2315,6,0),IF(OR('GHG Calcs'!$BD21="CNG",'GHG Calcs'!$BD21="LNG",'GHG Calcs'!$BD21="Renewable Natural Gas"),VLOOKUP('GHG Calcs'!$BL21,'Bus C&amp;T EF'!$D$30:$V$2315,7,0),VLOOKUP('GHG Calcs'!$BL21,'Bus C&amp;T EF'!$D$30:$V$2315,5,0)))/IF('GHG Calcs'!BE21&gt;0,$CZ21,1),"")</f>
        <v/>
      </c>
      <c r="BR21" s="1419" t="str">
        <f ca="1">IFERROR(IF('GHG Calcs'!$BD21="Gasoline",VLOOKUP('GHG Calcs'!$BL21,'Bus C&amp;T EF'!$D$30:$V$2315,9,0),IF(OR('GHG Calcs'!$BD21="CNG",'GHG Calcs'!$BD21="LNG",'GHG Calcs'!$BD21="Renewable Natural Gas"),VLOOKUP('GHG Calcs'!$BL21,'Bus C&amp;T EF'!$D$30:$V$2315,10,0),VLOOKUP('GHG Calcs'!$BL21,'Bus C&amp;T EF'!$D$30:$V$2315,8,0)))/IF('GHG Calcs'!BE21&gt;0,$CZ21,1),"")</f>
        <v/>
      </c>
      <c r="BS21" s="1419" t="str">
        <f ca="1">IFERROR(IF('GHG Calcs'!$BD21="Gasoline",VLOOKUP('GHG Calcs'!$BL21,'Bus C&amp;T EF'!$D$30:$V$2315,12,0),IF(OR('GHG Calcs'!$BD21="CNG",'GHG Calcs'!$BD21="LNG",'GHG Calcs'!$BD21="Renewable Natural Gas"),VLOOKUP('GHG Calcs'!$BL21,'Bus C&amp;T EF'!$D$30:$V$2315,13,0),IF(OR('GHG Calcs'!$BD21="Electric",'GHG Calcs'!$BD21="Hydrogen Fuel Cell",'GHG Calcs'!$BD21="Renewable Electricity"),VLOOKUP('GHG Calcs'!$BL21,'Bus C&amp;T EF'!$D$30:$V$2315,14,0),VLOOKUP('GHG Calcs'!$BL21,'Bus C&amp;T EF'!$D$30:$V$2315,11,0))))/IF('GHG Calcs'!BE21&gt;0,$CZ21,1),"")</f>
        <v/>
      </c>
      <c r="BT21" s="1419" t="str">
        <f ca="1">IFERROR(IF('GHG Calcs'!$BD21="Gasoline",VLOOKUP('GHG Calcs'!$BL21,'Bus C&amp;T EF'!$D$30:$V$2315,16,0),IF(OR('GHG Calcs'!$BD21="CNG",'GHG Calcs'!$BD21="LNG",'GHG Calcs'!$BD21="Renewable Natural Gas"),VLOOKUP('GHG Calcs'!$BL21,'Bus C&amp;T EF'!$D$30:$V$2315,17,0),IF(OR('GHG Calcs'!$BD21="Electric",'GHG Calcs'!$BD21="Hydrogen Fuel Cell",'GHG Calcs'!$BD21="Renewable Electricity"),VLOOKUP('GHG Calcs'!$BL21,'Bus C&amp;T EF'!$D$30:$V$2315,18,0),VLOOKUP('GHG Calcs'!$BL21,'Bus C&amp;T EF'!$D$30:$V$2315,15,0))))/IF('GHG Calcs'!BE21&gt;0,$CZ21,1),"")</f>
        <v/>
      </c>
      <c r="BU21" s="306" t="str">
        <f ca="1">IFERROR(IF('GHG Calcs'!$BD21="Gasoline",0,VLOOKUP('GHG Calcs'!$BL21,'Bus C&amp;T EF'!$D$30:$V$2315,19,0))/IF('GHG Calcs'!BE21&gt;0,$CZ21,1),"")</f>
        <v/>
      </c>
      <c r="BV21" s="1419" t="str">
        <f ca="1">IFERROR(IF(OR('GHG Calcs'!$BD21="Diesel",'GHG Calcs'!$BD21="Renewable Diesel",'GHG Calcs'!$BD21="Biodiesel"),VLOOKUP('GHG Calcs'!$BL21,'Van C&amp;T EF'!$D$30:$Q$2315,2,0),VLOOKUP('GHG Calcs'!$BL21,'Van C&amp;T EF'!$D$30:$Q$2315,3,0))/IF('GHG Calcs'!BE21&gt;0,$DA21,1),"")</f>
        <v/>
      </c>
      <c r="BW21" s="1419" t="str">
        <f ca="1">IFERROR(IF(OR('GHG Calcs'!$BD21="Diesel",'GHG Calcs'!$BD21="Renewable Diesel",'GHG Calcs'!$BD21="Biodiesel"),VLOOKUP('GHG Calcs'!$BL21,'Van C&amp;T EF'!$D$30:$Q$2315,4,0),VLOOKUP('GHG Calcs'!$BL21,'Van C&amp;T EF'!$D$30:$Q$2315,5,0))/IF('GHG Calcs'!BE21&gt;0,$DA21,1),"")</f>
        <v/>
      </c>
      <c r="BX21" s="1419" t="str">
        <f ca="1">IFERROR(IF(OR('GHG Calcs'!$BD21="Diesel",'GHG Calcs'!$BD21="Renewable Diesel",'GHG Calcs'!$BD21="Biodiesel"),VLOOKUP('GHG Calcs'!$BL21,'Van C&amp;T EF'!$D$30:$Q$2315,6,0),VLOOKUP('GHG Calcs'!$BL21,'Van C&amp;T EF'!$D$30:$Q$2315,7,0))/IF('GHG Calcs'!BE21&gt;0,$DA21,1),"")</f>
        <v/>
      </c>
      <c r="BY21" s="1419" t="str">
        <f ca="1">IFERROR(IF(OR('GHG Calcs'!$BD21="Diesel",'GHG Calcs'!$BD21="Renewable Diesel",'GHG Calcs'!$BD21="Biodiesel"),VLOOKUP('GHG Calcs'!$BL21,'Van C&amp;T EF'!$D$30:$Q$2315,8,0),IF(OR('GHG Calcs'!$BD21="Electric",'GHG Calcs'!$BD21="Hydrogen Fuel Cell",'GHG Calcs'!$BD21="Renewable Electricity"),VLOOKUP('GHG Calcs'!$BL21,'Van C&amp;T EF'!$D$30:$Q$2315,10,0),VLOOKUP('GHG Calcs'!$BL21,'Van C&amp;T EF'!$D$30:$Q$2315,9,0)))/IF('GHG Calcs'!BE21&gt;0,$DA21,1),"")</f>
        <v/>
      </c>
      <c r="BZ21" s="1419" t="str">
        <f ca="1">IFERROR(IF(OR('GHG Calcs'!$BD21="Diesel",'GHG Calcs'!$BD21="Renewable Diesel",'GHG Calcs'!$BD21="Biodiesel"),VLOOKUP('GHG Calcs'!$BL21,'Van C&amp;T EF'!$D$30:$Q$2315,11,0),IF(OR('GHG Calcs'!$BD21="Electric",'GHG Calcs'!$BD21="Hydrogen Fuel Cell",'GHG Calcs'!$BD21="Renewable Electricity"),VLOOKUP('GHG Calcs'!$BL21,'Van C&amp;T EF'!$D$30:$Q$2315,13,0),VLOOKUP('GHG Calcs'!$BL21,'Van C&amp;T EF'!$D$30:$Q$2315,12,0)))/IF('GHG Calcs'!BE21&gt;0,$DA21,1),"")</f>
        <v/>
      </c>
      <c r="CA21" s="306">
        <f ca="1">IFERROR(IF(OR('GHG Calcs'!$BD21="Diesel",'GHG Calcs'!$BD21="Biodiesel",'GHG Calcs'!$BD21="Renewable Diesel"),VLOOKUP('GHG Calcs'!$BL21,'Van C&amp;T EF'!$D$30:$Q$2315,14,0),0)/IF('GHG Calcs'!BE21&gt;0,$DA21,1),"")</f>
        <v>0</v>
      </c>
      <c r="CB21" s="1419" t="str">
        <f ca="1">IFERROR(IF(OR('GHG Calcs'!$BD21="Diesel",'GHG Calcs'!$BD21="Renewable Diesel",'GHG Calcs'!$BD21="Biodiesel"),VLOOKUP('GHG Calcs'!$BL21,'Shuttle C&amp;T EF'!$D$30:$Q$2315,2,0),VLOOKUP('GHG Calcs'!$BL21,'Shuttle C&amp;T EF'!$D$30:$Q$2315,3,0))/IF('GHG Calcs'!BE21&gt;0,$DB21,1),"")</f>
        <v/>
      </c>
      <c r="CC21" s="1419" t="str">
        <f ca="1">IFERROR(IF(OR('GHG Calcs'!$BD21="Diesel",'GHG Calcs'!$BD21="Renewable Diesel",'GHG Calcs'!$BD21="Biodiesel"),VLOOKUP('GHG Calcs'!$BL21,'Shuttle C&amp;T EF'!$D$30:$Q$2315,4,0),VLOOKUP('GHG Calcs'!$BL21,'Shuttle C&amp;T EF'!$D$30:$Q$2315,5,0))/IF('GHG Calcs'!BE21&gt;0,$DB21,1),"")</f>
        <v/>
      </c>
      <c r="CD21" s="1419" t="str">
        <f ca="1">IFERROR(IF(OR('GHG Calcs'!$BD21="Diesel",'GHG Calcs'!$BD21="Renewable Diesel",'GHG Calcs'!$BD21="Biodiesel"),VLOOKUP('GHG Calcs'!$BL21,'Shuttle C&amp;T EF'!$D$30:$Q$2315,6,0),VLOOKUP('GHG Calcs'!$BL21,'Shuttle C&amp;T EF'!$D$30:$Q$2315,7,0))/IF('GHG Calcs'!BE21&gt;0,$DB21,1),"")</f>
        <v/>
      </c>
      <c r="CE21" s="1419" t="str">
        <f ca="1">IFERROR(IF(OR('GHG Calcs'!$BD21="Diesel",'GHG Calcs'!$BD21="Renewable Diesel",'GHG Calcs'!$BD21="Biodiesel"),VLOOKUP('GHG Calcs'!$BL21,'Shuttle C&amp;T EF'!$D$30:$Q$2315,8,0),IF(OR('GHG Calcs'!$BD21="Electric",'GHG Calcs'!$BD21="Hydrogen Fuel Cell",'GHG Calcs'!$BD21="Renewable Electricity"),VLOOKUP('GHG Calcs'!$BL21,'Shuttle C&amp;T EF'!$D$30:$Q$2315,10,0),VLOOKUP('GHG Calcs'!$BL21,'Shuttle C&amp;T EF'!$D$30:$Q$2315,9,0)))/IF('GHG Calcs'!BE21&gt;0,$DB21,1),"")</f>
        <v/>
      </c>
      <c r="CF21" s="1419" t="str">
        <f ca="1">IFERROR(IF(OR('GHG Calcs'!$BD21="Diesel",'GHG Calcs'!$BD21="Renewable Diesel",'GHG Calcs'!$BD21="Biodiesel"),VLOOKUP('GHG Calcs'!$BL21,'Shuttle C&amp;T EF'!$D$30:$Q$2315,11,0),IF(OR('GHG Calcs'!$BD21="Electric",'GHG Calcs'!$BD21="Hydrogen Fuel Cell",'GHG Calcs'!$BD21="Renewable Electricity"),VLOOKUP('GHG Calcs'!$BL21,'Shuttle C&amp;T EF'!$D$30:$Q$2315,13,0),VLOOKUP('GHG Calcs'!$BL21,'Shuttle C&amp;T EF'!$D$30:$Q$2315,12,0)))/IF('GHG Calcs'!BE21&gt;0,$DB21,1),"")</f>
        <v/>
      </c>
      <c r="CG21" s="1419">
        <f ca="1">IFERROR(IF(OR('GHG Calcs'!$BD21="Diesel",'GHG Calcs'!$BD21="Biodiesel",'GHG Calcs'!$BD21="Renewable Diesel"),VLOOKUP('GHG Calcs'!$BL21,'Shuttle C&amp;T EF'!$D$30:$Q$2315,14,0),0)/IF('GHG Calcs'!BE21&gt;0,$DB21,1),"")</f>
        <v>0</v>
      </c>
      <c r="CH21" s="306" t="str">
        <f ca="1">IFERROR((VLOOKUP('GHG Calcs'!$BL21,'Over-Road Coach C&amp;T EF'!$D$29:$N$2314,2,0)+VLOOKUP('GHG Calcs'!$BL21,'Over-Road Coach C&amp;T EF'!$D$29:$N$2314,3,0))/IF('GHG Calcs'!BE21&gt;0,$DC21,1),"")</f>
        <v/>
      </c>
      <c r="CI21" s="306" t="str">
        <f ca="1">IFERROR((VLOOKUP('GHG Calcs'!$BL21,'Over-Road Coach C&amp;T EF'!$D$29:$N$2314,4,0)+VLOOKUP('GHG Calcs'!$BL21,'Over-Road Coach C&amp;T EF'!$D$29:$N$2314,5,0))/IF('GHG Calcs'!BE21&gt;0,$DC21,1),"")</f>
        <v/>
      </c>
      <c r="CJ21" s="306" t="str">
        <f ca="1">IFERROR((VLOOKUP('GHG Calcs'!$BL21,'Over-Road Coach C&amp;T EF'!$D$29:$N$2314,6,0)+VLOOKUP('GHG Calcs'!$BL21,'Over-Road Coach C&amp;T EF'!$D$29:$N$2314,7,0))/IF('GHG Calcs'!BE21&gt;0,$DC21,1),"")</f>
        <v/>
      </c>
      <c r="CK21" s="306" t="str">
        <f ca="1">IFERROR(VLOOKUP('GHG Calcs'!$BL21,'Over-Road Coach C&amp;T EF'!$D$29:$N$2314,8,0)/IF('GHG Calcs'!BE21&gt;0,$DC21,1),"")</f>
        <v/>
      </c>
      <c r="CL21" s="306" t="str">
        <f ca="1">IFERROR(VLOOKUP('GHG Calcs'!$BL21,'Over-Road Coach C&amp;T EF'!$D$29:$N$2314,9,0)/IF('GHG Calcs'!BE21&gt;0,$DC21,1),"")</f>
        <v/>
      </c>
      <c r="CM21" s="306" t="str">
        <f ca="1">IFERROR((VLOOKUP('GHG Calcs'!$BL21,'Over-Road Coach C&amp;T EF'!$D$29:$N$2314,10,0)+VLOOKUP('GHG Calcs'!$BL21,'Over-Road Coach C&amp;T EF'!$D$29:$N$2314,11,0))/IF('GHG Calcs'!BE21&gt;0,$DC21,1),"")</f>
        <v/>
      </c>
      <c r="CN21" s="306" t="str">
        <f ca="1">IFERROR(VLOOKUP(BN21,'Co-Benefit Calcs'!$E$76:$I$83,2,0)/IF('GHG Calcs'!$BE21&gt;0,'Rail C&amp;T EF'!$K$14,1),"")</f>
        <v/>
      </c>
      <c r="CO21" s="306" t="str">
        <f ca="1">IFERROR(VLOOKUP(BN21,'Co-Benefit Calcs'!$E$76:$I$83,3,0)/IF('GHG Calcs'!$BE21&gt;0,'Rail C&amp;T EF'!$K$14,1),"")</f>
        <v/>
      </c>
      <c r="CP21" s="306" t="str">
        <f ca="1">IFERROR(VLOOKUP(BN21,'Co-Benefit Calcs'!$E$76:$I$83,4,0)/IF('GHG Calcs'!$BE21&gt;0,'Rail C&amp;T EF'!$K$14,1),"")</f>
        <v/>
      </c>
      <c r="CQ21" s="306" t="str">
        <f ca="1">IFERROR(IF('GHG Calcs'!$BD21="Gasoline",0,VLOOKUP(BN21,'Co-Benefit Calcs'!$E$76:$I$83,5,0))/IF('GHG Calcs'!$BE21&gt;0,'Rail C&amp;T EF'!$K$14,1),"")</f>
        <v/>
      </c>
      <c r="CR21" s="306" t="str">
        <f ca="1">IFERROR(VLOOKUP('GHG Calcs'!$BG21,'Rail C&amp;T EF'!$A$43:$Y$133,IF(BO21&gt;750,23, IF(BO21&gt;=600,20, IF(BO21&gt;=300,17, IF(BO21&gt;=175,14, IF(BO21&gt;=100,11, IF(BO21&gt;=75,8, IF(BO21&gt;=50,5, 2))))))),0) * IF($BO21&gt;=750,'Rail C&amp;T EF'!$K$18,'Rail C&amp;T EF'!$K$19) * IF('GHG Calcs'!BE21&gt;0,1,'Rail C&amp;T EF'!$B$149) * IF(OR('GHG Calcs'!BD21="Diesel", 'GHG Calcs'!BD21="Renewable Diesel", 'GHG Calcs'!BD21="Biodiesel"),'Rail C&amp;T EF'!$B$141,'Rail C&amp;T EF'!$B$142),"")</f>
        <v/>
      </c>
      <c r="CS21" s="306" t="str">
        <f ca="1">IFERROR(VLOOKUP('GHG Calcs'!$BG21,'Rail C&amp;T EF'!$A$43:$Y$133,IF(BO21&gt;750,24, IF(BO21&gt;=600,21, IF(BO21&gt;=300,18, IF(BO21&gt;=175,15, IF(BO21&gt;=100,12, IF(BO21&gt;=75,9, IF(BO21&gt;=50,6, 3))))))),0) * IF($BO21&gt;=750,'Rail C&amp;T EF'!$K$18,'Rail C&amp;T EF'!$K$19) * IF('GHG Calcs'!$BE21&gt;0,1,'Rail C&amp;T EF'!$B$149),"")</f>
        <v/>
      </c>
      <c r="CT21" s="306" t="str">
        <f ca="1">IFERROR(VLOOKUP('GHG Calcs'!$BG21,'Rail C&amp;T EF'!$A$43:$Y$133,IF(BO21&gt;750,25, IF(BO21&gt;=600,22, IF(BO21&gt;=300,19, IF(BO21&gt;=175,16, IF(BO21&gt;=100,13, IF(BO21&gt;=75,10, IF(BO21&gt;=50,7, 4))))))),0) * IF($BO21&gt;=750,'Rail C&amp;T EF'!$K$18,'Rail C&amp;T EF'!$K$19) * IF('GHG Calcs'!$BE21&gt;0,1,'Rail C&amp;T EF'!$B$149)*'Rail C&amp;T EF'!$B$146,"")</f>
        <v/>
      </c>
      <c r="CU21" s="306" t="str">
        <f ca="1">IFERROR(IF('GHG Calcs'!BD21="Gasoline",0,VLOOKUP('GHG Calcs'!$BG21,'Rail C&amp;T EF'!$A$43:$Y$133,IF(BO21&gt;750,25, IF(BO21&gt;=600,22, IF(BO21&gt;=300,19, IF(BO21&gt;=175,16, IF(BO21&gt;=100,13, IF(BO21&gt;=75,10, IF(BO21&gt;=50,7, 4))))))),0) * IF($BO21&gt;=750,'Rail C&amp;T EF'!$K$18,'Rail C&amp;T EF'!$K$19) * IF('GHG Calcs'!$BE21&gt;0,1,'Rail C&amp;T EF'!$B$149)),"")</f>
        <v/>
      </c>
      <c r="CV21" s="306" t="str">
        <f ca="1">IFERROR(VLOOKUP('GHG Calcs'!$BG21,'Ferry C&amp;T EF'!$A$106:$AK$196,IF(BO21&gt;=3301,35, IF(BO21&gt;=1901,31, IF(BO21&gt;=751,27, IF(BO21&gt;=501,23, IF(BO21&gt;=251,19, IF(BO21&gt;=176,15, IF(BO21&gt;=121,11, IF(BO21&gt;=51,7, 3)))))))),0),"")</f>
        <v/>
      </c>
      <c r="CW21" s="306" t="str">
        <f ca="1">IFERROR(VLOOKUP('GHG Calcs'!$BG21,'Ferry C&amp;T EF'!$A$106:$AK$196,IF(BO21&gt;=3301,34, IF(BO21&gt;=1901,30, IF(BO21&gt;=751,26, IF(BO21&gt;=501,22, IF(BO21&gt;=251,18, IF(BO21&gt;=176,14, IF(BO21&gt;=121,10, IF(BO21&gt;=51,6, 2)))))))),0),"")</f>
        <v/>
      </c>
      <c r="CX21" s="306" t="str">
        <f ca="1">IFERROR(VLOOKUP('GHG Calcs'!$BG21,'Ferry C&amp;T EF'!$A$106:$AK$196,IF(BO21&gt;=3301,37, IF(BO21&gt;=1901,33, IF(BO21&gt;=751,29, IF(BO21&gt;=501,25, IF(BO21&gt;=251,21, IF(BO21&gt;=176,17, IF(BO21&gt;=121,13, IF(BO21&gt;=51,9, 5)))))))),0),"")</f>
        <v/>
      </c>
      <c r="CY21" s="306" t="str">
        <f ca="1">IFERROR(IF('GHG Calcs'!$BD21="Gasoline",0,VLOOKUP('GHG Calcs'!$BG21,'Ferry C&amp;T EF'!$A$106:$AK$196,IF(BO21&gt;=3301,36, IF(BO21&gt;=1901,32, IF(BO21&gt;=751,28, IF(BO21&gt;=501,24, IF(BO21&gt;=251,20, IF(BO21&gt;=176,16, IF(BO21&gt;=121,12, IF(BO21&gt;=51,8, 4)))))))),0)),"")</f>
        <v/>
      </c>
      <c r="CZ21" s="1419" t="str">
        <f ca="1">IFERROR(IF('GHG Calcs'!$BD21="Gasoline",VLOOKUP('GHG Calcs'!$BL21,'Fuel Consumption'!$A$31:$L$2316,3,0),IF(OR('GHG Calcs'!$BD21="CNG",'GHG Calcs'!$BD21="LNG",'GHG Calcs'!$BD21="Renewable Natural Gas"),VLOOKUP('GHG Calcs'!$BL21,'Fuel Consumption'!$A$31:$L$2316,4,0)*VLOOKUP('GHG Calcs'!$BD21,'GHG EF'!$B$10:$H$19,4,0),VLOOKUP('GHG Calcs'!$BL21,'Fuel Consumption'!$A$31:$L$2316,2,0)*VLOOKUP('GHG Calcs'!$AD21,'GHG EF'!$B$10:$H$19,4,0))),"")</f>
        <v/>
      </c>
      <c r="DA21" s="1419" t="str">
        <f ca="1">IFERROR(IF(OR('GHG Calcs'!$BD21="Diesel",'GHG Calcs'!$BD21="Renewable Diesel",'GHG Calcs'!$BD21="Biodiesel"),VLOOKUP('GHG Calcs'!$BL21,'Fuel Consumption'!$A$31:$L$2316,6,0)*VLOOKUP('GHG Calcs'!$BD21,'GHG EF'!$B$10:$H$19,4,0),VLOOKUP('GHG Calcs'!$BL21,'Fuel Consumption'!$A$31:$L$2316,7,0)*VLOOKUP('GHG Calcs'!$BD21,'GHG EF'!$B$10:$H$19,5,0)),"")</f>
        <v/>
      </c>
      <c r="DB21" s="1419" t="str">
        <f ca="1">IFERROR(IF(OR('GHG Calcs'!$BD21="Diesel",'GHG Calcs'!$BD21="Renewable Diesel",'GHG Calcs'!$BD21="Biodiesel"),VLOOKUP('GHG Calcs'!$BL21,'Fuel Consumption'!$A$31:$L$2316,9,0)*VLOOKUP('GHG Calcs'!$BD21,'GHG EF'!$B$10:$H$19,4,0),VLOOKUP('GHG Calcs'!$BL21,'Fuel Consumption'!$A$31:$L$2316,10,0)*VLOOKUP('GHG Calcs'!$BD21,'GHG EF'!$B$10:$H$19,5,0)),"")</f>
        <v/>
      </c>
      <c r="DC21" s="1419" t="str">
        <f ca="1">IFERROR(VLOOKUP('GHG Calcs'!$BL21,'Fuel Consumption'!$A$31:$L$2316,12,0)*VLOOKUP('GHG Calcs'!$BD21,'GHG EF'!$B$10:$H$19,4,0),"")</f>
        <v/>
      </c>
      <c r="DD21" s="1373" t="str">
        <f ca="1">IFERROR(IF(OR('GHG Calcs'!BD21=Defaults!$I$3, 'GHG Calcs'!BD21=Defaults!$I$4, 'GHG Calcs'!BD21=Defaults!$I$6, 'GHG Calcs'!BD21=Defaults!$I$8), IF('GHG Calcs'!BE21&gt;0,'GHG Calcs'!BE21*IF('GHG Calcs'!BD21=Defaults!$I$3,'GHG EF'!$C$11/'GHG EF'!$C$12,1),'GHG Calcs'!BJ21*'GHG Calcs'!BH21),"")*('GHG Calcs'!I21-'GHG Calcs'!H21),"")</f>
        <v/>
      </c>
      <c r="DE21" s="1373" t="str">
        <f ca="1">IFERROR(IF('GHG Calcs'!BD21=Defaults!$I$5,IF('GHG Calcs'!BE21&gt;0,'GHG Calcs'!BE21,'GHG Calcs'!BI21*'GHG Calcs'!BH21),"")*('GHG Calcs'!I21-'GHG Calcs'!H21),"")</f>
        <v/>
      </c>
      <c r="DF21" s="1420" t="str">
        <f ca="1">IFERROR(IF('GHG Calcs'!BE21&gt;0,'GHG Calcs'!BE21,'GHG Calcs'!BK21*'GHG Calcs'!BH21)*VLOOKUP('GHG Calcs'!BD21,'Fuel &amp; Travel Costs'!$B$10:$C$19,2,0)*('GHG Calcs'!I21-'GHG Calcs'!H21),"")</f>
        <v/>
      </c>
      <c r="DG21" s="306">
        <f ca="1">INDIRECT("'Quantifiable Component "&amp;$B21&amp;"'!"&amp;$D21&amp;ROW('Quantifiable Component 1'!$70:$70))</f>
        <v>0</v>
      </c>
      <c r="DH21" s="306">
        <f ca="1">INDIRECT("'Quantifiable Component "&amp;$B21&amp;"'!"&amp;$D21&amp;ROW('Quantifiable Component 1'!$71:$71))</f>
        <v>0</v>
      </c>
      <c r="DI21" s="1422" t="str">
        <f ca="1">IFERROR(IF('GHG Calcs'!$CD21="Gasoline",VLOOKUP('GHG Calcs'!$CG21,'Bus C&amp;T EF'!$D$30:$V$2315,3,0),IF(OR('GHG Calcs'!$CD21="CNG",'GHG Calcs'!$CD21="LNG",'GHG Calcs'!$CD21="Renewable Natural Gas"),VLOOKUP('GHG Calcs'!$CG21,'Bus C&amp;T EF'!$D$30:$V$2315,4,0),VLOOKUP('GHG Calcs'!$CG21,'Bus C&amp;T EF'!$D$30:$V$2315,2,0)))/$ES21,"")</f>
        <v/>
      </c>
      <c r="DJ21" s="306" t="str">
        <f ca="1">IFERROR(IF('GHG Calcs'!$CD21="Gasoline",VLOOKUP('GHG Calcs'!$CG21,'Bus C&amp;T EF'!$D$30:$V$2315,6,0),IF(OR('GHG Calcs'!$CD21="CNG",'GHG Calcs'!$CD21="LNG",'GHG Calcs'!$CD21="Renewable Natural Gas"),VLOOKUP('GHG Calcs'!$CG21,'Bus C&amp;T EF'!$D$30:$V$2315,7,0),VLOOKUP('GHG Calcs'!$CG21,'Bus C&amp;T EF'!$D$30:$V$2315,5,0)))/$ES21,"")</f>
        <v/>
      </c>
      <c r="DK21" s="306" t="str">
        <f ca="1">IFERROR(IF('GHG Calcs'!$CD21="Gasoline",VLOOKUP('GHG Calcs'!$CG21,'Bus C&amp;T EF'!$D$30:$V$2315,9,0),IF(OR('GHG Calcs'!$CD21="CNG",'GHG Calcs'!$CD21="LNG",'GHG Calcs'!$CD21="Renewable Natural Gas"),VLOOKUP('GHG Calcs'!$CG21,'Bus C&amp;T EF'!$D$30:$V$2315,10,0),VLOOKUP('GHG Calcs'!$CG21,'Bus C&amp;T EF'!$D$30:$V$2315,8,0)))/$ES21,"")</f>
        <v/>
      </c>
      <c r="DL21" s="306" t="str">
        <f ca="1">IFERROR(IF('GHG Calcs'!$CD21="Gasoline",VLOOKUP('GHG Calcs'!$CG21,'Bus C&amp;T EF'!$D$30:$V$2315,12,0),IF(OR('GHG Calcs'!$CD21="CNG",'GHG Calcs'!$CD21="LNG",'GHG Calcs'!$CD21="Renewable Natural Gas"),VLOOKUP('GHG Calcs'!$CG21,'Bus C&amp;T EF'!$D$30:$V$2315,13,0),IF('GHG Calcs'!$CD21="Electric",VLOOKUP('GHG Calcs'!$CG21,'Bus C&amp;T EF'!$D$30:$V$2315,14,0),VLOOKUP('GHG Calcs'!$CG21,'Bus C&amp;T EF'!$D$30:$V$2315,11,0))))/$ES21,"")</f>
        <v/>
      </c>
      <c r="DM21" s="306" t="str">
        <f ca="1">IFERROR(IF('GHG Calcs'!$CD21="Gasoline",VLOOKUP('GHG Calcs'!$CG21,'Bus C&amp;T EF'!$D$30:$V$2315,16,0),IF(OR('GHG Calcs'!$CD21="CNG",'GHG Calcs'!$CD21="LNG",'GHG Calcs'!$CD21="Renewable Natural Gas"),VLOOKUP('GHG Calcs'!$CG21,'Bus C&amp;T EF'!$D$30:$V$2315,17,0),IF('GHG Calcs'!$CD21="Electric",VLOOKUP('GHG Calcs'!$CG21,'Bus C&amp;T EF'!$D$30:$V$2315,18,0),VLOOKUP('GHG Calcs'!$CG21,'Bus C&amp;T EF'!$D$30:$V$2315,15,0))))/$ES21,"")</f>
        <v/>
      </c>
      <c r="DN21" s="306" t="str">
        <f ca="1">IFERROR(IF('GHG Calcs'!$CD21="Gasoline",0,VLOOKUP('GHG Calcs'!$CG21,'Bus C&amp;T EF'!$D$30:$V$2315,19,0))/$ES21,"")</f>
        <v/>
      </c>
      <c r="DO21" s="1419" t="str">
        <f ca="1">IFERROR(IF(OR('GHG Calcs'!$CD21="Diesel",'GHG Calcs'!$CD21="Renewable Diesel",'GHG Calcs'!$CD21="Biodiesel"),VLOOKUP('GHG Calcs'!$CG21,'Van C&amp;T EF'!$D$30:$Q$2315,2,0),VLOOKUP('GHG Calcs'!$CG21,'Van C&amp;T EF'!$D$30:$Q$2315,3,0))/$ET21,"")</f>
        <v/>
      </c>
      <c r="DP21" s="1419" t="str">
        <f ca="1">IFERROR(IF(OR('GHG Calcs'!$CD21="Diesel",'GHG Calcs'!$CD21="Renewable Diesel",'GHG Calcs'!$CD21="Biodiesel"),VLOOKUP('GHG Calcs'!$CG21,'Van C&amp;T EF'!$D$30:$Q$2315,4,0),VLOOKUP('GHG Calcs'!$CG21,'Van C&amp;T EF'!$D$30:$Q$2315,5,0))/$ET21,"")</f>
        <v/>
      </c>
      <c r="DQ21" s="1419" t="str">
        <f ca="1">IFERROR(IF(OR('GHG Calcs'!$CD21="Diesel",'GHG Calcs'!$CD21="Renewable Diesel",'GHG Calcs'!$CD21="Biodiesel"),VLOOKUP('GHG Calcs'!$CG21,'Van C&amp;T EF'!$D$30:$Q$2315,6,0),VLOOKUP('GHG Calcs'!$CG21,'Van C&amp;T EF'!$D$30:$Q$2315,7,0))/$ET21,"")</f>
        <v/>
      </c>
      <c r="DR21" s="1419" t="str">
        <f ca="1">IFERROR(IF(OR('GHG Calcs'!$CD21="Diesel",'GHG Calcs'!$CD21="Renewable Diesel",'GHG Calcs'!$CD21="Biodiesel"),VLOOKUP('GHG Calcs'!$CG21,'Van C&amp;T EF'!$D$30:$Q$2315,8,0),IF(OR('GHG Calcs'!$CD21="Electric",'GHG Calcs'!$CD21="Hydrogen Fuel Cell",'GHG Calcs'!$CD21="Renewable Electricity"),VLOOKUP('GHG Calcs'!$CG21,'Van C&amp;T EF'!$D$30:$Q$2315,10,0),VLOOKUP('GHG Calcs'!$CG21,'Van C&amp;T EF'!$D$30:$Q$2315,9,0)))/$ET21,"")</f>
        <v/>
      </c>
      <c r="DS21" s="1419" t="str">
        <f ca="1">IFERROR(IF(OR('GHG Calcs'!$CD21="Diesel",'GHG Calcs'!$CD21="Renewable Diesel",'GHG Calcs'!$CD21="Biodiesel"),VLOOKUP('GHG Calcs'!$CG21,'Van C&amp;T EF'!$D$30:$Q$2315,11,0),IF(OR('GHG Calcs'!$CD21="Electric",'GHG Calcs'!$CD21="Hydrogen Fuel Cell",'GHG Calcs'!$CD21="Renewable Electricity"),VLOOKUP('GHG Calcs'!$CG21,'Van C&amp;T EF'!$D$30:$Q$2315,13,0),VLOOKUP('GHG Calcs'!$CG21,'Van C&amp;T EF'!$D$30:$Q$2315,12,0)))/$ET21,"")</f>
        <v/>
      </c>
      <c r="DT21" s="306" t="str">
        <f ca="1">IFERROR(IF(OR('GHG Calcs'!$CD21="Diesel",'GHG Calcs'!$CD21="Biodiesel",'GHG Calcs'!$CD21="Renewable Diesel"),VLOOKUP('GHG Calcs'!$CG21,'Van C&amp;T EF'!$D$30:$Q$2315,14,0),0)/$ET21,"")</f>
        <v/>
      </c>
      <c r="DU21" s="1419" t="str">
        <f ca="1">IFERROR(IF(OR('GHG Calcs'!$CD21="Diesel",'GHG Calcs'!$CD21="Renewable Diesel",'GHG Calcs'!$CD21="Biodiesel"),VLOOKUP('GHG Calcs'!$CG21,'Shuttle C&amp;T EF'!$D$30:$Q$2315,2,0),VLOOKUP('GHG Calcs'!$CG21,'Shuttle C&amp;T EF'!$D$30:$Q$2315,3,0))/$EU21,"")</f>
        <v/>
      </c>
      <c r="DV21" s="1419" t="str">
        <f ca="1">IFERROR(IF(OR('GHG Calcs'!$CD21="Diesel",'GHG Calcs'!$CD21="Renewable Diesel",'GHG Calcs'!$CD21="Biodiesel"),VLOOKUP('GHG Calcs'!$CG21,'Shuttle C&amp;T EF'!$D$30:$Q$2315,4,0),VLOOKUP('GHG Calcs'!$CG21,'Shuttle C&amp;T EF'!$D$30:$Q$2315,5,0))/$EU21,"")</f>
        <v/>
      </c>
      <c r="DW21" s="1419" t="str">
        <f ca="1">IFERROR(IF(OR('GHG Calcs'!$CD21="Diesel",'GHG Calcs'!$CD21="Renewable Diesel",'GHG Calcs'!$CD21="Biodiesel"),VLOOKUP('GHG Calcs'!$CG21,'Shuttle C&amp;T EF'!$D$30:$Q$2315,6,0),VLOOKUP('GHG Calcs'!$CG21,'Shuttle C&amp;T EF'!$D$30:$Q$2315,7,0))/$EU21,"")</f>
        <v/>
      </c>
      <c r="DX21" s="1419" t="str">
        <f ca="1">IFERROR(IF(OR('GHG Calcs'!$CD21="Diesel",'GHG Calcs'!$CD21="Renewable Diesel",'GHG Calcs'!$CD21="Biodiesel"),VLOOKUP('GHG Calcs'!$CG21,'Shuttle C&amp;T EF'!$D$30:$Q$2315,8,0),IF(OR('GHG Calcs'!$CD21="Electric",'GHG Calcs'!$CD21="Hydrogen Fuel Cell",'GHG Calcs'!$CD21="Renewable Electricity"),VLOOKUP('GHG Calcs'!$CG21,'Shuttle C&amp;T EF'!$D$30:$Q$2315,10,0),VLOOKUP('GHG Calcs'!$CG21,'Shuttle C&amp;T EF'!$D$30:$Q$2315,9,0)))/$EU21,"")</f>
        <v/>
      </c>
      <c r="DY21" s="1419" t="str">
        <f ca="1">IFERROR(IF(OR('GHG Calcs'!$CD21="Diesel",'GHG Calcs'!$CD21="Renewable Diesel",'GHG Calcs'!$CD21="Biodiesel"),VLOOKUP('GHG Calcs'!$CG21,'Shuttle C&amp;T EF'!$D$30:$Q$2315,11,0),IF(OR('GHG Calcs'!$CD21="Electric",'GHG Calcs'!$CD21="Hydrogen Fuel Cell",'GHG Calcs'!$CD21="Renewable Electricity"),VLOOKUP('GHG Calcs'!$CG21,'Shuttle C&amp;T EF'!$D$30:$Q$2315,13,0),VLOOKUP('GHG Calcs'!$CG21,'Shuttle C&amp;T EF'!$D$30:$Q$2315,12,0)))/$EU21,"")</f>
        <v/>
      </c>
      <c r="DZ21" s="1419" t="str">
        <f ca="1">IFERROR(IF(OR('GHG Calcs'!$CD21="Diesel",'GHG Calcs'!$CD21="Biodiesel",'GHG Calcs'!$CD21="Renewable Diesel"),VLOOKUP('GHG Calcs'!$CG21,'Shuttle C&amp;T EF'!$D$30:$Q$2315,14,0),0)/$EU21,"")</f>
        <v/>
      </c>
      <c r="EA21" s="306" t="str">
        <f ca="1">IFERROR((VLOOKUP('GHG Calcs'!$CG21,'Over-Road Coach C&amp;T EF'!$D$29:$N$2314,2,0)+VLOOKUP('GHG Calcs'!$CG21,'Over-Road Coach C&amp;T EF'!$D$29:$N$2314,3,0))/$EV21,"")</f>
        <v/>
      </c>
      <c r="EB21" s="306" t="str">
        <f ca="1">IFERROR((VLOOKUP('GHG Calcs'!$CG21,'Over-Road Coach C&amp;T EF'!$D$29:$N$2314,4,0)+VLOOKUP('GHG Calcs'!$CG21,'Over-Road Coach C&amp;T EF'!$D$29:$N$2314,5,0))/$EV21,"")</f>
        <v/>
      </c>
      <c r="EC21" s="306" t="str">
        <f ca="1">IFERROR((VLOOKUP('GHG Calcs'!$CG21,'Over-Road Coach C&amp;T EF'!$D$29:$N$2314,6,0)+VLOOKUP('GHG Calcs'!$CG21,'Over-Road Coach C&amp;T EF'!$D$29:$N$2314,7,0))/$EV21,"")</f>
        <v/>
      </c>
      <c r="ED21" s="306" t="str">
        <f ca="1">IFERROR(VLOOKUP('GHG Calcs'!$CG21,'Over-Road Coach C&amp;T EF'!$D$29:$N$2314,8,0)/$EV21,"")</f>
        <v/>
      </c>
      <c r="EE21" s="306" t="str">
        <f ca="1">IFERROR(VLOOKUP('GHG Calcs'!$CG21,'Over-Road Coach C&amp;T EF'!$D$29:$N$2314,9,0)/$EV21,"")</f>
        <v/>
      </c>
      <c r="EF21" s="306" t="str">
        <f ca="1">IFERROR((VLOOKUP('GHG Calcs'!$CG21,'Over-Road Coach C&amp;T EF'!$D$29:$N$2314,10,0)+VLOOKUP('GHG Calcs'!$CG21,'Over-Road Coach C&amp;T EF'!$D$29:$N$2314,11,0))/$EV21,"")</f>
        <v/>
      </c>
      <c r="EG21" s="306" t="str">
        <f ca="1">IFERROR(VLOOKUP(DG21,'Co-Benefit Calcs'!$E$76:$I$83,2,0)/'Rail C&amp;T EF'!$K$14,"")</f>
        <v/>
      </c>
      <c r="EH21" s="306" t="str">
        <f ca="1">IFERROR(VLOOKUP(DG21,'Co-Benefit Calcs'!$E$76:$I$83,3,0)/'Rail C&amp;T EF'!$K$14,"")</f>
        <v/>
      </c>
      <c r="EI21" s="306" t="str">
        <f ca="1">IFERROR(VLOOKUP(DG21,'Co-Benefit Calcs'!$E$76:$I$83,4,0)/'Rail C&amp;T EF'!$K$14,"")</f>
        <v/>
      </c>
      <c r="EJ21" s="306" t="str">
        <f ca="1">IFERROR(IF('GHG Calcs'!$CD21="Gasoline",0,VLOOKUP(DG21,'Co-Benefit Calcs'!$E$76:$I$83,5,0))/'Rail C&amp;T EF'!$K$14,"")</f>
        <v/>
      </c>
      <c r="EK21" s="306" t="str">
        <f ca="1">IFERROR(VLOOKUP('GHG Calcs'!CF21,'Rail C&amp;T EF'!$A$43:$Y$133,IF(DH21&gt;750,23, IF(DH21&gt;=600,20, IF(DH21&gt;=300,17, IF(DH21&gt;=175,14, IF(DH21&gt;=100,11, IF(DH21&gt;=75,8, IF(DH21&gt;=50,5, 2))))))),0) * IF($DH21&gt;=750,'Rail C&amp;T EF'!$K$18,'Rail C&amp;T EF'!$K$19) * IF(OR('GHG Calcs'!CD21="Diesel", 'GHG Calcs'!CD21="Renewable Diesel", 'GHG Calcs'!CD21="Biodiesel"),'Rail C&amp;T EF'!$B$141,'Rail C&amp;T EF'!$B$142),"")</f>
        <v/>
      </c>
      <c r="EL21" s="306" t="str">
        <f ca="1">IFERROR(VLOOKUP('GHG Calcs'!$CF21,'Rail C&amp;T EF'!$A$43:$Y$133,IF(DH21&gt;750,24, IF(DH21&gt;=600,21, IF(DH21&gt;=300,18, IF(DH21&gt;=175,15, IF(DH21&gt;=100,12, IF(DH21&gt;=75,9, IF(DH21&gt;=50,6, 3))))))),0) * IF($DH21&gt;=750,'Rail C&amp;T EF'!$K$18,'Rail C&amp;T EF'!$K$19),"")</f>
        <v/>
      </c>
      <c r="EM21" s="306" t="str">
        <f ca="1">IFERROR(VLOOKUP('GHG Calcs'!$CF21,'Rail C&amp;T EF'!$A$43:$Y$133,IF(DH21&gt;750,25, IF(DH21&gt;=600,22, IF(DH21&gt;=300,19, IF(DH21&gt;=175,16, IF(DH21&gt;=100,13, IF(DH21&gt;=75,10, IF(DH21&gt;=50,7, 4))))))),0) * IF($DH21&gt;=750,'Rail C&amp;T EF'!$K$18,'Rail C&amp;T EF'!$K$19)*'Rail C&amp;T EF'!$B$146,"")</f>
        <v/>
      </c>
      <c r="EN21" s="306" t="str">
        <f ca="1">IFERROR(IF('GHG Calcs'!CD21="Gasoline",0,VLOOKUP('GHG Calcs'!$CF21,'Rail C&amp;T EF'!$A$43:$Y$133,IF(DH21&gt;750,25, IF(DH21&gt;=600,22, IF(DH21&gt;=300,19, IF(DH21&gt;=175,16, IF(DH21&gt;=100,13, IF(DH21&gt;=75,10, IF(DH21&gt;=50,7, 4))))))),0) * IF($DH21&gt;=750,'Rail C&amp;T EF'!$K$18,'Rail C&amp;T EF'!$K$19)),"")</f>
        <v/>
      </c>
      <c r="EO21" s="306" t="str">
        <f ca="1">IFERROR(VLOOKUP('GHG Calcs'!$CF21,'Ferry C&amp;T EF'!$A$106:$AK$196,IF(DH21&gt;=3301,35, IF(DH21&gt;=1901,31, IF(DH21&gt;=751,27, IF(DH21&gt;=501,23, IF(DH21&gt;=251,19, IF(DH21&gt;=176,15, IF(DH21&gt;=121,11, IF(DH21&gt;=51,7, 3)))))))),0),"")</f>
        <v/>
      </c>
      <c r="EP21" s="306" t="str">
        <f ca="1">IFERROR(VLOOKUP('GHG Calcs'!$CF21,'Ferry C&amp;T EF'!$A$106:$AK$196,IF(DH21&gt;=3301,34, IF(DH21&gt;=1901,30, IF(DH21&gt;=751,26, IF(DH21&gt;=501,22, IF(DH21&gt;=251,18, IF(DH21&gt;=176,14, IF(DH21&gt;=121,10, IF(DH21&gt;=51,6, 2)))))))),0),"")</f>
        <v/>
      </c>
      <c r="EQ21" s="306" t="str">
        <f ca="1">IFERROR(VLOOKUP('GHG Calcs'!$CF21,'Ferry C&amp;T EF'!$A$106:$AK$196,IF(DH21&gt;=3301,37, IF(DH21&gt;=1901,33, IF(DH21&gt;=751,29, IF(DH21&gt;=501,25, IF(DH21&gt;=251,21, IF(DH21&gt;=176,17, IF(DH21&gt;=121,13, IF(DH21&gt;=51,9, 5)))))))),0),"")</f>
        <v/>
      </c>
      <c r="ER21" s="306" t="str">
        <f ca="1">IFERROR(IF('GHG Calcs'!$CD21="Gasoline",0,VLOOKUP('GHG Calcs'!$CF21,'Ferry C&amp;T EF'!$A$106:$AK$196,IF(DH21&gt;=3301,36, IF(DH21&gt;=1901,32, IF(DH21&gt;=751,28, IF(DH21&gt;=501,24, IF(DH21&gt;=251,20, IF(DH21&gt;=176,16, IF(DH21&gt;=121,12, IF(DH21&gt;=51,8, 4)))))))),0)),"")</f>
        <v/>
      </c>
      <c r="ES21" s="1419" t="str">
        <f ca="1">IFERROR(IF('GHG Calcs'!$CD21="Gasoline",VLOOKUP('GHG Calcs'!$CG21,'Fuel Consumption'!$A$31:$L$2316,3,0),IF(OR('GHG Calcs'!$CD21="CNG",'GHG Calcs'!$CD21="LNG",'GHG Calcs'!$CD21="Renewable Natural Gas"),VLOOKUP('GHG Calcs'!$CG21,'Fuel Consumption'!$A$31:$L$2316,4,0)*VLOOKUP('GHG Calcs'!$CD21,'GHG EF'!$B$10:$H$19,4,0),VLOOKUP('GHG Calcs'!$CG21,'Fuel Consumption'!$A$31:$L$2316,2,0)*VLOOKUP('GHG Calcs'!$AD21,'GHG EF'!$B$10:$H$19,4,0))),"")</f>
        <v/>
      </c>
      <c r="ET21" s="1419" t="str">
        <f ca="1">IFERROR(IF(OR('GHG Calcs'!$CD21="Diesel",'GHG Calcs'!$CD21="Renewable Diesel",'GHG Calcs'!$CD21="Biodiesel"),VLOOKUP('GHG Calcs'!$CG21,'Fuel Consumption'!$A$31:$L$2316,6,0)*VLOOKUP('GHG Calcs'!$CD21,'GHG EF'!$B$10:$H$19,4,0),VLOOKUP('GHG Calcs'!$CG21,'Fuel Consumption'!$A$31:$L$2316,7,0)*VLOOKUP('GHG Calcs'!$CD21,'GHG EF'!$B$10:$H$19,5,0)),"")</f>
        <v/>
      </c>
      <c r="EU21" s="1419" t="str">
        <f ca="1">IFERROR(IF(OR('GHG Calcs'!$CD21="Diesel",'GHG Calcs'!$CD21="Renewable Diesel",'GHG Calcs'!$CD21="Biodiesel"),VLOOKUP('GHG Calcs'!$CG21,'Fuel Consumption'!$A$31:$L$2316,9,0)*VLOOKUP('GHG Calcs'!$CD21,'GHG EF'!$B$10:$H$19,4,0),VLOOKUP('GHG Calcs'!$CG21,'Fuel Consumption'!$A$31:$L$2316,10,0)*VLOOKUP('GHG Calcs'!$CD21,'GHG EF'!$B$10:$H$19,5,0)),"")</f>
        <v/>
      </c>
      <c r="EV21" s="1419" t="str">
        <f ca="1">IFERROR(VLOOKUP('GHG Calcs'!$CG21,'Fuel Consumption'!$A$31:$L$2316,12,0)*VLOOKUP('GHG Calcs'!$CD21,'GHG EF'!$B$10:$H$19,4,0),"")</f>
        <v/>
      </c>
      <c r="EW21" s="1373" t="str">
        <f ca="1">IFERROR(IF(OR('GHG Calcs'!CD21=Defaults!$I$4, 'GHG Calcs'!CD21=Defaults!$I$6, 'GHG Calcs'!CD21=Defaults!$I$8),'GHG Calcs'!CE21,IF('GHG Calcs'!CD21=Defaults!$I$3, 'GHG Calcs'!CE21*'GHG EF'!$C$11/'GHG EF'!$C$12,""))*('GHG Calcs'!I21-'GHG Calcs'!H21),"")</f>
        <v/>
      </c>
      <c r="EX21" s="1373" t="str">
        <f ca="1">IFERROR(IF('GHG Calcs'!CD21=Defaults!$I$5,'GHG Calcs'!CE21,"")*('GHG Calcs'!I21-'GHG Calcs'!H21),"")</f>
        <v/>
      </c>
      <c r="EY21" s="1420" t="str">
        <f ca="1">IFERROR('GHG Calcs'!CE21*VLOOKUP('GHG Calcs'!CD21,'Fuel &amp; Travel Costs'!$B$10:$C$19,2,0)*('GHG Calcs'!I21-'GHG Calcs'!H21),"")</f>
        <v/>
      </c>
      <c r="EZ21" s="1420" t="str">
        <f t="shared" ca="1" si="0"/>
        <v/>
      </c>
      <c r="FA21" s="306">
        <f ca="1">INDIRECT("'Quantifiable Component "&amp;$B21&amp;"'!"&amp;$D21&amp;ROW('Quantifiable Component 1'!$77:$77))</f>
        <v>0</v>
      </c>
      <c r="FB21" s="306">
        <f ca="1">INDIRECT("'Quantifiable Component "&amp;$B21&amp;"'!"&amp;$D21&amp;ROW('Quantifiable Component 1'!$78:$78))</f>
        <v>0</v>
      </c>
      <c r="FC21" s="306">
        <f ca="1">INDIRECT("'Quantifiable Component "&amp;$B21&amp;"'!"&amp;$D21&amp;ROW('Quantifiable Component 1'!$79:$79))</f>
        <v>0</v>
      </c>
      <c r="FD21" s="306">
        <f ca="1">INDIRECT("'Quantifiable Component "&amp;$B21&amp;"'!"&amp;$D21&amp;ROW('Quantifiable Component 1'!$80:$80))</f>
        <v>0</v>
      </c>
      <c r="FE21" s="306">
        <f ca="1">INDIRECT("'Quantifiable Component "&amp;$B21&amp;"'!"&amp;$D21&amp;ROW('Quantifiable Component 1'!$81:$81))</f>
        <v>0</v>
      </c>
    </row>
    <row r="22" spans="1:161" s="117" customFormat="1" x14ac:dyDescent="0.35">
      <c r="A22" s="1647"/>
      <c r="B22" s="1367">
        <v>4</v>
      </c>
      <c r="C22" s="1368">
        <v>2</v>
      </c>
      <c r="D22" s="1368" t="str">
        <f>'GHG Calcs'!D22</f>
        <v>H</v>
      </c>
      <c r="E22" s="1416">
        <f ca="1">'GHG Calcs'!U22</f>
        <v>0</v>
      </c>
      <c r="F22" s="1416">
        <f ca="1">'GHG Calcs'!W22</f>
        <v>0</v>
      </c>
      <c r="G22" s="1417" t="str">
        <f ca="1">IFERROR(VLOOKUP('GHG Calcs'!K22,'Auto C&amp;T EF'!$C$35:$K$2662,2,0)*E22,"")</f>
        <v/>
      </c>
      <c r="H22" s="1417" t="str">
        <f ca="1">IFERROR(VLOOKUP('GHG Calcs'!L22,'Auto C&amp;T EF'!$C$35:$K$2662,2,0)*F22,"")</f>
        <v/>
      </c>
      <c r="I22" s="1417" t="str">
        <f ca="1">IFERROR(VLOOKUP('GHG Calcs'!$K22,'Auto C&amp;T EF'!$C$35:$K$2662,3,0)*$E22,"")</f>
        <v/>
      </c>
      <c r="J22" s="1417" t="str">
        <f ca="1">IFERROR(VLOOKUP('GHG Calcs'!$L22,'Auto C&amp;T EF'!$C$35:$K$2662,3,0)*$F22,"")</f>
        <v/>
      </c>
      <c r="K22" s="1417" t="str">
        <f ca="1">IFERROR((VLOOKUP('GHG Calcs'!$K22,'Auto C&amp;T EF'!$C$35:$K$2662,5,0)+VLOOKUP('GHG Calcs'!$K22,'Auto C&amp;T EF'!$C$35:$K$2662,6,0)+VLOOKUP('GHG Calcs'!$K22,'Auto C&amp;T EF'!$C$35:$K$2662,7,0))*$E22,"")</f>
        <v/>
      </c>
      <c r="L22" s="1417" t="str">
        <f ca="1">IFERROR((VLOOKUP('GHG Calcs'!$L22,'Auto C&amp;T EF'!$C$35:$K$2662,5,0)+VLOOKUP('GHG Calcs'!$L22,'Auto C&amp;T EF'!$C$35:$K$2662,6,0)+VLOOKUP('GHG Calcs'!$L22,'Auto C&amp;T EF'!$C$35:$K$2662,7,0))*$F22,"")</f>
        <v/>
      </c>
      <c r="M22" s="1417" t="str">
        <f ca="1">IFERROR(VLOOKUP('GHG Calcs'!$K22,'Auto C&amp;T EF'!$C$35:$K$2662,8,0)*$E22,"")</f>
        <v/>
      </c>
      <c r="N22" s="1417" t="str">
        <f ca="1">IFERROR(VLOOKUP('GHG Calcs'!$L22,'Auto C&amp;T EF'!$C$35:$K$2662,8,0)*$F22,"")</f>
        <v/>
      </c>
      <c r="O22" s="1418">
        <f ca="1">IFERROR(AVERAGE(G22:H22)*('GHG Calcs'!I22-'GHG Calcs'!H22),0)</f>
        <v>0</v>
      </c>
      <c r="P22" s="1418">
        <f ca="1">IFERROR(AVERAGE(I22:J22)*('GHG Calcs'!I22-'GHG Calcs'!H22),0)</f>
        <v>0</v>
      </c>
      <c r="Q22" s="1418">
        <f ca="1">IFERROR(AVERAGE(K22:L22)*('GHG Calcs'!I22-'GHG Calcs'!H22),0)</f>
        <v>0</v>
      </c>
      <c r="R22" s="1418">
        <f ca="1">IFERROR(AVERAGE(M22:N22)*('GHG Calcs'!I22-'GHG Calcs'!H22),0)</f>
        <v>0</v>
      </c>
      <c r="S22" s="1418">
        <f ca="1">IFERROR(AVERAGE(E22*VLOOKUP('GHG Calcs'!K22,'Auto C&amp;T EF'!$C$35:$L$2662,10,0),F22*VLOOKUP('GHG Calcs'!L22,'Auto C&amp;T EF'!$C$35:$L$2662,10,0))*('GHG Calcs'!I22-'GHG Calcs'!H22),0)</f>
        <v>0</v>
      </c>
      <c r="T22" s="1379">
        <f ca="1">INDIRECT("'Quantifiable Component "&amp;$B22&amp;"'!"&amp;$D22&amp;ROW('Quantifiable Component 1'!$47:$47))</f>
        <v>0</v>
      </c>
      <c r="U22" s="1379">
        <f ca="1">INDIRECT("'Quantifiable Component "&amp;$B22&amp;"'!"&amp;$D22&amp;ROW('Quantifiable Component 1'!$48:$48))</f>
        <v>0</v>
      </c>
      <c r="V22" s="306" t="str">
        <f ca="1">IFERROR(IF('GHG Calcs'!$AD22="Gasoline",VLOOKUP('GHG Calcs'!$AH22,'Bus C&amp;T EF'!$D$30:$V$2315,3,0),IF(OR('GHG Calcs'!$AD22="CNG",'GHG Calcs'!$AD22="LNG",'GHG Calcs'!$AD22="Renewable Natural Gas"),VLOOKUP('GHG Calcs'!$AH22,'Bus C&amp;T EF'!$D$30:$V$2315,4,0),VLOOKUP('GHG Calcs'!$AH22,'Bus C&amp;T EF'!$D$30:$V$2315,2,0)))/IF('GHG Calcs'!AE22&gt;0,$BF22,1),"")</f>
        <v/>
      </c>
      <c r="W22" s="306" t="str">
        <f ca="1">IFERROR(IF('GHG Calcs'!$AD22="Gasoline",VLOOKUP('GHG Calcs'!$AH22,'Bus C&amp;T EF'!$D$30:$V$2315,6,0),IF(OR('GHG Calcs'!$AD22="CNG",'GHG Calcs'!$AD22="LNG",'GHG Calcs'!$AD22="Renewable Natural Gas"),VLOOKUP('GHG Calcs'!$AH22,'Bus C&amp;T EF'!$D$30:$V$2315,7,0),VLOOKUP('GHG Calcs'!$AH22,'Bus C&amp;T EF'!$D$30:$V$2315,5,0)))/IF('GHG Calcs'!AE22&gt;0,$BF22,1),"")</f>
        <v/>
      </c>
      <c r="X22" s="1419" t="str">
        <f ca="1">IFERROR(IF('GHG Calcs'!$AD22="Gasoline",VLOOKUP('GHG Calcs'!$AH22,'Bus C&amp;T EF'!$D$30:$V$2315,9,0),IF(OR('GHG Calcs'!$AD22="CNG",'GHG Calcs'!$AD22="LNG",'GHG Calcs'!$AD22="Renewable Natural Gas"),VLOOKUP('GHG Calcs'!$AH22,'Bus C&amp;T EF'!$D$30:$V$2315,10,0),VLOOKUP('GHG Calcs'!$AH22,'Bus C&amp;T EF'!$D$30:$V$2315,8,0)))/IF('GHG Calcs'!AE22&gt;0,$BF22,1),"")</f>
        <v/>
      </c>
      <c r="Y22" s="1419" t="str">
        <f ca="1">IFERROR(IF('GHG Calcs'!$AD22="Gasoline",VLOOKUP('GHG Calcs'!$AH22,'Bus C&amp;T EF'!$D$30:$V$2315,12,0),IF(OR('GHG Calcs'!$AD22="CNG",'GHG Calcs'!$AD22="LNG",'GHG Calcs'!$AD22="Renewable Natural Gas"),VLOOKUP('GHG Calcs'!$AH22,'Bus C&amp;T EF'!$D$30:$V$2315,13,0),IF(OR('GHG Calcs'!$AD22="Electric",'GHG Calcs'!$AD22="Hydrogen Fuel Cell",'GHG Calcs'!$AD22="Renewable Electricity"),VLOOKUP('GHG Calcs'!$AH22,'Bus C&amp;T EF'!$D$30:$V$2315,14,0),VLOOKUP('GHG Calcs'!$AH22,'Bus C&amp;T EF'!$D$30:$V$2315,11,0))))/IF('GHG Calcs'!AE22&gt;0,$BF22,1),"")</f>
        <v/>
      </c>
      <c r="Z22" s="1419" t="str">
        <f ca="1">IFERROR(IF('GHG Calcs'!$AD22="Gasoline",VLOOKUP('GHG Calcs'!$AH22,'Bus C&amp;T EF'!$D$30:$V$2315,16,0),IF(OR('GHG Calcs'!$AD22="CNG",'GHG Calcs'!$AD22="LNG",'GHG Calcs'!$AD22="Renewable Natural Gas"),VLOOKUP('GHG Calcs'!$AH22,'Bus C&amp;T EF'!$D$30:$V$2315,17,0),IF(OR('GHG Calcs'!$AD22="Electric",'GHG Calcs'!$AD22="Hydrogen Fuel Cell",'GHG Calcs'!$AD22="Renewable Electricity"),VLOOKUP('GHG Calcs'!$AH22,'Bus C&amp;T EF'!$D$30:$V$2315,18,0),VLOOKUP('GHG Calcs'!$AH22,'Bus C&amp;T EF'!$D$30:$V$2315,15,0))))/IF('GHG Calcs'!AE22&gt;0,$BF22,1),"")</f>
        <v/>
      </c>
      <c r="AA22" s="306" t="str">
        <f ca="1">IFERROR(IF('GHG Calcs'!$AD22="Gasoline",0,VLOOKUP('GHG Calcs'!$AH22,'Bus C&amp;T EF'!$D$30:$V$2315,19,0))/IF('GHG Calcs'!AE22&gt;0,$BF22,1),"")</f>
        <v/>
      </c>
      <c r="AB22" s="1419" t="str">
        <f ca="1">IFERROR(IF(OR('GHG Calcs'!$AD22="Diesel",'GHG Calcs'!$AD22="Renewable Diesel",'GHG Calcs'!$AD22="Biodiesel"),VLOOKUP('GHG Calcs'!$AH22,'Van C&amp;T EF'!$D$30:$Q$2315,2,0),VLOOKUP('GHG Calcs'!$AH22,'Van C&amp;T EF'!$D$30:$Q$2315,3,0))/IF('GHG Calcs'!AE22&gt;0,$BG22,1),"")</f>
        <v/>
      </c>
      <c r="AC22" s="1419" t="str">
        <f ca="1">IFERROR(IF(OR('GHG Calcs'!$AD22="Diesel",'GHG Calcs'!$AD22="Renewable Diesel",'GHG Calcs'!$AD22="Biodiesel"),VLOOKUP('GHG Calcs'!$AH22,'Van C&amp;T EF'!$D$30:$Q$2315,4,0),VLOOKUP('GHG Calcs'!$AH22,'Van C&amp;T EF'!$D$30:$Q$2315,5,0))/IF('GHG Calcs'!AE22&gt;0,$BG22,1),"")</f>
        <v/>
      </c>
      <c r="AD22" s="1419" t="str">
        <f ca="1">IFERROR(IF(OR('GHG Calcs'!$AD22="Diesel",'GHG Calcs'!$AD22="Renewable Diesel",'GHG Calcs'!$AD22="Biodiesel"),VLOOKUP('GHG Calcs'!$AH22,'Van C&amp;T EF'!$D$30:$Q$2315,6,0),VLOOKUP('GHG Calcs'!$AH22,'Van C&amp;T EF'!$D$30:$Q$2315,7,0))/IF('GHG Calcs'!AE22&gt;0,$BG22,1),"")</f>
        <v/>
      </c>
      <c r="AE22" s="1419" t="str">
        <f ca="1">IFERROR(IF(OR('GHG Calcs'!$AD22="Diesel",'GHG Calcs'!$AD22="Renewable Diesel",'GHG Calcs'!$AD22="Biodiesel"),VLOOKUP('GHG Calcs'!$AH22,'Van C&amp;T EF'!$D$30:$Q$2315,8,0),IF(OR('GHG Calcs'!$AD22="Electric",'GHG Calcs'!$AD22="Hydrogen Fuel Cell",'GHG Calcs'!$AD22="Renewable Electricity"),VLOOKUP('GHG Calcs'!$AH22,'Van C&amp;T EF'!$D$30:$Q$2315,10,0),VLOOKUP('GHG Calcs'!$AH22,'Van C&amp;T EF'!$D$30:$Q$2315,9,0)))/IF('GHG Calcs'!AE22&gt;0,$BG22,1),"")</f>
        <v/>
      </c>
      <c r="AF22" s="1419" t="str">
        <f ca="1">IFERROR(IF(OR('GHG Calcs'!$AD22="Diesel",'GHG Calcs'!$AD22="Renewable Diesel",'GHG Calcs'!$AD22="Biodiesel"),VLOOKUP('GHG Calcs'!$AH22,'Van C&amp;T EF'!$D$30:$Q$2315,11,0),IF(OR('GHG Calcs'!$AD22="Electric",'GHG Calcs'!$AD22="Hydrogen Fuel Cell",'GHG Calcs'!$AD22="Renewable Electricity"),VLOOKUP('GHG Calcs'!$AH22,'Van C&amp;T EF'!$D$30:$Q$2315,13,0),VLOOKUP('GHG Calcs'!$AH22,'Van C&amp;T EF'!$D$30:$Q$2315,12,0)))/IF('GHG Calcs'!AE22&gt;0,$BG22,1),"")</f>
        <v/>
      </c>
      <c r="AG22" s="306">
        <f ca="1">IFERROR(IF(OR('GHG Calcs'!$AD22="Diesel",'GHG Calcs'!$AD22="Biodiesel",'GHG Calcs'!$AD22="Renewable Diesel"),VLOOKUP('GHG Calcs'!$AH22,'Van C&amp;T EF'!$D$30:$Q$2315,14,0),0)/IF('GHG Calcs'!AE22&gt;0,$BG22,1),"")</f>
        <v>0</v>
      </c>
      <c r="AH22" s="1419" t="str">
        <f ca="1">IFERROR(IF(OR('GHG Calcs'!$AD22="Diesel",'GHG Calcs'!$AD22="Renewable Diesel",'GHG Calcs'!$AD22="Biodiesel"),VLOOKUP('GHG Calcs'!$AH22,'Shuttle C&amp;T EF'!$D$30:$Q$2315,2,0),VLOOKUP('GHG Calcs'!$AH22,'Shuttle C&amp;T EF'!$D$30:$Q$2315,3,0))/IF('GHG Calcs'!AE22&gt;0,$BH22,1),"")</f>
        <v/>
      </c>
      <c r="AI22" s="1419" t="str">
        <f ca="1">IFERROR(IF(OR('GHG Calcs'!$AD22="Diesel",'GHG Calcs'!$AD22="Renewable Diesel",'GHG Calcs'!$AD22="Biodiesel"),VLOOKUP('GHG Calcs'!$AH22,'Shuttle C&amp;T EF'!$D$30:$Q$2315,4,0),VLOOKUP('GHG Calcs'!$AH22,'Shuttle C&amp;T EF'!$D$30:$Q$2315,5,0))/IF('GHG Calcs'!AE22&gt;0,$BH22,1),"")</f>
        <v/>
      </c>
      <c r="AJ22" s="1419" t="str">
        <f ca="1">IFERROR(IF(OR('GHG Calcs'!$AD22="Diesel",'GHG Calcs'!$AD22="Renewable Diesel",'GHG Calcs'!$AD22="Biodiesel"),VLOOKUP('GHG Calcs'!$AH22,'Shuttle C&amp;T EF'!$D$30:$Q$2315,6,0),VLOOKUP('GHG Calcs'!$AH22,'Shuttle C&amp;T EF'!$D$30:$Q$2315,7,0))/IF('GHG Calcs'!AE22&gt;0,$BH22,1),"")</f>
        <v/>
      </c>
      <c r="AK22" s="1419" t="str">
        <f ca="1">IFERROR(IF(OR('GHG Calcs'!$AD22="Diesel",'GHG Calcs'!$AD22="Renewable Diesel",'GHG Calcs'!$AD22="Biodiesel"),VLOOKUP('GHG Calcs'!$AH22,'Shuttle C&amp;T EF'!$D$30:$Q$2315,8,0),IF(OR('GHG Calcs'!$AD22="Electric",'GHG Calcs'!$AD22="Hydrogen Fuel Cell",'GHG Calcs'!$AD22="Renewable Electricity"),VLOOKUP('GHG Calcs'!$AH22,'Shuttle C&amp;T EF'!$D$30:$Q$2315,10,0),VLOOKUP('GHG Calcs'!$AH22,'Shuttle C&amp;T EF'!$D$30:$Q$2315,9,0)))/IF('GHG Calcs'!AE22&gt;0,$BH22,1),"")</f>
        <v/>
      </c>
      <c r="AL22" s="1419" t="str">
        <f ca="1">IFERROR(IF(OR('GHG Calcs'!$AD22="Diesel",'GHG Calcs'!$AD22="Renewable Diesel",'GHG Calcs'!$AD22="Biodiesel"),VLOOKUP('GHG Calcs'!$AH22,'Shuttle C&amp;T EF'!$D$30:$Q$2315,11,0),IF(OR('GHG Calcs'!$AD22="Electric",'GHG Calcs'!$AD22="Hydrogen Fuel Cell",'GHG Calcs'!$AD22="Renewable Electricity"),VLOOKUP('GHG Calcs'!$AH22,'Shuttle C&amp;T EF'!$D$30:$Q$2315,13,0),VLOOKUP('GHG Calcs'!$AH22,'Shuttle C&amp;T EF'!$D$30:$Q$2315,12,0)))/IF('GHG Calcs'!AE22&gt;0,$BH22,1),"")</f>
        <v/>
      </c>
      <c r="AM22" s="1419">
        <f ca="1">IFERROR(IF(OR('GHG Calcs'!$AD22="Diesel",'GHG Calcs'!$AD22="Biodiesel",'GHG Calcs'!$AD22="Renewable Diesel"),VLOOKUP('GHG Calcs'!$AH22,'Shuttle C&amp;T EF'!$D$30:$Q$2315,14,0),0)/IF('GHG Calcs'!AE22&gt;0,$BH22,1),"")</f>
        <v>0</v>
      </c>
      <c r="AN22" s="306" t="str">
        <f ca="1">IFERROR((VLOOKUP('GHG Calcs'!$AH22,'Over-Road Coach C&amp;T EF'!$D$29:$N$2314,2,0)+VLOOKUP('GHG Calcs'!$AH22,'Over-Road Coach C&amp;T EF'!$D$29:$N$2314,3,0))/IF('GHG Calcs'!AE22&gt;0,$BI22,1),"")</f>
        <v/>
      </c>
      <c r="AO22" s="306" t="str">
        <f ca="1">IFERROR((VLOOKUP('GHG Calcs'!$AH22,'Over-Road Coach C&amp;T EF'!$D$29:$N$2314,4,0)+VLOOKUP('GHG Calcs'!$AH22,'Over-Road Coach C&amp;T EF'!$D$29:$N$2314,5,0))/IF('GHG Calcs'!AE22&gt;0,$BI22,1),"")</f>
        <v/>
      </c>
      <c r="AP22" s="306" t="str">
        <f ca="1">IFERROR((VLOOKUP('GHG Calcs'!$AH22,'Over-Road Coach C&amp;T EF'!$D$29:$N$2314,6,0)+VLOOKUP('GHG Calcs'!$AH22,'Over-Road Coach C&amp;T EF'!$D$29:$N$2314,7,0))/IF('GHG Calcs'!AE22&gt;0,$BI22,1),"")</f>
        <v/>
      </c>
      <c r="AQ22" s="306" t="str">
        <f ca="1">IFERROR(VLOOKUP('GHG Calcs'!$AH22,'Over-Road Coach C&amp;T EF'!$D$29:$N$2314,8,0)/IF('GHG Calcs'!AE22&gt;0,$BI22,1),"")</f>
        <v/>
      </c>
      <c r="AR22" s="306" t="str">
        <f ca="1">IFERROR(VLOOKUP('GHG Calcs'!$AH22,'Over-Road Coach C&amp;T EF'!$D$29:$N$2314,9,0)/IF('GHG Calcs'!AE22&gt;0,$BI22,1),"")</f>
        <v/>
      </c>
      <c r="AS22" s="306" t="str">
        <f ca="1">IFERROR((VLOOKUP('GHG Calcs'!$AH22,'Over-Road Coach C&amp;T EF'!$D$29:$N$2314,10,0)+VLOOKUP('GHG Calcs'!$AH22,'Over-Road Coach C&amp;T EF'!$D$29:$N$2314,11,0))/IF('GHG Calcs'!AE22&gt;0,$BI22,1),"")</f>
        <v/>
      </c>
      <c r="AT22" s="306" t="str">
        <f ca="1">IFERROR(VLOOKUP(T22,'Co-Benefit Calcs'!$E$76:$I$83,2,0)/IF('GHG Calcs'!$AE22&gt;0,'Rail C&amp;T EF'!$K$14,1),"")</f>
        <v/>
      </c>
      <c r="AU22" s="306" t="str">
        <f ca="1">IFERROR(VLOOKUP(T22,'Co-Benefit Calcs'!$E$76:$I$83,3,0)/IF('GHG Calcs'!$AE22&gt;0,'Rail C&amp;T EF'!$K$14,1),"")</f>
        <v/>
      </c>
      <c r="AV22" s="306" t="str">
        <f ca="1">IFERROR(VLOOKUP(T22,'Co-Benefit Calcs'!$E$76:$I$83,4,0)/IF('GHG Calcs'!$AE22&gt;0,'Rail C&amp;T EF'!$K$14,1),"")</f>
        <v/>
      </c>
      <c r="AW22" s="306" t="str">
        <f ca="1">IFERROR(IF('GHG Calcs'!$AD22="Gasoline",0,VLOOKUP(T22,'Co-Benefit Calcs'!$E$76:$I$83,5,0))/IF('GHG Calcs'!$AE22&gt;0,'Rail C&amp;T EF'!$K$14,1),"")</f>
        <v/>
      </c>
      <c r="AX22" s="306" t="str">
        <f ca="1">IFERROR(VLOOKUP('GHG Calcs'!$AG22,'Rail C&amp;T EF'!$A$43:$Y$133,IF(U22&gt;750,23, IF(U22&gt;=600,20, IF(U22&gt;=300,17, IF(U22&gt;=175,14, IF(U22&gt;=100,11, IF(U22&gt;=75,8, IF(U22&gt;=50,5, 2))))))),0) * IF($U22&gt;=750,'Rail C&amp;T EF'!$K$18,'Rail C&amp;T EF'!$K$19) * IF('GHG Calcs'!$AE22&gt;0,1,'Rail C&amp;T EF'!$B$149) * IF(OR('GHG Calcs'!AD22="Diesel", 'GHG Calcs'!AD22="Renewable Diesel", 'GHG Calcs'!AD22="Biodiesel"),'Rail C&amp;T EF'!$B$141,'Rail C&amp;T EF'!$B$142),"")</f>
        <v/>
      </c>
      <c r="AY22" s="306" t="str">
        <f ca="1">IFERROR(VLOOKUP('GHG Calcs'!$AG22,'Rail C&amp;T EF'!$A$43:$Y$133,IF(U22&gt;750,24, IF(U22&gt;=600,21, IF(U22&gt;=300,18, IF(U22&gt;=175,15, IF(U22&gt;=100,12, IF(U22&gt;=75,9, IF(U22&gt;=50,6, 3))))))),0) * IF($U22&gt;=750,'Rail C&amp;T EF'!$K$18,'Rail C&amp;T EF'!$K$19) * IF('GHG Calcs'!$AE22&gt;0,1,'Rail C&amp;T EF'!$B$149),"")</f>
        <v/>
      </c>
      <c r="AZ22" s="306" t="str">
        <f ca="1">IFERROR(VLOOKUP('GHG Calcs'!$AG22,'Rail C&amp;T EF'!$A$43:$Y$133,IF(U22&gt;750,25, IF(U22&gt;=600,22, IF(U22&gt;=300,19, IF(U22&gt;=175,16, IF(U22&gt;=100,13, IF(U22&gt;=75,10, IF(U22&gt;=50,7, 4))))))),0) * IF($U22&gt;=750,'Rail C&amp;T EF'!$K$18,'Rail C&amp;T EF'!$K$19) * IF('GHG Calcs'!$AE22&gt;0,1,'Rail C&amp;T EF'!$B$149)*'Rail C&amp;T EF'!$B$146,"")</f>
        <v/>
      </c>
      <c r="BA22" s="306" t="str">
        <f ca="1">IFERROR(IF('GHG Calcs'!$AD22="Gasoline",0,VLOOKUP('GHG Calcs'!$AG22,'Rail C&amp;T EF'!$A$43:$Y$133,IF(U22&gt;750,25, IF(U22&gt;=600,22, IF(U22&gt;=300,19, IF(U22&gt;=175,16, IF(U22&gt;=100,13, IF(U22&gt;=75,10, IF(U22&gt;=50,7, 4))))))),0) * IF($U22&gt;=750,'Rail C&amp;T EF'!$K$18,'Rail C&amp;T EF'!$K$19) * IF('GHG Calcs'!$AE22&gt;0,1,'Rail C&amp;T EF'!$B$149)),"")</f>
        <v/>
      </c>
      <c r="BB22" s="306" t="str">
        <f ca="1">IFERROR(VLOOKUP('GHG Calcs'!$AG22,'Ferry C&amp;T EF'!$A$106:$AK$196,IF(U22&gt;=3301,35, IF(U22&gt;=1901,31, IF(U22&gt;=751,27, IF(U22&gt;=501,23, IF(U22&gt;=251,19, IF(U22&gt;=176,15, IF(U22&gt;=121,11, IF(U22&gt;=51,7, 3)))))))),0),"")</f>
        <v/>
      </c>
      <c r="BC22" s="306" t="str">
        <f ca="1">IFERROR(VLOOKUP('GHG Calcs'!$AG22,'Ferry C&amp;T EF'!$A$106:$AK$196,IF(U22&gt;=3301,34, IF(U22&gt;=1901,30, IF(U22&gt;=751,26, IF(U22&gt;=501,22, IF(U22&gt;=251,18, IF(U22&gt;=176,14, IF(U22&gt;=121,10, IF(U22&gt;=51,6, 2)))))))),0),"")</f>
        <v/>
      </c>
      <c r="BD22" s="306" t="str">
        <f ca="1">IFERROR(VLOOKUP('GHG Calcs'!$AG22,'Ferry C&amp;T EF'!$A$106:$AK$196,IF(U22&gt;=3301,37, IF(U22&gt;=1901,33, IF(U22&gt;=751,29, IF(U22&gt;=501,25, IF(U22&gt;=251,21, IF(U22&gt;=176,17, IF(U22&gt;=121,13, IF(U22&gt;=51,9, 5)))))))),0),"")</f>
        <v/>
      </c>
      <c r="BE22" s="306" t="str">
        <f ca="1">IFERROR(IF('GHG Calcs'!$AD22="Gasoline",0,VLOOKUP('GHG Calcs'!$AG22,'Ferry C&amp;T EF'!$A$106:$AK$196,IF(U22&gt;=3301,36, IF(U22&gt;=1901,32, IF(U22&gt;=751,28, IF(U22&gt;=501,24, IF(U22&gt;=251,20, IF(U22&gt;=176,16, IF(U22&gt;=121,12, IF(U22&gt;=51,8, 4)))))))),0)),"")</f>
        <v/>
      </c>
      <c r="BF22" s="1419" t="str">
        <f ca="1">IFERROR(IF('GHG Calcs'!$AD22="Gasoline",VLOOKUP('GHG Calcs'!$AH22,'Fuel Consumption'!$A$31:$L$2316,3,0),IF(OR('GHG Calcs'!$AD22="CNG",'GHG Calcs'!$AD22="LNG",'GHG Calcs'!$AD22="Renewable Natural Gas"),VLOOKUP('GHG Calcs'!$AH22,'Fuel Consumption'!$A$31:$L$2316,4,0)*VLOOKUP('GHG Calcs'!$AD22,'GHG EF'!$B$10:$H$19,4,0),VLOOKUP('GHG Calcs'!$AH22,'Fuel Consumption'!$A$31:$L$2316,2,0)*VLOOKUP('GHG Calcs'!$AD22,'GHG EF'!$B$10:$H$19,4,0))),"")</f>
        <v/>
      </c>
      <c r="BG22" s="1419" t="str">
        <f ca="1">IFERROR(IF(OR('GHG Calcs'!$AD22="Diesel",'GHG Calcs'!$AD22="Renewable Diesel",'GHG Calcs'!$AD22="Biodiesel"),VLOOKUP('GHG Calcs'!$AH22,'Fuel Consumption'!$A$31:$L$2316,6,0)*VLOOKUP('GHG Calcs'!$AD22,'GHG EF'!$B$10:$H$19,4,0),VLOOKUP('GHG Calcs'!$AH22,'Fuel Consumption'!$A$31:$L$2316,7,0)*VLOOKUP('GHG Calcs'!$AD22,'GHG EF'!$B$10:$H$19,5,0)),"")</f>
        <v/>
      </c>
      <c r="BH22" s="1419" t="str">
        <f ca="1">IFERROR(IF(OR('GHG Calcs'!$AD22="Diesel",'GHG Calcs'!$AD22="Renewable Diesel",'GHG Calcs'!$AD22="Biodiesel"),VLOOKUP('GHG Calcs'!$AH22,'Fuel Consumption'!$A$31:$L$2316,9,0)*VLOOKUP('GHG Calcs'!$AD22,'GHG EF'!$B$10:$H$19,4,0),VLOOKUP('GHG Calcs'!$AH22,'Fuel Consumption'!$A$31:$L$2316,10,0)*VLOOKUP('GHG Calcs'!$AD22,'GHG EF'!$B$10:$H$19,5,0)),"")</f>
        <v/>
      </c>
      <c r="BI22" s="1419" t="str">
        <f ca="1">IFERROR(VLOOKUP('GHG Calcs'!$AH22,'Fuel Consumption'!$A$31:$L$2316,12,0)*VLOOKUP('GHG Calcs'!$AD22,'GHG EF'!$B$10:$H$19,4,0),"")</f>
        <v/>
      </c>
      <c r="BJ22" s="1373" t="str">
        <f ca="1">IFERROR(IF(OR('GHG Calcs'!AD22=Defaults!$I$3, 'GHG Calcs'!AD22=Defaults!$I$4, 'GHG Calcs'!AD22=Defaults!$I$6, 'GHG Calcs'!AD22=Defaults!$I$8), IF('GHG Calcs'!AE22&gt;0,'GHG Calcs'!AE22*IF('GHG Calcs'!AD22=Defaults!$I$3,'GHG EF'!$C$11/'GHG EF'!$C$12,1),'GHG Calcs'!AK22*'GHG Calcs'!AI22),"")*('GHG Calcs'!I22-'GHG Calcs'!H22),"")</f>
        <v/>
      </c>
      <c r="BK22" s="1373" t="str">
        <f ca="1">IFERROR(IF('GHG Calcs'!AD22=Defaults!$I$5,IF('GHG Calcs'!AE22&gt;0,'GHG Calcs'!AE22,'GHG Calcs'!AJ22*'GHG Calcs'!AI22),"")*IF('GHG Calcs'!AF22&lt;'GHG EF'!$D$13,'GHG Calcs'!AF22/'GHG EF'!$D$13,1)*IF('GHG Calcs'!AF22&lt;0,0,1)*('GHG Calcs'!I22-'GHG Calcs'!H22),"")</f>
        <v/>
      </c>
      <c r="BL22" s="1373" t="str">
        <f ca="1">IFERROR(IF('GHG Calcs'!AD22=Defaults!$I$11, IF(IF('GHG Calcs'!AE22&gt;0,'GHG Calcs'!AE22,'GHG Calcs'!AJ22*'GHG Calcs'!AI22)&lt;INDIRECT("'"&amp;#REF!&amp;"'!"&amp;$D22&amp;ROW(#REF!)), IF('GHG Calcs'!AE22&gt;0,'GHG Calcs'!AE22,'GHG Calcs'!AJ22*'GHG Calcs'!AI22), INDIRECT("'"&amp;#REF!&amp;"'!"&amp;$D22&amp;ROW(#REF!))),"")*('GHG Calcs'!I22-'GHG Calcs'!H22),"")</f>
        <v/>
      </c>
      <c r="BM22" s="1420" t="str">
        <f ca="1">IFERROR(IF('GHG Calcs'!AE22&gt;0,'GHG Calcs'!AE22,'GHG Calcs'!AL22*'GHG Calcs'!AI22)*VLOOKUP('GHG Calcs'!AD22,'Fuel &amp; Travel Costs'!$B$10:$C$19,2,0)*('GHG Calcs'!I22-'GHG Calcs'!H22),"")</f>
        <v/>
      </c>
      <c r="BN22" s="306">
        <f ca="1">INDIRECT("'Quantifiable Component "&amp;$B22&amp;"'!"&amp;$D22&amp;ROW('Quantifiable Component 1'!$59:$59))</f>
        <v>0</v>
      </c>
      <c r="BO22" s="306">
        <f ca="1">INDIRECT("'Quantifiable Component "&amp;$B22&amp;"'!"&amp;$D22&amp;ROW('Quantifiable Component 1'!$60:$60))</f>
        <v>0</v>
      </c>
      <c r="BP22" s="1421" t="str">
        <f ca="1">IFERROR(IF('GHG Calcs'!$BD22="Gasoline",VLOOKUP('GHG Calcs'!$BL22,'Bus C&amp;T EF'!$D$30:$V$2315,3,0),IF(OR('GHG Calcs'!$BD22="CNG",'GHG Calcs'!$BD22="LNG",'GHG Calcs'!$BD22="Renewable Natural Gas"),VLOOKUP('GHG Calcs'!$BL22,'Bus C&amp;T EF'!$D$30:$V$2315,4,0),VLOOKUP('GHG Calcs'!$BL22,'Bus C&amp;T EF'!$D$30:$V$2315,2,0)))/IF('GHG Calcs'!BE22&gt;0,$CZ22,1),"")</f>
        <v/>
      </c>
      <c r="BQ22" s="1419" t="str">
        <f ca="1">IFERROR(IF('GHG Calcs'!$BD22="Gasoline",VLOOKUP('GHG Calcs'!$BL22,'Bus C&amp;T EF'!$D$30:$V$2315,6,0),IF(OR('GHG Calcs'!$BD22="CNG",'GHG Calcs'!$BD22="LNG",'GHG Calcs'!$BD22="Renewable Natural Gas"),VLOOKUP('GHG Calcs'!$BL22,'Bus C&amp;T EF'!$D$30:$V$2315,7,0),VLOOKUP('GHG Calcs'!$BL22,'Bus C&amp;T EF'!$D$30:$V$2315,5,0)))/IF('GHG Calcs'!BE22&gt;0,$CZ22,1),"")</f>
        <v/>
      </c>
      <c r="BR22" s="1419" t="str">
        <f ca="1">IFERROR(IF('GHG Calcs'!$BD22="Gasoline",VLOOKUP('GHG Calcs'!$BL22,'Bus C&amp;T EF'!$D$30:$V$2315,9,0),IF(OR('GHG Calcs'!$BD22="CNG",'GHG Calcs'!$BD22="LNG",'GHG Calcs'!$BD22="Renewable Natural Gas"),VLOOKUP('GHG Calcs'!$BL22,'Bus C&amp;T EF'!$D$30:$V$2315,10,0),VLOOKUP('GHG Calcs'!$BL22,'Bus C&amp;T EF'!$D$30:$V$2315,8,0)))/IF('GHG Calcs'!BE22&gt;0,$CZ22,1),"")</f>
        <v/>
      </c>
      <c r="BS22" s="1419" t="str">
        <f ca="1">IFERROR(IF('GHG Calcs'!$BD22="Gasoline",VLOOKUP('GHG Calcs'!$BL22,'Bus C&amp;T EF'!$D$30:$V$2315,12,0),IF(OR('GHG Calcs'!$BD22="CNG",'GHG Calcs'!$BD22="LNG",'GHG Calcs'!$BD22="Renewable Natural Gas"),VLOOKUP('GHG Calcs'!$BL22,'Bus C&amp;T EF'!$D$30:$V$2315,13,0),IF(OR('GHG Calcs'!$BD22="Electric",'GHG Calcs'!$BD22="Hydrogen Fuel Cell",'GHG Calcs'!$BD22="Renewable Electricity"),VLOOKUP('GHG Calcs'!$BL22,'Bus C&amp;T EF'!$D$30:$V$2315,14,0),VLOOKUP('GHG Calcs'!$BL22,'Bus C&amp;T EF'!$D$30:$V$2315,11,0))))/IF('GHG Calcs'!BE22&gt;0,$CZ22,1),"")</f>
        <v/>
      </c>
      <c r="BT22" s="1419" t="str">
        <f ca="1">IFERROR(IF('GHG Calcs'!$BD22="Gasoline",VLOOKUP('GHG Calcs'!$BL22,'Bus C&amp;T EF'!$D$30:$V$2315,16,0),IF(OR('GHG Calcs'!$BD22="CNG",'GHG Calcs'!$BD22="LNG",'GHG Calcs'!$BD22="Renewable Natural Gas"),VLOOKUP('GHG Calcs'!$BL22,'Bus C&amp;T EF'!$D$30:$V$2315,17,0),IF(OR('GHG Calcs'!$BD22="Electric",'GHG Calcs'!$BD22="Hydrogen Fuel Cell",'GHG Calcs'!$BD22="Renewable Electricity"),VLOOKUP('GHG Calcs'!$BL22,'Bus C&amp;T EF'!$D$30:$V$2315,18,0),VLOOKUP('GHG Calcs'!$BL22,'Bus C&amp;T EF'!$D$30:$V$2315,15,0))))/IF('GHG Calcs'!BE22&gt;0,$CZ22,1),"")</f>
        <v/>
      </c>
      <c r="BU22" s="306" t="str">
        <f ca="1">IFERROR(IF('GHG Calcs'!$BD22="Gasoline",0,VLOOKUP('GHG Calcs'!$BL22,'Bus C&amp;T EF'!$D$30:$V$2315,19,0))/IF('GHG Calcs'!BE22&gt;0,$CZ22,1),"")</f>
        <v/>
      </c>
      <c r="BV22" s="1419" t="str">
        <f ca="1">IFERROR(IF(OR('GHG Calcs'!$BD22="Diesel",'GHG Calcs'!$BD22="Renewable Diesel",'GHG Calcs'!$BD22="Biodiesel"),VLOOKUP('GHG Calcs'!$BL22,'Van C&amp;T EF'!$D$30:$Q$2315,2,0),VLOOKUP('GHG Calcs'!$BL22,'Van C&amp;T EF'!$D$30:$Q$2315,3,0))/IF('GHG Calcs'!BE22&gt;0,$DA22,1),"")</f>
        <v/>
      </c>
      <c r="BW22" s="1419" t="str">
        <f ca="1">IFERROR(IF(OR('GHG Calcs'!$BD22="Diesel",'GHG Calcs'!$BD22="Renewable Diesel",'GHG Calcs'!$BD22="Biodiesel"),VLOOKUP('GHG Calcs'!$BL22,'Van C&amp;T EF'!$D$30:$Q$2315,4,0),VLOOKUP('GHG Calcs'!$BL22,'Van C&amp;T EF'!$D$30:$Q$2315,5,0))/IF('GHG Calcs'!BE22&gt;0,$DA22,1),"")</f>
        <v/>
      </c>
      <c r="BX22" s="1419" t="str">
        <f ca="1">IFERROR(IF(OR('GHG Calcs'!$BD22="Diesel",'GHG Calcs'!$BD22="Renewable Diesel",'GHG Calcs'!$BD22="Biodiesel"),VLOOKUP('GHG Calcs'!$BL22,'Van C&amp;T EF'!$D$30:$Q$2315,6,0),VLOOKUP('GHG Calcs'!$BL22,'Van C&amp;T EF'!$D$30:$Q$2315,7,0))/IF('GHG Calcs'!BE22&gt;0,$DA22,1),"")</f>
        <v/>
      </c>
      <c r="BY22" s="1419" t="str">
        <f ca="1">IFERROR(IF(OR('GHG Calcs'!$BD22="Diesel",'GHG Calcs'!$BD22="Renewable Diesel",'GHG Calcs'!$BD22="Biodiesel"),VLOOKUP('GHG Calcs'!$BL22,'Van C&amp;T EF'!$D$30:$Q$2315,8,0),IF(OR('GHG Calcs'!$BD22="Electric",'GHG Calcs'!$BD22="Hydrogen Fuel Cell",'GHG Calcs'!$BD22="Renewable Electricity"),VLOOKUP('GHG Calcs'!$BL22,'Van C&amp;T EF'!$D$30:$Q$2315,10,0),VLOOKUP('GHG Calcs'!$BL22,'Van C&amp;T EF'!$D$30:$Q$2315,9,0)))/IF('GHG Calcs'!BE22&gt;0,$DA22,1),"")</f>
        <v/>
      </c>
      <c r="BZ22" s="1419" t="str">
        <f ca="1">IFERROR(IF(OR('GHG Calcs'!$BD22="Diesel",'GHG Calcs'!$BD22="Renewable Diesel",'GHG Calcs'!$BD22="Biodiesel"),VLOOKUP('GHG Calcs'!$BL22,'Van C&amp;T EF'!$D$30:$Q$2315,11,0),IF(OR('GHG Calcs'!$BD22="Electric",'GHG Calcs'!$BD22="Hydrogen Fuel Cell",'GHG Calcs'!$BD22="Renewable Electricity"),VLOOKUP('GHG Calcs'!$BL22,'Van C&amp;T EF'!$D$30:$Q$2315,13,0),VLOOKUP('GHG Calcs'!$BL22,'Van C&amp;T EF'!$D$30:$Q$2315,12,0)))/IF('GHG Calcs'!BE22&gt;0,$DA22,1),"")</f>
        <v/>
      </c>
      <c r="CA22" s="306">
        <f ca="1">IFERROR(IF(OR('GHG Calcs'!$BD22="Diesel",'GHG Calcs'!$BD22="Biodiesel",'GHG Calcs'!$BD22="Renewable Diesel"),VLOOKUP('GHG Calcs'!$BL22,'Van C&amp;T EF'!$D$30:$Q$2315,14,0),0)/IF('GHG Calcs'!BE22&gt;0,$DA22,1),"")</f>
        <v>0</v>
      </c>
      <c r="CB22" s="1419" t="str">
        <f ca="1">IFERROR(IF(OR('GHG Calcs'!$BD22="Diesel",'GHG Calcs'!$BD22="Renewable Diesel",'GHG Calcs'!$BD22="Biodiesel"),VLOOKUP('GHG Calcs'!$BL22,'Shuttle C&amp;T EF'!$D$30:$Q$2315,2,0),VLOOKUP('GHG Calcs'!$BL22,'Shuttle C&amp;T EF'!$D$30:$Q$2315,3,0))/IF('GHG Calcs'!BE22&gt;0,$DB22,1),"")</f>
        <v/>
      </c>
      <c r="CC22" s="1419" t="str">
        <f ca="1">IFERROR(IF(OR('GHG Calcs'!$BD22="Diesel",'GHG Calcs'!$BD22="Renewable Diesel",'GHG Calcs'!$BD22="Biodiesel"),VLOOKUP('GHG Calcs'!$BL22,'Shuttle C&amp;T EF'!$D$30:$Q$2315,4,0),VLOOKUP('GHG Calcs'!$BL22,'Shuttle C&amp;T EF'!$D$30:$Q$2315,5,0))/IF('GHG Calcs'!BE22&gt;0,$DB22,1),"")</f>
        <v/>
      </c>
      <c r="CD22" s="1419" t="str">
        <f ca="1">IFERROR(IF(OR('GHG Calcs'!$BD22="Diesel",'GHG Calcs'!$BD22="Renewable Diesel",'GHG Calcs'!$BD22="Biodiesel"),VLOOKUP('GHG Calcs'!$BL22,'Shuttle C&amp;T EF'!$D$30:$Q$2315,6,0),VLOOKUP('GHG Calcs'!$BL22,'Shuttle C&amp;T EF'!$D$30:$Q$2315,7,0))/IF('GHG Calcs'!BE22&gt;0,$DB22,1),"")</f>
        <v/>
      </c>
      <c r="CE22" s="1419" t="str">
        <f ca="1">IFERROR(IF(OR('GHG Calcs'!$BD22="Diesel",'GHG Calcs'!$BD22="Renewable Diesel",'GHG Calcs'!$BD22="Biodiesel"),VLOOKUP('GHG Calcs'!$BL22,'Shuttle C&amp;T EF'!$D$30:$Q$2315,8,0),IF(OR('GHG Calcs'!$BD22="Electric",'GHG Calcs'!$BD22="Hydrogen Fuel Cell",'GHG Calcs'!$BD22="Renewable Electricity"),VLOOKUP('GHG Calcs'!$BL22,'Shuttle C&amp;T EF'!$D$30:$Q$2315,10,0),VLOOKUP('GHG Calcs'!$BL22,'Shuttle C&amp;T EF'!$D$30:$Q$2315,9,0)))/IF('GHG Calcs'!BE22&gt;0,$DB22,1),"")</f>
        <v/>
      </c>
      <c r="CF22" s="1419" t="str">
        <f ca="1">IFERROR(IF(OR('GHG Calcs'!$BD22="Diesel",'GHG Calcs'!$BD22="Renewable Diesel",'GHG Calcs'!$BD22="Biodiesel"),VLOOKUP('GHG Calcs'!$BL22,'Shuttle C&amp;T EF'!$D$30:$Q$2315,11,0),IF(OR('GHG Calcs'!$BD22="Electric",'GHG Calcs'!$BD22="Hydrogen Fuel Cell",'GHG Calcs'!$BD22="Renewable Electricity"),VLOOKUP('GHG Calcs'!$BL22,'Shuttle C&amp;T EF'!$D$30:$Q$2315,13,0),VLOOKUP('GHG Calcs'!$BL22,'Shuttle C&amp;T EF'!$D$30:$Q$2315,12,0)))/IF('GHG Calcs'!BE22&gt;0,$DB22,1),"")</f>
        <v/>
      </c>
      <c r="CG22" s="1419">
        <f ca="1">IFERROR(IF(OR('GHG Calcs'!$BD22="Diesel",'GHG Calcs'!$BD22="Biodiesel",'GHG Calcs'!$BD22="Renewable Diesel"),VLOOKUP('GHG Calcs'!$BL22,'Shuttle C&amp;T EF'!$D$30:$Q$2315,14,0),0)/IF('GHG Calcs'!BE22&gt;0,$DB22,1),"")</f>
        <v>0</v>
      </c>
      <c r="CH22" s="306" t="str">
        <f ca="1">IFERROR((VLOOKUP('GHG Calcs'!$BL22,'Over-Road Coach C&amp;T EF'!$D$29:$N$2314,2,0)+VLOOKUP('GHG Calcs'!$BL22,'Over-Road Coach C&amp;T EF'!$D$29:$N$2314,3,0))/IF('GHG Calcs'!BE22&gt;0,$DC22,1),"")</f>
        <v/>
      </c>
      <c r="CI22" s="306" t="str">
        <f ca="1">IFERROR((VLOOKUP('GHG Calcs'!$BL22,'Over-Road Coach C&amp;T EF'!$D$29:$N$2314,4,0)+VLOOKUP('GHG Calcs'!$BL22,'Over-Road Coach C&amp;T EF'!$D$29:$N$2314,5,0))/IF('GHG Calcs'!BE22&gt;0,$DC22,1),"")</f>
        <v/>
      </c>
      <c r="CJ22" s="306" t="str">
        <f ca="1">IFERROR((VLOOKUP('GHG Calcs'!$BL22,'Over-Road Coach C&amp;T EF'!$D$29:$N$2314,6,0)+VLOOKUP('GHG Calcs'!$BL22,'Over-Road Coach C&amp;T EF'!$D$29:$N$2314,7,0))/IF('GHG Calcs'!BE22&gt;0,$DC22,1),"")</f>
        <v/>
      </c>
      <c r="CK22" s="306" t="str">
        <f ca="1">IFERROR(VLOOKUP('GHG Calcs'!$BL22,'Over-Road Coach C&amp;T EF'!$D$29:$N$2314,8,0)/IF('GHG Calcs'!BE22&gt;0,$DC22,1),"")</f>
        <v/>
      </c>
      <c r="CL22" s="306" t="str">
        <f ca="1">IFERROR(VLOOKUP('GHG Calcs'!$BL22,'Over-Road Coach C&amp;T EF'!$D$29:$N$2314,9,0)/IF('GHG Calcs'!BE22&gt;0,$DC22,1),"")</f>
        <v/>
      </c>
      <c r="CM22" s="306" t="str">
        <f ca="1">IFERROR((VLOOKUP('GHG Calcs'!$BL22,'Over-Road Coach C&amp;T EF'!$D$29:$N$2314,10,0)+VLOOKUP('GHG Calcs'!$BL22,'Over-Road Coach C&amp;T EF'!$D$29:$N$2314,11,0))/IF('GHG Calcs'!BE22&gt;0,$DC22,1),"")</f>
        <v/>
      </c>
      <c r="CN22" s="306" t="str">
        <f ca="1">IFERROR(VLOOKUP(BN22,'Co-Benefit Calcs'!$E$76:$I$83,2,0)/IF('GHG Calcs'!$BE22&gt;0,'Rail C&amp;T EF'!$K$14,1),"")</f>
        <v/>
      </c>
      <c r="CO22" s="306" t="str">
        <f ca="1">IFERROR(VLOOKUP(BN22,'Co-Benefit Calcs'!$E$76:$I$83,3,0)/IF('GHG Calcs'!$BE22&gt;0,'Rail C&amp;T EF'!$K$14,1),"")</f>
        <v/>
      </c>
      <c r="CP22" s="306" t="str">
        <f ca="1">IFERROR(VLOOKUP(BN22,'Co-Benefit Calcs'!$E$76:$I$83,4,0)/IF('GHG Calcs'!$BE22&gt;0,'Rail C&amp;T EF'!$K$14,1),"")</f>
        <v/>
      </c>
      <c r="CQ22" s="306" t="str">
        <f ca="1">IFERROR(IF('GHG Calcs'!$BD22="Gasoline",0,VLOOKUP(BN22,'Co-Benefit Calcs'!$E$76:$I$83,5,0))/IF('GHG Calcs'!$BE22&gt;0,'Rail C&amp;T EF'!$K$14,1),"")</f>
        <v/>
      </c>
      <c r="CR22" s="306" t="str">
        <f ca="1">IFERROR(VLOOKUP('GHG Calcs'!$BG22,'Rail C&amp;T EF'!$A$43:$Y$133,IF(BO22&gt;750,23, IF(BO22&gt;=600,20, IF(BO22&gt;=300,17, IF(BO22&gt;=175,14, IF(BO22&gt;=100,11, IF(BO22&gt;=75,8, IF(BO22&gt;=50,5, 2))))))),0) * IF($BO22&gt;=750,'Rail C&amp;T EF'!$K$18,'Rail C&amp;T EF'!$K$19) * IF('GHG Calcs'!BE22&gt;0,1,'Rail C&amp;T EF'!$B$149) * IF(OR('GHG Calcs'!BD22="Diesel", 'GHG Calcs'!BD22="Renewable Diesel", 'GHG Calcs'!BD22="Biodiesel"),'Rail C&amp;T EF'!$B$141,'Rail C&amp;T EF'!$B$142),"")</f>
        <v/>
      </c>
      <c r="CS22" s="306" t="str">
        <f ca="1">IFERROR(VLOOKUP('GHG Calcs'!$BG22,'Rail C&amp;T EF'!$A$43:$Y$133,IF(BO22&gt;750,24, IF(BO22&gt;=600,21, IF(BO22&gt;=300,18, IF(BO22&gt;=175,15, IF(BO22&gt;=100,12, IF(BO22&gt;=75,9, IF(BO22&gt;=50,6, 3))))))),0) * IF($BO22&gt;=750,'Rail C&amp;T EF'!$K$18,'Rail C&amp;T EF'!$K$19) * IF('GHG Calcs'!$BE22&gt;0,1,'Rail C&amp;T EF'!$B$149),"")</f>
        <v/>
      </c>
      <c r="CT22" s="306" t="str">
        <f ca="1">IFERROR(VLOOKUP('GHG Calcs'!$BG22,'Rail C&amp;T EF'!$A$43:$Y$133,IF(BO22&gt;750,25, IF(BO22&gt;=600,22, IF(BO22&gt;=300,19, IF(BO22&gt;=175,16, IF(BO22&gt;=100,13, IF(BO22&gt;=75,10, IF(BO22&gt;=50,7, 4))))))),0) * IF($BO22&gt;=750,'Rail C&amp;T EF'!$K$18,'Rail C&amp;T EF'!$K$19) * IF('GHG Calcs'!$BE22&gt;0,1,'Rail C&amp;T EF'!$B$149)*'Rail C&amp;T EF'!$B$146,"")</f>
        <v/>
      </c>
      <c r="CU22" s="306" t="str">
        <f ca="1">IFERROR(IF('GHG Calcs'!BD22="Gasoline",0,VLOOKUP('GHG Calcs'!$BG22,'Rail C&amp;T EF'!$A$43:$Y$133,IF(BO22&gt;750,25, IF(BO22&gt;=600,22, IF(BO22&gt;=300,19, IF(BO22&gt;=175,16, IF(BO22&gt;=100,13, IF(BO22&gt;=75,10, IF(BO22&gt;=50,7, 4))))))),0) * IF($BO22&gt;=750,'Rail C&amp;T EF'!$K$18,'Rail C&amp;T EF'!$K$19) * IF('GHG Calcs'!$BE22&gt;0,1,'Rail C&amp;T EF'!$B$149)),"")</f>
        <v/>
      </c>
      <c r="CV22" s="306" t="str">
        <f ca="1">IFERROR(VLOOKUP('GHG Calcs'!$BG22,'Ferry C&amp;T EF'!$A$106:$AK$196,IF(BO22&gt;=3301,35, IF(BO22&gt;=1901,31, IF(BO22&gt;=751,27, IF(BO22&gt;=501,23, IF(BO22&gt;=251,19, IF(BO22&gt;=176,15, IF(BO22&gt;=121,11, IF(BO22&gt;=51,7, 3)))))))),0),"")</f>
        <v/>
      </c>
      <c r="CW22" s="306" t="str">
        <f ca="1">IFERROR(VLOOKUP('GHG Calcs'!$BG22,'Ferry C&amp;T EF'!$A$106:$AK$196,IF(BO22&gt;=3301,34, IF(BO22&gt;=1901,30, IF(BO22&gt;=751,26, IF(BO22&gt;=501,22, IF(BO22&gt;=251,18, IF(BO22&gt;=176,14, IF(BO22&gt;=121,10, IF(BO22&gt;=51,6, 2)))))))),0),"")</f>
        <v/>
      </c>
      <c r="CX22" s="306" t="str">
        <f ca="1">IFERROR(VLOOKUP('GHG Calcs'!$BG22,'Ferry C&amp;T EF'!$A$106:$AK$196,IF(BO22&gt;=3301,37, IF(BO22&gt;=1901,33, IF(BO22&gt;=751,29, IF(BO22&gt;=501,25, IF(BO22&gt;=251,21, IF(BO22&gt;=176,17, IF(BO22&gt;=121,13, IF(BO22&gt;=51,9, 5)))))))),0),"")</f>
        <v/>
      </c>
      <c r="CY22" s="306" t="str">
        <f ca="1">IFERROR(IF('GHG Calcs'!$BD22="Gasoline",0,VLOOKUP('GHG Calcs'!$BG22,'Ferry C&amp;T EF'!$A$106:$AK$196,IF(BO22&gt;=3301,36, IF(BO22&gt;=1901,32, IF(BO22&gt;=751,28, IF(BO22&gt;=501,24, IF(BO22&gt;=251,20, IF(BO22&gt;=176,16, IF(BO22&gt;=121,12, IF(BO22&gt;=51,8, 4)))))))),0)),"")</f>
        <v/>
      </c>
      <c r="CZ22" s="1419" t="str">
        <f ca="1">IFERROR(IF('GHG Calcs'!$BD22="Gasoline",VLOOKUP('GHG Calcs'!$BL22,'Fuel Consumption'!$A$31:$L$2316,3,0),IF(OR('GHG Calcs'!$BD22="CNG",'GHG Calcs'!$BD22="LNG",'GHG Calcs'!$BD22="Renewable Natural Gas"),VLOOKUP('GHG Calcs'!$BL22,'Fuel Consumption'!$A$31:$L$2316,4,0)*VLOOKUP('GHG Calcs'!$BD22,'GHG EF'!$B$10:$H$19,4,0),VLOOKUP('GHG Calcs'!$BL22,'Fuel Consumption'!$A$31:$L$2316,2,0)*VLOOKUP('GHG Calcs'!$AD22,'GHG EF'!$B$10:$H$19,4,0))),"")</f>
        <v/>
      </c>
      <c r="DA22" s="1419" t="str">
        <f ca="1">IFERROR(IF(OR('GHG Calcs'!$BD22="Diesel",'GHG Calcs'!$BD22="Renewable Diesel",'GHG Calcs'!$BD22="Biodiesel"),VLOOKUP('GHG Calcs'!$BL22,'Fuel Consumption'!$A$31:$L$2316,6,0)*VLOOKUP('GHG Calcs'!$BD22,'GHG EF'!$B$10:$H$19,4,0),VLOOKUP('GHG Calcs'!$BL22,'Fuel Consumption'!$A$31:$L$2316,7,0)*VLOOKUP('GHG Calcs'!$BD22,'GHG EF'!$B$10:$H$19,5,0)),"")</f>
        <v/>
      </c>
      <c r="DB22" s="1419" t="str">
        <f ca="1">IFERROR(IF(OR('GHG Calcs'!$BD22="Diesel",'GHG Calcs'!$BD22="Renewable Diesel",'GHG Calcs'!$BD22="Biodiesel"),VLOOKUP('GHG Calcs'!$BL22,'Fuel Consumption'!$A$31:$L$2316,9,0)*VLOOKUP('GHG Calcs'!$BD22,'GHG EF'!$B$10:$H$19,4,0),VLOOKUP('GHG Calcs'!$BL22,'Fuel Consumption'!$A$31:$L$2316,10,0)*VLOOKUP('GHG Calcs'!$BD22,'GHG EF'!$B$10:$H$19,5,0)),"")</f>
        <v/>
      </c>
      <c r="DC22" s="1419" t="str">
        <f ca="1">IFERROR(VLOOKUP('GHG Calcs'!$BL22,'Fuel Consumption'!$A$31:$L$2316,12,0)*VLOOKUP('GHG Calcs'!$BD22,'GHG EF'!$B$10:$H$19,4,0),"")</f>
        <v/>
      </c>
      <c r="DD22" s="1373" t="str">
        <f ca="1">IFERROR(IF(OR('GHG Calcs'!BD22=Defaults!$I$3, 'GHG Calcs'!BD22=Defaults!$I$4, 'GHG Calcs'!BD22=Defaults!$I$6, 'GHG Calcs'!BD22=Defaults!$I$8), IF('GHG Calcs'!BE22&gt;0,'GHG Calcs'!BE22*IF('GHG Calcs'!BD22=Defaults!$I$3,'GHG EF'!$C$11/'GHG EF'!$C$12,1),'GHG Calcs'!BJ22*'GHG Calcs'!BH22),"")*('GHG Calcs'!I22-'GHG Calcs'!H22),"")</f>
        <v/>
      </c>
      <c r="DE22" s="1373" t="str">
        <f ca="1">IFERROR(IF('GHG Calcs'!BD22=Defaults!$I$5,IF('GHG Calcs'!BE22&gt;0,'GHG Calcs'!BE22,'GHG Calcs'!BI22*'GHG Calcs'!BH22),"")*('GHG Calcs'!I22-'GHG Calcs'!H22),"")</f>
        <v/>
      </c>
      <c r="DF22" s="1420" t="str">
        <f ca="1">IFERROR(IF('GHG Calcs'!BE22&gt;0,'GHG Calcs'!BE22,'GHG Calcs'!BK22*'GHG Calcs'!BH22)*VLOOKUP('GHG Calcs'!BD22,'Fuel &amp; Travel Costs'!$B$10:$C$19,2,0)*('GHG Calcs'!I22-'GHG Calcs'!H22),"")</f>
        <v/>
      </c>
      <c r="DG22" s="306">
        <f ca="1">INDIRECT("'Quantifiable Component "&amp;$B22&amp;"'!"&amp;$D22&amp;ROW('Quantifiable Component 1'!$70:$70))</f>
        <v>0</v>
      </c>
      <c r="DH22" s="306">
        <f ca="1">INDIRECT("'Quantifiable Component "&amp;$B22&amp;"'!"&amp;$D22&amp;ROW('Quantifiable Component 1'!$71:$71))</f>
        <v>0</v>
      </c>
      <c r="DI22" s="1422" t="str">
        <f ca="1">IFERROR(IF('GHG Calcs'!$CD22="Gasoline",VLOOKUP('GHG Calcs'!$CG22,'Bus C&amp;T EF'!$D$30:$V$2315,3,0),IF(OR('GHG Calcs'!$CD22="CNG",'GHG Calcs'!$CD22="LNG",'GHG Calcs'!$CD22="Renewable Natural Gas"),VLOOKUP('GHG Calcs'!$CG22,'Bus C&amp;T EF'!$D$30:$V$2315,4,0),VLOOKUP('GHG Calcs'!$CG22,'Bus C&amp;T EF'!$D$30:$V$2315,2,0)))/$ES22,"")</f>
        <v/>
      </c>
      <c r="DJ22" s="306" t="str">
        <f ca="1">IFERROR(IF('GHG Calcs'!$CD22="Gasoline",VLOOKUP('GHG Calcs'!$CG22,'Bus C&amp;T EF'!$D$30:$V$2315,6,0),IF(OR('GHG Calcs'!$CD22="CNG",'GHG Calcs'!$CD22="LNG",'GHG Calcs'!$CD22="Renewable Natural Gas"),VLOOKUP('GHG Calcs'!$CG22,'Bus C&amp;T EF'!$D$30:$V$2315,7,0),VLOOKUP('GHG Calcs'!$CG22,'Bus C&amp;T EF'!$D$30:$V$2315,5,0)))/$ES22,"")</f>
        <v/>
      </c>
      <c r="DK22" s="306" t="str">
        <f ca="1">IFERROR(IF('GHG Calcs'!$CD22="Gasoline",VLOOKUP('GHG Calcs'!$CG22,'Bus C&amp;T EF'!$D$30:$V$2315,9,0),IF(OR('GHG Calcs'!$CD22="CNG",'GHG Calcs'!$CD22="LNG",'GHG Calcs'!$CD22="Renewable Natural Gas"),VLOOKUP('GHG Calcs'!$CG22,'Bus C&amp;T EF'!$D$30:$V$2315,10,0),VLOOKUP('GHG Calcs'!$CG22,'Bus C&amp;T EF'!$D$30:$V$2315,8,0)))/$ES22,"")</f>
        <v/>
      </c>
      <c r="DL22" s="306" t="str">
        <f ca="1">IFERROR(IF('GHG Calcs'!$CD22="Gasoline",VLOOKUP('GHG Calcs'!$CG22,'Bus C&amp;T EF'!$D$30:$V$2315,12,0),IF(OR('GHG Calcs'!$CD22="CNG",'GHG Calcs'!$CD22="LNG",'GHG Calcs'!$CD22="Renewable Natural Gas"),VLOOKUP('GHG Calcs'!$CG22,'Bus C&amp;T EF'!$D$30:$V$2315,13,0),IF('GHG Calcs'!$CD22="Electric",VLOOKUP('GHG Calcs'!$CG22,'Bus C&amp;T EF'!$D$30:$V$2315,14,0),VLOOKUP('GHG Calcs'!$CG22,'Bus C&amp;T EF'!$D$30:$V$2315,11,0))))/$ES22,"")</f>
        <v/>
      </c>
      <c r="DM22" s="306" t="str">
        <f ca="1">IFERROR(IF('GHG Calcs'!$CD22="Gasoline",VLOOKUP('GHG Calcs'!$CG22,'Bus C&amp;T EF'!$D$30:$V$2315,16,0),IF(OR('GHG Calcs'!$CD22="CNG",'GHG Calcs'!$CD22="LNG",'GHG Calcs'!$CD22="Renewable Natural Gas"),VLOOKUP('GHG Calcs'!$CG22,'Bus C&amp;T EF'!$D$30:$V$2315,17,0),IF('GHG Calcs'!$CD22="Electric",VLOOKUP('GHG Calcs'!$CG22,'Bus C&amp;T EF'!$D$30:$V$2315,18,0),VLOOKUP('GHG Calcs'!$CG22,'Bus C&amp;T EF'!$D$30:$V$2315,15,0))))/$ES22,"")</f>
        <v/>
      </c>
      <c r="DN22" s="306" t="str">
        <f ca="1">IFERROR(IF('GHG Calcs'!$CD22="Gasoline",0,VLOOKUP('GHG Calcs'!$CG22,'Bus C&amp;T EF'!$D$30:$V$2315,19,0))/$ES22,"")</f>
        <v/>
      </c>
      <c r="DO22" s="1419" t="str">
        <f ca="1">IFERROR(IF(OR('GHG Calcs'!$CD22="Diesel",'GHG Calcs'!$CD22="Renewable Diesel",'GHG Calcs'!$CD22="Biodiesel"),VLOOKUP('GHG Calcs'!$CG22,'Van C&amp;T EF'!$D$30:$Q$2315,2,0),VLOOKUP('GHG Calcs'!$CG22,'Van C&amp;T EF'!$D$30:$Q$2315,3,0))/$ET22,"")</f>
        <v/>
      </c>
      <c r="DP22" s="1419" t="str">
        <f ca="1">IFERROR(IF(OR('GHG Calcs'!$CD22="Diesel",'GHG Calcs'!$CD22="Renewable Diesel",'GHG Calcs'!$CD22="Biodiesel"),VLOOKUP('GHG Calcs'!$CG22,'Van C&amp;T EF'!$D$30:$Q$2315,4,0),VLOOKUP('GHG Calcs'!$CG22,'Van C&amp;T EF'!$D$30:$Q$2315,5,0))/$ET22,"")</f>
        <v/>
      </c>
      <c r="DQ22" s="1419" t="str">
        <f ca="1">IFERROR(IF(OR('GHG Calcs'!$CD22="Diesel",'GHG Calcs'!$CD22="Renewable Diesel",'GHG Calcs'!$CD22="Biodiesel"),VLOOKUP('GHG Calcs'!$CG22,'Van C&amp;T EF'!$D$30:$Q$2315,6,0),VLOOKUP('GHG Calcs'!$CG22,'Van C&amp;T EF'!$D$30:$Q$2315,7,0))/$ET22,"")</f>
        <v/>
      </c>
      <c r="DR22" s="1419" t="str">
        <f ca="1">IFERROR(IF(OR('GHG Calcs'!$CD22="Diesel",'GHG Calcs'!$CD22="Renewable Diesel",'GHG Calcs'!$CD22="Biodiesel"),VLOOKUP('GHG Calcs'!$CG22,'Van C&amp;T EF'!$D$30:$Q$2315,8,0),IF(OR('GHG Calcs'!$CD22="Electric",'GHG Calcs'!$CD22="Hydrogen Fuel Cell",'GHG Calcs'!$CD22="Renewable Electricity"),VLOOKUP('GHG Calcs'!$CG22,'Van C&amp;T EF'!$D$30:$Q$2315,10,0),VLOOKUP('GHG Calcs'!$CG22,'Van C&amp;T EF'!$D$30:$Q$2315,9,0)))/$ET22,"")</f>
        <v/>
      </c>
      <c r="DS22" s="1419" t="str">
        <f ca="1">IFERROR(IF(OR('GHG Calcs'!$CD22="Diesel",'GHG Calcs'!$CD22="Renewable Diesel",'GHG Calcs'!$CD22="Biodiesel"),VLOOKUP('GHG Calcs'!$CG22,'Van C&amp;T EF'!$D$30:$Q$2315,11,0),IF(OR('GHG Calcs'!$CD22="Electric",'GHG Calcs'!$CD22="Hydrogen Fuel Cell",'GHG Calcs'!$CD22="Renewable Electricity"),VLOOKUP('GHG Calcs'!$CG22,'Van C&amp;T EF'!$D$30:$Q$2315,13,0),VLOOKUP('GHG Calcs'!$CG22,'Van C&amp;T EF'!$D$30:$Q$2315,12,0)))/$ET22,"")</f>
        <v/>
      </c>
      <c r="DT22" s="306" t="str">
        <f ca="1">IFERROR(IF(OR('GHG Calcs'!$CD22="Diesel",'GHG Calcs'!$CD22="Biodiesel",'GHG Calcs'!$CD22="Renewable Diesel"),VLOOKUP('GHG Calcs'!$CG22,'Van C&amp;T EF'!$D$30:$Q$2315,14,0),0)/$ET22,"")</f>
        <v/>
      </c>
      <c r="DU22" s="1419" t="str">
        <f ca="1">IFERROR(IF(OR('GHG Calcs'!$CD22="Diesel",'GHG Calcs'!$CD22="Renewable Diesel",'GHG Calcs'!$CD22="Biodiesel"),VLOOKUP('GHG Calcs'!$CG22,'Shuttle C&amp;T EF'!$D$30:$Q$2315,2,0),VLOOKUP('GHG Calcs'!$CG22,'Shuttle C&amp;T EF'!$D$30:$Q$2315,3,0))/$EU22,"")</f>
        <v/>
      </c>
      <c r="DV22" s="1419" t="str">
        <f ca="1">IFERROR(IF(OR('GHG Calcs'!$CD22="Diesel",'GHG Calcs'!$CD22="Renewable Diesel",'GHG Calcs'!$CD22="Biodiesel"),VLOOKUP('GHG Calcs'!$CG22,'Shuttle C&amp;T EF'!$D$30:$Q$2315,4,0),VLOOKUP('GHG Calcs'!$CG22,'Shuttle C&amp;T EF'!$D$30:$Q$2315,5,0))/$EU22,"")</f>
        <v/>
      </c>
      <c r="DW22" s="1419" t="str">
        <f ca="1">IFERROR(IF(OR('GHG Calcs'!$CD22="Diesel",'GHG Calcs'!$CD22="Renewable Diesel",'GHG Calcs'!$CD22="Biodiesel"),VLOOKUP('GHG Calcs'!$CG22,'Shuttle C&amp;T EF'!$D$30:$Q$2315,6,0),VLOOKUP('GHG Calcs'!$CG22,'Shuttle C&amp;T EF'!$D$30:$Q$2315,7,0))/$EU22,"")</f>
        <v/>
      </c>
      <c r="DX22" s="1419" t="str">
        <f ca="1">IFERROR(IF(OR('GHG Calcs'!$CD22="Diesel",'GHG Calcs'!$CD22="Renewable Diesel",'GHG Calcs'!$CD22="Biodiesel"),VLOOKUP('GHG Calcs'!$CG22,'Shuttle C&amp;T EF'!$D$30:$Q$2315,8,0),IF(OR('GHG Calcs'!$CD22="Electric",'GHG Calcs'!$CD22="Hydrogen Fuel Cell",'GHG Calcs'!$CD22="Renewable Electricity"),VLOOKUP('GHG Calcs'!$CG22,'Shuttle C&amp;T EF'!$D$30:$Q$2315,10,0),VLOOKUP('GHG Calcs'!$CG22,'Shuttle C&amp;T EF'!$D$30:$Q$2315,9,0)))/$EU22,"")</f>
        <v/>
      </c>
      <c r="DY22" s="1419" t="str">
        <f ca="1">IFERROR(IF(OR('GHG Calcs'!$CD22="Diesel",'GHG Calcs'!$CD22="Renewable Diesel",'GHG Calcs'!$CD22="Biodiesel"),VLOOKUP('GHG Calcs'!$CG22,'Shuttle C&amp;T EF'!$D$30:$Q$2315,11,0),IF(OR('GHG Calcs'!$CD22="Electric",'GHG Calcs'!$CD22="Hydrogen Fuel Cell",'GHG Calcs'!$CD22="Renewable Electricity"),VLOOKUP('GHG Calcs'!$CG22,'Shuttle C&amp;T EF'!$D$30:$Q$2315,13,0),VLOOKUP('GHG Calcs'!$CG22,'Shuttle C&amp;T EF'!$D$30:$Q$2315,12,0)))/$EU22,"")</f>
        <v/>
      </c>
      <c r="DZ22" s="1419" t="str">
        <f ca="1">IFERROR(IF(OR('GHG Calcs'!$CD22="Diesel",'GHG Calcs'!$CD22="Biodiesel",'GHG Calcs'!$CD22="Renewable Diesel"),VLOOKUP('GHG Calcs'!$CG22,'Shuttle C&amp;T EF'!$D$30:$Q$2315,14,0),0)/$EU22,"")</f>
        <v/>
      </c>
      <c r="EA22" s="306" t="str">
        <f ca="1">IFERROR((VLOOKUP('GHG Calcs'!$CG22,'Over-Road Coach C&amp;T EF'!$D$29:$N$2314,2,0)+VLOOKUP('GHG Calcs'!$CG22,'Over-Road Coach C&amp;T EF'!$D$29:$N$2314,3,0))/$EV22,"")</f>
        <v/>
      </c>
      <c r="EB22" s="306" t="str">
        <f ca="1">IFERROR((VLOOKUP('GHG Calcs'!$CG22,'Over-Road Coach C&amp;T EF'!$D$29:$N$2314,4,0)+VLOOKUP('GHG Calcs'!$CG22,'Over-Road Coach C&amp;T EF'!$D$29:$N$2314,5,0))/$EV22,"")</f>
        <v/>
      </c>
      <c r="EC22" s="306" t="str">
        <f ca="1">IFERROR((VLOOKUP('GHG Calcs'!$CG22,'Over-Road Coach C&amp;T EF'!$D$29:$N$2314,6,0)+VLOOKUP('GHG Calcs'!$CG22,'Over-Road Coach C&amp;T EF'!$D$29:$N$2314,7,0))/$EV22,"")</f>
        <v/>
      </c>
      <c r="ED22" s="306" t="str">
        <f ca="1">IFERROR(VLOOKUP('GHG Calcs'!$CG22,'Over-Road Coach C&amp;T EF'!$D$29:$N$2314,8,0)/$EV22,"")</f>
        <v/>
      </c>
      <c r="EE22" s="306" t="str">
        <f ca="1">IFERROR(VLOOKUP('GHG Calcs'!$CG22,'Over-Road Coach C&amp;T EF'!$D$29:$N$2314,9,0)/$EV22,"")</f>
        <v/>
      </c>
      <c r="EF22" s="306" t="str">
        <f ca="1">IFERROR((VLOOKUP('GHG Calcs'!$CG22,'Over-Road Coach C&amp;T EF'!$D$29:$N$2314,10,0)+VLOOKUP('GHG Calcs'!$CG22,'Over-Road Coach C&amp;T EF'!$D$29:$N$2314,11,0))/$EV22,"")</f>
        <v/>
      </c>
      <c r="EG22" s="306" t="str">
        <f ca="1">IFERROR(VLOOKUP(DG22,'Co-Benefit Calcs'!$E$76:$I$83,2,0)/'Rail C&amp;T EF'!$K$14,"")</f>
        <v/>
      </c>
      <c r="EH22" s="306" t="str">
        <f ca="1">IFERROR(VLOOKUP(DG22,'Co-Benefit Calcs'!$E$76:$I$83,3,0)/'Rail C&amp;T EF'!$K$14,"")</f>
        <v/>
      </c>
      <c r="EI22" s="306" t="str">
        <f ca="1">IFERROR(VLOOKUP(DG22,'Co-Benefit Calcs'!$E$76:$I$83,4,0)/'Rail C&amp;T EF'!$K$14,"")</f>
        <v/>
      </c>
      <c r="EJ22" s="306" t="str">
        <f ca="1">IFERROR(IF('GHG Calcs'!$CD22="Gasoline",0,VLOOKUP(DG22,'Co-Benefit Calcs'!$E$76:$I$83,5,0))/'Rail C&amp;T EF'!$K$14,"")</f>
        <v/>
      </c>
      <c r="EK22" s="306" t="str">
        <f ca="1">IFERROR(VLOOKUP('GHG Calcs'!CF22,'Rail C&amp;T EF'!$A$43:$Y$133,IF(DH22&gt;750,23, IF(DH22&gt;=600,20, IF(DH22&gt;=300,17, IF(DH22&gt;=175,14, IF(DH22&gt;=100,11, IF(DH22&gt;=75,8, IF(DH22&gt;=50,5, 2))))))),0) * IF($DH22&gt;=750,'Rail C&amp;T EF'!$K$18,'Rail C&amp;T EF'!$K$19) * IF(OR('GHG Calcs'!CD22="Diesel", 'GHG Calcs'!CD22="Renewable Diesel", 'GHG Calcs'!CD22="Biodiesel"),'Rail C&amp;T EF'!$B$141,'Rail C&amp;T EF'!$B$142),"")</f>
        <v/>
      </c>
      <c r="EL22" s="306" t="str">
        <f ca="1">IFERROR(VLOOKUP('GHG Calcs'!$CF22,'Rail C&amp;T EF'!$A$43:$Y$133,IF(DH22&gt;750,24, IF(DH22&gt;=600,21, IF(DH22&gt;=300,18, IF(DH22&gt;=175,15, IF(DH22&gt;=100,12, IF(DH22&gt;=75,9, IF(DH22&gt;=50,6, 3))))))),0) * IF($DH22&gt;=750,'Rail C&amp;T EF'!$K$18,'Rail C&amp;T EF'!$K$19),"")</f>
        <v/>
      </c>
      <c r="EM22" s="306" t="str">
        <f ca="1">IFERROR(VLOOKUP('GHG Calcs'!$CF22,'Rail C&amp;T EF'!$A$43:$Y$133,IF(DH22&gt;750,25, IF(DH22&gt;=600,22, IF(DH22&gt;=300,19, IF(DH22&gt;=175,16, IF(DH22&gt;=100,13, IF(DH22&gt;=75,10, IF(DH22&gt;=50,7, 4))))))),0) * IF($DH22&gt;=750,'Rail C&amp;T EF'!$K$18,'Rail C&amp;T EF'!$K$19)*'Rail C&amp;T EF'!$B$146,"")</f>
        <v/>
      </c>
      <c r="EN22" s="306" t="str">
        <f ca="1">IFERROR(IF('GHG Calcs'!CD22="Gasoline",0,VLOOKUP('GHG Calcs'!$CF22,'Rail C&amp;T EF'!$A$43:$Y$133,IF(DH22&gt;750,25, IF(DH22&gt;=600,22, IF(DH22&gt;=300,19, IF(DH22&gt;=175,16, IF(DH22&gt;=100,13, IF(DH22&gt;=75,10, IF(DH22&gt;=50,7, 4))))))),0) * IF($DH22&gt;=750,'Rail C&amp;T EF'!$K$18,'Rail C&amp;T EF'!$K$19)),"")</f>
        <v/>
      </c>
      <c r="EO22" s="306" t="str">
        <f ca="1">IFERROR(VLOOKUP('GHG Calcs'!$CF22,'Ferry C&amp;T EF'!$A$106:$AK$196,IF(DH22&gt;=3301,35, IF(DH22&gt;=1901,31, IF(DH22&gt;=751,27, IF(DH22&gt;=501,23, IF(DH22&gt;=251,19, IF(DH22&gt;=176,15, IF(DH22&gt;=121,11, IF(DH22&gt;=51,7, 3)))))))),0),"")</f>
        <v/>
      </c>
      <c r="EP22" s="306" t="str">
        <f ca="1">IFERROR(VLOOKUP('GHG Calcs'!$CF22,'Ferry C&amp;T EF'!$A$106:$AK$196,IF(DH22&gt;=3301,34, IF(DH22&gt;=1901,30, IF(DH22&gt;=751,26, IF(DH22&gt;=501,22, IF(DH22&gt;=251,18, IF(DH22&gt;=176,14, IF(DH22&gt;=121,10, IF(DH22&gt;=51,6, 2)))))))),0),"")</f>
        <v/>
      </c>
      <c r="EQ22" s="306" t="str">
        <f ca="1">IFERROR(VLOOKUP('GHG Calcs'!$CF22,'Ferry C&amp;T EF'!$A$106:$AK$196,IF(DH22&gt;=3301,37, IF(DH22&gt;=1901,33, IF(DH22&gt;=751,29, IF(DH22&gt;=501,25, IF(DH22&gt;=251,21, IF(DH22&gt;=176,17, IF(DH22&gt;=121,13, IF(DH22&gt;=51,9, 5)))))))),0),"")</f>
        <v/>
      </c>
      <c r="ER22" s="306" t="str">
        <f ca="1">IFERROR(IF('GHG Calcs'!$CD22="Gasoline",0,VLOOKUP('GHG Calcs'!$CF22,'Ferry C&amp;T EF'!$A$106:$AK$196,IF(DH22&gt;=3301,36, IF(DH22&gt;=1901,32, IF(DH22&gt;=751,28, IF(DH22&gt;=501,24, IF(DH22&gt;=251,20, IF(DH22&gt;=176,16, IF(DH22&gt;=121,12, IF(DH22&gt;=51,8, 4)))))))),0)),"")</f>
        <v/>
      </c>
      <c r="ES22" s="1419" t="str">
        <f ca="1">IFERROR(IF('GHG Calcs'!$CD22="Gasoline",VLOOKUP('GHG Calcs'!$CG22,'Fuel Consumption'!$A$31:$L$2316,3,0),IF(OR('GHG Calcs'!$CD22="CNG",'GHG Calcs'!$CD22="LNG",'GHG Calcs'!$CD22="Renewable Natural Gas"),VLOOKUP('GHG Calcs'!$CG22,'Fuel Consumption'!$A$31:$L$2316,4,0)*VLOOKUP('GHG Calcs'!$CD22,'GHG EF'!$B$10:$H$19,4,0),VLOOKUP('GHG Calcs'!$CG22,'Fuel Consumption'!$A$31:$L$2316,2,0)*VLOOKUP('GHG Calcs'!$AD22,'GHG EF'!$B$10:$H$19,4,0))),"")</f>
        <v/>
      </c>
      <c r="ET22" s="1419" t="str">
        <f ca="1">IFERROR(IF(OR('GHG Calcs'!$CD22="Diesel",'GHG Calcs'!$CD22="Renewable Diesel",'GHG Calcs'!$CD22="Biodiesel"),VLOOKUP('GHG Calcs'!$CG22,'Fuel Consumption'!$A$31:$L$2316,6,0)*VLOOKUP('GHG Calcs'!$CD22,'GHG EF'!$B$10:$H$19,4,0),VLOOKUP('GHG Calcs'!$CG22,'Fuel Consumption'!$A$31:$L$2316,7,0)*VLOOKUP('GHG Calcs'!$CD22,'GHG EF'!$B$10:$H$19,5,0)),"")</f>
        <v/>
      </c>
      <c r="EU22" s="1419" t="str">
        <f ca="1">IFERROR(IF(OR('GHG Calcs'!$CD22="Diesel",'GHG Calcs'!$CD22="Renewable Diesel",'GHG Calcs'!$CD22="Biodiesel"),VLOOKUP('GHG Calcs'!$CG22,'Fuel Consumption'!$A$31:$L$2316,9,0)*VLOOKUP('GHG Calcs'!$CD22,'GHG EF'!$B$10:$H$19,4,0),VLOOKUP('GHG Calcs'!$CG22,'Fuel Consumption'!$A$31:$L$2316,10,0)*VLOOKUP('GHG Calcs'!$CD22,'GHG EF'!$B$10:$H$19,5,0)),"")</f>
        <v/>
      </c>
      <c r="EV22" s="1419" t="str">
        <f ca="1">IFERROR(VLOOKUP('GHG Calcs'!$CG22,'Fuel Consumption'!$A$31:$L$2316,12,0)*VLOOKUP('GHG Calcs'!$CD22,'GHG EF'!$B$10:$H$19,4,0),"")</f>
        <v/>
      </c>
      <c r="EW22" s="1373" t="str">
        <f ca="1">IFERROR(IF(OR('GHG Calcs'!CD22=Defaults!$I$4, 'GHG Calcs'!CD22=Defaults!$I$6, 'GHG Calcs'!CD22=Defaults!$I$8),'GHG Calcs'!CE22,IF('GHG Calcs'!CD22=Defaults!$I$3, 'GHG Calcs'!CE22*'GHG EF'!$C$11/'GHG EF'!$C$12,""))*('GHG Calcs'!I22-'GHG Calcs'!H22),"")</f>
        <v/>
      </c>
      <c r="EX22" s="1373" t="str">
        <f ca="1">IFERROR(IF('GHG Calcs'!CD22=Defaults!$I$5,'GHG Calcs'!CE22,"")*('GHG Calcs'!I22-'GHG Calcs'!H22),"")</f>
        <v/>
      </c>
      <c r="EY22" s="1420" t="str">
        <f ca="1">IFERROR('GHG Calcs'!CE22*VLOOKUP('GHG Calcs'!CD22,'Fuel &amp; Travel Costs'!$B$10:$C$19,2,0)*('GHG Calcs'!I22-'GHG Calcs'!H22),"")</f>
        <v/>
      </c>
      <c r="EZ22" s="1420" t="str">
        <f t="shared" ca="1" si="0"/>
        <v/>
      </c>
      <c r="FA22" s="306">
        <f ca="1">INDIRECT("'Quantifiable Component "&amp;$B22&amp;"'!"&amp;$D22&amp;ROW('Quantifiable Component 1'!$77:$77))</f>
        <v>0</v>
      </c>
      <c r="FB22" s="306">
        <f ca="1">INDIRECT("'Quantifiable Component "&amp;$B22&amp;"'!"&amp;$D22&amp;ROW('Quantifiable Component 1'!$78:$78))</f>
        <v>0</v>
      </c>
      <c r="FC22" s="306">
        <f ca="1">INDIRECT("'Quantifiable Component "&amp;$B22&amp;"'!"&amp;$D22&amp;ROW('Quantifiable Component 1'!$79:$79))</f>
        <v>0</v>
      </c>
      <c r="FD22" s="306">
        <f ca="1">INDIRECT("'Quantifiable Component "&amp;$B22&amp;"'!"&amp;$D22&amp;ROW('Quantifiable Component 1'!$80:$80))</f>
        <v>0</v>
      </c>
      <c r="FE22" s="306">
        <f ca="1">INDIRECT("'Quantifiable Component "&amp;$B22&amp;"'!"&amp;$D22&amp;ROW('Quantifiable Component 1'!$81:$81))</f>
        <v>0</v>
      </c>
    </row>
    <row r="23" spans="1:161" s="117" customFormat="1" x14ac:dyDescent="0.35">
      <c r="A23" s="1648"/>
      <c r="B23" s="1367">
        <v>4</v>
      </c>
      <c r="C23" s="1368">
        <v>3</v>
      </c>
      <c r="D23" s="1368" t="str">
        <f>'GHG Calcs'!D23</f>
        <v>K</v>
      </c>
      <c r="E23" s="1416">
        <f ca="1">'GHG Calcs'!U23</f>
        <v>0</v>
      </c>
      <c r="F23" s="1416">
        <f ca="1">'GHG Calcs'!W23</f>
        <v>0</v>
      </c>
      <c r="G23" s="1417" t="str">
        <f ca="1">IFERROR(VLOOKUP('GHG Calcs'!K23,'Auto C&amp;T EF'!$C$35:$K$2662,2,0)*E23,"")</f>
        <v/>
      </c>
      <c r="H23" s="1417" t="str">
        <f ca="1">IFERROR(VLOOKUP('GHG Calcs'!L23,'Auto C&amp;T EF'!$C$35:$K$2662,2,0)*F23,"")</f>
        <v/>
      </c>
      <c r="I23" s="1417" t="str">
        <f ca="1">IFERROR(VLOOKUP('GHG Calcs'!$K23,'Auto C&amp;T EF'!$C$35:$K$2662,3,0)*$E23,"")</f>
        <v/>
      </c>
      <c r="J23" s="1417" t="str">
        <f ca="1">IFERROR(VLOOKUP('GHG Calcs'!$L23,'Auto C&amp;T EF'!$C$35:$K$2662,3,0)*$F23,"")</f>
        <v/>
      </c>
      <c r="K23" s="1417" t="str">
        <f ca="1">IFERROR((VLOOKUP('GHG Calcs'!$K23,'Auto C&amp;T EF'!$C$35:$K$2662,5,0)+VLOOKUP('GHG Calcs'!$K23,'Auto C&amp;T EF'!$C$35:$K$2662,6,0)+VLOOKUP('GHG Calcs'!$K23,'Auto C&amp;T EF'!$C$35:$K$2662,7,0))*$E23,"")</f>
        <v/>
      </c>
      <c r="L23" s="1417" t="str">
        <f ca="1">IFERROR((VLOOKUP('GHG Calcs'!$L23,'Auto C&amp;T EF'!$C$35:$K$2662,5,0)+VLOOKUP('GHG Calcs'!$L23,'Auto C&amp;T EF'!$C$35:$K$2662,6,0)+VLOOKUP('GHG Calcs'!$L23,'Auto C&amp;T EF'!$C$35:$K$2662,7,0))*$F23,"")</f>
        <v/>
      </c>
      <c r="M23" s="1417" t="str">
        <f ca="1">IFERROR(VLOOKUP('GHG Calcs'!$K23,'Auto C&amp;T EF'!$C$35:$K$2662,8,0)*$E23,"")</f>
        <v/>
      </c>
      <c r="N23" s="1417" t="str">
        <f ca="1">IFERROR(VLOOKUP('GHG Calcs'!$L23,'Auto C&amp;T EF'!$C$35:$K$2662,8,0)*$F23,"")</f>
        <v/>
      </c>
      <c r="O23" s="1418">
        <f ca="1">IFERROR(AVERAGE(G23:H23)*('GHG Calcs'!I23-'GHG Calcs'!H23),0)</f>
        <v>0</v>
      </c>
      <c r="P23" s="1418">
        <f ca="1">IFERROR(AVERAGE(I23:J23)*('GHG Calcs'!I23-'GHG Calcs'!H23),0)</f>
        <v>0</v>
      </c>
      <c r="Q23" s="1418">
        <f ca="1">IFERROR(AVERAGE(K23:L23)*('GHG Calcs'!I23-'GHG Calcs'!H23),0)</f>
        <v>0</v>
      </c>
      <c r="R23" s="1418">
        <f ca="1">IFERROR(AVERAGE(M23:N23)*('GHG Calcs'!I23-'GHG Calcs'!H23),0)</f>
        <v>0</v>
      </c>
      <c r="S23" s="1418">
        <f ca="1">IFERROR(AVERAGE(E23*VLOOKUP('GHG Calcs'!K23,'Auto C&amp;T EF'!$C$35:$L$2662,10,0),F23*VLOOKUP('GHG Calcs'!L23,'Auto C&amp;T EF'!$C$35:$L$2662,10,0))*('GHG Calcs'!I23-'GHG Calcs'!H23),0)</f>
        <v>0</v>
      </c>
      <c r="T23" s="1379">
        <f ca="1">INDIRECT("'Quantifiable Component "&amp;$B23&amp;"'!"&amp;$D23&amp;ROW('Quantifiable Component 1'!$47:$47))</f>
        <v>0</v>
      </c>
      <c r="U23" s="1379">
        <f ca="1">INDIRECT("'Quantifiable Component "&amp;$B23&amp;"'!"&amp;$D23&amp;ROW('Quantifiable Component 1'!$48:$48))</f>
        <v>0</v>
      </c>
      <c r="V23" s="306" t="str">
        <f ca="1">IFERROR(IF('GHG Calcs'!$AD23="Gasoline",VLOOKUP('GHG Calcs'!$AH23,'Bus C&amp;T EF'!$D$30:$V$2315,3,0),IF(OR('GHG Calcs'!$AD23="CNG",'GHG Calcs'!$AD23="LNG",'GHG Calcs'!$AD23="Renewable Natural Gas"),VLOOKUP('GHG Calcs'!$AH23,'Bus C&amp;T EF'!$D$30:$V$2315,4,0),VLOOKUP('GHG Calcs'!$AH23,'Bus C&amp;T EF'!$D$30:$V$2315,2,0)))/IF('GHG Calcs'!AE23&gt;0,$BF23,1),"")</f>
        <v/>
      </c>
      <c r="W23" s="306" t="str">
        <f ca="1">IFERROR(IF('GHG Calcs'!$AD23="Gasoline",VLOOKUP('GHG Calcs'!$AH23,'Bus C&amp;T EF'!$D$30:$V$2315,6,0),IF(OR('GHG Calcs'!$AD23="CNG",'GHG Calcs'!$AD23="LNG",'GHG Calcs'!$AD23="Renewable Natural Gas"),VLOOKUP('GHG Calcs'!$AH23,'Bus C&amp;T EF'!$D$30:$V$2315,7,0),VLOOKUP('GHG Calcs'!$AH23,'Bus C&amp;T EF'!$D$30:$V$2315,5,0)))/IF('GHG Calcs'!AE23&gt;0,$BF23,1),"")</f>
        <v/>
      </c>
      <c r="X23" s="1419" t="str">
        <f ca="1">IFERROR(IF('GHG Calcs'!$AD23="Gasoline",VLOOKUP('GHG Calcs'!$AH23,'Bus C&amp;T EF'!$D$30:$V$2315,9,0),IF(OR('GHG Calcs'!$AD23="CNG",'GHG Calcs'!$AD23="LNG",'GHG Calcs'!$AD23="Renewable Natural Gas"),VLOOKUP('GHG Calcs'!$AH23,'Bus C&amp;T EF'!$D$30:$V$2315,10,0),VLOOKUP('GHG Calcs'!$AH23,'Bus C&amp;T EF'!$D$30:$V$2315,8,0)))/IF('GHG Calcs'!AE23&gt;0,$BF23,1),"")</f>
        <v/>
      </c>
      <c r="Y23" s="1419" t="str">
        <f ca="1">IFERROR(IF('GHG Calcs'!$AD23="Gasoline",VLOOKUP('GHG Calcs'!$AH23,'Bus C&amp;T EF'!$D$30:$V$2315,12,0),IF(OR('GHG Calcs'!$AD23="CNG",'GHG Calcs'!$AD23="LNG",'GHG Calcs'!$AD23="Renewable Natural Gas"),VLOOKUP('GHG Calcs'!$AH23,'Bus C&amp;T EF'!$D$30:$V$2315,13,0),IF(OR('GHG Calcs'!$AD23="Electric",'GHG Calcs'!$AD23="Hydrogen Fuel Cell",'GHG Calcs'!$AD23="Renewable Electricity"),VLOOKUP('GHG Calcs'!$AH23,'Bus C&amp;T EF'!$D$30:$V$2315,14,0),VLOOKUP('GHG Calcs'!$AH23,'Bus C&amp;T EF'!$D$30:$V$2315,11,0))))/IF('GHG Calcs'!AE23&gt;0,$BF23,1),"")</f>
        <v/>
      </c>
      <c r="Z23" s="1419" t="str">
        <f ca="1">IFERROR(IF('GHG Calcs'!$AD23="Gasoline",VLOOKUP('GHG Calcs'!$AH23,'Bus C&amp;T EF'!$D$30:$V$2315,16,0),IF(OR('GHG Calcs'!$AD23="CNG",'GHG Calcs'!$AD23="LNG",'GHG Calcs'!$AD23="Renewable Natural Gas"),VLOOKUP('GHG Calcs'!$AH23,'Bus C&amp;T EF'!$D$30:$V$2315,17,0),IF(OR('GHG Calcs'!$AD23="Electric",'GHG Calcs'!$AD23="Hydrogen Fuel Cell",'GHG Calcs'!$AD23="Renewable Electricity"),VLOOKUP('GHG Calcs'!$AH23,'Bus C&amp;T EF'!$D$30:$V$2315,18,0),VLOOKUP('GHG Calcs'!$AH23,'Bus C&amp;T EF'!$D$30:$V$2315,15,0))))/IF('GHG Calcs'!AE23&gt;0,$BF23,1),"")</f>
        <v/>
      </c>
      <c r="AA23" s="306" t="str">
        <f ca="1">IFERROR(IF('GHG Calcs'!$AD23="Gasoline",0,VLOOKUP('GHG Calcs'!$AH23,'Bus C&amp;T EF'!$D$30:$V$2315,19,0))/IF('GHG Calcs'!AE23&gt;0,$BF23,1),"")</f>
        <v/>
      </c>
      <c r="AB23" s="1419" t="str">
        <f ca="1">IFERROR(IF(OR('GHG Calcs'!$AD23="Diesel",'GHG Calcs'!$AD23="Renewable Diesel",'GHG Calcs'!$AD23="Biodiesel"),VLOOKUP('GHG Calcs'!$AH23,'Van C&amp;T EF'!$D$30:$Q$2315,2,0),VLOOKUP('GHG Calcs'!$AH23,'Van C&amp;T EF'!$D$30:$Q$2315,3,0))/IF('GHG Calcs'!AE23&gt;0,$BG23,1),"")</f>
        <v/>
      </c>
      <c r="AC23" s="1419" t="str">
        <f ca="1">IFERROR(IF(OR('GHG Calcs'!$AD23="Diesel",'GHG Calcs'!$AD23="Renewable Diesel",'GHG Calcs'!$AD23="Biodiesel"),VLOOKUP('GHG Calcs'!$AH23,'Van C&amp;T EF'!$D$30:$Q$2315,4,0),VLOOKUP('GHG Calcs'!$AH23,'Van C&amp;T EF'!$D$30:$Q$2315,5,0))/IF('GHG Calcs'!AE23&gt;0,$BG23,1),"")</f>
        <v/>
      </c>
      <c r="AD23" s="1419" t="str">
        <f ca="1">IFERROR(IF(OR('GHG Calcs'!$AD23="Diesel",'GHG Calcs'!$AD23="Renewable Diesel",'GHG Calcs'!$AD23="Biodiesel"),VLOOKUP('GHG Calcs'!$AH23,'Van C&amp;T EF'!$D$30:$Q$2315,6,0),VLOOKUP('GHG Calcs'!$AH23,'Van C&amp;T EF'!$D$30:$Q$2315,7,0))/IF('GHG Calcs'!AE23&gt;0,$BG23,1),"")</f>
        <v/>
      </c>
      <c r="AE23" s="1419" t="str">
        <f ca="1">IFERROR(IF(OR('GHG Calcs'!$AD23="Diesel",'GHG Calcs'!$AD23="Renewable Diesel",'GHG Calcs'!$AD23="Biodiesel"),VLOOKUP('GHG Calcs'!$AH23,'Van C&amp;T EF'!$D$30:$Q$2315,8,0),IF(OR('GHG Calcs'!$AD23="Electric",'GHG Calcs'!$AD23="Hydrogen Fuel Cell",'GHG Calcs'!$AD23="Renewable Electricity"),VLOOKUP('GHG Calcs'!$AH23,'Van C&amp;T EF'!$D$30:$Q$2315,10,0),VLOOKUP('GHG Calcs'!$AH23,'Van C&amp;T EF'!$D$30:$Q$2315,9,0)))/IF('GHG Calcs'!AE23&gt;0,$BG23,1),"")</f>
        <v/>
      </c>
      <c r="AF23" s="1419" t="str">
        <f ca="1">IFERROR(IF(OR('GHG Calcs'!$AD23="Diesel",'GHG Calcs'!$AD23="Renewable Diesel",'GHG Calcs'!$AD23="Biodiesel"),VLOOKUP('GHG Calcs'!$AH23,'Van C&amp;T EF'!$D$30:$Q$2315,11,0),IF(OR('GHG Calcs'!$AD23="Electric",'GHG Calcs'!$AD23="Hydrogen Fuel Cell",'GHG Calcs'!$AD23="Renewable Electricity"),VLOOKUP('GHG Calcs'!$AH23,'Van C&amp;T EF'!$D$30:$Q$2315,13,0),VLOOKUP('GHG Calcs'!$AH23,'Van C&amp;T EF'!$D$30:$Q$2315,12,0)))/IF('GHG Calcs'!AE23&gt;0,$BG23,1),"")</f>
        <v/>
      </c>
      <c r="AG23" s="306">
        <f ca="1">IFERROR(IF(OR('GHG Calcs'!$AD23="Diesel",'GHG Calcs'!$AD23="Biodiesel",'GHG Calcs'!$AD23="Renewable Diesel"),VLOOKUP('GHG Calcs'!$AH23,'Van C&amp;T EF'!$D$30:$Q$2315,14,0),0)/IF('GHG Calcs'!AE23&gt;0,$BG23,1),"")</f>
        <v>0</v>
      </c>
      <c r="AH23" s="1419" t="str">
        <f ca="1">IFERROR(IF(OR('GHG Calcs'!$AD23="Diesel",'GHG Calcs'!$AD23="Renewable Diesel",'GHG Calcs'!$AD23="Biodiesel"),VLOOKUP('GHG Calcs'!$AH23,'Shuttle C&amp;T EF'!$D$30:$Q$2315,2,0),VLOOKUP('GHG Calcs'!$AH23,'Shuttle C&amp;T EF'!$D$30:$Q$2315,3,0))/IF('GHG Calcs'!AE23&gt;0,$BH23,1),"")</f>
        <v/>
      </c>
      <c r="AI23" s="1419" t="str">
        <f ca="1">IFERROR(IF(OR('GHG Calcs'!$AD23="Diesel",'GHG Calcs'!$AD23="Renewable Diesel",'GHG Calcs'!$AD23="Biodiesel"),VLOOKUP('GHG Calcs'!$AH23,'Shuttle C&amp;T EF'!$D$30:$Q$2315,4,0),VLOOKUP('GHG Calcs'!$AH23,'Shuttle C&amp;T EF'!$D$30:$Q$2315,5,0))/IF('GHG Calcs'!AE23&gt;0,$BH23,1),"")</f>
        <v/>
      </c>
      <c r="AJ23" s="1419" t="str">
        <f ca="1">IFERROR(IF(OR('GHG Calcs'!$AD23="Diesel",'GHG Calcs'!$AD23="Renewable Diesel",'GHG Calcs'!$AD23="Biodiesel"),VLOOKUP('GHG Calcs'!$AH23,'Shuttle C&amp;T EF'!$D$30:$Q$2315,6,0),VLOOKUP('GHG Calcs'!$AH23,'Shuttle C&amp;T EF'!$D$30:$Q$2315,7,0))/IF('GHG Calcs'!AE23&gt;0,$BH23,1),"")</f>
        <v/>
      </c>
      <c r="AK23" s="1419" t="str">
        <f ca="1">IFERROR(IF(OR('GHG Calcs'!$AD23="Diesel",'GHG Calcs'!$AD23="Renewable Diesel",'GHG Calcs'!$AD23="Biodiesel"),VLOOKUP('GHG Calcs'!$AH23,'Shuttle C&amp;T EF'!$D$30:$Q$2315,8,0),IF(OR('GHG Calcs'!$AD23="Electric",'GHG Calcs'!$AD23="Hydrogen Fuel Cell",'GHG Calcs'!$AD23="Renewable Electricity"),VLOOKUP('GHG Calcs'!$AH23,'Shuttle C&amp;T EF'!$D$30:$Q$2315,10,0),VLOOKUP('GHG Calcs'!$AH23,'Shuttle C&amp;T EF'!$D$30:$Q$2315,9,0)))/IF('GHG Calcs'!AE23&gt;0,$BH23,1),"")</f>
        <v/>
      </c>
      <c r="AL23" s="1419" t="str">
        <f ca="1">IFERROR(IF(OR('GHG Calcs'!$AD23="Diesel",'GHG Calcs'!$AD23="Renewable Diesel",'GHG Calcs'!$AD23="Biodiesel"),VLOOKUP('GHG Calcs'!$AH23,'Shuttle C&amp;T EF'!$D$30:$Q$2315,11,0),IF(OR('GHG Calcs'!$AD23="Electric",'GHG Calcs'!$AD23="Hydrogen Fuel Cell",'GHG Calcs'!$AD23="Renewable Electricity"),VLOOKUP('GHG Calcs'!$AH23,'Shuttle C&amp;T EF'!$D$30:$Q$2315,13,0),VLOOKUP('GHG Calcs'!$AH23,'Shuttle C&amp;T EF'!$D$30:$Q$2315,12,0)))/IF('GHG Calcs'!AE23&gt;0,$BH23,1),"")</f>
        <v/>
      </c>
      <c r="AM23" s="1419">
        <f ca="1">IFERROR(IF(OR('GHG Calcs'!$AD23="Diesel",'GHG Calcs'!$AD23="Biodiesel",'GHG Calcs'!$AD23="Renewable Diesel"),VLOOKUP('GHG Calcs'!$AH23,'Shuttle C&amp;T EF'!$D$30:$Q$2315,14,0),0)/IF('GHG Calcs'!AE23&gt;0,$BH23,1),"")</f>
        <v>0</v>
      </c>
      <c r="AN23" s="306" t="str">
        <f ca="1">IFERROR((VLOOKUP('GHG Calcs'!$AH23,'Over-Road Coach C&amp;T EF'!$D$29:$N$2314,2,0)+VLOOKUP('GHG Calcs'!$AH23,'Over-Road Coach C&amp;T EF'!$D$29:$N$2314,3,0))/IF('GHG Calcs'!AE23&gt;0,$BI23,1),"")</f>
        <v/>
      </c>
      <c r="AO23" s="306" t="str">
        <f ca="1">IFERROR((VLOOKUP('GHG Calcs'!$AH23,'Over-Road Coach C&amp;T EF'!$D$29:$N$2314,4,0)+VLOOKUP('GHG Calcs'!$AH23,'Over-Road Coach C&amp;T EF'!$D$29:$N$2314,5,0))/IF('GHG Calcs'!AE23&gt;0,$BI23,1),"")</f>
        <v/>
      </c>
      <c r="AP23" s="306" t="str">
        <f ca="1">IFERROR((VLOOKUP('GHG Calcs'!$AH23,'Over-Road Coach C&amp;T EF'!$D$29:$N$2314,6,0)+VLOOKUP('GHG Calcs'!$AH23,'Over-Road Coach C&amp;T EF'!$D$29:$N$2314,7,0))/IF('GHG Calcs'!AE23&gt;0,$BI23,1),"")</f>
        <v/>
      </c>
      <c r="AQ23" s="306" t="str">
        <f ca="1">IFERROR(VLOOKUP('GHG Calcs'!$AH23,'Over-Road Coach C&amp;T EF'!$D$29:$N$2314,8,0)/IF('GHG Calcs'!AE23&gt;0,$BI23,1),"")</f>
        <v/>
      </c>
      <c r="AR23" s="306" t="str">
        <f ca="1">IFERROR(VLOOKUP('GHG Calcs'!$AH23,'Over-Road Coach C&amp;T EF'!$D$29:$N$2314,9,0)/IF('GHG Calcs'!AE23&gt;0,$BI23,1),"")</f>
        <v/>
      </c>
      <c r="AS23" s="306" t="str">
        <f ca="1">IFERROR((VLOOKUP('GHG Calcs'!$AH23,'Over-Road Coach C&amp;T EF'!$D$29:$N$2314,10,0)+VLOOKUP('GHG Calcs'!$AH23,'Over-Road Coach C&amp;T EF'!$D$29:$N$2314,11,0))/IF('GHG Calcs'!AE23&gt;0,$BI23,1),"")</f>
        <v/>
      </c>
      <c r="AT23" s="306" t="str">
        <f ca="1">IFERROR(VLOOKUP(T23,'Co-Benefit Calcs'!$E$76:$I$83,2,0)/IF('GHG Calcs'!$AE23&gt;0,'Rail C&amp;T EF'!$K$14,1),"")</f>
        <v/>
      </c>
      <c r="AU23" s="306" t="str">
        <f ca="1">IFERROR(VLOOKUP(T23,'Co-Benefit Calcs'!$E$76:$I$83,3,0)/IF('GHG Calcs'!$AE23&gt;0,'Rail C&amp;T EF'!$K$14,1),"")</f>
        <v/>
      </c>
      <c r="AV23" s="306" t="str">
        <f ca="1">IFERROR(VLOOKUP(T23,'Co-Benefit Calcs'!$E$76:$I$83,4,0)/IF('GHG Calcs'!$AE23&gt;0,'Rail C&amp;T EF'!$K$14,1),"")</f>
        <v/>
      </c>
      <c r="AW23" s="306" t="str">
        <f ca="1">IFERROR(IF('GHG Calcs'!$AD23="Gasoline",0,VLOOKUP(T23,'Co-Benefit Calcs'!$E$76:$I$83,5,0))/IF('GHG Calcs'!$AE23&gt;0,'Rail C&amp;T EF'!$K$14,1),"")</f>
        <v/>
      </c>
      <c r="AX23" s="306" t="str">
        <f ca="1">IFERROR(VLOOKUP('GHG Calcs'!$AG23,'Rail C&amp;T EF'!$A$43:$Y$133,IF(U23&gt;750,23, IF(U23&gt;=600,20, IF(U23&gt;=300,17, IF(U23&gt;=175,14, IF(U23&gt;=100,11, IF(U23&gt;=75,8, IF(U23&gt;=50,5, 2))))))),0) * IF($U23&gt;=750,'Rail C&amp;T EF'!$K$18,'Rail C&amp;T EF'!$K$19) * IF('GHG Calcs'!$AE23&gt;0,1,'Rail C&amp;T EF'!$B$149) * IF(OR('GHG Calcs'!AD23="Diesel", 'GHG Calcs'!AD23="Renewable Diesel", 'GHG Calcs'!AD23="Biodiesel"),'Rail C&amp;T EF'!$B$141,'Rail C&amp;T EF'!$B$142),"")</f>
        <v/>
      </c>
      <c r="AY23" s="306" t="str">
        <f ca="1">IFERROR(VLOOKUP('GHG Calcs'!$AG23,'Rail C&amp;T EF'!$A$43:$Y$133,IF(U23&gt;750,24, IF(U23&gt;=600,21, IF(U23&gt;=300,18, IF(U23&gt;=175,15, IF(U23&gt;=100,12, IF(U23&gt;=75,9, IF(U23&gt;=50,6, 3))))))),0) * IF($U23&gt;=750,'Rail C&amp;T EF'!$K$18,'Rail C&amp;T EF'!$K$19) * IF('GHG Calcs'!$AE23&gt;0,1,'Rail C&amp;T EF'!$B$149),"")</f>
        <v/>
      </c>
      <c r="AZ23" s="306" t="str">
        <f ca="1">IFERROR(VLOOKUP('GHG Calcs'!$AG23,'Rail C&amp;T EF'!$A$43:$Y$133,IF(U23&gt;750,25, IF(U23&gt;=600,22, IF(U23&gt;=300,19, IF(U23&gt;=175,16, IF(U23&gt;=100,13, IF(U23&gt;=75,10, IF(U23&gt;=50,7, 4))))))),0) * IF($U23&gt;=750,'Rail C&amp;T EF'!$K$18,'Rail C&amp;T EF'!$K$19) * IF('GHG Calcs'!$AE23&gt;0,1,'Rail C&amp;T EF'!$B$149)*'Rail C&amp;T EF'!$B$146,"")</f>
        <v/>
      </c>
      <c r="BA23" s="306" t="str">
        <f ca="1">IFERROR(IF('GHG Calcs'!$AD23="Gasoline",0,VLOOKUP('GHG Calcs'!$AG23,'Rail C&amp;T EF'!$A$43:$Y$133,IF(U23&gt;750,25, IF(U23&gt;=600,22, IF(U23&gt;=300,19, IF(U23&gt;=175,16, IF(U23&gt;=100,13, IF(U23&gt;=75,10, IF(U23&gt;=50,7, 4))))))),0) * IF($U23&gt;=750,'Rail C&amp;T EF'!$K$18,'Rail C&amp;T EF'!$K$19) * IF('GHG Calcs'!$AE23&gt;0,1,'Rail C&amp;T EF'!$B$149)),"")</f>
        <v/>
      </c>
      <c r="BB23" s="306" t="str">
        <f ca="1">IFERROR(VLOOKUP('GHG Calcs'!$AG23,'Ferry C&amp;T EF'!$A$106:$AK$196,IF(U23&gt;=3301,35, IF(U23&gt;=1901,31, IF(U23&gt;=751,27, IF(U23&gt;=501,23, IF(U23&gt;=251,19, IF(U23&gt;=176,15, IF(U23&gt;=121,11, IF(U23&gt;=51,7, 3)))))))),0),"")</f>
        <v/>
      </c>
      <c r="BC23" s="306" t="str">
        <f ca="1">IFERROR(VLOOKUP('GHG Calcs'!$AG23,'Ferry C&amp;T EF'!$A$106:$AK$196,IF(U23&gt;=3301,34, IF(U23&gt;=1901,30, IF(U23&gt;=751,26, IF(U23&gt;=501,22, IF(U23&gt;=251,18, IF(U23&gt;=176,14, IF(U23&gt;=121,10, IF(U23&gt;=51,6, 2)))))))),0),"")</f>
        <v/>
      </c>
      <c r="BD23" s="306" t="str">
        <f ca="1">IFERROR(VLOOKUP('GHG Calcs'!$AG23,'Ferry C&amp;T EF'!$A$106:$AK$196,IF(U23&gt;=3301,37, IF(U23&gt;=1901,33, IF(U23&gt;=751,29, IF(U23&gt;=501,25, IF(U23&gt;=251,21, IF(U23&gt;=176,17, IF(U23&gt;=121,13, IF(U23&gt;=51,9, 5)))))))),0),"")</f>
        <v/>
      </c>
      <c r="BE23" s="306" t="str">
        <f ca="1">IFERROR(IF('GHG Calcs'!$AD23="Gasoline",0,VLOOKUP('GHG Calcs'!$AG23,'Ferry C&amp;T EF'!$A$106:$AK$196,IF(U23&gt;=3301,36, IF(U23&gt;=1901,32, IF(U23&gt;=751,28, IF(U23&gt;=501,24, IF(U23&gt;=251,20, IF(U23&gt;=176,16, IF(U23&gt;=121,12, IF(U23&gt;=51,8, 4)))))))),0)),"")</f>
        <v/>
      </c>
      <c r="BF23" s="1419" t="str">
        <f ca="1">IFERROR(IF('GHG Calcs'!$AD23="Gasoline",VLOOKUP('GHG Calcs'!$AH23,'Fuel Consumption'!$A$31:$L$2316,3,0),IF(OR('GHG Calcs'!$AD23="CNG",'GHG Calcs'!$AD23="LNG",'GHG Calcs'!$AD23="Renewable Natural Gas"),VLOOKUP('GHG Calcs'!$AH23,'Fuel Consumption'!$A$31:$L$2316,4,0)*VLOOKUP('GHG Calcs'!$AD23,'GHG EF'!$B$10:$H$19,4,0),VLOOKUP('GHG Calcs'!$AH23,'Fuel Consumption'!$A$31:$L$2316,2,0)*VLOOKUP('GHG Calcs'!$AD23,'GHG EF'!$B$10:$H$19,4,0))),"")</f>
        <v/>
      </c>
      <c r="BG23" s="1419" t="str">
        <f ca="1">IFERROR(IF(OR('GHG Calcs'!$AD23="Diesel",'GHG Calcs'!$AD23="Renewable Diesel",'GHG Calcs'!$AD23="Biodiesel"),VLOOKUP('GHG Calcs'!$AH23,'Fuel Consumption'!$A$31:$L$2316,6,0)*VLOOKUP('GHG Calcs'!$AD23,'GHG EF'!$B$10:$H$19,4,0),VLOOKUP('GHG Calcs'!$AH23,'Fuel Consumption'!$A$31:$L$2316,7,0)*VLOOKUP('GHG Calcs'!$AD23,'GHG EF'!$B$10:$H$19,5,0)),"")</f>
        <v/>
      </c>
      <c r="BH23" s="1419" t="str">
        <f ca="1">IFERROR(IF(OR('GHG Calcs'!$AD23="Diesel",'GHG Calcs'!$AD23="Renewable Diesel",'GHG Calcs'!$AD23="Biodiesel"),VLOOKUP('GHG Calcs'!$AH23,'Fuel Consumption'!$A$31:$L$2316,9,0)*VLOOKUP('GHG Calcs'!$AD23,'GHG EF'!$B$10:$H$19,4,0),VLOOKUP('GHG Calcs'!$AH23,'Fuel Consumption'!$A$31:$L$2316,10,0)*VLOOKUP('GHG Calcs'!$AD23,'GHG EF'!$B$10:$H$19,5,0)),"")</f>
        <v/>
      </c>
      <c r="BI23" s="1419" t="str">
        <f ca="1">IFERROR(VLOOKUP('GHG Calcs'!$AH23,'Fuel Consumption'!$A$31:$L$2316,12,0)*VLOOKUP('GHG Calcs'!$AD23,'GHG EF'!$B$10:$H$19,4,0),"")</f>
        <v/>
      </c>
      <c r="BJ23" s="1373" t="str">
        <f ca="1">IFERROR(IF(OR('GHG Calcs'!AD23=Defaults!$I$3, 'GHG Calcs'!AD23=Defaults!$I$4, 'GHG Calcs'!AD23=Defaults!$I$6, 'GHG Calcs'!AD23=Defaults!$I$8), IF('GHG Calcs'!AE23&gt;0,'GHG Calcs'!AE23*IF('GHG Calcs'!AD23=Defaults!$I$3,'GHG EF'!$C$11/'GHG EF'!$C$12,1),'GHG Calcs'!AK23*'GHG Calcs'!AI23),"")*('GHG Calcs'!I23-'GHG Calcs'!H23),"")</f>
        <v/>
      </c>
      <c r="BK23" s="1373" t="str">
        <f ca="1">IFERROR(IF('GHG Calcs'!AD23=Defaults!$I$5,IF('GHG Calcs'!AE23&gt;0,'GHG Calcs'!AE23,'GHG Calcs'!AJ23*'GHG Calcs'!AI23),"")*IF('GHG Calcs'!AF23&lt;'GHG EF'!$D$13,'GHG Calcs'!AF23/'GHG EF'!$D$13,1)*IF('GHG Calcs'!AF23&lt;0,0,1)*('GHG Calcs'!I23-'GHG Calcs'!H23),"")</f>
        <v/>
      </c>
      <c r="BL23" s="1373" t="str">
        <f ca="1">IFERROR(IF('GHG Calcs'!AD23=Defaults!$I$11, IF(IF('GHG Calcs'!AE23&gt;0,'GHG Calcs'!AE23,'GHG Calcs'!AJ23*'GHG Calcs'!AI23)&lt;INDIRECT("'"&amp;#REF!&amp;"'!"&amp;$D23&amp;ROW(#REF!)), IF('GHG Calcs'!AE23&gt;0,'GHG Calcs'!AE23,'GHG Calcs'!AJ23*'GHG Calcs'!AI23), INDIRECT("'"&amp;#REF!&amp;"'!"&amp;$D23&amp;ROW(#REF!))),"")*('GHG Calcs'!I23-'GHG Calcs'!H23),"")</f>
        <v/>
      </c>
      <c r="BM23" s="1420" t="str">
        <f ca="1">IFERROR(IF('GHG Calcs'!AE23&gt;0,'GHG Calcs'!AE23,'GHG Calcs'!AL23*'GHG Calcs'!AI23)*VLOOKUP('GHG Calcs'!AD23,'Fuel &amp; Travel Costs'!$B$10:$C$19,2,0)*('GHG Calcs'!I23-'GHG Calcs'!H23),"")</f>
        <v/>
      </c>
      <c r="BN23" s="306">
        <f ca="1">INDIRECT("'Quantifiable Component "&amp;$B23&amp;"'!"&amp;$D23&amp;ROW('Quantifiable Component 1'!$59:$59))</f>
        <v>0</v>
      </c>
      <c r="BO23" s="306">
        <f ca="1">INDIRECT("'Quantifiable Component "&amp;$B23&amp;"'!"&amp;$D23&amp;ROW('Quantifiable Component 1'!$60:$60))</f>
        <v>0</v>
      </c>
      <c r="BP23" s="1421" t="str">
        <f ca="1">IFERROR(IF('GHG Calcs'!$BD23="Gasoline",VLOOKUP('GHG Calcs'!$BL23,'Bus C&amp;T EF'!$D$30:$V$2315,3,0),IF(OR('GHG Calcs'!$BD23="CNG",'GHG Calcs'!$BD23="LNG",'GHG Calcs'!$BD23="Renewable Natural Gas"),VLOOKUP('GHG Calcs'!$BL23,'Bus C&amp;T EF'!$D$30:$V$2315,4,0),VLOOKUP('GHG Calcs'!$BL23,'Bus C&amp;T EF'!$D$30:$V$2315,2,0)))/IF('GHG Calcs'!BE23&gt;0,$CZ23,1),"")</f>
        <v/>
      </c>
      <c r="BQ23" s="1419" t="str">
        <f ca="1">IFERROR(IF('GHG Calcs'!$BD23="Gasoline",VLOOKUP('GHG Calcs'!$BL23,'Bus C&amp;T EF'!$D$30:$V$2315,6,0),IF(OR('GHG Calcs'!$BD23="CNG",'GHG Calcs'!$BD23="LNG",'GHG Calcs'!$BD23="Renewable Natural Gas"),VLOOKUP('GHG Calcs'!$BL23,'Bus C&amp;T EF'!$D$30:$V$2315,7,0),VLOOKUP('GHG Calcs'!$BL23,'Bus C&amp;T EF'!$D$30:$V$2315,5,0)))/IF('GHG Calcs'!BE23&gt;0,$CZ23,1),"")</f>
        <v/>
      </c>
      <c r="BR23" s="1419" t="str">
        <f ca="1">IFERROR(IF('GHG Calcs'!$BD23="Gasoline",VLOOKUP('GHG Calcs'!$BL23,'Bus C&amp;T EF'!$D$30:$V$2315,9,0),IF(OR('GHG Calcs'!$BD23="CNG",'GHG Calcs'!$BD23="LNG",'GHG Calcs'!$BD23="Renewable Natural Gas"),VLOOKUP('GHG Calcs'!$BL23,'Bus C&amp;T EF'!$D$30:$V$2315,10,0),VLOOKUP('GHG Calcs'!$BL23,'Bus C&amp;T EF'!$D$30:$V$2315,8,0)))/IF('GHG Calcs'!BE23&gt;0,$CZ23,1),"")</f>
        <v/>
      </c>
      <c r="BS23" s="1419" t="str">
        <f ca="1">IFERROR(IF('GHG Calcs'!$BD23="Gasoline",VLOOKUP('GHG Calcs'!$BL23,'Bus C&amp;T EF'!$D$30:$V$2315,12,0),IF(OR('GHG Calcs'!$BD23="CNG",'GHG Calcs'!$BD23="LNG",'GHG Calcs'!$BD23="Renewable Natural Gas"),VLOOKUP('GHG Calcs'!$BL23,'Bus C&amp;T EF'!$D$30:$V$2315,13,0),IF(OR('GHG Calcs'!$BD23="Electric",'GHG Calcs'!$BD23="Hydrogen Fuel Cell",'GHG Calcs'!$BD23="Renewable Electricity"),VLOOKUP('GHG Calcs'!$BL23,'Bus C&amp;T EF'!$D$30:$V$2315,14,0),VLOOKUP('GHG Calcs'!$BL23,'Bus C&amp;T EF'!$D$30:$V$2315,11,0))))/IF('GHG Calcs'!BE23&gt;0,$CZ23,1),"")</f>
        <v/>
      </c>
      <c r="BT23" s="1419" t="str">
        <f ca="1">IFERROR(IF('GHG Calcs'!$BD23="Gasoline",VLOOKUP('GHG Calcs'!$BL23,'Bus C&amp;T EF'!$D$30:$V$2315,16,0),IF(OR('GHG Calcs'!$BD23="CNG",'GHG Calcs'!$BD23="LNG",'GHG Calcs'!$BD23="Renewable Natural Gas"),VLOOKUP('GHG Calcs'!$BL23,'Bus C&amp;T EF'!$D$30:$V$2315,17,0),IF(OR('GHG Calcs'!$BD23="Electric",'GHG Calcs'!$BD23="Hydrogen Fuel Cell",'GHG Calcs'!$BD23="Renewable Electricity"),VLOOKUP('GHG Calcs'!$BL23,'Bus C&amp;T EF'!$D$30:$V$2315,18,0),VLOOKUP('GHG Calcs'!$BL23,'Bus C&amp;T EF'!$D$30:$V$2315,15,0))))/IF('GHG Calcs'!BE23&gt;0,$CZ23,1),"")</f>
        <v/>
      </c>
      <c r="BU23" s="306" t="str">
        <f ca="1">IFERROR(IF('GHG Calcs'!$BD23="Gasoline",0,VLOOKUP('GHG Calcs'!$BL23,'Bus C&amp;T EF'!$D$30:$V$2315,19,0))/IF('GHG Calcs'!BE23&gt;0,$CZ23,1),"")</f>
        <v/>
      </c>
      <c r="BV23" s="1419" t="str">
        <f ca="1">IFERROR(IF(OR('GHG Calcs'!$BD23="Diesel",'GHG Calcs'!$BD23="Renewable Diesel",'GHG Calcs'!$BD23="Biodiesel"),VLOOKUP('GHG Calcs'!$BL23,'Van C&amp;T EF'!$D$30:$Q$2315,2,0),VLOOKUP('GHG Calcs'!$BL23,'Van C&amp;T EF'!$D$30:$Q$2315,3,0))/IF('GHG Calcs'!BE23&gt;0,$DA23,1),"")</f>
        <v/>
      </c>
      <c r="BW23" s="1419" t="str">
        <f ca="1">IFERROR(IF(OR('GHG Calcs'!$BD23="Diesel",'GHG Calcs'!$BD23="Renewable Diesel",'GHG Calcs'!$BD23="Biodiesel"),VLOOKUP('GHG Calcs'!$BL23,'Van C&amp;T EF'!$D$30:$Q$2315,4,0),VLOOKUP('GHG Calcs'!$BL23,'Van C&amp;T EF'!$D$30:$Q$2315,5,0))/IF('GHG Calcs'!BE23&gt;0,$DA23,1),"")</f>
        <v/>
      </c>
      <c r="BX23" s="1419" t="str">
        <f ca="1">IFERROR(IF(OR('GHG Calcs'!$BD23="Diesel",'GHG Calcs'!$BD23="Renewable Diesel",'GHG Calcs'!$BD23="Biodiesel"),VLOOKUP('GHG Calcs'!$BL23,'Van C&amp;T EF'!$D$30:$Q$2315,6,0),VLOOKUP('GHG Calcs'!$BL23,'Van C&amp;T EF'!$D$30:$Q$2315,7,0))/IF('GHG Calcs'!BE23&gt;0,$DA23,1),"")</f>
        <v/>
      </c>
      <c r="BY23" s="1419" t="str">
        <f ca="1">IFERROR(IF(OR('GHG Calcs'!$BD23="Diesel",'GHG Calcs'!$BD23="Renewable Diesel",'GHG Calcs'!$BD23="Biodiesel"),VLOOKUP('GHG Calcs'!$BL23,'Van C&amp;T EF'!$D$30:$Q$2315,8,0),IF(OR('GHG Calcs'!$BD23="Electric",'GHG Calcs'!$BD23="Hydrogen Fuel Cell",'GHG Calcs'!$BD23="Renewable Electricity"),VLOOKUP('GHG Calcs'!$BL23,'Van C&amp;T EF'!$D$30:$Q$2315,10,0),VLOOKUP('GHG Calcs'!$BL23,'Van C&amp;T EF'!$D$30:$Q$2315,9,0)))/IF('GHG Calcs'!BE23&gt;0,$DA23,1),"")</f>
        <v/>
      </c>
      <c r="BZ23" s="1419" t="str">
        <f ca="1">IFERROR(IF(OR('GHG Calcs'!$BD23="Diesel",'GHG Calcs'!$BD23="Renewable Diesel",'GHG Calcs'!$BD23="Biodiesel"),VLOOKUP('GHG Calcs'!$BL23,'Van C&amp;T EF'!$D$30:$Q$2315,11,0),IF(OR('GHG Calcs'!$BD23="Electric",'GHG Calcs'!$BD23="Hydrogen Fuel Cell",'GHG Calcs'!$BD23="Renewable Electricity"),VLOOKUP('GHG Calcs'!$BL23,'Van C&amp;T EF'!$D$30:$Q$2315,13,0),VLOOKUP('GHG Calcs'!$BL23,'Van C&amp;T EF'!$D$30:$Q$2315,12,0)))/IF('GHG Calcs'!BE23&gt;0,$DA23,1),"")</f>
        <v/>
      </c>
      <c r="CA23" s="306">
        <f ca="1">IFERROR(IF(OR('GHG Calcs'!$BD23="Diesel",'GHG Calcs'!$BD23="Biodiesel",'GHG Calcs'!$BD23="Renewable Diesel"),VLOOKUP('GHG Calcs'!$BL23,'Van C&amp;T EF'!$D$30:$Q$2315,14,0),0)/IF('GHG Calcs'!BE23&gt;0,$DA23,1),"")</f>
        <v>0</v>
      </c>
      <c r="CB23" s="1419" t="str">
        <f ca="1">IFERROR(IF(OR('GHG Calcs'!$BD23="Diesel",'GHG Calcs'!$BD23="Renewable Diesel",'GHG Calcs'!$BD23="Biodiesel"),VLOOKUP('GHG Calcs'!$BL23,'Shuttle C&amp;T EF'!$D$30:$Q$2315,2,0),VLOOKUP('GHG Calcs'!$BL23,'Shuttle C&amp;T EF'!$D$30:$Q$2315,3,0))/IF('GHG Calcs'!BE23&gt;0,$DB23,1),"")</f>
        <v/>
      </c>
      <c r="CC23" s="1419" t="str">
        <f ca="1">IFERROR(IF(OR('GHG Calcs'!$BD23="Diesel",'GHG Calcs'!$BD23="Renewable Diesel",'GHG Calcs'!$BD23="Biodiesel"),VLOOKUP('GHG Calcs'!$BL23,'Shuttle C&amp;T EF'!$D$30:$Q$2315,4,0),VLOOKUP('GHG Calcs'!$BL23,'Shuttle C&amp;T EF'!$D$30:$Q$2315,5,0))/IF('GHG Calcs'!BE23&gt;0,$DB23,1),"")</f>
        <v/>
      </c>
      <c r="CD23" s="1419" t="str">
        <f ca="1">IFERROR(IF(OR('GHG Calcs'!$BD23="Diesel",'GHG Calcs'!$BD23="Renewable Diesel",'GHG Calcs'!$BD23="Biodiesel"),VLOOKUP('GHG Calcs'!$BL23,'Shuttle C&amp;T EF'!$D$30:$Q$2315,6,0),VLOOKUP('GHG Calcs'!$BL23,'Shuttle C&amp;T EF'!$D$30:$Q$2315,7,0))/IF('GHG Calcs'!BE23&gt;0,$DB23,1),"")</f>
        <v/>
      </c>
      <c r="CE23" s="1419" t="str">
        <f ca="1">IFERROR(IF(OR('GHG Calcs'!$BD23="Diesel",'GHG Calcs'!$BD23="Renewable Diesel",'GHG Calcs'!$BD23="Biodiesel"),VLOOKUP('GHG Calcs'!$BL23,'Shuttle C&amp;T EF'!$D$30:$Q$2315,8,0),IF(OR('GHG Calcs'!$BD23="Electric",'GHG Calcs'!$BD23="Hydrogen Fuel Cell",'GHG Calcs'!$BD23="Renewable Electricity"),VLOOKUP('GHG Calcs'!$BL23,'Shuttle C&amp;T EF'!$D$30:$Q$2315,10,0),VLOOKUP('GHG Calcs'!$BL23,'Shuttle C&amp;T EF'!$D$30:$Q$2315,9,0)))/IF('GHG Calcs'!BE23&gt;0,$DB23,1),"")</f>
        <v/>
      </c>
      <c r="CF23" s="1419" t="str">
        <f ca="1">IFERROR(IF(OR('GHG Calcs'!$BD23="Diesel",'GHG Calcs'!$BD23="Renewable Diesel",'GHG Calcs'!$BD23="Biodiesel"),VLOOKUP('GHG Calcs'!$BL23,'Shuttle C&amp;T EF'!$D$30:$Q$2315,11,0),IF(OR('GHG Calcs'!$BD23="Electric",'GHG Calcs'!$BD23="Hydrogen Fuel Cell",'GHG Calcs'!$BD23="Renewable Electricity"),VLOOKUP('GHG Calcs'!$BL23,'Shuttle C&amp;T EF'!$D$30:$Q$2315,13,0),VLOOKUP('GHG Calcs'!$BL23,'Shuttle C&amp;T EF'!$D$30:$Q$2315,12,0)))/IF('GHG Calcs'!BE23&gt;0,$DB23,1),"")</f>
        <v/>
      </c>
      <c r="CG23" s="1419">
        <f ca="1">IFERROR(IF(OR('GHG Calcs'!$BD23="Diesel",'GHG Calcs'!$BD23="Biodiesel",'GHG Calcs'!$BD23="Renewable Diesel"),VLOOKUP('GHG Calcs'!$BL23,'Shuttle C&amp;T EF'!$D$30:$Q$2315,14,0),0)/IF('GHG Calcs'!BE23&gt;0,$DB23,1),"")</f>
        <v>0</v>
      </c>
      <c r="CH23" s="306" t="str">
        <f ca="1">IFERROR((VLOOKUP('GHG Calcs'!$BL23,'Over-Road Coach C&amp;T EF'!$D$29:$N$2314,2,0)+VLOOKUP('GHG Calcs'!$BL23,'Over-Road Coach C&amp;T EF'!$D$29:$N$2314,3,0))/IF('GHG Calcs'!BE23&gt;0,$DC23,1),"")</f>
        <v/>
      </c>
      <c r="CI23" s="306" t="str">
        <f ca="1">IFERROR((VLOOKUP('GHG Calcs'!$BL23,'Over-Road Coach C&amp;T EF'!$D$29:$N$2314,4,0)+VLOOKUP('GHG Calcs'!$BL23,'Over-Road Coach C&amp;T EF'!$D$29:$N$2314,5,0))/IF('GHG Calcs'!BE23&gt;0,$DC23,1),"")</f>
        <v/>
      </c>
      <c r="CJ23" s="306" t="str">
        <f ca="1">IFERROR((VLOOKUP('GHG Calcs'!$BL23,'Over-Road Coach C&amp;T EF'!$D$29:$N$2314,6,0)+VLOOKUP('GHG Calcs'!$BL23,'Over-Road Coach C&amp;T EF'!$D$29:$N$2314,7,0))/IF('GHG Calcs'!BE23&gt;0,$DC23,1),"")</f>
        <v/>
      </c>
      <c r="CK23" s="306" t="str">
        <f ca="1">IFERROR(VLOOKUP('GHG Calcs'!$BL23,'Over-Road Coach C&amp;T EF'!$D$29:$N$2314,8,0)/IF('GHG Calcs'!BE23&gt;0,$DC23,1),"")</f>
        <v/>
      </c>
      <c r="CL23" s="306" t="str">
        <f ca="1">IFERROR(VLOOKUP('GHG Calcs'!$BL23,'Over-Road Coach C&amp;T EF'!$D$29:$N$2314,9,0)/IF('GHG Calcs'!BE23&gt;0,$DC23,1),"")</f>
        <v/>
      </c>
      <c r="CM23" s="306" t="str">
        <f ca="1">IFERROR((VLOOKUP('GHG Calcs'!$BL23,'Over-Road Coach C&amp;T EF'!$D$29:$N$2314,10,0)+VLOOKUP('GHG Calcs'!$BL23,'Over-Road Coach C&amp;T EF'!$D$29:$N$2314,11,0))/IF('GHG Calcs'!BE23&gt;0,$DC23,1),"")</f>
        <v/>
      </c>
      <c r="CN23" s="306" t="str">
        <f ca="1">IFERROR(VLOOKUP(BN23,'Co-Benefit Calcs'!$E$76:$I$83,2,0)/IF('GHG Calcs'!$BE23&gt;0,'Rail C&amp;T EF'!$K$14,1),"")</f>
        <v/>
      </c>
      <c r="CO23" s="306" t="str">
        <f ca="1">IFERROR(VLOOKUP(BN23,'Co-Benefit Calcs'!$E$76:$I$83,3,0)/IF('GHG Calcs'!$BE23&gt;0,'Rail C&amp;T EF'!$K$14,1),"")</f>
        <v/>
      </c>
      <c r="CP23" s="306" t="str">
        <f ca="1">IFERROR(VLOOKUP(BN23,'Co-Benefit Calcs'!$E$76:$I$83,4,0)/IF('GHG Calcs'!$BE23&gt;0,'Rail C&amp;T EF'!$K$14,1),"")</f>
        <v/>
      </c>
      <c r="CQ23" s="306" t="str">
        <f ca="1">IFERROR(IF('GHG Calcs'!$BD23="Gasoline",0,VLOOKUP(BN23,'Co-Benefit Calcs'!$E$76:$I$83,5,0))/IF('GHG Calcs'!$BE23&gt;0,'Rail C&amp;T EF'!$K$14,1),"")</f>
        <v/>
      </c>
      <c r="CR23" s="306" t="str">
        <f ca="1">IFERROR(VLOOKUP('GHG Calcs'!$BG23,'Rail C&amp;T EF'!$A$43:$Y$133,IF(BO23&gt;750,23, IF(BO23&gt;=600,20, IF(BO23&gt;=300,17, IF(BO23&gt;=175,14, IF(BO23&gt;=100,11, IF(BO23&gt;=75,8, IF(BO23&gt;=50,5, 2))))))),0) * IF($BO23&gt;=750,'Rail C&amp;T EF'!$K$18,'Rail C&amp;T EF'!$K$19) * IF('GHG Calcs'!BE23&gt;0,1,'Rail C&amp;T EF'!$B$149) * IF(OR('GHG Calcs'!BD23="Diesel", 'GHG Calcs'!BD23="Renewable Diesel", 'GHG Calcs'!BD23="Biodiesel"),'Rail C&amp;T EF'!$B$141,'Rail C&amp;T EF'!$B$142),"")</f>
        <v/>
      </c>
      <c r="CS23" s="306" t="str">
        <f ca="1">IFERROR(VLOOKUP('GHG Calcs'!$BG23,'Rail C&amp;T EF'!$A$43:$Y$133,IF(BO23&gt;750,24, IF(BO23&gt;=600,21, IF(BO23&gt;=300,18, IF(BO23&gt;=175,15, IF(BO23&gt;=100,12, IF(BO23&gt;=75,9, IF(BO23&gt;=50,6, 3))))))),0) * IF($BO23&gt;=750,'Rail C&amp;T EF'!$K$18,'Rail C&amp;T EF'!$K$19) * IF('GHG Calcs'!$BE23&gt;0,1,'Rail C&amp;T EF'!$B$149),"")</f>
        <v/>
      </c>
      <c r="CT23" s="306" t="str">
        <f ca="1">IFERROR(VLOOKUP('GHG Calcs'!$BG23,'Rail C&amp;T EF'!$A$43:$Y$133,IF(BO23&gt;750,25, IF(BO23&gt;=600,22, IF(BO23&gt;=300,19, IF(BO23&gt;=175,16, IF(BO23&gt;=100,13, IF(BO23&gt;=75,10, IF(BO23&gt;=50,7, 4))))))),0) * IF($BO23&gt;=750,'Rail C&amp;T EF'!$K$18,'Rail C&amp;T EF'!$K$19) * IF('GHG Calcs'!$BE23&gt;0,1,'Rail C&amp;T EF'!$B$149)*'Rail C&amp;T EF'!$B$146,"")</f>
        <v/>
      </c>
      <c r="CU23" s="306" t="str">
        <f ca="1">IFERROR(IF('GHG Calcs'!BD23="Gasoline",0,VLOOKUP('GHG Calcs'!$BG23,'Rail C&amp;T EF'!$A$43:$Y$133,IF(BO23&gt;750,25, IF(BO23&gt;=600,22, IF(BO23&gt;=300,19, IF(BO23&gt;=175,16, IF(BO23&gt;=100,13, IF(BO23&gt;=75,10, IF(BO23&gt;=50,7, 4))))))),0) * IF($BO23&gt;=750,'Rail C&amp;T EF'!$K$18,'Rail C&amp;T EF'!$K$19) * IF('GHG Calcs'!$BE23&gt;0,1,'Rail C&amp;T EF'!$B$149)),"")</f>
        <v/>
      </c>
      <c r="CV23" s="306" t="str">
        <f ca="1">IFERROR(VLOOKUP('GHG Calcs'!$BG23,'Ferry C&amp;T EF'!$A$106:$AK$196,IF(BO23&gt;=3301,35, IF(BO23&gt;=1901,31, IF(BO23&gt;=751,27, IF(BO23&gt;=501,23, IF(BO23&gt;=251,19, IF(BO23&gt;=176,15, IF(BO23&gt;=121,11, IF(BO23&gt;=51,7, 3)))))))),0),"")</f>
        <v/>
      </c>
      <c r="CW23" s="306" t="str">
        <f ca="1">IFERROR(VLOOKUP('GHG Calcs'!$BG23,'Ferry C&amp;T EF'!$A$106:$AK$196,IF(BO23&gt;=3301,34, IF(BO23&gt;=1901,30, IF(BO23&gt;=751,26, IF(BO23&gt;=501,22, IF(BO23&gt;=251,18, IF(BO23&gt;=176,14, IF(BO23&gt;=121,10, IF(BO23&gt;=51,6, 2)))))))),0),"")</f>
        <v/>
      </c>
      <c r="CX23" s="306" t="str">
        <f ca="1">IFERROR(VLOOKUP('GHG Calcs'!$BG23,'Ferry C&amp;T EF'!$A$106:$AK$196,IF(BO23&gt;=3301,37, IF(BO23&gt;=1901,33, IF(BO23&gt;=751,29, IF(BO23&gt;=501,25, IF(BO23&gt;=251,21, IF(BO23&gt;=176,17, IF(BO23&gt;=121,13, IF(BO23&gt;=51,9, 5)))))))),0),"")</f>
        <v/>
      </c>
      <c r="CY23" s="306" t="str">
        <f ca="1">IFERROR(IF('GHG Calcs'!$BD23="Gasoline",0,VLOOKUP('GHG Calcs'!$BG23,'Ferry C&amp;T EF'!$A$106:$AK$196,IF(BO23&gt;=3301,36, IF(BO23&gt;=1901,32, IF(BO23&gt;=751,28, IF(BO23&gt;=501,24, IF(BO23&gt;=251,20, IF(BO23&gt;=176,16, IF(BO23&gt;=121,12, IF(BO23&gt;=51,8, 4)))))))),0)),"")</f>
        <v/>
      </c>
      <c r="CZ23" s="1419" t="str">
        <f ca="1">IFERROR(IF('GHG Calcs'!$BD23="Gasoline",VLOOKUP('GHG Calcs'!$BL23,'Fuel Consumption'!$A$31:$L$2316,3,0),IF(OR('GHG Calcs'!$BD23="CNG",'GHG Calcs'!$BD23="LNG",'GHG Calcs'!$BD23="Renewable Natural Gas"),VLOOKUP('GHG Calcs'!$BL23,'Fuel Consumption'!$A$31:$L$2316,4,0)*VLOOKUP('GHG Calcs'!$BD23,'GHG EF'!$B$10:$H$19,4,0),VLOOKUP('GHG Calcs'!$BL23,'Fuel Consumption'!$A$31:$L$2316,2,0)*VLOOKUP('GHG Calcs'!$AD23,'GHG EF'!$B$10:$H$19,4,0))),"")</f>
        <v/>
      </c>
      <c r="DA23" s="1419" t="str">
        <f ca="1">IFERROR(IF(OR('GHG Calcs'!$BD23="Diesel",'GHG Calcs'!$BD23="Renewable Diesel",'GHG Calcs'!$BD23="Biodiesel"),VLOOKUP('GHG Calcs'!$BL23,'Fuel Consumption'!$A$31:$L$2316,6,0)*VLOOKUP('GHG Calcs'!$BD23,'GHG EF'!$B$10:$H$19,4,0),VLOOKUP('GHG Calcs'!$BL23,'Fuel Consumption'!$A$31:$L$2316,7,0)*VLOOKUP('GHG Calcs'!$BD23,'GHG EF'!$B$10:$H$19,5,0)),"")</f>
        <v/>
      </c>
      <c r="DB23" s="1419" t="str">
        <f ca="1">IFERROR(IF(OR('GHG Calcs'!$BD23="Diesel",'GHG Calcs'!$BD23="Renewable Diesel",'GHG Calcs'!$BD23="Biodiesel"),VLOOKUP('GHG Calcs'!$BL23,'Fuel Consumption'!$A$31:$L$2316,9,0)*VLOOKUP('GHG Calcs'!$BD23,'GHG EF'!$B$10:$H$19,4,0),VLOOKUP('GHG Calcs'!$BL23,'Fuel Consumption'!$A$31:$L$2316,10,0)*VLOOKUP('GHG Calcs'!$BD23,'GHG EF'!$B$10:$H$19,5,0)),"")</f>
        <v/>
      </c>
      <c r="DC23" s="1419" t="str">
        <f ca="1">IFERROR(VLOOKUP('GHG Calcs'!$BL23,'Fuel Consumption'!$A$31:$L$2316,12,0)*VLOOKUP('GHG Calcs'!$BD23,'GHG EF'!$B$10:$H$19,4,0),"")</f>
        <v/>
      </c>
      <c r="DD23" s="1373" t="str">
        <f ca="1">IFERROR(IF(OR('GHG Calcs'!BD23=Defaults!$I$3, 'GHG Calcs'!BD23=Defaults!$I$4, 'GHG Calcs'!BD23=Defaults!$I$6, 'GHG Calcs'!BD23=Defaults!$I$8), IF('GHG Calcs'!BE23&gt;0,'GHG Calcs'!BE23*IF('GHG Calcs'!BD23=Defaults!$I$3,'GHG EF'!$C$11/'GHG EF'!$C$12,1),'GHG Calcs'!BJ23*'GHG Calcs'!BH23),"")*('GHG Calcs'!I23-'GHG Calcs'!H23),"")</f>
        <v/>
      </c>
      <c r="DE23" s="1373" t="str">
        <f ca="1">IFERROR(IF('GHG Calcs'!BD23=Defaults!$I$5,IF('GHG Calcs'!BE23&gt;0,'GHG Calcs'!BE23,'GHG Calcs'!BI23*'GHG Calcs'!BH23),"")*('GHG Calcs'!I23-'GHG Calcs'!H23),"")</f>
        <v/>
      </c>
      <c r="DF23" s="1420" t="str">
        <f ca="1">IFERROR(IF('GHG Calcs'!BE23&gt;0,'GHG Calcs'!BE23,'GHG Calcs'!BK23*'GHG Calcs'!BH23)*VLOOKUP('GHG Calcs'!BD23,'Fuel &amp; Travel Costs'!$B$10:$C$19,2,0)*('GHG Calcs'!I23-'GHG Calcs'!H23),"")</f>
        <v/>
      </c>
      <c r="DG23" s="306">
        <f ca="1">INDIRECT("'Quantifiable Component "&amp;$B23&amp;"'!"&amp;$D23&amp;ROW('Quantifiable Component 1'!$70:$70))</f>
        <v>0</v>
      </c>
      <c r="DH23" s="306">
        <f ca="1">INDIRECT("'Quantifiable Component "&amp;$B23&amp;"'!"&amp;$D23&amp;ROW('Quantifiable Component 1'!$71:$71))</f>
        <v>0</v>
      </c>
      <c r="DI23" s="1422" t="str">
        <f ca="1">IFERROR(IF('GHG Calcs'!$CD23="Gasoline",VLOOKUP('GHG Calcs'!$CG23,'Bus C&amp;T EF'!$D$30:$V$2315,3,0),IF(OR('GHG Calcs'!$CD23="CNG",'GHG Calcs'!$CD23="LNG",'GHG Calcs'!$CD23="Renewable Natural Gas"),VLOOKUP('GHG Calcs'!$CG23,'Bus C&amp;T EF'!$D$30:$V$2315,4,0),VLOOKUP('GHG Calcs'!$CG23,'Bus C&amp;T EF'!$D$30:$V$2315,2,0)))/$ES23,"")</f>
        <v/>
      </c>
      <c r="DJ23" s="306" t="str">
        <f ca="1">IFERROR(IF('GHG Calcs'!$CD23="Gasoline",VLOOKUP('GHG Calcs'!$CG23,'Bus C&amp;T EF'!$D$30:$V$2315,6,0),IF(OR('GHG Calcs'!$CD23="CNG",'GHG Calcs'!$CD23="LNG",'GHG Calcs'!$CD23="Renewable Natural Gas"),VLOOKUP('GHG Calcs'!$CG23,'Bus C&amp;T EF'!$D$30:$V$2315,7,0),VLOOKUP('GHG Calcs'!$CG23,'Bus C&amp;T EF'!$D$30:$V$2315,5,0)))/$ES23,"")</f>
        <v/>
      </c>
      <c r="DK23" s="306" t="str">
        <f ca="1">IFERROR(IF('GHG Calcs'!$CD23="Gasoline",VLOOKUP('GHG Calcs'!$CG23,'Bus C&amp;T EF'!$D$30:$V$2315,9,0),IF(OR('GHG Calcs'!$CD23="CNG",'GHG Calcs'!$CD23="LNG",'GHG Calcs'!$CD23="Renewable Natural Gas"),VLOOKUP('GHG Calcs'!$CG23,'Bus C&amp;T EF'!$D$30:$V$2315,10,0),VLOOKUP('GHG Calcs'!$CG23,'Bus C&amp;T EF'!$D$30:$V$2315,8,0)))/$ES23,"")</f>
        <v/>
      </c>
      <c r="DL23" s="306" t="str">
        <f ca="1">IFERROR(IF('GHG Calcs'!$CD23="Gasoline",VLOOKUP('GHG Calcs'!$CG23,'Bus C&amp;T EF'!$D$30:$V$2315,12,0),IF(OR('GHG Calcs'!$CD23="CNG",'GHG Calcs'!$CD23="LNG",'GHG Calcs'!$CD23="Renewable Natural Gas"),VLOOKUP('GHG Calcs'!$CG23,'Bus C&amp;T EF'!$D$30:$V$2315,13,0),IF('GHG Calcs'!$CD23="Electric",VLOOKUP('GHG Calcs'!$CG23,'Bus C&amp;T EF'!$D$30:$V$2315,14,0),VLOOKUP('GHG Calcs'!$CG23,'Bus C&amp;T EF'!$D$30:$V$2315,11,0))))/$ES23,"")</f>
        <v/>
      </c>
      <c r="DM23" s="306" t="str">
        <f ca="1">IFERROR(IF('GHG Calcs'!$CD23="Gasoline",VLOOKUP('GHG Calcs'!$CG23,'Bus C&amp;T EF'!$D$30:$V$2315,16,0),IF(OR('GHG Calcs'!$CD23="CNG",'GHG Calcs'!$CD23="LNG",'GHG Calcs'!$CD23="Renewable Natural Gas"),VLOOKUP('GHG Calcs'!$CG23,'Bus C&amp;T EF'!$D$30:$V$2315,17,0),IF('GHG Calcs'!$CD23="Electric",VLOOKUP('GHG Calcs'!$CG23,'Bus C&amp;T EF'!$D$30:$V$2315,18,0),VLOOKUP('GHG Calcs'!$CG23,'Bus C&amp;T EF'!$D$30:$V$2315,15,0))))/$ES23,"")</f>
        <v/>
      </c>
      <c r="DN23" s="306" t="str">
        <f ca="1">IFERROR(IF('GHG Calcs'!$CD23="Gasoline",0,VLOOKUP('GHG Calcs'!$CG23,'Bus C&amp;T EF'!$D$30:$V$2315,19,0))/$ES23,"")</f>
        <v/>
      </c>
      <c r="DO23" s="1419" t="str">
        <f ca="1">IFERROR(IF(OR('GHG Calcs'!$CD23="Diesel",'GHG Calcs'!$CD23="Renewable Diesel",'GHG Calcs'!$CD23="Biodiesel"),VLOOKUP('GHG Calcs'!$CG23,'Van C&amp;T EF'!$D$30:$Q$2315,2,0),VLOOKUP('GHG Calcs'!$CG23,'Van C&amp;T EF'!$D$30:$Q$2315,3,0))/$ET23,"")</f>
        <v/>
      </c>
      <c r="DP23" s="1419" t="str">
        <f ca="1">IFERROR(IF(OR('GHG Calcs'!$CD23="Diesel",'GHG Calcs'!$CD23="Renewable Diesel",'GHG Calcs'!$CD23="Biodiesel"),VLOOKUP('GHG Calcs'!$CG23,'Van C&amp;T EF'!$D$30:$Q$2315,4,0),VLOOKUP('GHG Calcs'!$CG23,'Van C&amp;T EF'!$D$30:$Q$2315,5,0))/$ET23,"")</f>
        <v/>
      </c>
      <c r="DQ23" s="1419" t="str">
        <f ca="1">IFERROR(IF(OR('GHG Calcs'!$CD23="Diesel",'GHG Calcs'!$CD23="Renewable Diesel",'GHG Calcs'!$CD23="Biodiesel"),VLOOKUP('GHG Calcs'!$CG23,'Van C&amp;T EF'!$D$30:$Q$2315,6,0),VLOOKUP('GHG Calcs'!$CG23,'Van C&amp;T EF'!$D$30:$Q$2315,7,0))/$ET23,"")</f>
        <v/>
      </c>
      <c r="DR23" s="1419" t="str">
        <f ca="1">IFERROR(IF(OR('GHG Calcs'!$CD23="Diesel",'GHG Calcs'!$CD23="Renewable Diesel",'GHG Calcs'!$CD23="Biodiesel"),VLOOKUP('GHG Calcs'!$CG23,'Van C&amp;T EF'!$D$30:$Q$2315,8,0),IF(OR('GHG Calcs'!$CD23="Electric",'GHG Calcs'!$CD23="Hydrogen Fuel Cell",'GHG Calcs'!$CD23="Renewable Electricity"),VLOOKUP('GHG Calcs'!$CG23,'Van C&amp;T EF'!$D$30:$Q$2315,10,0),VLOOKUP('GHG Calcs'!$CG23,'Van C&amp;T EF'!$D$30:$Q$2315,9,0)))/$ET23,"")</f>
        <v/>
      </c>
      <c r="DS23" s="1419" t="str">
        <f ca="1">IFERROR(IF(OR('GHG Calcs'!$CD23="Diesel",'GHG Calcs'!$CD23="Renewable Diesel",'GHG Calcs'!$CD23="Biodiesel"),VLOOKUP('GHG Calcs'!$CG23,'Van C&amp;T EF'!$D$30:$Q$2315,11,0),IF(OR('GHG Calcs'!$CD23="Electric",'GHG Calcs'!$CD23="Hydrogen Fuel Cell",'GHG Calcs'!$CD23="Renewable Electricity"),VLOOKUP('GHG Calcs'!$CG23,'Van C&amp;T EF'!$D$30:$Q$2315,13,0),VLOOKUP('GHG Calcs'!$CG23,'Van C&amp;T EF'!$D$30:$Q$2315,12,0)))/$ET23,"")</f>
        <v/>
      </c>
      <c r="DT23" s="306" t="str">
        <f ca="1">IFERROR(IF(OR('GHG Calcs'!$CD23="Diesel",'GHG Calcs'!$CD23="Biodiesel",'GHG Calcs'!$CD23="Renewable Diesel"),VLOOKUP('GHG Calcs'!$CG23,'Van C&amp;T EF'!$D$30:$Q$2315,14,0),0)/$ET23,"")</f>
        <v/>
      </c>
      <c r="DU23" s="1419" t="str">
        <f ca="1">IFERROR(IF(OR('GHG Calcs'!$CD23="Diesel",'GHG Calcs'!$CD23="Renewable Diesel",'GHG Calcs'!$CD23="Biodiesel"),VLOOKUP('GHG Calcs'!$CG23,'Shuttle C&amp;T EF'!$D$30:$Q$2315,2,0),VLOOKUP('GHG Calcs'!$CG23,'Shuttle C&amp;T EF'!$D$30:$Q$2315,3,0))/$EU23,"")</f>
        <v/>
      </c>
      <c r="DV23" s="1419" t="str">
        <f ca="1">IFERROR(IF(OR('GHG Calcs'!$CD23="Diesel",'GHG Calcs'!$CD23="Renewable Diesel",'GHG Calcs'!$CD23="Biodiesel"),VLOOKUP('GHG Calcs'!$CG23,'Shuttle C&amp;T EF'!$D$30:$Q$2315,4,0),VLOOKUP('GHG Calcs'!$CG23,'Shuttle C&amp;T EF'!$D$30:$Q$2315,5,0))/$EU23,"")</f>
        <v/>
      </c>
      <c r="DW23" s="1419" t="str">
        <f ca="1">IFERROR(IF(OR('GHG Calcs'!$CD23="Diesel",'GHG Calcs'!$CD23="Renewable Diesel",'GHG Calcs'!$CD23="Biodiesel"),VLOOKUP('GHG Calcs'!$CG23,'Shuttle C&amp;T EF'!$D$30:$Q$2315,6,0),VLOOKUP('GHG Calcs'!$CG23,'Shuttle C&amp;T EF'!$D$30:$Q$2315,7,0))/$EU23,"")</f>
        <v/>
      </c>
      <c r="DX23" s="1419" t="str">
        <f ca="1">IFERROR(IF(OR('GHG Calcs'!$CD23="Diesel",'GHG Calcs'!$CD23="Renewable Diesel",'GHG Calcs'!$CD23="Biodiesel"),VLOOKUP('GHG Calcs'!$CG23,'Shuttle C&amp;T EF'!$D$30:$Q$2315,8,0),IF(OR('GHG Calcs'!$CD23="Electric",'GHG Calcs'!$CD23="Hydrogen Fuel Cell",'GHG Calcs'!$CD23="Renewable Electricity"),VLOOKUP('GHG Calcs'!$CG23,'Shuttle C&amp;T EF'!$D$30:$Q$2315,10,0),VLOOKUP('GHG Calcs'!$CG23,'Shuttle C&amp;T EF'!$D$30:$Q$2315,9,0)))/$EU23,"")</f>
        <v/>
      </c>
      <c r="DY23" s="1419" t="str">
        <f ca="1">IFERROR(IF(OR('GHG Calcs'!$CD23="Diesel",'GHG Calcs'!$CD23="Renewable Diesel",'GHG Calcs'!$CD23="Biodiesel"),VLOOKUP('GHG Calcs'!$CG23,'Shuttle C&amp;T EF'!$D$30:$Q$2315,11,0),IF(OR('GHG Calcs'!$CD23="Electric",'GHG Calcs'!$CD23="Hydrogen Fuel Cell",'GHG Calcs'!$CD23="Renewable Electricity"),VLOOKUP('GHG Calcs'!$CG23,'Shuttle C&amp;T EF'!$D$30:$Q$2315,13,0),VLOOKUP('GHG Calcs'!$CG23,'Shuttle C&amp;T EF'!$D$30:$Q$2315,12,0)))/$EU23,"")</f>
        <v/>
      </c>
      <c r="DZ23" s="1419" t="str">
        <f ca="1">IFERROR(IF(OR('GHG Calcs'!$CD23="Diesel",'GHG Calcs'!$CD23="Biodiesel",'GHG Calcs'!$CD23="Renewable Diesel"),VLOOKUP('GHG Calcs'!$CG23,'Shuttle C&amp;T EF'!$D$30:$Q$2315,14,0),0)/$EU23,"")</f>
        <v/>
      </c>
      <c r="EA23" s="306" t="str">
        <f ca="1">IFERROR((VLOOKUP('GHG Calcs'!$CG23,'Over-Road Coach C&amp;T EF'!$D$29:$N$2314,2,0)+VLOOKUP('GHG Calcs'!$CG23,'Over-Road Coach C&amp;T EF'!$D$29:$N$2314,3,0))/$EV23,"")</f>
        <v/>
      </c>
      <c r="EB23" s="306" t="str">
        <f ca="1">IFERROR((VLOOKUP('GHG Calcs'!$CG23,'Over-Road Coach C&amp;T EF'!$D$29:$N$2314,4,0)+VLOOKUP('GHG Calcs'!$CG23,'Over-Road Coach C&amp;T EF'!$D$29:$N$2314,5,0))/$EV23,"")</f>
        <v/>
      </c>
      <c r="EC23" s="306" t="str">
        <f ca="1">IFERROR((VLOOKUP('GHG Calcs'!$CG23,'Over-Road Coach C&amp;T EF'!$D$29:$N$2314,6,0)+VLOOKUP('GHG Calcs'!$CG23,'Over-Road Coach C&amp;T EF'!$D$29:$N$2314,7,0))/$EV23,"")</f>
        <v/>
      </c>
      <c r="ED23" s="306" t="str">
        <f ca="1">IFERROR(VLOOKUP('GHG Calcs'!$CG23,'Over-Road Coach C&amp;T EF'!$D$29:$N$2314,8,0)/$EV23,"")</f>
        <v/>
      </c>
      <c r="EE23" s="306" t="str">
        <f ca="1">IFERROR(VLOOKUP('GHG Calcs'!$CG23,'Over-Road Coach C&amp;T EF'!$D$29:$N$2314,9,0)/$EV23,"")</f>
        <v/>
      </c>
      <c r="EF23" s="306" t="str">
        <f ca="1">IFERROR((VLOOKUP('GHG Calcs'!$CG23,'Over-Road Coach C&amp;T EF'!$D$29:$N$2314,10,0)+VLOOKUP('GHG Calcs'!$CG23,'Over-Road Coach C&amp;T EF'!$D$29:$N$2314,11,0))/$EV23,"")</f>
        <v/>
      </c>
      <c r="EG23" s="306" t="str">
        <f ca="1">IFERROR(VLOOKUP(DG23,'Co-Benefit Calcs'!$E$76:$I$83,2,0)/'Rail C&amp;T EF'!$K$14,"")</f>
        <v/>
      </c>
      <c r="EH23" s="306" t="str">
        <f ca="1">IFERROR(VLOOKUP(DG23,'Co-Benefit Calcs'!$E$76:$I$83,3,0)/'Rail C&amp;T EF'!$K$14,"")</f>
        <v/>
      </c>
      <c r="EI23" s="306" t="str">
        <f ca="1">IFERROR(VLOOKUP(DG23,'Co-Benefit Calcs'!$E$76:$I$83,4,0)/'Rail C&amp;T EF'!$K$14,"")</f>
        <v/>
      </c>
      <c r="EJ23" s="306" t="str">
        <f ca="1">IFERROR(IF('GHG Calcs'!$CD23="Gasoline",0,VLOOKUP(DG23,'Co-Benefit Calcs'!$E$76:$I$83,5,0))/'Rail C&amp;T EF'!$K$14,"")</f>
        <v/>
      </c>
      <c r="EK23" s="306" t="str">
        <f ca="1">IFERROR(VLOOKUP('GHG Calcs'!CF23,'Rail C&amp;T EF'!$A$43:$Y$133,IF(DH23&gt;750,23, IF(DH23&gt;=600,20, IF(DH23&gt;=300,17, IF(DH23&gt;=175,14, IF(DH23&gt;=100,11, IF(DH23&gt;=75,8, IF(DH23&gt;=50,5, 2))))))),0) * IF($DH23&gt;=750,'Rail C&amp;T EF'!$K$18,'Rail C&amp;T EF'!$K$19) * IF(OR('GHG Calcs'!CD23="Diesel", 'GHG Calcs'!CD23="Renewable Diesel", 'GHG Calcs'!CD23="Biodiesel"),'Rail C&amp;T EF'!$B$141,'Rail C&amp;T EF'!$B$142),"")</f>
        <v/>
      </c>
      <c r="EL23" s="306" t="str">
        <f ca="1">IFERROR(VLOOKUP('GHG Calcs'!$CF23,'Rail C&amp;T EF'!$A$43:$Y$133,IF(DH23&gt;750,24, IF(DH23&gt;=600,21, IF(DH23&gt;=300,18, IF(DH23&gt;=175,15, IF(DH23&gt;=100,12, IF(DH23&gt;=75,9, IF(DH23&gt;=50,6, 3))))))),0) * IF($DH23&gt;=750,'Rail C&amp;T EF'!$K$18,'Rail C&amp;T EF'!$K$19),"")</f>
        <v/>
      </c>
      <c r="EM23" s="306" t="str">
        <f ca="1">IFERROR(VLOOKUP('GHG Calcs'!$CF23,'Rail C&amp;T EF'!$A$43:$Y$133,IF(DH23&gt;750,25, IF(DH23&gt;=600,22, IF(DH23&gt;=300,19, IF(DH23&gt;=175,16, IF(DH23&gt;=100,13, IF(DH23&gt;=75,10, IF(DH23&gt;=50,7, 4))))))),0) * IF($DH23&gt;=750,'Rail C&amp;T EF'!$K$18,'Rail C&amp;T EF'!$K$19)*'Rail C&amp;T EF'!$B$146,"")</f>
        <v/>
      </c>
      <c r="EN23" s="306" t="str">
        <f ca="1">IFERROR(IF('GHG Calcs'!CD23="Gasoline",0,VLOOKUP('GHG Calcs'!$CF23,'Rail C&amp;T EF'!$A$43:$Y$133,IF(DH23&gt;750,25, IF(DH23&gt;=600,22, IF(DH23&gt;=300,19, IF(DH23&gt;=175,16, IF(DH23&gt;=100,13, IF(DH23&gt;=75,10, IF(DH23&gt;=50,7, 4))))))),0) * IF($DH23&gt;=750,'Rail C&amp;T EF'!$K$18,'Rail C&amp;T EF'!$K$19)),"")</f>
        <v/>
      </c>
      <c r="EO23" s="306" t="str">
        <f ca="1">IFERROR(VLOOKUP('GHG Calcs'!$CF23,'Ferry C&amp;T EF'!$A$106:$AK$196,IF(DH23&gt;=3301,35, IF(DH23&gt;=1901,31, IF(DH23&gt;=751,27, IF(DH23&gt;=501,23, IF(DH23&gt;=251,19, IF(DH23&gt;=176,15, IF(DH23&gt;=121,11, IF(DH23&gt;=51,7, 3)))))))),0),"")</f>
        <v/>
      </c>
      <c r="EP23" s="306" t="str">
        <f ca="1">IFERROR(VLOOKUP('GHG Calcs'!$CF23,'Ferry C&amp;T EF'!$A$106:$AK$196,IF(DH23&gt;=3301,34, IF(DH23&gt;=1901,30, IF(DH23&gt;=751,26, IF(DH23&gt;=501,22, IF(DH23&gt;=251,18, IF(DH23&gt;=176,14, IF(DH23&gt;=121,10, IF(DH23&gt;=51,6, 2)))))))),0),"")</f>
        <v/>
      </c>
      <c r="EQ23" s="306" t="str">
        <f ca="1">IFERROR(VLOOKUP('GHG Calcs'!$CF23,'Ferry C&amp;T EF'!$A$106:$AK$196,IF(DH23&gt;=3301,37, IF(DH23&gt;=1901,33, IF(DH23&gt;=751,29, IF(DH23&gt;=501,25, IF(DH23&gt;=251,21, IF(DH23&gt;=176,17, IF(DH23&gt;=121,13, IF(DH23&gt;=51,9, 5)))))))),0),"")</f>
        <v/>
      </c>
      <c r="ER23" s="306" t="str">
        <f ca="1">IFERROR(IF('GHG Calcs'!$CD23="Gasoline",0,VLOOKUP('GHG Calcs'!$CF23,'Ferry C&amp;T EF'!$A$106:$AK$196,IF(DH23&gt;=3301,36, IF(DH23&gt;=1901,32, IF(DH23&gt;=751,28, IF(DH23&gt;=501,24, IF(DH23&gt;=251,20, IF(DH23&gt;=176,16, IF(DH23&gt;=121,12, IF(DH23&gt;=51,8, 4)))))))),0)),"")</f>
        <v/>
      </c>
      <c r="ES23" s="1419" t="str">
        <f ca="1">IFERROR(IF('GHG Calcs'!$CD23="Gasoline",VLOOKUP('GHG Calcs'!$CG23,'Fuel Consumption'!$A$31:$L$2316,3,0),IF(OR('GHG Calcs'!$CD23="CNG",'GHG Calcs'!$CD23="LNG",'GHG Calcs'!$CD23="Renewable Natural Gas"),VLOOKUP('GHG Calcs'!$CG23,'Fuel Consumption'!$A$31:$L$2316,4,0)*VLOOKUP('GHG Calcs'!$CD23,'GHG EF'!$B$10:$H$19,4,0),VLOOKUP('GHG Calcs'!$CG23,'Fuel Consumption'!$A$31:$L$2316,2,0)*VLOOKUP('GHG Calcs'!$AD23,'GHG EF'!$B$10:$H$19,4,0))),"")</f>
        <v/>
      </c>
      <c r="ET23" s="1419" t="str">
        <f ca="1">IFERROR(IF(OR('GHG Calcs'!$CD23="Diesel",'GHG Calcs'!$CD23="Renewable Diesel",'GHG Calcs'!$CD23="Biodiesel"),VLOOKUP('GHG Calcs'!$CG23,'Fuel Consumption'!$A$31:$L$2316,6,0)*VLOOKUP('GHG Calcs'!$CD23,'GHG EF'!$B$10:$H$19,4,0),VLOOKUP('GHG Calcs'!$CG23,'Fuel Consumption'!$A$31:$L$2316,7,0)*VLOOKUP('GHG Calcs'!$CD23,'GHG EF'!$B$10:$H$19,5,0)),"")</f>
        <v/>
      </c>
      <c r="EU23" s="1419" t="str">
        <f ca="1">IFERROR(IF(OR('GHG Calcs'!$CD23="Diesel",'GHG Calcs'!$CD23="Renewable Diesel",'GHG Calcs'!$CD23="Biodiesel"),VLOOKUP('GHG Calcs'!$CG23,'Fuel Consumption'!$A$31:$L$2316,9,0)*VLOOKUP('GHG Calcs'!$CD23,'GHG EF'!$B$10:$H$19,4,0),VLOOKUP('GHG Calcs'!$CG23,'Fuel Consumption'!$A$31:$L$2316,10,0)*VLOOKUP('GHG Calcs'!$CD23,'GHG EF'!$B$10:$H$19,5,0)),"")</f>
        <v/>
      </c>
      <c r="EV23" s="1419" t="str">
        <f ca="1">IFERROR(VLOOKUP('GHG Calcs'!$CG23,'Fuel Consumption'!$A$31:$L$2316,12,0)*VLOOKUP('GHG Calcs'!$CD23,'GHG EF'!$B$10:$H$19,4,0),"")</f>
        <v/>
      </c>
      <c r="EW23" s="1373" t="str">
        <f ca="1">IFERROR(IF(OR('GHG Calcs'!CD23=Defaults!$I$4, 'GHG Calcs'!CD23=Defaults!$I$6, 'GHG Calcs'!CD23=Defaults!$I$8),'GHG Calcs'!CE23,IF('GHG Calcs'!CD23=Defaults!$I$3, 'GHG Calcs'!CE23*'GHG EF'!$C$11/'GHG EF'!$C$12,""))*('GHG Calcs'!I23-'GHG Calcs'!H23),"")</f>
        <v/>
      </c>
      <c r="EX23" s="1373" t="str">
        <f ca="1">IFERROR(IF('GHG Calcs'!CD23=Defaults!$I$5,'GHG Calcs'!CE23,"")*('GHG Calcs'!I23-'GHG Calcs'!H23),"")</f>
        <v/>
      </c>
      <c r="EY23" s="1420" t="str">
        <f ca="1">IFERROR('GHG Calcs'!CE23*VLOOKUP('GHG Calcs'!CD23,'Fuel &amp; Travel Costs'!$B$10:$C$19,2,0)*('GHG Calcs'!I23-'GHG Calcs'!H23),"")</f>
        <v/>
      </c>
      <c r="EZ23" s="1420" t="str">
        <f t="shared" ca="1" si="0"/>
        <v/>
      </c>
      <c r="FA23" s="306">
        <f ca="1">INDIRECT("'Quantifiable Component "&amp;$B23&amp;"'!"&amp;$D23&amp;ROW('Quantifiable Component 1'!$77:$77))</f>
        <v>0</v>
      </c>
      <c r="FB23" s="306">
        <f ca="1">INDIRECT("'Quantifiable Component "&amp;$B23&amp;"'!"&amp;$D23&amp;ROW('Quantifiable Component 1'!$78:$78))</f>
        <v>0</v>
      </c>
      <c r="FC23" s="306">
        <f ca="1">INDIRECT("'Quantifiable Component "&amp;$B23&amp;"'!"&amp;$D23&amp;ROW('Quantifiable Component 1'!$79:$79))</f>
        <v>0</v>
      </c>
      <c r="FD23" s="306">
        <f ca="1">INDIRECT("'Quantifiable Component "&amp;$B23&amp;"'!"&amp;$D23&amp;ROW('Quantifiable Component 1'!$80:$80))</f>
        <v>0</v>
      </c>
      <c r="FE23" s="306">
        <f ca="1">INDIRECT("'Quantifiable Component "&amp;$B23&amp;"'!"&amp;$D23&amp;ROW('Quantifiable Component 1'!$81:$81))</f>
        <v>0</v>
      </c>
    </row>
    <row r="24" spans="1:161" s="117" customFormat="1" x14ac:dyDescent="0.35">
      <c r="A24" s="1646">
        <v>5</v>
      </c>
      <c r="B24" s="1367">
        <v>5</v>
      </c>
      <c r="C24" s="1379">
        <v>1</v>
      </c>
      <c r="D24" s="1368" t="str">
        <f>'GHG Calcs'!D24</f>
        <v>E</v>
      </c>
      <c r="E24" s="1416">
        <f ca="1">'GHG Calcs'!U24</f>
        <v>0</v>
      </c>
      <c r="F24" s="1416">
        <f ca="1">'GHG Calcs'!W24</f>
        <v>0</v>
      </c>
      <c r="G24" s="1417" t="str">
        <f ca="1">IFERROR(VLOOKUP('GHG Calcs'!K24,'Auto C&amp;T EF'!$C$35:$K$2662,2,0)*E24,"")</f>
        <v/>
      </c>
      <c r="H24" s="1417" t="str">
        <f ca="1">IFERROR(VLOOKUP('GHG Calcs'!L24,'Auto C&amp;T EF'!$C$35:$K$2662,2,0)*F24,"")</f>
        <v/>
      </c>
      <c r="I24" s="1417" t="str">
        <f ca="1">IFERROR(VLOOKUP('GHG Calcs'!$K24,'Auto C&amp;T EF'!$C$35:$K$2662,3,0)*$E24,"")</f>
        <v/>
      </c>
      <c r="J24" s="1417" t="str">
        <f ca="1">IFERROR(VLOOKUP('GHG Calcs'!$L24,'Auto C&amp;T EF'!$C$35:$K$2662,3,0)*$F24,"")</f>
        <v/>
      </c>
      <c r="K24" s="1417" t="str">
        <f ca="1">IFERROR((VLOOKUP('GHG Calcs'!$K24,'Auto C&amp;T EF'!$C$35:$K$2662,5,0)+VLOOKUP('GHG Calcs'!$K24,'Auto C&amp;T EF'!$C$35:$K$2662,6,0)+VLOOKUP('GHG Calcs'!$K24,'Auto C&amp;T EF'!$C$35:$K$2662,7,0))*$E24,"")</f>
        <v/>
      </c>
      <c r="L24" s="1417" t="str">
        <f ca="1">IFERROR((VLOOKUP('GHG Calcs'!$L24,'Auto C&amp;T EF'!$C$35:$K$2662,5,0)+VLOOKUP('GHG Calcs'!$L24,'Auto C&amp;T EF'!$C$35:$K$2662,6,0)+VLOOKUP('GHG Calcs'!$L24,'Auto C&amp;T EF'!$C$35:$K$2662,7,0))*$F24,"")</f>
        <v/>
      </c>
      <c r="M24" s="1417" t="str">
        <f ca="1">IFERROR(VLOOKUP('GHG Calcs'!$K24,'Auto C&amp;T EF'!$C$35:$K$2662,8,0)*$E24,"")</f>
        <v/>
      </c>
      <c r="N24" s="1417" t="str">
        <f ca="1">IFERROR(VLOOKUP('GHG Calcs'!$L24,'Auto C&amp;T EF'!$C$35:$K$2662,8,0)*$F24,"")</f>
        <v/>
      </c>
      <c r="O24" s="1418">
        <f ca="1">IFERROR(AVERAGE(G24:H24)*('GHG Calcs'!I24-'GHG Calcs'!H24),0)</f>
        <v>0</v>
      </c>
      <c r="P24" s="1418">
        <f ca="1">IFERROR(AVERAGE(I24:J24)*('GHG Calcs'!I24-'GHG Calcs'!H24),0)</f>
        <v>0</v>
      </c>
      <c r="Q24" s="1418">
        <f ca="1">IFERROR(AVERAGE(K24:L24)*('GHG Calcs'!I24-'GHG Calcs'!H24),0)</f>
        <v>0</v>
      </c>
      <c r="R24" s="1418">
        <f ca="1">IFERROR(AVERAGE(M24:N24)*('GHG Calcs'!I24-'GHG Calcs'!H24),0)</f>
        <v>0</v>
      </c>
      <c r="S24" s="1418">
        <f ca="1">IFERROR(AVERAGE(E24*VLOOKUP('GHG Calcs'!K24,'Auto C&amp;T EF'!$C$35:$L$2662,10,0),F24*VLOOKUP('GHG Calcs'!L24,'Auto C&amp;T EF'!$C$35:$L$2662,10,0))*('GHG Calcs'!I24-'GHG Calcs'!H24),0)</f>
        <v>0</v>
      </c>
      <c r="T24" s="1379">
        <f ca="1">INDIRECT("'Quantifiable Component "&amp;$B24&amp;"'!"&amp;$D24&amp;ROW('Quantifiable Component 1'!$47:$47))</f>
        <v>0</v>
      </c>
      <c r="U24" s="1379">
        <f ca="1">INDIRECT("'Quantifiable Component "&amp;$B24&amp;"'!"&amp;$D24&amp;ROW('Quantifiable Component 1'!$48:$48))</f>
        <v>0</v>
      </c>
      <c r="V24" s="306" t="str">
        <f ca="1">IFERROR(IF('GHG Calcs'!$AD24="Gasoline",VLOOKUP('GHG Calcs'!$AH24,'Bus C&amp;T EF'!$D$30:$V$2315,3,0),IF(OR('GHG Calcs'!$AD24="CNG",'GHG Calcs'!$AD24="LNG",'GHG Calcs'!$AD24="Renewable Natural Gas"),VLOOKUP('GHG Calcs'!$AH24,'Bus C&amp;T EF'!$D$30:$V$2315,4,0),VLOOKUP('GHG Calcs'!$AH24,'Bus C&amp;T EF'!$D$30:$V$2315,2,0)))/IF('GHG Calcs'!AE24&gt;0,$BF24,1),"")</f>
        <v/>
      </c>
      <c r="W24" s="306" t="str">
        <f ca="1">IFERROR(IF('GHG Calcs'!$AD24="Gasoline",VLOOKUP('GHG Calcs'!$AH24,'Bus C&amp;T EF'!$D$30:$V$2315,6,0),IF(OR('GHG Calcs'!$AD24="CNG",'GHG Calcs'!$AD24="LNG",'GHG Calcs'!$AD24="Renewable Natural Gas"),VLOOKUP('GHG Calcs'!$AH24,'Bus C&amp;T EF'!$D$30:$V$2315,7,0),VLOOKUP('GHG Calcs'!$AH24,'Bus C&amp;T EF'!$D$30:$V$2315,5,0)))/IF('GHG Calcs'!AE24&gt;0,$BF24,1),"")</f>
        <v/>
      </c>
      <c r="X24" s="1419" t="str">
        <f ca="1">IFERROR(IF('GHG Calcs'!$AD24="Gasoline",VLOOKUP('GHG Calcs'!$AH24,'Bus C&amp;T EF'!$D$30:$V$2315,9,0),IF(OR('GHG Calcs'!$AD24="CNG",'GHG Calcs'!$AD24="LNG",'GHG Calcs'!$AD24="Renewable Natural Gas"),VLOOKUP('GHG Calcs'!$AH24,'Bus C&amp;T EF'!$D$30:$V$2315,10,0),VLOOKUP('GHG Calcs'!$AH24,'Bus C&amp;T EF'!$D$30:$V$2315,8,0)))/IF('GHG Calcs'!AE24&gt;0,$BF24,1),"")</f>
        <v/>
      </c>
      <c r="Y24" s="1419" t="str">
        <f ca="1">IFERROR(IF('GHG Calcs'!$AD24="Gasoline",VLOOKUP('GHG Calcs'!$AH24,'Bus C&amp;T EF'!$D$30:$V$2315,12,0),IF(OR('GHG Calcs'!$AD24="CNG",'GHG Calcs'!$AD24="LNG",'GHG Calcs'!$AD24="Renewable Natural Gas"),VLOOKUP('GHG Calcs'!$AH24,'Bus C&amp;T EF'!$D$30:$V$2315,13,0),IF(OR('GHG Calcs'!$AD24="Electric",'GHG Calcs'!$AD24="Hydrogen Fuel Cell",'GHG Calcs'!$AD24="Renewable Electricity"),VLOOKUP('GHG Calcs'!$AH24,'Bus C&amp;T EF'!$D$30:$V$2315,14,0),VLOOKUP('GHG Calcs'!$AH24,'Bus C&amp;T EF'!$D$30:$V$2315,11,0))))/IF('GHG Calcs'!AE24&gt;0,$BF24,1),"")</f>
        <v/>
      </c>
      <c r="Z24" s="1419" t="str">
        <f ca="1">IFERROR(IF('GHG Calcs'!$AD24="Gasoline",VLOOKUP('GHG Calcs'!$AH24,'Bus C&amp;T EF'!$D$30:$V$2315,16,0),IF(OR('GHG Calcs'!$AD24="CNG",'GHG Calcs'!$AD24="LNG",'GHG Calcs'!$AD24="Renewable Natural Gas"),VLOOKUP('GHG Calcs'!$AH24,'Bus C&amp;T EF'!$D$30:$V$2315,17,0),IF(OR('GHG Calcs'!$AD24="Electric",'GHG Calcs'!$AD24="Hydrogen Fuel Cell",'GHG Calcs'!$AD24="Renewable Electricity"),VLOOKUP('GHG Calcs'!$AH24,'Bus C&amp;T EF'!$D$30:$V$2315,18,0),VLOOKUP('GHG Calcs'!$AH24,'Bus C&amp;T EF'!$D$30:$V$2315,15,0))))/IF('GHG Calcs'!AE24&gt;0,$BF24,1),"")</f>
        <v/>
      </c>
      <c r="AA24" s="306" t="str">
        <f ca="1">IFERROR(IF('GHG Calcs'!$AD24="Gasoline",0,VLOOKUP('GHG Calcs'!$AH24,'Bus C&amp;T EF'!$D$30:$V$2315,19,0))/IF('GHG Calcs'!AE24&gt;0,$BF24,1),"")</f>
        <v/>
      </c>
      <c r="AB24" s="1419" t="str">
        <f ca="1">IFERROR(IF(OR('GHG Calcs'!$AD24="Diesel",'GHG Calcs'!$AD24="Renewable Diesel",'GHG Calcs'!$AD24="Biodiesel"),VLOOKUP('GHG Calcs'!$AH24,'Van C&amp;T EF'!$D$30:$Q$2315,2,0),VLOOKUP('GHG Calcs'!$AH24,'Van C&amp;T EF'!$D$30:$Q$2315,3,0))/IF('GHG Calcs'!AE24&gt;0,$BG24,1),"")</f>
        <v/>
      </c>
      <c r="AC24" s="1419" t="str">
        <f ca="1">IFERROR(IF(OR('GHG Calcs'!$AD24="Diesel",'GHG Calcs'!$AD24="Renewable Diesel",'GHG Calcs'!$AD24="Biodiesel"),VLOOKUP('GHG Calcs'!$AH24,'Van C&amp;T EF'!$D$30:$Q$2315,4,0),VLOOKUP('GHG Calcs'!$AH24,'Van C&amp;T EF'!$D$30:$Q$2315,5,0))/IF('GHG Calcs'!AE24&gt;0,$BG24,1),"")</f>
        <v/>
      </c>
      <c r="AD24" s="1419" t="str">
        <f ca="1">IFERROR(IF(OR('GHG Calcs'!$AD24="Diesel",'GHG Calcs'!$AD24="Renewable Diesel",'GHG Calcs'!$AD24="Biodiesel"),VLOOKUP('GHG Calcs'!$AH24,'Van C&amp;T EF'!$D$30:$Q$2315,6,0),VLOOKUP('GHG Calcs'!$AH24,'Van C&amp;T EF'!$D$30:$Q$2315,7,0))/IF('GHG Calcs'!AE24&gt;0,$BG24,1),"")</f>
        <v/>
      </c>
      <c r="AE24" s="1419" t="str">
        <f ca="1">IFERROR(IF(OR('GHG Calcs'!$AD24="Diesel",'GHG Calcs'!$AD24="Renewable Diesel",'GHG Calcs'!$AD24="Biodiesel"),VLOOKUP('GHG Calcs'!$AH24,'Van C&amp;T EF'!$D$30:$Q$2315,8,0),IF(OR('GHG Calcs'!$AD24="Electric",'GHG Calcs'!$AD24="Hydrogen Fuel Cell",'GHG Calcs'!$AD24="Renewable Electricity"),VLOOKUP('GHG Calcs'!$AH24,'Van C&amp;T EF'!$D$30:$Q$2315,10,0),VLOOKUP('GHG Calcs'!$AH24,'Van C&amp;T EF'!$D$30:$Q$2315,9,0)))/IF('GHG Calcs'!AE24&gt;0,$BG24,1),"")</f>
        <v/>
      </c>
      <c r="AF24" s="1419" t="str">
        <f ca="1">IFERROR(IF(OR('GHG Calcs'!$AD24="Diesel",'GHG Calcs'!$AD24="Renewable Diesel",'GHG Calcs'!$AD24="Biodiesel"),VLOOKUP('GHG Calcs'!$AH24,'Van C&amp;T EF'!$D$30:$Q$2315,11,0),IF(OR('GHG Calcs'!$AD24="Electric",'GHG Calcs'!$AD24="Hydrogen Fuel Cell",'GHG Calcs'!$AD24="Renewable Electricity"),VLOOKUP('GHG Calcs'!$AH24,'Van C&amp;T EF'!$D$30:$Q$2315,13,0),VLOOKUP('GHG Calcs'!$AH24,'Van C&amp;T EF'!$D$30:$Q$2315,12,0)))/IF('GHG Calcs'!AE24&gt;0,$BG24,1),"")</f>
        <v/>
      </c>
      <c r="AG24" s="306">
        <f ca="1">IFERROR(IF(OR('GHG Calcs'!$AD24="Diesel",'GHG Calcs'!$AD24="Biodiesel",'GHG Calcs'!$AD24="Renewable Diesel"),VLOOKUP('GHG Calcs'!$AH24,'Van C&amp;T EF'!$D$30:$Q$2315,14,0),0)/IF('GHG Calcs'!AE24&gt;0,$BG24,1),"")</f>
        <v>0</v>
      </c>
      <c r="AH24" s="1419" t="str">
        <f ca="1">IFERROR(IF(OR('GHG Calcs'!$AD24="Diesel",'GHG Calcs'!$AD24="Renewable Diesel",'GHG Calcs'!$AD24="Biodiesel"),VLOOKUP('GHG Calcs'!$AH24,'Shuttle C&amp;T EF'!$D$30:$Q$2315,2,0),VLOOKUP('GHG Calcs'!$AH24,'Shuttle C&amp;T EF'!$D$30:$Q$2315,3,0))/IF('GHG Calcs'!AE24&gt;0,$BH24,1),"")</f>
        <v/>
      </c>
      <c r="AI24" s="1419" t="str">
        <f ca="1">IFERROR(IF(OR('GHG Calcs'!$AD24="Diesel",'GHG Calcs'!$AD24="Renewable Diesel",'GHG Calcs'!$AD24="Biodiesel"),VLOOKUP('GHG Calcs'!$AH24,'Shuttle C&amp;T EF'!$D$30:$Q$2315,4,0),VLOOKUP('GHG Calcs'!$AH24,'Shuttle C&amp;T EF'!$D$30:$Q$2315,5,0))/IF('GHG Calcs'!AE24&gt;0,$BH24,1),"")</f>
        <v/>
      </c>
      <c r="AJ24" s="1419" t="str">
        <f ca="1">IFERROR(IF(OR('GHG Calcs'!$AD24="Diesel",'GHG Calcs'!$AD24="Renewable Diesel",'GHG Calcs'!$AD24="Biodiesel"),VLOOKUP('GHG Calcs'!$AH24,'Shuttle C&amp;T EF'!$D$30:$Q$2315,6,0),VLOOKUP('GHG Calcs'!$AH24,'Shuttle C&amp;T EF'!$D$30:$Q$2315,7,0))/IF('GHG Calcs'!AE24&gt;0,$BH24,1),"")</f>
        <v/>
      </c>
      <c r="AK24" s="1419" t="str">
        <f ca="1">IFERROR(IF(OR('GHG Calcs'!$AD24="Diesel",'GHG Calcs'!$AD24="Renewable Diesel",'GHG Calcs'!$AD24="Biodiesel"),VLOOKUP('GHG Calcs'!$AH24,'Shuttle C&amp;T EF'!$D$30:$Q$2315,8,0),IF(OR('GHG Calcs'!$AD24="Electric",'GHG Calcs'!$AD24="Hydrogen Fuel Cell",'GHG Calcs'!$AD24="Renewable Electricity"),VLOOKUP('GHG Calcs'!$AH24,'Shuttle C&amp;T EF'!$D$30:$Q$2315,10,0),VLOOKUP('GHG Calcs'!$AH24,'Shuttle C&amp;T EF'!$D$30:$Q$2315,9,0)))/IF('GHG Calcs'!AE24&gt;0,$BH24,1),"")</f>
        <v/>
      </c>
      <c r="AL24" s="1419" t="str">
        <f ca="1">IFERROR(IF(OR('GHG Calcs'!$AD24="Diesel",'GHG Calcs'!$AD24="Renewable Diesel",'GHG Calcs'!$AD24="Biodiesel"),VLOOKUP('GHG Calcs'!$AH24,'Shuttle C&amp;T EF'!$D$30:$Q$2315,11,0),IF(OR('GHG Calcs'!$AD24="Electric",'GHG Calcs'!$AD24="Hydrogen Fuel Cell",'GHG Calcs'!$AD24="Renewable Electricity"),VLOOKUP('GHG Calcs'!$AH24,'Shuttle C&amp;T EF'!$D$30:$Q$2315,13,0),VLOOKUP('GHG Calcs'!$AH24,'Shuttle C&amp;T EF'!$D$30:$Q$2315,12,0)))/IF('GHG Calcs'!AE24&gt;0,$BH24,1),"")</f>
        <v/>
      </c>
      <c r="AM24" s="1419">
        <f ca="1">IFERROR(IF(OR('GHG Calcs'!$AD24="Diesel",'GHG Calcs'!$AD24="Biodiesel",'GHG Calcs'!$AD24="Renewable Diesel"),VLOOKUP('GHG Calcs'!$AH24,'Shuttle C&amp;T EF'!$D$30:$Q$2315,14,0),0)/IF('GHG Calcs'!AE24&gt;0,$BH24,1),"")</f>
        <v>0</v>
      </c>
      <c r="AN24" s="306" t="str">
        <f ca="1">IFERROR((VLOOKUP('GHG Calcs'!$AH24,'Over-Road Coach C&amp;T EF'!$D$29:$N$2314,2,0)+VLOOKUP('GHG Calcs'!$AH24,'Over-Road Coach C&amp;T EF'!$D$29:$N$2314,3,0))/IF('GHG Calcs'!AE24&gt;0,$BI24,1),"")</f>
        <v/>
      </c>
      <c r="AO24" s="306" t="str">
        <f ca="1">IFERROR((VLOOKUP('GHG Calcs'!$AH24,'Over-Road Coach C&amp;T EF'!$D$29:$N$2314,4,0)+VLOOKUP('GHG Calcs'!$AH24,'Over-Road Coach C&amp;T EF'!$D$29:$N$2314,5,0))/IF('GHG Calcs'!AE24&gt;0,$BI24,1),"")</f>
        <v/>
      </c>
      <c r="AP24" s="306" t="str">
        <f ca="1">IFERROR((VLOOKUP('GHG Calcs'!$AH24,'Over-Road Coach C&amp;T EF'!$D$29:$N$2314,6,0)+VLOOKUP('GHG Calcs'!$AH24,'Over-Road Coach C&amp;T EF'!$D$29:$N$2314,7,0))/IF('GHG Calcs'!AE24&gt;0,$BI24,1),"")</f>
        <v/>
      </c>
      <c r="AQ24" s="306" t="str">
        <f ca="1">IFERROR(VLOOKUP('GHG Calcs'!$AH24,'Over-Road Coach C&amp;T EF'!$D$29:$N$2314,8,0)/IF('GHG Calcs'!AE24&gt;0,$BI24,1),"")</f>
        <v/>
      </c>
      <c r="AR24" s="306" t="str">
        <f ca="1">IFERROR(VLOOKUP('GHG Calcs'!$AH24,'Over-Road Coach C&amp;T EF'!$D$29:$N$2314,9,0)/IF('GHG Calcs'!AE24&gt;0,$BI24,1),"")</f>
        <v/>
      </c>
      <c r="AS24" s="306" t="str">
        <f ca="1">IFERROR((VLOOKUP('GHG Calcs'!$AH24,'Over-Road Coach C&amp;T EF'!$D$29:$N$2314,10,0)+VLOOKUP('GHG Calcs'!$AH24,'Over-Road Coach C&amp;T EF'!$D$29:$N$2314,11,0))/IF('GHG Calcs'!AE24&gt;0,$BI24,1),"")</f>
        <v/>
      </c>
      <c r="AT24" s="306" t="str">
        <f ca="1">IFERROR(VLOOKUP(T24,'Co-Benefit Calcs'!$E$76:$I$83,2,0)/IF('GHG Calcs'!$AE24&gt;0,'Rail C&amp;T EF'!$K$14,1),"")</f>
        <v/>
      </c>
      <c r="AU24" s="306" t="str">
        <f ca="1">IFERROR(VLOOKUP(T24,'Co-Benefit Calcs'!$E$76:$I$83,3,0)/IF('GHG Calcs'!$AE24&gt;0,'Rail C&amp;T EF'!$K$14,1),"")</f>
        <v/>
      </c>
      <c r="AV24" s="306" t="str">
        <f ca="1">IFERROR(VLOOKUP(T24,'Co-Benefit Calcs'!$E$76:$I$83,4,0)/IF('GHG Calcs'!$AE24&gt;0,'Rail C&amp;T EF'!$K$14,1),"")</f>
        <v/>
      </c>
      <c r="AW24" s="306" t="str">
        <f ca="1">IFERROR(IF('GHG Calcs'!$AD24="Gasoline",0,VLOOKUP(T24,'Co-Benefit Calcs'!$E$76:$I$83,5,0))/IF('GHG Calcs'!$AE24&gt;0,'Rail C&amp;T EF'!$K$14,1),"")</f>
        <v/>
      </c>
      <c r="AX24" s="306" t="str">
        <f ca="1">IFERROR(VLOOKUP('GHG Calcs'!$AG24,'Rail C&amp;T EF'!$A$43:$Y$133,IF(U24&gt;750,23, IF(U24&gt;=600,20, IF(U24&gt;=300,17, IF(U24&gt;=175,14, IF(U24&gt;=100,11, IF(U24&gt;=75,8, IF(U24&gt;=50,5, 2))))))),0) * IF($U24&gt;=750,'Rail C&amp;T EF'!$K$18,'Rail C&amp;T EF'!$K$19) * IF('GHG Calcs'!$AE24&gt;0,1,'Rail C&amp;T EF'!$B$149) * IF(OR('GHG Calcs'!AD24="Diesel", 'GHG Calcs'!AD24="Renewable Diesel", 'GHG Calcs'!AD24="Biodiesel"),'Rail C&amp;T EF'!$B$141,'Rail C&amp;T EF'!$B$142),"")</f>
        <v/>
      </c>
      <c r="AY24" s="306" t="str">
        <f ca="1">IFERROR(VLOOKUP('GHG Calcs'!$AG24,'Rail C&amp;T EF'!$A$43:$Y$133,IF(U24&gt;750,24, IF(U24&gt;=600,21, IF(U24&gt;=300,18, IF(U24&gt;=175,15, IF(U24&gt;=100,12, IF(U24&gt;=75,9, IF(U24&gt;=50,6, 3))))))),0) * IF($U24&gt;=750,'Rail C&amp;T EF'!$K$18,'Rail C&amp;T EF'!$K$19) * IF('GHG Calcs'!$AE24&gt;0,1,'Rail C&amp;T EF'!$B$149),"")</f>
        <v/>
      </c>
      <c r="AZ24" s="306" t="str">
        <f ca="1">IFERROR(VLOOKUP('GHG Calcs'!$AG24,'Rail C&amp;T EF'!$A$43:$Y$133,IF(U24&gt;750,25, IF(U24&gt;=600,22, IF(U24&gt;=300,19, IF(U24&gt;=175,16, IF(U24&gt;=100,13, IF(U24&gt;=75,10, IF(U24&gt;=50,7, 4))))))),0) * IF($U24&gt;=750,'Rail C&amp;T EF'!$K$18,'Rail C&amp;T EF'!$K$19) * IF('GHG Calcs'!$AE24&gt;0,1,'Rail C&amp;T EF'!$B$149)*'Rail C&amp;T EF'!$B$146,"")</f>
        <v/>
      </c>
      <c r="BA24" s="306" t="str">
        <f ca="1">IFERROR(IF('GHG Calcs'!$AD24="Gasoline",0,VLOOKUP('GHG Calcs'!$AG24,'Rail C&amp;T EF'!$A$43:$Y$133,IF(U24&gt;750,25, IF(U24&gt;=600,22, IF(U24&gt;=300,19, IF(U24&gt;=175,16, IF(U24&gt;=100,13, IF(U24&gt;=75,10, IF(U24&gt;=50,7, 4))))))),0) * IF($U24&gt;=750,'Rail C&amp;T EF'!$K$18,'Rail C&amp;T EF'!$K$19) * IF('GHG Calcs'!$AE24&gt;0,1,'Rail C&amp;T EF'!$B$149)),"")</f>
        <v/>
      </c>
      <c r="BB24" s="306" t="str">
        <f ca="1">IFERROR(VLOOKUP('GHG Calcs'!$AG24,'Ferry C&amp;T EF'!$A$106:$AK$196,IF(U24&gt;=3301,35, IF(U24&gt;=1901,31, IF(U24&gt;=751,27, IF(U24&gt;=501,23, IF(U24&gt;=251,19, IF(U24&gt;=176,15, IF(U24&gt;=121,11, IF(U24&gt;=51,7, 3)))))))),0),"")</f>
        <v/>
      </c>
      <c r="BC24" s="306" t="str">
        <f ca="1">IFERROR(VLOOKUP('GHG Calcs'!$AG24,'Ferry C&amp;T EF'!$A$106:$AK$196,IF(U24&gt;=3301,34, IF(U24&gt;=1901,30, IF(U24&gt;=751,26, IF(U24&gt;=501,22, IF(U24&gt;=251,18, IF(U24&gt;=176,14, IF(U24&gt;=121,10, IF(U24&gt;=51,6, 2)))))))),0),"")</f>
        <v/>
      </c>
      <c r="BD24" s="306" t="str">
        <f ca="1">IFERROR(VLOOKUP('GHG Calcs'!$AG24,'Ferry C&amp;T EF'!$A$106:$AK$196,IF(U24&gt;=3301,37, IF(U24&gt;=1901,33, IF(U24&gt;=751,29, IF(U24&gt;=501,25, IF(U24&gt;=251,21, IF(U24&gt;=176,17, IF(U24&gt;=121,13, IF(U24&gt;=51,9, 5)))))))),0),"")</f>
        <v/>
      </c>
      <c r="BE24" s="306" t="str">
        <f ca="1">IFERROR(IF('GHG Calcs'!$AD24="Gasoline",0,VLOOKUP('GHG Calcs'!$AG24,'Ferry C&amp;T EF'!$A$106:$AK$196,IF(U24&gt;=3301,36, IF(U24&gt;=1901,32, IF(U24&gt;=751,28, IF(U24&gt;=501,24, IF(U24&gt;=251,20, IF(U24&gt;=176,16, IF(U24&gt;=121,12, IF(U24&gt;=51,8, 4)))))))),0)),"")</f>
        <v/>
      </c>
      <c r="BF24" s="1419" t="str">
        <f ca="1">IFERROR(IF('GHG Calcs'!$AD24="Gasoline",VLOOKUP('GHG Calcs'!$AH24,'Fuel Consumption'!$A$31:$L$2316,3,0),IF(OR('GHG Calcs'!$AD24="CNG",'GHG Calcs'!$AD24="LNG",'GHG Calcs'!$AD24="Renewable Natural Gas"),VLOOKUP('GHG Calcs'!$AH24,'Fuel Consumption'!$A$31:$L$2316,4,0)*VLOOKUP('GHG Calcs'!$AD24,'GHG EF'!$B$10:$H$19,4,0),VLOOKUP('GHG Calcs'!$AH24,'Fuel Consumption'!$A$31:$L$2316,2,0)*VLOOKUP('GHG Calcs'!$AD24,'GHG EF'!$B$10:$H$19,4,0))),"")</f>
        <v/>
      </c>
      <c r="BG24" s="1419" t="str">
        <f ca="1">IFERROR(IF(OR('GHG Calcs'!$AD24="Diesel",'GHG Calcs'!$AD24="Renewable Diesel",'GHG Calcs'!$AD24="Biodiesel"),VLOOKUP('GHG Calcs'!$AH24,'Fuel Consumption'!$A$31:$L$2316,6,0)*VLOOKUP('GHG Calcs'!$AD24,'GHG EF'!$B$10:$H$19,4,0),VLOOKUP('GHG Calcs'!$AH24,'Fuel Consumption'!$A$31:$L$2316,7,0)*VLOOKUP('GHG Calcs'!$AD24,'GHG EF'!$B$10:$H$19,5,0)),"")</f>
        <v/>
      </c>
      <c r="BH24" s="1419" t="str">
        <f ca="1">IFERROR(IF(OR('GHG Calcs'!$AD24="Diesel",'GHG Calcs'!$AD24="Renewable Diesel",'GHG Calcs'!$AD24="Biodiesel"),VLOOKUP('GHG Calcs'!$AH24,'Fuel Consumption'!$A$31:$L$2316,9,0)*VLOOKUP('GHG Calcs'!$AD24,'GHG EF'!$B$10:$H$19,4,0),VLOOKUP('GHG Calcs'!$AH24,'Fuel Consumption'!$A$31:$L$2316,10,0)*VLOOKUP('GHG Calcs'!$AD24,'GHG EF'!$B$10:$H$19,5,0)),"")</f>
        <v/>
      </c>
      <c r="BI24" s="1419" t="str">
        <f ca="1">IFERROR(VLOOKUP('GHG Calcs'!$AH24,'Fuel Consumption'!$A$31:$L$2316,12,0)*VLOOKUP('GHG Calcs'!$AD24,'GHG EF'!$B$10:$H$19,4,0),"")</f>
        <v/>
      </c>
      <c r="BJ24" s="1373" t="str">
        <f ca="1">IFERROR(IF(OR('GHG Calcs'!AD24=Defaults!$I$3, 'GHG Calcs'!AD24=Defaults!$I$4, 'GHG Calcs'!AD24=Defaults!$I$6, 'GHG Calcs'!AD24=Defaults!$I$8), IF('GHG Calcs'!AE24&gt;0,'GHG Calcs'!AE24*IF('GHG Calcs'!AD24=Defaults!$I$3,'GHG EF'!$C$11/'GHG EF'!$C$12,1),'GHG Calcs'!AK24*'GHG Calcs'!AI24),"")*('GHG Calcs'!I24-'GHG Calcs'!H24),"")</f>
        <v/>
      </c>
      <c r="BK24" s="1373" t="str">
        <f ca="1">IFERROR(IF('GHG Calcs'!AD24=Defaults!$I$5,IF('GHG Calcs'!AE24&gt;0,'GHG Calcs'!AE24,'GHG Calcs'!AJ24*'GHG Calcs'!AI24),"")*IF('GHG Calcs'!AF24&lt;'GHG EF'!$D$13,'GHG Calcs'!AF24/'GHG EF'!$D$13,1)*IF('GHG Calcs'!AF24&lt;0,0,1)*('GHG Calcs'!I24-'GHG Calcs'!H24),"")</f>
        <v/>
      </c>
      <c r="BL24" s="1373" t="str">
        <f ca="1">IFERROR(IF('GHG Calcs'!AD24=Defaults!$I$11, IF(IF('GHG Calcs'!AE24&gt;0,'GHG Calcs'!AE24,'GHG Calcs'!AJ24*'GHG Calcs'!AI24)&lt;INDIRECT("'"&amp;#REF!&amp;"'!"&amp;$D24&amp;ROW(#REF!)), IF('GHG Calcs'!AE24&gt;0,'GHG Calcs'!AE24,'GHG Calcs'!AJ24*'GHG Calcs'!AI24), INDIRECT("'"&amp;#REF!&amp;"'!"&amp;$D24&amp;ROW(#REF!))),"")*('GHG Calcs'!I24-'GHG Calcs'!H24),"")</f>
        <v/>
      </c>
      <c r="BM24" s="1420" t="str">
        <f ca="1">IFERROR(IF('GHG Calcs'!AE24&gt;0,'GHG Calcs'!AE24,'GHG Calcs'!AL24*'GHG Calcs'!AI24)*VLOOKUP('GHG Calcs'!AD24,'Fuel &amp; Travel Costs'!$B$10:$C$19,2,0)*('GHG Calcs'!I24-'GHG Calcs'!H24),"")</f>
        <v/>
      </c>
      <c r="BN24" s="306">
        <f ca="1">INDIRECT("'Quantifiable Component "&amp;$B24&amp;"'!"&amp;$D24&amp;ROW('Quantifiable Component 1'!$59:$59))</f>
        <v>0</v>
      </c>
      <c r="BO24" s="306">
        <f ca="1">INDIRECT("'Quantifiable Component "&amp;$B24&amp;"'!"&amp;$D24&amp;ROW('Quantifiable Component 1'!$60:$60))</f>
        <v>0</v>
      </c>
      <c r="BP24" s="1421" t="str">
        <f ca="1">IFERROR(IF('GHG Calcs'!$BD24="Gasoline",VLOOKUP('GHG Calcs'!$BL24,'Bus C&amp;T EF'!$D$30:$V$2315,3,0),IF(OR('GHG Calcs'!$BD24="CNG",'GHG Calcs'!$BD24="LNG",'GHG Calcs'!$BD24="Renewable Natural Gas"),VLOOKUP('GHG Calcs'!$BL24,'Bus C&amp;T EF'!$D$30:$V$2315,4,0),VLOOKUP('GHG Calcs'!$BL24,'Bus C&amp;T EF'!$D$30:$V$2315,2,0)))/IF('GHG Calcs'!BE24&gt;0,$CZ24,1),"")</f>
        <v/>
      </c>
      <c r="BQ24" s="1419" t="str">
        <f ca="1">IFERROR(IF('GHG Calcs'!$BD24="Gasoline",VLOOKUP('GHG Calcs'!$BL24,'Bus C&amp;T EF'!$D$30:$V$2315,6,0),IF(OR('GHG Calcs'!$BD24="CNG",'GHG Calcs'!$BD24="LNG",'GHG Calcs'!$BD24="Renewable Natural Gas"),VLOOKUP('GHG Calcs'!$BL24,'Bus C&amp;T EF'!$D$30:$V$2315,7,0),VLOOKUP('GHG Calcs'!$BL24,'Bus C&amp;T EF'!$D$30:$V$2315,5,0)))/IF('GHG Calcs'!BE24&gt;0,$CZ24,1),"")</f>
        <v/>
      </c>
      <c r="BR24" s="1419" t="str">
        <f ca="1">IFERROR(IF('GHG Calcs'!$BD24="Gasoline",VLOOKUP('GHG Calcs'!$BL24,'Bus C&amp;T EF'!$D$30:$V$2315,9,0),IF(OR('GHG Calcs'!$BD24="CNG",'GHG Calcs'!$BD24="LNG",'GHG Calcs'!$BD24="Renewable Natural Gas"),VLOOKUP('GHG Calcs'!$BL24,'Bus C&amp;T EF'!$D$30:$V$2315,10,0),VLOOKUP('GHG Calcs'!$BL24,'Bus C&amp;T EF'!$D$30:$V$2315,8,0)))/IF('GHG Calcs'!BE24&gt;0,$CZ24,1),"")</f>
        <v/>
      </c>
      <c r="BS24" s="1419" t="str">
        <f ca="1">IFERROR(IF('GHG Calcs'!$BD24="Gasoline",VLOOKUP('GHG Calcs'!$BL24,'Bus C&amp;T EF'!$D$30:$V$2315,12,0),IF(OR('GHG Calcs'!$BD24="CNG",'GHG Calcs'!$BD24="LNG",'GHG Calcs'!$BD24="Renewable Natural Gas"),VLOOKUP('GHG Calcs'!$BL24,'Bus C&amp;T EF'!$D$30:$V$2315,13,0),IF(OR('GHG Calcs'!$BD24="Electric",'GHG Calcs'!$BD24="Hydrogen Fuel Cell",'GHG Calcs'!$BD24="Renewable Electricity"),VLOOKUP('GHG Calcs'!$BL24,'Bus C&amp;T EF'!$D$30:$V$2315,14,0),VLOOKUP('GHG Calcs'!$BL24,'Bus C&amp;T EF'!$D$30:$V$2315,11,0))))/IF('GHG Calcs'!BE24&gt;0,$CZ24,1),"")</f>
        <v/>
      </c>
      <c r="BT24" s="1419" t="str">
        <f ca="1">IFERROR(IF('GHG Calcs'!$BD24="Gasoline",VLOOKUP('GHG Calcs'!$BL24,'Bus C&amp;T EF'!$D$30:$V$2315,16,0),IF(OR('GHG Calcs'!$BD24="CNG",'GHG Calcs'!$BD24="LNG",'GHG Calcs'!$BD24="Renewable Natural Gas"),VLOOKUP('GHG Calcs'!$BL24,'Bus C&amp;T EF'!$D$30:$V$2315,17,0),IF(OR('GHG Calcs'!$BD24="Electric",'GHG Calcs'!$BD24="Hydrogen Fuel Cell",'GHG Calcs'!$BD24="Renewable Electricity"),VLOOKUP('GHG Calcs'!$BL24,'Bus C&amp;T EF'!$D$30:$V$2315,18,0),VLOOKUP('GHG Calcs'!$BL24,'Bus C&amp;T EF'!$D$30:$V$2315,15,0))))/IF('GHG Calcs'!BE24&gt;0,$CZ24,1),"")</f>
        <v/>
      </c>
      <c r="BU24" s="306" t="str">
        <f ca="1">IFERROR(IF('GHG Calcs'!$BD24="Gasoline",0,VLOOKUP('GHG Calcs'!$BL24,'Bus C&amp;T EF'!$D$30:$V$2315,19,0))/IF('GHG Calcs'!BE24&gt;0,$CZ24,1),"")</f>
        <v/>
      </c>
      <c r="BV24" s="1419" t="str">
        <f ca="1">IFERROR(IF(OR('GHG Calcs'!$BD24="Diesel",'GHG Calcs'!$BD24="Renewable Diesel",'GHG Calcs'!$BD24="Biodiesel"),VLOOKUP('GHG Calcs'!$BL24,'Van C&amp;T EF'!$D$30:$Q$2315,2,0),VLOOKUP('GHG Calcs'!$BL24,'Van C&amp;T EF'!$D$30:$Q$2315,3,0))/IF('GHG Calcs'!BE24&gt;0,$DA24,1),"")</f>
        <v/>
      </c>
      <c r="BW24" s="1419" t="str">
        <f ca="1">IFERROR(IF(OR('GHG Calcs'!$BD24="Diesel",'GHG Calcs'!$BD24="Renewable Diesel",'GHG Calcs'!$BD24="Biodiesel"),VLOOKUP('GHG Calcs'!$BL24,'Van C&amp;T EF'!$D$30:$Q$2315,4,0),VLOOKUP('GHG Calcs'!$BL24,'Van C&amp;T EF'!$D$30:$Q$2315,5,0))/IF('GHG Calcs'!BE24&gt;0,$DA24,1),"")</f>
        <v/>
      </c>
      <c r="BX24" s="1419" t="str">
        <f ca="1">IFERROR(IF(OR('GHG Calcs'!$BD24="Diesel",'GHG Calcs'!$BD24="Renewable Diesel",'GHG Calcs'!$BD24="Biodiesel"),VLOOKUP('GHG Calcs'!$BL24,'Van C&amp;T EF'!$D$30:$Q$2315,6,0),VLOOKUP('GHG Calcs'!$BL24,'Van C&amp;T EF'!$D$30:$Q$2315,7,0))/IF('GHG Calcs'!BE24&gt;0,$DA24,1),"")</f>
        <v/>
      </c>
      <c r="BY24" s="1419" t="str">
        <f ca="1">IFERROR(IF(OR('GHG Calcs'!$BD24="Diesel",'GHG Calcs'!$BD24="Renewable Diesel",'GHG Calcs'!$BD24="Biodiesel"),VLOOKUP('GHG Calcs'!$BL24,'Van C&amp;T EF'!$D$30:$Q$2315,8,0),IF(OR('GHG Calcs'!$BD24="Electric",'GHG Calcs'!$BD24="Hydrogen Fuel Cell",'GHG Calcs'!$BD24="Renewable Electricity"),VLOOKUP('GHG Calcs'!$BL24,'Van C&amp;T EF'!$D$30:$Q$2315,10,0),VLOOKUP('GHG Calcs'!$BL24,'Van C&amp;T EF'!$D$30:$Q$2315,9,0)))/IF('GHG Calcs'!BE24&gt;0,$DA24,1),"")</f>
        <v/>
      </c>
      <c r="BZ24" s="1419" t="str">
        <f ca="1">IFERROR(IF(OR('GHG Calcs'!$BD24="Diesel",'GHG Calcs'!$BD24="Renewable Diesel",'GHG Calcs'!$BD24="Biodiesel"),VLOOKUP('GHG Calcs'!$BL24,'Van C&amp;T EF'!$D$30:$Q$2315,11,0),IF(OR('GHG Calcs'!$BD24="Electric",'GHG Calcs'!$BD24="Hydrogen Fuel Cell",'GHG Calcs'!$BD24="Renewable Electricity"),VLOOKUP('GHG Calcs'!$BL24,'Van C&amp;T EF'!$D$30:$Q$2315,13,0),VLOOKUP('GHG Calcs'!$BL24,'Van C&amp;T EF'!$D$30:$Q$2315,12,0)))/IF('GHG Calcs'!BE24&gt;0,$DA24,1),"")</f>
        <v/>
      </c>
      <c r="CA24" s="306">
        <f ca="1">IFERROR(IF(OR('GHG Calcs'!$BD24="Diesel",'GHG Calcs'!$BD24="Biodiesel",'GHG Calcs'!$BD24="Renewable Diesel"),VLOOKUP('GHG Calcs'!$BL24,'Van C&amp;T EF'!$D$30:$Q$2315,14,0),0)/IF('GHG Calcs'!BE24&gt;0,$DA24,1),"")</f>
        <v>0</v>
      </c>
      <c r="CB24" s="1419" t="str">
        <f ca="1">IFERROR(IF(OR('GHG Calcs'!$BD24="Diesel",'GHG Calcs'!$BD24="Renewable Diesel",'GHG Calcs'!$BD24="Biodiesel"),VLOOKUP('GHG Calcs'!$BL24,'Shuttle C&amp;T EF'!$D$30:$Q$2315,2,0),VLOOKUP('GHG Calcs'!$BL24,'Shuttle C&amp;T EF'!$D$30:$Q$2315,3,0))/IF('GHG Calcs'!BE24&gt;0,$DB24,1),"")</f>
        <v/>
      </c>
      <c r="CC24" s="1419" t="str">
        <f ca="1">IFERROR(IF(OR('GHG Calcs'!$BD24="Diesel",'GHG Calcs'!$BD24="Renewable Diesel",'GHG Calcs'!$BD24="Biodiesel"),VLOOKUP('GHG Calcs'!$BL24,'Shuttle C&amp;T EF'!$D$30:$Q$2315,4,0),VLOOKUP('GHG Calcs'!$BL24,'Shuttle C&amp;T EF'!$D$30:$Q$2315,5,0))/IF('GHG Calcs'!BE24&gt;0,$DB24,1),"")</f>
        <v/>
      </c>
      <c r="CD24" s="1419" t="str">
        <f ca="1">IFERROR(IF(OR('GHG Calcs'!$BD24="Diesel",'GHG Calcs'!$BD24="Renewable Diesel",'GHG Calcs'!$BD24="Biodiesel"),VLOOKUP('GHG Calcs'!$BL24,'Shuttle C&amp;T EF'!$D$30:$Q$2315,6,0),VLOOKUP('GHG Calcs'!$BL24,'Shuttle C&amp;T EF'!$D$30:$Q$2315,7,0))/IF('GHG Calcs'!BE24&gt;0,$DB24,1),"")</f>
        <v/>
      </c>
      <c r="CE24" s="1419" t="str">
        <f ca="1">IFERROR(IF(OR('GHG Calcs'!$BD24="Diesel",'GHG Calcs'!$BD24="Renewable Diesel",'GHG Calcs'!$BD24="Biodiesel"),VLOOKUP('GHG Calcs'!$BL24,'Shuttle C&amp;T EF'!$D$30:$Q$2315,8,0),IF(OR('GHG Calcs'!$BD24="Electric",'GHG Calcs'!$BD24="Hydrogen Fuel Cell",'GHG Calcs'!$BD24="Renewable Electricity"),VLOOKUP('GHG Calcs'!$BL24,'Shuttle C&amp;T EF'!$D$30:$Q$2315,10,0),VLOOKUP('GHG Calcs'!$BL24,'Shuttle C&amp;T EF'!$D$30:$Q$2315,9,0)))/IF('GHG Calcs'!BE24&gt;0,$DB24,1),"")</f>
        <v/>
      </c>
      <c r="CF24" s="1419" t="str">
        <f ca="1">IFERROR(IF(OR('GHG Calcs'!$BD24="Diesel",'GHG Calcs'!$BD24="Renewable Diesel",'GHG Calcs'!$BD24="Biodiesel"),VLOOKUP('GHG Calcs'!$BL24,'Shuttle C&amp;T EF'!$D$30:$Q$2315,11,0),IF(OR('GHG Calcs'!$BD24="Electric",'GHG Calcs'!$BD24="Hydrogen Fuel Cell",'GHG Calcs'!$BD24="Renewable Electricity"),VLOOKUP('GHG Calcs'!$BL24,'Shuttle C&amp;T EF'!$D$30:$Q$2315,13,0),VLOOKUP('GHG Calcs'!$BL24,'Shuttle C&amp;T EF'!$D$30:$Q$2315,12,0)))/IF('GHG Calcs'!BE24&gt;0,$DB24,1),"")</f>
        <v/>
      </c>
      <c r="CG24" s="1419">
        <f ca="1">IFERROR(IF(OR('GHG Calcs'!$BD24="Diesel",'GHG Calcs'!$BD24="Biodiesel",'GHG Calcs'!$BD24="Renewable Diesel"),VLOOKUP('GHG Calcs'!$BL24,'Shuttle C&amp;T EF'!$D$30:$Q$2315,14,0),0)/IF('GHG Calcs'!BE24&gt;0,$DB24,1),"")</f>
        <v>0</v>
      </c>
      <c r="CH24" s="306" t="str">
        <f ca="1">IFERROR((VLOOKUP('GHG Calcs'!$BL24,'Over-Road Coach C&amp;T EF'!$D$29:$N$2314,2,0)+VLOOKUP('GHG Calcs'!$BL24,'Over-Road Coach C&amp;T EF'!$D$29:$N$2314,3,0))/IF('GHG Calcs'!BE24&gt;0,$DC24,1),"")</f>
        <v/>
      </c>
      <c r="CI24" s="306" t="str">
        <f ca="1">IFERROR((VLOOKUP('GHG Calcs'!$BL24,'Over-Road Coach C&amp;T EF'!$D$29:$N$2314,4,0)+VLOOKUP('GHG Calcs'!$BL24,'Over-Road Coach C&amp;T EF'!$D$29:$N$2314,5,0))/IF('GHG Calcs'!BE24&gt;0,$DC24,1),"")</f>
        <v/>
      </c>
      <c r="CJ24" s="306" t="str">
        <f ca="1">IFERROR((VLOOKUP('GHG Calcs'!$BL24,'Over-Road Coach C&amp;T EF'!$D$29:$N$2314,6,0)+VLOOKUP('GHG Calcs'!$BL24,'Over-Road Coach C&amp;T EF'!$D$29:$N$2314,7,0))/IF('GHG Calcs'!BE24&gt;0,$DC24,1),"")</f>
        <v/>
      </c>
      <c r="CK24" s="306" t="str">
        <f ca="1">IFERROR(VLOOKUP('GHG Calcs'!$BL24,'Over-Road Coach C&amp;T EF'!$D$29:$N$2314,8,0)/IF('GHG Calcs'!BE24&gt;0,$DC24,1),"")</f>
        <v/>
      </c>
      <c r="CL24" s="306" t="str">
        <f ca="1">IFERROR(VLOOKUP('GHG Calcs'!$BL24,'Over-Road Coach C&amp;T EF'!$D$29:$N$2314,9,0)/IF('GHG Calcs'!BE24&gt;0,$DC24,1),"")</f>
        <v/>
      </c>
      <c r="CM24" s="306" t="str">
        <f ca="1">IFERROR((VLOOKUP('GHG Calcs'!$BL24,'Over-Road Coach C&amp;T EF'!$D$29:$N$2314,10,0)+VLOOKUP('GHG Calcs'!$BL24,'Over-Road Coach C&amp;T EF'!$D$29:$N$2314,11,0))/IF('GHG Calcs'!BE24&gt;0,$DC24,1),"")</f>
        <v/>
      </c>
      <c r="CN24" s="306" t="str">
        <f ca="1">IFERROR(VLOOKUP(BN24,'Co-Benefit Calcs'!$E$76:$I$83,2,0)/IF('GHG Calcs'!$BE24&gt;0,'Rail C&amp;T EF'!$K$14,1),"")</f>
        <v/>
      </c>
      <c r="CO24" s="306" t="str">
        <f ca="1">IFERROR(VLOOKUP(BN24,'Co-Benefit Calcs'!$E$76:$I$83,3,0)/IF('GHG Calcs'!$BE24&gt;0,'Rail C&amp;T EF'!$K$14,1),"")</f>
        <v/>
      </c>
      <c r="CP24" s="306" t="str">
        <f ca="1">IFERROR(VLOOKUP(BN24,'Co-Benefit Calcs'!$E$76:$I$83,4,0)/IF('GHG Calcs'!$BE24&gt;0,'Rail C&amp;T EF'!$K$14,1),"")</f>
        <v/>
      </c>
      <c r="CQ24" s="306" t="str">
        <f ca="1">IFERROR(IF('GHG Calcs'!$BD24="Gasoline",0,VLOOKUP(BN24,'Co-Benefit Calcs'!$E$76:$I$83,5,0))/IF('GHG Calcs'!$BE24&gt;0,'Rail C&amp;T EF'!$K$14,1),"")</f>
        <v/>
      </c>
      <c r="CR24" s="306" t="str">
        <f ca="1">IFERROR(VLOOKUP('GHG Calcs'!$BG24,'Rail C&amp;T EF'!$A$43:$Y$133,IF(BO24&gt;750,23, IF(BO24&gt;=600,20, IF(BO24&gt;=300,17, IF(BO24&gt;=175,14, IF(BO24&gt;=100,11, IF(BO24&gt;=75,8, IF(BO24&gt;=50,5, 2))))))),0) * IF($BO24&gt;=750,'Rail C&amp;T EF'!$K$18,'Rail C&amp;T EF'!$K$19) * IF('GHG Calcs'!BE24&gt;0,1,'Rail C&amp;T EF'!$B$149) * IF(OR('GHG Calcs'!BD24="Diesel", 'GHG Calcs'!BD24="Renewable Diesel", 'GHG Calcs'!BD24="Biodiesel"),'Rail C&amp;T EF'!$B$141,'Rail C&amp;T EF'!$B$142),"")</f>
        <v/>
      </c>
      <c r="CS24" s="306" t="str">
        <f ca="1">IFERROR(VLOOKUP('GHG Calcs'!$BG24,'Rail C&amp;T EF'!$A$43:$Y$133,IF(BO24&gt;750,24, IF(BO24&gt;=600,21, IF(BO24&gt;=300,18, IF(BO24&gt;=175,15, IF(BO24&gt;=100,12, IF(BO24&gt;=75,9, IF(BO24&gt;=50,6, 3))))))),0) * IF($BO24&gt;=750,'Rail C&amp;T EF'!$K$18,'Rail C&amp;T EF'!$K$19) * IF('GHG Calcs'!$BE24&gt;0,1,'Rail C&amp;T EF'!$B$149),"")</f>
        <v/>
      </c>
      <c r="CT24" s="306" t="str">
        <f ca="1">IFERROR(VLOOKUP('GHG Calcs'!$BG24,'Rail C&amp;T EF'!$A$43:$Y$133,IF(BO24&gt;750,25, IF(BO24&gt;=600,22, IF(BO24&gt;=300,19, IF(BO24&gt;=175,16, IF(BO24&gt;=100,13, IF(BO24&gt;=75,10, IF(BO24&gt;=50,7, 4))))))),0) * IF($BO24&gt;=750,'Rail C&amp;T EF'!$K$18,'Rail C&amp;T EF'!$K$19) * IF('GHG Calcs'!$BE24&gt;0,1,'Rail C&amp;T EF'!$B$149)*'Rail C&amp;T EF'!$B$146,"")</f>
        <v/>
      </c>
      <c r="CU24" s="306" t="str">
        <f ca="1">IFERROR(IF('GHG Calcs'!BD24="Gasoline",0,VLOOKUP('GHG Calcs'!$BG24,'Rail C&amp;T EF'!$A$43:$Y$133,IF(BO24&gt;750,25, IF(BO24&gt;=600,22, IF(BO24&gt;=300,19, IF(BO24&gt;=175,16, IF(BO24&gt;=100,13, IF(BO24&gt;=75,10, IF(BO24&gt;=50,7, 4))))))),0) * IF($BO24&gt;=750,'Rail C&amp;T EF'!$K$18,'Rail C&amp;T EF'!$K$19) * IF('GHG Calcs'!$BE24&gt;0,1,'Rail C&amp;T EF'!$B$149)),"")</f>
        <v/>
      </c>
      <c r="CV24" s="306" t="str">
        <f ca="1">IFERROR(VLOOKUP('GHG Calcs'!$BG24,'Ferry C&amp;T EF'!$A$106:$AK$196,IF(BO24&gt;=3301,35, IF(BO24&gt;=1901,31, IF(BO24&gt;=751,27, IF(BO24&gt;=501,23, IF(BO24&gt;=251,19, IF(BO24&gt;=176,15, IF(BO24&gt;=121,11, IF(BO24&gt;=51,7, 3)))))))),0),"")</f>
        <v/>
      </c>
      <c r="CW24" s="306" t="str">
        <f ca="1">IFERROR(VLOOKUP('GHG Calcs'!$BG24,'Ferry C&amp;T EF'!$A$106:$AK$196,IF(BO24&gt;=3301,34, IF(BO24&gt;=1901,30, IF(BO24&gt;=751,26, IF(BO24&gt;=501,22, IF(BO24&gt;=251,18, IF(BO24&gt;=176,14, IF(BO24&gt;=121,10, IF(BO24&gt;=51,6, 2)))))))),0),"")</f>
        <v/>
      </c>
      <c r="CX24" s="306" t="str">
        <f ca="1">IFERROR(VLOOKUP('GHG Calcs'!$BG24,'Ferry C&amp;T EF'!$A$106:$AK$196,IF(BO24&gt;=3301,37, IF(BO24&gt;=1901,33, IF(BO24&gt;=751,29, IF(BO24&gt;=501,25, IF(BO24&gt;=251,21, IF(BO24&gt;=176,17, IF(BO24&gt;=121,13, IF(BO24&gt;=51,9, 5)))))))),0),"")</f>
        <v/>
      </c>
      <c r="CY24" s="306" t="str">
        <f ca="1">IFERROR(IF('GHG Calcs'!$BD24="Gasoline",0,VLOOKUP('GHG Calcs'!$BG24,'Ferry C&amp;T EF'!$A$106:$AK$196,IF(BO24&gt;=3301,36, IF(BO24&gt;=1901,32, IF(BO24&gt;=751,28, IF(BO24&gt;=501,24, IF(BO24&gt;=251,20, IF(BO24&gt;=176,16, IF(BO24&gt;=121,12, IF(BO24&gt;=51,8, 4)))))))),0)),"")</f>
        <v/>
      </c>
      <c r="CZ24" s="1419" t="str">
        <f ca="1">IFERROR(IF('GHG Calcs'!$BD24="Gasoline",VLOOKUP('GHG Calcs'!$BL24,'Fuel Consumption'!$A$31:$L$2316,3,0),IF(OR('GHG Calcs'!$BD24="CNG",'GHG Calcs'!$BD24="LNG",'GHG Calcs'!$BD24="Renewable Natural Gas"),VLOOKUP('GHG Calcs'!$BL24,'Fuel Consumption'!$A$31:$L$2316,4,0)*VLOOKUP('GHG Calcs'!$BD24,'GHG EF'!$B$10:$H$19,4,0),VLOOKUP('GHG Calcs'!$BL24,'Fuel Consumption'!$A$31:$L$2316,2,0)*VLOOKUP('GHG Calcs'!$AD24,'GHG EF'!$B$10:$H$19,4,0))),"")</f>
        <v/>
      </c>
      <c r="DA24" s="1419" t="str">
        <f ca="1">IFERROR(IF(OR('GHG Calcs'!$BD24="Diesel",'GHG Calcs'!$BD24="Renewable Diesel",'GHG Calcs'!$BD24="Biodiesel"),VLOOKUP('GHG Calcs'!$BL24,'Fuel Consumption'!$A$31:$L$2316,6,0)*VLOOKUP('GHG Calcs'!$BD24,'GHG EF'!$B$10:$H$19,4,0),VLOOKUP('GHG Calcs'!$BL24,'Fuel Consumption'!$A$31:$L$2316,7,0)*VLOOKUP('GHG Calcs'!$BD24,'GHG EF'!$B$10:$H$19,5,0)),"")</f>
        <v/>
      </c>
      <c r="DB24" s="1419" t="str">
        <f ca="1">IFERROR(IF(OR('GHG Calcs'!$BD24="Diesel",'GHG Calcs'!$BD24="Renewable Diesel",'GHG Calcs'!$BD24="Biodiesel"),VLOOKUP('GHG Calcs'!$BL24,'Fuel Consumption'!$A$31:$L$2316,9,0)*VLOOKUP('GHG Calcs'!$BD24,'GHG EF'!$B$10:$H$19,4,0),VLOOKUP('GHG Calcs'!$BL24,'Fuel Consumption'!$A$31:$L$2316,10,0)*VLOOKUP('GHG Calcs'!$BD24,'GHG EF'!$B$10:$H$19,5,0)),"")</f>
        <v/>
      </c>
      <c r="DC24" s="1419" t="str">
        <f ca="1">IFERROR(VLOOKUP('GHG Calcs'!$BL24,'Fuel Consumption'!$A$31:$L$2316,12,0)*VLOOKUP('GHG Calcs'!$BD24,'GHG EF'!$B$10:$H$19,4,0),"")</f>
        <v/>
      </c>
      <c r="DD24" s="1373" t="str">
        <f ca="1">IFERROR(IF(OR('GHG Calcs'!BD24=Defaults!$I$3, 'GHG Calcs'!BD24=Defaults!$I$4, 'GHG Calcs'!BD24=Defaults!$I$6, 'GHG Calcs'!BD24=Defaults!$I$8), IF('GHG Calcs'!BE24&gt;0,'GHG Calcs'!BE24*IF('GHG Calcs'!BD24=Defaults!$I$3,'GHG EF'!$C$11/'GHG EF'!$C$12,1),'GHG Calcs'!BJ24*'GHG Calcs'!BH24),"")*('GHG Calcs'!I24-'GHG Calcs'!H24),"")</f>
        <v/>
      </c>
      <c r="DE24" s="1373" t="str">
        <f ca="1">IFERROR(IF('GHG Calcs'!BD24=Defaults!$I$5,IF('GHG Calcs'!BE24&gt;0,'GHG Calcs'!BE24,'GHG Calcs'!BI24*'GHG Calcs'!BH24),"")*('GHG Calcs'!I24-'GHG Calcs'!H24),"")</f>
        <v/>
      </c>
      <c r="DF24" s="1420" t="str">
        <f ca="1">IFERROR(IF('GHG Calcs'!BE24&gt;0,'GHG Calcs'!BE24,'GHG Calcs'!BK24*'GHG Calcs'!BH24)*VLOOKUP('GHG Calcs'!BD24,'Fuel &amp; Travel Costs'!$B$10:$C$19,2,0)*('GHG Calcs'!I24-'GHG Calcs'!H24),"")</f>
        <v/>
      </c>
      <c r="DG24" s="306">
        <f ca="1">INDIRECT("'Quantifiable Component "&amp;$B24&amp;"'!"&amp;$D24&amp;ROW('Quantifiable Component 1'!$70:$70))</f>
        <v>0</v>
      </c>
      <c r="DH24" s="306">
        <f ca="1">INDIRECT("'Quantifiable Component "&amp;$B24&amp;"'!"&amp;$D24&amp;ROW('Quantifiable Component 1'!$71:$71))</f>
        <v>0</v>
      </c>
      <c r="DI24" s="1422" t="str">
        <f ca="1">IFERROR(IF('GHG Calcs'!$CD24="Gasoline",VLOOKUP('GHG Calcs'!$CG24,'Bus C&amp;T EF'!$D$30:$V$2315,3,0),IF(OR('GHG Calcs'!$CD24="CNG",'GHG Calcs'!$CD24="LNG",'GHG Calcs'!$CD24="Renewable Natural Gas"),VLOOKUP('GHG Calcs'!$CG24,'Bus C&amp;T EF'!$D$30:$V$2315,4,0),VLOOKUP('GHG Calcs'!$CG24,'Bus C&amp;T EF'!$D$30:$V$2315,2,0)))/$ES24,"")</f>
        <v/>
      </c>
      <c r="DJ24" s="306" t="str">
        <f ca="1">IFERROR(IF('GHG Calcs'!$CD24="Gasoline",VLOOKUP('GHG Calcs'!$CG24,'Bus C&amp;T EF'!$D$30:$V$2315,6,0),IF(OR('GHG Calcs'!$CD24="CNG",'GHG Calcs'!$CD24="LNG",'GHG Calcs'!$CD24="Renewable Natural Gas"),VLOOKUP('GHG Calcs'!$CG24,'Bus C&amp;T EF'!$D$30:$V$2315,7,0),VLOOKUP('GHG Calcs'!$CG24,'Bus C&amp;T EF'!$D$30:$V$2315,5,0)))/$ES24,"")</f>
        <v/>
      </c>
      <c r="DK24" s="306" t="str">
        <f ca="1">IFERROR(IF('GHG Calcs'!$CD24="Gasoline",VLOOKUP('GHG Calcs'!$CG24,'Bus C&amp;T EF'!$D$30:$V$2315,9,0),IF(OR('GHG Calcs'!$CD24="CNG",'GHG Calcs'!$CD24="LNG",'GHG Calcs'!$CD24="Renewable Natural Gas"),VLOOKUP('GHG Calcs'!$CG24,'Bus C&amp;T EF'!$D$30:$V$2315,10,0),VLOOKUP('GHG Calcs'!$CG24,'Bus C&amp;T EF'!$D$30:$V$2315,8,0)))/$ES24,"")</f>
        <v/>
      </c>
      <c r="DL24" s="306" t="str">
        <f ca="1">IFERROR(IF('GHG Calcs'!$CD24="Gasoline",VLOOKUP('GHG Calcs'!$CG24,'Bus C&amp;T EF'!$D$30:$V$2315,12,0),IF(OR('GHG Calcs'!$CD24="CNG",'GHG Calcs'!$CD24="LNG",'GHG Calcs'!$CD24="Renewable Natural Gas"),VLOOKUP('GHG Calcs'!$CG24,'Bus C&amp;T EF'!$D$30:$V$2315,13,0),IF('GHG Calcs'!$CD24="Electric",VLOOKUP('GHG Calcs'!$CG24,'Bus C&amp;T EF'!$D$30:$V$2315,14,0),VLOOKUP('GHG Calcs'!$CG24,'Bus C&amp;T EF'!$D$30:$V$2315,11,0))))/$ES24,"")</f>
        <v/>
      </c>
      <c r="DM24" s="306" t="str">
        <f ca="1">IFERROR(IF('GHG Calcs'!$CD24="Gasoline",VLOOKUP('GHG Calcs'!$CG24,'Bus C&amp;T EF'!$D$30:$V$2315,16,0),IF(OR('GHG Calcs'!$CD24="CNG",'GHG Calcs'!$CD24="LNG",'GHG Calcs'!$CD24="Renewable Natural Gas"),VLOOKUP('GHG Calcs'!$CG24,'Bus C&amp;T EF'!$D$30:$V$2315,17,0),IF('GHG Calcs'!$CD24="Electric",VLOOKUP('GHG Calcs'!$CG24,'Bus C&amp;T EF'!$D$30:$V$2315,18,0),VLOOKUP('GHG Calcs'!$CG24,'Bus C&amp;T EF'!$D$30:$V$2315,15,0))))/$ES24,"")</f>
        <v/>
      </c>
      <c r="DN24" s="306" t="str">
        <f ca="1">IFERROR(IF('GHG Calcs'!$CD24="Gasoline",0,VLOOKUP('GHG Calcs'!$CG24,'Bus C&amp;T EF'!$D$30:$V$2315,19,0))/$ES24,"")</f>
        <v/>
      </c>
      <c r="DO24" s="1419" t="str">
        <f ca="1">IFERROR(IF(OR('GHG Calcs'!$CD24="Diesel",'GHG Calcs'!$CD24="Renewable Diesel",'GHG Calcs'!$CD24="Biodiesel"),VLOOKUP('GHG Calcs'!$CG24,'Van C&amp;T EF'!$D$30:$Q$2315,2,0),VLOOKUP('GHG Calcs'!$CG24,'Van C&amp;T EF'!$D$30:$Q$2315,3,0))/$ET24,"")</f>
        <v/>
      </c>
      <c r="DP24" s="1419" t="str">
        <f ca="1">IFERROR(IF(OR('GHG Calcs'!$CD24="Diesel",'GHG Calcs'!$CD24="Renewable Diesel",'GHG Calcs'!$CD24="Biodiesel"),VLOOKUP('GHG Calcs'!$CG24,'Van C&amp;T EF'!$D$30:$Q$2315,4,0),VLOOKUP('GHG Calcs'!$CG24,'Van C&amp;T EF'!$D$30:$Q$2315,5,0))/$ET24,"")</f>
        <v/>
      </c>
      <c r="DQ24" s="1419" t="str">
        <f ca="1">IFERROR(IF(OR('GHG Calcs'!$CD24="Diesel",'GHG Calcs'!$CD24="Renewable Diesel",'GHG Calcs'!$CD24="Biodiesel"),VLOOKUP('GHG Calcs'!$CG24,'Van C&amp;T EF'!$D$30:$Q$2315,6,0),VLOOKUP('GHG Calcs'!$CG24,'Van C&amp;T EF'!$D$30:$Q$2315,7,0))/$ET24,"")</f>
        <v/>
      </c>
      <c r="DR24" s="1419" t="str">
        <f ca="1">IFERROR(IF(OR('GHG Calcs'!$CD24="Diesel",'GHG Calcs'!$CD24="Renewable Diesel",'GHG Calcs'!$CD24="Biodiesel"),VLOOKUP('GHG Calcs'!$CG24,'Van C&amp;T EF'!$D$30:$Q$2315,8,0),IF(OR('GHG Calcs'!$CD24="Electric",'GHG Calcs'!$CD24="Hydrogen Fuel Cell",'GHG Calcs'!$CD24="Renewable Electricity"),VLOOKUP('GHG Calcs'!$CG24,'Van C&amp;T EF'!$D$30:$Q$2315,10,0),VLOOKUP('GHG Calcs'!$CG24,'Van C&amp;T EF'!$D$30:$Q$2315,9,0)))/$ET24,"")</f>
        <v/>
      </c>
      <c r="DS24" s="1419" t="str">
        <f ca="1">IFERROR(IF(OR('GHG Calcs'!$CD24="Diesel",'GHG Calcs'!$CD24="Renewable Diesel",'GHG Calcs'!$CD24="Biodiesel"),VLOOKUP('GHG Calcs'!$CG24,'Van C&amp;T EF'!$D$30:$Q$2315,11,0),IF(OR('GHG Calcs'!$CD24="Electric",'GHG Calcs'!$CD24="Hydrogen Fuel Cell",'GHG Calcs'!$CD24="Renewable Electricity"),VLOOKUP('GHG Calcs'!$CG24,'Van C&amp;T EF'!$D$30:$Q$2315,13,0),VLOOKUP('GHG Calcs'!$CG24,'Van C&amp;T EF'!$D$30:$Q$2315,12,0)))/$ET24,"")</f>
        <v/>
      </c>
      <c r="DT24" s="306" t="str">
        <f ca="1">IFERROR(IF(OR('GHG Calcs'!$CD24="Diesel",'GHG Calcs'!$CD24="Biodiesel",'GHG Calcs'!$CD24="Renewable Diesel"),VLOOKUP('GHG Calcs'!$CG24,'Van C&amp;T EF'!$D$30:$Q$2315,14,0),0)/$ET24,"")</f>
        <v/>
      </c>
      <c r="DU24" s="1419" t="str">
        <f ca="1">IFERROR(IF(OR('GHG Calcs'!$CD24="Diesel",'GHG Calcs'!$CD24="Renewable Diesel",'GHG Calcs'!$CD24="Biodiesel"),VLOOKUP('GHG Calcs'!$CG24,'Shuttle C&amp;T EF'!$D$30:$Q$2315,2,0),VLOOKUP('GHG Calcs'!$CG24,'Shuttle C&amp;T EF'!$D$30:$Q$2315,3,0))/$EU24,"")</f>
        <v/>
      </c>
      <c r="DV24" s="1419" t="str">
        <f ca="1">IFERROR(IF(OR('GHG Calcs'!$CD24="Diesel",'GHG Calcs'!$CD24="Renewable Diesel",'GHG Calcs'!$CD24="Biodiesel"),VLOOKUP('GHG Calcs'!$CG24,'Shuttle C&amp;T EF'!$D$30:$Q$2315,4,0),VLOOKUP('GHG Calcs'!$CG24,'Shuttle C&amp;T EF'!$D$30:$Q$2315,5,0))/$EU24,"")</f>
        <v/>
      </c>
      <c r="DW24" s="1419" t="str">
        <f ca="1">IFERROR(IF(OR('GHG Calcs'!$CD24="Diesel",'GHG Calcs'!$CD24="Renewable Diesel",'GHG Calcs'!$CD24="Biodiesel"),VLOOKUP('GHG Calcs'!$CG24,'Shuttle C&amp;T EF'!$D$30:$Q$2315,6,0),VLOOKUP('GHG Calcs'!$CG24,'Shuttle C&amp;T EF'!$D$30:$Q$2315,7,0))/$EU24,"")</f>
        <v/>
      </c>
      <c r="DX24" s="1419" t="str">
        <f ca="1">IFERROR(IF(OR('GHG Calcs'!$CD24="Diesel",'GHG Calcs'!$CD24="Renewable Diesel",'GHG Calcs'!$CD24="Biodiesel"),VLOOKUP('GHG Calcs'!$CG24,'Shuttle C&amp;T EF'!$D$30:$Q$2315,8,0),IF(OR('GHG Calcs'!$CD24="Electric",'GHG Calcs'!$CD24="Hydrogen Fuel Cell",'GHG Calcs'!$CD24="Renewable Electricity"),VLOOKUP('GHG Calcs'!$CG24,'Shuttle C&amp;T EF'!$D$30:$Q$2315,10,0),VLOOKUP('GHG Calcs'!$CG24,'Shuttle C&amp;T EF'!$D$30:$Q$2315,9,0)))/$EU24,"")</f>
        <v/>
      </c>
      <c r="DY24" s="1419" t="str">
        <f ca="1">IFERROR(IF(OR('GHG Calcs'!$CD24="Diesel",'GHG Calcs'!$CD24="Renewable Diesel",'GHG Calcs'!$CD24="Biodiesel"),VLOOKUP('GHG Calcs'!$CG24,'Shuttle C&amp;T EF'!$D$30:$Q$2315,11,0),IF(OR('GHG Calcs'!$CD24="Electric",'GHG Calcs'!$CD24="Hydrogen Fuel Cell",'GHG Calcs'!$CD24="Renewable Electricity"),VLOOKUP('GHG Calcs'!$CG24,'Shuttle C&amp;T EF'!$D$30:$Q$2315,13,0),VLOOKUP('GHG Calcs'!$CG24,'Shuttle C&amp;T EF'!$D$30:$Q$2315,12,0)))/$EU24,"")</f>
        <v/>
      </c>
      <c r="DZ24" s="1419" t="str">
        <f ca="1">IFERROR(IF(OR('GHG Calcs'!$CD24="Diesel",'GHG Calcs'!$CD24="Biodiesel",'GHG Calcs'!$CD24="Renewable Diesel"),VLOOKUP('GHG Calcs'!$CG24,'Shuttle C&amp;T EF'!$D$30:$Q$2315,14,0),0)/$EU24,"")</f>
        <v/>
      </c>
      <c r="EA24" s="306" t="str">
        <f ca="1">IFERROR((VLOOKUP('GHG Calcs'!$CG24,'Over-Road Coach C&amp;T EF'!$D$29:$N$2314,2,0)+VLOOKUP('GHG Calcs'!$CG24,'Over-Road Coach C&amp;T EF'!$D$29:$N$2314,3,0))/$EV24,"")</f>
        <v/>
      </c>
      <c r="EB24" s="306" t="str">
        <f ca="1">IFERROR((VLOOKUP('GHG Calcs'!$CG24,'Over-Road Coach C&amp;T EF'!$D$29:$N$2314,4,0)+VLOOKUP('GHG Calcs'!$CG24,'Over-Road Coach C&amp;T EF'!$D$29:$N$2314,5,0))/$EV24,"")</f>
        <v/>
      </c>
      <c r="EC24" s="306" t="str">
        <f ca="1">IFERROR((VLOOKUP('GHG Calcs'!$CG24,'Over-Road Coach C&amp;T EF'!$D$29:$N$2314,6,0)+VLOOKUP('GHG Calcs'!$CG24,'Over-Road Coach C&amp;T EF'!$D$29:$N$2314,7,0))/$EV24,"")</f>
        <v/>
      </c>
      <c r="ED24" s="306" t="str">
        <f ca="1">IFERROR(VLOOKUP('GHG Calcs'!$CG24,'Over-Road Coach C&amp;T EF'!$D$29:$N$2314,8,0)/$EV24,"")</f>
        <v/>
      </c>
      <c r="EE24" s="306" t="str">
        <f ca="1">IFERROR(VLOOKUP('GHG Calcs'!$CG24,'Over-Road Coach C&amp;T EF'!$D$29:$N$2314,9,0)/$EV24,"")</f>
        <v/>
      </c>
      <c r="EF24" s="306" t="str">
        <f ca="1">IFERROR((VLOOKUP('GHG Calcs'!$CG24,'Over-Road Coach C&amp;T EF'!$D$29:$N$2314,10,0)+VLOOKUP('GHG Calcs'!$CG24,'Over-Road Coach C&amp;T EF'!$D$29:$N$2314,11,0))/$EV24,"")</f>
        <v/>
      </c>
      <c r="EG24" s="306" t="str">
        <f ca="1">IFERROR(VLOOKUP(DG24,'Co-Benefit Calcs'!$E$76:$I$83,2,0)/'Rail C&amp;T EF'!$K$14,"")</f>
        <v/>
      </c>
      <c r="EH24" s="306" t="str">
        <f ca="1">IFERROR(VLOOKUP(DG24,'Co-Benefit Calcs'!$E$76:$I$83,3,0)/'Rail C&amp;T EF'!$K$14,"")</f>
        <v/>
      </c>
      <c r="EI24" s="306" t="str">
        <f ca="1">IFERROR(VLOOKUP(DG24,'Co-Benefit Calcs'!$E$76:$I$83,4,0)/'Rail C&amp;T EF'!$K$14,"")</f>
        <v/>
      </c>
      <c r="EJ24" s="306" t="str">
        <f ca="1">IFERROR(IF('GHG Calcs'!$CD24="Gasoline",0,VLOOKUP(DG24,'Co-Benefit Calcs'!$E$76:$I$83,5,0))/'Rail C&amp;T EF'!$K$14,"")</f>
        <v/>
      </c>
      <c r="EK24" s="306" t="str">
        <f ca="1">IFERROR(VLOOKUP('GHG Calcs'!CF24,'Rail C&amp;T EF'!$A$43:$Y$133,IF(DH24&gt;750,23, IF(DH24&gt;=600,20, IF(DH24&gt;=300,17, IF(DH24&gt;=175,14, IF(DH24&gt;=100,11, IF(DH24&gt;=75,8, IF(DH24&gt;=50,5, 2))))))),0) * IF($DH24&gt;=750,'Rail C&amp;T EF'!$K$18,'Rail C&amp;T EF'!$K$19) * IF(OR('GHG Calcs'!CD24="Diesel", 'GHG Calcs'!CD24="Renewable Diesel", 'GHG Calcs'!CD24="Biodiesel"),'Rail C&amp;T EF'!$B$141,'Rail C&amp;T EF'!$B$142),"")</f>
        <v/>
      </c>
      <c r="EL24" s="306" t="str">
        <f ca="1">IFERROR(VLOOKUP('GHG Calcs'!$CF24,'Rail C&amp;T EF'!$A$43:$Y$133,IF(DH24&gt;750,24, IF(DH24&gt;=600,21, IF(DH24&gt;=300,18, IF(DH24&gt;=175,15, IF(DH24&gt;=100,12, IF(DH24&gt;=75,9, IF(DH24&gt;=50,6, 3))))))),0) * IF($DH24&gt;=750,'Rail C&amp;T EF'!$K$18,'Rail C&amp;T EF'!$K$19),"")</f>
        <v/>
      </c>
      <c r="EM24" s="306" t="str">
        <f ca="1">IFERROR(VLOOKUP('GHG Calcs'!$CF24,'Rail C&amp;T EF'!$A$43:$Y$133,IF(DH24&gt;750,25, IF(DH24&gt;=600,22, IF(DH24&gt;=300,19, IF(DH24&gt;=175,16, IF(DH24&gt;=100,13, IF(DH24&gt;=75,10, IF(DH24&gt;=50,7, 4))))))),0) * IF($DH24&gt;=750,'Rail C&amp;T EF'!$K$18,'Rail C&amp;T EF'!$K$19)*'Rail C&amp;T EF'!$B$146,"")</f>
        <v/>
      </c>
      <c r="EN24" s="306" t="str">
        <f ca="1">IFERROR(IF('GHG Calcs'!CD24="Gasoline",0,VLOOKUP('GHG Calcs'!$CF24,'Rail C&amp;T EF'!$A$43:$Y$133,IF(DH24&gt;750,25, IF(DH24&gt;=600,22, IF(DH24&gt;=300,19, IF(DH24&gt;=175,16, IF(DH24&gt;=100,13, IF(DH24&gt;=75,10, IF(DH24&gt;=50,7, 4))))))),0) * IF($DH24&gt;=750,'Rail C&amp;T EF'!$K$18,'Rail C&amp;T EF'!$K$19)),"")</f>
        <v/>
      </c>
      <c r="EO24" s="306" t="str">
        <f ca="1">IFERROR(VLOOKUP('GHG Calcs'!$CF24,'Ferry C&amp;T EF'!$A$106:$AK$196,IF(DH24&gt;=3301,35, IF(DH24&gt;=1901,31, IF(DH24&gt;=751,27, IF(DH24&gt;=501,23, IF(DH24&gt;=251,19, IF(DH24&gt;=176,15, IF(DH24&gt;=121,11, IF(DH24&gt;=51,7, 3)))))))),0),"")</f>
        <v/>
      </c>
      <c r="EP24" s="306" t="str">
        <f ca="1">IFERROR(VLOOKUP('GHG Calcs'!$CF24,'Ferry C&amp;T EF'!$A$106:$AK$196,IF(DH24&gt;=3301,34, IF(DH24&gt;=1901,30, IF(DH24&gt;=751,26, IF(DH24&gt;=501,22, IF(DH24&gt;=251,18, IF(DH24&gt;=176,14, IF(DH24&gt;=121,10, IF(DH24&gt;=51,6, 2)))))))),0),"")</f>
        <v/>
      </c>
      <c r="EQ24" s="306" t="str">
        <f ca="1">IFERROR(VLOOKUP('GHG Calcs'!$CF24,'Ferry C&amp;T EF'!$A$106:$AK$196,IF(DH24&gt;=3301,37, IF(DH24&gt;=1901,33, IF(DH24&gt;=751,29, IF(DH24&gt;=501,25, IF(DH24&gt;=251,21, IF(DH24&gt;=176,17, IF(DH24&gt;=121,13, IF(DH24&gt;=51,9, 5)))))))),0),"")</f>
        <v/>
      </c>
      <c r="ER24" s="306" t="str">
        <f ca="1">IFERROR(IF('GHG Calcs'!$CD24="Gasoline",0,VLOOKUP('GHG Calcs'!$CF24,'Ferry C&amp;T EF'!$A$106:$AK$196,IF(DH24&gt;=3301,36, IF(DH24&gt;=1901,32, IF(DH24&gt;=751,28, IF(DH24&gt;=501,24, IF(DH24&gt;=251,20, IF(DH24&gt;=176,16, IF(DH24&gt;=121,12, IF(DH24&gt;=51,8, 4)))))))),0)),"")</f>
        <v/>
      </c>
      <c r="ES24" s="1419" t="str">
        <f ca="1">IFERROR(IF('GHG Calcs'!$CD24="Gasoline",VLOOKUP('GHG Calcs'!$CG24,'Fuel Consumption'!$A$31:$L$2316,3,0),IF(OR('GHG Calcs'!$CD24="CNG",'GHG Calcs'!$CD24="LNG",'GHG Calcs'!$CD24="Renewable Natural Gas"),VLOOKUP('GHG Calcs'!$CG24,'Fuel Consumption'!$A$31:$L$2316,4,0)*VLOOKUP('GHG Calcs'!$CD24,'GHG EF'!$B$10:$H$19,4,0),VLOOKUP('GHG Calcs'!$CG24,'Fuel Consumption'!$A$31:$L$2316,2,0)*VLOOKUP('GHG Calcs'!$AD24,'GHG EF'!$B$10:$H$19,4,0))),"")</f>
        <v/>
      </c>
      <c r="ET24" s="1419" t="str">
        <f ca="1">IFERROR(IF(OR('GHG Calcs'!$CD24="Diesel",'GHG Calcs'!$CD24="Renewable Diesel",'GHG Calcs'!$CD24="Biodiesel"),VLOOKUP('GHG Calcs'!$CG24,'Fuel Consumption'!$A$31:$L$2316,6,0)*VLOOKUP('GHG Calcs'!$CD24,'GHG EF'!$B$10:$H$19,4,0),VLOOKUP('GHG Calcs'!$CG24,'Fuel Consumption'!$A$31:$L$2316,7,0)*VLOOKUP('GHG Calcs'!$CD24,'GHG EF'!$B$10:$H$19,5,0)),"")</f>
        <v/>
      </c>
      <c r="EU24" s="1419" t="str">
        <f ca="1">IFERROR(IF(OR('GHG Calcs'!$CD24="Diesel",'GHG Calcs'!$CD24="Renewable Diesel",'GHG Calcs'!$CD24="Biodiesel"),VLOOKUP('GHG Calcs'!$CG24,'Fuel Consumption'!$A$31:$L$2316,9,0)*VLOOKUP('GHG Calcs'!$CD24,'GHG EF'!$B$10:$H$19,4,0),VLOOKUP('GHG Calcs'!$CG24,'Fuel Consumption'!$A$31:$L$2316,10,0)*VLOOKUP('GHG Calcs'!$CD24,'GHG EF'!$B$10:$H$19,5,0)),"")</f>
        <v/>
      </c>
      <c r="EV24" s="1419" t="str">
        <f ca="1">IFERROR(VLOOKUP('GHG Calcs'!$CG24,'Fuel Consumption'!$A$31:$L$2316,12,0)*VLOOKUP('GHG Calcs'!$CD24,'GHG EF'!$B$10:$H$19,4,0),"")</f>
        <v/>
      </c>
      <c r="EW24" s="1373" t="str">
        <f ca="1">IFERROR(IF(OR('GHG Calcs'!CD24=Defaults!$I$4, 'GHG Calcs'!CD24=Defaults!$I$6, 'GHG Calcs'!CD24=Defaults!$I$8),'GHG Calcs'!CE24,IF('GHG Calcs'!CD24=Defaults!$I$3, 'GHG Calcs'!CE24*'GHG EF'!$C$11/'GHG EF'!$C$12,""))*('GHG Calcs'!I24-'GHG Calcs'!H24),"")</f>
        <v/>
      </c>
      <c r="EX24" s="1373" t="str">
        <f ca="1">IFERROR(IF('GHG Calcs'!CD24=Defaults!$I$5,'GHG Calcs'!CE24,"")*('GHG Calcs'!I24-'GHG Calcs'!H24),"")</f>
        <v/>
      </c>
      <c r="EY24" s="1420" t="str">
        <f ca="1">IFERROR('GHG Calcs'!CE24*VLOOKUP('GHG Calcs'!CD24,'Fuel &amp; Travel Costs'!$B$10:$C$19,2,0)*('GHG Calcs'!I24-'GHG Calcs'!H24),"")</f>
        <v/>
      </c>
      <c r="EZ24" s="1420" t="str">
        <f t="shared" ca="1" si="0"/>
        <v/>
      </c>
      <c r="FA24" s="306">
        <f ca="1">INDIRECT("'Quantifiable Component "&amp;$B24&amp;"'!"&amp;$D24&amp;ROW('Quantifiable Component 1'!$77:$77))</f>
        <v>0</v>
      </c>
      <c r="FB24" s="306">
        <f ca="1">INDIRECT("'Quantifiable Component "&amp;$B24&amp;"'!"&amp;$D24&amp;ROW('Quantifiable Component 1'!$78:$78))</f>
        <v>0</v>
      </c>
      <c r="FC24" s="306">
        <f ca="1">INDIRECT("'Quantifiable Component "&amp;$B24&amp;"'!"&amp;$D24&amp;ROW('Quantifiable Component 1'!$79:$79))</f>
        <v>0</v>
      </c>
      <c r="FD24" s="306">
        <f ca="1">INDIRECT("'Quantifiable Component "&amp;$B24&amp;"'!"&amp;$D24&amp;ROW('Quantifiable Component 1'!$80:$80))</f>
        <v>0</v>
      </c>
      <c r="FE24" s="306">
        <f ca="1">INDIRECT("'Quantifiable Component "&amp;$B24&amp;"'!"&amp;$D24&amp;ROW('Quantifiable Component 1'!$81:$81))</f>
        <v>0</v>
      </c>
    </row>
    <row r="25" spans="1:161" s="117" customFormat="1" x14ac:dyDescent="0.35">
      <c r="A25" s="1647"/>
      <c r="B25" s="1367">
        <v>5</v>
      </c>
      <c r="C25" s="1379">
        <v>2</v>
      </c>
      <c r="D25" s="1368" t="str">
        <f>'GHG Calcs'!D25</f>
        <v>H</v>
      </c>
      <c r="E25" s="1416">
        <f ca="1">'GHG Calcs'!U25</f>
        <v>0</v>
      </c>
      <c r="F25" s="1416">
        <f ca="1">'GHG Calcs'!W25</f>
        <v>0</v>
      </c>
      <c r="G25" s="1417" t="str">
        <f ca="1">IFERROR(VLOOKUP('GHG Calcs'!K25,'Auto C&amp;T EF'!$C$35:$K$2662,2,0)*E25,"")</f>
        <v/>
      </c>
      <c r="H25" s="1417" t="str">
        <f ca="1">IFERROR(VLOOKUP('GHG Calcs'!L25,'Auto C&amp;T EF'!$C$35:$K$2662,2,0)*F25,"")</f>
        <v/>
      </c>
      <c r="I25" s="1417" t="str">
        <f ca="1">IFERROR(VLOOKUP('GHG Calcs'!$K25,'Auto C&amp;T EF'!$C$35:$K$2662,3,0)*$E25,"")</f>
        <v/>
      </c>
      <c r="J25" s="1417" t="str">
        <f ca="1">IFERROR(VLOOKUP('GHG Calcs'!$L25,'Auto C&amp;T EF'!$C$35:$K$2662,3,0)*$F25,"")</f>
        <v/>
      </c>
      <c r="K25" s="1417" t="str">
        <f ca="1">IFERROR((VLOOKUP('GHG Calcs'!$K25,'Auto C&amp;T EF'!$C$35:$K$2662,5,0)+VLOOKUP('GHG Calcs'!$K25,'Auto C&amp;T EF'!$C$35:$K$2662,6,0)+VLOOKUP('GHG Calcs'!$K25,'Auto C&amp;T EF'!$C$35:$K$2662,7,0))*$E25,"")</f>
        <v/>
      </c>
      <c r="L25" s="1417" t="str">
        <f ca="1">IFERROR((VLOOKUP('GHG Calcs'!$L25,'Auto C&amp;T EF'!$C$35:$K$2662,5,0)+VLOOKUP('GHG Calcs'!$L25,'Auto C&amp;T EF'!$C$35:$K$2662,6,0)+VLOOKUP('GHG Calcs'!$L25,'Auto C&amp;T EF'!$C$35:$K$2662,7,0))*$F25,"")</f>
        <v/>
      </c>
      <c r="M25" s="1417" t="str">
        <f ca="1">IFERROR(VLOOKUP('GHG Calcs'!$K25,'Auto C&amp;T EF'!$C$35:$K$2662,8,0)*$E25,"")</f>
        <v/>
      </c>
      <c r="N25" s="1417" t="str">
        <f ca="1">IFERROR(VLOOKUP('GHG Calcs'!$L25,'Auto C&amp;T EF'!$C$35:$K$2662,8,0)*$F25,"")</f>
        <v/>
      </c>
      <c r="O25" s="1418">
        <f ca="1">IFERROR(AVERAGE(G25:H25)*('GHG Calcs'!I25-'GHG Calcs'!H25),0)</f>
        <v>0</v>
      </c>
      <c r="P25" s="1418">
        <f ca="1">IFERROR(AVERAGE(I25:J25)*('GHG Calcs'!I25-'GHG Calcs'!H25),0)</f>
        <v>0</v>
      </c>
      <c r="Q25" s="1418">
        <f ca="1">IFERROR(AVERAGE(K25:L25)*('GHG Calcs'!I25-'GHG Calcs'!H25),0)</f>
        <v>0</v>
      </c>
      <c r="R25" s="1418">
        <f ca="1">IFERROR(AVERAGE(M25:N25)*('GHG Calcs'!I25-'GHG Calcs'!H25),0)</f>
        <v>0</v>
      </c>
      <c r="S25" s="1418">
        <f ca="1">IFERROR(AVERAGE(E25*VLOOKUP('GHG Calcs'!K25,'Auto C&amp;T EF'!$C$35:$L$2662,10,0),F25*VLOOKUP('GHG Calcs'!L25,'Auto C&amp;T EF'!$C$35:$L$2662,10,0))*('GHG Calcs'!I25-'GHG Calcs'!H25),0)</f>
        <v>0</v>
      </c>
      <c r="T25" s="1379">
        <f ca="1">INDIRECT("'Quantifiable Component "&amp;$B25&amp;"'!"&amp;$D25&amp;ROW('Quantifiable Component 1'!$47:$47))</f>
        <v>0</v>
      </c>
      <c r="U25" s="1379">
        <f ca="1">INDIRECT("'Quantifiable Component "&amp;$B25&amp;"'!"&amp;$D25&amp;ROW('Quantifiable Component 1'!$48:$48))</f>
        <v>0</v>
      </c>
      <c r="V25" s="306" t="str">
        <f ca="1">IFERROR(IF('GHG Calcs'!$AD25="Gasoline",VLOOKUP('GHG Calcs'!$AH25,'Bus C&amp;T EF'!$D$30:$V$2315,3,0),IF(OR('GHG Calcs'!$AD25="CNG",'GHG Calcs'!$AD25="LNG",'GHG Calcs'!$AD25="Renewable Natural Gas"),VLOOKUP('GHG Calcs'!$AH25,'Bus C&amp;T EF'!$D$30:$V$2315,4,0),VLOOKUP('GHG Calcs'!$AH25,'Bus C&amp;T EF'!$D$30:$V$2315,2,0)))/IF('GHG Calcs'!AE25&gt;0,$BF25,1),"")</f>
        <v/>
      </c>
      <c r="W25" s="306" t="str">
        <f ca="1">IFERROR(IF('GHG Calcs'!$AD25="Gasoline",VLOOKUP('GHG Calcs'!$AH25,'Bus C&amp;T EF'!$D$30:$V$2315,6,0),IF(OR('GHG Calcs'!$AD25="CNG",'GHG Calcs'!$AD25="LNG",'GHG Calcs'!$AD25="Renewable Natural Gas"),VLOOKUP('GHG Calcs'!$AH25,'Bus C&amp;T EF'!$D$30:$V$2315,7,0),VLOOKUP('GHG Calcs'!$AH25,'Bus C&amp;T EF'!$D$30:$V$2315,5,0)))/IF('GHG Calcs'!AE25&gt;0,$BF25,1),"")</f>
        <v/>
      </c>
      <c r="X25" s="1419" t="str">
        <f ca="1">IFERROR(IF('GHG Calcs'!$AD25="Gasoline",VLOOKUP('GHG Calcs'!$AH25,'Bus C&amp;T EF'!$D$30:$V$2315,9,0),IF(OR('GHG Calcs'!$AD25="CNG",'GHG Calcs'!$AD25="LNG",'GHG Calcs'!$AD25="Renewable Natural Gas"),VLOOKUP('GHG Calcs'!$AH25,'Bus C&amp;T EF'!$D$30:$V$2315,10,0),VLOOKUP('GHG Calcs'!$AH25,'Bus C&amp;T EF'!$D$30:$V$2315,8,0)))/IF('GHG Calcs'!AE25&gt;0,$BF25,1),"")</f>
        <v/>
      </c>
      <c r="Y25" s="1419" t="str">
        <f ca="1">IFERROR(IF('GHG Calcs'!$AD25="Gasoline",VLOOKUP('GHG Calcs'!$AH25,'Bus C&amp;T EF'!$D$30:$V$2315,12,0),IF(OR('GHG Calcs'!$AD25="CNG",'GHG Calcs'!$AD25="LNG",'GHG Calcs'!$AD25="Renewable Natural Gas"),VLOOKUP('GHG Calcs'!$AH25,'Bus C&amp;T EF'!$D$30:$V$2315,13,0),IF(OR('GHG Calcs'!$AD25="Electric",'GHG Calcs'!$AD25="Hydrogen Fuel Cell",'GHG Calcs'!$AD25="Renewable Electricity"),VLOOKUP('GHG Calcs'!$AH25,'Bus C&amp;T EF'!$D$30:$V$2315,14,0),VLOOKUP('GHG Calcs'!$AH25,'Bus C&amp;T EF'!$D$30:$V$2315,11,0))))/IF('GHG Calcs'!AE25&gt;0,$BF25,1),"")</f>
        <v/>
      </c>
      <c r="Z25" s="1419" t="str">
        <f ca="1">IFERROR(IF('GHG Calcs'!$AD25="Gasoline",VLOOKUP('GHG Calcs'!$AH25,'Bus C&amp;T EF'!$D$30:$V$2315,16,0),IF(OR('GHG Calcs'!$AD25="CNG",'GHG Calcs'!$AD25="LNG",'GHG Calcs'!$AD25="Renewable Natural Gas"),VLOOKUP('GHG Calcs'!$AH25,'Bus C&amp;T EF'!$D$30:$V$2315,17,0),IF(OR('GHG Calcs'!$AD25="Electric",'GHG Calcs'!$AD25="Hydrogen Fuel Cell",'GHG Calcs'!$AD25="Renewable Electricity"),VLOOKUP('GHG Calcs'!$AH25,'Bus C&amp;T EF'!$D$30:$V$2315,18,0),VLOOKUP('GHG Calcs'!$AH25,'Bus C&amp;T EF'!$D$30:$V$2315,15,0))))/IF('GHG Calcs'!AE25&gt;0,$BF25,1),"")</f>
        <v/>
      </c>
      <c r="AA25" s="306" t="str">
        <f ca="1">IFERROR(IF('GHG Calcs'!$AD25="Gasoline",0,VLOOKUP('GHG Calcs'!$AH25,'Bus C&amp;T EF'!$D$30:$V$2315,19,0))/IF('GHG Calcs'!AE25&gt;0,$BF25,1),"")</f>
        <v/>
      </c>
      <c r="AB25" s="1419" t="str">
        <f ca="1">IFERROR(IF(OR('GHG Calcs'!$AD25="Diesel",'GHG Calcs'!$AD25="Renewable Diesel",'GHG Calcs'!$AD25="Biodiesel"),VLOOKUP('GHG Calcs'!$AH25,'Van C&amp;T EF'!$D$30:$Q$2315,2,0),VLOOKUP('GHG Calcs'!$AH25,'Van C&amp;T EF'!$D$30:$Q$2315,3,0))/IF('GHG Calcs'!AE25&gt;0,$BG25,1),"")</f>
        <v/>
      </c>
      <c r="AC25" s="1419" t="str">
        <f ca="1">IFERROR(IF(OR('GHG Calcs'!$AD25="Diesel",'GHG Calcs'!$AD25="Renewable Diesel",'GHG Calcs'!$AD25="Biodiesel"),VLOOKUP('GHG Calcs'!$AH25,'Van C&amp;T EF'!$D$30:$Q$2315,4,0),VLOOKUP('GHG Calcs'!$AH25,'Van C&amp;T EF'!$D$30:$Q$2315,5,0))/IF('GHG Calcs'!AE25&gt;0,$BG25,1),"")</f>
        <v/>
      </c>
      <c r="AD25" s="1419" t="str">
        <f ca="1">IFERROR(IF(OR('GHG Calcs'!$AD25="Diesel",'GHG Calcs'!$AD25="Renewable Diesel",'GHG Calcs'!$AD25="Biodiesel"),VLOOKUP('GHG Calcs'!$AH25,'Van C&amp;T EF'!$D$30:$Q$2315,6,0),VLOOKUP('GHG Calcs'!$AH25,'Van C&amp;T EF'!$D$30:$Q$2315,7,0))/IF('GHG Calcs'!AE25&gt;0,$BG25,1),"")</f>
        <v/>
      </c>
      <c r="AE25" s="1419" t="str">
        <f ca="1">IFERROR(IF(OR('GHG Calcs'!$AD25="Diesel",'GHG Calcs'!$AD25="Renewable Diesel",'GHG Calcs'!$AD25="Biodiesel"),VLOOKUP('GHG Calcs'!$AH25,'Van C&amp;T EF'!$D$30:$Q$2315,8,0),IF(OR('GHG Calcs'!$AD25="Electric",'GHG Calcs'!$AD25="Hydrogen Fuel Cell",'GHG Calcs'!$AD25="Renewable Electricity"),VLOOKUP('GHG Calcs'!$AH25,'Van C&amp;T EF'!$D$30:$Q$2315,10,0),VLOOKUP('GHG Calcs'!$AH25,'Van C&amp;T EF'!$D$30:$Q$2315,9,0)))/IF('GHG Calcs'!AE25&gt;0,$BG25,1),"")</f>
        <v/>
      </c>
      <c r="AF25" s="1419" t="str">
        <f ca="1">IFERROR(IF(OR('GHG Calcs'!$AD25="Diesel",'GHG Calcs'!$AD25="Renewable Diesel",'GHG Calcs'!$AD25="Biodiesel"),VLOOKUP('GHG Calcs'!$AH25,'Van C&amp;T EF'!$D$30:$Q$2315,11,0),IF(OR('GHG Calcs'!$AD25="Electric",'GHG Calcs'!$AD25="Hydrogen Fuel Cell",'GHG Calcs'!$AD25="Renewable Electricity"),VLOOKUP('GHG Calcs'!$AH25,'Van C&amp;T EF'!$D$30:$Q$2315,13,0),VLOOKUP('GHG Calcs'!$AH25,'Van C&amp;T EF'!$D$30:$Q$2315,12,0)))/IF('GHG Calcs'!AE25&gt;0,$BG25,1),"")</f>
        <v/>
      </c>
      <c r="AG25" s="306">
        <f ca="1">IFERROR(IF(OR('GHG Calcs'!$AD25="Diesel",'GHG Calcs'!$AD25="Biodiesel",'GHG Calcs'!$AD25="Renewable Diesel"),VLOOKUP('GHG Calcs'!$AH25,'Van C&amp;T EF'!$D$30:$Q$2315,14,0),0)/IF('GHG Calcs'!AE25&gt;0,$BG25,1),"")</f>
        <v>0</v>
      </c>
      <c r="AH25" s="1419" t="str">
        <f ca="1">IFERROR(IF(OR('GHG Calcs'!$AD25="Diesel",'GHG Calcs'!$AD25="Renewable Diesel",'GHG Calcs'!$AD25="Biodiesel"),VLOOKUP('GHG Calcs'!$AH25,'Shuttle C&amp;T EF'!$D$30:$Q$2315,2,0),VLOOKUP('GHG Calcs'!$AH25,'Shuttle C&amp;T EF'!$D$30:$Q$2315,3,0))/IF('GHG Calcs'!AE25&gt;0,$BH25,1),"")</f>
        <v/>
      </c>
      <c r="AI25" s="1419" t="str">
        <f ca="1">IFERROR(IF(OR('GHG Calcs'!$AD25="Diesel",'GHG Calcs'!$AD25="Renewable Diesel",'GHG Calcs'!$AD25="Biodiesel"),VLOOKUP('GHG Calcs'!$AH25,'Shuttle C&amp;T EF'!$D$30:$Q$2315,4,0),VLOOKUP('GHG Calcs'!$AH25,'Shuttle C&amp;T EF'!$D$30:$Q$2315,5,0))/IF('GHG Calcs'!AE25&gt;0,$BH25,1),"")</f>
        <v/>
      </c>
      <c r="AJ25" s="1419" t="str">
        <f ca="1">IFERROR(IF(OR('GHG Calcs'!$AD25="Diesel",'GHG Calcs'!$AD25="Renewable Diesel",'GHG Calcs'!$AD25="Biodiesel"),VLOOKUP('GHG Calcs'!$AH25,'Shuttle C&amp;T EF'!$D$30:$Q$2315,6,0),VLOOKUP('GHG Calcs'!$AH25,'Shuttle C&amp;T EF'!$D$30:$Q$2315,7,0))/IF('GHG Calcs'!AE25&gt;0,$BH25,1),"")</f>
        <v/>
      </c>
      <c r="AK25" s="1419" t="str">
        <f ca="1">IFERROR(IF(OR('GHG Calcs'!$AD25="Diesel",'GHG Calcs'!$AD25="Renewable Diesel",'GHG Calcs'!$AD25="Biodiesel"),VLOOKUP('GHG Calcs'!$AH25,'Shuttle C&amp;T EF'!$D$30:$Q$2315,8,0),IF(OR('GHG Calcs'!$AD25="Electric",'GHG Calcs'!$AD25="Hydrogen Fuel Cell",'GHG Calcs'!$AD25="Renewable Electricity"),VLOOKUP('GHG Calcs'!$AH25,'Shuttle C&amp;T EF'!$D$30:$Q$2315,10,0),VLOOKUP('GHG Calcs'!$AH25,'Shuttle C&amp;T EF'!$D$30:$Q$2315,9,0)))/IF('GHG Calcs'!AE25&gt;0,$BH25,1),"")</f>
        <v/>
      </c>
      <c r="AL25" s="1419" t="str">
        <f ca="1">IFERROR(IF(OR('GHG Calcs'!$AD25="Diesel",'GHG Calcs'!$AD25="Renewable Diesel",'GHG Calcs'!$AD25="Biodiesel"),VLOOKUP('GHG Calcs'!$AH25,'Shuttle C&amp;T EF'!$D$30:$Q$2315,11,0),IF(OR('GHG Calcs'!$AD25="Electric",'GHG Calcs'!$AD25="Hydrogen Fuel Cell",'GHG Calcs'!$AD25="Renewable Electricity"),VLOOKUP('GHG Calcs'!$AH25,'Shuttle C&amp;T EF'!$D$30:$Q$2315,13,0),VLOOKUP('GHG Calcs'!$AH25,'Shuttle C&amp;T EF'!$D$30:$Q$2315,12,0)))/IF('GHG Calcs'!AE25&gt;0,$BH25,1),"")</f>
        <v/>
      </c>
      <c r="AM25" s="1419">
        <f ca="1">IFERROR(IF(OR('GHG Calcs'!$AD25="Diesel",'GHG Calcs'!$AD25="Biodiesel",'GHG Calcs'!$AD25="Renewable Diesel"),VLOOKUP('GHG Calcs'!$AH25,'Shuttle C&amp;T EF'!$D$30:$Q$2315,14,0),0)/IF('GHG Calcs'!AE25&gt;0,$BH25,1),"")</f>
        <v>0</v>
      </c>
      <c r="AN25" s="306" t="str">
        <f ca="1">IFERROR((VLOOKUP('GHG Calcs'!$AH25,'Over-Road Coach C&amp;T EF'!$D$29:$N$2314,2,0)+VLOOKUP('GHG Calcs'!$AH25,'Over-Road Coach C&amp;T EF'!$D$29:$N$2314,3,0))/IF('GHG Calcs'!AE25&gt;0,$BI25,1),"")</f>
        <v/>
      </c>
      <c r="AO25" s="306" t="str">
        <f ca="1">IFERROR((VLOOKUP('GHG Calcs'!$AH25,'Over-Road Coach C&amp;T EF'!$D$29:$N$2314,4,0)+VLOOKUP('GHG Calcs'!$AH25,'Over-Road Coach C&amp;T EF'!$D$29:$N$2314,5,0))/IF('GHG Calcs'!AE25&gt;0,$BI25,1),"")</f>
        <v/>
      </c>
      <c r="AP25" s="306" t="str">
        <f ca="1">IFERROR((VLOOKUP('GHG Calcs'!$AH25,'Over-Road Coach C&amp;T EF'!$D$29:$N$2314,6,0)+VLOOKUP('GHG Calcs'!$AH25,'Over-Road Coach C&amp;T EF'!$D$29:$N$2314,7,0))/IF('GHG Calcs'!AE25&gt;0,$BI25,1),"")</f>
        <v/>
      </c>
      <c r="AQ25" s="306" t="str">
        <f ca="1">IFERROR(VLOOKUP('GHG Calcs'!$AH25,'Over-Road Coach C&amp;T EF'!$D$29:$N$2314,8,0)/IF('GHG Calcs'!AE25&gt;0,$BI25,1),"")</f>
        <v/>
      </c>
      <c r="AR25" s="306" t="str">
        <f ca="1">IFERROR(VLOOKUP('GHG Calcs'!$AH25,'Over-Road Coach C&amp;T EF'!$D$29:$N$2314,9,0)/IF('GHG Calcs'!AE25&gt;0,$BI25,1),"")</f>
        <v/>
      </c>
      <c r="AS25" s="306" t="str">
        <f ca="1">IFERROR((VLOOKUP('GHG Calcs'!$AH25,'Over-Road Coach C&amp;T EF'!$D$29:$N$2314,10,0)+VLOOKUP('GHG Calcs'!$AH25,'Over-Road Coach C&amp;T EF'!$D$29:$N$2314,11,0))/IF('GHG Calcs'!AE25&gt;0,$BI25,1),"")</f>
        <v/>
      </c>
      <c r="AT25" s="306" t="str">
        <f ca="1">IFERROR(VLOOKUP(T25,'Co-Benefit Calcs'!$E$76:$I$83,2,0)/IF('GHG Calcs'!$AE25&gt;0,'Rail C&amp;T EF'!$K$14,1),"")</f>
        <v/>
      </c>
      <c r="AU25" s="306" t="str">
        <f ca="1">IFERROR(VLOOKUP(T25,'Co-Benefit Calcs'!$E$76:$I$83,3,0)/IF('GHG Calcs'!$AE25&gt;0,'Rail C&amp;T EF'!$K$14,1),"")</f>
        <v/>
      </c>
      <c r="AV25" s="306" t="str">
        <f ca="1">IFERROR(VLOOKUP(T25,'Co-Benefit Calcs'!$E$76:$I$83,4,0)/IF('GHG Calcs'!$AE25&gt;0,'Rail C&amp;T EF'!$K$14,1),"")</f>
        <v/>
      </c>
      <c r="AW25" s="306" t="str">
        <f ca="1">IFERROR(IF('GHG Calcs'!$AD25="Gasoline",0,VLOOKUP(T25,'Co-Benefit Calcs'!$E$76:$I$83,5,0))/IF('GHG Calcs'!$AE25&gt;0,'Rail C&amp;T EF'!$K$14,1),"")</f>
        <v/>
      </c>
      <c r="AX25" s="306" t="str">
        <f ca="1">IFERROR(VLOOKUP('GHG Calcs'!$AG25,'Rail C&amp;T EF'!$A$43:$Y$133,IF(U25&gt;750,23, IF(U25&gt;=600,20, IF(U25&gt;=300,17, IF(U25&gt;=175,14, IF(U25&gt;=100,11, IF(U25&gt;=75,8, IF(U25&gt;=50,5, 2))))))),0) * IF($U25&gt;=750,'Rail C&amp;T EF'!$K$18,'Rail C&amp;T EF'!$K$19) * IF('GHG Calcs'!$AE25&gt;0,1,'Rail C&amp;T EF'!$B$149) * IF(OR('GHG Calcs'!AD25="Diesel", 'GHG Calcs'!AD25="Renewable Diesel", 'GHG Calcs'!AD25="Biodiesel"),'Rail C&amp;T EF'!$B$141,'Rail C&amp;T EF'!$B$142),"")</f>
        <v/>
      </c>
      <c r="AY25" s="306" t="str">
        <f ca="1">IFERROR(VLOOKUP('GHG Calcs'!$AG25,'Rail C&amp;T EF'!$A$43:$Y$133,IF(U25&gt;750,24, IF(U25&gt;=600,21, IF(U25&gt;=300,18, IF(U25&gt;=175,15, IF(U25&gt;=100,12, IF(U25&gt;=75,9, IF(U25&gt;=50,6, 3))))))),0) * IF($U25&gt;=750,'Rail C&amp;T EF'!$K$18,'Rail C&amp;T EF'!$K$19) * IF('GHG Calcs'!$AE25&gt;0,1,'Rail C&amp;T EF'!$B$149),"")</f>
        <v/>
      </c>
      <c r="AZ25" s="306" t="str">
        <f ca="1">IFERROR(VLOOKUP('GHG Calcs'!$AG25,'Rail C&amp;T EF'!$A$43:$Y$133,IF(U25&gt;750,25, IF(U25&gt;=600,22, IF(U25&gt;=300,19, IF(U25&gt;=175,16, IF(U25&gt;=100,13, IF(U25&gt;=75,10, IF(U25&gt;=50,7, 4))))))),0) * IF($U25&gt;=750,'Rail C&amp;T EF'!$K$18,'Rail C&amp;T EF'!$K$19) * IF('GHG Calcs'!$AE25&gt;0,1,'Rail C&amp;T EF'!$B$149)*'Rail C&amp;T EF'!$B$146,"")</f>
        <v/>
      </c>
      <c r="BA25" s="306" t="str">
        <f ca="1">IFERROR(IF('GHG Calcs'!$AD25="Gasoline",0,VLOOKUP('GHG Calcs'!$AG25,'Rail C&amp;T EF'!$A$43:$Y$133,IF(U25&gt;750,25, IF(U25&gt;=600,22, IF(U25&gt;=300,19, IF(U25&gt;=175,16, IF(U25&gt;=100,13, IF(U25&gt;=75,10, IF(U25&gt;=50,7, 4))))))),0) * IF($U25&gt;=750,'Rail C&amp;T EF'!$K$18,'Rail C&amp;T EF'!$K$19) * IF('GHG Calcs'!$AE25&gt;0,1,'Rail C&amp;T EF'!$B$149)),"")</f>
        <v/>
      </c>
      <c r="BB25" s="306" t="str">
        <f ca="1">IFERROR(VLOOKUP('GHG Calcs'!$AG25,'Ferry C&amp;T EF'!$A$106:$AK$196,IF(U25&gt;=3301,35, IF(U25&gt;=1901,31, IF(U25&gt;=751,27, IF(U25&gt;=501,23, IF(U25&gt;=251,19, IF(U25&gt;=176,15, IF(U25&gt;=121,11, IF(U25&gt;=51,7, 3)))))))),0),"")</f>
        <v/>
      </c>
      <c r="BC25" s="306" t="str">
        <f ca="1">IFERROR(VLOOKUP('GHG Calcs'!$AG25,'Ferry C&amp;T EF'!$A$106:$AK$196,IF(U25&gt;=3301,34, IF(U25&gt;=1901,30, IF(U25&gt;=751,26, IF(U25&gt;=501,22, IF(U25&gt;=251,18, IF(U25&gt;=176,14, IF(U25&gt;=121,10, IF(U25&gt;=51,6, 2)))))))),0),"")</f>
        <v/>
      </c>
      <c r="BD25" s="306" t="str">
        <f ca="1">IFERROR(VLOOKUP('GHG Calcs'!$AG25,'Ferry C&amp;T EF'!$A$106:$AK$196,IF(U25&gt;=3301,37, IF(U25&gt;=1901,33, IF(U25&gt;=751,29, IF(U25&gt;=501,25, IF(U25&gt;=251,21, IF(U25&gt;=176,17, IF(U25&gt;=121,13, IF(U25&gt;=51,9, 5)))))))),0),"")</f>
        <v/>
      </c>
      <c r="BE25" s="306" t="str">
        <f ca="1">IFERROR(IF('GHG Calcs'!$AD25="Gasoline",0,VLOOKUP('GHG Calcs'!$AG25,'Ferry C&amp;T EF'!$A$106:$AK$196,IF(U25&gt;=3301,36, IF(U25&gt;=1901,32, IF(U25&gt;=751,28, IF(U25&gt;=501,24, IF(U25&gt;=251,20, IF(U25&gt;=176,16, IF(U25&gt;=121,12, IF(U25&gt;=51,8, 4)))))))),0)),"")</f>
        <v/>
      </c>
      <c r="BF25" s="1419" t="str">
        <f ca="1">IFERROR(IF('GHG Calcs'!$AD25="Gasoline",VLOOKUP('GHG Calcs'!$AH25,'Fuel Consumption'!$A$31:$L$2316,3,0),IF(OR('GHG Calcs'!$AD25="CNG",'GHG Calcs'!$AD25="LNG",'GHG Calcs'!$AD25="Renewable Natural Gas"),VLOOKUP('GHG Calcs'!$AH25,'Fuel Consumption'!$A$31:$L$2316,4,0)*VLOOKUP('GHG Calcs'!$AD25,'GHG EF'!$B$10:$H$19,4,0),VLOOKUP('GHG Calcs'!$AH25,'Fuel Consumption'!$A$31:$L$2316,2,0)*VLOOKUP('GHG Calcs'!$AD25,'GHG EF'!$B$10:$H$19,4,0))),"")</f>
        <v/>
      </c>
      <c r="BG25" s="1419" t="str">
        <f ca="1">IFERROR(IF(OR('GHG Calcs'!$AD25="Diesel",'GHG Calcs'!$AD25="Renewable Diesel",'GHG Calcs'!$AD25="Biodiesel"),VLOOKUP('GHG Calcs'!$AH25,'Fuel Consumption'!$A$31:$L$2316,6,0)*VLOOKUP('GHG Calcs'!$AD25,'GHG EF'!$B$10:$H$19,4,0),VLOOKUP('GHG Calcs'!$AH25,'Fuel Consumption'!$A$31:$L$2316,7,0)*VLOOKUP('GHG Calcs'!$AD25,'GHG EF'!$B$10:$H$19,5,0)),"")</f>
        <v/>
      </c>
      <c r="BH25" s="1419" t="str">
        <f ca="1">IFERROR(IF(OR('GHG Calcs'!$AD25="Diesel",'GHG Calcs'!$AD25="Renewable Diesel",'GHG Calcs'!$AD25="Biodiesel"),VLOOKUP('GHG Calcs'!$AH25,'Fuel Consumption'!$A$31:$L$2316,9,0)*VLOOKUP('GHG Calcs'!$AD25,'GHG EF'!$B$10:$H$19,4,0),VLOOKUP('GHG Calcs'!$AH25,'Fuel Consumption'!$A$31:$L$2316,10,0)*VLOOKUP('GHG Calcs'!$AD25,'GHG EF'!$B$10:$H$19,5,0)),"")</f>
        <v/>
      </c>
      <c r="BI25" s="1419" t="str">
        <f ca="1">IFERROR(VLOOKUP('GHG Calcs'!$AH25,'Fuel Consumption'!$A$31:$L$2316,12,0)*VLOOKUP('GHG Calcs'!$AD25,'GHG EF'!$B$10:$H$19,4,0),"")</f>
        <v/>
      </c>
      <c r="BJ25" s="1373" t="str">
        <f ca="1">IFERROR(IF(OR('GHG Calcs'!AD25=Defaults!$I$3, 'GHG Calcs'!AD25=Defaults!$I$4, 'GHG Calcs'!AD25=Defaults!$I$6, 'GHG Calcs'!AD25=Defaults!$I$8), IF('GHG Calcs'!AE25&gt;0,'GHG Calcs'!AE25*IF('GHG Calcs'!AD25=Defaults!$I$3,'GHG EF'!$C$11/'GHG EF'!$C$12,1),'GHG Calcs'!AK25*'GHG Calcs'!AI25),"")*('GHG Calcs'!I25-'GHG Calcs'!H25),"")</f>
        <v/>
      </c>
      <c r="BK25" s="1373" t="str">
        <f ca="1">IFERROR(IF('GHG Calcs'!AD25=Defaults!$I$5,IF('GHG Calcs'!AE25&gt;0,'GHG Calcs'!AE25,'GHG Calcs'!AJ25*'GHG Calcs'!AI25),"")*IF('GHG Calcs'!AF25&lt;'GHG EF'!$D$13,'GHG Calcs'!AF25/'GHG EF'!$D$13,1)*IF('GHG Calcs'!AF25&lt;0,0,1)*('GHG Calcs'!I25-'GHG Calcs'!H25),"")</f>
        <v/>
      </c>
      <c r="BL25" s="1373" t="str">
        <f ca="1">IFERROR(IF('GHG Calcs'!AD25=Defaults!$I$11, IF(IF('GHG Calcs'!AE25&gt;0,'GHG Calcs'!AE25,'GHG Calcs'!AJ25*'GHG Calcs'!AI25)&lt;INDIRECT("'"&amp;#REF!&amp;"'!"&amp;$D25&amp;ROW(#REF!)), IF('GHG Calcs'!AE25&gt;0,'GHG Calcs'!AE25,'GHG Calcs'!AJ25*'GHG Calcs'!AI25), INDIRECT("'"&amp;#REF!&amp;"'!"&amp;$D25&amp;ROW(#REF!))),"")*('GHG Calcs'!I25-'GHG Calcs'!H25),"")</f>
        <v/>
      </c>
      <c r="BM25" s="1420" t="str">
        <f ca="1">IFERROR(IF('GHG Calcs'!AE25&gt;0,'GHG Calcs'!AE25,'GHG Calcs'!AL25*'GHG Calcs'!AI25)*VLOOKUP('GHG Calcs'!AD25,'Fuel &amp; Travel Costs'!$B$10:$C$19,2,0)*('GHG Calcs'!I25-'GHG Calcs'!H25),"")</f>
        <v/>
      </c>
      <c r="BN25" s="306">
        <f ca="1">INDIRECT("'Quantifiable Component "&amp;$B25&amp;"'!"&amp;$D25&amp;ROW('Quantifiable Component 1'!$59:$59))</f>
        <v>0</v>
      </c>
      <c r="BO25" s="306">
        <f ca="1">INDIRECT("'Quantifiable Component "&amp;$B25&amp;"'!"&amp;$D25&amp;ROW('Quantifiable Component 1'!$60:$60))</f>
        <v>0</v>
      </c>
      <c r="BP25" s="1421" t="str">
        <f ca="1">IFERROR(IF('GHG Calcs'!$BD25="Gasoline",VLOOKUP('GHG Calcs'!$BL25,'Bus C&amp;T EF'!$D$30:$V$2315,3,0),IF(OR('GHG Calcs'!$BD25="CNG",'GHG Calcs'!$BD25="LNG",'GHG Calcs'!$BD25="Renewable Natural Gas"),VLOOKUP('GHG Calcs'!$BL25,'Bus C&amp;T EF'!$D$30:$V$2315,4,0),VLOOKUP('GHG Calcs'!$BL25,'Bus C&amp;T EF'!$D$30:$V$2315,2,0)))/IF('GHG Calcs'!BE25&gt;0,$CZ25,1),"")</f>
        <v/>
      </c>
      <c r="BQ25" s="1419" t="str">
        <f ca="1">IFERROR(IF('GHG Calcs'!$BD25="Gasoline",VLOOKUP('GHG Calcs'!$BL25,'Bus C&amp;T EF'!$D$30:$V$2315,6,0),IF(OR('GHG Calcs'!$BD25="CNG",'GHG Calcs'!$BD25="LNG",'GHG Calcs'!$BD25="Renewable Natural Gas"),VLOOKUP('GHG Calcs'!$BL25,'Bus C&amp;T EF'!$D$30:$V$2315,7,0),VLOOKUP('GHG Calcs'!$BL25,'Bus C&amp;T EF'!$D$30:$V$2315,5,0)))/IF('GHG Calcs'!BE25&gt;0,$CZ25,1),"")</f>
        <v/>
      </c>
      <c r="BR25" s="1419" t="str">
        <f ca="1">IFERROR(IF('GHG Calcs'!$BD25="Gasoline",VLOOKUP('GHG Calcs'!$BL25,'Bus C&amp;T EF'!$D$30:$V$2315,9,0),IF(OR('GHG Calcs'!$BD25="CNG",'GHG Calcs'!$BD25="LNG",'GHG Calcs'!$BD25="Renewable Natural Gas"),VLOOKUP('GHG Calcs'!$BL25,'Bus C&amp;T EF'!$D$30:$V$2315,10,0),VLOOKUP('GHG Calcs'!$BL25,'Bus C&amp;T EF'!$D$30:$V$2315,8,0)))/IF('GHG Calcs'!BE25&gt;0,$CZ25,1),"")</f>
        <v/>
      </c>
      <c r="BS25" s="1419" t="str">
        <f ca="1">IFERROR(IF('GHG Calcs'!$BD25="Gasoline",VLOOKUP('GHG Calcs'!$BL25,'Bus C&amp;T EF'!$D$30:$V$2315,12,0),IF(OR('GHG Calcs'!$BD25="CNG",'GHG Calcs'!$BD25="LNG",'GHG Calcs'!$BD25="Renewable Natural Gas"),VLOOKUP('GHG Calcs'!$BL25,'Bus C&amp;T EF'!$D$30:$V$2315,13,0),IF(OR('GHG Calcs'!$BD25="Electric",'GHG Calcs'!$BD25="Hydrogen Fuel Cell",'GHG Calcs'!$BD25="Renewable Electricity"),VLOOKUP('GHG Calcs'!$BL25,'Bus C&amp;T EF'!$D$30:$V$2315,14,0),VLOOKUP('GHG Calcs'!$BL25,'Bus C&amp;T EF'!$D$30:$V$2315,11,0))))/IF('GHG Calcs'!BE25&gt;0,$CZ25,1),"")</f>
        <v/>
      </c>
      <c r="BT25" s="1419" t="str">
        <f ca="1">IFERROR(IF('GHG Calcs'!$BD25="Gasoline",VLOOKUP('GHG Calcs'!$BL25,'Bus C&amp;T EF'!$D$30:$V$2315,16,0),IF(OR('GHG Calcs'!$BD25="CNG",'GHG Calcs'!$BD25="LNG",'GHG Calcs'!$BD25="Renewable Natural Gas"),VLOOKUP('GHG Calcs'!$BL25,'Bus C&amp;T EF'!$D$30:$V$2315,17,0),IF(OR('GHG Calcs'!$BD25="Electric",'GHG Calcs'!$BD25="Hydrogen Fuel Cell",'GHG Calcs'!$BD25="Renewable Electricity"),VLOOKUP('GHG Calcs'!$BL25,'Bus C&amp;T EF'!$D$30:$V$2315,18,0),VLOOKUP('GHG Calcs'!$BL25,'Bus C&amp;T EF'!$D$30:$V$2315,15,0))))/IF('GHG Calcs'!BE25&gt;0,$CZ25,1),"")</f>
        <v/>
      </c>
      <c r="BU25" s="306" t="str">
        <f ca="1">IFERROR(IF('GHG Calcs'!$BD25="Gasoline",0,VLOOKUP('GHG Calcs'!$BL25,'Bus C&amp;T EF'!$D$30:$V$2315,19,0))/IF('GHG Calcs'!BE25&gt;0,$CZ25,1),"")</f>
        <v/>
      </c>
      <c r="BV25" s="1419" t="str">
        <f ca="1">IFERROR(IF(OR('GHG Calcs'!$BD25="Diesel",'GHG Calcs'!$BD25="Renewable Diesel",'GHG Calcs'!$BD25="Biodiesel"),VLOOKUP('GHG Calcs'!$BL25,'Van C&amp;T EF'!$D$30:$Q$2315,2,0),VLOOKUP('GHG Calcs'!$BL25,'Van C&amp;T EF'!$D$30:$Q$2315,3,0))/IF('GHG Calcs'!BE25&gt;0,$DA25,1),"")</f>
        <v/>
      </c>
      <c r="BW25" s="1419" t="str">
        <f ca="1">IFERROR(IF(OR('GHG Calcs'!$BD25="Diesel",'GHG Calcs'!$BD25="Renewable Diesel",'GHG Calcs'!$BD25="Biodiesel"),VLOOKUP('GHG Calcs'!$BL25,'Van C&amp;T EF'!$D$30:$Q$2315,4,0),VLOOKUP('GHG Calcs'!$BL25,'Van C&amp;T EF'!$D$30:$Q$2315,5,0))/IF('GHG Calcs'!BE25&gt;0,$DA25,1),"")</f>
        <v/>
      </c>
      <c r="BX25" s="1419" t="str">
        <f ca="1">IFERROR(IF(OR('GHG Calcs'!$BD25="Diesel",'GHG Calcs'!$BD25="Renewable Diesel",'GHG Calcs'!$BD25="Biodiesel"),VLOOKUP('GHG Calcs'!$BL25,'Van C&amp;T EF'!$D$30:$Q$2315,6,0),VLOOKUP('GHG Calcs'!$BL25,'Van C&amp;T EF'!$D$30:$Q$2315,7,0))/IF('GHG Calcs'!BE25&gt;0,$DA25,1),"")</f>
        <v/>
      </c>
      <c r="BY25" s="1419" t="str">
        <f ca="1">IFERROR(IF(OR('GHG Calcs'!$BD25="Diesel",'GHG Calcs'!$BD25="Renewable Diesel",'GHG Calcs'!$BD25="Biodiesel"),VLOOKUP('GHG Calcs'!$BL25,'Van C&amp;T EF'!$D$30:$Q$2315,8,0),IF(OR('GHG Calcs'!$BD25="Electric",'GHG Calcs'!$BD25="Hydrogen Fuel Cell",'GHG Calcs'!$BD25="Renewable Electricity"),VLOOKUP('GHG Calcs'!$BL25,'Van C&amp;T EF'!$D$30:$Q$2315,10,0),VLOOKUP('GHG Calcs'!$BL25,'Van C&amp;T EF'!$D$30:$Q$2315,9,0)))/IF('GHG Calcs'!BE25&gt;0,$DA25,1),"")</f>
        <v/>
      </c>
      <c r="BZ25" s="1419" t="str">
        <f ca="1">IFERROR(IF(OR('GHG Calcs'!$BD25="Diesel",'GHG Calcs'!$BD25="Renewable Diesel",'GHG Calcs'!$BD25="Biodiesel"),VLOOKUP('GHG Calcs'!$BL25,'Van C&amp;T EF'!$D$30:$Q$2315,11,0),IF(OR('GHG Calcs'!$BD25="Electric",'GHG Calcs'!$BD25="Hydrogen Fuel Cell",'GHG Calcs'!$BD25="Renewable Electricity"),VLOOKUP('GHG Calcs'!$BL25,'Van C&amp;T EF'!$D$30:$Q$2315,13,0),VLOOKUP('GHG Calcs'!$BL25,'Van C&amp;T EF'!$D$30:$Q$2315,12,0)))/IF('GHG Calcs'!BE25&gt;0,$DA25,1),"")</f>
        <v/>
      </c>
      <c r="CA25" s="306">
        <f ca="1">IFERROR(IF(OR('GHG Calcs'!$BD25="Diesel",'GHG Calcs'!$BD25="Biodiesel",'GHG Calcs'!$BD25="Renewable Diesel"),VLOOKUP('GHG Calcs'!$BL25,'Van C&amp;T EF'!$D$30:$Q$2315,14,0),0)/IF('GHG Calcs'!BE25&gt;0,$DA25,1),"")</f>
        <v>0</v>
      </c>
      <c r="CB25" s="1419" t="str">
        <f ca="1">IFERROR(IF(OR('GHG Calcs'!$BD25="Diesel",'GHG Calcs'!$BD25="Renewable Diesel",'GHG Calcs'!$BD25="Biodiesel"),VLOOKUP('GHG Calcs'!$BL25,'Shuttle C&amp;T EF'!$D$30:$Q$2315,2,0),VLOOKUP('GHG Calcs'!$BL25,'Shuttle C&amp;T EF'!$D$30:$Q$2315,3,0))/IF('GHG Calcs'!BE25&gt;0,$DB25,1),"")</f>
        <v/>
      </c>
      <c r="CC25" s="1419" t="str">
        <f ca="1">IFERROR(IF(OR('GHG Calcs'!$BD25="Diesel",'GHG Calcs'!$BD25="Renewable Diesel",'GHG Calcs'!$BD25="Biodiesel"),VLOOKUP('GHG Calcs'!$BL25,'Shuttle C&amp;T EF'!$D$30:$Q$2315,4,0),VLOOKUP('GHG Calcs'!$BL25,'Shuttle C&amp;T EF'!$D$30:$Q$2315,5,0))/IF('GHG Calcs'!BE25&gt;0,$DB25,1),"")</f>
        <v/>
      </c>
      <c r="CD25" s="1419" t="str">
        <f ca="1">IFERROR(IF(OR('GHG Calcs'!$BD25="Diesel",'GHG Calcs'!$BD25="Renewable Diesel",'GHG Calcs'!$BD25="Biodiesel"),VLOOKUP('GHG Calcs'!$BL25,'Shuttle C&amp;T EF'!$D$30:$Q$2315,6,0),VLOOKUP('GHG Calcs'!$BL25,'Shuttle C&amp;T EF'!$D$30:$Q$2315,7,0))/IF('GHG Calcs'!BE25&gt;0,$DB25,1),"")</f>
        <v/>
      </c>
      <c r="CE25" s="1419" t="str">
        <f ca="1">IFERROR(IF(OR('GHG Calcs'!$BD25="Diesel",'GHG Calcs'!$BD25="Renewable Diesel",'GHG Calcs'!$BD25="Biodiesel"),VLOOKUP('GHG Calcs'!$BL25,'Shuttle C&amp;T EF'!$D$30:$Q$2315,8,0),IF(OR('GHG Calcs'!$BD25="Electric",'GHG Calcs'!$BD25="Hydrogen Fuel Cell",'GHG Calcs'!$BD25="Renewable Electricity"),VLOOKUP('GHG Calcs'!$BL25,'Shuttle C&amp;T EF'!$D$30:$Q$2315,10,0),VLOOKUP('GHG Calcs'!$BL25,'Shuttle C&amp;T EF'!$D$30:$Q$2315,9,0)))/IF('GHG Calcs'!BE25&gt;0,$DB25,1),"")</f>
        <v/>
      </c>
      <c r="CF25" s="1419" t="str">
        <f ca="1">IFERROR(IF(OR('GHG Calcs'!$BD25="Diesel",'GHG Calcs'!$BD25="Renewable Diesel",'GHG Calcs'!$BD25="Biodiesel"),VLOOKUP('GHG Calcs'!$BL25,'Shuttle C&amp;T EF'!$D$30:$Q$2315,11,0),IF(OR('GHG Calcs'!$BD25="Electric",'GHG Calcs'!$BD25="Hydrogen Fuel Cell",'GHG Calcs'!$BD25="Renewable Electricity"),VLOOKUP('GHG Calcs'!$BL25,'Shuttle C&amp;T EF'!$D$30:$Q$2315,13,0),VLOOKUP('GHG Calcs'!$BL25,'Shuttle C&amp;T EF'!$D$30:$Q$2315,12,0)))/IF('GHG Calcs'!BE25&gt;0,$DB25,1),"")</f>
        <v/>
      </c>
      <c r="CG25" s="1419">
        <f ca="1">IFERROR(IF(OR('GHG Calcs'!$BD25="Diesel",'GHG Calcs'!$BD25="Biodiesel",'GHG Calcs'!$BD25="Renewable Diesel"),VLOOKUP('GHG Calcs'!$BL25,'Shuttle C&amp;T EF'!$D$30:$Q$2315,14,0),0)/IF('GHG Calcs'!BE25&gt;0,$DB25,1),"")</f>
        <v>0</v>
      </c>
      <c r="CH25" s="306" t="str">
        <f ca="1">IFERROR((VLOOKUP('GHG Calcs'!$BL25,'Over-Road Coach C&amp;T EF'!$D$29:$N$2314,2,0)+VLOOKUP('GHG Calcs'!$BL25,'Over-Road Coach C&amp;T EF'!$D$29:$N$2314,3,0))/IF('GHG Calcs'!BE25&gt;0,$DC25,1),"")</f>
        <v/>
      </c>
      <c r="CI25" s="306" t="str">
        <f ca="1">IFERROR((VLOOKUP('GHG Calcs'!$BL25,'Over-Road Coach C&amp;T EF'!$D$29:$N$2314,4,0)+VLOOKUP('GHG Calcs'!$BL25,'Over-Road Coach C&amp;T EF'!$D$29:$N$2314,5,0))/IF('GHG Calcs'!BE25&gt;0,$DC25,1),"")</f>
        <v/>
      </c>
      <c r="CJ25" s="306" t="str">
        <f ca="1">IFERROR((VLOOKUP('GHG Calcs'!$BL25,'Over-Road Coach C&amp;T EF'!$D$29:$N$2314,6,0)+VLOOKUP('GHG Calcs'!$BL25,'Over-Road Coach C&amp;T EF'!$D$29:$N$2314,7,0))/IF('GHG Calcs'!BE25&gt;0,$DC25,1),"")</f>
        <v/>
      </c>
      <c r="CK25" s="306" t="str">
        <f ca="1">IFERROR(VLOOKUP('GHG Calcs'!$BL25,'Over-Road Coach C&amp;T EF'!$D$29:$N$2314,8,0)/IF('GHG Calcs'!BE25&gt;0,$DC25,1),"")</f>
        <v/>
      </c>
      <c r="CL25" s="306" t="str">
        <f ca="1">IFERROR(VLOOKUP('GHG Calcs'!$BL25,'Over-Road Coach C&amp;T EF'!$D$29:$N$2314,9,0)/IF('GHG Calcs'!BE25&gt;0,$DC25,1),"")</f>
        <v/>
      </c>
      <c r="CM25" s="306" t="str">
        <f ca="1">IFERROR((VLOOKUP('GHG Calcs'!$BL25,'Over-Road Coach C&amp;T EF'!$D$29:$N$2314,10,0)+VLOOKUP('GHG Calcs'!$BL25,'Over-Road Coach C&amp;T EF'!$D$29:$N$2314,11,0))/IF('GHG Calcs'!BE25&gt;0,$DC25,1),"")</f>
        <v/>
      </c>
      <c r="CN25" s="306" t="str">
        <f ca="1">IFERROR(VLOOKUP(BN25,'Co-Benefit Calcs'!$E$76:$I$83,2,0)/IF('GHG Calcs'!$BE25&gt;0,'Rail C&amp;T EF'!$K$14,1),"")</f>
        <v/>
      </c>
      <c r="CO25" s="306" t="str">
        <f ca="1">IFERROR(VLOOKUP(BN25,'Co-Benefit Calcs'!$E$76:$I$83,3,0)/IF('GHG Calcs'!$BE25&gt;0,'Rail C&amp;T EF'!$K$14,1),"")</f>
        <v/>
      </c>
      <c r="CP25" s="306" t="str">
        <f ca="1">IFERROR(VLOOKUP(BN25,'Co-Benefit Calcs'!$E$76:$I$83,4,0)/IF('GHG Calcs'!$BE25&gt;0,'Rail C&amp;T EF'!$K$14,1),"")</f>
        <v/>
      </c>
      <c r="CQ25" s="306" t="str">
        <f ca="1">IFERROR(IF('GHG Calcs'!$BD25="Gasoline",0,VLOOKUP(BN25,'Co-Benefit Calcs'!$E$76:$I$83,5,0))/IF('GHG Calcs'!$BE25&gt;0,'Rail C&amp;T EF'!$K$14,1),"")</f>
        <v/>
      </c>
      <c r="CR25" s="306" t="str">
        <f ca="1">IFERROR(VLOOKUP('GHG Calcs'!$BG25,'Rail C&amp;T EF'!$A$43:$Y$133,IF(BO25&gt;750,23, IF(BO25&gt;=600,20, IF(BO25&gt;=300,17, IF(BO25&gt;=175,14, IF(BO25&gt;=100,11, IF(BO25&gt;=75,8, IF(BO25&gt;=50,5, 2))))))),0) * IF($BO25&gt;=750,'Rail C&amp;T EF'!$K$18,'Rail C&amp;T EF'!$K$19) * IF('GHG Calcs'!BE25&gt;0,1,'Rail C&amp;T EF'!$B$149) * IF(OR('GHG Calcs'!BD25="Diesel", 'GHG Calcs'!BD25="Renewable Diesel", 'GHG Calcs'!BD25="Biodiesel"),'Rail C&amp;T EF'!$B$141,'Rail C&amp;T EF'!$B$142),"")</f>
        <v/>
      </c>
      <c r="CS25" s="306" t="str">
        <f ca="1">IFERROR(VLOOKUP('GHG Calcs'!$BG25,'Rail C&amp;T EF'!$A$43:$Y$133,IF(BO25&gt;750,24, IF(BO25&gt;=600,21, IF(BO25&gt;=300,18, IF(BO25&gt;=175,15, IF(BO25&gt;=100,12, IF(BO25&gt;=75,9, IF(BO25&gt;=50,6, 3))))))),0) * IF($BO25&gt;=750,'Rail C&amp;T EF'!$K$18,'Rail C&amp;T EF'!$K$19) * IF('GHG Calcs'!$BE25&gt;0,1,'Rail C&amp;T EF'!$B$149),"")</f>
        <v/>
      </c>
      <c r="CT25" s="306" t="str">
        <f ca="1">IFERROR(VLOOKUP('GHG Calcs'!$BG25,'Rail C&amp;T EF'!$A$43:$Y$133,IF(BO25&gt;750,25, IF(BO25&gt;=600,22, IF(BO25&gt;=300,19, IF(BO25&gt;=175,16, IF(BO25&gt;=100,13, IF(BO25&gt;=75,10, IF(BO25&gt;=50,7, 4))))))),0) * IF($BO25&gt;=750,'Rail C&amp;T EF'!$K$18,'Rail C&amp;T EF'!$K$19) * IF('GHG Calcs'!$BE25&gt;0,1,'Rail C&amp;T EF'!$B$149)*'Rail C&amp;T EF'!$B$146,"")</f>
        <v/>
      </c>
      <c r="CU25" s="306" t="str">
        <f ca="1">IFERROR(IF('GHG Calcs'!BD25="Gasoline",0,VLOOKUP('GHG Calcs'!$BG25,'Rail C&amp;T EF'!$A$43:$Y$133,IF(BO25&gt;750,25, IF(BO25&gt;=600,22, IF(BO25&gt;=300,19, IF(BO25&gt;=175,16, IF(BO25&gt;=100,13, IF(BO25&gt;=75,10, IF(BO25&gt;=50,7, 4))))))),0) * IF($BO25&gt;=750,'Rail C&amp;T EF'!$K$18,'Rail C&amp;T EF'!$K$19) * IF('GHG Calcs'!$BE25&gt;0,1,'Rail C&amp;T EF'!$B$149)),"")</f>
        <v/>
      </c>
      <c r="CV25" s="306" t="str">
        <f ca="1">IFERROR(VLOOKUP('GHG Calcs'!$BG25,'Ferry C&amp;T EF'!$A$106:$AK$196,IF(BO25&gt;=3301,35, IF(BO25&gt;=1901,31, IF(BO25&gt;=751,27, IF(BO25&gt;=501,23, IF(BO25&gt;=251,19, IF(BO25&gt;=176,15, IF(BO25&gt;=121,11, IF(BO25&gt;=51,7, 3)))))))),0),"")</f>
        <v/>
      </c>
      <c r="CW25" s="306" t="str">
        <f ca="1">IFERROR(VLOOKUP('GHG Calcs'!$BG25,'Ferry C&amp;T EF'!$A$106:$AK$196,IF(BO25&gt;=3301,34, IF(BO25&gt;=1901,30, IF(BO25&gt;=751,26, IF(BO25&gt;=501,22, IF(BO25&gt;=251,18, IF(BO25&gt;=176,14, IF(BO25&gt;=121,10, IF(BO25&gt;=51,6, 2)))))))),0),"")</f>
        <v/>
      </c>
      <c r="CX25" s="306" t="str">
        <f ca="1">IFERROR(VLOOKUP('GHG Calcs'!$BG25,'Ferry C&amp;T EF'!$A$106:$AK$196,IF(BO25&gt;=3301,37, IF(BO25&gt;=1901,33, IF(BO25&gt;=751,29, IF(BO25&gt;=501,25, IF(BO25&gt;=251,21, IF(BO25&gt;=176,17, IF(BO25&gt;=121,13, IF(BO25&gt;=51,9, 5)))))))),0),"")</f>
        <v/>
      </c>
      <c r="CY25" s="306" t="str">
        <f ca="1">IFERROR(IF('GHG Calcs'!$BD25="Gasoline",0,VLOOKUP('GHG Calcs'!$BG25,'Ferry C&amp;T EF'!$A$106:$AK$196,IF(BO25&gt;=3301,36, IF(BO25&gt;=1901,32, IF(BO25&gt;=751,28, IF(BO25&gt;=501,24, IF(BO25&gt;=251,20, IF(BO25&gt;=176,16, IF(BO25&gt;=121,12, IF(BO25&gt;=51,8, 4)))))))),0)),"")</f>
        <v/>
      </c>
      <c r="CZ25" s="1419" t="str">
        <f ca="1">IFERROR(IF('GHG Calcs'!$BD25="Gasoline",VLOOKUP('GHG Calcs'!$BL25,'Fuel Consumption'!$A$31:$L$2316,3,0),IF(OR('GHG Calcs'!$BD25="CNG",'GHG Calcs'!$BD25="LNG",'GHG Calcs'!$BD25="Renewable Natural Gas"),VLOOKUP('GHG Calcs'!$BL25,'Fuel Consumption'!$A$31:$L$2316,4,0)*VLOOKUP('GHG Calcs'!$BD25,'GHG EF'!$B$10:$H$19,4,0),VLOOKUP('GHG Calcs'!$BL25,'Fuel Consumption'!$A$31:$L$2316,2,0)*VLOOKUP('GHG Calcs'!$AD25,'GHG EF'!$B$10:$H$19,4,0))),"")</f>
        <v/>
      </c>
      <c r="DA25" s="1419" t="str">
        <f ca="1">IFERROR(IF(OR('GHG Calcs'!$BD25="Diesel",'GHG Calcs'!$BD25="Renewable Diesel",'GHG Calcs'!$BD25="Biodiesel"),VLOOKUP('GHG Calcs'!$BL25,'Fuel Consumption'!$A$31:$L$2316,6,0)*VLOOKUP('GHG Calcs'!$BD25,'GHG EF'!$B$10:$H$19,4,0),VLOOKUP('GHG Calcs'!$BL25,'Fuel Consumption'!$A$31:$L$2316,7,0)*VLOOKUP('GHG Calcs'!$BD25,'GHG EF'!$B$10:$H$19,5,0)),"")</f>
        <v/>
      </c>
      <c r="DB25" s="1419" t="str">
        <f ca="1">IFERROR(IF(OR('GHG Calcs'!$BD25="Diesel",'GHG Calcs'!$BD25="Renewable Diesel",'GHG Calcs'!$BD25="Biodiesel"),VLOOKUP('GHG Calcs'!$BL25,'Fuel Consumption'!$A$31:$L$2316,9,0)*VLOOKUP('GHG Calcs'!$BD25,'GHG EF'!$B$10:$H$19,4,0),VLOOKUP('GHG Calcs'!$BL25,'Fuel Consumption'!$A$31:$L$2316,10,0)*VLOOKUP('GHG Calcs'!$BD25,'GHG EF'!$B$10:$H$19,5,0)),"")</f>
        <v/>
      </c>
      <c r="DC25" s="1419" t="str">
        <f ca="1">IFERROR(VLOOKUP('GHG Calcs'!$BL25,'Fuel Consumption'!$A$31:$L$2316,12,0)*VLOOKUP('GHG Calcs'!$BD25,'GHG EF'!$B$10:$H$19,4,0),"")</f>
        <v/>
      </c>
      <c r="DD25" s="1373" t="str">
        <f ca="1">IFERROR(IF(OR('GHG Calcs'!BD25=Defaults!$I$3, 'GHG Calcs'!BD25=Defaults!$I$4, 'GHG Calcs'!BD25=Defaults!$I$6, 'GHG Calcs'!BD25=Defaults!$I$8), IF('GHG Calcs'!BE25&gt;0,'GHG Calcs'!BE25*IF('GHG Calcs'!BD25=Defaults!$I$3,'GHG EF'!$C$11/'GHG EF'!$C$12,1),'GHG Calcs'!BJ25*'GHG Calcs'!BH25),"")*('GHG Calcs'!I25-'GHG Calcs'!H25),"")</f>
        <v/>
      </c>
      <c r="DE25" s="1373" t="str">
        <f ca="1">IFERROR(IF('GHG Calcs'!BD25=Defaults!$I$5,IF('GHG Calcs'!BE25&gt;0,'GHG Calcs'!BE25,'GHG Calcs'!BI25*'GHG Calcs'!BH25),"")*('GHG Calcs'!I25-'GHG Calcs'!H25),"")</f>
        <v/>
      </c>
      <c r="DF25" s="1420" t="str">
        <f ca="1">IFERROR(IF('GHG Calcs'!BE25&gt;0,'GHG Calcs'!BE25,'GHG Calcs'!BK25*'GHG Calcs'!BH25)*VLOOKUP('GHG Calcs'!BD25,'Fuel &amp; Travel Costs'!$B$10:$C$19,2,0)*('GHG Calcs'!I25-'GHG Calcs'!H25),"")</f>
        <v/>
      </c>
      <c r="DG25" s="306">
        <f ca="1">INDIRECT("'Quantifiable Component "&amp;$B25&amp;"'!"&amp;$D25&amp;ROW('Quantifiable Component 1'!$70:$70))</f>
        <v>0</v>
      </c>
      <c r="DH25" s="306">
        <f ca="1">INDIRECT("'Quantifiable Component "&amp;$B25&amp;"'!"&amp;$D25&amp;ROW('Quantifiable Component 1'!$71:$71))</f>
        <v>0</v>
      </c>
      <c r="DI25" s="1422" t="str">
        <f ca="1">IFERROR(IF('GHG Calcs'!$CD25="Gasoline",VLOOKUP('GHG Calcs'!$CG25,'Bus C&amp;T EF'!$D$30:$V$2315,3,0),IF(OR('GHG Calcs'!$CD25="CNG",'GHG Calcs'!$CD25="LNG",'GHG Calcs'!$CD25="Renewable Natural Gas"),VLOOKUP('GHG Calcs'!$CG25,'Bus C&amp;T EF'!$D$30:$V$2315,4,0),VLOOKUP('GHG Calcs'!$CG25,'Bus C&amp;T EF'!$D$30:$V$2315,2,0)))/$ES25,"")</f>
        <v/>
      </c>
      <c r="DJ25" s="306" t="str">
        <f ca="1">IFERROR(IF('GHG Calcs'!$CD25="Gasoline",VLOOKUP('GHG Calcs'!$CG25,'Bus C&amp;T EF'!$D$30:$V$2315,6,0),IF(OR('GHG Calcs'!$CD25="CNG",'GHG Calcs'!$CD25="LNG",'GHG Calcs'!$CD25="Renewable Natural Gas"),VLOOKUP('GHG Calcs'!$CG25,'Bus C&amp;T EF'!$D$30:$V$2315,7,0),VLOOKUP('GHG Calcs'!$CG25,'Bus C&amp;T EF'!$D$30:$V$2315,5,0)))/$ES25,"")</f>
        <v/>
      </c>
      <c r="DK25" s="306" t="str">
        <f ca="1">IFERROR(IF('GHG Calcs'!$CD25="Gasoline",VLOOKUP('GHG Calcs'!$CG25,'Bus C&amp;T EF'!$D$30:$V$2315,9,0),IF(OR('GHG Calcs'!$CD25="CNG",'GHG Calcs'!$CD25="LNG",'GHG Calcs'!$CD25="Renewable Natural Gas"),VLOOKUP('GHG Calcs'!$CG25,'Bus C&amp;T EF'!$D$30:$V$2315,10,0),VLOOKUP('GHG Calcs'!$CG25,'Bus C&amp;T EF'!$D$30:$V$2315,8,0)))/$ES25,"")</f>
        <v/>
      </c>
      <c r="DL25" s="306" t="str">
        <f ca="1">IFERROR(IF('GHG Calcs'!$CD25="Gasoline",VLOOKUP('GHG Calcs'!$CG25,'Bus C&amp;T EF'!$D$30:$V$2315,12,0),IF(OR('GHG Calcs'!$CD25="CNG",'GHG Calcs'!$CD25="LNG",'GHG Calcs'!$CD25="Renewable Natural Gas"),VLOOKUP('GHG Calcs'!$CG25,'Bus C&amp;T EF'!$D$30:$V$2315,13,0),IF('GHG Calcs'!$CD25="Electric",VLOOKUP('GHG Calcs'!$CG25,'Bus C&amp;T EF'!$D$30:$V$2315,14,0),VLOOKUP('GHG Calcs'!$CG25,'Bus C&amp;T EF'!$D$30:$V$2315,11,0))))/$ES25,"")</f>
        <v/>
      </c>
      <c r="DM25" s="306" t="str">
        <f ca="1">IFERROR(IF('GHG Calcs'!$CD25="Gasoline",VLOOKUP('GHG Calcs'!$CG25,'Bus C&amp;T EF'!$D$30:$V$2315,16,0),IF(OR('GHG Calcs'!$CD25="CNG",'GHG Calcs'!$CD25="LNG",'GHG Calcs'!$CD25="Renewable Natural Gas"),VLOOKUP('GHG Calcs'!$CG25,'Bus C&amp;T EF'!$D$30:$V$2315,17,0),IF('GHG Calcs'!$CD25="Electric",VLOOKUP('GHG Calcs'!$CG25,'Bus C&amp;T EF'!$D$30:$V$2315,18,0),VLOOKUP('GHG Calcs'!$CG25,'Bus C&amp;T EF'!$D$30:$V$2315,15,0))))/$ES25,"")</f>
        <v/>
      </c>
      <c r="DN25" s="306" t="str">
        <f ca="1">IFERROR(IF('GHG Calcs'!$CD25="Gasoline",0,VLOOKUP('GHG Calcs'!$CG25,'Bus C&amp;T EF'!$D$30:$V$2315,19,0))/$ES25,"")</f>
        <v/>
      </c>
      <c r="DO25" s="1419" t="str">
        <f ca="1">IFERROR(IF(OR('GHG Calcs'!$CD25="Diesel",'GHG Calcs'!$CD25="Renewable Diesel",'GHG Calcs'!$CD25="Biodiesel"),VLOOKUP('GHG Calcs'!$CG25,'Van C&amp;T EF'!$D$30:$Q$2315,2,0),VLOOKUP('GHG Calcs'!$CG25,'Van C&amp;T EF'!$D$30:$Q$2315,3,0))/$ET25,"")</f>
        <v/>
      </c>
      <c r="DP25" s="1419" t="str">
        <f ca="1">IFERROR(IF(OR('GHG Calcs'!$CD25="Diesel",'GHG Calcs'!$CD25="Renewable Diesel",'GHG Calcs'!$CD25="Biodiesel"),VLOOKUP('GHG Calcs'!$CG25,'Van C&amp;T EF'!$D$30:$Q$2315,4,0),VLOOKUP('GHG Calcs'!$CG25,'Van C&amp;T EF'!$D$30:$Q$2315,5,0))/$ET25,"")</f>
        <v/>
      </c>
      <c r="DQ25" s="1419" t="str">
        <f ca="1">IFERROR(IF(OR('GHG Calcs'!$CD25="Diesel",'GHG Calcs'!$CD25="Renewable Diesel",'GHG Calcs'!$CD25="Biodiesel"),VLOOKUP('GHG Calcs'!$CG25,'Van C&amp;T EF'!$D$30:$Q$2315,6,0),VLOOKUP('GHG Calcs'!$CG25,'Van C&amp;T EF'!$D$30:$Q$2315,7,0))/$ET25,"")</f>
        <v/>
      </c>
      <c r="DR25" s="1419" t="str">
        <f ca="1">IFERROR(IF(OR('GHG Calcs'!$CD25="Diesel",'GHG Calcs'!$CD25="Renewable Diesel",'GHG Calcs'!$CD25="Biodiesel"),VLOOKUP('GHG Calcs'!$CG25,'Van C&amp;T EF'!$D$30:$Q$2315,8,0),IF(OR('GHG Calcs'!$CD25="Electric",'GHG Calcs'!$CD25="Hydrogen Fuel Cell",'GHG Calcs'!$CD25="Renewable Electricity"),VLOOKUP('GHG Calcs'!$CG25,'Van C&amp;T EF'!$D$30:$Q$2315,10,0),VLOOKUP('GHG Calcs'!$CG25,'Van C&amp;T EF'!$D$30:$Q$2315,9,0)))/$ET25,"")</f>
        <v/>
      </c>
      <c r="DS25" s="1419" t="str">
        <f ca="1">IFERROR(IF(OR('GHG Calcs'!$CD25="Diesel",'GHG Calcs'!$CD25="Renewable Diesel",'GHG Calcs'!$CD25="Biodiesel"),VLOOKUP('GHG Calcs'!$CG25,'Van C&amp;T EF'!$D$30:$Q$2315,11,0),IF(OR('GHG Calcs'!$CD25="Electric",'GHG Calcs'!$CD25="Hydrogen Fuel Cell",'GHG Calcs'!$CD25="Renewable Electricity"),VLOOKUP('GHG Calcs'!$CG25,'Van C&amp;T EF'!$D$30:$Q$2315,13,0),VLOOKUP('GHG Calcs'!$CG25,'Van C&amp;T EF'!$D$30:$Q$2315,12,0)))/$ET25,"")</f>
        <v/>
      </c>
      <c r="DT25" s="306" t="str">
        <f ca="1">IFERROR(IF(OR('GHG Calcs'!$CD25="Diesel",'GHG Calcs'!$CD25="Biodiesel",'GHG Calcs'!$CD25="Renewable Diesel"),VLOOKUP('GHG Calcs'!$CG25,'Van C&amp;T EF'!$D$30:$Q$2315,14,0),0)/$ET25,"")</f>
        <v/>
      </c>
      <c r="DU25" s="1419" t="str">
        <f ca="1">IFERROR(IF(OR('GHG Calcs'!$CD25="Diesel",'GHG Calcs'!$CD25="Renewable Diesel",'GHG Calcs'!$CD25="Biodiesel"),VLOOKUP('GHG Calcs'!$CG25,'Shuttle C&amp;T EF'!$D$30:$Q$2315,2,0),VLOOKUP('GHG Calcs'!$CG25,'Shuttle C&amp;T EF'!$D$30:$Q$2315,3,0))/$EU25,"")</f>
        <v/>
      </c>
      <c r="DV25" s="1419" t="str">
        <f ca="1">IFERROR(IF(OR('GHG Calcs'!$CD25="Diesel",'GHG Calcs'!$CD25="Renewable Diesel",'GHG Calcs'!$CD25="Biodiesel"),VLOOKUP('GHG Calcs'!$CG25,'Shuttle C&amp;T EF'!$D$30:$Q$2315,4,0),VLOOKUP('GHG Calcs'!$CG25,'Shuttle C&amp;T EF'!$D$30:$Q$2315,5,0))/$EU25,"")</f>
        <v/>
      </c>
      <c r="DW25" s="1419" t="str">
        <f ca="1">IFERROR(IF(OR('GHG Calcs'!$CD25="Diesel",'GHG Calcs'!$CD25="Renewable Diesel",'GHG Calcs'!$CD25="Biodiesel"),VLOOKUP('GHG Calcs'!$CG25,'Shuttle C&amp;T EF'!$D$30:$Q$2315,6,0),VLOOKUP('GHG Calcs'!$CG25,'Shuttle C&amp;T EF'!$D$30:$Q$2315,7,0))/$EU25,"")</f>
        <v/>
      </c>
      <c r="DX25" s="1419" t="str">
        <f ca="1">IFERROR(IF(OR('GHG Calcs'!$CD25="Diesel",'GHG Calcs'!$CD25="Renewable Diesel",'GHG Calcs'!$CD25="Biodiesel"),VLOOKUP('GHG Calcs'!$CG25,'Shuttle C&amp;T EF'!$D$30:$Q$2315,8,0),IF(OR('GHG Calcs'!$CD25="Electric",'GHG Calcs'!$CD25="Hydrogen Fuel Cell",'GHG Calcs'!$CD25="Renewable Electricity"),VLOOKUP('GHG Calcs'!$CG25,'Shuttle C&amp;T EF'!$D$30:$Q$2315,10,0),VLOOKUP('GHG Calcs'!$CG25,'Shuttle C&amp;T EF'!$D$30:$Q$2315,9,0)))/$EU25,"")</f>
        <v/>
      </c>
      <c r="DY25" s="1419" t="str">
        <f ca="1">IFERROR(IF(OR('GHG Calcs'!$CD25="Diesel",'GHG Calcs'!$CD25="Renewable Diesel",'GHG Calcs'!$CD25="Biodiesel"),VLOOKUP('GHG Calcs'!$CG25,'Shuttle C&amp;T EF'!$D$30:$Q$2315,11,0),IF(OR('GHG Calcs'!$CD25="Electric",'GHG Calcs'!$CD25="Hydrogen Fuel Cell",'GHG Calcs'!$CD25="Renewable Electricity"),VLOOKUP('GHG Calcs'!$CG25,'Shuttle C&amp;T EF'!$D$30:$Q$2315,13,0),VLOOKUP('GHG Calcs'!$CG25,'Shuttle C&amp;T EF'!$D$30:$Q$2315,12,0)))/$EU25,"")</f>
        <v/>
      </c>
      <c r="DZ25" s="1419" t="str">
        <f ca="1">IFERROR(IF(OR('GHG Calcs'!$CD25="Diesel",'GHG Calcs'!$CD25="Biodiesel",'GHG Calcs'!$CD25="Renewable Diesel"),VLOOKUP('GHG Calcs'!$CG25,'Shuttle C&amp;T EF'!$D$30:$Q$2315,14,0),0)/$EU25,"")</f>
        <v/>
      </c>
      <c r="EA25" s="306" t="str">
        <f ca="1">IFERROR((VLOOKUP('GHG Calcs'!$CG25,'Over-Road Coach C&amp;T EF'!$D$29:$N$2314,2,0)+VLOOKUP('GHG Calcs'!$CG25,'Over-Road Coach C&amp;T EF'!$D$29:$N$2314,3,0))/$EV25,"")</f>
        <v/>
      </c>
      <c r="EB25" s="306" t="str">
        <f ca="1">IFERROR((VLOOKUP('GHG Calcs'!$CG25,'Over-Road Coach C&amp;T EF'!$D$29:$N$2314,4,0)+VLOOKUP('GHG Calcs'!$CG25,'Over-Road Coach C&amp;T EF'!$D$29:$N$2314,5,0))/$EV25,"")</f>
        <v/>
      </c>
      <c r="EC25" s="306" t="str">
        <f ca="1">IFERROR((VLOOKUP('GHG Calcs'!$CG25,'Over-Road Coach C&amp;T EF'!$D$29:$N$2314,6,0)+VLOOKUP('GHG Calcs'!$CG25,'Over-Road Coach C&amp;T EF'!$D$29:$N$2314,7,0))/$EV25,"")</f>
        <v/>
      </c>
      <c r="ED25" s="306" t="str">
        <f ca="1">IFERROR(VLOOKUP('GHG Calcs'!$CG25,'Over-Road Coach C&amp;T EF'!$D$29:$N$2314,8,0)/$EV25,"")</f>
        <v/>
      </c>
      <c r="EE25" s="306" t="str">
        <f ca="1">IFERROR(VLOOKUP('GHG Calcs'!$CG25,'Over-Road Coach C&amp;T EF'!$D$29:$N$2314,9,0)/$EV25,"")</f>
        <v/>
      </c>
      <c r="EF25" s="306" t="str">
        <f ca="1">IFERROR((VLOOKUP('GHG Calcs'!$CG25,'Over-Road Coach C&amp;T EF'!$D$29:$N$2314,10,0)+VLOOKUP('GHG Calcs'!$CG25,'Over-Road Coach C&amp;T EF'!$D$29:$N$2314,11,0))/$EV25,"")</f>
        <v/>
      </c>
      <c r="EG25" s="306" t="str">
        <f ca="1">IFERROR(VLOOKUP(DG25,'Co-Benefit Calcs'!$E$76:$I$83,2,0)/'Rail C&amp;T EF'!$K$14,"")</f>
        <v/>
      </c>
      <c r="EH25" s="306" t="str">
        <f ca="1">IFERROR(VLOOKUP(DG25,'Co-Benefit Calcs'!$E$76:$I$83,3,0)/'Rail C&amp;T EF'!$K$14,"")</f>
        <v/>
      </c>
      <c r="EI25" s="306" t="str">
        <f ca="1">IFERROR(VLOOKUP(DG25,'Co-Benefit Calcs'!$E$76:$I$83,4,0)/'Rail C&amp;T EF'!$K$14,"")</f>
        <v/>
      </c>
      <c r="EJ25" s="306" t="str">
        <f ca="1">IFERROR(IF('GHG Calcs'!$CD25="Gasoline",0,VLOOKUP(DG25,'Co-Benefit Calcs'!$E$76:$I$83,5,0))/'Rail C&amp;T EF'!$K$14,"")</f>
        <v/>
      </c>
      <c r="EK25" s="306" t="str">
        <f ca="1">IFERROR(VLOOKUP('GHG Calcs'!CF25,'Rail C&amp;T EF'!$A$43:$Y$133,IF(DH25&gt;750,23, IF(DH25&gt;=600,20, IF(DH25&gt;=300,17, IF(DH25&gt;=175,14, IF(DH25&gt;=100,11, IF(DH25&gt;=75,8, IF(DH25&gt;=50,5, 2))))))),0) * IF($DH25&gt;=750,'Rail C&amp;T EF'!$K$18,'Rail C&amp;T EF'!$K$19) * IF(OR('GHG Calcs'!CD25="Diesel", 'GHG Calcs'!CD25="Renewable Diesel", 'GHG Calcs'!CD25="Biodiesel"),'Rail C&amp;T EF'!$B$141,'Rail C&amp;T EF'!$B$142),"")</f>
        <v/>
      </c>
      <c r="EL25" s="306" t="str">
        <f ca="1">IFERROR(VLOOKUP('GHG Calcs'!$CF25,'Rail C&amp;T EF'!$A$43:$Y$133,IF(DH25&gt;750,24, IF(DH25&gt;=600,21, IF(DH25&gt;=300,18, IF(DH25&gt;=175,15, IF(DH25&gt;=100,12, IF(DH25&gt;=75,9, IF(DH25&gt;=50,6, 3))))))),0) * IF($DH25&gt;=750,'Rail C&amp;T EF'!$K$18,'Rail C&amp;T EF'!$K$19),"")</f>
        <v/>
      </c>
      <c r="EM25" s="306" t="str">
        <f ca="1">IFERROR(VLOOKUP('GHG Calcs'!$CF25,'Rail C&amp;T EF'!$A$43:$Y$133,IF(DH25&gt;750,25, IF(DH25&gt;=600,22, IF(DH25&gt;=300,19, IF(DH25&gt;=175,16, IF(DH25&gt;=100,13, IF(DH25&gt;=75,10, IF(DH25&gt;=50,7, 4))))))),0) * IF($DH25&gt;=750,'Rail C&amp;T EF'!$K$18,'Rail C&amp;T EF'!$K$19)*'Rail C&amp;T EF'!$B$146,"")</f>
        <v/>
      </c>
      <c r="EN25" s="306" t="str">
        <f ca="1">IFERROR(IF('GHG Calcs'!CD25="Gasoline",0,VLOOKUP('GHG Calcs'!$CF25,'Rail C&amp;T EF'!$A$43:$Y$133,IF(DH25&gt;750,25, IF(DH25&gt;=600,22, IF(DH25&gt;=300,19, IF(DH25&gt;=175,16, IF(DH25&gt;=100,13, IF(DH25&gt;=75,10, IF(DH25&gt;=50,7, 4))))))),0) * IF($DH25&gt;=750,'Rail C&amp;T EF'!$K$18,'Rail C&amp;T EF'!$K$19)),"")</f>
        <v/>
      </c>
      <c r="EO25" s="306" t="str">
        <f ca="1">IFERROR(VLOOKUP('GHG Calcs'!$CF25,'Ferry C&amp;T EF'!$A$106:$AK$196,IF(DH25&gt;=3301,35, IF(DH25&gt;=1901,31, IF(DH25&gt;=751,27, IF(DH25&gt;=501,23, IF(DH25&gt;=251,19, IF(DH25&gt;=176,15, IF(DH25&gt;=121,11, IF(DH25&gt;=51,7, 3)))))))),0),"")</f>
        <v/>
      </c>
      <c r="EP25" s="306" t="str">
        <f ca="1">IFERROR(VLOOKUP('GHG Calcs'!$CF25,'Ferry C&amp;T EF'!$A$106:$AK$196,IF(DH25&gt;=3301,34, IF(DH25&gt;=1901,30, IF(DH25&gt;=751,26, IF(DH25&gt;=501,22, IF(DH25&gt;=251,18, IF(DH25&gt;=176,14, IF(DH25&gt;=121,10, IF(DH25&gt;=51,6, 2)))))))),0),"")</f>
        <v/>
      </c>
      <c r="EQ25" s="306" t="str">
        <f ca="1">IFERROR(VLOOKUP('GHG Calcs'!$CF25,'Ferry C&amp;T EF'!$A$106:$AK$196,IF(DH25&gt;=3301,37, IF(DH25&gt;=1901,33, IF(DH25&gt;=751,29, IF(DH25&gt;=501,25, IF(DH25&gt;=251,21, IF(DH25&gt;=176,17, IF(DH25&gt;=121,13, IF(DH25&gt;=51,9, 5)))))))),0),"")</f>
        <v/>
      </c>
      <c r="ER25" s="306" t="str">
        <f ca="1">IFERROR(IF('GHG Calcs'!$CD25="Gasoline",0,VLOOKUP('GHG Calcs'!$CF25,'Ferry C&amp;T EF'!$A$106:$AK$196,IF(DH25&gt;=3301,36, IF(DH25&gt;=1901,32, IF(DH25&gt;=751,28, IF(DH25&gt;=501,24, IF(DH25&gt;=251,20, IF(DH25&gt;=176,16, IF(DH25&gt;=121,12, IF(DH25&gt;=51,8, 4)))))))),0)),"")</f>
        <v/>
      </c>
      <c r="ES25" s="1419" t="str">
        <f ca="1">IFERROR(IF('GHG Calcs'!$CD25="Gasoline",VLOOKUP('GHG Calcs'!$CG25,'Fuel Consumption'!$A$31:$L$2316,3,0),IF(OR('GHG Calcs'!$CD25="CNG",'GHG Calcs'!$CD25="LNG",'GHG Calcs'!$CD25="Renewable Natural Gas"),VLOOKUP('GHG Calcs'!$CG25,'Fuel Consumption'!$A$31:$L$2316,4,0)*VLOOKUP('GHG Calcs'!$CD25,'GHG EF'!$B$10:$H$19,4,0),VLOOKUP('GHG Calcs'!$CG25,'Fuel Consumption'!$A$31:$L$2316,2,0)*VLOOKUP('GHG Calcs'!$AD25,'GHG EF'!$B$10:$H$19,4,0))),"")</f>
        <v/>
      </c>
      <c r="ET25" s="1419" t="str">
        <f ca="1">IFERROR(IF(OR('GHG Calcs'!$CD25="Diesel",'GHG Calcs'!$CD25="Renewable Diesel",'GHG Calcs'!$CD25="Biodiesel"),VLOOKUP('GHG Calcs'!$CG25,'Fuel Consumption'!$A$31:$L$2316,6,0)*VLOOKUP('GHG Calcs'!$CD25,'GHG EF'!$B$10:$H$19,4,0),VLOOKUP('GHG Calcs'!$CG25,'Fuel Consumption'!$A$31:$L$2316,7,0)*VLOOKUP('GHG Calcs'!$CD25,'GHG EF'!$B$10:$H$19,5,0)),"")</f>
        <v/>
      </c>
      <c r="EU25" s="1419" t="str">
        <f ca="1">IFERROR(IF(OR('GHG Calcs'!$CD25="Diesel",'GHG Calcs'!$CD25="Renewable Diesel",'GHG Calcs'!$CD25="Biodiesel"),VLOOKUP('GHG Calcs'!$CG25,'Fuel Consumption'!$A$31:$L$2316,9,0)*VLOOKUP('GHG Calcs'!$CD25,'GHG EF'!$B$10:$H$19,4,0),VLOOKUP('GHG Calcs'!$CG25,'Fuel Consumption'!$A$31:$L$2316,10,0)*VLOOKUP('GHG Calcs'!$CD25,'GHG EF'!$B$10:$H$19,5,0)),"")</f>
        <v/>
      </c>
      <c r="EV25" s="1419" t="str">
        <f ca="1">IFERROR(VLOOKUP('GHG Calcs'!$CG25,'Fuel Consumption'!$A$31:$L$2316,12,0)*VLOOKUP('GHG Calcs'!$CD25,'GHG EF'!$B$10:$H$19,4,0),"")</f>
        <v/>
      </c>
      <c r="EW25" s="1373" t="str">
        <f ca="1">IFERROR(IF(OR('GHG Calcs'!CD25=Defaults!$I$4, 'GHG Calcs'!CD25=Defaults!$I$6, 'GHG Calcs'!CD25=Defaults!$I$8),'GHG Calcs'!CE25,IF('GHG Calcs'!CD25=Defaults!$I$3, 'GHG Calcs'!CE25*'GHG EF'!$C$11/'GHG EF'!$C$12,""))*('GHG Calcs'!I25-'GHG Calcs'!H25),"")</f>
        <v/>
      </c>
      <c r="EX25" s="1373" t="str">
        <f ca="1">IFERROR(IF('GHG Calcs'!CD25=Defaults!$I$5,'GHG Calcs'!CE25,"")*('GHG Calcs'!I25-'GHG Calcs'!H25),"")</f>
        <v/>
      </c>
      <c r="EY25" s="1420" t="str">
        <f ca="1">IFERROR('GHG Calcs'!CE25*VLOOKUP('GHG Calcs'!CD25,'Fuel &amp; Travel Costs'!$B$10:$C$19,2,0)*('GHG Calcs'!I25-'GHG Calcs'!H25),"")</f>
        <v/>
      </c>
      <c r="EZ25" s="1420" t="str">
        <f t="shared" ca="1" si="0"/>
        <v/>
      </c>
      <c r="FA25" s="306">
        <f ca="1">INDIRECT("'Quantifiable Component "&amp;$B25&amp;"'!"&amp;$D25&amp;ROW('Quantifiable Component 1'!$77:$77))</f>
        <v>0</v>
      </c>
      <c r="FB25" s="306">
        <f ca="1">INDIRECT("'Quantifiable Component "&amp;$B25&amp;"'!"&amp;$D25&amp;ROW('Quantifiable Component 1'!$78:$78))</f>
        <v>0</v>
      </c>
      <c r="FC25" s="306">
        <f ca="1">INDIRECT("'Quantifiable Component "&amp;$B25&amp;"'!"&amp;$D25&amp;ROW('Quantifiable Component 1'!$79:$79))</f>
        <v>0</v>
      </c>
      <c r="FD25" s="306">
        <f ca="1">INDIRECT("'Quantifiable Component "&amp;$B25&amp;"'!"&amp;$D25&amp;ROW('Quantifiable Component 1'!$80:$80))</f>
        <v>0</v>
      </c>
      <c r="FE25" s="306">
        <f ca="1">INDIRECT("'Quantifiable Component "&amp;$B25&amp;"'!"&amp;$D25&amp;ROW('Quantifiable Component 1'!$81:$81))</f>
        <v>0</v>
      </c>
    </row>
    <row r="26" spans="1:161" s="117" customFormat="1" x14ac:dyDescent="0.35">
      <c r="A26" s="1648"/>
      <c r="B26" s="1367">
        <v>5</v>
      </c>
      <c r="C26" s="1379">
        <v>3</v>
      </c>
      <c r="D26" s="1368" t="str">
        <f>'GHG Calcs'!D26</f>
        <v>K</v>
      </c>
      <c r="E26" s="1416">
        <f ca="1">'GHG Calcs'!U26</f>
        <v>0</v>
      </c>
      <c r="F26" s="1416">
        <f ca="1">'GHG Calcs'!W26</f>
        <v>0</v>
      </c>
      <c r="G26" s="1417" t="str">
        <f ca="1">IFERROR(VLOOKUP('GHG Calcs'!K26,'Auto C&amp;T EF'!$C$35:$K$2662,2,0)*E26,"")</f>
        <v/>
      </c>
      <c r="H26" s="1417" t="str">
        <f ca="1">IFERROR(VLOOKUP('GHG Calcs'!L26,'Auto C&amp;T EF'!$C$35:$K$2662,2,0)*F26,"")</f>
        <v/>
      </c>
      <c r="I26" s="1417" t="str">
        <f ca="1">IFERROR(VLOOKUP('GHG Calcs'!$K26,'Auto C&amp;T EF'!$C$35:$K$2662,3,0)*$E26,"")</f>
        <v/>
      </c>
      <c r="J26" s="1417" t="str">
        <f ca="1">IFERROR(VLOOKUP('GHG Calcs'!$L26,'Auto C&amp;T EF'!$C$35:$K$2662,3,0)*$F26,"")</f>
        <v/>
      </c>
      <c r="K26" s="1417" t="str">
        <f ca="1">IFERROR((VLOOKUP('GHG Calcs'!$K26,'Auto C&amp;T EF'!$C$35:$K$2662,5,0)+VLOOKUP('GHG Calcs'!$K26,'Auto C&amp;T EF'!$C$35:$K$2662,6,0)+VLOOKUP('GHG Calcs'!$K26,'Auto C&amp;T EF'!$C$35:$K$2662,7,0))*$E26,"")</f>
        <v/>
      </c>
      <c r="L26" s="1417" t="str">
        <f ca="1">IFERROR((VLOOKUP('GHG Calcs'!$L26,'Auto C&amp;T EF'!$C$35:$K$2662,5,0)+VLOOKUP('GHG Calcs'!$L26,'Auto C&amp;T EF'!$C$35:$K$2662,6,0)+VLOOKUP('GHG Calcs'!$L26,'Auto C&amp;T EF'!$C$35:$K$2662,7,0))*$F26,"")</f>
        <v/>
      </c>
      <c r="M26" s="1417" t="str">
        <f ca="1">IFERROR(VLOOKUP('GHG Calcs'!$K26,'Auto C&amp;T EF'!$C$35:$K$2662,8,0)*$E26,"")</f>
        <v/>
      </c>
      <c r="N26" s="1417" t="str">
        <f ca="1">IFERROR(VLOOKUP('GHG Calcs'!$L26,'Auto C&amp;T EF'!$C$35:$K$2662,8,0)*$F26,"")</f>
        <v/>
      </c>
      <c r="O26" s="1418">
        <f ca="1">IFERROR(AVERAGE(G26:H26)*('GHG Calcs'!I26-'GHG Calcs'!H26),0)</f>
        <v>0</v>
      </c>
      <c r="P26" s="1418">
        <f ca="1">IFERROR(AVERAGE(I26:J26)*('GHG Calcs'!I26-'GHG Calcs'!H26),0)</f>
        <v>0</v>
      </c>
      <c r="Q26" s="1418">
        <f ca="1">IFERROR(AVERAGE(K26:L26)*('GHG Calcs'!I26-'GHG Calcs'!H26),0)</f>
        <v>0</v>
      </c>
      <c r="R26" s="1418">
        <f ca="1">IFERROR(AVERAGE(M26:N26)*('GHG Calcs'!I26-'GHG Calcs'!H26),0)</f>
        <v>0</v>
      </c>
      <c r="S26" s="1418">
        <f ca="1">IFERROR(AVERAGE(E26*VLOOKUP('GHG Calcs'!K26,'Auto C&amp;T EF'!$C$35:$L$2662,10,0),F26*VLOOKUP('GHG Calcs'!L26,'Auto C&amp;T EF'!$C$35:$L$2662,10,0))*('GHG Calcs'!I26-'GHG Calcs'!H26),0)</f>
        <v>0</v>
      </c>
      <c r="T26" s="1379">
        <f ca="1">INDIRECT("'Quantifiable Component "&amp;$B26&amp;"'!"&amp;$D26&amp;ROW('Quantifiable Component 1'!$47:$47))</f>
        <v>0</v>
      </c>
      <c r="U26" s="1379">
        <f ca="1">INDIRECT("'Quantifiable Component "&amp;$B26&amp;"'!"&amp;$D26&amp;ROW('Quantifiable Component 1'!$48:$48))</f>
        <v>0</v>
      </c>
      <c r="V26" s="306" t="str">
        <f ca="1">IFERROR(IF('GHG Calcs'!$AD26="Gasoline",VLOOKUP('GHG Calcs'!$AH26,'Bus C&amp;T EF'!$D$30:$V$2315,3,0),IF(OR('GHG Calcs'!$AD26="CNG",'GHG Calcs'!$AD26="LNG",'GHG Calcs'!$AD26="Renewable Natural Gas"),VLOOKUP('GHG Calcs'!$AH26,'Bus C&amp;T EF'!$D$30:$V$2315,4,0),VLOOKUP('GHG Calcs'!$AH26,'Bus C&amp;T EF'!$D$30:$V$2315,2,0)))/IF('GHG Calcs'!AE26&gt;0,$BF26,1),"")</f>
        <v/>
      </c>
      <c r="W26" s="306" t="str">
        <f ca="1">IFERROR(IF('GHG Calcs'!$AD26="Gasoline",VLOOKUP('GHG Calcs'!$AH26,'Bus C&amp;T EF'!$D$30:$V$2315,6,0),IF(OR('GHG Calcs'!$AD26="CNG",'GHG Calcs'!$AD26="LNG",'GHG Calcs'!$AD26="Renewable Natural Gas"),VLOOKUP('GHG Calcs'!$AH26,'Bus C&amp;T EF'!$D$30:$V$2315,7,0),VLOOKUP('GHG Calcs'!$AH26,'Bus C&amp;T EF'!$D$30:$V$2315,5,0)))/IF('GHG Calcs'!AE26&gt;0,$BF26,1),"")</f>
        <v/>
      </c>
      <c r="X26" s="1419" t="str">
        <f ca="1">IFERROR(IF('GHG Calcs'!$AD26="Gasoline",VLOOKUP('GHG Calcs'!$AH26,'Bus C&amp;T EF'!$D$30:$V$2315,9,0),IF(OR('GHG Calcs'!$AD26="CNG",'GHG Calcs'!$AD26="LNG",'GHG Calcs'!$AD26="Renewable Natural Gas"),VLOOKUP('GHG Calcs'!$AH26,'Bus C&amp;T EF'!$D$30:$V$2315,10,0),VLOOKUP('GHG Calcs'!$AH26,'Bus C&amp;T EF'!$D$30:$V$2315,8,0)))/IF('GHG Calcs'!AE26&gt;0,$BF26,1),"")</f>
        <v/>
      </c>
      <c r="Y26" s="1419" t="str">
        <f ca="1">IFERROR(IF('GHG Calcs'!$AD26="Gasoline",VLOOKUP('GHG Calcs'!$AH26,'Bus C&amp;T EF'!$D$30:$V$2315,12,0),IF(OR('GHG Calcs'!$AD26="CNG",'GHG Calcs'!$AD26="LNG",'GHG Calcs'!$AD26="Renewable Natural Gas"),VLOOKUP('GHG Calcs'!$AH26,'Bus C&amp;T EF'!$D$30:$V$2315,13,0),IF(OR('GHG Calcs'!$AD26="Electric",'GHG Calcs'!$AD26="Hydrogen Fuel Cell",'GHG Calcs'!$AD26="Renewable Electricity"),VLOOKUP('GHG Calcs'!$AH26,'Bus C&amp;T EF'!$D$30:$V$2315,14,0),VLOOKUP('GHG Calcs'!$AH26,'Bus C&amp;T EF'!$D$30:$V$2315,11,0))))/IF('GHG Calcs'!AE26&gt;0,$BF26,1),"")</f>
        <v/>
      </c>
      <c r="Z26" s="1419" t="str">
        <f ca="1">IFERROR(IF('GHG Calcs'!$AD26="Gasoline",VLOOKUP('GHG Calcs'!$AH26,'Bus C&amp;T EF'!$D$30:$V$2315,16,0),IF(OR('GHG Calcs'!$AD26="CNG",'GHG Calcs'!$AD26="LNG",'GHG Calcs'!$AD26="Renewable Natural Gas"),VLOOKUP('GHG Calcs'!$AH26,'Bus C&amp;T EF'!$D$30:$V$2315,17,0),IF(OR('GHG Calcs'!$AD26="Electric",'GHG Calcs'!$AD26="Hydrogen Fuel Cell",'GHG Calcs'!$AD26="Renewable Electricity"),VLOOKUP('GHG Calcs'!$AH26,'Bus C&amp;T EF'!$D$30:$V$2315,18,0),VLOOKUP('GHG Calcs'!$AH26,'Bus C&amp;T EF'!$D$30:$V$2315,15,0))))/IF('GHG Calcs'!AE26&gt;0,$BF26,1),"")</f>
        <v/>
      </c>
      <c r="AA26" s="306" t="str">
        <f ca="1">IFERROR(IF('GHG Calcs'!$AD26="Gasoline",0,VLOOKUP('GHG Calcs'!$AH26,'Bus C&amp;T EF'!$D$30:$V$2315,19,0))/IF('GHG Calcs'!AE26&gt;0,$BF26,1),"")</f>
        <v/>
      </c>
      <c r="AB26" s="1419" t="str">
        <f ca="1">IFERROR(IF(OR('GHG Calcs'!$AD26="Diesel",'GHG Calcs'!$AD26="Renewable Diesel",'GHG Calcs'!$AD26="Biodiesel"),VLOOKUP('GHG Calcs'!$AH26,'Van C&amp;T EF'!$D$30:$Q$2315,2,0),VLOOKUP('GHG Calcs'!$AH26,'Van C&amp;T EF'!$D$30:$Q$2315,3,0))/IF('GHG Calcs'!AE26&gt;0,$BG26,1),"")</f>
        <v/>
      </c>
      <c r="AC26" s="1419" t="str">
        <f ca="1">IFERROR(IF(OR('GHG Calcs'!$AD26="Diesel",'GHG Calcs'!$AD26="Renewable Diesel",'GHG Calcs'!$AD26="Biodiesel"),VLOOKUP('GHG Calcs'!$AH26,'Van C&amp;T EF'!$D$30:$Q$2315,4,0),VLOOKUP('GHG Calcs'!$AH26,'Van C&amp;T EF'!$D$30:$Q$2315,5,0))/IF('GHG Calcs'!AE26&gt;0,$BG26,1),"")</f>
        <v/>
      </c>
      <c r="AD26" s="1419" t="str">
        <f ca="1">IFERROR(IF(OR('GHG Calcs'!$AD26="Diesel",'GHG Calcs'!$AD26="Renewable Diesel",'GHG Calcs'!$AD26="Biodiesel"),VLOOKUP('GHG Calcs'!$AH26,'Van C&amp;T EF'!$D$30:$Q$2315,6,0),VLOOKUP('GHG Calcs'!$AH26,'Van C&amp;T EF'!$D$30:$Q$2315,7,0))/IF('GHG Calcs'!AE26&gt;0,$BG26,1),"")</f>
        <v/>
      </c>
      <c r="AE26" s="1419" t="str">
        <f ca="1">IFERROR(IF(OR('GHG Calcs'!$AD26="Diesel",'GHG Calcs'!$AD26="Renewable Diesel",'GHG Calcs'!$AD26="Biodiesel"),VLOOKUP('GHG Calcs'!$AH26,'Van C&amp;T EF'!$D$30:$Q$2315,8,0),IF(OR('GHG Calcs'!$AD26="Electric",'GHG Calcs'!$AD26="Hydrogen Fuel Cell",'GHG Calcs'!$AD26="Renewable Electricity"),VLOOKUP('GHG Calcs'!$AH26,'Van C&amp;T EF'!$D$30:$Q$2315,10,0),VLOOKUP('GHG Calcs'!$AH26,'Van C&amp;T EF'!$D$30:$Q$2315,9,0)))/IF('GHG Calcs'!AE26&gt;0,$BG26,1),"")</f>
        <v/>
      </c>
      <c r="AF26" s="1419" t="str">
        <f ca="1">IFERROR(IF(OR('GHG Calcs'!$AD26="Diesel",'GHG Calcs'!$AD26="Renewable Diesel",'GHG Calcs'!$AD26="Biodiesel"),VLOOKUP('GHG Calcs'!$AH26,'Van C&amp;T EF'!$D$30:$Q$2315,11,0),IF(OR('GHG Calcs'!$AD26="Electric",'GHG Calcs'!$AD26="Hydrogen Fuel Cell",'GHG Calcs'!$AD26="Renewable Electricity"),VLOOKUP('GHG Calcs'!$AH26,'Van C&amp;T EF'!$D$30:$Q$2315,13,0),VLOOKUP('GHG Calcs'!$AH26,'Van C&amp;T EF'!$D$30:$Q$2315,12,0)))/IF('GHG Calcs'!AE26&gt;0,$BG26,1),"")</f>
        <v/>
      </c>
      <c r="AG26" s="306">
        <f ca="1">IFERROR(IF(OR('GHG Calcs'!$AD26="Diesel",'GHG Calcs'!$AD26="Biodiesel",'GHG Calcs'!$AD26="Renewable Diesel"),VLOOKUP('GHG Calcs'!$AH26,'Van C&amp;T EF'!$D$30:$Q$2315,14,0),0)/IF('GHG Calcs'!AE26&gt;0,$BG26,1),"")</f>
        <v>0</v>
      </c>
      <c r="AH26" s="1419" t="str">
        <f ca="1">IFERROR(IF(OR('GHG Calcs'!$AD26="Diesel",'GHG Calcs'!$AD26="Renewable Diesel",'GHG Calcs'!$AD26="Biodiesel"),VLOOKUP('GHG Calcs'!$AH26,'Shuttle C&amp;T EF'!$D$30:$Q$2315,2,0),VLOOKUP('GHG Calcs'!$AH26,'Shuttle C&amp;T EF'!$D$30:$Q$2315,3,0))/IF('GHG Calcs'!AE26&gt;0,$BH26,1),"")</f>
        <v/>
      </c>
      <c r="AI26" s="1419" t="str">
        <f ca="1">IFERROR(IF(OR('GHG Calcs'!$AD26="Diesel",'GHG Calcs'!$AD26="Renewable Diesel",'GHG Calcs'!$AD26="Biodiesel"),VLOOKUP('GHG Calcs'!$AH26,'Shuttle C&amp;T EF'!$D$30:$Q$2315,4,0),VLOOKUP('GHG Calcs'!$AH26,'Shuttle C&amp;T EF'!$D$30:$Q$2315,5,0))/IF('GHG Calcs'!AE26&gt;0,$BH26,1),"")</f>
        <v/>
      </c>
      <c r="AJ26" s="1419" t="str">
        <f ca="1">IFERROR(IF(OR('GHG Calcs'!$AD26="Diesel",'GHG Calcs'!$AD26="Renewable Diesel",'GHG Calcs'!$AD26="Biodiesel"),VLOOKUP('GHG Calcs'!$AH26,'Shuttle C&amp;T EF'!$D$30:$Q$2315,6,0),VLOOKUP('GHG Calcs'!$AH26,'Shuttle C&amp;T EF'!$D$30:$Q$2315,7,0))/IF('GHG Calcs'!AE26&gt;0,$BH26,1),"")</f>
        <v/>
      </c>
      <c r="AK26" s="1419" t="str">
        <f ca="1">IFERROR(IF(OR('GHG Calcs'!$AD26="Diesel",'GHG Calcs'!$AD26="Renewable Diesel",'GHG Calcs'!$AD26="Biodiesel"),VLOOKUP('GHG Calcs'!$AH26,'Shuttle C&amp;T EF'!$D$30:$Q$2315,8,0),IF(OR('GHG Calcs'!$AD26="Electric",'GHG Calcs'!$AD26="Hydrogen Fuel Cell",'GHG Calcs'!$AD26="Renewable Electricity"),VLOOKUP('GHG Calcs'!$AH26,'Shuttle C&amp;T EF'!$D$30:$Q$2315,10,0),VLOOKUP('GHG Calcs'!$AH26,'Shuttle C&amp;T EF'!$D$30:$Q$2315,9,0)))/IF('GHG Calcs'!AE26&gt;0,$BH26,1),"")</f>
        <v/>
      </c>
      <c r="AL26" s="1419" t="str">
        <f ca="1">IFERROR(IF(OR('GHG Calcs'!$AD26="Diesel",'GHG Calcs'!$AD26="Renewable Diesel",'GHG Calcs'!$AD26="Biodiesel"),VLOOKUP('GHG Calcs'!$AH26,'Shuttle C&amp;T EF'!$D$30:$Q$2315,11,0),IF(OR('GHG Calcs'!$AD26="Electric",'GHG Calcs'!$AD26="Hydrogen Fuel Cell",'GHG Calcs'!$AD26="Renewable Electricity"),VLOOKUP('GHG Calcs'!$AH26,'Shuttle C&amp;T EF'!$D$30:$Q$2315,13,0),VLOOKUP('GHG Calcs'!$AH26,'Shuttle C&amp;T EF'!$D$30:$Q$2315,12,0)))/IF('GHG Calcs'!AE26&gt;0,$BH26,1),"")</f>
        <v/>
      </c>
      <c r="AM26" s="1419">
        <f ca="1">IFERROR(IF(OR('GHG Calcs'!$AD26="Diesel",'GHG Calcs'!$AD26="Biodiesel",'GHG Calcs'!$AD26="Renewable Diesel"),VLOOKUP('GHG Calcs'!$AH26,'Shuttle C&amp;T EF'!$D$30:$Q$2315,14,0),0)/IF('GHG Calcs'!AE26&gt;0,$BH26,1),"")</f>
        <v>0</v>
      </c>
      <c r="AN26" s="306" t="str">
        <f ca="1">IFERROR((VLOOKUP('GHG Calcs'!$AH26,'Over-Road Coach C&amp;T EF'!$D$29:$N$2314,2,0)+VLOOKUP('GHG Calcs'!$AH26,'Over-Road Coach C&amp;T EF'!$D$29:$N$2314,3,0))/IF('GHG Calcs'!AE26&gt;0,$BI26,1),"")</f>
        <v/>
      </c>
      <c r="AO26" s="306" t="str">
        <f ca="1">IFERROR((VLOOKUP('GHG Calcs'!$AH26,'Over-Road Coach C&amp;T EF'!$D$29:$N$2314,4,0)+VLOOKUP('GHG Calcs'!$AH26,'Over-Road Coach C&amp;T EF'!$D$29:$N$2314,5,0))/IF('GHG Calcs'!AE26&gt;0,$BI26,1),"")</f>
        <v/>
      </c>
      <c r="AP26" s="306" t="str">
        <f ca="1">IFERROR((VLOOKUP('GHG Calcs'!$AH26,'Over-Road Coach C&amp;T EF'!$D$29:$N$2314,6,0)+VLOOKUP('GHG Calcs'!$AH26,'Over-Road Coach C&amp;T EF'!$D$29:$N$2314,7,0))/IF('GHG Calcs'!AE26&gt;0,$BI26,1),"")</f>
        <v/>
      </c>
      <c r="AQ26" s="306" t="str">
        <f ca="1">IFERROR(VLOOKUP('GHG Calcs'!$AH26,'Over-Road Coach C&amp;T EF'!$D$29:$N$2314,8,0)/IF('GHG Calcs'!AE26&gt;0,$BI26,1),"")</f>
        <v/>
      </c>
      <c r="AR26" s="306" t="str">
        <f ca="1">IFERROR(VLOOKUP('GHG Calcs'!$AH26,'Over-Road Coach C&amp;T EF'!$D$29:$N$2314,9,0)/IF('GHG Calcs'!AE26&gt;0,$BI26,1),"")</f>
        <v/>
      </c>
      <c r="AS26" s="306" t="str">
        <f ca="1">IFERROR((VLOOKUP('GHG Calcs'!$AH26,'Over-Road Coach C&amp;T EF'!$D$29:$N$2314,10,0)+VLOOKUP('GHG Calcs'!$AH26,'Over-Road Coach C&amp;T EF'!$D$29:$N$2314,11,0))/IF('GHG Calcs'!AE26&gt;0,$BI26,1),"")</f>
        <v/>
      </c>
      <c r="AT26" s="306" t="str">
        <f ca="1">IFERROR(VLOOKUP(T26,'Co-Benefit Calcs'!$E$76:$I$83,2,0)/IF('GHG Calcs'!$AE26&gt;0,'Rail C&amp;T EF'!$K$14,1),"")</f>
        <v/>
      </c>
      <c r="AU26" s="306" t="str">
        <f ca="1">IFERROR(VLOOKUP(T26,'Co-Benefit Calcs'!$E$76:$I$83,3,0)/IF('GHG Calcs'!$AE26&gt;0,'Rail C&amp;T EF'!$K$14,1),"")</f>
        <v/>
      </c>
      <c r="AV26" s="306" t="str">
        <f ca="1">IFERROR(VLOOKUP(T26,'Co-Benefit Calcs'!$E$76:$I$83,4,0)/IF('GHG Calcs'!$AE26&gt;0,'Rail C&amp;T EF'!$K$14,1),"")</f>
        <v/>
      </c>
      <c r="AW26" s="306" t="str">
        <f ca="1">IFERROR(IF('GHG Calcs'!$AD26="Gasoline",0,VLOOKUP(T26,'Co-Benefit Calcs'!$E$76:$I$83,5,0))/IF('GHG Calcs'!$AE26&gt;0,'Rail C&amp;T EF'!$K$14,1),"")</f>
        <v/>
      </c>
      <c r="AX26" s="306" t="str">
        <f ca="1">IFERROR(VLOOKUP('GHG Calcs'!$AG26,'Rail C&amp;T EF'!$A$43:$Y$133,IF(U26&gt;750,23, IF(U26&gt;=600,20, IF(U26&gt;=300,17, IF(U26&gt;=175,14, IF(U26&gt;=100,11, IF(U26&gt;=75,8, IF(U26&gt;=50,5, 2))))))),0) * IF($U26&gt;=750,'Rail C&amp;T EF'!$K$18,'Rail C&amp;T EF'!$K$19) * IF('GHG Calcs'!$AE26&gt;0,1,'Rail C&amp;T EF'!$B$149) * IF(OR('GHG Calcs'!AD26="Diesel", 'GHG Calcs'!AD26="Renewable Diesel", 'GHG Calcs'!AD26="Biodiesel"),'Rail C&amp;T EF'!$B$141,'Rail C&amp;T EF'!$B$142),"")</f>
        <v/>
      </c>
      <c r="AY26" s="306" t="str">
        <f ca="1">IFERROR(VLOOKUP('GHG Calcs'!$AG26,'Rail C&amp;T EF'!$A$43:$Y$133,IF(U26&gt;750,24, IF(U26&gt;=600,21, IF(U26&gt;=300,18, IF(U26&gt;=175,15, IF(U26&gt;=100,12, IF(U26&gt;=75,9, IF(U26&gt;=50,6, 3))))))),0) * IF($U26&gt;=750,'Rail C&amp;T EF'!$K$18,'Rail C&amp;T EF'!$K$19) * IF('GHG Calcs'!$AE26&gt;0,1,'Rail C&amp;T EF'!$B$149),"")</f>
        <v/>
      </c>
      <c r="AZ26" s="306" t="str">
        <f ca="1">IFERROR(VLOOKUP('GHG Calcs'!$AG26,'Rail C&amp;T EF'!$A$43:$Y$133,IF(U26&gt;750,25, IF(U26&gt;=600,22, IF(U26&gt;=300,19, IF(U26&gt;=175,16, IF(U26&gt;=100,13, IF(U26&gt;=75,10, IF(U26&gt;=50,7, 4))))))),0) * IF($U26&gt;=750,'Rail C&amp;T EF'!$K$18,'Rail C&amp;T EF'!$K$19) * IF('GHG Calcs'!$AE26&gt;0,1,'Rail C&amp;T EF'!$B$149)*'Rail C&amp;T EF'!$B$146,"")</f>
        <v/>
      </c>
      <c r="BA26" s="306" t="str">
        <f ca="1">IFERROR(IF('GHG Calcs'!$AD26="Gasoline",0,VLOOKUP('GHG Calcs'!$AG26,'Rail C&amp;T EF'!$A$43:$Y$133,IF(U26&gt;750,25, IF(U26&gt;=600,22, IF(U26&gt;=300,19, IF(U26&gt;=175,16, IF(U26&gt;=100,13, IF(U26&gt;=75,10, IF(U26&gt;=50,7, 4))))))),0) * IF($U26&gt;=750,'Rail C&amp;T EF'!$K$18,'Rail C&amp;T EF'!$K$19) * IF('GHG Calcs'!$AE26&gt;0,1,'Rail C&amp;T EF'!$B$149)),"")</f>
        <v/>
      </c>
      <c r="BB26" s="306" t="str">
        <f ca="1">IFERROR(VLOOKUP('GHG Calcs'!$AG26,'Ferry C&amp;T EF'!$A$106:$AK$196,IF(U26&gt;=3301,35, IF(U26&gt;=1901,31, IF(U26&gt;=751,27, IF(U26&gt;=501,23, IF(U26&gt;=251,19, IF(U26&gt;=176,15, IF(U26&gt;=121,11, IF(U26&gt;=51,7, 3)))))))),0),"")</f>
        <v/>
      </c>
      <c r="BC26" s="306" t="str">
        <f ca="1">IFERROR(VLOOKUP('GHG Calcs'!$AG26,'Ferry C&amp;T EF'!$A$106:$AK$196,IF(U26&gt;=3301,34, IF(U26&gt;=1901,30, IF(U26&gt;=751,26, IF(U26&gt;=501,22, IF(U26&gt;=251,18, IF(U26&gt;=176,14, IF(U26&gt;=121,10, IF(U26&gt;=51,6, 2)))))))),0),"")</f>
        <v/>
      </c>
      <c r="BD26" s="306" t="str">
        <f ca="1">IFERROR(VLOOKUP('GHG Calcs'!$AG26,'Ferry C&amp;T EF'!$A$106:$AK$196,IF(U26&gt;=3301,37, IF(U26&gt;=1901,33, IF(U26&gt;=751,29, IF(U26&gt;=501,25, IF(U26&gt;=251,21, IF(U26&gt;=176,17, IF(U26&gt;=121,13, IF(U26&gt;=51,9, 5)))))))),0),"")</f>
        <v/>
      </c>
      <c r="BE26" s="306" t="str">
        <f ca="1">IFERROR(IF('GHG Calcs'!$AD26="Gasoline",0,VLOOKUP('GHG Calcs'!$AG26,'Ferry C&amp;T EF'!$A$106:$AK$196,IF(U26&gt;=3301,36, IF(U26&gt;=1901,32, IF(U26&gt;=751,28, IF(U26&gt;=501,24, IF(U26&gt;=251,20, IF(U26&gt;=176,16, IF(U26&gt;=121,12, IF(U26&gt;=51,8, 4)))))))),0)),"")</f>
        <v/>
      </c>
      <c r="BF26" s="1419" t="str">
        <f ca="1">IFERROR(IF('GHG Calcs'!$AD26="Gasoline",VLOOKUP('GHG Calcs'!$AH26,'Fuel Consumption'!$A$31:$L$2316,3,0),IF(OR('GHG Calcs'!$AD26="CNG",'GHG Calcs'!$AD26="LNG",'GHG Calcs'!$AD26="Renewable Natural Gas"),VLOOKUP('GHG Calcs'!$AH26,'Fuel Consumption'!$A$31:$L$2316,4,0)*VLOOKUP('GHG Calcs'!$AD26,'GHG EF'!$B$10:$H$19,4,0),VLOOKUP('GHG Calcs'!$AH26,'Fuel Consumption'!$A$31:$L$2316,2,0)*VLOOKUP('GHG Calcs'!$AD26,'GHG EF'!$B$10:$H$19,4,0))),"")</f>
        <v/>
      </c>
      <c r="BG26" s="1419" t="str">
        <f ca="1">IFERROR(IF(OR('GHG Calcs'!$AD26="Diesel",'GHG Calcs'!$AD26="Renewable Diesel",'GHG Calcs'!$AD26="Biodiesel"),VLOOKUP('GHG Calcs'!$AH26,'Fuel Consumption'!$A$31:$L$2316,6,0)*VLOOKUP('GHG Calcs'!$AD26,'GHG EF'!$B$10:$H$19,4,0),VLOOKUP('GHG Calcs'!$AH26,'Fuel Consumption'!$A$31:$L$2316,7,0)*VLOOKUP('GHG Calcs'!$AD26,'GHG EF'!$B$10:$H$19,5,0)),"")</f>
        <v/>
      </c>
      <c r="BH26" s="1419" t="str">
        <f ca="1">IFERROR(IF(OR('GHG Calcs'!$AD26="Diesel",'GHG Calcs'!$AD26="Renewable Diesel",'GHG Calcs'!$AD26="Biodiesel"),VLOOKUP('GHG Calcs'!$AH26,'Fuel Consumption'!$A$31:$L$2316,9,0)*VLOOKUP('GHG Calcs'!$AD26,'GHG EF'!$B$10:$H$19,4,0),VLOOKUP('GHG Calcs'!$AH26,'Fuel Consumption'!$A$31:$L$2316,10,0)*VLOOKUP('GHG Calcs'!$AD26,'GHG EF'!$B$10:$H$19,5,0)),"")</f>
        <v/>
      </c>
      <c r="BI26" s="1419" t="str">
        <f ca="1">IFERROR(VLOOKUP('GHG Calcs'!$AH26,'Fuel Consumption'!$A$31:$L$2316,12,0)*VLOOKUP('GHG Calcs'!$AD26,'GHG EF'!$B$10:$H$19,4,0),"")</f>
        <v/>
      </c>
      <c r="BJ26" s="1373" t="str">
        <f ca="1">IFERROR(IF(OR('GHG Calcs'!AD26=Defaults!$I$3, 'GHG Calcs'!AD26=Defaults!$I$4, 'GHG Calcs'!AD26=Defaults!$I$6, 'GHG Calcs'!AD26=Defaults!$I$8), IF('GHG Calcs'!AE26&gt;0,'GHG Calcs'!AE26*IF('GHG Calcs'!AD26=Defaults!$I$3,'GHG EF'!$C$11/'GHG EF'!$C$12,1),'GHG Calcs'!AK26*'GHG Calcs'!AI26),"")*('GHG Calcs'!I26-'GHG Calcs'!H26),"")</f>
        <v/>
      </c>
      <c r="BK26" s="1373" t="str">
        <f ca="1">IFERROR(IF('GHG Calcs'!AD26=Defaults!$I$5,IF('GHG Calcs'!AE26&gt;0,'GHG Calcs'!AE26,'GHG Calcs'!AJ26*'GHG Calcs'!AI26),"")*IF('GHG Calcs'!AF26&lt;'GHG EF'!$D$13,'GHG Calcs'!AF26/'GHG EF'!$D$13,1)*IF('GHG Calcs'!AF26&lt;0,0,1)*('GHG Calcs'!I26-'GHG Calcs'!H26),"")</f>
        <v/>
      </c>
      <c r="BL26" s="1373" t="str">
        <f ca="1">IFERROR(IF('GHG Calcs'!AD26=Defaults!$I$11, IF(IF('GHG Calcs'!AE26&gt;0,'GHG Calcs'!AE26,'GHG Calcs'!AJ26*'GHG Calcs'!AI26)&lt;INDIRECT("'"&amp;#REF!&amp;"'!"&amp;$D26&amp;ROW(#REF!)), IF('GHG Calcs'!AE26&gt;0,'GHG Calcs'!AE26,'GHG Calcs'!AJ26*'GHG Calcs'!AI26), INDIRECT("'"&amp;#REF!&amp;"'!"&amp;$D26&amp;ROW(#REF!))),"")*('GHG Calcs'!I26-'GHG Calcs'!H26),"")</f>
        <v/>
      </c>
      <c r="BM26" s="1420" t="str">
        <f ca="1">IFERROR(IF('GHG Calcs'!AE26&gt;0,'GHG Calcs'!AE26,'GHG Calcs'!AL26*'GHG Calcs'!AI26)*VLOOKUP('GHG Calcs'!AD26,'Fuel &amp; Travel Costs'!$B$10:$C$19,2,0)*('GHG Calcs'!I26-'GHG Calcs'!H26),"")</f>
        <v/>
      </c>
      <c r="BN26" s="306">
        <f ca="1">INDIRECT("'Quantifiable Component "&amp;$B26&amp;"'!"&amp;$D26&amp;ROW('Quantifiable Component 1'!$59:$59))</f>
        <v>0</v>
      </c>
      <c r="BO26" s="306">
        <f ca="1">INDIRECT("'Quantifiable Component "&amp;$B26&amp;"'!"&amp;$D26&amp;ROW('Quantifiable Component 1'!$60:$60))</f>
        <v>0</v>
      </c>
      <c r="BP26" s="1421" t="str">
        <f ca="1">IFERROR(IF('GHG Calcs'!$BD26="Gasoline",VLOOKUP('GHG Calcs'!$BL26,'Bus C&amp;T EF'!$D$30:$V$2315,3,0),IF(OR('GHG Calcs'!$BD26="CNG",'GHG Calcs'!$BD26="LNG",'GHG Calcs'!$BD26="Renewable Natural Gas"),VLOOKUP('GHG Calcs'!$BL26,'Bus C&amp;T EF'!$D$30:$V$2315,4,0),VLOOKUP('GHG Calcs'!$BL26,'Bus C&amp;T EF'!$D$30:$V$2315,2,0)))/IF('GHG Calcs'!BE26&gt;0,$CZ26,1),"")</f>
        <v/>
      </c>
      <c r="BQ26" s="1419" t="str">
        <f ca="1">IFERROR(IF('GHG Calcs'!$BD26="Gasoline",VLOOKUP('GHG Calcs'!$BL26,'Bus C&amp;T EF'!$D$30:$V$2315,6,0),IF(OR('GHG Calcs'!$BD26="CNG",'GHG Calcs'!$BD26="LNG",'GHG Calcs'!$BD26="Renewable Natural Gas"),VLOOKUP('GHG Calcs'!$BL26,'Bus C&amp;T EF'!$D$30:$V$2315,7,0),VLOOKUP('GHG Calcs'!$BL26,'Bus C&amp;T EF'!$D$30:$V$2315,5,0)))/IF('GHG Calcs'!BE26&gt;0,$CZ26,1),"")</f>
        <v/>
      </c>
      <c r="BR26" s="1419" t="str">
        <f ca="1">IFERROR(IF('GHG Calcs'!$BD26="Gasoline",VLOOKUP('GHG Calcs'!$BL26,'Bus C&amp;T EF'!$D$30:$V$2315,9,0),IF(OR('GHG Calcs'!$BD26="CNG",'GHG Calcs'!$BD26="LNG",'GHG Calcs'!$BD26="Renewable Natural Gas"),VLOOKUP('GHG Calcs'!$BL26,'Bus C&amp;T EF'!$D$30:$V$2315,10,0),VLOOKUP('GHG Calcs'!$BL26,'Bus C&amp;T EF'!$D$30:$V$2315,8,0)))/IF('GHG Calcs'!BE26&gt;0,$CZ26,1),"")</f>
        <v/>
      </c>
      <c r="BS26" s="1419" t="str">
        <f ca="1">IFERROR(IF('GHG Calcs'!$BD26="Gasoline",VLOOKUP('GHG Calcs'!$BL26,'Bus C&amp;T EF'!$D$30:$V$2315,12,0),IF(OR('GHG Calcs'!$BD26="CNG",'GHG Calcs'!$BD26="LNG",'GHG Calcs'!$BD26="Renewable Natural Gas"),VLOOKUP('GHG Calcs'!$BL26,'Bus C&amp;T EF'!$D$30:$V$2315,13,0),IF(OR('GHG Calcs'!$BD26="Electric",'GHG Calcs'!$BD26="Hydrogen Fuel Cell",'GHG Calcs'!$BD26="Renewable Electricity"),VLOOKUP('GHG Calcs'!$BL26,'Bus C&amp;T EF'!$D$30:$V$2315,14,0),VLOOKUP('GHG Calcs'!$BL26,'Bus C&amp;T EF'!$D$30:$V$2315,11,0))))/IF('GHG Calcs'!BE26&gt;0,$CZ26,1),"")</f>
        <v/>
      </c>
      <c r="BT26" s="1419" t="str">
        <f ca="1">IFERROR(IF('GHG Calcs'!$BD26="Gasoline",VLOOKUP('GHG Calcs'!$BL26,'Bus C&amp;T EF'!$D$30:$V$2315,16,0),IF(OR('GHG Calcs'!$BD26="CNG",'GHG Calcs'!$BD26="LNG",'GHG Calcs'!$BD26="Renewable Natural Gas"),VLOOKUP('GHG Calcs'!$BL26,'Bus C&amp;T EF'!$D$30:$V$2315,17,0),IF(OR('GHG Calcs'!$BD26="Electric",'GHG Calcs'!$BD26="Hydrogen Fuel Cell",'GHG Calcs'!$BD26="Renewable Electricity"),VLOOKUP('GHG Calcs'!$BL26,'Bus C&amp;T EF'!$D$30:$V$2315,18,0),VLOOKUP('GHG Calcs'!$BL26,'Bus C&amp;T EF'!$D$30:$V$2315,15,0))))/IF('GHG Calcs'!BE26&gt;0,$CZ26,1),"")</f>
        <v/>
      </c>
      <c r="BU26" s="306" t="str">
        <f ca="1">IFERROR(IF('GHG Calcs'!$BD26="Gasoline",0,VLOOKUP('GHG Calcs'!$BL26,'Bus C&amp;T EF'!$D$30:$V$2315,19,0))/IF('GHG Calcs'!BE26&gt;0,$CZ26,1),"")</f>
        <v/>
      </c>
      <c r="BV26" s="1419" t="str">
        <f ca="1">IFERROR(IF(OR('GHG Calcs'!$BD26="Diesel",'GHG Calcs'!$BD26="Renewable Diesel",'GHG Calcs'!$BD26="Biodiesel"),VLOOKUP('GHG Calcs'!$BL26,'Van C&amp;T EF'!$D$30:$Q$2315,2,0),VLOOKUP('GHG Calcs'!$BL26,'Van C&amp;T EF'!$D$30:$Q$2315,3,0))/IF('GHG Calcs'!BE26&gt;0,$DA26,1),"")</f>
        <v/>
      </c>
      <c r="BW26" s="1419" t="str">
        <f ca="1">IFERROR(IF(OR('GHG Calcs'!$BD26="Diesel",'GHG Calcs'!$BD26="Renewable Diesel",'GHG Calcs'!$BD26="Biodiesel"),VLOOKUP('GHG Calcs'!$BL26,'Van C&amp;T EF'!$D$30:$Q$2315,4,0),VLOOKUP('GHG Calcs'!$BL26,'Van C&amp;T EF'!$D$30:$Q$2315,5,0))/IF('GHG Calcs'!BE26&gt;0,$DA26,1),"")</f>
        <v/>
      </c>
      <c r="BX26" s="1419" t="str">
        <f ca="1">IFERROR(IF(OR('GHG Calcs'!$BD26="Diesel",'GHG Calcs'!$BD26="Renewable Diesel",'GHG Calcs'!$BD26="Biodiesel"),VLOOKUP('GHG Calcs'!$BL26,'Van C&amp;T EF'!$D$30:$Q$2315,6,0),VLOOKUP('GHG Calcs'!$BL26,'Van C&amp;T EF'!$D$30:$Q$2315,7,0))/IF('GHG Calcs'!BE26&gt;0,$DA26,1),"")</f>
        <v/>
      </c>
      <c r="BY26" s="1419" t="str">
        <f ca="1">IFERROR(IF(OR('GHG Calcs'!$BD26="Diesel",'GHG Calcs'!$BD26="Renewable Diesel",'GHG Calcs'!$BD26="Biodiesel"),VLOOKUP('GHG Calcs'!$BL26,'Van C&amp;T EF'!$D$30:$Q$2315,8,0),IF(OR('GHG Calcs'!$BD26="Electric",'GHG Calcs'!$BD26="Hydrogen Fuel Cell",'GHG Calcs'!$BD26="Renewable Electricity"),VLOOKUP('GHG Calcs'!$BL26,'Van C&amp;T EF'!$D$30:$Q$2315,10,0),VLOOKUP('GHG Calcs'!$BL26,'Van C&amp;T EF'!$D$30:$Q$2315,9,0)))/IF('GHG Calcs'!BE26&gt;0,$DA26,1),"")</f>
        <v/>
      </c>
      <c r="BZ26" s="1419" t="str">
        <f ca="1">IFERROR(IF(OR('GHG Calcs'!$BD26="Diesel",'GHG Calcs'!$BD26="Renewable Diesel",'GHG Calcs'!$BD26="Biodiesel"),VLOOKUP('GHG Calcs'!$BL26,'Van C&amp;T EF'!$D$30:$Q$2315,11,0),IF(OR('GHG Calcs'!$BD26="Electric",'GHG Calcs'!$BD26="Hydrogen Fuel Cell",'GHG Calcs'!$BD26="Renewable Electricity"),VLOOKUP('GHG Calcs'!$BL26,'Van C&amp;T EF'!$D$30:$Q$2315,13,0),VLOOKUP('GHG Calcs'!$BL26,'Van C&amp;T EF'!$D$30:$Q$2315,12,0)))/IF('GHG Calcs'!BE26&gt;0,$DA26,1),"")</f>
        <v/>
      </c>
      <c r="CA26" s="306">
        <f ca="1">IFERROR(IF(OR('GHG Calcs'!$BD26="Diesel",'GHG Calcs'!$BD26="Biodiesel",'GHG Calcs'!$BD26="Renewable Diesel"),VLOOKUP('GHG Calcs'!$BL26,'Van C&amp;T EF'!$D$30:$Q$2315,14,0),0)/IF('GHG Calcs'!BE26&gt;0,$DA26,1),"")</f>
        <v>0</v>
      </c>
      <c r="CB26" s="1419" t="str">
        <f ca="1">IFERROR(IF(OR('GHG Calcs'!$BD26="Diesel",'GHG Calcs'!$BD26="Renewable Diesel",'GHG Calcs'!$BD26="Biodiesel"),VLOOKUP('GHG Calcs'!$BL26,'Shuttle C&amp;T EF'!$D$30:$Q$2315,2,0),VLOOKUP('GHG Calcs'!$BL26,'Shuttle C&amp;T EF'!$D$30:$Q$2315,3,0))/IF('GHG Calcs'!BE26&gt;0,$DB26,1),"")</f>
        <v/>
      </c>
      <c r="CC26" s="1419" t="str">
        <f ca="1">IFERROR(IF(OR('GHG Calcs'!$BD26="Diesel",'GHG Calcs'!$BD26="Renewable Diesel",'GHG Calcs'!$BD26="Biodiesel"),VLOOKUP('GHG Calcs'!$BL26,'Shuttle C&amp;T EF'!$D$30:$Q$2315,4,0),VLOOKUP('GHG Calcs'!$BL26,'Shuttle C&amp;T EF'!$D$30:$Q$2315,5,0))/IF('GHG Calcs'!BE26&gt;0,$DB26,1),"")</f>
        <v/>
      </c>
      <c r="CD26" s="1419" t="str">
        <f ca="1">IFERROR(IF(OR('GHG Calcs'!$BD26="Diesel",'GHG Calcs'!$BD26="Renewable Diesel",'GHG Calcs'!$BD26="Biodiesel"),VLOOKUP('GHG Calcs'!$BL26,'Shuttle C&amp;T EF'!$D$30:$Q$2315,6,0),VLOOKUP('GHG Calcs'!$BL26,'Shuttle C&amp;T EF'!$D$30:$Q$2315,7,0))/IF('GHG Calcs'!BE26&gt;0,$DB26,1),"")</f>
        <v/>
      </c>
      <c r="CE26" s="1419" t="str">
        <f ca="1">IFERROR(IF(OR('GHG Calcs'!$BD26="Diesel",'GHG Calcs'!$BD26="Renewable Diesel",'GHG Calcs'!$BD26="Biodiesel"),VLOOKUP('GHG Calcs'!$BL26,'Shuttle C&amp;T EF'!$D$30:$Q$2315,8,0),IF(OR('GHG Calcs'!$BD26="Electric",'GHG Calcs'!$BD26="Hydrogen Fuel Cell",'GHG Calcs'!$BD26="Renewable Electricity"),VLOOKUP('GHG Calcs'!$BL26,'Shuttle C&amp;T EF'!$D$30:$Q$2315,10,0),VLOOKUP('GHG Calcs'!$BL26,'Shuttle C&amp;T EF'!$D$30:$Q$2315,9,0)))/IF('GHG Calcs'!BE26&gt;0,$DB26,1),"")</f>
        <v/>
      </c>
      <c r="CF26" s="1419" t="str">
        <f ca="1">IFERROR(IF(OR('GHG Calcs'!$BD26="Diesel",'GHG Calcs'!$BD26="Renewable Diesel",'GHG Calcs'!$BD26="Biodiesel"),VLOOKUP('GHG Calcs'!$BL26,'Shuttle C&amp;T EF'!$D$30:$Q$2315,11,0),IF(OR('GHG Calcs'!$BD26="Electric",'GHG Calcs'!$BD26="Hydrogen Fuel Cell",'GHG Calcs'!$BD26="Renewable Electricity"),VLOOKUP('GHG Calcs'!$BL26,'Shuttle C&amp;T EF'!$D$30:$Q$2315,13,0),VLOOKUP('GHG Calcs'!$BL26,'Shuttle C&amp;T EF'!$D$30:$Q$2315,12,0)))/IF('GHG Calcs'!BE26&gt;0,$DB26,1),"")</f>
        <v/>
      </c>
      <c r="CG26" s="1419">
        <f ca="1">IFERROR(IF(OR('GHG Calcs'!$BD26="Diesel",'GHG Calcs'!$BD26="Biodiesel",'GHG Calcs'!$BD26="Renewable Diesel"),VLOOKUP('GHG Calcs'!$BL26,'Shuttle C&amp;T EF'!$D$30:$Q$2315,14,0),0)/IF('GHG Calcs'!BE26&gt;0,$DB26,1),"")</f>
        <v>0</v>
      </c>
      <c r="CH26" s="306" t="str">
        <f ca="1">IFERROR((VLOOKUP('GHG Calcs'!$BL26,'Over-Road Coach C&amp;T EF'!$D$29:$N$2314,2,0)+VLOOKUP('GHG Calcs'!$BL26,'Over-Road Coach C&amp;T EF'!$D$29:$N$2314,3,0))/IF('GHG Calcs'!BE26&gt;0,$DC26,1),"")</f>
        <v/>
      </c>
      <c r="CI26" s="306" t="str">
        <f ca="1">IFERROR((VLOOKUP('GHG Calcs'!$BL26,'Over-Road Coach C&amp;T EF'!$D$29:$N$2314,4,0)+VLOOKUP('GHG Calcs'!$BL26,'Over-Road Coach C&amp;T EF'!$D$29:$N$2314,5,0))/IF('GHG Calcs'!BE26&gt;0,$DC26,1),"")</f>
        <v/>
      </c>
      <c r="CJ26" s="306" t="str">
        <f ca="1">IFERROR((VLOOKUP('GHG Calcs'!$BL26,'Over-Road Coach C&amp;T EF'!$D$29:$N$2314,6,0)+VLOOKUP('GHG Calcs'!$BL26,'Over-Road Coach C&amp;T EF'!$D$29:$N$2314,7,0))/IF('GHG Calcs'!BE26&gt;0,$DC26,1),"")</f>
        <v/>
      </c>
      <c r="CK26" s="306" t="str">
        <f ca="1">IFERROR(VLOOKUP('GHG Calcs'!$BL26,'Over-Road Coach C&amp;T EF'!$D$29:$N$2314,8,0)/IF('GHG Calcs'!BE26&gt;0,$DC26,1),"")</f>
        <v/>
      </c>
      <c r="CL26" s="306" t="str">
        <f ca="1">IFERROR(VLOOKUP('GHG Calcs'!$BL26,'Over-Road Coach C&amp;T EF'!$D$29:$N$2314,9,0)/IF('GHG Calcs'!BE26&gt;0,$DC26,1),"")</f>
        <v/>
      </c>
      <c r="CM26" s="306" t="str">
        <f ca="1">IFERROR((VLOOKUP('GHG Calcs'!$BL26,'Over-Road Coach C&amp;T EF'!$D$29:$N$2314,10,0)+VLOOKUP('GHG Calcs'!$BL26,'Over-Road Coach C&amp;T EF'!$D$29:$N$2314,11,0))/IF('GHG Calcs'!BE26&gt;0,$DC26,1),"")</f>
        <v/>
      </c>
      <c r="CN26" s="306" t="str">
        <f ca="1">IFERROR(VLOOKUP(BN26,'Co-Benefit Calcs'!$E$76:$I$83,2,0)/IF('GHG Calcs'!$BE26&gt;0,'Rail C&amp;T EF'!$K$14,1),"")</f>
        <v/>
      </c>
      <c r="CO26" s="306" t="str">
        <f ca="1">IFERROR(VLOOKUP(BN26,'Co-Benefit Calcs'!$E$76:$I$83,3,0)/IF('GHG Calcs'!$BE26&gt;0,'Rail C&amp;T EF'!$K$14,1),"")</f>
        <v/>
      </c>
      <c r="CP26" s="306" t="str">
        <f ca="1">IFERROR(VLOOKUP(BN26,'Co-Benefit Calcs'!$E$76:$I$83,4,0)/IF('GHG Calcs'!$BE26&gt;0,'Rail C&amp;T EF'!$K$14,1),"")</f>
        <v/>
      </c>
      <c r="CQ26" s="306" t="str">
        <f ca="1">IFERROR(IF('GHG Calcs'!$BD26="Gasoline",0,VLOOKUP(BN26,'Co-Benefit Calcs'!$E$76:$I$83,5,0))/IF('GHG Calcs'!$BE26&gt;0,'Rail C&amp;T EF'!$K$14,1),"")</f>
        <v/>
      </c>
      <c r="CR26" s="306" t="str">
        <f ca="1">IFERROR(VLOOKUP('GHG Calcs'!$BG26,'Rail C&amp;T EF'!$A$43:$Y$133,IF(BO26&gt;750,23, IF(BO26&gt;=600,20, IF(BO26&gt;=300,17, IF(BO26&gt;=175,14, IF(BO26&gt;=100,11, IF(BO26&gt;=75,8, IF(BO26&gt;=50,5, 2))))))),0) * IF($BO26&gt;=750,'Rail C&amp;T EF'!$K$18,'Rail C&amp;T EF'!$K$19) * IF('GHG Calcs'!BE26&gt;0,1,'Rail C&amp;T EF'!$B$149) * IF(OR('GHG Calcs'!BD26="Diesel", 'GHG Calcs'!BD26="Renewable Diesel", 'GHG Calcs'!BD26="Biodiesel"),'Rail C&amp;T EF'!$B$141,'Rail C&amp;T EF'!$B$142),"")</f>
        <v/>
      </c>
      <c r="CS26" s="306" t="str">
        <f ca="1">IFERROR(VLOOKUP('GHG Calcs'!$BG26,'Rail C&amp;T EF'!$A$43:$Y$133,IF(BO26&gt;750,24, IF(BO26&gt;=600,21, IF(BO26&gt;=300,18, IF(BO26&gt;=175,15, IF(BO26&gt;=100,12, IF(BO26&gt;=75,9, IF(BO26&gt;=50,6, 3))))))),0) * IF($BO26&gt;=750,'Rail C&amp;T EF'!$K$18,'Rail C&amp;T EF'!$K$19) * IF('GHG Calcs'!$BE26&gt;0,1,'Rail C&amp;T EF'!$B$149),"")</f>
        <v/>
      </c>
      <c r="CT26" s="306" t="str">
        <f ca="1">IFERROR(VLOOKUP('GHG Calcs'!$BG26,'Rail C&amp;T EF'!$A$43:$Y$133,IF(BO26&gt;750,25, IF(BO26&gt;=600,22, IF(BO26&gt;=300,19, IF(BO26&gt;=175,16, IF(BO26&gt;=100,13, IF(BO26&gt;=75,10, IF(BO26&gt;=50,7, 4))))))),0) * IF($BO26&gt;=750,'Rail C&amp;T EF'!$K$18,'Rail C&amp;T EF'!$K$19) * IF('GHG Calcs'!$BE26&gt;0,1,'Rail C&amp;T EF'!$B$149)*'Rail C&amp;T EF'!$B$146,"")</f>
        <v/>
      </c>
      <c r="CU26" s="306" t="str">
        <f ca="1">IFERROR(IF('GHG Calcs'!BD26="Gasoline",0,VLOOKUP('GHG Calcs'!$BG26,'Rail C&amp;T EF'!$A$43:$Y$133,IF(BO26&gt;750,25, IF(BO26&gt;=600,22, IF(BO26&gt;=300,19, IF(BO26&gt;=175,16, IF(BO26&gt;=100,13, IF(BO26&gt;=75,10, IF(BO26&gt;=50,7, 4))))))),0) * IF($BO26&gt;=750,'Rail C&amp;T EF'!$K$18,'Rail C&amp;T EF'!$K$19) * IF('GHG Calcs'!$BE26&gt;0,1,'Rail C&amp;T EF'!$B$149)),"")</f>
        <v/>
      </c>
      <c r="CV26" s="306" t="str">
        <f ca="1">IFERROR(VLOOKUP('GHG Calcs'!$BG26,'Ferry C&amp;T EF'!$A$106:$AK$196,IF(BO26&gt;=3301,35, IF(BO26&gt;=1901,31, IF(BO26&gt;=751,27, IF(BO26&gt;=501,23, IF(BO26&gt;=251,19, IF(BO26&gt;=176,15, IF(BO26&gt;=121,11, IF(BO26&gt;=51,7, 3)))))))),0),"")</f>
        <v/>
      </c>
      <c r="CW26" s="306" t="str">
        <f ca="1">IFERROR(VLOOKUP('GHG Calcs'!$BG26,'Ferry C&amp;T EF'!$A$106:$AK$196,IF(BO26&gt;=3301,34, IF(BO26&gt;=1901,30, IF(BO26&gt;=751,26, IF(BO26&gt;=501,22, IF(BO26&gt;=251,18, IF(BO26&gt;=176,14, IF(BO26&gt;=121,10, IF(BO26&gt;=51,6, 2)))))))),0),"")</f>
        <v/>
      </c>
      <c r="CX26" s="306" t="str">
        <f ca="1">IFERROR(VLOOKUP('GHG Calcs'!$BG26,'Ferry C&amp;T EF'!$A$106:$AK$196,IF(BO26&gt;=3301,37, IF(BO26&gt;=1901,33, IF(BO26&gt;=751,29, IF(BO26&gt;=501,25, IF(BO26&gt;=251,21, IF(BO26&gt;=176,17, IF(BO26&gt;=121,13, IF(BO26&gt;=51,9, 5)))))))),0),"")</f>
        <v/>
      </c>
      <c r="CY26" s="306" t="str">
        <f ca="1">IFERROR(IF('GHG Calcs'!$BD26="Gasoline",0,VLOOKUP('GHG Calcs'!$BG26,'Ferry C&amp;T EF'!$A$106:$AK$196,IF(BO26&gt;=3301,36, IF(BO26&gt;=1901,32, IF(BO26&gt;=751,28, IF(BO26&gt;=501,24, IF(BO26&gt;=251,20, IF(BO26&gt;=176,16, IF(BO26&gt;=121,12, IF(BO26&gt;=51,8, 4)))))))),0)),"")</f>
        <v/>
      </c>
      <c r="CZ26" s="1419" t="str">
        <f ca="1">IFERROR(IF('GHG Calcs'!$BD26="Gasoline",VLOOKUP('GHG Calcs'!$BL26,'Fuel Consumption'!$A$31:$L$2316,3,0),IF(OR('GHG Calcs'!$BD26="CNG",'GHG Calcs'!$BD26="LNG",'GHG Calcs'!$BD26="Renewable Natural Gas"),VLOOKUP('GHG Calcs'!$BL26,'Fuel Consumption'!$A$31:$L$2316,4,0)*VLOOKUP('GHG Calcs'!$BD26,'GHG EF'!$B$10:$H$19,4,0),VLOOKUP('GHG Calcs'!$BL26,'Fuel Consumption'!$A$31:$L$2316,2,0)*VLOOKUP('GHG Calcs'!$AD26,'GHG EF'!$B$10:$H$19,4,0))),"")</f>
        <v/>
      </c>
      <c r="DA26" s="1419" t="str">
        <f ca="1">IFERROR(IF(OR('GHG Calcs'!$BD26="Diesel",'GHG Calcs'!$BD26="Renewable Diesel",'GHG Calcs'!$BD26="Biodiesel"),VLOOKUP('GHG Calcs'!$BL26,'Fuel Consumption'!$A$31:$L$2316,6,0)*VLOOKUP('GHG Calcs'!$BD26,'GHG EF'!$B$10:$H$19,4,0),VLOOKUP('GHG Calcs'!$BL26,'Fuel Consumption'!$A$31:$L$2316,7,0)*VLOOKUP('GHG Calcs'!$BD26,'GHG EF'!$B$10:$H$19,5,0)),"")</f>
        <v/>
      </c>
      <c r="DB26" s="1419" t="str">
        <f ca="1">IFERROR(IF(OR('GHG Calcs'!$BD26="Diesel",'GHG Calcs'!$BD26="Renewable Diesel",'GHG Calcs'!$BD26="Biodiesel"),VLOOKUP('GHG Calcs'!$BL26,'Fuel Consumption'!$A$31:$L$2316,9,0)*VLOOKUP('GHG Calcs'!$BD26,'GHG EF'!$B$10:$H$19,4,0),VLOOKUP('GHG Calcs'!$BL26,'Fuel Consumption'!$A$31:$L$2316,10,0)*VLOOKUP('GHG Calcs'!$BD26,'GHG EF'!$B$10:$H$19,5,0)),"")</f>
        <v/>
      </c>
      <c r="DC26" s="1419" t="str">
        <f ca="1">IFERROR(VLOOKUP('GHG Calcs'!$BL26,'Fuel Consumption'!$A$31:$L$2316,12,0)*VLOOKUP('GHG Calcs'!$BD26,'GHG EF'!$B$10:$H$19,4,0),"")</f>
        <v/>
      </c>
      <c r="DD26" s="1373" t="str">
        <f ca="1">IFERROR(IF(OR('GHG Calcs'!BD26=Defaults!$I$3, 'GHG Calcs'!BD26=Defaults!$I$4, 'GHG Calcs'!BD26=Defaults!$I$6, 'GHG Calcs'!BD26=Defaults!$I$8), IF('GHG Calcs'!BE26&gt;0,'GHG Calcs'!BE26*IF('GHG Calcs'!BD26=Defaults!$I$3,'GHG EF'!$C$11/'GHG EF'!$C$12,1),'GHG Calcs'!BJ26*'GHG Calcs'!BH26),"")*('GHG Calcs'!I26-'GHG Calcs'!H26),"")</f>
        <v/>
      </c>
      <c r="DE26" s="1373" t="str">
        <f ca="1">IFERROR(IF('GHG Calcs'!BD26=Defaults!$I$5,IF('GHG Calcs'!BE26&gt;0,'GHG Calcs'!BE26,'GHG Calcs'!BI26*'GHG Calcs'!BH26),"")*('GHG Calcs'!I26-'GHG Calcs'!H26),"")</f>
        <v/>
      </c>
      <c r="DF26" s="1420" t="str">
        <f ca="1">IFERROR(IF('GHG Calcs'!BE26&gt;0,'GHG Calcs'!BE26,'GHG Calcs'!BK26*'GHG Calcs'!BH26)*VLOOKUP('GHG Calcs'!BD26,'Fuel &amp; Travel Costs'!$B$10:$C$19,2,0)*('GHG Calcs'!I26-'GHG Calcs'!H26),"")</f>
        <v/>
      </c>
      <c r="DG26" s="306">
        <f ca="1">INDIRECT("'Quantifiable Component "&amp;$B26&amp;"'!"&amp;$D26&amp;ROW('Quantifiable Component 1'!$70:$70))</f>
        <v>0</v>
      </c>
      <c r="DH26" s="306">
        <f ca="1">INDIRECT("'Quantifiable Component "&amp;$B26&amp;"'!"&amp;$D26&amp;ROW('Quantifiable Component 1'!$71:$71))</f>
        <v>0</v>
      </c>
      <c r="DI26" s="1422" t="str">
        <f ca="1">IFERROR(IF('GHG Calcs'!$CD26="Gasoline",VLOOKUP('GHG Calcs'!$CG26,'Bus C&amp;T EF'!$D$30:$V$2315,3,0),IF(OR('GHG Calcs'!$CD26="CNG",'GHG Calcs'!$CD26="LNG",'GHG Calcs'!$CD26="Renewable Natural Gas"),VLOOKUP('GHG Calcs'!$CG26,'Bus C&amp;T EF'!$D$30:$V$2315,4,0),VLOOKUP('GHG Calcs'!$CG26,'Bus C&amp;T EF'!$D$30:$V$2315,2,0)))/$ES26,"")</f>
        <v/>
      </c>
      <c r="DJ26" s="306" t="str">
        <f ca="1">IFERROR(IF('GHG Calcs'!$CD26="Gasoline",VLOOKUP('GHG Calcs'!$CG26,'Bus C&amp;T EF'!$D$30:$V$2315,6,0),IF(OR('GHG Calcs'!$CD26="CNG",'GHG Calcs'!$CD26="LNG",'GHG Calcs'!$CD26="Renewable Natural Gas"),VLOOKUP('GHG Calcs'!$CG26,'Bus C&amp;T EF'!$D$30:$V$2315,7,0),VLOOKUP('GHG Calcs'!$CG26,'Bus C&amp;T EF'!$D$30:$V$2315,5,0)))/$ES26,"")</f>
        <v/>
      </c>
      <c r="DK26" s="306" t="str">
        <f ca="1">IFERROR(IF('GHG Calcs'!$CD26="Gasoline",VLOOKUP('GHG Calcs'!$CG26,'Bus C&amp;T EF'!$D$30:$V$2315,9,0),IF(OR('GHG Calcs'!$CD26="CNG",'GHG Calcs'!$CD26="LNG",'GHG Calcs'!$CD26="Renewable Natural Gas"),VLOOKUP('GHG Calcs'!$CG26,'Bus C&amp;T EF'!$D$30:$V$2315,10,0),VLOOKUP('GHG Calcs'!$CG26,'Bus C&amp;T EF'!$D$30:$V$2315,8,0)))/$ES26,"")</f>
        <v/>
      </c>
      <c r="DL26" s="306" t="str">
        <f ca="1">IFERROR(IF('GHG Calcs'!$CD26="Gasoline",VLOOKUP('GHG Calcs'!$CG26,'Bus C&amp;T EF'!$D$30:$V$2315,12,0),IF(OR('GHG Calcs'!$CD26="CNG",'GHG Calcs'!$CD26="LNG",'GHG Calcs'!$CD26="Renewable Natural Gas"),VLOOKUP('GHG Calcs'!$CG26,'Bus C&amp;T EF'!$D$30:$V$2315,13,0),IF('GHG Calcs'!$CD26="Electric",VLOOKUP('GHG Calcs'!$CG26,'Bus C&amp;T EF'!$D$30:$V$2315,14,0),VLOOKUP('GHG Calcs'!$CG26,'Bus C&amp;T EF'!$D$30:$V$2315,11,0))))/$ES26,"")</f>
        <v/>
      </c>
      <c r="DM26" s="306" t="str">
        <f ca="1">IFERROR(IF('GHG Calcs'!$CD26="Gasoline",VLOOKUP('GHG Calcs'!$CG26,'Bus C&amp;T EF'!$D$30:$V$2315,16,0),IF(OR('GHG Calcs'!$CD26="CNG",'GHG Calcs'!$CD26="LNG",'GHG Calcs'!$CD26="Renewable Natural Gas"),VLOOKUP('GHG Calcs'!$CG26,'Bus C&amp;T EF'!$D$30:$V$2315,17,0),IF('GHG Calcs'!$CD26="Electric",VLOOKUP('GHG Calcs'!$CG26,'Bus C&amp;T EF'!$D$30:$V$2315,18,0),VLOOKUP('GHG Calcs'!$CG26,'Bus C&amp;T EF'!$D$30:$V$2315,15,0))))/$ES26,"")</f>
        <v/>
      </c>
      <c r="DN26" s="306" t="str">
        <f ca="1">IFERROR(IF('GHG Calcs'!$CD26="Gasoline",0,VLOOKUP('GHG Calcs'!$CG26,'Bus C&amp;T EF'!$D$30:$V$2315,19,0))/$ES26,"")</f>
        <v/>
      </c>
      <c r="DO26" s="1419" t="str">
        <f ca="1">IFERROR(IF(OR('GHG Calcs'!$CD26="Diesel",'GHG Calcs'!$CD26="Renewable Diesel",'GHG Calcs'!$CD26="Biodiesel"),VLOOKUP('GHG Calcs'!$CG26,'Van C&amp;T EF'!$D$30:$Q$2315,2,0),VLOOKUP('GHG Calcs'!$CG26,'Van C&amp;T EF'!$D$30:$Q$2315,3,0))/$ET26,"")</f>
        <v/>
      </c>
      <c r="DP26" s="1419" t="str">
        <f ca="1">IFERROR(IF(OR('GHG Calcs'!$CD26="Diesel",'GHG Calcs'!$CD26="Renewable Diesel",'GHG Calcs'!$CD26="Biodiesel"),VLOOKUP('GHG Calcs'!$CG26,'Van C&amp;T EF'!$D$30:$Q$2315,4,0),VLOOKUP('GHG Calcs'!$CG26,'Van C&amp;T EF'!$D$30:$Q$2315,5,0))/$ET26,"")</f>
        <v/>
      </c>
      <c r="DQ26" s="1419" t="str">
        <f ca="1">IFERROR(IF(OR('GHG Calcs'!$CD26="Diesel",'GHG Calcs'!$CD26="Renewable Diesel",'GHG Calcs'!$CD26="Biodiesel"),VLOOKUP('GHG Calcs'!$CG26,'Van C&amp;T EF'!$D$30:$Q$2315,6,0),VLOOKUP('GHG Calcs'!$CG26,'Van C&amp;T EF'!$D$30:$Q$2315,7,0))/$ET26,"")</f>
        <v/>
      </c>
      <c r="DR26" s="1419" t="str">
        <f ca="1">IFERROR(IF(OR('GHG Calcs'!$CD26="Diesel",'GHG Calcs'!$CD26="Renewable Diesel",'GHG Calcs'!$CD26="Biodiesel"),VLOOKUP('GHG Calcs'!$CG26,'Van C&amp;T EF'!$D$30:$Q$2315,8,0),IF(OR('GHG Calcs'!$CD26="Electric",'GHG Calcs'!$CD26="Hydrogen Fuel Cell",'GHG Calcs'!$CD26="Renewable Electricity"),VLOOKUP('GHG Calcs'!$CG26,'Van C&amp;T EF'!$D$30:$Q$2315,10,0),VLOOKUP('GHG Calcs'!$CG26,'Van C&amp;T EF'!$D$30:$Q$2315,9,0)))/$ET26,"")</f>
        <v/>
      </c>
      <c r="DS26" s="1419" t="str">
        <f ca="1">IFERROR(IF(OR('GHG Calcs'!$CD26="Diesel",'GHG Calcs'!$CD26="Renewable Diesel",'GHG Calcs'!$CD26="Biodiesel"),VLOOKUP('GHG Calcs'!$CG26,'Van C&amp;T EF'!$D$30:$Q$2315,11,0),IF(OR('GHG Calcs'!$CD26="Electric",'GHG Calcs'!$CD26="Hydrogen Fuel Cell",'GHG Calcs'!$CD26="Renewable Electricity"),VLOOKUP('GHG Calcs'!$CG26,'Van C&amp;T EF'!$D$30:$Q$2315,13,0),VLOOKUP('GHG Calcs'!$CG26,'Van C&amp;T EF'!$D$30:$Q$2315,12,0)))/$ET26,"")</f>
        <v/>
      </c>
      <c r="DT26" s="306" t="str">
        <f ca="1">IFERROR(IF(OR('GHG Calcs'!$CD26="Diesel",'GHG Calcs'!$CD26="Biodiesel",'GHG Calcs'!$CD26="Renewable Diesel"),VLOOKUP('GHG Calcs'!$CG26,'Van C&amp;T EF'!$D$30:$Q$2315,14,0),0)/$ET26,"")</f>
        <v/>
      </c>
      <c r="DU26" s="1419" t="str">
        <f ca="1">IFERROR(IF(OR('GHG Calcs'!$CD26="Diesel",'GHG Calcs'!$CD26="Renewable Diesel",'GHG Calcs'!$CD26="Biodiesel"),VLOOKUP('GHG Calcs'!$CG26,'Shuttle C&amp;T EF'!$D$30:$Q$2315,2,0),VLOOKUP('GHG Calcs'!$CG26,'Shuttle C&amp;T EF'!$D$30:$Q$2315,3,0))/$EU26,"")</f>
        <v/>
      </c>
      <c r="DV26" s="1419" t="str">
        <f ca="1">IFERROR(IF(OR('GHG Calcs'!$CD26="Diesel",'GHG Calcs'!$CD26="Renewable Diesel",'GHG Calcs'!$CD26="Biodiesel"),VLOOKUP('GHG Calcs'!$CG26,'Shuttle C&amp;T EF'!$D$30:$Q$2315,4,0),VLOOKUP('GHG Calcs'!$CG26,'Shuttle C&amp;T EF'!$D$30:$Q$2315,5,0))/$EU26,"")</f>
        <v/>
      </c>
      <c r="DW26" s="1419" t="str">
        <f ca="1">IFERROR(IF(OR('GHG Calcs'!$CD26="Diesel",'GHG Calcs'!$CD26="Renewable Diesel",'GHG Calcs'!$CD26="Biodiesel"),VLOOKUP('GHG Calcs'!$CG26,'Shuttle C&amp;T EF'!$D$30:$Q$2315,6,0),VLOOKUP('GHG Calcs'!$CG26,'Shuttle C&amp;T EF'!$D$30:$Q$2315,7,0))/$EU26,"")</f>
        <v/>
      </c>
      <c r="DX26" s="1419" t="str">
        <f ca="1">IFERROR(IF(OR('GHG Calcs'!$CD26="Diesel",'GHG Calcs'!$CD26="Renewable Diesel",'GHG Calcs'!$CD26="Biodiesel"),VLOOKUP('GHG Calcs'!$CG26,'Shuttle C&amp;T EF'!$D$30:$Q$2315,8,0),IF(OR('GHG Calcs'!$CD26="Electric",'GHG Calcs'!$CD26="Hydrogen Fuel Cell",'GHG Calcs'!$CD26="Renewable Electricity"),VLOOKUP('GHG Calcs'!$CG26,'Shuttle C&amp;T EF'!$D$30:$Q$2315,10,0),VLOOKUP('GHG Calcs'!$CG26,'Shuttle C&amp;T EF'!$D$30:$Q$2315,9,0)))/$EU26,"")</f>
        <v/>
      </c>
      <c r="DY26" s="1419" t="str">
        <f ca="1">IFERROR(IF(OR('GHG Calcs'!$CD26="Diesel",'GHG Calcs'!$CD26="Renewable Diesel",'GHG Calcs'!$CD26="Biodiesel"),VLOOKUP('GHG Calcs'!$CG26,'Shuttle C&amp;T EF'!$D$30:$Q$2315,11,0),IF(OR('GHG Calcs'!$CD26="Electric",'GHG Calcs'!$CD26="Hydrogen Fuel Cell",'GHG Calcs'!$CD26="Renewable Electricity"),VLOOKUP('GHG Calcs'!$CG26,'Shuttle C&amp;T EF'!$D$30:$Q$2315,13,0),VLOOKUP('GHG Calcs'!$CG26,'Shuttle C&amp;T EF'!$D$30:$Q$2315,12,0)))/$EU26,"")</f>
        <v/>
      </c>
      <c r="DZ26" s="1419" t="str">
        <f ca="1">IFERROR(IF(OR('GHG Calcs'!$CD26="Diesel",'GHG Calcs'!$CD26="Biodiesel",'GHG Calcs'!$CD26="Renewable Diesel"),VLOOKUP('GHG Calcs'!$CG26,'Shuttle C&amp;T EF'!$D$30:$Q$2315,14,0),0)/$EU26,"")</f>
        <v/>
      </c>
      <c r="EA26" s="306" t="str">
        <f ca="1">IFERROR((VLOOKUP('GHG Calcs'!$CG26,'Over-Road Coach C&amp;T EF'!$D$29:$N$2314,2,0)+VLOOKUP('GHG Calcs'!$CG26,'Over-Road Coach C&amp;T EF'!$D$29:$N$2314,3,0))/$EV26,"")</f>
        <v/>
      </c>
      <c r="EB26" s="306" t="str">
        <f ca="1">IFERROR((VLOOKUP('GHG Calcs'!$CG26,'Over-Road Coach C&amp;T EF'!$D$29:$N$2314,4,0)+VLOOKUP('GHG Calcs'!$CG26,'Over-Road Coach C&amp;T EF'!$D$29:$N$2314,5,0))/$EV26,"")</f>
        <v/>
      </c>
      <c r="EC26" s="306" t="str">
        <f ca="1">IFERROR((VLOOKUP('GHG Calcs'!$CG26,'Over-Road Coach C&amp;T EF'!$D$29:$N$2314,6,0)+VLOOKUP('GHG Calcs'!$CG26,'Over-Road Coach C&amp;T EF'!$D$29:$N$2314,7,0))/$EV26,"")</f>
        <v/>
      </c>
      <c r="ED26" s="306" t="str">
        <f ca="1">IFERROR(VLOOKUP('GHG Calcs'!$CG26,'Over-Road Coach C&amp;T EF'!$D$29:$N$2314,8,0)/$EV26,"")</f>
        <v/>
      </c>
      <c r="EE26" s="306" t="str">
        <f ca="1">IFERROR(VLOOKUP('GHG Calcs'!$CG26,'Over-Road Coach C&amp;T EF'!$D$29:$N$2314,9,0)/$EV26,"")</f>
        <v/>
      </c>
      <c r="EF26" s="306" t="str">
        <f ca="1">IFERROR((VLOOKUP('GHG Calcs'!$CG26,'Over-Road Coach C&amp;T EF'!$D$29:$N$2314,10,0)+VLOOKUP('GHG Calcs'!$CG26,'Over-Road Coach C&amp;T EF'!$D$29:$N$2314,11,0))/$EV26,"")</f>
        <v/>
      </c>
      <c r="EG26" s="306" t="str">
        <f ca="1">IFERROR(VLOOKUP(DG26,'Co-Benefit Calcs'!$E$76:$I$83,2,0)/'Rail C&amp;T EF'!$K$14,"")</f>
        <v/>
      </c>
      <c r="EH26" s="306" t="str">
        <f ca="1">IFERROR(VLOOKUP(DG26,'Co-Benefit Calcs'!$E$76:$I$83,3,0)/'Rail C&amp;T EF'!$K$14,"")</f>
        <v/>
      </c>
      <c r="EI26" s="306" t="str">
        <f ca="1">IFERROR(VLOOKUP(DG26,'Co-Benefit Calcs'!$E$76:$I$83,4,0)/'Rail C&amp;T EF'!$K$14,"")</f>
        <v/>
      </c>
      <c r="EJ26" s="306" t="str">
        <f ca="1">IFERROR(IF('GHG Calcs'!$CD26="Gasoline",0,VLOOKUP(DG26,'Co-Benefit Calcs'!$E$76:$I$83,5,0))/'Rail C&amp;T EF'!$K$14,"")</f>
        <v/>
      </c>
      <c r="EK26" s="306" t="str">
        <f ca="1">IFERROR(VLOOKUP('GHG Calcs'!CF26,'Rail C&amp;T EF'!$A$43:$Y$133,IF(DH26&gt;750,23, IF(DH26&gt;=600,20, IF(DH26&gt;=300,17, IF(DH26&gt;=175,14, IF(DH26&gt;=100,11, IF(DH26&gt;=75,8, IF(DH26&gt;=50,5, 2))))))),0) * IF($DH26&gt;=750,'Rail C&amp;T EF'!$K$18,'Rail C&amp;T EF'!$K$19) * IF(OR('GHG Calcs'!CD26="Diesel", 'GHG Calcs'!CD26="Renewable Diesel", 'GHG Calcs'!CD26="Biodiesel"),'Rail C&amp;T EF'!$B$141,'Rail C&amp;T EF'!$B$142),"")</f>
        <v/>
      </c>
      <c r="EL26" s="306" t="str">
        <f ca="1">IFERROR(VLOOKUP('GHG Calcs'!$CF26,'Rail C&amp;T EF'!$A$43:$Y$133,IF(DH26&gt;750,24, IF(DH26&gt;=600,21, IF(DH26&gt;=300,18, IF(DH26&gt;=175,15, IF(DH26&gt;=100,12, IF(DH26&gt;=75,9, IF(DH26&gt;=50,6, 3))))))),0) * IF($DH26&gt;=750,'Rail C&amp;T EF'!$K$18,'Rail C&amp;T EF'!$K$19),"")</f>
        <v/>
      </c>
      <c r="EM26" s="306" t="str">
        <f ca="1">IFERROR(VLOOKUP('GHG Calcs'!$CF26,'Rail C&amp;T EF'!$A$43:$Y$133,IF(DH26&gt;750,25, IF(DH26&gt;=600,22, IF(DH26&gt;=300,19, IF(DH26&gt;=175,16, IF(DH26&gt;=100,13, IF(DH26&gt;=75,10, IF(DH26&gt;=50,7, 4))))))),0) * IF($DH26&gt;=750,'Rail C&amp;T EF'!$K$18,'Rail C&amp;T EF'!$K$19)*'Rail C&amp;T EF'!$B$146,"")</f>
        <v/>
      </c>
      <c r="EN26" s="306" t="str">
        <f ca="1">IFERROR(IF('GHG Calcs'!CD26="Gasoline",0,VLOOKUP('GHG Calcs'!$CF26,'Rail C&amp;T EF'!$A$43:$Y$133,IF(DH26&gt;750,25, IF(DH26&gt;=600,22, IF(DH26&gt;=300,19, IF(DH26&gt;=175,16, IF(DH26&gt;=100,13, IF(DH26&gt;=75,10, IF(DH26&gt;=50,7, 4))))))),0) * IF($DH26&gt;=750,'Rail C&amp;T EF'!$K$18,'Rail C&amp;T EF'!$K$19)),"")</f>
        <v/>
      </c>
      <c r="EO26" s="306" t="str">
        <f ca="1">IFERROR(VLOOKUP('GHG Calcs'!$CF26,'Ferry C&amp;T EF'!$A$106:$AK$196,IF(DH26&gt;=3301,35, IF(DH26&gt;=1901,31, IF(DH26&gt;=751,27, IF(DH26&gt;=501,23, IF(DH26&gt;=251,19, IF(DH26&gt;=176,15, IF(DH26&gt;=121,11, IF(DH26&gt;=51,7, 3)))))))),0),"")</f>
        <v/>
      </c>
      <c r="EP26" s="306" t="str">
        <f ca="1">IFERROR(VLOOKUP('GHG Calcs'!$CF26,'Ferry C&amp;T EF'!$A$106:$AK$196,IF(DH26&gt;=3301,34, IF(DH26&gt;=1901,30, IF(DH26&gt;=751,26, IF(DH26&gt;=501,22, IF(DH26&gt;=251,18, IF(DH26&gt;=176,14, IF(DH26&gt;=121,10, IF(DH26&gt;=51,6, 2)))))))),0),"")</f>
        <v/>
      </c>
      <c r="EQ26" s="306" t="str">
        <f ca="1">IFERROR(VLOOKUP('GHG Calcs'!$CF26,'Ferry C&amp;T EF'!$A$106:$AK$196,IF(DH26&gt;=3301,37, IF(DH26&gt;=1901,33, IF(DH26&gt;=751,29, IF(DH26&gt;=501,25, IF(DH26&gt;=251,21, IF(DH26&gt;=176,17, IF(DH26&gt;=121,13, IF(DH26&gt;=51,9, 5)))))))),0),"")</f>
        <v/>
      </c>
      <c r="ER26" s="306" t="str">
        <f ca="1">IFERROR(IF('GHG Calcs'!$CD26="Gasoline",0,VLOOKUP('GHG Calcs'!$CF26,'Ferry C&amp;T EF'!$A$106:$AK$196,IF(DH26&gt;=3301,36, IF(DH26&gt;=1901,32, IF(DH26&gt;=751,28, IF(DH26&gt;=501,24, IF(DH26&gt;=251,20, IF(DH26&gt;=176,16, IF(DH26&gt;=121,12, IF(DH26&gt;=51,8, 4)))))))),0)),"")</f>
        <v/>
      </c>
      <c r="ES26" s="1419" t="str">
        <f ca="1">IFERROR(IF('GHG Calcs'!$CD26="Gasoline",VLOOKUP('GHG Calcs'!$CG26,'Fuel Consumption'!$A$31:$L$2316,3,0),IF(OR('GHG Calcs'!$CD26="CNG",'GHG Calcs'!$CD26="LNG",'GHG Calcs'!$CD26="Renewable Natural Gas"),VLOOKUP('GHG Calcs'!$CG26,'Fuel Consumption'!$A$31:$L$2316,4,0)*VLOOKUP('GHG Calcs'!$CD26,'GHG EF'!$B$10:$H$19,4,0),VLOOKUP('GHG Calcs'!$CG26,'Fuel Consumption'!$A$31:$L$2316,2,0)*VLOOKUP('GHG Calcs'!$AD26,'GHG EF'!$B$10:$H$19,4,0))),"")</f>
        <v/>
      </c>
      <c r="ET26" s="1419" t="str">
        <f ca="1">IFERROR(IF(OR('GHG Calcs'!$CD26="Diesel",'GHG Calcs'!$CD26="Renewable Diesel",'GHG Calcs'!$CD26="Biodiesel"),VLOOKUP('GHG Calcs'!$CG26,'Fuel Consumption'!$A$31:$L$2316,6,0)*VLOOKUP('GHG Calcs'!$CD26,'GHG EF'!$B$10:$H$19,4,0),VLOOKUP('GHG Calcs'!$CG26,'Fuel Consumption'!$A$31:$L$2316,7,0)*VLOOKUP('GHG Calcs'!$CD26,'GHG EF'!$B$10:$H$19,5,0)),"")</f>
        <v/>
      </c>
      <c r="EU26" s="1419" t="str">
        <f ca="1">IFERROR(IF(OR('GHG Calcs'!$CD26="Diesel",'GHG Calcs'!$CD26="Renewable Diesel",'GHG Calcs'!$CD26="Biodiesel"),VLOOKUP('GHG Calcs'!$CG26,'Fuel Consumption'!$A$31:$L$2316,9,0)*VLOOKUP('GHG Calcs'!$CD26,'GHG EF'!$B$10:$H$19,4,0),VLOOKUP('GHG Calcs'!$CG26,'Fuel Consumption'!$A$31:$L$2316,10,0)*VLOOKUP('GHG Calcs'!$CD26,'GHG EF'!$B$10:$H$19,5,0)),"")</f>
        <v/>
      </c>
      <c r="EV26" s="1419" t="str">
        <f ca="1">IFERROR(VLOOKUP('GHG Calcs'!$CG26,'Fuel Consumption'!$A$31:$L$2316,12,0)*VLOOKUP('GHG Calcs'!$CD26,'GHG EF'!$B$10:$H$19,4,0),"")</f>
        <v/>
      </c>
      <c r="EW26" s="1373" t="str">
        <f ca="1">IFERROR(IF(OR('GHG Calcs'!CD26=Defaults!$I$4, 'GHG Calcs'!CD26=Defaults!$I$6, 'GHG Calcs'!CD26=Defaults!$I$8),'GHG Calcs'!CE26,IF('GHG Calcs'!CD26=Defaults!$I$3, 'GHG Calcs'!CE26*'GHG EF'!$C$11/'GHG EF'!$C$12,""))*('GHG Calcs'!I26-'GHG Calcs'!H26),"")</f>
        <v/>
      </c>
      <c r="EX26" s="1373" t="str">
        <f ca="1">IFERROR(IF('GHG Calcs'!CD26=Defaults!$I$5,'GHG Calcs'!CE26,"")*('GHG Calcs'!I26-'GHG Calcs'!H26),"")</f>
        <v/>
      </c>
      <c r="EY26" s="1420" t="str">
        <f ca="1">IFERROR('GHG Calcs'!CE26*VLOOKUP('GHG Calcs'!CD26,'Fuel &amp; Travel Costs'!$B$10:$C$19,2,0)*('GHG Calcs'!I26-'GHG Calcs'!H26),"")</f>
        <v/>
      </c>
      <c r="EZ26" s="1420" t="str">
        <f t="shared" ca="1" si="0"/>
        <v/>
      </c>
      <c r="FA26" s="306">
        <f ca="1">INDIRECT("'Quantifiable Component "&amp;$B26&amp;"'!"&amp;$D26&amp;ROW('Quantifiable Component 1'!$77:$77))</f>
        <v>0</v>
      </c>
      <c r="FB26" s="306">
        <f ca="1">INDIRECT("'Quantifiable Component "&amp;$B26&amp;"'!"&amp;$D26&amp;ROW('Quantifiable Component 1'!$78:$78))</f>
        <v>0</v>
      </c>
      <c r="FC26" s="306">
        <f ca="1">INDIRECT("'Quantifiable Component "&amp;$B26&amp;"'!"&amp;$D26&amp;ROW('Quantifiable Component 1'!$79:$79))</f>
        <v>0</v>
      </c>
      <c r="FD26" s="306">
        <f ca="1">INDIRECT("'Quantifiable Component "&amp;$B26&amp;"'!"&amp;$D26&amp;ROW('Quantifiable Component 1'!$80:$80))</f>
        <v>0</v>
      </c>
      <c r="FE26" s="306">
        <f ca="1">INDIRECT("'Quantifiable Component "&amp;$B26&amp;"'!"&amp;$D26&amp;ROW('Quantifiable Component 1'!$81:$81))</f>
        <v>0</v>
      </c>
    </row>
    <row r="27" spans="1:161" s="117" customFormat="1" x14ac:dyDescent="0.35">
      <c r="A27" s="1646">
        <v>6</v>
      </c>
      <c r="B27" s="1367">
        <v>6</v>
      </c>
      <c r="C27" s="1380">
        <v>1</v>
      </c>
      <c r="D27" s="1368" t="str">
        <f>'GHG Calcs'!D27</f>
        <v>E</v>
      </c>
      <c r="E27" s="1416">
        <f ca="1">'GHG Calcs'!U27</f>
        <v>0</v>
      </c>
      <c r="F27" s="1416">
        <f ca="1">'GHG Calcs'!W27</f>
        <v>0</v>
      </c>
      <c r="G27" s="1417" t="str">
        <f ca="1">IFERROR(VLOOKUP('GHG Calcs'!K27,'Auto C&amp;T EF'!$C$35:$K$2662,2,0)*E27,"")</f>
        <v/>
      </c>
      <c r="H27" s="1417" t="str">
        <f ca="1">IFERROR(VLOOKUP('GHG Calcs'!L27,'Auto C&amp;T EF'!$C$35:$K$2662,2,0)*F27,"")</f>
        <v/>
      </c>
      <c r="I27" s="1417" t="str">
        <f ca="1">IFERROR(VLOOKUP('GHG Calcs'!$K27,'Auto C&amp;T EF'!$C$35:$K$2662,3,0)*$E27,"")</f>
        <v/>
      </c>
      <c r="J27" s="1417" t="str">
        <f ca="1">IFERROR(VLOOKUP('GHG Calcs'!$L27,'Auto C&amp;T EF'!$C$35:$K$2662,3,0)*$F27,"")</f>
        <v/>
      </c>
      <c r="K27" s="1417" t="str">
        <f ca="1">IFERROR((VLOOKUP('GHG Calcs'!$K27,'Auto C&amp;T EF'!$C$35:$K$2662,5,0)+VLOOKUP('GHG Calcs'!$K27,'Auto C&amp;T EF'!$C$35:$K$2662,6,0)+VLOOKUP('GHG Calcs'!$K27,'Auto C&amp;T EF'!$C$35:$K$2662,7,0))*$E27,"")</f>
        <v/>
      </c>
      <c r="L27" s="1417" t="str">
        <f ca="1">IFERROR((VLOOKUP('GHG Calcs'!$L27,'Auto C&amp;T EF'!$C$35:$K$2662,5,0)+VLOOKUP('GHG Calcs'!$L27,'Auto C&amp;T EF'!$C$35:$K$2662,6,0)+VLOOKUP('GHG Calcs'!$L27,'Auto C&amp;T EF'!$C$35:$K$2662,7,0))*$F27,"")</f>
        <v/>
      </c>
      <c r="M27" s="1417" t="str">
        <f ca="1">IFERROR(VLOOKUP('GHG Calcs'!$K27,'Auto C&amp;T EF'!$C$35:$K$2662,8,0)*$E27,"")</f>
        <v/>
      </c>
      <c r="N27" s="1417" t="str">
        <f ca="1">IFERROR(VLOOKUP('GHG Calcs'!$L27,'Auto C&amp;T EF'!$C$35:$K$2662,8,0)*$F27,"")</f>
        <v/>
      </c>
      <c r="O27" s="1418">
        <f ca="1">IFERROR(AVERAGE(G27:H27)*('GHG Calcs'!I27-'GHG Calcs'!H27),0)</f>
        <v>0</v>
      </c>
      <c r="P27" s="1418">
        <f ca="1">IFERROR(AVERAGE(I27:J27)*('GHG Calcs'!I27-'GHG Calcs'!H27),0)</f>
        <v>0</v>
      </c>
      <c r="Q27" s="1418">
        <f ca="1">IFERROR(AVERAGE(K27:L27)*('GHG Calcs'!I27-'GHG Calcs'!H27),0)</f>
        <v>0</v>
      </c>
      <c r="R27" s="1418">
        <f ca="1">IFERROR(AVERAGE(M27:N27)*('GHG Calcs'!I27-'GHG Calcs'!H27),0)</f>
        <v>0</v>
      </c>
      <c r="S27" s="1418">
        <f ca="1">IFERROR(AVERAGE(E27*VLOOKUP('GHG Calcs'!K27,'Auto C&amp;T EF'!$C$35:$L$2662,10,0),F27*VLOOKUP('GHG Calcs'!L27,'Auto C&amp;T EF'!$C$35:$L$2662,10,0))*('GHG Calcs'!I27-'GHG Calcs'!H27),0)</f>
        <v>0</v>
      </c>
      <c r="T27" s="1379">
        <f ca="1">INDIRECT("'Quantifiable Component "&amp;$B27&amp;"'!"&amp;$D27&amp;ROW('Quantifiable Component 1'!$47:$47))</f>
        <v>0</v>
      </c>
      <c r="U27" s="1379">
        <f ca="1">INDIRECT("'Quantifiable Component "&amp;$B27&amp;"'!"&amp;$D27&amp;ROW('Quantifiable Component 1'!$48:$48))</f>
        <v>0</v>
      </c>
      <c r="V27" s="306" t="str">
        <f ca="1">IFERROR(IF('GHG Calcs'!$AD27="Gasoline",VLOOKUP('GHG Calcs'!$AH27,'Bus C&amp;T EF'!$D$30:$V$2315,3,0),IF(OR('GHG Calcs'!$AD27="CNG",'GHG Calcs'!$AD27="LNG",'GHG Calcs'!$AD27="Renewable Natural Gas"),VLOOKUP('GHG Calcs'!$AH27,'Bus C&amp;T EF'!$D$30:$V$2315,4,0),VLOOKUP('GHG Calcs'!$AH27,'Bus C&amp;T EF'!$D$30:$V$2315,2,0)))/IF('GHG Calcs'!AE27&gt;0,$BF27,1),"")</f>
        <v/>
      </c>
      <c r="W27" s="306" t="str">
        <f ca="1">IFERROR(IF('GHG Calcs'!$AD27="Gasoline",VLOOKUP('GHG Calcs'!$AH27,'Bus C&amp;T EF'!$D$30:$V$2315,6,0),IF(OR('GHG Calcs'!$AD27="CNG",'GHG Calcs'!$AD27="LNG",'GHG Calcs'!$AD27="Renewable Natural Gas"),VLOOKUP('GHG Calcs'!$AH27,'Bus C&amp;T EF'!$D$30:$V$2315,7,0),VLOOKUP('GHG Calcs'!$AH27,'Bus C&amp;T EF'!$D$30:$V$2315,5,0)))/IF('GHG Calcs'!AE27&gt;0,$BF27,1),"")</f>
        <v/>
      </c>
      <c r="X27" s="1419" t="str">
        <f ca="1">IFERROR(IF('GHG Calcs'!$AD27="Gasoline",VLOOKUP('GHG Calcs'!$AH27,'Bus C&amp;T EF'!$D$30:$V$2315,9,0),IF(OR('GHG Calcs'!$AD27="CNG",'GHG Calcs'!$AD27="LNG",'GHG Calcs'!$AD27="Renewable Natural Gas"),VLOOKUP('GHG Calcs'!$AH27,'Bus C&amp;T EF'!$D$30:$V$2315,10,0),VLOOKUP('GHG Calcs'!$AH27,'Bus C&amp;T EF'!$D$30:$V$2315,8,0)))/IF('GHG Calcs'!AE27&gt;0,$BF27,1),"")</f>
        <v/>
      </c>
      <c r="Y27" s="1419" t="str">
        <f ca="1">IFERROR(IF('GHG Calcs'!$AD27="Gasoline",VLOOKUP('GHG Calcs'!$AH27,'Bus C&amp;T EF'!$D$30:$V$2315,12,0),IF(OR('GHG Calcs'!$AD27="CNG",'GHG Calcs'!$AD27="LNG",'GHG Calcs'!$AD27="Renewable Natural Gas"),VLOOKUP('GHG Calcs'!$AH27,'Bus C&amp;T EF'!$D$30:$V$2315,13,0),IF(OR('GHG Calcs'!$AD27="Electric",'GHG Calcs'!$AD27="Hydrogen Fuel Cell",'GHG Calcs'!$AD27="Renewable Electricity"),VLOOKUP('GHG Calcs'!$AH27,'Bus C&amp;T EF'!$D$30:$V$2315,14,0),VLOOKUP('GHG Calcs'!$AH27,'Bus C&amp;T EF'!$D$30:$V$2315,11,0))))/IF('GHG Calcs'!AE27&gt;0,$BF27,1),"")</f>
        <v/>
      </c>
      <c r="Z27" s="1419" t="str">
        <f ca="1">IFERROR(IF('GHG Calcs'!$AD27="Gasoline",VLOOKUP('GHG Calcs'!$AH27,'Bus C&amp;T EF'!$D$30:$V$2315,16,0),IF(OR('GHG Calcs'!$AD27="CNG",'GHG Calcs'!$AD27="LNG",'GHG Calcs'!$AD27="Renewable Natural Gas"),VLOOKUP('GHG Calcs'!$AH27,'Bus C&amp;T EF'!$D$30:$V$2315,17,0),IF(OR('GHG Calcs'!$AD27="Electric",'GHG Calcs'!$AD27="Hydrogen Fuel Cell",'GHG Calcs'!$AD27="Renewable Electricity"),VLOOKUP('GHG Calcs'!$AH27,'Bus C&amp;T EF'!$D$30:$V$2315,18,0),VLOOKUP('GHG Calcs'!$AH27,'Bus C&amp;T EF'!$D$30:$V$2315,15,0))))/IF('GHG Calcs'!AE27&gt;0,$BF27,1),"")</f>
        <v/>
      </c>
      <c r="AA27" s="306" t="str">
        <f ca="1">IFERROR(IF('GHG Calcs'!$AD27="Gasoline",0,VLOOKUP('GHG Calcs'!$AH27,'Bus C&amp;T EF'!$D$30:$V$2315,19,0))/IF('GHG Calcs'!AE27&gt;0,$BF27,1),"")</f>
        <v/>
      </c>
      <c r="AB27" s="1419" t="str">
        <f ca="1">IFERROR(IF(OR('GHG Calcs'!$AD27="Diesel",'GHG Calcs'!$AD27="Renewable Diesel",'GHG Calcs'!$AD27="Biodiesel"),VLOOKUP('GHG Calcs'!$AH27,'Van C&amp;T EF'!$D$30:$Q$2315,2,0),VLOOKUP('GHG Calcs'!$AH27,'Van C&amp;T EF'!$D$30:$Q$2315,3,0))/IF('GHG Calcs'!AE27&gt;0,$BG27,1),"")</f>
        <v/>
      </c>
      <c r="AC27" s="1419" t="str">
        <f ca="1">IFERROR(IF(OR('GHG Calcs'!$AD27="Diesel",'GHG Calcs'!$AD27="Renewable Diesel",'GHG Calcs'!$AD27="Biodiesel"),VLOOKUP('GHG Calcs'!$AH27,'Van C&amp;T EF'!$D$30:$Q$2315,4,0),VLOOKUP('GHG Calcs'!$AH27,'Van C&amp;T EF'!$D$30:$Q$2315,5,0))/IF('GHG Calcs'!AE27&gt;0,$BG27,1),"")</f>
        <v/>
      </c>
      <c r="AD27" s="1419" t="str">
        <f ca="1">IFERROR(IF(OR('GHG Calcs'!$AD27="Diesel",'GHG Calcs'!$AD27="Renewable Diesel",'GHG Calcs'!$AD27="Biodiesel"),VLOOKUP('GHG Calcs'!$AH27,'Van C&amp;T EF'!$D$30:$Q$2315,6,0),VLOOKUP('GHG Calcs'!$AH27,'Van C&amp;T EF'!$D$30:$Q$2315,7,0))/IF('GHG Calcs'!AE27&gt;0,$BG27,1),"")</f>
        <v/>
      </c>
      <c r="AE27" s="1419" t="str">
        <f ca="1">IFERROR(IF(OR('GHG Calcs'!$AD27="Diesel",'GHG Calcs'!$AD27="Renewable Diesel",'GHG Calcs'!$AD27="Biodiesel"),VLOOKUP('GHG Calcs'!$AH27,'Van C&amp;T EF'!$D$30:$Q$2315,8,0),IF(OR('GHG Calcs'!$AD27="Electric",'GHG Calcs'!$AD27="Hydrogen Fuel Cell",'GHG Calcs'!$AD27="Renewable Electricity"),VLOOKUP('GHG Calcs'!$AH27,'Van C&amp;T EF'!$D$30:$Q$2315,10,0),VLOOKUP('GHG Calcs'!$AH27,'Van C&amp;T EF'!$D$30:$Q$2315,9,0)))/IF('GHG Calcs'!AE27&gt;0,$BG27,1),"")</f>
        <v/>
      </c>
      <c r="AF27" s="1419" t="str">
        <f ca="1">IFERROR(IF(OR('GHG Calcs'!$AD27="Diesel",'GHG Calcs'!$AD27="Renewable Diesel",'GHG Calcs'!$AD27="Biodiesel"),VLOOKUP('GHG Calcs'!$AH27,'Van C&amp;T EF'!$D$30:$Q$2315,11,0),IF(OR('GHG Calcs'!$AD27="Electric",'GHG Calcs'!$AD27="Hydrogen Fuel Cell",'GHG Calcs'!$AD27="Renewable Electricity"),VLOOKUP('GHG Calcs'!$AH27,'Van C&amp;T EF'!$D$30:$Q$2315,13,0),VLOOKUP('GHG Calcs'!$AH27,'Van C&amp;T EF'!$D$30:$Q$2315,12,0)))/IF('GHG Calcs'!AE27&gt;0,$BG27,1),"")</f>
        <v/>
      </c>
      <c r="AG27" s="306">
        <f ca="1">IFERROR(IF(OR('GHG Calcs'!$AD27="Diesel",'GHG Calcs'!$AD27="Biodiesel",'GHG Calcs'!$AD27="Renewable Diesel"),VLOOKUP('GHG Calcs'!$AH27,'Van C&amp;T EF'!$D$30:$Q$2315,14,0),0)/IF('GHG Calcs'!AE27&gt;0,$BG27,1),"")</f>
        <v>0</v>
      </c>
      <c r="AH27" s="1419" t="str">
        <f ca="1">IFERROR(IF(OR('GHG Calcs'!$AD27="Diesel",'GHG Calcs'!$AD27="Renewable Diesel",'GHG Calcs'!$AD27="Biodiesel"),VLOOKUP('GHG Calcs'!$AH27,'Shuttle C&amp;T EF'!$D$30:$Q$2315,2,0),VLOOKUP('GHG Calcs'!$AH27,'Shuttle C&amp;T EF'!$D$30:$Q$2315,3,0))/IF('GHG Calcs'!AE27&gt;0,$BH27,1),"")</f>
        <v/>
      </c>
      <c r="AI27" s="1419" t="str">
        <f ca="1">IFERROR(IF(OR('GHG Calcs'!$AD27="Diesel",'GHG Calcs'!$AD27="Renewable Diesel",'GHG Calcs'!$AD27="Biodiesel"),VLOOKUP('GHG Calcs'!$AH27,'Shuttle C&amp;T EF'!$D$30:$Q$2315,4,0),VLOOKUP('GHG Calcs'!$AH27,'Shuttle C&amp;T EF'!$D$30:$Q$2315,5,0))/IF('GHG Calcs'!AE27&gt;0,$BH27,1),"")</f>
        <v/>
      </c>
      <c r="AJ27" s="1419" t="str">
        <f ca="1">IFERROR(IF(OR('GHG Calcs'!$AD27="Diesel",'GHG Calcs'!$AD27="Renewable Diesel",'GHG Calcs'!$AD27="Biodiesel"),VLOOKUP('GHG Calcs'!$AH27,'Shuttle C&amp;T EF'!$D$30:$Q$2315,6,0),VLOOKUP('GHG Calcs'!$AH27,'Shuttle C&amp;T EF'!$D$30:$Q$2315,7,0))/IF('GHG Calcs'!AE27&gt;0,$BH27,1),"")</f>
        <v/>
      </c>
      <c r="AK27" s="1419" t="str">
        <f ca="1">IFERROR(IF(OR('GHG Calcs'!$AD27="Diesel",'GHG Calcs'!$AD27="Renewable Diesel",'GHG Calcs'!$AD27="Biodiesel"),VLOOKUP('GHG Calcs'!$AH27,'Shuttle C&amp;T EF'!$D$30:$Q$2315,8,0),IF(OR('GHG Calcs'!$AD27="Electric",'GHG Calcs'!$AD27="Hydrogen Fuel Cell",'GHG Calcs'!$AD27="Renewable Electricity"),VLOOKUP('GHG Calcs'!$AH27,'Shuttle C&amp;T EF'!$D$30:$Q$2315,10,0),VLOOKUP('GHG Calcs'!$AH27,'Shuttle C&amp;T EF'!$D$30:$Q$2315,9,0)))/IF('GHG Calcs'!AE27&gt;0,$BH27,1),"")</f>
        <v/>
      </c>
      <c r="AL27" s="1419" t="str">
        <f ca="1">IFERROR(IF(OR('GHG Calcs'!$AD27="Diesel",'GHG Calcs'!$AD27="Renewable Diesel",'GHG Calcs'!$AD27="Biodiesel"),VLOOKUP('GHG Calcs'!$AH27,'Shuttle C&amp;T EF'!$D$30:$Q$2315,11,0),IF(OR('GHG Calcs'!$AD27="Electric",'GHG Calcs'!$AD27="Hydrogen Fuel Cell",'GHG Calcs'!$AD27="Renewable Electricity"),VLOOKUP('GHG Calcs'!$AH27,'Shuttle C&amp;T EF'!$D$30:$Q$2315,13,0),VLOOKUP('GHG Calcs'!$AH27,'Shuttle C&amp;T EF'!$D$30:$Q$2315,12,0)))/IF('GHG Calcs'!AE27&gt;0,$BH27,1),"")</f>
        <v/>
      </c>
      <c r="AM27" s="1419">
        <f ca="1">IFERROR(IF(OR('GHG Calcs'!$AD27="Diesel",'GHG Calcs'!$AD27="Biodiesel",'GHG Calcs'!$AD27="Renewable Diesel"),VLOOKUP('GHG Calcs'!$AH27,'Shuttle C&amp;T EF'!$D$30:$Q$2315,14,0),0)/IF('GHG Calcs'!AE27&gt;0,$BH27,1),"")</f>
        <v>0</v>
      </c>
      <c r="AN27" s="306" t="str">
        <f ca="1">IFERROR((VLOOKUP('GHG Calcs'!$AH27,'Over-Road Coach C&amp;T EF'!$D$29:$N$2314,2,0)+VLOOKUP('GHG Calcs'!$AH27,'Over-Road Coach C&amp;T EF'!$D$29:$N$2314,3,0))/IF('GHG Calcs'!AE27&gt;0,$BI27,1),"")</f>
        <v/>
      </c>
      <c r="AO27" s="306" t="str">
        <f ca="1">IFERROR((VLOOKUP('GHG Calcs'!$AH27,'Over-Road Coach C&amp;T EF'!$D$29:$N$2314,4,0)+VLOOKUP('GHG Calcs'!$AH27,'Over-Road Coach C&amp;T EF'!$D$29:$N$2314,5,0))/IF('GHG Calcs'!AE27&gt;0,$BI27,1),"")</f>
        <v/>
      </c>
      <c r="AP27" s="306" t="str">
        <f ca="1">IFERROR((VLOOKUP('GHG Calcs'!$AH27,'Over-Road Coach C&amp;T EF'!$D$29:$N$2314,6,0)+VLOOKUP('GHG Calcs'!$AH27,'Over-Road Coach C&amp;T EF'!$D$29:$N$2314,7,0))/IF('GHG Calcs'!AE27&gt;0,$BI27,1),"")</f>
        <v/>
      </c>
      <c r="AQ27" s="306" t="str">
        <f ca="1">IFERROR(VLOOKUP('GHG Calcs'!$AH27,'Over-Road Coach C&amp;T EF'!$D$29:$N$2314,8,0)/IF('GHG Calcs'!AE27&gt;0,$BI27,1),"")</f>
        <v/>
      </c>
      <c r="AR27" s="306" t="str">
        <f ca="1">IFERROR(VLOOKUP('GHG Calcs'!$AH27,'Over-Road Coach C&amp;T EF'!$D$29:$N$2314,9,0)/IF('GHG Calcs'!AE27&gt;0,$BI27,1),"")</f>
        <v/>
      </c>
      <c r="AS27" s="306" t="str">
        <f ca="1">IFERROR((VLOOKUP('GHG Calcs'!$AH27,'Over-Road Coach C&amp;T EF'!$D$29:$N$2314,10,0)+VLOOKUP('GHG Calcs'!$AH27,'Over-Road Coach C&amp;T EF'!$D$29:$N$2314,11,0))/IF('GHG Calcs'!AE27&gt;0,$BI27,1),"")</f>
        <v/>
      </c>
      <c r="AT27" s="306" t="str">
        <f ca="1">IFERROR(VLOOKUP(T27,'Co-Benefit Calcs'!$E$76:$I$83,2,0)/IF('GHG Calcs'!$AE27&gt;0,'Rail C&amp;T EF'!$K$14,1),"")</f>
        <v/>
      </c>
      <c r="AU27" s="306" t="str">
        <f ca="1">IFERROR(VLOOKUP(T27,'Co-Benefit Calcs'!$E$76:$I$83,3,0)/IF('GHG Calcs'!$AE27&gt;0,'Rail C&amp;T EF'!$K$14,1),"")</f>
        <v/>
      </c>
      <c r="AV27" s="306" t="str">
        <f ca="1">IFERROR(VLOOKUP(T27,'Co-Benefit Calcs'!$E$76:$I$83,4,0)/IF('GHG Calcs'!$AE27&gt;0,'Rail C&amp;T EF'!$K$14,1),"")</f>
        <v/>
      </c>
      <c r="AW27" s="306" t="str">
        <f ca="1">IFERROR(IF('GHG Calcs'!$AD27="Gasoline",0,VLOOKUP(T27,'Co-Benefit Calcs'!$E$76:$I$83,5,0))/IF('GHG Calcs'!$AE27&gt;0,'Rail C&amp;T EF'!$K$14,1),"")</f>
        <v/>
      </c>
      <c r="AX27" s="306" t="str">
        <f ca="1">IFERROR(VLOOKUP('GHG Calcs'!$AG27,'Rail C&amp;T EF'!$A$43:$Y$133,IF(U27&gt;750,23, IF(U27&gt;=600,20, IF(U27&gt;=300,17, IF(U27&gt;=175,14, IF(U27&gt;=100,11, IF(U27&gt;=75,8, IF(U27&gt;=50,5, 2))))))),0) * IF($U27&gt;=750,'Rail C&amp;T EF'!$K$18,'Rail C&amp;T EF'!$K$19) * IF('GHG Calcs'!$AE27&gt;0,1,'Rail C&amp;T EF'!$B$149) * IF(OR('GHG Calcs'!AD27="Diesel", 'GHG Calcs'!AD27="Renewable Diesel", 'GHG Calcs'!AD27="Biodiesel"),'Rail C&amp;T EF'!$B$141,'Rail C&amp;T EF'!$B$142),"")</f>
        <v/>
      </c>
      <c r="AY27" s="306" t="str">
        <f ca="1">IFERROR(VLOOKUP('GHG Calcs'!$AG27,'Rail C&amp;T EF'!$A$43:$Y$133,IF(U27&gt;750,24, IF(U27&gt;=600,21, IF(U27&gt;=300,18, IF(U27&gt;=175,15, IF(U27&gt;=100,12, IF(U27&gt;=75,9, IF(U27&gt;=50,6, 3))))))),0) * IF($U27&gt;=750,'Rail C&amp;T EF'!$K$18,'Rail C&amp;T EF'!$K$19) * IF('GHG Calcs'!$AE27&gt;0,1,'Rail C&amp;T EF'!$B$149),"")</f>
        <v/>
      </c>
      <c r="AZ27" s="306" t="str">
        <f ca="1">IFERROR(VLOOKUP('GHG Calcs'!$AG27,'Rail C&amp;T EF'!$A$43:$Y$133,IF(U27&gt;750,25, IF(U27&gt;=600,22, IF(U27&gt;=300,19, IF(U27&gt;=175,16, IF(U27&gt;=100,13, IF(U27&gt;=75,10, IF(U27&gt;=50,7, 4))))))),0) * IF($U27&gt;=750,'Rail C&amp;T EF'!$K$18,'Rail C&amp;T EF'!$K$19) * IF('GHG Calcs'!$AE27&gt;0,1,'Rail C&amp;T EF'!$B$149)*'Rail C&amp;T EF'!$B$146,"")</f>
        <v/>
      </c>
      <c r="BA27" s="306" t="str">
        <f ca="1">IFERROR(IF('GHG Calcs'!$AD27="Gasoline",0,VLOOKUP('GHG Calcs'!$AG27,'Rail C&amp;T EF'!$A$43:$Y$133,IF(U27&gt;750,25, IF(U27&gt;=600,22, IF(U27&gt;=300,19, IF(U27&gt;=175,16, IF(U27&gt;=100,13, IF(U27&gt;=75,10, IF(U27&gt;=50,7, 4))))))),0) * IF($U27&gt;=750,'Rail C&amp;T EF'!$K$18,'Rail C&amp;T EF'!$K$19) * IF('GHG Calcs'!$AE27&gt;0,1,'Rail C&amp;T EF'!$B$149)),"")</f>
        <v/>
      </c>
      <c r="BB27" s="306" t="str">
        <f ca="1">IFERROR(VLOOKUP('GHG Calcs'!$AG27,'Ferry C&amp;T EF'!$A$106:$AK$196,IF(U27&gt;=3301,35, IF(U27&gt;=1901,31, IF(U27&gt;=751,27, IF(U27&gt;=501,23, IF(U27&gt;=251,19, IF(U27&gt;=176,15, IF(U27&gt;=121,11, IF(U27&gt;=51,7, 3)))))))),0),"")</f>
        <v/>
      </c>
      <c r="BC27" s="306" t="str">
        <f ca="1">IFERROR(VLOOKUP('GHG Calcs'!$AG27,'Ferry C&amp;T EF'!$A$106:$AK$196,IF(U27&gt;=3301,34, IF(U27&gt;=1901,30, IF(U27&gt;=751,26, IF(U27&gt;=501,22, IF(U27&gt;=251,18, IF(U27&gt;=176,14, IF(U27&gt;=121,10, IF(U27&gt;=51,6, 2)))))))),0),"")</f>
        <v/>
      </c>
      <c r="BD27" s="306" t="str">
        <f ca="1">IFERROR(VLOOKUP('GHG Calcs'!$AG27,'Ferry C&amp;T EF'!$A$106:$AK$196,IF(U27&gt;=3301,37, IF(U27&gt;=1901,33, IF(U27&gt;=751,29, IF(U27&gt;=501,25, IF(U27&gt;=251,21, IF(U27&gt;=176,17, IF(U27&gt;=121,13, IF(U27&gt;=51,9, 5)))))))),0),"")</f>
        <v/>
      </c>
      <c r="BE27" s="306" t="str">
        <f ca="1">IFERROR(IF('GHG Calcs'!$AD27="Gasoline",0,VLOOKUP('GHG Calcs'!$AG27,'Ferry C&amp;T EF'!$A$106:$AK$196,IF(U27&gt;=3301,36, IF(U27&gt;=1901,32, IF(U27&gt;=751,28, IF(U27&gt;=501,24, IF(U27&gt;=251,20, IF(U27&gt;=176,16, IF(U27&gt;=121,12, IF(U27&gt;=51,8, 4)))))))),0)),"")</f>
        <v/>
      </c>
      <c r="BF27" s="1419" t="str">
        <f ca="1">IFERROR(IF('GHG Calcs'!$AD27="Gasoline",VLOOKUP('GHG Calcs'!$AH27,'Fuel Consumption'!$A$31:$L$2316,3,0),IF(OR('GHG Calcs'!$AD27="CNG",'GHG Calcs'!$AD27="LNG",'GHG Calcs'!$AD27="Renewable Natural Gas"),VLOOKUP('GHG Calcs'!$AH27,'Fuel Consumption'!$A$31:$L$2316,4,0)*VLOOKUP('GHG Calcs'!$AD27,'GHG EF'!$B$10:$H$19,4,0),VLOOKUP('GHG Calcs'!$AH27,'Fuel Consumption'!$A$31:$L$2316,2,0)*VLOOKUP('GHG Calcs'!$AD27,'GHG EF'!$B$10:$H$19,4,0))),"")</f>
        <v/>
      </c>
      <c r="BG27" s="1419" t="str">
        <f ca="1">IFERROR(IF(OR('GHG Calcs'!$AD27="Diesel",'GHG Calcs'!$AD27="Renewable Diesel",'GHG Calcs'!$AD27="Biodiesel"),VLOOKUP('GHG Calcs'!$AH27,'Fuel Consumption'!$A$31:$L$2316,6,0)*VLOOKUP('GHG Calcs'!$AD27,'GHG EF'!$B$10:$H$19,4,0),VLOOKUP('GHG Calcs'!$AH27,'Fuel Consumption'!$A$31:$L$2316,7,0)*VLOOKUP('GHG Calcs'!$AD27,'GHG EF'!$B$10:$H$19,5,0)),"")</f>
        <v/>
      </c>
      <c r="BH27" s="1419" t="str">
        <f ca="1">IFERROR(IF(OR('GHG Calcs'!$AD27="Diesel",'GHG Calcs'!$AD27="Renewable Diesel",'GHG Calcs'!$AD27="Biodiesel"),VLOOKUP('GHG Calcs'!$AH27,'Fuel Consumption'!$A$31:$L$2316,9,0)*VLOOKUP('GHG Calcs'!$AD27,'GHG EF'!$B$10:$H$19,4,0),VLOOKUP('GHG Calcs'!$AH27,'Fuel Consumption'!$A$31:$L$2316,10,0)*VLOOKUP('GHG Calcs'!$AD27,'GHG EF'!$B$10:$H$19,5,0)),"")</f>
        <v/>
      </c>
      <c r="BI27" s="1419" t="str">
        <f ca="1">IFERROR(VLOOKUP('GHG Calcs'!$AH27,'Fuel Consumption'!$A$31:$L$2316,12,0)*VLOOKUP('GHG Calcs'!$AD27,'GHG EF'!$B$10:$H$19,4,0),"")</f>
        <v/>
      </c>
      <c r="BJ27" s="1373" t="str">
        <f ca="1">IFERROR(IF(OR('GHG Calcs'!AD27=Defaults!$I$3, 'GHG Calcs'!AD27=Defaults!$I$4, 'GHG Calcs'!AD27=Defaults!$I$6, 'GHG Calcs'!AD27=Defaults!$I$8), IF('GHG Calcs'!AE27&gt;0,'GHG Calcs'!AE27*IF('GHG Calcs'!AD27=Defaults!$I$3,'GHG EF'!$C$11/'GHG EF'!$C$12,1),'GHG Calcs'!AK27*'GHG Calcs'!AI27),"")*('GHG Calcs'!I27-'GHG Calcs'!H27),"")</f>
        <v/>
      </c>
      <c r="BK27" s="1373" t="str">
        <f ca="1">IFERROR(IF('GHG Calcs'!AD27=Defaults!$I$5,IF('GHG Calcs'!AE27&gt;0,'GHG Calcs'!AE27,'GHG Calcs'!AJ27*'GHG Calcs'!AI27),"")*IF('GHG Calcs'!AF27&lt;'GHG EF'!$D$13,'GHG Calcs'!AF27/'GHG EF'!$D$13,1)*IF('GHG Calcs'!AF27&lt;0,0,1)*('GHG Calcs'!I27-'GHG Calcs'!H27),"")</f>
        <v/>
      </c>
      <c r="BL27" s="1373" t="str">
        <f ca="1">IFERROR(IF('GHG Calcs'!AD27=Defaults!$I$11, IF(IF('GHG Calcs'!AE27&gt;0,'GHG Calcs'!AE27,'GHG Calcs'!AJ27*'GHG Calcs'!AI27)&lt;INDIRECT("'"&amp;#REF!&amp;"'!"&amp;$D27&amp;ROW(#REF!)), IF('GHG Calcs'!AE27&gt;0,'GHG Calcs'!AE27,'GHG Calcs'!AJ27*'GHG Calcs'!AI27), INDIRECT("'"&amp;#REF!&amp;"'!"&amp;$D27&amp;ROW(#REF!))),"")*('GHG Calcs'!I27-'GHG Calcs'!H27),"")</f>
        <v/>
      </c>
      <c r="BM27" s="1420" t="str">
        <f ca="1">IFERROR(IF('GHG Calcs'!AE27&gt;0,'GHG Calcs'!AE27,'GHG Calcs'!AL27*'GHG Calcs'!AI27)*VLOOKUP('GHG Calcs'!AD27,'Fuel &amp; Travel Costs'!$B$10:$C$19,2,0)*('GHG Calcs'!I27-'GHG Calcs'!H27),"")</f>
        <v/>
      </c>
      <c r="BN27" s="306">
        <f ca="1">INDIRECT("'Quantifiable Component "&amp;$B27&amp;"'!"&amp;$D27&amp;ROW('Quantifiable Component 1'!$59:$59))</f>
        <v>0</v>
      </c>
      <c r="BO27" s="306">
        <f ca="1">INDIRECT("'Quantifiable Component "&amp;$B27&amp;"'!"&amp;$D27&amp;ROW('Quantifiable Component 1'!$60:$60))</f>
        <v>0</v>
      </c>
      <c r="BP27" s="1421" t="str">
        <f ca="1">IFERROR(IF('GHG Calcs'!$BD27="Gasoline",VLOOKUP('GHG Calcs'!$BL27,'Bus C&amp;T EF'!$D$30:$V$2315,3,0),IF(OR('GHG Calcs'!$BD27="CNG",'GHG Calcs'!$BD27="LNG",'GHG Calcs'!$BD27="Renewable Natural Gas"),VLOOKUP('GHG Calcs'!$BL27,'Bus C&amp;T EF'!$D$30:$V$2315,4,0),VLOOKUP('GHG Calcs'!$BL27,'Bus C&amp;T EF'!$D$30:$V$2315,2,0)))/IF('GHG Calcs'!BE27&gt;0,$CZ27,1),"")</f>
        <v/>
      </c>
      <c r="BQ27" s="1419" t="str">
        <f ca="1">IFERROR(IF('GHG Calcs'!$BD27="Gasoline",VLOOKUP('GHG Calcs'!$BL27,'Bus C&amp;T EF'!$D$30:$V$2315,6,0),IF(OR('GHG Calcs'!$BD27="CNG",'GHG Calcs'!$BD27="LNG",'GHG Calcs'!$BD27="Renewable Natural Gas"),VLOOKUP('GHG Calcs'!$BL27,'Bus C&amp;T EF'!$D$30:$V$2315,7,0),VLOOKUP('GHG Calcs'!$BL27,'Bus C&amp;T EF'!$D$30:$V$2315,5,0)))/IF('GHG Calcs'!BE27&gt;0,$CZ27,1),"")</f>
        <v/>
      </c>
      <c r="BR27" s="1419" t="str">
        <f ca="1">IFERROR(IF('GHG Calcs'!$BD27="Gasoline",VLOOKUP('GHG Calcs'!$BL27,'Bus C&amp;T EF'!$D$30:$V$2315,9,0),IF(OR('GHG Calcs'!$BD27="CNG",'GHG Calcs'!$BD27="LNG",'GHG Calcs'!$BD27="Renewable Natural Gas"),VLOOKUP('GHG Calcs'!$BL27,'Bus C&amp;T EF'!$D$30:$V$2315,10,0),VLOOKUP('GHG Calcs'!$BL27,'Bus C&amp;T EF'!$D$30:$V$2315,8,0)))/IF('GHG Calcs'!BE27&gt;0,$CZ27,1),"")</f>
        <v/>
      </c>
      <c r="BS27" s="1419" t="str">
        <f ca="1">IFERROR(IF('GHG Calcs'!$BD27="Gasoline",VLOOKUP('GHG Calcs'!$BL27,'Bus C&amp;T EF'!$D$30:$V$2315,12,0),IF(OR('GHG Calcs'!$BD27="CNG",'GHG Calcs'!$BD27="LNG",'GHG Calcs'!$BD27="Renewable Natural Gas"),VLOOKUP('GHG Calcs'!$BL27,'Bus C&amp;T EF'!$D$30:$V$2315,13,0),IF(OR('GHG Calcs'!$BD27="Electric",'GHG Calcs'!$BD27="Hydrogen Fuel Cell",'GHG Calcs'!$BD27="Renewable Electricity"),VLOOKUP('GHG Calcs'!$BL27,'Bus C&amp;T EF'!$D$30:$V$2315,14,0),VLOOKUP('GHG Calcs'!$BL27,'Bus C&amp;T EF'!$D$30:$V$2315,11,0))))/IF('GHG Calcs'!BE27&gt;0,$CZ27,1),"")</f>
        <v/>
      </c>
      <c r="BT27" s="1419" t="str">
        <f ca="1">IFERROR(IF('GHG Calcs'!$BD27="Gasoline",VLOOKUP('GHG Calcs'!$BL27,'Bus C&amp;T EF'!$D$30:$V$2315,16,0),IF(OR('GHG Calcs'!$BD27="CNG",'GHG Calcs'!$BD27="LNG",'GHG Calcs'!$BD27="Renewable Natural Gas"),VLOOKUP('GHG Calcs'!$BL27,'Bus C&amp;T EF'!$D$30:$V$2315,17,0),IF(OR('GHG Calcs'!$BD27="Electric",'GHG Calcs'!$BD27="Hydrogen Fuel Cell",'GHG Calcs'!$BD27="Renewable Electricity"),VLOOKUP('GHG Calcs'!$BL27,'Bus C&amp;T EF'!$D$30:$V$2315,18,0),VLOOKUP('GHG Calcs'!$BL27,'Bus C&amp;T EF'!$D$30:$V$2315,15,0))))/IF('GHG Calcs'!BE27&gt;0,$CZ27,1),"")</f>
        <v/>
      </c>
      <c r="BU27" s="306" t="str">
        <f ca="1">IFERROR(IF('GHG Calcs'!$BD27="Gasoline",0,VLOOKUP('GHG Calcs'!$BL27,'Bus C&amp;T EF'!$D$30:$V$2315,19,0))/IF('GHG Calcs'!BE27&gt;0,$CZ27,1),"")</f>
        <v/>
      </c>
      <c r="BV27" s="1419" t="str">
        <f ca="1">IFERROR(IF(OR('GHG Calcs'!$BD27="Diesel",'GHG Calcs'!$BD27="Renewable Diesel",'GHG Calcs'!$BD27="Biodiesel"),VLOOKUP('GHG Calcs'!$BL27,'Van C&amp;T EF'!$D$30:$Q$2315,2,0),VLOOKUP('GHG Calcs'!$BL27,'Van C&amp;T EF'!$D$30:$Q$2315,3,0))/IF('GHG Calcs'!BE27&gt;0,$DA27,1),"")</f>
        <v/>
      </c>
      <c r="BW27" s="1419" t="str">
        <f ca="1">IFERROR(IF(OR('GHG Calcs'!$BD27="Diesel",'GHG Calcs'!$BD27="Renewable Diesel",'GHG Calcs'!$BD27="Biodiesel"),VLOOKUP('GHG Calcs'!$BL27,'Van C&amp;T EF'!$D$30:$Q$2315,4,0),VLOOKUP('GHG Calcs'!$BL27,'Van C&amp;T EF'!$D$30:$Q$2315,5,0))/IF('GHG Calcs'!BE27&gt;0,$DA27,1),"")</f>
        <v/>
      </c>
      <c r="BX27" s="1419" t="str">
        <f ca="1">IFERROR(IF(OR('GHG Calcs'!$BD27="Diesel",'GHG Calcs'!$BD27="Renewable Diesel",'GHG Calcs'!$BD27="Biodiesel"),VLOOKUP('GHG Calcs'!$BL27,'Van C&amp;T EF'!$D$30:$Q$2315,6,0),VLOOKUP('GHG Calcs'!$BL27,'Van C&amp;T EF'!$D$30:$Q$2315,7,0))/IF('GHG Calcs'!BE27&gt;0,$DA27,1),"")</f>
        <v/>
      </c>
      <c r="BY27" s="1419" t="str">
        <f ca="1">IFERROR(IF(OR('GHG Calcs'!$BD27="Diesel",'GHG Calcs'!$BD27="Renewable Diesel",'GHG Calcs'!$BD27="Biodiesel"),VLOOKUP('GHG Calcs'!$BL27,'Van C&amp;T EF'!$D$30:$Q$2315,8,0),IF(OR('GHG Calcs'!$BD27="Electric",'GHG Calcs'!$BD27="Hydrogen Fuel Cell",'GHG Calcs'!$BD27="Renewable Electricity"),VLOOKUP('GHG Calcs'!$BL27,'Van C&amp;T EF'!$D$30:$Q$2315,10,0),VLOOKUP('GHG Calcs'!$BL27,'Van C&amp;T EF'!$D$30:$Q$2315,9,0)))/IF('GHG Calcs'!BE27&gt;0,$DA27,1),"")</f>
        <v/>
      </c>
      <c r="BZ27" s="1419" t="str">
        <f ca="1">IFERROR(IF(OR('GHG Calcs'!$BD27="Diesel",'GHG Calcs'!$BD27="Renewable Diesel",'GHG Calcs'!$BD27="Biodiesel"),VLOOKUP('GHG Calcs'!$BL27,'Van C&amp;T EF'!$D$30:$Q$2315,11,0),IF(OR('GHG Calcs'!$BD27="Electric",'GHG Calcs'!$BD27="Hydrogen Fuel Cell",'GHG Calcs'!$BD27="Renewable Electricity"),VLOOKUP('GHG Calcs'!$BL27,'Van C&amp;T EF'!$D$30:$Q$2315,13,0),VLOOKUP('GHG Calcs'!$BL27,'Van C&amp;T EF'!$D$30:$Q$2315,12,0)))/IF('GHG Calcs'!BE27&gt;0,$DA27,1),"")</f>
        <v/>
      </c>
      <c r="CA27" s="306">
        <f ca="1">IFERROR(IF(OR('GHG Calcs'!$BD27="Diesel",'GHG Calcs'!$BD27="Biodiesel",'GHG Calcs'!$BD27="Renewable Diesel"),VLOOKUP('GHG Calcs'!$BL27,'Van C&amp;T EF'!$D$30:$Q$2315,14,0),0)/IF('GHG Calcs'!BE27&gt;0,$DA27,1),"")</f>
        <v>0</v>
      </c>
      <c r="CB27" s="1419" t="str">
        <f ca="1">IFERROR(IF(OR('GHG Calcs'!$BD27="Diesel",'GHG Calcs'!$BD27="Renewable Diesel",'GHG Calcs'!$BD27="Biodiesel"),VLOOKUP('GHG Calcs'!$BL27,'Shuttle C&amp;T EF'!$D$30:$Q$2315,2,0),VLOOKUP('GHG Calcs'!$BL27,'Shuttle C&amp;T EF'!$D$30:$Q$2315,3,0))/IF('GHG Calcs'!BE27&gt;0,$DB27,1),"")</f>
        <v/>
      </c>
      <c r="CC27" s="1419" t="str">
        <f ca="1">IFERROR(IF(OR('GHG Calcs'!$BD27="Diesel",'GHG Calcs'!$BD27="Renewable Diesel",'GHG Calcs'!$BD27="Biodiesel"),VLOOKUP('GHG Calcs'!$BL27,'Shuttle C&amp;T EF'!$D$30:$Q$2315,4,0),VLOOKUP('GHG Calcs'!$BL27,'Shuttle C&amp;T EF'!$D$30:$Q$2315,5,0))/IF('GHG Calcs'!BE27&gt;0,$DB27,1),"")</f>
        <v/>
      </c>
      <c r="CD27" s="1419" t="str">
        <f ca="1">IFERROR(IF(OR('GHG Calcs'!$BD27="Diesel",'GHG Calcs'!$BD27="Renewable Diesel",'GHG Calcs'!$BD27="Biodiesel"),VLOOKUP('GHG Calcs'!$BL27,'Shuttle C&amp;T EF'!$D$30:$Q$2315,6,0),VLOOKUP('GHG Calcs'!$BL27,'Shuttle C&amp;T EF'!$D$30:$Q$2315,7,0))/IF('GHG Calcs'!BE27&gt;0,$DB27,1),"")</f>
        <v/>
      </c>
      <c r="CE27" s="1419" t="str">
        <f ca="1">IFERROR(IF(OR('GHG Calcs'!$BD27="Diesel",'GHG Calcs'!$BD27="Renewable Diesel",'GHG Calcs'!$BD27="Biodiesel"),VLOOKUP('GHG Calcs'!$BL27,'Shuttle C&amp;T EF'!$D$30:$Q$2315,8,0),IF(OR('GHG Calcs'!$BD27="Electric",'GHG Calcs'!$BD27="Hydrogen Fuel Cell",'GHG Calcs'!$BD27="Renewable Electricity"),VLOOKUP('GHG Calcs'!$BL27,'Shuttle C&amp;T EF'!$D$30:$Q$2315,10,0),VLOOKUP('GHG Calcs'!$BL27,'Shuttle C&amp;T EF'!$D$30:$Q$2315,9,0)))/IF('GHG Calcs'!BE27&gt;0,$DB27,1),"")</f>
        <v/>
      </c>
      <c r="CF27" s="1419" t="str">
        <f ca="1">IFERROR(IF(OR('GHG Calcs'!$BD27="Diesel",'GHG Calcs'!$BD27="Renewable Diesel",'GHG Calcs'!$BD27="Biodiesel"),VLOOKUP('GHG Calcs'!$BL27,'Shuttle C&amp;T EF'!$D$30:$Q$2315,11,0),IF(OR('GHG Calcs'!$BD27="Electric",'GHG Calcs'!$BD27="Hydrogen Fuel Cell",'GHG Calcs'!$BD27="Renewable Electricity"),VLOOKUP('GHG Calcs'!$BL27,'Shuttle C&amp;T EF'!$D$30:$Q$2315,13,0),VLOOKUP('GHG Calcs'!$BL27,'Shuttle C&amp;T EF'!$D$30:$Q$2315,12,0)))/IF('GHG Calcs'!BE27&gt;0,$DB27,1),"")</f>
        <v/>
      </c>
      <c r="CG27" s="1419">
        <f ca="1">IFERROR(IF(OR('GHG Calcs'!$BD27="Diesel",'GHG Calcs'!$BD27="Biodiesel",'GHG Calcs'!$BD27="Renewable Diesel"),VLOOKUP('GHG Calcs'!$BL27,'Shuttle C&amp;T EF'!$D$30:$Q$2315,14,0),0)/IF('GHG Calcs'!BE27&gt;0,$DB27,1),"")</f>
        <v>0</v>
      </c>
      <c r="CH27" s="306" t="str">
        <f ca="1">IFERROR((VLOOKUP('GHG Calcs'!$BL27,'Over-Road Coach C&amp;T EF'!$D$29:$N$2314,2,0)+VLOOKUP('GHG Calcs'!$BL27,'Over-Road Coach C&amp;T EF'!$D$29:$N$2314,3,0))/IF('GHG Calcs'!BE27&gt;0,$DC27,1),"")</f>
        <v/>
      </c>
      <c r="CI27" s="306" t="str">
        <f ca="1">IFERROR((VLOOKUP('GHG Calcs'!$BL27,'Over-Road Coach C&amp;T EF'!$D$29:$N$2314,4,0)+VLOOKUP('GHG Calcs'!$BL27,'Over-Road Coach C&amp;T EF'!$D$29:$N$2314,5,0))/IF('GHG Calcs'!BE27&gt;0,$DC27,1),"")</f>
        <v/>
      </c>
      <c r="CJ27" s="306" t="str">
        <f ca="1">IFERROR((VLOOKUP('GHG Calcs'!$BL27,'Over-Road Coach C&amp;T EF'!$D$29:$N$2314,6,0)+VLOOKUP('GHG Calcs'!$BL27,'Over-Road Coach C&amp;T EF'!$D$29:$N$2314,7,0))/IF('GHG Calcs'!BE27&gt;0,$DC27,1),"")</f>
        <v/>
      </c>
      <c r="CK27" s="306" t="str">
        <f ca="1">IFERROR(VLOOKUP('GHG Calcs'!$BL27,'Over-Road Coach C&amp;T EF'!$D$29:$N$2314,8,0)/IF('GHG Calcs'!BE27&gt;0,$DC27,1),"")</f>
        <v/>
      </c>
      <c r="CL27" s="306" t="str">
        <f ca="1">IFERROR(VLOOKUP('GHG Calcs'!$BL27,'Over-Road Coach C&amp;T EF'!$D$29:$N$2314,9,0)/IF('GHG Calcs'!BE27&gt;0,$DC27,1),"")</f>
        <v/>
      </c>
      <c r="CM27" s="306" t="str">
        <f ca="1">IFERROR((VLOOKUP('GHG Calcs'!$BL27,'Over-Road Coach C&amp;T EF'!$D$29:$N$2314,10,0)+VLOOKUP('GHG Calcs'!$BL27,'Over-Road Coach C&amp;T EF'!$D$29:$N$2314,11,0))/IF('GHG Calcs'!BE27&gt;0,$DC27,1),"")</f>
        <v/>
      </c>
      <c r="CN27" s="306" t="str">
        <f ca="1">IFERROR(VLOOKUP(BN27,'Co-Benefit Calcs'!$E$76:$I$83,2,0)/IF('GHG Calcs'!$BE27&gt;0,'Rail C&amp;T EF'!$K$14,1),"")</f>
        <v/>
      </c>
      <c r="CO27" s="306" t="str">
        <f ca="1">IFERROR(VLOOKUP(BN27,'Co-Benefit Calcs'!$E$76:$I$83,3,0)/IF('GHG Calcs'!$BE27&gt;0,'Rail C&amp;T EF'!$K$14,1),"")</f>
        <v/>
      </c>
      <c r="CP27" s="306" t="str">
        <f ca="1">IFERROR(VLOOKUP(BN27,'Co-Benefit Calcs'!$E$76:$I$83,4,0)/IF('GHG Calcs'!$BE27&gt;0,'Rail C&amp;T EF'!$K$14,1),"")</f>
        <v/>
      </c>
      <c r="CQ27" s="306" t="str">
        <f ca="1">IFERROR(IF('GHG Calcs'!$BD27="Gasoline",0,VLOOKUP(BN27,'Co-Benefit Calcs'!$E$76:$I$83,5,0))/IF('GHG Calcs'!$BE27&gt;0,'Rail C&amp;T EF'!$K$14,1),"")</f>
        <v/>
      </c>
      <c r="CR27" s="306" t="str">
        <f ca="1">IFERROR(VLOOKUP('GHG Calcs'!$BG27,'Rail C&amp;T EF'!$A$43:$Y$133,IF(BO27&gt;750,23, IF(BO27&gt;=600,20, IF(BO27&gt;=300,17, IF(BO27&gt;=175,14, IF(BO27&gt;=100,11, IF(BO27&gt;=75,8, IF(BO27&gt;=50,5, 2))))))),0) * IF($BO27&gt;=750,'Rail C&amp;T EF'!$K$18,'Rail C&amp;T EF'!$K$19) * IF('GHG Calcs'!BE27&gt;0,1,'Rail C&amp;T EF'!$B$149) * IF(OR('GHG Calcs'!BD27="Diesel", 'GHG Calcs'!BD27="Renewable Diesel", 'GHG Calcs'!BD27="Biodiesel"),'Rail C&amp;T EF'!$B$141,'Rail C&amp;T EF'!$B$142),"")</f>
        <v/>
      </c>
      <c r="CS27" s="306" t="str">
        <f ca="1">IFERROR(VLOOKUP('GHG Calcs'!$BG27,'Rail C&amp;T EF'!$A$43:$Y$133,IF(BO27&gt;750,24, IF(BO27&gt;=600,21, IF(BO27&gt;=300,18, IF(BO27&gt;=175,15, IF(BO27&gt;=100,12, IF(BO27&gt;=75,9, IF(BO27&gt;=50,6, 3))))))),0) * IF($BO27&gt;=750,'Rail C&amp;T EF'!$K$18,'Rail C&amp;T EF'!$K$19) * IF('GHG Calcs'!$BE27&gt;0,1,'Rail C&amp;T EF'!$B$149),"")</f>
        <v/>
      </c>
      <c r="CT27" s="306" t="str">
        <f ca="1">IFERROR(VLOOKUP('GHG Calcs'!$BG27,'Rail C&amp;T EF'!$A$43:$Y$133,IF(BO27&gt;750,25, IF(BO27&gt;=600,22, IF(BO27&gt;=300,19, IF(BO27&gt;=175,16, IF(BO27&gt;=100,13, IF(BO27&gt;=75,10, IF(BO27&gt;=50,7, 4))))))),0) * IF($BO27&gt;=750,'Rail C&amp;T EF'!$K$18,'Rail C&amp;T EF'!$K$19) * IF('GHG Calcs'!$BE27&gt;0,1,'Rail C&amp;T EF'!$B$149)*'Rail C&amp;T EF'!$B$146,"")</f>
        <v/>
      </c>
      <c r="CU27" s="306" t="str">
        <f ca="1">IFERROR(IF('GHG Calcs'!BD27="Gasoline",0,VLOOKUP('GHG Calcs'!$BG27,'Rail C&amp;T EF'!$A$43:$Y$133,IF(BO27&gt;750,25, IF(BO27&gt;=600,22, IF(BO27&gt;=300,19, IF(BO27&gt;=175,16, IF(BO27&gt;=100,13, IF(BO27&gt;=75,10, IF(BO27&gt;=50,7, 4))))))),0) * IF($BO27&gt;=750,'Rail C&amp;T EF'!$K$18,'Rail C&amp;T EF'!$K$19) * IF('GHG Calcs'!$BE27&gt;0,1,'Rail C&amp;T EF'!$B$149)),"")</f>
        <v/>
      </c>
      <c r="CV27" s="306" t="str">
        <f ca="1">IFERROR(VLOOKUP('GHG Calcs'!$BG27,'Ferry C&amp;T EF'!$A$106:$AK$196,IF(BO27&gt;=3301,35, IF(BO27&gt;=1901,31, IF(BO27&gt;=751,27, IF(BO27&gt;=501,23, IF(BO27&gt;=251,19, IF(BO27&gt;=176,15, IF(BO27&gt;=121,11, IF(BO27&gt;=51,7, 3)))))))),0),"")</f>
        <v/>
      </c>
      <c r="CW27" s="306" t="str">
        <f ca="1">IFERROR(VLOOKUP('GHG Calcs'!$BG27,'Ferry C&amp;T EF'!$A$106:$AK$196,IF(BO27&gt;=3301,34, IF(BO27&gt;=1901,30, IF(BO27&gt;=751,26, IF(BO27&gt;=501,22, IF(BO27&gt;=251,18, IF(BO27&gt;=176,14, IF(BO27&gt;=121,10, IF(BO27&gt;=51,6, 2)))))))),0),"")</f>
        <v/>
      </c>
      <c r="CX27" s="306" t="str">
        <f ca="1">IFERROR(VLOOKUP('GHG Calcs'!$BG27,'Ferry C&amp;T EF'!$A$106:$AK$196,IF(BO27&gt;=3301,37, IF(BO27&gt;=1901,33, IF(BO27&gt;=751,29, IF(BO27&gt;=501,25, IF(BO27&gt;=251,21, IF(BO27&gt;=176,17, IF(BO27&gt;=121,13, IF(BO27&gt;=51,9, 5)))))))),0),"")</f>
        <v/>
      </c>
      <c r="CY27" s="306" t="str">
        <f ca="1">IFERROR(IF('GHG Calcs'!$BD27="Gasoline",0,VLOOKUP('GHG Calcs'!$BG27,'Ferry C&amp;T EF'!$A$106:$AK$196,IF(BO27&gt;=3301,36, IF(BO27&gt;=1901,32, IF(BO27&gt;=751,28, IF(BO27&gt;=501,24, IF(BO27&gt;=251,20, IF(BO27&gt;=176,16, IF(BO27&gt;=121,12, IF(BO27&gt;=51,8, 4)))))))),0)),"")</f>
        <v/>
      </c>
      <c r="CZ27" s="1419" t="str">
        <f ca="1">IFERROR(IF('GHG Calcs'!$BD27="Gasoline",VLOOKUP('GHG Calcs'!$BL27,'Fuel Consumption'!$A$31:$L$2316,3,0),IF(OR('GHG Calcs'!$BD27="CNG",'GHG Calcs'!$BD27="LNG",'GHG Calcs'!$BD27="Renewable Natural Gas"),VLOOKUP('GHG Calcs'!$BL27,'Fuel Consumption'!$A$31:$L$2316,4,0)*VLOOKUP('GHG Calcs'!$BD27,'GHG EF'!$B$10:$H$19,4,0),VLOOKUP('GHG Calcs'!$BL27,'Fuel Consumption'!$A$31:$L$2316,2,0)*VLOOKUP('GHG Calcs'!$AD27,'GHG EF'!$B$10:$H$19,4,0))),"")</f>
        <v/>
      </c>
      <c r="DA27" s="1419" t="str">
        <f ca="1">IFERROR(IF(OR('GHG Calcs'!$BD27="Diesel",'GHG Calcs'!$BD27="Renewable Diesel",'GHG Calcs'!$BD27="Biodiesel"),VLOOKUP('GHG Calcs'!$BL27,'Fuel Consumption'!$A$31:$L$2316,6,0)*VLOOKUP('GHG Calcs'!$BD27,'GHG EF'!$B$10:$H$19,4,0),VLOOKUP('GHG Calcs'!$BL27,'Fuel Consumption'!$A$31:$L$2316,7,0)*VLOOKUP('GHG Calcs'!$BD27,'GHG EF'!$B$10:$H$19,5,0)),"")</f>
        <v/>
      </c>
      <c r="DB27" s="1419" t="str">
        <f ca="1">IFERROR(IF(OR('GHG Calcs'!$BD27="Diesel",'GHG Calcs'!$BD27="Renewable Diesel",'GHG Calcs'!$BD27="Biodiesel"),VLOOKUP('GHG Calcs'!$BL27,'Fuel Consumption'!$A$31:$L$2316,9,0)*VLOOKUP('GHG Calcs'!$BD27,'GHG EF'!$B$10:$H$19,4,0),VLOOKUP('GHG Calcs'!$BL27,'Fuel Consumption'!$A$31:$L$2316,10,0)*VLOOKUP('GHG Calcs'!$BD27,'GHG EF'!$B$10:$H$19,5,0)),"")</f>
        <v/>
      </c>
      <c r="DC27" s="1419" t="str">
        <f ca="1">IFERROR(VLOOKUP('GHG Calcs'!$BL27,'Fuel Consumption'!$A$31:$L$2316,12,0)*VLOOKUP('GHG Calcs'!$BD27,'GHG EF'!$B$10:$H$19,4,0),"")</f>
        <v/>
      </c>
      <c r="DD27" s="1373" t="str">
        <f ca="1">IFERROR(IF(OR('GHG Calcs'!BD27=Defaults!$I$3, 'GHG Calcs'!BD27=Defaults!$I$4, 'GHG Calcs'!BD27=Defaults!$I$6, 'GHG Calcs'!BD27=Defaults!$I$8), IF('GHG Calcs'!BE27&gt;0,'GHG Calcs'!BE27*IF('GHG Calcs'!BD27=Defaults!$I$3,'GHG EF'!$C$11/'GHG EF'!$C$12,1),'GHG Calcs'!BJ27*'GHG Calcs'!BH27),"")*('GHG Calcs'!I27-'GHG Calcs'!H27),"")</f>
        <v/>
      </c>
      <c r="DE27" s="1373" t="str">
        <f ca="1">IFERROR(IF('GHG Calcs'!BD27=Defaults!$I$5,IF('GHG Calcs'!BE27&gt;0,'GHG Calcs'!BE27,'GHG Calcs'!BI27*'GHG Calcs'!BH27),"")*('GHG Calcs'!I27-'GHG Calcs'!H27),"")</f>
        <v/>
      </c>
      <c r="DF27" s="1420" t="str">
        <f ca="1">IFERROR(IF('GHG Calcs'!BE27&gt;0,'GHG Calcs'!BE27,'GHG Calcs'!BK27*'GHG Calcs'!BH27)*VLOOKUP('GHG Calcs'!BD27,'Fuel &amp; Travel Costs'!$B$10:$C$19,2,0)*('GHG Calcs'!I27-'GHG Calcs'!H27),"")</f>
        <v/>
      </c>
      <c r="DG27" s="306">
        <f ca="1">INDIRECT("'Quantifiable Component "&amp;$B27&amp;"'!"&amp;$D27&amp;ROW('Quantifiable Component 1'!$70:$70))</f>
        <v>0</v>
      </c>
      <c r="DH27" s="306">
        <f ca="1">INDIRECT("'Quantifiable Component "&amp;$B27&amp;"'!"&amp;$D27&amp;ROW('Quantifiable Component 1'!$71:$71))</f>
        <v>0</v>
      </c>
      <c r="DI27" s="1422" t="str">
        <f ca="1">IFERROR(IF('GHG Calcs'!$CD27="Gasoline",VLOOKUP('GHG Calcs'!$CG27,'Bus C&amp;T EF'!$D$30:$V$2315,3,0),IF(OR('GHG Calcs'!$CD27="CNG",'GHG Calcs'!$CD27="LNG",'GHG Calcs'!$CD27="Renewable Natural Gas"),VLOOKUP('GHG Calcs'!$CG27,'Bus C&amp;T EF'!$D$30:$V$2315,4,0),VLOOKUP('GHG Calcs'!$CG27,'Bus C&amp;T EF'!$D$30:$V$2315,2,0)))/$ES27,"")</f>
        <v/>
      </c>
      <c r="DJ27" s="306" t="str">
        <f ca="1">IFERROR(IF('GHG Calcs'!$CD27="Gasoline",VLOOKUP('GHG Calcs'!$CG27,'Bus C&amp;T EF'!$D$30:$V$2315,6,0),IF(OR('GHG Calcs'!$CD27="CNG",'GHG Calcs'!$CD27="LNG",'GHG Calcs'!$CD27="Renewable Natural Gas"),VLOOKUP('GHG Calcs'!$CG27,'Bus C&amp;T EF'!$D$30:$V$2315,7,0),VLOOKUP('GHG Calcs'!$CG27,'Bus C&amp;T EF'!$D$30:$V$2315,5,0)))/$ES27,"")</f>
        <v/>
      </c>
      <c r="DK27" s="306" t="str">
        <f ca="1">IFERROR(IF('GHG Calcs'!$CD27="Gasoline",VLOOKUP('GHG Calcs'!$CG27,'Bus C&amp;T EF'!$D$30:$V$2315,9,0),IF(OR('GHG Calcs'!$CD27="CNG",'GHG Calcs'!$CD27="LNG",'GHG Calcs'!$CD27="Renewable Natural Gas"),VLOOKUP('GHG Calcs'!$CG27,'Bus C&amp;T EF'!$D$30:$V$2315,10,0),VLOOKUP('GHG Calcs'!$CG27,'Bus C&amp;T EF'!$D$30:$V$2315,8,0)))/$ES27,"")</f>
        <v/>
      </c>
      <c r="DL27" s="306" t="str">
        <f ca="1">IFERROR(IF('GHG Calcs'!$CD27="Gasoline",VLOOKUP('GHG Calcs'!$CG27,'Bus C&amp;T EF'!$D$30:$V$2315,12,0),IF(OR('GHG Calcs'!$CD27="CNG",'GHG Calcs'!$CD27="LNG",'GHG Calcs'!$CD27="Renewable Natural Gas"),VLOOKUP('GHG Calcs'!$CG27,'Bus C&amp;T EF'!$D$30:$V$2315,13,0),IF('GHG Calcs'!$CD27="Electric",VLOOKUP('GHG Calcs'!$CG27,'Bus C&amp;T EF'!$D$30:$V$2315,14,0),VLOOKUP('GHG Calcs'!$CG27,'Bus C&amp;T EF'!$D$30:$V$2315,11,0))))/$ES27,"")</f>
        <v/>
      </c>
      <c r="DM27" s="306" t="str">
        <f ca="1">IFERROR(IF('GHG Calcs'!$CD27="Gasoline",VLOOKUP('GHG Calcs'!$CG27,'Bus C&amp;T EF'!$D$30:$V$2315,16,0),IF(OR('GHG Calcs'!$CD27="CNG",'GHG Calcs'!$CD27="LNG",'GHG Calcs'!$CD27="Renewable Natural Gas"),VLOOKUP('GHG Calcs'!$CG27,'Bus C&amp;T EF'!$D$30:$V$2315,17,0),IF('GHG Calcs'!$CD27="Electric",VLOOKUP('GHG Calcs'!$CG27,'Bus C&amp;T EF'!$D$30:$V$2315,18,0),VLOOKUP('GHG Calcs'!$CG27,'Bus C&amp;T EF'!$D$30:$V$2315,15,0))))/$ES27,"")</f>
        <v/>
      </c>
      <c r="DN27" s="306" t="str">
        <f ca="1">IFERROR(IF('GHG Calcs'!$CD27="Gasoline",0,VLOOKUP('GHG Calcs'!$CG27,'Bus C&amp;T EF'!$D$30:$V$2315,19,0))/$ES27,"")</f>
        <v/>
      </c>
      <c r="DO27" s="1419" t="str">
        <f ca="1">IFERROR(IF(OR('GHG Calcs'!$CD27="Diesel",'GHG Calcs'!$CD27="Renewable Diesel",'GHG Calcs'!$CD27="Biodiesel"),VLOOKUP('GHG Calcs'!$CG27,'Van C&amp;T EF'!$D$30:$Q$2315,2,0),VLOOKUP('GHG Calcs'!$CG27,'Van C&amp;T EF'!$D$30:$Q$2315,3,0))/$ET27,"")</f>
        <v/>
      </c>
      <c r="DP27" s="1419" t="str">
        <f ca="1">IFERROR(IF(OR('GHG Calcs'!$CD27="Diesel",'GHG Calcs'!$CD27="Renewable Diesel",'GHG Calcs'!$CD27="Biodiesel"),VLOOKUP('GHG Calcs'!$CG27,'Van C&amp;T EF'!$D$30:$Q$2315,4,0),VLOOKUP('GHG Calcs'!$CG27,'Van C&amp;T EF'!$D$30:$Q$2315,5,0))/$ET27,"")</f>
        <v/>
      </c>
      <c r="DQ27" s="1419" t="str">
        <f ca="1">IFERROR(IF(OR('GHG Calcs'!$CD27="Diesel",'GHG Calcs'!$CD27="Renewable Diesel",'GHG Calcs'!$CD27="Biodiesel"),VLOOKUP('GHG Calcs'!$CG27,'Van C&amp;T EF'!$D$30:$Q$2315,6,0),VLOOKUP('GHG Calcs'!$CG27,'Van C&amp;T EF'!$D$30:$Q$2315,7,0))/$ET27,"")</f>
        <v/>
      </c>
      <c r="DR27" s="1419" t="str">
        <f ca="1">IFERROR(IF(OR('GHG Calcs'!$CD27="Diesel",'GHG Calcs'!$CD27="Renewable Diesel",'GHG Calcs'!$CD27="Biodiesel"),VLOOKUP('GHG Calcs'!$CG27,'Van C&amp;T EF'!$D$30:$Q$2315,8,0),IF(OR('GHG Calcs'!$CD27="Electric",'GHG Calcs'!$CD27="Hydrogen Fuel Cell",'GHG Calcs'!$CD27="Renewable Electricity"),VLOOKUP('GHG Calcs'!$CG27,'Van C&amp;T EF'!$D$30:$Q$2315,10,0),VLOOKUP('GHG Calcs'!$CG27,'Van C&amp;T EF'!$D$30:$Q$2315,9,0)))/$ET27,"")</f>
        <v/>
      </c>
      <c r="DS27" s="1419" t="str">
        <f ca="1">IFERROR(IF(OR('GHG Calcs'!$CD27="Diesel",'GHG Calcs'!$CD27="Renewable Diesel",'GHG Calcs'!$CD27="Biodiesel"),VLOOKUP('GHG Calcs'!$CG27,'Van C&amp;T EF'!$D$30:$Q$2315,11,0),IF(OR('GHG Calcs'!$CD27="Electric",'GHG Calcs'!$CD27="Hydrogen Fuel Cell",'GHG Calcs'!$CD27="Renewable Electricity"),VLOOKUP('GHG Calcs'!$CG27,'Van C&amp;T EF'!$D$30:$Q$2315,13,0),VLOOKUP('GHG Calcs'!$CG27,'Van C&amp;T EF'!$D$30:$Q$2315,12,0)))/$ET27,"")</f>
        <v/>
      </c>
      <c r="DT27" s="306" t="str">
        <f ca="1">IFERROR(IF(OR('GHG Calcs'!$CD27="Diesel",'GHG Calcs'!$CD27="Biodiesel",'GHG Calcs'!$CD27="Renewable Diesel"),VLOOKUP('GHG Calcs'!$CG27,'Van C&amp;T EF'!$D$30:$Q$2315,14,0),0)/$ET27,"")</f>
        <v/>
      </c>
      <c r="DU27" s="1419" t="str">
        <f ca="1">IFERROR(IF(OR('GHG Calcs'!$CD27="Diesel",'GHG Calcs'!$CD27="Renewable Diesel",'GHG Calcs'!$CD27="Biodiesel"),VLOOKUP('GHG Calcs'!$CG27,'Shuttle C&amp;T EF'!$D$30:$Q$2315,2,0),VLOOKUP('GHG Calcs'!$CG27,'Shuttle C&amp;T EF'!$D$30:$Q$2315,3,0))/$EU27,"")</f>
        <v/>
      </c>
      <c r="DV27" s="1419" t="str">
        <f ca="1">IFERROR(IF(OR('GHG Calcs'!$CD27="Diesel",'GHG Calcs'!$CD27="Renewable Diesel",'GHG Calcs'!$CD27="Biodiesel"),VLOOKUP('GHG Calcs'!$CG27,'Shuttle C&amp;T EF'!$D$30:$Q$2315,4,0),VLOOKUP('GHG Calcs'!$CG27,'Shuttle C&amp;T EF'!$D$30:$Q$2315,5,0))/$EU27,"")</f>
        <v/>
      </c>
      <c r="DW27" s="1419" t="str">
        <f ca="1">IFERROR(IF(OR('GHG Calcs'!$CD27="Diesel",'GHG Calcs'!$CD27="Renewable Diesel",'GHG Calcs'!$CD27="Biodiesel"),VLOOKUP('GHG Calcs'!$CG27,'Shuttle C&amp;T EF'!$D$30:$Q$2315,6,0),VLOOKUP('GHG Calcs'!$CG27,'Shuttle C&amp;T EF'!$D$30:$Q$2315,7,0))/$EU27,"")</f>
        <v/>
      </c>
      <c r="DX27" s="1419" t="str">
        <f ca="1">IFERROR(IF(OR('GHG Calcs'!$CD27="Diesel",'GHG Calcs'!$CD27="Renewable Diesel",'GHG Calcs'!$CD27="Biodiesel"),VLOOKUP('GHG Calcs'!$CG27,'Shuttle C&amp;T EF'!$D$30:$Q$2315,8,0),IF(OR('GHG Calcs'!$CD27="Electric",'GHG Calcs'!$CD27="Hydrogen Fuel Cell",'GHG Calcs'!$CD27="Renewable Electricity"),VLOOKUP('GHG Calcs'!$CG27,'Shuttle C&amp;T EF'!$D$30:$Q$2315,10,0),VLOOKUP('GHG Calcs'!$CG27,'Shuttle C&amp;T EF'!$D$30:$Q$2315,9,0)))/$EU27,"")</f>
        <v/>
      </c>
      <c r="DY27" s="1419" t="str">
        <f ca="1">IFERROR(IF(OR('GHG Calcs'!$CD27="Diesel",'GHG Calcs'!$CD27="Renewable Diesel",'GHG Calcs'!$CD27="Biodiesel"),VLOOKUP('GHG Calcs'!$CG27,'Shuttle C&amp;T EF'!$D$30:$Q$2315,11,0),IF(OR('GHG Calcs'!$CD27="Electric",'GHG Calcs'!$CD27="Hydrogen Fuel Cell",'GHG Calcs'!$CD27="Renewable Electricity"),VLOOKUP('GHG Calcs'!$CG27,'Shuttle C&amp;T EF'!$D$30:$Q$2315,13,0),VLOOKUP('GHG Calcs'!$CG27,'Shuttle C&amp;T EF'!$D$30:$Q$2315,12,0)))/$EU27,"")</f>
        <v/>
      </c>
      <c r="DZ27" s="1419" t="str">
        <f ca="1">IFERROR(IF(OR('GHG Calcs'!$CD27="Diesel",'GHG Calcs'!$CD27="Biodiesel",'GHG Calcs'!$CD27="Renewable Diesel"),VLOOKUP('GHG Calcs'!$CG27,'Shuttle C&amp;T EF'!$D$30:$Q$2315,14,0),0)/$EU27,"")</f>
        <v/>
      </c>
      <c r="EA27" s="306" t="str">
        <f ca="1">IFERROR((VLOOKUP('GHG Calcs'!$CG27,'Over-Road Coach C&amp;T EF'!$D$29:$N$2314,2,0)+VLOOKUP('GHG Calcs'!$CG27,'Over-Road Coach C&amp;T EF'!$D$29:$N$2314,3,0))/$EV27,"")</f>
        <v/>
      </c>
      <c r="EB27" s="306" t="str">
        <f ca="1">IFERROR((VLOOKUP('GHG Calcs'!$CG27,'Over-Road Coach C&amp;T EF'!$D$29:$N$2314,4,0)+VLOOKUP('GHG Calcs'!$CG27,'Over-Road Coach C&amp;T EF'!$D$29:$N$2314,5,0))/$EV27,"")</f>
        <v/>
      </c>
      <c r="EC27" s="306" t="str">
        <f ca="1">IFERROR((VLOOKUP('GHG Calcs'!$CG27,'Over-Road Coach C&amp;T EF'!$D$29:$N$2314,6,0)+VLOOKUP('GHG Calcs'!$CG27,'Over-Road Coach C&amp;T EF'!$D$29:$N$2314,7,0))/$EV27,"")</f>
        <v/>
      </c>
      <c r="ED27" s="306" t="str">
        <f ca="1">IFERROR(VLOOKUP('GHG Calcs'!$CG27,'Over-Road Coach C&amp;T EF'!$D$29:$N$2314,8,0)/$EV27,"")</f>
        <v/>
      </c>
      <c r="EE27" s="306" t="str">
        <f ca="1">IFERROR(VLOOKUP('GHG Calcs'!$CG27,'Over-Road Coach C&amp;T EF'!$D$29:$N$2314,9,0)/$EV27,"")</f>
        <v/>
      </c>
      <c r="EF27" s="306" t="str">
        <f ca="1">IFERROR((VLOOKUP('GHG Calcs'!$CG27,'Over-Road Coach C&amp;T EF'!$D$29:$N$2314,10,0)+VLOOKUP('GHG Calcs'!$CG27,'Over-Road Coach C&amp;T EF'!$D$29:$N$2314,11,0))/$EV27,"")</f>
        <v/>
      </c>
      <c r="EG27" s="306" t="str">
        <f ca="1">IFERROR(VLOOKUP(DG27,'Co-Benefit Calcs'!$E$76:$I$83,2,0)/'Rail C&amp;T EF'!$K$14,"")</f>
        <v/>
      </c>
      <c r="EH27" s="306" t="str">
        <f ca="1">IFERROR(VLOOKUP(DG27,'Co-Benefit Calcs'!$E$76:$I$83,3,0)/'Rail C&amp;T EF'!$K$14,"")</f>
        <v/>
      </c>
      <c r="EI27" s="306" t="str">
        <f ca="1">IFERROR(VLOOKUP(DG27,'Co-Benefit Calcs'!$E$76:$I$83,4,0)/'Rail C&amp;T EF'!$K$14,"")</f>
        <v/>
      </c>
      <c r="EJ27" s="306" t="str">
        <f ca="1">IFERROR(IF('GHG Calcs'!$CD27="Gasoline",0,VLOOKUP(DG27,'Co-Benefit Calcs'!$E$76:$I$83,5,0))/'Rail C&amp;T EF'!$K$14,"")</f>
        <v/>
      </c>
      <c r="EK27" s="306" t="str">
        <f ca="1">IFERROR(VLOOKUP('GHG Calcs'!CF27,'Rail C&amp;T EF'!$A$43:$Y$133,IF(DH27&gt;750,23, IF(DH27&gt;=600,20, IF(DH27&gt;=300,17, IF(DH27&gt;=175,14, IF(DH27&gt;=100,11, IF(DH27&gt;=75,8, IF(DH27&gt;=50,5, 2))))))),0) * IF($DH27&gt;=750,'Rail C&amp;T EF'!$K$18,'Rail C&amp;T EF'!$K$19) * IF(OR('GHG Calcs'!CD27="Diesel", 'GHG Calcs'!CD27="Renewable Diesel", 'GHG Calcs'!CD27="Biodiesel"),'Rail C&amp;T EF'!$B$141,'Rail C&amp;T EF'!$B$142),"")</f>
        <v/>
      </c>
      <c r="EL27" s="306" t="str">
        <f ca="1">IFERROR(VLOOKUP('GHG Calcs'!$CF27,'Rail C&amp;T EF'!$A$43:$Y$133,IF(DH27&gt;750,24, IF(DH27&gt;=600,21, IF(DH27&gt;=300,18, IF(DH27&gt;=175,15, IF(DH27&gt;=100,12, IF(DH27&gt;=75,9, IF(DH27&gt;=50,6, 3))))))),0) * IF($DH27&gt;=750,'Rail C&amp;T EF'!$K$18,'Rail C&amp;T EF'!$K$19),"")</f>
        <v/>
      </c>
      <c r="EM27" s="306" t="str">
        <f ca="1">IFERROR(VLOOKUP('GHG Calcs'!$CF27,'Rail C&amp;T EF'!$A$43:$Y$133,IF(DH27&gt;750,25, IF(DH27&gt;=600,22, IF(DH27&gt;=300,19, IF(DH27&gt;=175,16, IF(DH27&gt;=100,13, IF(DH27&gt;=75,10, IF(DH27&gt;=50,7, 4))))))),0) * IF($DH27&gt;=750,'Rail C&amp;T EF'!$K$18,'Rail C&amp;T EF'!$K$19)*'Rail C&amp;T EF'!$B$146,"")</f>
        <v/>
      </c>
      <c r="EN27" s="306" t="str">
        <f ca="1">IFERROR(IF('GHG Calcs'!CD27="Gasoline",0,VLOOKUP('GHG Calcs'!$CF27,'Rail C&amp;T EF'!$A$43:$Y$133,IF(DH27&gt;750,25, IF(DH27&gt;=600,22, IF(DH27&gt;=300,19, IF(DH27&gt;=175,16, IF(DH27&gt;=100,13, IF(DH27&gt;=75,10, IF(DH27&gt;=50,7, 4))))))),0) * IF($DH27&gt;=750,'Rail C&amp;T EF'!$K$18,'Rail C&amp;T EF'!$K$19)),"")</f>
        <v/>
      </c>
      <c r="EO27" s="306" t="str">
        <f ca="1">IFERROR(VLOOKUP('GHG Calcs'!$CF27,'Ferry C&amp;T EF'!$A$106:$AK$196,IF(DH27&gt;=3301,35, IF(DH27&gt;=1901,31, IF(DH27&gt;=751,27, IF(DH27&gt;=501,23, IF(DH27&gt;=251,19, IF(DH27&gt;=176,15, IF(DH27&gt;=121,11, IF(DH27&gt;=51,7, 3)))))))),0),"")</f>
        <v/>
      </c>
      <c r="EP27" s="306" t="str">
        <f ca="1">IFERROR(VLOOKUP('GHG Calcs'!$CF27,'Ferry C&amp;T EF'!$A$106:$AK$196,IF(DH27&gt;=3301,34, IF(DH27&gt;=1901,30, IF(DH27&gt;=751,26, IF(DH27&gt;=501,22, IF(DH27&gt;=251,18, IF(DH27&gt;=176,14, IF(DH27&gt;=121,10, IF(DH27&gt;=51,6, 2)))))))),0),"")</f>
        <v/>
      </c>
      <c r="EQ27" s="306" t="str">
        <f ca="1">IFERROR(VLOOKUP('GHG Calcs'!$CF27,'Ferry C&amp;T EF'!$A$106:$AK$196,IF(DH27&gt;=3301,37, IF(DH27&gt;=1901,33, IF(DH27&gt;=751,29, IF(DH27&gt;=501,25, IF(DH27&gt;=251,21, IF(DH27&gt;=176,17, IF(DH27&gt;=121,13, IF(DH27&gt;=51,9, 5)))))))),0),"")</f>
        <v/>
      </c>
      <c r="ER27" s="306" t="str">
        <f ca="1">IFERROR(IF('GHG Calcs'!$CD27="Gasoline",0,VLOOKUP('GHG Calcs'!$CF27,'Ferry C&amp;T EF'!$A$106:$AK$196,IF(DH27&gt;=3301,36, IF(DH27&gt;=1901,32, IF(DH27&gt;=751,28, IF(DH27&gt;=501,24, IF(DH27&gt;=251,20, IF(DH27&gt;=176,16, IF(DH27&gt;=121,12, IF(DH27&gt;=51,8, 4)))))))),0)),"")</f>
        <v/>
      </c>
      <c r="ES27" s="1419" t="str">
        <f ca="1">IFERROR(IF('GHG Calcs'!$CD27="Gasoline",VLOOKUP('GHG Calcs'!$CG27,'Fuel Consumption'!$A$31:$L$2316,3,0),IF(OR('GHG Calcs'!$CD27="CNG",'GHG Calcs'!$CD27="LNG",'GHG Calcs'!$CD27="Renewable Natural Gas"),VLOOKUP('GHG Calcs'!$CG27,'Fuel Consumption'!$A$31:$L$2316,4,0)*VLOOKUP('GHG Calcs'!$CD27,'GHG EF'!$B$10:$H$19,4,0),VLOOKUP('GHG Calcs'!$CG27,'Fuel Consumption'!$A$31:$L$2316,2,0)*VLOOKUP('GHG Calcs'!$AD27,'GHG EF'!$B$10:$H$19,4,0))),"")</f>
        <v/>
      </c>
      <c r="ET27" s="1419" t="str">
        <f ca="1">IFERROR(IF(OR('GHG Calcs'!$CD27="Diesel",'GHG Calcs'!$CD27="Renewable Diesel",'GHG Calcs'!$CD27="Biodiesel"),VLOOKUP('GHG Calcs'!$CG27,'Fuel Consumption'!$A$31:$L$2316,6,0)*VLOOKUP('GHG Calcs'!$CD27,'GHG EF'!$B$10:$H$19,4,0),VLOOKUP('GHG Calcs'!$CG27,'Fuel Consumption'!$A$31:$L$2316,7,0)*VLOOKUP('GHG Calcs'!$CD27,'GHG EF'!$B$10:$H$19,5,0)),"")</f>
        <v/>
      </c>
      <c r="EU27" s="1419" t="str">
        <f ca="1">IFERROR(IF(OR('GHG Calcs'!$CD27="Diesel",'GHG Calcs'!$CD27="Renewable Diesel",'GHG Calcs'!$CD27="Biodiesel"),VLOOKUP('GHG Calcs'!$CG27,'Fuel Consumption'!$A$31:$L$2316,9,0)*VLOOKUP('GHG Calcs'!$CD27,'GHG EF'!$B$10:$H$19,4,0),VLOOKUP('GHG Calcs'!$CG27,'Fuel Consumption'!$A$31:$L$2316,10,0)*VLOOKUP('GHG Calcs'!$CD27,'GHG EF'!$B$10:$H$19,5,0)),"")</f>
        <v/>
      </c>
      <c r="EV27" s="1419" t="str">
        <f ca="1">IFERROR(VLOOKUP('GHG Calcs'!$CG27,'Fuel Consumption'!$A$31:$L$2316,12,0)*VLOOKUP('GHG Calcs'!$CD27,'GHG EF'!$B$10:$H$19,4,0),"")</f>
        <v/>
      </c>
      <c r="EW27" s="1373" t="str">
        <f ca="1">IFERROR(IF(OR('GHG Calcs'!CD27=Defaults!$I$4, 'GHG Calcs'!CD27=Defaults!$I$6, 'GHG Calcs'!CD27=Defaults!$I$8),'GHG Calcs'!CE27,IF('GHG Calcs'!CD27=Defaults!$I$3, 'GHG Calcs'!CE27*'GHG EF'!$C$11/'GHG EF'!$C$12,""))*('GHG Calcs'!I27-'GHG Calcs'!H27),"")</f>
        <v/>
      </c>
      <c r="EX27" s="1373" t="str">
        <f ca="1">IFERROR(IF('GHG Calcs'!CD27=Defaults!$I$5,'GHG Calcs'!CE27,"")*('GHG Calcs'!I27-'GHG Calcs'!H27),"")</f>
        <v/>
      </c>
      <c r="EY27" s="1420" t="str">
        <f ca="1">IFERROR('GHG Calcs'!CE27*VLOOKUP('GHG Calcs'!CD27,'Fuel &amp; Travel Costs'!$B$10:$C$19,2,0)*('GHG Calcs'!I27-'GHG Calcs'!H27),"")</f>
        <v/>
      </c>
      <c r="EZ27" s="1420" t="str">
        <f t="shared" ca="1" si="0"/>
        <v/>
      </c>
      <c r="FA27" s="306">
        <f ca="1">INDIRECT("'Quantifiable Component "&amp;$B27&amp;"'!"&amp;$D27&amp;ROW('Quantifiable Component 1'!$77:$77))</f>
        <v>0</v>
      </c>
      <c r="FB27" s="306">
        <f ca="1">INDIRECT("'Quantifiable Component "&amp;$B27&amp;"'!"&amp;$D27&amp;ROW('Quantifiable Component 1'!$78:$78))</f>
        <v>0</v>
      </c>
      <c r="FC27" s="306">
        <f ca="1">INDIRECT("'Quantifiable Component "&amp;$B27&amp;"'!"&amp;$D27&amp;ROW('Quantifiable Component 1'!$79:$79))</f>
        <v>0</v>
      </c>
      <c r="FD27" s="306">
        <f ca="1">INDIRECT("'Quantifiable Component "&amp;$B27&amp;"'!"&amp;$D27&amp;ROW('Quantifiable Component 1'!$80:$80))</f>
        <v>0</v>
      </c>
      <c r="FE27" s="306">
        <f ca="1">INDIRECT("'Quantifiable Component "&amp;$B27&amp;"'!"&amp;$D27&amp;ROW('Quantifiable Component 1'!$81:$81))</f>
        <v>0</v>
      </c>
    </row>
    <row r="28" spans="1:161" s="117" customFormat="1" x14ac:dyDescent="0.35">
      <c r="A28" s="1647"/>
      <c r="B28" s="1367">
        <v>6</v>
      </c>
      <c r="C28" s="1380">
        <v>2</v>
      </c>
      <c r="D28" s="1368" t="str">
        <f>'GHG Calcs'!D28</f>
        <v>H</v>
      </c>
      <c r="E28" s="1416">
        <f ca="1">'GHG Calcs'!U28</f>
        <v>0</v>
      </c>
      <c r="F28" s="1416">
        <f ca="1">'GHG Calcs'!W28</f>
        <v>0</v>
      </c>
      <c r="G28" s="1417" t="str">
        <f ca="1">IFERROR(VLOOKUP('GHG Calcs'!K28,'Auto C&amp;T EF'!$C$35:$K$2662,2,0)*E28,"")</f>
        <v/>
      </c>
      <c r="H28" s="1417" t="str">
        <f ca="1">IFERROR(VLOOKUP('GHG Calcs'!L28,'Auto C&amp;T EF'!$C$35:$K$2662,2,0)*F28,"")</f>
        <v/>
      </c>
      <c r="I28" s="1417" t="str">
        <f ca="1">IFERROR(VLOOKUP('GHG Calcs'!$K28,'Auto C&amp;T EF'!$C$35:$K$2662,3,0)*$E28,"")</f>
        <v/>
      </c>
      <c r="J28" s="1417" t="str">
        <f ca="1">IFERROR(VLOOKUP('GHG Calcs'!$L28,'Auto C&amp;T EF'!$C$35:$K$2662,3,0)*$F28,"")</f>
        <v/>
      </c>
      <c r="K28" s="1417" t="str">
        <f ca="1">IFERROR((VLOOKUP('GHG Calcs'!$K28,'Auto C&amp;T EF'!$C$35:$K$2662,5,0)+VLOOKUP('GHG Calcs'!$K28,'Auto C&amp;T EF'!$C$35:$K$2662,6,0)+VLOOKUP('GHG Calcs'!$K28,'Auto C&amp;T EF'!$C$35:$K$2662,7,0))*$E28,"")</f>
        <v/>
      </c>
      <c r="L28" s="1417" t="str">
        <f ca="1">IFERROR((VLOOKUP('GHG Calcs'!$L28,'Auto C&amp;T EF'!$C$35:$K$2662,5,0)+VLOOKUP('GHG Calcs'!$L28,'Auto C&amp;T EF'!$C$35:$K$2662,6,0)+VLOOKUP('GHG Calcs'!$L28,'Auto C&amp;T EF'!$C$35:$K$2662,7,0))*$F28,"")</f>
        <v/>
      </c>
      <c r="M28" s="1417" t="str">
        <f ca="1">IFERROR(VLOOKUP('GHG Calcs'!$K28,'Auto C&amp;T EF'!$C$35:$K$2662,8,0)*$E28,"")</f>
        <v/>
      </c>
      <c r="N28" s="1417" t="str">
        <f ca="1">IFERROR(VLOOKUP('GHG Calcs'!$L28,'Auto C&amp;T EF'!$C$35:$K$2662,8,0)*$F28,"")</f>
        <v/>
      </c>
      <c r="O28" s="1418">
        <f ca="1">IFERROR(AVERAGE(G28:H28)*('GHG Calcs'!I28-'GHG Calcs'!H28),0)</f>
        <v>0</v>
      </c>
      <c r="P28" s="1418">
        <f ca="1">IFERROR(AVERAGE(I28:J28)*('GHG Calcs'!I28-'GHG Calcs'!H28),0)</f>
        <v>0</v>
      </c>
      <c r="Q28" s="1418">
        <f ca="1">IFERROR(AVERAGE(K28:L28)*('GHG Calcs'!I28-'GHG Calcs'!H28),0)</f>
        <v>0</v>
      </c>
      <c r="R28" s="1418">
        <f ca="1">IFERROR(AVERAGE(M28:N28)*('GHG Calcs'!I28-'GHG Calcs'!H28),0)</f>
        <v>0</v>
      </c>
      <c r="S28" s="1418">
        <f ca="1">IFERROR(AVERAGE(E28*VLOOKUP('GHG Calcs'!K28,'Auto C&amp;T EF'!$C$35:$L$2662,10,0),F28*VLOOKUP('GHG Calcs'!L28,'Auto C&amp;T EF'!$C$35:$L$2662,10,0))*('GHG Calcs'!I28-'GHG Calcs'!H28),0)</f>
        <v>0</v>
      </c>
      <c r="T28" s="1379">
        <f ca="1">INDIRECT("'Quantifiable Component "&amp;$B28&amp;"'!"&amp;$D28&amp;ROW('Quantifiable Component 1'!$47:$47))</f>
        <v>0</v>
      </c>
      <c r="U28" s="1379">
        <f ca="1">INDIRECT("'Quantifiable Component "&amp;$B28&amp;"'!"&amp;$D28&amp;ROW('Quantifiable Component 1'!$48:$48))</f>
        <v>0</v>
      </c>
      <c r="V28" s="306" t="str">
        <f ca="1">IFERROR(IF('GHG Calcs'!$AD28="Gasoline",VLOOKUP('GHG Calcs'!$AH28,'Bus C&amp;T EF'!$D$30:$V$2315,3,0),IF(OR('GHG Calcs'!$AD28="CNG",'GHG Calcs'!$AD28="LNG",'GHG Calcs'!$AD28="Renewable Natural Gas"),VLOOKUP('GHG Calcs'!$AH28,'Bus C&amp;T EF'!$D$30:$V$2315,4,0),VLOOKUP('GHG Calcs'!$AH28,'Bus C&amp;T EF'!$D$30:$V$2315,2,0)))/IF('GHG Calcs'!AE28&gt;0,$BF28,1),"")</f>
        <v/>
      </c>
      <c r="W28" s="306" t="str">
        <f ca="1">IFERROR(IF('GHG Calcs'!$AD28="Gasoline",VLOOKUP('GHG Calcs'!$AH28,'Bus C&amp;T EF'!$D$30:$V$2315,6,0),IF(OR('GHG Calcs'!$AD28="CNG",'GHG Calcs'!$AD28="LNG",'GHG Calcs'!$AD28="Renewable Natural Gas"),VLOOKUP('GHG Calcs'!$AH28,'Bus C&amp;T EF'!$D$30:$V$2315,7,0),VLOOKUP('GHG Calcs'!$AH28,'Bus C&amp;T EF'!$D$30:$V$2315,5,0)))/IF('GHG Calcs'!AE28&gt;0,$BF28,1),"")</f>
        <v/>
      </c>
      <c r="X28" s="1419" t="str">
        <f ca="1">IFERROR(IF('GHG Calcs'!$AD28="Gasoline",VLOOKUP('GHG Calcs'!$AH28,'Bus C&amp;T EF'!$D$30:$V$2315,9,0),IF(OR('GHG Calcs'!$AD28="CNG",'GHG Calcs'!$AD28="LNG",'GHG Calcs'!$AD28="Renewable Natural Gas"),VLOOKUP('GHG Calcs'!$AH28,'Bus C&amp;T EF'!$D$30:$V$2315,10,0),VLOOKUP('GHG Calcs'!$AH28,'Bus C&amp;T EF'!$D$30:$V$2315,8,0)))/IF('GHG Calcs'!AE28&gt;0,$BF28,1),"")</f>
        <v/>
      </c>
      <c r="Y28" s="1419" t="str">
        <f ca="1">IFERROR(IF('GHG Calcs'!$AD28="Gasoline",VLOOKUP('GHG Calcs'!$AH28,'Bus C&amp;T EF'!$D$30:$V$2315,12,0),IF(OR('GHG Calcs'!$AD28="CNG",'GHG Calcs'!$AD28="LNG",'GHG Calcs'!$AD28="Renewable Natural Gas"),VLOOKUP('GHG Calcs'!$AH28,'Bus C&amp;T EF'!$D$30:$V$2315,13,0),IF(OR('GHG Calcs'!$AD28="Electric",'GHG Calcs'!$AD28="Hydrogen Fuel Cell",'GHG Calcs'!$AD28="Renewable Electricity"),VLOOKUP('GHG Calcs'!$AH28,'Bus C&amp;T EF'!$D$30:$V$2315,14,0),VLOOKUP('GHG Calcs'!$AH28,'Bus C&amp;T EF'!$D$30:$V$2315,11,0))))/IF('GHG Calcs'!AE28&gt;0,$BF28,1),"")</f>
        <v/>
      </c>
      <c r="Z28" s="1419" t="str">
        <f ca="1">IFERROR(IF('GHG Calcs'!$AD28="Gasoline",VLOOKUP('GHG Calcs'!$AH28,'Bus C&amp;T EF'!$D$30:$V$2315,16,0),IF(OR('GHG Calcs'!$AD28="CNG",'GHG Calcs'!$AD28="LNG",'GHG Calcs'!$AD28="Renewable Natural Gas"),VLOOKUP('GHG Calcs'!$AH28,'Bus C&amp;T EF'!$D$30:$V$2315,17,0),IF(OR('GHG Calcs'!$AD28="Electric",'GHG Calcs'!$AD28="Hydrogen Fuel Cell",'GHG Calcs'!$AD28="Renewable Electricity"),VLOOKUP('GHG Calcs'!$AH28,'Bus C&amp;T EF'!$D$30:$V$2315,18,0),VLOOKUP('GHG Calcs'!$AH28,'Bus C&amp;T EF'!$D$30:$V$2315,15,0))))/IF('GHG Calcs'!AE28&gt;0,$BF28,1),"")</f>
        <v/>
      </c>
      <c r="AA28" s="306" t="str">
        <f ca="1">IFERROR(IF('GHG Calcs'!$AD28="Gasoline",0,VLOOKUP('GHG Calcs'!$AH28,'Bus C&amp;T EF'!$D$30:$V$2315,19,0))/IF('GHG Calcs'!AE28&gt;0,$BF28,1),"")</f>
        <v/>
      </c>
      <c r="AB28" s="1419" t="str">
        <f ca="1">IFERROR(IF(OR('GHG Calcs'!$AD28="Diesel",'GHG Calcs'!$AD28="Renewable Diesel",'GHG Calcs'!$AD28="Biodiesel"),VLOOKUP('GHG Calcs'!$AH28,'Van C&amp;T EF'!$D$30:$Q$2315,2,0),VLOOKUP('GHG Calcs'!$AH28,'Van C&amp;T EF'!$D$30:$Q$2315,3,0))/IF('GHG Calcs'!AE28&gt;0,$BG28,1),"")</f>
        <v/>
      </c>
      <c r="AC28" s="1419" t="str">
        <f ca="1">IFERROR(IF(OR('GHG Calcs'!$AD28="Diesel",'GHG Calcs'!$AD28="Renewable Diesel",'GHG Calcs'!$AD28="Biodiesel"),VLOOKUP('GHG Calcs'!$AH28,'Van C&amp;T EF'!$D$30:$Q$2315,4,0),VLOOKUP('GHG Calcs'!$AH28,'Van C&amp;T EF'!$D$30:$Q$2315,5,0))/IF('GHG Calcs'!AE28&gt;0,$BG28,1),"")</f>
        <v/>
      </c>
      <c r="AD28" s="1419" t="str">
        <f ca="1">IFERROR(IF(OR('GHG Calcs'!$AD28="Diesel",'GHG Calcs'!$AD28="Renewable Diesel",'GHG Calcs'!$AD28="Biodiesel"),VLOOKUP('GHG Calcs'!$AH28,'Van C&amp;T EF'!$D$30:$Q$2315,6,0),VLOOKUP('GHG Calcs'!$AH28,'Van C&amp;T EF'!$D$30:$Q$2315,7,0))/IF('GHG Calcs'!AE28&gt;0,$BG28,1),"")</f>
        <v/>
      </c>
      <c r="AE28" s="1419" t="str">
        <f ca="1">IFERROR(IF(OR('GHG Calcs'!$AD28="Diesel",'GHG Calcs'!$AD28="Renewable Diesel",'GHG Calcs'!$AD28="Biodiesel"),VLOOKUP('GHG Calcs'!$AH28,'Van C&amp;T EF'!$D$30:$Q$2315,8,0),IF(OR('GHG Calcs'!$AD28="Electric",'GHG Calcs'!$AD28="Hydrogen Fuel Cell",'GHG Calcs'!$AD28="Renewable Electricity"),VLOOKUP('GHG Calcs'!$AH28,'Van C&amp;T EF'!$D$30:$Q$2315,10,0),VLOOKUP('GHG Calcs'!$AH28,'Van C&amp;T EF'!$D$30:$Q$2315,9,0)))/IF('GHG Calcs'!AE28&gt;0,$BG28,1),"")</f>
        <v/>
      </c>
      <c r="AF28" s="1419" t="str">
        <f ca="1">IFERROR(IF(OR('GHG Calcs'!$AD28="Diesel",'GHG Calcs'!$AD28="Renewable Diesel",'GHG Calcs'!$AD28="Biodiesel"),VLOOKUP('GHG Calcs'!$AH28,'Van C&amp;T EF'!$D$30:$Q$2315,11,0),IF(OR('GHG Calcs'!$AD28="Electric",'GHG Calcs'!$AD28="Hydrogen Fuel Cell",'GHG Calcs'!$AD28="Renewable Electricity"),VLOOKUP('GHG Calcs'!$AH28,'Van C&amp;T EF'!$D$30:$Q$2315,13,0),VLOOKUP('GHG Calcs'!$AH28,'Van C&amp;T EF'!$D$30:$Q$2315,12,0)))/IF('GHG Calcs'!AE28&gt;0,$BG28,1),"")</f>
        <v/>
      </c>
      <c r="AG28" s="306">
        <f ca="1">IFERROR(IF(OR('GHG Calcs'!$AD28="Diesel",'GHG Calcs'!$AD28="Biodiesel",'GHG Calcs'!$AD28="Renewable Diesel"),VLOOKUP('GHG Calcs'!$AH28,'Van C&amp;T EF'!$D$30:$Q$2315,14,0),0)/IF('GHG Calcs'!AE28&gt;0,$BG28,1),"")</f>
        <v>0</v>
      </c>
      <c r="AH28" s="1419" t="str">
        <f ca="1">IFERROR(IF(OR('GHG Calcs'!$AD28="Diesel",'GHG Calcs'!$AD28="Renewable Diesel",'GHG Calcs'!$AD28="Biodiesel"),VLOOKUP('GHG Calcs'!$AH28,'Shuttle C&amp;T EF'!$D$30:$Q$2315,2,0),VLOOKUP('GHG Calcs'!$AH28,'Shuttle C&amp;T EF'!$D$30:$Q$2315,3,0))/IF('GHG Calcs'!AE28&gt;0,$BH28,1),"")</f>
        <v/>
      </c>
      <c r="AI28" s="1419" t="str">
        <f ca="1">IFERROR(IF(OR('GHG Calcs'!$AD28="Diesel",'GHG Calcs'!$AD28="Renewable Diesel",'GHG Calcs'!$AD28="Biodiesel"),VLOOKUP('GHG Calcs'!$AH28,'Shuttle C&amp;T EF'!$D$30:$Q$2315,4,0),VLOOKUP('GHG Calcs'!$AH28,'Shuttle C&amp;T EF'!$D$30:$Q$2315,5,0))/IF('GHG Calcs'!AE28&gt;0,$BH28,1),"")</f>
        <v/>
      </c>
      <c r="AJ28" s="1419" t="str">
        <f ca="1">IFERROR(IF(OR('GHG Calcs'!$AD28="Diesel",'GHG Calcs'!$AD28="Renewable Diesel",'GHG Calcs'!$AD28="Biodiesel"),VLOOKUP('GHG Calcs'!$AH28,'Shuttle C&amp;T EF'!$D$30:$Q$2315,6,0),VLOOKUP('GHG Calcs'!$AH28,'Shuttle C&amp;T EF'!$D$30:$Q$2315,7,0))/IF('GHG Calcs'!AE28&gt;0,$BH28,1),"")</f>
        <v/>
      </c>
      <c r="AK28" s="1419" t="str">
        <f ca="1">IFERROR(IF(OR('GHG Calcs'!$AD28="Diesel",'GHG Calcs'!$AD28="Renewable Diesel",'GHG Calcs'!$AD28="Biodiesel"),VLOOKUP('GHG Calcs'!$AH28,'Shuttle C&amp;T EF'!$D$30:$Q$2315,8,0),IF(OR('GHG Calcs'!$AD28="Electric",'GHG Calcs'!$AD28="Hydrogen Fuel Cell",'GHG Calcs'!$AD28="Renewable Electricity"),VLOOKUP('GHG Calcs'!$AH28,'Shuttle C&amp;T EF'!$D$30:$Q$2315,10,0),VLOOKUP('GHG Calcs'!$AH28,'Shuttle C&amp;T EF'!$D$30:$Q$2315,9,0)))/IF('GHG Calcs'!AE28&gt;0,$BH28,1),"")</f>
        <v/>
      </c>
      <c r="AL28" s="1419" t="str">
        <f ca="1">IFERROR(IF(OR('GHG Calcs'!$AD28="Diesel",'GHG Calcs'!$AD28="Renewable Diesel",'GHG Calcs'!$AD28="Biodiesel"),VLOOKUP('GHG Calcs'!$AH28,'Shuttle C&amp;T EF'!$D$30:$Q$2315,11,0),IF(OR('GHG Calcs'!$AD28="Electric",'GHG Calcs'!$AD28="Hydrogen Fuel Cell",'GHG Calcs'!$AD28="Renewable Electricity"),VLOOKUP('GHG Calcs'!$AH28,'Shuttle C&amp;T EF'!$D$30:$Q$2315,13,0),VLOOKUP('GHG Calcs'!$AH28,'Shuttle C&amp;T EF'!$D$30:$Q$2315,12,0)))/IF('GHG Calcs'!AE28&gt;0,$BH28,1),"")</f>
        <v/>
      </c>
      <c r="AM28" s="1419">
        <f ca="1">IFERROR(IF(OR('GHG Calcs'!$AD28="Diesel",'GHG Calcs'!$AD28="Biodiesel",'GHG Calcs'!$AD28="Renewable Diesel"),VLOOKUP('GHG Calcs'!$AH28,'Shuttle C&amp;T EF'!$D$30:$Q$2315,14,0),0)/IF('GHG Calcs'!AE28&gt;0,$BH28,1),"")</f>
        <v>0</v>
      </c>
      <c r="AN28" s="306" t="str">
        <f ca="1">IFERROR((VLOOKUP('GHG Calcs'!$AH28,'Over-Road Coach C&amp;T EF'!$D$29:$N$2314,2,0)+VLOOKUP('GHG Calcs'!$AH28,'Over-Road Coach C&amp;T EF'!$D$29:$N$2314,3,0))/IF('GHG Calcs'!AE28&gt;0,$BI28,1),"")</f>
        <v/>
      </c>
      <c r="AO28" s="306" t="str">
        <f ca="1">IFERROR((VLOOKUP('GHG Calcs'!$AH28,'Over-Road Coach C&amp;T EF'!$D$29:$N$2314,4,0)+VLOOKUP('GHG Calcs'!$AH28,'Over-Road Coach C&amp;T EF'!$D$29:$N$2314,5,0))/IF('GHG Calcs'!AE28&gt;0,$BI28,1),"")</f>
        <v/>
      </c>
      <c r="AP28" s="306" t="str">
        <f ca="1">IFERROR((VLOOKUP('GHG Calcs'!$AH28,'Over-Road Coach C&amp;T EF'!$D$29:$N$2314,6,0)+VLOOKUP('GHG Calcs'!$AH28,'Over-Road Coach C&amp;T EF'!$D$29:$N$2314,7,0))/IF('GHG Calcs'!AE28&gt;0,$BI28,1),"")</f>
        <v/>
      </c>
      <c r="AQ28" s="306" t="str">
        <f ca="1">IFERROR(VLOOKUP('GHG Calcs'!$AH28,'Over-Road Coach C&amp;T EF'!$D$29:$N$2314,8,0)/IF('GHG Calcs'!AE28&gt;0,$BI28,1),"")</f>
        <v/>
      </c>
      <c r="AR28" s="306" t="str">
        <f ca="1">IFERROR(VLOOKUP('GHG Calcs'!$AH28,'Over-Road Coach C&amp;T EF'!$D$29:$N$2314,9,0)/IF('GHG Calcs'!AE28&gt;0,$BI28,1),"")</f>
        <v/>
      </c>
      <c r="AS28" s="306" t="str">
        <f ca="1">IFERROR((VLOOKUP('GHG Calcs'!$AH28,'Over-Road Coach C&amp;T EF'!$D$29:$N$2314,10,0)+VLOOKUP('GHG Calcs'!$AH28,'Over-Road Coach C&amp;T EF'!$D$29:$N$2314,11,0))/IF('GHG Calcs'!AE28&gt;0,$BI28,1),"")</f>
        <v/>
      </c>
      <c r="AT28" s="306" t="str">
        <f ca="1">IFERROR(VLOOKUP(T28,'Co-Benefit Calcs'!$E$76:$I$83,2,0)/IF('GHG Calcs'!$AE28&gt;0,'Rail C&amp;T EF'!$K$14,1),"")</f>
        <v/>
      </c>
      <c r="AU28" s="306" t="str">
        <f ca="1">IFERROR(VLOOKUP(T28,'Co-Benefit Calcs'!$E$76:$I$83,3,0)/IF('GHG Calcs'!$AE28&gt;0,'Rail C&amp;T EF'!$K$14,1),"")</f>
        <v/>
      </c>
      <c r="AV28" s="306" t="str">
        <f ca="1">IFERROR(VLOOKUP(T28,'Co-Benefit Calcs'!$E$76:$I$83,4,0)/IF('GHG Calcs'!$AE28&gt;0,'Rail C&amp;T EF'!$K$14,1),"")</f>
        <v/>
      </c>
      <c r="AW28" s="306" t="str">
        <f ca="1">IFERROR(IF('GHG Calcs'!$AD28="Gasoline",0,VLOOKUP(T28,'Co-Benefit Calcs'!$E$76:$I$83,5,0))/IF('GHG Calcs'!$AE28&gt;0,'Rail C&amp;T EF'!$K$14,1),"")</f>
        <v/>
      </c>
      <c r="AX28" s="306" t="str">
        <f ca="1">IFERROR(VLOOKUP('GHG Calcs'!$AG28,'Rail C&amp;T EF'!$A$43:$Y$133,IF(U28&gt;750,23, IF(U28&gt;=600,20, IF(U28&gt;=300,17, IF(U28&gt;=175,14, IF(U28&gt;=100,11, IF(U28&gt;=75,8, IF(U28&gt;=50,5, 2))))))),0) * IF($U28&gt;=750,'Rail C&amp;T EF'!$K$18,'Rail C&amp;T EF'!$K$19) * IF('GHG Calcs'!$AE28&gt;0,1,'Rail C&amp;T EF'!$B$149) * IF(OR('GHG Calcs'!AD28="Diesel", 'GHG Calcs'!AD28="Renewable Diesel", 'GHG Calcs'!AD28="Biodiesel"),'Rail C&amp;T EF'!$B$141,'Rail C&amp;T EF'!$B$142),"")</f>
        <v/>
      </c>
      <c r="AY28" s="306" t="str">
        <f ca="1">IFERROR(VLOOKUP('GHG Calcs'!$AG28,'Rail C&amp;T EF'!$A$43:$Y$133,IF(U28&gt;750,24, IF(U28&gt;=600,21, IF(U28&gt;=300,18, IF(U28&gt;=175,15, IF(U28&gt;=100,12, IF(U28&gt;=75,9, IF(U28&gt;=50,6, 3))))))),0) * IF($U28&gt;=750,'Rail C&amp;T EF'!$K$18,'Rail C&amp;T EF'!$K$19) * IF('GHG Calcs'!$AE28&gt;0,1,'Rail C&amp;T EF'!$B$149),"")</f>
        <v/>
      </c>
      <c r="AZ28" s="306" t="str">
        <f ca="1">IFERROR(VLOOKUP('GHG Calcs'!$AG28,'Rail C&amp;T EF'!$A$43:$Y$133,IF(U28&gt;750,25, IF(U28&gt;=600,22, IF(U28&gt;=300,19, IF(U28&gt;=175,16, IF(U28&gt;=100,13, IF(U28&gt;=75,10, IF(U28&gt;=50,7, 4))))))),0) * IF($U28&gt;=750,'Rail C&amp;T EF'!$K$18,'Rail C&amp;T EF'!$K$19) * IF('GHG Calcs'!$AE28&gt;0,1,'Rail C&amp;T EF'!$B$149)*'Rail C&amp;T EF'!$B$146,"")</f>
        <v/>
      </c>
      <c r="BA28" s="306" t="str">
        <f ca="1">IFERROR(IF('GHG Calcs'!$AD28="Gasoline",0,VLOOKUP('GHG Calcs'!$AG28,'Rail C&amp;T EF'!$A$43:$Y$133,IF(U28&gt;750,25, IF(U28&gt;=600,22, IF(U28&gt;=300,19, IF(U28&gt;=175,16, IF(U28&gt;=100,13, IF(U28&gt;=75,10, IF(U28&gt;=50,7, 4))))))),0) * IF($U28&gt;=750,'Rail C&amp;T EF'!$K$18,'Rail C&amp;T EF'!$K$19) * IF('GHG Calcs'!$AE28&gt;0,1,'Rail C&amp;T EF'!$B$149)),"")</f>
        <v/>
      </c>
      <c r="BB28" s="306" t="str">
        <f ca="1">IFERROR(VLOOKUP('GHG Calcs'!$AG28,'Ferry C&amp;T EF'!$A$106:$AK$196,IF(U28&gt;=3301,35, IF(U28&gt;=1901,31, IF(U28&gt;=751,27, IF(U28&gt;=501,23, IF(U28&gt;=251,19, IF(U28&gt;=176,15, IF(U28&gt;=121,11, IF(U28&gt;=51,7, 3)))))))),0),"")</f>
        <v/>
      </c>
      <c r="BC28" s="306" t="str">
        <f ca="1">IFERROR(VLOOKUP('GHG Calcs'!$AG28,'Ferry C&amp;T EF'!$A$106:$AK$196,IF(U28&gt;=3301,34, IF(U28&gt;=1901,30, IF(U28&gt;=751,26, IF(U28&gt;=501,22, IF(U28&gt;=251,18, IF(U28&gt;=176,14, IF(U28&gt;=121,10, IF(U28&gt;=51,6, 2)))))))),0),"")</f>
        <v/>
      </c>
      <c r="BD28" s="306" t="str">
        <f ca="1">IFERROR(VLOOKUP('GHG Calcs'!$AG28,'Ferry C&amp;T EF'!$A$106:$AK$196,IF(U28&gt;=3301,37, IF(U28&gt;=1901,33, IF(U28&gt;=751,29, IF(U28&gt;=501,25, IF(U28&gt;=251,21, IF(U28&gt;=176,17, IF(U28&gt;=121,13, IF(U28&gt;=51,9, 5)))))))),0),"")</f>
        <v/>
      </c>
      <c r="BE28" s="306" t="str">
        <f ca="1">IFERROR(IF('GHG Calcs'!$AD28="Gasoline",0,VLOOKUP('GHG Calcs'!$AG28,'Ferry C&amp;T EF'!$A$106:$AK$196,IF(U28&gt;=3301,36, IF(U28&gt;=1901,32, IF(U28&gt;=751,28, IF(U28&gt;=501,24, IF(U28&gt;=251,20, IF(U28&gt;=176,16, IF(U28&gt;=121,12, IF(U28&gt;=51,8, 4)))))))),0)),"")</f>
        <v/>
      </c>
      <c r="BF28" s="1419" t="str">
        <f ca="1">IFERROR(IF('GHG Calcs'!$AD28="Gasoline",VLOOKUP('GHG Calcs'!$AH28,'Fuel Consumption'!$A$31:$L$2316,3,0),IF(OR('GHG Calcs'!$AD28="CNG",'GHG Calcs'!$AD28="LNG",'GHG Calcs'!$AD28="Renewable Natural Gas"),VLOOKUP('GHG Calcs'!$AH28,'Fuel Consumption'!$A$31:$L$2316,4,0)*VLOOKUP('GHG Calcs'!$AD28,'GHG EF'!$B$10:$H$19,4,0),VLOOKUP('GHG Calcs'!$AH28,'Fuel Consumption'!$A$31:$L$2316,2,0)*VLOOKUP('GHG Calcs'!$AD28,'GHG EF'!$B$10:$H$19,4,0))),"")</f>
        <v/>
      </c>
      <c r="BG28" s="1419" t="str">
        <f ca="1">IFERROR(IF(OR('GHG Calcs'!$AD28="Diesel",'GHG Calcs'!$AD28="Renewable Diesel",'GHG Calcs'!$AD28="Biodiesel"),VLOOKUP('GHG Calcs'!$AH28,'Fuel Consumption'!$A$31:$L$2316,6,0)*VLOOKUP('GHG Calcs'!$AD28,'GHG EF'!$B$10:$H$19,4,0),VLOOKUP('GHG Calcs'!$AH28,'Fuel Consumption'!$A$31:$L$2316,7,0)*VLOOKUP('GHG Calcs'!$AD28,'GHG EF'!$B$10:$H$19,5,0)),"")</f>
        <v/>
      </c>
      <c r="BH28" s="1419" t="str">
        <f ca="1">IFERROR(IF(OR('GHG Calcs'!$AD28="Diesel",'GHG Calcs'!$AD28="Renewable Diesel",'GHG Calcs'!$AD28="Biodiesel"),VLOOKUP('GHG Calcs'!$AH28,'Fuel Consumption'!$A$31:$L$2316,9,0)*VLOOKUP('GHG Calcs'!$AD28,'GHG EF'!$B$10:$H$19,4,0),VLOOKUP('GHG Calcs'!$AH28,'Fuel Consumption'!$A$31:$L$2316,10,0)*VLOOKUP('GHG Calcs'!$AD28,'GHG EF'!$B$10:$H$19,5,0)),"")</f>
        <v/>
      </c>
      <c r="BI28" s="1419" t="str">
        <f ca="1">IFERROR(VLOOKUP('GHG Calcs'!$AH28,'Fuel Consumption'!$A$31:$L$2316,12,0)*VLOOKUP('GHG Calcs'!$AD28,'GHG EF'!$B$10:$H$19,4,0),"")</f>
        <v/>
      </c>
      <c r="BJ28" s="1373" t="str">
        <f ca="1">IFERROR(IF(OR('GHG Calcs'!AD28=Defaults!$I$3, 'GHG Calcs'!AD28=Defaults!$I$4, 'GHG Calcs'!AD28=Defaults!$I$6, 'GHG Calcs'!AD28=Defaults!$I$8), IF('GHG Calcs'!AE28&gt;0,'GHG Calcs'!AE28*IF('GHG Calcs'!AD28=Defaults!$I$3,'GHG EF'!$C$11/'GHG EF'!$C$12,1),'GHG Calcs'!AK28*'GHG Calcs'!AI28),"")*('GHG Calcs'!I28-'GHG Calcs'!H28),"")</f>
        <v/>
      </c>
      <c r="BK28" s="1373" t="str">
        <f ca="1">IFERROR(IF('GHG Calcs'!AD28=Defaults!$I$5,IF('GHG Calcs'!AE28&gt;0,'GHG Calcs'!AE28,'GHG Calcs'!AJ28*'GHG Calcs'!AI28),"")*IF('GHG Calcs'!AF28&lt;'GHG EF'!$D$13,'GHG Calcs'!AF28/'GHG EF'!$D$13,1)*IF('GHG Calcs'!AF28&lt;0,0,1)*('GHG Calcs'!I28-'GHG Calcs'!H28),"")</f>
        <v/>
      </c>
      <c r="BL28" s="1373" t="str">
        <f ca="1">IFERROR(IF('GHG Calcs'!AD28=Defaults!$I$11, IF(IF('GHG Calcs'!AE28&gt;0,'GHG Calcs'!AE28,'GHG Calcs'!AJ28*'GHG Calcs'!AI28)&lt;INDIRECT("'"&amp;#REF!&amp;"'!"&amp;$D28&amp;ROW(#REF!)), IF('GHG Calcs'!AE28&gt;0,'GHG Calcs'!AE28,'GHG Calcs'!AJ28*'GHG Calcs'!AI28), INDIRECT("'"&amp;#REF!&amp;"'!"&amp;$D28&amp;ROW(#REF!))),"")*('GHG Calcs'!I28-'GHG Calcs'!H28),"")</f>
        <v/>
      </c>
      <c r="BM28" s="1420" t="str">
        <f ca="1">IFERROR(IF('GHG Calcs'!AE28&gt;0,'GHG Calcs'!AE28,'GHG Calcs'!AL28*'GHG Calcs'!AI28)*VLOOKUP('GHG Calcs'!AD28,'Fuel &amp; Travel Costs'!$B$10:$C$19,2,0)*('GHG Calcs'!I28-'GHG Calcs'!H28),"")</f>
        <v/>
      </c>
      <c r="BN28" s="306">
        <f ca="1">INDIRECT("'Quantifiable Component "&amp;$B28&amp;"'!"&amp;$D28&amp;ROW('Quantifiable Component 1'!$59:$59))</f>
        <v>0</v>
      </c>
      <c r="BO28" s="306">
        <f ca="1">INDIRECT("'Quantifiable Component "&amp;$B28&amp;"'!"&amp;$D28&amp;ROW('Quantifiable Component 1'!$60:$60))</f>
        <v>0</v>
      </c>
      <c r="BP28" s="1421" t="str">
        <f ca="1">IFERROR(IF('GHG Calcs'!$BD28="Gasoline",VLOOKUP('GHG Calcs'!$BL28,'Bus C&amp;T EF'!$D$30:$V$2315,3,0),IF(OR('GHG Calcs'!$BD28="CNG",'GHG Calcs'!$BD28="LNG",'GHG Calcs'!$BD28="Renewable Natural Gas"),VLOOKUP('GHG Calcs'!$BL28,'Bus C&amp;T EF'!$D$30:$V$2315,4,0),VLOOKUP('GHG Calcs'!$BL28,'Bus C&amp;T EF'!$D$30:$V$2315,2,0)))/IF('GHG Calcs'!BE28&gt;0,$CZ28,1),"")</f>
        <v/>
      </c>
      <c r="BQ28" s="1419" t="str">
        <f ca="1">IFERROR(IF('GHG Calcs'!$BD28="Gasoline",VLOOKUP('GHG Calcs'!$BL28,'Bus C&amp;T EF'!$D$30:$V$2315,6,0),IF(OR('GHG Calcs'!$BD28="CNG",'GHG Calcs'!$BD28="LNG",'GHG Calcs'!$BD28="Renewable Natural Gas"),VLOOKUP('GHG Calcs'!$BL28,'Bus C&amp;T EF'!$D$30:$V$2315,7,0),VLOOKUP('GHG Calcs'!$BL28,'Bus C&amp;T EF'!$D$30:$V$2315,5,0)))/IF('GHG Calcs'!BE28&gt;0,$CZ28,1),"")</f>
        <v/>
      </c>
      <c r="BR28" s="1419" t="str">
        <f ca="1">IFERROR(IF('GHG Calcs'!$BD28="Gasoline",VLOOKUP('GHG Calcs'!$BL28,'Bus C&amp;T EF'!$D$30:$V$2315,9,0),IF(OR('GHG Calcs'!$BD28="CNG",'GHG Calcs'!$BD28="LNG",'GHG Calcs'!$BD28="Renewable Natural Gas"),VLOOKUP('GHG Calcs'!$BL28,'Bus C&amp;T EF'!$D$30:$V$2315,10,0),VLOOKUP('GHG Calcs'!$BL28,'Bus C&amp;T EF'!$D$30:$V$2315,8,0)))/IF('GHG Calcs'!BE28&gt;0,$CZ28,1),"")</f>
        <v/>
      </c>
      <c r="BS28" s="1419" t="str">
        <f ca="1">IFERROR(IF('GHG Calcs'!$BD28="Gasoline",VLOOKUP('GHG Calcs'!$BL28,'Bus C&amp;T EF'!$D$30:$V$2315,12,0),IF(OR('GHG Calcs'!$BD28="CNG",'GHG Calcs'!$BD28="LNG",'GHG Calcs'!$BD28="Renewable Natural Gas"),VLOOKUP('GHG Calcs'!$BL28,'Bus C&amp;T EF'!$D$30:$V$2315,13,0),IF(OR('GHG Calcs'!$BD28="Electric",'GHG Calcs'!$BD28="Hydrogen Fuel Cell",'GHG Calcs'!$BD28="Renewable Electricity"),VLOOKUP('GHG Calcs'!$BL28,'Bus C&amp;T EF'!$D$30:$V$2315,14,0),VLOOKUP('GHG Calcs'!$BL28,'Bus C&amp;T EF'!$D$30:$V$2315,11,0))))/IF('GHG Calcs'!BE28&gt;0,$CZ28,1),"")</f>
        <v/>
      </c>
      <c r="BT28" s="1419" t="str">
        <f ca="1">IFERROR(IF('GHG Calcs'!$BD28="Gasoline",VLOOKUP('GHG Calcs'!$BL28,'Bus C&amp;T EF'!$D$30:$V$2315,16,0),IF(OR('GHG Calcs'!$BD28="CNG",'GHG Calcs'!$BD28="LNG",'GHG Calcs'!$BD28="Renewable Natural Gas"),VLOOKUP('GHG Calcs'!$BL28,'Bus C&amp;T EF'!$D$30:$V$2315,17,0),IF(OR('GHG Calcs'!$BD28="Electric",'GHG Calcs'!$BD28="Hydrogen Fuel Cell",'GHG Calcs'!$BD28="Renewable Electricity"),VLOOKUP('GHG Calcs'!$BL28,'Bus C&amp;T EF'!$D$30:$V$2315,18,0),VLOOKUP('GHG Calcs'!$BL28,'Bus C&amp;T EF'!$D$30:$V$2315,15,0))))/IF('GHG Calcs'!BE28&gt;0,$CZ28,1),"")</f>
        <v/>
      </c>
      <c r="BU28" s="306" t="str">
        <f ca="1">IFERROR(IF('GHG Calcs'!$BD28="Gasoline",0,VLOOKUP('GHG Calcs'!$BL28,'Bus C&amp;T EF'!$D$30:$V$2315,19,0))/IF('GHG Calcs'!BE28&gt;0,$CZ28,1),"")</f>
        <v/>
      </c>
      <c r="BV28" s="1419" t="str">
        <f ca="1">IFERROR(IF(OR('GHG Calcs'!$BD28="Diesel",'GHG Calcs'!$BD28="Renewable Diesel",'GHG Calcs'!$BD28="Biodiesel"),VLOOKUP('GHG Calcs'!$BL28,'Van C&amp;T EF'!$D$30:$Q$2315,2,0),VLOOKUP('GHG Calcs'!$BL28,'Van C&amp;T EF'!$D$30:$Q$2315,3,0))/IF('GHG Calcs'!BE28&gt;0,$DA28,1),"")</f>
        <v/>
      </c>
      <c r="BW28" s="1419" t="str">
        <f ca="1">IFERROR(IF(OR('GHG Calcs'!$BD28="Diesel",'GHG Calcs'!$BD28="Renewable Diesel",'GHG Calcs'!$BD28="Biodiesel"),VLOOKUP('GHG Calcs'!$BL28,'Van C&amp;T EF'!$D$30:$Q$2315,4,0),VLOOKUP('GHG Calcs'!$BL28,'Van C&amp;T EF'!$D$30:$Q$2315,5,0))/IF('GHG Calcs'!BE28&gt;0,$DA28,1),"")</f>
        <v/>
      </c>
      <c r="BX28" s="1419" t="str">
        <f ca="1">IFERROR(IF(OR('GHG Calcs'!$BD28="Diesel",'GHG Calcs'!$BD28="Renewable Diesel",'GHG Calcs'!$BD28="Biodiesel"),VLOOKUP('GHG Calcs'!$BL28,'Van C&amp;T EF'!$D$30:$Q$2315,6,0),VLOOKUP('GHG Calcs'!$BL28,'Van C&amp;T EF'!$D$30:$Q$2315,7,0))/IF('GHG Calcs'!BE28&gt;0,$DA28,1),"")</f>
        <v/>
      </c>
      <c r="BY28" s="1419" t="str">
        <f ca="1">IFERROR(IF(OR('GHG Calcs'!$BD28="Diesel",'GHG Calcs'!$BD28="Renewable Diesel",'GHG Calcs'!$BD28="Biodiesel"),VLOOKUP('GHG Calcs'!$BL28,'Van C&amp;T EF'!$D$30:$Q$2315,8,0),IF(OR('GHG Calcs'!$BD28="Electric",'GHG Calcs'!$BD28="Hydrogen Fuel Cell",'GHG Calcs'!$BD28="Renewable Electricity"),VLOOKUP('GHG Calcs'!$BL28,'Van C&amp;T EF'!$D$30:$Q$2315,10,0),VLOOKUP('GHG Calcs'!$BL28,'Van C&amp;T EF'!$D$30:$Q$2315,9,0)))/IF('GHG Calcs'!BE28&gt;0,$DA28,1),"")</f>
        <v/>
      </c>
      <c r="BZ28" s="1419" t="str">
        <f ca="1">IFERROR(IF(OR('GHG Calcs'!$BD28="Diesel",'GHG Calcs'!$BD28="Renewable Diesel",'GHG Calcs'!$BD28="Biodiesel"),VLOOKUP('GHG Calcs'!$BL28,'Van C&amp;T EF'!$D$30:$Q$2315,11,0),IF(OR('GHG Calcs'!$BD28="Electric",'GHG Calcs'!$BD28="Hydrogen Fuel Cell",'GHG Calcs'!$BD28="Renewable Electricity"),VLOOKUP('GHG Calcs'!$BL28,'Van C&amp;T EF'!$D$30:$Q$2315,13,0),VLOOKUP('GHG Calcs'!$BL28,'Van C&amp;T EF'!$D$30:$Q$2315,12,0)))/IF('GHG Calcs'!BE28&gt;0,$DA28,1),"")</f>
        <v/>
      </c>
      <c r="CA28" s="306">
        <f ca="1">IFERROR(IF(OR('GHG Calcs'!$BD28="Diesel",'GHG Calcs'!$BD28="Biodiesel",'GHG Calcs'!$BD28="Renewable Diesel"),VLOOKUP('GHG Calcs'!$BL28,'Van C&amp;T EF'!$D$30:$Q$2315,14,0),0)/IF('GHG Calcs'!BE28&gt;0,$DA28,1),"")</f>
        <v>0</v>
      </c>
      <c r="CB28" s="1419" t="str">
        <f ca="1">IFERROR(IF(OR('GHG Calcs'!$BD28="Diesel",'GHG Calcs'!$BD28="Renewable Diesel",'GHG Calcs'!$BD28="Biodiesel"),VLOOKUP('GHG Calcs'!$BL28,'Shuttle C&amp;T EF'!$D$30:$Q$2315,2,0),VLOOKUP('GHG Calcs'!$BL28,'Shuttle C&amp;T EF'!$D$30:$Q$2315,3,0))/IF('GHG Calcs'!BE28&gt;0,$DB28,1),"")</f>
        <v/>
      </c>
      <c r="CC28" s="1419" t="str">
        <f ca="1">IFERROR(IF(OR('GHG Calcs'!$BD28="Diesel",'GHG Calcs'!$BD28="Renewable Diesel",'GHG Calcs'!$BD28="Biodiesel"),VLOOKUP('GHG Calcs'!$BL28,'Shuttle C&amp;T EF'!$D$30:$Q$2315,4,0),VLOOKUP('GHG Calcs'!$BL28,'Shuttle C&amp;T EF'!$D$30:$Q$2315,5,0))/IF('GHG Calcs'!BE28&gt;0,$DB28,1),"")</f>
        <v/>
      </c>
      <c r="CD28" s="1419" t="str">
        <f ca="1">IFERROR(IF(OR('GHG Calcs'!$BD28="Diesel",'GHG Calcs'!$BD28="Renewable Diesel",'GHG Calcs'!$BD28="Biodiesel"),VLOOKUP('GHG Calcs'!$BL28,'Shuttle C&amp;T EF'!$D$30:$Q$2315,6,0),VLOOKUP('GHG Calcs'!$BL28,'Shuttle C&amp;T EF'!$D$30:$Q$2315,7,0))/IF('GHG Calcs'!BE28&gt;0,$DB28,1),"")</f>
        <v/>
      </c>
      <c r="CE28" s="1419" t="str">
        <f ca="1">IFERROR(IF(OR('GHG Calcs'!$BD28="Diesel",'GHG Calcs'!$BD28="Renewable Diesel",'GHG Calcs'!$BD28="Biodiesel"),VLOOKUP('GHG Calcs'!$BL28,'Shuttle C&amp;T EF'!$D$30:$Q$2315,8,0),IF(OR('GHG Calcs'!$BD28="Electric",'GHG Calcs'!$BD28="Hydrogen Fuel Cell",'GHG Calcs'!$BD28="Renewable Electricity"),VLOOKUP('GHG Calcs'!$BL28,'Shuttle C&amp;T EF'!$D$30:$Q$2315,10,0),VLOOKUP('GHG Calcs'!$BL28,'Shuttle C&amp;T EF'!$D$30:$Q$2315,9,0)))/IF('GHG Calcs'!BE28&gt;0,$DB28,1),"")</f>
        <v/>
      </c>
      <c r="CF28" s="1419" t="str">
        <f ca="1">IFERROR(IF(OR('GHG Calcs'!$BD28="Diesel",'GHG Calcs'!$BD28="Renewable Diesel",'GHG Calcs'!$BD28="Biodiesel"),VLOOKUP('GHG Calcs'!$BL28,'Shuttle C&amp;T EF'!$D$30:$Q$2315,11,0),IF(OR('GHG Calcs'!$BD28="Electric",'GHG Calcs'!$BD28="Hydrogen Fuel Cell",'GHG Calcs'!$BD28="Renewable Electricity"),VLOOKUP('GHG Calcs'!$BL28,'Shuttle C&amp;T EF'!$D$30:$Q$2315,13,0),VLOOKUP('GHG Calcs'!$BL28,'Shuttle C&amp;T EF'!$D$30:$Q$2315,12,0)))/IF('GHG Calcs'!BE28&gt;0,$DB28,1),"")</f>
        <v/>
      </c>
      <c r="CG28" s="1419">
        <f ca="1">IFERROR(IF(OR('GHG Calcs'!$BD28="Diesel",'GHG Calcs'!$BD28="Biodiesel",'GHG Calcs'!$BD28="Renewable Diesel"),VLOOKUP('GHG Calcs'!$BL28,'Shuttle C&amp;T EF'!$D$30:$Q$2315,14,0),0)/IF('GHG Calcs'!BE28&gt;0,$DB28,1),"")</f>
        <v>0</v>
      </c>
      <c r="CH28" s="306" t="str">
        <f ca="1">IFERROR((VLOOKUP('GHG Calcs'!$BL28,'Over-Road Coach C&amp;T EF'!$D$29:$N$2314,2,0)+VLOOKUP('GHG Calcs'!$BL28,'Over-Road Coach C&amp;T EF'!$D$29:$N$2314,3,0))/IF('GHG Calcs'!BE28&gt;0,$DC28,1),"")</f>
        <v/>
      </c>
      <c r="CI28" s="306" t="str">
        <f ca="1">IFERROR((VLOOKUP('GHG Calcs'!$BL28,'Over-Road Coach C&amp;T EF'!$D$29:$N$2314,4,0)+VLOOKUP('GHG Calcs'!$BL28,'Over-Road Coach C&amp;T EF'!$D$29:$N$2314,5,0))/IF('GHG Calcs'!BE28&gt;0,$DC28,1),"")</f>
        <v/>
      </c>
      <c r="CJ28" s="306" t="str">
        <f ca="1">IFERROR((VLOOKUP('GHG Calcs'!$BL28,'Over-Road Coach C&amp;T EF'!$D$29:$N$2314,6,0)+VLOOKUP('GHG Calcs'!$BL28,'Over-Road Coach C&amp;T EF'!$D$29:$N$2314,7,0))/IF('GHG Calcs'!BE28&gt;0,$DC28,1),"")</f>
        <v/>
      </c>
      <c r="CK28" s="306" t="str">
        <f ca="1">IFERROR(VLOOKUP('GHG Calcs'!$BL28,'Over-Road Coach C&amp;T EF'!$D$29:$N$2314,8,0)/IF('GHG Calcs'!BE28&gt;0,$DC28,1),"")</f>
        <v/>
      </c>
      <c r="CL28" s="306" t="str">
        <f ca="1">IFERROR(VLOOKUP('GHG Calcs'!$BL28,'Over-Road Coach C&amp;T EF'!$D$29:$N$2314,9,0)/IF('GHG Calcs'!BE28&gt;0,$DC28,1),"")</f>
        <v/>
      </c>
      <c r="CM28" s="306" t="str">
        <f ca="1">IFERROR((VLOOKUP('GHG Calcs'!$BL28,'Over-Road Coach C&amp;T EF'!$D$29:$N$2314,10,0)+VLOOKUP('GHG Calcs'!$BL28,'Over-Road Coach C&amp;T EF'!$D$29:$N$2314,11,0))/IF('GHG Calcs'!BE28&gt;0,$DC28,1),"")</f>
        <v/>
      </c>
      <c r="CN28" s="306" t="str">
        <f ca="1">IFERROR(VLOOKUP(BN28,'Co-Benefit Calcs'!$E$76:$I$83,2,0)/IF('GHG Calcs'!$BE28&gt;0,'Rail C&amp;T EF'!$K$14,1),"")</f>
        <v/>
      </c>
      <c r="CO28" s="306" t="str">
        <f ca="1">IFERROR(VLOOKUP(BN28,'Co-Benefit Calcs'!$E$76:$I$83,3,0)/IF('GHG Calcs'!$BE28&gt;0,'Rail C&amp;T EF'!$K$14,1),"")</f>
        <v/>
      </c>
      <c r="CP28" s="306" t="str">
        <f ca="1">IFERROR(VLOOKUP(BN28,'Co-Benefit Calcs'!$E$76:$I$83,4,0)/IF('GHG Calcs'!$BE28&gt;0,'Rail C&amp;T EF'!$K$14,1),"")</f>
        <v/>
      </c>
      <c r="CQ28" s="306" t="str">
        <f ca="1">IFERROR(IF('GHG Calcs'!$BD28="Gasoline",0,VLOOKUP(BN28,'Co-Benefit Calcs'!$E$76:$I$83,5,0))/IF('GHG Calcs'!$BE28&gt;0,'Rail C&amp;T EF'!$K$14,1),"")</f>
        <v/>
      </c>
      <c r="CR28" s="306" t="str">
        <f ca="1">IFERROR(VLOOKUP('GHG Calcs'!$BG28,'Rail C&amp;T EF'!$A$43:$Y$133,IF(BO28&gt;750,23, IF(BO28&gt;=600,20, IF(BO28&gt;=300,17, IF(BO28&gt;=175,14, IF(BO28&gt;=100,11, IF(BO28&gt;=75,8, IF(BO28&gt;=50,5, 2))))))),0) * IF($BO28&gt;=750,'Rail C&amp;T EF'!$K$18,'Rail C&amp;T EF'!$K$19) * IF('GHG Calcs'!BE28&gt;0,1,'Rail C&amp;T EF'!$B$149) * IF(OR('GHG Calcs'!BD28="Diesel", 'GHG Calcs'!BD28="Renewable Diesel", 'GHG Calcs'!BD28="Biodiesel"),'Rail C&amp;T EF'!$B$141,'Rail C&amp;T EF'!$B$142),"")</f>
        <v/>
      </c>
      <c r="CS28" s="306" t="str">
        <f ca="1">IFERROR(VLOOKUP('GHG Calcs'!$BG28,'Rail C&amp;T EF'!$A$43:$Y$133,IF(BO28&gt;750,24, IF(BO28&gt;=600,21, IF(BO28&gt;=300,18, IF(BO28&gt;=175,15, IF(BO28&gt;=100,12, IF(BO28&gt;=75,9, IF(BO28&gt;=50,6, 3))))))),0) * IF($BO28&gt;=750,'Rail C&amp;T EF'!$K$18,'Rail C&amp;T EF'!$K$19) * IF('GHG Calcs'!$BE28&gt;0,1,'Rail C&amp;T EF'!$B$149),"")</f>
        <v/>
      </c>
      <c r="CT28" s="306" t="str">
        <f ca="1">IFERROR(VLOOKUP('GHG Calcs'!$BG28,'Rail C&amp;T EF'!$A$43:$Y$133,IF(BO28&gt;750,25, IF(BO28&gt;=600,22, IF(BO28&gt;=300,19, IF(BO28&gt;=175,16, IF(BO28&gt;=100,13, IF(BO28&gt;=75,10, IF(BO28&gt;=50,7, 4))))))),0) * IF($BO28&gt;=750,'Rail C&amp;T EF'!$K$18,'Rail C&amp;T EF'!$K$19) * IF('GHG Calcs'!$BE28&gt;0,1,'Rail C&amp;T EF'!$B$149)*'Rail C&amp;T EF'!$B$146,"")</f>
        <v/>
      </c>
      <c r="CU28" s="306" t="str">
        <f ca="1">IFERROR(IF('GHG Calcs'!BD28="Gasoline",0,VLOOKUP('GHG Calcs'!$BG28,'Rail C&amp;T EF'!$A$43:$Y$133,IF(BO28&gt;750,25, IF(BO28&gt;=600,22, IF(BO28&gt;=300,19, IF(BO28&gt;=175,16, IF(BO28&gt;=100,13, IF(BO28&gt;=75,10, IF(BO28&gt;=50,7, 4))))))),0) * IF($BO28&gt;=750,'Rail C&amp;T EF'!$K$18,'Rail C&amp;T EF'!$K$19) * IF('GHG Calcs'!$BE28&gt;0,1,'Rail C&amp;T EF'!$B$149)),"")</f>
        <v/>
      </c>
      <c r="CV28" s="306" t="str">
        <f ca="1">IFERROR(VLOOKUP('GHG Calcs'!$BG28,'Ferry C&amp;T EF'!$A$106:$AK$196,IF(BO28&gt;=3301,35, IF(BO28&gt;=1901,31, IF(BO28&gt;=751,27, IF(BO28&gt;=501,23, IF(BO28&gt;=251,19, IF(BO28&gt;=176,15, IF(BO28&gt;=121,11, IF(BO28&gt;=51,7, 3)))))))),0),"")</f>
        <v/>
      </c>
      <c r="CW28" s="306" t="str">
        <f ca="1">IFERROR(VLOOKUP('GHG Calcs'!$BG28,'Ferry C&amp;T EF'!$A$106:$AK$196,IF(BO28&gt;=3301,34, IF(BO28&gt;=1901,30, IF(BO28&gt;=751,26, IF(BO28&gt;=501,22, IF(BO28&gt;=251,18, IF(BO28&gt;=176,14, IF(BO28&gt;=121,10, IF(BO28&gt;=51,6, 2)))))))),0),"")</f>
        <v/>
      </c>
      <c r="CX28" s="306" t="str">
        <f ca="1">IFERROR(VLOOKUP('GHG Calcs'!$BG28,'Ferry C&amp;T EF'!$A$106:$AK$196,IF(BO28&gt;=3301,37, IF(BO28&gt;=1901,33, IF(BO28&gt;=751,29, IF(BO28&gt;=501,25, IF(BO28&gt;=251,21, IF(BO28&gt;=176,17, IF(BO28&gt;=121,13, IF(BO28&gt;=51,9, 5)))))))),0),"")</f>
        <v/>
      </c>
      <c r="CY28" s="306" t="str">
        <f ca="1">IFERROR(IF('GHG Calcs'!$BD28="Gasoline",0,VLOOKUP('GHG Calcs'!$BG28,'Ferry C&amp;T EF'!$A$106:$AK$196,IF(BO28&gt;=3301,36, IF(BO28&gt;=1901,32, IF(BO28&gt;=751,28, IF(BO28&gt;=501,24, IF(BO28&gt;=251,20, IF(BO28&gt;=176,16, IF(BO28&gt;=121,12, IF(BO28&gt;=51,8, 4)))))))),0)),"")</f>
        <v/>
      </c>
      <c r="CZ28" s="1419" t="str">
        <f ca="1">IFERROR(IF('GHG Calcs'!$BD28="Gasoline",VLOOKUP('GHG Calcs'!$BL28,'Fuel Consumption'!$A$31:$L$2316,3,0),IF(OR('GHG Calcs'!$BD28="CNG",'GHG Calcs'!$BD28="LNG",'GHG Calcs'!$BD28="Renewable Natural Gas"),VLOOKUP('GHG Calcs'!$BL28,'Fuel Consumption'!$A$31:$L$2316,4,0)*VLOOKUP('GHG Calcs'!$BD28,'GHG EF'!$B$10:$H$19,4,0),VLOOKUP('GHG Calcs'!$BL28,'Fuel Consumption'!$A$31:$L$2316,2,0)*VLOOKUP('GHG Calcs'!$AD28,'GHG EF'!$B$10:$H$19,4,0))),"")</f>
        <v/>
      </c>
      <c r="DA28" s="1419" t="str">
        <f ca="1">IFERROR(IF(OR('GHG Calcs'!$BD28="Diesel",'GHG Calcs'!$BD28="Renewable Diesel",'GHG Calcs'!$BD28="Biodiesel"),VLOOKUP('GHG Calcs'!$BL28,'Fuel Consumption'!$A$31:$L$2316,6,0)*VLOOKUP('GHG Calcs'!$BD28,'GHG EF'!$B$10:$H$19,4,0),VLOOKUP('GHG Calcs'!$BL28,'Fuel Consumption'!$A$31:$L$2316,7,0)*VLOOKUP('GHG Calcs'!$BD28,'GHG EF'!$B$10:$H$19,5,0)),"")</f>
        <v/>
      </c>
      <c r="DB28" s="1419" t="str">
        <f ca="1">IFERROR(IF(OR('GHG Calcs'!$BD28="Diesel",'GHG Calcs'!$BD28="Renewable Diesel",'GHG Calcs'!$BD28="Biodiesel"),VLOOKUP('GHG Calcs'!$BL28,'Fuel Consumption'!$A$31:$L$2316,9,0)*VLOOKUP('GHG Calcs'!$BD28,'GHG EF'!$B$10:$H$19,4,0),VLOOKUP('GHG Calcs'!$BL28,'Fuel Consumption'!$A$31:$L$2316,10,0)*VLOOKUP('GHG Calcs'!$BD28,'GHG EF'!$B$10:$H$19,5,0)),"")</f>
        <v/>
      </c>
      <c r="DC28" s="1419" t="str">
        <f ca="1">IFERROR(VLOOKUP('GHG Calcs'!$BL28,'Fuel Consumption'!$A$31:$L$2316,12,0)*VLOOKUP('GHG Calcs'!$BD28,'GHG EF'!$B$10:$H$19,4,0),"")</f>
        <v/>
      </c>
      <c r="DD28" s="1373" t="str">
        <f ca="1">IFERROR(IF(OR('GHG Calcs'!BD28=Defaults!$I$3, 'GHG Calcs'!BD28=Defaults!$I$4, 'GHG Calcs'!BD28=Defaults!$I$6, 'GHG Calcs'!BD28=Defaults!$I$8), IF('GHG Calcs'!BE28&gt;0,'GHG Calcs'!BE28*IF('GHG Calcs'!BD28=Defaults!$I$3,'GHG EF'!$C$11/'GHG EF'!$C$12,1),'GHG Calcs'!BJ28*'GHG Calcs'!BH28),"")*('GHG Calcs'!I28-'GHG Calcs'!H28),"")</f>
        <v/>
      </c>
      <c r="DE28" s="1373" t="str">
        <f ca="1">IFERROR(IF('GHG Calcs'!BD28=Defaults!$I$5,IF('GHG Calcs'!BE28&gt;0,'GHG Calcs'!BE28,'GHG Calcs'!BI28*'GHG Calcs'!BH28),"")*('GHG Calcs'!I28-'GHG Calcs'!H28),"")</f>
        <v/>
      </c>
      <c r="DF28" s="1420" t="str">
        <f ca="1">IFERROR(IF('GHG Calcs'!BE28&gt;0,'GHG Calcs'!BE28,'GHG Calcs'!BK28*'GHG Calcs'!BH28)*VLOOKUP('GHG Calcs'!BD28,'Fuel &amp; Travel Costs'!$B$10:$C$19,2,0)*('GHG Calcs'!I28-'GHG Calcs'!H28),"")</f>
        <v/>
      </c>
      <c r="DG28" s="306">
        <f ca="1">INDIRECT("'Quantifiable Component "&amp;$B28&amp;"'!"&amp;$D28&amp;ROW('Quantifiable Component 1'!$70:$70))</f>
        <v>0</v>
      </c>
      <c r="DH28" s="306">
        <f ca="1">INDIRECT("'Quantifiable Component "&amp;$B28&amp;"'!"&amp;$D28&amp;ROW('Quantifiable Component 1'!$71:$71))</f>
        <v>0</v>
      </c>
      <c r="DI28" s="1422" t="str">
        <f ca="1">IFERROR(IF('GHG Calcs'!$CD28="Gasoline",VLOOKUP('GHG Calcs'!$CG28,'Bus C&amp;T EF'!$D$30:$V$2315,3,0),IF(OR('GHG Calcs'!$CD28="CNG",'GHG Calcs'!$CD28="LNG",'GHG Calcs'!$CD28="Renewable Natural Gas"),VLOOKUP('GHG Calcs'!$CG28,'Bus C&amp;T EF'!$D$30:$V$2315,4,0),VLOOKUP('GHG Calcs'!$CG28,'Bus C&amp;T EF'!$D$30:$V$2315,2,0)))/$ES28,"")</f>
        <v/>
      </c>
      <c r="DJ28" s="306" t="str">
        <f ca="1">IFERROR(IF('GHG Calcs'!$CD28="Gasoline",VLOOKUP('GHG Calcs'!$CG28,'Bus C&amp;T EF'!$D$30:$V$2315,6,0),IF(OR('GHG Calcs'!$CD28="CNG",'GHG Calcs'!$CD28="LNG",'GHG Calcs'!$CD28="Renewable Natural Gas"),VLOOKUP('GHG Calcs'!$CG28,'Bus C&amp;T EF'!$D$30:$V$2315,7,0),VLOOKUP('GHG Calcs'!$CG28,'Bus C&amp;T EF'!$D$30:$V$2315,5,0)))/$ES28,"")</f>
        <v/>
      </c>
      <c r="DK28" s="306" t="str">
        <f ca="1">IFERROR(IF('GHG Calcs'!$CD28="Gasoline",VLOOKUP('GHG Calcs'!$CG28,'Bus C&amp;T EF'!$D$30:$V$2315,9,0),IF(OR('GHG Calcs'!$CD28="CNG",'GHG Calcs'!$CD28="LNG",'GHG Calcs'!$CD28="Renewable Natural Gas"),VLOOKUP('GHG Calcs'!$CG28,'Bus C&amp;T EF'!$D$30:$V$2315,10,0),VLOOKUP('GHG Calcs'!$CG28,'Bus C&amp;T EF'!$D$30:$V$2315,8,0)))/$ES28,"")</f>
        <v/>
      </c>
      <c r="DL28" s="306" t="str">
        <f ca="1">IFERROR(IF('GHG Calcs'!$CD28="Gasoline",VLOOKUP('GHG Calcs'!$CG28,'Bus C&amp;T EF'!$D$30:$V$2315,12,0),IF(OR('GHG Calcs'!$CD28="CNG",'GHG Calcs'!$CD28="LNG",'GHG Calcs'!$CD28="Renewable Natural Gas"),VLOOKUP('GHG Calcs'!$CG28,'Bus C&amp;T EF'!$D$30:$V$2315,13,0),IF('GHG Calcs'!$CD28="Electric",VLOOKUP('GHG Calcs'!$CG28,'Bus C&amp;T EF'!$D$30:$V$2315,14,0),VLOOKUP('GHG Calcs'!$CG28,'Bus C&amp;T EF'!$D$30:$V$2315,11,0))))/$ES28,"")</f>
        <v/>
      </c>
      <c r="DM28" s="306" t="str">
        <f ca="1">IFERROR(IF('GHG Calcs'!$CD28="Gasoline",VLOOKUP('GHG Calcs'!$CG28,'Bus C&amp;T EF'!$D$30:$V$2315,16,0),IF(OR('GHG Calcs'!$CD28="CNG",'GHG Calcs'!$CD28="LNG",'GHG Calcs'!$CD28="Renewable Natural Gas"),VLOOKUP('GHG Calcs'!$CG28,'Bus C&amp;T EF'!$D$30:$V$2315,17,0),IF('GHG Calcs'!$CD28="Electric",VLOOKUP('GHG Calcs'!$CG28,'Bus C&amp;T EF'!$D$30:$V$2315,18,0),VLOOKUP('GHG Calcs'!$CG28,'Bus C&amp;T EF'!$D$30:$V$2315,15,0))))/$ES28,"")</f>
        <v/>
      </c>
      <c r="DN28" s="306" t="str">
        <f ca="1">IFERROR(IF('GHG Calcs'!$CD28="Gasoline",0,VLOOKUP('GHG Calcs'!$CG28,'Bus C&amp;T EF'!$D$30:$V$2315,19,0))/$ES28,"")</f>
        <v/>
      </c>
      <c r="DO28" s="1419" t="str">
        <f ca="1">IFERROR(IF(OR('GHG Calcs'!$CD28="Diesel",'GHG Calcs'!$CD28="Renewable Diesel",'GHG Calcs'!$CD28="Biodiesel"),VLOOKUP('GHG Calcs'!$CG28,'Van C&amp;T EF'!$D$30:$Q$2315,2,0),VLOOKUP('GHG Calcs'!$CG28,'Van C&amp;T EF'!$D$30:$Q$2315,3,0))/$ET28,"")</f>
        <v/>
      </c>
      <c r="DP28" s="1419" t="str">
        <f ca="1">IFERROR(IF(OR('GHG Calcs'!$CD28="Diesel",'GHG Calcs'!$CD28="Renewable Diesel",'GHG Calcs'!$CD28="Biodiesel"),VLOOKUP('GHG Calcs'!$CG28,'Van C&amp;T EF'!$D$30:$Q$2315,4,0),VLOOKUP('GHG Calcs'!$CG28,'Van C&amp;T EF'!$D$30:$Q$2315,5,0))/$ET28,"")</f>
        <v/>
      </c>
      <c r="DQ28" s="1419" t="str">
        <f ca="1">IFERROR(IF(OR('GHG Calcs'!$CD28="Diesel",'GHG Calcs'!$CD28="Renewable Diesel",'GHG Calcs'!$CD28="Biodiesel"),VLOOKUP('GHG Calcs'!$CG28,'Van C&amp;T EF'!$D$30:$Q$2315,6,0),VLOOKUP('GHG Calcs'!$CG28,'Van C&amp;T EF'!$D$30:$Q$2315,7,0))/$ET28,"")</f>
        <v/>
      </c>
      <c r="DR28" s="1419" t="str">
        <f ca="1">IFERROR(IF(OR('GHG Calcs'!$CD28="Diesel",'GHG Calcs'!$CD28="Renewable Diesel",'GHG Calcs'!$CD28="Biodiesel"),VLOOKUP('GHG Calcs'!$CG28,'Van C&amp;T EF'!$D$30:$Q$2315,8,0),IF(OR('GHG Calcs'!$CD28="Electric",'GHG Calcs'!$CD28="Hydrogen Fuel Cell",'GHG Calcs'!$CD28="Renewable Electricity"),VLOOKUP('GHG Calcs'!$CG28,'Van C&amp;T EF'!$D$30:$Q$2315,10,0),VLOOKUP('GHG Calcs'!$CG28,'Van C&amp;T EF'!$D$30:$Q$2315,9,0)))/$ET28,"")</f>
        <v/>
      </c>
      <c r="DS28" s="1419" t="str">
        <f ca="1">IFERROR(IF(OR('GHG Calcs'!$CD28="Diesel",'GHG Calcs'!$CD28="Renewable Diesel",'GHG Calcs'!$CD28="Biodiesel"),VLOOKUP('GHG Calcs'!$CG28,'Van C&amp;T EF'!$D$30:$Q$2315,11,0),IF(OR('GHG Calcs'!$CD28="Electric",'GHG Calcs'!$CD28="Hydrogen Fuel Cell",'GHG Calcs'!$CD28="Renewable Electricity"),VLOOKUP('GHG Calcs'!$CG28,'Van C&amp;T EF'!$D$30:$Q$2315,13,0),VLOOKUP('GHG Calcs'!$CG28,'Van C&amp;T EF'!$D$30:$Q$2315,12,0)))/$ET28,"")</f>
        <v/>
      </c>
      <c r="DT28" s="306" t="str">
        <f ca="1">IFERROR(IF(OR('GHG Calcs'!$CD28="Diesel",'GHG Calcs'!$CD28="Biodiesel",'GHG Calcs'!$CD28="Renewable Diesel"),VLOOKUP('GHG Calcs'!$CG28,'Van C&amp;T EF'!$D$30:$Q$2315,14,0),0)/$ET28,"")</f>
        <v/>
      </c>
      <c r="DU28" s="1419" t="str">
        <f ca="1">IFERROR(IF(OR('GHG Calcs'!$CD28="Diesel",'GHG Calcs'!$CD28="Renewable Diesel",'GHG Calcs'!$CD28="Biodiesel"),VLOOKUP('GHG Calcs'!$CG28,'Shuttle C&amp;T EF'!$D$30:$Q$2315,2,0),VLOOKUP('GHG Calcs'!$CG28,'Shuttle C&amp;T EF'!$D$30:$Q$2315,3,0))/$EU28,"")</f>
        <v/>
      </c>
      <c r="DV28" s="1419" t="str">
        <f ca="1">IFERROR(IF(OR('GHG Calcs'!$CD28="Diesel",'GHG Calcs'!$CD28="Renewable Diesel",'GHG Calcs'!$CD28="Biodiesel"),VLOOKUP('GHG Calcs'!$CG28,'Shuttle C&amp;T EF'!$D$30:$Q$2315,4,0),VLOOKUP('GHG Calcs'!$CG28,'Shuttle C&amp;T EF'!$D$30:$Q$2315,5,0))/$EU28,"")</f>
        <v/>
      </c>
      <c r="DW28" s="1419" t="str">
        <f ca="1">IFERROR(IF(OR('GHG Calcs'!$CD28="Diesel",'GHG Calcs'!$CD28="Renewable Diesel",'GHG Calcs'!$CD28="Biodiesel"),VLOOKUP('GHG Calcs'!$CG28,'Shuttle C&amp;T EF'!$D$30:$Q$2315,6,0),VLOOKUP('GHG Calcs'!$CG28,'Shuttle C&amp;T EF'!$D$30:$Q$2315,7,0))/$EU28,"")</f>
        <v/>
      </c>
      <c r="DX28" s="1419" t="str">
        <f ca="1">IFERROR(IF(OR('GHG Calcs'!$CD28="Diesel",'GHG Calcs'!$CD28="Renewable Diesel",'GHG Calcs'!$CD28="Biodiesel"),VLOOKUP('GHG Calcs'!$CG28,'Shuttle C&amp;T EF'!$D$30:$Q$2315,8,0),IF(OR('GHG Calcs'!$CD28="Electric",'GHG Calcs'!$CD28="Hydrogen Fuel Cell",'GHG Calcs'!$CD28="Renewable Electricity"),VLOOKUP('GHG Calcs'!$CG28,'Shuttle C&amp;T EF'!$D$30:$Q$2315,10,0),VLOOKUP('GHG Calcs'!$CG28,'Shuttle C&amp;T EF'!$D$30:$Q$2315,9,0)))/$EU28,"")</f>
        <v/>
      </c>
      <c r="DY28" s="1419" t="str">
        <f ca="1">IFERROR(IF(OR('GHG Calcs'!$CD28="Diesel",'GHG Calcs'!$CD28="Renewable Diesel",'GHG Calcs'!$CD28="Biodiesel"),VLOOKUP('GHG Calcs'!$CG28,'Shuttle C&amp;T EF'!$D$30:$Q$2315,11,0),IF(OR('GHG Calcs'!$CD28="Electric",'GHG Calcs'!$CD28="Hydrogen Fuel Cell",'GHG Calcs'!$CD28="Renewable Electricity"),VLOOKUP('GHG Calcs'!$CG28,'Shuttle C&amp;T EF'!$D$30:$Q$2315,13,0),VLOOKUP('GHG Calcs'!$CG28,'Shuttle C&amp;T EF'!$D$30:$Q$2315,12,0)))/$EU28,"")</f>
        <v/>
      </c>
      <c r="DZ28" s="1419" t="str">
        <f ca="1">IFERROR(IF(OR('GHG Calcs'!$CD28="Diesel",'GHG Calcs'!$CD28="Biodiesel",'GHG Calcs'!$CD28="Renewable Diesel"),VLOOKUP('GHG Calcs'!$CG28,'Shuttle C&amp;T EF'!$D$30:$Q$2315,14,0),0)/$EU28,"")</f>
        <v/>
      </c>
      <c r="EA28" s="306" t="str">
        <f ca="1">IFERROR((VLOOKUP('GHG Calcs'!$CG28,'Over-Road Coach C&amp;T EF'!$D$29:$N$2314,2,0)+VLOOKUP('GHG Calcs'!$CG28,'Over-Road Coach C&amp;T EF'!$D$29:$N$2314,3,0))/$EV28,"")</f>
        <v/>
      </c>
      <c r="EB28" s="306" t="str">
        <f ca="1">IFERROR((VLOOKUP('GHG Calcs'!$CG28,'Over-Road Coach C&amp;T EF'!$D$29:$N$2314,4,0)+VLOOKUP('GHG Calcs'!$CG28,'Over-Road Coach C&amp;T EF'!$D$29:$N$2314,5,0))/$EV28,"")</f>
        <v/>
      </c>
      <c r="EC28" s="306" t="str">
        <f ca="1">IFERROR((VLOOKUP('GHG Calcs'!$CG28,'Over-Road Coach C&amp;T EF'!$D$29:$N$2314,6,0)+VLOOKUP('GHG Calcs'!$CG28,'Over-Road Coach C&amp;T EF'!$D$29:$N$2314,7,0))/$EV28,"")</f>
        <v/>
      </c>
      <c r="ED28" s="306" t="str">
        <f ca="1">IFERROR(VLOOKUP('GHG Calcs'!$CG28,'Over-Road Coach C&amp;T EF'!$D$29:$N$2314,8,0)/$EV28,"")</f>
        <v/>
      </c>
      <c r="EE28" s="306" t="str">
        <f ca="1">IFERROR(VLOOKUP('GHG Calcs'!$CG28,'Over-Road Coach C&amp;T EF'!$D$29:$N$2314,9,0)/$EV28,"")</f>
        <v/>
      </c>
      <c r="EF28" s="306" t="str">
        <f ca="1">IFERROR((VLOOKUP('GHG Calcs'!$CG28,'Over-Road Coach C&amp;T EF'!$D$29:$N$2314,10,0)+VLOOKUP('GHG Calcs'!$CG28,'Over-Road Coach C&amp;T EF'!$D$29:$N$2314,11,0))/$EV28,"")</f>
        <v/>
      </c>
      <c r="EG28" s="306" t="str">
        <f ca="1">IFERROR(VLOOKUP(DG28,'Co-Benefit Calcs'!$E$76:$I$83,2,0)/'Rail C&amp;T EF'!$K$14,"")</f>
        <v/>
      </c>
      <c r="EH28" s="306" t="str">
        <f ca="1">IFERROR(VLOOKUP(DG28,'Co-Benefit Calcs'!$E$76:$I$83,3,0)/'Rail C&amp;T EF'!$K$14,"")</f>
        <v/>
      </c>
      <c r="EI28" s="306" t="str">
        <f ca="1">IFERROR(VLOOKUP(DG28,'Co-Benefit Calcs'!$E$76:$I$83,4,0)/'Rail C&amp;T EF'!$K$14,"")</f>
        <v/>
      </c>
      <c r="EJ28" s="306" t="str">
        <f ca="1">IFERROR(IF('GHG Calcs'!$CD28="Gasoline",0,VLOOKUP(DG28,'Co-Benefit Calcs'!$E$76:$I$83,5,0))/'Rail C&amp;T EF'!$K$14,"")</f>
        <v/>
      </c>
      <c r="EK28" s="306" t="str">
        <f ca="1">IFERROR(VLOOKUP('GHG Calcs'!CF28,'Rail C&amp;T EF'!$A$43:$Y$133,IF(DH28&gt;750,23, IF(DH28&gt;=600,20, IF(DH28&gt;=300,17, IF(DH28&gt;=175,14, IF(DH28&gt;=100,11, IF(DH28&gt;=75,8, IF(DH28&gt;=50,5, 2))))))),0) * IF($DH28&gt;=750,'Rail C&amp;T EF'!$K$18,'Rail C&amp;T EF'!$K$19) * IF(OR('GHG Calcs'!CD28="Diesel", 'GHG Calcs'!CD28="Renewable Diesel", 'GHG Calcs'!CD28="Biodiesel"),'Rail C&amp;T EF'!$B$141,'Rail C&amp;T EF'!$B$142),"")</f>
        <v/>
      </c>
      <c r="EL28" s="306" t="str">
        <f ca="1">IFERROR(VLOOKUP('GHG Calcs'!$CF28,'Rail C&amp;T EF'!$A$43:$Y$133,IF(DH28&gt;750,24, IF(DH28&gt;=600,21, IF(DH28&gt;=300,18, IF(DH28&gt;=175,15, IF(DH28&gt;=100,12, IF(DH28&gt;=75,9, IF(DH28&gt;=50,6, 3))))))),0) * IF($DH28&gt;=750,'Rail C&amp;T EF'!$K$18,'Rail C&amp;T EF'!$K$19),"")</f>
        <v/>
      </c>
      <c r="EM28" s="306" t="str">
        <f ca="1">IFERROR(VLOOKUP('GHG Calcs'!$CF28,'Rail C&amp;T EF'!$A$43:$Y$133,IF(DH28&gt;750,25, IF(DH28&gt;=600,22, IF(DH28&gt;=300,19, IF(DH28&gt;=175,16, IF(DH28&gt;=100,13, IF(DH28&gt;=75,10, IF(DH28&gt;=50,7, 4))))))),0) * IF($DH28&gt;=750,'Rail C&amp;T EF'!$K$18,'Rail C&amp;T EF'!$K$19)*'Rail C&amp;T EF'!$B$146,"")</f>
        <v/>
      </c>
      <c r="EN28" s="306" t="str">
        <f ca="1">IFERROR(IF('GHG Calcs'!CD28="Gasoline",0,VLOOKUP('GHG Calcs'!$CF28,'Rail C&amp;T EF'!$A$43:$Y$133,IF(DH28&gt;750,25, IF(DH28&gt;=600,22, IF(DH28&gt;=300,19, IF(DH28&gt;=175,16, IF(DH28&gt;=100,13, IF(DH28&gt;=75,10, IF(DH28&gt;=50,7, 4))))))),0) * IF($DH28&gt;=750,'Rail C&amp;T EF'!$K$18,'Rail C&amp;T EF'!$K$19)),"")</f>
        <v/>
      </c>
      <c r="EO28" s="306" t="str">
        <f ca="1">IFERROR(VLOOKUP('GHG Calcs'!$CF28,'Ferry C&amp;T EF'!$A$106:$AK$196,IF(DH28&gt;=3301,35, IF(DH28&gt;=1901,31, IF(DH28&gt;=751,27, IF(DH28&gt;=501,23, IF(DH28&gt;=251,19, IF(DH28&gt;=176,15, IF(DH28&gt;=121,11, IF(DH28&gt;=51,7, 3)))))))),0),"")</f>
        <v/>
      </c>
      <c r="EP28" s="306" t="str">
        <f ca="1">IFERROR(VLOOKUP('GHG Calcs'!$CF28,'Ferry C&amp;T EF'!$A$106:$AK$196,IF(DH28&gt;=3301,34, IF(DH28&gt;=1901,30, IF(DH28&gt;=751,26, IF(DH28&gt;=501,22, IF(DH28&gt;=251,18, IF(DH28&gt;=176,14, IF(DH28&gt;=121,10, IF(DH28&gt;=51,6, 2)))))))),0),"")</f>
        <v/>
      </c>
      <c r="EQ28" s="306" t="str">
        <f ca="1">IFERROR(VLOOKUP('GHG Calcs'!$CF28,'Ferry C&amp;T EF'!$A$106:$AK$196,IF(DH28&gt;=3301,37, IF(DH28&gt;=1901,33, IF(DH28&gt;=751,29, IF(DH28&gt;=501,25, IF(DH28&gt;=251,21, IF(DH28&gt;=176,17, IF(DH28&gt;=121,13, IF(DH28&gt;=51,9, 5)))))))),0),"")</f>
        <v/>
      </c>
      <c r="ER28" s="306" t="str">
        <f ca="1">IFERROR(IF('GHG Calcs'!$CD28="Gasoline",0,VLOOKUP('GHG Calcs'!$CF28,'Ferry C&amp;T EF'!$A$106:$AK$196,IF(DH28&gt;=3301,36, IF(DH28&gt;=1901,32, IF(DH28&gt;=751,28, IF(DH28&gt;=501,24, IF(DH28&gt;=251,20, IF(DH28&gt;=176,16, IF(DH28&gt;=121,12, IF(DH28&gt;=51,8, 4)))))))),0)),"")</f>
        <v/>
      </c>
      <c r="ES28" s="1419" t="str">
        <f ca="1">IFERROR(IF('GHG Calcs'!$CD28="Gasoline",VLOOKUP('GHG Calcs'!$CG28,'Fuel Consumption'!$A$31:$L$2316,3,0),IF(OR('GHG Calcs'!$CD28="CNG",'GHG Calcs'!$CD28="LNG",'GHG Calcs'!$CD28="Renewable Natural Gas"),VLOOKUP('GHG Calcs'!$CG28,'Fuel Consumption'!$A$31:$L$2316,4,0)*VLOOKUP('GHG Calcs'!$CD28,'GHG EF'!$B$10:$H$19,4,0),VLOOKUP('GHG Calcs'!$CG28,'Fuel Consumption'!$A$31:$L$2316,2,0)*VLOOKUP('GHG Calcs'!$AD28,'GHG EF'!$B$10:$H$19,4,0))),"")</f>
        <v/>
      </c>
      <c r="ET28" s="1419" t="str">
        <f ca="1">IFERROR(IF(OR('GHG Calcs'!$CD28="Diesel",'GHG Calcs'!$CD28="Renewable Diesel",'GHG Calcs'!$CD28="Biodiesel"),VLOOKUP('GHG Calcs'!$CG28,'Fuel Consumption'!$A$31:$L$2316,6,0)*VLOOKUP('GHG Calcs'!$CD28,'GHG EF'!$B$10:$H$19,4,0),VLOOKUP('GHG Calcs'!$CG28,'Fuel Consumption'!$A$31:$L$2316,7,0)*VLOOKUP('GHG Calcs'!$CD28,'GHG EF'!$B$10:$H$19,5,0)),"")</f>
        <v/>
      </c>
      <c r="EU28" s="1419" t="str">
        <f ca="1">IFERROR(IF(OR('GHG Calcs'!$CD28="Diesel",'GHG Calcs'!$CD28="Renewable Diesel",'GHG Calcs'!$CD28="Biodiesel"),VLOOKUP('GHG Calcs'!$CG28,'Fuel Consumption'!$A$31:$L$2316,9,0)*VLOOKUP('GHG Calcs'!$CD28,'GHG EF'!$B$10:$H$19,4,0),VLOOKUP('GHG Calcs'!$CG28,'Fuel Consumption'!$A$31:$L$2316,10,0)*VLOOKUP('GHG Calcs'!$CD28,'GHG EF'!$B$10:$H$19,5,0)),"")</f>
        <v/>
      </c>
      <c r="EV28" s="1419" t="str">
        <f ca="1">IFERROR(VLOOKUP('GHG Calcs'!$CG28,'Fuel Consumption'!$A$31:$L$2316,12,0)*VLOOKUP('GHG Calcs'!$CD28,'GHG EF'!$B$10:$H$19,4,0),"")</f>
        <v/>
      </c>
      <c r="EW28" s="1373" t="str">
        <f ca="1">IFERROR(IF(OR('GHG Calcs'!CD28=Defaults!$I$4, 'GHG Calcs'!CD28=Defaults!$I$6, 'GHG Calcs'!CD28=Defaults!$I$8),'GHG Calcs'!CE28,IF('GHG Calcs'!CD28=Defaults!$I$3, 'GHG Calcs'!CE28*'GHG EF'!$C$11/'GHG EF'!$C$12,""))*('GHG Calcs'!I28-'GHG Calcs'!H28),"")</f>
        <v/>
      </c>
      <c r="EX28" s="1373" t="str">
        <f ca="1">IFERROR(IF('GHG Calcs'!CD28=Defaults!$I$5,'GHG Calcs'!CE28,"")*('GHG Calcs'!I28-'GHG Calcs'!H28),"")</f>
        <v/>
      </c>
      <c r="EY28" s="1420" t="str">
        <f ca="1">IFERROR('GHG Calcs'!CE28*VLOOKUP('GHG Calcs'!CD28,'Fuel &amp; Travel Costs'!$B$10:$C$19,2,0)*('GHG Calcs'!I28-'GHG Calcs'!H28),"")</f>
        <v/>
      </c>
      <c r="EZ28" s="1420" t="str">
        <f t="shared" ca="1" si="0"/>
        <v/>
      </c>
      <c r="FA28" s="306">
        <f ca="1">INDIRECT("'Quantifiable Component "&amp;$B28&amp;"'!"&amp;$D28&amp;ROW('Quantifiable Component 1'!$77:$77))</f>
        <v>0</v>
      </c>
      <c r="FB28" s="306">
        <f ca="1">INDIRECT("'Quantifiable Component "&amp;$B28&amp;"'!"&amp;$D28&amp;ROW('Quantifiable Component 1'!$78:$78))</f>
        <v>0</v>
      </c>
      <c r="FC28" s="306">
        <f ca="1">INDIRECT("'Quantifiable Component "&amp;$B28&amp;"'!"&amp;$D28&amp;ROW('Quantifiable Component 1'!$79:$79))</f>
        <v>0</v>
      </c>
      <c r="FD28" s="306">
        <f ca="1">INDIRECT("'Quantifiable Component "&amp;$B28&amp;"'!"&amp;$D28&amp;ROW('Quantifiable Component 1'!$80:$80))</f>
        <v>0</v>
      </c>
      <c r="FE28" s="306">
        <f ca="1">INDIRECT("'Quantifiable Component "&amp;$B28&amp;"'!"&amp;$D28&amp;ROW('Quantifiable Component 1'!$81:$81))</f>
        <v>0</v>
      </c>
    </row>
    <row r="29" spans="1:161" s="117" customFormat="1" x14ac:dyDescent="0.35">
      <c r="A29" s="1648"/>
      <c r="B29" s="1367">
        <v>6</v>
      </c>
      <c r="C29" s="1380">
        <v>3</v>
      </c>
      <c r="D29" s="1368" t="str">
        <f>'GHG Calcs'!D29</f>
        <v>K</v>
      </c>
      <c r="E29" s="1416">
        <f ca="1">'GHG Calcs'!U29</f>
        <v>0</v>
      </c>
      <c r="F29" s="1416">
        <f ca="1">'GHG Calcs'!W29</f>
        <v>0</v>
      </c>
      <c r="G29" s="1417" t="str">
        <f ca="1">IFERROR(VLOOKUP('GHG Calcs'!K29,'Auto C&amp;T EF'!$C$35:$K$2662,2,0)*E29,"")</f>
        <v/>
      </c>
      <c r="H29" s="1417" t="str">
        <f ca="1">IFERROR(VLOOKUP('GHG Calcs'!L29,'Auto C&amp;T EF'!$C$35:$K$2662,2,0)*F29,"")</f>
        <v/>
      </c>
      <c r="I29" s="1417" t="str">
        <f ca="1">IFERROR(VLOOKUP('GHG Calcs'!$K29,'Auto C&amp;T EF'!$C$35:$K$2662,3,0)*$E29,"")</f>
        <v/>
      </c>
      <c r="J29" s="1417" t="str">
        <f ca="1">IFERROR(VLOOKUP('GHG Calcs'!$L29,'Auto C&amp;T EF'!$C$35:$K$2662,3,0)*$F29,"")</f>
        <v/>
      </c>
      <c r="K29" s="1417" t="str">
        <f ca="1">IFERROR((VLOOKUP('GHG Calcs'!$K29,'Auto C&amp;T EF'!$C$35:$K$2662,5,0)+VLOOKUP('GHG Calcs'!$K29,'Auto C&amp;T EF'!$C$35:$K$2662,6,0)+VLOOKUP('GHG Calcs'!$K29,'Auto C&amp;T EF'!$C$35:$K$2662,7,0))*$E29,"")</f>
        <v/>
      </c>
      <c r="L29" s="1417" t="str">
        <f ca="1">IFERROR((VLOOKUP('GHG Calcs'!$L29,'Auto C&amp;T EF'!$C$35:$K$2662,5,0)+VLOOKUP('GHG Calcs'!$L29,'Auto C&amp;T EF'!$C$35:$K$2662,6,0)+VLOOKUP('GHG Calcs'!$L29,'Auto C&amp;T EF'!$C$35:$K$2662,7,0))*$F29,"")</f>
        <v/>
      </c>
      <c r="M29" s="1417" t="str">
        <f ca="1">IFERROR(VLOOKUP('GHG Calcs'!$K29,'Auto C&amp;T EF'!$C$35:$K$2662,8,0)*$E29,"")</f>
        <v/>
      </c>
      <c r="N29" s="1417" t="str">
        <f ca="1">IFERROR(VLOOKUP('GHG Calcs'!$L29,'Auto C&amp;T EF'!$C$35:$K$2662,8,0)*$F29,"")</f>
        <v/>
      </c>
      <c r="O29" s="1418">
        <f ca="1">IFERROR(AVERAGE(G29:H29)*('GHG Calcs'!I29-'GHG Calcs'!H29),0)</f>
        <v>0</v>
      </c>
      <c r="P29" s="1418">
        <f ca="1">IFERROR(AVERAGE(I29:J29)*('GHG Calcs'!I29-'GHG Calcs'!H29),0)</f>
        <v>0</v>
      </c>
      <c r="Q29" s="1418">
        <f ca="1">IFERROR(AVERAGE(K29:L29)*('GHG Calcs'!I29-'GHG Calcs'!H29),0)</f>
        <v>0</v>
      </c>
      <c r="R29" s="1418">
        <f ca="1">IFERROR(AVERAGE(M29:N29)*('GHG Calcs'!I29-'GHG Calcs'!H29),0)</f>
        <v>0</v>
      </c>
      <c r="S29" s="1418">
        <f ca="1">IFERROR(AVERAGE(E29*VLOOKUP('GHG Calcs'!K29,'Auto C&amp;T EF'!$C$35:$L$2662,10,0),F29*VLOOKUP('GHG Calcs'!L29,'Auto C&amp;T EF'!$C$35:$L$2662,10,0))*('GHG Calcs'!I29-'GHG Calcs'!H29),0)</f>
        <v>0</v>
      </c>
      <c r="T29" s="1379">
        <f ca="1">INDIRECT("'Quantifiable Component "&amp;$B29&amp;"'!"&amp;$D29&amp;ROW('Quantifiable Component 1'!$47:$47))</f>
        <v>0</v>
      </c>
      <c r="U29" s="1379">
        <f ca="1">INDIRECT("'Quantifiable Component "&amp;$B29&amp;"'!"&amp;$D29&amp;ROW('Quantifiable Component 1'!$48:$48))</f>
        <v>0</v>
      </c>
      <c r="V29" s="306" t="str">
        <f ca="1">IFERROR(IF('GHG Calcs'!$AD29="Gasoline",VLOOKUP('GHG Calcs'!$AH29,'Bus C&amp;T EF'!$D$30:$V$2315,3,0),IF(OR('GHG Calcs'!$AD29="CNG",'GHG Calcs'!$AD29="LNG",'GHG Calcs'!$AD29="Renewable Natural Gas"),VLOOKUP('GHG Calcs'!$AH29,'Bus C&amp;T EF'!$D$30:$V$2315,4,0),VLOOKUP('GHG Calcs'!$AH29,'Bus C&amp;T EF'!$D$30:$V$2315,2,0)))/IF('GHG Calcs'!AE29&gt;0,$BF29,1),"")</f>
        <v/>
      </c>
      <c r="W29" s="306" t="str">
        <f ca="1">IFERROR(IF('GHG Calcs'!$AD29="Gasoline",VLOOKUP('GHG Calcs'!$AH29,'Bus C&amp;T EF'!$D$30:$V$2315,6,0),IF(OR('GHG Calcs'!$AD29="CNG",'GHG Calcs'!$AD29="LNG",'GHG Calcs'!$AD29="Renewable Natural Gas"),VLOOKUP('GHG Calcs'!$AH29,'Bus C&amp;T EF'!$D$30:$V$2315,7,0),VLOOKUP('GHG Calcs'!$AH29,'Bus C&amp;T EF'!$D$30:$V$2315,5,0)))/IF('GHG Calcs'!AE29&gt;0,$BF29,1),"")</f>
        <v/>
      </c>
      <c r="X29" s="1419" t="str">
        <f ca="1">IFERROR(IF('GHG Calcs'!$AD29="Gasoline",VLOOKUP('GHG Calcs'!$AH29,'Bus C&amp;T EF'!$D$30:$V$2315,9,0),IF(OR('GHG Calcs'!$AD29="CNG",'GHG Calcs'!$AD29="LNG",'GHG Calcs'!$AD29="Renewable Natural Gas"),VLOOKUP('GHG Calcs'!$AH29,'Bus C&amp;T EF'!$D$30:$V$2315,10,0),VLOOKUP('GHG Calcs'!$AH29,'Bus C&amp;T EF'!$D$30:$V$2315,8,0)))/IF('GHG Calcs'!AE29&gt;0,$BF29,1),"")</f>
        <v/>
      </c>
      <c r="Y29" s="1419" t="str">
        <f ca="1">IFERROR(IF('GHG Calcs'!$AD29="Gasoline",VLOOKUP('GHG Calcs'!$AH29,'Bus C&amp;T EF'!$D$30:$V$2315,12,0),IF(OR('GHG Calcs'!$AD29="CNG",'GHG Calcs'!$AD29="LNG",'GHG Calcs'!$AD29="Renewable Natural Gas"),VLOOKUP('GHG Calcs'!$AH29,'Bus C&amp;T EF'!$D$30:$V$2315,13,0),IF(OR('GHG Calcs'!$AD29="Electric",'GHG Calcs'!$AD29="Hydrogen Fuel Cell",'GHG Calcs'!$AD29="Renewable Electricity"),VLOOKUP('GHG Calcs'!$AH29,'Bus C&amp;T EF'!$D$30:$V$2315,14,0),VLOOKUP('GHG Calcs'!$AH29,'Bus C&amp;T EF'!$D$30:$V$2315,11,0))))/IF('GHG Calcs'!AE29&gt;0,$BF29,1),"")</f>
        <v/>
      </c>
      <c r="Z29" s="1419" t="str">
        <f ca="1">IFERROR(IF('GHG Calcs'!$AD29="Gasoline",VLOOKUP('GHG Calcs'!$AH29,'Bus C&amp;T EF'!$D$30:$V$2315,16,0),IF(OR('GHG Calcs'!$AD29="CNG",'GHG Calcs'!$AD29="LNG",'GHG Calcs'!$AD29="Renewable Natural Gas"),VLOOKUP('GHG Calcs'!$AH29,'Bus C&amp;T EF'!$D$30:$V$2315,17,0),IF(OR('GHG Calcs'!$AD29="Electric",'GHG Calcs'!$AD29="Hydrogen Fuel Cell",'GHG Calcs'!$AD29="Renewable Electricity"),VLOOKUP('GHG Calcs'!$AH29,'Bus C&amp;T EF'!$D$30:$V$2315,18,0),VLOOKUP('GHG Calcs'!$AH29,'Bus C&amp;T EF'!$D$30:$V$2315,15,0))))/IF('GHG Calcs'!AE29&gt;0,$BF29,1),"")</f>
        <v/>
      </c>
      <c r="AA29" s="306" t="str">
        <f ca="1">IFERROR(IF('GHG Calcs'!$AD29="Gasoline",0,VLOOKUP('GHG Calcs'!$AH29,'Bus C&amp;T EF'!$D$30:$V$2315,19,0))/IF('GHG Calcs'!AE29&gt;0,$BF29,1),"")</f>
        <v/>
      </c>
      <c r="AB29" s="1419" t="str">
        <f ca="1">IFERROR(IF(OR('GHG Calcs'!$AD29="Diesel",'GHG Calcs'!$AD29="Renewable Diesel",'GHG Calcs'!$AD29="Biodiesel"),VLOOKUP('GHG Calcs'!$AH29,'Van C&amp;T EF'!$D$30:$Q$2315,2,0),VLOOKUP('GHG Calcs'!$AH29,'Van C&amp;T EF'!$D$30:$Q$2315,3,0))/IF('GHG Calcs'!AE29&gt;0,$BG29,1),"")</f>
        <v/>
      </c>
      <c r="AC29" s="1419" t="str">
        <f ca="1">IFERROR(IF(OR('GHG Calcs'!$AD29="Diesel",'GHG Calcs'!$AD29="Renewable Diesel",'GHG Calcs'!$AD29="Biodiesel"),VLOOKUP('GHG Calcs'!$AH29,'Van C&amp;T EF'!$D$30:$Q$2315,4,0),VLOOKUP('GHG Calcs'!$AH29,'Van C&amp;T EF'!$D$30:$Q$2315,5,0))/IF('GHG Calcs'!AE29&gt;0,$BG29,1),"")</f>
        <v/>
      </c>
      <c r="AD29" s="1419" t="str">
        <f ca="1">IFERROR(IF(OR('GHG Calcs'!$AD29="Diesel",'GHG Calcs'!$AD29="Renewable Diesel",'GHG Calcs'!$AD29="Biodiesel"),VLOOKUP('GHG Calcs'!$AH29,'Van C&amp;T EF'!$D$30:$Q$2315,6,0),VLOOKUP('GHG Calcs'!$AH29,'Van C&amp;T EF'!$D$30:$Q$2315,7,0))/IF('GHG Calcs'!AE29&gt;0,$BG29,1),"")</f>
        <v/>
      </c>
      <c r="AE29" s="1419" t="str">
        <f ca="1">IFERROR(IF(OR('GHG Calcs'!$AD29="Diesel",'GHG Calcs'!$AD29="Renewable Diesel",'GHG Calcs'!$AD29="Biodiesel"),VLOOKUP('GHG Calcs'!$AH29,'Van C&amp;T EF'!$D$30:$Q$2315,8,0),IF(OR('GHG Calcs'!$AD29="Electric",'GHG Calcs'!$AD29="Hydrogen Fuel Cell",'GHG Calcs'!$AD29="Renewable Electricity"),VLOOKUP('GHG Calcs'!$AH29,'Van C&amp;T EF'!$D$30:$Q$2315,10,0),VLOOKUP('GHG Calcs'!$AH29,'Van C&amp;T EF'!$D$30:$Q$2315,9,0)))/IF('GHG Calcs'!AE29&gt;0,$BG29,1),"")</f>
        <v/>
      </c>
      <c r="AF29" s="1419" t="str">
        <f ca="1">IFERROR(IF(OR('GHG Calcs'!$AD29="Diesel",'GHG Calcs'!$AD29="Renewable Diesel",'GHG Calcs'!$AD29="Biodiesel"),VLOOKUP('GHG Calcs'!$AH29,'Van C&amp;T EF'!$D$30:$Q$2315,11,0),IF(OR('GHG Calcs'!$AD29="Electric",'GHG Calcs'!$AD29="Hydrogen Fuel Cell",'GHG Calcs'!$AD29="Renewable Electricity"),VLOOKUP('GHG Calcs'!$AH29,'Van C&amp;T EF'!$D$30:$Q$2315,13,0),VLOOKUP('GHG Calcs'!$AH29,'Van C&amp;T EF'!$D$30:$Q$2315,12,0)))/IF('GHG Calcs'!AE29&gt;0,$BG29,1),"")</f>
        <v/>
      </c>
      <c r="AG29" s="306">
        <f ca="1">IFERROR(IF(OR('GHG Calcs'!$AD29="Diesel",'GHG Calcs'!$AD29="Biodiesel",'GHG Calcs'!$AD29="Renewable Diesel"),VLOOKUP('GHG Calcs'!$AH29,'Van C&amp;T EF'!$D$30:$Q$2315,14,0),0)/IF('GHG Calcs'!AE29&gt;0,$BG29,1),"")</f>
        <v>0</v>
      </c>
      <c r="AH29" s="1419" t="str">
        <f ca="1">IFERROR(IF(OR('GHG Calcs'!$AD29="Diesel",'GHG Calcs'!$AD29="Renewable Diesel",'GHG Calcs'!$AD29="Biodiesel"),VLOOKUP('GHG Calcs'!$AH29,'Shuttle C&amp;T EF'!$D$30:$Q$2315,2,0),VLOOKUP('GHG Calcs'!$AH29,'Shuttle C&amp;T EF'!$D$30:$Q$2315,3,0))/IF('GHG Calcs'!AE29&gt;0,$BH29,1),"")</f>
        <v/>
      </c>
      <c r="AI29" s="1419" t="str">
        <f ca="1">IFERROR(IF(OR('GHG Calcs'!$AD29="Diesel",'GHG Calcs'!$AD29="Renewable Diesel",'GHG Calcs'!$AD29="Biodiesel"),VLOOKUP('GHG Calcs'!$AH29,'Shuttle C&amp;T EF'!$D$30:$Q$2315,4,0),VLOOKUP('GHG Calcs'!$AH29,'Shuttle C&amp;T EF'!$D$30:$Q$2315,5,0))/IF('GHG Calcs'!AE29&gt;0,$BH29,1),"")</f>
        <v/>
      </c>
      <c r="AJ29" s="1419" t="str">
        <f ca="1">IFERROR(IF(OR('GHG Calcs'!$AD29="Diesel",'GHG Calcs'!$AD29="Renewable Diesel",'GHG Calcs'!$AD29="Biodiesel"),VLOOKUP('GHG Calcs'!$AH29,'Shuttle C&amp;T EF'!$D$30:$Q$2315,6,0),VLOOKUP('GHG Calcs'!$AH29,'Shuttle C&amp;T EF'!$D$30:$Q$2315,7,0))/IF('GHG Calcs'!AE29&gt;0,$BH29,1),"")</f>
        <v/>
      </c>
      <c r="AK29" s="1419" t="str">
        <f ca="1">IFERROR(IF(OR('GHG Calcs'!$AD29="Diesel",'GHG Calcs'!$AD29="Renewable Diesel",'GHG Calcs'!$AD29="Biodiesel"),VLOOKUP('GHG Calcs'!$AH29,'Shuttle C&amp;T EF'!$D$30:$Q$2315,8,0),IF(OR('GHG Calcs'!$AD29="Electric",'GHG Calcs'!$AD29="Hydrogen Fuel Cell",'GHG Calcs'!$AD29="Renewable Electricity"),VLOOKUP('GHG Calcs'!$AH29,'Shuttle C&amp;T EF'!$D$30:$Q$2315,10,0),VLOOKUP('GHG Calcs'!$AH29,'Shuttle C&amp;T EF'!$D$30:$Q$2315,9,0)))/IF('GHG Calcs'!AE29&gt;0,$BH29,1),"")</f>
        <v/>
      </c>
      <c r="AL29" s="1419" t="str">
        <f ca="1">IFERROR(IF(OR('GHG Calcs'!$AD29="Diesel",'GHG Calcs'!$AD29="Renewable Diesel",'GHG Calcs'!$AD29="Biodiesel"),VLOOKUP('GHG Calcs'!$AH29,'Shuttle C&amp;T EF'!$D$30:$Q$2315,11,0),IF(OR('GHG Calcs'!$AD29="Electric",'GHG Calcs'!$AD29="Hydrogen Fuel Cell",'GHG Calcs'!$AD29="Renewable Electricity"),VLOOKUP('GHG Calcs'!$AH29,'Shuttle C&amp;T EF'!$D$30:$Q$2315,13,0),VLOOKUP('GHG Calcs'!$AH29,'Shuttle C&amp;T EF'!$D$30:$Q$2315,12,0)))/IF('GHG Calcs'!AE29&gt;0,$BH29,1),"")</f>
        <v/>
      </c>
      <c r="AM29" s="1419">
        <f ca="1">IFERROR(IF(OR('GHG Calcs'!$AD29="Diesel",'GHG Calcs'!$AD29="Biodiesel",'GHG Calcs'!$AD29="Renewable Diesel"),VLOOKUP('GHG Calcs'!$AH29,'Shuttle C&amp;T EF'!$D$30:$Q$2315,14,0),0)/IF('GHG Calcs'!AE29&gt;0,$BH29,1),"")</f>
        <v>0</v>
      </c>
      <c r="AN29" s="306" t="str">
        <f ca="1">IFERROR((VLOOKUP('GHG Calcs'!$AH29,'Over-Road Coach C&amp;T EF'!$D$29:$N$2314,2,0)+VLOOKUP('GHG Calcs'!$AH29,'Over-Road Coach C&amp;T EF'!$D$29:$N$2314,3,0))/IF('GHG Calcs'!AE29&gt;0,$BI29,1),"")</f>
        <v/>
      </c>
      <c r="AO29" s="306" t="str">
        <f ca="1">IFERROR((VLOOKUP('GHG Calcs'!$AH29,'Over-Road Coach C&amp;T EF'!$D$29:$N$2314,4,0)+VLOOKUP('GHG Calcs'!$AH29,'Over-Road Coach C&amp;T EF'!$D$29:$N$2314,5,0))/IF('GHG Calcs'!AE29&gt;0,$BI29,1),"")</f>
        <v/>
      </c>
      <c r="AP29" s="306" t="str">
        <f ca="1">IFERROR((VLOOKUP('GHG Calcs'!$AH29,'Over-Road Coach C&amp;T EF'!$D$29:$N$2314,6,0)+VLOOKUP('GHG Calcs'!$AH29,'Over-Road Coach C&amp;T EF'!$D$29:$N$2314,7,0))/IF('GHG Calcs'!AE29&gt;0,$BI29,1),"")</f>
        <v/>
      </c>
      <c r="AQ29" s="306" t="str">
        <f ca="1">IFERROR(VLOOKUP('GHG Calcs'!$AH29,'Over-Road Coach C&amp;T EF'!$D$29:$N$2314,8,0)/IF('GHG Calcs'!AE29&gt;0,$BI29,1),"")</f>
        <v/>
      </c>
      <c r="AR29" s="306" t="str">
        <f ca="1">IFERROR(VLOOKUP('GHG Calcs'!$AH29,'Over-Road Coach C&amp;T EF'!$D$29:$N$2314,9,0)/IF('GHG Calcs'!AE29&gt;0,$BI29,1),"")</f>
        <v/>
      </c>
      <c r="AS29" s="306" t="str">
        <f ca="1">IFERROR((VLOOKUP('GHG Calcs'!$AH29,'Over-Road Coach C&amp;T EF'!$D$29:$N$2314,10,0)+VLOOKUP('GHG Calcs'!$AH29,'Over-Road Coach C&amp;T EF'!$D$29:$N$2314,11,0))/IF('GHG Calcs'!AE29&gt;0,$BI29,1),"")</f>
        <v/>
      </c>
      <c r="AT29" s="306" t="str">
        <f ca="1">IFERROR(VLOOKUP(T29,'Co-Benefit Calcs'!$E$76:$I$83,2,0)/IF('GHG Calcs'!$AE29&gt;0,'Rail C&amp;T EF'!$K$14,1),"")</f>
        <v/>
      </c>
      <c r="AU29" s="306" t="str">
        <f ca="1">IFERROR(VLOOKUP(T29,'Co-Benefit Calcs'!$E$76:$I$83,3,0)/IF('GHG Calcs'!$AE29&gt;0,'Rail C&amp;T EF'!$K$14,1),"")</f>
        <v/>
      </c>
      <c r="AV29" s="306" t="str">
        <f ca="1">IFERROR(VLOOKUP(T29,'Co-Benefit Calcs'!$E$76:$I$83,4,0)/IF('GHG Calcs'!$AE29&gt;0,'Rail C&amp;T EF'!$K$14,1),"")</f>
        <v/>
      </c>
      <c r="AW29" s="306" t="str">
        <f ca="1">IFERROR(IF('GHG Calcs'!$AD29="Gasoline",0,VLOOKUP(T29,'Co-Benefit Calcs'!$E$76:$I$83,5,0))/IF('GHG Calcs'!$AE29&gt;0,'Rail C&amp;T EF'!$K$14,1),"")</f>
        <v/>
      </c>
      <c r="AX29" s="306" t="str">
        <f ca="1">IFERROR(VLOOKUP('GHG Calcs'!$AG29,'Rail C&amp;T EF'!$A$43:$Y$133,IF(U29&gt;750,23, IF(U29&gt;=600,20, IF(U29&gt;=300,17, IF(U29&gt;=175,14, IF(U29&gt;=100,11, IF(U29&gt;=75,8, IF(U29&gt;=50,5, 2))))))),0) * IF($U29&gt;=750,'Rail C&amp;T EF'!$K$18,'Rail C&amp;T EF'!$K$19) * IF('GHG Calcs'!$AE29&gt;0,1,'Rail C&amp;T EF'!$B$149) * IF(OR('GHG Calcs'!AD29="Diesel", 'GHG Calcs'!AD29="Renewable Diesel", 'GHG Calcs'!AD29="Biodiesel"),'Rail C&amp;T EF'!$B$141,'Rail C&amp;T EF'!$B$142),"")</f>
        <v/>
      </c>
      <c r="AY29" s="306" t="str">
        <f ca="1">IFERROR(VLOOKUP('GHG Calcs'!$AG29,'Rail C&amp;T EF'!$A$43:$Y$133,IF(U29&gt;750,24, IF(U29&gt;=600,21, IF(U29&gt;=300,18, IF(U29&gt;=175,15, IF(U29&gt;=100,12, IF(U29&gt;=75,9, IF(U29&gt;=50,6, 3))))))),0) * IF($U29&gt;=750,'Rail C&amp;T EF'!$K$18,'Rail C&amp;T EF'!$K$19) * IF('GHG Calcs'!$AE29&gt;0,1,'Rail C&amp;T EF'!$B$149),"")</f>
        <v/>
      </c>
      <c r="AZ29" s="306" t="str">
        <f ca="1">IFERROR(VLOOKUP('GHG Calcs'!$AG29,'Rail C&amp;T EF'!$A$43:$Y$133,IF(U29&gt;750,25, IF(U29&gt;=600,22, IF(U29&gt;=300,19, IF(U29&gt;=175,16, IF(U29&gt;=100,13, IF(U29&gt;=75,10, IF(U29&gt;=50,7, 4))))))),0) * IF($U29&gt;=750,'Rail C&amp;T EF'!$K$18,'Rail C&amp;T EF'!$K$19) * IF('GHG Calcs'!$AE29&gt;0,1,'Rail C&amp;T EF'!$B$149)*'Rail C&amp;T EF'!$B$146,"")</f>
        <v/>
      </c>
      <c r="BA29" s="306" t="str">
        <f ca="1">IFERROR(IF('GHG Calcs'!$AD29="Gasoline",0,VLOOKUP('GHG Calcs'!$AG29,'Rail C&amp;T EF'!$A$43:$Y$133,IF(U29&gt;750,25, IF(U29&gt;=600,22, IF(U29&gt;=300,19, IF(U29&gt;=175,16, IF(U29&gt;=100,13, IF(U29&gt;=75,10, IF(U29&gt;=50,7, 4))))))),0) * IF($U29&gt;=750,'Rail C&amp;T EF'!$K$18,'Rail C&amp;T EF'!$K$19) * IF('GHG Calcs'!$AE29&gt;0,1,'Rail C&amp;T EF'!$B$149)),"")</f>
        <v/>
      </c>
      <c r="BB29" s="306" t="str">
        <f ca="1">IFERROR(VLOOKUP('GHG Calcs'!$AG29,'Ferry C&amp;T EF'!$A$106:$AK$196,IF(U29&gt;=3301,35, IF(U29&gt;=1901,31, IF(U29&gt;=751,27, IF(U29&gt;=501,23, IF(U29&gt;=251,19, IF(U29&gt;=176,15, IF(U29&gt;=121,11, IF(U29&gt;=51,7, 3)))))))),0),"")</f>
        <v/>
      </c>
      <c r="BC29" s="306" t="str">
        <f ca="1">IFERROR(VLOOKUP('GHG Calcs'!$AG29,'Ferry C&amp;T EF'!$A$106:$AK$196,IF(U29&gt;=3301,34, IF(U29&gt;=1901,30, IF(U29&gt;=751,26, IF(U29&gt;=501,22, IF(U29&gt;=251,18, IF(U29&gt;=176,14, IF(U29&gt;=121,10, IF(U29&gt;=51,6, 2)))))))),0),"")</f>
        <v/>
      </c>
      <c r="BD29" s="306" t="str">
        <f ca="1">IFERROR(VLOOKUP('GHG Calcs'!$AG29,'Ferry C&amp;T EF'!$A$106:$AK$196,IF(U29&gt;=3301,37, IF(U29&gt;=1901,33, IF(U29&gt;=751,29, IF(U29&gt;=501,25, IF(U29&gt;=251,21, IF(U29&gt;=176,17, IF(U29&gt;=121,13, IF(U29&gt;=51,9, 5)))))))),0),"")</f>
        <v/>
      </c>
      <c r="BE29" s="306" t="str">
        <f ca="1">IFERROR(IF('GHG Calcs'!$AD29="Gasoline",0,VLOOKUP('GHG Calcs'!$AG29,'Ferry C&amp;T EF'!$A$106:$AK$196,IF(U29&gt;=3301,36, IF(U29&gt;=1901,32, IF(U29&gt;=751,28, IF(U29&gt;=501,24, IF(U29&gt;=251,20, IF(U29&gt;=176,16, IF(U29&gt;=121,12, IF(U29&gt;=51,8, 4)))))))),0)),"")</f>
        <v/>
      </c>
      <c r="BF29" s="1419" t="str">
        <f ca="1">IFERROR(IF('GHG Calcs'!$AD29="Gasoline",VLOOKUP('GHG Calcs'!$AH29,'Fuel Consumption'!$A$31:$L$2316,3,0),IF(OR('GHG Calcs'!$AD29="CNG",'GHG Calcs'!$AD29="LNG",'GHG Calcs'!$AD29="Renewable Natural Gas"),VLOOKUP('GHG Calcs'!$AH29,'Fuel Consumption'!$A$31:$L$2316,4,0)*VLOOKUP('GHG Calcs'!$AD29,'GHG EF'!$B$10:$H$19,4,0),VLOOKUP('GHG Calcs'!$AH29,'Fuel Consumption'!$A$31:$L$2316,2,0)*VLOOKUP('GHG Calcs'!$AD29,'GHG EF'!$B$10:$H$19,4,0))),"")</f>
        <v/>
      </c>
      <c r="BG29" s="1419" t="str">
        <f ca="1">IFERROR(IF(OR('GHG Calcs'!$AD29="Diesel",'GHG Calcs'!$AD29="Renewable Diesel",'GHG Calcs'!$AD29="Biodiesel"),VLOOKUP('GHG Calcs'!$AH29,'Fuel Consumption'!$A$31:$L$2316,6,0)*VLOOKUP('GHG Calcs'!$AD29,'GHG EF'!$B$10:$H$19,4,0),VLOOKUP('GHG Calcs'!$AH29,'Fuel Consumption'!$A$31:$L$2316,7,0)*VLOOKUP('GHG Calcs'!$AD29,'GHG EF'!$B$10:$H$19,5,0)),"")</f>
        <v/>
      </c>
      <c r="BH29" s="1419" t="str">
        <f ca="1">IFERROR(IF(OR('GHG Calcs'!$AD29="Diesel",'GHG Calcs'!$AD29="Renewable Diesel",'GHG Calcs'!$AD29="Biodiesel"),VLOOKUP('GHG Calcs'!$AH29,'Fuel Consumption'!$A$31:$L$2316,9,0)*VLOOKUP('GHG Calcs'!$AD29,'GHG EF'!$B$10:$H$19,4,0),VLOOKUP('GHG Calcs'!$AH29,'Fuel Consumption'!$A$31:$L$2316,10,0)*VLOOKUP('GHG Calcs'!$AD29,'GHG EF'!$B$10:$H$19,5,0)),"")</f>
        <v/>
      </c>
      <c r="BI29" s="1419" t="str">
        <f ca="1">IFERROR(VLOOKUP('GHG Calcs'!$AH29,'Fuel Consumption'!$A$31:$L$2316,12,0)*VLOOKUP('GHG Calcs'!$AD29,'GHG EF'!$B$10:$H$19,4,0),"")</f>
        <v/>
      </c>
      <c r="BJ29" s="1373" t="str">
        <f ca="1">IFERROR(IF(OR('GHG Calcs'!AD29=Defaults!$I$3, 'GHG Calcs'!AD29=Defaults!$I$4, 'GHG Calcs'!AD29=Defaults!$I$6, 'GHG Calcs'!AD29=Defaults!$I$8), IF('GHG Calcs'!AE29&gt;0,'GHG Calcs'!AE29*IF('GHG Calcs'!AD29=Defaults!$I$3,'GHG EF'!$C$11/'GHG EF'!$C$12,1),'GHG Calcs'!AK29*'GHG Calcs'!AI29),"")*('GHG Calcs'!I29-'GHG Calcs'!H29),"")</f>
        <v/>
      </c>
      <c r="BK29" s="1373" t="str">
        <f ca="1">IFERROR(IF('GHG Calcs'!AD29=Defaults!$I$5,IF('GHG Calcs'!AE29&gt;0,'GHG Calcs'!AE29,'GHG Calcs'!AJ29*'GHG Calcs'!AI29),"")*IF('GHG Calcs'!AF29&lt;'GHG EF'!$D$13,'GHG Calcs'!AF29/'GHG EF'!$D$13,1)*IF('GHG Calcs'!AF29&lt;0,0,1)*('GHG Calcs'!I29-'GHG Calcs'!H29),"")</f>
        <v/>
      </c>
      <c r="BL29" s="1373" t="str">
        <f ca="1">IFERROR(IF('GHG Calcs'!AD29=Defaults!$I$11, IF(IF('GHG Calcs'!AE29&gt;0,'GHG Calcs'!AE29,'GHG Calcs'!AJ29*'GHG Calcs'!AI29)&lt;INDIRECT("'"&amp;#REF!&amp;"'!"&amp;$D29&amp;ROW(#REF!)), IF('GHG Calcs'!AE29&gt;0,'GHG Calcs'!AE29,'GHG Calcs'!AJ29*'GHG Calcs'!AI29), INDIRECT("'"&amp;#REF!&amp;"'!"&amp;$D29&amp;ROW(#REF!))),"")*('GHG Calcs'!I29-'GHG Calcs'!H29),"")</f>
        <v/>
      </c>
      <c r="BM29" s="1420" t="str">
        <f ca="1">IFERROR(IF('GHG Calcs'!AE29&gt;0,'GHG Calcs'!AE29,'GHG Calcs'!AL29*'GHG Calcs'!AI29)*VLOOKUP('GHG Calcs'!AD29,'Fuel &amp; Travel Costs'!$B$10:$C$19,2,0)*('GHG Calcs'!I29-'GHG Calcs'!H29),"")</f>
        <v/>
      </c>
      <c r="BN29" s="306">
        <f ca="1">INDIRECT("'Quantifiable Component "&amp;$B29&amp;"'!"&amp;$D29&amp;ROW('Quantifiable Component 1'!$59:$59))</f>
        <v>0</v>
      </c>
      <c r="BO29" s="306">
        <f ca="1">INDIRECT("'Quantifiable Component "&amp;$B29&amp;"'!"&amp;$D29&amp;ROW('Quantifiable Component 1'!$60:$60))</f>
        <v>0</v>
      </c>
      <c r="BP29" s="1421" t="str">
        <f ca="1">IFERROR(IF('GHG Calcs'!$BD29="Gasoline",VLOOKUP('GHG Calcs'!$BL29,'Bus C&amp;T EF'!$D$30:$V$2315,3,0),IF(OR('GHG Calcs'!$BD29="CNG",'GHG Calcs'!$BD29="LNG",'GHG Calcs'!$BD29="Renewable Natural Gas"),VLOOKUP('GHG Calcs'!$BL29,'Bus C&amp;T EF'!$D$30:$V$2315,4,0),VLOOKUP('GHG Calcs'!$BL29,'Bus C&amp;T EF'!$D$30:$V$2315,2,0)))/IF('GHG Calcs'!BE29&gt;0,$CZ29,1),"")</f>
        <v/>
      </c>
      <c r="BQ29" s="1419" t="str">
        <f ca="1">IFERROR(IF('GHG Calcs'!$BD29="Gasoline",VLOOKUP('GHG Calcs'!$BL29,'Bus C&amp;T EF'!$D$30:$V$2315,6,0),IF(OR('GHG Calcs'!$BD29="CNG",'GHG Calcs'!$BD29="LNG",'GHG Calcs'!$BD29="Renewable Natural Gas"),VLOOKUP('GHG Calcs'!$BL29,'Bus C&amp;T EF'!$D$30:$V$2315,7,0),VLOOKUP('GHG Calcs'!$BL29,'Bus C&amp;T EF'!$D$30:$V$2315,5,0)))/IF('GHG Calcs'!BE29&gt;0,$CZ29,1),"")</f>
        <v/>
      </c>
      <c r="BR29" s="1419" t="str">
        <f ca="1">IFERROR(IF('GHG Calcs'!$BD29="Gasoline",VLOOKUP('GHG Calcs'!$BL29,'Bus C&amp;T EF'!$D$30:$V$2315,9,0),IF(OR('GHG Calcs'!$BD29="CNG",'GHG Calcs'!$BD29="LNG",'GHG Calcs'!$BD29="Renewable Natural Gas"),VLOOKUP('GHG Calcs'!$BL29,'Bus C&amp;T EF'!$D$30:$V$2315,10,0),VLOOKUP('GHG Calcs'!$BL29,'Bus C&amp;T EF'!$D$30:$V$2315,8,0)))/IF('GHG Calcs'!BE29&gt;0,$CZ29,1),"")</f>
        <v/>
      </c>
      <c r="BS29" s="1419" t="str">
        <f ca="1">IFERROR(IF('GHG Calcs'!$BD29="Gasoline",VLOOKUP('GHG Calcs'!$BL29,'Bus C&amp;T EF'!$D$30:$V$2315,12,0),IF(OR('GHG Calcs'!$BD29="CNG",'GHG Calcs'!$BD29="LNG",'GHG Calcs'!$BD29="Renewable Natural Gas"),VLOOKUP('GHG Calcs'!$BL29,'Bus C&amp;T EF'!$D$30:$V$2315,13,0),IF(OR('GHG Calcs'!$BD29="Electric",'GHG Calcs'!$BD29="Hydrogen Fuel Cell",'GHG Calcs'!$BD29="Renewable Electricity"),VLOOKUP('GHG Calcs'!$BL29,'Bus C&amp;T EF'!$D$30:$V$2315,14,0),VLOOKUP('GHG Calcs'!$BL29,'Bus C&amp;T EF'!$D$30:$V$2315,11,0))))/IF('GHG Calcs'!BE29&gt;0,$CZ29,1),"")</f>
        <v/>
      </c>
      <c r="BT29" s="1419" t="str">
        <f ca="1">IFERROR(IF('GHG Calcs'!$BD29="Gasoline",VLOOKUP('GHG Calcs'!$BL29,'Bus C&amp;T EF'!$D$30:$V$2315,16,0),IF(OR('GHG Calcs'!$BD29="CNG",'GHG Calcs'!$BD29="LNG",'GHG Calcs'!$BD29="Renewable Natural Gas"),VLOOKUP('GHG Calcs'!$BL29,'Bus C&amp;T EF'!$D$30:$V$2315,17,0),IF(OR('GHG Calcs'!$BD29="Electric",'GHG Calcs'!$BD29="Hydrogen Fuel Cell",'GHG Calcs'!$BD29="Renewable Electricity"),VLOOKUP('GHG Calcs'!$BL29,'Bus C&amp;T EF'!$D$30:$V$2315,18,0),VLOOKUP('GHG Calcs'!$BL29,'Bus C&amp;T EF'!$D$30:$V$2315,15,0))))/IF('GHG Calcs'!BE29&gt;0,$CZ29,1),"")</f>
        <v/>
      </c>
      <c r="BU29" s="306" t="str">
        <f ca="1">IFERROR(IF('GHG Calcs'!$BD29="Gasoline",0,VLOOKUP('GHG Calcs'!$BL29,'Bus C&amp;T EF'!$D$30:$V$2315,19,0))/IF('GHG Calcs'!BE29&gt;0,$CZ29,1),"")</f>
        <v/>
      </c>
      <c r="BV29" s="1419" t="str">
        <f ca="1">IFERROR(IF(OR('GHG Calcs'!$BD29="Diesel",'GHG Calcs'!$BD29="Renewable Diesel",'GHG Calcs'!$BD29="Biodiesel"),VLOOKUP('GHG Calcs'!$BL29,'Van C&amp;T EF'!$D$30:$Q$2315,2,0),VLOOKUP('GHG Calcs'!$BL29,'Van C&amp;T EF'!$D$30:$Q$2315,3,0))/IF('GHG Calcs'!BE29&gt;0,$DA29,1),"")</f>
        <v/>
      </c>
      <c r="BW29" s="1419" t="str">
        <f ca="1">IFERROR(IF(OR('GHG Calcs'!$BD29="Diesel",'GHG Calcs'!$BD29="Renewable Diesel",'GHG Calcs'!$BD29="Biodiesel"),VLOOKUP('GHG Calcs'!$BL29,'Van C&amp;T EF'!$D$30:$Q$2315,4,0),VLOOKUP('GHG Calcs'!$BL29,'Van C&amp;T EF'!$D$30:$Q$2315,5,0))/IF('GHG Calcs'!BE29&gt;0,$DA29,1),"")</f>
        <v/>
      </c>
      <c r="BX29" s="1419" t="str">
        <f ca="1">IFERROR(IF(OR('GHG Calcs'!$BD29="Diesel",'GHG Calcs'!$BD29="Renewable Diesel",'GHG Calcs'!$BD29="Biodiesel"),VLOOKUP('GHG Calcs'!$BL29,'Van C&amp;T EF'!$D$30:$Q$2315,6,0),VLOOKUP('GHG Calcs'!$BL29,'Van C&amp;T EF'!$D$30:$Q$2315,7,0))/IF('GHG Calcs'!BE29&gt;0,$DA29,1),"")</f>
        <v/>
      </c>
      <c r="BY29" s="1419" t="str">
        <f ca="1">IFERROR(IF(OR('GHG Calcs'!$BD29="Diesel",'GHG Calcs'!$BD29="Renewable Diesel",'GHG Calcs'!$BD29="Biodiesel"),VLOOKUP('GHG Calcs'!$BL29,'Van C&amp;T EF'!$D$30:$Q$2315,8,0),IF(OR('GHG Calcs'!$BD29="Electric",'GHG Calcs'!$BD29="Hydrogen Fuel Cell",'GHG Calcs'!$BD29="Renewable Electricity"),VLOOKUP('GHG Calcs'!$BL29,'Van C&amp;T EF'!$D$30:$Q$2315,10,0),VLOOKUP('GHG Calcs'!$BL29,'Van C&amp;T EF'!$D$30:$Q$2315,9,0)))/IF('GHG Calcs'!BE29&gt;0,$DA29,1),"")</f>
        <v/>
      </c>
      <c r="BZ29" s="1419" t="str">
        <f ca="1">IFERROR(IF(OR('GHG Calcs'!$BD29="Diesel",'GHG Calcs'!$BD29="Renewable Diesel",'GHG Calcs'!$BD29="Biodiesel"),VLOOKUP('GHG Calcs'!$BL29,'Van C&amp;T EF'!$D$30:$Q$2315,11,0),IF(OR('GHG Calcs'!$BD29="Electric",'GHG Calcs'!$BD29="Hydrogen Fuel Cell",'GHG Calcs'!$BD29="Renewable Electricity"),VLOOKUP('GHG Calcs'!$BL29,'Van C&amp;T EF'!$D$30:$Q$2315,13,0),VLOOKUP('GHG Calcs'!$BL29,'Van C&amp;T EF'!$D$30:$Q$2315,12,0)))/IF('GHG Calcs'!BE29&gt;0,$DA29,1),"")</f>
        <v/>
      </c>
      <c r="CA29" s="306">
        <f ca="1">IFERROR(IF(OR('GHG Calcs'!$BD29="Diesel",'GHG Calcs'!$BD29="Biodiesel",'GHG Calcs'!$BD29="Renewable Diesel"),VLOOKUP('GHG Calcs'!$BL29,'Van C&amp;T EF'!$D$30:$Q$2315,14,0),0)/IF('GHG Calcs'!BE29&gt;0,$DA29,1),"")</f>
        <v>0</v>
      </c>
      <c r="CB29" s="1419" t="str">
        <f ca="1">IFERROR(IF(OR('GHG Calcs'!$BD29="Diesel",'GHG Calcs'!$BD29="Renewable Diesel",'GHG Calcs'!$BD29="Biodiesel"),VLOOKUP('GHG Calcs'!$BL29,'Shuttle C&amp;T EF'!$D$30:$Q$2315,2,0),VLOOKUP('GHG Calcs'!$BL29,'Shuttle C&amp;T EF'!$D$30:$Q$2315,3,0))/IF('GHG Calcs'!BE29&gt;0,$DB29,1),"")</f>
        <v/>
      </c>
      <c r="CC29" s="1419" t="str">
        <f ca="1">IFERROR(IF(OR('GHG Calcs'!$BD29="Diesel",'GHG Calcs'!$BD29="Renewable Diesel",'GHG Calcs'!$BD29="Biodiesel"),VLOOKUP('GHG Calcs'!$BL29,'Shuttle C&amp;T EF'!$D$30:$Q$2315,4,0),VLOOKUP('GHG Calcs'!$BL29,'Shuttle C&amp;T EF'!$D$30:$Q$2315,5,0))/IF('GHG Calcs'!BE29&gt;0,$DB29,1),"")</f>
        <v/>
      </c>
      <c r="CD29" s="1419" t="str">
        <f ca="1">IFERROR(IF(OR('GHG Calcs'!$BD29="Diesel",'GHG Calcs'!$BD29="Renewable Diesel",'GHG Calcs'!$BD29="Biodiesel"),VLOOKUP('GHG Calcs'!$BL29,'Shuttle C&amp;T EF'!$D$30:$Q$2315,6,0),VLOOKUP('GHG Calcs'!$BL29,'Shuttle C&amp;T EF'!$D$30:$Q$2315,7,0))/IF('GHG Calcs'!BE29&gt;0,$DB29,1),"")</f>
        <v/>
      </c>
      <c r="CE29" s="1419" t="str">
        <f ca="1">IFERROR(IF(OR('GHG Calcs'!$BD29="Diesel",'GHG Calcs'!$BD29="Renewable Diesel",'GHG Calcs'!$BD29="Biodiesel"),VLOOKUP('GHG Calcs'!$BL29,'Shuttle C&amp;T EF'!$D$30:$Q$2315,8,0),IF(OR('GHG Calcs'!$BD29="Electric",'GHG Calcs'!$BD29="Hydrogen Fuel Cell",'GHG Calcs'!$BD29="Renewable Electricity"),VLOOKUP('GHG Calcs'!$BL29,'Shuttle C&amp;T EF'!$D$30:$Q$2315,10,0),VLOOKUP('GHG Calcs'!$BL29,'Shuttle C&amp;T EF'!$D$30:$Q$2315,9,0)))/IF('GHG Calcs'!BE29&gt;0,$DB29,1),"")</f>
        <v/>
      </c>
      <c r="CF29" s="1419" t="str">
        <f ca="1">IFERROR(IF(OR('GHG Calcs'!$BD29="Diesel",'GHG Calcs'!$BD29="Renewable Diesel",'GHG Calcs'!$BD29="Biodiesel"),VLOOKUP('GHG Calcs'!$BL29,'Shuttle C&amp;T EF'!$D$30:$Q$2315,11,0),IF(OR('GHG Calcs'!$BD29="Electric",'GHG Calcs'!$BD29="Hydrogen Fuel Cell",'GHG Calcs'!$BD29="Renewable Electricity"),VLOOKUP('GHG Calcs'!$BL29,'Shuttle C&amp;T EF'!$D$30:$Q$2315,13,0),VLOOKUP('GHG Calcs'!$BL29,'Shuttle C&amp;T EF'!$D$30:$Q$2315,12,0)))/IF('GHG Calcs'!BE29&gt;0,$DB29,1),"")</f>
        <v/>
      </c>
      <c r="CG29" s="1419">
        <f ca="1">IFERROR(IF(OR('GHG Calcs'!$BD29="Diesel",'GHG Calcs'!$BD29="Biodiesel",'GHG Calcs'!$BD29="Renewable Diesel"),VLOOKUP('GHG Calcs'!$BL29,'Shuttle C&amp;T EF'!$D$30:$Q$2315,14,0),0)/IF('GHG Calcs'!BE29&gt;0,$DB29,1),"")</f>
        <v>0</v>
      </c>
      <c r="CH29" s="306" t="str">
        <f ca="1">IFERROR((VLOOKUP('GHG Calcs'!$BL29,'Over-Road Coach C&amp;T EF'!$D$29:$N$2314,2,0)+VLOOKUP('GHG Calcs'!$BL29,'Over-Road Coach C&amp;T EF'!$D$29:$N$2314,3,0))/IF('GHG Calcs'!BE29&gt;0,$DC29,1),"")</f>
        <v/>
      </c>
      <c r="CI29" s="306" t="str">
        <f ca="1">IFERROR((VLOOKUP('GHG Calcs'!$BL29,'Over-Road Coach C&amp;T EF'!$D$29:$N$2314,4,0)+VLOOKUP('GHG Calcs'!$BL29,'Over-Road Coach C&amp;T EF'!$D$29:$N$2314,5,0))/IF('GHG Calcs'!BE29&gt;0,$DC29,1),"")</f>
        <v/>
      </c>
      <c r="CJ29" s="306" t="str">
        <f ca="1">IFERROR((VLOOKUP('GHG Calcs'!$BL29,'Over-Road Coach C&amp;T EF'!$D$29:$N$2314,6,0)+VLOOKUP('GHG Calcs'!$BL29,'Over-Road Coach C&amp;T EF'!$D$29:$N$2314,7,0))/IF('GHG Calcs'!BE29&gt;0,$DC29,1),"")</f>
        <v/>
      </c>
      <c r="CK29" s="306" t="str">
        <f ca="1">IFERROR(VLOOKUP('GHG Calcs'!$BL29,'Over-Road Coach C&amp;T EF'!$D$29:$N$2314,8,0)/IF('GHG Calcs'!BE29&gt;0,$DC29,1),"")</f>
        <v/>
      </c>
      <c r="CL29" s="306" t="str">
        <f ca="1">IFERROR(VLOOKUP('GHG Calcs'!$BL29,'Over-Road Coach C&amp;T EF'!$D$29:$N$2314,9,0)/IF('GHG Calcs'!BE29&gt;0,$DC29,1),"")</f>
        <v/>
      </c>
      <c r="CM29" s="306" t="str">
        <f ca="1">IFERROR((VLOOKUP('GHG Calcs'!$BL29,'Over-Road Coach C&amp;T EF'!$D$29:$N$2314,10,0)+VLOOKUP('GHG Calcs'!$BL29,'Over-Road Coach C&amp;T EF'!$D$29:$N$2314,11,0))/IF('GHG Calcs'!BE29&gt;0,$DC29,1),"")</f>
        <v/>
      </c>
      <c r="CN29" s="306" t="str">
        <f ca="1">IFERROR(VLOOKUP(BN29,'Co-Benefit Calcs'!$E$76:$I$83,2,0)/IF('GHG Calcs'!$BE29&gt;0,'Rail C&amp;T EF'!$K$14,1),"")</f>
        <v/>
      </c>
      <c r="CO29" s="306" t="str">
        <f ca="1">IFERROR(VLOOKUP(BN29,'Co-Benefit Calcs'!$E$76:$I$83,3,0)/IF('GHG Calcs'!$BE29&gt;0,'Rail C&amp;T EF'!$K$14,1),"")</f>
        <v/>
      </c>
      <c r="CP29" s="306" t="str">
        <f ca="1">IFERROR(VLOOKUP(BN29,'Co-Benefit Calcs'!$E$76:$I$83,4,0)/IF('GHG Calcs'!$BE29&gt;0,'Rail C&amp;T EF'!$K$14,1),"")</f>
        <v/>
      </c>
      <c r="CQ29" s="306" t="str">
        <f ca="1">IFERROR(IF('GHG Calcs'!$BD29="Gasoline",0,VLOOKUP(BN29,'Co-Benefit Calcs'!$E$76:$I$83,5,0))/IF('GHG Calcs'!$BE29&gt;0,'Rail C&amp;T EF'!$K$14,1),"")</f>
        <v/>
      </c>
      <c r="CR29" s="306" t="str">
        <f ca="1">IFERROR(VLOOKUP('GHG Calcs'!$BG29,'Rail C&amp;T EF'!$A$43:$Y$133,IF(BO29&gt;750,23, IF(BO29&gt;=600,20, IF(BO29&gt;=300,17, IF(BO29&gt;=175,14, IF(BO29&gt;=100,11, IF(BO29&gt;=75,8, IF(BO29&gt;=50,5, 2))))))),0) * IF($BO29&gt;=750,'Rail C&amp;T EF'!$K$18,'Rail C&amp;T EF'!$K$19) * IF('GHG Calcs'!BE29&gt;0,1,'Rail C&amp;T EF'!$B$149) * IF(OR('GHG Calcs'!BD29="Diesel", 'GHG Calcs'!BD29="Renewable Diesel", 'GHG Calcs'!BD29="Biodiesel"),'Rail C&amp;T EF'!$B$141,'Rail C&amp;T EF'!$B$142),"")</f>
        <v/>
      </c>
      <c r="CS29" s="306" t="str">
        <f ca="1">IFERROR(VLOOKUP('GHG Calcs'!$BG29,'Rail C&amp;T EF'!$A$43:$Y$133,IF(BO29&gt;750,24, IF(BO29&gt;=600,21, IF(BO29&gt;=300,18, IF(BO29&gt;=175,15, IF(BO29&gt;=100,12, IF(BO29&gt;=75,9, IF(BO29&gt;=50,6, 3))))))),0) * IF($BO29&gt;=750,'Rail C&amp;T EF'!$K$18,'Rail C&amp;T EF'!$K$19) * IF('GHG Calcs'!$BE29&gt;0,1,'Rail C&amp;T EF'!$B$149),"")</f>
        <v/>
      </c>
      <c r="CT29" s="306" t="str">
        <f ca="1">IFERROR(VLOOKUP('GHG Calcs'!$BG29,'Rail C&amp;T EF'!$A$43:$Y$133,IF(BO29&gt;750,25, IF(BO29&gt;=600,22, IF(BO29&gt;=300,19, IF(BO29&gt;=175,16, IF(BO29&gt;=100,13, IF(BO29&gt;=75,10, IF(BO29&gt;=50,7, 4))))))),0) * IF($BO29&gt;=750,'Rail C&amp;T EF'!$K$18,'Rail C&amp;T EF'!$K$19) * IF('GHG Calcs'!$BE29&gt;0,1,'Rail C&amp;T EF'!$B$149)*'Rail C&amp;T EF'!$B$146,"")</f>
        <v/>
      </c>
      <c r="CU29" s="306" t="str">
        <f ca="1">IFERROR(IF('GHG Calcs'!BD29="Gasoline",0,VLOOKUP('GHG Calcs'!$BG29,'Rail C&amp;T EF'!$A$43:$Y$133,IF(BO29&gt;750,25, IF(BO29&gt;=600,22, IF(BO29&gt;=300,19, IF(BO29&gt;=175,16, IF(BO29&gt;=100,13, IF(BO29&gt;=75,10, IF(BO29&gt;=50,7, 4))))))),0) * IF($BO29&gt;=750,'Rail C&amp;T EF'!$K$18,'Rail C&amp;T EF'!$K$19) * IF('GHG Calcs'!$BE29&gt;0,1,'Rail C&amp;T EF'!$B$149)),"")</f>
        <v/>
      </c>
      <c r="CV29" s="306" t="str">
        <f ca="1">IFERROR(VLOOKUP('GHG Calcs'!$BG29,'Ferry C&amp;T EF'!$A$106:$AK$196,IF(BO29&gt;=3301,35, IF(BO29&gt;=1901,31, IF(BO29&gt;=751,27, IF(BO29&gt;=501,23, IF(BO29&gt;=251,19, IF(BO29&gt;=176,15, IF(BO29&gt;=121,11, IF(BO29&gt;=51,7, 3)))))))),0),"")</f>
        <v/>
      </c>
      <c r="CW29" s="306" t="str">
        <f ca="1">IFERROR(VLOOKUP('GHG Calcs'!$BG29,'Ferry C&amp;T EF'!$A$106:$AK$196,IF(BO29&gt;=3301,34, IF(BO29&gt;=1901,30, IF(BO29&gt;=751,26, IF(BO29&gt;=501,22, IF(BO29&gt;=251,18, IF(BO29&gt;=176,14, IF(BO29&gt;=121,10, IF(BO29&gt;=51,6, 2)))))))),0),"")</f>
        <v/>
      </c>
      <c r="CX29" s="306" t="str">
        <f ca="1">IFERROR(VLOOKUP('GHG Calcs'!$BG29,'Ferry C&amp;T EF'!$A$106:$AK$196,IF(BO29&gt;=3301,37, IF(BO29&gt;=1901,33, IF(BO29&gt;=751,29, IF(BO29&gt;=501,25, IF(BO29&gt;=251,21, IF(BO29&gt;=176,17, IF(BO29&gt;=121,13, IF(BO29&gt;=51,9, 5)))))))),0),"")</f>
        <v/>
      </c>
      <c r="CY29" s="306" t="str">
        <f ca="1">IFERROR(IF('GHG Calcs'!$BD29="Gasoline",0,VLOOKUP('GHG Calcs'!$BG29,'Ferry C&amp;T EF'!$A$106:$AK$196,IF(BO29&gt;=3301,36, IF(BO29&gt;=1901,32, IF(BO29&gt;=751,28, IF(BO29&gt;=501,24, IF(BO29&gt;=251,20, IF(BO29&gt;=176,16, IF(BO29&gt;=121,12, IF(BO29&gt;=51,8, 4)))))))),0)),"")</f>
        <v/>
      </c>
      <c r="CZ29" s="1419" t="str">
        <f ca="1">IFERROR(IF('GHG Calcs'!$BD29="Gasoline",VLOOKUP('GHG Calcs'!$BL29,'Fuel Consumption'!$A$31:$L$2316,3,0),IF(OR('GHG Calcs'!$BD29="CNG",'GHG Calcs'!$BD29="LNG",'GHG Calcs'!$BD29="Renewable Natural Gas"),VLOOKUP('GHG Calcs'!$BL29,'Fuel Consumption'!$A$31:$L$2316,4,0)*VLOOKUP('GHG Calcs'!$BD29,'GHG EF'!$B$10:$H$19,4,0),VLOOKUP('GHG Calcs'!$BL29,'Fuel Consumption'!$A$31:$L$2316,2,0)*VLOOKUP('GHG Calcs'!$AD29,'GHG EF'!$B$10:$H$19,4,0))),"")</f>
        <v/>
      </c>
      <c r="DA29" s="1419" t="str">
        <f ca="1">IFERROR(IF(OR('GHG Calcs'!$BD29="Diesel",'GHG Calcs'!$BD29="Renewable Diesel",'GHG Calcs'!$BD29="Biodiesel"),VLOOKUP('GHG Calcs'!$BL29,'Fuel Consumption'!$A$31:$L$2316,6,0)*VLOOKUP('GHG Calcs'!$BD29,'GHG EF'!$B$10:$H$19,4,0),VLOOKUP('GHG Calcs'!$BL29,'Fuel Consumption'!$A$31:$L$2316,7,0)*VLOOKUP('GHG Calcs'!$BD29,'GHG EF'!$B$10:$H$19,5,0)),"")</f>
        <v/>
      </c>
      <c r="DB29" s="1419" t="str">
        <f ca="1">IFERROR(IF(OR('GHG Calcs'!$BD29="Diesel",'GHG Calcs'!$BD29="Renewable Diesel",'GHG Calcs'!$BD29="Biodiesel"),VLOOKUP('GHG Calcs'!$BL29,'Fuel Consumption'!$A$31:$L$2316,9,0)*VLOOKUP('GHG Calcs'!$BD29,'GHG EF'!$B$10:$H$19,4,0),VLOOKUP('GHG Calcs'!$BL29,'Fuel Consumption'!$A$31:$L$2316,10,0)*VLOOKUP('GHG Calcs'!$BD29,'GHG EF'!$B$10:$H$19,5,0)),"")</f>
        <v/>
      </c>
      <c r="DC29" s="1419" t="str">
        <f ca="1">IFERROR(VLOOKUP('GHG Calcs'!$BL29,'Fuel Consumption'!$A$31:$L$2316,12,0)*VLOOKUP('GHG Calcs'!$BD29,'GHG EF'!$B$10:$H$19,4,0),"")</f>
        <v/>
      </c>
      <c r="DD29" s="1373" t="str">
        <f ca="1">IFERROR(IF(OR('GHG Calcs'!BD29=Defaults!$I$3, 'GHG Calcs'!BD29=Defaults!$I$4, 'GHG Calcs'!BD29=Defaults!$I$6, 'GHG Calcs'!BD29=Defaults!$I$8), IF('GHG Calcs'!BE29&gt;0,'GHG Calcs'!BE29*IF('GHG Calcs'!BD29=Defaults!$I$3,'GHG EF'!$C$11/'GHG EF'!$C$12,1),'GHG Calcs'!BJ29*'GHG Calcs'!BH29),"")*('GHG Calcs'!I29-'GHG Calcs'!H29),"")</f>
        <v/>
      </c>
      <c r="DE29" s="1373" t="str">
        <f ca="1">IFERROR(IF('GHG Calcs'!BD29=Defaults!$I$5,IF('GHG Calcs'!BE29&gt;0,'GHG Calcs'!BE29,'GHG Calcs'!BI29*'GHG Calcs'!BH29),"")*('GHG Calcs'!I29-'GHG Calcs'!H29),"")</f>
        <v/>
      </c>
      <c r="DF29" s="1420" t="str">
        <f ca="1">IFERROR(IF('GHG Calcs'!BE29&gt;0,'GHG Calcs'!BE29,'GHG Calcs'!BK29*'GHG Calcs'!BH29)*VLOOKUP('GHG Calcs'!BD29,'Fuel &amp; Travel Costs'!$B$10:$C$19,2,0)*('GHG Calcs'!I29-'GHG Calcs'!H29),"")</f>
        <v/>
      </c>
      <c r="DG29" s="306">
        <f ca="1">INDIRECT("'Quantifiable Component "&amp;$B29&amp;"'!"&amp;$D29&amp;ROW('Quantifiable Component 1'!$70:$70))</f>
        <v>0</v>
      </c>
      <c r="DH29" s="306">
        <f ca="1">INDIRECT("'Quantifiable Component "&amp;$B29&amp;"'!"&amp;$D29&amp;ROW('Quantifiable Component 1'!$71:$71))</f>
        <v>0</v>
      </c>
      <c r="DI29" s="1422" t="str">
        <f ca="1">IFERROR(IF('GHG Calcs'!$CD29="Gasoline",VLOOKUP('GHG Calcs'!$CG29,'Bus C&amp;T EF'!$D$30:$V$2315,3,0),IF(OR('GHG Calcs'!$CD29="CNG",'GHG Calcs'!$CD29="LNG",'GHG Calcs'!$CD29="Renewable Natural Gas"),VLOOKUP('GHG Calcs'!$CG29,'Bus C&amp;T EF'!$D$30:$V$2315,4,0),VLOOKUP('GHG Calcs'!$CG29,'Bus C&amp;T EF'!$D$30:$V$2315,2,0)))/$ES29,"")</f>
        <v/>
      </c>
      <c r="DJ29" s="306" t="str">
        <f ca="1">IFERROR(IF('GHG Calcs'!$CD29="Gasoline",VLOOKUP('GHG Calcs'!$CG29,'Bus C&amp;T EF'!$D$30:$V$2315,6,0),IF(OR('GHG Calcs'!$CD29="CNG",'GHG Calcs'!$CD29="LNG",'GHG Calcs'!$CD29="Renewable Natural Gas"),VLOOKUP('GHG Calcs'!$CG29,'Bus C&amp;T EF'!$D$30:$V$2315,7,0),VLOOKUP('GHG Calcs'!$CG29,'Bus C&amp;T EF'!$D$30:$V$2315,5,0)))/$ES29,"")</f>
        <v/>
      </c>
      <c r="DK29" s="306" t="str">
        <f ca="1">IFERROR(IF('GHG Calcs'!$CD29="Gasoline",VLOOKUP('GHG Calcs'!$CG29,'Bus C&amp;T EF'!$D$30:$V$2315,9,0),IF(OR('GHG Calcs'!$CD29="CNG",'GHG Calcs'!$CD29="LNG",'GHG Calcs'!$CD29="Renewable Natural Gas"),VLOOKUP('GHG Calcs'!$CG29,'Bus C&amp;T EF'!$D$30:$V$2315,10,0),VLOOKUP('GHG Calcs'!$CG29,'Bus C&amp;T EF'!$D$30:$V$2315,8,0)))/$ES29,"")</f>
        <v/>
      </c>
      <c r="DL29" s="306" t="str">
        <f ca="1">IFERROR(IF('GHG Calcs'!$CD29="Gasoline",VLOOKUP('GHG Calcs'!$CG29,'Bus C&amp;T EF'!$D$30:$V$2315,12,0),IF(OR('GHG Calcs'!$CD29="CNG",'GHG Calcs'!$CD29="LNG",'GHG Calcs'!$CD29="Renewable Natural Gas"),VLOOKUP('GHG Calcs'!$CG29,'Bus C&amp;T EF'!$D$30:$V$2315,13,0),IF('GHG Calcs'!$CD29="Electric",VLOOKUP('GHG Calcs'!$CG29,'Bus C&amp;T EF'!$D$30:$V$2315,14,0),VLOOKUP('GHG Calcs'!$CG29,'Bus C&amp;T EF'!$D$30:$V$2315,11,0))))/$ES29,"")</f>
        <v/>
      </c>
      <c r="DM29" s="306" t="str">
        <f ca="1">IFERROR(IF('GHG Calcs'!$CD29="Gasoline",VLOOKUP('GHG Calcs'!$CG29,'Bus C&amp;T EF'!$D$30:$V$2315,16,0),IF(OR('GHG Calcs'!$CD29="CNG",'GHG Calcs'!$CD29="LNG",'GHG Calcs'!$CD29="Renewable Natural Gas"),VLOOKUP('GHG Calcs'!$CG29,'Bus C&amp;T EF'!$D$30:$V$2315,17,0),IF('GHG Calcs'!$CD29="Electric",VLOOKUP('GHG Calcs'!$CG29,'Bus C&amp;T EF'!$D$30:$V$2315,18,0),VLOOKUP('GHG Calcs'!$CG29,'Bus C&amp;T EF'!$D$30:$V$2315,15,0))))/$ES29,"")</f>
        <v/>
      </c>
      <c r="DN29" s="306" t="str">
        <f ca="1">IFERROR(IF('GHG Calcs'!$CD29="Gasoline",0,VLOOKUP('GHG Calcs'!$CG29,'Bus C&amp;T EF'!$D$30:$V$2315,19,0))/$ES29,"")</f>
        <v/>
      </c>
      <c r="DO29" s="1419" t="str">
        <f ca="1">IFERROR(IF(OR('GHG Calcs'!$CD29="Diesel",'GHG Calcs'!$CD29="Renewable Diesel",'GHG Calcs'!$CD29="Biodiesel"),VLOOKUP('GHG Calcs'!$CG29,'Van C&amp;T EF'!$D$30:$Q$2315,2,0),VLOOKUP('GHG Calcs'!$CG29,'Van C&amp;T EF'!$D$30:$Q$2315,3,0))/$ET29,"")</f>
        <v/>
      </c>
      <c r="DP29" s="1419" t="str">
        <f ca="1">IFERROR(IF(OR('GHG Calcs'!$CD29="Diesel",'GHG Calcs'!$CD29="Renewable Diesel",'GHG Calcs'!$CD29="Biodiesel"),VLOOKUP('GHG Calcs'!$CG29,'Van C&amp;T EF'!$D$30:$Q$2315,4,0),VLOOKUP('GHG Calcs'!$CG29,'Van C&amp;T EF'!$D$30:$Q$2315,5,0))/$ET29,"")</f>
        <v/>
      </c>
      <c r="DQ29" s="1419" t="str">
        <f ca="1">IFERROR(IF(OR('GHG Calcs'!$CD29="Diesel",'GHG Calcs'!$CD29="Renewable Diesel",'GHG Calcs'!$CD29="Biodiesel"),VLOOKUP('GHG Calcs'!$CG29,'Van C&amp;T EF'!$D$30:$Q$2315,6,0),VLOOKUP('GHG Calcs'!$CG29,'Van C&amp;T EF'!$D$30:$Q$2315,7,0))/$ET29,"")</f>
        <v/>
      </c>
      <c r="DR29" s="1419" t="str">
        <f ca="1">IFERROR(IF(OR('GHG Calcs'!$CD29="Diesel",'GHG Calcs'!$CD29="Renewable Diesel",'GHG Calcs'!$CD29="Biodiesel"),VLOOKUP('GHG Calcs'!$CG29,'Van C&amp;T EF'!$D$30:$Q$2315,8,0),IF(OR('GHG Calcs'!$CD29="Electric",'GHG Calcs'!$CD29="Hydrogen Fuel Cell",'GHG Calcs'!$CD29="Renewable Electricity"),VLOOKUP('GHG Calcs'!$CG29,'Van C&amp;T EF'!$D$30:$Q$2315,10,0),VLOOKUP('GHG Calcs'!$CG29,'Van C&amp;T EF'!$D$30:$Q$2315,9,0)))/$ET29,"")</f>
        <v/>
      </c>
      <c r="DS29" s="1419" t="str">
        <f ca="1">IFERROR(IF(OR('GHG Calcs'!$CD29="Diesel",'GHG Calcs'!$CD29="Renewable Diesel",'GHG Calcs'!$CD29="Biodiesel"),VLOOKUP('GHG Calcs'!$CG29,'Van C&amp;T EF'!$D$30:$Q$2315,11,0),IF(OR('GHG Calcs'!$CD29="Electric",'GHG Calcs'!$CD29="Hydrogen Fuel Cell",'GHG Calcs'!$CD29="Renewable Electricity"),VLOOKUP('GHG Calcs'!$CG29,'Van C&amp;T EF'!$D$30:$Q$2315,13,0),VLOOKUP('GHG Calcs'!$CG29,'Van C&amp;T EF'!$D$30:$Q$2315,12,0)))/$ET29,"")</f>
        <v/>
      </c>
      <c r="DT29" s="306" t="str">
        <f ca="1">IFERROR(IF(OR('GHG Calcs'!$CD29="Diesel",'GHG Calcs'!$CD29="Biodiesel",'GHG Calcs'!$CD29="Renewable Diesel"),VLOOKUP('GHG Calcs'!$CG29,'Van C&amp;T EF'!$D$30:$Q$2315,14,0),0)/$ET29,"")</f>
        <v/>
      </c>
      <c r="DU29" s="1419" t="str">
        <f ca="1">IFERROR(IF(OR('GHG Calcs'!$CD29="Diesel",'GHG Calcs'!$CD29="Renewable Diesel",'GHG Calcs'!$CD29="Biodiesel"),VLOOKUP('GHG Calcs'!$CG29,'Shuttle C&amp;T EF'!$D$30:$Q$2315,2,0),VLOOKUP('GHG Calcs'!$CG29,'Shuttle C&amp;T EF'!$D$30:$Q$2315,3,0))/$EU29,"")</f>
        <v/>
      </c>
      <c r="DV29" s="1419" t="str">
        <f ca="1">IFERROR(IF(OR('GHG Calcs'!$CD29="Diesel",'GHG Calcs'!$CD29="Renewable Diesel",'GHG Calcs'!$CD29="Biodiesel"),VLOOKUP('GHG Calcs'!$CG29,'Shuttle C&amp;T EF'!$D$30:$Q$2315,4,0),VLOOKUP('GHG Calcs'!$CG29,'Shuttle C&amp;T EF'!$D$30:$Q$2315,5,0))/$EU29,"")</f>
        <v/>
      </c>
      <c r="DW29" s="1419" t="str">
        <f ca="1">IFERROR(IF(OR('GHG Calcs'!$CD29="Diesel",'GHG Calcs'!$CD29="Renewable Diesel",'GHG Calcs'!$CD29="Biodiesel"),VLOOKUP('GHG Calcs'!$CG29,'Shuttle C&amp;T EF'!$D$30:$Q$2315,6,0),VLOOKUP('GHG Calcs'!$CG29,'Shuttle C&amp;T EF'!$D$30:$Q$2315,7,0))/$EU29,"")</f>
        <v/>
      </c>
      <c r="DX29" s="1419" t="str">
        <f ca="1">IFERROR(IF(OR('GHG Calcs'!$CD29="Diesel",'GHG Calcs'!$CD29="Renewable Diesel",'GHG Calcs'!$CD29="Biodiesel"),VLOOKUP('GHG Calcs'!$CG29,'Shuttle C&amp;T EF'!$D$30:$Q$2315,8,0),IF(OR('GHG Calcs'!$CD29="Electric",'GHG Calcs'!$CD29="Hydrogen Fuel Cell",'GHG Calcs'!$CD29="Renewable Electricity"),VLOOKUP('GHG Calcs'!$CG29,'Shuttle C&amp;T EF'!$D$30:$Q$2315,10,0),VLOOKUP('GHG Calcs'!$CG29,'Shuttle C&amp;T EF'!$D$30:$Q$2315,9,0)))/$EU29,"")</f>
        <v/>
      </c>
      <c r="DY29" s="1419" t="str">
        <f ca="1">IFERROR(IF(OR('GHG Calcs'!$CD29="Diesel",'GHG Calcs'!$CD29="Renewable Diesel",'GHG Calcs'!$CD29="Biodiesel"),VLOOKUP('GHG Calcs'!$CG29,'Shuttle C&amp;T EF'!$D$30:$Q$2315,11,0),IF(OR('GHG Calcs'!$CD29="Electric",'GHG Calcs'!$CD29="Hydrogen Fuel Cell",'GHG Calcs'!$CD29="Renewable Electricity"),VLOOKUP('GHG Calcs'!$CG29,'Shuttle C&amp;T EF'!$D$30:$Q$2315,13,0),VLOOKUP('GHG Calcs'!$CG29,'Shuttle C&amp;T EF'!$D$30:$Q$2315,12,0)))/$EU29,"")</f>
        <v/>
      </c>
      <c r="DZ29" s="1419" t="str">
        <f ca="1">IFERROR(IF(OR('GHG Calcs'!$CD29="Diesel",'GHG Calcs'!$CD29="Biodiesel",'GHG Calcs'!$CD29="Renewable Diesel"),VLOOKUP('GHG Calcs'!$CG29,'Shuttle C&amp;T EF'!$D$30:$Q$2315,14,0),0)/$EU29,"")</f>
        <v/>
      </c>
      <c r="EA29" s="306" t="str">
        <f ca="1">IFERROR((VLOOKUP('GHG Calcs'!$CG29,'Over-Road Coach C&amp;T EF'!$D$29:$N$2314,2,0)+VLOOKUP('GHG Calcs'!$CG29,'Over-Road Coach C&amp;T EF'!$D$29:$N$2314,3,0))/$EV29,"")</f>
        <v/>
      </c>
      <c r="EB29" s="306" t="str">
        <f ca="1">IFERROR((VLOOKUP('GHG Calcs'!$CG29,'Over-Road Coach C&amp;T EF'!$D$29:$N$2314,4,0)+VLOOKUP('GHG Calcs'!$CG29,'Over-Road Coach C&amp;T EF'!$D$29:$N$2314,5,0))/$EV29,"")</f>
        <v/>
      </c>
      <c r="EC29" s="306" t="str">
        <f ca="1">IFERROR((VLOOKUP('GHG Calcs'!$CG29,'Over-Road Coach C&amp;T EF'!$D$29:$N$2314,6,0)+VLOOKUP('GHG Calcs'!$CG29,'Over-Road Coach C&amp;T EF'!$D$29:$N$2314,7,0))/$EV29,"")</f>
        <v/>
      </c>
      <c r="ED29" s="306" t="str">
        <f ca="1">IFERROR(VLOOKUP('GHG Calcs'!$CG29,'Over-Road Coach C&amp;T EF'!$D$29:$N$2314,8,0)/$EV29,"")</f>
        <v/>
      </c>
      <c r="EE29" s="306" t="str">
        <f ca="1">IFERROR(VLOOKUP('GHG Calcs'!$CG29,'Over-Road Coach C&amp;T EF'!$D$29:$N$2314,9,0)/$EV29,"")</f>
        <v/>
      </c>
      <c r="EF29" s="306" t="str">
        <f ca="1">IFERROR((VLOOKUP('GHG Calcs'!$CG29,'Over-Road Coach C&amp;T EF'!$D$29:$N$2314,10,0)+VLOOKUP('GHG Calcs'!$CG29,'Over-Road Coach C&amp;T EF'!$D$29:$N$2314,11,0))/$EV29,"")</f>
        <v/>
      </c>
      <c r="EG29" s="306" t="str">
        <f ca="1">IFERROR(VLOOKUP(DG29,'Co-Benefit Calcs'!$E$76:$I$83,2,0)/'Rail C&amp;T EF'!$K$14,"")</f>
        <v/>
      </c>
      <c r="EH29" s="306" t="str">
        <f ca="1">IFERROR(VLOOKUP(DG29,'Co-Benefit Calcs'!$E$76:$I$83,3,0)/'Rail C&amp;T EF'!$K$14,"")</f>
        <v/>
      </c>
      <c r="EI29" s="306" t="str">
        <f ca="1">IFERROR(VLOOKUP(DG29,'Co-Benefit Calcs'!$E$76:$I$83,4,0)/'Rail C&amp;T EF'!$K$14,"")</f>
        <v/>
      </c>
      <c r="EJ29" s="306" t="str">
        <f ca="1">IFERROR(IF('GHG Calcs'!$CD29="Gasoline",0,VLOOKUP(DG29,'Co-Benefit Calcs'!$E$76:$I$83,5,0))/'Rail C&amp;T EF'!$K$14,"")</f>
        <v/>
      </c>
      <c r="EK29" s="306" t="str">
        <f ca="1">IFERROR(VLOOKUP('GHG Calcs'!CF29,'Rail C&amp;T EF'!$A$43:$Y$133,IF(DH29&gt;750,23, IF(DH29&gt;=600,20, IF(DH29&gt;=300,17, IF(DH29&gt;=175,14, IF(DH29&gt;=100,11, IF(DH29&gt;=75,8, IF(DH29&gt;=50,5, 2))))))),0) * IF($DH29&gt;=750,'Rail C&amp;T EF'!$K$18,'Rail C&amp;T EF'!$K$19) * IF(OR('GHG Calcs'!CD29="Diesel", 'GHG Calcs'!CD29="Renewable Diesel", 'GHG Calcs'!CD29="Biodiesel"),'Rail C&amp;T EF'!$B$141,'Rail C&amp;T EF'!$B$142),"")</f>
        <v/>
      </c>
      <c r="EL29" s="306" t="str">
        <f ca="1">IFERROR(VLOOKUP('GHG Calcs'!$CF29,'Rail C&amp;T EF'!$A$43:$Y$133,IF(DH29&gt;750,24, IF(DH29&gt;=600,21, IF(DH29&gt;=300,18, IF(DH29&gt;=175,15, IF(DH29&gt;=100,12, IF(DH29&gt;=75,9, IF(DH29&gt;=50,6, 3))))))),0) * IF($DH29&gt;=750,'Rail C&amp;T EF'!$K$18,'Rail C&amp;T EF'!$K$19),"")</f>
        <v/>
      </c>
      <c r="EM29" s="306" t="str">
        <f ca="1">IFERROR(VLOOKUP('GHG Calcs'!$CF29,'Rail C&amp;T EF'!$A$43:$Y$133,IF(DH29&gt;750,25, IF(DH29&gt;=600,22, IF(DH29&gt;=300,19, IF(DH29&gt;=175,16, IF(DH29&gt;=100,13, IF(DH29&gt;=75,10, IF(DH29&gt;=50,7, 4))))))),0) * IF($DH29&gt;=750,'Rail C&amp;T EF'!$K$18,'Rail C&amp;T EF'!$K$19)*'Rail C&amp;T EF'!$B$146,"")</f>
        <v/>
      </c>
      <c r="EN29" s="306" t="str">
        <f ca="1">IFERROR(IF('GHG Calcs'!CD29="Gasoline",0,VLOOKUP('GHG Calcs'!$CF29,'Rail C&amp;T EF'!$A$43:$Y$133,IF(DH29&gt;750,25, IF(DH29&gt;=600,22, IF(DH29&gt;=300,19, IF(DH29&gt;=175,16, IF(DH29&gt;=100,13, IF(DH29&gt;=75,10, IF(DH29&gt;=50,7, 4))))))),0) * IF($DH29&gt;=750,'Rail C&amp;T EF'!$K$18,'Rail C&amp;T EF'!$K$19)),"")</f>
        <v/>
      </c>
      <c r="EO29" s="306" t="str">
        <f ca="1">IFERROR(VLOOKUP('GHG Calcs'!$CF29,'Ferry C&amp;T EF'!$A$106:$AK$196,IF(DH29&gt;=3301,35, IF(DH29&gt;=1901,31, IF(DH29&gt;=751,27, IF(DH29&gt;=501,23, IF(DH29&gt;=251,19, IF(DH29&gt;=176,15, IF(DH29&gt;=121,11, IF(DH29&gt;=51,7, 3)))))))),0),"")</f>
        <v/>
      </c>
      <c r="EP29" s="306" t="str">
        <f ca="1">IFERROR(VLOOKUP('GHG Calcs'!$CF29,'Ferry C&amp;T EF'!$A$106:$AK$196,IF(DH29&gt;=3301,34, IF(DH29&gt;=1901,30, IF(DH29&gt;=751,26, IF(DH29&gt;=501,22, IF(DH29&gt;=251,18, IF(DH29&gt;=176,14, IF(DH29&gt;=121,10, IF(DH29&gt;=51,6, 2)))))))),0),"")</f>
        <v/>
      </c>
      <c r="EQ29" s="306" t="str">
        <f ca="1">IFERROR(VLOOKUP('GHG Calcs'!$CF29,'Ferry C&amp;T EF'!$A$106:$AK$196,IF(DH29&gt;=3301,37, IF(DH29&gt;=1901,33, IF(DH29&gt;=751,29, IF(DH29&gt;=501,25, IF(DH29&gt;=251,21, IF(DH29&gt;=176,17, IF(DH29&gt;=121,13, IF(DH29&gt;=51,9, 5)))))))),0),"")</f>
        <v/>
      </c>
      <c r="ER29" s="306" t="str">
        <f ca="1">IFERROR(IF('GHG Calcs'!$CD29="Gasoline",0,VLOOKUP('GHG Calcs'!$CF29,'Ferry C&amp;T EF'!$A$106:$AK$196,IF(DH29&gt;=3301,36, IF(DH29&gt;=1901,32, IF(DH29&gt;=751,28, IF(DH29&gt;=501,24, IF(DH29&gt;=251,20, IF(DH29&gt;=176,16, IF(DH29&gt;=121,12, IF(DH29&gt;=51,8, 4)))))))),0)),"")</f>
        <v/>
      </c>
      <c r="ES29" s="1419" t="str">
        <f ca="1">IFERROR(IF('GHG Calcs'!$CD29="Gasoline",VLOOKUP('GHG Calcs'!$CG29,'Fuel Consumption'!$A$31:$L$2316,3,0),IF(OR('GHG Calcs'!$CD29="CNG",'GHG Calcs'!$CD29="LNG",'GHG Calcs'!$CD29="Renewable Natural Gas"),VLOOKUP('GHG Calcs'!$CG29,'Fuel Consumption'!$A$31:$L$2316,4,0)*VLOOKUP('GHG Calcs'!$CD29,'GHG EF'!$B$10:$H$19,4,0),VLOOKUP('GHG Calcs'!$CG29,'Fuel Consumption'!$A$31:$L$2316,2,0)*VLOOKUP('GHG Calcs'!$AD29,'GHG EF'!$B$10:$H$19,4,0))),"")</f>
        <v/>
      </c>
      <c r="ET29" s="1419" t="str">
        <f ca="1">IFERROR(IF(OR('GHG Calcs'!$CD29="Diesel",'GHG Calcs'!$CD29="Renewable Diesel",'GHG Calcs'!$CD29="Biodiesel"),VLOOKUP('GHG Calcs'!$CG29,'Fuel Consumption'!$A$31:$L$2316,6,0)*VLOOKUP('GHG Calcs'!$CD29,'GHG EF'!$B$10:$H$19,4,0),VLOOKUP('GHG Calcs'!$CG29,'Fuel Consumption'!$A$31:$L$2316,7,0)*VLOOKUP('GHG Calcs'!$CD29,'GHG EF'!$B$10:$H$19,5,0)),"")</f>
        <v/>
      </c>
      <c r="EU29" s="1419" t="str">
        <f ca="1">IFERROR(IF(OR('GHG Calcs'!$CD29="Diesel",'GHG Calcs'!$CD29="Renewable Diesel",'GHG Calcs'!$CD29="Biodiesel"),VLOOKUP('GHG Calcs'!$CG29,'Fuel Consumption'!$A$31:$L$2316,9,0)*VLOOKUP('GHG Calcs'!$CD29,'GHG EF'!$B$10:$H$19,4,0),VLOOKUP('GHG Calcs'!$CG29,'Fuel Consumption'!$A$31:$L$2316,10,0)*VLOOKUP('GHG Calcs'!$CD29,'GHG EF'!$B$10:$H$19,5,0)),"")</f>
        <v/>
      </c>
      <c r="EV29" s="1419" t="str">
        <f ca="1">IFERROR(VLOOKUP('GHG Calcs'!$CG29,'Fuel Consumption'!$A$31:$L$2316,12,0)*VLOOKUP('GHG Calcs'!$CD29,'GHG EF'!$B$10:$H$19,4,0),"")</f>
        <v/>
      </c>
      <c r="EW29" s="1373" t="str">
        <f ca="1">IFERROR(IF(OR('GHG Calcs'!CD29=Defaults!$I$4, 'GHG Calcs'!CD29=Defaults!$I$6, 'GHG Calcs'!CD29=Defaults!$I$8),'GHG Calcs'!CE29,IF('GHG Calcs'!CD29=Defaults!$I$3, 'GHG Calcs'!CE29*'GHG EF'!$C$11/'GHG EF'!$C$12,""))*('GHG Calcs'!I29-'GHG Calcs'!H29),"")</f>
        <v/>
      </c>
      <c r="EX29" s="1373" t="str">
        <f ca="1">IFERROR(IF('GHG Calcs'!CD29=Defaults!$I$5,'GHG Calcs'!CE29,"")*('GHG Calcs'!I29-'GHG Calcs'!H29),"")</f>
        <v/>
      </c>
      <c r="EY29" s="1420" t="str">
        <f ca="1">IFERROR('GHG Calcs'!CE29*VLOOKUP('GHG Calcs'!CD29,'Fuel &amp; Travel Costs'!$B$10:$C$19,2,0)*('GHG Calcs'!I29-'GHG Calcs'!H29),"")</f>
        <v/>
      </c>
      <c r="EZ29" s="1420" t="str">
        <f t="shared" ca="1" si="0"/>
        <v/>
      </c>
      <c r="FA29" s="306">
        <f ca="1">INDIRECT("'Quantifiable Component "&amp;$B29&amp;"'!"&amp;$D29&amp;ROW('Quantifiable Component 1'!$77:$77))</f>
        <v>0</v>
      </c>
      <c r="FB29" s="306">
        <f ca="1">INDIRECT("'Quantifiable Component "&amp;$B29&amp;"'!"&amp;$D29&amp;ROW('Quantifiable Component 1'!$78:$78))</f>
        <v>0</v>
      </c>
      <c r="FC29" s="306">
        <f ca="1">INDIRECT("'Quantifiable Component "&amp;$B29&amp;"'!"&amp;$D29&amp;ROW('Quantifiable Component 1'!$79:$79))</f>
        <v>0</v>
      </c>
      <c r="FD29" s="306">
        <f ca="1">INDIRECT("'Quantifiable Component "&amp;$B29&amp;"'!"&amp;$D29&amp;ROW('Quantifiable Component 1'!$80:$80))</f>
        <v>0</v>
      </c>
      <c r="FE29" s="306">
        <f ca="1">INDIRECT("'Quantifiable Component "&amp;$B29&amp;"'!"&amp;$D29&amp;ROW('Quantifiable Component 1'!$81:$81))</f>
        <v>0</v>
      </c>
    </row>
    <row r="30" spans="1:161" s="117" customFormat="1" x14ac:dyDescent="0.35">
      <c r="G30" s="307"/>
      <c r="H30" s="307"/>
      <c r="X30" s="202" t="s">
        <v>690</v>
      </c>
      <c r="Y30" s="202" t="s">
        <v>691</v>
      </c>
      <c r="Z30" s="202" t="s">
        <v>691</v>
      </c>
      <c r="AA30" s="117" t="s">
        <v>512</v>
      </c>
      <c r="AB30" s="202" t="s">
        <v>692</v>
      </c>
      <c r="AC30" s="202" t="s">
        <v>692</v>
      </c>
      <c r="AD30" s="202" t="s">
        <v>692</v>
      </c>
      <c r="AE30" s="202" t="s">
        <v>693</v>
      </c>
      <c r="AF30" s="202" t="s">
        <v>693</v>
      </c>
      <c r="AG30" s="117" t="s">
        <v>512</v>
      </c>
      <c r="AH30" s="202" t="s">
        <v>692</v>
      </c>
      <c r="AI30" s="202" t="s">
        <v>692</v>
      </c>
      <c r="AJ30" s="202" t="s">
        <v>692</v>
      </c>
      <c r="AK30" s="202" t="s">
        <v>694</v>
      </c>
      <c r="AL30" s="202" t="s">
        <v>694</v>
      </c>
      <c r="AM30" s="202" t="s">
        <v>695</v>
      </c>
      <c r="AN30" s="117" t="s">
        <v>512</v>
      </c>
      <c r="BF30" s="202" t="s">
        <v>696</v>
      </c>
      <c r="BG30" s="202" t="s">
        <v>697</v>
      </c>
      <c r="BH30" s="202" t="s">
        <v>697</v>
      </c>
      <c r="BI30" s="202" t="s">
        <v>698</v>
      </c>
      <c r="BP30" s="202" t="s">
        <v>699</v>
      </c>
      <c r="BQ30" s="202" t="s">
        <v>699</v>
      </c>
      <c r="BR30" s="202" t="s">
        <v>700</v>
      </c>
      <c r="BS30" s="202" t="s">
        <v>701</v>
      </c>
      <c r="BT30" s="202" t="s">
        <v>701</v>
      </c>
      <c r="BU30" s="117" t="s">
        <v>512</v>
      </c>
      <c r="BV30" s="202" t="s">
        <v>692</v>
      </c>
      <c r="BW30" s="202" t="s">
        <v>692</v>
      </c>
      <c r="BX30" s="202" t="s">
        <v>692</v>
      </c>
      <c r="BY30" s="202" t="s">
        <v>693</v>
      </c>
      <c r="BZ30" s="202" t="s">
        <v>693</v>
      </c>
      <c r="CA30" s="117" t="s">
        <v>512</v>
      </c>
      <c r="CB30" s="202" t="s">
        <v>692</v>
      </c>
      <c r="CC30" s="202" t="s">
        <v>692</v>
      </c>
      <c r="CD30" s="202" t="s">
        <v>692</v>
      </c>
      <c r="CE30" s="202" t="s">
        <v>694</v>
      </c>
      <c r="CF30" s="202" t="s">
        <v>694</v>
      </c>
      <c r="CG30" s="202" t="s">
        <v>695</v>
      </c>
      <c r="CH30" s="117" t="s">
        <v>512</v>
      </c>
      <c r="CZ30" s="202" t="s">
        <v>696</v>
      </c>
      <c r="DA30" s="202" t="s">
        <v>697</v>
      </c>
      <c r="DB30" s="202" t="s">
        <v>702</v>
      </c>
      <c r="DC30" s="202" t="s">
        <v>698</v>
      </c>
      <c r="DD30" s="117" t="s">
        <v>512</v>
      </c>
      <c r="DN30" s="117" t="s">
        <v>512</v>
      </c>
      <c r="DO30" s="202" t="s">
        <v>692</v>
      </c>
      <c r="DP30" s="202" t="s">
        <v>692</v>
      </c>
      <c r="DQ30" s="202" t="s">
        <v>692</v>
      </c>
      <c r="DR30" s="202" t="s">
        <v>693</v>
      </c>
      <c r="DS30" s="202" t="s">
        <v>693</v>
      </c>
      <c r="DT30" s="117" t="s">
        <v>512</v>
      </c>
      <c r="DU30" s="202" t="s">
        <v>692</v>
      </c>
      <c r="DV30" s="202" t="s">
        <v>692</v>
      </c>
      <c r="DW30" s="202" t="s">
        <v>692</v>
      </c>
      <c r="DX30" s="202" t="s">
        <v>694</v>
      </c>
      <c r="DY30" s="202" t="s">
        <v>694</v>
      </c>
      <c r="ES30" s="202" t="s">
        <v>696</v>
      </c>
      <c r="ET30" s="202" t="s">
        <v>697</v>
      </c>
      <c r="EU30" s="202" t="s">
        <v>702</v>
      </c>
      <c r="EV30" s="202" t="s">
        <v>698</v>
      </c>
    </row>
    <row r="31" spans="1:161" s="117" customFormat="1" ht="13.5" customHeight="1" thickBot="1" x14ac:dyDescent="0.4">
      <c r="G31" s="307"/>
      <c r="H31" s="307"/>
    </row>
    <row r="32" spans="1:161" s="117" customFormat="1" ht="16" thickBot="1" x14ac:dyDescent="0.4">
      <c r="G32" s="307"/>
      <c r="H32" s="307"/>
      <c r="T32" s="974" t="s">
        <v>703</v>
      </c>
      <c r="U32" s="975"/>
      <c r="V32" s="975"/>
      <c r="W32" s="975"/>
      <c r="X32" s="975"/>
      <c r="Y32" s="975"/>
      <c r="Z32" s="975"/>
      <c r="AA32" s="975"/>
      <c r="AB32" s="975"/>
      <c r="AC32" s="975"/>
      <c r="AD32" s="975"/>
      <c r="AE32" s="976"/>
      <c r="BN32" s="977" t="s">
        <v>704</v>
      </c>
      <c r="BO32" s="978"/>
      <c r="BP32" s="978"/>
      <c r="BQ32" s="978"/>
      <c r="BR32" s="978"/>
      <c r="BS32" s="978"/>
      <c r="BT32" s="978"/>
      <c r="BU32" s="978"/>
      <c r="BV32" s="978"/>
      <c r="BW32" s="978"/>
      <c r="BX32" s="978"/>
      <c r="BY32" s="979"/>
      <c r="DG32" s="980" t="s">
        <v>705</v>
      </c>
      <c r="DH32" s="981"/>
      <c r="DI32" s="981"/>
      <c r="DJ32" s="981"/>
      <c r="DK32" s="981"/>
      <c r="DL32" s="981"/>
      <c r="DM32" s="981"/>
      <c r="DN32" s="981"/>
      <c r="DO32" s="981"/>
      <c r="DP32" s="981"/>
      <c r="DQ32" s="981"/>
      <c r="DR32" s="982"/>
    </row>
    <row r="33" spans="16:122" s="117" customFormat="1" ht="79.5" x14ac:dyDescent="0.35">
      <c r="P33" s="117" t="str">
        <f>""</f>
        <v/>
      </c>
      <c r="T33" s="1029" t="s">
        <v>544</v>
      </c>
      <c r="U33" s="1423" t="s">
        <v>706</v>
      </c>
      <c r="V33" s="308" t="s">
        <v>649</v>
      </c>
      <c r="W33" s="309" t="s">
        <v>650</v>
      </c>
      <c r="X33" s="309" t="s">
        <v>651</v>
      </c>
      <c r="Y33" s="309" t="s">
        <v>652</v>
      </c>
      <c r="Z33" s="309" t="s">
        <v>653</v>
      </c>
      <c r="AA33" s="310" t="s">
        <v>654</v>
      </c>
      <c r="AB33" s="311" t="s">
        <v>707</v>
      </c>
      <c r="AC33" s="312" t="s">
        <v>708</v>
      </c>
      <c r="AD33" s="312" t="s">
        <v>709</v>
      </c>
      <c r="AE33" s="313" t="s">
        <v>710</v>
      </c>
      <c r="BN33" s="1424" t="s">
        <v>544</v>
      </c>
      <c r="BO33" s="1425" t="s">
        <v>706</v>
      </c>
      <c r="BP33" s="314" t="s">
        <v>649</v>
      </c>
      <c r="BQ33" s="315" t="s">
        <v>650</v>
      </c>
      <c r="BR33" s="315" t="s">
        <v>651</v>
      </c>
      <c r="BS33" s="315" t="s">
        <v>652</v>
      </c>
      <c r="BT33" s="315" t="s">
        <v>653</v>
      </c>
      <c r="BU33" s="316" t="s">
        <v>654</v>
      </c>
      <c r="BV33" s="1076" t="s">
        <v>707</v>
      </c>
      <c r="BW33" s="1077" t="s">
        <v>708</v>
      </c>
      <c r="BX33" s="1077" t="s">
        <v>709</v>
      </c>
      <c r="BY33" s="1078" t="s">
        <v>710</v>
      </c>
      <c r="DG33" s="1029" t="s">
        <v>544</v>
      </c>
      <c r="DH33" s="1423" t="s">
        <v>706</v>
      </c>
      <c r="DI33" s="317" t="s">
        <v>671</v>
      </c>
      <c r="DJ33" s="318" t="s">
        <v>672</v>
      </c>
      <c r="DK33" s="318" t="s">
        <v>673</v>
      </c>
      <c r="DL33" s="318" t="s">
        <v>674</v>
      </c>
      <c r="DM33" s="318" t="s">
        <v>675</v>
      </c>
      <c r="DN33" s="305" t="s">
        <v>676</v>
      </c>
      <c r="DO33" s="311" t="s">
        <v>707</v>
      </c>
      <c r="DP33" s="312" t="s">
        <v>708</v>
      </c>
      <c r="DQ33" s="312" t="s">
        <v>709</v>
      </c>
      <c r="DR33" s="313" t="s">
        <v>710</v>
      </c>
    </row>
    <row r="34" spans="16:122" s="117" customFormat="1" ht="19.5" customHeight="1" x14ac:dyDescent="0.35">
      <c r="T34" s="1646">
        <v>1</v>
      </c>
      <c r="U34" s="1368">
        <v>1</v>
      </c>
      <c r="V34" s="306">
        <f ca="1">IF(OR('GHG Calcs'!AD12=Defaults!$I$5,'GHG Calcs'!AD12=Defaults!$I$7,'GHG Calcs'!AD12=Defaults!$I$11),0,IF('GHG Calcs'!$AC12="Transit Bus",V12,IF('GHG Calcs'!$AC12="Van",AB12,IF('GHG Calcs'!$AC12="Cut-A-Way",AH12,IF('GHG Calcs'!$AC12="Over-Road Coach",AN12,IF('GHG Calcs'!$AC12="Heavy Rail",$AT12,IF('GHG Calcs'!$AC12="DMU / EMU",$AX12,IF('GHG Calcs'!$AC12="Ferry",BB12,0))))))))</f>
        <v>0</v>
      </c>
      <c r="W34" s="306">
        <f ca="1">IF(OR('GHG Calcs'!AD12=Defaults!$I$5,'GHG Calcs'!AD12=Defaults!$I$7,'GHG Calcs'!AD12=Defaults!$I$11),0,IF('GHG Calcs'!$AC12="Transit Bus",W12,IF('GHG Calcs'!$AC12="Van",AC12,IF('GHG Calcs'!$AC12="Cut-A-Way",AI12,IF('GHG Calcs'!$AC12="Over-Road Coach",AO12,IF('GHG Calcs'!$AC12="Heavy Rail",$AU12,IF('GHG Calcs'!$AC12="DMU / EMU",$AY12,IF('GHG Calcs'!$AC12="Ferry",BC12,0))))))))</f>
        <v>0</v>
      </c>
      <c r="X34" s="306">
        <f ca="1">IF(OR('GHG Calcs'!AD12=Defaults!$I$5,'GHG Calcs'!AD12=Defaults!$I$7,'GHG Calcs'!AD12=Defaults!$I$11),0,IF('GHG Calcs'!$AC12="Transit Bus",X12,IF('GHG Calcs'!$AC12="Van",AD12,IF('GHG Calcs'!$AC12="Cut-A-Way",AJ12,IF('GHG Calcs'!$AC12="Over-Road Coach",AP12,IF('GHG Calcs'!$AC12="Heavy Rail",$AV12,IF('GHG Calcs'!$AC12="DMU / EMU",$AZ12,IF('GHG Calcs'!$AC12="Ferry",BD12,0))))))))</f>
        <v>0</v>
      </c>
      <c r="Y34" s="306">
        <f ca="1">IF('GHG Calcs'!$AC12="Transit Bus",Y12,IF('GHG Calcs'!$AC12="Van",AE12,IF('GHG Calcs'!$AC12="Cut-A-Way",AK12,IF('GHG Calcs'!$AC12="Over-Road Coach",AQ12,0))))</f>
        <v>0</v>
      </c>
      <c r="Z34" s="1419">
        <f ca="1">IF('GHG Calcs'!$AC12="Transit Bus",Z12,IF('GHG Calcs'!$AC12="Van",AF12,IF('GHG Calcs'!$AC12="Cut-A-Way",AL12,IF('GHG Calcs'!$AC12="Over-Road Coach",AR12*IF(OR('GHG Calcs'!AV12="Yes",'GHG Calcs'!AD12=Defaults!$I$5,'GHG Calcs'!AD12=Defaults!$I$7,'GHG Calcs'!AD12=Defaults!$I$11),0.5,1),0))))</f>
        <v>0</v>
      </c>
      <c r="AA34" s="306">
        <f ca="1">IF(OR('GHG Calcs'!AD12=Defaults!$I$5,'GHG Calcs'!AD12=Defaults!$I$7,'GHG Calcs'!AD12=Defaults!$I$11,'GHG Calcs'!AD12=Defaults!$I$3,'GHG Calcs'!AD12=Defaults!$I$8,'GHG Calcs'!AD12=Defaults!$I$12),0,IF('GHG Calcs'!$AC12="Transit Bus",AA12,IF('GHG Calcs'!$AC12="Van",AG12,IF('GHG Calcs'!$AC12="Cut-A-Way",AM12,IF('GHG Calcs'!$AC12="Over-Road Coach",AS12,IF('GHG Calcs'!$AC12="Heavy Rail",$AW12,IF('GHG Calcs'!$AC12="DMU / EMU",$BA12,IF('GHG Calcs'!$AC12="Ferry",BE12,0))))))))</f>
        <v>0</v>
      </c>
      <c r="AB34" s="1378">
        <f ca="1">(IF(AND('GHG Calcs'!AV12="yes",NOT('GHG Calcs'!AD12=Defaults!$I$5),NOT('GHG Calcs'!AD12=Defaults!$I$7),NOT('GHG Calcs'!AD12=Defaults!$I$11)),0.8,1))*IF('GHG Calcs'!$AE12&gt;0,V34*'GHG Calcs'!$AE12,V34*'GHG Calcs'!$AI12)*('GHG Calcs'!$I12-'GHG Calcs'!$H12)</f>
        <v>0</v>
      </c>
      <c r="AC34" s="1378">
        <f ca="1">(IF(AND('GHG Calcs'!AV12="yes",NOT('GHG Calcs'!AD12=Defaults!$I$5),NOT('GHG Calcs'!AD12=Defaults!$I$7),NOT('GHG Calcs'!AD12=Defaults!$I$11)),0.8,1))*IF('GHG Calcs'!$AE12&gt;0,W34*'GHG Calcs'!$AE12,W34*'GHG Calcs'!$AI12)*('GHG Calcs'!$I12-'GHG Calcs'!$H12)</f>
        <v>0</v>
      </c>
      <c r="AD34" s="1378">
        <f ca="1">((IF(AND('GHG Calcs'!AV12="yes",NOT('GHG Calcs'!AD12=Defaults!$I$5),NOT('GHG Calcs'!AD12=Defaults!$I$7),NOT('GHG Calcs'!AD12=Defaults!$I$11)),0.8,1)*X34)+Y34+Z34)*IF('GHG Calcs'!$AE12&gt;0,'GHG Calcs'!$AE12,'GHG Calcs'!$AI12)*('GHG Calcs'!$I12-'GHG Calcs'!$H12)</f>
        <v>0</v>
      </c>
      <c r="AE34" s="1378">
        <f ca="1">(IF(AND('GHG Calcs'!AV12="yes",NOT('GHG Calcs'!AD12=Defaults!$I$5),NOT('GHG Calcs'!AD12=Defaults!$I$7),NOT('GHG Calcs'!AD12=Defaults!$I$11)),0.8,1))*IF('GHG Calcs'!$AE12&gt;0,AA34*'GHG Calcs'!$AE12,AA34*'GHG Calcs'!$AI12)*('GHG Calcs'!$I12-'GHG Calcs'!$H12)</f>
        <v>0</v>
      </c>
      <c r="BN34" s="1646">
        <v>1</v>
      </c>
      <c r="BO34" s="1368">
        <v>1</v>
      </c>
      <c r="BP34" s="306">
        <f ca="1">IF(OR('GHG Calcs'!BD12=Defaults!$I$5,'GHG Calcs'!BD12=Defaults!$I$7,'GHG Calcs'!BD12=Defaults!$I$11),0,IF('GHG Calcs'!$BC12="Transit Bus",BP12,IF('GHG Calcs'!$BC12="Van",BV12,IF('GHG Calcs'!$BC12="Cut-A-Way",CB12,IF('GHG Calcs'!$BC12="Over-Road Coach",CH12,IF('GHG Calcs'!$BC12="Heavy Rail",$CN12,IF('GHG Calcs'!$BC12="DMU / EMU",$CR12,IF('GHG Calcs'!$BC12="Ferry",$CV12,0))))))))</f>
        <v>0</v>
      </c>
      <c r="BQ34" s="306">
        <f ca="1">IF(OR('GHG Calcs'!BD12=Defaults!$I$5,'GHG Calcs'!BD12=Defaults!$I$7,'GHG Calcs'!BD12=Defaults!$I$11),0,IF('GHG Calcs'!$BC12="Transit Bus",BQ12,IF('GHG Calcs'!$BC12="Van",BW12,IF('GHG Calcs'!$BC12="Cut-A-Way",CC12,IF('GHG Calcs'!$BC12="Over-Road Coach",CI12,IF('GHG Calcs'!$BC12="Heavy Rail",$CO12,IF('GHG Calcs'!$BC12="DMU / EMU",$CS12,IF('GHG Calcs'!$BC12="Ferry",$CW12,0))))))))</f>
        <v>0</v>
      </c>
      <c r="BR34" s="306">
        <f ca="1">IF(OR('GHG Calcs'!BD12=Defaults!$I$5,'GHG Calcs'!BD12=Defaults!$I$7,'GHG Calcs'!BD12=Defaults!$I$11),0,IF('GHG Calcs'!$BC12="Transit Bus",BR12,IF('GHG Calcs'!$BC12="Van",BX12,IF('GHG Calcs'!$BC12="Cut-A-Way",CD12,IF('GHG Calcs'!$BC12="Over-Road Coach",CJ12,IF('GHG Calcs'!$BC12="Heavy Rail",$CP12,IF('GHG Calcs'!$BC12="DMU / EMU",$CT12,IF('GHG Calcs'!$BC12="Ferry",$CX12,0))))))))</f>
        <v>0</v>
      </c>
      <c r="BS34" s="306">
        <f ca="1">IF('GHG Calcs'!$BC12="Transit Bus",BS12,IF('GHG Calcs'!$BC12="Van",BY12,IF('GHG Calcs'!$BC12="Cut-A-Way",CE12,IF('GHG Calcs'!$BC12="Over-Road Coach",CK12,0))))</f>
        <v>0</v>
      </c>
      <c r="BT34" s="1419">
        <f ca="1">IF('GHG Calcs'!$BC12="Transit Bus",BT12,IF('GHG Calcs'!$BC12="Van",BZ12,IF('GHG Calcs'!$BC12="Cut-A-Way",CF12,IF('GHG Calcs'!$BC12="Over-Road Coach",CL12*IF(OR('GHG Calcs'!BV12="Yes",'GHG Calcs'!BD12=Defaults!$I$5,'GHG Calcs'!BD12=Defaults!$I$7,'GHG Calcs'!BD12=Defaults!$I$11),0.5,1),0))))</f>
        <v>0</v>
      </c>
      <c r="BU34" s="306">
        <f ca="1">IF(OR('GHG Calcs'!BD12=Defaults!$I$5,'GHG Calcs'!BD12=Defaults!$I$7,'GHG Calcs'!BD12=Defaults!$I$11,'GHG Calcs'!BD12=Defaults!$I$3,'GHG Calcs'!BD12=Defaults!$I$8,'GHG Calcs'!BD12=Defaults!$I$12),0,IF('GHG Calcs'!$BC12="Transit Bus",BU12,IF('GHG Calcs'!$BC12="Van",CA12,IF('GHG Calcs'!$BC12="Cut-A-Way",CG12,IF('GHG Calcs'!$BC12="Over-Road Coach",CM12,IF('GHG Calcs'!$BC12="Heavy Rail",$CQ12,IF('GHG Calcs'!$BC12="DMU / EMU",$CU12,IF('GHG Calcs'!$BC12="Ferry",$CY12,0))))))))</f>
        <v>0</v>
      </c>
      <c r="BV34" s="1378">
        <f ca="1">(IF(AND('GHG Calcs'!BV12="yes",NOT('GHG Calcs'!BD12=Defaults!$I$5),NOT('GHG Calcs'!BD12=Defaults!$I$7),NOT('GHG Calcs'!BD12=Defaults!$I$11)),0.8,1))*IF('GHG Calcs'!$BE12&gt;0,BP34*'GHG Calcs'!$BE12,BP34*'GHG Calcs'!$BH12)*('GHG Calcs'!$I12-'GHG Calcs'!$H12)</f>
        <v>0</v>
      </c>
      <c r="BW34" s="1378">
        <f ca="1">(IF(AND('GHG Calcs'!BV12="yes",NOT('GHG Calcs'!BD12=Defaults!$I$5),NOT('GHG Calcs'!BD12=Defaults!$I$7),NOT('GHG Calcs'!BD12=Defaults!$I$11)),0.8,1))*IF('GHG Calcs'!$BE12&gt;0,BQ34*'GHG Calcs'!$BE12,BQ34*'GHG Calcs'!$BH12)*('GHG Calcs'!$I12-'GHG Calcs'!$H12)</f>
        <v>0</v>
      </c>
      <c r="BX34" s="1378">
        <f ca="1">((IF(AND('GHG Calcs'!BV12="yes",NOT('GHG Calcs'!BD12=Defaults!$I$5),NOT('GHG Calcs'!BD12=Defaults!$I$7),NOT('GHG Calcs'!BD12=Defaults!$I$11)),0.8,1)*BR34)+BS34+BT34)*IF('GHG Calcs'!$BE12&gt;0,'GHG Calcs'!$BE12,'GHG Calcs'!$BH12)*('GHG Calcs'!$I12-'GHG Calcs'!$H12)</f>
        <v>0</v>
      </c>
      <c r="BY34" s="1378">
        <f ca="1">(IF(AND('GHG Calcs'!BV12="yes",NOT('GHG Calcs'!BD12=Defaults!$I$5),NOT('GHG Calcs'!BD12=Defaults!$I$7),NOT('GHG Calcs'!BD12=Defaults!$I$11)),0.8,1))*IF('GHG Calcs'!$BE12&gt;0,BU34*'GHG Calcs'!$BE12,BU34*'GHG Calcs'!$BH12)*('GHG Calcs'!$I12-'GHG Calcs'!$H12)</f>
        <v>0</v>
      </c>
      <c r="DG34" s="1646">
        <v>1</v>
      </c>
      <c r="DH34" s="1368">
        <v>1</v>
      </c>
      <c r="DI34" s="306">
        <f ca="1">IF(OR('GHG Calcs'!CD12=Defaults!$I$5,'GHG Calcs'!CD12=Defaults!$I$7,'GHG Calcs'!CD12=Defaults!$I$11),0,IF('GHG Calcs'!$CC12="Transit Bus",DI12,IF('GHG Calcs'!$CC12="Van",DO12,IF('GHG Calcs'!$CC12="Cut-A-Way",DU12,IF('GHG Calcs'!$CC12="Over-Road Coach",EA12,IF('GHG Calcs'!$CC12="Heavy Rail",EG12,IF('GHG Calcs'!$CC12="DMU / EMU",EK12,IF('GHG Calcs'!$CC12="Ferry",EO12,0))))))))</f>
        <v>0</v>
      </c>
      <c r="DJ34" s="306">
        <f ca="1">IF(OR('GHG Calcs'!CD12=Defaults!$I$5,'GHG Calcs'!CD12=Defaults!$I$7,'GHG Calcs'!CD12=Defaults!$I$11),0,IF('GHG Calcs'!$CC12="Transit Bus",DJ12,IF('GHG Calcs'!$CC12="Van",DP12,IF('GHG Calcs'!$CC12="Cut-A-Way",DV12,IF('GHG Calcs'!$CC12="Over-Road Coach",EB12,IF('GHG Calcs'!$CC12="Heavy Rail",EH12,IF('GHG Calcs'!$CC12="DMU / EMU",EL12,IF('GHG Calcs'!$CC12="Ferry",EP12,0))))))))</f>
        <v>0</v>
      </c>
      <c r="DK34" s="306">
        <f ca="1">IF(OR('GHG Calcs'!CD12=Defaults!$I$5,'GHG Calcs'!CD12=Defaults!$I$7,'GHG Calcs'!CD12=Defaults!$I$11),0,IF('GHG Calcs'!$CC12="Transit Bus",DK12,IF('GHG Calcs'!$CC12="Van",DQ12,IF('GHG Calcs'!$CC12="Cut-A-Way",DW12,IF('GHG Calcs'!$CC12="Over-Road Coach",EC12,IF('GHG Calcs'!$CC12="Heavy Rail",EI12,IF('GHG Calcs'!$CC12="DMU / EMU",EM12,IF('GHG Calcs'!$CC12="Ferry",EQ12,0))))))))</f>
        <v>0</v>
      </c>
      <c r="DL34" s="306">
        <f ca="1">IF('GHG Calcs'!$CC12="Transit Bus",DL12,IF('GHG Calcs'!$CC12="Van",DR12,IF('GHG Calcs'!$CC12="Cut-A-Way",DX12,IF('GHG Calcs'!$CC12="Over-Road Coach",ED12,0))))</f>
        <v>0</v>
      </c>
      <c r="DM34" s="1419">
        <f ca="1">IF('GHG Calcs'!$CC12="Transit Bus",DM12,IF('GHG Calcs'!$CC12="Van",DS12,IF('GHG Calcs'!$CC12="Cut-A-Way",DY12,IF('GHG Calcs'!$CC12="Over-Road Coach",EE12*IF(OR('GHG Calcs'!CD12=Defaults!$I$5,'GHG Calcs'!CD12=Defaults!$I$7,'GHG Calcs'!CD12=Defaults!$I$11),0.5,1),0))))</f>
        <v>0</v>
      </c>
      <c r="DN34" s="306">
        <f ca="1">IF(OR('GHG Calcs'!CD12=Defaults!$I$5,'GHG Calcs'!CD12=Defaults!$I$7,'GHG Calcs'!CD12=Defaults!$I$11,'GHG Calcs'!CD12=Defaults!$I$3,'GHG Calcs'!CD12=Defaults!$I$8,'GHG Calcs'!CD12=Defaults!$I$12),0,IF('GHG Calcs'!$CC12="Transit Bus",DN12,IF('GHG Calcs'!$CC12="Van",DT12,IF('GHG Calcs'!$CC12="Cut-A-Way",DZ12,IF('GHG Calcs'!$CC12="Over-Road Coach",EF12,IF('GHG Calcs'!$CC12="Heavy Rail",EJ12,IF('GHG Calcs'!$CC12="DMU / EMU",EN12,IF('GHG Calcs'!$CC12="Ferry",ER12,0))))))))</f>
        <v>0</v>
      </c>
      <c r="DO34" s="1378">
        <f ca="1">DI34*'GHG Calcs'!$CE12*('GHG Calcs'!$I12-'GHG Calcs'!$H12)</f>
        <v>0</v>
      </c>
      <c r="DP34" s="1378">
        <f ca="1">DJ34*'GHG Calcs'!$CE12*('GHG Calcs'!$I12-'GHG Calcs'!$H12)</f>
        <v>0</v>
      </c>
      <c r="DQ34" s="1378">
        <f ca="1">(DK34+DL34+DM34)*'GHG Calcs'!$CE12*('GHG Calcs'!$I12-'GHG Calcs'!$H12)</f>
        <v>0</v>
      </c>
      <c r="DR34" s="1378">
        <f ca="1">DN34*'GHG Calcs'!$CE12*('GHG Calcs'!$I12-'GHG Calcs'!$H12)</f>
        <v>0</v>
      </c>
    </row>
    <row r="35" spans="16:122" s="117" customFormat="1" ht="19.5" customHeight="1" x14ac:dyDescent="0.35">
      <c r="T35" s="1647"/>
      <c r="U35" s="1368">
        <v>2</v>
      </c>
      <c r="V35" s="306">
        <f ca="1">IF(OR('GHG Calcs'!AD13=Defaults!$I$5,'GHG Calcs'!AD13=Defaults!$I$7,'GHG Calcs'!AD13=Defaults!$I$11),0,IF('GHG Calcs'!$AC13="Transit Bus",V13,IF('GHG Calcs'!$AC13="Van",AB13,IF('GHG Calcs'!$AC13="Cut-A-Way",AH13,IF('GHG Calcs'!$AC13="Over-Road Coach",AN13,IF('GHG Calcs'!$AC13="Heavy Rail",$AT13,IF('GHG Calcs'!$AC13="DMU / EMU",$AX13,IF('GHG Calcs'!$AC13="Ferry",BB13,0))))))))</f>
        <v>0</v>
      </c>
      <c r="W35" s="306">
        <f ca="1">IF(OR('GHG Calcs'!AD13=Defaults!$I$5,'GHG Calcs'!AD13=Defaults!$I$7,'GHG Calcs'!AD13=Defaults!$I$11),0,IF('GHG Calcs'!$AC13="Transit Bus",W13,IF('GHG Calcs'!$AC13="Van",AC13,IF('GHG Calcs'!$AC13="Cut-A-Way",AI13,IF('GHG Calcs'!$AC13="Over-Road Coach",AO13,IF('GHG Calcs'!$AC13="Heavy Rail",$AU13,IF('GHG Calcs'!$AC13="DMU / EMU",$AY13,IF('GHG Calcs'!$AC13="Ferry",BC13,0))))))))</f>
        <v>0</v>
      </c>
      <c r="X35" s="306">
        <f ca="1">IF(OR('GHG Calcs'!AD13=Defaults!$I$5,'GHG Calcs'!AD13=Defaults!$I$7,'GHG Calcs'!AD13=Defaults!$I$11),0,IF('GHG Calcs'!$AC13="Transit Bus",X13,IF('GHG Calcs'!$AC13="Van",AD13,IF('GHG Calcs'!$AC13="Cut-A-Way",AJ13,IF('GHG Calcs'!$AC13="Over-Road Coach",AP13,IF('GHG Calcs'!$AC13="Heavy Rail",$AV13,IF('GHG Calcs'!$AC13="DMU / EMU",$AZ13,IF('GHG Calcs'!$AC13="Ferry",BD13,0))))))))</f>
        <v>0</v>
      </c>
      <c r="Y35" s="306">
        <f ca="1">IF('GHG Calcs'!$AC13="Transit Bus",Y13,IF('GHG Calcs'!$AC13="Van",AE13,IF('GHG Calcs'!$AC13="Cut-A-Way",AK13,IF('GHG Calcs'!$AC13="Over-Road Coach",AQ13,0))))</f>
        <v>0</v>
      </c>
      <c r="Z35" s="1419">
        <f ca="1">IF('GHG Calcs'!$AC13="Transit Bus",Z13,IF('GHG Calcs'!$AC13="Van",AF13,IF('GHG Calcs'!$AC13="Cut-A-Way",AL13,IF('GHG Calcs'!$AC13="Over-Road Coach",AR13*IF(OR('GHG Calcs'!AV13="Yes",'GHG Calcs'!AD13=Defaults!$I$5,'GHG Calcs'!AD13=Defaults!$I$7,'GHG Calcs'!AD13=Defaults!$I$11),0.5,1),0))))</f>
        <v>0</v>
      </c>
      <c r="AA35" s="306">
        <f ca="1">IF(OR('GHG Calcs'!AD13=Defaults!$I$5,'GHG Calcs'!AD13=Defaults!$I$7,'GHG Calcs'!AD13=Defaults!$I$11,'GHG Calcs'!AD13=Defaults!$I$3,'GHG Calcs'!AD13=Defaults!$I$8,'GHG Calcs'!AD13=Defaults!$I$12),0,IF('GHG Calcs'!$AC13="Transit Bus",AA13,IF('GHG Calcs'!$AC13="Van",AG13,IF('GHG Calcs'!$AC13="Cut-A-Way",AM13,IF('GHG Calcs'!$AC13="Over-Road Coach",AS13,IF('GHG Calcs'!$AC13="Heavy Rail",$AW13,IF('GHG Calcs'!$AC13="DMU / EMU",$BA13,IF('GHG Calcs'!$AC13="Ferry",BE13,0))))))))</f>
        <v>0</v>
      </c>
      <c r="AB35" s="1378">
        <f ca="1">(IF(AND('GHG Calcs'!AV13="yes",NOT('GHG Calcs'!AD13=Defaults!$I$5),NOT('GHG Calcs'!AD13=Defaults!$I$7),NOT('GHG Calcs'!AD13=Defaults!$I$11)),0.8,1))*IF('GHG Calcs'!$AE13&gt;0,V35*'GHG Calcs'!$AE13,V35*'GHG Calcs'!$AI13)*('GHG Calcs'!$I13-'GHG Calcs'!$H13)</f>
        <v>0</v>
      </c>
      <c r="AC35" s="1378">
        <f ca="1">(IF(AND('GHG Calcs'!AV13="yes",NOT('GHG Calcs'!AD13=Defaults!$I$5),NOT('GHG Calcs'!AD13=Defaults!$I$7),NOT('GHG Calcs'!AD13=Defaults!$I$11)),0.8,1))*IF('GHG Calcs'!$AE13&gt;0,W35*'GHG Calcs'!$AE13,W35*'GHG Calcs'!$AI13)*('GHG Calcs'!$I13-'GHG Calcs'!$H13)</f>
        <v>0</v>
      </c>
      <c r="AD35" s="1378">
        <f ca="1">((IF(AND('GHG Calcs'!AV13="yes",NOT('GHG Calcs'!AD13=Defaults!$I$5),NOT('GHG Calcs'!AD13=Defaults!$I$7),NOT('GHG Calcs'!AD13=Defaults!$I$11)),0.8,1)*X35)+Y35+Z35)*IF('GHG Calcs'!$AE13&gt;0,'GHG Calcs'!$AE13,'GHG Calcs'!$AI13)*('GHG Calcs'!$I13-'GHG Calcs'!$H13)</f>
        <v>0</v>
      </c>
      <c r="AE35" s="1378">
        <f ca="1">(IF(AND('GHG Calcs'!AV13="yes",NOT('GHG Calcs'!AD13=Defaults!$I$5),NOT('GHG Calcs'!AD13=Defaults!$I$7),NOT('GHG Calcs'!AD13=Defaults!$I$11)),0.8,1))*IF('GHG Calcs'!$AE13&gt;0,AA35*'GHG Calcs'!$AE13,AA35*'GHG Calcs'!$AI13)*('GHG Calcs'!$I13-'GHG Calcs'!$H13)</f>
        <v>0</v>
      </c>
      <c r="BN35" s="1647"/>
      <c r="BO35" s="1368">
        <v>2</v>
      </c>
      <c r="BP35" s="306">
        <f ca="1">IF(OR('GHG Calcs'!BD13=Defaults!$I$5,'GHG Calcs'!BD13=Defaults!$I$7,'GHG Calcs'!BD13=Defaults!$I$11),0,IF('GHG Calcs'!$BC13="Transit Bus",BP13,IF('GHG Calcs'!$BC13="Van",BV13,IF('GHG Calcs'!$BC13="Cut-A-Way",CB13,IF('GHG Calcs'!$BC13="Over-Road Coach",CH13,IF('GHG Calcs'!$BC13="Heavy Rail",$CN13,IF('GHG Calcs'!$BC13="DMU / EMU",$CR13,IF('GHG Calcs'!$BC13="Ferry",$CV13,0))))))))</f>
        <v>0</v>
      </c>
      <c r="BQ35" s="306">
        <f ca="1">IF(OR('GHG Calcs'!BD13=Defaults!$I$5,'GHG Calcs'!BD13=Defaults!$I$7,'GHG Calcs'!BD13=Defaults!$I$11),0,IF('GHG Calcs'!$BC13="Transit Bus",BQ13,IF('GHG Calcs'!$BC13="Van",BW13,IF('GHG Calcs'!$BC13="Cut-A-Way",CC13,IF('GHG Calcs'!$BC13="Over-Road Coach",CI13,IF('GHG Calcs'!$BC13="Heavy Rail",$CO13,IF('GHG Calcs'!$BC13="DMU / EMU",$CS13,IF('GHG Calcs'!$BC13="Ferry",$CW13,0))))))))</f>
        <v>0</v>
      </c>
      <c r="BR35" s="306">
        <f ca="1">IF(OR('GHG Calcs'!BD13=Defaults!$I$5,'GHG Calcs'!BD13=Defaults!$I$7,'GHG Calcs'!BD13=Defaults!$I$11),0,IF('GHG Calcs'!$BC13="Transit Bus",BR13,IF('GHG Calcs'!$BC13="Van",BX13,IF('GHG Calcs'!$BC13="Cut-A-Way",CD13,IF('GHG Calcs'!$BC13="Over-Road Coach",CJ13,IF('GHG Calcs'!$BC13="Heavy Rail",$CP13,IF('GHG Calcs'!$BC13="DMU / EMU",$CT13,IF('GHG Calcs'!$BC13="Ferry",$CX13,0))))))))</f>
        <v>0</v>
      </c>
      <c r="BS35" s="306">
        <f ca="1">IF('GHG Calcs'!$BC13="Transit Bus",BS13,IF('GHG Calcs'!$BC13="Van",BY13,IF('GHG Calcs'!$BC13="Cut-A-Way",CE13,IF('GHG Calcs'!$BC13="Over-Road Coach",CK13,0))))</f>
        <v>0</v>
      </c>
      <c r="BT35" s="1419">
        <f ca="1">IF('GHG Calcs'!$BC13="Transit Bus",BT13,IF('GHG Calcs'!$BC13="Van",BZ13,IF('GHG Calcs'!$BC13="Cut-A-Way",CF13,IF('GHG Calcs'!$BC13="Over-Road Coach",CL13*IF(OR('GHG Calcs'!BV13="Yes",'GHG Calcs'!BD13=Defaults!$I$5,'GHG Calcs'!BD13=Defaults!$I$7,'GHG Calcs'!BD13=Defaults!$I$11),0.5,1),0))))</f>
        <v>0</v>
      </c>
      <c r="BU35" s="306">
        <f ca="1">IF(OR('GHG Calcs'!BD13=Defaults!$I$5,'GHG Calcs'!BD13=Defaults!$I$7,'GHG Calcs'!BD13=Defaults!$I$11,'GHG Calcs'!BD13=Defaults!$I$3,'GHG Calcs'!BD13=Defaults!$I$8,'GHG Calcs'!BD13=Defaults!$I$12),0,IF('GHG Calcs'!$BC13="Transit Bus",BU13,IF('GHG Calcs'!$BC13="Van",CA13,IF('GHG Calcs'!$BC13="Cut-A-Way",CG13,IF('GHG Calcs'!$BC13="Over-Road Coach",CM13,IF('GHG Calcs'!$BC13="Heavy Rail",$CQ13,IF('GHG Calcs'!$BC13="DMU / EMU",$CU13,IF('GHG Calcs'!$BC13="Ferry",$CY13,0))))))))</f>
        <v>0</v>
      </c>
      <c r="BV35" s="1378">
        <f ca="1">(IF(AND('GHG Calcs'!BV13="yes",NOT('GHG Calcs'!BD13=Defaults!$I$5),NOT('GHG Calcs'!BD13=Defaults!$I$7),NOT('GHG Calcs'!BD13=Defaults!$I$11)),0.8,1))*IF('GHG Calcs'!$BE13&gt;0,BP35*'GHG Calcs'!$BE13,BP35*'GHG Calcs'!$BH13)*('GHG Calcs'!$I13-'GHG Calcs'!$H13)</f>
        <v>0</v>
      </c>
      <c r="BW35" s="1378">
        <f ca="1">(IF(AND('GHG Calcs'!BV13="yes",NOT('GHG Calcs'!BD13=Defaults!$I$5),NOT('GHG Calcs'!BD13=Defaults!$I$7),NOT('GHG Calcs'!BD13=Defaults!$I$11)),0.8,1))*IF('GHG Calcs'!$BE13&gt;0,BQ35*'GHG Calcs'!$BE13,BQ35*'GHG Calcs'!$BH13)*('GHG Calcs'!$I13-'GHG Calcs'!$H13)</f>
        <v>0</v>
      </c>
      <c r="BX35" s="1378">
        <f ca="1">((IF(AND('GHG Calcs'!BV13="yes",NOT('GHG Calcs'!BD13=Defaults!$I$5),NOT('GHG Calcs'!BD13=Defaults!$I$7),NOT('GHG Calcs'!BD13=Defaults!$I$11)),0.8,1)*BR35)+BS35+BT35)*IF('GHG Calcs'!$BE13&gt;0,'GHG Calcs'!$BE13,'GHG Calcs'!$BH13)*('GHG Calcs'!$I13-'GHG Calcs'!$H13)</f>
        <v>0</v>
      </c>
      <c r="BY35" s="1378">
        <f ca="1">(IF(AND('GHG Calcs'!BV13="yes",NOT('GHG Calcs'!BD13=Defaults!$I$5),NOT('GHG Calcs'!BD13=Defaults!$I$7),NOT('GHG Calcs'!BD13=Defaults!$I$11)),0.8,1))*IF('GHG Calcs'!$BE13&gt;0,BU35*'GHG Calcs'!$BE13,BU35*'GHG Calcs'!$BH13)*('GHG Calcs'!$I13-'GHG Calcs'!$H13)</f>
        <v>0</v>
      </c>
      <c r="DG35" s="1647"/>
      <c r="DH35" s="1368">
        <v>2</v>
      </c>
      <c r="DI35" s="306">
        <f ca="1">IF(OR('GHG Calcs'!CD13=Defaults!$I$5,'GHG Calcs'!CD13=Defaults!$I$7,'GHG Calcs'!CD13=Defaults!$I$11),0,IF('GHG Calcs'!$CC13="Transit Bus",DI13,IF('GHG Calcs'!$CC13="Van",DO13,IF('GHG Calcs'!$CC13="Cut-A-Way",DU13,IF('GHG Calcs'!$CC13="Over-Road Coach",EA13,IF('GHG Calcs'!$CC13="Heavy Rail",EG13,IF('GHG Calcs'!$CC13="DMU / EMU",EK13,IF('GHG Calcs'!$CC13="Ferry",EO13,0))))))))</f>
        <v>0</v>
      </c>
      <c r="DJ35" s="306">
        <f ca="1">IF(OR('GHG Calcs'!CD13=Defaults!$I$5,'GHG Calcs'!CD13=Defaults!$I$7,'GHG Calcs'!CD13=Defaults!$I$11),0,IF('GHG Calcs'!$CC13="Transit Bus",DJ13,IF('GHG Calcs'!$CC13="Van",DP13,IF('GHG Calcs'!$CC13="Cut-A-Way",DV13,IF('GHG Calcs'!$CC13="Over-Road Coach",EB13,IF('GHG Calcs'!$CC13="Heavy Rail",EH13,IF('GHG Calcs'!$CC13="DMU / EMU",EL13,IF('GHG Calcs'!$CC13="Ferry",EP13,0))))))))</f>
        <v>0</v>
      </c>
      <c r="DK35" s="306">
        <f ca="1">IF(OR('GHG Calcs'!CD13=Defaults!$I$5,'GHG Calcs'!CD13=Defaults!$I$7,'GHG Calcs'!CD13=Defaults!$I$11),0,IF('GHG Calcs'!$CC13="Transit Bus",DK13,IF('GHG Calcs'!$CC13="Van",DQ13,IF('GHG Calcs'!$CC13="Cut-A-Way",DW13,IF('GHG Calcs'!$CC13="Over-Road Coach",EC13,IF('GHG Calcs'!$CC13="Heavy Rail",EI13,IF('GHG Calcs'!$CC13="DMU / EMU",EM13,IF('GHG Calcs'!$CC13="Ferry",EQ13,0))))))))</f>
        <v>0</v>
      </c>
      <c r="DL35" s="306">
        <f ca="1">IF('GHG Calcs'!$CC13="Transit Bus",DL13,IF('GHG Calcs'!$CC13="Van",DR13,IF('GHG Calcs'!$CC13="Cut-A-Way",DX13,IF('GHG Calcs'!$CC13="Over-Road Coach",ED13,0))))</f>
        <v>0</v>
      </c>
      <c r="DM35" s="1419">
        <f ca="1">IF('GHG Calcs'!$CC13="Transit Bus",DM13,IF('GHG Calcs'!$CC13="Van",DS13,IF('GHG Calcs'!$CC13="Cut-A-Way",DY13,IF('GHG Calcs'!$CC13="Over-Road Coach",EE13*IF(OR('GHG Calcs'!CD13=Defaults!$I$5,'GHG Calcs'!CD13=Defaults!$I$7,'GHG Calcs'!CD13=Defaults!$I$11),0.5,1),0))))</f>
        <v>0</v>
      </c>
      <c r="DN35" s="306">
        <f ca="1">IF(OR('GHG Calcs'!CD13=Defaults!$I$5,'GHG Calcs'!CD13=Defaults!$I$7,'GHG Calcs'!CD13=Defaults!$I$11,'GHG Calcs'!CD13=Defaults!$I$3,'GHG Calcs'!CD13=Defaults!$I$8,'GHG Calcs'!CD13=Defaults!$I$12),0,IF('GHG Calcs'!$CC13="Transit Bus",DN13,IF('GHG Calcs'!$CC13="Van",DT13,IF('GHG Calcs'!$CC13="Cut-A-Way",DZ13,IF('GHG Calcs'!$CC13="Over-Road Coach",EF13,IF('GHG Calcs'!$CC13="Heavy Rail",EJ13,IF('GHG Calcs'!$CC13="DMU / EMU",EN13,IF('GHG Calcs'!$CC13="Ferry",ER13,0))))))))</f>
        <v>0</v>
      </c>
      <c r="DO35" s="1378">
        <f ca="1">DI35*'GHG Calcs'!$CE13*('GHG Calcs'!$I13-'GHG Calcs'!$H13)</f>
        <v>0</v>
      </c>
      <c r="DP35" s="1378">
        <f ca="1">DJ35*'GHG Calcs'!$CE13*('GHG Calcs'!$I13-'GHG Calcs'!$H13)</f>
        <v>0</v>
      </c>
      <c r="DQ35" s="1378">
        <f ca="1">(DK35+DL35+DM35)*'GHG Calcs'!$CE13*('GHG Calcs'!$I13-'GHG Calcs'!$H13)</f>
        <v>0</v>
      </c>
      <c r="DR35" s="1378">
        <f ca="1">DN35*'GHG Calcs'!$CE13*('GHG Calcs'!$I13-'GHG Calcs'!$H13)</f>
        <v>0</v>
      </c>
    </row>
    <row r="36" spans="16:122" s="117" customFormat="1" ht="19.5" customHeight="1" x14ac:dyDescent="0.35">
      <c r="T36" s="1648"/>
      <c r="U36" s="1368">
        <v>3</v>
      </c>
      <c r="V36" s="306">
        <f ca="1">IF(OR('GHG Calcs'!AD14=Defaults!$I$5,'GHG Calcs'!AD14=Defaults!$I$7,'GHG Calcs'!AD14=Defaults!$I$11),0,IF('GHG Calcs'!$AC14="Transit Bus",V14,IF('GHG Calcs'!$AC14="Van",AB14,IF('GHG Calcs'!$AC14="Cut-A-Way",AH14,IF('GHG Calcs'!$AC14="Over-Road Coach",AN14,IF('GHG Calcs'!$AC14="Heavy Rail",$AT14,IF('GHG Calcs'!$AC14="DMU / EMU",$AX14,IF('GHG Calcs'!$AC14="Ferry",BB14,0))))))))</f>
        <v>0</v>
      </c>
      <c r="W36" s="306">
        <f ca="1">IF(OR('GHG Calcs'!AD14=Defaults!$I$5,'GHG Calcs'!AD14=Defaults!$I$7,'GHG Calcs'!AD14=Defaults!$I$11),0,IF('GHG Calcs'!$AC14="Transit Bus",W14,IF('GHG Calcs'!$AC14="Van",AC14,IF('GHG Calcs'!$AC14="Cut-A-Way",AI14,IF('GHG Calcs'!$AC14="Over-Road Coach",AO14,IF('GHG Calcs'!$AC14="Heavy Rail",$AU14,IF('GHG Calcs'!$AC14="DMU / EMU",$AY14,IF('GHG Calcs'!$AC14="Ferry",BC14,0))))))))</f>
        <v>0</v>
      </c>
      <c r="X36" s="306">
        <f ca="1">IF(OR('GHG Calcs'!AD14=Defaults!$I$5,'GHG Calcs'!AD14=Defaults!$I$7,'GHG Calcs'!AD14=Defaults!$I$11),0,IF('GHG Calcs'!$AC14="Transit Bus",X14,IF('GHG Calcs'!$AC14="Van",AD14,IF('GHG Calcs'!$AC14="Cut-A-Way",AJ14,IF('GHG Calcs'!$AC14="Over-Road Coach",AP14,IF('GHG Calcs'!$AC14="Heavy Rail",$AV14,IF('GHG Calcs'!$AC14="DMU / EMU",$AZ14,IF('GHG Calcs'!$AC14="Ferry",BD14,0))))))))</f>
        <v>0</v>
      </c>
      <c r="Y36" s="306">
        <f ca="1">IF('GHG Calcs'!$AC14="Transit Bus",Y14,IF('GHG Calcs'!$AC14="Van",AE14,IF('GHG Calcs'!$AC14="Cut-A-Way",AK14,IF('GHG Calcs'!$AC14="Over-Road Coach",AQ14,0))))</f>
        <v>0</v>
      </c>
      <c r="Z36" s="1419">
        <f ca="1">IF('GHG Calcs'!$AC14="Transit Bus",Z14,IF('GHG Calcs'!$AC14="Van",AF14,IF('GHG Calcs'!$AC14="Cut-A-Way",AL14,IF('GHG Calcs'!$AC14="Over-Road Coach",AR14*IF(OR('GHG Calcs'!AV14="Yes",'GHG Calcs'!AD14=Defaults!$I$5,'GHG Calcs'!AD14=Defaults!$I$7,'GHG Calcs'!AD14=Defaults!$I$11),0.5,1),0))))</f>
        <v>0</v>
      </c>
      <c r="AA36" s="306">
        <f ca="1">IF(OR('GHG Calcs'!AD14=Defaults!$I$5,'GHG Calcs'!AD14=Defaults!$I$7,'GHG Calcs'!AD14=Defaults!$I$11,'GHG Calcs'!AD14=Defaults!$I$3,'GHG Calcs'!AD14=Defaults!$I$8,'GHG Calcs'!AD14=Defaults!$I$12),0,IF('GHG Calcs'!$AC14="Transit Bus",AA14,IF('GHG Calcs'!$AC14="Van",AG14,IF('GHG Calcs'!$AC14="Cut-A-Way",AM14,IF('GHG Calcs'!$AC14="Over-Road Coach",AS14,IF('GHG Calcs'!$AC14="Heavy Rail",$AW14,IF('GHG Calcs'!$AC14="DMU / EMU",$BA14,IF('GHG Calcs'!$AC14="Ferry",BE14,0))))))))</f>
        <v>0</v>
      </c>
      <c r="AB36" s="1378">
        <f ca="1">(IF(AND('GHG Calcs'!AV14="yes",NOT('GHG Calcs'!AD14=Defaults!$I$5),NOT('GHG Calcs'!AD14=Defaults!$I$7),NOT('GHG Calcs'!AD14=Defaults!$I$11)),0.8,1))*IF('GHG Calcs'!$AE14&gt;0,V36*'GHG Calcs'!$AE14,V36*'GHG Calcs'!$AI14)*('GHG Calcs'!$I14-'GHG Calcs'!$H14)</f>
        <v>0</v>
      </c>
      <c r="AC36" s="1378">
        <f ca="1">(IF(AND('GHG Calcs'!AV14="yes",NOT('GHG Calcs'!AD14=Defaults!$I$5),NOT('GHG Calcs'!AD14=Defaults!$I$7),NOT('GHG Calcs'!AD14=Defaults!$I$11)),0.8,1))*IF('GHG Calcs'!$AE14&gt;0,W36*'GHG Calcs'!$AE14,W36*'GHG Calcs'!$AI14)*('GHG Calcs'!$I14-'GHG Calcs'!$H14)</f>
        <v>0</v>
      </c>
      <c r="AD36" s="1378">
        <f ca="1">((IF(AND('GHG Calcs'!AV14="yes",NOT('GHG Calcs'!AD14=Defaults!$I$5),NOT('GHG Calcs'!AD14=Defaults!$I$7),NOT('GHG Calcs'!AD14=Defaults!$I$11)),0.8,1)*X36)+Y36+Z36)*IF('GHG Calcs'!$AE14&gt;0,'GHG Calcs'!$AE14,'GHG Calcs'!$AI14)*('GHG Calcs'!$I14-'GHG Calcs'!$H14)</f>
        <v>0</v>
      </c>
      <c r="AE36" s="1378">
        <f ca="1">(IF(AND('GHG Calcs'!AV14="yes",NOT('GHG Calcs'!AD14=Defaults!$I$5),NOT('GHG Calcs'!AD14=Defaults!$I$7),NOT('GHG Calcs'!AD14=Defaults!$I$11)),0.8,1))*IF('GHG Calcs'!$AE14&gt;0,AA36*'GHG Calcs'!$AE14,AA36*'GHG Calcs'!$AI14)*('GHG Calcs'!$I14-'GHG Calcs'!$H14)</f>
        <v>0</v>
      </c>
      <c r="BN36" s="1648"/>
      <c r="BO36" s="1368">
        <v>3</v>
      </c>
      <c r="BP36" s="306">
        <f ca="1">IF(OR('GHG Calcs'!BD14=Defaults!$I$5,'GHG Calcs'!BD14=Defaults!$I$7,'GHG Calcs'!BD14=Defaults!$I$11),0,IF('GHG Calcs'!$BC14="Transit Bus",BP14,IF('GHG Calcs'!$BC14="Van",BV14,IF('GHG Calcs'!$BC14="Cut-A-Way",CB14,IF('GHG Calcs'!$BC14="Over-Road Coach",CH14,IF('GHG Calcs'!$BC14="Heavy Rail",$CN14,IF('GHG Calcs'!$BC14="DMU / EMU",$CR14,IF('GHG Calcs'!$BC14="Ferry",$CV14,0))))))))</f>
        <v>0</v>
      </c>
      <c r="BQ36" s="306">
        <f ca="1">IF(OR('GHG Calcs'!BD14=Defaults!$I$5,'GHG Calcs'!BD14=Defaults!$I$7,'GHG Calcs'!BD14=Defaults!$I$11),0,IF('GHG Calcs'!$BC14="Transit Bus",BQ14,IF('GHG Calcs'!$BC14="Van",BW14,IF('GHG Calcs'!$BC14="Cut-A-Way",CC14,IF('GHG Calcs'!$BC14="Over-Road Coach",CI14,IF('GHG Calcs'!$BC14="Heavy Rail",$CO14,IF('GHG Calcs'!$BC14="DMU / EMU",$CS14,IF('GHG Calcs'!$BC14="Ferry",$CW14,0))))))))</f>
        <v>0</v>
      </c>
      <c r="BR36" s="306">
        <f ca="1">IF(OR('GHG Calcs'!BD14=Defaults!$I$5,'GHG Calcs'!BD14=Defaults!$I$7,'GHG Calcs'!BD14=Defaults!$I$11),0,IF('GHG Calcs'!$BC14="Transit Bus",BR14,IF('GHG Calcs'!$BC14="Van",BX14,IF('GHG Calcs'!$BC14="Cut-A-Way",CD14,IF('GHG Calcs'!$BC14="Over-Road Coach",CJ14,IF('GHG Calcs'!$BC14="Heavy Rail",$CP14,IF('GHG Calcs'!$BC14="DMU / EMU",$CT14,IF('GHG Calcs'!$BC14="Ferry",$CX14,0))))))))</f>
        <v>0</v>
      </c>
      <c r="BS36" s="306">
        <f ca="1">IF('GHG Calcs'!$BC14="Transit Bus",BS14,IF('GHG Calcs'!$BC14="Van",BY14,IF('GHG Calcs'!$BC14="Cut-A-Way",CE14,IF('GHG Calcs'!$BC14="Over-Road Coach",CK14,0))))</f>
        <v>0</v>
      </c>
      <c r="BT36" s="1419">
        <f ca="1">IF('GHG Calcs'!$BC14="Transit Bus",BT14,IF('GHG Calcs'!$BC14="Van",BZ14,IF('GHG Calcs'!$BC14="Cut-A-Way",CF14,IF('GHG Calcs'!$BC14="Over-Road Coach",CL14*IF(OR('GHG Calcs'!BV14="Yes",'GHG Calcs'!BD14=Defaults!$I$5,'GHG Calcs'!BD14=Defaults!$I$7,'GHG Calcs'!BD14=Defaults!$I$11),0.5,1),0))))</f>
        <v>0</v>
      </c>
      <c r="BU36" s="306">
        <f ca="1">IF(OR('GHG Calcs'!BD14=Defaults!$I$5,'GHG Calcs'!BD14=Defaults!$I$7,'GHG Calcs'!BD14=Defaults!$I$11,'GHG Calcs'!BD14=Defaults!$I$3,'GHG Calcs'!BD14=Defaults!$I$8,'GHG Calcs'!BD14=Defaults!$I$12),0,IF('GHG Calcs'!$BC14="Transit Bus",BU14,IF('GHG Calcs'!$BC14="Van",CA14,IF('GHG Calcs'!$BC14="Cut-A-Way",CG14,IF('GHG Calcs'!$BC14="Over-Road Coach",CM14,IF('GHG Calcs'!$BC14="Heavy Rail",$CQ14,IF('GHG Calcs'!$BC14="DMU / EMU",$CU14,IF('GHG Calcs'!$BC14="Ferry",$CY14,0))))))))</f>
        <v>0</v>
      </c>
      <c r="BV36" s="1378">
        <f ca="1">(IF(AND('GHG Calcs'!BV14="yes",NOT('GHG Calcs'!BD14=Defaults!$I$5),NOT('GHG Calcs'!BD14=Defaults!$I$7),NOT('GHG Calcs'!BD14=Defaults!$I$11)),0.8,1))*IF('GHG Calcs'!$BE14&gt;0,BP36*'GHG Calcs'!$BE14,BP36*'GHG Calcs'!$BH14)*('GHG Calcs'!$I14-'GHG Calcs'!$H14)</f>
        <v>0</v>
      </c>
      <c r="BW36" s="1378">
        <f ca="1">(IF(AND('GHG Calcs'!BV14="yes",NOT('GHG Calcs'!BD14=Defaults!$I$5),NOT('GHG Calcs'!BD14=Defaults!$I$7),NOT('GHG Calcs'!BD14=Defaults!$I$11)),0.8,1))*IF('GHG Calcs'!$BE14&gt;0,BQ36*'GHG Calcs'!$BE14,BQ36*'GHG Calcs'!$BH14)*('GHG Calcs'!$I14-'GHG Calcs'!$H14)</f>
        <v>0</v>
      </c>
      <c r="BX36" s="1378">
        <f ca="1">((IF(AND('GHG Calcs'!BV14="yes",NOT('GHG Calcs'!BD14=Defaults!$I$5),NOT('GHG Calcs'!BD14=Defaults!$I$7),NOT('GHG Calcs'!BD14=Defaults!$I$11)),0.8,1)*BR36)+BS36+BT36)*IF('GHG Calcs'!$BE14&gt;0,'GHG Calcs'!$BE14,'GHG Calcs'!$BH14)*('GHG Calcs'!$I14-'GHG Calcs'!$H14)</f>
        <v>0</v>
      </c>
      <c r="BY36" s="1378">
        <f ca="1">(IF(AND('GHG Calcs'!BV14="yes",NOT('GHG Calcs'!BD14=Defaults!$I$5),NOT('GHG Calcs'!BD14=Defaults!$I$7),NOT('GHG Calcs'!BD14=Defaults!$I$11)),0.8,1))*IF('GHG Calcs'!$BE14&gt;0,BU36*'GHG Calcs'!$BE14,BU36*'GHG Calcs'!$BH14)*('GHG Calcs'!$I14-'GHG Calcs'!$H14)</f>
        <v>0</v>
      </c>
      <c r="DG36" s="1648"/>
      <c r="DH36" s="1368">
        <v>3</v>
      </c>
      <c r="DI36" s="306">
        <f ca="1">IF(OR('GHG Calcs'!CD14=Defaults!$I$5,'GHG Calcs'!CD14=Defaults!$I$7,'GHG Calcs'!CD14=Defaults!$I$11),0,IF('GHG Calcs'!$CC14="Transit Bus",DI14,IF('GHG Calcs'!$CC14="Van",DO14,IF('GHG Calcs'!$CC14="Cut-A-Way",DU14,IF('GHG Calcs'!$CC14="Over-Road Coach",EA14,IF('GHG Calcs'!$CC14="Heavy Rail",EG14,IF('GHG Calcs'!$CC14="DMU / EMU",EK14,IF('GHG Calcs'!$CC14="Ferry",EO14,0))))))))</f>
        <v>0</v>
      </c>
      <c r="DJ36" s="306">
        <f ca="1">IF(OR('GHG Calcs'!CD14=Defaults!$I$5,'GHG Calcs'!CD14=Defaults!$I$7,'GHG Calcs'!CD14=Defaults!$I$11),0,IF('GHG Calcs'!$CC14="Transit Bus",DJ14,IF('GHG Calcs'!$CC14="Van",DP14,IF('GHG Calcs'!$CC14="Cut-A-Way",DV14,IF('GHG Calcs'!$CC14="Over-Road Coach",EB14,IF('GHG Calcs'!$CC14="Heavy Rail",EH14,IF('GHG Calcs'!$CC14="DMU / EMU",EL14,IF('GHG Calcs'!$CC14="Ferry",EP14,0))))))))</f>
        <v>0</v>
      </c>
      <c r="DK36" s="306">
        <f ca="1">IF(OR('GHG Calcs'!CD14=Defaults!$I$5,'GHG Calcs'!CD14=Defaults!$I$7,'GHG Calcs'!CD14=Defaults!$I$11),0,IF('GHG Calcs'!$CC14="Transit Bus",DK14,IF('GHG Calcs'!$CC14="Van",DQ14,IF('GHG Calcs'!$CC14="Cut-A-Way",DW14,IF('GHG Calcs'!$CC14="Over-Road Coach",EC14,IF('GHG Calcs'!$CC14="Heavy Rail",EI14,IF('GHG Calcs'!$CC14="DMU / EMU",EM14,IF('GHG Calcs'!$CC14="Ferry",EQ14,0))))))))</f>
        <v>0</v>
      </c>
      <c r="DL36" s="306">
        <f ca="1">IF('GHG Calcs'!$CC14="Transit Bus",DL14,IF('GHG Calcs'!$CC14="Van",DR14,IF('GHG Calcs'!$CC14="Cut-A-Way",DX14,IF('GHG Calcs'!$CC14="Over-Road Coach",ED14,0))))</f>
        <v>0</v>
      </c>
      <c r="DM36" s="1419">
        <f ca="1">IF('GHG Calcs'!$CC14="Transit Bus",DM14,IF('GHG Calcs'!$CC14="Van",DS14,IF('GHG Calcs'!$CC14="Cut-A-Way",DY14,IF('GHG Calcs'!$CC14="Over-Road Coach",EE14*IF(OR('GHG Calcs'!CD14=Defaults!$I$5,'GHG Calcs'!CD14=Defaults!$I$7,'GHG Calcs'!CD14=Defaults!$I$11),0.5,1),0))))</f>
        <v>0</v>
      </c>
      <c r="DN36" s="306">
        <f ca="1">IF(OR('GHG Calcs'!CD14=Defaults!$I$5,'GHG Calcs'!CD14=Defaults!$I$7,'GHG Calcs'!CD14=Defaults!$I$11,'GHG Calcs'!CD14=Defaults!$I$3,'GHG Calcs'!CD14=Defaults!$I$8,'GHG Calcs'!CD14=Defaults!$I$12),0,IF('GHG Calcs'!$CC14="Transit Bus",DN14,IF('GHG Calcs'!$CC14="Van",DT14,IF('GHG Calcs'!$CC14="Cut-A-Way",DZ14,IF('GHG Calcs'!$CC14="Over-Road Coach",EF14,IF('GHG Calcs'!$CC14="Heavy Rail",EJ14,IF('GHG Calcs'!$CC14="DMU / EMU",EN14,IF('GHG Calcs'!$CC14="Ferry",ER14,0))))))))</f>
        <v>0</v>
      </c>
      <c r="DO36" s="1378">
        <f ca="1">DI36*'GHG Calcs'!$CE14*('GHG Calcs'!$I14-'GHG Calcs'!$H14)</f>
        <v>0</v>
      </c>
      <c r="DP36" s="1378">
        <f ca="1">DJ36*'GHG Calcs'!$CE14*('GHG Calcs'!$I14-'GHG Calcs'!$H14)</f>
        <v>0</v>
      </c>
      <c r="DQ36" s="1378">
        <f ca="1">(DK36+DL36+DM36)*'GHG Calcs'!$CE14*('GHG Calcs'!$I14-'GHG Calcs'!$H14)</f>
        <v>0</v>
      </c>
      <c r="DR36" s="1378">
        <f ca="1">DN36*'GHG Calcs'!$CE14*('GHG Calcs'!$I14-'GHG Calcs'!$H14)</f>
        <v>0</v>
      </c>
    </row>
    <row r="37" spans="16:122" s="117" customFormat="1" ht="19.5" customHeight="1" x14ac:dyDescent="0.35">
      <c r="T37" s="1646">
        <v>2</v>
      </c>
      <c r="U37" s="1379">
        <v>1</v>
      </c>
      <c r="V37" s="306">
        <f ca="1">IF(OR('GHG Calcs'!AD15=Defaults!$I$5,'GHG Calcs'!AD15=Defaults!$I$7,'GHG Calcs'!AD15=Defaults!$I$11),0,IF('GHG Calcs'!$AC15="Transit Bus",V15,IF('GHG Calcs'!$AC15="Van",AB15,IF('GHG Calcs'!$AC15="Cut-A-Way",AH15,IF('GHG Calcs'!$AC15="Over-Road Coach",AN15,IF('GHG Calcs'!$AC15="Heavy Rail",$AT15,IF('GHG Calcs'!$AC15="DMU / EMU",$AX15,IF('GHG Calcs'!$AC15="Ferry",BB15,0))))))))</f>
        <v>0</v>
      </c>
      <c r="W37" s="306">
        <f ca="1">IF(OR('GHG Calcs'!AD15=Defaults!$I$5,'GHG Calcs'!AD15=Defaults!$I$7,'GHG Calcs'!AD15=Defaults!$I$11),0,IF('GHG Calcs'!$AC15="Transit Bus",W15,IF('GHG Calcs'!$AC15="Van",AC15,IF('GHG Calcs'!$AC15="Cut-A-Way",AI15,IF('GHG Calcs'!$AC15="Over-Road Coach",AO15,IF('GHG Calcs'!$AC15="Heavy Rail",$AU15,IF('GHG Calcs'!$AC15="DMU / EMU",$AY15,IF('GHG Calcs'!$AC15="Ferry",BC15,0))))))))</f>
        <v>0</v>
      </c>
      <c r="X37" s="306">
        <f ca="1">IF(OR('GHG Calcs'!AD15=Defaults!$I$5,'GHG Calcs'!AD15=Defaults!$I$7,'GHG Calcs'!AD15=Defaults!$I$11),0,IF('GHG Calcs'!$AC15="Transit Bus",X15,IF('GHG Calcs'!$AC15="Van",AD15,IF('GHG Calcs'!$AC15="Cut-A-Way",AJ15,IF('GHG Calcs'!$AC15="Over-Road Coach",AP15,IF('GHG Calcs'!$AC15="Heavy Rail",$AV15,IF('GHG Calcs'!$AC15="DMU / EMU",$AZ15,IF('GHG Calcs'!$AC15="Ferry",BD15,0))))))))</f>
        <v>0</v>
      </c>
      <c r="Y37" s="306">
        <f ca="1">IF('GHG Calcs'!$AC15="Transit Bus",Y15,IF('GHG Calcs'!$AC15="Van",AE15,IF('GHG Calcs'!$AC15="Cut-A-Way",AK15,IF('GHG Calcs'!$AC15="Over-Road Coach",AQ15,0))))</f>
        <v>0</v>
      </c>
      <c r="Z37" s="1419">
        <f ca="1">IF('GHG Calcs'!$AC15="Transit Bus",Z15,IF('GHG Calcs'!$AC15="Van",AF15,IF('GHG Calcs'!$AC15="Cut-A-Way",AL15,IF('GHG Calcs'!$AC15="Over-Road Coach",AR15*IF(OR('GHG Calcs'!AV15="Yes",'GHG Calcs'!AD15=Defaults!$I$5,'GHG Calcs'!AD15=Defaults!$I$7,'GHG Calcs'!AD15=Defaults!$I$11),0.5,1),0))))</f>
        <v>0</v>
      </c>
      <c r="AA37" s="306">
        <f ca="1">IF(OR('GHG Calcs'!AD15=Defaults!$I$5,'GHG Calcs'!AD15=Defaults!$I$7,'GHG Calcs'!AD15=Defaults!$I$11,'GHG Calcs'!AD15=Defaults!$I$3,'GHG Calcs'!AD15=Defaults!$I$8,'GHG Calcs'!AD15=Defaults!$I$12),0,IF('GHG Calcs'!$AC15="Transit Bus",AA15,IF('GHG Calcs'!$AC15="Van",AG15,IF('GHG Calcs'!$AC15="Cut-A-Way",AM15,IF('GHG Calcs'!$AC15="Over-Road Coach",AS15,IF('GHG Calcs'!$AC15="Heavy Rail",$AW15,IF('GHG Calcs'!$AC15="DMU / EMU",$BA15,IF('GHG Calcs'!$AC15="Ferry",BE15,0))))))))</f>
        <v>0</v>
      </c>
      <c r="AB37" s="1378">
        <f ca="1">(IF(AND('GHG Calcs'!AV15="yes",NOT('GHG Calcs'!AD15=Defaults!$I$5),NOT('GHG Calcs'!AD15=Defaults!$I$7),NOT('GHG Calcs'!AD15=Defaults!$I$11)),0.8,1))*IF('GHG Calcs'!$AE15&gt;0,V37*'GHG Calcs'!$AE15,V37*'GHG Calcs'!$AI15)*('GHG Calcs'!$I15-'GHG Calcs'!$H15)</f>
        <v>0</v>
      </c>
      <c r="AC37" s="1378">
        <f ca="1">(IF(AND('GHG Calcs'!AV15="yes",NOT('GHG Calcs'!AD15=Defaults!$I$5),NOT('GHG Calcs'!AD15=Defaults!$I$7),NOT('GHG Calcs'!AD15=Defaults!$I$11)),0.8,1))*IF('GHG Calcs'!$AE15&gt;0,W37*'GHG Calcs'!$AE15,W37*'GHG Calcs'!$AI15)*('GHG Calcs'!$I15-'GHG Calcs'!$H15)</f>
        <v>0</v>
      </c>
      <c r="AD37" s="1378">
        <f ca="1">((IF(AND('GHG Calcs'!AV15="yes",NOT('GHG Calcs'!AD15=Defaults!$I$5),NOT('GHG Calcs'!AD15=Defaults!$I$7),NOT('GHG Calcs'!AD15=Defaults!$I$11)),0.8,1)*X37)+Y37+Z37)*IF('GHG Calcs'!$AE15&gt;0,'GHG Calcs'!$AE15,'GHG Calcs'!$AI15)*('GHG Calcs'!$I15-'GHG Calcs'!$H15)</f>
        <v>0</v>
      </c>
      <c r="AE37" s="1378">
        <f ca="1">(IF(AND('GHG Calcs'!AV15="yes",NOT('GHG Calcs'!AD15=Defaults!$I$5),NOT('GHG Calcs'!AD15=Defaults!$I$7),NOT('GHG Calcs'!AD15=Defaults!$I$11)),0.8,1))*IF('GHG Calcs'!$AE15&gt;0,AA37*'GHG Calcs'!$AE15,AA37*'GHG Calcs'!$AI15)*('GHG Calcs'!$I15-'GHG Calcs'!$H15)</f>
        <v>0</v>
      </c>
      <c r="BN37" s="1646">
        <v>2</v>
      </c>
      <c r="BO37" s="1379">
        <v>1</v>
      </c>
      <c r="BP37" s="306">
        <f ca="1">IF(OR('GHG Calcs'!BD15=Defaults!$I$5,'GHG Calcs'!BD15=Defaults!$I$7,'GHG Calcs'!BD15=Defaults!$I$11),0,IF('GHG Calcs'!$BC15="Transit Bus",BP15,IF('GHG Calcs'!$BC15="Van",BV15,IF('GHG Calcs'!$BC15="Cut-A-Way",CB15,IF('GHG Calcs'!$BC15="Over-Road Coach",CH15,IF('GHG Calcs'!$BC15="Heavy Rail",$CN15,IF('GHG Calcs'!$BC15="DMU / EMU",$CR15,IF('GHG Calcs'!$BC15="Ferry",$CV15,0))))))))</f>
        <v>0</v>
      </c>
      <c r="BQ37" s="306">
        <f ca="1">IF(OR('GHG Calcs'!BD15=Defaults!$I$5,'GHG Calcs'!BD15=Defaults!$I$7,'GHG Calcs'!BD15=Defaults!$I$11),0,IF('GHG Calcs'!$BC15="Transit Bus",BQ15,IF('GHG Calcs'!$BC15="Van",BW15,IF('GHG Calcs'!$BC15="Cut-A-Way",CC15,IF('GHG Calcs'!$BC15="Over-Road Coach",CI15,IF('GHG Calcs'!$BC15="Heavy Rail",$CO15,IF('GHG Calcs'!$BC15="DMU / EMU",$CS15,IF('GHG Calcs'!$BC15="Ferry",$CW15,0))))))))</f>
        <v>0</v>
      </c>
      <c r="BR37" s="306">
        <f ca="1">IF(OR('GHG Calcs'!BD15=Defaults!$I$5,'GHG Calcs'!BD15=Defaults!$I$7,'GHG Calcs'!BD15=Defaults!$I$11),0,IF('GHG Calcs'!$BC15="Transit Bus",BR15,IF('GHG Calcs'!$BC15="Van",BX15,IF('GHG Calcs'!$BC15="Cut-A-Way",CD15,IF('GHG Calcs'!$BC15="Over-Road Coach",CJ15,IF('GHG Calcs'!$BC15="Heavy Rail",$CP15,IF('GHG Calcs'!$BC15="DMU / EMU",$CT15,IF('GHG Calcs'!$BC15="Ferry",$CX15,0))))))))</f>
        <v>0</v>
      </c>
      <c r="BS37" s="306">
        <f ca="1">IF('GHG Calcs'!$BC15="Transit Bus",BS15,IF('GHG Calcs'!$BC15="Van",BY15,IF('GHG Calcs'!$BC15="Cut-A-Way",CE15,IF('GHG Calcs'!$BC15="Over-Road Coach",CK15,0))))</f>
        <v>0</v>
      </c>
      <c r="BT37" s="1419">
        <f ca="1">IF('GHG Calcs'!$BC15="Transit Bus",BT15,IF('GHG Calcs'!$BC15="Van",BZ15,IF('GHG Calcs'!$BC15="Cut-A-Way",CF15,IF('GHG Calcs'!$BC15="Over-Road Coach",CL15*IF(OR('GHG Calcs'!BV15="Yes",'GHG Calcs'!BD15=Defaults!$I$5,'GHG Calcs'!BD15=Defaults!$I$7,'GHG Calcs'!BD15=Defaults!$I$11),0.5,1),0))))</f>
        <v>0</v>
      </c>
      <c r="BU37" s="306">
        <f ca="1">IF(OR('GHG Calcs'!BD15=Defaults!$I$5,'GHG Calcs'!BD15=Defaults!$I$7,'GHG Calcs'!BD15=Defaults!$I$11,'GHG Calcs'!BD15=Defaults!$I$3,'GHG Calcs'!BD15=Defaults!$I$8,'GHG Calcs'!BD15=Defaults!$I$12),0,IF('GHG Calcs'!$BC15="Transit Bus",BU15,IF('GHG Calcs'!$BC15="Van",CA15,IF('GHG Calcs'!$BC15="Cut-A-Way",CG15,IF('GHG Calcs'!$BC15="Over-Road Coach",CM15,IF('GHG Calcs'!$BC15="Heavy Rail",$CQ15,IF('GHG Calcs'!$BC15="DMU / EMU",$CU15,IF('GHG Calcs'!$BC15="Ferry",$CY15,0))))))))</f>
        <v>0</v>
      </c>
      <c r="BV37" s="1378">
        <f ca="1">(IF(AND('GHG Calcs'!BV15="yes",NOT('GHG Calcs'!BD15=Defaults!$I$5),NOT('GHG Calcs'!BD15=Defaults!$I$7),NOT('GHG Calcs'!BD15=Defaults!$I$11)),0.8,1))*IF('GHG Calcs'!$BE15&gt;0,BP37*'GHG Calcs'!$BE15,BP37*'GHG Calcs'!$BH15)*('GHG Calcs'!$I15-'GHG Calcs'!$H15)</f>
        <v>0</v>
      </c>
      <c r="BW37" s="1378">
        <f ca="1">(IF(AND('GHG Calcs'!BV15="yes",NOT('GHG Calcs'!BD15=Defaults!$I$5),NOT('GHG Calcs'!BD15=Defaults!$I$7),NOT('GHG Calcs'!BD15=Defaults!$I$11)),0.8,1))*IF('GHG Calcs'!$BE15&gt;0,BQ37*'GHG Calcs'!$BE15,BQ37*'GHG Calcs'!$BH15)*('GHG Calcs'!$I15-'GHG Calcs'!$H15)</f>
        <v>0</v>
      </c>
      <c r="BX37" s="1378">
        <f ca="1">((IF(AND('GHG Calcs'!BV15="yes",NOT('GHG Calcs'!BD15=Defaults!$I$5),NOT('GHG Calcs'!BD15=Defaults!$I$7),NOT('GHG Calcs'!BD15=Defaults!$I$11)),0.8,1)*BR37)+BS37+BT37)*IF('GHG Calcs'!$BE15&gt;0,'GHG Calcs'!$BE15,'GHG Calcs'!$BH15)*('GHG Calcs'!$I15-'GHG Calcs'!$H15)</f>
        <v>0</v>
      </c>
      <c r="BY37" s="1378">
        <f ca="1">(IF(AND('GHG Calcs'!BV15="yes",NOT('GHG Calcs'!BD15=Defaults!$I$5),NOT('GHG Calcs'!BD15=Defaults!$I$7),NOT('GHG Calcs'!BD15=Defaults!$I$11)),0.8,1))*IF('GHG Calcs'!$BE15&gt;0,BU37*'GHG Calcs'!$BE15,BU37*'GHG Calcs'!$BH15)*('GHG Calcs'!$I15-'GHG Calcs'!$H15)</f>
        <v>0</v>
      </c>
      <c r="DG37" s="1646">
        <v>2</v>
      </c>
      <c r="DH37" s="1379">
        <v>1</v>
      </c>
      <c r="DI37" s="306">
        <f ca="1">IF(OR('GHG Calcs'!CD15=Defaults!$I$5,'GHG Calcs'!CD15=Defaults!$I$7,'GHG Calcs'!CD15=Defaults!$I$11),0,IF('GHG Calcs'!$CC15="Transit Bus",DI15,IF('GHG Calcs'!$CC15="Van",DO15,IF('GHG Calcs'!$CC15="Cut-A-Way",DU15,IF('GHG Calcs'!$CC15="Over-Road Coach",EA15,IF('GHG Calcs'!$CC15="Heavy Rail",EG15,IF('GHG Calcs'!$CC15="DMU / EMU",EK15,IF('GHG Calcs'!$CC15="Ferry",EO15,0))))))))</f>
        <v>0</v>
      </c>
      <c r="DJ37" s="306">
        <f ca="1">IF(OR('GHG Calcs'!CD15=Defaults!$I$5,'GHG Calcs'!CD15=Defaults!$I$7,'GHG Calcs'!CD15=Defaults!$I$11),0,IF('GHG Calcs'!$CC15="Transit Bus",DJ15,IF('GHG Calcs'!$CC15="Van",DP15,IF('GHG Calcs'!$CC15="Cut-A-Way",DV15,IF('GHG Calcs'!$CC15="Over-Road Coach",EB15,IF('GHG Calcs'!$CC15="Heavy Rail",EH15,IF('GHG Calcs'!$CC15="DMU / EMU",EL15,IF('GHG Calcs'!$CC15="Ferry",EP15,0))))))))</f>
        <v>0</v>
      </c>
      <c r="DK37" s="306">
        <f ca="1">IF(OR('GHG Calcs'!CD15=Defaults!$I$5,'GHG Calcs'!CD15=Defaults!$I$7,'GHG Calcs'!CD15=Defaults!$I$11),0,IF('GHG Calcs'!$CC15="Transit Bus",DK15,IF('GHG Calcs'!$CC15="Van",DQ15,IF('GHG Calcs'!$CC15="Cut-A-Way",DW15,IF('GHG Calcs'!$CC15="Over-Road Coach",EC15,IF('GHG Calcs'!$CC15="Heavy Rail",EI15,IF('GHG Calcs'!$CC15="DMU / EMU",EM15,IF('GHG Calcs'!$CC15="Ferry",EQ15,0))))))))</f>
        <v>0</v>
      </c>
      <c r="DL37" s="306">
        <f ca="1">IF('GHG Calcs'!$CC15="Transit Bus",DL15,IF('GHG Calcs'!$CC15="Van",DR15,IF('GHG Calcs'!$CC15="Cut-A-Way",DX15,IF('GHG Calcs'!$CC15="Over-Road Coach",ED15,0))))</f>
        <v>0</v>
      </c>
      <c r="DM37" s="1419">
        <f ca="1">IF('GHG Calcs'!$CC15="Transit Bus",DM15,IF('GHG Calcs'!$CC15="Van",DS15,IF('GHG Calcs'!$CC15="Cut-A-Way",DY15,IF('GHG Calcs'!$CC15="Over-Road Coach",EE15*IF(OR('GHG Calcs'!CD15=Defaults!$I$5,'GHG Calcs'!CD15=Defaults!$I$7,'GHG Calcs'!CD15=Defaults!$I$11),0.5,1),0))))</f>
        <v>0</v>
      </c>
      <c r="DN37" s="306">
        <f ca="1">IF(OR('GHG Calcs'!CD15=Defaults!$I$5,'GHG Calcs'!CD15=Defaults!$I$7,'GHG Calcs'!CD15=Defaults!$I$11,'GHG Calcs'!CD15=Defaults!$I$3,'GHG Calcs'!CD15=Defaults!$I$8,'GHG Calcs'!CD15=Defaults!$I$12),0,IF('GHG Calcs'!$CC15="Transit Bus",DN15,IF('GHG Calcs'!$CC15="Van",DT15,IF('GHG Calcs'!$CC15="Cut-A-Way",DZ15,IF('GHG Calcs'!$CC15="Over-Road Coach",EF15,IF('GHG Calcs'!$CC15="Heavy Rail",EJ15,IF('GHG Calcs'!$CC15="DMU / EMU",EN15,IF('GHG Calcs'!$CC15="Ferry",ER15,0))))))))</f>
        <v>0</v>
      </c>
      <c r="DO37" s="1378">
        <f ca="1">DI37*'GHG Calcs'!$CE15*('GHG Calcs'!$I15-'GHG Calcs'!$H15)</f>
        <v>0</v>
      </c>
      <c r="DP37" s="1378">
        <f ca="1">DJ37*'GHG Calcs'!$CE15*('GHG Calcs'!$I15-'GHG Calcs'!$H15)</f>
        <v>0</v>
      </c>
      <c r="DQ37" s="1378">
        <f ca="1">(DK37+DL37+DM37)*'GHG Calcs'!$CE15*('GHG Calcs'!$I15-'GHG Calcs'!$H15)</f>
        <v>0</v>
      </c>
      <c r="DR37" s="1378">
        <f ca="1">DN37*'GHG Calcs'!$CE15*('GHG Calcs'!$I15-'GHG Calcs'!$H15)</f>
        <v>0</v>
      </c>
    </row>
    <row r="38" spans="16:122" s="117" customFormat="1" ht="19.5" customHeight="1" x14ac:dyDescent="0.35">
      <c r="T38" s="1647"/>
      <c r="U38" s="1379">
        <v>2</v>
      </c>
      <c r="V38" s="306">
        <f ca="1">IF(OR('GHG Calcs'!AD16=Defaults!$I$5,'GHG Calcs'!AD16=Defaults!$I$7,'GHG Calcs'!AD16=Defaults!$I$11),0,IF('GHG Calcs'!$AC16="Transit Bus",V16,IF('GHG Calcs'!$AC16="Van",AB16,IF('GHG Calcs'!$AC16="Cut-A-Way",AH16,IF('GHG Calcs'!$AC16="Over-Road Coach",AN16,IF('GHG Calcs'!$AC16="Heavy Rail",$AT16,IF('GHG Calcs'!$AC16="DMU / EMU",$AX16,IF('GHG Calcs'!$AC16="Ferry",BB16,0))))))))</f>
        <v>0</v>
      </c>
      <c r="W38" s="306">
        <f ca="1">IF(OR('GHG Calcs'!AD16=Defaults!$I$5,'GHG Calcs'!AD16=Defaults!$I$7,'GHG Calcs'!AD16=Defaults!$I$11),0,IF('GHG Calcs'!$AC16="Transit Bus",W16,IF('GHG Calcs'!$AC16="Van",AC16,IF('GHG Calcs'!$AC16="Cut-A-Way",AI16,IF('GHG Calcs'!$AC16="Over-Road Coach",AO16,IF('GHG Calcs'!$AC16="Heavy Rail",$AU16,IF('GHG Calcs'!$AC16="DMU / EMU",$AY16,IF('GHG Calcs'!$AC16="Ferry",BC16,0))))))))</f>
        <v>0</v>
      </c>
      <c r="X38" s="306">
        <f ca="1">IF(OR('GHG Calcs'!AD16=Defaults!$I$5,'GHG Calcs'!AD16=Defaults!$I$7,'GHG Calcs'!AD16=Defaults!$I$11),0,IF('GHG Calcs'!$AC16="Transit Bus",X16,IF('GHG Calcs'!$AC16="Van",AD16,IF('GHG Calcs'!$AC16="Cut-A-Way",AJ16,IF('GHG Calcs'!$AC16="Over-Road Coach",AP16,IF('GHG Calcs'!$AC16="Heavy Rail",$AV16,IF('GHG Calcs'!$AC16="DMU / EMU",$AZ16,IF('GHG Calcs'!$AC16="Ferry",BD16,0))))))))</f>
        <v>0</v>
      </c>
      <c r="Y38" s="306">
        <f ca="1">IF('GHG Calcs'!$AC16="Transit Bus",Y16,IF('GHG Calcs'!$AC16="Van",AE16,IF('GHG Calcs'!$AC16="Cut-A-Way",AK16,IF('GHG Calcs'!$AC16="Over-Road Coach",AQ16,0))))</f>
        <v>0</v>
      </c>
      <c r="Z38" s="1419">
        <f ca="1">IF('GHG Calcs'!$AC16="Transit Bus",Z16,IF('GHG Calcs'!$AC16="Van",AF16,IF('GHG Calcs'!$AC16="Cut-A-Way",AL16,IF('GHG Calcs'!$AC16="Over-Road Coach",AR16*IF(OR('GHG Calcs'!AV16="Yes",'GHG Calcs'!AD16=Defaults!$I$5,'GHG Calcs'!AD16=Defaults!$I$7,'GHG Calcs'!AD16=Defaults!$I$11),0.5,1),0))))</f>
        <v>0</v>
      </c>
      <c r="AA38" s="306">
        <f ca="1">IF(OR('GHG Calcs'!AD16=Defaults!$I$5,'GHG Calcs'!AD16=Defaults!$I$7,'GHG Calcs'!AD16=Defaults!$I$11,'GHG Calcs'!AD16=Defaults!$I$3,'GHG Calcs'!AD16=Defaults!$I$8,'GHG Calcs'!AD16=Defaults!$I$12),0,IF('GHG Calcs'!$AC16="Transit Bus",AA16,IF('GHG Calcs'!$AC16="Van",AG16,IF('GHG Calcs'!$AC16="Cut-A-Way",AM16,IF('GHG Calcs'!$AC16="Over-Road Coach",AS16,IF('GHG Calcs'!$AC16="Heavy Rail",$AW16,IF('GHG Calcs'!$AC16="DMU / EMU",$BA16,IF('GHG Calcs'!$AC16="Ferry",BE16,0))))))))</f>
        <v>0</v>
      </c>
      <c r="AB38" s="1378">
        <f ca="1">(IF(AND('GHG Calcs'!AV16="yes",NOT('GHG Calcs'!AD16=Defaults!$I$5),NOT('GHG Calcs'!AD16=Defaults!$I$7),NOT('GHG Calcs'!AD16=Defaults!$I$11)),0.8,1))*IF('GHG Calcs'!$AE16&gt;0,V38*'GHG Calcs'!$AE16,V38*'GHG Calcs'!$AI16)*('GHG Calcs'!$I16-'GHG Calcs'!$H16)</f>
        <v>0</v>
      </c>
      <c r="AC38" s="1378">
        <f ca="1">(IF(AND('GHG Calcs'!AV16="yes",NOT('GHG Calcs'!AD16=Defaults!$I$5),NOT('GHG Calcs'!AD16=Defaults!$I$7),NOT('GHG Calcs'!AD16=Defaults!$I$11)),0.8,1))*IF('GHG Calcs'!$AE16&gt;0,W38*'GHG Calcs'!$AE16,W38*'GHG Calcs'!$AI16)*('GHG Calcs'!$I16-'GHG Calcs'!$H16)</f>
        <v>0</v>
      </c>
      <c r="AD38" s="1378">
        <f ca="1">((IF(AND('GHG Calcs'!AV16="yes",NOT('GHG Calcs'!AD16=Defaults!$I$5),NOT('GHG Calcs'!AD16=Defaults!$I$7),NOT('GHG Calcs'!AD16=Defaults!$I$11)),0.8,1)*X38)+Y38+Z38)*IF('GHG Calcs'!$AE16&gt;0,'GHG Calcs'!$AE16,'GHG Calcs'!$AI16)*('GHG Calcs'!$I16-'GHG Calcs'!$H16)</f>
        <v>0</v>
      </c>
      <c r="AE38" s="1378">
        <f ca="1">(IF(AND('GHG Calcs'!AV16="yes",NOT('GHG Calcs'!AD16=Defaults!$I$5),NOT('GHG Calcs'!AD16=Defaults!$I$7),NOT('GHG Calcs'!AD16=Defaults!$I$11)),0.8,1))*IF('GHG Calcs'!$AE16&gt;0,AA38*'GHG Calcs'!$AE16,AA38*'GHG Calcs'!$AI16)*('GHG Calcs'!$I16-'GHG Calcs'!$H16)</f>
        <v>0</v>
      </c>
      <c r="BN38" s="1647"/>
      <c r="BO38" s="1379">
        <v>2</v>
      </c>
      <c r="BP38" s="306">
        <f ca="1">IF(OR('GHG Calcs'!BD16=Defaults!$I$5,'GHG Calcs'!BD16=Defaults!$I$7,'GHG Calcs'!BD16=Defaults!$I$11),0,IF('GHG Calcs'!$BC16="Transit Bus",BP16,IF('GHG Calcs'!$BC16="Van",BV16,IF('GHG Calcs'!$BC16="Cut-A-Way",CB16,IF('GHG Calcs'!$BC16="Over-Road Coach",CH16,IF('GHG Calcs'!$BC16="Heavy Rail",$CN16,IF('GHG Calcs'!$BC16="DMU / EMU",$CR16,IF('GHG Calcs'!$BC16="Ferry",$CV16,0))))))))</f>
        <v>0</v>
      </c>
      <c r="BQ38" s="306">
        <f ca="1">IF(OR('GHG Calcs'!BD16=Defaults!$I$5,'GHG Calcs'!BD16=Defaults!$I$7,'GHG Calcs'!BD16=Defaults!$I$11),0,IF('GHG Calcs'!$BC16="Transit Bus",BQ16,IF('GHG Calcs'!$BC16="Van",BW16,IF('GHG Calcs'!$BC16="Cut-A-Way",CC16,IF('GHG Calcs'!$BC16="Over-Road Coach",CI16,IF('GHG Calcs'!$BC16="Heavy Rail",$CO16,IF('GHG Calcs'!$BC16="DMU / EMU",$CS16,IF('GHG Calcs'!$BC16="Ferry",$CW16,0))))))))</f>
        <v>0</v>
      </c>
      <c r="BR38" s="306">
        <f ca="1">IF(OR('GHG Calcs'!BD16=Defaults!$I$5,'GHG Calcs'!BD16=Defaults!$I$7,'GHG Calcs'!BD16=Defaults!$I$11),0,IF('GHG Calcs'!$BC16="Transit Bus",BR16,IF('GHG Calcs'!$BC16="Van",BX16,IF('GHG Calcs'!$BC16="Cut-A-Way",CD16,IF('GHG Calcs'!$BC16="Over-Road Coach",CJ16,IF('GHG Calcs'!$BC16="Heavy Rail",$CP16,IF('GHG Calcs'!$BC16="DMU / EMU",$CT16,IF('GHG Calcs'!$BC16="Ferry",$CX16,0))))))))</f>
        <v>0</v>
      </c>
      <c r="BS38" s="306">
        <f ca="1">IF('GHG Calcs'!$BC16="Transit Bus",BS16,IF('GHG Calcs'!$BC16="Van",BY16,IF('GHG Calcs'!$BC16="Cut-A-Way",CE16,IF('GHG Calcs'!$BC16="Over-Road Coach",CK16,0))))</f>
        <v>0</v>
      </c>
      <c r="BT38" s="1419">
        <f ca="1">IF('GHG Calcs'!$BC16="Transit Bus",BT16,IF('GHG Calcs'!$BC16="Van",BZ16,IF('GHG Calcs'!$BC16="Cut-A-Way",CF16,IF('GHG Calcs'!$BC16="Over-Road Coach",CL16*IF(OR('GHG Calcs'!BV16="Yes",'GHG Calcs'!BD16=Defaults!$I$5,'GHG Calcs'!BD16=Defaults!$I$7,'GHG Calcs'!BD16=Defaults!$I$11),0.5,1),0))))</f>
        <v>0</v>
      </c>
      <c r="BU38" s="306">
        <f ca="1">IF(OR('GHG Calcs'!BD16=Defaults!$I$5,'GHG Calcs'!BD16=Defaults!$I$7,'GHG Calcs'!BD16=Defaults!$I$11,'GHG Calcs'!BD16=Defaults!$I$3,'GHG Calcs'!BD16=Defaults!$I$8,'GHG Calcs'!BD16=Defaults!$I$12),0,IF('GHG Calcs'!$BC16="Transit Bus",BU16,IF('GHG Calcs'!$BC16="Van",CA16,IF('GHG Calcs'!$BC16="Cut-A-Way",CG16,IF('GHG Calcs'!$BC16="Over-Road Coach",CM16,IF('GHG Calcs'!$BC16="Heavy Rail",$CQ16,IF('GHG Calcs'!$BC16="DMU / EMU",$CU16,IF('GHG Calcs'!$BC16="Ferry",$CY16,0))))))))</f>
        <v>0</v>
      </c>
      <c r="BV38" s="1378">
        <f ca="1">(IF(AND('GHG Calcs'!BV16="yes",NOT('GHG Calcs'!BD16=Defaults!$I$5),NOT('GHG Calcs'!BD16=Defaults!$I$7),NOT('GHG Calcs'!BD16=Defaults!$I$11)),0.8,1))*IF('GHG Calcs'!$BE16&gt;0,BP38*'GHG Calcs'!$BE16,BP38*'GHG Calcs'!$BH16)*('GHG Calcs'!$I16-'GHG Calcs'!$H16)</f>
        <v>0</v>
      </c>
      <c r="BW38" s="1378">
        <f ca="1">(IF(AND('GHG Calcs'!BV16="yes",NOT('GHG Calcs'!BD16=Defaults!$I$5),NOT('GHG Calcs'!BD16=Defaults!$I$7),NOT('GHG Calcs'!BD16=Defaults!$I$11)),0.8,1))*IF('GHG Calcs'!$BE16&gt;0,BQ38*'GHG Calcs'!$BE16,BQ38*'GHG Calcs'!$BH16)*('GHG Calcs'!$I16-'GHG Calcs'!$H16)</f>
        <v>0</v>
      </c>
      <c r="BX38" s="1378">
        <f ca="1">((IF(AND('GHG Calcs'!BV16="yes",NOT('GHG Calcs'!BD16=Defaults!$I$5),NOT('GHG Calcs'!BD16=Defaults!$I$7),NOT('GHG Calcs'!BD16=Defaults!$I$11)),0.8,1)*BR38)+BS38+BT38)*IF('GHG Calcs'!$BE16&gt;0,'GHG Calcs'!$BE16,'GHG Calcs'!$BH16)*('GHG Calcs'!$I16-'GHG Calcs'!$H16)</f>
        <v>0</v>
      </c>
      <c r="BY38" s="1378">
        <f ca="1">(IF(AND('GHG Calcs'!BV16="yes",NOT('GHG Calcs'!BD16=Defaults!$I$5),NOT('GHG Calcs'!BD16=Defaults!$I$7),NOT('GHG Calcs'!BD16=Defaults!$I$11)),0.8,1))*IF('GHG Calcs'!$BE16&gt;0,BU38*'GHG Calcs'!$BE16,BU38*'GHG Calcs'!$BH16)*('GHG Calcs'!$I16-'GHG Calcs'!$H16)</f>
        <v>0</v>
      </c>
      <c r="DG38" s="1647"/>
      <c r="DH38" s="1379">
        <v>2</v>
      </c>
      <c r="DI38" s="306">
        <f ca="1">IF(OR('GHG Calcs'!CD16=Defaults!$I$5,'GHG Calcs'!CD16=Defaults!$I$7,'GHG Calcs'!CD16=Defaults!$I$11),0,IF('GHG Calcs'!$CC16="Transit Bus",DI16,IF('GHG Calcs'!$CC16="Van",DO16,IF('GHG Calcs'!$CC16="Cut-A-Way",DU16,IF('GHG Calcs'!$CC16="Over-Road Coach",EA16,IF('GHG Calcs'!$CC16="Heavy Rail",EG16,IF('GHG Calcs'!$CC16="DMU / EMU",EK16,IF('GHG Calcs'!$CC16="Ferry",EO16,0))))))))</f>
        <v>0</v>
      </c>
      <c r="DJ38" s="306">
        <f ca="1">IF(OR('GHG Calcs'!CD16=Defaults!$I$5,'GHG Calcs'!CD16=Defaults!$I$7,'GHG Calcs'!CD16=Defaults!$I$11),0,IF('GHG Calcs'!$CC16="Transit Bus",DJ16,IF('GHG Calcs'!$CC16="Van",DP16,IF('GHG Calcs'!$CC16="Cut-A-Way",DV16,IF('GHG Calcs'!$CC16="Over-Road Coach",EB16,IF('GHG Calcs'!$CC16="Heavy Rail",EH16,IF('GHG Calcs'!$CC16="DMU / EMU",EL16,IF('GHG Calcs'!$CC16="Ferry",EP16,0))))))))</f>
        <v>0</v>
      </c>
      <c r="DK38" s="306">
        <f ca="1">IF(OR('GHG Calcs'!CD16=Defaults!$I$5,'GHG Calcs'!CD16=Defaults!$I$7,'GHG Calcs'!CD16=Defaults!$I$11),0,IF('GHG Calcs'!$CC16="Transit Bus",DK16,IF('GHG Calcs'!$CC16="Van",DQ16,IF('GHG Calcs'!$CC16="Cut-A-Way",DW16,IF('GHG Calcs'!$CC16="Over-Road Coach",EC16,IF('GHG Calcs'!$CC16="Heavy Rail",EI16,IF('GHG Calcs'!$CC16="DMU / EMU",EM16,IF('GHG Calcs'!$CC16="Ferry",EQ16,0))))))))</f>
        <v>0</v>
      </c>
      <c r="DL38" s="306">
        <f ca="1">IF('GHG Calcs'!$CC16="Transit Bus",DL16,IF('GHG Calcs'!$CC16="Van",DR16,IF('GHG Calcs'!$CC16="Cut-A-Way",DX16,IF('GHG Calcs'!$CC16="Over-Road Coach",ED16,0))))</f>
        <v>0</v>
      </c>
      <c r="DM38" s="1419">
        <f ca="1">IF('GHG Calcs'!$CC16="Transit Bus",DM16,IF('GHG Calcs'!$CC16="Van",DS16,IF('GHG Calcs'!$CC16="Cut-A-Way",DY16,IF('GHG Calcs'!$CC16="Over-Road Coach",EE16*IF(OR('GHG Calcs'!CD16=Defaults!$I$5,'GHG Calcs'!CD16=Defaults!$I$7,'GHG Calcs'!CD16=Defaults!$I$11),0.5,1),0))))</f>
        <v>0</v>
      </c>
      <c r="DN38" s="306">
        <f ca="1">IF(OR('GHG Calcs'!CD16=Defaults!$I$5,'GHG Calcs'!CD16=Defaults!$I$7,'GHG Calcs'!CD16=Defaults!$I$11,'GHG Calcs'!CD16=Defaults!$I$3,'GHG Calcs'!CD16=Defaults!$I$8,'GHG Calcs'!CD16=Defaults!$I$12),0,IF('GHG Calcs'!$CC16="Transit Bus",DN16,IF('GHG Calcs'!$CC16="Van",DT16,IF('GHG Calcs'!$CC16="Cut-A-Way",DZ16,IF('GHG Calcs'!$CC16="Over-Road Coach",EF16,IF('GHG Calcs'!$CC16="Heavy Rail",EJ16,IF('GHG Calcs'!$CC16="DMU / EMU",EN16,IF('GHG Calcs'!$CC16="Ferry",ER16,0))))))))</f>
        <v>0</v>
      </c>
      <c r="DO38" s="1378">
        <f ca="1">DI38*'GHG Calcs'!$CE16*('GHG Calcs'!$I16-'GHG Calcs'!$H16)</f>
        <v>0</v>
      </c>
      <c r="DP38" s="1378">
        <f ca="1">DJ38*'GHG Calcs'!$CE16*('GHG Calcs'!$I16-'GHG Calcs'!$H16)</f>
        <v>0</v>
      </c>
      <c r="DQ38" s="1378">
        <f ca="1">(DK38+DL38+DM38)*'GHG Calcs'!$CE16*('GHG Calcs'!$I16-'GHG Calcs'!$H16)</f>
        <v>0</v>
      </c>
      <c r="DR38" s="1378">
        <f ca="1">DN38*'GHG Calcs'!$CE16*('GHG Calcs'!$I16-'GHG Calcs'!$H16)</f>
        <v>0</v>
      </c>
    </row>
    <row r="39" spans="16:122" s="117" customFormat="1" ht="19.5" customHeight="1" x14ac:dyDescent="0.35">
      <c r="T39" s="1648"/>
      <c r="U39" s="1379">
        <v>3</v>
      </c>
      <c r="V39" s="306">
        <f ca="1">IF(OR('GHG Calcs'!AD17=Defaults!$I$5,'GHG Calcs'!AD17=Defaults!$I$7,'GHG Calcs'!AD17=Defaults!$I$11),0,IF('GHG Calcs'!$AC17="Transit Bus",V17,IF('GHG Calcs'!$AC17="Van",AB17,IF('GHG Calcs'!$AC17="Cut-A-Way",AH17,IF('GHG Calcs'!$AC17="Over-Road Coach",AN17,IF('GHG Calcs'!$AC17="Heavy Rail",$AT17,IF('GHG Calcs'!$AC17="DMU / EMU",$AX17,IF('GHG Calcs'!$AC17="Ferry",BB17,0))))))))</f>
        <v>0</v>
      </c>
      <c r="W39" s="306">
        <f ca="1">IF(OR('GHG Calcs'!AD17=Defaults!$I$5,'GHG Calcs'!AD17=Defaults!$I$7,'GHG Calcs'!AD17=Defaults!$I$11),0,IF('GHG Calcs'!$AC17="Transit Bus",W17,IF('GHG Calcs'!$AC17="Van",AC17,IF('GHG Calcs'!$AC17="Cut-A-Way",AI17,IF('GHG Calcs'!$AC17="Over-Road Coach",AO17,IF('GHG Calcs'!$AC17="Heavy Rail",$AU17,IF('GHG Calcs'!$AC17="DMU / EMU",$AY17,IF('GHG Calcs'!$AC17="Ferry",BC17,0))))))))</f>
        <v>0</v>
      </c>
      <c r="X39" s="306">
        <f ca="1">IF(OR('GHG Calcs'!AD17=Defaults!$I$5,'GHG Calcs'!AD17=Defaults!$I$7,'GHG Calcs'!AD17=Defaults!$I$11),0,IF('GHG Calcs'!$AC17="Transit Bus",X17,IF('GHG Calcs'!$AC17="Van",AD17,IF('GHG Calcs'!$AC17="Cut-A-Way",AJ17,IF('GHG Calcs'!$AC17="Over-Road Coach",AP17,IF('GHG Calcs'!$AC17="Heavy Rail",$AV17,IF('GHG Calcs'!$AC17="DMU / EMU",$AZ17,IF('GHG Calcs'!$AC17="Ferry",BD17,0))))))))</f>
        <v>0</v>
      </c>
      <c r="Y39" s="306">
        <f ca="1">IF('GHG Calcs'!$AC17="Transit Bus",Y17,IF('GHG Calcs'!$AC17="Van",AE17,IF('GHG Calcs'!$AC17="Cut-A-Way",AK17,IF('GHG Calcs'!$AC17="Over-Road Coach",AQ17,0))))</f>
        <v>0</v>
      </c>
      <c r="Z39" s="1419">
        <f ca="1">IF('GHG Calcs'!$AC17="Transit Bus",Z17,IF('GHG Calcs'!$AC17="Van",AF17,IF('GHG Calcs'!$AC17="Cut-A-Way",AL17,IF('GHG Calcs'!$AC17="Over-Road Coach",AR17*IF(OR('GHG Calcs'!AV17="Yes",'GHG Calcs'!AD17=Defaults!$I$5,'GHG Calcs'!AD17=Defaults!$I$7,'GHG Calcs'!AD17=Defaults!$I$11),0.5,1),0))))</f>
        <v>0</v>
      </c>
      <c r="AA39" s="306">
        <f ca="1">IF(OR('GHG Calcs'!AD17=Defaults!$I$5,'GHG Calcs'!AD17=Defaults!$I$7,'GHG Calcs'!AD17=Defaults!$I$11,'GHG Calcs'!AD17=Defaults!$I$3,'GHG Calcs'!AD17=Defaults!$I$8,'GHG Calcs'!AD17=Defaults!$I$12),0,IF('GHG Calcs'!$AC17="Transit Bus",AA17,IF('GHG Calcs'!$AC17="Van",AG17,IF('GHG Calcs'!$AC17="Cut-A-Way",AM17,IF('GHG Calcs'!$AC17="Over-Road Coach",AS17,IF('GHG Calcs'!$AC17="Heavy Rail",$AW17,IF('GHG Calcs'!$AC17="DMU / EMU",$BA17,IF('GHG Calcs'!$AC17="Ferry",BE17,0))))))))</f>
        <v>0</v>
      </c>
      <c r="AB39" s="1378">
        <f ca="1">(IF(AND('GHG Calcs'!AV17="yes",NOT('GHG Calcs'!AD17=Defaults!$I$5),NOT('GHG Calcs'!AD17=Defaults!$I$7),NOT('GHG Calcs'!AD17=Defaults!$I$11)),0.8,1))*IF('GHG Calcs'!$AE17&gt;0,V39*'GHG Calcs'!$AE17,V39*'GHG Calcs'!$AI17)*('GHG Calcs'!$I17-'GHG Calcs'!$H17)</f>
        <v>0</v>
      </c>
      <c r="AC39" s="1378">
        <f ca="1">(IF(AND('GHG Calcs'!AV17="yes",NOT('GHG Calcs'!AD17=Defaults!$I$5),NOT('GHG Calcs'!AD17=Defaults!$I$7),NOT('GHG Calcs'!AD17=Defaults!$I$11)),0.8,1))*IF('GHG Calcs'!$AE17&gt;0,W39*'GHG Calcs'!$AE17,W39*'GHG Calcs'!$AI17)*('GHG Calcs'!$I17-'GHG Calcs'!$H17)</f>
        <v>0</v>
      </c>
      <c r="AD39" s="1378">
        <f ca="1">((IF(AND('GHG Calcs'!AV17="yes",NOT('GHG Calcs'!AD17=Defaults!$I$5),NOT('GHG Calcs'!AD17=Defaults!$I$7),NOT('GHG Calcs'!AD17=Defaults!$I$11)),0.8,1)*X39)+Y39+Z39)*IF('GHG Calcs'!$AE17&gt;0,'GHG Calcs'!$AE17,'GHG Calcs'!$AI17)*('GHG Calcs'!$I17-'GHG Calcs'!$H17)</f>
        <v>0</v>
      </c>
      <c r="AE39" s="1378">
        <f ca="1">(IF(AND('GHG Calcs'!AV17="yes",NOT('GHG Calcs'!AD17=Defaults!$I$5),NOT('GHG Calcs'!AD17=Defaults!$I$7),NOT('GHG Calcs'!AD17=Defaults!$I$11)),0.8,1))*IF('GHG Calcs'!$AE17&gt;0,AA39*'GHG Calcs'!$AE17,AA39*'GHG Calcs'!$AI17)*('GHG Calcs'!$I17-'GHG Calcs'!$H17)</f>
        <v>0</v>
      </c>
      <c r="BN39" s="1648"/>
      <c r="BO39" s="1379">
        <v>3</v>
      </c>
      <c r="BP39" s="306">
        <f ca="1">IF(OR('GHG Calcs'!BD17=Defaults!$I$5,'GHG Calcs'!BD17=Defaults!$I$7,'GHG Calcs'!BD17=Defaults!$I$11),0,IF('GHG Calcs'!$BC17="Transit Bus",BP17,IF('GHG Calcs'!$BC17="Van",BV17,IF('GHG Calcs'!$BC17="Cut-A-Way",CB17,IF('GHG Calcs'!$BC17="Over-Road Coach",CH17,IF('GHG Calcs'!$BC17="Heavy Rail",$CN17,IF('GHG Calcs'!$BC17="DMU / EMU",$CR17,IF('GHG Calcs'!$BC17="Ferry",$CV17,0))))))))</f>
        <v>0</v>
      </c>
      <c r="BQ39" s="306">
        <f ca="1">IF(OR('GHG Calcs'!BD17=Defaults!$I$5,'GHG Calcs'!BD17=Defaults!$I$7,'GHG Calcs'!BD17=Defaults!$I$11),0,IF('GHG Calcs'!$BC17="Transit Bus",BQ17,IF('GHG Calcs'!$BC17="Van",BW17,IF('GHG Calcs'!$BC17="Cut-A-Way",CC17,IF('GHG Calcs'!$BC17="Over-Road Coach",CI17,IF('GHG Calcs'!$BC17="Heavy Rail",$CO17,IF('GHG Calcs'!$BC17="DMU / EMU",$CS17,IF('GHG Calcs'!$BC17="Ferry",$CW17,0))))))))</f>
        <v>0</v>
      </c>
      <c r="BR39" s="306">
        <f ca="1">IF(OR('GHG Calcs'!BD17=Defaults!$I$5,'GHG Calcs'!BD17=Defaults!$I$7,'GHG Calcs'!BD17=Defaults!$I$11),0,IF('GHG Calcs'!$BC17="Transit Bus",BR17,IF('GHG Calcs'!$BC17="Van",BX17,IF('GHG Calcs'!$BC17="Cut-A-Way",CD17,IF('GHG Calcs'!$BC17="Over-Road Coach",CJ17,IF('GHG Calcs'!$BC17="Heavy Rail",$CP17,IF('GHG Calcs'!$BC17="DMU / EMU",$CT17,IF('GHG Calcs'!$BC17="Ferry",$CX17,0))))))))</f>
        <v>0</v>
      </c>
      <c r="BS39" s="306">
        <f ca="1">IF('GHG Calcs'!$BC17="Transit Bus",BS17,IF('GHG Calcs'!$BC17="Van",BY17,IF('GHG Calcs'!$BC17="Cut-A-Way",CE17,IF('GHG Calcs'!$BC17="Over-Road Coach",CK17,0))))</f>
        <v>0</v>
      </c>
      <c r="BT39" s="1419">
        <f ca="1">IF('GHG Calcs'!$BC17="Transit Bus",BT17,IF('GHG Calcs'!$BC17="Van",BZ17,IF('GHG Calcs'!$BC17="Cut-A-Way",CF17,IF('GHG Calcs'!$BC17="Over-Road Coach",CL17*IF(OR('GHG Calcs'!BV17="Yes",'GHG Calcs'!BD17=Defaults!$I$5,'GHG Calcs'!BD17=Defaults!$I$7,'GHG Calcs'!BD17=Defaults!$I$11),0.5,1),0))))</f>
        <v>0</v>
      </c>
      <c r="BU39" s="306">
        <f ca="1">IF(OR('GHG Calcs'!BD17=Defaults!$I$5,'GHG Calcs'!BD17=Defaults!$I$7,'GHG Calcs'!BD17=Defaults!$I$11,'GHG Calcs'!BD17=Defaults!$I$3,'GHG Calcs'!BD17=Defaults!$I$8,'GHG Calcs'!BD17=Defaults!$I$12),0,IF('GHG Calcs'!$BC17="Transit Bus",BU17,IF('GHG Calcs'!$BC17="Van",CA17,IF('GHG Calcs'!$BC17="Cut-A-Way",CG17,IF('GHG Calcs'!$BC17="Over-Road Coach",CM17,IF('GHG Calcs'!$BC17="Heavy Rail",$CQ17,IF('GHG Calcs'!$BC17="DMU / EMU",$CU17,IF('GHG Calcs'!$BC17="Ferry",$CY17,0))))))))</f>
        <v>0</v>
      </c>
      <c r="BV39" s="1378">
        <f ca="1">(IF(AND('GHG Calcs'!BV17="yes",NOT('GHG Calcs'!BD17=Defaults!$I$5),NOT('GHG Calcs'!BD17=Defaults!$I$7),NOT('GHG Calcs'!BD17=Defaults!$I$11)),0.8,1))*IF('GHG Calcs'!$BE17&gt;0,BP39*'GHG Calcs'!$BE17,BP39*'GHG Calcs'!$BH17)*('GHG Calcs'!$I17-'GHG Calcs'!$H17)</f>
        <v>0</v>
      </c>
      <c r="BW39" s="1378">
        <f ca="1">(IF(AND('GHG Calcs'!BV17="yes",NOT('GHG Calcs'!BD17=Defaults!$I$5),NOT('GHG Calcs'!BD17=Defaults!$I$7),NOT('GHG Calcs'!BD17=Defaults!$I$11)),0.8,1))*IF('GHG Calcs'!$BE17&gt;0,BQ39*'GHG Calcs'!$BE17,BQ39*'GHG Calcs'!$BH17)*('GHG Calcs'!$I17-'GHG Calcs'!$H17)</f>
        <v>0</v>
      </c>
      <c r="BX39" s="1378">
        <f ca="1">((IF(AND('GHG Calcs'!BV17="yes",NOT('GHG Calcs'!BD17=Defaults!$I$5),NOT('GHG Calcs'!BD17=Defaults!$I$7),NOT('GHG Calcs'!BD17=Defaults!$I$11)),0.8,1)*BR39)+BS39+BT39)*IF('GHG Calcs'!$BE17&gt;0,'GHG Calcs'!$BE17,'GHG Calcs'!$BH17)*('GHG Calcs'!$I17-'GHG Calcs'!$H17)</f>
        <v>0</v>
      </c>
      <c r="BY39" s="1378">
        <f ca="1">(IF(AND('GHG Calcs'!BV17="yes",NOT('GHG Calcs'!BD17=Defaults!$I$5),NOT('GHG Calcs'!BD17=Defaults!$I$7),NOT('GHG Calcs'!BD17=Defaults!$I$11)),0.8,1))*IF('GHG Calcs'!$BE17&gt;0,BU39*'GHG Calcs'!$BE17,BU39*'GHG Calcs'!$BH17)*('GHG Calcs'!$I17-'GHG Calcs'!$H17)</f>
        <v>0</v>
      </c>
      <c r="DG39" s="1648"/>
      <c r="DH39" s="1379">
        <v>3</v>
      </c>
      <c r="DI39" s="306">
        <f ca="1">IF(OR('GHG Calcs'!CD17=Defaults!$I$5,'GHG Calcs'!CD17=Defaults!$I$7,'GHG Calcs'!CD17=Defaults!$I$11),0,IF('GHG Calcs'!$CC17="Transit Bus",DI17,IF('GHG Calcs'!$CC17="Van",DO17,IF('GHG Calcs'!$CC17="Cut-A-Way",DU17,IF('GHG Calcs'!$CC17="Over-Road Coach",EA17,IF('GHG Calcs'!$CC17="Heavy Rail",EG17,IF('GHG Calcs'!$CC17="DMU / EMU",EK17,IF('GHG Calcs'!$CC17="Ferry",EO17,0))))))))</f>
        <v>0</v>
      </c>
      <c r="DJ39" s="306">
        <f ca="1">IF(OR('GHG Calcs'!CD17=Defaults!$I$5,'GHG Calcs'!CD17=Defaults!$I$7,'GHG Calcs'!CD17=Defaults!$I$11),0,IF('GHG Calcs'!$CC17="Transit Bus",DJ17,IF('GHG Calcs'!$CC17="Van",DP17,IF('GHG Calcs'!$CC17="Cut-A-Way",DV17,IF('GHG Calcs'!$CC17="Over-Road Coach",EB17,IF('GHG Calcs'!$CC17="Heavy Rail",EH17,IF('GHG Calcs'!$CC17="DMU / EMU",EL17,IF('GHG Calcs'!$CC17="Ferry",EP17,0))))))))</f>
        <v>0</v>
      </c>
      <c r="DK39" s="306">
        <f ca="1">IF(OR('GHG Calcs'!CD17=Defaults!$I$5,'GHG Calcs'!CD17=Defaults!$I$7,'GHG Calcs'!CD17=Defaults!$I$11),0,IF('GHG Calcs'!$CC17="Transit Bus",DK17,IF('GHG Calcs'!$CC17="Van",DQ17,IF('GHG Calcs'!$CC17="Cut-A-Way",DW17,IF('GHG Calcs'!$CC17="Over-Road Coach",EC17,IF('GHG Calcs'!$CC17="Heavy Rail",EI17,IF('GHG Calcs'!$CC17="DMU / EMU",EM17,IF('GHG Calcs'!$CC17="Ferry",EQ17,0))))))))</f>
        <v>0</v>
      </c>
      <c r="DL39" s="306">
        <f ca="1">IF('GHG Calcs'!$CC17="Transit Bus",DL17,IF('GHG Calcs'!$CC17="Van",DR17,IF('GHG Calcs'!$CC17="Cut-A-Way",DX17,IF('GHG Calcs'!$CC17="Over-Road Coach",ED17,0))))</f>
        <v>0</v>
      </c>
      <c r="DM39" s="1419">
        <f ca="1">IF('GHG Calcs'!$CC17="Transit Bus",DM17,IF('GHG Calcs'!$CC17="Van",DS17,IF('GHG Calcs'!$CC17="Cut-A-Way",DY17,IF('GHG Calcs'!$CC17="Over-Road Coach",EE17*IF(OR('GHG Calcs'!CD17=Defaults!$I$5,'GHG Calcs'!CD17=Defaults!$I$7,'GHG Calcs'!CD17=Defaults!$I$11),0.5,1),0))))</f>
        <v>0</v>
      </c>
      <c r="DN39" s="306">
        <f ca="1">IF(OR('GHG Calcs'!CD17=Defaults!$I$5,'GHG Calcs'!CD17=Defaults!$I$7,'GHG Calcs'!CD17=Defaults!$I$11,'GHG Calcs'!CD17=Defaults!$I$3,'GHG Calcs'!CD17=Defaults!$I$8,'GHG Calcs'!CD17=Defaults!$I$12),0,IF('GHG Calcs'!$CC17="Transit Bus",DN17,IF('GHG Calcs'!$CC17="Van",DT17,IF('GHG Calcs'!$CC17="Cut-A-Way",DZ17,IF('GHG Calcs'!$CC17="Over-Road Coach",EF17,IF('GHG Calcs'!$CC17="Heavy Rail",EJ17,IF('GHG Calcs'!$CC17="DMU / EMU",EN17,IF('GHG Calcs'!$CC17="Ferry",ER17,0))))))))</f>
        <v>0</v>
      </c>
      <c r="DO39" s="1378">
        <f ca="1">DI39*'GHG Calcs'!$CE17*('GHG Calcs'!$I17-'GHG Calcs'!$H17)</f>
        <v>0</v>
      </c>
      <c r="DP39" s="1378">
        <f ca="1">DJ39*'GHG Calcs'!$CE17*('GHG Calcs'!$I17-'GHG Calcs'!$H17)</f>
        <v>0</v>
      </c>
      <c r="DQ39" s="1378">
        <f ca="1">(DK39+DL39+DM39)*'GHG Calcs'!$CE17*('GHG Calcs'!$I17-'GHG Calcs'!$H17)</f>
        <v>0</v>
      </c>
      <c r="DR39" s="1378">
        <f ca="1">DN39*'GHG Calcs'!$CE17*('GHG Calcs'!$I17-'GHG Calcs'!$H17)</f>
        <v>0</v>
      </c>
    </row>
    <row r="40" spans="16:122" s="117" customFormat="1" ht="19.5" customHeight="1" x14ac:dyDescent="0.35">
      <c r="T40" s="1646">
        <v>3</v>
      </c>
      <c r="U40" s="1380">
        <v>1</v>
      </c>
      <c r="V40" s="306">
        <f ca="1">IF(OR('GHG Calcs'!AD18=Defaults!$I$5,'GHG Calcs'!AD18=Defaults!$I$7,'GHG Calcs'!AD18=Defaults!$I$11),0,IF('GHG Calcs'!$AC18="Transit Bus",V18,IF('GHG Calcs'!$AC18="Van",AB18,IF('GHG Calcs'!$AC18="Cut-A-Way",AH18,IF('GHG Calcs'!$AC18="Over-Road Coach",AN18,IF('GHG Calcs'!$AC18="Heavy Rail",$AT18,IF('GHG Calcs'!$AC18="DMU / EMU",$AX18,IF('GHG Calcs'!$AC18="Ferry",BB18,0))))))))</f>
        <v>0</v>
      </c>
      <c r="W40" s="306">
        <f ca="1">IF(OR('GHG Calcs'!AD18=Defaults!$I$5,'GHG Calcs'!AD18=Defaults!$I$7,'GHG Calcs'!AD18=Defaults!$I$11),0,IF('GHG Calcs'!$AC18="Transit Bus",W18,IF('GHG Calcs'!$AC18="Van",AC18,IF('GHG Calcs'!$AC18="Cut-A-Way",AI18,IF('GHG Calcs'!$AC18="Over-Road Coach",AO18,IF('GHG Calcs'!$AC18="Heavy Rail",$AU18,IF('GHG Calcs'!$AC18="DMU / EMU",$AY18,IF('GHG Calcs'!$AC18="Ferry",BC18,0))))))))</f>
        <v>0</v>
      </c>
      <c r="X40" s="306">
        <f ca="1">IF(OR('GHG Calcs'!AD18=Defaults!$I$5,'GHG Calcs'!AD18=Defaults!$I$7,'GHG Calcs'!AD18=Defaults!$I$11),0,IF('GHG Calcs'!$AC18="Transit Bus",X18,IF('GHG Calcs'!$AC18="Van",AD18,IF('GHG Calcs'!$AC18="Cut-A-Way",AJ18,IF('GHG Calcs'!$AC18="Over-Road Coach",AP18,IF('GHG Calcs'!$AC18="Heavy Rail",$AV18,IF('GHG Calcs'!$AC18="DMU / EMU",$AZ18,IF('GHG Calcs'!$AC18="Ferry",BD18,0))))))))</f>
        <v>0</v>
      </c>
      <c r="Y40" s="306">
        <f ca="1">IF('GHG Calcs'!$AC18="Transit Bus",Y18,IF('GHG Calcs'!$AC18="Van",AE18,IF('GHG Calcs'!$AC18="Cut-A-Way",AK18,IF('GHG Calcs'!$AC18="Over-Road Coach",AQ18,0))))</f>
        <v>0</v>
      </c>
      <c r="Z40" s="1419">
        <f ca="1">IF('GHG Calcs'!$AC18="Transit Bus",Z18,IF('GHG Calcs'!$AC18="Van",AF18,IF('GHG Calcs'!$AC18="Cut-A-Way",AL18,IF('GHG Calcs'!$AC18="Over-Road Coach",AR18*IF(OR('GHG Calcs'!AV18="Yes",'GHG Calcs'!AD18=Defaults!$I$5,'GHG Calcs'!AD18=Defaults!$I$7,'GHG Calcs'!AD18=Defaults!$I$11),0.5,1),0))))</f>
        <v>0</v>
      </c>
      <c r="AA40" s="306">
        <f ca="1">IF(OR('GHG Calcs'!AD18=Defaults!$I$5,'GHG Calcs'!AD18=Defaults!$I$7,'GHG Calcs'!AD18=Defaults!$I$11,'GHG Calcs'!AD18=Defaults!$I$3,'GHG Calcs'!AD18=Defaults!$I$8,'GHG Calcs'!AD18=Defaults!$I$12),0,IF('GHG Calcs'!$AC18="Transit Bus",AA18,IF('GHG Calcs'!$AC18="Van",AG18,IF('GHG Calcs'!$AC18="Cut-A-Way",AM18,IF('GHG Calcs'!$AC18="Over-Road Coach",AS18,IF('GHG Calcs'!$AC18="Heavy Rail",$AW18,IF('GHG Calcs'!$AC18="DMU / EMU",$BA18,IF('GHG Calcs'!$AC18="Ferry",BE18,0))))))))</f>
        <v>0</v>
      </c>
      <c r="AB40" s="1378">
        <f ca="1">(IF(AND('GHG Calcs'!AV18="yes",NOT('GHG Calcs'!AD18=Defaults!$I$5),NOT('GHG Calcs'!AD18=Defaults!$I$7),NOT('GHG Calcs'!AD18=Defaults!$I$11)),0.8,1))*IF('GHG Calcs'!$AE18&gt;0,V40*'GHG Calcs'!$AE18,V40*'GHG Calcs'!$AI18)*('GHG Calcs'!$I18-'GHG Calcs'!$H18)</f>
        <v>0</v>
      </c>
      <c r="AC40" s="1378">
        <f ca="1">(IF(AND('GHG Calcs'!AV18="yes",NOT('GHG Calcs'!AD18=Defaults!$I$5),NOT('GHG Calcs'!AD18=Defaults!$I$7),NOT('GHG Calcs'!AD18=Defaults!$I$11)),0.8,1))*IF('GHG Calcs'!$AE18&gt;0,W40*'GHG Calcs'!$AE18,W40*'GHG Calcs'!$AI18)*('GHG Calcs'!$I18-'GHG Calcs'!$H18)</f>
        <v>0</v>
      </c>
      <c r="AD40" s="1378">
        <f ca="1">((IF(AND('GHG Calcs'!AV18="yes",NOT('GHG Calcs'!AD18=Defaults!$I$5),NOT('GHG Calcs'!AD18=Defaults!$I$7),NOT('GHG Calcs'!AD18=Defaults!$I$11)),0.8,1)*X40)+Y40+Z40)*IF('GHG Calcs'!$AE18&gt;0,'GHG Calcs'!$AE18,'GHG Calcs'!$AI18)*('GHG Calcs'!$I18-'GHG Calcs'!$H18)</f>
        <v>0</v>
      </c>
      <c r="AE40" s="1378">
        <f ca="1">(IF(AND('GHG Calcs'!AV18="yes",NOT('GHG Calcs'!AD18=Defaults!$I$5),NOT('GHG Calcs'!AD18=Defaults!$I$7),NOT('GHG Calcs'!AD18=Defaults!$I$11)),0.8,1))*IF('GHG Calcs'!$AE18&gt;0,AA40*'GHG Calcs'!$AE18,AA40*'GHG Calcs'!$AI18)*('GHG Calcs'!$I18-'GHG Calcs'!$H18)</f>
        <v>0</v>
      </c>
      <c r="BN40" s="1646">
        <v>3</v>
      </c>
      <c r="BO40" s="1380">
        <v>1</v>
      </c>
      <c r="BP40" s="306">
        <f ca="1">IF(OR('GHG Calcs'!BD18=Defaults!$I$5,'GHG Calcs'!BD18=Defaults!$I$7,'GHG Calcs'!BD18=Defaults!$I$11),0,IF('GHG Calcs'!$BC18="Transit Bus",BP18,IF('GHG Calcs'!$BC18="Van",BV18,IF('GHG Calcs'!$BC18="Cut-A-Way",CB18,IF('GHG Calcs'!$BC18="Over-Road Coach",CH18,IF('GHG Calcs'!$BC18="Heavy Rail",$CN18,IF('GHG Calcs'!$BC18="DMU / EMU",$CR18,IF('GHG Calcs'!$BC18="Ferry",$CV18,0))))))))</f>
        <v>0</v>
      </c>
      <c r="BQ40" s="306">
        <f ca="1">IF(OR('GHG Calcs'!BD18=Defaults!$I$5,'GHG Calcs'!BD18=Defaults!$I$7,'GHG Calcs'!BD18=Defaults!$I$11),0,IF('GHG Calcs'!$BC18="Transit Bus",BQ18,IF('GHG Calcs'!$BC18="Van",BW18,IF('GHG Calcs'!$BC18="Cut-A-Way",CC18,IF('GHG Calcs'!$BC18="Over-Road Coach",CI18,IF('GHG Calcs'!$BC18="Heavy Rail",$CO18,IF('GHG Calcs'!$BC18="DMU / EMU",$CS18,IF('GHG Calcs'!$BC18="Ferry",$CW18,0))))))))</f>
        <v>0</v>
      </c>
      <c r="BR40" s="306">
        <f ca="1">IF(OR('GHG Calcs'!BD18=Defaults!$I$5,'GHG Calcs'!BD18=Defaults!$I$7,'GHG Calcs'!BD18=Defaults!$I$11),0,IF('GHG Calcs'!$BC18="Transit Bus",BR18,IF('GHG Calcs'!$BC18="Van",BX18,IF('GHG Calcs'!$BC18="Cut-A-Way",CD18,IF('GHG Calcs'!$BC18="Over-Road Coach",CJ18,IF('GHG Calcs'!$BC18="Heavy Rail",$CP18,IF('GHG Calcs'!$BC18="DMU / EMU",$CT18,IF('GHG Calcs'!$BC18="Ferry",$CX18,0))))))))</f>
        <v>0</v>
      </c>
      <c r="BS40" s="306">
        <f ca="1">IF('GHG Calcs'!$BC18="Transit Bus",BS18,IF('GHG Calcs'!$BC18="Van",BY18,IF('GHG Calcs'!$BC18="Cut-A-Way",CE18,IF('GHG Calcs'!$BC18="Over-Road Coach",CK18,0))))</f>
        <v>0</v>
      </c>
      <c r="BT40" s="1419">
        <f ca="1">IF('GHG Calcs'!$BC18="Transit Bus",BT18,IF('GHG Calcs'!$BC18="Van",BZ18,IF('GHG Calcs'!$BC18="Cut-A-Way",CF18,IF('GHG Calcs'!$BC18="Over-Road Coach",CL18*IF(OR('GHG Calcs'!BV18="Yes",'GHG Calcs'!BD18=Defaults!$I$5,'GHG Calcs'!BD18=Defaults!$I$7,'GHG Calcs'!BD18=Defaults!$I$11),0.5,1),0))))</f>
        <v>0</v>
      </c>
      <c r="BU40" s="306">
        <f ca="1">IF(OR('GHG Calcs'!BD18=Defaults!$I$5,'GHG Calcs'!BD18=Defaults!$I$7,'GHG Calcs'!BD18=Defaults!$I$11,'GHG Calcs'!BD18=Defaults!$I$3,'GHG Calcs'!BD18=Defaults!$I$8,'GHG Calcs'!BD18=Defaults!$I$12),0,IF('GHG Calcs'!$BC18="Transit Bus",BU18,IF('GHG Calcs'!$BC18="Van",CA18,IF('GHG Calcs'!$BC18="Cut-A-Way",CG18,IF('GHG Calcs'!$BC18="Over-Road Coach",CM18,IF('GHG Calcs'!$BC18="Heavy Rail",$CQ18,IF('GHG Calcs'!$BC18="DMU / EMU",$CU18,IF('GHG Calcs'!$BC18="Ferry",$CY18,0))))))))</f>
        <v>0</v>
      </c>
      <c r="BV40" s="1378">
        <f ca="1">(IF(AND('GHG Calcs'!BV18="yes",NOT('GHG Calcs'!BD18=Defaults!$I$5),NOT('GHG Calcs'!BD18=Defaults!$I$7),NOT('GHG Calcs'!BD18=Defaults!$I$11)),0.8,1))*IF('GHG Calcs'!$BE18&gt;0,BP40*'GHG Calcs'!$BE18,BP40*'GHG Calcs'!$BH18)*('GHG Calcs'!$I18-'GHG Calcs'!$H18)</f>
        <v>0</v>
      </c>
      <c r="BW40" s="1378">
        <f ca="1">(IF(AND('GHG Calcs'!BV18="yes",NOT('GHG Calcs'!BD18=Defaults!$I$5),NOT('GHG Calcs'!BD18=Defaults!$I$7),NOT('GHG Calcs'!BD18=Defaults!$I$11)),0.8,1))*IF('GHG Calcs'!$BE18&gt;0,BQ40*'GHG Calcs'!$BE18,BQ40*'GHG Calcs'!$BH18)*('GHG Calcs'!$I18-'GHG Calcs'!$H18)</f>
        <v>0</v>
      </c>
      <c r="BX40" s="1378">
        <f ca="1">((IF(AND('GHG Calcs'!BV18="yes",NOT('GHG Calcs'!BD18=Defaults!$I$5),NOT('GHG Calcs'!BD18=Defaults!$I$7),NOT('GHG Calcs'!BD18=Defaults!$I$11)),0.8,1)*BR40)+BS40+BT40)*IF('GHG Calcs'!$BE18&gt;0,'GHG Calcs'!$BE18,'GHG Calcs'!$BH18)*('GHG Calcs'!$I18-'GHG Calcs'!$H18)</f>
        <v>0</v>
      </c>
      <c r="BY40" s="1378">
        <f ca="1">(IF(AND('GHG Calcs'!BV18="yes",NOT('GHG Calcs'!BD18=Defaults!$I$5),NOT('GHG Calcs'!BD18=Defaults!$I$7),NOT('GHG Calcs'!BD18=Defaults!$I$11)),0.8,1))*IF('GHG Calcs'!$BE18&gt;0,BU40*'GHG Calcs'!$BE18,BU40*'GHG Calcs'!$BH18)*('GHG Calcs'!$I18-'GHG Calcs'!$H18)</f>
        <v>0</v>
      </c>
      <c r="DG40" s="1646">
        <v>3</v>
      </c>
      <c r="DH40" s="1380">
        <v>1</v>
      </c>
      <c r="DI40" s="306">
        <f ca="1">IF(OR('GHG Calcs'!CD18=Defaults!$I$5,'GHG Calcs'!CD18=Defaults!$I$7,'GHG Calcs'!CD18=Defaults!$I$11),0,IF('GHG Calcs'!$CC18="Transit Bus",DI18,IF('GHG Calcs'!$CC18="Van",DO18,IF('GHG Calcs'!$CC18="Cut-A-Way",DU18,IF('GHG Calcs'!$CC18="Over-Road Coach",EA18,IF('GHG Calcs'!$CC18="Heavy Rail",EG18,IF('GHG Calcs'!$CC18="DMU / EMU",EK18,IF('GHG Calcs'!$CC18="Ferry",EO18,0))))))))</f>
        <v>0</v>
      </c>
      <c r="DJ40" s="306">
        <f ca="1">IF(OR('GHG Calcs'!CD18=Defaults!$I$5,'GHG Calcs'!CD18=Defaults!$I$7,'GHG Calcs'!CD18=Defaults!$I$11),0,IF('GHG Calcs'!$CC18="Transit Bus",DJ18,IF('GHG Calcs'!$CC18="Van",DP18,IF('GHG Calcs'!$CC18="Cut-A-Way",DV18,IF('GHG Calcs'!$CC18="Over-Road Coach",EB18,IF('GHG Calcs'!$CC18="Heavy Rail",EH18,IF('GHG Calcs'!$CC18="DMU / EMU",EL18,IF('GHG Calcs'!$CC18="Ferry",EP18,0))))))))</f>
        <v>0</v>
      </c>
      <c r="DK40" s="306">
        <f ca="1">IF(OR('GHG Calcs'!CD18=Defaults!$I$5,'GHG Calcs'!CD18=Defaults!$I$7,'GHG Calcs'!CD18=Defaults!$I$11),0,IF('GHG Calcs'!$CC18="Transit Bus",DK18,IF('GHG Calcs'!$CC18="Van",DQ18,IF('GHG Calcs'!$CC18="Cut-A-Way",DW18,IF('GHG Calcs'!$CC18="Over-Road Coach",EC18,IF('GHG Calcs'!$CC18="Heavy Rail",EI18,IF('GHG Calcs'!$CC18="DMU / EMU",EM18,IF('GHG Calcs'!$CC18="Ferry",EQ18,0))))))))</f>
        <v>0</v>
      </c>
      <c r="DL40" s="306">
        <f ca="1">IF('GHG Calcs'!$CC18="Transit Bus",DL18,IF('GHG Calcs'!$CC18="Van",DR18,IF('GHG Calcs'!$CC18="Cut-A-Way",DX18,IF('GHG Calcs'!$CC18="Over-Road Coach",ED18,0))))</f>
        <v>0</v>
      </c>
      <c r="DM40" s="1419">
        <f ca="1">IF('GHG Calcs'!$CC18="Transit Bus",DM18,IF('GHG Calcs'!$CC18="Van",DS18,IF('GHG Calcs'!$CC18="Cut-A-Way",DY18,IF('GHG Calcs'!$CC18="Over-Road Coach",EE18*IF(OR('GHG Calcs'!CD18=Defaults!$I$5,'GHG Calcs'!CD18=Defaults!$I$7,'GHG Calcs'!CD18=Defaults!$I$11),0.5,1),0))))</f>
        <v>0</v>
      </c>
      <c r="DN40" s="306">
        <f ca="1">IF(OR('GHG Calcs'!CD18=Defaults!$I$5,'GHG Calcs'!CD18=Defaults!$I$7,'GHG Calcs'!CD18=Defaults!$I$11,'GHG Calcs'!CD18=Defaults!$I$3,'GHG Calcs'!CD18=Defaults!$I$8,'GHG Calcs'!CD18=Defaults!$I$12),0,IF('GHG Calcs'!$CC18="Transit Bus",DN18,IF('GHG Calcs'!$CC18="Van",DT18,IF('GHG Calcs'!$CC18="Cut-A-Way",DZ18,IF('GHG Calcs'!$CC18="Over-Road Coach",EF18,IF('GHG Calcs'!$CC18="Heavy Rail",EJ18,IF('GHG Calcs'!$CC18="DMU / EMU",EN18,IF('GHG Calcs'!$CC18="Ferry",ER18,0))))))))</f>
        <v>0</v>
      </c>
      <c r="DO40" s="1378">
        <f ca="1">DI40*'GHG Calcs'!$CE18*('GHG Calcs'!$I18-'GHG Calcs'!$H18)</f>
        <v>0</v>
      </c>
      <c r="DP40" s="1378">
        <f ca="1">DJ40*'GHG Calcs'!$CE18*('GHG Calcs'!$I18-'GHG Calcs'!$H18)</f>
        <v>0</v>
      </c>
      <c r="DQ40" s="1378">
        <f ca="1">(DK40+DL40+DM40)*'GHG Calcs'!$CE18*('GHG Calcs'!$I18-'GHG Calcs'!$H18)</f>
        <v>0</v>
      </c>
      <c r="DR40" s="1378">
        <f ca="1">DN40*'GHG Calcs'!$CE18*('GHG Calcs'!$I18-'GHG Calcs'!$H18)</f>
        <v>0</v>
      </c>
    </row>
    <row r="41" spans="16:122" s="117" customFormat="1" ht="19.5" customHeight="1" x14ac:dyDescent="0.35">
      <c r="T41" s="1647"/>
      <c r="U41" s="1380">
        <v>2</v>
      </c>
      <c r="V41" s="306">
        <f ca="1">IF(OR('GHG Calcs'!AD19=Defaults!$I$5,'GHG Calcs'!AD19=Defaults!$I$7,'GHG Calcs'!AD19=Defaults!$I$11),0,IF('GHG Calcs'!$AC19="Transit Bus",V19,IF('GHG Calcs'!$AC19="Van",AB19,IF('GHG Calcs'!$AC19="Cut-A-Way",AH19,IF('GHG Calcs'!$AC19="Over-Road Coach",AN19,IF('GHG Calcs'!$AC19="Heavy Rail",$AT19,IF('GHG Calcs'!$AC19="DMU / EMU",$AX19,IF('GHG Calcs'!$AC19="Ferry",BB19,0))))))))</f>
        <v>0</v>
      </c>
      <c r="W41" s="306">
        <f ca="1">IF(OR('GHG Calcs'!AD19=Defaults!$I$5,'GHG Calcs'!AD19=Defaults!$I$7,'GHG Calcs'!AD19=Defaults!$I$11),0,IF('GHG Calcs'!$AC19="Transit Bus",W19,IF('GHG Calcs'!$AC19="Van",AC19,IF('GHG Calcs'!$AC19="Cut-A-Way",AI19,IF('GHG Calcs'!$AC19="Over-Road Coach",AO19,IF('GHG Calcs'!$AC19="Heavy Rail",$AU19,IF('GHG Calcs'!$AC19="DMU / EMU",$AY19,IF('GHG Calcs'!$AC19="Ferry",BC19,0))))))))</f>
        <v>0</v>
      </c>
      <c r="X41" s="306">
        <f ca="1">IF(OR('GHG Calcs'!AD19=Defaults!$I$5,'GHG Calcs'!AD19=Defaults!$I$7,'GHG Calcs'!AD19=Defaults!$I$11),0,IF('GHG Calcs'!$AC19="Transit Bus",X19,IF('GHG Calcs'!$AC19="Van",AD19,IF('GHG Calcs'!$AC19="Cut-A-Way",AJ19,IF('GHG Calcs'!$AC19="Over-Road Coach",AP19,IF('GHG Calcs'!$AC19="Heavy Rail",$AV19,IF('GHG Calcs'!$AC19="DMU / EMU",$AZ19,IF('GHG Calcs'!$AC19="Ferry",BD19,0))))))))</f>
        <v>0</v>
      </c>
      <c r="Y41" s="306">
        <f ca="1">IF('GHG Calcs'!$AC19="Transit Bus",Y19,IF('GHG Calcs'!$AC19="Van",AE19,IF('GHG Calcs'!$AC19="Cut-A-Way",AK19,IF('GHG Calcs'!$AC19="Over-Road Coach",AQ19,0))))</f>
        <v>0</v>
      </c>
      <c r="Z41" s="1419">
        <f ca="1">IF('GHG Calcs'!$AC19="Transit Bus",Z19,IF('GHG Calcs'!$AC19="Van",AF19,IF('GHG Calcs'!$AC19="Cut-A-Way",AL19,IF('GHG Calcs'!$AC19="Over-Road Coach",AR19*IF(OR('GHG Calcs'!AV19="Yes",'GHG Calcs'!AD19=Defaults!$I$5,'GHG Calcs'!AD19=Defaults!$I$7,'GHG Calcs'!AD19=Defaults!$I$11),0.5,1),0))))</f>
        <v>0</v>
      </c>
      <c r="AA41" s="306">
        <f ca="1">IF(OR('GHG Calcs'!AD19=Defaults!$I$5,'GHG Calcs'!AD19=Defaults!$I$7,'GHG Calcs'!AD19=Defaults!$I$11,'GHG Calcs'!AD19=Defaults!$I$3,'GHG Calcs'!AD19=Defaults!$I$8,'GHG Calcs'!AD19=Defaults!$I$12),0,IF('GHG Calcs'!$AC19="Transit Bus",AA19,IF('GHG Calcs'!$AC19="Van",AG19,IF('GHG Calcs'!$AC19="Cut-A-Way",AM19,IF('GHG Calcs'!$AC19="Over-Road Coach",AS19,IF('GHG Calcs'!$AC19="Heavy Rail",$AW19,IF('GHG Calcs'!$AC19="DMU / EMU",$BA19,IF('GHG Calcs'!$AC19="Ferry",BE19,0))))))))</f>
        <v>0</v>
      </c>
      <c r="AB41" s="1378">
        <f ca="1">(IF(AND('GHG Calcs'!AV19="yes",NOT('GHG Calcs'!AD19=Defaults!$I$5),NOT('GHG Calcs'!AD19=Defaults!$I$7),NOT('GHG Calcs'!AD19=Defaults!$I$11)),0.8,1))*IF('GHG Calcs'!$AE19&gt;0,V41*'GHG Calcs'!$AE19,V41*'GHG Calcs'!$AI19)*('GHG Calcs'!$I19-'GHG Calcs'!$H19)</f>
        <v>0</v>
      </c>
      <c r="AC41" s="1378">
        <f ca="1">(IF(AND('GHG Calcs'!AV19="yes",NOT('GHG Calcs'!AD19=Defaults!$I$5),NOT('GHG Calcs'!AD19=Defaults!$I$7),NOT('GHG Calcs'!AD19=Defaults!$I$11)),0.8,1))*IF('GHG Calcs'!$AE19&gt;0,W41*'GHG Calcs'!$AE19,W41*'GHG Calcs'!$AI19)*('GHG Calcs'!$I19-'GHG Calcs'!$H19)</f>
        <v>0</v>
      </c>
      <c r="AD41" s="1378">
        <f ca="1">((IF(AND('GHG Calcs'!AV19="yes",NOT('GHG Calcs'!AD19=Defaults!$I$5),NOT('GHG Calcs'!AD19=Defaults!$I$7),NOT('GHG Calcs'!AD19=Defaults!$I$11)),0.8,1)*X41)+Y41+Z41)*IF('GHG Calcs'!$AE19&gt;0,'GHG Calcs'!$AE19,'GHG Calcs'!$AI19)*('GHG Calcs'!$I19-'GHG Calcs'!$H19)</f>
        <v>0</v>
      </c>
      <c r="AE41" s="1378">
        <f ca="1">(IF(AND('GHG Calcs'!AV19="yes",NOT('GHG Calcs'!AD19=Defaults!$I$5),NOT('GHG Calcs'!AD19=Defaults!$I$7),NOT('GHG Calcs'!AD19=Defaults!$I$11)),0.8,1))*IF('GHG Calcs'!$AE19&gt;0,AA41*'GHG Calcs'!$AE19,AA41*'GHG Calcs'!$AI19)*('GHG Calcs'!$I19-'GHG Calcs'!$H19)</f>
        <v>0</v>
      </c>
      <c r="BN41" s="1647"/>
      <c r="BO41" s="1380">
        <v>2</v>
      </c>
      <c r="BP41" s="306">
        <f ca="1">IF(OR('GHG Calcs'!BD19=Defaults!$I$5,'GHG Calcs'!BD19=Defaults!$I$7,'GHG Calcs'!BD19=Defaults!$I$11),0,IF('GHG Calcs'!$BC19="Transit Bus",BP19,IF('GHG Calcs'!$BC19="Van",BV19,IF('GHG Calcs'!$BC19="Cut-A-Way",CB19,IF('GHG Calcs'!$BC19="Over-Road Coach",CH19,IF('GHG Calcs'!$BC19="Heavy Rail",$CN19,IF('GHG Calcs'!$BC19="DMU / EMU",$CR19,IF('GHG Calcs'!$BC19="Ferry",$CV19,0))))))))</f>
        <v>0</v>
      </c>
      <c r="BQ41" s="306">
        <f ca="1">IF(OR('GHG Calcs'!BD19=Defaults!$I$5,'GHG Calcs'!BD19=Defaults!$I$7,'GHG Calcs'!BD19=Defaults!$I$11),0,IF('GHG Calcs'!$BC19="Transit Bus",BQ19,IF('GHG Calcs'!$BC19="Van",BW19,IF('GHG Calcs'!$BC19="Cut-A-Way",CC19,IF('GHG Calcs'!$BC19="Over-Road Coach",CI19,IF('GHG Calcs'!$BC19="Heavy Rail",$CO19,IF('GHG Calcs'!$BC19="DMU / EMU",$CS19,IF('GHG Calcs'!$BC19="Ferry",$CW19,0))))))))</f>
        <v>0</v>
      </c>
      <c r="BR41" s="306">
        <f ca="1">IF(OR('GHG Calcs'!BD19=Defaults!$I$5,'GHG Calcs'!BD19=Defaults!$I$7,'GHG Calcs'!BD19=Defaults!$I$11),0,IF('GHG Calcs'!$BC19="Transit Bus",BR19,IF('GHG Calcs'!$BC19="Van",BX19,IF('GHG Calcs'!$BC19="Cut-A-Way",CD19,IF('GHG Calcs'!$BC19="Over-Road Coach",CJ19,IF('GHG Calcs'!$BC19="Heavy Rail",$CP19,IF('GHG Calcs'!$BC19="DMU / EMU",$CT19,IF('GHG Calcs'!$BC19="Ferry",$CX19,0))))))))</f>
        <v>0</v>
      </c>
      <c r="BS41" s="306">
        <f ca="1">IF('GHG Calcs'!$BC19="Transit Bus",BS19,IF('GHG Calcs'!$BC19="Van",BY19,IF('GHG Calcs'!$BC19="Cut-A-Way",CE19,IF('GHG Calcs'!$BC19="Over-Road Coach",CK19,0))))</f>
        <v>0</v>
      </c>
      <c r="BT41" s="1419">
        <f ca="1">IF('GHG Calcs'!$BC19="Transit Bus",BT19,IF('GHG Calcs'!$BC19="Van",BZ19,IF('GHG Calcs'!$BC19="Cut-A-Way",CF19,IF('GHG Calcs'!$BC19="Over-Road Coach",CL19*IF(OR('GHG Calcs'!BV19="Yes",'GHG Calcs'!BD19=Defaults!$I$5,'GHG Calcs'!BD19=Defaults!$I$7,'GHG Calcs'!BD19=Defaults!$I$11),0.5,1),0))))</f>
        <v>0</v>
      </c>
      <c r="BU41" s="306">
        <f ca="1">IF(OR('GHG Calcs'!BD19=Defaults!$I$5,'GHG Calcs'!BD19=Defaults!$I$7,'GHG Calcs'!BD19=Defaults!$I$11,'GHG Calcs'!BD19=Defaults!$I$3,'GHG Calcs'!BD19=Defaults!$I$8,'GHG Calcs'!BD19=Defaults!$I$12),0,IF('GHG Calcs'!$BC19="Transit Bus",BU19,IF('GHG Calcs'!$BC19="Van",CA19,IF('GHG Calcs'!$BC19="Cut-A-Way",CG19,IF('GHG Calcs'!$BC19="Over-Road Coach",CM19,IF('GHG Calcs'!$BC19="Heavy Rail",$CQ19,IF('GHG Calcs'!$BC19="DMU / EMU",$CU19,IF('GHG Calcs'!$BC19="Ferry",$CY19,0))))))))</f>
        <v>0</v>
      </c>
      <c r="BV41" s="1378">
        <f ca="1">(IF(AND('GHG Calcs'!BV19="yes",NOT('GHG Calcs'!BD19=Defaults!$I$5),NOT('GHG Calcs'!BD19=Defaults!$I$7),NOT('GHG Calcs'!BD19=Defaults!$I$11)),0.8,1))*IF('GHG Calcs'!$BE19&gt;0,BP41*'GHG Calcs'!$BE19,BP41*'GHG Calcs'!$BH19)*('GHG Calcs'!$I19-'GHG Calcs'!$H19)</f>
        <v>0</v>
      </c>
      <c r="BW41" s="1378">
        <f ca="1">(IF(AND('GHG Calcs'!BV19="yes",NOT('GHG Calcs'!BD19=Defaults!$I$5),NOT('GHG Calcs'!BD19=Defaults!$I$7),NOT('GHG Calcs'!BD19=Defaults!$I$11)),0.8,1))*IF('GHG Calcs'!$BE19&gt;0,BQ41*'GHG Calcs'!$BE19,BQ41*'GHG Calcs'!$BH19)*('GHG Calcs'!$I19-'GHG Calcs'!$H19)</f>
        <v>0</v>
      </c>
      <c r="BX41" s="1378">
        <f ca="1">((IF(AND('GHG Calcs'!BV19="yes",NOT('GHG Calcs'!BD19=Defaults!$I$5),NOT('GHG Calcs'!BD19=Defaults!$I$7),NOT('GHG Calcs'!BD19=Defaults!$I$11)),0.8,1)*BR41)+BS41+BT41)*IF('GHG Calcs'!$BE19&gt;0,'GHG Calcs'!$BE19,'GHG Calcs'!$BH19)*('GHG Calcs'!$I19-'GHG Calcs'!$H19)</f>
        <v>0</v>
      </c>
      <c r="BY41" s="1378">
        <f ca="1">(IF(AND('GHG Calcs'!BV19="yes",NOT('GHG Calcs'!BD19=Defaults!$I$5),NOT('GHG Calcs'!BD19=Defaults!$I$7),NOT('GHG Calcs'!BD19=Defaults!$I$11)),0.8,1))*IF('GHG Calcs'!$BE19&gt;0,BU41*'GHG Calcs'!$BE19,BU41*'GHG Calcs'!$BH19)*('GHG Calcs'!$I19-'GHG Calcs'!$H19)</f>
        <v>0</v>
      </c>
      <c r="DG41" s="1647"/>
      <c r="DH41" s="1380">
        <v>2</v>
      </c>
      <c r="DI41" s="306">
        <f ca="1">IF(OR('GHG Calcs'!CD19=Defaults!$I$5,'GHG Calcs'!CD19=Defaults!$I$7,'GHG Calcs'!CD19=Defaults!$I$11),0,IF('GHG Calcs'!$CC19="Transit Bus",DI19,IF('GHG Calcs'!$CC19="Van",DO19,IF('GHG Calcs'!$CC19="Cut-A-Way",DU19,IF('GHG Calcs'!$CC19="Over-Road Coach",EA19,IF('GHG Calcs'!$CC19="Heavy Rail",EG19,IF('GHG Calcs'!$CC19="DMU / EMU",EK19,IF('GHG Calcs'!$CC19="Ferry",EO19,0))))))))</f>
        <v>0</v>
      </c>
      <c r="DJ41" s="306">
        <f ca="1">IF(OR('GHG Calcs'!CD19=Defaults!$I$5,'GHG Calcs'!CD19=Defaults!$I$7,'GHG Calcs'!CD19=Defaults!$I$11),0,IF('GHG Calcs'!$CC19="Transit Bus",DJ19,IF('GHG Calcs'!$CC19="Van",DP19,IF('GHG Calcs'!$CC19="Cut-A-Way",DV19,IF('GHG Calcs'!$CC19="Over-Road Coach",EB19,IF('GHG Calcs'!$CC19="Heavy Rail",EH19,IF('GHG Calcs'!$CC19="DMU / EMU",EL19,IF('GHG Calcs'!$CC19="Ferry",EP19,0))))))))</f>
        <v>0</v>
      </c>
      <c r="DK41" s="306">
        <f ca="1">IF(OR('GHG Calcs'!CD19=Defaults!$I$5,'GHG Calcs'!CD19=Defaults!$I$7,'GHG Calcs'!CD19=Defaults!$I$11),0,IF('GHG Calcs'!$CC19="Transit Bus",DK19,IF('GHG Calcs'!$CC19="Van",DQ19,IF('GHG Calcs'!$CC19="Cut-A-Way",DW19,IF('GHG Calcs'!$CC19="Over-Road Coach",EC19,IF('GHG Calcs'!$CC19="Heavy Rail",EI19,IF('GHG Calcs'!$CC19="DMU / EMU",EM19,IF('GHG Calcs'!$CC19="Ferry",EQ19,0))))))))</f>
        <v>0</v>
      </c>
      <c r="DL41" s="306">
        <f ca="1">IF('GHG Calcs'!$CC19="Transit Bus",DL19,IF('GHG Calcs'!$CC19="Van",DR19,IF('GHG Calcs'!$CC19="Cut-A-Way",DX19,IF('GHG Calcs'!$CC19="Over-Road Coach",ED19,0))))</f>
        <v>0</v>
      </c>
      <c r="DM41" s="1419">
        <f ca="1">IF('GHG Calcs'!$CC19="Transit Bus",DM19,IF('GHG Calcs'!$CC19="Van",DS19,IF('GHG Calcs'!$CC19="Cut-A-Way",DY19,IF('GHG Calcs'!$CC19="Over-Road Coach",EE19*IF(OR('GHG Calcs'!CD19=Defaults!$I$5,'GHG Calcs'!CD19=Defaults!$I$7,'GHG Calcs'!CD19=Defaults!$I$11),0.5,1),0))))</f>
        <v>0</v>
      </c>
      <c r="DN41" s="306">
        <f ca="1">IF(OR('GHG Calcs'!CD19=Defaults!$I$5,'GHG Calcs'!CD19=Defaults!$I$7,'GHG Calcs'!CD19=Defaults!$I$11,'GHG Calcs'!CD19=Defaults!$I$3,'GHG Calcs'!CD19=Defaults!$I$8,'GHG Calcs'!CD19=Defaults!$I$12),0,IF('GHG Calcs'!$CC19="Transit Bus",DN19,IF('GHG Calcs'!$CC19="Van",DT19,IF('GHG Calcs'!$CC19="Cut-A-Way",DZ19,IF('GHG Calcs'!$CC19="Over-Road Coach",EF19,IF('GHG Calcs'!$CC19="Heavy Rail",EJ19,IF('GHG Calcs'!$CC19="DMU / EMU",EN19,IF('GHG Calcs'!$CC19="Ferry",ER19,0))))))))</f>
        <v>0</v>
      </c>
      <c r="DO41" s="1378">
        <f ca="1">DI41*'GHG Calcs'!$CE19*('GHG Calcs'!$I19-'GHG Calcs'!$H19)</f>
        <v>0</v>
      </c>
      <c r="DP41" s="1378">
        <f ca="1">DJ41*'GHG Calcs'!$CE19*('GHG Calcs'!$I19-'GHG Calcs'!$H19)</f>
        <v>0</v>
      </c>
      <c r="DQ41" s="1378">
        <f ca="1">(DK41+DL41+DM41)*'GHG Calcs'!$CE19*('GHG Calcs'!$I19-'GHG Calcs'!$H19)</f>
        <v>0</v>
      </c>
      <c r="DR41" s="1378">
        <f ca="1">DN41*'GHG Calcs'!$CE19*('GHG Calcs'!$I19-'GHG Calcs'!$H19)</f>
        <v>0</v>
      </c>
    </row>
    <row r="42" spans="16:122" s="117" customFormat="1" ht="19.5" customHeight="1" x14ac:dyDescent="0.35">
      <c r="T42" s="1648"/>
      <c r="U42" s="1380">
        <v>3</v>
      </c>
      <c r="V42" s="306">
        <f ca="1">IF(OR('GHG Calcs'!AD20=Defaults!$I$5,'GHG Calcs'!AD20=Defaults!$I$7,'GHG Calcs'!AD20=Defaults!$I$11),0,IF('GHG Calcs'!$AC20="Transit Bus",V20,IF('GHG Calcs'!$AC20="Van",AB20,IF('GHG Calcs'!$AC20="Cut-A-Way",AH20,IF('GHG Calcs'!$AC20="Over-Road Coach",AN20,IF('GHG Calcs'!$AC20="Heavy Rail",$AT20,IF('GHG Calcs'!$AC20="DMU / EMU",$AX20,IF('GHG Calcs'!$AC20="Ferry",BB20,0))))))))</f>
        <v>0</v>
      </c>
      <c r="W42" s="306">
        <f ca="1">IF(OR('GHG Calcs'!AD20=Defaults!$I$5,'GHG Calcs'!AD20=Defaults!$I$7,'GHG Calcs'!AD20=Defaults!$I$11),0,IF('GHG Calcs'!$AC20="Transit Bus",W20,IF('GHG Calcs'!$AC20="Van",AC20,IF('GHG Calcs'!$AC20="Cut-A-Way",AI20,IF('GHG Calcs'!$AC20="Over-Road Coach",AO20,IF('GHG Calcs'!$AC20="Heavy Rail",$AU20,IF('GHG Calcs'!$AC20="DMU / EMU",$AY20,IF('GHG Calcs'!$AC20="Ferry",BC20,0))))))))</f>
        <v>0</v>
      </c>
      <c r="X42" s="306">
        <f ca="1">IF(OR('GHG Calcs'!AD20=Defaults!$I$5,'GHG Calcs'!AD20=Defaults!$I$7,'GHG Calcs'!AD20=Defaults!$I$11),0,IF('GHG Calcs'!$AC20="Transit Bus",X20,IF('GHG Calcs'!$AC20="Van",AD20,IF('GHG Calcs'!$AC20="Cut-A-Way",AJ20,IF('GHG Calcs'!$AC20="Over-Road Coach",AP20,IF('GHG Calcs'!$AC20="Heavy Rail",$AV20,IF('GHG Calcs'!$AC20="DMU / EMU",$AZ20,IF('GHG Calcs'!$AC20="Ferry",BD20,0))))))))</f>
        <v>0</v>
      </c>
      <c r="Y42" s="306">
        <f ca="1">IF('GHG Calcs'!$AC20="Transit Bus",Y20,IF('GHG Calcs'!$AC20="Van",AE20,IF('GHG Calcs'!$AC20="Cut-A-Way",AK20,IF('GHG Calcs'!$AC20="Over-Road Coach",AQ20,0))))</f>
        <v>0</v>
      </c>
      <c r="Z42" s="1419">
        <f ca="1">IF('GHG Calcs'!$AC20="Transit Bus",Z20,IF('GHG Calcs'!$AC20="Van",AF20,IF('GHG Calcs'!$AC20="Cut-A-Way",AL20,IF('GHG Calcs'!$AC20="Over-Road Coach",AR20*IF(OR('GHG Calcs'!AV20="Yes",'GHG Calcs'!AD20=Defaults!$I$5,'GHG Calcs'!AD20=Defaults!$I$7,'GHG Calcs'!AD20=Defaults!$I$11),0.5,1),0))))</f>
        <v>0</v>
      </c>
      <c r="AA42" s="306">
        <f ca="1">IF(OR('GHG Calcs'!AD20=Defaults!$I$5,'GHG Calcs'!AD20=Defaults!$I$7,'GHG Calcs'!AD20=Defaults!$I$11,'GHG Calcs'!AD20=Defaults!$I$3,'GHG Calcs'!AD20=Defaults!$I$8,'GHG Calcs'!AD20=Defaults!$I$12),0,IF('GHG Calcs'!$AC20="Transit Bus",AA20,IF('GHG Calcs'!$AC20="Van",AG20,IF('GHG Calcs'!$AC20="Cut-A-Way",AM20,IF('GHG Calcs'!$AC20="Over-Road Coach",AS20,IF('GHG Calcs'!$AC20="Heavy Rail",$AW20,IF('GHG Calcs'!$AC20="DMU / EMU",$BA20,IF('GHG Calcs'!$AC20="Ferry",BE20,0))))))))</f>
        <v>0</v>
      </c>
      <c r="AB42" s="1378">
        <f ca="1">(IF(AND('GHG Calcs'!AV20="yes",NOT('GHG Calcs'!AD20=Defaults!$I$5),NOT('GHG Calcs'!AD20=Defaults!$I$7),NOT('GHG Calcs'!AD20=Defaults!$I$11)),0.8,1))*IF('GHG Calcs'!$AE20&gt;0,V42*'GHG Calcs'!$AE20,V42*'GHG Calcs'!$AI20)*('GHG Calcs'!$I20-'GHG Calcs'!$H20)</f>
        <v>0</v>
      </c>
      <c r="AC42" s="1378">
        <f ca="1">(IF(AND('GHG Calcs'!AV20="yes",NOT('GHG Calcs'!AD20=Defaults!$I$5),NOT('GHG Calcs'!AD20=Defaults!$I$7),NOT('GHG Calcs'!AD20=Defaults!$I$11)),0.8,1))*IF('GHG Calcs'!$AE20&gt;0,W42*'GHG Calcs'!$AE20,W42*'GHG Calcs'!$AI20)*('GHG Calcs'!$I20-'GHG Calcs'!$H20)</f>
        <v>0</v>
      </c>
      <c r="AD42" s="1378">
        <f ca="1">((IF(AND('GHG Calcs'!AV20="yes",NOT('GHG Calcs'!AD20=Defaults!$I$5),NOT('GHG Calcs'!AD20=Defaults!$I$7),NOT('GHG Calcs'!AD20=Defaults!$I$11)),0.8,1)*X42)+Y42+Z42)*IF('GHG Calcs'!$AE20&gt;0,'GHG Calcs'!$AE20,'GHG Calcs'!$AI20)*('GHG Calcs'!$I20-'GHG Calcs'!$H20)</f>
        <v>0</v>
      </c>
      <c r="AE42" s="1378">
        <f ca="1">(IF(AND('GHG Calcs'!AV20="yes",NOT('GHG Calcs'!AD20=Defaults!$I$5),NOT('GHG Calcs'!AD20=Defaults!$I$7),NOT('GHG Calcs'!AD20=Defaults!$I$11)),0.8,1))*IF('GHG Calcs'!$AE20&gt;0,AA42*'GHG Calcs'!$AE20,AA42*'GHG Calcs'!$AI20)*('GHG Calcs'!$I20-'GHG Calcs'!$H20)</f>
        <v>0</v>
      </c>
      <c r="BN42" s="1648"/>
      <c r="BO42" s="1380">
        <v>3</v>
      </c>
      <c r="BP42" s="306">
        <f ca="1">IF(OR('GHG Calcs'!BD20=Defaults!$I$5,'GHG Calcs'!BD20=Defaults!$I$7,'GHG Calcs'!BD20=Defaults!$I$11),0,IF('GHG Calcs'!$BC20="Transit Bus",BP20,IF('GHG Calcs'!$BC20="Van",BV20,IF('GHG Calcs'!$BC20="Cut-A-Way",CB20,IF('GHG Calcs'!$BC20="Over-Road Coach",CH20,IF('GHG Calcs'!$BC20="Heavy Rail",$CN20,IF('GHG Calcs'!$BC20="DMU / EMU",$CR20,IF('GHG Calcs'!$BC20="Ferry",$CV20,0))))))))</f>
        <v>0</v>
      </c>
      <c r="BQ42" s="306">
        <f ca="1">IF(OR('GHG Calcs'!BD20=Defaults!$I$5,'GHG Calcs'!BD20=Defaults!$I$7,'GHG Calcs'!BD20=Defaults!$I$11),0,IF('GHG Calcs'!$BC20="Transit Bus",BQ20,IF('GHG Calcs'!$BC20="Van",BW20,IF('GHG Calcs'!$BC20="Cut-A-Way",CC20,IF('GHG Calcs'!$BC20="Over-Road Coach",CI20,IF('GHG Calcs'!$BC20="Heavy Rail",$CO20,IF('GHG Calcs'!$BC20="DMU / EMU",$CS20,IF('GHG Calcs'!$BC20="Ferry",$CW20,0))))))))</f>
        <v>0</v>
      </c>
      <c r="BR42" s="306">
        <f ca="1">IF(OR('GHG Calcs'!BD20=Defaults!$I$5,'GHG Calcs'!BD20=Defaults!$I$7,'GHG Calcs'!BD20=Defaults!$I$11),0,IF('GHG Calcs'!$BC20="Transit Bus",BR20,IF('GHG Calcs'!$BC20="Van",BX20,IF('GHG Calcs'!$BC20="Cut-A-Way",CD20,IF('GHG Calcs'!$BC20="Over-Road Coach",CJ20,IF('GHG Calcs'!$BC20="Heavy Rail",$CP20,IF('GHG Calcs'!$BC20="DMU / EMU",$CT20,IF('GHG Calcs'!$BC20="Ferry",$CX20,0))))))))</f>
        <v>0</v>
      </c>
      <c r="BS42" s="306">
        <f ca="1">IF('GHG Calcs'!$BC20="Transit Bus",BS20,IF('GHG Calcs'!$BC20="Van",BY20,IF('GHG Calcs'!$BC20="Cut-A-Way",CE20,IF('GHG Calcs'!$BC20="Over-Road Coach",CK20,0))))</f>
        <v>0</v>
      </c>
      <c r="BT42" s="1419">
        <f ca="1">IF('GHG Calcs'!$BC20="Transit Bus",BT20,IF('GHG Calcs'!$BC20="Van",BZ20,IF('GHG Calcs'!$BC20="Cut-A-Way",CF20,IF('GHG Calcs'!$BC20="Over-Road Coach",CL20*IF(OR('GHG Calcs'!BV20="Yes",'GHG Calcs'!BD20=Defaults!$I$5,'GHG Calcs'!BD20=Defaults!$I$7,'GHG Calcs'!BD20=Defaults!$I$11),0.5,1),0))))</f>
        <v>0</v>
      </c>
      <c r="BU42" s="306">
        <f ca="1">IF(OR('GHG Calcs'!BD20=Defaults!$I$5,'GHG Calcs'!BD20=Defaults!$I$7,'GHG Calcs'!BD20=Defaults!$I$11,'GHG Calcs'!BD20=Defaults!$I$3,'GHG Calcs'!BD20=Defaults!$I$8,'GHG Calcs'!BD20=Defaults!$I$12),0,IF('GHG Calcs'!$BC20="Transit Bus",BU20,IF('GHG Calcs'!$BC20="Van",CA20,IF('GHG Calcs'!$BC20="Cut-A-Way",CG20,IF('GHG Calcs'!$BC20="Over-Road Coach",CM20,IF('GHG Calcs'!$BC20="Heavy Rail",$CQ20,IF('GHG Calcs'!$BC20="DMU / EMU",$CU20,IF('GHG Calcs'!$BC20="Ferry",$CY20,0))))))))</f>
        <v>0</v>
      </c>
      <c r="BV42" s="1378">
        <f ca="1">(IF(AND('GHG Calcs'!BV20="yes",NOT('GHG Calcs'!BD20=Defaults!$I$5),NOT('GHG Calcs'!BD20=Defaults!$I$7),NOT('GHG Calcs'!BD20=Defaults!$I$11)),0.8,1))*IF('GHG Calcs'!$BE20&gt;0,BP42*'GHG Calcs'!$BE20,BP42*'GHG Calcs'!$BH20)*('GHG Calcs'!$I20-'GHG Calcs'!$H20)</f>
        <v>0</v>
      </c>
      <c r="BW42" s="1378">
        <f ca="1">(IF(AND('GHG Calcs'!BV20="yes",NOT('GHG Calcs'!BD20=Defaults!$I$5),NOT('GHG Calcs'!BD20=Defaults!$I$7),NOT('GHG Calcs'!BD20=Defaults!$I$11)),0.8,1))*IF('GHG Calcs'!$BE20&gt;0,BQ42*'GHG Calcs'!$BE20,BQ42*'GHG Calcs'!$BH20)*('GHG Calcs'!$I20-'GHG Calcs'!$H20)</f>
        <v>0</v>
      </c>
      <c r="BX42" s="1378">
        <f ca="1">((IF(AND('GHG Calcs'!BV20="yes",NOT('GHG Calcs'!BD20=Defaults!$I$5),NOT('GHG Calcs'!BD20=Defaults!$I$7),NOT('GHG Calcs'!BD20=Defaults!$I$11)),0.8,1)*BR42)+BS42+BT42)*IF('GHG Calcs'!$BE20&gt;0,'GHG Calcs'!$BE20,'GHG Calcs'!$BH20)*('GHG Calcs'!$I20-'GHG Calcs'!$H20)</f>
        <v>0</v>
      </c>
      <c r="BY42" s="1378">
        <f ca="1">(IF(AND('GHG Calcs'!BV20="yes",NOT('GHG Calcs'!BD20=Defaults!$I$5),NOT('GHG Calcs'!BD20=Defaults!$I$7),NOT('GHG Calcs'!BD20=Defaults!$I$11)),0.8,1))*IF('GHG Calcs'!$BE20&gt;0,BU42*'GHG Calcs'!$BE20,BU42*'GHG Calcs'!$BH20)*('GHG Calcs'!$I20-'GHG Calcs'!$H20)</f>
        <v>0</v>
      </c>
      <c r="DG42" s="1648"/>
      <c r="DH42" s="1380">
        <v>3</v>
      </c>
      <c r="DI42" s="306">
        <f ca="1">IF(OR('GHG Calcs'!CD20=Defaults!$I$5,'GHG Calcs'!CD20=Defaults!$I$7,'GHG Calcs'!CD20=Defaults!$I$11),0,IF('GHG Calcs'!$CC20="Transit Bus",DI20,IF('GHG Calcs'!$CC20="Van",DO20,IF('GHG Calcs'!$CC20="Cut-A-Way",DU20,IF('GHG Calcs'!$CC20="Over-Road Coach",EA20,IF('GHG Calcs'!$CC20="Heavy Rail",EG20,IF('GHG Calcs'!$CC20="DMU / EMU",EK20,IF('GHG Calcs'!$CC20="Ferry",EO20,0))))))))</f>
        <v>0</v>
      </c>
      <c r="DJ42" s="306">
        <f ca="1">IF(OR('GHG Calcs'!CD20=Defaults!$I$5,'GHG Calcs'!CD20=Defaults!$I$7,'GHG Calcs'!CD20=Defaults!$I$11),0,IF('GHG Calcs'!$CC20="Transit Bus",DJ20,IF('GHG Calcs'!$CC20="Van",DP20,IF('GHG Calcs'!$CC20="Cut-A-Way",DV20,IF('GHG Calcs'!$CC20="Over-Road Coach",EB20,IF('GHG Calcs'!$CC20="Heavy Rail",EH20,IF('GHG Calcs'!$CC20="DMU / EMU",EL20,IF('GHG Calcs'!$CC20="Ferry",EP20,0))))))))</f>
        <v>0</v>
      </c>
      <c r="DK42" s="306">
        <f ca="1">IF(OR('GHG Calcs'!CD20=Defaults!$I$5,'GHG Calcs'!CD20=Defaults!$I$7,'GHG Calcs'!CD20=Defaults!$I$11),0,IF('GHG Calcs'!$CC20="Transit Bus",DK20,IF('GHG Calcs'!$CC20="Van",DQ20,IF('GHG Calcs'!$CC20="Cut-A-Way",DW20,IF('GHG Calcs'!$CC20="Over-Road Coach",EC20,IF('GHG Calcs'!$CC20="Heavy Rail",EI20,IF('GHG Calcs'!$CC20="DMU / EMU",EM20,IF('GHG Calcs'!$CC20="Ferry",EQ20,0))))))))</f>
        <v>0</v>
      </c>
      <c r="DL42" s="306">
        <f ca="1">IF('GHG Calcs'!$CC20="Transit Bus",DL20,IF('GHG Calcs'!$CC20="Van",DR20,IF('GHG Calcs'!$CC20="Cut-A-Way",DX20,IF('GHG Calcs'!$CC20="Over-Road Coach",ED20,0))))</f>
        <v>0</v>
      </c>
      <c r="DM42" s="1419">
        <f ca="1">IF('GHG Calcs'!$CC20="Transit Bus",DM20,IF('GHG Calcs'!$CC20="Van",DS20,IF('GHG Calcs'!$CC20="Cut-A-Way",DY20,IF('GHG Calcs'!$CC20="Over-Road Coach",EE20*IF(OR('GHG Calcs'!CD20=Defaults!$I$5,'GHG Calcs'!CD20=Defaults!$I$7,'GHG Calcs'!CD20=Defaults!$I$11),0.5,1),0))))</f>
        <v>0</v>
      </c>
      <c r="DN42" s="306">
        <f ca="1">IF(OR('GHG Calcs'!CD20=Defaults!$I$5,'GHG Calcs'!CD20=Defaults!$I$7,'GHG Calcs'!CD20=Defaults!$I$11,'GHG Calcs'!CD20=Defaults!$I$3,'GHG Calcs'!CD20=Defaults!$I$8,'GHG Calcs'!CD20=Defaults!$I$12),0,IF('GHG Calcs'!$CC20="Transit Bus",DN20,IF('GHG Calcs'!$CC20="Van",DT20,IF('GHG Calcs'!$CC20="Cut-A-Way",DZ20,IF('GHG Calcs'!$CC20="Over-Road Coach",EF20,IF('GHG Calcs'!$CC20="Heavy Rail",EJ20,IF('GHG Calcs'!$CC20="DMU / EMU",EN20,IF('GHG Calcs'!$CC20="Ferry",ER20,0))))))))</f>
        <v>0</v>
      </c>
      <c r="DO42" s="1378">
        <f ca="1">DI42*'GHG Calcs'!$CE20*('GHG Calcs'!$I20-'GHG Calcs'!$H20)</f>
        <v>0</v>
      </c>
      <c r="DP42" s="1378">
        <f ca="1">DJ42*'GHG Calcs'!$CE20*('GHG Calcs'!$I20-'GHG Calcs'!$H20)</f>
        <v>0</v>
      </c>
      <c r="DQ42" s="1378">
        <f ca="1">(DK42+DL42+DM42)*'GHG Calcs'!$CE20*('GHG Calcs'!$I20-'GHG Calcs'!$H20)</f>
        <v>0</v>
      </c>
      <c r="DR42" s="1378">
        <f ca="1">DN42*'GHG Calcs'!$CE20*('GHG Calcs'!$I20-'GHG Calcs'!$H20)</f>
        <v>0</v>
      </c>
    </row>
    <row r="43" spans="16:122" s="117" customFormat="1" ht="19.5" customHeight="1" x14ac:dyDescent="0.35">
      <c r="T43" s="1646">
        <v>4</v>
      </c>
      <c r="U43" s="1368">
        <v>1</v>
      </c>
      <c r="V43" s="306">
        <f ca="1">IF(OR('GHG Calcs'!AD21=Defaults!$I$5,'GHG Calcs'!AD21=Defaults!$I$7,'GHG Calcs'!AD21=Defaults!$I$11),0,IF('GHG Calcs'!$AC21="Transit Bus",V21,IF('GHG Calcs'!$AC21="Van",AB21,IF('GHG Calcs'!$AC21="Cut-A-Way",AH21,IF('GHG Calcs'!$AC21="Over-Road Coach",AN21,IF('GHG Calcs'!$AC21="Heavy Rail",$AT21,IF('GHG Calcs'!$AC21="DMU / EMU",$AX21,IF('GHG Calcs'!$AC21="Ferry",BB21,0))))))))</f>
        <v>0</v>
      </c>
      <c r="W43" s="306">
        <f ca="1">IF(OR('GHG Calcs'!AD21=Defaults!$I$5,'GHG Calcs'!AD21=Defaults!$I$7,'GHG Calcs'!AD21=Defaults!$I$11),0,IF('GHG Calcs'!$AC21="Transit Bus",W21,IF('GHG Calcs'!$AC21="Van",AC21,IF('GHG Calcs'!$AC21="Cut-A-Way",AI21,IF('GHG Calcs'!$AC21="Over-Road Coach",AO21,IF('GHG Calcs'!$AC21="Heavy Rail",$AU21,IF('GHG Calcs'!$AC21="DMU / EMU",$AY21,IF('GHG Calcs'!$AC21="Ferry",BC21,0))))))))</f>
        <v>0</v>
      </c>
      <c r="X43" s="306">
        <f ca="1">IF(OR('GHG Calcs'!AD21=Defaults!$I$5,'GHG Calcs'!AD21=Defaults!$I$7,'GHG Calcs'!AD21=Defaults!$I$11),0,IF('GHG Calcs'!$AC21="Transit Bus",X21,IF('GHG Calcs'!$AC21="Van",AD21,IF('GHG Calcs'!$AC21="Cut-A-Way",AJ21,IF('GHG Calcs'!$AC21="Over-Road Coach",AP21,IF('GHG Calcs'!$AC21="Heavy Rail",$AV21,IF('GHG Calcs'!$AC21="DMU / EMU",$AZ21,IF('GHG Calcs'!$AC21="Ferry",BD21,0))))))))</f>
        <v>0</v>
      </c>
      <c r="Y43" s="306">
        <f ca="1">IF('GHG Calcs'!$AC21="Transit Bus",Y21,IF('GHG Calcs'!$AC21="Van",AE21,IF('GHG Calcs'!$AC21="Cut-A-Way",AK21,IF('GHG Calcs'!$AC21="Over-Road Coach",AQ21,0))))</f>
        <v>0</v>
      </c>
      <c r="Z43" s="1419">
        <f ca="1">IF('GHG Calcs'!$AC21="Transit Bus",Z21,IF('GHG Calcs'!$AC21="Van",AF21,IF('GHG Calcs'!$AC21="Cut-A-Way",AL21,IF('GHG Calcs'!$AC21="Over-Road Coach",AR21*IF(OR('GHG Calcs'!AV21="Yes",'GHG Calcs'!AD21=Defaults!$I$5,'GHG Calcs'!AD21=Defaults!$I$7,'GHG Calcs'!AD21=Defaults!$I$11),0.5,1),0))))</f>
        <v>0</v>
      </c>
      <c r="AA43" s="306">
        <f ca="1">IF(OR('GHG Calcs'!AD21=Defaults!$I$5,'GHG Calcs'!AD21=Defaults!$I$7,'GHG Calcs'!AD21=Defaults!$I$11,'GHG Calcs'!AD21=Defaults!$I$3,'GHG Calcs'!AD21=Defaults!$I$8,'GHG Calcs'!AD21=Defaults!$I$12),0,IF('GHG Calcs'!$AC21="Transit Bus",AA21,IF('GHG Calcs'!$AC21="Van",AG21,IF('GHG Calcs'!$AC21="Cut-A-Way",AM21,IF('GHG Calcs'!$AC21="Over-Road Coach",AS21,IF('GHG Calcs'!$AC21="Heavy Rail",$AW21,IF('GHG Calcs'!$AC21="DMU / EMU",$BA21,IF('GHG Calcs'!$AC21="Ferry",BE21,0))))))))</f>
        <v>0</v>
      </c>
      <c r="AB43" s="1378">
        <f ca="1">(IF(AND('GHG Calcs'!AV21="yes",NOT('GHG Calcs'!AD21=Defaults!$I$5),NOT('GHG Calcs'!AD21=Defaults!$I$7),NOT('GHG Calcs'!AD21=Defaults!$I$11)),0.8,1))*IF('GHG Calcs'!$AE21&gt;0,V43*'GHG Calcs'!$AE21,V43*'GHG Calcs'!$AI21)*('GHG Calcs'!$I21-'GHG Calcs'!$H21)</f>
        <v>0</v>
      </c>
      <c r="AC43" s="1378">
        <f ca="1">(IF(AND('GHG Calcs'!AV21="yes",NOT('GHG Calcs'!AD21=Defaults!$I$5),NOT('GHG Calcs'!AD21=Defaults!$I$7),NOT('GHG Calcs'!AD21=Defaults!$I$11)),0.8,1))*IF('GHG Calcs'!$AE21&gt;0,W43*'GHG Calcs'!$AE21,W43*'GHG Calcs'!$AI21)*('GHG Calcs'!$I21-'GHG Calcs'!$H21)</f>
        <v>0</v>
      </c>
      <c r="AD43" s="1378">
        <f ca="1">((IF(AND('GHG Calcs'!AV21="yes",NOT('GHG Calcs'!AD21=Defaults!$I$5),NOT('GHG Calcs'!AD21=Defaults!$I$7),NOT('GHG Calcs'!AD21=Defaults!$I$11)),0.8,1)*X43)+Y43+Z43)*IF('GHG Calcs'!$AE21&gt;0,'GHG Calcs'!$AE21,'GHG Calcs'!$AI21)*('GHG Calcs'!$I21-'GHG Calcs'!$H21)</f>
        <v>0</v>
      </c>
      <c r="AE43" s="1378">
        <f ca="1">(IF(AND('GHG Calcs'!AV21="yes",NOT('GHG Calcs'!AD21=Defaults!$I$5),NOT('GHG Calcs'!AD21=Defaults!$I$7),NOT('GHG Calcs'!AD21=Defaults!$I$11)),0.8,1))*IF('GHG Calcs'!$AE21&gt;0,AA43*'GHG Calcs'!$AE21,AA43*'GHG Calcs'!$AI21)*('GHG Calcs'!$I21-'GHG Calcs'!$H21)</f>
        <v>0</v>
      </c>
      <c r="BN43" s="1646">
        <v>4</v>
      </c>
      <c r="BO43" s="1368">
        <v>1</v>
      </c>
      <c r="BP43" s="306">
        <f ca="1">IF(OR('GHG Calcs'!BD21=Defaults!$I$5,'GHG Calcs'!BD21=Defaults!$I$7,'GHG Calcs'!BD21=Defaults!$I$11),0,IF('GHG Calcs'!$BC21="Transit Bus",BP21,IF('GHG Calcs'!$BC21="Van",BV21,IF('GHG Calcs'!$BC21="Cut-A-Way",CB21,IF('GHG Calcs'!$BC21="Over-Road Coach",CH21,IF('GHG Calcs'!$BC21="Heavy Rail",$CN21,IF('GHG Calcs'!$BC21="DMU / EMU",$CR21,IF('GHG Calcs'!$BC21="Ferry",$CV21,0))))))))</f>
        <v>0</v>
      </c>
      <c r="BQ43" s="306">
        <f ca="1">IF(OR('GHG Calcs'!BD21=Defaults!$I$5,'GHG Calcs'!BD21=Defaults!$I$7,'GHG Calcs'!BD21=Defaults!$I$11),0,IF('GHG Calcs'!$BC21="Transit Bus",BQ21,IF('GHG Calcs'!$BC21="Van",BW21,IF('GHG Calcs'!$BC21="Cut-A-Way",CC21,IF('GHG Calcs'!$BC21="Over-Road Coach",CI21,IF('GHG Calcs'!$BC21="Heavy Rail",$CO21,IF('GHG Calcs'!$BC21="DMU / EMU",$CS21,IF('GHG Calcs'!$BC21="Ferry",$CW21,0))))))))</f>
        <v>0</v>
      </c>
      <c r="BR43" s="306">
        <f ca="1">IF(OR('GHG Calcs'!BD21=Defaults!$I$5,'GHG Calcs'!BD21=Defaults!$I$7,'GHG Calcs'!BD21=Defaults!$I$11),0,IF('GHG Calcs'!$BC21="Transit Bus",BR21,IF('GHG Calcs'!$BC21="Van",BX21,IF('GHG Calcs'!$BC21="Cut-A-Way",CD21,IF('GHG Calcs'!$BC21="Over-Road Coach",CJ21,IF('GHG Calcs'!$BC21="Heavy Rail",$CP21,IF('GHG Calcs'!$BC21="DMU / EMU",$CT21,IF('GHG Calcs'!$BC21="Ferry",$CX21,0))))))))</f>
        <v>0</v>
      </c>
      <c r="BS43" s="306">
        <f ca="1">IF('GHG Calcs'!$BC21="Transit Bus",BS21,IF('GHG Calcs'!$BC21="Van",BY21,IF('GHG Calcs'!$BC21="Cut-A-Way",CE21,IF('GHG Calcs'!$BC21="Over-Road Coach",CK21,0))))</f>
        <v>0</v>
      </c>
      <c r="BT43" s="1419">
        <f ca="1">IF('GHG Calcs'!$BC21="Transit Bus",BT21,IF('GHG Calcs'!$BC21="Van",BZ21,IF('GHG Calcs'!$BC21="Cut-A-Way",CF21,IF('GHG Calcs'!$BC21="Over-Road Coach",CL21*IF(OR('GHG Calcs'!BV21="Yes",'GHG Calcs'!BD21=Defaults!$I$5,'GHG Calcs'!BD21=Defaults!$I$7,'GHG Calcs'!BD21=Defaults!$I$11),0.5,1),0))))</f>
        <v>0</v>
      </c>
      <c r="BU43" s="306">
        <f ca="1">IF(OR('GHG Calcs'!BD21=Defaults!$I$5,'GHG Calcs'!BD21=Defaults!$I$7,'GHG Calcs'!BD21=Defaults!$I$11,'GHG Calcs'!BD21=Defaults!$I$3,'GHG Calcs'!BD21=Defaults!$I$8,'GHG Calcs'!BD21=Defaults!$I$12),0,IF('GHG Calcs'!$BC21="Transit Bus",BU21,IF('GHG Calcs'!$BC21="Van",CA21,IF('GHG Calcs'!$BC21="Cut-A-Way",CG21,IF('GHG Calcs'!$BC21="Over-Road Coach",CM21,IF('GHG Calcs'!$BC21="Heavy Rail",$CQ21,IF('GHG Calcs'!$BC21="DMU / EMU",$CU21,IF('GHG Calcs'!$BC21="Ferry",$CY21,0))))))))</f>
        <v>0</v>
      </c>
      <c r="BV43" s="1378">
        <f ca="1">(IF(AND('GHG Calcs'!BV21="yes",NOT('GHG Calcs'!BD21=Defaults!$I$5),NOT('GHG Calcs'!BD21=Defaults!$I$7),NOT('GHG Calcs'!BD21=Defaults!$I$11)),0.8,1))*IF('GHG Calcs'!$BE21&gt;0,BP43*'GHG Calcs'!$BE21,BP43*'GHG Calcs'!$BH21)*('GHG Calcs'!$I21-'GHG Calcs'!$H21)</f>
        <v>0</v>
      </c>
      <c r="BW43" s="1378">
        <f ca="1">(IF(AND('GHG Calcs'!BV21="yes",NOT('GHG Calcs'!BD21=Defaults!$I$5),NOT('GHG Calcs'!BD21=Defaults!$I$7),NOT('GHG Calcs'!BD21=Defaults!$I$11)),0.8,1))*IF('GHG Calcs'!$BE21&gt;0,BQ43*'GHG Calcs'!$BE21,BQ43*'GHG Calcs'!$BH21)*('GHG Calcs'!$I21-'GHG Calcs'!$H21)</f>
        <v>0</v>
      </c>
      <c r="BX43" s="1378">
        <f ca="1">((IF(AND('GHG Calcs'!BV21="yes",NOT('GHG Calcs'!BD21=Defaults!$I$5),NOT('GHG Calcs'!BD21=Defaults!$I$7),NOT('GHG Calcs'!BD21=Defaults!$I$11)),0.8,1)*BR43)+BS43+BT43)*IF('GHG Calcs'!$BE21&gt;0,'GHG Calcs'!$BE21,'GHG Calcs'!$BH21)*('GHG Calcs'!$I21-'GHG Calcs'!$H21)</f>
        <v>0</v>
      </c>
      <c r="BY43" s="1378">
        <f ca="1">(IF(AND('GHG Calcs'!BV21="yes",NOT('GHG Calcs'!BD21=Defaults!$I$5),NOT('GHG Calcs'!BD21=Defaults!$I$7),NOT('GHG Calcs'!BD21=Defaults!$I$11)),0.8,1))*IF('GHG Calcs'!$BE21&gt;0,BU43*'GHG Calcs'!$BE21,BU43*'GHG Calcs'!$BH21)*('GHG Calcs'!$I21-'GHG Calcs'!$H21)</f>
        <v>0</v>
      </c>
      <c r="DG43" s="1646">
        <v>4</v>
      </c>
      <c r="DH43" s="1368">
        <v>1</v>
      </c>
      <c r="DI43" s="306">
        <f ca="1">IF(OR('GHG Calcs'!CD21=Defaults!$I$5,'GHG Calcs'!CD21=Defaults!$I$7,'GHG Calcs'!CD21=Defaults!$I$11),0,IF('GHG Calcs'!$CC21="Transit Bus",DI21,IF('GHG Calcs'!$CC21="Van",DO21,IF('GHG Calcs'!$CC21="Cut-A-Way",DU21,IF('GHG Calcs'!$CC21="Over-Road Coach",EA21,IF('GHG Calcs'!$CC21="Heavy Rail",EG21,IF('GHG Calcs'!$CC21="DMU / EMU",EK21,IF('GHG Calcs'!$CC21="Ferry",EO21,0))))))))</f>
        <v>0</v>
      </c>
      <c r="DJ43" s="306">
        <f ca="1">IF(OR('GHG Calcs'!CD21=Defaults!$I$5,'GHG Calcs'!CD21=Defaults!$I$7,'GHG Calcs'!CD21=Defaults!$I$11),0,IF('GHG Calcs'!$CC21="Transit Bus",DJ21,IF('GHG Calcs'!$CC21="Van",DP21,IF('GHG Calcs'!$CC21="Cut-A-Way",DV21,IF('GHG Calcs'!$CC21="Over-Road Coach",EB21,IF('GHG Calcs'!$CC21="Heavy Rail",EH21,IF('GHG Calcs'!$CC21="DMU / EMU",EL21,IF('GHG Calcs'!$CC21="Ferry",EP21,0))))))))</f>
        <v>0</v>
      </c>
      <c r="DK43" s="306">
        <f ca="1">IF(OR('GHG Calcs'!CD21=Defaults!$I$5,'GHG Calcs'!CD21=Defaults!$I$7,'GHG Calcs'!CD21=Defaults!$I$11),0,IF('GHG Calcs'!$CC21="Transit Bus",DK21,IF('GHG Calcs'!$CC21="Van",DQ21,IF('GHG Calcs'!$CC21="Cut-A-Way",DW21,IF('GHG Calcs'!$CC21="Over-Road Coach",EC21,IF('GHG Calcs'!$CC21="Heavy Rail",EI21,IF('GHG Calcs'!$CC21="DMU / EMU",EM21,IF('GHG Calcs'!$CC21="Ferry",EQ21,0))))))))</f>
        <v>0</v>
      </c>
      <c r="DL43" s="306">
        <f ca="1">IF('GHG Calcs'!$CC21="Transit Bus",DL21,IF('GHG Calcs'!$CC21="Van",DR21,IF('GHG Calcs'!$CC21="Cut-A-Way",DX21,IF('GHG Calcs'!$CC21="Over-Road Coach",ED21,0))))</f>
        <v>0</v>
      </c>
      <c r="DM43" s="1419">
        <f ca="1">IF('GHG Calcs'!$CC21="Transit Bus",DM21,IF('GHG Calcs'!$CC21="Van",DS21,IF('GHG Calcs'!$CC21="Cut-A-Way",DY21,IF('GHG Calcs'!$CC21="Over-Road Coach",EE21*IF(OR('GHG Calcs'!CD21=Defaults!$I$5,'GHG Calcs'!CD21=Defaults!$I$7,'GHG Calcs'!CD21=Defaults!$I$11),0.5,1),0))))</f>
        <v>0</v>
      </c>
      <c r="DN43" s="306">
        <f ca="1">IF(OR('GHG Calcs'!CD21=Defaults!$I$5,'GHG Calcs'!CD21=Defaults!$I$7,'GHG Calcs'!CD21=Defaults!$I$11,'GHG Calcs'!CD21=Defaults!$I$3,'GHG Calcs'!CD21=Defaults!$I$8,'GHG Calcs'!CD21=Defaults!$I$12),0,IF('GHG Calcs'!$CC21="Transit Bus",DN21,IF('GHG Calcs'!$CC21="Van",DT21,IF('GHG Calcs'!$CC21="Cut-A-Way",DZ21,IF('GHG Calcs'!$CC21="Over-Road Coach",EF21,IF('GHG Calcs'!$CC21="Heavy Rail",EJ21,IF('GHG Calcs'!$CC21="DMU / EMU",EN21,IF('GHG Calcs'!$CC21="Ferry",ER21,0))))))))</f>
        <v>0</v>
      </c>
      <c r="DO43" s="1378">
        <f ca="1">DI43*'GHG Calcs'!$CE21*('GHG Calcs'!$I21-'GHG Calcs'!$H21)</f>
        <v>0</v>
      </c>
      <c r="DP43" s="1378">
        <f ca="1">DJ43*'GHG Calcs'!$CE21*('GHG Calcs'!$I21-'GHG Calcs'!$H21)</f>
        <v>0</v>
      </c>
      <c r="DQ43" s="1378">
        <f ca="1">(DK43+DL43+DM43)*'GHG Calcs'!$CE21*('GHG Calcs'!$I21-'GHG Calcs'!$H21)</f>
        <v>0</v>
      </c>
      <c r="DR43" s="1378">
        <f ca="1">DN43*'GHG Calcs'!$CE21*('GHG Calcs'!$I21-'GHG Calcs'!$H21)</f>
        <v>0</v>
      </c>
    </row>
    <row r="44" spans="16:122" s="117" customFormat="1" ht="19.5" customHeight="1" x14ac:dyDescent="0.35">
      <c r="T44" s="1647"/>
      <c r="U44" s="1368">
        <v>2</v>
      </c>
      <c r="V44" s="306">
        <f ca="1">IF(OR('GHG Calcs'!AD22=Defaults!$I$5,'GHG Calcs'!AD22=Defaults!$I$7,'GHG Calcs'!AD22=Defaults!$I$11),0,IF('GHG Calcs'!$AC22="Transit Bus",V22,IF('GHG Calcs'!$AC22="Van",AB22,IF('GHG Calcs'!$AC22="Cut-A-Way",AH22,IF('GHG Calcs'!$AC22="Over-Road Coach",AN22,IF('GHG Calcs'!$AC22="Heavy Rail",$AT22,IF('GHG Calcs'!$AC22="DMU / EMU",$AX22,IF('GHG Calcs'!$AC22="Ferry",BB22,0))))))))</f>
        <v>0</v>
      </c>
      <c r="W44" s="306">
        <f ca="1">IF(OR('GHG Calcs'!AD22=Defaults!$I$5,'GHG Calcs'!AD22=Defaults!$I$7,'GHG Calcs'!AD22=Defaults!$I$11),0,IF('GHG Calcs'!$AC22="Transit Bus",W22,IF('GHG Calcs'!$AC22="Van",AC22,IF('GHG Calcs'!$AC22="Cut-A-Way",AI22,IF('GHG Calcs'!$AC22="Over-Road Coach",AO22,IF('GHG Calcs'!$AC22="Heavy Rail",$AU22,IF('GHG Calcs'!$AC22="DMU / EMU",$AY22,IF('GHG Calcs'!$AC22="Ferry",BC22,0))))))))</f>
        <v>0</v>
      </c>
      <c r="X44" s="306">
        <f ca="1">IF(OR('GHG Calcs'!AD22=Defaults!$I$5,'GHG Calcs'!AD22=Defaults!$I$7,'GHG Calcs'!AD22=Defaults!$I$11),0,IF('GHG Calcs'!$AC22="Transit Bus",X22,IF('GHG Calcs'!$AC22="Van",AD22,IF('GHG Calcs'!$AC22="Cut-A-Way",AJ22,IF('GHG Calcs'!$AC22="Over-Road Coach",AP22,IF('GHG Calcs'!$AC22="Heavy Rail",$AV22,IF('GHG Calcs'!$AC22="DMU / EMU",$AZ22,IF('GHG Calcs'!$AC22="Ferry",BD22,0))))))))</f>
        <v>0</v>
      </c>
      <c r="Y44" s="306">
        <f ca="1">IF('GHG Calcs'!$AC22="Transit Bus",Y22,IF('GHG Calcs'!$AC22="Van",AE22,IF('GHG Calcs'!$AC22="Cut-A-Way",AK22,IF('GHG Calcs'!$AC22="Over-Road Coach",AQ22,0))))</f>
        <v>0</v>
      </c>
      <c r="Z44" s="1419">
        <f ca="1">IF('GHG Calcs'!$AC22="Transit Bus",Z22,IF('GHG Calcs'!$AC22="Van",AF22,IF('GHG Calcs'!$AC22="Cut-A-Way",AL22,IF('GHG Calcs'!$AC22="Over-Road Coach",AR22*IF(OR('GHG Calcs'!AV22="Yes",'GHG Calcs'!AD22=Defaults!$I$5,'GHG Calcs'!AD22=Defaults!$I$7,'GHG Calcs'!AD22=Defaults!$I$11),0.5,1),0))))</f>
        <v>0</v>
      </c>
      <c r="AA44" s="306">
        <f ca="1">IF(OR('GHG Calcs'!AD22=Defaults!$I$5,'GHG Calcs'!AD22=Defaults!$I$7,'GHG Calcs'!AD22=Defaults!$I$11,'GHG Calcs'!AD22=Defaults!$I$3,'GHG Calcs'!AD22=Defaults!$I$8,'GHG Calcs'!AD22=Defaults!$I$12),0,IF('GHG Calcs'!$AC22="Transit Bus",AA22,IF('GHG Calcs'!$AC22="Van",AG22,IF('GHG Calcs'!$AC22="Cut-A-Way",AM22,IF('GHG Calcs'!$AC22="Over-Road Coach",AS22,IF('GHG Calcs'!$AC22="Heavy Rail",$AW22,IF('GHG Calcs'!$AC22="DMU / EMU",$BA22,IF('GHG Calcs'!$AC22="Ferry",BE22,0))))))))</f>
        <v>0</v>
      </c>
      <c r="AB44" s="1378">
        <f ca="1">(IF(AND('GHG Calcs'!AV22="yes",NOT('GHG Calcs'!AD22=Defaults!$I$5),NOT('GHG Calcs'!AD22=Defaults!$I$7),NOT('GHG Calcs'!AD22=Defaults!$I$11)),0.8,1))*IF('GHG Calcs'!$AE22&gt;0,V44*'GHG Calcs'!$AE22,V44*'GHG Calcs'!$AI22)*('GHG Calcs'!$I22-'GHG Calcs'!$H22)</f>
        <v>0</v>
      </c>
      <c r="AC44" s="1378">
        <f ca="1">(IF(AND('GHG Calcs'!AV22="yes",NOT('GHG Calcs'!AD22=Defaults!$I$5),NOT('GHG Calcs'!AD22=Defaults!$I$7),NOT('GHG Calcs'!AD22=Defaults!$I$11)),0.8,1))*IF('GHG Calcs'!$AE22&gt;0,W44*'GHG Calcs'!$AE22,W44*'GHG Calcs'!$AI22)*('GHG Calcs'!$I22-'GHG Calcs'!$H22)</f>
        <v>0</v>
      </c>
      <c r="AD44" s="1378">
        <f ca="1">((IF(AND('GHG Calcs'!AV22="yes",NOT('GHG Calcs'!AD22=Defaults!$I$5),NOT('GHG Calcs'!AD22=Defaults!$I$7),NOT('GHG Calcs'!AD22=Defaults!$I$11)),0.8,1)*X44)+Y44+Z44)*IF('GHG Calcs'!$AE22&gt;0,'GHG Calcs'!$AE22,'GHG Calcs'!$AI22)*('GHG Calcs'!$I22-'GHG Calcs'!$H22)</f>
        <v>0</v>
      </c>
      <c r="AE44" s="1378">
        <f ca="1">(IF(AND('GHG Calcs'!AV22="yes",NOT('GHG Calcs'!AD22=Defaults!$I$5),NOT('GHG Calcs'!AD22=Defaults!$I$7),NOT('GHG Calcs'!AD22=Defaults!$I$11)),0.8,1))*IF('GHG Calcs'!$AE22&gt;0,AA44*'GHG Calcs'!$AE22,AA44*'GHG Calcs'!$AI22)*('GHG Calcs'!$I22-'GHG Calcs'!$H22)</f>
        <v>0</v>
      </c>
      <c r="BN44" s="1647"/>
      <c r="BO44" s="1368">
        <v>2</v>
      </c>
      <c r="BP44" s="306">
        <f ca="1">IF(OR('GHG Calcs'!BD22=Defaults!$I$5,'GHG Calcs'!BD22=Defaults!$I$7,'GHG Calcs'!BD22=Defaults!$I$11),0,IF('GHG Calcs'!$BC22="Transit Bus",BP22,IF('GHG Calcs'!$BC22="Van",BV22,IF('GHG Calcs'!$BC22="Cut-A-Way",CB22,IF('GHG Calcs'!$BC22="Over-Road Coach",CH22,IF('GHG Calcs'!$BC22="Heavy Rail",$CN22,IF('GHG Calcs'!$BC22="DMU / EMU",$CR22,IF('GHG Calcs'!$BC22="Ferry",$CV22,0))))))))</f>
        <v>0</v>
      </c>
      <c r="BQ44" s="306">
        <f ca="1">IF(OR('GHG Calcs'!BD22=Defaults!$I$5,'GHG Calcs'!BD22=Defaults!$I$7,'GHG Calcs'!BD22=Defaults!$I$11),0,IF('GHG Calcs'!$BC22="Transit Bus",BQ22,IF('GHG Calcs'!$BC22="Van",BW22,IF('GHG Calcs'!$BC22="Cut-A-Way",CC22,IF('GHG Calcs'!$BC22="Over-Road Coach",CI22,IF('GHG Calcs'!$BC22="Heavy Rail",$CO22,IF('GHG Calcs'!$BC22="DMU / EMU",$CS22,IF('GHG Calcs'!$BC22="Ferry",$CW22,0))))))))</f>
        <v>0</v>
      </c>
      <c r="BR44" s="306">
        <f ca="1">IF(OR('GHG Calcs'!BD22=Defaults!$I$5,'GHG Calcs'!BD22=Defaults!$I$7,'GHG Calcs'!BD22=Defaults!$I$11),0,IF('GHG Calcs'!$BC22="Transit Bus",BR22,IF('GHG Calcs'!$BC22="Van",BX22,IF('GHG Calcs'!$BC22="Cut-A-Way",CD22,IF('GHG Calcs'!$BC22="Over-Road Coach",CJ22,IF('GHG Calcs'!$BC22="Heavy Rail",$CP22,IF('GHG Calcs'!$BC22="DMU / EMU",$CT22,IF('GHG Calcs'!$BC22="Ferry",$CX22,0))))))))</f>
        <v>0</v>
      </c>
      <c r="BS44" s="306">
        <f ca="1">IF('GHG Calcs'!$BC22="Transit Bus",BS22,IF('GHG Calcs'!$BC22="Van",BY22,IF('GHG Calcs'!$BC22="Cut-A-Way",CE22,IF('GHG Calcs'!$BC22="Over-Road Coach",CK22,0))))</f>
        <v>0</v>
      </c>
      <c r="BT44" s="1419">
        <f ca="1">IF('GHG Calcs'!$BC22="Transit Bus",BT22,IF('GHG Calcs'!$BC22="Van",BZ22,IF('GHG Calcs'!$BC22="Cut-A-Way",CF22,IF('GHG Calcs'!$BC22="Over-Road Coach",CL22*IF(OR('GHG Calcs'!BV22="Yes",'GHG Calcs'!BD22=Defaults!$I$5,'GHG Calcs'!BD22=Defaults!$I$7,'GHG Calcs'!BD22=Defaults!$I$11),0.5,1),0))))</f>
        <v>0</v>
      </c>
      <c r="BU44" s="306">
        <f ca="1">IF(OR('GHG Calcs'!BD22=Defaults!$I$5,'GHG Calcs'!BD22=Defaults!$I$7,'GHG Calcs'!BD22=Defaults!$I$11,'GHG Calcs'!BD22=Defaults!$I$3,'GHG Calcs'!BD22=Defaults!$I$8,'GHG Calcs'!BD22=Defaults!$I$12),0,IF('GHG Calcs'!$BC22="Transit Bus",BU22,IF('GHG Calcs'!$BC22="Van",CA22,IF('GHG Calcs'!$BC22="Cut-A-Way",CG22,IF('GHG Calcs'!$BC22="Over-Road Coach",CM22,IF('GHG Calcs'!$BC22="Heavy Rail",$CQ22,IF('GHG Calcs'!$BC22="DMU / EMU",$CU22,IF('GHG Calcs'!$BC22="Ferry",$CY22,0))))))))</f>
        <v>0</v>
      </c>
      <c r="BV44" s="1378">
        <f ca="1">(IF(AND('GHG Calcs'!BV22="yes",NOT('GHG Calcs'!BD22=Defaults!$I$5),NOT('GHG Calcs'!BD22=Defaults!$I$7),NOT('GHG Calcs'!BD22=Defaults!$I$11)),0.8,1))*IF('GHG Calcs'!$BE22&gt;0,BP44*'GHG Calcs'!$BE22,BP44*'GHG Calcs'!$BH22)*('GHG Calcs'!$I22-'GHG Calcs'!$H22)</f>
        <v>0</v>
      </c>
      <c r="BW44" s="1378">
        <f ca="1">(IF(AND('GHG Calcs'!BV22="yes",NOT('GHG Calcs'!BD22=Defaults!$I$5),NOT('GHG Calcs'!BD22=Defaults!$I$7),NOT('GHG Calcs'!BD22=Defaults!$I$11)),0.8,1))*IF('GHG Calcs'!$BE22&gt;0,BQ44*'GHG Calcs'!$BE22,BQ44*'GHG Calcs'!$BH22)*('GHG Calcs'!$I22-'GHG Calcs'!$H22)</f>
        <v>0</v>
      </c>
      <c r="BX44" s="1378">
        <f ca="1">((IF(AND('GHG Calcs'!BV22="yes",NOT('GHG Calcs'!BD22=Defaults!$I$5),NOT('GHG Calcs'!BD22=Defaults!$I$7),NOT('GHG Calcs'!BD22=Defaults!$I$11)),0.8,1)*BR44)+BS44+BT44)*IF('GHG Calcs'!$BE22&gt;0,'GHG Calcs'!$BE22,'GHG Calcs'!$BH22)*('GHG Calcs'!$I22-'GHG Calcs'!$H22)</f>
        <v>0</v>
      </c>
      <c r="BY44" s="1378">
        <f ca="1">(IF(AND('GHG Calcs'!BV22="yes",NOT('GHG Calcs'!BD22=Defaults!$I$5),NOT('GHG Calcs'!BD22=Defaults!$I$7),NOT('GHG Calcs'!BD22=Defaults!$I$11)),0.8,1))*IF('GHG Calcs'!$BE22&gt;0,BU44*'GHG Calcs'!$BE22,BU44*'GHG Calcs'!$BH22)*('GHG Calcs'!$I22-'GHG Calcs'!$H22)</f>
        <v>0</v>
      </c>
      <c r="DG44" s="1647"/>
      <c r="DH44" s="1368">
        <v>2</v>
      </c>
      <c r="DI44" s="306">
        <f ca="1">IF(OR('GHG Calcs'!CD22=Defaults!$I$5,'GHG Calcs'!CD22=Defaults!$I$7,'GHG Calcs'!CD22=Defaults!$I$11),0,IF('GHG Calcs'!$CC22="Transit Bus",DI22,IF('GHG Calcs'!$CC22="Van",DO22,IF('GHG Calcs'!$CC22="Cut-A-Way",DU22,IF('GHG Calcs'!$CC22="Over-Road Coach",EA22,IF('GHG Calcs'!$CC22="Heavy Rail",EG22,IF('GHG Calcs'!$CC22="DMU / EMU",EK22,IF('GHG Calcs'!$CC22="Ferry",EO22,0))))))))</f>
        <v>0</v>
      </c>
      <c r="DJ44" s="306">
        <f ca="1">IF(OR('GHG Calcs'!CD22=Defaults!$I$5,'GHG Calcs'!CD22=Defaults!$I$7,'GHG Calcs'!CD22=Defaults!$I$11),0,IF('GHG Calcs'!$CC22="Transit Bus",DJ22,IF('GHG Calcs'!$CC22="Van",DP22,IF('GHG Calcs'!$CC22="Cut-A-Way",DV22,IF('GHG Calcs'!$CC22="Over-Road Coach",EB22,IF('GHG Calcs'!$CC22="Heavy Rail",EH22,IF('GHG Calcs'!$CC22="DMU / EMU",EL22,IF('GHG Calcs'!$CC22="Ferry",EP22,0))))))))</f>
        <v>0</v>
      </c>
      <c r="DK44" s="306">
        <f ca="1">IF(OR('GHG Calcs'!CD22=Defaults!$I$5,'GHG Calcs'!CD22=Defaults!$I$7,'GHG Calcs'!CD22=Defaults!$I$11),0,IF('GHG Calcs'!$CC22="Transit Bus",DK22,IF('GHG Calcs'!$CC22="Van",DQ22,IF('GHG Calcs'!$CC22="Cut-A-Way",DW22,IF('GHG Calcs'!$CC22="Over-Road Coach",EC22,IF('GHG Calcs'!$CC22="Heavy Rail",EI22,IF('GHG Calcs'!$CC22="DMU / EMU",EM22,IF('GHG Calcs'!$CC22="Ferry",EQ22,0))))))))</f>
        <v>0</v>
      </c>
      <c r="DL44" s="306">
        <f ca="1">IF('GHG Calcs'!$CC22="Transit Bus",DL22,IF('GHG Calcs'!$CC22="Van",DR22,IF('GHG Calcs'!$CC22="Cut-A-Way",DX22,IF('GHG Calcs'!$CC22="Over-Road Coach",ED22,0))))</f>
        <v>0</v>
      </c>
      <c r="DM44" s="1419">
        <f ca="1">IF('GHG Calcs'!$CC22="Transit Bus",DM22,IF('GHG Calcs'!$CC22="Van",DS22,IF('GHG Calcs'!$CC22="Cut-A-Way",DY22,IF('GHG Calcs'!$CC22="Over-Road Coach",EE22*IF(OR('GHG Calcs'!CD22=Defaults!$I$5,'GHG Calcs'!CD22=Defaults!$I$7,'GHG Calcs'!CD22=Defaults!$I$11),0.5,1),0))))</f>
        <v>0</v>
      </c>
      <c r="DN44" s="306">
        <f ca="1">IF(OR('GHG Calcs'!CD22=Defaults!$I$5,'GHG Calcs'!CD22=Defaults!$I$7,'GHG Calcs'!CD22=Defaults!$I$11,'GHG Calcs'!CD22=Defaults!$I$3,'GHG Calcs'!CD22=Defaults!$I$8,'GHG Calcs'!CD22=Defaults!$I$12),0,IF('GHG Calcs'!$CC22="Transit Bus",DN22,IF('GHG Calcs'!$CC22="Van",DT22,IF('GHG Calcs'!$CC22="Cut-A-Way",DZ22,IF('GHG Calcs'!$CC22="Over-Road Coach",EF22,IF('GHG Calcs'!$CC22="Heavy Rail",EJ22,IF('GHG Calcs'!$CC22="DMU / EMU",EN22,IF('GHG Calcs'!$CC22="Ferry",ER22,0))))))))</f>
        <v>0</v>
      </c>
      <c r="DO44" s="1378">
        <f ca="1">DI44*'GHG Calcs'!$CE22*('GHG Calcs'!$I22-'GHG Calcs'!$H22)</f>
        <v>0</v>
      </c>
      <c r="DP44" s="1378">
        <f ca="1">DJ44*'GHG Calcs'!$CE22*('GHG Calcs'!$I22-'GHG Calcs'!$H22)</f>
        <v>0</v>
      </c>
      <c r="DQ44" s="1378">
        <f ca="1">(DK44+DL44+DM44)*'GHG Calcs'!$CE22*('GHG Calcs'!$I22-'GHG Calcs'!$H22)</f>
        <v>0</v>
      </c>
      <c r="DR44" s="1378">
        <f ca="1">DN44*'GHG Calcs'!$CE22*('GHG Calcs'!$I22-'GHG Calcs'!$H22)</f>
        <v>0</v>
      </c>
    </row>
    <row r="45" spans="16:122" s="117" customFormat="1" ht="19.5" customHeight="1" x14ac:dyDescent="0.35">
      <c r="T45" s="1648"/>
      <c r="U45" s="1368">
        <v>3</v>
      </c>
      <c r="V45" s="306">
        <f ca="1">IF(OR('GHG Calcs'!AD23=Defaults!$I$5,'GHG Calcs'!AD23=Defaults!$I$7,'GHG Calcs'!AD23=Defaults!$I$11),0,IF('GHG Calcs'!$AC23="Transit Bus",V23,IF('GHG Calcs'!$AC23="Van",AB23,IF('GHG Calcs'!$AC23="Cut-A-Way",AH23,IF('GHG Calcs'!$AC23="Over-Road Coach",AN23,IF('GHG Calcs'!$AC23="Heavy Rail",$AT23,IF('GHG Calcs'!$AC23="DMU / EMU",$AX23,IF('GHG Calcs'!$AC23="Ferry",BB23,0))))))))</f>
        <v>0</v>
      </c>
      <c r="W45" s="306">
        <f ca="1">IF(OR('GHG Calcs'!AD23=Defaults!$I$5,'GHG Calcs'!AD23=Defaults!$I$7,'GHG Calcs'!AD23=Defaults!$I$11),0,IF('GHG Calcs'!$AC23="Transit Bus",W23,IF('GHG Calcs'!$AC23="Van",AC23,IF('GHG Calcs'!$AC23="Cut-A-Way",AI23,IF('GHG Calcs'!$AC23="Over-Road Coach",AO23,IF('GHG Calcs'!$AC23="Heavy Rail",$AU23,IF('GHG Calcs'!$AC23="DMU / EMU",$AY23,IF('GHG Calcs'!$AC23="Ferry",BC23,0))))))))</f>
        <v>0</v>
      </c>
      <c r="X45" s="306">
        <f ca="1">IF(OR('GHG Calcs'!AD23=Defaults!$I$5,'GHG Calcs'!AD23=Defaults!$I$7,'GHG Calcs'!AD23=Defaults!$I$11),0,IF('GHG Calcs'!$AC23="Transit Bus",X23,IF('GHG Calcs'!$AC23="Van",AD23,IF('GHG Calcs'!$AC23="Cut-A-Way",AJ23,IF('GHG Calcs'!$AC23="Over-Road Coach",AP23,IF('GHG Calcs'!$AC23="Heavy Rail",$AV23,IF('GHG Calcs'!$AC23="DMU / EMU",$AZ23,IF('GHG Calcs'!$AC23="Ferry",BD23,0))))))))</f>
        <v>0</v>
      </c>
      <c r="Y45" s="306">
        <f ca="1">IF('GHG Calcs'!$AC23="Transit Bus",Y23,IF('GHG Calcs'!$AC23="Van",AE23,IF('GHG Calcs'!$AC23="Cut-A-Way",AK23,IF('GHG Calcs'!$AC23="Over-Road Coach",AQ23,0))))</f>
        <v>0</v>
      </c>
      <c r="Z45" s="1419">
        <f ca="1">IF('GHG Calcs'!$AC23="Transit Bus",Z23,IF('GHG Calcs'!$AC23="Van",AF23,IF('GHG Calcs'!$AC23="Cut-A-Way",AL23,IF('GHG Calcs'!$AC23="Over-Road Coach",AR23*IF(OR('GHG Calcs'!AV23="Yes",'GHG Calcs'!AD23=Defaults!$I$5,'GHG Calcs'!AD23=Defaults!$I$7,'GHG Calcs'!AD23=Defaults!$I$11),0.5,1),0))))</f>
        <v>0</v>
      </c>
      <c r="AA45" s="306">
        <f ca="1">IF(OR('GHG Calcs'!AD23=Defaults!$I$5,'GHG Calcs'!AD23=Defaults!$I$7,'GHG Calcs'!AD23=Defaults!$I$11,'GHG Calcs'!AD23=Defaults!$I$3,'GHG Calcs'!AD23=Defaults!$I$8,'GHG Calcs'!AD23=Defaults!$I$12),0,IF('GHG Calcs'!$AC23="Transit Bus",AA23,IF('GHG Calcs'!$AC23="Van",AG23,IF('GHG Calcs'!$AC23="Cut-A-Way",AM23,IF('GHG Calcs'!$AC23="Over-Road Coach",AS23,IF('GHG Calcs'!$AC23="Heavy Rail",$AW23,IF('GHG Calcs'!$AC23="DMU / EMU",$BA23,IF('GHG Calcs'!$AC23="Ferry",BE23,0))))))))</f>
        <v>0</v>
      </c>
      <c r="AB45" s="1378">
        <f ca="1">(IF(AND('GHG Calcs'!AV23="yes",NOT('GHG Calcs'!AD23=Defaults!$I$5),NOT('GHG Calcs'!AD23=Defaults!$I$7),NOT('GHG Calcs'!AD23=Defaults!$I$11)),0.8,1))*IF('GHG Calcs'!$AE23&gt;0,V45*'GHG Calcs'!$AE23,V45*'GHG Calcs'!$AI23)*('GHG Calcs'!$I23-'GHG Calcs'!$H23)</f>
        <v>0</v>
      </c>
      <c r="AC45" s="1378">
        <f ca="1">(IF(AND('GHG Calcs'!AV23="yes",NOT('GHG Calcs'!AD23=Defaults!$I$5),NOT('GHG Calcs'!AD23=Defaults!$I$7),NOT('GHG Calcs'!AD23=Defaults!$I$11)),0.8,1))*IF('GHG Calcs'!$AE23&gt;0,W45*'GHG Calcs'!$AE23,W45*'GHG Calcs'!$AI23)*('GHG Calcs'!$I23-'GHG Calcs'!$H23)</f>
        <v>0</v>
      </c>
      <c r="AD45" s="1378">
        <f ca="1">((IF(AND('GHG Calcs'!AV23="yes",NOT('GHG Calcs'!AD23=Defaults!$I$5),NOT('GHG Calcs'!AD23=Defaults!$I$7),NOT('GHG Calcs'!AD23=Defaults!$I$11)),0.8,1)*X45)+Y45+Z45)*IF('GHG Calcs'!$AE23&gt;0,'GHG Calcs'!$AE23,'GHG Calcs'!$AI23)*('GHG Calcs'!$I23-'GHG Calcs'!$H23)</f>
        <v>0</v>
      </c>
      <c r="AE45" s="1378">
        <f ca="1">(IF(AND('GHG Calcs'!AV23="yes",NOT('GHG Calcs'!AD23=Defaults!$I$5),NOT('GHG Calcs'!AD23=Defaults!$I$7),NOT('GHG Calcs'!AD23=Defaults!$I$11)),0.8,1))*IF('GHG Calcs'!$AE23&gt;0,AA45*'GHG Calcs'!$AE23,AA45*'GHG Calcs'!$AI23)*('GHG Calcs'!$I23-'GHG Calcs'!$H23)</f>
        <v>0</v>
      </c>
      <c r="BN45" s="1648"/>
      <c r="BO45" s="1368">
        <v>3</v>
      </c>
      <c r="BP45" s="306">
        <f ca="1">IF(OR('GHG Calcs'!BD23=Defaults!$I$5,'GHG Calcs'!BD23=Defaults!$I$7,'GHG Calcs'!BD23=Defaults!$I$11),0,IF('GHG Calcs'!$BC23="Transit Bus",BP23,IF('GHG Calcs'!$BC23="Van",BV23,IF('GHG Calcs'!$BC23="Cut-A-Way",CB23,IF('GHG Calcs'!$BC23="Over-Road Coach",CH23,IF('GHG Calcs'!$BC23="Heavy Rail",$CN23,IF('GHG Calcs'!$BC23="DMU / EMU",$CR23,IF('GHG Calcs'!$BC23="Ferry",$CV23,0))))))))</f>
        <v>0</v>
      </c>
      <c r="BQ45" s="306">
        <f ca="1">IF(OR('GHG Calcs'!BD23=Defaults!$I$5,'GHG Calcs'!BD23=Defaults!$I$7,'GHG Calcs'!BD23=Defaults!$I$11),0,IF('GHG Calcs'!$BC23="Transit Bus",BQ23,IF('GHG Calcs'!$BC23="Van",BW23,IF('GHG Calcs'!$BC23="Cut-A-Way",CC23,IF('GHG Calcs'!$BC23="Over-Road Coach",CI23,IF('GHG Calcs'!$BC23="Heavy Rail",$CO23,IF('GHG Calcs'!$BC23="DMU / EMU",$CS23,IF('GHG Calcs'!$BC23="Ferry",$CW23,0))))))))</f>
        <v>0</v>
      </c>
      <c r="BR45" s="306">
        <f ca="1">IF(OR('GHG Calcs'!BD23=Defaults!$I$5,'GHG Calcs'!BD23=Defaults!$I$7,'GHG Calcs'!BD23=Defaults!$I$11),0,IF('GHG Calcs'!$BC23="Transit Bus",BR23,IF('GHG Calcs'!$BC23="Van",BX23,IF('GHG Calcs'!$BC23="Cut-A-Way",CD23,IF('GHG Calcs'!$BC23="Over-Road Coach",CJ23,IF('GHG Calcs'!$BC23="Heavy Rail",$CP23,IF('GHG Calcs'!$BC23="DMU / EMU",$CT23,IF('GHG Calcs'!$BC23="Ferry",$CX23,0))))))))</f>
        <v>0</v>
      </c>
      <c r="BS45" s="306">
        <f ca="1">IF('GHG Calcs'!$BC23="Transit Bus",BS23,IF('GHG Calcs'!$BC23="Van",BY23,IF('GHG Calcs'!$BC23="Cut-A-Way",CE23,IF('GHG Calcs'!$BC23="Over-Road Coach",CK23,0))))</f>
        <v>0</v>
      </c>
      <c r="BT45" s="1419">
        <f ca="1">IF('GHG Calcs'!$BC23="Transit Bus",BT23,IF('GHG Calcs'!$BC23="Van",BZ23,IF('GHG Calcs'!$BC23="Cut-A-Way",CF23,IF('GHG Calcs'!$BC23="Over-Road Coach",CL23*IF(OR('GHG Calcs'!BV23="Yes",'GHG Calcs'!BD23=Defaults!$I$5,'GHG Calcs'!BD23=Defaults!$I$7,'GHG Calcs'!BD23=Defaults!$I$11),0.5,1),0))))</f>
        <v>0</v>
      </c>
      <c r="BU45" s="306">
        <f ca="1">IF(OR('GHG Calcs'!BD23=Defaults!$I$5,'GHG Calcs'!BD23=Defaults!$I$7,'GHG Calcs'!BD23=Defaults!$I$11,'GHG Calcs'!BD23=Defaults!$I$3,'GHG Calcs'!BD23=Defaults!$I$8,'GHG Calcs'!BD23=Defaults!$I$12),0,IF('GHG Calcs'!$BC23="Transit Bus",BU23,IF('GHG Calcs'!$BC23="Van",CA23,IF('GHG Calcs'!$BC23="Cut-A-Way",CG23,IF('GHG Calcs'!$BC23="Over-Road Coach",CM23,IF('GHG Calcs'!$BC23="Heavy Rail",$CQ23,IF('GHG Calcs'!$BC23="DMU / EMU",$CU23,IF('GHG Calcs'!$BC23="Ferry",$CY23,0))))))))</f>
        <v>0</v>
      </c>
      <c r="BV45" s="1378">
        <f ca="1">(IF(AND('GHG Calcs'!BV23="yes",NOT('GHG Calcs'!BD23=Defaults!$I$5),NOT('GHG Calcs'!BD23=Defaults!$I$7),NOT('GHG Calcs'!BD23=Defaults!$I$11)),0.8,1))*IF('GHG Calcs'!$BE23&gt;0,BP45*'GHG Calcs'!$BE23,BP45*'GHG Calcs'!$BH23)*('GHG Calcs'!$I23-'GHG Calcs'!$H23)</f>
        <v>0</v>
      </c>
      <c r="BW45" s="1378">
        <f ca="1">(IF(AND('GHG Calcs'!BV23="yes",NOT('GHG Calcs'!BD23=Defaults!$I$5),NOT('GHG Calcs'!BD23=Defaults!$I$7),NOT('GHG Calcs'!BD23=Defaults!$I$11)),0.8,1))*IF('GHG Calcs'!$BE23&gt;0,BQ45*'GHG Calcs'!$BE23,BQ45*'GHG Calcs'!$BH23)*('GHG Calcs'!$I23-'GHG Calcs'!$H23)</f>
        <v>0</v>
      </c>
      <c r="BX45" s="1378">
        <f ca="1">((IF(AND('GHG Calcs'!BV23="yes",NOT('GHG Calcs'!BD23=Defaults!$I$5),NOT('GHG Calcs'!BD23=Defaults!$I$7),NOT('GHG Calcs'!BD23=Defaults!$I$11)),0.8,1)*BR45)+BS45+BT45)*IF('GHG Calcs'!$BE23&gt;0,'GHG Calcs'!$BE23,'GHG Calcs'!$BH23)*('GHG Calcs'!$I23-'GHG Calcs'!$H23)</f>
        <v>0</v>
      </c>
      <c r="BY45" s="1378">
        <f ca="1">(IF(AND('GHG Calcs'!BV23="yes",NOT('GHG Calcs'!BD23=Defaults!$I$5),NOT('GHG Calcs'!BD23=Defaults!$I$7),NOT('GHG Calcs'!BD23=Defaults!$I$11)),0.8,1))*IF('GHG Calcs'!$BE23&gt;0,BU45*'GHG Calcs'!$BE23,BU45*'GHG Calcs'!$BH23)*('GHG Calcs'!$I23-'GHG Calcs'!$H23)</f>
        <v>0</v>
      </c>
      <c r="DG45" s="1648"/>
      <c r="DH45" s="1368">
        <v>3</v>
      </c>
      <c r="DI45" s="306">
        <f ca="1">IF(OR('GHG Calcs'!CD23=Defaults!$I$5,'GHG Calcs'!CD23=Defaults!$I$7,'GHG Calcs'!CD23=Defaults!$I$11),0,IF('GHG Calcs'!$CC23="Transit Bus",DI23,IF('GHG Calcs'!$CC23="Van",DO23,IF('GHG Calcs'!$CC23="Cut-A-Way",DU23,IF('GHG Calcs'!$CC23="Over-Road Coach",EA23,IF('GHG Calcs'!$CC23="Heavy Rail",EG23,IF('GHG Calcs'!$CC23="DMU / EMU",EK23,IF('GHG Calcs'!$CC23="Ferry",EO23,0))))))))</f>
        <v>0</v>
      </c>
      <c r="DJ45" s="306">
        <f ca="1">IF(OR('GHG Calcs'!CD23=Defaults!$I$5,'GHG Calcs'!CD23=Defaults!$I$7,'GHG Calcs'!CD23=Defaults!$I$11),0,IF('GHG Calcs'!$CC23="Transit Bus",DJ23,IF('GHG Calcs'!$CC23="Van",DP23,IF('GHG Calcs'!$CC23="Cut-A-Way",DV23,IF('GHG Calcs'!$CC23="Over-Road Coach",EB23,IF('GHG Calcs'!$CC23="Heavy Rail",EH23,IF('GHG Calcs'!$CC23="DMU / EMU",EL23,IF('GHG Calcs'!$CC23="Ferry",EP23,0))))))))</f>
        <v>0</v>
      </c>
      <c r="DK45" s="306">
        <f ca="1">IF(OR('GHG Calcs'!CD23=Defaults!$I$5,'GHG Calcs'!CD23=Defaults!$I$7,'GHG Calcs'!CD23=Defaults!$I$11),0,IF('GHG Calcs'!$CC23="Transit Bus",DK23,IF('GHG Calcs'!$CC23="Van",DQ23,IF('GHG Calcs'!$CC23="Cut-A-Way",DW23,IF('GHG Calcs'!$CC23="Over-Road Coach",EC23,IF('GHG Calcs'!$CC23="Heavy Rail",EI23,IF('GHG Calcs'!$CC23="DMU / EMU",EM23,IF('GHG Calcs'!$CC23="Ferry",EQ23,0))))))))</f>
        <v>0</v>
      </c>
      <c r="DL45" s="306">
        <f ca="1">IF('GHG Calcs'!$CC23="Transit Bus",DL23,IF('GHG Calcs'!$CC23="Van",DR23,IF('GHG Calcs'!$CC23="Cut-A-Way",DX23,IF('GHG Calcs'!$CC23="Over-Road Coach",ED23,0))))</f>
        <v>0</v>
      </c>
      <c r="DM45" s="1419">
        <f ca="1">IF('GHG Calcs'!$CC23="Transit Bus",DM23,IF('GHG Calcs'!$CC23="Van",DS23,IF('GHG Calcs'!$CC23="Cut-A-Way",DY23,IF('GHG Calcs'!$CC23="Over-Road Coach",EE23*IF(OR('GHG Calcs'!CD23=Defaults!$I$5,'GHG Calcs'!CD23=Defaults!$I$7,'GHG Calcs'!CD23=Defaults!$I$11),0.5,1),0))))</f>
        <v>0</v>
      </c>
      <c r="DN45" s="306">
        <f ca="1">IF(OR('GHG Calcs'!CD23=Defaults!$I$5,'GHG Calcs'!CD23=Defaults!$I$7,'GHG Calcs'!CD23=Defaults!$I$11,'GHG Calcs'!CD23=Defaults!$I$3,'GHG Calcs'!CD23=Defaults!$I$8,'GHG Calcs'!CD23=Defaults!$I$12),0,IF('GHG Calcs'!$CC23="Transit Bus",DN23,IF('GHG Calcs'!$CC23="Van",DT23,IF('GHG Calcs'!$CC23="Cut-A-Way",DZ23,IF('GHG Calcs'!$CC23="Over-Road Coach",EF23,IF('GHG Calcs'!$CC23="Heavy Rail",EJ23,IF('GHG Calcs'!$CC23="DMU / EMU",EN23,IF('GHG Calcs'!$CC23="Ferry",ER23,0))))))))</f>
        <v>0</v>
      </c>
      <c r="DO45" s="1378">
        <f ca="1">DI45*'GHG Calcs'!$CE23*('GHG Calcs'!$I23-'GHG Calcs'!$H23)</f>
        <v>0</v>
      </c>
      <c r="DP45" s="1378">
        <f ca="1">DJ45*'GHG Calcs'!$CE23*('GHG Calcs'!$I23-'GHG Calcs'!$H23)</f>
        <v>0</v>
      </c>
      <c r="DQ45" s="1378">
        <f ca="1">(DK45+DL45+DM45)*'GHG Calcs'!$CE23*('GHG Calcs'!$I23-'GHG Calcs'!$H23)</f>
        <v>0</v>
      </c>
      <c r="DR45" s="1378">
        <f ca="1">DN45*'GHG Calcs'!$CE23*('GHG Calcs'!$I23-'GHG Calcs'!$H23)</f>
        <v>0</v>
      </c>
    </row>
    <row r="46" spans="16:122" s="117" customFormat="1" ht="19.5" customHeight="1" x14ac:dyDescent="0.35">
      <c r="T46" s="1646">
        <v>5</v>
      </c>
      <c r="U46" s="1379">
        <v>1</v>
      </c>
      <c r="V46" s="306">
        <f ca="1">IF(OR('GHG Calcs'!AD24=Defaults!$I$5,'GHG Calcs'!AD24=Defaults!$I$7,'GHG Calcs'!AD24=Defaults!$I$11),0,IF('GHG Calcs'!$AC24="Transit Bus",V24,IF('GHG Calcs'!$AC24="Van",AB24,IF('GHG Calcs'!$AC24="Cut-A-Way",AH24,IF('GHG Calcs'!$AC24="Over-Road Coach",AN24,IF('GHG Calcs'!$AC24="Heavy Rail",$AT24,IF('GHG Calcs'!$AC24="DMU / EMU",$AX24,IF('GHG Calcs'!$AC24="Ferry",BB24,0))))))))</f>
        <v>0</v>
      </c>
      <c r="W46" s="306">
        <f ca="1">IF(OR('GHG Calcs'!AD24=Defaults!$I$5,'GHG Calcs'!AD24=Defaults!$I$7,'GHG Calcs'!AD24=Defaults!$I$11),0,IF('GHG Calcs'!$AC24="Transit Bus",W24,IF('GHG Calcs'!$AC24="Van",AC24,IF('GHG Calcs'!$AC24="Cut-A-Way",AI24,IF('GHG Calcs'!$AC24="Over-Road Coach",AO24,IF('GHG Calcs'!$AC24="Heavy Rail",$AU24,IF('GHG Calcs'!$AC24="DMU / EMU",$AY24,IF('GHG Calcs'!$AC24="Ferry",BC24,0))))))))</f>
        <v>0</v>
      </c>
      <c r="X46" s="306">
        <f ca="1">IF(OR('GHG Calcs'!AD24=Defaults!$I$5,'GHG Calcs'!AD24=Defaults!$I$7,'GHG Calcs'!AD24=Defaults!$I$11),0,IF('GHG Calcs'!$AC24="Transit Bus",X24,IF('GHG Calcs'!$AC24="Van",AD24,IF('GHG Calcs'!$AC24="Cut-A-Way",AJ24,IF('GHG Calcs'!$AC24="Over-Road Coach",AP24,IF('GHG Calcs'!$AC24="Heavy Rail",$AV24,IF('GHG Calcs'!$AC24="DMU / EMU",$AZ24,IF('GHG Calcs'!$AC24="Ferry",BD24,0))))))))</f>
        <v>0</v>
      </c>
      <c r="Y46" s="306">
        <f ca="1">IF('GHG Calcs'!$AC24="Transit Bus",Y24,IF('GHG Calcs'!$AC24="Van",AE24,IF('GHG Calcs'!$AC24="Cut-A-Way",AK24,IF('GHG Calcs'!$AC24="Over-Road Coach",AQ24,0))))</f>
        <v>0</v>
      </c>
      <c r="Z46" s="1419">
        <f ca="1">IF('GHG Calcs'!$AC24="Transit Bus",Z24,IF('GHG Calcs'!$AC24="Van",AF24,IF('GHG Calcs'!$AC24="Cut-A-Way",AL24,IF('GHG Calcs'!$AC24="Over-Road Coach",AR24*IF(OR('GHG Calcs'!AV24="Yes",'GHG Calcs'!AD24=Defaults!$I$5,'GHG Calcs'!AD24=Defaults!$I$7,'GHG Calcs'!AD24=Defaults!$I$11),0.5,1),0))))</f>
        <v>0</v>
      </c>
      <c r="AA46" s="306">
        <f ca="1">IF(OR('GHG Calcs'!AD24=Defaults!$I$5,'GHG Calcs'!AD24=Defaults!$I$7,'GHG Calcs'!AD24=Defaults!$I$11,'GHG Calcs'!AD24=Defaults!$I$3,'GHG Calcs'!AD24=Defaults!$I$8,'GHG Calcs'!AD24=Defaults!$I$12),0,IF('GHG Calcs'!$AC24="Transit Bus",AA24,IF('GHG Calcs'!$AC24="Van",AG24,IF('GHG Calcs'!$AC24="Cut-A-Way",AM24,IF('GHG Calcs'!$AC24="Over-Road Coach",AS24,IF('GHG Calcs'!$AC24="Heavy Rail",$AW24,IF('GHG Calcs'!$AC24="DMU / EMU",$BA24,IF('GHG Calcs'!$AC24="Ferry",BE24,0))))))))</f>
        <v>0</v>
      </c>
      <c r="AB46" s="1378">
        <f ca="1">(IF(AND('GHG Calcs'!AV24="yes",NOT('GHG Calcs'!AD24=Defaults!$I$5),NOT('GHG Calcs'!AD24=Defaults!$I$7),NOT('GHG Calcs'!AD24=Defaults!$I$11)),0.8,1))*IF('GHG Calcs'!$AE24&gt;0,V46*'GHG Calcs'!$AE24,V46*'GHG Calcs'!$AI24)*('GHG Calcs'!$I24-'GHG Calcs'!$H24)</f>
        <v>0</v>
      </c>
      <c r="AC46" s="1378">
        <f ca="1">(IF(AND('GHG Calcs'!AV24="yes",NOT('GHG Calcs'!AD24=Defaults!$I$5),NOT('GHG Calcs'!AD24=Defaults!$I$7),NOT('GHG Calcs'!AD24=Defaults!$I$11)),0.8,1))*IF('GHG Calcs'!$AE24&gt;0,W46*'GHG Calcs'!$AE24,W46*'GHG Calcs'!$AI24)*('GHG Calcs'!$I24-'GHG Calcs'!$H24)</f>
        <v>0</v>
      </c>
      <c r="AD46" s="1378">
        <f ca="1">((IF(AND('GHG Calcs'!AV24="yes",NOT('GHG Calcs'!AD24=Defaults!$I$5),NOT('GHG Calcs'!AD24=Defaults!$I$7),NOT('GHG Calcs'!AD24=Defaults!$I$11)),0.8,1)*X46)+Y46+Z46)*IF('GHG Calcs'!$AE24&gt;0,'GHG Calcs'!$AE24,'GHG Calcs'!$AI24)*('GHG Calcs'!$I24-'GHG Calcs'!$H24)</f>
        <v>0</v>
      </c>
      <c r="AE46" s="1378">
        <f ca="1">(IF(AND('GHG Calcs'!AV24="yes",NOT('GHG Calcs'!AD24=Defaults!$I$5),NOT('GHG Calcs'!AD24=Defaults!$I$7),NOT('GHG Calcs'!AD24=Defaults!$I$11)),0.8,1))*IF('GHG Calcs'!$AE24&gt;0,AA46*'GHG Calcs'!$AE24,AA46*'GHG Calcs'!$AI24)*('GHG Calcs'!$I24-'GHG Calcs'!$H24)</f>
        <v>0</v>
      </c>
      <c r="BN46" s="1646">
        <v>5</v>
      </c>
      <c r="BO46" s="1379">
        <v>1</v>
      </c>
      <c r="BP46" s="306">
        <f ca="1">IF(OR('GHG Calcs'!BD24=Defaults!$I$5,'GHG Calcs'!BD24=Defaults!$I$7,'GHG Calcs'!BD24=Defaults!$I$11),0,IF('GHG Calcs'!$BC24="Transit Bus",BP24,IF('GHG Calcs'!$BC24="Van",BV24,IF('GHG Calcs'!$BC24="Cut-A-Way",CB24,IF('GHG Calcs'!$BC24="Over-Road Coach",CH24,IF('GHG Calcs'!$BC24="Heavy Rail",$CN24,IF('GHG Calcs'!$BC24="DMU / EMU",$CR24,IF('GHG Calcs'!$BC24="Ferry",$CV24,0))))))))</f>
        <v>0</v>
      </c>
      <c r="BQ46" s="306">
        <f ca="1">IF(OR('GHG Calcs'!BD24=Defaults!$I$5,'GHG Calcs'!BD24=Defaults!$I$7,'GHG Calcs'!BD24=Defaults!$I$11),0,IF('GHG Calcs'!$BC24="Transit Bus",BQ24,IF('GHG Calcs'!$BC24="Van",BW24,IF('GHG Calcs'!$BC24="Cut-A-Way",CC24,IF('GHG Calcs'!$BC24="Over-Road Coach",CI24,IF('GHG Calcs'!$BC24="Heavy Rail",$CO24,IF('GHG Calcs'!$BC24="DMU / EMU",$CS24,IF('GHG Calcs'!$BC24="Ferry",$CW24,0))))))))</f>
        <v>0</v>
      </c>
      <c r="BR46" s="306">
        <f ca="1">IF(OR('GHG Calcs'!BD24=Defaults!$I$5,'GHG Calcs'!BD24=Defaults!$I$7,'GHG Calcs'!BD24=Defaults!$I$11),0,IF('GHG Calcs'!$BC24="Transit Bus",BR24,IF('GHG Calcs'!$BC24="Van",BX24,IF('GHG Calcs'!$BC24="Cut-A-Way",CD24,IF('GHG Calcs'!$BC24="Over-Road Coach",CJ24,IF('GHG Calcs'!$BC24="Heavy Rail",$CP24,IF('GHG Calcs'!$BC24="DMU / EMU",$CT24,IF('GHG Calcs'!$BC24="Ferry",$CX24,0))))))))</f>
        <v>0</v>
      </c>
      <c r="BS46" s="306">
        <f ca="1">IF('GHG Calcs'!$BC24="Transit Bus",BS24,IF('GHG Calcs'!$BC24="Van",BY24,IF('GHG Calcs'!$BC24="Cut-A-Way",CE24,IF('GHG Calcs'!$BC24="Over-Road Coach",CK24,0))))</f>
        <v>0</v>
      </c>
      <c r="BT46" s="1419">
        <f ca="1">IF('GHG Calcs'!$BC24="Transit Bus",BT24,IF('GHG Calcs'!$BC24="Van",BZ24,IF('GHG Calcs'!$BC24="Cut-A-Way",CF24,IF('GHG Calcs'!$BC24="Over-Road Coach",CL24*IF(OR('GHG Calcs'!BV24="Yes",'GHG Calcs'!BD24=Defaults!$I$5,'GHG Calcs'!BD24=Defaults!$I$7,'GHG Calcs'!BD24=Defaults!$I$11),0.5,1),0))))</f>
        <v>0</v>
      </c>
      <c r="BU46" s="306">
        <f ca="1">IF(OR('GHG Calcs'!BD24=Defaults!$I$5,'GHG Calcs'!BD24=Defaults!$I$7,'GHG Calcs'!BD24=Defaults!$I$11,'GHG Calcs'!BD24=Defaults!$I$3,'GHG Calcs'!BD24=Defaults!$I$8,'GHG Calcs'!BD24=Defaults!$I$12),0,IF('GHG Calcs'!$BC24="Transit Bus",BU24,IF('GHG Calcs'!$BC24="Van",CA24,IF('GHG Calcs'!$BC24="Cut-A-Way",CG24,IF('GHG Calcs'!$BC24="Over-Road Coach",CM24,IF('GHG Calcs'!$BC24="Heavy Rail",$CQ24,IF('GHG Calcs'!$BC24="DMU / EMU",$CU24,IF('GHG Calcs'!$BC24="Ferry",$CY24,0))))))))</f>
        <v>0</v>
      </c>
      <c r="BV46" s="1378">
        <f ca="1">(IF(AND('GHG Calcs'!BV24="yes",NOT('GHG Calcs'!BD24=Defaults!$I$5),NOT('GHG Calcs'!BD24=Defaults!$I$7),NOT('GHG Calcs'!BD24=Defaults!$I$11)),0.8,1))*IF('GHG Calcs'!$BE24&gt;0,BP46*'GHG Calcs'!$BE24,BP46*'GHG Calcs'!$BH24)*('GHG Calcs'!$I24-'GHG Calcs'!$H24)</f>
        <v>0</v>
      </c>
      <c r="BW46" s="1378">
        <f ca="1">(IF(AND('GHG Calcs'!BV24="yes",NOT('GHG Calcs'!BD24=Defaults!$I$5),NOT('GHG Calcs'!BD24=Defaults!$I$7),NOT('GHG Calcs'!BD24=Defaults!$I$11)),0.8,1))*IF('GHG Calcs'!$BE24&gt;0,BQ46*'GHG Calcs'!$BE24,BQ46*'GHG Calcs'!$BH24)*('GHG Calcs'!$I24-'GHG Calcs'!$H24)</f>
        <v>0</v>
      </c>
      <c r="BX46" s="1378">
        <f ca="1">((IF(AND('GHG Calcs'!BV24="yes",NOT('GHG Calcs'!BD24=Defaults!$I$5),NOT('GHG Calcs'!BD24=Defaults!$I$7),NOT('GHG Calcs'!BD24=Defaults!$I$11)),0.8,1)*BR46)+BS46+BT46)*IF('GHG Calcs'!$BE24&gt;0,'GHG Calcs'!$BE24,'GHG Calcs'!$BH24)*('GHG Calcs'!$I24-'GHG Calcs'!$H24)</f>
        <v>0</v>
      </c>
      <c r="BY46" s="1378">
        <f ca="1">(IF(AND('GHG Calcs'!BV24="yes",NOT('GHG Calcs'!BD24=Defaults!$I$5),NOT('GHG Calcs'!BD24=Defaults!$I$7),NOT('GHG Calcs'!BD24=Defaults!$I$11)),0.8,1))*IF('GHG Calcs'!$BE24&gt;0,BU46*'GHG Calcs'!$BE24,BU46*'GHG Calcs'!$BH24)*('GHG Calcs'!$I24-'GHG Calcs'!$H24)</f>
        <v>0</v>
      </c>
      <c r="DG46" s="1646">
        <v>5</v>
      </c>
      <c r="DH46" s="1379">
        <v>1</v>
      </c>
      <c r="DI46" s="306">
        <f ca="1">IF(OR('GHG Calcs'!CD24=Defaults!$I$5,'GHG Calcs'!CD24=Defaults!$I$7,'GHG Calcs'!CD24=Defaults!$I$11),0,IF('GHG Calcs'!$CC24="Transit Bus",DI24,IF('GHG Calcs'!$CC24="Van",DO24,IF('GHG Calcs'!$CC24="Cut-A-Way",DU24,IF('GHG Calcs'!$CC24="Over-Road Coach",EA24,IF('GHG Calcs'!$CC24="Heavy Rail",EG24,IF('GHG Calcs'!$CC24="DMU / EMU",EK24,IF('GHG Calcs'!$CC24="Ferry",EO24,0))))))))</f>
        <v>0</v>
      </c>
      <c r="DJ46" s="306">
        <f ca="1">IF(OR('GHG Calcs'!CD24=Defaults!$I$5,'GHG Calcs'!CD24=Defaults!$I$7,'GHG Calcs'!CD24=Defaults!$I$11),0,IF('GHG Calcs'!$CC24="Transit Bus",DJ24,IF('GHG Calcs'!$CC24="Van",DP24,IF('GHG Calcs'!$CC24="Cut-A-Way",DV24,IF('GHG Calcs'!$CC24="Over-Road Coach",EB24,IF('GHG Calcs'!$CC24="Heavy Rail",EH24,IF('GHG Calcs'!$CC24="DMU / EMU",EL24,IF('GHG Calcs'!$CC24="Ferry",EP24,0))))))))</f>
        <v>0</v>
      </c>
      <c r="DK46" s="306">
        <f ca="1">IF(OR('GHG Calcs'!CD24=Defaults!$I$5,'GHG Calcs'!CD24=Defaults!$I$7,'GHG Calcs'!CD24=Defaults!$I$11),0,IF('GHG Calcs'!$CC24="Transit Bus",DK24,IF('GHG Calcs'!$CC24="Van",DQ24,IF('GHG Calcs'!$CC24="Cut-A-Way",DW24,IF('GHG Calcs'!$CC24="Over-Road Coach",EC24,IF('GHG Calcs'!$CC24="Heavy Rail",EI24,IF('GHG Calcs'!$CC24="DMU / EMU",EM24,IF('GHG Calcs'!$CC24="Ferry",EQ24,0))))))))</f>
        <v>0</v>
      </c>
      <c r="DL46" s="306">
        <f ca="1">IF('GHG Calcs'!$CC24="Transit Bus",DL24,IF('GHG Calcs'!$CC24="Van",DR24,IF('GHG Calcs'!$CC24="Cut-A-Way",DX24,IF('GHG Calcs'!$CC24="Over-Road Coach",ED24,0))))</f>
        <v>0</v>
      </c>
      <c r="DM46" s="1419">
        <f ca="1">IF('GHG Calcs'!$CC24="Transit Bus",DM24,IF('GHG Calcs'!$CC24="Van",DS24,IF('GHG Calcs'!$CC24="Cut-A-Way",DY24,IF('GHG Calcs'!$CC24="Over-Road Coach",EE24*IF(OR('GHG Calcs'!CD24=Defaults!$I$5,'GHG Calcs'!CD24=Defaults!$I$7,'GHG Calcs'!CD24=Defaults!$I$11),0.5,1),0))))</f>
        <v>0</v>
      </c>
      <c r="DN46" s="306">
        <f ca="1">IF(OR('GHG Calcs'!CD24=Defaults!$I$5,'GHG Calcs'!CD24=Defaults!$I$7,'GHG Calcs'!CD24=Defaults!$I$11,'GHG Calcs'!CD24=Defaults!$I$3,'GHG Calcs'!CD24=Defaults!$I$8,'GHG Calcs'!CD24=Defaults!$I$12),0,IF('GHG Calcs'!$CC24="Transit Bus",DN24,IF('GHG Calcs'!$CC24="Van",DT24,IF('GHG Calcs'!$CC24="Cut-A-Way",DZ24,IF('GHG Calcs'!$CC24="Over-Road Coach",EF24,IF('GHG Calcs'!$CC24="Heavy Rail",EJ24,IF('GHG Calcs'!$CC24="DMU / EMU",EN24,IF('GHG Calcs'!$CC24="Ferry",ER24,0))))))))</f>
        <v>0</v>
      </c>
      <c r="DO46" s="1378">
        <f ca="1">DI46*'GHG Calcs'!$CE24*('GHG Calcs'!$I24-'GHG Calcs'!$H24)</f>
        <v>0</v>
      </c>
      <c r="DP46" s="1378">
        <f ca="1">DJ46*'GHG Calcs'!$CE24*('GHG Calcs'!$I24-'GHG Calcs'!$H24)</f>
        <v>0</v>
      </c>
      <c r="DQ46" s="1378">
        <f ca="1">(DK46+DL46+DM46)*'GHG Calcs'!$CE24*('GHG Calcs'!$I24-'GHG Calcs'!$H24)</f>
        <v>0</v>
      </c>
      <c r="DR46" s="1378">
        <f ca="1">DN46*'GHG Calcs'!$CE24*('GHG Calcs'!$I24-'GHG Calcs'!$H24)</f>
        <v>0</v>
      </c>
    </row>
    <row r="47" spans="16:122" s="117" customFormat="1" ht="19.5" customHeight="1" x14ac:dyDescent="0.35">
      <c r="T47" s="1647"/>
      <c r="U47" s="1379">
        <v>2</v>
      </c>
      <c r="V47" s="306">
        <f ca="1">IF(OR('GHG Calcs'!AD25=Defaults!$I$5,'GHG Calcs'!AD25=Defaults!$I$7,'GHG Calcs'!AD25=Defaults!$I$11),0,IF('GHG Calcs'!$AC25="Transit Bus",V25,IF('GHG Calcs'!$AC25="Van",AB25,IF('GHG Calcs'!$AC25="Cut-A-Way",AH25,IF('GHG Calcs'!$AC25="Over-Road Coach",AN25,IF('GHG Calcs'!$AC25="Heavy Rail",$AT25,IF('GHG Calcs'!$AC25="DMU / EMU",$AX25,IF('GHG Calcs'!$AC25="Ferry",BB25,0))))))))</f>
        <v>0</v>
      </c>
      <c r="W47" s="306">
        <f ca="1">IF(OR('GHG Calcs'!AD25=Defaults!$I$5,'GHG Calcs'!AD25=Defaults!$I$7,'GHG Calcs'!AD25=Defaults!$I$11),0,IF('GHG Calcs'!$AC25="Transit Bus",W25,IF('GHG Calcs'!$AC25="Van",AC25,IF('GHG Calcs'!$AC25="Cut-A-Way",AI25,IF('GHG Calcs'!$AC25="Over-Road Coach",AO25,IF('GHG Calcs'!$AC25="Heavy Rail",$AU25,IF('GHG Calcs'!$AC25="DMU / EMU",$AY25,IF('GHG Calcs'!$AC25="Ferry",BC25,0))))))))</f>
        <v>0</v>
      </c>
      <c r="X47" s="306">
        <f ca="1">IF(OR('GHG Calcs'!AD25=Defaults!$I$5,'GHG Calcs'!AD25=Defaults!$I$7,'GHG Calcs'!AD25=Defaults!$I$11),0,IF('GHG Calcs'!$AC25="Transit Bus",X25,IF('GHG Calcs'!$AC25="Van",AD25,IF('GHG Calcs'!$AC25="Cut-A-Way",AJ25,IF('GHG Calcs'!$AC25="Over-Road Coach",AP25,IF('GHG Calcs'!$AC25="Heavy Rail",$AV25,IF('GHG Calcs'!$AC25="DMU / EMU",$AZ25,IF('GHG Calcs'!$AC25="Ferry",BD25,0))))))))</f>
        <v>0</v>
      </c>
      <c r="Y47" s="306">
        <f ca="1">IF('GHG Calcs'!$AC25="Transit Bus",Y25,IF('GHG Calcs'!$AC25="Van",AE25,IF('GHG Calcs'!$AC25="Cut-A-Way",AK25,IF('GHG Calcs'!$AC25="Over-Road Coach",AQ25,0))))</f>
        <v>0</v>
      </c>
      <c r="Z47" s="1419">
        <f ca="1">IF('GHG Calcs'!$AC25="Transit Bus",Z25,IF('GHG Calcs'!$AC25="Van",AF25,IF('GHG Calcs'!$AC25="Cut-A-Way",AL25,IF('GHG Calcs'!$AC25="Over-Road Coach",AR25*IF(OR('GHG Calcs'!AV25="Yes",'GHG Calcs'!AD25=Defaults!$I$5,'GHG Calcs'!AD25=Defaults!$I$7,'GHG Calcs'!AD25=Defaults!$I$11),0.5,1),0))))</f>
        <v>0</v>
      </c>
      <c r="AA47" s="306">
        <f ca="1">IF(OR('GHG Calcs'!AD25=Defaults!$I$5,'GHG Calcs'!AD25=Defaults!$I$7,'GHG Calcs'!AD25=Defaults!$I$11,'GHG Calcs'!AD25=Defaults!$I$3,'GHG Calcs'!AD25=Defaults!$I$8,'GHG Calcs'!AD25=Defaults!$I$12),0,IF('GHG Calcs'!$AC25="Transit Bus",AA25,IF('GHG Calcs'!$AC25="Van",AG25,IF('GHG Calcs'!$AC25="Cut-A-Way",AM25,IF('GHG Calcs'!$AC25="Over-Road Coach",AS25,IF('GHG Calcs'!$AC25="Heavy Rail",$AW25,IF('GHG Calcs'!$AC25="DMU / EMU",$BA25,IF('GHG Calcs'!$AC25="Ferry",BE25,0))))))))</f>
        <v>0</v>
      </c>
      <c r="AB47" s="1378">
        <f ca="1">(IF(AND('GHG Calcs'!AV25="yes",NOT('GHG Calcs'!AD25=Defaults!$I$5),NOT('GHG Calcs'!AD25=Defaults!$I$7),NOT('GHG Calcs'!AD25=Defaults!$I$11)),0.8,1))*IF('GHG Calcs'!$AE25&gt;0,V47*'GHG Calcs'!$AE25,V47*'GHG Calcs'!$AI25)*('GHG Calcs'!$I25-'GHG Calcs'!$H25)</f>
        <v>0</v>
      </c>
      <c r="AC47" s="1378">
        <f ca="1">(IF(AND('GHG Calcs'!AV25="yes",NOT('GHG Calcs'!AD25=Defaults!$I$5),NOT('GHG Calcs'!AD25=Defaults!$I$7),NOT('GHG Calcs'!AD25=Defaults!$I$11)),0.8,1))*IF('GHG Calcs'!$AE25&gt;0,W47*'GHG Calcs'!$AE25,W47*'GHG Calcs'!$AI25)*('GHG Calcs'!$I25-'GHG Calcs'!$H25)</f>
        <v>0</v>
      </c>
      <c r="AD47" s="1378">
        <f ca="1">((IF(AND('GHG Calcs'!AV25="yes",NOT('GHG Calcs'!AD25=Defaults!$I$5),NOT('GHG Calcs'!AD25=Defaults!$I$7),NOT('GHG Calcs'!AD25=Defaults!$I$11)),0.8,1)*X47)+Y47+Z47)*IF('GHG Calcs'!$AE25&gt;0,'GHG Calcs'!$AE25,'GHG Calcs'!$AI25)*('GHG Calcs'!$I25-'GHG Calcs'!$H25)</f>
        <v>0</v>
      </c>
      <c r="AE47" s="1378">
        <f ca="1">(IF(AND('GHG Calcs'!AV25="yes",NOT('GHG Calcs'!AD25=Defaults!$I$5),NOT('GHG Calcs'!AD25=Defaults!$I$7),NOT('GHG Calcs'!AD25=Defaults!$I$11)),0.8,1))*IF('GHG Calcs'!$AE25&gt;0,AA47*'GHG Calcs'!$AE25,AA47*'GHG Calcs'!$AI25)*('GHG Calcs'!$I25-'GHG Calcs'!$H25)</f>
        <v>0</v>
      </c>
      <c r="BN47" s="1647"/>
      <c r="BO47" s="1379">
        <v>2</v>
      </c>
      <c r="BP47" s="306">
        <f ca="1">IF(OR('GHG Calcs'!BD25=Defaults!$I$5,'GHG Calcs'!BD25=Defaults!$I$7,'GHG Calcs'!BD25=Defaults!$I$11),0,IF('GHG Calcs'!$BC25="Transit Bus",BP25,IF('GHG Calcs'!$BC25="Van",BV25,IF('GHG Calcs'!$BC25="Cut-A-Way",CB25,IF('GHG Calcs'!$BC25="Over-Road Coach",CH25,IF('GHG Calcs'!$BC25="Heavy Rail",$CN25,IF('GHG Calcs'!$BC25="DMU / EMU",$CR25,IF('GHG Calcs'!$BC25="Ferry",$CV25,0))))))))</f>
        <v>0</v>
      </c>
      <c r="BQ47" s="306">
        <f ca="1">IF(OR('GHG Calcs'!BD25=Defaults!$I$5,'GHG Calcs'!BD25=Defaults!$I$7,'GHG Calcs'!BD25=Defaults!$I$11),0,IF('GHG Calcs'!$BC25="Transit Bus",BQ25,IF('GHG Calcs'!$BC25="Van",BW25,IF('GHG Calcs'!$BC25="Cut-A-Way",CC25,IF('GHG Calcs'!$BC25="Over-Road Coach",CI25,IF('GHG Calcs'!$BC25="Heavy Rail",$CO25,IF('GHG Calcs'!$BC25="DMU / EMU",$CS25,IF('GHG Calcs'!$BC25="Ferry",$CW25,0))))))))</f>
        <v>0</v>
      </c>
      <c r="BR47" s="306">
        <f ca="1">IF(OR('GHG Calcs'!BD25=Defaults!$I$5,'GHG Calcs'!BD25=Defaults!$I$7,'GHG Calcs'!BD25=Defaults!$I$11),0,IF('GHG Calcs'!$BC25="Transit Bus",BR25,IF('GHG Calcs'!$BC25="Van",BX25,IF('GHG Calcs'!$BC25="Cut-A-Way",CD25,IF('GHG Calcs'!$BC25="Over-Road Coach",CJ25,IF('GHG Calcs'!$BC25="Heavy Rail",$CP25,IF('GHG Calcs'!$BC25="DMU / EMU",$CT25,IF('GHG Calcs'!$BC25="Ferry",$CX25,0))))))))</f>
        <v>0</v>
      </c>
      <c r="BS47" s="306">
        <f ca="1">IF('GHG Calcs'!$BC25="Transit Bus",BS25,IF('GHG Calcs'!$BC25="Van",BY25,IF('GHG Calcs'!$BC25="Cut-A-Way",CE25,IF('GHG Calcs'!$BC25="Over-Road Coach",CK25,0))))</f>
        <v>0</v>
      </c>
      <c r="BT47" s="1419">
        <f ca="1">IF('GHG Calcs'!$BC25="Transit Bus",BT25,IF('GHG Calcs'!$BC25="Van",BZ25,IF('GHG Calcs'!$BC25="Cut-A-Way",CF25,IF('GHG Calcs'!$BC25="Over-Road Coach",CL25*IF(OR('GHG Calcs'!BV25="Yes",'GHG Calcs'!BD25=Defaults!$I$5,'GHG Calcs'!BD25=Defaults!$I$7,'GHG Calcs'!BD25=Defaults!$I$11),0.5,1),0))))</f>
        <v>0</v>
      </c>
      <c r="BU47" s="306">
        <f ca="1">IF(OR('GHG Calcs'!BD25=Defaults!$I$5,'GHG Calcs'!BD25=Defaults!$I$7,'GHG Calcs'!BD25=Defaults!$I$11,'GHG Calcs'!BD25=Defaults!$I$3,'GHG Calcs'!BD25=Defaults!$I$8,'GHG Calcs'!BD25=Defaults!$I$12),0,IF('GHG Calcs'!$BC25="Transit Bus",BU25,IF('GHG Calcs'!$BC25="Van",CA25,IF('GHG Calcs'!$BC25="Cut-A-Way",CG25,IF('GHG Calcs'!$BC25="Over-Road Coach",CM25,IF('GHG Calcs'!$BC25="Heavy Rail",$CQ25,IF('GHG Calcs'!$BC25="DMU / EMU",$CU25,IF('GHG Calcs'!$BC25="Ferry",$CY25,0))))))))</f>
        <v>0</v>
      </c>
      <c r="BV47" s="1378">
        <f ca="1">(IF(AND('GHG Calcs'!BV25="yes",NOT('GHG Calcs'!BD25=Defaults!$I$5),NOT('GHG Calcs'!BD25=Defaults!$I$7),NOT('GHG Calcs'!BD25=Defaults!$I$11)),0.8,1))*IF('GHG Calcs'!$BE25&gt;0,BP47*'GHG Calcs'!$BE25,BP47*'GHG Calcs'!$BH25)*('GHG Calcs'!$I25-'GHG Calcs'!$H25)</f>
        <v>0</v>
      </c>
      <c r="BW47" s="1378">
        <f ca="1">(IF(AND('GHG Calcs'!BV25="yes",NOT('GHG Calcs'!BD25=Defaults!$I$5),NOT('GHG Calcs'!BD25=Defaults!$I$7),NOT('GHG Calcs'!BD25=Defaults!$I$11)),0.8,1))*IF('GHG Calcs'!$BE25&gt;0,BQ47*'GHG Calcs'!$BE25,BQ47*'GHG Calcs'!$BH25)*('GHG Calcs'!$I25-'GHG Calcs'!$H25)</f>
        <v>0</v>
      </c>
      <c r="BX47" s="1378">
        <f ca="1">((IF(AND('GHG Calcs'!BV25="yes",NOT('GHG Calcs'!BD25=Defaults!$I$5),NOT('GHG Calcs'!BD25=Defaults!$I$7),NOT('GHG Calcs'!BD25=Defaults!$I$11)),0.8,1)*BR47)+BS47+BT47)*IF('GHG Calcs'!$BE25&gt;0,'GHG Calcs'!$BE25,'GHG Calcs'!$BH25)*('GHG Calcs'!$I25-'GHG Calcs'!$H25)</f>
        <v>0</v>
      </c>
      <c r="BY47" s="1378">
        <f ca="1">(IF(AND('GHG Calcs'!BV25="yes",NOT('GHG Calcs'!BD25=Defaults!$I$5),NOT('GHG Calcs'!BD25=Defaults!$I$7),NOT('GHG Calcs'!BD25=Defaults!$I$11)),0.8,1))*IF('GHG Calcs'!$BE25&gt;0,BU47*'GHG Calcs'!$BE25,BU47*'GHG Calcs'!$BH25)*('GHG Calcs'!$I25-'GHG Calcs'!$H25)</f>
        <v>0</v>
      </c>
      <c r="DG47" s="1647"/>
      <c r="DH47" s="1379">
        <v>2</v>
      </c>
      <c r="DI47" s="306">
        <f ca="1">IF(OR('GHG Calcs'!CD25=Defaults!$I$5,'GHG Calcs'!CD25=Defaults!$I$7,'GHG Calcs'!CD25=Defaults!$I$11),0,IF('GHG Calcs'!$CC25="Transit Bus",DI25,IF('GHG Calcs'!$CC25="Van",DO25,IF('GHG Calcs'!$CC25="Cut-A-Way",DU25,IF('GHG Calcs'!$CC25="Over-Road Coach",EA25,IF('GHG Calcs'!$CC25="Heavy Rail",EG25,IF('GHG Calcs'!$CC25="DMU / EMU",EK25,IF('GHG Calcs'!$CC25="Ferry",EO25,0))))))))</f>
        <v>0</v>
      </c>
      <c r="DJ47" s="306">
        <f ca="1">IF(OR('GHG Calcs'!CD25=Defaults!$I$5,'GHG Calcs'!CD25=Defaults!$I$7,'GHG Calcs'!CD25=Defaults!$I$11),0,IF('GHG Calcs'!$CC25="Transit Bus",DJ25,IF('GHG Calcs'!$CC25="Van",DP25,IF('GHG Calcs'!$CC25="Cut-A-Way",DV25,IF('GHG Calcs'!$CC25="Over-Road Coach",EB25,IF('GHG Calcs'!$CC25="Heavy Rail",EH25,IF('GHG Calcs'!$CC25="DMU / EMU",EL25,IF('GHG Calcs'!$CC25="Ferry",EP25,0))))))))</f>
        <v>0</v>
      </c>
      <c r="DK47" s="306">
        <f ca="1">IF(OR('GHG Calcs'!CD25=Defaults!$I$5,'GHG Calcs'!CD25=Defaults!$I$7,'GHG Calcs'!CD25=Defaults!$I$11),0,IF('GHG Calcs'!$CC25="Transit Bus",DK25,IF('GHG Calcs'!$CC25="Van",DQ25,IF('GHG Calcs'!$CC25="Cut-A-Way",DW25,IF('GHG Calcs'!$CC25="Over-Road Coach",EC25,IF('GHG Calcs'!$CC25="Heavy Rail",EI25,IF('GHG Calcs'!$CC25="DMU / EMU",EM25,IF('GHG Calcs'!$CC25="Ferry",EQ25,0))))))))</f>
        <v>0</v>
      </c>
      <c r="DL47" s="306">
        <f ca="1">IF('GHG Calcs'!$CC25="Transit Bus",DL25,IF('GHG Calcs'!$CC25="Van",DR25,IF('GHG Calcs'!$CC25="Cut-A-Way",DX25,IF('GHG Calcs'!$CC25="Over-Road Coach",ED25,0))))</f>
        <v>0</v>
      </c>
      <c r="DM47" s="1419">
        <f ca="1">IF('GHG Calcs'!$CC25="Transit Bus",DM25,IF('GHG Calcs'!$CC25="Van",DS25,IF('GHG Calcs'!$CC25="Cut-A-Way",DY25,IF('GHG Calcs'!$CC25="Over-Road Coach",EE25*IF(OR('GHG Calcs'!CD25=Defaults!$I$5,'GHG Calcs'!CD25=Defaults!$I$7,'GHG Calcs'!CD25=Defaults!$I$11),0.5,1),0))))</f>
        <v>0</v>
      </c>
      <c r="DN47" s="306">
        <f ca="1">IF(OR('GHG Calcs'!CD25=Defaults!$I$5,'GHG Calcs'!CD25=Defaults!$I$7,'GHG Calcs'!CD25=Defaults!$I$11,'GHG Calcs'!CD25=Defaults!$I$3,'GHG Calcs'!CD25=Defaults!$I$8,'GHG Calcs'!CD25=Defaults!$I$12),0,IF('GHG Calcs'!$CC25="Transit Bus",DN25,IF('GHG Calcs'!$CC25="Van",DT25,IF('GHG Calcs'!$CC25="Cut-A-Way",DZ25,IF('GHG Calcs'!$CC25="Over-Road Coach",EF25,IF('GHG Calcs'!$CC25="Heavy Rail",EJ25,IF('GHG Calcs'!$CC25="DMU / EMU",EN25,IF('GHG Calcs'!$CC25="Ferry",ER25,0))))))))</f>
        <v>0</v>
      </c>
      <c r="DO47" s="1378">
        <f ca="1">DI47*'GHG Calcs'!$CE25*('GHG Calcs'!$I25-'GHG Calcs'!$H25)</f>
        <v>0</v>
      </c>
      <c r="DP47" s="1378">
        <f ca="1">DJ47*'GHG Calcs'!$CE25*('GHG Calcs'!$I25-'GHG Calcs'!$H25)</f>
        <v>0</v>
      </c>
      <c r="DQ47" s="1378">
        <f ca="1">(DK47+DL47+DM47)*'GHG Calcs'!$CE25*('GHG Calcs'!$I25-'GHG Calcs'!$H25)</f>
        <v>0</v>
      </c>
      <c r="DR47" s="1378">
        <f ca="1">DN47*'GHG Calcs'!$CE25*('GHG Calcs'!$I25-'GHG Calcs'!$H25)</f>
        <v>0</v>
      </c>
    </row>
    <row r="48" spans="16:122" s="117" customFormat="1" ht="19.5" customHeight="1" x14ac:dyDescent="0.35">
      <c r="T48" s="1648"/>
      <c r="U48" s="1379">
        <v>3</v>
      </c>
      <c r="V48" s="306">
        <f ca="1">IF(OR('GHG Calcs'!AD26=Defaults!$I$5,'GHG Calcs'!AD26=Defaults!$I$7,'GHG Calcs'!AD26=Defaults!$I$11),0,IF('GHG Calcs'!$AC26="Transit Bus",V26,IF('GHG Calcs'!$AC26="Van",AB26,IF('GHG Calcs'!$AC26="Cut-A-Way",AH26,IF('GHG Calcs'!$AC26="Over-Road Coach",AN26,IF('GHG Calcs'!$AC26="Heavy Rail",$AT26,IF('GHG Calcs'!$AC26="DMU / EMU",$AX26,IF('GHG Calcs'!$AC26="Ferry",BB26,0))))))))</f>
        <v>0</v>
      </c>
      <c r="W48" s="306">
        <f ca="1">IF(OR('GHG Calcs'!AD26=Defaults!$I$5,'GHG Calcs'!AD26=Defaults!$I$7,'GHG Calcs'!AD26=Defaults!$I$11),0,IF('GHG Calcs'!$AC26="Transit Bus",W26,IF('GHG Calcs'!$AC26="Van",AC26,IF('GHG Calcs'!$AC26="Cut-A-Way",AI26,IF('GHG Calcs'!$AC26="Over-Road Coach",AO26,IF('GHG Calcs'!$AC26="Heavy Rail",$AU26,IF('GHG Calcs'!$AC26="DMU / EMU",$AY26,IF('GHG Calcs'!$AC26="Ferry",BC26,0))))))))</f>
        <v>0</v>
      </c>
      <c r="X48" s="306">
        <f ca="1">IF(OR('GHG Calcs'!AD26=Defaults!$I$5,'GHG Calcs'!AD26=Defaults!$I$7,'GHG Calcs'!AD26=Defaults!$I$11),0,IF('GHG Calcs'!$AC26="Transit Bus",X26,IF('GHG Calcs'!$AC26="Van",AD26,IF('GHG Calcs'!$AC26="Cut-A-Way",AJ26,IF('GHG Calcs'!$AC26="Over-Road Coach",AP26,IF('GHG Calcs'!$AC26="Heavy Rail",$AV26,IF('GHG Calcs'!$AC26="DMU / EMU",$AZ26,IF('GHG Calcs'!$AC26="Ferry",BD26,0))))))))</f>
        <v>0</v>
      </c>
      <c r="Y48" s="306">
        <f ca="1">IF('GHG Calcs'!$AC26="Transit Bus",Y26,IF('GHG Calcs'!$AC26="Van",AE26,IF('GHG Calcs'!$AC26="Cut-A-Way",AK26,IF('GHG Calcs'!$AC26="Over-Road Coach",AQ26,0))))</f>
        <v>0</v>
      </c>
      <c r="Z48" s="1419">
        <f ca="1">IF('GHG Calcs'!$AC26="Transit Bus",Z26,IF('GHG Calcs'!$AC26="Van",AF26,IF('GHG Calcs'!$AC26="Cut-A-Way",AL26,IF('GHG Calcs'!$AC26="Over-Road Coach",AR26*IF(OR('GHG Calcs'!AV26="Yes",'GHG Calcs'!AD26=Defaults!$I$5,'GHG Calcs'!AD26=Defaults!$I$7,'GHG Calcs'!AD26=Defaults!$I$11),0.5,1),0))))</f>
        <v>0</v>
      </c>
      <c r="AA48" s="306">
        <f ca="1">IF(OR('GHG Calcs'!AD26=Defaults!$I$5,'GHG Calcs'!AD26=Defaults!$I$7,'GHG Calcs'!AD26=Defaults!$I$11,'GHG Calcs'!AD26=Defaults!$I$3,'GHG Calcs'!AD26=Defaults!$I$8,'GHG Calcs'!AD26=Defaults!$I$12),0,IF('GHG Calcs'!$AC26="Transit Bus",AA26,IF('GHG Calcs'!$AC26="Van",AG26,IF('GHG Calcs'!$AC26="Cut-A-Way",AM26,IF('GHG Calcs'!$AC26="Over-Road Coach",AS26,IF('GHG Calcs'!$AC26="Heavy Rail",$AW26,IF('GHG Calcs'!$AC26="DMU / EMU",$BA26,IF('GHG Calcs'!$AC26="Ferry",BE26,0))))))))</f>
        <v>0</v>
      </c>
      <c r="AB48" s="1378">
        <f ca="1">(IF(AND('GHG Calcs'!AV26="yes",NOT('GHG Calcs'!AD26=Defaults!$I$5),NOT('GHG Calcs'!AD26=Defaults!$I$7),NOT('GHG Calcs'!AD26=Defaults!$I$11)),0.8,1))*IF('GHG Calcs'!$AE26&gt;0,V48*'GHG Calcs'!$AE26,V48*'GHG Calcs'!$AI26)*('GHG Calcs'!$I26-'GHG Calcs'!$H26)</f>
        <v>0</v>
      </c>
      <c r="AC48" s="1378">
        <f ca="1">(IF(AND('GHG Calcs'!AV26="yes",NOT('GHG Calcs'!AD26=Defaults!$I$5),NOT('GHG Calcs'!AD26=Defaults!$I$7),NOT('GHG Calcs'!AD26=Defaults!$I$11)),0.8,1))*IF('GHG Calcs'!$AE26&gt;0,W48*'GHG Calcs'!$AE26,W48*'GHG Calcs'!$AI26)*('GHG Calcs'!$I26-'GHG Calcs'!$H26)</f>
        <v>0</v>
      </c>
      <c r="AD48" s="1378">
        <f ca="1">((IF(AND('GHG Calcs'!AV26="yes",NOT('GHG Calcs'!AD26=Defaults!$I$5),NOT('GHG Calcs'!AD26=Defaults!$I$7),NOT('GHG Calcs'!AD26=Defaults!$I$11)),0.8,1)*X48)+Y48+Z48)*IF('GHG Calcs'!$AE26&gt;0,'GHG Calcs'!$AE26,'GHG Calcs'!$AI26)*('GHG Calcs'!$I26-'GHG Calcs'!$H26)</f>
        <v>0</v>
      </c>
      <c r="AE48" s="1378">
        <f ca="1">(IF(AND('GHG Calcs'!AV26="yes",NOT('GHG Calcs'!AD26=Defaults!$I$5),NOT('GHG Calcs'!AD26=Defaults!$I$7),NOT('GHG Calcs'!AD26=Defaults!$I$11)),0.8,1))*IF('GHG Calcs'!$AE26&gt;0,AA48*'GHG Calcs'!$AE26,AA48*'GHG Calcs'!$AI26)*('GHG Calcs'!$I26-'GHG Calcs'!$H26)</f>
        <v>0</v>
      </c>
      <c r="BN48" s="1648"/>
      <c r="BO48" s="1379">
        <v>3</v>
      </c>
      <c r="BP48" s="306">
        <f ca="1">IF(OR('GHG Calcs'!BD26=Defaults!$I$5,'GHG Calcs'!BD26=Defaults!$I$7,'GHG Calcs'!BD26=Defaults!$I$11),0,IF('GHG Calcs'!$BC26="Transit Bus",BP26,IF('GHG Calcs'!$BC26="Van",BV26,IF('GHG Calcs'!$BC26="Cut-A-Way",CB26,IF('GHG Calcs'!$BC26="Over-Road Coach",CH26,IF('GHG Calcs'!$BC26="Heavy Rail",$CN26,IF('GHG Calcs'!$BC26="DMU / EMU",$CR26,IF('GHG Calcs'!$BC26="Ferry",$CV26,0))))))))</f>
        <v>0</v>
      </c>
      <c r="BQ48" s="306">
        <f ca="1">IF(OR('GHG Calcs'!BD26=Defaults!$I$5,'GHG Calcs'!BD26=Defaults!$I$7,'GHG Calcs'!BD26=Defaults!$I$11),0,IF('GHG Calcs'!$BC26="Transit Bus",BQ26,IF('GHG Calcs'!$BC26="Van",BW26,IF('GHG Calcs'!$BC26="Cut-A-Way",CC26,IF('GHG Calcs'!$BC26="Over-Road Coach",CI26,IF('GHG Calcs'!$BC26="Heavy Rail",$CO26,IF('GHG Calcs'!$BC26="DMU / EMU",$CS26,IF('GHG Calcs'!$BC26="Ferry",$CW26,0))))))))</f>
        <v>0</v>
      </c>
      <c r="BR48" s="306">
        <f ca="1">IF(OR('GHG Calcs'!BD26=Defaults!$I$5,'GHG Calcs'!BD26=Defaults!$I$7,'GHG Calcs'!BD26=Defaults!$I$11),0,IF('GHG Calcs'!$BC26="Transit Bus",BR26,IF('GHG Calcs'!$BC26="Van",BX26,IF('GHG Calcs'!$BC26="Cut-A-Way",CD26,IF('GHG Calcs'!$BC26="Over-Road Coach",CJ26,IF('GHG Calcs'!$BC26="Heavy Rail",$CP26,IF('GHG Calcs'!$BC26="DMU / EMU",$CT26,IF('GHG Calcs'!$BC26="Ferry",$CX26,0))))))))</f>
        <v>0</v>
      </c>
      <c r="BS48" s="306">
        <f ca="1">IF('GHG Calcs'!$BC26="Transit Bus",BS26,IF('GHG Calcs'!$BC26="Van",BY26,IF('GHG Calcs'!$BC26="Cut-A-Way",CE26,IF('GHG Calcs'!$BC26="Over-Road Coach",CK26,0))))</f>
        <v>0</v>
      </c>
      <c r="BT48" s="1419">
        <f ca="1">IF('GHG Calcs'!$BC26="Transit Bus",BT26,IF('GHG Calcs'!$BC26="Van",BZ26,IF('GHG Calcs'!$BC26="Cut-A-Way",CF26,IF('GHG Calcs'!$BC26="Over-Road Coach",CL26*IF(OR('GHG Calcs'!BV26="Yes",'GHG Calcs'!BD26=Defaults!$I$5,'GHG Calcs'!BD26=Defaults!$I$7,'GHG Calcs'!BD26=Defaults!$I$11),0.5,1),0))))</f>
        <v>0</v>
      </c>
      <c r="BU48" s="306">
        <f ca="1">IF(OR('GHG Calcs'!BD26=Defaults!$I$5,'GHG Calcs'!BD26=Defaults!$I$7,'GHG Calcs'!BD26=Defaults!$I$11,'GHG Calcs'!BD26=Defaults!$I$3,'GHG Calcs'!BD26=Defaults!$I$8,'GHG Calcs'!BD26=Defaults!$I$12),0,IF('GHG Calcs'!$BC26="Transit Bus",BU26,IF('GHG Calcs'!$BC26="Van",CA26,IF('GHG Calcs'!$BC26="Cut-A-Way",CG26,IF('GHG Calcs'!$BC26="Over-Road Coach",CM26,IF('GHG Calcs'!$BC26="Heavy Rail",$CQ26,IF('GHG Calcs'!$BC26="DMU / EMU",$CU26,IF('GHG Calcs'!$BC26="Ferry",$CY26,0))))))))</f>
        <v>0</v>
      </c>
      <c r="BV48" s="1378">
        <f ca="1">(IF(AND('GHG Calcs'!BV26="yes",NOT('GHG Calcs'!BD26=Defaults!$I$5),NOT('GHG Calcs'!BD26=Defaults!$I$7),NOT('GHG Calcs'!BD26=Defaults!$I$11)),0.8,1))*IF('GHG Calcs'!$BE26&gt;0,BP48*'GHG Calcs'!$BE26,BP48*'GHG Calcs'!$BH26)*('GHG Calcs'!$I26-'GHG Calcs'!$H26)</f>
        <v>0</v>
      </c>
      <c r="BW48" s="1378">
        <f ca="1">(IF(AND('GHG Calcs'!BV26="yes",NOT('GHG Calcs'!BD26=Defaults!$I$5),NOT('GHG Calcs'!BD26=Defaults!$I$7),NOT('GHG Calcs'!BD26=Defaults!$I$11)),0.8,1))*IF('GHG Calcs'!$BE26&gt;0,BQ48*'GHG Calcs'!$BE26,BQ48*'GHG Calcs'!$BH26)*('GHG Calcs'!$I26-'GHG Calcs'!$H26)</f>
        <v>0</v>
      </c>
      <c r="BX48" s="1378">
        <f ca="1">((IF(AND('GHG Calcs'!BV26="yes",NOT('GHG Calcs'!BD26=Defaults!$I$5),NOT('GHG Calcs'!BD26=Defaults!$I$7),NOT('GHG Calcs'!BD26=Defaults!$I$11)),0.8,1)*BR48)+BS48+BT48)*IF('GHG Calcs'!$BE26&gt;0,'GHG Calcs'!$BE26,'GHG Calcs'!$BH26)*('GHG Calcs'!$I26-'GHG Calcs'!$H26)</f>
        <v>0</v>
      </c>
      <c r="BY48" s="1378">
        <f ca="1">(IF(AND('GHG Calcs'!BV26="yes",NOT('GHG Calcs'!BD26=Defaults!$I$5),NOT('GHG Calcs'!BD26=Defaults!$I$7),NOT('GHG Calcs'!BD26=Defaults!$I$11)),0.8,1))*IF('GHG Calcs'!$BE26&gt;0,BU48*'GHG Calcs'!$BE26,BU48*'GHG Calcs'!$BH26)*('GHG Calcs'!$I26-'GHG Calcs'!$H26)</f>
        <v>0</v>
      </c>
      <c r="DG48" s="1648"/>
      <c r="DH48" s="1379">
        <v>3</v>
      </c>
      <c r="DI48" s="306">
        <f ca="1">IF(OR('GHG Calcs'!CD26=Defaults!$I$5,'GHG Calcs'!CD26=Defaults!$I$7,'GHG Calcs'!CD26=Defaults!$I$11),0,IF('GHG Calcs'!$CC26="Transit Bus",DI26,IF('GHG Calcs'!$CC26="Van",DO26,IF('GHG Calcs'!$CC26="Cut-A-Way",DU26,IF('GHG Calcs'!$CC26="Over-Road Coach",EA26,IF('GHG Calcs'!$CC26="Heavy Rail",EG26,IF('GHG Calcs'!$CC26="DMU / EMU",EK26,IF('GHG Calcs'!$CC26="Ferry",EO26,0))))))))</f>
        <v>0</v>
      </c>
      <c r="DJ48" s="306">
        <f ca="1">IF(OR('GHG Calcs'!CD26=Defaults!$I$5,'GHG Calcs'!CD26=Defaults!$I$7,'GHG Calcs'!CD26=Defaults!$I$11),0,IF('GHG Calcs'!$CC26="Transit Bus",DJ26,IF('GHG Calcs'!$CC26="Van",DP26,IF('GHG Calcs'!$CC26="Cut-A-Way",DV26,IF('GHG Calcs'!$CC26="Over-Road Coach",EB26,IF('GHG Calcs'!$CC26="Heavy Rail",EH26,IF('GHG Calcs'!$CC26="DMU / EMU",EL26,IF('GHG Calcs'!$CC26="Ferry",EP26,0))))))))</f>
        <v>0</v>
      </c>
      <c r="DK48" s="306">
        <f ca="1">IF(OR('GHG Calcs'!CD26=Defaults!$I$5,'GHG Calcs'!CD26=Defaults!$I$7,'GHG Calcs'!CD26=Defaults!$I$11),0,IF('GHG Calcs'!$CC26="Transit Bus",DK26,IF('GHG Calcs'!$CC26="Van",DQ26,IF('GHG Calcs'!$CC26="Cut-A-Way",DW26,IF('GHG Calcs'!$CC26="Over-Road Coach",EC26,IF('GHG Calcs'!$CC26="Heavy Rail",EI26,IF('GHG Calcs'!$CC26="DMU / EMU",EM26,IF('GHG Calcs'!$CC26="Ferry",EQ26,0))))))))</f>
        <v>0</v>
      </c>
      <c r="DL48" s="306">
        <f ca="1">IF('GHG Calcs'!$CC26="Transit Bus",DL26,IF('GHG Calcs'!$CC26="Van",DR26,IF('GHG Calcs'!$CC26="Cut-A-Way",DX26,IF('GHG Calcs'!$CC26="Over-Road Coach",ED26,0))))</f>
        <v>0</v>
      </c>
      <c r="DM48" s="1419">
        <f ca="1">IF('GHG Calcs'!$CC26="Transit Bus",DM26,IF('GHG Calcs'!$CC26="Van",DS26,IF('GHG Calcs'!$CC26="Cut-A-Way",DY26,IF('GHG Calcs'!$CC26="Over-Road Coach",EE26*IF(OR('GHG Calcs'!CD26=Defaults!$I$5,'GHG Calcs'!CD26=Defaults!$I$7,'GHG Calcs'!CD26=Defaults!$I$11),0.5,1),0))))</f>
        <v>0</v>
      </c>
      <c r="DN48" s="306">
        <f ca="1">IF(OR('GHG Calcs'!CD26=Defaults!$I$5,'GHG Calcs'!CD26=Defaults!$I$7,'GHG Calcs'!CD26=Defaults!$I$11,'GHG Calcs'!CD26=Defaults!$I$3,'GHG Calcs'!CD26=Defaults!$I$8,'GHG Calcs'!CD26=Defaults!$I$12),0,IF('GHG Calcs'!$CC26="Transit Bus",DN26,IF('GHG Calcs'!$CC26="Van",DT26,IF('GHG Calcs'!$CC26="Cut-A-Way",DZ26,IF('GHG Calcs'!$CC26="Over-Road Coach",EF26,IF('GHG Calcs'!$CC26="Heavy Rail",EJ26,IF('GHG Calcs'!$CC26="DMU / EMU",EN26,IF('GHG Calcs'!$CC26="Ferry",ER26,0))))))))</f>
        <v>0</v>
      </c>
      <c r="DO48" s="1378">
        <f ca="1">DI48*'GHG Calcs'!$CE26*('GHG Calcs'!$I26-'GHG Calcs'!$H26)</f>
        <v>0</v>
      </c>
      <c r="DP48" s="1378">
        <f ca="1">DJ48*'GHG Calcs'!$CE26*('GHG Calcs'!$I26-'GHG Calcs'!$H26)</f>
        <v>0</v>
      </c>
      <c r="DQ48" s="1378">
        <f ca="1">(DK48+DL48+DM48)*'GHG Calcs'!$CE26*('GHG Calcs'!$I26-'GHG Calcs'!$H26)</f>
        <v>0</v>
      </c>
      <c r="DR48" s="1378">
        <f ca="1">DN48*'GHG Calcs'!$CE26*('GHG Calcs'!$I26-'GHG Calcs'!$H26)</f>
        <v>0</v>
      </c>
    </row>
    <row r="49" spans="5:122" s="117" customFormat="1" ht="19.5" customHeight="1" x14ac:dyDescent="0.35">
      <c r="T49" s="1646">
        <v>6</v>
      </c>
      <c r="U49" s="1380">
        <v>1</v>
      </c>
      <c r="V49" s="306">
        <f ca="1">IF(OR('GHG Calcs'!AD27=Defaults!$I$5,'GHG Calcs'!AD27=Defaults!$I$7,'GHG Calcs'!AD27=Defaults!$I$11),0,IF('GHG Calcs'!$AC27="Transit Bus",V27,IF('GHG Calcs'!$AC27="Van",AB27,IF('GHG Calcs'!$AC27="Cut-A-Way",AH27,IF('GHG Calcs'!$AC27="Over-Road Coach",AN27,IF('GHG Calcs'!$AC27="Heavy Rail",$AT27,IF('GHG Calcs'!$AC27="DMU / EMU",$AX27,IF('GHG Calcs'!$AC27="Ferry",BB27,0))))))))</f>
        <v>0</v>
      </c>
      <c r="W49" s="306">
        <f ca="1">IF(OR('GHG Calcs'!AD27=Defaults!$I$5,'GHG Calcs'!AD27=Defaults!$I$7,'GHG Calcs'!AD27=Defaults!$I$11),0,IF('GHG Calcs'!$AC27="Transit Bus",W27,IF('GHG Calcs'!$AC27="Van",AC27,IF('GHG Calcs'!$AC27="Cut-A-Way",AI27,IF('GHG Calcs'!$AC27="Over-Road Coach",AO27,IF('GHG Calcs'!$AC27="Heavy Rail",$AU27,IF('GHG Calcs'!$AC27="DMU / EMU",$AY27,IF('GHG Calcs'!$AC27="Ferry",BC27,0))))))))</f>
        <v>0</v>
      </c>
      <c r="X49" s="306">
        <f ca="1">IF(OR('GHG Calcs'!AD27=Defaults!$I$5,'GHG Calcs'!AD27=Defaults!$I$7,'GHG Calcs'!AD27=Defaults!$I$11),0,IF('GHG Calcs'!$AC27="Transit Bus",X27,IF('GHG Calcs'!$AC27="Van",AD27,IF('GHG Calcs'!$AC27="Cut-A-Way",AJ27,IF('GHG Calcs'!$AC27="Over-Road Coach",AP27,IF('GHG Calcs'!$AC27="Heavy Rail",$AV27,IF('GHG Calcs'!$AC27="DMU / EMU",$AZ27,IF('GHG Calcs'!$AC27="Ferry",BD27,0))))))))</f>
        <v>0</v>
      </c>
      <c r="Y49" s="306">
        <f ca="1">IF('GHG Calcs'!$AC27="Transit Bus",Y27,IF('GHG Calcs'!$AC27="Van",AE27,IF('GHG Calcs'!$AC27="Cut-A-Way",AK27,IF('GHG Calcs'!$AC27="Over-Road Coach",AQ27,0))))</f>
        <v>0</v>
      </c>
      <c r="Z49" s="1419">
        <f ca="1">IF('GHG Calcs'!$AC27="Transit Bus",Z27,IF('GHG Calcs'!$AC27="Van",AF27,IF('GHG Calcs'!$AC27="Cut-A-Way",AL27,IF('GHG Calcs'!$AC27="Over-Road Coach",AR27*IF(OR('GHG Calcs'!AV27="Yes",'GHG Calcs'!AD27=Defaults!$I$5,'GHG Calcs'!AD27=Defaults!$I$7,'GHG Calcs'!AD27=Defaults!$I$11),0.5,1),0))))</f>
        <v>0</v>
      </c>
      <c r="AA49" s="306">
        <f ca="1">IF(OR('GHG Calcs'!AD27=Defaults!$I$5,'GHG Calcs'!AD27=Defaults!$I$7,'GHG Calcs'!AD27=Defaults!$I$11,'GHG Calcs'!AD27=Defaults!$I$3,'GHG Calcs'!AD27=Defaults!$I$8,'GHG Calcs'!AD27=Defaults!$I$12),0,IF('GHG Calcs'!$AC27="Transit Bus",AA27,IF('GHG Calcs'!$AC27="Van",AG27,IF('GHG Calcs'!$AC27="Cut-A-Way",AM27,IF('GHG Calcs'!$AC27="Over-Road Coach",AS27,IF('GHG Calcs'!$AC27="Heavy Rail",$AW27,IF('GHG Calcs'!$AC27="DMU / EMU",$BA27,IF('GHG Calcs'!$AC27="Ferry",BE27,0))))))))</f>
        <v>0</v>
      </c>
      <c r="AB49" s="1378">
        <f ca="1">(IF(AND('GHG Calcs'!AV27="yes",NOT('GHG Calcs'!AD27=Defaults!$I$5),NOT('GHG Calcs'!AD27=Defaults!$I$7),NOT('GHG Calcs'!AD27=Defaults!$I$11)),0.8,1))*IF('GHG Calcs'!$AE27&gt;0,V49*'GHG Calcs'!$AE27,V49*'GHG Calcs'!$AI27)*('GHG Calcs'!$I27-'GHG Calcs'!$H27)</f>
        <v>0</v>
      </c>
      <c r="AC49" s="1378">
        <f ca="1">(IF(AND('GHG Calcs'!AV27="yes",NOT('GHG Calcs'!AD27=Defaults!$I$5),NOT('GHG Calcs'!AD27=Defaults!$I$7),NOT('GHG Calcs'!AD27=Defaults!$I$11)),0.8,1))*IF('GHG Calcs'!$AE27&gt;0,W49*'GHG Calcs'!$AE27,W49*'GHG Calcs'!$AI27)*('GHG Calcs'!$I27-'GHG Calcs'!$H27)</f>
        <v>0</v>
      </c>
      <c r="AD49" s="1378">
        <f ca="1">((IF(AND('GHG Calcs'!AV27="yes",NOT('GHG Calcs'!AD27=Defaults!$I$5),NOT('GHG Calcs'!AD27=Defaults!$I$7),NOT('GHG Calcs'!AD27=Defaults!$I$11)),0.8,1)*X49)+Y49+Z49)*IF('GHG Calcs'!$AE27&gt;0,'GHG Calcs'!$AE27,'GHG Calcs'!$AI27)*('GHG Calcs'!$I27-'GHG Calcs'!$H27)</f>
        <v>0</v>
      </c>
      <c r="AE49" s="1378">
        <f ca="1">(IF(AND('GHG Calcs'!AV27="yes",NOT('GHG Calcs'!AD27=Defaults!$I$5),NOT('GHG Calcs'!AD27=Defaults!$I$7),NOT('GHG Calcs'!AD27=Defaults!$I$11)),0.8,1))*IF('GHG Calcs'!$AE27&gt;0,AA49*'GHG Calcs'!$AE27,AA49*'GHG Calcs'!$AI27)*('GHG Calcs'!$I27-'GHG Calcs'!$H27)</f>
        <v>0</v>
      </c>
      <c r="BN49" s="1646">
        <v>6</v>
      </c>
      <c r="BO49" s="1380">
        <v>1</v>
      </c>
      <c r="BP49" s="306">
        <f ca="1">IF(OR('GHG Calcs'!BD27=Defaults!$I$5,'GHG Calcs'!BD27=Defaults!$I$7,'GHG Calcs'!BD27=Defaults!$I$11),0,IF('GHG Calcs'!$BC27="Transit Bus",BP27,IF('GHG Calcs'!$BC27="Van",BV27,IF('GHG Calcs'!$BC27="Cut-A-Way",CB27,IF('GHG Calcs'!$BC27="Over-Road Coach",CH27,IF('GHG Calcs'!$BC27="Heavy Rail",$CN27,IF('GHG Calcs'!$BC27="DMU / EMU",$CR27,IF('GHG Calcs'!$BC27="Ferry",$CV27,0))))))))</f>
        <v>0</v>
      </c>
      <c r="BQ49" s="306">
        <f ca="1">IF(OR('GHG Calcs'!BD27=Defaults!$I$5,'GHG Calcs'!BD27=Defaults!$I$7,'GHG Calcs'!BD27=Defaults!$I$11),0,IF('GHG Calcs'!$BC27="Transit Bus",BQ27,IF('GHG Calcs'!$BC27="Van",BW27,IF('GHG Calcs'!$BC27="Cut-A-Way",CC27,IF('GHG Calcs'!$BC27="Over-Road Coach",CI27,IF('GHG Calcs'!$BC27="Heavy Rail",$CO27,IF('GHG Calcs'!$BC27="DMU / EMU",$CS27,IF('GHG Calcs'!$BC27="Ferry",$CW27,0))))))))</f>
        <v>0</v>
      </c>
      <c r="BR49" s="306">
        <f ca="1">IF(OR('GHG Calcs'!BD27=Defaults!$I$5,'GHG Calcs'!BD27=Defaults!$I$7,'GHG Calcs'!BD27=Defaults!$I$11),0,IF('GHG Calcs'!$BC27="Transit Bus",BR27,IF('GHG Calcs'!$BC27="Van",BX27,IF('GHG Calcs'!$BC27="Cut-A-Way",CD27,IF('GHG Calcs'!$BC27="Over-Road Coach",CJ27,IF('GHG Calcs'!$BC27="Heavy Rail",$CP27,IF('GHG Calcs'!$BC27="DMU / EMU",$CT27,IF('GHG Calcs'!$BC27="Ferry",$CX27,0))))))))</f>
        <v>0</v>
      </c>
      <c r="BS49" s="306">
        <f ca="1">IF('GHG Calcs'!$BC27="Transit Bus",BS27,IF('GHG Calcs'!$BC27="Van",BY27,IF('GHG Calcs'!$BC27="Cut-A-Way",CE27,IF('GHG Calcs'!$BC27="Over-Road Coach",CK27,0))))</f>
        <v>0</v>
      </c>
      <c r="BT49" s="1419">
        <f ca="1">IF('GHG Calcs'!$BC27="Transit Bus",BT27,IF('GHG Calcs'!$BC27="Van",BZ27,IF('GHG Calcs'!$BC27="Cut-A-Way",CF27,IF('GHG Calcs'!$BC27="Over-Road Coach",CL27*IF(OR('GHG Calcs'!BV27="Yes",'GHG Calcs'!BD27=Defaults!$I$5,'GHG Calcs'!BD27=Defaults!$I$7,'GHG Calcs'!BD27=Defaults!$I$11),0.5,1),0))))</f>
        <v>0</v>
      </c>
      <c r="BU49" s="306">
        <f ca="1">IF(OR('GHG Calcs'!BD27=Defaults!$I$5,'GHG Calcs'!BD27=Defaults!$I$7,'GHG Calcs'!BD27=Defaults!$I$11,'GHG Calcs'!BD27=Defaults!$I$3,'GHG Calcs'!BD27=Defaults!$I$8,'GHG Calcs'!BD27=Defaults!$I$12),0,IF('GHG Calcs'!$BC27="Transit Bus",BU27,IF('GHG Calcs'!$BC27="Van",CA27,IF('GHG Calcs'!$BC27="Cut-A-Way",CG27,IF('GHG Calcs'!$BC27="Over-Road Coach",CM27,IF('GHG Calcs'!$BC27="Heavy Rail",$CQ27,IF('GHG Calcs'!$BC27="DMU / EMU",$CU27,IF('GHG Calcs'!$BC27="Ferry",$CY27,0))))))))</f>
        <v>0</v>
      </c>
      <c r="BV49" s="1378">
        <f ca="1">(IF(AND('GHG Calcs'!BV27="yes",NOT('GHG Calcs'!BD27=Defaults!$I$5),NOT('GHG Calcs'!BD27=Defaults!$I$7),NOT('GHG Calcs'!BD27=Defaults!$I$11)),0.8,1))*IF('GHG Calcs'!$BE27&gt;0,BP49*'GHG Calcs'!$BE27,BP49*'GHG Calcs'!$BH27)*('GHG Calcs'!$I27-'GHG Calcs'!$H27)</f>
        <v>0</v>
      </c>
      <c r="BW49" s="1378">
        <f ca="1">(IF(AND('GHG Calcs'!BV27="yes",NOT('GHG Calcs'!BD27=Defaults!$I$5),NOT('GHG Calcs'!BD27=Defaults!$I$7),NOT('GHG Calcs'!BD27=Defaults!$I$11)),0.8,1))*IF('GHG Calcs'!$BE27&gt;0,BQ49*'GHG Calcs'!$BE27,BQ49*'GHG Calcs'!$BH27)*('GHG Calcs'!$I27-'GHG Calcs'!$H27)</f>
        <v>0</v>
      </c>
      <c r="BX49" s="1378">
        <f ca="1">((IF(AND('GHG Calcs'!BV27="yes",NOT('GHG Calcs'!BD27=Defaults!$I$5),NOT('GHG Calcs'!BD27=Defaults!$I$7),NOT('GHG Calcs'!BD27=Defaults!$I$11)),0.8,1)*BR49)+BS49+BT49)*IF('GHG Calcs'!$BE27&gt;0,'GHG Calcs'!$BE27,'GHG Calcs'!$BH27)*('GHG Calcs'!$I27-'GHG Calcs'!$H27)</f>
        <v>0</v>
      </c>
      <c r="BY49" s="1378">
        <f ca="1">(IF(AND('GHG Calcs'!BV27="yes",NOT('GHG Calcs'!BD27=Defaults!$I$5),NOT('GHG Calcs'!BD27=Defaults!$I$7),NOT('GHG Calcs'!BD27=Defaults!$I$11)),0.8,1))*IF('GHG Calcs'!$BE27&gt;0,BU49*'GHG Calcs'!$BE27,BU49*'GHG Calcs'!$BH27)*('GHG Calcs'!$I27-'GHG Calcs'!$H27)</f>
        <v>0</v>
      </c>
      <c r="DG49" s="1646">
        <v>6</v>
      </c>
      <c r="DH49" s="1380">
        <v>1</v>
      </c>
      <c r="DI49" s="306">
        <f ca="1">IF(OR('GHG Calcs'!CD27=Defaults!$I$5,'GHG Calcs'!CD27=Defaults!$I$7,'GHG Calcs'!CD27=Defaults!$I$11),0,IF('GHG Calcs'!$CC27="Transit Bus",DI27,IF('GHG Calcs'!$CC27="Van",DO27,IF('GHG Calcs'!$CC27="Cut-A-Way",DU27,IF('GHG Calcs'!$CC27="Over-Road Coach",EA27,IF('GHG Calcs'!$CC27="Heavy Rail",EG27,IF('GHG Calcs'!$CC27="DMU / EMU",EK27,IF('GHG Calcs'!$CC27="Ferry",EO27,0))))))))</f>
        <v>0</v>
      </c>
      <c r="DJ49" s="306">
        <f ca="1">IF(OR('GHG Calcs'!CD27=Defaults!$I$5,'GHG Calcs'!CD27=Defaults!$I$7,'GHG Calcs'!CD27=Defaults!$I$11),0,IF('GHG Calcs'!$CC27="Transit Bus",DJ27,IF('GHG Calcs'!$CC27="Van",DP27,IF('GHG Calcs'!$CC27="Cut-A-Way",DV27,IF('GHG Calcs'!$CC27="Over-Road Coach",EB27,IF('GHG Calcs'!$CC27="Heavy Rail",EH27,IF('GHG Calcs'!$CC27="DMU / EMU",EL27,IF('GHG Calcs'!$CC27="Ferry",EP27,0))))))))</f>
        <v>0</v>
      </c>
      <c r="DK49" s="306">
        <f ca="1">IF(OR('GHG Calcs'!CD27=Defaults!$I$5,'GHG Calcs'!CD27=Defaults!$I$7,'GHG Calcs'!CD27=Defaults!$I$11),0,IF('GHG Calcs'!$CC27="Transit Bus",DK27,IF('GHG Calcs'!$CC27="Van",DQ27,IF('GHG Calcs'!$CC27="Cut-A-Way",DW27,IF('GHG Calcs'!$CC27="Over-Road Coach",EC27,IF('GHG Calcs'!$CC27="Heavy Rail",EI27,IF('GHG Calcs'!$CC27="DMU / EMU",EM27,IF('GHG Calcs'!$CC27="Ferry",EQ27,0))))))))</f>
        <v>0</v>
      </c>
      <c r="DL49" s="306">
        <f ca="1">IF('GHG Calcs'!$CC27="Transit Bus",DL27,IF('GHG Calcs'!$CC27="Van",DR27,IF('GHG Calcs'!$CC27="Cut-A-Way",DX27,IF('GHG Calcs'!$CC27="Over-Road Coach",ED27,0))))</f>
        <v>0</v>
      </c>
      <c r="DM49" s="1419">
        <f ca="1">IF('GHG Calcs'!$CC27="Transit Bus",DM27,IF('GHG Calcs'!$CC27="Van",DS27,IF('GHG Calcs'!$CC27="Cut-A-Way",DY27,IF('GHG Calcs'!$CC27="Over-Road Coach",EE27*IF(OR('GHG Calcs'!CD27=Defaults!$I$5,'GHG Calcs'!CD27=Defaults!$I$7,'GHG Calcs'!CD27=Defaults!$I$11),0.5,1),0))))</f>
        <v>0</v>
      </c>
      <c r="DN49" s="306">
        <f ca="1">IF(OR('GHG Calcs'!CD27=Defaults!$I$5,'GHG Calcs'!CD27=Defaults!$I$7,'GHG Calcs'!CD27=Defaults!$I$11,'GHG Calcs'!CD27=Defaults!$I$3,'GHG Calcs'!CD27=Defaults!$I$8,'GHG Calcs'!CD27=Defaults!$I$12),0,IF('GHG Calcs'!$CC27="Transit Bus",DN27,IF('GHG Calcs'!$CC27="Van",DT27,IF('GHG Calcs'!$CC27="Cut-A-Way",DZ27,IF('GHG Calcs'!$CC27="Over-Road Coach",EF27,IF('GHG Calcs'!$CC27="Heavy Rail",EJ27,IF('GHG Calcs'!$CC27="DMU / EMU",EN27,IF('GHG Calcs'!$CC27="Ferry",ER27,0))))))))</f>
        <v>0</v>
      </c>
      <c r="DO49" s="1378">
        <f ca="1">DI49*'GHG Calcs'!$CE27*('GHG Calcs'!$I27-'GHG Calcs'!$H27)</f>
        <v>0</v>
      </c>
      <c r="DP49" s="1378">
        <f ca="1">DJ49*'GHG Calcs'!$CE27*('GHG Calcs'!$I27-'GHG Calcs'!$H27)</f>
        <v>0</v>
      </c>
      <c r="DQ49" s="1378">
        <f ca="1">(DK49+DL49+DM49)*'GHG Calcs'!$CE27*('GHG Calcs'!$I27-'GHG Calcs'!$H27)</f>
        <v>0</v>
      </c>
      <c r="DR49" s="1378">
        <f ca="1">DN49*'GHG Calcs'!$CE27*('GHG Calcs'!$I27-'GHG Calcs'!$H27)</f>
        <v>0</v>
      </c>
    </row>
    <row r="50" spans="5:122" s="117" customFormat="1" ht="19.5" customHeight="1" x14ac:dyDescent="0.35">
      <c r="T50" s="1647"/>
      <c r="U50" s="1380">
        <v>2</v>
      </c>
      <c r="V50" s="306">
        <f ca="1">IF(OR('GHG Calcs'!AD28=Defaults!$I$5,'GHG Calcs'!AD28=Defaults!$I$7,'GHG Calcs'!AD28=Defaults!$I$11),0,IF('GHG Calcs'!$AC28="Transit Bus",V28,IF('GHG Calcs'!$AC28="Van",AB28,IF('GHG Calcs'!$AC28="Cut-A-Way",AH28,IF('GHG Calcs'!$AC28="Over-Road Coach",AN28,IF('GHG Calcs'!$AC28="Heavy Rail",$AT28,IF('GHG Calcs'!$AC28="DMU / EMU",$AX28,IF('GHG Calcs'!$AC28="Ferry",BB28,0))))))))</f>
        <v>0</v>
      </c>
      <c r="W50" s="306">
        <f ca="1">IF(OR('GHG Calcs'!AD28=Defaults!$I$5,'GHG Calcs'!AD28=Defaults!$I$7,'GHG Calcs'!AD28=Defaults!$I$11),0,IF('GHG Calcs'!$AC28="Transit Bus",W28,IF('GHG Calcs'!$AC28="Van",AC28,IF('GHG Calcs'!$AC28="Cut-A-Way",AI28,IF('GHG Calcs'!$AC28="Over-Road Coach",AO28,IF('GHG Calcs'!$AC28="Heavy Rail",$AU28,IF('GHG Calcs'!$AC28="DMU / EMU",$AY28,IF('GHG Calcs'!$AC28="Ferry",BC28,0))))))))</f>
        <v>0</v>
      </c>
      <c r="X50" s="306">
        <f ca="1">IF(OR('GHG Calcs'!AD28=Defaults!$I$5,'GHG Calcs'!AD28=Defaults!$I$7,'GHG Calcs'!AD28=Defaults!$I$11),0,IF('GHG Calcs'!$AC28="Transit Bus",X28,IF('GHG Calcs'!$AC28="Van",AD28,IF('GHG Calcs'!$AC28="Cut-A-Way",AJ28,IF('GHG Calcs'!$AC28="Over-Road Coach",AP28,IF('GHG Calcs'!$AC28="Heavy Rail",$AV28,IF('GHG Calcs'!$AC28="DMU / EMU",$AZ28,IF('GHG Calcs'!$AC28="Ferry",BD28,0))))))))</f>
        <v>0</v>
      </c>
      <c r="Y50" s="306">
        <f ca="1">IF('GHG Calcs'!$AC28="Transit Bus",Y28,IF('GHG Calcs'!$AC28="Van",AE28,IF('GHG Calcs'!$AC28="Cut-A-Way",AK28,IF('GHG Calcs'!$AC28="Over-Road Coach",AQ28,0))))</f>
        <v>0</v>
      </c>
      <c r="Z50" s="1419">
        <f ca="1">IF('GHG Calcs'!$AC28="Transit Bus",Z28,IF('GHG Calcs'!$AC28="Van",AF28,IF('GHG Calcs'!$AC28="Cut-A-Way",AL28,IF('GHG Calcs'!$AC28="Over-Road Coach",AR28*IF(OR('GHG Calcs'!AV28="Yes",'GHG Calcs'!AD28=Defaults!$I$5,'GHG Calcs'!AD28=Defaults!$I$7,'GHG Calcs'!AD28=Defaults!$I$11),0.5,1),0))))</f>
        <v>0</v>
      </c>
      <c r="AA50" s="306">
        <f ca="1">IF(OR('GHG Calcs'!AD28=Defaults!$I$5,'GHG Calcs'!AD28=Defaults!$I$7,'GHG Calcs'!AD28=Defaults!$I$11,'GHG Calcs'!AD28=Defaults!$I$3,'GHG Calcs'!AD28=Defaults!$I$8,'GHG Calcs'!AD28=Defaults!$I$12),0,IF('GHG Calcs'!$AC28="Transit Bus",AA28,IF('GHG Calcs'!$AC28="Van",AG28,IF('GHG Calcs'!$AC28="Cut-A-Way",AM28,IF('GHG Calcs'!$AC28="Over-Road Coach",AS28,IF('GHG Calcs'!$AC28="Heavy Rail",$AW28,IF('GHG Calcs'!$AC28="DMU / EMU",$BA28,IF('GHG Calcs'!$AC28="Ferry",BE28,0))))))))</f>
        <v>0</v>
      </c>
      <c r="AB50" s="1378">
        <f ca="1">(IF(AND('GHG Calcs'!AV28="yes",NOT('GHG Calcs'!AD28=Defaults!$I$5),NOT('GHG Calcs'!AD28=Defaults!$I$7),NOT('GHG Calcs'!AD28=Defaults!$I$11)),0.8,1))*IF('GHG Calcs'!$AE28&gt;0,V50*'GHG Calcs'!$AE28,V50*'GHG Calcs'!$AI28)*('GHG Calcs'!$I28-'GHG Calcs'!$H28)</f>
        <v>0</v>
      </c>
      <c r="AC50" s="1378">
        <f ca="1">(IF(AND('GHG Calcs'!AV28="yes",NOT('GHG Calcs'!AD28=Defaults!$I$5),NOT('GHG Calcs'!AD28=Defaults!$I$7),NOT('GHG Calcs'!AD28=Defaults!$I$11)),0.8,1))*IF('GHG Calcs'!$AE28&gt;0,W50*'GHG Calcs'!$AE28,W50*'GHG Calcs'!$AI28)*('GHG Calcs'!$I28-'GHG Calcs'!$H28)</f>
        <v>0</v>
      </c>
      <c r="AD50" s="1378">
        <f ca="1">((IF(AND('GHG Calcs'!AV28="yes",NOT('GHG Calcs'!AD28=Defaults!$I$5),NOT('GHG Calcs'!AD28=Defaults!$I$7),NOT('GHG Calcs'!AD28=Defaults!$I$11)),0.8,1)*X50)+Y50+Z50)*IF('GHG Calcs'!$AE28&gt;0,'GHG Calcs'!$AE28,'GHG Calcs'!$AI28)*('GHG Calcs'!$I28-'GHG Calcs'!$H28)</f>
        <v>0</v>
      </c>
      <c r="AE50" s="1378">
        <f ca="1">(IF(AND('GHG Calcs'!AV28="yes",NOT('GHG Calcs'!AD28=Defaults!$I$5),NOT('GHG Calcs'!AD28=Defaults!$I$7),NOT('GHG Calcs'!AD28=Defaults!$I$11)),0.8,1))*IF('GHG Calcs'!$AE28&gt;0,AA50*'GHG Calcs'!$AE28,AA50*'GHG Calcs'!$AI28)*('GHG Calcs'!$I28-'GHG Calcs'!$H28)</f>
        <v>0</v>
      </c>
      <c r="BN50" s="1647"/>
      <c r="BO50" s="1380">
        <v>2</v>
      </c>
      <c r="BP50" s="306">
        <f ca="1">IF(OR('GHG Calcs'!BD28=Defaults!$I$5,'GHG Calcs'!BD28=Defaults!$I$7,'GHG Calcs'!BD28=Defaults!$I$11),0,IF('GHG Calcs'!$BC28="Transit Bus",BP28,IF('GHG Calcs'!$BC28="Van",BV28,IF('GHG Calcs'!$BC28="Cut-A-Way",CB28,IF('GHG Calcs'!$BC28="Over-Road Coach",CH28,IF('GHG Calcs'!$BC28="Heavy Rail",$CN28,IF('GHG Calcs'!$BC28="DMU / EMU",$CR28,IF('GHG Calcs'!$BC28="Ferry",$CV28,0))))))))</f>
        <v>0</v>
      </c>
      <c r="BQ50" s="306">
        <f ca="1">IF(OR('GHG Calcs'!BD28=Defaults!$I$5,'GHG Calcs'!BD28=Defaults!$I$7,'GHG Calcs'!BD28=Defaults!$I$11),0,IF('GHG Calcs'!$BC28="Transit Bus",BQ28,IF('GHG Calcs'!$BC28="Van",BW28,IF('GHG Calcs'!$BC28="Cut-A-Way",CC28,IF('GHG Calcs'!$BC28="Over-Road Coach",CI28,IF('GHG Calcs'!$BC28="Heavy Rail",$CO28,IF('GHG Calcs'!$BC28="DMU / EMU",$CS28,IF('GHG Calcs'!$BC28="Ferry",$CW28,0))))))))</f>
        <v>0</v>
      </c>
      <c r="BR50" s="306">
        <f ca="1">IF(OR('GHG Calcs'!BD28=Defaults!$I$5,'GHG Calcs'!BD28=Defaults!$I$7,'GHG Calcs'!BD28=Defaults!$I$11),0,IF('GHG Calcs'!$BC28="Transit Bus",BR28,IF('GHG Calcs'!$BC28="Van",BX28,IF('GHG Calcs'!$BC28="Cut-A-Way",CD28,IF('GHG Calcs'!$BC28="Over-Road Coach",CJ28,IF('GHG Calcs'!$BC28="Heavy Rail",$CP28,IF('GHG Calcs'!$BC28="DMU / EMU",$CT28,IF('GHG Calcs'!$BC28="Ferry",$CX28,0))))))))</f>
        <v>0</v>
      </c>
      <c r="BS50" s="306">
        <f ca="1">IF('GHG Calcs'!$BC28="Transit Bus",BS28,IF('GHG Calcs'!$BC28="Van",BY28,IF('GHG Calcs'!$BC28="Cut-A-Way",CE28,IF('GHG Calcs'!$BC28="Over-Road Coach",CK28,0))))</f>
        <v>0</v>
      </c>
      <c r="BT50" s="1419">
        <f ca="1">IF('GHG Calcs'!$BC28="Transit Bus",BT28,IF('GHG Calcs'!$BC28="Van",BZ28,IF('GHG Calcs'!$BC28="Cut-A-Way",CF28,IF('GHG Calcs'!$BC28="Over-Road Coach",CL28*IF(OR('GHG Calcs'!BV28="Yes",'GHG Calcs'!BD28=Defaults!$I$5,'GHG Calcs'!BD28=Defaults!$I$7,'GHG Calcs'!BD28=Defaults!$I$11),0.5,1),0))))</f>
        <v>0</v>
      </c>
      <c r="BU50" s="306">
        <f ca="1">IF(OR('GHG Calcs'!BD28=Defaults!$I$5,'GHG Calcs'!BD28=Defaults!$I$7,'GHG Calcs'!BD28=Defaults!$I$11,'GHG Calcs'!BD28=Defaults!$I$3,'GHG Calcs'!BD28=Defaults!$I$8,'GHG Calcs'!BD28=Defaults!$I$12),0,IF('GHG Calcs'!$BC28="Transit Bus",BU28,IF('GHG Calcs'!$BC28="Van",CA28,IF('GHG Calcs'!$BC28="Cut-A-Way",CG28,IF('GHG Calcs'!$BC28="Over-Road Coach",CM28,IF('GHG Calcs'!$BC28="Heavy Rail",$CQ28,IF('GHG Calcs'!$BC28="DMU / EMU",$CU28,IF('GHG Calcs'!$BC28="Ferry",$CY28,0))))))))</f>
        <v>0</v>
      </c>
      <c r="BV50" s="1378">
        <f ca="1">(IF(AND('GHG Calcs'!BV28="yes",NOT('GHG Calcs'!BD28=Defaults!$I$5),NOT('GHG Calcs'!BD28=Defaults!$I$7),NOT('GHG Calcs'!BD28=Defaults!$I$11)),0.8,1))*IF('GHG Calcs'!$BE28&gt;0,BP50*'GHG Calcs'!$BE28,BP50*'GHG Calcs'!$BH28)*('GHG Calcs'!$I28-'GHG Calcs'!$H28)</f>
        <v>0</v>
      </c>
      <c r="BW50" s="1378">
        <f ca="1">(IF(AND('GHG Calcs'!BV28="yes",NOT('GHG Calcs'!BD28=Defaults!$I$5),NOT('GHG Calcs'!BD28=Defaults!$I$7),NOT('GHG Calcs'!BD28=Defaults!$I$11)),0.8,1))*IF('GHG Calcs'!$BE28&gt;0,BQ50*'GHG Calcs'!$BE28,BQ50*'GHG Calcs'!$BH28)*('GHG Calcs'!$I28-'GHG Calcs'!$H28)</f>
        <v>0</v>
      </c>
      <c r="BX50" s="1378">
        <f ca="1">((IF(AND('GHG Calcs'!BV28="yes",NOT('GHG Calcs'!BD28=Defaults!$I$5),NOT('GHG Calcs'!BD28=Defaults!$I$7),NOT('GHG Calcs'!BD28=Defaults!$I$11)),0.8,1)*BR50)+BS50+BT50)*IF('GHG Calcs'!$BE28&gt;0,'GHG Calcs'!$BE28,'GHG Calcs'!$BH28)*('GHG Calcs'!$I28-'GHG Calcs'!$H28)</f>
        <v>0</v>
      </c>
      <c r="BY50" s="1378">
        <f ca="1">(IF(AND('GHG Calcs'!BV28="yes",NOT('GHG Calcs'!BD28=Defaults!$I$5),NOT('GHG Calcs'!BD28=Defaults!$I$7),NOT('GHG Calcs'!BD28=Defaults!$I$11)),0.8,1))*IF('GHG Calcs'!$BE28&gt;0,BU50*'GHG Calcs'!$BE28,BU50*'GHG Calcs'!$BH28)*('GHG Calcs'!$I28-'GHG Calcs'!$H28)</f>
        <v>0</v>
      </c>
      <c r="DG50" s="1647"/>
      <c r="DH50" s="1380">
        <v>2</v>
      </c>
      <c r="DI50" s="306">
        <f ca="1">IF(OR('GHG Calcs'!CD28=Defaults!$I$5,'GHG Calcs'!CD28=Defaults!$I$7,'GHG Calcs'!CD28=Defaults!$I$11),0,IF('GHG Calcs'!$CC28="Transit Bus",DI28,IF('GHG Calcs'!$CC28="Van",DO28,IF('GHG Calcs'!$CC28="Cut-A-Way",DU28,IF('GHG Calcs'!$CC28="Over-Road Coach",EA28,IF('GHG Calcs'!$CC28="Heavy Rail",EG28,IF('GHG Calcs'!$CC28="DMU / EMU",EK28,IF('GHG Calcs'!$CC28="Ferry",EO28,0))))))))</f>
        <v>0</v>
      </c>
      <c r="DJ50" s="306">
        <f ca="1">IF(OR('GHG Calcs'!CD28=Defaults!$I$5,'GHG Calcs'!CD28=Defaults!$I$7,'GHG Calcs'!CD28=Defaults!$I$11),0,IF('GHG Calcs'!$CC28="Transit Bus",DJ28,IF('GHG Calcs'!$CC28="Van",DP28,IF('GHG Calcs'!$CC28="Cut-A-Way",DV28,IF('GHG Calcs'!$CC28="Over-Road Coach",EB28,IF('GHG Calcs'!$CC28="Heavy Rail",EH28,IF('GHG Calcs'!$CC28="DMU / EMU",EL28,IF('GHG Calcs'!$CC28="Ferry",EP28,0))))))))</f>
        <v>0</v>
      </c>
      <c r="DK50" s="306">
        <f ca="1">IF(OR('GHG Calcs'!CD28=Defaults!$I$5,'GHG Calcs'!CD28=Defaults!$I$7,'GHG Calcs'!CD28=Defaults!$I$11),0,IF('GHG Calcs'!$CC28="Transit Bus",DK28,IF('GHG Calcs'!$CC28="Van",DQ28,IF('GHG Calcs'!$CC28="Cut-A-Way",DW28,IF('GHG Calcs'!$CC28="Over-Road Coach",EC28,IF('GHG Calcs'!$CC28="Heavy Rail",EI28,IF('GHG Calcs'!$CC28="DMU / EMU",EM28,IF('GHG Calcs'!$CC28="Ferry",EQ28,0))))))))</f>
        <v>0</v>
      </c>
      <c r="DL50" s="306">
        <f ca="1">IF('GHG Calcs'!$CC28="Transit Bus",DL28,IF('GHG Calcs'!$CC28="Van",DR28,IF('GHG Calcs'!$CC28="Cut-A-Way",DX28,IF('GHG Calcs'!$CC28="Over-Road Coach",ED28,0))))</f>
        <v>0</v>
      </c>
      <c r="DM50" s="1419">
        <f ca="1">IF('GHG Calcs'!$CC28="Transit Bus",DM28,IF('GHG Calcs'!$CC28="Van",DS28,IF('GHG Calcs'!$CC28="Cut-A-Way",DY28,IF('GHG Calcs'!$CC28="Over-Road Coach",EE28*IF(OR('GHG Calcs'!CD28=Defaults!$I$5,'GHG Calcs'!CD28=Defaults!$I$7,'GHG Calcs'!CD28=Defaults!$I$11),0.5,1),0))))</f>
        <v>0</v>
      </c>
      <c r="DN50" s="306">
        <f ca="1">IF(OR('GHG Calcs'!CD28=Defaults!$I$5,'GHG Calcs'!CD28=Defaults!$I$7,'GHG Calcs'!CD28=Defaults!$I$11,'GHG Calcs'!CD28=Defaults!$I$3,'GHG Calcs'!CD28=Defaults!$I$8,'GHG Calcs'!CD28=Defaults!$I$12),0,IF('GHG Calcs'!$CC28="Transit Bus",DN28,IF('GHG Calcs'!$CC28="Van",DT28,IF('GHG Calcs'!$CC28="Cut-A-Way",DZ28,IF('GHG Calcs'!$CC28="Over-Road Coach",EF28,IF('GHG Calcs'!$CC28="Heavy Rail",EJ28,IF('GHG Calcs'!$CC28="DMU / EMU",EN28,IF('GHG Calcs'!$CC28="Ferry",ER28,0))))))))</f>
        <v>0</v>
      </c>
      <c r="DO50" s="1378">
        <f ca="1">DI50*'GHG Calcs'!$CE28*('GHG Calcs'!$I28-'GHG Calcs'!$H28)</f>
        <v>0</v>
      </c>
      <c r="DP50" s="1378">
        <f ca="1">DJ50*'GHG Calcs'!$CE28*('GHG Calcs'!$I28-'GHG Calcs'!$H28)</f>
        <v>0</v>
      </c>
      <c r="DQ50" s="1378">
        <f ca="1">(DK50+DL50+DM50)*'GHG Calcs'!$CE28*('GHG Calcs'!$I28-'GHG Calcs'!$H28)</f>
        <v>0</v>
      </c>
      <c r="DR50" s="1378">
        <f ca="1">DN50*'GHG Calcs'!$CE28*('GHG Calcs'!$I28-'GHG Calcs'!$H28)</f>
        <v>0</v>
      </c>
    </row>
    <row r="51" spans="5:122" s="117" customFormat="1" ht="19.5" customHeight="1" x14ac:dyDescent="0.35">
      <c r="T51" s="1648"/>
      <c r="U51" s="1380">
        <v>3</v>
      </c>
      <c r="V51" s="306">
        <f ca="1">IF(OR('GHG Calcs'!AD29=Defaults!$I$5,'GHG Calcs'!AD29=Defaults!$I$7,'GHG Calcs'!AD29=Defaults!$I$11),0,IF('GHG Calcs'!$AC29="Transit Bus",V29,IF('GHG Calcs'!$AC29="Van",AB29,IF('GHG Calcs'!$AC29="Cut-A-Way",AH29,IF('GHG Calcs'!$AC29="Over-Road Coach",AN29,IF('GHG Calcs'!$AC29="Heavy Rail",$AT29,IF('GHG Calcs'!$AC29="DMU / EMU",$AX29,IF('GHG Calcs'!$AC29="Ferry",BB29,0))))))))</f>
        <v>0</v>
      </c>
      <c r="W51" s="306">
        <f ca="1">IF(OR('GHG Calcs'!AD29=Defaults!$I$5,'GHG Calcs'!AD29=Defaults!$I$7,'GHG Calcs'!AD29=Defaults!$I$11),0,IF('GHG Calcs'!$AC29="Transit Bus",W29,IF('GHG Calcs'!$AC29="Van",AC29,IF('GHG Calcs'!$AC29="Cut-A-Way",AI29,IF('GHG Calcs'!$AC29="Over-Road Coach",AO29,IF('GHG Calcs'!$AC29="Heavy Rail",$AU29,IF('GHG Calcs'!$AC29="DMU / EMU",$AY29,IF('GHG Calcs'!$AC29="Ferry",BC29,0))))))))</f>
        <v>0</v>
      </c>
      <c r="X51" s="306">
        <f ca="1">IF(OR('GHG Calcs'!AD29=Defaults!$I$5,'GHG Calcs'!AD29=Defaults!$I$7,'GHG Calcs'!AD29=Defaults!$I$11),0,IF('GHG Calcs'!$AC29="Transit Bus",X29,IF('GHG Calcs'!$AC29="Van",AD29,IF('GHG Calcs'!$AC29="Cut-A-Way",AJ29,IF('GHG Calcs'!$AC29="Over-Road Coach",AP29,IF('GHG Calcs'!$AC29="Heavy Rail",$AV29,IF('GHG Calcs'!$AC29="DMU / EMU",$AZ29,IF('GHG Calcs'!$AC29="Ferry",BD29,0))))))))</f>
        <v>0</v>
      </c>
      <c r="Y51" s="306">
        <f ca="1">IF('GHG Calcs'!$AC29="Transit Bus",Y29,IF('GHG Calcs'!$AC29="Van",AE29,IF('GHG Calcs'!$AC29="Cut-A-Way",AK29,IF('GHG Calcs'!$AC29="Over-Road Coach",AQ29,0))))</f>
        <v>0</v>
      </c>
      <c r="Z51" s="1419">
        <f ca="1">IF('GHG Calcs'!$AC29="Transit Bus",Z29,IF('GHG Calcs'!$AC29="Van",AF29,IF('GHG Calcs'!$AC29="Cut-A-Way",AL29,IF('GHG Calcs'!$AC29="Over-Road Coach",AR29*IF(OR('GHG Calcs'!AV29="Yes",'GHG Calcs'!AD29=Defaults!$I$5,'GHG Calcs'!AD29=Defaults!$I$7,'GHG Calcs'!AD29=Defaults!$I$11),0.5,1),0))))</f>
        <v>0</v>
      </c>
      <c r="AA51" s="306">
        <f ca="1">IF(OR('GHG Calcs'!AD29=Defaults!$I$5,'GHG Calcs'!AD29=Defaults!$I$7,'GHG Calcs'!AD29=Defaults!$I$11,'GHG Calcs'!AD29=Defaults!$I$3,'GHG Calcs'!AD29=Defaults!$I$8,'GHG Calcs'!AD29=Defaults!$I$12),0,IF('GHG Calcs'!$AC29="Transit Bus",AA29,IF('GHG Calcs'!$AC29="Van",AG29,IF('GHG Calcs'!$AC29="Cut-A-Way",AM29,IF('GHG Calcs'!$AC29="Over-Road Coach",AS29,IF('GHG Calcs'!$AC29="Heavy Rail",$AW29,IF('GHG Calcs'!$AC29="DMU / EMU",$BA29,IF('GHG Calcs'!$AC29="Ferry",BE29,0))))))))</f>
        <v>0</v>
      </c>
      <c r="AB51" s="1378">
        <f ca="1">(IF(AND('GHG Calcs'!AV29="yes",NOT('GHG Calcs'!AD29=Defaults!$I$5),NOT('GHG Calcs'!AD29=Defaults!$I$7),NOT('GHG Calcs'!AD29=Defaults!$I$11)),0.8,1))*IF('GHG Calcs'!$AE29&gt;0,V51*'GHG Calcs'!$AE29,V51*'GHG Calcs'!$AI29)*('GHG Calcs'!$I29-'GHG Calcs'!$H29)</f>
        <v>0</v>
      </c>
      <c r="AC51" s="1378">
        <f ca="1">(IF(AND('GHG Calcs'!AV29="yes",NOT('GHG Calcs'!AD29=Defaults!$I$5),NOT('GHG Calcs'!AD29=Defaults!$I$7),NOT('GHG Calcs'!AD29=Defaults!$I$11)),0.8,1))*IF('GHG Calcs'!$AE29&gt;0,W51*'GHG Calcs'!$AE29,W51*'GHG Calcs'!$AI29)*('GHG Calcs'!$I29-'GHG Calcs'!$H29)</f>
        <v>0</v>
      </c>
      <c r="AD51" s="1378">
        <f ca="1">((IF(AND('GHG Calcs'!AV29="yes",NOT('GHG Calcs'!AD29=Defaults!$I$5),NOT('GHG Calcs'!AD29=Defaults!$I$7),NOT('GHG Calcs'!AD29=Defaults!$I$11)),0.8,1)*X51)+Y51+Z51)*IF('GHG Calcs'!$AE29&gt;0,'GHG Calcs'!$AE29,'GHG Calcs'!$AI29)*('GHG Calcs'!$I29-'GHG Calcs'!$H29)</f>
        <v>0</v>
      </c>
      <c r="AE51" s="1378">
        <f ca="1">(IF(AND('GHG Calcs'!AV29="yes",NOT('GHG Calcs'!AD29=Defaults!$I$5),NOT('GHG Calcs'!AD29=Defaults!$I$7),NOT('GHG Calcs'!AD29=Defaults!$I$11)),0.8,1))*IF('GHG Calcs'!$AE29&gt;0,AA51*'GHG Calcs'!$AE29,AA51*'GHG Calcs'!$AI29)*('GHG Calcs'!$I29-'GHG Calcs'!$H29)</f>
        <v>0</v>
      </c>
      <c r="BN51" s="1648"/>
      <c r="BO51" s="1380">
        <v>3</v>
      </c>
      <c r="BP51" s="306">
        <f ca="1">IF(OR('GHG Calcs'!BD29=Defaults!$I$5,'GHG Calcs'!BD29=Defaults!$I$7,'GHG Calcs'!BD29=Defaults!$I$11),0,IF('GHG Calcs'!$BC29="Transit Bus",BP29,IF('GHG Calcs'!$BC29="Van",BV29,IF('GHG Calcs'!$BC29="Cut-A-Way",CB29,IF('GHG Calcs'!$BC29="Over-Road Coach",CH29,IF('GHG Calcs'!$BC29="Heavy Rail",$CN29,IF('GHG Calcs'!$BC29="DMU / EMU",$CR29,IF('GHG Calcs'!$BC29="Ferry",$CV29,0))))))))</f>
        <v>0</v>
      </c>
      <c r="BQ51" s="306">
        <f ca="1">IF(OR('GHG Calcs'!BD29=Defaults!$I$5,'GHG Calcs'!BD29=Defaults!$I$7,'GHG Calcs'!BD29=Defaults!$I$11),0,IF('GHG Calcs'!$BC29="Transit Bus",BQ29,IF('GHG Calcs'!$BC29="Van",BW29,IF('GHG Calcs'!$BC29="Cut-A-Way",CC29,IF('GHG Calcs'!$BC29="Over-Road Coach",CI29,IF('GHG Calcs'!$BC29="Heavy Rail",$CO29,IF('GHG Calcs'!$BC29="DMU / EMU",$CS29,IF('GHG Calcs'!$BC29="Ferry",$CW29,0))))))))</f>
        <v>0</v>
      </c>
      <c r="BR51" s="306">
        <f ca="1">IF(OR('GHG Calcs'!BD29=Defaults!$I$5,'GHG Calcs'!BD29=Defaults!$I$7,'GHG Calcs'!BD29=Defaults!$I$11),0,IF('GHG Calcs'!$BC29="Transit Bus",BR29,IF('GHG Calcs'!$BC29="Van",BX29,IF('GHG Calcs'!$BC29="Cut-A-Way",CD29,IF('GHG Calcs'!$BC29="Over-Road Coach",CJ29,IF('GHG Calcs'!$BC29="Heavy Rail",$CP29,IF('GHG Calcs'!$BC29="DMU / EMU",$CT29,IF('GHG Calcs'!$BC29="Ferry",$CX29,0))))))))</f>
        <v>0</v>
      </c>
      <c r="BS51" s="306">
        <f ca="1">IF('GHG Calcs'!$BC29="Transit Bus",BS29,IF('GHG Calcs'!$BC29="Van",BY29,IF('GHG Calcs'!$BC29="Cut-A-Way",CE29,IF('GHG Calcs'!$BC29="Over-Road Coach",CK29,0))))</f>
        <v>0</v>
      </c>
      <c r="BT51" s="1419">
        <f ca="1">IF('GHG Calcs'!$BC29="Transit Bus",BT29,IF('GHG Calcs'!$BC29="Van",BZ29,IF('GHG Calcs'!$BC29="Cut-A-Way",CF29,IF('GHG Calcs'!$BC29="Over-Road Coach",CL29*IF(OR('GHG Calcs'!BV29="Yes",'GHG Calcs'!BD29=Defaults!$I$5,'GHG Calcs'!BD29=Defaults!$I$7,'GHG Calcs'!BD29=Defaults!$I$11),0.5,1),0))))</f>
        <v>0</v>
      </c>
      <c r="BU51" s="306">
        <f ca="1">IF(OR('GHG Calcs'!BD29=Defaults!$I$5,'GHG Calcs'!BD29=Defaults!$I$7,'GHG Calcs'!BD29=Defaults!$I$11,'GHG Calcs'!BD29=Defaults!$I$3,'GHG Calcs'!BD29=Defaults!$I$8,'GHG Calcs'!BD29=Defaults!$I$12),0,IF('GHG Calcs'!$BC29="Transit Bus",BU29,IF('GHG Calcs'!$BC29="Van",CA29,IF('GHG Calcs'!$BC29="Cut-A-Way",CG29,IF('GHG Calcs'!$BC29="Over-Road Coach",CM29,IF('GHG Calcs'!$BC29="Heavy Rail",$CQ29,IF('GHG Calcs'!$BC29="DMU / EMU",$CU29,IF('GHG Calcs'!$BC29="Ferry",$CY29,0))))))))</f>
        <v>0</v>
      </c>
      <c r="BV51" s="1378">
        <f ca="1">(IF(AND('GHG Calcs'!BV29="yes",NOT('GHG Calcs'!BD29=Defaults!$I$5),NOT('GHG Calcs'!BD29=Defaults!$I$7),NOT('GHG Calcs'!BD29=Defaults!$I$11)),0.8,1))*IF('GHG Calcs'!$BE29&gt;0,BP51*'GHG Calcs'!$BE29,BP51*'GHG Calcs'!$BH29)*('GHG Calcs'!$I29-'GHG Calcs'!$H29)</f>
        <v>0</v>
      </c>
      <c r="BW51" s="1378">
        <f ca="1">(IF(AND('GHG Calcs'!BV29="yes",NOT('GHG Calcs'!BD29=Defaults!$I$5),NOT('GHG Calcs'!BD29=Defaults!$I$7),NOT('GHG Calcs'!BD29=Defaults!$I$11)),0.8,1))*IF('GHG Calcs'!$BE29&gt;0,BQ51*'GHG Calcs'!$BE29,BQ51*'GHG Calcs'!$BH29)*('GHG Calcs'!$I29-'GHG Calcs'!$H29)</f>
        <v>0</v>
      </c>
      <c r="BX51" s="1378">
        <f ca="1">((IF(AND('GHG Calcs'!BV29="yes",NOT('GHG Calcs'!BD29=Defaults!$I$5),NOT('GHG Calcs'!BD29=Defaults!$I$7),NOT('GHG Calcs'!BD29=Defaults!$I$11)),0.8,1)*BR51)+BS51+BT51)*IF('GHG Calcs'!$BE29&gt;0,'GHG Calcs'!$BE29,'GHG Calcs'!$BH29)*('GHG Calcs'!$I29-'GHG Calcs'!$H29)</f>
        <v>0</v>
      </c>
      <c r="BY51" s="1378">
        <f ca="1">(IF(AND('GHG Calcs'!BV29="yes",NOT('GHG Calcs'!BD29=Defaults!$I$5),NOT('GHG Calcs'!BD29=Defaults!$I$7),NOT('GHG Calcs'!BD29=Defaults!$I$11)),0.8,1))*IF('GHG Calcs'!$BE29&gt;0,BU51*'GHG Calcs'!$BE29,BU51*'GHG Calcs'!$BH29)*('GHG Calcs'!$I29-'GHG Calcs'!$H29)</f>
        <v>0</v>
      </c>
      <c r="DG51" s="1648"/>
      <c r="DH51" s="1380">
        <v>3</v>
      </c>
      <c r="DI51" s="306">
        <f ca="1">IF(OR('GHG Calcs'!CD29=Defaults!$I$5,'GHG Calcs'!CD29=Defaults!$I$7,'GHG Calcs'!CD29=Defaults!$I$11),0,IF('GHG Calcs'!$CC29="Transit Bus",DI29,IF('GHG Calcs'!$CC29="Van",DO29,IF('GHG Calcs'!$CC29="Cut-A-Way",DU29,IF('GHG Calcs'!$CC29="Over-Road Coach",EA29,IF('GHG Calcs'!$CC29="Heavy Rail",EG29,IF('GHG Calcs'!$CC29="DMU / EMU",EK29,IF('GHG Calcs'!$CC29="Ferry",EO29,0))))))))</f>
        <v>0</v>
      </c>
      <c r="DJ51" s="306">
        <f ca="1">IF(OR('GHG Calcs'!CD29=Defaults!$I$5,'GHG Calcs'!CD29=Defaults!$I$7,'GHG Calcs'!CD29=Defaults!$I$11),0,IF('GHG Calcs'!$CC29="Transit Bus",DJ29,IF('GHG Calcs'!$CC29="Van",DP29,IF('GHG Calcs'!$CC29="Cut-A-Way",DV29,IF('GHG Calcs'!$CC29="Over-Road Coach",EB29,IF('GHG Calcs'!$CC29="Heavy Rail",EH29,IF('GHG Calcs'!$CC29="DMU / EMU",EL29,IF('GHG Calcs'!$CC29="Ferry",EP29,0))))))))</f>
        <v>0</v>
      </c>
      <c r="DK51" s="306">
        <f ca="1">IF(OR('GHG Calcs'!CD29=Defaults!$I$5,'GHG Calcs'!CD29=Defaults!$I$7,'GHG Calcs'!CD29=Defaults!$I$11),0,IF('GHG Calcs'!$CC29="Transit Bus",DK29,IF('GHG Calcs'!$CC29="Van",DQ29,IF('GHG Calcs'!$CC29="Cut-A-Way",DW29,IF('GHG Calcs'!$CC29="Over-Road Coach",EC29,IF('GHG Calcs'!$CC29="Heavy Rail",EI29,IF('GHG Calcs'!$CC29="DMU / EMU",EM29,IF('GHG Calcs'!$CC29="Ferry",EQ29,0))))))))</f>
        <v>0</v>
      </c>
      <c r="DL51" s="306">
        <f ca="1">IF('GHG Calcs'!$CC29="Transit Bus",DL29,IF('GHG Calcs'!$CC29="Van",DR29,IF('GHG Calcs'!$CC29="Cut-A-Way",DX29,IF('GHG Calcs'!$CC29="Over-Road Coach",ED29,0))))</f>
        <v>0</v>
      </c>
      <c r="DM51" s="1419">
        <f ca="1">IF('GHG Calcs'!$CC29="Transit Bus",DM29,IF('GHG Calcs'!$CC29="Van",DS29,IF('GHG Calcs'!$CC29="Cut-A-Way",DY29,IF('GHG Calcs'!$CC29="Over-Road Coach",EE29*IF(OR('GHG Calcs'!CD29=Defaults!$I$5,'GHG Calcs'!CD29=Defaults!$I$7,'GHG Calcs'!CD29=Defaults!$I$11),0.5,1),0))))</f>
        <v>0</v>
      </c>
      <c r="DN51" s="306">
        <f ca="1">IF(OR('GHG Calcs'!CD29=Defaults!$I$5,'GHG Calcs'!CD29=Defaults!$I$7,'GHG Calcs'!CD29=Defaults!$I$11,'GHG Calcs'!CD29=Defaults!$I$3,'GHG Calcs'!CD29=Defaults!$I$8,'GHG Calcs'!CD29=Defaults!$I$12),0,IF('GHG Calcs'!$CC29="Transit Bus",DN29,IF('GHG Calcs'!$CC29="Van",DT29,IF('GHG Calcs'!$CC29="Cut-A-Way",DZ29,IF('GHG Calcs'!$CC29="Over-Road Coach",EF29,IF('GHG Calcs'!$CC29="Heavy Rail",EJ29,IF('GHG Calcs'!$CC29="DMU / EMU",EN29,IF('GHG Calcs'!$CC29="Ferry",ER29,0))))))))</f>
        <v>0</v>
      </c>
      <c r="DO51" s="1378">
        <f ca="1">DI51*'GHG Calcs'!$CE29*('GHG Calcs'!$I29-'GHG Calcs'!$H29)</f>
        <v>0</v>
      </c>
      <c r="DP51" s="1378">
        <f ca="1">DJ51*'GHG Calcs'!$CE29*('GHG Calcs'!$I29-'GHG Calcs'!$H29)</f>
        <v>0</v>
      </c>
      <c r="DQ51" s="1378">
        <f ca="1">(DK51+DL51+DM51)*'GHG Calcs'!$CE29*('GHG Calcs'!$I29-'GHG Calcs'!$H29)</f>
        <v>0</v>
      </c>
      <c r="DR51" s="1378">
        <f ca="1">DN51*'GHG Calcs'!$CE29*('GHG Calcs'!$I29-'GHG Calcs'!$H29)</f>
        <v>0</v>
      </c>
    </row>
    <row r="52" spans="5:122" s="117" customFormat="1" ht="16" thickBot="1" x14ac:dyDescent="0.4">
      <c r="Z52" s="202" t="s">
        <v>711</v>
      </c>
      <c r="BT52" s="202" t="s">
        <v>711</v>
      </c>
      <c r="DM52" s="202" t="s">
        <v>711</v>
      </c>
    </row>
    <row r="53" spans="5:122" s="117" customFormat="1" ht="16" thickBot="1" x14ac:dyDescent="0.4">
      <c r="E53" s="1031" t="s">
        <v>712</v>
      </c>
      <c r="F53" s="1032"/>
      <c r="G53" s="1032"/>
      <c r="H53" s="1032"/>
      <c r="I53" s="1032"/>
      <c r="J53" s="1032"/>
      <c r="K53" s="1032"/>
      <c r="L53" s="1032"/>
      <c r="M53" s="1032"/>
      <c r="N53" s="1032"/>
      <c r="O53" s="1032"/>
      <c r="P53" s="1032"/>
      <c r="Q53" s="1032"/>
      <c r="R53" s="1032"/>
      <c r="S53" s="1032"/>
      <c r="T53" s="1032"/>
      <c r="U53" s="1032"/>
      <c r="V53" s="1032"/>
      <c r="W53" s="1032"/>
      <c r="X53" s="1032"/>
      <c r="Y53" s="1032"/>
      <c r="Z53" s="1032"/>
      <c r="AA53" s="1032"/>
      <c r="AB53" s="1032"/>
      <c r="AC53" s="1032"/>
      <c r="AD53" s="1032"/>
      <c r="AE53" s="1032"/>
      <c r="AF53" s="1032"/>
      <c r="AG53" s="1032"/>
      <c r="AH53" s="1033"/>
    </row>
    <row r="54" spans="5:122" s="117" customFormat="1" ht="62" x14ac:dyDescent="0.35">
      <c r="E54" s="1029" t="s">
        <v>544</v>
      </c>
      <c r="F54" s="1030" t="s">
        <v>706</v>
      </c>
      <c r="G54" s="320" t="s">
        <v>713</v>
      </c>
      <c r="H54" s="321" t="s">
        <v>714</v>
      </c>
      <c r="I54" s="321" t="s">
        <v>715</v>
      </c>
      <c r="J54" s="322" t="s">
        <v>716</v>
      </c>
      <c r="K54" s="320" t="s">
        <v>717</v>
      </c>
      <c r="L54" s="321" t="s">
        <v>718</v>
      </c>
      <c r="M54" s="321" t="s">
        <v>719</v>
      </c>
      <c r="N54" s="322" t="s">
        <v>720</v>
      </c>
      <c r="O54" s="320" t="s">
        <v>208</v>
      </c>
      <c r="P54" s="321" t="s">
        <v>209</v>
      </c>
      <c r="Q54" s="321" t="s">
        <v>210</v>
      </c>
      <c r="R54" s="321" t="s">
        <v>670</v>
      </c>
      <c r="S54" s="321" t="s">
        <v>212</v>
      </c>
      <c r="T54" s="322" t="s">
        <v>721</v>
      </c>
      <c r="U54" s="1025" t="s">
        <v>713</v>
      </c>
      <c r="V54" s="1026" t="s">
        <v>714</v>
      </c>
      <c r="W54" s="1026" t="s">
        <v>715</v>
      </c>
      <c r="X54" s="1027" t="s">
        <v>716</v>
      </c>
      <c r="Y54" s="1093" t="s">
        <v>717</v>
      </c>
      <c r="Z54" s="1094" t="s">
        <v>718</v>
      </c>
      <c r="AA54" s="1094" t="s">
        <v>719</v>
      </c>
      <c r="AB54" s="1095" t="s">
        <v>720</v>
      </c>
      <c r="AC54" s="1028" t="s">
        <v>208</v>
      </c>
      <c r="AD54" s="1027" t="s">
        <v>209</v>
      </c>
      <c r="AE54" s="1027" t="s">
        <v>210</v>
      </c>
      <c r="AF54" s="1026" t="s">
        <v>670</v>
      </c>
      <c r="AG54" s="1027" t="s">
        <v>722</v>
      </c>
      <c r="AH54" s="323" t="s">
        <v>723</v>
      </c>
    </row>
    <row r="55" spans="5:122" s="117" customFormat="1" x14ac:dyDescent="0.35">
      <c r="E55" s="1646">
        <v>1</v>
      </c>
      <c r="F55" s="1368">
        <v>1</v>
      </c>
      <c r="G55" s="1378" t="str">
        <f ca="1">IFERROR(IF('GHG Calcs'!$F12=Defaults!$M$2,O12-AB34+BV34+DO34,IF('GHG Calcs'!$F12=Defaults!$M$3,O12+DO34,IF('GHG Calcs'!$F12=Defaults!$M$4,BV34-AB34+DO34,IF('GHG Calcs'!$F12=Defaults!$M$5,DO34,""))))/453.6,"")</f>
        <v/>
      </c>
      <c r="H55" s="1378" t="str">
        <f ca="1">IFERROR(IF('GHG Calcs'!$F12=Defaults!$M$2,P12-AC34+BW34+DP34,IF('GHG Calcs'!$F12=Defaults!$M$3,P12+DP34,IF('GHG Calcs'!$F12=Defaults!$M$4,BW34-AC34+DP34,IF('GHG Calcs'!$F12=Defaults!$M$5,DP34,""))))/453.6,"")</f>
        <v/>
      </c>
      <c r="I55" s="1378" t="str">
        <f ca="1">IFERROR(IF('GHG Calcs'!$F12=Defaults!$M$2,Q12-AD34+BX34+DQ34,IF('GHG Calcs'!$F12=Defaults!$M$3,Q12+DQ34,IF('GHG Calcs'!$F12=Defaults!$M$4,BX34-AD34+DQ34,IF('GHG Calcs'!$F12=Defaults!$M$5,DQ34,""))))/453.6,"")</f>
        <v/>
      </c>
      <c r="J55" s="1378" t="str">
        <f ca="1">IFERROR(IF('GHG Calcs'!$F12=Defaults!$M$2,R12-AE34+BY34+DR34,IF('GHG Calcs'!$F12=Defaults!$M$3,R12+DR34,IF('GHG Calcs'!$F12=Defaults!$M$4,BY34-AE34+DR34,IF('GHG Calcs'!$F12=Defaults!$M$5,DR34,""))))/453.6,"")</f>
        <v/>
      </c>
      <c r="K55" s="1378"/>
      <c r="L55" s="1378"/>
      <c r="M55" s="1378"/>
      <c r="N55" s="1378"/>
      <c r="O55" s="1426" t="str">
        <f ca="1">IFERROR(IF('GHG Calcs'!$F12=Defaults!$M$2,SUM(S12,DD12,EW12)-SUM(BJ12),IF('GHG Calcs'!$F12=Defaults!$M$3,SUM(S12,EW12),IF('GHG Calcs'!$F12=Defaults!$M$4,SUM(DD12,EW12)-SUM(BJ12),IF('GHG Calcs'!$F12=Defaults!$M$5,EW12,"")))),"")</f>
        <v/>
      </c>
      <c r="P55" s="1426" t="str">
        <f ca="1">IFERROR(IF('GHG Calcs'!$F12=Defaults!$M$2,SUM(DE12,EX12)-SUM(BK12),IF('GHG Calcs'!$F12=Defaults!$M$3,EX12,IF('GHG Calcs'!$F12=Defaults!$M$4,SUM(DE12,EX12)-SUM(BK12),IF('GHG Calcs'!$F12=Defaults!$M$5,EX12,"")))),"")</f>
        <v/>
      </c>
      <c r="Q55" s="1426" t="str">
        <f ca="1">IFERROR(IF(AND(BL12="",EZ12=""),"",SUM(BL12,EZ12)),"")</f>
        <v/>
      </c>
      <c r="R55" s="1427" t="str">
        <f ca="1">IFERROR(IF('GHG Calcs'!$F12=Defaults!$M$2,SUM(DF12,EY12)-SUM(BM12)+FB12*AVERAGE('GHG Calcs'!M12,'GHG Calcs'!O12)*('GHG Calcs'!I12-'GHG Calcs'!H12),IF('GHG Calcs'!$F12=Defaults!$M$3,EY12,IF('GHG Calcs'!$F12=Defaults!$M$4,SUM(DF12,EY12)-SUM(BM12),IF('GHG Calcs'!$F12=Defaults!$M$5,EY12,"")))),"")</f>
        <v/>
      </c>
      <c r="S55" s="1427" t="str">
        <f ca="1">IFERROR(IF( (((-FB12+((-FC12+FD12+FE12)/2))*'GHG Calcs'!Q12*AVERAGE('GHG Calcs'!M12,'GHG Calcs'!O12))+(IF('GHG Calcs'!$F12=Defaults!$M$3,FA12-FB12,0)*(1-'GHG Calcs'!Q12)*AVERAGE('GHG Calcs'!M12,'GHG Calcs'!O12))+('Fuel &amp; Travel Costs'!$C$31*AVERAGE('GHG Calcs'!U12,'GHG Calcs'!W12)))*('GHG Calcs'!I12-'GHG Calcs'!H12)=0,"",(((-FB12+((-FC12+FD12+FE12)/2))*'GHG Calcs'!Q12*AVERAGE('GHG Calcs'!M12,'GHG Calcs'!O12))+(IF('GHG Calcs'!$F12=Defaults!$M$3,FA12-FB12,0)*(1-'GHG Calcs'!Q12)*AVERAGE('GHG Calcs'!M12,'GHG Calcs'!O12))+('Fuel &amp; Travel Costs'!$C$31*AVERAGE('GHG Calcs'!U12,'GHG Calcs'!W12)))*('GHG Calcs'!I12-'GHG Calcs'!H12)),"")</f>
        <v/>
      </c>
      <c r="T55" s="1426" t="str">
        <f ca="1">IFERROR(IF('GHG Calcs'!Y12*('GHG Calcs'!I12-'GHG Calcs'!H12)=0,"",'GHG Calcs'!Y12*('GHG Calcs'!I12-'GHG Calcs'!H12)),"")</f>
        <v/>
      </c>
      <c r="U55" s="1655">
        <f t="shared" ref="U55:AH55" ca="1" si="1">IFERROR(SUM(G55:G57),"")</f>
        <v>0</v>
      </c>
      <c r="V55" s="1655">
        <f t="shared" ca="1" si="1"/>
        <v>0</v>
      </c>
      <c r="W55" s="1655">
        <f t="shared" ca="1" si="1"/>
        <v>0</v>
      </c>
      <c r="X55" s="1655">
        <f t="shared" ca="1" si="1"/>
        <v>0</v>
      </c>
      <c r="Y55" s="1655">
        <f t="shared" si="1"/>
        <v>0</v>
      </c>
      <c r="Z55" s="1655">
        <f t="shared" si="1"/>
        <v>0</v>
      </c>
      <c r="AA55" s="1655">
        <f t="shared" si="1"/>
        <v>0</v>
      </c>
      <c r="AB55" s="1655">
        <f t="shared" si="1"/>
        <v>0</v>
      </c>
      <c r="AC55" s="1652">
        <f t="shared" ca="1" si="1"/>
        <v>0</v>
      </c>
      <c r="AD55" s="1652">
        <f t="shared" ca="1" si="1"/>
        <v>0</v>
      </c>
      <c r="AE55" s="1652">
        <f t="shared" ca="1" si="1"/>
        <v>0</v>
      </c>
      <c r="AF55" s="1649">
        <f t="shared" ca="1" si="1"/>
        <v>0</v>
      </c>
      <c r="AG55" s="1649">
        <f t="shared" ca="1" si="1"/>
        <v>0</v>
      </c>
      <c r="AH55" s="1652">
        <f t="shared" ca="1" si="1"/>
        <v>0</v>
      </c>
    </row>
    <row r="56" spans="5:122" s="117" customFormat="1" x14ac:dyDescent="0.35">
      <c r="E56" s="1647"/>
      <c r="F56" s="1368">
        <v>2</v>
      </c>
      <c r="G56" s="1378" t="str">
        <f ca="1">IFERROR(IF('GHG Calcs'!$F13=Defaults!$M$2,O13-AB35+BV35+DO35,IF('GHG Calcs'!$F13=Defaults!$M$3,O13+DO35,IF('GHG Calcs'!$F13=Defaults!$M$4,BV35-AB35+DO35,IF('GHG Calcs'!$F13=Defaults!$M$5,DO35,""))))/453.6,"")</f>
        <v/>
      </c>
      <c r="H56" s="1378" t="str">
        <f ca="1">IFERROR(IF('GHG Calcs'!$F13=Defaults!$M$2,P13-AC35+BW35+DP35,IF('GHG Calcs'!$F13=Defaults!$M$3,P13+DP35,IF('GHG Calcs'!$F13=Defaults!$M$4,BW35-AC35+DP35,IF('GHG Calcs'!$F13=Defaults!$M$5,DP35,""))))/453.6,"")</f>
        <v/>
      </c>
      <c r="I56" s="1378" t="str">
        <f ca="1">IFERROR(IF('GHG Calcs'!$F13=Defaults!$M$2,Q13-AD35+BX35+DQ35,IF('GHG Calcs'!$F13=Defaults!$M$3,Q13+DQ35,IF('GHG Calcs'!$F13=Defaults!$M$4,BX35-AD35+DQ35,IF('GHG Calcs'!$F13=Defaults!$M$5,DQ35,""))))/453.6,"")</f>
        <v/>
      </c>
      <c r="J56" s="1378" t="str">
        <f ca="1">IFERROR(IF('GHG Calcs'!$F13=Defaults!$M$2,R13-AE35+BY35+DR35,IF('GHG Calcs'!$F13=Defaults!$M$3,R13+DR35,IF('GHG Calcs'!$F13=Defaults!$M$4,BY35-AE35+DR35,IF('GHG Calcs'!$F13=Defaults!$M$5,DR35,""))))/453.6,"")</f>
        <v/>
      </c>
      <c r="K56" s="1378"/>
      <c r="L56" s="1378"/>
      <c r="M56" s="1378"/>
      <c r="N56" s="1378"/>
      <c r="O56" s="1426" t="str">
        <f ca="1">IFERROR(IF('GHG Calcs'!$F13=Defaults!$M$2,SUM(S13,DD13,EW13)-SUM(BJ13),IF('GHG Calcs'!$F13=Defaults!$M$3,SUM(S13,EW13),IF('GHG Calcs'!$F13=Defaults!$M$4,SUM(DD13,EW13)-SUM(BJ13),IF('GHG Calcs'!$F13=Defaults!$M$5,EW13,"")))),"")</f>
        <v/>
      </c>
      <c r="P56" s="1426" t="str">
        <f ca="1">IFERROR(IF('GHG Calcs'!$F13=Defaults!$M$2,SUM(DE13,EX13)-SUM(BK13),IF('GHG Calcs'!$F13=Defaults!$M$3,EX13,IF('GHG Calcs'!$F13=Defaults!$M$4,SUM(DE13,EX13)-SUM(BK13),IF('GHG Calcs'!$F13=Defaults!$M$5,EX13,"")))),"")</f>
        <v/>
      </c>
      <c r="Q56" s="1426" t="str">
        <f t="shared" ref="Q56:Q72" ca="1" si="2">IFERROR(IF(AND(BL13="",EZ13=""),"",SUM(BL13,EZ13)),"")</f>
        <v/>
      </c>
      <c r="R56" s="1427" t="str">
        <f ca="1">IFERROR(IF('GHG Calcs'!$F13=Defaults!$M$2,SUM(DF13,EY13)-SUM(BM13)+FB13*AVERAGE('GHG Calcs'!M13,'GHG Calcs'!O13)*('GHG Calcs'!I13-'GHG Calcs'!H13),IF('GHG Calcs'!$F13=Defaults!$M$3,EY13,IF('GHG Calcs'!$F13=Defaults!$M$4,SUM(DF13,EY13)-SUM(BM13),IF('GHG Calcs'!$F13=Defaults!$M$5,EY13,"")))),"")</f>
        <v/>
      </c>
      <c r="S56" s="1427" t="str">
        <f ca="1">IFERROR(IF( (((-FB13+((-FC13+FD13+FE13)/2))*'GHG Calcs'!Q13*AVERAGE('GHG Calcs'!M13,'GHG Calcs'!O13))+(IF('GHG Calcs'!$F13=Defaults!$M$3,FA13-FB13,0)*(1-'GHG Calcs'!Q13)*AVERAGE('GHG Calcs'!M13,'GHG Calcs'!O13))+('Fuel &amp; Travel Costs'!$C$31*AVERAGE('GHG Calcs'!U13,'GHG Calcs'!W13)))*('GHG Calcs'!I13-'GHG Calcs'!H13)=0,"",(((-FB13+((-FC13+FD13+FE13)/2))*'GHG Calcs'!Q13*AVERAGE('GHG Calcs'!M13,'GHG Calcs'!O13))+(IF('GHG Calcs'!$F13=Defaults!$M$3,FA13-FB13,0)*(1-'GHG Calcs'!Q13)*AVERAGE('GHG Calcs'!M13,'GHG Calcs'!O13))+('Fuel &amp; Travel Costs'!$C$31*AVERAGE('GHG Calcs'!U13,'GHG Calcs'!W13)))*('GHG Calcs'!I13-'GHG Calcs'!H13)),"")</f>
        <v/>
      </c>
      <c r="T56" s="1426" t="str">
        <f ca="1">IFERROR(IF('GHG Calcs'!Y13*('GHG Calcs'!I13-'GHG Calcs'!H13)=0,"",'GHG Calcs'!Y13*('GHG Calcs'!I13-'GHG Calcs'!H13)),"")</f>
        <v/>
      </c>
      <c r="U56" s="1656"/>
      <c r="V56" s="1656"/>
      <c r="W56" s="1656"/>
      <c r="X56" s="1656"/>
      <c r="Y56" s="1656"/>
      <c r="Z56" s="1656"/>
      <c r="AA56" s="1656"/>
      <c r="AB56" s="1656"/>
      <c r="AC56" s="1653"/>
      <c r="AD56" s="1653"/>
      <c r="AE56" s="1653"/>
      <c r="AF56" s="1650"/>
      <c r="AG56" s="1650"/>
      <c r="AH56" s="1653"/>
    </row>
    <row r="57" spans="5:122" s="117" customFormat="1" x14ac:dyDescent="0.35">
      <c r="E57" s="1648"/>
      <c r="F57" s="1368">
        <v>3</v>
      </c>
      <c r="G57" s="1378" t="str">
        <f ca="1">IFERROR(IF('GHG Calcs'!$F14=Defaults!$M$2,O14-AB36+BV36+DO36,IF('GHG Calcs'!$F14=Defaults!$M$3,O14+DO36,IF('GHG Calcs'!$F14=Defaults!$M$4,BV36-AB36+DO36,IF('GHG Calcs'!$F14=Defaults!$M$5,DO36,""))))/453.6,"")</f>
        <v/>
      </c>
      <c r="H57" s="1378" t="str">
        <f ca="1">IFERROR(IF('GHG Calcs'!$F14=Defaults!$M$2,P14-AC36+BW36+DP36,IF('GHG Calcs'!$F14=Defaults!$M$3,P14+DP36,IF('GHG Calcs'!$F14=Defaults!$M$4,BW36-AC36+DP36,IF('GHG Calcs'!$F14=Defaults!$M$5,DP36,""))))/453.6,"")</f>
        <v/>
      </c>
      <c r="I57" s="1378" t="str">
        <f ca="1">IFERROR(IF('GHG Calcs'!$F14=Defaults!$M$2,Q14-AD36+BX36+DQ36,IF('GHG Calcs'!$F14=Defaults!$M$3,Q14+DQ36,IF('GHG Calcs'!$F14=Defaults!$M$4,BX36-AD36+DQ36,IF('GHG Calcs'!$F14=Defaults!$M$5,DQ36,""))))/453.6,"")</f>
        <v/>
      </c>
      <c r="J57" s="1378" t="str">
        <f ca="1">IFERROR(IF('GHG Calcs'!$F14=Defaults!$M$2,R14-AE36+BY36+DR36,IF('GHG Calcs'!$F14=Defaults!$M$3,R14+DR36,IF('GHG Calcs'!$F14=Defaults!$M$4,BY36-AE36+DR36,IF('GHG Calcs'!$F14=Defaults!$M$5,DR36,""))))/453.6,"")</f>
        <v/>
      </c>
      <c r="K57" s="1378"/>
      <c r="L57" s="1378"/>
      <c r="M57" s="1378"/>
      <c r="N57" s="1378"/>
      <c r="O57" s="1426" t="str">
        <f ca="1">IFERROR(IF('GHG Calcs'!$F14=Defaults!$M$2,SUM(S14,DD14,EW14)-SUM(BJ14),IF('GHG Calcs'!$F14=Defaults!$M$3,SUM(S14,EW14),IF('GHG Calcs'!$F14=Defaults!$M$4,SUM(DD14,EW14)-SUM(BJ14),IF('GHG Calcs'!$F14=Defaults!$M$5,EW14,"")))),"")</f>
        <v/>
      </c>
      <c r="P57" s="1426" t="str">
        <f ca="1">IFERROR(IF('GHG Calcs'!$F14=Defaults!$M$2,SUM(DE14,EX14)-SUM(BK14),IF('GHG Calcs'!$F14=Defaults!$M$3,EX14,IF('GHG Calcs'!$F14=Defaults!$M$4,SUM(DE14,EX14)-SUM(BK14),IF('GHG Calcs'!$F14=Defaults!$M$5,EX14,"")))),"")</f>
        <v/>
      </c>
      <c r="Q57" s="1426" t="str">
        <f t="shared" ca="1" si="2"/>
        <v/>
      </c>
      <c r="R57" s="1427" t="str">
        <f ca="1">IFERROR(IF('GHG Calcs'!$F14=Defaults!$M$2,SUM(DF14,EY14)-SUM(BM14)+FB14*AVERAGE('GHG Calcs'!M14,'GHG Calcs'!O14)*('GHG Calcs'!I14-'GHG Calcs'!H14),IF('GHG Calcs'!$F14=Defaults!$M$3,EY14,IF('GHG Calcs'!$F14=Defaults!$M$4,SUM(DF14,EY14)-SUM(BM14),IF('GHG Calcs'!$F14=Defaults!$M$5,EY14,"")))),"")</f>
        <v/>
      </c>
      <c r="S57" s="1427" t="str">
        <f ca="1">IFERROR(IF( (((-FB14+((-FC14+FD14+FE14)/2))*'GHG Calcs'!Q14*AVERAGE('GHG Calcs'!M14,'GHG Calcs'!O14))+(IF('GHG Calcs'!$F14=Defaults!$M$3,FA14-FB14,0)*(1-'GHG Calcs'!Q14)*AVERAGE('GHG Calcs'!M14,'GHG Calcs'!O14))+('Fuel &amp; Travel Costs'!$C$31*AVERAGE('GHG Calcs'!U14,'GHG Calcs'!W14)))*('GHG Calcs'!I14-'GHG Calcs'!H14)=0,"",(((-FB14+((-FC14+FD14+FE14)/2))*'GHG Calcs'!Q14*AVERAGE('GHG Calcs'!M14,'GHG Calcs'!O14))+(IF('GHG Calcs'!$F14=Defaults!$M$3,FA14-FB14,0)*(1-'GHG Calcs'!Q14)*AVERAGE('GHG Calcs'!M14,'GHG Calcs'!O14))+('Fuel &amp; Travel Costs'!$C$31*AVERAGE('GHG Calcs'!U14,'GHG Calcs'!W14)))*('GHG Calcs'!I14-'GHG Calcs'!H14)),"")</f>
        <v/>
      </c>
      <c r="T57" s="1426" t="str">
        <f ca="1">IFERROR(IF('GHG Calcs'!Y14*('GHG Calcs'!I14-'GHG Calcs'!H14)=0,"",'GHG Calcs'!Y14*('GHG Calcs'!I14-'GHG Calcs'!H14)),"")</f>
        <v/>
      </c>
      <c r="U57" s="1657"/>
      <c r="V57" s="1657"/>
      <c r="W57" s="1657"/>
      <c r="X57" s="1657"/>
      <c r="Y57" s="1657"/>
      <c r="Z57" s="1657"/>
      <c r="AA57" s="1657"/>
      <c r="AB57" s="1657"/>
      <c r="AC57" s="1654"/>
      <c r="AD57" s="1654"/>
      <c r="AE57" s="1654"/>
      <c r="AF57" s="1651"/>
      <c r="AG57" s="1651"/>
      <c r="AH57" s="1654"/>
    </row>
    <row r="58" spans="5:122" s="117" customFormat="1" x14ac:dyDescent="0.35">
      <c r="E58" s="1646">
        <v>2</v>
      </c>
      <c r="F58" s="1379">
        <v>1</v>
      </c>
      <c r="G58" s="1378" t="str">
        <f ca="1">IFERROR(IF('GHG Calcs'!$F15=Defaults!$M$2,O15-AB37+BV37+DO37,IF('GHG Calcs'!$F15=Defaults!$M$3,O15+DO37,IF('GHG Calcs'!$F15=Defaults!$M$4,BV37-AB37+DO37,IF('GHG Calcs'!$F15=Defaults!$M$5,DO37,""))))/453.6,"")</f>
        <v/>
      </c>
      <c r="H58" s="1378" t="str">
        <f ca="1">IFERROR(IF('GHG Calcs'!$F15=Defaults!$M$2,P15-AC37+BW37+DP37,IF('GHG Calcs'!$F15=Defaults!$M$3,P15+DP37,IF('GHG Calcs'!$F15=Defaults!$M$4,BW37-AC37+DP37,IF('GHG Calcs'!$F15=Defaults!$M$5,DP37,""))))/453.6,"")</f>
        <v/>
      </c>
      <c r="I58" s="1378" t="str">
        <f ca="1">IFERROR(IF('GHG Calcs'!$F15=Defaults!$M$2,Q15-AD37+BX37+DQ37,IF('GHG Calcs'!$F15=Defaults!$M$3,Q15+DQ37,IF('GHG Calcs'!$F15=Defaults!$M$4,BX37-AD37+DQ37,IF('GHG Calcs'!$F15=Defaults!$M$5,DQ37,""))))/453.6,"")</f>
        <v/>
      </c>
      <c r="J58" s="1378" t="str">
        <f ca="1">IFERROR(IF('GHG Calcs'!$F15=Defaults!$M$2,R15-AE37+BY37+DR37,IF('GHG Calcs'!$F15=Defaults!$M$3,R15+DR37,IF('GHG Calcs'!$F15=Defaults!$M$4,BY37-AE37+DR37,IF('GHG Calcs'!$F15=Defaults!$M$5,DR37,""))))/453.6,"")</f>
        <v/>
      </c>
      <c r="K58" s="1378"/>
      <c r="L58" s="1378"/>
      <c r="M58" s="1378"/>
      <c r="N58" s="1378"/>
      <c r="O58" s="1426" t="str">
        <f ca="1">IFERROR(IF('GHG Calcs'!$F15=Defaults!$M$2,SUM(S15,DD15,EW15)-SUM(BJ15),IF('GHG Calcs'!$F15=Defaults!$M$3,SUM(S15,EW15),IF('GHG Calcs'!$F15=Defaults!$M$4,SUM(DD15,EW15)-SUM(BJ15),IF('GHG Calcs'!$F15=Defaults!$M$5,EW15,"")))),"")</f>
        <v/>
      </c>
      <c r="P58" s="1426" t="str">
        <f ca="1">IFERROR(IF('GHG Calcs'!$F15=Defaults!$M$2,SUM(DE15,EX15)-SUM(BK15),IF('GHG Calcs'!$F15=Defaults!$M$3,EX15,IF('GHG Calcs'!$F15=Defaults!$M$4,SUM(DE15,EX15)-SUM(BK15),IF('GHG Calcs'!$F15=Defaults!$M$5,EX15,"")))),"")</f>
        <v/>
      </c>
      <c r="Q58" s="1426" t="str">
        <f t="shared" ca="1" si="2"/>
        <v/>
      </c>
      <c r="R58" s="1427" t="str">
        <f ca="1">IFERROR(IF('GHG Calcs'!$F15=Defaults!$M$2,SUM(DF15,EY15)-SUM(BM15)+FB15*AVERAGE('GHG Calcs'!M15,'GHG Calcs'!O15)*('GHG Calcs'!I15-'GHG Calcs'!H15),IF('GHG Calcs'!$F15=Defaults!$M$3,EY15,IF('GHG Calcs'!$F15=Defaults!$M$4,SUM(DF15,EY15)-SUM(BM15),IF('GHG Calcs'!$F15=Defaults!$M$5,EY15,"")))),"")</f>
        <v/>
      </c>
      <c r="S58" s="1427" t="str">
        <f ca="1">IFERROR(IF( (((-FB15+((-FC15+FD15+FE15)/2))*'GHG Calcs'!Q15*AVERAGE('GHG Calcs'!M15,'GHG Calcs'!O15))+(IF('GHG Calcs'!$F15=Defaults!$M$3,FA15-FB15,0)*(1-'GHG Calcs'!Q15)*AVERAGE('GHG Calcs'!M15,'GHG Calcs'!O15))+('Fuel &amp; Travel Costs'!$C$31*AVERAGE('GHG Calcs'!U15,'GHG Calcs'!W15)))*('GHG Calcs'!I15-'GHG Calcs'!H15)=0,"",(((-FB15+((-FC15+FD15+FE15)/2))*'GHG Calcs'!Q15*AVERAGE('GHG Calcs'!M15,'GHG Calcs'!O15))+(IF('GHG Calcs'!$F15=Defaults!$M$3,FA15-FB15,0)*(1-'GHG Calcs'!Q15)*AVERAGE('GHG Calcs'!M15,'GHG Calcs'!O15))+('Fuel &amp; Travel Costs'!$C$31*AVERAGE('GHG Calcs'!U15,'GHG Calcs'!W15)))*('GHG Calcs'!I15-'GHG Calcs'!H15)),"")</f>
        <v/>
      </c>
      <c r="T58" s="1426" t="str">
        <f ca="1">IFERROR(IF('GHG Calcs'!Y15*('GHG Calcs'!I15-'GHG Calcs'!H15)=0,"",'GHG Calcs'!Y15*('GHG Calcs'!I15-'GHG Calcs'!H15)),"")</f>
        <v/>
      </c>
      <c r="U58" s="1655">
        <f t="shared" ref="U58" ca="1" si="3">IFERROR(SUM(G58:G60),"")</f>
        <v>0</v>
      </c>
      <c r="V58" s="1655">
        <f t="shared" ref="V58:AH58" ca="1" si="4">IFERROR(SUM(H58:H60),"")</f>
        <v>0</v>
      </c>
      <c r="W58" s="1655">
        <f t="shared" ca="1" si="4"/>
        <v>0</v>
      </c>
      <c r="X58" s="1655">
        <f t="shared" ca="1" si="4"/>
        <v>0</v>
      </c>
      <c r="Y58" s="1655">
        <f t="shared" si="4"/>
        <v>0</v>
      </c>
      <c r="Z58" s="1655">
        <f t="shared" si="4"/>
        <v>0</v>
      </c>
      <c r="AA58" s="1655">
        <f t="shared" si="4"/>
        <v>0</v>
      </c>
      <c r="AB58" s="1655">
        <f t="shared" si="4"/>
        <v>0</v>
      </c>
      <c r="AC58" s="1652">
        <f t="shared" ca="1" si="4"/>
        <v>0</v>
      </c>
      <c r="AD58" s="1652">
        <f t="shared" ca="1" si="4"/>
        <v>0</v>
      </c>
      <c r="AE58" s="1652">
        <f t="shared" ca="1" si="4"/>
        <v>0</v>
      </c>
      <c r="AF58" s="1649">
        <f t="shared" ca="1" si="4"/>
        <v>0</v>
      </c>
      <c r="AG58" s="1649">
        <f t="shared" ca="1" si="4"/>
        <v>0</v>
      </c>
      <c r="AH58" s="1652">
        <f t="shared" ca="1" si="4"/>
        <v>0</v>
      </c>
    </row>
    <row r="59" spans="5:122" s="117" customFormat="1" x14ac:dyDescent="0.35">
      <c r="E59" s="1647"/>
      <c r="F59" s="1379">
        <v>2</v>
      </c>
      <c r="G59" s="1378" t="str">
        <f ca="1">IFERROR(IF('GHG Calcs'!$F16=Defaults!$M$2,O16-AB38+BV38+DO38,IF('GHG Calcs'!$F16=Defaults!$M$3,O16+DO38,IF('GHG Calcs'!$F16=Defaults!$M$4,BV38-AB38+DO38,IF('GHG Calcs'!$F16=Defaults!$M$5,DO38,""))))/453.6,"")</f>
        <v/>
      </c>
      <c r="H59" s="1378" t="str">
        <f ca="1">IFERROR(IF('GHG Calcs'!$F16=Defaults!$M$2,P16-AC38+BW38+DP38,IF('GHG Calcs'!$F16=Defaults!$M$3,P16+DP38,IF('GHG Calcs'!$F16=Defaults!$M$4,BW38-AC38+DP38,IF('GHG Calcs'!$F16=Defaults!$M$5,DP38,""))))/453.6,"")</f>
        <v/>
      </c>
      <c r="I59" s="1378" t="str">
        <f ca="1">IFERROR(IF('GHG Calcs'!$F16=Defaults!$M$2,Q16-AD38+BX38+DQ38,IF('GHG Calcs'!$F16=Defaults!$M$3,Q16+DQ38,IF('GHG Calcs'!$F16=Defaults!$M$4,BX38-AD38+DQ38,IF('GHG Calcs'!$F16=Defaults!$M$5,DQ38,""))))/453.6,"")</f>
        <v/>
      </c>
      <c r="J59" s="1378" t="str">
        <f ca="1">IFERROR(IF('GHG Calcs'!$F16=Defaults!$M$2,R16-AE38+BY38+DR38,IF('GHG Calcs'!$F16=Defaults!$M$3,R16+DR38,IF('GHG Calcs'!$F16=Defaults!$M$4,BY38-AE38+DR38,IF('GHG Calcs'!$F16=Defaults!$M$5,DR38,""))))/453.6,"")</f>
        <v/>
      </c>
      <c r="K59" s="1378"/>
      <c r="L59" s="1378"/>
      <c r="M59" s="1378"/>
      <c r="N59" s="1378"/>
      <c r="O59" s="1426" t="str">
        <f ca="1">IFERROR(IF('GHG Calcs'!$F16=Defaults!$M$2,SUM(S16,DD16,EW16)-SUM(BJ16),IF('GHG Calcs'!$F16=Defaults!$M$3,SUM(S16,EW16),IF('GHG Calcs'!$F16=Defaults!$M$4,SUM(DD16,EW16)-SUM(BJ16),IF('GHG Calcs'!$F16=Defaults!$M$5,EW16,"")))),"")</f>
        <v/>
      </c>
      <c r="P59" s="1426" t="str">
        <f ca="1">IFERROR(IF('GHG Calcs'!$F16=Defaults!$M$2,SUM(DE16,EX16)-SUM(BK16),IF('GHG Calcs'!$F16=Defaults!$M$3,EX16,IF('GHG Calcs'!$F16=Defaults!$M$4,SUM(DE16,EX16)-SUM(BK16),IF('GHG Calcs'!$F16=Defaults!$M$5,EX16,"")))),"")</f>
        <v/>
      </c>
      <c r="Q59" s="1426" t="str">
        <f t="shared" ca="1" si="2"/>
        <v/>
      </c>
      <c r="R59" s="1427" t="str">
        <f ca="1">IFERROR(IF('GHG Calcs'!$F16=Defaults!$M$2,SUM(DF16,EY16)-SUM(BM16)+FB16*AVERAGE('GHG Calcs'!M16,'GHG Calcs'!O16)*('GHG Calcs'!I16-'GHG Calcs'!H16),IF('GHG Calcs'!$F16=Defaults!$M$3,EY16,IF('GHG Calcs'!$F16=Defaults!$M$4,SUM(DF16,EY16)-SUM(BM16),IF('GHG Calcs'!$F16=Defaults!$M$5,EY16,"")))),"")</f>
        <v/>
      </c>
      <c r="S59" s="1427" t="str">
        <f ca="1">IFERROR(IF( (((-FB16+((-FC16+FD16+FE16)/2))*'GHG Calcs'!Q16*AVERAGE('GHG Calcs'!M16,'GHG Calcs'!O16))+(IF('GHG Calcs'!$F16=Defaults!$M$3,FA16-FB16,0)*(1-'GHG Calcs'!Q16)*AVERAGE('GHG Calcs'!M16,'GHG Calcs'!O16))+('Fuel &amp; Travel Costs'!$C$31*AVERAGE('GHG Calcs'!U16,'GHG Calcs'!W16)))*('GHG Calcs'!I16-'GHG Calcs'!H16)=0,"",(((-FB16+((-FC16+FD16+FE16)/2))*'GHG Calcs'!Q16*AVERAGE('GHG Calcs'!M16,'GHG Calcs'!O16))+(IF('GHG Calcs'!$F16=Defaults!$M$3,FA16-FB16,0)*(1-'GHG Calcs'!Q16)*AVERAGE('GHG Calcs'!M16,'GHG Calcs'!O16))+('Fuel &amp; Travel Costs'!$C$31*AVERAGE('GHG Calcs'!U16,'GHG Calcs'!W16)))*('GHG Calcs'!I16-'GHG Calcs'!H16)),"")</f>
        <v/>
      </c>
      <c r="T59" s="1426" t="str">
        <f ca="1">IFERROR(IF('GHG Calcs'!Y16*('GHG Calcs'!I16-'GHG Calcs'!H16)=0,"",'GHG Calcs'!Y16*('GHG Calcs'!I16-'GHG Calcs'!H16)),"")</f>
        <v/>
      </c>
      <c r="U59" s="1656"/>
      <c r="V59" s="1656"/>
      <c r="W59" s="1656"/>
      <c r="X59" s="1656"/>
      <c r="Y59" s="1656"/>
      <c r="Z59" s="1656"/>
      <c r="AA59" s="1656"/>
      <c r="AB59" s="1656"/>
      <c r="AC59" s="1653"/>
      <c r="AD59" s="1653"/>
      <c r="AE59" s="1653"/>
      <c r="AF59" s="1650"/>
      <c r="AG59" s="1650"/>
      <c r="AH59" s="1653"/>
    </row>
    <row r="60" spans="5:122" s="117" customFormat="1" x14ac:dyDescent="0.35">
      <c r="E60" s="1648"/>
      <c r="F60" s="1379">
        <v>3</v>
      </c>
      <c r="G60" s="1378" t="str">
        <f ca="1">IFERROR(IF('GHG Calcs'!$F17=Defaults!$M$2,O17-AB39+BV39+DO39,IF('GHG Calcs'!$F17=Defaults!$M$3,O17+DO39,IF('GHG Calcs'!$F17=Defaults!$M$4,BV39-AB39+DO39,IF('GHG Calcs'!$F17=Defaults!$M$5,DO39,""))))/453.6,"")</f>
        <v/>
      </c>
      <c r="H60" s="1378" t="str">
        <f ca="1">IFERROR(IF('GHG Calcs'!$F17=Defaults!$M$2,P17-AC39+BW39+DP39,IF('GHG Calcs'!$F17=Defaults!$M$3,P17+DP39,IF('GHG Calcs'!$F17=Defaults!$M$4,BW39-AC39+DP39,IF('GHG Calcs'!$F17=Defaults!$M$5,DP39,""))))/453.6,"")</f>
        <v/>
      </c>
      <c r="I60" s="1378" t="str">
        <f ca="1">IFERROR(IF('GHG Calcs'!$F17=Defaults!$M$2,Q17-AD39+BX39+DQ39,IF('GHG Calcs'!$F17=Defaults!$M$3,Q17+DQ39,IF('GHG Calcs'!$F17=Defaults!$M$4,BX39-AD39+DQ39,IF('GHG Calcs'!$F17=Defaults!$M$5,DQ39,""))))/453.6,"")</f>
        <v/>
      </c>
      <c r="J60" s="1378" t="str">
        <f ca="1">IFERROR(IF('GHG Calcs'!$F17=Defaults!$M$2,R17-AE39+BY39+DR39,IF('GHG Calcs'!$F17=Defaults!$M$3,R17+DR39,IF('GHG Calcs'!$F17=Defaults!$M$4,BY39-AE39+DR39,IF('GHG Calcs'!$F17=Defaults!$M$5,DR39,""))))/453.6,"")</f>
        <v/>
      </c>
      <c r="K60" s="1378"/>
      <c r="L60" s="1378"/>
      <c r="M60" s="1378"/>
      <c r="N60" s="1378"/>
      <c r="O60" s="1426" t="str">
        <f ca="1">IFERROR(IF('GHG Calcs'!$F17=Defaults!$M$2,SUM(S17,DD17,EW17)-SUM(BJ17),IF('GHG Calcs'!$F17=Defaults!$M$3,SUM(S17,EW17),IF('GHG Calcs'!$F17=Defaults!$M$4,SUM(DD17,EW17)-SUM(BJ17),IF('GHG Calcs'!$F17=Defaults!$M$5,EW17,"")))),"")</f>
        <v/>
      </c>
      <c r="P60" s="1426" t="str">
        <f ca="1">IFERROR(IF('GHG Calcs'!$F17=Defaults!$M$2,SUM(DE17,EX17)-SUM(BK17),IF('GHG Calcs'!$F17=Defaults!$M$3,EX17,IF('GHG Calcs'!$F17=Defaults!$M$4,SUM(DE17,EX17)-SUM(BK17),IF('GHG Calcs'!$F17=Defaults!$M$5,EX17,"")))),"")</f>
        <v/>
      </c>
      <c r="Q60" s="1426" t="str">
        <f t="shared" ca="1" si="2"/>
        <v/>
      </c>
      <c r="R60" s="1427" t="str">
        <f ca="1">IFERROR(IF('GHG Calcs'!$F17=Defaults!$M$2,SUM(DF17,EY17)-SUM(BM17)+FB17*AVERAGE('GHG Calcs'!M17,'GHG Calcs'!O17)*('GHG Calcs'!I17-'GHG Calcs'!H17),IF('GHG Calcs'!$F17=Defaults!$M$3,EY17,IF('GHG Calcs'!$F17=Defaults!$M$4,SUM(DF17,EY17)-SUM(BM17),IF('GHG Calcs'!$F17=Defaults!$M$5,EY17,"")))),"")</f>
        <v/>
      </c>
      <c r="S60" s="1427" t="str">
        <f ca="1">IFERROR(IF( (((-FB17+((-FC17+FD17+FE17)/2))*'GHG Calcs'!Q17*AVERAGE('GHG Calcs'!M17,'GHG Calcs'!O17))+(IF('GHG Calcs'!$F17=Defaults!$M$3,FA17-FB17,0)*(1-'GHG Calcs'!Q17)*AVERAGE('GHG Calcs'!M17,'GHG Calcs'!O17))+('Fuel &amp; Travel Costs'!$C$31*AVERAGE('GHG Calcs'!U17,'GHG Calcs'!W17)))*('GHG Calcs'!I17-'GHG Calcs'!H17)=0,"",(((-FB17+((-FC17+FD17+FE17)/2))*'GHG Calcs'!Q17*AVERAGE('GHG Calcs'!M17,'GHG Calcs'!O17))+(IF('GHG Calcs'!$F17=Defaults!$M$3,FA17-FB17,0)*(1-'GHG Calcs'!Q17)*AVERAGE('GHG Calcs'!M17,'GHG Calcs'!O17))+('Fuel &amp; Travel Costs'!$C$31*AVERAGE('GHG Calcs'!U17,'GHG Calcs'!W17)))*('GHG Calcs'!I17-'GHG Calcs'!H17)),"")</f>
        <v/>
      </c>
      <c r="T60" s="1426" t="str">
        <f ca="1">IFERROR(IF('GHG Calcs'!Y17*('GHG Calcs'!I17-'GHG Calcs'!H17)=0,"",'GHG Calcs'!Y17*('GHG Calcs'!I17-'GHG Calcs'!H17)),"")</f>
        <v/>
      </c>
      <c r="U60" s="1657"/>
      <c r="V60" s="1657"/>
      <c r="W60" s="1657"/>
      <c r="X60" s="1657"/>
      <c r="Y60" s="1657"/>
      <c r="Z60" s="1657"/>
      <c r="AA60" s="1657"/>
      <c r="AB60" s="1657"/>
      <c r="AC60" s="1654"/>
      <c r="AD60" s="1654"/>
      <c r="AE60" s="1654"/>
      <c r="AF60" s="1651"/>
      <c r="AG60" s="1651"/>
      <c r="AH60" s="1654"/>
    </row>
    <row r="61" spans="5:122" s="117" customFormat="1" x14ac:dyDescent="0.35">
      <c r="E61" s="1646">
        <v>3</v>
      </c>
      <c r="F61" s="1380">
        <v>1</v>
      </c>
      <c r="G61" s="1378" t="str">
        <f ca="1">IFERROR(IF('GHG Calcs'!$F18=Defaults!$M$2,O18-AB40+BV40+DO40,IF('GHG Calcs'!$F18=Defaults!$M$3,O18+DO40,IF('GHG Calcs'!$F18=Defaults!$M$4,BV40-AB40+DO40,IF('GHG Calcs'!$F18=Defaults!$M$5,DO40,""))))/453.6,"")</f>
        <v/>
      </c>
      <c r="H61" s="1378" t="str">
        <f ca="1">IFERROR(IF('GHG Calcs'!$F18=Defaults!$M$2,P18-AC40+BW40+DP40,IF('GHG Calcs'!$F18=Defaults!$M$3,P18+DP40,IF('GHG Calcs'!$F18=Defaults!$M$4,BW40-AC40+DP40,IF('GHG Calcs'!$F18=Defaults!$M$5,DP40,""))))/453.6,"")</f>
        <v/>
      </c>
      <c r="I61" s="1378" t="str">
        <f ca="1">IFERROR(IF('GHG Calcs'!$F18=Defaults!$M$2,Q18-AD40+BX40+DQ40,IF('GHG Calcs'!$F18=Defaults!$M$3,Q18+DQ40,IF('GHG Calcs'!$F18=Defaults!$M$4,BX40-AD40+DQ40,IF('GHG Calcs'!$F18=Defaults!$M$5,DQ40,""))))/453.6,"")</f>
        <v/>
      </c>
      <c r="J61" s="1378" t="str">
        <f ca="1">IFERROR(IF('GHG Calcs'!$F18=Defaults!$M$2,R18-AE40+BY40+DR40,IF('GHG Calcs'!$F18=Defaults!$M$3,R18+DR40,IF('GHG Calcs'!$F18=Defaults!$M$4,BY40-AE40+DR40,IF('GHG Calcs'!$F18=Defaults!$M$5,DR40,""))))/453.6,"")</f>
        <v/>
      </c>
      <c r="K61" s="1378"/>
      <c r="L61" s="1378"/>
      <c r="M61" s="1378"/>
      <c r="N61" s="1378"/>
      <c r="O61" s="1426" t="str">
        <f ca="1">IFERROR(IF('GHG Calcs'!$F18=Defaults!$M$2,SUM(S18,DD18,EW18)-SUM(BJ18),IF('GHG Calcs'!$F18=Defaults!$M$3,SUM(S18,EW18),IF('GHG Calcs'!$F18=Defaults!$M$4,SUM(DD18,EW18)-SUM(BJ18),IF('GHG Calcs'!$F18=Defaults!$M$5,EW18,"")))),"")</f>
        <v/>
      </c>
      <c r="P61" s="1426" t="str">
        <f ca="1">IFERROR(IF('GHG Calcs'!$F18=Defaults!$M$2,SUM(DE18,EX18)-SUM(BK18),IF('GHG Calcs'!$F18=Defaults!$M$3,EX18,IF('GHG Calcs'!$F18=Defaults!$M$4,SUM(DE18,EX18)-SUM(BK18),IF('GHG Calcs'!$F18=Defaults!$M$5,EX18,"")))),"")</f>
        <v/>
      </c>
      <c r="Q61" s="1426" t="str">
        <f t="shared" ca="1" si="2"/>
        <v/>
      </c>
      <c r="R61" s="1427" t="str">
        <f ca="1">IFERROR(IF('GHG Calcs'!$F18=Defaults!$M$2,SUM(DF18,EY18)-SUM(BM18)+FB18*AVERAGE('GHG Calcs'!M18,'GHG Calcs'!O18)*('GHG Calcs'!I18-'GHG Calcs'!H18),IF('GHG Calcs'!$F18=Defaults!$M$3,EY18,IF('GHG Calcs'!$F18=Defaults!$M$4,SUM(DF18,EY18)-SUM(BM18),IF('GHG Calcs'!$F18=Defaults!$M$5,EY18,"")))),"")</f>
        <v/>
      </c>
      <c r="S61" s="1427" t="str">
        <f ca="1">IFERROR(IF( (((-FB18+((-FC18+FD18+FE18)/2))*'GHG Calcs'!Q18*AVERAGE('GHG Calcs'!M18,'GHG Calcs'!O18))+(IF('GHG Calcs'!$F18=Defaults!$M$3,FA18-FB18,0)*(1-'GHG Calcs'!Q18)*AVERAGE('GHG Calcs'!M18,'GHG Calcs'!O18))+('Fuel &amp; Travel Costs'!$C$31*AVERAGE('GHG Calcs'!U18,'GHG Calcs'!W18)))*('GHG Calcs'!I18-'GHG Calcs'!H18)=0,"",(((-FB18+((-FC18+FD18+FE18)/2))*'GHG Calcs'!Q18*AVERAGE('GHG Calcs'!M18,'GHG Calcs'!O18))+(IF('GHG Calcs'!$F18=Defaults!$M$3,FA18-FB18,0)*(1-'GHG Calcs'!Q18)*AVERAGE('GHG Calcs'!M18,'GHG Calcs'!O18))+('Fuel &amp; Travel Costs'!$C$31*AVERAGE('GHG Calcs'!U18,'GHG Calcs'!W18)))*('GHG Calcs'!I18-'GHG Calcs'!H18)),"")</f>
        <v/>
      </c>
      <c r="T61" s="1426" t="str">
        <f ca="1">IFERROR(IF('GHG Calcs'!Y18*('GHG Calcs'!I18-'GHG Calcs'!H18)=0,"",'GHG Calcs'!Y18*('GHG Calcs'!I18-'GHG Calcs'!H18)),"")</f>
        <v/>
      </c>
      <c r="U61" s="1655">
        <f t="shared" ref="U61" ca="1" si="5">IFERROR(SUM(G61:G63),"")</f>
        <v>0</v>
      </c>
      <c r="V61" s="1655">
        <f t="shared" ref="V61:AH61" ca="1" si="6">IFERROR(SUM(H61:H63),"")</f>
        <v>0</v>
      </c>
      <c r="W61" s="1655">
        <f t="shared" ca="1" si="6"/>
        <v>0</v>
      </c>
      <c r="X61" s="1655">
        <f t="shared" ca="1" si="6"/>
        <v>0</v>
      </c>
      <c r="Y61" s="1655">
        <f t="shared" si="6"/>
        <v>0</v>
      </c>
      <c r="Z61" s="1655">
        <f t="shared" si="6"/>
        <v>0</v>
      </c>
      <c r="AA61" s="1655">
        <f t="shared" si="6"/>
        <v>0</v>
      </c>
      <c r="AB61" s="1655">
        <f t="shared" si="6"/>
        <v>0</v>
      </c>
      <c r="AC61" s="1652">
        <f t="shared" ca="1" si="6"/>
        <v>0</v>
      </c>
      <c r="AD61" s="1652">
        <f t="shared" ca="1" si="6"/>
        <v>0</v>
      </c>
      <c r="AE61" s="1652">
        <f t="shared" ca="1" si="6"/>
        <v>0</v>
      </c>
      <c r="AF61" s="1649">
        <f t="shared" ca="1" si="6"/>
        <v>0</v>
      </c>
      <c r="AG61" s="1649">
        <f t="shared" ca="1" si="6"/>
        <v>0</v>
      </c>
      <c r="AH61" s="1652">
        <f t="shared" ca="1" si="6"/>
        <v>0</v>
      </c>
    </row>
    <row r="62" spans="5:122" s="117" customFormat="1" x14ac:dyDescent="0.35">
      <c r="E62" s="1647"/>
      <c r="F62" s="1380">
        <v>2</v>
      </c>
      <c r="G62" s="1378" t="str">
        <f ca="1">IFERROR(IF('GHG Calcs'!$F19=Defaults!$M$2,O19-AB41+BV41+DO41,IF('GHG Calcs'!$F19=Defaults!$M$3,O19+DO41,IF('GHG Calcs'!$F19=Defaults!$M$4,BV41-AB41+DO41,IF('GHG Calcs'!$F19=Defaults!$M$5,DO41,""))))/453.6,"")</f>
        <v/>
      </c>
      <c r="H62" s="1378" t="str">
        <f ca="1">IFERROR(IF('GHG Calcs'!$F19=Defaults!$M$2,P19-AC41+BW41+DP41,IF('GHG Calcs'!$F19=Defaults!$M$3,P19+DP41,IF('GHG Calcs'!$F19=Defaults!$M$4,BW41-AC41+DP41,IF('GHG Calcs'!$F19=Defaults!$M$5,DP41,""))))/453.6,"")</f>
        <v/>
      </c>
      <c r="I62" s="1378" t="str">
        <f ca="1">IFERROR(IF('GHG Calcs'!$F19=Defaults!$M$2,Q19-AD41+BX41+DQ41,IF('GHG Calcs'!$F19=Defaults!$M$3,Q19+DQ41,IF('GHG Calcs'!$F19=Defaults!$M$4,BX41-AD41+DQ41,IF('GHG Calcs'!$F19=Defaults!$M$5,DQ41,""))))/453.6,"")</f>
        <v/>
      </c>
      <c r="J62" s="1378" t="str">
        <f ca="1">IFERROR(IF('GHG Calcs'!$F19=Defaults!$M$2,R19-AE41+BY41+DR41,IF('GHG Calcs'!$F19=Defaults!$M$3,R19+DR41,IF('GHG Calcs'!$F19=Defaults!$M$4,BY41-AE41+DR41,IF('GHG Calcs'!$F19=Defaults!$M$5,DR41,""))))/453.6,"")</f>
        <v/>
      </c>
      <c r="K62" s="1378"/>
      <c r="L62" s="1378"/>
      <c r="M62" s="1378"/>
      <c r="N62" s="1378"/>
      <c r="O62" s="1426" t="str">
        <f ca="1">IFERROR(IF('GHG Calcs'!$F19=Defaults!$M$2,SUM(S19,DD19,EW19)-SUM(BJ19),IF('GHG Calcs'!$F19=Defaults!$M$3,SUM(S19,EW19),IF('GHG Calcs'!$F19=Defaults!$M$4,SUM(DD19,EW19)-SUM(BJ19),IF('GHG Calcs'!$F19=Defaults!$M$5,EW19,"")))),"")</f>
        <v/>
      </c>
      <c r="P62" s="1426" t="str">
        <f ca="1">IFERROR(IF('GHG Calcs'!$F19=Defaults!$M$2,SUM(DE19,EX19)-SUM(BK19),IF('GHG Calcs'!$F19=Defaults!$M$3,EX19,IF('GHG Calcs'!$F19=Defaults!$M$4,SUM(DE19,EX19)-SUM(BK19),IF('GHG Calcs'!$F19=Defaults!$M$5,EX19,"")))),"")</f>
        <v/>
      </c>
      <c r="Q62" s="1426" t="str">
        <f t="shared" ca="1" si="2"/>
        <v/>
      </c>
      <c r="R62" s="1427" t="str">
        <f ca="1">IFERROR(IF('GHG Calcs'!$F19=Defaults!$M$2,SUM(DF19,EY19)-SUM(BM19)+FB19*AVERAGE('GHG Calcs'!M19,'GHG Calcs'!O19)*('GHG Calcs'!I19-'GHG Calcs'!H19),IF('GHG Calcs'!$F19=Defaults!$M$3,EY19,IF('GHG Calcs'!$F19=Defaults!$M$4,SUM(DF19,EY19)-SUM(BM19),IF('GHG Calcs'!$F19=Defaults!$M$5,EY19,"")))),"")</f>
        <v/>
      </c>
      <c r="S62" s="1427" t="str">
        <f ca="1">IFERROR(IF( (((-FB19+((-FC19+FD19+FE19)/2))*'GHG Calcs'!Q19*AVERAGE('GHG Calcs'!M19,'GHG Calcs'!O19))+(IF('GHG Calcs'!$F19=Defaults!$M$3,FA19-FB19,0)*(1-'GHG Calcs'!Q19)*AVERAGE('GHG Calcs'!M19,'GHG Calcs'!O19))+('Fuel &amp; Travel Costs'!$C$31*AVERAGE('GHG Calcs'!U19,'GHG Calcs'!W19)))*('GHG Calcs'!I19-'GHG Calcs'!H19)=0,"",(((-FB19+((-FC19+FD19+FE19)/2))*'GHG Calcs'!Q19*AVERAGE('GHG Calcs'!M19,'GHG Calcs'!O19))+(IF('GHG Calcs'!$F19=Defaults!$M$3,FA19-FB19,0)*(1-'GHG Calcs'!Q19)*AVERAGE('GHG Calcs'!M19,'GHG Calcs'!O19))+('Fuel &amp; Travel Costs'!$C$31*AVERAGE('GHG Calcs'!U19,'GHG Calcs'!W19)))*('GHG Calcs'!I19-'GHG Calcs'!H19)),"")</f>
        <v/>
      </c>
      <c r="T62" s="1426" t="str">
        <f ca="1">IFERROR(IF('GHG Calcs'!Y19*('GHG Calcs'!I19-'GHG Calcs'!H19)=0,"",'GHG Calcs'!Y19*('GHG Calcs'!I19-'GHG Calcs'!H19)),"")</f>
        <v/>
      </c>
      <c r="U62" s="1656"/>
      <c r="V62" s="1656"/>
      <c r="W62" s="1656"/>
      <c r="X62" s="1656"/>
      <c r="Y62" s="1656"/>
      <c r="Z62" s="1656"/>
      <c r="AA62" s="1656"/>
      <c r="AB62" s="1656"/>
      <c r="AC62" s="1653"/>
      <c r="AD62" s="1653"/>
      <c r="AE62" s="1653"/>
      <c r="AF62" s="1650"/>
      <c r="AG62" s="1650"/>
      <c r="AH62" s="1653"/>
    </row>
    <row r="63" spans="5:122" s="117" customFormat="1" x14ac:dyDescent="0.35">
      <c r="E63" s="1648"/>
      <c r="F63" s="1380">
        <v>3</v>
      </c>
      <c r="G63" s="1378" t="str">
        <f ca="1">IFERROR(IF('GHG Calcs'!$F20=Defaults!$M$2,O20-AB42+BV42+DO42,IF('GHG Calcs'!$F20=Defaults!$M$3,O20+DO42,IF('GHG Calcs'!$F20=Defaults!$M$4,BV42-AB42+DO42,IF('GHG Calcs'!$F20=Defaults!$M$5,DO42,""))))/453.6,"")</f>
        <v/>
      </c>
      <c r="H63" s="1378" t="str">
        <f ca="1">IFERROR(IF('GHG Calcs'!$F20=Defaults!$M$2,P20-AC42+BW42+DP42,IF('GHG Calcs'!$F20=Defaults!$M$3,P20+DP42,IF('GHG Calcs'!$F20=Defaults!$M$4,BW42-AC42+DP42,IF('GHG Calcs'!$F20=Defaults!$M$5,DP42,""))))/453.6,"")</f>
        <v/>
      </c>
      <c r="I63" s="1378" t="str">
        <f ca="1">IFERROR(IF('GHG Calcs'!$F20=Defaults!$M$2,Q20-AD42+BX42+DQ42,IF('GHG Calcs'!$F20=Defaults!$M$3,Q20+DQ42,IF('GHG Calcs'!$F20=Defaults!$M$4,BX42-AD42+DQ42,IF('GHG Calcs'!$F20=Defaults!$M$5,DQ42,""))))/453.6,"")</f>
        <v/>
      </c>
      <c r="J63" s="1378" t="str">
        <f ca="1">IFERROR(IF('GHG Calcs'!$F20=Defaults!$M$2,R20-AE42+BY42+DR42,IF('GHG Calcs'!$F20=Defaults!$M$3,R20+DR42,IF('GHG Calcs'!$F20=Defaults!$M$4,BY42-AE42+DR42,IF('GHG Calcs'!$F20=Defaults!$M$5,DR42,""))))/453.6,"")</f>
        <v/>
      </c>
      <c r="K63" s="1378"/>
      <c r="L63" s="1378"/>
      <c r="M63" s="1378"/>
      <c r="N63" s="1378"/>
      <c r="O63" s="1426" t="str">
        <f ca="1">IFERROR(IF('GHG Calcs'!$F20=Defaults!$M$2,SUM(S20,DD20,EW20)-SUM(BJ20),IF('GHG Calcs'!$F20=Defaults!$M$3,SUM(S20,EW20),IF('GHG Calcs'!$F20=Defaults!$M$4,SUM(DD20,EW20)-SUM(BJ20),IF('GHG Calcs'!$F20=Defaults!$M$5,EW20,"")))),"")</f>
        <v/>
      </c>
      <c r="P63" s="1426" t="str">
        <f ca="1">IFERROR(IF('GHG Calcs'!$F20=Defaults!$M$2,SUM(DE20,EX20)-SUM(BK20),IF('GHG Calcs'!$F20=Defaults!$M$3,EX20,IF('GHG Calcs'!$F20=Defaults!$M$4,SUM(DE20,EX20)-SUM(BK20),IF('GHG Calcs'!$F20=Defaults!$M$5,EX20,"")))),"")</f>
        <v/>
      </c>
      <c r="Q63" s="1426" t="str">
        <f t="shared" ca="1" si="2"/>
        <v/>
      </c>
      <c r="R63" s="1427" t="str">
        <f ca="1">IFERROR(IF('GHG Calcs'!$F20=Defaults!$M$2,SUM(DF20,EY20)-SUM(BM20)+FB20*AVERAGE('GHG Calcs'!M20,'GHG Calcs'!O20)*('GHG Calcs'!I20-'GHG Calcs'!H20),IF('GHG Calcs'!$F20=Defaults!$M$3,EY20,IF('GHG Calcs'!$F20=Defaults!$M$4,SUM(DF20,EY20)-SUM(BM20),IF('GHG Calcs'!$F20=Defaults!$M$5,EY20,"")))),"")</f>
        <v/>
      </c>
      <c r="S63" s="1427" t="str">
        <f ca="1">IFERROR(IF( (((-FB20+((-FC20+FD20+FE20)/2))*'GHG Calcs'!Q20*AVERAGE('GHG Calcs'!M20,'GHG Calcs'!O20))+(IF('GHG Calcs'!$F20=Defaults!$M$3,FA20-FB20,0)*(1-'GHG Calcs'!Q20)*AVERAGE('GHG Calcs'!M20,'GHG Calcs'!O20))+('Fuel &amp; Travel Costs'!$C$31*AVERAGE('GHG Calcs'!U20,'GHG Calcs'!W20)))*('GHG Calcs'!I20-'GHG Calcs'!H20)=0,"",(((-FB20+((-FC20+FD20+FE20)/2))*'GHG Calcs'!Q20*AVERAGE('GHG Calcs'!M20,'GHG Calcs'!O20))+(IF('GHG Calcs'!$F20=Defaults!$M$3,FA20-FB20,0)*(1-'GHG Calcs'!Q20)*AVERAGE('GHG Calcs'!M20,'GHG Calcs'!O20))+('Fuel &amp; Travel Costs'!$C$31*AVERAGE('GHG Calcs'!U20,'GHG Calcs'!W20)))*('GHG Calcs'!I20-'GHG Calcs'!H20)),"")</f>
        <v/>
      </c>
      <c r="T63" s="1426" t="str">
        <f ca="1">IFERROR(IF('GHG Calcs'!Y20*('GHG Calcs'!I20-'GHG Calcs'!H20)=0,"",'GHG Calcs'!Y20*('GHG Calcs'!I20-'GHG Calcs'!H20)),"")</f>
        <v/>
      </c>
      <c r="U63" s="1657"/>
      <c r="V63" s="1657"/>
      <c r="W63" s="1657"/>
      <c r="X63" s="1657"/>
      <c r="Y63" s="1657"/>
      <c r="Z63" s="1657"/>
      <c r="AA63" s="1657"/>
      <c r="AB63" s="1657"/>
      <c r="AC63" s="1654"/>
      <c r="AD63" s="1654"/>
      <c r="AE63" s="1654"/>
      <c r="AF63" s="1651"/>
      <c r="AG63" s="1651"/>
      <c r="AH63" s="1654"/>
    </row>
    <row r="64" spans="5:122" s="117" customFormat="1" x14ac:dyDescent="0.35">
      <c r="E64" s="1646">
        <v>4</v>
      </c>
      <c r="F64" s="1368">
        <v>1</v>
      </c>
      <c r="G64" s="1378" t="str">
        <f ca="1">IFERROR(IF('GHG Calcs'!$F21=Defaults!$M$2,O21-AB43+BV43+DO43,IF('GHG Calcs'!$F21=Defaults!$M$3,O21+DO43,IF('GHG Calcs'!$F21=Defaults!$M$4,BV43-AB43+DO43,IF('GHG Calcs'!$F21=Defaults!$M$5,DO43,""))))/453.6,"")</f>
        <v/>
      </c>
      <c r="H64" s="1378" t="str">
        <f ca="1">IFERROR(IF('GHG Calcs'!$F21=Defaults!$M$2,P21-AC43+BW43+DP43,IF('GHG Calcs'!$F21=Defaults!$M$3,P21+DP43,IF('GHG Calcs'!$F21=Defaults!$M$4,BW43-AC43+DP43,IF('GHG Calcs'!$F21=Defaults!$M$5,DP43,""))))/453.6,"")</f>
        <v/>
      </c>
      <c r="I64" s="1378" t="str">
        <f ca="1">IFERROR(IF('GHG Calcs'!$F21=Defaults!$M$2,Q21-AD43+BX43+DQ43,IF('GHG Calcs'!$F21=Defaults!$M$3,Q21+DQ43,IF('GHG Calcs'!$F21=Defaults!$M$4,BX43-AD43+DQ43,IF('GHG Calcs'!$F21=Defaults!$M$5,DQ43,""))))/453.6,"")</f>
        <v/>
      </c>
      <c r="J64" s="1378" t="str">
        <f ca="1">IFERROR(IF('GHG Calcs'!$F21=Defaults!$M$2,R21-AE43+BY43+DR43,IF('GHG Calcs'!$F21=Defaults!$M$3,R21+DR43,IF('GHG Calcs'!$F21=Defaults!$M$4,BY43-AE43+DR43,IF('GHG Calcs'!$F21=Defaults!$M$5,DR43,""))))/453.6,"")</f>
        <v/>
      </c>
      <c r="K64" s="1378"/>
      <c r="L64" s="1378"/>
      <c r="M64" s="1378"/>
      <c r="N64" s="1378"/>
      <c r="O64" s="1426" t="str">
        <f ca="1">IFERROR(IF('GHG Calcs'!$F21=Defaults!$M$2,SUM(S21,DD21,EW21)-SUM(BJ21),IF('GHG Calcs'!$F21=Defaults!$M$3,SUM(S21,EW21),IF('GHG Calcs'!$F21=Defaults!$M$4,SUM(DD21,EW21)-SUM(BJ21),IF('GHG Calcs'!$F21=Defaults!$M$5,EW21,"")))),"")</f>
        <v/>
      </c>
      <c r="P64" s="1426" t="str">
        <f ca="1">IFERROR(IF('GHG Calcs'!$F21=Defaults!$M$2,SUM(DE21,EX21)-SUM(BK21),IF('GHG Calcs'!$F21=Defaults!$M$3,EX21,IF('GHG Calcs'!$F21=Defaults!$M$4,SUM(DE21,EX21)-SUM(BK21),IF('GHG Calcs'!$F21=Defaults!$M$5,EX21,"")))),"")</f>
        <v/>
      </c>
      <c r="Q64" s="1426" t="str">
        <f t="shared" ca="1" si="2"/>
        <v/>
      </c>
      <c r="R64" s="1427" t="str">
        <f ca="1">IFERROR(IF('GHG Calcs'!$F21=Defaults!$M$2,SUM(DF21,EY21)-SUM(BM21)+FB21*AVERAGE('GHG Calcs'!M21,'GHG Calcs'!O21)*('GHG Calcs'!I21-'GHG Calcs'!H21),IF('GHG Calcs'!$F21=Defaults!$M$3,EY21,IF('GHG Calcs'!$F21=Defaults!$M$4,SUM(DF21,EY21)-SUM(BM21),IF('GHG Calcs'!$F21=Defaults!$M$5,EY21,"")))),"")</f>
        <v/>
      </c>
      <c r="S64" s="1427" t="str">
        <f ca="1">IFERROR(IF( (((-FB21+((-FC21+FD21+FE21)/2))*'GHG Calcs'!Q21*AVERAGE('GHG Calcs'!M21,'GHG Calcs'!O21))+(IF('GHG Calcs'!$F21=Defaults!$M$3,FA21-FB21,0)*(1-'GHG Calcs'!Q21)*AVERAGE('GHG Calcs'!M21,'GHG Calcs'!O21))+('Fuel &amp; Travel Costs'!$C$31*AVERAGE('GHG Calcs'!U21,'GHG Calcs'!W21)))*('GHG Calcs'!I21-'GHG Calcs'!H21)=0,"",(((-FB21+((-FC21+FD21+FE21)/2))*'GHG Calcs'!Q21*AVERAGE('GHG Calcs'!M21,'GHG Calcs'!O21))+(IF('GHG Calcs'!$F21=Defaults!$M$3,FA21-FB21,0)*(1-'GHG Calcs'!Q21)*AVERAGE('GHG Calcs'!M21,'GHG Calcs'!O21))+('Fuel &amp; Travel Costs'!$C$31*AVERAGE('GHG Calcs'!U21,'GHG Calcs'!W21)))*('GHG Calcs'!I21-'GHG Calcs'!H21)),"")</f>
        <v/>
      </c>
      <c r="T64" s="1426" t="str">
        <f ca="1">IFERROR(IF('GHG Calcs'!Y21*('GHG Calcs'!I21-'GHG Calcs'!H21)=0,"",'GHG Calcs'!Y21*('GHG Calcs'!I21-'GHG Calcs'!H21)),"")</f>
        <v/>
      </c>
      <c r="U64" s="1655">
        <f t="shared" ref="U64" ca="1" si="7">IFERROR(SUM(G64:G66),"")</f>
        <v>0</v>
      </c>
      <c r="V64" s="1655">
        <f t="shared" ref="V64:AH64" ca="1" si="8">IFERROR(SUM(H64:H66),"")</f>
        <v>0</v>
      </c>
      <c r="W64" s="1655">
        <f t="shared" ca="1" si="8"/>
        <v>0</v>
      </c>
      <c r="X64" s="1655">
        <f t="shared" ca="1" si="8"/>
        <v>0</v>
      </c>
      <c r="Y64" s="1655">
        <f t="shared" si="8"/>
        <v>0</v>
      </c>
      <c r="Z64" s="1655">
        <f t="shared" si="8"/>
        <v>0</v>
      </c>
      <c r="AA64" s="1655">
        <f t="shared" si="8"/>
        <v>0</v>
      </c>
      <c r="AB64" s="1655">
        <f t="shared" si="8"/>
        <v>0</v>
      </c>
      <c r="AC64" s="1652">
        <f t="shared" ca="1" si="8"/>
        <v>0</v>
      </c>
      <c r="AD64" s="1652">
        <f t="shared" ca="1" si="8"/>
        <v>0</v>
      </c>
      <c r="AE64" s="1652">
        <f t="shared" ca="1" si="8"/>
        <v>0</v>
      </c>
      <c r="AF64" s="1649">
        <f t="shared" ca="1" si="8"/>
        <v>0</v>
      </c>
      <c r="AG64" s="1649">
        <f t="shared" ca="1" si="8"/>
        <v>0</v>
      </c>
      <c r="AH64" s="1652">
        <f t="shared" ca="1" si="8"/>
        <v>0</v>
      </c>
    </row>
    <row r="65" spans="5:34" s="117" customFormat="1" x14ac:dyDescent="0.35">
      <c r="E65" s="1647"/>
      <c r="F65" s="1368">
        <v>2</v>
      </c>
      <c r="G65" s="1378" t="str">
        <f ca="1">IFERROR(IF('GHG Calcs'!$F22=Defaults!$M$2,O22-AB44+BV44+DO44,IF('GHG Calcs'!$F22=Defaults!$M$3,O22+DO44,IF('GHG Calcs'!$F22=Defaults!$M$4,BV44-AB44+DO44,IF('GHG Calcs'!$F22=Defaults!$M$5,DO44,""))))/453.6,"")</f>
        <v/>
      </c>
      <c r="H65" s="1378" t="str">
        <f ca="1">IFERROR(IF('GHG Calcs'!$F22=Defaults!$M$2,P22-AC44+BW44+DP44,IF('GHG Calcs'!$F22=Defaults!$M$3,P22+DP44,IF('GHG Calcs'!$F22=Defaults!$M$4,BW44-AC44+DP44,IF('GHG Calcs'!$F22=Defaults!$M$5,DP44,""))))/453.6,"")</f>
        <v/>
      </c>
      <c r="I65" s="1378" t="str">
        <f ca="1">IFERROR(IF('GHG Calcs'!$F22=Defaults!$M$2,Q22-AD44+BX44+DQ44,IF('GHG Calcs'!$F22=Defaults!$M$3,Q22+DQ44,IF('GHG Calcs'!$F22=Defaults!$M$4,BX44-AD44+DQ44,IF('GHG Calcs'!$F22=Defaults!$M$5,DQ44,""))))/453.6,"")</f>
        <v/>
      </c>
      <c r="J65" s="1378" t="str">
        <f ca="1">IFERROR(IF('GHG Calcs'!$F22=Defaults!$M$2,R22-AE44+BY44+DR44,IF('GHG Calcs'!$F22=Defaults!$M$3,R22+DR44,IF('GHG Calcs'!$F22=Defaults!$M$4,BY44-AE44+DR44,IF('GHG Calcs'!$F22=Defaults!$M$5,DR44,""))))/453.6,"")</f>
        <v/>
      </c>
      <c r="K65" s="1378"/>
      <c r="L65" s="1378"/>
      <c r="M65" s="1378"/>
      <c r="N65" s="1378"/>
      <c r="O65" s="1426" t="str">
        <f ca="1">IFERROR(IF('GHG Calcs'!$F22=Defaults!$M$2,SUM(S22,DD22,EW22)-SUM(BJ22),IF('GHG Calcs'!$F22=Defaults!$M$3,SUM(S22,EW22),IF('GHG Calcs'!$F22=Defaults!$M$4,SUM(DD22,EW22)-SUM(BJ22),IF('GHG Calcs'!$F22=Defaults!$M$5,EW22,"")))),"")</f>
        <v/>
      </c>
      <c r="P65" s="1426" t="str">
        <f ca="1">IFERROR(IF('GHG Calcs'!$F22=Defaults!$M$2,SUM(DE22,EX22)-SUM(BK22),IF('GHG Calcs'!$F22=Defaults!$M$3,EX22,IF('GHG Calcs'!$F22=Defaults!$M$4,SUM(DE22,EX22)-SUM(BK22),IF('GHG Calcs'!$F22=Defaults!$M$5,EX22,"")))),"")</f>
        <v/>
      </c>
      <c r="Q65" s="1426" t="str">
        <f t="shared" ca="1" si="2"/>
        <v/>
      </c>
      <c r="R65" s="1427" t="str">
        <f ca="1">IFERROR(IF('GHG Calcs'!$F22=Defaults!$M$2,SUM(DF22,EY22)-SUM(BM22)+FB22*AVERAGE('GHG Calcs'!M22,'GHG Calcs'!O22)*('GHG Calcs'!I22-'GHG Calcs'!H22),IF('GHG Calcs'!$F22=Defaults!$M$3,EY22,IF('GHG Calcs'!$F22=Defaults!$M$4,SUM(DF22,EY22)-SUM(BM22),IF('GHG Calcs'!$F22=Defaults!$M$5,EY22,"")))),"")</f>
        <v/>
      </c>
      <c r="S65" s="1427" t="str">
        <f ca="1">IFERROR(IF( (((-FB22+((-FC22+FD22+FE22)/2))*'GHG Calcs'!Q22*AVERAGE('GHG Calcs'!M22,'GHG Calcs'!O22))+(IF('GHG Calcs'!$F22=Defaults!$M$3,FA22-FB22,0)*(1-'GHG Calcs'!Q22)*AVERAGE('GHG Calcs'!M22,'GHG Calcs'!O22))+('Fuel &amp; Travel Costs'!$C$31*AVERAGE('GHG Calcs'!U22,'GHG Calcs'!W22)))*('GHG Calcs'!I22-'GHG Calcs'!H22)=0,"",(((-FB22+((-FC22+FD22+FE22)/2))*'GHG Calcs'!Q22*AVERAGE('GHG Calcs'!M22,'GHG Calcs'!O22))+(IF('GHG Calcs'!$F22=Defaults!$M$3,FA22-FB22,0)*(1-'GHG Calcs'!Q22)*AVERAGE('GHG Calcs'!M22,'GHG Calcs'!O22))+('Fuel &amp; Travel Costs'!$C$31*AVERAGE('GHG Calcs'!U22,'GHG Calcs'!W22)))*('GHG Calcs'!I22-'GHG Calcs'!H22)),"")</f>
        <v/>
      </c>
      <c r="T65" s="1426" t="str">
        <f ca="1">IFERROR(IF('GHG Calcs'!Y22*('GHG Calcs'!I22-'GHG Calcs'!H22)=0,"",'GHG Calcs'!Y22*('GHG Calcs'!I22-'GHG Calcs'!H22)),"")</f>
        <v/>
      </c>
      <c r="U65" s="1656"/>
      <c r="V65" s="1656"/>
      <c r="W65" s="1656"/>
      <c r="X65" s="1656"/>
      <c r="Y65" s="1656"/>
      <c r="Z65" s="1656"/>
      <c r="AA65" s="1656"/>
      <c r="AB65" s="1656"/>
      <c r="AC65" s="1653"/>
      <c r="AD65" s="1653"/>
      <c r="AE65" s="1653"/>
      <c r="AF65" s="1650"/>
      <c r="AG65" s="1650"/>
      <c r="AH65" s="1653"/>
    </row>
    <row r="66" spans="5:34" s="117" customFormat="1" x14ac:dyDescent="0.35">
      <c r="E66" s="1648"/>
      <c r="F66" s="1368">
        <v>3</v>
      </c>
      <c r="G66" s="1378" t="str">
        <f ca="1">IFERROR(IF('GHG Calcs'!$F23=Defaults!$M$2,O23-AB45+BV45+DO45,IF('GHG Calcs'!$F23=Defaults!$M$3,O23+DO45,IF('GHG Calcs'!$F23=Defaults!$M$4,BV45-AB45+DO45,IF('GHG Calcs'!$F23=Defaults!$M$5,DO45,""))))/453.6,"")</f>
        <v/>
      </c>
      <c r="H66" s="1378" t="str">
        <f ca="1">IFERROR(IF('GHG Calcs'!$F23=Defaults!$M$2,P23-AC45+BW45+DP45,IF('GHG Calcs'!$F23=Defaults!$M$3,P23+DP45,IF('GHG Calcs'!$F23=Defaults!$M$4,BW45-AC45+DP45,IF('GHG Calcs'!$F23=Defaults!$M$5,DP45,""))))/453.6,"")</f>
        <v/>
      </c>
      <c r="I66" s="1378" t="str">
        <f ca="1">IFERROR(IF('GHG Calcs'!$F23=Defaults!$M$2,Q23-AD45+BX45+DQ45,IF('GHG Calcs'!$F23=Defaults!$M$3,Q23+DQ45,IF('GHG Calcs'!$F23=Defaults!$M$4,BX45-AD45+DQ45,IF('GHG Calcs'!$F23=Defaults!$M$5,DQ45,""))))/453.6,"")</f>
        <v/>
      </c>
      <c r="J66" s="1378" t="str">
        <f ca="1">IFERROR(IF('GHG Calcs'!$F23=Defaults!$M$2,R23-AE45+BY45+DR45,IF('GHG Calcs'!$F23=Defaults!$M$3,R23+DR45,IF('GHG Calcs'!$F23=Defaults!$M$4,BY45-AE45+DR45,IF('GHG Calcs'!$F23=Defaults!$M$5,DR45,""))))/453.6,"")</f>
        <v/>
      </c>
      <c r="K66" s="1378"/>
      <c r="L66" s="1378"/>
      <c r="M66" s="1378"/>
      <c r="N66" s="1378"/>
      <c r="O66" s="1426" t="str">
        <f ca="1">IFERROR(IF('GHG Calcs'!$F23=Defaults!$M$2,SUM(S23,DD23,EW23)-SUM(BJ23),IF('GHG Calcs'!$F23=Defaults!$M$3,SUM(S23,EW23),IF('GHG Calcs'!$F23=Defaults!$M$4,SUM(DD23,EW23)-SUM(BJ23),IF('GHG Calcs'!$F23=Defaults!$M$5,EW23,"")))),"")</f>
        <v/>
      </c>
      <c r="P66" s="1426" t="str">
        <f ca="1">IFERROR(IF('GHG Calcs'!$F23=Defaults!$M$2,SUM(DE23,EX23)-SUM(BK23),IF('GHG Calcs'!$F23=Defaults!$M$3,EX23,IF('GHG Calcs'!$F23=Defaults!$M$4,SUM(DE23,EX23)-SUM(BK23),IF('GHG Calcs'!$F23=Defaults!$M$5,EX23,"")))),"")</f>
        <v/>
      </c>
      <c r="Q66" s="1426" t="str">
        <f t="shared" ca="1" si="2"/>
        <v/>
      </c>
      <c r="R66" s="1427" t="str">
        <f ca="1">IFERROR(IF('GHG Calcs'!$F23=Defaults!$M$2,SUM(DF23,EY23)-SUM(BM23)+FB23*AVERAGE('GHG Calcs'!M23,'GHG Calcs'!O23)*('GHG Calcs'!I23-'GHG Calcs'!H23),IF('GHG Calcs'!$F23=Defaults!$M$3,EY23,IF('GHG Calcs'!$F23=Defaults!$M$4,SUM(DF23,EY23)-SUM(BM23),IF('GHG Calcs'!$F23=Defaults!$M$5,EY23,"")))),"")</f>
        <v/>
      </c>
      <c r="S66" s="1427" t="str">
        <f ca="1">IFERROR(IF( (((-FB23+((-FC23+FD23+FE23)/2))*'GHG Calcs'!Q23*AVERAGE('GHG Calcs'!M23,'GHG Calcs'!O23))+(IF('GHG Calcs'!$F23=Defaults!$M$3,FA23-FB23,0)*(1-'GHG Calcs'!Q23)*AVERAGE('GHG Calcs'!M23,'GHG Calcs'!O23))+('Fuel &amp; Travel Costs'!$C$31*AVERAGE('GHG Calcs'!U23,'GHG Calcs'!W23)))*('GHG Calcs'!I23-'GHG Calcs'!H23)=0,"",(((-FB23+((-FC23+FD23+FE23)/2))*'GHG Calcs'!Q23*AVERAGE('GHG Calcs'!M23,'GHG Calcs'!O23))+(IF('GHG Calcs'!$F23=Defaults!$M$3,FA23-FB23,0)*(1-'GHG Calcs'!Q23)*AVERAGE('GHG Calcs'!M23,'GHG Calcs'!O23))+('Fuel &amp; Travel Costs'!$C$31*AVERAGE('GHG Calcs'!U23,'GHG Calcs'!W23)))*('GHG Calcs'!I23-'GHG Calcs'!H23)),"")</f>
        <v/>
      </c>
      <c r="T66" s="1426" t="str">
        <f ca="1">IFERROR(IF('GHG Calcs'!Y23*('GHG Calcs'!I23-'GHG Calcs'!H23)=0,"",'GHG Calcs'!Y23*('GHG Calcs'!I23-'GHG Calcs'!H23)),"")</f>
        <v/>
      </c>
      <c r="U66" s="1657"/>
      <c r="V66" s="1657"/>
      <c r="W66" s="1657"/>
      <c r="X66" s="1657"/>
      <c r="Y66" s="1657"/>
      <c r="Z66" s="1657"/>
      <c r="AA66" s="1657"/>
      <c r="AB66" s="1657"/>
      <c r="AC66" s="1654"/>
      <c r="AD66" s="1654"/>
      <c r="AE66" s="1654"/>
      <c r="AF66" s="1651"/>
      <c r="AG66" s="1651"/>
      <c r="AH66" s="1654"/>
    </row>
    <row r="67" spans="5:34" s="117" customFormat="1" x14ac:dyDescent="0.35">
      <c r="E67" s="1646">
        <v>5</v>
      </c>
      <c r="F67" s="1379">
        <v>1</v>
      </c>
      <c r="G67" s="1378" t="str">
        <f ca="1">IFERROR(IF('GHG Calcs'!$F24=Defaults!$M$2,O24-AB46+BV46+DO46,IF('GHG Calcs'!$F24=Defaults!$M$3,O24+DO46,IF('GHG Calcs'!$F24=Defaults!$M$4,BV46-AB46+DO46,IF('GHG Calcs'!$F24=Defaults!$M$5,DO46,""))))/453.6,"")</f>
        <v/>
      </c>
      <c r="H67" s="1378" t="str">
        <f ca="1">IFERROR(IF('GHG Calcs'!$F24=Defaults!$M$2,P24-AC46+BW46+DP46,IF('GHG Calcs'!$F24=Defaults!$M$3,P24+DP46,IF('GHG Calcs'!$F24=Defaults!$M$4,BW46-AC46+DP46,IF('GHG Calcs'!$F24=Defaults!$M$5,DP46,""))))/453.6,"")</f>
        <v/>
      </c>
      <c r="I67" s="1378" t="str">
        <f ca="1">IFERROR(IF('GHG Calcs'!$F24=Defaults!$M$2,Q24-AD46+BX46+DQ46,IF('GHG Calcs'!$F24=Defaults!$M$3,Q24+DQ46,IF('GHG Calcs'!$F24=Defaults!$M$4,BX46-AD46+DQ46,IF('GHG Calcs'!$F24=Defaults!$M$5,DQ46,""))))/453.6,"")</f>
        <v/>
      </c>
      <c r="J67" s="1378" t="str">
        <f ca="1">IFERROR(IF('GHG Calcs'!$F24=Defaults!$M$2,R24-AE46+BY46+DR46,IF('GHG Calcs'!$F24=Defaults!$M$3,R24+DR46,IF('GHG Calcs'!$F24=Defaults!$M$4,BY46-AE46+DR46,IF('GHG Calcs'!$F24=Defaults!$M$5,DR46,""))))/453.6,"")</f>
        <v/>
      </c>
      <c r="K67" s="1378"/>
      <c r="L67" s="1378"/>
      <c r="M67" s="1378"/>
      <c r="N67" s="1378"/>
      <c r="O67" s="1426" t="str">
        <f ca="1">IFERROR(IF('GHG Calcs'!$F24=Defaults!$M$2,SUM(S24,DD24,EW24)-SUM(BJ24),IF('GHG Calcs'!$F24=Defaults!$M$3,SUM(S24,EW24),IF('GHG Calcs'!$F24=Defaults!$M$4,SUM(DD24,EW24)-SUM(BJ24),IF('GHG Calcs'!$F24=Defaults!$M$5,EW24,"")))),"")</f>
        <v/>
      </c>
      <c r="P67" s="1426" t="str">
        <f ca="1">IFERROR(IF('GHG Calcs'!$F24=Defaults!$M$2,SUM(DE24,EX24)-SUM(BK24),IF('GHG Calcs'!$F24=Defaults!$M$3,EX24,IF('GHG Calcs'!$F24=Defaults!$M$4,SUM(DE24,EX24)-SUM(BK24),IF('GHG Calcs'!$F24=Defaults!$M$5,EX24,"")))),"")</f>
        <v/>
      </c>
      <c r="Q67" s="1426" t="str">
        <f t="shared" ca="1" si="2"/>
        <v/>
      </c>
      <c r="R67" s="1427" t="str">
        <f ca="1">IFERROR(IF('GHG Calcs'!$F24=Defaults!$M$2,SUM(DF24,EY24)-SUM(BM24)+FB24*AVERAGE('GHG Calcs'!M24,'GHG Calcs'!O24)*('GHG Calcs'!I24-'GHG Calcs'!H24),IF('GHG Calcs'!$F24=Defaults!$M$3,EY24,IF('GHG Calcs'!$F24=Defaults!$M$4,SUM(DF24,EY24)-SUM(BM24),IF('GHG Calcs'!$F24=Defaults!$M$5,EY24,"")))),"")</f>
        <v/>
      </c>
      <c r="S67" s="1427" t="str">
        <f ca="1">IFERROR(IF( (((-FB24+((-FC24+FD24+FE24)/2))*'GHG Calcs'!Q24*AVERAGE('GHG Calcs'!M24,'GHG Calcs'!O24))+(IF('GHG Calcs'!$F24=Defaults!$M$3,FA24-FB24,0)*(1-'GHG Calcs'!Q24)*AVERAGE('GHG Calcs'!M24,'GHG Calcs'!O24))+('Fuel &amp; Travel Costs'!$C$31*AVERAGE('GHG Calcs'!U24,'GHG Calcs'!W24)))*('GHG Calcs'!I24-'GHG Calcs'!H24)=0,"",(((-FB24+((-FC24+FD24+FE24)/2))*'GHG Calcs'!Q24*AVERAGE('GHG Calcs'!M24,'GHG Calcs'!O24))+(IF('GHG Calcs'!$F24=Defaults!$M$3,FA24-FB24,0)*(1-'GHG Calcs'!Q24)*AVERAGE('GHG Calcs'!M24,'GHG Calcs'!O24))+('Fuel &amp; Travel Costs'!$C$31*AVERAGE('GHG Calcs'!U24,'GHG Calcs'!W24)))*('GHG Calcs'!I24-'GHG Calcs'!H24)),"")</f>
        <v/>
      </c>
      <c r="T67" s="1426" t="str">
        <f ca="1">IFERROR(IF('GHG Calcs'!Y24*('GHG Calcs'!I24-'GHG Calcs'!H24)=0,"",'GHG Calcs'!Y24*('GHG Calcs'!I24-'GHG Calcs'!H24)),"")</f>
        <v/>
      </c>
      <c r="U67" s="1655">
        <f t="shared" ref="U67" ca="1" si="9">IFERROR(SUM(G67:G69),"")</f>
        <v>0</v>
      </c>
      <c r="V67" s="1655">
        <f t="shared" ref="V67:AH67" ca="1" si="10">IFERROR(SUM(H67:H69),"")</f>
        <v>0</v>
      </c>
      <c r="W67" s="1655">
        <f t="shared" ca="1" si="10"/>
        <v>0</v>
      </c>
      <c r="X67" s="1655">
        <f t="shared" ca="1" si="10"/>
        <v>0</v>
      </c>
      <c r="Y67" s="1655">
        <f t="shared" si="10"/>
        <v>0</v>
      </c>
      <c r="Z67" s="1655">
        <f t="shared" si="10"/>
        <v>0</v>
      </c>
      <c r="AA67" s="1655">
        <f t="shared" si="10"/>
        <v>0</v>
      </c>
      <c r="AB67" s="1655">
        <f t="shared" si="10"/>
        <v>0</v>
      </c>
      <c r="AC67" s="1652">
        <f t="shared" ca="1" si="10"/>
        <v>0</v>
      </c>
      <c r="AD67" s="1652">
        <f t="shared" ca="1" si="10"/>
        <v>0</v>
      </c>
      <c r="AE67" s="1652">
        <f t="shared" ca="1" si="10"/>
        <v>0</v>
      </c>
      <c r="AF67" s="1649">
        <f t="shared" ca="1" si="10"/>
        <v>0</v>
      </c>
      <c r="AG67" s="1649">
        <f t="shared" ca="1" si="10"/>
        <v>0</v>
      </c>
      <c r="AH67" s="1652">
        <f t="shared" ca="1" si="10"/>
        <v>0</v>
      </c>
    </row>
    <row r="68" spans="5:34" s="117" customFormat="1" x14ac:dyDescent="0.35">
      <c r="E68" s="1647"/>
      <c r="F68" s="1379">
        <v>2</v>
      </c>
      <c r="G68" s="1378" t="str">
        <f ca="1">IFERROR(IF('GHG Calcs'!$F25=Defaults!$M$2,O25-AB47+BV47+DO47,IF('GHG Calcs'!$F25=Defaults!$M$3,O25+DO47,IF('GHG Calcs'!$F25=Defaults!$M$4,BV47-AB47+DO47,IF('GHG Calcs'!$F25=Defaults!$M$5,DO47,""))))/453.6,"")</f>
        <v/>
      </c>
      <c r="H68" s="1378" t="str">
        <f ca="1">IFERROR(IF('GHG Calcs'!$F25=Defaults!$M$2,P25-AC47+BW47+DP47,IF('GHG Calcs'!$F25=Defaults!$M$3,P25+DP47,IF('GHG Calcs'!$F25=Defaults!$M$4,BW47-AC47+DP47,IF('GHG Calcs'!$F25=Defaults!$M$5,DP47,""))))/453.6,"")</f>
        <v/>
      </c>
      <c r="I68" s="1378" t="str">
        <f ca="1">IFERROR(IF('GHG Calcs'!$F25=Defaults!$M$2,Q25-AD47+BX47+DQ47,IF('GHG Calcs'!$F25=Defaults!$M$3,Q25+DQ47,IF('GHG Calcs'!$F25=Defaults!$M$4,BX47-AD47+DQ47,IF('GHG Calcs'!$F25=Defaults!$M$5,DQ47,""))))/453.6,"")</f>
        <v/>
      </c>
      <c r="J68" s="1378" t="str">
        <f ca="1">IFERROR(IF('GHG Calcs'!$F25=Defaults!$M$2,R25-AE47+BY47+DR47,IF('GHG Calcs'!$F25=Defaults!$M$3,R25+DR47,IF('GHG Calcs'!$F25=Defaults!$M$4,BY47-AE47+DR47,IF('GHG Calcs'!$F25=Defaults!$M$5,DR47,""))))/453.6,"")</f>
        <v/>
      </c>
      <c r="K68" s="1378"/>
      <c r="L68" s="1378"/>
      <c r="M68" s="1378"/>
      <c r="N68" s="1378"/>
      <c r="O68" s="1426" t="str">
        <f ca="1">IFERROR(IF('GHG Calcs'!$F25=Defaults!$M$2,SUM(S25,DD25,EW25)-SUM(BJ25),IF('GHG Calcs'!$F25=Defaults!$M$3,SUM(S25,EW25),IF('GHG Calcs'!$F25=Defaults!$M$4,SUM(DD25,EW25)-SUM(BJ25),IF('GHG Calcs'!$F25=Defaults!$M$5,EW25,"")))),"")</f>
        <v/>
      </c>
      <c r="P68" s="1426" t="str">
        <f ca="1">IFERROR(IF('GHG Calcs'!$F25=Defaults!$M$2,SUM(DE25,EX25)-SUM(BK25),IF('GHG Calcs'!$F25=Defaults!$M$3,EX25,IF('GHG Calcs'!$F25=Defaults!$M$4,SUM(DE25,EX25)-SUM(BK25),IF('GHG Calcs'!$F25=Defaults!$M$5,EX25,"")))),"")</f>
        <v/>
      </c>
      <c r="Q68" s="1426" t="str">
        <f t="shared" ca="1" si="2"/>
        <v/>
      </c>
      <c r="R68" s="1427" t="str">
        <f ca="1">IFERROR(IF('GHG Calcs'!$F25=Defaults!$M$2,SUM(DF25,EY25)-SUM(BM25)+FB25*AVERAGE('GHG Calcs'!M25,'GHG Calcs'!O25)*('GHG Calcs'!I25-'GHG Calcs'!H25),IF('GHG Calcs'!$F25=Defaults!$M$3,EY25,IF('GHG Calcs'!$F25=Defaults!$M$4,SUM(DF25,EY25)-SUM(BM25),IF('GHG Calcs'!$F25=Defaults!$M$5,EY25,"")))),"")</f>
        <v/>
      </c>
      <c r="S68" s="1427" t="str">
        <f ca="1">IFERROR(IF( (((-FB25+((-FC25+FD25+FE25)/2))*'GHG Calcs'!Q25*AVERAGE('GHG Calcs'!M25,'GHG Calcs'!O25))+(IF('GHG Calcs'!$F25=Defaults!$M$3,FA25-FB25,0)*(1-'GHG Calcs'!Q25)*AVERAGE('GHG Calcs'!M25,'GHG Calcs'!O25))+('Fuel &amp; Travel Costs'!$C$31*AVERAGE('GHG Calcs'!U25,'GHG Calcs'!W25)))*('GHG Calcs'!I25-'GHG Calcs'!H25)=0,"",(((-FB25+((-FC25+FD25+FE25)/2))*'GHG Calcs'!Q25*AVERAGE('GHG Calcs'!M25,'GHG Calcs'!O25))+(IF('GHG Calcs'!$F25=Defaults!$M$3,FA25-FB25,0)*(1-'GHG Calcs'!Q25)*AVERAGE('GHG Calcs'!M25,'GHG Calcs'!O25))+('Fuel &amp; Travel Costs'!$C$31*AVERAGE('GHG Calcs'!U25,'GHG Calcs'!W25)))*('GHG Calcs'!I25-'GHG Calcs'!H25)),"")</f>
        <v/>
      </c>
      <c r="T68" s="1426" t="str">
        <f ca="1">IFERROR(IF('GHG Calcs'!Y25*('GHG Calcs'!I25-'GHG Calcs'!H25)=0,"",'GHG Calcs'!Y25*('GHG Calcs'!I25-'GHG Calcs'!H25)),"")</f>
        <v/>
      </c>
      <c r="U68" s="1656"/>
      <c r="V68" s="1656"/>
      <c r="W68" s="1656"/>
      <c r="X68" s="1656"/>
      <c r="Y68" s="1656"/>
      <c r="Z68" s="1656"/>
      <c r="AA68" s="1656"/>
      <c r="AB68" s="1656"/>
      <c r="AC68" s="1653"/>
      <c r="AD68" s="1653"/>
      <c r="AE68" s="1653"/>
      <c r="AF68" s="1650"/>
      <c r="AG68" s="1650"/>
      <c r="AH68" s="1653"/>
    </row>
    <row r="69" spans="5:34" s="117" customFormat="1" x14ac:dyDescent="0.35">
      <c r="E69" s="1648"/>
      <c r="F69" s="1379">
        <v>3</v>
      </c>
      <c r="G69" s="1378" t="str">
        <f ca="1">IFERROR(IF('GHG Calcs'!$F26=Defaults!$M$2,O26-AB48+BV48+DO48,IF('GHG Calcs'!$F26=Defaults!$M$3,O26+DO48,IF('GHG Calcs'!$F26=Defaults!$M$4,BV48-AB48+DO48,IF('GHG Calcs'!$F26=Defaults!$M$5,DO48,""))))/453.6,"")</f>
        <v/>
      </c>
      <c r="H69" s="1378" t="str">
        <f ca="1">IFERROR(IF('GHG Calcs'!$F26=Defaults!$M$2,P26-AC48+BW48+DP48,IF('GHG Calcs'!$F26=Defaults!$M$3,P26+DP48,IF('GHG Calcs'!$F26=Defaults!$M$4,BW48-AC48+DP48,IF('GHG Calcs'!$F26=Defaults!$M$5,DP48,""))))/453.6,"")</f>
        <v/>
      </c>
      <c r="I69" s="1378" t="str">
        <f ca="1">IFERROR(IF('GHG Calcs'!$F26=Defaults!$M$2,Q26-AD48+BX48+DQ48,IF('GHG Calcs'!$F26=Defaults!$M$3,Q26+DQ48,IF('GHG Calcs'!$F26=Defaults!$M$4,BX48-AD48+DQ48,IF('GHG Calcs'!$F26=Defaults!$M$5,DQ48,""))))/453.6,"")</f>
        <v/>
      </c>
      <c r="J69" s="1378" t="str">
        <f ca="1">IFERROR(IF('GHG Calcs'!$F26=Defaults!$M$2,R26-AE48+BY48+DR48,IF('GHG Calcs'!$F26=Defaults!$M$3,R26+DR48,IF('GHG Calcs'!$F26=Defaults!$M$4,BY48-AE48+DR48,IF('GHG Calcs'!$F26=Defaults!$M$5,DR48,""))))/453.6,"")</f>
        <v/>
      </c>
      <c r="K69" s="1378"/>
      <c r="L69" s="1378"/>
      <c r="M69" s="1378"/>
      <c r="N69" s="1378"/>
      <c r="O69" s="1426" t="str">
        <f ca="1">IFERROR(IF('GHG Calcs'!$F26=Defaults!$M$2,SUM(S26,DD26,EW26)-SUM(BJ26),IF('GHG Calcs'!$F26=Defaults!$M$3,SUM(S26,EW26),IF('GHG Calcs'!$F26=Defaults!$M$4,SUM(DD26,EW26)-SUM(BJ26),IF('GHG Calcs'!$F26=Defaults!$M$5,EW26,"")))),"")</f>
        <v/>
      </c>
      <c r="P69" s="1426" t="str">
        <f ca="1">IFERROR(IF('GHG Calcs'!$F26=Defaults!$M$2,SUM(DE26,EX26)-SUM(BK26),IF('GHG Calcs'!$F26=Defaults!$M$3,EX26,IF('GHG Calcs'!$F26=Defaults!$M$4,SUM(DE26,EX26)-SUM(BK26),IF('GHG Calcs'!$F26=Defaults!$M$5,EX26,"")))),"")</f>
        <v/>
      </c>
      <c r="Q69" s="1426" t="str">
        <f t="shared" ca="1" si="2"/>
        <v/>
      </c>
      <c r="R69" s="1427" t="str">
        <f ca="1">IFERROR(IF('GHG Calcs'!$F26=Defaults!$M$2,SUM(DF26,EY26)-SUM(BM26)+FB26*AVERAGE('GHG Calcs'!M26,'GHG Calcs'!O26)*('GHG Calcs'!I26-'GHG Calcs'!H26),IF('GHG Calcs'!$F26=Defaults!$M$3,EY26,IF('GHG Calcs'!$F26=Defaults!$M$4,SUM(DF26,EY26)-SUM(BM26),IF('GHG Calcs'!$F26=Defaults!$M$5,EY26,"")))),"")</f>
        <v/>
      </c>
      <c r="S69" s="1427" t="str">
        <f ca="1">IFERROR(IF( (((-FB26+((-FC26+FD26+FE26)/2))*'GHG Calcs'!Q26*AVERAGE('GHG Calcs'!M26,'GHG Calcs'!O26))+(IF('GHG Calcs'!$F26=Defaults!$M$3,FA26-FB26,0)*(1-'GHG Calcs'!Q26)*AVERAGE('GHG Calcs'!M26,'GHG Calcs'!O26))+('Fuel &amp; Travel Costs'!$C$31*AVERAGE('GHG Calcs'!U26,'GHG Calcs'!W26)))*('GHG Calcs'!I26-'GHG Calcs'!H26)=0,"",(((-FB26+((-FC26+FD26+FE26)/2))*'GHG Calcs'!Q26*AVERAGE('GHG Calcs'!M26,'GHG Calcs'!O26))+(IF('GHG Calcs'!$F26=Defaults!$M$3,FA26-FB26,0)*(1-'GHG Calcs'!Q26)*AVERAGE('GHG Calcs'!M26,'GHG Calcs'!O26))+('Fuel &amp; Travel Costs'!$C$31*AVERAGE('GHG Calcs'!U26,'GHG Calcs'!W26)))*('GHG Calcs'!I26-'GHG Calcs'!H26)),"")</f>
        <v/>
      </c>
      <c r="T69" s="1426" t="str">
        <f ca="1">IFERROR(IF('GHG Calcs'!Y26*('GHG Calcs'!I26-'GHG Calcs'!H26)=0,"",'GHG Calcs'!Y26*('GHG Calcs'!I26-'GHG Calcs'!H26)),"")</f>
        <v/>
      </c>
      <c r="U69" s="1657"/>
      <c r="V69" s="1657"/>
      <c r="W69" s="1657"/>
      <c r="X69" s="1657"/>
      <c r="Y69" s="1657"/>
      <c r="Z69" s="1657"/>
      <c r="AA69" s="1657"/>
      <c r="AB69" s="1657"/>
      <c r="AC69" s="1654"/>
      <c r="AD69" s="1654"/>
      <c r="AE69" s="1654"/>
      <c r="AF69" s="1651"/>
      <c r="AG69" s="1651"/>
      <c r="AH69" s="1654"/>
    </row>
    <row r="70" spans="5:34" s="117" customFormat="1" x14ac:dyDescent="0.35">
      <c r="E70" s="1646">
        <v>6</v>
      </c>
      <c r="F70" s="1380">
        <v>1</v>
      </c>
      <c r="G70" s="1378" t="str">
        <f ca="1">IFERROR(IF('GHG Calcs'!$F27=Defaults!$M$2,O27-AB49+BV49+DO49,IF('GHG Calcs'!$F27=Defaults!$M$3,O27+DO49,IF('GHG Calcs'!$F27=Defaults!$M$4,BV49-AB49+DO49,IF('GHG Calcs'!$F27=Defaults!$M$5,DO49,""))))/453.6,"")</f>
        <v/>
      </c>
      <c r="H70" s="1378" t="str">
        <f ca="1">IFERROR(IF('GHG Calcs'!$F27=Defaults!$M$2,P27-AC49+BW49+DP49,IF('GHG Calcs'!$F27=Defaults!$M$3,P27+DP49,IF('GHG Calcs'!$F27=Defaults!$M$4,BW49-AC49+DP49,IF('GHG Calcs'!$F27=Defaults!$M$5,DP49,""))))/453.6,"")</f>
        <v/>
      </c>
      <c r="I70" s="1378" t="str">
        <f ca="1">IFERROR(IF('GHG Calcs'!$F27=Defaults!$M$2,Q27-AD49+BX49+DQ49,IF('GHG Calcs'!$F27=Defaults!$M$3,Q27+DQ49,IF('GHG Calcs'!$F27=Defaults!$M$4,BX49-AD49+DQ49,IF('GHG Calcs'!$F27=Defaults!$M$5,DQ49,""))))/453.6,"")</f>
        <v/>
      </c>
      <c r="J70" s="1378" t="str">
        <f ca="1">IFERROR(IF('GHG Calcs'!$F27=Defaults!$M$2,R27-AE49+BY49+DR49,IF('GHG Calcs'!$F27=Defaults!$M$3,R27+DR49,IF('GHG Calcs'!$F27=Defaults!$M$4,BY49-AE49+DR49,IF('GHG Calcs'!$F27=Defaults!$M$5,DR49,""))))/453.6,"")</f>
        <v/>
      </c>
      <c r="K70" s="1378"/>
      <c r="L70" s="1378"/>
      <c r="M70" s="1378"/>
      <c r="N70" s="1378"/>
      <c r="O70" s="1426" t="str">
        <f ca="1">IFERROR(IF('GHG Calcs'!$F27=Defaults!$M$2,SUM(S27,DD27,EW27)-SUM(BJ27),IF('GHG Calcs'!$F27=Defaults!$M$3,SUM(S27,EW27),IF('GHG Calcs'!$F27=Defaults!$M$4,SUM(DD27,EW27)-SUM(BJ27),IF('GHG Calcs'!$F27=Defaults!$M$5,EW27,"")))),"")</f>
        <v/>
      </c>
      <c r="P70" s="1426" t="str">
        <f ca="1">IFERROR(IF('GHG Calcs'!$F27=Defaults!$M$2,SUM(DE27,EX27)-SUM(BK27),IF('GHG Calcs'!$F27=Defaults!$M$3,EX27,IF('GHG Calcs'!$F27=Defaults!$M$4,SUM(DE27,EX27)-SUM(BK27),IF('GHG Calcs'!$F27=Defaults!$M$5,EX27,"")))),"")</f>
        <v/>
      </c>
      <c r="Q70" s="1426" t="str">
        <f t="shared" ca="1" si="2"/>
        <v/>
      </c>
      <c r="R70" s="1427" t="str">
        <f ca="1">IFERROR(IF('GHG Calcs'!$F27=Defaults!$M$2,SUM(DF27,EY27)-SUM(BM27)+FB27*AVERAGE('GHG Calcs'!M27,'GHG Calcs'!O27)*('GHG Calcs'!I27-'GHG Calcs'!H27),IF('GHG Calcs'!$F27=Defaults!$M$3,EY27,IF('GHG Calcs'!$F27=Defaults!$M$4,SUM(DF27,EY27)-SUM(BM27),IF('GHG Calcs'!$F27=Defaults!$M$5,EY27,"")))),"")</f>
        <v/>
      </c>
      <c r="S70" s="1427" t="str">
        <f ca="1">IFERROR(IF( (((-FB27+((-FC27+FD27+FE27)/2))*'GHG Calcs'!Q27*AVERAGE('GHG Calcs'!M27,'GHG Calcs'!O27))+(IF('GHG Calcs'!$F27=Defaults!$M$3,FA27-FB27,0)*(1-'GHG Calcs'!Q27)*AVERAGE('GHG Calcs'!M27,'GHG Calcs'!O27))+('Fuel &amp; Travel Costs'!$C$31*AVERAGE('GHG Calcs'!U27,'GHG Calcs'!W27)))*('GHG Calcs'!I27-'GHG Calcs'!H27)=0,"",(((-FB27+((-FC27+FD27+FE27)/2))*'GHG Calcs'!Q27*AVERAGE('GHG Calcs'!M27,'GHG Calcs'!O27))+(IF('GHG Calcs'!$F27=Defaults!$M$3,FA27-FB27,0)*(1-'GHG Calcs'!Q27)*AVERAGE('GHG Calcs'!M27,'GHG Calcs'!O27))+('Fuel &amp; Travel Costs'!$C$31*AVERAGE('GHG Calcs'!U27,'GHG Calcs'!W27)))*('GHG Calcs'!I27-'GHG Calcs'!H27)),"")</f>
        <v/>
      </c>
      <c r="T70" s="1426" t="str">
        <f ca="1">IFERROR(IF('GHG Calcs'!Y27*('GHG Calcs'!I27-'GHG Calcs'!H27)=0,"",'GHG Calcs'!Y27*('GHG Calcs'!I27-'GHG Calcs'!H27)),"")</f>
        <v/>
      </c>
      <c r="U70" s="1655">
        <f t="shared" ref="U70" ca="1" si="11">IFERROR(SUM(G70:G72),"")</f>
        <v>0</v>
      </c>
      <c r="V70" s="1655">
        <f t="shared" ref="V70:AH70" ca="1" si="12">IFERROR(SUM(H70:H72),"")</f>
        <v>0</v>
      </c>
      <c r="W70" s="1655">
        <f t="shared" ca="1" si="12"/>
        <v>0</v>
      </c>
      <c r="X70" s="1655">
        <f t="shared" ca="1" si="12"/>
        <v>0</v>
      </c>
      <c r="Y70" s="1655">
        <f t="shared" si="12"/>
        <v>0</v>
      </c>
      <c r="Z70" s="1655">
        <f t="shared" si="12"/>
        <v>0</v>
      </c>
      <c r="AA70" s="1655">
        <f t="shared" si="12"/>
        <v>0</v>
      </c>
      <c r="AB70" s="1655">
        <f t="shared" si="12"/>
        <v>0</v>
      </c>
      <c r="AC70" s="1652">
        <f t="shared" ca="1" si="12"/>
        <v>0</v>
      </c>
      <c r="AD70" s="1652">
        <f t="shared" ca="1" si="12"/>
        <v>0</v>
      </c>
      <c r="AE70" s="1652">
        <f t="shared" ca="1" si="12"/>
        <v>0</v>
      </c>
      <c r="AF70" s="1649">
        <f t="shared" ca="1" si="12"/>
        <v>0</v>
      </c>
      <c r="AG70" s="1649">
        <f t="shared" ca="1" si="12"/>
        <v>0</v>
      </c>
      <c r="AH70" s="1652">
        <f t="shared" ca="1" si="12"/>
        <v>0</v>
      </c>
    </row>
    <row r="71" spans="5:34" s="117" customFormat="1" x14ac:dyDescent="0.35">
      <c r="E71" s="1647"/>
      <c r="F71" s="1380">
        <v>2</v>
      </c>
      <c r="G71" s="1378" t="str">
        <f ca="1">IFERROR(IF('GHG Calcs'!$F28=Defaults!$M$2,O28-AB50+BV50+DO50,IF('GHG Calcs'!$F28=Defaults!$M$3,O28+DO50,IF('GHG Calcs'!$F28=Defaults!$M$4,BV50-AB50+DO50,IF('GHG Calcs'!$F28=Defaults!$M$5,DO50,""))))/453.6,"")</f>
        <v/>
      </c>
      <c r="H71" s="1378" t="str">
        <f ca="1">IFERROR(IF('GHG Calcs'!$F28=Defaults!$M$2,P28-AC50+BW50+DP50,IF('GHG Calcs'!$F28=Defaults!$M$3,P28+DP50,IF('GHG Calcs'!$F28=Defaults!$M$4,BW50-AC50+DP50,IF('GHG Calcs'!$F28=Defaults!$M$5,DP50,""))))/453.6,"")</f>
        <v/>
      </c>
      <c r="I71" s="1378" t="str">
        <f ca="1">IFERROR(IF('GHG Calcs'!$F28=Defaults!$M$2,Q28-AD50+BX50+DQ50,IF('GHG Calcs'!$F28=Defaults!$M$3,Q28+DQ50,IF('GHG Calcs'!$F28=Defaults!$M$4,BX50-AD50+DQ50,IF('GHG Calcs'!$F28=Defaults!$M$5,DQ50,""))))/453.6,"")</f>
        <v/>
      </c>
      <c r="J71" s="1378" t="str">
        <f ca="1">IFERROR(IF('GHG Calcs'!$F28=Defaults!$M$2,R28-AE50+BY50+DR50,IF('GHG Calcs'!$F28=Defaults!$M$3,R28+DR50,IF('GHG Calcs'!$F28=Defaults!$M$4,BY50-AE50+DR50,IF('GHG Calcs'!$F28=Defaults!$M$5,DR50,""))))/453.6,"")</f>
        <v/>
      </c>
      <c r="K71" s="1378"/>
      <c r="L71" s="1378"/>
      <c r="M71" s="1378"/>
      <c r="N71" s="1378"/>
      <c r="O71" s="1426" t="str">
        <f ca="1">IFERROR(IF('GHG Calcs'!$F28=Defaults!$M$2,SUM(S28,DD28,EW28)-SUM(BJ28),IF('GHG Calcs'!$F28=Defaults!$M$3,SUM(S28,EW28),IF('GHG Calcs'!$F28=Defaults!$M$4,SUM(DD28,EW28)-SUM(BJ28),IF('GHG Calcs'!$F28=Defaults!$M$5,EW28,"")))),"")</f>
        <v/>
      </c>
      <c r="P71" s="1426" t="str">
        <f ca="1">IFERROR(IF('GHG Calcs'!$F28=Defaults!$M$2,SUM(DE28,EX28)-SUM(BK28),IF('GHG Calcs'!$F28=Defaults!$M$3,EX28,IF('GHG Calcs'!$F28=Defaults!$M$4,SUM(DE28,EX28)-SUM(BK28),IF('GHG Calcs'!$F28=Defaults!$M$5,EX28,"")))),"")</f>
        <v/>
      </c>
      <c r="Q71" s="1426" t="str">
        <f t="shared" ca="1" si="2"/>
        <v/>
      </c>
      <c r="R71" s="1427" t="str">
        <f ca="1">IFERROR(IF('GHG Calcs'!$F28=Defaults!$M$2,SUM(DF28,EY28)-SUM(BM28)+FB28*AVERAGE('GHG Calcs'!M28,'GHG Calcs'!O28)*('GHG Calcs'!I28-'GHG Calcs'!H28),IF('GHG Calcs'!$F28=Defaults!$M$3,EY28,IF('GHG Calcs'!$F28=Defaults!$M$4,SUM(DF28,EY28)-SUM(BM28),IF('GHG Calcs'!$F28=Defaults!$M$5,EY28,"")))),"")</f>
        <v/>
      </c>
      <c r="S71" s="1427" t="str">
        <f ca="1">IFERROR(IF( (((-FB28+((-FC28+FD28+FE28)/2))*'GHG Calcs'!Q28*AVERAGE('GHG Calcs'!M28,'GHG Calcs'!O28))+(IF('GHG Calcs'!$F28=Defaults!$M$3,FA28-FB28,0)*(1-'GHG Calcs'!Q28)*AVERAGE('GHG Calcs'!M28,'GHG Calcs'!O28))+('Fuel &amp; Travel Costs'!$C$31*AVERAGE('GHG Calcs'!U28,'GHG Calcs'!W28)))*('GHG Calcs'!I28-'GHG Calcs'!H28)=0,"",(((-FB28+((-FC28+FD28+FE28)/2))*'GHG Calcs'!Q28*AVERAGE('GHG Calcs'!M28,'GHG Calcs'!O28))+(IF('GHG Calcs'!$F28=Defaults!$M$3,FA28-FB28,0)*(1-'GHG Calcs'!Q28)*AVERAGE('GHG Calcs'!M28,'GHG Calcs'!O28))+('Fuel &amp; Travel Costs'!$C$31*AVERAGE('GHG Calcs'!U28,'GHG Calcs'!W28)))*('GHG Calcs'!I28-'GHG Calcs'!H28)),"")</f>
        <v/>
      </c>
      <c r="T71" s="1426" t="str">
        <f ca="1">IFERROR(IF('GHG Calcs'!Y28*('GHG Calcs'!I28-'GHG Calcs'!H28)=0,"",'GHG Calcs'!Y28*('GHG Calcs'!I28-'GHG Calcs'!H28)),"")</f>
        <v/>
      </c>
      <c r="U71" s="1656"/>
      <c r="V71" s="1656"/>
      <c r="W71" s="1656"/>
      <c r="X71" s="1656"/>
      <c r="Y71" s="1656"/>
      <c r="Z71" s="1656"/>
      <c r="AA71" s="1656"/>
      <c r="AB71" s="1656"/>
      <c r="AC71" s="1653"/>
      <c r="AD71" s="1653"/>
      <c r="AE71" s="1653"/>
      <c r="AF71" s="1650"/>
      <c r="AG71" s="1650"/>
      <c r="AH71" s="1653"/>
    </row>
    <row r="72" spans="5:34" s="117" customFormat="1" x14ac:dyDescent="0.35">
      <c r="E72" s="1648"/>
      <c r="F72" s="1380">
        <v>3</v>
      </c>
      <c r="G72" s="1378" t="str">
        <f ca="1">IFERROR(IF('GHG Calcs'!$F29=Defaults!$M$2,O29-AB51+BV51+DO51,IF('GHG Calcs'!$F29=Defaults!$M$3,O29+DO51,IF('GHG Calcs'!$F29=Defaults!$M$4,BV51-AB51+DO51,IF('GHG Calcs'!$F29=Defaults!$M$5,DO51,""))))/453.6,"")</f>
        <v/>
      </c>
      <c r="H72" s="1378" t="str">
        <f ca="1">IFERROR(IF('GHG Calcs'!$F29=Defaults!$M$2,P29-AC51+BW51+DP51,IF('GHG Calcs'!$F29=Defaults!$M$3,P29+DP51,IF('GHG Calcs'!$F29=Defaults!$M$4,BW51-AC51+DP51,IF('GHG Calcs'!$F29=Defaults!$M$5,DP51,""))))/453.6,"")</f>
        <v/>
      </c>
      <c r="I72" s="1378" t="str">
        <f ca="1">IFERROR(IF('GHG Calcs'!$F29=Defaults!$M$2,Q29-AD51+BX51+DQ51,IF('GHG Calcs'!$F29=Defaults!$M$3,Q29+DQ51,IF('GHG Calcs'!$F29=Defaults!$M$4,BX51-AD51+DQ51,IF('GHG Calcs'!$F29=Defaults!$M$5,DQ51,""))))/453.6,"")</f>
        <v/>
      </c>
      <c r="J72" s="1378" t="str">
        <f ca="1">IFERROR(IF('GHG Calcs'!$F29=Defaults!$M$2,R29-AE51+BY51+DR51,IF('GHG Calcs'!$F29=Defaults!$M$3,R29+DR51,IF('GHG Calcs'!$F29=Defaults!$M$4,BY51-AE51+DR51,IF('GHG Calcs'!$F29=Defaults!$M$5,DR51,""))))/453.6,"")</f>
        <v/>
      </c>
      <c r="K72" s="1378"/>
      <c r="L72" s="1378"/>
      <c r="M72" s="1378"/>
      <c r="N72" s="1378"/>
      <c r="O72" s="1426" t="str">
        <f ca="1">IFERROR(IF('GHG Calcs'!$F29=Defaults!$M$2,SUM(S29,DD29,EW29)-SUM(BJ29),IF('GHG Calcs'!$F29=Defaults!$M$3,SUM(S29,EW29),IF('GHG Calcs'!$F29=Defaults!$M$4,SUM(DD29,EW29)-SUM(BJ29),IF('GHG Calcs'!$F29=Defaults!$M$5,EW29,"")))),"")</f>
        <v/>
      </c>
      <c r="P72" s="1426" t="str">
        <f ca="1">IFERROR(IF('GHG Calcs'!$F29=Defaults!$M$2,SUM(DE29,EX29)-SUM(BK29),IF('GHG Calcs'!$F29=Defaults!$M$3,EX29,IF('GHG Calcs'!$F29=Defaults!$M$4,SUM(DE29,EX29)-SUM(BK29),IF('GHG Calcs'!$F29=Defaults!$M$5,EX29,"")))),"")</f>
        <v/>
      </c>
      <c r="Q72" s="1426" t="str">
        <f t="shared" ca="1" si="2"/>
        <v/>
      </c>
      <c r="R72" s="1427" t="str">
        <f ca="1">IFERROR(IF('GHG Calcs'!$F29=Defaults!$M$2,SUM(DF29,EY29)-SUM(BM29)+FB29*AVERAGE('GHG Calcs'!M29,'GHG Calcs'!O29)*('GHG Calcs'!I29-'GHG Calcs'!H29),IF('GHG Calcs'!$F29=Defaults!$M$3,EY29,IF('GHG Calcs'!$F29=Defaults!$M$4,SUM(DF29,EY29)-SUM(BM29),IF('GHG Calcs'!$F29=Defaults!$M$5,EY29,"")))),"")</f>
        <v/>
      </c>
      <c r="S72" s="1427" t="str">
        <f ca="1">IFERROR(IF( (((-FB29+((-FC29+FD29+FE29)/2))*'GHG Calcs'!Q29*AVERAGE('GHG Calcs'!M29,'GHG Calcs'!O29))+(IF('GHG Calcs'!$F29=Defaults!$M$3,FA29-FB29,0)*(1-'GHG Calcs'!Q29)*AVERAGE('GHG Calcs'!M29,'GHG Calcs'!O29))+('Fuel &amp; Travel Costs'!$C$31*AVERAGE('GHG Calcs'!U29,'GHG Calcs'!W29)))*('GHG Calcs'!I29-'GHG Calcs'!H29)=0,"",(((-FB29+((-FC29+FD29+FE29)/2))*'GHG Calcs'!Q29*AVERAGE('GHG Calcs'!M29,'GHG Calcs'!O29))+(IF('GHG Calcs'!$F29=Defaults!$M$3,FA29-FB29,0)*(1-'GHG Calcs'!Q29)*AVERAGE('GHG Calcs'!M29,'GHG Calcs'!O29))+('Fuel &amp; Travel Costs'!$C$31*AVERAGE('GHG Calcs'!U29,'GHG Calcs'!W29)))*('GHG Calcs'!I29-'GHG Calcs'!H29)),"")</f>
        <v/>
      </c>
      <c r="T72" s="1426" t="str">
        <f ca="1">IFERROR(IF('GHG Calcs'!Y29*('GHG Calcs'!I29-'GHG Calcs'!H29)=0,"",'GHG Calcs'!Y29*('GHG Calcs'!I29-'GHG Calcs'!H29)),"")</f>
        <v/>
      </c>
      <c r="U72" s="1657"/>
      <c r="V72" s="1657"/>
      <c r="W72" s="1657"/>
      <c r="X72" s="1657"/>
      <c r="Y72" s="1657"/>
      <c r="Z72" s="1657"/>
      <c r="AA72" s="1657"/>
      <c r="AB72" s="1657"/>
      <c r="AC72" s="1654"/>
      <c r="AD72" s="1654"/>
      <c r="AE72" s="1654"/>
      <c r="AF72" s="1651"/>
      <c r="AG72" s="1651"/>
      <c r="AH72" s="1654"/>
    </row>
    <row r="73" spans="5:34" x14ac:dyDescent="0.35">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262"/>
      <c r="AE73" s="262"/>
      <c r="AF73" s="262"/>
      <c r="AG73" s="262"/>
      <c r="AH73" s="262"/>
    </row>
    <row r="74" spans="5:34" x14ac:dyDescent="0.35">
      <c r="E74" s="967" t="s">
        <v>724</v>
      </c>
      <c r="F74" s="968"/>
      <c r="G74" s="968"/>
      <c r="H74" s="968"/>
      <c r="I74" s="969"/>
    </row>
    <row r="75" spans="5:34" ht="17.5" x14ac:dyDescent="0.45">
      <c r="E75" s="1024"/>
      <c r="F75" s="1024" t="s">
        <v>325</v>
      </c>
      <c r="G75" s="1024" t="s">
        <v>725</v>
      </c>
      <c r="H75" s="1024" t="s">
        <v>726</v>
      </c>
      <c r="I75" s="1024" t="s">
        <v>727</v>
      </c>
    </row>
    <row r="76" spans="5:34" x14ac:dyDescent="0.35">
      <c r="E76" s="306" t="str">
        <f>'Rail C&amp;T EF'!A15</f>
        <v>UNCONTROLLED</v>
      </c>
      <c r="F76" s="319">
        <f>'Rail C&amp;T EF'!C15*'Rail C&amp;T EF'!$K$14*'Rail C&amp;T EF'!$K$18</f>
        <v>19.124073323841952</v>
      </c>
      <c r="G76" s="319">
        <f>'Rail C&amp;T EF'!D15*'Rail C&amp;T EF'!$K$14*'Rail C&amp;T EF'!$K$18</f>
        <v>491.87431388482378</v>
      </c>
      <c r="H76" s="319">
        <f>'Rail C&amp;T EF'!F15*'Rail C&amp;T EF'!$K$14*'Rail C&amp;T EF'!$K$18</f>
        <v>11.744445156142257</v>
      </c>
      <c r="I76" s="319">
        <f>'Rail C&amp;T EF'!E15*'Rail C&amp;T EF'!$K$14*'Rail C&amp;T EF'!$K$18</f>
        <v>12.107675418703357</v>
      </c>
    </row>
    <row r="77" spans="5:34" x14ac:dyDescent="0.35">
      <c r="E77" s="306" t="str">
        <f>'Rail C&amp;T EF'!A16</f>
        <v>Tier 0</v>
      </c>
      <c r="F77" s="319">
        <f>'Rail C&amp;T EF'!C16*'Rail C&amp;T EF'!$K$14*'Rail C&amp;T EF'!$K$18</f>
        <v>19.124073323841952</v>
      </c>
      <c r="G77" s="319">
        <f>'Rail C&amp;T EF'!D16*'Rail C&amp;T EF'!$K$14*'Rail C&amp;T EF'!$K$18</f>
        <v>325.39377687765267</v>
      </c>
      <c r="H77" s="319">
        <f>'Rail C&amp;T EF'!F16*'Rail C&amp;T EF'!$K$14*'Rail C&amp;T EF'!$K$18</f>
        <v>11.744445156142257</v>
      </c>
      <c r="I77" s="319">
        <f>'Rail C&amp;T EF'!E16*'Rail C&amp;T EF'!$K$14*'Rail C&amp;T EF'!$K$18</f>
        <v>12.107675418703357</v>
      </c>
    </row>
    <row r="78" spans="5:34" x14ac:dyDescent="0.35">
      <c r="E78" s="306" t="str">
        <f>'Rail C&amp;T EF'!A17</f>
        <v>Tier 0+</v>
      </c>
      <c r="F78" s="319">
        <f>'Rail C&amp;T EF'!C17*'Rail C&amp;T EF'!$K$14*'Rail C&amp;T EF'!$K$18</f>
        <v>11.952545827401218</v>
      </c>
      <c r="G78" s="319">
        <f>'Rail C&amp;T EF'!D17*'Rail C&amp;T EF'!$K$14*'Rail C&amp;T EF'!$K$18</f>
        <v>272.4226969208255</v>
      </c>
      <c r="H78" s="319">
        <f>'Rail C&amp;T EF'!F17*'Rail C&amp;T EF'!$K$14*'Rail C&amp;T EF'!$K$18</f>
        <v>7.3402782225889105</v>
      </c>
      <c r="I78" s="319">
        <f>'Rail C&amp;T EF'!E17*'Rail C&amp;T EF'!$K$14*'Rail C&amp;T EF'!$K$18</f>
        <v>7.5672971366895974</v>
      </c>
    </row>
    <row r="79" spans="5:34" x14ac:dyDescent="0.35">
      <c r="E79" s="306" t="str">
        <f>'Rail C&amp;T EF'!A18</f>
        <v>Tier 1</v>
      </c>
      <c r="F79" s="319">
        <f>'Rail C&amp;T EF'!C18*'Rail C&amp;T EF'!$K$14*'Rail C&amp;T EF'!$K$18</f>
        <v>18.725655129595243</v>
      </c>
      <c r="G79" s="319">
        <f>'Rail C&amp;T EF'!D18*'Rail C&amp;T EF'!$K$14*'Rail C&amp;T EF'!$K$18</f>
        <v>253.50445407910152</v>
      </c>
      <c r="H79" s="319">
        <f>'Rail C&amp;T EF'!F18*'Rail C&amp;T EF'!$K$14*'Rail C&amp;T EF'!$K$18</f>
        <v>11.744445156142257</v>
      </c>
      <c r="I79" s="319">
        <f>'Rail C&amp;T EF'!E18*'Rail C&amp;T EF'!$K$14*'Rail C&amp;T EF'!$K$18</f>
        <v>12.107675418703357</v>
      </c>
    </row>
    <row r="80" spans="5:34" x14ac:dyDescent="0.35">
      <c r="E80" s="306" t="str">
        <f>'Rail C&amp;T EF'!A19</f>
        <v>Tier 1+</v>
      </c>
      <c r="F80" s="319">
        <f>'Rail C&amp;T EF'!C19*'Rail C&amp;T EF'!$K$14*'Rail C&amp;T EF'!$K$18</f>
        <v>11.554127633154511</v>
      </c>
      <c r="G80" s="319">
        <f>'Rail C&amp;T EF'!D19*'Rail C&amp;T EF'!$K$14*'Rail C&amp;T EF'!$K$18</f>
        <v>253.50445407910152</v>
      </c>
      <c r="H80" s="319">
        <f>'Rail C&amp;T EF'!F19*'Rail C&amp;T EF'!$K$14*'Rail C&amp;T EF'!$K$18</f>
        <v>7.3402782225889105</v>
      </c>
      <c r="I80" s="319">
        <f>'Rail C&amp;T EF'!E19*'Rail C&amp;T EF'!$K$14*'Rail C&amp;T EF'!$K$18</f>
        <v>7.5672971366895974</v>
      </c>
    </row>
    <row r="81" spans="5:9" x14ac:dyDescent="0.35">
      <c r="E81" s="306" t="str">
        <f>'Rail C&amp;T EF'!A20</f>
        <v>Tier 2</v>
      </c>
      <c r="F81" s="319">
        <f>'Rail C&amp;T EF'!C20*'Rail C&amp;T EF'!$K$14*'Rail C&amp;T EF'!$K$18</f>
        <v>10.358873050414388</v>
      </c>
      <c r="G81" s="319">
        <f>'Rail C&amp;T EF'!D20*'Rail C&amp;T EF'!$K$14*'Rail C&amp;T EF'!$K$18</f>
        <v>187.29060413306755</v>
      </c>
      <c r="H81" s="319">
        <f>'Rail C&amp;T EF'!F20*'Rail C&amp;T EF'!$K$14*'Rail C&amp;T EF'!$K$18</f>
        <v>6.6062504003300173</v>
      </c>
      <c r="I81" s="319">
        <f>'Rail C&amp;T EF'!E20*'Rail C&amp;T EF'!$K$14*'Rail C&amp;T EF'!$K$18</f>
        <v>6.810567423020637</v>
      </c>
    </row>
    <row r="82" spans="5:9" x14ac:dyDescent="0.35">
      <c r="E82" s="306" t="str">
        <f>'Rail C&amp;T EF'!A21</f>
        <v>Tier 2+ &amp; Tier 3</v>
      </c>
      <c r="F82" s="319">
        <f>'Rail C&amp;T EF'!C21*'Rail C&amp;T EF'!$K$14*'Rail C&amp;T EF'!$K$18</f>
        <v>5.1794365252071941</v>
      </c>
      <c r="G82" s="319">
        <f>'Rail C&amp;T EF'!D21*'Rail C&amp;T EF'!$K$14*'Rail C&amp;T EF'!$K$18</f>
        <v>187.29060413306755</v>
      </c>
      <c r="H82" s="319">
        <f>'Rail C&amp;T EF'!F21*'Rail C&amp;T EF'!$K$14*'Rail C&amp;T EF'!$K$18</f>
        <v>2.9361112890355643</v>
      </c>
      <c r="I82" s="319">
        <f>'Rail C&amp;T EF'!E21*'Rail C&amp;T EF'!$K$14*'Rail C&amp;T EF'!$K$18</f>
        <v>3.0269188546758392</v>
      </c>
    </row>
    <row r="83" spans="5:9" x14ac:dyDescent="0.35">
      <c r="E83" s="306" t="str">
        <f>'Rail C&amp;T EF'!A22</f>
        <v>Tier 4</v>
      </c>
      <c r="F83" s="319">
        <f>'Rail C&amp;T EF'!C22*'Rail C&amp;T EF'!$K$14*'Rail C&amp;T EF'!$K$18</f>
        <v>1.5936727769868291</v>
      </c>
      <c r="G83" s="319">
        <f>'Rail C&amp;T EF'!D22*'Rail C&amp;T EF'!$K$14*'Rail C&amp;T EF'!$K$18</f>
        <v>37.836485683447989</v>
      </c>
      <c r="H83" s="319">
        <f>'Rail C&amp;T EF'!F22*'Rail C&amp;T EF'!$K$14*'Rail C&amp;T EF'!$K$18</f>
        <v>0.55052086669416822</v>
      </c>
      <c r="I83" s="319">
        <f>'Rail C&amp;T EF'!E22*'Rail C&amp;T EF'!$K$14*'Rail C&amp;T EF'!$K$18</f>
        <v>0.56754728525171982</v>
      </c>
    </row>
  </sheetData>
  <protectedRanges>
    <protectedRange password="C38A" sqref="T33:U33 BN33:BO33 DG33:DH33 E54:F54 A10:D10" name="Range1"/>
    <protectedRange password="C38A" sqref="BN34:BO51 DG34:DH51 T34:U51 E55:F72 A12:D29" name="Range1_1"/>
  </protectedRanges>
  <mergeCells count="114">
    <mergeCell ref="E61:E63"/>
    <mergeCell ref="E64:E66"/>
    <mergeCell ref="E67:E69"/>
    <mergeCell ref="T43:T45"/>
    <mergeCell ref="T46:T48"/>
    <mergeCell ref="T49:T51"/>
    <mergeCell ref="DG34:DG36"/>
    <mergeCell ref="DG37:DG39"/>
    <mergeCell ref="DG40:DG42"/>
    <mergeCell ref="DG43:DG45"/>
    <mergeCell ref="DG46:DG48"/>
    <mergeCell ref="DG49:DG51"/>
    <mergeCell ref="BN34:BN36"/>
    <mergeCell ref="BN37:BN39"/>
    <mergeCell ref="BN40:BN42"/>
    <mergeCell ref="BN43:BN45"/>
    <mergeCell ref="BN46:BN48"/>
    <mergeCell ref="BN49:BN51"/>
    <mergeCell ref="A12:A14"/>
    <mergeCell ref="A15:A17"/>
    <mergeCell ref="A18:A20"/>
    <mergeCell ref="A21:A23"/>
    <mergeCell ref="A24:A26"/>
    <mergeCell ref="A27:A29"/>
    <mergeCell ref="U70:U72"/>
    <mergeCell ref="V55:V57"/>
    <mergeCell ref="V58:V60"/>
    <mergeCell ref="V61:V63"/>
    <mergeCell ref="V64:V66"/>
    <mergeCell ref="V67:V69"/>
    <mergeCell ref="V70:V72"/>
    <mergeCell ref="U55:U57"/>
    <mergeCell ref="U58:U60"/>
    <mergeCell ref="U61:U63"/>
    <mergeCell ref="U64:U66"/>
    <mergeCell ref="U67:U69"/>
    <mergeCell ref="E70:E72"/>
    <mergeCell ref="T34:T36"/>
    <mergeCell ref="T37:T39"/>
    <mergeCell ref="T40:T42"/>
    <mergeCell ref="E55:E57"/>
    <mergeCell ref="E58:E60"/>
    <mergeCell ref="W70:W72"/>
    <mergeCell ref="X55:X57"/>
    <mergeCell ref="X58:X60"/>
    <mergeCell ref="X61:X63"/>
    <mergeCell ref="X64:X66"/>
    <mergeCell ref="X67:X69"/>
    <mergeCell ref="X70:X72"/>
    <mergeCell ref="W55:W57"/>
    <mergeCell ref="W58:W60"/>
    <mergeCell ref="W61:W63"/>
    <mergeCell ref="W64:W66"/>
    <mergeCell ref="W67:W69"/>
    <mergeCell ref="Y70:Y72"/>
    <mergeCell ref="Z55:Z57"/>
    <mergeCell ref="Z58:Z60"/>
    <mergeCell ref="Z61:Z63"/>
    <mergeCell ref="Z64:Z66"/>
    <mergeCell ref="Z67:Z69"/>
    <mergeCell ref="Z70:Z72"/>
    <mergeCell ref="Y55:Y57"/>
    <mergeCell ref="Y58:Y60"/>
    <mergeCell ref="Y61:Y63"/>
    <mergeCell ref="Y64:Y66"/>
    <mergeCell ref="Y67:Y69"/>
    <mergeCell ref="AA70:AA72"/>
    <mergeCell ref="AB55:AB57"/>
    <mergeCell ref="AB58:AB60"/>
    <mergeCell ref="AB61:AB63"/>
    <mergeCell ref="AB64:AB66"/>
    <mergeCell ref="AB67:AB69"/>
    <mergeCell ref="AB70:AB72"/>
    <mergeCell ref="AA55:AA57"/>
    <mergeCell ref="AA58:AA60"/>
    <mergeCell ref="AA61:AA63"/>
    <mergeCell ref="AA64:AA66"/>
    <mergeCell ref="AA67:AA69"/>
    <mergeCell ref="AC70:AC72"/>
    <mergeCell ref="AD55:AD57"/>
    <mergeCell ref="AD58:AD60"/>
    <mergeCell ref="AD61:AD63"/>
    <mergeCell ref="AD64:AD66"/>
    <mergeCell ref="AD67:AD69"/>
    <mergeCell ref="AD70:AD72"/>
    <mergeCell ref="AC55:AC57"/>
    <mergeCell ref="AC58:AC60"/>
    <mergeCell ref="AC61:AC63"/>
    <mergeCell ref="AC64:AC66"/>
    <mergeCell ref="AC67:AC69"/>
    <mergeCell ref="AE70:AE72"/>
    <mergeCell ref="AF55:AF57"/>
    <mergeCell ref="AF58:AF60"/>
    <mergeCell ref="AF61:AF63"/>
    <mergeCell ref="AF64:AF66"/>
    <mergeCell ref="AF67:AF69"/>
    <mergeCell ref="AF70:AF72"/>
    <mergeCell ref="AE55:AE57"/>
    <mergeCell ref="AE58:AE60"/>
    <mergeCell ref="AE61:AE63"/>
    <mergeCell ref="AE64:AE66"/>
    <mergeCell ref="AE67:AE69"/>
    <mergeCell ref="AG70:AG72"/>
    <mergeCell ref="AH55:AH57"/>
    <mergeCell ref="AH58:AH60"/>
    <mergeCell ref="AH61:AH63"/>
    <mergeCell ref="AH64:AH66"/>
    <mergeCell ref="AH67:AH69"/>
    <mergeCell ref="AH70:AH72"/>
    <mergeCell ref="AG55:AG57"/>
    <mergeCell ref="AG58:AG60"/>
    <mergeCell ref="AG61:AG63"/>
    <mergeCell ref="AG64:AG66"/>
    <mergeCell ref="AG67:AG69"/>
  </mergeCells>
  <pageMargins left="0.7" right="0.7" top="0.75" bottom="0.75" header="0.3" footer="0.3"/>
  <pageSetup scale="59" orientation="landscape" r:id="rId1"/>
  <headerFooter>
    <oddFooter>&amp;L&amp;"Avenir LT Std 55 Roman,Regular"&amp;12December 30, 2020&amp;C&amp;"Avenir LT Std 55 Roman,Regular"&amp;12&amp;P of &amp;N&amp;R&amp;"Avenir LT Std 55 Roman,Regular"&amp;12&amp;A</oddFooter>
  </headerFooter>
  <colBreaks count="5" manualBreakCount="5">
    <brk id="19" max="1048575" man="1"/>
    <brk id="45" max="1048575" man="1"/>
    <brk id="79" max="1048575" man="1"/>
    <brk id="110" max="1048575" man="1"/>
    <brk id="136" max="1048575" man="1"/>
  </col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theme="1"/>
  </sheetPr>
  <dimension ref="A1:BL30"/>
  <sheetViews>
    <sheetView showGridLines="0" zoomScale="85" zoomScaleNormal="85" zoomScalePageLayoutView="70" workbookViewId="0">
      <selection activeCell="F7" sqref="F7"/>
    </sheetView>
  </sheetViews>
  <sheetFormatPr defaultColWidth="13.90625" defaultRowHeight="15.5" x14ac:dyDescent="0.35"/>
  <cols>
    <col min="1" max="1" width="2.90625" style="117" customWidth="1"/>
    <col min="2" max="2" width="30.453125" style="117" customWidth="1"/>
    <col min="3" max="6" width="25.08984375" style="117" customWidth="1"/>
    <col min="7" max="7" width="25.453125" style="117" customWidth="1"/>
    <col min="8" max="10" width="25.08984375" style="117" customWidth="1"/>
    <col min="11" max="58" width="20" style="117" customWidth="1"/>
    <col min="59" max="59" width="20.90625" style="117" bestFit="1" customWidth="1"/>
    <col min="60" max="60" width="20" style="117" customWidth="1"/>
    <col min="61" max="61" width="20.90625" style="117" bestFit="1" customWidth="1"/>
    <col min="62" max="62" width="20" style="117" customWidth="1"/>
    <col min="63" max="63" width="20.90625" style="117" bestFit="1" customWidth="1"/>
    <col min="64" max="64" width="20" style="117" customWidth="1"/>
    <col min="65" max="16384" width="13.90625" style="117"/>
  </cols>
  <sheetData>
    <row r="1" spans="1:64" ht="20.5" x14ac:dyDescent="0.35">
      <c r="A1" s="168"/>
      <c r="B1" s="168"/>
      <c r="C1" s="168"/>
      <c r="D1" s="168"/>
      <c r="E1" s="168"/>
      <c r="F1" s="168"/>
      <c r="G1" s="168"/>
      <c r="H1" s="168"/>
      <c r="I1" s="168"/>
      <c r="J1" s="168"/>
    </row>
    <row r="2" spans="1:64" x14ac:dyDescent="0.35">
      <c r="A2" s="261"/>
      <c r="B2" s="261"/>
      <c r="C2" s="261"/>
      <c r="D2" s="261"/>
      <c r="E2" s="261"/>
      <c r="F2" s="261"/>
    </row>
    <row r="3" spans="1:64" ht="20.5" x14ac:dyDescent="0.35">
      <c r="A3" s="168"/>
      <c r="B3" s="168"/>
      <c r="C3" s="168"/>
      <c r="D3" s="168"/>
      <c r="E3" s="168"/>
      <c r="F3" s="168"/>
      <c r="G3" s="168"/>
      <c r="H3" s="168"/>
      <c r="I3" s="168"/>
      <c r="J3" s="168"/>
    </row>
    <row r="4" spans="1:64" ht="20.5" x14ac:dyDescent="0.35">
      <c r="A4" s="170"/>
      <c r="B4" s="170"/>
      <c r="C4" s="170"/>
      <c r="D4" s="170"/>
      <c r="E4" s="170"/>
      <c r="F4" s="170"/>
      <c r="G4" s="170"/>
      <c r="H4" s="170"/>
      <c r="I4" s="170"/>
      <c r="J4" s="170"/>
    </row>
    <row r="5" spans="1:64" x14ac:dyDescent="0.35">
      <c r="A5" s="261"/>
      <c r="B5" s="261"/>
      <c r="C5" s="261"/>
      <c r="D5" s="261"/>
      <c r="E5" s="261"/>
      <c r="F5" s="261"/>
    </row>
    <row r="6" spans="1:64" ht="20.5" x14ac:dyDescent="0.35">
      <c r="A6" s="168"/>
      <c r="B6" s="168"/>
      <c r="C6" s="168"/>
      <c r="D6" s="168"/>
      <c r="E6" s="168"/>
      <c r="F6" s="168"/>
      <c r="G6" s="168"/>
      <c r="H6" s="168"/>
      <c r="I6" s="168"/>
      <c r="J6" s="168"/>
    </row>
    <row r="8" spans="1:64" s="120" customFormat="1" ht="16" thickBot="1" x14ac:dyDescent="0.4">
      <c r="B8" s="117"/>
      <c r="C8" s="117"/>
      <c r="D8" s="117"/>
      <c r="E8" s="117"/>
      <c r="F8" s="117"/>
      <c r="G8" s="117"/>
      <c r="H8" s="117"/>
    </row>
    <row r="9" spans="1:64" ht="49" thickBot="1" x14ac:dyDescent="0.4">
      <c r="B9" s="143" t="s">
        <v>728</v>
      </c>
      <c r="C9" s="348" t="s">
        <v>729</v>
      </c>
      <c r="D9" s="349" t="s">
        <v>730</v>
      </c>
      <c r="E9" s="350" t="s">
        <v>731</v>
      </c>
      <c r="F9" s="351" t="s">
        <v>732</v>
      </c>
      <c r="G9" s="352" t="s">
        <v>733</v>
      </c>
      <c r="H9" s="351" t="s">
        <v>734</v>
      </c>
      <c r="I9" s="353" t="s">
        <v>735</v>
      </c>
      <c r="J9" s="351" t="s">
        <v>736</v>
      </c>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row>
    <row r="10" spans="1:64" ht="16" thickBot="1" x14ac:dyDescent="0.4">
      <c r="B10" s="147" t="s">
        <v>737</v>
      </c>
      <c r="C10" s="354">
        <v>126.13</v>
      </c>
      <c r="D10" s="355">
        <v>31.4</v>
      </c>
      <c r="E10" s="356">
        <f>$C$12/(C10*I10)</f>
        <v>1.0661222548164593</v>
      </c>
      <c r="F10" s="357">
        <f t="shared" ref="F10:F19" si="0">$C$14/(C10*J10)</f>
        <v>0.82650440022199312</v>
      </c>
      <c r="G10" s="358">
        <f>C10*D10*E10</f>
        <v>4222.3580000000002</v>
      </c>
      <c r="H10" s="364">
        <f>C10*D10*F10</f>
        <v>3273.3557999999994</v>
      </c>
      <c r="I10" s="359">
        <v>1</v>
      </c>
      <c r="J10" s="360">
        <f>1/0.9</f>
        <v>1.1111111111111112</v>
      </c>
      <c r="K10" s="152"/>
      <c r="L10" s="152"/>
      <c r="M10" s="152"/>
      <c r="N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c r="BH10" s="152"/>
      <c r="BI10" s="152"/>
      <c r="BJ10" s="152"/>
      <c r="BK10" s="152"/>
      <c r="BL10" s="152"/>
    </row>
    <row r="11" spans="1:64" ht="16" thickBot="1" x14ac:dyDescent="0.4">
      <c r="B11" s="153" t="s">
        <v>738</v>
      </c>
      <c r="C11" s="361">
        <v>0.98</v>
      </c>
      <c r="D11" s="362">
        <v>85.93</v>
      </c>
      <c r="E11" s="356">
        <f>$C$12/(C11*I11)</f>
        <v>152.46031746031747</v>
      </c>
      <c r="F11" s="363">
        <f t="shared" si="0"/>
        <v>118.19387755102041</v>
      </c>
      <c r="G11" s="358">
        <f t="shared" ref="G11:G19" si="1">C11*D11*E11</f>
        <v>12838.89677777778</v>
      </c>
      <c r="H11" s="364">
        <f t="shared" ref="H11:H19" si="2">C11*D11*F11</f>
        <v>9953.2719000000016</v>
      </c>
      <c r="I11" s="365">
        <v>0.9</v>
      </c>
      <c r="J11" s="366">
        <v>1</v>
      </c>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c r="BI11" s="152"/>
      <c r="BJ11" s="152"/>
      <c r="BK11" s="152"/>
      <c r="BL11" s="152"/>
    </row>
    <row r="12" spans="1:64" ht="16" thickBot="1" x14ac:dyDescent="0.4">
      <c r="B12" s="153" t="s">
        <v>739</v>
      </c>
      <c r="C12" s="361">
        <v>134.47</v>
      </c>
      <c r="D12" s="362">
        <v>105.76</v>
      </c>
      <c r="E12" s="356">
        <f t="shared" ref="E12:E19" si="3">$C$12/(C12*I12)</f>
        <v>1</v>
      </c>
      <c r="F12" s="363">
        <f t="shared" si="0"/>
        <v>0.77524354874693235</v>
      </c>
      <c r="G12" s="358">
        <f t="shared" si="1"/>
        <v>14221.547200000001</v>
      </c>
      <c r="H12" s="364">
        <f t="shared" si="2"/>
        <v>11025.16272</v>
      </c>
      <c r="I12" s="365">
        <v>1</v>
      </c>
      <c r="J12" s="366">
        <f>1/0.9</f>
        <v>1.1111111111111112</v>
      </c>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c r="BI12" s="152"/>
      <c r="BJ12" s="152"/>
      <c r="BK12" s="152"/>
      <c r="BL12" s="152"/>
    </row>
    <row r="13" spans="1:64" ht="16" thickBot="1" x14ac:dyDescent="0.4">
      <c r="B13" s="153" t="s">
        <v>740</v>
      </c>
      <c r="C13" s="361">
        <v>3.6</v>
      </c>
      <c r="D13" s="362">
        <v>70.05</v>
      </c>
      <c r="E13" s="356">
        <f>$C$12/(C13*I13)</f>
        <v>7.4705555555555554</v>
      </c>
      <c r="F13" s="363">
        <f>$C$14/(C13*J13)</f>
        <v>9.4632352941176467</v>
      </c>
      <c r="G13" s="358">
        <f t="shared" si="1"/>
        <v>1883.9247</v>
      </c>
      <c r="H13" s="364">
        <f t="shared" si="2"/>
        <v>2386.4386764705882</v>
      </c>
      <c r="I13" s="365">
        <v>5</v>
      </c>
      <c r="J13" s="366">
        <v>3.4</v>
      </c>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c r="BH13" s="152"/>
      <c r="BI13" s="152"/>
      <c r="BJ13" s="152"/>
      <c r="BK13" s="152"/>
      <c r="BL13" s="152"/>
    </row>
    <row r="14" spans="1:64" ht="16" thickBot="1" x14ac:dyDescent="0.4">
      <c r="B14" s="153" t="s">
        <v>741</v>
      </c>
      <c r="C14" s="361">
        <v>115.83</v>
      </c>
      <c r="D14" s="362">
        <v>99.15</v>
      </c>
      <c r="E14" s="356">
        <f>$C$12/(C14*I14)</f>
        <v>1.1609254942588276</v>
      </c>
      <c r="F14" s="363">
        <f t="shared" si="0"/>
        <v>1</v>
      </c>
      <c r="G14" s="358">
        <f t="shared" si="1"/>
        <v>13332.700500000001</v>
      </c>
      <c r="H14" s="364">
        <f t="shared" si="2"/>
        <v>11484.5445</v>
      </c>
      <c r="I14" s="365">
        <v>1</v>
      </c>
      <c r="J14" s="366">
        <v>1</v>
      </c>
      <c r="K14" s="152"/>
      <c r="L14" s="152"/>
      <c r="M14" s="152"/>
      <c r="N14" s="152"/>
      <c r="O14" s="152"/>
      <c r="P14" s="152"/>
      <c r="Q14" s="152"/>
      <c r="R14" s="152"/>
      <c r="S14" s="152"/>
      <c r="T14" s="152"/>
      <c r="U14" s="152"/>
      <c r="V14" s="152"/>
      <c r="W14" s="152"/>
      <c r="X14" s="152"/>
      <c r="Y14" s="152"/>
      <c r="Z14" s="152"/>
      <c r="AA14" s="152"/>
      <c r="AB14" s="152"/>
      <c r="AC14" s="152"/>
      <c r="AD14" s="152"/>
      <c r="AE14" s="152"/>
      <c r="AF14" s="152"/>
      <c r="AG14" s="152"/>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c r="BH14" s="152"/>
      <c r="BI14" s="152"/>
      <c r="BJ14" s="152"/>
      <c r="BK14" s="152"/>
      <c r="BL14" s="152"/>
    </row>
    <row r="15" spans="1:64" ht="16" thickBot="1" x14ac:dyDescent="0.4">
      <c r="B15" s="153" t="s">
        <v>742</v>
      </c>
      <c r="C15" s="361">
        <v>120</v>
      </c>
      <c r="D15" s="362">
        <v>56.43</v>
      </c>
      <c r="E15" s="356">
        <f t="shared" si="3"/>
        <v>0.58978070175438591</v>
      </c>
      <c r="F15" s="363">
        <f t="shared" si="0"/>
        <v>0.3861</v>
      </c>
      <c r="G15" s="358">
        <f t="shared" si="1"/>
        <v>3993.759</v>
      </c>
      <c r="H15" s="364">
        <f t="shared" si="2"/>
        <v>2614.51476</v>
      </c>
      <c r="I15" s="365">
        <v>1.9</v>
      </c>
      <c r="J15" s="366">
        <v>2.5</v>
      </c>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c r="BH15" s="152"/>
      <c r="BI15" s="152"/>
      <c r="BJ15" s="152"/>
      <c r="BK15" s="152"/>
      <c r="BL15" s="152"/>
    </row>
    <row r="16" spans="1:64" ht="16" thickBot="1" x14ac:dyDescent="0.4">
      <c r="B16" s="153" t="s">
        <v>743</v>
      </c>
      <c r="C16" s="361">
        <v>78.83</v>
      </c>
      <c r="D16" s="362">
        <v>105.56</v>
      </c>
      <c r="E16" s="356">
        <f>$C$12/(C16*I16)</f>
        <v>1.8953585070545618</v>
      </c>
      <c r="F16" s="363">
        <f t="shared" si="0"/>
        <v>1.4693644551566662</v>
      </c>
      <c r="G16" s="358">
        <f t="shared" si="1"/>
        <v>15771.836888888887</v>
      </c>
      <c r="H16" s="364">
        <f t="shared" si="2"/>
        <v>12227.014799999999</v>
      </c>
      <c r="I16" s="365">
        <v>0.9</v>
      </c>
      <c r="J16" s="366">
        <v>1</v>
      </c>
      <c r="K16" s="152"/>
      <c r="L16" s="152"/>
      <c r="M16" s="152"/>
      <c r="N16" s="152"/>
      <c r="O16" s="152"/>
      <c r="P16" s="152"/>
      <c r="Q16" s="152"/>
      <c r="R16" s="152"/>
      <c r="S16" s="152"/>
      <c r="T16" s="152"/>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row>
    <row r="17" spans="2:64" ht="16" thickBot="1" x14ac:dyDescent="0.4">
      <c r="B17" s="153" t="s">
        <v>744</v>
      </c>
      <c r="C17" s="880">
        <v>129.65</v>
      </c>
      <c r="D17" s="881">
        <v>42.33</v>
      </c>
      <c r="E17" s="356">
        <f t="shared" si="3"/>
        <v>1.0371770150404935</v>
      </c>
      <c r="F17" s="882">
        <f t="shared" si="0"/>
        <v>0.80406478981874263</v>
      </c>
      <c r="G17" s="358">
        <f t="shared" si="1"/>
        <v>5692.1150999999991</v>
      </c>
      <c r="H17" s="364">
        <f t="shared" si="2"/>
        <v>4412.7755099999995</v>
      </c>
      <c r="I17" s="883">
        <v>1</v>
      </c>
      <c r="J17" s="884">
        <f>1/0.9</f>
        <v>1.1111111111111112</v>
      </c>
      <c r="K17" s="152"/>
      <c r="L17" s="152"/>
      <c r="M17" s="152"/>
      <c r="N17" s="152"/>
      <c r="O17" s="152"/>
      <c r="P17" s="152"/>
      <c r="Q17" s="152"/>
      <c r="R17" s="152"/>
      <c r="S17" s="152"/>
      <c r="T17" s="152"/>
      <c r="U17" s="152"/>
      <c r="V17" s="152"/>
      <c r="W17" s="152"/>
      <c r="X17" s="152"/>
      <c r="Y17" s="152"/>
      <c r="Z17" s="152"/>
      <c r="AA17" s="152"/>
      <c r="AB17" s="152"/>
      <c r="AC17" s="152"/>
      <c r="AD17" s="152"/>
      <c r="AE17" s="152"/>
      <c r="AF17" s="152"/>
      <c r="AG17" s="152"/>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c r="BI17" s="152"/>
      <c r="BJ17" s="152"/>
      <c r="BK17" s="152"/>
      <c r="BL17" s="152"/>
    </row>
    <row r="18" spans="2:64" ht="16" thickBot="1" x14ac:dyDescent="0.4">
      <c r="B18" s="900" t="s">
        <v>745</v>
      </c>
      <c r="C18" s="902">
        <v>3.6</v>
      </c>
      <c r="D18" s="1333">
        <v>0</v>
      </c>
      <c r="E18" s="356">
        <f>$C$12/(C18*I18)</f>
        <v>7.4705555555555554</v>
      </c>
      <c r="F18" s="903">
        <f>$C$14/(C18*J18)</f>
        <v>9.4632352941176467</v>
      </c>
      <c r="G18" s="358">
        <f t="shared" si="1"/>
        <v>0</v>
      </c>
      <c r="H18" s="364">
        <f t="shared" si="2"/>
        <v>0</v>
      </c>
      <c r="I18" s="365">
        <v>5</v>
      </c>
      <c r="J18" s="366">
        <v>3.4</v>
      </c>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c r="BH18" s="152"/>
      <c r="BI18" s="152"/>
      <c r="BJ18" s="152"/>
      <c r="BK18" s="152"/>
      <c r="BL18" s="152"/>
    </row>
    <row r="19" spans="2:64" ht="16" thickBot="1" x14ac:dyDescent="0.4">
      <c r="B19" s="155" t="s">
        <v>746</v>
      </c>
      <c r="C19" s="367">
        <v>0.98</v>
      </c>
      <c r="D19" s="368">
        <v>-215.83</v>
      </c>
      <c r="E19" s="369">
        <f t="shared" si="3"/>
        <v>152.46031746031747</v>
      </c>
      <c r="F19" s="370">
        <f t="shared" si="0"/>
        <v>118.19387755102041</v>
      </c>
      <c r="G19" s="358">
        <f t="shared" si="1"/>
        <v>-32247.400111111117</v>
      </c>
      <c r="H19" s="364">
        <f t="shared" si="2"/>
        <v>-24999.588900000002</v>
      </c>
      <c r="I19" s="371">
        <v>0.9</v>
      </c>
      <c r="J19" s="372">
        <v>1</v>
      </c>
      <c r="K19" s="152"/>
      <c r="L19" s="152"/>
      <c r="M19" s="152"/>
      <c r="N19" s="152"/>
      <c r="O19" s="152"/>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c r="BI19" s="152"/>
      <c r="BJ19" s="152"/>
      <c r="BK19" s="152"/>
      <c r="BL19" s="152"/>
    </row>
    <row r="20" spans="2:64" ht="15" customHeight="1" x14ac:dyDescent="0.35">
      <c r="B20" s="714" t="s">
        <v>747</v>
      </c>
      <c r="C20" s="714"/>
      <c r="D20" s="714"/>
      <c r="E20" s="714"/>
      <c r="F20" s="714"/>
      <c r="G20" s="714"/>
      <c r="H20" s="714"/>
      <c r="I20" s="714"/>
      <c r="J20" s="714"/>
    </row>
    <row r="21" spans="2:64" ht="16" thickBot="1" x14ac:dyDescent="0.4">
      <c r="B21" s="158"/>
      <c r="C21" s="158"/>
      <c r="D21" s="158"/>
      <c r="E21" s="158"/>
      <c r="F21" s="158"/>
      <c r="G21" s="158"/>
      <c r="H21" s="158"/>
      <c r="I21" s="158"/>
      <c r="J21" s="158"/>
    </row>
    <row r="22" spans="2:64" x14ac:dyDescent="0.35">
      <c r="B22" s="93" t="s">
        <v>748</v>
      </c>
      <c r="C22" s="94"/>
      <c r="D22" s="94"/>
      <c r="E22" s="94"/>
      <c r="F22" s="94"/>
      <c r="G22" s="94"/>
      <c r="H22" s="94"/>
      <c r="I22" s="94"/>
      <c r="J22" s="95"/>
    </row>
    <row r="23" spans="2:64" ht="17.25" customHeight="1" x14ac:dyDescent="0.35">
      <c r="B23" s="1105" t="s">
        <v>749</v>
      </c>
      <c r="C23" s="373"/>
      <c r="D23" s="373"/>
      <c r="E23" s="373"/>
      <c r="F23" s="373"/>
      <c r="G23" s="373"/>
      <c r="H23" s="373"/>
      <c r="I23" s="373"/>
      <c r="J23" s="374"/>
    </row>
    <row r="24" spans="2:64" x14ac:dyDescent="0.35">
      <c r="B24" s="1106" t="s">
        <v>750</v>
      </c>
      <c r="C24" s="373"/>
      <c r="D24" s="373"/>
      <c r="E24" s="373"/>
      <c r="F24" s="373"/>
      <c r="G24" s="373"/>
      <c r="H24" s="373"/>
      <c r="I24" s="373"/>
      <c r="J24" s="374"/>
    </row>
    <row r="25" spans="2:64" x14ac:dyDescent="0.35">
      <c r="B25" s="1107" t="s">
        <v>751</v>
      </c>
      <c r="J25" s="1109"/>
    </row>
    <row r="26" spans="2:64" x14ac:dyDescent="0.35">
      <c r="B26" s="1108"/>
      <c r="J26" s="1109"/>
    </row>
    <row r="27" spans="2:64" x14ac:dyDescent="0.35">
      <c r="B27" s="1108" t="s">
        <v>752</v>
      </c>
      <c r="J27" s="1109"/>
    </row>
    <row r="28" spans="2:64" x14ac:dyDescent="0.35">
      <c r="B28" s="1108"/>
      <c r="J28" s="1109"/>
    </row>
    <row r="29" spans="2:64" x14ac:dyDescent="0.35">
      <c r="B29" s="1108" t="s">
        <v>753</v>
      </c>
      <c r="J29" s="1109"/>
    </row>
    <row r="30" spans="2:64" ht="16" thickBot="1" x14ac:dyDescent="0.4">
      <c r="B30" s="38" t="s">
        <v>754</v>
      </c>
      <c r="C30" s="1110"/>
      <c r="D30" s="1110"/>
      <c r="E30" s="1110"/>
      <c r="F30" s="1110"/>
      <c r="G30" s="1110"/>
      <c r="H30" s="1110"/>
      <c r="I30" s="1110"/>
      <c r="J30" s="1111"/>
    </row>
  </sheetData>
  <hyperlinks>
    <hyperlink ref="B24" r:id="rId1" tooltip="LCFS Regulation" xr:uid="{2F6AB49B-6A57-4E6C-8BD2-33E91EE6C9B5}"/>
    <hyperlink ref="B30" r:id="rId2" tooltip="Carbon Intensity for California Average Grid Electricity Used as a Transportation Fuel in California" xr:uid="{017F179E-7636-4DFC-A2F5-4F8B459507BE}"/>
  </hyperlinks>
  <pageMargins left="0.7" right="0.7" top="0.75" bottom="0.75" header="0.3" footer="0.3"/>
  <pageSetup scale="59" orientation="landscape" r:id="rId3"/>
  <headerFooter>
    <oddFooter>&amp;L&amp;"Avenir LT Std 55 Roman,Regular"&amp;12December 30, 2020&amp;C&amp;"Avenir LT Std 55 Roman,Regular"&amp;12&amp;P of &amp;N&amp;R&amp;"Avenir LT Std 55 Roman,Regular"&amp;12&amp;A</oddFooter>
  </headerFooter>
  <drawing r:id="rId4"/>
  <legacyDrawingHF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tabColor theme="1"/>
  </sheetPr>
  <dimension ref="A1:R2668"/>
  <sheetViews>
    <sheetView showGridLines="0" zoomScaleNormal="100" zoomScalePageLayoutView="70" workbookViewId="0">
      <selection activeCell="D41" sqref="D41"/>
    </sheetView>
  </sheetViews>
  <sheetFormatPr defaultColWidth="9.08984375" defaultRowHeight="14" x14ac:dyDescent="0.3"/>
  <cols>
    <col min="1" max="1" width="21.08984375" style="338" bestFit="1" customWidth="1"/>
    <col min="2" max="2" width="14.453125" style="338" customWidth="1"/>
    <col min="3" max="3" width="26.90625" style="338" bestFit="1" customWidth="1"/>
    <col min="4" max="4" width="25.90625" style="338" customWidth="1"/>
    <col min="5" max="5" width="9.08984375" style="338"/>
    <col min="6" max="6" width="21.08984375" style="338" bestFit="1" customWidth="1"/>
    <col min="7" max="7" width="26" style="338" customWidth="1"/>
    <col min="8" max="16384" width="9.08984375" style="338"/>
  </cols>
  <sheetData>
    <row r="1" spans="1:18" s="117" customFormat="1" ht="15" customHeight="1" x14ac:dyDescent="0.35">
      <c r="A1" s="168"/>
      <c r="B1" s="168"/>
      <c r="C1" s="168"/>
      <c r="D1" s="168"/>
      <c r="E1" s="168"/>
      <c r="F1" s="168"/>
      <c r="G1" s="168"/>
      <c r="H1" s="168"/>
      <c r="I1" s="168"/>
      <c r="J1" s="168"/>
      <c r="K1" s="168"/>
      <c r="L1" s="168"/>
      <c r="M1" s="168"/>
      <c r="N1" s="168"/>
      <c r="O1" s="168"/>
      <c r="P1" s="168"/>
      <c r="Q1" s="168"/>
      <c r="R1" s="168"/>
    </row>
    <row r="2" spans="1:18" s="117" customFormat="1" ht="15" customHeight="1" x14ac:dyDescent="0.35">
      <c r="A2" s="261"/>
      <c r="B2" s="261"/>
      <c r="C2" s="261"/>
      <c r="D2" s="261"/>
      <c r="E2" s="261"/>
    </row>
    <row r="3" spans="1:18" s="117" customFormat="1" ht="20.5" x14ac:dyDescent="0.35">
      <c r="A3" s="168"/>
      <c r="B3" s="168"/>
      <c r="C3" s="168"/>
      <c r="D3" s="168"/>
      <c r="E3" s="168"/>
      <c r="F3" s="168"/>
      <c r="G3" s="168"/>
      <c r="H3" s="168"/>
      <c r="I3" s="168"/>
      <c r="J3" s="168"/>
      <c r="K3" s="168"/>
      <c r="L3" s="168"/>
      <c r="M3" s="168"/>
      <c r="N3" s="168"/>
      <c r="O3" s="168"/>
      <c r="P3" s="168"/>
      <c r="Q3" s="168"/>
      <c r="R3" s="168"/>
    </row>
    <row r="4" spans="1:18" s="117" customFormat="1" ht="20.5" x14ac:dyDescent="0.35">
      <c r="A4" s="170"/>
      <c r="B4" s="170"/>
      <c r="C4" s="170"/>
      <c r="D4" s="170"/>
      <c r="E4" s="170"/>
      <c r="F4" s="170"/>
      <c r="G4" s="170"/>
      <c r="H4" s="170"/>
      <c r="I4" s="170"/>
      <c r="J4" s="170"/>
      <c r="K4" s="170"/>
      <c r="L4" s="170"/>
      <c r="M4" s="170"/>
      <c r="N4" s="170"/>
      <c r="O4" s="170"/>
      <c r="P4" s="170"/>
      <c r="Q4" s="170"/>
      <c r="R4" s="170"/>
    </row>
    <row r="5" spans="1:18" s="117" customFormat="1" ht="15" customHeight="1" x14ac:dyDescent="0.35">
      <c r="A5" s="261"/>
      <c r="B5" s="261"/>
      <c r="C5" s="261"/>
      <c r="D5" s="261"/>
      <c r="E5" s="261"/>
    </row>
    <row r="6" spans="1:18" s="117" customFormat="1" ht="15" customHeight="1" x14ac:dyDescent="0.35">
      <c r="A6" s="168"/>
      <c r="B6" s="168"/>
      <c r="C6" s="168"/>
      <c r="D6" s="168"/>
      <c r="E6" s="168"/>
      <c r="F6" s="168"/>
      <c r="G6" s="168"/>
      <c r="H6" s="168"/>
      <c r="I6" s="168"/>
      <c r="J6" s="168"/>
      <c r="K6" s="168"/>
      <c r="L6" s="168"/>
      <c r="M6" s="168"/>
      <c r="N6" s="168"/>
      <c r="O6" s="168"/>
      <c r="P6" s="168"/>
      <c r="Q6" s="168"/>
      <c r="R6" s="168"/>
    </row>
    <row r="7" spans="1:18" s="117" customFormat="1" ht="15" customHeight="1" x14ac:dyDescent="0.35">
      <c r="A7" s="261"/>
      <c r="B7" s="261"/>
      <c r="C7" s="261"/>
      <c r="D7" s="261"/>
      <c r="E7" s="261"/>
    </row>
    <row r="8" spans="1:18" s="7" customFormat="1" x14ac:dyDescent="0.3">
      <c r="B8" s="332"/>
    </row>
    <row r="9" spans="1:18" s="7" customFormat="1" x14ac:dyDescent="0.3">
      <c r="B9" s="332"/>
    </row>
    <row r="10" spans="1:18" s="7" customFormat="1" ht="14.5" thickBot="1" x14ac:dyDescent="0.35">
      <c r="B10" s="332"/>
    </row>
    <row r="11" spans="1:18" s="7" customFormat="1" ht="15.5" x14ac:dyDescent="0.35">
      <c r="A11" s="656" t="s">
        <v>755</v>
      </c>
      <c r="B11" s="657"/>
      <c r="C11" s="657"/>
      <c r="D11" s="657"/>
      <c r="E11" s="657"/>
      <c r="F11" s="657"/>
      <c r="G11" s="657"/>
      <c r="H11" s="658"/>
    </row>
    <row r="12" spans="1:18" s="7" customFormat="1" ht="15.5" x14ac:dyDescent="0.35">
      <c r="A12" s="537" t="s">
        <v>748</v>
      </c>
      <c r="B12" s="538"/>
      <c r="C12" s="538"/>
      <c r="D12" s="538"/>
      <c r="E12" s="538"/>
      <c r="F12" s="538"/>
      <c r="G12" s="538"/>
      <c r="H12" s="539"/>
    </row>
    <row r="13" spans="1:18" s="7" customFormat="1" ht="15.5" x14ac:dyDescent="0.35">
      <c r="A13" s="1171" t="s">
        <v>756</v>
      </c>
      <c r="B13" s="333"/>
      <c r="C13" s="81"/>
      <c r="D13" s="81"/>
      <c r="E13" s="81"/>
      <c r="F13" s="81"/>
      <c r="G13" s="81"/>
      <c r="H13" s="97"/>
    </row>
    <row r="14" spans="1:18" s="7" customFormat="1" ht="15.5" x14ac:dyDescent="0.35">
      <c r="A14" s="1171" t="s">
        <v>757</v>
      </c>
      <c r="B14" s="333"/>
      <c r="C14" s="81"/>
      <c r="D14" s="81"/>
      <c r="E14" s="81"/>
      <c r="F14" s="81"/>
      <c r="G14" s="81"/>
      <c r="H14" s="97"/>
    </row>
    <row r="15" spans="1:18" s="7" customFormat="1" ht="15.5" x14ac:dyDescent="0.35">
      <c r="A15" s="1171" t="s">
        <v>758</v>
      </c>
      <c r="B15" s="333"/>
      <c r="C15" s="81"/>
      <c r="D15" s="81"/>
      <c r="E15" s="81"/>
      <c r="F15" s="81"/>
      <c r="G15" s="81"/>
      <c r="H15" s="97"/>
    </row>
    <row r="16" spans="1:18" s="7" customFormat="1" ht="15.75" customHeight="1" x14ac:dyDescent="0.3">
      <c r="A16" s="1172" t="s">
        <v>759</v>
      </c>
      <c r="B16" s="540"/>
      <c r="C16" s="540"/>
      <c r="D16" s="540"/>
      <c r="E16" s="540"/>
      <c r="F16" s="540"/>
      <c r="G16" s="540"/>
      <c r="H16" s="875"/>
    </row>
    <row r="17" spans="1:8" s="7" customFormat="1" ht="15.75" customHeight="1" x14ac:dyDescent="0.3">
      <c r="A17" s="1172" t="s">
        <v>760</v>
      </c>
      <c r="B17" s="540"/>
      <c r="C17" s="540"/>
      <c r="D17" s="540"/>
      <c r="E17" s="540"/>
      <c r="F17" s="540"/>
      <c r="G17" s="540"/>
      <c r="H17" s="875"/>
    </row>
    <row r="18" spans="1:8" s="7" customFormat="1" ht="15.5" x14ac:dyDescent="0.35">
      <c r="A18" s="1171" t="s">
        <v>761</v>
      </c>
      <c r="B18" s="333"/>
      <c r="C18" s="81"/>
      <c r="D18" s="81"/>
      <c r="E18" s="81"/>
      <c r="F18" s="81"/>
      <c r="G18" s="81"/>
      <c r="H18" s="97"/>
    </row>
    <row r="19" spans="1:8" s="7" customFormat="1" ht="15.5" x14ac:dyDescent="0.35">
      <c r="A19" s="1171" t="s">
        <v>762</v>
      </c>
      <c r="B19" s="333"/>
      <c r="C19" s="81"/>
      <c r="D19" s="81"/>
      <c r="E19" s="81"/>
      <c r="F19" s="81"/>
      <c r="G19" s="81"/>
      <c r="H19" s="97"/>
    </row>
    <row r="20" spans="1:8" s="7" customFormat="1" ht="15.5" x14ac:dyDescent="0.35">
      <c r="A20" s="1171" t="s">
        <v>763</v>
      </c>
      <c r="B20" s="333"/>
      <c r="C20" s="81"/>
      <c r="D20" s="81"/>
      <c r="E20" s="81"/>
      <c r="F20" s="81"/>
      <c r="G20" s="81"/>
      <c r="H20" s="97"/>
    </row>
    <row r="21" spans="1:8" s="7" customFormat="1" ht="15.5" x14ac:dyDescent="0.35">
      <c r="A21" s="1171" t="s">
        <v>764</v>
      </c>
      <c r="B21" s="333"/>
      <c r="C21" s="81"/>
      <c r="D21" s="81"/>
      <c r="E21" s="81"/>
      <c r="F21" s="81"/>
      <c r="G21" s="81"/>
      <c r="H21" s="97"/>
    </row>
    <row r="22" spans="1:8" s="7" customFormat="1" ht="15.5" x14ac:dyDescent="0.35">
      <c r="A22" s="1171" t="s">
        <v>765</v>
      </c>
      <c r="B22" s="333"/>
      <c r="C22" s="81"/>
      <c r="D22" s="81"/>
      <c r="E22" s="81"/>
      <c r="F22" s="81"/>
      <c r="G22" s="81"/>
      <c r="H22" s="97"/>
    </row>
    <row r="23" spans="1:8" s="7" customFormat="1" ht="15.5" x14ac:dyDescent="0.35">
      <c r="A23" s="1171" t="s">
        <v>766</v>
      </c>
      <c r="B23" s="81"/>
      <c r="C23" s="81"/>
      <c r="D23" s="81"/>
      <c r="E23" s="81"/>
      <c r="F23" s="81"/>
      <c r="G23" s="81"/>
      <c r="H23" s="97"/>
    </row>
    <row r="24" spans="1:8" s="7" customFormat="1" ht="15.75" customHeight="1" x14ac:dyDescent="0.35">
      <c r="A24" s="1172" t="s">
        <v>767</v>
      </c>
      <c r="B24" s="540"/>
      <c r="C24" s="540"/>
      <c r="D24" s="206"/>
      <c r="E24" s="206"/>
      <c r="F24" s="81"/>
      <c r="G24" s="81"/>
      <c r="H24" s="334"/>
    </row>
    <row r="25" spans="1:8" s="7" customFormat="1" ht="16" thickBot="1" x14ac:dyDescent="0.4">
      <c r="A25" s="182" t="s">
        <v>768</v>
      </c>
      <c r="B25" s="335"/>
      <c r="C25" s="100"/>
      <c r="D25" s="336"/>
      <c r="E25" s="336"/>
      <c r="F25" s="100"/>
      <c r="G25" s="100"/>
      <c r="H25" s="337"/>
    </row>
    <row r="26" spans="1:8" s="7" customFormat="1" ht="15.5" x14ac:dyDescent="0.35">
      <c r="A26" s="206"/>
      <c r="B26" s="333"/>
      <c r="C26" s="81"/>
      <c r="D26" s="206"/>
      <c r="E26" s="206"/>
      <c r="F26" s="81"/>
      <c r="G26" s="81"/>
    </row>
    <row r="27" spans="1:8" s="7" customFormat="1" ht="15.5" x14ac:dyDescent="0.3">
      <c r="A27" s="960" t="s">
        <v>769</v>
      </c>
      <c r="B27" s="959"/>
      <c r="C27" s="959"/>
      <c r="D27" s="959"/>
      <c r="E27" s="959"/>
      <c r="F27" s="959"/>
      <c r="G27" s="959"/>
      <c r="H27" s="959"/>
    </row>
    <row r="28" spans="1:8" s="7" customFormat="1" ht="15.5" x14ac:dyDescent="0.3">
      <c r="A28" s="959" t="s">
        <v>770</v>
      </c>
      <c r="B28" s="959"/>
      <c r="C28" s="959"/>
      <c r="D28" s="959"/>
      <c r="E28" s="959"/>
      <c r="F28" s="959"/>
      <c r="G28" s="959"/>
      <c r="H28" s="959"/>
    </row>
    <row r="29" spans="1:8" s="7" customFormat="1" ht="15.5" x14ac:dyDescent="0.3">
      <c r="A29" s="959" t="s">
        <v>771</v>
      </c>
      <c r="B29" s="959"/>
      <c r="C29" s="959"/>
      <c r="D29" s="959"/>
      <c r="E29" s="959"/>
      <c r="F29" s="959"/>
      <c r="G29" s="959"/>
      <c r="H29" s="959"/>
    </row>
    <row r="30" spans="1:8" s="7" customFormat="1" ht="15.5" x14ac:dyDescent="0.3">
      <c r="A30" s="959" t="s">
        <v>772</v>
      </c>
      <c r="B30" s="959"/>
      <c r="C30" s="959"/>
      <c r="D30" s="959"/>
      <c r="E30" s="959"/>
      <c r="F30" s="959"/>
      <c r="G30" s="959"/>
      <c r="H30" s="959"/>
    </row>
    <row r="31" spans="1:8" s="7" customFormat="1" ht="15.5" x14ac:dyDescent="0.3">
      <c r="A31" s="959" t="s">
        <v>773</v>
      </c>
      <c r="B31" s="959"/>
      <c r="C31" s="959"/>
      <c r="D31" s="959"/>
      <c r="E31" s="959"/>
      <c r="F31" s="959"/>
      <c r="G31" s="959"/>
      <c r="H31" s="959"/>
    </row>
    <row r="32" spans="1:8" s="7" customFormat="1" ht="15.5" x14ac:dyDescent="0.3">
      <c r="A32" s="959" t="s">
        <v>774</v>
      </c>
      <c r="B32" s="959"/>
      <c r="C32" s="959"/>
      <c r="D32" s="959"/>
      <c r="E32" s="959"/>
      <c r="F32" s="959"/>
      <c r="G32" s="959"/>
      <c r="H32" s="959"/>
    </row>
    <row r="33" spans="1:8" s="7" customFormat="1" ht="15.5" x14ac:dyDescent="0.3">
      <c r="A33" s="960" t="s">
        <v>775</v>
      </c>
      <c r="B33" s="959"/>
      <c r="C33" s="959"/>
      <c r="D33" s="959"/>
      <c r="E33" s="959"/>
      <c r="F33" s="959"/>
      <c r="G33" s="959"/>
      <c r="H33" s="959"/>
    </row>
    <row r="34" spans="1:8" s="7" customFormat="1" ht="15.5" x14ac:dyDescent="0.3">
      <c r="A34" s="959" t="s">
        <v>776</v>
      </c>
      <c r="B34" s="959"/>
      <c r="C34" s="959"/>
      <c r="D34" s="959"/>
      <c r="E34" s="959"/>
      <c r="F34" s="959"/>
      <c r="G34" s="959"/>
      <c r="H34" s="959"/>
    </row>
    <row r="35" spans="1:8" s="7" customFormat="1" ht="15.5" x14ac:dyDescent="0.3">
      <c r="A35" s="959" t="s">
        <v>777</v>
      </c>
      <c r="B35" s="959"/>
      <c r="C35" s="959"/>
      <c r="D35" s="959"/>
      <c r="E35" s="959"/>
      <c r="F35" s="959"/>
      <c r="G35" s="959"/>
      <c r="H35" s="959"/>
    </row>
    <row r="36" spans="1:8" s="7" customFormat="1" ht="15.5" x14ac:dyDescent="0.3">
      <c r="A36" s="959" t="s">
        <v>778</v>
      </c>
      <c r="B36" s="959"/>
      <c r="C36" s="959"/>
      <c r="D36" s="959"/>
      <c r="E36" s="959"/>
      <c r="F36" s="959"/>
      <c r="G36" s="959"/>
      <c r="H36" s="959"/>
    </row>
    <row r="37" spans="1:8" s="7" customFormat="1" ht="15.5" x14ac:dyDescent="0.3">
      <c r="A37" s="959" t="s">
        <v>779</v>
      </c>
      <c r="B37" s="959"/>
      <c r="C37" s="959"/>
      <c r="D37" s="959"/>
      <c r="E37" s="959"/>
      <c r="F37" s="959"/>
      <c r="G37" s="959"/>
      <c r="H37" s="959"/>
    </row>
    <row r="38" spans="1:8" s="7" customFormat="1" ht="15.5" x14ac:dyDescent="0.3">
      <c r="A38" s="959" t="s">
        <v>780</v>
      </c>
      <c r="B38" s="959"/>
      <c r="C38" s="959"/>
      <c r="D38" s="959"/>
      <c r="E38" s="959"/>
      <c r="F38" s="959"/>
      <c r="G38" s="959"/>
      <c r="H38" s="959"/>
    </row>
    <row r="39" spans="1:8" ht="14.5" thickBot="1" x14ac:dyDescent="0.35"/>
    <row r="40" spans="1:8" s="339" customFormat="1" ht="18" thickBot="1" x14ac:dyDescent="0.5">
      <c r="A40" s="340" t="s">
        <v>78</v>
      </c>
      <c r="B40" s="340" t="s">
        <v>781</v>
      </c>
      <c r="C40" s="340" t="s">
        <v>782</v>
      </c>
      <c r="D40" s="340" t="s">
        <v>783</v>
      </c>
      <c r="F40" s="340" t="s">
        <v>784</v>
      </c>
      <c r="G40" s="341" t="s">
        <v>785</v>
      </c>
    </row>
    <row r="41" spans="1:8" s="339" customFormat="1" ht="15.5" x14ac:dyDescent="0.35">
      <c r="A41" s="1152" t="s">
        <v>786</v>
      </c>
      <c r="B41" s="1153">
        <v>2015</v>
      </c>
      <c r="C41" s="1154" t="s">
        <v>787</v>
      </c>
      <c r="D41" s="1167">
        <v>501.5527515086626</v>
      </c>
      <c r="F41" s="342" t="s">
        <v>786</v>
      </c>
      <c r="G41" s="343" t="s">
        <v>788</v>
      </c>
    </row>
    <row r="42" spans="1:8" s="339" customFormat="1" ht="15.5" x14ac:dyDescent="0.35">
      <c r="A42" s="1155" t="s">
        <v>786</v>
      </c>
      <c r="B42" s="1156">
        <v>2016</v>
      </c>
      <c r="C42" s="1157" t="s">
        <v>789</v>
      </c>
      <c r="D42" s="1168">
        <v>489.7556414019993</v>
      </c>
      <c r="F42" s="344" t="s">
        <v>790</v>
      </c>
      <c r="G42" s="345" t="s">
        <v>791</v>
      </c>
    </row>
    <row r="43" spans="1:8" s="339" customFormat="1" ht="15.5" x14ac:dyDescent="0.35">
      <c r="A43" s="1158" t="s">
        <v>786</v>
      </c>
      <c r="B43" s="1159">
        <v>2017</v>
      </c>
      <c r="C43" s="1159" t="str">
        <f t="shared" ref="C43:C76" si="0">CONCATENATE(A43,"_",B43)</f>
        <v>Alameda_2017</v>
      </c>
      <c r="D43" s="1169">
        <v>485.22409384735869</v>
      </c>
      <c r="F43" s="344" t="s">
        <v>792</v>
      </c>
      <c r="G43" s="345" t="s">
        <v>793</v>
      </c>
    </row>
    <row r="44" spans="1:8" s="339" customFormat="1" ht="15.5" x14ac:dyDescent="0.35">
      <c r="A44" s="1158" t="s">
        <v>786</v>
      </c>
      <c r="B44" s="1159">
        <v>2018</v>
      </c>
      <c r="C44" s="1159" t="str">
        <f t="shared" si="0"/>
        <v>Alameda_2018</v>
      </c>
      <c r="D44" s="1169">
        <v>479.54930741843788</v>
      </c>
      <c r="F44" s="344" t="s">
        <v>794</v>
      </c>
      <c r="G44" s="345" t="s">
        <v>795</v>
      </c>
    </row>
    <row r="45" spans="1:8" s="339" customFormat="1" ht="15.5" x14ac:dyDescent="0.35">
      <c r="A45" s="1158" t="s">
        <v>786</v>
      </c>
      <c r="B45" s="1159">
        <v>2019</v>
      </c>
      <c r="C45" s="1159" t="str">
        <f t="shared" si="0"/>
        <v>Alameda_2019</v>
      </c>
      <c r="D45" s="1169">
        <v>473.22832932654512</v>
      </c>
      <c r="F45" s="344" t="s">
        <v>796</v>
      </c>
      <c r="G45" s="345" t="s">
        <v>797</v>
      </c>
    </row>
    <row r="46" spans="1:8" s="339" customFormat="1" ht="15.5" x14ac:dyDescent="0.35">
      <c r="A46" s="1158" t="s">
        <v>786</v>
      </c>
      <c r="B46" s="1159">
        <v>2020</v>
      </c>
      <c r="C46" s="1159" t="str">
        <f t="shared" si="0"/>
        <v>Alameda_2020</v>
      </c>
      <c r="D46" s="1169">
        <v>470.3732915288561</v>
      </c>
      <c r="F46" s="344" t="s">
        <v>798</v>
      </c>
      <c r="G46" s="345" t="s">
        <v>799</v>
      </c>
    </row>
    <row r="47" spans="1:8" s="339" customFormat="1" ht="15.5" x14ac:dyDescent="0.35">
      <c r="A47" s="1158" t="s">
        <v>786</v>
      </c>
      <c r="B47" s="1159">
        <v>2021</v>
      </c>
      <c r="C47" s="1159" t="str">
        <f t="shared" si="0"/>
        <v>Alameda_2021</v>
      </c>
      <c r="D47" s="1169">
        <v>460.50497554652975</v>
      </c>
      <c r="F47" s="344" t="s">
        <v>800</v>
      </c>
      <c r="G47" s="345" t="s">
        <v>801</v>
      </c>
    </row>
    <row r="48" spans="1:8" s="339" customFormat="1" ht="15.5" x14ac:dyDescent="0.35">
      <c r="A48" s="1158" t="s">
        <v>786</v>
      </c>
      <c r="B48" s="1159">
        <v>2022</v>
      </c>
      <c r="C48" s="1159" t="str">
        <f t="shared" si="0"/>
        <v>Alameda_2022</v>
      </c>
      <c r="D48" s="1169">
        <v>452.67344024055558</v>
      </c>
      <c r="F48" s="344" t="s">
        <v>802</v>
      </c>
      <c r="G48" s="345" t="s">
        <v>803</v>
      </c>
    </row>
    <row r="49" spans="1:7" s="339" customFormat="1" ht="15.5" x14ac:dyDescent="0.35">
      <c r="A49" s="1158" t="s">
        <v>786</v>
      </c>
      <c r="B49" s="1159">
        <v>2023</v>
      </c>
      <c r="C49" s="1159" t="str">
        <f t="shared" si="0"/>
        <v>Alameda_2023</v>
      </c>
      <c r="D49" s="1169">
        <v>444.35434951038638</v>
      </c>
      <c r="F49" s="344" t="s">
        <v>804</v>
      </c>
      <c r="G49" s="345" t="s">
        <v>805</v>
      </c>
    </row>
    <row r="50" spans="1:7" s="339" customFormat="1" ht="15.5" x14ac:dyDescent="0.35">
      <c r="A50" s="1158" t="s">
        <v>786</v>
      </c>
      <c r="B50" s="1159">
        <v>2024</v>
      </c>
      <c r="C50" s="1159" t="str">
        <f t="shared" si="0"/>
        <v>Alameda_2024</v>
      </c>
      <c r="D50" s="1169">
        <v>435.62115528502244</v>
      </c>
      <c r="F50" s="344" t="s">
        <v>806</v>
      </c>
      <c r="G50" s="345" t="s">
        <v>807</v>
      </c>
    </row>
    <row r="51" spans="1:7" s="339" customFormat="1" ht="15.5" x14ac:dyDescent="0.35">
      <c r="A51" s="1158" t="s">
        <v>786</v>
      </c>
      <c r="B51" s="1159">
        <v>2025</v>
      </c>
      <c r="C51" s="1159" t="str">
        <f t="shared" si="0"/>
        <v>Alameda_2025</v>
      </c>
      <c r="D51" s="1169">
        <v>426.51143166279365</v>
      </c>
      <c r="F51" s="344" t="s">
        <v>808</v>
      </c>
      <c r="G51" s="345" t="s">
        <v>809</v>
      </c>
    </row>
    <row r="52" spans="1:7" s="339" customFormat="1" ht="15.5" x14ac:dyDescent="0.35">
      <c r="A52" s="1158" t="s">
        <v>786</v>
      </c>
      <c r="B52" s="1159">
        <v>2026</v>
      </c>
      <c r="C52" s="1159" t="str">
        <f t="shared" si="0"/>
        <v>Alameda_2026</v>
      </c>
      <c r="D52" s="1169">
        <v>417.64806472523583</v>
      </c>
      <c r="F52" s="344" t="s">
        <v>810</v>
      </c>
      <c r="G52" s="345" t="s">
        <v>811</v>
      </c>
    </row>
    <row r="53" spans="1:7" s="339" customFormat="1" ht="15.5" x14ac:dyDescent="0.35">
      <c r="A53" s="1158" t="s">
        <v>786</v>
      </c>
      <c r="B53" s="1159">
        <v>2027</v>
      </c>
      <c r="C53" s="1159" t="str">
        <f t="shared" si="0"/>
        <v>Alameda_2027</v>
      </c>
      <c r="D53" s="1169">
        <v>409.36784272692239</v>
      </c>
      <c r="F53" s="344" t="s">
        <v>812</v>
      </c>
      <c r="G53" s="345" t="s">
        <v>813</v>
      </c>
    </row>
    <row r="54" spans="1:7" s="339" customFormat="1" ht="15.5" x14ac:dyDescent="0.35">
      <c r="A54" s="1158" t="s">
        <v>786</v>
      </c>
      <c r="B54" s="1159">
        <v>2028</v>
      </c>
      <c r="C54" s="1159" t="str">
        <f t="shared" si="0"/>
        <v>Alameda_2028</v>
      </c>
      <c r="D54" s="1169">
        <v>401.77182477292996</v>
      </c>
      <c r="F54" s="344" t="s">
        <v>814</v>
      </c>
      <c r="G54" s="345" t="s">
        <v>815</v>
      </c>
    </row>
    <row r="55" spans="1:7" s="339" customFormat="1" ht="16" thickBot="1" x14ac:dyDescent="0.4">
      <c r="A55" s="1158" t="s">
        <v>786</v>
      </c>
      <c r="B55" s="1159">
        <v>2029</v>
      </c>
      <c r="C55" s="1159" t="str">
        <f t="shared" si="0"/>
        <v>Alameda_2029</v>
      </c>
      <c r="D55" s="1169">
        <v>394.83796410795162</v>
      </c>
      <c r="F55" s="344" t="s">
        <v>816</v>
      </c>
      <c r="G55" s="346" t="s">
        <v>817</v>
      </c>
    </row>
    <row r="56" spans="1:7" s="339" customFormat="1" ht="15.5" x14ac:dyDescent="0.35">
      <c r="A56" s="1158" t="s">
        <v>786</v>
      </c>
      <c r="B56" s="1159">
        <v>2030</v>
      </c>
      <c r="C56" s="1159" t="str">
        <f t="shared" si="0"/>
        <v>Alameda_2030</v>
      </c>
      <c r="D56" s="1169">
        <v>388.55026050702884</v>
      </c>
      <c r="F56" s="344" t="s">
        <v>818</v>
      </c>
    </row>
    <row r="57" spans="1:7" s="339" customFormat="1" ht="15.5" x14ac:dyDescent="0.35">
      <c r="A57" s="1158" t="s">
        <v>786</v>
      </c>
      <c r="B57" s="1159">
        <v>2031</v>
      </c>
      <c r="C57" s="1159" t="str">
        <f t="shared" si="0"/>
        <v>Alameda_2031</v>
      </c>
      <c r="D57" s="1169">
        <v>383.44748426180581</v>
      </c>
      <c r="F57" s="344" t="s">
        <v>819</v>
      </c>
    </row>
    <row r="58" spans="1:7" s="339" customFormat="1" ht="15.5" x14ac:dyDescent="0.35">
      <c r="A58" s="1158" t="s">
        <v>786</v>
      </c>
      <c r="B58" s="1159">
        <v>2032</v>
      </c>
      <c r="C58" s="1159" t="str">
        <f t="shared" si="0"/>
        <v>Alameda_2032</v>
      </c>
      <c r="D58" s="1169">
        <v>378.31288243902895</v>
      </c>
      <c r="F58" s="344" t="s">
        <v>820</v>
      </c>
    </row>
    <row r="59" spans="1:7" s="339" customFormat="1" ht="15.5" x14ac:dyDescent="0.35">
      <c r="A59" s="1158" t="s">
        <v>786</v>
      </c>
      <c r="B59" s="1159">
        <v>2033</v>
      </c>
      <c r="C59" s="1159" t="str">
        <f t="shared" si="0"/>
        <v>Alameda_2033</v>
      </c>
      <c r="D59" s="1169">
        <v>373.7237455293822</v>
      </c>
      <c r="F59" s="344" t="s">
        <v>821</v>
      </c>
    </row>
    <row r="60" spans="1:7" s="339" customFormat="1" ht="15.5" x14ac:dyDescent="0.35">
      <c r="A60" s="1158" t="s">
        <v>786</v>
      </c>
      <c r="B60" s="1159">
        <v>2034</v>
      </c>
      <c r="C60" s="1159" t="str">
        <f t="shared" si="0"/>
        <v>Alameda_2034</v>
      </c>
      <c r="D60" s="1169">
        <v>369.64264794847264</v>
      </c>
      <c r="F60" s="344" t="s">
        <v>822</v>
      </c>
    </row>
    <row r="61" spans="1:7" s="339" customFormat="1" ht="15.5" x14ac:dyDescent="0.35">
      <c r="A61" s="1158" t="s">
        <v>786</v>
      </c>
      <c r="B61" s="1159">
        <v>2035</v>
      </c>
      <c r="C61" s="1159" t="str">
        <f t="shared" si="0"/>
        <v>Alameda_2035</v>
      </c>
      <c r="D61" s="1169">
        <v>366.05000086476349</v>
      </c>
      <c r="F61" s="344" t="s">
        <v>823</v>
      </c>
    </row>
    <row r="62" spans="1:7" s="339" customFormat="1" ht="15.5" x14ac:dyDescent="0.35">
      <c r="A62" s="1158" t="s">
        <v>786</v>
      </c>
      <c r="B62" s="1159">
        <v>2036</v>
      </c>
      <c r="C62" s="1159" t="str">
        <f t="shared" si="0"/>
        <v>Alameda_2036</v>
      </c>
      <c r="D62" s="1169">
        <v>362.920206099643</v>
      </c>
      <c r="F62" s="344" t="s">
        <v>824</v>
      </c>
    </row>
    <row r="63" spans="1:7" s="339" customFormat="1" ht="15.5" x14ac:dyDescent="0.35">
      <c r="A63" s="1158" t="s">
        <v>786</v>
      </c>
      <c r="B63" s="1159">
        <v>2037</v>
      </c>
      <c r="C63" s="1159" t="str">
        <f t="shared" si="0"/>
        <v>Alameda_2037</v>
      </c>
      <c r="D63" s="1169">
        <v>360.21931555684813</v>
      </c>
      <c r="F63" s="344" t="s">
        <v>825</v>
      </c>
    </row>
    <row r="64" spans="1:7" s="339" customFormat="1" ht="15.5" x14ac:dyDescent="0.35">
      <c r="A64" s="1158" t="s">
        <v>786</v>
      </c>
      <c r="B64" s="1159">
        <v>2038</v>
      </c>
      <c r="C64" s="1159" t="str">
        <f t="shared" si="0"/>
        <v>Alameda_2038</v>
      </c>
      <c r="D64" s="1169">
        <v>357.9177392871033</v>
      </c>
      <c r="F64" s="344" t="s">
        <v>826</v>
      </c>
    </row>
    <row r="65" spans="1:6" s="339" customFormat="1" ht="15.5" x14ac:dyDescent="0.35">
      <c r="A65" s="1158" t="s">
        <v>786</v>
      </c>
      <c r="B65" s="1159">
        <v>2039</v>
      </c>
      <c r="C65" s="1159" t="str">
        <f t="shared" si="0"/>
        <v>Alameda_2039</v>
      </c>
      <c r="D65" s="1169">
        <v>355.9734233626998</v>
      </c>
      <c r="F65" s="344" t="s">
        <v>827</v>
      </c>
    </row>
    <row r="66" spans="1:6" s="339" customFormat="1" ht="15.5" x14ac:dyDescent="0.35">
      <c r="A66" s="1158" t="s">
        <v>786</v>
      </c>
      <c r="B66" s="1159">
        <v>2040</v>
      </c>
      <c r="C66" s="1159" t="str">
        <f t="shared" si="0"/>
        <v>Alameda_2040</v>
      </c>
      <c r="D66" s="1169">
        <v>354.34628110411137</v>
      </c>
      <c r="F66" s="344" t="s">
        <v>828</v>
      </c>
    </row>
    <row r="67" spans="1:6" s="339" customFormat="1" ht="15.5" x14ac:dyDescent="0.35">
      <c r="A67" s="1158" t="s">
        <v>786</v>
      </c>
      <c r="B67" s="1159">
        <v>2041</v>
      </c>
      <c r="C67" s="1159" t="str">
        <f t="shared" si="0"/>
        <v>Alameda_2041</v>
      </c>
      <c r="D67" s="1169">
        <v>353.00065496530476</v>
      </c>
      <c r="F67" s="344" t="s">
        <v>829</v>
      </c>
    </row>
    <row r="68" spans="1:6" s="339" customFormat="1" ht="15.5" x14ac:dyDescent="0.35">
      <c r="A68" s="1158" t="s">
        <v>786</v>
      </c>
      <c r="B68" s="1159">
        <v>2042</v>
      </c>
      <c r="C68" s="1159" t="str">
        <f t="shared" si="0"/>
        <v>Alameda_2042</v>
      </c>
      <c r="D68" s="1169">
        <v>351.87472689797784</v>
      </c>
      <c r="F68" s="344" t="s">
        <v>830</v>
      </c>
    </row>
    <row r="69" spans="1:6" s="339" customFormat="1" ht="15.5" x14ac:dyDescent="0.35">
      <c r="A69" s="1158" t="s">
        <v>786</v>
      </c>
      <c r="B69" s="1159">
        <v>2043</v>
      </c>
      <c r="C69" s="1159" t="str">
        <f t="shared" si="0"/>
        <v>Alameda_2043</v>
      </c>
      <c r="D69" s="1169">
        <v>350.94759274382733</v>
      </c>
      <c r="F69" s="344" t="s">
        <v>831</v>
      </c>
    </row>
    <row r="70" spans="1:6" s="339" customFormat="1" ht="15.5" x14ac:dyDescent="0.35">
      <c r="A70" s="1158" t="s">
        <v>786</v>
      </c>
      <c r="B70" s="1159">
        <v>2044</v>
      </c>
      <c r="C70" s="1159" t="str">
        <f t="shared" si="0"/>
        <v>Alameda_2044</v>
      </c>
      <c r="D70" s="1169">
        <v>350.18133079166404</v>
      </c>
      <c r="F70" s="344" t="s">
        <v>832</v>
      </c>
    </row>
    <row r="71" spans="1:6" s="339" customFormat="1" ht="15.5" x14ac:dyDescent="0.35">
      <c r="A71" s="1158" t="s">
        <v>786</v>
      </c>
      <c r="B71" s="1159">
        <v>2045</v>
      </c>
      <c r="C71" s="1159" t="str">
        <f t="shared" si="0"/>
        <v>Alameda_2045</v>
      </c>
      <c r="D71" s="1169">
        <v>349.53123077281282</v>
      </c>
      <c r="F71" s="344" t="s">
        <v>833</v>
      </c>
    </row>
    <row r="72" spans="1:6" s="339" customFormat="1" ht="15.5" x14ac:dyDescent="0.35">
      <c r="A72" s="1158" t="s">
        <v>786</v>
      </c>
      <c r="B72" s="1159">
        <v>2046</v>
      </c>
      <c r="C72" s="1159" t="str">
        <f t="shared" si="0"/>
        <v>Alameda_2046</v>
      </c>
      <c r="D72" s="1169">
        <v>348.99348250530142</v>
      </c>
      <c r="F72" s="344" t="s">
        <v>834</v>
      </c>
    </row>
    <row r="73" spans="1:6" s="339" customFormat="1" ht="15.5" x14ac:dyDescent="0.35">
      <c r="A73" s="1158" t="s">
        <v>786</v>
      </c>
      <c r="B73" s="1159">
        <v>2047</v>
      </c>
      <c r="C73" s="1159" t="str">
        <f t="shared" si="0"/>
        <v>Alameda_2047</v>
      </c>
      <c r="D73" s="1169">
        <v>348.55519122784204</v>
      </c>
      <c r="F73" s="344" t="s">
        <v>835</v>
      </c>
    </row>
    <row r="74" spans="1:6" s="339" customFormat="1" ht="15.5" x14ac:dyDescent="0.35">
      <c r="A74" s="1158" t="s">
        <v>786</v>
      </c>
      <c r="B74" s="1159">
        <v>2048</v>
      </c>
      <c r="C74" s="1159" t="str">
        <f t="shared" si="0"/>
        <v>Alameda_2048</v>
      </c>
      <c r="D74" s="1169">
        <v>348.19077374215493</v>
      </c>
      <c r="F74" s="344" t="s">
        <v>836</v>
      </c>
    </row>
    <row r="75" spans="1:6" s="339" customFormat="1" ht="15.5" x14ac:dyDescent="0.35">
      <c r="A75" s="1158" t="s">
        <v>786</v>
      </c>
      <c r="B75" s="1159">
        <v>2049</v>
      </c>
      <c r="C75" s="1159" t="str">
        <f t="shared" si="0"/>
        <v>Alameda_2049</v>
      </c>
      <c r="D75" s="1169">
        <v>347.88970707862052</v>
      </c>
      <c r="F75" s="344" t="s">
        <v>837</v>
      </c>
    </row>
    <row r="76" spans="1:6" s="339" customFormat="1" ht="15.5" x14ac:dyDescent="0.35">
      <c r="A76" s="1158" t="s">
        <v>786</v>
      </c>
      <c r="B76" s="1159">
        <v>2050</v>
      </c>
      <c r="C76" s="1159" t="str">
        <f t="shared" si="0"/>
        <v>Alameda_2050</v>
      </c>
      <c r="D76" s="1169">
        <v>347.64952378073934</v>
      </c>
      <c r="F76" s="344" t="s">
        <v>838</v>
      </c>
    </row>
    <row r="77" spans="1:6" s="339" customFormat="1" ht="15.5" x14ac:dyDescent="0.35">
      <c r="A77" s="1155" t="s">
        <v>790</v>
      </c>
      <c r="B77" s="1156">
        <v>2015</v>
      </c>
      <c r="C77" s="1157" t="s">
        <v>839</v>
      </c>
      <c r="D77" s="1168">
        <v>505.2425739035171</v>
      </c>
      <c r="F77" s="344" t="s">
        <v>840</v>
      </c>
    </row>
    <row r="78" spans="1:6" s="339" customFormat="1" ht="15.5" x14ac:dyDescent="0.35">
      <c r="A78" s="1155" t="s">
        <v>790</v>
      </c>
      <c r="B78" s="1156">
        <v>2016</v>
      </c>
      <c r="C78" s="1157" t="s">
        <v>841</v>
      </c>
      <c r="D78" s="1168">
        <v>493.96357030667741</v>
      </c>
      <c r="F78" s="344" t="s">
        <v>842</v>
      </c>
    </row>
    <row r="79" spans="1:6" s="339" customFormat="1" ht="15.5" x14ac:dyDescent="0.35">
      <c r="A79" s="1158" t="s">
        <v>790</v>
      </c>
      <c r="B79" s="1159">
        <v>2017</v>
      </c>
      <c r="C79" s="1159" t="str">
        <f t="shared" ref="C79:C112" si="1">CONCATENATE(A79,"_",B79)</f>
        <v>Alpine_2017</v>
      </c>
      <c r="D79" s="1169">
        <v>489.76856001901206</v>
      </c>
      <c r="F79" s="344" t="s">
        <v>843</v>
      </c>
    </row>
    <row r="80" spans="1:6" s="339" customFormat="1" ht="15.5" x14ac:dyDescent="0.35">
      <c r="A80" s="1158" t="s">
        <v>790</v>
      </c>
      <c r="B80" s="1159">
        <v>2018</v>
      </c>
      <c r="C80" s="1159" t="str">
        <f t="shared" si="1"/>
        <v>Alpine_2018</v>
      </c>
      <c r="D80" s="1169">
        <v>484.15113163764335</v>
      </c>
      <c r="F80" s="344" t="s">
        <v>844</v>
      </c>
    </row>
    <row r="81" spans="1:6" s="339" customFormat="1" ht="15.5" x14ac:dyDescent="0.35">
      <c r="A81" s="1158" t="s">
        <v>790</v>
      </c>
      <c r="B81" s="1159">
        <v>2019</v>
      </c>
      <c r="C81" s="1159" t="str">
        <f t="shared" si="1"/>
        <v>Alpine_2019</v>
      </c>
      <c r="D81" s="1169">
        <v>477.30350680524003</v>
      </c>
      <c r="F81" s="344" t="s">
        <v>845</v>
      </c>
    </row>
    <row r="82" spans="1:6" s="339" customFormat="1" ht="15.5" x14ac:dyDescent="0.35">
      <c r="A82" s="1158" t="s">
        <v>790</v>
      </c>
      <c r="B82" s="1159">
        <v>2020</v>
      </c>
      <c r="C82" s="1159" t="str">
        <f t="shared" si="1"/>
        <v>Alpine_2020</v>
      </c>
      <c r="D82" s="1169">
        <v>472.966397160376</v>
      </c>
      <c r="F82" s="344" t="s">
        <v>846</v>
      </c>
    </row>
    <row r="83" spans="1:6" s="339" customFormat="1" ht="15.5" x14ac:dyDescent="0.35">
      <c r="A83" s="1158" t="s">
        <v>790</v>
      </c>
      <c r="B83" s="1159">
        <v>2021</v>
      </c>
      <c r="C83" s="1159" t="str">
        <f t="shared" si="1"/>
        <v>Alpine_2021</v>
      </c>
      <c r="D83" s="1169">
        <v>463.64157361324891</v>
      </c>
      <c r="F83" s="344" t="s">
        <v>847</v>
      </c>
    </row>
    <row r="84" spans="1:6" s="339" customFormat="1" ht="15.5" x14ac:dyDescent="0.35">
      <c r="A84" s="1158" t="s">
        <v>790</v>
      </c>
      <c r="B84" s="1159">
        <v>2022</v>
      </c>
      <c r="C84" s="1159" t="str">
        <f t="shared" si="1"/>
        <v>Alpine_2022</v>
      </c>
      <c r="D84" s="1169">
        <v>455.21871731030649</v>
      </c>
      <c r="F84" s="344" t="s">
        <v>848</v>
      </c>
    </row>
    <row r="85" spans="1:6" s="339" customFormat="1" ht="15.5" x14ac:dyDescent="0.35">
      <c r="A85" s="1158" t="s">
        <v>790</v>
      </c>
      <c r="B85" s="1159">
        <v>2023</v>
      </c>
      <c r="C85" s="1159" t="str">
        <f t="shared" si="1"/>
        <v>Alpine_2023</v>
      </c>
      <c r="D85" s="1169">
        <v>446.30450234548249</v>
      </c>
      <c r="F85" s="344" t="s">
        <v>849</v>
      </c>
    </row>
    <row r="86" spans="1:6" s="339" customFormat="1" ht="15.5" x14ac:dyDescent="0.35">
      <c r="A86" s="1158" t="s">
        <v>790</v>
      </c>
      <c r="B86" s="1159">
        <v>2024</v>
      </c>
      <c r="C86" s="1159" t="str">
        <f t="shared" si="1"/>
        <v>Alpine_2024</v>
      </c>
      <c r="D86" s="1169">
        <v>437.04962518151518</v>
      </c>
      <c r="F86" s="344" t="s">
        <v>850</v>
      </c>
    </row>
    <row r="87" spans="1:6" s="339" customFormat="1" ht="15.5" x14ac:dyDescent="0.35">
      <c r="A87" s="1158" t="s">
        <v>790</v>
      </c>
      <c r="B87" s="1159">
        <v>2025</v>
      </c>
      <c r="C87" s="1159" t="str">
        <f t="shared" si="1"/>
        <v>Alpine_2025</v>
      </c>
      <c r="D87" s="1169">
        <v>427.51436223042157</v>
      </c>
      <c r="F87" s="344" t="s">
        <v>851</v>
      </c>
    </row>
    <row r="88" spans="1:6" s="339" customFormat="1" ht="15.5" x14ac:dyDescent="0.35">
      <c r="A88" s="1158" t="s">
        <v>790</v>
      </c>
      <c r="B88" s="1159">
        <v>2026</v>
      </c>
      <c r="C88" s="1159" t="str">
        <f t="shared" si="1"/>
        <v>Alpine_2026</v>
      </c>
      <c r="D88" s="1169">
        <v>418.29110590883403</v>
      </c>
      <c r="F88" s="344" t="s">
        <v>852</v>
      </c>
    </row>
    <row r="89" spans="1:6" s="339" customFormat="1" ht="15.5" x14ac:dyDescent="0.35">
      <c r="A89" s="1158" t="s">
        <v>790</v>
      </c>
      <c r="B89" s="1159">
        <v>2027</v>
      </c>
      <c r="C89" s="1159" t="str">
        <f t="shared" si="1"/>
        <v>Alpine_2027</v>
      </c>
      <c r="D89" s="1169">
        <v>409.72147266514793</v>
      </c>
      <c r="F89" s="344" t="s">
        <v>853</v>
      </c>
    </row>
    <row r="90" spans="1:6" s="339" customFormat="1" ht="15.5" x14ac:dyDescent="0.35">
      <c r="A90" s="1158" t="s">
        <v>790</v>
      </c>
      <c r="B90" s="1159">
        <v>2028</v>
      </c>
      <c r="C90" s="1159" t="str">
        <f t="shared" si="1"/>
        <v>Alpine_2028</v>
      </c>
      <c r="D90" s="1169">
        <v>401.8294309337636</v>
      </c>
      <c r="F90" s="344" t="s">
        <v>854</v>
      </c>
    </row>
    <row r="91" spans="1:6" s="339" customFormat="1" ht="15.5" x14ac:dyDescent="0.35">
      <c r="A91" s="1158" t="s">
        <v>790</v>
      </c>
      <c r="B91" s="1159">
        <v>2029</v>
      </c>
      <c r="C91" s="1159" t="str">
        <f t="shared" si="1"/>
        <v>Alpine_2029</v>
      </c>
      <c r="D91" s="1169">
        <v>394.59584048537471</v>
      </c>
      <c r="F91" s="344" t="s">
        <v>855</v>
      </c>
    </row>
    <row r="92" spans="1:6" s="339" customFormat="1" ht="15.5" x14ac:dyDescent="0.35">
      <c r="A92" s="1158" t="s">
        <v>790</v>
      </c>
      <c r="B92" s="1159">
        <v>2030</v>
      </c>
      <c r="C92" s="1159" t="str">
        <f t="shared" si="1"/>
        <v>Alpine_2030</v>
      </c>
      <c r="D92" s="1169">
        <v>388.05075475348082</v>
      </c>
      <c r="F92" s="344" t="s">
        <v>856</v>
      </c>
    </row>
    <row r="93" spans="1:6" s="339" customFormat="1" ht="15.5" x14ac:dyDescent="0.35">
      <c r="A93" s="1158" t="s">
        <v>790</v>
      </c>
      <c r="B93" s="1159">
        <v>2031</v>
      </c>
      <c r="C93" s="1159" t="str">
        <f t="shared" si="1"/>
        <v>Alpine_2031</v>
      </c>
      <c r="D93" s="1169">
        <v>382.1318214385193</v>
      </c>
      <c r="F93" s="344" t="s">
        <v>857</v>
      </c>
    </row>
    <row r="94" spans="1:6" s="339" customFormat="1" ht="15.5" x14ac:dyDescent="0.35">
      <c r="A94" s="1158" t="s">
        <v>790</v>
      </c>
      <c r="B94" s="1159">
        <v>2032</v>
      </c>
      <c r="C94" s="1159" t="str">
        <f t="shared" si="1"/>
        <v>Alpine_2032</v>
      </c>
      <c r="D94" s="1169">
        <v>376.82532211542883</v>
      </c>
      <c r="F94" s="344" t="s">
        <v>858</v>
      </c>
    </row>
    <row r="95" spans="1:6" s="339" customFormat="1" ht="15.5" x14ac:dyDescent="0.35">
      <c r="A95" s="1158" t="s">
        <v>790</v>
      </c>
      <c r="B95" s="1159">
        <v>2033</v>
      </c>
      <c r="C95" s="1159" t="str">
        <f t="shared" si="1"/>
        <v>Alpine_2033</v>
      </c>
      <c r="D95" s="1169">
        <v>372.04887562318874</v>
      </c>
      <c r="F95" s="344" t="s">
        <v>859</v>
      </c>
    </row>
    <row r="96" spans="1:6" s="339" customFormat="1" ht="15.5" x14ac:dyDescent="0.35">
      <c r="A96" s="1158" t="s">
        <v>790</v>
      </c>
      <c r="B96" s="1159">
        <v>2034</v>
      </c>
      <c r="C96" s="1159" t="str">
        <f t="shared" si="1"/>
        <v>Alpine_2034</v>
      </c>
      <c r="D96" s="1169">
        <v>367.78266650113136</v>
      </c>
      <c r="F96" s="344" t="s">
        <v>860</v>
      </c>
    </row>
    <row r="97" spans="1:6" s="339" customFormat="1" ht="15.5" x14ac:dyDescent="0.35">
      <c r="A97" s="1158" t="s">
        <v>790</v>
      </c>
      <c r="B97" s="1159">
        <v>2035</v>
      </c>
      <c r="C97" s="1159" t="str">
        <f t="shared" si="1"/>
        <v>Alpine_2035</v>
      </c>
      <c r="D97" s="1169">
        <v>364.03028722219869</v>
      </c>
      <c r="F97" s="344" t="s">
        <v>861</v>
      </c>
    </row>
    <row r="98" spans="1:6" s="339" customFormat="1" ht="16" thickBot="1" x14ac:dyDescent="0.4">
      <c r="A98" s="1158" t="s">
        <v>790</v>
      </c>
      <c r="B98" s="1159">
        <v>2036</v>
      </c>
      <c r="C98" s="1159" t="str">
        <f t="shared" si="1"/>
        <v>Alpine_2036</v>
      </c>
      <c r="D98" s="1169">
        <v>360.75008583814179</v>
      </c>
      <c r="F98" s="347" t="s">
        <v>862</v>
      </c>
    </row>
    <row r="99" spans="1:6" s="339" customFormat="1" ht="15.5" x14ac:dyDescent="0.35">
      <c r="A99" s="1158" t="s">
        <v>790</v>
      </c>
      <c r="B99" s="1159">
        <v>2037</v>
      </c>
      <c r="C99" s="1159" t="str">
        <f t="shared" si="1"/>
        <v>Alpine_2037</v>
      </c>
      <c r="D99" s="1169">
        <v>357.87157770026545</v>
      </c>
    </row>
    <row r="100" spans="1:6" s="339" customFormat="1" ht="15.5" x14ac:dyDescent="0.35">
      <c r="A100" s="1158" t="s">
        <v>790</v>
      </c>
      <c r="B100" s="1159">
        <v>2038</v>
      </c>
      <c r="C100" s="1159" t="str">
        <f t="shared" si="1"/>
        <v>Alpine_2038</v>
      </c>
      <c r="D100" s="1169">
        <v>355.47684901837465</v>
      </c>
    </row>
    <row r="101" spans="1:6" s="339" customFormat="1" ht="15.5" x14ac:dyDescent="0.35">
      <c r="A101" s="1158" t="s">
        <v>790</v>
      </c>
      <c r="B101" s="1159">
        <v>2039</v>
      </c>
      <c r="C101" s="1159" t="str">
        <f t="shared" si="1"/>
        <v>Alpine_2039</v>
      </c>
      <c r="D101" s="1169">
        <v>353.43250960254113</v>
      </c>
    </row>
    <row r="102" spans="1:6" s="339" customFormat="1" ht="15.5" x14ac:dyDescent="0.35">
      <c r="A102" s="1158" t="s">
        <v>790</v>
      </c>
      <c r="B102" s="1159">
        <v>2040</v>
      </c>
      <c r="C102" s="1159" t="str">
        <f t="shared" si="1"/>
        <v>Alpine_2040</v>
      </c>
      <c r="D102" s="1169">
        <v>351.68274154430281</v>
      </c>
    </row>
    <row r="103" spans="1:6" s="339" customFormat="1" ht="15.5" x14ac:dyDescent="0.35">
      <c r="A103" s="1158" t="s">
        <v>790</v>
      </c>
      <c r="B103" s="1159">
        <v>2041</v>
      </c>
      <c r="C103" s="1159" t="str">
        <f t="shared" si="1"/>
        <v>Alpine_2041</v>
      </c>
      <c r="D103" s="1169">
        <v>350.2477189874204</v>
      </c>
    </row>
    <row r="104" spans="1:6" s="339" customFormat="1" ht="15.5" x14ac:dyDescent="0.35">
      <c r="A104" s="1158" t="s">
        <v>790</v>
      </c>
      <c r="B104" s="1159">
        <v>2042</v>
      </c>
      <c r="C104" s="1159" t="str">
        <f t="shared" si="1"/>
        <v>Alpine_2042</v>
      </c>
      <c r="D104" s="1169">
        <v>349.03652100445714</v>
      </c>
    </row>
    <row r="105" spans="1:6" s="339" customFormat="1" ht="15.5" x14ac:dyDescent="0.35">
      <c r="A105" s="1158" t="s">
        <v>790</v>
      </c>
      <c r="B105" s="1159">
        <v>2043</v>
      </c>
      <c r="C105" s="1159" t="str">
        <f t="shared" si="1"/>
        <v>Alpine_2043</v>
      </c>
      <c r="D105" s="1169">
        <v>348.07180769103479</v>
      </c>
    </row>
    <row r="106" spans="1:6" s="339" customFormat="1" ht="15.5" x14ac:dyDescent="0.35">
      <c r="A106" s="1158" t="s">
        <v>790</v>
      </c>
      <c r="B106" s="1159">
        <v>2044</v>
      </c>
      <c r="C106" s="1159" t="str">
        <f t="shared" si="1"/>
        <v>Alpine_2044</v>
      </c>
      <c r="D106" s="1169">
        <v>347.23150681626169</v>
      </c>
    </row>
    <row r="107" spans="1:6" s="339" customFormat="1" ht="15.5" x14ac:dyDescent="0.35">
      <c r="A107" s="1158" t="s">
        <v>790</v>
      </c>
      <c r="B107" s="1159">
        <v>2045</v>
      </c>
      <c r="C107" s="1159" t="str">
        <f t="shared" si="1"/>
        <v>Alpine_2045</v>
      </c>
      <c r="D107" s="1169">
        <v>346.60393262324419</v>
      </c>
    </row>
    <row r="108" spans="1:6" s="339" customFormat="1" ht="15.5" x14ac:dyDescent="0.35">
      <c r="A108" s="1158" t="s">
        <v>790</v>
      </c>
      <c r="B108" s="1159">
        <v>2046</v>
      </c>
      <c r="C108" s="1159" t="str">
        <f t="shared" si="1"/>
        <v>Alpine_2046</v>
      </c>
      <c r="D108" s="1169">
        <v>346.08109576413545</v>
      </c>
    </row>
    <row r="109" spans="1:6" s="339" customFormat="1" ht="15.5" x14ac:dyDescent="0.35">
      <c r="A109" s="1158" t="s">
        <v>790</v>
      </c>
      <c r="B109" s="1159">
        <v>2047</v>
      </c>
      <c r="C109" s="1159" t="str">
        <f t="shared" si="1"/>
        <v>Alpine_2047</v>
      </c>
      <c r="D109" s="1169">
        <v>345.64663543138511</v>
      </c>
    </row>
    <row r="110" spans="1:6" s="339" customFormat="1" ht="15.5" x14ac:dyDescent="0.35">
      <c r="A110" s="1158" t="s">
        <v>790</v>
      </c>
      <c r="B110" s="1159">
        <v>2048</v>
      </c>
      <c r="C110" s="1159" t="str">
        <f t="shared" si="1"/>
        <v>Alpine_2048</v>
      </c>
      <c r="D110" s="1169">
        <v>345.29322882450361</v>
      </c>
    </row>
    <row r="111" spans="1:6" s="339" customFormat="1" ht="15.5" x14ac:dyDescent="0.35">
      <c r="A111" s="1158" t="s">
        <v>790</v>
      </c>
      <c r="B111" s="1159">
        <v>2049</v>
      </c>
      <c r="C111" s="1159" t="str">
        <f t="shared" si="1"/>
        <v>Alpine_2049</v>
      </c>
      <c r="D111" s="1169">
        <v>345.03644416564839</v>
      </c>
    </row>
    <row r="112" spans="1:6" s="339" customFormat="1" ht="15.5" x14ac:dyDescent="0.35">
      <c r="A112" s="1158" t="s">
        <v>790</v>
      </c>
      <c r="B112" s="1159">
        <v>2050</v>
      </c>
      <c r="C112" s="1159" t="str">
        <f t="shared" si="1"/>
        <v>Alpine_2050</v>
      </c>
      <c r="D112" s="1169">
        <v>344.85733557248687</v>
      </c>
    </row>
    <row r="113" spans="1:4" s="339" customFormat="1" ht="15.5" x14ac:dyDescent="0.35">
      <c r="A113" s="1155" t="s">
        <v>792</v>
      </c>
      <c r="B113" s="1156">
        <v>2015</v>
      </c>
      <c r="C113" s="1157" t="s">
        <v>863</v>
      </c>
      <c r="D113" s="1168">
        <v>524.58562144617508</v>
      </c>
    </row>
    <row r="114" spans="1:4" s="339" customFormat="1" ht="15.5" x14ac:dyDescent="0.35">
      <c r="A114" s="1155" t="s">
        <v>792</v>
      </c>
      <c r="B114" s="1156">
        <v>2016</v>
      </c>
      <c r="C114" s="1157" t="s">
        <v>864</v>
      </c>
      <c r="D114" s="1168">
        <v>515.33415934433003</v>
      </c>
    </row>
    <row r="115" spans="1:4" s="339" customFormat="1" ht="15.5" x14ac:dyDescent="0.35">
      <c r="A115" s="1158" t="s">
        <v>792</v>
      </c>
      <c r="B115" s="1159">
        <v>2017</v>
      </c>
      <c r="C115" s="1159" t="str">
        <f t="shared" ref="C115:C148" si="2">CONCATENATE(A115,"_",B115)</f>
        <v>Amador_2017</v>
      </c>
      <c r="D115" s="1169">
        <v>511.63056755903483</v>
      </c>
    </row>
    <row r="116" spans="1:4" s="339" customFormat="1" ht="15.5" x14ac:dyDescent="0.35">
      <c r="A116" s="1158" t="s">
        <v>792</v>
      </c>
      <c r="B116" s="1159">
        <v>2018</v>
      </c>
      <c r="C116" s="1159" t="str">
        <f t="shared" si="2"/>
        <v>Amador_2018</v>
      </c>
      <c r="D116" s="1169">
        <v>505.73711243713512</v>
      </c>
    </row>
    <row r="117" spans="1:4" s="339" customFormat="1" ht="15.5" x14ac:dyDescent="0.35">
      <c r="A117" s="1158" t="s">
        <v>792</v>
      </c>
      <c r="B117" s="1159">
        <v>2019</v>
      </c>
      <c r="C117" s="1159" t="str">
        <f t="shared" si="2"/>
        <v>Amador_2019</v>
      </c>
      <c r="D117" s="1169">
        <v>497.62499186369519</v>
      </c>
    </row>
    <row r="118" spans="1:4" s="339" customFormat="1" ht="15.5" x14ac:dyDescent="0.35">
      <c r="A118" s="1158" t="s">
        <v>792</v>
      </c>
      <c r="B118" s="1159">
        <v>2020</v>
      </c>
      <c r="C118" s="1159" t="str">
        <f t="shared" si="2"/>
        <v>Amador_2020</v>
      </c>
      <c r="D118" s="1169">
        <v>493.62145686249715</v>
      </c>
    </row>
    <row r="119" spans="1:4" s="339" customFormat="1" ht="15.5" x14ac:dyDescent="0.35">
      <c r="A119" s="1158" t="s">
        <v>792</v>
      </c>
      <c r="B119" s="1159">
        <v>2021</v>
      </c>
      <c r="C119" s="1159" t="str">
        <f t="shared" si="2"/>
        <v>Amador_2021</v>
      </c>
      <c r="D119" s="1169">
        <v>483.21244979960818</v>
      </c>
    </row>
    <row r="120" spans="1:4" s="339" customFormat="1" ht="15.5" x14ac:dyDescent="0.35">
      <c r="A120" s="1158" t="s">
        <v>792</v>
      </c>
      <c r="B120" s="1159">
        <v>2022</v>
      </c>
      <c r="C120" s="1159" t="str">
        <f t="shared" si="2"/>
        <v>Amador_2022</v>
      </c>
      <c r="D120" s="1169">
        <v>474.08688584150553</v>
      </c>
    </row>
    <row r="121" spans="1:4" s="339" customFormat="1" ht="15.5" x14ac:dyDescent="0.35">
      <c r="A121" s="1158" t="s">
        <v>792</v>
      </c>
      <c r="B121" s="1159">
        <v>2023</v>
      </c>
      <c r="C121" s="1159" t="str">
        <f t="shared" si="2"/>
        <v>Amador_2023</v>
      </c>
      <c r="D121" s="1169">
        <v>464.46552462427576</v>
      </c>
    </row>
    <row r="122" spans="1:4" s="339" customFormat="1" ht="15.5" x14ac:dyDescent="0.35">
      <c r="A122" s="1158" t="s">
        <v>792</v>
      </c>
      <c r="B122" s="1159">
        <v>2024</v>
      </c>
      <c r="C122" s="1159" t="str">
        <f t="shared" si="2"/>
        <v>Amador_2024</v>
      </c>
      <c r="D122" s="1169">
        <v>454.41445992123789</v>
      </c>
    </row>
    <row r="123" spans="1:4" s="339" customFormat="1" ht="15.5" x14ac:dyDescent="0.35">
      <c r="A123" s="1158" t="s">
        <v>792</v>
      </c>
      <c r="B123" s="1159">
        <v>2025</v>
      </c>
      <c r="C123" s="1159" t="str">
        <f t="shared" si="2"/>
        <v>Amador_2025</v>
      </c>
      <c r="D123" s="1169">
        <v>444.15964347193079</v>
      </c>
    </row>
    <row r="124" spans="1:4" s="339" customFormat="1" ht="15.5" x14ac:dyDescent="0.35">
      <c r="A124" s="1158" t="s">
        <v>792</v>
      </c>
      <c r="B124" s="1159">
        <v>2026</v>
      </c>
      <c r="C124" s="1159" t="str">
        <f t="shared" si="2"/>
        <v>Amador_2026</v>
      </c>
      <c r="D124" s="1169">
        <v>434.01810978119306</v>
      </c>
    </row>
    <row r="125" spans="1:4" s="339" customFormat="1" ht="15.5" x14ac:dyDescent="0.35">
      <c r="A125" s="1158" t="s">
        <v>792</v>
      </c>
      <c r="B125" s="1159">
        <v>2027</v>
      </c>
      <c r="C125" s="1159" t="str">
        <f t="shared" si="2"/>
        <v>Amador_2027</v>
      </c>
      <c r="D125" s="1169">
        <v>424.21609678741481</v>
      </c>
    </row>
    <row r="126" spans="1:4" s="339" customFormat="1" ht="15.5" x14ac:dyDescent="0.35">
      <c r="A126" s="1158" t="s">
        <v>792</v>
      </c>
      <c r="B126" s="1159">
        <v>2028</v>
      </c>
      <c r="C126" s="1159" t="str">
        <f t="shared" si="2"/>
        <v>Amador_2028</v>
      </c>
      <c r="D126" s="1169">
        <v>414.97154621991609</v>
      </c>
    </row>
    <row r="127" spans="1:4" s="339" customFormat="1" ht="15.5" x14ac:dyDescent="0.35">
      <c r="A127" s="1158" t="s">
        <v>792</v>
      </c>
      <c r="B127" s="1159">
        <v>2029</v>
      </c>
      <c r="C127" s="1159" t="str">
        <f t="shared" si="2"/>
        <v>Amador_2029</v>
      </c>
      <c r="D127" s="1169">
        <v>406.29479869693199</v>
      </c>
    </row>
    <row r="128" spans="1:4" s="339" customFormat="1" ht="15.5" x14ac:dyDescent="0.35">
      <c r="A128" s="1158" t="s">
        <v>792</v>
      </c>
      <c r="B128" s="1159">
        <v>2030</v>
      </c>
      <c r="C128" s="1159" t="str">
        <f t="shared" si="2"/>
        <v>Amador_2030</v>
      </c>
      <c r="D128" s="1169">
        <v>398.26582732526055</v>
      </c>
    </row>
    <row r="129" spans="1:4" s="339" customFormat="1" ht="15.5" x14ac:dyDescent="0.35">
      <c r="A129" s="1158" t="s">
        <v>792</v>
      </c>
      <c r="B129" s="1159">
        <v>2031</v>
      </c>
      <c r="C129" s="1159" t="str">
        <f t="shared" si="2"/>
        <v>Amador_2031</v>
      </c>
      <c r="D129" s="1169">
        <v>390.91637731776575</v>
      </c>
    </row>
    <row r="130" spans="1:4" s="339" customFormat="1" ht="15.5" x14ac:dyDescent="0.35">
      <c r="A130" s="1158" t="s">
        <v>792</v>
      </c>
      <c r="B130" s="1159">
        <v>2032</v>
      </c>
      <c r="C130" s="1159" t="str">
        <f t="shared" si="2"/>
        <v>Amador_2032</v>
      </c>
      <c r="D130" s="1169">
        <v>384.2054335589155</v>
      </c>
    </row>
    <row r="131" spans="1:4" s="339" customFormat="1" ht="15.5" x14ac:dyDescent="0.35">
      <c r="A131" s="1158" t="s">
        <v>792</v>
      </c>
      <c r="B131" s="1159">
        <v>2033</v>
      </c>
      <c r="C131" s="1159" t="str">
        <f t="shared" si="2"/>
        <v>Amador_2033</v>
      </c>
      <c r="D131" s="1169">
        <v>378.04466306819398</v>
      </c>
    </row>
    <row r="132" spans="1:4" s="339" customFormat="1" ht="15.5" x14ac:dyDescent="0.35">
      <c r="A132" s="1158" t="s">
        <v>792</v>
      </c>
      <c r="B132" s="1159">
        <v>2034</v>
      </c>
      <c r="C132" s="1159" t="str">
        <f t="shared" si="2"/>
        <v>Amador_2034</v>
      </c>
      <c r="D132" s="1169">
        <v>372.45970437908494</v>
      </c>
    </row>
    <row r="133" spans="1:4" s="339" customFormat="1" ht="15.5" x14ac:dyDescent="0.35">
      <c r="A133" s="1158" t="s">
        <v>792</v>
      </c>
      <c r="B133" s="1159">
        <v>2035</v>
      </c>
      <c r="C133" s="1159" t="str">
        <f t="shared" si="2"/>
        <v>Amador_2035</v>
      </c>
      <c r="D133" s="1169">
        <v>367.43859983747188</v>
      </c>
    </row>
    <row r="134" spans="1:4" s="339" customFormat="1" ht="15.5" x14ac:dyDescent="0.35">
      <c r="A134" s="1158" t="s">
        <v>792</v>
      </c>
      <c r="B134" s="1159">
        <v>2036</v>
      </c>
      <c r="C134" s="1159" t="str">
        <f t="shared" si="2"/>
        <v>Amador_2036</v>
      </c>
      <c r="D134" s="1169">
        <v>362.9748949853726</v>
      </c>
    </row>
    <row r="135" spans="1:4" s="339" customFormat="1" ht="15.5" x14ac:dyDescent="0.35">
      <c r="A135" s="1158" t="s">
        <v>792</v>
      </c>
      <c r="B135" s="1159">
        <v>2037</v>
      </c>
      <c r="C135" s="1159" t="str">
        <f t="shared" si="2"/>
        <v>Amador_2037</v>
      </c>
      <c r="D135" s="1169">
        <v>359.01194613971472</v>
      </c>
    </row>
    <row r="136" spans="1:4" s="339" customFormat="1" ht="15.5" x14ac:dyDescent="0.35">
      <c r="A136" s="1158" t="s">
        <v>792</v>
      </c>
      <c r="B136" s="1159">
        <v>2038</v>
      </c>
      <c r="C136" s="1159" t="str">
        <f t="shared" si="2"/>
        <v>Amador_2038</v>
      </c>
      <c r="D136" s="1169">
        <v>355.53746403192929</v>
      </c>
    </row>
    <row r="137" spans="1:4" s="339" customFormat="1" ht="15.5" x14ac:dyDescent="0.35">
      <c r="A137" s="1158" t="s">
        <v>792</v>
      </c>
      <c r="B137" s="1159">
        <v>2039</v>
      </c>
      <c r="C137" s="1159" t="str">
        <f t="shared" si="2"/>
        <v>Amador_2039</v>
      </c>
      <c r="D137" s="1169">
        <v>352.42786368965801</v>
      </c>
    </row>
    <row r="138" spans="1:4" s="339" customFormat="1" ht="15.5" x14ac:dyDescent="0.35">
      <c r="A138" s="1158" t="s">
        <v>792</v>
      </c>
      <c r="B138" s="1159">
        <v>2040</v>
      </c>
      <c r="C138" s="1159" t="str">
        <f t="shared" si="2"/>
        <v>Amador_2040</v>
      </c>
      <c r="D138" s="1169">
        <v>349.70498431007542</v>
      </c>
    </row>
    <row r="139" spans="1:4" s="339" customFormat="1" ht="15.5" x14ac:dyDescent="0.35">
      <c r="A139" s="1158" t="s">
        <v>792</v>
      </c>
      <c r="B139" s="1159">
        <v>2041</v>
      </c>
      <c r="C139" s="1159" t="str">
        <f t="shared" si="2"/>
        <v>Amador_2041</v>
      </c>
      <c r="D139" s="1169">
        <v>347.31797162322692</v>
      </c>
    </row>
    <row r="140" spans="1:4" s="339" customFormat="1" ht="15.5" x14ac:dyDescent="0.35">
      <c r="A140" s="1158" t="s">
        <v>792</v>
      </c>
      <c r="B140" s="1159">
        <v>2042</v>
      </c>
      <c r="C140" s="1159" t="str">
        <f t="shared" si="2"/>
        <v>Amador_2042</v>
      </c>
      <c r="D140" s="1169">
        <v>345.16568335126766</v>
      </c>
    </row>
    <row r="141" spans="1:4" s="339" customFormat="1" ht="15.5" x14ac:dyDescent="0.35">
      <c r="A141" s="1158" t="s">
        <v>792</v>
      </c>
      <c r="B141" s="1159">
        <v>2043</v>
      </c>
      <c r="C141" s="1159" t="str">
        <f t="shared" si="2"/>
        <v>Amador_2043</v>
      </c>
      <c r="D141" s="1169">
        <v>343.25568293129186</v>
      </c>
    </row>
    <row r="142" spans="1:4" s="339" customFormat="1" ht="15.5" x14ac:dyDescent="0.35">
      <c r="A142" s="1158" t="s">
        <v>792</v>
      </c>
      <c r="B142" s="1159">
        <v>2044</v>
      </c>
      <c r="C142" s="1159" t="str">
        <f t="shared" si="2"/>
        <v>Amador_2044</v>
      </c>
      <c r="D142" s="1169">
        <v>341.55766148310909</v>
      </c>
    </row>
    <row r="143" spans="1:4" s="339" customFormat="1" ht="15.5" x14ac:dyDescent="0.35">
      <c r="A143" s="1158" t="s">
        <v>792</v>
      </c>
      <c r="B143" s="1159">
        <v>2045</v>
      </c>
      <c r="C143" s="1159" t="str">
        <f t="shared" si="2"/>
        <v>Amador_2045</v>
      </c>
      <c r="D143" s="1169">
        <v>339.98423862184904</v>
      </c>
    </row>
    <row r="144" spans="1:4" s="339" customFormat="1" ht="15.5" x14ac:dyDescent="0.35">
      <c r="A144" s="1158" t="s">
        <v>792</v>
      </c>
      <c r="B144" s="1159">
        <v>2046</v>
      </c>
      <c r="C144" s="1159" t="str">
        <f t="shared" si="2"/>
        <v>Amador_2046</v>
      </c>
      <c r="D144" s="1169">
        <v>338.58615037330532</v>
      </c>
    </row>
    <row r="145" spans="1:4" s="339" customFormat="1" ht="15.5" x14ac:dyDescent="0.35">
      <c r="A145" s="1158" t="s">
        <v>792</v>
      </c>
      <c r="B145" s="1159">
        <v>2047</v>
      </c>
      <c r="C145" s="1159" t="str">
        <f t="shared" si="2"/>
        <v>Amador_2047</v>
      </c>
      <c r="D145" s="1169">
        <v>337.37457111381968</v>
      </c>
    </row>
    <row r="146" spans="1:4" s="339" customFormat="1" ht="15.5" x14ac:dyDescent="0.35">
      <c r="A146" s="1158" t="s">
        <v>792</v>
      </c>
      <c r="B146" s="1159">
        <v>2048</v>
      </c>
      <c r="C146" s="1159" t="str">
        <f t="shared" si="2"/>
        <v>Amador_2048</v>
      </c>
      <c r="D146" s="1169">
        <v>336.29776322879962</v>
      </c>
    </row>
    <row r="147" spans="1:4" s="339" customFormat="1" ht="15.5" x14ac:dyDescent="0.35">
      <c r="A147" s="1158" t="s">
        <v>792</v>
      </c>
      <c r="B147" s="1159">
        <v>2049</v>
      </c>
      <c r="C147" s="1159" t="str">
        <f t="shared" si="2"/>
        <v>Amador_2049</v>
      </c>
      <c r="D147" s="1169">
        <v>335.34159727167048</v>
      </c>
    </row>
    <row r="148" spans="1:4" s="339" customFormat="1" ht="15.5" x14ac:dyDescent="0.35">
      <c r="A148" s="1158" t="s">
        <v>792</v>
      </c>
      <c r="B148" s="1159">
        <v>2050</v>
      </c>
      <c r="C148" s="1159" t="str">
        <f t="shared" si="2"/>
        <v>Amador_2050</v>
      </c>
      <c r="D148" s="1169">
        <v>334.49476632479724</v>
      </c>
    </row>
    <row r="149" spans="1:4" s="339" customFormat="1" ht="15.5" x14ac:dyDescent="0.35">
      <c r="A149" s="1155" t="s">
        <v>794</v>
      </c>
      <c r="B149" s="1156">
        <v>2015</v>
      </c>
      <c r="C149" s="1157" t="s">
        <v>865</v>
      </c>
      <c r="D149" s="1168">
        <v>547.83042083314194</v>
      </c>
    </row>
    <row r="150" spans="1:4" s="339" customFormat="1" ht="15.5" x14ac:dyDescent="0.35">
      <c r="A150" s="1155" t="s">
        <v>794</v>
      </c>
      <c r="B150" s="1156">
        <v>2016</v>
      </c>
      <c r="C150" s="1157" t="s">
        <v>866</v>
      </c>
      <c r="D150" s="1168">
        <v>536.48041359573767</v>
      </c>
    </row>
    <row r="151" spans="1:4" s="339" customFormat="1" ht="15.5" x14ac:dyDescent="0.35">
      <c r="A151" s="1158" t="s">
        <v>794</v>
      </c>
      <c r="B151" s="1159">
        <v>2017</v>
      </c>
      <c r="C151" s="1159" t="str">
        <f t="shared" ref="C151:C184" si="3">CONCATENATE(A151,"_",B151)</f>
        <v>Butte_2017</v>
      </c>
      <c r="D151" s="1169">
        <v>532.27349427443539</v>
      </c>
    </row>
    <row r="152" spans="1:4" s="339" customFormat="1" ht="15.5" x14ac:dyDescent="0.35">
      <c r="A152" s="1158" t="s">
        <v>794</v>
      </c>
      <c r="B152" s="1159">
        <v>2018</v>
      </c>
      <c r="C152" s="1159" t="str">
        <f t="shared" si="3"/>
        <v>Butte_2018</v>
      </c>
      <c r="D152" s="1169">
        <v>525.17584854462825</v>
      </c>
    </row>
    <row r="153" spans="1:4" s="339" customFormat="1" ht="15.5" x14ac:dyDescent="0.35">
      <c r="A153" s="1158" t="s">
        <v>794</v>
      </c>
      <c r="B153" s="1159">
        <v>2019</v>
      </c>
      <c r="C153" s="1159" t="str">
        <f t="shared" si="3"/>
        <v>Butte_2019</v>
      </c>
      <c r="D153" s="1169">
        <v>514.74143883019451</v>
      </c>
    </row>
    <row r="154" spans="1:4" s="339" customFormat="1" ht="15.5" x14ac:dyDescent="0.35">
      <c r="A154" s="1158" t="s">
        <v>794</v>
      </c>
      <c r="B154" s="1159">
        <v>2020</v>
      </c>
      <c r="C154" s="1159" t="str">
        <f t="shared" si="3"/>
        <v>Butte_2020</v>
      </c>
      <c r="D154" s="1169">
        <v>509.90725439144569</v>
      </c>
    </row>
    <row r="155" spans="1:4" s="339" customFormat="1" ht="15.5" x14ac:dyDescent="0.35">
      <c r="A155" s="1158" t="s">
        <v>794</v>
      </c>
      <c r="B155" s="1159">
        <v>2021</v>
      </c>
      <c r="C155" s="1159" t="str">
        <f t="shared" si="3"/>
        <v>Butte_2021</v>
      </c>
      <c r="D155" s="1169">
        <v>498.64192323672449</v>
      </c>
    </row>
    <row r="156" spans="1:4" s="339" customFormat="1" ht="15.5" x14ac:dyDescent="0.35">
      <c r="A156" s="1158" t="s">
        <v>794</v>
      </c>
      <c r="B156" s="1159">
        <v>2022</v>
      </c>
      <c r="C156" s="1159" t="str">
        <f t="shared" si="3"/>
        <v>Butte_2022</v>
      </c>
      <c r="D156" s="1169">
        <v>487.88462294232806</v>
      </c>
    </row>
    <row r="157" spans="1:4" s="339" customFormat="1" ht="15.5" x14ac:dyDescent="0.35">
      <c r="A157" s="1158" t="s">
        <v>794</v>
      </c>
      <c r="B157" s="1159">
        <v>2023</v>
      </c>
      <c r="C157" s="1159" t="str">
        <f t="shared" si="3"/>
        <v>Butte_2023</v>
      </c>
      <c r="D157" s="1169">
        <v>476.65995309438472</v>
      </c>
    </row>
    <row r="158" spans="1:4" s="339" customFormat="1" ht="15.5" x14ac:dyDescent="0.35">
      <c r="A158" s="1158" t="s">
        <v>794</v>
      </c>
      <c r="B158" s="1159">
        <v>2024</v>
      </c>
      <c r="C158" s="1159" t="str">
        <f t="shared" si="3"/>
        <v>Butte_2024</v>
      </c>
      <c r="D158" s="1169">
        <v>465.21766447882271</v>
      </c>
    </row>
    <row r="159" spans="1:4" s="339" customFormat="1" ht="15.5" x14ac:dyDescent="0.35">
      <c r="A159" s="1158" t="s">
        <v>794</v>
      </c>
      <c r="B159" s="1159">
        <v>2025</v>
      </c>
      <c r="C159" s="1159" t="str">
        <f t="shared" si="3"/>
        <v>Butte_2025</v>
      </c>
      <c r="D159" s="1169">
        <v>453.69455488878498</v>
      </c>
    </row>
    <row r="160" spans="1:4" s="339" customFormat="1" ht="15.5" x14ac:dyDescent="0.35">
      <c r="A160" s="1158" t="s">
        <v>794</v>
      </c>
      <c r="B160" s="1159">
        <v>2026</v>
      </c>
      <c r="C160" s="1159" t="str">
        <f t="shared" si="3"/>
        <v>Butte_2026</v>
      </c>
      <c r="D160" s="1169">
        <v>442.55323361185128</v>
      </c>
    </row>
    <row r="161" spans="1:4" s="339" customFormat="1" ht="15.5" x14ac:dyDescent="0.35">
      <c r="A161" s="1158" t="s">
        <v>794</v>
      </c>
      <c r="B161" s="1159">
        <v>2027</v>
      </c>
      <c r="C161" s="1159" t="str">
        <f t="shared" si="3"/>
        <v>Butte_2027</v>
      </c>
      <c r="D161" s="1169">
        <v>432.07586465645471</v>
      </c>
    </row>
    <row r="162" spans="1:4" s="339" customFormat="1" ht="15.5" x14ac:dyDescent="0.35">
      <c r="A162" s="1158" t="s">
        <v>794</v>
      </c>
      <c r="B162" s="1159">
        <v>2028</v>
      </c>
      <c r="C162" s="1159" t="str">
        <f t="shared" si="3"/>
        <v>Butte_2028</v>
      </c>
      <c r="D162" s="1169">
        <v>422.44472842565665</v>
      </c>
    </row>
    <row r="163" spans="1:4" s="339" customFormat="1" ht="15.5" x14ac:dyDescent="0.35">
      <c r="A163" s="1158" t="s">
        <v>794</v>
      </c>
      <c r="B163" s="1159">
        <v>2029</v>
      </c>
      <c r="C163" s="1159" t="str">
        <f t="shared" si="3"/>
        <v>Butte_2029</v>
      </c>
      <c r="D163" s="1169">
        <v>413.64581722214001</v>
      </c>
    </row>
    <row r="164" spans="1:4" s="339" customFormat="1" ht="15.5" x14ac:dyDescent="0.35">
      <c r="A164" s="1158" t="s">
        <v>794</v>
      </c>
      <c r="B164" s="1159">
        <v>2030</v>
      </c>
      <c r="C164" s="1159" t="str">
        <f t="shared" si="3"/>
        <v>Butte_2030</v>
      </c>
      <c r="D164" s="1169">
        <v>405.67500837360552</v>
      </c>
    </row>
    <row r="165" spans="1:4" s="339" customFormat="1" ht="15.5" x14ac:dyDescent="0.35">
      <c r="A165" s="1158" t="s">
        <v>794</v>
      </c>
      <c r="B165" s="1159">
        <v>2031</v>
      </c>
      <c r="C165" s="1159" t="str">
        <f t="shared" si="3"/>
        <v>Butte_2031</v>
      </c>
      <c r="D165" s="1169">
        <v>398.73493653887766</v>
      </c>
    </row>
    <row r="166" spans="1:4" s="339" customFormat="1" ht="15.5" x14ac:dyDescent="0.35">
      <c r="A166" s="1158" t="s">
        <v>794</v>
      </c>
      <c r="B166" s="1159">
        <v>2032</v>
      </c>
      <c r="C166" s="1159" t="str">
        <f t="shared" si="3"/>
        <v>Butte_2032</v>
      </c>
      <c r="D166" s="1169">
        <v>392.2853218051012</v>
      </c>
    </row>
    <row r="167" spans="1:4" s="339" customFormat="1" ht="15.5" x14ac:dyDescent="0.35">
      <c r="A167" s="1158" t="s">
        <v>794</v>
      </c>
      <c r="B167" s="1159">
        <v>2033</v>
      </c>
      <c r="C167" s="1159" t="str">
        <f t="shared" si="3"/>
        <v>Butte_2033</v>
      </c>
      <c r="D167" s="1169">
        <v>386.51165828804733</v>
      </c>
    </row>
    <row r="168" spans="1:4" s="339" customFormat="1" ht="15.5" x14ac:dyDescent="0.35">
      <c r="A168" s="1158" t="s">
        <v>794</v>
      </c>
      <c r="B168" s="1159">
        <v>2034</v>
      </c>
      <c r="C168" s="1159" t="str">
        <f t="shared" si="3"/>
        <v>Butte_2034</v>
      </c>
      <c r="D168" s="1169">
        <v>381.37151504568294</v>
      </c>
    </row>
    <row r="169" spans="1:4" s="339" customFormat="1" ht="15.5" x14ac:dyDescent="0.35">
      <c r="A169" s="1158" t="s">
        <v>794</v>
      </c>
      <c r="B169" s="1159">
        <v>2035</v>
      </c>
      <c r="C169" s="1159" t="str">
        <f t="shared" si="3"/>
        <v>Butte_2035</v>
      </c>
      <c r="D169" s="1169">
        <v>376.83601550478636</v>
      </c>
    </row>
    <row r="170" spans="1:4" s="339" customFormat="1" ht="15.5" x14ac:dyDescent="0.35">
      <c r="A170" s="1158" t="s">
        <v>794</v>
      </c>
      <c r="B170" s="1159">
        <v>2036</v>
      </c>
      <c r="C170" s="1159" t="str">
        <f t="shared" si="3"/>
        <v>Butte_2036</v>
      </c>
      <c r="D170" s="1169">
        <v>372.96003066190627</v>
      </c>
    </row>
    <row r="171" spans="1:4" s="339" customFormat="1" ht="15.5" x14ac:dyDescent="0.35">
      <c r="A171" s="1158" t="s">
        <v>794</v>
      </c>
      <c r="B171" s="1159">
        <v>2037</v>
      </c>
      <c r="C171" s="1159" t="str">
        <f t="shared" si="3"/>
        <v>Butte_2037</v>
      </c>
      <c r="D171" s="1169">
        <v>369.53121275341823</v>
      </c>
    </row>
    <row r="172" spans="1:4" s="339" customFormat="1" ht="15.5" x14ac:dyDescent="0.35">
      <c r="A172" s="1158" t="s">
        <v>794</v>
      </c>
      <c r="B172" s="1159">
        <v>2038</v>
      </c>
      <c r="C172" s="1159" t="str">
        <f t="shared" si="3"/>
        <v>Butte_2038</v>
      </c>
      <c r="D172" s="1169">
        <v>366.59886141268152</v>
      </c>
    </row>
    <row r="173" spans="1:4" s="339" customFormat="1" ht="15.5" x14ac:dyDescent="0.35">
      <c r="A173" s="1158" t="s">
        <v>794</v>
      </c>
      <c r="B173" s="1159">
        <v>2039</v>
      </c>
      <c r="C173" s="1159" t="str">
        <f t="shared" si="3"/>
        <v>Butte_2039</v>
      </c>
      <c r="D173" s="1169">
        <v>364.0633908590159</v>
      </c>
    </row>
    <row r="174" spans="1:4" s="339" customFormat="1" ht="15.5" x14ac:dyDescent="0.35">
      <c r="A174" s="1158" t="s">
        <v>794</v>
      </c>
      <c r="B174" s="1159">
        <v>2040</v>
      </c>
      <c r="C174" s="1159" t="str">
        <f t="shared" si="3"/>
        <v>Butte_2040</v>
      </c>
      <c r="D174" s="1169">
        <v>361.91410263929629</v>
      </c>
    </row>
    <row r="175" spans="1:4" s="339" customFormat="1" ht="15.5" x14ac:dyDescent="0.35">
      <c r="A175" s="1158" t="s">
        <v>794</v>
      </c>
      <c r="B175" s="1159">
        <v>2041</v>
      </c>
      <c r="C175" s="1159" t="str">
        <f t="shared" si="3"/>
        <v>Butte_2041</v>
      </c>
      <c r="D175" s="1169">
        <v>360.11123663379442</v>
      </c>
    </row>
    <row r="176" spans="1:4" s="339" customFormat="1" ht="15.5" x14ac:dyDescent="0.35">
      <c r="A176" s="1158" t="s">
        <v>794</v>
      </c>
      <c r="B176" s="1159">
        <v>2042</v>
      </c>
      <c r="C176" s="1159" t="str">
        <f t="shared" si="3"/>
        <v>Butte_2042</v>
      </c>
      <c r="D176" s="1169">
        <v>358.56956583154533</v>
      </c>
    </row>
    <row r="177" spans="1:4" s="339" customFormat="1" ht="15.5" x14ac:dyDescent="0.35">
      <c r="A177" s="1158" t="s">
        <v>794</v>
      </c>
      <c r="B177" s="1159">
        <v>2043</v>
      </c>
      <c r="C177" s="1159" t="str">
        <f t="shared" si="3"/>
        <v>Butte_2043</v>
      </c>
      <c r="D177" s="1169">
        <v>357.28117984205761</v>
      </c>
    </row>
    <row r="178" spans="1:4" s="339" customFormat="1" ht="15.5" x14ac:dyDescent="0.35">
      <c r="A178" s="1158" t="s">
        <v>794</v>
      </c>
      <c r="B178" s="1159">
        <v>2044</v>
      </c>
      <c r="C178" s="1159" t="str">
        <f t="shared" si="3"/>
        <v>Butte_2044</v>
      </c>
      <c r="D178" s="1169">
        <v>356.17762336062748</v>
      </c>
    </row>
    <row r="179" spans="1:4" s="339" customFormat="1" ht="15.5" x14ac:dyDescent="0.35">
      <c r="A179" s="1158" t="s">
        <v>794</v>
      </c>
      <c r="B179" s="1159">
        <v>2045</v>
      </c>
      <c r="C179" s="1159" t="str">
        <f t="shared" si="3"/>
        <v>Butte_2045</v>
      </c>
      <c r="D179" s="1169">
        <v>355.23145878129316</v>
      </c>
    </row>
    <row r="180" spans="1:4" s="339" customFormat="1" ht="15.5" x14ac:dyDescent="0.35">
      <c r="A180" s="1158" t="s">
        <v>794</v>
      </c>
      <c r="B180" s="1159">
        <v>2046</v>
      </c>
      <c r="C180" s="1159" t="str">
        <f t="shared" si="3"/>
        <v>Butte_2046</v>
      </c>
      <c r="D180" s="1169">
        <v>354.41500848393804</v>
      </c>
    </row>
    <row r="181" spans="1:4" s="339" customFormat="1" ht="15.5" x14ac:dyDescent="0.35">
      <c r="A181" s="1158" t="s">
        <v>794</v>
      </c>
      <c r="B181" s="1159">
        <v>2047</v>
      </c>
      <c r="C181" s="1159" t="str">
        <f t="shared" si="3"/>
        <v>Butte_2047</v>
      </c>
      <c r="D181" s="1169">
        <v>353.724797827256</v>
      </c>
    </row>
    <row r="182" spans="1:4" s="339" customFormat="1" ht="15.5" x14ac:dyDescent="0.35">
      <c r="A182" s="1158" t="s">
        <v>794</v>
      </c>
      <c r="B182" s="1159">
        <v>2048</v>
      </c>
      <c r="C182" s="1159" t="str">
        <f t="shared" si="3"/>
        <v>Butte_2048</v>
      </c>
      <c r="D182" s="1169">
        <v>353.1376042549042</v>
      </c>
    </row>
    <row r="183" spans="1:4" s="339" customFormat="1" ht="15.5" x14ac:dyDescent="0.35">
      <c r="A183" s="1158" t="s">
        <v>794</v>
      </c>
      <c r="B183" s="1159">
        <v>2049</v>
      </c>
      <c r="C183" s="1159" t="str">
        <f t="shared" si="3"/>
        <v>Butte_2049</v>
      </c>
      <c r="D183" s="1169">
        <v>352.63545896262809</v>
      </c>
    </row>
    <row r="184" spans="1:4" s="339" customFormat="1" ht="15.5" x14ac:dyDescent="0.35">
      <c r="A184" s="1158" t="s">
        <v>794</v>
      </c>
      <c r="B184" s="1159">
        <v>2050</v>
      </c>
      <c r="C184" s="1159" t="str">
        <f t="shared" si="3"/>
        <v>Butte_2050</v>
      </c>
      <c r="D184" s="1169">
        <v>352.22301825811212</v>
      </c>
    </row>
    <row r="185" spans="1:4" s="339" customFormat="1" ht="15.5" x14ac:dyDescent="0.35">
      <c r="A185" s="1155" t="s">
        <v>796</v>
      </c>
      <c r="B185" s="1156">
        <v>2015</v>
      </c>
      <c r="C185" s="1157" t="s">
        <v>867</v>
      </c>
      <c r="D185" s="1168">
        <v>556.28166785093549</v>
      </c>
    </row>
    <row r="186" spans="1:4" s="339" customFormat="1" ht="15.5" x14ac:dyDescent="0.35">
      <c r="A186" s="1155" t="s">
        <v>796</v>
      </c>
      <c r="B186" s="1156">
        <v>2016</v>
      </c>
      <c r="C186" s="1157" t="s">
        <v>868</v>
      </c>
      <c r="D186" s="1168">
        <v>547.57715626066283</v>
      </c>
    </row>
    <row r="187" spans="1:4" s="339" customFormat="1" ht="15.5" x14ac:dyDescent="0.35">
      <c r="A187" s="1158" t="s">
        <v>796</v>
      </c>
      <c r="B187" s="1159">
        <v>2017</v>
      </c>
      <c r="C187" s="1159" t="str">
        <f t="shared" ref="C187:C220" si="4">CONCATENATE(A187,"_",B187)</f>
        <v>Calaveras_2017</v>
      </c>
      <c r="D187" s="1169">
        <v>543.07147481202651</v>
      </c>
    </row>
    <row r="188" spans="1:4" s="339" customFormat="1" ht="15.5" x14ac:dyDescent="0.35">
      <c r="A188" s="1158" t="s">
        <v>796</v>
      </c>
      <c r="B188" s="1159">
        <v>2018</v>
      </c>
      <c r="C188" s="1159" t="str">
        <f t="shared" si="4"/>
        <v>Calaveras_2018</v>
      </c>
      <c r="D188" s="1169">
        <v>537.19034594525931</v>
      </c>
    </row>
    <row r="189" spans="1:4" s="339" customFormat="1" ht="15.5" x14ac:dyDescent="0.35">
      <c r="A189" s="1158" t="s">
        <v>796</v>
      </c>
      <c r="B189" s="1159">
        <v>2019</v>
      </c>
      <c r="C189" s="1159" t="str">
        <f t="shared" si="4"/>
        <v>Calaveras_2019</v>
      </c>
      <c r="D189" s="1169">
        <v>527.87687053653349</v>
      </c>
    </row>
    <row r="190" spans="1:4" s="339" customFormat="1" ht="15.5" x14ac:dyDescent="0.35">
      <c r="A190" s="1158" t="s">
        <v>796</v>
      </c>
      <c r="B190" s="1159">
        <v>2020</v>
      </c>
      <c r="C190" s="1159" t="str">
        <f t="shared" si="4"/>
        <v>Calaveras_2020</v>
      </c>
      <c r="D190" s="1169">
        <v>522.84840097164579</v>
      </c>
    </row>
    <row r="191" spans="1:4" s="339" customFormat="1" ht="15.5" x14ac:dyDescent="0.35">
      <c r="A191" s="1158" t="s">
        <v>796</v>
      </c>
      <c r="B191" s="1159">
        <v>2021</v>
      </c>
      <c r="C191" s="1159" t="str">
        <f t="shared" si="4"/>
        <v>Calaveras_2021</v>
      </c>
      <c r="D191" s="1169">
        <v>511.96428159665726</v>
      </c>
    </row>
    <row r="192" spans="1:4" s="339" customFormat="1" ht="15.5" x14ac:dyDescent="0.35">
      <c r="A192" s="1158" t="s">
        <v>796</v>
      </c>
      <c r="B192" s="1159">
        <v>2022</v>
      </c>
      <c r="C192" s="1159" t="str">
        <f t="shared" si="4"/>
        <v>Calaveras_2022</v>
      </c>
      <c r="D192" s="1169">
        <v>502.24699703340883</v>
      </c>
    </row>
    <row r="193" spans="1:4" s="339" customFormat="1" ht="15.5" x14ac:dyDescent="0.35">
      <c r="A193" s="1158" t="s">
        <v>796</v>
      </c>
      <c r="B193" s="1159">
        <v>2023</v>
      </c>
      <c r="C193" s="1159" t="str">
        <f t="shared" si="4"/>
        <v>Calaveras_2023</v>
      </c>
      <c r="D193" s="1169">
        <v>492.04104393521197</v>
      </c>
    </row>
    <row r="194" spans="1:4" s="339" customFormat="1" ht="15.5" x14ac:dyDescent="0.35">
      <c r="A194" s="1158" t="s">
        <v>796</v>
      </c>
      <c r="B194" s="1159">
        <v>2024</v>
      </c>
      <c r="C194" s="1159" t="str">
        <f t="shared" si="4"/>
        <v>Calaveras_2024</v>
      </c>
      <c r="D194" s="1169">
        <v>481.44952168415784</v>
      </c>
    </row>
    <row r="195" spans="1:4" s="339" customFormat="1" ht="15.5" x14ac:dyDescent="0.35">
      <c r="A195" s="1158" t="s">
        <v>796</v>
      </c>
      <c r="B195" s="1159">
        <v>2025</v>
      </c>
      <c r="C195" s="1159" t="str">
        <f t="shared" si="4"/>
        <v>Calaveras_2025</v>
      </c>
      <c r="D195" s="1169">
        <v>470.73352593816247</v>
      </c>
    </row>
    <row r="196" spans="1:4" s="339" customFormat="1" ht="15.5" x14ac:dyDescent="0.35">
      <c r="A196" s="1158" t="s">
        <v>796</v>
      </c>
      <c r="B196" s="1159">
        <v>2026</v>
      </c>
      <c r="C196" s="1159" t="str">
        <f t="shared" si="4"/>
        <v>Calaveras_2026</v>
      </c>
      <c r="D196" s="1169">
        <v>460.22317037411028</v>
      </c>
    </row>
    <row r="197" spans="1:4" s="339" customFormat="1" ht="15.5" x14ac:dyDescent="0.35">
      <c r="A197" s="1158" t="s">
        <v>796</v>
      </c>
      <c r="B197" s="1159">
        <v>2027</v>
      </c>
      <c r="C197" s="1159" t="str">
        <f t="shared" si="4"/>
        <v>Calaveras_2027</v>
      </c>
      <c r="D197" s="1169">
        <v>450.10262384387573</v>
      </c>
    </row>
    <row r="198" spans="1:4" s="339" customFormat="1" ht="15.5" x14ac:dyDescent="0.35">
      <c r="A198" s="1158" t="s">
        <v>796</v>
      </c>
      <c r="B198" s="1159">
        <v>2028</v>
      </c>
      <c r="C198" s="1159" t="str">
        <f t="shared" si="4"/>
        <v>Calaveras_2028</v>
      </c>
      <c r="D198" s="1169">
        <v>440.57883496861933</v>
      </c>
    </row>
    <row r="199" spans="1:4" s="339" customFormat="1" ht="15.5" x14ac:dyDescent="0.35">
      <c r="A199" s="1158" t="s">
        <v>796</v>
      </c>
      <c r="B199" s="1159">
        <v>2029</v>
      </c>
      <c r="C199" s="1159" t="str">
        <f t="shared" si="4"/>
        <v>Calaveras_2029</v>
      </c>
      <c r="D199" s="1169">
        <v>431.71066623205098</v>
      </c>
    </row>
    <row r="200" spans="1:4" s="339" customFormat="1" ht="15.5" x14ac:dyDescent="0.35">
      <c r="A200" s="1158" t="s">
        <v>796</v>
      </c>
      <c r="B200" s="1159">
        <v>2030</v>
      </c>
      <c r="C200" s="1159" t="str">
        <f t="shared" si="4"/>
        <v>Calaveras_2030</v>
      </c>
      <c r="D200" s="1169">
        <v>423.49194015222758</v>
      </c>
    </row>
    <row r="201" spans="1:4" s="339" customFormat="1" ht="15.5" x14ac:dyDescent="0.35">
      <c r="A201" s="1158" t="s">
        <v>796</v>
      </c>
      <c r="B201" s="1159">
        <v>2031</v>
      </c>
      <c r="C201" s="1159" t="str">
        <f t="shared" si="4"/>
        <v>Calaveras_2031</v>
      </c>
      <c r="D201" s="1169">
        <v>415.91844440436824</v>
      </c>
    </row>
    <row r="202" spans="1:4" s="339" customFormat="1" ht="15.5" x14ac:dyDescent="0.35">
      <c r="A202" s="1158" t="s">
        <v>796</v>
      </c>
      <c r="B202" s="1159">
        <v>2032</v>
      </c>
      <c r="C202" s="1159" t="str">
        <f t="shared" si="4"/>
        <v>Calaveras_2032</v>
      </c>
      <c r="D202" s="1169">
        <v>408.99045597457689</v>
      </c>
    </row>
    <row r="203" spans="1:4" s="339" customFormat="1" ht="15.5" x14ac:dyDescent="0.35">
      <c r="A203" s="1158" t="s">
        <v>796</v>
      </c>
      <c r="B203" s="1159">
        <v>2033</v>
      </c>
      <c r="C203" s="1159" t="str">
        <f t="shared" si="4"/>
        <v>Calaveras_2033</v>
      </c>
      <c r="D203" s="1169">
        <v>402.63485300943364</v>
      </c>
    </row>
    <row r="204" spans="1:4" s="339" customFormat="1" ht="15.5" x14ac:dyDescent="0.35">
      <c r="A204" s="1158" t="s">
        <v>796</v>
      </c>
      <c r="B204" s="1159">
        <v>2034</v>
      </c>
      <c r="C204" s="1159" t="str">
        <f t="shared" si="4"/>
        <v>Calaveras_2034</v>
      </c>
      <c r="D204" s="1169">
        <v>396.87502965468229</v>
      </c>
    </row>
    <row r="205" spans="1:4" s="339" customFormat="1" ht="15.5" x14ac:dyDescent="0.35">
      <c r="A205" s="1158" t="s">
        <v>796</v>
      </c>
      <c r="B205" s="1159">
        <v>2035</v>
      </c>
      <c r="C205" s="1159" t="str">
        <f t="shared" si="4"/>
        <v>Calaveras_2035</v>
      </c>
      <c r="D205" s="1169">
        <v>391.71053405730726</v>
      </c>
    </row>
    <row r="206" spans="1:4" s="339" customFormat="1" ht="15.5" x14ac:dyDescent="0.35">
      <c r="A206" s="1158" t="s">
        <v>796</v>
      </c>
      <c r="B206" s="1159">
        <v>2036</v>
      </c>
      <c r="C206" s="1159" t="str">
        <f t="shared" si="4"/>
        <v>Calaveras_2036</v>
      </c>
      <c r="D206" s="1169">
        <v>387.0966496658354</v>
      </c>
    </row>
    <row r="207" spans="1:4" s="339" customFormat="1" ht="15.5" x14ac:dyDescent="0.35">
      <c r="A207" s="1158" t="s">
        <v>796</v>
      </c>
      <c r="B207" s="1159">
        <v>2037</v>
      </c>
      <c r="C207" s="1159" t="str">
        <f t="shared" si="4"/>
        <v>Calaveras_2037</v>
      </c>
      <c r="D207" s="1169">
        <v>382.96430301792054</v>
      </c>
    </row>
    <row r="208" spans="1:4" s="339" customFormat="1" ht="15.5" x14ac:dyDescent="0.35">
      <c r="A208" s="1158" t="s">
        <v>796</v>
      </c>
      <c r="B208" s="1159">
        <v>2038</v>
      </c>
      <c r="C208" s="1159" t="str">
        <f t="shared" si="4"/>
        <v>Calaveras_2038</v>
      </c>
      <c r="D208" s="1169">
        <v>379.36175581934259</v>
      </c>
    </row>
    <row r="209" spans="1:4" s="339" customFormat="1" ht="15.5" x14ac:dyDescent="0.35">
      <c r="A209" s="1158" t="s">
        <v>796</v>
      </c>
      <c r="B209" s="1159">
        <v>2039</v>
      </c>
      <c r="C209" s="1159" t="str">
        <f t="shared" si="4"/>
        <v>Calaveras_2039</v>
      </c>
      <c r="D209" s="1169">
        <v>376.12505583943675</v>
      </c>
    </row>
    <row r="210" spans="1:4" s="339" customFormat="1" ht="15.5" x14ac:dyDescent="0.35">
      <c r="A210" s="1158" t="s">
        <v>796</v>
      </c>
      <c r="B210" s="1159">
        <v>2040</v>
      </c>
      <c r="C210" s="1159" t="str">
        <f t="shared" si="4"/>
        <v>Calaveras_2040</v>
      </c>
      <c r="D210" s="1169">
        <v>373.24419851940502</v>
      </c>
    </row>
    <row r="211" spans="1:4" s="339" customFormat="1" ht="15.5" x14ac:dyDescent="0.35">
      <c r="A211" s="1158" t="s">
        <v>796</v>
      </c>
      <c r="B211" s="1159">
        <v>2041</v>
      </c>
      <c r="C211" s="1159" t="str">
        <f t="shared" si="4"/>
        <v>Calaveras_2041</v>
      </c>
      <c r="D211" s="1169">
        <v>370.72609477901653</v>
      </c>
    </row>
    <row r="212" spans="1:4" s="339" customFormat="1" ht="15.5" x14ac:dyDescent="0.35">
      <c r="A212" s="1158" t="s">
        <v>796</v>
      </c>
      <c r="B212" s="1159">
        <v>2042</v>
      </c>
      <c r="C212" s="1159" t="str">
        <f t="shared" si="4"/>
        <v>Calaveras_2042</v>
      </c>
      <c r="D212" s="1169">
        <v>368.44081209350855</v>
      </c>
    </row>
    <row r="213" spans="1:4" s="339" customFormat="1" ht="15.5" x14ac:dyDescent="0.35">
      <c r="A213" s="1158" t="s">
        <v>796</v>
      </c>
      <c r="B213" s="1159">
        <v>2043</v>
      </c>
      <c r="C213" s="1159" t="str">
        <f t="shared" si="4"/>
        <v>Calaveras_2043</v>
      </c>
      <c r="D213" s="1169">
        <v>366.42694752590637</v>
      </c>
    </row>
    <row r="214" spans="1:4" s="339" customFormat="1" ht="15.5" x14ac:dyDescent="0.35">
      <c r="A214" s="1158" t="s">
        <v>796</v>
      </c>
      <c r="B214" s="1159">
        <v>2044</v>
      </c>
      <c r="C214" s="1159" t="str">
        <f t="shared" si="4"/>
        <v>Calaveras_2044</v>
      </c>
      <c r="D214" s="1169">
        <v>364.6093251184069</v>
      </c>
    </row>
    <row r="215" spans="1:4" s="339" customFormat="1" ht="15.5" x14ac:dyDescent="0.35">
      <c r="A215" s="1158" t="s">
        <v>796</v>
      </c>
      <c r="B215" s="1159">
        <v>2045</v>
      </c>
      <c r="C215" s="1159" t="str">
        <f t="shared" si="4"/>
        <v>Calaveras_2045</v>
      </c>
      <c r="D215" s="1169">
        <v>362.92693463095134</v>
      </c>
    </row>
    <row r="216" spans="1:4" s="339" customFormat="1" ht="15.5" x14ac:dyDescent="0.35">
      <c r="A216" s="1158" t="s">
        <v>796</v>
      </c>
      <c r="B216" s="1159">
        <v>2046</v>
      </c>
      <c r="C216" s="1159" t="str">
        <f t="shared" si="4"/>
        <v>Calaveras_2046</v>
      </c>
      <c r="D216" s="1169">
        <v>361.38187665447646</v>
      </c>
    </row>
    <row r="217" spans="1:4" s="339" customFormat="1" ht="15.5" x14ac:dyDescent="0.35">
      <c r="A217" s="1158" t="s">
        <v>796</v>
      </c>
      <c r="B217" s="1159">
        <v>2047</v>
      </c>
      <c r="C217" s="1159" t="str">
        <f t="shared" si="4"/>
        <v>Calaveras_2047</v>
      </c>
      <c r="D217" s="1169">
        <v>360.04955752537904</v>
      </c>
    </row>
    <row r="218" spans="1:4" s="339" customFormat="1" ht="15.5" x14ac:dyDescent="0.35">
      <c r="A218" s="1158" t="s">
        <v>796</v>
      </c>
      <c r="B218" s="1159">
        <v>2048</v>
      </c>
      <c r="C218" s="1159" t="str">
        <f t="shared" si="4"/>
        <v>Calaveras_2048</v>
      </c>
      <c r="D218" s="1169">
        <v>358.84403473186592</v>
      </c>
    </row>
    <row r="219" spans="1:4" s="339" customFormat="1" ht="15.5" x14ac:dyDescent="0.35">
      <c r="A219" s="1158" t="s">
        <v>796</v>
      </c>
      <c r="B219" s="1159">
        <v>2049</v>
      </c>
      <c r="C219" s="1159" t="str">
        <f t="shared" si="4"/>
        <v>Calaveras_2049</v>
      </c>
      <c r="D219" s="1169">
        <v>357.79995856155836</v>
      </c>
    </row>
    <row r="220" spans="1:4" s="339" customFormat="1" ht="15.5" x14ac:dyDescent="0.35">
      <c r="A220" s="1158" t="s">
        <v>796</v>
      </c>
      <c r="B220" s="1159">
        <v>2050</v>
      </c>
      <c r="C220" s="1159" t="str">
        <f t="shared" si="4"/>
        <v>Calaveras_2050</v>
      </c>
      <c r="D220" s="1169">
        <v>356.84986699182019</v>
      </c>
    </row>
    <row r="221" spans="1:4" s="339" customFormat="1" ht="15.5" x14ac:dyDescent="0.35">
      <c r="A221" s="1155" t="s">
        <v>798</v>
      </c>
      <c r="B221" s="1156">
        <v>2015</v>
      </c>
      <c r="C221" s="1157" t="s">
        <v>869</v>
      </c>
      <c r="D221" s="1168">
        <v>536.22784512452756</v>
      </c>
    </row>
    <row r="222" spans="1:4" s="339" customFormat="1" ht="15.5" x14ac:dyDescent="0.35">
      <c r="A222" s="1155" t="s">
        <v>798</v>
      </c>
      <c r="B222" s="1156">
        <v>2016</v>
      </c>
      <c r="C222" s="1157" t="s">
        <v>870</v>
      </c>
      <c r="D222" s="1168">
        <v>523.02167459942564</v>
      </c>
    </row>
    <row r="223" spans="1:4" s="339" customFormat="1" ht="15.5" x14ac:dyDescent="0.35">
      <c r="A223" s="1158" t="s">
        <v>798</v>
      </c>
      <c r="B223" s="1159">
        <v>2017</v>
      </c>
      <c r="C223" s="1159" t="str">
        <f t="shared" ref="C223:C256" si="5">CONCATENATE(A223,"_",B223)</f>
        <v>Colusa_2017</v>
      </c>
      <c r="D223" s="1169">
        <v>519.58409731873076</v>
      </c>
    </row>
    <row r="224" spans="1:4" s="339" customFormat="1" ht="15.5" x14ac:dyDescent="0.35">
      <c r="A224" s="1158" t="s">
        <v>798</v>
      </c>
      <c r="B224" s="1159">
        <v>2018</v>
      </c>
      <c r="C224" s="1159" t="str">
        <f t="shared" si="5"/>
        <v>Colusa_2018</v>
      </c>
      <c r="D224" s="1169">
        <v>513.26393291644752</v>
      </c>
    </row>
    <row r="225" spans="1:4" s="339" customFormat="1" ht="15.5" x14ac:dyDescent="0.35">
      <c r="A225" s="1158" t="s">
        <v>798</v>
      </c>
      <c r="B225" s="1159">
        <v>2019</v>
      </c>
      <c r="C225" s="1159" t="str">
        <f t="shared" si="5"/>
        <v>Colusa_2019</v>
      </c>
      <c r="D225" s="1169">
        <v>505.33698189917482</v>
      </c>
    </row>
    <row r="226" spans="1:4" s="339" customFormat="1" ht="15.5" x14ac:dyDescent="0.35">
      <c r="A226" s="1158" t="s">
        <v>798</v>
      </c>
      <c r="B226" s="1159">
        <v>2020</v>
      </c>
      <c r="C226" s="1159" t="str">
        <f t="shared" si="5"/>
        <v>Colusa_2020</v>
      </c>
      <c r="D226" s="1169">
        <v>500.98114721164291</v>
      </c>
    </row>
    <row r="227" spans="1:4" s="339" customFormat="1" ht="15.5" x14ac:dyDescent="0.35">
      <c r="A227" s="1158" t="s">
        <v>798</v>
      </c>
      <c r="B227" s="1159">
        <v>2021</v>
      </c>
      <c r="C227" s="1159" t="str">
        <f t="shared" si="5"/>
        <v>Colusa_2021</v>
      </c>
      <c r="D227" s="1169">
        <v>490.65228524660887</v>
      </c>
    </row>
    <row r="228" spans="1:4" s="339" customFormat="1" ht="15.5" x14ac:dyDescent="0.35">
      <c r="A228" s="1158" t="s">
        <v>798</v>
      </c>
      <c r="B228" s="1159">
        <v>2022</v>
      </c>
      <c r="C228" s="1159" t="str">
        <f t="shared" si="5"/>
        <v>Colusa_2022</v>
      </c>
      <c r="D228" s="1169">
        <v>481.16975334381993</v>
      </c>
    </row>
    <row r="229" spans="1:4" s="339" customFormat="1" ht="15.5" x14ac:dyDescent="0.35">
      <c r="A229" s="1158" t="s">
        <v>798</v>
      </c>
      <c r="B229" s="1159">
        <v>2023</v>
      </c>
      <c r="C229" s="1159" t="str">
        <f t="shared" si="5"/>
        <v>Colusa_2023</v>
      </c>
      <c r="D229" s="1169">
        <v>471.16960109037973</v>
      </c>
    </row>
    <row r="230" spans="1:4" s="339" customFormat="1" ht="15.5" x14ac:dyDescent="0.35">
      <c r="A230" s="1158" t="s">
        <v>798</v>
      </c>
      <c r="B230" s="1159">
        <v>2024</v>
      </c>
      <c r="C230" s="1159" t="str">
        <f t="shared" si="5"/>
        <v>Colusa_2024</v>
      </c>
      <c r="D230" s="1169">
        <v>460.80890458883471</v>
      </c>
    </row>
    <row r="231" spans="1:4" s="339" customFormat="1" ht="15.5" x14ac:dyDescent="0.35">
      <c r="A231" s="1158" t="s">
        <v>798</v>
      </c>
      <c r="B231" s="1159">
        <v>2025</v>
      </c>
      <c r="C231" s="1159" t="str">
        <f t="shared" si="5"/>
        <v>Colusa_2025</v>
      </c>
      <c r="D231" s="1169">
        <v>450.17360100529805</v>
      </c>
    </row>
    <row r="232" spans="1:4" s="339" customFormat="1" ht="15.5" x14ac:dyDescent="0.35">
      <c r="A232" s="1158" t="s">
        <v>798</v>
      </c>
      <c r="B232" s="1159">
        <v>2026</v>
      </c>
      <c r="C232" s="1159" t="str">
        <f t="shared" si="5"/>
        <v>Colusa_2026</v>
      </c>
      <c r="D232" s="1169">
        <v>439.86425278747788</v>
      </c>
    </row>
    <row r="233" spans="1:4" s="339" customFormat="1" ht="15.5" x14ac:dyDescent="0.35">
      <c r="A233" s="1158" t="s">
        <v>798</v>
      </c>
      <c r="B233" s="1159">
        <v>2027</v>
      </c>
      <c r="C233" s="1159" t="str">
        <f t="shared" si="5"/>
        <v>Colusa_2027</v>
      </c>
      <c r="D233" s="1169">
        <v>430.20354235847719</v>
      </c>
    </row>
    <row r="234" spans="1:4" s="339" customFormat="1" ht="15.5" x14ac:dyDescent="0.35">
      <c r="A234" s="1158" t="s">
        <v>798</v>
      </c>
      <c r="B234" s="1159">
        <v>2028</v>
      </c>
      <c r="C234" s="1159" t="str">
        <f t="shared" si="5"/>
        <v>Colusa_2028</v>
      </c>
      <c r="D234" s="1169">
        <v>421.3275452240743</v>
      </c>
    </row>
    <row r="235" spans="1:4" s="339" customFormat="1" ht="15.5" x14ac:dyDescent="0.35">
      <c r="A235" s="1158" t="s">
        <v>798</v>
      </c>
      <c r="B235" s="1159">
        <v>2029</v>
      </c>
      <c r="C235" s="1159" t="str">
        <f t="shared" si="5"/>
        <v>Colusa_2029</v>
      </c>
      <c r="D235" s="1169">
        <v>413.20959302729329</v>
      </c>
    </row>
    <row r="236" spans="1:4" s="339" customFormat="1" ht="15.5" x14ac:dyDescent="0.35">
      <c r="A236" s="1158" t="s">
        <v>798</v>
      </c>
      <c r="B236" s="1159">
        <v>2030</v>
      </c>
      <c r="C236" s="1159" t="str">
        <f t="shared" si="5"/>
        <v>Colusa_2030</v>
      </c>
      <c r="D236" s="1169">
        <v>405.8340786337061</v>
      </c>
    </row>
    <row r="237" spans="1:4" s="339" customFormat="1" ht="15.5" x14ac:dyDescent="0.35">
      <c r="A237" s="1158" t="s">
        <v>798</v>
      </c>
      <c r="B237" s="1159">
        <v>2031</v>
      </c>
      <c r="C237" s="1159" t="str">
        <f t="shared" si="5"/>
        <v>Colusa_2031</v>
      </c>
      <c r="D237" s="1169">
        <v>399.14964460037419</v>
      </c>
    </row>
    <row r="238" spans="1:4" s="339" customFormat="1" ht="15.5" x14ac:dyDescent="0.35">
      <c r="A238" s="1158" t="s">
        <v>798</v>
      </c>
      <c r="B238" s="1159">
        <v>2032</v>
      </c>
      <c r="C238" s="1159" t="str">
        <f t="shared" si="5"/>
        <v>Colusa_2032</v>
      </c>
      <c r="D238" s="1169">
        <v>393.11568240629646</v>
      </c>
    </row>
    <row r="239" spans="1:4" s="339" customFormat="1" ht="15.5" x14ac:dyDescent="0.35">
      <c r="A239" s="1158" t="s">
        <v>798</v>
      </c>
      <c r="B239" s="1159">
        <v>2033</v>
      </c>
      <c r="C239" s="1159" t="str">
        <f t="shared" si="5"/>
        <v>Colusa_2033</v>
      </c>
      <c r="D239" s="1169">
        <v>387.6877798722781</v>
      </c>
    </row>
    <row r="240" spans="1:4" s="339" customFormat="1" ht="15.5" x14ac:dyDescent="0.35">
      <c r="A240" s="1158" t="s">
        <v>798</v>
      </c>
      <c r="B240" s="1159">
        <v>2034</v>
      </c>
      <c r="C240" s="1159" t="str">
        <f t="shared" si="5"/>
        <v>Colusa_2034</v>
      </c>
      <c r="D240" s="1169">
        <v>382.83523796126048</v>
      </c>
    </row>
    <row r="241" spans="1:4" s="339" customFormat="1" ht="15.5" x14ac:dyDescent="0.35">
      <c r="A241" s="1158" t="s">
        <v>798</v>
      </c>
      <c r="B241" s="1159">
        <v>2035</v>
      </c>
      <c r="C241" s="1159" t="str">
        <f t="shared" si="5"/>
        <v>Colusa_2035</v>
      </c>
      <c r="D241" s="1169">
        <v>378.53608447240822</v>
      </c>
    </row>
    <row r="242" spans="1:4" s="339" customFormat="1" ht="15.5" x14ac:dyDescent="0.35">
      <c r="A242" s="1158" t="s">
        <v>798</v>
      </c>
      <c r="B242" s="1159">
        <v>2036</v>
      </c>
      <c r="C242" s="1159" t="str">
        <f t="shared" si="5"/>
        <v>Colusa_2036</v>
      </c>
      <c r="D242" s="1169">
        <v>374.75193177218085</v>
      </c>
    </row>
    <row r="243" spans="1:4" s="339" customFormat="1" ht="15.5" x14ac:dyDescent="0.35">
      <c r="A243" s="1158" t="s">
        <v>798</v>
      </c>
      <c r="B243" s="1159">
        <v>2037</v>
      </c>
      <c r="C243" s="1159" t="str">
        <f t="shared" si="5"/>
        <v>Colusa_2037</v>
      </c>
      <c r="D243" s="1169">
        <v>371.46046684769459</v>
      </c>
    </row>
    <row r="244" spans="1:4" s="339" customFormat="1" ht="15.5" x14ac:dyDescent="0.35">
      <c r="A244" s="1158" t="s">
        <v>798</v>
      </c>
      <c r="B244" s="1159">
        <v>2038</v>
      </c>
      <c r="C244" s="1159" t="str">
        <f t="shared" si="5"/>
        <v>Colusa_2038</v>
      </c>
      <c r="D244" s="1169">
        <v>368.62316906079309</v>
      </c>
    </row>
    <row r="245" spans="1:4" s="339" customFormat="1" ht="15.5" x14ac:dyDescent="0.35">
      <c r="A245" s="1158" t="s">
        <v>798</v>
      </c>
      <c r="B245" s="1159">
        <v>2039</v>
      </c>
      <c r="C245" s="1159" t="str">
        <f t="shared" si="5"/>
        <v>Colusa_2039</v>
      </c>
      <c r="D245" s="1169">
        <v>366.18267322241792</v>
      </c>
    </row>
    <row r="246" spans="1:4" s="339" customFormat="1" ht="15.5" x14ac:dyDescent="0.35">
      <c r="A246" s="1158" t="s">
        <v>798</v>
      </c>
      <c r="B246" s="1159">
        <v>2040</v>
      </c>
      <c r="C246" s="1159" t="str">
        <f t="shared" si="5"/>
        <v>Colusa_2040</v>
      </c>
      <c r="D246" s="1169">
        <v>364.10879039296589</v>
      </c>
    </row>
    <row r="247" spans="1:4" s="339" customFormat="1" ht="15.5" x14ac:dyDescent="0.35">
      <c r="A247" s="1158" t="s">
        <v>798</v>
      </c>
      <c r="B247" s="1159">
        <v>2041</v>
      </c>
      <c r="C247" s="1159" t="str">
        <f t="shared" si="5"/>
        <v>Colusa_2041</v>
      </c>
      <c r="D247" s="1169">
        <v>362.37838930186729</v>
      </c>
    </row>
    <row r="248" spans="1:4" s="339" customFormat="1" ht="15.5" x14ac:dyDescent="0.35">
      <c r="A248" s="1158" t="s">
        <v>798</v>
      </c>
      <c r="B248" s="1159">
        <v>2042</v>
      </c>
      <c r="C248" s="1159" t="str">
        <f t="shared" si="5"/>
        <v>Colusa_2042</v>
      </c>
      <c r="D248" s="1169">
        <v>360.91922960318919</v>
      </c>
    </row>
    <row r="249" spans="1:4" s="339" customFormat="1" ht="15.5" x14ac:dyDescent="0.35">
      <c r="A249" s="1158" t="s">
        <v>798</v>
      </c>
      <c r="B249" s="1159">
        <v>2043</v>
      </c>
      <c r="C249" s="1159" t="str">
        <f t="shared" si="5"/>
        <v>Colusa_2043</v>
      </c>
      <c r="D249" s="1169">
        <v>359.70833441312283</v>
      </c>
    </row>
    <row r="250" spans="1:4" s="339" customFormat="1" ht="15.5" x14ac:dyDescent="0.35">
      <c r="A250" s="1158" t="s">
        <v>798</v>
      </c>
      <c r="B250" s="1159">
        <v>2044</v>
      </c>
      <c r="C250" s="1159" t="str">
        <f t="shared" si="5"/>
        <v>Colusa_2044</v>
      </c>
      <c r="D250" s="1169">
        <v>358.69114283679181</v>
      </c>
    </row>
    <row r="251" spans="1:4" s="339" customFormat="1" ht="15.5" x14ac:dyDescent="0.35">
      <c r="A251" s="1158" t="s">
        <v>798</v>
      </c>
      <c r="B251" s="1159">
        <v>2045</v>
      </c>
      <c r="C251" s="1159" t="str">
        <f t="shared" si="5"/>
        <v>Colusa_2045</v>
      </c>
      <c r="D251" s="1169">
        <v>357.82096507120053</v>
      </c>
    </row>
    <row r="252" spans="1:4" s="339" customFormat="1" ht="15.5" x14ac:dyDescent="0.35">
      <c r="A252" s="1158" t="s">
        <v>798</v>
      </c>
      <c r="B252" s="1159">
        <v>2046</v>
      </c>
      <c r="C252" s="1159" t="str">
        <f t="shared" si="5"/>
        <v>Colusa_2046</v>
      </c>
      <c r="D252" s="1169">
        <v>357.09138972821813</v>
      </c>
    </row>
    <row r="253" spans="1:4" s="339" customFormat="1" ht="15.5" x14ac:dyDescent="0.35">
      <c r="A253" s="1158" t="s">
        <v>798</v>
      </c>
      <c r="B253" s="1159">
        <v>2047</v>
      </c>
      <c r="C253" s="1159" t="str">
        <f t="shared" si="5"/>
        <v>Colusa_2047</v>
      </c>
      <c r="D253" s="1169">
        <v>356.48439890027731</v>
      </c>
    </row>
    <row r="254" spans="1:4" s="339" customFormat="1" ht="15.5" x14ac:dyDescent="0.35">
      <c r="A254" s="1158" t="s">
        <v>798</v>
      </c>
      <c r="B254" s="1159">
        <v>2048</v>
      </c>
      <c r="C254" s="1159" t="str">
        <f t="shared" si="5"/>
        <v>Colusa_2048</v>
      </c>
      <c r="D254" s="1169">
        <v>355.97806499299469</v>
      </c>
    </row>
    <row r="255" spans="1:4" s="339" customFormat="1" ht="15.5" x14ac:dyDescent="0.35">
      <c r="A255" s="1158" t="s">
        <v>798</v>
      </c>
      <c r="B255" s="1159">
        <v>2049</v>
      </c>
      <c r="C255" s="1159" t="str">
        <f t="shared" si="5"/>
        <v>Colusa_2049</v>
      </c>
      <c r="D255" s="1169">
        <v>355.54736769042762</v>
      </c>
    </row>
    <row r="256" spans="1:4" s="339" customFormat="1" ht="15.5" x14ac:dyDescent="0.35">
      <c r="A256" s="1158" t="s">
        <v>798</v>
      </c>
      <c r="B256" s="1159">
        <v>2050</v>
      </c>
      <c r="C256" s="1159" t="str">
        <f t="shared" si="5"/>
        <v>Colusa_2050</v>
      </c>
      <c r="D256" s="1169">
        <v>355.1966873924772</v>
      </c>
    </row>
    <row r="257" spans="1:4" s="339" customFormat="1" ht="15.5" x14ac:dyDescent="0.35">
      <c r="A257" s="1155" t="s">
        <v>800</v>
      </c>
      <c r="B257" s="1156">
        <v>2015</v>
      </c>
      <c r="C257" s="1157" t="s">
        <v>871</v>
      </c>
      <c r="D257" s="1168">
        <v>507.91588006092201</v>
      </c>
    </row>
    <row r="258" spans="1:4" s="339" customFormat="1" ht="15.5" x14ac:dyDescent="0.35">
      <c r="A258" s="1155" t="s">
        <v>800</v>
      </c>
      <c r="B258" s="1156">
        <v>2016</v>
      </c>
      <c r="C258" s="1157" t="s">
        <v>872</v>
      </c>
      <c r="D258" s="1168">
        <v>497.56764674730653</v>
      </c>
    </row>
    <row r="259" spans="1:4" s="339" customFormat="1" ht="15.5" x14ac:dyDescent="0.35">
      <c r="A259" s="1158" t="s">
        <v>800</v>
      </c>
      <c r="B259" s="1159">
        <v>2017</v>
      </c>
      <c r="C259" s="1159" t="str">
        <f t="shared" ref="C259:C292" si="6">CONCATENATE(A259,"_",B259)</f>
        <v>Contra Costa_2017</v>
      </c>
      <c r="D259" s="1169">
        <v>493.15711939740112</v>
      </c>
    </row>
    <row r="260" spans="1:4" s="339" customFormat="1" ht="15.5" x14ac:dyDescent="0.35">
      <c r="A260" s="1158" t="s">
        <v>800</v>
      </c>
      <c r="B260" s="1159">
        <v>2018</v>
      </c>
      <c r="C260" s="1159" t="str">
        <f t="shared" si="6"/>
        <v>Contra Costa_2018</v>
      </c>
      <c r="D260" s="1169">
        <v>487.22991786381778</v>
      </c>
    </row>
    <row r="261" spans="1:4" s="339" customFormat="1" ht="15.5" x14ac:dyDescent="0.35">
      <c r="A261" s="1158" t="s">
        <v>800</v>
      </c>
      <c r="B261" s="1159">
        <v>2019</v>
      </c>
      <c r="C261" s="1159" t="str">
        <f t="shared" si="6"/>
        <v>Contra Costa_2019</v>
      </c>
      <c r="D261" s="1169">
        <v>480.51578466195582</v>
      </c>
    </row>
    <row r="262" spans="1:4" s="339" customFormat="1" ht="15.5" x14ac:dyDescent="0.35">
      <c r="A262" s="1158" t="s">
        <v>800</v>
      </c>
      <c r="B262" s="1159">
        <v>2020</v>
      </c>
      <c r="C262" s="1159" t="str">
        <f t="shared" si="6"/>
        <v>Contra Costa_2020</v>
      </c>
      <c r="D262" s="1169">
        <v>477.12849626663245</v>
      </c>
    </row>
    <row r="263" spans="1:4" s="339" customFormat="1" ht="15.5" x14ac:dyDescent="0.35">
      <c r="A263" s="1158" t="s">
        <v>800</v>
      </c>
      <c r="B263" s="1159">
        <v>2021</v>
      </c>
      <c r="C263" s="1159" t="str">
        <f t="shared" si="6"/>
        <v>Contra Costa_2021</v>
      </c>
      <c r="D263" s="1169">
        <v>467.1784132363768</v>
      </c>
    </row>
    <row r="264" spans="1:4" s="339" customFormat="1" ht="15.5" x14ac:dyDescent="0.35">
      <c r="A264" s="1158" t="s">
        <v>800</v>
      </c>
      <c r="B264" s="1159">
        <v>2022</v>
      </c>
      <c r="C264" s="1159" t="str">
        <f t="shared" si="6"/>
        <v>Contra Costa_2022</v>
      </c>
      <c r="D264" s="1169">
        <v>459.05190463331314</v>
      </c>
    </row>
    <row r="265" spans="1:4" s="339" customFormat="1" ht="15.5" x14ac:dyDescent="0.35">
      <c r="A265" s="1158" t="s">
        <v>800</v>
      </c>
      <c r="B265" s="1159">
        <v>2023</v>
      </c>
      <c r="C265" s="1159" t="str">
        <f t="shared" si="6"/>
        <v>Contra Costa_2023</v>
      </c>
      <c r="D265" s="1169">
        <v>450.37789717488909</v>
      </c>
    </row>
    <row r="266" spans="1:4" s="339" customFormat="1" ht="15.5" x14ac:dyDescent="0.35">
      <c r="A266" s="1158" t="s">
        <v>800</v>
      </c>
      <c r="B266" s="1159">
        <v>2024</v>
      </c>
      <c r="C266" s="1159" t="str">
        <f t="shared" si="6"/>
        <v>Contra Costa_2024</v>
      </c>
      <c r="D266" s="1169">
        <v>441.27097067534152</v>
      </c>
    </row>
    <row r="267" spans="1:4" s="339" customFormat="1" ht="15.5" x14ac:dyDescent="0.35">
      <c r="A267" s="1158" t="s">
        <v>800</v>
      </c>
      <c r="B267" s="1159">
        <v>2025</v>
      </c>
      <c r="C267" s="1159" t="str">
        <f t="shared" si="6"/>
        <v>Contra Costa_2025</v>
      </c>
      <c r="D267" s="1169">
        <v>431.78351784216983</v>
      </c>
    </row>
    <row r="268" spans="1:4" s="339" customFormat="1" ht="15.5" x14ac:dyDescent="0.35">
      <c r="A268" s="1158" t="s">
        <v>800</v>
      </c>
      <c r="B268" s="1159">
        <v>2026</v>
      </c>
      <c r="C268" s="1159" t="str">
        <f t="shared" si="6"/>
        <v>Contra Costa_2026</v>
      </c>
      <c r="D268" s="1169">
        <v>422.50086539663249</v>
      </c>
    </row>
    <row r="269" spans="1:4" s="339" customFormat="1" ht="15.5" x14ac:dyDescent="0.35">
      <c r="A269" s="1158" t="s">
        <v>800</v>
      </c>
      <c r="B269" s="1159">
        <v>2027</v>
      </c>
      <c r="C269" s="1159" t="str">
        <f t="shared" si="6"/>
        <v>Contra Costa_2027</v>
      </c>
      <c r="D269" s="1169">
        <v>413.73337881265149</v>
      </c>
    </row>
    <row r="270" spans="1:4" s="339" customFormat="1" ht="15.5" x14ac:dyDescent="0.35">
      <c r="A270" s="1158" t="s">
        <v>800</v>
      </c>
      <c r="B270" s="1159">
        <v>2028</v>
      </c>
      <c r="C270" s="1159" t="str">
        <f t="shared" si="6"/>
        <v>Contra Costa_2028</v>
      </c>
      <c r="D270" s="1169">
        <v>405.62774965393788</v>
      </c>
    </row>
    <row r="271" spans="1:4" s="339" customFormat="1" ht="15.5" x14ac:dyDescent="0.35">
      <c r="A271" s="1158" t="s">
        <v>800</v>
      </c>
      <c r="B271" s="1159">
        <v>2029</v>
      </c>
      <c r="C271" s="1159" t="str">
        <f t="shared" si="6"/>
        <v>Contra Costa_2029</v>
      </c>
      <c r="D271" s="1169">
        <v>398.1866355974592</v>
      </c>
    </row>
    <row r="272" spans="1:4" s="339" customFormat="1" ht="15.5" x14ac:dyDescent="0.35">
      <c r="A272" s="1158" t="s">
        <v>800</v>
      </c>
      <c r="B272" s="1159">
        <v>2030</v>
      </c>
      <c r="C272" s="1159" t="str">
        <f t="shared" si="6"/>
        <v>Contra Costa_2030</v>
      </c>
      <c r="D272" s="1169">
        <v>391.40765992133873</v>
      </c>
    </row>
    <row r="273" spans="1:4" s="339" customFormat="1" ht="15.5" x14ac:dyDescent="0.35">
      <c r="A273" s="1158" t="s">
        <v>800</v>
      </c>
      <c r="B273" s="1159">
        <v>2031</v>
      </c>
      <c r="C273" s="1159" t="str">
        <f t="shared" si="6"/>
        <v>Contra Costa_2031</v>
      </c>
      <c r="D273" s="1169">
        <v>385.87503427969415</v>
      </c>
    </row>
    <row r="274" spans="1:4" s="339" customFormat="1" ht="15.5" x14ac:dyDescent="0.35">
      <c r="A274" s="1158" t="s">
        <v>800</v>
      </c>
      <c r="B274" s="1159">
        <v>2032</v>
      </c>
      <c r="C274" s="1159" t="str">
        <f t="shared" si="6"/>
        <v>Contra Costa_2032</v>
      </c>
      <c r="D274" s="1169">
        <v>380.3025477681544</v>
      </c>
    </row>
    <row r="275" spans="1:4" s="339" customFormat="1" ht="15.5" x14ac:dyDescent="0.35">
      <c r="A275" s="1158" t="s">
        <v>800</v>
      </c>
      <c r="B275" s="1159">
        <v>2033</v>
      </c>
      <c r="C275" s="1159" t="str">
        <f t="shared" si="6"/>
        <v>Contra Costa_2033</v>
      </c>
      <c r="D275" s="1169">
        <v>375.30083430242649</v>
      </c>
    </row>
    <row r="276" spans="1:4" s="339" customFormat="1" ht="15.5" x14ac:dyDescent="0.35">
      <c r="A276" s="1158" t="s">
        <v>800</v>
      </c>
      <c r="B276" s="1159">
        <v>2034</v>
      </c>
      <c r="C276" s="1159" t="str">
        <f t="shared" si="6"/>
        <v>Contra Costa_2034</v>
      </c>
      <c r="D276" s="1169">
        <v>370.83997185187701</v>
      </c>
    </row>
    <row r="277" spans="1:4" s="339" customFormat="1" ht="15.5" x14ac:dyDescent="0.35">
      <c r="A277" s="1158" t="s">
        <v>800</v>
      </c>
      <c r="B277" s="1159">
        <v>2035</v>
      </c>
      <c r="C277" s="1159" t="str">
        <f t="shared" si="6"/>
        <v>Contra Costa_2035</v>
      </c>
      <c r="D277" s="1169">
        <v>366.89990683610398</v>
      </c>
    </row>
    <row r="278" spans="1:4" s="339" customFormat="1" ht="15.5" x14ac:dyDescent="0.35">
      <c r="A278" s="1158" t="s">
        <v>800</v>
      </c>
      <c r="B278" s="1159">
        <v>2036</v>
      </c>
      <c r="C278" s="1159" t="str">
        <f t="shared" si="6"/>
        <v>Contra Costa_2036</v>
      </c>
      <c r="D278" s="1169">
        <v>363.455873884516</v>
      </c>
    </row>
    <row r="279" spans="1:4" s="339" customFormat="1" ht="15.5" x14ac:dyDescent="0.35">
      <c r="A279" s="1158" t="s">
        <v>800</v>
      </c>
      <c r="B279" s="1159">
        <v>2037</v>
      </c>
      <c r="C279" s="1159" t="str">
        <f t="shared" si="6"/>
        <v>Contra Costa_2037</v>
      </c>
      <c r="D279" s="1169">
        <v>360.47796455343342</v>
      </c>
    </row>
    <row r="280" spans="1:4" s="339" customFormat="1" ht="15.5" x14ac:dyDescent="0.35">
      <c r="A280" s="1158" t="s">
        <v>800</v>
      </c>
      <c r="B280" s="1159">
        <v>2038</v>
      </c>
      <c r="C280" s="1159" t="str">
        <f t="shared" si="6"/>
        <v>Contra Costa_2038</v>
      </c>
      <c r="D280" s="1169">
        <v>357.93211079445547</v>
      </c>
    </row>
    <row r="281" spans="1:4" s="339" customFormat="1" ht="15.5" x14ac:dyDescent="0.35">
      <c r="A281" s="1158" t="s">
        <v>800</v>
      </c>
      <c r="B281" s="1159">
        <v>2039</v>
      </c>
      <c r="C281" s="1159" t="str">
        <f t="shared" si="6"/>
        <v>Contra Costa_2039</v>
      </c>
      <c r="D281" s="1169">
        <v>355.77047368741455</v>
      </c>
    </row>
    <row r="282" spans="1:4" s="339" customFormat="1" ht="15.5" x14ac:dyDescent="0.35">
      <c r="A282" s="1158" t="s">
        <v>800</v>
      </c>
      <c r="B282" s="1159">
        <v>2040</v>
      </c>
      <c r="C282" s="1159" t="str">
        <f t="shared" si="6"/>
        <v>Contra Costa_2040</v>
      </c>
      <c r="D282" s="1169">
        <v>353.95731739790045</v>
      </c>
    </row>
    <row r="283" spans="1:4" s="339" customFormat="1" ht="15.5" x14ac:dyDescent="0.35">
      <c r="A283" s="1158" t="s">
        <v>800</v>
      </c>
      <c r="B283" s="1159">
        <v>2041</v>
      </c>
      <c r="C283" s="1159" t="str">
        <f t="shared" si="6"/>
        <v>Contra Costa_2041</v>
      </c>
      <c r="D283" s="1169">
        <v>352.45419212220389</v>
      </c>
    </row>
    <row r="284" spans="1:4" s="339" customFormat="1" ht="15.5" x14ac:dyDescent="0.35">
      <c r="A284" s="1158" t="s">
        <v>800</v>
      </c>
      <c r="B284" s="1159">
        <v>2042</v>
      </c>
      <c r="C284" s="1159" t="str">
        <f t="shared" si="6"/>
        <v>Contra Costa_2042</v>
      </c>
      <c r="D284" s="1169">
        <v>351.1949570226738</v>
      </c>
    </row>
    <row r="285" spans="1:4" s="339" customFormat="1" ht="15.5" x14ac:dyDescent="0.35">
      <c r="A285" s="1158" t="s">
        <v>800</v>
      </c>
      <c r="B285" s="1159">
        <v>2043</v>
      </c>
      <c r="C285" s="1159" t="str">
        <f t="shared" si="6"/>
        <v>Contra Costa_2043</v>
      </c>
      <c r="D285" s="1169">
        <v>350.15258793768061</v>
      </c>
    </row>
    <row r="286" spans="1:4" s="339" customFormat="1" ht="15.5" x14ac:dyDescent="0.35">
      <c r="A286" s="1158" t="s">
        <v>800</v>
      </c>
      <c r="B286" s="1159">
        <v>2044</v>
      </c>
      <c r="C286" s="1159" t="str">
        <f t="shared" si="6"/>
        <v>Contra Costa_2044</v>
      </c>
      <c r="D286" s="1169">
        <v>349.28496623228523</v>
      </c>
    </row>
    <row r="287" spans="1:4" s="339" customFormat="1" ht="15.5" x14ac:dyDescent="0.35">
      <c r="A287" s="1158" t="s">
        <v>800</v>
      </c>
      <c r="B287" s="1159">
        <v>2045</v>
      </c>
      <c r="C287" s="1159" t="str">
        <f t="shared" si="6"/>
        <v>Contra Costa_2045</v>
      </c>
      <c r="D287" s="1169">
        <v>348.54638736855753</v>
      </c>
    </row>
    <row r="288" spans="1:4" s="339" customFormat="1" ht="15.5" x14ac:dyDescent="0.35">
      <c r="A288" s="1158" t="s">
        <v>800</v>
      </c>
      <c r="B288" s="1159">
        <v>2046</v>
      </c>
      <c r="C288" s="1159" t="str">
        <f t="shared" si="6"/>
        <v>Contra Costa_2046</v>
      </c>
      <c r="D288" s="1169">
        <v>347.91962474368302</v>
      </c>
    </row>
    <row r="289" spans="1:4" s="339" customFormat="1" ht="15.5" x14ac:dyDescent="0.35">
      <c r="A289" s="1158" t="s">
        <v>800</v>
      </c>
      <c r="B289" s="1159">
        <v>2047</v>
      </c>
      <c r="C289" s="1159" t="str">
        <f t="shared" si="6"/>
        <v>Contra Costa_2047</v>
      </c>
      <c r="D289" s="1169">
        <v>347.39546232930354</v>
      </c>
    </row>
    <row r="290" spans="1:4" s="339" customFormat="1" ht="15.5" x14ac:dyDescent="0.35">
      <c r="A290" s="1158" t="s">
        <v>800</v>
      </c>
      <c r="B290" s="1159">
        <v>2048</v>
      </c>
      <c r="C290" s="1159" t="str">
        <f t="shared" si="6"/>
        <v>Contra Costa_2048</v>
      </c>
      <c r="D290" s="1169">
        <v>346.95723253642518</v>
      </c>
    </row>
    <row r="291" spans="1:4" s="339" customFormat="1" ht="15.5" x14ac:dyDescent="0.35">
      <c r="A291" s="1158" t="s">
        <v>800</v>
      </c>
      <c r="B291" s="1159">
        <v>2049</v>
      </c>
      <c r="C291" s="1159" t="str">
        <f t="shared" si="6"/>
        <v>Contra Costa_2049</v>
      </c>
      <c r="D291" s="1169">
        <v>346.58360652664794</v>
      </c>
    </row>
    <row r="292" spans="1:4" s="339" customFormat="1" ht="15.5" x14ac:dyDescent="0.35">
      <c r="A292" s="1158" t="s">
        <v>800</v>
      </c>
      <c r="B292" s="1159">
        <v>2050</v>
      </c>
      <c r="C292" s="1159" t="str">
        <f t="shared" si="6"/>
        <v>Contra Costa_2050</v>
      </c>
      <c r="D292" s="1169">
        <v>346.28456246393864</v>
      </c>
    </row>
    <row r="293" spans="1:4" s="339" customFormat="1" ht="15.5" x14ac:dyDescent="0.35">
      <c r="A293" s="1155" t="s">
        <v>802</v>
      </c>
      <c r="B293" s="1156">
        <v>2015</v>
      </c>
      <c r="C293" s="1157" t="s">
        <v>873</v>
      </c>
      <c r="D293" s="1168">
        <v>561.95888889909509</v>
      </c>
    </row>
    <row r="294" spans="1:4" s="339" customFormat="1" ht="15.5" x14ac:dyDescent="0.35">
      <c r="A294" s="1155" t="s">
        <v>802</v>
      </c>
      <c r="B294" s="1156">
        <v>2016</v>
      </c>
      <c r="C294" s="1157" t="s">
        <v>874</v>
      </c>
      <c r="D294" s="1168">
        <v>551.04057070931219</v>
      </c>
    </row>
    <row r="295" spans="1:4" s="339" customFormat="1" ht="15.5" x14ac:dyDescent="0.35">
      <c r="A295" s="1158" t="s">
        <v>802</v>
      </c>
      <c r="B295" s="1159">
        <v>2017</v>
      </c>
      <c r="C295" s="1159" t="str">
        <f t="shared" ref="C295:C328" si="7">CONCATENATE(A295,"_",B295)</f>
        <v>Del Norte_2017</v>
      </c>
      <c r="D295" s="1169">
        <v>547.45661624158981</v>
      </c>
    </row>
    <row r="296" spans="1:4" s="339" customFormat="1" ht="15.5" x14ac:dyDescent="0.35">
      <c r="A296" s="1158" t="s">
        <v>802</v>
      </c>
      <c r="B296" s="1159">
        <v>2018</v>
      </c>
      <c r="C296" s="1159" t="str">
        <f t="shared" si="7"/>
        <v>Del Norte_2018</v>
      </c>
      <c r="D296" s="1169">
        <v>540.63960995251568</v>
      </c>
    </row>
    <row r="297" spans="1:4" s="339" customFormat="1" ht="15.5" x14ac:dyDescent="0.35">
      <c r="A297" s="1158" t="s">
        <v>802</v>
      </c>
      <c r="B297" s="1159">
        <v>2019</v>
      </c>
      <c r="C297" s="1159" t="str">
        <f t="shared" si="7"/>
        <v>Del Norte_2019</v>
      </c>
      <c r="D297" s="1169">
        <v>532.38988515171582</v>
      </c>
    </row>
    <row r="298" spans="1:4" s="339" customFormat="1" ht="15.5" x14ac:dyDescent="0.35">
      <c r="A298" s="1158" t="s">
        <v>802</v>
      </c>
      <c r="B298" s="1159">
        <v>2020</v>
      </c>
      <c r="C298" s="1159" t="str">
        <f t="shared" si="7"/>
        <v>Del Norte_2020</v>
      </c>
      <c r="D298" s="1169">
        <v>528.47615579554667</v>
      </c>
    </row>
    <row r="299" spans="1:4" s="339" customFormat="1" ht="15.5" x14ac:dyDescent="0.35">
      <c r="A299" s="1158" t="s">
        <v>802</v>
      </c>
      <c r="B299" s="1159">
        <v>2021</v>
      </c>
      <c r="C299" s="1159" t="str">
        <f t="shared" si="7"/>
        <v>Del Norte_2021</v>
      </c>
      <c r="D299" s="1169">
        <v>518.70718585702923</v>
      </c>
    </row>
    <row r="300" spans="1:4" s="339" customFormat="1" ht="15.5" x14ac:dyDescent="0.35">
      <c r="A300" s="1158" t="s">
        <v>802</v>
      </c>
      <c r="B300" s="1159">
        <v>2022</v>
      </c>
      <c r="C300" s="1159" t="str">
        <f t="shared" si="7"/>
        <v>Del Norte_2022</v>
      </c>
      <c r="D300" s="1169">
        <v>510.10175824131204</v>
      </c>
    </row>
    <row r="301" spans="1:4" s="339" customFormat="1" ht="15.5" x14ac:dyDescent="0.35">
      <c r="A301" s="1158" t="s">
        <v>802</v>
      </c>
      <c r="B301" s="1159">
        <v>2023</v>
      </c>
      <c r="C301" s="1159" t="str">
        <f t="shared" si="7"/>
        <v>Del Norte_2023</v>
      </c>
      <c r="D301" s="1169">
        <v>500.81596222092509</v>
      </c>
    </row>
    <row r="302" spans="1:4" s="339" customFormat="1" ht="15.5" x14ac:dyDescent="0.35">
      <c r="A302" s="1158" t="s">
        <v>802</v>
      </c>
      <c r="B302" s="1159">
        <v>2024</v>
      </c>
      <c r="C302" s="1159" t="str">
        <f t="shared" si="7"/>
        <v>Del Norte_2024</v>
      </c>
      <c r="D302" s="1169">
        <v>491.06301902259992</v>
      </c>
    </row>
    <row r="303" spans="1:4" s="339" customFormat="1" ht="15.5" x14ac:dyDescent="0.35">
      <c r="A303" s="1158" t="s">
        <v>802</v>
      </c>
      <c r="B303" s="1159">
        <v>2025</v>
      </c>
      <c r="C303" s="1159" t="str">
        <f t="shared" si="7"/>
        <v>Del Norte_2025</v>
      </c>
      <c r="D303" s="1169">
        <v>480.90830375027667</v>
      </c>
    </row>
    <row r="304" spans="1:4" s="339" customFormat="1" ht="15.5" x14ac:dyDescent="0.35">
      <c r="A304" s="1158" t="s">
        <v>802</v>
      </c>
      <c r="B304" s="1159">
        <v>2026</v>
      </c>
      <c r="C304" s="1159" t="str">
        <f t="shared" si="7"/>
        <v>Del Norte_2026</v>
      </c>
      <c r="D304" s="1169">
        <v>470.80380099974127</v>
      </c>
    </row>
    <row r="305" spans="1:4" s="339" customFormat="1" ht="15.5" x14ac:dyDescent="0.35">
      <c r="A305" s="1158" t="s">
        <v>802</v>
      </c>
      <c r="B305" s="1159">
        <v>2027</v>
      </c>
      <c r="C305" s="1159" t="str">
        <f t="shared" si="7"/>
        <v>Del Norte_2027</v>
      </c>
      <c r="D305" s="1169">
        <v>460.99896276256533</v>
      </c>
    </row>
    <row r="306" spans="1:4" s="339" customFormat="1" ht="15.5" x14ac:dyDescent="0.35">
      <c r="A306" s="1158" t="s">
        <v>802</v>
      </c>
      <c r="B306" s="1159">
        <v>2028</v>
      </c>
      <c r="C306" s="1159" t="str">
        <f t="shared" si="7"/>
        <v>Del Norte_2028</v>
      </c>
      <c r="D306" s="1169">
        <v>451.65926178651199</v>
      </c>
    </row>
    <row r="307" spans="1:4" s="339" customFormat="1" ht="15.5" x14ac:dyDescent="0.35">
      <c r="A307" s="1158" t="s">
        <v>802</v>
      </c>
      <c r="B307" s="1159">
        <v>2029</v>
      </c>
      <c r="C307" s="1159" t="str">
        <f t="shared" si="7"/>
        <v>Del Norte_2029</v>
      </c>
      <c r="D307" s="1169">
        <v>442.89285408804204</v>
      </c>
    </row>
    <row r="308" spans="1:4" s="339" customFormat="1" ht="15.5" x14ac:dyDescent="0.35">
      <c r="A308" s="1158" t="s">
        <v>802</v>
      </c>
      <c r="B308" s="1159">
        <v>2030</v>
      </c>
      <c r="C308" s="1159" t="str">
        <f t="shared" si="7"/>
        <v>Del Norte_2030</v>
      </c>
      <c r="D308" s="1169">
        <v>434.66938985186516</v>
      </c>
    </row>
    <row r="309" spans="1:4" s="339" customFormat="1" ht="15.5" x14ac:dyDescent="0.35">
      <c r="A309" s="1158" t="s">
        <v>802</v>
      </c>
      <c r="B309" s="1159">
        <v>2031</v>
      </c>
      <c r="C309" s="1159" t="str">
        <f t="shared" si="7"/>
        <v>Del Norte_2031</v>
      </c>
      <c r="D309" s="1169">
        <v>427.04233760092859</v>
      </c>
    </row>
    <row r="310" spans="1:4" s="339" customFormat="1" ht="15.5" x14ac:dyDescent="0.35">
      <c r="A310" s="1158" t="s">
        <v>802</v>
      </c>
      <c r="B310" s="1159">
        <v>2032</v>
      </c>
      <c r="C310" s="1159" t="str">
        <f t="shared" si="7"/>
        <v>Del Norte_2032</v>
      </c>
      <c r="D310" s="1169">
        <v>419.93986935850376</v>
      </c>
    </row>
    <row r="311" spans="1:4" s="339" customFormat="1" ht="15.5" x14ac:dyDescent="0.35">
      <c r="A311" s="1158" t="s">
        <v>802</v>
      </c>
      <c r="B311" s="1159">
        <v>2033</v>
      </c>
      <c r="C311" s="1159" t="str">
        <f t="shared" si="7"/>
        <v>Del Norte_2033</v>
      </c>
      <c r="D311" s="1169">
        <v>413.32259398424998</v>
      </c>
    </row>
    <row r="312" spans="1:4" s="339" customFormat="1" ht="15.5" x14ac:dyDescent="0.35">
      <c r="A312" s="1158" t="s">
        <v>802</v>
      </c>
      <c r="B312" s="1159">
        <v>2034</v>
      </c>
      <c r="C312" s="1159" t="str">
        <f t="shared" si="7"/>
        <v>Del Norte_2034</v>
      </c>
      <c r="D312" s="1169">
        <v>407.27456104270715</v>
      </c>
    </row>
    <row r="313" spans="1:4" s="339" customFormat="1" ht="15.5" x14ac:dyDescent="0.35">
      <c r="A313" s="1158" t="s">
        <v>802</v>
      </c>
      <c r="B313" s="1159">
        <v>2035</v>
      </c>
      <c r="C313" s="1159" t="str">
        <f t="shared" si="7"/>
        <v>Del Norte_2035</v>
      </c>
      <c r="D313" s="1169">
        <v>401.7704433216802</v>
      </c>
    </row>
    <row r="314" spans="1:4" s="339" customFormat="1" ht="15.5" x14ac:dyDescent="0.35">
      <c r="A314" s="1158" t="s">
        <v>802</v>
      </c>
      <c r="B314" s="1159">
        <v>2036</v>
      </c>
      <c r="C314" s="1159" t="str">
        <f t="shared" si="7"/>
        <v>Del Norte_2036</v>
      </c>
      <c r="D314" s="1169">
        <v>396.77894802586934</v>
      </c>
    </row>
    <row r="315" spans="1:4" s="339" customFormat="1" ht="15.5" x14ac:dyDescent="0.35">
      <c r="A315" s="1158" t="s">
        <v>802</v>
      </c>
      <c r="B315" s="1159">
        <v>2037</v>
      </c>
      <c r="C315" s="1159" t="str">
        <f t="shared" si="7"/>
        <v>Del Norte_2037</v>
      </c>
      <c r="D315" s="1169">
        <v>392.3287929446567</v>
      </c>
    </row>
    <row r="316" spans="1:4" s="339" customFormat="1" ht="15.5" x14ac:dyDescent="0.35">
      <c r="A316" s="1158" t="s">
        <v>802</v>
      </c>
      <c r="B316" s="1159">
        <v>2038</v>
      </c>
      <c r="C316" s="1159" t="str">
        <f t="shared" si="7"/>
        <v>Del Norte_2038</v>
      </c>
      <c r="D316" s="1169">
        <v>388.40257304636486</v>
      </c>
    </row>
    <row r="317" spans="1:4" s="339" customFormat="1" ht="15.5" x14ac:dyDescent="0.35">
      <c r="A317" s="1158" t="s">
        <v>802</v>
      </c>
      <c r="B317" s="1159">
        <v>2039</v>
      </c>
      <c r="C317" s="1159" t="str">
        <f t="shared" si="7"/>
        <v>Del Norte_2039</v>
      </c>
      <c r="D317" s="1169">
        <v>384.92852988737167</v>
      </c>
    </row>
    <row r="318" spans="1:4" s="339" customFormat="1" ht="15.5" x14ac:dyDescent="0.35">
      <c r="A318" s="1158" t="s">
        <v>802</v>
      </c>
      <c r="B318" s="1159">
        <v>2040</v>
      </c>
      <c r="C318" s="1159" t="str">
        <f t="shared" si="7"/>
        <v>Del Norte_2040</v>
      </c>
      <c r="D318" s="1169">
        <v>381.86680496709397</v>
      </c>
    </row>
    <row r="319" spans="1:4" s="339" customFormat="1" ht="15.5" x14ac:dyDescent="0.35">
      <c r="A319" s="1158" t="s">
        <v>802</v>
      </c>
      <c r="B319" s="1159">
        <v>2041</v>
      </c>
      <c r="C319" s="1159" t="str">
        <f t="shared" si="7"/>
        <v>Del Norte_2041</v>
      </c>
      <c r="D319" s="1169">
        <v>379.23339208971947</v>
      </c>
    </row>
    <row r="320" spans="1:4" s="339" customFormat="1" ht="15.5" x14ac:dyDescent="0.35">
      <c r="A320" s="1158" t="s">
        <v>802</v>
      </c>
      <c r="B320" s="1159">
        <v>2042</v>
      </c>
      <c r="C320" s="1159" t="str">
        <f t="shared" si="7"/>
        <v>Del Norte_2042</v>
      </c>
      <c r="D320" s="1169">
        <v>376.91943435372968</v>
      </c>
    </row>
    <row r="321" spans="1:4" s="339" customFormat="1" ht="15.5" x14ac:dyDescent="0.35">
      <c r="A321" s="1158" t="s">
        <v>802</v>
      </c>
      <c r="B321" s="1159">
        <v>2043</v>
      </c>
      <c r="C321" s="1159" t="str">
        <f t="shared" si="7"/>
        <v>Del Norte_2043</v>
      </c>
      <c r="D321" s="1169">
        <v>374.90493935286838</v>
      </c>
    </row>
    <row r="322" spans="1:4" s="339" customFormat="1" ht="15.5" x14ac:dyDescent="0.35">
      <c r="A322" s="1158" t="s">
        <v>802</v>
      </c>
      <c r="B322" s="1159">
        <v>2044</v>
      </c>
      <c r="C322" s="1159" t="str">
        <f t="shared" si="7"/>
        <v>Del Norte_2044</v>
      </c>
      <c r="D322" s="1169">
        <v>373.19942224140215</v>
      </c>
    </row>
    <row r="323" spans="1:4" s="339" customFormat="1" ht="15.5" x14ac:dyDescent="0.35">
      <c r="A323" s="1158" t="s">
        <v>802</v>
      </c>
      <c r="B323" s="1159">
        <v>2045</v>
      </c>
      <c r="C323" s="1159" t="str">
        <f t="shared" si="7"/>
        <v>Del Norte_2045</v>
      </c>
      <c r="D323" s="1169">
        <v>371.64362601184371</v>
      </c>
    </row>
    <row r="324" spans="1:4" s="339" customFormat="1" ht="15.5" x14ac:dyDescent="0.35">
      <c r="A324" s="1158" t="s">
        <v>802</v>
      </c>
      <c r="B324" s="1159">
        <v>2046</v>
      </c>
      <c r="C324" s="1159" t="str">
        <f t="shared" si="7"/>
        <v>Del Norte_2046</v>
      </c>
      <c r="D324" s="1169">
        <v>370.31125974363169</v>
      </c>
    </row>
    <row r="325" spans="1:4" s="339" customFormat="1" ht="15.5" x14ac:dyDescent="0.35">
      <c r="A325" s="1158" t="s">
        <v>802</v>
      </c>
      <c r="B325" s="1159">
        <v>2047</v>
      </c>
      <c r="C325" s="1159" t="str">
        <f t="shared" si="7"/>
        <v>Del Norte_2047</v>
      </c>
      <c r="D325" s="1169">
        <v>369.18043790697357</v>
      </c>
    </row>
    <row r="326" spans="1:4" s="339" customFormat="1" ht="15.5" x14ac:dyDescent="0.35">
      <c r="A326" s="1158" t="s">
        <v>802</v>
      </c>
      <c r="B326" s="1159">
        <v>2048</v>
      </c>
      <c r="C326" s="1159" t="str">
        <f t="shared" si="7"/>
        <v>Del Norte_2048</v>
      </c>
      <c r="D326" s="1169">
        <v>368.15416653701919</v>
      </c>
    </row>
    <row r="327" spans="1:4" s="339" customFormat="1" ht="15.5" x14ac:dyDescent="0.35">
      <c r="A327" s="1158" t="s">
        <v>802</v>
      </c>
      <c r="B327" s="1159">
        <v>2049</v>
      </c>
      <c r="C327" s="1159" t="str">
        <f t="shared" si="7"/>
        <v>Del Norte_2049</v>
      </c>
      <c r="D327" s="1169">
        <v>367.28146246695007</v>
      </c>
    </row>
    <row r="328" spans="1:4" s="339" customFormat="1" ht="15.5" x14ac:dyDescent="0.35">
      <c r="A328" s="1158" t="s">
        <v>802</v>
      </c>
      <c r="B328" s="1159">
        <v>2050</v>
      </c>
      <c r="C328" s="1159" t="str">
        <f t="shared" si="7"/>
        <v>Del Norte_2050</v>
      </c>
      <c r="D328" s="1169">
        <v>366.518543780816</v>
      </c>
    </row>
    <row r="329" spans="1:4" s="339" customFormat="1" ht="15.5" x14ac:dyDescent="0.35">
      <c r="A329" s="1155" t="s">
        <v>804</v>
      </c>
      <c r="B329" s="1156">
        <v>2015</v>
      </c>
      <c r="C329" s="1157" t="s">
        <v>875</v>
      </c>
      <c r="D329" s="1168">
        <v>536.50236290629823</v>
      </c>
    </row>
    <row r="330" spans="1:4" s="339" customFormat="1" ht="15.5" x14ac:dyDescent="0.35">
      <c r="A330" s="1155" t="s">
        <v>804</v>
      </c>
      <c r="B330" s="1156">
        <v>2016</v>
      </c>
      <c r="C330" s="1157" t="s">
        <v>876</v>
      </c>
      <c r="D330" s="1168">
        <v>525.43229175320357</v>
      </c>
    </row>
    <row r="331" spans="1:4" s="339" customFormat="1" ht="15.5" x14ac:dyDescent="0.35">
      <c r="A331" s="1158" t="s">
        <v>804</v>
      </c>
      <c r="B331" s="1159">
        <v>2017</v>
      </c>
      <c r="C331" s="1159" t="str">
        <f t="shared" ref="C331:C364" si="8">CONCATENATE(A331,"_",B331)</f>
        <v>El Dorado_2017</v>
      </c>
      <c r="D331" s="1169">
        <v>520.77995136148593</v>
      </c>
    </row>
    <row r="332" spans="1:4" s="339" customFormat="1" ht="15.5" x14ac:dyDescent="0.35">
      <c r="A332" s="1158" t="s">
        <v>804</v>
      </c>
      <c r="B332" s="1159">
        <v>2018</v>
      </c>
      <c r="C332" s="1159" t="str">
        <f t="shared" si="8"/>
        <v>El Dorado_2018</v>
      </c>
      <c r="D332" s="1169">
        <v>514.19863250195419</v>
      </c>
    </row>
    <row r="333" spans="1:4" s="339" customFormat="1" ht="15.5" x14ac:dyDescent="0.35">
      <c r="A333" s="1158" t="s">
        <v>804</v>
      </c>
      <c r="B333" s="1159">
        <v>2019</v>
      </c>
      <c r="C333" s="1159" t="str">
        <f t="shared" si="8"/>
        <v>El Dorado_2019</v>
      </c>
      <c r="D333" s="1169">
        <v>505.74863428097939</v>
      </c>
    </row>
    <row r="334" spans="1:4" s="339" customFormat="1" ht="15.5" x14ac:dyDescent="0.35">
      <c r="A334" s="1158" t="s">
        <v>804</v>
      </c>
      <c r="B334" s="1159">
        <v>2020</v>
      </c>
      <c r="C334" s="1159" t="str">
        <f t="shared" si="8"/>
        <v>El Dorado_2020</v>
      </c>
      <c r="D334" s="1169">
        <v>502.1578686173541</v>
      </c>
    </row>
    <row r="335" spans="1:4" s="339" customFormat="1" ht="15.5" x14ac:dyDescent="0.35">
      <c r="A335" s="1158" t="s">
        <v>804</v>
      </c>
      <c r="B335" s="1159">
        <v>2021</v>
      </c>
      <c r="C335" s="1159" t="str">
        <f t="shared" si="8"/>
        <v>El Dorado_2021</v>
      </c>
      <c r="D335" s="1169">
        <v>492.40674587237112</v>
      </c>
    </row>
    <row r="336" spans="1:4" s="339" customFormat="1" ht="15.5" x14ac:dyDescent="0.35">
      <c r="A336" s="1158" t="s">
        <v>804</v>
      </c>
      <c r="B336" s="1159">
        <v>2022</v>
      </c>
      <c r="C336" s="1159" t="str">
        <f t="shared" si="8"/>
        <v>El Dorado_2022</v>
      </c>
      <c r="D336" s="1169">
        <v>483.36755483052968</v>
      </c>
    </row>
    <row r="337" spans="1:4" s="339" customFormat="1" ht="15.5" x14ac:dyDescent="0.35">
      <c r="A337" s="1158" t="s">
        <v>804</v>
      </c>
      <c r="B337" s="1159">
        <v>2023</v>
      </c>
      <c r="C337" s="1159" t="str">
        <f t="shared" si="8"/>
        <v>El Dorado_2023</v>
      </c>
      <c r="D337" s="1169">
        <v>473.78085000557081</v>
      </c>
    </row>
    <row r="338" spans="1:4" s="339" customFormat="1" ht="15.5" x14ac:dyDescent="0.35">
      <c r="A338" s="1158" t="s">
        <v>804</v>
      </c>
      <c r="B338" s="1159">
        <v>2024</v>
      </c>
      <c r="C338" s="1159" t="str">
        <f t="shared" si="8"/>
        <v>El Dorado_2024</v>
      </c>
      <c r="D338" s="1169">
        <v>464.29261821310843</v>
      </c>
    </row>
    <row r="339" spans="1:4" s="339" customFormat="1" ht="15.5" x14ac:dyDescent="0.35">
      <c r="A339" s="1158" t="s">
        <v>804</v>
      </c>
      <c r="B339" s="1159">
        <v>2025</v>
      </c>
      <c r="C339" s="1159" t="str">
        <f t="shared" si="8"/>
        <v>El Dorado_2025</v>
      </c>
      <c r="D339" s="1169">
        <v>453.99869330875936</v>
      </c>
    </row>
    <row r="340" spans="1:4" s="339" customFormat="1" ht="15.5" x14ac:dyDescent="0.35">
      <c r="A340" s="1158" t="s">
        <v>804</v>
      </c>
      <c r="B340" s="1159">
        <v>2026</v>
      </c>
      <c r="C340" s="1159" t="str">
        <f t="shared" si="8"/>
        <v>El Dorado_2026</v>
      </c>
      <c r="D340" s="1169">
        <v>443.9118788378359</v>
      </c>
    </row>
    <row r="341" spans="1:4" s="339" customFormat="1" ht="15.5" x14ac:dyDescent="0.35">
      <c r="A341" s="1158" t="s">
        <v>804</v>
      </c>
      <c r="B341" s="1159">
        <v>2027</v>
      </c>
      <c r="C341" s="1159" t="str">
        <f t="shared" si="8"/>
        <v>El Dorado_2027</v>
      </c>
      <c r="D341" s="1169">
        <v>434.85323572699792</v>
      </c>
    </row>
    <row r="342" spans="1:4" s="339" customFormat="1" ht="15.5" x14ac:dyDescent="0.35">
      <c r="A342" s="1158" t="s">
        <v>804</v>
      </c>
      <c r="B342" s="1159">
        <v>2028</v>
      </c>
      <c r="C342" s="1159" t="str">
        <f t="shared" si="8"/>
        <v>El Dorado_2028</v>
      </c>
      <c r="D342" s="1169">
        <v>425.19254017783732</v>
      </c>
    </row>
    <row r="343" spans="1:4" s="339" customFormat="1" ht="15.5" x14ac:dyDescent="0.35">
      <c r="A343" s="1158" t="s">
        <v>804</v>
      </c>
      <c r="B343" s="1159">
        <v>2029</v>
      </c>
      <c r="C343" s="1159" t="str">
        <f t="shared" si="8"/>
        <v>El Dorado_2029</v>
      </c>
      <c r="D343" s="1169">
        <v>417.08684417085345</v>
      </c>
    </row>
    <row r="344" spans="1:4" s="339" customFormat="1" ht="15.5" x14ac:dyDescent="0.35">
      <c r="A344" s="1158" t="s">
        <v>804</v>
      </c>
      <c r="B344" s="1159">
        <v>2030</v>
      </c>
      <c r="C344" s="1159" t="str">
        <f t="shared" si="8"/>
        <v>El Dorado_2030</v>
      </c>
      <c r="D344" s="1169">
        <v>409.70277108189401</v>
      </c>
    </row>
    <row r="345" spans="1:4" s="339" customFormat="1" ht="15.5" x14ac:dyDescent="0.35">
      <c r="A345" s="1158" t="s">
        <v>804</v>
      </c>
      <c r="B345" s="1159">
        <v>2031</v>
      </c>
      <c r="C345" s="1159" t="str">
        <f t="shared" si="8"/>
        <v>El Dorado_2031</v>
      </c>
      <c r="D345" s="1169">
        <v>403.01683552761051</v>
      </c>
    </row>
    <row r="346" spans="1:4" s="339" customFormat="1" ht="15.5" x14ac:dyDescent="0.35">
      <c r="A346" s="1158" t="s">
        <v>804</v>
      </c>
      <c r="B346" s="1159">
        <v>2032</v>
      </c>
      <c r="C346" s="1159" t="str">
        <f t="shared" si="8"/>
        <v>El Dorado_2032</v>
      </c>
      <c r="D346" s="1169">
        <v>397.00819196390393</v>
      </c>
    </row>
    <row r="347" spans="1:4" s="339" customFormat="1" ht="15.5" x14ac:dyDescent="0.35">
      <c r="A347" s="1158" t="s">
        <v>804</v>
      </c>
      <c r="B347" s="1159">
        <v>2033</v>
      </c>
      <c r="C347" s="1159" t="str">
        <f t="shared" si="8"/>
        <v>El Dorado_2033</v>
      </c>
      <c r="D347" s="1169">
        <v>391.62360695999513</v>
      </c>
    </row>
    <row r="348" spans="1:4" s="339" customFormat="1" ht="15.5" x14ac:dyDescent="0.35">
      <c r="A348" s="1158" t="s">
        <v>804</v>
      </c>
      <c r="B348" s="1159">
        <v>2034</v>
      </c>
      <c r="C348" s="1159" t="str">
        <f t="shared" si="8"/>
        <v>El Dorado_2034</v>
      </c>
      <c r="D348" s="1169">
        <v>386.83117878082027</v>
      </c>
    </row>
    <row r="349" spans="1:4" s="339" customFormat="1" ht="15.5" x14ac:dyDescent="0.35">
      <c r="A349" s="1158" t="s">
        <v>804</v>
      </c>
      <c r="B349" s="1159">
        <v>2035</v>
      </c>
      <c r="C349" s="1159" t="str">
        <f t="shared" si="8"/>
        <v>El Dorado_2035</v>
      </c>
      <c r="D349" s="1169">
        <v>382.59594242253218</v>
      </c>
    </row>
    <row r="350" spans="1:4" s="339" customFormat="1" ht="15.5" x14ac:dyDescent="0.35">
      <c r="A350" s="1158" t="s">
        <v>804</v>
      </c>
      <c r="B350" s="1159">
        <v>2036</v>
      </c>
      <c r="C350" s="1159" t="str">
        <f t="shared" si="8"/>
        <v>El Dorado_2036</v>
      </c>
      <c r="D350" s="1169">
        <v>379.02461865282976</v>
      </c>
    </row>
    <row r="351" spans="1:4" s="339" customFormat="1" ht="15.5" x14ac:dyDescent="0.35">
      <c r="A351" s="1158" t="s">
        <v>804</v>
      </c>
      <c r="B351" s="1159">
        <v>2037</v>
      </c>
      <c r="C351" s="1159" t="str">
        <f t="shared" si="8"/>
        <v>El Dorado_2037</v>
      </c>
      <c r="D351" s="1169">
        <v>375.79858809148703</v>
      </c>
    </row>
    <row r="352" spans="1:4" s="339" customFormat="1" ht="15.5" x14ac:dyDescent="0.35">
      <c r="A352" s="1158" t="s">
        <v>804</v>
      </c>
      <c r="B352" s="1159">
        <v>2038</v>
      </c>
      <c r="C352" s="1159" t="str">
        <f t="shared" si="8"/>
        <v>El Dorado_2038</v>
      </c>
      <c r="D352" s="1169">
        <v>373.02430796481252</v>
      </c>
    </row>
    <row r="353" spans="1:4" s="339" customFormat="1" ht="15.5" x14ac:dyDescent="0.35">
      <c r="A353" s="1158" t="s">
        <v>804</v>
      </c>
      <c r="B353" s="1159">
        <v>2039</v>
      </c>
      <c r="C353" s="1159" t="str">
        <f t="shared" si="8"/>
        <v>El Dorado_2039</v>
      </c>
      <c r="D353" s="1169">
        <v>370.62457070702783</v>
      </c>
    </row>
    <row r="354" spans="1:4" s="339" customFormat="1" ht="15.5" x14ac:dyDescent="0.35">
      <c r="A354" s="1158" t="s">
        <v>804</v>
      </c>
      <c r="B354" s="1159">
        <v>2040</v>
      </c>
      <c r="C354" s="1159" t="str">
        <f t="shared" si="8"/>
        <v>El Dorado_2040</v>
      </c>
      <c r="D354" s="1169">
        <v>368.55717440819313</v>
      </c>
    </row>
    <row r="355" spans="1:4" s="339" customFormat="1" ht="15.5" x14ac:dyDescent="0.35">
      <c r="A355" s="1158" t="s">
        <v>804</v>
      </c>
      <c r="B355" s="1159">
        <v>2041</v>
      </c>
      <c r="C355" s="1159" t="str">
        <f t="shared" si="8"/>
        <v>El Dorado_2041</v>
      </c>
      <c r="D355" s="1169">
        <v>366.80973461006846</v>
      </c>
    </row>
    <row r="356" spans="1:4" s="339" customFormat="1" ht="15.5" x14ac:dyDescent="0.35">
      <c r="A356" s="1158" t="s">
        <v>804</v>
      </c>
      <c r="B356" s="1159">
        <v>2042</v>
      </c>
      <c r="C356" s="1159" t="str">
        <f t="shared" si="8"/>
        <v>El Dorado_2042</v>
      </c>
      <c r="D356" s="1169">
        <v>365.2960920145249</v>
      </c>
    </row>
    <row r="357" spans="1:4" s="339" customFormat="1" ht="15.5" x14ac:dyDescent="0.35">
      <c r="A357" s="1158" t="s">
        <v>804</v>
      </c>
      <c r="B357" s="1159">
        <v>2043</v>
      </c>
      <c r="C357" s="1159" t="str">
        <f t="shared" si="8"/>
        <v>El Dorado_2043</v>
      </c>
      <c r="D357" s="1169">
        <v>364.0032080810654</v>
      </c>
    </row>
    <row r="358" spans="1:4" s="339" customFormat="1" ht="15.5" x14ac:dyDescent="0.35">
      <c r="A358" s="1158" t="s">
        <v>804</v>
      </c>
      <c r="B358" s="1159">
        <v>2044</v>
      </c>
      <c r="C358" s="1159" t="str">
        <f t="shared" si="8"/>
        <v>El Dorado_2044</v>
      </c>
      <c r="D358" s="1169">
        <v>362.87954586662534</v>
      </c>
    </row>
    <row r="359" spans="1:4" s="339" customFormat="1" ht="15.5" x14ac:dyDescent="0.35">
      <c r="A359" s="1158" t="s">
        <v>804</v>
      </c>
      <c r="B359" s="1159">
        <v>2045</v>
      </c>
      <c r="C359" s="1159" t="str">
        <f t="shared" si="8"/>
        <v>El Dorado_2045</v>
      </c>
      <c r="D359" s="1169">
        <v>361.90108002411699</v>
      </c>
    </row>
    <row r="360" spans="1:4" s="339" customFormat="1" ht="15.5" x14ac:dyDescent="0.35">
      <c r="A360" s="1158" t="s">
        <v>804</v>
      </c>
      <c r="B360" s="1159">
        <v>2046</v>
      </c>
      <c r="C360" s="1159" t="str">
        <f t="shared" si="8"/>
        <v>El Dorado_2046</v>
      </c>
      <c r="D360" s="1169">
        <v>361.04548341701303</v>
      </c>
    </row>
    <row r="361" spans="1:4" s="339" customFormat="1" ht="15.5" x14ac:dyDescent="0.35">
      <c r="A361" s="1158" t="s">
        <v>804</v>
      </c>
      <c r="B361" s="1159">
        <v>2047</v>
      </c>
      <c r="C361" s="1159" t="str">
        <f t="shared" si="8"/>
        <v>El Dorado_2047</v>
      </c>
      <c r="D361" s="1169">
        <v>360.3110935292309</v>
      </c>
    </row>
    <row r="362" spans="1:4" s="339" customFormat="1" ht="15.5" x14ac:dyDescent="0.35">
      <c r="A362" s="1158" t="s">
        <v>804</v>
      </c>
      <c r="B362" s="1159">
        <v>2048</v>
      </c>
      <c r="C362" s="1159" t="str">
        <f t="shared" si="8"/>
        <v>El Dorado_2048</v>
      </c>
      <c r="D362" s="1169">
        <v>359.6752679477305</v>
      </c>
    </row>
    <row r="363" spans="1:4" s="339" customFormat="1" ht="15.5" x14ac:dyDescent="0.35">
      <c r="A363" s="1158" t="s">
        <v>804</v>
      </c>
      <c r="B363" s="1159">
        <v>2049</v>
      </c>
      <c r="C363" s="1159" t="str">
        <f t="shared" si="8"/>
        <v>El Dorado_2049</v>
      </c>
      <c r="D363" s="1169">
        <v>359.11755306182818</v>
      </c>
    </row>
    <row r="364" spans="1:4" s="339" customFormat="1" ht="15.5" x14ac:dyDescent="0.35">
      <c r="A364" s="1158" t="s">
        <v>804</v>
      </c>
      <c r="B364" s="1159">
        <v>2050</v>
      </c>
      <c r="C364" s="1159" t="str">
        <f t="shared" si="8"/>
        <v>El Dorado_2050</v>
      </c>
      <c r="D364" s="1169">
        <v>358.64702582934888</v>
      </c>
    </row>
    <row r="365" spans="1:4" s="339" customFormat="1" ht="15.5" x14ac:dyDescent="0.35">
      <c r="A365" s="1155" t="s">
        <v>806</v>
      </c>
      <c r="B365" s="1156">
        <v>2015</v>
      </c>
      <c r="C365" s="1157" t="s">
        <v>877</v>
      </c>
      <c r="D365" s="1168">
        <v>533.37041600040334</v>
      </c>
    </row>
    <row r="366" spans="1:4" s="339" customFormat="1" ht="15.5" x14ac:dyDescent="0.35">
      <c r="A366" s="1155" t="s">
        <v>806</v>
      </c>
      <c r="B366" s="1156">
        <v>2016</v>
      </c>
      <c r="C366" s="1157" t="s">
        <v>878</v>
      </c>
      <c r="D366" s="1168">
        <v>520.33480484026632</v>
      </c>
    </row>
    <row r="367" spans="1:4" s="339" customFormat="1" ht="15.5" x14ac:dyDescent="0.35">
      <c r="A367" s="1158" t="s">
        <v>806</v>
      </c>
      <c r="B367" s="1159">
        <v>2017</v>
      </c>
      <c r="C367" s="1159" t="str">
        <f t="shared" ref="C367:C400" si="9">CONCATENATE(A367,"_",B367)</f>
        <v>Fresno_2017</v>
      </c>
      <c r="D367" s="1169">
        <v>515.41101450419012</v>
      </c>
    </row>
    <row r="368" spans="1:4" s="339" customFormat="1" ht="15.5" x14ac:dyDescent="0.35">
      <c r="A368" s="1158" t="s">
        <v>806</v>
      </c>
      <c r="B368" s="1159">
        <v>2018</v>
      </c>
      <c r="C368" s="1159" t="str">
        <f t="shared" si="9"/>
        <v>Fresno_2018</v>
      </c>
      <c r="D368" s="1169">
        <v>508.21906769166674</v>
      </c>
    </row>
    <row r="369" spans="1:4" s="339" customFormat="1" ht="15.5" x14ac:dyDescent="0.35">
      <c r="A369" s="1158" t="s">
        <v>806</v>
      </c>
      <c r="B369" s="1159">
        <v>2019</v>
      </c>
      <c r="C369" s="1159" t="str">
        <f t="shared" si="9"/>
        <v>Fresno_2019</v>
      </c>
      <c r="D369" s="1169">
        <v>500.27750725761734</v>
      </c>
    </row>
    <row r="370" spans="1:4" s="339" customFormat="1" ht="15.5" x14ac:dyDescent="0.35">
      <c r="A370" s="1158" t="s">
        <v>806</v>
      </c>
      <c r="B370" s="1159">
        <v>2020</v>
      </c>
      <c r="C370" s="1159" t="str">
        <f t="shared" si="9"/>
        <v>Fresno_2020</v>
      </c>
      <c r="D370" s="1169">
        <v>496.14742045168339</v>
      </c>
    </row>
    <row r="371" spans="1:4" s="339" customFormat="1" ht="15.5" x14ac:dyDescent="0.35">
      <c r="A371" s="1158" t="s">
        <v>806</v>
      </c>
      <c r="B371" s="1159">
        <v>2021</v>
      </c>
      <c r="C371" s="1159" t="str">
        <f t="shared" si="9"/>
        <v>Fresno_2021</v>
      </c>
      <c r="D371" s="1169">
        <v>485.88257634982898</v>
      </c>
    </row>
    <row r="372" spans="1:4" s="339" customFormat="1" ht="15.5" x14ac:dyDescent="0.35">
      <c r="A372" s="1158" t="s">
        <v>806</v>
      </c>
      <c r="B372" s="1159">
        <v>2022</v>
      </c>
      <c r="C372" s="1159" t="str">
        <f t="shared" si="9"/>
        <v>Fresno_2022</v>
      </c>
      <c r="D372" s="1169">
        <v>476.46058808865223</v>
      </c>
    </row>
    <row r="373" spans="1:4" s="339" customFormat="1" ht="15.5" x14ac:dyDescent="0.35">
      <c r="A373" s="1158" t="s">
        <v>806</v>
      </c>
      <c r="B373" s="1159">
        <v>2023</v>
      </c>
      <c r="C373" s="1159" t="str">
        <f t="shared" si="9"/>
        <v>Fresno_2023</v>
      </c>
      <c r="D373" s="1169">
        <v>466.76852102292872</v>
      </c>
    </row>
    <row r="374" spans="1:4" s="339" customFormat="1" ht="15.5" x14ac:dyDescent="0.35">
      <c r="A374" s="1158" t="s">
        <v>806</v>
      </c>
      <c r="B374" s="1159">
        <v>2024</v>
      </c>
      <c r="C374" s="1159" t="str">
        <f t="shared" si="9"/>
        <v>Fresno_2024</v>
      </c>
      <c r="D374" s="1169">
        <v>456.67904298997962</v>
      </c>
    </row>
    <row r="375" spans="1:4" s="339" customFormat="1" ht="15.5" x14ac:dyDescent="0.35">
      <c r="A375" s="1158" t="s">
        <v>806</v>
      </c>
      <c r="B375" s="1159">
        <v>2025</v>
      </c>
      <c r="C375" s="1159" t="str">
        <f t="shared" si="9"/>
        <v>Fresno_2025</v>
      </c>
      <c r="D375" s="1169">
        <v>446.37214551386853</v>
      </c>
    </row>
    <row r="376" spans="1:4" s="339" customFormat="1" ht="15.5" x14ac:dyDescent="0.35">
      <c r="A376" s="1158" t="s">
        <v>806</v>
      </c>
      <c r="B376" s="1159">
        <v>2026</v>
      </c>
      <c r="C376" s="1159" t="str">
        <f t="shared" si="9"/>
        <v>Fresno_2026</v>
      </c>
      <c r="D376" s="1169">
        <v>436.32640644855201</v>
      </c>
    </row>
    <row r="377" spans="1:4" s="339" customFormat="1" ht="15.5" x14ac:dyDescent="0.35">
      <c r="A377" s="1158" t="s">
        <v>806</v>
      </c>
      <c r="B377" s="1159">
        <v>2027</v>
      </c>
      <c r="C377" s="1159" t="str">
        <f t="shared" si="9"/>
        <v>Fresno_2027</v>
      </c>
      <c r="D377" s="1169">
        <v>426.5575397815154</v>
      </c>
    </row>
    <row r="378" spans="1:4" s="339" customFormat="1" ht="15.5" x14ac:dyDescent="0.35">
      <c r="A378" s="1158" t="s">
        <v>806</v>
      </c>
      <c r="B378" s="1159">
        <v>2028</v>
      </c>
      <c r="C378" s="1159" t="str">
        <f t="shared" si="9"/>
        <v>Fresno_2028</v>
      </c>
      <c r="D378" s="1169">
        <v>417.79842507850145</v>
      </c>
    </row>
    <row r="379" spans="1:4" s="339" customFormat="1" ht="15.5" x14ac:dyDescent="0.35">
      <c r="A379" s="1158" t="s">
        <v>806</v>
      </c>
      <c r="B379" s="1159">
        <v>2029</v>
      </c>
      <c r="C379" s="1159" t="str">
        <f t="shared" si="9"/>
        <v>Fresno_2029</v>
      </c>
      <c r="D379" s="1169">
        <v>409.75835536869681</v>
      </c>
    </row>
    <row r="380" spans="1:4" s="339" customFormat="1" ht="15.5" x14ac:dyDescent="0.35">
      <c r="A380" s="1158" t="s">
        <v>806</v>
      </c>
      <c r="B380" s="1159">
        <v>2030</v>
      </c>
      <c r="C380" s="1159" t="str">
        <f t="shared" si="9"/>
        <v>Fresno_2030</v>
      </c>
      <c r="D380" s="1169">
        <v>402.39633825200025</v>
      </c>
    </row>
    <row r="381" spans="1:4" s="339" customFormat="1" ht="15.5" x14ac:dyDescent="0.35">
      <c r="A381" s="1158" t="s">
        <v>806</v>
      </c>
      <c r="B381" s="1159">
        <v>2031</v>
      </c>
      <c r="C381" s="1159" t="str">
        <f t="shared" si="9"/>
        <v>Fresno_2031</v>
      </c>
      <c r="D381" s="1169">
        <v>395.73584386072071</v>
      </c>
    </row>
    <row r="382" spans="1:4" s="339" customFormat="1" ht="15.5" x14ac:dyDescent="0.35">
      <c r="A382" s="1158" t="s">
        <v>806</v>
      </c>
      <c r="B382" s="1159">
        <v>2032</v>
      </c>
      <c r="C382" s="1159" t="str">
        <f t="shared" si="9"/>
        <v>Fresno_2032</v>
      </c>
      <c r="D382" s="1169">
        <v>389.58903878376947</v>
      </c>
    </row>
    <row r="383" spans="1:4" s="339" customFormat="1" ht="15.5" x14ac:dyDescent="0.35">
      <c r="A383" s="1158" t="s">
        <v>806</v>
      </c>
      <c r="B383" s="1159">
        <v>2033</v>
      </c>
      <c r="C383" s="1159" t="str">
        <f t="shared" si="9"/>
        <v>Fresno_2033</v>
      </c>
      <c r="D383" s="1169">
        <v>384.21159488866107</v>
      </c>
    </row>
    <row r="384" spans="1:4" s="339" customFormat="1" ht="15.5" x14ac:dyDescent="0.35">
      <c r="A384" s="1158" t="s">
        <v>806</v>
      </c>
      <c r="B384" s="1159">
        <v>2034</v>
      </c>
      <c r="C384" s="1159" t="str">
        <f t="shared" si="9"/>
        <v>Fresno_2034</v>
      </c>
      <c r="D384" s="1169">
        <v>379.40913439683044</v>
      </c>
    </row>
    <row r="385" spans="1:4" s="339" customFormat="1" ht="15.5" x14ac:dyDescent="0.35">
      <c r="A385" s="1158" t="s">
        <v>806</v>
      </c>
      <c r="B385" s="1159">
        <v>2035</v>
      </c>
      <c r="C385" s="1159" t="str">
        <f t="shared" si="9"/>
        <v>Fresno_2035</v>
      </c>
      <c r="D385" s="1169">
        <v>375.15296180861918</v>
      </c>
    </row>
    <row r="386" spans="1:4" s="339" customFormat="1" ht="15.5" x14ac:dyDescent="0.35">
      <c r="A386" s="1158" t="s">
        <v>806</v>
      </c>
      <c r="B386" s="1159">
        <v>2036</v>
      </c>
      <c r="C386" s="1159" t="str">
        <f t="shared" si="9"/>
        <v>Fresno_2036</v>
      </c>
      <c r="D386" s="1169">
        <v>371.41017148948237</v>
      </c>
    </row>
    <row r="387" spans="1:4" s="339" customFormat="1" ht="15.5" x14ac:dyDescent="0.35">
      <c r="A387" s="1158" t="s">
        <v>806</v>
      </c>
      <c r="B387" s="1159">
        <v>2037</v>
      </c>
      <c r="C387" s="1159" t="str">
        <f t="shared" si="9"/>
        <v>Fresno_2037</v>
      </c>
      <c r="D387" s="1169">
        <v>368.15532079672477</v>
      </c>
    </row>
    <row r="388" spans="1:4" s="339" customFormat="1" ht="15.5" x14ac:dyDescent="0.35">
      <c r="A388" s="1158" t="s">
        <v>806</v>
      </c>
      <c r="B388" s="1159">
        <v>2038</v>
      </c>
      <c r="C388" s="1159" t="str">
        <f t="shared" si="9"/>
        <v>Fresno_2038</v>
      </c>
      <c r="D388" s="1169">
        <v>365.17856600739668</v>
      </c>
    </row>
    <row r="389" spans="1:4" s="339" customFormat="1" ht="15.5" x14ac:dyDescent="0.35">
      <c r="A389" s="1158" t="s">
        <v>806</v>
      </c>
      <c r="B389" s="1159">
        <v>2039</v>
      </c>
      <c r="C389" s="1159" t="str">
        <f t="shared" si="9"/>
        <v>Fresno_2039</v>
      </c>
      <c r="D389" s="1169">
        <v>362.78605417777271</v>
      </c>
    </row>
    <row r="390" spans="1:4" s="339" customFormat="1" ht="15.5" x14ac:dyDescent="0.35">
      <c r="A390" s="1158" t="s">
        <v>806</v>
      </c>
      <c r="B390" s="1159">
        <v>2040</v>
      </c>
      <c r="C390" s="1159" t="str">
        <f t="shared" si="9"/>
        <v>Fresno_2040</v>
      </c>
      <c r="D390" s="1169">
        <v>360.75884405177993</v>
      </c>
    </row>
    <row r="391" spans="1:4" s="339" customFormat="1" ht="15.5" x14ac:dyDescent="0.35">
      <c r="A391" s="1158" t="s">
        <v>806</v>
      </c>
      <c r="B391" s="1159">
        <v>2041</v>
      </c>
      <c r="C391" s="1159" t="str">
        <f t="shared" si="9"/>
        <v>Fresno_2041</v>
      </c>
      <c r="D391" s="1169">
        <v>359.06877933870345</v>
      </c>
    </row>
    <row r="392" spans="1:4" s="339" customFormat="1" ht="15.5" x14ac:dyDescent="0.35">
      <c r="A392" s="1158" t="s">
        <v>806</v>
      </c>
      <c r="B392" s="1159">
        <v>2042</v>
      </c>
      <c r="C392" s="1159" t="str">
        <f t="shared" si="9"/>
        <v>Fresno_2042</v>
      </c>
      <c r="D392" s="1169">
        <v>357.65203642521345</v>
      </c>
    </row>
    <row r="393" spans="1:4" s="339" customFormat="1" ht="15.5" x14ac:dyDescent="0.35">
      <c r="A393" s="1158" t="s">
        <v>806</v>
      </c>
      <c r="B393" s="1159">
        <v>2043</v>
      </c>
      <c r="C393" s="1159" t="str">
        <f t="shared" si="9"/>
        <v>Fresno_2043</v>
      </c>
      <c r="D393" s="1169">
        <v>356.48539979848709</v>
      </c>
    </row>
    <row r="394" spans="1:4" s="339" customFormat="1" ht="15.5" x14ac:dyDescent="0.35">
      <c r="A394" s="1158" t="s">
        <v>806</v>
      </c>
      <c r="B394" s="1159">
        <v>2044</v>
      </c>
      <c r="C394" s="1159" t="str">
        <f t="shared" si="9"/>
        <v>Fresno_2044</v>
      </c>
      <c r="D394" s="1169">
        <v>355.5196530813962</v>
      </c>
    </row>
    <row r="395" spans="1:4" s="339" customFormat="1" ht="15.5" x14ac:dyDescent="0.35">
      <c r="A395" s="1158" t="s">
        <v>806</v>
      </c>
      <c r="B395" s="1159">
        <v>2045</v>
      </c>
      <c r="C395" s="1159" t="str">
        <f t="shared" si="9"/>
        <v>Fresno_2045</v>
      </c>
      <c r="D395" s="1169">
        <v>354.70440781327346</v>
      </c>
    </row>
    <row r="396" spans="1:4" s="339" customFormat="1" ht="15.5" x14ac:dyDescent="0.35">
      <c r="A396" s="1158" t="s">
        <v>806</v>
      </c>
      <c r="B396" s="1159">
        <v>2046</v>
      </c>
      <c r="C396" s="1159" t="str">
        <f t="shared" si="9"/>
        <v>Fresno_2046</v>
      </c>
      <c r="D396" s="1169">
        <v>354.02888469822722</v>
      </c>
    </row>
    <row r="397" spans="1:4" s="339" customFormat="1" ht="15.5" x14ac:dyDescent="0.35">
      <c r="A397" s="1158" t="s">
        <v>806</v>
      </c>
      <c r="B397" s="1159">
        <v>2047</v>
      </c>
      <c r="C397" s="1159" t="str">
        <f t="shared" si="9"/>
        <v>Fresno_2047</v>
      </c>
      <c r="D397" s="1169">
        <v>353.47209398071982</v>
      </c>
    </row>
    <row r="398" spans="1:4" s="339" customFormat="1" ht="15.5" x14ac:dyDescent="0.35">
      <c r="A398" s="1158" t="s">
        <v>806</v>
      </c>
      <c r="B398" s="1159">
        <v>2048</v>
      </c>
      <c r="C398" s="1159" t="str">
        <f t="shared" si="9"/>
        <v>Fresno_2048</v>
      </c>
      <c r="D398" s="1169">
        <v>353.00836446897569</v>
      </c>
    </row>
    <row r="399" spans="1:4" s="339" customFormat="1" ht="15.5" x14ac:dyDescent="0.35">
      <c r="A399" s="1158" t="s">
        <v>806</v>
      </c>
      <c r="B399" s="1159">
        <v>2049</v>
      </c>
      <c r="C399" s="1159" t="str">
        <f t="shared" si="9"/>
        <v>Fresno_2049</v>
      </c>
      <c r="D399" s="1169">
        <v>352.62644527891104</v>
      </c>
    </row>
    <row r="400" spans="1:4" s="339" customFormat="1" ht="15.5" x14ac:dyDescent="0.35">
      <c r="A400" s="1158" t="s">
        <v>806</v>
      </c>
      <c r="B400" s="1159">
        <v>2050</v>
      </c>
      <c r="C400" s="1159" t="str">
        <f t="shared" si="9"/>
        <v>Fresno_2050</v>
      </c>
      <c r="D400" s="1169">
        <v>352.31796966018294</v>
      </c>
    </row>
    <row r="401" spans="1:4" s="339" customFormat="1" ht="15.5" x14ac:dyDescent="0.35">
      <c r="A401" s="1155" t="s">
        <v>808</v>
      </c>
      <c r="B401" s="1156">
        <v>2015</v>
      </c>
      <c r="C401" s="1157" t="s">
        <v>879</v>
      </c>
      <c r="D401" s="1168">
        <v>547.0664176143033</v>
      </c>
    </row>
    <row r="402" spans="1:4" s="339" customFormat="1" ht="15.5" x14ac:dyDescent="0.35">
      <c r="A402" s="1155" t="s">
        <v>808</v>
      </c>
      <c r="B402" s="1156">
        <v>2016</v>
      </c>
      <c r="C402" s="1157" t="s">
        <v>880</v>
      </c>
      <c r="D402" s="1168">
        <v>534.0344202280229</v>
      </c>
    </row>
    <row r="403" spans="1:4" s="339" customFormat="1" ht="15.5" x14ac:dyDescent="0.35">
      <c r="A403" s="1158" t="s">
        <v>808</v>
      </c>
      <c r="B403" s="1159">
        <v>2017</v>
      </c>
      <c r="C403" s="1159" t="str">
        <f t="shared" ref="C403:C466" si="10">CONCATENATE(A403,"_",B403)</f>
        <v>Glenn_2017</v>
      </c>
      <c r="D403" s="1169">
        <v>530.14686099792993</v>
      </c>
    </row>
    <row r="404" spans="1:4" s="339" customFormat="1" ht="15.5" x14ac:dyDescent="0.35">
      <c r="A404" s="1158" t="s">
        <v>808</v>
      </c>
      <c r="B404" s="1159">
        <v>2018</v>
      </c>
      <c r="C404" s="1159" t="str">
        <f t="shared" si="10"/>
        <v>Glenn_2018</v>
      </c>
      <c r="D404" s="1169">
        <v>523.43971006466768</v>
      </c>
    </row>
    <row r="405" spans="1:4" s="339" customFormat="1" ht="15.5" x14ac:dyDescent="0.35">
      <c r="A405" s="1158" t="s">
        <v>808</v>
      </c>
      <c r="B405" s="1159">
        <v>2019</v>
      </c>
      <c r="C405" s="1159" t="str">
        <f t="shared" si="10"/>
        <v>Glenn_2019</v>
      </c>
      <c r="D405" s="1169">
        <v>514.57837547929626</v>
      </c>
    </row>
    <row r="406" spans="1:4" s="339" customFormat="1" ht="15.5" x14ac:dyDescent="0.35">
      <c r="A406" s="1158" t="s">
        <v>808</v>
      </c>
      <c r="B406" s="1159">
        <v>2020</v>
      </c>
      <c r="C406" s="1159" t="str">
        <f t="shared" si="10"/>
        <v>Glenn_2020</v>
      </c>
      <c r="D406" s="1169">
        <v>509.39627112528541</v>
      </c>
    </row>
    <row r="407" spans="1:4" s="339" customFormat="1" ht="15.5" x14ac:dyDescent="0.35">
      <c r="A407" s="1158" t="s">
        <v>808</v>
      </c>
      <c r="B407" s="1159">
        <v>2021</v>
      </c>
      <c r="C407" s="1159" t="str">
        <f t="shared" si="10"/>
        <v>Glenn_2021</v>
      </c>
      <c r="D407" s="1169">
        <v>498.29107438914883</v>
      </c>
    </row>
    <row r="408" spans="1:4" s="339" customFormat="1" ht="15.5" x14ac:dyDescent="0.35">
      <c r="A408" s="1158" t="s">
        <v>808</v>
      </c>
      <c r="B408" s="1159">
        <v>2022</v>
      </c>
      <c r="C408" s="1159" t="str">
        <f t="shared" si="10"/>
        <v>Glenn_2022</v>
      </c>
      <c r="D408" s="1169">
        <v>488.17118746162322</v>
      </c>
    </row>
    <row r="409" spans="1:4" s="339" customFormat="1" ht="15.5" x14ac:dyDescent="0.35">
      <c r="A409" s="1158" t="s">
        <v>808</v>
      </c>
      <c r="B409" s="1159">
        <v>2023</v>
      </c>
      <c r="C409" s="1159" t="str">
        <f t="shared" si="10"/>
        <v>Glenn_2023</v>
      </c>
      <c r="D409" s="1169">
        <v>477.56747270248019</v>
      </c>
    </row>
    <row r="410" spans="1:4" s="339" customFormat="1" ht="15.5" x14ac:dyDescent="0.35">
      <c r="A410" s="1158" t="s">
        <v>808</v>
      </c>
      <c r="B410" s="1159">
        <v>2024</v>
      </c>
      <c r="C410" s="1159" t="str">
        <f t="shared" si="10"/>
        <v>Glenn_2024</v>
      </c>
      <c r="D410" s="1169">
        <v>466.64259956477554</v>
      </c>
    </row>
    <row r="411" spans="1:4" s="339" customFormat="1" ht="15.5" x14ac:dyDescent="0.35">
      <c r="A411" s="1158" t="s">
        <v>808</v>
      </c>
      <c r="B411" s="1159">
        <v>2025</v>
      </c>
      <c r="C411" s="1159" t="str">
        <f t="shared" si="10"/>
        <v>Glenn_2025</v>
      </c>
      <c r="D411" s="1169">
        <v>455.50117857286472</v>
      </c>
    </row>
    <row r="412" spans="1:4" s="339" customFormat="1" ht="15.5" x14ac:dyDescent="0.35">
      <c r="A412" s="1158" t="s">
        <v>808</v>
      </c>
      <c r="B412" s="1159">
        <v>2026</v>
      </c>
      <c r="C412" s="1159" t="str">
        <f t="shared" si="10"/>
        <v>Glenn_2026</v>
      </c>
      <c r="D412" s="1169">
        <v>444.72558544172369</v>
      </c>
    </row>
    <row r="413" spans="1:4" s="339" customFormat="1" ht="15.5" x14ac:dyDescent="0.35">
      <c r="A413" s="1158" t="s">
        <v>808</v>
      </c>
      <c r="B413" s="1159">
        <v>2027</v>
      </c>
      <c r="C413" s="1159" t="str">
        <f t="shared" si="10"/>
        <v>Glenn_2027</v>
      </c>
      <c r="D413" s="1169">
        <v>434.63346865162794</v>
      </c>
    </row>
    <row r="414" spans="1:4" s="339" customFormat="1" ht="15.5" x14ac:dyDescent="0.35">
      <c r="A414" s="1158" t="s">
        <v>808</v>
      </c>
      <c r="B414" s="1159">
        <v>2028</v>
      </c>
      <c r="C414" s="1159" t="str">
        <f t="shared" si="10"/>
        <v>Glenn_2028</v>
      </c>
      <c r="D414" s="1169">
        <v>425.36512503971602</v>
      </c>
    </row>
    <row r="415" spans="1:4" s="339" customFormat="1" ht="15.5" x14ac:dyDescent="0.35">
      <c r="A415" s="1158" t="s">
        <v>808</v>
      </c>
      <c r="B415" s="1159">
        <v>2029</v>
      </c>
      <c r="C415" s="1159" t="str">
        <f t="shared" si="10"/>
        <v>Glenn_2029</v>
      </c>
      <c r="D415" s="1169">
        <v>416.91581798874614</v>
      </c>
    </row>
    <row r="416" spans="1:4" s="339" customFormat="1" ht="15.5" x14ac:dyDescent="0.35">
      <c r="A416" s="1158" t="s">
        <v>808</v>
      </c>
      <c r="B416" s="1159">
        <v>2030</v>
      </c>
      <c r="C416" s="1159" t="str">
        <f t="shared" si="10"/>
        <v>Glenn_2030</v>
      </c>
      <c r="D416" s="1169">
        <v>409.27038473313985</v>
      </c>
    </row>
    <row r="417" spans="1:4" s="339" customFormat="1" ht="15.5" x14ac:dyDescent="0.35">
      <c r="A417" s="1158" t="s">
        <v>808</v>
      </c>
      <c r="B417" s="1159">
        <v>2031</v>
      </c>
      <c r="C417" s="1159" t="str">
        <f t="shared" si="10"/>
        <v>Glenn_2031</v>
      </c>
      <c r="D417" s="1169">
        <v>402.38248201319868</v>
      </c>
    </row>
    <row r="418" spans="1:4" s="339" customFormat="1" ht="15.5" x14ac:dyDescent="0.35">
      <c r="A418" s="1158" t="s">
        <v>808</v>
      </c>
      <c r="B418" s="1159">
        <v>2032</v>
      </c>
      <c r="C418" s="1159" t="str">
        <f t="shared" si="10"/>
        <v>Glenn_2032</v>
      </c>
      <c r="D418" s="1169">
        <v>396.20700537973465</v>
      </c>
    </row>
    <row r="419" spans="1:4" s="339" customFormat="1" ht="15.5" x14ac:dyDescent="0.35">
      <c r="A419" s="1158" t="s">
        <v>808</v>
      </c>
      <c r="B419" s="1159">
        <v>2033</v>
      </c>
      <c r="C419" s="1159" t="str">
        <f t="shared" si="10"/>
        <v>Glenn_2033</v>
      </c>
      <c r="D419" s="1169">
        <v>390.68250974505031</v>
      </c>
    </row>
    <row r="420" spans="1:4" s="339" customFormat="1" ht="15.5" x14ac:dyDescent="0.35">
      <c r="A420" s="1158" t="s">
        <v>808</v>
      </c>
      <c r="B420" s="1159">
        <v>2034</v>
      </c>
      <c r="C420" s="1159" t="str">
        <f t="shared" si="10"/>
        <v>Glenn_2034</v>
      </c>
      <c r="D420" s="1169">
        <v>385.78215467712243</v>
      </c>
    </row>
    <row r="421" spans="1:4" s="339" customFormat="1" ht="15.5" x14ac:dyDescent="0.35">
      <c r="A421" s="1158" t="s">
        <v>808</v>
      </c>
      <c r="B421" s="1159">
        <v>2035</v>
      </c>
      <c r="C421" s="1159" t="str">
        <f t="shared" si="10"/>
        <v>Glenn_2035</v>
      </c>
      <c r="D421" s="1169">
        <v>381.45689627458358</v>
      </c>
    </row>
    <row r="422" spans="1:4" s="339" customFormat="1" ht="15.5" x14ac:dyDescent="0.35">
      <c r="A422" s="1158" t="s">
        <v>808</v>
      </c>
      <c r="B422" s="1159">
        <v>2036</v>
      </c>
      <c r="C422" s="1159" t="str">
        <f t="shared" si="10"/>
        <v>Glenn_2036</v>
      </c>
      <c r="D422" s="1169">
        <v>377.67365381838573</v>
      </c>
    </row>
    <row r="423" spans="1:4" s="339" customFormat="1" ht="15.5" x14ac:dyDescent="0.35">
      <c r="A423" s="1158" t="s">
        <v>808</v>
      </c>
      <c r="B423" s="1159">
        <v>2037</v>
      </c>
      <c r="C423" s="1159" t="str">
        <f t="shared" si="10"/>
        <v>Glenn_2037</v>
      </c>
      <c r="D423" s="1169">
        <v>374.39635997331834</v>
      </c>
    </row>
    <row r="424" spans="1:4" s="339" customFormat="1" ht="15.5" x14ac:dyDescent="0.35">
      <c r="A424" s="1158" t="s">
        <v>808</v>
      </c>
      <c r="B424" s="1159">
        <v>2038</v>
      </c>
      <c r="C424" s="1159" t="str">
        <f t="shared" si="10"/>
        <v>Glenn_2038</v>
      </c>
      <c r="D424" s="1169">
        <v>371.58993041118271</v>
      </c>
    </row>
    <row r="425" spans="1:4" s="339" customFormat="1" ht="15.5" x14ac:dyDescent="0.35">
      <c r="A425" s="1158" t="s">
        <v>808</v>
      </c>
      <c r="B425" s="1159">
        <v>2039</v>
      </c>
      <c r="C425" s="1159" t="str">
        <f t="shared" si="10"/>
        <v>Glenn_2039</v>
      </c>
      <c r="D425" s="1169">
        <v>369.18718750704625</v>
      </c>
    </row>
    <row r="426" spans="1:4" s="339" customFormat="1" ht="15.5" x14ac:dyDescent="0.35">
      <c r="A426" s="1158" t="s">
        <v>808</v>
      </c>
      <c r="B426" s="1159">
        <v>2040</v>
      </c>
      <c r="C426" s="1159" t="str">
        <f t="shared" si="10"/>
        <v>Glenn_2040</v>
      </c>
      <c r="D426" s="1169">
        <v>367.16184708487202</v>
      </c>
    </row>
    <row r="427" spans="1:4" s="339" customFormat="1" ht="15.5" x14ac:dyDescent="0.35">
      <c r="A427" s="1158" t="s">
        <v>808</v>
      </c>
      <c r="B427" s="1159">
        <v>2041</v>
      </c>
      <c r="C427" s="1159" t="str">
        <f t="shared" si="10"/>
        <v>Glenn_2041</v>
      </c>
      <c r="D427" s="1169">
        <v>365.47697236095416</v>
      </c>
    </row>
    <row r="428" spans="1:4" s="339" customFormat="1" ht="15.5" x14ac:dyDescent="0.35">
      <c r="A428" s="1158" t="s">
        <v>808</v>
      </c>
      <c r="B428" s="1159">
        <v>2042</v>
      </c>
      <c r="C428" s="1159" t="str">
        <f t="shared" si="10"/>
        <v>Glenn_2042</v>
      </c>
      <c r="D428" s="1169">
        <v>364.06167136015551</v>
      </c>
    </row>
    <row r="429" spans="1:4" s="339" customFormat="1" ht="15.5" x14ac:dyDescent="0.35">
      <c r="A429" s="1158" t="s">
        <v>808</v>
      </c>
      <c r="B429" s="1159">
        <v>2043</v>
      </c>
      <c r="C429" s="1159" t="str">
        <f t="shared" si="10"/>
        <v>Glenn_2043</v>
      </c>
      <c r="D429" s="1169">
        <v>362.89652882132037</v>
      </c>
    </row>
    <row r="430" spans="1:4" s="339" customFormat="1" ht="15.5" x14ac:dyDescent="0.35">
      <c r="A430" s="1158" t="s">
        <v>808</v>
      </c>
      <c r="B430" s="1159">
        <v>2044</v>
      </c>
      <c r="C430" s="1159" t="str">
        <f t="shared" si="10"/>
        <v>Glenn_2044</v>
      </c>
      <c r="D430" s="1169">
        <v>361.91615184589045</v>
      </c>
    </row>
    <row r="431" spans="1:4" s="339" customFormat="1" ht="15.5" x14ac:dyDescent="0.35">
      <c r="A431" s="1158" t="s">
        <v>808</v>
      </c>
      <c r="B431" s="1159">
        <v>2045</v>
      </c>
      <c r="C431" s="1159" t="str">
        <f t="shared" si="10"/>
        <v>Glenn_2045</v>
      </c>
      <c r="D431" s="1169">
        <v>361.09092945787603</v>
      </c>
    </row>
    <row r="432" spans="1:4" s="339" customFormat="1" ht="15.5" x14ac:dyDescent="0.35">
      <c r="A432" s="1158" t="s">
        <v>808</v>
      </c>
      <c r="B432" s="1159">
        <v>2046</v>
      </c>
      <c r="C432" s="1159" t="str">
        <f t="shared" si="10"/>
        <v>Glenn_2046</v>
      </c>
      <c r="D432" s="1169">
        <v>360.40271704602742</v>
      </c>
    </row>
    <row r="433" spans="1:4" s="339" customFormat="1" ht="15.5" x14ac:dyDescent="0.35">
      <c r="A433" s="1158" t="s">
        <v>808</v>
      </c>
      <c r="B433" s="1159">
        <v>2047</v>
      </c>
      <c r="C433" s="1159" t="str">
        <f t="shared" si="10"/>
        <v>Glenn_2047</v>
      </c>
      <c r="D433" s="1169">
        <v>359.82716884313186</v>
      </c>
    </row>
    <row r="434" spans="1:4" s="339" customFormat="1" ht="15.5" x14ac:dyDescent="0.35">
      <c r="A434" s="1158" t="s">
        <v>808</v>
      </c>
      <c r="B434" s="1159">
        <v>2048</v>
      </c>
      <c r="C434" s="1159" t="str">
        <f t="shared" si="10"/>
        <v>Glenn_2048</v>
      </c>
      <c r="D434" s="1169">
        <v>359.34481498666554</v>
      </c>
    </row>
    <row r="435" spans="1:4" s="339" customFormat="1" ht="15.5" x14ac:dyDescent="0.35">
      <c r="A435" s="1158" t="s">
        <v>808</v>
      </c>
      <c r="B435" s="1159">
        <v>2049</v>
      </c>
      <c r="C435" s="1159" t="str">
        <f t="shared" si="10"/>
        <v>Glenn_2049</v>
      </c>
      <c r="D435" s="1169">
        <v>358.94131465786597</v>
      </c>
    </row>
    <row r="436" spans="1:4" s="339" customFormat="1" ht="15.5" x14ac:dyDescent="0.35">
      <c r="A436" s="1158" t="s">
        <v>808</v>
      </c>
      <c r="B436" s="1159">
        <v>2050</v>
      </c>
      <c r="C436" s="1159" t="str">
        <f t="shared" si="10"/>
        <v>Glenn_2050</v>
      </c>
      <c r="D436" s="1169">
        <v>358.61827851902819</v>
      </c>
    </row>
    <row r="437" spans="1:4" s="339" customFormat="1" ht="15.5" x14ac:dyDescent="0.35">
      <c r="A437" s="1160" t="s">
        <v>788</v>
      </c>
      <c r="B437" s="1161">
        <v>2015</v>
      </c>
      <c r="C437" s="1161" t="str">
        <f t="shared" si="10"/>
        <v>Great Basin Valley_2015</v>
      </c>
      <c r="D437" s="1168">
        <v>546.95756941368722</v>
      </c>
    </row>
    <row r="438" spans="1:4" s="339" customFormat="1" ht="15.5" x14ac:dyDescent="0.35">
      <c r="A438" s="1160" t="s">
        <v>788</v>
      </c>
      <c r="B438" s="1161">
        <v>2016</v>
      </c>
      <c r="C438" s="1161" t="str">
        <f t="shared" si="10"/>
        <v>Great Basin Valley_2016</v>
      </c>
      <c r="D438" s="1168">
        <v>534.4695273837674</v>
      </c>
    </row>
    <row r="439" spans="1:4" s="339" customFormat="1" ht="15.5" x14ac:dyDescent="0.35">
      <c r="A439" s="1162" t="s">
        <v>788</v>
      </c>
      <c r="B439" s="1163">
        <v>2017</v>
      </c>
      <c r="C439" s="1163" t="str">
        <f t="shared" si="10"/>
        <v>Great Basin Valley_2017</v>
      </c>
      <c r="D439" s="1169">
        <v>530.37313088188864</v>
      </c>
    </row>
    <row r="440" spans="1:4" s="339" customFormat="1" ht="15.5" x14ac:dyDescent="0.35">
      <c r="A440" s="1162" t="s">
        <v>788</v>
      </c>
      <c r="B440" s="1163">
        <v>2018</v>
      </c>
      <c r="C440" s="1163" t="str">
        <f t="shared" si="10"/>
        <v>Great Basin Valley_2018</v>
      </c>
      <c r="D440" s="1169">
        <v>523.89886869149814</v>
      </c>
    </row>
    <row r="441" spans="1:4" s="339" customFormat="1" ht="15.5" x14ac:dyDescent="0.35">
      <c r="A441" s="1162" t="s">
        <v>788</v>
      </c>
      <c r="B441" s="1163">
        <v>2019</v>
      </c>
      <c r="C441" s="1163" t="str">
        <f t="shared" si="10"/>
        <v>Great Basin Valley_2019</v>
      </c>
      <c r="D441" s="1169">
        <v>515.87803430754627</v>
      </c>
    </row>
    <row r="442" spans="1:4" s="339" customFormat="1" ht="15.5" x14ac:dyDescent="0.35">
      <c r="A442" s="1162" t="s">
        <v>788</v>
      </c>
      <c r="B442" s="1163">
        <v>2020</v>
      </c>
      <c r="C442" s="1163" t="str">
        <f t="shared" si="10"/>
        <v>Great Basin Valley_2020</v>
      </c>
      <c r="D442" s="1169">
        <v>511.52307616583073</v>
      </c>
    </row>
    <row r="443" spans="1:4" s="339" customFormat="1" ht="15.5" x14ac:dyDescent="0.35">
      <c r="A443" s="1162" t="s">
        <v>788</v>
      </c>
      <c r="B443" s="1163">
        <v>2021</v>
      </c>
      <c r="C443" s="1163" t="str">
        <f t="shared" si="10"/>
        <v>Great Basin Valley_2021</v>
      </c>
      <c r="D443" s="1169">
        <v>501.29006290410723</v>
      </c>
    </row>
    <row r="444" spans="1:4" s="339" customFormat="1" ht="15.5" x14ac:dyDescent="0.35">
      <c r="A444" s="1162" t="s">
        <v>788</v>
      </c>
      <c r="B444" s="1163">
        <v>2022</v>
      </c>
      <c r="C444" s="1163" t="str">
        <f t="shared" si="10"/>
        <v>Great Basin Valley_2022</v>
      </c>
      <c r="D444" s="1169">
        <v>491.91036151267497</v>
      </c>
    </row>
    <row r="445" spans="1:4" s="339" customFormat="1" ht="15.5" x14ac:dyDescent="0.35">
      <c r="A445" s="1162" t="s">
        <v>788</v>
      </c>
      <c r="B445" s="1163">
        <v>2023</v>
      </c>
      <c r="C445" s="1163" t="str">
        <f t="shared" si="10"/>
        <v>Great Basin Valley_2023</v>
      </c>
      <c r="D445" s="1169">
        <v>482.0969493731123</v>
      </c>
    </row>
    <row r="446" spans="1:4" s="339" customFormat="1" ht="15.5" x14ac:dyDescent="0.35">
      <c r="A446" s="1162" t="s">
        <v>788</v>
      </c>
      <c r="B446" s="1163">
        <v>2024</v>
      </c>
      <c r="C446" s="1163" t="str">
        <f t="shared" si="10"/>
        <v>Great Basin Valley_2024</v>
      </c>
      <c r="D446" s="1169">
        <v>471.91392529968846</v>
      </c>
    </row>
    <row r="447" spans="1:4" s="339" customFormat="1" ht="15.5" x14ac:dyDescent="0.35">
      <c r="A447" s="1162" t="s">
        <v>788</v>
      </c>
      <c r="B447" s="1163">
        <v>2025</v>
      </c>
      <c r="C447" s="1163" t="str">
        <f t="shared" si="10"/>
        <v>Great Basin Valley_2025</v>
      </c>
      <c r="D447" s="1169">
        <v>461.48738930634937</v>
      </c>
    </row>
    <row r="448" spans="1:4" s="339" customFormat="1" ht="15.5" x14ac:dyDescent="0.35">
      <c r="A448" s="1162" t="s">
        <v>788</v>
      </c>
      <c r="B448" s="1163">
        <v>2026</v>
      </c>
      <c r="C448" s="1163" t="str">
        <f t="shared" si="10"/>
        <v>Great Basin Valley_2026</v>
      </c>
      <c r="D448" s="1169">
        <v>451.3994198777109</v>
      </c>
    </row>
    <row r="449" spans="1:4" s="339" customFormat="1" ht="15.5" x14ac:dyDescent="0.35">
      <c r="A449" s="1162" t="s">
        <v>788</v>
      </c>
      <c r="B449" s="1163">
        <v>2027</v>
      </c>
      <c r="C449" s="1163" t="str">
        <f t="shared" si="10"/>
        <v>Great Basin Valley_2027</v>
      </c>
      <c r="D449" s="1169">
        <v>441.97076693131311</v>
      </c>
    </row>
    <row r="450" spans="1:4" s="339" customFormat="1" ht="15.5" x14ac:dyDescent="0.35">
      <c r="A450" s="1162" t="s">
        <v>788</v>
      </c>
      <c r="B450" s="1163">
        <v>2028</v>
      </c>
      <c r="C450" s="1163" t="str">
        <f t="shared" si="10"/>
        <v>Great Basin Valley_2028</v>
      </c>
      <c r="D450" s="1169">
        <v>433.29872528522225</v>
      </c>
    </row>
    <row r="451" spans="1:4" s="339" customFormat="1" ht="15.5" x14ac:dyDescent="0.35">
      <c r="A451" s="1162" t="s">
        <v>788</v>
      </c>
      <c r="B451" s="1163">
        <v>2029</v>
      </c>
      <c r="C451" s="1163" t="str">
        <f t="shared" si="10"/>
        <v>Great Basin Valley_2029</v>
      </c>
      <c r="D451" s="1169">
        <v>425.34260162577203</v>
      </c>
    </row>
    <row r="452" spans="1:4" s="339" customFormat="1" ht="15.5" x14ac:dyDescent="0.35">
      <c r="A452" s="1162" t="s">
        <v>788</v>
      </c>
      <c r="B452" s="1163">
        <v>2030</v>
      </c>
      <c r="C452" s="1163" t="str">
        <f t="shared" si="10"/>
        <v>Great Basin Valley_2030</v>
      </c>
      <c r="D452" s="1169">
        <v>418.11449090841023</v>
      </c>
    </row>
    <row r="453" spans="1:4" s="339" customFormat="1" ht="15.5" x14ac:dyDescent="0.35">
      <c r="A453" s="1162" t="s">
        <v>788</v>
      </c>
      <c r="B453" s="1163">
        <v>2031</v>
      </c>
      <c r="C453" s="1163" t="str">
        <f t="shared" si="10"/>
        <v>Great Basin Valley_2031</v>
      </c>
      <c r="D453" s="1169">
        <v>411.5625063665313</v>
      </c>
    </row>
    <row r="454" spans="1:4" s="339" customFormat="1" ht="15.5" x14ac:dyDescent="0.35">
      <c r="A454" s="1162" t="s">
        <v>788</v>
      </c>
      <c r="B454" s="1163">
        <v>2032</v>
      </c>
      <c r="C454" s="1163" t="str">
        <f t="shared" si="10"/>
        <v>Great Basin Valley_2032</v>
      </c>
      <c r="D454" s="1169">
        <v>405.62977829390189</v>
      </c>
    </row>
    <row r="455" spans="1:4" s="339" customFormat="1" ht="15.5" x14ac:dyDescent="0.35">
      <c r="A455" s="1162" t="s">
        <v>788</v>
      </c>
      <c r="B455" s="1163">
        <v>2033</v>
      </c>
      <c r="C455" s="1163" t="str">
        <f t="shared" si="10"/>
        <v>Great Basin Valley_2033</v>
      </c>
      <c r="D455" s="1169">
        <v>400.28287460759799</v>
      </c>
    </row>
    <row r="456" spans="1:4" s="339" customFormat="1" ht="15.5" x14ac:dyDescent="0.35">
      <c r="A456" s="1162" t="s">
        <v>788</v>
      </c>
      <c r="B456" s="1163">
        <v>2034</v>
      </c>
      <c r="C456" s="1163" t="str">
        <f t="shared" si="10"/>
        <v>Great Basin Valley_2034</v>
      </c>
      <c r="D456" s="1169">
        <v>395.48210858571179</v>
      </c>
    </row>
    <row r="457" spans="1:4" s="339" customFormat="1" ht="15.5" x14ac:dyDescent="0.35">
      <c r="A457" s="1162" t="s">
        <v>788</v>
      </c>
      <c r="B457" s="1163">
        <v>2035</v>
      </c>
      <c r="C457" s="1163" t="str">
        <f t="shared" si="10"/>
        <v>Great Basin Valley_2035</v>
      </c>
      <c r="D457" s="1169">
        <v>391.22919340740424</v>
      </c>
    </row>
    <row r="458" spans="1:4" s="339" customFormat="1" ht="15.5" x14ac:dyDescent="0.35">
      <c r="A458" s="1162" t="s">
        <v>788</v>
      </c>
      <c r="B458" s="1163">
        <v>2036</v>
      </c>
      <c r="C458" s="1163" t="str">
        <f t="shared" si="10"/>
        <v>Great Basin Valley_2036</v>
      </c>
      <c r="D458" s="1169">
        <v>387.49516380547811</v>
      </c>
    </row>
    <row r="459" spans="1:4" s="339" customFormat="1" ht="15.5" x14ac:dyDescent="0.35">
      <c r="A459" s="1162" t="s">
        <v>788</v>
      </c>
      <c r="B459" s="1163">
        <v>2037</v>
      </c>
      <c r="C459" s="1163" t="str">
        <f t="shared" si="10"/>
        <v>Great Basin Valley_2037</v>
      </c>
      <c r="D459" s="1169">
        <v>384.23270768254235</v>
      </c>
    </row>
    <row r="460" spans="1:4" s="339" customFormat="1" ht="15.5" x14ac:dyDescent="0.35">
      <c r="A460" s="1162" t="s">
        <v>788</v>
      </c>
      <c r="B460" s="1163">
        <v>2038</v>
      </c>
      <c r="C460" s="1163" t="str">
        <f t="shared" si="10"/>
        <v>Great Basin Valley_2038</v>
      </c>
      <c r="D460" s="1169">
        <v>381.42833272676006</v>
      </c>
    </row>
    <row r="461" spans="1:4" s="339" customFormat="1" ht="15.5" x14ac:dyDescent="0.35">
      <c r="A461" s="1162" t="s">
        <v>788</v>
      </c>
      <c r="B461" s="1163">
        <v>2039</v>
      </c>
      <c r="C461" s="1163" t="str">
        <f t="shared" si="10"/>
        <v>Great Basin Valley_2039</v>
      </c>
      <c r="D461" s="1169">
        <v>379.00839407859803</v>
      </c>
    </row>
    <row r="462" spans="1:4" s="339" customFormat="1" ht="15.5" x14ac:dyDescent="0.35">
      <c r="A462" s="1162" t="s">
        <v>788</v>
      </c>
      <c r="B462" s="1163">
        <v>2040</v>
      </c>
      <c r="C462" s="1163" t="str">
        <f t="shared" si="10"/>
        <v>Great Basin Valley_2040</v>
      </c>
      <c r="D462" s="1169">
        <v>376.93808482455046</v>
      </c>
    </row>
    <row r="463" spans="1:4" s="339" customFormat="1" ht="15.5" x14ac:dyDescent="0.35">
      <c r="A463" s="1162" t="s">
        <v>788</v>
      </c>
      <c r="B463" s="1163">
        <v>2041</v>
      </c>
      <c r="C463" s="1163" t="str">
        <f t="shared" si="10"/>
        <v>Great Basin Valley_2041</v>
      </c>
      <c r="D463" s="1169">
        <v>375.2017649438759</v>
      </c>
    </row>
    <row r="464" spans="1:4" s="339" customFormat="1" ht="15.5" x14ac:dyDescent="0.35">
      <c r="A464" s="1162" t="s">
        <v>788</v>
      </c>
      <c r="B464" s="1163">
        <v>2042</v>
      </c>
      <c r="C464" s="1163" t="str">
        <f t="shared" si="10"/>
        <v>Great Basin Valley_2042</v>
      </c>
      <c r="D464" s="1169">
        <v>373.72035017231582</v>
      </c>
    </row>
    <row r="465" spans="1:4" s="339" customFormat="1" ht="15.5" x14ac:dyDescent="0.35">
      <c r="A465" s="1162" t="s">
        <v>788</v>
      </c>
      <c r="B465" s="1163">
        <v>2043</v>
      </c>
      <c r="C465" s="1163" t="str">
        <f t="shared" si="10"/>
        <v>Great Basin Valley_2043</v>
      </c>
      <c r="D465" s="1169">
        <v>372.48596867492603</v>
      </c>
    </row>
    <row r="466" spans="1:4" s="339" customFormat="1" ht="15.5" x14ac:dyDescent="0.35">
      <c r="A466" s="1162" t="s">
        <v>788</v>
      </c>
      <c r="B466" s="1163">
        <v>2044</v>
      </c>
      <c r="C466" s="1163" t="str">
        <f t="shared" si="10"/>
        <v>Great Basin Valley_2044</v>
      </c>
      <c r="D466" s="1169">
        <v>371.43359629649296</v>
      </c>
    </row>
    <row r="467" spans="1:4" s="339" customFormat="1" ht="15.5" x14ac:dyDescent="0.35">
      <c r="A467" s="1162" t="s">
        <v>788</v>
      </c>
      <c r="B467" s="1163">
        <v>2045</v>
      </c>
      <c r="C467" s="1163" t="str">
        <f t="shared" ref="C467:C472" si="11">CONCATENATE(A467,"_",B467)</f>
        <v>Great Basin Valley_2045</v>
      </c>
      <c r="D467" s="1169">
        <v>370.52618722467963</v>
      </c>
    </row>
    <row r="468" spans="1:4" s="339" customFormat="1" ht="15.5" x14ac:dyDescent="0.35">
      <c r="A468" s="1162" t="s">
        <v>788</v>
      </c>
      <c r="B468" s="1163">
        <v>2046</v>
      </c>
      <c r="C468" s="1163" t="str">
        <f t="shared" si="11"/>
        <v>Great Basin Valley_2046</v>
      </c>
      <c r="D468" s="1169">
        <v>369.73755137704791</v>
      </c>
    </row>
    <row r="469" spans="1:4" s="339" customFormat="1" ht="15.5" x14ac:dyDescent="0.35">
      <c r="A469" s="1162" t="s">
        <v>788</v>
      </c>
      <c r="B469" s="1163">
        <v>2047</v>
      </c>
      <c r="C469" s="1163" t="str">
        <f t="shared" si="11"/>
        <v>Great Basin Valley_2047</v>
      </c>
      <c r="D469" s="1169">
        <v>369.07503501752569</v>
      </c>
    </row>
    <row r="470" spans="1:4" s="339" customFormat="1" ht="15.5" x14ac:dyDescent="0.35">
      <c r="A470" s="1162" t="s">
        <v>788</v>
      </c>
      <c r="B470" s="1163">
        <v>2048</v>
      </c>
      <c r="C470" s="1163" t="str">
        <f t="shared" si="11"/>
        <v>Great Basin Valley_2048</v>
      </c>
      <c r="D470" s="1169">
        <v>368.51509942688921</v>
      </c>
    </row>
    <row r="471" spans="1:4" s="339" customFormat="1" ht="15.5" x14ac:dyDescent="0.35">
      <c r="A471" s="1162" t="s">
        <v>788</v>
      </c>
      <c r="B471" s="1163">
        <v>2049</v>
      </c>
      <c r="C471" s="1163" t="str">
        <f t="shared" si="11"/>
        <v>Great Basin Valley_2049</v>
      </c>
      <c r="D471" s="1169">
        <v>368.0226940733458</v>
      </c>
    </row>
    <row r="472" spans="1:4" s="339" customFormat="1" ht="15.5" x14ac:dyDescent="0.35">
      <c r="A472" s="1162" t="s">
        <v>788</v>
      </c>
      <c r="B472" s="1163">
        <v>2050</v>
      </c>
      <c r="C472" s="1163" t="str">
        <f t="shared" si="11"/>
        <v>Great Basin Valley_2050</v>
      </c>
      <c r="D472" s="1169">
        <v>367.62880507214084</v>
      </c>
    </row>
    <row r="473" spans="1:4" s="339" customFormat="1" ht="15.5" x14ac:dyDescent="0.35">
      <c r="A473" s="1155" t="s">
        <v>810</v>
      </c>
      <c r="B473" s="1156">
        <v>2015</v>
      </c>
      <c r="C473" s="1157" t="s">
        <v>881</v>
      </c>
      <c r="D473" s="1168">
        <v>534.65015430562516</v>
      </c>
    </row>
    <row r="474" spans="1:4" s="339" customFormat="1" ht="15.5" x14ac:dyDescent="0.35">
      <c r="A474" s="1155" t="s">
        <v>810</v>
      </c>
      <c r="B474" s="1156">
        <v>2016</v>
      </c>
      <c r="C474" s="1157" t="s">
        <v>882</v>
      </c>
      <c r="D474" s="1168">
        <v>524.86888139949554</v>
      </c>
    </row>
    <row r="475" spans="1:4" s="339" customFormat="1" ht="15.5" x14ac:dyDescent="0.35">
      <c r="A475" s="1158" t="s">
        <v>810</v>
      </c>
      <c r="B475" s="1159">
        <v>2017</v>
      </c>
      <c r="C475" s="1159" t="str">
        <f t="shared" ref="C475:C508" si="12">CONCATENATE(A475,"_",B475)</f>
        <v>Humboldt_2017</v>
      </c>
      <c r="D475" s="1169">
        <v>521.24744967085451</v>
      </c>
    </row>
    <row r="476" spans="1:4" s="339" customFormat="1" ht="15.5" x14ac:dyDescent="0.35">
      <c r="A476" s="1158" t="s">
        <v>810</v>
      </c>
      <c r="B476" s="1159">
        <v>2018</v>
      </c>
      <c r="C476" s="1159" t="str">
        <f t="shared" si="12"/>
        <v>Humboldt_2018</v>
      </c>
      <c r="D476" s="1169">
        <v>515.25838800668328</v>
      </c>
    </row>
    <row r="477" spans="1:4" s="339" customFormat="1" ht="15.5" x14ac:dyDescent="0.35">
      <c r="A477" s="1158" t="s">
        <v>810</v>
      </c>
      <c r="B477" s="1159">
        <v>2019</v>
      </c>
      <c r="C477" s="1159" t="str">
        <f t="shared" si="12"/>
        <v>Humboldt_2019</v>
      </c>
      <c r="D477" s="1169">
        <v>506.43794944952111</v>
      </c>
    </row>
    <row r="478" spans="1:4" s="339" customFormat="1" ht="15.5" x14ac:dyDescent="0.35">
      <c r="A478" s="1158" t="s">
        <v>810</v>
      </c>
      <c r="B478" s="1159">
        <v>2020</v>
      </c>
      <c r="C478" s="1159" t="str">
        <f t="shared" si="12"/>
        <v>Humboldt_2020</v>
      </c>
      <c r="D478" s="1169">
        <v>502.55490764044487</v>
      </c>
    </row>
    <row r="479" spans="1:4" s="339" customFormat="1" ht="15.5" x14ac:dyDescent="0.35">
      <c r="A479" s="1158" t="s">
        <v>810</v>
      </c>
      <c r="B479" s="1159">
        <v>2021</v>
      </c>
      <c r="C479" s="1159" t="str">
        <f t="shared" si="12"/>
        <v>Humboldt_2021</v>
      </c>
      <c r="D479" s="1169">
        <v>493.44871122991401</v>
      </c>
    </row>
    <row r="480" spans="1:4" s="339" customFormat="1" ht="15.5" x14ac:dyDescent="0.35">
      <c r="A480" s="1158" t="s">
        <v>810</v>
      </c>
      <c r="B480" s="1159">
        <v>2022</v>
      </c>
      <c r="C480" s="1159" t="str">
        <f t="shared" si="12"/>
        <v>Humboldt_2022</v>
      </c>
      <c r="D480" s="1169">
        <v>485.59358255482437</v>
      </c>
    </row>
    <row r="481" spans="1:4" s="339" customFormat="1" ht="15.5" x14ac:dyDescent="0.35">
      <c r="A481" s="1158" t="s">
        <v>810</v>
      </c>
      <c r="B481" s="1159">
        <v>2023</v>
      </c>
      <c r="C481" s="1159" t="str">
        <f t="shared" si="12"/>
        <v>Humboldt_2023</v>
      </c>
      <c r="D481" s="1169">
        <v>477.15440918572676</v>
      </c>
    </row>
    <row r="482" spans="1:4" s="339" customFormat="1" ht="15.5" x14ac:dyDescent="0.35">
      <c r="A482" s="1158" t="s">
        <v>810</v>
      </c>
      <c r="B482" s="1159">
        <v>2024</v>
      </c>
      <c r="C482" s="1159" t="str">
        <f t="shared" si="12"/>
        <v>Humboldt_2024</v>
      </c>
      <c r="D482" s="1169">
        <v>468.26884354755094</v>
      </c>
    </row>
    <row r="483" spans="1:4" s="339" customFormat="1" ht="15.5" x14ac:dyDescent="0.35">
      <c r="A483" s="1158" t="s">
        <v>810</v>
      </c>
      <c r="B483" s="1159">
        <v>2025</v>
      </c>
      <c r="C483" s="1159" t="str">
        <f t="shared" si="12"/>
        <v>Humboldt_2025</v>
      </c>
      <c r="D483" s="1169">
        <v>459.06444974795465</v>
      </c>
    </row>
    <row r="484" spans="1:4" s="339" customFormat="1" ht="15.5" x14ac:dyDescent="0.35">
      <c r="A484" s="1158" t="s">
        <v>810</v>
      </c>
      <c r="B484" s="1159">
        <v>2026</v>
      </c>
      <c r="C484" s="1159" t="str">
        <f t="shared" si="12"/>
        <v>Humboldt_2026</v>
      </c>
      <c r="D484" s="1169">
        <v>449.88820645857271</v>
      </c>
    </row>
    <row r="485" spans="1:4" s="339" customFormat="1" ht="15.5" x14ac:dyDescent="0.35">
      <c r="A485" s="1158" t="s">
        <v>810</v>
      </c>
      <c r="B485" s="1159">
        <v>2027</v>
      </c>
      <c r="C485" s="1159" t="str">
        <f t="shared" si="12"/>
        <v>Humboldt_2027</v>
      </c>
      <c r="D485" s="1169">
        <v>440.9444284491301</v>
      </c>
    </row>
    <row r="486" spans="1:4" s="339" customFormat="1" ht="15.5" x14ac:dyDescent="0.35">
      <c r="A486" s="1158" t="s">
        <v>810</v>
      </c>
      <c r="B486" s="1159">
        <v>2028</v>
      </c>
      <c r="C486" s="1159" t="str">
        <f t="shared" si="12"/>
        <v>Humboldt_2028</v>
      </c>
      <c r="D486" s="1169">
        <v>432.40808641306097</v>
      </c>
    </row>
    <row r="487" spans="1:4" s="339" customFormat="1" ht="15.5" x14ac:dyDescent="0.35">
      <c r="A487" s="1158" t="s">
        <v>810</v>
      </c>
      <c r="B487" s="1159">
        <v>2029</v>
      </c>
      <c r="C487" s="1159" t="str">
        <f t="shared" si="12"/>
        <v>Humboldt_2029</v>
      </c>
      <c r="D487" s="1169">
        <v>424.32900510476395</v>
      </c>
    </row>
    <row r="488" spans="1:4" s="339" customFormat="1" ht="15.5" x14ac:dyDescent="0.35">
      <c r="A488" s="1158" t="s">
        <v>810</v>
      </c>
      <c r="B488" s="1159">
        <v>2030</v>
      </c>
      <c r="C488" s="1159" t="str">
        <f t="shared" si="12"/>
        <v>Humboldt_2030</v>
      </c>
      <c r="D488" s="1169">
        <v>416.72126350268906</v>
      </c>
    </row>
    <row r="489" spans="1:4" s="339" customFormat="1" ht="15.5" x14ac:dyDescent="0.35">
      <c r="A489" s="1158" t="s">
        <v>810</v>
      </c>
      <c r="B489" s="1159">
        <v>2031</v>
      </c>
      <c r="C489" s="1159" t="str">
        <f t="shared" si="12"/>
        <v>Humboldt_2031</v>
      </c>
      <c r="D489" s="1169">
        <v>409.59673364299346</v>
      </c>
    </row>
    <row r="490" spans="1:4" s="339" customFormat="1" ht="15.5" x14ac:dyDescent="0.35">
      <c r="A490" s="1158" t="s">
        <v>810</v>
      </c>
      <c r="B490" s="1159">
        <v>2032</v>
      </c>
      <c r="C490" s="1159" t="str">
        <f t="shared" si="12"/>
        <v>Humboldt_2032</v>
      </c>
      <c r="D490" s="1169">
        <v>402.94778646792923</v>
      </c>
    </row>
    <row r="491" spans="1:4" s="339" customFormat="1" ht="15.5" x14ac:dyDescent="0.35">
      <c r="A491" s="1158" t="s">
        <v>810</v>
      </c>
      <c r="B491" s="1159">
        <v>2033</v>
      </c>
      <c r="C491" s="1159" t="str">
        <f t="shared" si="12"/>
        <v>Humboldt_2033</v>
      </c>
      <c r="D491" s="1169">
        <v>396.78807584944599</v>
      </c>
    </row>
    <row r="492" spans="1:4" s="339" customFormat="1" ht="15.5" x14ac:dyDescent="0.35">
      <c r="A492" s="1158" t="s">
        <v>810</v>
      </c>
      <c r="B492" s="1159">
        <v>2034</v>
      </c>
      <c r="C492" s="1159" t="str">
        <f t="shared" si="12"/>
        <v>Humboldt_2034</v>
      </c>
      <c r="D492" s="1169">
        <v>391.09371612605634</v>
      </c>
    </row>
    <row r="493" spans="1:4" s="339" customFormat="1" ht="15.5" x14ac:dyDescent="0.35">
      <c r="A493" s="1158" t="s">
        <v>810</v>
      </c>
      <c r="B493" s="1159">
        <v>2035</v>
      </c>
      <c r="C493" s="1159" t="str">
        <f t="shared" si="12"/>
        <v>Humboldt_2035</v>
      </c>
      <c r="D493" s="1169">
        <v>385.90477889677857</v>
      </c>
    </row>
    <row r="494" spans="1:4" s="339" customFormat="1" ht="15.5" x14ac:dyDescent="0.35">
      <c r="A494" s="1158" t="s">
        <v>810</v>
      </c>
      <c r="B494" s="1159">
        <v>2036</v>
      </c>
      <c r="C494" s="1159" t="str">
        <f t="shared" si="12"/>
        <v>Humboldt_2036</v>
      </c>
      <c r="D494" s="1169">
        <v>381.18858836803247</v>
      </c>
    </row>
    <row r="495" spans="1:4" s="339" customFormat="1" ht="15.5" x14ac:dyDescent="0.35">
      <c r="A495" s="1158" t="s">
        <v>810</v>
      </c>
      <c r="B495" s="1159">
        <v>2037</v>
      </c>
      <c r="C495" s="1159" t="str">
        <f t="shared" si="12"/>
        <v>Humboldt_2037</v>
      </c>
      <c r="D495" s="1169">
        <v>376.97624491826139</v>
      </c>
    </row>
    <row r="496" spans="1:4" s="339" customFormat="1" ht="15.5" x14ac:dyDescent="0.35">
      <c r="A496" s="1158" t="s">
        <v>810</v>
      </c>
      <c r="B496" s="1159">
        <v>2038</v>
      </c>
      <c r="C496" s="1159" t="str">
        <f t="shared" si="12"/>
        <v>Humboldt_2038</v>
      </c>
      <c r="D496" s="1169">
        <v>373.23379370121029</v>
      </c>
    </row>
    <row r="497" spans="1:4" s="339" customFormat="1" ht="15.5" x14ac:dyDescent="0.35">
      <c r="A497" s="1158" t="s">
        <v>810</v>
      </c>
      <c r="B497" s="1159">
        <v>2039</v>
      </c>
      <c r="C497" s="1159" t="str">
        <f t="shared" si="12"/>
        <v>Humboldt_2039</v>
      </c>
      <c r="D497" s="1169">
        <v>369.90516060183978</v>
      </c>
    </row>
    <row r="498" spans="1:4" s="339" customFormat="1" ht="15.5" x14ac:dyDescent="0.35">
      <c r="A498" s="1158" t="s">
        <v>810</v>
      </c>
      <c r="B498" s="1159">
        <v>2040</v>
      </c>
      <c r="C498" s="1159" t="str">
        <f t="shared" si="12"/>
        <v>Humboldt_2040</v>
      </c>
      <c r="D498" s="1169">
        <v>366.98787702403627</v>
      </c>
    </row>
    <row r="499" spans="1:4" s="339" customFormat="1" ht="15.5" x14ac:dyDescent="0.35">
      <c r="A499" s="1158" t="s">
        <v>810</v>
      </c>
      <c r="B499" s="1159">
        <v>2041</v>
      </c>
      <c r="C499" s="1159" t="str">
        <f t="shared" si="12"/>
        <v>Humboldt_2041</v>
      </c>
      <c r="D499" s="1169">
        <v>364.45752154931813</v>
      </c>
    </row>
    <row r="500" spans="1:4" s="339" customFormat="1" ht="15.5" x14ac:dyDescent="0.35">
      <c r="A500" s="1158" t="s">
        <v>810</v>
      </c>
      <c r="B500" s="1159">
        <v>2042</v>
      </c>
      <c r="C500" s="1159" t="str">
        <f t="shared" si="12"/>
        <v>Humboldt_2042</v>
      </c>
      <c r="D500" s="1169">
        <v>362.22003764171632</v>
      </c>
    </row>
    <row r="501" spans="1:4" s="339" customFormat="1" ht="15.5" x14ac:dyDescent="0.35">
      <c r="A501" s="1158" t="s">
        <v>810</v>
      </c>
      <c r="B501" s="1159">
        <v>2043</v>
      </c>
      <c r="C501" s="1159" t="str">
        <f t="shared" si="12"/>
        <v>Humboldt_2043</v>
      </c>
      <c r="D501" s="1169">
        <v>360.28977829268899</v>
      </c>
    </row>
    <row r="502" spans="1:4" s="339" customFormat="1" ht="15.5" x14ac:dyDescent="0.35">
      <c r="A502" s="1158" t="s">
        <v>810</v>
      </c>
      <c r="B502" s="1159">
        <v>2044</v>
      </c>
      <c r="C502" s="1159" t="str">
        <f t="shared" si="12"/>
        <v>Humboldt_2044</v>
      </c>
      <c r="D502" s="1169">
        <v>358.60593298014845</v>
      </c>
    </row>
    <row r="503" spans="1:4" s="339" customFormat="1" ht="15.5" x14ac:dyDescent="0.35">
      <c r="A503" s="1158" t="s">
        <v>810</v>
      </c>
      <c r="B503" s="1159">
        <v>2045</v>
      </c>
      <c r="C503" s="1159" t="str">
        <f t="shared" si="12"/>
        <v>Humboldt_2045</v>
      </c>
      <c r="D503" s="1169">
        <v>357.10649155263462</v>
      </c>
    </row>
    <row r="504" spans="1:4" s="339" customFormat="1" ht="15.5" x14ac:dyDescent="0.35">
      <c r="A504" s="1158" t="s">
        <v>810</v>
      </c>
      <c r="B504" s="1159">
        <v>2046</v>
      </c>
      <c r="C504" s="1159" t="str">
        <f t="shared" si="12"/>
        <v>Humboldt_2046</v>
      </c>
      <c r="D504" s="1169">
        <v>355.7993331614565</v>
      </c>
    </row>
    <row r="505" spans="1:4" s="339" customFormat="1" ht="15.5" x14ac:dyDescent="0.35">
      <c r="A505" s="1158" t="s">
        <v>810</v>
      </c>
      <c r="B505" s="1159">
        <v>2047</v>
      </c>
      <c r="C505" s="1159" t="str">
        <f t="shared" si="12"/>
        <v>Humboldt_2047</v>
      </c>
      <c r="D505" s="1169">
        <v>354.64858799957921</v>
      </c>
    </row>
    <row r="506" spans="1:4" s="339" customFormat="1" ht="15.5" x14ac:dyDescent="0.35">
      <c r="A506" s="1158" t="s">
        <v>810</v>
      </c>
      <c r="B506" s="1159">
        <v>2048</v>
      </c>
      <c r="C506" s="1159" t="str">
        <f t="shared" si="12"/>
        <v>Humboldt_2048</v>
      </c>
      <c r="D506" s="1169">
        <v>353.6265699088629</v>
      </c>
    </row>
    <row r="507" spans="1:4" s="339" customFormat="1" ht="15.5" x14ac:dyDescent="0.35">
      <c r="A507" s="1158" t="s">
        <v>810</v>
      </c>
      <c r="B507" s="1159">
        <v>2049</v>
      </c>
      <c r="C507" s="1159" t="str">
        <f t="shared" si="12"/>
        <v>Humboldt_2049</v>
      </c>
      <c r="D507" s="1169">
        <v>352.72860169008277</v>
      </c>
    </row>
    <row r="508" spans="1:4" s="339" customFormat="1" ht="15.5" x14ac:dyDescent="0.35">
      <c r="A508" s="1158" t="s">
        <v>810</v>
      </c>
      <c r="B508" s="1159">
        <v>2050</v>
      </c>
      <c r="C508" s="1159" t="str">
        <f t="shared" si="12"/>
        <v>Humboldt_2050</v>
      </c>
      <c r="D508" s="1169">
        <v>351.96812914625673</v>
      </c>
    </row>
    <row r="509" spans="1:4" s="339" customFormat="1" ht="15.5" x14ac:dyDescent="0.35">
      <c r="A509" s="1155" t="s">
        <v>812</v>
      </c>
      <c r="B509" s="1156">
        <v>2015</v>
      </c>
      <c r="C509" s="1157" t="s">
        <v>883</v>
      </c>
      <c r="D509" s="1168">
        <v>555.9492086183235</v>
      </c>
    </row>
    <row r="510" spans="1:4" s="339" customFormat="1" ht="15.5" x14ac:dyDescent="0.35">
      <c r="A510" s="1155" t="s">
        <v>812</v>
      </c>
      <c r="B510" s="1156">
        <v>2016</v>
      </c>
      <c r="C510" s="1157" t="s">
        <v>884</v>
      </c>
      <c r="D510" s="1168">
        <v>543.04608656455014</v>
      </c>
    </row>
    <row r="511" spans="1:4" s="339" customFormat="1" ht="15.5" x14ac:dyDescent="0.35">
      <c r="A511" s="1158" t="s">
        <v>812</v>
      </c>
      <c r="B511" s="1159">
        <v>2017</v>
      </c>
      <c r="C511" s="1159" t="str">
        <f t="shared" ref="C511:C544" si="13">CONCATENATE(A511,"_",B511)</f>
        <v>Imperial_2017</v>
      </c>
      <c r="D511" s="1169">
        <v>538.60710677235591</v>
      </c>
    </row>
    <row r="512" spans="1:4" s="339" customFormat="1" ht="15.5" x14ac:dyDescent="0.35">
      <c r="A512" s="1158" t="s">
        <v>812</v>
      </c>
      <c r="B512" s="1159">
        <v>2018</v>
      </c>
      <c r="C512" s="1159" t="str">
        <f t="shared" si="13"/>
        <v>Imperial_2018</v>
      </c>
      <c r="D512" s="1169">
        <v>531.77280409707294</v>
      </c>
    </row>
    <row r="513" spans="1:4" s="339" customFormat="1" ht="15.5" x14ac:dyDescent="0.35">
      <c r="A513" s="1158" t="s">
        <v>812</v>
      </c>
      <c r="B513" s="1159">
        <v>2019</v>
      </c>
      <c r="C513" s="1159" t="str">
        <f t="shared" si="13"/>
        <v>Imperial_2019</v>
      </c>
      <c r="D513" s="1169">
        <v>525.35881572206154</v>
      </c>
    </row>
    <row r="514" spans="1:4" s="339" customFormat="1" ht="15.5" x14ac:dyDescent="0.35">
      <c r="A514" s="1158" t="s">
        <v>812</v>
      </c>
      <c r="B514" s="1159">
        <v>2020</v>
      </c>
      <c r="C514" s="1159" t="str">
        <f t="shared" si="13"/>
        <v>Imperial_2020</v>
      </c>
      <c r="D514" s="1169">
        <v>520.99044976228436</v>
      </c>
    </row>
    <row r="515" spans="1:4" s="339" customFormat="1" ht="15.5" x14ac:dyDescent="0.35">
      <c r="A515" s="1158" t="s">
        <v>812</v>
      </c>
      <c r="B515" s="1159">
        <v>2021</v>
      </c>
      <c r="C515" s="1159" t="str">
        <f t="shared" si="13"/>
        <v>Imperial_2021</v>
      </c>
      <c r="D515" s="1169">
        <v>510.42612055834854</v>
      </c>
    </row>
    <row r="516" spans="1:4" s="339" customFormat="1" ht="15.5" x14ac:dyDescent="0.35">
      <c r="A516" s="1158" t="s">
        <v>812</v>
      </c>
      <c r="B516" s="1159">
        <v>2022</v>
      </c>
      <c r="C516" s="1159" t="str">
        <f t="shared" si="13"/>
        <v>Imperial_2022</v>
      </c>
      <c r="D516" s="1169">
        <v>500.62343798413724</v>
      </c>
    </row>
    <row r="517" spans="1:4" s="339" customFormat="1" ht="15.5" x14ac:dyDescent="0.35">
      <c r="A517" s="1158" t="s">
        <v>812</v>
      </c>
      <c r="B517" s="1159">
        <v>2023</v>
      </c>
      <c r="C517" s="1159" t="str">
        <f t="shared" si="13"/>
        <v>Imperial_2023</v>
      </c>
      <c r="D517" s="1169">
        <v>490.22403743000041</v>
      </c>
    </row>
    <row r="518" spans="1:4" s="339" customFormat="1" ht="15.5" x14ac:dyDescent="0.35">
      <c r="A518" s="1158" t="s">
        <v>812</v>
      </c>
      <c r="B518" s="1159">
        <v>2024</v>
      </c>
      <c r="C518" s="1159" t="str">
        <f t="shared" si="13"/>
        <v>Imperial_2024</v>
      </c>
      <c r="D518" s="1169">
        <v>479.45112097321515</v>
      </c>
    </row>
    <row r="519" spans="1:4" s="339" customFormat="1" ht="15.5" x14ac:dyDescent="0.35">
      <c r="A519" s="1158" t="s">
        <v>812</v>
      </c>
      <c r="B519" s="1159">
        <v>2025</v>
      </c>
      <c r="C519" s="1159" t="str">
        <f t="shared" si="13"/>
        <v>Imperial_2025</v>
      </c>
      <c r="D519" s="1169">
        <v>468.64920377980741</v>
      </c>
    </row>
    <row r="520" spans="1:4" s="339" customFormat="1" ht="15.5" x14ac:dyDescent="0.35">
      <c r="A520" s="1158" t="s">
        <v>812</v>
      </c>
      <c r="B520" s="1159">
        <v>2026</v>
      </c>
      <c r="C520" s="1159" t="str">
        <f t="shared" si="13"/>
        <v>Imperial_2026</v>
      </c>
      <c r="D520" s="1169">
        <v>458.82175831617229</v>
      </c>
    </row>
    <row r="521" spans="1:4" s="339" customFormat="1" ht="15.5" x14ac:dyDescent="0.35">
      <c r="A521" s="1158" t="s">
        <v>812</v>
      </c>
      <c r="B521" s="1159">
        <v>2027</v>
      </c>
      <c r="C521" s="1159" t="str">
        <f t="shared" si="13"/>
        <v>Imperial_2027</v>
      </c>
      <c r="D521" s="1169">
        <v>450.34249357783136</v>
      </c>
    </row>
    <row r="522" spans="1:4" s="339" customFormat="1" ht="15.5" x14ac:dyDescent="0.35">
      <c r="A522" s="1158" t="s">
        <v>812</v>
      </c>
      <c r="B522" s="1159">
        <v>2028</v>
      </c>
      <c r="C522" s="1159" t="str">
        <f t="shared" si="13"/>
        <v>Imperial_2028</v>
      </c>
      <c r="D522" s="1169">
        <v>441.4978987066998</v>
      </c>
    </row>
    <row r="523" spans="1:4" s="339" customFormat="1" ht="15.5" x14ac:dyDescent="0.35">
      <c r="A523" s="1158" t="s">
        <v>812</v>
      </c>
      <c r="B523" s="1159">
        <v>2029</v>
      </c>
      <c r="C523" s="1159" t="str">
        <f t="shared" si="13"/>
        <v>Imperial_2029</v>
      </c>
      <c r="D523" s="1169">
        <v>433.39964760288501</v>
      </c>
    </row>
    <row r="524" spans="1:4" s="339" customFormat="1" ht="15.5" x14ac:dyDescent="0.35">
      <c r="A524" s="1158" t="s">
        <v>812</v>
      </c>
      <c r="B524" s="1159">
        <v>2030</v>
      </c>
      <c r="C524" s="1159" t="str">
        <f t="shared" si="13"/>
        <v>Imperial_2030</v>
      </c>
      <c r="D524" s="1169">
        <v>426.05804023313135</v>
      </c>
    </row>
    <row r="525" spans="1:4" s="339" customFormat="1" ht="15.5" x14ac:dyDescent="0.35">
      <c r="A525" s="1158" t="s">
        <v>812</v>
      </c>
      <c r="B525" s="1159">
        <v>2031</v>
      </c>
      <c r="C525" s="1159" t="str">
        <f t="shared" si="13"/>
        <v>Imperial_2031</v>
      </c>
      <c r="D525" s="1169">
        <v>419.44397652262643</v>
      </c>
    </row>
    <row r="526" spans="1:4" s="339" customFormat="1" ht="15.5" x14ac:dyDescent="0.35">
      <c r="A526" s="1158" t="s">
        <v>812</v>
      </c>
      <c r="B526" s="1159">
        <v>2032</v>
      </c>
      <c r="C526" s="1159" t="str">
        <f t="shared" si="13"/>
        <v>Imperial_2032</v>
      </c>
      <c r="D526" s="1169">
        <v>413.60982165986707</v>
      </c>
    </row>
    <row r="527" spans="1:4" s="339" customFormat="1" ht="15.5" x14ac:dyDescent="0.35">
      <c r="A527" s="1158" t="s">
        <v>812</v>
      </c>
      <c r="B527" s="1159">
        <v>2033</v>
      </c>
      <c r="C527" s="1159" t="str">
        <f t="shared" si="13"/>
        <v>Imperial_2033</v>
      </c>
      <c r="D527" s="1169">
        <v>408.30612990365375</v>
      </c>
    </row>
    <row r="528" spans="1:4" s="339" customFormat="1" ht="15.5" x14ac:dyDescent="0.35">
      <c r="A528" s="1158" t="s">
        <v>812</v>
      </c>
      <c r="B528" s="1159">
        <v>2034</v>
      </c>
      <c r="C528" s="1159" t="str">
        <f t="shared" si="13"/>
        <v>Imperial_2034</v>
      </c>
      <c r="D528" s="1169">
        <v>403.43613592003572</v>
      </c>
    </row>
    <row r="529" spans="1:4" s="339" customFormat="1" ht="15.5" x14ac:dyDescent="0.35">
      <c r="A529" s="1158" t="s">
        <v>812</v>
      </c>
      <c r="B529" s="1159">
        <v>2035</v>
      </c>
      <c r="C529" s="1159" t="str">
        <f t="shared" si="13"/>
        <v>Imperial_2035</v>
      </c>
      <c r="D529" s="1169">
        <v>399.10330485565424</v>
      </c>
    </row>
    <row r="530" spans="1:4" s="339" customFormat="1" ht="15.5" x14ac:dyDescent="0.35">
      <c r="A530" s="1158" t="s">
        <v>812</v>
      </c>
      <c r="B530" s="1159">
        <v>2036</v>
      </c>
      <c r="C530" s="1159" t="str">
        <f t="shared" si="13"/>
        <v>Imperial_2036</v>
      </c>
      <c r="D530" s="1169">
        <v>395.51156241439116</v>
      </c>
    </row>
    <row r="531" spans="1:4" s="339" customFormat="1" ht="15.5" x14ac:dyDescent="0.35">
      <c r="A531" s="1158" t="s">
        <v>812</v>
      </c>
      <c r="B531" s="1159">
        <v>2037</v>
      </c>
      <c r="C531" s="1159" t="str">
        <f t="shared" si="13"/>
        <v>Imperial_2037</v>
      </c>
      <c r="D531" s="1169">
        <v>392.1292885142604</v>
      </c>
    </row>
    <row r="532" spans="1:4" s="339" customFormat="1" ht="15.5" x14ac:dyDescent="0.35">
      <c r="A532" s="1158" t="s">
        <v>812</v>
      </c>
      <c r="B532" s="1159">
        <v>2038</v>
      </c>
      <c r="C532" s="1159" t="str">
        <f t="shared" si="13"/>
        <v>Imperial_2038</v>
      </c>
      <c r="D532" s="1169">
        <v>390.44936437696578</v>
      </c>
    </row>
    <row r="533" spans="1:4" s="339" customFormat="1" ht="15.5" x14ac:dyDescent="0.35">
      <c r="A533" s="1158" t="s">
        <v>812</v>
      </c>
      <c r="B533" s="1159">
        <v>2039</v>
      </c>
      <c r="C533" s="1159" t="str">
        <f t="shared" si="13"/>
        <v>Imperial_2039</v>
      </c>
      <c r="D533" s="1169">
        <v>387.88081013414177</v>
      </c>
    </row>
    <row r="534" spans="1:4" s="339" customFormat="1" ht="15.5" x14ac:dyDescent="0.35">
      <c r="A534" s="1158" t="s">
        <v>812</v>
      </c>
      <c r="B534" s="1159">
        <v>2040</v>
      </c>
      <c r="C534" s="1159" t="str">
        <f t="shared" si="13"/>
        <v>Imperial_2040</v>
      </c>
      <c r="D534" s="1169">
        <v>385.67633635711189</v>
      </c>
    </row>
    <row r="535" spans="1:4" s="339" customFormat="1" ht="15.5" x14ac:dyDescent="0.35">
      <c r="A535" s="1158" t="s">
        <v>812</v>
      </c>
      <c r="B535" s="1159">
        <v>2041</v>
      </c>
      <c r="C535" s="1159" t="str">
        <f t="shared" si="13"/>
        <v>Imperial_2041</v>
      </c>
      <c r="D535" s="1169">
        <v>383.81345198918706</v>
      </c>
    </row>
    <row r="536" spans="1:4" s="339" customFormat="1" ht="15.5" x14ac:dyDescent="0.35">
      <c r="A536" s="1158" t="s">
        <v>812</v>
      </c>
      <c r="B536" s="1159">
        <v>2042</v>
      </c>
      <c r="C536" s="1159" t="str">
        <f t="shared" si="13"/>
        <v>Imperial_2042</v>
      </c>
      <c r="D536" s="1169">
        <v>382.19585505657034</v>
      </c>
    </row>
    <row r="537" spans="1:4" s="339" customFormat="1" ht="15.5" x14ac:dyDescent="0.35">
      <c r="A537" s="1158" t="s">
        <v>812</v>
      </c>
      <c r="B537" s="1159">
        <v>2043</v>
      </c>
      <c r="C537" s="1159" t="str">
        <f t="shared" si="13"/>
        <v>Imperial_2043</v>
      </c>
      <c r="D537" s="1169">
        <v>380.83063326771475</v>
      </c>
    </row>
    <row r="538" spans="1:4" s="339" customFormat="1" ht="15.5" x14ac:dyDescent="0.35">
      <c r="A538" s="1158" t="s">
        <v>812</v>
      </c>
      <c r="B538" s="1159">
        <v>2044</v>
      </c>
      <c r="C538" s="1159" t="str">
        <f t="shared" si="13"/>
        <v>Imperial_2044</v>
      </c>
      <c r="D538" s="1169">
        <v>379.67711826860148</v>
      </c>
    </row>
    <row r="539" spans="1:4" s="339" customFormat="1" ht="15.5" x14ac:dyDescent="0.35">
      <c r="A539" s="1158" t="s">
        <v>812</v>
      </c>
      <c r="B539" s="1159">
        <v>2045</v>
      </c>
      <c r="C539" s="1159" t="str">
        <f t="shared" si="13"/>
        <v>Imperial_2045</v>
      </c>
      <c r="D539" s="1169">
        <v>378.64972181076706</v>
      </c>
    </row>
    <row r="540" spans="1:4" s="339" customFormat="1" ht="15.5" x14ac:dyDescent="0.35">
      <c r="A540" s="1158" t="s">
        <v>812</v>
      </c>
      <c r="B540" s="1159">
        <v>2046</v>
      </c>
      <c r="C540" s="1159" t="str">
        <f t="shared" si="13"/>
        <v>Imperial_2046</v>
      </c>
      <c r="D540" s="1169">
        <v>377.75789617129226</v>
      </c>
    </row>
    <row r="541" spans="1:4" s="339" customFormat="1" ht="15.5" x14ac:dyDescent="0.35">
      <c r="A541" s="1158" t="s">
        <v>812</v>
      </c>
      <c r="B541" s="1159">
        <v>2047</v>
      </c>
      <c r="C541" s="1159" t="str">
        <f t="shared" si="13"/>
        <v>Imperial_2047</v>
      </c>
      <c r="D541" s="1169">
        <v>377.00681908330364</v>
      </c>
    </row>
    <row r="542" spans="1:4" s="339" customFormat="1" ht="15.5" x14ac:dyDescent="0.35">
      <c r="A542" s="1158" t="s">
        <v>812</v>
      </c>
      <c r="B542" s="1159">
        <v>2048</v>
      </c>
      <c r="C542" s="1159" t="str">
        <f t="shared" si="13"/>
        <v>Imperial_2048</v>
      </c>
      <c r="D542" s="1169">
        <v>376.35382944518381</v>
      </c>
    </row>
    <row r="543" spans="1:4" s="339" customFormat="1" ht="15.5" x14ac:dyDescent="0.35">
      <c r="A543" s="1158" t="s">
        <v>812</v>
      </c>
      <c r="B543" s="1159">
        <v>2049</v>
      </c>
      <c r="C543" s="1159" t="str">
        <f t="shared" si="13"/>
        <v>Imperial_2049</v>
      </c>
      <c r="D543" s="1169">
        <v>375.79339907864346</v>
      </c>
    </row>
    <row r="544" spans="1:4" s="339" customFormat="1" ht="15.5" x14ac:dyDescent="0.35">
      <c r="A544" s="1158" t="s">
        <v>812</v>
      </c>
      <c r="B544" s="1159">
        <v>2050</v>
      </c>
      <c r="C544" s="1159" t="str">
        <f t="shared" si="13"/>
        <v>Imperial_2050</v>
      </c>
      <c r="D544" s="1169">
        <v>375.32279360464946</v>
      </c>
    </row>
    <row r="545" spans="1:4" s="339" customFormat="1" ht="15.5" x14ac:dyDescent="0.35">
      <c r="A545" s="1155" t="s">
        <v>814</v>
      </c>
      <c r="B545" s="1156">
        <v>2015</v>
      </c>
      <c r="C545" s="1157" t="s">
        <v>885</v>
      </c>
      <c r="D545" s="1168">
        <v>551.81298753142028</v>
      </c>
    </row>
    <row r="546" spans="1:4" s="339" customFormat="1" ht="15.5" x14ac:dyDescent="0.35">
      <c r="A546" s="1155" t="s">
        <v>814</v>
      </c>
      <c r="B546" s="1156">
        <v>2016</v>
      </c>
      <c r="C546" s="1157" t="s">
        <v>886</v>
      </c>
      <c r="D546" s="1168">
        <v>539.31981284236451</v>
      </c>
    </row>
    <row r="547" spans="1:4" s="339" customFormat="1" ht="15.5" x14ac:dyDescent="0.35">
      <c r="A547" s="1158" t="s">
        <v>814</v>
      </c>
      <c r="B547" s="1159">
        <v>2017</v>
      </c>
      <c r="C547" s="1159" t="str">
        <f t="shared" ref="C547:C580" si="14">CONCATENATE(A547,"_",B547)</f>
        <v>Inyo_2017</v>
      </c>
      <c r="D547" s="1169">
        <v>535.10236567203322</v>
      </c>
    </row>
    <row r="548" spans="1:4" s="339" customFormat="1" ht="15.5" x14ac:dyDescent="0.35">
      <c r="A548" s="1158" t="s">
        <v>814</v>
      </c>
      <c r="B548" s="1159">
        <v>2018</v>
      </c>
      <c r="C548" s="1159" t="str">
        <f t="shared" si="14"/>
        <v>Inyo_2018</v>
      </c>
      <c r="D548" s="1169">
        <v>528.47509360575589</v>
      </c>
    </row>
    <row r="549" spans="1:4" s="339" customFormat="1" ht="15.5" x14ac:dyDescent="0.35">
      <c r="A549" s="1158" t="s">
        <v>814</v>
      </c>
      <c r="B549" s="1159">
        <v>2019</v>
      </c>
      <c r="C549" s="1159" t="str">
        <f t="shared" si="14"/>
        <v>Inyo_2019</v>
      </c>
      <c r="D549" s="1169">
        <v>520.51377154657791</v>
      </c>
    </row>
    <row r="550" spans="1:4" s="339" customFormat="1" ht="15.5" x14ac:dyDescent="0.35">
      <c r="A550" s="1158" t="s">
        <v>814</v>
      </c>
      <c r="B550" s="1159">
        <v>2020</v>
      </c>
      <c r="C550" s="1159" t="str">
        <f t="shared" si="14"/>
        <v>Inyo_2020</v>
      </c>
      <c r="D550" s="1169">
        <v>516.08459578859561</v>
      </c>
    </row>
    <row r="551" spans="1:4" s="339" customFormat="1" ht="15.5" x14ac:dyDescent="0.35">
      <c r="A551" s="1158" t="s">
        <v>814</v>
      </c>
      <c r="B551" s="1159">
        <v>2021</v>
      </c>
      <c r="C551" s="1159" t="str">
        <f t="shared" si="14"/>
        <v>Inyo_2021</v>
      </c>
      <c r="D551" s="1169">
        <v>506.01603286837275</v>
      </c>
    </row>
    <row r="552" spans="1:4" s="339" customFormat="1" ht="15.5" x14ac:dyDescent="0.35">
      <c r="A552" s="1158" t="s">
        <v>814</v>
      </c>
      <c r="B552" s="1159">
        <v>2022</v>
      </c>
      <c r="C552" s="1159" t="str">
        <f t="shared" si="14"/>
        <v>Inyo_2022</v>
      </c>
      <c r="D552" s="1169">
        <v>496.75233252756522</v>
      </c>
    </row>
    <row r="553" spans="1:4" s="339" customFormat="1" ht="15.5" x14ac:dyDescent="0.35">
      <c r="A553" s="1158" t="s">
        <v>814</v>
      </c>
      <c r="B553" s="1159">
        <v>2023</v>
      </c>
      <c r="C553" s="1159" t="str">
        <f t="shared" si="14"/>
        <v>Inyo_2023</v>
      </c>
      <c r="D553" s="1169">
        <v>487.05133166116855</v>
      </c>
    </row>
    <row r="554" spans="1:4" s="339" customFormat="1" ht="15.5" x14ac:dyDescent="0.35">
      <c r="A554" s="1158" t="s">
        <v>814</v>
      </c>
      <c r="B554" s="1159">
        <v>2024</v>
      </c>
      <c r="C554" s="1159" t="str">
        <f t="shared" si="14"/>
        <v>Inyo_2024</v>
      </c>
      <c r="D554" s="1169">
        <v>476.96137653885074</v>
      </c>
    </row>
    <row r="555" spans="1:4" s="339" customFormat="1" ht="15.5" x14ac:dyDescent="0.35">
      <c r="A555" s="1158" t="s">
        <v>814</v>
      </c>
      <c r="B555" s="1159">
        <v>2025</v>
      </c>
      <c r="C555" s="1159" t="str">
        <f t="shared" si="14"/>
        <v>Inyo_2025</v>
      </c>
      <c r="D555" s="1169">
        <v>466.60595748602151</v>
      </c>
    </row>
    <row r="556" spans="1:4" s="339" customFormat="1" ht="15.5" x14ac:dyDescent="0.35">
      <c r="A556" s="1158" t="s">
        <v>814</v>
      </c>
      <c r="B556" s="1159">
        <v>2026</v>
      </c>
      <c r="C556" s="1159" t="str">
        <f t="shared" si="14"/>
        <v>Inyo_2026</v>
      </c>
      <c r="D556" s="1169">
        <v>456.57186878512124</v>
      </c>
    </row>
    <row r="557" spans="1:4" s="339" customFormat="1" ht="15.5" x14ac:dyDescent="0.35">
      <c r="A557" s="1158" t="s">
        <v>814</v>
      </c>
      <c r="B557" s="1159">
        <v>2027</v>
      </c>
      <c r="C557" s="1159" t="str">
        <f t="shared" si="14"/>
        <v>Inyo_2027</v>
      </c>
      <c r="D557" s="1169">
        <v>447.16936241451839</v>
      </c>
    </row>
    <row r="558" spans="1:4" s="339" customFormat="1" ht="15.5" x14ac:dyDescent="0.35">
      <c r="A558" s="1158" t="s">
        <v>814</v>
      </c>
      <c r="B558" s="1159">
        <v>2028</v>
      </c>
      <c r="C558" s="1159" t="str">
        <f t="shared" si="14"/>
        <v>Inyo_2028</v>
      </c>
      <c r="D558" s="1169">
        <v>438.51835218364607</v>
      </c>
    </row>
    <row r="559" spans="1:4" s="339" customFormat="1" ht="15.5" x14ac:dyDescent="0.35">
      <c r="A559" s="1158" t="s">
        <v>814</v>
      </c>
      <c r="B559" s="1159">
        <v>2029</v>
      </c>
      <c r="C559" s="1159" t="str">
        <f t="shared" si="14"/>
        <v>Inyo_2029</v>
      </c>
      <c r="D559" s="1169">
        <v>430.56643316024577</v>
      </c>
    </row>
    <row r="560" spans="1:4" s="339" customFormat="1" ht="15.5" x14ac:dyDescent="0.35">
      <c r="A560" s="1158" t="s">
        <v>814</v>
      </c>
      <c r="B560" s="1159">
        <v>2030</v>
      </c>
      <c r="C560" s="1159" t="str">
        <f t="shared" si="14"/>
        <v>Inyo_2030</v>
      </c>
      <c r="D560" s="1169">
        <v>423.32767920728134</v>
      </c>
    </row>
    <row r="561" spans="1:4" s="339" customFormat="1" ht="15.5" x14ac:dyDescent="0.35">
      <c r="A561" s="1158" t="s">
        <v>814</v>
      </c>
      <c r="B561" s="1159">
        <v>2031</v>
      </c>
      <c r="C561" s="1159" t="str">
        <f t="shared" si="14"/>
        <v>Inyo_2031</v>
      </c>
      <c r="D561" s="1169">
        <v>416.75509949311953</v>
      </c>
    </row>
    <row r="562" spans="1:4" s="339" customFormat="1" ht="15.5" x14ac:dyDescent="0.35">
      <c r="A562" s="1158" t="s">
        <v>814</v>
      </c>
      <c r="B562" s="1159">
        <v>2032</v>
      </c>
      <c r="C562" s="1159" t="str">
        <f t="shared" si="14"/>
        <v>Inyo_2032</v>
      </c>
      <c r="D562" s="1169">
        <v>410.78248731842802</v>
      </c>
    </row>
    <row r="563" spans="1:4" s="339" customFormat="1" ht="15.5" x14ac:dyDescent="0.35">
      <c r="A563" s="1158" t="s">
        <v>814</v>
      </c>
      <c r="B563" s="1159">
        <v>2033</v>
      </c>
      <c r="C563" s="1159" t="str">
        <f t="shared" si="14"/>
        <v>Inyo_2033</v>
      </c>
      <c r="D563" s="1169">
        <v>405.3927484968433</v>
      </c>
    </row>
    <row r="564" spans="1:4" s="339" customFormat="1" ht="15.5" x14ac:dyDescent="0.35">
      <c r="A564" s="1158" t="s">
        <v>814</v>
      </c>
      <c r="B564" s="1159">
        <v>2034</v>
      </c>
      <c r="C564" s="1159" t="str">
        <f t="shared" si="14"/>
        <v>Inyo_2034</v>
      </c>
      <c r="D564" s="1169">
        <v>400.54077560507295</v>
      </c>
    </row>
    <row r="565" spans="1:4" s="339" customFormat="1" ht="15.5" x14ac:dyDescent="0.35">
      <c r="A565" s="1158" t="s">
        <v>814</v>
      </c>
      <c r="B565" s="1159">
        <v>2035</v>
      </c>
      <c r="C565" s="1159" t="str">
        <f t="shared" si="14"/>
        <v>Inyo_2035</v>
      </c>
      <c r="D565" s="1169">
        <v>396.23961786687272</v>
      </c>
    </row>
    <row r="566" spans="1:4" s="339" customFormat="1" ht="15.5" x14ac:dyDescent="0.35">
      <c r="A566" s="1158" t="s">
        <v>814</v>
      </c>
      <c r="B566" s="1159">
        <v>2036</v>
      </c>
      <c r="C566" s="1159" t="str">
        <f t="shared" si="14"/>
        <v>Inyo_2036</v>
      </c>
      <c r="D566" s="1169">
        <v>392.45271372578634</v>
      </c>
    </row>
    <row r="567" spans="1:4" s="339" customFormat="1" ht="15.5" x14ac:dyDescent="0.35">
      <c r="A567" s="1158" t="s">
        <v>814</v>
      </c>
      <c r="B567" s="1159">
        <v>2037</v>
      </c>
      <c r="C567" s="1159" t="str">
        <f t="shared" si="14"/>
        <v>Inyo_2037</v>
      </c>
      <c r="D567" s="1169">
        <v>389.1526247185983</v>
      </c>
    </row>
    <row r="568" spans="1:4" s="339" customFormat="1" ht="15.5" x14ac:dyDescent="0.35">
      <c r="A568" s="1158" t="s">
        <v>814</v>
      </c>
      <c r="B568" s="1159">
        <v>2038</v>
      </c>
      <c r="C568" s="1159" t="str">
        <f t="shared" si="14"/>
        <v>Inyo_2038</v>
      </c>
      <c r="D568" s="1169">
        <v>386.3000109313561</v>
      </c>
    </row>
    <row r="569" spans="1:4" s="339" customFormat="1" ht="15.5" x14ac:dyDescent="0.35">
      <c r="A569" s="1158" t="s">
        <v>814</v>
      </c>
      <c r="B569" s="1159">
        <v>2039</v>
      </c>
      <c r="C569" s="1159" t="str">
        <f t="shared" si="14"/>
        <v>Inyo_2039</v>
      </c>
      <c r="D569" s="1169">
        <v>383.83432813695572</v>
      </c>
    </row>
    <row r="570" spans="1:4" s="339" customFormat="1" ht="15.5" x14ac:dyDescent="0.35">
      <c r="A570" s="1158" t="s">
        <v>814</v>
      </c>
      <c r="B570" s="1159">
        <v>2040</v>
      </c>
      <c r="C570" s="1159" t="str">
        <f t="shared" si="14"/>
        <v>Inyo_2040</v>
      </c>
      <c r="D570" s="1169">
        <v>381.72444350805483</v>
      </c>
    </row>
    <row r="571" spans="1:4" s="339" customFormat="1" ht="15.5" x14ac:dyDescent="0.35">
      <c r="A571" s="1158" t="s">
        <v>814</v>
      </c>
      <c r="B571" s="1159">
        <v>2041</v>
      </c>
      <c r="C571" s="1159" t="str">
        <f t="shared" si="14"/>
        <v>Inyo_2041</v>
      </c>
      <c r="D571" s="1169">
        <v>379.95131858335679</v>
      </c>
    </row>
    <row r="572" spans="1:4" s="339" customFormat="1" ht="15.5" x14ac:dyDescent="0.35">
      <c r="A572" s="1158" t="s">
        <v>814</v>
      </c>
      <c r="B572" s="1159">
        <v>2042</v>
      </c>
      <c r="C572" s="1159" t="str">
        <f t="shared" si="14"/>
        <v>Inyo_2042</v>
      </c>
      <c r="D572" s="1169">
        <v>378.43375545870578</v>
      </c>
    </row>
    <row r="573" spans="1:4" s="339" customFormat="1" ht="15.5" x14ac:dyDescent="0.35">
      <c r="A573" s="1158" t="s">
        <v>814</v>
      </c>
      <c r="B573" s="1159">
        <v>2043</v>
      </c>
      <c r="C573" s="1159" t="str">
        <f t="shared" si="14"/>
        <v>Inyo_2043</v>
      </c>
      <c r="D573" s="1169">
        <v>377.16312265598384</v>
      </c>
    </row>
    <row r="574" spans="1:4" s="339" customFormat="1" ht="15.5" x14ac:dyDescent="0.35">
      <c r="A574" s="1158" t="s">
        <v>814</v>
      </c>
      <c r="B574" s="1159">
        <v>2044</v>
      </c>
      <c r="C574" s="1159" t="str">
        <f t="shared" si="14"/>
        <v>Inyo_2044</v>
      </c>
      <c r="D574" s="1169">
        <v>376.08454167823328</v>
      </c>
    </row>
    <row r="575" spans="1:4" s="339" customFormat="1" ht="15.5" x14ac:dyDescent="0.35">
      <c r="A575" s="1158" t="s">
        <v>814</v>
      </c>
      <c r="B575" s="1159">
        <v>2045</v>
      </c>
      <c r="C575" s="1159" t="str">
        <f t="shared" si="14"/>
        <v>Inyo_2045</v>
      </c>
      <c r="D575" s="1169">
        <v>375.14005140267494</v>
      </c>
    </row>
    <row r="576" spans="1:4" s="339" customFormat="1" ht="15.5" x14ac:dyDescent="0.35">
      <c r="A576" s="1158" t="s">
        <v>814</v>
      </c>
      <c r="B576" s="1159">
        <v>2046</v>
      </c>
      <c r="C576" s="1159" t="str">
        <f t="shared" si="14"/>
        <v>Inyo_2046</v>
      </c>
      <c r="D576" s="1169">
        <v>374.31859884704676</v>
      </c>
    </row>
    <row r="577" spans="1:4" s="339" customFormat="1" ht="15.5" x14ac:dyDescent="0.35">
      <c r="A577" s="1158" t="s">
        <v>814</v>
      </c>
      <c r="B577" s="1159">
        <v>2047</v>
      </c>
      <c r="C577" s="1159" t="str">
        <f t="shared" si="14"/>
        <v>Inyo_2047</v>
      </c>
      <c r="D577" s="1169">
        <v>373.64010369908743</v>
      </c>
    </row>
    <row r="578" spans="1:4" s="339" customFormat="1" ht="15.5" x14ac:dyDescent="0.35">
      <c r="A578" s="1158" t="s">
        <v>814</v>
      </c>
      <c r="B578" s="1159">
        <v>2048</v>
      </c>
      <c r="C578" s="1159" t="str">
        <f t="shared" si="14"/>
        <v>Inyo_2048</v>
      </c>
      <c r="D578" s="1169">
        <v>373.06493973113328</v>
      </c>
    </row>
    <row r="579" spans="1:4" s="339" customFormat="1" ht="15.5" x14ac:dyDescent="0.35">
      <c r="A579" s="1158" t="s">
        <v>814</v>
      </c>
      <c r="B579" s="1159">
        <v>2049</v>
      </c>
      <c r="C579" s="1159" t="str">
        <f t="shared" si="14"/>
        <v>Inyo_2049</v>
      </c>
      <c r="D579" s="1169">
        <v>372.56781379517417</v>
      </c>
    </row>
    <row r="580" spans="1:4" s="339" customFormat="1" ht="15.5" x14ac:dyDescent="0.35">
      <c r="A580" s="1158" t="s">
        <v>814</v>
      </c>
      <c r="B580" s="1159">
        <v>2050</v>
      </c>
      <c r="C580" s="1159" t="str">
        <f t="shared" si="14"/>
        <v>Inyo_2050</v>
      </c>
      <c r="D580" s="1169">
        <v>372.17941018365855</v>
      </c>
    </row>
    <row r="581" spans="1:4" s="339" customFormat="1" ht="15.5" x14ac:dyDescent="0.35">
      <c r="A581" s="1155" t="s">
        <v>816</v>
      </c>
      <c r="B581" s="1156">
        <v>2015</v>
      </c>
      <c r="C581" s="1157" t="s">
        <v>887</v>
      </c>
      <c r="D581" s="1168">
        <v>533.69447440351178</v>
      </c>
    </row>
    <row r="582" spans="1:4" s="339" customFormat="1" ht="15.5" x14ac:dyDescent="0.35">
      <c r="A582" s="1155" t="s">
        <v>816</v>
      </c>
      <c r="B582" s="1156">
        <v>2016</v>
      </c>
      <c r="C582" s="1157" t="s">
        <v>888</v>
      </c>
      <c r="D582" s="1168">
        <v>520.40194129385134</v>
      </c>
    </row>
    <row r="583" spans="1:4" s="339" customFormat="1" ht="15.5" x14ac:dyDescent="0.35">
      <c r="A583" s="1158" t="s">
        <v>816</v>
      </c>
      <c r="B583" s="1159">
        <v>2017</v>
      </c>
      <c r="C583" s="1159" t="str">
        <f t="shared" ref="C583:C616" si="15">CONCATENATE(A583,"_",B583)</f>
        <v>Kern_2017</v>
      </c>
      <c r="D583" s="1169">
        <v>517.17005543888672</v>
      </c>
    </row>
    <row r="584" spans="1:4" s="339" customFormat="1" ht="15.5" x14ac:dyDescent="0.35">
      <c r="A584" s="1158" t="s">
        <v>816</v>
      </c>
      <c r="B584" s="1159">
        <v>2018</v>
      </c>
      <c r="C584" s="1159" t="str">
        <f t="shared" si="15"/>
        <v>Kern_2018</v>
      </c>
      <c r="D584" s="1169">
        <v>510.49045789129292</v>
      </c>
    </row>
    <row r="585" spans="1:4" s="339" customFormat="1" ht="15.5" x14ac:dyDescent="0.35">
      <c r="A585" s="1158" t="s">
        <v>816</v>
      </c>
      <c r="B585" s="1159">
        <v>2019</v>
      </c>
      <c r="C585" s="1159" t="str">
        <f t="shared" si="15"/>
        <v>Kern_2019</v>
      </c>
      <c r="D585" s="1169">
        <v>502.8878504225184</v>
      </c>
    </row>
    <row r="586" spans="1:4" s="339" customFormat="1" ht="15.5" x14ac:dyDescent="0.35">
      <c r="A586" s="1158" t="s">
        <v>816</v>
      </c>
      <c r="B586" s="1159">
        <v>2020</v>
      </c>
      <c r="C586" s="1159" t="str">
        <f t="shared" si="15"/>
        <v>Kern_2020</v>
      </c>
      <c r="D586" s="1169">
        <v>499.11570093781961</v>
      </c>
    </row>
    <row r="587" spans="1:4" s="339" customFormat="1" ht="15.5" x14ac:dyDescent="0.35">
      <c r="A587" s="1158" t="s">
        <v>816</v>
      </c>
      <c r="B587" s="1159">
        <v>2021</v>
      </c>
      <c r="C587" s="1159" t="str">
        <f t="shared" si="15"/>
        <v>Kern_2021</v>
      </c>
      <c r="D587" s="1169">
        <v>489.11226092837148</v>
      </c>
    </row>
    <row r="588" spans="1:4" s="339" customFormat="1" ht="15.5" x14ac:dyDescent="0.35">
      <c r="A588" s="1158" t="s">
        <v>816</v>
      </c>
      <c r="B588" s="1159">
        <v>2022</v>
      </c>
      <c r="C588" s="1159" t="str">
        <f t="shared" si="15"/>
        <v>Kern_2022</v>
      </c>
      <c r="D588" s="1169">
        <v>480.13531692045655</v>
      </c>
    </row>
    <row r="589" spans="1:4" s="339" customFormat="1" ht="15.5" x14ac:dyDescent="0.35">
      <c r="A589" s="1158" t="s">
        <v>816</v>
      </c>
      <c r="B589" s="1159">
        <v>2023</v>
      </c>
      <c r="C589" s="1159" t="str">
        <f t="shared" si="15"/>
        <v>Kern_2023</v>
      </c>
      <c r="D589" s="1169">
        <v>470.58774552918157</v>
      </c>
    </row>
    <row r="590" spans="1:4" s="339" customFormat="1" ht="15.5" x14ac:dyDescent="0.35">
      <c r="A590" s="1158" t="s">
        <v>816</v>
      </c>
      <c r="B590" s="1159">
        <v>2024</v>
      </c>
      <c r="C590" s="1159" t="str">
        <f t="shared" si="15"/>
        <v>Kern_2024</v>
      </c>
      <c r="D590" s="1169">
        <v>460.51008998106835</v>
      </c>
    </row>
    <row r="591" spans="1:4" s="339" customFormat="1" ht="15.5" x14ac:dyDescent="0.35">
      <c r="A591" s="1158" t="s">
        <v>816</v>
      </c>
      <c r="B591" s="1159">
        <v>2025</v>
      </c>
      <c r="C591" s="1159" t="str">
        <f t="shared" si="15"/>
        <v>Kern_2025</v>
      </c>
      <c r="D591" s="1169">
        <v>450.19398675106254</v>
      </c>
    </row>
    <row r="592" spans="1:4" s="339" customFormat="1" ht="15.5" x14ac:dyDescent="0.35">
      <c r="A592" s="1158" t="s">
        <v>816</v>
      </c>
      <c r="B592" s="1159">
        <v>2026</v>
      </c>
      <c r="C592" s="1159" t="str">
        <f t="shared" si="15"/>
        <v>Kern_2026</v>
      </c>
      <c r="D592" s="1169">
        <v>440.15464219823116</v>
      </c>
    </row>
    <row r="593" spans="1:4" s="339" customFormat="1" ht="15.5" x14ac:dyDescent="0.35">
      <c r="A593" s="1158" t="s">
        <v>816</v>
      </c>
      <c r="B593" s="1159">
        <v>2027</v>
      </c>
      <c r="C593" s="1159" t="str">
        <f t="shared" si="15"/>
        <v>Kern_2027</v>
      </c>
      <c r="D593" s="1169">
        <v>430.79391636841399</v>
      </c>
    </row>
    <row r="594" spans="1:4" s="339" customFormat="1" ht="15.5" x14ac:dyDescent="0.35">
      <c r="A594" s="1158" t="s">
        <v>816</v>
      </c>
      <c r="B594" s="1159">
        <v>2028</v>
      </c>
      <c r="C594" s="1159" t="str">
        <f t="shared" si="15"/>
        <v>Kern_2028</v>
      </c>
      <c r="D594" s="1169">
        <v>422.10019066861872</v>
      </c>
    </row>
    <row r="595" spans="1:4" s="339" customFormat="1" ht="15.5" x14ac:dyDescent="0.35">
      <c r="A595" s="1158" t="s">
        <v>816</v>
      </c>
      <c r="B595" s="1159">
        <v>2029</v>
      </c>
      <c r="C595" s="1159" t="str">
        <f t="shared" si="15"/>
        <v>Kern_2029</v>
      </c>
      <c r="D595" s="1169">
        <v>414.14333784077724</v>
      </c>
    </row>
    <row r="596" spans="1:4" s="339" customFormat="1" ht="15.5" x14ac:dyDescent="0.35">
      <c r="A596" s="1158" t="s">
        <v>816</v>
      </c>
      <c r="B596" s="1159">
        <v>2030</v>
      </c>
      <c r="C596" s="1159" t="str">
        <f t="shared" si="15"/>
        <v>Kern_2030</v>
      </c>
      <c r="D596" s="1169">
        <v>406.51819661361526</v>
      </c>
    </row>
    <row r="597" spans="1:4" s="339" customFormat="1" ht="15.5" x14ac:dyDescent="0.35">
      <c r="A597" s="1158" t="s">
        <v>816</v>
      </c>
      <c r="B597" s="1159">
        <v>2031</v>
      </c>
      <c r="C597" s="1159" t="str">
        <f t="shared" si="15"/>
        <v>Kern_2031</v>
      </c>
      <c r="D597" s="1169">
        <v>399.82062168312927</v>
      </c>
    </row>
    <row r="598" spans="1:4" s="339" customFormat="1" ht="15.5" x14ac:dyDescent="0.35">
      <c r="A598" s="1158" t="s">
        <v>816</v>
      </c>
      <c r="B598" s="1159">
        <v>2032</v>
      </c>
      <c r="C598" s="1159" t="str">
        <f t="shared" si="15"/>
        <v>Kern_2032</v>
      </c>
      <c r="D598" s="1169">
        <v>393.56750169723279</v>
      </c>
    </row>
    <row r="599" spans="1:4" s="339" customFormat="1" ht="15.5" x14ac:dyDescent="0.35">
      <c r="A599" s="1158" t="s">
        <v>816</v>
      </c>
      <c r="B599" s="1159">
        <v>2033</v>
      </c>
      <c r="C599" s="1159" t="str">
        <f t="shared" si="15"/>
        <v>Kern_2033</v>
      </c>
      <c r="D599" s="1169">
        <v>388.27124463481238</v>
      </c>
    </row>
    <row r="600" spans="1:4" s="339" customFormat="1" ht="15.5" x14ac:dyDescent="0.35">
      <c r="A600" s="1158" t="s">
        <v>816</v>
      </c>
      <c r="B600" s="1159">
        <v>2034</v>
      </c>
      <c r="C600" s="1159" t="str">
        <f t="shared" si="15"/>
        <v>Kern_2034</v>
      </c>
      <c r="D600" s="1169">
        <v>383.53320264498382</v>
      </c>
    </row>
    <row r="601" spans="1:4" s="339" customFormat="1" ht="15.5" x14ac:dyDescent="0.35">
      <c r="A601" s="1158" t="s">
        <v>816</v>
      </c>
      <c r="B601" s="1159">
        <v>2035</v>
      </c>
      <c r="C601" s="1159" t="str">
        <f t="shared" si="15"/>
        <v>Kern_2035</v>
      </c>
      <c r="D601" s="1169">
        <v>379.32670950169364</v>
      </c>
    </row>
    <row r="602" spans="1:4" s="339" customFormat="1" ht="15.5" x14ac:dyDescent="0.35">
      <c r="A602" s="1158" t="s">
        <v>816</v>
      </c>
      <c r="B602" s="1159">
        <v>2036</v>
      </c>
      <c r="C602" s="1159" t="str">
        <f t="shared" si="15"/>
        <v>Kern_2036</v>
      </c>
      <c r="D602" s="1169">
        <v>375.61390027479763</v>
      </c>
    </row>
    <row r="603" spans="1:4" s="339" customFormat="1" ht="15.5" x14ac:dyDescent="0.35">
      <c r="A603" s="1158" t="s">
        <v>816</v>
      </c>
      <c r="B603" s="1159">
        <v>2037</v>
      </c>
      <c r="C603" s="1159" t="str">
        <f t="shared" si="15"/>
        <v>Kern_2037</v>
      </c>
      <c r="D603" s="1169">
        <v>372.3777220915959</v>
      </c>
    </row>
    <row r="604" spans="1:4" s="339" customFormat="1" ht="15.5" x14ac:dyDescent="0.35">
      <c r="A604" s="1158" t="s">
        <v>816</v>
      </c>
      <c r="B604" s="1159">
        <v>2038</v>
      </c>
      <c r="C604" s="1159" t="str">
        <f t="shared" si="15"/>
        <v>Kern_2038</v>
      </c>
      <c r="D604" s="1169">
        <v>369.41589146038905</v>
      </c>
    </row>
    <row r="605" spans="1:4" s="339" customFormat="1" ht="15.5" x14ac:dyDescent="0.35">
      <c r="A605" s="1158" t="s">
        <v>816</v>
      </c>
      <c r="B605" s="1159">
        <v>2039</v>
      </c>
      <c r="C605" s="1159" t="str">
        <f t="shared" si="15"/>
        <v>Kern_2039</v>
      </c>
      <c r="D605" s="1169">
        <v>367.01183483350019</v>
      </c>
    </row>
    <row r="606" spans="1:4" s="339" customFormat="1" ht="15.5" x14ac:dyDescent="0.35">
      <c r="A606" s="1158" t="s">
        <v>816</v>
      </c>
      <c r="B606" s="1159">
        <v>2040</v>
      </c>
      <c r="C606" s="1159" t="str">
        <f t="shared" si="15"/>
        <v>Kern_2040</v>
      </c>
      <c r="D606" s="1169">
        <v>364.9630859495586</v>
      </c>
    </row>
    <row r="607" spans="1:4" s="339" customFormat="1" ht="15.5" x14ac:dyDescent="0.35">
      <c r="A607" s="1158" t="s">
        <v>816</v>
      </c>
      <c r="B607" s="1159">
        <v>2041</v>
      </c>
      <c r="C607" s="1159" t="str">
        <f t="shared" si="15"/>
        <v>Kern_2041</v>
      </c>
      <c r="D607" s="1169">
        <v>363.24442751193169</v>
      </c>
    </row>
    <row r="608" spans="1:4" s="339" customFormat="1" ht="15.5" x14ac:dyDescent="0.35">
      <c r="A608" s="1158" t="s">
        <v>816</v>
      </c>
      <c r="B608" s="1159">
        <v>2042</v>
      </c>
      <c r="C608" s="1159" t="str">
        <f t="shared" si="15"/>
        <v>Kern_2042</v>
      </c>
      <c r="D608" s="1169">
        <v>361.79160379159424</v>
      </c>
    </row>
    <row r="609" spans="1:4" s="339" customFormat="1" ht="15.5" x14ac:dyDescent="0.35">
      <c r="A609" s="1158" t="s">
        <v>816</v>
      </c>
      <c r="B609" s="1159">
        <v>2043</v>
      </c>
      <c r="C609" s="1159" t="str">
        <f t="shared" si="15"/>
        <v>Kern_2043</v>
      </c>
      <c r="D609" s="1169">
        <v>360.58068485551689</v>
      </c>
    </row>
    <row r="610" spans="1:4" s="339" customFormat="1" ht="15.5" x14ac:dyDescent="0.35">
      <c r="A610" s="1158" t="s">
        <v>816</v>
      </c>
      <c r="B610" s="1159">
        <v>2044</v>
      </c>
      <c r="C610" s="1159" t="str">
        <f t="shared" si="15"/>
        <v>Kern_2044</v>
      </c>
      <c r="D610" s="1169">
        <v>359.56439573595247</v>
      </c>
    </row>
    <row r="611" spans="1:4" s="339" customFormat="1" ht="15.5" x14ac:dyDescent="0.35">
      <c r="A611" s="1158" t="s">
        <v>816</v>
      </c>
      <c r="B611" s="1159">
        <v>2045</v>
      </c>
      <c r="C611" s="1159" t="str">
        <f t="shared" si="15"/>
        <v>Kern_2045</v>
      </c>
      <c r="D611" s="1169">
        <v>358.6925334929436</v>
      </c>
    </row>
    <row r="612" spans="1:4" s="339" customFormat="1" ht="15.5" x14ac:dyDescent="0.35">
      <c r="A612" s="1158" t="s">
        <v>816</v>
      </c>
      <c r="B612" s="1159">
        <v>2046</v>
      </c>
      <c r="C612" s="1159" t="str">
        <f t="shared" si="15"/>
        <v>Kern_2046</v>
      </c>
      <c r="D612" s="1169">
        <v>357.94684072636102</v>
      </c>
    </row>
    <row r="613" spans="1:4" s="339" customFormat="1" ht="15.5" x14ac:dyDescent="0.35">
      <c r="A613" s="1158" t="s">
        <v>816</v>
      </c>
      <c r="B613" s="1159">
        <v>2047</v>
      </c>
      <c r="C613" s="1159" t="str">
        <f t="shared" si="15"/>
        <v>Kern_2047</v>
      </c>
      <c r="D613" s="1169">
        <v>357.32449389600504</v>
      </c>
    </row>
    <row r="614" spans="1:4" s="339" customFormat="1" ht="15.5" x14ac:dyDescent="0.35">
      <c r="A614" s="1158" t="s">
        <v>816</v>
      </c>
      <c r="B614" s="1159">
        <v>2048</v>
      </c>
      <c r="C614" s="1159" t="str">
        <f t="shared" si="15"/>
        <v>Kern_2048</v>
      </c>
      <c r="D614" s="1169">
        <v>356.79316787019297</v>
      </c>
    </row>
    <row r="615" spans="1:4" s="339" customFormat="1" ht="15.5" x14ac:dyDescent="0.35">
      <c r="A615" s="1158" t="s">
        <v>816</v>
      </c>
      <c r="B615" s="1159">
        <v>2049</v>
      </c>
      <c r="C615" s="1159" t="str">
        <f t="shared" si="15"/>
        <v>Kern_2049</v>
      </c>
      <c r="D615" s="1169">
        <v>356.34288091920655</v>
      </c>
    </row>
    <row r="616" spans="1:4" s="339" customFormat="1" ht="15.5" x14ac:dyDescent="0.35">
      <c r="A616" s="1158" t="s">
        <v>816</v>
      </c>
      <c r="B616" s="1159">
        <v>2050</v>
      </c>
      <c r="C616" s="1159" t="str">
        <f t="shared" si="15"/>
        <v>Kern_2050</v>
      </c>
      <c r="D616" s="1169">
        <v>355.97020131995936</v>
      </c>
    </row>
    <row r="617" spans="1:4" s="339" customFormat="1" ht="15.5" x14ac:dyDescent="0.35">
      <c r="A617" s="1155" t="s">
        <v>818</v>
      </c>
      <c r="B617" s="1156">
        <v>2015</v>
      </c>
      <c r="C617" s="1157" t="s">
        <v>889</v>
      </c>
      <c r="D617" s="1168">
        <v>548.31175536146395</v>
      </c>
    </row>
    <row r="618" spans="1:4" s="339" customFormat="1" ht="15.5" x14ac:dyDescent="0.35">
      <c r="A618" s="1155" t="s">
        <v>818</v>
      </c>
      <c r="B618" s="1156">
        <v>2016</v>
      </c>
      <c r="C618" s="1157" t="s">
        <v>890</v>
      </c>
      <c r="D618" s="1168">
        <v>533.86253657279644</v>
      </c>
    </row>
    <row r="619" spans="1:4" s="339" customFormat="1" ht="15.5" x14ac:dyDescent="0.35">
      <c r="A619" s="1158" t="s">
        <v>818</v>
      </c>
      <c r="B619" s="1159">
        <v>2017</v>
      </c>
      <c r="C619" s="1159" t="str">
        <f t="shared" ref="C619:C682" si="16">CONCATENATE(A619,"_",B619)</f>
        <v>Kings_2017</v>
      </c>
      <c r="D619" s="1169">
        <v>530.02923063211995</v>
      </c>
    </row>
    <row r="620" spans="1:4" s="339" customFormat="1" ht="15.5" x14ac:dyDescent="0.35">
      <c r="A620" s="1158" t="s">
        <v>818</v>
      </c>
      <c r="B620" s="1159">
        <v>2018</v>
      </c>
      <c r="C620" s="1159" t="str">
        <f t="shared" si="16"/>
        <v>Kings_2018</v>
      </c>
      <c r="D620" s="1169">
        <v>522.89275897409902</v>
      </c>
    </row>
    <row r="621" spans="1:4" s="339" customFormat="1" ht="15.5" x14ac:dyDescent="0.35">
      <c r="A621" s="1158" t="s">
        <v>818</v>
      </c>
      <c r="B621" s="1159">
        <v>2019</v>
      </c>
      <c r="C621" s="1159" t="str">
        <f t="shared" si="16"/>
        <v>Kings_2019</v>
      </c>
      <c r="D621" s="1169">
        <v>514.89409878991023</v>
      </c>
    </row>
    <row r="622" spans="1:4" s="339" customFormat="1" ht="15.5" x14ac:dyDescent="0.35">
      <c r="A622" s="1158" t="s">
        <v>818</v>
      </c>
      <c r="B622" s="1159">
        <v>2020</v>
      </c>
      <c r="C622" s="1159" t="str">
        <f t="shared" si="16"/>
        <v>Kings_2020</v>
      </c>
      <c r="D622" s="1169">
        <v>510.75148119827298</v>
      </c>
    </row>
    <row r="623" spans="1:4" s="339" customFormat="1" ht="15.5" x14ac:dyDescent="0.35">
      <c r="A623" s="1158" t="s">
        <v>818</v>
      </c>
      <c r="B623" s="1159">
        <v>2021</v>
      </c>
      <c r="C623" s="1159" t="str">
        <f t="shared" si="16"/>
        <v>Kings_2021</v>
      </c>
      <c r="D623" s="1169">
        <v>500.40207526475359</v>
      </c>
    </row>
    <row r="624" spans="1:4" s="339" customFormat="1" ht="15.5" x14ac:dyDescent="0.35">
      <c r="A624" s="1158" t="s">
        <v>818</v>
      </c>
      <c r="B624" s="1159">
        <v>2022</v>
      </c>
      <c r="C624" s="1159" t="str">
        <f t="shared" si="16"/>
        <v>Kings_2022</v>
      </c>
      <c r="D624" s="1169">
        <v>491.05658597574256</v>
      </c>
    </row>
    <row r="625" spans="1:4" s="339" customFormat="1" ht="15.5" x14ac:dyDescent="0.35">
      <c r="A625" s="1158" t="s">
        <v>818</v>
      </c>
      <c r="B625" s="1159">
        <v>2023</v>
      </c>
      <c r="C625" s="1159" t="str">
        <f t="shared" si="16"/>
        <v>Kings_2023</v>
      </c>
      <c r="D625" s="1169">
        <v>481.14260920455581</v>
      </c>
    </row>
    <row r="626" spans="1:4" s="339" customFormat="1" ht="15.5" x14ac:dyDescent="0.35">
      <c r="A626" s="1158" t="s">
        <v>818</v>
      </c>
      <c r="B626" s="1159">
        <v>2024</v>
      </c>
      <c r="C626" s="1159" t="str">
        <f t="shared" si="16"/>
        <v>Kings_2024</v>
      </c>
      <c r="D626" s="1169">
        <v>470.87274378669167</v>
      </c>
    </row>
    <row r="627" spans="1:4" s="339" customFormat="1" ht="15.5" x14ac:dyDescent="0.35">
      <c r="A627" s="1158" t="s">
        <v>818</v>
      </c>
      <c r="B627" s="1159">
        <v>2025</v>
      </c>
      <c r="C627" s="1159" t="str">
        <f t="shared" si="16"/>
        <v>Kings_2025</v>
      </c>
      <c r="D627" s="1169">
        <v>460.29084157074431</v>
      </c>
    </row>
    <row r="628" spans="1:4" s="339" customFormat="1" ht="15.5" x14ac:dyDescent="0.35">
      <c r="A628" s="1158" t="s">
        <v>818</v>
      </c>
      <c r="B628" s="1159">
        <v>2026</v>
      </c>
      <c r="C628" s="1159" t="str">
        <f t="shared" si="16"/>
        <v>Kings_2026</v>
      </c>
      <c r="D628" s="1169">
        <v>449.99721392166782</v>
      </c>
    </row>
    <row r="629" spans="1:4" s="339" customFormat="1" ht="15.5" x14ac:dyDescent="0.35">
      <c r="A629" s="1158" t="s">
        <v>818</v>
      </c>
      <c r="B629" s="1159">
        <v>2027</v>
      </c>
      <c r="C629" s="1159" t="str">
        <f t="shared" si="16"/>
        <v>Kings_2027</v>
      </c>
      <c r="D629" s="1169">
        <v>440.26119324862276</v>
      </c>
    </row>
    <row r="630" spans="1:4" s="339" customFormat="1" ht="15.5" x14ac:dyDescent="0.35">
      <c r="A630" s="1158" t="s">
        <v>818</v>
      </c>
      <c r="B630" s="1159">
        <v>2028</v>
      </c>
      <c r="C630" s="1159" t="str">
        <f t="shared" si="16"/>
        <v>Kings_2028</v>
      </c>
      <c r="D630" s="1169">
        <v>431.32719871827641</v>
      </c>
    </row>
    <row r="631" spans="1:4" s="339" customFormat="1" ht="15.5" x14ac:dyDescent="0.35">
      <c r="A631" s="1158" t="s">
        <v>818</v>
      </c>
      <c r="B631" s="1159">
        <v>2029</v>
      </c>
      <c r="C631" s="1159" t="str">
        <f t="shared" si="16"/>
        <v>Kings_2029</v>
      </c>
      <c r="D631" s="1169">
        <v>423.12542026388684</v>
      </c>
    </row>
    <row r="632" spans="1:4" s="339" customFormat="1" ht="15.5" x14ac:dyDescent="0.35">
      <c r="A632" s="1158" t="s">
        <v>818</v>
      </c>
      <c r="B632" s="1159">
        <v>2030</v>
      </c>
      <c r="C632" s="1159" t="str">
        <f t="shared" si="16"/>
        <v>Kings_2030</v>
      </c>
      <c r="D632" s="1169">
        <v>415.59480549379794</v>
      </c>
    </row>
    <row r="633" spans="1:4" s="339" customFormat="1" ht="15.5" x14ac:dyDescent="0.35">
      <c r="A633" s="1158" t="s">
        <v>818</v>
      </c>
      <c r="B633" s="1159">
        <v>2031</v>
      </c>
      <c r="C633" s="1159" t="str">
        <f t="shared" si="16"/>
        <v>Kings_2031</v>
      </c>
      <c r="D633" s="1169">
        <v>408.80237869528014</v>
      </c>
    </row>
    <row r="634" spans="1:4" s="339" customFormat="1" ht="15.5" x14ac:dyDescent="0.35">
      <c r="A634" s="1158" t="s">
        <v>818</v>
      </c>
      <c r="B634" s="1159">
        <v>2032</v>
      </c>
      <c r="C634" s="1159" t="str">
        <f t="shared" si="16"/>
        <v>Kings_2032</v>
      </c>
      <c r="D634" s="1169">
        <v>402.58173716127237</v>
      </c>
    </row>
    <row r="635" spans="1:4" s="339" customFormat="1" ht="15.5" x14ac:dyDescent="0.35">
      <c r="A635" s="1158" t="s">
        <v>818</v>
      </c>
      <c r="B635" s="1159">
        <v>2033</v>
      </c>
      <c r="C635" s="1159" t="str">
        <f t="shared" si="16"/>
        <v>Kings_2033</v>
      </c>
      <c r="D635" s="1169">
        <v>397.08081031994078</v>
      </c>
    </row>
    <row r="636" spans="1:4" s="339" customFormat="1" ht="15.5" x14ac:dyDescent="0.35">
      <c r="A636" s="1158" t="s">
        <v>818</v>
      </c>
      <c r="B636" s="1159">
        <v>2034</v>
      </c>
      <c r="C636" s="1159" t="str">
        <f t="shared" si="16"/>
        <v>Kings_2034</v>
      </c>
      <c r="D636" s="1169">
        <v>392.17503273615864</v>
      </c>
    </row>
    <row r="637" spans="1:4" s="339" customFormat="1" ht="15.5" x14ac:dyDescent="0.35">
      <c r="A637" s="1158" t="s">
        <v>818</v>
      </c>
      <c r="B637" s="1159">
        <v>2035</v>
      </c>
      <c r="C637" s="1159" t="str">
        <f t="shared" si="16"/>
        <v>Kings_2035</v>
      </c>
      <c r="D637" s="1169">
        <v>387.82207899722863</v>
      </c>
    </row>
    <row r="638" spans="1:4" s="339" customFormat="1" ht="15.5" x14ac:dyDescent="0.35">
      <c r="A638" s="1158" t="s">
        <v>818</v>
      </c>
      <c r="B638" s="1159">
        <v>2036</v>
      </c>
      <c r="C638" s="1159" t="str">
        <f t="shared" si="16"/>
        <v>Kings_2036</v>
      </c>
      <c r="D638" s="1169">
        <v>383.99663530712877</v>
      </c>
    </row>
    <row r="639" spans="1:4" s="339" customFormat="1" ht="15.5" x14ac:dyDescent="0.35">
      <c r="A639" s="1158" t="s">
        <v>818</v>
      </c>
      <c r="B639" s="1159">
        <v>2037</v>
      </c>
      <c r="C639" s="1159" t="str">
        <f t="shared" si="16"/>
        <v>Kings_2037</v>
      </c>
      <c r="D639" s="1169">
        <v>380.67479913973904</v>
      </c>
    </row>
    <row r="640" spans="1:4" s="339" customFormat="1" ht="15.5" x14ac:dyDescent="0.35">
      <c r="A640" s="1158" t="s">
        <v>818</v>
      </c>
      <c r="B640" s="1159">
        <v>2038</v>
      </c>
      <c r="C640" s="1159" t="str">
        <f t="shared" si="16"/>
        <v>Kings_2038</v>
      </c>
      <c r="D640" s="1169">
        <v>377.56867522790691</v>
      </c>
    </row>
    <row r="641" spans="1:4" s="339" customFormat="1" ht="15.5" x14ac:dyDescent="0.35">
      <c r="A641" s="1158" t="s">
        <v>818</v>
      </c>
      <c r="B641" s="1159">
        <v>2039</v>
      </c>
      <c r="C641" s="1159" t="str">
        <f t="shared" si="16"/>
        <v>Kings_2039</v>
      </c>
      <c r="D641" s="1169">
        <v>375.12900254280635</v>
      </c>
    </row>
    <row r="642" spans="1:4" s="339" customFormat="1" ht="15.5" x14ac:dyDescent="0.35">
      <c r="A642" s="1158" t="s">
        <v>818</v>
      </c>
      <c r="B642" s="1159">
        <v>2040</v>
      </c>
      <c r="C642" s="1159" t="str">
        <f t="shared" si="16"/>
        <v>Kings_2040</v>
      </c>
      <c r="D642" s="1169">
        <v>373.07617780257988</v>
      </c>
    </row>
    <row r="643" spans="1:4" s="339" customFormat="1" ht="15.5" x14ac:dyDescent="0.35">
      <c r="A643" s="1158" t="s">
        <v>818</v>
      </c>
      <c r="B643" s="1159">
        <v>2041</v>
      </c>
      <c r="C643" s="1159" t="str">
        <f t="shared" si="16"/>
        <v>Kings_2041</v>
      </c>
      <c r="D643" s="1169">
        <v>371.36676363112463</v>
      </c>
    </row>
    <row r="644" spans="1:4" s="339" customFormat="1" ht="15.5" x14ac:dyDescent="0.35">
      <c r="A644" s="1158" t="s">
        <v>818</v>
      </c>
      <c r="B644" s="1159">
        <v>2042</v>
      </c>
      <c r="C644" s="1159" t="str">
        <f t="shared" si="16"/>
        <v>Kings_2042</v>
      </c>
      <c r="D644" s="1169">
        <v>369.92753206648786</v>
      </c>
    </row>
    <row r="645" spans="1:4" s="339" customFormat="1" ht="15.5" x14ac:dyDescent="0.35">
      <c r="A645" s="1158" t="s">
        <v>818</v>
      </c>
      <c r="B645" s="1159">
        <v>2043</v>
      </c>
      <c r="C645" s="1159" t="str">
        <f t="shared" si="16"/>
        <v>Kings_2043</v>
      </c>
      <c r="D645" s="1169">
        <v>368.73897600296812</v>
      </c>
    </row>
    <row r="646" spans="1:4" s="339" customFormat="1" ht="15.5" x14ac:dyDescent="0.35">
      <c r="A646" s="1158" t="s">
        <v>818</v>
      </c>
      <c r="B646" s="1159">
        <v>2044</v>
      </c>
      <c r="C646" s="1159" t="str">
        <f t="shared" si="16"/>
        <v>Kings_2044</v>
      </c>
      <c r="D646" s="1169">
        <v>367.75238585434425</v>
      </c>
    </row>
    <row r="647" spans="1:4" s="339" customFormat="1" ht="15.5" x14ac:dyDescent="0.35">
      <c r="A647" s="1158" t="s">
        <v>818</v>
      </c>
      <c r="B647" s="1159">
        <v>2045</v>
      </c>
      <c r="C647" s="1159" t="str">
        <f t="shared" si="16"/>
        <v>Kings_2045</v>
      </c>
      <c r="D647" s="1169">
        <v>366.91391786458166</v>
      </c>
    </row>
    <row r="648" spans="1:4" s="339" customFormat="1" ht="15.5" x14ac:dyDescent="0.35">
      <c r="A648" s="1158" t="s">
        <v>818</v>
      </c>
      <c r="B648" s="1159">
        <v>2046</v>
      </c>
      <c r="C648" s="1159" t="str">
        <f t="shared" si="16"/>
        <v>Kings_2046</v>
      </c>
      <c r="D648" s="1169">
        <v>366.20919987811931</v>
      </c>
    </row>
    <row r="649" spans="1:4" s="339" customFormat="1" ht="15.5" x14ac:dyDescent="0.35">
      <c r="A649" s="1158" t="s">
        <v>818</v>
      </c>
      <c r="B649" s="1159">
        <v>2047</v>
      </c>
      <c r="C649" s="1159" t="str">
        <f t="shared" si="16"/>
        <v>Kings_2047</v>
      </c>
      <c r="D649" s="1169">
        <v>365.61923048236656</v>
      </c>
    </row>
    <row r="650" spans="1:4" s="339" customFormat="1" ht="15.5" x14ac:dyDescent="0.35">
      <c r="A650" s="1158" t="s">
        <v>818</v>
      </c>
      <c r="B650" s="1159">
        <v>2048</v>
      </c>
      <c r="C650" s="1159" t="str">
        <f t="shared" si="16"/>
        <v>Kings_2048</v>
      </c>
      <c r="D650" s="1169">
        <v>365.12336071489432</v>
      </c>
    </row>
    <row r="651" spans="1:4" s="339" customFormat="1" ht="15.5" x14ac:dyDescent="0.35">
      <c r="A651" s="1158" t="s">
        <v>818</v>
      </c>
      <c r="B651" s="1159">
        <v>2049</v>
      </c>
      <c r="C651" s="1159" t="str">
        <f t="shared" si="16"/>
        <v>Kings_2049</v>
      </c>
      <c r="D651" s="1169">
        <v>364.71092178289427</v>
      </c>
    </row>
    <row r="652" spans="1:4" s="339" customFormat="1" ht="15.5" x14ac:dyDescent="0.35">
      <c r="A652" s="1158" t="s">
        <v>818</v>
      </c>
      <c r="B652" s="1159">
        <v>2050</v>
      </c>
      <c r="C652" s="1159" t="str">
        <f t="shared" si="16"/>
        <v>Kings_2050</v>
      </c>
      <c r="D652" s="1169">
        <v>364.37309684425651</v>
      </c>
    </row>
    <row r="653" spans="1:4" s="339" customFormat="1" ht="15.5" x14ac:dyDescent="0.35">
      <c r="A653" s="1162" t="s">
        <v>791</v>
      </c>
      <c r="B653" s="1161">
        <v>2015</v>
      </c>
      <c r="C653" s="1161" t="str">
        <f t="shared" si="16"/>
        <v>Lake County (Air Basin)_2015</v>
      </c>
      <c r="D653" s="1168">
        <v>555.175174200877</v>
      </c>
    </row>
    <row r="654" spans="1:4" s="339" customFormat="1" ht="15.5" x14ac:dyDescent="0.35">
      <c r="A654" s="1160" t="s">
        <v>791</v>
      </c>
      <c r="B654" s="1161">
        <v>2016</v>
      </c>
      <c r="C654" s="1161" t="str">
        <f t="shared" si="16"/>
        <v>Lake County (Air Basin)_2016</v>
      </c>
      <c r="D654" s="1168">
        <v>546.09080211988567</v>
      </c>
    </row>
    <row r="655" spans="1:4" s="339" customFormat="1" ht="15.5" x14ac:dyDescent="0.35">
      <c r="A655" s="1162" t="s">
        <v>791</v>
      </c>
      <c r="B655" s="1163">
        <v>2017</v>
      </c>
      <c r="C655" s="1163" t="str">
        <f t="shared" si="16"/>
        <v>Lake County (Air Basin)_2017</v>
      </c>
      <c r="D655" s="1169">
        <v>541.49926983894329</v>
      </c>
    </row>
    <row r="656" spans="1:4" s="339" customFormat="1" ht="15.5" x14ac:dyDescent="0.35">
      <c r="A656" s="1162" t="s">
        <v>791</v>
      </c>
      <c r="B656" s="1163">
        <v>2018</v>
      </c>
      <c r="C656" s="1163" t="str">
        <f t="shared" si="16"/>
        <v>Lake County (Air Basin)_2018</v>
      </c>
      <c r="D656" s="1169">
        <v>534.98652191334861</v>
      </c>
    </row>
    <row r="657" spans="1:4" s="339" customFormat="1" ht="15.5" x14ac:dyDescent="0.35">
      <c r="A657" s="1162" t="s">
        <v>791</v>
      </c>
      <c r="B657" s="1163">
        <v>2019</v>
      </c>
      <c r="C657" s="1163" t="str">
        <f t="shared" si="16"/>
        <v>Lake County (Air Basin)_2019</v>
      </c>
      <c r="D657" s="1169">
        <v>526.89808805339044</v>
      </c>
    </row>
    <row r="658" spans="1:4" s="339" customFormat="1" ht="15.5" x14ac:dyDescent="0.35">
      <c r="A658" s="1162" t="s">
        <v>791</v>
      </c>
      <c r="B658" s="1163">
        <v>2020</v>
      </c>
      <c r="C658" s="1163" t="str">
        <f t="shared" si="16"/>
        <v>Lake County (Air Basin)_2020</v>
      </c>
      <c r="D658" s="1169">
        <v>522.59450509159899</v>
      </c>
    </row>
    <row r="659" spans="1:4" s="339" customFormat="1" ht="15.5" x14ac:dyDescent="0.35">
      <c r="A659" s="1162" t="s">
        <v>791</v>
      </c>
      <c r="B659" s="1163">
        <v>2021</v>
      </c>
      <c r="C659" s="1163" t="str">
        <f t="shared" si="16"/>
        <v>Lake County (Air Basin)_2021</v>
      </c>
      <c r="D659" s="1169">
        <v>512.27908563987</v>
      </c>
    </row>
    <row r="660" spans="1:4" s="339" customFormat="1" ht="15.5" x14ac:dyDescent="0.35">
      <c r="A660" s="1162" t="s">
        <v>791</v>
      </c>
      <c r="B660" s="1163">
        <v>2022</v>
      </c>
      <c r="C660" s="1163" t="str">
        <f t="shared" si="16"/>
        <v>Lake County (Air Basin)_2022</v>
      </c>
      <c r="D660" s="1169">
        <v>503.21333621583443</v>
      </c>
    </row>
    <row r="661" spans="1:4" s="339" customFormat="1" ht="15.5" x14ac:dyDescent="0.35">
      <c r="A661" s="1162" t="s">
        <v>791</v>
      </c>
      <c r="B661" s="1163">
        <v>2023</v>
      </c>
      <c r="C661" s="1163" t="str">
        <f t="shared" si="16"/>
        <v>Lake County (Air Basin)_2023</v>
      </c>
      <c r="D661" s="1169">
        <v>493.64311286885766</v>
      </c>
    </row>
    <row r="662" spans="1:4" s="339" customFormat="1" ht="15.5" x14ac:dyDescent="0.35">
      <c r="A662" s="1162" t="s">
        <v>791</v>
      </c>
      <c r="B662" s="1163">
        <v>2024</v>
      </c>
      <c r="C662" s="1163" t="str">
        <f t="shared" si="16"/>
        <v>Lake County (Air Basin)_2024</v>
      </c>
      <c r="D662" s="1169">
        <v>483.61071743118748</v>
      </c>
    </row>
    <row r="663" spans="1:4" s="339" customFormat="1" ht="15.5" x14ac:dyDescent="0.35">
      <c r="A663" s="1162" t="s">
        <v>791</v>
      </c>
      <c r="B663" s="1163">
        <v>2025</v>
      </c>
      <c r="C663" s="1163" t="str">
        <f t="shared" si="16"/>
        <v>Lake County (Air Basin)_2025</v>
      </c>
      <c r="D663" s="1169">
        <v>473.4085484228026</v>
      </c>
    </row>
    <row r="664" spans="1:4" s="339" customFormat="1" ht="15.5" x14ac:dyDescent="0.35">
      <c r="A664" s="1162" t="s">
        <v>791</v>
      </c>
      <c r="B664" s="1163">
        <v>2026</v>
      </c>
      <c r="C664" s="1163" t="str">
        <f t="shared" si="16"/>
        <v>Lake County (Air Basin)_2026</v>
      </c>
      <c r="D664" s="1169">
        <v>463.37513384151947</v>
      </c>
    </row>
    <row r="665" spans="1:4" s="339" customFormat="1" ht="15.5" x14ac:dyDescent="0.35">
      <c r="A665" s="1162" t="s">
        <v>791</v>
      </c>
      <c r="B665" s="1163">
        <v>2027</v>
      </c>
      <c r="C665" s="1163" t="str">
        <f t="shared" si="16"/>
        <v>Lake County (Air Basin)_2027</v>
      </c>
      <c r="D665" s="1169">
        <v>453.63102524551573</v>
      </c>
    </row>
    <row r="666" spans="1:4" s="339" customFormat="1" ht="15.5" x14ac:dyDescent="0.35">
      <c r="A666" s="1162" t="s">
        <v>791</v>
      </c>
      <c r="B666" s="1163">
        <v>2028</v>
      </c>
      <c r="C666" s="1163" t="str">
        <f t="shared" si="16"/>
        <v>Lake County (Air Basin)_2028</v>
      </c>
      <c r="D666" s="1169">
        <v>444.38728895320952</v>
      </c>
    </row>
    <row r="667" spans="1:4" s="339" customFormat="1" ht="15.5" x14ac:dyDescent="0.35">
      <c r="A667" s="1162" t="s">
        <v>791</v>
      </c>
      <c r="B667" s="1163">
        <v>2029</v>
      </c>
      <c r="C667" s="1163" t="str">
        <f t="shared" si="16"/>
        <v>Lake County (Air Basin)_2029</v>
      </c>
      <c r="D667" s="1169">
        <v>435.67319462544566</v>
      </c>
    </row>
    <row r="668" spans="1:4" s="339" customFormat="1" ht="15.5" x14ac:dyDescent="0.35">
      <c r="A668" s="1162" t="s">
        <v>791</v>
      </c>
      <c r="B668" s="1163">
        <v>2030</v>
      </c>
      <c r="C668" s="1163" t="str">
        <f t="shared" si="16"/>
        <v>Lake County (Air Basin)_2030</v>
      </c>
      <c r="D668" s="1169">
        <v>427.52110632958477</v>
      </c>
    </row>
    <row r="669" spans="1:4" s="339" customFormat="1" ht="15.5" x14ac:dyDescent="0.35">
      <c r="A669" s="1162" t="s">
        <v>791</v>
      </c>
      <c r="B669" s="1163">
        <v>2031</v>
      </c>
      <c r="C669" s="1163" t="str">
        <f t="shared" si="16"/>
        <v>Lake County (Air Basin)_2031</v>
      </c>
      <c r="D669" s="1169">
        <v>419.93062986609766</v>
      </c>
    </row>
    <row r="670" spans="1:4" s="339" customFormat="1" ht="15.5" x14ac:dyDescent="0.35">
      <c r="A670" s="1162" t="s">
        <v>791</v>
      </c>
      <c r="B670" s="1163">
        <v>2032</v>
      </c>
      <c r="C670" s="1163" t="str">
        <f t="shared" si="16"/>
        <v>Lake County (Air Basin)_2032</v>
      </c>
      <c r="D670" s="1169">
        <v>412.89993390395358</v>
      </c>
    </row>
    <row r="671" spans="1:4" s="339" customFormat="1" ht="15.5" x14ac:dyDescent="0.35">
      <c r="A671" s="1162" t="s">
        <v>791</v>
      </c>
      <c r="B671" s="1163">
        <v>2033</v>
      </c>
      <c r="C671" s="1163" t="str">
        <f t="shared" si="16"/>
        <v>Lake County (Air Basin)_2033</v>
      </c>
      <c r="D671" s="1169">
        <v>406.42536466892227</v>
      </c>
    </row>
    <row r="672" spans="1:4" s="339" customFormat="1" ht="15.5" x14ac:dyDescent="0.35">
      <c r="A672" s="1162" t="s">
        <v>791</v>
      </c>
      <c r="B672" s="1163">
        <v>2034</v>
      </c>
      <c r="C672" s="1163" t="str">
        <f t="shared" si="16"/>
        <v>Lake County (Air Basin)_2034</v>
      </c>
      <c r="D672" s="1169">
        <v>400.47667549001494</v>
      </c>
    </row>
    <row r="673" spans="1:4" s="339" customFormat="1" ht="15.5" x14ac:dyDescent="0.35">
      <c r="A673" s="1162" t="s">
        <v>791</v>
      </c>
      <c r="B673" s="1163">
        <v>2035</v>
      </c>
      <c r="C673" s="1163" t="str">
        <f t="shared" si="16"/>
        <v>Lake County (Air Basin)_2035</v>
      </c>
      <c r="D673" s="1169">
        <v>395.02583898665188</v>
      </c>
    </row>
    <row r="674" spans="1:4" s="339" customFormat="1" ht="15.5" x14ac:dyDescent="0.35">
      <c r="A674" s="1162" t="s">
        <v>791</v>
      </c>
      <c r="B674" s="1163">
        <v>2036</v>
      </c>
      <c r="C674" s="1163" t="str">
        <f t="shared" si="16"/>
        <v>Lake County (Air Basin)_2036</v>
      </c>
      <c r="D674" s="1169">
        <v>390.07963292508015</v>
      </c>
    </row>
    <row r="675" spans="1:4" s="339" customFormat="1" ht="15.5" x14ac:dyDescent="0.35">
      <c r="A675" s="1162" t="s">
        <v>791</v>
      </c>
      <c r="B675" s="1163">
        <v>2037</v>
      </c>
      <c r="C675" s="1163" t="str">
        <f t="shared" si="16"/>
        <v>Lake County (Air Basin)_2037</v>
      </c>
      <c r="D675" s="1169">
        <v>385.64070718334131</v>
      </c>
    </row>
    <row r="676" spans="1:4" s="339" customFormat="1" ht="15.5" x14ac:dyDescent="0.35">
      <c r="A676" s="1162" t="s">
        <v>791</v>
      </c>
      <c r="B676" s="1163">
        <v>2038</v>
      </c>
      <c r="C676" s="1163" t="str">
        <f t="shared" si="16"/>
        <v>Lake County (Air Basin)_2038</v>
      </c>
      <c r="D676" s="1169">
        <v>381.6911494592988</v>
      </c>
    </row>
    <row r="677" spans="1:4" s="339" customFormat="1" ht="15.5" x14ac:dyDescent="0.35">
      <c r="A677" s="1162" t="s">
        <v>791</v>
      </c>
      <c r="B677" s="1163">
        <v>2039</v>
      </c>
      <c r="C677" s="1163" t="str">
        <f t="shared" si="16"/>
        <v>Lake County (Air Basin)_2039</v>
      </c>
      <c r="D677" s="1169">
        <v>378.13795955471937</v>
      </c>
    </row>
    <row r="678" spans="1:4" s="339" customFormat="1" ht="15.5" x14ac:dyDescent="0.35">
      <c r="A678" s="1162" t="s">
        <v>791</v>
      </c>
      <c r="B678" s="1163">
        <v>2040</v>
      </c>
      <c r="C678" s="1163" t="str">
        <f t="shared" si="16"/>
        <v>Lake County (Air Basin)_2040</v>
      </c>
      <c r="D678" s="1169">
        <v>375.00397436517852</v>
      </c>
    </row>
    <row r="679" spans="1:4" s="339" customFormat="1" ht="15.5" x14ac:dyDescent="0.35">
      <c r="A679" s="1162" t="s">
        <v>791</v>
      </c>
      <c r="B679" s="1163">
        <v>2041</v>
      </c>
      <c r="C679" s="1163" t="str">
        <f t="shared" si="16"/>
        <v>Lake County (Air Basin)_2041</v>
      </c>
      <c r="D679" s="1169">
        <v>372.28456146938123</v>
      </c>
    </row>
    <row r="680" spans="1:4" s="339" customFormat="1" ht="15.5" x14ac:dyDescent="0.35">
      <c r="A680" s="1162" t="s">
        <v>791</v>
      </c>
      <c r="B680" s="1163">
        <v>2042</v>
      </c>
      <c r="C680" s="1163" t="str">
        <f t="shared" si="16"/>
        <v>Lake County (Air Basin)_2042</v>
      </c>
      <c r="D680" s="1169">
        <v>369.84885887925634</v>
      </c>
    </row>
    <row r="681" spans="1:4" s="339" customFormat="1" ht="15.5" x14ac:dyDescent="0.35">
      <c r="A681" s="1162" t="s">
        <v>791</v>
      </c>
      <c r="B681" s="1163">
        <v>2043</v>
      </c>
      <c r="C681" s="1163" t="str">
        <f t="shared" si="16"/>
        <v>Lake County (Air Basin)_2043</v>
      </c>
      <c r="D681" s="1169">
        <v>367.73326535290818</v>
      </c>
    </row>
    <row r="682" spans="1:4" s="339" customFormat="1" ht="15.5" x14ac:dyDescent="0.35">
      <c r="A682" s="1162" t="s">
        <v>791</v>
      </c>
      <c r="B682" s="1163">
        <v>2044</v>
      </c>
      <c r="C682" s="1163" t="str">
        <f t="shared" si="16"/>
        <v>Lake County (Air Basin)_2044</v>
      </c>
      <c r="D682" s="1169">
        <v>365.87148957689487</v>
      </c>
    </row>
    <row r="683" spans="1:4" s="339" customFormat="1" ht="15.5" x14ac:dyDescent="0.35">
      <c r="A683" s="1162" t="s">
        <v>791</v>
      </c>
      <c r="B683" s="1163">
        <v>2045</v>
      </c>
      <c r="C683" s="1163" t="str">
        <f t="shared" ref="C683:C724" si="17">CONCATENATE(A683,"_",B683)</f>
        <v>Lake County (Air Basin)_2045</v>
      </c>
      <c r="D683" s="1169">
        <v>364.18882953594601</v>
      </c>
    </row>
    <row r="684" spans="1:4" s="339" customFormat="1" ht="15.5" x14ac:dyDescent="0.35">
      <c r="A684" s="1162" t="s">
        <v>791</v>
      </c>
      <c r="B684" s="1163">
        <v>2046</v>
      </c>
      <c r="C684" s="1163" t="str">
        <f t="shared" si="17"/>
        <v>Lake County (Air Basin)_2046</v>
      </c>
      <c r="D684" s="1169">
        <v>362.71409124081151</v>
      </c>
    </row>
    <row r="685" spans="1:4" s="339" customFormat="1" ht="15.5" x14ac:dyDescent="0.35">
      <c r="A685" s="1162" t="s">
        <v>791</v>
      </c>
      <c r="B685" s="1163">
        <v>2047</v>
      </c>
      <c r="C685" s="1163" t="str">
        <f t="shared" si="17"/>
        <v>Lake County (Air Basin)_2047</v>
      </c>
      <c r="D685" s="1169">
        <v>361.45468167795843</v>
      </c>
    </row>
    <row r="686" spans="1:4" s="339" customFormat="1" ht="15.5" x14ac:dyDescent="0.35">
      <c r="A686" s="1162" t="s">
        <v>791</v>
      </c>
      <c r="B686" s="1163">
        <v>2048</v>
      </c>
      <c r="C686" s="1163" t="str">
        <f t="shared" si="17"/>
        <v>Lake County (Air Basin)_2048</v>
      </c>
      <c r="D686" s="1169">
        <v>360.35075572793698</v>
      </c>
    </row>
    <row r="687" spans="1:4" s="339" customFormat="1" ht="15.5" x14ac:dyDescent="0.35">
      <c r="A687" s="1162" t="s">
        <v>791</v>
      </c>
      <c r="B687" s="1163">
        <v>2049</v>
      </c>
      <c r="C687" s="1163" t="str">
        <f t="shared" si="17"/>
        <v>Lake County (Air Basin)_2049</v>
      </c>
      <c r="D687" s="1169">
        <v>359.37942546075277</v>
      </c>
    </row>
    <row r="688" spans="1:4" s="339" customFormat="1" ht="15.5" x14ac:dyDescent="0.35">
      <c r="A688" s="1162" t="s">
        <v>791</v>
      </c>
      <c r="B688" s="1163">
        <v>2050</v>
      </c>
      <c r="C688" s="1163" t="str">
        <f t="shared" si="17"/>
        <v>Lake County (Air Basin)_2050</v>
      </c>
      <c r="D688" s="1169">
        <v>358.55051391165438</v>
      </c>
    </row>
    <row r="689" spans="1:4" s="339" customFormat="1" ht="15.5" x14ac:dyDescent="0.35">
      <c r="A689" s="1160" t="s">
        <v>793</v>
      </c>
      <c r="B689" s="1161">
        <v>2015</v>
      </c>
      <c r="C689" s="1161" t="str">
        <f t="shared" si="17"/>
        <v>Lake Tahoe_2015</v>
      </c>
      <c r="D689" s="1168">
        <v>530.46889339711674</v>
      </c>
    </row>
    <row r="690" spans="1:4" s="339" customFormat="1" ht="15.5" x14ac:dyDescent="0.35">
      <c r="A690" s="1160" t="s">
        <v>793</v>
      </c>
      <c r="B690" s="1161">
        <v>2016</v>
      </c>
      <c r="C690" s="1161" t="str">
        <f t="shared" si="17"/>
        <v>Lake Tahoe_2016</v>
      </c>
      <c r="D690" s="1168">
        <v>520.2716752768996</v>
      </c>
    </row>
    <row r="691" spans="1:4" s="339" customFormat="1" ht="15.5" x14ac:dyDescent="0.35">
      <c r="A691" s="1162" t="s">
        <v>793</v>
      </c>
      <c r="B691" s="1163">
        <v>2017</v>
      </c>
      <c r="C691" s="1163" t="str">
        <f t="shared" si="17"/>
        <v>Lake Tahoe_2017</v>
      </c>
      <c r="D691" s="1169">
        <v>515.53502973968887</v>
      </c>
    </row>
    <row r="692" spans="1:4" s="339" customFormat="1" ht="15.5" x14ac:dyDescent="0.35">
      <c r="A692" s="1162" t="s">
        <v>793</v>
      </c>
      <c r="B692" s="1163">
        <v>2018</v>
      </c>
      <c r="C692" s="1163" t="str">
        <f t="shared" si="17"/>
        <v>Lake Tahoe_2018</v>
      </c>
      <c r="D692" s="1169">
        <v>508.98931908567573</v>
      </c>
    </row>
    <row r="693" spans="1:4" s="339" customFormat="1" ht="15.5" x14ac:dyDescent="0.35">
      <c r="A693" s="1162" t="s">
        <v>793</v>
      </c>
      <c r="B693" s="1163">
        <v>2019</v>
      </c>
      <c r="C693" s="1163" t="str">
        <f t="shared" si="17"/>
        <v>Lake Tahoe_2019</v>
      </c>
      <c r="D693" s="1169">
        <v>498.07378590437912</v>
      </c>
    </row>
    <row r="694" spans="1:4" s="339" customFormat="1" ht="15.5" x14ac:dyDescent="0.35">
      <c r="A694" s="1162" t="s">
        <v>793</v>
      </c>
      <c r="B694" s="1163">
        <v>2020</v>
      </c>
      <c r="C694" s="1163" t="str">
        <f t="shared" si="17"/>
        <v>Lake Tahoe_2020</v>
      </c>
      <c r="D694" s="1169">
        <v>493.75996838725109</v>
      </c>
    </row>
    <row r="695" spans="1:4" s="339" customFormat="1" ht="15.5" x14ac:dyDescent="0.35">
      <c r="A695" s="1162" t="s">
        <v>793</v>
      </c>
      <c r="B695" s="1163">
        <v>2021</v>
      </c>
      <c r="C695" s="1163" t="str">
        <f t="shared" si="17"/>
        <v>Lake Tahoe_2021</v>
      </c>
      <c r="D695" s="1169">
        <v>481.99578910712012</v>
      </c>
    </row>
    <row r="696" spans="1:4" s="339" customFormat="1" ht="15.5" x14ac:dyDescent="0.35">
      <c r="A696" s="1162" t="s">
        <v>793</v>
      </c>
      <c r="B696" s="1163">
        <v>2022</v>
      </c>
      <c r="C696" s="1163" t="str">
        <f t="shared" si="17"/>
        <v>Lake Tahoe_2022</v>
      </c>
      <c r="D696" s="1169">
        <v>471.45305297675458</v>
      </c>
    </row>
    <row r="697" spans="1:4" s="339" customFormat="1" ht="15.5" x14ac:dyDescent="0.35">
      <c r="A697" s="1162" t="s">
        <v>793</v>
      </c>
      <c r="B697" s="1163">
        <v>2023</v>
      </c>
      <c r="C697" s="1163" t="str">
        <f t="shared" si="17"/>
        <v>Lake Tahoe_2023</v>
      </c>
      <c r="D697" s="1169">
        <v>460.49961049370916</v>
      </c>
    </row>
    <row r="698" spans="1:4" s="339" customFormat="1" ht="15.5" x14ac:dyDescent="0.35">
      <c r="A698" s="1162" t="s">
        <v>793</v>
      </c>
      <c r="B698" s="1163">
        <v>2024</v>
      </c>
      <c r="C698" s="1163" t="str">
        <f t="shared" si="17"/>
        <v>Lake Tahoe_2024</v>
      </c>
      <c r="D698" s="1169">
        <v>449.21819406240712</v>
      </c>
    </row>
    <row r="699" spans="1:4" s="339" customFormat="1" ht="15.5" x14ac:dyDescent="0.35">
      <c r="A699" s="1162" t="s">
        <v>793</v>
      </c>
      <c r="B699" s="1163">
        <v>2025</v>
      </c>
      <c r="C699" s="1163" t="str">
        <f t="shared" si="17"/>
        <v>Lake Tahoe_2025</v>
      </c>
      <c r="D699" s="1169">
        <v>437.88193598781936</v>
      </c>
    </row>
    <row r="700" spans="1:4" s="339" customFormat="1" ht="15.5" x14ac:dyDescent="0.35">
      <c r="A700" s="1162" t="s">
        <v>793</v>
      </c>
      <c r="B700" s="1163">
        <v>2026</v>
      </c>
      <c r="C700" s="1163" t="str">
        <f t="shared" si="17"/>
        <v>Lake Tahoe_2026</v>
      </c>
      <c r="D700" s="1169">
        <v>426.83828455389391</v>
      </c>
    </row>
    <row r="701" spans="1:4" s="339" customFormat="1" ht="15.5" x14ac:dyDescent="0.35">
      <c r="A701" s="1162" t="s">
        <v>793</v>
      </c>
      <c r="B701" s="1163">
        <v>2027</v>
      </c>
      <c r="C701" s="1163" t="str">
        <f t="shared" si="17"/>
        <v>Lake Tahoe_2027</v>
      </c>
      <c r="D701" s="1169">
        <v>416.27444550611852</v>
      </c>
    </row>
    <row r="702" spans="1:4" s="339" customFormat="1" ht="15.5" x14ac:dyDescent="0.35">
      <c r="A702" s="1162" t="s">
        <v>793</v>
      </c>
      <c r="B702" s="1163">
        <v>2028</v>
      </c>
      <c r="C702" s="1163" t="str">
        <f t="shared" si="17"/>
        <v>Lake Tahoe_2028</v>
      </c>
      <c r="D702" s="1169">
        <v>406.39325851385405</v>
      </c>
    </row>
    <row r="703" spans="1:4" s="339" customFormat="1" ht="15.5" x14ac:dyDescent="0.35">
      <c r="A703" s="1162" t="s">
        <v>793</v>
      </c>
      <c r="B703" s="1163">
        <v>2029</v>
      </c>
      <c r="C703" s="1163" t="str">
        <f t="shared" si="17"/>
        <v>Lake Tahoe_2029</v>
      </c>
      <c r="D703" s="1169">
        <v>397.20613737708328</v>
      </c>
    </row>
    <row r="704" spans="1:4" s="339" customFormat="1" ht="15.5" x14ac:dyDescent="0.35">
      <c r="A704" s="1162" t="s">
        <v>793</v>
      </c>
      <c r="B704" s="1163">
        <v>2030</v>
      </c>
      <c r="C704" s="1163" t="str">
        <f t="shared" si="17"/>
        <v>Lake Tahoe_2030</v>
      </c>
      <c r="D704" s="1169">
        <v>388.74102202171923</v>
      </c>
    </row>
    <row r="705" spans="1:4" s="339" customFormat="1" ht="15.5" x14ac:dyDescent="0.35">
      <c r="A705" s="1162" t="s">
        <v>793</v>
      </c>
      <c r="B705" s="1163">
        <v>2031</v>
      </c>
      <c r="C705" s="1163" t="str">
        <f t="shared" si="17"/>
        <v>Lake Tahoe_2031</v>
      </c>
      <c r="D705" s="1169">
        <v>381.00869083290326</v>
      </c>
    </row>
    <row r="706" spans="1:4" s="339" customFormat="1" ht="15.5" x14ac:dyDescent="0.35">
      <c r="A706" s="1162" t="s">
        <v>793</v>
      </c>
      <c r="B706" s="1163">
        <v>2032</v>
      </c>
      <c r="C706" s="1163" t="str">
        <f t="shared" si="17"/>
        <v>Lake Tahoe_2032</v>
      </c>
      <c r="D706" s="1169">
        <v>374.00276144427721</v>
      </c>
    </row>
    <row r="707" spans="1:4" s="339" customFormat="1" ht="15.5" x14ac:dyDescent="0.35">
      <c r="A707" s="1162" t="s">
        <v>793</v>
      </c>
      <c r="B707" s="1163">
        <v>2033</v>
      </c>
      <c r="C707" s="1163" t="str">
        <f t="shared" si="17"/>
        <v>Lake Tahoe_2033</v>
      </c>
      <c r="D707" s="1169">
        <v>367.64619102618144</v>
      </c>
    </row>
    <row r="708" spans="1:4" s="339" customFormat="1" ht="15.5" x14ac:dyDescent="0.35">
      <c r="A708" s="1162" t="s">
        <v>793</v>
      </c>
      <c r="B708" s="1163">
        <v>2034</v>
      </c>
      <c r="C708" s="1163" t="str">
        <f t="shared" si="17"/>
        <v>Lake Tahoe_2034</v>
      </c>
      <c r="D708" s="1169">
        <v>361.95966991070384</v>
      </c>
    </row>
    <row r="709" spans="1:4" s="339" customFormat="1" ht="15.5" x14ac:dyDescent="0.35">
      <c r="A709" s="1162" t="s">
        <v>793</v>
      </c>
      <c r="B709" s="1163">
        <v>2035</v>
      </c>
      <c r="C709" s="1163" t="str">
        <f t="shared" si="17"/>
        <v>Lake Tahoe_2035</v>
      </c>
      <c r="D709" s="1169">
        <v>356.88998423249745</v>
      </c>
    </row>
    <row r="710" spans="1:4" s="339" customFormat="1" ht="15.5" x14ac:dyDescent="0.35">
      <c r="A710" s="1162" t="s">
        <v>793</v>
      </c>
      <c r="B710" s="1163">
        <v>2036</v>
      </c>
      <c r="C710" s="1163" t="str">
        <f t="shared" si="17"/>
        <v>Lake Tahoe_2036</v>
      </c>
      <c r="D710" s="1169">
        <v>352.44626963788096</v>
      </c>
    </row>
    <row r="711" spans="1:4" s="339" customFormat="1" ht="15.5" x14ac:dyDescent="0.35">
      <c r="A711" s="1162" t="s">
        <v>793</v>
      </c>
      <c r="B711" s="1163">
        <v>2037</v>
      </c>
      <c r="C711" s="1163" t="str">
        <f t="shared" si="17"/>
        <v>Lake Tahoe_2037</v>
      </c>
      <c r="D711" s="1169">
        <v>348.53823617658412</v>
      </c>
    </row>
    <row r="712" spans="1:4" s="339" customFormat="1" ht="15.5" x14ac:dyDescent="0.35">
      <c r="A712" s="1162" t="s">
        <v>793</v>
      </c>
      <c r="B712" s="1163">
        <v>2038</v>
      </c>
      <c r="C712" s="1163" t="str">
        <f t="shared" si="17"/>
        <v>Lake Tahoe_2038</v>
      </c>
      <c r="D712" s="1169">
        <v>345.15753681363714</v>
      </c>
    </row>
    <row r="713" spans="1:4" s="339" customFormat="1" ht="15.5" x14ac:dyDescent="0.35">
      <c r="A713" s="1162" t="s">
        <v>793</v>
      </c>
      <c r="B713" s="1163">
        <v>2039</v>
      </c>
      <c r="C713" s="1163" t="str">
        <f t="shared" si="17"/>
        <v>Lake Tahoe_2039</v>
      </c>
      <c r="D713" s="1169">
        <v>342.23391356306598</v>
      </c>
    </row>
    <row r="714" spans="1:4" s="339" customFormat="1" ht="15.5" x14ac:dyDescent="0.35">
      <c r="A714" s="1162" t="s">
        <v>793</v>
      </c>
      <c r="B714" s="1163">
        <v>2040</v>
      </c>
      <c r="C714" s="1163" t="str">
        <f t="shared" si="17"/>
        <v>Lake Tahoe_2040</v>
      </c>
      <c r="D714" s="1169">
        <v>339.69994560475186</v>
      </c>
    </row>
    <row r="715" spans="1:4" s="339" customFormat="1" ht="15.5" x14ac:dyDescent="0.35">
      <c r="A715" s="1162" t="s">
        <v>793</v>
      </c>
      <c r="B715" s="1163">
        <v>2041</v>
      </c>
      <c r="C715" s="1163" t="str">
        <f t="shared" si="17"/>
        <v>Lake Tahoe_2041</v>
      </c>
      <c r="D715" s="1169">
        <v>337.55264715620581</v>
      </c>
    </row>
    <row r="716" spans="1:4" s="339" customFormat="1" ht="15.5" x14ac:dyDescent="0.35">
      <c r="A716" s="1162" t="s">
        <v>793</v>
      </c>
      <c r="B716" s="1163">
        <v>2042</v>
      </c>
      <c r="C716" s="1163" t="str">
        <f t="shared" si="17"/>
        <v>Lake Tahoe_2042</v>
      </c>
      <c r="D716" s="1169">
        <v>335.69107063783434</v>
      </c>
    </row>
    <row r="717" spans="1:4" s="339" customFormat="1" ht="15.5" x14ac:dyDescent="0.35">
      <c r="A717" s="1162" t="s">
        <v>793</v>
      </c>
      <c r="B717" s="1163">
        <v>2043</v>
      </c>
      <c r="C717" s="1163" t="str">
        <f t="shared" si="17"/>
        <v>Lake Tahoe_2043</v>
      </c>
      <c r="D717" s="1169">
        <v>334.09134986081102</v>
      </c>
    </row>
    <row r="718" spans="1:4" s="339" customFormat="1" ht="15.5" x14ac:dyDescent="0.35">
      <c r="A718" s="1162" t="s">
        <v>793</v>
      </c>
      <c r="B718" s="1163">
        <v>2044</v>
      </c>
      <c r="C718" s="1163" t="str">
        <f t="shared" si="17"/>
        <v>Lake Tahoe_2044</v>
      </c>
      <c r="D718" s="1169">
        <v>332.68986595460041</v>
      </c>
    </row>
    <row r="719" spans="1:4" s="339" customFormat="1" ht="15.5" x14ac:dyDescent="0.35">
      <c r="A719" s="1162" t="s">
        <v>793</v>
      </c>
      <c r="B719" s="1163">
        <v>2045</v>
      </c>
      <c r="C719" s="1163" t="str">
        <f t="shared" si="17"/>
        <v>Lake Tahoe_2045</v>
      </c>
      <c r="D719" s="1169">
        <v>331.46106203063624</v>
      </c>
    </row>
    <row r="720" spans="1:4" s="339" customFormat="1" ht="15.5" x14ac:dyDescent="0.35">
      <c r="A720" s="1162" t="s">
        <v>793</v>
      </c>
      <c r="B720" s="1163">
        <v>2046</v>
      </c>
      <c r="C720" s="1163" t="str">
        <f t="shared" si="17"/>
        <v>Lake Tahoe_2046</v>
      </c>
      <c r="D720" s="1169">
        <v>330.39610979467955</v>
      </c>
    </row>
    <row r="721" spans="1:4" s="339" customFormat="1" ht="15.5" x14ac:dyDescent="0.35">
      <c r="A721" s="1162" t="s">
        <v>793</v>
      </c>
      <c r="B721" s="1163">
        <v>2047</v>
      </c>
      <c r="C721" s="1163" t="str">
        <f t="shared" si="17"/>
        <v>Lake Tahoe_2047</v>
      </c>
      <c r="D721" s="1169">
        <v>329.47298193142296</v>
      </c>
    </row>
    <row r="722" spans="1:4" s="339" customFormat="1" ht="15.5" x14ac:dyDescent="0.35">
      <c r="A722" s="1162" t="s">
        <v>793</v>
      </c>
      <c r="B722" s="1163">
        <v>2048</v>
      </c>
      <c r="C722" s="1163" t="str">
        <f t="shared" si="17"/>
        <v>Lake Tahoe_2048</v>
      </c>
      <c r="D722" s="1169">
        <v>328.67013404927229</v>
      </c>
    </row>
    <row r="723" spans="1:4" s="339" customFormat="1" ht="15.5" x14ac:dyDescent="0.35">
      <c r="A723" s="1162" t="s">
        <v>793</v>
      </c>
      <c r="B723" s="1163">
        <v>2049</v>
      </c>
      <c r="C723" s="1163" t="str">
        <f t="shared" si="17"/>
        <v>Lake Tahoe_2049</v>
      </c>
      <c r="D723" s="1169">
        <v>327.99036640309828</v>
      </c>
    </row>
    <row r="724" spans="1:4" s="339" customFormat="1" ht="15.5" x14ac:dyDescent="0.35">
      <c r="A724" s="1162" t="s">
        <v>793</v>
      </c>
      <c r="B724" s="1163">
        <v>2050</v>
      </c>
      <c r="C724" s="1163" t="str">
        <f t="shared" si="17"/>
        <v>Lake Tahoe_2050</v>
      </c>
      <c r="D724" s="1169">
        <v>327.4215980544983</v>
      </c>
    </row>
    <row r="725" spans="1:4" s="339" customFormat="1" ht="15.5" x14ac:dyDescent="0.35">
      <c r="A725" s="1155" t="s">
        <v>819</v>
      </c>
      <c r="B725" s="1156">
        <v>2015</v>
      </c>
      <c r="C725" s="1157" t="s">
        <v>891</v>
      </c>
      <c r="D725" s="1168">
        <v>555.175174200877</v>
      </c>
    </row>
    <row r="726" spans="1:4" s="339" customFormat="1" ht="15.5" x14ac:dyDescent="0.35">
      <c r="A726" s="1155" t="s">
        <v>819</v>
      </c>
      <c r="B726" s="1156">
        <v>2016</v>
      </c>
      <c r="C726" s="1157" t="s">
        <v>892</v>
      </c>
      <c r="D726" s="1168">
        <v>546.09080211988567</v>
      </c>
    </row>
    <row r="727" spans="1:4" s="339" customFormat="1" ht="15.5" x14ac:dyDescent="0.35">
      <c r="A727" s="1158" t="s">
        <v>819</v>
      </c>
      <c r="B727" s="1159">
        <v>2017</v>
      </c>
      <c r="C727" s="1159" t="str">
        <f t="shared" ref="C727:C760" si="18">CONCATENATE(A727,"_",B727)</f>
        <v>Lake_2017</v>
      </c>
      <c r="D727" s="1169">
        <v>541.49926983894329</v>
      </c>
    </row>
    <row r="728" spans="1:4" s="339" customFormat="1" ht="15.5" x14ac:dyDescent="0.35">
      <c r="A728" s="1158" t="s">
        <v>819</v>
      </c>
      <c r="B728" s="1159">
        <v>2018</v>
      </c>
      <c r="C728" s="1159" t="str">
        <f t="shared" si="18"/>
        <v>Lake_2018</v>
      </c>
      <c r="D728" s="1169">
        <v>534.98652191334861</v>
      </c>
    </row>
    <row r="729" spans="1:4" s="339" customFormat="1" ht="15.5" x14ac:dyDescent="0.35">
      <c r="A729" s="1158" t="s">
        <v>819</v>
      </c>
      <c r="B729" s="1159">
        <v>2019</v>
      </c>
      <c r="C729" s="1159" t="str">
        <f t="shared" si="18"/>
        <v>Lake_2019</v>
      </c>
      <c r="D729" s="1169">
        <v>526.89808805339044</v>
      </c>
    </row>
    <row r="730" spans="1:4" s="339" customFormat="1" ht="15.5" x14ac:dyDescent="0.35">
      <c r="A730" s="1158" t="s">
        <v>819</v>
      </c>
      <c r="B730" s="1159">
        <v>2020</v>
      </c>
      <c r="C730" s="1159" t="str">
        <f t="shared" si="18"/>
        <v>Lake_2020</v>
      </c>
      <c r="D730" s="1169">
        <v>522.59450509159899</v>
      </c>
    </row>
    <row r="731" spans="1:4" s="339" customFormat="1" ht="15.5" x14ac:dyDescent="0.35">
      <c r="A731" s="1158" t="s">
        <v>819</v>
      </c>
      <c r="B731" s="1159">
        <v>2021</v>
      </c>
      <c r="C731" s="1159" t="str">
        <f t="shared" si="18"/>
        <v>Lake_2021</v>
      </c>
      <c r="D731" s="1169">
        <v>512.27908563987</v>
      </c>
    </row>
    <row r="732" spans="1:4" s="339" customFormat="1" ht="15.5" x14ac:dyDescent="0.35">
      <c r="A732" s="1158" t="s">
        <v>819</v>
      </c>
      <c r="B732" s="1159">
        <v>2022</v>
      </c>
      <c r="C732" s="1159" t="str">
        <f t="shared" si="18"/>
        <v>Lake_2022</v>
      </c>
      <c r="D732" s="1169">
        <v>503.21333621583443</v>
      </c>
    </row>
    <row r="733" spans="1:4" s="339" customFormat="1" ht="15.5" x14ac:dyDescent="0.35">
      <c r="A733" s="1158" t="s">
        <v>819</v>
      </c>
      <c r="B733" s="1159">
        <v>2023</v>
      </c>
      <c r="C733" s="1159" t="str">
        <f t="shared" si="18"/>
        <v>Lake_2023</v>
      </c>
      <c r="D733" s="1169">
        <v>493.64311286885766</v>
      </c>
    </row>
    <row r="734" spans="1:4" s="339" customFormat="1" ht="15.5" x14ac:dyDescent="0.35">
      <c r="A734" s="1158" t="s">
        <v>819</v>
      </c>
      <c r="B734" s="1159">
        <v>2024</v>
      </c>
      <c r="C734" s="1159" t="str">
        <f t="shared" si="18"/>
        <v>Lake_2024</v>
      </c>
      <c r="D734" s="1169">
        <v>483.61071743118748</v>
      </c>
    </row>
    <row r="735" spans="1:4" s="339" customFormat="1" ht="15.5" x14ac:dyDescent="0.35">
      <c r="A735" s="1158" t="s">
        <v>819</v>
      </c>
      <c r="B735" s="1159">
        <v>2025</v>
      </c>
      <c r="C735" s="1159" t="str">
        <f t="shared" si="18"/>
        <v>Lake_2025</v>
      </c>
      <c r="D735" s="1169">
        <v>473.4085484228026</v>
      </c>
    </row>
    <row r="736" spans="1:4" s="339" customFormat="1" ht="15.5" x14ac:dyDescent="0.35">
      <c r="A736" s="1158" t="s">
        <v>819</v>
      </c>
      <c r="B736" s="1159">
        <v>2026</v>
      </c>
      <c r="C736" s="1159" t="str">
        <f t="shared" si="18"/>
        <v>Lake_2026</v>
      </c>
      <c r="D736" s="1169">
        <v>463.37513384151947</v>
      </c>
    </row>
    <row r="737" spans="1:4" s="339" customFormat="1" ht="15.5" x14ac:dyDescent="0.35">
      <c r="A737" s="1158" t="s">
        <v>819</v>
      </c>
      <c r="B737" s="1159">
        <v>2027</v>
      </c>
      <c r="C737" s="1159" t="str">
        <f t="shared" si="18"/>
        <v>Lake_2027</v>
      </c>
      <c r="D737" s="1169">
        <v>453.63102524551573</v>
      </c>
    </row>
    <row r="738" spans="1:4" s="339" customFormat="1" ht="15.5" x14ac:dyDescent="0.35">
      <c r="A738" s="1158" t="s">
        <v>819</v>
      </c>
      <c r="B738" s="1159">
        <v>2028</v>
      </c>
      <c r="C738" s="1159" t="str">
        <f t="shared" si="18"/>
        <v>Lake_2028</v>
      </c>
      <c r="D738" s="1169">
        <v>444.38728895320952</v>
      </c>
    </row>
    <row r="739" spans="1:4" s="339" customFormat="1" ht="15.5" x14ac:dyDescent="0.35">
      <c r="A739" s="1158" t="s">
        <v>819</v>
      </c>
      <c r="B739" s="1159">
        <v>2029</v>
      </c>
      <c r="C739" s="1159" t="str">
        <f t="shared" si="18"/>
        <v>Lake_2029</v>
      </c>
      <c r="D739" s="1169">
        <v>435.67319462544566</v>
      </c>
    </row>
    <row r="740" spans="1:4" s="339" customFormat="1" ht="15.5" x14ac:dyDescent="0.35">
      <c r="A740" s="1158" t="s">
        <v>819</v>
      </c>
      <c r="B740" s="1159">
        <v>2030</v>
      </c>
      <c r="C740" s="1159" t="str">
        <f t="shared" si="18"/>
        <v>Lake_2030</v>
      </c>
      <c r="D740" s="1169">
        <v>427.52110632958477</v>
      </c>
    </row>
    <row r="741" spans="1:4" s="339" customFormat="1" ht="15.5" x14ac:dyDescent="0.35">
      <c r="A741" s="1158" t="s">
        <v>819</v>
      </c>
      <c r="B741" s="1159">
        <v>2031</v>
      </c>
      <c r="C741" s="1159" t="str">
        <f t="shared" si="18"/>
        <v>Lake_2031</v>
      </c>
      <c r="D741" s="1169">
        <v>419.93062986609766</v>
      </c>
    </row>
    <row r="742" spans="1:4" s="339" customFormat="1" ht="15.5" x14ac:dyDescent="0.35">
      <c r="A742" s="1158" t="s">
        <v>819</v>
      </c>
      <c r="B742" s="1159">
        <v>2032</v>
      </c>
      <c r="C742" s="1159" t="str">
        <f t="shared" si="18"/>
        <v>Lake_2032</v>
      </c>
      <c r="D742" s="1169">
        <v>412.89993390395358</v>
      </c>
    </row>
    <row r="743" spans="1:4" s="339" customFormat="1" ht="15.5" x14ac:dyDescent="0.35">
      <c r="A743" s="1158" t="s">
        <v>819</v>
      </c>
      <c r="B743" s="1159">
        <v>2033</v>
      </c>
      <c r="C743" s="1159" t="str">
        <f t="shared" si="18"/>
        <v>Lake_2033</v>
      </c>
      <c r="D743" s="1169">
        <v>406.42536466892227</v>
      </c>
    </row>
    <row r="744" spans="1:4" s="339" customFormat="1" ht="15.5" x14ac:dyDescent="0.35">
      <c r="A744" s="1158" t="s">
        <v>819</v>
      </c>
      <c r="B744" s="1159">
        <v>2034</v>
      </c>
      <c r="C744" s="1159" t="str">
        <f t="shared" si="18"/>
        <v>Lake_2034</v>
      </c>
      <c r="D744" s="1169">
        <v>400.47667549001494</v>
      </c>
    </row>
    <row r="745" spans="1:4" s="339" customFormat="1" ht="15.5" x14ac:dyDescent="0.35">
      <c r="A745" s="1158" t="s">
        <v>819</v>
      </c>
      <c r="B745" s="1159">
        <v>2035</v>
      </c>
      <c r="C745" s="1159" t="str">
        <f t="shared" si="18"/>
        <v>Lake_2035</v>
      </c>
      <c r="D745" s="1169">
        <v>395.02583898665188</v>
      </c>
    </row>
    <row r="746" spans="1:4" s="339" customFormat="1" ht="15.5" x14ac:dyDescent="0.35">
      <c r="A746" s="1158" t="s">
        <v>819</v>
      </c>
      <c r="B746" s="1159">
        <v>2036</v>
      </c>
      <c r="C746" s="1159" t="str">
        <f t="shared" si="18"/>
        <v>Lake_2036</v>
      </c>
      <c r="D746" s="1169">
        <v>390.07963292508015</v>
      </c>
    </row>
    <row r="747" spans="1:4" s="339" customFormat="1" ht="15.5" x14ac:dyDescent="0.35">
      <c r="A747" s="1158" t="s">
        <v>819</v>
      </c>
      <c r="B747" s="1159">
        <v>2037</v>
      </c>
      <c r="C747" s="1159" t="str">
        <f t="shared" si="18"/>
        <v>Lake_2037</v>
      </c>
      <c r="D747" s="1169">
        <v>385.64070718334131</v>
      </c>
    </row>
    <row r="748" spans="1:4" s="339" customFormat="1" ht="15.5" x14ac:dyDescent="0.35">
      <c r="A748" s="1158" t="s">
        <v>819</v>
      </c>
      <c r="B748" s="1159">
        <v>2038</v>
      </c>
      <c r="C748" s="1159" t="str">
        <f t="shared" si="18"/>
        <v>Lake_2038</v>
      </c>
      <c r="D748" s="1169">
        <v>381.6911494592988</v>
      </c>
    </row>
    <row r="749" spans="1:4" s="339" customFormat="1" ht="15.5" x14ac:dyDescent="0.35">
      <c r="A749" s="1158" t="s">
        <v>819</v>
      </c>
      <c r="B749" s="1159">
        <v>2039</v>
      </c>
      <c r="C749" s="1159" t="str">
        <f t="shared" si="18"/>
        <v>Lake_2039</v>
      </c>
      <c r="D749" s="1169">
        <v>378.13795955471937</v>
      </c>
    </row>
    <row r="750" spans="1:4" s="339" customFormat="1" ht="15.5" x14ac:dyDescent="0.35">
      <c r="A750" s="1158" t="s">
        <v>819</v>
      </c>
      <c r="B750" s="1159">
        <v>2040</v>
      </c>
      <c r="C750" s="1159" t="str">
        <f t="shared" si="18"/>
        <v>Lake_2040</v>
      </c>
      <c r="D750" s="1169">
        <v>375.00397436517852</v>
      </c>
    </row>
    <row r="751" spans="1:4" s="339" customFormat="1" ht="15.5" x14ac:dyDescent="0.35">
      <c r="A751" s="1158" t="s">
        <v>819</v>
      </c>
      <c r="B751" s="1159">
        <v>2041</v>
      </c>
      <c r="C751" s="1159" t="str">
        <f t="shared" si="18"/>
        <v>Lake_2041</v>
      </c>
      <c r="D751" s="1169">
        <v>372.28456146938123</v>
      </c>
    </row>
    <row r="752" spans="1:4" s="339" customFormat="1" ht="15.5" x14ac:dyDescent="0.35">
      <c r="A752" s="1158" t="s">
        <v>819</v>
      </c>
      <c r="B752" s="1159">
        <v>2042</v>
      </c>
      <c r="C752" s="1159" t="str">
        <f t="shared" si="18"/>
        <v>Lake_2042</v>
      </c>
      <c r="D752" s="1169">
        <v>369.84885887925634</v>
      </c>
    </row>
    <row r="753" spans="1:4" s="339" customFormat="1" ht="15.5" x14ac:dyDescent="0.35">
      <c r="A753" s="1158" t="s">
        <v>819</v>
      </c>
      <c r="B753" s="1159">
        <v>2043</v>
      </c>
      <c r="C753" s="1159" t="str">
        <f t="shared" si="18"/>
        <v>Lake_2043</v>
      </c>
      <c r="D753" s="1169">
        <v>367.73326535290818</v>
      </c>
    </row>
    <row r="754" spans="1:4" s="339" customFormat="1" ht="15.5" x14ac:dyDescent="0.35">
      <c r="A754" s="1158" t="s">
        <v>819</v>
      </c>
      <c r="B754" s="1159">
        <v>2044</v>
      </c>
      <c r="C754" s="1159" t="str">
        <f t="shared" si="18"/>
        <v>Lake_2044</v>
      </c>
      <c r="D754" s="1169">
        <v>365.87148957689487</v>
      </c>
    </row>
    <row r="755" spans="1:4" s="339" customFormat="1" ht="15.5" x14ac:dyDescent="0.35">
      <c r="A755" s="1158" t="s">
        <v>819</v>
      </c>
      <c r="B755" s="1159">
        <v>2045</v>
      </c>
      <c r="C755" s="1159" t="str">
        <f t="shared" si="18"/>
        <v>Lake_2045</v>
      </c>
      <c r="D755" s="1169">
        <v>364.18882953594601</v>
      </c>
    </row>
    <row r="756" spans="1:4" s="339" customFormat="1" ht="15.5" x14ac:dyDescent="0.35">
      <c r="A756" s="1158" t="s">
        <v>819</v>
      </c>
      <c r="B756" s="1159">
        <v>2046</v>
      </c>
      <c r="C756" s="1159" t="str">
        <f t="shared" si="18"/>
        <v>Lake_2046</v>
      </c>
      <c r="D756" s="1169">
        <v>362.71409124081151</v>
      </c>
    </row>
    <row r="757" spans="1:4" s="339" customFormat="1" ht="15.5" x14ac:dyDescent="0.35">
      <c r="A757" s="1158" t="s">
        <v>819</v>
      </c>
      <c r="B757" s="1159">
        <v>2047</v>
      </c>
      <c r="C757" s="1159" t="str">
        <f t="shared" si="18"/>
        <v>Lake_2047</v>
      </c>
      <c r="D757" s="1169">
        <v>361.45468167795843</v>
      </c>
    </row>
    <row r="758" spans="1:4" s="339" customFormat="1" ht="15.5" x14ac:dyDescent="0.35">
      <c r="A758" s="1158" t="s">
        <v>819</v>
      </c>
      <c r="B758" s="1159">
        <v>2048</v>
      </c>
      <c r="C758" s="1159" t="str">
        <f t="shared" si="18"/>
        <v>Lake_2048</v>
      </c>
      <c r="D758" s="1169">
        <v>360.35075572793698</v>
      </c>
    </row>
    <row r="759" spans="1:4" s="339" customFormat="1" ht="15.5" x14ac:dyDescent="0.35">
      <c r="A759" s="1158" t="s">
        <v>819</v>
      </c>
      <c r="B759" s="1159">
        <v>2049</v>
      </c>
      <c r="C759" s="1159" t="str">
        <f t="shared" si="18"/>
        <v>Lake_2049</v>
      </c>
      <c r="D759" s="1169">
        <v>359.37942546075277</v>
      </c>
    </row>
    <row r="760" spans="1:4" s="339" customFormat="1" ht="15.5" x14ac:dyDescent="0.35">
      <c r="A760" s="1158" t="s">
        <v>819</v>
      </c>
      <c r="B760" s="1159">
        <v>2050</v>
      </c>
      <c r="C760" s="1159" t="str">
        <f t="shared" si="18"/>
        <v>Lake_2050</v>
      </c>
      <c r="D760" s="1169">
        <v>358.55051391165438</v>
      </c>
    </row>
    <row r="761" spans="1:4" s="339" customFormat="1" ht="15.5" x14ac:dyDescent="0.35">
      <c r="A761" s="1155" t="s">
        <v>820</v>
      </c>
      <c r="B761" s="1156">
        <v>2015</v>
      </c>
      <c r="C761" s="1157" t="s">
        <v>893</v>
      </c>
      <c r="D761" s="1168">
        <v>566.09757684346164</v>
      </c>
    </row>
    <row r="762" spans="1:4" s="339" customFormat="1" ht="15.5" x14ac:dyDescent="0.35">
      <c r="A762" s="1155" t="s">
        <v>820</v>
      </c>
      <c r="B762" s="1156">
        <v>2016</v>
      </c>
      <c r="C762" s="1157" t="s">
        <v>894</v>
      </c>
      <c r="D762" s="1168">
        <v>553.46887853898136</v>
      </c>
    </row>
    <row r="763" spans="1:4" s="339" customFormat="1" ht="15.5" x14ac:dyDescent="0.35">
      <c r="A763" s="1158" t="s">
        <v>820</v>
      </c>
      <c r="B763" s="1159">
        <v>2017</v>
      </c>
      <c r="C763" s="1159" t="str">
        <f t="shared" ref="C763:C796" si="19">CONCATENATE(A763,"_",B763)</f>
        <v>Lassen_2017</v>
      </c>
      <c r="D763" s="1169">
        <v>549.28302918877728</v>
      </c>
    </row>
    <row r="764" spans="1:4" s="339" customFormat="1" ht="15.5" x14ac:dyDescent="0.35">
      <c r="A764" s="1158" t="s">
        <v>820</v>
      </c>
      <c r="B764" s="1159">
        <v>2018</v>
      </c>
      <c r="C764" s="1159" t="str">
        <f t="shared" si="19"/>
        <v>Lassen_2018</v>
      </c>
      <c r="D764" s="1169">
        <v>542.36423129606567</v>
      </c>
    </row>
    <row r="765" spans="1:4" s="339" customFormat="1" ht="15.5" x14ac:dyDescent="0.35">
      <c r="A765" s="1158" t="s">
        <v>820</v>
      </c>
      <c r="B765" s="1159">
        <v>2019</v>
      </c>
      <c r="C765" s="1159" t="str">
        <f t="shared" si="19"/>
        <v>Lassen_2019</v>
      </c>
      <c r="D765" s="1169">
        <v>534.02230792129103</v>
      </c>
    </row>
    <row r="766" spans="1:4" s="339" customFormat="1" ht="15.5" x14ac:dyDescent="0.35">
      <c r="A766" s="1158" t="s">
        <v>820</v>
      </c>
      <c r="B766" s="1159">
        <v>2020</v>
      </c>
      <c r="C766" s="1159" t="str">
        <f t="shared" si="19"/>
        <v>Lassen_2020</v>
      </c>
      <c r="D766" s="1169">
        <v>529.82028752364704</v>
      </c>
    </row>
    <row r="767" spans="1:4" s="339" customFormat="1" ht="15.5" x14ac:dyDescent="0.35">
      <c r="A767" s="1158" t="s">
        <v>820</v>
      </c>
      <c r="B767" s="1159">
        <v>2021</v>
      </c>
      <c r="C767" s="1159" t="str">
        <f t="shared" si="19"/>
        <v>Lassen_2021</v>
      </c>
      <c r="D767" s="1169">
        <v>519.19335332334595</v>
      </c>
    </row>
    <row r="768" spans="1:4" s="339" customFormat="1" ht="15.5" x14ac:dyDescent="0.35">
      <c r="A768" s="1158" t="s">
        <v>820</v>
      </c>
      <c r="B768" s="1159">
        <v>2022</v>
      </c>
      <c r="C768" s="1159" t="str">
        <f t="shared" si="19"/>
        <v>Lassen_2022</v>
      </c>
      <c r="D768" s="1169">
        <v>509.53651478441657</v>
      </c>
    </row>
    <row r="769" spans="1:4" s="339" customFormat="1" ht="15.5" x14ac:dyDescent="0.35">
      <c r="A769" s="1158" t="s">
        <v>820</v>
      </c>
      <c r="B769" s="1159">
        <v>2023</v>
      </c>
      <c r="C769" s="1159" t="str">
        <f t="shared" si="19"/>
        <v>Lassen_2023</v>
      </c>
      <c r="D769" s="1169">
        <v>499.42253477605601</v>
      </c>
    </row>
    <row r="770" spans="1:4" s="339" customFormat="1" ht="15.5" x14ac:dyDescent="0.35">
      <c r="A770" s="1158" t="s">
        <v>820</v>
      </c>
      <c r="B770" s="1159">
        <v>2024</v>
      </c>
      <c r="C770" s="1159" t="str">
        <f t="shared" si="19"/>
        <v>Lassen_2024</v>
      </c>
      <c r="D770" s="1169">
        <v>488.9692422321865</v>
      </c>
    </row>
    <row r="771" spans="1:4" s="339" customFormat="1" ht="15.5" x14ac:dyDescent="0.35">
      <c r="A771" s="1158" t="s">
        <v>820</v>
      </c>
      <c r="B771" s="1159">
        <v>2025</v>
      </c>
      <c r="C771" s="1159" t="str">
        <f t="shared" si="19"/>
        <v>Lassen_2025</v>
      </c>
      <c r="D771" s="1169">
        <v>478.28744587625374</v>
      </c>
    </row>
    <row r="772" spans="1:4" s="339" customFormat="1" ht="15.5" x14ac:dyDescent="0.35">
      <c r="A772" s="1158" t="s">
        <v>820</v>
      </c>
      <c r="B772" s="1159">
        <v>2026</v>
      </c>
      <c r="C772" s="1159" t="str">
        <f t="shared" si="19"/>
        <v>Lassen_2026</v>
      </c>
      <c r="D772" s="1169">
        <v>467.91444977668323</v>
      </c>
    </row>
    <row r="773" spans="1:4" s="339" customFormat="1" ht="15.5" x14ac:dyDescent="0.35">
      <c r="A773" s="1158" t="s">
        <v>820</v>
      </c>
      <c r="B773" s="1159">
        <v>2027</v>
      </c>
      <c r="C773" s="1159" t="str">
        <f t="shared" si="19"/>
        <v>Lassen_2027</v>
      </c>
      <c r="D773" s="1169">
        <v>458.09106975195704</v>
      </c>
    </row>
    <row r="774" spans="1:4" s="339" customFormat="1" ht="15.5" x14ac:dyDescent="0.35">
      <c r="A774" s="1158" t="s">
        <v>820</v>
      </c>
      <c r="B774" s="1159">
        <v>2028</v>
      </c>
      <c r="C774" s="1159" t="str">
        <f t="shared" si="19"/>
        <v>Lassen_2028</v>
      </c>
      <c r="D774" s="1169">
        <v>448.96562191040181</v>
      </c>
    </row>
    <row r="775" spans="1:4" s="339" customFormat="1" ht="15.5" x14ac:dyDescent="0.35">
      <c r="A775" s="1158" t="s">
        <v>820</v>
      </c>
      <c r="B775" s="1159">
        <v>2029</v>
      </c>
      <c r="C775" s="1159" t="str">
        <f t="shared" si="19"/>
        <v>Lassen_2029</v>
      </c>
      <c r="D775" s="1169">
        <v>440.52217853462236</v>
      </c>
    </row>
    <row r="776" spans="1:4" s="339" customFormat="1" ht="15.5" x14ac:dyDescent="0.35">
      <c r="A776" s="1158" t="s">
        <v>820</v>
      </c>
      <c r="B776" s="1159">
        <v>2030</v>
      </c>
      <c r="C776" s="1159" t="str">
        <f t="shared" si="19"/>
        <v>Lassen_2030</v>
      </c>
      <c r="D776" s="1169">
        <v>432.74710287630819</v>
      </c>
    </row>
    <row r="777" spans="1:4" s="339" customFormat="1" ht="15.5" x14ac:dyDescent="0.35">
      <c r="A777" s="1158" t="s">
        <v>820</v>
      </c>
      <c r="B777" s="1159">
        <v>2031</v>
      </c>
      <c r="C777" s="1159" t="str">
        <f t="shared" si="19"/>
        <v>Lassen_2031</v>
      </c>
      <c r="D777" s="1169">
        <v>425.64906103625987</v>
      </c>
    </row>
    <row r="778" spans="1:4" s="339" customFormat="1" ht="15.5" x14ac:dyDescent="0.35">
      <c r="A778" s="1158" t="s">
        <v>820</v>
      </c>
      <c r="B778" s="1159">
        <v>2032</v>
      </c>
      <c r="C778" s="1159" t="str">
        <f t="shared" si="19"/>
        <v>Lassen_2032</v>
      </c>
      <c r="D778" s="1169">
        <v>419.15873698112085</v>
      </c>
    </row>
    <row r="779" spans="1:4" s="339" customFormat="1" ht="15.5" x14ac:dyDescent="0.35">
      <c r="A779" s="1158" t="s">
        <v>820</v>
      </c>
      <c r="B779" s="1159">
        <v>2033</v>
      </c>
      <c r="C779" s="1159" t="str">
        <f t="shared" si="19"/>
        <v>Lassen_2033</v>
      </c>
      <c r="D779" s="1169">
        <v>413.2267922818661</v>
      </c>
    </row>
    <row r="780" spans="1:4" s="339" customFormat="1" ht="15.5" x14ac:dyDescent="0.35">
      <c r="A780" s="1158" t="s">
        <v>820</v>
      </c>
      <c r="B780" s="1159">
        <v>2034</v>
      </c>
      <c r="C780" s="1159" t="str">
        <f t="shared" si="19"/>
        <v>Lassen_2034</v>
      </c>
      <c r="D780" s="1169">
        <v>407.8469912996278</v>
      </c>
    </row>
    <row r="781" spans="1:4" s="339" customFormat="1" ht="15.5" x14ac:dyDescent="0.35">
      <c r="A781" s="1158" t="s">
        <v>820</v>
      </c>
      <c r="B781" s="1159">
        <v>2035</v>
      </c>
      <c r="C781" s="1159" t="str">
        <f t="shared" si="19"/>
        <v>Lassen_2035</v>
      </c>
      <c r="D781" s="1169">
        <v>402.99798126294223</v>
      </c>
    </row>
    <row r="782" spans="1:4" s="339" customFormat="1" ht="15.5" x14ac:dyDescent="0.35">
      <c r="A782" s="1158" t="s">
        <v>820</v>
      </c>
      <c r="B782" s="1159">
        <v>2036</v>
      </c>
      <c r="C782" s="1159" t="str">
        <f t="shared" si="19"/>
        <v>Lassen_2036</v>
      </c>
      <c r="D782" s="1169">
        <v>398.7295242706025</v>
      </c>
    </row>
    <row r="783" spans="1:4" s="339" customFormat="1" ht="15.5" x14ac:dyDescent="0.35">
      <c r="A783" s="1158" t="s">
        <v>820</v>
      </c>
      <c r="B783" s="1159">
        <v>2037</v>
      </c>
      <c r="C783" s="1159" t="str">
        <f t="shared" si="19"/>
        <v>Lassen_2037</v>
      </c>
      <c r="D783" s="1169">
        <v>394.93931095261746</v>
      </c>
    </row>
    <row r="784" spans="1:4" s="339" customFormat="1" ht="15.5" x14ac:dyDescent="0.35">
      <c r="A784" s="1158" t="s">
        <v>820</v>
      </c>
      <c r="B784" s="1159">
        <v>2038</v>
      </c>
      <c r="C784" s="1159" t="str">
        <f t="shared" si="19"/>
        <v>Lassen_2038</v>
      </c>
      <c r="D784" s="1169">
        <v>391.64726931638808</v>
      </c>
    </row>
    <row r="785" spans="1:4" s="339" customFormat="1" ht="15.5" x14ac:dyDescent="0.35">
      <c r="A785" s="1158" t="s">
        <v>820</v>
      </c>
      <c r="B785" s="1159">
        <v>2039</v>
      </c>
      <c r="C785" s="1159" t="str">
        <f t="shared" si="19"/>
        <v>Lassen_2039</v>
      </c>
      <c r="D785" s="1169">
        <v>388.76538358462886</v>
      </c>
    </row>
    <row r="786" spans="1:4" s="339" customFormat="1" ht="15.5" x14ac:dyDescent="0.35">
      <c r="A786" s="1158" t="s">
        <v>820</v>
      </c>
      <c r="B786" s="1159">
        <v>2040</v>
      </c>
      <c r="C786" s="1159" t="str">
        <f t="shared" si="19"/>
        <v>Lassen_2040</v>
      </c>
      <c r="D786" s="1169">
        <v>386.30551936855915</v>
      </c>
    </row>
    <row r="787" spans="1:4" s="339" customFormat="1" ht="15.5" x14ac:dyDescent="0.35">
      <c r="A787" s="1158" t="s">
        <v>820</v>
      </c>
      <c r="B787" s="1159">
        <v>2041</v>
      </c>
      <c r="C787" s="1159" t="str">
        <f t="shared" si="19"/>
        <v>Lassen_2041</v>
      </c>
      <c r="D787" s="1169">
        <v>384.21637141262664</v>
      </c>
    </row>
    <row r="788" spans="1:4" s="339" customFormat="1" ht="15.5" x14ac:dyDescent="0.35">
      <c r="A788" s="1158" t="s">
        <v>820</v>
      </c>
      <c r="B788" s="1159">
        <v>2042</v>
      </c>
      <c r="C788" s="1159" t="str">
        <f t="shared" si="19"/>
        <v>Lassen_2042</v>
      </c>
      <c r="D788" s="1169">
        <v>382.42557795985743</v>
      </c>
    </row>
    <row r="789" spans="1:4" s="339" customFormat="1" ht="15.5" x14ac:dyDescent="0.35">
      <c r="A789" s="1158" t="s">
        <v>820</v>
      </c>
      <c r="B789" s="1159">
        <v>2043</v>
      </c>
      <c r="C789" s="1159" t="str">
        <f t="shared" si="19"/>
        <v>Lassen_2043</v>
      </c>
      <c r="D789" s="1169">
        <v>380.89572626979043</v>
      </c>
    </row>
    <row r="790" spans="1:4" s="339" customFormat="1" ht="15.5" x14ac:dyDescent="0.35">
      <c r="A790" s="1158" t="s">
        <v>820</v>
      </c>
      <c r="B790" s="1159">
        <v>2044</v>
      </c>
      <c r="C790" s="1159" t="str">
        <f t="shared" si="19"/>
        <v>Lassen_2044</v>
      </c>
      <c r="D790" s="1169">
        <v>379.58150687513995</v>
      </c>
    </row>
    <row r="791" spans="1:4" s="339" customFormat="1" ht="15.5" x14ac:dyDescent="0.35">
      <c r="A791" s="1158" t="s">
        <v>820</v>
      </c>
      <c r="B791" s="1159">
        <v>2045</v>
      </c>
      <c r="C791" s="1159" t="str">
        <f t="shared" si="19"/>
        <v>Lassen_2045</v>
      </c>
      <c r="D791" s="1169">
        <v>378.42633612635268</v>
      </c>
    </row>
    <row r="792" spans="1:4" s="339" customFormat="1" ht="15.5" x14ac:dyDescent="0.35">
      <c r="A792" s="1158" t="s">
        <v>820</v>
      </c>
      <c r="B792" s="1159">
        <v>2046</v>
      </c>
      <c r="C792" s="1159" t="str">
        <f t="shared" si="19"/>
        <v>Lassen_2046</v>
      </c>
      <c r="D792" s="1169">
        <v>377.42455387624381</v>
      </c>
    </row>
    <row r="793" spans="1:4" s="339" customFormat="1" ht="15.5" x14ac:dyDescent="0.35">
      <c r="A793" s="1158" t="s">
        <v>820</v>
      </c>
      <c r="B793" s="1159">
        <v>2047</v>
      </c>
      <c r="C793" s="1159" t="str">
        <f t="shared" si="19"/>
        <v>Lassen_2047</v>
      </c>
      <c r="D793" s="1169">
        <v>376.60042805627944</v>
      </c>
    </row>
    <row r="794" spans="1:4" s="339" customFormat="1" ht="15.5" x14ac:dyDescent="0.35">
      <c r="A794" s="1158" t="s">
        <v>820</v>
      </c>
      <c r="B794" s="1159">
        <v>2048</v>
      </c>
      <c r="C794" s="1159" t="str">
        <f t="shared" si="19"/>
        <v>Lassen_2048</v>
      </c>
      <c r="D794" s="1169">
        <v>375.89467024016272</v>
      </c>
    </row>
    <row r="795" spans="1:4" s="339" customFormat="1" ht="15.5" x14ac:dyDescent="0.35">
      <c r="A795" s="1158" t="s">
        <v>820</v>
      </c>
      <c r="B795" s="1159">
        <v>2049</v>
      </c>
      <c r="C795" s="1159" t="str">
        <f t="shared" si="19"/>
        <v>Lassen_2049</v>
      </c>
      <c r="D795" s="1169">
        <v>375.26966015288298</v>
      </c>
    </row>
    <row r="796" spans="1:4" s="339" customFormat="1" ht="15.5" x14ac:dyDescent="0.35">
      <c r="A796" s="1158" t="s">
        <v>820</v>
      </c>
      <c r="B796" s="1159">
        <v>2050</v>
      </c>
      <c r="C796" s="1159" t="str">
        <f t="shared" si="19"/>
        <v>Lassen_2050</v>
      </c>
      <c r="D796" s="1169">
        <v>374.75663101379007</v>
      </c>
    </row>
    <row r="797" spans="1:4" s="339" customFormat="1" ht="15.5" x14ac:dyDescent="0.35">
      <c r="A797" s="1155" t="s">
        <v>821</v>
      </c>
      <c r="B797" s="1156">
        <v>2015</v>
      </c>
      <c r="C797" s="1157" t="s">
        <v>895</v>
      </c>
      <c r="D797" s="1168">
        <v>520.90423250382594</v>
      </c>
    </row>
    <row r="798" spans="1:4" s="339" customFormat="1" ht="15.5" x14ac:dyDescent="0.35">
      <c r="A798" s="1155" t="s">
        <v>821</v>
      </c>
      <c r="B798" s="1156">
        <v>2016</v>
      </c>
      <c r="C798" s="1157" t="s">
        <v>896</v>
      </c>
      <c r="D798" s="1168">
        <v>509.03990613714512</v>
      </c>
    </row>
    <row r="799" spans="1:4" s="339" customFormat="1" ht="15.5" x14ac:dyDescent="0.35">
      <c r="A799" s="1158" t="s">
        <v>821</v>
      </c>
      <c r="B799" s="1159">
        <v>2017</v>
      </c>
      <c r="C799" s="1159" t="str">
        <f t="shared" ref="C799:C832" si="20">CONCATENATE(A799,"_",B799)</f>
        <v>Los Angeles_2017</v>
      </c>
      <c r="D799" s="1169">
        <v>504.99704341171952</v>
      </c>
    </row>
    <row r="800" spans="1:4" s="339" customFormat="1" ht="15.5" x14ac:dyDescent="0.35">
      <c r="A800" s="1158" t="s">
        <v>821</v>
      </c>
      <c r="B800" s="1159">
        <v>2018</v>
      </c>
      <c r="C800" s="1159" t="str">
        <f t="shared" si="20"/>
        <v>Los Angeles_2018</v>
      </c>
      <c r="D800" s="1169">
        <v>498.58780892121695</v>
      </c>
    </row>
    <row r="801" spans="1:4" s="339" customFormat="1" ht="15.5" x14ac:dyDescent="0.35">
      <c r="A801" s="1158" t="s">
        <v>821</v>
      </c>
      <c r="B801" s="1159">
        <v>2019</v>
      </c>
      <c r="C801" s="1159" t="str">
        <f t="shared" si="20"/>
        <v>Los Angeles_2019</v>
      </c>
      <c r="D801" s="1169">
        <v>492.3061018733672</v>
      </c>
    </row>
    <row r="802" spans="1:4" s="339" customFormat="1" ht="15.5" x14ac:dyDescent="0.35">
      <c r="A802" s="1158" t="s">
        <v>821</v>
      </c>
      <c r="B802" s="1159">
        <v>2020</v>
      </c>
      <c r="C802" s="1159" t="str">
        <f t="shared" si="20"/>
        <v>Los Angeles_2020</v>
      </c>
      <c r="D802" s="1169">
        <v>489.23929068924593</v>
      </c>
    </row>
    <row r="803" spans="1:4" s="339" customFormat="1" ht="15.5" x14ac:dyDescent="0.35">
      <c r="A803" s="1158" t="s">
        <v>821</v>
      </c>
      <c r="B803" s="1159">
        <v>2021</v>
      </c>
      <c r="C803" s="1159" t="str">
        <f t="shared" si="20"/>
        <v>Los Angeles_2021</v>
      </c>
      <c r="D803" s="1169">
        <v>480.49173884124343</v>
      </c>
    </row>
    <row r="804" spans="1:4" s="339" customFormat="1" ht="15.5" x14ac:dyDescent="0.35">
      <c r="A804" s="1158" t="s">
        <v>821</v>
      </c>
      <c r="B804" s="1159">
        <v>2022</v>
      </c>
      <c r="C804" s="1159" t="str">
        <f t="shared" si="20"/>
        <v>Los Angeles_2022</v>
      </c>
      <c r="D804" s="1169">
        <v>472.234610274597</v>
      </c>
    </row>
    <row r="805" spans="1:4" s="339" customFormat="1" ht="15.5" x14ac:dyDescent="0.35">
      <c r="A805" s="1158" t="s">
        <v>821</v>
      </c>
      <c r="B805" s="1159">
        <v>2023</v>
      </c>
      <c r="C805" s="1159" t="str">
        <f t="shared" si="20"/>
        <v>Los Angeles_2023</v>
      </c>
      <c r="D805" s="1169">
        <v>463.2642093897216</v>
      </c>
    </row>
    <row r="806" spans="1:4" s="339" customFormat="1" ht="15.5" x14ac:dyDescent="0.35">
      <c r="A806" s="1158" t="s">
        <v>821</v>
      </c>
      <c r="B806" s="1159">
        <v>2024</v>
      </c>
      <c r="C806" s="1159" t="str">
        <f t="shared" si="20"/>
        <v>Los Angeles_2024</v>
      </c>
      <c r="D806" s="1169">
        <v>453.44382771076232</v>
      </c>
    </row>
    <row r="807" spans="1:4" s="339" customFormat="1" ht="15.5" x14ac:dyDescent="0.35">
      <c r="A807" s="1158" t="s">
        <v>821</v>
      </c>
      <c r="B807" s="1159">
        <v>2025</v>
      </c>
      <c r="C807" s="1159" t="str">
        <f t="shared" si="20"/>
        <v>Los Angeles_2025</v>
      </c>
      <c r="D807" s="1169">
        <v>444.0692456024052</v>
      </c>
    </row>
    <row r="808" spans="1:4" s="339" customFormat="1" ht="15.5" x14ac:dyDescent="0.35">
      <c r="A808" s="1158" t="s">
        <v>821</v>
      </c>
      <c r="B808" s="1159">
        <v>2026</v>
      </c>
      <c r="C808" s="1159" t="str">
        <f t="shared" si="20"/>
        <v>Los Angeles_2026</v>
      </c>
      <c r="D808" s="1169">
        <v>435.07428179727532</v>
      </c>
    </row>
    <row r="809" spans="1:4" s="339" customFormat="1" ht="15.5" x14ac:dyDescent="0.35">
      <c r="A809" s="1158" t="s">
        <v>821</v>
      </c>
      <c r="B809" s="1159">
        <v>2027</v>
      </c>
      <c r="C809" s="1159" t="str">
        <f t="shared" si="20"/>
        <v>Los Angeles_2027</v>
      </c>
      <c r="D809" s="1169">
        <v>426.97240476899697</v>
      </c>
    </row>
    <row r="810" spans="1:4" s="339" customFormat="1" ht="15.5" x14ac:dyDescent="0.35">
      <c r="A810" s="1158" t="s">
        <v>821</v>
      </c>
      <c r="B810" s="1159">
        <v>2028</v>
      </c>
      <c r="C810" s="1159" t="str">
        <f t="shared" si="20"/>
        <v>Los Angeles_2028</v>
      </c>
      <c r="D810" s="1169">
        <v>419.69937201110184</v>
      </c>
    </row>
    <row r="811" spans="1:4" s="339" customFormat="1" ht="15.5" x14ac:dyDescent="0.35">
      <c r="A811" s="1158" t="s">
        <v>821</v>
      </c>
      <c r="B811" s="1159">
        <v>2029</v>
      </c>
      <c r="C811" s="1159" t="str">
        <f t="shared" si="20"/>
        <v>Los Angeles_2029</v>
      </c>
      <c r="D811" s="1169">
        <v>413.12090913245686</v>
      </c>
    </row>
    <row r="812" spans="1:4" s="339" customFormat="1" ht="15.5" x14ac:dyDescent="0.35">
      <c r="A812" s="1158" t="s">
        <v>821</v>
      </c>
      <c r="B812" s="1159">
        <v>2030</v>
      </c>
      <c r="C812" s="1159" t="str">
        <f t="shared" si="20"/>
        <v>Los Angeles_2030</v>
      </c>
      <c r="D812" s="1169">
        <v>407.17541380549153</v>
      </c>
    </row>
    <row r="813" spans="1:4" s="339" customFormat="1" ht="15.5" x14ac:dyDescent="0.35">
      <c r="A813" s="1158" t="s">
        <v>821</v>
      </c>
      <c r="B813" s="1159">
        <v>2031</v>
      </c>
      <c r="C813" s="1159" t="str">
        <f t="shared" si="20"/>
        <v>Los Angeles_2031</v>
      </c>
      <c r="D813" s="1169">
        <v>401.79138554944717</v>
      </c>
    </row>
    <row r="814" spans="1:4" s="339" customFormat="1" ht="15.5" x14ac:dyDescent="0.35">
      <c r="A814" s="1158" t="s">
        <v>821</v>
      </c>
      <c r="B814" s="1159">
        <v>2032</v>
      </c>
      <c r="C814" s="1159" t="str">
        <f t="shared" si="20"/>
        <v>Los Angeles_2032</v>
      </c>
      <c r="D814" s="1169">
        <v>397.05601856974209</v>
      </c>
    </row>
    <row r="815" spans="1:4" s="339" customFormat="1" ht="15.5" x14ac:dyDescent="0.35">
      <c r="A815" s="1158" t="s">
        <v>821</v>
      </c>
      <c r="B815" s="1159">
        <v>2033</v>
      </c>
      <c r="C815" s="1159" t="str">
        <f t="shared" si="20"/>
        <v>Los Angeles_2033</v>
      </c>
      <c r="D815" s="1169">
        <v>392.46015321479541</v>
      </c>
    </row>
    <row r="816" spans="1:4" s="339" customFormat="1" ht="15.5" x14ac:dyDescent="0.35">
      <c r="A816" s="1158" t="s">
        <v>821</v>
      </c>
      <c r="B816" s="1159">
        <v>2034</v>
      </c>
      <c r="C816" s="1159" t="str">
        <f t="shared" si="20"/>
        <v>Los Angeles_2034</v>
      </c>
      <c r="D816" s="1169">
        <v>388.51269360933907</v>
      </c>
    </row>
    <row r="817" spans="1:4" s="339" customFormat="1" ht="15.5" x14ac:dyDescent="0.35">
      <c r="A817" s="1158" t="s">
        <v>821</v>
      </c>
      <c r="B817" s="1159">
        <v>2035</v>
      </c>
      <c r="C817" s="1159" t="str">
        <f t="shared" si="20"/>
        <v>Los Angeles_2035</v>
      </c>
      <c r="D817" s="1169">
        <v>385.00831077038998</v>
      </c>
    </row>
    <row r="818" spans="1:4" s="339" customFormat="1" ht="15.5" x14ac:dyDescent="0.35">
      <c r="A818" s="1158" t="s">
        <v>821</v>
      </c>
      <c r="B818" s="1159">
        <v>2036</v>
      </c>
      <c r="C818" s="1159" t="str">
        <f t="shared" si="20"/>
        <v>Los Angeles_2036</v>
      </c>
      <c r="D818" s="1169">
        <v>382.22461354404015</v>
      </c>
    </row>
    <row r="819" spans="1:4" s="339" customFormat="1" ht="15.5" x14ac:dyDescent="0.35">
      <c r="A819" s="1158" t="s">
        <v>821</v>
      </c>
      <c r="B819" s="1159">
        <v>2037</v>
      </c>
      <c r="C819" s="1159" t="str">
        <f t="shared" si="20"/>
        <v>Los Angeles_2037</v>
      </c>
      <c r="D819" s="1169">
        <v>379.51503881354569</v>
      </c>
    </row>
    <row r="820" spans="1:4" s="339" customFormat="1" ht="15.5" x14ac:dyDescent="0.35">
      <c r="A820" s="1158" t="s">
        <v>821</v>
      </c>
      <c r="B820" s="1159">
        <v>2038</v>
      </c>
      <c r="C820" s="1159" t="str">
        <f t="shared" si="20"/>
        <v>Los Angeles_2038</v>
      </c>
      <c r="D820" s="1169">
        <v>377.72224928955723</v>
      </c>
    </row>
    <row r="821" spans="1:4" s="339" customFormat="1" ht="15.5" x14ac:dyDescent="0.35">
      <c r="A821" s="1158" t="s">
        <v>821</v>
      </c>
      <c r="B821" s="1159">
        <v>2039</v>
      </c>
      <c r="C821" s="1159" t="str">
        <f t="shared" si="20"/>
        <v>Los Angeles_2039</v>
      </c>
      <c r="D821" s="1169">
        <v>375.70100484105649</v>
      </c>
    </row>
    <row r="822" spans="1:4" s="339" customFormat="1" ht="15.5" x14ac:dyDescent="0.35">
      <c r="A822" s="1158" t="s">
        <v>821</v>
      </c>
      <c r="B822" s="1159">
        <v>2040</v>
      </c>
      <c r="C822" s="1159" t="str">
        <f t="shared" si="20"/>
        <v>Los Angeles_2040</v>
      </c>
      <c r="D822" s="1169">
        <v>373.97573447386821</v>
      </c>
    </row>
    <row r="823" spans="1:4" s="339" customFormat="1" ht="15.5" x14ac:dyDescent="0.35">
      <c r="A823" s="1158" t="s">
        <v>821</v>
      </c>
      <c r="B823" s="1159">
        <v>2041</v>
      </c>
      <c r="C823" s="1159" t="str">
        <f t="shared" si="20"/>
        <v>Los Angeles_2041</v>
      </c>
      <c r="D823" s="1169">
        <v>372.5358855084649</v>
      </c>
    </row>
    <row r="824" spans="1:4" s="339" customFormat="1" ht="15.5" x14ac:dyDescent="0.35">
      <c r="A824" s="1158" t="s">
        <v>821</v>
      </c>
      <c r="B824" s="1159">
        <v>2042</v>
      </c>
      <c r="C824" s="1159" t="str">
        <f t="shared" si="20"/>
        <v>Los Angeles_2042</v>
      </c>
      <c r="D824" s="1169">
        <v>371.30479789305332</v>
      </c>
    </row>
    <row r="825" spans="1:4" s="339" customFormat="1" ht="15.5" x14ac:dyDescent="0.35">
      <c r="A825" s="1158" t="s">
        <v>821</v>
      </c>
      <c r="B825" s="1159">
        <v>2043</v>
      </c>
      <c r="C825" s="1159" t="str">
        <f t="shared" si="20"/>
        <v>Los Angeles_2043</v>
      </c>
      <c r="D825" s="1169">
        <v>370.27749789577695</v>
      </c>
    </row>
    <row r="826" spans="1:4" s="339" customFormat="1" ht="15.5" x14ac:dyDescent="0.35">
      <c r="A826" s="1158" t="s">
        <v>821</v>
      </c>
      <c r="B826" s="1159">
        <v>2044</v>
      </c>
      <c r="C826" s="1159" t="str">
        <f t="shared" si="20"/>
        <v>Los Angeles_2044</v>
      </c>
      <c r="D826" s="1169">
        <v>369.40234291302363</v>
      </c>
    </row>
    <row r="827" spans="1:4" s="339" customFormat="1" ht="15.5" x14ac:dyDescent="0.35">
      <c r="A827" s="1158" t="s">
        <v>821</v>
      </c>
      <c r="B827" s="1159">
        <v>2045</v>
      </c>
      <c r="C827" s="1159" t="str">
        <f t="shared" si="20"/>
        <v>Los Angeles_2045</v>
      </c>
      <c r="D827" s="1169">
        <v>368.63217277548824</v>
      </c>
    </row>
    <row r="828" spans="1:4" s="339" customFormat="1" ht="15.5" x14ac:dyDescent="0.35">
      <c r="A828" s="1158" t="s">
        <v>821</v>
      </c>
      <c r="B828" s="1159">
        <v>2046</v>
      </c>
      <c r="C828" s="1159" t="str">
        <f t="shared" si="20"/>
        <v>Los Angeles_2046</v>
      </c>
      <c r="D828" s="1169">
        <v>367.97932674594028</v>
      </c>
    </row>
    <row r="829" spans="1:4" s="339" customFormat="1" ht="15.5" x14ac:dyDescent="0.35">
      <c r="A829" s="1158" t="s">
        <v>821</v>
      </c>
      <c r="B829" s="1159">
        <v>2047</v>
      </c>
      <c r="C829" s="1159" t="str">
        <f t="shared" si="20"/>
        <v>Los Angeles_2047</v>
      </c>
      <c r="D829" s="1169">
        <v>367.42014081420433</v>
      </c>
    </row>
    <row r="830" spans="1:4" s="339" customFormat="1" ht="15.5" x14ac:dyDescent="0.35">
      <c r="A830" s="1158" t="s">
        <v>821</v>
      </c>
      <c r="B830" s="1159">
        <v>2048</v>
      </c>
      <c r="C830" s="1159" t="str">
        <f t="shared" si="20"/>
        <v>Los Angeles_2048</v>
      </c>
      <c r="D830" s="1169">
        <v>366.93588608425648</v>
      </c>
    </row>
    <row r="831" spans="1:4" s="339" customFormat="1" ht="15.5" x14ac:dyDescent="0.35">
      <c r="A831" s="1158" t="s">
        <v>821</v>
      </c>
      <c r="B831" s="1159">
        <v>2049</v>
      </c>
      <c r="C831" s="1159" t="str">
        <f t="shared" si="20"/>
        <v>Los Angeles_2049</v>
      </c>
      <c r="D831" s="1169">
        <v>366.52096775088995</v>
      </c>
    </row>
    <row r="832" spans="1:4" s="339" customFormat="1" ht="15.5" x14ac:dyDescent="0.35">
      <c r="A832" s="1158" t="s">
        <v>821</v>
      </c>
      <c r="B832" s="1159">
        <v>2050</v>
      </c>
      <c r="C832" s="1159" t="str">
        <f t="shared" si="20"/>
        <v>Los Angeles_2050</v>
      </c>
      <c r="D832" s="1169">
        <v>366.19597619250521</v>
      </c>
    </row>
    <row r="833" spans="1:4" s="339" customFormat="1" ht="15.5" x14ac:dyDescent="0.35">
      <c r="A833" s="1155" t="s">
        <v>822</v>
      </c>
      <c r="B833" s="1156">
        <v>2015</v>
      </c>
      <c r="C833" s="1157" t="s">
        <v>897</v>
      </c>
      <c r="D833" s="1168">
        <v>542.51156672360867</v>
      </c>
    </row>
    <row r="834" spans="1:4" s="339" customFormat="1" ht="15.5" x14ac:dyDescent="0.35">
      <c r="A834" s="1155" t="s">
        <v>822</v>
      </c>
      <c r="B834" s="1156">
        <v>2016</v>
      </c>
      <c r="C834" s="1157" t="s">
        <v>898</v>
      </c>
      <c r="D834" s="1168">
        <v>530.16825647430028</v>
      </c>
    </row>
    <row r="835" spans="1:4" s="339" customFormat="1" ht="15.5" x14ac:dyDescent="0.35">
      <c r="A835" s="1158" t="s">
        <v>822</v>
      </c>
      <c r="B835" s="1159">
        <v>2017</v>
      </c>
      <c r="C835" s="1159" t="str">
        <f t="shared" ref="C835:C868" si="21">CONCATENATE(A835,"_",B835)</f>
        <v>Madera_2017</v>
      </c>
      <c r="D835" s="1169">
        <v>525.82991725818761</v>
      </c>
    </row>
    <row r="836" spans="1:4" s="339" customFormat="1" ht="15.5" x14ac:dyDescent="0.35">
      <c r="A836" s="1158" t="s">
        <v>822</v>
      </c>
      <c r="B836" s="1159">
        <v>2018</v>
      </c>
      <c r="C836" s="1159" t="str">
        <f t="shared" si="21"/>
        <v>Madera_2018</v>
      </c>
      <c r="D836" s="1169">
        <v>518.55354187617013</v>
      </c>
    </row>
    <row r="837" spans="1:4" s="339" customFormat="1" ht="15.5" x14ac:dyDescent="0.35">
      <c r="A837" s="1158" t="s">
        <v>822</v>
      </c>
      <c r="B837" s="1159">
        <v>2019</v>
      </c>
      <c r="C837" s="1159" t="str">
        <f t="shared" si="21"/>
        <v>Madera_2019</v>
      </c>
      <c r="D837" s="1169">
        <v>510.31845153797985</v>
      </c>
    </row>
    <row r="838" spans="1:4" s="339" customFormat="1" ht="15.5" x14ac:dyDescent="0.35">
      <c r="A838" s="1158" t="s">
        <v>822</v>
      </c>
      <c r="B838" s="1159">
        <v>2020</v>
      </c>
      <c r="C838" s="1159" t="str">
        <f t="shared" si="21"/>
        <v>Madera_2020</v>
      </c>
      <c r="D838" s="1169">
        <v>504.75794156507101</v>
      </c>
    </row>
    <row r="839" spans="1:4" s="339" customFormat="1" ht="15.5" x14ac:dyDescent="0.35">
      <c r="A839" s="1158" t="s">
        <v>822</v>
      </c>
      <c r="B839" s="1159">
        <v>2021</v>
      </c>
      <c r="C839" s="1159" t="str">
        <f t="shared" si="21"/>
        <v>Madera_2021</v>
      </c>
      <c r="D839" s="1169">
        <v>494.18962403914929</v>
      </c>
    </row>
    <row r="840" spans="1:4" s="339" customFormat="1" ht="15.5" x14ac:dyDescent="0.35">
      <c r="A840" s="1158" t="s">
        <v>822</v>
      </c>
      <c r="B840" s="1159">
        <v>2022</v>
      </c>
      <c r="C840" s="1159" t="str">
        <f t="shared" si="21"/>
        <v>Madera_2022</v>
      </c>
      <c r="D840" s="1169">
        <v>485.94388228046279</v>
      </c>
    </row>
    <row r="841" spans="1:4" s="339" customFormat="1" ht="15.5" x14ac:dyDescent="0.35">
      <c r="A841" s="1158" t="s">
        <v>822</v>
      </c>
      <c r="B841" s="1159">
        <v>2023</v>
      </c>
      <c r="C841" s="1159" t="str">
        <f t="shared" si="21"/>
        <v>Madera_2023</v>
      </c>
      <c r="D841" s="1169">
        <v>475.77361840219749</v>
      </c>
    </row>
    <row r="842" spans="1:4" s="339" customFormat="1" ht="15.5" x14ac:dyDescent="0.35">
      <c r="A842" s="1158" t="s">
        <v>822</v>
      </c>
      <c r="B842" s="1159">
        <v>2024</v>
      </c>
      <c r="C842" s="1159" t="str">
        <f t="shared" si="21"/>
        <v>Madera_2024</v>
      </c>
      <c r="D842" s="1169">
        <v>465.36448352867478</v>
      </c>
    </row>
    <row r="843" spans="1:4" s="339" customFormat="1" ht="15.5" x14ac:dyDescent="0.35">
      <c r="A843" s="1158" t="s">
        <v>822</v>
      </c>
      <c r="B843" s="1159">
        <v>2025</v>
      </c>
      <c r="C843" s="1159" t="str">
        <f t="shared" si="21"/>
        <v>Madera_2025</v>
      </c>
      <c r="D843" s="1169">
        <v>454.55631217948439</v>
      </c>
    </row>
    <row r="844" spans="1:4" s="339" customFormat="1" ht="15.5" x14ac:dyDescent="0.35">
      <c r="A844" s="1158" t="s">
        <v>822</v>
      </c>
      <c r="B844" s="1159">
        <v>2026</v>
      </c>
      <c r="C844" s="1159" t="str">
        <f t="shared" si="21"/>
        <v>Madera_2026</v>
      </c>
      <c r="D844" s="1169">
        <v>443.99527899081926</v>
      </c>
    </row>
    <row r="845" spans="1:4" s="339" customFormat="1" ht="15.5" x14ac:dyDescent="0.35">
      <c r="A845" s="1158" t="s">
        <v>822</v>
      </c>
      <c r="B845" s="1159">
        <v>2027</v>
      </c>
      <c r="C845" s="1159" t="str">
        <f t="shared" si="21"/>
        <v>Madera_2027</v>
      </c>
      <c r="D845" s="1169">
        <v>434.06471301097503</v>
      </c>
    </row>
    <row r="846" spans="1:4" s="339" customFormat="1" ht="15.5" x14ac:dyDescent="0.35">
      <c r="A846" s="1158" t="s">
        <v>822</v>
      </c>
      <c r="B846" s="1159">
        <v>2028</v>
      </c>
      <c r="C846" s="1159" t="str">
        <f t="shared" si="21"/>
        <v>Madera_2028</v>
      </c>
      <c r="D846" s="1169">
        <v>424.73900641762208</v>
      </c>
    </row>
    <row r="847" spans="1:4" s="339" customFormat="1" ht="15.5" x14ac:dyDescent="0.35">
      <c r="A847" s="1158" t="s">
        <v>822</v>
      </c>
      <c r="B847" s="1159">
        <v>2029</v>
      </c>
      <c r="C847" s="1159" t="str">
        <f t="shared" si="21"/>
        <v>Madera_2029</v>
      </c>
      <c r="D847" s="1169">
        <v>416.13886414495704</v>
      </c>
    </row>
    <row r="848" spans="1:4" s="339" customFormat="1" ht="15.5" x14ac:dyDescent="0.35">
      <c r="A848" s="1158" t="s">
        <v>822</v>
      </c>
      <c r="B848" s="1159">
        <v>2030</v>
      </c>
      <c r="C848" s="1159" t="str">
        <f t="shared" si="21"/>
        <v>Madera_2030</v>
      </c>
      <c r="D848" s="1169">
        <v>408.1481722772769</v>
      </c>
    </row>
    <row r="849" spans="1:4" s="339" customFormat="1" ht="15.5" x14ac:dyDescent="0.35">
      <c r="A849" s="1158" t="s">
        <v>822</v>
      </c>
      <c r="B849" s="1159">
        <v>2031</v>
      </c>
      <c r="C849" s="1159" t="str">
        <f t="shared" si="21"/>
        <v>Madera_2031</v>
      </c>
      <c r="D849" s="1169">
        <v>400.99270564620849</v>
      </c>
    </row>
    <row r="850" spans="1:4" s="339" customFormat="1" ht="15.5" x14ac:dyDescent="0.35">
      <c r="A850" s="1158" t="s">
        <v>822</v>
      </c>
      <c r="B850" s="1159">
        <v>2032</v>
      </c>
      <c r="C850" s="1159" t="str">
        <f t="shared" si="21"/>
        <v>Madera_2032</v>
      </c>
      <c r="D850" s="1169">
        <v>393.69514182073033</v>
      </c>
    </row>
    <row r="851" spans="1:4" s="339" customFormat="1" ht="15.5" x14ac:dyDescent="0.35">
      <c r="A851" s="1158" t="s">
        <v>822</v>
      </c>
      <c r="B851" s="1159">
        <v>2033</v>
      </c>
      <c r="C851" s="1159" t="str">
        <f t="shared" si="21"/>
        <v>Madera_2033</v>
      </c>
      <c r="D851" s="1169">
        <v>387.83981947290215</v>
      </c>
    </row>
    <row r="852" spans="1:4" s="339" customFormat="1" ht="15.5" x14ac:dyDescent="0.35">
      <c r="A852" s="1158" t="s">
        <v>822</v>
      </c>
      <c r="B852" s="1159">
        <v>2034</v>
      </c>
      <c r="C852" s="1159" t="str">
        <f t="shared" si="21"/>
        <v>Madera_2034</v>
      </c>
      <c r="D852" s="1169">
        <v>382.58393443096821</v>
      </c>
    </row>
    <row r="853" spans="1:4" s="339" customFormat="1" ht="15.5" x14ac:dyDescent="0.35">
      <c r="A853" s="1158" t="s">
        <v>822</v>
      </c>
      <c r="B853" s="1159">
        <v>2035</v>
      </c>
      <c r="C853" s="1159" t="str">
        <f t="shared" si="21"/>
        <v>Madera_2035</v>
      </c>
      <c r="D853" s="1169">
        <v>377.90587699983018</v>
      </c>
    </row>
    <row r="854" spans="1:4" s="339" customFormat="1" ht="15.5" x14ac:dyDescent="0.35">
      <c r="A854" s="1158" t="s">
        <v>822</v>
      </c>
      <c r="B854" s="1159">
        <v>2036</v>
      </c>
      <c r="C854" s="1159" t="str">
        <f t="shared" si="21"/>
        <v>Madera_2036</v>
      </c>
      <c r="D854" s="1169">
        <v>373.76973383713022</v>
      </c>
    </row>
    <row r="855" spans="1:4" s="339" customFormat="1" ht="15.5" x14ac:dyDescent="0.35">
      <c r="A855" s="1158" t="s">
        <v>822</v>
      </c>
      <c r="B855" s="1159">
        <v>2037</v>
      </c>
      <c r="C855" s="1159" t="str">
        <f t="shared" si="21"/>
        <v>Madera_2037</v>
      </c>
      <c r="D855" s="1169">
        <v>370.15033213345521</v>
      </c>
    </row>
    <row r="856" spans="1:4" s="339" customFormat="1" ht="15.5" x14ac:dyDescent="0.35">
      <c r="A856" s="1158" t="s">
        <v>822</v>
      </c>
      <c r="B856" s="1159">
        <v>2038</v>
      </c>
      <c r="C856" s="1159" t="str">
        <f t="shared" si="21"/>
        <v>Madera_2038</v>
      </c>
      <c r="D856" s="1169">
        <v>367.60485246160243</v>
      </c>
    </row>
    <row r="857" spans="1:4" s="339" customFormat="1" ht="15.5" x14ac:dyDescent="0.35">
      <c r="A857" s="1158" t="s">
        <v>822</v>
      </c>
      <c r="B857" s="1159">
        <v>2039</v>
      </c>
      <c r="C857" s="1159" t="str">
        <f t="shared" si="21"/>
        <v>Madera_2039</v>
      </c>
      <c r="D857" s="1169">
        <v>364.91482962389756</v>
      </c>
    </row>
    <row r="858" spans="1:4" s="339" customFormat="1" ht="15.5" x14ac:dyDescent="0.35">
      <c r="A858" s="1158" t="s">
        <v>822</v>
      </c>
      <c r="B858" s="1159">
        <v>2040</v>
      </c>
      <c r="C858" s="1159" t="str">
        <f t="shared" si="21"/>
        <v>Madera_2040</v>
      </c>
      <c r="D858" s="1169">
        <v>362.62650062452491</v>
      </c>
    </row>
    <row r="859" spans="1:4" s="339" customFormat="1" ht="15.5" x14ac:dyDescent="0.35">
      <c r="A859" s="1158" t="s">
        <v>822</v>
      </c>
      <c r="B859" s="1159">
        <v>2041</v>
      </c>
      <c r="C859" s="1159" t="str">
        <f t="shared" si="21"/>
        <v>Madera_2041</v>
      </c>
      <c r="D859" s="1169">
        <v>360.72284359887681</v>
      </c>
    </row>
    <row r="860" spans="1:4" s="339" customFormat="1" ht="15.5" x14ac:dyDescent="0.35">
      <c r="A860" s="1158" t="s">
        <v>822</v>
      </c>
      <c r="B860" s="1159">
        <v>2042</v>
      </c>
      <c r="C860" s="1159" t="str">
        <f t="shared" si="21"/>
        <v>Madera_2042</v>
      </c>
      <c r="D860" s="1169">
        <v>359.12538594315112</v>
      </c>
    </row>
    <row r="861" spans="1:4" s="339" customFormat="1" ht="15.5" x14ac:dyDescent="0.35">
      <c r="A861" s="1158" t="s">
        <v>822</v>
      </c>
      <c r="B861" s="1159">
        <v>2043</v>
      </c>
      <c r="C861" s="1159" t="str">
        <f t="shared" si="21"/>
        <v>Madera_2043</v>
      </c>
      <c r="D861" s="1169">
        <v>357.80923823815226</v>
      </c>
    </row>
    <row r="862" spans="1:4" s="339" customFormat="1" ht="15.5" x14ac:dyDescent="0.35">
      <c r="A862" s="1158" t="s">
        <v>822</v>
      </c>
      <c r="B862" s="1159">
        <v>2044</v>
      </c>
      <c r="C862" s="1159" t="str">
        <f t="shared" si="21"/>
        <v>Madera_2044</v>
      </c>
      <c r="D862" s="1169">
        <v>356.7126505489685</v>
      </c>
    </row>
    <row r="863" spans="1:4" s="339" customFormat="1" ht="15.5" x14ac:dyDescent="0.35">
      <c r="A863" s="1158" t="s">
        <v>822</v>
      </c>
      <c r="B863" s="1159">
        <v>2045</v>
      </c>
      <c r="C863" s="1159" t="str">
        <f t="shared" si="21"/>
        <v>Madera_2045</v>
      </c>
      <c r="D863" s="1169">
        <v>355.79000263251703</v>
      </c>
    </row>
    <row r="864" spans="1:4" s="339" customFormat="1" ht="15.5" x14ac:dyDescent="0.35">
      <c r="A864" s="1158" t="s">
        <v>822</v>
      </c>
      <c r="B864" s="1159">
        <v>2046</v>
      </c>
      <c r="C864" s="1159" t="str">
        <f t="shared" si="21"/>
        <v>Madera_2046</v>
      </c>
      <c r="D864" s="1169">
        <v>355.01457219950214</v>
      </c>
    </row>
    <row r="865" spans="1:4" s="339" customFormat="1" ht="15.5" x14ac:dyDescent="0.35">
      <c r="A865" s="1158" t="s">
        <v>822</v>
      </c>
      <c r="B865" s="1159">
        <v>2047</v>
      </c>
      <c r="C865" s="1159" t="str">
        <f t="shared" si="21"/>
        <v>Madera_2047</v>
      </c>
      <c r="D865" s="1169">
        <v>354.3749869350043</v>
      </c>
    </row>
    <row r="866" spans="1:4" s="339" customFormat="1" ht="15.5" x14ac:dyDescent="0.35">
      <c r="A866" s="1158" t="s">
        <v>822</v>
      </c>
      <c r="B866" s="1159">
        <v>2048</v>
      </c>
      <c r="C866" s="1159" t="str">
        <f t="shared" si="21"/>
        <v>Madera_2048</v>
      </c>
      <c r="D866" s="1169">
        <v>353.8488657610128</v>
      </c>
    </row>
    <row r="867" spans="1:4" s="339" customFormat="1" ht="15.5" x14ac:dyDescent="0.35">
      <c r="A867" s="1158" t="s">
        <v>822</v>
      </c>
      <c r="B867" s="1159">
        <v>2049</v>
      </c>
      <c r="C867" s="1159" t="str">
        <f t="shared" si="21"/>
        <v>Madera_2049</v>
      </c>
      <c r="D867" s="1169">
        <v>353.41109896866135</v>
      </c>
    </row>
    <row r="868" spans="1:4" s="339" customFormat="1" ht="15.5" x14ac:dyDescent="0.35">
      <c r="A868" s="1158" t="s">
        <v>822</v>
      </c>
      <c r="B868" s="1159">
        <v>2050</v>
      </c>
      <c r="C868" s="1159" t="str">
        <f t="shared" si="21"/>
        <v>Madera_2050</v>
      </c>
      <c r="D868" s="1169">
        <v>353.05865677406342</v>
      </c>
    </row>
    <row r="869" spans="1:4" s="339" customFormat="1" ht="15.5" x14ac:dyDescent="0.35">
      <c r="A869" s="1155" t="s">
        <v>823</v>
      </c>
      <c r="B869" s="1156">
        <v>2015</v>
      </c>
      <c r="C869" s="1157" t="s">
        <v>899</v>
      </c>
      <c r="D869" s="1168">
        <v>503.65801177099371</v>
      </c>
    </row>
    <row r="870" spans="1:4" s="339" customFormat="1" ht="15.5" x14ac:dyDescent="0.35">
      <c r="A870" s="1155" t="s">
        <v>823</v>
      </c>
      <c r="B870" s="1156">
        <v>2016</v>
      </c>
      <c r="C870" s="1157" t="s">
        <v>900</v>
      </c>
      <c r="D870" s="1168">
        <v>494.93817136683253</v>
      </c>
    </row>
    <row r="871" spans="1:4" s="339" customFormat="1" ht="15.5" x14ac:dyDescent="0.35">
      <c r="A871" s="1158" t="s">
        <v>823</v>
      </c>
      <c r="B871" s="1159">
        <v>2017</v>
      </c>
      <c r="C871" s="1159" t="str">
        <f t="shared" ref="C871:C904" si="22">CONCATENATE(A871,"_",B871)</f>
        <v>Marin_2017</v>
      </c>
      <c r="D871" s="1169">
        <v>491.45797733469601</v>
      </c>
    </row>
    <row r="872" spans="1:4" s="339" customFormat="1" ht="15.5" x14ac:dyDescent="0.35">
      <c r="A872" s="1158" t="s">
        <v>823</v>
      </c>
      <c r="B872" s="1159">
        <v>2018</v>
      </c>
      <c r="C872" s="1159" t="str">
        <f t="shared" si="22"/>
        <v>Marin_2018</v>
      </c>
      <c r="D872" s="1169">
        <v>486.42445042657579</v>
      </c>
    </row>
    <row r="873" spans="1:4" s="339" customFormat="1" ht="15.5" x14ac:dyDescent="0.35">
      <c r="A873" s="1158" t="s">
        <v>823</v>
      </c>
      <c r="B873" s="1159">
        <v>2019</v>
      </c>
      <c r="C873" s="1159" t="str">
        <f t="shared" si="22"/>
        <v>Marin_2019</v>
      </c>
      <c r="D873" s="1169">
        <v>479.63711375504693</v>
      </c>
    </row>
    <row r="874" spans="1:4" s="339" customFormat="1" ht="15.5" x14ac:dyDescent="0.35">
      <c r="A874" s="1158" t="s">
        <v>823</v>
      </c>
      <c r="B874" s="1159">
        <v>2020</v>
      </c>
      <c r="C874" s="1159" t="str">
        <f t="shared" si="22"/>
        <v>Marin_2020</v>
      </c>
      <c r="D874" s="1169">
        <v>476.32470577860215</v>
      </c>
    </row>
    <row r="875" spans="1:4" s="339" customFormat="1" ht="15.5" x14ac:dyDescent="0.35">
      <c r="A875" s="1158" t="s">
        <v>823</v>
      </c>
      <c r="B875" s="1159">
        <v>2021</v>
      </c>
      <c r="C875" s="1159" t="str">
        <f t="shared" si="22"/>
        <v>Marin_2021</v>
      </c>
      <c r="D875" s="1169">
        <v>466.06997761761903</v>
      </c>
    </row>
    <row r="876" spans="1:4" s="339" customFormat="1" ht="15.5" x14ac:dyDescent="0.35">
      <c r="A876" s="1158" t="s">
        <v>823</v>
      </c>
      <c r="B876" s="1159">
        <v>2022</v>
      </c>
      <c r="C876" s="1159" t="str">
        <f t="shared" si="22"/>
        <v>Marin_2022</v>
      </c>
      <c r="D876" s="1169">
        <v>458.23410948817065</v>
      </c>
    </row>
    <row r="877" spans="1:4" s="339" customFormat="1" ht="15.5" x14ac:dyDescent="0.35">
      <c r="A877" s="1158" t="s">
        <v>823</v>
      </c>
      <c r="B877" s="1159">
        <v>2023</v>
      </c>
      <c r="C877" s="1159" t="str">
        <f t="shared" si="22"/>
        <v>Marin_2023</v>
      </c>
      <c r="D877" s="1169">
        <v>449.88795960301155</v>
      </c>
    </row>
    <row r="878" spans="1:4" s="339" customFormat="1" ht="15.5" x14ac:dyDescent="0.35">
      <c r="A878" s="1158" t="s">
        <v>823</v>
      </c>
      <c r="B878" s="1159">
        <v>2024</v>
      </c>
      <c r="C878" s="1159" t="str">
        <f t="shared" si="22"/>
        <v>Marin_2024</v>
      </c>
      <c r="D878" s="1169">
        <v>441.14676522611035</v>
      </c>
    </row>
    <row r="879" spans="1:4" s="339" customFormat="1" ht="15.5" x14ac:dyDescent="0.35">
      <c r="A879" s="1158" t="s">
        <v>823</v>
      </c>
      <c r="B879" s="1159">
        <v>2025</v>
      </c>
      <c r="C879" s="1159" t="str">
        <f t="shared" si="22"/>
        <v>Marin_2025</v>
      </c>
      <c r="D879" s="1169">
        <v>432.06032173863537</v>
      </c>
    </row>
    <row r="880" spans="1:4" s="339" customFormat="1" ht="15.5" x14ac:dyDescent="0.35">
      <c r="A880" s="1158" t="s">
        <v>823</v>
      </c>
      <c r="B880" s="1159">
        <v>2026</v>
      </c>
      <c r="C880" s="1159" t="str">
        <f t="shared" si="22"/>
        <v>Marin_2026</v>
      </c>
      <c r="D880" s="1169">
        <v>423.20607409904613</v>
      </c>
    </row>
    <row r="881" spans="1:4" s="339" customFormat="1" ht="15.5" x14ac:dyDescent="0.35">
      <c r="A881" s="1158" t="s">
        <v>823</v>
      </c>
      <c r="B881" s="1159">
        <v>2027</v>
      </c>
      <c r="C881" s="1159" t="str">
        <f t="shared" si="22"/>
        <v>Marin_2027</v>
      </c>
      <c r="D881" s="1169">
        <v>414.9043227209587</v>
      </c>
    </row>
    <row r="882" spans="1:4" s="339" customFormat="1" ht="15.5" x14ac:dyDescent="0.35">
      <c r="A882" s="1158" t="s">
        <v>823</v>
      </c>
      <c r="B882" s="1159">
        <v>2028</v>
      </c>
      <c r="C882" s="1159" t="str">
        <f t="shared" si="22"/>
        <v>Marin_2028</v>
      </c>
      <c r="D882" s="1169">
        <v>407.26371814995576</v>
      </c>
    </row>
    <row r="883" spans="1:4" s="339" customFormat="1" ht="15.5" x14ac:dyDescent="0.35">
      <c r="A883" s="1158" t="s">
        <v>823</v>
      </c>
      <c r="B883" s="1159">
        <v>2029</v>
      </c>
      <c r="C883" s="1159" t="str">
        <f t="shared" si="22"/>
        <v>Marin_2029</v>
      </c>
      <c r="D883" s="1169">
        <v>400.25476010753988</v>
      </c>
    </row>
    <row r="884" spans="1:4" s="339" customFormat="1" ht="15.5" x14ac:dyDescent="0.35">
      <c r="A884" s="1158" t="s">
        <v>823</v>
      </c>
      <c r="B884" s="1159">
        <v>2030</v>
      </c>
      <c r="C884" s="1159" t="str">
        <f t="shared" si="22"/>
        <v>Marin_2030</v>
      </c>
      <c r="D884" s="1169">
        <v>393.86399292165038</v>
      </c>
    </row>
    <row r="885" spans="1:4" s="339" customFormat="1" ht="15.5" x14ac:dyDescent="0.35">
      <c r="A885" s="1158" t="s">
        <v>823</v>
      </c>
      <c r="B885" s="1159">
        <v>2031</v>
      </c>
      <c r="C885" s="1159" t="str">
        <f t="shared" si="22"/>
        <v>Marin_2031</v>
      </c>
      <c r="D885" s="1169">
        <v>387.86101020031606</v>
      </c>
    </row>
    <row r="886" spans="1:4" s="339" customFormat="1" ht="15.5" x14ac:dyDescent="0.35">
      <c r="A886" s="1158" t="s">
        <v>823</v>
      </c>
      <c r="B886" s="1159">
        <v>2032</v>
      </c>
      <c r="C886" s="1159" t="str">
        <f t="shared" si="22"/>
        <v>Marin_2032</v>
      </c>
      <c r="D886" s="1169">
        <v>382.57729258577024</v>
      </c>
    </row>
    <row r="887" spans="1:4" s="339" customFormat="1" ht="15.5" x14ac:dyDescent="0.35">
      <c r="A887" s="1158" t="s">
        <v>823</v>
      </c>
      <c r="B887" s="1159">
        <v>2033</v>
      </c>
      <c r="C887" s="1159" t="str">
        <f t="shared" si="22"/>
        <v>Marin_2033</v>
      </c>
      <c r="D887" s="1169">
        <v>377.83118322166899</v>
      </c>
    </row>
    <row r="888" spans="1:4" s="339" customFormat="1" ht="15.5" x14ac:dyDescent="0.35">
      <c r="A888" s="1158" t="s">
        <v>823</v>
      </c>
      <c r="B888" s="1159">
        <v>2034</v>
      </c>
      <c r="C888" s="1159" t="str">
        <f t="shared" si="22"/>
        <v>Marin_2034</v>
      </c>
      <c r="D888" s="1169">
        <v>373.58074340526929</v>
      </c>
    </row>
    <row r="889" spans="1:4" s="339" customFormat="1" ht="15.5" x14ac:dyDescent="0.35">
      <c r="A889" s="1158" t="s">
        <v>823</v>
      </c>
      <c r="B889" s="1159">
        <v>2035</v>
      </c>
      <c r="C889" s="1159" t="str">
        <f t="shared" si="22"/>
        <v>Marin_2035</v>
      </c>
      <c r="D889" s="1169">
        <v>369.81775475300373</v>
      </c>
    </row>
    <row r="890" spans="1:4" s="339" customFormat="1" ht="15.5" x14ac:dyDescent="0.35">
      <c r="A890" s="1158" t="s">
        <v>823</v>
      </c>
      <c r="B890" s="1159">
        <v>2036</v>
      </c>
      <c r="C890" s="1159" t="str">
        <f t="shared" si="22"/>
        <v>Marin_2036</v>
      </c>
      <c r="D890" s="1169">
        <v>366.5163718363068</v>
      </c>
    </row>
    <row r="891" spans="1:4" s="339" customFormat="1" ht="15.5" x14ac:dyDescent="0.35">
      <c r="A891" s="1158" t="s">
        <v>823</v>
      </c>
      <c r="B891" s="1159">
        <v>2037</v>
      </c>
      <c r="C891" s="1159" t="str">
        <f t="shared" si="22"/>
        <v>Marin_2037</v>
      </c>
      <c r="D891" s="1169">
        <v>363.65233605862693</v>
      </c>
    </row>
    <row r="892" spans="1:4" s="339" customFormat="1" ht="15.5" x14ac:dyDescent="0.35">
      <c r="A892" s="1158" t="s">
        <v>823</v>
      </c>
      <c r="B892" s="1159">
        <v>2038</v>
      </c>
      <c r="C892" s="1159" t="str">
        <f t="shared" si="22"/>
        <v>Marin_2038</v>
      </c>
      <c r="D892" s="1169">
        <v>361.19897678479236</v>
      </c>
    </row>
    <row r="893" spans="1:4" s="339" customFormat="1" ht="15.5" x14ac:dyDescent="0.35">
      <c r="A893" s="1158" t="s">
        <v>823</v>
      </c>
      <c r="B893" s="1159">
        <v>2039</v>
      </c>
      <c r="C893" s="1159" t="str">
        <f t="shared" si="22"/>
        <v>Marin_2039</v>
      </c>
      <c r="D893" s="1169">
        <v>359.10760799301096</v>
      </c>
    </row>
    <row r="894" spans="1:4" s="339" customFormat="1" ht="15.5" x14ac:dyDescent="0.35">
      <c r="A894" s="1158" t="s">
        <v>823</v>
      </c>
      <c r="B894" s="1159">
        <v>2040</v>
      </c>
      <c r="C894" s="1159" t="str">
        <f t="shared" si="22"/>
        <v>Marin_2040</v>
      </c>
      <c r="D894" s="1169">
        <v>357.34869331064925</v>
      </c>
    </row>
    <row r="895" spans="1:4" s="339" customFormat="1" ht="15.5" x14ac:dyDescent="0.35">
      <c r="A895" s="1158" t="s">
        <v>823</v>
      </c>
      <c r="B895" s="1159">
        <v>2041</v>
      </c>
      <c r="C895" s="1159" t="str">
        <f t="shared" si="22"/>
        <v>Marin_2041</v>
      </c>
      <c r="D895" s="1169">
        <v>355.89297507718777</v>
      </c>
    </row>
    <row r="896" spans="1:4" s="339" customFormat="1" ht="15.5" x14ac:dyDescent="0.35">
      <c r="A896" s="1158" t="s">
        <v>823</v>
      </c>
      <c r="B896" s="1159">
        <v>2042</v>
      </c>
      <c r="C896" s="1159" t="str">
        <f t="shared" si="22"/>
        <v>Marin_2042</v>
      </c>
      <c r="D896" s="1169">
        <v>354.66901440123661</v>
      </c>
    </row>
    <row r="897" spans="1:4" s="339" customFormat="1" ht="15.5" x14ac:dyDescent="0.35">
      <c r="A897" s="1158" t="s">
        <v>823</v>
      </c>
      <c r="B897" s="1159">
        <v>2043</v>
      </c>
      <c r="C897" s="1159" t="str">
        <f t="shared" si="22"/>
        <v>Marin_2043</v>
      </c>
      <c r="D897" s="1169">
        <v>353.66182856184332</v>
      </c>
    </row>
    <row r="898" spans="1:4" s="339" customFormat="1" ht="15.5" x14ac:dyDescent="0.35">
      <c r="A898" s="1158" t="s">
        <v>823</v>
      </c>
      <c r="B898" s="1159">
        <v>2044</v>
      </c>
      <c r="C898" s="1159" t="str">
        <f t="shared" si="22"/>
        <v>Marin_2044</v>
      </c>
      <c r="D898" s="1169">
        <v>352.82268329397994</v>
      </c>
    </row>
    <row r="899" spans="1:4" s="339" customFormat="1" ht="15.5" x14ac:dyDescent="0.35">
      <c r="A899" s="1158" t="s">
        <v>823</v>
      </c>
      <c r="B899" s="1159">
        <v>2045</v>
      </c>
      <c r="C899" s="1159" t="str">
        <f t="shared" si="22"/>
        <v>Marin_2045</v>
      </c>
      <c r="D899" s="1169">
        <v>352.11391760920219</v>
      </c>
    </row>
    <row r="900" spans="1:4" s="339" customFormat="1" ht="15.5" x14ac:dyDescent="0.35">
      <c r="A900" s="1158" t="s">
        <v>823</v>
      </c>
      <c r="B900" s="1159">
        <v>2046</v>
      </c>
      <c r="C900" s="1159" t="str">
        <f t="shared" si="22"/>
        <v>Marin_2046</v>
      </c>
      <c r="D900" s="1169">
        <v>351.52674917392795</v>
      </c>
    </row>
    <row r="901" spans="1:4" s="339" customFormat="1" ht="15.5" x14ac:dyDescent="0.35">
      <c r="A901" s="1158" t="s">
        <v>823</v>
      </c>
      <c r="B901" s="1159">
        <v>2047</v>
      </c>
      <c r="C901" s="1159" t="str">
        <f t="shared" si="22"/>
        <v>Marin_2047</v>
      </c>
      <c r="D901" s="1169">
        <v>351.03983088373303</v>
      </c>
    </row>
    <row r="902" spans="1:4" s="339" customFormat="1" ht="15.5" x14ac:dyDescent="0.35">
      <c r="A902" s="1158" t="s">
        <v>823</v>
      </c>
      <c r="B902" s="1159">
        <v>2048</v>
      </c>
      <c r="C902" s="1159" t="str">
        <f t="shared" si="22"/>
        <v>Marin_2048</v>
      </c>
      <c r="D902" s="1169">
        <v>350.63976791106643</v>
      </c>
    </row>
    <row r="903" spans="1:4" s="339" customFormat="1" ht="15.5" x14ac:dyDescent="0.35">
      <c r="A903" s="1158" t="s">
        <v>823</v>
      </c>
      <c r="B903" s="1159">
        <v>2049</v>
      </c>
      <c r="C903" s="1159" t="str">
        <f t="shared" si="22"/>
        <v>Marin_2049</v>
      </c>
      <c r="D903" s="1169">
        <v>350.30133542090192</v>
      </c>
    </row>
    <row r="904" spans="1:4" s="339" customFormat="1" ht="15.5" x14ac:dyDescent="0.35">
      <c r="A904" s="1158" t="s">
        <v>823</v>
      </c>
      <c r="B904" s="1159">
        <v>2050</v>
      </c>
      <c r="C904" s="1159" t="str">
        <f t="shared" si="22"/>
        <v>Marin_2050</v>
      </c>
      <c r="D904" s="1169">
        <v>350.03430897834556</v>
      </c>
    </row>
    <row r="905" spans="1:4" s="339" customFormat="1" ht="15.5" x14ac:dyDescent="0.35">
      <c r="A905" s="1155" t="s">
        <v>824</v>
      </c>
      <c r="B905" s="1156">
        <v>2015</v>
      </c>
      <c r="C905" s="1157" t="s">
        <v>901</v>
      </c>
      <c r="D905" s="1168">
        <v>576.96727677084505</v>
      </c>
    </row>
    <row r="906" spans="1:4" s="339" customFormat="1" ht="15.5" x14ac:dyDescent="0.35">
      <c r="A906" s="1155" t="s">
        <v>824</v>
      </c>
      <c r="B906" s="1156">
        <v>2016</v>
      </c>
      <c r="C906" s="1157" t="s">
        <v>902</v>
      </c>
      <c r="D906" s="1168">
        <v>567.4267680326908</v>
      </c>
    </row>
    <row r="907" spans="1:4" s="339" customFormat="1" ht="15.5" x14ac:dyDescent="0.35">
      <c r="A907" s="1158" t="s">
        <v>824</v>
      </c>
      <c r="B907" s="1159">
        <v>2017</v>
      </c>
      <c r="C907" s="1159" t="str">
        <f t="shared" ref="C907:C940" si="23">CONCATENATE(A907,"_",B907)</f>
        <v>Mariposa_2017</v>
      </c>
      <c r="D907" s="1169">
        <v>562.94380339161592</v>
      </c>
    </row>
    <row r="908" spans="1:4" s="339" customFormat="1" ht="15.5" x14ac:dyDescent="0.35">
      <c r="A908" s="1158" t="s">
        <v>824</v>
      </c>
      <c r="B908" s="1159">
        <v>2018</v>
      </c>
      <c r="C908" s="1159" t="str">
        <f t="shared" si="23"/>
        <v>Mariposa_2018</v>
      </c>
      <c r="D908" s="1169">
        <v>556.46276455341217</v>
      </c>
    </row>
    <row r="909" spans="1:4" s="339" customFormat="1" ht="15.5" x14ac:dyDescent="0.35">
      <c r="A909" s="1158" t="s">
        <v>824</v>
      </c>
      <c r="B909" s="1159">
        <v>2019</v>
      </c>
      <c r="C909" s="1159" t="str">
        <f t="shared" si="23"/>
        <v>Mariposa_2019</v>
      </c>
      <c r="D909" s="1169">
        <v>547.93734233463249</v>
      </c>
    </row>
    <row r="910" spans="1:4" s="339" customFormat="1" ht="15.5" x14ac:dyDescent="0.35">
      <c r="A910" s="1158" t="s">
        <v>824</v>
      </c>
      <c r="B910" s="1159">
        <v>2020</v>
      </c>
      <c r="C910" s="1159" t="str">
        <f t="shared" si="23"/>
        <v>Mariposa_2020</v>
      </c>
      <c r="D910" s="1169">
        <v>542.80565331888477</v>
      </c>
    </row>
    <row r="911" spans="1:4" s="339" customFormat="1" ht="15.5" x14ac:dyDescent="0.35">
      <c r="A911" s="1158" t="s">
        <v>824</v>
      </c>
      <c r="B911" s="1159">
        <v>2021</v>
      </c>
      <c r="C911" s="1159" t="str">
        <f t="shared" si="23"/>
        <v>Mariposa_2021</v>
      </c>
      <c r="D911" s="1169">
        <v>531.51133295097361</v>
      </c>
    </row>
    <row r="912" spans="1:4" s="339" customFormat="1" ht="15.5" x14ac:dyDescent="0.35">
      <c r="A912" s="1158" t="s">
        <v>824</v>
      </c>
      <c r="B912" s="1159">
        <v>2022</v>
      </c>
      <c r="C912" s="1159" t="str">
        <f t="shared" si="23"/>
        <v>Mariposa_2022</v>
      </c>
      <c r="D912" s="1169">
        <v>521.30247292716888</v>
      </c>
    </row>
    <row r="913" spans="1:4" s="339" customFormat="1" ht="15.5" x14ac:dyDescent="0.35">
      <c r="A913" s="1158" t="s">
        <v>824</v>
      </c>
      <c r="B913" s="1159">
        <v>2023</v>
      </c>
      <c r="C913" s="1159" t="str">
        <f t="shared" si="23"/>
        <v>Mariposa_2023</v>
      </c>
      <c r="D913" s="1169">
        <v>510.5093840982525</v>
      </c>
    </row>
    <row r="914" spans="1:4" s="339" customFormat="1" ht="15.5" x14ac:dyDescent="0.35">
      <c r="A914" s="1158" t="s">
        <v>824</v>
      </c>
      <c r="B914" s="1159">
        <v>2024</v>
      </c>
      <c r="C914" s="1159" t="str">
        <f t="shared" si="23"/>
        <v>Mariposa_2024</v>
      </c>
      <c r="D914" s="1169">
        <v>499.41010645203755</v>
      </c>
    </row>
    <row r="915" spans="1:4" s="339" customFormat="1" ht="15.5" x14ac:dyDescent="0.35">
      <c r="A915" s="1158" t="s">
        <v>824</v>
      </c>
      <c r="B915" s="1159">
        <v>2025</v>
      </c>
      <c r="C915" s="1159" t="str">
        <f t="shared" si="23"/>
        <v>Mariposa_2025</v>
      </c>
      <c r="D915" s="1169">
        <v>488.24711108319099</v>
      </c>
    </row>
    <row r="916" spans="1:4" s="339" customFormat="1" ht="15.5" x14ac:dyDescent="0.35">
      <c r="A916" s="1158" t="s">
        <v>824</v>
      </c>
      <c r="B916" s="1159">
        <v>2026</v>
      </c>
      <c r="C916" s="1159" t="str">
        <f t="shared" si="23"/>
        <v>Mariposa_2026</v>
      </c>
      <c r="D916" s="1169">
        <v>477.18150138010776</v>
      </c>
    </row>
    <row r="917" spans="1:4" s="339" customFormat="1" ht="15.5" x14ac:dyDescent="0.35">
      <c r="A917" s="1158" t="s">
        <v>824</v>
      </c>
      <c r="B917" s="1159">
        <v>2027</v>
      </c>
      <c r="C917" s="1159" t="str">
        <f t="shared" si="23"/>
        <v>Mariposa_2027</v>
      </c>
      <c r="D917" s="1169">
        <v>466.46487578024824</v>
      </c>
    </row>
    <row r="918" spans="1:4" s="339" customFormat="1" ht="15.5" x14ac:dyDescent="0.35">
      <c r="A918" s="1158" t="s">
        <v>824</v>
      </c>
      <c r="B918" s="1159">
        <v>2028</v>
      </c>
      <c r="C918" s="1159" t="str">
        <f t="shared" si="23"/>
        <v>Mariposa_2028</v>
      </c>
      <c r="D918" s="1169">
        <v>456.24011888984597</v>
      </c>
    </row>
    <row r="919" spans="1:4" s="339" customFormat="1" ht="15.5" x14ac:dyDescent="0.35">
      <c r="A919" s="1158" t="s">
        <v>824</v>
      </c>
      <c r="B919" s="1159">
        <v>2029</v>
      </c>
      <c r="C919" s="1159" t="str">
        <f t="shared" si="23"/>
        <v>Mariposa_2029</v>
      </c>
      <c r="D919" s="1169">
        <v>446.6844875925845</v>
      </c>
    </row>
    <row r="920" spans="1:4" s="339" customFormat="1" ht="15.5" x14ac:dyDescent="0.35">
      <c r="A920" s="1158" t="s">
        <v>824</v>
      </c>
      <c r="B920" s="1159">
        <v>2030</v>
      </c>
      <c r="C920" s="1159" t="str">
        <f t="shared" si="23"/>
        <v>Mariposa_2030</v>
      </c>
      <c r="D920" s="1169">
        <v>437.64711911149783</v>
      </c>
    </row>
    <row r="921" spans="1:4" s="339" customFormat="1" ht="15.5" x14ac:dyDescent="0.35">
      <c r="A921" s="1158" t="s">
        <v>824</v>
      </c>
      <c r="B921" s="1159">
        <v>2031</v>
      </c>
      <c r="C921" s="1159" t="str">
        <f t="shared" si="23"/>
        <v>Mariposa_2031</v>
      </c>
      <c r="D921" s="1169">
        <v>429.29658001606521</v>
      </c>
    </row>
    <row r="922" spans="1:4" s="339" customFormat="1" ht="15.5" x14ac:dyDescent="0.35">
      <c r="A922" s="1158" t="s">
        <v>824</v>
      </c>
      <c r="B922" s="1159">
        <v>2032</v>
      </c>
      <c r="C922" s="1159" t="str">
        <f t="shared" si="23"/>
        <v>Mariposa_2032</v>
      </c>
      <c r="D922" s="1169">
        <v>421.69721542393745</v>
      </c>
    </row>
    <row r="923" spans="1:4" s="339" customFormat="1" ht="15.5" x14ac:dyDescent="0.35">
      <c r="A923" s="1158" t="s">
        <v>824</v>
      </c>
      <c r="B923" s="1159">
        <v>2033</v>
      </c>
      <c r="C923" s="1159" t="str">
        <f t="shared" si="23"/>
        <v>Mariposa_2033</v>
      </c>
      <c r="D923" s="1169">
        <v>414.64136953871554</v>
      </c>
    </row>
    <row r="924" spans="1:4" s="339" customFormat="1" ht="15.5" x14ac:dyDescent="0.35">
      <c r="A924" s="1158" t="s">
        <v>824</v>
      </c>
      <c r="B924" s="1159">
        <v>2034</v>
      </c>
      <c r="C924" s="1159" t="str">
        <f t="shared" si="23"/>
        <v>Mariposa_2034</v>
      </c>
      <c r="D924" s="1169">
        <v>408.16761704423203</v>
      </c>
    </row>
    <row r="925" spans="1:4" s="339" customFormat="1" ht="15.5" x14ac:dyDescent="0.35">
      <c r="A925" s="1158" t="s">
        <v>824</v>
      </c>
      <c r="B925" s="1159">
        <v>2035</v>
      </c>
      <c r="C925" s="1159" t="str">
        <f t="shared" si="23"/>
        <v>Mariposa_2035</v>
      </c>
      <c r="D925" s="1169">
        <v>402.30982947250249</v>
      </c>
    </row>
    <row r="926" spans="1:4" s="339" customFormat="1" ht="15.5" x14ac:dyDescent="0.35">
      <c r="A926" s="1158" t="s">
        <v>824</v>
      </c>
      <c r="B926" s="1159">
        <v>2036</v>
      </c>
      <c r="C926" s="1159" t="str">
        <f t="shared" si="23"/>
        <v>Mariposa_2036</v>
      </c>
      <c r="D926" s="1169">
        <v>397.07434523415571</v>
      </c>
    </row>
    <row r="927" spans="1:4" s="339" customFormat="1" ht="15.5" x14ac:dyDescent="0.35">
      <c r="A927" s="1158" t="s">
        <v>824</v>
      </c>
      <c r="B927" s="1159">
        <v>2037</v>
      </c>
      <c r="C927" s="1159" t="str">
        <f t="shared" si="23"/>
        <v>Mariposa_2037</v>
      </c>
      <c r="D927" s="1169">
        <v>392.40139833014229</v>
      </c>
    </row>
    <row r="928" spans="1:4" s="339" customFormat="1" ht="15.5" x14ac:dyDescent="0.35">
      <c r="A928" s="1158" t="s">
        <v>824</v>
      </c>
      <c r="B928" s="1159">
        <v>2038</v>
      </c>
      <c r="C928" s="1159" t="str">
        <f t="shared" si="23"/>
        <v>Mariposa_2038</v>
      </c>
      <c r="D928" s="1169">
        <v>388.3488443279777</v>
      </c>
    </row>
    <row r="929" spans="1:4" s="339" customFormat="1" ht="15.5" x14ac:dyDescent="0.35">
      <c r="A929" s="1158" t="s">
        <v>824</v>
      </c>
      <c r="B929" s="1159">
        <v>2039</v>
      </c>
      <c r="C929" s="1159" t="str">
        <f t="shared" si="23"/>
        <v>Mariposa_2039</v>
      </c>
      <c r="D929" s="1169">
        <v>384.68900310334777</v>
      </c>
    </row>
    <row r="930" spans="1:4" s="339" customFormat="1" ht="15.5" x14ac:dyDescent="0.35">
      <c r="A930" s="1158" t="s">
        <v>824</v>
      </c>
      <c r="B930" s="1159">
        <v>2040</v>
      </c>
      <c r="C930" s="1159" t="str">
        <f t="shared" si="23"/>
        <v>Mariposa_2040</v>
      </c>
      <c r="D930" s="1169">
        <v>381.49147562064337</v>
      </c>
    </row>
    <row r="931" spans="1:4" s="339" customFormat="1" ht="15.5" x14ac:dyDescent="0.35">
      <c r="A931" s="1158" t="s">
        <v>824</v>
      </c>
      <c r="B931" s="1159">
        <v>2041</v>
      </c>
      <c r="C931" s="1159" t="str">
        <f t="shared" si="23"/>
        <v>Mariposa_2041</v>
      </c>
      <c r="D931" s="1169">
        <v>378.72904882375587</v>
      </c>
    </row>
    <row r="932" spans="1:4" s="339" customFormat="1" ht="15.5" x14ac:dyDescent="0.35">
      <c r="A932" s="1158" t="s">
        <v>824</v>
      </c>
      <c r="B932" s="1159">
        <v>2042</v>
      </c>
      <c r="C932" s="1159" t="str">
        <f t="shared" si="23"/>
        <v>Mariposa_2042</v>
      </c>
      <c r="D932" s="1169">
        <v>376.23067911544558</v>
      </c>
    </row>
    <row r="933" spans="1:4" s="339" customFormat="1" ht="15.5" x14ac:dyDescent="0.35">
      <c r="A933" s="1158" t="s">
        <v>824</v>
      </c>
      <c r="B933" s="1159">
        <v>2043</v>
      </c>
      <c r="C933" s="1159" t="str">
        <f t="shared" si="23"/>
        <v>Mariposa_2043</v>
      </c>
      <c r="D933" s="1169">
        <v>374.05757222096378</v>
      </c>
    </row>
    <row r="934" spans="1:4" s="339" customFormat="1" ht="15.5" x14ac:dyDescent="0.35">
      <c r="A934" s="1158" t="s">
        <v>824</v>
      </c>
      <c r="B934" s="1159">
        <v>2044</v>
      </c>
      <c r="C934" s="1159" t="str">
        <f t="shared" si="23"/>
        <v>Mariposa_2044</v>
      </c>
      <c r="D934" s="1169">
        <v>372.02147294276466</v>
      </c>
    </row>
    <row r="935" spans="1:4" s="339" customFormat="1" ht="15.5" x14ac:dyDescent="0.35">
      <c r="A935" s="1158" t="s">
        <v>824</v>
      </c>
      <c r="B935" s="1159">
        <v>2045</v>
      </c>
      <c r="C935" s="1159" t="str">
        <f t="shared" si="23"/>
        <v>Mariposa_2045</v>
      </c>
      <c r="D935" s="1169">
        <v>370.14276859919261</v>
      </c>
    </row>
    <row r="936" spans="1:4" s="339" customFormat="1" ht="15.5" x14ac:dyDescent="0.35">
      <c r="A936" s="1158" t="s">
        <v>824</v>
      </c>
      <c r="B936" s="1159">
        <v>2046</v>
      </c>
      <c r="C936" s="1159" t="str">
        <f t="shared" si="23"/>
        <v>Mariposa_2046</v>
      </c>
      <c r="D936" s="1169">
        <v>368.37196687465786</v>
      </c>
    </row>
    <row r="937" spans="1:4" s="339" customFormat="1" ht="15.5" x14ac:dyDescent="0.35">
      <c r="A937" s="1158" t="s">
        <v>824</v>
      </c>
      <c r="B937" s="1159">
        <v>2047</v>
      </c>
      <c r="C937" s="1159" t="str">
        <f t="shared" si="23"/>
        <v>Mariposa_2047</v>
      </c>
      <c r="D937" s="1169">
        <v>366.85149043362037</v>
      </c>
    </row>
    <row r="938" spans="1:4" s="339" customFormat="1" ht="15.5" x14ac:dyDescent="0.35">
      <c r="A938" s="1158" t="s">
        <v>824</v>
      </c>
      <c r="B938" s="1159">
        <v>2048</v>
      </c>
      <c r="C938" s="1159" t="str">
        <f t="shared" si="23"/>
        <v>Mariposa_2048</v>
      </c>
      <c r="D938" s="1169">
        <v>365.51415313205445</v>
      </c>
    </row>
    <row r="939" spans="1:4" s="339" customFormat="1" ht="15.5" x14ac:dyDescent="0.35">
      <c r="A939" s="1158" t="s">
        <v>824</v>
      </c>
      <c r="B939" s="1159">
        <v>2049</v>
      </c>
      <c r="C939" s="1159" t="str">
        <f t="shared" si="23"/>
        <v>Mariposa_2049</v>
      </c>
      <c r="D939" s="1169">
        <v>364.33287868606646</v>
      </c>
    </row>
    <row r="940" spans="1:4" s="339" customFormat="1" ht="15.5" x14ac:dyDescent="0.35">
      <c r="A940" s="1158" t="s">
        <v>824</v>
      </c>
      <c r="B940" s="1159">
        <v>2050</v>
      </c>
      <c r="C940" s="1159" t="str">
        <f t="shared" si="23"/>
        <v>Mariposa_2050</v>
      </c>
      <c r="D940" s="1169">
        <v>363.27670346948167</v>
      </c>
    </row>
    <row r="941" spans="1:4" s="339" customFormat="1" ht="15.5" x14ac:dyDescent="0.35">
      <c r="A941" s="1155" t="s">
        <v>825</v>
      </c>
      <c r="B941" s="1156">
        <v>2015</v>
      </c>
      <c r="C941" s="1157" t="s">
        <v>903</v>
      </c>
      <c r="D941" s="1168">
        <v>529.97140963463164</v>
      </c>
    </row>
    <row r="942" spans="1:4" s="339" customFormat="1" ht="15.5" x14ac:dyDescent="0.35">
      <c r="A942" s="1155" t="s">
        <v>825</v>
      </c>
      <c r="B942" s="1156">
        <v>2016</v>
      </c>
      <c r="C942" s="1157" t="s">
        <v>904</v>
      </c>
      <c r="D942" s="1168">
        <v>519.39975518918925</v>
      </c>
    </row>
    <row r="943" spans="1:4" s="339" customFormat="1" ht="15.5" x14ac:dyDescent="0.35">
      <c r="A943" s="1158" t="s">
        <v>825</v>
      </c>
      <c r="B943" s="1159">
        <v>2017</v>
      </c>
      <c r="C943" s="1159" t="str">
        <f t="shared" ref="C943:C976" si="24">CONCATENATE(A943,"_",B943)</f>
        <v>Mendocino_2017</v>
      </c>
      <c r="D943" s="1169">
        <v>515.46413237658749</v>
      </c>
    </row>
    <row r="944" spans="1:4" s="339" customFormat="1" ht="15.5" x14ac:dyDescent="0.35">
      <c r="A944" s="1158" t="s">
        <v>825</v>
      </c>
      <c r="B944" s="1159">
        <v>2018</v>
      </c>
      <c r="C944" s="1159" t="str">
        <f t="shared" si="24"/>
        <v>Mendocino_2018</v>
      </c>
      <c r="D944" s="1169">
        <v>508.90511592552349</v>
      </c>
    </row>
    <row r="945" spans="1:4" s="339" customFormat="1" ht="15.5" x14ac:dyDescent="0.35">
      <c r="A945" s="1158" t="s">
        <v>825</v>
      </c>
      <c r="B945" s="1159">
        <v>2019</v>
      </c>
      <c r="C945" s="1159" t="str">
        <f t="shared" si="24"/>
        <v>Mendocino_2019</v>
      </c>
      <c r="D945" s="1169">
        <v>501.07720609738641</v>
      </c>
    </row>
    <row r="946" spans="1:4" s="339" customFormat="1" ht="15.5" x14ac:dyDescent="0.35">
      <c r="A946" s="1158" t="s">
        <v>825</v>
      </c>
      <c r="B946" s="1159">
        <v>2020</v>
      </c>
      <c r="C946" s="1159" t="str">
        <f t="shared" si="24"/>
        <v>Mendocino_2020</v>
      </c>
      <c r="D946" s="1169">
        <v>497.21906558605963</v>
      </c>
    </row>
    <row r="947" spans="1:4" s="339" customFormat="1" ht="15.5" x14ac:dyDescent="0.35">
      <c r="A947" s="1158" t="s">
        <v>825</v>
      </c>
      <c r="B947" s="1159">
        <v>2021</v>
      </c>
      <c r="C947" s="1159" t="str">
        <f t="shared" si="24"/>
        <v>Mendocino_2021</v>
      </c>
      <c r="D947" s="1169">
        <v>487.61703020304418</v>
      </c>
    </row>
    <row r="948" spans="1:4" s="339" customFormat="1" ht="15.5" x14ac:dyDescent="0.35">
      <c r="A948" s="1158" t="s">
        <v>825</v>
      </c>
      <c r="B948" s="1159">
        <v>2022</v>
      </c>
      <c r="C948" s="1159" t="str">
        <f t="shared" si="24"/>
        <v>Mendocino_2022</v>
      </c>
      <c r="D948" s="1169">
        <v>479.11699618124243</v>
      </c>
    </row>
    <row r="949" spans="1:4" s="339" customFormat="1" ht="15.5" x14ac:dyDescent="0.35">
      <c r="A949" s="1158" t="s">
        <v>825</v>
      </c>
      <c r="B949" s="1159">
        <v>2023</v>
      </c>
      <c r="C949" s="1159" t="str">
        <f t="shared" si="24"/>
        <v>Mendocino_2023</v>
      </c>
      <c r="D949" s="1169">
        <v>470.10622327853253</v>
      </c>
    </row>
    <row r="950" spans="1:4" s="339" customFormat="1" ht="15.5" x14ac:dyDescent="0.35">
      <c r="A950" s="1158" t="s">
        <v>825</v>
      </c>
      <c r="B950" s="1159">
        <v>2024</v>
      </c>
      <c r="C950" s="1159" t="str">
        <f t="shared" si="24"/>
        <v>Mendocino_2024</v>
      </c>
      <c r="D950" s="1169">
        <v>460.71094762871491</v>
      </c>
    </row>
    <row r="951" spans="1:4" s="339" customFormat="1" ht="15.5" x14ac:dyDescent="0.35">
      <c r="A951" s="1158" t="s">
        <v>825</v>
      </c>
      <c r="B951" s="1159">
        <v>2025</v>
      </c>
      <c r="C951" s="1159" t="str">
        <f t="shared" si="24"/>
        <v>Mendocino_2025</v>
      </c>
      <c r="D951" s="1169">
        <v>451.06423495957773</v>
      </c>
    </row>
    <row r="952" spans="1:4" s="339" customFormat="1" ht="15.5" x14ac:dyDescent="0.35">
      <c r="A952" s="1158" t="s">
        <v>825</v>
      </c>
      <c r="B952" s="1159">
        <v>2026</v>
      </c>
      <c r="C952" s="1159" t="str">
        <f t="shared" si="24"/>
        <v>Mendocino_2026</v>
      </c>
      <c r="D952" s="1169">
        <v>441.61251313757663</v>
      </c>
    </row>
    <row r="953" spans="1:4" s="339" customFormat="1" ht="15.5" x14ac:dyDescent="0.35">
      <c r="A953" s="1158" t="s">
        <v>825</v>
      </c>
      <c r="B953" s="1159">
        <v>2027</v>
      </c>
      <c r="C953" s="1159" t="str">
        <f t="shared" si="24"/>
        <v>Mendocino_2027</v>
      </c>
      <c r="D953" s="1169">
        <v>432.60956365944759</v>
      </c>
    </row>
    <row r="954" spans="1:4" s="339" customFormat="1" ht="15.5" x14ac:dyDescent="0.35">
      <c r="A954" s="1158" t="s">
        <v>825</v>
      </c>
      <c r="B954" s="1159">
        <v>2028</v>
      </c>
      <c r="C954" s="1159" t="str">
        <f t="shared" si="24"/>
        <v>Mendocino_2028</v>
      </c>
      <c r="D954" s="1169">
        <v>424.18919326264626</v>
      </c>
    </row>
    <row r="955" spans="1:4" s="339" customFormat="1" ht="15.5" x14ac:dyDescent="0.35">
      <c r="A955" s="1158" t="s">
        <v>825</v>
      </c>
      <c r="B955" s="1159">
        <v>2029</v>
      </c>
      <c r="C955" s="1159" t="str">
        <f t="shared" si="24"/>
        <v>Mendocino_2029</v>
      </c>
      <c r="D955" s="1169">
        <v>416.3533374729393</v>
      </c>
    </row>
    <row r="956" spans="1:4" s="339" customFormat="1" ht="15.5" x14ac:dyDescent="0.35">
      <c r="A956" s="1158" t="s">
        <v>825</v>
      </c>
      <c r="B956" s="1159">
        <v>2030</v>
      </c>
      <c r="C956" s="1159" t="str">
        <f t="shared" si="24"/>
        <v>Mendocino_2030</v>
      </c>
      <c r="D956" s="1169">
        <v>409.11522964782057</v>
      </c>
    </row>
    <row r="957" spans="1:4" s="339" customFormat="1" ht="15.5" x14ac:dyDescent="0.35">
      <c r="A957" s="1158" t="s">
        <v>825</v>
      </c>
      <c r="B957" s="1159">
        <v>2031</v>
      </c>
      <c r="C957" s="1159" t="str">
        <f t="shared" si="24"/>
        <v>Mendocino_2031</v>
      </c>
      <c r="D957" s="1169">
        <v>402.42505855000474</v>
      </c>
    </row>
    <row r="958" spans="1:4" s="339" customFormat="1" ht="15.5" x14ac:dyDescent="0.35">
      <c r="A958" s="1158" t="s">
        <v>825</v>
      </c>
      <c r="B958" s="1159">
        <v>2032</v>
      </c>
      <c r="C958" s="1159" t="str">
        <f t="shared" si="24"/>
        <v>Mendocino_2032</v>
      </c>
      <c r="D958" s="1169">
        <v>396.28223482876024</v>
      </c>
    </row>
    <row r="959" spans="1:4" s="339" customFormat="1" ht="15.5" x14ac:dyDescent="0.35">
      <c r="A959" s="1158" t="s">
        <v>825</v>
      </c>
      <c r="B959" s="1159">
        <v>2033</v>
      </c>
      <c r="C959" s="1159" t="str">
        <f t="shared" si="24"/>
        <v>Mendocino_2033</v>
      </c>
      <c r="D959" s="1169">
        <v>390.66566917742784</v>
      </c>
    </row>
    <row r="960" spans="1:4" s="339" customFormat="1" ht="15.5" x14ac:dyDescent="0.35">
      <c r="A960" s="1158" t="s">
        <v>825</v>
      </c>
      <c r="B960" s="1159">
        <v>2034</v>
      </c>
      <c r="C960" s="1159" t="str">
        <f t="shared" si="24"/>
        <v>Mendocino_2034</v>
      </c>
      <c r="D960" s="1169">
        <v>385.52507256253864</v>
      </c>
    </row>
    <row r="961" spans="1:4" s="339" customFormat="1" ht="15.5" x14ac:dyDescent="0.35">
      <c r="A961" s="1158" t="s">
        <v>825</v>
      </c>
      <c r="B961" s="1159">
        <v>2035</v>
      </c>
      <c r="C961" s="1159" t="str">
        <f t="shared" si="24"/>
        <v>Mendocino_2035</v>
      </c>
      <c r="D961" s="1169">
        <v>380.87676859370322</v>
      </c>
    </row>
    <row r="962" spans="1:4" s="339" customFormat="1" ht="15.5" x14ac:dyDescent="0.35">
      <c r="A962" s="1158" t="s">
        <v>825</v>
      </c>
      <c r="B962" s="1159">
        <v>2036</v>
      </c>
      <c r="C962" s="1159" t="str">
        <f t="shared" si="24"/>
        <v>Mendocino_2036</v>
      </c>
      <c r="D962" s="1169">
        <v>376.71500637396093</v>
      </c>
    </row>
    <row r="963" spans="1:4" s="339" customFormat="1" ht="15.5" x14ac:dyDescent="0.35">
      <c r="A963" s="1158" t="s">
        <v>825</v>
      </c>
      <c r="B963" s="1159">
        <v>2037</v>
      </c>
      <c r="C963" s="1159" t="str">
        <f t="shared" si="24"/>
        <v>Mendocino_2037</v>
      </c>
      <c r="D963" s="1169">
        <v>373.0107011622282</v>
      </c>
    </row>
    <row r="964" spans="1:4" s="339" customFormat="1" ht="15.5" x14ac:dyDescent="0.35">
      <c r="A964" s="1158" t="s">
        <v>825</v>
      </c>
      <c r="B964" s="1159">
        <v>2038</v>
      </c>
      <c r="C964" s="1159" t="str">
        <f t="shared" si="24"/>
        <v>Mendocino_2038</v>
      </c>
      <c r="D964" s="1169">
        <v>369.75603639380017</v>
      </c>
    </row>
    <row r="965" spans="1:4" s="339" customFormat="1" ht="15.5" x14ac:dyDescent="0.35">
      <c r="A965" s="1158" t="s">
        <v>825</v>
      </c>
      <c r="B965" s="1159">
        <v>2039</v>
      </c>
      <c r="C965" s="1159" t="str">
        <f t="shared" si="24"/>
        <v>Mendocino_2039</v>
      </c>
      <c r="D965" s="1169">
        <v>366.87378234937137</v>
      </c>
    </row>
    <row r="966" spans="1:4" s="339" customFormat="1" ht="15.5" x14ac:dyDescent="0.35">
      <c r="A966" s="1158" t="s">
        <v>825</v>
      </c>
      <c r="B966" s="1159">
        <v>2040</v>
      </c>
      <c r="C966" s="1159" t="str">
        <f t="shared" si="24"/>
        <v>Mendocino_2040</v>
      </c>
      <c r="D966" s="1169">
        <v>364.36653576851853</v>
      </c>
    </row>
    <row r="967" spans="1:4" s="339" customFormat="1" ht="15.5" x14ac:dyDescent="0.35">
      <c r="A967" s="1158" t="s">
        <v>825</v>
      </c>
      <c r="B967" s="1159">
        <v>2041</v>
      </c>
      <c r="C967" s="1159" t="str">
        <f t="shared" si="24"/>
        <v>Mendocino_2041</v>
      </c>
      <c r="D967" s="1169">
        <v>362.20217195545456</v>
      </c>
    </row>
    <row r="968" spans="1:4" s="339" customFormat="1" ht="15.5" x14ac:dyDescent="0.35">
      <c r="A968" s="1158" t="s">
        <v>825</v>
      </c>
      <c r="B968" s="1159">
        <v>2042</v>
      </c>
      <c r="C968" s="1159" t="str">
        <f t="shared" si="24"/>
        <v>Mendocino_2042</v>
      </c>
      <c r="D968" s="1169">
        <v>360.29639782359857</v>
      </c>
    </row>
    <row r="969" spans="1:4" s="339" customFormat="1" ht="15.5" x14ac:dyDescent="0.35">
      <c r="A969" s="1158" t="s">
        <v>825</v>
      </c>
      <c r="B969" s="1159">
        <v>2043</v>
      </c>
      <c r="C969" s="1159" t="str">
        <f t="shared" si="24"/>
        <v>Mendocino_2043</v>
      </c>
      <c r="D969" s="1169">
        <v>358.6483425542126</v>
      </c>
    </row>
    <row r="970" spans="1:4" s="339" customFormat="1" ht="15.5" x14ac:dyDescent="0.35">
      <c r="A970" s="1158" t="s">
        <v>825</v>
      </c>
      <c r="B970" s="1159">
        <v>2044</v>
      </c>
      <c r="C970" s="1159" t="str">
        <f t="shared" si="24"/>
        <v>Mendocino_2044</v>
      </c>
      <c r="D970" s="1169">
        <v>357.21456066016799</v>
      </c>
    </row>
    <row r="971" spans="1:4" s="339" customFormat="1" ht="15.5" x14ac:dyDescent="0.35">
      <c r="A971" s="1158" t="s">
        <v>825</v>
      </c>
      <c r="B971" s="1159">
        <v>2045</v>
      </c>
      <c r="C971" s="1159" t="str">
        <f t="shared" si="24"/>
        <v>Mendocino_2045</v>
      </c>
      <c r="D971" s="1169">
        <v>355.93671908842572</v>
      </c>
    </row>
    <row r="972" spans="1:4" s="339" customFormat="1" ht="15.5" x14ac:dyDescent="0.35">
      <c r="A972" s="1158" t="s">
        <v>825</v>
      </c>
      <c r="B972" s="1159">
        <v>2046</v>
      </c>
      <c r="C972" s="1159" t="str">
        <f t="shared" si="24"/>
        <v>Mendocino_2046</v>
      </c>
      <c r="D972" s="1169">
        <v>354.81077753592126</v>
      </c>
    </row>
    <row r="973" spans="1:4" s="339" customFormat="1" ht="15.5" x14ac:dyDescent="0.35">
      <c r="A973" s="1158" t="s">
        <v>825</v>
      </c>
      <c r="B973" s="1159">
        <v>2047</v>
      </c>
      <c r="C973" s="1159" t="str">
        <f t="shared" si="24"/>
        <v>Mendocino_2047</v>
      </c>
      <c r="D973" s="1169">
        <v>353.84874890024651</v>
      </c>
    </row>
    <row r="974" spans="1:4" s="339" customFormat="1" ht="15.5" x14ac:dyDescent="0.35">
      <c r="A974" s="1158" t="s">
        <v>825</v>
      </c>
      <c r="B974" s="1159">
        <v>2048</v>
      </c>
      <c r="C974" s="1159" t="str">
        <f t="shared" si="24"/>
        <v>Mendocino_2048</v>
      </c>
      <c r="D974" s="1169">
        <v>353.01378146416863</v>
      </c>
    </row>
    <row r="975" spans="1:4" s="339" customFormat="1" ht="15.5" x14ac:dyDescent="0.35">
      <c r="A975" s="1158" t="s">
        <v>825</v>
      </c>
      <c r="B975" s="1159">
        <v>2049</v>
      </c>
      <c r="C975" s="1159" t="str">
        <f t="shared" si="24"/>
        <v>Mendocino_2049</v>
      </c>
      <c r="D975" s="1169">
        <v>352.28496242711168</v>
      </c>
    </row>
    <row r="976" spans="1:4" s="339" customFormat="1" ht="15.5" x14ac:dyDescent="0.35">
      <c r="A976" s="1158" t="s">
        <v>825</v>
      </c>
      <c r="B976" s="1159">
        <v>2050</v>
      </c>
      <c r="C976" s="1159" t="str">
        <f t="shared" si="24"/>
        <v>Mendocino_2050</v>
      </c>
      <c r="D976" s="1169">
        <v>351.66615935616665</v>
      </c>
    </row>
    <row r="977" spans="1:4" s="339" customFormat="1" ht="15.5" x14ac:dyDescent="0.35">
      <c r="A977" s="1155" t="s">
        <v>826</v>
      </c>
      <c r="B977" s="1156">
        <v>2015</v>
      </c>
      <c r="C977" s="1157" t="s">
        <v>905</v>
      </c>
      <c r="D977" s="1168">
        <v>530.65621624639755</v>
      </c>
    </row>
    <row r="978" spans="1:4" s="339" customFormat="1" ht="15.5" x14ac:dyDescent="0.35">
      <c r="A978" s="1155" t="s">
        <v>826</v>
      </c>
      <c r="B978" s="1156">
        <v>2016</v>
      </c>
      <c r="C978" s="1157" t="s">
        <v>906</v>
      </c>
      <c r="D978" s="1168">
        <v>518.28079847289473</v>
      </c>
    </row>
    <row r="979" spans="1:4" s="339" customFormat="1" ht="15.5" x14ac:dyDescent="0.35">
      <c r="A979" s="1158" t="s">
        <v>826</v>
      </c>
      <c r="B979" s="1159">
        <v>2017</v>
      </c>
      <c r="C979" s="1159" t="str">
        <f t="shared" ref="C979:C1012" si="25">CONCATENATE(A979,"_",B979)</f>
        <v>Merced_2017</v>
      </c>
      <c r="D979" s="1169">
        <v>513.85048280608669</v>
      </c>
    </row>
    <row r="980" spans="1:4" s="339" customFormat="1" ht="15.5" x14ac:dyDescent="0.35">
      <c r="A980" s="1158" t="s">
        <v>826</v>
      </c>
      <c r="B980" s="1159">
        <v>2018</v>
      </c>
      <c r="C980" s="1159" t="str">
        <f t="shared" si="25"/>
        <v>Merced_2018</v>
      </c>
      <c r="D980" s="1169">
        <v>506.5158819506791</v>
      </c>
    </row>
    <row r="981" spans="1:4" s="339" customFormat="1" ht="15.5" x14ac:dyDescent="0.35">
      <c r="A981" s="1158" t="s">
        <v>826</v>
      </c>
      <c r="B981" s="1159">
        <v>2019</v>
      </c>
      <c r="C981" s="1159" t="str">
        <f t="shared" si="25"/>
        <v>Merced_2019</v>
      </c>
      <c r="D981" s="1169">
        <v>498.76736939498278</v>
      </c>
    </row>
    <row r="982" spans="1:4" s="339" customFormat="1" ht="15.5" x14ac:dyDescent="0.35">
      <c r="A982" s="1158" t="s">
        <v>826</v>
      </c>
      <c r="B982" s="1159">
        <v>2020</v>
      </c>
      <c r="C982" s="1159" t="str">
        <f t="shared" si="25"/>
        <v>Merced_2020</v>
      </c>
      <c r="D982" s="1169">
        <v>494.36920137988704</v>
      </c>
    </row>
    <row r="983" spans="1:4" s="339" customFormat="1" ht="15.5" x14ac:dyDescent="0.35">
      <c r="A983" s="1158" t="s">
        <v>826</v>
      </c>
      <c r="B983" s="1159">
        <v>2021</v>
      </c>
      <c r="C983" s="1159" t="str">
        <f t="shared" si="25"/>
        <v>Merced_2021</v>
      </c>
      <c r="D983" s="1169">
        <v>484.13839654416455</v>
      </c>
    </row>
    <row r="984" spans="1:4" s="339" customFormat="1" ht="15.5" x14ac:dyDescent="0.35">
      <c r="A984" s="1158" t="s">
        <v>826</v>
      </c>
      <c r="B984" s="1159">
        <v>2022</v>
      </c>
      <c r="C984" s="1159" t="str">
        <f t="shared" si="25"/>
        <v>Merced_2022</v>
      </c>
      <c r="D984" s="1169">
        <v>474.17124417544755</v>
      </c>
    </row>
    <row r="985" spans="1:4" s="339" customFormat="1" ht="15.5" x14ac:dyDescent="0.35">
      <c r="A985" s="1158" t="s">
        <v>826</v>
      </c>
      <c r="B985" s="1159">
        <v>2023</v>
      </c>
      <c r="C985" s="1159" t="str">
        <f t="shared" si="25"/>
        <v>Merced_2023</v>
      </c>
      <c r="D985" s="1169">
        <v>464.56743682298867</v>
      </c>
    </row>
    <row r="986" spans="1:4" s="339" customFormat="1" ht="15.5" x14ac:dyDescent="0.35">
      <c r="A986" s="1158" t="s">
        <v>826</v>
      </c>
      <c r="B986" s="1159">
        <v>2024</v>
      </c>
      <c r="C986" s="1159" t="str">
        <f t="shared" si="25"/>
        <v>Merced_2024</v>
      </c>
      <c r="D986" s="1169">
        <v>451.29164151613173</v>
      </c>
    </row>
    <row r="987" spans="1:4" s="339" customFormat="1" ht="15.5" x14ac:dyDescent="0.35">
      <c r="A987" s="1158" t="s">
        <v>826</v>
      </c>
      <c r="B987" s="1159">
        <v>2025</v>
      </c>
      <c r="C987" s="1159" t="str">
        <f t="shared" si="25"/>
        <v>Merced_2025</v>
      </c>
      <c r="D987" s="1169">
        <v>441.02428581006393</v>
      </c>
    </row>
    <row r="988" spans="1:4" s="339" customFormat="1" ht="15.5" x14ac:dyDescent="0.35">
      <c r="A988" s="1158" t="s">
        <v>826</v>
      </c>
      <c r="B988" s="1159">
        <v>2026</v>
      </c>
      <c r="C988" s="1159" t="str">
        <f t="shared" si="25"/>
        <v>Merced_2026</v>
      </c>
      <c r="D988" s="1169">
        <v>430.91076460879196</v>
      </c>
    </row>
    <row r="989" spans="1:4" s="339" customFormat="1" ht="15.5" x14ac:dyDescent="0.35">
      <c r="A989" s="1158" t="s">
        <v>826</v>
      </c>
      <c r="B989" s="1159">
        <v>2027</v>
      </c>
      <c r="C989" s="1159" t="str">
        <f t="shared" si="25"/>
        <v>Merced_2027</v>
      </c>
      <c r="D989" s="1169">
        <v>418.96262593018884</v>
      </c>
    </row>
    <row r="990" spans="1:4" s="339" customFormat="1" ht="15.5" x14ac:dyDescent="0.35">
      <c r="A990" s="1158" t="s">
        <v>826</v>
      </c>
      <c r="B990" s="1159">
        <v>2028</v>
      </c>
      <c r="C990" s="1159" t="str">
        <f t="shared" si="25"/>
        <v>Merced_2028</v>
      </c>
      <c r="D990" s="1169">
        <v>409.84335718457805</v>
      </c>
    </row>
    <row r="991" spans="1:4" s="339" customFormat="1" ht="15.5" x14ac:dyDescent="0.35">
      <c r="A991" s="1158" t="s">
        <v>826</v>
      </c>
      <c r="B991" s="1159">
        <v>2029</v>
      </c>
      <c r="C991" s="1159" t="str">
        <f t="shared" si="25"/>
        <v>Merced_2029</v>
      </c>
      <c r="D991" s="1169">
        <v>401.3454779152612</v>
      </c>
    </row>
    <row r="992" spans="1:4" s="339" customFormat="1" ht="15.5" x14ac:dyDescent="0.35">
      <c r="A992" s="1158" t="s">
        <v>826</v>
      </c>
      <c r="B992" s="1159">
        <v>2030</v>
      </c>
      <c r="C992" s="1159" t="str">
        <f t="shared" si="25"/>
        <v>Merced_2030</v>
      </c>
      <c r="D992" s="1169">
        <v>393.74041632269916</v>
      </c>
    </row>
    <row r="993" spans="1:4" s="339" customFormat="1" ht="15.5" x14ac:dyDescent="0.35">
      <c r="A993" s="1158" t="s">
        <v>826</v>
      </c>
      <c r="B993" s="1159">
        <v>2031</v>
      </c>
      <c r="C993" s="1159" t="str">
        <f t="shared" si="25"/>
        <v>Merced_2031</v>
      </c>
      <c r="D993" s="1169">
        <v>386.55076650440469</v>
      </c>
    </row>
    <row r="994" spans="1:4" s="339" customFormat="1" ht="15.5" x14ac:dyDescent="0.35">
      <c r="A994" s="1158" t="s">
        <v>826</v>
      </c>
      <c r="B994" s="1159">
        <v>2032</v>
      </c>
      <c r="C994" s="1159" t="str">
        <f t="shared" si="25"/>
        <v>Merced_2032</v>
      </c>
      <c r="D994" s="1169">
        <v>377.56896530523301</v>
      </c>
    </row>
    <row r="995" spans="1:4" s="339" customFormat="1" ht="15.5" x14ac:dyDescent="0.35">
      <c r="A995" s="1158" t="s">
        <v>826</v>
      </c>
      <c r="B995" s="1159">
        <v>2033</v>
      </c>
      <c r="C995" s="1159" t="str">
        <f t="shared" si="25"/>
        <v>Merced_2033</v>
      </c>
      <c r="D995" s="1169">
        <v>371.63699193760874</v>
      </c>
    </row>
    <row r="996" spans="1:4" s="339" customFormat="1" ht="15.5" x14ac:dyDescent="0.35">
      <c r="A996" s="1158" t="s">
        <v>826</v>
      </c>
      <c r="B996" s="1159">
        <v>2034</v>
      </c>
      <c r="C996" s="1159" t="str">
        <f t="shared" si="25"/>
        <v>Merced_2034</v>
      </c>
      <c r="D996" s="1169">
        <v>366.28775049168672</v>
      </c>
    </row>
    <row r="997" spans="1:4" s="339" customFormat="1" ht="15.5" x14ac:dyDescent="0.35">
      <c r="A997" s="1158" t="s">
        <v>826</v>
      </c>
      <c r="B997" s="1159">
        <v>2035</v>
      </c>
      <c r="C997" s="1159" t="str">
        <f t="shared" si="25"/>
        <v>Merced_2035</v>
      </c>
      <c r="D997" s="1169">
        <v>361.50017347397949</v>
      </c>
    </row>
    <row r="998" spans="1:4" s="339" customFormat="1" ht="15.5" x14ac:dyDescent="0.35">
      <c r="A998" s="1158" t="s">
        <v>826</v>
      </c>
      <c r="B998" s="1159">
        <v>2036</v>
      </c>
      <c r="C998" s="1159" t="str">
        <f t="shared" si="25"/>
        <v>Merced_2036</v>
      </c>
      <c r="D998" s="1169">
        <v>357.26400816570367</v>
      </c>
    </row>
    <row r="999" spans="1:4" s="339" customFormat="1" ht="15.5" x14ac:dyDescent="0.35">
      <c r="A999" s="1158" t="s">
        <v>826</v>
      </c>
      <c r="B999" s="1159">
        <v>2037</v>
      </c>
      <c r="C999" s="1159" t="str">
        <f t="shared" si="25"/>
        <v>Merced_2037</v>
      </c>
      <c r="D999" s="1169">
        <v>353.53751783952572</v>
      </c>
    </row>
    <row r="1000" spans="1:4" s="339" customFormat="1" ht="15.5" x14ac:dyDescent="0.35">
      <c r="A1000" s="1158" t="s">
        <v>826</v>
      </c>
      <c r="B1000" s="1159">
        <v>2038</v>
      </c>
      <c r="C1000" s="1159" t="str">
        <f t="shared" si="25"/>
        <v>Merced_2038</v>
      </c>
      <c r="D1000" s="1169">
        <v>350.97449549958952</v>
      </c>
    </row>
    <row r="1001" spans="1:4" s="339" customFormat="1" ht="15.5" x14ac:dyDescent="0.35">
      <c r="A1001" s="1158" t="s">
        <v>826</v>
      </c>
      <c r="B1001" s="1159">
        <v>2039</v>
      </c>
      <c r="C1001" s="1159" t="str">
        <f t="shared" si="25"/>
        <v>Merced_2039</v>
      </c>
      <c r="D1001" s="1169">
        <v>348.1727719752738</v>
      </c>
    </row>
    <row r="1002" spans="1:4" s="339" customFormat="1" ht="15.5" x14ac:dyDescent="0.35">
      <c r="A1002" s="1158" t="s">
        <v>826</v>
      </c>
      <c r="B1002" s="1159">
        <v>2040</v>
      </c>
      <c r="C1002" s="1159" t="str">
        <f t="shared" si="25"/>
        <v>Merced_2040</v>
      </c>
      <c r="D1002" s="1169">
        <v>345.78761748103528</v>
      </c>
    </row>
    <row r="1003" spans="1:4" s="339" customFormat="1" ht="15.5" x14ac:dyDescent="0.35">
      <c r="A1003" s="1158" t="s">
        <v>826</v>
      </c>
      <c r="B1003" s="1159">
        <v>2041</v>
      </c>
      <c r="C1003" s="1159" t="str">
        <f t="shared" si="25"/>
        <v>Merced_2041</v>
      </c>
      <c r="D1003" s="1169">
        <v>343.78877886592414</v>
      </c>
    </row>
    <row r="1004" spans="1:4" s="339" customFormat="1" ht="15.5" x14ac:dyDescent="0.35">
      <c r="A1004" s="1158" t="s">
        <v>826</v>
      </c>
      <c r="B1004" s="1159">
        <v>2042</v>
      </c>
      <c r="C1004" s="1159" t="str">
        <f t="shared" si="25"/>
        <v>Merced_2042</v>
      </c>
      <c r="D1004" s="1169">
        <v>342.10006655379772</v>
      </c>
    </row>
    <row r="1005" spans="1:4" s="339" customFormat="1" ht="15.5" x14ac:dyDescent="0.35">
      <c r="A1005" s="1158" t="s">
        <v>826</v>
      </c>
      <c r="B1005" s="1159">
        <v>2043</v>
      </c>
      <c r="C1005" s="1159" t="str">
        <f t="shared" si="25"/>
        <v>Merced_2043</v>
      </c>
      <c r="D1005" s="1169">
        <v>340.69808131306064</v>
      </c>
    </row>
    <row r="1006" spans="1:4" s="339" customFormat="1" ht="15.5" x14ac:dyDescent="0.35">
      <c r="A1006" s="1158" t="s">
        <v>826</v>
      </c>
      <c r="B1006" s="1159">
        <v>2044</v>
      </c>
      <c r="C1006" s="1159" t="str">
        <f t="shared" si="25"/>
        <v>Merced_2044</v>
      </c>
      <c r="D1006" s="1169">
        <v>339.51900548997776</v>
      </c>
    </row>
    <row r="1007" spans="1:4" s="339" customFormat="1" ht="15.5" x14ac:dyDescent="0.35">
      <c r="A1007" s="1158" t="s">
        <v>826</v>
      </c>
      <c r="B1007" s="1159">
        <v>2045</v>
      </c>
      <c r="C1007" s="1159" t="str">
        <f t="shared" si="25"/>
        <v>Merced_2045</v>
      </c>
      <c r="D1007" s="1169">
        <v>338.51186907082757</v>
      </c>
    </row>
    <row r="1008" spans="1:4" s="339" customFormat="1" ht="15.5" x14ac:dyDescent="0.35">
      <c r="A1008" s="1158" t="s">
        <v>826</v>
      </c>
      <c r="B1008" s="1159">
        <v>2046</v>
      </c>
      <c r="C1008" s="1159" t="str">
        <f t="shared" si="25"/>
        <v>Merced_2046</v>
      </c>
      <c r="D1008" s="1169">
        <v>337.65227354508585</v>
      </c>
    </row>
    <row r="1009" spans="1:4" s="339" customFormat="1" ht="15.5" x14ac:dyDescent="0.35">
      <c r="A1009" s="1158" t="s">
        <v>826</v>
      </c>
      <c r="B1009" s="1159">
        <v>2047</v>
      </c>
      <c r="C1009" s="1159" t="str">
        <f t="shared" si="25"/>
        <v>Merced_2047</v>
      </c>
      <c r="D1009" s="1169">
        <v>336.93701205794696</v>
      </c>
    </row>
    <row r="1010" spans="1:4" s="339" customFormat="1" ht="15.5" x14ac:dyDescent="0.35">
      <c r="A1010" s="1158" t="s">
        <v>826</v>
      </c>
      <c r="B1010" s="1159">
        <v>2048</v>
      </c>
      <c r="C1010" s="1159" t="str">
        <f t="shared" si="25"/>
        <v>Merced_2048</v>
      </c>
      <c r="D1010" s="1169">
        <v>336.33702313443177</v>
      </c>
    </row>
    <row r="1011" spans="1:4" s="339" customFormat="1" ht="15.5" x14ac:dyDescent="0.35">
      <c r="A1011" s="1158" t="s">
        <v>826</v>
      </c>
      <c r="B1011" s="1159">
        <v>2049</v>
      </c>
      <c r="C1011" s="1159" t="str">
        <f t="shared" si="25"/>
        <v>Merced_2049</v>
      </c>
      <c r="D1011" s="1169">
        <v>335.83840280913773</v>
      </c>
    </row>
    <row r="1012" spans="1:4" s="339" customFormat="1" ht="15.5" x14ac:dyDescent="0.35">
      <c r="A1012" s="1158" t="s">
        <v>826</v>
      </c>
      <c r="B1012" s="1159">
        <v>2050</v>
      </c>
      <c r="C1012" s="1159" t="str">
        <f t="shared" si="25"/>
        <v>Merced_2050</v>
      </c>
      <c r="D1012" s="1169">
        <v>335.42876086837344</v>
      </c>
    </row>
    <row r="1013" spans="1:4" s="339" customFormat="1" ht="15.5" x14ac:dyDescent="0.35">
      <c r="A1013" s="1155" t="s">
        <v>827</v>
      </c>
      <c r="B1013" s="1156">
        <v>2015</v>
      </c>
      <c r="C1013" s="1157" t="s">
        <v>907</v>
      </c>
      <c r="D1013" s="1168">
        <v>603.12179319172412</v>
      </c>
    </row>
    <row r="1014" spans="1:4" s="339" customFormat="1" ht="15.5" x14ac:dyDescent="0.35">
      <c r="A1014" s="1155" t="s">
        <v>827</v>
      </c>
      <c r="B1014" s="1156">
        <v>2016</v>
      </c>
      <c r="C1014" s="1157" t="s">
        <v>908</v>
      </c>
      <c r="D1014" s="1168">
        <v>589.4917373539929</v>
      </c>
    </row>
    <row r="1015" spans="1:4" s="339" customFormat="1" ht="15.5" x14ac:dyDescent="0.35">
      <c r="A1015" s="1158" t="s">
        <v>827</v>
      </c>
      <c r="B1015" s="1159">
        <v>2017</v>
      </c>
      <c r="C1015" s="1159" t="str">
        <f t="shared" ref="C1015:C1078" si="26">CONCATENATE(A1015,"_",B1015)</f>
        <v>Modoc_2017</v>
      </c>
      <c r="D1015" s="1169">
        <v>585.34408082155448</v>
      </c>
    </row>
    <row r="1016" spans="1:4" s="339" customFormat="1" ht="15.5" x14ac:dyDescent="0.35">
      <c r="A1016" s="1158" t="s">
        <v>827</v>
      </c>
      <c r="B1016" s="1159">
        <v>2018</v>
      </c>
      <c r="C1016" s="1159" t="str">
        <f t="shared" si="26"/>
        <v>Modoc_2018</v>
      </c>
      <c r="D1016" s="1169">
        <v>578.1428918075934</v>
      </c>
    </row>
    <row r="1017" spans="1:4" s="339" customFormat="1" ht="15.5" x14ac:dyDescent="0.35">
      <c r="A1017" s="1158" t="s">
        <v>827</v>
      </c>
      <c r="B1017" s="1159">
        <v>2019</v>
      </c>
      <c r="C1017" s="1159" t="str">
        <f t="shared" si="26"/>
        <v>Modoc_2019</v>
      </c>
      <c r="D1017" s="1169">
        <v>568.96307825122028</v>
      </c>
    </row>
    <row r="1018" spans="1:4" s="339" customFormat="1" ht="15.5" x14ac:dyDescent="0.35">
      <c r="A1018" s="1158" t="s">
        <v>827</v>
      </c>
      <c r="B1018" s="1159">
        <v>2020</v>
      </c>
      <c r="C1018" s="1159" t="str">
        <f t="shared" si="26"/>
        <v>Modoc_2020</v>
      </c>
      <c r="D1018" s="1169">
        <v>564.11769566291935</v>
      </c>
    </row>
    <row r="1019" spans="1:4" s="339" customFormat="1" ht="15.5" x14ac:dyDescent="0.35">
      <c r="A1019" s="1158" t="s">
        <v>827</v>
      </c>
      <c r="B1019" s="1159">
        <v>2021</v>
      </c>
      <c r="C1019" s="1159" t="str">
        <f t="shared" si="26"/>
        <v>Modoc_2021</v>
      </c>
      <c r="D1019" s="1169">
        <v>553.05343074016798</v>
      </c>
    </row>
    <row r="1020" spans="1:4" s="339" customFormat="1" ht="15.5" x14ac:dyDescent="0.35">
      <c r="A1020" s="1158" t="s">
        <v>827</v>
      </c>
      <c r="B1020" s="1159">
        <v>2022</v>
      </c>
      <c r="C1020" s="1159" t="str">
        <f t="shared" si="26"/>
        <v>Modoc_2022</v>
      </c>
      <c r="D1020" s="1169">
        <v>542.78542111773652</v>
      </c>
    </row>
    <row r="1021" spans="1:4" s="339" customFormat="1" ht="15.5" x14ac:dyDescent="0.35">
      <c r="A1021" s="1158" t="s">
        <v>827</v>
      </c>
      <c r="B1021" s="1159">
        <v>2023</v>
      </c>
      <c r="C1021" s="1159" t="str">
        <f t="shared" si="26"/>
        <v>Modoc_2023</v>
      </c>
      <c r="D1021" s="1169">
        <v>532.06805026090308</v>
      </c>
    </row>
    <row r="1022" spans="1:4" s="339" customFormat="1" ht="15.5" x14ac:dyDescent="0.35">
      <c r="A1022" s="1158" t="s">
        <v>827</v>
      </c>
      <c r="B1022" s="1159">
        <v>2024</v>
      </c>
      <c r="C1022" s="1159" t="str">
        <f t="shared" si="26"/>
        <v>Modoc_2024</v>
      </c>
      <c r="D1022" s="1169">
        <v>520.87193934297397</v>
      </c>
    </row>
    <row r="1023" spans="1:4" s="339" customFormat="1" ht="15.5" x14ac:dyDescent="0.35">
      <c r="A1023" s="1158" t="s">
        <v>827</v>
      </c>
      <c r="B1023" s="1159">
        <v>2025</v>
      </c>
      <c r="C1023" s="1159" t="str">
        <f t="shared" si="26"/>
        <v>Modoc_2025</v>
      </c>
      <c r="D1023" s="1169">
        <v>509.51573701354425</v>
      </c>
    </row>
    <row r="1024" spans="1:4" s="339" customFormat="1" ht="15.5" x14ac:dyDescent="0.35">
      <c r="A1024" s="1158" t="s">
        <v>827</v>
      </c>
      <c r="B1024" s="1159">
        <v>2026</v>
      </c>
      <c r="C1024" s="1159" t="str">
        <f t="shared" si="26"/>
        <v>Modoc_2026</v>
      </c>
      <c r="D1024" s="1169">
        <v>498.38337030763103</v>
      </c>
    </row>
    <row r="1025" spans="1:4" s="339" customFormat="1" ht="15.5" x14ac:dyDescent="0.35">
      <c r="A1025" s="1158" t="s">
        <v>827</v>
      </c>
      <c r="B1025" s="1159">
        <v>2027</v>
      </c>
      <c r="C1025" s="1159" t="str">
        <f t="shared" si="26"/>
        <v>Modoc_2027</v>
      </c>
      <c r="D1025" s="1169">
        <v>487.85610443309986</v>
      </c>
    </row>
    <row r="1026" spans="1:4" s="339" customFormat="1" ht="15.5" x14ac:dyDescent="0.35">
      <c r="A1026" s="1158" t="s">
        <v>827</v>
      </c>
      <c r="B1026" s="1159">
        <v>2028</v>
      </c>
      <c r="C1026" s="1159" t="str">
        <f t="shared" si="26"/>
        <v>Modoc_2028</v>
      </c>
      <c r="D1026" s="1169">
        <v>478.07700014471038</v>
      </c>
    </row>
    <row r="1027" spans="1:4" s="339" customFormat="1" ht="15.5" x14ac:dyDescent="0.35">
      <c r="A1027" s="1158" t="s">
        <v>827</v>
      </c>
      <c r="B1027" s="1159">
        <v>2029</v>
      </c>
      <c r="C1027" s="1159" t="str">
        <f t="shared" si="26"/>
        <v>Modoc_2029</v>
      </c>
      <c r="D1027" s="1169">
        <v>468.96618586817067</v>
      </c>
    </row>
    <row r="1028" spans="1:4" s="339" customFormat="1" ht="15.5" x14ac:dyDescent="0.35">
      <c r="A1028" s="1158" t="s">
        <v>827</v>
      </c>
      <c r="B1028" s="1159">
        <v>2030</v>
      </c>
      <c r="C1028" s="1159" t="str">
        <f t="shared" si="26"/>
        <v>Modoc_2030</v>
      </c>
      <c r="D1028" s="1169">
        <v>460.60331727788616</v>
      </c>
    </row>
    <row r="1029" spans="1:4" s="339" customFormat="1" ht="15.5" x14ac:dyDescent="0.35">
      <c r="A1029" s="1158" t="s">
        <v>827</v>
      </c>
      <c r="B1029" s="1159">
        <v>2031</v>
      </c>
      <c r="C1029" s="1159" t="str">
        <f t="shared" si="26"/>
        <v>Modoc_2031</v>
      </c>
      <c r="D1029" s="1169">
        <v>452.94754779869595</v>
      </c>
    </row>
    <row r="1030" spans="1:4" s="339" customFormat="1" ht="15.5" x14ac:dyDescent="0.35">
      <c r="A1030" s="1158" t="s">
        <v>827</v>
      </c>
      <c r="B1030" s="1159">
        <v>2032</v>
      </c>
      <c r="C1030" s="1159" t="str">
        <f t="shared" si="26"/>
        <v>Modoc_2032</v>
      </c>
      <c r="D1030" s="1169">
        <v>445.96680761026801</v>
      </c>
    </row>
    <row r="1031" spans="1:4" s="339" customFormat="1" ht="15.5" x14ac:dyDescent="0.35">
      <c r="A1031" s="1158" t="s">
        <v>827</v>
      </c>
      <c r="B1031" s="1159">
        <v>2033</v>
      </c>
      <c r="C1031" s="1159" t="str">
        <f t="shared" si="26"/>
        <v>Modoc_2033</v>
      </c>
      <c r="D1031" s="1169">
        <v>439.59721528025739</v>
      </c>
    </row>
    <row r="1032" spans="1:4" s="339" customFormat="1" ht="15.5" x14ac:dyDescent="0.35">
      <c r="A1032" s="1158" t="s">
        <v>827</v>
      </c>
      <c r="B1032" s="1159">
        <v>2034</v>
      </c>
      <c r="C1032" s="1159" t="str">
        <f t="shared" si="26"/>
        <v>Modoc_2034</v>
      </c>
      <c r="D1032" s="1169">
        <v>433.78715429175998</v>
      </c>
    </row>
    <row r="1033" spans="1:4" s="339" customFormat="1" ht="15.5" x14ac:dyDescent="0.35">
      <c r="A1033" s="1158" t="s">
        <v>827</v>
      </c>
      <c r="B1033" s="1159">
        <v>2035</v>
      </c>
      <c r="C1033" s="1159" t="str">
        <f t="shared" si="26"/>
        <v>Modoc_2035</v>
      </c>
      <c r="D1033" s="1169">
        <v>428.59145335948057</v>
      </c>
    </row>
    <row r="1034" spans="1:4" s="339" customFormat="1" ht="15.5" x14ac:dyDescent="0.35">
      <c r="A1034" s="1158" t="s">
        <v>827</v>
      </c>
      <c r="B1034" s="1159">
        <v>2036</v>
      </c>
      <c r="C1034" s="1159" t="str">
        <f t="shared" si="26"/>
        <v>Modoc_2036</v>
      </c>
      <c r="D1034" s="1169">
        <v>423.99637976313687</v>
      </c>
    </row>
    <row r="1035" spans="1:4" s="339" customFormat="1" ht="15.5" x14ac:dyDescent="0.35">
      <c r="A1035" s="1158" t="s">
        <v>827</v>
      </c>
      <c r="B1035" s="1159">
        <v>2037</v>
      </c>
      <c r="C1035" s="1159" t="str">
        <f t="shared" si="26"/>
        <v>Modoc_2037</v>
      </c>
      <c r="D1035" s="1169">
        <v>419.92461122791497</v>
      </c>
    </row>
    <row r="1036" spans="1:4" s="339" customFormat="1" ht="15.5" x14ac:dyDescent="0.35">
      <c r="A1036" s="1158" t="s">
        <v>827</v>
      </c>
      <c r="B1036" s="1159">
        <v>2038</v>
      </c>
      <c r="C1036" s="1159" t="str">
        <f t="shared" si="26"/>
        <v>Modoc_2038</v>
      </c>
      <c r="D1036" s="1169">
        <v>416.42988722856393</v>
      </c>
    </row>
    <row r="1037" spans="1:4" s="339" customFormat="1" ht="15.5" x14ac:dyDescent="0.35">
      <c r="A1037" s="1158" t="s">
        <v>827</v>
      </c>
      <c r="B1037" s="1159">
        <v>2039</v>
      </c>
      <c r="C1037" s="1159" t="str">
        <f t="shared" si="26"/>
        <v>Modoc_2039</v>
      </c>
      <c r="D1037" s="1169">
        <v>413.35650513137398</v>
      </c>
    </row>
    <row r="1038" spans="1:4" s="339" customFormat="1" ht="15.5" x14ac:dyDescent="0.35">
      <c r="A1038" s="1158" t="s">
        <v>827</v>
      </c>
      <c r="B1038" s="1159">
        <v>2040</v>
      </c>
      <c r="C1038" s="1159" t="str">
        <f t="shared" si="26"/>
        <v>Modoc_2040</v>
      </c>
      <c r="D1038" s="1169">
        <v>410.73850964149705</v>
      </c>
    </row>
    <row r="1039" spans="1:4" s="339" customFormat="1" ht="15.5" x14ac:dyDescent="0.35">
      <c r="A1039" s="1158" t="s">
        <v>827</v>
      </c>
      <c r="B1039" s="1159">
        <v>2041</v>
      </c>
      <c r="C1039" s="1159" t="str">
        <f t="shared" si="26"/>
        <v>Modoc_2041</v>
      </c>
      <c r="D1039" s="1169">
        <v>408.5362637635414</v>
      </c>
    </row>
    <row r="1040" spans="1:4" s="339" customFormat="1" ht="15.5" x14ac:dyDescent="0.35">
      <c r="A1040" s="1158" t="s">
        <v>827</v>
      </c>
      <c r="B1040" s="1159">
        <v>2042</v>
      </c>
      <c r="C1040" s="1159" t="str">
        <f t="shared" si="26"/>
        <v>Modoc_2042</v>
      </c>
      <c r="D1040" s="1169">
        <v>406.62240651381882</v>
      </c>
    </row>
    <row r="1041" spans="1:4" s="339" customFormat="1" ht="15.5" x14ac:dyDescent="0.35">
      <c r="A1041" s="1158" t="s">
        <v>827</v>
      </c>
      <c r="B1041" s="1159">
        <v>2043</v>
      </c>
      <c r="C1041" s="1159" t="str">
        <f t="shared" si="26"/>
        <v>Modoc_2043</v>
      </c>
      <c r="D1041" s="1169">
        <v>404.98628728176601</v>
      </c>
    </row>
    <row r="1042" spans="1:4" s="339" customFormat="1" ht="15.5" x14ac:dyDescent="0.35">
      <c r="A1042" s="1158" t="s">
        <v>827</v>
      </c>
      <c r="B1042" s="1159">
        <v>2044</v>
      </c>
      <c r="C1042" s="1159" t="str">
        <f t="shared" si="26"/>
        <v>Modoc_2044</v>
      </c>
      <c r="D1042" s="1169">
        <v>403.61321875134968</v>
      </c>
    </row>
    <row r="1043" spans="1:4" s="339" customFormat="1" ht="15.5" x14ac:dyDescent="0.35">
      <c r="A1043" s="1158" t="s">
        <v>827</v>
      </c>
      <c r="B1043" s="1159">
        <v>2045</v>
      </c>
      <c r="C1043" s="1159" t="str">
        <f t="shared" si="26"/>
        <v>Modoc_2045</v>
      </c>
      <c r="D1043" s="1169">
        <v>402.39151525824974</v>
      </c>
    </row>
    <row r="1044" spans="1:4" s="339" customFormat="1" ht="15.5" x14ac:dyDescent="0.35">
      <c r="A1044" s="1158" t="s">
        <v>827</v>
      </c>
      <c r="B1044" s="1159">
        <v>2046</v>
      </c>
      <c r="C1044" s="1159" t="str">
        <f t="shared" si="26"/>
        <v>Modoc_2046</v>
      </c>
      <c r="D1044" s="1169">
        <v>401.3253172488009</v>
      </c>
    </row>
    <row r="1045" spans="1:4" s="339" customFormat="1" ht="15.5" x14ac:dyDescent="0.35">
      <c r="A1045" s="1158" t="s">
        <v>827</v>
      </c>
      <c r="B1045" s="1159">
        <v>2047</v>
      </c>
      <c r="C1045" s="1159" t="str">
        <f t="shared" si="26"/>
        <v>Modoc_2047</v>
      </c>
      <c r="D1045" s="1169">
        <v>400.42234301912475</v>
      </c>
    </row>
    <row r="1046" spans="1:4" s="339" customFormat="1" ht="15.5" x14ac:dyDescent="0.35">
      <c r="A1046" s="1158" t="s">
        <v>827</v>
      </c>
      <c r="B1046" s="1159">
        <v>2048</v>
      </c>
      <c r="C1046" s="1159" t="str">
        <f t="shared" si="26"/>
        <v>Modoc_2048</v>
      </c>
      <c r="D1046" s="1169">
        <v>399.64789593625449</v>
      </c>
    </row>
    <row r="1047" spans="1:4" s="339" customFormat="1" ht="15.5" x14ac:dyDescent="0.35">
      <c r="A1047" s="1158" t="s">
        <v>827</v>
      </c>
      <c r="B1047" s="1159">
        <v>2049</v>
      </c>
      <c r="C1047" s="1159" t="str">
        <f t="shared" si="26"/>
        <v>Modoc_2049</v>
      </c>
      <c r="D1047" s="1169">
        <v>398.97125749092191</v>
      </c>
    </row>
    <row r="1048" spans="1:4" s="339" customFormat="1" ht="15.5" x14ac:dyDescent="0.35">
      <c r="A1048" s="1158" t="s">
        <v>827</v>
      </c>
      <c r="B1048" s="1159">
        <v>2050</v>
      </c>
      <c r="C1048" s="1159" t="str">
        <f t="shared" si="26"/>
        <v>Modoc_2050</v>
      </c>
      <c r="D1048" s="1169">
        <v>398.4023576447787</v>
      </c>
    </row>
    <row r="1049" spans="1:4" s="339" customFormat="1" ht="15.5" x14ac:dyDescent="0.35">
      <c r="A1049" s="1160" t="s">
        <v>795</v>
      </c>
      <c r="B1049" s="1161">
        <v>2015</v>
      </c>
      <c r="C1049" s="1161" t="str">
        <f t="shared" si="26"/>
        <v>Mojave Desert_2015</v>
      </c>
      <c r="D1049" s="1168">
        <v>525.22769331531185</v>
      </c>
    </row>
    <row r="1050" spans="1:4" s="339" customFormat="1" ht="15.5" x14ac:dyDescent="0.35">
      <c r="A1050" s="1160" t="s">
        <v>795</v>
      </c>
      <c r="B1050" s="1161">
        <v>2016</v>
      </c>
      <c r="C1050" s="1161" t="str">
        <f t="shared" si="26"/>
        <v>Mojave Desert_2016</v>
      </c>
      <c r="D1050" s="1168">
        <v>513.36339723865626</v>
      </c>
    </row>
    <row r="1051" spans="1:4" s="339" customFormat="1" ht="15.5" x14ac:dyDescent="0.35">
      <c r="A1051" s="1162" t="s">
        <v>795</v>
      </c>
      <c r="B1051" s="1163">
        <v>2017</v>
      </c>
      <c r="C1051" s="1163" t="str">
        <f t="shared" si="26"/>
        <v>Mojave Desert_2017</v>
      </c>
      <c r="D1051" s="1169">
        <v>509.34092325310905</v>
      </c>
    </row>
    <row r="1052" spans="1:4" s="339" customFormat="1" ht="15.5" x14ac:dyDescent="0.35">
      <c r="A1052" s="1162" t="s">
        <v>795</v>
      </c>
      <c r="B1052" s="1163">
        <v>2018</v>
      </c>
      <c r="C1052" s="1163" t="str">
        <f t="shared" si="26"/>
        <v>Mojave Desert_2018</v>
      </c>
      <c r="D1052" s="1169">
        <v>502.8669748253526</v>
      </c>
    </row>
    <row r="1053" spans="1:4" s="339" customFormat="1" ht="15.5" x14ac:dyDescent="0.35">
      <c r="A1053" s="1162" t="s">
        <v>795</v>
      </c>
      <c r="B1053" s="1163">
        <v>2019</v>
      </c>
      <c r="C1053" s="1163" t="str">
        <f t="shared" si="26"/>
        <v>Mojave Desert_2019</v>
      </c>
      <c r="D1053" s="1169">
        <v>495.5011890339523</v>
      </c>
    </row>
    <row r="1054" spans="1:4" s="339" customFormat="1" ht="15.5" x14ac:dyDescent="0.35">
      <c r="A1054" s="1162" t="s">
        <v>795</v>
      </c>
      <c r="B1054" s="1163">
        <v>2020</v>
      </c>
      <c r="C1054" s="1163" t="str">
        <f t="shared" si="26"/>
        <v>Mojave Desert_2020</v>
      </c>
      <c r="D1054" s="1169">
        <v>491.58427581134623</v>
      </c>
    </row>
    <row r="1055" spans="1:4" s="339" customFormat="1" ht="15.5" x14ac:dyDescent="0.35">
      <c r="A1055" s="1162" t="s">
        <v>795</v>
      </c>
      <c r="B1055" s="1163">
        <v>2021</v>
      </c>
      <c r="C1055" s="1163" t="str">
        <f t="shared" si="26"/>
        <v>Mojave Desert_2021</v>
      </c>
      <c r="D1055" s="1169">
        <v>482.1211117020971</v>
      </c>
    </row>
    <row r="1056" spans="1:4" s="339" customFormat="1" ht="15.5" x14ac:dyDescent="0.35">
      <c r="A1056" s="1162" t="s">
        <v>795</v>
      </c>
      <c r="B1056" s="1163">
        <v>2022</v>
      </c>
      <c r="C1056" s="1163" t="str">
        <f t="shared" si="26"/>
        <v>Mojave Desert_2022</v>
      </c>
      <c r="D1056" s="1169">
        <v>473.491223762581</v>
      </c>
    </row>
    <row r="1057" spans="1:4" s="339" customFormat="1" ht="15.5" x14ac:dyDescent="0.35">
      <c r="A1057" s="1162" t="s">
        <v>795</v>
      </c>
      <c r="B1057" s="1163">
        <v>2023</v>
      </c>
      <c r="C1057" s="1163" t="str">
        <f t="shared" si="26"/>
        <v>Mojave Desert_2023</v>
      </c>
      <c r="D1057" s="1169">
        <v>463.67721145695953</v>
      </c>
    </row>
    <row r="1058" spans="1:4" s="339" customFormat="1" ht="15.5" x14ac:dyDescent="0.35">
      <c r="A1058" s="1162" t="s">
        <v>795</v>
      </c>
      <c r="B1058" s="1163">
        <v>2024</v>
      </c>
      <c r="C1058" s="1163" t="str">
        <f t="shared" si="26"/>
        <v>Mojave Desert_2024</v>
      </c>
      <c r="D1058" s="1169">
        <v>454.13904122282759</v>
      </c>
    </row>
    <row r="1059" spans="1:4" s="339" customFormat="1" ht="15.5" x14ac:dyDescent="0.35">
      <c r="A1059" s="1162" t="s">
        <v>795</v>
      </c>
      <c r="B1059" s="1163">
        <v>2025</v>
      </c>
      <c r="C1059" s="1163" t="str">
        <f t="shared" si="26"/>
        <v>Mojave Desert_2025</v>
      </c>
      <c r="D1059" s="1169">
        <v>444.23510710940371</v>
      </c>
    </row>
    <row r="1060" spans="1:4" s="339" customFormat="1" ht="15.5" x14ac:dyDescent="0.35">
      <c r="A1060" s="1162" t="s">
        <v>795</v>
      </c>
      <c r="B1060" s="1163">
        <v>2026</v>
      </c>
      <c r="C1060" s="1163" t="str">
        <f t="shared" si="26"/>
        <v>Mojave Desert_2026</v>
      </c>
      <c r="D1060" s="1169">
        <v>434.71930753987436</v>
      </c>
    </row>
    <row r="1061" spans="1:4" s="339" customFormat="1" ht="15.5" x14ac:dyDescent="0.35">
      <c r="A1061" s="1162" t="s">
        <v>795</v>
      </c>
      <c r="B1061" s="1163">
        <v>2027</v>
      </c>
      <c r="C1061" s="1163" t="str">
        <f t="shared" si="26"/>
        <v>Mojave Desert_2027</v>
      </c>
      <c r="D1061" s="1169">
        <v>426.60523571411386</v>
      </c>
    </row>
    <row r="1062" spans="1:4" s="339" customFormat="1" ht="15.5" x14ac:dyDescent="0.35">
      <c r="A1062" s="1162" t="s">
        <v>795</v>
      </c>
      <c r="B1062" s="1163">
        <v>2028</v>
      </c>
      <c r="C1062" s="1163" t="str">
        <f t="shared" si="26"/>
        <v>Mojave Desert_2028</v>
      </c>
      <c r="D1062" s="1169">
        <v>418.26878116089154</v>
      </c>
    </row>
    <row r="1063" spans="1:4" s="339" customFormat="1" ht="15.5" x14ac:dyDescent="0.35">
      <c r="A1063" s="1162" t="s">
        <v>795</v>
      </c>
      <c r="B1063" s="1163">
        <v>2029</v>
      </c>
      <c r="C1063" s="1163" t="str">
        <f t="shared" si="26"/>
        <v>Mojave Desert_2029</v>
      </c>
      <c r="D1063" s="1169">
        <v>410.63803221659015</v>
      </c>
    </row>
    <row r="1064" spans="1:4" s="339" customFormat="1" ht="15.5" x14ac:dyDescent="0.35">
      <c r="A1064" s="1162" t="s">
        <v>795</v>
      </c>
      <c r="B1064" s="1163">
        <v>2030</v>
      </c>
      <c r="C1064" s="1163" t="str">
        <f t="shared" si="26"/>
        <v>Mojave Desert_2030</v>
      </c>
      <c r="D1064" s="1169">
        <v>403.69085098052392</v>
      </c>
    </row>
    <row r="1065" spans="1:4" s="339" customFormat="1" ht="15.5" x14ac:dyDescent="0.35">
      <c r="A1065" s="1162" t="s">
        <v>795</v>
      </c>
      <c r="B1065" s="1163">
        <v>2031</v>
      </c>
      <c r="C1065" s="1163" t="str">
        <f t="shared" si="26"/>
        <v>Mojave Desert_2031</v>
      </c>
      <c r="D1065" s="1169">
        <v>397.39545755022436</v>
      </c>
    </row>
    <row r="1066" spans="1:4" s="339" customFormat="1" ht="15.5" x14ac:dyDescent="0.35">
      <c r="A1066" s="1162" t="s">
        <v>795</v>
      </c>
      <c r="B1066" s="1163">
        <v>2032</v>
      </c>
      <c r="C1066" s="1163" t="str">
        <f t="shared" si="26"/>
        <v>Mojave Desert_2032</v>
      </c>
      <c r="D1066" s="1169">
        <v>391.80387408122891</v>
      </c>
    </row>
    <row r="1067" spans="1:4" s="339" customFormat="1" ht="15.5" x14ac:dyDescent="0.35">
      <c r="A1067" s="1162" t="s">
        <v>795</v>
      </c>
      <c r="B1067" s="1163">
        <v>2033</v>
      </c>
      <c r="C1067" s="1163" t="str">
        <f t="shared" si="26"/>
        <v>Mojave Desert_2033</v>
      </c>
      <c r="D1067" s="1169">
        <v>387.12022995572607</v>
      </c>
    </row>
    <row r="1068" spans="1:4" s="339" customFormat="1" ht="15.5" x14ac:dyDescent="0.35">
      <c r="A1068" s="1162" t="s">
        <v>795</v>
      </c>
      <c r="B1068" s="1163">
        <v>2034</v>
      </c>
      <c r="C1068" s="1163" t="str">
        <f t="shared" si="26"/>
        <v>Mojave Desert_2034</v>
      </c>
      <c r="D1068" s="1169">
        <v>382.48949759709103</v>
      </c>
    </row>
    <row r="1069" spans="1:4" s="339" customFormat="1" ht="15.5" x14ac:dyDescent="0.35">
      <c r="A1069" s="1162" t="s">
        <v>795</v>
      </c>
      <c r="B1069" s="1163">
        <v>2035</v>
      </c>
      <c r="C1069" s="1163" t="str">
        <f t="shared" si="26"/>
        <v>Mojave Desert_2035</v>
      </c>
      <c r="D1069" s="1169">
        <v>378.3717378732776</v>
      </c>
    </row>
    <row r="1070" spans="1:4" s="339" customFormat="1" ht="15.5" x14ac:dyDescent="0.35">
      <c r="A1070" s="1162" t="s">
        <v>795</v>
      </c>
      <c r="B1070" s="1163">
        <v>2036</v>
      </c>
      <c r="C1070" s="1163" t="str">
        <f t="shared" si="26"/>
        <v>Mojave Desert_2036</v>
      </c>
      <c r="D1070" s="1169">
        <v>374.72740687230083</v>
      </c>
    </row>
    <row r="1071" spans="1:4" s="339" customFormat="1" ht="15.5" x14ac:dyDescent="0.35">
      <c r="A1071" s="1162" t="s">
        <v>795</v>
      </c>
      <c r="B1071" s="1163">
        <v>2037</v>
      </c>
      <c r="C1071" s="1163" t="str">
        <f t="shared" si="26"/>
        <v>Mojave Desert_2037</v>
      </c>
      <c r="D1071" s="1169">
        <v>371.5378941181342</v>
      </c>
    </row>
    <row r="1072" spans="1:4" s="339" customFormat="1" ht="15.5" x14ac:dyDescent="0.35">
      <c r="A1072" s="1162" t="s">
        <v>795</v>
      </c>
      <c r="B1072" s="1163">
        <v>2038</v>
      </c>
      <c r="C1072" s="1163" t="str">
        <f t="shared" si="26"/>
        <v>Mojave Desert_2038</v>
      </c>
      <c r="D1072" s="1169">
        <v>366.95344200686048</v>
      </c>
    </row>
    <row r="1073" spans="1:4" s="339" customFormat="1" ht="15.5" x14ac:dyDescent="0.35">
      <c r="A1073" s="1162" t="s">
        <v>795</v>
      </c>
      <c r="B1073" s="1163">
        <v>2039</v>
      </c>
      <c r="C1073" s="1163" t="str">
        <f t="shared" si="26"/>
        <v>Mojave Desert_2039</v>
      </c>
      <c r="D1073" s="1169">
        <v>364.57632446778985</v>
      </c>
    </row>
    <row r="1074" spans="1:4" s="339" customFormat="1" ht="15.5" x14ac:dyDescent="0.35">
      <c r="A1074" s="1162" t="s">
        <v>795</v>
      </c>
      <c r="B1074" s="1163">
        <v>2040</v>
      </c>
      <c r="C1074" s="1163" t="str">
        <f t="shared" si="26"/>
        <v>Mojave Desert_2040</v>
      </c>
      <c r="D1074" s="1169">
        <v>362.54728511234339</v>
      </c>
    </row>
    <row r="1075" spans="1:4" s="339" customFormat="1" ht="15.5" x14ac:dyDescent="0.35">
      <c r="A1075" s="1162" t="s">
        <v>795</v>
      </c>
      <c r="B1075" s="1163">
        <v>2041</v>
      </c>
      <c r="C1075" s="1163" t="str">
        <f t="shared" si="26"/>
        <v>Mojave Desert_2041</v>
      </c>
      <c r="D1075" s="1169">
        <v>360.84826354407807</v>
      </c>
    </row>
    <row r="1076" spans="1:4" s="339" customFormat="1" ht="15.5" x14ac:dyDescent="0.35">
      <c r="A1076" s="1162" t="s">
        <v>795</v>
      </c>
      <c r="B1076" s="1163">
        <v>2042</v>
      </c>
      <c r="C1076" s="1163" t="str">
        <f t="shared" si="26"/>
        <v>Mojave Desert_2042</v>
      </c>
      <c r="D1076" s="1169">
        <v>359.39853232529458</v>
      </c>
    </row>
    <row r="1077" spans="1:4" s="339" customFormat="1" ht="15.5" x14ac:dyDescent="0.35">
      <c r="A1077" s="1162" t="s">
        <v>795</v>
      </c>
      <c r="B1077" s="1163">
        <v>2043</v>
      </c>
      <c r="C1077" s="1163" t="str">
        <f t="shared" si="26"/>
        <v>Mojave Desert_2043</v>
      </c>
      <c r="D1077" s="1169">
        <v>358.18781014916993</v>
      </c>
    </row>
    <row r="1078" spans="1:4" s="339" customFormat="1" ht="15.5" x14ac:dyDescent="0.35">
      <c r="A1078" s="1162" t="s">
        <v>795</v>
      </c>
      <c r="B1078" s="1163">
        <v>2044</v>
      </c>
      <c r="C1078" s="1163" t="str">
        <f t="shared" si="26"/>
        <v>Mojave Desert_2044</v>
      </c>
      <c r="D1078" s="1169">
        <v>357.16099792947057</v>
      </c>
    </row>
    <row r="1079" spans="1:4" s="339" customFormat="1" ht="15.5" x14ac:dyDescent="0.35">
      <c r="A1079" s="1162" t="s">
        <v>795</v>
      </c>
      <c r="B1079" s="1163">
        <v>2045</v>
      </c>
      <c r="C1079" s="1163" t="str">
        <f t="shared" ref="C1079:C1084" si="27">CONCATENATE(A1079,"_",B1079)</f>
        <v>Mojave Desert_2045</v>
      </c>
      <c r="D1079" s="1169">
        <v>356.26628640683987</v>
      </c>
    </row>
    <row r="1080" spans="1:4" s="339" customFormat="1" ht="15.5" x14ac:dyDescent="0.35">
      <c r="A1080" s="1162" t="s">
        <v>795</v>
      </c>
      <c r="B1080" s="1163">
        <v>2046</v>
      </c>
      <c r="C1080" s="1163" t="str">
        <f t="shared" si="27"/>
        <v>Mojave Desert_2046</v>
      </c>
      <c r="D1080" s="1169">
        <v>355.50032770955124</v>
      </c>
    </row>
    <row r="1081" spans="1:4" s="339" customFormat="1" ht="15.5" x14ac:dyDescent="0.35">
      <c r="A1081" s="1162" t="s">
        <v>795</v>
      </c>
      <c r="B1081" s="1163">
        <v>2047</v>
      </c>
      <c r="C1081" s="1163" t="str">
        <f t="shared" si="27"/>
        <v>Mojave Desert_2047</v>
      </c>
      <c r="D1081" s="1169">
        <v>354.85454066222991</v>
      </c>
    </row>
    <row r="1082" spans="1:4" s="339" customFormat="1" ht="15.5" x14ac:dyDescent="0.35">
      <c r="A1082" s="1162" t="s">
        <v>795</v>
      </c>
      <c r="B1082" s="1163">
        <v>2048</v>
      </c>
      <c r="C1082" s="1163" t="str">
        <f t="shared" si="27"/>
        <v>Mojave Desert_2048</v>
      </c>
      <c r="D1082" s="1169">
        <v>354.29458786666544</v>
      </c>
    </row>
    <row r="1083" spans="1:4" s="339" customFormat="1" ht="15.5" x14ac:dyDescent="0.35">
      <c r="A1083" s="1162" t="s">
        <v>795</v>
      </c>
      <c r="B1083" s="1163">
        <v>2049</v>
      </c>
      <c r="C1083" s="1163" t="str">
        <f t="shared" si="27"/>
        <v>Mojave Desert_2049</v>
      </c>
      <c r="D1083" s="1169">
        <v>353.81488843519378</v>
      </c>
    </row>
    <row r="1084" spans="1:4" s="339" customFormat="1" ht="15.5" x14ac:dyDescent="0.35">
      <c r="A1084" s="1162" t="s">
        <v>795</v>
      </c>
      <c r="B1084" s="1163">
        <v>2050</v>
      </c>
      <c r="C1084" s="1163" t="str">
        <f t="shared" si="27"/>
        <v>Mojave Desert_2050</v>
      </c>
      <c r="D1084" s="1169">
        <v>353.42405777435101</v>
      </c>
    </row>
    <row r="1085" spans="1:4" s="339" customFormat="1" ht="15.5" x14ac:dyDescent="0.35">
      <c r="A1085" s="1155" t="s">
        <v>828</v>
      </c>
      <c r="B1085" s="1156">
        <v>2015</v>
      </c>
      <c r="C1085" s="1157" t="s">
        <v>909</v>
      </c>
      <c r="D1085" s="1168">
        <v>544.00409229957631</v>
      </c>
    </row>
    <row r="1086" spans="1:4" s="339" customFormat="1" ht="15.5" x14ac:dyDescent="0.35">
      <c r="A1086" s="1155" t="s">
        <v>828</v>
      </c>
      <c r="B1086" s="1156">
        <v>2016</v>
      </c>
      <c r="C1086" s="1157" t="s">
        <v>910</v>
      </c>
      <c r="D1086" s="1168">
        <v>531.36853006447268</v>
      </c>
    </row>
    <row r="1087" spans="1:4" s="339" customFormat="1" ht="15.5" x14ac:dyDescent="0.35">
      <c r="A1087" s="1158" t="s">
        <v>828</v>
      </c>
      <c r="B1087" s="1159">
        <v>2017</v>
      </c>
      <c r="C1087" s="1159" t="str">
        <f t="shared" ref="C1087:C1120" si="28">CONCATENATE(A1087,"_",B1087)</f>
        <v>Mono_2017</v>
      </c>
      <c r="D1087" s="1169">
        <v>527.55569192325083</v>
      </c>
    </row>
    <row r="1088" spans="1:4" s="339" customFormat="1" ht="15.5" x14ac:dyDescent="0.35">
      <c r="A1088" s="1158" t="s">
        <v>828</v>
      </c>
      <c r="B1088" s="1159">
        <v>2018</v>
      </c>
      <c r="C1088" s="1159" t="str">
        <f t="shared" si="28"/>
        <v>Mono_2018</v>
      </c>
      <c r="D1088" s="1169">
        <v>521.26372886808747</v>
      </c>
    </row>
    <row r="1089" spans="1:4" s="339" customFormat="1" ht="15.5" x14ac:dyDescent="0.35">
      <c r="A1089" s="1158" t="s">
        <v>828</v>
      </c>
      <c r="B1089" s="1159">
        <v>2019</v>
      </c>
      <c r="C1089" s="1159" t="str">
        <f t="shared" si="28"/>
        <v>Mono_2019</v>
      </c>
      <c r="D1089" s="1169">
        <v>512.94086900425668</v>
      </c>
    </row>
    <row r="1090" spans="1:4" s="339" customFormat="1" ht="15.5" x14ac:dyDescent="0.35">
      <c r="A1090" s="1158" t="s">
        <v>828</v>
      </c>
      <c r="B1090" s="1159">
        <v>2020</v>
      </c>
      <c r="C1090" s="1159" t="str">
        <f t="shared" si="28"/>
        <v>Mono_2020</v>
      </c>
      <c r="D1090" s="1169">
        <v>508.85017372021883</v>
      </c>
    </row>
    <row r="1091" spans="1:4" s="339" customFormat="1" ht="15.5" x14ac:dyDescent="0.35">
      <c r="A1091" s="1158" t="s">
        <v>828</v>
      </c>
      <c r="B1091" s="1159">
        <v>2021</v>
      </c>
      <c r="C1091" s="1159" t="str">
        <f t="shared" si="28"/>
        <v>Mono_2021</v>
      </c>
      <c r="D1091" s="1169">
        <v>498.04052989220099</v>
      </c>
    </row>
    <row r="1092" spans="1:4" s="339" customFormat="1" ht="15.5" x14ac:dyDescent="0.35">
      <c r="A1092" s="1158" t="s">
        <v>828</v>
      </c>
      <c r="B1092" s="1159">
        <v>2022</v>
      </c>
      <c r="C1092" s="1159" t="str">
        <f t="shared" si="28"/>
        <v>Mono_2022</v>
      </c>
      <c r="D1092" s="1169">
        <v>488.18744719120741</v>
      </c>
    </row>
    <row r="1093" spans="1:4" s="339" customFormat="1" ht="15.5" x14ac:dyDescent="0.35">
      <c r="A1093" s="1158" t="s">
        <v>828</v>
      </c>
      <c r="B1093" s="1159">
        <v>2023</v>
      </c>
      <c r="C1093" s="1159" t="str">
        <f t="shared" si="28"/>
        <v>Mono_2023</v>
      </c>
      <c r="D1093" s="1169">
        <v>477.94659951313071</v>
      </c>
    </row>
    <row r="1094" spans="1:4" s="339" customFormat="1" ht="15.5" x14ac:dyDescent="0.35">
      <c r="A1094" s="1158" t="s">
        <v>828</v>
      </c>
      <c r="B1094" s="1159">
        <v>2024</v>
      </c>
      <c r="C1094" s="1159" t="str">
        <f t="shared" si="28"/>
        <v>Mono_2024</v>
      </c>
      <c r="D1094" s="1169">
        <v>467.38770980074679</v>
      </c>
    </row>
    <row r="1095" spans="1:4" s="339" customFormat="1" ht="15.5" x14ac:dyDescent="0.35">
      <c r="A1095" s="1158" t="s">
        <v>828</v>
      </c>
      <c r="B1095" s="1159">
        <v>2025</v>
      </c>
      <c r="C1095" s="1159" t="str">
        <f t="shared" si="28"/>
        <v>Mono_2025</v>
      </c>
      <c r="D1095" s="1169">
        <v>456.66904616305078</v>
      </c>
    </row>
    <row r="1096" spans="1:4" s="339" customFormat="1" ht="15.5" x14ac:dyDescent="0.35">
      <c r="A1096" s="1158" t="s">
        <v>828</v>
      </c>
      <c r="B1096" s="1159">
        <v>2026</v>
      </c>
      <c r="C1096" s="1159" t="str">
        <f t="shared" si="28"/>
        <v>Mono_2026</v>
      </c>
      <c r="D1096" s="1169">
        <v>446.3280857442054</v>
      </c>
    </row>
    <row r="1097" spans="1:4" s="339" customFormat="1" ht="15.5" x14ac:dyDescent="0.35">
      <c r="A1097" s="1158" t="s">
        <v>828</v>
      </c>
      <c r="B1097" s="1159">
        <v>2027</v>
      </c>
      <c r="C1097" s="1159" t="str">
        <f t="shared" si="28"/>
        <v>Mono_2027</v>
      </c>
      <c r="D1097" s="1169">
        <v>436.69317396623865</v>
      </c>
    </row>
    <row r="1098" spans="1:4" s="339" customFormat="1" ht="15.5" x14ac:dyDescent="0.35">
      <c r="A1098" s="1158" t="s">
        <v>828</v>
      </c>
      <c r="B1098" s="1159">
        <v>2028</v>
      </c>
      <c r="C1098" s="1159" t="str">
        <f t="shared" si="28"/>
        <v>Mono_2028</v>
      </c>
      <c r="D1098" s="1169">
        <v>427.86785916317609</v>
      </c>
    </row>
    <row r="1099" spans="1:4" s="339" customFormat="1" ht="15.5" x14ac:dyDescent="0.35">
      <c r="A1099" s="1158" t="s">
        <v>828</v>
      </c>
      <c r="B1099" s="1159">
        <v>2029</v>
      </c>
      <c r="C1099" s="1159" t="str">
        <f t="shared" si="28"/>
        <v>Mono_2029</v>
      </c>
      <c r="D1099" s="1169">
        <v>419.80606147271942</v>
      </c>
    </row>
    <row r="1100" spans="1:4" s="339" customFormat="1" ht="15.5" x14ac:dyDescent="0.35">
      <c r="A1100" s="1158" t="s">
        <v>828</v>
      </c>
      <c r="B1100" s="1159">
        <v>2030</v>
      </c>
      <c r="C1100" s="1159" t="str">
        <f t="shared" si="28"/>
        <v>Mono_2030</v>
      </c>
      <c r="D1100" s="1169">
        <v>412.50237833483868</v>
      </c>
    </row>
    <row r="1101" spans="1:4" s="339" customFormat="1" ht="15.5" x14ac:dyDescent="0.35">
      <c r="A1101" s="1158" t="s">
        <v>828</v>
      </c>
      <c r="B1101" s="1159">
        <v>2031</v>
      </c>
      <c r="C1101" s="1159" t="str">
        <f t="shared" si="28"/>
        <v>Mono_2031</v>
      </c>
      <c r="D1101" s="1169">
        <v>405.90273253610059</v>
      </c>
    </row>
    <row r="1102" spans="1:4" s="339" customFormat="1" ht="15.5" x14ac:dyDescent="0.35">
      <c r="A1102" s="1158" t="s">
        <v>828</v>
      </c>
      <c r="B1102" s="1159">
        <v>2032</v>
      </c>
      <c r="C1102" s="1159" t="str">
        <f t="shared" si="28"/>
        <v>Mono_2032</v>
      </c>
      <c r="D1102" s="1169">
        <v>399.94547931080012</v>
      </c>
    </row>
    <row r="1103" spans="1:4" s="339" customFormat="1" ht="15.5" x14ac:dyDescent="0.35">
      <c r="A1103" s="1158" t="s">
        <v>828</v>
      </c>
      <c r="B1103" s="1159">
        <v>2033</v>
      </c>
      <c r="C1103" s="1159" t="str">
        <f t="shared" si="28"/>
        <v>Mono_2033</v>
      </c>
      <c r="D1103" s="1169">
        <v>394.59160627927241</v>
      </c>
    </row>
    <row r="1104" spans="1:4" s="339" customFormat="1" ht="15.5" x14ac:dyDescent="0.35">
      <c r="A1104" s="1158" t="s">
        <v>828</v>
      </c>
      <c r="B1104" s="1159">
        <v>2034</v>
      </c>
      <c r="C1104" s="1159" t="str">
        <f t="shared" si="28"/>
        <v>Mono_2034</v>
      </c>
      <c r="D1104" s="1169">
        <v>389.80834863188039</v>
      </c>
    </row>
    <row r="1105" spans="1:4" s="339" customFormat="1" ht="15.5" x14ac:dyDescent="0.35">
      <c r="A1105" s="1158" t="s">
        <v>828</v>
      </c>
      <c r="B1105" s="1159">
        <v>2035</v>
      </c>
      <c r="C1105" s="1159" t="str">
        <f t="shared" si="28"/>
        <v>Mono_2035</v>
      </c>
      <c r="D1105" s="1169">
        <v>385.56239959117846</v>
      </c>
    </row>
    <row r="1106" spans="1:4" s="339" customFormat="1" ht="15.5" x14ac:dyDescent="0.35">
      <c r="A1106" s="1158" t="s">
        <v>828</v>
      </c>
      <c r="B1106" s="1159">
        <v>2036</v>
      </c>
      <c r="C1106" s="1159" t="str">
        <f t="shared" si="28"/>
        <v>Mono_2036</v>
      </c>
      <c r="D1106" s="1169">
        <v>381.8444571398648</v>
      </c>
    </row>
    <row r="1107" spans="1:4" s="339" customFormat="1" ht="15.5" x14ac:dyDescent="0.35">
      <c r="A1107" s="1158" t="s">
        <v>828</v>
      </c>
      <c r="B1107" s="1159">
        <v>2037</v>
      </c>
      <c r="C1107" s="1159" t="str">
        <f t="shared" si="28"/>
        <v>Mono_2037</v>
      </c>
      <c r="D1107" s="1169">
        <v>378.58867836511428</v>
      </c>
    </row>
    <row r="1108" spans="1:4" s="339" customFormat="1" ht="15.5" x14ac:dyDescent="0.35">
      <c r="A1108" s="1158" t="s">
        <v>828</v>
      </c>
      <c r="B1108" s="1159">
        <v>2038</v>
      </c>
      <c r="C1108" s="1159" t="str">
        <f t="shared" si="28"/>
        <v>Mono_2038</v>
      </c>
      <c r="D1108" s="1169">
        <v>375.78517466141204</v>
      </c>
    </row>
    <row r="1109" spans="1:4" s="339" customFormat="1" ht="15.5" x14ac:dyDescent="0.35">
      <c r="A1109" s="1158" t="s">
        <v>828</v>
      </c>
      <c r="B1109" s="1159">
        <v>2039</v>
      </c>
      <c r="C1109" s="1159" t="str">
        <f t="shared" si="28"/>
        <v>Mono_2039</v>
      </c>
      <c r="D1109" s="1169">
        <v>373.37113340857923</v>
      </c>
    </row>
    <row r="1110" spans="1:4" s="339" customFormat="1" ht="15.5" x14ac:dyDescent="0.35">
      <c r="A1110" s="1158" t="s">
        <v>828</v>
      </c>
      <c r="B1110" s="1159">
        <v>2040</v>
      </c>
      <c r="C1110" s="1159" t="str">
        <f t="shared" si="28"/>
        <v>Mono_2040</v>
      </c>
      <c r="D1110" s="1169">
        <v>371.30566582674999</v>
      </c>
    </row>
    <row r="1111" spans="1:4" s="339" customFormat="1" ht="15.5" x14ac:dyDescent="0.35">
      <c r="A1111" s="1158" t="s">
        <v>828</v>
      </c>
      <c r="B1111" s="1159">
        <v>2041</v>
      </c>
      <c r="C1111" s="1159" t="str">
        <f t="shared" si="28"/>
        <v>Mono_2041</v>
      </c>
      <c r="D1111" s="1169">
        <v>369.57133854410034</v>
      </c>
    </row>
    <row r="1112" spans="1:4" s="339" customFormat="1" ht="15.5" x14ac:dyDescent="0.35">
      <c r="A1112" s="1158" t="s">
        <v>828</v>
      </c>
      <c r="B1112" s="1159">
        <v>2042</v>
      </c>
      <c r="C1112" s="1159" t="str">
        <f t="shared" si="28"/>
        <v>Mono_2042</v>
      </c>
      <c r="D1112" s="1169">
        <v>368.09477034494773</v>
      </c>
    </row>
    <row r="1113" spans="1:4" s="339" customFormat="1" ht="15.5" x14ac:dyDescent="0.35">
      <c r="A1113" s="1158" t="s">
        <v>828</v>
      </c>
      <c r="B1113" s="1159">
        <v>2043</v>
      </c>
      <c r="C1113" s="1159" t="str">
        <f t="shared" si="28"/>
        <v>Mono_2043</v>
      </c>
      <c r="D1113" s="1169">
        <v>366.85211869495072</v>
      </c>
    </row>
    <row r="1114" spans="1:4" s="339" customFormat="1" ht="15.5" x14ac:dyDescent="0.35">
      <c r="A1114" s="1158" t="s">
        <v>828</v>
      </c>
      <c r="B1114" s="1159">
        <v>2044</v>
      </c>
      <c r="C1114" s="1159" t="str">
        <f t="shared" si="28"/>
        <v>Mono_2044</v>
      </c>
      <c r="D1114" s="1169">
        <v>365.79438653081075</v>
      </c>
    </row>
    <row r="1115" spans="1:4" s="339" customFormat="1" ht="15.5" x14ac:dyDescent="0.35">
      <c r="A1115" s="1158" t="s">
        <v>828</v>
      </c>
      <c r="B1115" s="1159">
        <v>2045</v>
      </c>
      <c r="C1115" s="1159" t="str">
        <f t="shared" si="28"/>
        <v>Mono_2045</v>
      </c>
      <c r="D1115" s="1169">
        <v>364.87152400803512</v>
      </c>
    </row>
    <row r="1116" spans="1:4" s="339" customFormat="1" ht="15.5" x14ac:dyDescent="0.35">
      <c r="A1116" s="1158" t="s">
        <v>828</v>
      </c>
      <c r="B1116" s="1159">
        <v>2046</v>
      </c>
      <c r="C1116" s="1159" t="str">
        <f t="shared" si="28"/>
        <v>Mono_2046</v>
      </c>
      <c r="D1116" s="1169">
        <v>364.06296203971181</v>
      </c>
    </row>
    <row r="1117" spans="1:4" s="339" customFormat="1" ht="15.5" x14ac:dyDescent="0.35">
      <c r="A1117" s="1158" t="s">
        <v>828</v>
      </c>
      <c r="B1117" s="1159">
        <v>2047</v>
      </c>
      <c r="C1117" s="1159" t="str">
        <f t="shared" si="28"/>
        <v>Mono_2047</v>
      </c>
      <c r="D1117" s="1169">
        <v>363.36849298159387</v>
      </c>
    </row>
    <row r="1118" spans="1:4" s="339" customFormat="1" ht="15.5" x14ac:dyDescent="0.35">
      <c r="A1118" s="1158" t="s">
        <v>828</v>
      </c>
      <c r="B1118" s="1159">
        <v>2048</v>
      </c>
      <c r="C1118" s="1159" t="str">
        <f t="shared" si="28"/>
        <v>Mono_2048</v>
      </c>
      <c r="D1118" s="1169">
        <v>362.78631346276586</v>
      </c>
    </row>
    <row r="1119" spans="1:4" s="339" customFormat="1" ht="15.5" x14ac:dyDescent="0.35">
      <c r="A1119" s="1158" t="s">
        <v>828</v>
      </c>
      <c r="B1119" s="1159">
        <v>2049</v>
      </c>
      <c r="C1119" s="1159" t="str">
        <f t="shared" si="28"/>
        <v>Mono_2049</v>
      </c>
      <c r="D1119" s="1169">
        <v>362.23842155802612</v>
      </c>
    </row>
    <row r="1120" spans="1:4" s="339" customFormat="1" ht="15.5" x14ac:dyDescent="0.35">
      <c r="A1120" s="1158" t="s">
        <v>828</v>
      </c>
      <c r="B1120" s="1159">
        <v>2050</v>
      </c>
      <c r="C1120" s="1159" t="str">
        <f t="shared" si="28"/>
        <v>Mono_2050</v>
      </c>
      <c r="D1120" s="1169">
        <v>361.79312398696572</v>
      </c>
    </row>
    <row r="1121" spans="1:4" s="339" customFormat="1" ht="15.5" x14ac:dyDescent="0.35">
      <c r="A1121" s="1155" t="s">
        <v>829</v>
      </c>
      <c r="B1121" s="1156">
        <v>2015</v>
      </c>
      <c r="C1121" s="1157" t="s">
        <v>911</v>
      </c>
      <c r="D1121" s="1168">
        <v>529.51433958921302</v>
      </c>
    </row>
    <row r="1122" spans="1:4" s="339" customFormat="1" ht="15.5" x14ac:dyDescent="0.35">
      <c r="A1122" s="1155" t="s">
        <v>829</v>
      </c>
      <c r="B1122" s="1156">
        <v>2016</v>
      </c>
      <c r="C1122" s="1157" t="s">
        <v>912</v>
      </c>
      <c r="D1122" s="1168">
        <v>516.84167604112145</v>
      </c>
    </row>
    <row r="1123" spans="1:4" s="339" customFormat="1" ht="15.5" x14ac:dyDescent="0.35">
      <c r="A1123" s="1158" t="s">
        <v>829</v>
      </c>
      <c r="B1123" s="1159">
        <v>2017</v>
      </c>
      <c r="C1123" s="1159" t="str">
        <f t="shared" ref="C1123:C1186" si="29">CONCATENATE(A1123,"_",B1123)</f>
        <v>Monterey_2017</v>
      </c>
      <c r="D1123" s="1169">
        <v>513.09118016393165</v>
      </c>
    </row>
    <row r="1124" spans="1:4" s="339" customFormat="1" ht="15.5" x14ac:dyDescent="0.35">
      <c r="A1124" s="1158" t="s">
        <v>829</v>
      </c>
      <c r="B1124" s="1159">
        <v>2018</v>
      </c>
      <c r="C1124" s="1159" t="str">
        <f t="shared" si="29"/>
        <v>Monterey_2018</v>
      </c>
      <c r="D1124" s="1169">
        <v>506.60584575762715</v>
      </c>
    </row>
    <row r="1125" spans="1:4" s="339" customFormat="1" ht="15.5" x14ac:dyDescent="0.35">
      <c r="A1125" s="1158" t="s">
        <v>829</v>
      </c>
      <c r="B1125" s="1159">
        <v>2019</v>
      </c>
      <c r="C1125" s="1159" t="str">
        <f t="shared" si="29"/>
        <v>Monterey_2019</v>
      </c>
      <c r="D1125" s="1169">
        <v>498.28689054221309</v>
      </c>
    </row>
    <row r="1126" spans="1:4" s="339" customFormat="1" ht="15.5" x14ac:dyDescent="0.35">
      <c r="A1126" s="1158" t="s">
        <v>829</v>
      </c>
      <c r="B1126" s="1159">
        <v>2020</v>
      </c>
      <c r="C1126" s="1159" t="str">
        <f t="shared" si="29"/>
        <v>Monterey_2020</v>
      </c>
      <c r="D1126" s="1169">
        <v>494.53564291573497</v>
      </c>
    </row>
    <row r="1127" spans="1:4" s="339" customFormat="1" ht="15.5" x14ac:dyDescent="0.35">
      <c r="A1127" s="1158" t="s">
        <v>829</v>
      </c>
      <c r="B1127" s="1159">
        <v>2021</v>
      </c>
      <c r="C1127" s="1159" t="str">
        <f t="shared" si="29"/>
        <v>Monterey_2021</v>
      </c>
      <c r="D1127" s="1169">
        <v>484.86023716857915</v>
      </c>
    </row>
    <row r="1128" spans="1:4" s="339" customFormat="1" ht="15.5" x14ac:dyDescent="0.35">
      <c r="A1128" s="1158" t="s">
        <v>829</v>
      </c>
      <c r="B1128" s="1159">
        <v>2022</v>
      </c>
      <c r="C1128" s="1159" t="str">
        <f t="shared" si="29"/>
        <v>Monterey_2022</v>
      </c>
      <c r="D1128" s="1169">
        <v>476.40943392448412</v>
      </c>
    </row>
    <row r="1129" spans="1:4" s="339" customFormat="1" ht="15.5" x14ac:dyDescent="0.35">
      <c r="A1129" s="1158" t="s">
        <v>829</v>
      </c>
      <c r="B1129" s="1159">
        <v>2023</v>
      </c>
      <c r="C1129" s="1159" t="str">
        <f t="shared" si="29"/>
        <v>Monterey_2023</v>
      </c>
      <c r="D1129" s="1169">
        <v>467.44400108581129</v>
      </c>
    </row>
    <row r="1130" spans="1:4" s="339" customFormat="1" ht="15.5" x14ac:dyDescent="0.35">
      <c r="A1130" s="1158" t="s">
        <v>829</v>
      </c>
      <c r="B1130" s="1159">
        <v>2024</v>
      </c>
      <c r="C1130" s="1159" t="str">
        <f t="shared" si="29"/>
        <v>Monterey_2024</v>
      </c>
      <c r="D1130" s="1169">
        <v>458.06460272087611</v>
      </c>
    </row>
    <row r="1131" spans="1:4" s="339" customFormat="1" ht="15.5" x14ac:dyDescent="0.35">
      <c r="A1131" s="1158" t="s">
        <v>829</v>
      </c>
      <c r="B1131" s="1159">
        <v>2025</v>
      </c>
      <c r="C1131" s="1159" t="str">
        <f t="shared" si="29"/>
        <v>Monterey_2025</v>
      </c>
      <c r="D1131" s="1169">
        <v>448.36220395446435</v>
      </c>
    </row>
    <row r="1132" spans="1:4" s="339" customFormat="1" ht="15.5" x14ac:dyDescent="0.35">
      <c r="A1132" s="1158" t="s">
        <v>829</v>
      </c>
      <c r="B1132" s="1159">
        <v>2026</v>
      </c>
      <c r="C1132" s="1159" t="str">
        <f t="shared" si="29"/>
        <v>Monterey_2026</v>
      </c>
      <c r="D1132" s="1169">
        <v>438.8068087247762</v>
      </c>
    </row>
    <row r="1133" spans="1:4" s="339" customFormat="1" ht="15.5" x14ac:dyDescent="0.35">
      <c r="A1133" s="1158" t="s">
        <v>829</v>
      </c>
      <c r="B1133" s="1159">
        <v>2027</v>
      </c>
      <c r="C1133" s="1159" t="str">
        <f t="shared" si="29"/>
        <v>Monterey_2027</v>
      </c>
      <c r="D1133" s="1169">
        <v>429.64427177543297</v>
      </c>
    </row>
    <row r="1134" spans="1:4" s="339" customFormat="1" ht="15.5" x14ac:dyDescent="0.35">
      <c r="A1134" s="1158" t="s">
        <v>829</v>
      </c>
      <c r="B1134" s="1159">
        <v>2028</v>
      </c>
      <c r="C1134" s="1159" t="str">
        <f t="shared" si="29"/>
        <v>Monterey_2028</v>
      </c>
      <c r="D1134" s="1169">
        <v>421.04276110539746</v>
      </c>
    </row>
    <row r="1135" spans="1:4" s="339" customFormat="1" ht="15.5" x14ac:dyDescent="0.35">
      <c r="A1135" s="1158" t="s">
        <v>829</v>
      </c>
      <c r="B1135" s="1159">
        <v>2029</v>
      </c>
      <c r="C1135" s="1159" t="str">
        <f t="shared" si="29"/>
        <v>Monterey_2029</v>
      </c>
      <c r="D1135" s="1169">
        <v>413.02714004873474</v>
      </c>
    </row>
    <row r="1136" spans="1:4" s="339" customFormat="1" ht="15.5" x14ac:dyDescent="0.35">
      <c r="A1136" s="1158" t="s">
        <v>829</v>
      </c>
      <c r="B1136" s="1159">
        <v>2030</v>
      </c>
      <c r="C1136" s="1159" t="str">
        <f t="shared" si="29"/>
        <v>Monterey_2030</v>
      </c>
      <c r="D1136" s="1169">
        <v>405.63300681316673</v>
      </c>
    </row>
    <row r="1137" spans="1:4" s="339" customFormat="1" ht="15.5" x14ac:dyDescent="0.35">
      <c r="A1137" s="1158" t="s">
        <v>829</v>
      </c>
      <c r="B1137" s="1159">
        <v>2031</v>
      </c>
      <c r="C1137" s="1159" t="str">
        <f t="shared" si="29"/>
        <v>Monterey_2031</v>
      </c>
      <c r="D1137" s="1169">
        <v>398.84251804388231</v>
      </c>
    </row>
    <row r="1138" spans="1:4" s="339" customFormat="1" ht="15.5" x14ac:dyDescent="0.35">
      <c r="A1138" s="1158" t="s">
        <v>829</v>
      </c>
      <c r="B1138" s="1159">
        <v>2032</v>
      </c>
      <c r="C1138" s="1159" t="str">
        <f t="shared" si="29"/>
        <v>Monterey_2032</v>
      </c>
      <c r="D1138" s="1169">
        <v>392.62340247618727</v>
      </c>
    </row>
    <row r="1139" spans="1:4" s="339" customFormat="1" ht="15.5" x14ac:dyDescent="0.35">
      <c r="A1139" s="1158" t="s">
        <v>829</v>
      </c>
      <c r="B1139" s="1159">
        <v>2033</v>
      </c>
      <c r="C1139" s="1159" t="str">
        <f t="shared" si="29"/>
        <v>Monterey_2033</v>
      </c>
      <c r="D1139" s="1169">
        <v>386.9507805661496</v>
      </c>
    </row>
    <row r="1140" spans="1:4" s="339" customFormat="1" ht="15.5" x14ac:dyDescent="0.35">
      <c r="A1140" s="1158" t="s">
        <v>829</v>
      </c>
      <c r="B1140" s="1159">
        <v>2034</v>
      </c>
      <c r="C1140" s="1159" t="str">
        <f t="shared" si="29"/>
        <v>Monterey_2034</v>
      </c>
      <c r="D1140" s="1169">
        <v>381.80112787900532</v>
      </c>
    </row>
    <row r="1141" spans="1:4" s="339" customFormat="1" ht="15.5" x14ac:dyDescent="0.35">
      <c r="A1141" s="1158" t="s">
        <v>829</v>
      </c>
      <c r="B1141" s="1159">
        <v>2035</v>
      </c>
      <c r="C1141" s="1159" t="str">
        <f t="shared" si="29"/>
        <v>Monterey_2035</v>
      </c>
      <c r="D1141" s="1169">
        <v>377.15129797467881</v>
      </c>
    </row>
    <row r="1142" spans="1:4" s="339" customFormat="1" ht="15.5" x14ac:dyDescent="0.35">
      <c r="A1142" s="1158" t="s">
        <v>829</v>
      </c>
      <c r="B1142" s="1159">
        <v>2036</v>
      </c>
      <c r="C1142" s="1159" t="str">
        <f t="shared" si="29"/>
        <v>Monterey_2036</v>
      </c>
      <c r="D1142" s="1169">
        <v>372.877267606283</v>
      </c>
    </row>
    <row r="1143" spans="1:4" s="339" customFormat="1" ht="15.5" x14ac:dyDescent="0.35">
      <c r="A1143" s="1158" t="s">
        <v>829</v>
      </c>
      <c r="B1143" s="1159">
        <v>2037</v>
      </c>
      <c r="C1143" s="1159" t="str">
        <f t="shared" si="29"/>
        <v>Monterey_2037</v>
      </c>
      <c r="D1143" s="1169">
        <v>369.1856751933492</v>
      </c>
    </row>
    <row r="1144" spans="1:4" s="339" customFormat="1" ht="15.5" x14ac:dyDescent="0.35">
      <c r="A1144" s="1158" t="s">
        <v>829</v>
      </c>
      <c r="B1144" s="1159">
        <v>2038</v>
      </c>
      <c r="C1144" s="1159" t="str">
        <f t="shared" si="29"/>
        <v>Monterey_2038</v>
      </c>
      <c r="D1144" s="1169">
        <v>365.95645566640792</v>
      </c>
    </row>
    <row r="1145" spans="1:4" s="339" customFormat="1" ht="15.5" x14ac:dyDescent="0.35">
      <c r="A1145" s="1158" t="s">
        <v>829</v>
      </c>
      <c r="B1145" s="1159">
        <v>2039</v>
      </c>
      <c r="C1145" s="1159" t="str">
        <f t="shared" si="29"/>
        <v>Monterey_2039</v>
      </c>
      <c r="D1145" s="1169">
        <v>363.11724062548166</v>
      </c>
    </row>
    <row r="1146" spans="1:4" s="339" customFormat="1" ht="15.5" x14ac:dyDescent="0.35">
      <c r="A1146" s="1158" t="s">
        <v>829</v>
      </c>
      <c r="B1146" s="1159">
        <v>2040</v>
      </c>
      <c r="C1146" s="1159" t="str">
        <f t="shared" si="29"/>
        <v>Monterey_2040</v>
      </c>
      <c r="D1146" s="1169">
        <v>360.65200044603472</v>
      </c>
    </row>
    <row r="1147" spans="1:4" s="339" customFormat="1" ht="15.5" x14ac:dyDescent="0.35">
      <c r="A1147" s="1158" t="s">
        <v>829</v>
      </c>
      <c r="B1147" s="1159">
        <v>2041</v>
      </c>
      <c r="C1147" s="1159" t="str">
        <f t="shared" si="29"/>
        <v>Monterey_2041</v>
      </c>
      <c r="D1147" s="1169">
        <v>358.54199094915106</v>
      </c>
    </row>
    <row r="1148" spans="1:4" s="339" customFormat="1" ht="15.5" x14ac:dyDescent="0.35">
      <c r="A1148" s="1158" t="s">
        <v>829</v>
      </c>
      <c r="B1148" s="1159">
        <v>2042</v>
      </c>
      <c r="C1148" s="1159" t="str">
        <f t="shared" si="29"/>
        <v>Monterey_2042</v>
      </c>
      <c r="D1148" s="1169">
        <v>356.70835322210638</v>
      </c>
    </row>
    <row r="1149" spans="1:4" s="339" customFormat="1" ht="15.5" x14ac:dyDescent="0.35">
      <c r="A1149" s="1158" t="s">
        <v>829</v>
      </c>
      <c r="B1149" s="1159">
        <v>2043</v>
      </c>
      <c r="C1149" s="1159" t="str">
        <f t="shared" si="29"/>
        <v>Monterey_2043</v>
      </c>
      <c r="D1149" s="1169">
        <v>355.14540584869206</v>
      </c>
    </row>
    <row r="1150" spans="1:4" s="339" customFormat="1" ht="15.5" x14ac:dyDescent="0.35">
      <c r="A1150" s="1158" t="s">
        <v>829</v>
      </c>
      <c r="B1150" s="1159">
        <v>2044</v>
      </c>
      <c r="C1150" s="1159" t="str">
        <f t="shared" si="29"/>
        <v>Monterey_2044</v>
      </c>
      <c r="D1150" s="1169">
        <v>353.7888459816611</v>
      </c>
    </row>
    <row r="1151" spans="1:4" s="339" customFormat="1" ht="15.5" x14ac:dyDescent="0.35">
      <c r="A1151" s="1158" t="s">
        <v>829</v>
      </c>
      <c r="B1151" s="1159">
        <v>2045</v>
      </c>
      <c r="C1151" s="1159" t="str">
        <f t="shared" si="29"/>
        <v>Monterey_2045</v>
      </c>
      <c r="D1151" s="1169">
        <v>352.58958594245075</v>
      </c>
    </row>
    <row r="1152" spans="1:4" s="339" customFormat="1" ht="15.5" x14ac:dyDescent="0.35">
      <c r="A1152" s="1158" t="s">
        <v>829</v>
      </c>
      <c r="B1152" s="1159">
        <v>2046</v>
      </c>
      <c r="C1152" s="1159" t="str">
        <f t="shared" si="29"/>
        <v>Monterey_2046</v>
      </c>
      <c r="D1152" s="1169">
        <v>351.53442668975748</v>
      </c>
    </row>
    <row r="1153" spans="1:4" s="339" customFormat="1" ht="15.5" x14ac:dyDescent="0.35">
      <c r="A1153" s="1158" t="s">
        <v>829</v>
      </c>
      <c r="B1153" s="1159">
        <v>2047</v>
      </c>
      <c r="C1153" s="1159" t="str">
        <f t="shared" si="29"/>
        <v>Monterey_2047</v>
      </c>
      <c r="D1153" s="1169">
        <v>350.65012870980405</v>
      </c>
    </row>
    <row r="1154" spans="1:4" s="339" customFormat="1" ht="15.5" x14ac:dyDescent="0.35">
      <c r="A1154" s="1158" t="s">
        <v>829</v>
      </c>
      <c r="B1154" s="1159">
        <v>2048</v>
      </c>
      <c r="C1154" s="1159" t="str">
        <f t="shared" si="29"/>
        <v>Monterey_2048</v>
      </c>
      <c r="D1154" s="1169">
        <v>349.88983739134096</v>
      </c>
    </row>
    <row r="1155" spans="1:4" s="339" customFormat="1" ht="15.5" x14ac:dyDescent="0.35">
      <c r="A1155" s="1158" t="s">
        <v>829</v>
      </c>
      <c r="B1155" s="1159">
        <v>2049</v>
      </c>
      <c r="C1155" s="1159" t="str">
        <f t="shared" si="29"/>
        <v>Monterey_2049</v>
      </c>
      <c r="D1155" s="1169">
        <v>349.23936163233185</v>
      </c>
    </row>
    <row r="1156" spans="1:4" s="339" customFormat="1" ht="15.5" x14ac:dyDescent="0.35">
      <c r="A1156" s="1158" t="s">
        <v>829</v>
      </c>
      <c r="B1156" s="1159">
        <v>2050</v>
      </c>
      <c r="C1156" s="1159" t="str">
        <f t="shared" si="29"/>
        <v>Monterey_2050</v>
      </c>
      <c r="D1156" s="1169">
        <v>348.71077541081388</v>
      </c>
    </row>
    <row r="1157" spans="1:4" s="339" customFormat="1" ht="15.5" x14ac:dyDescent="0.35">
      <c r="A1157" s="1160" t="s">
        <v>797</v>
      </c>
      <c r="B1157" s="1161">
        <v>2015</v>
      </c>
      <c r="C1157" s="1161" t="str">
        <f t="shared" si="29"/>
        <v>Mountain Counties_2015</v>
      </c>
      <c r="D1157" s="1168">
        <v>546.79286507337463</v>
      </c>
    </row>
    <row r="1158" spans="1:4" s="339" customFormat="1" ht="15.5" x14ac:dyDescent="0.35">
      <c r="A1158" s="1160" t="s">
        <v>797</v>
      </c>
      <c r="B1158" s="1161">
        <v>2016</v>
      </c>
      <c r="C1158" s="1161" t="str">
        <f t="shared" si="29"/>
        <v>Mountain Counties_2016</v>
      </c>
      <c r="D1158" s="1168">
        <v>536.28730611037577</v>
      </c>
    </row>
    <row r="1159" spans="1:4" s="339" customFormat="1" ht="15.5" x14ac:dyDescent="0.35">
      <c r="A1159" s="1162" t="s">
        <v>797</v>
      </c>
      <c r="B1159" s="1163">
        <v>2017</v>
      </c>
      <c r="C1159" s="1163" t="str">
        <f t="shared" si="29"/>
        <v>Mountain Counties_2017</v>
      </c>
      <c r="D1159" s="1169">
        <v>531.94466351286906</v>
      </c>
    </row>
    <row r="1160" spans="1:4" s="339" customFormat="1" ht="15.5" x14ac:dyDescent="0.35">
      <c r="A1160" s="1162" t="s">
        <v>797</v>
      </c>
      <c r="B1160" s="1163">
        <v>2018</v>
      </c>
      <c r="C1160" s="1163" t="str">
        <f t="shared" si="29"/>
        <v>Mountain Counties_2018</v>
      </c>
      <c r="D1160" s="1169">
        <v>525.61870936525327</v>
      </c>
    </row>
    <row r="1161" spans="1:4" s="339" customFormat="1" ht="15.5" x14ac:dyDescent="0.35">
      <c r="A1161" s="1162" t="s">
        <v>797</v>
      </c>
      <c r="B1161" s="1163">
        <v>2019</v>
      </c>
      <c r="C1161" s="1163" t="str">
        <f t="shared" si="29"/>
        <v>Mountain Counties_2019</v>
      </c>
      <c r="D1161" s="1169">
        <v>516.61550424194104</v>
      </c>
    </row>
    <row r="1162" spans="1:4" s="339" customFormat="1" ht="15.5" x14ac:dyDescent="0.35">
      <c r="A1162" s="1162" t="s">
        <v>797</v>
      </c>
      <c r="B1162" s="1163">
        <v>2020</v>
      </c>
      <c r="C1162" s="1163" t="str">
        <f t="shared" si="29"/>
        <v>Mountain Counties_2020</v>
      </c>
      <c r="D1162" s="1169">
        <v>512.96881176825423</v>
      </c>
    </row>
    <row r="1163" spans="1:4" s="339" customFormat="1" ht="15.5" x14ac:dyDescent="0.35">
      <c r="A1163" s="1162" t="s">
        <v>797</v>
      </c>
      <c r="B1163" s="1163">
        <v>2021</v>
      </c>
      <c r="C1163" s="1163" t="str">
        <f t="shared" si="29"/>
        <v>Mountain Counties_2021</v>
      </c>
      <c r="D1163" s="1169">
        <v>502.6981774236595</v>
      </c>
    </row>
    <row r="1164" spans="1:4" s="339" customFormat="1" ht="15.5" x14ac:dyDescent="0.35">
      <c r="A1164" s="1162" t="s">
        <v>797</v>
      </c>
      <c r="B1164" s="1163">
        <v>2022</v>
      </c>
      <c r="C1164" s="1163" t="str">
        <f t="shared" si="29"/>
        <v>Mountain Counties_2022</v>
      </c>
      <c r="D1164" s="1169">
        <v>493.36226440843745</v>
      </c>
    </row>
    <row r="1165" spans="1:4" s="339" customFormat="1" ht="15.5" x14ac:dyDescent="0.35">
      <c r="A1165" s="1162" t="s">
        <v>797</v>
      </c>
      <c r="B1165" s="1163">
        <v>2023</v>
      </c>
      <c r="C1165" s="1163" t="str">
        <f t="shared" si="29"/>
        <v>Mountain Counties_2023</v>
      </c>
      <c r="D1165" s="1169">
        <v>483.49978559238849</v>
      </c>
    </row>
    <row r="1166" spans="1:4" s="339" customFormat="1" ht="15.5" x14ac:dyDescent="0.35">
      <c r="A1166" s="1162" t="s">
        <v>797</v>
      </c>
      <c r="B1166" s="1163">
        <v>2024</v>
      </c>
      <c r="C1166" s="1163" t="str">
        <f t="shared" si="29"/>
        <v>Mountain Counties_2024</v>
      </c>
      <c r="D1166" s="1169">
        <v>473.49586206812228</v>
      </c>
    </row>
    <row r="1167" spans="1:4" s="339" customFormat="1" ht="15.5" x14ac:dyDescent="0.35">
      <c r="A1167" s="1162" t="s">
        <v>797</v>
      </c>
      <c r="B1167" s="1163">
        <v>2025</v>
      </c>
      <c r="C1167" s="1163" t="str">
        <f t="shared" si="29"/>
        <v>Mountain Counties_2025</v>
      </c>
      <c r="D1167" s="1169">
        <v>463.01044686216761</v>
      </c>
    </row>
    <row r="1168" spans="1:4" s="339" customFormat="1" ht="15.5" x14ac:dyDescent="0.35">
      <c r="A1168" s="1162" t="s">
        <v>797</v>
      </c>
      <c r="B1168" s="1163">
        <v>2026</v>
      </c>
      <c r="C1168" s="1163" t="str">
        <f t="shared" si="29"/>
        <v>Mountain Counties_2026</v>
      </c>
      <c r="D1168" s="1169">
        <v>452.73075461379875</v>
      </c>
    </row>
    <row r="1169" spans="1:4" s="339" customFormat="1" ht="15.5" x14ac:dyDescent="0.35">
      <c r="A1169" s="1162" t="s">
        <v>797</v>
      </c>
      <c r="B1169" s="1163">
        <v>2027</v>
      </c>
      <c r="C1169" s="1163" t="str">
        <f t="shared" si="29"/>
        <v>Mountain Counties_2027</v>
      </c>
      <c r="D1169" s="1169">
        <v>443.16713784023682</v>
      </c>
    </row>
    <row r="1170" spans="1:4" s="339" customFormat="1" ht="15.5" x14ac:dyDescent="0.35">
      <c r="A1170" s="1162" t="s">
        <v>797</v>
      </c>
      <c r="B1170" s="1163">
        <v>2028</v>
      </c>
      <c r="C1170" s="1163" t="str">
        <f t="shared" si="29"/>
        <v>Mountain Counties_2028</v>
      </c>
      <c r="D1170" s="1169">
        <v>433.6243167823776</v>
      </c>
    </row>
    <row r="1171" spans="1:4" s="339" customFormat="1" ht="15.5" x14ac:dyDescent="0.35">
      <c r="A1171" s="1162" t="s">
        <v>797</v>
      </c>
      <c r="B1171" s="1163">
        <v>2029</v>
      </c>
      <c r="C1171" s="1163" t="str">
        <f t="shared" si="29"/>
        <v>Mountain Counties_2029</v>
      </c>
      <c r="D1171" s="1169">
        <v>425.14919916272032</v>
      </c>
    </row>
    <row r="1172" spans="1:4" s="339" customFormat="1" ht="15.5" x14ac:dyDescent="0.35">
      <c r="A1172" s="1162" t="s">
        <v>797</v>
      </c>
      <c r="B1172" s="1163">
        <v>2030</v>
      </c>
      <c r="C1172" s="1163" t="str">
        <f t="shared" si="29"/>
        <v>Mountain Counties_2030</v>
      </c>
      <c r="D1172" s="1169">
        <v>417.36068807373817</v>
      </c>
    </row>
    <row r="1173" spans="1:4" s="339" customFormat="1" ht="15.5" x14ac:dyDescent="0.35">
      <c r="A1173" s="1162" t="s">
        <v>797</v>
      </c>
      <c r="B1173" s="1163">
        <v>2031</v>
      </c>
      <c r="C1173" s="1163" t="str">
        <f t="shared" si="29"/>
        <v>Mountain Counties_2031</v>
      </c>
      <c r="D1173" s="1169">
        <v>410.22616842075041</v>
      </c>
    </row>
    <row r="1174" spans="1:4" s="339" customFormat="1" ht="15.5" x14ac:dyDescent="0.35">
      <c r="A1174" s="1162" t="s">
        <v>797</v>
      </c>
      <c r="B1174" s="1163">
        <v>2032</v>
      </c>
      <c r="C1174" s="1163" t="str">
        <f t="shared" si="29"/>
        <v>Mountain Counties_2032</v>
      </c>
      <c r="D1174" s="1169">
        <v>403.7355788198355</v>
      </c>
    </row>
    <row r="1175" spans="1:4" s="339" customFormat="1" ht="15.5" x14ac:dyDescent="0.35">
      <c r="A1175" s="1162" t="s">
        <v>797</v>
      </c>
      <c r="B1175" s="1163">
        <v>2033</v>
      </c>
      <c r="C1175" s="1163" t="str">
        <f t="shared" si="29"/>
        <v>Mountain Counties_2033</v>
      </c>
      <c r="D1175" s="1169">
        <v>397.84043231111207</v>
      </c>
    </row>
    <row r="1176" spans="1:4" s="339" customFormat="1" ht="15.5" x14ac:dyDescent="0.35">
      <c r="A1176" s="1162" t="s">
        <v>797</v>
      </c>
      <c r="B1176" s="1163">
        <v>2034</v>
      </c>
      <c r="C1176" s="1163" t="str">
        <f t="shared" si="29"/>
        <v>Mountain Counties_2034</v>
      </c>
      <c r="D1176" s="1169">
        <v>392.51536655162238</v>
      </c>
    </row>
    <row r="1177" spans="1:4" s="339" customFormat="1" ht="15.5" x14ac:dyDescent="0.35">
      <c r="A1177" s="1162" t="s">
        <v>797</v>
      </c>
      <c r="B1177" s="1163">
        <v>2035</v>
      </c>
      <c r="C1177" s="1163" t="str">
        <f t="shared" si="29"/>
        <v>Mountain Counties_2035</v>
      </c>
      <c r="D1177" s="1169">
        <v>387.75051369915474</v>
      </c>
    </row>
    <row r="1178" spans="1:4" s="339" customFormat="1" ht="15.5" x14ac:dyDescent="0.35">
      <c r="A1178" s="1162" t="s">
        <v>797</v>
      </c>
      <c r="B1178" s="1163">
        <v>2036</v>
      </c>
      <c r="C1178" s="1163" t="str">
        <f t="shared" si="29"/>
        <v>Mountain Counties_2036</v>
      </c>
      <c r="D1178" s="1169">
        <v>383.59654639015673</v>
      </c>
    </row>
    <row r="1179" spans="1:4" s="339" customFormat="1" ht="15.5" x14ac:dyDescent="0.35">
      <c r="A1179" s="1162" t="s">
        <v>797</v>
      </c>
      <c r="B1179" s="1163">
        <v>2037</v>
      </c>
      <c r="C1179" s="1163" t="str">
        <f t="shared" si="29"/>
        <v>Mountain Counties_2037</v>
      </c>
      <c r="D1179" s="1169">
        <v>379.8638443696974</v>
      </c>
    </row>
    <row r="1180" spans="1:4" s="339" customFormat="1" ht="15.5" x14ac:dyDescent="0.35">
      <c r="A1180" s="1162" t="s">
        <v>797</v>
      </c>
      <c r="B1180" s="1163">
        <v>2038</v>
      </c>
      <c r="C1180" s="1163" t="str">
        <f t="shared" si="29"/>
        <v>Mountain Counties_2038</v>
      </c>
      <c r="D1180" s="1169">
        <v>376.62283641443162</v>
      </c>
    </row>
    <row r="1181" spans="1:4" s="339" customFormat="1" ht="15.5" x14ac:dyDescent="0.35">
      <c r="A1181" s="1162" t="s">
        <v>797</v>
      </c>
      <c r="B1181" s="1163">
        <v>2039</v>
      </c>
      <c r="C1181" s="1163" t="str">
        <f t="shared" si="29"/>
        <v>Mountain Counties_2039</v>
      </c>
      <c r="D1181" s="1169">
        <v>373.76531096423884</v>
      </c>
    </row>
    <row r="1182" spans="1:4" s="339" customFormat="1" ht="15.5" x14ac:dyDescent="0.35">
      <c r="A1182" s="1162" t="s">
        <v>797</v>
      </c>
      <c r="B1182" s="1163">
        <v>2040</v>
      </c>
      <c r="C1182" s="1163" t="str">
        <f t="shared" si="29"/>
        <v>Mountain Counties_2040</v>
      </c>
      <c r="D1182" s="1169">
        <v>371.28689066202054</v>
      </c>
    </row>
    <row r="1183" spans="1:4" s="339" customFormat="1" ht="15.5" x14ac:dyDescent="0.35">
      <c r="A1183" s="1162" t="s">
        <v>797</v>
      </c>
      <c r="B1183" s="1163">
        <v>2041</v>
      </c>
      <c r="C1183" s="1163" t="str">
        <f t="shared" si="29"/>
        <v>Mountain Counties_2041</v>
      </c>
      <c r="D1183" s="1169">
        <v>369.16314696650375</v>
      </c>
    </row>
    <row r="1184" spans="1:4" s="339" customFormat="1" ht="15.5" x14ac:dyDescent="0.35">
      <c r="A1184" s="1162" t="s">
        <v>797</v>
      </c>
      <c r="B1184" s="1163">
        <v>2042</v>
      </c>
      <c r="C1184" s="1163" t="str">
        <f t="shared" si="29"/>
        <v>Mountain Counties_2042</v>
      </c>
      <c r="D1184" s="1169">
        <v>367.29568860581196</v>
      </c>
    </row>
    <row r="1185" spans="1:4" s="339" customFormat="1" ht="15.5" x14ac:dyDescent="0.35">
      <c r="A1185" s="1162" t="s">
        <v>797</v>
      </c>
      <c r="B1185" s="1163">
        <v>2043</v>
      </c>
      <c r="C1185" s="1163" t="str">
        <f t="shared" si="29"/>
        <v>Mountain Counties_2043</v>
      </c>
      <c r="D1185" s="1169">
        <v>365.6834505998375</v>
      </c>
    </row>
    <row r="1186" spans="1:4" s="339" customFormat="1" ht="15.5" x14ac:dyDescent="0.35">
      <c r="A1186" s="1162" t="s">
        <v>797</v>
      </c>
      <c r="B1186" s="1163">
        <v>2044</v>
      </c>
      <c r="C1186" s="1163" t="str">
        <f t="shared" si="29"/>
        <v>Mountain Counties_2044</v>
      </c>
      <c r="D1186" s="1169">
        <v>364.25156328027418</v>
      </c>
    </row>
    <row r="1187" spans="1:4" s="339" customFormat="1" ht="15.5" x14ac:dyDescent="0.35">
      <c r="A1187" s="1162" t="s">
        <v>797</v>
      </c>
      <c r="B1187" s="1163">
        <v>2045</v>
      </c>
      <c r="C1187" s="1163" t="str">
        <f t="shared" ref="C1187:C1192" si="30">CONCATENATE(A1187,"_",B1187)</f>
        <v>Mountain Counties_2045</v>
      </c>
      <c r="D1187" s="1169">
        <v>362.97246852170332</v>
      </c>
    </row>
    <row r="1188" spans="1:4" s="339" customFormat="1" ht="15.5" x14ac:dyDescent="0.35">
      <c r="A1188" s="1162" t="s">
        <v>797</v>
      </c>
      <c r="B1188" s="1163">
        <v>2046</v>
      </c>
      <c r="C1188" s="1163" t="str">
        <f t="shared" si="30"/>
        <v>Mountain Counties_2046</v>
      </c>
      <c r="D1188" s="1169">
        <v>361.83523793240835</v>
      </c>
    </row>
    <row r="1189" spans="1:4" s="339" customFormat="1" ht="15.5" x14ac:dyDescent="0.35">
      <c r="A1189" s="1162" t="s">
        <v>797</v>
      </c>
      <c r="B1189" s="1163">
        <v>2047</v>
      </c>
      <c r="C1189" s="1163" t="str">
        <f t="shared" si="30"/>
        <v>Mountain Counties_2047</v>
      </c>
      <c r="D1189" s="1169">
        <v>360.85129908598134</v>
      </c>
    </row>
    <row r="1190" spans="1:4" s="339" customFormat="1" ht="15.5" x14ac:dyDescent="0.35">
      <c r="A1190" s="1162" t="s">
        <v>797</v>
      </c>
      <c r="B1190" s="1163">
        <v>2048</v>
      </c>
      <c r="C1190" s="1163" t="str">
        <f t="shared" si="30"/>
        <v>Mountain Counties_2048</v>
      </c>
      <c r="D1190" s="1169">
        <v>359.98667910702432</v>
      </c>
    </row>
    <row r="1191" spans="1:4" s="339" customFormat="1" ht="15.5" x14ac:dyDescent="0.35">
      <c r="A1191" s="1162" t="s">
        <v>797</v>
      </c>
      <c r="B1191" s="1163">
        <v>2049</v>
      </c>
      <c r="C1191" s="1163" t="str">
        <f t="shared" si="30"/>
        <v>Mountain Counties_2049</v>
      </c>
      <c r="D1191" s="1169">
        <v>359.22514635773331</v>
      </c>
    </row>
    <row r="1192" spans="1:4" s="339" customFormat="1" ht="15.5" x14ac:dyDescent="0.35">
      <c r="A1192" s="1162" t="s">
        <v>797</v>
      </c>
      <c r="B1192" s="1163">
        <v>2050</v>
      </c>
      <c r="C1192" s="1163" t="str">
        <f t="shared" si="30"/>
        <v>Mountain Counties_2050</v>
      </c>
      <c r="D1192" s="1169">
        <v>358.57078273780496</v>
      </c>
    </row>
    <row r="1193" spans="1:4" s="339" customFormat="1" ht="15.5" x14ac:dyDescent="0.35">
      <c r="A1193" s="1155" t="s">
        <v>830</v>
      </c>
      <c r="B1193" s="1156">
        <v>2015</v>
      </c>
      <c r="C1193" s="1157" t="s">
        <v>913</v>
      </c>
      <c r="D1193" s="1168">
        <v>508.0760022546184</v>
      </c>
    </row>
    <row r="1194" spans="1:4" s="339" customFormat="1" ht="15.5" x14ac:dyDescent="0.35">
      <c r="A1194" s="1155" t="s">
        <v>830</v>
      </c>
      <c r="B1194" s="1156">
        <v>2016</v>
      </c>
      <c r="C1194" s="1157" t="s">
        <v>914</v>
      </c>
      <c r="D1194" s="1168">
        <v>497.42834281938065</v>
      </c>
    </row>
    <row r="1195" spans="1:4" s="339" customFormat="1" ht="15.5" x14ac:dyDescent="0.35">
      <c r="A1195" s="1158" t="s">
        <v>830</v>
      </c>
      <c r="B1195" s="1159">
        <v>2017</v>
      </c>
      <c r="C1195" s="1159" t="str">
        <f t="shared" ref="C1195:C1228" si="31">CONCATENATE(A1195,"_",B1195)</f>
        <v>Napa_2017</v>
      </c>
      <c r="D1195" s="1169">
        <v>493.6121369343054</v>
      </c>
    </row>
    <row r="1196" spans="1:4" s="339" customFormat="1" ht="15.5" x14ac:dyDescent="0.35">
      <c r="A1196" s="1158" t="s">
        <v>830</v>
      </c>
      <c r="B1196" s="1159">
        <v>2018</v>
      </c>
      <c r="C1196" s="1159" t="str">
        <f t="shared" si="31"/>
        <v>Napa_2018</v>
      </c>
      <c r="D1196" s="1169">
        <v>487.70330326608291</v>
      </c>
    </row>
    <row r="1197" spans="1:4" s="339" customFormat="1" ht="15.5" x14ac:dyDescent="0.35">
      <c r="A1197" s="1158" t="s">
        <v>830</v>
      </c>
      <c r="B1197" s="1159">
        <v>2019</v>
      </c>
      <c r="C1197" s="1159" t="str">
        <f t="shared" si="31"/>
        <v>Napa_2019</v>
      </c>
      <c r="D1197" s="1169">
        <v>482.76784032735713</v>
      </c>
    </row>
    <row r="1198" spans="1:4" s="339" customFormat="1" ht="15.5" x14ac:dyDescent="0.35">
      <c r="A1198" s="1158" t="s">
        <v>830</v>
      </c>
      <c r="B1198" s="1159">
        <v>2020</v>
      </c>
      <c r="C1198" s="1159" t="str">
        <f t="shared" si="31"/>
        <v>Napa_2020</v>
      </c>
      <c r="D1198" s="1169">
        <v>478.2283693144862</v>
      </c>
    </row>
    <row r="1199" spans="1:4" s="339" customFormat="1" ht="15.5" x14ac:dyDescent="0.35">
      <c r="A1199" s="1158" t="s">
        <v>830</v>
      </c>
      <c r="B1199" s="1159">
        <v>2021</v>
      </c>
      <c r="C1199" s="1159" t="str">
        <f t="shared" si="31"/>
        <v>Napa_2021</v>
      </c>
      <c r="D1199" s="1169">
        <v>468.89586966510018</v>
      </c>
    </row>
    <row r="1200" spans="1:4" s="339" customFormat="1" ht="15.5" x14ac:dyDescent="0.35">
      <c r="A1200" s="1158" t="s">
        <v>830</v>
      </c>
      <c r="B1200" s="1159">
        <v>2022</v>
      </c>
      <c r="C1200" s="1159" t="str">
        <f t="shared" si="31"/>
        <v>Napa_2022</v>
      </c>
      <c r="D1200" s="1169">
        <v>460.1296479071724</v>
      </c>
    </row>
    <row r="1201" spans="1:4" s="339" customFormat="1" ht="15.5" x14ac:dyDescent="0.35">
      <c r="A1201" s="1158" t="s">
        <v>830</v>
      </c>
      <c r="B1201" s="1159">
        <v>2023</v>
      </c>
      <c r="C1201" s="1159" t="str">
        <f t="shared" si="31"/>
        <v>Napa_2023</v>
      </c>
      <c r="D1201" s="1169">
        <v>450.85755685051242</v>
      </c>
    </row>
    <row r="1202" spans="1:4" s="339" customFormat="1" ht="15.5" x14ac:dyDescent="0.35">
      <c r="A1202" s="1158" t="s">
        <v>830</v>
      </c>
      <c r="B1202" s="1159">
        <v>2024</v>
      </c>
      <c r="C1202" s="1159" t="str">
        <f t="shared" si="31"/>
        <v>Napa_2024</v>
      </c>
      <c r="D1202" s="1169">
        <v>441.21653394165287</v>
      </c>
    </row>
    <row r="1203" spans="1:4" s="339" customFormat="1" ht="15.5" x14ac:dyDescent="0.35">
      <c r="A1203" s="1158" t="s">
        <v>830</v>
      </c>
      <c r="B1203" s="1159">
        <v>2025</v>
      </c>
      <c r="C1203" s="1159" t="str">
        <f t="shared" si="31"/>
        <v>Napa_2025</v>
      </c>
      <c r="D1203" s="1169">
        <v>431.2425441402853</v>
      </c>
    </row>
    <row r="1204" spans="1:4" s="339" customFormat="1" ht="15.5" x14ac:dyDescent="0.35">
      <c r="A1204" s="1158" t="s">
        <v>830</v>
      </c>
      <c r="B1204" s="1159">
        <v>2026</v>
      </c>
      <c r="C1204" s="1159" t="str">
        <f t="shared" si="31"/>
        <v>Napa_2026</v>
      </c>
      <c r="D1204" s="1169">
        <v>421.49151645364702</v>
      </c>
    </row>
    <row r="1205" spans="1:4" s="339" customFormat="1" ht="15.5" x14ac:dyDescent="0.35">
      <c r="A1205" s="1158" t="s">
        <v>830</v>
      </c>
      <c r="B1205" s="1159">
        <v>2027</v>
      </c>
      <c r="C1205" s="1159" t="str">
        <f t="shared" si="31"/>
        <v>Napa_2027</v>
      </c>
      <c r="D1205" s="1169">
        <v>412.22773203006147</v>
      </c>
    </row>
    <row r="1206" spans="1:4" s="339" customFormat="1" ht="15.5" x14ac:dyDescent="0.35">
      <c r="A1206" s="1158" t="s">
        <v>830</v>
      </c>
      <c r="B1206" s="1159">
        <v>2028</v>
      </c>
      <c r="C1206" s="1159" t="str">
        <f t="shared" si="31"/>
        <v>Napa_2028</v>
      </c>
      <c r="D1206" s="1169">
        <v>403.60202657569744</v>
      </c>
    </row>
    <row r="1207" spans="1:4" s="339" customFormat="1" ht="15.5" x14ac:dyDescent="0.35">
      <c r="A1207" s="1158" t="s">
        <v>830</v>
      </c>
      <c r="B1207" s="1159">
        <v>2029</v>
      </c>
      <c r="C1207" s="1159" t="str">
        <f t="shared" si="31"/>
        <v>Napa_2029</v>
      </c>
      <c r="D1207" s="1169">
        <v>395.6279498968774</v>
      </c>
    </row>
    <row r="1208" spans="1:4" s="339" customFormat="1" ht="15.5" x14ac:dyDescent="0.35">
      <c r="A1208" s="1158" t="s">
        <v>830</v>
      </c>
      <c r="B1208" s="1159">
        <v>2030</v>
      </c>
      <c r="C1208" s="1159" t="str">
        <f t="shared" si="31"/>
        <v>Napa_2030</v>
      </c>
      <c r="D1208" s="1169">
        <v>388.31261487778363</v>
      </c>
    </row>
    <row r="1209" spans="1:4" s="339" customFormat="1" ht="15.5" x14ac:dyDescent="0.35">
      <c r="A1209" s="1158" t="s">
        <v>830</v>
      </c>
      <c r="B1209" s="1159">
        <v>2031</v>
      </c>
      <c r="C1209" s="1159" t="str">
        <f t="shared" si="31"/>
        <v>Napa_2031</v>
      </c>
      <c r="D1209" s="1169">
        <v>381.24913634207934</v>
      </c>
    </row>
    <row r="1210" spans="1:4" s="339" customFormat="1" ht="15.5" x14ac:dyDescent="0.35">
      <c r="A1210" s="1158" t="s">
        <v>830</v>
      </c>
      <c r="B1210" s="1159">
        <v>2032</v>
      </c>
      <c r="C1210" s="1159" t="str">
        <f t="shared" si="31"/>
        <v>Napa_2032</v>
      </c>
      <c r="D1210" s="1169">
        <v>375.17959372408359</v>
      </c>
    </row>
    <row r="1211" spans="1:4" s="339" customFormat="1" ht="15.5" x14ac:dyDescent="0.35">
      <c r="A1211" s="1158" t="s">
        <v>830</v>
      </c>
      <c r="B1211" s="1159">
        <v>2033</v>
      </c>
      <c r="C1211" s="1159" t="str">
        <f t="shared" si="31"/>
        <v>Napa_2033</v>
      </c>
      <c r="D1211" s="1169">
        <v>369.68906456344683</v>
      </c>
    </row>
    <row r="1212" spans="1:4" s="339" customFormat="1" ht="15.5" x14ac:dyDescent="0.35">
      <c r="A1212" s="1158" t="s">
        <v>830</v>
      </c>
      <c r="B1212" s="1159">
        <v>2034</v>
      </c>
      <c r="C1212" s="1159" t="str">
        <f t="shared" si="31"/>
        <v>Napa_2034</v>
      </c>
      <c r="D1212" s="1169">
        <v>364.74892406544546</v>
      </c>
    </row>
    <row r="1213" spans="1:4" s="339" customFormat="1" ht="15.5" x14ac:dyDescent="0.35">
      <c r="A1213" s="1158" t="s">
        <v>830</v>
      </c>
      <c r="B1213" s="1159">
        <v>2035</v>
      </c>
      <c r="C1213" s="1159" t="str">
        <f t="shared" si="31"/>
        <v>Napa_2035</v>
      </c>
      <c r="D1213" s="1169">
        <v>360.35482374501538</v>
      </c>
    </row>
    <row r="1214" spans="1:4" s="339" customFormat="1" ht="15.5" x14ac:dyDescent="0.35">
      <c r="A1214" s="1158" t="s">
        <v>830</v>
      </c>
      <c r="B1214" s="1159">
        <v>2036</v>
      </c>
      <c r="C1214" s="1159" t="str">
        <f t="shared" si="31"/>
        <v>Napa_2036</v>
      </c>
      <c r="D1214" s="1169">
        <v>356.48653183519082</v>
      </c>
    </row>
    <row r="1215" spans="1:4" s="339" customFormat="1" ht="15.5" x14ac:dyDescent="0.35">
      <c r="A1215" s="1158" t="s">
        <v>830</v>
      </c>
      <c r="B1215" s="1159">
        <v>2037</v>
      </c>
      <c r="C1215" s="1159" t="str">
        <f t="shared" si="31"/>
        <v>Napa_2037</v>
      </c>
      <c r="D1215" s="1169">
        <v>353.11934807548971</v>
      </c>
    </row>
    <row r="1216" spans="1:4" s="339" customFormat="1" ht="15.5" x14ac:dyDescent="0.35">
      <c r="A1216" s="1158" t="s">
        <v>830</v>
      </c>
      <c r="B1216" s="1159">
        <v>2038</v>
      </c>
      <c r="C1216" s="1159" t="str">
        <f t="shared" si="31"/>
        <v>Napa_2038</v>
      </c>
      <c r="D1216" s="1169">
        <v>350.22109024514833</v>
      </c>
    </row>
    <row r="1217" spans="1:4" s="339" customFormat="1" ht="15.5" x14ac:dyDescent="0.35">
      <c r="A1217" s="1158" t="s">
        <v>830</v>
      </c>
      <c r="B1217" s="1159">
        <v>2039</v>
      </c>
      <c r="C1217" s="1159" t="str">
        <f t="shared" si="31"/>
        <v>Napa_2039</v>
      </c>
      <c r="D1217" s="1169">
        <v>347.73796880131863</v>
      </c>
    </row>
    <row r="1218" spans="1:4" s="339" customFormat="1" ht="15.5" x14ac:dyDescent="0.35">
      <c r="A1218" s="1158" t="s">
        <v>830</v>
      </c>
      <c r="B1218" s="1159">
        <v>2040</v>
      </c>
      <c r="C1218" s="1159" t="str">
        <f t="shared" si="31"/>
        <v>Napa_2040</v>
      </c>
      <c r="D1218" s="1169">
        <v>345.64914123890725</v>
      </c>
    </row>
    <row r="1219" spans="1:4" s="339" customFormat="1" ht="15.5" x14ac:dyDescent="0.35">
      <c r="A1219" s="1158" t="s">
        <v>830</v>
      </c>
      <c r="B1219" s="1159">
        <v>2041</v>
      </c>
      <c r="C1219" s="1159" t="str">
        <f t="shared" si="31"/>
        <v>Napa_2041</v>
      </c>
      <c r="D1219" s="1169">
        <v>343.91846085553965</v>
      </c>
    </row>
    <row r="1220" spans="1:4" s="339" customFormat="1" ht="15.5" x14ac:dyDescent="0.35">
      <c r="A1220" s="1158" t="s">
        <v>830</v>
      </c>
      <c r="B1220" s="1159">
        <v>2042</v>
      </c>
      <c r="C1220" s="1159" t="str">
        <f t="shared" si="31"/>
        <v>Napa_2042</v>
      </c>
      <c r="D1220" s="1169">
        <v>342.45791855127919</v>
      </c>
    </row>
    <row r="1221" spans="1:4" s="339" customFormat="1" ht="15.5" x14ac:dyDescent="0.35">
      <c r="A1221" s="1158" t="s">
        <v>830</v>
      </c>
      <c r="B1221" s="1159">
        <v>2043</v>
      </c>
      <c r="C1221" s="1159" t="str">
        <f t="shared" si="31"/>
        <v>Napa_2043</v>
      </c>
      <c r="D1221" s="1169">
        <v>341.25686678337308</v>
      </c>
    </row>
    <row r="1222" spans="1:4" s="339" customFormat="1" ht="15.5" x14ac:dyDescent="0.35">
      <c r="A1222" s="1158" t="s">
        <v>830</v>
      </c>
      <c r="B1222" s="1159">
        <v>2044</v>
      </c>
      <c r="C1222" s="1159" t="str">
        <f t="shared" si="31"/>
        <v>Napa_2044</v>
      </c>
      <c r="D1222" s="1169">
        <v>340.26054076014776</v>
      </c>
    </row>
    <row r="1223" spans="1:4" s="339" customFormat="1" ht="15.5" x14ac:dyDescent="0.35">
      <c r="A1223" s="1158" t="s">
        <v>830</v>
      </c>
      <c r="B1223" s="1159">
        <v>2045</v>
      </c>
      <c r="C1223" s="1159" t="str">
        <f t="shared" si="31"/>
        <v>Napa_2045</v>
      </c>
      <c r="D1223" s="1169">
        <v>339.40407015611885</v>
      </c>
    </row>
    <row r="1224" spans="1:4" s="339" customFormat="1" ht="15.5" x14ac:dyDescent="0.35">
      <c r="A1224" s="1158" t="s">
        <v>830</v>
      </c>
      <c r="B1224" s="1159">
        <v>2046</v>
      </c>
      <c r="C1224" s="1159" t="str">
        <f t="shared" si="31"/>
        <v>Napa_2046</v>
      </c>
      <c r="D1224" s="1169">
        <v>338.68131196123096</v>
      </c>
    </row>
    <row r="1225" spans="1:4" s="339" customFormat="1" ht="15.5" x14ac:dyDescent="0.35">
      <c r="A1225" s="1158" t="s">
        <v>830</v>
      </c>
      <c r="B1225" s="1159">
        <v>2047</v>
      </c>
      <c r="C1225" s="1159" t="str">
        <f t="shared" si="31"/>
        <v>Napa_2047</v>
      </c>
      <c r="D1225" s="1169">
        <v>338.06933613519539</v>
      </c>
    </row>
    <row r="1226" spans="1:4" s="339" customFormat="1" ht="15.5" x14ac:dyDescent="0.35">
      <c r="A1226" s="1158" t="s">
        <v>830</v>
      </c>
      <c r="B1226" s="1159">
        <v>2048</v>
      </c>
      <c r="C1226" s="1159" t="str">
        <f t="shared" si="31"/>
        <v>Napa_2048</v>
      </c>
      <c r="D1226" s="1169">
        <v>337.55661917622825</v>
      </c>
    </row>
    <row r="1227" spans="1:4" s="339" customFormat="1" ht="15.5" x14ac:dyDescent="0.35">
      <c r="A1227" s="1158" t="s">
        <v>830</v>
      </c>
      <c r="B1227" s="1159">
        <v>2049</v>
      </c>
      <c r="C1227" s="1159" t="str">
        <f t="shared" si="31"/>
        <v>Napa_2049</v>
      </c>
      <c r="D1227" s="1169">
        <v>337.11052929055199</v>
      </c>
    </row>
    <row r="1228" spans="1:4" s="339" customFormat="1" ht="15.5" x14ac:dyDescent="0.35">
      <c r="A1228" s="1158" t="s">
        <v>830</v>
      </c>
      <c r="B1228" s="1159">
        <v>2050</v>
      </c>
      <c r="C1228" s="1159" t="str">
        <f t="shared" si="31"/>
        <v>Napa_2050</v>
      </c>
      <c r="D1228" s="1169">
        <v>336.75795047720487</v>
      </c>
    </row>
    <row r="1229" spans="1:4" s="339" customFormat="1" ht="15.5" x14ac:dyDescent="0.35">
      <c r="A1229" s="1155" t="s">
        <v>831</v>
      </c>
      <c r="B1229" s="1156">
        <v>2015</v>
      </c>
      <c r="C1229" s="1157" t="s">
        <v>915</v>
      </c>
      <c r="D1229" s="1168">
        <v>543.37862196266462</v>
      </c>
    </row>
    <row r="1230" spans="1:4" s="339" customFormat="1" ht="15.5" x14ac:dyDescent="0.35">
      <c r="A1230" s="1155" t="s">
        <v>831</v>
      </c>
      <c r="B1230" s="1156">
        <v>2016</v>
      </c>
      <c r="C1230" s="1157" t="s">
        <v>916</v>
      </c>
      <c r="D1230" s="1168">
        <v>533.4642708231587</v>
      </c>
    </row>
    <row r="1231" spans="1:4" s="339" customFormat="1" ht="15.5" x14ac:dyDescent="0.35">
      <c r="A1231" s="1158" t="s">
        <v>831</v>
      </c>
      <c r="B1231" s="1159">
        <v>2017</v>
      </c>
      <c r="C1231" s="1159" t="str">
        <f t="shared" ref="C1231:C1294" si="32">CONCATENATE(A1231,"_",B1231)</f>
        <v>Nevada_2017</v>
      </c>
      <c r="D1231" s="1169">
        <v>529.24650593476565</v>
      </c>
    </row>
    <row r="1232" spans="1:4" s="339" customFormat="1" ht="15.5" x14ac:dyDescent="0.35">
      <c r="A1232" s="1158" t="s">
        <v>831</v>
      </c>
      <c r="B1232" s="1159">
        <v>2018</v>
      </c>
      <c r="C1232" s="1159" t="str">
        <f t="shared" si="32"/>
        <v>Nevada_2018</v>
      </c>
      <c r="D1232" s="1169">
        <v>523.25156306581687</v>
      </c>
    </row>
    <row r="1233" spans="1:4" s="339" customFormat="1" ht="15.5" x14ac:dyDescent="0.35">
      <c r="A1233" s="1158" t="s">
        <v>831</v>
      </c>
      <c r="B1233" s="1159">
        <v>2019</v>
      </c>
      <c r="C1233" s="1159" t="str">
        <f t="shared" si="32"/>
        <v>Nevada_2019</v>
      </c>
      <c r="D1233" s="1169">
        <v>512.22340968890319</v>
      </c>
    </row>
    <row r="1234" spans="1:4" s="339" customFormat="1" ht="15.5" x14ac:dyDescent="0.35">
      <c r="A1234" s="1158" t="s">
        <v>831</v>
      </c>
      <c r="B1234" s="1159">
        <v>2020</v>
      </c>
      <c r="C1234" s="1159" t="str">
        <f t="shared" si="32"/>
        <v>Nevada_2020</v>
      </c>
      <c r="D1234" s="1169">
        <v>508.43902669973829</v>
      </c>
    </row>
    <row r="1235" spans="1:4" s="339" customFormat="1" ht="15.5" x14ac:dyDescent="0.35">
      <c r="A1235" s="1158" t="s">
        <v>831</v>
      </c>
      <c r="B1235" s="1159">
        <v>2021</v>
      </c>
      <c r="C1235" s="1159" t="str">
        <f t="shared" si="32"/>
        <v>Nevada_2021</v>
      </c>
      <c r="D1235" s="1169">
        <v>498.62382710970684</v>
      </c>
    </row>
    <row r="1236" spans="1:4" s="339" customFormat="1" ht="15.5" x14ac:dyDescent="0.35">
      <c r="A1236" s="1158" t="s">
        <v>831</v>
      </c>
      <c r="B1236" s="1159">
        <v>2022</v>
      </c>
      <c r="C1236" s="1159" t="str">
        <f t="shared" si="32"/>
        <v>Nevada_2022</v>
      </c>
      <c r="D1236" s="1169">
        <v>489.97806440672991</v>
      </c>
    </row>
    <row r="1237" spans="1:4" s="339" customFormat="1" ht="15.5" x14ac:dyDescent="0.35">
      <c r="A1237" s="1158" t="s">
        <v>831</v>
      </c>
      <c r="B1237" s="1159">
        <v>2023</v>
      </c>
      <c r="C1237" s="1159" t="str">
        <f t="shared" si="32"/>
        <v>Nevada_2023</v>
      </c>
      <c r="D1237" s="1169">
        <v>480.81239417441822</v>
      </c>
    </row>
    <row r="1238" spans="1:4" s="339" customFormat="1" ht="15.5" x14ac:dyDescent="0.35">
      <c r="A1238" s="1158" t="s">
        <v>831</v>
      </c>
      <c r="B1238" s="1159">
        <v>2024</v>
      </c>
      <c r="C1238" s="1159" t="str">
        <f t="shared" si="32"/>
        <v>Nevada_2024</v>
      </c>
      <c r="D1238" s="1169">
        <v>471.24034789357461</v>
      </c>
    </row>
    <row r="1239" spans="1:4" s="339" customFormat="1" ht="15.5" x14ac:dyDescent="0.35">
      <c r="A1239" s="1158" t="s">
        <v>831</v>
      </c>
      <c r="B1239" s="1159">
        <v>2025</v>
      </c>
      <c r="C1239" s="1159" t="str">
        <f t="shared" si="32"/>
        <v>Nevada_2025</v>
      </c>
      <c r="D1239" s="1169">
        <v>461.38193009785255</v>
      </c>
    </row>
    <row r="1240" spans="1:4" s="339" customFormat="1" ht="15.5" x14ac:dyDescent="0.35">
      <c r="A1240" s="1158" t="s">
        <v>831</v>
      </c>
      <c r="B1240" s="1159">
        <v>2026</v>
      </c>
      <c r="C1240" s="1159" t="str">
        <f t="shared" si="32"/>
        <v>Nevada_2026</v>
      </c>
      <c r="D1240" s="1169">
        <v>451.64266358487163</v>
      </c>
    </row>
    <row r="1241" spans="1:4" s="339" customFormat="1" ht="15.5" x14ac:dyDescent="0.35">
      <c r="A1241" s="1158" t="s">
        <v>831</v>
      </c>
      <c r="B1241" s="1159">
        <v>2027</v>
      </c>
      <c r="C1241" s="1159" t="str">
        <f t="shared" si="32"/>
        <v>Nevada_2027</v>
      </c>
      <c r="D1241" s="1169">
        <v>442.26179192506646</v>
      </c>
    </row>
    <row r="1242" spans="1:4" s="339" customFormat="1" ht="15.5" x14ac:dyDescent="0.35">
      <c r="A1242" s="1158" t="s">
        <v>831</v>
      </c>
      <c r="B1242" s="1159">
        <v>2028</v>
      </c>
      <c r="C1242" s="1159" t="str">
        <f t="shared" si="32"/>
        <v>Nevada_2028</v>
      </c>
      <c r="D1242" s="1169">
        <v>433.41732665069122</v>
      </c>
    </row>
    <row r="1243" spans="1:4" s="339" customFormat="1" ht="15.5" x14ac:dyDescent="0.35">
      <c r="A1243" s="1158" t="s">
        <v>831</v>
      </c>
      <c r="B1243" s="1159">
        <v>2029</v>
      </c>
      <c r="C1243" s="1159" t="str">
        <f t="shared" si="32"/>
        <v>Nevada_2029</v>
      </c>
      <c r="D1243" s="1169">
        <v>425.1489266806276</v>
      </c>
    </row>
    <row r="1244" spans="1:4" s="339" customFormat="1" ht="15.5" x14ac:dyDescent="0.35">
      <c r="A1244" s="1158" t="s">
        <v>831</v>
      </c>
      <c r="B1244" s="1159">
        <v>2030</v>
      </c>
      <c r="C1244" s="1159" t="str">
        <f t="shared" si="32"/>
        <v>Nevada_2030</v>
      </c>
      <c r="D1244" s="1169">
        <v>417.48246503980289</v>
      </c>
    </row>
    <row r="1245" spans="1:4" s="339" customFormat="1" ht="15.5" x14ac:dyDescent="0.35">
      <c r="A1245" s="1158" t="s">
        <v>831</v>
      </c>
      <c r="B1245" s="1159">
        <v>2031</v>
      </c>
      <c r="C1245" s="1159" t="str">
        <f t="shared" si="32"/>
        <v>Nevada_2031</v>
      </c>
      <c r="D1245" s="1169">
        <v>410.3683467865763</v>
      </c>
    </row>
    <row r="1246" spans="1:4" s="339" customFormat="1" ht="15.5" x14ac:dyDescent="0.35">
      <c r="A1246" s="1158" t="s">
        <v>831</v>
      </c>
      <c r="B1246" s="1159">
        <v>2032</v>
      </c>
      <c r="C1246" s="1159" t="str">
        <f t="shared" si="32"/>
        <v>Nevada_2032</v>
      </c>
      <c r="D1246" s="1169">
        <v>403.82370613944158</v>
      </c>
    </row>
    <row r="1247" spans="1:4" s="339" customFormat="1" ht="15.5" x14ac:dyDescent="0.35">
      <c r="A1247" s="1158" t="s">
        <v>831</v>
      </c>
      <c r="B1247" s="1159">
        <v>2033</v>
      </c>
      <c r="C1247" s="1159" t="str">
        <f t="shared" si="32"/>
        <v>Nevada_2033</v>
      </c>
      <c r="D1247" s="1169">
        <v>397.80426576199943</v>
      </c>
    </row>
    <row r="1248" spans="1:4" s="339" customFormat="1" ht="15.5" x14ac:dyDescent="0.35">
      <c r="A1248" s="1158" t="s">
        <v>831</v>
      </c>
      <c r="B1248" s="1159">
        <v>2034</v>
      </c>
      <c r="C1248" s="1159" t="str">
        <f t="shared" si="32"/>
        <v>Nevada_2034</v>
      </c>
      <c r="D1248" s="1169">
        <v>392.30501062013349</v>
      </c>
    </row>
    <row r="1249" spans="1:4" s="339" customFormat="1" ht="15.5" x14ac:dyDescent="0.35">
      <c r="A1249" s="1158" t="s">
        <v>831</v>
      </c>
      <c r="B1249" s="1159">
        <v>2035</v>
      </c>
      <c r="C1249" s="1159" t="str">
        <f t="shared" si="32"/>
        <v>Nevada_2035</v>
      </c>
      <c r="D1249" s="1169">
        <v>387.31382074250041</v>
      </c>
    </row>
    <row r="1250" spans="1:4" s="339" customFormat="1" ht="15.5" x14ac:dyDescent="0.35">
      <c r="A1250" s="1158" t="s">
        <v>831</v>
      </c>
      <c r="B1250" s="1159">
        <v>2036</v>
      </c>
      <c r="C1250" s="1159" t="str">
        <f t="shared" si="32"/>
        <v>Nevada_2036</v>
      </c>
      <c r="D1250" s="1169">
        <v>382.83639543881907</v>
      </c>
    </row>
    <row r="1251" spans="1:4" s="339" customFormat="1" ht="15.5" x14ac:dyDescent="0.35">
      <c r="A1251" s="1158" t="s">
        <v>831</v>
      </c>
      <c r="B1251" s="1159">
        <v>2037</v>
      </c>
      <c r="C1251" s="1159" t="str">
        <f t="shared" si="32"/>
        <v>Nevada_2037</v>
      </c>
      <c r="D1251" s="1169">
        <v>378.83855293717801</v>
      </c>
    </row>
    <row r="1252" spans="1:4" s="339" customFormat="1" ht="15.5" x14ac:dyDescent="0.35">
      <c r="A1252" s="1158" t="s">
        <v>831</v>
      </c>
      <c r="B1252" s="1159">
        <v>2038</v>
      </c>
      <c r="C1252" s="1159" t="str">
        <f t="shared" si="32"/>
        <v>Nevada_2038</v>
      </c>
      <c r="D1252" s="1169">
        <v>375.31303807786423</v>
      </c>
    </row>
    <row r="1253" spans="1:4" s="339" customFormat="1" ht="15.5" x14ac:dyDescent="0.35">
      <c r="A1253" s="1158" t="s">
        <v>831</v>
      </c>
      <c r="B1253" s="1159">
        <v>2039</v>
      </c>
      <c r="C1253" s="1159" t="str">
        <f t="shared" si="32"/>
        <v>Nevada_2039</v>
      </c>
      <c r="D1253" s="1169">
        <v>372.15729776283638</v>
      </c>
    </row>
    <row r="1254" spans="1:4" s="339" customFormat="1" ht="15.5" x14ac:dyDescent="0.35">
      <c r="A1254" s="1158" t="s">
        <v>831</v>
      </c>
      <c r="B1254" s="1159">
        <v>2040</v>
      </c>
      <c r="C1254" s="1159" t="str">
        <f t="shared" si="32"/>
        <v>Nevada_2040</v>
      </c>
      <c r="D1254" s="1169">
        <v>369.41099680584324</v>
      </c>
    </row>
    <row r="1255" spans="1:4" s="339" customFormat="1" ht="15.5" x14ac:dyDescent="0.35">
      <c r="A1255" s="1158" t="s">
        <v>831</v>
      </c>
      <c r="B1255" s="1159">
        <v>2041</v>
      </c>
      <c r="C1255" s="1159" t="str">
        <f t="shared" si="32"/>
        <v>Nevada_2041</v>
      </c>
      <c r="D1255" s="1169">
        <v>367.03550611631783</v>
      </c>
    </row>
    <row r="1256" spans="1:4" s="339" customFormat="1" ht="15.5" x14ac:dyDescent="0.35">
      <c r="A1256" s="1158" t="s">
        <v>831</v>
      </c>
      <c r="B1256" s="1159">
        <v>2042</v>
      </c>
      <c r="C1256" s="1159" t="str">
        <f t="shared" si="32"/>
        <v>Nevada_2042</v>
      </c>
      <c r="D1256" s="1169">
        <v>364.91978841475162</v>
      </c>
    </row>
    <row r="1257" spans="1:4" s="339" customFormat="1" ht="15.5" x14ac:dyDescent="0.35">
      <c r="A1257" s="1158" t="s">
        <v>831</v>
      </c>
      <c r="B1257" s="1159">
        <v>2043</v>
      </c>
      <c r="C1257" s="1159" t="str">
        <f t="shared" si="32"/>
        <v>Nevada_2043</v>
      </c>
      <c r="D1257" s="1169">
        <v>363.08586284579405</v>
      </c>
    </row>
    <row r="1258" spans="1:4" s="339" customFormat="1" ht="15.5" x14ac:dyDescent="0.35">
      <c r="A1258" s="1158" t="s">
        <v>831</v>
      </c>
      <c r="B1258" s="1159">
        <v>2044</v>
      </c>
      <c r="C1258" s="1159" t="str">
        <f t="shared" si="32"/>
        <v>Nevada_2044</v>
      </c>
      <c r="D1258" s="1169">
        <v>361.4269222168885</v>
      </c>
    </row>
    <row r="1259" spans="1:4" s="339" customFormat="1" ht="15.5" x14ac:dyDescent="0.35">
      <c r="A1259" s="1158" t="s">
        <v>831</v>
      </c>
      <c r="B1259" s="1159">
        <v>2045</v>
      </c>
      <c r="C1259" s="1159" t="str">
        <f t="shared" si="32"/>
        <v>Nevada_2045</v>
      </c>
      <c r="D1259" s="1169">
        <v>359.91563954129975</v>
      </c>
    </row>
    <row r="1260" spans="1:4" s="339" customFormat="1" ht="15.5" x14ac:dyDescent="0.35">
      <c r="A1260" s="1158" t="s">
        <v>831</v>
      </c>
      <c r="B1260" s="1159">
        <v>2046</v>
      </c>
      <c r="C1260" s="1159" t="str">
        <f t="shared" si="32"/>
        <v>Nevada_2046</v>
      </c>
      <c r="D1260" s="1169">
        <v>358.58650087466685</v>
      </c>
    </row>
    <row r="1261" spans="1:4" s="339" customFormat="1" ht="15.5" x14ac:dyDescent="0.35">
      <c r="A1261" s="1158" t="s">
        <v>831</v>
      </c>
      <c r="B1261" s="1159">
        <v>2047</v>
      </c>
      <c r="C1261" s="1159" t="str">
        <f t="shared" si="32"/>
        <v>Nevada_2047</v>
      </c>
      <c r="D1261" s="1169">
        <v>357.41100911919671</v>
      </c>
    </row>
    <row r="1262" spans="1:4" s="339" customFormat="1" ht="15.5" x14ac:dyDescent="0.35">
      <c r="A1262" s="1158" t="s">
        <v>831</v>
      </c>
      <c r="B1262" s="1159">
        <v>2048</v>
      </c>
      <c r="C1262" s="1159" t="str">
        <f t="shared" si="32"/>
        <v>Nevada_2048</v>
      </c>
      <c r="D1262" s="1169">
        <v>356.3795131825284</v>
      </c>
    </row>
    <row r="1263" spans="1:4" s="339" customFormat="1" ht="15.5" x14ac:dyDescent="0.35">
      <c r="A1263" s="1158" t="s">
        <v>831</v>
      </c>
      <c r="B1263" s="1159">
        <v>2049</v>
      </c>
      <c r="C1263" s="1159" t="str">
        <f t="shared" si="32"/>
        <v>Nevada_2049</v>
      </c>
      <c r="D1263" s="1169">
        <v>355.44924335092736</v>
      </c>
    </row>
    <row r="1264" spans="1:4" s="339" customFormat="1" ht="15.5" x14ac:dyDescent="0.35">
      <c r="A1264" s="1158" t="s">
        <v>831</v>
      </c>
      <c r="B1264" s="1159">
        <v>2050</v>
      </c>
      <c r="C1264" s="1159" t="str">
        <f t="shared" si="32"/>
        <v>Nevada_2050</v>
      </c>
      <c r="D1264" s="1169">
        <v>354.66911143342861</v>
      </c>
    </row>
    <row r="1265" spans="1:4" s="339" customFormat="1" ht="15.5" x14ac:dyDescent="0.35">
      <c r="A1265" s="1160" t="s">
        <v>799</v>
      </c>
      <c r="B1265" s="1161">
        <v>2015</v>
      </c>
      <c r="C1265" s="1161" t="str">
        <f t="shared" si="32"/>
        <v>North Central Coast_2015</v>
      </c>
      <c r="D1265" s="1168">
        <v>527.25955488341356</v>
      </c>
    </row>
    <row r="1266" spans="1:4" s="339" customFormat="1" ht="15.5" x14ac:dyDescent="0.35">
      <c r="A1266" s="1160" t="s">
        <v>799</v>
      </c>
      <c r="B1266" s="1161">
        <v>2016</v>
      </c>
      <c r="C1266" s="1161" t="str">
        <f t="shared" si="32"/>
        <v>North Central Coast_2016</v>
      </c>
      <c r="D1266" s="1168">
        <v>517.28086573115706</v>
      </c>
    </row>
    <row r="1267" spans="1:4" s="339" customFormat="1" ht="15.5" x14ac:dyDescent="0.35">
      <c r="A1267" s="1162" t="s">
        <v>799</v>
      </c>
      <c r="B1267" s="1163">
        <v>2017</v>
      </c>
      <c r="C1267" s="1163" t="str">
        <f t="shared" si="32"/>
        <v>North Central Coast_2017</v>
      </c>
      <c r="D1267" s="1169">
        <v>513.4957171147679</v>
      </c>
    </row>
    <row r="1268" spans="1:4" s="339" customFormat="1" ht="15.5" x14ac:dyDescent="0.35">
      <c r="A1268" s="1162" t="s">
        <v>799</v>
      </c>
      <c r="B1268" s="1163">
        <v>2018</v>
      </c>
      <c r="C1268" s="1163" t="str">
        <f t="shared" si="32"/>
        <v>North Central Coast_2018</v>
      </c>
      <c r="D1268" s="1169">
        <v>506.92152275963673</v>
      </c>
    </row>
    <row r="1269" spans="1:4" s="339" customFormat="1" ht="15.5" x14ac:dyDescent="0.35">
      <c r="A1269" s="1162" t="s">
        <v>799</v>
      </c>
      <c r="B1269" s="1163">
        <v>2019</v>
      </c>
      <c r="C1269" s="1163" t="str">
        <f t="shared" si="32"/>
        <v>North Central Coast_2019</v>
      </c>
      <c r="D1269" s="1169">
        <v>498.33841892979603</v>
      </c>
    </row>
    <row r="1270" spans="1:4" s="339" customFormat="1" ht="15.5" x14ac:dyDescent="0.35">
      <c r="A1270" s="1162" t="s">
        <v>799</v>
      </c>
      <c r="B1270" s="1163">
        <v>2020</v>
      </c>
      <c r="C1270" s="1163" t="str">
        <f t="shared" si="32"/>
        <v>North Central Coast_2020</v>
      </c>
      <c r="D1270" s="1169">
        <v>494.50191660989827</v>
      </c>
    </row>
    <row r="1271" spans="1:4" s="339" customFormat="1" ht="15.5" x14ac:dyDescent="0.35">
      <c r="A1271" s="1162" t="s">
        <v>799</v>
      </c>
      <c r="B1271" s="1163">
        <v>2021</v>
      </c>
      <c r="C1271" s="1163" t="str">
        <f t="shared" si="32"/>
        <v>North Central Coast_2021</v>
      </c>
      <c r="D1271" s="1169">
        <v>484.71787047653157</v>
      </c>
    </row>
    <row r="1272" spans="1:4" s="339" customFormat="1" ht="15.5" x14ac:dyDescent="0.35">
      <c r="A1272" s="1162" t="s">
        <v>799</v>
      </c>
      <c r="B1272" s="1163">
        <v>2022</v>
      </c>
      <c r="C1272" s="1163" t="str">
        <f t="shared" si="32"/>
        <v>North Central Coast_2022</v>
      </c>
      <c r="D1272" s="1169">
        <v>476.17609033433342</v>
      </c>
    </row>
    <row r="1273" spans="1:4" s="339" customFormat="1" ht="15.5" x14ac:dyDescent="0.35">
      <c r="A1273" s="1162" t="s">
        <v>799</v>
      </c>
      <c r="B1273" s="1163">
        <v>2023</v>
      </c>
      <c r="C1273" s="1163" t="str">
        <f t="shared" si="32"/>
        <v>North Central Coast_2023</v>
      </c>
      <c r="D1273" s="1169">
        <v>467.14850473318239</v>
      </c>
    </row>
    <row r="1274" spans="1:4" s="339" customFormat="1" ht="15.5" x14ac:dyDescent="0.35">
      <c r="A1274" s="1162" t="s">
        <v>799</v>
      </c>
      <c r="B1274" s="1163">
        <v>2024</v>
      </c>
      <c r="C1274" s="1163" t="str">
        <f t="shared" si="32"/>
        <v>North Central Coast_2024</v>
      </c>
      <c r="D1274" s="1169">
        <v>457.73162346422083</v>
      </c>
    </row>
    <row r="1275" spans="1:4" s="339" customFormat="1" ht="15.5" x14ac:dyDescent="0.35">
      <c r="A1275" s="1162" t="s">
        <v>799</v>
      </c>
      <c r="B1275" s="1163">
        <v>2025</v>
      </c>
      <c r="C1275" s="1163" t="str">
        <f t="shared" si="32"/>
        <v>North Central Coast_2025</v>
      </c>
      <c r="D1275" s="1169">
        <v>448.00067011310557</v>
      </c>
    </row>
    <row r="1276" spans="1:4" s="339" customFormat="1" ht="15.5" x14ac:dyDescent="0.35">
      <c r="A1276" s="1162" t="s">
        <v>799</v>
      </c>
      <c r="B1276" s="1163">
        <v>2026</v>
      </c>
      <c r="C1276" s="1163" t="str">
        <f t="shared" si="32"/>
        <v>North Central Coast_2026</v>
      </c>
      <c r="D1276" s="1169">
        <v>438.43283428979669</v>
      </c>
    </row>
    <row r="1277" spans="1:4" s="339" customFormat="1" ht="15.5" x14ac:dyDescent="0.35">
      <c r="A1277" s="1162" t="s">
        <v>799</v>
      </c>
      <c r="B1277" s="1163">
        <v>2027</v>
      </c>
      <c r="C1277" s="1163" t="str">
        <f t="shared" si="32"/>
        <v>North Central Coast_2027</v>
      </c>
      <c r="D1277" s="1169">
        <v>429.27134547347197</v>
      </c>
    </row>
    <row r="1278" spans="1:4" s="339" customFormat="1" ht="15.5" x14ac:dyDescent="0.35">
      <c r="A1278" s="1162" t="s">
        <v>799</v>
      </c>
      <c r="B1278" s="1163">
        <v>2028</v>
      </c>
      <c r="C1278" s="1163" t="str">
        <f t="shared" si="32"/>
        <v>North Central Coast_2028</v>
      </c>
      <c r="D1278" s="1169">
        <v>420.67904485805838</v>
      </c>
    </row>
    <row r="1279" spans="1:4" s="339" customFormat="1" ht="15.5" x14ac:dyDescent="0.35">
      <c r="A1279" s="1162" t="s">
        <v>799</v>
      </c>
      <c r="B1279" s="1163">
        <v>2029</v>
      </c>
      <c r="C1279" s="1163" t="str">
        <f t="shared" si="32"/>
        <v>North Central Coast_2029</v>
      </c>
      <c r="D1279" s="1169">
        <v>412.68235973225143</v>
      </c>
    </row>
    <row r="1280" spans="1:4" s="339" customFormat="1" ht="15.5" x14ac:dyDescent="0.35">
      <c r="A1280" s="1162" t="s">
        <v>799</v>
      </c>
      <c r="B1280" s="1163">
        <v>2030</v>
      </c>
      <c r="C1280" s="1163" t="str">
        <f t="shared" si="32"/>
        <v>North Central Coast_2030</v>
      </c>
      <c r="D1280" s="1169">
        <v>405.31648895470607</v>
      </c>
    </row>
    <row r="1281" spans="1:4" s="339" customFormat="1" ht="15.5" x14ac:dyDescent="0.35">
      <c r="A1281" s="1162" t="s">
        <v>799</v>
      </c>
      <c r="B1281" s="1163">
        <v>2031</v>
      </c>
      <c r="C1281" s="1163" t="str">
        <f t="shared" si="32"/>
        <v>North Central Coast_2031</v>
      </c>
      <c r="D1281" s="1169">
        <v>398.55112553458747</v>
      </c>
    </row>
    <row r="1282" spans="1:4" s="339" customFormat="1" ht="15.5" x14ac:dyDescent="0.35">
      <c r="A1282" s="1162" t="s">
        <v>799</v>
      </c>
      <c r="B1282" s="1163">
        <v>2032</v>
      </c>
      <c r="C1282" s="1163" t="str">
        <f t="shared" si="32"/>
        <v>North Central Coast_2032</v>
      </c>
      <c r="D1282" s="1169">
        <v>392.36532246480255</v>
      </c>
    </row>
    <row r="1283" spans="1:4" s="339" customFormat="1" ht="15.5" x14ac:dyDescent="0.35">
      <c r="A1283" s="1162" t="s">
        <v>799</v>
      </c>
      <c r="B1283" s="1163">
        <v>2033</v>
      </c>
      <c r="C1283" s="1163" t="str">
        <f t="shared" si="32"/>
        <v>North Central Coast_2033</v>
      </c>
      <c r="D1283" s="1169">
        <v>386.73944897311128</v>
      </c>
    </row>
    <row r="1284" spans="1:4" s="339" customFormat="1" ht="15.5" x14ac:dyDescent="0.35">
      <c r="A1284" s="1162" t="s">
        <v>799</v>
      </c>
      <c r="B1284" s="1163">
        <v>2034</v>
      </c>
      <c r="C1284" s="1163" t="str">
        <f t="shared" si="32"/>
        <v>North Central Coast_2034</v>
      </c>
      <c r="D1284" s="1169">
        <v>381.63561764727035</v>
      </c>
    </row>
    <row r="1285" spans="1:4" s="339" customFormat="1" ht="15.5" x14ac:dyDescent="0.35">
      <c r="A1285" s="1162" t="s">
        <v>799</v>
      </c>
      <c r="B1285" s="1163">
        <v>2035</v>
      </c>
      <c r="C1285" s="1163" t="str">
        <f t="shared" si="32"/>
        <v>North Central Coast_2035</v>
      </c>
      <c r="D1285" s="1169">
        <v>377.03634358052432</v>
      </c>
    </row>
    <row r="1286" spans="1:4" s="339" customFormat="1" ht="15.5" x14ac:dyDescent="0.35">
      <c r="A1286" s="1162" t="s">
        <v>799</v>
      </c>
      <c r="B1286" s="1163">
        <v>2036</v>
      </c>
      <c r="C1286" s="1163" t="str">
        <f t="shared" si="32"/>
        <v>North Central Coast_2036</v>
      </c>
      <c r="D1286" s="1169">
        <v>373.39388525251104</v>
      </c>
    </row>
    <row r="1287" spans="1:4" s="339" customFormat="1" ht="15.5" x14ac:dyDescent="0.35">
      <c r="A1287" s="1162" t="s">
        <v>799</v>
      </c>
      <c r="B1287" s="1163">
        <v>2037</v>
      </c>
      <c r="C1287" s="1163" t="str">
        <f t="shared" si="32"/>
        <v>North Central Coast_2037</v>
      </c>
      <c r="D1287" s="1169">
        <v>369.75910454793728</v>
      </c>
    </row>
    <row r="1288" spans="1:4" s="339" customFormat="1" ht="15.5" x14ac:dyDescent="0.35">
      <c r="A1288" s="1162" t="s">
        <v>799</v>
      </c>
      <c r="B1288" s="1163">
        <v>2038</v>
      </c>
      <c r="C1288" s="1163" t="str">
        <f t="shared" si="32"/>
        <v>North Central Coast_2038</v>
      </c>
      <c r="D1288" s="1169">
        <v>366.58614598797124</v>
      </c>
    </row>
    <row r="1289" spans="1:4" s="339" customFormat="1" ht="15.5" x14ac:dyDescent="0.35">
      <c r="A1289" s="1162" t="s">
        <v>799</v>
      </c>
      <c r="B1289" s="1163">
        <v>2039</v>
      </c>
      <c r="C1289" s="1163" t="str">
        <f t="shared" si="32"/>
        <v>North Central Coast_2039</v>
      </c>
      <c r="D1289" s="1169">
        <v>363.8017662033235</v>
      </c>
    </row>
    <row r="1290" spans="1:4" s="339" customFormat="1" ht="15.5" x14ac:dyDescent="0.35">
      <c r="A1290" s="1162" t="s">
        <v>799</v>
      </c>
      <c r="B1290" s="1163">
        <v>2040</v>
      </c>
      <c r="C1290" s="1163" t="str">
        <f t="shared" si="32"/>
        <v>North Central Coast_2040</v>
      </c>
      <c r="D1290" s="1169">
        <v>361.38937473880259</v>
      </c>
    </row>
    <row r="1291" spans="1:4" s="339" customFormat="1" ht="15.5" x14ac:dyDescent="0.35">
      <c r="A1291" s="1162" t="s">
        <v>799</v>
      </c>
      <c r="B1291" s="1163">
        <v>2041</v>
      </c>
      <c r="C1291" s="1163" t="str">
        <f t="shared" si="32"/>
        <v>North Central Coast_2041</v>
      </c>
      <c r="D1291" s="1169">
        <v>359.32596654454011</v>
      </c>
    </row>
    <row r="1292" spans="1:4" s="339" customFormat="1" ht="15.5" x14ac:dyDescent="0.35">
      <c r="A1292" s="1162" t="s">
        <v>799</v>
      </c>
      <c r="B1292" s="1163">
        <v>2042</v>
      </c>
      <c r="C1292" s="1163" t="str">
        <f t="shared" si="32"/>
        <v>North Central Coast_2042</v>
      </c>
      <c r="D1292" s="1169">
        <v>357.53743364608295</v>
      </c>
    </row>
    <row r="1293" spans="1:4" s="339" customFormat="1" ht="15.5" x14ac:dyDescent="0.35">
      <c r="A1293" s="1162" t="s">
        <v>799</v>
      </c>
      <c r="B1293" s="1163">
        <v>2043</v>
      </c>
      <c r="C1293" s="1163" t="str">
        <f t="shared" si="32"/>
        <v>North Central Coast_2043</v>
      </c>
      <c r="D1293" s="1169">
        <v>356.01451101330491</v>
      </c>
    </row>
    <row r="1294" spans="1:4" s="339" customFormat="1" ht="15.5" x14ac:dyDescent="0.35">
      <c r="A1294" s="1162" t="s">
        <v>799</v>
      </c>
      <c r="B1294" s="1163">
        <v>2044</v>
      </c>
      <c r="C1294" s="1163" t="str">
        <f t="shared" si="32"/>
        <v>North Central Coast_2044</v>
      </c>
      <c r="D1294" s="1169">
        <v>354.69904239172496</v>
      </c>
    </row>
    <row r="1295" spans="1:4" s="339" customFormat="1" ht="15.5" x14ac:dyDescent="0.35">
      <c r="A1295" s="1162" t="s">
        <v>799</v>
      </c>
      <c r="B1295" s="1163">
        <v>2045</v>
      </c>
      <c r="C1295" s="1163" t="str">
        <f t="shared" ref="C1295:C1358" si="33">CONCATENATE(A1295,"_",B1295)</f>
        <v>North Central Coast_2045</v>
      </c>
      <c r="D1295" s="1169">
        <v>353.53153331429081</v>
      </c>
    </row>
    <row r="1296" spans="1:4" s="339" customFormat="1" ht="15.5" x14ac:dyDescent="0.35">
      <c r="A1296" s="1162" t="s">
        <v>799</v>
      </c>
      <c r="B1296" s="1163">
        <v>2046</v>
      </c>
      <c r="C1296" s="1163" t="str">
        <f t="shared" si="33"/>
        <v>North Central Coast_2046</v>
      </c>
      <c r="D1296" s="1169">
        <v>352.50931355220661</v>
      </c>
    </row>
    <row r="1297" spans="1:4" s="339" customFormat="1" ht="15.5" x14ac:dyDescent="0.35">
      <c r="A1297" s="1162" t="s">
        <v>799</v>
      </c>
      <c r="B1297" s="1163">
        <v>2047</v>
      </c>
      <c r="C1297" s="1163" t="str">
        <f t="shared" si="33"/>
        <v>North Central Coast_2047</v>
      </c>
      <c r="D1297" s="1169">
        <v>351.65447109079696</v>
      </c>
    </row>
    <row r="1298" spans="1:4" s="339" customFormat="1" ht="15.5" x14ac:dyDescent="0.35">
      <c r="A1298" s="1162" t="s">
        <v>799</v>
      </c>
      <c r="B1298" s="1163">
        <v>2048</v>
      </c>
      <c r="C1298" s="1163" t="str">
        <f t="shared" si="33"/>
        <v>North Central Coast_2048</v>
      </c>
      <c r="D1298" s="1169">
        <v>350.92548411410871</v>
      </c>
    </row>
    <row r="1299" spans="1:4" s="339" customFormat="1" ht="15.5" x14ac:dyDescent="0.35">
      <c r="A1299" s="1162" t="s">
        <v>799</v>
      </c>
      <c r="B1299" s="1163">
        <v>2049</v>
      </c>
      <c r="C1299" s="1163" t="str">
        <f t="shared" si="33"/>
        <v>North Central Coast_2049</v>
      </c>
      <c r="D1299" s="1169">
        <v>350.30060863962922</v>
      </c>
    </row>
    <row r="1300" spans="1:4" s="339" customFormat="1" ht="15.5" x14ac:dyDescent="0.35">
      <c r="A1300" s="1162" t="s">
        <v>799</v>
      </c>
      <c r="B1300" s="1163">
        <v>2050</v>
      </c>
      <c r="C1300" s="1163" t="str">
        <f t="shared" si="33"/>
        <v>North Central Coast_2050</v>
      </c>
      <c r="D1300" s="1169">
        <v>349.79064721662087</v>
      </c>
    </row>
    <row r="1301" spans="1:4" s="339" customFormat="1" ht="15.5" x14ac:dyDescent="0.35">
      <c r="A1301" s="1160" t="s">
        <v>801</v>
      </c>
      <c r="B1301" s="1161">
        <v>2015</v>
      </c>
      <c r="C1301" s="1161" t="str">
        <f t="shared" si="33"/>
        <v>North Coast_2015</v>
      </c>
      <c r="D1301" s="1168">
        <v>541.19004659294842</v>
      </c>
    </row>
    <row r="1302" spans="1:4" s="339" customFormat="1" ht="15.5" x14ac:dyDescent="0.35">
      <c r="A1302" s="1160" t="s">
        <v>801</v>
      </c>
      <c r="B1302" s="1161">
        <v>2016</v>
      </c>
      <c r="C1302" s="1161" t="str">
        <f t="shared" si="33"/>
        <v>North Coast_2016</v>
      </c>
      <c r="D1302" s="1168">
        <v>530.68844508491418</v>
      </c>
    </row>
    <row r="1303" spans="1:4" s="339" customFormat="1" ht="15.5" x14ac:dyDescent="0.35">
      <c r="A1303" s="1162" t="s">
        <v>801</v>
      </c>
      <c r="B1303" s="1163">
        <v>2017</v>
      </c>
      <c r="C1303" s="1163" t="str">
        <f t="shared" si="33"/>
        <v>North Coast_2017</v>
      </c>
      <c r="D1303" s="1169">
        <v>526.91964081823517</v>
      </c>
    </row>
    <row r="1304" spans="1:4" s="339" customFormat="1" ht="15.5" x14ac:dyDescent="0.35">
      <c r="A1304" s="1162" t="s">
        <v>801</v>
      </c>
      <c r="B1304" s="1163">
        <v>2018</v>
      </c>
      <c r="C1304" s="1163" t="str">
        <f t="shared" si="33"/>
        <v>North Coast_2018</v>
      </c>
      <c r="D1304" s="1169">
        <v>520.38916259020664</v>
      </c>
    </row>
    <row r="1305" spans="1:4" s="339" customFormat="1" ht="15.5" x14ac:dyDescent="0.35">
      <c r="A1305" s="1162" t="s">
        <v>801</v>
      </c>
      <c r="B1305" s="1163">
        <v>2019</v>
      </c>
      <c r="C1305" s="1163" t="str">
        <f t="shared" si="33"/>
        <v>North Coast_2019</v>
      </c>
      <c r="D1305" s="1169">
        <v>512.06893819124946</v>
      </c>
    </row>
    <row r="1306" spans="1:4" s="339" customFormat="1" ht="15.5" x14ac:dyDescent="0.35">
      <c r="A1306" s="1162" t="s">
        <v>801</v>
      </c>
      <c r="B1306" s="1163">
        <v>2020</v>
      </c>
      <c r="C1306" s="1163" t="str">
        <f t="shared" si="33"/>
        <v>North Coast_2020</v>
      </c>
      <c r="D1306" s="1169">
        <v>507.83493145731421</v>
      </c>
    </row>
    <row r="1307" spans="1:4" s="339" customFormat="1" ht="15.5" x14ac:dyDescent="0.35">
      <c r="A1307" s="1162" t="s">
        <v>801</v>
      </c>
      <c r="B1307" s="1163">
        <v>2021</v>
      </c>
      <c r="C1307" s="1163" t="str">
        <f t="shared" si="33"/>
        <v>North Coast_2021</v>
      </c>
      <c r="D1307" s="1169">
        <v>498.19991639305891</v>
      </c>
    </row>
    <row r="1308" spans="1:4" s="339" customFormat="1" ht="15.5" x14ac:dyDescent="0.35">
      <c r="A1308" s="1162" t="s">
        <v>801</v>
      </c>
      <c r="B1308" s="1163">
        <v>2022</v>
      </c>
      <c r="C1308" s="1163" t="str">
        <f t="shared" si="33"/>
        <v>North Coast_2022</v>
      </c>
      <c r="D1308" s="1169">
        <v>489.51135054681737</v>
      </c>
    </row>
    <row r="1309" spans="1:4" s="339" customFormat="1" ht="15.5" x14ac:dyDescent="0.35">
      <c r="A1309" s="1162" t="s">
        <v>801</v>
      </c>
      <c r="B1309" s="1163">
        <v>2023</v>
      </c>
      <c r="C1309" s="1163" t="str">
        <f t="shared" si="33"/>
        <v>North Coast_2023</v>
      </c>
      <c r="D1309" s="1169">
        <v>480.2791985693749</v>
      </c>
    </row>
    <row r="1310" spans="1:4" s="339" customFormat="1" ht="15.5" x14ac:dyDescent="0.35">
      <c r="A1310" s="1162" t="s">
        <v>801</v>
      </c>
      <c r="B1310" s="1163">
        <v>2024</v>
      </c>
      <c r="C1310" s="1163" t="str">
        <f t="shared" si="33"/>
        <v>North Coast_2024</v>
      </c>
      <c r="D1310" s="1169">
        <v>470.65424772859217</v>
      </c>
    </row>
    <row r="1311" spans="1:4" s="339" customFormat="1" ht="15.5" x14ac:dyDescent="0.35">
      <c r="A1311" s="1162" t="s">
        <v>801</v>
      </c>
      <c r="B1311" s="1163">
        <v>2025</v>
      </c>
      <c r="C1311" s="1163" t="str">
        <f t="shared" si="33"/>
        <v>North Coast_2025</v>
      </c>
      <c r="D1311" s="1169">
        <v>460.76309469451417</v>
      </c>
    </row>
    <row r="1312" spans="1:4" s="339" customFormat="1" ht="15.5" x14ac:dyDescent="0.35">
      <c r="A1312" s="1162" t="s">
        <v>801</v>
      </c>
      <c r="B1312" s="1163">
        <v>2026</v>
      </c>
      <c r="C1312" s="1163" t="str">
        <f t="shared" si="33"/>
        <v>North Coast_2026</v>
      </c>
      <c r="D1312" s="1169">
        <v>451.03968286702172</v>
      </c>
    </row>
    <row r="1313" spans="1:4" s="339" customFormat="1" ht="15.5" x14ac:dyDescent="0.35">
      <c r="A1313" s="1162" t="s">
        <v>801</v>
      </c>
      <c r="B1313" s="1163">
        <v>2027</v>
      </c>
      <c r="C1313" s="1163" t="str">
        <f t="shared" si="33"/>
        <v>North Coast_2027</v>
      </c>
      <c r="D1313" s="1169">
        <v>441.71680221256997</v>
      </c>
    </row>
    <row r="1314" spans="1:4" s="339" customFormat="1" ht="15.5" x14ac:dyDescent="0.35">
      <c r="A1314" s="1162" t="s">
        <v>801</v>
      </c>
      <c r="B1314" s="1163">
        <v>2028</v>
      </c>
      <c r="C1314" s="1163" t="str">
        <f t="shared" si="33"/>
        <v>North Coast_2028</v>
      </c>
      <c r="D1314" s="1169">
        <v>432.94318596045071</v>
      </c>
    </row>
    <row r="1315" spans="1:4" s="339" customFormat="1" ht="15.5" x14ac:dyDescent="0.35">
      <c r="A1315" s="1162" t="s">
        <v>801</v>
      </c>
      <c r="B1315" s="1163">
        <v>2029</v>
      </c>
      <c r="C1315" s="1163" t="str">
        <f t="shared" si="33"/>
        <v>North Coast_2029</v>
      </c>
      <c r="D1315" s="1169">
        <v>424.74128752416954</v>
      </c>
    </row>
    <row r="1316" spans="1:4" s="339" customFormat="1" ht="15.5" x14ac:dyDescent="0.35">
      <c r="A1316" s="1162" t="s">
        <v>801</v>
      </c>
      <c r="B1316" s="1163">
        <v>2030</v>
      </c>
      <c r="C1316" s="1163" t="str">
        <f t="shared" si="33"/>
        <v>North Coast_2030</v>
      </c>
      <c r="D1316" s="1169">
        <v>417.12233730953585</v>
      </c>
    </row>
    <row r="1317" spans="1:4" s="339" customFormat="1" ht="15.5" x14ac:dyDescent="0.35">
      <c r="A1317" s="1162" t="s">
        <v>801</v>
      </c>
      <c r="B1317" s="1163">
        <v>2031</v>
      </c>
      <c r="C1317" s="1163" t="str">
        <f t="shared" si="33"/>
        <v>North Coast_2031</v>
      </c>
      <c r="D1317" s="1169">
        <v>410.2008943695231</v>
      </c>
    </row>
    <row r="1318" spans="1:4" s="339" customFormat="1" ht="15.5" x14ac:dyDescent="0.35">
      <c r="A1318" s="1162" t="s">
        <v>801</v>
      </c>
      <c r="B1318" s="1163">
        <v>2032</v>
      </c>
      <c r="C1318" s="1163" t="str">
        <f t="shared" si="33"/>
        <v>North Coast_2032</v>
      </c>
      <c r="D1318" s="1169">
        <v>403.68686226158508</v>
      </c>
    </row>
    <row r="1319" spans="1:4" s="339" customFormat="1" ht="15.5" x14ac:dyDescent="0.35">
      <c r="A1319" s="1162" t="s">
        <v>801</v>
      </c>
      <c r="B1319" s="1163">
        <v>2033</v>
      </c>
      <c r="C1319" s="1163" t="str">
        <f t="shared" si="33"/>
        <v>North Coast_2033</v>
      </c>
      <c r="D1319" s="1169">
        <v>397.71017824924081</v>
      </c>
    </row>
    <row r="1320" spans="1:4" s="339" customFormat="1" ht="15.5" x14ac:dyDescent="0.35">
      <c r="A1320" s="1162" t="s">
        <v>801</v>
      </c>
      <c r="B1320" s="1163">
        <v>2034</v>
      </c>
      <c r="C1320" s="1163" t="str">
        <f t="shared" si="33"/>
        <v>North Coast_2034</v>
      </c>
      <c r="D1320" s="1169">
        <v>392.23809503612176</v>
      </c>
    </row>
    <row r="1321" spans="1:4" s="339" customFormat="1" ht="15.5" x14ac:dyDescent="0.35">
      <c r="A1321" s="1162" t="s">
        <v>801</v>
      </c>
      <c r="B1321" s="1163">
        <v>2035</v>
      </c>
      <c r="C1321" s="1163" t="str">
        <f t="shared" si="33"/>
        <v>North Coast_2035</v>
      </c>
      <c r="D1321" s="1169">
        <v>387.2921667676232</v>
      </c>
    </row>
    <row r="1322" spans="1:4" s="339" customFormat="1" ht="15.5" x14ac:dyDescent="0.35">
      <c r="A1322" s="1162" t="s">
        <v>801</v>
      </c>
      <c r="B1322" s="1163">
        <v>2036</v>
      </c>
      <c r="C1322" s="1163" t="str">
        <f t="shared" si="33"/>
        <v>North Coast_2036</v>
      </c>
      <c r="D1322" s="1169">
        <v>382.84584825243581</v>
      </c>
    </row>
    <row r="1323" spans="1:4" s="339" customFormat="1" ht="15.5" x14ac:dyDescent="0.35">
      <c r="A1323" s="1162" t="s">
        <v>801</v>
      </c>
      <c r="B1323" s="1163">
        <v>2037</v>
      </c>
      <c r="C1323" s="1163" t="str">
        <f t="shared" si="33"/>
        <v>North Coast_2037</v>
      </c>
      <c r="D1323" s="1169">
        <v>378.90739997065225</v>
      </c>
    </row>
    <row r="1324" spans="1:4" s="339" customFormat="1" ht="15.5" x14ac:dyDescent="0.35">
      <c r="A1324" s="1162" t="s">
        <v>801</v>
      </c>
      <c r="B1324" s="1163">
        <v>2038</v>
      </c>
      <c r="C1324" s="1163" t="str">
        <f t="shared" si="33"/>
        <v>North Coast_2038</v>
      </c>
      <c r="D1324" s="1169">
        <v>375.44515535697735</v>
      </c>
    </row>
    <row r="1325" spans="1:4" s="339" customFormat="1" ht="15.5" x14ac:dyDescent="0.35">
      <c r="A1325" s="1162" t="s">
        <v>801</v>
      </c>
      <c r="B1325" s="1163">
        <v>2039</v>
      </c>
      <c r="C1325" s="1163" t="str">
        <f t="shared" si="33"/>
        <v>North Coast_2039</v>
      </c>
      <c r="D1325" s="1169">
        <v>372.38570508176173</v>
      </c>
    </row>
    <row r="1326" spans="1:4" s="339" customFormat="1" ht="15.5" x14ac:dyDescent="0.35">
      <c r="A1326" s="1162" t="s">
        <v>801</v>
      </c>
      <c r="B1326" s="1163">
        <v>2040</v>
      </c>
      <c r="C1326" s="1163" t="str">
        <f t="shared" si="33"/>
        <v>North Coast_2040</v>
      </c>
      <c r="D1326" s="1169">
        <v>369.72648410079319</v>
      </c>
    </row>
    <row r="1327" spans="1:4" s="339" customFormat="1" ht="15.5" x14ac:dyDescent="0.35">
      <c r="A1327" s="1162" t="s">
        <v>801</v>
      </c>
      <c r="B1327" s="1163">
        <v>2041</v>
      </c>
      <c r="C1327" s="1163" t="str">
        <f t="shared" si="33"/>
        <v>North Coast_2041</v>
      </c>
      <c r="D1327" s="1169">
        <v>367.4450121506261</v>
      </c>
    </row>
    <row r="1328" spans="1:4" s="339" customFormat="1" ht="15.5" x14ac:dyDescent="0.35">
      <c r="A1328" s="1162" t="s">
        <v>801</v>
      </c>
      <c r="B1328" s="1163">
        <v>2042</v>
      </c>
      <c r="C1328" s="1163" t="str">
        <f t="shared" si="33"/>
        <v>North Coast_2042</v>
      </c>
      <c r="D1328" s="1169">
        <v>365.44218301435967</v>
      </c>
    </row>
    <row r="1329" spans="1:4" s="339" customFormat="1" ht="15.5" x14ac:dyDescent="0.35">
      <c r="A1329" s="1162" t="s">
        <v>801</v>
      </c>
      <c r="B1329" s="1163">
        <v>2043</v>
      </c>
      <c r="C1329" s="1163" t="str">
        <f t="shared" si="33"/>
        <v>North Coast_2043</v>
      </c>
      <c r="D1329" s="1169">
        <v>363.72257069400877</v>
      </c>
    </row>
    <row r="1330" spans="1:4" s="339" customFormat="1" ht="15.5" x14ac:dyDescent="0.35">
      <c r="A1330" s="1162" t="s">
        <v>801</v>
      </c>
      <c r="B1330" s="1163">
        <v>2044</v>
      </c>
      <c r="C1330" s="1163" t="str">
        <f t="shared" si="33"/>
        <v>North Coast_2044</v>
      </c>
      <c r="D1330" s="1169">
        <v>362.2428774157529</v>
      </c>
    </row>
    <row r="1331" spans="1:4" s="339" customFormat="1" ht="15.5" x14ac:dyDescent="0.35">
      <c r="A1331" s="1162" t="s">
        <v>801</v>
      </c>
      <c r="B1331" s="1163">
        <v>2045</v>
      </c>
      <c r="C1331" s="1163" t="str">
        <f t="shared" si="33"/>
        <v>North Coast_2045</v>
      </c>
      <c r="D1331" s="1169">
        <v>360.92886056817383</v>
      </c>
    </row>
    <row r="1332" spans="1:4" s="339" customFormat="1" ht="15.5" x14ac:dyDescent="0.35">
      <c r="A1332" s="1162" t="s">
        <v>801</v>
      </c>
      <c r="B1332" s="1163">
        <v>2046</v>
      </c>
      <c r="C1332" s="1163" t="str">
        <f t="shared" si="33"/>
        <v>North Coast_2046</v>
      </c>
      <c r="D1332" s="1169">
        <v>359.78423444478477</v>
      </c>
    </row>
    <row r="1333" spans="1:4" s="339" customFormat="1" ht="15.5" x14ac:dyDescent="0.35">
      <c r="A1333" s="1162" t="s">
        <v>801</v>
      </c>
      <c r="B1333" s="1163">
        <v>2047</v>
      </c>
      <c r="C1333" s="1163" t="str">
        <f t="shared" si="33"/>
        <v>North Coast_2047</v>
      </c>
      <c r="D1333" s="1169">
        <v>358.80219300475517</v>
      </c>
    </row>
    <row r="1334" spans="1:4" s="339" customFormat="1" ht="15.5" x14ac:dyDescent="0.35">
      <c r="A1334" s="1162" t="s">
        <v>801</v>
      </c>
      <c r="B1334" s="1163">
        <v>2048</v>
      </c>
      <c r="C1334" s="1163" t="str">
        <f t="shared" si="33"/>
        <v>North Coast_2048</v>
      </c>
      <c r="D1334" s="1169">
        <v>357.94992512848978</v>
      </c>
    </row>
    <row r="1335" spans="1:4" s="339" customFormat="1" ht="15.5" x14ac:dyDescent="0.35">
      <c r="A1335" s="1162" t="s">
        <v>801</v>
      </c>
      <c r="B1335" s="1163">
        <v>2049</v>
      </c>
      <c r="C1335" s="1163" t="str">
        <f t="shared" si="33"/>
        <v>North Coast_2049</v>
      </c>
      <c r="D1335" s="1169">
        <v>357.21063295480377</v>
      </c>
    </row>
    <row r="1336" spans="1:4" s="339" customFormat="1" ht="15.5" x14ac:dyDescent="0.35">
      <c r="A1336" s="1162" t="s">
        <v>801</v>
      </c>
      <c r="B1336" s="1163">
        <v>2050</v>
      </c>
      <c r="C1336" s="1163" t="str">
        <f t="shared" si="33"/>
        <v>North Coast_2050</v>
      </c>
      <c r="D1336" s="1169">
        <v>356.59883388802643</v>
      </c>
    </row>
    <row r="1337" spans="1:4" s="339" customFormat="1" ht="15.5" x14ac:dyDescent="0.35">
      <c r="A1337" s="1160" t="s">
        <v>803</v>
      </c>
      <c r="B1337" s="1161">
        <v>2015</v>
      </c>
      <c r="C1337" s="1161" t="str">
        <f t="shared" si="33"/>
        <v>Northeast Plateau_2015</v>
      </c>
      <c r="D1337" s="1168">
        <v>576.03969692313478</v>
      </c>
    </row>
    <row r="1338" spans="1:4" s="339" customFormat="1" ht="15.5" x14ac:dyDescent="0.35">
      <c r="A1338" s="1160" t="s">
        <v>803</v>
      </c>
      <c r="B1338" s="1161">
        <v>2016</v>
      </c>
      <c r="C1338" s="1161" t="str">
        <f t="shared" si="33"/>
        <v>Northeast Plateau_2016</v>
      </c>
      <c r="D1338" s="1168">
        <v>563.56190984006821</v>
      </c>
    </row>
    <row r="1339" spans="1:4" s="339" customFormat="1" ht="15.5" x14ac:dyDescent="0.35">
      <c r="A1339" s="1162" t="s">
        <v>803</v>
      </c>
      <c r="B1339" s="1163">
        <v>2017</v>
      </c>
      <c r="C1339" s="1163" t="str">
        <f t="shared" si="33"/>
        <v>Northeast Plateau_2017</v>
      </c>
      <c r="D1339" s="1169">
        <v>559.61531689590061</v>
      </c>
    </row>
    <row r="1340" spans="1:4" s="339" customFormat="1" ht="15.5" x14ac:dyDescent="0.35">
      <c r="A1340" s="1162" t="s">
        <v>803</v>
      </c>
      <c r="B1340" s="1163">
        <v>2018</v>
      </c>
      <c r="C1340" s="1163" t="str">
        <f t="shared" si="33"/>
        <v>Northeast Plateau_2018</v>
      </c>
      <c r="D1340" s="1169">
        <v>552.47045684981481</v>
      </c>
    </row>
    <row r="1341" spans="1:4" s="339" customFormat="1" ht="15.5" x14ac:dyDescent="0.35">
      <c r="A1341" s="1162" t="s">
        <v>803</v>
      </c>
      <c r="B1341" s="1163">
        <v>2019</v>
      </c>
      <c r="C1341" s="1163" t="str">
        <f t="shared" si="33"/>
        <v>Northeast Plateau_2019</v>
      </c>
      <c r="D1341" s="1169">
        <v>543.67292173150884</v>
      </c>
    </row>
    <row r="1342" spans="1:4" s="339" customFormat="1" ht="15.5" x14ac:dyDescent="0.35">
      <c r="A1342" s="1162" t="s">
        <v>803</v>
      </c>
      <c r="B1342" s="1163">
        <v>2020</v>
      </c>
      <c r="C1342" s="1163" t="str">
        <f t="shared" si="33"/>
        <v>Northeast Plateau_2020</v>
      </c>
      <c r="D1342" s="1169">
        <v>539.09909055495518</v>
      </c>
    </row>
    <row r="1343" spans="1:4" s="339" customFormat="1" ht="15.5" x14ac:dyDescent="0.35">
      <c r="A1343" s="1162" t="s">
        <v>803</v>
      </c>
      <c r="B1343" s="1163">
        <v>2021</v>
      </c>
      <c r="C1343" s="1163" t="str">
        <f t="shared" si="33"/>
        <v>Northeast Plateau_2021</v>
      </c>
      <c r="D1343" s="1169">
        <v>528.40910743849076</v>
      </c>
    </row>
    <row r="1344" spans="1:4" s="339" customFormat="1" ht="15.5" x14ac:dyDescent="0.35">
      <c r="A1344" s="1162" t="s">
        <v>803</v>
      </c>
      <c r="B1344" s="1163">
        <v>2022</v>
      </c>
      <c r="C1344" s="1163" t="str">
        <f t="shared" si="33"/>
        <v>Northeast Plateau_2022</v>
      </c>
      <c r="D1344" s="1169">
        <v>518.57706464704404</v>
      </c>
    </row>
    <row r="1345" spans="1:4" s="339" customFormat="1" ht="15.5" x14ac:dyDescent="0.35">
      <c r="A1345" s="1162" t="s">
        <v>803</v>
      </c>
      <c r="B1345" s="1163">
        <v>2023</v>
      </c>
      <c r="C1345" s="1163" t="str">
        <f t="shared" si="33"/>
        <v>Northeast Plateau_2023</v>
      </c>
      <c r="D1345" s="1169">
        <v>508.27811207029242</v>
      </c>
    </row>
    <row r="1346" spans="1:4" s="339" customFormat="1" ht="15.5" x14ac:dyDescent="0.35">
      <c r="A1346" s="1162" t="s">
        <v>803</v>
      </c>
      <c r="B1346" s="1163">
        <v>2024</v>
      </c>
      <c r="C1346" s="1163" t="str">
        <f t="shared" si="33"/>
        <v>Northeast Plateau_2024</v>
      </c>
      <c r="D1346" s="1169">
        <v>497.61887221689511</v>
      </c>
    </row>
    <row r="1347" spans="1:4" s="339" customFormat="1" ht="15.5" x14ac:dyDescent="0.35">
      <c r="A1347" s="1162" t="s">
        <v>803</v>
      </c>
      <c r="B1347" s="1163">
        <v>2025</v>
      </c>
      <c r="C1347" s="1163" t="str">
        <f t="shared" si="33"/>
        <v>Northeast Plateau_2025</v>
      </c>
      <c r="D1347" s="1169">
        <v>486.74018915221518</v>
      </c>
    </row>
    <row r="1348" spans="1:4" s="339" customFormat="1" ht="15.5" x14ac:dyDescent="0.35">
      <c r="A1348" s="1162" t="s">
        <v>803</v>
      </c>
      <c r="B1348" s="1163">
        <v>2026</v>
      </c>
      <c r="C1348" s="1163" t="str">
        <f t="shared" si="33"/>
        <v>Northeast Plateau_2026</v>
      </c>
      <c r="D1348" s="1169">
        <v>476.15058351428257</v>
      </c>
    </row>
    <row r="1349" spans="1:4" s="339" customFormat="1" ht="15.5" x14ac:dyDescent="0.35">
      <c r="A1349" s="1162" t="s">
        <v>803</v>
      </c>
      <c r="B1349" s="1163">
        <v>2027</v>
      </c>
      <c r="C1349" s="1163" t="str">
        <f t="shared" si="33"/>
        <v>Northeast Plateau_2027</v>
      </c>
      <c r="D1349" s="1169">
        <v>466.14244275723712</v>
      </c>
    </row>
    <row r="1350" spans="1:4" s="339" customFormat="1" ht="15.5" x14ac:dyDescent="0.35">
      <c r="A1350" s="1162" t="s">
        <v>803</v>
      </c>
      <c r="B1350" s="1163">
        <v>2028</v>
      </c>
      <c r="C1350" s="1163" t="str">
        <f t="shared" si="33"/>
        <v>Northeast Plateau_2028</v>
      </c>
      <c r="D1350" s="1169">
        <v>456.85533743717497</v>
      </c>
    </row>
    <row r="1351" spans="1:4" s="339" customFormat="1" ht="15.5" x14ac:dyDescent="0.35">
      <c r="A1351" s="1162" t="s">
        <v>803</v>
      </c>
      <c r="B1351" s="1163">
        <v>2029</v>
      </c>
      <c r="C1351" s="1163" t="str">
        <f t="shared" si="33"/>
        <v>Northeast Plateau_2029</v>
      </c>
      <c r="D1351" s="1169">
        <v>448.28413867245456</v>
      </c>
    </row>
    <row r="1352" spans="1:4" s="339" customFormat="1" ht="15.5" x14ac:dyDescent="0.35">
      <c r="A1352" s="1162" t="s">
        <v>803</v>
      </c>
      <c r="B1352" s="1163">
        <v>2030</v>
      </c>
      <c r="C1352" s="1163" t="str">
        <f t="shared" si="33"/>
        <v>Northeast Plateau_2030</v>
      </c>
      <c r="D1352" s="1169">
        <v>440.42434956895892</v>
      </c>
    </row>
    <row r="1353" spans="1:4" s="339" customFormat="1" ht="15.5" x14ac:dyDescent="0.35">
      <c r="A1353" s="1162" t="s">
        <v>803</v>
      </c>
      <c r="B1353" s="1163">
        <v>2031</v>
      </c>
      <c r="C1353" s="1163" t="str">
        <f t="shared" si="33"/>
        <v>Northeast Plateau_2031</v>
      </c>
      <c r="D1353" s="1169">
        <v>433.2467772135073</v>
      </c>
    </row>
    <row r="1354" spans="1:4" s="339" customFormat="1" ht="15.5" x14ac:dyDescent="0.35">
      <c r="A1354" s="1162" t="s">
        <v>803</v>
      </c>
      <c r="B1354" s="1163">
        <v>2032</v>
      </c>
      <c r="C1354" s="1163" t="str">
        <f t="shared" si="33"/>
        <v>Northeast Plateau_2032</v>
      </c>
      <c r="D1354" s="1169">
        <v>426.70829495806237</v>
      </c>
    </row>
    <row r="1355" spans="1:4" s="339" customFormat="1" ht="15.5" x14ac:dyDescent="0.35">
      <c r="A1355" s="1162" t="s">
        <v>803</v>
      </c>
      <c r="B1355" s="1163">
        <v>2033</v>
      </c>
      <c r="C1355" s="1163" t="str">
        <f t="shared" si="33"/>
        <v>Northeast Plateau_2033</v>
      </c>
      <c r="D1355" s="1169">
        <v>420.75236624478066</v>
      </c>
    </row>
    <row r="1356" spans="1:4" s="339" customFormat="1" ht="15.5" x14ac:dyDescent="0.35">
      <c r="A1356" s="1162" t="s">
        <v>803</v>
      </c>
      <c r="B1356" s="1163">
        <v>2034</v>
      </c>
      <c r="C1356" s="1163" t="str">
        <f t="shared" si="33"/>
        <v>Northeast Plateau_2034</v>
      </c>
      <c r="D1356" s="1169">
        <v>415.36299042858508</v>
      </c>
    </row>
    <row r="1357" spans="1:4" s="339" customFormat="1" ht="15.5" x14ac:dyDescent="0.35">
      <c r="A1357" s="1162" t="s">
        <v>803</v>
      </c>
      <c r="B1357" s="1163">
        <v>2035</v>
      </c>
      <c r="C1357" s="1163" t="str">
        <f t="shared" si="33"/>
        <v>Northeast Plateau_2035</v>
      </c>
      <c r="D1357" s="1169">
        <v>410.53641809408805</v>
      </c>
    </row>
    <row r="1358" spans="1:4" s="339" customFormat="1" ht="15.5" x14ac:dyDescent="0.35">
      <c r="A1358" s="1162" t="s">
        <v>803</v>
      </c>
      <c r="B1358" s="1163">
        <v>2036</v>
      </c>
      <c r="C1358" s="1163" t="str">
        <f t="shared" si="33"/>
        <v>Northeast Plateau_2036</v>
      </c>
      <c r="D1358" s="1169">
        <v>406.26629155044475</v>
      </c>
    </row>
    <row r="1359" spans="1:4" s="339" customFormat="1" ht="15.5" x14ac:dyDescent="0.35">
      <c r="A1359" s="1162" t="s">
        <v>803</v>
      </c>
      <c r="B1359" s="1163">
        <v>2037</v>
      </c>
      <c r="C1359" s="1163" t="str">
        <f t="shared" ref="C1359:C1372" si="34">CONCATENATE(A1359,"_",B1359)</f>
        <v>Northeast Plateau_2037</v>
      </c>
      <c r="D1359" s="1169">
        <v>402.49414957276292</v>
      </c>
    </row>
    <row r="1360" spans="1:4" s="339" customFormat="1" ht="15.5" x14ac:dyDescent="0.35">
      <c r="A1360" s="1162" t="s">
        <v>803</v>
      </c>
      <c r="B1360" s="1163">
        <v>2038</v>
      </c>
      <c r="C1360" s="1163" t="str">
        <f t="shared" si="34"/>
        <v>Northeast Plateau_2038</v>
      </c>
      <c r="D1360" s="1169">
        <v>399.22871968461124</v>
      </c>
    </row>
    <row r="1361" spans="1:4" s="339" customFormat="1" ht="15.5" x14ac:dyDescent="0.35">
      <c r="A1361" s="1162" t="s">
        <v>803</v>
      </c>
      <c r="B1361" s="1163">
        <v>2039</v>
      </c>
      <c r="C1361" s="1163" t="str">
        <f t="shared" si="34"/>
        <v>Northeast Plateau_2039</v>
      </c>
      <c r="D1361" s="1169">
        <v>396.37299398893873</v>
      </c>
    </row>
    <row r="1362" spans="1:4" s="339" customFormat="1" ht="15.5" x14ac:dyDescent="0.35">
      <c r="A1362" s="1162" t="s">
        <v>803</v>
      </c>
      <c r="B1362" s="1163">
        <v>2040</v>
      </c>
      <c r="C1362" s="1163" t="str">
        <f t="shared" si="34"/>
        <v>Northeast Plateau_2040</v>
      </c>
      <c r="D1362" s="1169">
        <v>393.92528560848325</v>
      </c>
    </row>
    <row r="1363" spans="1:4" s="339" customFormat="1" ht="15.5" x14ac:dyDescent="0.35">
      <c r="A1363" s="1162" t="s">
        <v>803</v>
      </c>
      <c r="B1363" s="1163">
        <v>2041</v>
      </c>
      <c r="C1363" s="1163" t="str">
        <f t="shared" si="34"/>
        <v>Northeast Plateau_2041</v>
      </c>
      <c r="D1363" s="1169">
        <v>391.86493578787753</v>
      </c>
    </row>
    <row r="1364" spans="1:4" s="339" customFormat="1" ht="15.5" x14ac:dyDescent="0.35">
      <c r="A1364" s="1162" t="s">
        <v>803</v>
      </c>
      <c r="B1364" s="1163">
        <v>2042</v>
      </c>
      <c r="C1364" s="1163" t="str">
        <f t="shared" si="34"/>
        <v>Northeast Plateau_2042</v>
      </c>
      <c r="D1364" s="1169">
        <v>390.08141652194149</v>
      </c>
    </row>
    <row r="1365" spans="1:4" s="339" customFormat="1" ht="15.5" x14ac:dyDescent="0.35">
      <c r="A1365" s="1162" t="s">
        <v>803</v>
      </c>
      <c r="B1365" s="1163">
        <v>2043</v>
      </c>
      <c r="C1365" s="1163" t="str">
        <f t="shared" si="34"/>
        <v>Northeast Plateau_2043</v>
      </c>
      <c r="D1365" s="1169">
        <v>388.56051463047572</v>
      </c>
    </row>
    <row r="1366" spans="1:4" s="339" customFormat="1" ht="15.5" x14ac:dyDescent="0.35">
      <c r="A1366" s="1162" t="s">
        <v>803</v>
      </c>
      <c r="B1366" s="1163">
        <v>2044</v>
      </c>
      <c r="C1366" s="1163" t="str">
        <f t="shared" si="34"/>
        <v>Northeast Plateau_2044</v>
      </c>
      <c r="D1366" s="1169">
        <v>387.25673693655403</v>
      </c>
    </row>
    <row r="1367" spans="1:4" s="339" customFormat="1" ht="15.5" x14ac:dyDescent="0.35">
      <c r="A1367" s="1162" t="s">
        <v>803</v>
      </c>
      <c r="B1367" s="1163">
        <v>2045</v>
      </c>
      <c r="C1367" s="1163" t="str">
        <f t="shared" si="34"/>
        <v>Northeast Plateau_2045</v>
      </c>
      <c r="D1367" s="1169">
        <v>386.11073214216356</v>
      </c>
    </row>
    <row r="1368" spans="1:4" s="339" customFormat="1" ht="15.5" x14ac:dyDescent="0.35">
      <c r="A1368" s="1162" t="s">
        <v>803</v>
      </c>
      <c r="B1368" s="1163">
        <v>2046</v>
      </c>
      <c r="C1368" s="1163" t="str">
        <f t="shared" si="34"/>
        <v>Northeast Plateau_2046</v>
      </c>
      <c r="D1368" s="1169">
        <v>385.10897932135003</v>
      </c>
    </row>
    <row r="1369" spans="1:4" s="339" customFormat="1" ht="15.5" x14ac:dyDescent="0.35">
      <c r="A1369" s="1162" t="s">
        <v>803</v>
      </c>
      <c r="B1369" s="1163">
        <v>2047</v>
      </c>
      <c r="C1369" s="1163" t="str">
        <f t="shared" si="34"/>
        <v>Northeast Plateau_2047</v>
      </c>
      <c r="D1369" s="1169">
        <v>384.27465319654419</v>
      </c>
    </row>
    <row r="1370" spans="1:4" s="339" customFormat="1" ht="15.5" x14ac:dyDescent="0.35">
      <c r="A1370" s="1162" t="s">
        <v>803</v>
      </c>
      <c r="B1370" s="1163">
        <v>2048</v>
      </c>
      <c r="C1370" s="1163" t="str">
        <f t="shared" si="34"/>
        <v>Northeast Plateau_2048</v>
      </c>
      <c r="D1370" s="1169">
        <v>383.5491117482664</v>
      </c>
    </row>
    <row r="1371" spans="1:4" s="339" customFormat="1" ht="15.5" x14ac:dyDescent="0.35">
      <c r="A1371" s="1162" t="s">
        <v>803</v>
      </c>
      <c r="B1371" s="1163">
        <v>2049</v>
      </c>
      <c r="C1371" s="1163" t="str">
        <f t="shared" si="34"/>
        <v>Northeast Plateau_2049</v>
      </c>
      <c r="D1371" s="1169">
        <v>382.91113777179652</v>
      </c>
    </row>
    <row r="1372" spans="1:4" s="339" customFormat="1" ht="15.5" x14ac:dyDescent="0.35">
      <c r="A1372" s="1162" t="s">
        <v>803</v>
      </c>
      <c r="B1372" s="1163">
        <v>2050</v>
      </c>
      <c r="C1372" s="1163" t="str">
        <f t="shared" si="34"/>
        <v>Northeast Plateau_2050</v>
      </c>
      <c r="D1372" s="1169">
        <v>382.38481052392416</v>
      </c>
    </row>
    <row r="1373" spans="1:4" s="339" customFormat="1" ht="15.5" x14ac:dyDescent="0.35">
      <c r="A1373" s="1155" t="s">
        <v>832</v>
      </c>
      <c r="B1373" s="1156">
        <v>2015</v>
      </c>
      <c r="C1373" s="1157" t="s">
        <v>917</v>
      </c>
      <c r="D1373" s="1168">
        <v>508.48708822540192</v>
      </c>
    </row>
    <row r="1374" spans="1:4" s="339" customFormat="1" ht="15.5" x14ac:dyDescent="0.35">
      <c r="A1374" s="1155" t="s">
        <v>832</v>
      </c>
      <c r="B1374" s="1156">
        <v>2016</v>
      </c>
      <c r="C1374" s="1157" t="s">
        <v>918</v>
      </c>
      <c r="D1374" s="1168">
        <v>496.47022166105126</v>
      </c>
    </row>
    <row r="1375" spans="1:4" s="339" customFormat="1" ht="15.5" x14ac:dyDescent="0.35">
      <c r="A1375" s="1158" t="s">
        <v>832</v>
      </c>
      <c r="B1375" s="1159">
        <v>2017</v>
      </c>
      <c r="C1375" s="1159" t="str">
        <f t="shared" ref="C1375:C1408" si="35">CONCATENATE(A1375,"_",B1375)</f>
        <v>Orange_2017</v>
      </c>
      <c r="D1375" s="1169">
        <v>492.8844642520682</v>
      </c>
    </row>
    <row r="1376" spans="1:4" s="339" customFormat="1" ht="15.5" x14ac:dyDescent="0.35">
      <c r="A1376" s="1158" t="s">
        <v>832</v>
      </c>
      <c r="B1376" s="1159">
        <v>2018</v>
      </c>
      <c r="C1376" s="1159" t="str">
        <f t="shared" si="35"/>
        <v>Orange_2018</v>
      </c>
      <c r="D1376" s="1169">
        <v>486.94242219946079</v>
      </c>
    </row>
    <row r="1377" spans="1:4" s="339" customFormat="1" ht="15.5" x14ac:dyDescent="0.35">
      <c r="A1377" s="1158" t="s">
        <v>832</v>
      </c>
      <c r="B1377" s="1159">
        <v>2019</v>
      </c>
      <c r="C1377" s="1159" t="str">
        <f t="shared" si="35"/>
        <v>Orange_2019</v>
      </c>
      <c r="D1377" s="1169">
        <v>480.65297389012784</v>
      </c>
    </row>
    <row r="1378" spans="1:4" s="339" customFormat="1" ht="15.5" x14ac:dyDescent="0.35">
      <c r="A1378" s="1158" t="s">
        <v>832</v>
      </c>
      <c r="B1378" s="1159">
        <v>2020</v>
      </c>
      <c r="C1378" s="1159" t="str">
        <f t="shared" si="35"/>
        <v>Orange_2020</v>
      </c>
      <c r="D1378" s="1169">
        <v>477.34156171079223</v>
      </c>
    </row>
    <row r="1379" spans="1:4" s="339" customFormat="1" ht="15.5" x14ac:dyDescent="0.35">
      <c r="A1379" s="1158" t="s">
        <v>832</v>
      </c>
      <c r="B1379" s="1159">
        <v>2021</v>
      </c>
      <c r="C1379" s="1159" t="str">
        <f t="shared" si="35"/>
        <v>Orange_2021</v>
      </c>
      <c r="D1379" s="1169">
        <v>468.35480322988008</v>
      </c>
    </row>
    <row r="1380" spans="1:4" s="339" customFormat="1" ht="15.5" x14ac:dyDescent="0.35">
      <c r="A1380" s="1158" t="s">
        <v>832</v>
      </c>
      <c r="B1380" s="1159">
        <v>2022</v>
      </c>
      <c r="C1380" s="1159" t="str">
        <f t="shared" si="35"/>
        <v>Orange_2022</v>
      </c>
      <c r="D1380" s="1169">
        <v>460.03598510716319</v>
      </c>
    </row>
    <row r="1381" spans="1:4" s="339" customFormat="1" ht="15.5" x14ac:dyDescent="0.35">
      <c r="A1381" s="1158" t="s">
        <v>832</v>
      </c>
      <c r="B1381" s="1159">
        <v>2023</v>
      </c>
      <c r="C1381" s="1159" t="str">
        <f t="shared" si="35"/>
        <v>Orange_2023</v>
      </c>
      <c r="D1381" s="1169">
        <v>450.85601604534355</v>
      </c>
    </row>
    <row r="1382" spans="1:4" s="339" customFormat="1" ht="15.5" x14ac:dyDescent="0.35">
      <c r="A1382" s="1158" t="s">
        <v>832</v>
      </c>
      <c r="B1382" s="1159">
        <v>2024</v>
      </c>
      <c r="C1382" s="1159" t="str">
        <f t="shared" si="35"/>
        <v>Orange_2024</v>
      </c>
      <c r="D1382" s="1169">
        <v>441.57330544169503</v>
      </c>
    </row>
    <row r="1383" spans="1:4" s="339" customFormat="1" ht="15.5" x14ac:dyDescent="0.35">
      <c r="A1383" s="1158" t="s">
        <v>832</v>
      </c>
      <c r="B1383" s="1159">
        <v>2025</v>
      </c>
      <c r="C1383" s="1159" t="str">
        <f t="shared" si="35"/>
        <v>Orange_2025</v>
      </c>
      <c r="D1383" s="1169">
        <v>431.90487304452705</v>
      </c>
    </row>
    <row r="1384" spans="1:4" s="339" customFormat="1" ht="15.5" x14ac:dyDescent="0.35">
      <c r="A1384" s="1158" t="s">
        <v>832</v>
      </c>
      <c r="B1384" s="1159">
        <v>2026</v>
      </c>
      <c r="C1384" s="1159" t="str">
        <f t="shared" si="35"/>
        <v>Orange_2026</v>
      </c>
      <c r="D1384" s="1169">
        <v>422.91317209037726</v>
      </c>
    </row>
    <row r="1385" spans="1:4" s="339" customFormat="1" ht="15.5" x14ac:dyDescent="0.35">
      <c r="A1385" s="1158" t="s">
        <v>832</v>
      </c>
      <c r="B1385" s="1159">
        <v>2027</v>
      </c>
      <c r="C1385" s="1159" t="str">
        <f t="shared" si="35"/>
        <v>Orange_2027</v>
      </c>
      <c r="D1385" s="1169">
        <v>415.22378895867035</v>
      </c>
    </row>
    <row r="1386" spans="1:4" s="339" customFormat="1" ht="15.5" x14ac:dyDescent="0.35">
      <c r="A1386" s="1158" t="s">
        <v>832</v>
      </c>
      <c r="B1386" s="1159">
        <v>2028</v>
      </c>
      <c r="C1386" s="1159" t="str">
        <f t="shared" si="35"/>
        <v>Orange_2028</v>
      </c>
      <c r="D1386" s="1169">
        <v>407.48280883647783</v>
      </c>
    </row>
    <row r="1387" spans="1:4" s="339" customFormat="1" ht="15.5" x14ac:dyDescent="0.35">
      <c r="A1387" s="1158" t="s">
        <v>832</v>
      </c>
      <c r="B1387" s="1159">
        <v>2029</v>
      </c>
      <c r="C1387" s="1159" t="str">
        <f t="shared" si="35"/>
        <v>Orange_2029</v>
      </c>
      <c r="D1387" s="1169">
        <v>400.49209208773118</v>
      </c>
    </row>
    <row r="1388" spans="1:4" s="339" customFormat="1" ht="15.5" x14ac:dyDescent="0.35">
      <c r="A1388" s="1158" t="s">
        <v>832</v>
      </c>
      <c r="B1388" s="1159">
        <v>2030</v>
      </c>
      <c r="C1388" s="1159" t="str">
        <f t="shared" si="35"/>
        <v>Orange_2030</v>
      </c>
      <c r="D1388" s="1169">
        <v>394.20130538629763</v>
      </c>
    </row>
    <row r="1389" spans="1:4" s="339" customFormat="1" ht="15.5" x14ac:dyDescent="0.35">
      <c r="A1389" s="1158" t="s">
        <v>832</v>
      </c>
      <c r="B1389" s="1159">
        <v>2031</v>
      </c>
      <c r="C1389" s="1159" t="str">
        <f t="shared" si="35"/>
        <v>Orange_2031</v>
      </c>
      <c r="D1389" s="1169">
        <v>388.53987460140326</v>
      </c>
    </row>
    <row r="1390" spans="1:4" s="339" customFormat="1" ht="15.5" x14ac:dyDescent="0.35">
      <c r="A1390" s="1158" t="s">
        <v>832</v>
      </c>
      <c r="B1390" s="1159">
        <v>2032</v>
      </c>
      <c r="C1390" s="1159" t="str">
        <f t="shared" si="35"/>
        <v>Orange_2032</v>
      </c>
      <c r="D1390" s="1169">
        <v>383.11406771534428</v>
      </c>
    </row>
    <row r="1391" spans="1:4" s="339" customFormat="1" ht="15.5" x14ac:dyDescent="0.35">
      <c r="A1391" s="1158" t="s">
        <v>832</v>
      </c>
      <c r="B1391" s="1159">
        <v>2033</v>
      </c>
      <c r="C1391" s="1159" t="str">
        <f t="shared" si="35"/>
        <v>Orange_2033</v>
      </c>
      <c r="D1391" s="1169">
        <v>378.55562934873035</v>
      </c>
    </row>
    <row r="1392" spans="1:4" s="339" customFormat="1" ht="15.5" x14ac:dyDescent="0.35">
      <c r="A1392" s="1158" t="s">
        <v>832</v>
      </c>
      <c r="B1392" s="1159">
        <v>2034</v>
      </c>
      <c r="C1392" s="1159" t="str">
        <f t="shared" si="35"/>
        <v>Orange_2034</v>
      </c>
      <c r="D1392" s="1169">
        <v>374.5307751602009</v>
      </c>
    </row>
    <row r="1393" spans="1:4" s="339" customFormat="1" ht="15.5" x14ac:dyDescent="0.35">
      <c r="A1393" s="1158" t="s">
        <v>832</v>
      </c>
      <c r="B1393" s="1159">
        <v>2035</v>
      </c>
      <c r="C1393" s="1159" t="str">
        <f t="shared" si="35"/>
        <v>Orange_2035</v>
      </c>
      <c r="D1393" s="1169">
        <v>370.99377255259918</v>
      </c>
    </row>
    <row r="1394" spans="1:4" s="339" customFormat="1" ht="15.5" x14ac:dyDescent="0.35">
      <c r="A1394" s="1158" t="s">
        <v>832</v>
      </c>
      <c r="B1394" s="1159">
        <v>2036</v>
      </c>
      <c r="C1394" s="1159" t="str">
        <f t="shared" si="35"/>
        <v>Orange_2036</v>
      </c>
      <c r="D1394" s="1169">
        <v>367.49153212580956</v>
      </c>
    </row>
    <row r="1395" spans="1:4" s="339" customFormat="1" ht="15.5" x14ac:dyDescent="0.35">
      <c r="A1395" s="1158" t="s">
        <v>832</v>
      </c>
      <c r="B1395" s="1159">
        <v>2037</v>
      </c>
      <c r="C1395" s="1159" t="str">
        <f t="shared" si="35"/>
        <v>Orange_2037</v>
      </c>
      <c r="D1395" s="1169">
        <v>364.83463881271399</v>
      </c>
    </row>
    <row r="1396" spans="1:4" s="339" customFormat="1" ht="15.5" x14ac:dyDescent="0.35">
      <c r="A1396" s="1158" t="s">
        <v>832</v>
      </c>
      <c r="B1396" s="1159">
        <v>2038</v>
      </c>
      <c r="C1396" s="1159" t="str">
        <f t="shared" si="35"/>
        <v>Orange_2038</v>
      </c>
      <c r="D1396" s="1169">
        <v>361.51847308963124</v>
      </c>
    </row>
    <row r="1397" spans="1:4" s="339" customFormat="1" ht="15.5" x14ac:dyDescent="0.35">
      <c r="A1397" s="1158" t="s">
        <v>832</v>
      </c>
      <c r="B1397" s="1159">
        <v>2039</v>
      </c>
      <c r="C1397" s="1159" t="str">
        <f t="shared" si="35"/>
        <v>Orange_2039</v>
      </c>
      <c r="D1397" s="1169">
        <v>359.5986683103207</v>
      </c>
    </row>
    <row r="1398" spans="1:4" s="339" customFormat="1" ht="15.5" x14ac:dyDescent="0.35">
      <c r="A1398" s="1158" t="s">
        <v>832</v>
      </c>
      <c r="B1398" s="1159">
        <v>2040</v>
      </c>
      <c r="C1398" s="1159" t="str">
        <f t="shared" si="35"/>
        <v>Orange_2040</v>
      </c>
      <c r="D1398" s="1169">
        <v>357.98259037588906</v>
      </c>
    </row>
    <row r="1399" spans="1:4" s="339" customFormat="1" ht="15.5" x14ac:dyDescent="0.35">
      <c r="A1399" s="1158" t="s">
        <v>832</v>
      </c>
      <c r="B1399" s="1159">
        <v>2041</v>
      </c>
      <c r="C1399" s="1159" t="str">
        <f t="shared" si="35"/>
        <v>Orange_2041</v>
      </c>
      <c r="D1399" s="1169">
        <v>356.64585095538916</v>
      </c>
    </row>
    <row r="1400" spans="1:4" s="339" customFormat="1" ht="15.5" x14ac:dyDescent="0.35">
      <c r="A1400" s="1158" t="s">
        <v>832</v>
      </c>
      <c r="B1400" s="1159">
        <v>2042</v>
      </c>
      <c r="C1400" s="1159" t="str">
        <f t="shared" si="35"/>
        <v>Orange_2042</v>
      </c>
      <c r="D1400" s="1169">
        <v>355.52639391476771</v>
      </c>
    </row>
    <row r="1401" spans="1:4" s="339" customFormat="1" ht="15.5" x14ac:dyDescent="0.35">
      <c r="A1401" s="1158" t="s">
        <v>832</v>
      </c>
      <c r="B1401" s="1159">
        <v>2043</v>
      </c>
      <c r="C1401" s="1159" t="str">
        <f t="shared" si="35"/>
        <v>Orange_2043</v>
      </c>
      <c r="D1401" s="1169">
        <v>354.60371261070634</v>
      </c>
    </row>
    <row r="1402" spans="1:4" s="339" customFormat="1" ht="15.5" x14ac:dyDescent="0.35">
      <c r="A1402" s="1158" t="s">
        <v>832</v>
      </c>
      <c r="B1402" s="1159">
        <v>2044</v>
      </c>
      <c r="C1402" s="1159" t="str">
        <f t="shared" si="35"/>
        <v>Orange_2044</v>
      </c>
      <c r="D1402" s="1169">
        <v>353.83407226098348</v>
      </c>
    </row>
    <row r="1403" spans="1:4" s="339" customFormat="1" ht="15.5" x14ac:dyDescent="0.35">
      <c r="A1403" s="1158" t="s">
        <v>832</v>
      </c>
      <c r="B1403" s="1159">
        <v>2045</v>
      </c>
      <c r="C1403" s="1159" t="str">
        <f t="shared" si="35"/>
        <v>Orange_2045</v>
      </c>
      <c r="D1403" s="1169">
        <v>353.17483104438469</v>
      </c>
    </row>
    <row r="1404" spans="1:4" s="339" customFormat="1" ht="15.5" x14ac:dyDescent="0.35">
      <c r="A1404" s="1158" t="s">
        <v>832</v>
      </c>
      <c r="B1404" s="1159">
        <v>2046</v>
      </c>
      <c r="C1404" s="1159" t="str">
        <f t="shared" si="35"/>
        <v>Orange_2046</v>
      </c>
      <c r="D1404" s="1169">
        <v>352.62398348287149</v>
      </c>
    </row>
    <row r="1405" spans="1:4" s="339" customFormat="1" ht="15.5" x14ac:dyDescent="0.35">
      <c r="A1405" s="1158" t="s">
        <v>832</v>
      </c>
      <c r="B1405" s="1159">
        <v>2047</v>
      </c>
      <c r="C1405" s="1159" t="str">
        <f t="shared" si="35"/>
        <v>Orange_2047</v>
      </c>
      <c r="D1405" s="1169">
        <v>352.16024339519907</v>
      </c>
    </row>
    <row r="1406" spans="1:4" s="339" customFormat="1" ht="15.5" x14ac:dyDescent="0.35">
      <c r="A1406" s="1158" t="s">
        <v>832</v>
      </c>
      <c r="B1406" s="1159">
        <v>2048</v>
      </c>
      <c r="C1406" s="1159" t="str">
        <f t="shared" si="35"/>
        <v>Orange_2048</v>
      </c>
      <c r="D1406" s="1169">
        <v>351.76236420076862</v>
      </c>
    </row>
    <row r="1407" spans="1:4" s="339" customFormat="1" ht="15.5" x14ac:dyDescent="0.35">
      <c r="A1407" s="1158" t="s">
        <v>832</v>
      </c>
      <c r="B1407" s="1159">
        <v>2049</v>
      </c>
      <c r="C1407" s="1159" t="str">
        <f t="shared" si="35"/>
        <v>Orange_2049</v>
      </c>
      <c r="D1407" s="1169">
        <v>351.42403888033726</v>
      </c>
    </row>
    <row r="1408" spans="1:4" s="339" customFormat="1" ht="15.5" x14ac:dyDescent="0.35">
      <c r="A1408" s="1158" t="s">
        <v>832</v>
      </c>
      <c r="B1408" s="1159">
        <v>2050</v>
      </c>
      <c r="C1408" s="1159" t="str">
        <f t="shared" si="35"/>
        <v>Orange_2050</v>
      </c>
      <c r="D1408" s="1169">
        <v>351.15838003481417</v>
      </c>
    </row>
    <row r="1409" spans="1:4" s="339" customFormat="1" ht="15.5" x14ac:dyDescent="0.35">
      <c r="A1409" s="1155" t="s">
        <v>833</v>
      </c>
      <c r="B1409" s="1156">
        <v>2015</v>
      </c>
      <c r="C1409" s="1157" t="s">
        <v>919</v>
      </c>
      <c r="D1409" s="1168">
        <v>529.71069029300224</v>
      </c>
    </row>
    <row r="1410" spans="1:4" s="339" customFormat="1" ht="15.5" x14ac:dyDescent="0.35">
      <c r="A1410" s="1155" t="s">
        <v>833</v>
      </c>
      <c r="B1410" s="1156">
        <v>2016</v>
      </c>
      <c r="C1410" s="1157" t="s">
        <v>920</v>
      </c>
      <c r="D1410" s="1168">
        <v>517.54124649926848</v>
      </c>
    </row>
    <row r="1411" spans="1:4" s="339" customFormat="1" ht="15.5" x14ac:dyDescent="0.35">
      <c r="A1411" s="1158" t="s">
        <v>833</v>
      </c>
      <c r="B1411" s="1159">
        <v>2017</v>
      </c>
      <c r="C1411" s="1159" t="str">
        <f t="shared" ref="C1411:C1444" si="36">CONCATENATE(A1411,"_",B1411)</f>
        <v>Placer_2017</v>
      </c>
      <c r="D1411" s="1169">
        <v>513.254286346801</v>
      </c>
    </row>
    <row r="1412" spans="1:4" s="339" customFormat="1" ht="15.5" x14ac:dyDescent="0.35">
      <c r="A1412" s="1158" t="s">
        <v>833</v>
      </c>
      <c r="B1412" s="1159">
        <v>2018</v>
      </c>
      <c r="C1412" s="1159" t="str">
        <f t="shared" si="36"/>
        <v>Placer_2018</v>
      </c>
      <c r="D1412" s="1169">
        <v>506.76588315174689</v>
      </c>
    </row>
    <row r="1413" spans="1:4" s="339" customFormat="1" ht="15.5" x14ac:dyDescent="0.35">
      <c r="A1413" s="1158" t="s">
        <v>833</v>
      </c>
      <c r="B1413" s="1159">
        <v>2019</v>
      </c>
      <c r="C1413" s="1159" t="str">
        <f t="shared" si="36"/>
        <v>Placer_2019</v>
      </c>
      <c r="D1413" s="1169">
        <v>498.97239153944514</v>
      </c>
    </row>
    <row r="1414" spans="1:4" s="339" customFormat="1" ht="15.5" x14ac:dyDescent="0.35">
      <c r="A1414" s="1158" t="s">
        <v>833</v>
      </c>
      <c r="B1414" s="1159">
        <v>2020</v>
      </c>
      <c r="C1414" s="1159" t="str">
        <f t="shared" si="36"/>
        <v>Placer_2020</v>
      </c>
      <c r="D1414" s="1169">
        <v>496.29736675483167</v>
      </c>
    </row>
    <row r="1415" spans="1:4" s="339" customFormat="1" ht="15.5" x14ac:dyDescent="0.35">
      <c r="A1415" s="1158" t="s">
        <v>833</v>
      </c>
      <c r="B1415" s="1159">
        <v>2021</v>
      </c>
      <c r="C1415" s="1159" t="str">
        <f t="shared" si="36"/>
        <v>Placer_2021</v>
      </c>
      <c r="D1415" s="1169">
        <v>487.00252315588858</v>
      </c>
    </row>
    <row r="1416" spans="1:4" s="339" customFormat="1" ht="15.5" x14ac:dyDescent="0.35">
      <c r="A1416" s="1158" t="s">
        <v>833</v>
      </c>
      <c r="B1416" s="1159">
        <v>2022</v>
      </c>
      <c r="C1416" s="1159" t="str">
        <f t="shared" si="36"/>
        <v>Placer_2022</v>
      </c>
      <c r="D1416" s="1169">
        <v>478.35709048206149</v>
      </c>
    </row>
    <row r="1417" spans="1:4" s="339" customFormat="1" ht="15.5" x14ac:dyDescent="0.35">
      <c r="A1417" s="1158" t="s">
        <v>833</v>
      </c>
      <c r="B1417" s="1159">
        <v>2023</v>
      </c>
      <c r="C1417" s="1159" t="str">
        <f t="shared" si="36"/>
        <v>Placer_2023</v>
      </c>
      <c r="D1417" s="1169">
        <v>469.17175010166079</v>
      </c>
    </row>
    <row r="1418" spans="1:4" s="339" customFormat="1" ht="15.5" x14ac:dyDescent="0.35">
      <c r="A1418" s="1158" t="s">
        <v>833</v>
      </c>
      <c r="B1418" s="1159">
        <v>2024</v>
      </c>
      <c r="C1418" s="1159" t="str">
        <f t="shared" si="36"/>
        <v>Placer_2024</v>
      </c>
      <c r="D1418" s="1169">
        <v>460.0751717762281</v>
      </c>
    </row>
    <row r="1419" spans="1:4" s="339" customFormat="1" ht="15.5" x14ac:dyDescent="0.35">
      <c r="A1419" s="1158" t="s">
        <v>833</v>
      </c>
      <c r="B1419" s="1159">
        <v>2025</v>
      </c>
      <c r="C1419" s="1159" t="str">
        <f t="shared" si="36"/>
        <v>Placer_2025</v>
      </c>
      <c r="D1419" s="1169">
        <v>450.03899658340583</v>
      </c>
    </row>
    <row r="1420" spans="1:4" s="339" customFormat="1" ht="15.5" x14ac:dyDescent="0.35">
      <c r="A1420" s="1158" t="s">
        <v>833</v>
      </c>
      <c r="B1420" s="1159">
        <v>2026</v>
      </c>
      <c r="C1420" s="1159" t="str">
        <f t="shared" si="36"/>
        <v>Placer_2026</v>
      </c>
      <c r="D1420" s="1169">
        <v>440.23574842562823</v>
      </c>
    </row>
    <row r="1421" spans="1:4" s="339" customFormat="1" ht="15.5" x14ac:dyDescent="0.35">
      <c r="A1421" s="1158" t="s">
        <v>833</v>
      </c>
      <c r="B1421" s="1159">
        <v>2027</v>
      </c>
      <c r="C1421" s="1159" t="str">
        <f t="shared" si="36"/>
        <v>Placer_2027</v>
      </c>
      <c r="D1421" s="1169">
        <v>431.55866963629097</v>
      </c>
    </row>
    <row r="1422" spans="1:4" s="339" customFormat="1" ht="15.5" x14ac:dyDescent="0.35">
      <c r="A1422" s="1158" t="s">
        <v>833</v>
      </c>
      <c r="B1422" s="1159">
        <v>2028</v>
      </c>
      <c r="C1422" s="1159" t="str">
        <f t="shared" si="36"/>
        <v>Placer_2028</v>
      </c>
      <c r="D1422" s="1169">
        <v>422.19393902519704</v>
      </c>
    </row>
    <row r="1423" spans="1:4" s="339" customFormat="1" ht="15.5" x14ac:dyDescent="0.35">
      <c r="A1423" s="1158" t="s">
        <v>833</v>
      </c>
      <c r="B1423" s="1159">
        <v>2029</v>
      </c>
      <c r="C1423" s="1159" t="str">
        <f t="shared" si="36"/>
        <v>Placer_2029</v>
      </c>
      <c r="D1423" s="1169">
        <v>414.4236012442222</v>
      </c>
    </row>
    <row r="1424" spans="1:4" s="339" customFormat="1" ht="15.5" x14ac:dyDescent="0.35">
      <c r="A1424" s="1158" t="s">
        <v>833</v>
      </c>
      <c r="B1424" s="1159">
        <v>2030</v>
      </c>
      <c r="C1424" s="1159" t="str">
        <f t="shared" si="36"/>
        <v>Placer_2030</v>
      </c>
      <c r="D1424" s="1169">
        <v>407.36223871259261</v>
      </c>
    </row>
    <row r="1425" spans="1:4" s="339" customFormat="1" ht="15.5" x14ac:dyDescent="0.35">
      <c r="A1425" s="1158" t="s">
        <v>833</v>
      </c>
      <c r="B1425" s="1159">
        <v>2031</v>
      </c>
      <c r="C1425" s="1159" t="str">
        <f t="shared" si="36"/>
        <v>Placer_2031</v>
      </c>
      <c r="D1425" s="1169">
        <v>400.97379160954569</v>
      </c>
    </row>
    <row r="1426" spans="1:4" s="339" customFormat="1" ht="15.5" x14ac:dyDescent="0.35">
      <c r="A1426" s="1158" t="s">
        <v>833</v>
      </c>
      <c r="B1426" s="1159">
        <v>2032</v>
      </c>
      <c r="C1426" s="1159" t="str">
        <f t="shared" si="36"/>
        <v>Placer_2032</v>
      </c>
      <c r="D1426" s="1169">
        <v>395.22540886999508</v>
      </c>
    </row>
    <row r="1427" spans="1:4" s="339" customFormat="1" ht="15.5" x14ac:dyDescent="0.35">
      <c r="A1427" s="1158" t="s">
        <v>833</v>
      </c>
      <c r="B1427" s="1159">
        <v>2033</v>
      </c>
      <c r="C1427" s="1159" t="str">
        <f t="shared" si="36"/>
        <v>Placer_2033</v>
      </c>
      <c r="D1427" s="1169">
        <v>390.09629084193398</v>
      </c>
    </row>
    <row r="1428" spans="1:4" s="339" customFormat="1" ht="15.5" x14ac:dyDescent="0.35">
      <c r="A1428" s="1158" t="s">
        <v>833</v>
      </c>
      <c r="B1428" s="1159">
        <v>2034</v>
      </c>
      <c r="C1428" s="1159" t="str">
        <f t="shared" si="36"/>
        <v>Placer_2034</v>
      </c>
      <c r="D1428" s="1169">
        <v>385.55084395203886</v>
      </c>
    </row>
    <row r="1429" spans="1:4" s="339" customFormat="1" ht="15.5" x14ac:dyDescent="0.35">
      <c r="A1429" s="1158" t="s">
        <v>833</v>
      </c>
      <c r="B1429" s="1159">
        <v>2035</v>
      </c>
      <c r="C1429" s="1159" t="str">
        <f t="shared" si="36"/>
        <v>Placer_2035</v>
      </c>
      <c r="D1429" s="1169">
        <v>381.56373936123674</v>
      </c>
    </row>
    <row r="1430" spans="1:4" s="339" customFormat="1" ht="15.5" x14ac:dyDescent="0.35">
      <c r="A1430" s="1158" t="s">
        <v>833</v>
      </c>
      <c r="B1430" s="1159">
        <v>2036</v>
      </c>
      <c r="C1430" s="1159" t="str">
        <f t="shared" si="36"/>
        <v>Placer_2036</v>
      </c>
      <c r="D1430" s="1169">
        <v>378.23876556041301</v>
      </c>
    </row>
    <row r="1431" spans="1:4" s="339" customFormat="1" ht="15.5" x14ac:dyDescent="0.35">
      <c r="A1431" s="1158" t="s">
        <v>833</v>
      </c>
      <c r="B1431" s="1159">
        <v>2037</v>
      </c>
      <c r="C1431" s="1159" t="str">
        <f t="shared" si="36"/>
        <v>Placer_2037</v>
      </c>
      <c r="D1431" s="1169">
        <v>375.2521983860774</v>
      </c>
    </row>
    <row r="1432" spans="1:4" s="339" customFormat="1" ht="15.5" x14ac:dyDescent="0.35">
      <c r="A1432" s="1158" t="s">
        <v>833</v>
      </c>
      <c r="B1432" s="1159">
        <v>2038</v>
      </c>
      <c r="C1432" s="1159" t="str">
        <f t="shared" si="36"/>
        <v>Placer_2038</v>
      </c>
      <c r="D1432" s="1169">
        <v>372.7082817843264</v>
      </c>
    </row>
    <row r="1433" spans="1:4" s="339" customFormat="1" ht="15.5" x14ac:dyDescent="0.35">
      <c r="A1433" s="1158" t="s">
        <v>833</v>
      </c>
      <c r="B1433" s="1159">
        <v>2039</v>
      </c>
      <c r="C1433" s="1159" t="str">
        <f t="shared" si="36"/>
        <v>Placer_2039</v>
      </c>
      <c r="D1433" s="1169">
        <v>370.54489087988782</v>
      </c>
    </row>
    <row r="1434" spans="1:4" s="339" customFormat="1" ht="15.5" x14ac:dyDescent="0.35">
      <c r="A1434" s="1158" t="s">
        <v>833</v>
      </c>
      <c r="B1434" s="1159">
        <v>2040</v>
      </c>
      <c r="C1434" s="1159" t="str">
        <f t="shared" si="36"/>
        <v>Placer_2040</v>
      </c>
      <c r="D1434" s="1169">
        <v>368.72225187416393</v>
      </c>
    </row>
    <row r="1435" spans="1:4" s="339" customFormat="1" ht="15.5" x14ac:dyDescent="0.35">
      <c r="A1435" s="1158" t="s">
        <v>833</v>
      </c>
      <c r="B1435" s="1159">
        <v>2041</v>
      </c>
      <c r="C1435" s="1159" t="str">
        <f t="shared" si="36"/>
        <v>Placer_2041</v>
      </c>
      <c r="D1435" s="1169">
        <v>367.20899733204908</v>
      </c>
    </row>
    <row r="1436" spans="1:4" s="339" customFormat="1" ht="15.5" x14ac:dyDescent="0.35">
      <c r="A1436" s="1158" t="s">
        <v>833</v>
      </c>
      <c r="B1436" s="1159">
        <v>2042</v>
      </c>
      <c r="C1436" s="1159" t="str">
        <f t="shared" si="36"/>
        <v>Placer_2042</v>
      </c>
      <c r="D1436" s="1169">
        <v>365.93964801075623</v>
      </c>
    </row>
    <row r="1437" spans="1:4" s="339" customFormat="1" ht="15.5" x14ac:dyDescent="0.35">
      <c r="A1437" s="1158" t="s">
        <v>833</v>
      </c>
      <c r="B1437" s="1159">
        <v>2043</v>
      </c>
      <c r="C1437" s="1159" t="str">
        <f t="shared" si="36"/>
        <v>Placer_2043</v>
      </c>
      <c r="D1437" s="1169">
        <v>364.88992611604289</v>
      </c>
    </row>
    <row r="1438" spans="1:4" s="339" customFormat="1" ht="15.5" x14ac:dyDescent="0.35">
      <c r="A1438" s="1158" t="s">
        <v>833</v>
      </c>
      <c r="B1438" s="1159">
        <v>2044</v>
      </c>
      <c r="C1438" s="1159" t="str">
        <f t="shared" si="36"/>
        <v>Placer_2044</v>
      </c>
      <c r="D1438" s="1169">
        <v>364.0073268530993</v>
      </c>
    </row>
    <row r="1439" spans="1:4" s="339" customFormat="1" ht="15.5" x14ac:dyDescent="0.35">
      <c r="A1439" s="1158" t="s">
        <v>833</v>
      </c>
      <c r="B1439" s="1159">
        <v>2045</v>
      </c>
      <c r="C1439" s="1159" t="str">
        <f t="shared" si="36"/>
        <v>Placer_2045</v>
      </c>
      <c r="D1439" s="1169">
        <v>363.25463917096369</v>
      </c>
    </row>
    <row r="1440" spans="1:4" s="339" customFormat="1" ht="15.5" x14ac:dyDescent="0.35">
      <c r="A1440" s="1158" t="s">
        <v>833</v>
      </c>
      <c r="B1440" s="1159">
        <v>2046</v>
      </c>
      <c r="C1440" s="1159" t="str">
        <f t="shared" si="36"/>
        <v>Placer_2046</v>
      </c>
      <c r="D1440" s="1169">
        <v>362.61653461908804</v>
      </c>
    </row>
    <row r="1441" spans="1:4" s="339" customFormat="1" ht="15.5" x14ac:dyDescent="0.35">
      <c r="A1441" s="1158" t="s">
        <v>833</v>
      </c>
      <c r="B1441" s="1159">
        <v>2047</v>
      </c>
      <c r="C1441" s="1159" t="str">
        <f t="shared" si="36"/>
        <v>Placer_2047</v>
      </c>
      <c r="D1441" s="1169">
        <v>362.0813117601686</v>
      </c>
    </row>
    <row r="1442" spans="1:4" s="339" customFormat="1" ht="15.5" x14ac:dyDescent="0.35">
      <c r="A1442" s="1158" t="s">
        <v>833</v>
      </c>
      <c r="B1442" s="1159">
        <v>2048</v>
      </c>
      <c r="C1442" s="1159" t="str">
        <f t="shared" si="36"/>
        <v>Placer_2048</v>
      </c>
      <c r="D1442" s="1169">
        <v>361.6314398120025</v>
      </c>
    </row>
    <row r="1443" spans="1:4" s="339" customFormat="1" ht="15.5" x14ac:dyDescent="0.35">
      <c r="A1443" s="1158" t="s">
        <v>833</v>
      </c>
      <c r="B1443" s="1159">
        <v>2049</v>
      </c>
      <c r="C1443" s="1159" t="str">
        <f t="shared" si="36"/>
        <v>Placer_2049</v>
      </c>
      <c r="D1443" s="1169">
        <v>361.24562471103172</v>
      </c>
    </row>
    <row r="1444" spans="1:4" s="339" customFormat="1" ht="15.5" x14ac:dyDescent="0.35">
      <c r="A1444" s="1158" t="s">
        <v>833</v>
      </c>
      <c r="B1444" s="1159">
        <v>2050</v>
      </c>
      <c r="C1444" s="1159" t="str">
        <f t="shared" si="36"/>
        <v>Placer_2050</v>
      </c>
      <c r="D1444" s="1169">
        <v>360.9263635904764</v>
      </c>
    </row>
    <row r="1445" spans="1:4" s="339" customFormat="1" ht="15.5" x14ac:dyDescent="0.35">
      <c r="A1445" s="1155" t="s">
        <v>834</v>
      </c>
      <c r="B1445" s="1156">
        <v>2015</v>
      </c>
      <c r="C1445" s="1157" t="s">
        <v>921</v>
      </c>
      <c r="D1445" s="1168">
        <v>592.7536480643339</v>
      </c>
    </row>
    <row r="1446" spans="1:4" s="339" customFormat="1" ht="15.5" x14ac:dyDescent="0.35">
      <c r="A1446" s="1155" t="s">
        <v>834</v>
      </c>
      <c r="B1446" s="1156">
        <v>2016</v>
      </c>
      <c r="C1446" s="1157" t="s">
        <v>922</v>
      </c>
      <c r="D1446" s="1168">
        <v>581.93733270605526</v>
      </c>
    </row>
    <row r="1447" spans="1:4" s="339" customFormat="1" ht="15.5" x14ac:dyDescent="0.35">
      <c r="A1447" s="1158" t="s">
        <v>834</v>
      </c>
      <c r="B1447" s="1159">
        <v>2017</v>
      </c>
      <c r="C1447" s="1159" t="str">
        <f t="shared" ref="C1447:C1480" si="37">CONCATENATE(A1447,"_",B1447)</f>
        <v>Plumas_2017</v>
      </c>
      <c r="D1447" s="1169">
        <v>577.01755134597261</v>
      </c>
    </row>
    <row r="1448" spans="1:4" s="339" customFormat="1" ht="15.5" x14ac:dyDescent="0.35">
      <c r="A1448" s="1158" t="s">
        <v>834</v>
      </c>
      <c r="B1448" s="1159">
        <v>2018</v>
      </c>
      <c r="C1448" s="1159" t="str">
        <f t="shared" si="37"/>
        <v>Plumas_2018</v>
      </c>
      <c r="D1448" s="1169">
        <v>569.79177701119306</v>
      </c>
    </row>
    <row r="1449" spans="1:4" s="339" customFormat="1" ht="15.5" x14ac:dyDescent="0.35">
      <c r="A1449" s="1158" t="s">
        <v>834</v>
      </c>
      <c r="B1449" s="1159">
        <v>2019</v>
      </c>
      <c r="C1449" s="1159" t="str">
        <f t="shared" si="37"/>
        <v>Plumas_2019</v>
      </c>
      <c r="D1449" s="1169">
        <v>560.15482149439492</v>
      </c>
    </row>
    <row r="1450" spans="1:4" s="339" customFormat="1" ht="15.5" x14ac:dyDescent="0.35">
      <c r="A1450" s="1158" t="s">
        <v>834</v>
      </c>
      <c r="B1450" s="1159">
        <v>2020</v>
      </c>
      <c r="C1450" s="1159" t="str">
        <f t="shared" si="37"/>
        <v>Plumas_2020</v>
      </c>
      <c r="D1450" s="1169">
        <v>555.3910986231632</v>
      </c>
    </row>
    <row r="1451" spans="1:4" s="339" customFormat="1" ht="15.5" x14ac:dyDescent="0.35">
      <c r="A1451" s="1158" t="s">
        <v>834</v>
      </c>
      <c r="B1451" s="1159">
        <v>2021</v>
      </c>
      <c r="C1451" s="1159" t="str">
        <f t="shared" si="37"/>
        <v>Plumas_2021</v>
      </c>
      <c r="D1451" s="1169">
        <v>543.80387549609725</v>
      </c>
    </row>
    <row r="1452" spans="1:4" s="339" customFormat="1" ht="15.5" x14ac:dyDescent="0.35">
      <c r="A1452" s="1158" t="s">
        <v>834</v>
      </c>
      <c r="B1452" s="1159">
        <v>2022</v>
      </c>
      <c r="C1452" s="1159" t="str">
        <f t="shared" si="37"/>
        <v>Plumas_2022</v>
      </c>
      <c r="D1452" s="1169">
        <v>533.13645736230887</v>
      </c>
    </row>
    <row r="1453" spans="1:4" s="339" customFormat="1" ht="15.5" x14ac:dyDescent="0.35">
      <c r="A1453" s="1158" t="s">
        <v>834</v>
      </c>
      <c r="B1453" s="1159">
        <v>2023</v>
      </c>
      <c r="C1453" s="1159" t="str">
        <f t="shared" si="37"/>
        <v>Plumas_2023</v>
      </c>
      <c r="D1453" s="1169">
        <v>521.98063252332395</v>
      </c>
    </row>
    <row r="1454" spans="1:4" s="339" customFormat="1" ht="15.5" x14ac:dyDescent="0.35">
      <c r="A1454" s="1158" t="s">
        <v>834</v>
      </c>
      <c r="B1454" s="1159">
        <v>2024</v>
      </c>
      <c r="C1454" s="1159" t="str">
        <f t="shared" si="37"/>
        <v>Plumas_2024</v>
      </c>
      <c r="D1454" s="1169">
        <v>510.58215782579197</v>
      </c>
    </row>
    <row r="1455" spans="1:4" s="339" customFormat="1" ht="15.5" x14ac:dyDescent="0.35">
      <c r="A1455" s="1158" t="s">
        <v>834</v>
      </c>
      <c r="B1455" s="1159">
        <v>2025</v>
      </c>
      <c r="C1455" s="1159" t="str">
        <f t="shared" si="37"/>
        <v>Plumas_2025</v>
      </c>
      <c r="D1455" s="1169">
        <v>499.11694063691135</v>
      </c>
    </row>
    <row r="1456" spans="1:4" s="339" customFormat="1" ht="15.5" x14ac:dyDescent="0.35">
      <c r="A1456" s="1158" t="s">
        <v>834</v>
      </c>
      <c r="B1456" s="1159">
        <v>2026</v>
      </c>
      <c r="C1456" s="1159" t="str">
        <f t="shared" si="37"/>
        <v>Plumas_2026</v>
      </c>
      <c r="D1456" s="1169">
        <v>487.96076011518733</v>
      </c>
    </row>
    <row r="1457" spans="1:4" s="339" customFormat="1" ht="15.5" x14ac:dyDescent="0.35">
      <c r="A1457" s="1158" t="s">
        <v>834</v>
      </c>
      <c r="B1457" s="1159">
        <v>2027</v>
      </c>
      <c r="C1457" s="1159" t="str">
        <f t="shared" si="37"/>
        <v>Plumas_2027</v>
      </c>
      <c r="D1457" s="1169">
        <v>477.40647097552659</v>
      </c>
    </row>
    <row r="1458" spans="1:4" s="339" customFormat="1" ht="15.5" x14ac:dyDescent="0.35">
      <c r="A1458" s="1158" t="s">
        <v>834</v>
      </c>
      <c r="B1458" s="1159">
        <v>2028</v>
      </c>
      <c r="C1458" s="1159" t="str">
        <f t="shared" si="37"/>
        <v>Plumas_2028</v>
      </c>
      <c r="D1458" s="1169">
        <v>467.56155016490067</v>
      </c>
    </row>
    <row r="1459" spans="1:4" s="339" customFormat="1" ht="15.5" x14ac:dyDescent="0.35">
      <c r="A1459" s="1158" t="s">
        <v>834</v>
      </c>
      <c r="B1459" s="1159">
        <v>2029</v>
      </c>
      <c r="C1459" s="1159" t="str">
        <f t="shared" si="37"/>
        <v>Plumas_2029</v>
      </c>
      <c r="D1459" s="1169">
        <v>458.40986966369672</v>
      </c>
    </row>
    <row r="1460" spans="1:4" s="339" customFormat="1" ht="15.5" x14ac:dyDescent="0.35">
      <c r="A1460" s="1158" t="s">
        <v>834</v>
      </c>
      <c r="B1460" s="1159">
        <v>2030</v>
      </c>
      <c r="C1460" s="1159" t="str">
        <f t="shared" si="37"/>
        <v>Plumas_2030</v>
      </c>
      <c r="D1460" s="1169">
        <v>449.99313958608866</v>
      </c>
    </row>
    <row r="1461" spans="1:4" s="339" customFormat="1" ht="15.5" x14ac:dyDescent="0.35">
      <c r="A1461" s="1158" t="s">
        <v>834</v>
      </c>
      <c r="B1461" s="1159">
        <v>2031</v>
      </c>
      <c r="C1461" s="1159" t="str">
        <f t="shared" si="37"/>
        <v>Plumas_2031</v>
      </c>
      <c r="D1461" s="1169">
        <v>442.23779096894731</v>
      </c>
    </row>
    <row r="1462" spans="1:4" s="339" customFormat="1" ht="15.5" x14ac:dyDescent="0.35">
      <c r="A1462" s="1158" t="s">
        <v>834</v>
      </c>
      <c r="B1462" s="1159">
        <v>2032</v>
      </c>
      <c r="C1462" s="1159" t="str">
        <f t="shared" si="37"/>
        <v>Plumas_2032</v>
      </c>
      <c r="D1462" s="1169">
        <v>435.15874024224047</v>
      </c>
    </row>
    <row r="1463" spans="1:4" s="339" customFormat="1" ht="15.5" x14ac:dyDescent="0.35">
      <c r="A1463" s="1158" t="s">
        <v>834</v>
      </c>
      <c r="B1463" s="1159">
        <v>2033</v>
      </c>
      <c r="C1463" s="1159" t="str">
        <f t="shared" si="37"/>
        <v>Plumas_2033</v>
      </c>
      <c r="D1463" s="1169">
        <v>428.63841731975509</v>
      </c>
    </row>
    <row r="1464" spans="1:4" s="339" customFormat="1" ht="15.5" x14ac:dyDescent="0.35">
      <c r="A1464" s="1158" t="s">
        <v>834</v>
      </c>
      <c r="B1464" s="1159">
        <v>2034</v>
      </c>
      <c r="C1464" s="1159" t="str">
        <f t="shared" si="37"/>
        <v>Plumas_2034</v>
      </c>
      <c r="D1464" s="1169">
        <v>422.71703227276015</v>
      </c>
    </row>
    <row r="1465" spans="1:4" s="339" customFormat="1" ht="15.5" x14ac:dyDescent="0.35">
      <c r="A1465" s="1158" t="s">
        <v>834</v>
      </c>
      <c r="B1465" s="1159">
        <v>2035</v>
      </c>
      <c r="C1465" s="1159" t="str">
        <f t="shared" si="37"/>
        <v>Plumas_2035</v>
      </c>
      <c r="D1465" s="1169">
        <v>417.35704852880559</v>
      </c>
    </row>
    <row r="1466" spans="1:4" s="339" customFormat="1" ht="15.5" x14ac:dyDescent="0.35">
      <c r="A1466" s="1158" t="s">
        <v>834</v>
      </c>
      <c r="B1466" s="1159">
        <v>2036</v>
      </c>
      <c r="C1466" s="1159" t="str">
        <f t="shared" si="37"/>
        <v>Plumas_2036</v>
      </c>
      <c r="D1466" s="1169">
        <v>412.62768545041808</v>
      </c>
    </row>
    <row r="1467" spans="1:4" s="339" customFormat="1" ht="15.5" x14ac:dyDescent="0.35">
      <c r="A1467" s="1158" t="s">
        <v>834</v>
      </c>
      <c r="B1467" s="1159">
        <v>2037</v>
      </c>
      <c r="C1467" s="1159" t="str">
        <f t="shared" si="37"/>
        <v>Plumas_2037</v>
      </c>
      <c r="D1467" s="1169">
        <v>408.40130223590228</v>
      </c>
    </row>
    <row r="1468" spans="1:4" s="339" customFormat="1" ht="15.5" x14ac:dyDescent="0.35">
      <c r="A1468" s="1158" t="s">
        <v>834</v>
      </c>
      <c r="B1468" s="1159">
        <v>2038</v>
      </c>
      <c r="C1468" s="1159" t="str">
        <f t="shared" si="37"/>
        <v>Plumas_2038</v>
      </c>
      <c r="D1468" s="1169">
        <v>404.68907551366141</v>
      </c>
    </row>
    <row r="1469" spans="1:4" s="339" customFormat="1" ht="15.5" x14ac:dyDescent="0.35">
      <c r="A1469" s="1158" t="s">
        <v>834</v>
      </c>
      <c r="B1469" s="1159">
        <v>2039</v>
      </c>
      <c r="C1469" s="1159" t="str">
        <f t="shared" si="37"/>
        <v>Plumas_2039</v>
      </c>
      <c r="D1469" s="1169">
        <v>401.41602443396988</v>
      </c>
    </row>
    <row r="1470" spans="1:4" s="339" customFormat="1" ht="15.5" x14ac:dyDescent="0.35">
      <c r="A1470" s="1158" t="s">
        <v>834</v>
      </c>
      <c r="B1470" s="1159">
        <v>2040</v>
      </c>
      <c r="C1470" s="1159" t="str">
        <f t="shared" si="37"/>
        <v>Plumas_2040</v>
      </c>
      <c r="D1470" s="1169">
        <v>398.57374928273862</v>
      </c>
    </row>
    <row r="1471" spans="1:4" s="339" customFormat="1" ht="15.5" x14ac:dyDescent="0.35">
      <c r="A1471" s="1158" t="s">
        <v>834</v>
      </c>
      <c r="B1471" s="1159">
        <v>2041</v>
      </c>
      <c r="C1471" s="1159" t="str">
        <f t="shared" si="37"/>
        <v>Plumas_2041</v>
      </c>
      <c r="D1471" s="1169">
        <v>396.12805380826808</v>
      </c>
    </row>
    <row r="1472" spans="1:4" s="339" customFormat="1" ht="15.5" x14ac:dyDescent="0.35">
      <c r="A1472" s="1158" t="s">
        <v>834</v>
      </c>
      <c r="B1472" s="1159">
        <v>2042</v>
      </c>
      <c r="C1472" s="1159" t="str">
        <f t="shared" si="37"/>
        <v>Plumas_2042</v>
      </c>
      <c r="D1472" s="1169">
        <v>393.98096647385415</v>
      </c>
    </row>
    <row r="1473" spans="1:4" s="339" customFormat="1" ht="15.5" x14ac:dyDescent="0.35">
      <c r="A1473" s="1158" t="s">
        <v>834</v>
      </c>
      <c r="B1473" s="1159">
        <v>2043</v>
      </c>
      <c r="C1473" s="1159" t="str">
        <f t="shared" si="37"/>
        <v>Plumas_2043</v>
      </c>
      <c r="D1473" s="1169">
        <v>392.10665631031611</v>
      </c>
    </row>
    <row r="1474" spans="1:4" s="339" customFormat="1" ht="15.5" x14ac:dyDescent="0.35">
      <c r="A1474" s="1158" t="s">
        <v>834</v>
      </c>
      <c r="B1474" s="1159">
        <v>2044</v>
      </c>
      <c r="C1474" s="1159" t="str">
        <f t="shared" si="37"/>
        <v>Plumas_2044</v>
      </c>
      <c r="D1474" s="1169">
        <v>390.42805609830521</v>
      </c>
    </row>
    <row r="1475" spans="1:4" s="339" customFormat="1" ht="15.5" x14ac:dyDescent="0.35">
      <c r="A1475" s="1158" t="s">
        <v>834</v>
      </c>
      <c r="B1475" s="1159">
        <v>2045</v>
      </c>
      <c r="C1475" s="1159" t="str">
        <f t="shared" si="37"/>
        <v>Plumas_2045</v>
      </c>
      <c r="D1475" s="1169">
        <v>388.97332790536996</v>
      </c>
    </row>
    <row r="1476" spans="1:4" s="339" customFormat="1" ht="15.5" x14ac:dyDescent="0.35">
      <c r="A1476" s="1158" t="s">
        <v>834</v>
      </c>
      <c r="B1476" s="1159">
        <v>2046</v>
      </c>
      <c r="C1476" s="1159" t="str">
        <f t="shared" si="37"/>
        <v>Plumas_2046</v>
      </c>
      <c r="D1476" s="1169">
        <v>387.63371726363374</v>
      </c>
    </row>
    <row r="1477" spans="1:4" s="339" customFormat="1" ht="15.5" x14ac:dyDescent="0.35">
      <c r="A1477" s="1158" t="s">
        <v>834</v>
      </c>
      <c r="B1477" s="1159">
        <v>2047</v>
      </c>
      <c r="C1477" s="1159" t="str">
        <f t="shared" si="37"/>
        <v>Plumas_2047</v>
      </c>
      <c r="D1477" s="1169">
        <v>386.51004186869903</v>
      </c>
    </row>
    <row r="1478" spans="1:4" s="339" customFormat="1" ht="15.5" x14ac:dyDescent="0.35">
      <c r="A1478" s="1158" t="s">
        <v>834</v>
      </c>
      <c r="B1478" s="1159">
        <v>2048</v>
      </c>
      <c r="C1478" s="1159" t="str">
        <f t="shared" si="37"/>
        <v>Plumas_2048</v>
      </c>
      <c r="D1478" s="1169">
        <v>385.50740069731086</v>
      </c>
    </row>
    <row r="1479" spans="1:4" s="339" customFormat="1" ht="15.5" x14ac:dyDescent="0.35">
      <c r="A1479" s="1158" t="s">
        <v>834</v>
      </c>
      <c r="B1479" s="1159">
        <v>2049</v>
      </c>
      <c r="C1479" s="1159" t="str">
        <f t="shared" si="37"/>
        <v>Plumas_2049</v>
      </c>
      <c r="D1479" s="1169">
        <v>384.60213292214468</v>
      </c>
    </row>
    <row r="1480" spans="1:4" s="339" customFormat="1" ht="15.5" x14ac:dyDescent="0.35">
      <c r="A1480" s="1158" t="s">
        <v>834</v>
      </c>
      <c r="B1480" s="1159">
        <v>2050</v>
      </c>
      <c r="C1480" s="1159" t="str">
        <f t="shared" si="37"/>
        <v>Plumas_2050</v>
      </c>
      <c r="D1480" s="1169">
        <v>383.834170632807</v>
      </c>
    </row>
    <row r="1481" spans="1:4" s="339" customFormat="1" ht="15.5" x14ac:dyDescent="0.35">
      <c r="A1481" s="1155" t="s">
        <v>835</v>
      </c>
      <c r="B1481" s="1156">
        <v>2015</v>
      </c>
      <c r="C1481" s="1157" t="s">
        <v>923</v>
      </c>
      <c r="D1481" s="1168">
        <v>522.79789872945173</v>
      </c>
    </row>
    <row r="1482" spans="1:4" s="339" customFormat="1" ht="15.5" x14ac:dyDescent="0.35">
      <c r="A1482" s="1155" t="s">
        <v>835</v>
      </c>
      <c r="B1482" s="1156">
        <v>2016</v>
      </c>
      <c r="C1482" s="1157" t="s">
        <v>924</v>
      </c>
      <c r="D1482" s="1168">
        <v>510.25301491209217</v>
      </c>
    </row>
    <row r="1483" spans="1:4" s="339" customFormat="1" ht="15.5" x14ac:dyDescent="0.35">
      <c r="A1483" s="1158" t="s">
        <v>835</v>
      </c>
      <c r="B1483" s="1159">
        <v>2017</v>
      </c>
      <c r="C1483" s="1159" t="str">
        <f t="shared" ref="C1483:C1546" si="38">CONCATENATE(A1483,"_",B1483)</f>
        <v>Riverside_2017</v>
      </c>
      <c r="D1483" s="1169">
        <v>506.38482261409541</v>
      </c>
    </row>
    <row r="1484" spans="1:4" s="339" customFormat="1" ht="15.5" x14ac:dyDescent="0.35">
      <c r="A1484" s="1158" t="s">
        <v>835</v>
      </c>
      <c r="B1484" s="1159">
        <v>2018</v>
      </c>
      <c r="C1484" s="1159" t="str">
        <f t="shared" si="38"/>
        <v>Riverside_2018</v>
      </c>
      <c r="D1484" s="1169">
        <v>499.92277021535796</v>
      </c>
    </row>
    <row r="1485" spans="1:4" s="339" customFormat="1" ht="15.5" x14ac:dyDescent="0.35">
      <c r="A1485" s="1158" t="s">
        <v>835</v>
      </c>
      <c r="B1485" s="1159">
        <v>2019</v>
      </c>
      <c r="C1485" s="1159" t="str">
        <f t="shared" si="38"/>
        <v>Riverside_2019</v>
      </c>
      <c r="D1485" s="1169">
        <v>493.05234229068475</v>
      </c>
    </row>
    <row r="1486" spans="1:4" s="339" customFormat="1" ht="15.5" x14ac:dyDescent="0.35">
      <c r="A1486" s="1158" t="s">
        <v>835</v>
      </c>
      <c r="B1486" s="1159">
        <v>2020</v>
      </c>
      <c r="C1486" s="1159" t="str">
        <f t="shared" si="38"/>
        <v>Riverside_2020</v>
      </c>
      <c r="D1486" s="1169">
        <v>489.68648577865241</v>
      </c>
    </row>
    <row r="1487" spans="1:4" s="339" customFormat="1" ht="15.5" x14ac:dyDescent="0.35">
      <c r="A1487" s="1158" t="s">
        <v>835</v>
      </c>
      <c r="B1487" s="1159">
        <v>2021</v>
      </c>
      <c r="C1487" s="1159" t="str">
        <f t="shared" si="38"/>
        <v>Riverside_2021</v>
      </c>
      <c r="D1487" s="1169">
        <v>480.5810437356144</v>
      </c>
    </row>
    <row r="1488" spans="1:4" s="339" customFormat="1" ht="15.5" x14ac:dyDescent="0.35">
      <c r="A1488" s="1158" t="s">
        <v>835</v>
      </c>
      <c r="B1488" s="1159">
        <v>2022</v>
      </c>
      <c r="C1488" s="1159" t="str">
        <f t="shared" si="38"/>
        <v>Riverside_2022</v>
      </c>
      <c r="D1488" s="1169">
        <v>472.14550307935934</v>
      </c>
    </row>
    <row r="1489" spans="1:4" s="339" customFormat="1" ht="15.5" x14ac:dyDescent="0.35">
      <c r="A1489" s="1158" t="s">
        <v>835</v>
      </c>
      <c r="B1489" s="1159">
        <v>2023</v>
      </c>
      <c r="C1489" s="1159" t="str">
        <f t="shared" si="38"/>
        <v>Riverside_2023</v>
      </c>
      <c r="D1489" s="1169">
        <v>463.72018424098337</v>
      </c>
    </row>
    <row r="1490" spans="1:4" s="339" customFormat="1" ht="15.5" x14ac:dyDescent="0.35">
      <c r="A1490" s="1158" t="s">
        <v>835</v>
      </c>
      <c r="B1490" s="1159">
        <v>2024</v>
      </c>
      <c r="C1490" s="1159" t="str">
        <f t="shared" si="38"/>
        <v>Riverside_2024</v>
      </c>
      <c r="D1490" s="1169">
        <v>453.64337555880127</v>
      </c>
    </row>
    <row r="1491" spans="1:4" s="339" customFormat="1" ht="15.5" x14ac:dyDescent="0.35">
      <c r="A1491" s="1158" t="s">
        <v>835</v>
      </c>
      <c r="B1491" s="1159">
        <v>2025</v>
      </c>
      <c r="C1491" s="1159" t="str">
        <f t="shared" si="38"/>
        <v>Riverside_2025</v>
      </c>
      <c r="D1491" s="1169">
        <v>443.7918606413794</v>
      </c>
    </row>
    <row r="1492" spans="1:4" s="339" customFormat="1" ht="15.5" x14ac:dyDescent="0.35">
      <c r="A1492" s="1158" t="s">
        <v>835</v>
      </c>
      <c r="B1492" s="1159">
        <v>2026</v>
      </c>
      <c r="C1492" s="1159" t="str">
        <f t="shared" si="38"/>
        <v>Riverside_2026</v>
      </c>
      <c r="D1492" s="1169">
        <v>433.86977557101841</v>
      </c>
    </row>
    <row r="1493" spans="1:4" s="339" customFormat="1" ht="15.5" x14ac:dyDescent="0.35">
      <c r="A1493" s="1158" t="s">
        <v>835</v>
      </c>
      <c r="B1493" s="1159">
        <v>2027</v>
      </c>
      <c r="C1493" s="1159" t="str">
        <f t="shared" si="38"/>
        <v>Riverside_2027</v>
      </c>
      <c r="D1493" s="1169">
        <v>425.34195873782386</v>
      </c>
    </row>
    <row r="1494" spans="1:4" s="339" customFormat="1" ht="15.5" x14ac:dyDescent="0.35">
      <c r="A1494" s="1158" t="s">
        <v>835</v>
      </c>
      <c r="B1494" s="1159">
        <v>2028</v>
      </c>
      <c r="C1494" s="1159" t="str">
        <f t="shared" si="38"/>
        <v>Riverside_2028</v>
      </c>
      <c r="D1494" s="1169">
        <v>417.2605481922314</v>
      </c>
    </row>
    <row r="1495" spans="1:4" s="339" customFormat="1" ht="15.5" x14ac:dyDescent="0.35">
      <c r="A1495" s="1158" t="s">
        <v>835</v>
      </c>
      <c r="B1495" s="1159">
        <v>2029</v>
      </c>
      <c r="C1495" s="1159" t="str">
        <f t="shared" si="38"/>
        <v>Riverside_2029</v>
      </c>
      <c r="D1495" s="1169">
        <v>409.94194216956231</v>
      </c>
    </row>
    <row r="1496" spans="1:4" s="339" customFormat="1" ht="15.5" x14ac:dyDescent="0.35">
      <c r="A1496" s="1158" t="s">
        <v>835</v>
      </c>
      <c r="B1496" s="1159">
        <v>2030</v>
      </c>
      <c r="C1496" s="1159" t="str">
        <f t="shared" si="38"/>
        <v>Riverside_2030</v>
      </c>
      <c r="D1496" s="1169">
        <v>403.35156329754085</v>
      </c>
    </row>
    <row r="1497" spans="1:4" s="339" customFormat="1" ht="15.5" x14ac:dyDescent="0.35">
      <c r="A1497" s="1158" t="s">
        <v>835</v>
      </c>
      <c r="B1497" s="1159">
        <v>2031</v>
      </c>
      <c r="C1497" s="1159" t="str">
        <f t="shared" si="38"/>
        <v>Riverside_2031</v>
      </c>
      <c r="D1497" s="1169">
        <v>397.42264837884653</v>
      </c>
    </row>
    <row r="1498" spans="1:4" s="339" customFormat="1" ht="15.5" x14ac:dyDescent="0.35">
      <c r="A1498" s="1158" t="s">
        <v>835</v>
      </c>
      <c r="B1498" s="1159">
        <v>2032</v>
      </c>
      <c r="C1498" s="1159" t="str">
        <f t="shared" si="38"/>
        <v>Riverside_2032</v>
      </c>
      <c r="D1498" s="1169">
        <v>392.03119321377579</v>
      </c>
    </row>
    <row r="1499" spans="1:4" s="339" customFormat="1" ht="15.5" x14ac:dyDescent="0.35">
      <c r="A1499" s="1158" t="s">
        <v>835</v>
      </c>
      <c r="B1499" s="1159">
        <v>2033</v>
      </c>
      <c r="C1499" s="1159" t="str">
        <f t="shared" si="38"/>
        <v>Riverside_2033</v>
      </c>
      <c r="D1499" s="1169">
        <v>387.5199841489657</v>
      </c>
    </row>
    <row r="1500" spans="1:4" s="339" customFormat="1" ht="15.5" x14ac:dyDescent="0.35">
      <c r="A1500" s="1158" t="s">
        <v>835</v>
      </c>
      <c r="B1500" s="1159">
        <v>2034</v>
      </c>
      <c r="C1500" s="1159" t="str">
        <f t="shared" si="38"/>
        <v>Riverside_2034</v>
      </c>
      <c r="D1500" s="1169">
        <v>383.25902286468789</v>
      </c>
    </row>
    <row r="1501" spans="1:4" s="339" customFormat="1" ht="15.5" x14ac:dyDescent="0.35">
      <c r="A1501" s="1158" t="s">
        <v>835</v>
      </c>
      <c r="B1501" s="1159">
        <v>2035</v>
      </c>
      <c r="C1501" s="1159" t="str">
        <f t="shared" si="38"/>
        <v>Riverside_2035</v>
      </c>
      <c r="D1501" s="1169">
        <v>379.48183758140038</v>
      </c>
    </row>
    <row r="1502" spans="1:4" s="339" customFormat="1" ht="15.5" x14ac:dyDescent="0.35">
      <c r="A1502" s="1158" t="s">
        <v>835</v>
      </c>
      <c r="B1502" s="1159">
        <v>2036</v>
      </c>
      <c r="C1502" s="1159" t="str">
        <f t="shared" si="38"/>
        <v>Riverside_2036</v>
      </c>
      <c r="D1502" s="1169">
        <v>375.92460729868742</v>
      </c>
    </row>
    <row r="1503" spans="1:4" s="339" customFormat="1" ht="15.5" x14ac:dyDescent="0.35">
      <c r="A1503" s="1158" t="s">
        <v>835</v>
      </c>
      <c r="B1503" s="1159">
        <v>2037</v>
      </c>
      <c r="C1503" s="1159" t="str">
        <f t="shared" si="38"/>
        <v>Riverside_2037</v>
      </c>
      <c r="D1503" s="1169">
        <v>373.02584823519521</v>
      </c>
    </row>
    <row r="1504" spans="1:4" s="339" customFormat="1" ht="15.5" x14ac:dyDescent="0.35">
      <c r="A1504" s="1158" t="s">
        <v>835</v>
      </c>
      <c r="B1504" s="1159">
        <v>2038</v>
      </c>
      <c r="C1504" s="1159" t="str">
        <f t="shared" si="38"/>
        <v>Riverside_2038</v>
      </c>
      <c r="D1504" s="1169">
        <v>370.73293205195091</v>
      </c>
    </row>
    <row r="1505" spans="1:4" s="339" customFormat="1" ht="15.5" x14ac:dyDescent="0.35">
      <c r="A1505" s="1158" t="s">
        <v>835</v>
      </c>
      <c r="B1505" s="1159">
        <v>2039</v>
      </c>
      <c r="C1505" s="1159" t="str">
        <f t="shared" si="38"/>
        <v>Riverside_2039</v>
      </c>
      <c r="D1505" s="1169">
        <v>368.5736226423503</v>
      </c>
    </row>
    <row r="1506" spans="1:4" s="339" customFormat="1" ht="15.5" x14ac:dyDescent="0.35">
      <c r="A1506" s="1158" t="s">
        <v>835</v>
      </c>
      <c r="B1506" s="1159">
        <v>2040</v>
      </c>
      <c r="C1506" s="1159" t="str">
        <f t="shared" si="38"/>
        <v>Riverside_2040</v>
      </c>
      <c r="D1506" s="1169">
        <v>366.73385724877505</v>
      </c>
    </row>
    <row r="1507" spans="1:4" s="339" customFormat="1" ht="15.5" x14ac:dyDescent="0.35">
      <c r="A1507" s="1158" t="s">
        <v>835</v>
      </c>
      <c r="B1507" s="1159">
        <v>2041</v>
      </c>
      <c r="C1507" s="1159" t="str">
        <f t="shared" si="38"/>
        <v>Riverside_2041</v>
      </c>
      <c r="D1507" s="1169">
        <v>365.19160261722482</v>
      </c>
    </row>
    <row r="1508" spans="1:4" s="339" customFormat="1" ht="15.5" x14ac:dyDescent="0.35">
      <c r="A1508" s="1158" t="s">
        <v>835</v>
      </c>
      <c r="B1508" s="1159">
        <v>2042</v>
      </c>
      <c r="C1508" s="1159" t="str">
        <f t="shared" si="38"/>
        <v>Riverside_2042</v>
      </c>
      <c r="D1508" s="1169">
        <v>363.87661379389311</v>
      </c>
    </row>
    <row r="1509" spans="1:4" s="339" customFormat="1" ht="15.5" x14ac:dyDescent="0.35">
      <c r="A1509" s="1158" t="s">
        <v>835</v>
      </c>
      <c r="B1509" s="1159">
        <v>2043</v>
      </c>
      <c r="C1509" s="1159" t="str">
        <f t="shared" si="38"/>
        <v>Riverside_2043</v>
      </c>
      <c r="D1509" s="1169">
        <v>362.77728180976914</v>
      </c>
    </row>
    <row r="1510" spans="1:4" s="339" customFormat="1" ht="15.5" x14ac:dyDescent="0.35">
      <c r="A1510" s="1158" t="s">
        <v>835</v>
      </c>
      <c r="B1510" s="1159">
        <v>2044</v>
      </c>
      <c r="C1510" s="1159" t="str">
        <f t="shared" si="38"/>
        <v>Riverside_2044</v>
      </c>
      <c r="D1510" s="1169">
        <v>361.84588624412675</v>
      </c>
    </row>
    <row r="1511" spans="1:4" s="339" customFormat="1" ht="15.5" x14ac:dyDescent="0.35">
      <c r="A1511" s="1158" t="s">
        <v>835</v>
      </c>
      <c r="B1511" s="1159">
        <v>2045</v>
      </c>
      <c r="C1511" s="1159" t="str">
        <f t="shared" si="38"/>
        <v>Riverside_2045</v>
      </c>
      <c r="D1511" s="1169">
        <v>361.03471680789124</v>
      </c>
    </row>
    <row r="1512" spans="1:4" s="339" customFormat="1" ht="15.5" x14ac:dyDescent="0.35">
      <c r="A1512" s="1158" t="s">
        <v>835</v>
      </c>
      <c r="B1512" s="1159">
        <v>2046</v>
      </c>
      <c r="C1512" s="1159" t="str">
        <f t="shared" si="38"/>
        <v>Riverside_2046</v>
      </c>
      <c r="D1512" s="1169">
        <v>360.34331921381579</v>
      </c>
    </row>
    <row r="1513" spans="1:4" s="339" customFormat="1" ht="15.5" x14ac:dyDescent="0.35">
      <c r="A1513" s="1158" t="s">
        <v>835</v>
      </c>
      <c r="B1513" s="1159">
        <v>2047</v>
      </c>
      <c r="C1513" s="1159" t="str">
        <f t="shared" si="38"/>
        <v>Riverside_2047</v>
      </c>
      <c r="D1513" s="1169">
        <v>359.75304558490745</v>
      </c>
    </row>
    <row r="1514" spans="1:4" s="339" customFormat="1" ht="15.5" x14ac:dyDescent="0.35">
      <c r="A1514" s="1158" t="s">
        <v>835</v>
      </c>
      <c r="B1514" s="1159">
        <v>2048</v>
      </c>
      <c r="C1514" s="1159" t="str">
        <f t="shared" si="38"/>
        <v>Riverside_2048</v>
      </c>
      <c r="D1514" s="1169">
        <v>359.23660667606657</v>
      </c>
    </row>
    <row r="1515" spans="1:4" s="339" customFormat="1" ht="15.5" x14ac:dyDescent="0.35">
      <c r="A1515" s="1158" t="s">
        <v>835</v>
      </c>
      <c r="B1515" s="1159">
        <v>2049</v>
      </c>
      <c r="C1515" s="1159" t="str">
        <f t="shared" si="38"/>
        <v>Riverside_2049</v>
      </c>
      <c r="D1515" s="1169">
        <v>358.78523916955675</v>
      </c>
    </row>
    <row r="1516" spans="1:4" s="339" customFormat="1" ht="15.5" x14ac:dyDescent="0.35">
      <c r="A1516" s="1158" t="s">
        <v>835</v>
      </c>
      <c r="B1516" s="1159">
        <v>2050</v>
      </c>
      <c r="C1516" s="1159" t="str">
        <f t="shared" si="38"/>
        <v>Riverside_2050</v>
      </c>
      <c r="D1516" s="1169">
        <v>358.41931843065748</v>
      </c>
    </row>
    <row r="1517" spans="1:4" s="339" customFormat="1" ht="15.5" x14ac:dyDescent="0.35">
      <c r="A1517" s="1160" t="s">
        <v>805</v>
      </c>
      <c r="B1517" s="1161">
        <v>2015</v>
      </c>
      <c r="C1517" s="1161" t="str">
        <f t="shared" si="38"/>
        <v>Sacramento Valley_2015</v>
      </c>
      <c r="D1517" s="1168">
        <v>533.25292055220768</v>
      </c>
    </row>
    <row r="1518" spans="1:4" s="339" customFormat="1" ht="15.5" x14ac:dyDescent="0.35">
      <c r="A1518" s="1160" t="s">
        <v>805</v>
      </c>
      <c r="B1518" s="1161">
        <v>2016</v>
      </c>
      <c r="C1518" s="1161" t="str">
        <f t="shared" si="38"/>
        <v>Sacramento Valley_2016</v>
      </c>
      <c r="D1518" s="1168">
        <v>521.1377878391454</v>
      </c>
    </row>
    <row r="1519" spans="1:4" s="339" customFormat="1" ht="15.5" x14ac:dyDescent="0.35">
      <c r="A1519" s="1162" t="s">
        <v>805</v>
      </c>
      <c r="B1519" s="1163">
        <v>2017</v>
      </c>
      <c r="C1519" s="1163" t="str">
        <f t="shared" si="38"/>
        <v>Sacramento Valley_2017</v>
      </c>
      <c r="D1519" s="1169">
        <v>516.54540101239456</v>
      </c>
    </row>
    <row r="1520" spans="1:4" s="339" customFormat="1" ht="15.5" x14ac:dyDescent="0.35">
      <c r="A1520" s="1162" t="s">
        <v>805</v>
      </c>
      <c r="B1520" s="1163">
        <v>2018</v>
      </c>
      <c r="C1520" s="1163" t="str">
        <f t="shared" si="38"/>
        <v>Sacramento Valley_2018</v>
      </c>
      <c r="D1520" s="1169">
        <v>509.7616442961978</v>
      </c>
    </row>
    <row r="1521" spans="1:4" s="339" customFormat="1" ht="15.5" x14ac:dyDescent="0.35">
      <c r="A1521" s="1162" t="s">
        <v>805</v>
      </c>
      <c r="B1521" s="1163">
        <v>2019</v>
      </c>
      <c r="C1521" s="1163" t="str">
        <f t="shared" si="38"/>
        <v>Sacramento Valley_2019</v>
      </c>
      <c r="D1521" s="1169">
        <v>501.66731244763599</v>
      </c>
    </row>
    <row r="1522" spans="1:4" s="339" customFormat="1" ht="15.5" x14ac:dyDescent="0.35">
      <c r="A1522" s="1162" t="s">
        <v>805</v>
      </c>
      <c r="B1522" s="1163">
        <v>2020</v>
      </c>
      <c r="C1522" s="1163" t="str">
        <f t="shared" si="38"/>
        <v>Sacramento Valley_2020</v>
      </c>
      <c r="D1522" s="1169">
        <v>497.77721396944156</v>
      </c>
    </row>
    <row r="1523" spans="1:4" s="339" customFormat="1" ht="15.5" x14ac:dyDescent="0.35">
      <c r="A1523" s="1162" t="s">
        <v>805</v>
      </c>
      <c r="B1523" s="1163">
        <v>2021</v>
      </c>
      <c r="C1523" s="1163" t="str">
        <f t="shared" si="38"/>
        <v>Sacramento Valley_2021</v>
      </c>
      <c r="D1523" s="1169">
        <v>487.93410328458219</v>
      </c>
    </row>
    <row r="1524" spans="1:4" s="339" customFormat="1" ht="15.5" x14ac:dyDescent="0.35">
      <c r="A1524" s="1162" t="s">
        <v>805</v>
      </c>
      <c r="B1524" s="1163">
        <v>2022</v>
      </c>
      <c r="C1524" s="1163" t="str">
        <f t="shared" si="38"/>
        <v>Sacramento Valley_2022</v>
      </c>
      <c r="D1524" s="1169">
        <v>479.02506901000351</v>
      </c>
    </row>
    <row r="1525" spans="1:4" s="339" customFormat="1" ht="15.5" x14ac:dyDescent="0.35">
      <c r="A1525" s="1162" t="s">
        <v>805</v>
      </c>
      <c r="B1525" s="1163">
        <v>2023</v>
      </c>
      <c r="C1525" s="1163" t="str">
        <f t="shared" si="38"/>
        <v>Sacramento Valley_2023</v>
      </c>
      <c r="D1525" s="1169">
        <v>469.58226440751758</v>
      </c>
    </row>
    <row r="1526" spans="1:4" s="339" customFormat="1" ht="15.5" x14ac:dyDescent="0.35">
      <c r="A1526" s="1162" t="s">
        <v>805</v>
      </c>
      <c r="B1526" s="1163">
        <v>2024</v>
      </c>
      <c r="C1526" s="1163" t="str">
        <f t="shared" si="38"/>
        <v>Sacramento Valley_2024</v>
      </c>
      <c r="D1526" s="1169">
        <v>460.11096054091507</v>
      </c>
    </row>
    <row r="1527" spans="1:4" s="339" customFormat="1" ht="15.5" x14ac:dyDescent="0.35">
      <c r="A1527" s="1162" t="s">
        <v>805</v>
      </c>
      <c r="B1527" s="1163">
        <v>2025</v>
      </c>
      <c r="C1527" s="1163" t="str">
        <f t="shared" si="38"/>
        <v>Sacramento Valley_2025</v>
      </c>
      <c r="D1527" s="1169">
        <v>449.9131749185284</v>
      </c>
    </row>
    <row r="1528" spans="1:4" s="339" customFormat="1" ht="15.5" x14ac:dyDescent="0.35">
      <c r="A1528" s="1162" t="s">
        <v>805</v>
      </c>
      <c r="B1528" s="1163">
        <v>2026</v>
      </c>
      <c r="C1528" s="1163" t="str">
        <f t="shared" si="38"/>
        <v>Sacramento Valley_2026</v>
      </c>
      <c r="D1528" s="1169">
        <v>439.94506323327721</v>
      </c>
    </row>
    <row r="1529" spans="1:4" s="339" customFormat="1" ht="15.5" x14ac:dyDescent="0.35">
      <c r="A1529" s="1162" t="s">
        <v>805</v>
      </c>
      <c r="B1529" s="1163">
        <v>2027</v>
      </c>
      <c r="C1529" s="1163" t="str">
        <f t="shared" si="38"/>
        <v>Sacramento Valley_2027</v>
      </c>
      <c r="D1529" s="1169">
        <v>430.88318544368235</v>
      </c>
    </row>
    <row r="1530" spans="1:4" s="339" customFormat="1" ht="15.5" x14ac:dyDescent="0.35">
      <c r="A1530" s="1162" t="s">
        <v>805</v>
      </c>
      <c r="B1530" s="1163">
        <v>2028</v>
      </c>
      <c r="C1530" s="1163" t="str">
        <f t="shared" si="38"/>
        <v>Sacramento Valley_2028</v>
      </c>
      <c r="D1530" s="1169">
        <v>421.53449683133522</v>
      </c>
    </row>
    <row r="1531" spans="1:4" s="339" customFormat="1" ht="15.5" x14ac:dyDescent="0.35">
      <c r="A1531" s="1162" t="s">
        <v>805</v>
      </c>
      <c r="B1531" s="1163">
        <v>2029</v>
      </c>
      <c r="C1531" s="1163" t="str">
        <f t="shared" si="38"/>
        <v>Sacramento Valley_2029</v>
      </c>
      <c r="D1531" s="1169">
        <v>413.52295686966875</v>
      </c>
    </row>
    <row r="1532" spans="1:4" s="339" customFormat="1" ht="15.5" x14ac:dyDescent="0.35">
      <c r="A1532" s="1162" t="s">
        <v>805</v>
      </c>
      <c r="B1532" s="1163">
        <v>2030</v>
      </c>
      <c r="C1532" s="1163" t="str">
        <f t="shared" si="38"/>
        <v>Sacramento Valley_2030</v>
      </c>
      <c r="D1532" s="1169">
        <v>406.23164328587933</v>
      </c>
    </row>
    <row r="1533" spans="1:4" s="339" customFormat="1" ht="15.5" x14ac:dyDescent="0.35">
      <c r="A1533" s="1162" t="s">
        <v>805</v>
      </c>
      <c r="B1533" s="1163">
        <v>2031</v>
      </c>
      <c r="C1533" s="1163" t="str">
        <f t="shared" si="38"/>
        <v>Sacramento Valley_2031</v>
      </c>
      <c r="D1533" s="1169">
        <v>399.63482217120878</v>
      </c>
    </row>
    <row r="1534" spans="1:4" s="339" customFormat="1" ht="15.5" x14ac:dyDescent="0.35">
      <c r="A1534" s="1162" t="s">
        <v>805</v>
      </c>
      <c r="B1534" s="1163">
        <v>2032</v>
      </c>
      <c r="C1534" s="1163" t="str">
        <f t="shared" si="38"/>
        <v>Sacramento Valley_2032</v>
      </c>
      <c r="D1534" s="1169">
        <v>393.67937480864862</v>
      </c>
    </row>
    <row r="1535" spans="1:4" s="339" customFormat="1" ht="15.5" x14ac:dyDescent="0.35">
      <c r="A1535" s="1162" t="s">
        <v>805</v>
      </c>
      <c r="B1535" s="1163">
        <v>2033</v>
      </c>
      <c r="C1535" s="1163" t="str">
        <f t="shared" si="38"/>
        <v>Sacramento Valley_2033</v>
      </c>
      <c r="D1535" s="1169">
        <v>388.34595005474597</v>
      </c>
    </row>
    <row r="1536" spans="1:4" s="339" customFormat="1" ht="15.5" x14ac:dyDescent="0.35">
      <c r="A1536" s="1162" t="s">
        <v>805</v>
      </c>
      <c r="B1536" s="1163">
        <v>2034</v>
      </c>
      <c r="C1536" s="1163" t="str">
        <f t="shared" si="38"/>
        <v>Sacramento Valley_2034</v>
      </c>
      <c r="D1536" s="1169">
        <v>383.59586265837714</v>
      </c>
    </row>
    <row r="1537" spans="1:4" s="339" customFormat="1" ht="15.5" x14ac:dyDescent="0.35">
      <c r="A1537" s="1162" t="s">
        <v>805</v>
      </c>
      <c r="B1537" s="1163">
        <v>2035</v>
      </c>
      <c r="C1537" s="1163" t="str">
        <f t="shared" si="38"/>
        <v>Sacramento Valley_2035</v>
      </c>
      <c r="D1537" s="1169">
        <v>379.40762691162615</v>
      </c>
    </row>
    <row r="1538" spans="1:4" s="339" customFormat="1" ht="15.5" x14ac:dyDescent="0.35">
      <c r="A1538" s="1162" t="s">
        <v>805</v>
      </c>
      <c r="B1538" s="1163">
        <v>2036</v>
      </c>
      <c r="C1538" s="1163" t="str">
        <f t="shared" si="38"/>
        <v>Sacramento Valley_2036</v>
      </c>
      <c r="D1538" s="1169">
        <v>375.88787311471469</v>
      </c>
    </row>
    <row r="1539" spans="1:4" s="339" customFormat="1" ht="15.5" x14ac:dyDescent="0.35">
      <c r="A1539" s="1162" t="s">
        <v>805</v>
      </c>
      <c r="B1539" s="1163">
        <v>2037</v>
      </c>
      <c r="C1539" s="1163" t="str">
        <f t="shared" si="38"/>
        <v>Sacramento Valley_2037</v>
      </c>
      <c r="D1539" s="1169">
        <v>372.71313780163518</v>
      </c>
    </row>
    <row r="1540" spans="1:4" s="339" customFormat="1" ht="15.5" x14ac:dyDescent="0.35">
      <c r="A1540" s="1162" t="s">
        <v>805</v>
      </c>
      <c r="B1540" s="1163">
        <v>2038</v>
      </c>
      <c r="C1540" s="1163" t="str">
        <f t="shared" si="38"/>
        <v>Sacramento Valley_2038</v>
      </c>
      <c r="D1540" s="1169">
        <v>369.99835022579362</v>
      </c>
    </row>
    <row r="1541" spans="1:4" s="339" customFormat="1" ht="15.5" x14ac:dyDescent="0.35">
      <c r="A1541" s="1162" t="s">
        <v>805</v>
      </c>
      <c r="B1541" s="1163">
        <v>2039</v>
      </c>
      <c r="C1541" s="1163" t="str">
        <f t="shared" si="38"/>
        <v>Sacramento Valley_2039</v>
      </c>
      <c r="D1541" s="1169">
        <v>367.66808528908962</v>
      </c>
    </row>
    <row r="1542" spans="1:4" s="339" customFormat="1" ht="15.5" x14ac:dyDescent="0.35">
      <c r="A1542" s="1162" t="s">
        <v>805</v>
      </c>
      <c r="B1542" s="1163">
        <v>2040</v>
      </c>
      <c r="C1542" s="1163" t="str">
        <f t="shared" si="38"/>
        <v>Sacramento Valley_2040</v>
      </c>
      <c r="D1542" s="1169">
        <v>365.70033744105137</v>
      </c>
    </row>
    <row r="1543" spans="1:4" s="339" customFormat="1" ht="15.5" x14ac:dyDescent="0.35">
      <c r="A1543" s="1162" t="s">
        <v>805</v>
      </c>
      <c r="B1543" s="1163">
        <v>2041</v>
      </c>
      <c r="C1543" s="1163" t="str">
        <f t="shared" si="38"/>
        <v>Sacramento Valley_2041</v>
      </c>
      <c r="D1543" s="1169">
        <v>364.05844084983806</v>
      </c>
    </row>
    <row r="1544" spans="1:4" s="339" customFormat="1" ht="15.5" x14ac:dyDescent="0.35">
      <c r="A1544" s="1162" t="s">
        <v>805</v>
      </c>
      <c r="B1544" s="1163">
        <v>2042</v>
      </c>
      <c r="C1544" s="1163" t="str">
        <f t="shared" si="38"/>
        <v>Sacramento Valley_2042</v>
      </c>
      <c r="D1544" s="1169">
        <v>362.67448515945159</v>
      </c>
    </row>
    <row r="1545" spans="1:4" s="339" customFormat="1" ht="15.5" x14ac:dyDescent="0.35">
      <c r="A1545" s="1162" t="s">
        <v>805</v>
      </c>
      <c r="B1545" s="1163">
        <v>2043</v>
      </c>
      <c r="C1545" s="1163" t="str">
        <f t="shared" si="38"/>
        <v>Sacramento Valley_2043</v>
      </c>
      <c r="D1545" s="1169">
        <v>361.52754016768705</v>
      </c>
    </row>
    <row r="1546" spans="1:4" s="339" customFormat="1" ht="15.5" x14ac:dyDescent="0.35">
      <c r="A1546" s="1162" t="s">
        <v>805</v>
      </c>
      <c r="B1546" s="1163">
        <v>2044</v>
      </c>
      <c r="C1546" s="1163" t="str">
        <f t="shared" si="38"/>
        <v>Sacramento Valley_2044</v>
      </c>
      <c r="D1546" s="1169">
        <v>360.56262865661955</v>
      </c>
    </row>
    <row r="1547" spans="1:4" s="339" customFormat="1" ht="15.5" x14ac:dyDescent="0.35">
      <c r="A1547" s="1162" t="s">
        <v>805</v>
      </c>
      <c r="B1547" s="1163">
        <v>2045</v>
      </c>
      <c r="C1547" s="1163" t="str">
        <f t="shared" ref="C1547:C1552" si="39">CONCATENATE(A1547,"_",B1547)</f>
        <v>Sacramento Valley_2045</v>
      </c>
      <c r="D1547" s="1169">
        <v>359.73917397955825</v>
      </c>
    </row>
    <row r="1548" spans="1:4" s="339" customFormat="1" ht="15.5" x14ac:dyDescent="0.35">
      <c r="A1548" s="1162" t="s">
        <v>805</v>
      </c>
      <c r="B1548" s="1163">
        <v>2046</v>
      </c>
      <c r="C1548" s="1163" t="str">
        <f t="shared" si="39"/>
        <v>Sacramento Valley_2046</v>
      </c>
      <c r="D1548" s="1169">
        <v>359.04146567894048</v>
      </c>
    </row>
    <row r="1549" spans="1:4" s="339" customFormat="1" ht="15.5" x14ac:dyDescent="0.35">
      <c r="A1549" s="1162" t="s">
        <v>805</v>
      </c>
      <c r="B1549" s="1163">
        <v>2047</v>
      </c>
      <c r="C1549" s="1163" t="str">
        <f t="shared" si="39"/>
        <v>Sacramento Valley_2047</v>
      </c>
      <c r="D1549" s="1169">
        <v>358.45847106203405</v>
      </c>
    </row>
    <row r="1550" spans="1:4" s="339" customFormat="1" ht="15.5" x14ac:dyDescent="0.35">
      <c r="A1550" s="1162" t="s">
        <v>805</v>
      </c>
      <c r="B1550" s="1163">
        <v>2048</v>
      </c>
      <c r="C1550" s="1163" t="str">
        <f t="shared" si="39"/>
        <v>Sacramento Valley_2048</v>
      </c>
      <c r="D1550" s="1169">
        <v>357.96818451729865</v>
      </c>
    </row>
    <row r="1551" spans="1:4" s="339" customFormat="1" ht="15.5" x14ac:dyDescent="0.35">
      <c r="A1551" s="1162" t="s">
        <v>805</v>
      </c>
      <c r="B1551" s="1163">
        <v>2049</v>
      </c>
      <c r="C1551" s="1163" t="str">
        <f t="shared" si="39"/>
        <v>Sacramento Valley_2049</v>
      </c>
      <c r="D1551" s="1169">
        <v>357.55248571947641</v>
      </c>
    </row>
    <row r="1552" spans="1:4" s="339" customFormat="1" ht="15.5" x14ac:dyDescent="0.35">
      <c r="A1552" s="1162" t="s">
        <v>805</v>
      </c>
      <c r="B1552" s="1163">
        <v>2050</v>
      </c>
      <c r="C1552" s="1163" t="str">
        <f t="shared" si="39"/>
        <v>Sacramento Valley_2050</v>
      </c>
      <c r="D1552" s="1169">
        <v>357.21181682953949</v>
      </c>
    </row>
    <row r="1553" spans="1:4" s="339" customFormat="1" ht="15.5" x14ac:dyDescent="0.35">
      <c r="A1553" s="1155" t="s">
        <v>836</v>
      </c>
      <c r="B1553" s="1156">
        <v>2015</v>
      </c>
      <c r="C1553" s="1157" t="s">
        <v>925</v>
      </c>
      <c r="D1553" s="1168">
        <v>529.90770778212936</v>
      </c>
    </row>
    <row r="1554" spans="1:4" s="339" customFormat="1" ht="15.5" x14ac:dyDescent="0.35">
      <c r="A1554" s="1155" t="s">
        <v>836</v>
      </c>
      <c r="B1554" s="1156">
        <v>2016</v>
      </c>
      <c r="C1554" s="1157" t="s">
        <v>926</v>
      </c>
      <c r="D1554" s="1168">
        <v>517.552801124594</v>
      </c>
    </row>
    <row r="1555" spans="1:4" s="339" customFormat="1" ht="15.5" x14ac:dyDescent="0.35">
      <c r="A1555" s="1158" t="s">
        <v>836</v>
      </c>
      <c r="B1555" s="1159">
        <v>2017</v>
      </c>
      <c r="C1555" s="1159" t="str">
        <f t="shared" ref="C1555:C1618" si="40">CONCATENATE(A1555,"_",B1555)</f>
        <v>Sacramento_2017</v>
      </c>
      <c r="D1555" s="1169">
        <v>512.54369927249695</v>
      </c>
    </row>
    <row r="1556" spans="1:4" s="339" customFormat="1" ht="15.5" x14ac:dyDescent="0.35">
      <c r="A1556" s="1158" t="s">
        <v>836</v>
      </c>
      <c r="B1556" s="1159">
        <v>2018</v>
      </c>
      <c r="C1556" s="1159" t="str">
        <f t="shared" si="40"/>
        <v>Sacramento_2018</v>
      </c>
      <c r="D1556" s="1169">
        <v>505.72369544681749</v>
      </c>
    </row>
    <row r="1557" spans="1:4" s="339" customFormat="1" ht="15.5" x14ac:dyDescent="0.35">
      <c r="A1557" s="1158" t="s">
        <v>836</v>
      </c>
      <c r="B1557" s="1159">
        <v>2019</v>
      </c>
      <c r="C1557" s="1159" t="str">
        <f t="shared" si="40"/>
        <v>Sacramento_2019</v>
      </c>
      <c r="D1557" s="1169">
        <v>498.01418551493418</v>
      </c>
    </row>
    <row r="1558" spans="1:4" s="339" customFormat="1" ht="15.5" x14ac:dyDescent="0.35">
      <c r="A1558" s="1158" t="s">
        <v>836</v>
      </c>
      <c r="B1558" s="1159">
        <v>2020</v>
      </c>
      <c r="C1558" s="1159" t="str">
        <f t="shared" si="40"/>
        <v>Sacramento_2020</v>
      </c>
      <c r="D1558" s="1169">
        <v>494.3924828811667</v>
      </c>
    </row>
    <row r="1559" spans="1:4" s="339" customFormat="1" ht="15.5" x14ac:dyDescent="0.35">
      <c r="A1559" s="1158" t="s">
        <v>836</v>
      </c>
      <c r="B1559" s="1159">
        <v>2021</v>
      </c>
      <c r="C1559" s="1159" t="str">
        <f t="shared" si="40"/>
        <v>Sacramento_2021</v>
      </c>
      <c r="D1559" s="1169">
        <v>484.99312015970963</v>
      </c>
    </row>
    <row r="1560" spans="1:4" s="339" customFormat="1" ht="15.5" x14ac:dyDescent="0.35">
      <c r="A1560" s="1158" t="s">
        <v>836</v>
      </c>
      <c r="B1560" s="1159">
        <v>2022</v>
      </c>
      <c r="C1560" s="1159" t="str">
        <f t="shared" si="40"/>
        <v>Sacramento_2022</v>
      </c>
      <c r="D1560" s="1169">
        <v>476.58258759469061</v>
      </c>
    </row>
    <row r="1561" spans="1:4" s="339" customFormat="1" ht="15.5" x14ac:dyDescent="0.35">
      <c r="A1561" s="1158" t="s">
        <v>836</v>
      </c>
      <c r="B1561" s="1159">
        <v>2023</v>
      </c>
      <c r="C1561" s="1159" t="str">
        <f t="shared" si="40"/>
        <v>Sacramento_2023</v>
      </c>
      <c r="D1561" s="1169">
        <v>467.64769491903161</v>
      </c>
    </row>
    <row r="1562" spans="1:4" s="339" customFormat="1" ht="15.5" x14ac:dyDescent="0.35">
      <c r="A1562" s="1158" t="s">
        <v>836</v>
      </c>
      <c r="B1562" s="1159">
        <v>2024</v>
      </c>
      <c r="C1562" s="1159" t="str">
        <f t="shared" si="40"/>
        <v>Sacramento_2024</v>
      </c>
      <c r="D1562" s="1169">
        <v>458.84956766776173</v>
      </c>
    </row>
    <row r="1563" spans="1:4" s="339" customFormat="1" ht="15.5" x14ac:dyDescent="0.35">
      <c r="A1563" s="1158" t="s">
        <v>836</v>
      </c>
      <c r="B1563" s="1159">
        <v>2025</v>
      </c>
      <c r="C1563" s="1159" t="str">
        <f t="shared" si="40"/>
        <v>Sacramento_2025</v>
      </c>
      <c r="D1563" s="1169">
        <v>449.09095406109395</v>
      </c>
    </row>
    <row r="1564" spans="1:4" s="339" customFormat="1" ht="15.5" x14ac:dyDescent="0.35">
      <c r="A1564" s="1158" t="s">
        <v>836</v>
      </c>
      <c r="B1564" s="1159">
        <v>2026</v>
      </c>
      <c r="C1564" s="1159" t="str">
        <f t="shared" si="40"/>
        <v>Sacramento_2026</v>
      </c>
      <c r="D1564" s="1169">
        <v>439.5039606429836</v>
      </c>
    </row>
    <row r="1565" spans="1:4" s="339" customFormat="1" ht="15.5" x14ac:dyDescent="0.35">
      <c r="A1565" s="1158" t="s">
        <v>836</v>
      </c>
      <c r="B1565" s="1159">
        <v>2027</v>
      </c>
      <c r="C1565" s="1159" t="str">
        <f t="shared" si="40"/>
        <v>Sacramento_2027</v>
      </c>
      <c r="D1565" s="1169">
        <v>430.92927874943189</v>
      </c>
    </row>
    <row r="1566" spans="1:4" s="339" customFormat="1" ht="15.5" x14ac:dyDescent="0.35">
      <c r="A1566" s="1158" t="s">
        <v>836</v>
      </c>
      <c r="B1566" s="1159">
        <v>2028</v>
      </c>
      <c r="C1566" s="1159" t="str">
        <f t="shared" si="40"/>
        <v>Sacramento_2028</v>
      </c>
      <c r="D1566" s="1169">
        <v>421.53194853089445</v>
      </c>
    </row>
    <row r="1567" spans="1:4" s="339" customFormat="1" ht="15.5" x14ac:dyDescent="0.35">
      <c r="A1567" s="1158" t="s">
        <v>836</v>
      </c>
      <c r="B1567" s="1159">
        <v>2029</v>
      </c>
      <c r="C1567" s="1159" t="str">
        <f t="shared" si="40"/>
        <v>Sacramento_2029</v>
      </c>
      <c r="D1567" s="1169">
        <v>413.71999675172611</v>
      </c>
    </row>
    <row r="1568" spans="1:4" s="339" customFormat="1" ht="15.5" x14ac:dyDescent="0.35">
      <c r="A1568" s="1158" t="s">
        <v>836</v>
      </c>
      <c r="B1568" s="1159">
        <v>2030</v>
      </c>
      <c r="C1568" s="1159" t="str">
        <f t="shared" si="40"/>
        <v>Sacramento_2030</v>
      </c>
      <c r="D1568" s="1169">
        <v>406.58854884926421</v>
      </c>
    </row>
    <row r="1569" spans="1:4" s="339" customFormat="1" ht="15.5" x14ac:dyDescent="0.35">
      <c r="A1569" s="1158" t="s">
        <v>836</v>
      </c>
      <c r="B1569" s="1159">
        <v>2031</v>
      </c>
      <c r="C1569" s="1159" t="str">
        <f t="shared" si="40"/>
        <v>Sacramento_2031</v>
      </c>
      <c r="D1569" s="1169">
        <v>400.11894785260046</v>
      </c>
    </row>
    <row r="1570" spans="1:4" s="339" customFormat="1" ht="15.5" x14ac:dyDescent="0.35">
      <c r="A1570" s="1158" t="s">
        <v>836</v>
      </c>
      <c r="B1570" s="1159">
        <v>2032</v>
      </c>
      <c r="C1570" s="1159" t="str">
        <f t="shared" si="40"/>
        <v>Sacramento_2032</v>
      </c>
      <c r="D1570" s="1169">
        <v>394.2713200311801</v>
      </c>
    </row>
    <row r="1571" spans="1:4" s="339" customFormat="1" ht="15.5" x14ac:dyDescent="0.35">
      <c r="A1571" s="1158" t="s">
        <v>836</v>
      </c>
      <c r="B1571" s="1159">
        <v>2033</v>
      </c>
      <c r="C1571" s="1159" t="str">
        <f t="shared" si="40"/>
        <v>Sacramento_2033</v>
      </c>
      <c r="D1571" s="1169">
        <v>389.02699569190673</v>
      </c>
    </row>
    <row r="1572" spans="1:4" s="339" customFormat="1" ht="15.5" x14ac:dyDescent="0.35">
      <c r="A1572" s="1158" t="s">
        <v>836</v>
      </c>
      <c r="B1572" s="1159">
        <v>2034</v>
      </c>
      <c r="C1572" s="1159" t="str">
        <f t="shared" si="40"/>
        <v>Sacramento_2034</v>
      </c>
      <c r="D1572" s="1169">
        <v>384.35038175796939</v>
      </c>
    </row>
    <row r="1573" spans="1:4" s="339" customFormat="1" ht="15.5" x14ac:dyDescent="0.35">
      <c r="A1573" s="1158" t="s">
        <v>836</v>
      </c>
      <c r="B1573" s="1159">
        <v>2035</v>
      </c>
      <c r="C1573" s="1159" t="str">
        <f t="shared" si="40"/>
        <v>Sacramento_2035</v>
      </c>
      <c r="D1573" s="1169">
        <v>380.22457823894513</v>
      </c>
    </row>
    <row r="1574" spans="1:4" s="339" customFormat="1" ht="15.5" x14ac:dyDescent="0.35">
      <c r="A1574" s="1158" t="s">
        <v>836</v>
      </c>
      <c r="B1574" s="1159">
        <v>2036</v>
      </c>
      <c r="C1574" s="1159" t="str">
        <f t="shared" si="40"/>
        <v>Sacramento_2036</v>
      </c>
      <c r="D1574" s="1169">
        <v>376.75974043648972</v>
      </c>
    </row>
    <row r="1575" spans="1:4" s="339" customFormat="1" ht="15.5" x14ac:dyDescent="0.35">
      <c r="A1575" s="1158" t="s">
        <v>836</v>
      </c>
      <c r="B1575" s="1159">
        <v>2037</v>
      </c>
      <c r="C1575" s="1159" t="str">
        <f t="shared" si="40"/>
        <v>Sacramento_2037</v>
      </c>
      <c r="D1575" s="1169">
        <v>373.62224307994535</v>
      </c>
    </row>
    <row r="1576" spans="1:4" s="339" customFormat="1" ht="15.5" x14ac:dyDescent="0.35">
      <c r="A1576" s="1158" t="s">
        <v>836</v>
      </c>
      <c r="B1576" s="1159">
        <v>2038</v>
      </c>
      <c r="C1576" s="1159" t="str">
        <f t="shared" si="40"/>
        <v>Sacramento_2038</v>
      </c>
      <c r="D1576" s="1169">
        <v>370.93485485013213</v>
      </c>
    </row>
    <row r="1577" spans="1:4" s="339" customFormat="1" ht="15.5" x14ac:dyDescent="0.35">
      <c r="A1577" s="1158" t="s">
        <v>836</v>
      </c>
      <c r="B1577" s="1159">
        <v>2039</v>
      </c>
      <c r="C1577" s="1159" t="str">
        <f t="shared" si="40"/>
        <v>Sacramento_2039</v>
      </c>
      <c r="D1577" s="1169">
        <v>368.62626765175645</v>
      </c>
    </row>
    <row r="1578" spans="1:4" s="339" customFormat="1" ht="15.5" x14ac:dyDescent="0.35">
      <c r="A1578" s="1158" t="s">
        <v>836</v>
      </c>
      <c r="B1578" s="1159">
        <v>2040</v>
      </c>
      <c r="C1578" s="1159" t="str">
        <f t="shared" si="40"/>
        <v>Sacramento_2040</v>
      </c>
      <c r="D1578" s="1169">
        <v>366.67392446088706</v>
      </c>
    </row>
    <row r="1579" spans="1:4" s="339" customFormat="1" ht="15.5" x14ac:dyDescent="0.35">
      <c r="A1579" s="1158" t="s">
        <v>836</v>
      </c>
      <c r="B1579" s="1159">
        <v>2041</v>
      </c>
      <c r="C1579" s="1159" t="str">
        <f t="shared" si="40"/>
        <v>Sacramento_2041</v>
      </c>
      <c r="D1579" s="1169">
        <v>365.04058697504689</v>
      </c>
    </row>
    <row r="1580" spans="1:4" s="339" customFormat="1" ht="15.5" x14ac:dyDescent="0.35">
      <c r="A1580" s="1158" t="s">
        <v>836</v>
      </c>
      <c r="B1580" s="1159">
        <v>2042</v>
      </c>
      <c r="C1580" s="1159" t="str">
        <f t="shared" si="40"/>
        <v>Sacramento_2042</v>
      </c>
      <c r="D1580" s="1169">
        <v>363.665385172068</v>
      </c>
    </row>
    <row r="1581" spans="1:4" s="339" customFormat="1" ht="15.5" x14ac:dyDescent="0.35">
      <c r="A1581" s="1158" t="s">
        <v>836</v>
      </c>
      <c r="B1581" s="1159">
        <v>2043</v>
      </c>
      <c r="C1581" s="1159" t="str">
        <f t="shared" si="40"/>
        <v>Sacramento_2043</v>
      </c>
      <c r="D1581" s="1169">
        <v>362.52469947801671</v>
      </c>
    </row>
    <row r="1582" spans="1:4" s="339" customFormat="1" ht="15.5" x14ac:dyDescent="0.35">
      <c r="A1582" s="1158" t="s">
        <v>836</v>
      </c>
      <c r="B1582" s="1159">
        <v>2044</v>
      </c>
      <c r="C1582" s="1159" t="str">
        <f t="shared" si="40"/>
        <v>Sacramento_2044</v>
      </c>
      <c r="D1582" s="1169">
        <v>361.56730064616056</v>
      </c>
    </row>
    <row r="1583" spans="1:4" s="339" customFormat="1" ht="15.5" x14ac:dyDescent="0.35">
      <c r="A1583" s="1158" t="s">
        <v>836</v>
      </c>
      <c r="B1583" s="1159">
        <v>2045</v>
      </c>
      <c r="C1583" s="1159" t="str">
        <f t="shared" si="40"/>
        <v>Sacramento_2045</v>
      </c>
      <c r="D1583" s="1169">
        <v>360.74703627734874</v>
      </c>
    </row>
    <row r="1584" spans="1:4" s="339" customFormat="1" ht="15.5" x14ac:dyDescent="0.35">
      <c r="A1584" s="1158" t="s">
        <v>836</v>
      </c>
      <c r="B1584" s="1159">
        <v>2046</v>
      </c>
      <c r="C1584" s="1159" t="str">
        <f t="shared" si="40"/>
        <v>Sacramento_2046</v>
      </c>
      <c r="D1584" s="1169">
        <v>360.05408320847073</v>
      </c>
    </row>
    <row r="1585" spans="1:4" s="339" customFormat="1" ht="15.5" x14ac:dyDescent="0.35">
      <c r="A1585" s="1158" t="s">
        <v>836</v>
      </c>
      <c r="B1585" s="1159">
        <v>2047</v>
      </c>
      <c r="C1585" s="1159" t="str">
        <f t="shared" si="40"/>
        <v>Sacramento_2047</v>
      </c>
      <c r="D1585" s="1169">
        <v>359.47328620598233</v>
      </c>
    </row>
    <row r="1586" spans="1:4" s="339" customFormat="1" ht="15.5" x14ac:dyDescent="0.35">
      <c r="A1586" s="1158" t="s">
        <v>836</v>
      </c>
      <c r="B1586" s="1159">
        <v>2048</v>
      </c>
      <c r="C1586" s="1159" t="str">
        <f t="shared" si="40"/>
        <v>Sacramento_2048</v>
      </c>
      <c r="D1586" s="1169">
        <v>358.98741874930187</v>
      </c>
    </row>
    <row r="1587" spans="1:4" s="339" customFormat="1" ht="15.5" x14ac:dyDescent="0.35">
      <c r="A1587" s="1158" t="s">
        <v>836</v>
      </c>
      <c r="B1587" s="1159">
        <v>2049</v>
      </c>
      <c r="C1587" s="1159" t="str">
        <f t="shared" si="40"/>
        <v>Sacramento_2049</v>
      </c>
      <c r="D1587" s="1169">
        <v>358.5762848957234</v>
      </c>
    </row>
    <row r="1588" spans="1:4" s="339" customFormat="1" ht="15.5" x14ac:dyDescent="0.35">
      <c r="A1588" s="1158" t="s">
        <v>836</v>
      </c>
      <c r="B1588" s="1159">
        <v>2050</v>
      </c>
      <c r="C1588" s="1159" t="str">
        <f t="shared" si="40"/>
        <v>Sacramento_2050</v>
      </c>
      <c r="D1588" s="1169">
        <v>358.24238360646694</v>
      </c>
    </row>
    <row r="1589" spans="1:4" s="339" customFormat="1" ht="15.5" x14ac:dyDescent="0.35">
      <c r="A1589" s="1160" t="s">
        <v>807</v>
      </c>
      <c r="B1589" s="1161">
        <v>2015</v>
      </c>
      <c r="C1589" s="1161" t="str">
        <f t="shared" si="40"/>
        <v>Salton Sea_2015</v>
      </c>
      <c r="D1589" s="1168">
        <v>548.91991337641662</v>
      </c>
    </row>
    <row r="1590" spans="1:4" s="339" customFormat="1" ht="15.5" x14ac:dyDescent="0.35">
      <c r="A1590" s="1160" t="s">
        <v>807</v>
      </c>
      <c r="B1590" s="1161">
        <v>2016</v>
      </c>
      <c r="C1590" s="1161" t="str">
        <f t="shared" si="40"/>
        <v>Salton Sea_2016</v>
      </c>
      <c r="D1590" s="1168">
        <v>536.38483230993404</v>
      </c>
    </row>
    <row r="1591" spans="1:4" s="339" customFormat="1" ht="15.5" x14ac:dyDescent="0.35">
      <c r="A1591" s="1162" t="s">
        <v>807</v>
      </c>
      <c r="B1591" s="1163">
        <v>2017</v>
      </c>
      <c r="C1591" s="1163" t="str">
        <f t="shared" si="40"/>
        <v>Salton Sea_2017</v>
      </c>
      <c r="D1591" s="1169">
        <v>531.95494594782929</v>
      </c>
    </row>
    <row r="1592" spans="1:4" s="339" customFormat="1" ht="15.5" x14ac:dyDescent="0.35">
      <c r="A1592" s="1162" t="s">
        <v>807</v>
      </c>
      <c r="B1592" s="1163">
        <v>2018</v>
      </c>
      <c r="C1592" s="1163" t="str">
        <f t="shared" si="40"/>
        <v>Salton Sea_2018</v>
      </c>
      <c r="D1592" s="1169">
        <v>525.06156422853599</v>
      </c>
    </row>
    <row r="1593" spans="1:4" s="339" customFormat="1" ht="15.5" x14ac:dyDescent="0.35">
      <c r="A1593" s="1162" t="s">
        <v>807</v>
      </c>
      <c r="B1593" s="1163">
        <v>2019</v>
      </c>
      <c r="C1593" s="1163" t="str">
        <f t="shared" si="40"/>
        <v>Salton Sea_2019</v>
      </c>
      <c r="D1593" s="1169">
        <v>517.47967593142369</v>
      </c>
    </row>
    <row r="1594" spans="1:4" s="339" customFormat="1" ht="15.5" x14ac:dyDescent="0.35">
      <c r="A1594" s="1162" t="s">
        <v>807</v>
      </c>
      <c r="B1594" s="1163">
        <v>2020</v>
      </c>
      <c r="C1594" s="1163" t="str">
        <f t="shared" si="40"/>
        <v>Salton Sea_2020</v>
      </c>
      <c r="D1594" s="1169">
        <v>513.96847908232473</v>
      </c>
    </row>
    <row r="1595" spans="1:4" s="339" customFormat="1" ht="15.5" x14ac:dyDescent="0.35">
      <c r="A1595" s="1162" t="s">
        <v>807</v>
      </c>
      <c r="B1595" s="1163">
        <v>2021</v>
      </c>
      <c r="C1595" s="1163" t="str">
        <f t="shared" si="40"/>
        <v>Salton Sea_2021</v>
      </c>
      <c r="D1595" s="1169">
        <v>504.02899314945824</v>
      </c>
    </row>
    <row r="1596" spans="1:4" s="339" customFormat="1" ht="15.5" x14ac:dyDescent="0.35">
      <c r="A1596" s="1162" t="s">
        <v>807</v>
      </c>
      <c r="B1596" s="1163">
        <v>2022</v>
      </c>
      <c r="C1596" s="1163" t="str">
        <f t="shared" si="40"/>
        <v>Salton Sea_2022</v>
      </c>
      <c r="D1596" s="1169">
        <v>494.7592804150932</v>
      </c>
    </row>
    <row r="1597" spans="1:4" s="339" customFormat="1" ht="15.5" x14ac:dyDescent="0.35">
      <c r="A1597" s="1162" t="s">
        <v>807</v>
      </c>
      <c r="B1597" s="1163">
        <v>2023</v>
      </c>
      <c r="C1597" s="1163" t="str">
        <f t="shared" si="40"/>
        <v>Salton Sea_2023</v>
      </c>
      <c r="D1597" s="1169">
        <v>486.33009243131647</v>
      </c>
    </row>
    <row r="1598" spans="1:4" s="339" customFormat="1" ht="15.5" x14ac:dyDescent="0.35">
      <c r="A1598" s="1162" t="s">
        <v>807</v>
      </c>
      <c r="B1598" s="1163">
        <v>2024</v>
      </c>
      <c r="C1598" s="1163" t="str">
        <f t="shared" si="40"/>
        <v>Salton Sea_2024</v>
      </c>
      <c r="D1598" s="1169">
        <v>474.62014448294781</v>
      </c>
    </row>
    <row r="1599" spans="1:4" s="339" customFormat="1" ht="15.5" x14ac:dyDescent="0.35">
      <c r="A1599" s="1162" t="s">
        <v>807</v>
      </c>
      <c r="B1599" s="1163">
        <v>2025</v>
      </c>
      <c r="C1599" s="1163" t="str">
        <f t="shared" si="40"/>
        <v>Salton Sea_2025</v>
      </c>
      <c r="D1599" s="1169">
        <v>464.12592071406675</v>
      </c>
    </row>
    <row r="1600" spans="1:4" s="339" customFormat="1" ht="15.5" x14ac:dyDescent="0.35">
      <c r="A1600" s="1162" t="s">
        <v>807</v>
      </c>
      <c r="B1600" s="1163">
        <v>2026</v>
      </c>
      <c r="C1600" s="1163" t="str">
        <f t="shared" si="40"/>
        <v>Salton Sea_2026</v>
      </c>
      <c r="D1600" s="1169">
        <v>454.27690157438377</v>
      </c>
    </row>
    <row r="1601" spans="1:4" s="339" customFormat="1" ht="15.5" x14ac:dyDescent="0.35">
      <c r="A1601" s="1162" t="s">
        <v>807</v>
      </c>
      <c r="B1601" s="1163">
        <v>2027</v>
      </c>
      <c r="C1601" s="1163" t="str">
        <f t="shared" si="40"/>
        <v>Salton Sea_2027</v>
      </c>
      <c r="D1601" s="1169">
        <v>445.58224665483891</v>
      </c>
    </row>
    <row r="1602" spans="1:4" s="339" customFormat="1" ht="15.5" x14ac:dyDescent="0.35">
      <c r="A1602" s="1162" t="s">
        <v>807</v>
      </c>
      <c r="B1602" s="1163">
        <v>2028</v>
      </c>
      <c r="C1602" s="1163" t="str">
        <f t="shared" si="40"/>
        <v>Salton Sea_2028</v>
      </c>
      <c r="D1602" s="1169">
        <v>437.12970053027749</v>
      </c>
    </row>
    <row r="1603" spans="1:4" s="339" customFormat="1" ht="15.5" x14ac:dyDescent="0.35">
      <c r="A1603" s="1162" t="s">
        <v>807</v>
      </c>
      <c r="B1603" s="1163">
        <v>2029</v>
      </c>
      <c r="C1603" s="1163" t="str">
        <f t="shared" si="40"/>
        <v>Salton Sea_2029</v>
      </c>
      <c r="D1603" s="1169">
        <v>429.46727444731505</v>
      </c>
    </row>
    <row r="1604" spans="1:4" s="339" customFormat="1" ht="15.5" x14ac:dyDescent="0.35">
      <c r="A1604" s="1162" t="s">
        <v>807</v>
      </c>
      <c r="B1604" s="1163">
        <v>2030</v>
      </c>
      <c r="C1604" s="1163" t="str">
        <f t="shared" si="40"/>
        <v>Salton Sea_2030</v>
      </c>
      <c r="D1604" s="1169">
        <v>422.56227997315193</v>
      </c>
    </row>
    <row r="1605" spans="1:4" s="339" customFormat="1" ht="15.5" x14ac:dyDescent="0.35">
      <c r="A1605" s="1162" t="s">
        <v>807</v>
      </c>
      <c r="B1605" s="1163">
        <v>2031</v>
      </c>
      <c r="C1605" s="1163" t="str">
        <f t="shared" si="40"/>
        <v>Salton Sea_2031</v>
      </c>
      <c r="D1605" s="1169">
        <v>416.35359402536818</v>
      </c>
    </row>
    <row r="1606" spans="1:4" s="339" customFormat="1" ht="15.5" x14ac:dyDescent="0.35">
      <c r="A1606" s="1162" t="s">
        <v>807</v>
      </c>
      <c r="B1606" s="1163">
        <v>2032</v>
      </c>
      <c r="C1606" s="1163" t="str">
        <f t="shared" si="40"/>
        <v>Salton Sea_2032</v>
      </c>
      <c r="D1606" s="1169">
        <v>410.94104704609236</v>
      </c>
    </row>
    <row r="1607" spans="1:4" s="339" customFormat="1" ht="15.5" x14ac:dyDescent="0.35">
      <c r="A1607" s="1162" t="s">
        <v>807</v>
      </c>
      <c r="B1607" s="1163">
        <v>2033</v>
      </c>
      <c r="C1607" s="1163" t="str">
        <f t="shared" si="40"/>
        <v>Salton Sea_2033</v>
      </c>
      <c r="D1607" s="1169">
        <v>405.9008870979975</v>
      </c>
    </row>
    <row r="1608" spans="1:4" s="339" customFormat="1" ht="15.5" x14ac:dyDescent="0.35">
      <c r="A1608" s="1162" t="s">
        <v>807</v>
      </c>
      <c r="B1608" s="1163">
        <v>2034</v>
      </c>
      <c r="C1608" s="1163" t="str">
        <f t="shared" si="40"/>
        <v>Salton Sea_2034</v>
      </c>
      <c r="D1608" s="1169">
        <v>401.39826806657322</v>
      </c>
    </row>
    <row r="1609" spans="1:4" s="339" customFormat="1" ht="15.5" x14ac:dyDescent="0.35">
      <c r="A1609" s="1162" t="s">
        <v>807</v>
      </c>
      <c r="B1609" s="1163">
        <v>2035</v>
      </c>
      <c r="C1609" s="1163" t="str">
        <f t="shared" si="40"/>
        <v>Salton Sea_2035</v>
      </c>
      <c r="D1609" s="1169">
        <v>397.39506756314142</v>
      </c>
    </row>
    <row r="1610" spans="1:4" s="339" customFormat="1" ht="15.5" x14ac:dyDescent="0.35">
      <c r="A1610" s="1162" t="s">
        <v>807</v>
      </c>
      <c r="B1610" s="1163">
        <v>2036</v>
      </c>
      <c r="C1610" s="1163" t="str">
        <f t="shared" si="40"/>
        <v>Salton Sea_2036</v>
      </c>
      <c r="D1610" s="1169">
        <v>394.02978863153641</v>
      </c>
    </row>
    <row r="1611" spans="1:4" s="339" customFormat="1" ht="15.5" x14ac:dyDescent="0.35">
      <c r="A1611" s="1162" t="s">
        <v>807</v>
      </c>
      <c r="B1611" s="1163">
        <v>2037</v>
      </c>
      <c r="C1611" s="1163" t="str">
        <f t="shared" si="40"/>
        <v>Salton Sea_2037</v>
      </c>
      <c r="D1611" s="1169">
        <v>390.92843949757508</v>
      </c>
    </row>
    <row r="1612" spans="1:4" s="339" customFormat="1" ht="15.5" x14ac:dyDescent="0.35">
      <c r="A1612" s="1162" t="s">
        <v>807</v>
      </c>
      <c r="B1612" s="1163">
        <v>2038</v>
      </c>
      <c r="C1612" s="1163" t="str">
        <f t="shared" si="40"/>
        <v>Salton Sea_2038</v>
      </c>
      <c r="D1612" s="1169">
        <v>390.44797926001934</v>
      </c>
    </row>
    <row r="1613" spans="1:4" s="339" customFormat="1" ht="15.5" x14ac:dyDescent="0.35">
      <c r="A1613" s="1162" t="s">
        <v>807</v>
      </c>
      <c r="B1613" s="1163">
        <v>2039</v>
      </c>
      <c r="C1613" s="1163" t="str">
        <f t="shared" si="40"/>
        <v>Salton Sea_2039</v>
      </c>
      <c r="D1613" s="1169">
        <v>388.09966804924863</v>
      </c>
    </row>
    <row r="1614" spans="1:4" s="339" customFormat="1" ht="15.5" x14ac:dyDescent="0.35">
      <c r="A1614" s="1162" t="s">
        <v>807</v>
      </c>
      <c r="B1614" s="1163">
        <v>2040</v>
      </c>
      <c r="C1614" s="1163" t="str">
        <f t="shared" si="40"/>
        <v>Salton Sea_2040</v>
      </c>
      <c r="D1614" s="1169">
        <v>386.08428256616753</v>
      </c>
    </row>
    <row r="1615" spans="1:4" s="339" customFormat="1" ht="15.5" x14ac:dyDescent="0.35">
      <c r="A1615" s="1162" t="s">
        <v>807</v>
      </c>
      <c r="B1615" s="1163">
        <v>2041</v>
      </c>
      <c r="C1615" s="1163" t="str">
        <f t="shared" si="40"/>
        <v>Salton Sea_2041</v>
      </c>
      <c r="D1615" s="1169">
        <v>384.38590309976104</v>
      </c>
    </row>
    <row r="1616" spans="1:4" s="339" customFormat="1" ht="15.5" x14ac:dyDescent="0.35">
      <c r="A1616" s="1162" t="s">
        <v>807</v>
      </c>
      <c r="B1616" s="1163">
        <v>2042</v>
      </c>
      <c r="C1616" s="1163" t="str">
        <f t="shared" si="40"/>
        <v>Salton Sea_2042</v>
      </c>
      <c r="D1616" s="1169">
        <v>382.91593297339415</v>
      </c>
    </row>
    <row r="1617" spans="1:4" s="339" customFormat="1" ht="15.5" x14ac:dyDescent="0.35">
      <c r="A1617" s="1162" t="s">
        <v>807</v>
      </c>
      <c r="B1617" s="1163">
        <v>2043</v>
      </c>
      <c r="C1617" s="1163" t="str">
        <f t="shared" si="40"/>
        <v>Salton Sea_2043</v>
      </c>
      <c r="D1617" s="1169">
        <v>381.6774721037429</v>
      </c>
    </row>
    <row r="1618" spans="1:4" s="339" customFormat="1" ht="15.5" x14ac:dyDescent="0.35">
      <c r="A1618" s="1162" t="s">
        <v>807</v>
      </c>
      <c r="B1618" s="1163">
        <v>2044</v>
      </c>
      <c r="C1618" s="1163" t="str">
        <f t="shared" si="40"/>
        <v>Salton Sea_2044</v>
      </c>
      <c r="D1618" s="1169">
        <v>380.62437526123995</v>
      </c>
    </row>
    <row r="1619" spans="1:4" s="339" customFormat="1" ht="15.5" x14ac:dyDescent="0.35">
      <c r="A1619" s="1162" t="s">
        <v>807</v>
      </c>
      <c r="B1619" s="1163">
        <v>2045</v>
      </c>
      <c r="C1619" s="1163" t="str">
        <f t="shared" ref="C1619:C1624" si="41">CONCATENATE(A1619,"_",B1619)</f>
        <v>Salton Sea_2045</v>
      </c>
      <c r="D1619" s="1169">
        <v>379.69023895475698</v>
      </c>
    </row>
    <row r="1620" spans="1:4" s="339" customFormat="1" ht="15.5" x14ac:dyDescent="0.35">
      <c r="A1620" s="1162" t="s">
        <v>807</v>
      </c>
      <c r="B1620" s="1163">
        <v>2046</v>
      </c>
      <c r="C1620" s="1163" t="str">
        <f t="shared" si="41"/>
        <v>Salton Sea_2046</v>
      </c>
      <c r="D1620" s="1169">
        <v>378.87992220084629</v>
      </c>
    </row>
    <row r="1621" spans="1:4" s="339" customFormat="1" ht="15.5" x14ac:dyDescent="0.35">
      <c r="A1621" s="1162" t="s">
        <v>807</v>
      </c>
      <c r="B1621" s="1163">
        <v>2047</v>
      </c>
      <c r="C1621" s="1163" t="str">
        <f t="shared" si="41"/>
        <v>Salton Sea_2047</v>
      </c>
      <c r="D1621" s="1169">
        <v>378.19151985568266</v>
      </c>
    </row>
    <row r="1622" spans="1:4" s="339" customFormat="1" ht="15.5" x14ac:dyDescent="0.35">
      <c r="A1622" s="1162" t="s">
        <v>807</v>
      </c>
      <c r="B1622" s="1163">
        <v>2048</v>
      </c>
      <c r="C1622" s="1163" t="str">
        <f t="shared" si="41"/>
        <v>Salton Sea_2048</v>
      </c>
      <c r="D1622" s="1169">
        <v>377.59072622516038</v>
      </c>
    </row>
    <row r="1623" spans="1:4" s="339" customFormat="1" ht="15.5" x14ac:dyDescent="0.35">
      <c r="A1623" s="1162" t="s">
        <v>807</v>
      </c>
      <c r="B1623" s="1163">
        <v>2049</v>
      </c>
      <c r="C1623" s="1163" t="str">
        <f t="shared" si="41"/>
        <v>Salton Sea_2049</v>
      </c>
      <c r="D1623" s="1169">
        <v>377.07127222710636</v>
      </c>
    </row>
    <row r="1624" spans="1:4" s="339" customFormat="1" ht="15.5" x14ac:dyDescent="0.35">
      <c r="A1624" s="1162" t="s">
        <v>807</v>
      </c>
      <c r="B1624" s="1163">
        <v>2050</v>
      </c>
      <c r="C1624" s="1163" t="str">
        <f t="shared" si="41"/>
        <v>Salton Sea_2050</v>
      </c>
      <c r="D1624" s="1169">
        <v>376.64231820184204</v>
      </c>
    </row>
    <row r="1625" spans="1:4" s="339" customFormat="1" ht="15.5" x14ac:dyDescent="0.35">
      <c r="A1625" s="1155" t="s">
        <v>837</v>
      </c>
      <c r="B1625" s="1156">
        <v>2015</v>
      </c>
      <c r="C1625" s="1157" t="s">
        <v>927</v>
      </c>
      <c r="D1625" s="1168">
        <v>517.10494942153878</v>
      </c>
    </row>
    <row r="1626" spans="1:4" s="339" customFormat="1" ht="15.5" x14ac:dyDescent="0.35">
      <c r="A1626" s="1155" t="s">
        <v>837</v>
      </c>
      <c r="B1626" s="1156">
        <v>2016</v>
      </c>
      <c r="C1626" s="1157" t="s">
        <v>928</v>
      </c>
      <c r="D1626" s="1168">
        <v>508.11678405727918</v>
      </c>
    </row>
    <row r="1627" spans="1:4" s="339" customFormat="1" ht="15.5" x14ac:dyDescent="0.35">
      <c r="A1627" s="1158" t="s">
        <v>837</v>
      </c>
      <c r="B1627" s="1159">
        <v>2017</v>
      </c>
      <c r="C1627" s="1159" t="str">
        <f t="shared" ref="C1627:C1660" si="42">CONCATENATE(A1627,"_",B1627)</f>
        <v>San Benito_2017</v>
      </c>
      <c r="D1627" s="1169">
        <v>504.23128417138736</v>
      </c>
    </row>
    <row r="1628" spans="1:4" s="339" customFormat="1" ht="15.5" x14ac:dyDescent="0.35">
      <c r="A1628" s="1158" t="s">
        <v>837</v>
      </c>
      <c r="B1628" s="1159">
        <v>2018</v>
      </c>
      <c r="C1628" s="1159" t="str">
        <f t="shared" si="42"/>
        <v>San Benito_2018</v>
      </c>
      <c r="D1628" s="1169">
        <v>496.7853288193827</v>
      </c>
    </row>
    <row r="1629" spans="1:4" s="339" customFormat="1" ht="15.5" x14ac:dyDescent="0.35">
      <c r="A1629" s="1158" t="s">
        <v>837</v>
      </c>
      <c r="B1629" s="1159">
        <v>2019</v>
      </c>
      <c r="C1629" s="1159" t="str">
        <f t="shared" si="42"/>
        <v>San Benito_2019</v>
      </c>
      <c r="D1629" s="1169">
        <v>489.06185588793892</v>
      </c>
    </row>
    <row r="1630" spans="1:4" s="339" customFormat="1" ht="15.5" x14ac:dyDescent="0.35">
      <c r="A1630" s="1158" t="s">
        <v>837</v>
      </c>
      <c r="B1630" s="1159">
        <v>2020</v>
      </c>
      <c r="C1630" s="1159" t="str">
        <f t="shared" si="42"/>
        <v>San Benito_2020</v>
      </c>
      <c r="D1630" s="1169">
        <v>485.40212908817813</v>
      </c>
    </row>
    <row r="1631" spans="1:4" s="339" customFormat="1" ht="15.5" x14ac:dyDescent="0.35">
      <c r="A1631" s="1158" t="s">
        <v>837</v>
      </c>
      <c r="B1631" s="1159">
        <v>2021</v>
      </c>
      <c r="C1631" s="1159" t="str">
        <f t="shared" si="42"/>
        <v>San Benito_2021</v>
      </c>
      <c r="D1631" s="1169">
        <v>474.94075267267937</v>
      </c>
    </row>
    <row r="1632" spans="1:4" s="339" customFormat="1" ht="15.5" x14ac:dyDescent="0.35">
      <c r="A1632" s="1158" t="s">
        <v>837</v>
      </c>
      <c r="B1632" s="1159">
        <v>2022</v>
      </c>
      <c r="C1632" s="1159" t="str">
        <f t="shared" si="42"/>
        <v>San Benito_2022</v>
      </c>
      <c r="D1632" s="1169">
        <v>465.60307348320055</v>
      </c>
    </row>
    <row r="1633" spans="1:4" s="339" customFormat="1" ht="15.5" x14ac:dyDescent="0.35">
      <c r="A1633" s="1158" t="s">
        <v>837</v>
      </c>
      <c r="B1633" s="1159">
        <v>2023</v>
      </c>
      <c r="C1633" s="1159" t="str">
        <f t="shared" si="42"/>
        <v>San Benito_2023</v>
      </c>
      <c r="D1633" s="1169">
        <v>455.79601791727487</v>
      </c>
    </row>
    <row r="1634" spans="1:4" s="339" customFormat="1" ht="15.5" x14ac:dyDescent="0.35">
      <c r="A1634" s="1158" t="s">
        <v>837</v>
      </c>
      <c r="B1634" s="1159">
        <v>2024</v>
      </c>
      <c r="C1634" s="1159" t="str">
        <f t="shared" si="42"/>
        <v>San Benito_2024</v>
      </c>
      <c r="D1634" s="1169">
        <v>445.66965513394621</v>
      </c>
    </row>
    <row r="1635" spans="1:4" s="339" customFormat="1" ht="15.5" x14ac:dyDescent="0.35">
      <c r="A1635" s="1158" t="s">
        <v>837</v>
      </c>
      <c r="B1635" s="1159">
        <v>2025</v>
      </c>
      <c r="C1635" s="1159" t="str">
        <f t="shared" si="42"/>
        <v>San Benito_2025</v>
      </c>
      <c r="D1635" s="1169">
        <v>435.30617577214213</v>
      </c>
    </row>
    <row r="1636" spans="1:4" s="339" customFormat="1" ht="15.5" x14ac:dyDescent="0.35">
      <c r="A1636" s="1158" t="s">
        <v>837</v>
      </c>
      <c r="B1636" s="1159">
        <v>2026</v>
      </c>
      <c r="C1636" s="1159" t="str">
        <f t="shared" si="42"/>
        <v>San Benito_2026</v>
      </c>
      <c r="D1636" s="1169">
        <v>425.24093915805202</v>
      </c>
    </row>
    <row r="1637" spans="1:4" s="339" customFormat="1" ht="15.5" x14ac:dyDescent="0.35">
      <c r="A1637" s="1158" t="s">
        <v>837</v>
      </c>
      <c r="B1637" s="1159">
        <v>2027</v>
      </c>
      <c r="C1637" s="1159" t="str">
        <f t="shared" si="42"/>
        <v>San Benito_2027</v>
      </c>
      <c r="D1637" s="1169">
        <v>415.7467766007137</v>
      </c>
    </row>
    <row r="1638" spans="1:4" s="339" customFormat="1" ht="15.5" x14ac:dyDescent="0.35">
      <c r="A1638" s="1158" t="s">
        <v>837</v>
      </c>
      <c r="B1638" s="1159">
        <v>2028</v>
      </c>
      <c r="C1638" s="1159" t="str">
        <f t="shared" si="42"/>
        <v>San Benito_2028</v>
      </c>
      <c r="D1638" s="1169">
        <v>407.02186780298211</v>
      </c>
    </row>
    <row r="1639" spans="1:4" s="339" customFormat="1" ht="15.5" x14ac:dyDescent="0.35">
      <c r="A1639" s="1158" t="s">
        <v>837</v>
      </c>
      <c r="B1639" s="1159">
        <v>2029</v>
      </c>
      <c r="C1639" s="1159" t="str">
        <f t="shared" si="42"/>
        <v>San Benito_2029</v>
      </c>
      <c r="D1639" s="1169">
        <v>399.05198312042347</v>
      </c>
    </row>
    <row r="1640" spans="1:4" s="339" customFormat="1" ht="15.5" x14ac:dyDescent="0.35">
      <c r="A1640" s="1158" t="s">
        <v>837</v>
      </c>
      <c r="B1640" s="1159">
        <v>2030</v>
      </c>
      <c r="C1640" s="1159" t="str">
        <f t="shared" si="42"/>
        <v>San Benito_2030</v>
      </c>
      <c r="D1640" s="1169">
        <v>391.83612223655189</v>
      </c>
    </row>
    <row r="1641" spans="1:4" s="339" customFormat="1" ht="15.5" x14ac:dyDescent="0.35">
      <c r="A1641" s="1158" t="s">
        <v>837</v>
      </c>
      <c r="B1641" s="1159">
        <v>2031</v>
      </c>
      <c r="C1641" s="1159" t="str">
        <f t="shared" si="42"/>
        <v>San Benito_2031</v>
      </c>
      <c r="D1641" s="1169">
        <v>385.34971414841607</v>
      </c>
    </row>
    <row r="1642" spans="1:4" s="339" customFormat="1" ht="15.5" x14ac:dyDescent="0.35">
      <c r="A1642" s="1158" t="s">
        <v>837</v>
      </c>
      <c r="B1642" s="1159">
        <v>2032</v>
      </c>
      <c r="C1642" s="1159" t="str">
        <f t="shared" si="42"/>
        <v>San Benito_2032</v>
      </c>
      <c r="D1642" s="1169">
        <v>379.51267658434801</v>
      </c>
    </row>
    <row r="1643" spans="1:4" s="339" customFormat="1" ht="15.5" x14ac:dyDescent="0.35">
      <c r="A1643" s="1158" t="s">
        <v>837</v>
      </c>
      <c r="B1643" s="1159">
        <v>2033</v>
      </c>
      <c r="C1643" s="1159" t="str">
        <f t="shared" si="42"/>
        <v>San Benito_2033</v>
      </c>
      <c r="D1643" s="1169">
        <v>374.289693677039</v>
      </c>
    </row>
    <row r="1644" spans="1:4" s="339" customFormat="1" ht="15.5" x14ac:dyDescent="0.35">
      <c r="A1644" s="1158" t="s">
        <v>837</v>
      </c>
      <c r="B1644" s="1159">
        <v>2034</v>
      </c>
      <c r="C1644" s="1159" t="str">
        <f t="shared" si="42"/>
        <v>San Benito_2034</v>
      </c>
      <c r="D1644" s="1169">
        <v>369.63293305817308</v>
      </c>
    </row>
    <row r="1645" spans="1:4" s="339" customFormat="1" ht="15.5" x14ac:dyDescent="0.35">
      <c r="A1645" s="1158" t="s">
        <v>837</v>
      </c>
      <c r="B1645" s="1159">
        <v>2035</v>
      </c>
      <c r="C1645" s="1159" t="str">
        <f t="shared" si="42"/>
        <v>San Benito_2035</v>
      </c>
      <c r="D1645" s="1169">
        <v>365.51229466227898</v>
      </c>
    </row>
    <row r="1646" spans="1:4" s="339" customFormat="1" ht="15.5" x14ac:dyDescent="0.35">
      <c r="A1646" s="1158" t="s">
        <v>837</v>
      </c>
      <c r="B1646" s="1159">
        <v>2036</v>
      </c>
      <c r="C1646" s="1159" t="str">
        <f t="shared" si="42"/>
        <v>San Benito_2036</v>
      </c>
      <c r="D1646" s="1169">
        <v>364.8976603482202</v>
      </c>
    </row>
    <row r="1647" spans="1:4" s="339" customFormat="1" ht="15.5" x14ac:dyDescent="0.35">
      <c r="A1647" s="1158" t="s">
        <v>837</v>
      </c>
      <c r="B1647" s="1159">
        <v>2037</v>
      </c>
      <c r="C1647" s="1159" t="str">
        <f t="shared" si="42"/>
        <v>San Benito_2037</v>
      </c>
      <c r="D1647" s="1169">
        <v>361.72372723154507</v>
      </c>
    </row>
    <row r="1648" spans="1:4" s="339" customFormat="1" ht="15.5" x14ac:dyDescent="0.35">
      <c r="A1648" s="1158" t="s">
        <v>837</v>
      </c>
      <c r="B1648" s="1159">
        <v>2038</v>
      </c>
      <c r="C1648" s="1159" t="str">
        <f t="shared" si="42"/>
        <v>San Benito_2038</v>
      </c>
      <c r="D1648" s="1169">
        <v>358.99332710157836</v>
      </c>
    </row>
    <row r="1649" spans="1:4" s="339" customFormat="1" ht="15.5" x14ac:dyDescent="0.35">
      <c r="A1649" s="1158" t="s">
        <v>837</v>
      </c>
      <c r="B1649" s="1159">
        <v>2039</v>
      </c>
      <c r="C1649" s="1159" t="str">
        <f t="shared" si="42"/>
        <v>San Benito_2039</v>
      </c>
      <c r="D1649" s="1169">
        <v>356.63754201535636</v>
      </c>
    </row>
    <row r="1650" spans="1:4" s="339" customFormat="1" ht="15.5" x14ac:dyDescent="0.35">
      <c r="A1650" s="1158" t="s">
        <v>837</v>
      </c>
      <c r="B1650" s="1159">
        <v>2040</v>
      </c>
      <c r="C1650" s="1159" t="str">
        <f t="shared" si="42"/>
        <v>San Benito_2040</v>
      </c>
      <c r="D1650" s="1169">
        <v>354.62807392914675</v>
      </c>
    </row>
    <row r="1651" spans="1:4" s="339" customFormat="1" ht="15.5" x14ac:dyDescent="0.35">
      <c r="A1651" s="1158" t="s">
        <v>837</v>
      </c>
      <c r="B1651" s="1159">
        <v>2041</v>
      </c>
      <c r="C1651" s="1159" t="str">
        <f t="shared" si="42"/>
        <v>San Benito_2041</v>
      </c>
      <c r="D1651" s="1169">
        <v>352.93995501079962</v>
      </c>
    </row>
    <row r="1652" spans="1:4" s="339" customFormat="1" ht="15.5" x14ac:dyDescent="0.35">
      <c r="A1652" s="1158" t="s">
        <v>837</v>
      </c>
      <c r="B1652" s="1159">
        <v>2042</v>
      </c>
      <c r="C1652" s="1159" t="str">
        <f t="shared" si="42"/>
        <v>San Benito_2042</v>
      </c>
      <c r="D1652" s="1169">
        <v>351.52134815583099</v>
      </c>
    </row>
    <row r="1653" spans="1:4" s="339" customFormat="1" ht="15.5" x14ac:dyDescent="0.35">
      <c r="A1653" s="1158" t="s">
        <v>837</v>
      </c>
      <c r="B1653" s="1159">
        <v>2043</v>
      </c>
      <c r="C1653" s="1159" t="str">
        <f t="shared" si="42"/>
        <v>San Benito_2043</v>
      </c>
      <c r="D1653" s="1169">
        <v>350.33939854657859</v>
      </c>
    </row>
    <row r="1654" spans="1:4" s="339" customFormat="1" ht="15.5" x14ac:dyDescent="0.35">
      <c r="A1654" s="1158" t="s">
        <v>837</v>
      </c>
      <c r="B1654" s="1159">
        <v>2044</v>
      </c>
      <c r="C1654" s="1159" t="str">
        <f t="shared" si="42"/>
        <v>San Benito_2044</v>
      </c>
      <c r="D1654" s="1169">
        <v>349.36829279895153</v>
      </c>
    </row>
    <row r="1655" spans="1:4" s="339" customFormat="1" ht="15.5" x14ac:dyDescent="0.35">
      <c r="A1655" s="1158" t="s">
        <v>837</v>
      </c>
      <c r="B1655" s="1159">
        <v>2045</v>
      </c>
      <c r="C1655" s="1159" t="str">
        <f t="shared" si="42"/>
        <v>San Benito_2045</v>
      </c>
      <c r="D1655" s="1169">
        <v>348.55697717295158</v>
      </c>
    </row>
    <row r="1656" spans="1:4" s="339" customFormat="1" ht="15.5" x14ac:dyDescent="0.35">
      <c r="A1656" s="1158" t="s">
        <v>837</v>
      </c>
      <c r="B1656" s="1159">
        <v>2046</v>
      </c>
      <c r="C1656" s="1159" t="str">
        <f t="shared" si="42"/>
        <v>San Benito_2046</v>
      </c>
      <c r="D1656" s="1169">
        <v>347.88253959565515</v>
      </c>
    </row>
    <row r="1657" spans="1:4" s="339" customFormat="1" ht="15.5" x14ac:dyDescent="0.35">
      <c r="A1657" s="1158" t="s">
        <v>837</v>
      </c>
      <c r="B1657" s="1159">
        <v>2047</v>
      </c>
      <c r="C1657" s="1159" t="str">
        <f t="shared" si="42"/>
        <v>San Benito_2047</v>
      </c>
      <c r="D1657" s="1169">
        <v>347.33877706609985</v>
      </c>
    </row>
    <row r="1658" spans="1:4" s="339" customFormat="1" ht="15.5" x14ac:dyDescent="0.35">
      <c r="A1658" s="1158" t="s">
        <v>837</v>
      </c>
      <c r="B1658" s="1159">
        <v>2048</v>
      </c>
      <c r="C1658" s="1159" t="str">
        <f t="shared" si="42"/>
        <v>San Benito_2048</v>
      </c>
      <c r="D1658" s="1169">
        <v>346.90454746130837</v>
      </c>
    </row>
    <row r="1659" spans="1:4" s="339" customFormat="1" ht="15.5" x14ac:dyDescent="0.35">
      <c r="A1659" s="1158" t="s">
        <v>837</v>
      </c>
      <c r="B1659" s="1159">
        <v>2049</v>
      </c>
      <c r="C1659" s="1159" t="str">
        <f t="shared" si="42"/>
        <v>San Benito_2049</v>
      </c>
      <c r="D1659" s="1169">
        <v>346.54356287857007</v>
      </c>
    </row>
    <row r="1660" spans="1:4" s="339" customFormat="1" ht="15.5" x14ac:dyDescent="0.35">
      <c r="A1660" s="1158" t="s">
        <v>837</v>
      </c>
      <c r="B1660" s="1159">
        <v>2050</v>
      </c>
      <c r="C1660" s="1159" t="str">
        <f t="shared" si="42"/>
        <v>San Benito_2050</v>
      </c>
      <c r="D1660" s="1169">
        <v>346.25633636859874</v>
      </c>
    </row>
    <row r="1661" spans="1:4" s="339" customFormat="1" ht="15.5" x14ac:dyDescent="0.35">
      <c r="A1661" s="1155" t="s">
        <v>838</v>
      </c>
      <c r="B1661" s="1156">
        <v>2015</v>
      </c>
      <c r="C1661" s="1157" t="s">
        <v>929</v>
      </c>
      <c r="D1661" s="1168">
        <v>517.61405520375092</v>
      </c>
    </row>
    <row r="1662" spans="1:4" s="339" customFormat="1" ht="15.5" x14ac:dyDescent="0.35">
      <c r="A1662" s="1155" t="s">
        <v>838</v>
      </c>
      <c r="B1662" s="1156">
        <v>2016</v>
      </c>
      <c r="C1662" s="1157" t="s">
        <v>930</v>
      </c>
      <c r="D1662" s="1168">
        <v>505.3242071238372</v>
      </c>
    </row>
    <row r="1663" spans="1:4" s="339" customFormat="1" ht="15.5" x14ac:dyDescent="0.35">
      <c r="A1663" s="1158" t="s">
        <v>838</v>
      </c>
      <c r="B1663" s="1159">
        <v>2017</v>
      </c>
      <c r="C1663" s="1159" t="str">
        <f t="shared" ref="C1663:C1726" si="43">CONCATENATE(A1663,"_",B1663)</f>
        <v>San Bernardino_2017</v>
      </c>
      <c r="D1663" s="1169">
        <v>501.28288110852566</v>
      </c>
    </row>
    <row r="1664" spans="1:4" s="339" customFormat="1" ht="15.5" x14ac:dyDescent="0.35">
      <c r="A1664" s="1158" t="s">
        <v>838</v>
      </c>
      <c r="B1664" s="1159">
        <v>2018</v>
      </c>
      <c r="C1664" s="1159" t="str">
        <f t="shared" si="43"/>
        <v>San Bernardino_2018</v>
      </c>
      <c r="D1664" s="1169">
        <v>494.9044946313706</v>
      </c>
    </row>
    <row r="1665" spans="1:4" s="339" customFormat="1" ht="15.5" x14ac:dyDescent="0.35">
      <c r="A1665" s="1158" t="s">
        <v>838</v>
      </c>
      <c r="B1665" s="1159">
        <v>2019</v>
      </c>
      <c r="C1665" s="1159" t="str">
        <f t="shared" si="43"/>
        <v>San Bernardino_2019</v>
      </c>
      <c r="D1665" s="1169">
        <v>487.96709417301878</v>
      </c>
    </row>
    <row r="1666" spans="1:4" s="339" customFormat="1" ht="15.5" x14ac:dyDescent="0.35">
      <c r="A1666" s="1158" t="s">
        <v>838</v>
      </c>
      <c r="B1666" s="1159">
        <v>2020</v>
      </c>
      <c r="C1666" s="1159" t="str">
        <f t="shared" si="43"/>
        <v>San Bernardino_2020</v>
      </c>
      <c r="D1666" s="1169">
        <v>484.37697066506809</v>
      </c>
    </row>
    <row r="1667" spans="1:4" s="339" customFormat="1" ht="15.5" x14ac:dyDescent="0.35">
      <c r="A1667" s="1158" t="s">
        <v>838</v>
      </c>
      <c r="B1667" s="1159">
        <v>2021</v>
      </c>
      <c r="C1667" s="1159" t="str">
        <f t="shared" si="43"/>
        <v>San Bernardino_2021</v>
      </c>
      <c r="D1667" s="1169">
        <v>475.1762616725847</v>
      </c>
    </row>
    <row r="1668" spans="1:4" s="339" customFormat="1" ht="15.5" x14ac:dyDescent="0.35">
      <c r="A1668" s="1158" t="s">
        <v>838</v>
      </c>
      <c r="B1668" s="1159">
        <v>2022</v>
      </c>
      <c r="C1668" s="1159" t="str">
        <f t="shared" si="43"/>
        <v>San Bernardino_2022</v>
      </c>
      <c r="D1668" s="1169">
        <v>466.76836260926848</v>
      </c>
    </row>
    <row r="1669" spans="1:4" s="339" customFormat="1" ht="15.5" x14ac:dyDescent="0.35">
      <c r="A1669" s="1158" t="s">
        <v>838</v>
      </c>
      <c r="B1669" s="1159">
        <v>2023</v>
      </c>
      <c r="C1669" s="1159" t="str">
        <f t="shared" si="43"/>
        <v>San Bernardino_2023</v>
      </c>
      <c r="D1669" s="1169">
        <v>457.5319562917411</v>
      </c>
    </row>
    <row r="1670" spans="1:4" s="339" customFormat="1" ht="15.5" x14ac:dyDescent="0.35">
      <c r="A1670" s="1158" t="s">
        <v>838</v>
      </c>
      <c r="B1670" s="1159">
        <v>2024</v>
      </c>
      <c r="C1670" s="1159" t="str">
        <f t="shared" si="43"/>
        <v>San Bernardino_2024</v>
      </c>
      <c r="D1670" s="1169">
        <v>448.30475919200921</v>
      </c>
    </row>
    <row r="1671" spans="1:4" s="339" customFormat="1" ht="15.5" x14ac:dyDescent="0.35">
      <c r="A1671" s="1158" t="s">
        <v>838</v>
      </c>
      <c r="B1671" s="1159">
        <v>2025</v>
      </c>
      <c r="C1671" s="1159" t="str">
        <f t="shared" si="43"/>
        <v>San Bernardino_2025</v>
      </c>
      <c r="D1671" s="1169">
        <v>438.55418359035565</v>
      </c>
    </row>
    <row r="1672" spans="1:4" s="339" customFormat="1" ht="15.5" x14ac:dyDescent="0.35">
      <c r="A1672" s="1158" t="s">
        <v>838</v>
      </c>
      <c r="B1672" s="1159">
        <v>2026</v>
      </c>
      <c r="C1672" s="1159" t="str">
        <f t="shared" si="43"/>
        <v>San Bernardino_2026</v>
      </c>
      <c r="D1672" s="1169">
        <v>429.29310719541633</v>
      </c>
    </row>
    <row r="1673" spans="1:4" s="339" customFormat="1" ht="15.5" x14ac:dyDescent="0.35">
      <c r="A1673" s="1158" t="s">
        <v>838</v>
      </c>
      <c r="B1673" s="1159">
        <v>2027</v>
      </c>
      <c r="C1673" s="1159" t="str">
        <f t="shared" si="43"/>
        <v>San Bernardino_2027</v>
      </c>
      <c r="D1673" s="1169">
        <v>420.91823185838723</v>
      </c>
    </row>
    <row r="1674" spans="1:4" s="339" customFormat="1" ht="15.5" x14ac:dyDescent="0.35">
      <c r="A1674" s="1158" t="s">
        <v>838</v>
      </c>
      <c r="B1674" s="1159">
        <v>2028</v>
      </c>
      <c r="C1674" s="1159" t="str">
        <f t="shared" si="43"/>
        <v>San Bernardino_2028</v>
      </c>
      <c r="D1674" s="1169">
        <v>412.84954395042683</v>
      </c>
    </row>
    <row r="1675" spans="1:4" s="339" customFormat="1" ht="15.5" x14ac:dyDescent="0.35">
      <c r="A1675" s="1158" t="s">
        <v>838</v>
      </c>
      <c r="B1675" s="1159">
        <v>2029</v>
      </c>
      <c r="C1675" s="1159" t="str">
        <f t="shared" si="43"/>
        <v>San Bernardino_2029</v>
      </c>
      <c r="D1675" s="1169">
        <v>405.52497405367933</v>
      </c>
    </row>
    <row r="1676" spans="1:4" s="339" customFormat="1" ht="15.5" x14ac:dyDescent="0.35">
      <c r="A1676" s="1158" t="s">
        <v>838</v>
      </c>
      <c r="B1676" s="1159">
        <v>2030</v>
      </c>
      <c r="C1676" s="1159" t="str">
        <f t="shared" si="43"/>
        <v>San Bernardino_2030</v>
      </c>
      <c r="D1676" s="1169">
        <v>398.91765170681151</v>
      </c>
    </row>
    <row r="1677" spans="1:4" s="339" customFormat="1" ht="15.5" x14ac:dyDescent="0.35">
      <c r="A1677" s="1158" t="s">
        <v>838</v>
      </c>
      <c r="B1677" s="1159">
        <v>2031</v>
      </c>
      <c r="C1677" s="1159" t="str">
        <f t="shared" si="43"/>
        <v>San Bernardino_2031</v>
      </c>
      <c r="D1677" s="1169">
        <v>392.96957465251506</v>
      </c>
    </row>
    <row r="1678" spans="1:4" s="339" customFormat="1" ht="15.5" x14ac:dyDescent="0.35">
      <c r="A1678" s="1158" t="s">
        <v>838</v>
      </c>
      <c r="B1678" s="1159">
        <v>2032</v>
      </c>
      <c r="C1678" s="1159" t="str">
        <f t="shared" si="43"/>
        <v>San Bernardino_2032</v>
      </c>
      <c r="D1678" s="1169">
        <v>387.74710617742483</v>
      </c>
    </row>
    <row r="1679" spans="1:4" s="339" customFormat="1" ht="15.5" x14ac:dyDescent="0.35">
      <c r="A1679" s="1158" t="s">
        <v>838</v>
      </c>
      <c r="B1679" s="1159">
        <v>2033</v>
      </c>
      <c r="C1679" s="1159" t="str">
        <f t="shared" si="43"/>
        <v>San Bernardino_2033</v>
      </c>
      <c r="D1679" s="1169">
        <v>383.50575659427153</v>
      </c>
    </row>
    <row r="1680" spans="1:4" s="339" customFormat="1" ht="15.5" x14ac:dyDescent="0.35">
      <c r="A1680" s="1158" t="s">
        <v>838</v>
      </c>
      <c r="B1680" s="1159">
        <v>2034</v>
      </c>
      <c r="C1680" s="1159" t="str">
        <f t="shared" si="43"/>
        <v>San Bernardino_2034</v>
      </c>
      <c r="D1680" s="1169">
        <v>379.22305731238964</v>
      </c>
    </row>
    <row r="1681" spans="1:4" s="339" customFormat="1" ht="15.5" x14ac:dyDescent="0.35">
      <c r="A1681" s="1158" t="s">
        <v>838</v>
      </c>
      <c r="B1681" s="1159">
        <v>2035</v>
      </c>
      <c r="C1681" s="1159" t="str">
        <f t="shared" si="43"/>
        <v>San Bernardino_2035</v>
      </c>
      <c r="D1681" s="1169">
        <v>375.43155048738112</v>
      </c>
    </row>
    <row r="1682" spans="1:4" s="339" customFormat="1" ht="15.5" x14ac:dyDescent="0.35">
      <c r="A1682" s="1158" t="s">
        <v>838</v>
      </c>
      <c r="B1682" s="1159">
        <v>2036</v>
      </c>
      <c r="C1682" s="1159" t="str">
        <f t="shared" si="43"/>
        <v>San Bernardino_2036</v>
      </c>
      <c r="D1682" s="1169">
        <v>372.17846100262881</v>
      </c>
    </row>
    <row r="1683" spans="1:4" s="339" customFormat="1" ht="15.5" x14ac:dyDescent="0.35">
      <c r="A1683" s="1158" t="s">
        <v>838</v>
      </c>
      <c r="B1683" s="1159">
        <v>2037</v>
      </c>
      <c r="C1683" s="1159" t="str">
        <f t="shared" si="43"/>
        <v>San Bernardino_2037</v>
      </c>
      <c r="D1683" s="1169">
        <v>369.26472176241197</v>
      </c>
    </row>
    <row r="1684" spans="1:4" s="339" customFormat="1" ht="15.5" x14ac:dyDescent="0.35">
      <c r="A1684" s="1158" t="s">
        <v>838</v>
      </c>
      <c r="B1684" s="1159">
        <v>2038</v>
      </c>
      <c r="C1684" s="1159" t="str">
        <f t="shared" si="43"/>
        <v>San Bernardino_2038</v>
      </c>
      <c r="D1684" s="1169">
        <v>365.40923789123093</v>
      </c>
    </row>
    <row r="1685" spans="1:4" s="339" customFormat="1" ht="15.5" x14ac:dyDescent="0.35">
      <c r="A1685" s="1158" t="s">
        <v>838</v>
      </c>
      <c r="B1685" s="1159">
        <v>2039</v>
      </c>
      <c r="C1685" s="1159" t="str">
        <f t="shared" si="43"/>
        <v>San Bernardino_2039</v>
      </c>
      <c r="D1685" s="1169">
        <v>363.24904143799904</v>
      </c>
    </row>
    <row r="1686" spans="1:4" s="339" customFormat="1" ht="15.5" x14ac:dyDescent="0.35">
      <c r="A1686" s="1158" t="s">
        <v>838</v>
      </c>
      <c r="B1686" s="1159">
        <v>2040</v>
      </c>
      <c r="C1686" s="1159" t="str">
        <f t="shared" si="43"/>
        <v>San Bernardino_2040</v>
      </c>
      <c r="D1686" s="1169">
        <v>361.41324478816949</v>
      </c>
    </row>
    <row r="1687" spans="1:4" s="339" customFormat="1" ht="15.5" x14ac:dyDescent="0.35">
      <c r="A1687" s="1158" t="s">
        <v>838</v>
      </c>
      <c r="B1687" s="1159">
        <v>2041</v>
      </c>
      <c r="C1687" s="1159" t="str">
        <f t="shared" si="43"/>
        <v>San Bernardino_2041</v>
      </c>
      <c r="D1687" s="1169">
        <v>359.87679942794335</v>
      </c>
    </row>
    <row r="1688" spans="1:4" s="339" customFormat="1" ht="15.5" x14ac:dyDescent="0.35">
      <c r="A1688" s="1158" t="s">
        <v>838</v>
      </c>
      <c r="B1688" s="1159">
        <v>2042</v>
      </c>
      <c r="C1688" s="1159" t="str">
        <f t="shared" si="43"/>
        <v>San Bernardino_2042</v>
      </c>
      <c r="D1688" s="1169">
        <v>358.57190066570433</v>
      </c>
    </row>
    <row r="1689" spans="1:4" s="339" customFormat="1" ht="15.5" x14ac:dyDescent="0.35">
      <c r="A1689" s="1158" t="s">
        <v>838</v>
      </c>
      <c r="B1689" s="1159">
        <v>2043</v>
      </c>
      <c r="C1689" s="1159" t="str">
        <f t="shared" si="43"/>
        <v>San Bernardino_2043</v>
      </c>
      <c r="D1689" s="1169">
        <v>357.48548837035872</v>
      </c>
    </row>
    <row r="1690" spans="1:4" s="339" customFormat="1" ht="15.5" x14ac:dyDescent="0.35">
      <c r="A1690" s="1158" t="s">
        <v>838</v>
      </c>
      <c r="B1690" s="1159">
        <v>2044</v>
      </c>
      <c r="C1690" s="1159" t="str">
        <f t="shared" si="43"/>
        <v>San Bernardino_2044</v>
      </c>
      <c r="D1690" s="1169">
        <v>356.56674630312926</v>
      </c>
    </row>
    <row r="1691" spans="1:4" s="339" customFormat="1" ht="15.5" x14ac:dyDescent="0.35">
      <c r="A1691" s="1158" t="s">
        <v>838</v>
      </c>
      <c r="B1691" s="1159">
        <v>2045</v>
      </c>
      <c r="C1691" s="1159" t="str">
        <f t="shared" si="43"/>
        <v>San Bernardino_2045</v>
      </c>
      <c r="D1691" s="1169">
        <v>355.76839459396041</v>
      </c>
    </row>
    <row r="1692" spans="1:4" s="339" customFormat="1" ht="15.5" x14ac:dyDescent="0.35">
      <c r="A1692" s="1158" t="s">
        <v>838</v>
      </c>
      <c r="B1692" s="1159">
        <v>2046</v>
      </c>
      <c r="C1692" s="1159" t="str">
        <f t="shared" si="43"/>
        <v>San Bernardino_2046</v>
      </c>
      <c r="D1692" s="1169">
        <v>355.08720550641715</v>
      </c>
    </row>
    <row r="1693" spans="1:4" s="339" customFormat="1" ht="15.5" x14ac:dyDescent="0.35">
      <c r="A1693" s="1158" t="s">
        <v>838</v>
      </c>
      <c r="B1693" s="1159">
        <v>2047</v>
      </c>
      <c r="C1693" s="1159" t="str">
        <f t="shared" si="43"/>
        <v>San Bernardino_2047</v>
      </c>
      <c r="D1693" s="1169">
        <v>354.50869451264037</v>
      </c>
    </row>
    <row r="1694" spans="1:4" s="339" customFormat="1" ht="15.5" x14ac:dyDescent="0.35">
      <c r="A1694" s="1158" t="s">
        <v>838</v>
      </c>
      <c r="B1694" s="1159">
        <v>2048</v>
      </c>
      <c r="C1694" s="1159" t="str">
        <f t="shared" si="43"/>
        <v>San Bernardino_2048</v>
      </c>
      <c r="D1694" s="1169">
        <v>354.00634808108327</v>
      </c>
    </row>
    <row r="1695" spans="1:4" s="339" customFormat="1" ht="15.5" x14ac:dyDescent="0.35">
      <c r="A1695" s="1158" t="s">
        <v>838</v>
      </c>
      <c r="B1695" s="1159">
        <v>2049</v>
      </c>
      <c r="C1695" s="1159" t="str">
        <f t="shared" si="43"/>
        <v>San Bernardino_2049</v>
      </c>
      <c r="D1695" s="1169">
        <v>353.57340521504869</v>
      </c>
    </row>
    <row r="1696" spans="1:4" s="339" customFormat="1" ht="15.5" x14ac:dyDescent="0.35">
      <c r="A1696" s="1158" t="s">
        <v>838</v>
      </c>
      <c r="B1696" s="1159">
        <v>2050</v>
      </c>
      <c r="C1696" s="1159" t="str">
        <f t="shared" si="43"/>
        <v>San Bernardino_2050</v>
      </c>
      <c r="D1696" s="1169">
        <v>353.2228129274452</v>
      </c>
    </row>
    <row r="1697" spans="1:4" s="339" customFormat="1" ht="15.5" x14ac:dyDescent="0.35">
      <c r="A1697" s="1162" t="s">
        <v>809</v>
      </c>
      <c r="B1697" s="1161">
        <v>2015</v>
      </c>
      <c r="C1697" s="1161" t="str">
        <f t="shared" si="43"/>
        <v>San Diego (Air Basin)_2015</v>
      </c>
      <c r="D1697" s="1168">
        <v>542.22802754315182</v>
      </c>
    </row>
    <row r="1698" spans="1:4" s="339" customFormat="1" ht="15.5" x14ac:dyDescent="0.35">
      <c r="A1698" s="1160" t="s">
        <v>809</v>
      </c>
      <c r="B1698" s="1161">
        <v>2016</v>
      </c>
      <c r="C1698" s="1161" t="str">
        <f t="shared" si="43"/>
        <v>San Diego (Air Basin)_2016</v>
      </c>
      <c r="D1698" s="1168">
        <v>529.91097119779761</v>
      </c>
    </row>
    <row r="1699" spans="1:4" s="339" customFormat="1" ht="15.5" x14ac:dyDescent="0.35">
      <c r="A1699" s="1162" t="s">
        <v>809</v>
      </c>
      <c r="B1699" s="1163">
        <v>2017</v>
      </c>
      <c r="C1699" s="1163" t="str">
        <f t="shared" si="43"/>
        <v>San Diego (Air Basin)_2017</v>
      </c>
      <c r="D1699" s="1169">
        <v>526.12978084592771</v>
      </c>
    </row>
    <row r="1700" spans="1:4" s="339" customFormat="1" ht="15.5" x14ac:dyDescent="0.35">
      <c r="A1700" s="1162" t="s">
        <v>809</v>
      </c>
      <c r="B1700" s="1163">
        <v>2018</v>
      </c>
      <c r="C1700" s="1163" t="str">
        <f t="shared" si="43"/>
        <v>San Diego (Air Basin)_2018</v>
      </c>
      <c r="D1700" s="1169">
        <v>520.18124855861106</v>
      </c>
    </row>
    <row r="1701" spans="1:4" s="339" customFormat="1" ht="15.5" x14ac:dyDescent="0.35">
      <c r="A1701" s="1162" t="s">
        <v>809</v>
      </c>
      <c r="B1701" s="1163">
        <v>2019</v>
      </c>
      <c r="C1701" s="1163" t="str">
        <f t="shared" si="43"/>
        <v>San Diego (Air Basin)_2019</v>
      </c>
      <c r="D1701" s="1169">
        <v>513.16567969082826</v>
      </c>
    </row>
    <row r="1702" spans="1:4" s="339" customFormat="1" ht="15.5" x14ac:dyDescent="0.35">
      <c r="A1702" s="1162" t="s">
        <v>809</v>
      </c>
      <c r="B1702" s="1163">
        <v>2020</v>
      </c>
      <c r="C1702" s="1163" t="str">
        <f t="shared" si="43"/>
        <v>San Diego (Air Basin)_2020</v>
      </c>
      <c r="D1702" s="1169">
        <v>509.07671717054097</v>
      </c>
    </row>
    <row r="1703" spans="1:4" s="339" customFormat="1" ht="15.5" x14ac:dyDescent="0.35">
      <c r="A1703" s="1162" t="s">
        <v>809</v>
      </c>
      <c r="B1703" s="1163">
        <v>2021</v>
      </c>
      <c r="C1703" s="1163" t="str">
        <f t="shared" si="43"/>
        <v>San Diego (Air Basin)_2021</v>
      </c>
      <c r="D1703" s="1169">
        <v>499.50092619959298</v>
      </c>
    </row>
    <row r="1704" spans="1:4" s="339" customFormat="1" ht="15.5" x14ac:dyDescent="0.35">
      <c r="A1704" s="1162" t="s">
        <v>809</v>
      </c>
      <c r="B1704" s="1163">
        <v>2022</v>
      </c>
      <c r="C1704" s="1163" t="str">
        <f t="shared" si="43"/>
        <v>San Diego (Air Basin)_2022</v>
      </c>
      <c r="D1704" s="1169">
        <v>490.55496608112622</v>
      </c>
    </row>
    <row r="1705" spans="1:4" s="339" customFormat="1" ht="15.5" x14ac:dyDescent="0.35">
      <c r="A1705" s="1162" t="s">
        <v>809</v>
      </c>
      <c r="B1705" s="1163">
        <v>2023</v>
      </c>
      <c r="C1705" s="1163" t="str">
        <f t="shared" si="43"/>
        <v>San Diego (Air Basin)_2023</v>
      </c>
      <c r="D1705" s="1169">
        <v>481.06933382052466</v>
      </c>
    </row>
    <row r="1706" spans="1:4" s="339" customFormat="1" ht="15.5" x14ac:dyDescent="0.35">
      <c r="A1706" s="1162" t="s">
        <v>809</v>
      </c>
      <c r="B1706" s="1163">
        <v>2024</v>
      </c>
      <c r="C1706" s="1163" t="str">
        <f t="shared" si="43"/>
        <v>San Diego (Air Basin)_2024</v>
      </c>
      <c r="D1706" s="1169">
        <v>471.15928109058876</v>
      </c>
    </row>
    <row r="1707" spans="1:4" s="339" customFormat="1" ht="15.5" x14ac:dyDescent="0.35">
      <c r="A1707" s="1162" t="s">
        <v>809</v>
      </c>
      <c r="B1707" s="1163">
        <v>2025</v>
      </c>
      <c r="C1707" s="1163" t="str">
        <f t="shared" si="43"/>
        <v>San Diego (Air Basin)_2025</v>
      </c>
      <c r="D1707" s="1169">
        <v>460.85093331558107</v>
      </c>
    </row>
    <row r="1708" spans="1:4" s="339" customFormat="1" ht="15.5" x14ac:dyDescent="0.35">
      <c r="A1708" s="1162" t="s">
        <v>809</v>
      </c>
      <c r="B1708" s="1163">
        <v>2026</v>
      </c>
      <c r="C1708" s="1163" t="str">
        <f t="shared" si="43"/>
        <v>San Diego (Air Basin)_2026</v>
      </c>
      <c r="D1708" s="1169">
        <v>450.23448102160501</v>
      </c>
    </row>
    <row r="1709" spans="1:4" s="339" customFormat="1" ht="15.5" x14ac:dyDescent="0.35">
      <c r="A1709" s="1162" t="s">
        <v>809</v>
      </c>
      <c r="B1709" s="1163">
        <v>2027</v>
      </c>
      <c r="C1709" s="1163" t="str">
        <f t="shared" si="43"/>
        <v>San Diego (Air Basin)_2027</v>
      </c>
      <c r="D1709" s="1169">
        <v>441.60732405462397</v>
      </c>
    </row>
    <row r="1710" spans="1:4" s="339" customFormat="1" ht="15.5" x14ac:dyDescent="0.35">
      <c r="A1710" s="1162" t="s">
        <v>809</v>
      </c>
      <c r="B1710" s="1163">
        <v>2028</v>
      </c>
      <c r="C1710" s="1163" t="str">
        <f t="shared" si="43"/>
        <v>San Diego (Air Basin)_2028</v>
      </c>
      <c r="D1710" s="1169">
        <v>433.0416445420413</v>
      </c>
    </row>
    <row r="1711" spans="1:4" s="339" customFormat="1" ht="15.5" x14ac:dyDescent="0.35">
      <c r="A1711" s="1162" t="s">
        <v>809</v>
      </c>
      <c r="B1711" s="1163">
        <v>2029</v>
      </c>
      <c r="C1711" s="1163" t="str">
        <f t="shared" si="43"/>
        <v>San Diego (Air Basin)_2029</v>
      </c>
      <c r="D1711" s="1169">
        <v>425.20844308790231</v>
      </c>
    </row>
    <row r="1712" spans="1:4" s="339" customFormat="1" ht="15.5" x14ac:dyDescent="0.35">
      <c r="A1712" s="1162" t="s">
        <v>809</v>
      </c>
      <c r="B1712" s="1163">
        <v>2030</v>
      </c>
      <c r="C1712" s="1163" t="str">
        <f t="shared" si="43"/>
        <v>San Diego (Air Basin)_2030</v>
      </c>
      <c r="D1712" s="1169">
        <v>418.08212739926455</v>
      </c>
    </row>
    <row r="1713" spans="1:4" s="339" customFormat="1" ht="15.5" x14ac:dyDescent="0.35">
      <c r="A1713" s="1162" t="s">
        <v>809</v>
      </c>
      <c r="B1713" s="1163">
        <v>2031</v>
      </c>
      <c r="C1713" s="1163" t="str">
        <f t="shared" si="43"/>
        <v>San Diego (Air Basin)_2031</v>
      </c>
      <c r="D1713" s="1169">
        <v>410.39066148784576</v>
      </c>
    </row>
    <row r="1714" spans="1:4" s="339" customFormat="1" ht="15.5" x14ac:dyDescent="0.35">
      <c r="A1714" s="1162" t="s">
        <v>809</v>
      </c>
      <c r="B1714" s="1163">
        <v>2032</v>
      </c>
      <c r="C1714" s="1163" t="str">
        <f t="shared" si="43"/>
        <v>San Diego (Air Basin)_2032</v>
      </c>
      <c r="D1714" s="1169">
        <v>404.5833407175665</v>
      </c>
    </row>
    <row r="1715" spans="1:4" s="339" customFormat="1" ht="15.5" x14ac:dyDescent="0.35">
      <c r="A1715" s="1162" t="s">
        <v>809</v>
      </c>
      <c r="B1715" s="1163">
        <v>2033</v>
      </c>
      <c r="C1715" s="1163" t="str">
        <f t="shared" si="43"/>
        <v>San Diego (Air Basin)_2033</v>
      </c>
      <c r="D1715" s="1169">
        <v>400.33299831118637</v>
      </c>
    </row>
    <row r="1716" spans="1:4" s="339" customFormat="1" ht="15.5" x14ac:dyDescent="0.35">
      <c r="A1716" s="1162" t="s">
        <v>809</v>
      </c>
      <c r="B1716" s="1163">
        <v>2034</v>
      </c>
      <c r="C1716" s="1163" t="str">
        <f t="shared" si="43"/>
        <v>San Diego (Air Basin)_2034</v>
      </c>
      <c r="D1716" s="1169">
        <v>395.69577236384436</v>
      </c>
    </row>
    <row r="1717" spans="1:4" s="339" customFormat="1" ht="15.5" x14ac:dyDescent="0.35">
      <c r="A1717" s="1162" t="s">
        <v>809</v>
      </c>
      <c r="B1717" s="1163">
        <v>2035</v>
      </c>
      <c r="C1717" s="1163" t="str">
        <f t="shared" si="43"/>
        <v>San Diego (Air Basin)_2035</v>
      </c>
      <c r="D1717" s="1169">
        <v>391.62179606298554</v>
      </c>
    </row>
    <row r="1718" spans="1:4" s="339" customFormat="1" ht="15.5" x14ac:dyDescent="0.35">
      <c r="A1718" s="1162" t="s">
        <v>809</v>
      </c>
      <c r="B1718" s="1163">
        <v>2036</v>
      </c>
      <c r="C1718" s="1163" t="str">
        <f t="shared" si="43"/>
        <v>San Diego (Air Basin)_2036</v>
      </c>
      <c r="D1718" s="1169">
        <v>387.95017799712724</v>
      </c>
    </row>
    <row r="1719" spans="1:4" s="339" customFormat="1" ht="15.5" x14ac:dyDescent="0.35">
      <c r="A1719" s="1162" t="s">
        <v>809</v>
      </c>
      <c r="B1719" s="1163">
        <v>2037</v>
      </c>
      <c r="C1719" s="1163" t="str">
        <f t="shared" si="43"/>
        <v>San Diego (Air Basin)_2037</v>
      </c>
      <c r="D1719" s="1169">
        <v>384.89290705039082</v>
      </c>
    </row>
    <row r="1720" spans="1:4" s="339" customFormat="1" ht="15.5" x14ac:dyDescent="0.35">
      <c r="A1720" s="1162" t="s">
        <v>809</v>
      </c>
      <c r="B1720" s="1163">
        <v>2038</v>
      </c>
      <c r="C1720" s="1163" t="str">
        <f t="shared" si="43"/>
        <v>San Diego (Air Basin)_2038</v>
      </c>
      <c r="D1720" s="1169">
        <v>382.28796484975442</v>
      </c>
    </row>
    <row r="1721" spans="1:4" s="339" customFormat="1" ht="15.5" x14ac:dyDescent="0.35">
      <c r="A1721" s="1162" t="s">
        <v>809</v>
      </c>
      <c r="B1721" s="1163">
        <v>2039</v>
      </c>
      <c r="C1721" s="1163" t="str">
        <f t="shared" si="43"/>
        <v>San Diego (Air Basin)_2039</v>
      </c>
      <c r="D1721" s="1169">
        <v>380.08561882935049</v>
      </c>
    </row>
    <row r="1722" spans="1:4" s="339" customFormat="1" ht="15.5" x14ac:dyDescent="0.35">
      <c r="A1722" s="1162" t="s">
        <v>809</v>
      </c>
      <c r="B1722" s="1163">
        <v>2040</v>
      </c>
      <c r="C1722" s="1163" t="str">
        <f t="shared" si="43"/>
        <v>San Diego (Air Basin)_2040</v>
      </c>
      <c r="D1722" s="1169">
        <v>378.23825372308028</v>
      </c>
    </row>
    <row r="1723" spans="1:4" s="339" customFormat="1" ht="15.5" x14ac:dyDescent="0.35">
      <c r="A1723" s="1162" t="s">
        <v>809</v>
      </c>
      <c r="B1723" s="1163">
        <v>2041</v>
      </c>
      <c r="C1723" s="1163" t="str">
        <f t="shared" si="43"/>
        <v>San Diego (Air Basin)_2041</v>
      </c>
      <c r="D1723" s="1169">
        <v>375.63041576253499</v>
      </c>
    </row>
    <row r="1724" spans="1:4" s="339" customFormat="1" ht="15.5" x14ac:dyDescent="0.35">
      <c r="A1724" s="1162" t="s">
        <v>809</v>
      </c>
      <c r="B1724" s="1163">
        <v>2042</v>
      </c>
      <c r="C1724" s="1163" t="str">
        <f t="shared" si="43"/>
        <v>San Diego (Air Basin)_2042</v>
      </c>
      <c r="D1724" s="1169">
        <v>374.35552432497343</v>
      </c>
    </row>
    <row r="1725" spans="1:4" s="339" customFormat="1" ht="15.5" x14ac:dyDescent="0.35">
      <c r="A1725" s="1162" t="s">
        <v>809</v>
      </c>
      <c r="B1725" s="1163">
        <v>2043</v>
      </c>
      <c r="C1725" s="1163" t="str">
        <f t="shared" si="43"/>
        <v>San Diego (Air Basin)_2043</v>
      </c>
      <c r="D1725" s="1169">
        <v>373.29968527754454</v>
      </c>
    </row>
    <row r="1726" spans="1:4" s="339" customFormat="1" ht="15.5" x14ac:dyDescent="0.35">
      <c r="A1726" s="1162" t="s">
        <v>809</v>
      </c>
      <c r="B1726" s="1163">
        <v>2044</v>
      </c>
      <c r="C1726" s="1163" t="str">
        <f t="shared" si="43"/>
        <v>San Diego (Air Basin)_2044</v>
      </c>
      <c r="D1726" s="1169">
        <v>372.42033816299994</v>
      </c>
    </row>
    <row r="1727" spans="1:4" s="339" customFormat="1" ht="15.5" x14ac:dyDescent="0.35">
      <c r="A1727" s="1162" t="s">
        <v>809</v>
      </c>
      <c r="B1727" s="1163">
        <v>2045</v>
      </c>
      <c r="C1727" s="1163" t="str">
        <f t="shared" ref="C1727:C1732" si="44">CONCATENATE(A1727,"_",B1727)</f>
        <v>San Diego (Air Basin)_2045</v>
      </c>
      <c r="D1727" s="1169">
        <v>371.66743719297085</v>
      </c>
    </row>
    <row r="1728" spans="1:4" s="339" customFormat="1" ht="15.5" x14ac:dyDescent="0.35">
      <c r="A1728" s="1162" t="s">
        <v>809</v>
      </c>
      <c r="B1728" s="1163">
        <v>2046</v>
      </c>
      <c r="C1728" s="1163" t="str">
        <f t="shared" si="44"/>
        <v>San Diego (Air Basin)_2046</v>
      </c>
      <c r="D1728" s="1169">
        <v>371.0440333424404</v>
      </c>
    </row>
    <row r="1729" spans="1:4" s="339" customFormat="1" ht="15.5" x14ac:dyDescent="0.35">
      <c r="A1729" s="1162" t="s">
        <v>809</v>
      </c>
      <c r="B1729" s="1163">
        <v>2047</v>
      </c>
      <c r="C1729" s="1163" t="str">
        <f t="shared" si="44"/>
        <v>San Diego (Air Basin)_2047</v>
      </c>
      <c r="D1729" s="1169">
        <v>370.51838934153557</v>
      </c>
    </row>
    <row r="1730" spans="1:4" s="339" customFormat="1" ht="15.5" x14ac:dyDescent="0.35">
      <c r="A1730" s="1162" t="s">
        <v>809</v>
      </c>
      <c r="B1730" s="1163">
        <v>2048</v>
      </c>
      <c r="C1730" s="1163" t="str">
        <f t="shared" si="44"/>
        <v>San Diego (Air Basin)_2048</v>
      </c>
      <c r="D1730" s="1169">
        <v>370.07194461266863</v>
      </c>
    </row>
    <row r="1731" spans="1:4" s="339" customFormat="1" ht="15.5" x14ac:dyDescent="0.35">
      <c r="A1731" s="1162" t="s">
        <v>809</v>
      </c>
      <c r="B1731" s="1163">
        <v>2049</v>
      </c>
      <c r="C1731" s="1163" t="str">
        <f t="shared" si="44"/>
        <v>San Diego (Air Basin)_2049</v>
      </c>
      <c r="D1731" s="1169">
        <v>369.69166550144809</v>
      </c>
    </row>
    <row r="1732" spans="1:4" s="339" customFormat="1" ht="15.5" x14ac:dyDescent="0.35">
      <c r="A1732" s="1162" t="s">
        <v>809</v>
      </c>
      <c r="B1732" s="1163">
        <v>2050</v>
      </c>
      <c r="C1732" s="1163" t="str">
        <f t="shared" si="44"/>
        <v>San Diego (Air Basin)_2050</v>
      </c>
      <c r="D1732" s="1169">
        <v>369.3864444055269</v>
      </c>
    </row>
    <row r="1733" spans="1:4" s="339" customFormat="1" ht="15.5" x14ac:dyDescent="0.35">
      <c r="A1733" s="1155" t="s">
        <v>840</v>
      </c>
      <c r="B1733" s="1156">
        <v>2015</v>
      </c>
      <c r="C1733" s="1157" t="s">
        <v>931</v>
      </c>
      <c r="D1733" s="1168">
        <v>542.22802754315182</v>
      </c>
    </row>
    <row r="1734" spans="1:4" s="339" customFormat="1" ht="15.5" x14ac:dyDescent="0.35">
      <c r="A1734" s="1155" t="s">
        <v>840</v>
      </c>
      <c r="B1734" s="1156">
        <v>2016</v>
      </c>
      <c r="C1734" s="1157" t="s">
        <v>932</v>
      </c>
      <c r="D1734" s="1168">
        <v>529.91097119779761</v>
      </c>
    </row>
    <row r="1735" spans="1:4" s="339" customFormat="1" ht="15.5" x14ac:dyDescent="0.35">
      <c r="A1735" s="1158" t="s">
        <v>840</v>
      </c>
      <c r="B1735" s="1159">
        <v>2017</v>
      </c>
      <c r="C1735" s="1159" t="str">
        <f t="shared" ref="C1735:C1798" si="45">CONCATENATE(A1735,"_",B1735)</f>
        <v>San Diego_2017</v>
      </c>
      <c r="D1735" s="1169">
        <v>526.12978084592771</v>
      </c>
    </row>
    <row r="1736" spans="1:4" s="339" customFormat="1" ht="15.5" x14ac:dyDescent="0.35">
      <c r="A1736" s="1158" t="s">
        <v>840</v>
      </c>
      <c r="B1736" s="1159">
        <v>2018</v>
      </c>
      <c r="C1736" s="1159" t="str">
        <f t="shared" si="45"/>
        <v>San Diego_2018</v>
      </c>
      <c r="D1736" s="1169">
        <v>520.18124855861106</v>
      </c>
    </row>
    <row r="1737" spans="1:4" s="339" customFormat="1" ht="15.5" x14ac:dyDescent="0.35">
      <c r="A1737" s="1158" t="s">
        <v>840</v>
      </c>
      <c r="B1737" s="1159">
        <v>2019</v>
      </c>
      <c r="C1737" s="1159" t="str">
        <f t="shared" si="45"/>
        <v>San Diego_2019</v>
      </c>
      <c r="D1737" s="1169">
        <v>513.16567969082826</v>
      </c>
    </row>
    <row r="1738" spans="1:4" s="339" customFormat="1" ht="15.5" x14ac:dyDescent="0.35">
      <c r="A1738" s="1158" t="s">
        <v>840</v>
      </c>
      <c r="B1738" s="1159">
        <v>2020</v>
      </c>
      <c r="C1738" s="1159" t="str">
        <f t="shared" si="45"/>
        <v>San Diego_2020</v>
      </c>
      <c r="D1738" s="1169">
        <v>509.07671717054097</v>
      </c>
    </row>
    <row r="1739" spans="1:4" s="339" customFormat="1" ht="15.5" x14ac:dyDescent="0.35">
      <c r="A1739" s="1158" t="s">
        <v>840</v>
      </c>
      <c r="B1739" s="1159">
        <v>2021</v>
      </c>
      <c r="C1739" s="1159" t="str">
        <f t="shared" si="45"/>
        <v>San Diego_2021</v>
      </c>
      <c r="D1739" s="1169">
        <v>499.50092619959298</v>
      </c>
    </row>
    <row r="1740" spans="1:4" s="339" customFormat="1" ht="15.5" x14ac:dyDescent="0.35">
      <c r="A1740" s="1158" t="s">
        <v>840</v>
      </c>
      <c r="B1740" s="1159">
        <v>2022</v>
      </c>
      <c r="C1740" s="1159" t="str">
        <f t="shared" si="45"/>
        <v>San Diego_2022</v>
      </c>
      <c r="D1740" s="1169">
        <v>490.55496608112622</v>
      </c>
    </row>
    <row r="1741" spans="1:4" s="339" customFormat="1" ht="15.5" x14ac:dyDescent="0.35">
      <c r="A1741" s="1158" t="s">
        <v>840</v>
      </c>
      <c r="B1741" s="1159">
        <v>2023</v>
      </c>
      <c r="C1741" s="1159" t="str">
        <f t="shared" si="45"/>
        <v>San Diego_2023</v>
      </c>
      <c r="D1741" s="1169">
        <v>481.06933382052466</v>
      </c>
    </row>
    <row r="1742" spans="1:4" s="339" customFormat="1" ht="15.5" x14ac:dyDescent="0.35">
      <c r="A1742" s="1158" t="s">
        <v>840</v>
      </c>
      <c r="B1742" s="1159">
        <v>2024</v>
      </c>
      <c r="C1742" s="1159" t="str">
        <f t="shared" si="45"/>
        <v>San Diego_2024</v>
      </c>
      <c r="D1742" s="1169">
        <v>471.15928109058876</v>
      </c>
    </row>
    <row r="1743" spans="1:4" s="339" customFormat="1" ht="15.5" x14ac:dyDescent="0.35">
      <c r="A1743" s="1158" t="s">
        <v>840</v>
      </c>
      <c r="B1743" s="1159">
        <v>2025</v>
      </c>
      <c r="C1743" s="1159" t="str">
        <f t="shared" si="45"/>
        <v>San Diego_2025</v>
      </c>
      <c r="D1743" s="1169">
        <v>460.85093331558107</v>
      </c>
    </row>
    <row r="1744" spans="1:4" s="339" customFormat="1" ht="15.5" x14ac:dyDescent="0.35">
      <c r="A1744" s="1158" t="s">
        <v>840</v>
      </c>
      <c r="B1744" s="1159">
        <v>2026</v>
      </c>
      <c r="C1744" s="1159" t="str">
        <f t="shared" si="45"/>
        <v>San Diego_2026</v>
      </c>
      <c r="D1744" s="1169">
        <v>450.23448102160501</v>
      </c>
    </row>
    <row r="1745" spans="1:4" s="339" customFormat="1" ht="15.5" x14ac:dyDescent="0.35">
      <c r="A1745" s="1158" t="s">
        <v>840</v>
      </c>
      <c r="B1745" s="1159">
        <v>2027</v>
      </c>
      <c r="C1745" s="1159" t="str">
        <f t="shared" si="45"/>
        <v>San Diego_2027</v>
      </c>
      <c r="D1745" s="1169">
        <v>441.60732405462397</v>
      </c>
    </row>
    <row r="1746" spans="1:4" s="339" customFormat="1" ht="15.5" x14ac:dyDescent="0.35">
      <c r="A1746" s="1158" t="s">
        <v>840</v>
      </c>
      <c r="B1746" s="1159">
        <v>2028</v>
      </c>
      <c r="C1746" s="1159" t="str">
        <f t="shared" si="45"/>
        <v>San Diego_2028</v>
      </c>
      <c r="D1746" s="1169">
        <v>433.0416445420413</v>
      </c>
    </row>
    <row r="1747" spans="1:4" s="339" customFormat="1" ht="15.5" x14ac:dyDescent="0.35">
      <c r="A1747" s="1158" t="s">
        <v>840</v>
      </c>
      <c r="B1747" s="1159">
        <v>2029</v>
      </c>
      <c r="C1747" s="1159" t="str">
        <f t="shared" si="45"/>
        <v>San Diego_2029</v>
      </c>
      <c r="D1747" s="1169">
        <v>425.20844308790231</v>
      </c>
    </row>
    <row r="1748" spans="1:4" s="339" customFormat="1" ht="15.5" x14ac:dyDescent="0.35">
      <c r="A1748" s="1158" t="s">
        <v>840</v>
      </c>
      <c r="B1748" s="1159">
        <v>2030</v>
      </c>
      <c r="C1748" s="1159" t="str">
        <f t="shared" si="45"/>
        <v>San Diego_2030</v>
      </c>
      <c r="D1748" s="1169">
        <v>418.08212739926455</v>
      </c>
    </row>
    <row r="1749" spans="1:4" s="339" customFormat="1" ht="15.5" x14ac:dyDescent="0.35">
      <c r="A1749" s="1158" t="s">
        <v>840</v>
      </c>
      <c r="B1749" s="1159">
        <v>2031</v>
      </c>
      <c r="C1749" s="1159" t="str">
        <f t="shared" si="45"/>
        <v>San Diego_2031</v>
      </c>
      <c r="D1749" s="1169">
        <v>410.39066148784576</v>
      </c>
    </row>
    <row r="1750" spans="1:4" s="339" customFormat="1" ht="15.5" x14ac:dyDescent="0.35">
      <c r="A1750" s="1158" t="s">
        <v>840</v>
      </c>
      <c r="B1750" s="1159">
        <v>2032</v>
      </c>
      <c r="C1750" s="1159" t="str">
        <f t="shared" si="45"/>
        <v>San Diego_2032</v>
      </c>
      <c r="D1750" s="1169">
        <v>404.5833407175665</v>
      </c>
    </row>
    <row r="1751" spans="1:4" s="339" customFormat="1" ht="15.5" x14ac:dyDescent="0.35">
      <c r="A1751" s="1158" t="s">
        <v>840</v>
      </c>
      <c r="B1751" s="1159">
        <v>2033</v>
      </c>
      <c r="C1751" s="1159" t="str">
        <f t="shared" si="45"/>
        <v>San Diego_2033</v>
      </c>
      <c r="D1751" s="1169">
        <v>400.33299831118637</v>
      </c>
    </row>
    <row r="1752" spans="1:4" s="339" customFormat="1" ht="15.5" x14ac:dyDescent="0.35">
      <c r="A1752" s="1158" t="s">
        <v>840</v>
      </c>
      <c r="B1752" s="1159">
        <v>2034</v>
      </c>
      <c r="C1752" s="1159" t="str">
        <f t="shared" si="45"/>
        <v>San Diego_2034</v>
      </c>
      <c r="D1752" s="1169">
        <v>395.69577236384436</v>
      </c>
    </row>
    <row r="1753" spans="1:4" s="339" customFormat="1" ht="15.5" x14ac:dyDescent="0.35">
      <c r="A1753" s="1158" t="s">
        <v>840</v>
      </c>
      <c r="B1753" s="1159">
        <v>2035</v>
      </c>
      <c r="C1753" s="1159" t="str">
        <f t="shared" si="45"/>
        <v>San Diego_2035</v>
      </c>
      <c r="D1753" s="1169">
        <v>391.62179606298554</v>
      </c>
    </row>
    <row r="1754" spans="1:4" s="339" customFormat="1" ht="15.5" x14ac:dyDescent="0.35">
      <c r="A1754" s="1158" t="s">
        <v>840</v>
      </c>
      <c r="B1754" s="1159">
        <v>2036</v>
      </c>
      <c r="C1754" s="1159" t="str">
        <f t="shared" si="45"/>
        <v>San Diego_2036</v>
      </c>
      <c r="D1754" s="1169">
        <v>387.95017799712724</v>
      </c>
    </row>
    <row r="1755" spans="1:4" s="339" customFormat="1" ht="15.5" x14ac:dyDescent="0.35">
      <c r="A1755" s="1158" t="s">
        <v>840</v>
      </c>
      <c r="B1755" s="1159">
        <v>2037</v>
      </c>
      <c r="C1755" s="1159" t="str">
        <f t="shared" si="45"/>
        <v>San Diego_2037</v>
      </c>
      <c r="D1755" s="1169">
        <v>384.89290705039082</v>
      </c>
    </row>
    <row r="1756" spans="1:4" s="339" customFormat="1" ht="15.5" x14ac:dyDescent="0.35">
      <c r="A1756" s="1158" t="s">
        <v>840</v>
      </c>
      <c r="B1756" s="1159">
        <v>2038</v>
      </c>
      <c r="C1756" s="1159" t="str">
        <f t="shared" si="45"/>
        <v>San Diego_2038</v>
      </c>
      <c r="D1756" s="1169">
        <v>382.28796484975442</v>
      </c>
    </row>
    <row r="1757" spans="1:4" s="339" customFormat="1" ht="15.5" x14ac:dyDescent="0.35">
      <c r="A1757" s="1158" t="s">
        <v>840</v>
      </c>
      <c r="B1757" s="1159">
        <v>2039</v>
      </c>
      <c r="C1757" s="1159" t="str">
        <f t="shared" si="45"/>
        <v>San Diego_2039</v>
      </c>
      <c r="D1757" s="1169">
        <v>380.08561882935049</v>
      </c>
    </row>
    <row r="1758" spans="1:4" s="339" customFormat="1" ht="15.5" x14ac:dyDescent="0.35">
      <c r="A1758" s="1158" t="s">
        <v>840</v>
      </c>
      <c r="B1758" s="1159">
        <v>2040</v>
      </c>
      <c r="C1758" s="1159" t="str">
        <f t="shared" si="45"/>
        <v>San Diego_2040</v>
      </c>
      <c r="D1758" s="1169">
        <v>378.23825372308028</v>
      </c>
    </row>
    <row r="1759" spans="1:4" s="339" customFormat="1" ht="15.5" x14ac:dyDescent="0.35">
      <c r="A1759" s="1158" t="s">
        <v>840</v>
      </c>
      <c r="B1759" s="1159">
        <v>2041</v>
      </c>
      <c r="C1759" s="1159" t="str">
        <f t="shared" si="45"/>
        <v>San Diego_2041</v>
      </c>
      <c r="D1759" s="1169">
        <v>375.63041576253499</v>
      </c>
    </row>
    <row r="1760" spans="1:4" s="339" customFormat="1" ht="15.5" x14ac:dyDescent="0.35">
      <c r="A1760" s="1158" t="s">
        <v>840</v>
      </c>
      <c r="B1760" s="1159">
        <v>2042</v>
      </c>
      <c r="C1760" s="1159" t="str">
        <f t="shared" si="45"/>
        <v>San Diego_2042</v>
      </c>
      <c r="D1760" s="1169">
        <v>374.35552432497343</v>
      </c>
    </row>
    <row r="1761" spans="1:4" s="339" customFormat="1" ht="15.5" x14ac:dyDescent="0.35">
      <c r="A1761" s="1158" t="s">
        <v>840</v>
      </c>
      <c r="B1761" s="1159">
        <v>2043</v>
      </c>
      <c r="C1761" s="1159" t="str">
        <f t="shared" si="45"/>
        <v>San Diego_2043</v>
      </c>
      <c r="D1761" s="1169">
        <v>373.29968527754454</v>
      </c>
    </row>
    <row r="1762" spans="1:4" s="339" customFormat="1" ht="15.5" x14ac:dyDescent="0.35">
      <c r="A1762" s="1158" t="s">
        <v>840</v>
      </c>
      <c r="B1762" s="1159">
        <v>2044</v>
      </c>
      <c r="C1762" s="1159" t="str">
        <f t="shared" si="45"/>
        <v>San Diego_2044</v>
      </c>
      <c r="D1762" s="1169">
        <v>372.42033816299994</v>
      </c>
    </row>
    <row r="1763" spans="1:4" s="339" customFormat="1" ht="15.5" x14ac:dyDescent="0.35">
      <c r="A1763" s="1158" t="s">
        <v>840</v>
      </c>
      <c r="B1763" s="1159">
        <v>2045</v>
      </c>
      <c r="C1763" s="1159" t="str">
        <f t="shared" si="45"/>
        <v>San Diego_2045</v>
      </c>
      <c r="D1763" s="1169">
        <v>371.66743719297085</v>
      </c>
    </row>
    <row r="1764" spans="1:4" s="339" customFormat="1" ht="15.5" x14ac:dyDescent="0.35">
      <c r="A1764" s="1158" t="s">
        <v>840</v>
      </c>
      <c r="B1764" s="1159">
        <v>2046</v>
      </c>
      <c r="C1764" s="1159" t="str">
        <f t="shared" si="45"/>
        <v>San Diego_2046</v>
      </c>
      <c r="D1764" s="1169">
        <v>371.0440333424404</v>
      </c>
    </row>
    <row r="1765" spans="1:4" s="339" customFormat="1" ht="15.5" x14ac:dyDescent="0.35">
      <c r="A1765" s="1158" t="s">
        <v>840</v>
      </c>
      <c r="B1765" s="1159">
        <v>2047</v>
      </c>
      <c r="C1765" s="1159" t="str">
        <f t="shared" si="45"/>
        <v>San Diego_2047</v>
      </c>
      <c r="D1765" s="1169">
        <v>370.51838934153557</v>
      </c>
    </row>
    <row r="1766" spans="1:4" s="339" customFormat="1" ht="15.5" x14ac:dyDescent="0.35">
      <c r="A1766" s="1158" t="s">
        <v>840</v>
      </c>
      <c r="B1766" s="1159">
        <v>2048</v>
      </c>
      <c r="C1766" s="1159" t="str">
        <f t="shared" si="45"/>
        <v>San Diego_2048</v>
      </c>
      <c r="D1766" s="1169">
        <v>370.07194461266863</v>
      </c>
    </row>
    <row r="1767" spans="1:4" s="339" customFormat="1" ht="15.5" x14ac:dyDescent="0.35">
      <c r="A1767" s="1158" t="s">
        <v>840</v>
      </c>
      <c r="B1767" s="1159">
        <v>2049</v>
      </c>
      <c r="C1767" s="1159" t="str">
        <f t="shared" si="45"/>
        <v>San Diego_2049</v>
      </c>
      <c r="D1767" s="1169">
        <v>369.69166550144809</v>
      </c>
    </row>
    <row r="1768" spans="1:4" s="339" customFormat="1" ht="15.5" x14ac:dyDescent="0.35">
      <c r="A1768" s="1158" t="s">
        <v>840</v>
      </c>
      <c r="B1768" s="1159">
        <v>2050</v>
      </c>
      <c r="C1768" s="1159" t="str">
        <f t="shared" si="45"/>
        <v>San Diego_2050</v>
      </c>
      <c r="D1768" s="1169">
        <v>369.3864444055269</v>
      </c>
    </row>
    <row r="1769" spans="1:4" s="339" customFormat="1" ht="15.5" x14ac:dyDescent="0.35">
      <c r="A1769" s="1160" t="s">
        <v>811</v>
      </c>
      <c r="B1769" s="1161">
        <v>2015</v>
      </c>
      <c r="C1769" s="1161" t="str">
        <f t="shared" si="45"/>
        <v>San Francisco Bay Area_2015</v>
      </c>
      <c r="D1769" s="1168">
        <v>501.54125096579781</v>
      </c>
    </row>
    <row r="1770" spans="1:4" s="339" customFormat="1" ht="15.5" x14ac:dyDescent="0.35">
      <c r="A1770" s="1160" t="s">
        <v>811</v>
      </c>
      <c r="B1770" s="1161">
        <v>2016</v>
      </c>
      <c r="C1770" s="1161" t="str">
        <f t="shared" si="45"/>
        <v>San Francisco Bay Area_2016</v>
      </c>
      <c r="D1770" s="1168">
        <v>490.3612296037806</v>
      </c>
    </row>
    <row r="1771" spans="1:4" s="339" customFormat="1" ht="15.5" x14ac:dyDescent="0.35">
      <c r="A1771" s="1162" t="s">
        <v>811</v>
      </c>
      <c r="B1771" s="1163">
        <v>2017</v>
      </c>
      <c r="C1771" s="1163" t="str">
        <f t="shared" si="45"/>
        <v>San Francisco Bay Area_2017</v>
      </c>
      <c r="D1771" s="1169">
        <v>486.16637531952011</v>
      </c>
    </row>
    <row r="1772" spans="1:4" s="339" customFormat="1" ht="15.5" x14ac:dyDescent="0.35">
      <c r="A1772" s="1162" t="s">
        <v>811</v>
      </c>
      <c r="B1772" s="1163">
        <v>2018</v>
      </c>
      <c r="C1772" s="1163" t="str">
        <f t="shared" si="45"/>
        <v>San Francisco Bay Area_2018</v>
      </c>
      <c r="D1772" s="1169">
        <v>480.60071021686758</v>
      </c>
    </row>
    <row r="1773" spans="1:4" s="339" customFormat="1" ht="15.5" x14ac:dyDescent="0.35">
      <c r="A1773" s="1162" t="s">
        <v>811</v>
      </c>
      <c r="B1773" s="1163">
        <v>2019</v>
      </c>
      <c r="C1773" s="1163" t="str">
        <f t="shared" si="45"/>
        <v>San Francisco Bay Area_2019</v>
      </c>
      <c r="D1773" s="1169">
        <v>474.32001043720101</v>
      </c>
    </row>
    <row r="1774" spans="1:4" s="339" customFormat="1" ht="15.5" x14ac:dyDescent="0.35">
      <c r="A1774" s="1162" t="s">
        <v>811</v>
      </c>
      <c r="B1774" s="1163">
        <v>2020</v>
      </c>
      <c r="C1774" s="1163" t="str">
        <f t="shared" si="45"/>
        <v>San Francisco Bay Area_2020</v>
      </c>
      <c r="D1774" s="1169">
        <v>471.45072702799922</v>
      </c>
    </row>
    <row r="1775" spans="1:4" s="339" customFormat="1" ht="15.5" x14ac:dyDescent="0.35">
      <c r="A1775" s="1162" t="s">
        <v>811</v>
      </c>
      <c r="B1775" s="1163">
        <v>2021</v>
      </c>
      <c r="C1775" s="1163" t="str">
        <f t="shared" si="45"/>
        <v>San Francisco Bay Area_2021</v>
      </c>
      <c r="D1775" s="1169">
        <v>462.91185490707113</v>
      </c>
    </row>
    <row r="1776" spans="1:4" s="339" customFormat="1" ht="15.5" x14ac:dyDescent="0.35">
      <c r="A1776" s="1162" t="s">
        <v>811</v>
      </c>
      <c r="B1776" s="1163">
        <v>2022</v>
      </c>
      <c r="C1776" s="1163" t="str">
        <f t="shared" si="45"/>
        <v>San Francisco Bay Area_2022</v>
      </c>
      <c r="D1776" s="1169">
        <v>455.08003536404976</v>
      </c>
    </row>
    <row r="1777" spans="1:4" s="339" customFormat="1" ht="15.5" x14ac:dyDescent="0.35">
      <c r="A1777" s="1162" t="s">
        <v>811</v>
      </c>
      <c r="B1777" s="1163">
        <v>2023</v>
      </c>
      <c r="C1777" s="1163" t="str">
        <f t="shared" si="45"/>
        <v>San Francisco Bay Area_2023</v>
      </c>
      <c r="D1777" s="1169">
        <v>446.76998941858483</v>
      </c>
    </row>
    <row r="1778" spans="1:4" s="339" customFormat="1" ht="15.5" x14ac:dyDescent="0.35">
      <c r="A1778" s="1162" t="s">
        <v>811</v>
      </c>
      <c r="B1778" s="1163">
        <v>2024</v>
      </c>
      <c r="C1778" s="1163" t="str">
        <f t="shared" si="45"/>
        <v>San Francisco Bay Area_2024</v>
      </c>
      <c r="D1778" s="1169">
        <v>438.05761013732223</v>
      </c>
    </row>
    <row r="1779" spans="1:4" s="339" customFormat="1" ht="15.5" x14ac:dyDescent="0.35">
      <c r="A1779" s="1162" t="s">
        <v>811</v>
      </c>
      <c r="B1779" s="1163">
        <v>2025</v>
      </c>
      <c r="C1779" s="1163" t="str">
        <f t="shared" si="45"/>
        <v>San Francisco Bay Area_2025</v>
      </c>
      <c r="D1779" s="1169">
        <v>428.97189503182756</v>
      </c>
    </row>
    <row r="1780" spans="1:4" s="339" customFormat="1" ht="15.5" x14ac:dyDescent="0.35">
      <c r="A1780" s="1162" t="s">
        <v>811</v>
      </c>
      <c r="B1780" s="1163">
        <v>2026</v>
      </c>
      <c r="C1780" s="1163" t="str">
        <f t="shared" si="45"/>
        <v>San Francisco Bay Area_2026</v>
      </c>
      <c r="D1780" s="1169">
        <v>420.15265120970753</v>
      </c>
    </row>
    <row r="1781" spans="1:4" s="339" customFormat="1" ht="15.5" x14ac:dyDescent="0.35">
      <c r="A1781" s="1162" t="s">
        <v>811</v>
      </c>
      <c r="B1781" s="1163">
        <v>2027</v>
      </c>
      <c r="C1781" s="1163" t="str">
        <f t="shared" si="45"/>
        <v>San Francisco Bay Area_2027</v>
      </c>
      <c r="D1781" s="1169">
        <v>411.93221522247279</v>
      </c>
    </row>
    <row r="1782" spans="1:4" s="339" customFormat="1" ht="15.5" x14ac:dyDescent="0.35">
      <c r="A1782" s="1162" t="s">
        <v>811</v>
      </c>
      <c r="B1782" s="1163">
        <v>2028</v>
      </c>
      <c r="C1782" s="1163" t="str">
        <f t="shared" si="45"/>
        <v>San Francisco Bay Area_2028</v>
      </c>
      <c r="D1782" s="1169">
        <v>404.39515004002675</v>
      </c>
    </row>
    <row r="1783" spans="1:4" s="339" customFormat="1" ht="15.5" x14ac:dyDescent="0.35">
      <c r="A1783" s="1162" t="s">
        <v>811</v>
      </c>
      <c r="B1783" s="1163">
        <v>2029</v>
      </c>
      <c r="C1783" s="1163" t="str">
        <f t="shared" si="45"/>
        <v>San Francisco Bay Area_2029</v>
      </c>
      <c r="D1783" s="1169">
        <v>397.51567584000077</v>
      </c>
    </row>
    <row r="1784" spans="1:4" s="339" customFormat="1" ht="15.5" x14ac:dyDescent="0.35">
      <c r="A1784" s="1162" t="s">
        <v>811</v>
      </c>
      <c r="B1784" s="1163">
        <v>2030</v>
      </c>
      <c r="C1784" s="1163" t="str">
        <f t="shared" si="45"/>
        <v>San Francisco Bay Area_2030</v>
      </c>
      <c r="D1784" s="1169">
        <v>391.2724271382325</v>
      </c>
    </row>
    <row r="1785" spans="1:4" s="339" customFormat="1" ht="15.5" x14ac:dyDescent="0.35">
      <c r="A1785" s="1162" t="s">
        <v>811</v>
      </c>
      <c r="B1785" s="1163">
        <v>2031</v>
      </c>
      <c r="C1785" s="1163" t="str">
        <f t="shared" si="45"/>
        <v>San Francisco Bay Area_2031</v>
      </c>
      <c r="D1785" s="1169">
        <v>386.17442096688563</v>
      </c>
    </row>
    <row r="1786" spans="1:4" s="339" customFormat="1" ht="15.5" x14ac:dyDescent="0.35">
      <c r="A1786" s="1162" t="s">
        <v>811</v>
      </c>
      <c r="B1786" s="1163">
        <v>2032</v>
      </c>
      <c r="C1786" s="1163" t="str">
        <f t="shared" si="45"/>
        <v>San Francisco Bay Area_2032</v>
      </c>
      <c r="D1786" s="1169">
        <v>381.06128462649673</v>
      </c>
    </row>
    <row r="1787" spans="1:4" s="339" customFormat="1" ht="15.5" x14ac:dyDescent="0.35">
      <c r="A1787" s="1162" t="s">
        <v>811</v>
      </c>
      <c r="B1787" s="1163">
        <v>2033</v>
      </c>
      <c r="C1787" s="1163" t="str">
        <f t="shared" si="45"/>
        <v>San Francisco Bay Area_2033</v>
      </c>
      <c r="D1787" s="1169">
        <v>376.47888114233217</v>
      </c>
    </row>
    <row r="1788" spans="1:4" s="339" customFormat="1" ht="15.5" x14ac:dyDescent="0.35">
      <c r="A1788" s="1162" t="s">
        <v>811</v>
      </c>
      <c r="B1788" s="1163">
        <v>2034</v>
      </c>
      <c r="C1788" s="1163" t="str">
        <f t="shared" si="45"/>
        <v>San Francisco Bay Area_2034</v>
      </c>
      <c r="D1788" s="1169">
        <v>372.39247069771403</v>
      </c>
    </row>
    <row r="1789" spans="1:4" s="339" customFormat="1" ht="15.5" x14ac:dyDescent="0.35">
      <c r="A1789" s="1162" t="s">
        <v>811</v>
      </c>
      <c r="B1789" s="1163">
        <v>2035</v>
      </c>
      <c r="C1789" s="1163" t="str">
        <f t="shared" si="45"/>
        <v>San Francisco Bay Area_2035</v>
      </c>
      <c r="D1789" s="1169">
        <v>368.78285660603331</v>
      </c>
    </row>
    <row r="1790" spans="1:4" s="339" customFormat="1" ht="15.5" x14ac:dyDescent="0.35">
      <c r="A1790" s="1162" t="s">
        <v>811</v>
      </c>
      <c r="B1790" s="1163">
        <v>2036</v>
      </c>
      <c r="C1790" s="1163" t="str">
        <f t="shared" si="45"/>
        <v>San Francisco Bay Area_2036</v>
      </c>
      <c r="D1790" s="1169">
        <v>365.6250623566745</v>
      </c>
    </row>
    <row r="1791" spans="1:4" s="339" customFormat="1" ht="15.5" x14ac:dyDescent="0.35">
      <c r="A1791" s="1162" t="s">
        <v>811</v>
      </c>
      <c r="B1791" s="1163">
        <v>2037</v>
      </c>
      <c r="C1791" s="1163" t="str">
        <f t="shared" si="45"/>
        <v>San Francisco Bay Area_2037</v>
      </c>
      <c r="D1791" s="1169">
        <v>362.89110795078051</v>
      </c>
    </row>
    <row r="1792" spans="1:4" s="339" customFormat="1" ht="15.5" x14ac:dyDescent="0.35">
      <c r="A1792" s="1162" t="s">
        <v>811</v>
      </c>
      <c r="B1792" s="1163">
        <v>2038</v>
      </c>
      <c r="C1792" s="1163" t="str">
        <f t="shared" si="45"/>
        <v>San Francisco Bay Area_2038</v>
      </c>
      <c r="D1792" s="1169">
        <v>360.55113389637285</v>
      </c>
    </row>
    <row r="1793" spans="1:4" s="339" customFormat="1" ht="15.5" x14ac:dyDescent="0.35">
      <c r="A1793" s="1162" t="s">
        <v>811</v>
      </c>
      <c r="B1793" s="1163">
        <v>2039</v>
      </c>
      <c r="C1793" s="1163" t="str">
        <f t="shared" si="45"/>
        <v>San Francisco Bay Area_2039</v>
      </c>
      <c r="D1793" s="1169">
        <v>358.5644954645449</v>
      </c>
    </row>
    <row r="1794" spans="1:4" s="339" customFormat="1" ht="15.5" x14ac:dyDescent="0.35">
      <c r="A1794" s="1162" t="s">
        <v>811</v>
      </c>
      <c r="B1794" s="1163">
        <v>2040</v>
      </c>
      <c r="C1794" s="1163" t="str">
        <f t="shared" si="45"/>
        <v>San Francisco Bay Area_2040</v>
      </c>
      <c r="D1794" s="1169">
        <v>356.89549048439466</v>
      </c>
    </row>
    <row r="1795" spans="1:4" s="339" customFormat="1" ht="15.5" x14ac:dyDescent="0.35">
      <c r="A1795" s="1162" t="s">
        <v>811</v>
      </c>
      <c r="B1795" s="1163">
        <v>2041</v>
      </c>
      <c r="C1795" s="1163" t="str">
        <f t="shared" si="45"/>
        <v>San Francisco Bay Area_2041</v>
      </c>
      <c r="D1795" s="1169">
        <v>355.51300090641485</v>
      </c>
    </row>
    <row r="1796" spans="1:4" s="339" customFormat="1" ht="15.5" x14ac:dyDescent="0.35">
      <c r="A1796" s="1162" t="s">
        <v>811</v>
      </c>
      <c r="B1796" s="1163">
        <v>2042</v>
      </c>
      <c r="C1796" s="1163" t="str">
        <f t="shared" si="45"/>
        <v>San Francisco Bay Area_2042</v>
      </c>
      <c r="D1796" s="1169">
        <v>354.35453244085193</v>
      </c>
    </row>
    <row r="1797" spans="1:4" s="339" customFormat="1" ht="15.5" x14ac:dyDescent="0.35">
      <c r="A1797" s="1162" t="s">
        <v>811</v>
      </c>
      <c r="B1797" s="1163">
        <v>2043</v>
      </c>
      <c r="C1797" s="1163" t="str">
        <f t="shared" si="45"/>
        <v>San Francisco Bay Area_2043</v>
      </c>
      <c r="D1797" s="1169">
        <v>353.39982164951431</v>
      </c>
    </row>
    <row r="1798" spans="1:4" s="339" customFormat="1" ht="15.5" x14ac:dyDescent="0.35">
      <c r="A1798" s="1162" t="s">
        <v>811</v>
      </c>
      <c r="B1798" s="1163">
        <v>2044</v>
      </c>
      <c r="C1798" s="1163" t="str">
        <f t="shared" si="45"/>
        <v>San Francisco Bay Area_2044</v>
      </c>
      <c r="D1798" s="1169">
        <v>352.60898098193439</v>
      </c>
    </row>
    <row r="1799" spans="1:4" s="339" customFormat="1" ht="15.5" x14ac:dyDescent="0.35">
      <c r="A1799" s="1162" t="s">
        <v>811</v>
      </c>
      <c r="B1799" s="1163">
        <v>2045</v>
      </c>
      <c r="C1799" s="1163" t="str">
        <f t="shared" ref="C1799:C1804" si="46">CONCATENATE(A1799,"_",B1799)</f>
        <v>San Francisco Bay Area_2045</v>
      </c>
      <c r="D1799" s="1169">
        <v>351.93856304093225</v>
      </c>
    </row>
    <row r="1800" spans="1:4" s="339" customFormat="1" ht="15.5" x14ac:dyDescent="0.35">
      <c r="A1800" s="1162" t="s">
        <v>811</v>
      </c>
      <c r="B1800" s="1163">
        <v>2046</v>
      </c>
      <c r="C1800" s="1163" t="str">
        <f t="shared" si="46"/>
        <v>San Francisco Bay Area_2046</v>
      </c>
      <c r="D1800" s="1169">
        <v>351.38150325835488</v>
      </c>
    </row>
    <row r="1801" spans="1:4" s="339" customFormat="1" ht="15.5" x14ac:dyDescent="0.35">
      <c r="A1801" s="1162" t="s">
        <v>811</v>
      </c>
      <c r="B1801" s="1163">
        <v>2047</v>
      </c>
      <c r="C1801" s="1163" t="str">
        <f t="shared" si="46"/>
        <v>San Francisco Bay Area_2047</v>
      </c>
      <c r="D1801" s="1169">
        <v>350.92571458976414</v>
      </c>
    </row>
    <row r="1802" spans="1:4" s="339" customFormat="1" ht="15.5" x14ac:dyDescent="0.35">
      <c r="A1802" s="1162" t="s">
        <v>811</v>
      </c>
      <c r="B1802" s="1163">
        <v>2048</v>
      </c>
      <c r="C1802" s="1163" t="str">
        <f t="shared" si="46"/>
        <v>San Francisco Bay Area_2048</v>
      </c>
      <c r="D1802" s="1169">
        <v>350.55040194234766</v>
      </c>
    </row>
    <row r="1803" spans="1:4" s="339" customFormat="1" ht="15.5" x14ac:dyDescent="0.35">
      <c r="A1803" s="1162" t="s">
        <v>811</v>
      </c>
      <c r="B1803" s="1163">
        <v>2049</v>
      </c>
      <c r="C1803" s="1163" t="str">
        <f t="shared" si="46"/>
        <v>San Francisco Bay Area_2049</v>
      </c>
      <c r="D1803" s="1169">
        <v>350.23662457226993</v>
      </c>
    </row>
    <row r="1804" spans="1:4" s="339" customFormat="1" ht="15.5" x14ac:dyDescent="0.35">
      <c r="A1804" s="1162" t="s">
        <v>811</v>
      </c>
      <c r="B1804" s="1163">
        <v>2050</v>
      </c>
      <c r="C1804" s="1163" t="str">
        <f t="shared" si="46"/>
        <v>San Francisco Bay Area_2050</v>
      </c>
      <c r="D1804" s="1169">
        <v>349.98760744566647</v>
      </c>
    </row>
    <row r="1805" spans="1:4" s="339" customFormat="1" ht="15.5" x14ac:dyDescent="0.35">
      <c r="A1805" s="1155" t="s">
        <v>842</v>
      </c>
      <c r="B1805" s="1156">
        <v>2015</v>
      </c>
      <c r="C1805" s="1157" t="s">
        <v>933</v>
      </c>
      <c r="D1805" s="1168">
        <v>505.77205190748509</v>
      </c>
    </row>
    <row r="1806" spans="1:4" s="339" customFormat="1" ht="15.5" x14ac:dyDescent="0.35">
      <c r="A1806" s="1155" t="s">
        <v>842</v>
      </c>
      <c r="B1806" s="1156">
        <v>2016</v>
      </c>
      <c r="C1806" s="1157" t="s">
        <v>934</v>
      </c>
      <c r="D1806" s="1168">
        <v>494.76748285125154</v>
      </c>
    </row>
    <row r="1807" spans="1:4" s="339" customFormat="1" ht="15.5" x14ac:dyDescent="0.35">
      <c r="A1807" s="1158" t="s">
        <v>842</v>
      </c>
      <c r="B1807" s="1159">
        <v>2017</v>
      </c>
      <c r="C1807" s="1159" t="str">
        <f t="shared" ref="C1807:C1870" si="47">CONCATENATE(A1807,"_",B1807)</f>
        <v>San Francisco_2017</v>
      </c>
      <c r="D1807" s="1169">
        <v>490.78635786015604</v>
      </c>
    </row>
    <row r="1808" spans="1:4" s="339" customFormat="1" ht="15.5" x14ac:dyDescent="0.35">
      <c r="A1808" s="1158" t="s">
        <v>842</v>
      </c>
      <c r="B1808" s="1159">
        <v>2018</v>
      </c>
      <c r="C1808" s="1159" t="str">
        <f t="shared" si="47"/>
        <v>San Francisco_2018</v>
      </c>
      <c r="D1808" s="1169">
        <v>486.58346879464222</v>
      </c>
    </row>
    <row r="1809" spans="1:4" s="339" customFormat="1" ht="15.5" x14ac:dyDescent="0.35">
      <c r="A1809" s="1158" t="s">
        <v>842</v>
      </c>
      <c r="B1809" s="1159">
        <v>2019</v>
      </c>
      <c r="C1809" s="1159" t="str">
        <f t="shared" si="47"/>
        <v>San Francisco_2019</v>
      </c>
      <c r="D1809" s="1169">
        <v>480.53534285904192</v>
      </c>
    </row>
    <row r="1810" spans="1:4" s="339" customFormat="1" ht="15.5" x14ac:dyDescent="0.35">
      <c r="A1810" s="1158" t="s">
        <v>842</v>
      </c>
      <c r="B1810" s="1159">
        <v>2020</v>
      </c>
      <c r="C1810" s="1159" t="str">
        <f t="shared" si="47"/>
        <v>San Francisco_2020</v>
      </c>
      <c r="D1810" s="1169">
        <v>478.67730974685429</v>
      </c>
    </row>
    <row r="1811" spans="1:4" s="339" customFormat="1" ht="15.5" x14ac:dyDescent="0.35">
      <c r="A1811" s="1158" t="s">
        <v>842</v>
      </c>
      <c r="B1811" s="1159">
        <v>2021</v>
      </c>
      <c r="C1811" s="1159" t="str">
        <f t="shared" si="47"/>
        <v>San Francisco_2021</v>
      </c>
      <c r="D1811" s="1169">
        <v>479.07559010239265</v>
      </c>
    </row>
    <row r="1812" spans="1:4" s="339" customFormat="1" ht="15.5" x14ac:dyDescent="0.35">
      <c r="A1812" s="1158" t="s">
        <v>842</v>
      </c>
      <c r="B1812" s="1159">
        <v>2022</v>
      </c>
      <c r="C1812" s="1159" t="str">
        <f t="shared" si="47"/>
        <v>San Francisco_2022</v>
      </c>
      <c r="D1812" s="1169">
        <v>472.04654405596835</v>
      </c>
    </row>
    <row r="1813" spans="1:4" s="339" customFormat="1" ht="15.5" x14ac:dyDescent="0.35">
      <c r="A1813" s="1158" t="s">
        <v>842</v>
      </c>
      <c r="B1813" s="1159">
        <v>2023</v>
      </c>
      <c r="C1813" s="1159" t="str">
        <f t="shared" si="47"/>
        <v>San Francisco_2023</v>
      </c>
      <c r="D1813" s="1169">
        <v>464.29494472459135</v>
      </c>
    </row>
    <row r="1814" spans="1:4" s="339" customFormat="1" ht="15.5" x14ac:dyDescent="0.35">
      <c r="A1814" s="1158" t="s">
        <v>842</v>
      </c>
      <c r="B1814" s="1159">
        <v>2024</v>
      </c>
      <c r="C1814" s="1159" t="str">
        <f t="shared" si="47"/>
        <v>San Francisco_2024</v>
      </c>
      <c r="D1814" s="1169">
        <v>455.96741719346846</v>
      </c>
    </row>
    <row r="1815" spans="1:4" s="339" customFormat="1" ht="15.5" x14ac:dyDescent="0.35">
      <c r="A1815" s="1158" t="s">
        <v>842</v>
      </c>
      <c r="B1815" s="1159">
        <v>2025</v>
      </c>
      <c r="C1815" s="1159" t="str">
        <f t="shared" si="47"/>
        <v>San Francisco_2025</v>
      </c>
      <c r="D1815" s="1169">
        <v>447.11734957615596</v>
      </c>
    </row>
    <row r="1816" spans="1:4" s="339" customFormat="1" ht="15.5" x14ac:dyDescent="0.35">
      <c r="A1816" s="1158" t="s">
        <v>842</v>
      </c>
      <c r="B1816" s="1159">
        <v>2026</v>
      </c>
      <c r="C1816" s="1159" t="str">
        <f t="shared" si="47"/>
        <v>San Francisco_2026</v>
      </c>
      <c r="D1816" s="1169">
        <v>438.46247911547079</v>
      </c>
    </row>
    <row r="1817" spans="1:4" s="339" customFormat="1" ht="15.5" x14ac:dyDescent="0.35">
      <c r="A1817" s="1158" t="s">
        <v>842</v>
      </c>
      <c r="B1817" s="1159">
        <v>2027</v>
      </c>
      <c r="C1817" s="1159" t="str">
        <f t="shared" si="47"/>
        <v>San Francisco_2027</v>
      </c>
      <c r="D1817" s="1169">
        <v>430.42129894209336</v>
      </c>
    </row>
    <row r="1818" spans="1:4" s="339" customFormat="1" ht="15.5" x14ac:dyDescent="0.35">
      <c r="A1818" s="1158" t="s">
        <v>842</v>
      </c>
      <c r="B1818" s="1159">
        <v>2028</v>
      </c>
      <c r="C1818" s="1159" t="str">
        <f t="shared" si="47"/>
        <v>San Francisco_2028</v>
      </c>
      <c r="D1818" s="1169">
        <v>423.09282514182507</v>
      </c>
    </row>
    <row r="1819" spans="1:4" s="339" customFormat="1" ht="15.5" x14ac:dyDescent="0.35">
      <c r="A1819" s="1158" t="s">
        <v>842</v>
      </c>
      <c r="B1819" s="1159">
        <v>2029</v>
      </c>
      <c r="C1819" s="1159" t="str">
        <f t="shared" si="47"/>
        <v>San Francisco_2029</v>
      </c>
      <c r="D1819" s="1169">
        <v>416.45754936306724</v>
      </c>
    </row>
    <row r="1820" spans="1:4" s="339" customFormat="1" ht="15.5" x14ac:dyDescent="0.35">
      <c r="A1820" s="1158" t="s">
        <v>842</v>
      </c>
      <c r="B1820" s="1159">
        <v>2030</v>
      </c>
      <c r="C1820" s="1159" t="str">
        <f t="shared" si="47"/>
        <v>San Francisco_2030</v>
      </c>
      <c r="D1820" s="1169">
        <v>410.46964601190507</v>
      </c>
    </row>
    <row r="1821" spans="1:4" s="339" customFormat="1" ht="15.5" x14ac:dyDescent="0.35">
      <c r="A1821" s="1158" t="s">
        <v>842</v>
      </c>
      <c r="B1821" s="1159">
        <v>2031</v>
      </c>
      <c r="C1821" s="1159" t="str">
        <f t="shared" si="47"/>
        <v>San Francisco_2031</v>
      </c>
      <c r="D1821" s="1169">
        <v>407.10732227334523</v>
      </c>
    </row>
    <row r="1822" spans="1:4" s="339" customFormat="1" ht="15.5" x14ac:dyDescent="0.35">
      <c r="A1822" s="1158" t="s">
        <v>842</v>
      </c>
      <c r="B1822" s="1159">
        <v>2032</v>
      </c>
      <c r="C1822" s="1159" t="str">
        <f t="shared" si="47"/>
        <v>San Francisco_2032</v>
      </c>
      <c r="D1822" s="1169">
        <v>402.26090975305692</v>
      </c>
    </row>
    <row r="1823" spans="1:4" s="339" customFormat="1" ht="15.5" x14ac:dyDescent="0.35">
      <c r="A1823" s="1158" t="s">
        <v>842</v>
      </c>
      <c r="B1823" s="1159">
        <v>2033</v>
      </c>
      <c r="C1823" s="1159" t="str">
        <f t="shared" si="47"/>
        <v>San Francisco_2033</v>
      </c>
      <c r="D1823" s="1169">
        <v>397.95708356698265</v>
      </c>
    </row>
    <row r="1824" spans="1:4" s="339" customFormat="1" ht="15.5" x14ac:dyDescent="0.35">
      <c r="A1824" s="1158" t="s">
        <v>842</v>
      </c>
      <c r="B1824" s="1159">
        <v>2034</v>
      </c>
      <c r="C1824" s="1159" t="str">
        <f t="shared" si="47"/>
        <v>San Francisco_2034</v>
      </c>
      <c r="D1824" s="1169">
        <v>394.15561621421921</v>
      </c>
    </row>
    <row r="1825" spans="1:4" s="339" customFormat="1" ht="15.5" x14ac:dyDescent="0.35">
      <c r="A1825" s="1158" t="s">
        <v>842</v>
      </c>
      <c r="B1825" s="1159">
        <v>2035</v>
      </c>
      <c r="C1825" s="1159" t="str">
        <f t="shared" si="47"/>
        <v>San Francisco_2035</v>
      </c>
      <c r="D1825" s="1169">
        <v>390.82987871593565</v>
      </c>
    </row>
    <row r="1826" spans="1:4" s="339" customFormat="1" ht="15.5" x14ac:dyDescent="0.35">
      <c r="A1826" s="1158" t="s">
        <v>842</v>
      </c>
      <c r="B1826" s="1159">
        <v>2036</v>
      </c>
      <c r="C1826" s="1159" t="str">
        <f t="shared" si="47"/>
        <v>San Francisco_2036</v>
      </c>
      <c r="D1826" s="1169">
        <v>387.94471735787596</v>
      </c>
    </row>
    <row r="1827" spans="1:4" s="339" customFormat="1" ht="15.5" x14ac:dyDescent="0.35">
      <c r="A1827" s="1158" t="s">
        <v>842</v>
      </c>
      <c r="B1827" s="1159">
        <v>2037</v>
      </c>
      <c r="C1827" s="1159" t="str">
        <f t="shared" si="47"/>
        <v>San Francisco_2037</v>
      </c>
      <c r="D1827" s="1169">
        <v>385.47173982133398</v>
      </c>
    </row>
    <row r="1828" spans="1:4" s="339" customFormat="1" ht="15.5" x14ac:dyDescent="0.35">
      <c r="A1828" s="1158" t="s">
        <v>842</v>
      </c>
      <c r="B1828" s="1159">
        <v>2038</v>
      </c>
      <c r="C1828" s="1159" t="str">
        <f t="shared" si="47"/>
        <v>San Francisco_2038</v>
      </c>
      <c r="D1828" s="1169">
        <v>383.36811040518558</v>
      </c>
    </row>
    <row r="1829" spans="1:4" s="339" customFormat="1" ht="15.5" x14ac:dyDescent="0.35">
      <c r="A1829" s="1158" t="s">
        <v>842</v>
      </c>
      <c r="B1829" s="1159">
        <v>2039</v>
      </c>
      <c r="C1829" s="1159" t="str">
        <f t="shared" si="47"/>
        <v>San Francisco_2039</v>
      </c>
      <c r="D1829" s="1169">
        <v>381.60009631018477</v>
      </c>
    </row>
    <row r="1830" spans="1:4" s="339" customFormat="1" ht="15.5" x14ac:dyDescent="0.35">
      <c r="A1830" s="1158" t="s">
        <v>842</v>
      </c>
      <c r="B1830" s="1159">
        <v>2040</v>
      </c>
      <c r="C1830" s="1159" t="str">
        <f t="shared" si="47"/>
        <v>San Francisco_2040</v>
      </c>
      <c r="D1830" s="1169">
        <v>380.12562766930444</v>
      </c>
    </row>
    <row r="1831" spans="1:4" s="339" customFormat="1" ht="15.5" x14ac:dyDescent="0.35">
      <c r="A1831" s="1158" t="s">
        <v>842</v>
      </c>
      <c r="B1831" s="1159">
        <v>2041</v>
      </c>
      <c r="C1831" s="1159" t="str">
        <f t="shared" si="47"/>
        <v>San Francisco_2041</v>
      </c>
      <c r="D1831" s="1169">
        <v>378.90890778580513</v>
      </c>
    </row>
    <row r="1832" spans="1:4" s="339" customFormat="1" ht="15.5" x14ac:dyDescent="0.35">
      <c r="A1832" s="1158" t="s">
        <v>842</v>
      </c>
      <c r="B1832" s="1159">
        <v>2042</v>
      </c>
      <c r="C1832" s="1159" t="str">
        <f t="shared" si="47"/>
        <v>San Francisco_2042</v>
      </c>
      <c r="D1832" s="1169">
        <v>377.89488971325682</v>
      </c>
    </row>
    <row r="1833" spans="1:4" s="339" customFormat="1" ht="15.5" x14ac:dyDescent="0.35">
      <c r="A1833" s="1158" t="s">
        <v>842</v>
      </c>
      <c r="B1833" s="1159">
        <v>2043</v>
      </c>
      <c r="C1833" s="1159" t="str">
        <f t="shared" si="47"/>
        <v>San Francisco_2043</v>
      </c>
      <c r="D1833" s="1169">
        <v>377.05874161744589</v>
      </c>
    </row>
    <row r="1834" spans="1:4" s="339" customFormat="1" ht="15.5" x14ac:dyDescent="0.35">
      <c r="A1834" s="1158" t="s">
        <v>842</v>
      </c>
      <c r="B1834" s="1159">
        <v>2044</v>
      </c>
      <c r="C1834" s="1159" t="str">
        <f t="shared" si="47"/>
        <v>San Francisco_2044</v>
      </c>
      <c r="D1834" s="1169">
        <v>376.36796254454919</v>
      </c>
    </row>
    <row r="1835" spans="1:4" s="339" customFormat="1" ht="15.5" x14ac:dyDescent="0.35">
      <c r="A1835" s="1158" t="s">
        <v>842</v>
      </c>
      <c r="B1835" s="1159">
        <v>2045</v>
      </c>
      <c r="C1835" s="1159" t="str">
        <f t="shared" si="47"/>
        <v>San Francisco_2045</v>
      </c>
      <c r="D1835" s="1169">
        <v>375.78432130321971</v>
      </c>
    </row>
    <row r="1836" spans="1:4" s="339" customFormat="1" ht="15.5" x14ac:dyDescent="0.35">
      <c r="A1836" s="1158" t="s">
        <v>842</v>
      </c>
      <c r="B1836" s="1159">
        <v>2046</v>
      </c>
      <c r="C1836" s="1159" t="str">
        <f t="shared" si="47"/>
        <v>San Francisco_2046</v>
      </c>
      <c r="D1836" s="1169">
        <v>375.30394434127612</v>
      </c>
    </row>
    <row r="1837" spans="1:4" s="339" customFormat="1" ht="15.5" x14ac:dyDescent="0.35">
      <c r="A1837" s="1158" t="s">
        <v>842</v>
      </c>
      <c r="B1837" s="1159">
        <v>2047</v>
      </c>
      <c r="C1837" s="1159" t="str">
        <f t="shared" si="47"/>
        <v>San Francisco_2047</v>
      </c>
      <c r="D1837" s="1169">
        <v>374.90807488326516</v>
      </c>
    </row>
    <row r="1838" spans="1:4" s="339" customFormat="1" ht="15.5" x14ac:dyDescent="0.35">
      <c r="A1838" s="1158" t="s">
        <v>842</v>
      </c>
      <c r="B1838" s="1159">
        <v>2048</v>
      </c>
      <c r="C1838" s="1159" t="str">
        <f t="shared" si="47"/>
        <v>San Francisco_2048</v>
      </c>
      <c r="D1838" s="1169">
        <v>374.58033278930765</v>
      </c>
    </row>
    <row r="1839" spans="1:4" s="339" customFormat="1" ht="15.5" x14ac:dyDescent="0.35">
      <c r="A1839" s="1158" t="s">
        <v>842</v>
      </c>
      <c r="B1839" s="1159">
        <v>2049</v>
      </c>
      <c r="C1839" s="1159" t="str">
        <f t="shared" si="47"/>
        <v>San Francisco_2049</v>
      </c>
      <c r="D1839" s="1169">
        <v>374.30410295023466</v>
      </c>
    </row>
    <row r="1840" spans="1:4" s="339" customFormat="1" ht="15.5" x14ac:dyDescent="0.35">
      <c r="A1840" s="1158" t="s">
        <v>842</v>
      </c>
      <c r="B1840" s="1159">
        <v>2050</v>
      </c>
      <c r="C1840" s="1159" t="str">
        <f t="shared" si="47"/>
        <v>San Francisco_2050</v>
      </c>
      <c r="D1840" s="1169">
        <v>374.08113199098858</v>
      </c>
    </row>
    <row r="1841" spans="1:4" s="339" customFormat="1" ht="15.5" x14ac:dyDescent="0.35">
      <c r="A1841" s="1160" t="s">
        <v>813</v>
      </c>
      <c r="B1841" s="1161">
        <v>2015</v>
      </c>
      <c r="C1841" s="1161" t="str">
        <f t="shared" si="47"/>
        <v>San Joaquin Valley_2015</v>
      </c>
      <c r="D1841" s="1168">
        <v>532.10729901876903</v>
      </c>
    </row>
    <row r="1842" spans="1:4" s="339" customFormat="1" ht="15.5" x14ac:dyDescent="0.35">
      <c r="A1842" s="1160" t="s">
        <v>813</v>
      </c>
      <c r="B1842" s="1161">
        <v>2016</v>
      </c>
      <c r="C1842" s="1161" t="str">
        <f t="shared" si="47"/>
        <v>San Joaquin Valley_2016</v>
      </c>
      <c r="D1842" s="1168">
        <v>519.05724579456626</v>
      </c>
    </row>
    <row r="1843" spans="1:4" s="339" customFormat="1" ht="15.5" x14ac:dyDescent="0.35">
      <c r="A1843" s="1162" t="s">
        <v>813</v>
      </c>
      <c r="B1843" s="1163">
        <v>2017</v>
      </c>
      <c r="C1843" s="1163" t="str">
        <f t="shared" si="47"/>
        <v>San Joaquin Valley_2017</v>
      </c>
      <c r="D1843" s="1169">
        <v>514.75559423816776</v>
      </c>
    </row>
    <row r="1844" spans="1:4" s="339" customFormat="1" ht="15.5" x14ac:dyDescent="0.35">
      <c r="A1844" s="1162" t="s">
        <v>813</v>
      </c>
      <c r="B1844" s="1163">
        <v>2018</v>
      </c>
      <c r="C1844" s="1163" t="str">
        <f t="shared" si="47"/>
        <v>San Joaquin Valley_2018</v>
      </c>
      <c r="D1844" s="1169">
        <v>507.65566291505928</v>
      </c>
    </row>
    <row r="1845" spans="1:4" s="339" customFormat="1" ht="15.5" x14ac:dyDescent="0.35">
      <c r="A1845" s="1162" t="s">
        <v>813</v>
      </c>
      <c r="B1845" s="1163">
        <v>2019</v>
      </c>
      <c r="C1845" s="1163" t="str">
        <f t="shared" si="47"/>
        <v>San Joaquin Valley_2019</v>
      </c>
      <c r="D1845" s="1169">
        <v>499.94302660931993</v>
      </c>
    </row>
    <row r="1846" spans="1:4" s="339" customFormat="1" ht="15.5" x14ac:dyDescent="0.35">
      <c r="A1846" s="1162" t="s">
        <v>813</v>
      </c>
      <c r="B1846" s="1163">
        <v>2020</v>
      </c>
      <c r="C1846" s="1163" t="str">
        <f t="shared" si="47"/>
        <v>San Joaquin Valley_2020</v>
      </c>
      <c r="D1846" s="1169">
        <v>495.58136236610136</v>
      </c>
    </row>
    <row r="1847" spans="1:4" s="339" customFormat="1" ht="15.5" x14ac:dyDescent="0.35">
      <c r="A1847" s="1162" t="s">
        <v>813</v>
      </c>
      <c r="B1847" s="1163">
        <v>2021</v>
      </c>
      <c r="C1847" s="1163" t="str">
        <f t="shared" si="47"/>
        <v>San Joaquin Valley_2021</v>
      </c>
      <c r="D1847" s="1169">
        <v>485.52649220317301</v>
      </c>
    </row>
    <row r="1848" spans="1:4" s="339" customFormat="1" ht="15.5" x14ac:dyDescent="0.35">
      <c r="A1848" s="1162" t="s">
        <v>813</v>
      </c>
      <c r="B1848" s="1163">
        <v>2022</v>
      </c>
      <c r="C1848" s="1163" t="str">
        <f t="shared" si="47"/>
        <v>San Joaquin Valley_2022</v>
      </c>
      <c r="D1848" s="1169">
        <v>476.36334818776317</v>
      </c>
    </row>
    <row r="1849" spans="1:4" s="339" customFormat="1" ht="15.5" x14ac:dyDescent="0.35">
      <c r="A1849" s="1162" t="s">
        <v>813</v>
      </c>
      <c r="B1849" s="1163">
        <v>2023</v>
      </c>
      <c r="C1849" s="1163" t="str">
        <f t="shared" si="47"/>
        <v>San Joaquin Valley_2023</v>
      </c>
      <c r="D1849" s="1169">
        <v>466.69164872509361</v>
      </c>
    </row>
    <row r="1850" spans="1:4" s="339" customFormat="1" ht="15.5" x14ac:dyDescent="0.35">
      <c r="A1850" s="1162" t="s">
        <v>813</v>
      </c>
      <c r="B1850" s="1163">
        <v>2024</v>
      </c>
      <c r="C1850" s="1163" t="str">
        <f t="shared" si="47"/>
        <v>San Joaquin Valley_2024</v>
      </c>
      <c r="D1850" s="1169">
        <v>456.24360319795488</v>
      </c>
    </row>
    <row r="1851" spans="1:4" s="339" customFormat="1" ht="15.5" x14ac:dyDescent="0.35">
      <c r="A1851" s="1162" t="s">
        <v>813</v>
      </c>
      <c r="B1851" s="1163">
        <v>2025</v>
      </c>
      <c r="C1851" s="1163" t="str">
        <f t="shared" si="47"/>
        <v>San Joaquin Valley_2025</v>
      </c>
      <c r="D1851" s="1169">
        <v>445.91666323294822</v>
      </c>
    </row>
    <row r="1852" spans="1:4" s="339" customFormat="1" ht="15.5" x14ac:dyDescent="0.35">
      <c r="A1852" s="1162" t="s">
        <v>813</v>
      </c>
      <c r="B1852" s="1163">
        <v>2026</v>
      </c>
      <c r="C1852" s="1163" t="str">
        <f t="shared" si="47"/>
        <v>San Joaquin Valley_2026</v>
      </c>
      <c r="D1852" s="1169">
        <v>435.8396680760236</v>
      </c>
    </row>
    <row r="1853" spans="1:4" s="339" customFormat="1" ht="15.5" x14ac:dyDescent="0.35">
      <c r="A1853" s="1162" t="s">
        <v>813</v>
      </c>
      <c r="B1853" s="1163">
        <v>2027</v>
      </c>
      <c r="C1853" s="1163" t="str">
        <f t="shared" si="47"/>
        <v>San Joaquin Valley_2027</v>
      </c>
      <c r="D1853" s="1169">
        <v>426.44425019331368</v>
      </c>
    </row>
    <row r="1854" spans="1:4" s="339" customFormat="1" ht="15.5" x14ac:dyDescent="0.35">
      <c r="A1854" s="1162" t="s">
        <v>813</v>
      </c>
      <c r="B1854" s="1163">
        <v>2028</v>
      </c>
      <c r="C1854" s="1163" t="str">
        <f t="shared" si="47"/>
        <v>San Joaquin Valley_2028</v>
      </c>
      <c r="D1854" s="1169">
        <v>417.61074747190617</v>
      </c>
    </row>
    <row r="1855" spans="1:4" s="339" customFormat="1" ht="15.5" x14ac:dyDescent="0.35">
      <c r="A1855" s="1162" t="s">
        <v>813</v>
      </c>
      <c r="B1855" s="1163">
        <v>2029</v>
      </c>
      <c r="C1855" s="1163" t="str">
        <f t="shared" si="47"/>
        <v>San Joaquin Valley_2029</v>
      </c>
      <c r="D1855" s="1169">
        <v>409.48533096924348</v>
      </c>
    </row>
    <row r="1856" spans="1:4" s="339" customFormat="1" ht="15.5" x14ac:dyDescent="0.35">
      <c r="A1856" s="1162" t="s">
        <v>813</v>
      </c>
      <c r="B1856" s="1163">
        <v>2030</v>
      </c>
      <c r="C1856" s="1163" t="str">
        <f t="shared" si="47"/>
        <v>San Joaquin Valley_2030</v>
      </c>
      <c r="D1856" s="1169">
        <v>401.95463023343444</v>
      </c>
    </row>
    <row r="1857" spans="1:4" s="339" customFormat="1" ht="15.5" x14ac:dyDescent="0.35">
      <c r="A1857" s="1162" t="s">
        <v>813</v>
      </c>
      <c r="B1857" s="1163">
        <v>2031</v>
      </c>
      <c r="C1857" s="1163" t="str">
        <f t="shared" si="47"/>
        <v>San Joaquin Valley_2031</v>
      </c>
      <c r="D1857" s="1169">
        <v>395.15289235855147</v>
      </c>
    </row>
    <row r="1858" spans="1:4" s="339" customFormat="1" ht="15.5" x14ac:dyDescent="0.35">
      <c r="A1858" s="1162" t="s">
        <v>813</v>
      </c>
      <c r="B1858" s="1163">
        <v>2032</v>
      </c>
      <c r="C1858" s="1163" t="str">
        <f t="shared" si="47"/>
        <v>San Joaquin Valley_2032</v>
      </c>
      <c r="D1858" s="1169">
        <v>388.9976500060842</v>
      </c>
    </row>
    <row r="1859" spans="1:4" s="339" customFormat="1" ht="15.5" x14ac:dyDescent="0.35">
      <c r="A1859" s="1162" t="s">
        <v>813</v>
      </c>
      <c r="B1859" s="1163">
        <v>2033</v>
      </c>
      <c r="C1859" s="1163" t="str">
        <f t="shared" si="47"/>
        <v>San Joaquin Valley_2033</v>
      </c>
      <c r="D1859" s="1169">
        <v>383.50450786522504</v>
      </c>
    </row>
    <row r="1860" spans="1:4" s="339" customFormat="1" ht="15.5" x14ac:dyDescent="0.35">
      <c r="A1860" s="1162" t="s">
        <v>813</v>
      </c>
      <c r="B1860" s="1163">
        <v>2034</v>
      </c>
      <c r="C1860" s="1163" t="str">
        <f t="shared" si="47"/>
        <v>San Joaquin Valley_2034</v>
      </c>
      <c r="D1860" s="1169">
        <v>378.5860831564479</v>
      </c>
    </row>
    <row r="1861" spans="1:4" s="339" customFormat="1" ht="15.5" x14ac:dyDescent="0.35">
      <c r="A1861" s="1162" t="s">
        <v>813</v>
      </c>
      <c r="B1861" s="1163">
        <v>2035</v>
      </c>
      <c r="C1861" s="1163" t="str">
        <f t="shared" si="47"/>
        <v>San Joaquin Valley_2035</v>
      </c>
      <c r="D1861" s="1169">
        <v>374.21429340023792</v>
      </c>
    </row>
    <row r="1862" spans="1:4" s="339" customFormat="1" ht="15.5" x14ac:dyDescent="0.35">
      <c r="A1862" s="1162" t="s">
        <v>813</v>
      </c>
      <c r="B1862" s="1163">
        <v>2036</v>
      </c>
      <c r="C1862" s="1163" t="str">
        <f t="shared" si="47"/>
        <v>San Joaquin Valley_2036</v>
      </c>
      <c r="D1862" s="1169">
        <v>370.35941757498523</v>
      </c>
    </row>
    <row r="1863" spans="1:4" s="339" customFormat="1" ht="15.5" x14ac:dyDescent="0.35">
      <c r="A1863" s="1162" t="s">
        <v>813</v>
      </c>
      <c r="B1863" s="1163">
        <v>2037</v>
      </c>
      <c r="C1863" s="1163" t="str">
        <f t="shared" si="47"/>
        <v>San Joaquin Valley_2037</v>
      </c>
      <c r="D1863" s="1169">
        <v>366.99485514676712</v>
      </c>
    </row>
    <row r="1864" spans="1:4" s="339" customFormat="1" ht="15.5" x14ac:dyDescent="0.35">
      <c r="A1864" s="1162" t="s">
        <v>813</v>
      </c>
      <c r="B1864" s="1163">
        <v>2038</v>
      </c>
      <c r="C1864" s="1163" t="str">
        <f t="shared" si="47"/>
        <v>San Joaquin Valley_2038</v>
      </c>
      <c r="D1864" s="1169">
        <v>363.84272732828879</v>
      </c>
    </row>
    <row r="1865" spans="1:4" s="339" customFormat="1" ht="15.5" x14ac:dyDescent="0.35">
      <c r="A1865" s="1162" t="s">
        <v>813</v>
      </c>
      <c r="B1865" s="1163">
        <v>2039</v>
      </c>
      <c r="C1865" s="1163" t="str">
        <f t="shared" si="47"/>
        <v>San Joaquin Valley_2039</v>
      </c>
      <c r="D1865" s="1169">
        <v>361.35322408890102</v>
      </c>
    </row>
    <row r="1866" spans="1:4" s="339" customFormat="1" ht="15.5" x14ac:dyDescent="0.35">
      <c r="A1866" s="1162" t="s">
        <v>813</v>
      </c>
      <c r="B1866" s="1163">
        <v>2040</v>
      </c>
      <c r="C1866" s="1163" t="str">
        <f t="shared" si="47"/>
        <v>San Joaquin Valley_2040</v>
      </c>
      <c r="D1866" s="1169">
        <v>359.23967210150875</v>
      </c>
    </row>
    <row r="1867" spans="1:4" s="339" customFormat="1" ht="15.5" x14ac:dyDescent="0.35">
      <c r="A1867" s="1162" t="s">
        <v>813</v>
      </c>
      <c r="B1867" s="1163">
        <v>2041</v>
      </c>
      <c r="C1867" s="1163" t="str">
        <f t="shared" si="47"/>
        <v>San Joaquin Valley_2041</v>
      </c>
      <c r="D1867" s="1169">
        <v>357.47256468204927</v>
      </c>
    </row>
    <row r="1868" spans="1:4" s="339" customFormat="1" ht="15.5" x14ac:dyDescent="0.35">
      <c r="A1868" s="1162" t="s">
        <v>813</v>
      </c>
      <c r="B1868" s="1163">
        <v>2042</v>
      </c>
      <c r="C1868" s="1163" t="str">
        <f t="shared" si="47"/>
        <v>San Joaquin Valley_2042</v>
      </c>
      <c r="D1868" s="1169">
        <v>355.98435584104482</v>
      </c>
    </row>
    <row r="1869" spans="1:4" s="339" customFormat="1" ht="15.5" x14ac:dyDescent="0.35">
      <c r="A1869" s="1162" t="s">
        <v>813</v>
      </c>
      <c r="B1869" s="1163">
        <v>2043</v>
      </c>
      <c r="C1869" s="1163" t="str">
        <f t="shared" si="47"/>
        <v>San Joaquin Valley_2043</v>
      </c>
      <c r="D1869" s="1169">
        <v>354.75312177752033</v>
      </c>
    </row>
    <row r="1870" spans="1:4" s="339" customFormat="1" ht="15.5" x14ac:dyDescent="0.35">
      <c r="A1870" s="1162" t="s">
        <v>813</v>
      </c>
      <c r="B1870" s="1163">
        <v>2044</v>
      </c>
      <c r="C1870" s="1163" t="str">
        <f t="shared" si="47"/>
        <v>San Joaquin Valley_2044</v>
      </c>
      <c r="D1870" s="1169">
        <v>353.72539252922286</v>
      </c>
    </row>
    <row r="1871" spans="1:4" s="339" customFormat="1" ht="15.5" x14ac:dyDescent="0.35">
      <c r="A1871" s="1162" t="s">
        <v>813</v>
      </c>
      <c r="B1871" s="1163">
        <v>2045</v>
      </c>
      <c r="C1871" s="1163" t="str">
        <f t="shared" ref="C1871:C1876" si="48">CONCATENATE(A1871,"_",B1871)</f>
        <v>San Joaquin Valley_2045</v>
      </c>
      <c r="D1871" s="1169">
        <v>352.85389362084919</v>
      </c>
    </row>
    <row r="1872" spans="1:4" s="339" customFormat="1" ht="15.5" x14ac:dyDescent="0.35">
      <c r="A1872" s="1162" t="s">
        <v>813</v>
      </c>
      <c r="B1872" s="1163">
        <v>2046</v>
      </c>
      <c r="C1872" s="1163" t="str">
        <f t="shared" si="48"/>
        <v>San Joaquin Valley_2046</v>
      </c>
      <c r="D1872" s="1169">
        <v>352.11591899798162</v>
      </c>
    </row>
    <row r="1873" spans="1:4" s="339" customFormat="1" ht="15.5" x14ac:dyDescent="0.35">
      <c r="A1873" s="1162" t="s">
        <v>813</v>
      </c>
      <c r="B1873" s="1163">
        <v>2047</v>
      </c>
      <c r="C1873" s="1163" t="str">
        <f t="shared" si="48"/>
        <v>San Joaquin Valley_2047</v>
      </c>
      <c r="D1873" s="1169">
        <v>351.50332362877776</v>
      </c>
    </row>
    <row r="1874" spans="1:4" s="339" customFormat="1" ht="15.5" x14ac:dyDescent="0.35">
      <c r="A1874" s="1162" t="s">
        <v>813</v>
      </c>
      <c r="B1874" s="1163">
        <v>2048</v>
      </c>
      <c r="C1874" s="1163" t="str">
        <f t="shared" si="48"/>
        <v>San Joaquin Valley_2048</v>
      </c>
      <c r="D1874" s="1169">
        <v>350.98925098371683</v>
      </c>
    </row>
    <row r="1875" spans="1:4" s="339" customFormat="1" ht="15.5" x14ac:dyDescent="0.35">
      <c r="A1875" s="1162" t="s">
        <v>813</v>
      </c>
      <c r="B1875" s="1163">
        <v>2049</v>
      </c>
      <c r="C1875" s="1163" t="str">
        <f t="shared" si="48"/>
        <v>San Joaquin Valley_2049</v>
      </c>
      <c r="D1875" s="1169">
        <v>350.56040119917895</v>
      </c>
    </row>
    <row r="1876" spans="1:4" s="339" customFormat="1" ht="15.5" x14ac:dyDescent="0.35">
      <c r="A1876" s="1162" t="s">
        <v>813</v>
      </c>
      <c r="B1876" s="1163">
        <v>2050</v>
      </c>
      <c r="C1876" s="1163" t="str">
        <f t="shared" si="48"/>
        <v>San Joaquin Valley_2050</v>
      </c>
      <c r="D1876" s="1169">
        <v>350.20882665756409</v>
      </c>
    </row>
    <row r="1877" spans="1:4" s="339" customFormat="1" ht="15.5" x14ac:dyDescent="0.35">
      <c r="A1877" s="1164" t="s">
        <v>843</v>
      </c>
      <c r="B1877" s="1157">
        <v>2015</v>
      </c>
      <c r="C1877" s="1157" t="s">
        <v>935</v>
      </c>
      <c r="D1877" s="1168">
        <v>530.05078447786889</v>
      </c>
    </row>
    <row r="1878" spans="1:4" s="339" customFormat="1" ht="15.5" x14ac:dyDescent="0.35">
      <c r="A1878" s="1164" t="s">
        <v>843</v>
      </c>
      <c r="B1878" s="1157">
        <v>2016</v>
      </c>
      <c r="C1878" s="1157" t="s">
        <v>936</v>
      </c>
      <c r="D1878" s="1168">
        <v>516.99004591480229</v>
      </c>
    </row>
    <row r="1879" spans="1:4" s="339" customFormat="1" ht="15.5" x14ac:dyDescent="0.35">
      <c r="A1879" s="1158" t="s">
        <v>843</v>
      </c>
      <c r="B1879" s="1159">
        <v>2017</v>
      </c>
      <c r="C1879" s="1159" t="str">
        <f t="shared" ref="C1879:C1912" si="49">CONCATENATE(A1879,"_",B1879)</f>
        <v>San Joaquin_2017</v>
      </c>
      <c r="D1879" s="1169">
        <v>511.84280281196561</v>
      </c>
    </row>
    <row r="1880" spans="1:4" s="339" customFormat="1" ht="15.5" x14ac:dyDescent="0.35">
      <c r="A1880" s="1158" t="s">
        <v>843</v>
      </c>
      <c r="B1880" s="1159">
        <v>2018</v>
      </c>
      <c r="C1880" s="1159" t="str">
        <f t="shared" si="49"/>
        <v>San Joaquin_2018</v>
      </c>
      <c r="D1880" s="1169">
        <v>504.5359714303961</v>
      </c>
    </row>
    <row r="1881" spans="1:4" s="339" customFormat="1" ht="15.5" x14ac:dyDescent="0.35">
      <c r="A1881" s="1158" t="s">
        <v>843</v>
      </c>
      <c r="B1881" s="1159">
        <v>2019</v>
      </c>
      <c r="C1881" s="1159" t="str">
        <f t="shared" si="49"/>
        <v>San Joaquin_2019</v>
      </c>
      <c r="D1881" s="1169">
        <v>497.07407319973908</v>
      </c>
    </row>
    <row r="1882" spans="1:4" s="339" customFormat="1" ht="15.5" x14ac:dyDescent="0.35">
      <c r="A1882" s="1158" t="s">
        <v>843</v>
      </c>
      <c r="B1882" s="1159">
        <v>2020</v>
      </c>
      <c r="C1882" s="1159" t="str">
        <f t="shared" si="49"/>
        <v>San Joaquin_2020</v>
      </c>
      <c r="D1882" s="1169">
        <v>493.47404778252297</v>
      </c>
    </row>
    <row r="1883" spans="1:4" s="339" customFormat="1" ht="15.5" x14ac:dyDescent="0.35">
      <c r="A1883" s="1158" t="s">
        <v>843</v>
      </c>
      <c r="B1883" s="1159">
        <v>2021</v>
      </c>
      <c r="C1883" s="1159" t="str">
        <f t="shared" si="49"/>
        <v>San Joaquin_2021</v>
      </c>
      <c r="D1883" s="1169">
        <v>484.60158452555868</v>
      </c>
    </row>
    <row r="1884" spans="1:4" s="339" customFormat="1" ht="15.5" x14ac:dyDescent="0.35">
      <c r="A1884" s="1158" t="s">
        <v>843</v>
      </c>
      <c r="B1884" s="1159">
        <v>2022</v>
      </c>
      <c r="C1884" s="1159" t="str">
        <f t="shared" si="49"/>
        <v>San Joaquin_2022</v>
      </c>
      <c r="D1884" s="1169">
        <v>475.73660233799092</v>
      </c>
    </row>
    <row r="1885" spans="1:4" s="339" customFormat="1" ht="15.5" x14ac:dyDescent="0.35">
      <c r="A1885" s="1158" t="s">
        <v>843</v>
      </c>
      <c r="B1885" s="1159">
        <v>2023</v>
      </c>
      <c r="C1885" s="1159" t="str">
        <f t="shared" si="49"/>
        <v>San Joaquin_2023</v>
      </c>
      <c r="D1885" s="1169">
        <v>466.20804262073398</v>
      </c>
    </row>
    <row r="1886" spans="1:4" s="339" customFormat="1" ht="15.5" x14ac:dyDescent="0.35">
      <c r="A1886" s="1158" t="s">
        <v>843</v>
      </c>
      <c r="B1886" s="1159">
        <v>2024</v>
      </c>
      <c r="C1886" s="1159" t="str">
        <f t="shared" si="49"/>
        <v>San Joaquin_2024</v>
      </c>
      <c r="D1886" s="1169">
        <v>455.56190445634439</v>
      </c>
    </row>
    <row r="1887" spans="1:4" s="339" customFormat="1" ht="15.5" x14ac:dyDescent="0.35">
      <c r="A1887" s="1158" t="s">
        <v>843</v>
      </c>
      <c r="B1887" s="1159">
        <v>2025</v>
      </c>
      <c r="C1887" s="1159" t="str">
        <f t="shared" si="49"/>
        <v>San Joaquin_2025</v>
      </c>
      <c r="D1887" s="1169">
        <v>445.38745384147506</v>
      </c>
    </row>
    <row r="1888" spans="1:4" s="339" customFormat="1" ht="15.5" x14ac:dyDescent="0.35">
      <c r="A1888" s="1158" t="s">
        <v>843</v>
      </c>
      <c r="B1888" s="1159">
        <v>2026</v>
      </c>
      <c r="C1888" s="1159" t="str">
        <f t="shared" si="49"/>
        <v>San Joaquin_2026</v>
      </c>
      <c r="D1888" s="1169">
        <v>435.46068585735981</v>
      </c>
    </row>
    <row r="1889" spans="1:4" s="339" customFormat="1" ht="15.5" x14ac:dyDescent="0.35">
      <c r="A1889" s="1158" t="s">
        <v>843</v>
      </c>
      <c r="B1889" s="1159">
        <v>2027</v>
      </c>
      <c r="C1889" s="1159" t="str">
        <f t="shared" si="49"/>
        <v>San Joaquin_2027</v>
      </c>
      <c r="D1889" s="1169">
        <v>428.07110269748176</v>
      </c>
    </row>
    <row r="1890" spans="1:4" s="339" customFormat="1" ht="15.5" x14ac:dyDescent="0.35">
      <c r="A1890" s="1158" t="s">
        <v>843</v>
      </c>
      <c r="B1890" s="1159">
        <v>2028</v>
      </c>
      <c r="C1890" s="1159" t="str">
        <f t="shared" si="49"/>
        <v>San Joaquin_2028</v>
      </c>
      <c r="D1890" s="1169">
        <v>419.39716130187384</v>
      </c>
    </row>
    <row r="1891" spans="1:4" s="339" customFormat="1" ht="15.5" x14ac:dyDescent="0.35">
      <c r="A1891" s="1158" t="s">
        <v>843</v>
      </c>
      <c r="B1891" s="1159">
        <v>2029</v>
      </c>
      <c r="C1891" s="1159" t="str">
        <f t="shared" si="49"/>
        <v>San Joaquin_2029</v>
      </c>
      <c r="D1891" s="1169">
        <v>411.46162237269067</v>
      </c>
    </row>
    <row r="1892" spans="1:4" s="339" customFormat="1" ht="15.5" x14ac:dyDescent="0.35">
      <c r="A1892" s="1158" t="s">
        <v>843</v>
      </c>
      <c r="B1892" s="1159">
        <v>2030</v>
      </c>
      <c r="C1892" s="1159" t="str">
        <f t="shared" si="49"/>
        <v>San Joaquin_2030</v>
      </c>
      <c r="D1892" s="1169">
        <v>404.62213861015596</v>
      </c>
    </row>
    <row r="1893" spans="1:4" s="339" customFormat="1" ht="15.5" x14ac:dyDescent="0.35">
      <c r="A1893" s="1158" t="s">
        <v>843</v>
      </c>
      <c r="B1893" s="1159">
        <v>2031</v>
      </c>
      <c r="C1893" s="1159" t="str">
        <f t="shared" si="49"/>
        <v>San Joaquin_2031</v>
      </c>
      <c r="D1893" s="1169">
        <v>397.49893356056702</v>
      </c>
    </row>
    <row r="1894" spans="1:4" s="339" customFormat="1" ht="15.5" x14ac:dyDescent="0.35">
      <c r="A1894" s="1158" t="s">
        <v>843</v>
      </c>
      <c r="B1894" s="1159">
        <v>2032</v>
      </c>
      <c r="C1894" s="1159" t="str">
        <f t="shared" si="49"/>
        <v>San Joaquin_2032</v>
      </c>
      <c r="D1894" s="1169">
        <v>392.536556250204</v>
      </c>
    </row>
    <row r="1895" spans="1:4" s="339" customFormat="1" ht="15.5" x14ac:dyDescent="0.35">
      <c r="A1895" s="1158" t="s">
        <v>843</v>
      </c>
      <c r="B1895" s="1159">
        <v>2033</v>
      </c>
      <c r="C1895" s="1159" t="str">
        <f t="shared" si="49"/>
        <v>San Joaquin_2033</v>
      </c>
      <c r="D1895" s="1169">
        <v>387.2455953200116</v>
      </c>
    </row>
    <row r="1896" spans="1:4" s="339" customFormat="1" ht="15.5" x14ac:dyDescent="0.35">
      <c r="A1896" s="1158" t="s">
        <v>843</v>
      </c>
      <c r="B1896" s="1159">
        <v>2034</v>
      </c>
      <c r="C1896" s="1159" t="str">
        <f t="shared" si="49"/>
        <v>San Joaquin_2034</v>
      </c>
      <c r="D1896" s="1169">
        <v>382.52644538520366</v>
      </c>
    </row>
    <row r="1897" spans="1:4" s="339" customFormat="1" ht="15.5" x14ac:dyDescent="0.35">
      <c r="A1897" s="1158" t="s">
        <v>843</v>
      </c>
      <c r="B1897" s="1159">
        <v>2035</v>
      </c>
      <c r="C1897" s="1159" t="str">
        <f t="shared" si="49"/>
        <v>San Joaquin_2035</v>
      </c>
      <c r="D1897" s="1169">
        <v>378.35105741572926</v>
      </c>
    </row>
    <row r="1898" spans="1:4" s="339" customFormat="1" ht="15.5" x14ac:dyDescent="0.35">
      <c r="A1898" s="1158" t="s">
        <v>843</v>
      </c>
      <c r="B1898" s="1159">
        <v>2036</v>
      </c>
      <c r="C1898" s="1159" t="str">
        <f t="shared" si="49"/>
        <v>San Joaquin_2036</v>
      </c>
      <c r="D1898" s="1169">
        <v>374.67920215086639</v>
      </c>
    </row>
    <row r="1899" spans="1:4" s="339" customFormat="1" ht="15.5" x14ac:dyDescent="0.35">
      <c r="A1899" s="1158" t="s">
        <v>843</v>
      </c>
      <c r="B1899" s="1159">
        <v>2037</v>
      </c>
      <c r="C1899" s="1159" t="str">
        <f t="shared" si="49"/>
        <v>San Joaquin_2037</v>
      </c>
      <c r="D1899" s="1169">
        <v>371.48596895678901</v>
      </c>
    </row>
    <row r="1900" spans="1:4" s="339" customFormat="1" ht="15.5" x14ac:dyDescent="0.35">
      <c r="A1900" s="1158" t="s">
        <v>843</v>
      </c>
      <c r="B1900" s="1159">
        <v>2038</v>
      </c>
      <c r="C1900" s="1159" t="str">
        <f t="shared" si="49"/>
        <v>San Joaquin_2038</v>
      </c>
      <c r="D1900" s="1169">
        <v>367.2727289473612</v>
      </c>
    </row>
    <row r="1901" spans="1:4" s="339" customFormat="1" ht="15.5" x14ac:dyDescent="0.35">
      <c r="A1901" s="1158" t="s">
        <v>843</v>
      </c>
      <c r="B1901" s="1159">
        <v>2039</v>
      </c>
      <c r="C1901" s="1159" t="str">
        <f t="shared" si="49"/>
        <v>San Joaquin_2039</v>
      </c>
      <c r="D1901" s="1169">
        <v>364.9379082977336</v>
      </c>
    </row>
    <row r="1902" spans="1:4" s="339" customFormat="1" ht="15.5" x14ac:dyDescent="0.35">
      <c r="A1902" s="1158" t="s">
        <v>843</v>
      </c>
      <c r="B1902" s="1159">
        <v>2040</v>
      </c>
      <c r="C1902" s="1159" t="str">
        <f t="shared" si="49"/>
        <v>San Joaquin_2040</v>
      </c>
      <c r="D1902" s="1169">
        <v>362.96130394615892</v>
      </c>
    </row>
    <row r="1903" spans="1:4" s="339" customFormat="1" ht="15.5" x14ac:dyDescent="0.35">
      <c r="A1903" s="1158" t="s">
        <v>843</v>
      </c>
      <c r="B1903" s="1159">
        <v>2041</v>
      </c>
      <c r="C1903" s="1159" t="str">
        <f t="shared" si="49"/>
        <v>San Joaquin_2041</v>
      </c>
      <c r="D1903" s="1169">
        <v>361.31540310980103</v>
      </c>
    </row>
    <row r="1904" spans="1:4" s="339" customFormat="1" ht="15.5" x14ac:dyDescent="0.35">
      <c r="A1904" s="1158" t="s">
        <v>843</v>
      </c>
      <c r="B1904" s="1159">
        <v>2042</v>
      </c>
      <c r="C1904" s="1159" t="str">
        <f t="shared" si="49"/>
        <v>San Joaquin_2042</v>
      </c>
      <c r="D1904" s="1169">
        <v>359.93733614310463</v>
      </c>
    </row>
    <row r="1905" spans="1:4" s="339" customFormat="1" ht="15.5" x14ac:dyDescent="0.35">
      <c r="A1905" s="1158" t="s">
        <v>843</v>
      </c>
      <c r="B1905" s="1159">
        <v>2043</v>
      </c>
      <c r="C1905" s="1159" t="str">
        <f t="shared" si="49"/>
        <v>San Joaquin_2043</v>
      </c>
      <c r="D1905" s="1169">
        <v>358.80653289031017</v>
      </c>
    </row>
    <row r="1906" spans="1:4" s="339" customFormat="1" ht="15.5" x14ac:dyDescent="0.35">
      <c r="A1906" s="1158" t="s">
        <v>843</v>
      </c>
      <c r="B1906" s="1159">
        <v>2044</v>
      </c>
      <c r="C1906" s="1159" t="str">
        <f t="shared" si="49"/>
        <v>San Joaquin_2044</v>
      </c>
      <c r="D1906" s="1169">
        <v>357.87205753564172</v>
      </c>
    </row>
    <row r="1907" spans="1:4" s="339" customFormat="1" ht="15.5" x14ac:dyDescent="0.35">
      <c r="A1907" s="1158" t="s">
        <v>843</v>
      </c>
      <c r="B1907" s="1159">
        <v>2045</v>
      </c>
      <c r="C1907" s="1159" t="str">
        <f t="shared" si="49"/>
        <v>San Joaquin_2045</v>
      </c>
      <c r="D1907" s="1169">
        <v>357.09087845037976</v>
      </c>
    </row>
    <row r="1908" spans="1:4" s="339" customFormat="1" ht="15.5" x14ac:dyDescent="0.35">
      <c r="A1908" s="1158" t="s">
        <v>843</v>
      </c>
      <c r="B1908" s="1159">
        <v>2046</v>
      </c>
      <c r="C1908" s="1159" t="str">
        <f t="shared" si="49"/>
        <v>San Joaquin_2046</v>
      </c>
      <c r="D1908" s="1169">
        <v>356.43913233286457</v>
      </c>
    </row>
    <row r="1909" spans="1:4" s="339" customFormat="1" ht="15.5" x14ac:dyDescent="0.35">
      <c r="A1909" s="1158" t="s">
        <v>843</v>
      </c>
      <c r="B1909" s="1159">
        <v>2047</v>
      </c>
      <c r="C1909" s="1159" t="str">
        <f t="shared" si="49"/>
        <v>San Joaquin_2047</v>
      </c>
      <c r="D1909" s="1169">
        <v>355.90285392722353</v>
      </c>
    </row>
    <row r="1910" spans="1:4" s="339" customFormat="1" ht="15.5" x14ac:dyDescent="0.35">
      <c r="A1910" s="1158" t="s">
        <v>843</v>
      </c>
      <c r="B1910" s="1159">
        <v>2048</v>
      </c>
      <c r="C1910" s="1159" t="str">
        <f t="shared" si="49"/>
        <v>San Joaquin_2048</v>
      </c>
      <c r="D1910" s="1169">
        <v>355.463166800941</v>
      </c>
    </row>
    <row r="1911" spans="1:4" s="339" customFormat="1" ht="15.5" x14ac:dyDescent="0.35">
      <c r="A1911" s="1158" t="s">
        <v>843</v>
      </c>
      <c r="B1911" s="1159">
        <v>2049</v>
      </c>
      <c r="C1911" s="1159" t="str">
        <f t="shared" si="49"/>
        <v>San Joaquin_2049</v>
      </c>
      <c r="D1911" s="1169">
        <v>355.10836060697778</v>
      </c>
    </row>
    <row r="1912" spans="1:4" s="339" customFormat="1" ht="15.5" x14ac:dyDescent="0.35">
      <c r="A1912" s="1158" t="s">
        <v>843</v>
      </c>
      <c r="B1912" s="1159">
        <v>2050</v>
      </c>
      <c r="C1912" s="1159" t="str">
        <f t="shared" si="49"/>
        <v>San Joaquin_2050</v>
      </c>
      <c r="D1912" s="1169">
        <v>354.82567373658935</v>
      </c>
    </row>
    <row r="1913" spans="1:4" s="339" customFormat="1" ht="15.5" x14ac:dyDescent="0.35">
      <c r="A1913" s="1164" t="s">
        <v>844</v>
      </c>
      <c r="B1913" s="1157">
        <v>2015</v>
      </c>
      <c r="C1913" s="1157" t="s">
        <v>937</v>
      </c>
      <c r="D1913" s="1168">
        <v>528.89266179536889</v>
      </c>
    </row>
    <row r="1914" spans="1:4" s="339" customFormat="1" ht="15.5" x14ac:dyDescent="0.35">
      <c r="A1914" s="1164" t="s">
        <v>844</v>
      </c>
      <c r="B1914" s="1157">
        <v>2016</v>
      </c>
      <c r="C1914" s="1157" t="s">
        <v>938</v>
      </c>
      <c r="D1914" s="1168">
        <v>516.74013510279576</v>
      </c>
    </row>
    <row r="1915" spans="1:4" s="339" customFormat="1" ht="15.5" x14ac:dyDescent="0.35">
      <c r="A1915" s="1158" t="s">
        <v>844</v>
      </c>
      <c r="B1915" s="1159">
        <v>2017</v>
      </c>
      <c r="C1915" s="1159" t="str">
        <f t="shared" ref="C1915:C1948" si="50">CONCATENATE(A1915,"_",B1915)</f>
        <v>San Luis Obispo_2017</v>
      </c>
      <c r="D1915" s="1169">
        <v>513.82835994607115</v>
      </c>
    </row>
    <row r="1916" spans="1:4" s="339" customFormat="1" ht="15.5" x14ac:dyDescent="0.35">
      <c r="A1916" s="1158" t="s">
        <v>844</v>
      </c>
      <c r="B1916" s="1159">
        <v>2018</v>
      </c>
      <c r="C1916" s="1159" t="str">
        <f t="shared" si="50"/>
        <v>San Luis Obispo_2018</v>
      </c>
      <c r="D1916" s="1169">
        <v>507.98898748524488</v>
      </c>
    </row>
    <row r="1917" spans="1:4" s="339" customFormat="1" ht="15.5" x14ac:dyDescent="0.35">
      <c r="A1917" s="1158" t="s">
        <v>844</v>
      </c>
      <c r="B1917" s="1159">
        <v>2019</v>
      </c>
      <c r="C1917" s="1159" t="str">
        <f t="shared" si="50"/>
        <v>San Luis Obispo_2019</v>
      </c>
      <c r="D1917" s="1169">
        <v>499.89492326789451</v>
      </c>
    </row>
    <row r="1918" spans="1:4" s="339" customFormat="1" ht="15.5" x14ac:dyDescent="0.35">
      <c r="A1918" s="1158" t="s">
        <v>844</v>
      </c>
      <c r="B1918" s="1159">
        <v>2020</v>
      </c>
      <c r="C1918" s="1159" t="str">
        <f t="shared" si="50"/>
        <v>San Luis Obispo_2020</v>
      </c>
      <c r="D1918" s="1169">
        <v>496.15328650893213</v>
      </c>
    </row>
    <row r="1919" spans="1:4" s="339" customFormat="1" ht="15.5" x14ac:dyDescent="0.35">
      <c r="A1919" s="1158" t="s">
        <v>844</v>
      </c>
      <c r="B1919" s="1159">
        <v>2021</v>
      </c>
      <c r="C1919" s="1159" t="str">
        <f t="shared" si="50"/>
        <v>San Luis Obispo_2021</v>
      </c>
      <c r="D1919" s="1169">
        <v>486.88690944628172</v>
      </c>
    </row>
    <row r="1920" spans="1:4" s="339" customFormat="1" ht="15.5" x14ac:dyDescent="0.35">
      <c r="A1920" s="1158" t="s">
        <v>844</v>
      </c>
      <c r="B1920" s="1159">
        <v>2022</v>
      </c>
      <c r="C1920" s="1159" t="str">
        <f t="shared" si="50"/>
        <v>San Luis Obispo_2022</v>
      </c>
      <c r="D1920" s="1169">
        <v>478.58403414168595</v>
      </c>
    </row>
    <row r="1921" spans="1:4" s="339" customFormat="1" ht="15.5" x14ac:dyDescent="0.35">
      <c r="A1921" s="1158" t="s">
        <v>844</v>
      </c>
      <c r="B1921" s="1159">
        <v>2023</v>
      </c>
      <c r="C1921" s="1159" t="str">
        <f t="shared" si="50"/>
        <v>San Luis Obispo_2023</v>
      </c>
      <c r="D1921" s="1169">
        <v>469.71341889192155</v>
      </c>
    </row>
    <row r="1922" spans="1:4" s="339" customFormat="1" ht="15.5" x14ac:dyDescent="0.35">
      <c r="A1922" s="1158" t="s">
        <v>844</v>
      </c>
      <c r="B1922" s="1159">
        <v>2024</v>
      </c>
      <c r="C1922" s="1159" t="str">
        <f t="shared" si="50"/>
        <v>San Luis Obispo_2024</v>
      </c>
      <c r="D1922" s="1169">
        <v>460.39457276739881</v>
      </c>
    </row>
    <row r="1923" spans="1:4" s="339" customFormat="1" ht="15.5" x14ac:dyDescent="0.35">
      <c r="A1923" s="1158" t="s">
        <v>844</v>
      </c>
      <c r="B1923" s="1159">
        <v>2025</v>
      </c>
      <c r="C1923" s="1159" t="str">
        <f t="shared" si="50"/>
        <v>San Luis Obispo_2025</v>
      </c>
      <c r="D1923" s="1169">
        <v>450.70342732031622</v>
      </c>
    </row>
    <row r="1924" spans="1:4" s="339" customFormat="1" ht="15.5" x14ac:dyDescent="0.35">
      <c r="A1924" s="1158" t="s">
        <v>844</v>
      </c>
      <c r="B1924" s="1159">
        <v>2026</v>
      </c>
      <c r="C1924" s="1159" t="str">
        <f t="shared" si="50"/>
        <v>San Luis Obispo_2026</v>
      </c>
      <c r="D1924" s="1169">
        <v>441.14527403508373</v>
      </c>
    </row>
    <row r="1925" spans="1:4" s="339" customFormat="1" ht="15.5" x14ac:dyDescent="0.35">
      <c r="A1925" s="1158" t="s">
        <v>844</v>
      </c>
      <c r="B1925" s="1159">
        <v>2027</v>
      </c>
      <c r="C1925" s="1159" t="str">
        <f t="shared" si="50"/>
        <v>San Luis Obispo_2027</v>
      </c>
      <c r="D1925" s="1169">
        <v>431.97261283478747</v>
      </c>
    </row>
    <row r="1926" spans="1:4" s="339" customFormat="1" ht="15.5" x14ac:dyDescent="0.35">
      <c r="A1926" s="1158" t="s">
        <v>844</v>
      </c>
      <c r="B1926" s="1159">
        <v>2028</v>
      </c>
      <c r="C1926" s="1159" t="str">
        <f t="shared" si="50"/>
        <v>San Luis Obispo_2028</v>
      </c>
      <c r="D1926" s="1169">
        <v>423.36593780398914</v>
      </c>
    </row>
    <row r="1927" spans="1:4" s="339" customFormat="1" ht="15.5" x14ac:dyDescent="0.35">
      <c r="A1927" s="1158" t="s">
        <v>844</v>
      </c>
      <c r="B1927" s="1159">
        <v>2029</v>
      </c>
      <c r="C1927" s="1159" t="str">
        <f t="shared" si="50"/>
        <v>San Luis Obispo_2029</v>
      </c>
      <c r="D1927" s="1169">
        <v>415.34509820939144</v>
      </c>
    </row>
    <row r="1928" spans="1:4" s="339" customFormat="1" ht="15.5" x14ac:dyDescent="0.35">
      <c r="A1928" s="1158" t="s">
        <v>844</v>
      </c>
      <c r="B1928" s="1159">
        <v>2030</v>
      </c>
      <c r="C1928" s="1159" t="str">
        <f t="shared" si="50"/>
        <v>San Luis Obispo_2030</v>
      </c>
      <c r="D1928" s="1169">
        <v>407.94433409152884</v>
      </c>
    </row>
    <row r="1929" spans="1:4" s="339" customFormat="1" ht="15.5" x14ac:dyDescent="0.35">
      <c r="A1929" s="1158" t="s">
        <v>844</v>
      </c>
      <c r="B1929" s="1159">
        <v>2031</v>
      </c>
      <c r="C1929" s="1159" t="str">
        <f t="shared" si="50"/>
        <v>San Luis Obispo_2031</v>
      </c>
      <c r="D1929" s="1169">
        <v>401.15612679943041</v>
      </c>
    </row>
    <row r="1930" spans="1:4" s="339" customFormat="1" ht="15.5" x14ac:dyDescent="0.35">
      <c r="A1930" s="1158" t="s">
        <v>844</v>
      </c>
      <c r="B1930" s="1159">
        <v>2032</v>
      </c>
      <c r="C1930" s="1159" t="str">
        <f t="shared" si="50"/>
        <v>San Luis Obispo_2032</v>
      </c>
      <c r="D1930" s="1169">
        <v>394.94696816392837</v>
      </c>
    </row>
    <row r="1931" spans="1:4" s="339" customFormat="1" ht="15.5" x14ac:dyDescent="0.35">
      <c r="A1931" s="1158" t="s">
        <v>844</v>
      </c>
      <c r="B1931" s="1159">
        <v>2033</v>
      </c>
      <c r="C1931" s="1159" t="str">
        <f t="shared" si="50"/>
        <v>San Luis Obispo_2033</v>
      </c>
      <c r="D1931" s="1169">
        <v>389.31777346935746</v>
      </c>
    </row>
    <row r="1932" spans="1:4" s="339" customFormat="1" ht="15.5" x14ac:dyDescent="0.35">
      <c r="A1932" s="1158" t="s">
        <v>844</v>
      </c>
      <c r="B1932" s="1159">
        <v>2034</v>
      </c>
      <c r="C1932" s="1159" t="str">
        <f t="shared" si="50"/>
        <v>San Luis Obispo_2034</v>
      </c>
      <c r="D1932" s="1169">
        <v>384.2376023116343</v>
      </c>
    </row>
    <row r="1933" spans="1:4" s="339" customFormat="1" ht="15.5" x14ac:dyDescent="0.35">
      <c r="A1933" s="1158" t="s">
        <v>844</v>
      </c>
      <c r="B1933" s="1159">
        <v>2035</v>
      </c>
      <c r="C1933" s="1159" t="str">
        <f t="shared" si="50"/>
        <v>San Luis Obispo_2035</v>
      </c>
      <c r="D1933" s="1169">
        <v>379.68505931734717</v>
      </c>
    </row>
    <row r="1934" spans="1:4" s="339" customFormat="1" ht="15.5" x14ac:dyDescent="0.35">
      <c r="A1934" s="1158" t="s">
        <v>844</v>
      </c>
      <c r="B1934" s="1159">
        <v>2036</v>
      </c>
      <c r="C1934" s="1159" t="str">
        <f t="shared" si="50"/>
        <v>San Luis Obispo_2036</v>
      </c>
      <c r="D1934" s="1169">
        <v>375.13611902193173</v>
      </c>
    </row>
    <row r="1935" spans="1:4" s="339" customFormat="1" ht="15.5" x14ac:dyDescent="0.35">
      <c r="A1935" s="1158" t="s">
        <v>844</v>
      </c>
      <c r="B1935" s="1159">
        <v>2037</v>
      </c>
      <c r="C1935" s="1159" t="str">
        <f t="shared" si="50"/>
        <v>San Luis Obispo_2037</v>
      </c>
      <c r="D1935" s="1169">
        <v>371.61397181231337</v>
      </c>
    </row>
    <row r="1936" spans="1:4" s="339" customFormat="1" ht="15.5" x14ac:dyDescent="0.35">
      <c r="A1936" s="1158" t="s">
        <v>844</v>
      </c>
      <c r="B1936" s="1159">
        <v>2038</v>
      </c>
      <c r="C1936" s="1159" t="str">
        <f t="shared" si="50"/>
        <v>San Luis Obispo_2038</v>
      </c>
      <c r="D1936" s="1169">
        <v>368.56289739662282</v>
      </c>
    </row>
    <row r="1937" spans="1:4" s="339" customFormat="1" ht="15.5" x14ac:dyDescent="0.35">
      <c r="A1937" s="1158" t="s">
        <v>844</v>
      </c>
      <c r="B1937" s="1159">
        <v>2039</v>
      </c>
      <c r="C1937" s="1159" t="str">
        <f t="shared" si="50"/>
        <v>San Luis Obispo_2039</v>
      </c>
      <c r="D1937" s="1169">
        <v>365.90230537545256</v>
      </c>
    </row>
    <row r="1938" spans="1:4" s="339" customFormat="1" ht="15.5" x14ac:dyDescent="0.35">
      <c r="A1938" s="1158" t="s">
        <v>844</v>
      </c>
      <c r="B1938" s="1159">
        <v>2040</v>
      </c>
      <c r="C1938" s="1159" t="str">
        <f t="shared" si="50"/>
        <v>San Luis Obispo_2040</v>
      </c>
      <c r="D1938" s="1169">
        <v>363.62512124220052</v>
      </c>
    </row>
    <row r="1939" spans="1:4" s="339" customFormat="1" ht="15.5" x14ac:dyDescent="0.35">
      <c r="A1939" s="1158" t="s">
        <v>844</v>
      </c>
      <c r="B1939" s="1159">
        <v>2041</v>
      </c>
      <c r="C1939" s="1159" t="str">
        <f t="shared" si="50"/>
        <v>San Luis Obispo_2041</v>
      </c>
      <c r="D1939" s="1169">
        <v>361.6963167113251</v>
      </c>
    </row>
    <row r="1940" spans="1:4" s="339" customFormat="1" ht="15.5" x14ac:dyDescent="0.35">
      <c r="A1940" s="1158" t="s">
        <v>844</v>
      </c>
      <c r="B1940" s="1159">
        <v>2042</v>
      </c>
      <c r="C1940" s="1159" t="str">
        <f t="shared" si="50"/>
        <v>San Luis Obispo_2042</v>
      </c>
      <c r="D1940" s="1169">
        <v>360.05235906827716</v>
      </c>
    </row>
    <row r="1941" spans="1:4" s="339" customFormat="1" ht="15.5" x14ac:dyDescent="0.35">
      <c r="A1941" s="1158" t="s">
        <v>844</v>
      </c>
      <c r="B1941" s="1159">
        <v>2043</v>
      </c>
      <c r="C1941" s="1159" t="str">
        <f t="shared" si="50"/>
        <v>San Luis Obispo_2043</v>
      </c>
      <c r="D1941" s="1169">
        <v>358.66044962426361</v>
      </c>
    </row>
    <row r="1942" spans="1:4" s="339" customFormat="1" ht="15.5" x14ac:dyDescent="0.35">
      <c r="A1942" s="1158" t="s">
        <v>844</v>
      </c>
      <c r="B1942" s="1159">
        <v>2044</v>
      </c>
      <c r="C1942" s="1159" t="str">
        <f t="shared" si="50"/>
        <v>San Luis Obispo_2044</v>
      </c>
      <c r="D1942" s="1169">
        <v>357.46671103747104</v>
      </c>
    </row>
    <row r="1943" spans="1:4" s="339" customFormat="1" ht="15.5" x14ac:dyDescent="0.35">
      <c r="A1943" s="1158" t="s">
        <v>844</v>
      </c>
      <c r="B1943" s="1159">
        <v>2045</v>
      </c>
      <c r="C1943" s="1159" t="str">
        <f t="shared" si="50"/>
        <v>San Luis Obispo_2045</v>
      </c>
      <c r="D1943" s="1169">
        <v>356.42396227156848</v>
      </c>
    </row>
    <row r="1944" spans="1:4" s="339" customFormat="1" ht="15.5" x14ac:dyDescent="0.35">
      <c r="A1944" s="1158" t="s">
        <v>844</v>
      </c>
      <c r="B1944" s="1159">
        <v>2046</v>
      </c>
      <c r="C1944" s="1159" t="str">
        <f t="shared" si="50"/>
        <v>San Luis Obispo_2046</v>
      </c>
      <c r="D1944" s="1169">
        <v>355.52306811581269</v>
      </c>
    </row>
    <row r="1945" spans="1:4" s="339" customFormat="1" ht="15.5" x14ac:dyDescent="0.35">
      <c r="A1945" s="1158" t="s">
        <v>844</v>
      </c>
      <c r="B1945" s="1159">
        <v>2047</v>
      </c>
      <c r="C1945" s="1159" t="str">
        <f t="shared" si="50"/>
        <v>San Luis Obispo_2047</v>
      </c>
      <c r="D1945" s="1169">
        <v>354.74755936984008</v>
      </c>
    </row>
    <row r="1946" spans="1:4" s="339" customFormat="1" ht="15.5" x14ac:dyDescent="0.35">
      <c r="A1946" s="1158" t="s">
        <v>844</v>
      </c>
      <c r="B1946" s="1159">
        <v>2048</v>
      </c>
      <c r="C1946" s="1159" t="str">
        <f t="shared" si="50"/>
        <v>San Luis Obispo_2048</v>
      </c>
      <c r="D1946" s="1169">
        <v>354.07971080389535</v>
      </c>
    </row>
    <row r="1947" spans="1:4" s="339" customFormat="1" ht="15.5" x14ac:dyDescent="0.35">
      <c r="A1947" s="1158" t="s">
        <v>844</v>
      </c>
      <c r="B1947" s="1159">
        <v>2049</v>
      </c>
      <c r="C1947" s="1159" t="str">
        <f t="shared" si="50"/>
        <v>San Luis Obispo_2049</v>
      </c>
      <c r="D1947" s="1169">
        <v>353.50593041658976</v>
      </c>
    </row>
    <row r="1948" spans="1:4" s="339" customFormat="1" ht="15.5" x14ac:dyDescent="0.35">
      <c r="A1948" s="1158" t="s">
        <v>844</v>
      </c>
      <c r="B1948" s="1159">
        <v>2050</v>
      </c>
      <c r="C1948" s="1159" t="str">
        <f t="shared" si="50"/>
        <v>San Luis Obispo_2050</v>
      </c>
      <c r="D1948" s="1169">
        <v>353.03001246136864</v>
      </c>
    </row>
    <row r="1949" spans="1:4" s="339" customFormat="1" ht="15.5" x14ac:dyDescent="0.35">
      <c r="A1949" s="1155" t="s">
        <v>845</v>
      </c>
      <c r="B1949" s="1156">
        <v>2015</v>
      </c>
      <c r="C1949" s="1157" t="s">
        <v>939</v>
      </c>
      <c r="D1949" s="1168">
        <v>490.05273212124121</v>
      </c>
    </row>
    <row r="1950" spans="1:4" s="339" customFormat="1" ht="15.5" x14ac:dyDescent="0.35">
      <c r="A1950" s="1155" t="s">
        <v>845</v>
      </c>
      <c r="B1950" s="1156">
        <v>2016</v>
      </c>
      <c r="C1950" s="1157" t="s">
        <v>940</v>
      </c>
      <c r="D1950" s="1168">
        <v>479.36451900872379</v>
      </c>
    </row>
    <row r="1951" spans="1:4" s="339" customFormat="1" ht="15.5" x14ac:dyDescent="0.35">
      <c r="A1951" s="1158" t="s">
        <v>845</v>
      </c>
      <c r="B1951" s="1159">
        <v>2017</v>
      </c>
      <c r="C1951" s="1159" t="str">
        <f t="shared" ref="C1951:C1984" si="51">CONCATENATE(A1951,"_",B1951)</f>
        <v>San Mateo_2017</v>
      </c>
      <c r="D1951" s="1169">
        <v>475.67709509310424</v>
      </c>
    </row>
    <row r="1952" spans="1:4" s="339" customFormat="1" ht="15.5" x14ac:dyDescent="0.35">
      <c r="A1952" s="1158" t="s">
        <v>845</v>
      </c>
      <c r="B1952" s="1159">
        <v>2018</v>
      </c>
      <c r="C1952" s="1159" t="str">
        <f t="shared" si="51"/>
        <v>San Mateo_2018</v>
      </c>
      <c r="D1952" s="1169">
        <v>470.95061844525571</v>
      </c>
    </row>
    <row r="1953" spans="1:4" s="339" customFormat="1" ht="15.5" x14ac:dyDescent="0.35">
      <c r="A1953" s="1158" t="s">
        <v>845</v>
      </c>
      <c r="B1953" s="1159">
        <v>2019</v>
      </c>
      <c r="C1953" s="1159" t="str">
        <f t="shared" si="51"/>
        <v>San Mateo_2019</v>
      </c>
      <c r="D1953" s="1169">
        <v>465.26331081084123</v>
      </c>
    </row>
    <row r="1954" spans="1:4" s="339" customFormat="1" ht="15.5" x14ac:dyDescent="0.35">
      <c r="A1954" s="1158" t="s">
        <v>845</v>
      </c>
      <c r="B1954" s="1159">
        <v>2020</v>
      </c>
      <c r="C1954" s="1159" t="str">
        <f t="shared" si="51"/>
        <v>San Mateo_2020</v>
      </c>
      <c r="D1954" s="1169">
        <v>464.92351584823649</v>
      </c>
    </row>
    <row r="1955" spans="1:4" s="339" customFormat="1" ht="15.5" x14ac:dyDescent="0.35">
      <c r="A1955" s="1158" t="s">
        <v>845</v>
      </c>
      <c r="B1955" s="1159">
        <v>2021</v>
      </c>
      <c r="C1955" s="1159" t="str">
        <f t="shared" si="51"/>
        <v>San Mateo_2021</v>
      </c>
      <c r="D1955" s="1169">
        <v>455.48689964851218</v>
      </c>
    </row>
    <row r="1956" spans="1:4" s="339" customFormat="1" ht="15.5" x14ac:dyDescent="0.35">
      <c r="A1956" s="1158" t="s">
        <v>845</v>
      </c>
      <c r="B1956" s="1159">
        <v>2022</v>
      </c>
      <c r="C1956" s="1159" t="str">
        <f t="shared" si="51"/>
        <v>San Mateo_2022</v>
      </c>
      <c r="D1956" s="1169">
        <v>448.33441080859308</v>
      </c>
    </row>
    <row r="1957" spans="1:4" s="339" customFormat="1" ht="15.5" x14ac:dyDescent="0.35">
      <c r="A1957" s="1158" t="s">
        <v>845</v>
      </c>
      <c r="B1957" s="1159">
        <v>2023</v>
      </c>
      <c r="C1957" s="1159" t="str">
        <f t="shared" si="51"/>
        <v>San Mateo_2023</v>
      </c>
      <c r="D1957" s="1169">
        <v>441.03451145634762</v>
      </c>
    </row>
    <row r="1958" spans="1:4" s="339" customFormat="1" ht="15.5" x14ac:dyDescent="0.35">
      <c r="A1958" s="1158" t="s">
        <v>845</v>
      </c>
      <c r="B1958" s="1159">
        <v>2024</v>
      </c>
      <c r="C1958" s="1159" t="str">
        <f t="shared" si="51"/>
        <v>San Mateo_2024</v>
      </c>
      <c r="D1958" s="1169">
        <v>433.43858576256758</v>
      </c>
    </row>
    <row r="1959" spans="1:4" s="339" customFormat="1" ht="15.5" x14ac:dyDescent="0.35">
      <c r="A1959" s="1158" t="s">
        <v>845</v>
      </c>
      <c r="B1959" s="1159">
        <v>2025</v>
      </c>
      <c r="C1959" s="1159" t="str">
        <f t="shared" si="51"/>
        <v>San Mateo_2025</v>
      </c>
      <c r="D1959" s="1169">
        <v>425.43587154347563</v>
      </c>
    </row>
    <row r="1960" spans="1:4" s="339" customFormat="1" ht="15.5" x14ac:dyDescent="0.35">
      <c r="A1960" s="1158" t="s">
        <v>845</v>
      </c>
      <c r="B1960" s="1159">
        <v>2026</v>
      </c>
      <c r="C1960" s="1159" t="str">
        <f t="shared" si="51"/>
        <v>San Mateo_2026</v>
      </c>
      <c r="D1960" s="1169">
        <v>418.02264578661311</v>
      </c>
    </row>
    <row r="1961" spans="1:4" s="339" customFormat="1" ht="15.5" x14ac:dyDescent="0.35">
      <c r="A1961" s="1158" t="s">
        <v>845</v>
      </c>
      <c r="B1961" s="1159">
        <v>2027</v>
      </c>
      <c r="C1961" s="1159" t="str">
        <f t="shared" si="51"/>
        <v>San Mateo_2027</v>
      </c>
      <c r="D1961" s="1169">
        <v>411.59218594608075</v>
      </c>
    </row>
    <row r="1962" spans="1:4" s="339" customFormat="1" ht="15.5" x14ac:dyDescent="0.35">
      <c r="A1962" s="1158" t="s">
        <v>845</v>
      </c>
      <c r="B1962" s="1159">
        <v>2028</v>
      </c>
      <c r="C1962" s="1159" t="str">
        <f t="shared" si="51"/>
        <v>San Mateo_2028</v>
      </c>
      <c r="D1962" s="1169">
        <v>405.95687681444542</v>
      </c>
    </row>
    <row r="1963" spans="1:4" s="339" customFormat="1" ht="15.5" x14ac:dyDescent="0.35">
      <c r="A1963" s="1158" t="s">
        <v>845</v>
      </c>
      <c r="B1963" s="1159">
        <v>2029</v>
      </c>
      <c r="C1963" s="1159" t="str">
        <f t="shared" si="51"/>
        <v>San Mateo_2029</v>
      </c>
      <c r="D1963" s="1169">
        <v>400.95609514745985</v>
      </c>
    </row>
    <row r="1964" spans="1:4" s="339" customFormat="1" ht="15.5" x14ac:dyDescent="0.35">
      <c r="A1964" s="1158" t="s">
        <v>845</v>
      </c>
      <c r="B1964" s="1159">
        <v>2030</v>
      </c>
      <c r="C1964" s="1159" t="str">
        <f t="shared" si="51"/>
        <v>San Mateo_2030</v>
      </c>
      <c r="D1964" s="1169">
        <v>396.53119012300044</v>
      </c>
    </row>
    <row r="1965" spans="1:4" s="339" customFormat="1" ht="15.5" x14ac:dyDescent="0.35">
      <c r="A1965" s="1158" t="s">
        <v>845</v>
      </c>
      <c r="B1965" s="1159">
        <v>2031</v>
      </c>
      <c r="C1965" s="1159" t="str">
        <f t="shared" si="51"/>
        <v>San Mateo_2031</v>
      </c>
      <c r="D1965" s="1169">
        <v>393.35348192127049</v>
      </c>
    </row>
    <row r="1966" spans="1:4" s="339" customFormat="1" ht="15.5" x14ac:dyDescent="0.35">
      <c r="A1966" s="1158" t="s">
        <v>845</v>
      </c>
      <c r="B1966" s="1159">
        <v>2032</v>
      </c>
      <c r="C1966" s="1159" t="str">
        <f t="shared" si="51"/>
        <v>San Mateo_2032</v>
      </c>
      <c r="D1966" s="1169">
        <v>389.82833976461063</v>
      </c>
    </row>
    <row r="1967" spans="1:4" s="339" customFormat="1" ht="15.5" x14ac:dyDescent="0.35">
      <c r="A1967" s="1158" t="s">
        <v>845</v>
      </c>
      <c r="B1967" s="1159">
        <v>2033</v>
      </c>
      <c r="C1967" s="1159" t="str">
        <f t="shared" si="51"/>
        <v>San Mateo_2033</v>
      </c>
      <c r="D1967" s="1169">
        <v>386.69653041347107</v>
      </c>
    </row>
    <row r="1968" spans="1:4" s="339" customFormat="1" ht="15.5" x14ac:dyDescent="0.35">
      <c r="A1968" s="1158" t="s">
        <v>845</v>
      </c>
      <c r="B1968" s="1159">
        <v>2034</v>
      </c>
      <c r="C1968" s="1159" t="str">
        <f t="shared" si="51"/>
        <v>San Mateo_2034</v>
      </c>
      <c r="D1968" s="1169">
        <v>383.92095557737275</v>
      </c>
    </row>
    <row r="1969" spans="1:4" s="339" customFormat="1" ht="15.5" x14ac:dyDescent="0.35">
      <c r="A1969" s="1158" t="s">
        <v>845</v>
      </c>
      <c r="B1969" s="1159">
        <v>2035</v>
      </c>
      <c r="C1969" s="1159" t="str">
        <f t="shared" si="51"/>
        <v>San Mateo_2035</v>
      </c>
      <c r="D1969" s="1169">
        <v>381.47900183650427</v>
      </c>
    </row>
    <row r="1970" spans="1:4" s="339" customFormat="1" ht="15.5" x14ac:dyDescent="0.35">
      <c r="A1970" s="1158" t="s">
        <v>845</v>
      </c>
      <c r="B1970" s="1159">
        <v>2036</v>
      </c>
      <c r="C1970" s="1159" t="str">
        <f t="shared" si="51"/>
        <v>San Mateo_2036</v>
      </c>
      <c r="D1970" s="1169">
        <v>379.33753349948671</v>
      </c>
    </row>
    <row r="1971" spans="1:4" s="339" customFormat="1" ht="15.5" x14ac:dyDescent="0.35">
      <c r="A1971" s="1158" t="s">
        <v>845</v>
      </c>
      <c r="B1971" s="1159">
        <v>2037</v>
      </c>
      <c r="C1971" s="1159" t="str">
        <f t="shared" si="51"/>
        <v>San Mateo_2037</v>
      </c>
      <c r="D1971" s="1169">
        <v>377.48193550933377</v>
      </c>
    </row>
    <row r="1972" spans="1:4" s="339" customFormat="1" ht="15.5" x14ac:dyDescent="0.35">
      <c r="A1972" s="1158" t="s">
        <v>845</v>
      </c>
      <c r="B1972" s="1159">
        <v>2038</v>
      </c>
      <c r="C1972" s="1159" t="str">
        <f t="shared" si="51"/>
        <v>San Mateo_2038</v>
      </c>
      <c r="D1972" s="1169">
        <v>375.88789368855601</v>
      </c>
    </row>
    <row r="1973" spans="1:4" s="339" customFormat="1" ht="15.5" x14ac:dyDescent="0.35">
      <c r="A1973" s="1158" t="s">
        <v>845</v>
      </c>
      <c r="B1973" s="1159">
        <v>2039</v>
      </c>
      <c r="C1973" s="1159" t="str">
        <f t="shared" si="51"/>
        <v>San Mateo_2039</v>
      </c>
      <c r="D1973" s="1169">
        <v>374.52702215996163</v>
      </c>
    </row>
    <row r="1974" spans="1:4" s="339" customFormat="1" ht="15.5" x14ac:dyDescent="0.35">
      <c r="A1974" s="1158" t="s">
        <v>845</v>
      </c>
      <c r="B1974" s="1159">
        <v>2040</v>
      </c>
      <c r="C1974" s="1159" t="str">
        <f t="shared" si="51"/>
        <v>San Mateo_2040</v>
      </c>
      <c r="D1974" s="1169">
        <v>373.38374680516563</v>
      </c>
    </row>
    <row r="1975" spans="1:4" s="339" customFormat="1" ht="15.5" x14ac:dyDescent="0.35">
      <c r="A1975" s="1158" t="s">
        <v>845</v>
      </c>
      <c r="B1975" s="1159">
        <v>2041</v>
      </c>
      <c r="C1975" s="1159" t="str">
        <f t="shared" si="51"/>
        <v>San Mateo_2041</v>
      </c>
      <c r="D1975" s="1169">
        <v>372.43916363988569</v>
      </c>
    </row>
    <row r="1976" spans="1:4" s="339" customFormat="1" ht="15.5" x14ac:dyDescent="0.35">
      <c r="A1976" s="1158" t="s">
        <v>845</v>
      </c>
      <c r="B1976" s="1159">
        <v>2042</v>
      </c>
      <c r="C1976" s="1159" t="str">
        <f t="shared" si="51"/>
        <v>San Mateo_2042</v>
      </c>
      <c r="D1976" s="1169">
        <v>371.65800681903244</v>
      </c>
    </row>
    <row r="1977" spans="1:4" s="339" customFormat="1" ht="15.5" x14ac:dyDescent="0.35">
      <c r="A1977" s="1158" t="s">
        <v>845</v>
      </c>
      <c r="B1977" s="1159">
        <v>2043</v>
      </c>
      <c r="C1977" s="1159" t="str">
        <f t="shared" si="51"/>
        <v>San Mateo_2043</v>
      </c>
      <c r="D1977" s="1169">
        <v>371.02033542421174</v>
      </c>
    </row>
    <row r="1978" spans="1:4" s="339" customFormat="1" ht="15.5" x14ac:dyDescent="0.35">
      <c r="A1978" s="1158" t="s">
        <v>845</v>
      </c>
      <c r="B1978" s="1159">
        <v>2044</v>
      </c>
      <c r="C1978" s="1159" t="str">
        <f t="shared" si="51"/>
        <v>San Mateo_2044</v>
      </c>
      <c r="D1978" s="1169">
        <v>370.49968846103087</v>
      </c>
    </row>
    <row r="1979" spans="1:4" s="339" customFormat="1" ht="15.5" x14ac:dyDescent="0.35">
      <c r="A1979" s="1158" t="s">
        <v>845</v>
      </c>
      <c r="B1979" s="1159">
        <v>2045</v>
      </c>
      <c r="C1979" s="1159" t="str">
        <f t="shared" si="51"/>
        <v>San Mateo_2045</v>
      </c>
      <c r="D1979" s="1169">
        <v>370.07126123183838</v>
      </c>
    </row>
    <row r="1980" spans="1:4" s="339" customFormat="1" ht="15.5" x14ac:dyDescent="0.35">
      <c r="A1980" s="1158" t="s">
        <v>845</v>
      </c>
      <c r="B1980" s="1159">
        <v>2046</v>
      </c>
      <c r="C1980" s="1159" t="str">
        <f t="shared" si="51"/>
        <v>San Mateo_2046</v>
      </c>
      <c r="D1980" s="1169">
        <v>369.72901795310753</v>
      </c>
    </row>
    <row r="1981" spans="1:4" s="339" customFormat="1" ht="15.5" x14ac:dyDescent="0.35">
      <c r="A1981" s="1158" t="s">
        <v>845</v>
      </c>
      <c r="B1981" s="1159">
        <v>2047</v>
      </c>
      <c r="C1981" s="1159" t="str">
        <f t="shared" si="51"/>
        <v>San Mateo_2047</v>
      </c>
      <c r="D1981" s="1169">
        <v>369.45205634671242</v>
      </c>
    </row>
    <row r="1982" spans="1:4" s="339" customFormat="1" ht="15.5" x14ac:dyDescent="0.35">
      <c r="A1982" s="1158" t="s">
        <v>845</v>
      </c>
      <c r="B1982" s="1159">
        <v>2048</v>
      </c>
      <c r="C1982" s="1159" t="str">
        <f t="shared" si="51"/>
        <v>San Mateo_2048</v>
      </c>
      <c r="D1982" s="1169">
        <v>369.23087674864468</v>
      </c>
    </row>
    <row r="1983" spans="1:4" s="339" customFormat="1" ht="15.5" x14ac:dyDescent="0.35">
      <c r="A1983" s="1158" t="s">
        <v>845</v>
      </c>
      <c r="B1983" s="1159">
        <v>2049</v>
      </c>
      <c r="C1983" s="1159" t="str">
        <f t="shared" si="51"/>
        <v>San Mateo_2049</v>
      </c>
      <c r="D1983" s="1169">
        <v>369.05101146499493</v>
      </c>
    </row>
    <row r="1984" spans="1:4" s="339" customFormat="1" ht="15.5" x14ac:dyDescent="0.35">
      <c r="A1984" s="1158" t="s">
        <v>845</v>
      </c>
      <c r="B1984" s="1159">
        <v>2050</v>
      </c>
      <c r="C1984" s="1159" t="str">
        <f t="shared" si="51"/>
        <v>San Mateo_2050</v>
      </c>
      <c r="D1984" s="1169">
        <v>368.91574510227645</v>
      </c>
    </row>
    <row r="1985" spans="1:4" s="339" customFormat="1" ht="15.5" x14ac:dyDescent="0.35">
      <c r="A1985" s="1155" t="s">
        <v>846</v>
      </c>
      <c r="B1985" s="1156">
        <v>2015</v>
      </c>
      <c r="C1985" s="1157" t="s">
        <v>941</v>
      </c>
      <c r="D1985" s="1168">
        <v>510.60236393227939</v>
      </c>
    </row>
    <row r="1986" spans="1:4" s="339" customFormat="1" ht="15.5" x14ac:dyDescent="0.35">
      <c r="A1986" s="1155" t="s">
        <v>846</v>
      </c>
      <c r="B1986" s="1156">
        <v>2016</v>
      </c>
      <c r="C1986" s="1157" t="s">
        <v>942</v>
      </c>
      <c r="D1986" s="1168">
        <v>499.39111628575085</v>
      </c>
    </row>
    <row r="1987" spans="1:4" s="339" customFormat="1" ht="15.5" x14ac:dyDescent="0.35">
      <c r="A1987" s="1158" t="s">
        <v>846</v>
      </c>
      <c r="B1987" s="1159">
        <v>2017</v>
      </c>
      <c r="C1987" s="1159" t="str">
        <f t="shared" ref="C1987:C2020" si="52">CONCATENATE(A1987,"_",B1987)</f>
        <v>Santa Barbara_2017</v>
      </c>
      <c r="D1987" s="1169">
        <v>496.59337546886729</v>
      </c>
    </row>
    <row r="1988" spans="1:4" s="339" customFormat="1" ht="15.5" x14ac:dyDescent="0.35">
      <c r="A1988" s="1158" t="s">
        <v>846</v>
      </c>
      <c r="B1988" s="1159">
        <v>2018</v>
      </c>
      <c r="C1988" s="1159" t="str">
        <f t="shared" si="52"/>
        <v>Santa Barbara_2018</v>
      </c>
      <c r="D1988" s="1169">
        <v>490.92442504990294</v>
      </c>
    </row>
    <row r="1989" spans="1:4" s="339" customFormat="1" ht="15.5" x14ac:dyDescent="0.35">
      <c r="A1989" s="1158" t="s">
        <v>846</v>
      </c>
      <c r="B1989" s="1159">
        <v>2019</v>
      </c>
      <c r="C1989" s="1159" t="str">
        <f t="shared" si="52"/>
        <v>Santa Barbara_2019</v>
      </c>
      <c r="D1989" s="1169">
        <v>482.41392979409898</v>
      </c>
    </row>
    <row r="1990" spans="1:4" s="339" customFormat="1" ht="15.5" x14ac:dyDescent="0.35">
      <c r="A1990" s="1158" t="s">
        <v>846</v>
      </c>
      <c r="B1990" s="1159">
        <v>2020</v>
      </c>
      <c r="C1990" s="1159" t="str">
        <f t="shared" si="52"/>
        <v>Santa Barbara_2020</v>
      </c>
      <c r="D1990" s="1169">
        <v>479.14931338350158</v>
      </c>
    </row>
    <row r="1991" spans="1:4" s="339" customFormat="1" ht="15.5" x14ac:dyDescent="0.35">
      <c r="A1991" s="1158" t="s">
        <v>846</v>
      </c>
      <c r="B1991" s="1159">
        <v>2021</v>
      </c>
      <c r="C1991" s="1159" t="str">
        <f t="shared" si="52"/>
        <v>Santa Barbara_2021</v>
      </c>
      <c r="D1991" s="1169">
        <v>469.78827806888398</v>
      </c>
    </row>
    <row r="1992" spans="1:4" s="339" customFormat="1" ht="15.5" x14ac:dyDescent="0.35">
      <c r="A1992" s="1158" t="s">
        <v>846</v>
      </c>
      <c r="B1992" s="1159">
        <v>2022</v>
      </c>
      <c r="C1992" s="1159" t="str">
        <f t="shared" si="52"/>
        <v>Santa Barbara_2022</v>
      </c>
      <c r="D1992" s="1169">
        <v>461.71234973533655</v>
      </c>
    </row>
    <row r="1993" spans="1:4" s="339" customFormat="1" ht="15.5" x14ac:dyDescent="0.35">
      <c r="A1993" s="1158" t="s">
        <v>846</v>
      </c>
      <c r="B1993" s="1159">
        <v>2023</v>
      </c>
      <c r="C1993" s="1159" t="str">
        <f t="shared" si="52"/>
        <v>Santa Barbara_2023</v>
      </c>
      <c r="D1993" s="1169">
        <v>453.15459855185571</v>
      </c>
    </row>
    <row r="1994" spans="1:4" s="339" customFormat="1" ht="15.5" x14ac:dyDescent="0.35">
      <c r="A1994" s="1158" t="s">
        <v>846</v>
      </c>
      <c r="B1994" s="1159">
        <v>2024</v>
      </c>
      <c r="C1994" s="1159" t="str">
        <f t="shared" si="52"/>
        <v>Santa Barbara_2024</v>
      </c>
      <c r="D1994" s="1169">
        <v>444.20973387756317</v>
      </c>
    </row>
    <row r="1995" spans="1:4" s="339" customFormat="1" ht="15.5" x14ac:dyDescent="0.35">
      <c r="A1995" s="1158" t="s">
        <v>846</v>
      </c>
      <c r="B1995" s="1159">
        <v>2025</v>
      </c>
      <c r="C1995" s="1159" t="str">
        <f t="shared" si="52"/>
        <v>Santa Barbara_2025</v>
      </c>
      <c r="D1995" s="1169">
        <v>434.93036929455201</v>
      </c>
    </row>
    <row r="1996" spans="1:4" s="339" customFormat="1" ht="15.5" x14ac:dyDescent="0.35">
      <c r="A1996" s="1158" t="s">
        <v>846</v>
      </c>
      <c r="B1996" s="1159">
        <v>2026</v>
      </c>
      <c r="C1996" s="1159" t="str">
        <f t="shared" si="52"/>
        <v>Santa Barbara_2026</v>
      </c>
      <c r="D1996" s="1169">
        <v>424.95135618483641</v>
      </c>
    </row>
    <row r="1997" spans="1:4" s="339" customFormat="1" ht="15.5" x14ac:dyDescent="0.35">
      <c r="A1997" s="1158" t="s">
        <v>846</v>
      </c>
      <c r="B1997" s="1159">
        <v>2027</v>
      </c>
      <c r="C1997" s="1159" t="str">
        <f t="shared" si="52"/>
        <v>Santa Barbara_2027</v>
      </c>
      <c r="D1997" s="1169">
        <v>416.21182389115455</v>
      </c>
    </row>
    <row r="1998" spans="1:4" s="339" customFormat="1" ht="15.5" x14ac:dyDescent="0.35">
      <c r="A1998" s="1158" t="s">
        <v>846</v>
      </c>
      <c r="B1998" s="1159">
        <v>2028</v>
      </c>
      <c r="C1998" s="1159" t="str">
        <f t="shared" si="52"/>
        <v>Santa Barbara_2028</v>
      </c>
      <c r="D1998" s="1169">
        <v>408.02785393822916</v>
      </c>
    </row>
    <row r="1999" spans="1:4" s="339" customFormat="1" ht="15.5" x14ac:dyDescent="0.35">
      <c r="A1999" s="1158" t="s">
        <v>846</v>
      </c>
      <c r="B1999" s="1159">
        <v>2029</v>
      </c>
      <c r="C1999" s="1159" t="str">
        <f t="shared" si="52"/>
        <v>Santa Barbara_2029</v>
      </c>
      <c r="D1999" s="1169">
        <v>400.41244021767744</v>
      </c>
    </row>
    <row r="2000" spans="1:4" s="339" customFormat="1" ht="15.5" x14ac:dyDescent="0.35">
      <c r="A2000" s="1158" t="s">
        <v>846</v>
      </c>
      <c r="B2000" s="1159">
        <v>2030</v>
      </c>
      <c r="C2000" s="1159" t="str">
        <f t="shared" si="52"/>
        <v>Santa Barbara_2030</v>
      </c>
      <c r="D2000" s="1169">
        <v>393.39403854769643</v>
      </c>
    </row>
    <row r="2001" spans="1:4" s="339" customFormat="1" ht="15.5" x14ac:dyDescent="0.35">
      <c r="A2001" s="1158" t="s">
        <v>846</v>
      </c>
      <c r="B2001" s="1159">
        <v>2031</v>
      </c>
      <c r="C2001" s="1159" t="str">
        <f t="shared" si="52"/>
        <v>Santa Barbara_2031</v>
      </c>
      <c r="D2001" s="1169">
        <v>386.94074658265106</v>
      </c>
    </row>
    <row r="2002" spans="1:4" s="339" customFormat="1" ht="15.5" x14ac:dyDescent="0.35">
      <c r="A2002" s="1158" t="s">
        <v>846</v>
      </c>
      <c r="B2002" s="1159">
        <v>2032</v>
      </c>
      <c r="C2002" s="1159" t="str">
        <f t="shared" si="52"/>
        <v>Santa Barbara_2032</v>
      </c>
      <c r="D2002" s="1169">
        <v>381.03528735166697</v>
      </c>
    </row>
    <row r="2003" spans="1:4" s="339" customFormat="1" ht="15.5" x14ac:dyDescent="0.35">
      <c r="A2003" s="1158" t="s">
        <v>846</v>
      </c>
      <c r="B2003" s="1159">
        <v>2033</v>
      </c>
      <c r="C2003" s="1159" t="str">
        <f t="shared" si="52"/>
        <v>Santa Barbara_2033</v>
      </c>
      <c r="D2003" s="1169">
        <v>375.66309361660529</v>
      </c>
    </row>
    <row r="2004" spans="1:4" s="339" customFormat="1" ht="15.5" x14ac:dyDescent="0.35">
      <c r="A2004" s="1158" t="s">
        <v>846</v>
      </c>
      <c r="B2004" s="1159">
        <v>2034</v>
      </c>
      <c r="C2004" s="1159" t="str">
        <f t="shared" si="52"/>
        <v>Santa Barbara_2034</v>
      </c>
      <c r="D2004" s="1169">
        <v>370.7928759151705</v>
      </c>
    </row>
    <row r="2005" spans="1:4" s="339" customFormat="1" ht="15.5" x14ac:dyDescent="0.35">
      <c r="A2005" s="1158" t="s">
        <v>846</v>
      </c>
      <c r="B2005" s="1159">
        <v>2035</v>
      </c>
      <c r="C2005" s="1159" t="str">
        <f t="shared" si="52"/>
        <v>Santa Barbara_2035</v>
      </c>
      <c r="D2005" s="1169">
        <v>366.40841041039675</v>
      </c>
    </row>
    <row r="2006" spans="1:4" s="339" customFormat="1" ht="15.5" x14ac:dyDescent="0.35">
      <c r="A2006" s="1158" t="s">
        <v>846</v>
      </c>
      <c r="B2006" s="1159">
        <v>2036</v>
      </c>
      <c r="C2006" s="1159" t="str">
        <f t="shared" si="52"/>
        <v>Santa Barbara_2036</v>
      </c>
      <c r="D2006" s="1169">
        <v>362.50508090041012</v>
      </c>
    </row>
    <row r="2007" spans="1:4" s="339" customFormat="1" ht="15.5" x14ac:dyDescent="0.35">
      <c r="A2007" s="1158" t="s">
        <v>846</v>
      </c>
      <c r="B2007" s="1159">
        <v>2037</v>
      </c>
      <c r="C2007" s="1159" t="str">
        <f t="shared" si="52"/>
        <v>Santa Barbara_2037</v>
      </c>
      <c r="D2007" s="1169">
        <v>359.07045851041886</v>
      </c>
    </row>
    <row r="2008" spans="1:4" s="339" customFormat="1" ht="15.5" x14ac:dyDescent="0.35">
      <c r="A2008" s="1158" t="s">
        <v>846</v>
      </c>
      <c r="B2008" s="1159">
        <v>2038</v>
      </c>
      <c r="C2008" s="1159" t="str">
        <f t="shared" si="52"/>
        <v>Santa Barbara_2038</v>
      </c>
      <c r="D2008" s="1169">
        <v>356.07424139807574</v>
      </c>
    </row>
    <row r="2009" spans="1:4" s="339" customFormat="1" ht="15.5" x14ac:dyDescent="0.35">
      <c r="A2009" s="1158" t="s">
        <v>846</v>
      </c>
      <c r="B2009" s="1159">
        <v>2039</v>
      </c>
      <c r="C2009" s="1159" t="str">
        <f t="shared" si="52"/>
        <v>Santa Barbara_2039</v>
      </c>
      <c r="D2009" s="1169">
        <v>353.45779641636625</v>
      </c>
    </row>
    <row r="2010" spans="1:4" s="339" customFormat="1" ht="15.5" x14ac:dyDescent="0.35">
      <c r="A2010" s="1158" t="s">
        <v>846</v>
      </c>
      <c r="B2010" s="1159">
        <v>2040</v>
      </c>
      <c r="C2010" s="1159" t="str">
        <f t="shared" si="52"/>
        <v>Santa Barbara_2040</v>
      </c>
      <c r="D2010" s="1169">
        <v>351.20025813019623</v>
      </c>
    </row>
    <row r="2011" spans="1:4" s="339" customFormat="1" ht="15.5" x14ac:dyDescent="0.35">
      <c r="A2011" s="1158" t="s">
        <v>846</v>
      </c>
      <c r="B2011" s="1159">
        <v>2041</v>
      </c>
      <c r="C2011" s="1159" t="str">
        <f t="shared" si="52"/>
        <v>Santa Barbara_2041</v>
      </c>
      <c r="D2011" s="1169">
        <v>349.28342991635373</v>
      </c>
    </row>
    <row r="2012" spans="1:4" s="339" customFormat="1" ht="15.5" x14ac:dyDescent="0.35">
      <c r="A2012" s="1158" t="s">
        <v>846</v>
      </c>
      <c r="B2012" s="1159">
        <v>2042</v>
      </c>
      <c r="C2012" s="1159" t="str">
        <f t="shared" si="52"/>
        <v>Santa Barbara_2042</v>
      </c>
      <c r="D2012" s="1169">
        <v>347.63379454511727</v>
      </c>
    </row>
    <row r="2013" spans="1:4" s="339" customFormat="1" ht="15.5" x14ac:dyDescent="0.35">
      <c r="A2013" s="1158" t="s">
        <v>846</v>
      </c>
      <c r="B2013" s="1159">
        <v>2043</v>
      </c>
      <c r="C2013" s="1159" t="str">
        <f t="shared" si="52"/>
        <v>Santa Barbara_2043</v>
      </c>
      <c r="D2013" s="1169">
        <v>346.23552256610287</v>
      </c>
    </row>
    <row r="2014" spans="1:4" s="339" customFormat="1" ht="15.5" x14ac:dyDescent="0.35">
      <c r="A2014" s="1158" t="s">
        <v>846</v>
      </c>
      <c r="B2014" s="1159">
        <v>2044</v>
      </c>
      <c r="C2014" s="1159" t="str">
        <f t="shared" si="52"/>
        <v>Santa Barbara_2044</v>
      </c>
      <c r="D2014" s="1169">
        <v>345.03831963981253</v>
      </c>
    </row>
    <row r="2015" spans="1:4" s="339" customFormat="1" ht="15.5" x14ac:dyDescent="0.35">
      <c r="A2015" s="1158" t="s">
        <v>846</v>
      </c>
      <c r="B2015" s="1159">
        <v>2045</v>
      </c>
      <c r="C2015" s="1159" t="str">
        <f t="shared" si="52"/>
        <v>Santa Barbara_2045</v>
      </c>
      <c r="D2015" s="1169">
        <v>343.98142853063558</v>
      </c>
    </row>
    <row r="2016" spans="1:4" s="339" customFormat="1" ht="15.5" x14ac:dyDescent="0.35">
      <c r="A2016" s="1158" t="s">
        <v>846</v>
      </c>
      <c r="B2016" s="1159">
        <v>2046</v>
      </c>
      <c r="C2016" s="1159" t="str">
        <f t="shared" si="52"/>
        <v>Santa Barbara_2046</v>
      </c>
      <c r="D2016" s="1169">
        <v>343.07111915917352</v>
      </c>
    </row>
    <row r="2017" spans="1:4" s="339" customFormat="1" ht="15.5" x14ac:dyDescent="0.35">
      <c r="A2017" s="1158" t="s">
        <v>846</v>
      </c>
      <c r="B2017" s="1159">
        <v>2047</v>
      </c>
      <c r="C2017" s="1159" t="str">
        <f t="shared" si="52"/>
        <v>Santa Barbara_2047</v>
      </c>
      <c r="D2017" s="1169">
        <v>342.29465592238489</v>
      </c>
    </row>
    <row r="2018" spans="1:4" s="339" customFormat="1" ht="15.5" x14ac:dyDescent="0.35">
      <c r="A2018" s="1158" t="s">
        <v>846</v>
      </c>
      <c r="B2018" s="1159">
        <v>2048</v>
      </c>
      <c r="C2018" s="1159" t="str">
        <f t="shared" si="52"/>
        <v>Santa Barbara_2048</v>
      </c>
      <c r="D2018" s="1169">
        <v>341.61116120434849</v>
      </c>
    </row>
    <row r="2019" spans="1:4" s="339" customFormat="1" ht="15.5" x14ac:dyDescent="0.35">
      <c r="A2019" s="1158" t="s">
        <v>846</v>
      </c>
      <c r="B2019" s="1159">
        <v>2049</v>
      </c>
      <c r="C2019" s="1159" t="str">
        <f t="shared" si="52"/>
        <v>Santa Barbara_2049</v>
      </c>
      <c r="D2019" s="1169">
        <v>341.03950065323028</v>
      </c>
    </row>
    <row r="2020" spans="1:4" s="339" customFormat="1" ht="15.5" x14ac:dyDescent="0.35">
      <c r="A2020" s="1158" t="s">
        <v>846</v>
      </c>
      <c r="B2020" s="1159">
        <v>2050</v>
      </c>
      <c r="C2020" s="1159" t="str">
        <f t="shared" si="52"/>
        <v>Santa Barbara_2050</v>
      </c>
      <c r="D2020" s="1169">
        <v>340.57899726528012</v>
      </c>
    </row>
    <row r="2021" spans="1:4" s="339" customFormat="1" ht="15.5" x14ac:dyDescent="0.35">
      <c r="A2021" s="1155" t="s">
        <v>847</v>
      </c>
      <c r="B2021" s="1156">
        <v>2015</v>
      </c>
      <c r="C2021" s="1157" t="s">
        <v>943</v>
      </c>
      <c r="D2021" s="1168">
        <v>496.61449676911553</v>
      </c>
    </row>
    <row r="2022" spans="1:4" s="339" customFormat="1" ht="15.5" x14ac:dyDescent="0.35">
      <c r="A2022" s="1155" t="s">
        <v>847</v>
      </c>
      <c r="B2022" s="1156">
        <v>2016</v>
      </c>
      <c r="C2022" s="1157" t="s">
        <v>944</v>
      </c>
      <c r="D2022" s="1168">
        <v>484.70485145536287</v>
      </c>
    </row>
    <row r="2023" spans="1:4" s="339" customFormat="1" ht="15.5" x14ac:dyDescent="0.35">
      <c r="A2023" s="1158" t="s">
        <v>847</v>
      </c>
      <c r="B2023" s="1159">
        <v>2017</v>
      </c>
      <c r="C2023" s="1159" t="str">
        <f t="shared" ref="C2023:C2056" si="53">CONCATENATE(A2023,"_",B2023)</f>
        <v>Santa Clara_2017</v>
      </c>
      <c r="D2023" s="1169">
        <v>480.46307437920598</v>
      </c>
    </row>
    <row r="2024" spans="1:4" s="339" customFormat="1" ht="15.5" x14ac:dyDescent="0.35">
      <c r="A2024" s="1158" t="s">
        <v>847</v>
      </c>
      <c r="B2024" s="1159">
        <v>2018</v>
      </c>
      <c r="C2024" s="1159" t="str">
        <f t="shared" si="53"/>
        <v>Santa Clara_2018</v>
      </c>
      <c r="D2024" s="1169">
        <v>474.77168768027235</v>
      </c>
    </row>
    <row r="2025" spans="1:4" s="339" customFormat="1" ht="15.5" x14ac:dyDescent="0.35">
      <c r="A2025" s="1158" t="s">
        <v>847</v>
      </c>
      <c r="B2025" s="1159">
        <v>2019</v>
      </c>
      <c r="C2025" s="1159" t="str">
        <f t="shared" si="53"/>
        <v>Santa Clara_2019</v>
      </c>
      <c r="D2025" s="1169">
        <v>468.67186842552115</v>
      </c>
    </row>
    <row r="2026" spans="1:4" s="339" customFormat="1" ht="15.5" x14ac:dyDescent="0.35">
      <c r="A2026" s="1158" t="s">
        <v>847</v>
      </c>
      <c r="B2026" s="1159">
        <v>2020</v>
      </c>
      <c r="C2026" s="1159" t="str">
        <f t="shared" si="53"/>
        <v>Santa Clara_2020</v>
      </c>
      <c r="D2026" s="1169">
        <v>465.56797931925587</v>
      </c>
    </row>
    <row r="2027" spans="1:4" s="339" customFormat="1" ht="15.5" x14ac:dyDescent="0.35">
      <c r="A2027" s="1158" t="s">
        <v>847</v>
      </c>
      <c r="B2027" s="1159">
        <v>2021</v>
      </c>
      <c r="C2027" s="1159" t="str">
        <f t="shared" si="53"/>
        <v>Santa Clara_2021</v>
      </c>
      <c r="D2027" s="1169">
        <v>458.52773845708469</v>
      </c>
    </row>
    <row r="2028" spans="1:4" s="339" customFormat="1" ht="15.5" x14ac:dyDescent="0.35">
      <c r="A2028" s="1158" t="s">
        <v>847</v>
      </c>
      <c r="B2028" s="1159">
        <v>2022</v>
      </c>
      <c r="C2028" s="1159" t="str">
        <f t="shared" si="53"/>
        <v>Santa Clara_2022</v>
      </c>
      <c r="D2028" s="1169">
        <v>450.73265774671808</v>
      </c>
    </row>
    <row r="2029" spans="1:4" s="339" customFormat="1" ht="15.5" x14ac:dyDescent="0.35">
      <c r="A2029" s="1158" t="s">
        <v>847</v>
      </c>
      <c r="B2029" s="1159">
        <v>2023</v>
      </c>
      <c r="C2029" s="1159" t="str">
        <f t="shared" si="53"/>
        <v>Santa Clara_2023</v>
      </c>
      <c r="D2029" s="1169">
        <v>442.44153684606107</v>
      </c>
    </row>
    <row r="2030" spans="1:4" s="339" customFormat="1" ht="15.5" x14ac:dyDescent="0.35">
      <c r="A2030" s="1158" t="s">
        <v>847</v>
      </c>
      <c r="B2030" s="1159">
        <v>2024</v>
      </c>
      <c r="C2030" s="1159" t="str">
        <f t="shared" si="53"/>
        <v>Santa Clara_2024</v>
      </c>
      <c r="D2030" s="1169">
        <v>433.76403209703619</v>
      </c>
    </row>
    <row r="2031" spans="1:4" s="339" customFormat="1" ht="15.5" x14ac:dyDescent="0.35">
      <c r="A2031" s="1158" t="s">
        <v>847</v>
      </c>
      <c r="B2031" s="1159">
        <v>2025</v>
      </c>
      <c r="C2031" s="1159" t="str">
        <f t="shared" si="53"/>
        <v>Santa Clara_2025</v>
      </c>
      <c r="D2031" s="1169">
        <v>424.73964885478983</v>
      </c>
    </row>
    <row r="2032" spans="1:4" s="339" customFormat="1" ht="15.5" x14ac:dyDescent="0.35">
      <c r="A2032" s="1158" t="s">
        <v>847</v>
      </c>
      <c r="B2032" s="1159">
        <v>2026</v>
      </c>
      <c r="C2032" s="1159" t="str">
        <f t="shared" si="53"/>
        <v>Santa Clara_2026</v>
      </c>
      <c r="D2032" s="1169">
        <v>415.97282978071667</v>
      </c>
    </row>
    <row r="2033" spans="1:4" s="339" customFormat="1" ht="15.5" x14ac:dyDescent="0.35">
      <c r="A2033" s="1158" t="s">
        <v>847</v>
      </c>
      <c r="B2033" s="1159">
        <v>2027</v>
      </c>
      <c r="C2033" s="1159" t="str">
        <f t="shared" si="53"/>
        <v>Santa Clara_2027</v>
      </c>
      <c r="D2033" s="1169">
        <v>407.78805231950724</v>
      </c>
    </row>
    <row r="2034" spans="1:4" s="339" customFormat="1" ht="15.5" x14ac:dyDescent="0.35">
      <c r="A2034" s="1158" t="s">
        <v>847</v>
      </c>
      <c r="B2034" s="1159">
        <v>2028</v>
      </c>
      <c r="C2034" s="1159" t="str">
        <f t="shared" si="53"/>
        <v>Santa Clara_2028</v>
      </c>
      <c r="D2034" s="1169">
        <v>400.2868611264488</v>
      </c>
    </row>
    <row r="2035" spans="1:4" s="339" customFormat="1" ht="15.5" x14ac:dyDescent="0.35">
      <c r="A2035" s="1158" t="s">
        <v>847</v>
      </c>
      <c r="B2035" s="1159">
        <v>2029</v>
      </c>
      <c r="C2035" s="1159" t="str">
        <f t="shared" si="53"/>
        <v>Santa Clara_2029</v>
      </c>
      <c r="D2035" s="1169">
        <v>393.45347243177872</v>
      </c>
    </row>
    <row r="2036" spans="1:4" s="339" customFormat="1" ht="15.5" x14ac:dyDescent="0.35">
      <c r="A2036" s="1158" t="s">
        <v>847</v>
      </c>
      <c r="B2036" s="1159">
        <v>2030</v>
      </c>
      <c r="C2036" s="1159" t="str">
        <f t="shared" si="53"/>
        <v>Santa Clara_2030</v>
      </c>
      <c r="D2036" s="1169">
        <v>387.25675545799174</v>
      </c>
    </row>
    <row r="2037" spans="1:4" s="339" customFormat="1" ht="15.5" x14ac:dyDescent="0.35">
      <c r="A2037" s="1158" t="s">
        <v>847</v>
      </c>
      <c r="B2037" s="1159">
        <v>2031</v>
      </c>
      <c r="C2037" s="1159" t="str">
        <f t="shared" si="53"/>
        <v>Santa Clara_2031</v>
      </c>
      <c r="D2037" s="1169">
        <v>382.15385279912465</v>
      </c>
    </row>
    <row r="2038" spans="1:4" s="339" customFormat="1" ht="15.5" x14ac:dyDescent="0.35">
      <c r="A2038" s="1158" t="s">
        <v>847</v>
      </c>
      <c r="B2038" s="1159">
        <v>2032</v>
      </c>
      <c r="C2038" s="1159" t="str">
        <f t="shared" si="53"/>
        <v>Santa Clara_2032</v>
      </c>
      <c r="D2038" s="1169">
        <v>377.08378523471868</v>
      </c>
    </row>
    <row r="2039" spans="1:4" s="339" customFormat="1" ht="15.5" x14ac:dyDescent="0.35">
      <c r="A2039" s="1158" t="s">
        <v>847</v>
      </c>
      <c r="B2039" s="1159">
        <v>2033</v>
      </c>
      <c r="C2039" s="1159" t="str">
        <f t="shared" si="53"/>
        <v>Santa Clara_2033</v>
      </c>
      <c r="D2039" s="1169">
        <v>372.5390015472197</v>
      </c>
    </row>
    <row r="2040" spans="1:4" s="339" customFormat="1" ht="15.5" x14ac:dyDescent="0.35">
      <c r="A2040" s="1158" t="s">
        <v>847</v>
      </c>
      <c r="B2040" s="1159">
        <v>2034</v>
      </c>
      <c r="C2040" s="1159" t="str">
        <f t="shared" si="53"/>
        <v>Santa Clara_2034</v>
      </c>
      <c r="D2040" s="1169">
        <v>368.48109770835117</v>
      </c>
    </row>
    <row r="2041" spans="1:4" s="339" customFormat="1" ht="15.5" x14ac:dyDescent="0.35">
      <c r="A2041" s="1158" t="s">
        <v>847</v>
      </c>
      <c r="B2041" s="1159">
        <v>2035</v>
      </c>
      <c r="C2041" s="1159" t="str">
        <f t="shared" si="53"/>
        <v>Santa Clara_2035</v>
      </c>
      <c r="D2041" s="1169">
        <v>364.89134984578862</v>
      </c>
    </row>
    <row r="2042" spans="1:4" s="339" customFormat="1" ht="15.5" x14ac:dyDescent="0.35">
      <c r="A2042" s="1158" t="s">
        <v>847</v>
      </c>
      <c r="B2042" s="1159">
        <v>2036</v>
      </c>
      <c r="C2042" s="1159" t="str">
        <f t="shared" si="53"/>
        <v>Santa Clara_2036</v>
      </c>
      <c r="D2042" s="1169">
        <v>361.74347712094948</v>
      </c>
    </row>
    <row r="2043" spans="1:4" s="339" customFormat="1" ht="15.5" x14ac:dyDescent="0.35">
      <c r="A2043" s="1158" t="s">
        <v>847</v>
      </c>
      <c r="B2043" s="1159">
        <v>2037</v>
      </c>
      <c r="C2043" s="1159" t="str">
        <f t="shared" si="53"/>
        <v>Santa Clara_2037</v>
      </c>
      <c r="D2043" s="1169">
        <v>359.01431046152481</v>
      </c>
    </row>
    <row r="2044" spans="1:4" s="339" customFormat="1" ht="15.5" x14ac:dyDescent="0.35">
      <c r="A2044" s="1158" t="s">
        <v>847</v>
      </c>
      <c r="B2044" s="1159">
        <v>2038</v>
      </c>
      <c r="C2044" s="1159" t="str">
        <f t="shared" si="53"/>
        <v>Santa Clara_2038</v>
      </c>
      <c r="D2044" s="1169">
        <v>356.67284474051962</v>
      </c>
    </row>
    <row r="2045" spans="1:4" s="339" customFormat="1" ht="15.5" x14ac:dyDescent="0.35">
      <c r="A2045" s="1158" t="s">
        <v>847</v>
      </c>
      <c r="B2045" s="1159">
        <v>2039</v>
      </c>
      <c r="C2045" s="1159" t="str">
        <f t="shared" si="53"/>
        <v>Santa Clara_2039</v>
      </c>
      <c r="D2045" s="1169">
        <v>354.68283698496049</v>
      </c>
    </row>
    <row r="2046" spans="1:4" s="339" customFormat="1" ht="15.5" x14ac:dyDescent="0.35">
      <c r="A2046" s="1158" t="s">
        <v>847</v>
      </c>
      <c r="B2046" s="1159">
        <v>2040</v>
      </c>
      <c r="C2046" s="1159" t="str">
        <f t="shared" si="53"/>
        <v>Santa Clara_2040</v>
      </c>
      <c r="D2046" s="1169">
        <v>353.00509486945248</v>
      </c>
    </row>
    <row r="2047" spans="1:4" s="339" customFormat="1" ht="15.5" x14ac:dyDescent="0.35">
      <c r="A2047" s="1158" t="s">
        <v>847</v>
      </c>
      <c r="B2047" s="1159">
        <v>2041</v>
      </c>
      <c r="C2047" s="1159" t="str">
        <f t="shared" si="53"/>
        <v>Santa Clara_2041</v>
      </c>
      <c r="D2047" s="1169">
        <v>351.61149187902214</v>
      </c>
    </row>
    <row r="2048" spans="1:4" s="339" customFormat="1" ht="15.5" x14ac:dyDescent="0.35">
      <c r="A2048" s="1158" t="s">
        <v>847</v>
      </c>
      <c r="B2048" s="1159">
        <v>2042</v>
      </c>
      <c r="C2048" s="1159" t="str">
        <f t="shared" si="53"/>
        <v>Santa Clara_2042</v>
      </c>
      <c r="D2048" s="1169">
        <v>350.44026565349299</v>
      </c>
    </row>
    <row r="2049" spans="1:4" s="339" customFormat="1" ht="15.5" x14ac:dyDescent="0.35">
      <c r="A2049" s="1158" t="s">
        <v>847</v>
      </c>
      <c r="B2049" s="1159">
        <v>2043</v>
      </c>
      <c r="C2049" s="1159" t="str">
        <f t="shared" si="53"/>
        <v>Santa Clara_2043</v>
      </c>
      <c r="D2049" s="1169">
        <v>349.4743978753076</v>
      </c>
    </row>
    <row r="2050" spans="1:4" s="339" customFormat="1" ht="15.5" x14ac:dyDescent="0.35">
      <c r="A2050" s="1158" t="s">
        <v>847</v>
      </c>
      <c r="B2050" s="1159">
        <v>2044</v>
      </c>
      <c r="C2050" s="1159" t="str">
        <f t="shared" si="53"/>
        <v>Santa Clara_2044</v>
      </c>
      <c r="D2050" s="1169">
        <v>348.67168127585819</v>
      </c>
    </row>
    <row r="2051" spans="1:4" s="339" customFormat="1" ht="15.5" x14ac:dyDescent="0.35">
      <c r="A2051" s="1158" t="s">
        <v>847</v>
      </c>
      <c r="B2051" s="1159">
        <v>2045</v>
      </c>
      <c r="C2051" s="1159" t="str">
        <f t="shared" si="53"/>
        <v>Santa Clara_2045</v>
      </c>
      <c r="D2051" s="1169">
        <v>347.98445780368939</v>
      </c>
    </row>
    <row r="2052" spans="1:4" s="339" customFormat="1" ht="15.5" x14ac:dyDescent="0.35">
      <c r="A2052" s="1158" t="s">
        <v>847</v>
      </c>
      <c r="B2052" s="1159">
        <v>2046</v>
      </c>
      <c r="C2052" s="1159" t="str">
        <f t="shared" si="53"/>
        <v>Santa Clara_2046</v>
      </c>
      <c r="D2052" s="1169">
        <v>347.41733002904886</v>
      </c>
    </row>
    <row r="2053" spans="1:4" s="339" customFormat="1" ht="15.5" x14ac:dyDescent="0.35">
      <c r="A2053" s="1158" t="s">
        <v>847</v>
      </c>
      <c r="B2053" s="1159">
        <v>2047</v>
      </c>
      <c r="C2053" s="1159" t="str">
        <f t="shared" si="53"/>
        <v>Santa Clara_2047</v>
      </c>
      <c r="D2053" s="1169">
        <v>346.95995907908525</v>
      </c>
    </row>
    <row r="2054" spans="1:4" s="339" customFormat="1" ht="15.5" x14ac:dyDescent="0.35">
      <c r="A2054" s="1158" t="s">
        <v>847</v>
      </c>
      <c r="B2054" s="1159">
        <v>2048</v>
      </c>
      <c r="C2054" s="1159" t="str">
        <f t="shared" si="53"/>
        <v>Santa Clara_2048</v>
      </c>
      <c r="D2054" s="1169">
        <v>346.58728350962292</v>
      </c>
    </row>
    <row r="2055" spans="1:4" s="339" customFormat="1" ht="15.5" x14ac:dyDescent="0.35">
      <c r="A2055" s="1158" t="s">
        <v>847</v>
      </c>
      <c r="B2055" s="1159">
        <v>2049</v>
      </c>
      <c r="C2055" s="1159" t="str">
        <f t="shared" si="53"/>
        <v>Santa Clara_2049</v>
      </c>
      <c r="D2055" s="1169">
        <v>346.27511222012606</v>
      </c>
    </row>
    <row r="2056" spans="1:4" s="339" customFormat="1" ht="15.5" x14ac:dyDescent="0.35">
      <c r="A2056" s="1158" t="s">
        <v>847</v>
      </c>
      <c r="B2056" s="1159">
        <v>2050</v>
      </c>
      <c r="C2056" s="1159" t="str">
        <f t="shared" si="53"/>
        <v>Santa Clara_2050</v>
      </c>
      <c r="D2056" s="1169">
        <v>346.02750939825148</v>
      </c>
    </row>
    <row r="2057" spans="1:4" s="339" customFormat="1" ht="15.5" x14ac:dyDescent="0.35">
      <c r="A2057" s="1155" t="s">
        <v>848</v>
      </c>
      <c r="B2057" s="1156">
        <v>2015</v>
      </c>
      <c r="C2057" s="1157" t="s">
        <v>945</v>
      </c>
      <c r="D2057" s="1168">
        <v>525.92129634217167</v>
      </c>
    </row>
    <row r="2058" spans="1:4" s="339" customFormat="1" ht="15.5" x14ac:dyDescent="0.35">
      <c r="A2058" s="1155" t="s">
        <v>848</v>
      </c>
      <c r="B2058" s="1156">
        <v>2016</v>
      </c>
      <c r="C2058" s="1157" t="s">
        <v>946</v>
      </c>
      <c r="D2058" s="1168">
        <v>521.06335330885349</v>
      </c>
    </row>
    <row r="2059" spans="1:4" s="339" customFormat="1" ht="15.5" x14ac:dyDescent="0.35">
      <c r="A2059" s="1158" t="s">
        <v>848</v>
      </c>
      <c r="B2059" s="1159">
        <v>2017</v>
      </c>
      <c r="C2059" s="1159" t="str">
        <f t="shared" ref="C2059:C2092" si="54">CONCATENATE(A2059,"_",B2059)</f>
        <v>Santa Cruz_2017</v>
      </c>
      <c r="D2059" s="1169">
        <v>517.35614907483591</v>
      </c>
    </row>
    <row r="2060" spans="1:4" s="339" customFormat="1" ht="15.5" x14ac:dyDescent="0.35">
      <c r="A2060" s="1158" t="s">
        <v>848</v>
      </c>
      <c r="B2060" s="1159">
        <v>2018</v>
      </c>
      <c r="C2060" s="1159" t="str">
        <f t="shared" si="54"/>
        <v>Santa Cruz_2018</v>
      </c>
      <c r="D2060" s="1169">
        <v>510.98925046328895</v>
      </c>
    </row>
    <row r="2061" spans="1:4" s="339" customFormat="1" ht="15.5" x14ac:dyDescent="0.35">
      <c r="A2061" s="1158" t="s">
        <v>848</v>
      </c>
      <c r="B2061" s="1159">
        <v>2019</v>
      </c>
      <c r="C2061" s="1159" t="str">
        <f t="shared" si="54"/>
        <v>Santa Cruz_2019</v>
      </c>
      <c r="D2061" s="1169">
        <v>501.66063360022429</v>
      </c>
    </row>
    <row r="2062" spans="1:4" s="339" customFormat="1" ht="15.5" x14ac:dyDescent="0.35">
      <c r="A2062" s="1158" t="s">
        <v>848</v>
      </c>
      <c r="B2062" s="1159">
        <v>2020</v>
      </c>
      <c r="C2062" s="1159" t="str">
        <f t="shared" si="54"/>
        <v>Santa Cruz_2020</v>
      </c>
      <c r="D2062" s="1169">
        <v>497.39501980857631</v>
      </c>
    </row>
    <row r="2063" spans="1:4" s="339" customFormat="1" ht="15.5" x14ac:dyDescent="0.35">
      <c r="A2063" s="1158" t="s">
        <v>848</v>
      </c>
      <c r="B2063" s="1159">
        <v>2021</v>
      </c>
      <c r="C2063" s="1159" t="str">
        <f t="shared" si="54"/>
        <v>Santa Cruz_2021</v>
      </c>
      <c r="D2063" s="1169">
        <v>487.67916844909507</v>
      </c>
    </row>
    <row r="2064" spans="1:4" s="339" customFormat="1" ht="15.5" x14ac:dyDescent="0.35">
      <c r="A2064" s="1158" t="s">
        <v>848</v>
      </c>
      <c r="B2064" s="1159">
        <v>2022</v>
      </c>
      <c r="C2064" s="1159" t="str">
        <f t="shared" si="54"/>
        <v>Santa Cruz_2022</v>
      </c>
      <c r="D2064" s="1169">
        <v>479.28206055205692</v>
      </c>
    </row>
    <row r="2065" spans="1:4" s="339" customFormat="1" ht="15.5" x14ac:dyDescent="0.35">
      <c r="A2065" s="1158" t="s">
        <v>848</v>
      </c>
      <c r="B2065" s="1159">
        <v>2023</v>
      </c>
      <c r="C2065" s="1159" t="str">
        <f t="shared" si="54"/>
        <v>Santa Cruz_2023</v>
      </c>
      <c r="D2065" s="1169">
        <v>470.45407333034598</v>
      </c>
    </row>
    <row r="2066" spans="1:4" s="339" customFormat="1" ht="15.5" x14ac:dyDescent="0.35">
      <c r="A2066" s="1158" t="s">
        <v>848</v>
      </c>
      <c r="B2066" s="1159">
        <v>2024</v>
      </c>
      <c r="C2066" s="1159" t="str">
        <f t="shared" si="54"/>
        <v>Santa Cruz_2024</v>
      </c>
      <c r="D2066" s="1169">
        <v>461.26510011541399</v>
      </c>
    </row>
    <row r="2067" spans="1:4" s="339" customFormat="1" ht="15.5" x14ac:dyDescent="0.35">
      <c r="A2067" s="1158" t="s">
        <v>848</v>
      </c>
      <c r="B2067" s="1159">
        <v>2025</v>
      </c>
      <c r="C2067" s="1159" t="str">
        <f t="shared" si="54"/>
        <v>Santa Cruz_2025</v>
      </c>
      <c r="D2067" s="1169">
        <v>451.75224363857956</v>
      </c>
    </row>
    <row r="2068" spans="1:4" s="339" customFormat="1" ht="15.5" x14ac:dyDescent="0.35">
      <c r="A2068" s="1158" t="s">
        <v>848</v>
      </c>
      <c r="B2068" s="1159">
        <v>2026</v>
      </c>
      <c r="C2068" s="1159" t="str">
        <f t="shared" si="54"/>
        <v>Santa Cruz_2026</v>
      </c>
      <c r="D2068" s="1169">
        <v>442.39033261799074</v>
      </c>
    </row>
    <row r="2069" spans="1:4" s="339" customFormat="1" ht="15.5" x14ac:dyDescent="0.35">
      <c r="A2069" s="1158" t="s">
        <v>848</v>
      </c>
      <c r="B2069" s="1159">
        <v>2027</v>
      </c>
      <c r="C2069" s="1159" t="str">
        <f t="shared" si="54"/>
        <v>Santa Cruz_2027</v>
      </c>
      <c r="D2069" s="1169">
        <v>433.41028676085654</v>
      </c>
    </row>
    <row r="2070" spans="1:4" s="339" customFormat="1" ht="15.5" x14ac:dyDescent="0.35">
      <c r="A2070" s="1158" t="s">
        <v>848</v>
      </c>
      <c r="B2070" s="1159">
        <v>2028</v>
      </c>
      <c r="C2070" s="1159" t="str">
        <f t="shared" si="54"/>
        <v>Santa Cruz_2028</v>
      </c>
      <c r="D2070" s="1169">
        <v>424.94251223529415</v>
      </c>
    </row>
    <row r="2071" spans="1:4" s="339" customFormat="1" ht="15.5" x14ac:dyDescent="0.35">
      <c r="A2071" s="1158" t="s">
        <v>848</v>
      </c>
      <c r="B2071" s="1159">
        <v>2029</v>
      </c>
      <c r="C2071" s="1159" t="str">
        <f t="shared" si="54"/>
        <v>Santa Cruz_2029</v>
      </c>
      <c r="D2071" s="1169">
        <v>417.03363375922703</v>
      </c>
    </row>
    <row r="2072" spans="1:4" s="339" customFormat="1" ht="15.5" x14ac:dyDescent="0.35">
      <c r="A2072" s="1158" t="s">
        <v>848</v>
      </c>
      <c r="B2072" s="1159">
        <v>2030</v>
      </c>
      <c r="C2072" s="1159" t="str">
        <f t="shared" si="54"/>
        <v>Santa Cruz_2030</v>
      </c>
      <c r="D2072" s="1169">
        <v>409.72719156370965</v>
      </c>
    </row>
    <row r="2073" spans="1:4" s="339" customFormat="1" ht="15.5" x14ac:dyDescent="0.35">
      <c r="A2073" s="1158" t="s">
        <v>848</v>
      </c>
      <c r="B2073" s="1159">
        <v>2031</v>
      </c>
      <c r="C2073" s="1159" t="str">
        <f t="shared" si="54"/>
        <v>Santa Cruz_2031</v>
      </c>
      <c r="D2073" s="1169">
        <v>402.96357949619676</v>
      </c>
    </row>
    <row r="2074" spans="1:4" s="339" customFormat="1" ht="15.5" x14ac:dyDescent="0.35">
      <c r="A2074" s="1158" t="s">
        <v>848</v>
      </c>
      <c r="B2074" s="1159">
        <v>2032</v>
      </c>
      <c r="C2074" s="1159" t="str">
        <f t="shared" si="54"/>
        <v>Santa Cruz_2032</v>
      </c>
      <c r="D2074" s="1169">
        <v>396.76785867484125</v>
      </c>
    </row>
    <row r="2075" spans="1:4" s="339" customFormat="1" ht="15.5" x14ac:dyDescent="0.35">
      <c r="A2075" s="1158" t="s">
        <v>848</v>
      </c>
      <c r="B2075" s="1159">
        <v>2033</v>
      </c>
      <c r="C2075" s="1159" t="str">
        <f t="shared" si="54"/>
        <v>Santa Cruz_2033</v>
      </c>
      <c r="D2075" s="1169">
        <v>391.13673069531404</v>
      </c>
    </row>
    <row r="2076" spans="1:4" s="339" customFormat="1" ht="15.5" x14ac:dyDescent="0.35">
      <c r="A2076" s="1158" t="s">
        <v>848</v>
      </c>
      <c r="B2076" s="1159">
        <v>2034</v>
      </c>
      <c r="C2076" s="1159" t="str">
        <f t="shared" si="54"/>
        <v>Santa Cruz_2034</v>
      </c>
      <c r="D2076" s="1169">
        <v>386.00548357648933</v>
      </c>
    </row>
    <row r="2077" spans="1:4" s="339" customFormat="1" ht="15.5" x14ac:dyDescent="0.35">
      <c r="A2077" s="1158" t="s">
        <v>848</v>
      </c>
      <c r="B2077" s="1159">
        <v>2035</v>
      </c>
      <c r="C2077" s="1159" t="str">
        <f t="shared" si="54"/>
        <v>Santa Cruz_2035</v>
      </c>
      <c r="D2077" s="1169">
        <v>381.37141134402316</v>
      </c>
    </row>
    <row r="2078" spans="1:4" s="339" customFormat="1" ht="15.5" x14ac:dyDescent="0.35">
      <c r="A2078" s="1158" t="s">
        <v>848</v>
      </c>
      <c r="B2078" s="1159">
        <v>2036</v>
      </c>
      <c r="C2078" s="1159" t="str">
        <f t="shared" si="54"/>
        <v>Santa Cruz_2036</v>
      </c>
      <c r="D2078" s="1169">
        <v>377.93507506582148</v>
      </c>
    </row>
    <row r="2079" spans="1:4" s="339" customFormat="1" ht="15.5" x14ac:dyDescent="0.35">
      <c r="A2079" s="1158" t="s">
        <v>848</v>
      </c>
      <c r="B2079" s="1159">
        <v>2037</v>
      </c>
      <c r="C2079" s="1159" t="str">
        <f t="shared" si="54"/>
        <v>Santa Cruz_2037</v>
      </c>
      <c r="D2079" s="1169">
        <v>374.27811758159885</v>
      </c>
    </row>
    <row r="2080" spans="1:4" s="339" customFormat="1" ht="15.5" x14ac:dyDescent="0.35">
      <c r="A2080" s="1158" t="s">
        <v>848</v>
      </c>
      <c r="B2080" s="1159">
        <v>2038</v>
      </c>
      <c r="C2080" s="1159" t="str">
        <f t="shared" si="54"/>
        <v>Santa Cruz_2038</v>
      </c>
      <c r="D2080" s="1169">
        <v>371.08704820078395</v>
      </c>
    </row>
    <row r="2081" spans="1:4" s="339" customFormat="1" ht="15.5" x14ac:dyDescent="0.35">
      <c r="A2081" s="1158" t="s">
        <v>848</v>
      </c>
      <c r="B2081" s="1159">
        <v>2039</v>
      </c>
      <c r="C2081" s="1159" t="str">
        <f t="shared" si="54"/>
        <v>Santa Cruz_2039</v>
      </c>
      <c r="D2081" s="1169">
        <v>368.28399030562861</v>
      </c>
    </row>
    <row r="2082" spans="1:4" s="339" customFormat="1" ht="15.5" x14ac:dyDescent="0.35">
      <c r="A2082" s="1158" t="s">
        <v>848</v>
      </c>
      <c r="B2082" s="1159">
        <v>2040</v>
      </c>
      <c r="C2082" s="1159" t="str">
        <f t="shared" si="54"/>
        <v>Santa Cruz_2040</v>
      </c>
      <c r="D2082" s="1169">
        <v>365.85694219289496</v>
      </c>
    </row>
    <row r="2083" spans="1:4" s="339" customFormat="1" ht="15.5" x14ac:dyDescent="0.35">
      <c r="A2083" s="1158" t="s">
        <v>848</v>
      </c>
      <c r="B2083" s="1159">
        <v>2041</v>
      </c>
      <c r="C2083" s="1159" t="str">
        <f t="shared" si="54"/>
        <v>Santa Cruz_2041</v>
      </c>
      <c r="D2083" s="1169">
        <v>363.77530070546743</v>
      </c>
    </row>
    <row r="2084" spans="1:4" s="339" customFormat="1" ht="15.5" x14ac:dyDescent="0.35">
      <c r="A2084" s="1158" t="s">
        <v>848</v>
      </c>
      <c r="B2084" s="1159">
        <v>2042</v>
      </c>
      <c r="C2084" s="1159" t="str">
        <f t="shared" si="54"/>
        <v>Santa Cruz_2042</v>
      </c>
      <c r="D2084" s="1169">
        <v>361.96578620583193</v>
      </c>
    </row>
    <row r="2085" spans="1:4" s="339" customFormat="1" ht="15.5" x14ac:dyDescent="0.35">
      <c r="A2085" s="1158" t="s">
        <v>848</v>
      </c>
      <c r="B2085" s="1159">
        <v>2043</v>
      </c>
      <c r="C2085" s="1159" t="str">
        <f t="shared" si="54"/>
        <v>Santa Cruz_2043</v>
      </c>
      <c r="D2085" s="1169">
        <v>360.42169640621717</v>
      </c>
    </row>
    <row r="2086" spans="1:4" s="339" customFormat="1" ht="15.5" x14ac:dyDescent="0.35">
      <c r="A2086" s="1158" t="s">
        <v>848</v>
      </c>
      <c r="B2086" s="1159">
        <v>2044</v>
      </c>
      <c r="C2086" s="1159" t="str">
        <f t="shared" si="54"/>
        <v>Santa Cruz_2044</v>
      </c>
      <c r="D2086" s="1169">
        <v>359.08368075040221</v>
      </c>
    </row>
    <row r="2087" spans="1:4" s="339" customFormat="1" ht="15.5" x14ac:dyDescent="0.35">
      <c r="A2087" s="1158" t="s">
        <v>848</v>
      </c>
      <c r="B2087" s="1159">
        <v>2045</v>
      </c>
      <c r="C2087" s="1159" t="str">
        <f t="shared" si="54"/>
        <v>Santa Cruz_2045</v>
      </c>
      <c r="D2087" s="1169">
        <v>357.86526178845338</v>
      </c>
    </row>
    <row r="2088" spans="1:4" s="339" customFormat="1" ht="15.5" x14ac:dyDescent="0.35">
      <c r="A2088" s="1158" t="s">
        <v>848</v>
      </c>
      <c r="B2088" s="1159">
        <v>2046</v>
      </c>
      <c r="C2088" s="1159" t="str">
        <f t="shared" si="54"/>
        <v>Santa Cruz_2046</v>
      </c>
      <c r="D2088" s="1169">
        <v>356.79734285150391</v>
      </c>
    </row>
    <row r="2089" spans="1:4" s="339" customFormat="1" ht="15.5" x14ac:dyDescent="0.35">
      <c r="A2089" s="1158" t="s">
        <v>848</v>
      </c>
      <c r="B2089" s="1159">
        <v>2047</v>
      </c>
      <c r="C2089" s="1159" t="str">
        <f t="shared" si="54"/>
        <v>Santa Cruz_2047</v>
      </c>
      <c r="D2089" s="1169">
        <v>355.90118978804156</v>
      </c>
    </row>
    <row r="2090" spans="1:4" s="339" customFormat="1" ht="15.5" x14ac:dyDescent="0.35">
      <c r="A2090" s="1158" t="s">
        <v>848</v>
      </c>
      <c r="B2090" s="1159">
        <v>2048</v>
      </c>
      <c r="C2090" s="1159" t="str">
        <f t="shared" si="54"/>
        <v>Santa Cruz_2048</v>
      </c>
      <c r="D2090" s="1169">
        <v>355.13981789636506</v>
      </c>
    </row>
    <row r="2091" spans="1:4" s="339" customFormat="1" ht="15.5" x14ac:dyDescent="0.35">
      <c r="A2091" s="1158" t="s">
        <v>848</v>
      </c>
      <c r="B2091" s="1159">
        <v>2049</v>
      </c>
      <c r="C2091" s="1159" t="str">
        <f t="shared" si="54"/>
        <v>Santa Cruz_2049</v>
      </c>
      <c r="D2091" s="1169">
        <v>354.48362772288999</v>
      </c>
    </row>
    <row r="2092" spans="1:4" s="339" customFormat="1" ht="15.5" x14ac:dyDescent="0.35">
      <c r="A2092" s="1158" t="s">
        <v>848</v>
      </c>
      <c r="B2092" s="1159">
        <v>2050</v>
      </c>
      <c r="C2092" s="1159" t="str">
        <f t="shared" si="54"/>
        <v>Santa Cruz_2050</v>
      </c>
      <c r="D2092" s="1169">
        <v>353.94150452266001</v>
      </c>
    </row>
    <row r="2093" spans="1:4" s="339" customFormat="1" ht="15.5" x14ac:dyDescent="0.35">
      <c r="A2093" s="1155" t="s">
        <v>849</v>
      </c>
      <c r="B2093" s="1156">
        <v>2015</v>
      </c>
      <c r="C2093" s="1157" t="s">
        <v>947</v>
      </c>
      <c r="D2093" s="1168">
        <v>537.05477132223132</v>
      </c>
    </row>
    <row r="2094" spans="1:4" s="339" customFormat="1" ht="15.5" x14ac:dyDescent="0.35">
      <c r="A2094" s="1155" t="s">
        <v>849</v>
      </c>
      <c r="B2094" s="1156">
        <v>2016</v>
      </c>
      <c r="C2094" s="1157" t="s">
        <v>948</v>
      </c>
      <c r="D2094" s="1168">
        <v>525.76730407285208</v>
      </c>
    </row>
    <row r="2095" spans="1:4" s="339" customFormat="1" ht="15.5" x14ac:dyDescent="0.35">
      <c r="A2095" s="1158" t="s">
        <v>849</v>
      </c>
      <c r="B2095" s="1159">
        <v>2017</v>
      </c>
      <c r="C2095" s="1159" t="str">
        <f t="shared" ref="C2095:C2128" si="55">CONCATENATE(A2095,"_",B2095)</f>
        <v>Shasta_2017</v>
      </c>
      <c r="D2095" s="1169">
        <v>521.55845605896468</v>
      </c>
    </row>
    <row r="2096" spans="1:4" s="339" customFormat="1" ht="15.5" x14ac:dyDescent="0.35">
      <c r="A2096" s="1158" t="s">
        <v>849</v>
      </c>
      <c r="B2096" s="1159">
        <v>2018</v>
      </c>
      <c r="C2096" s="1159" t="str">
        <f t="shared" si="55"/>
        <v>Shasta_2018</v>
      </c>
      <c r="D2096" s="1169">
        <v>514.739063457425</v>
      </c>
    </row>
    <row r="2097" spans="1:4" s="339" customFormat="1" ht="15.5" x14ac:dyDescent="0.35">
      <c r="A2097" s="1158" t="s">
        <v>849</v>
      </c>
      <c r="B2097" s="1159">
        <v>2019</v>
      </c>
      <c r="C2097" s="1159" t="str">
        <f t="shared" si="55"/>
        <v>Shasta_2019</v>
      </c>
      <c r="D2097" s="1169">
        <v>506.16037360588967</v>
      </c>
    </row>
    <row r="2098" spans="1:4" s="339" customFormat="1" ht="15.5" x14ac:dyDescent="0.35">
      <c r="A2098" s="1158" t="s">
        <v>849</v>
      </c>
      <c r="B2098" s="1159">
        <v>2020</v>
      </c>
      <c r="C2098" s="1159" t="str">
        <f t="shared" si="55"/>
        <v>Shasta_2020</v>
      </c>
      <c r="D2098" s="1169">
        <v>501.12553126244461</v>
      </c>
    </row>
    <row r="2099" spans="1:4" s="339" customFormat="1" ht="15.5" x14ac:dyDescent="0.35">
      <c r="A2099" s="1158" t="s">
        <v>849</v>
      </c>
      <c r="B2099" s="1159">
        <v>2021</v>
      </c>
      <c r="C2099" s="1159" t="str">
        <f t="shared" si="55"/>
        <v>Shasta_2021</v>
      </c>
      <c r="D2099" s="1169">
        <v>490.5891586241089</v>
      </c>
    </row>
    <row r="2100" spans="1:4" s="339" customFormat="1" ht="15.5" x14ac:dyDescent="0.35">
      <c r="A2100" s="1158" t="s">
        <v>849</v>
      </c>
      <c r="B2100" s="1159">
        <v>2022</v>
      </c>
      <c r="C2100" s="1159" t="str">
        <f t="shared" si="55"/>
        <v>Shasta_2022</v>
      </c>
      <c r="D2100" s="1169">
        <v>480.88106042825825</v>
      </c>
    </row>
    <row r="2101" spans="1:4" s="339" customFormat="1" ht="15.5" x14ac:dyDescent="0.35">
      <c r="A2101" s="1158" t="s">
        <v>849</v>
      </c>
      <c r="B2101" s="1159">
        <v>2023</v>
      </c>
      <c r="C2101" s="1159" t="str">
        <f t="shared" si="55"/>
        <v>Shasta_2023</v>
      </c>
      <c r="D2101" s="1169">
        <v>470.71446082566598</v>
      </c>
    </row>
    <row r="2102" spans="1:4" s="339" customFormat="1" ht="15.5" x14ac:dyDescent="0.35">
      <c r="A2102" s="1158" t="s">
        <v>849</v>
      </c>
      <c r="B2102" s="1159">
        <v>2024</v>
      </c>
      <c r="C2102" s="1159" t="str">
        <f t="shared" si="55"/>
        <v>Shasta_2024</v>
      </c>
      <c r="D2102" s="1169">
        <v>460.23307506332372</v>
      </c>
    </row>
    <row r="2103" spans="1:4" s="339" customFormat="1" ht="15.5" x14ac:dyDescent="0.35">
      <c r="A2103" s="1158" t="s">
        <v>849</v>
      </c>
      <c r="B2103" s="1159">
        <v>2025</v>
      </c>
      <c r="C2103" s="1159" t="str">
        <f t="shared" si="55"/>
        <v>Shasta_2025</v>
      </c>
      <c r="D2103" s="1169">
        <v>449.51008526369287</v>
      </c>
    </row>
    <row r="2104" spans="1:4" s="339" customFormat="1" ht="15.5" x14ac:dyDescent="0.35">
      <c r="A2104" s="1158" t="s">
        <v>849</v>
      </c>
      <c r="B2104" s="1159">
        <v>2026</v>
      </c>
      <c r="C2104" s="1159" t="str">
        <f t="shared" si="55"/>
        <v>Shasta_2026</v>
      </c>
      <c r="D2104" s="1169">
        <v>439.13828503878545</v>
      </c>
    </row>
    <row r="2105" spans="1:4" s="339" customFormat="1" ht="15.5" x14ac:dyDescent="0.35">
      <c r="A2105" s="1158" t="s">
        <v>849</v>
      </c>
      <c r="B2105" s="1159">
        <v>2027</v>
      </c>
      <c r="C2105" s="1159" t="str">
        <f t="shared" si="55"/>
        <v>Shasta_2027</v>
      </c>
      <c r="D2105" s="1169">
        <v>429.36506319148793</v>
      </c>
    </row>
    <row r="2106" spans="1:4" s="339" customFormat="1" ht="15.5" x14ac:dyDescent="0.35">
      <c r="A2106" s="1158" t="s">
        <v>849</v>
      </c>
      <c r="B2106" s="1159">
        <v>2028</v>
      </c>
      <c r="C2106" s="1159" t="str">
        <f t="shared" si="55"/>
        <v>Shasta_2028</v>
      </c>
      <c r="D2106" s="1169">
        <v>420.38302791451684</v>
      </c>
    </row>
    <row r="2107" spans="1:4" s="339" customFormat="1" ht="15.5" x14ac:dyDescent="0.35">
      <c r="A2107" s="1158" t="s">
        <v>849</v>
      </c>
      <c r="B2107" s="1159">
        <v>2029</v>
      </c>
      <c r="C2107" s="1159" t="str">
        <f t="shared" si="55"/>
        <v>Shasta_2029</v>
      </c>
      <c r="D2107" s="1169">
        <v>412.16548299802145</v>
      </c>
    </row>
    <row r="2108" spans="1:4" s="339" customFormat="1" ht="15.5" x14ac:dyDescent="0.35">
      <c r="A2108" s="1158" t="s">
        <v>849</v>
      </c>
      <c r="B2108" s="1159">
        <v>2030</v>
      </c>
      <c r="C2108" s="1159" t="str">
        <f t="shared" si="55"/>
        <v>Shasta_2030</v>
      </c>
      <c r="D2108" s="1169">
        <v>404.71322865023075</v>
      </c>
    </row>
    <row r="2109" spans="1:4" s="339" customFormat="1" ht="15.5" x14ac:dyDescent="0.35">
      <c r="A2109" s="1158" t="s">
        <v>849</v>
      </c>
      <c r="B2109" s="1159">
        <v>2031</v>
      </c>
      <c r="C2109" s="1159" t="str">
        <f t="shared" si="55"/>
        <v>Shasta_2031</v>
      </c>
      <c r="D2109" s="1169">
        <v>398.35748915037499</v>
      </c>
    </row>
    <row r="2110" spans="1:4" s="339" customFormat="1" ht="15.5" x14ac:dyDescent="0.35">
      <c r="A2110" s="1158" t="s">
        <v>849</v>
      </c>
      <c r="B2110" s="1159">
        <v>2032</v>
      </c>
      <c r="C2110" s="1159" t="str">
        <f t="shared" si="55"/>
        <v>Shasta_2032</v>
      </c>
      <c r="D2110" s="1169">
        <v>392.2744553045012</v>
      </c>
    </row>
    <row r="2111" spans="1:4" s="339" customFormat="1" ht="15.5" x14ac:dyDescent="0.35">
      <c r="A2111" s="1158" t="s">
        <v>849</v>
      </c>
      <c r="B2111" s="1159">
        <v>2033</v>
      </c>
      <c r="C2111" s="1159" t="str">
        <f t="shared" si="55"/>
        <v>Shasta_2033</v>
      </c>
      <c r="D2111" s="1169">
        <v>386.83011999833093</v>
      </c>
    </row>
    <row r="2112" spans="1:4" s="339" customFormat="1" ht="15.5" x14ac:dyDescent="0.35">
      <c r="A2112" s="1158" t="s">
        <v>849</v>
      </c>
      <c r="B2112" s="1159">
        <v>2034</v>
      </c>
      <c r="C2112" s="1159" t="str">
        <f t="shared" si="55"/>
        <v>Shasta_2034</v>
      </c>
      <c r="D2112" s="1169">
        <v>381.961195708567</v>
      </c>
    </row>
    <row r="2113" spans="1:4" s="339" customFormat="1" ht="15.5" x14ac:dyDescent="0.35">
      <c r="A2113" s="1158" t="s">
        <v>849</v>
      </c>
      <c r="B2113" s="1159">
        <v>2035</v>
      </c>
      <c r="C2113" s="1159" t="str">
        <f t="shared" si="55"/>
        <v>Shasta_2035</v>
      </c>
      <c r="D2113" s="1169">
        <v>377.66881705335055</v>
      </c>
    </row>
    <row r="2114" spans="1:4" s="339" customFormat="1" ht="15.5" x14ac:dyDescent="0.35">
      <c r="A2114" s="1158" t="s">
        <v>849</v>
      </c>
      <c r="B2114" s="1159">
        <v>2036</v>
      </c>
      <c r="C2114" s="1159" t="str">
        <f t="shared" si="55"/>
        <v>Shasta_2036</v>
      </c>
      <c r="D2114" s="1169">
        <v>374.35470571166013</v>
      </c>
    </row>
    <row r="2115" spans="1:4" s="339" customFormat="1" ht="15.5" x14ac:dyDescent="0.35">
      <c r="A2115" s="1158" t="s">
        <v>849</v>
      </c>
      <c r="B2115" s="1159">
        <v>2037</v>
      </c>
      <c r="C2115" s="1159" t="str">
        <f t="shared" si="55"/>
        <v>Shasta_2037</v>
      </c>
      <c r="D2115" s="1169">
        <v>371.07899835619463</v>
      </c>
    </row>
    <row r="2116" spans="1:4" s="339" customFormat="1" ht="15.5" x14ac:dyDescent="0.35">
      <c r="A2116" s="1158" t="s">
        <v>849</v>
      </c>
      <c r="B2116" s="1159">
        <v>2038</v>
      </c>
      <c r="C2116" s="1159" t="str">
        <f t="shared" si="55"/>
        <v>Shasta_2038</v>
      </c>
      <c r="D2116" s="1169">
        <v>368.27747601032127</v>
      </c>
    </row>
    <row r="2117" spans="1:4" s="339" customFormat="1" ht="15.5" x14ac:dyDescent="0.35">
      <c r="A2117" s="1158" t="s">
        <v>849</v>
      </c>
      <c r="B2117" s="1159">
        <v>2039</v>
      </c>
      <c r="C2117" s="1159" t="str">
        <f t="shared" si="55"/>
        <v>Shasta_2039</v>
      </c>
      <c r="D2117" s="1169">
        <v>365.85633008267337</v>
      </c>
    </row>
    <row r="2118" spans="1:4" s="339" customFormat="1" ht="15.5" x14ac:dyDescent="0.35">
      <c r="A2118" s="1158" t="s">
        <v>849</v>
      </c>
      <c r="B2118" s="1159">
        <v>2040</v>
      </c>
      <c r="C2118" s="1159" t="str">
        <f t="shared" si="55"/>
        <v>Shasta_2040</v>
      </c>
      <c r="D2118" s="1169">
        <v>363.80965228339784</v>
      </c>
    </row>
    <row r="2119" spans="1:4" s="339" customFormat="1" ht="15.5" x14ac:dyDescent="0.35">
      <c r="A2119" s="1158" t="s">
        <v>849</v>
      </c>
      <c r="B2119" s="1159">
        <v>2041</v>
      </c>
      <c r="C2119" s="1159" t="str">
        <f t="shared" si="55"/>
        <v>Shasta_2041</v>
      </c>
      <c r="D2119" s="1169">
        <v>362.09980016162638</v>
      </c>
    </row>
    <row r="2120" spans="1:4" s="339" customFormat="1" ht="15.5" x14ac:dyDescent="0.35">
      <c r="A2120" s="1158" t="s">
        <v>849</v>
      </c>
      <c r="B2120" s="1159">
        <v>2042</v>
      </c>
      <c r="C2120" s="1159" t="str">
        <f t="shared" si="55"/>
        <v>Shasta_2042</v>
      </c>
      <c r="D2120" s="1169">
        <v>360.65075740097154</v>
      </c>
    </row>
    <row r="2121" spans="1:4" s="339" customFormat="1" ht="15.5" x14ac:dyDescent="0.35">
      <c r="A2121" s="1158" t="s">
        <v>849</v>
      </c>
      <c r="B2121" s="1159">
        <v>2043</v>
      </c>
      <c r="C2121" s="1159" t="str">
        <f t="shared" si="55"/>
        <v>Shasta_2043</v>
      </c>
      <c r="D2121" s="1169">
        <v>359.43471026942387</v>
      </c>
    </row>
    <row r="2122" spans="1:4" s="339" customFormat="1" ht="15.5" x14ac:dyDescent="0.35">
      <c r="A2122" s="1158" t="s">
        <v>849</v>
      </c>
      <c r="B2122" s="1159">
        <v>2044</v>
      </c>
      <c r="C2122" s="1159" t="str">
        <f t="shared" si="55"/>
        <v>Shasta_2044</v>
      </c>
      <c r="D2122" s="1169">
        <v>358.40709827631349</v>
      </c>
    </row>
    <row r="2123" spans="1:4" s="339" customFormat="1" ht="15.5" x14ac:dyDescent="0.35">
      <c r="A2123" s="1158" t="s">
        <v>849</v>
      </c>
      <c r="B2123" s="1159">
        <v>2045</v>
      </c>
      <c r="C2123" s="1159" t="str">
        <f t="shared" si="55"/>
        <v>Shasta_2045</v>
      </c>
      <c r="D2123" s="1169">
        <v>357.52370321578206</v>
      </c>
    </row>
    <row r="2124" spans="1:4" s="339" customFormat="1" ht="15.5" x14ac:dyDescent="0.35">
      <c r="A2124" s="1158" t="s">
        <v>849</v>
      </c>
      <c r="B2124" s="1159">
        <v>2046</v>
      </c>
      <c r="C2124" s="1159" t="str">
        <f t="shared" si="55"/>
        <v>Shasta_2046</v>
      </c>
      <c r="D2124" s="1169">
        <v>356.76994310388289</v>
      </c>
    </row>
    <row r="2125" spans="1:4" s="339" customFormat="1" ht="15.5" x14ac:dyDescent="0.35">
      <c r="A2125" s="1158" t="s">
        <v>849</v>
      </c>
      <c r="B2125" s="1159">
        <v>2047</v>
      </c>
      <c r="C2125" s="1159" t="str">
        <f t="shared" si="55"/>
        <v>Shasta_2047</v>
      </c>
      <c r="D2125" s="1169">
        <v>356.14016597779033</v>
      </c>
    </row>
    <row r="2126" spans="1:4" s="339" customFormat="1" ht="15.5" x14ac:dyDescent="0.35">
      <c r="A2126" s="1158" t="s">
        <v>849</v>
      </c>
      <c r="B2126" s="1159">
        <v>2048</v>
      </c>
      <c r="C2126" s="1159" t="str">
        <f t="shared" si="55"/>
        <v>Shasta_2048</v>
      </c>
      <c r="D2126" s="1169">
        <v>355.59995408598229</v>
      </c>
    </row>
    <row r="2127" spans="1:4" s="339" customFormat="1" ht="15.5" x14ac:dyDescent="0.35">
      <c r="A2127" s="1158" t="s">
        <v>849</v>
      </c>
      <c r="B2127" s="1159">
        <v>2049</v>
      </c>
      <c r="C2127" s="1159" t="str">
        <f t="shared" si="55"/>
        <v>Shasta_2049</v>
      </c>
      <c r="D2127" s="1169">
        <v>355.13562019695041</v>
      </c>
    </row>
    <row r="2128" spans="1:4" s="339" customFormat="1" ht="15.5" x14ac:dyDescent="0.35">
      <c r="A2128" s="1158" t="s">
        <v>849</v>
      </c>
      <c r="B2128" s="1159">
        <v>2050</v>
      </c>
      <c r="C2128" s="1159" t="str">
        <f t="shared" si="55"/>
        <v>Shasta_2050</v>
      </c>
      <c r="D2128" s="1169">
        <v>354.74574204667152</v>
      </c>
    </row>
    <row r="2129" spans="1:4" s="339" customFormat="1" ht="15.5" x14ac:dyDescent="0.35">
      <c r="A2129" s="1155" t="s">
        <v>850</v>
      </c>
      <c r="B2129" s="1156">
        <v>2015</v>
      </c>
      <c r="C2129" s="1157" t="s">
        <v>949</v>
      </c>
      <c r="D2129" s="1168">
        <v>579.91441324626931</v>
      </c>
    </row>
    <row r="2130" spans="1:4" s="339" customFormat="1" ht="15.5" x14ac:dyDescent="0.35">
      <c r="A2130" s="1155" t="s">
        <v>850</v>
      </c>
      <c r="B2130" s="1156">
        <v>2016</v>
      </c>
      <c r="C2130" s="1157" t="s">
        <v>950</v>
      </c>
      <c r="D2130" s="1168">
        <v>567.76935830757736</v>
      </c>
    </row>
    <row r="2131" spans="1:4" s="339" customFormat="1" ht="15.5" x14ac:dyDescent="0.35">
      <c r="A2131" s="1158" t="s">
        <v>850</v>
      </c>
      <c r="B2131" s="1159">
        <v>2017</v>
      </c>
      <c r="C2131" s="1159" t="str">
        <f t="shared" ref="C2131:C2164" si="56">CONCATENATE(A2131,"_",B2131)</f>
        <v>Sierra_2017</v>
      </c>
      <c r="D2131" s="1169">
        <v>563.20451607181496</v>
      </c>
    </row>
    <row r="2132" spans="1:4" s="339" customFormat="1" ht="15.5" x14ac:dyDescent="0.35">
      <c r="A2132" s="1158" t="s">
        <v>850</v>
      </c>
      <c r="B2132" s="1159">
        <v>2018</v>
      </c>
      <c r="C2132" s="1159" t="str">
        <f t="shared" si="56"/>
        <v>Sierra_2018</v>
      </c>
      <c r="D2132" s="1169">
        <v>556.40218273500102</v>
      </c>
    </row>
    <row r="2133" spans="1:4" s="339" customFormat="1" ht="15.5" x14ac:dyDescent="0.35">
      <c r="A2133" s="1158" t="s">
        <v>850</v>
      </c>
      <c r="B2133" s="1159">
        <v>2019</v>
      </c>
      <c r="C2133" s="1159" t="str">
        <f t="shared" si="56"/>
        <v>Sierra_2019</v>
      </c>
      <c r="D2133" s="1169">
        <v>547.70211499871994</v>
      </c>
    </row>
    <row r="2134" spans="1:4" s="339" customFormat="1" ht="15.5" x14ac:dyDescent="0.35">
      <c r="A2134" s="1158" t="s">
        <v>850</v>
      </c>
      <c r="B2134" s="1159">
        <v>2020</v>
      </c>
      <c r="C2134" s="1159" t="str">
        <f t="shared" si="56"/>
        <v>Sierra_2020</v>
      </c>
      <c r="D2134" s="1169">
        <v>542.75041303553724</v>
      </c>
    </row>
    <row r="2135" spans="1:4" s="339" customFormat="1" ht="15.5" x14ac:dyDescent="0.35">
      <c r="A2135" s="1158" t="s">
        <v>850</v>
      </c>
      <c r="B2135" s="1159">
        <v>2021</v>
      </c>
      <c r="C2135" s="1159" t="str">
        <f t="shared" si="56"/>
        <v>Sierra_2021</v>
      </c>
      <c r="D2135" s="1169">
        <v>532.21494239973697</v>
      </c>
    </row>
    <row r="2136" spans="1:4" s="339" customFormat="1" ht="15.5" x14ac:dyDescent="0.35">
      <c r="A2136" s="1158" t="s">
        <v>850</v>
      </c>
      <c r="B2136" s="1159">
        <v>2022</v>
      </c>
      <c r="C2136" s="1159" t="str">
        <f t="shared" si="56"/>
        <v>Sierra_2022</v>
      </c>
      <c r="D2136" s="1169">
        <v>522.32685875934965</v>
      </c>
    </row>
    <row r="2137" spans="1:4" s="339" customFormat="1" ht="15.5" x14ac:dyDescent="0.35">
      <c r="A2137" s="1158" t="s">
        <v>850</v>
      </c>
      <c r="B2137" s="1159">
        <v>2023</v>
      </c>
      <c r="C2137" s="1159" t="str">
        <f t="shared" si="56"/>
        <v>Sierra_2023</v>
      </c>
      <c r="D2137" s="1169">
        <v>511.99429998036123</v>
      </c>
    </row>
    <row r="2138" spans="1:4" s="339" customFormat="1" ht="15.5" x14ac:dyDescent="0.35">
      <c r="A2138" s="1158" t="s">
        <v>850</v>
      </c>
      <c r="B2138" s="1159">
        <v>2024</v>
      </c>
      <c r="C2138" s="1159" t="str">
        <f t="shared" si="56"/>
        <v>Sierra_2024</v>
      </c>
      <c r="D2138" s="1169">
        <v>501.20431950253857</v>
      </c>
    </row>
    <row r="2139" spans="1:4" s="339" customFormat="1" ht="15.5" x14ac:dyDescent="0.35">
      <c r="A2139" s="1158" t="s">
        <v>850</v>
      </c>
      <c r="B2139" s="1159">
        <v>2025</v>
      </c>
      <c r="C2139" s="1159" t="str">
        <f t="shared" si="56"/>
        <v>Sierra_2025</v>
      </c>
      <c r="D2139" s="1169">
        <v>490.18835145738313</v>
      </c>
    </row>
    <row r="2140" spans="1:4" s="339" customFormat="1" ht="15.5" x14ac:dyDescent="0.35">
      <c r="A2140" s="1158" t="s">
        <v>850</v>
      </c>
      <c r="B2140" s="1159">
        <v>2026</v>
      </c>
      <c r="C2140" s="1159" t="str">
        <f t="shared" si="56"/>
        <v>Sierra_2026</v>
      </c>
      <c r="D2140" s="1169">
        <v>479.63167887095005</v>
      </c>
    </row>
    <row r="2141" spans="1:4" s="339" customFormat="1" ht="15.5" x14ac:dyDescent="0.35">
      <c r="A2141" s="1158" t="s">
        <v>850</v>
      </c>
      <c r="B2141" s="1159">
        <v>2027</v>
      </c>
      <c r="C2141" s="1159" t="str">
        <f t="shared" si="56"/>
        <v>Sierra_2027</v>
      </c>
      <c r="D2141" s="1169">
        <v>469.73039285355566</v>
      </c>
    </row>
    <row r="2142" spans="1:4" s="339" customFormat="1" ht="15.5" x14ac:dyDescent="0.35">
      <c r="A2142" s="1158" t="s">
        <v>850</v>
      </c>
      <c r="B2142" s="1159">
        <v>2028</v>
      </c>
      <c r="C2142" s="1159" t="str">
        <f t="shared" si="56"/>
        <v>Sierra_2028</v>
      </c>
      <c r="D2142" s="1169">
        <v>460.63535418210591</v>
      </c>
    </row>
    <row r="2143" spans="1:4" s="339" customFormat="1" ht="15.5" x14ac:dyDescent="0.35">
      <c r="A2143" s="1158" t="s">
        <v>850</v>
      </c>
      <c r="B2143" s="1159">
        <v>2029</v>
      </c>
      <c r="C2143" s="1159" t="str">
        <f t="shared" si="56"/>
        <v>Sierra_2029</v>
      </c>
      <c r="D2143" s="1169">
        <v>452.29679626471409</v>
      </c>
    </row>
    <row r="2144" spans="1:4" s="339" customFormat="1" ht="15.5" x14ac:dyDescent="0.35">
      <c r="A2144" s="1158" t="s">
        <v>850</v>
      </c>
      <c r="B2144" s="1159">
        <v>2030</v>
      </c>
      <c r="C2144" s="1159" t="str">
        <f t="shared" si="56"/>
        <v>Sierra_2030</v>
      </c>
      <c r="D2144" s="1169">
        <v>444.71234315231754</v>
      </c>
    </row>
    <row r="2145" spans="1:4" s="339" customFormat="1" ht="15.5" x14ac:dyDescent="0.35">
      <c r="A2145" s="1158" t="s">
        <v>850</v>
      </c>
      <c r="B2145" s="1159">
        <v>2031</v>
      </c>
      <c r="C2145" s="1159" t="str">
        <f t="shared" si="56"/>
        <v>Sierra_2031</v>
      </c>
      <c r="D2145" s="1169">
        <v>437.77203196985317</v>
      </c>
    </row>
    <row r="2146" spans="1:4" s="339" customFormat="1" ht="15.5" x14ac:dyDescent="0.35">
      <c r="A2146" s="1158" t="s">
        <v>850</v>
      </c>
      <c r="B2146" s="1159">
        <v>2032</v>
      </c>
      <c r="C2146" s="1159" t="str">
        <f t="shared" si="56"/>
        <v>Sierra_2032</v>
      </c>
      <c r="D2146" s="1169">
        <v>431.48512431850514</v>
      </c>
    </row>
    <row r="2147" spans="1:4" s="339" customFormat="1" ht="15.5" x14ac:dyDescent="0.35">
      <c r="A2147" s="1158" t="s">
        <v>850</v>
      </c>
      <c r="B2147" s="1159">
        <v>2033</v>
      </c>
      <c r="C2147" s="1159" t="str">
        <f t="shared" si="56"/>
        <v>Sierra_2033</v>
      </c>
      <c r="D2147" s="1169">
        <v>425.80882307613939</v>
      </c>
    </row>
    <row r="2148" spans="1:4" s="339" customFormat="1" ht="15.5" x14ac:dyDescent="0.35">
      <c r="A2148" s="1158" t="s">
        <v>850</v>
      </c>
      <c r="B2148" s="1159">
        <v>2034</v>
      </c>
      <c r="C2148" s="1159" t="str">
        <f t="shared" si="56"/>
        <v>Sierra_2034</v>
      </c>
      <c r="D2148" s="1169">
        <v>420.67480088628326</v>
      </c>
    </row>
    <row r="2149" spans="1:4" s="339" customFormat="1" ht="15.5" x14ac:dyDescent="0.35">
      <c r="A2149" s="1158" t="s">
        <v>850</v>
      </c>
      <c r="B2149" s="1159">
        <v>2035</v>
      </c>
      <c r="C2149" s="1159" t="str">
        <f t="shared" si="56"/>
        <v>Sierra_2035</v>
      </c>
      <c r="D2149" s="1169">
        <v>416.06075845138218</v>
      </c>
    </row>
    <row r="2150" spans="1:4" s="339" customFormat="1" ht="15.5" x14ac:dyDescent="0.35">
      <c r="A2150" s="1158" t="s">
        <v>850</v>
      </c>
      <c r="B2150" s="1159">
        <v>2036</v>
      </c>
      <c r="C2150" s="1159" t="str">
        <f t="shared" si="56"/>
        <v>Sierra_2036</v>
      </c>
      <c r="D2150" s="1169">
        <v>411.98912733225319</v>
      </c>
    </row>
    <row r="2151" spans="1:4" s="339" customFormat="1" ht="15.5" x14ac:dyDescent="0.35">
      <c r="A2151" s="1158" t="s">
        <v>850</v>
      </c>
      <c r="B2151" s="1159">
        <v>2037</v>
      </c>
      <c r="C2151" s="1159" t="str">
        <f t="shared" si="56"/>
        <v>Sierra_2037</v>
      </c>
      <c r="D2151" s="1169">
        <v>408.40965066980294</v>
      </c>
    </row>
    <row r="2152" spans="1:4" s="339" customFormat="1" ht="15.5" x14ac:dyDescent="0.35">
      <c r="A2152" s="1158" t="s">
        <v>850</v>
      </c>
      <c r="B2152" s="1159">
        <v>2038</v>
      </c>
      <c r="C2152" s="1159" t="str">
        <f t="shared" si="56"/>
        <v>Sierra_2038</v>
      </c>
      <c r="D2152" s="1169">
        <v>405.31693198682382</v>
      </c>
    </row>
    <row r="2153" spans="1:4" s="339" customFormat="1" ht="15.5" x14ac:dyDescent="0.35">
      <c r="A2153" s="1158" t="s">
        <v>850</v>
      </c>
      <c r="B2153" s="1159">
        <v>2039</v>
      </c>
      <c r="C2153" s="1159" t="str">
        <f t="shared" si="56"/>
        <v>Sierra_2039</v>
      </c>
      <c r="D2153" s="1169">
        <v>402.57668476593841</v>
      </c>
    </row>
    <row r="2154" spans="1:4" s="339" customFormat="1" ht="15.5" x14ac:dyDescent="0.35">
      <c r="A2154" s="1158" t="s">
        <v>850</v>
      </c>
      <c r="B2154" s="1159">
        <v>2040</v>
      </c>
      <c r="C2154" s="1159" t="str">
        <f t="shared" si="56"/>
        <v>Sierra_2040</v>
      </c>
      <c r="D2154" s="1169">
        <v>400.24531456009964</v>
      </c>
    </row>
    <row r="2155" spans="1:4" s="339" customFormat="1" ht="15.5" x14ac:dyDescent="0.35">
      <c r="A2155" s="1158" t="s">
        <v>850</v>
      </c>
      <c r="B2155" s="1159">
        <v>2041</v>
      </c>
      <c r="C2155" s="1159" t="str">
        <f t="shared" si="56"/>
        <v>Sierra_2041</v>
      </c>
      <c r="D2155" s="1169">
        <v>398.31162519042857</v>
      </c>
    </row>
    <row r="2156" spans="1:4" s="339" customFormat="1" ht="15.5" x14ac:dyDescent="0.35">
      <c r="A2156" s="1158" t="s">
        <v>850</v>
      </c>
      <c r="B2156" s="1159">
        <v>2042</v>
      </c>
      <c r="C2156" s="1159" t="str">
        <f t="shared" si="56"/>
        <v>Sierra_2042</v>
      </c>
      <c r="D2156" s="1169">
        <v>396.60172704242859</v>
      </c>
    </row>
    <row r="2157" spans="1:4" s="339" customFormat="1" ht="15.5" x14ac:dyDescent="0.35">
      <c r="A2157" s="1158" t="s">
        <v>850</v>
      </c>
      <c r="B2157" s="1159">
        <v>2043</v>
      </c>
      <c r="C2157" s="1159" t="str">
        <f t="shared" si="56"/>
        <v>Sierra_2043</v>
      </c>
      <c r="D2157" s="1169">
        <v>395.15759276902423</v>
      </c>
    </row>
    <row r="2158" spans="1:4" s="339" customFormat="1" ht="15.5" x14ac:dyDescent="0.35">
      <c r="A2158" s="1158" t="s">
        <v>850</v>
      </c>
      <c r="B2158" s="1159">
        <v>2044</v>
      </c>
      <c r="C2158" s="1159" t="str">
        <f t="shared" si="56"/>
        <v>Sierra_2044</v>
      </c>
      <c r="D2158" s="1169">
        <v>393.91223138282669</v>
      </c>
    </row>
    <row r="2159" spans="1:4" s="339" customFormat="1" ht="15.5" x14ac:dyDescent="0.35">
      <c r="A2159" s="1158" t="s">
        <v>850</v>
      </c>
      <c r="B2159" s="1159">
        <v>2045</v>
      </c>
      <c r="C2159" s="1159" t="str">
        <f t="shared" si="56"/>
        <v>Sierra_2045</v>
      </c>
      <c r="D2159" s="1169">
        <v>392.80041476869224</v>
      </c>
    </row>
    <row r="2160" spans="1:4" s="339" customFormat="1" ht="15.5" x14ac:dyDescent="0.35">
      <c r="A2160" s="1158" t="s">
        <v>850</v>
      </c>
      <c r="B2160" s="1159">
        <v>2046</v>
      </c>
      <c r="C2160" s="1159" t="str">
        <f t="shared" si="56"/>
        <v>Sierra_2046</v>
      </c>
      <c r="D2160" s="1169">
        <v>391.89579367844374</v>
      </c>
    </row>
    <row r="2161" spans="1:4" s="339" customFormat="1" ht="15.5" x14ac:dyDescent="0.35">
      <c r="A2161" s="1158" t="s">
        <v>850</v>
      </c>
      <c r="B2161" s="1159">
        <v>2047</v>
      </c>
      <c r="C2161" s="1159" t="str">
        <f t="shared" si="56"/>
        <v>Sierra_2047</v>
      </c>
      <c r="D2161" s="1169">
        <v>391.05817559871019</v>
      </c>
    </row>
    <row r="2162" spans="1:4" s="339" customFormat="1" ht="15.5" x14ac:dyDescent="0.35">
      <c r="A2162" s="1158" t="s">
        <v>850</v>
      </c>
      <c r="B2162" s="1159">
        <v>2048</v>
      </c>
      <c r="C2162" s="1159" t="str">
        <f t="shared" si="56"/>
        <v>Sierra_2048</v>
      </c>
      <c r="D2162" s="1169">
        <v>390.38278220774669</v>
      </c>
    </row>
    <row r="2163" spans="1:4" s="339" customFormat="1" ht="15.5" x14ac:dyDescent="0.35">
      <c r="A2163" s="1158" t="s">
        <v>850</v>
      </c>
      <c r="B2163" s="1159">
        <v>2049</v>
      </c>
      <c r="C2163" s="1159" t="str">
        <f t="shared" si="56"/>
        <v>Sierra_2049</v>
      </c>
      <c r="D2163" s="1169">
        <v>389.79008641244701</v>
      </c>
    </row>
    <row r="2164" spans="1:4" s="339" customFormat="1" ht="15.5" x14ac:dyDescent="0.35">
      <c r="A2164" s="1158" t="s">
        <v>850</v>
      </c>
      <c r="B2164" s="1159">
        <v>2050</v>
      </c>
      <c r="C2164" s="1159" t="str">
        <f t="shared" si="56"/>
        <v>Sierra_2050</v>
      </c>
      <c r="D2164" s="1169">
        <v>389.29041100916089</v>
      </c>
    </row>
    <row r="2165" spans="1:4" s="339" customFormat="1" ht="15.5" x14ac:dyDescent="0.35">
      <c r="A2165" s="1155" t="s">
        <v>851</v>
      </c>
      <c r="B2165" s="1156">
        <v>2015</v>
      </c>
      <c r="C2165" s="1157" t="s">
        <v>951</v>
      </c>
      <c r="D2165" s="1168">
        <v>575.57557731140685</v>
      </c>
    </row>
    <row r="2166" spans="1:4" s="339" customFormat="1" ht="15.5" x14ac:dyDescent="0.35">
      <c r="A2166" s="1155" t="s">
        <v>851</v>
      </c>
      <c r="B2166" s="1156">
        <v>2016</v>
      </c>
      <c r="C2166" s="1157" t="s">
        <v>952</v>
      </c>
      <c r="D2166" s="1168">
        <v>563.39328125319116</v>
      </c>
    </row>
    <row r="2167" spans="1:4" s="339" customFormat="1" ht="15.5" x14ac:dyDescent="0.35">
      <c r="A2167" s="1158" t="s">
        <v>851</v>
      </c>
      <c r="B2167" s="1159">
        <v>2017</v>
      </c>
      <c r="C2167" s="1159" t="str">
        <f t="shared" ref="C2167:C2200" si="57">CONCATENATE(A2167,"_",B2167)</f>
        <v>Siskiyou_2017</v>
      </c>
      <c r="D2167" s="1169">
        <v>559.57113493630391</v>
      </c>
    </row>
    <row r="2168" spans="1:4" s="339" customFormat="1" ht="15.5" x14ac:dyDescent="0.35">
      <c r="A2168" s="1158" t="s">
        <v>851</v>
      </c>
      <c r="B2168" s="1159">
        <v>2018</v>
      </c>
      <c r="C2168" s="1159" t="str">
        <f t="shared" si="57"/>
        <v>Siskiyou_2018</v>
      </c>
      <c r="D2168" s="1169">
        <v>552.33051156883539</v>
      </c>
    </row>
    <row r="2169" spans="1:4" s="339" customFormat="1" ht="15.5" x14ac:dyDescent="0.35">
      <c r="A2169" s="1158" t="s">
        <v>851</v>
      </c>
      <c r="B2169" s="1159">
        <v>2019</v>
      </c>
      <c r="C2169" s="1159" t="str">
        <f t="shared" si="57"/>
        <v>Siskiyou_2019</v>
      </c>
      <c r="D2169" s="1169">
        <v>543.37293384331053</v>
      </c>
    </row>
    <row r="2170" spans="1:4" s="339" customFormat="1" ht="15.5" x14ac:dyDescent="0.35">
      <c r="A2170" s="1158" t="s">
        <v>851</v>
      </c>
      <c r="B2170" s="1159">
        <v>2020</v>
      </c>
      <c r="C2170" s="1159" t="str">
        <f t="shared" si="57"/>
        <v>Siskiyou_2020</v>
      </c>
      <c r="D2170" s="1169">
        <v>538.6331939816954</v>
      </c>
    </row>
    <row r="2171" spans="1:4" s="339" customFormat="1" ht="15.5" x14ac:dyDescent="0.35">
      <c r="A2171" s="1158" t="s">
        <v>851</v>
      </c>
      <c r="B2171" s="1159">
        <v>2021</v>
      </c>
      <c r="C2171" s="1159" t="str">
        <f t="shared" si="57"/>
        <v>Siskiyou_2021</v>
      </c>
      <c r="D2171" s="1169">
        <v>528.01053138870748</v>
      </c>
    </row>
    <row r="2172" spans="1:4" s="339" customFormat="1" ht="15.5" x14ac:dyDescent="0.35">
      <c r="A2172" s="1158" t="s">
        <v>851</v>
      </c>
      <c r="B2172" s="1159">
        <v>2022</v>
      </c>
      <c r="C2172" s="1159" t="str">
        <f t="shared" si="57"/>
        <v>Siskiyou_2022</v>
      </c>
      <c r="D2172" s="1169">
        <v>518.1941776749436</v>
      </c>
    </row>
    <row r="2173" spans="1:4" s="339" customFormat="1" ht="15.5" x14ac:dyDescent="0.35">
      <c r="A2173" s="1158" t="s">
        <v>851</v>
      </c>
      <c r="B2173" s="1159">
        <v>2023</v>
      </c>
      <c r="C2173" s="1159" t="str">
        <f t="shared" si="57"/>
        <v>Siskiyou_2023</v>
      </c>
      <c r="D2173" s="1169">
        <v>507.89409375566214</v>
      </c>
    </row>
    <row r="2174" spans="1:4" s="339" customFormat="1" ht="15.5" x14ac:dyDescent="0.35">
      <c r="A2174" s="1158" t="s">
        <v>851</v>
      </c>
      <c r="B2174" s="1159">
        <v>2024</v>
      </c>
      <c r="C2174" s="1159" t="str">
        <f t="shared" si="57"/>
        <v>Siskiyou_2024</v>
      </c>
      <c r="D2174" s="1169">
        <v>497.23966279123664</v>
      </c>
    </row>
    <row r="2175" spans="1:4" s="339" customFormat="1" ht="15.5" x14ac:dyDescent="0.35">
      <c r="A2175" s="1158" t="s">
        <v>851</v>
      </c>
      <c r="B2175" s="1159">
        <v>2025</v>
      </c>
      <c r="C2175" s="1159" t="str">
        <f t="shared" si="57"/>
        <v>Siskiyou_2025</v>
      </c>
      <c r="D2175" s="1169">
        <v>486.34899117701849</v>
      </c>
    </row>
    <row r="2176" spans="1:4" s="339" customFormat="1" ht="15.5" x14ac:dyDescent="0.35">
      <c r="A2176" s="1158" t="s">
        <v>851</v>
      </c>
      <c r="B2176" s="1159">
        <v>2026</v>
      </c>
      <c r="C2176" s="1159" t="str">
        <f t="shared" si="57"/>
        <v>Siskiyou_2026</v>
      </c>
      <c r="D2176" s="1169">
        <v>475.74853683893826</v>
      </c>
    </row>
    <row r="2177" spans="1:4" s="339" customFormat="1" ht="15.5" x14ac:dyDescent="0.35">
      <c r="A2177" s="1158" t="s">
        <v>851</v>
      </c>
      <c r="B2177" s="1159">
        <v>2027</v>
      </c>
      <c r="C2177" s="1159" t="str">
        <f t="shared" si="57"/>
        <v>Siskiyou_2027</v>
      </c>
      <c r="D2177" s="1169">
        <v>465.74326852158561</v>
      </c>
    </row>
    <row r="2178" spans="1:4" s="339" customFormat="1" ht="15.5" x14ac:dyDescent="0.35">
      <c r="A2178" s="1158" t="s">
        <v>851</v>
      </c>
      <c r="B2178" s="1159">
        <v>2028</v>
      </c>
      <c r="C2178" s="1159" t="str">
        <f t="shared" si="57"/>
        <v>Siskiyou_2028</v>
      </c>
      <c r="D2178" s="1169">
        <v>456.46453811977153</v>
      </c>
    </row>
    <row r="2179" spans="1:4" s="339" customFormat="1" ht="15.5" x14ac:dyDescent="0.35">
      <c r="A2179" s="1158" t="s">
        <v>851</v>
      </c>
      <c r="B2179" s="1159">
        <v>2029</v>
      </c>
      <c r="C2179" s="1159" t="str">
        <f t="shared" si="57"/>
        <v>Siskiyou_2029</v>
      </c>
      <c r="D2179" s="1169">
        <v>447.9278325468801</v>
      </c>
    </row>
    <row r="2180" spans="1:4" s="339" customFormat="1" ht="15.5" x14ac:dyDescent="0.35">
      <c r="A2180" s="1158" t="s">
        <v>851</v>
      </c>
      <c r="B2180" s="1159">
        <v>2030</v>
      </c>
      <c r="C2180" s="1159" t="str">
        <f t="shared" si="57"/>
        <v>Siskiyou_2030</v>
      </c>
      <c r="D2180" s="1169">
        <v>440.11649275305064</v>
      </c>
    </row>
    <row r="2181" spans="1:4" s="339" customFormat="1" ht="15.5" x14ac:dyDescent="0.35">
      <c r="A2181" s="1158" t="s">
        <v>851</v>
      </c>
      <c r="B2181" s="1159">
        <v>2031</v>
      </c>
      <c r="C2181" s="1159" t="str">
        <f t="shared" si="57"/>
        <v>Siskiyou_2031</v>
      </c>
      <c r="D2181" s="1169">
        <v>432.98441012414571</v>
      </c>
    </row>
    <row r="2182" spans="1:4" s="339" customFormat="1" ht="15.5" x14ac:dyDescent="0.35">
      <c r="A2182" s="1158" t="s">
        <v>851</v>
      </c>
      <c r="B2182" s="1159">
        <v>2032</v>
      </c>
      <c r="C2182" s="1159" t="str">
        <f t="shared" si="57"/>
        <v>Siskiyou_2032</v>
      </c>
      <c r="D2182" s="1169">
        <v>426.49878218957559</v>
      </c>
    </row>
    <row r="2183" spans="1:4" s="339" customFormat="1" ht="15.5" x14ac:dyDescent="0.35">
      <c r="A2183" s="1158" t="s">
        <v>851</v>
      </c>
      <c r="B2183" s="1159">
        <v>2033</v>
      </c>
      <c r="C2183" s="1159" t="str">
        <f t="shared" si="57"/>
        <v>Siskiyou_2033</v>
      </c>
      <c r="D2183" s="1169">
        <v>420.60268185215546</v>
      </c>
    </row>
    <row r="2184" spans="1:4" s="339" customFormat="1" ht="15.5" x14ac:dyDescent="0.35">
      <c r="A2184" s="1158" t="s">
        <v>851</v>
      </c>
      <c r="B2184" s="1159">
        <v>2034</v>
      </c>
      <c r="C2184" s="1159" t="str">
        <f t="shared" si="57"/>
        <v>Siskiyou_2034</v>
      </c>
      <c r="D2184" s="1169">
        <v>415.28204833425752</v>
      </c>
    </row>
    <row r="2185" spans="1:4" s="339" customFormat="1" ht="15.5" x14ac:dyDescent="0.35">
      <c r="A2185" s="1158" t="s">
        <v>851</v>
      </c>
      <c r="B2185" s="1159">
        <v>2035</v>
      </c>
      <c r="C2185" s="1159" t="str">
        <f t="shared" si="57"/>
        <v>Siskiyou_2035</v>
      </c>
      <c r="D2185" s="1169">
        <v>410.52768925193362</v>
      </c>
    </row>
    <row r="2186" spans="1:4" s="339" customFormat="1" ht="15.5" x14ac:dyDescent="0.35">
      <c r="A2186" s="1158" t="s">
        <v>851</v>
      </c>
      <c r="B2186" s="1159">
        <v>2036</v>
      </c>
      <c r="C2186" s="1159" t="str">
        <f t="shared" si="57"/>
        <v>Siskiyou_2036</v>
      </c>
      <c r="D2186" s="1169">
        <v>406.30907769485918</v>
      </c>
    </row>
    <row r="2187" spans="1:4" s="339" customFormat="1" ht="15.5" x14ac:dyDescent="0.35">
      <c r="A2187" s="1158" t="s">
        <v>851</v>
      </c>
      <c r="B2187" s="1159">
        <v>2037</v>
      </c>
      <c r="C2187" s="1159" t="str">
        <f t="shared" si="57"/>
        <v>Siskiyou_2037</v>
      </c>
      <c r="D2187" s="1169">
        <v>402.58924359487395</v>
      </c>
    </row>
    <row r="2188" spans="1:4" s="339" customFormat="1" ht="15.5" x14ac:dyDescent="0.35">
      <c r="A2188" s="1158" t="s">
        <v>851</v>
      </c>
      <c r="B2188" s="1159">
        <v>2038</v>
      </c>
      <c r="C2188" s="1159" t="str">
        <f t="shared" si="57"/>
        <v>Siskiyou_2038</v>
      </c>
      <c r="D2188" s="1169">
        <v>399.36886659840286</v>
      </c>
    </row>
    <row r="2189" spans="1:4" s="339" customFormat="1" ht="15.5" x14ac:dyDescent="0.35">
      <c r="A2189" s="1158" t="s">
        <v>851</v>
      </c>
      <c r="B2189" s="1159">
        <v>2039</v>
      </c>
      <c r="C2189" s="1159" t="str">
        <f t="shared" si="57"/>
        <v>Siskiyou_2039</v>
      </c>
      <c r="D2189" s="1169">
        <v>396.55707889064462</v>
      </c>
    </row>
    <row r="2190" spans="1:4" s="339" customFormat="1" ht="15.5" x14ac:dyDescent="0.35">
      <c r="A2190" s="1158" t="s">
        <v>851</v>
      </c>
      <c r="B2190" s="1159">
        <v>2040</v>
      </c>
      <c r="C2190" s="1159" t="str">
        <f t="shared" si="57"/>
        <v>Siskiyou_2040</v>
      </c>
      <c r="D2190" s="1169">
        <v>394.13406645751184</v>
      </c>
    </row>
    <row r="2191" spans="1:4" s="339" customFormat="1" ht="15.5" x14ac:dyDescent="0.35">
      <c r="A2191" s="1158" t="s">
        <v>851</v>
      </c>
      <c r="B2191" s="1159">
        <v>2041</v>
      </c>
      <c r="C2191" s="1159" t="str">
        <f t="shared" si="57"/>
        <v>Siskiyou_2041</v>
      </c>
      <c r="D2191" s="1169">
        <v>392.10146980388191</v>
      </c>
    </row>
    <row r="2192" spans="1:4" s="339" customFormat="1" ht="15.5" x14ac:dyDescent="0.35">
      <c r="A2192" s="1158" t="s">
        <v>851</v>
      </c>
      <c r="B2192" s="1159">
        <v>2042</v>
      </c>
      <c r="C2192" s="1159" t="str">
        <f t="shared" si="57"/>
        <v>Siskiyou_2042</v>
      </c>
      <c r="D2192" s="1169">
        <v>390.33088911536277</v>
      </c>
    </row>
    <row r="2193" spans="1:4" s="339" customFormat="1" ht="15.5" x14ac:dyDescent="0.35">
      <c r="A2193" s="1158" t="s">
        <v>851</v>
      </c>
      <c r="B2193" s="1159">
        <v>2043</v>
      </c>
      <c r="C2193" s="1159" t="str">
        <f t="shared" si="57"/>
        <v>Siskiyou_2043</v>
      </c>
      <c r="D2193" s="1169">
        <v>388.82457938433009</v>
      </c>
    </row>
    <row r="2194" spans="1:4" s="339" customFormat="1" ht="15.5" x14ac:dyDescent="0.35">
      <c r="A2194" s="1158" t="s">
        <v>851</v>
      </c>
      <c r="B2194" s="1159">
        <v>2044</v>
      </c>
      <c r="C2194" s="1159" t="str">
        <f t="shared" si="57"/>
        <v>Siskiyou_2044</v>
      </c>
      <c r="D2194" s="1169">
        <v>387.52459510928531</v>
      </c>
    </row>
    <row r="2195" spans="1:4" s="339" customFormat="1" ht="15.5" x14ac:dyDescent="0.35">
      <c r="A2195" s="1158" t="s">
        <v>851</v>
      </c>
      <c r="B2195" s="1159">
        <v>2045</v>
      </c>
      <c r="C2195" s="1159" t="str">
        <f t="shared" si="57"/>
        <v>Siskiyou_2045</v>
      </c>
      <c r="D2195" s="1169">
        <v>386.38431069493936</v>
      </c>
    </row>
    <row r="2196" spans="1:4" s="339" customFormat="1" ht="15.5" x14ac:dyDescent="0.35">
      <c r="A2196" s="1158" t="s">
        <v>851</v>
      </c>
      <c r="B2196" s="1159">
        <v>2046</v>
      </c>
      <c r="C2196" s="1159" t="str">
        <f t="shared" si="57"/>
        <v>Siskiyou_2046</v>
      </c>
      <c r="D2196" s="1169">
        <v>385.3805902420815</v>
      </c>
    </row>
    <row r="2197" spans="1:4" s="339" customFormat="1" ht="15.5" x14ac:dyDescent="0.35">
      <c r="A2197" s="1158" t="s">
        <v>851</v>
      </c>
      <c r="B2197" s="1159">
        <v>2047</v>
      </c>
      <c r="C2197" s="1159" t="str">
        <f t="shared" si="57"/>
        <v>Siskiyou_2047</v>
      </c>
      <c r="D2197" s="1169">
        <v>384.54097367862283</v>
      </c>
    </row>
    <row r="2198" spans="1:4" s="339" customFormat="1" ht="15.5" x14ac:dyDescent="0.35">
      <c r="A2198" s="1158" t="s">
        <v>851</v>
      </c>
      <c r="B2198" s="1159">
        <v>2048</v>
      </c>
      <c r="C2198" s="1159" t="str">
        <f t="shared" si="57"/>
        <v>Siskiyou_2048</v>
      </c>
      <c r="D2198" s="1169">
        <v>383.80177570446972</v>
      </c>
    </row>
    <row r="2199" spans="1:4" s="339" customFormat="1" ht="15.5" x14ac:dyDescent="0.35">
      <c r="A2199" s="1158" t="s">
        <v>851</v>
      </c>
      <c r="B2199" s="1159">
        <v>2049</v>
      </c>
      <c r="C2199" s="1159" t="str">
        <f t="shared" si="57"/>
        <v>Siskiyou_2049</v>
      </c>
      <c r="D2199" s="1169">
        <v>383.15004679463289</v>
      </c>
    </row>
    <row r="2200" spans="1:4" s="339" customFormat="1" ht="15.5" x14ac:dyDescent="0.35">
      <c r="A2200" s="1158" t="s">
        <v>851</v>
      </c>
      <c r="B2200" s="1159">
        <v>2050</v>
      </c>
      <c r="C2200" s="1159" t="str">
        <f t="shared" si="57"/>
        <v>Siskiyou_2050</v>
      </c>
      <c r="D2200" s="1169">
        <v>382.60901320570883</v>
      </c>
    </row>
    <row r="2201" spans="1:4" s="339" customFormat="1" ht="15.5" x14ac:dyDescent="0.35">
      <c r="A2201" s="1155" t="s">
        <v>852</v>
      </c>
      <c r="B2201" s="1156">
        <v>2015</v>
      </c>
      <c r="C2201" s="1157" t="s">
        <v>953</v>
      </c>
      <c r="D2201" s="1168">
        <v>514.28858445450362</v>
      </c>
    </row>
    <row r="2202" spans="1:4" s="339" customFormat="1" ht="15.5" x14ac:dyDescent="0.35">
      <c r="A2202" s="1155" t="s">
        <v>852</v>
      </c>
      <c r="B2202" s="1156">
        <v>2016</v>
      </c>
      <c r="C2202" s="1157" t="s">
        <v>954</v>
      </c>
      <c r="D2202" s="1168">
        <v>503.42848439836428</v>
      </c>
    </row>
    <row r="2203" spans="1:4" s="339" customFormat="1" ht="15.5" x14ac:dyDescent="0.35">
      <c r="A2203" s="1158" t="s">
        <v>852</v>
      </c>
      <c r="B2203" s="1159">
        <v>2017</v>
      </c>
      <c r="C2203" s="1159" t="str">
        <f t="shared" ref="C2203:C2236" si="58">CONCATENATE(A2203,"_",B2203)</f>
        <v>Solano_2017</v>
      </c>
      <c r="D2203" s="1169">
        <v>499.16349746049247</v>
      </c>
    </row>
    <row r="2204" spans="1:4" s="339" customFormat="1" ht="15.5" x14ac:dyDescent="0.35">
      <c r="A2204" s="1158" t="s">
        <v>852</v>
      </c>
      <c r="B2204" s="1159">
        <v>2018</v>
      </c>
      <c r="C2204" s="1159" t="str">
        <f t="shared" si="58"/>
        <v>Solano_2018</v>
      </c>
      <c r="D2204" s="1169">
        <v>493.11577120192294</v>
      </c>
    </row>
    <row r="2205" spans="1:4" s="339" customFormat="1" ht="15.5" x14ac:dyDescent="0.35">
      <c r="A2205" s="1158" t="s">
        <v>852</v>
      </c>
      <c r="B2205" s="1159">
        <v>2019</v>
      </c>
      <c r="C2205" s="1159" t="str">
        <f t="shared" si="58"/>
        <v>Solano_2019</v>
      </c>
      <c r="D2205" s="1169">
        <v>486.2423271116383</v>
      </c>
    </row>
    <row r="2206" spans="1:4" s="339" customFormat="1" ht="15.5" x14ac:dyDescent="0.35">
      <c r="A2206" s="1158" t="s">
        <v>852</v>
      </c>
      <c r="B2206" s="1159">
        <v>2020</v>
      </c>
      <c r="C2206" s="1159" t="str">
        <f t="shared" si="58"/>
        <v>Solano_2020</v>
      </c>
      <c r="D2206" s="1169">
        <v>482.41093477648445</v>
      </c>
    </row>
    <row r="2207" spans="1:4" s="339" customFormat="1" ht="15.5" x14ac:dyDescent="0.35">
      <c r="A2207" s="1158" t="s">
        <v>852</v>
      </c>
      <c r="B2207" s="1159">
        <v>2021</v>
      </c>
      <c r="C2207" s="1159" t="str">
        <f t="shared" si="58"/>
        <v>Solano_2021</v>
      </c>
      <c r="D2207" s="1169">
        <v>471.33630826308297</v>
      </c>
    </row>
    <row r="2208" spans="1:4" s="339" customFormat="1" ht="15.5" x14ac:dyDescent="0.35">
      <c r="A2208" s="1158" t="s">
        <v>852</v>
      </c>
      <c r="B2208" s="1159">
        <v>2022</v>
      </c>
      <c r="C2208" s="1159" t="str">
        <f t="shared" si="58"/>
        <v>Solano_2022</v>
      </c>
      <c r="D2208" s="1169">
        <v>463.20483427675157</v>
      </c>
    </row>
    <row r="2209" spans="1:4" s="339" customFormat="1" ht="15.5" x14ac:dyDescent="0.35">
      <c r="A2209" s="1158" t="s">
        <v>852</v>
      </c>
      <c r="B2209" s="1159">
        <v>2023</v>
      </c>
      <c r="C2209" s="1159" t="str">
        <f t="shared" si="58"/>
        <v>Solano_2023</v>
      </c>
      <c r="D2209" s="1169">
        <v>454.51481561622739</v>
      </c>
    </row>
    <row r="2210" spans="1:4" s="339" customFormat="1" ht="15.5" x14ac:dyDescent="0.35">
      <c r="A2210" s="1158" t="s">
        <v>852</v>
      </c>
      <c r="B2210" s="1159">
        <v>2024</v>
      </c>
      <c r="C2210" s="1159" t="str">
        <f t="shared" si="58"/>
        <v>Solano_2024</v>
      </c>
      <c r="D2210" s="1169">
        <v>445.3750430558494</v>
      </c>
    </row>
    <row r="2211" spans="1:4" s="339" customFormat="1" ht="15.5" x14ac:dyDescent="0.35">
      <c r="A2211" s="1158" t="s">
        <v>852</v>
      </c>
      <c r="B2211" s="1159">
        <v>2025</v>
      </c>
      <c r="C2211" s="1159" t="str">
        <f t="shared" si="58"/>
        <v>Solano_2025</v>
      </c>
      <c r="D2211" s="1169">
        <v>435.82638931005624</v>
      </c>
    </row>
    <row r="2212" spans="1:4" s="339" customFormat="1" ht="15.5" x14ac:dyDescent="0.35">
      <c r="A2212" s="1158" t="s">
        <v>852</v>
      </c>
      <c r="B2212" s="1159">
        <v>2026</v>
      </c>
      <c r="C2212" s="1159" t="str">
        <f t="shared" si="58"/>
        <v>Solano_2026</v>
      </c>
      <c r="D2212" s="1169">
        <v>426.41607902317753</v>
      </c>
    </row>
    <row r="2213" spans="1:4" s="339" customFormat="1" ht="15.5" x14ac:dyDescent="0.35">
      <c r="A2213" s="1158" t="s">
        <v>852</v>
      </c>
      <c r="B2213" s="1159">
        <v>2027</v>
      </c>
      <c r="C2213" s="1159" t="str">
        <f t="shared" si="58"/>
        <v>Solano_2027</v>
      </c>
      <c r="D2213" s="1169">
        <v>417.45325775425005</v>
      </c>
    </row>
    <row r="2214" spans="1:4" s="339" customFormat="1" ht="15.5" x14ac:dyDescent="0.35">
      <c r="A2214" s="1158" t="s">
        <v>852</v>
      </c>
      <c r="B2214" s="1159">
        <v>2028</v>
      </c>
      <c r="C2214" s="1159" t="str">
        <f t="shared" si="58"/>
        <v>Solano_2028</v>
      </c>
      <c r="D2214" s="1169">
        <v>409.10647589975832</v>
      </c>
    </row>
    <row r="2215" spans="1:4" s="339" customFormat="1" ht="15.5" x14ac:dyDescent="0.35">
      <c r="A2215" s="1158" t="s">
        <v>852</v>
      </c>
      <c r="B2215" s="1159">
        <v>2029</v>
      </c>
      <c r="C2215" s="1159" t="str">
        <f t="shared" si="58"/>
        <v>Solano_2029</v>
      </c>
      <c r="D2215" s="1169">
        <v>401.39990470592272</v>
      </c>
    </row>
    <row r="2216" spans="1:4" s="339" customFormat="1" ht="15.5" x14ac:dyDescent="0.35">
      <c r="A2216" s="1158" t="s">
        <v>852</v>
      </c>
      <c r="B2216" s="1159">
        <v>2030</v>
      </c>
      <c r="C2216" s="1159" t="str">
        <f t="shared" si="58"/>
        <v>Solano_2030</v>
      </c>
      <c r="D2216" s="1169">
        <v>394.34340082942055</v>
      </c>
    </row>
    <row r="2217" spans="1:4" s="339" customFormat="1" ht="15.5" x14ac:dyDescent="0.35">
      <c r="A2217" s="1158" t="s">
        <v>852</v>
      </c>
      <c r="B2217" s="1159">
        <v>2031</v>
      </c>
      <c r="C2217" s="1159" t="str">
        <f t="shared" si="58"/>
        <v>Solano_2031</v>
      </c>
      <c r="D2217" s="1169">
        <v>387.14756482098198</v>
      </c>
    </row>
    <row r="2218" spans="1:4" s="339" customFormat="1" ht="15.5" x14ac:dyDescent="0.35">
      <c r="A2218" s="1158" t="s">
        <v>852</v>
      </c>
      <c r="B2218" s="1159">
        <v>2032</v>
      </c>
      <c r="C2218" s="1159" t="str">
        <f t="shared" si="58"/>
        <v>Solano_2032</v>
      </c>
      <c r="D2218" s="1169">
        <v>381.32420701448069</v>
      </c>
    </row>
    <row r="2219" spans="1:4" s="339" customFormat="1" ht="15.5" x14ac:dyDescent="0.35">
      <c r="A2219" s="1158" t="s">
        <v>852</v>
      </c>
      <c r="B2219" s="1159">
        <v>2033</v>
      </c>
      <c r="C2219" s="1159" t="str">
        <f t="shared" si="58"/>
        <v>Solano_2033</v>
      </c>
      <c r="D2219" s="1169">
        <v>376.08115253623379</v>
      </c>
    </row>
    <row r="2220" spans="1:4" s="339" customFormat="1" ht="15.5" x14ac:dyDescent="0.35">
      <c r="A2220" s="1158" t="s">
        <v>852</v>
      </c>
      <c r="B2220" s="1159">
        <v>2034</v>
      </c>
      <c r="C2220" s="1159" t="str">
        <f t="shared" si="58"/>
        <v>Solano_2034</v>
      </c>
      <c r="D2220" s="1169">
        <v>371.39589575086757</v>
      </c>
    </row>
    <row r="2221" spans="1:4" s="339" customFormat="1" ht="15.5" x14ac:dyDescent="0.35">
      <c r="A2221" s="1158" t="s">
        <v>852</v>
      </c>
      <c r="B2221" s="1159">
        <v>2035</v>
      </c>
      <c r="C2221" s="1159" t="str">
        <f t="shared" si="58"/>
        <v>Solano_2035</v>
      </c>
      <c r="D2221" s="1169">
        <v>367.24691432030124</v>
      </c>
    </row>
    <row r="2222" spans="1:4" s="339" customFormat="1" ht="15.5" x14ac:dyDescent="0.35">
      <c r="A2222" s="1158" t="s">
        <v>852</v>
      </c>
      <c r="B2222" s="1159">
        <v>2036</v>
      </c>
      <c r="C2222" s="1159" t="str">
        <f t="shared" si="58"/>
        <v>Solano_2036</v>
      </c>
      <c r="D2222" s="1169">
        <v>363.61116372360414</v>
      </c>
    </row>
    <row r="2223" spans="1:4" s="339" customFormat="1" ht="15.5" x14ac:dyDescent="0.35">
      <c r="A2223" s="1158" t="s">
        <v>852</v>
      </c>
      <c r="B2223" s="1159">
        <v>2037</v>
      </c>
      <c r="C2223" s="1159" t="str">
        <f t="shared" si="58"/>
        <v>Solano_2037</v>
      </c>
      <c r="D2223" s="1169">
        <v>360.45628406084671</v>
      </c>
    </row>
    <row r="2224" spans="1:4" s="339" customFormat="1" ht="15.5" x14ac:dyDescent="0.35">
      <c r="A2224" s="1158" t="s">
        <v>852</v>
      </c>
      <c r="B2224" s="1159">
        <v>2038</v>
      </c>
      <c r="C2224" s="1159" t="str">
        <f t="shared" si="58"/>
        <v>Solano_2038</v>
      </c>
      <c r="D2224" s="1169">
        <v>357.75225082049667</v>
      </c>
    </row>
    <row r="2225" spans="1:4" s="339" customFormat="1" ht="15.5" x14ac:dyDescent="0.35">
      <c r="A2225" s="1158" t="s">
        <v>852</v>
      </c>
      <c r="B2225" s="1159">
        <v>2039</v>
      </c>
      <c r="C2225" s="1159" t="str">
        <f t="shared" si="58"/>
        <v>Solano_2039</v>
      </c>
      <c r="D2225" s="1169">
        <v>355.45165825754788</v>
      </c>
    </row>
    <row r="2226" spans="1:4" s="339" customFormat="1" ht="15.5" x14ac:dyDescent="0.35">
      <c r="A2226" s="1158" t="s">
        <v>852</v>
      </c>
      <c r="B2226" s="1159">
        <v>2040</v>
      </c>
      <c r="C2226" s="1159" t="str">
        <f t="shared" si="58"/>
        <v>Solano_2040</v>
      </c>
      <c r="D2226" s="1169">
        <v>353.51382808663197</v>
      </c>
    </row>
    <row r="2227" spans="1:4" s="339" customFormat="1" ht="15.5" x14ac:dyDescent="0.35">
      <c r="A2227" s="1158" t="s">
        <v>852</v>
      </c>
      <c r="B2227" s="1159">
        <v>2041</v>
      </c>
      <c r="C2227" s="1159" t="str">
        <f t="shared" si="58"/>
        <v>Solano_2041</v>
      </c>
      <c r="D2227" s="1169">
        <v>351.90846115666369</v>
      </c>
    </row>
    <row r="2228" spans="1:4" s="339" customFormat="1" ht="15.5" x14ac:dyDescent="0.35">
      <c r="A2228" s="1158" t="s">
        <v>852</v>
      </c>
      <c r="B2228" s="1159">
        <v>2042</v>
      </c>
      <c r="C2228" s="1159" t="str">
        <f t="shared" si="58"/>
        <v>Solano_2042</v>
      </c>
      <c r="D2228" s="1169">
        <v>350.5657221859708</v>
      </c>
    </row>
    <row r="2229" spans="1:4" s="339" customFormat="1" ht="15.5" x14ac:dyDescent="0.35">
      <c r="A2229" s="1158" t="s">
        <v>852</v>
      </c>
      <c r="B2229" s="1159">
        <v>2043</v>
      </c>
      <c r="C2229" s="1159" t="str">
        <f t="shared" si="58"/>
        <v>Solano_2043</v>
      </c>
      <c r="D2229" s="1169">
        <v>349.45799781252339</v>
      </c>
    </row>
    <row r="2230" spans="1:4" s="339" customFormat="1" ht="15.5" x14ac:dyDescent="0.35">
      <c r="A2230" s="1158" t="s">
        <v>852</v>
      </c>
      <c r="B2230" s="1159">
        <v>2044</v>
      </c>
      <c r="C2230" s="1159" t="str">
        <f t="shared" si="58"/>
        <v>Solano_2044</v>
      </c>
      <c r="D2230" s="1169">
        <v>348.53802448179613</v>
      </c>
    </row>
    <row r="2231" spans="1:4" s="339" customFormat="1" ht="15.5" x14ac:dyDescent="0.35">
      <c r="A2231" s="1158" t="s">
        <v>852</v>
      </c>
      <c r="B2231" s="1159">
        <v>2045</v>
      </c>
      <c r="C2231" s="1159" t="str">
        <f t="shared" si="58"/>
        <v>Solano_2045</v>
      </c>
      <c r="D2231" s="1169">
        <v>347.76674127860088</v>
      </c>
    </row>
    <row r="2232" spans="1:4" s="339" customFormat="1" ht="15.5" x14ac:dyDescent="0.35">
      <c r="A2232" s="1158" t="s">
        <v>852</v>
      </c>
      <c r="B2232" s="1159">
        <v>2046</v>
      </c>
      <c r="C2232" s="1159" t="str">
        <f t="shared" si="58"/>
        <v>Solano_2046</v>
      </c>
      <c r="D2232" s="1169">
        <v>347.11082709572287</v>
      </c>
    </row>
    <row r="2233" spans="1:4" s="339" customFormat="1" ht="15.5" x14ac:dyDescent="0.35">
      <c r="A2233" s="1158" t="s">
        <v>852</v>
      </c>
      <c r="B2233" s="1159">
        <v>2047</v>
      </c>
      <c r="C2233" s="1159" t="str">
        <f t="shared" si="58"/>
        <v>Solano_2047</v>
      </c>
      <c r="D2233" s="1169">
        <v>346.56980876646548</v>
      </c>
    </row>
    <row r="2234" spans="1:4" s="339" customFormat="1" ht="15.5" x14ac:dyDescent="0.35">
      <c r="A2234" s="1158" t="s">
        <v>852</v>
      </c>
      <c r="B2234" s="1159">
        <v>2048</v>
      </c>
      <c r="C2234" s="1159" t="str">
        <f t="shared" si="58"/>
        <v>Solano_2048</v>
      </c>
      <c r="D2234" s="1169">
        <v>346.11805529168055</v>
      </c>
    </row>
    <row r="2235" spans="1:4" s="339" customFormat="1" ht="15.5" x14ac:dyDescent="0.35">
      <c r="A2235" s="1158" t="s">
        <v>852</v>
      </c>
      <c r="B2235" s="1159">
        <v>2049</v>
      </c>
      <c r="C2235" s="1159" t="str">
        <f t="shared" si="58"/>
        <v>Solano_2049</v>
      </c>
      <c r="D2235" s="1169">
        <v>345.7370769503637</v>
      </c>
    </row>
    <row r="2236" spans="1:4" s="339" customFormat="1" ht="15.5" x14ac:dyDescent="0.35">
      <c r="A2236" s="1158" t="s">
        <v>852</v>
      </c>
      <c r="B2236" s="1159">
        <v>2050</v>
      </c>
      <c r="C2236" s="1159" t="str">
        <f t="shared" si="58"/>
        <v>Solano_2050</v>
      </c>
      <c r="D2236" s="1169">
        <v>345.42832474672724</v>
      </c>
    </row>
    <row r="2237" spans="1:4" s="339" customFormat="1" ht="15.5" x14ac:dyDescent="0.35">
      <c r="A2237" s="1155" t="s">
        <v>853</v>
      </c>
      <c r="B2237" s="1156">
        <v>2015</v>
      </c>
      <c r="C2237" s="1157" t="s">
        <v>955</v>
      </c>
      <c r="D2237" s="1168">
        <v>514.75383631294733</v>
      </c>
    </row>
    <row r="2238" spans="1:4" s="339" customFormat="1" ht="15.5" x14ac:dyDescent="0.35">
      <c r="A2238" s="1155" t="s">
        <v>853</v>
      </c>
      <c r="B2238" s="1156">
        <v>2016</v>
      </c>
      <c r="C2238" s="1157" t="s">
        <v>956</v>
      </c>
      <c r="D2238" s="1168">
        <v>503.64378956998746</v>
      </c>
    </row>
    <row r="2239" spans="1:4" s="339" customFormat="1" ht="15.5" x14ac:dyDescent="0.35">
      <c r="A2239" s="1158" t="s">
        <v>853</v>
      </c>
      <c r="B2239" s="1159">
        <v>2017</v>
      </c>
      <c r="C2239" s="1159" t="str">
        <f t="shared" ref="C2239:C2302" si="59">CONCATENATE(A2239,"_",B2239)</f>
        <v>Sonoma_2017</v>
      </c>
      <c r="D2239" s="1169">
        <v>499.89569638312804</v>
      </c>
    </row>
    <row r="2240" spans="1:4" s="339" customFormat="1" ht="15.5" x14ac:dyDescent="0.35">
      <c r="A2240" s="1158" t="s">
        <v>853</v>
      </c>
      <c r="B2240" s="1159">
        <v>2018</v>
      </c>
      <c r="C2240" s="1159" t="str">
        <f t="shared" si="59"/>
        <v>Sonoma_2018</v>
      </c>
      <c r="D2240" s="1169">
        <v>493.73424716796296</v>
      </c>
    </row>
    <row r="2241" spans="1:4" s="339" customFormat="1" ht="15.5" x14ac:dyDescent="0.35">
      <c r="A2241" s="1158" t="s">
        <v>853</v>
      </c>
      <c r="B2241" s="1159">
        <v>2019</v>
      </c>
      <c r="C2241" s="1159" t="str">
        <f t="shared" si="59"/>
        <v>Sonoma_2019</v>
      </c>
      <c r="D2241" s="1169">
        <v>486.51484901863586</v>
      </c>
    </row>
    <row r="2242" spans="1:4" s="339" customFormat="1" ht="15.5" x14ac:dyDescent="0.35">
      <c r="A2242" s="1158" t="s">
        <v>853</v>
      </c>
      <c r="B2242" s="1159">
        <v>2020</v>
      </c>
      <c r="C2242" s="1159" t="str">
        <f t="shared" si="59"/>
        <v>Sonoma_2020</v>
      </c>
      <c r="D2242" s="1169">
        <v>481.64268049881611</v>
      </c>
    </row>
    <row r="2243" spans="1:4" s="339" customFormat="1" ht="15.5" x14ac:dyDescent="0.35">
      <c r="A2243" s="1158" t="s">
        <v>853</v>
      </c>
      <c r="B2243" s="1159">
        <v>2021</v>
      </c>
      <c r="C2243" s="1159" t="str">
        <f t="shared" si="59"/>
        <v>Sonoma_2021</v>
      </c>
      <c r="D2243" s="1169">
        <v>472.35320816605389</v>
      </c>
    </row>
    <row r="2244" spans="1:4" s="339" customFormat="1" ht="15.5" x14ac:dyDescent="0.35">
      <c r="A2244" s="1158" t="s">
        <v>853</v>
      </c>
      <c r="B2244" s="1159">
        <v>2022</v>
      </c>
      <c r="C2244" s="1159" t="str">
        <f t="shared" si="59"/>
        <v>Sonoma_2022</v>
      </c>
      <c r="D2244" s="1169">
        <v>463.30123242985701</v>
      </c>
    </row>
    <row r="2245" spans="1:4" s="339" customFormat="1" ht="15.5" x14ac:dyDescent="0.35">
      <c r="A2245" s="1158" t="s">
        <v>853</v>
      </c>
      <c r="B2245" s="1159">
        <v>2023</v>
      </c>
      <c r="C2245" s="1159" t="str">
        <f t="shared" si="59"/>
        <v>Sonoma_2023</v>
      </c>
      <c r="D2245" s="1169">
        <v>453.84370816127739</v>
      </c>
    </row>
    <row r="2246" spans="1:4" s="339" customFormat="1" ht="15.5" x14ac:dyDescent="0.35">
      <c r="A2246" s="1158" t="s">
        <v>853</v>
      </c>
      <c r="B2246" s="1159">
        <v>2024</v>
      </c>
      <c r="C2246" s="1159" t="str">
        <f t="shared" si="59"/>
        <v>Sonoma_2024</v>
      </c>
      <c r="D2246" s="1169">
        <v>444.08808831636156</v>
      </c>
    </row>
    <row r="2247" spans="1:4" s="339" customFormat="1" ht="15.5" x14ac:dyDescent="0.35">
      <c r="A2247" s="1158" t="s">
        <v>853</v>
      </c>
      <c r="B2247" s="1159">
        <v>2025</v>
      </c>
      <c r="C2247" s="1159" t="str">
        <f t="shared" si="59"/>
        <v>Sonoma_2025</v>
      </c>
      <c r="D2247" s="1169">
        <v>434.1370071106017</v>
      </c>
    </row>
    <row r="2248" spans="1:4" s="339" customFormat="1" ht="15.5" x14ac:dyDescent="0.35">
      <c r="A2248" s="1158" t="s">
        <v>853</v>
      </c>
      <c r="B2248" s="1159">
        <v>2026</v>
      </c>
      <c r="C2248" s="1159" t="str">
        <f t="shared" si="59"/>
        <v>Sonoma_2026</v>
      </c>
      <c r="D2248" s="1169">
        <v>424.46124981809112</v>
      </c>
    </row>
    <row r="2249" spans="1:4" s="339" customFormat="1" ht="15.5" x14ac:dyDescent="0.35">
      <c r="A2249" s="1158" t="s">
        <v>853</v>
      </c>
      <c r="B2249" s="1159">
        <v>2027</v>
      </c>
      <c r="C2249" s="1159" t="str">
        <f t="shared" si="59"/>
        <v>Sonoma_2027</v>
      </c>
      <c r="D2249" s="1169">
        <v>415.30923768411884</v>
      </c>
    </row>
    <row r="2250" spans="1:4" s="339" customFormat="1" ht="15.5" x14ac:dyDescent="0.35">
      <c r="A2250" s="1158" t="s">
        <v>853</v>
      </c>
      <c r="B2250" s="1159">
        <v>2028</v>
      </c>
      <c r="C2250" s="1159" t="str">
        <f t="shared" si="59"/>
        <v>Sonoma_2028</v>
      </c>
      <c r="D2250" s="1169">
        <v>406.8083521839996</v>
      </c>
    </row>
    <row r="2251" spans="1:4" s="339" customFormat="1" ht="15.5" x14ac:dyDescent="0.35">
      <c r="A2251" s="1158" t="s">
        <v>853</v>
      </c>
      <c r="B2251" s="1159">
        <v>2029</v>
      </c>
      <c r="C2251" s="1159" t="str">
        <f t="shared" si="59"/>
        <v>Sonoma_2029</v>
      </c>
      <c r="D2251" s="1169">
        <v>398.96079049522626</v>
      </c>
    </row>
    <row r="2252" spans="1:4" s="339" customFormat="1" ht="15.5" x14ac:dyDescent="0.35">
      <c r="A2252" s="1158" t="s">
        <v>853</v>
      </c>
      <c r="B2252" s="1159">
        <v>2030</v>
      </c>
      <c r="C2252" s="1159" t="str">
        <f t="shared" si="59"/>
        <v>Sonoma_2030</v>
      </c>
      <c r="D2252" s="1169">
        <v>391.76595368520833</v>
      </c>
    </row>
    <row r="2253" spans="1:4" s="339" customFormat="1" ht="15.5" x14ac:dyDescent="0.35">
      <c r="A2253" s="1158" t="s">
        <v>853</v>
      </c>
      <c r="B2253" s="1159">
        <v>2031</v>
      </c>
      <c r="C2253" s="1159" t="str">
        <f t="shared" si="59"/>
        <v>Sonoma_2031</v>
      </c>
      <c r="D2253" s="1169">
        <v>386.00531637161157</v>
      </c>
    </row>
    <row r="2254" spans="1:4" s="339" customFormat="1" ht="15.5" x14ac:dyDescent="0.35">
      <c r="A2254" s="1158" t="s">
        <v>853</v>
      </c>
      <c r="B2254" s="1159">
        <v>2032</v>
      </c>
      <c r="C2254" s="1159" t="str">
        <f t="shared" si="59"/>
        <v>Sonoma_2032</v>
      </c>
      <c r="D2254" s="1169">
        <v>379.99496922368598</v>
      </c>
    </row>
    <row r="2255" spans="1:4" s="339" customFormat="1" ht="15.5" x14ac:dyDescent="0.35">
      <c r="A2255" s="1158" t="s">
        <v>853</v>
      </c>
      <c r="B2255" s="1159">
        <v>2033</v>
      </c>
      <c r="C2255" s="1159" t="str">
        <f t="shared" si="59"/>
        <v>Sonoma_2033</v>
      </c>
      <c r="D2255" s="1169">
        <v>374.55848623528999</v>
      </c>
    </row>
    <row r="2256" spans="1:4" s="339" customFormat="1" ht="15.5" x14ac:dyDescent="0.35">
      <c r="A2256" s="1158" t="s">
        <v>853</v>
      </c>
      <c r="B2256" s="1159">
        <v>2034</v>
      </c>
      <c r="C2256" s="1159" t="str">
        <f t="shared" si="59"/>
        <v>Sonoma_2034</v>
      </c>
      <c r="D2256" s="1169">
        <v>369.65345809031248</v>
      </c>
    </row>
    <row r="2257" spans="1:4" s="339" customFormat="1" ht="15.5" x14ac:dyDescent="0.35">
      <c r="A2257" s="1158" t="s">
        <v>853</v>
      </c>
      <c r="B2257" s="1159">
        <v>2035</v>
      </c>
      <c r="C2257" s="1159" t="str">
        <f t="shared" si="59"/>
        <v>Sonoma_2035</v>
      </c>
      <c r="D2257" s="1169">
        <v>365.27920466236156</v>
      </c>
    </row>
    <row r="2258" spans="1:4" s="339" customFormat="1" ht="15.5" x14ac:dyDescent="0.35">
      <c r="A2258" s="1158" t="s">
        <v>853</v>
      </c>
      <c r="B2258" s="1159">
        <v>2036</v>
      </c>
      <c r="C2258" s="1159" t="str">
        <f t="shared" si="59"/>
        <v>Sonoma_2036</v>
      </c>
      <c r="D2258" s="1169">
        <v>361.42786918136949</v>
      </c>
    </row>
    <row r="2259" spans="1:4" s="339" customFormat="1" ht="15.5" x14ac:dyDescent="0.35">
      <c r="A2259" s="1158" t="s">
        <v>853</v>
      </c>
      <c r="B2259" s="1159">
        <v>2037</v>
      </c>
      <c r="C2259" s="1159" t="str">
        <f t="shared" si="59"/>
        <v>Sonoma_2037</v>
      </c>
      <c r="D2259" s="1169">
        <v>358.06826343361166</v>
      </c>
    </row>
    <row r="2260" spans="1:4" s="339" customFormat="1" ht="15.5" x14ac:dyDescent="0.35">
      <c r="A2260" s="1158" t="s">
        <v>853</v>
      </c>
      <c r="B2260" s="1159">
        <v>2038</v>
      </c>
      <c r="C2260" s="1159" t="str">
        <f t="shared" si="59"/>
        <v>Sonoma_2038</v>
      </c>
      <c r="D2260" s="1169">
        <v>355.17750655034394</v>
      </c>
    </row>
    <row r="2261" spans="1:4" s="339" customFormat="1" ht="15.5" x14ac:dyDescent="0.35">
      <c r="A2261" s="1158" t="s">
        <v>853</v>
      </c>
      <c r="B2261" s="1159">
        <v>2039</v>
      </c>
      <c r="C2261" s="1159" t="str">
        <f t="shared" si="59"/>
        <v>Sonoma_2039</v>
      </c>
      <c r="D2261" s="1169">
        <v>352.69141729262844</v>
      </c>
    </row>
    <row r="2262" spans="1:4" s="339" customFormat="1" ht="15.5" x14ac:dyDescent="0.35">
      <c r="A2262" s="1158" t="s">
        <v>853</v>
      </c>
      <c r="B2262" s="1159">
        <v>2040</v>
      </c>
      <c r="C2262" s="1159" t="str">
        <f t="shared" si="59"/>
        <v>Sonoma_2040</v>
      </c>
      <c r="D2262" s="1169">
        <v>350.58819861203995</v>
      </c>
    </row>
    <row r="2263" spans="1:4" s="339" customFormat="1" ht="15.5" x14ac:dyDescent="0.35">
      <c r="A2263" s="1158" t="s">
        <v>853</v>
      </c>
      <c r="B2263" s="1159">
        <v>2041</v>
      </c>
      <c r="C2263" s="1159" t="str">
        <f t="shared" si="59"/>
        <v>Sonoma_2041</v>
      </c>
      <c r="D2263" s="1169">
        <v>348.8347873855493</v>
      </c>
    </row>
    <row r="2264" spans="1:4" s="339" customFormat="1" ht="15.5" x14ac:dyDescent="0.35">
      <c r="A2264" s="1158" t="s">
        <v>853</v>
      </c>
      <c r="B2264" s="1159">
        <v>2042</v>
      </c>
      <c r="C2264" s="1159" t="str">
        <f t="shared" si="59"/>
        <v>Sonoma_2042</v>
      </c>
      <c r="D2264" s="1169">
        <v>347.35117665926106</v>
      </c>
    </row>
    <row r="2265" spans="1:4" s="339" customFormat="1" ht="15.5" x14ac:dyDescent="0.35">
      <c r="A2265" s="1158" t="s">
        <v>853</v>
      </c>
      <c r="B2265" s="1159">
        <v>2043</v>
      </c>
      <c r="C2265" s="1159" t="str">
        <f t="shared" si="59"/>
        <v>Sonoma_2043</v>
      </c>
      <c r="D2265" s="1169">
        <v>346.11996872896407</v>
      </c>
    </row>
    <row r="2266" spans="1:4" s="339" customFormat="1" ht="15.5" x14ac:dyDescent="0.35">
      <c r="A2266" s="1158" t="s">
        <v>853</v>
      </c>
      <c r="B2266" s="1159">
        <v>2044</v>
      </c>
      <c r="C2266" s="1159" t="str">
        <f t="shared" si="59"/>
        <v>Sonoma_2044</v>
      </c>
      <c r="D2266" s="1169">
        <v>345.09164710827616</v>
      </c>
    </row>
    <row r="2267" spans="1:4" s="339" customFormat="1" ht="15.5" x14ac:dyDescent="0.35">
      <c r="A2267" s="1158" t="s">
        <v>853</v>
      </c>
      <c r="B2267" s="1159">
        <v>2045</v>
      </c>
      <c r="C2267" s="1159" t="str">
        <f t="shared" si="59"/>
        <v>Sonoma_2045</v>
      </c>
      <c r="D2267" s="1169">
        <v>344.21500313780211</v>
      </c>
    </row>
    <row r="2268" spans="1:4" s="339" customFormat="1" ht="15.5" x14ac:dyDescent="0.35">
      <c r="A2268" s="1158" t="s">
        <v>853</v>
      </c>
      <c r="B2268" s="1159">
        <v>2046</v>
      </c>
      <c r="C2268" s="1159" t="str">
        <f t="shared" si="59"/>
        <v>Sonoma_2046</v>
      </c>
      <c r="D2268" s="1169">
        <v>343.46943599246168</v>
      </c>
    </row>
    <row r="2269" spans="1:4" s="339" customFormat="1" ht="15.5" x14ac:dyDescent="0.35">
      <c r="A2269" s="1158" t="s">
        <v>853</v>
      </c>
      <c r="B2269" s="1159">
        <v>2047</v>
      </c>
      <c r="C2269" s="1159" t="str">
        <f t="shared" si="59"/>
        <v>Sonoma_2047</v>
      </c>
      <c r="D2269" s="1169">
        <v>342.85008603771735</v>
      </c>
    </row>
    <row r="2270" spans="1:4" s="339" customFormat="1" ht="15.5" x14ac:dyDescent="0.35">
      <c r="A2270" s="1158" t="s">
        <v>853</v>
      </c>
      <c r="B2270" s="1159">
        <v>2048</v>
      </c>
      <c r="C2270" s="1159" t="str">
        <f t="shared" si="59"/>
        <v>Sonoma_2048</v>
      </c>
      <c r="D2270" s="1169">
        <v>342.32974948136319</v>
      </c>
    </row>
    <row r="2271" spans="1:4" s="339" customFormat="1" ht="15.5" x14ac:dyDescent="0.35">
      <c r="A2271" s="1158" t="s">
        <v>853</v>
      </c>
      <c r="B2271" s="1159">
        <v>2049</v>
      </c>
      <c r="C2271" s="1159" t="str">
        <f t="shared" si="59"/>
        <v>Sonoma_2049</v>
      </c>
      <c r="D2271" s="1169">
        <v>341.89184258737521</v>
      </c>
    </row>
    <row r="2272" spans="1:4" s="339" customFormat="1" ht="15.5" x14ac:dyDescent="0.35">
      <c r="A2272" s="1158" t="s">
        <v>853</v>
      </c>
      <c r="B2272" s="1159">
        <v>2050</v>
      </c>
      <c r="C2272" s="1159" t="str">
        <f t="shared" si="59"/>
        <v>Sonoma_2050</v>
      </c>
      <c r="D2272" s="1169">
        <v>341.54064134842088</v>
      </c>
    </row>
    <row r="2273" spans="1:4" s="339" customFormat="1" ht="15.5" x14ac:dyDescent="0.35">
      <c r="A2273" s="1160" t="s">
        <v>815</v>
      </c>
      <c r="B2273" s="1161">
        <v>2015</v>
      </c>
      <c r="C2273" s="1161" t="str">
        <f t="shared" si="59"/>
        <v>South Central Coast_2015</v>
      </c>
      <c r="D2273" s="1168">
        <v>514.34475445470389</v>
      </c>
    </row>
    <row r="2274" spans="1:4" s="339" customFormat="1" ht="15.5" x14ac:dyDescent="0.35">
      <c r="A2274" s="1160" t="s">
        <v>815</v>
      </c>
      <c r="B2274" s="1161">
        <v>2016</v>
      </c>
      <c r="C2274" s="1161" t="str">
        <f t="shared" si="59"/>
        <v>South Central Coast_2016</v>
      </c>
      <c r="D2274" s="1168">
        <v>502.60568671743317</v>
      </c>
    </row>
    <row r="2275" spans="1:4" s="339" customFormat="1" ht="15.5" x14ac:dyDescent="0.35">
      <c r="A2275" s="1162" t="s">
        <v>815</v>
      </c>
      <c r="B2275" s="1163">
        <v>2017</v>
      </c>
      <c r="C2275" s="1163" t="str">
        <f t="shared" si="59"/>
        <v>South Central Coast_2017</v>
      </c>
      <c r="D2275" s="1169">
        <v>499.44892705713659</v>
      </c>
    </row>
    <row r="2276" spans="1:4" s="339" customFormat="1" ht="15.5" x14ac:dyDescent="0.35">
      <c r="A2276" s="1162" t="s">
        <v>815</v>
      </c>
      <c r="B2276" s="1163">
        <v>2018</v>
      </c>
      <c r="C2276" s="1163" t="str">
        <f t="shared" si="59"/>
        <v>South Central Coast_2018</v>
      </c>
      <c r="D2276" s="1169">
        <v>493.74825710115641</v>
      </c>
    </row>
    <row r="2277" spans="1:4" s="339" customFormat="1" ht="15.5" x14ac:dyDescent="0.35">
      <c r="A2277" s="1162" t="s">
        <v>815</v>
      </c>
      <c r="B2277" s="1163">
        <v>2019</v>
      </c>
      <c r="C2277" s="1163" t="str">
        <f t="shared" si="59"/>
        <v>South Central Coast_2019</v>
      </c>
      <c r="D2277" s="1169">
        <v>486.64836686677023</v>
      </c>
    </row>
    <row r="2278" spans="1:4" s="339" customFormat="1" ht="15.5" x14ac:dyDescent="0.35">
      <c r="A2278" s="1162" t="s">
        <v>815</v>
      </c>
      <c r="B2278" s="1163">
        <v>2020</v>
      </c>
      <c r="C2278" s="1163" t="str">
        <f t="shared" si="59"/>
        <v>South Central Coast_2020</v>
      </c>
      <c r="D2278" s="1169">
        <v>482.76819424297099</v>
      </c>
    </row>
    <row r="2279" spans="1:4" s="339" customFormat="1" ht="15.5" x14ac:dyDescent="0.35">
      <c r="A2279" s="1162" t="s">
        <v>815</v>
      </c>
      <c r="B2279" s="1163">
        <v>2021</v>
      </c>
      <c r="C2279" s="1163" t="str">
        <f t="shared" si="59"/>
        <v>South Central Coast_2021</v>
      </c>
      <c r="D2279" s="1169">
        <v>473.26424395354644</v>
      </c>
    </row>
    <row r="2280" spans="1:4" s="339" customFormat="1" ht="15.5" x14ac:dyDescent="0.35">
      <c r="A2280" s="1162" t="s">
        <v>815</v>
      </c>
      <c r="B2280" s="1163">
        <v>2022</v>
      </c>
      <c r="C2280" s="1163" t="str">
        <f t="shared" si="59"/>
        <v>South Central Coast_2022</v>
      </c>
      <c r="D2280" s="1169">
        <v>464.79907284740142</v>
      </c>
    </row>
    <row r="2281" spans="1:4" s="339" customFormat="1" ht="15.5" x14ac:dyDescent="0.35">
      <c r="A2281" s="1162" t="s">
        <v>815</v>
      </c>
      <c r="B2281" s="1163">
        <v>2023</v>
      </c>
      <c r="C2281" s="1163" t="str">
        <f t="shared" si="59"/>
        <v>South Central Coast_2023</v>
      </c>
      <c r="D2281" s="1169">
        <v>455.86163026849198</v>
      </c>
    </row>
    <row r="2282" spans="1:4" s="339" customFormat="1" ht="15.5" x14ac:dyDescent="0.35">
      <c r="A2282" s="1162" t="s">
        <v>815</v>
      </c>
      <c r="B2282" s="1163">
        <v>2024</v>
      </c>
      <c r="C2282" s="1163" t="str">
        <f t="shared" si="59"/>
        <v>South Central Coast_2024</v>
      </c>
      <c r="D2282" s="1169">
        <v>446.43147862008823</v>
      </c>
    </row>
    <row r="2283" spans="1:4" s="339" customFormat="1" ht="15.5" x14ac:dyDescent="0.35">
      <c r="A2283" s="1162" t="s">
        <v>815</v>
      </c>
      <c r="B2283" s="1163">
        <v>2025</v>
      </c>
      <c r="C2283" s="1163" t="str">
        <f t="shared" si="59"/>
        <v>South Central Coast_2025</v>
      </c>
      <c r="D2283" s="1169">
        <v>436.72985456990011</v>
      </c>
    </row>
    <row r="2284" spans="1:4" s="339" customFormat="1" ht="15.5" x14ac:dyDescent="0.35">
      <c r="A2284" s="1162" t="s">
        <v>815</v>
      </c>
      <c r="B2284" s="1163">
        <v>2026</v>
      </c>
      <c r="C2284" s="1163" t="str">
        <f t="shared" si="59"/>
        <v>South Central Coast_2026</v>
      </c>
      <c r="D2284" s="1169">
        <v>426.9983100050186</v>
      </c>
    </row>
    <row r="2285" spans="1:4" s="339" customFormat="1" ht="15.5" x14ac:dyDescent="0.35">
      <c r="A2285" s="1162" t="s">
        <v>815</v>
      </c>
      <c r="B2285" s="1163">
        <v>2027</v>
      </c>
      <c r="C2285" s="1163" t="str">
        <f t="shared" si="59"/>
        <v>South Central Coast_2027</v>
      </c>
      <c r="D2285" s="1169">
        <v>418.37397997280414</v>
      </c>
    </row>
    <row r="2286" spans="1:4" s="339" customFormat="1" ht="15.5" x14ac:dyDescent="0.35">
      <c r="A2286" s="1162" t="s">
        <v>815</v>
      </c>
      <c r="B2286" s="1163">
        <v>2028</v>
      </c>
      <c r="C2286" s="1163" t="str">
        <f t="shared" si="59"/>
        <v>South Central Coast_2028</v>
      </c>
      <c r="D2286" s="1169">
        <v>410.0701365279217</v>
      </c>
    </row>
    <row r="2287" spans="1:4" s="339" customFormat="1" ht="15.5" x14ac:dyDescent="0.35">
      <c r="A2287" s="1162" t="s">
        <v>815</v>
      </c>
      <c r="B2287" s="1163">
        <v>2029</v>
      </c>
      <c r="C2287" s="1163" t="str">
        <f t="shared" si="59"/>
        <v>South Central Coast_2029</v>
      </c>
      <c r="D2287" s="1169">
        <v>402.40814139220203</v>
      </c>
    </row>
    <row r="2288" spans="1:4" s="339" customFormat="1" ht="15.5" x14ac:dyDescent="0.35">
      <c r="A2288" s="1162" t="s">
        <v>815</v>
      </c>
      <c r="B2288" s="1163">
        <v>2030</v>
      </c>
      <c r="C2288" s="1163" t="str">
        <f t="shared" si="59"/>
        <v>South Central Coast_2030</v>
      </c>
      <c r="D2288" s="1169">
        <v>395.39877780154393</v>
      </c>
    </row>
    <row r="2289" spans="1:4" s="339" customFormat="1" ht="15.5" x14ac:dyDescent="0.35">
      <c r="A2289" s="1162" t="s">
        <v>815</v>
      </c>
      <c r="B2289" s="1163">
        <v>2031</v>
      </c>
      <c r="C2289" s="1163" t="str">
        <f t="shared" si="59"/>
        <v>South Central Coast_2031</v>
      </c>
      <c r="D2289" s="1169">
        <v>388.99705883165205</v>
      </c>
    </row>
    <row r="2290" spans="1:4" s="339" customFormat="1" ht="15.5" x14ac:dyDescent="0.35">
      <c r="A2290" s="1162" t="s">
        <v>815</v>
      </c>
      <c r="B2290" s="1163">
        <v>2032</v>
      </c>
      <c r="C2290" s="1163" t="str">
        <f t="shared" si="59"/>
        <v>South Central Coast_2032</v>
      </c>
      <c r="D2290" s="1169">
        <v>383.23337031905407</v>
      </c>
    </row>
    <row r="2291" spans="1:4" s="339" customFormat="1" ht="15.5" x14ac:dyDescent="0.35">
      <c r="A2291" s="1162" t="s">
        <v>815</v>
      </c>
      <c r="B2291" s="1163">
        <v>2033</v>
      </c>
      <c r="C2291" s="1163" t="str">
        <f t="shared" si="59"/>
        <v>South Central Coast_2033</v>
      </c>
      <c r="D2291" s="1169">
        <v>377.85925483943356</v>
      </c>
    </row>
    <row r="2292" spans="1:4" s="339" customFormat="1" ht="15.5" x14ac:dyDescent="0.35">
      <c r="A2292" s="1162" t="s">
        <v>815</v>
      </c>
      <c r="B2292" s="1163">
        <v>2034</v>
      </c>
      <c r="C2292" s="1163" t="str">
        <f t="shared" si="59"/>
        <v>South Central Coast_2034</v>
      </c>
      <c r="D2292" s="1169">
        <v>373.1280995040114</v>
      </c>
    </row>
    <row r="2293" spans="1:4" s="339" customFormat="1" ht="15.5" x14ac:dyDescent="0.35">
      <c r="A2293" s="1162" t="s">
        <v>815</v>
      </c>
      <c r="B2293" s="1163">
        <v>2035</v>
      </c>
      <c r="C2293" s="1163" t="str">
        <f t="shared" si="59"/>
        <v>South Central Coast_2035</v>
      </c>
      <c r="D2293" s="1169">
        <v>368.90421778312964</v>
      </c>
    </row>
    <row r="2294" spans="1:4" s="339" customFormat="1" ht="15.5" x14ac:dyDescent="0.35">
      <c r="A2294" s="1162" t="s">
        <v>815</v>
      </c>
      <c r="B2294" s="1163">
        <v>2036</v>
      </c>
      <c r="C2294" s="1163" t="str">
        <f t="shared" si="59"/>
        <v>South Central Coast_2036</v>
      </c>
      <c r="D2294" s="1169">
        <v>365.01900358000023</v>
      </c>
    </row>
    <row r="2295" spans="1:4" s="339" customFormat="1" ht="15.5" x14ac:dyDescent="0.35">
      <c r="A2295" s="1162" t="s">
        <v>815</v>
      </c>
      <c r="B2295" s="1163">
        <v>2037</v>
      </c>
      <c r="C2295" s="1163" t="str">
        <f t="shared" si="59"/>
        <v>South Central Coast_2037</v>
      </c>
      <c r="D2295" s="1169">
        <v>361.76921315223916</v>
      </c>
    </row>
    <row r="2296" spans="1:4" s="339" customFormat="1" ht="15.5" x14ac:dyDescent="0.35">
      <c r="A2296" s="1162" t="s">
        <v>815</v>
      </c>
      <c r="B2296" s="1163">
        <v>2038</v>
      </c>
      <c r="C2296" s="1163" t="str">
        <f t="shared" si="59"/>
        <v>South Central Coast_2038</v>
      </c>
      <c r="D2296" s="1169">
        <v>359.59713878592919</v>
      </c>
    </row>
    <row r="2297" spans="1:4" s="339" customFormat="1" ht="15.5" x14ac:dyDescent="0.35">
      <c r="A2297" s="1162" t="s">
        <v>815</v>
      </c>
      <c r="B2297" s="1163">
        <v>2039</v>
      </c>
      <c r="C2297" s="1163" t="str">
        <f t="shared" si="59"/>
        <v>South Central Coast_2039</v>
      </c>
      <c r="D2297" s="1169">
        <v>357.1611153799858</v>
      </c>
    </row>
    <row r="2298" spans="1:4" s="339" customFormat="1" ht="15.5" x14ac:dyDescent="0.35">
      <c r="A2298" s="1162" t="s">
        <v>815</v>
      </c>
      <c r="B2298" s="1163">
        <v>2040</v>
      </c>
      <c r="C2298" s="1163" t="str">
        <f t="shared" si="59"/>
        <v>South Central Coast_2040</v>
      </c>
      <c r="D2298" s="1169">
        <v>355.08285297437141</v>
      </c>
    </row>
    <row r="2299" spans="1:4" s="339" customFormat="1" ht="15.5" x14ac:dyDescent="0.35">
      <c r="A2299" s="1162" t="s">
        <v>815</v>
      </c>
      <c r="B2299" s="1163">
        <v>2041</v>
      </c>
      <c r="C2299" s="1163" t="str">
        <f t="shared" si="59"/>
        <v>South Central Coast_2041</v>
      </c>
      <c r="D2299" s="1169">
        <v>353.33596236606672</v>
      </c>
    </row>
    <row r="2300" spans="1:4" s="339" customFormat="1" ht="15.5" x14ac:dyDescent="0.35">
      <c r="A2300" s="1162" t="s">
        <v>815</v>
      </c>
      <c r="B2300" s="1163">
        <v>2042</v>
      </c>
      <c r="C2300" s="1163" t="str">
        <f t="shared" si="59"/>
        <v>South Central Coast_2042</v>
      </c>
      <c r="D2300" s="1169">
        <v>351.84712832499207</v>
      </c>
    </row>
    <row r="2301" spans="1:4" s="339" customFormat="1" ht="15.5" x14ac:dyDescent="0.35">
      <c r="A2301" s="1162" t="s">
        <v>815</v>
      </c>
      <c r="B2301" s="1163">
        <v>2043</v>
      </c>
      <c r="C2301" s="1163" t="str">
        <f t="shared" si="59"/>
        <v>South Central Coast_2043</v>
      </c>
      <c r="D2301" s="1169">
        <v>350.59642692953634</v>
      </c>
    </row>
    <row r="2302" spans="1:4" s="339" customFormat="1" ht="15.5" x14ac:dyDescent="0.35">
      <c r="A2302" s="1162" t="s">
        <v>815</v>
      </c>
      <c r="B2302" s="1163">
        <v>2044</v>
      </c>
      <c r="C2302" s="1163" t="str">
        <f t="shared" si="59"/>
        <v>South Central Coast_2044</v>
      </c>
      <c r="D2302" s="1169">
        <v>349.53460949581404</v>
      </c>
    </row>
    <row r="2303" spans="1:4" s="339" customFormat="1" ht="15.5" x14ac:dyDescent="0.35">
      <c r="A2303" s="1162" t="s">
        <v>815</v>
      </c>
      <c r="B2303" s="1163">
        <v>2045</v>
      </c>
      <c r="C2303" s="1163" t="str">
        <f t="shared" ref="C2303:C2344" si="60">CONCATENATE(A2303,"_",B2303)</f>
        <v>South Central Coast_2045</v>
      </c>
      <c r="D2303" s="1169">
        <v>348.60695253439309</v>
      </c>
    </row>
    <row r="2304" spans="1:4" s="339" customFormat="1" ht="15.5" x14ac:dyDescent="0.35">
      <c r="A2304" s="1162" t="s">
        <v>815</v>
      </c>
      <c r="B2304" s="1163">
        <v>2046</v>
      </c>
      <c r="C2304" s="1163" t="str">
        <f t="shared" si="60"/>
        <v>South Central Coast_2046</v>
      </c>
      <c r="D2304" s="1169">
        <v>347.81297194814766</v>
      </c>
    </row>
    <row r="2305" spans="1:4" s="339" customFormat="1" ht="15.5" x14ac:dyDescent="0.35">
      <c r="A2305" s="1162" t="s">
        <v>815</v>
      </c>
      <c r="B2305" s="1163">
        <v>2047</v>
      </c>
      <c r="C2305" s="1163" t="str">
        <f t="shared" si="60"/>
        <v>South Central Coast_2047</v>
      </c>
      <c r="D2305" s="1169">
        <v>347.13473588630239</v>
      </c>
    </row>
    <row r="2306" spans="1:4" s="339" customFormat="1" ht="15.5" x14ac:dyDescent="0.35">
      <c r="A2306" s="1162" t="s">
        <v>815</v>
      </c>
      <c r="B2306" s="1163">
        <v>2048</v>
      </c>
      <c r="C2306" s="1163" t="str">
        <f t="shared" si="60"/>
        <v>South Central Coast_2048</v>
      </c>
      <c r="D2306" s="1169">
        <v>346.54341868604882</v>
      </c>
    </row>
    <row r="2307" spans="1:4" s="339" customFormat="1" ht="15.5" x14ac:dyDescent="0.35">
      <c r="A2307" s="1162" t="s">
        <v>815</v>
      </c>
      <c r="B2307" s="1163">
        <v>2049</v>
      </c>
      <c r="C2307" s="1163" t="str">
        <f t="shared" si="60"/>
        <v>South Central Coast_2049</v>
      </c>
      <c r="D2307" s="1169">
        <v>346.04405766844081</v>
      </c>
    </row>
    <row r="2308" spans="1:4" s="339" customFormat="1" ht="15.5" x14ac:dyDescent="0.35">
      <c r="A2308" s="1162" t="s">
        <v>815</v>
      </c>
      <c r="B2308" s="1163">
        <v>2050</v>
      </c>
      <c r="C2308" s="1163" t="str">
        <f t="shared" si="60"/>
        <v>South Central Coast_2050</v>
      </c>
      <c r="D2308" s="1169">
        <v>345.63803873408608</v>
      </c>
    </row>
    <row r="2309" spans="1:4" s="339" customFormat="1" ht="15.5" x14ac:dyDescent="0.35">
      <c r="A2309" s="1160" t="s">
        <v>817</v>
      </c>
      <c r="B2309" s="1161">
        <v>2015</v>
      </c>
      <c r="C2309" s="1161" t="str">
        <f t="shared" si="60"/>
        <v>South Coast_2015</v>
      </c>
      <c r="D2309" s="1168">
        <v>517.32141979968742</v>
      </c>
    </row>
    <row r="2310" spans="1:4" s="339" customFormat="1" ht="15.5" x14ac:dyDescent="0.35">
      <c r="A2310" s="1160" t="s">
        <v>817</v>
      </c>
      <c r="B2310" s="1161">
        <v>2016</v>
      </c>
      <c r="C2310" s="1161" t="str">
        <f t="shared" si="60"/>
        <v>South Coast_2016</v>
      </c>
      <c r="D2310" s="1168">
        <v>505.32316170210197</v>
      </c>
    </row>
    <row r="2311" spans="1:4" s="339" customFormat="1" ht="15.5" x14ac:dyDescent="0.35">
      <c r="A2311" s="1162" t="s">
        <v>817</v>
      </c>
      <c r="B2311" s="1163">
        <v>2017</v>
      </c>
      <c r="C2311" s="1163" t="str">
        <f t="shared" si="60"/>
        <v>South Coast_2017</v>
      </c>
      <c r="D2311" s="1169">
        <v>501.37310631015743</v>
      </c>
    </row>
    <row r="2312" spans="1:4" s="339" customFormat="1" ht="15.5" x14ac:dyDescent="0.35">
      <c r="A2312" s="1162" t="s">
        <v>817</v>
      </c>
      <c r="B2312" s="1163">
        <v>2018</v>
      </c>
      <c r="C2312" s="1163" t="str">
        <f t="shared" si="60"/>
        <v>South Coast_2018</v>
      </c>
      <c r="D2312" s="1169">
        <v>495.050154054752</v>
      </c>
    </row>
    <row r="2313" spans="1:4" s="339" customFormat="1" ht="15.5" x14ac:dyDescent="0.35">
      <c r="A2313" s="1162" t="s">
        <v>817</v>
      </c>
      <c r="B2313" s="1163">
        <v>2019</v>
      </c>
      <c r="C2313" s="1163" t="str">
        <f t="shared" si="60"/>
        <v>South Coast_2019</v>
      </c>
      <c r="D2313" s="1169">
        <v>488.6588910496755</v>
      </c>
    </row>
    <row r="2314" spans="1:4" s="339" customFormat="1" ht="15.5" x14ac:dyDescent="0.35">
      <c r="A2314" s="1162" t="s">
        <v>817</v>
      </c>
      <c r="B2314" s="1163">
        <v>2020</v>
      </c>
      <c r="C2314" s="1163" t="str">
        <f t="shared" si="60"/>
        <v>South Coast_2020</v>
      </c>
      <c r="D2314" s="1169">
        <v>485.53504015933316</v>
      </c>
    </row>
    <row r="2315" spans="1:4" s="339" customFormat="1" ht="15.5" x14ac:dyDescent="0.35">
      <c r="A2315" s="1162" t="s">
        <v>817</v>
      </c>
      <c r="B2315" s="1163">
        <v>2021</v>
      </c>
      <c r="C2315" s="1163" t="str">
        <f t="shared" si="60"/>
        <v>South Coast_2021</v>
      </c>
      <c r="D2315" s="1169">
        <v>476.68873870466047</v>
      </c>
    </row>
    <row r="2316" spans="1:4" s="339" customFormat="1" ht="15.5" x14ac:dyDescent="0.35">
      <c r="A2316" s="1162" t="s">
        <v>817</v>
      </c>
      <c r="B2316" s="1163">
        <v>2022</v>
      </c>
      <c r="C2316" s="1163" t="str">
        <f t="shared" si="60"/>
        <v>South Coast_2022</v>
      </c>
      <c r="D2316" s="1169">
        <v>468.40622155125612</v>
      </c>
    </row>
    <row r="2317" spans="1:4" s="339" customFormat="1" ht="15.5" x14ac:dyDescent="0.35">
      <c r="A2317" s="1162" t="s">
        <v>817</v>
      </c>
      <c r="B2317" s="1163">
        <v>2023</v>
      </c>
      <c r="C2317" s="1163" t="str">
        <f t="shared" si="60"/>
        <v>South Coast_2023</v>
      </c>
      <c r="D2317" s="1169">
        <v>459.4277595664629</v>
      </c>
    </row>
    <row r="2318" spans="1:4" s="339" customFormat="1" ht="15.5" x14ac:dyDescent="0.35">
      <c r="A2318" s="1162" t="s">
        <v>817</v>
      </c>
      <c r="B2318" s="1163">
        <v>2024</v>
      </c>
      <c r="C2318" s="1163" t="str">
        <f t="shared" si="60"/>
        <v>South Coast_2024</v>
      </c>
      <c r="D2318" s="1169">
        <v>449.8013099390559</v>
      </c>
    </row>
    <row r="2319" spans="1:4" s="339" customFormat="1" ht="15.5" x14ac:dyDescent="0.35">
      <c r="A2319" s="1162" t="s">
        <v>817</v>
      </c>
      <c r="B2319" s="1163">
        <v>2025</v>
      </c>
      <c r="C2319" s="1163" t="str">
        <f t="shared" si="60"/>
        <v>South Coast_2025</v>
      </c>
      <c r="D2319" s="1169">
        <v>440.30472242997519</v>
      </c>
    </row>
    <row r="2320" spans="1:4" s="339" customFormat="1" ht="15.5" x14ac:dyDescent="0.35">
      <c r="A2320" s="1162" t="s">
        <v>817</v>
      </c>
      <c r="B2320" s="1163">
        <v>2026</v>
      </c>
      <c r="C2320" s="1163" t="str">
        <f t="shared" si="60"/>
        <v>South Coast_2026</v>
      </c>
      <c r="D2320" s="1169">
        <v>431.20561486536883</v>
      </c>
    </row>
    <row r="2321" spans="1:4" s="339" customFormat="1" ht="15.5" x14ac:dyDescent="0.35">
      <c r="A2321" s="1162" t="s">
        <v>817</v>
      </c>
      <c r="B2321" s="1163">
        <v>2027</v>
      </c>
      <c r="C2321" s="1163" t="str">
        <f t="shared" si="60"/>
        <v>South Coast_2027</v>
      </c>
      <c r="D2321" s="1169">
        <v>423.08512719558109</v>
      </c>
    </row>
    <row r="2322" spans="1:4" s="339" customFormat="1" ht="15.5" x14ac:dyDescent="0.35">
      <c r="A2322" s="1162" t="s">
        <v>817</v>
      </c>
      <c r="B2322" s="1163">
        <v>2028</v>
      </c>
      <c r="C2322" s="1163" t="str">
        <f t="shared" si="60"/>
        <v>South Coast_2028</v>
      </c>
      <c r="D2322" s="1169">
        <v>415.58600685804146</v>
      </c>
    </row>
    <row r="2323" spans="1:4" s="339" customFormat="1" ht="15.5" x14ac:dyDescent="0.35">
      <c r="A2323" s="1162" t="s">
        <v>817</v>
      </c>
      <c r="B2323" s="1163">
        <v>2029</v>
      </c>
      <c r="C2323" s="1163" t="str">
        <f t="shared" si="60"/>
        <v>South Coast_2029</v>
      </c>
      <c r="D2323" s="1169">
        <v>408.80238266604141</v>
      </c>
    </row>
    <row r="2324" spans="1:4" s="339" customFormat="1" ht="15.5" x14ac:dyDescent="0.35">
      <c r="A2324" s="1162" t="s">
        <v>817</v>
      </c>
      <c r="B2324" s="1163">
        <v>2030</v>
      </c>
      <c r="C2324" s="1163" t="str">
        <f t="shared" si="60"/>
        <v>South Coast_2030</v>
      </c>
      <c r="D2324" s="1169">
        <v>402.6802815825709</v>
      </c>
    </row>
    <row r="2325" spans="1:4" s="339" customFormat="1" ht="15.5" x14ac:dyDescent="0.35">
      <c r="A2325" s="1162" t="s">
        <v>817</v>
      </c>
      <c r="B2325" s="1163">
        <v>2031</v>
      </c>
      <c r="C2325" s="1163" t="str">
        <f t="shared" si="60"/>
        <v>South Coast_2031</v>
      </c>
      <c r="D2325" s="1169">
        <v>397.15047458858453</v>
      </c>
    </row>
    <row r="2326" spans="1:4" s="339" customFormat="1" ht="15.5" x14ac:dyDescent="0.35">
      <c r="A2326" s="1162" t="s">
        <v>817</v>
      </c>
      <c r="B2326" s="1163">
        <v>2032</v>
      </c>
      <c r="C2326" s="1163" t="str">
        <f t="shared" si="60"/>
        <v>South Coast_2032</v>
      </c>
      <c r="D2326" s="1169">
        <v>392.16447675065541</v>
      </c>
    </row>
    <row r="2327" spans="1:4" s="339" customFormat="1" ht="15.5" x14ac:dyDescent="0.35">
      <c r="A2327" s="1162" t="s">
        <v>817</v>
      </c>
      <c r="B2327" s="1163">
        <v>2033</v>
      </c>
      <c r="C2327" s="1163" t="str">
        <f t="shared" si="60"/>
        <v>South Coast_2033</v>
      </c>
      <c r="D2327" s="1169">
        <v>387.62883953610515</v>
      </c>
    </row>
    <row r="2328" spans="1:4" s="339" customFormat="1" ht="15.5" x14ac:dyDescent="0.35">
      <c r="A2328" s="1162" t="s">
        <v>817</v>
      </c>
      <c r="B2328" s="1163">
        <v>2034</v>
      </c>
      <c r="C2328" s="1163" t="str">
        <f t="shared" si="60"/>
        <v>South Coast_2034</v>
      </c>
      <c r="D2328" s="1169">
        <v>383.61576239296386</v>
      </c>
    </row>
    <row r="2329" spans="1:4" s="339" customFormat="1" ht="15.5" x14ac:dyDescent="0.35">
      <c r="A2329" s="1162" t="s">
        <v>817</v>
      </c>
      <c r="B2329" s="1163">
        <v>2035</v>
      </c>
      <c r="C2329" s="1163" t="str">
        <f t="shared" si="60"/>
        <v>South Coast_2035</v>
      </c>
      <c r="D2329" s="1169">
        <v>380.06139868878688</v>
      </c>
    </row>
    <row r="2330" spans="1:4" s="339" customFormat="1" ht="15.5" x14ac:dyDescent="0.35">
      <c r="A2330" s="1162" t="s">
        <v>817</v>
      </c>
      <c r="B2330" s="1163">
        <v>2036</v>
      </c>
      <c r="C2330" s="1163" t="str">
        <f t="shared" si="60"/>
        <v>South Coast_2036</v>
      </c>
      <c r="D2330" s="1169">
        <v>377.01585927368689</v>
      </c>
    </row>
    <row r="2331" spans="1:4" s="339" customFormat="1" ht="15.5" x14ac:dyDescent="0.35">
      <c r="A2331" s="1162" t="s">
        <v>817</v>
      </c>
      <c r="B2331" s="1163">
        <v>2037</v>
      </c>
      <c r="C2331" s="1163" t="str">
        <f t="shared" si="60"/>
        <v>South Coast_2037</v>
      </c>
      <c r="D2331" s="1169">
        <v>374.2842503347195</v>
      </c>
    </row>
    <row r="2332" spans="1:4" s="339" customFormat="1" ht="15.5" x14ac:dyDescent="0.35">
      <c r="A2332" s="1162" t="s">
        <v>817</v>
      </c>
      <c r="B2332" s="1163">
        <v>2038</v>
      </c>
      <c r="C2332" s="1163" t="str">
        <f t="shared" si="60"/>
        <v>South Coast_2038</v>
      </c>
      <c r="D2332" s="1169">
        <v>371.95307094381496</v>
      </c>
    </row>
    <row r="2333" spans="1:4" s="339" customFormat="1" ht="15.5" x14ac:dyDescent="0.35">
      <c r="A2333" s="1162" t="s">
        <v>817</v>
      </c>
      <c r="B2333" s="1163">
        <v>2039</v>
      </c>
      <c r="C2333" s="1163" t="str">
        <f t="shared" si="60"/>
        <v>South Coast_2039</v>
      </c>
      <c r="D2333" s="1169">
        <v>369.9247885911555</v>
      </c>
    </row>
    <row r="2334" spans="1:4" s="339" customFormat="1" ht="15.5" x14ac:dyDescent="0.35">
      <c r="A2334" s="1162" t="s">
        <v>817</v>
      </c>
      <c r="B2334" s="1163">
        <v>2040</v>
      </c>
      <c r="C2334" s="1163" t="str">
        <f t="shared" si="60"/>
        <v>South Coast_2040</v>
      </c>
      <c r="D2334" s="1169">
        <v>368.19754125830787</v>
      </c>
    </row>
    <row r="2335" spans="1:4" s="339" customFormat="1" ht="15.5" x14ac:dyDescent="0.35">
      <c r="A2335" s="1162" t="s">
        <v>817</v>
      </c>
      <c r="B2335" s="1163">
        <v>2041</v>
      </c>
      <c r="C2335" s="1163" t="str">
        <f t="shared" si="60"/>
        <v>South Coast_2041</v>
      </c>
      <c r="D2335" s="1169">
        <v>366.75445750873422</v>
      </c>
    </row>
    <row r="2336" spans="1:4" s="339" customFormat="1" ht="15.5" x14ac:dyDescent="0.35">
      <c r="A2336" s="1162" t="s">
        <v>817</v>
      </c>
      <c r="B2336" s="1163">
        <v>2042</v>
      </c>
      <c r="C2336" s="1163" t="str">
        <f t="shared" si="60"/>
        <v>South Coast_2042</v>
      </c>
      <c r="D2336" s="1169">
        <v>365.52461628526657</v>
      </c>
    </row>
    <row r="2337" spans="1:4" s="339" customFormat="1" ht="15.5" x14ac:dyDescent="0.35">
      <c r="A2337" s="1162" t="s">
        <v>817</v>
      </c>
      <c r="B2337" s="1163">
        <v>2043</v>
      </c>
      <c r="C2337" s="1163" t="str">
        <f t="shared" si="60"/>
        <v>South Coast_2043</v>
      </c>
      <c r="D2337" s="1169">
        <v>364.49813421257727</v>
      </c>
    </row>
    <row r="2338" spans="1:4" s="339" customFormat="1" ht="15.5" x14ac:dyDescent="0.35">
      <c r="A2338" s="1162" t="s">
        <v>817</v>
      </c>
      <c r="B2338" s="1163">
        <v>2044</v>
      </c>
      <c r="C2338" s="1163" t="str">
        <f t="shared" si="60"/>
        <v>South Coast_2044</v>
      </c>
      <c r="D2338" s="1169">
        <v>363.62581560323309</v>
      </c>
    </row>
    <row r="2339" spans="1:4" s="339" customFormat="1" ht="15.5" x14ac:dyDescent="0.35">
      <c r="A2339" s="1162" t="s">
        <v>817</v>
      </c>
      <c r="B2339" s="1163">
        <v>2045</v>
      </c>
      <c r="C2339" s="1163" t="str">
        <f t="shared" si="60"/>
        <v>South Coast_2045</v>
      </c>
      <c r="D2339" s="1169">
        <v>362.86169704839506</v>
      </c>
    </row>
    <row r="2340" spans="1:4" s="339" customFormat="1" ht="15.5" x14ac:dyDescent="0.35">
      <c r="A2340" s="1162" t="s">
        <v>817</v>
      </c>
      <c r="B2340" s="1163">
        <v>2046</v>
      </c>
      <c r="C2340" s="1163" t="str">
        <f t="shared" si="60"/>
        <v>South Coast_2046</v>
      </c>
      <c r="D2340" s="1169">
        <v>362.21239333622208</v>
      </c>
    </row>
    <row r="2341" spans="1:4" s="339" customFormat="1" ht="15.5" x14ac:dyDescent="0.35">
      <c r="A2341" s="1162" t="s">
        <v>817</v>
      </c>
      <c r="B2341" s="1163">
        <v>2047</v>
      </c>
      <c r="C2341" s="1163" t="str">
        <f t="shared" si="60"/>
        <v>South Coast_2047</v>
      </c>
      <c r="D2341" s="1169">
        <v>361.6552604772574</v>
      </c>
    </row>
    <row r="2342" spans="1:4" s="339" customFormat="1" ht="15.5" x14ac:dyDescent="0.35">
      <c r="A2342" s="1162" t="s">
        <v>817</v>
      </c>
      <c r="B2342" s="1163">
        <v>2048</v>
      </c>
      <c r="C2342" s="1163" t="str">
        <f t="shared" si="60"/>
        <v>South Coast_2048</v>
      </c>
      <c r="D2342" s="1169">
        <v>361.16990252361865</v>
      </c>
    </row>
    <row r="2343" spans="1:4" s="339" customFormat="1" ht="15.5" x14ac:dyDescent="0.35">
      <c r="A2343" s="1162" t="s">
        <v>817</v>
      </c>
      <c r="B2343" s="1163">
        <v>2049</v>
      </c>
      <c r="C2343" s="1163" t="str">
        <f t="shared" si="60"/>
        <v>South Coast_2049</v>
      </c>
      <c r="D2343" s="1169">
        <v>360.74988987665239</v>
      </c>
    </row>
    <row r="2344" spans="1:4" s="339" customFormat="1" ht="15.5" x14ac:dyDescent="0.35">
      <c r="A2344" s="1162" t="s">
        <v>817</v>
      </c>
      <c r="B2344" s="1163">
        <v>2050</v>
      </c>
      <c r="C2344" s="1163" t="str">
        <f t="shared" si="60"/>
        <v>South Coast_2050</v>
      </c>
      <c r="D2344" s="1169">
        <v>360.41402884546704</v>
      </c>
    </row>
    <row r="2345" spans="1:4" s="339" customFormat="1" ht="15.5" x14ac:dyDescent="0.35">
      <c r="A2345" s="1155" t="s">
        <v>854</v>
      </c>
      <c r="B2345" s="1156">
        <v>2015</v>
      </c>
      <c r="C2345" s="1157" t="s">
        <v>957</v>
      </c>
      <c r="D2345" s="1168">
        <v>518.03925463282837</v>
      </c>
    </row>
    <row r="2346" spans="1:4" s="339" customFormat="1" ht="15.5" x14ac:dyDescent="0.35">
      <c r="A2346" s="1155" t="s">
        <v>854</v>
      </c>
      <c r="B2346" s="1156">
        <v>2016</v>
      </c>
      <c r="C2346" s="1157" t="s">
        <v>958</v>
      </c>
      <c r="D2346" s="1168">
        <v>505.51825089125452</v>
      </c>
    </row>
    <row r="2347" spans="1:4" s="339" customFormat="1" ht="15.5" x14ac:dyDescent="0.35">
      <c r="A2347" s="1158" t="s">
        <v>854</v>
      </c>
      <c r="B2347" s="1159">
        <v>2017</v>
      </c>
      <c r="C2347" s="1159" t="str">
        <f t="shared" ref="C2347:C2380" si="61">CONCATENATE(A2347,"_",B2347)</f>
        <v>Stanislaus_2017</v>
      </c>
      <c r="D2347" s="1169">
        <v>501.63475923600555</v>
      </c>
    </row>
    <row r="2348" spans="1:4" s="339" customFormat="1" ht="15.5" x14ac:dyDescent="0.35">
      <c r="A2348" s="1158" t="s">
        <v>854</v>
      </c>
      <c r="B2348" s="1159">
        <v>2018</v>
      </c>
      <c r="C2348" s="1159" t="str">
        <f t="shared" si="61"/>
        <v>Stanislaus_2018</v>
      </c>
      <c r="D2348" s="1169">
        <v>494.57023849021022</v>
      </c>
    </row>
    <row r="2349" spans="1:4" s="339" customFormat="1" ht="15.5" x14ac:dyDescent="0.35">
      <c r="A2349" s="1158" t="s">
        <v>854</v>
      </c>
      <c r="B2349" s="1159">
        <v>2019</v>
      </c>
      <c r="C2349" s="1159" t="str">
        <f t="shared" si="61"/>
        <v>Stanislaus_2019</v>
      </c>
      <c r="D2349" s="1169">
        <v>487.102286890274</v>
      </c>
    </row>
    <row r="2350" spans="1:4" s="339" customFormat="1" ht="15.5" x14ac:dyDescent="0.35">
      <c r="A2350" s="1158" t="s">
        <v>854</v>
      </c>
      <c r="B2350" s="1159">
        <v>2020</v>
      </c>
      <c r="C2350" s="1159" t="str">
        <f t="shared" si="61"/>
        <v>Stanislaus_2020</v>
      </c>
      <c r="D2350" s="1169">
        <v>481.15044864613208</v>
      </c>
    </row>
    <row r="2351" spans="1:4" s="339" customFormat="1" ht="15.5" x14ac:dyDescent="0.35">
      <c r="A2351" s="1158" t="s">
        <v>854</v>
      </c>
      <c r="B2351" s="1159">
        <v>2021</v>
      </c>
      <c r="C2351" s="1159" t="str">
        <f t="shared" si="61"/>
        <v>Stanislaus_2021</v>
      </c>
      <c r="D2351" s="1169">
        <v>470.83483813368213</v>
      </c>
    </row>
    <row r="2352" spans="1:4" s="339" customFormat="1" ht="15.5" x14ac:dyDescent="0.35">
      <c r="A2352" s="1158" t="s">
        <v>854</v>
      </c>
      <c r="B2352" s="1159">
        <v>2022</v>
      </c>
      <c r="C2352" s="1159" t="str">
        <f t="shared" si="61"/>
        <v>Stanislaus_2022</v>
      </c>
      <c r="D2352" s="1169">
        <v>461.92886549446047</v>
      </c>
    </row>
    <row r="2353" spans="1:4" s="339" customFormat="1" ht="15.5" x14ac:dyDescent="0.35">
      <c r="A2353" s="1158" t="s">
        <v>854</v>
      </c>
      <c r="B2353" s="1159">
        <v>2023</v>
      </c>
      <c r="C2353" s="1159" t="str">
        <f t="shared" si="61"/>
        <v>Stanislaus_2023</v>
      </c>
      <c r="D2353" s="1169">
        <v>452.38620369023454</v>
      </c>
    </row>
    <row r="2354" spans="1:4" s="339" customFormat="1" ht="15.5" x14ac:dyDescent="0.35">
      <c r="A2354" s="1158" t="s">
        <v>854</v>
      </c>
      <c r="B2354" s="1159">
        <v>2024</v>
      </c>
      <c r="C2354" s="1159" t="str">
        <f t="shared" si="61"/>
        <v>Stanislaus_2024</v>
      </c>
      <c r="D2354" s="1169">
        <v>442.13715182085451</v>
      </c>
    </row>
    <row r="2355" spans="1:4" s="339" customFormat="1" ht="15.5" x14ac:dyDescent="0.35">
      <c r="A2355" s="1158" t="s">
        <v>854</v>
      </c>
      <c r="B2355" s="1159">
        <v>2025</v>
      </c>
      <c r="C2355" s="1159" t="str">
        <f t="shared" si="61"/>
        <v>Stanislaus_2025</v>
      </c>
      <c r="D2355" s="1169">
        <v>431.96756678325585</v>
      </c>
    </row>
    <row r="2356" spans="1:4" s="339" customFormat="1" ht="15.5" x14ac:dyDescent="0.35">
      <c r="A2356" s="1158" t="s">
        <v>854</v>
      </c>
      <c r="B2356" s="1159">
        <v>2026</v>
      </c>
      <c r="C2356" s="1159" t="str">
        <f t="shared" si="61"/>
        <v>Stanislaus_2026</v>
      </c>
      <c r="D2356" s="1169">
        <v>422.00598473517118</v>
      </c>
    </row>
    <row r="2357" spans="1:4" s="339" customFormat="1" ht="15.5" x14ac:dyDescent="0.35">
      <c r="A2357" s="1158" t="s">
        <v>854</v>
      </c>
      <c r="B2357" s="1159">
        <v>2027</v>
      </c>
      <c r="C2357" s="1159" t="str">
        <f t="shared" si="61"/>
        <v>Stanislaus_2027</v>
      </c>
      <c r="D2357" s="1169">
        <v>412.17996330029405</v>
      </c>
    </row>
    <row r="2358" spans="1:4" s="339" customFormat="1" ht="15.5" x14ac:dyDescent="0.35">
      <c r="A2358" s="1158" t="s">
        <v>854</v>
      </c>
      <c r="B2358" s="1159">
        <v>2028</v>
      </c>
      <c r="C2358" s="1159" t="str">
        <f t="shared" si="61"/>
        <v>Stanislaus_2028</v>
      </c>
      <c r="D2358" s="1169">
        <v>403.36356190626407</v>
      </c>
    </row>
    <row r="2359" spans="1:4" s="339" customFormat="1" ht="15.5" x14ac:dyDescent="0.35">
      <c r="A2359" s="1158" t="s">
        <v>854</v>
      </c>
      <c r="B2359" s="1159">
        <v>2029</v>
      </c>
      <c r="C2359" s="1159" t="str">
        <f t="shared" si="61"/>
        <v>Stanislaus_2029</v>
      </c>
      <c r="D2359" s="1169">
        <v>395.22389582281528</v>
      </c>
    </row>
    <row r="2360" spans="1:4" s="339" customFormat="1" ht="15.5" x14ac:dyDescent="0.35">
      <c r="A2360" s="1158" t="s">
        <v>854</v>
      </c>
      <c r="B2360" s="1159">
        <v>2030</v>
      </c>
      <c r="C2360" s="1159" t="str">
        <f t="shared" si="61"/>
        <v>Stanislaus_2030</v>
      </c>
      <c r="D2360" s="1169">
        <v>387.01745338712908</v>
      </c>
    </row>
    <row r="2361" spans="1:4" s="339" customFormat="1" ht="15.5" x14ac:dyDescent="0.35">
      <c r="A2361" s="1158" t="s">
        <v>854</v>
      </c>
      <c r="B2361" s="1159">
        <v>2031</v>
      </c>
      <c r="C2361" s="1159" t="str">
        <f t="shared" si="61"/>
        <v>Stanislaus_2031</v>
      </c>
      <c r="D2361" s="1169">
        <v>380.70558050308034</v>
      </c>
    </row>
    <row r="2362" spans="1:4" s="339" customFormat="1" ht="15.5" x14ac:dyDescent="0.35">
      <c r="A2362" s="1158" t="s">
        <v>854</v>
      </c>
      <c r="B2362" s="1159">
        <v>2032</v>
      </c>
      <c r="C2362" s="1159" t="str">
        <f t="shared" si="61"/>
        <v>Stanislaus_2032</v>
      </c>
      <c r="D2362" s="1169">
        <v>375.35902383942198</v>
      </c>
    </row>
    <row r="2363" spans="1:4" s="339" customFormat="1" ht="15.5" x14ac:dyDescent="0.35">
      <c r="A2363" s="1158" t="s">
        <v>854</v>
      </c>
      <c r="B2363" s="1159">
        <v>2033</v>
      </c>
      <c r="C2363" s="1159" t="str">
        <f t="shared" si="61"/>
        <v>Stanislaus_2033</v>
      </c>
      <c r="D2363" s="1169">
        <v>369.80311839194184</v>
      </c>
    </row>
    <row r="2364" spans="1:4" s="339" customFormat="1" ht="15.5" x14ac:dyDescent="0.35">
      <c r="A2364" s="1158" t="s">
        <v>854</v>
      </c>
      <c r="B2364" s="1159">
        <v>2034</v>
      </c>
      <c r="C2364" s="1159" t="str">
        <f t="shared" si="61"/>
        <v>Stanislaus_2034</v>
      </c>
      <c r="D2364" s="1169">
        <v>364.82979769562155</v>
      </c>
    </row>
    <row r="2365" spans="1:4" s="339" customFormat="1" ht="15.5" x14ac:dyDescent="0.35">
      <c r="A2365" s="1158" t="s">
        <v>854</v>
      </c>
      <c r="B2365" s="1159">
        <v>2035</v>
      </c>
      <c r="C2365" s="1159" t="str">
        <f t="shared" si="61"/>
        <v>Stanislaus_2035</v>
      </c>
      <c r="D2365" s="1169">
        <v>360.41237626819992</v>
      </c>
    </row>
    <row r="2366" spans="1:4" s="339" customFormat="1" ht="15.5" x14ac:dyDescent="0.35">
      <c r="A2366" s="1158" t="s">
        <v>854</v>
      </c>
      <c r="B2366" s="1159">
        <v>2036</v>
      </c>
      <c r="C2366" s="1159" t="str">
        <f t="shared" si="61"/>
        <v>Stanislaus_2036</v>
      </c>
      <c r="D2366" s="1169">
        <v>356.52720595938268</v>
      </c>
    </row>
    <row r="2367" spans="1:4" s="339" customFormat="1" ht="15.5" x14ac:dyDescent="0.35">
      <c r="A2367" s="1158" t="s">
        <v>854</v>
      </c>
      <c r="B2367" s="1159">
        <v>2037</v>
      </c>
      <c r="C2367" s="1159" t="str">
        <f t="shared" si="61"/>
        <v>Stanislaus_2037</v>
      </c>
      <c r="D2367" s="1169">
        <v>353.14026711844355</v>
      </c>
    </row>
    <row r="2368" spans="1:4" s="339" customFormat="1" ht="15.5" x14ac:dyDescent="0.35">
      <c r="A2368" s="1158" t="s">
        <v>854</v>
      </c>
      <c r="B2368" s="1159">
        <v>2038</v>
      </c>
      <c r="C2368" s="1159" t="str">
        <f t="shared" si="61"/>
        <v>Stanislaus_2038</v>
      </c>
      <c r="D2368" s="1169">
        <v>349.97291344196441</v>
      </c>
    </row>
    <row r="2369" spans="1:4" s="339" customFormat="1" ht="15.5" x14ac:dyDescent="0.35">
      <c r="A2369" s="1158" t="s">
        <v>854</v>
      </c>
      <c r="B2369" s="1159">
        <v>2039</v>
      </c>
      <c r="C2369" s="1159" t="str">
        <f t="shared" si="61"/>
        <v>Stanislaus_2039</v>
      </c>
      <c r="D2369" s="1169">
        <v>347.47808459484037</v>
      </c>
    </row>
    <row r="2370" spans="1:4" s="339" customFormat="1" ht="15.5" x14ac:dyDescent="0.35">
      <c r="A2370" s="1158" t="s">
        <v>854</v>
      </c>
      <c r="B2370" s="1159">
        <v>2040</v>
      </c>
      <c r="C2370" s="1159" t="str">
        <f t="shared" si="61"/>
        <v>Stanislaus_2040</v>
      </c>
      <c r="D2370" s="1169">
        <v>345.36764484516482</v>
      </c>
    </row>
    <row r="2371" spans="1:4" s="339" customFormat="1" ht="15.5" x14ac:dyDescent="0.35">
      <c r="A2371" s="1158" t="s">
        <v>854</v>
      </c>
      <c r="B2371" s="1159">
        <v>2041</v>
      </c>
      <c r="C2371" s="1159" t="str">
        <f t="shared" si="61"/>
        <v>Stanislaus_2041</v>
      </c>
      <c r="D2371" s="1169">
        <v>343.61032572140488</v>
      </c>
    </row>
    <row r="2372" spans="1:4" s="339" customFormat="1" ht="15.5" x14ac:dyDescent="0.35">
      <c r="A2372" s="1158" t="s">
        <v>854</v>
      </c>
      <c r="B2372" s="1159">
        <v>2042</v>
      </c>
      <c r="C2372" s="1159" t="str">
        <f t="shared" si="61"/>
        <v>Stanislaus_2042</v>
      </c>
      <c r="D2372" s="1169">
        <v>342.13693133729259</v>
      </c>
    </row>
    <row r="2373" spans="1:4" s="339" customFormat="1" ht="15.5" x14ac:dyDescent="0.35">
      <c r="A2373" s="1158" t="s">
        <v>854</v>
      </c>
      <c r="B2373" s="1159">
        <v>2043</v>
      </c>
      <c r="C2373" s="1159" t="str">
        <f t="shared" si="61"/>
        <v>Stanislaus_2043</v>
      </c>
      <c r="D2373" s="1169">
        <v>340.92387364548364</v>
      </c>
    </row>
    <row r="2374" spans="1:4" s="339" customFormat="1" ht="15.5" x14ac:dyDescent="0.35">
      <c r="A2374" s="1158" t="s">
        <v>854</v>
      </c>
      <c r="B2374" s="1159">
        <v>2044</v>
      </c>
      <c r="C2374" s="1159" t="str">
        <f t="shared" si="61"/>
        <v>Stanislaus_2044</v>
      </c>
      <c r="D2374" s="1169">
        <v>339.91607864331735</v>
      </c>
    </row>
    <row r="2375" spans="1:4" s="339" customFormat="1" ht="15.5" x14ac:dyDescent="0.35">
      <c r="A2375" s="1158" t="s">
        <v>854</v>
      </c>
      <c r="B2375" s="1159">
        <v>2045</v>
      </c>
      <c r="C2375" s="1159" t="str">
        <f t="shared" si="61"/>
        <v>Stanislaus_2045</v>
      </c>
      <c r="D2375" s="1169">
        <v>339.07271154151505</v>
      </c>
    </row>
    <row r="2376" spans="1:4" s="339" customFormat="1" ht="15.5" x14ac:dyDescent="0.35">
      <c r="A2376" s="1158" t="s">
        <v>854</v>
      </c>
      <c r="B2376" s="1159">
        <v>2046</v>
      </c>
      <c r="C2376" s="1159" t="str">
        <f t="shared" si="61"/>
        <v>Stanislaus_2046</v>
      </c>
      <c r="D2376" s="1169">
        <v>338.36135197273347</v>
      </c>
    </row>
    <row r="2377" spans="1:4" s="339" customFormat="1" ht="15.5" x14ac:dyDescent="0.35">
      <c r="A2377" s="1158" t="s">
        <v>854</v>
      </c>
      <c r="B2377" s="1159">
        <v>2047</v>
      </c>
      <c r="C2377" s="1159" t="str">
        <f t="shared" si="61"/>
        <v>Stanislaus_2047</v>
      </c>
      <c r="D2377" s="1169">
        <v>337.77514457224345</v>
      </c>
    </row>
    <row r="2378" spans="1:4" s="339" customFormat="1" ht="15.5" x14ac:dyDescent="0.35">
      <c r="A2378" s="1158" t="s">
        <v>854</v>
      </c>
      <c r="B2378" s="1159">
        <v>2048</v>
      </c>
      <c r="C2378" s="1159" t="str">
        <f t="shared" si="61"/>
        <v>Stanislaus_2048</v>
      </c>
      <c r="D2378" s="1169">
        <v>337.28528857016971</v>
      </c>
    </row>
    <row r="2379" spans="1:4" s="339" customFormat="1" ht="15.5" x14ac:dyDescent="0.35">
      <c r="A2379" s="1158" t="s">
        <v>854</v>
      </c>
      <c r="B2379" s="1159">
        <v>2049</v>
      </c>
      <c r="C2379" s="1159" t="str">
        <f t="shared" si="61"/>
        <v>Stanislaus_2049</v>
      </c>
      <c r="D2379" s="1169">
        <v>336.88332104913349</v>
      </c>
    </row>
    <row r="2380" spans="1:4" s="339" customFormat="1" ht="15.5" x14ac:dyDescent="0.35">
      <c r="A2380" s="1158" t="s">
        <v>854</v>
      </c>
      <c r="B2380" s="1159">
        <v>2050</v>
      </c>
      <c r="C2380" s="1159" t="str">
        <f t="shared" si="61"/>
        <v>Stanislaus_2050</v>
      </c>
      <c r="D2380" s="1169">
        <v>336.55292028619283</v>
      </c>
    </row>
    <row r="2381" spans="1:4" s="339" customFormat="1" ht="15.5" x14ac:dyDescent="0.35">
      <c r="A2381" s="1155" t="s">
        <v>855</v>
      </c>
      <c r="B2381" s="1156">
        <v>2015</v>
      </c>
      <c r="C2381" s="1157" t="s">
        <v>959</v>
      </c>
      <c r="D2381" s="1168">
        <v>547.11956569941481</v>
      </c>
    </row>
    <row r="2382" spans="1:4" s="339" customFormat="1" ht="15.5" x14ac:dyDescent="0.35">
      <c r="A2382" s="1155" t="s">
        <v>855</v>
      </c>
      <c r="B2382" s="1156">
        <v>2016</v>
      </c>
      <c r="C2382" s="1157" t="s">
        <v>960</v>
      </c>
      <c r="D2382" s="1168">
        <v>533.92451924656882</v>
      </c>
    </row>
    <row r="2383" spans="1:4" s="339" customFormat="1" ht="15.5" x14ac:dyDescent="0.35">
      <c r="A2383" s="1158" t="s">
        <v>855</v>
      </c>
      <c r="B2383" s="1159">
        <v>2017</v>
      </c>
      <c r="C2383" s="1159" t="str">
        <f t="shared" ref="C2383:C2416" si="62">CONCATENATE(A2383,"_",B2383)</f>
        <v>Sutter_2017</v>
      </c>
      <c r="D2383" s="1169">
        <v>529.55787827779977</v>
      </c>
    </row>
    <row r="2384" spans="1:4" s="339" customFormat="1" ht="15.5" x14ac:dyDescent="0.35">
      <c r="A2384" s="1158" t="s">
        <v>855</v>
      </c>
      <c r="B2384" s="1159">
        <v>2018</v>
      </c>
      <c r="C2384" s="1159" t="str">
        <f t="shared" si="62"/>
        <v>Sutter_2018</v>
      </c>
      <c r="D2384" s="1169">
        <v>522.50689873017222</v>
      </c>
    </row>
    <row r="2385" spans="1:4" s="339" customFormat="1" ht="15.5" x14ac:dyDescent="0.35">
      <c r="A2385" s="1158" t="s">
        <v>855</v>
      </c>
      <c r="B2385" s="1159">
        <v>2019</v>
      </c>
      <c r="C2385" s="1159" t="str">
        <f t="shared" si="62"/>
        <v>Sutter_2019</v>
      </c>
      <c r="D2385" s="1169">
        <v>513.8098796542389</v>
      </c>
    </row>
    <row r="2386" spans="1:4" s="339" customFormat="1" ht="15.5" x14ac:dyDescent="0.35">
      <c r="A2386" s="1158" t="s">
        <v>855</v>
      </c>
      <c r="B2386" s="1159">
        <v>2020</v>
      </c>
      <c r="C2386" s="1159" t="str">
        <f t="shared" si="62"/>
        <v>Sutter_2020</v>
      </c>
      <c r="D2386" s="1169">
        <v>509.94937240142275</v>
      </c>
    </row>
    <row r="2387" spans="1:4" s="339" customFormat="1" ht="15.5" x14ac:dyDescent="0.35">
      <c r="A2387" s="1158" t="s">
        <v>855</v>
      </c>
      <c r="B2387" s="1159">
        <v>2021</v>
      </c>
      <c r="C2387" s="1159" t="str">
        <f t="shared" si="62"/>
        <v>Sutter_2021</v>
      </c>
      <c r="D2387" s="1169">
        <v>498.89570271512252</v>
      </c>
    </row>
    <row r="2388" spans="1:4" s="339" customFormat="1" ht="15.5" x14ac:dyDescent="0.35">
      <c r="A2388" s="1158" t="s">
        <v>855</v>
      </c>
      <c r="B2388" s="1159">
        <v>2022</v>
      </c>
      <c r="C2388" s="1159" t="str">
        <f t="shared" si="62"/>
        <v>Sutter_2022</v>
      </c>
      <c r="D2388" s="1169">
        <v>488.80189669870106</v>
      </c>
    </row>
    <row r="2389" spans="1:4" s="339" customFormat="1" ht="15.5" x14ac:dyDescent="0.35">
      <c r="A2389" s="1158" t="s">
        <v>855</v>
      </c>
      <c r="B2389" s="1159">
        <v>2023</v>
      </c>
      <c r="C2389" s="1159" t="str">
        <f t="shared" si="62"/>
        <v>Sutter_2023</v>
      </c>
      <c r="D2389" s="1169">
        <v>478.20193535780351</v>
      </c>
    </row>
    <row r="2390" spans="1:4" s="339" customFormat="1" ht="15.5" x14ac:dyDescent="0.35">
      <c r="A2390" s="1158" t="s">
        <v>855</v>
      </c>
      <c r="B2390" s="1159">
        <v>2024</v>
      </c>
      <c r="C2390" s="1159" t="str">
        <f t="shared" si="62"/>
        <v>Sutter_2024</v>
      </c>
      <c r="D2390" s="1169">
        <v>467.82667047559949</v>
      </c>
    </row>
    <row r="2391" spans="1:4" s="339" customFormat="1" ht="15.5" x14ac:dyDescent="0.35">
      <c r="A2391" s="1158" t="s">
        <v>855</v>
      </c>
      <c r="B2391" s="1159">
        <v>2025</v>
      </c>
      <c r="C2391" s="1159" t="str">
        <f t="shared" si="62"/>
        <v>Sutter_2025</v>
      </c>
      <c r="D2391" s="1169">
        <v>456.65516485002962</v>
      </c>
    </row>
    <row r="2392" spans="1:4" s="339" customFormat="1" ht="15.5" x14ac:dyDescent="0.35">
      <c r="A2392" s="1158" t="s">
        <v>855</v>
      </c>
      <c r="B2392" s="1159">
        <v>2026</v>
      </c>
      <c r="C2392" s="1159" t="str">
        <f t="shared" si="62"/>
        <v>Sutter_2026</v>
      </c>
      <c r="D2392" s="1169">
        <v>445.82756424336139</v>
      </c>
    </row>
    <row r="2393" spans="1:4" s="339" customFormat="1" ht="15.5" x14ac:dyDescent="0.35">
      <c r="A2393" s="1158" t="s">
        <v>855</v>
      </c>
      <c r="B2393" s="1159">
        <v>2027</v>
      </c>
      <c r="C2393" s="1159" t="str">
        <f t="shared" si="62"/>
        <v>Sutter_2027</v>
      </c>
      <c r="D2393" s="1169">
        <v>436.20265066168832</v>
      </c>
    </row>
    <row r="2394" spans="1:4" s="339" customFormat="1" ht="15.5" x14ac:dyDescent="0.35">
      <c r="A2394" s="1158" t="s">
        <v>855</v>
      </c>
      <c r="B2394" s="1159">
        <v>2028</v>
      </c>
      <c r="C2394" s="1159" t="str">
        <f t="shared" si="62"/>
        <v>Sutter_2028</v>
      </c>
      <c r="D2394" s="1169">
        <v>425.93345093952132</v>
      </c>
    </row>
    <row r="2395" spans="1:4" s="339" customFormat="1" ht="15.5" x14ac:dyDescent="0.35">
      <c r="A2395" s="1158" t="s">
        <v>855</v>
      </c>
      <c r="B2395" s="1159">
        <v>2029</v>
      </c>
      <c r="C2395" s="1159" t="str">
        <f t="shared" si="62"/>
        <v>Sutter_2029</v>
      </c>
      <c r="D2395" s="1169">
        <v>417.39323681572131</v>
      </c>
    </row>
    <row r="2396" spans="1:4" s="339" customFormat="1" ht="15.5" x14ac:dyDescent="0.35">
      <c r="A2396" s="1158" t="s">
        <v>855</v>
      </c>
      <c r="B2396" s="1159">
        <v>2030</v>
      </c>
      <c r="C2396" s="1159" t="str">
        <f t="shared" si="62"/>
        <v>Sutter_2030</v>
      </c>
      <c r="D2396" s="1169">
        <v>409.66844416416865</v>
      </c>
    </row>
    <row r="2397" spans="1:4" s="339" customFormat="1" ht="15.5" x14ac:dyDescent="0.35">
      <c r="A2397" s="1158" t="s">
        <v>855</v>
      </c>
      <c r="B2397" s="1159">
        <v>2031</v>
      </c>
      <c r="C2397" s="1159" t="str">
        <f t="shared" si="62"/>
        <v>Sutter_2031</v>
      </c>
      <c r="D2397" s="1169">
        <v>402.7129811791541</v>
      </c>
    </row>
    <row r="2398" spans="1:4" s="339" customFormat="1" ht="15.5" x14ac:dyDescent="0.35">
      <c r="A2398" s="1158" t="s">
        <v>855</v>
      </c>
      <c r="B2398" s="1159">
        <v>2032</v>
      </c>
      <c r="C2398" s="1159" t="str">
        <f t="shared" si="62"/>
        <v>Sutter_2032</v>
      </c>
      <c r="D2398" s="1169">
        <v>396.45805467212989</v>
      </c>
    </row>
    <row r="2399" spans="1:4" s="339" customFormat="1" ht="15.5" x14ac:dyDescent="0.35">
      <c r="A2399" s="1158" t="s">
        <v>855</v>
      </c>
      <c r="B2399" s="1159">
        <v>2033</v>
      </c>
      <c r="C2399" s="1159" t="str">
        <f t="shared" si="62"/>
        <v>Sutter_2033</v>
      </c>
      <c r="D2399" s="1169">
        <v>390.86891761768788</v>
      </c>
    </row>
    <row r="2400" spans="1:4" s="339" customFormat="1" ht="15.5" x14ac:dyDescent="0.35">
      <c r="A2400" s="1158" t="s">
        <v>855</v>
      </c>
      <c r="B2400" s="1159">
        <v>2034</v>
      </c>
      <c r="C2400" s="1159" t="str">
        <f t="shared" si="62"/>
        <v>Sutter_2034</v>
      </c>
      <c r="D2400" s="1169">
        <v>385.90504417656922</v>
      </c>
    </row>
    <row r="2401" spans="1:4" s="339" customFormat="1" ht="15.5" x14ac:dyDescent="0.35">
      <c r="A2401" s="1158" t="s">
        <v>855</v>
      </c>
      <c r="B2401" s="1159">
        <v>2035</v>
      </c>
      <c r="C2401" s="1159" t="str">
        <f t="shared" si="62"/>
        <v>Sutter_2035</v>
      </c>
      <c r="D2401" s="1169">
        <v>381.51593265559012</v>
      </c>
    </row>
    <row r="2402" spans="1:4" s="339" customFormat="1" ht="15.5" x14ac:dyDescent="0.35">
      <c r="A2402" s="1158" t="s">
        <v>855</v>
      </c>
      <c r="B2402" s="1159">
        <v>2036</v>
      </c>
      <c r="C2402" s="1159" t="str">
        <f t="shared" si="62"/>
        <v>Sutter_2036</v>
      </c>
      <c r="D2402" s="1169">
        <v>377.8242236582733</v>
      </c>
    </row>
    <row r="2403" spans="1:4" s="339" customFormat="1" ht="15.5" x14ac:dyDescent="0.35">
      <c r="A2403" s="1158" t="s">
        <v>855</v>
      </c>
      <c r="B2403" s="1159">
        <v>2037</v>
      </c>
      <c r="C2403" s="1159" t="str">
        <f t="shared" si="62"/>
        <v>Sutter_2037</v>
      </c>
      <c r="D2403" s="1169">
        <v>374.49282020413591</v>
      </c>
    </row>
    <row r="2404" spans="1:4" s="339" customFormat="1" ht="15.5" x14ac:dyDescent="0.35">
      <c r="A2404" s="1158" t="s">
        <v>855</v>
      </c>
      <c r="B2404" s="1159">
        <v>2038</v>
      </c>
      <c r="C2404" s="1159" t="str">
        <f t="shared" si="62"/>
        <v>Sutter_2038</v>
      </c>
      <c r="D2404" s="1169">
        <v>371.65196099622494</v>
      </c>
    </row>
    <row r="2405" spans="1:4" s="339" customFormat="1" ht="15.5" x14ac:dyDescent="0.35">
      <c r="A2405" s="1158" t="s">
        <v>855</v>
      </c>
      <c r="B2405" s="1159">
        <v>2039</v>
      </c>
      <c r="C2405" s="1159" t="str">
        <f t="shared" si="62"/>
        <v>Sutter_2039</v>
      </c>
      <c r="D2405" s="1169">
        <v>369.20630504906552</v>
      </c>
    </row>
    <row r="2406" spans="1:4" s="339" customFormat="1" ht="15.5" x14ac:dyDescent="0.35">
      <c r="A2406" s="1158" t="s">
        <v>855</v>
      </c>
      <c r="B2406" s="1159">
        <v>2040</v>
      </c>
      <c r="C2406" s="1159" t="str">
        <f t="shared" si="62"/>
        <v>Sutter_2040</v>
      </c>
      <c r="D2406" s="1169">
        <v>367.14034435728325</v>
      </c>
    </row>
    <row r="2407" spans="1:4" s="339" customFormat="1" ht="15.5" x14ac:dyDescent="0.35">
      <c r="A2407" s="1158" t="s">
        <v>855</v>
      </c>
      <c r="B2407" s="1159">
        <v>2041</v>
      </c>
      <c r="C2407" s="1159" t="str">
        <f t="shared" si="62"/>
        <v>Sutter_2041</v>
      </c>
      <c r="D2407" s="1169">
        <v>365.41720020935009</v>
      </c>
    </row>
    <row r="2408" spans="1:4" s="339" customFormat="1" ht="15.5" x14ac:dyDescent="0.35">
      <c r="A2408" s="1158" t="s">
        <v>855</v>
      </c>
      <c r="B2408" s="1159">
        <v>2042</v>
      </c>
      <c r="C2408" s="1159" t="str">
        <f t="shared" si="62"/>
        <v>Sutter_2042</v>
      </c>
      <c r="D2408" s="1169">
        <v>363.96026886137355</v>
      </c>
    </row>
    <row r="2409" spans="1:4" s="339" customFormat="1" ht="15.5" x14ac:dyDescent="0.35">
      <c r="A2409" s="1158" t="s">
        <v>855</v>
      </c>
      <c r="B2409" s="1159">
        <v>2043</v>
      </c>
      <c r="C2409" s="1159" t="str">
        <f t="shared" si="62"/>
        <v>Sutter_2043</v>
      </c>
      <c r="D2409" s="1169">
        <v>362.75911471264345</v>
      </c>
    </row>
    <row r="2410" spans="1:4" s="339" customFormat="1" ht="15.5" x14ac:dyDescent="0.35">
      <c r="A2410" s="1158" t="s">
        <v>855</v>
      </c>
      <c r="B2410" s="1159">
        <v>2044</v>
      </c>
      <c r="C2410" s="1159" t="str">
        <f t="shared" si="62"/>
        <v>Sutter_2044</v>
      </c>
      <c r="D2410" s="1169">
        <v>361.74646533285909</v>
      </c>
    </row>
    <row r="2411" spans="1:4" s="339" customFormat="1" ht="15.5" x14ac:dyDescent="0.35">
      <c r="A2411" s="1158" t="s">
        <v>855</v>
      </c>
      <c r="B2411" s="1159">
        <v>2045</v>
      </c>
      <c r="C2411" s="1159" t="str">
        <f t="shared" si="62"/>
        <v>Sutter_2045</v>
      </c>
      <c r="D2411" s="1169">
        <v>360.89167647644376</v>
      </c>
    </row>
    <row r="2412" spans="1:4" s="339" customFormat="1" ht="15.5" x14ac:dyDescent="0.35">
      <c r="A2412" s="1158" t="s">
        <v>855</v>
      </c>
      <c r="B2412" s="1159">
        <v>2046</v>
      </c>
      <c r="C2412" s="1159" t="str">
        <f t="shared" si="62"/>
        <v>Sutter_2046</v>
      </c>
      <c r="D2412" s="1169">
        <v>360.16142453711808</v>
      </c>
    </row>
    <row r="2413" spans="1:4" s="339" customFormat="1" ht="15.5" x14ac:dyDescent="0.35">
      <c r="A2413" s="1158" t="s">
        <v>855</v>
      </c>
      <c r="B2413" s="1159">
        <v>2047</v>
      </c>
      <c r="C2413" s="1159" t="str">
        <f t="shared" si="62"/>
        <v>Sutter_2047</v>
      </c>
      <c r="D2413" s="1169">
        <v>359.56217513811407</v>
      </c>
    </row>
    <row r="2414" spans="1:4" s="339" customFormat="1" ht="15.5" x14ac:dyDescent="0.35">
      <c r="A2414" s="1158" t="s">
        <v>855</v>
      </c>
      <c r="B2414" s="1159">
        <v>2048</v>
      </c>
      <c r="C2414" s="1159" t="str">
        <f t="shared" si="62"/>
        <v>Sutter_2048</v>
      </c>
      <c r="D2414" s="1169">
        <v>359.05639329346923</v>
      </c>
    </row>
    <row r="2415" spans="1:4" s="339" customFormat="1" ht="15.5" x14ac:dyDescent="0.35">
      <c r="A2415" s="1158" t="s">
        <v>855</v>
      </c>
      <c r="B2415" s="1159">
        <v>2049</v>
      </c>
      <c r="C2415" s="1159" t="str">
        <f t="shared" si="62"/>
        <v>Sutter_2049</v>
      </c>
      <c r="D2415" s="1169">
        <v>358.62637319214321</v>
      </c>
    </row>
    <row r="2416" spans="1:4" s="339" customFormat="1" ht="15.5" x14ac:dyDescent="0.35">
      <c r="A2416" s="1158" t="s">
        <v>855</v>
      </c>
      <c r="B2416" s="1159">
        <v>2050</v>
      </c>
      <c r="C2416" s="1159" t="str">
        <f t="shared" si="62"/>
        <v>Sutter_2050</v>
      </c>
      <c r="D2416" s="1169">
        <v>358.26970274768792</v>
      </c>
    </row>
    <row r="2417" spans="1:4" s="339" customFormat="1" ht="15.5" x14ac:dyDescent="0.35">
      <c r="A2417" s="1155" t="s">
        <v>856</v>
      </c>
      <c r="B2417" s="1156">
        <v>2015</v>
      </c>
      <c r="C2417" s="1157" t="s">
        <v>961</v>
      </c>
      <c r="D2417" s="1168">
        <v>545.81181620883717</v>
      </c>
    </row>
    <row r="2418" spans="1:4" s="339" customFormat="1" ht="15.5" x14ac:dyDescent="0.35">
      <c r="A2418" s="1155" t="s">
        <v>856</v>
      </c>
      <c r="B2418" s="1156">
        <v>2016</v>
      </c>
      <c r="C2418" s="1157" t="s">
        <v>962</v>
      </c>
      <c r="D2418" s="1168">
        <v>533.81460274749281</v>
      </c>
    </row>
    <row r="2419" spans="1:4" s="339" customFormat="1" ht="15.5" x14ac:dyDescent="0.35">
      <c r="A2419" s="1158" t="s">
        <v>856</v>
      </c>
      <c r="B2419" s="1159">
        <v>2017</v>
      </c>
      <c r="C2419" s="1159" t="str">
        <f t="shared" ref="C2419:C2452" si="63">CONCATENATE(A2419,"_",B2419)</f>
        <v>Tehama_2017</v>
      </c>
      <c r="D2419" s="1169">
        <v>529.91792652197728</v>
      </c>
    </row>
    <row r="2420" spans="1:4" s="339" customFormat="1" ht="15.5" x14ac:dyDescent="0.35">
      <c r="A2420" s="1158" t="s">
        <v>856</v>
      </c>
      <c r="B2420" s="1159">
        <v>2018</v>
      </c>
      <c r="C2420" s="1159" t="str">
        <f t="shared" si="63"/>
        <v>Tehama_2018</v>
      </c>
      <c r="D2420" s="1169">
        <v>522.78021376457434</v>
      </c>
    </row>
    <row r="2421" spans="1:4" s="339" customFormat="1" ht="15.5" x14ac:dyDescent="0.35">
      <c r="A2421" s="1158" t="s">
        <v>856</v>
      </c>
      <c r="B2421" s="1159">
        <v>2019</v>
      </c>
      <c r="C2421" s="1159" t="str">
        <f t="shared" si="63"/>
        <v>Tehama_2019</v>
      </c>
      <c r="D2421" s="1169">
        <v>514.56202426884374</v>
      </c>
    </row>
    <row r="2422" spans="1:4" s="339" customFormat="1" ht="15.5" x14ac:dyDescent="0.35">
      <c r="A2422" s="1158" t="s">
        <v>856</v>
      </c>
      <c r="B2422" s="1159">
        <v>2020</v>
      </c>
      <c r="C2422" s="1159" t="str">
        <f t="shared" si="63"/>
        <v>Tehama_2020</v>
      </c>
      <c r="D2422" s="1169">
        <v>509.67579882337748</v>
      </c>
    </row>
    <row r="2423" spans="1:4" s="339" customFormat="1" ht="15.5" x14ac:dyDescent="0.35">
      <c r="A2423" s="1158" t="s">
        <v>856</v>
      </c>
      <c r="B2423" s="1159">
        <v>2021</v>
      </c>
      <c r="C2423" s="1159" t="str">
        <f t="shared" si="63"/>
        <v>Tehama_2021</v>
      </c>
      <c r="D2423" s="1169">
        <v>498.68222535438821</v>
      </c>
    </row>
    <row r="2424" spans="1:4" s="339" customFormat="1" ht="15.5" x14ac:dyDescent="0.35">
      <c r="A2424" s="1158" t="s">
        <v>856</v>
      </c>
      <c r="B2424" s="1159">
        <v>2022</v>
      </c>
      <c r="C2424" s="1159" t="str">
        <f t="shared" si="63"/>
        <v>Tehama_2022</v>
      </c>
      <c r="D2424" s="1169">
        <v>488.67712488544532</v>
      </c>
    </row>
    <row r="2425" spans="1:4" s="339" customFormat="1" ht="15.5" x14ac:dyDescent="0.35">
      <c r="A2425" s="1158" t="s">
        <v>856</v>
      </c>
      <c r="B2425" s="1159">
        <v>2023</v>
      </c>
      <c r="C2425" s="1159" t="str">
        <f t="shared" si="63"/>
        <v>Tehama_2023</v>
      </c>
      <c r="D2425" s="1169">
        <v>478.1838188310798</v>
      </c>
    </row>
    <row r="2426" spans="1:4" s="339" customFormat="1" ht="15.5" x14ac:dyDescent="0.35">
      <c r="A2426" s="1158" t="s">
        <v>856</v>
      </c>
      <c r="B2426" s="1159">
        <v>2024</v>
      </c>
      <c r="C2426" s="1159" t="str">
        <f t="shared" si="63"/>
        <v>Tehama_2024</v>
      </c>
      <c r="D2426" s="1169">
        <v>467.37596826431201</v>
      </c>
    </row>
    <row r="2427" spans="1:4" s="339" customFormat="1" ht="15.5" x14ac:dyDescent="0.35">
      <c r="A2427" s="1158" t="s">
        <v>856</v>
      </c>
      <c r="B2427" s="1159">
        <v>2025</v>
      </c>
      <c r="C2427" s="1159" t="str">
        <f t="shared" si="63"/>
        <v>Tehama_2025</v>
      </c>
      <c r="D2427" s="1169">
        <v>456.34243404726561</v>
      </c>
    </row>
    <row r="2428" spans="1:4" s="339" customFormat="1" ht="15.5" x14ac:dyDescent="0.35">
      <c r="A2428" s="1158" t="s">
        <v>856</v>
      </c>
      <c r="B2428" s="1159">
        <v>2026</v>
      </c>
      <c r="C2428" s="1159" t="str">
        <f t="shared" si="63"/>
        <v>Tehama_2026</v>
      </c>
      <c r="D2428" s="1169">
        <v>445.64281724739823</v>
      </c>
    </row>
    <row r="2429" spans="1:4" s="339" customFormat="1" ht="15.5" x14ac:dyDescent="0.35">
      <c r="A2429" s="1158" t="s">
        <v>856</v>
      </c>
      <c r="B2429" s="1159">
        <v>2027</v>
      </c>
      <c r="C2429" s="1159" t="str">
        <f t="shared" si="63"/>
        <v>Tehama_2027</v>
      </c>
      <c r="D2429" s="1169">
        <v>435.58968846266953</v>
      </c>
    </row>
    <row r="2430" spans="1:4" s="339" customFormat="1" ht="15.5" x14ac:dyDescent="0.35">
      <c r="A2430" s="1158" t="s">
        <v>856</v>
      </c>
      <c r="B2430" s="1159">
        <v>2028</v>
      </c>
      <c r="C2430" s="1159" t="str">
        <f t="shared" si="63"/>
        <v>Tehama_2028</v>
      </c>
      <c r="D2430" s="1169">
        <v>426.33633364591407</v>
      </c>
    </row>
    <row r="2431" spans="1:4" s="339" customFormat="1" ht="15.5" x14ac:dyDescent="0.35">
      <c r="A2431" s="1158" t="s">
        <v>856</v>
      </c>
      <c r="B2431" s="1159">
        <v>2029</v>
      </c>
      <c r="C2431" s="1159" t="str">
        <f t="shared" si="63"/>
        <v>Tehama_2029</v>
      </c>
      <c r="D2431" s="1169">
        <v>417.8811019843813</v>
      </c>
    </row>
    <row r="2432" spans="1:4" s="339" customFormat="1" ht="15.5" x14ac:dyDescent="0.35">
      <c r="A2432" s="1158" t="s">
        <v>856</v>
      </c>
      <c r="B2432" s="1159">
        <v>2030</v>
      </c>
      <c r="C2432" s="1159" t="str">
        <f t="shared" si="63"/>
        <v>Tehama_2030</v>
      </c>
      <c r="D2432" s="1169">
        <v>410.20772896070986</v>
      </c>
    </row>
    <row r="2433" spans="1:4" s="339" customFormat="1" ht="15.5" x14ac:dyDescent="0.35">
      <c r="A2433" s="1158" t="s">
        <v>856</v>
      </c>
      <c r="B2433" s="1159">
        <v>2031</v>
      </c>
      <c r="C2433" s="1159" t="str">
        <f t="shared" si="63"/>
        <v>Tehama_2031</v>
      </c>
      <c r="D2433" s="1169">
        <v>403.26054832824559</v>
      </c>
    </row>
    <row r="2434" spans="1:4" s="339" customFormat="1" ht="15.5" x14ac:dyDescent="0.35">
      <c r="A2434" s="1158" t="s">
        <v>856</v>
      </c>
      <c r="B2434" s="1159">
        <v>2032</v>
      </c>
      <c r="C2434" s="1159" t="str">
        <f t="shared" si="63"/>
        <v>Tehama_2032</v>
      </c>
      <c r="D2434" s="1169">
        <v>397.00717183008078</v>
      </c>
    </row>
    <row r="2435" spans="1:4" s="339" customFormat="1" ht="15.5" x14ac:dyDescent="0.35">
      <c r="A2435" s="1158" t="s">
        <v>856</v>
      </c>
      <c r="B2435" s="1159">
        <v>2033</v>
      </c>
      <c r="C2435" s="1159" t="str">
        <f t="shared" si="63"/>
        <v>Tehama_2033</v>
      </c>
      <c r="D2435" s="1169">
        <v>391.40593395431637</v>
      </c>
    </row>
    <row r="2436" spans="1:4" s="339" customFormat="1" ht="15.5" x14ac:dyDescent="0.35">
      <c r="A2436" s="1158" t="s">
        <v>856</v>
      </c>
      <c r="B2436" s="1159">
        <v>2034</v>
      </c>
      <c r="C2436" s="1159" t="str">
        <f t="shared" si="63"/>
        <v>Tehama_2034</v>
      </c>
      <c r="D2436" s="1169">
        <v>386.41235083794146</v>
      </c>
    </row>
    <row r="2437" spans="1:4" s="339" customFormat="1" ht="15.5" x14ac:dyDescent="0.35">
      <c r="A2437" s="1158" t="s">
        <v>856</v>
      </c>
      <c r="B2437" s="1159">
        <v>2035</v>
      </c>
      <c r="C2437" s="1159" t="str">
        <f t="shared" si="63"/>
        <v>Tehama_2035</v>
      </c>
      <c r="D2437" s="1169">
        <v>382.01220242467002</v>
      </c>
    </row>
    <row r="2438" spans="1:4" s="339" customFormat="1" ht="15.5" x14ac:dyDescent="0.35">
      <c r="A2438" s="1158" t="s">
        <v>856</v>
      </c>
      <c r="B2438" s="1159">
        <v>2036</v>
      </c>
      <c r="C2438" s="1159" t="str">
        <f t="shared" si="63"/>
        <v>Tehama_2036</v>
      </c>
      <c r="D2438" s="1169">
        <v>378.15713233088394</v>
      </c>
    </row>
    <row r="2439" spans="1:4" s="339" customFormat="1" ht="15.5" x14ac:dyDescent="0.35">
      <c r="A2439" s="1158" t="s">
        <v>856</v>
      </c>
      <c r="B2439" s="1159">
        <v>2037</v>
      </c>
      <c r="C2439" s="1159" t="str">
        <f t="shared" si="63"/>
        <v>Tehama_2037</v>
      </c>
      <c r="D2439" s="1169">
        <v>374.81216113498493</v>
      </c>
    </row>
    <row r="2440" spans="1:4" s="339" customFormat="1" ht="15.5" x14ac:dyDescent="0.35">
      <c r="A2440" s="1158" t="s">
        <v>856</v>
      </c>
      <c r="B2440" s="1159">
        <v>2038</v>
      </c>
      <c r="C2440" s="1159" t="str">
        <f t="shared" si="63"/>
        <v>Tehama_2038</v>
      </c>
      <c r="D2440" s="1169">
        <v>371.94784595485851</v>
      </c>
    </row>
    <row r="2441" spans="1:4" s="339" customFormat="1" ht="15.5" x14ac:dyDescent="0.35">
      <c r="A2441" s="1158" t="s">
        <v>856</v>
      </c>
      <c r="B2441" s="1159">
        <v>2039</v>
      </c>
      <c r="C2441" s="1159" t="str">
        <f t="shared" si="63"/>
        <v>Tehama_2039</v>
      </c>
      <c r="D2441" s="1169">
        <v>369.48854735473321</v>
      </c>
    </row>
    <row r="2442" spans="1:4" s="339" customFormat="1" ht="15.5" x14ac:dyDescent="0.35">
      <c r="A2442" s="1158" t="s">
        <v>856</v>
      </c>
      <c r="B2442" s="1159">
        <v>2040</v>
      </c>
      <c r="C2442" s="1159" t="str">
        <f t="shared" si="63"/>
        <v>Tehama_2040</v>
      </c>
      <c r="D2442" s="1169">
        <v>367.4106953355959</v>
      </c>
    </row>
    <row r="2443" spans="1:4" s="339" customFormat="1" ht="15.5" x14ac:dyDescent="0.35">
      <c r="A2443" s="1158" t="s">
        <v>856</v>
      </c>
      <c r="B2443" s="1159">
        <v>2041</v>
      </c>
      <c r="C2443" s="1159" t="str">
        <f t="shared" si="63"/>
        <v>Tehama_2041</v>
      </c>
      <c r="D2443" s="1169">
        <v>365.6796122305135</v>
      </c>
    </row>
    <row r="2444" spans="1:4" s="339" customFormat="1" ht="15.5" x14ac:dyDescent="0.35">
      <c r="A2444" s="1158" t="s">
        <v>856</v>
      </c>
      <c r="B2444" s="1159">
        <v>2042</v>
      </c>
      <c r="C2444" s="1159" t="str">
        <f t="shared" si="63"/>
        <v>Tehama_2042</v>
      </c>
      <c r="D2444" s="1169">
        <v>364.20762908701187</v>
      </c>
    </row>
    <row r="2445" spans="1:4" s="339" customFormat="1" ht="15.5" x14ac:dyDescent="0.35">
      <c r="A2445" s="1158" t="s">
        <v>856</v>
      </c>
      <c r="B2445" s="1159">
        <v>2043</v>
      </c>
      <c r="C2445" s="1159" t="str">
        <f t="shared" si="63"/>
        <v>Tehama_2043</v>
      </c>
      <c r="D2445" s="1169">
        <v>362.98541964544819</v>
      </c>
    </row>
    <row r="2446" spans="1:4" s="339" customFormat="1" ht="15.5" x14ac:dyDescent="0.35">
      <c r="A2446" s="1158" t="s">
        <v>856</v>
      </c>
      <c r="B2446" s="1159">
        <v>2044</v>
      </c>
      <c r="C2446" s="1159" t="str">
        <f t="shared" si="63"/>
        <v>Tehama_2044</v>
      </c>
      <c r="D2446" s="1169">
        <v>361.95718697924622</v>
      </c>
    </row>
    <row r="2447" spans="1:4" s="339" customFormat="1" ht="15.5" x14ac:dyDescent="0.35">
      <c r="A2447" s="1158" t="s">
        <v>856</v>
      </c>
      <c r="B2447" s="1159">
        <v>2045</v>
      </c>
      <c r="C2447" s="1159" t="str">
        <f t="shared" si="63"/>
        <v>Tehama_2045</v>
      </c>
      <c r="D2447" s="1169">
        <v>361.07744889066231</v>
      </c>
    </row>
    <row r="2448" spans="1:4" s="339" customFormat="1" ht="15.5" x14ac:dyDescent="0.35">
      <c r="A2448" s="1158" t="s">
        <v>856</v>
      </c>
      <c r="B2448" s="1159">
        <v>2046</v>
      </c>
      <c r="C2448" s="1159" t="str">
        <f t="shared" si="63"/>
        <v>Tehama_2046</v>
      </c>
      <c r="D2448" s="1169">
        <v>360.32497019783483</v>
      </c>
    </row>
    <row r="2449" spans="1:4" s="339" customFormat="1" ht="15.5" x14ac:dyDescent="0.35">
      <c r="A2449" s="1158" t="s">
        <v>856</v>
      </c>
      <c r="B2449" s="1159">
        <v>2047</v>
      </c>
      <c r="C2449" s="1159" t="str">
        <f t="shared" si="63"/>
        <v>Tehama_2047</v>
      </c>
      <c r="D2449" s="1169">
        <v>359.68902875157295</v>
      </c>
    </row>
    <row r="2450" spans="1:4" s="339" customFormat="1" ht="15.5" x14ac:dyDescent="0.35">
      <c r="A2450" s="1158" t="s">
        <v>856</v>
      </c>
      <c r="B2450" s="1159">
        <v>2048</v>
      </c>
      <c r="C2450" s="1159" t="str">
        <f t="shared" si="63"/>
        <v>Tehama_2048</v>
      </c>
      <c r="D2450" s="1169">
        <v>359.14904796476287</v>
      </c>
    </row>
    <row r="2451" spans="1:4" s="339" customFormat="1" ht="15.5" x14ac:dyDescent="0.35">
      <c r="A2451" s="1158" t="s">
        <v>856</v>
      </c>
      <c r="B2451" s="1159">
        <v>2049</v>
      </c>
      <c r="C2451" s="1159" t="str">
        <f t="shared" si="63"/>
        <v>Tehama_2049</v>
      </c>
      <c r="D2451" s="1169">
        <v>358.6907703312059</v>
      </c>
    </row>
    <row r="2452" spans="1:4" s="339" customFormat="1" ht="15.5" x14ac:dyDescent="0.35">
      <c r="A2452" s="1158" t="s">
        <v>856</v>
      </c>
      <c r="B2452" s="1159">
        <v>2050</v>
      </c>
      <c r="C2452" s="1159" t="str">
        <f t="shared" si="63"/>
        <v>Tehama_2050</v>
      </c>
      <c r="D2452" s="1169">
        <v>358.30821386789836</v>
      </c>
    </row>
    <row r="2453" spans="1:4" s="339" customFormat="1" ht="15.5" x14ac:dyDescent="0.35">
      <c r="A2453" s="1155" t="s">
        <v>857</v>
      </c>
      <c r="B2453" s="1156">
        <v>2015</v>
      </c>
      <c r="C2453" s="1157" t="s">
        <v>963</v>
      </c>
      <c r="D2453" s="1168">
        <v>610.31471379435027</v>
      </c>
    </row>
    <row r="2454" spans="1:4" s="339" customFormat="1" ht="15.5" x14ac:dyDescent="0.35">
      <c r="A2454" s="1155" t="s">
        <v>857</v>
      </c>
      <c r="B2454" s="1156">
        <v>2016</v>
      </c>
      <c r="C2454" s="1157" t="s">
        <v>964</v>
      </c>
      <c r="D2454" s="1168">
        <v>597.62769916513366</v>
      </c>
    </row>
    <row r="2455" spans="1:4" s="339" customFormat="1" ht="15.5" x14ac:dyDescent="0.35">
      <c r="A2455" s="1158" t="s">
        <v>857</v>
      </c>
      <c r="B2455" s="1159">
        <v>2017</v>
      </c>
      <c r="C2455" s="1159" t="str">
        <f t="shared" ref="C2455:C2488" si="64">CONCATENATE(A2455,"_",B2455)</f>
        <v>Trinity_2017</v>
      </c>
      <c r="D2455" s="1169">
        <v>592.93338927849413</v>
      </c>
    </row>
    <row r="2456" spans="1:4" s="339" customFormat="1" ht="15.5" x14ac:dyDescent="0.35">
      <c r="A2456" s="1158" t="s">
        <v>857</v>
      </c>
      <c r="B2456" s="1159">
        <v>2018</v>
      </c>
      <c r="C2456" s="1159" t="str">
        <f t="shared" si="64"/>
        <v>Trinity_2018</v>
      </c>
      <c r="D2456" s="1169">
        <v>585.10390892803377</v>
      </c>
    </row>
    <row r="2457" spans="1:4" s="339" customFormat="1" ht="15.5" x14ac:dyDescent="0.35">
      <c r="A2457" s="1158" t="s">
        <v>857</v>
      </c>
      <c r="B2457" s="1159">
        <v>2019</v>
      </c>
      <c r="C2457" s="1159" t="str">
        <f t="shared" si="64"/>
        <v>Trinity_2019</v>
      </c>
      <c r="D2457" s="1169">
        <v>575.39544909113147</v>
      </c>
    </row>
    <row r="2458" spans="1:4" s="339" customFormat="1" ht="15.5" x14ac:dyDescent="0.35">
      <c r="A2458" s="1158" t="s">
        <v>857</v>
      </c>
      <c r="B2458" s="1159">
        <v>2020</v>
      </c>
      <c r="C2458" s="1159" t="str">
        <f t="shared" si="64"/>
        <v>Trinity_2020</v>
      </c>
      <c r="D2458" s="1169">
        <v>570.30045943082882</v>
      </c>
    </row>
    <row r="2459" spans="1:4" s="339" customFormat="1" ht="15.5" x14ac:dyDescent="0.35">
      <c r="A2459" s="1158" t="s">
        <v>857</v>
      </c>
      <c r="B2459" s="1159">
        <v>2021</v>
      </c>
      <c r="C2459" s="1159" t="str">
        <f t="shared" si="64"/>
        <v>Trinity_2021</v>
      </c>
      <c r="D2459" s="1169">
        <v>559.31746030471788</v>
      </c>
    </row>
    <row r="2460" spans="1:4" s="339" customFormat="1" ht="15.5" x14ac:dyDescent="0.35">
      <c r="A2460" s="1158" t="s">
        <v>857</v>
      </c>
      <c r="B2460" s="1159">
        <v>2022</v>
      </c>
      <c r="C2460" s="1159" t="str">
        <f t="shared" si="64"/>
        <v>Trinity_2022</v>
      </c>
      <c r="D2460" s="1169">
        <v>549.12300414856497</v>
      </c>
    </row>
    <row r="2461" spans="1:4" s="339" customFormat="1" ht="15.5" x14ac:dyDescent="0.35">
      <c r="A2461" s="1158" t="s">
        <v>857</v>
      </c>
      <c r="B2461" s="1159">
        <v>2023</v>
      </c>
      <c r="C2461" s="1159" t="str">
        <f t="shared" si="64"/>
        <v>Trinity_2023</v>
      </c>
      <c r="D2461" s="1169">
        <v>538.3612357676725</v>
      </c>
    </row>
    <row r="2462" spans="1:4" s="339" customFormat="1" ht="15.5" x14ac:dyDescent="0.35">
      <c r="A2462" s="1158" t="s">
        <v>857</v>
      </c>
      <c r="B2462" s="1159">
        <v>2024</v>
      </c>
      <c r="C2462" s="1159" t="str">
        <f t="shared" si="64"/>
        <v>Trinity_2024</v>
      </c>
      <c r="D2462" s="1169">
        <v>527.19134787952453</v>
      </c>
    </row>
    <row r="2463" spans="1:4" s="339" customFormat="1" ht="15.5" x14ac:dyDescent="0.35">
      <c r="A2463" s="1158" t="s">
        <v>857</v>
      </c>
      <c r="B2463" s="1159">
        <v>2025</v>
      </c>
      <c r="C2463" s="1159" t="str">
        <f t="shared" si="64"/>
        <v>Trinity_2025</v>
      </c>
      <c r="D2463" s="1169">
        <v>515.69069031926961</v>
      </c>
    </row>
    <row r="2464" spans="1:4" s="339" customFormat="1" ht="15.5" x14ac:dyDescent="0.35">
      <c r="A2464" s="1158" t="s">
        <v>857</v>
      </c>
      <c r="B2464" s="1159">
        <v>2026</v>
      </c>
      <c r="C2464" s="1159" t="str">
        <f t="shared" si="64"/>
        <v>Trinity_2026</v>
      </c>
      <c r="D2464" s="1169">
        <v>504.49348728585437</v>
      </c>
    </row>
    <row r="2465" spans="1:4" s="339" customFormat="1" ht="15.5" x14ac:dyDescent="0.35">
      <c r="A2465" s="1158" t="s">
        <v>857</v>
      </c>
      <c r="B2465" s="1159">
        <v>2027</v>
      </c>
      <c r="C2465" s="1159" t="str">
        <f t="shared" si="64"/>
        <v>Trinity_2027</v>
      </c>
      <c r="D2465" s="1169">
        <v>493.9644595484541</v>
      </c>
    </row>
    <row r="2466" spans="1:4" s="339" customFormat="1" ht="15.5" x14ac:dyDescent="0.35">
      <c r="A2466" s="1158" t="s">
        <v>857</v>
      </c>
      <c r="B2466" s="1159">
        <v>2028</v>
      </c>
      <c r="C2466" s="1159" t="str">
        <f t="shared" si="64"/>
        <v>Trinity_2028</v>
      </c>
      <c r="D2466" s="1169">
        <v>484.21566775886293</v>
      </c>
    </row>
    <row r="2467" spans="1:4" s="339" customFormat="1" ht="15.5" x14ac:dyDescent="0.35">
      <c r="A2467" s="1158" t="s">
        <v>857</v>
      </c>
      <c r="B2467" s="1159">
        <v>2029</v>
      </c>
      <c r="C2467" s="1159" t="str">
        <f t="shared" si="64"/>
        <v>Trinity_2029</v>
      </c>
      <c r="D2467" s="1169">
        <v>475.23693664342937</v>
      </c>
    </row>
    <row r="2468" spans="1:4" s="339" customFormat="1" ht="15.5" x14ac:dyDescent="0.35">
      <c r="A2468" s="1158" t="s">
        <v>857</v>
      </c>
      <c r="B2468" s="1159">
        <v>2030</v>
      </c>
      <c r="C2468" s="1159" t="str">
        <f t="shared" si="64"/>
        <v>Trinity_2030</v>
      </c>
      <c r="D2468" s="1169">
        <v>467.02051233523946</v>
      </c>
    </row>
    <row r="2469" spans="1:4" s="339" customFormat="1" ht="15.5" x14ac:dyDescent="0.35">
      <c r="A2469" s="1158" t="s">
        <v>857</v>
      </c>
      <c r="B2469" s="1159">
        <v>2031</v>
      </c>
      <c r="C2469" s="1159" t="str">
        <f t="shared" si="64"/>
        <v>Trinity_2031</v>
      </c>
      <c r="D2469" s="1169">
        <v>459.47447158095775</v>
      </c>
    </row>
    <row r="2470" spans="1:4" s="339" customFormat="1" ht="15.5" x14ac:dyDescent="0.35">
      <c r="A2470" s="1158" t="s">
        <v>857</v>
      </c>
      <c r="B2470" s="1159">
        <v>2032</v>
      </c>
      <c r="C2470" s="1159" t="str">
        <f t="shared" si="64"/>
        <v>Trinity_2032</v>
      </c>
      <c r="D2470" s="1169">
        <v>452.60683084515779</v>
      </c>
    </row>
    <row r="2471" spans="1:4" s="339" customFormat="1" ht="15.5" x14ac:dyDescent="0.35">
      <c r="A2471" s="1158" t="s">
        <v>857</v>
      </c>
      <c r="B2471" s="1159">
        <v>2033</v>
      </c>
      <c r="C2471" s="1159" t="str">
        <f t="shared" si="64"/>
        <v>Trinity_2033</v>
      </c>
      <c r="D2471" s="1169">
        <v>446.37140673904628</v>
      </c>
    </row>
    <row r="2472" spans="1:4" s="339" customFormat="1" ht="15.5" x14ac:dyDescent="0.35">
      <c r="A2472" s="1158" t="s">
        <v>857</v>
      </c>
      <c r="B2472" s="1159">
        <v>2034</v>
      </c>
      <c r="C2472" s="1159" t="str">
        <f t="shared" si="64"/>
        <v>Trinity_2034</v>
      </c>
      <c r="D2472" s="1169">
        <v>440.75316471633778</v>
      </c>
    </row>
    <row r="2473" spans="1:4" s="339" customFormat="1" ht="15.5" x14ac:dyDescent="0.35">
      <c r="A2473" s="1158" t="s">
        <v>857</v>
      </c>
      <c r="B2473" s="1159">
        <v>2035</v>
      </c>
      <c r="C2473" s="1159" t="str">
        <f t="shared" si="64"/>
        <v>Trinity_2035</v>
      </c>
      <c r="D2473" s="1169">
        <v>435.73412633324898</v>
      </c>
    </row>
    <row r="2474" spans="1:4" s="339" customFormat="1" ht="15.5" x14ac:dyDescent="0.35">
      <c r="A2474" s="1158" t="s">
        <v>857</v>
      </c>
      <c r="B2474" s="1159">
        <v>2036</v>
      </c>
      <c r="C2474" s="1159" t="str">
        <f t="shared" si="64"/>
        <v>Trinity_2036</v>
      </c>
      <c r="D2474" s="1169">
        <v>431.25169242554716</v>
      </c>
    </row>
    <row r="2475" spans="1:4" s="339" customFormat="1" ht="15.5" x14ac:dyDescent="0.35">
      <c r="A2475" s="1158" t="s">
        <v>857</v>
      </c>
      <c r="B2475" s="1159">
        <v>2037</v>
      </c>
      <c r="C2475" s="1159" t="str">
        <f t="shared" si="64"/>
        <v>Trinity_2037</v>
      </c>
      <c r="D2475" s="1169">
        <v>427.3406975524012</v>
      </c>
    </row>
    <row r="2476" spans="1:4" s="339" customFormat="1" ht="15.5" x14ac:dyDescent="0.35">
      <c r="A2476" s="1158" t="s">
        <v>857</v>
      </c>
      <c r="B2476" s="1159">
        <v>2038</v>
      </c>
      <c r="C2476" s="1159" t="str">
        <f t="shared" si="64"/>
        <v>Trinity_2038</v>
      </c>
      <c r="D2476" s="1169">
        <v>423.93254848929382</v>
      </c>
    </row>
    <row r="2477" spans="1:4" s="339" customFormat="1" ht="15.5" x14ac:dyDescent="0.35">
      <c r="A2477" s="1158" t="s">
        <v>857</v>
      </c>
      <c r="B2477" s="1159">
        <v>2039</v>
      </c>
      <c r="C2477" s="1159" t="str">
        <f t="shared" si="64"/>
        <v>Trinity_2039</v>
      </c>
      <c r="D2477" s="1169">
        <v>420.96770440099135</v>
      </c>
    </row>
    <row r="2478" spans="1:4" s="339" customFormat="1" ht="15.5" x14ac:dyDescent="0.35">
      <c r="A2478" s="1158" t="s">
        <v>857</v>
      </c>
      <c r="B2478" s="1159">
        <v>2040</v>
      </c>
      <c r="C2478" s="1159" t="str">
        <f t="shared" si="64"/>
        <v>Trinity_2040</v>
      </c>
      <c r="D2478" s="1169">
        <v>418.40493991193006</v>
      </c>
    </row>
    <row r="2479" spans="1:4" s="339" customFormat="1" ht="15.5" x14ac:dyDescent="0.35">
      <c r="A2479" s="1158" t="s">
        <v>857</v>
      </c>
      <c r="B2479" s="1159">
        <v>2041</v>
      </c>
      <c r="C2479" s="1159" t="str">
        <f t="shared" si="64"/>
        <v>Trinity_2041</v>
      </c>
      <c r="D2479" s="1169">
        <v>416.26831999401031</v>
      </c>
    </row>
    <row r="2480" spans="1:4" s="339" customFormat="1" ht="15.5" x14ac:dyDescent="0.35">
      <c r="A2480" s="1158" t="s">
        <v>857</v>
      </c>
      <c r="B2480" s="1159">
        <v>2042</v>
      </c>
      <c r="C2480" s="1159" t="str">
        <f t="shared" si="64"/>
        <v>Trinity_2042</v>
      </c>
      <c r="D2480" s="1169">
        <v>414.38594848091907</v>
      </c>
    </row>
    <row r="2481" spans="1:4" s="339" customFormat="1" ht="15.5" x14ac:dyDescent="0.35">
      <c r="A2481" s="1158" t="s">
        <v>857</v>
      </c>
      <c r="B2481" s="1159">
        <v>2043</v>
      </c>
      <c r="C2481" s="1159" t="str">
        <f t="shared" si="64"/>
        <v>Trinity_2043</v>
      </c>
      <c r="D2481" s="1169">
        <v>412.80710177067851</v>
      </c>
    </row>
    <row r="2482" spans="1:4" s="339" customFormat="1" ht="15.5" x14ac:dyDescent="0.35">
      <c r="A2482" s="1158" t="s">
        <v>857</v>
      </c>
      <c r="B2482" s="1159">
        <v>2044</v>
      </c>
      <c r="C2482" s="1159" t="str">
        <f t="shared" si="64"/>
        <v>Trinity_2044</v>
      </c>
      <c r="D2482" s="1169">
        <v>411.4467010066071</v>
      </c>
    </row>
    <row r="2483" spans="1:4" s="339" customFormat="1" ht="15.5" x14ac:dyDescent="0.35">
      <c r="A2483" s="1158" t="s">
        <v>857</v>
      </c>
      <c r="B2483" s="1159">
        <v>2045</v>
      </c>
      <c r="C2483" s="1159" t="str">
        <f t="shared" si="64"/>
        <v>Trinity_2045</v>
      </c>
      <c r="D2483" s="1169">
        <v>410.23592108883497</v>
      </c>
    </row>
    <row r="2484" spans="1:4" s="339" customFormat="1" ht="15.5" x14ac:dyDescent="0.35">
      <c r="A2484" s="1158" t="s">
        <v>857</v>
      </c>
      <c r="B2484" s="1159">
        <v>2046</v>
      </c>
      <c r="C2484" s="1159" t="str">
        <f t="shared" si="64"/>
        <v>Trinity_2046</v>
      </c>
      <c r="D2484" s="1169">
        <v>409.17771775387297</v>
      </c>
    </row>
    <row r="2485" spans="1:4" s="339" customFormat="1" ht="15.5" x14ac:dyDescent="0.35">
      <c r="A2485" s="1158" t="s">
        <v>857</v>
      </c>
      <c r="B2485" s="1159">
        <v>2047</v>
      </c>
      <c r="C2485" s="1159" t="str">
        <f t="shared" si="64"/>
        <v>Trinity_2047</v>
      </c>
      <c r="D2485" s="1169">
        <v>408.27019808036471</v>
      </c>
    </row>
    <row r="2486" spans="1:4" s="339" customFormat="1" ht="15.5" x14ac:dyDescent="0.35">
      <c r="A2486" s="1158" t="s">
        <v>857</v>
      </c>
      <c r="B2486" s="1159">
        <v>2048</v>
      </c>
      <c r="C2486" s="1159" t="str">
        <f t="shared" si="64"/>
        <v>Trinity_2048</v>
      </c>
      <c r="D2486" s="1169">
        <v>407.49821970958527</v>
      </c>
    </row>
    <row r="2487" spans="1:4" s="339" customFormat="1" ht="15.5" x14ac:dyDescent="0.35">
      <c r="A2487" s="1158" t="s">
        <v>857</v>
      </c>
      <c r="B2487" s="1159">
        <v>2049</v>
      </c>
      <c r="C2487" s="1159" t="str">
        <f t="shared" si="64"/>
        <v>Trinity_2049</v>
      </c>
      <c r="D2487" s="1169">
        <v>406.81423348115266</v>
      </c>
    </row>
    <row r="2488" spans="1:4" s="339" customFormat="1" ht="15.5" x14ac:dyDescent="0.35">
      <c r="A2488" s="1158" t="s">
        <v>857</v>
      </c>
      <c r="B2488" s="1159">
        <v>2050</v>
      </c>
      <c r="C2488" s="1159" t="str">
        <f t="shared" si="64"/>
        <v>Trinity_2050</v>
      </c>
      <c r="D2488" s="1169">
        <v>406.23643069650717</v>
      </c>
    </row>
    <row r="2489" spans="1:4" s="339" customFormat="1" ht="15.5" x14ac:dyDescent="0.35">
      <c r="A2489" s="1155" t="s">
        <v>858</v>
      </c>
      <c r="B2489" s="1156">
        <v>2015</v>
      </c>
      <c r="C2489" s="1157" t="s">
        <v>965</v>
      </c>
      <c r="D2489" s="1168">
        <v>529.60706983986347</v>
      </c>
    </row>
    <row r="2490" spans="1:4" s="339" customFormat="1" ht="15.5" x14ac:dyDescent="0.35">
      <c r="A2490" s="1155" t="s">
        <v>858</v>
      </c>
      <c r="B2490" s="1156">
        <v>2016</v>
      </c>
      <c r="C2490" s="1157" t="s">
        <v>966</v>
      </c>
      <c r="D2490" s="1168">
        <v>517.25256374114781</v>
      </c>
    </row>
    <row r="2491" spans="1:4" s="339" customFormat="1" ht="15.5" x14ac:dyDescent="0.35">
      <c r="A2491" s="1158" t="s">
        <v>858</v>
      </c>
      <c r="B2491" s="1159">
        <v>2017</v>
      </c>
      <c r="C2491" s="1159" t="str">
        <f t="shared" ref="C2491:C2524" si="65">CONCATENATE(A2491,"_",B2491)</f>
        <v>Tulare_2017</v>
      </c>
      <c r="D2491" s="1169">
        <v>512.91485460296724</v>
      </c>
    </row>
    <row r="2492" spans="1:4" s="339" customFormat="1" ht="15.5" x14ac:dyDescent="0.35">
      <c r="A2492" s="1158" t="s">
        <v>858</v>
      </c>
      <c r="B2492" s="1159">
        <v>2018</v>
      </c>
      <c r="C2492" s="1159" t="str">
        <f t="shared" si="65"/>
        <v>Tulare_2018</v>
      </c>
      <c r="D2492" s="1169">
        <v>505.94812932786846</v>
      </c>
    </row>
    <row r="2493" spans="1:4" s="339" customFormat="1" ht="15.5" x14ac:dyDescent="0.35">
      <c r="A2493" s="1158" t="s">
        <v>858</v>
      </c>
      <c r="B2493" s="1159">
        <v>2019</v>
      </c>
      <c r="C2493" s="1159" t="str">
        <f t="shared" si="65"/>
        <v>Tulare_2019</v>
      </c>
      <c r="D2493" s="1169">
        <v>498.10240138176749</v>
      </c>
    </row>
    <row r="2494" spans="1:4" s="339" customFormat="1" ht="15.5" x14ac:dyDescent="0.35">
      <c r="A2494" s="1158" t="s">
        <v>858</v>
      </c>
      <c r="B2494" s="1159">
        <v>2020</v>
      </c>
      <c r="C2494" s="1159" t="str">
        <f t="shared" si="65"/>
        <v>Tulare_2020</v>
      </c>
      <c r="D2494" s="1169">
        <v>493.60695661443259</v>
      </c>
    </row>
    <row r="2495" spans="1:4" s="339" customFormat="1" ht="15.5" x14ac:dyDescent="0.35">
      <c r="A2495" s="1158" t="s">
        <v>858</v>
      </c>
      <c r="B2495" s="1159">
        <v>2021</v>
      </c>
      <c r="C2495" s="1159" t="str">
        <f t="shared" si="65"/>
        <v>Tulare_2021</v>
      </c>
      <c r="D2495" s="1169">
        <v>483.0188694079531</v>
      </c>
    </row>
    <row r="2496" spans="1:4" s="339" customFormat="1" ht="15.5" x14ac:dyDescent="0.35">
      <c r="A2496" s="1158" t="s">
        <v>858</v>
      </c>
      <c r="B2496" s="1159">
        <v>2022</v>
      </c>
      <c r="C2496" s="1159" t="str">
        <f t="shared" si="65"/>
        <v>Tulare_2022</v>
      </c>
      <c r="D2496" s="1169">
        <v>473.64428434883723</v>
      </c>
    </row>
    <row r="2497" spans="1:4" s="339" customFormat="1" ht="15.5" x14ac:dyDescent="0.35">
      <c r="A2497" s="1158" t="s">
        <v>858</v>
      </c>
      <c r="B2497" s="1159">
        <v>2023</v>
      </c>
      <c r="C2497" s="1159" t="str">
        <f t="shared" si="65"/>
        <v>Tulare_2023</v>
      </c>
      <c r="D2497" s="1169">
        <v>463.85711593824283</v>
      </c>
    </row>
    <row r="2498" spans="1:4" s="339" customFormat="1" ht="15.5" x14ac:dyDescent="0.35">
      <c r="A2498" s="1158" t="s">
        <v>858</v>
      </c>
      <c r="B2498" s="1159">
        <v>2024</v>
      </c>
      <c r="C2498" s="1159" t="str">
        <f t="shared" si="65"/>
        <v>Tulare_2024</v>
      </c>
      <c r="D2498" s="1169">
        <v>453.70084088606603</v>
      </c>
    </row>
    <row r="2499" spans="1:4" s="339" customFormat="1" ht="15.5" x14ac:dyDescent="0.35">
      <c r="A2499" s="1158" t="s">
        <v>858</v>
      </c>
      <c r="B2499" s="1159">
        <v>2025</v>
      </c>
      <c r="C2499" s="1159" t="str">
        <f t="shared" si="65"/>
        <v>Tulare_2025</v>
      </c>
      <c r="D2499" s="1169">
        <v>443.33405976875667</v>
      </c>
    </row>
    <row r="2500" spans="1:4" s="339" customFormat="1" ht="15.5" x14ac:dyDescent="0.35">
      <c r="A2500" s="1158" t="s">
        <v>858</v>
      </c>
      <c r="B2500" s="1159">
        <v>2026</v>
      </c>
      <c r="C2500" s="1159" t="str">
        <f t="shared" si="65"/>
        <v>Tulare_2026</v>
      </c>
      <c r="D2500" s="1169">
        <v>433.20454784942007</v>
      </c>
    </row>
    <row r="2501" spans="1:4" s="339" customFormat="1" ht="15.5" x14ac:dyDescent="0.35">
      <c r="A2501" s="1158" t="s">
        <v>858</v>
      </c>
      <c r="B2501" s="1159">
        <v>2027</v>
      </c>
      <c r="C2501" s="1159" t="str">
        <f t="shared" si="65"/>
        <v>Tulare_2027</v>
      </c>
      <c r="D2501" s="1169">
        <v>423.72188038103656</v>
      </c>
    </row>
    <row r="2502" spans="1:4" s="339" customFormat="1" ht="15.5" x14ac:dyDescent="0.35">
      <c r="A2502" s="1158" t="s">
        <v>858</v>
      </c>
      <c r="B2502" s="1159">
        <v>2028</v>
      </c>
      <c r="C2502" s="1159" t="str">
        <f t="shared" si="65"/>
        <v>Tulare_2028</v>
      </c>
      <c r="D2502" s="1169">
        <v>414.71892614186419</v>
      </c>
    </row>
    <row r="2503" spans="1:4" s="339" customFormat="1" ht="15.5" x14ac:dyDescent="0.35">
      <c r="A2503" s="1158" t="s">
        <v>858</v>
      </c>
      <c r="B2503" s="1159">
        <v>2029</v>
      </c>
      <c r="C2503" s="1159" t="str">
        <f t="shared" si="65"/>
        <v>Tulare_2029</v>
      </c>
      <c r="D2503" s="1169">
        <v>406.35929993091145</v>
      </c>
    </row>
    <row r="2504" spans="1:4" s="339" customFormat="1" ht="15.5" x14ac:dyDescent="0.35">
      <c r="A2504" s="1158" t="s">
        <v>858</v>
      </c>
      <c r="B2504" s="1159">
        <v>2030</v>
      </c>
      <c r="C2504" s="1159" t="str">
        <f t="shared" si="65"/>
        <v>Tulare_2030</v>
      </c>
      <c r="D2504" s="1169">
        <v>398.78078079012698</v>
      </c>
    </row>
    <row r="2505" spans="1:4" s="339" customFormat="1" ht="15.5" x14ac:dyDescent="0.35">
      <c r="A2505" s="1158" t="s">
        <v>858</v>
      </c>
      <c r="B2505" s="1159">
        <v>2031</v>
      </c>
      <c r="C2505" s="1159" t="str">
        <f t="shared" si="65"/>
        <v>Tulare_2031</v>
      </c>
      <c r="D2505" s="1169">
        <v>391.91998312063095</v>
      </c>
    </row>
    <row r="2506" spans="1:4" s="339" customFormat="1" ht="15.5" x14ac:dyDescent="0.35">
      <c r="A2506" s="1158" t="s">
        <v>858</v>
      </c>
      <c r="B2506" s="1159">
        <v>2032</v>
      </c>
      <c r="C2506" s="1159" t="str">
        <f t="shared" si="65"/>
        <v>Tulare_2032</v>
      </c>
      <c r="D2506" s="1169">
        <v>385.31462047416358</v>
      </c>
    </row>
    <row r="2507" spans="1:4" s="339" customFormat="1" ht="15.5" x14ac:dyDescent="0.35">
      <c r="A2507" s="1158" t="s">
        <v>858</v>
      </c>
      <c r="B2507" s="1159">
        <v>2033</v>
      </c>
      <c r="C2507" s="1159" t="str">
        <f t="shared" si="65"/>
        <v>Tulare_2033</v>
      </c>
      <c r="D2507" s="1169">
        <v>379.450791585297</v>
      </c>
    </row>
    <row r="2508" spans="1:4" s="339" customFormat="1" ht="15.5" x14ac:dyDescent="0.35">
      <c r="A2508" s="1158" t="s">
        <v>858</v>
      </c>
      <c r="B2508" s="1159">
        <v>2034</v>
      </c>
      <c r="C2508" s="1159" t="str">
        <f t="shared" si="65"/>
        <v>Tulare_2034</v>
      </c>
      <c r="D2508" s="1169">
        <v>374.15503472355169</v>
      </c>
    </row>
    <row r="2509" spans="1:4" s="339" customFormat="1" ht="15.5" x14ac:dyDescent="0.35">
      <c r="A2509" s="1158" t="s">
        <v>858</v>
      </c>
      <c r="B2509" s="1159">
        <v>2035</v>
      </c>
      <c r="C2509" s="1159" t="str">
        <f t="shared" si="65"/>
        <v>Tulare_2035</v>
      </c>
      <c r="D2509" s="1169">
        <v>369.41380885186231</v>
      </c>
    </row>
    <row r="2510" spans="1:4" s="339" customFormat="1" ht="15.5" x14ac:dyDescent="0.35">
      <c r="A2510" s="1158" t="s">
        <v>858</v>
      </c>
      <c r="B2510" s="1159">
        <v>2036</v>
      </c>
      <c r="C2510" s="1159" t="str">
        <f t="shared" si="65"/>
        <v>Tulare_2036</v>
      </c>
      <c r="D2510" s="1169">
        <v>365.20870738583778</v>
      </c>
    </row>
    <row r="2511" spans="1:4" s="339" customFormat="1" ht="15.5" x14ac:dyDescent="0.35">
      <c r="A2511" s="1158" t="s">
        <v>858</v>
      </c>
      <c r="B2511" s="1159">
        <v>2037</v>
      </c>
      <c r="C2511" s="1159" t="str">
        <f t="shared" si="65"/>
        <v>Tulare_2037</v>
      </c>
      <c r="D2511" s="1169">
        <v>361.50764722426334</v>
      </c>
    </row>
    <row r="2512" spans="1:4" s="339" customFormat="1" ht="15.5" x14ac:dyDescent="0.35">
      <c r="A2512" s="1158" t="s">
        <v>858</v>
      </c>
      <c r="B2512" s="1159">
        <v>2038</v>
      </c>
      <c r="C2512" s="1159" t="str">
        <f t="shared" si="65"/>
        <v>Tulare_2038</v>
      </c>
      <c r="D2512" s="1169">
        <v>358.61969486560133</v>
      </c>
    </row>
    <row r="2513" spans="1:4" s="339" customFormat="1" ht="15.5" x14ac:dyDescent="0.35">
      <c r="A2513" s="1158" t="s">
        <v>858</v>
      </c>
      <c r="B2513" s="1159">
        <v>2039</v>
      </c>
      <c r="C2513" s="1159" t="str">
        <f t="shared" si="65"/>
        <v>Tulare_2039</v>
      </c>
      <c r="D2513" s="1169">
        <v>355.85230938521318</v>
      </c>
    </row>
    <row r="2514" spans="1:4" s="339" customFormat="1" ht="15.5" x14ac:dyDescent="0.35">
      <c r="A2514" s="1158" t="s">
        <v>858</v>
      </c>
      <c r="B2514" s="1159">
        <v>2040</v>
      </c>
      <c r="C2514" s="1159" t="str">
        <f t="shared" si="65"/>
        <v>Tulare_2040</v>
      </c>
      <c r="D2514" s="1169">
        <v>353.49178589031447</v>
      </c>
    </row>
    <row r="2515" spans="1:4" s="339" customFormat="1" ht="15.5" x14ac:dyDescent="0.35">
      <c r="A2515" s="1158" t="s">
        <v>858</v>
      </c>
      <c r="B2515" s="1159">
        <v>2041</v>
      </c>
      <c r="C2515" s="1159" t="str">
        <f t="shared" si="65"/>
        <v>Tulare_2041</v>
      </c>
      <c r="D2515" s="1169">
        <v>351.51075936884996</v>
      </c>
    </row>
    <row r="2516" spans="1:4" s="339" customFormat="1" ht="15.5" x14ac:dyDescent="0.35">
      <c r="A2516" s="1158" t="s">
        <v>858</v>
      </c>
      <c r="B2516" s="1159">
        <v>2042</v>
      </c>
      <c r="C2516" s="1159" t="str">
        <f t="shared" si="65"/>
        <v>Tulare_2042</v>
      </c>
      <c r="D2516" s="1169">
        <v>349.82898568925839</v>
      </c>
    </row>
    <row r="2517" spans="1:4" s="339" customFormat="1" ht="15.5" x14ac:dyDescent="0.35">
      <c r="A2517" s="1158" t="s">
        <v>858</v>
      </c>
      <c r="B2517" s="1159">
        <v>2043</v>
      </c>
      <c r="C2517" s="1159" t="str">
        <f t="shared" si="65"/>
        <v>Tulare_2043</v>
      </c>
      <c r="D2517" s="1169">
        <v>348.43553619068643</v>
      </c>
    </row>
    <row r="2518" spans="1:4" s="339" customFormat="1" ht="15.5" x14ac:dyDescent="0.35">
      <c r="A2518" s="1158" t="s">
        <v>858</v>
      </c>
      <c r="B2518" s="1159">
        <v>2044</v>
      </c>
      <c r="C2518" s="1159" t="str">
        <f t="shared" si="65"/>
        <v>Tulare_2044</v>
      </c>
      <c r="D2518" s="1169">
        <v>347.25810072215603</v>
      </c>
    </row>
    <row r="2519" spans="1:4" s="339" customFormat="1" ht="15.5" x14ac:dyDescent="0.35">
      <c r="A2519" s="1158" t="s">
        <v>858</v>
      </c>
      <c r="B2519" s="1159">
        <v>2045</v>
      </c>
      <c r="C2519" s="1159" t="str">
        <f t="shared" si="65"/>
        <v>Tulare_2045</v>
      </c>
      <c r="D2519" s="1169">
        <v>346.24858655247425</v>
      </c>
    </row>
    <row r="2520" spans="1:4" s="339" customFormat="1" ht="15.5" x14ac:dyDescent="0.35">
      <c r="A2520" s="1158" t="s">
        <v>858</v>
      </c>
      <c r="B2520" s="1159">
        <v>2046</v>
      </c>
      <c r="C2520" s="1159" t="str">
        <f t="shared" si="65"/>
        <v>Tulare_2046</v>
      </c>
      <c r="D2520" s="1169">
        <v>345.38016112522683</v>
      </c>
    </row>
    <row r="2521" spans="1:4" s="339" customFormat="1" ht="15.5" x14ac:dyDescent="0.35">
      <c r="A2521" s="1158" t="s">
        <v>858</v>
      </c>
      <c r="B2521" s="1159">
        <v>2047</v>
      </c>
      <c r="C2521" s="1159" t="str">
        <f t="shared" si="65"/>
        <v>Tulare_2047</v>
      </c>
      <c r="D2521" s="1169">
        <v>344.65585089437053</v>
      </c>
    </row>
    <row r="2522" spans="1:4" s="339" customFormat="1" ht="15.5" x14ac:dyDescent="0.35">
      <c r="A2522" s="1158" t="s">
        <v>858</v>
      </c>
      <c r="B2522" s="1159">
        <v>2048</v>
      </c>
      <c r="C2522" s="1159" t="str">
        <f t="shared" si="65"/>
        <v>Tulare_2048</v>
      </c>
      <c r="D2522" s="1169">
        <v>344.04511631617072</v>
      </c>
    </row>
    <row r="2523" spans="1:4" s="339" customFormat="1" ht="15.5" x14ac:dyDescent="0.35">
      <c r="A2523" s="1158" t="s">
        <v>858</v>
      </c>
      <c r="B2523" s="1159">
        <v>2049</v>
      </c>
      <c r="C2523" s="1159" t="str">
        <f t="shared" si="65"/>
        <v>Tulare_2049</v>
      </c>
      <c r="D2523" s="1169">
        <v>343.5288163262573</v>
      </c>
    </row>
    <row r="2524" spans="1:4" s="339" customFormat="1" ht="15.5" x14ac:dyDescent="0.35">
      <c r="A2524" s="1158" t="s">
        <v>858</v>
      </c>
      <c r="B2524" s="1159">
        <v>2050</v>
      </c>
      <c r="C2524" s="1159" t="str">
        <f t="shared" si="65"/>
        <v>Tulare_2050</v>
      </c>
      <c r="D2524" s="1169">
        <v>343.10464352165695</v>
      </c>
    </row>
    <row r="2525" spans="1:4" s="339" customFormat="1" ht="15.5" x14ac:dyDescent="0.35">
      <c r="A2525" s="1155" t="s">
        <v>859</v>
      </c>
      <c r="B2525" s="1156">
        <v>2015</v>
      </c>
      <c r="C2525" s="1157" t="s">
        <v>967</v>
      </c>
      <c r="D2525" s="1168">
        <v>572.58995342396224</v>
      </c>
    </row>
    <row r="2526" spans="1:4" s="339" customFormat="1" ht="15.5" x14ac:dyDescent="0.35">
      <c r="A2526" s="1155" t="s">
        <v>859</v>
      </c>
      <c r="B2526" s="1156">
        <v>2016</v>
      </c>
      <c r="C2526" s="1157" t="s">
        <v>968</v>
      </c>
      <c r="D2526" s="1168">
        <v>563.39573807895454</v>
      </c>
    </row>
    <row r="2527" spans="1:4" s="339" customFormat="1" ht="15.5" x14ac:dyDescent="0.35">
      <c r="A2527" s="1158" t="s">
        <v>859</v>
      </c>
      <c r="B2527" s="1159">
        <v>2017</v>
      </c>
      <c r="C2527" s="1159" t="str">
        <f t="shared" ref="C2527:C2560" si="66">CONCATENATE(A2527,"_",B2527)</f>
        <v>Tuolumne_2017</v>
      </c>
      <c r="D2527" s="1169">
        <v>558.98103178302131</v>
      </c>
    </row>
    <row r="2528" spans="1:4" s="339" customFormat="1" ht="15.5" x14ac:dyDescent="0.35">
      <c r="A2528" s="1158" t="s">
        <v>859</v>
      </c>
      <c r="B2528" s="1159">
        <v>2018</v>
      </c>
      <c r="C2528" s="1159" t="str">
        <f t="shared" si="66"/>
        <v>Tuolumne_2018</v>
      </c>
      <c r="D2528" s="1169">
        <v>552.9726032699383</v>
      </c>
    </row>
    <row r="2529" spans="1:4" s="339" customFormat="1" ht="15.5" x14ac:dyDescent="0.35">
      <c r="A2529" s="1158" t="s">
        <v>859</v>
      </c>
      <c r="B2529" s="1159">
        <v>2019</v>
      </c>
      <c r="C2529" s="1159" t="str">
        <f t="shared" si="66"/>
        <v>Tuolumne_2019</v>
      </c>
      <c r="D2529" s="1169">
        <v>543.49145179590801</v>
      </c>
    </row>
    <row r="2530" spans="1:4" s="339" customFormat="1" ht="15.5" x14ac:dyDescent="0.35">
      <c r="A2530" s="1158" t="s">
        <v>859</v>
      </c>
      <c r="B2530" s="1159">
        <v>2020</v>
      </c>
      <c r="C2530" s="1159" t="str">
        <f t="shared" si="66"/>
        <v>Tuolumne_2020</v>
      </c>
      <c r="D2530" s="1169">
        <v>538.05339348665359</v>
      </c>
    </row>
    <row r="2531" spans="1:4" s="339" customFormat="1" ht="15.5" x14ac:dyDescent="0.35">
      <c r="A2531" s="1158" t="s">
        <v>859</v>
      </c>
      <c r="B2531" s="1159">
        <v>2021</v>
      </c>
      <c r="C2531" s="1159" t="str">
        <f t="shared" si="66"/>
        <v>Tuolumne_2021</v>
      </c>
      <c r="D2531" s="1169">
        <v>526.76442646956582</v>
      </c>
    </row>
    <row r="2532" spans="1:4" s="339" customFormat="1" ht="15.5" x14ac:dyDescent="0.35">
      <c r="A2532" s="1158" t="s">
        <v>859</v>
      </c>
      <c r="B2532" s="1159">
        <v>2022</v>
      </c>
      <c r="C2532" s="1159" t="str">
        <f t="shared" si="66"/>
        <v>Tuolumne_2022</v>
      </c>
      <c r="D2532" s="1169">
        <v>516.63776920000589</v>
      </c>
    </row>
    <row r="2533" spans="1:4" s="339" customFormat="1" ht="15.5" x14ac:dyDescent="0.35">
      <c r="A2533" s="1158" t="s">
        <v>859</v>
      </c>
      <c r="B2533" s="1159">
        <v>2023</v>
      </c>
      <c r="C2533" s="1159" t="str">
        <f t="shared" si="66"/>
        <v>Tuolumne_2023</v>
      </c>
      <c r="D2533" s="1169">
        <v>505.92128952366602</v>
      </c>
    </row>
    <row r="2534" spans="1:4" s="339" customFormat="1" ht="15.5" x14ac:dyDescent="0.35">
      <c r="A2534" s="1158" t="s">
        <v>859</v>
      </c>
      <c r="B2534" s="1159">
        <v>2024</v>
      </c>
      <c r="C2534" s="1159" t="str">
        <f t="shared" si="66"/>
        <v>Tuolumne_2024</v>
      </c>
      <c r="D2534" s="1169">
        <v>494.88044412899939</v>
      </c>
    </row>
    <row r="2535" spans="1:4" s="339" customFormat="1" ht="15.5" x14ac:dyDescent="0.35">
      <c r="A2535" s="1158" t="s">
        <v>859</v>
      </c>
      <c r="B2535" s="1159">
        <v>2025</v>
      </c>
      <c r="C2535" s="1159" t="str">
        <f t="shared" si="66"/>
        <v>Tuolumne_2025</v>
      </c>
      <c r="D2535" s="1169">
        <v>483.70119396262669</v>
      </c>
    </row>
    <row r="2536" spans="1:4" s="339" customFormat="1" ht="15.5" x14ac:dyDescent="0.35">
      <c r="A2536" s="1158" t="s">
        <v>859</v>
      </c>
      <c r="B2536" s="1159">
        <v>2026</v>
      </c>
      <c r="C2536" s="1159" t="str">
        <f t="shared" si="66"/>
        <v>Tuolumne_2026</v>
      </c>
      <c r="D2536" s="1169">
        <v>472.71471019643275</v>
      </c>
    </row>
    <row r="2537" spans="1:4" s="339" customFormat="1" ht="15.5" x14ac:dyDescent="0.35">
      <c r="A2537" s="1158" t="s">
        <v>859</v>
      </c>
      <c r="B2537" s="1159">
        <v>2027</v>
      </c>
      <c r="C2537" s="1159" t="str">
        <f t="shared" si="66"/>
        <v>Tuolumne_2027</v>
      </c>
      <c r="D2537" s="1169">
        <v>462.10894924442789</v>
      </c>
    </row>
    <row r="2538" spans="1:4" s="339" customFormat="1" ht="15.5" x14ac:dyDescent="0.35">
      <c r="A2538" s="1158" t="s">
        <v>859</v>
      </c>
      <c r="B2538" s="1159">
        <v>2028</v>
      </c>
      <c r="C2538" s="1159" t="str">
        <f t="shared" si="66"/>
        <v>Tuolumne_2028</v>
      </c>
      <c r="D2538" s="1169">
        <v>452.07071743186077</v>
      </c>
    </row>
    <row r="2539" spans="1:4" s="339" customFormat="1" ht="15.5" x14ac:dyDescent="0.35">
      <c r="A2539" s="1158" t="s">
        <v>859</v>
      </c>
      <c r="B2539" s="1159">
        <v>2029</v>
      </c>
      <c r="C2539" s="1159" t="str">
        <f t="shared" si="66"/>
        <v>Tuolumne_2029</v>
      </c>
      <c r="D2539" s="1169">
        <v>442.62308656094626</v>
      </c>
    </row>
    <row r="2540" spans="1:4" s="339" customFormat="1" ht="15.5" x14ac:dyDescent="0.35">
      <c r="A2540" s="1158" t="s">
        <v>859</v>
      </c>
      <c r="B2540" s="1159">
        <v>2030</v>
      </c>
      <c r="C2540" s="1159" t="str">
        <f t="shared" si="66"/>
        <v>Tuolumne_2030</v>
      </c>
      <c r="D2540" s="1169">
        <v>433.90788372569187</v>
      </c>
    </row>
    <row r="2541" spans="1:4" s="339" customFormat="1" ht="15.5" x14ac:dyDescent="0.35">
      <c r="A2541" s="1158" t="s">
        <v>859</v>
      </c>
      <c r="B2541" s="1159">
        <v>2031</v>
      </c>
      <c r="C2541" s="1159" t="str">
        <f t="shared" si="66"/>
        <v>Tuolumne_2031</v>
      </c>
      <c r="D2541" s="1169">
        <v>425.85667914973686</v>
      </c>
    </row>
    <row r="2542" spans="1:4" s="339" customFormat="1" ht="15.5" x14ac:dyDescent="0.35">
      <c r="A2542" s="1158" t="s">
        <v>859</v>
      </c>
      <c r="B2542" s="1159">
        <v>2032</v>
      </c>
      <c r="C2542" s="1159" t="str">
        <f t="shared" si="66"/>
        <v>Tuolumne_2032</v>
      </c>
      <c r="D2542" s="1169">
        <v>418.46635825221563</v>
      </c>
    </row>
    <row r="2543" spans="1:4" s="339" customFormat="1" ht="15.5" x14ac:dyDescent="0.35">
      <c r="A2543" s="1158" t="s">
        <v>859</v>
      </c>
      <c r="B2543" s="1159">
        <v>2033</v>
      </c>
      <c r="C2543" s="1159" t="str">
        <f t="shared" si="66"/>
        <v>Tuolumne_2033</v>
      </c>
      <c r="D2543" s="1169">
        <v>411.75463470410722</v>
      </c>
    </row>
    <row r="2544" spans="1:4" s="339" customFormat="1" ht="15.5" x14ac:dyDescent="0.35">
      <c r="A2544" s="1158" t="s">
        <v>859</v>
      </c>
      <c r="B2544" s="1159">
        <v>2034</v>
      </c>
      <c r="C2544" s="1159" t="str">
        <f t="shared" si="66"/>
        <v>Tuolumne_2034</v>
      </c>
      <c r="D2544" s="1169">
        <v>405.61683126643766</v>
      </c>
    </row>
    <row r="2545" spans="1:4" s="339" customFormat="1" ht="15.5" x14ac:dyDescent="0.35">
      <c r="A2545" s="1158" t="s">
        <v>859</v>
      </c>
      <c r="B2545" s="1159">
        <v>2035</v>
      </c>
      <c r="C2545" s="1159" t="str">
        <f t="shared" si="66"/>
        <v>Tuolumne_2035</v>
      </c>
      <c r="D2545" s="1169">
        <v>400.11951680851053</v>
      </c>
    </row>
    <row r="2546" spans="1:4" s="339" customFormat="1" ht="15.5" x14ac:dyDescent="0.35">
      <c r="A2546" s="1158" t="s">
        <v>859</v>
      </c>
      <c r="B2546" s="1159">
        <v>2036</v>
      </c>
      <c r="C2546" s="1159" t="str">
        <f t="shared" si="66"/>
        <v>Tuolumne_2036</v>
      </c>
      <c r="D2546" s="1169">
        <v>395.23696765702636</v>
      </c>
    </row>
    <row r="2547" spans="1:4" s="339" customFormat="1" ht="15.5" x14ac:dyDescent="0.35">
      <c r="A2547" s="1158" t="s">
        <v>859</v>
      </c>
      <c r="B2547" s="1159">
        <v>2037</v>
      </c>
      <c r="C2547" s="1159" t="str">
        <f t="shared" si="66"/>
        <v>Tuolumne_2037</v>
      </c>
      <c r="D2547" s="1169">
        <v>390.8189663899002</v>
      </c>
    </row>
    <row r="2548" spans="1:4" s="339" customFormat="1" ht="15.5" x14ac:dyDescent="0.35">
      <c r="A2548" s="1158" t="s">
        <v>859</v>
      </c>
      <c r="B2548" s="1159">
        <v>2038</v>
      </c>
      <c r="C2548" s="1159" t="str">
        <f t="shared" si="66"/>
        <v>Tuolumne_2038</v>
      </c>
      <c r="D2548" s="1169">
        <v>387.0306703539469</v>
      </c>
    </row>
    <row r="2549" spans="1:4" s="339" customFormat="1" ht="15.5" x14ac:dyDescent="0.35">
      <c r="A2549" s="1158" t="s">
        <v>859</v>
      </c>
      <c r="B2549" s="1159">
        <v>2039</v>
      </c>
      <c r="C2549" s="1159" t="str">
        <f t="shared" si="66"/>
        <v>Tuolumne_2039</v>
      </c>
      <c r="D2549" s="1169">
        <v>383.6358056907755</v>
      </c>
    </row>
    <row r="2550" spans="1:4" s="339" customFormat="1" ht="15.5" x14ac:dyDescent="0.35">
      <c r="A2550" s="1158" t="s">
        <v>859</v>
      </c>
      <c r="B2550" s="1159">
        <v>2040</v>
      </c>
      <c r="C2550" s="1159" t="str">
        <f t="shared" si="66"/>
        <v>Tuolumne_2040</v>
      </c>
      <c r="D2550" s="1169">
        <v>380.66316082251382</v>
      </c>
    </row>
    <row r="2551" spans="1:4" s="339" customFormat="1" ht="15.5" x14ac:dyDescent="0.35">
      <c r="A2551" s="1158" t="s">
        <v>859</v>
      </c>
      <c r="B2551" s="1159">
        <v>2041</v>
      </c>
      <c r="C2551" s="1159" t="str">
        <f t="shared" si="66"/>
        <v>Tuolumne_2041</v>
      </c>
      <c r="D2551" s="1169">
        <v>378.10732950471208</v>
      </c>
    </row>
    <row r="2552" spans="1:4" s="339" customFormat="1" ht="15.5" x14ac:dyDescent="0.35">
      <c r="A2552" s="1158" t="s">
        <v>859</v>
      </c>
      <c r="B2552" s="1159">
        <v>2042</v>
      </c>
      <c r="C2552" s="1159" t="str">
        <f t="shared" si="66"/>
        <v>Tuolumne_2042</v>
      </c>
      <c r="D2552" s="1169">
        <v>375.83831583897609</v>
      </c>
    </row>
    <row r="2553" spans="1:4" s="339" customFormat="1" ht="15.5" x14ac:dyDescent="0.35">
      <c r="A2553" s="1158" t="s">
        <v>859</v>
      </c>
      <c r="B2553" s="1159">
        <v>2043</v>
      </c>
      <c r="C2553" s="1159" t="str">
        <f t="shared" si="66"/>
        <v>Tuolumne_2043</v>
      </c>
      <c r="D2553" s="1169">
        <v>373.86350842108237</v>
      </c>
    </row>
    <row r="2554" spans="1:4" s="339" customFormat="1" ht="15.5" x14ac:dyDescent="0.35">
      <c r="A2554" s="1158" t="s">
        <v>859</v>
      </c>
      <c r="B2554" s="1159">
        <v>2044</v>
      </c>
      <c r="C2554" s="1159" t="str">
        <f t="shared" si="66"/>
        <v>Tuolumne_2044</v>
      </c>
      <c r="D2554" s="1169">
        <v>372.03018972535892</v>
      </c>
    </row>
    <row r="2555" spans="1:4" s="339" customFormat="1" ht="15.5" x14ac:dyDescent="0.35">
      <c r="A2555" s="1158" t="s">
        <v>859</v>
      </c>
      <c r="B2555" s="1159">
        <v>2045</v>
      </c>
      <c r="C2555" s="1159" t="str">
        <f t="shared" si="66"/>
        <v>Tuolumne_2045</v>
      </c>
      <c r="D2555" s="1169">
        <v>370.39079698793222</v>
      </c>
    </row>
    <row r="2556" spans="1:4" s="339" customFormat="1" ht="15.5" x14ac:dyDescent="0.35">
      <c r="A2556" s="1158" t="s">
        <v>859</v>
      </c>
      <c r="B2556" s="1159">
        <v>2046</v>
      </c>
      <c r="C2556" s="1159" t="str">
        <f t="shared" si="66"/>
        <v>Tuolumne_2046</v>
      </c>
      <c r="D2556" s="1169">
        <v>368.870272884136</v>
      </c>
    </row>
    <row r="2557" spans="1:4" s="339" customFormat="1" ht="15.5" x14ac:dyDescent="0.35">
      <c r="A2557" s="1158" t="s">
        <v>859</v>
      </c>
      <c r="B2557" s="1159">
        <v>2047</v>
      </c>
      <c r="C2557" s="1159" t="str">
        <f t="shared" si="66"/>
        <v>Tuolumne_2047</v>
      </c>
      <c r="D2557" s="1169">
        <v>367.55906865376716</v>
      </c>
    </row>
    <row r="2558" spans="1:4" s="339" customFormat="1" ht="15.5" x14ac:dyDescent="0.35">
      <c r="A2558" s="1158" t="s">
        <v>859</v>
      </c>
      <c r="B2558" s="1159">
        <v>2048</v>
      </c>
      <c r="C2558" s="1159" t="str">
        <f t="shared" si="66"/>
        <v>Tuolumne_2048</v>
      </c>
      <c r="D2558" s="1169">
        <v>366.37456229175888</v>
      </c>
    </row>
    <row r="2559" spans="1:4" s="339" customFormat="1" ht="15.5" x14ac:dyDescent="0.35">
      <c r="A2559" s="1158" t="s">
        <v>859</v>
      </c>
      <c r="B2559" s="1159">
        <v>2049</v>
      </c>
      <c r="C2559" s="1159" t="str">
        <f t="shared" si="66"/>
        <v>Tuolumne_2049</v>
      </c>
      <c r="D2559" s="1169">
        <v>365.36326623517027</v>
      </c>
    </row>
    <row r="2560" spans="1:4" s="339" customFormat="1" ht="15.5" x14ac:dyDescent="0.35">
      <c r="A2560" s="1158" t="s">
        <v>859</v>
      </c>
      <c r="B2560" s="1159">
        <v>2050</v>
      </c>
      <c r="C2560" s="1159" t="str">
        <f t="shared" si="66"/>
        <v>Tuolumne_2050</v>
      </c>
      <c r="D2560" s="1169">
        <v>364.47309048768278</v>
      </c>
    </row>
    <row r="2561" spans="1:4" s="339" customFormat="1" ht="15.5" x14ac:dyDescent="0.35">
      <c r="A2561" s="1155" t="s">
        <v>860</v>
      </c>
      <c r="B2561" s="1156">
        <v>2015</v>
      </c>
      <c r="C2561" s="1157" t="s">
        <v>969</v>
      </c>
      <c r="D2561" s="1168">
        <v>509.47615714305351</v>
      </c>
    </row>
    <row r="2562" spans="1:4" s="339" customFormat="1" ht="15.5" x14ac:dyDescent="0.35">
      <c r="A2562" s="1155" t="s">
        <v>860</v>
      </c>
      <c r="B2562" s="1156">
        <v>2016</v>
      </c>
      <c r="C2562" s="1157" t="s">
        <v>970</v>
      </c>
      <c r="D2562" s="1168">
        <v>497.67188644055716</v>
      </c>
    </row>
    <row r="2563" spans="1:4" s="339" customFormat="1" ht="15.5" x14ac:dyDescent="0.35">
      <c r="A2563" s="1158" t="s">
        <v>860</v>
      </c>
      <c r="B2563" s="1159">
        <v>2017</v>
      </c>
      <c r="C2563" s="1159" t="str">
        <f t="shared" ref="C2563:C2596" si="67">CONCATENATE(A2563,"_",B2563)</f>
        <v>Ventura_2017</v>
      </c>
      <c r="D2563" s="1169">
        <v>494.20992969252518</v>
      </c>
    </row>
    <row r="2564" spans="1:4" s="339" customFormat="1" ht="15.5" x14ac:dyDescent="0.35">
      <c r="A2564" s="1158" t="s">
        <v>860</v>
      </c>
      <c r="B2564" s="1159">
        <v>2018</v>
      </c>
      <c r="C2564" s="1159" t="str">
        <f t="shared" si="67"/>
        <v>Ventura_2018</v>
      </c>
      <c r="D2564" s="1169">
        <v>488.5531328560474</v>
      </c>
    </row>
    <row r="2565" spans="1:4" s="339" customFormat="1" ht="15.5" x14ac:dyDescent="0.35">
      <c r="A2565" s="1158" t="s">
        <v>860</v>
      </c>
      <c r="B2565" s="1159">
        <v>2019</v>
      </c>
      <c r="C2565" s="1159" t="str">
        <f t="shared" si="67"/>
        <v>Ventura_2019</v>
      </c>
      <c r="D2565" s="1169">
        <v>482.71947303902988</v>
      </c>
    </row>
    <row r="2566" spans="1:4" s="339" customFormat="1" ht="15.5" x14ac:dyDescent="0.35">
      <c r="A2566" s="1158" t="s">
        <v>860</v>
      </c>
      <c r="B2566" s="1159">
        <v>2020</v>
      </c>
      <c r="C2566" s="1159" t="str">
        <f t="shared" si="67"/>
        <v>Ventura_2020</v>
      </c>
      <c r="D2566" s="1169">
        <v>478.40366016740342</v>
      </c>
    </row>
    <row r="2567" spans="1:4" s="339" customFormat="1" ht="15.5" x14ac:dyDescent="0.35">
      <c r="A2567" s="1158" t="s">
        <v>860</v>
      </c>
      <c r="B2567" s="1159">
        <v>2021</v>
      </c>
      <c r="C2567" s="1159" t="str">
        <f t="shared" si="67"/>
        <v>Ventura_2021</v>
      </c>
      <c r="D2567" s="1169">
        <v>468.69320210360104</v>
      </c>
    </row>
    <row r="2568" spans="1:4" s="339" customFormat="1" ht="15.5" x14ac:dyDescent="0.35">
      <c r="A2568" s="1158" t="s">
        <v>860</v>
      </c>
      <c r="B2568" s="1159">
        <v>2022</v>
      </c>
      <c r="C2568" s="1159" t="str">
        <f t="shared" si="67"/>
        <v>Ventura_2022</v>
      </c>
      <c r="D2568" s="1169">
        <v>459.92325525835696</v>
      </c>
    </row>
    <row r="2569" spans="1:4" s="339" customFormat="1" ht="15.5" x14ac:dyDescent="0.35">
      <c r="A2569" s="1158" t="s">
        <v>860</v>
      </c>
      <c r="B2569" s="1159">
        <v>2023</v>
      </c>
      <c r="C2569" s="1159" t="str">
        <f t="shared" si="67"/>
        <v>Ventura_2023</v>
      </c>
      <c r="D2569" s="1169">
        <v>450.72871499925606</v>
      </c>
    </row>
    <row r="2570" spans="1:4" s="339" customFormat="1" ht="15.5" x14ac:dyDescent="0.35">
      <c r="A2570" s="1158" t="s">
        <v>860</v>
      </c>
      <c r="B2570" s="1159">
        <v>2024</v>
      </c>
      <c r="C2570" s="1159" t="str">
        <f t="shared" si="67"/>
        <v>Ventura_2024</v>
      </c>
      <c r="D2570" s="1169">
        <v>440.9604189372659</v>
      </c>
    </row>
    <row r="2571" spans="1:4" s="339" customFormat="1" ht="15.5" x14ac:dyDescent="0.35">
      <c r="A2571" s="1158" t="s">
        <v>860</v>
      </c>
      <c r="B2571" s="1159">
        <v>2025</v>
      </c>
      <c r="C2571" s="1159" t="str">
        <f t="shared" si="67"/>
        <v>Ventura_2025</v>
      </c>
      <c r="D2571" s="1169">
        <v>431.000081946362</v>
      </c>
    </row>
    <row r="2572" spans="1:4" s="339" customFormat="1" ht="15.5" x14ac:dyDescent="0.35">
      <c r="A2572" s="1158" t="s">
        <v>860</v>
      </c>
      <c r="B2572" s="1159">
        <v>2026</v>
      </c>
      <c r="C2572" s="1159" t="str">
        <f t="shared" si="67"/>
        <v>Ventura_2026</v>
      </c>
      <c r="D2572" s="1169">
        <v>421.30663417770774</v>
      </c>
    </row>
    <row r="2573" spans="1:4" s="339" customFormat="1" ht="15.5" x14ac:dyDescent="0.35">
      <c r="A2573" s="1158" t="s">
        <v>860</v>
      </c>
      <c r="B2573" s="1159">
        <v>2027</v>
      </c>
      <c r="C2573" s="1159" t="str">
        <f t="shared" si="67"/>
        <v>Ventura_2027</v>
      </c>
      <c r="D2573" s="1169">
        <v>412.99701830507007</v>
      </c>
    </row>
    <row r="2574" spans="1:4" s="339" customFormat="1" ht="15.5" x14ac:dyDescent="0.35">
      <c r="A2574" s="1158" t="s">
        <v>860</v>
      </c>
      <c r="B2574" s="1159">
        <v>2028</v>
      </c>
      <c r="C2574" s="1159" t="str">
        <f t="shared" si="67"/>
        <v>Ventura_2028</v>
      </c>
      <c r="D2574" s="1169">
        <v>404.75781343741329</v>
      </c>
    </row>
    <row r="2575" spans="1:4" s="339" customFormat="1" ht="15.5" x14ac:dyDescent="0.35">
      <c r="A2575" s="1158" t="s">
        <v>860</v>
      </c>
      <c r="B2575" s="1159">
        <v>2029</v>
      </c>
      <c r="C2575" s="1159" t="str">
        <f t="shared" si="67"/>
        <v>Ventura_2029</v>
      </c>
      <c r="D2575" s="1169">
        <v>397.23174103542203</v>
      </c>
    </row>
    <row r="2576" spans="1:4" s="339" customFormat="1" ht="15.5" x14ac:dyDescent="0.35">
      <c r="A2576" s="1158" t="s">
        <v>860</v>
      </c>
      <c r="B2576" s="1159">
        <v>2030</v>
      </c>
      <c r="C2576" s="1159" t="str">
        <f t="shared" si="67"/>
        <v>Ventura_2030</v>
      </c>
      <c r="D2576" s="1169">
        <v>390.4066060035338</v>
      </c>
    </row>
    <row r="2577" spans="1:4" s="339" customFormat="1" ht="15.5" x14ac:dyDescent="0.35">
      <c r="A2577" s="1158" t="s">
        <v>860</v>
      </c>
      <c r="B2577" s="1159">
        <v>2031</v>
      </c>
      <c r="C2577" s="1159" t="str">
        <f t="shared" si="67"/>
        <v>Ventura_2031</v>
      </c>
      <c r="D2577" s="1169">
        <v>384.21515878773192</v>
      </c>
    </row>
    <row r="2578" spans="1:4" s="339" customFormat="1" ht="15.5" x14ac:dyDescent="0.35">
      <c r="A2578" s="1158" t="s">
        <v>860</v>
      </c>
      <c r="B2578" s="1159">
        <v>2032</v>
      </c>
      <c r="C2578" s="1159" t="str">
        <f t="shared" si="67"/>
        <v>Ventura_2032</v>
      </c>
      <c r="D2578" s="1169">
        <v>378.74510708354688</v>
      </c>
    </row>
    <row r="2579" spans="1:4" s="339" customFormat="1" ht="15.5" x14ac:dyDescent="0.35">
      <c r="A2579" s="1158" t="s">
        <v>860</v>
      </c>
      <c r="B2579" s="1159">
        <v>2033</v>
      </c>
      <c r="C2579" s="1159" t="str">
        <f t="shared" si="67"/>
        <v>Ventura_2033</v>
      </c>
      <c r="D2579" s="1169">
        <v>373.48960247425742</v>
      </c>
    </row>
    <row r="2580" spans="1:4" s="339" customFormat="1" ht="15.5" x14ac:dyDescent="0.35">
      <c r="A2580" s="1158" t="s">
        <v>860</v>
      </c>
      <c r="B2580" s="1159">
        <v>2034</v>
      </c>
      <c r="C2580" s="1159" t="str">
        <f t="shared" si="67"/>
        <v>Ventura_2034</v>
      </c>
      <c r="D2580" s="1169">
        <v>369.0091797976213</v>
      </c>
    </row>
    <row r="2581" spans="1:4" s="339" customFormat="1" ht="15.5" x14ac:dyDescent="0.35">
      <c r="A2581" s="1158" t="s">
        <v>860</v>
      </c>
      <c r="B2581" s="1159">
        <v>2035</v>
      </c>
      <c r="C2581" s="1159" t="str">
        <f t="shared" si="67"/>
        <v>Ventura_2035</v>
      </c>
      <c r="D2581" s="1169">
        <v>365.04037947398308</v>
      </c>
    </row>
    <row r="2582" spans="1:4" s="339" customFormat="1" ht="15.5" x14ac:dyDescent="0.35">
      <c r="A2582" s="1158" t="s">
        <v>860</v>
      </c>
      <c r="B2582" s="1159">
        <v>2036</v>
      </c>
      <c r="C2582" s="1159" t="str">
        <f t="shared" si="67"/>
        <v>Ventura_2036</v>
      </c>
      <c r="D2582" s="1169">
        <v>361.49275683084693</v>
      </c>
    </row>
    <row r="2583" spans="1:4" s="339" customFormat="1" ht="15.5" x14ac:dyDescent="0.35">
      <c r="A2583" s="1158" t="s">
        <v>860</v>
      </c>
      <c r="B2583" s="1159">
        <v>2037</v>
      </c>
      <c r="C2583" s="1159" t="str">
        <f t="shared" si="67"/>
        <v>Ventura_2037</v>
      </c>
      <c r="D2583" s="1169">
        <v>358.48775626065986</v>
      </c>
    </row>
    <row r="2584" spans="1:4" s="339" customFormat="1" ht="15.5" x14ac:dyDescent="0.35">
      <c r="A2584" s="1158" t="s">
        <v>860</v>
      </c>
      <c r="B2584" s="1159">
        <v>2038</v>
      </c>
      <c r="C2584" s="1159" t="str">
        <f t="shared" si="67"/>
        <v>Ventura_2038</v>
      </c>
      <c r="D2584" s="1169">
        <v>357.25366398455498</v>
      </c>
    </row>
    <row r="2585" spans="1:4" s="339" customFormat="1" ht="15.5" x14ac:dyDescent="0.35">
      <c r="A2585" s="1158" t="s">
        <v>860</v>
      </c>
      <c r="B2585" s="1159">
        <v>2039</v>
      </c>
      <c r="C2585" s="1159" t="str">
        <f t="shared" si="67"/>
        <v>Ventura_2039</v>
      </c>
      <c r="D2585" s="1169">
        <v>355.04231635728843</v>
      </c>
    </row>
    <row r="2586" spans="1:4" s="339" customFormat="1" ht="15.5" x14ac:dyDescent="0.35">
      <c r="A2586" s="1158" t="s">
        <v>860</v>
      </c>
      <c r="B2586" s="1159">
        <v>2040</v>
      </c>
      <c r="C2586" s="1159" t="str">
        <f t="shared" si="67"/>
        <v>Ventura_2040</v>
      </c>
      <c r="D2586" s="1169">
        <v>353.17666512548539</v>
      </c>
    </row>
    <row r="2587" spans="1:4" s="339" customFormat="1" ht="15.5" x14ac:dyDescent="0.35">
      <c r="A2587" s="1158" t="s">
        <v>860</v>
      </c>
      <c r="B2587" s="1159">
        <v>2041</v>
      </c>
      <c r="C2587" s="1159" t="str">
        <f t="shared" si="67"/>
        <v>Ventura_2041</v>
      </c>
      <c r="D2587" s="1169">
        <v>351.62809053335951</v>
      </c>
    </row>
    <row r="2588" spans="1:4" s="339" customFormat="1" ht="15.5" x14ac:dyDescent="0.35">
      <c r="A2588" s="1158" t="s">
        <v>860</v>
      </c>
      <c r="B2588" s="1159">
        <v>2042</v>
      </c>
      <c r="C2588" s="1159" t="str">
        <f t="shared" si="67"/>
        <v>Ventura_2042</v>
      </c>
      <c r="D2588" s="1169">
        <v>350.32146920694834</v>
      </c>
    </row>
    <row r="2589" spans="1:4" s="339" customFormat="1" ht="15.5" x14ac:dyDescent="0.35">
      <c r="A2589" s="1158" t="s">
        <v>860</v>
      </c>
      <c r="B2589" s="1159">
        <v>2043</v>
      </c>
      <c r="C2589" s="1159" t="str">
        <f t="shared" si="67"/>
        <v>Ventura_2043</v>
      </c>
      <c r="D2589" s="1169">
        <v>349.23942697587421</v>
      </c>
    </row>
    <row r="2590" spans="1:4" s="339" customFormat="1" ht="15.5" x14ac:dyDescent="0.35">
      <c r="A2590" s="1158" t="s">
        <v>860</v>
      </c>
      <c r="B2590" s="1159">
        <v>2044</v>
      </c>
      <c r="C2590" s="1159" t="str">
        <f t="shared" si="67"/>
        <v>Ventura_2044</v>
      </c>
      <c r="D2590" s="1169">
        <v>348.33370759936918</v>
      </c>
    </row>
    <row r="2591" spans="1:4" s="339" customFormat="1" ht="15.5" x14ac:dyDescent="0.35">
      <c r="A2591" s="1158" t="s">
        <v>860</v>
      </c>
      <c r="B2591" s="1159">
        <v>2045</v>
      </c>
      <c r="C2591" s="1159" t="str">
        <f t="shared" si="67"/>
        <v>Ventura_2045</v>
      </c>
      <c r="D2591" s="1169">
        <v>347.55173658621987</v>
      </c>
    </row>
    <row r="2592" spans="1:4" s="339" customFormat="1" ht="15.5" x14ac:dyDescent="0.35">
      <c r="A2592" s="1158" t="s">
        <v>860</v>
      </c>
      <c r="B2592" s="1159">
        <v>2046</v>
      </c>
      <c r="C2592" s="1159" t="str">
        <f t="shared" si="67"/>
        <v>Ventura_2046</v>
      </c>
      <c r="D2592" s="1169">
        <v>346.89297182043794</v>
      </c>
    </row>
    <row r="2593" spans="1:4" s="339" customFormat="1" ht="15.5" x14ac:dyDescent="0.35">
      <c r="A2593" s="1158" t="s">
        <v>860</v>
      </c>
      <c r="B2593" s="1159">
        <v>2047</v>
      </c>
      <c r="C2593" s="1159" t="str">
        <f t="shared" si="67"/>
        <v>Ventura_2047</v>
      </c>
      <c r="D2593" s="1169">
        <v>346.33304573072587</v>
      </c>
    </row>
    <row r="2594" spans="1:4" s="339" customFormat="1" ht="15.5" x14ac:dyDescent="0.35">
      <c r="A2594" s="1158" t="s">
        <v>860</v>
      </c>
      <c r="B2594" s="1159">
        <v>2048</v>
      </c>
      <c r="C2594" s="1159" t="str">
        <f t="shared" si="67"/>
        <v>Ventura_2048</v>
      </c>
      <c r="D2594" s="1169">
        <v>345.84824842598158</v>
      </c>
    </row>
    <row r="2595" spans="1:4" s="339" customFormat="1" ht="15.5" x14ac:dyDescent="0.35">
      <c r="A2595" s="1158" t="s">
        <v>860</v>
      </c>
      <c r="B2595" s="1159">
        <v>2049</v>
      </c>
      <c r="C2595" s="1159" t="str">
        <f t="shared" si="67"/>
        <v>Ventura_2049</v>
      </c>
      <c r="D2595" s="1169">
        <v>345.44340184237615</v>
      </c>
    </row>
    <row r="2596" spans="1:4" s="339" customFormat="1" ht="15.5" x14ac:dyDescent="0.35">
      <c r="A2596" s="1158" t="s">
        <v>860</v>
      </c>
      <c r="B2596" s="1159">
        <v>2050</v>
      </c>
      <c r="C2596" s="1159" t="str">
        <f t="shared" si="67"/>
        <v>Ventura_2050</v>
      </c>
      <c r="D2596" s="1169">
        <v>345.1186995233914</v>
      </c>
    </row>
    <row r="2597" spans="1:4" s="339" customFormat="1" ht="15.5" x14ac:dyDescent="0.35">
      <c r="A2597" s="1155" t="s">
        <v>861</v>
      </c>
      <c r="B2597" s="1156">
        <v>2015</v>
      </c>
      <c r="C2597" s="1157" t="s">
        <v>971</v>
      </c>
      <c r="D2597" s="1168">
        <v>526.01002432164762</v>
      </c>
    </row>
    <row r="2598" spans="1:4" s="339" customFormat="1" ht="15.5" x14ac:dyDescent="0.35">
      <c r="A2598" s="1155" t="s">
        <v>861</v>
      </c>
      <c r="B2598" s="1156">
        <v>2016</v>
      </c>
      <c r="C2598" s="1157" t="s">
        <v>972</v>
      </c>
      <c r="D2598" s="1168">
        <v>514.77058995884727</v>
      </c>
    </row>
    <row r="2599" spans="1:4" s="339" customFormat="1" ht="15.5" x14ac:dyDescent="0.35">
      <c r="A2599" s="1158" t="s">
        <v>861</v>
      </c>
      <c r="B2599" s="1159">
        <v>2017</v>
      </c>
      <c r="C2599" s="1159" t="str">
        <f t="shared" ref="C2599:C2632" si="68">CONCATENATE(A2599,"_",B2599)</f>
        <v>Yolo_2017</v>
      </c>
      <c r="D2599" s="1169">
        <v>510.22040445779868</v>
      </c>
    </row>
    <row r="2600" spans="1:4" s="339" customFormat="1" ht="15.5" x14ac:dyDescent="0.35">
      <c r="A2600" s="1158" t="s">
        <v>861</v>
      </c>
      <c r="B2600" s="1159">
        <v>2018</v>
      </c>
      <c r="C2600" s="1159" t="str">
        <f t="shared" si="68"/>
        <v>Yolo_2018</v>
      </c>
      <c r="D2600" s="1169">
        <v>503.9892269374696</v>
      </c>
    </row>
    <row r="2601" spans="1:4" s="339" customFormat="1" ht="15.5" x14ac:dyDescent="0.35">
      <c r="A2601" s="1158" t="s">
        <v>861</v>
      </c>
      <c r="B2601" s="1159">
        <v>2019</v>
      </c>
      <c r="C2601" s="1159" t="str">
        <f t="shared" si="68"/>
        <v>Yolo_2019</v>
      </c>
      <c r="D2601" s="1169">
        <v>496.54482207225942</v>
      </c>
    </row>
    <row r="2602" spans="1:4" s="339" customFormat="1" ht="15.5" x14ac:dyDescent="0.35">
      <c r="A2602" s="1158" t="s">
        <v>861</v>
      </c>
      <c r="B2602" s="1159">
        <v>2020</v>
      </c>
      <c r="C2602" s="1159" t="str">
        <f t="shared" si="68"/>
        <v>Yolo_2020</v>
      </c>
      <c r="D2602" s="1169">
        <v>493.00444143993178</v>
      </c>
    </row>
    <row r="2603" spans="1:4" s="339" customFormat="1" ht="15.5" x14ac:dyDescent="0.35">
      <c r="A2603" s="1158" t="s">
        <v>861</v>
      </c>
      <c r="B2603" s="1159">
        <v>2021</v>
      </c>
      <c r="C2603" s="1159" t="str">
        <f t="shared" si="68"/>
        <v>Yolo_2021</v>
      </c>
      <c r="D2603" s="1169">
        <v>484.26169459970492</v>
      </c>
    </row>
    <row r="2604" spans="1:4" s="339" customFormat="1" ht="15.5" x14ac:dyDescent="0.35">
      <c r="A2604" s="1158" t="s">
        <v>861</v>
      </c>
      <c r="B2604" s="1159">
        <v>2022</v>
      </c>
      <c r="C2604" s="1159" t="str">
        <f t="shared" si="68"/>
        <v>Yolo_2022</v>
      </c>
      <c r="D2604" s="1169">
        <v>476.02673268047204</v>
      </c>
    </row>
    <row r="2605" spans="1:4" s="339" customFormat="1" ht="15.5" x14ac:dyDescent="0.35">
      <c r="A2605" s="1158" t="s">
        <v>861</v>
      </c>
      <c r="B2605" s="1159">
        <v>2023</v>
      </c>
      <c r="C2605" s="1159" t="str">
        <f t="shared" si="68"/>
        <v>Yolo_2023</v>
      </c>
      <c r="D2605" s="1169">
        <v>467.09654319065487</v>
      </c>
    </row>
    <row r="2606" spans="1:4" s="339" customFormat="1" ht="15.5" x14ac:dyDescent="0.35">
      <c r="A2606" s="1158" t="s">
        <v>861</v>
      </c>
      <c r="B2606" s="1159">
        <v>2024</v>
      </c>
      <c r="C2606" s="1159" t="str">
        <f t="shared" si="68"/>
        <v>Yolo_2024</v>
      </c>
      <c r="D2606" s="1169">
        <v>458.17768296602628</v>
      </c>
    </row>
    <row r="2607" spans="1:4" s="339" customFormat="1" ht="15.5" x14ac:dyDescent="0.35">
      <c r="A2607" s="1158" t="s">
        <v>861</v>
      </c>
      <c r="B2607" s="1159">
        <v>2025</v>
      </c>
      <c r="C2607" s="1159" t="str">
        <f t="shared" si="68"/>
        <v>Yolo_2025</v>
      </c>
      <c r="D2607" s="1169">
        <v>448.23292734799236</v>
      </c>
    </row>
    <row r="2608" spans="1:4" s="339" customFormat="1" ht="15.5" x14ac:dyDescent="0.35">
      <c r="A2608" s="1158" t="s">
        <v>861</v>
      </c>
      <c r="B2608" s="1159">
        <v>2026</v>
      </c>
      <c r="C2608" s="1159" t="str">
        <f t="shared" si="68"/>
        <v>Yolo_2026</v>
      </c>
      <c r="D2608" s="1169">
        <v>438.43989208441985</v>
      </c>
    </row>
    <row r="2609" spans="1:4" s="339" customFormat="1" ht="15.5" x14ac:dyDescent="0.35">
      <c r="A2609" s="1158" t="s">
        <v>861</v>
      </c>
      <c r="B2609" s="1159">
        <v>2027</v>
      </c>
      <c r="C2609" s="1159" t="str">
        <f t="shared" si="68"/>
        <v>Yolo_2027</v>
      </c>
      <c r="D2609" s="1169">
        <v>429.69430717825526</v>
      </c>
    </row>
    <row r="2610" spans="1:4" s="339" customFormat="1" ht="15.5" x14ac:dyDescent="0.35">
      <c r="A2610" s="1158" t="s">
        <v>861</v>
      </c>
      <c r="B2610" s="1159">
        <v>2028</v>
      </c>
      <c r="C2610" s="1159" t="str">
        <f t="shared" si="68"/>
        <v>Yolo_2028</v>
      </c>
      <c r="D2610" s="1169">
        <v>420.15618762730628</v>
      </c>
    </row>
    <row r="2611" spans="1:4" s="339" customFormat="1" ht="15.5" x14ac:dyDescent="0.35">
      <c r="A2611" s="1158" t="s">
        <v>861</v>
      </c>
      <c r="B2611" s="1159">
        <v>2029</v>
      </c>
      <c r="C2611" s="1159" t="str">
        <f t="shared" si="68"/>
        <v>Yolo_2029</v>
      </c>
      <c r="D2611" s="1169">
        <v>412.22593649962892</v>
      </c>
    </row>
    <row r="2612" spans="1:4" s="339" customFormat="1" ht="15.5" x14ac:dyDescent="0.35">
      <c r="A2612" s="1158" t="s">
        <v>861</v>
      </c>
      <c r="B2612" s="1159">
        <v>2030</v>
      </c>
      <c r="C2612" s="1159" t="str">
        <f t="shared" si="68"/>
        <v>Yolo_2030</v>
      </c>
      <c r="D2612" s="1169">
        <v>404.98774016906088</v>
      </c>
    </row>
    <row r="2613" spans="1:4" s="339" customFormat="1" ht="15.5" x14ac:dyDescent="0.35">
      <c r="A2613" s="1158" t="s">
        <v>861</v>
      </c>
      <c r="B2613" s="1159">
        <v>2031</v>
      </c>
      <c r="C2613" s="1159" t="str">
        <f t="shared" si="68"/>
        <v>Yolo_2031</v>
      </c>
      <c r="D2613" s="1169">
        <v>398.41582359396608</v>
      </c>
    </row>
    <row r="2614" spans="1:4" s="339" customFormat="1" ht="15.5" x14ac:dyDescent="0.35">
      <c r="A2614" s="1158" t="s">
        <v>861</v>
      </c>
      <c r="B2614" s="1159">
        <v>2032</v>
      </c>
      <c r="C2614" s="1159" t="str">
        <f t="shared" si="68"/>
        <v>Yolo_2032</v>
      </c>
      <c r="D2614" s="1169">
        <v>392.47230307713789</v>
      </c>
    </row>
    <row r="2615" spans="1:4" s="339" customFormat="1" ht="15.5" x14ac:dyDescent="0.35">
      <c r="A2615" s="1158" t="s">
        <v>861</v>
      </c>
      <c r="B2615" s="1159">
        <v>2033</v>
      </c>
      <c r="C2615" s="1159" t="str">
        <f t="shared" si="68"/>
        <v>Yolo_2033</v>
      </c>
      <c r="D2615" s="1169">
        <v>387.13950157758967</v>
      </c>
    </row>
    <row r="2616" spans="1:4" s="339" customFormat="1" ht="15.5" x14ac:dyDescent="0.35">
      <c r="A2616" s="1158" t="s">
        <v>861</v>
      </c>
      <c r="B2616" s="1159">
        <v>2034</v>
      </c>
      <c r="C2616" s="1159" t="str">
        <f t="shared" si="68"/>
        <v>Yolo_2034</v>
      </c>
      <c r="D2616" s="1169">
        <v>382.3905502994881</v>
      </c>
    </row>
    <row r="2617" spans="1:4" s="339" customFormat="1" ht="15.5" x14ac:dyDescent="0.35">
      <c r="A2617" s="1158" t="s">
        <v>861</v>
      </c>
      <c r="B2617" s="1159">
        <v>2035</v>
      </c>
      <c r="C2617" s="1159" t="str">
        <f t="shared" si="68"/>
        <v>Yolo_2035</v>
      </c>
      <c r="D2617" s="1169">
        <v>378.1837207628667</v>
      </c>
    </row>
    <row r="2618" spans="1:4" s="339" customFormat="1" ht="15.5" x14ac:dyDescent="0.35">
      <c r="A2618" s="1158" t="s">
        <v>861</v>
      </c>
      <c r="B2618" s="1159">
        <v>2036</v>
      </c>
      <c r="C2618" s="1159" t="str">
        <f t="shared" si="68"/>
        <v>Yolo_2036</v>
      </c>
      <c r="D2618" s="1169">
        <v>374.65243189602194</v>
      </c>
    </row>
    <row r="2619" spans="1:4" s="339" customFormat="1" ht="15.5" x14ac:dyDescent="0.35">
      <c r="A2619" s="1158" t="s">
        <v>861</v>
      </c>
      <c r="B2619" s="1159">
        <v>2037</v>
      </c>
      <c r="C2619" s="1159" t="str">
        <f t="shared" si="68"/>
        <v>Yolo_2037</v>
      </c>
      <c r="D2619" s="1169">
        <v>371.46553734402312</v>
      </c>
    </row>
    <row r="2620" spans="1:4" s="339" customFormat="1" ht="15.5" x14ac:dyDescent="0.35">
      <c r="A2620" s="1158" t="s">
        <v>861</v>
      </c>
      <c r="B2620" s="1159">
        <v>2038</v>
      </c>
      <c r="C2620" s="1159" t="str">
        <f t="shared" si="68"/>
        <v>Yolo_2038</v>
      </c>
      <c r="D2620" s="1169">
        <v>368.73681262337846</v>
      </c>
    </row>
    <row r="2621" spans="1:4" s="339" customFormat="1" ht="15.5" x14ac:dyDescent="0.35">
      <c r="A2621" s="1158" t="s">
        <v>861</v>
      </c>
      <c r="B2621" s="1159">
        <v>2039</v>
      </c>
      <c r="C2621" s="1159" t="str">
        <f t="shared" si="68"/>
        <v>Yolo_2039</v>
      </c>
      <c r="D2621" s="1169">
        <v>366.40121199784033</v>
      </c>
    </row>
    <row r="2622" spans="1:4" s="339" customFormat="1" ht="15.5" x14ac:dyDescent="0.35">
      <c r="A2622" s="1158" t="s">
        <v>861</v>
      </c>
      <c r="B2622" s="1159">
        <v>2040</v>
      </c>
      <c r="C2622" s="1159" t="str">
        <f t="shared" si="68"/>
        <v>Yolo_2040</v>
      </c>
      <c r="D2622" s="1169">
        <v>364.42995344500247</v>
      </c>
    </row>
    <row r="2623" spans="1:4" s="339" customFormat="1" ht="15.5" x14ac:dyDescent="0.35">
      <c r="A2623" s="1158" t="s">
        <v>861</v>
      </c>
      <c r="B2623" s="1159">
        <v>2041</v>
      </c>
      <c r="C2623" s="1159" t="str">
        <f t="shared" si="68"/>
        <v>Yolo_2041</v>
      </c>
      <c r="D2623" s="1169">
        <v>362.7898116027672</v>
      </c>
    </row>
    <row r="2624" spans="1:4" s="339" customFormat="1" ht="15.5" x14ac:dyDescent="0.35">
      <c r="A2624" s="1158" t="s">
        <v>861</v>
      </c>
      <c r="B2624" s="1159">
        <v>2042</v>
      </c>
      <c r="C2624" s="1159" t="str">
        <f t="shared" si="68"/>
        <v>Yolo_2042</v>
      </c>
      <c r="D2624" s="1169">
        <v>361.4056636202049</v>
      </c>
    </row>
    <row r="2625" spans="1:4" s="339" customFormat="1" ht="15.5" x14ac:dyDescent="0.35">
      <c r="A2625" s="1158" t="s">
        <v>861</v>
      </c>
      <c r="B2625" s="1159">
        <v>2043</v>
      </c>
      <c r="C2625" s="1159" t="str">
        <f t="shared" si="68"/>
        <v>Yolo_2043</v>
      </c>
      <c r="D2625" s="1169">
        <v>360.26494332095496</v>
      </c>
    </row>
    <row r="2626" spans="1:4" s="339" customFormat="1" ht="15.5" x14ac:dyDescent="0.35">
      <c r="A2626" s="1158" t="s">
        <v>861</v>
      </c>
      <c r="B2626" s="1159">
        <v>2044</v>
      </c>
      <c r="C2626" s="1159" t="str">
        <f t="shared" si="68"/>
        <v>Yolo_2044</v>
      </c>
      <c r="D2626" s="1169">
        <v>359.30570872273768</v>
      </c>
    </row>
    <row r="2627" spans="1:4" s="339" customFormat="1" ht="15.5" x14ac:dyDescent="0.35">
      <c r="A2627" s="1158" t="s">
        <v>861</v>
      </c>
      <c r="B2627" s="1159">
        <v>2045</v>
      </c>
      <c r="C2627" s="1159" t="str">
        <f t="shared" si="68"/>
        <v>Yolo_2045</v>
      </c>
      <c r="D2627" s="1169">
        <v>358.48962081459013</v>
      </c>
    </row>
    <row r="2628" spans="1:4" s="339" customFormat="1" ht="15.5" x14ac:dyDescent="0.35">
      <c r="A2628" s="1158" t="s">
        <v>861</v>
      </c>
      <c r="B2628" s="1159">
        <v>2046</v>
      </c>
      <c r="C2628" s="1159" t="str">
        <f t="shared" si="68"/>
        <v>Yolo_2046</v>
      </c>
      <c r="D2628" s="1169">
        <v>357.80017290805574</v>
      </c>
    </row>
    <row r="2629" spans="1:4" s="339" customFormat="1" ht="15.5" x14ac:dyDescent="0.35">
      <c r="A2629" s="1158" t="s">
        <v>861</v>
      </c>
      <c r="B2629" s="1159">
        <v>2047</v>
      </c>
      <c r="C2629" s="1159" t="str">
        <f t="shared" si="68"/>
        <v>Yolo_2047</v>
      </c>
      <c r="D2629" s="1169">
        <v>357.22902221268316</v>
      </c>
    </row>
    <row r="2630" spans="1:4" s="339" customFormat="1" ht="15.5" x14ac:dyDescent="0.35">
      <c r="A2630" s="1158" t="s">
        <v>861</v>
      </c>
      <c r="B2630" s="1159">
        <v>2048</v>
      </c>
      <c r="C2630" s="1159" t="str">
        <f t="shared" si="68"/>
        <v>Yolo_2048</v>
      </c>
      <c r="D2630" s="1169">
        <v>356.75172906702562</v>
      </c>
    </row>
    <row r="2631" spans="1:4" s="339" customFormat="1" ht="15.5" x14ac:dyDescent="0.35">
      <c r="A2631" s="1158" t="s">
        <v>861</v>
      </c>
      <c r="B2631" s="1159">
        <v>2049</v>
      </c>
      <c r="C2631" s="1159" t="str">
        <f t="shared" si="68"/>
        <v>Yolo_2049</v>
      </c>
      <c r="D2631" s="1169">
        <v>356.35013492097346</v>
      </c>
    </row>
    <row r="2632" spans="1:4" s="339" customFormat="1" ht="15.5" x14ac:dyDescent="0.35">
      <c r="A2632" s="1158" t="s">
        <v>861</v>
      </c>
      <c r="B2632" s="1159">
        <v>2050</v>
      </c>
      <c r="C2632" s="1159" t="str">
        <f t="shared" si="68"/>
        <v>Yolo_2050</v>
      </c>
      <c r="D2632" s="1169">
        <v>356.02211835159233</v>
      </c>
    </row>
    <row r="2633" spans="1:4" s="339" customFormat="1" ht="15.5" x14ac:dyDescent="0.35">
      <c r="A2633" s="1155" t="s">
        <v>862</v>
      </c>
      <c r="B2633" s="1156">
        <v>2015</v>
      </c>
      <c r="C2633" s="1157" t="s">
        <v>973</v>
      </c>
      <c r="D2633" s="1168">
        <v>536.08305345535814</v>
      </c>
    </row>
    <row r="2634" spans="1:4" s="339" customFormat="1" ht="15.5" x14ac:dyDescent="0.35">
      <c r="A2634" s="1155" t="s">
        <v>862</v>
      </c>
      <c r="B2634" s="1156">
        <v>2016</v>
      </c>
      <c r="C2634" s="1157" t="s">
        <v>974</v>
      </c>
      <c r="D2634" s="1168">
        <v>525.12586986335509</v>
      </c>
    </row>
    <row r="2635" spans="1:4" s="339" customFormat="1" ht="15.5" x14ac:dyDescent="0.35">
      <c r="A2635" s="1158" t="s">
        <v>862</v>
      </c>
      <c r="B2635" s="1159">
        <v>2017</v>
      </c>
      <c r="C2635" s="1159" t="str">
        <f t="shared" ref="C2635:C2668" si="69">CONCATENATE(A2635,"_",B2635)</f>
        <v>Yuba_2017</v>
      </c>
      <c r="D2635" s="1169">
        <v>520.58654164335917</v>
      </c>
    </row>
    <row r="2636" spans="1:4" s="339" customFormat="1" ht="15.5" x14ac:dyDescent="0.35">
      <c r="A2636" s="1158" t="s">
        <v>862</v>
      </c>
      <c r="B2636" s="1159">
        <v>2018</v>
      </c>
      <c r="C2636" s="1159" t="str">
        <f t="shared" si="69"/>
        <v>Yuba_2018</v>
      </c>
      <c r="D2636" s="1169">
        <v>512.82881141240057</v>
      </c>
    </row>
    <row r="2637" spans="1:4" s="339" customFormat="1" ht="15.5" x14ac:dyDescent="0.35">
      <c r="A2637" s="1158" t="s">
        <v>862</v>
      </c>
      <c r="B2637" s="1159">
        <v>2019</v>
      </c>
      <c r="C2637" s="1159" t="str">
        <f t="shared" si="69"/>
        <v>Yuba_2019</v>
      </c>
      <c r="D2637" s="1169">
        <v>503.82510639444786</v>
      </c>
    </row>
    <row r="2638" spans="1:4" s="339" customFormat="1" ht="15.5" x14ac:dyDescent="0.35">
      <c r="A2638" s="1158" t="s">
        <v>862</v>
      </c>
      <c r="B2638" s="1159">
        <v>2020</v>
      </c>
      <c r="C2638" s="1159" t="str">
        <f t="shared" si="69"/>
        <v>Yuba_2020</v>
      </c>
      <c r="D2638" s="1169">
        <v>498.90025418990075</v>
      </c>
    </row>
    <row r="2639" spans="1:4" s="339" customFormat="1" ht="15.5" x14ac:dyDescent="0.35">
      <c r="A2639" s="1158" t="s">
        <v>862</v>
      </c>
      <c r="B2639" s="1159">
        <v>2021</v>
      </c>
      <c r="C2639" s="1159" t="str">
        <f t="shared" si="69"/>
        <v>Yuba_2021</v>
      </c>
      <c r="D2639" s="1169">
        <v>489.589335208639</v>
      </c>
    </row>
    <row r="2640" spans="1:4" s="339" customFormat="1" ht="15.5" x14ac:dyDescent="0.35">
      <c r="A2640" s="1158" t="s">
        <v>862</v>
      </c>
      <c r="B2640" s="1159">
        <v>2022</v>
      </c>
      <c r="C2640" s="1159" t="str">
        <f t="shared" si="69"/>
        <v>Yuba_2022</v>
      </c>
      <c r="D2640" s="1169">
        <v>479.58917994300236</v>
      </c>
    </row>
    <row r="2641" spans="1:4" s="339" customFormat="1" ht="15.5" x14ac:dyDescent="0.35">
      <c r="A2641" s="1158" t="s">
        <v>862</v>
      </c>
      <c r="B2641" s="1159">
        <v>2023</v>
      </c>
      <c r="C2641" s="1159" t="str">
        <f t="shared" si="69"/>
        <v>Yuba_2023</v>
      </c>
      <c r="D2641" s="1169">
        <v>469.03249359025671</v>
      </c>
    </row>
    <row r="2642" spans="1:4" s="339" customFormat="1" ht="15.5" x14ac:dyDescent="0.35">
      <c r="A2642" s="1158" t="s">
        <v>862</v>
      </c>
      <c r="B2642" s="1159">
        <v>2024</v>
      </c>
      <c r="C2642" s="1159" t="str">
        <f t="shared" si="69"/>
        <v>Yuba_2024</v>
      </c>
      <c r="D2642" s="1169">
        <v>458.16250981873179</v>
      </c>
    </row>
    <row r="2643" spans="1:4" s="339" customFormat="1" ht="15.5" x14ac:dyDescent="0.35">
      <c r="A2643" s="1158" t="s">
        <v>862</v>
      </c>
      <c r="B2643" s="1159">
        <v>2025</v>
      </c>
      <c r="C2643" s="1159" t="str">
        <f t="shared" si="69"/>
        <v>Yuba_2025</v>
      </c>
      <c r="D2643" s="1169">
        <v>447.0811672893268</v>
      </c>
    </row>
    <row r="2644" spans="1:4" s="339" customFormat="1" ht="15.5" x14ac:dyDescent="0.35">
      <c r="A2644" s="1158" t="s">
        <v>862</v>
      </c>
      <c r="B2644" s="1159">
        <v>2026</v>
      </c>
      <c r="C2644" s="1159" t="str">
        <f t="shared" si="69"/>
        <v>Yuba_2026</v>
      </c>
      <c r="D2644" s="1169">
        <v>436.24504391855834</v>
      </c>
    </row>
    <row r="2645" spans="1:4" s="339" customFormat="1" ht="15.5" x14ac:dyDescent="0.35">
      <c r="A2645" s="1158" t="s">
        <v>862</v>
      </c>
      <c r="B2645" s="1159">
        <v>2027</v>
      </c>
      <c r="C2645" s="1159" t="str">
        <f t="shared" si="69"/>
        <v>Yuba_2027</v>
      </c>
      <c r="D2645" s="1169">
        <v>425.93514638667784</v>
      </c>
    </row>
    <row r="2646" spans="1:4" s="339" customFormat="1" ht="15.5" x14ac:dyDescent="0.35">
      <c r="A2646" s="1158" t="s">
        <v>862</v>
      </c>
      <c r="B2646" s="1159">
        <v>2028</v>
      </c>
      <c r="C2646" s="1159" t="str">
        <f t="shared" si="69"/>
        <v>Yuba_2028</v>
      </c>
      <c r="D2646" s="1169">
        <v>416.26566884413575</v>
      </c>
    </row>
    <row r="2647" spans="1:4" s="339" customFormat="1" ht="15.5" x14ac:dyDescent="0.35">
      <c r="A2647" s="1158" t="s">
        <v>862</v>
      </c>
      <c r="B2647" s="1159">
        <v>2029</v>
      </c>
      <c r="C2647" s="1159" t="str">
        <f t="shared" si="69"/>
        <v>Yuba_2029</v>
      </c>
      <c r="D2647" s="1169">
        <v>407.479681125171</v>
      </c>
    </row>
    <row r="2648" spans="1:4" s="339" customFormat="1" ht="15.5" x14ac:dyDescent="0.35">
      <c r="A2648" s="1158" t="s">
        <v>862</v>
      </c>
      <c r="B2648" s="1159">
        <v>2030</v>
      </c>
      <c r="C2648" s="1159" t="str">
        <f t="shared" si="69"/>
        <v>Yuba_2030</v>
      </c>
      <c r="D2648" s="1169">
        <v>399.48848228688729</v>
      </c>
    </row>
    <row r="2649" spans="1:4" s="339" customFormat="1" ht="15.5" x14ac:dyDescent="0.35">
      <c r="A2649" s="1158" t="s">
        <v>862</v>
      </c>
      <c r="B2649" s="1159">
        <v>2031</v>
      </c>
      <c r="C2649" s="1159" t="str">
        <f t="shared" si="69"/>
        <v>Yuba_2031</v>
      </c>
      <c r="D2649" s="1169">
        <v>392.22381741573929</v>
      </c>
    </row>
    <row r="2650" spans="1:4" s="339" customFormat="1" ht="15.5" x14ac:dyDescent="0.35">
      <c r="A2650" s="1158" t="s">
        <v>862</v>
      </c>
      <c r="B2650" s="1159">
        <v>2032</v>
      </c>
      <c r="C2650" s="1159" t="str">
        <f t="shared" si="69"/>
        <v>Yuba_2032</v>
      </c>
      <c r="D2650" s="1169">
        <v>385.68348443601644</v>
      </c>
    </row>
    <row r="2651" spans="1:4" s="339" customFormat="1" ht="15.5" x14ac:dyDescent="0.35">
      <c r="A2651" s="1158" t="s">
        <v>862</v>
      </c>
      <c r="B2651" s="1159">
        <v>2033</v>
      </c>
      <c r="C2651" s="1159" t="str">
        <f t="shared" si="69"/>
        <v>Yuba_2033</v>
      </c>
      <c r="D2651" s="1169">
        <v>379.80263772080048</v>
      </c>
    </row>
    <row r="2652" spans="1:4" s="339" customFormat="1" ht="15.5" x14ac:dyDescent="0.35">
      <c r="A2652" s="1158" t="s">
        <v>862</v>
      </c>
      <c r="B2652" s="1159">
        <v>2034</v>
      </c>
      <c r="C2652" s="1159" t="str">
        <f t="shared" si="69"/>
        <v>Yuba_2034</v>
      </c>
      <c r="D2652" s="1169">
        <v>374.54474890565535</v>
      </c>
    </row>
    <row r="2653" spans="1:4" s="339" customFormat="1" ht="15.5" x14ac:dyDescent="0.35">
      <c r="A2653" s="1158" t="s">
        <v>862</v>
      </c>
      <c r="B2653" s="1159">
        <v>2035</v>
      </c>
      <c r="C2653" s="1159" t="str">
        <f t="shared" si="69"/>
        <v>Yuba_2035</v>
      </c>
      <c r="D2653" s="1169">
        <v>369.90397257226988</v>
      </c>
    </row>
    <row r="2654" spans="1:4" s="339" customFormat="1" ht="15.5" x14ac:dyDescent="0.35">
      <c r="A2654" s="1158" t="s">
        <v>862</v>
      </c>
      <c r="B2654" s="1159">
        <v>2036</v>
      </c>
      <c r="C2654" s="1159" t="str">
        <f t="shared" si="69"/>
        <v>Yuba_2036</v>
      </c>
      <c r="D2654" s="1169">
        <v>365.81197795793685</v>
      </c>
    </row>
    <row r="2655" spans="1:4" s="339" customFormat="1" ht="15.5" x14ac:dyDescent="0.35">
      <c r="A2655" s="1158" t="s">
        <v>862</v>
      </c>
      <c r="B2655" s="1159">
        <v>2037</v>
      </c>
      <c r="C2655" s="1159" t="str">
        <f t="shared" si="69"/>
        <v>Yuba_2037</v>
      </c>
      <c r="D2655" s="1169">
        <v>362.24985751099257</v>
      </c>
    </row>
    <row r="2656" spans="1:4" s="339" customFormat="1" ht="15.5" x14ac:dyDescent="0.35">
      <c r="A2656" s="1158" t="s">
        <v>862</v>
      </c>
      <c r="B2656" s="1159">
        <v>2038</v>
      </c>
      <c r="C2656" s="1159" t="str">
        <f t="shared" si="69"/>
        <v>Yuba_2038</v>
      </c>
      <c r="D2656" s="1169">
        <v>359.20791456720588</v>
      </c>
    </row>
    <row r="2657" spans="1:4" s="339" customFormat="1" ht="15.5" x14ac:dyDescent="0.35">
      <c r="A2657" s="1158" t="s">
        <v>862</v>
      </c>
      <c r="B2657" s="1159">
        <v>2039</v>
      </c>
      <c r="C2657" s="1159" t="str">
        <f t="shared" si="69"/>
        <v>Yuba_2039</v>
      </c>
      <c r="D2657" s="1169">
        <v>356.56488712625929</v>
      </c>
    </row>
    <row r="2658" spans="1:4" s="339" customFormat="1" ht="15.5" x14ac:dyDescent="0.35">
      <c r="A2658" s="1158" t="s">
        <v>862</v>
      </c>
      <c r="B2658" s="1159">
        <v>2040</v>
      </c>
      <c r="C2658" s="1159" t="str">
        <f t="shared" si="69"/>
        <v>Yuba_2040</v>
      </c>
      <c r="D2658" s="1169">
        <v>354.3339526842671</v>
      </c>
    </row>
    <row r="2659" spans="1:4" s="339" customFormat="1" ht="15.5" x14ac:dyDescent="0.35">
      <c r="A2659" s="1158" t="s">
        <v>862</v>
      </c>
      <c r="B2659" s="1159">
        <v>2041</v>
      </c>
      <c r="C2659" s="1159" t="str">
        <f t="shared" si="69"/>
        <v>Yuba_2041</v>
      </c>
      <c r="D2659" s="1169">
        <v>352.47147180012519</v>
      </c>
    </row>
    <row r="2660" spans="1:4" s="339" customFormat="1" ht="15.5" x14ac:dyDescent="0.35">
      <c r="A2660" s="1158" t="s">
        <v>862</v>
      </c>
      <c r="B2660" s="1159">
        <v>2042</v>
      </c>
      <c r="C2660" s="1159" t="str">
        <f t="shared" si="69"/>
        <v>Yuba_2042</v>
      </c>
      <c r="D2660" s="1169">
        <v>350.90879010971162</v>
      </c>
    </row>
    <row r="2661" spans="1:4" s="339" customFormat="1" ht="15.5" x14ac:dyDescent="0.35">
      <c r="A2661" s="1158" t="s">
        <v>862</v>
      </c>
      <c r="B2661" s="1159">
        <v>2043</v>
      </c>
      <c r="C2661" s="1159" t="str">
        <f t="shared" si="69"/>
        <v>Yuba_2043</v>
      </c>
      <c r="D2661" s="1169">
        <v>349.6134073856033</v>
      </c>
    </row>
    <row r="2662" spans="1:4" s="339" customFormat="1" ht="15.5" x14ac:dyDescent="0.35">
      <c r="A2662" s="1158" t="s">
        <v>862</v>
      </c>
      <c r="B2662" s="1159">
        <v>2044</v>
      </c>
      <c r="C2662" s="1159" t="str">
        <f t="shared" si="69"/>
        <v>Yuba_2044</v>
      </c>
      <c r="D2662" s="1169">
        <v>348.51280986234781</v>
      </c>
    </row>
    <row r="2663" spans="1:4" s="339" customFormat="1" ht="15.5" x14ac:dyDescent="0.35">
      <c r="A2663" s="1158" t="s">
        <v>862</v>
      </c>
      <c r="B2663" s="1159">
        <v>2045</v>
      </c>
      <c r="C2663" s="1159" t="str">
        <f t="shared" si="69"/>
        <v>Yuba_2045</v>
      </c>
      <c r="D2663" s="1169">
        <v>347.57806800918945</v>
      </c>
    </row>
    <row r="2664" spans="1:4" s="339" customFormat="1" ht="15.5" x14ac:dyDescent="0.35">
      <c r="A2664" s="1158" t="s">
        <v>862</v>
      </c>
      <c r="B2664" s="1159">
        <v>2046</v>
      </c>
      <c r="C2664" s="1159" t="str">
        <f t="shared" si="69"/>
        <v>Yuba_2046</v>
      </c>
      <c r="D2664" s="1169">
        <v>346.78865563144018</v>
      </c>
    </row>
    <row r="2665" spans="1:4" s="339" customFormat="1" ht="15.5" x14ac:dyDescent="0.35">
      <c r="A2665" s="1158" t="s">
        <v>862</v>
      </c>
      <c r="B2665" s="1159">
        <v>2047</v>
      </c>
      <c r="C2665" s="1159" t="str">
        <f t="shared" si="69"/>
        <v>Yuba_2047</v>
      </c>
      <c r="D2665" s="1169">
        <v>346.14246211885421</v>
      </c>
    </row>
    <row r="2666" spans="1:4" s="339" customFormat="1" ht="15.5" x14ac:dyDescent="0.35">
      <c r="A2666" s="1158" t="s">
        <v>862</v>
      </c>
      <c r="B2666" s="1159">
        <v>2048</v>
      </c>
      <c r="C2666" s="1159" t="str">
        <f t="shared" si="69"/>
        <v>Yuba_2048</v>
      </c>
      <c r="D2666" s="1169">
        <v>345.59661567680524</v>
      </c>
    </row>
    <row r="2667" spans="1:4" s="339" customFormat="1" ht="15.5" x14ac:dyDescent="0.35">
      <c r="A2667" s="1158" t="s">
        <v>862</v>
      </c>
      <c r="B2667" s="1159">
        <v>2049</v>
      </c>
      <c r="C2667" s="1159" t="str">
        <f t="shared" si="69"/>
        <v>Yuba_2049</v>
      </c>
      <c r="D2667" s="1169">
        <v>345.14226324091385</v>
      </c>
    </row>
    <row r="2668" spans="1:4" s="339" customFormat="1" ht="16" thickBot="1" x14ac:dyDescent="0.4">
      <c r="A2668" s="1165" t="s">
        <v>862</v>
      </c>
      <c r="B2668" s="1166">
        <v>2050</v>
      </c>
      <c r="C2668" s="1166" t="str">
        <f t="shared" si="69"/>
        <v>Yuba_2050</v>
      </c>
      <c r="D2668" s="1170">
        <v>344.76540531797184</v>
      </c>
    </row>
  </sheetData>
  <conditionalFormatting sqref="C2043:C2668">
    <cfRule type="duplicateValues" dxfId="0" priority="1"/>
  </conditionalFormatting>
  <hyperlinks>
    <hyperlink ref="A25" r:id="rId1" tooltip="EMFAC2021 Database" xr:uid="{B55E1B93-2BDD-482A-8663-C23D8EF03B87}"/>
  </hyperlinks>
  <pageMargins left="0.7" right="0.7" top="0.75" bottom="0.75" header="0.3" footer="0.3"/>
  <pageSetup scale="59" orientation="portrait" r:id="rId2"/>
  <headerFooter>
    <oddFooter>&amp;L&amp;"Avenir LT Std 55 Roman,Regular"&amp;12December 30, 2020&amp;C&amp;"Avenir LT Std 55 Roman,Regular"&amp;12&amp;P of &amp;N&amp;R&amp;"Avenir LT Std 55 Roman,Regular"&amp;12&amp;A</oddFooter>
  </headerFooter>
  <drawing r:id="rId3"/>
  <legacyDrawingHF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theme="1"/>
  </sheetPr>
  <dimension ref="A1:L2348"/>
  <sheetViews>
    <sheetView showGridLines="0" zoomScaleNormal="100" zoomScalePageLayoutView="70" workbookViewId="0"/>
  </sheetViews>
  <sheetFormatPr defaultColWidth="9.08984375" defaultRowHeight="14" x14ac:dyDescent="0.3"/>
  <cols>
    <col min="1" max="1" width="23.453125" style="325" customWidth="1"/>
    <col min="2" max="4" width="15.453125" style="325" customWidth="1"/>
    <col min="5" max="5" width="18.08984375" style="325" bestFit="1" customWidth="1"/>
    <col min="6" max="7" width="15.453125" style="325" customWidth="1"/>
    <col min="8" max="8" width="18.08984375" style="325" bestFit="1" customWidth="1"/>
    <col min="9" max="10" width="15.453125" style="325" customWidth="1"/>
    <col min="11" max="11" width="21" style="325" bestFit="1" customWidth="1"/>
    <col min="12" max="12" width="19.453125" style="325" bestFit="1" customWidth="1"/>
    <col min="13" max="16384" width="9.08984375" style="325"/>
  </cols>
  <sheetData>
    <row r="1" spans="1:12" s="186" customFormat="1" ht="15" customHeight="1" x14ac:dyDescent="0.3">
      <c r="A1" s="168"/>
      <c r="B1" s="168"/>
      <c r="C1" s="168"/>
      <c r="D1" s="168"/>
      <c r="E1" s="168"/>
      <c r="F1" s="168"/>
      <c r="G1" s="168"/>
      <c r="H1" s="168"/>
      <c r="I1" s="168"/>
      <c r="J1" s="168"/>
      <c r="K1" s="168"/>
      <c r="L1" s="168"/>
    </row>
    <row r="2" spans="1:12" s="186" customFormat="1" ht="15" customHeight="1" x14ac:dyDescent="0.35">
      <c r="A2" s="261"/>
      <c r="B2" s="261"/>
      <c r="C2" s="261"/>
      <c r="D2" s="261"/>
      <c r="E2" s="261"/>
      <c r="F2" s="261"/>
      <c r="G2" s="261"/>
      <c r="H2" s="261"/>
      <c r="I2" s="117"/>
      <c r="J2" s="117"/>
      <c r="K2" s="117"/>
      <c r="L2" s="117"/>
    </row>
    <row r="3" spans="1:12" s="186" customFormat="1" ht="15" customHeight="1" x14ac:dyDescent="0.3">
      <c r="A3" s="168"/>
      <c r="B3" s="168"/>
      <c r="C3" s="168"/>
      <c r="D3" s="168"/>
      <c r="E3" s="168"/>
      <c r="F3" s="168"/>
      <c r="G3" s="168"/>
      <c r="H3" s="168"/>
      <c r="I3" s="168"/>
      <c r="J3" s="168"/>
      <c r="K3" s="168"/>
      <c r="L3" s="168"/>
    </row>
    <row r="4" spans="1:12" s="186" customFormat="1" ht="15" customHeight="1" x14ac:dyDescent="0.3">
      <c r="A4" s="170"/>
      <c r="B4" s="170"/>
      <c r="C4" s="170"/>
      <c r="D4" s="170"/>
      <c r="E4" s="170"/>
      <c r="F4" s="170"/>
      <c r="G4" s="170"/>
      <c r="H4" s="170"/>
      <c r="I4" s="170"/>
      <c r="J4" s="170"/>
      <c r="K4" s="170"/>
      <c r="L4" s="170"/>
    </row>
    <row r="5" spans="1:12" s="186" customFormat="1" ht="15" customHeight="1" x14ac:dyDescent="0.35">
      <c r="A5" s="261"/>
      <c r="B5" s="261"/>
      <c r="C5" s="261"/>
      <c r="D5" s="261"/>
      <c r="E5" s="261"/>
      <c r="F5" s="261"/>
      <c r="G5" s="261"/>
      <c r="H5" s="261"/>
      <c r="I5" s="117"/>
      <c r="J5" s="117"/>
      <c r="K5" s="117"/>
      <c r="L5" s="117"/>
    </row>
    <row r="6" spans="1:12" s="186" customFormat="1" ht="15" customHeight="1" x14ac:dyDescent="0.3">
      <c r="A6" s="168"/>
      <c r="B6" s="168"/>
      <c r="C6" s="168"/>
      <c r="D6" s="168"/>
      <c r="E6" s="168"/>
      <c r="F6" s="168"/>
      <c r="G6" s="168"/>
      <c r="H6" s="168"/>
      <c r="I6" s="168"/>
      <c r="J6" s="168"/>
      <c r="K6" s="168"/>
      <c r="L6" s="168"/>
    </row>
    <row r="7" spans="1:12" s="186" customFormat="1" ht="15" customHeight="1" x14ac:dyDescent="0.3">
      <c r="A7" s="171"/>
      <c r="B7" s="171"/>
      <c r="C7" s="171"/>
      <c r="D7" s="171"/>
      <c r="E7" s="171"/>
      <c r="F7" s="171"/>
      <c r="G7" s="171"/>
      <c r="H7" s="171"/>
      <c r="I7" s="171"/>
      <c r="J7" s="171"/>
      <c r="K7" s="171"/>
      <c r="L7" s="171"/>
    </row>
    <row r="8" spans="1:12" s="186" customFormat="1" ht="15" customHeight="1" x14ac:dyDescent="0.3">
      <c r="A8" s="171"/>
      <c r="B8" s="171"/>
      <c r="C8" s="171"/>
      <c r="D8" s="171"/>
      <c r="E8" s="171"/>
      <c r="F8" s="171"/>
      <c r="G8" s="171"/>
      <c r="H8" s="171"/>
      <c r="I8" s="171"/>
      <c r="J8" s="171"/>
      <c r="K8" s="171"/>
      <c r="L8" s="171"/>
    </row>
    <row r="9" spans="1:12" s="186" customFormat="1" ht="15" customHeight="1" x14ac:dyDescent="0.3">
      <c r="A9" s="171"/>
      <c r="B9" s="171"/>
      <c r="C9" s="171"/>
      <c r="D9" s="171"/>
      <c r="E9" s="171"/>
      <c r="F9" s="171"/>
      <c r="G9" s="171"/>
      <c r="H9" s="171"/>
      <c r="I9" s="171"/>
      <c r="J9" s="171"/>
      <c r="K9" s="171"/>
      <c r="L9" s="171"/>
    </row>
    <row r="10" spans="1:12" s="186" customFormat="1" ht="15" customHeight="1" thickBot="1" x14ac:dyDescent="0.35">
      <c r="A10" s="171"/>
      <c r="B10" s="171"/>
      <c r="C10" s="171"/>
      <c r="D10" s="171"/>
      <c r="E10" s="171"/>
      <c r="F10" s="171"/>
      <c r="G10" s="171"/>
      <c r="H10" s="171"/>
      <c r="I10" s="171"/>
      <c r="J10" s="171"/>
      <c r="K10" s="171"/>
      <c r="L10" s="171"/>
    </row>
    <row r="11" spans="1:12" s="186" customFormat="1" ht="15.5" x14ac:dyDescent="0.35">
      <c r="A11" s="656" t="s">
        <v>975</v>
      </c>
      <c r="B11" s="657"/>
      <c r="C11" s="657"/>
      <c r="D11" s="657"/>
      <c r="E11" s="657"/>
      <c r="F11" s="657"/>
      <c r="G11" s="657"/>
      <c r="H11" s="657"/>
      <c r="I11" s="657"/>
      <c r="J11" s="657"/>
      <c r="K11" s="657"/>
      <c r="L11" s="658"/>
    </row>
    <row r="12" spans="1:12" s="186" customFormat="1" ht="15.5" x14ac:dyDescent="0.35">
      <c r="A12" s="1089" t="s">
        <v>748</v>
      </c>
      <c r="B12" s="1088"/>
      <c r="C12" s="1088"/>
      <c r="D12" s="1088"/>
      <c r="E12" s="1088"/>
      <c r="F12" s="1088"/>
      <c r="G12" s="1088"/>
      <c r="H12" s="1088"/>
      <c r="I12" s="1088"/>
      <c r="J12" s="1088"/>
      <c r="K12" s="1088"/>
      <c r="L12" s="1334"/>
    </row>
    <row r="13" spans="1:12" s="186" customFormat="1" ht="15.5" x14ac:dyDescent="0.35">
      <c r="A13" s="1090" t="s">
        <v>976</v>
      </c>
      <c r="B13" s="1091"/>
      <c r="C13" s="1091"/>
      <c r="D13" s="1091"/>
      <c r="E13" s="1091"/>
      <c r="F13" s="1091"/>
      <c r="G13" s="1091"/>
      <c r="H13" s="1091"/>
      <c r="I13" s="1091"/>
      <c r="J13" s="1091"/>
      <c r="K13" s="1091"/>
      <c r="L13" s="1335"/>
    </row>
    <row r="14" spans="1:12" s="186" customFormat="1" ht="15.5" x14ac:dyDescent="0.35">
      <c r="A14" s="177" t="s">
        <v>977</v>
      </c>
      <c r="B14" s="175"/>
      <c r="C14" s="175"/>
      <c r="D14" s="175"/>
      <c r="E14" s="175"/>
      <c r="F14" s="175"/>
      <c r="G14" s="175"/>
      <c r="H14" s="175"/>
      <c r="I14" s="175"/>
      <c r="J14" s="175"/>
      <c r="K14" s="175"/>
      <c r="L14" s="176"/>
    </row>
    <row r="15" spans="1:12" s="186" customFormat="1" ht="15.5" x14ac:dyDescent="0.35">
      <c r="A15" s="177" t="s">
        <v>978</v>
      </c>
      <c r="B15" s="175"/>
      <c r="C15" s="175"/>
      <c r="D15" s="175"/>
      <c r="E15" s="175"/>
      <c r="F15" s="175"/>
      <c r="G15" s="175"/>
      <c r="H15" s="175"/>
      <c r="I15" s="175"/>
      <c r="J15" s="175"/>
      <c r="K15" s="175"/>
      <c r="L15" s="176"/>
    </row>
    <row r="16" spans="1:12" s="186" customFormat="1" ht="15.75" customHeight="1" x14ac:dyDescent="0.35">
      <c r="A16" s="177" t="s">
        <v>979</v>
      </c>
      <c r="B16" s="178"/>
      <c r="C16" s="178"/>
      <c r="D16" s="178"/>
      <c r="E16" s="178"/>
      <c r="F16" s="178"/>
      <c r="G16" s="178"/>
      <c r="H16" s="178"/>
      <c r="I16" s="178"/>
      <c r="J16" s="178"/>
      <c r="K16" s="178"/>
      <c r="L16" s="655"/>
    </row>
    <row r="17" spans="1:12" s="186" customFormat="1" ht="15.5" x14ac:dyDescent="0.35">
      <c r="A17" s="177" t="s">
        <v>980</v>
      </c>
      <c r="B17" s="175"/>
      <c r="C17" s="175"/>
      <c r="D17" s="175"/>
      <c r="E17" s="175"/>
      <c r="F17" s="175"/>
      <c r="G17" s="175"/>
      <c r="H17" s="175"/>
      <c r="I17" s="175"/>
      <c r="J17" s="175"/>
      <c r="K17" s="175"/>
      <c r="L17" s="176"/>
    </row>
    <row r="18" spans="1:12" s="186" customFormat="1" ht="15.5" x14ac:dyDescent="0.35">
      <c r="A18" s="177" t="s">
        <v>981</v>
      </c>
      <c r="B18" s="175"/>
      <c r="C18" s="175"/>
      <c r="D18" s="175"/>
      <c r="E18" s="175"/>
      <c r="F18" s="175"/>
      <c r="G18" s="175"/>
      <c r="H18" s="175"/>
      <c r="I18" s="175"/>
      <c r="J18" s="175"/>
      <c r="K18" s="175"/>
      <c r="L18" s="176"/>
    </row>
    <row r="19" spans="1:12" s="186" customFormat="1" ht="15.5" x14ac:dyDescent="0.35">
      <c r="A19" s="96" t="s">
        <v>982</v>
      </c>
      <c r="B19" s="175"/>
      <c r="C19" s="175"/>
      <c r="D19" s="175"/>
      <c r="E19" s="175"/>
      <c r="F19" s="175"/>
      <c r="G19" s="175"/>
      <c r="H19" s="175"/>
      <c r="I19" s="175"/>
      <c r="J19" s="175"/>
      <c r="K19" s="175"/>
      <c r="L19" s="176"/>
    </row>
    <row r="20" spans="1:12" s="186" customFormat="1" ht="15.5" x14ac:dyDescent="0.35">
      <c r="A20" s="177" t="s">
        <v>983</v>
      </c>
      <c r="B20" s="175"/>
      <c r="C20" s="175"/>
      <c r="D20" s="175"/>
      <c r="E20" s="175"/>
      <c r="F20" s="175"/>
      <c r="G20" s="175"/>
      <c r="H20" s="175"/>
      <c r="I20" s="175"/>
      <c r="J20" s="175"/>
      <c r="K20" s="175"/>
      <c r="L20" s="176"/>
    </row>
    <row r="21" spans="1:12" s="186" customFormat="1" ht="15.5" x14ac:dyDescent="0.35">
      <c r="A21" s="177" t="s">
        <v>984</v>
      </c>
      <c r="B21" s="175"/>
      <c r="C21" s="175"/>
      <c r="D21" s="175"/>
      <c r="E21" s="175"/>
      <c r="F21" s="175"/>
      <c r="G21" s="175"/>
      <c r="H21" s="175"/>
      <c r="I21" s="175"/>
      <c r="J21" s="175"/>
      <c r="K21" s="175"/>
      <c r="L21" s="176"/>
    </row>
    <row r="22" spans="1:12" s="186" customFormat="1" ht="15.5" x14ac:dyDescent="0.35">
      <c r="A22" s="177" t="s">
        <v>985</v>
      </c>
      <c r="B22" s="175"/>
      <c r="C22" s="175"/>
      <c r="D22" s="175"/>
      <c r="E22" s="175"/>
      <c r="F22" s="175"/>
      <c r="G22" s="175"/>
      <c r="H22" s="175"/>
      <c r="I22" s="175"/>
      <c r="J22" s="175"/>
      <c r="K22" s="175"/>
      <c r="L22" s="176"/>
    </row>
    <row r="23" spans="1:12" s="186" customFormat="1" ht="15.5" x14ac:dyDescent="0.3">
      <c r="A23" s="179" t="s">
        <v>767</v>
      </c>
      <c r="B23" s="180"/>
      <c r="C23" s="180"/>
      <c r="D23" s="180"/>
      <c r="E23" s="180"/>
      <c r="F23" s="180"/>
      <c r="G23" s="180"/>
      <c r="H23" s="180"/>
      <c r="I23" s="180"/>
      <c r="J23" s="180"/>
      <c r="K23" s="180"/>
      <c r="L23" s="181"/>
    </row>
    <row r="24" spans="1:12" s="186" customFormat="1" ht="16" thickBot="1" x14ac:dyDescent="0.4">
      <c r="A24" s="182" t="s">
        <v>768</v>
      </c>
      <c r="B24" s="183"/>
      <c r="C24" s="183"/>
      <c r="D24" s="183"/>
      <c r="E24" s="183"/>
      <c r="F24" s="183"/>
      <c r="G24" s="183"/>
      <c r="H24" s="183"/>
      <c r="I24" s="183"/>
      <c r="J24" s="183"/>
      <c r="K24" s="183"/>
      <c r="L24" s="184"/>
    </row>
    <row r="26" spans="1:12" ht="15.5" x14ac:dyDescent="0.3">
      <c r="A26" s="541" t="s">
        <v>986</v>
      </c>
      <c r="B26" s="541"/>
      <c r="C26" s="541"/>
      <c r="D26" s="541"/>
      <c r="E26" s="541"/>
      <c r="F26" s="541"/>
      <c r="G26" s="541"/>
      <c r="H26" s="541"/>
      <c r="I26" s="541"/>
      <c r="J26" s="541"/>
      <c r="K26" s="541"/>
      <c r="L26" s="541"/>
    </row>
    <row r="27" spans="1:12" ht="14.5" thickBot="1" x14ac:dyDescent="0.35"/>
    <row r="28" spans="1:12" s="326" customFormat="1" ht="16" thickBot="1" x14ac:dyDescent="0.4">
      <c r="A28" s="1211"/>
      <c r="B28" s="1212" t="s">
        <v>987</v>
      </c>
      <c r="C28" s="716"/>
      <c r="D28" s="716"/>
      <c r="E28" s="716"/>
      <c r="F28" s="716"/>
      <c r="G28" s="716"/>
      <c r="H28" s="716"/>
      <c r="I28" s="716"/>
      <c r="J28" s="716"/>
      <c r="K28" s="716"/>
      <c r="L28" s="717"/>
    </row>
    <row r="29" spans="1:12" s="326" customFormat="1" ht="31" x14ac:dyDescent="0.35">
      <c r="A29" s="560" t="s">
        <v>988</v>
      </c>
      <c r="B29" s="719" t="s">
        <v>629</v>
      </c>
      <c r="C29" s="720" t="s">
        <v>629</v>
      </c>
      <c r="D29" s="720" t="s">
        <v>629</v>
      </c>
      <c r="E29" s="720" t="s">
        <v>629</v>
      </c>
      <c r="F29" s="720" t="s">
        <v>630</v>
      </c>
      <c r="G29" s="720" t="s">
        <v>630</v>
      </c>
      <c r="H29" s="1208" t="s">
        <v>630</v>
      </c>
      <c r="I29" s="1208" t="s">
        <v>989</v>
      </c>
      <c r="J29" s="720" t="s">
        <v>989</v>
      </c>
      <c r="K29" s="1208" t="s">
        <v>990</v>
      </c>
      <c r="L29" s="715" t="s">
        <v>991</v>
      </c>
    </row>
    <row r="30" spans="1:12" s="326" customFormat="1" ht="16" thickBot="1" x14ac:dyDescent="0.4">
      <c r="A30" s="718"/>
      <c r="B30" s="1326" t="s">
        <v>739</v>
      </c>
      <c r="C30" s="1327" t="s">
        <v>992</v>
      </c>
      <c r="D30" s="1327" t="s">
        <v>993</v>
      </c>
      <c r="E30" s="1327" t="s">
        <v>994</v>
      </c>
      <c r="F30" s="1327" t="s">
        <v>739</v>
      </c>
      <c r="G30" s="1327" t="s">
        <v>992</v>
      </c>
      <c r="H30" s="1327" t="s">
        <v>994</v>
      </c>
      <c r="I30" s="1327" t="s">
        <v>739</v>
      </c>
      <c r="J30" s="1327" t="s">
        <v>992</v>
      </c>
      <c r="K30" s="1328" t="s">
        <v>994</v>
      </c>
      <c r="L30" s="1329" t="s">
        <v>739</v>
      </c>
    </row>
    <row r="31" spans="1:12" s="326" customFormat="1" ht="15.5" x14ac:dyDescent="0.35">
      <c r="A31" s="327" t="s">
        <v>995</v>
      </c>
      <c r="B31" s="1311">
        <v>0.21907021735361451</v>
      </c>
      <c r="C31" s="1309">
        <v>0.28581581581263749</v>
      </c>
      <c r="D31" s="1309">
        <v>0.24341135261512722</v>
      </c>
      <c r="E31" s="1310">
        <v>1.6365762293078077</v>
      </c>
      <c r="F31" s="1302">
        <v>5.7321647102560561E-2</v>
      </c>
      <c r="G31" s="1284">
        <v>0.1132377841955223</v>
      </c>
      <c r="H31" s="1310">
        <v>1.0715957960267442</v>
      </c>
      <c r="I31" s="1302">
        <v>6.7089356127381219E-2</v>
      </c>
      <c r="J31" s="1284">
        <v>0.14764868645644325</v>
      </c>
      <c r="K31" s="1310">
        <v>1.3972342608047241</v>
      </c>
      <c r="L31" s="1323">
        <v>0.19539761506774908</v>
      </c>
    </row>
    <row r="32" spans="1:12" s="326" customFormat="1" ht="15.5" x14ac:dyDescent="0.35">
      <c r="A32" s="328" t="s">
        <v>996</v>
      </c>
      <c r="B32" s="1291">
        <v>0.21907021735361451</v>
      </c>
      <c r="C32" s="1257">
        <v>0.28581581581263749</v>
      </c>
      <c r="D32" s="1257">
        <v>0.24341135261512722</v>
      </c>
      <c r="E32" s="1280">
        <v>1.6365762293078077</v>
      </c>
      <c r="F32" s="1303">
        <v>5.7824865513224417E-2</v>
      </c>
      <c r="G32" s="1288">
        <v>0.10625182144435315</v>
      </c>
      <c r="H32" s="1280">
        <v>1.0054859867564889</v>
      </c>
      <c r="I32" s="1303">
        <v>5.6638327469696513E-2</v>
      </c>
      <c r="J32" s="1288">
        <v>0.14673314618469593</v>
      </c>
      <c r="K32" s="1280">
        <v>1.3885702877919388</v>
      </c>
      <c r="L32" s="1237">
        <v>0.19539761506774908</v>
      </c>
    </row>
    <row r="33" spans="1:12" s="326" customFormat="1" ht="15.5" x14ac:dyDescent="0.35">
      <c r="A33" s="328" t="s">
        <v>997</v>
      </c>
      <c r="B33" s="1291">
        <v>0.21907021735361451</v>
      </c>
      <c r="C33" s="1257">
        <v>0.28581581581263749</v>
      </c>
      <c r="D33" s="1257">
        <v>0.24341135261512722</v>
      </c>
      <c r="E33" s="1280">
        <v>1.6365762293078077</v>
      </c>
      <c r="F33" s="1303">
        <v>5.8670711780123029E-2</v>
      </c>
      <c r="G33" s="1288">
        <v>0.10588471924866141</v>
      </c>
      <c r="H33" s="1280">
        <v>1.0020120123016709</v>
      </c>
      <c r="I33" s="1303">
        <v>5.7186890868192966E-2</v>
      </c>
      <c r="J33" s="1288">
        <v>0.15434292161446275</v>
      </c>
      <c r="K33" s="1280">
        <v>1.4605833832192172</v>
      </c>
      <c r="L33" s="1237">
        <v>0.19539761506774908</v>
      </c>
    </row>
    <row r="34" spans="1:12" s="326" customFormat="1" ht="15.5" x14ac:dyDescent="0.35">
      <c r="A34" s="328" t="s">
        <v>998</v>
      </c>
      <c r="B34" s="1291">
        <v>0.21907021735361451</v>
      </c>
      <c r="C34" s="1257">
        <v>0.28581581581263749</v>
      </c>
      <c r="D34" s="1257">
        <v>0.24341135261512722</v>
      </c>
      <c r="E34" s="1280">
        <v>1.6365762293078077</v>
      </c>
      <c r="F34" s="1303">
        <v>5.8775896048680554E-2</v>
      </c>
      <c r="G34" s="1288">
        <v>9.8837881889194706E-2</v>
      </c>
      <c r="H34" s="1280">
        <v>0.93532613228965866</v>
      </c>
      <c r="I34" s="1303">
        <v>6.1603829021778536E-2</v>
      </c>
      <c r="J34" s="1288">
        <v>0.15968688145938065</v>
      </c>
      <c r="K34" s="1280">
        <v>1.5111545326339917</v>
      </c>
      <c r="L34" s="1237">
        <v>0.19539761506774908</v>
      </c>
    </row>
    <row r="35" spans="1:12" s="326" customFormat="1" ht="15.5" x14ac:dyDescent="0.35">
      <c r="A35" s="328" t="s">
        <v>999</v>
      </c>
      <c r="B35" s="1291">
        <v>0.21907021735361451</v>
      </c>
      <c r="C35" s="1257">
        <v>0.28581581581263749</v>
      </c>
      <c r="D35" s="1257">
        <v>0.24341135261512722</v>
      </c>
      <c r="E35" s="1280">
        <v>1.6365762293078077</v>
      </c>
      <c r="F35" s="1303">
        <v>5.7691385483734738E-2</v>
      </c>
      <c r="G35" s="1288">
        <v>9.722952964571159E-2</v>
      </c>
      <c r="H35" s="1280">
        <v>0.92010591657375596</v>
      </c>
      <c r="I35" s="1303">
        <v>6.7024986341284065E-2</v>
      </c>
      <c r="J35" s="1288">
        <v>0.1607271193227357</v>
      </c>
      <c r="K35" s="1280">
        <v>1.5209985482967709</v>
      </c>
      <c r="L35" s="1237">
        <v>0.19539761506774908</v>
      </c>
    </row>
    <row r="36" spans="1:12" s="326" customFormat="1" ht="15.5" x14ac:dyDescent="0.35">
      <c r="A36" s="328" t="s">
        <v>1000</v>
      </c>
      <c r="B36" s="1291">
        <v>0.21907021735361451</v>
      </c>
      <c r="C36" s="1257">
        <v>0.28581581581263749</v>
      </c>
      <c r="D36" s="1257">
        <v>0.24341135261512722</v>
      </c>
      <c r="E36" s="1280">
        <v>1.6365762293078077</v>
      </c>
      <c r="F36" s="1303">
        <v>5.6743965652656402E-2</v>
      </c>
      <c r="G36" s="1288">
        <v>0.13258448427510466</v>
      </c>
      <c r="H36" s="1280">
        <v>1.2546781710445567</v>
      </c>
      <c r="I36" s="1303">
        <v>6.6850198933633059E-2</v>
      </c>
      <c r="J36" s="1288">
        <v>0.17541054434850245</v>
      </c>
      <c r="K36" s="1280">
        <v>1.6599512542391373</v>
      </c>
      <c r="L36" s="1237">
        <v>0.19539761506774908</v>
      </c>
    </row>
    <row r="37" spans="1:12" s="326" customFormat="1" ht="15.5" x14ac:dyDescent="0.35">
      <c r="A37" s="328" t="s">
        <v>1001</v>
      </c>
      <c r="B37" s="1291">
        <v>0.21907021735361451</v>
      </c>
      <c r="C37" s="1257">
        <v>0.28581581581263749</v>
      </c>
      <c r="D37" s="1257">
        <v>0.24341135261512722</v>
      </c>
      <c r="E37" s="1280">
        <v>1.6365762293078077</v>
      </c>
      <c r="F37" s="1303">
        <v>5.7722945932428993E-2</v>
      </c>
      <c r="G37" s="1288">
        <v>0.12825051083791408</v>
      </c>
      <c r="H37" s="1280">
        <v>1.2136647606499664</v>
      </c>
      <c r="I37" s="1303">
        <v>6.1790375957971481E-2</v>
      </c>
      <c r="J37" s="1288">
        <v>0.14006109063708019</v>
      </c>
      <c r="K37" s="1280">
        <v>1.3254310562494278</v>
      </c>
      <c r="L37" s="1237">
        <v>0.19539761506774908</v>
      </c>
    </row>
    <row r="38" spans="1:12" s="326" customFormat="1" ht="15.5" x14ac:dyDescent="0.35">
      <c r="A38" s="328" t="s">
        <v>1002</v>
      </c>
      <c r="B38" s="1291">
        <v>0.21907021735361451</v>
      </c>
      <c r="C38" s="1257">
        <v>0.28581581581263749</v>
      </c>
      <c r="D38" s="1257">
        <v>0.24341135261512722</v>
      </c>
      <c r="E38" s="1280">
        <v>1.6365762293078077</v>
      </c>
      <c r="F38" s="1303">
        <v>5.7658132042116124E-2</v>
      </c>
      <c r="G38" s="1288">
        <v>0.10437386015294027</v>
      </c>
      <c r="H38" s="1280">
        <v>0.9877143971826039</v>
      </c>
      <c r="I38" s="1303">
        <v>6.4111112969101144E-2</v>
      </c>
      <c r="J38" s="1288">
        <v>0.14197567853007326</v>
      </c>
      <c r="K38" s="1280">
        <v>1.3435492519720902</v>
      </c>
      <c r="L38" s="1237">
        <v>0.19539761506774908</v>
      </c>
    </row>
    <row r="39" spans="1:12" s="326" customFormat="1" ht="15.5" x14ac:dyDescent="0.35">
      <c r="A39" s="328" t="s">
        <v>1003</v>
      </c>
      <c r="B39" s="1291">
        <v>0.21907021735361451</v>
      </c>
      <c r="C39" s="1257">
        <v>0.28581581581263749</v>
      </c>
      <c r="D39" s="1257">
        <v>0.24341135261512722</v>
      </c>
      <c r="E39" s="1280">
        <v>1.6365762293078077</v>
      </c>
      <c r="F39" s="1303">
        <v>5.809654621421504E-2</v>
      </c>
      <c r="G39" s="1288">
        <v>0.10462857673282636</v>
      </c>
      <c r="H39" s="1280">
        <v>0.99012484011137891</v>
      </c>
      <c r="I39" s="1303">
        <v>6.6991911773237364E-2</v>
      </c>
      <c r="J39" s="1288">
        <v>0.1391463765441312</v>
      </c>
      <c r="K39" s="1280">
        <v>1.3167749015610064</v>
      </c>
      <c r="L39" s="1237">
        <v>0.19539761506774908</v>
      </c>
    </row>
    <row r="40" spans="1:12" s="326" customFormat="1" ht="15.5" x14ac:dyDescent="0.35">
      <c r="A40" s="328" t="s">
        <v>1004</v>
      </c>
      <c r="B40" s="1291">
        <v>0.21907021735361451</v>
      </c>
      <c r="C40" s="1257">
        <v>0.28581581581263749</v>
      </c>
      <c r="D40" s="1257">
        <v>0.24341135261512722</v>
      </c>
      <c r="E40" s="1280">
        <v>1.6365762293078077</v>
      </c>
      <c r="F40" s="1303">
        <v>5.7793733451333901E-2</v>
      </c>
      <c r="G40" s="1288">
        <v>0.11018928253442102</v>
      </c>
      <c r="H40" s="1280">
        <v>1.0427471075132342</v>
      </c>
      <c r="I40" s="1303">
        <v>6.0360892217473212E-2</v>
      </c>
      <c r="J40" s="1288">
        <v>0.14306915220432767</v>
      </c>
      <c r="K40" s="1280">
        <v>1.3538970506394832</v>
      </c>
      <c r="L40" s="1237">
        <v>0.19539761506774908</v>
      </c>
    </row>
    <row r="41" spans="1:12" s="326" customFormat="1" ht="15.5" x14ac:dyDescent="0.35">
      <c r="A41" s="328" t="s">
        <v>1005</v>
      </c>
      <c r="B41" s="1291">
        <v>0.21907021735361451</v>
      </c>
      <c r="C41" s="1257">
        <v>0.28581581581263749</v>
      </c>
      <c r="D41" s="1257">
        <v>0.24341135261512722</v>
      </c>
      <c r="E41" s="1280">
        <v>1.6365762293078077</v>
      </c>
      <c r="F41" s="1303">
        <v>5.7767554120662409E-2</v>
      </c>
      <c r="G41" s="1288">
        <v>0.10602237935302229</v>
      </c>
      <c r="H41" s="1280">
        <v>1.0033147222598506</v>
      </c>
      <c r="I41" s="1303">
        <v>6.40208674252256E-2</v>
      </c>
      <c r="J41" s="1288">
        <v>0.14170787709708899</v>
      </c>
      <c r="K41" s="1280">
        <v>1.3410149839996581</v>
      </c>
      <c r="L41" s="1237">
        <v>0.19539761506774908</v>
      </c>
    </row>
    <row r="42" spans="1:12" s="326" customFormat="1" ht="15.5" x14ac:dyDescent="0.35">
      <c r="A42" s="328" t="s">
        <v>1006</v>
      </c>
      <c r="B42" s="1291">
        <v>0.21907021735361451</v>
      </c>
      <c r="C42" s="1257">
        <v>0.28581581581263749</v>
      </c>
      <c r="D42" s="1257">
        <v>0.24341135261512722</v>
      </c>
      <c r="E42" s="1280">
        <v>1.6365762293078077</v>
      </c>
      <c r="F42" s="1303">
        <v>5.6891421568175525E-2</v>
      </c>
      <c r="G42" s="1288">
        <v>0.10368056377882547</v>
      </c>
      <c r="H42" s="1280">
        <v>0.98115357046579676</v>
      </c>
      <c r="I42" s="1303">
        <v>6.40208674252256E-2</v>
      </c>
      <c r="J42" s="1288">
        <v>0.14107801781217127</v>
      </c>
      <c r="K42" s="1280">
        <v>1.3350544773842974</v>
      </c>
      <c r="L42" s="1237">
        <v>0.19539761506774908</v>
      </c>
    </row>
    <row r="43" spans="1:12" s="326" customFormat="1" ht="15.5" x14ac:dyDescent="0.35">
      <c r="A43" s="328" t="s">
        <v>1007</v>
      </c>
      <c r="B43" s="1291">
        <v>0.21907021735361451</v>
      </c>
      <c r="C43" s="1257">
        <v>0.28581581581263749</v>
      </c>
      <c r="D43" s="1257">
        <v>0.24341135261512722</v>
      </c>
      <c r="E43" s="1280">
        <v>1.6365762293078077</v>
      </c>
      <c r="F43" s="1303">
        <v>5.705742349784252E-2</v>
      </c>
      <c r="G43" s="1288">
        <v>9.9552130397151231E-2</v>
      </c>
      <c r="H43" s="1280">
        <v>0.94208523397892363</v>
      </c>
      <c r="I43" s="1303">
        <v>6.204043607654966E-2</v>
      </c>
      <c r="J43" s="1288">
        <v>0.1441234155283273</v>
      </c>
      <c r="K43" s="1280">
        <v>1.3638737925364504</v>
      </c>
      <c r="L43" s="1330">
        <v>0.19539761506774908</v>
      </c>
    </row>
    <row r="44" spans="1:12" s="326" customFormat="1" ht="15.5" x14ac:dyDescent="0.35">
      <c r="A44" s="328" t="s">
        <v>1008</v>
      </c>
      <c r="B44" s="1291">
        <v>0.21907021735361451</v>
      </c>
      <c r="C44" s="1257">
        <v>0.28581581581263749</v>
      </c>
      <c r="D44" s="1257">
        <v>0.24341135261512722</v>
      </c>
      <c r="E44" s="1280">
        <v>1.6365762293078077</v>
      </c>
      <c r="F44" s="1303">
        <v>5.6301694019404588E-2</v>
      </c>
      <c r="G44" s="1288">
        <v>0.10195817342207183</v>
      </c>
      <c r="H44" s="1280">
        <v>0.964854185251518</v>
      </c>
      <c r="I44" s="1303">
        <v>6.1897788860872084E-2</v>
      </c>
      <c r="J44" s="1288">
        <v>0.14428812885616676</v>
      </c>
      <c r="K44" s="1280">
        <v>1.3654325135138723</v>
      </c>
      <c r="L44" s="1330">
        <v>0.19539761506774908</v>
      </c>
    </row>
    <row r="45" spans="1:12" s="326" customFormat="1" ht="15.5" x14ac:dyDescent="0.35">
      <c r="A45" s="328" t="s">
        <v>1009</v>
      </c>
      <c r="B45" s="1291">
        <v>0.21907021735361451</v>
      </c>
      <c r="C45" s="1257">
        <v>0.28581581581263749</v>
      </c>
      <c r="D45" s="1257">
        <v>0.24341135261512722</v>
      </c>
      <c r="E45" s="1280">
        <v>1.6365762293078077</v>
      </c>
      <c r="F45" s="1303">
        <v>5.7000013060420365E-2</v>
      </c>
      <c r="G45" s="1288">
        <v>9.972404616499729E-2</v>
      </c>
      <c r="H45" s="1280">
        <v>0.94371211334081995</v>
      </c>
      <c r="I45" s="1303">
        <v>6.3668412730078963E-2</v>
      </c>
      <c r="J45" s="1288">
        <v>0.1424803305336938</v>
      </c>
      <c r="K45" s="1280">
        <v>1.3483248926239995</v>
      </c>
      <c r="L45" s="1330">
        <v>0.19525885038649482</v>
      </c>
    </row>
    <row r="46" spans="1:12" s="326" customFormat="1" ht="15.5" x14ac:dyDescent="0.35">
      <c r="A46" s="328" t="s">
        <v>1010</v>
      </c>
      <c r="B46" s="1291">
        <v>0.21907021735361451</v>
      </c>
      <c r="C46" s="1257">
        <v>0.28581581581263749</v>
      </c>
      <c r="D46" s="1257">
        <v>0.24341135261512722</v>
      </c>
      <c r="E46" s="1280">
        <v>1.6365762293078077</v>
      </c>
      <c r="F46" s="1303">
        <v>5.7438903687683611E-2</v>
      </c>
      <c r="G46" s="1288">
        <v>9.4132875196263413E-2</v>
      </c>
      <c r="H46" s="1280">
        <v>0.89080154689405155</v>
      </c>
      <c r="I46" s="1303">
        <v>6.319581454065272E-2</v>
      </c>
      <c r="J46" s="1288">
        <v>0.1412836165734471</v>
      </c>
      <c r="K46" s="1280">
        <v>1.3370001068384294</v>
      </c>
      <c r="L46" s="1330">
        <v>0.19539761506774908</v>
      </c>
    </row>
    <row r="47" spans="1:12" s="326" customFormat="1" ht="15.5" x14ac:dyDescent="0.35">
      <c r="A47" s="328" t="s">
        <v>1011</v>
      </c>
      <c r="B47" s="1291">
        <v>0.21907021735361451</v>
      </c>
      <c r="C47" s="1257">
        <v>0.28581581581263749</v>
      </c>
      <c r="D47" s="1257">
        <v>0.24341135261512722</v>
      </c>
      <c r="E47" s="1280">
        <v>1.6365762293078077</v>
      </c>
      <c r="F47" s="1303">
        <v>5.7407210487795929E-2</v>
      </c>
      <c r="G47" s="1288">
        <v>9.0716446825355276E-2</v>
      </c>
      <c r="H47" s="1280">
        <v>0.85847108135464878</v>
      </c>
      <c r="I47" s="1303">
        <v>6.3052505137001932E-2</v>
      </c>
      <c r="J47" s="1288">
        <v>0.13941152146511129</v>
      </c>
      <c r="K47" s="1280">
        <v>1.3192840303352811</v>
      </c>
      <c r="L47" s="1330">
        <v>0.19042395779722324</v>
      </c>
    </row>
    <row r="48" spans="1:12" s="326" customFormat="1" ht="15.5" x14ac:dyDescent="0.35">
      <c r="A48" s="328" t="s">
        <v>1012</v>
      </c>
      <c r="B48" s="1287">
        <v>0.21907021735361451</v>
      </c>
      <c r="C48" s="1257">
        <v>0.28581581581263749</v>
      </c>
      <c r="D48" s="1257">
        <v>0.24341135261512722</v>
      </c>
      <c r="E48" s="1280">
        <v>1.6365762293078077</v>
      </c>
      <c r="F48" s="1303">
        <v>5.7172866117488896E-2</v>
      </c>
      <c r="G48" s="1288">
        <v>8.8685397844996738E-2</v>
      </c>
      <c r="H48" s="1280">
        <v>0.83925078695963828</v>
      </c>
      <c r="I48" s="1303">
        <v>6.2453194005774072E-2</v>
      </c>
      <c r="J48" s="1288">
        <v>0.13288265554020368</v>
      </c>
      <c r="K48" s="1280">
        <v>1.2574998358841334</v>
      </c>
      <c r="L48" s="1330">
        <v>0.19035205834718039</v>
      </c>
    </row>
    <row r="49" spans="1:12" s="326" customFormat="1" ht="15.5" x14ac:dyDescent="0.35">
      <c r="A49" s="328" t="s">
        <v>1013</v>
      </c>
      <c r="B49" s="1291">
        <v>0.1684469662659431</v>
      </c>
      <c r="C49" s="1257">
        <v>0.28581581581263749</v>
      </c>
      <c r="D49" s="1257">
        <v>0.18716329585104788</v>
      </c>
      <c r="E49" s="1280">
        <v>1.2583924196545204</v>
      </c>
      <c r="F49" s="1303">
        <v>5.7428605376614289E-2</v>
      </c>
      <c r="G49" s="1288">
        <v>9.0759411657811692E-2</v>
      </c>
      <c r="H49" s="1280">
        <v>0.85887766767355633</v>
      </c>
      <c r="I49" s="1303">
        <v>6.2083519824565447E-2</v>
      </c>
      <c r="J49" s="1288">
        <v>0.13103469400143128</v>
      </c>
      <c r="K49" s="1280">
        <v>1.2400121410282505</v>
      </c>
      <c r="L49" s="1330">
        <v>0.19033265266062935</v>
      </c>
    </row>
    <row r="50" spans="1:12" s="326" customFormat="1" ht="15.5" x14ac:dyDescent="0.35">
      <c r="A50" s="328" t="s">
        <v>1014</v>
      </c>
      <c r="B50" s="1287">
        <v>0.11782371517827168</v>
      </c>
      <c r="C50" s="1257">
        <v>0.28581581581263749</v>
      </c>
      <c r="D50" s="1257">
        <v>0.13091523908696853</v>
      </c>
      <c r="E50" s="1280">
        <v>0.88020861000123296</v>
      </c>
      <c r="F50" s="1303">
        <v>5.7861404269539146E-2</v>
      </c>
      <c r="G50" s="1288">
        <v>8.8634632705798674E-2</v>
      </c>
      <c r="H50" s="1280">
        <v>0.83877038450266839</v>
      </c>
      <c r="I50" s="1303">
        <v>6.2106120077571894E-2</v>
      </c>
      <c r="J50" s="1288">
        <v>0.13287834461056855</v>
      </c>
      <c r="K50" s="1280">
        <v>1.2574590405426598</v>
      </c>
      <c r="L50" s="1330">
        <v>0.19032906028041854</v>
      </c>
    </row>
    <row r="51" spans="1:12" s="326" customFormat="1" ht="15.5" x14ac:dyDescent="0.35">
      <c r="A51" s="328" t="s">
        <v>1015</v>
      </c>
      <c r="B51" s="1291">
        <v>0.16925394389052251</v>
      </c>
      <c r="C51" s="1257">
        <v>0.28581581581263749</v>
      </c>
      <c r="D51" s="1257">
        <v>0.1880599376561361</v>
      </c>
      <c r="E51" s="1280">
        <v>1.2644209908310313</v>
      </c>
      <c r="F51" s="1303">
        <v>5.7779316594605938E-2</v>
      </c>
      <c r="G51" s="1288">
        <v>8.6369494524913201E-2</v>
      </c>
      <c r="H51" s="1280">
        <v>0.81733484892325947</v>
      </c>
      <c r="I51" s="1303">
        <v>6.3012904332864175E-2</v>
      </c>
      <c r="J51" s="1288">
        <v>0.1328646916877694</v>
      </c>
      <c r="K51" s="1280">
        <v>1.2573298397217589</v>
      </c>
      <c r="L51" s="1330">
        <v>0.18400702774811514</v>
      </c>
    </row>
    <row r="52" spans="1:12" s="326" customFormat="1" ht="15.5" x14ac:dyDescent="0.35">
      <c r="A52" s="328" t="s">
        <v>1016</v>
      </c>
      <c r="B52" s="1287">
        <v>0.22068417260277334</v>
      </c>
      <c r="C52" s="1257">
        <v>0.28581581581263749</v>
      </c>
      <c r="D52" s="1257">
        <v>0.2452046362253037</v>
      </c>
      <c r="E52" s="1306">
        <v>2.1157187665008017</v>
      </c>
      <c r="F52" s="1303">
        <v>5.7850723349061689E-2</v>
      </c>
      <c r="G52" s="1288">
        <v>8.3521322259587014E-2</v>
      </c>
      <c r="H52" s="1280">
        <v>0.79038192461829782</v>
      </c>
      <c r="I52" s="1303">
        <v>6.3268218240911459E-2</v>
      </c>
      <c r="J52" s="1288">
        <v>0.13292206048843899</v>
      </c>
      <c r="K52" s="1280">
        <v>1.2578727341810367</v>
      </c>
      <c r="L52" s="1330">
        <v>0.18400748279316459</v>
      </c>
    </row>
    <row r="53" spans="1:12" s="326" customFormat="1" ht="15.5" x14ac:dyDescent="0.35">
      <c r="A53" s="328" t="s">
        <v>1017</v>
      </c>
      <c r="B53" s="1287">
        <v>0.14114432977393748</v>
      </c>
      <c r="C53" s="1257">
        <v>0.28581581581263749</v>
      </c>
      <c r="D53" s="1257">
        <v>0.15682703308215276</v>
      </c>
      <c r="E53" s="1280">
        <v>2.1157187665007995</v>
      </c>
      <c r="F53" s="1303">
        <v>5.7599646726000021E-2</v>
      </c>
      <c r="G53" s="1288">
        <v>7.4237215670895043E-2</v>
      </c>
      <c r="H53" s="1280">
        <v>0.70252423947383769</v>
      </c>
      <c r="I53" s="1303">
        <v>6.3507325144639623E-2</v>
      </c>
      <c r="J53" s="1288">
        <v>0.13244531060194678</v>
      </c>
      <c r="K53" s="1280">
        <v>1.2533611378287171</v>
      </c>
      <c r="L53" s="1330">
        <v>0.18330751433125178</v>
      </c>
    </row>
    <row r="54" spans="1:12" s="326" customFormat="1" ht="15.5" x14ac:dyDescent="0.35">
      <c r="A54" s="328" t="s">
        <v>1018</v>
      </c>
      <c r="B54" s="1291">
        <v>0.12948402247610458</v>
      </c>
      <c r="C54" s="1288">
        <v>0.28581581581263749</v>
      </c>
      <c r="D54" s="1288">
        <v>0.15361585760002883</v>
      </c>
      <c r="E54" s="1280">
        <v>2.1157187665007995</v>
      </c>
      <c r="F54" s="1303">
        <v>5.7378656730528992E-2</v>
      </c>
      <c r="G54" s="1288">
        <v>7.0908497581113297E-2</v>
      </c>
      <c r="H54" s="1280">
        <v>0.67102379696244718</v>
      </c>
      <c r="I54" s="1303">
        <v>6.2826306949619701E-2</v>
      </c>
      <c r="J54" s="1288">
        <v>0.13135095665214638</v>
      </c>
      <c r="K54" s="1280">
        <v>1.2430050089067088</v>
      </c>
      <c r="L54" s="1330">
        <v>0.17576117942019823</v>
      </c>
    </row>
    <row r="55" spans="1:12" s="326" customFormat="1" ht="15.5" x14ac:dyDescent="0.35">
      <c r="A55" s="328" t="s">
        <v>1019</v>
      </c>
      <c r="B55" s="1287">
        <v>0.11782371517827164</v>
      </c>
      <c r="C55" s="1257">
        <v>0.25397114170467588</v>
      </c>
      <c r="D55" s="1257">
        <v>0.18204647297643073</v>
      </c>
      <c r="E55" s="1280">
        <v>2.1157187665007995</v>
      </c>
      <c r="F55" s="1303">
        <v>5.700346981914204E-2</v>
      </c>
      <c r="G55" s="1288">
        <v>7.1774571814575625E-2</v>
      </c>
      <c r="H55" s="1280">
        <v>0.67921966121587374</v>
      </c>
      <c r="I55" s="1303">
        <v>6.3447634661091989E-2</v>
      </c>
      <c r="J55" s="1288">
        <v>0.13092714048699708</v>
      </c>
      <c r="K55" s="1280">
        <v>1.2389943368144503</v>
      </c>
      <c r="L55" s="1330">
        <v>0.17574594295273746</v>
      </c>
    </row>
    <row r="56" spans="1:12" s="326" customFormat="1" ht="15.5" x14ac:dyDescent="0.35">
      <c r="A56" s="328" t="s">
        <v>1020</v>
      </c>
      <c r="B56" s="1287">
        <v>0.18820372702432153</v>
      </c>
      <c r="C56" s="1257">
        <v>0.25397114170467588</v>
      </c>
      <c r="D56" s="1288">
        <v>0.21047708835283263</v>
      </c>
      <c r="E56" s="1280">
        <v>2.1157187665007995</v>
      </c>
      <c r="F56" s="1303">
        <v>5.715068379960643E-2</v>
      </c>
      <c r="G56" s="1288">
        <v>7.066736952695514E-2</v>
      </c>
      <c r="H56" s="1280">
        <v>0.66874194544993582</v>
      </c>
      <c r="I56" s="1303">
        <v>6.3391355478983252E-2</v>
      </c>
      <c r="J56" s="1288">
        <v>0.12944617364539376</v>
      </c>
      <c r="K56" s="1280">
        <v>1.2249795991295718</v>
      </c>
      <c r="L56" s="1330">
        <v>0.17619290663489159</v>
      </c>
    </row>
    <row r="57" spans="1:12" s="326" customFormat="1" ht="15.5" x14ac:dyDescent="0.35">
      <c r="A57" s="328" t="s">
        <v>1021</v>
      </c>
      <c r="B57" s="1287">
        <v>0.17658962495190886</v>
      </c>
      <c r="C57" s="1288">
        <v>0.22212646759671431</v>
      </c>
      <c r="D57" s="1288">
        <v>0.18639571915144934</v>
      </c>
      <c r="E57" s="1280">
        <v>2.1157187665007995</v>
      </c>
      <c r="F57" s="1303">
        <v>5.7314267749473298E-2</v>
      </c>
      <c r="G57" s="1288">
        <v>6.865004490254363E-2</v>
      </c>
      <c r="H57" s="1280">
        <v>0.64965152786451208</v>
      </c>
      <c r="I57" s="1303">
        <v>6.3565877298032217E-2</v>
      </c>
      <c r="J57" s="1288">
        <v>0.12778881974956088</v>
      </c>
      <c r="K57" s="1280">
        <v>1.2092956692476828</v>
      </c>
      <c r="L57" s="1330">
        <v>0.17618241497776485</v>
      </c>
    </row>
    <row r="58" spans="1:12" s="326" customFormat="1" ht="15.5" x14ac:dyDescent="0.35">
      <c r="A58" s="328" t="s">
        <v>1022</v>
      </c>
      <c r="B58" s="1287">
        <v>0.17992099119590252</v>
      </c>
      <c r="C58" s="1288">
        <v>0.21403581148433282</v>
      </c>
      <c r="D58" s="1288">
        <v>0.13994403846321968</v>
      </c>
      <c r="E58" s="1280">
        <v>2.1157187665007995</v>
      </c>
      <c r="F58" s="1303">
        <v>5.7224185635733199E-2</v>
      </c>
      <c r="G58" s="1288">
        <v>6.5745610195715024E-2</v>
      </c>
      <c r="H58" s="1280">
        <v>0.62216617883739134</v>
      </c>
      <c r="I58" s="1303">
        <v>6.340075948604984E-2</v>
      </c>
      <c r="J58" s="1288">
        <v>0.1284713788225901</v>
      </c>
      <c r="K58" s="1280">
        <v>1.2157548863578931</v>
      </c>
      <c r="L58" s="1330">
        <v>0.1803291598405202</v>
      </c>
    </row>
    <row r="59" spans="1:12" s="326" customFormat="1" ht="15.5" x14ac:dyDescent="0.35">
      <c r="A59" s="328" t="s">
        <v>1023</v>
      </c>
      <c r="B59" s="1287">
        <v>0.18183268952411238</v>
      </c>
      <c r="C59" s="1288">
        <v>0.16590707540909669</v>
      </c>
      <c r="D59" s="1288">
        <v>0.21468269127537132</v>
      </c>
      <c r="E59" s="1280">
        <v>2.1157187665007995</v>
      </c>
      <c r="F59" s="1303">
        <v>5.7378000323220976E-2</v>
      </c>
      <c r="G59" s="1288">
        <v>6.6027126072545309E-2</v>
      </c>
      <c r="H59" s="1280">
        <v>0.62483022981886616</v>
      </c>
      <c r="I59" s="1303">
        <v>6.3435814604602236E-2</v>
      </c>
      <c r="J59" s="1288">
        <v>0.12853628280059246</v>
      </c>
      <c r="K59" s="1280">
        <v>1.2163690879732534</v>
      </c>
      <c r="L59" s="1330">
        <v>0.18197608044809641</v>
      </c>
    </row>
    <row r="60" spans="1:12" s="326" customFormat="1" ht="15.5" x14ac:dyDescent="0.35">
      <c r="A60" s="328" t="s">
        <v>1024</v>
      </c>
      <c r="B60" s="1287">
        <v>0.19539749129509656</v>
      </c>
      <c r="C60" s="1288">
        <v>0.13326227677919633</v>
      </c>
      <c r="D60" s="1288">
        <v>0.25136943442401893</v>
      </c>
      <c r="E60" s="1306">
        <v>2.1157187665007973</v>
      </c>
      <c r="F60" s="1303">
        <v>5.7218448888336396E-2</v>
      </c>
      <c r="G60" s="1288">
        <v>7.2234753540881963E-2</v>
      </c>
      <c r="H60" s="1280">
        <v>0.68357446916996389</v>
      </c>
      <c r="I60" s="1303">
        <v>6.3118968473559092E-2</v>
      </c>
      <c r="J60" s="1288">
        <v>0.12903919896566243</v>
      </c>
      <c r="K60" s="1280">
        <v>1.2211283019765262</v>
      </c>
      <c r="L60" s="1330">
        <v>0.18197256748810509</v>
      </c>
    </row>
    <row r="61" spans="1:12" s="326" customFormat="1" ht="15.5" x14ac:dyDescent="0.35">
      <c r="A61" s="328" t="s">
        <v>1025</v>
      </c>
      <c r="B61" s="1287">
        <v>0.18229861538476916</v>
      </c>
      <c r="C61" s="1288">
        <v>0.21288311793392611</v>
      </c>
      <c r="D61" s="1288">
        <v>0.25246012121255901</v>
      </c>
      <c r="E61" s="1306">
        <v>2.1155630205815701</v>
      </c>
      <c r="F61" s="1303">
        <v>5.7342865487908672E-2</v>
      </c>
      <c r="G61" s="1288">
        <v>7.1175914010332159E-2</v>
      </c>
      <c r="H61" s="1280">
        <v>0.67355442155365797</v>
      </c>
      <c r="I61" s="1303">
        <v>6.3380620917542749E-2</v>
      </c>
      <c r="J61" s="1288">
        <v>0.12899595559640661</v>
      </c>
      <c r="K61" s="1280">
        <v>1.2207190797983478</v>
      </c>
      <c r="L61" s="1330">
        <v>0.18038831324824148</v>
      </c>
    </row>
    <row r="62" spans="1:12" s="326" customFormat="1" ht="15.5" x14ac:dyDescent="0.35">
      <c r="A62" s="328" t="s">
        <v>1026</v>
      </c>
      <c r="B62" s="1287">
        <v>0.17999426291473278</v>
      </c>
      <c r="C62" s="1288">
        <v>0.19478278269428292</v>
      </c>
      <c r="D62" s="1288">
        <v>0.20903639816866171</v>
      </c>
      <c r="E62" s="1306">
        <v>1.7448760293549259</v>
      </c>
      <c r="F62" s="1303">
        <v>5.7131967011061942E-2</v>
      </c>
      <c r="G62" s="1288">
        <v>6.9507582667026169E-2</v>
      </c>
      <c r="H62" s="1280">
        <v>0.65776660950340204</v>
      </c>
      <c r="I62" s="1303">
        <v>6.3229109335779243E-2</v>
      </c>
      <c r="J62" s="1288">
        <v>0.12872030099980608</v>
      </c>
      <c r="K62" s="1280">
        <v>1.218110495490812</v>
      </c>
      <c r="L62" s="1330">
        <v>0.17896728396740452</v>
      </c>
    </row>
    <row r="63" spans="1:12" s="326" customFormat="1" ht="15.5" x14ac:dyDescent="0.35">
      <c r="A63" s="328" t="s">
        <v>1027</v>
      </c>
      <c r="B63" s="1287">
        <v>0.15245265748079073</v>
      </c>
      <c r="C63" s="1288">
        <v>0.23968788556634882</v>
      </c>
      <c r="D63" s="1288">
        <v>0.17424699427473386</v>
      </c>
      <c r="E63" s="1306">
        <v>1.7443068165446962</v>
      </c>
      <c r="F63" s="1303">
        <v>5.6917137055828369E-2</v>
      </c>
      <c r="G63" s="1288">
        <v>7.0442768073957329E-2</v>
      </c>
      <c r="H63" s="1280">
        <v>0.66661648905281679</v>
      </c>
      <c r="I63" s="1303">
        <v>6.284007454018084E-2</v>
      </c>
      <c r="J63" s="1288">
        <v>0.12837517370106311</v>
      </c>
      <c r="K63" s="1280">
        <v>1.214844474656384</v>
      </c>
      <c r="L63" s="1330">
        <v>0.1762916638777843</v>
      </c>
    </row>
    <row r="64" spans="1:12" s="326" customFormat="1" ht="15.5" x14ac:dyDescent="0.35">
      <c r="A64" s="328" t="s">
        <v>1028</v>
      </c>
      <c r="B64" s="1287">
        <v>0.16677962089288681</v>
      </c>
      <c r="C64" s="1288">
        <v>0.20136094266178431</v>
      </c>
      <c r="D64" s="1288">
        <v>0.22725882741373682</v>
      </c>
      <c r="E64" s="1306">
        <v>1.8008321509023753</v>
      </c>
      <c r="F64" s="1303">
        <v>4.8893707593679239E-2</v>
      </c>
      <c r="G64" s="1288">
        <v>7.0337520576484944E-2</v>
      </c>
      <c r="H64" s="1280">
        <v>0.66562050722011856</v>
      </c>
      <c r="I64" s="1303">
        <v>6.8723896845244284E-2</v>
      </c>
      <c r="J64" s="1288">
        <v>0.12726858674408253</v>
      </c>
      <c r="K64" s="1280">
        <v>1.2043725819090751</v>
      </c>
      <c r="L64" s="1330">
        <v>0.17510454001076137</v>
      </c>
    </row>
    <row r="65" spans="1:12" s="326" customFormat="1" ht="15.5" x14ac:dyDescent="0.35">
      <c r="A65" s="328" t="s">
        <v>1029</v>
      </c>
      <c r="B65" s="1287">
        <v>0.10312266815170176</v>
      </c>
      <c r="C65" s="1288">
        <v>0.25859260778580884</v>
      </c>
      <c r="D65" s="1288">
        <v>0.22323619046906398</v>
      </c>
      <c r="E65" s="1280">
        <v>1.9409835220513318</v>
      </c>
      <c r="F65" s="1303">
        <v>4.8611473840321842E-2</v>
      </c>
      <c r="G65" s="1288">
        <v>6.787905158574091E-2</v>
      </c>
      <c r="H65" s="1280">
        <v>0.64235543669741579</v>
      </c>
      <c r="I65" s="1303">
        <v>6.881751987146012E-2</v>
      </c>
      <c r="J65" s="1288">
        <v>0.12773526011226261</v>
      </c>
      <c r="K65" s="1280">
        <v>1.2087888217976617</v>
      </c>
      <c r="L65" s="1330">
        <v>0.1740457447998992</v>
      </c>
    </row>
    <row r="66" spans="1:12" s="326" customFormat="1" ht="15.5" x14ac:dyDescent="0.35">
      <c r="A66" s="328" t="s">
        <v>1030</v>
      </c>
      <c r="B66" s="1287">
        <v>0.11681527664857218</v>
      </c>
      <c r="C66" s="1288">
        <v>0.14382328692315161</v>
      </c>
      <c r="D66" s="1288">
        <v>0.20544771487560859</v>
      </c>
      <c r="E66" s="1280">
        <v>1.9409835220513318</v>
      </c>
      <c r="F66" s="1303">
        <v>4.8555732607652433E-2</v>
      </c>
      <c r="G66" s="1288">
        <v>7.0503802758589876E-2</v>
      </c>
      <c r="H66" s="1280">
        <v>0.66719407463459679</v>
      </c>
      <c r="I66" s="1303">
        <v>6.8532900051709547E-2</v>
      </c>
      <c r="J66" s="1288">
        <v>0.1281019369707744</v>
      </c>
      <c r="K66" s="1280">
        <v>1.2122587711866666</v>
      </c>
      <c r="L66" s="1330">
        <v>0.17303556304994497</v>
      </c>
    </row>
    <row r="67" spans="1:12" s="326" customFormat="1" ht="15.5" x14ac:dyDescent="0.35">
      <c r="A67" s="328" t="s">
        <v>1031</v>
      </c>
      <c r="B67" s="1287">
        <v>0.14542451735669831</v>
      </c>
      <c r="C67" s="1288">
        <v>0.21118526617249658</v>
      </c>
      <c r="D67" s="1288">
        <v>0.34214838544423476</v>
      </c>
      <c r="E67" s="1280">
        <v>1.9409835220513318</v>
      </c>
      <c r="F67" s="1303">
        <v>5.8303038590324187E-2</v>
      </c>
      <c r="G67" s="1288">
        <v>6.7363322524044381E-2</v>
      </c>
      <c r="H67" s="1280">
        <v>0.63747497123856711</v>
      </c>
      <c r="I67" s="1303">
        <v>7.4182951777251496E-2</v>
      </c>
      <c r="J67" s="1288">
        <v>0.12830079969436731</v>
      </c>
      <c r="K67" s="1280">
        <v>1.2141406559312553</v>
      </c>
      <c r="L67" s="1330">
        <v>0.17358638120693196</v>
      </c>
    </row>
    <row r="68" spans="1:12" s="326" customFormat="1" ht="15.5" x14ac:dyDescent="0.35">
      <c r="A68" s="328" t="s">
        <v>1032</v>
      </c>
      <c r="B68" s="1287">
        <v>0.15277985827694313</v>
      </c>
      <c r="C68" s="1288">
        <v>0.21182709308669195</v>
      </c>
      <c r="D68" s="1288">
        <v>0.28414339229689489</v>
      </c>
      <c r="E68" s="1306">
        <v>2.0811348932002884</v>
      </c>
      <c r="F68" s="1303">
        <v>5.8416432482546903E-2</v>
      </c>
      <c r="G68" s="1288">
        <v>6.6391558012270854E-2</v>
      </c>
      <c r="H68" s="1280">
        <v>0.62827893501318077</v>
      </c>
      <c r="I68" s="1303">
        <v>7.4665945002151304E-2</v>
      </c>
      <c r="J68" s="1288">
        <v>0.11395149506851596</v>
      </c>
      <c r="K68" s="1280">
        <v>1.0783498099498532</v>
      </c>
      <c r="L68" s="1330">
        <v>0.17671130017596948</v>
      </c>
    </row>
    <row r="69" spans="1:12" s="326" customFormat="1" ht="15.5" x14ac:dyDescent="0.35">
      <c r="A69" s="328" t="s">
        <v>1033</v>
      </c>
      <c r="B69" s="1287">
        <v>0.15043993838141184</v>
      </c>
      <c r="C69" s="1288">
        <v>0.18352648588854614</v>
      </c>
      <c r="D69" s="1288">
        <v>0.23748025076446541</v>
      </c>
      <c r="E69" s="1280">
        <v>1.9124622327756218</v>
      </c>
      <c r="F69" s="1303">
        <v>5.7517036879693284E-2</v>
      </c>
      <c r="G69" s="1288">
        <v>6.1369308780814688E-2</v>
      </c>
      <c r="H69" s="1280">
        <v>0.5807522088302095</v>
      </c>
      <c r="I69" s="1303">
        <v>7.4460514772843336E-2</v>
      </c>
      <c r="J69" s="1288">
        <v>9.8090532682448509E-2</v>
      </c>
      <c r="K69" s="1280">
        <v>0.92825379089934723</v>
      </c>
      <c r="L69" s="1330">
        <v>0.1768274252343402</v>
      </c>
    </row>
    <row r="70" spans="1:12" s="326" customFormat="1" ht="15.5" x14ac:dyDescent="0.35">
      <c r="A70" s="328" t="s">
        <v>1034</v>
      </c>
      <c r="B70" s="1287">
        <v>0.11668497583822654</v>
      </c>
      <c r="C70" s="1288">
        <v>0.21963080309650804</v>
      </c>
      <c r="D70" s="1288">
        <v>0.28383220997525338</v>
      </c>
      <c r="E70" s="1306">
        <v>1.7437895723509551</v>
      </c>
      <c r="F70" s="1303">
        <v>6.1873139380484117E-2</v>
      </c>
      <c r="G70" s="1288">
        <v>5.7520713930687389E-2</v>
      </c>
      <c r="H70" s="1280">
        <v>0.54433205021172548</v>
      </c>
      <c r="I70" s="1303">
        <v>7.9917033148107233E-2</v>
      </c>
      <c r="J70" s="1288">
        <v>9.610015339397561E-2</v>
      </c>
      <c r="K70" s="1280">
        <v>0.90941836336798976</v>
      </c>
      <c r="L70" s="1330">
        <v>0.17676086353442366</v>
      </c>
    </row>
    <row r="71" spans="1:12" s="326" customFormat="1" ht="15.5" x14ac:dyDescent="0.35">
      <c r="A71" s="328" t="s">
        <v>1035</v>
      </c>
      <c r="B71" s="1287">
        <v>0.11161902297048171</v>
      </c>
      <c r="C71" s="1288">
        <v>0.18218894616713519</v>
      </c>
      <c r="D71" s="1288">
        <v>0.25320811634337798</v>
      </c>
      <c r="E71" s="1280">
        <v>1.8011277601137952</v>
      </c>
      <c r="F71" s="1303">
        <v>6.225019246041099E-2</v>
      </c>
      <c r="G71" s="1288">
        <v>5.6677684903708031E-2</v>
      </c>
      <c r="H71" s="1280">
        <v>0.53635426816964882</v>
      </c>
      <c r="I71" s="1303">
        <v>7.9964555266356804E-2</v>
      </c>
      <c r="J71" s="1288">
        <v>9.834978981546745E-2</v>
      </c>
      <c r="K71" s="1280">
        <v>0.93070720215078384</v>
      </c>
      <c r="L71" s="1330">
        <v>0.16678083069284769</v>
      </c>
    </row>
    <row r="72" spans="1:12" s="326" customFormat="1" ht="15.5" x14ac:dyDescent="0.35">
      <c r="A72" s="328" t="s">
        <v>1036</v>
      </c>
      <c r="B72" s="1287">
        <v>0.13896559638488892</v>
      </c>
      <c r="C72" s="1288">
        <v>0.17025642057568602</v>
      </c>
      <c r="D72" s="1288">
        <v>0.28632284755049825</v>
      </c>
      <c r="E72" s="1306">
        <v>1.8584659478766352</v>
      </c>
      <c r="F72" s="1303">
        <v>5.8595010984608106E-2</v>
      </c>
      <c r="G72" s="1288">
        <v>5.6901036488042629E-2</v>
      </c>
      <c r="H72" s="1280">
        <v>0.53846789676552098</v>
      </c>
      <c r="I72" s="1303">
        <v>8.0208453872704435E-2</v>
      </c>
      <c r="J72" s="1288">
        <v>9.9366603278744525E-2</v>
      </c>
      <c r="K72" s="1280">
        <v>0.94032954720400153</v>
      </c>
      <c r="L72" s="1330">
        <v>0.16625065105794384</v>
      </c>
    </row>
    <row r="73" spans="1:12" s="326" customFormat="1" ht="15.5" x14ac:dyDescent="0.35">
      <c r="A73" s="328" t="s">
        <v>1037</v>
      </c>
      <c r="B73" s="1287">
        <v>0.13329877387277672</v>
      </c>
      <c r="C73" s="1288">
        <v>0.14529248828758701</v>
      </c>
      <c r="D73" s="1288">
        <v>0.26884968569390599</v>
      </c>
      <c r="E73" s="1306">
        <v>2.0936555107376362</v>
      </c>
      <c r="F73" s="1303">
        <v>6.2510762762274977E-2</v>
      </c>
      <c r="G73" s="1288">
        <v>5.5991949180050883E-2</v>
      </c>
      <c r="H73" s="1280">
        <v>0.52986498966709916</v>
      </c>
      <c r="I73" s="1303">
        <v>8.0148306340337067E-2</v>
      </c>
      <c r="J73" s="1288">
        <v>9.9750082454946154E-2</v>
      </c>
      <c r="K73" s="1280">
        <v>0.94395850087879185</v>
      </c>
      <c r="L73" s="1330">
        <v>0.15649212371140228</v>
      </c>
    </row>
    <row r="74" spans="1:12" s="326" customFormat="1" ht="15.5" x14ac:dyDescent="0.35">
      <c r="A74" s="328" t="s">
        <v>1038</v>
      </c>
      <c r="B74" s="1287">
        <v>0.1272762748887801</v>
      </c>
      <c r="C74" s="1288">
        <v>0.14204923373218137</v>
      </c>
      <c r="D74" s="1288">
        <v>0.32140422995698781</v>
      </c>
      <c r="E74" s="1306">
        <v>2.1011032210696663</v>
      </c>
      <c r="F74" s="1303">
        <v>5.8100446297057066E-2</v>
      </c>
      <c r="G74" s="1288">
        <v>5.4230453567739763E-2</v>
      </c>
      <c r="H74" s="1280">
        <v>0.51319554221824326</v>
      </c>
      <c r="I74" s="1303">
        <v>7.7894328843143706E-2</v>
      </c>
      <c r="J74" s="1288">
        <v>9.7664516209616067E-2</v>
      </c>
      <c r="K74" s="1280">
        <v>0.92422229677776391</v>
      </c>
      <c r="L74" s="1330">
        <v>0.18619232188955365</v>
      </c>
    </row>
    <row r="75" spans="1:12" s="326" customFormat="1" ht="15.5" x14ac:dyDescent="0.35">
      <c r="A75" s="328" t="s">
        <v>1039</v>
      </c>
      <c r="B75" s="1287">
        <v>0.12348927950680626</v>
      </c>
      <c r="C75" s="1288">
        <v>0.20374177214009576</v>
      </c>
      <c r="D75" s="1288">
        <v>0.20867622294248983</v>
      </c>
      <c r="E75" s="1280">
        <v>2.1011032210696663</v>
      </c>
      <c r="F75" s="1303">
        <v>5.6701778193777884E-2</v>
      </c>
      <c r="G75" s="1288">
        <v>5.4359674708060662E-2</v>
      </c>
      <c r="H75" s="1280">
        <v>0.51441839227407415</v>
      </c>
      <c r="I75" s="1303">
        <v>7.7483191393736481E-2</v>
      </c>
      <c r="J75" s="1288">
        <v>9.8019730138235894E-2</v>
      </c>
      <c r="K75" s="1280">
        <v>0.92758376976404111</v>
      </c>
      <c r="L75" s="1330">
        <v>0.18619242296043317</v>
      </c>
    </row>
    <row r="76" spans="1:12" s="326" customFormat="1" ht="15.5" x14ac:dyDescent="0.35">
      <c r="A76" s="328" t="s">
        <v>1040</v>
      </c>
      <c r="B76" s="1291">
        <v>0.12348927950680626</v>
      </c>
      <c r="C76" s="1257">
        <v>0.20374177214009576</v>
      </c>
      <c r="D76" s="1257">
        <v>0.20867622294248983</v>
      </c>
      <c r="E76" s="1280">
        <v>2.1011032210696663</v>
      </c>
      <c r="F76" s="1271">
        <v>5.6701778193777884E-2</v>
      </c>
      <c r="G76" s="1257">
        <v>5.4359674708060662E-2</v>
      </c>
      <c r="H76" s="1280">
        <v>0.51441839227407415</v>
      </c>
      <c r="I76" s="1271">
        <v>7.7483191393736481E-2</v>
      </c>
      <c r="J76" s="1257">
        <v>9.8019730138235894E-2</v>
      </c>
      <c r="K76" s="1280">
        <v>0.92758376976404111</v>
      </c>
      <c r="L76" s="1330">
        <v>0.19584119818239623</v>
      </c>
    </row>
    <row r="77" spans="1:12" s="326" customFormat="1" ht="15.5" x14ac:dyDescent="0.35">
      <c r="A77" s="328" t="s">
        <v>1041</v>
      </c>
      <c r="B77" s="1291">
        <v>0.22112695835176352</v>
      </c>
      <c r="C77" s="1257">
        <v>0.22280854453507282</v>
      </c>
      <c r="D77" s="1257">
        <v>0.24569662039084836</v>
      </c>
      <c r="E77" s="1280">
        <v>1.6519412271978691</v>
      </c>
      <c r="F77" s="1271">
        <v>5.8491682625068368E-2</v>
      </c>
      <c r="G77" s="1257">
        <v>0.10609494743880651</v>
      </c>
      <c r="H77" s="1280">
        <v>1.0040014511304705</v>
      </c>
      <c r="I77" s="1303">
        <v>6.6849678772005927E-2</v>
      </c>
      <c r="J77" s="1288">
        <v>0.15298594233590695</v>
      </c>
      <c r="K77" s="1280">
        <v>1.4477419690170019</v>
      </c>
      <c r="L77" s="1237">
        <v>0.19491314500412457</v>
      </c>
    </row>
    <row r="78" spans="1:12" s="326" customFormat="1" ht="15.5" x14ac:dyDescent="0.35">
      <c r="A78" s="328" t="s">
        <v>1042</v>
      </c>
      <c r="B78" s="1291">
        <v>0.22112695835176352</v>
      </c>
      <c r="C78" s="1257">
        <v>0.22280854453507282</v>
      </c>
      <c r="D78" s="1257">
        <v>0.24569662039084836</v>
      </c>
      <c r="E78" s="1280">
        <v>1.6519412271978691</v>
      </c>
      <c r="F78" s="1271">
        <v>5.8491682625068368E-2</v>
      </c>
      <c r="G78" s="1288">
        <v>0.10609494743880651</v>
      </c>
      <c r="H78" s="1280">
        <v>1.0040014511304705</v>
      </c>
      <c r="I78" s="1303">
        <v>6.6849678772005927E-2</v>
      </c>
      <c r="J78" s="1288">
        <v>0.15298594233590695</v>
      </c>
      <c r="K78" s="1280">
        <v>1.4477419690170019</v>
      </c>
      <c r="L78" s="1330">
        <v>0.19491314500412457</v>
      </c>
    </row>
    <row r="79" spans="1:12" s="326" customFormat="1" ht="15.5" x14ac:dyDescent="0.35">
      <c r="A79" s="328" t="s">
        <v>1043</v>
      </c>
      <c r="B79" s="1291">
        <v>0.22112695835176352</v>
      </c>
      <c r="C79" s="1257">
        <v>0.22280854453507282</v>
      </c>
      <c r="D79" s="1257">
        <v>0.24569662039084836</v>
      </c>
      <c r="E79" s="1280">
        <v>1.6519412271978691</v>
      </c>
      <c r="F79" s="1271">
        <v>5.8491682625068368E-2</v>
      </c>
      <c r="G79" s="1288">
        <v>0.10556493317538153</v>
      </c>
      <c r="H79" s="1280">
        <v>0.99898580144644133</v>
      </c>
      <c r="I79" s="1303">
        <v>6.6849678772005927E-2</v>
      </c>
      <c r="J79" s="1288">
        <v>0.16355505387401126</v>
      </c>
      <c r="K79" s="1280">
        <v>1.5477599583518562</v>
      </c>
      <c r="L79" s="1237">
        <v>0.19500944559043609</v>
      </c>
    </row>
    <row r="80" spans="1:12" s="326" customFormat="1" ht="15.5" x14ac:dyDescent="0.35">
      <c r="A80" s="328" t="s">
        <v>1044</v>
      </c>
      <c r="B80" s="1291">
        <v>0.22112695835176352</v>
      </c>
      <c r="C80" s="1257">
        <v>0.22280854453507282</v>
      </c>
      <c r="D80" s="1257">
        <v>0.24569662039084836</v>
      </c>
      <c r="E80" s="1280">
        <v>1.6519412271978691</v>
      </c>
      <c r="F80" s="1303">
        <v>5.8491682625068368E-2</v>
      </c>
      <c r="G80" s="1288">
        <v>9.8629578411646851E-2</v>
      </c>
      <c r="H80" s="1280">
        <v>0.93335490746904037</v>
      </c>
      <c r="I80" s="1303">
        <v>6.6849678772005927E-2</v>
      </c>
      <c r="J80" s="1288">
        <v>0.1611716658221668</v>
      </c>
      <c r="K80" s="1280">
        <v>1.525205396420064</v>
      </c>
      <c r="L80" s="1237">
        <v>0.19500944559043609</v>
      </c>
    </row>
    <row r="81" spans="1:12" s="326" customFormat="1" ht="15.5" x14ac:dyDescent="0.35">
      <c r="A81" s="328" t="s">
        <v>1045</v>
      </c>
      <c r="B81" s="1291">
        <v>0.22112695835176352</v>
      </c>
      <c r="C81" s="1257">
        <v>0.22280854453507282</v>
      </c>
      <c r="D81" s="1257">
        <v>0.24569662039084836</v>
      </c>
      <c r="E81" s="1280">
        <v>1.6519412271978691</v>
      </c>
      <c r="F81" s="1303">
        <v>5.4613165542413238E-2</v>
      </c>
      <c r="G81" s="1288">
        <v>9.7496354098276533E-2</v>
      </c>
      <c r="H81" s="1280">
        <v>0.92263093915060213</v>
      </c>
      <c r="I81" s="1271">
        <v>6.6825747082919593E-2</v>
      </c>
      <c r="J81" s="1288">
        <v>0.17110138501678507</v>
      </c>
      <c r="K81" s="1280">
        <v>1.6191726655632528</v>
      </c>
      <c r="L81" s="1237">
        <v>0.19500944559043609</v>
      </c>
    </row>
    <row r="82" spans="1:12" s="326" customFormat="1" ht="15.5" x14ac:dyDescent="0.35">
      <c r="A82" s="328" t="s">
        <v>1046</v>
      </c>
      <c r="B82" s="1291">
        <v>0.22112695835176352</v>
      </c>
      <c r="C82" s="1257">
        <v>0.22280854453507282</v>
      </c>
      <c r="D82" s="1257">
        <v>0.24569662039084836</v>
      </c>
      <c r="E82" s="1280">
        <v>1.6519412271978691</v>
      </c>
      <c r="F82" s="1303">
        <v>5.7712291282653698E-2</v>
      </c>
      <c r="G82" s="1288">
        <v>0.13216761646972897</v>
      </c>
      <c r="H82" s="1280">
        <v>1.250733252915744</v>
      </c>
      <c r="I82" s="1303">
        <v>6.6801815393833258E-2</v>
      </c>
      <c r="J82" s="1288">
        <v>0.16785165937472393</v>
      </c>
      <c r="K82" s="1280">
        <v>1.5884197471711008</v>
      </c>
      <c r="L82" s="1237">
        <v>0.19500944559043609</v>
      </c>
    </row>
    <row r="83" spans="1:12" s="326" customFormat="1" ht="15.5" x14ac:dyDescent="0.35">
      <c r="A83" s="328" t="s">
        <v>1047</v>
      </c>
      <c r="B83" s="1291">
        <v>0.22112695835176352</v>
      </c>
      <c r="C83" s="1257">
        <v>0.22280854453507282</v>
      </c>
      <c r="D83" s="1257">
        <v>0.24569662039084836</v>
      </c>
      <c r="E83" s="1280">
        <v>1.6519412271978691</v>
      </c>
      <c r="F83" s="1303">
        <v>5.7202379681807115E-2</v>
      </c>
      <c r="G83" s="1288">
        <v>0.12765314441099451</v>
      </c>
      <c r="H83" s="1280">
        <v>1.2080117415952201</v>
      </c>
      <c r="I83" s="1271">
        <v>6.5310321229519144E-2</v>
      </c>
      <c r="J83" s="1288">
        <v>0.14102094007669577</v>
      </c>
      <c r="K83" s="1280">
        <v>1.3345143373434369</v>
      </c>
      <c r="L83" s="1237">
        <v>0.19500944559043609</v>
      </c>
    </row>
    <row r="84" spans="1:12" s="326" customFormat="1" ht="15.5" x14ac:dyDescent="0.35">
      <c r="A84" s="328" t="s">
        <v>1048</v>
      </c>
      <c r="B84" s="1291">
        <v>0.22112695835176352</v>
      </c>
      <c r="C84" s="1257">
        <v>0.22280854453507282</v>
      </c>
      <c r="D84" s="1257">
        <v>0.24569662039084836</v>
      </c>
      <c r="E84" s="1280">
        <v>1.6519412271978691</v>
      </c>
      <c r="F84" s="1303">
        <v>5.7898965900617529E-2</v>
      </c>
      <c r="G84" s="1288">
        <v>0.1040274773137735</v>
      </c>
      <c r="H84" s="1280">
        <v>0.9844364948737242</v>
      </c>
      <c r="I84" s="1271">
        <v>6.5310321229519144E-2</v>
      </c>
      <c r="J84" s="1288">
        <v>0.1409765786121519</v>
      </c>
      <c r="K84" s="1280">
        <v>1.3340945343664667</v>
      </c>
      <c r="L84" s="1237">
        <v>0.19500944559043609</v>
      </c>
    </row>
    <row r="85" spans="1:12" s="326" customFormat="1" ht="15.5" x14ac:dyDescent="0.35">
      <c r="A85" s="328" t="s">
        <v>1049</v>
      </c>
      <c r="B85" s="1291">
        <v>0.22112695835176352</v>
      </c>
      <c r="C85" s="1257">
        <v>0.22280854453507282</v>
      </c>
      <c r="D85" s="1257">
        <v>0.24569662039084836</v>
      </c>
      <c r="E85" s="1280">
        <v>1.6519412271978691</v>
      </c>
      <c r="F85" s="1303">
        <v>5.7513388852102748E-2</v>
      </c>
      <c r="G85" s="1288">
        <v>0.1041758983188953</v>
      </c>
      <c r="H85" s="1280">
        <v>0.98584103776778131</v>
      </c>
      <c r="I85" s="1271">
        <v>6.5310321229519144E-2</v>
      </c>
      <c r="J85" s="1288">
        <v>0.14060166932125515</v>
      </c>
      <c r="K85" s="1280">
        <v>1.3305466795327603</v>
      </c>
      <c r="L85" s="1237">
        <v>0.19500944559043609</v>
      </c>
    </row>
    <row r="86" spans="1:12" s="326" customFormat="1" ht="15.5" x14ac:dyDescent="0.35">
      <c r="A86" s="328" t="s">
        <v>1050</v>
      </c>
      <c r="B86" s="1291">
        <v>0.22112695835176352</v>
      </c>
      <c r="C86" s="1257">
        <v>0.22280854453507282</v>
      </c>
      <c r="D86" s="1257">
        <v>0.24569662039084836</v>
      </c>
      <c r="E86" s="1280">
        <v>1.6519412271978691</v>
      </c>
      <c r="F86" s="1303">
        <v>5.7630084199670667E-2</v>
      </c>
      <c r="G86" s="1288">
        <v>0.10948595077265899</v>
      </c>
      <c r="H86" s="1280">
        <v>1.0360913135618537</v>
      </c>
      <c r="I86" s="1271">
        <v>6.5310321229519144E-2</v>
      </c>
      <c r="J86" s="1288">
        <v>0.14052654467150807</v>
      </c>
      <c r="K86" s="1280">
        <v>1.3298357572958157</v>
      </c>
      <c r="L86" s="1237">
        <v>0.19500944559043609</v>
      </c>
    </row>
    <row r="87" spans="1:12" s="326" customFormat="1" ht="15.5" x14ac:dyDescent="0.35">
      <c r="A87" s="328" t="s">
        <v>1051</v>
      </c>
      <c r="B87" s="1291">
        <v>0.22112695835176352</v>
      </c>
      <c r="C87" s="1257">
        <v>0.22280854453507282</v>
      </c>
      <c r="D87" s="1257">
        <v>0.24569662039084836</v>
      </c>
      <c r="E87" s="1280">
        <v>1.6519412271978691</v>
      </c>
      <c r="F87" s="1303">
        <v>5.7640898435008768E-2</v>
      </c>
      <c r="G87" s="1288">
        <v>0.10613300436521791</v>
      </c>
      <c r="H87" s="1280">
        <v>1.0043615927796725</v>
      </c>
      <c r="I87" s="1271">
        <v>6.5310321229519144E-2</v>
      </c>
      <c r="J87" s="1288">
        <v>0.14131662977233347</v>
      </c>
      <c r="K87" s="1280">
        <v>1.3373125185073027</v>
      </c>
      <c r="L87" s="1237">
        <v>0.19500944559043609</v>
      </c>
    </row>
    <row r="88" spans="1:12" s="326" customFormat="1" ht="15.5" x14ac:dyDescent="0.35">
      <c r="A88" s="328" t="s">
        <v>1052</v>
      </c>
      <c r="B88" s="1291">
        <v>0.22112695835176352</v>
      </c>
      <c r="C88" s="1257">
        <v>0.22280854453507282</v>
      </c>
      <c r="D88" s="1257">
        <v>0.24569662039084836</v>
      </c>
      <c r="E88" s="1280">
        <v>1.6519412271978691</v>
      </c>
      <c r="F88" s="1303">
        <v>5.6953774865239087E-2</v>
      </c>
      <c r="G88" s="1288">
        <v>0.1038085301270209</v>
      </c>
      <c r="H88" s="1280">
        <v>0.98236454612849933</v>
      </c>
      <c r="I88" s="1303">
        <v>6.381882706520503E-2</v>
      </c>
      <c r="J88" s="1288">
        <v>0.13964024390679969</v>
      </c>
      <c r="K88" s="1280">
        <v>1.3214484846180234</v>
      </c>
      <c r="L88" s="1237">
        <v>0.19500944559043609</v>
      </c>
    </row>
    <row r="89" spans="1:12" s="326" customFormat="1" ht="15.5" x14ac:dyDescent="0.35">
      <c r="A89" s="328" t="s">
        <v>1053</v>
      </c>
      <c r="B89" s="1291">
        <v>0.22112695835176352</v>
      </c>
      <c r="C89" s="1257">
        <v>0.22280854453507282</v>
      </c>
      <c r="D89" s="1257">
        <v>0.24569662039084836</v>
      </c>
      <c r="E89" s="1280">
        <v>1.6519412271978691</v>
      </c>
      <c r="F89" s="1303">
        <v>5.7046867398769685E-2</v>
      </c>
      <c r="G89" s="1288">
        <v>9.9645400476662579E-2</v>
      </c>
      <c r="H89" s="1280">
        <v>0.94296787068724064</v>
      </c>
      <c r="I89" s="1303">
        <v>6.134899821071698E-2</v>
      </c>
      <c r="J89" s="1288">
        <v>0.14405089576748775</v>
      </c>
      <c r="K89" s="1280">
        <v>1.3631875209761524</v>
      </c>
      <c r="L89" s="1237">
        <v>0.19500944559043609</v>
      </c>
    </row>
    <row r="90" spans="1:12" s="326" customFormat="1" ht="15.5" x14ac:dyDescent="0.35">
      <c r="A90" s="328" t="s">
        <v>1054</v>
      </c>
      <c r="B90" s="1291">
        <v>0.22112695835176352</v>
      </c>
      <c r="C90" s="1257">
        <v>0.22280854453507282</v>
      </c>
      <c r="D90" s="1257">
        <v>0.24569662039084836</v>
      </c>
      <c r="E90" s="1280">
        <v>1.6519412271978691</v>
      </c>
      <c r="F90" s="1303">
        <v>5.6203602055944712E-2</v>
      </c>
      <c r="G90" s="1288">
        <v>0.10177338889777758</v>
      </c>
      <c r="H90" s="1280">
        <v>0.96310552581940989</v>
      </c>
      <c r="I90" s="1303">
        <v>6.189282173267302E-2</v>
      </c>
      <c r="J90" s="1288">
        <v>0.1436532566829147</v>
      </c>
      <c r="K90" s="1280">
        <v>1.3594245687567004</v>
      </c>
      <c r="L90" s="1330">
        <v>0.19510574617674759</v>
      </c>
    </row>
    <row r="91" spans="1:12" s="326" customFormat="1" ht="15.5" x14ac:dyDescent="0.35">
      <c r="A91" s="328" t="s">
        <v>1055</v>
      </c>
      <c r="B91" s="1291">
        <v>0.22112695835176352</v>
      </c>
      <c r="C91" s="1257">
        <v>0.22280854453507282</v>
      </c>
      <c r="D91" s="1257">
        <v>0.24569662039084836</v>
      </c>
      <c r="E91" s="1280">
        <v>1.6519412271978691</v>
      </c>
      <c r="F91" s="1303">
        <v>5.6967162712279543E-2</v>
      </c>
      <c r="G91" s="1288">
        <v>9.9508909951257871E-2</v>
      </c>
      <c r="H91" s="1280">
        <v>0.94167622872991819</v>
      </c>
      <c r="I91" s="1303">
        <v>6.3938835970646313E-2</v>
      </c>
      <c r="J91" s="1288">
        <v>0.14208960085767691</v>
      </c>
      <c r="K91" s="1280">
        <v>1.3446273257634573</v>
      </c>
      <c r="L91" s="1330">
        <v>0.19512393983413409</v>
      </c>
    </row>
    <row r="92" spans="1:12" s="326" customFormat="1" ht="15.5" x14ac:dyDescent="0.35">
      <c r="A92" s="328" t="s">
        <v>1056</v>
      </c>
      <c r="B92" s="1291">
        <v>0.22112695835176352</v>
      </c>
      <c r="C92" s="1257">
        <v>0.22280854453507282</v>
      </c>
      <c r="D92" s="1257">
        <v>0.24569662039084836</v>
      </c>
      <c r="E92" s="1280">
        <v>1.6519412271978691</v>
      </c>
      <c r="F92" s="1303">
        <v>5.7388107739423176E-2</v>
      </c>
      <c r="G92" s="1288">
        <v>9.4031735442482681E-2</v>
      </c>
      <c r="H92" s="1280">
        <v>0.88984443760643528</v>
      </c>
      <c r="I92" s="1303">
        <v>6.3275073406567586E-2</v>
      </c>
      <c r="J92" s="1288">
        <v>0.14132400143533516</v>
      </c>
      <c r="K92" s="1280">
        <v>1.3373822782887967</v>
      </c>
      <c r="L92" s="1330">
        <v>0.19510574617674759</v>
      </c>
    </row>
    <row r="93" spans="1:12" s="326" customFormat="1" ht="15.5" x14ac:dyDescent="0.35">
      <c r="A93" s="328" t="s">
        <v>1057</v>
      </c>
      <c r="B93" s="1291">
        <v>0.22112695835176352</v>
      </c>
      <c r="C93" s="1257">
        <v>0.22280854453507282</v>
      </c>
      <c r="D93" s="1257">
        <v>0.24569662039084836</v>
      </c>
      <c r="E93" s="1280">
        <v>1.6519412271978691</v>
      </c>
      <c r="F93" s="1303">
        <v>5.7438233197021064E-2</v>
      </c>
      <c r="G93" s="1288">
        <v>9.0341591030737911E-2</v>
      </c>
      <c r="H93" s="1280">
        <v>0.85492373276882128</v>
      </c>
      <c r="I93" s="1303">
        <v>6.2985790986447229E-2</v>
      </c>
      <c r="J93" s="1288">
        <v>0.13903049094729131</v>
      </c>
      <c r="K93" s="1280">
        <v>1.3156782488909111</v>
      </c>
      <c r="L93" s="1330">
        <v>0.19011611149296645</v>
      </c>
    </row>
    <row r="94" spans="1:12" s="326" customFormat="1" ht="15.5" x14ac:dyDescent="0.35">
      <c r="A94" s="328" t="s">
        <v>1058</v>
      </c>
      <c r="B94" s="1291">
        <v>0.22112695835176352</v>
      </c>
      <c r="C94" s="1257">
        <v>0.22280854453507282</v>
      </c>
      <c r="D94" s="1257">
        <v>0.24569662039084836</v>
      </c>
      <c r="E94" s="1280">
        <v>1.6519412271978691</v>
      </c>
      <c r="F94" s="1303">
        <v>5.7195714606037236E-2</v>
      </c>
      <c r="G94" s="1288">
        <v>8.8790321420130547E-2</v>
      </c>
      <c r="H94" s="1280">
        <v>0.84024370343902954</v>
      </c>
      <c r="I94" s="1303">
        <v>6.2352799330619629E-2</v>
      </c>
      <c r="J94" s="1288">
        <v>0.13267943493352372</v>
      </c>
      <c r="K94" s="1280">
        <v>1.2555767114665073</v>
      </c>
      <c r="L94" s="1330">
        <v>0.19011611149296645</v>
      </c>
    </row>
    <row r="95" spans="1:12" s="326" customFormat="1" ht="15.5" x14ac:dyDescent="0.35">
      <c r="A95" s="328" t="s">
        <v>1059</v>
      </c>
      <c r="B95" s="1291">
        <v>0.22112695835176352</v>
      </c>
      <c r="C95" s="1257">
        <v>0.22280854453507282</v>
      </c>
      <c r="D95" s="1257">
        <v>0.24569662039084836</v>
      </c>
      <c r="E95" s="1280">
        <v>1.6519412271978691</v>
      </c>
      <c r="F95" s="1303">
        <v>5.7391165091349575E-2</v>
      </c>
      <c r="G95" s="1288">
        <v>9.0874053036732322E-2</v>
      </c>
      <c r="H95" s="1280">
        <v>0.85996254601672428</v>
      </c>
      <c r="I95" s="1303">
        <v>6.2097915018536287E-2</v>
      </c>
      <c r="J95" s="1288">
        <v>0.13166786891703777</v>
      </c>
      <c r="K95" s="1280">
        <v>1.2460040242369677</v>
      </c>
      <c r="L95" s="1330">
        <v>0.19011611149296645</v>
      </c>
    </row>
    <row r="96" spans="1:12" s="326" customFormat="1" ht="15.5" x14ac:dyDescent="0.35">
      <c r="A96" s="328" t="s">
        <v>1060</v>
      </c>
      <c r="B96" s="1291">
        <v>0.22112695835176352</v>
      </c>
      <c r="C96" s="1257">
        <v>0.22280854453507282</v>
      </c>
      <c r="D96" s="1257">
        <v>0.24569662039084836</v>
      </c>
      <c r="E96" s="1280">
        <v>1.6519412271978691</v>
      </c>
      <c r="F96" s="1303">
        <v>5.7877234353702914E-2</v>
      </c>
      <c r="G96" s="1288">
        <v>8.8812988599888967E-2</v>
      </c>
      <c r="H96" s="1280">
        <v>0.84045820829453743</v>
      </c>
      <c r="I96" s="1303">
        <v>6.2133365682944981E-2</v>
      </c>
      <c r="J96" s="1288">
        <v>0.13284170080550667</v>
      </c>
      <c r="K96" s="1280">
        <v>1.2571122715932872</v>
      </c>
      <c r="L96" s="1330">
        <v>0.19005408339604415</v>
      </c>
    </row>
    <row r="97" spans="1:12" s="326" customFormat="1" ht="15.5" x14ac:dyDescent="0.35">
      <c r="A97" s="328" t="s">
        <v>1061</v>
      </c>
      <c r="B97" s="1291">
        <v>0.22112695835176352</v>
      </c>
      <c r="C97" s="1257">
        <v>0.22280854453507282</v>
      </c>
      <c r="D97" s="1257">
        <v>0.24569662039084836</v>
      </c>
      <c r="E97" s="1280">
        <v>1.6519412271978691</v>
      </c>
      <c r="F97" s="1303">
        <v>5.7775182060125364E-2</v>
      </c>
      <c r="G97" s="1288">
        <v>8.6428795165091124E-2</v>
      </c>
      <c r="H97" s="1280">
        <v>0.81789602483435508</v>
      </c>
      <c r="I97" s="1303">
        <v>6.3105072762284956E-2</v>
      </c>
      <c r="J97" s="1288">
        <v>0.1321794688877688</v>
      </c>
      <c r="K97" s="1280">
        <v>1.2508454151364592</v>
      </c>
      <c r="L97" s="1330">
        <v>0.1838567674811766</v>
      </c>
    </row>
    <row r="98" spans="1:12" s="326" customFormat="1" ht="15.5" x14ac:dyDescent="0.35">
      <c r="A98" s="328" t="s">
        <v>1062</v>
      </c>
      <c r="B98" s="1287">
        <v>0.22112695835176352</v>
      </c>
      <c r="C98" s="1257">
        <v>0.22280854453507282</v>
      </c>
      <c r="D98" s="1257">
        <v>0.24569662039084836</v>
      </c>
      <c r="E98" s="1306">
        <v>2.1157187665008008</v>
      </c>
      <c r="F98" s="1303">
        <v>5.776222435815679E-2</v>
      </c>
      <c r="G98" s="1288">
        <v>8.3480047056212855E-2</v>
      </c>
      <c r="H98" s="1280">
        <v>0.78999132765695557</v>
      </c>
      <c r="I98" s="1303">
        <v>6.3347632432376899E-2</v>
      </c>
      <c r="J98" s="1288">
        <v>0.13301795642393813</v>
      </c>
      <c r="K98" s="1280">
        <v>1.2587802199824145</v>
      </c>
      <c r="L98" s="1330">
        <v>0.18371064584049854</v>
      </c>
    </row>
    <row r="99" spans="1:12" s="326" customFormat="1" ht="15.5" x14ac:dyDescent="0.35">
      <c r="A99" s="328" t="s">
        <v>1063</v>
      </c>
      <c r="B99" s="1291">
        <v>0.20534551584105293</v>
      </c>
      <c r="C99" s="1257">
        <v>0.22280854453507282</v>
      </c>
      <c r="D99" s="1257">
        <v>0.22816168426783659</v>
      </c>
      <c r="E99" s="1280">
        <v>1.9294814426916358</v>
      </c>
      <c r="F99" s="1303">
        <v>5.7600187548808822E-2</v>
      </c>
      <c r="G99" s="1288">
        <v>7.4456122329237054E-2</v>
      </c>
      <c r="H99" s="1280">
        <v>0.70459580468917715</v>
      </c>
      <c r="I99" s="1303">
        <v>6.3430167610955893E-2</v>
      </c>
      <c r="J99" s="1288">
        <v>0.13247176400148325</v>
      </c>
      <c r="K99" s="1280">
        <v>1.25361147257286</v>
      </c>
      <c r="L99" s="1330">
        <v>0.18299089649817821</v>
      </c>
    </row>
    <row r="100" spans="1:12" s="326" customFormat="1" ht="15.5" x14ac:dyDescent="0.35">
      <c r="A100" s="328" t="s">
        <v>1064</v>
      </c>
      <c r="B100" s="1291">
        <v>0.20534551584105293</v>
      </c>
      <c r="C100" s="1257">
        <v>0.22280854453507282</v>
      </c>
      <c r="D100" s="1288">
        <v>0.16451993143944757</v>
      </c>
      <c r="E100" s="1280">
        <v>1.9294814426916358</v>
      </c>
      <c r="F100" s="1303">
        <v>5.7319719177510407E-2</v>
      </c>
      <c r="G100" s="1288">
        <v>7.1047041411753151E-2</v>
      </c>
      <c r="H100" s="1280">
        <v>0.67233486983034052</v>
      </c>
      <c r="I100" s="1303">
        <v>6.2984153784350683E-2</v>
      </c>
      <c r="J100" s="1288">
        <v>0.13126391807440363</v>
      </c>
      <c r="K100" s="1280">
        <v>1.2421813423658636</v>
      </c>
      <c r="L100" s="1330">
        <v>0.17542414115010177</v>
      </c>
    </row>
    <row r="101" spans="1:12" s="326" customFormat="1" ht="15.5" x14ac:dyDescent="0.35">
      <c r="A101" s="328" t="s">
        <v>1065</v>
      </c>
      <c r="B101" s="1291">
        <v>0.20534551584105293</v>
      </c>
      <c r="C101" s="1257">
        <v>0.22280854453507282</v>
      </c>
      <c r="D101" s="1257">
        <v>0.18762166780525463</v>
      </c>
      <c r="E101" s="1280">
        <v>1.9294814426916358</v>
      </c>
      <c r="F101" s="1303">
        <v>5.701894070411774E-2</v>
      </c>
      <c r="G101" s="1288">
        <v>7.1934722292729125E-2</v>
      </c>
      <c r="H101" s="1280">
        <v>0.68073520287310585</v>
      </c>
      <c r="I101" s="1303">
        <v>6.3361409813637262E-2</v>
      </c>
      <c r="J101" s="1288">
        <v>0.13077639109793515</v>
      </c>
      <c r="K101" s="1280">
        <v>1.2375677598753128</v>
      </c>
      <c r="L101" s="1330">
        <v>0.17541745488608373</v>
      </c>
    </row>
    <row r="102" spans="1:12" s="326" customFormat="1" ht="15.5" x14ac:dyDescent="0.35">
      <c r="A102" s="328" t="s">
        <v>1066</v>
      </c>
      <c r="B102" s="1287">
        <v>0.18956407333034236</v>
      </c>
      <c r="C102" s="1257">
        <v>0.22280854453507282</v>
      </c>
      <c r="D102" s="1288">
        <v>0.21072340417106172</v>
      </c>
      <c r="E102" s="1280">
        <v>1.9294814426916358</v>
      </c>
      <c r="F102" s="1303">
        <v>5.7153628615947367E-2</v>
      </c>
      <c r="G102" s="1288">
        <v>7.0838364445772212E-2</v>
      </c>
      <c r="H102" s="1280">
        <v>0.67036011060080025</v>
      </c>
      <c r="I102" s="1303">
        <v>6.3377559335238295E-2</v>
      </c>
      <c r="J102" s="1288">
        <v>0.12935478104780446</v>
      </c>
      <c r="K102" s="1280">
        <v>1.2241147294744437</v>
      </c>
      <c r="L102" s="1330">
        <v>0.17584352453982799</v>
      </c>
    </row>
    <row r="103" spans="1:12" s="326" customFormat="1" ht="15.5" x14ac:dyDescent="0.35">
      <c r="A103" s="328" t="s">
        <v>1067</v>
      </c>
      <c r="B103" s="1287">
        <v>0.18145619725243337</v>
      </c>
      <c r="C103" s="1288">
        <v>0.22280854453507282</v>
      </c>
      <c r="D103" s="1288">
        <v>0.21452459765039136</v>
      </c>
      <c r="E103" s="1306">
        <v>1.7432441188824708</v>
      </c>
      <c r="F103" s="1303">
        <v>5.7312826750312636E-2</v>
      </c>
      <c r="G103" s="1288">
        <v>6.8740641366708169E-2</v>
      </c>
      <c r="H103" s="1280">
        <v>0.65050886352171622</v>
      </c>
      <c r="I103" s="1303">
        <v>6.3647310272084742E-2</v>
      </c>
      <c r="J103" s="1288">
        <v>0.12787889801989236</v>
      </c>
      <c r="K103" s="1280">
        <v>1.2101481011147166</v>
      </c>
      <c r="L103" s="1330">
        <v>0.17583134238304907</v>
      </c>
    </row>
    <row r="104" spans="1:12" s="326" customFormat="1" ht="15.5" x14ac:dyDescent="0.35">
      <c r="A104" s="328" t="s">
        <v>1068</v>
      </c>
      <c r="B104" s="1287">
        <v>0.17395369879715233</v>
      </c>
      <c r="C104" s="1288">
        <v>0.21418134759990221</v>
      </c>
      <c r="D104" s="1288">
        <v>0.13994403846322001</v>
      </c>
      <c r="E104" s="1306">
        <v>1.7478134682053257</v>
      </c>
      <c r="F104" s="1303">
        <v>5.7178402901004149E-2</v>
      </c>
      <c r="G104" s="1288">
        <v>6.5839048205021788E-2</v>
      </c>
      <c r="H104" s="1280">
        <v>0.62305040470487527</v>
      </c>
      <c r="I104" s="1303">
        <v>6.3447636069268704E-2</v>
      </c>
      <c r="J104" s="1288">
        <v>0.12845812349114111</v>
      </c>
      <c r="K104" s="1280">
        <v>1.2156294480374896</v>
      </c>
      <c r="L104" s="1330">
        <v>0.17996992790601149</v>
      </c>
    </row>
    <row r="105" spans="1:12" s="326" customFormat="1" ht="15.5" x14ac:dyDescent="0.35">
      <c r="A105" s="328" t="s">
        <v>1069</v>
      </c>
      <c r="B105" s="1287">
        <v>0.18208499470893058</v>
      </c>
      <c r="C105" s="1257">
        <v>0.22177446972724255</v>
      </c>
      <c r="D105" s="1288">
        <v>0.21460852196716568</v>
      </c>
      <c r="E105" s="1306">
        <v>1.7478134682053312</v>
      </c>
      <c r="F105" s="1303">
        <v>5.7352189404678601E-2</v>
      </c>
      <c r="G105" s="1288">
        <v>6.6159870937522208E-2</v>
      </c>
      <c r="H105" s="1280">
        <v>0.62608642571022866</v>
      </c>
      <c r="I105" s="1303">
        <v>6.3384731094118185E-2</v>
      </c>
      <c r="J105" s="1288">
        <v>0.12840993210504109</v>
      </c>
      <c r="K105" s="1280">
        <v>1.2151734016116755</v>
      </c>
      <c r="L105" s="1330">
        <v>0.18164555982351233</v>
      </c>
    </row>
    <row r="106" spans="1:12" s="326" customFormat="1" ht="15.5" x14ac:dyDescent="0.35">
      <c r="A106" s="328" t="s">
        <v>1070</v>
      </c>
      <c r="B106" s="1287">
        <v>0.19722242755078595</v>
      </c>
      <c r="C106" s="1288">
        <v>0.22936759185458289</v>
      </c>
      <c r="D106" s="1288">
        <v>0.2491530333344564</v>
      </c>
      <c r="E106" s="1306">
        <v>2.1089228742621686</v>
      </c>
      <c r="F106" s="1303">
        <v>5.7210679201116742E-2</v>
      </c>
      <c r="G106" s="1288">
        <v>7.2242969735997073E-2</v>
      </c>
      <c r="H106" s="1280">
        <v>0.68365222095756062</v>
      </c>
      <c r="I106" s="1303">
        <v>6.312037787738925E-2</v>
      </c>
      <c r="J106" s="1288">
        <v>0.1288781081977845</v>
      </c>
      <c r="K106" s="1280">
        <v>1.2196038621363872</v>
      </c>
      <c r="L106" s="1330">
        <v>0.18164500660495306</v>
      </c>
    </row>
    <row r="107" spans="1:12" s="326" customFormat="1" ht="15.5" x14ac:dyDescent="0.35">
      <c r="A107" s="328" t="s">
        <v>1071</v>
      </c>
      <c r="B107" s="1287">
        <v>0.18422634997094345</v>
      </c>
      <c r="C107" s="1288">
        <v>0.21398981136716774</v>
      </c>
      <c r="D107" s="1288">
        <v>0.25497808011957196</v>
      </c>
      <c r="E107" s="1306">
        <v>2.1141397370863322</v>
      </c>
      <c r="F107" s="1303">
        <v>5.7287767844018768E-2</v>
      </c>
      <c r="G107" s="1288">
        <v>7.1118156670886681E-2</v>
      </c>
      <c r="H107" s="1280">
        <v>0.67300785026052334</v>
      </c>
      <c r="I107" s="1303">
        <v>6.3356700124277104E-2</v>
      </c>
      <c r="J107" s="1288">
        <v>0.12902858961261227</v>
      </c>
      <c r="K107" s="1280">
        <v>1.2210279031722939</v>
      </c>
      <c r="L107" s="1330">
        <v>0.18164634513174843</v>
      </c>
    </row>
    <row r="108" spans="1:12" s="326" customFormat="1" ht="15.5" x14ac:dyDescent="0.35">
      <c r="A108" s="328" t="s">
        <v>1072</v>
      </c>
      <c r="B108" s="1287">
        <v>0.18091215045365899</v>
      </c>
      <c r="C108" s="1288">
        <v>0.18167352315598026</v>
      </c>
      <c r="D108" s="1288">
        <v>0.20945362711855867</v>
      </c>
      <c r="E108" s="1306">
        <v>1.7457448288709116</v>
      </c>
      <c r="F108" s="1303">
        <v>5.7116455835284907E-2</v>
      </c>
      <c r="G108" s="1288">
        <v>6.9615637922273876E-2</v>
      </c>
      <c r="H108" s="1280">
        <v>0.65878916180857705</v>
      </c>
      <c r="I108" s="1303">
        <v>6.3213843852879606E-2</v>
      </c>
      <c r="J108" s="1288">
        <v>0.1288811876345391</v>
      </c>
      <c r="K108" s="1280">
        <v>1.219633003570969</v>
      </c>
      <c r="L108" s="1330">
        <v>0.1801044733811667</v>
      </c>
    </row>
    <row r="109" spans="1:12" s="326" customFormat="1" ht="15.5" x14ac:dyDescent="0.35">
      <c r="A109" s="328" t="s">
        <v>1073</v>
      </c>
      <c r="B109" s="1287">
        <v>0.15301464593701156</v>
      </c>
      <c r="C109" s="1288">
        <v>0.20993835322062951</v>
      </c>
      <c r="D109" s="1288">
        <v>0.1801815143992006</v>
      </c>
      <c r="E109" s="1306">
        <v>1.7435853475481853</v>
      </c>
      <c r="F109" s="1303">
        <v>5.6879412698824343E-2</v>
      </c>
      <c r="G109" s="1288">
        <v>7.0530058827287953E-2</v>
      </c>
      <c r="H109" s="1280">
        <v>0.66744254199058528</v>
      </c>
      <c r="I109" s="1303">
        <v>6.2877885407837064E-2</v>
      </c>
      <c r="J109" s="1288">
        <v>0.12829548790339118</v>
      </c>
      <c r="K109" s="1280">
        <v>1.2140903892034149</v>
      </c>
      <c r="L109" s="1330">
        <v>0.17732686975323808</v>
      </c>
    </row>
    <row r="110" spans="1:12" s="326" customFormat="1" ht="15.5" x14ac:dyDescent="0.35">
      <c r="A110" s="328" t="s">
        <v>1074</v>
      </c>
      <c r="B110" s="1287">
        <v>0.1721728200056582</v>
      </c>
      <c r="C110" s="1288">
        <v>0.18029051132310417</v>
      </c>
      <c r="D110" s="1288">
        <v>0.22783388136844093</v>
      </c>
      <c r="E110" s="1306">
        <v>1.7432441188824659</v>
      </c>
      <c r="F110" s="1303">
        <v>4.8918189840767498E-2</v>
      </c>
      <c r="G110" s="1288">
        <v>7.0350895994721829E-2</v>
      </c>
      <c r="H110" s="1280">
        <v>0.66574708195005139</v>
      </c>
      <c r="I110" s="1303">
        <v>6.8725966820277692E-2</v>
      </c>
      <c r="J110" s="1288">
        <v>0.12717203587587067</v>
      </c>
      <c r="K110" s="1280">
        <v>1.2034588983253349</v>
      </c>
      <c r="L110" s="1330">
        <v>0.17604088337822288</v>
      </c>
    </row>
    <row r="111" spans="1:12" s="326" customFormat="1" ht="15.5" x14ac:dyDescent="0.35">
      <c r="A111" s="328" t="s">
        <v>1075</v>
      </c>
      <c r="B111" s="1287">
        <v>0.10695152819081374</v>
      </c>
      <c r="C111" s="1288">
        <v>0.26119255003519187</v>
      </c>
      <c r="D111" s="1288">
        <v>0.22175510155600575</v>
      </c>
      <c r="E111" s="1306">
        <v>2.0773922662518518</v>
      </c>
      <c r="F111" s="1303">
        <v>4.8614754896148839E-2</v>
      </c>
      <c r="G111" s="1288">
        <v>6.8020003897886344E-2</v>
      </c>
      <c r="H111" s="1280">
        <v>0.64368930159249804</v>
      </c>
      <c r="I111" s="1303">
        <v>6.8813029802216805E-2</v>
      </c>
      <c r="J111" s="1288">
        <v>0.12763778723986438</v>
      </c>
      <c r="K111" s="1280">
        <v>1.2078664130713637</v>
      </c>
      <c r="L111" s="1330">
        <v>0.17488637184005487</v>
      </c>
    </row>
    <row r="112" spans="1:12" s="326" customFormat="1" ht="15.5" x14ac:dyDescent="0.35">
      <c r="A112" s="328" t="s">
        <v>1076</v>
      </c>
      <c r="B112" s="1287">
        <v>0.11861749178395842</v>
      </c>
      <c r="C112" s="1288">
        <v>0.16687527447944903</v>
      </c>
      <c r="D112" s="1288">
        <v>0.21269245937514333</v>
      </c>
      <c r="E112" s="1280">
        <v>1.9291503612618641</v>
      </c>
      <c r="F112" s="1303">
        <v>4.8567320037254676E-2</v>
      </c>
      <c r="G112" s="1288">
        <v>7.0938721722858228E-2</v>
      </c>
      <c r="H112" s="1280">
        <v>0.67130981512734222</v>
      </c>
      <c r="I112" s="1303">
        <v>6.8502179933894861E-2</v>
      </c>
      <c r="J112" s="1288">
        <v>0.12794024089984846</v>
      </c>
      <c r="K112" s="1280">
        <v>1.21072860322136</v>
      </c>
      <c r="L112" s="1330">
        <v>0.17379474254448857</v>
      </c>
    </row>
    <row r="113" spans="1:12" s="326" customFormat="1" ht="15.5" x14ac:dyDescent="0.35">
      <c r="A113" s="328" t="s">
        <v>1077</v>
      </c>
      <c r="B113" s="1287">
        <v>0.14260310976590435</v>
      </c>
      <c r="C113" s="1288">
        <v>0.19418933085161913</v>
      </c>
      <c r="D113" s="1288">
        <v>0.33889572507652721</v>
      </c>
      <c r="E113" s="1280">
        <v>1.9291503612618641</v>
      </c>
      <c r="F113" s="1303">
        <v>5.8298528628681012E-2</v>
      </c>
      <c r="G113" s="1288">
        <v>6.7278582106023041E-2</v>
      </c>
      <c r="H113" s="1280">
        <v>0.63667305272390917</v>
      </c>
      <c r="I113" s="1303">
        <v>7.4187097538055913E-2</v>
      </c>
      <c r="J113" s="1288">
        <v>0.12835730098899659</v>
      </c>
      <c r="K113" s="1280">
        <v>1.2146753409767543</v>
      </c>
      <c r="L113" s="1330">
        <v>0.17428154104151913</v>
      </c>
    </row>
    <row r="114" spans="1:12" s="326" customFormat="1" ht="15.5" x14ac:dyDescent="0.35">
      <c r="A114" s="328" t="s">
        <v>1078</v>
      </c>
      <c r="B114" s="1287">
        <v>0.14414147003990355</v>
      </c>
      <c r="C114" s="1288">
        <v>0.21409970088336047</v>
      </c>
      <c r="D114" s="1288">
        <v>0.28576738057090062</v>
      </c>
      <c r="E114" s="1280">
        <v>1.9291503612618641</v>
      </c>
      <c r="F114" s="1303">
        <v>5.840914016926161E-2</v>
      </c>
      <c r="G114" s="1288">
        <v>6.6593620404301945E-2</v>
      </c>
      <c r="H114" s="1280">
        <v>0.63019109897306336</v>
      </c>
      <c r="I114" s="1303">
        <v>7.4689843960749E-2</v>
      </c>
      <c r="J114" s="1288">
        <v>0.11411132511352642</v>
      </c>
      <c r="K114" s="1280">
        <v>1.0798623192728567</v>
      </c>
      <c r="L114" s="1330">
        <v>0.17653939213164629</v>
      </c>
    </row>
    <row r="115" spans="1:12" s="326" customFormat="1" ht="15.5" x14ac:dyDescent="0.35">
      <c r="A115" s="328" t="s">
        <v>1079</v>
      </c>
      <c r="B115" s="1287">
        <v>0.13961373047559336</v>
      </c>
      <c r="C115" s="1288">
        <v>0.18052914875549805</v>
      </c>
      <c r="D115" s="1288">
        <v>0.23649374963527234</v>
      </c>
      <c r="E115" s="1280">
        <v>1.9291503612618641</v>
      </c>
      <c r="F115" s="1303">
        <v>5.7416461035694998E-2</v>
      </c>
      <c r="G115" s="1288">
        <v>6.1804662757626611E-2</v>
      </c>
      <c r="H115" s="1280">
        <v>0.58487206594901064</v>
      </c>
      <c r="I115" s="1303">
        <v>7.4684765931497157E-2</v>
      </c>
      <c r="J115" s="1288">
        <v>9.8079171578902141E-2</v>
      </c>
      <c r="K115" s="1280">
        <v>0.9281462781032872</v>
      </c>
      <c r="L115" s="1330">
        <v>0.1766528381080352</v>
      </c>
    </row>
    <row r="116" spans="1:12" s="326" customFormat="1" ht="15.5" x14ac:dyDescent="0.35">
      <c r="A116" s="328" t="s">
        <v>1080</v>
      </c>
      <c r="B116" s="1287">
        <v>0.11532747262193761</v>
      </c>
      <c r="C116" s="1288">
        <v>0.21446210979161628</v>
      </c>
      <c r="D116" s="1288">
        <v>0.2499274681347419</v>
      </c>
      <c r="E116" s="1280">
        <v>1.9291503612618641</v>
      </c>
      <c r="F116" s="1303">
        <v>6.2126909833199649E-2</v>
      </c>
      <c r="G116" s="1288">
        <v>5.7906738697766996E-2</v>
      </c>
      <c r="H116" s="1280">
        <v>0.54798509341195678</v>
      </c>
      <c r="I116" s="1303">
        <v>8.006825283569928E-2</v>
      </c>
      <c r="J116" s="1288">
        <v>9.6744860544298525E-2</v>
      </c>
      <c r="K116" s="1280">
        <v>0.91551937882729562</v>
      </c>
      <c r="L116" s="1330">
        <v>0.17659626522147601</v>
      </c>
    </row>
    <row r="117" spans="1:12" s="326" customFormat="1" ht="15.5" x14ac:dyDescent="0.35">
      <c r="A117" s="328" t="s">
        <v>1081</v>
      </c>
      <c r="B117" s="1287">
        <v>0.1111587670241693</v>
      </c>
      <c r="C117" s="1288">
        <v>0.17642955740507182</v>
      </c>
      <c r="D117" s="1288">
        <v>0.24735650913042503</v>
      </c>
      <c r="E117" s="1306">
        <v>1.7809084562718764</v>
      </c>
      <c r="F117" s="1303">
        <v>6.2151880284691145E-2</v>
      </c>
      <c r="G117" s="1288">
        <v>5.7050640862163424E-2</v>
      </c>
      <c r="H117" s="1280">
        <v>0.53988363815885532</v>
      </c>
      <c r="I117" s="1303">
        <v>7.9987953254502892E-2</v>
      </c>
      <c r="J117" s="1288">
        <v>9.895772334451812E-2</v>
      </c>
      <c r="K117" s="1280">
        <v>0.93646022017937358</v>
      </c>
      <c r="L117" s="1330">
        <v>0.16662655479773264</v>
      </c>
    </row>
    <row r="118" spans="1:12" s="326" customFormat="1" ht="15.5" x14ac:dyDescent="0.35">
      <c r="A118" s="328" t="s">
        <v>1082</v>
      </c>
      <c r="B118" s="1287">
        <v>0.13694170413943035</v>
      </c>
      <c r="C118" s="1288">
        <v>0.16533426124455095</v>
      </c>
      <c r="D118" s="1288">
        <v>0.2795518459891731</v>
      </c>
      <c r="E118" s="1306">
        <v>1.7564814958382144</v>
      </c>
      <c r="F118" s="1303">
        <v>5.8686646582442964E-2</v>
      </c>
      <c r="G118" s="1288">
        <v>5.713293718588091E-2</v>
      </c>
      <c r="H118" s="1280">
        <v>0.54066242763403471</v>
      </c>
      <c r="I118" s="1303">
        <v>8.0223056826841221E-2</v>
      </c>
      <c r="J118" s="1288">
        <v>9.884831122443849E-2</v>
      </c>
      <c r="K118" s="1280">
        <v>0.9354248275430318</v>
      </c>
      <c r="L118" s="1330">
        <v>0.16609921240477202</v>
      </c>
    </row>
    <row r="119" spans="1:12" s="326" customFormat="1" ht="15.5" x14ac:dyDescent="0.35">
      <c r="A119" s="328" t="s">
        <v>1083</v>
      </c>
      <c r="B119" s="1287">
        <v>0.1324708080363792</v>
      </c>
      <c r="C119" s="1288">
        <v>0.17452858023229947</v>
      </c>
      <c r="D119" s="1288">
        <v>0.26335604773352966</v>
      </c>
      <c r="E119" s="1306">
        <v>2.0947755572441107</v>
      </c>
      <c r="F119" s="1303">
        <v>6.2740708917612034E-2</v>
      </c>
      <c r="G119" s="1288">
        <v>5.6312507799046028E-2</v>
      </c>
      <c r="H119" s="1280">
        <v>0.53289851130420762</v>
      </c>
      <c r="I119" s="1303">
        <v>7.9973111791120058E-2</v>
      </c>
      <c r="J119" s="1288">
        <v>9.8863245771110386E-2</v>
      </c>
      <c r="K119" s="1280">
        <v>0.935566156672199</v>
      </c>
      <c r="L119" s="1330">
        <v>0.15634005834623779</v>
      </c>
    </row>
    <row r="120" spans="1:12" s="326" customFormat="1" ht="15.5" x14ac:dyDescent="0.35">
      <c r="A120" s="328" t="s">
        <v>1084</v>
      </c>
      <c r="B120" s="1287">
        <v>0.12590584277267777</v>
      </c>
      <c r="C120" s="1288">
        <v>0.12331589916991248</v>
      </c>
      <c r="D120" s="1288">
        <v>0.31527691765103766</v>
      </c>
      <c r="E120" s="1306">
        <v>2.0911891492944878</v>
      </c>
      <c r="F120" s="1303">
        <v>5.8383433944772516E-2</v>
      </c>
      <c r="G120" s="1288">
        <v>5.4329828957692443E-2</v>
      </c>
      <c r="H120" s="1280">
        <v>0.51413595491580999</v>
      </c>
      <c r="I120" s="1303">
        <v>7.8006961336861358E-2</v>
      </c>
      <c r="J120" s="1288">
        <v>9.8945922022145499E-2</v>
      </c>
      <c r="K120" s="1280">
        <v>0.93634854148897984</v>
      </c>
      <c r="L120" s="1330">
        <v>0.18604911834624843</v>
      </c>
    </row>
    <row r="121" spans="1:12" s="326" customFormat="1" ht="15.5" x14ac:dyDescent="0.35">
      <c r="A121" s="328" t="s">
        <v>1085</v>
      </c>
      <c r="B121" s="1287">
        <v>0.13020436774977265</v>
      </c>
      <c r="C121" s="1288">
        <v>0.16096025863244093</v>
      </c>
      <c r="D121" s="1288">
        <v>0.26841204139915059</v>
      </c>
      <c r="E121" s="1306">
        <v>2.0039736626934319</v>
      </c>
      <c r="F121" s="1303">
        <v>5.7083239834801638E-2</v>
      </c>
      <c r="G121" s="1288">
        <v>5.4761215400477126E-2</v>
      </c>
      <c r="H121" s="1280">
        <v>0.51821826632657397</v>
      </c>
      <c r="I121" s="1303">
        <v>7.728502848177804E-2</v>
      </c>
      <c r="J121" s="1288">
        <v>9.792945605550786E-2</v>
      </c>
      <c r="K121" s="1280">
        <v>0.92672948487822504</v>
      </c>
      <c r="L121" s="1330">
        <v>0.18604865739618084</v>
      </c>
    </row>
    <row r="122" spans="1:12" s="326" customFormat="1" ht="15.5" x14ac:dyDescent="0.35">
      <c r="A122" s="328" t="s">
        <v>1086</v>
      </c>
      <c r="B122" s="1287">
        <v>9.999756284476119E-2</v>
      </c>
      <c r="C122" s="1288">
        <v>0.18693225473407604</v>
      </c>
      <c r="D122" s="1288">
        <v>0.22351307533958986</v>
      </c>
      <c r="E122" s="1306">
        <v>1.7974361330137367</v>
      </c>
      <c r="F122" s="1303">
        <v>5.9419089587340518E-2</v>
      </c>
      <c r="G122" s="1288">
        <v>5.4803600593912982E-2</v>
      </c>
      <c r="H122" s="1280">
        <v>0.51861936738504411</v>
      </c>
      <c r="I122" s="1303">
        <v>7.4716667497324959E-2</v>
      </c>
      <c r="J122" s="1288">
        <v>9.408267302139485E-2</v>
      </c>
      <c r="K122" s="1280">
        <v>0.89032647190099401</v>
      </c>
      <c r="L122" s="1330">
        <v>0.18604871652204238</v>
      </c>
    </row>
    <row r="123" spans="1:12" s="326" customFormat="1" ht="15.5" x14ac:dyDescent="0.35">
      <c r="A123" s="328" t="s">
        <v>1087</v>
      </c>
      <c r="B123" s="1291">
        <v>9.999756284476119E-2</v>
      </c>
      <c r="C123" s="1257">
        <v>0.18693225473407604</v>
      </c>
      <c r="D123" s="1257">
        <v>0.22351307533958986</v>
      </c>
      <c r="E123" s="1280">
        <v>1.7974361330137367</v>
      </c>
      <c r="F123" s="1271">
        <v>5.9419089587340518E-2</v>
      </c>
      <c r="G123" s="1257">
        <v>5.4803600593912982E-2</v>
      </c>
      <c r="H123" s="1280">
        <v>0.51861936738504411</v>
      </c>
      <c r="I123" s="1271">
        <v>7.4716667497324959E-2</v>
      </c>
      <c r="J123" s="1257">
        <v>9.408267302139485E-2</v>
      </c>
      <c r="K123" s="1280">
        <v>0.89032647190099401</v>
      </c>
      <c r="L123" s="1330">
        <v>0.20011032341560211</v>
      </c>
    </row>
    <row r="124" spans="1:12" s="326" customFormat="1" ht="15.5" x14ac:dyDescent="0.35">
      <c r="A124" s="328" t="s">
        <v>1088</v>
      </c>
      <c r="B124" s="1291">
        <v>0.22133593976923621</v>
      </c>
      <c r="C124" s="1257">
        <v>0.22326593501949368</v>
      </c>
      <c r="D124" s="1257">
        <v>0.245928821965818</v>
      </c>
      <c r="E124" s="1280">
        <v>1.6535024344871776</v>
      </c>
      <c r="F124" s="1271">
        <v>5.765678897559022E-2</v>
      </c>
      <c r="G124" s="1257">
        <v>0.10641280405614242</v>
      </c>
      <c r="H124" s="1280">
        <v>1.0070094030901127</v>
      </c>
      <c r="I124" s="1271">
        <v>6.7150672792269286E-2</v>
      </c>
      <c r="J124" s="1257">
        <v>0.15726818485989841</v>
      </c>
      <c r="K124" s="1280">
        <v>1.4882658376080093</v>
      </c>
      <c r="L124" s="1237">
        <v>0.19598170001346799</v>
      </c>
    </row>
    <row r="125" spans="1:12" s="326" customFormat="1" ht="15.5" x14ac:dyDescent="0.35">
      <c r="A125" s="328" t="s">
        <v>1089</v>
      </c>
      <c r="B125" s="1291">
        <v>0.22133593976923621</v>
      </c>
      <c r="C125" s="1257">
        <v>0.22326593501949368</v>
      </c>
      <c r="D125" s="1257">
        <v>0.245928821965818</v>
      </c>
      <c r="E125" s="1280">
        <v>1.6535024344871776</v>
      </c>
      <c r="F125" s="1271">
        <v>5.765678897559022E-2</v>
      </c>
      <c r="G125" s="1257">
        <v>0.10641280405614242</v>
      </c>
      <c r="H125" s="1280">
        <v>1.0070094030901127</v>
      </c>
      <c r="I125" s="1271">
        <v>6.7150672792269286E-2</v>
      </c>
      <c r="J125" s="1257">
        <v>0.15726818485989841</v>
      </c>
      <c r="K125" s="1280">
        <v>1.4882658376080093</v>
      </c>
      <c r="L125" s="1237">
        <v>0.19598170001346799</v>
      </c>
    </row>
    <row r="126" spans="1:12" s="326" customFormat="1" ht="15.5" x14ac:dyDescent="0.35">
      <c r="A126" s="328" t="s">
        <v>1090</v>
      </c>
      <c r="B126" s="1291">
        <v>0.22133593976923621</v>
      </c>
      <c r="C126" s="1257">
        <v>0.22326593501949368</v>
      </c>
      <c r="D126" s="1257">
        <v>0.245928821965818</v>
      </c>
      <c r="E126" s="1280">
        <v>1.6535024344871776</v>
      </c>
      <c r="F126" s="1303">
        <v>5.765678897559022E-2</v>
      </c>
      <c r="G126" s="1288">
        <v>0.10641280405614242</v>
      </c>
      <c r="H126" s="1280">
        <v>1.0070094030901127</v>
      </c>
      <c r="I126" s="1303">
        <v>6.7150672792269286E-2</v>
      </c>
      <c r="J126" s="1288">
        <v>0.15726818485989841</v>
      </c>
      <c r="K126" s="1280">
        <v>1.4882658376080093</v>
      </c>
      <c r="L126" s="1237">
        <v>0.19598170001346799</v>
      </c>
    </row>
    <row r="127" spans="1:12" s="326" customFormat="1" ht="15.5" x14ac:dyDescent="0.35">
      <c r="A127" s="328" t="s">
        <v>1091</v>
      </c>
      <c r="B127" s="1291">
        <v>0.22133593976923621</v>
      </c>
      <c r="C127" s="1257">
        <v>0.22326593501949368</v>
      </c>
      <c r="D127" s="1257">
        <v>0.245928821965818</v>
      </c>
      <c r="E127" s="1280">
        <v>1.6535024344871776</v>
      </c>
      <c r="F127" s="1303">
        <v>5.7725520565941463E-2</v>
      </c>
      <c r="G127" s="1288">
        <v>9.8953349136183658E-2</v>
      </c>
      <c r="H127" s="1280">
        <v>0.93641882601667903</v>
      </c>
      <c r="I127" s="1303">
        <v>6.0204483062023292E-2</v>
      </c>
      <c r="J127" s="1288">
        <v>0.16125599950678213</v>
      </c>
      <c r="K127" s="1280">
        <v>1.5260034659207984</v>
      </c>
      <c r="L127" s="1237">
        <v>0.19598170001346799</v>
      </c>
    </row>
    <row r="128" spans="1:12" s="326" customFormat="1" ht="15.5" x14ac:dyDescent="0.35">
      <c r="A128" s="328" t="s">
        <v>1092</v>
      </c>
      <c r="B128" s="1291">
        <v>0.22133593976923621</v>
      </c>
      <c r="C128" s="1257">
        <v>0.22326593501949368</v>
      </c>
      <c r="D128" s="1257">
        <v>0.245928821965818</v>
      </c>
      <c r="E128" s="1280">
        <v>1.6535024344871776</v>
      </c>
      <c r="F128" s="1303">
        <v>5.6833839518194651E-2</v>
      </c>
      <c r="G128" s="1288">
        <v>9.8296395011587503E-2</v>
      </c>
      <c r="H128" s="1280">
        <v>0.93020191455818468</v>
      </c>
      <c r="I128" s="1303">
        <v>6.3670395825829978E-2</v>
      </c>
      <c r="J128" s="1288">
        <v>0.16321264851642409</v>
      </c>
      <c r="K128" s="1280">
        <v>1.5445196958870426</v>
      </c>
      <c r="L128" s="1237">
        <v>0.19598170001346799</v>
      </c>
    </row>
    <row r="129" spans="1:12" s="326" customFormat="1" ht="15.5" x14ac:dyDescent="0.35">
      <c r="A129" s="328" t="s">
        <v>1093</v>
      </c>
      <c r="B129" s="1291">
        <v>0.22133593976923621</v>
      </c>
      <c r="C129" s="1257">
        <v>0.22326593501949368</v>
      </c>
      <c r="D129" s="1257">
        <v>0.245928821965818</v>
      </c>
      <c r="E129" s="1280">
        <v>1.6535024344871776</v>
      </c>
      <c r="F129" s="1303">
        <v>5.7221081219590242E-2</v>
      </c>
      <c r="G129" s="1288">
        <v>0.13270308491656124</v>
      </c>
      <c r="H129" s="1280">
        <v>1.2558005168206936</v>
      </c>
      <c r="I129" s="1303">
        <v>6.6873547084834048E-2</v>
      </c>
      <c r="J129" s="1288">
        <v>0.16499708494789531</v>
      </c>
      <c r="K129" s="1280">
        <v>1.5614062377054503</v>
      </c>
      <c r="L129" s="1237">
        <v>0.19598170001346799</v>
      </c>
    </row>
    <row r="130" spans="1:12" s="326" customFormat="1" ht="15.5" x14ac:dyDescent="0.35">
      <c r="A130" s="328" t="s">
        <v>1094</v>
      </c>
      <c r="B130" s="1291">
        <v>0.22133593976923621</v>
      </c>
      <c r="C130" s="1257">
        <v>0.22326593501949368</v>
      </c>
      <c r="D130" s="1257">
        <v>0.245928821965818</v>
      </c>
      <c r="E130" s="1280">
        <v>1.6535024344871776</v>
      </c>
      <c r="F130" s="1303">
        <v>5.8048226189706204E-2</v>
      </c>
      <c r="G130" s="1288">
        <v>0.12816433239569153</v>
      </c>
      <c r="H130" s="1280">
        <v>1.2128492337739338</v>
      </c>
      <c r="I130" s="1303">
        <v>6.1813414190991262E-2</v>
      </c>
      <c r="J130" s="1288">
        <v>0.14290741353355815</v>
      </c>
      <c r="K130" s="1280">
        <v>1.3523664795418335</v>
      </c>
      <c r="L130" s="1330">
        <v>0.19598170001346799</v>
      </c>
    </row>
    <row r="131" spans="1:12" s="326" customFormat="1" ht="15.5" x14ac:dyDescent="0.35">
      <c r="A131" s="328" t="s">
        <v>1095</v>
      </c>
      <c r="B131" s="1291">
        <v>0.22133593976923621</v>
      </c>
      <c r="C131" s="1257">
        <v>0.22326593501949368</v>
      </c>
      <c r="D131" s="1257">
        <v>0.245928821965818</v>
      </c>
      <c r="E131" s="1280">
        <v>1.6535024344871776</v>
      </c>
      <c r="F131" s="1303">
        <v>5.7407088830631815E-2</v>
      </c>
      <c r="G131" s="1288">
        <v>0.10444377243628525</v>
      </c>
      <c r="H131" s="1280">
        <v>0.98837599356984629</v>
      </c>
      <c r="I131" s="1303">
        <v>6.3148767980107379E-2</v>
      </c>
      <c r="J131" s="1288">
        <v>0.14216627916876487</v>
      </c>
      <c r="K131" s="1280">
        <v>1.3453529506632382</v>
      </c>
      <c r="L131" s="1330">
        <v>0.19598170001346799</v>
      </c>
    </row>
    <row r="132" spans="1:12" s="326" customFormat="1" ht="15.5" x14ac:dyDescent="0.35">
      <c r="A132" s="328" t="s">
        <v>1096</v>
      </c>
      <c r="B132" s="1291">
        <v>0.22133593976923621</v>
      </c>
      <c r="C132" s="1257">
        <v>0.22326593501949368</v>
      </c>
      <c r="D132" s="1257">
        <v>0.245928821965818</v>
      </c>
      <c r="E132" s="1280">
        <v>1.6535024344871776</v>
      </c>
      <c r="F132" s="1303">
        <v>5.7848466384799235E-2</v>
      </c>
      <c r="G132" s="1288">
        <v>0.10463297191342462</v>
      </c>
      <c r="H132" s="1280">
        <v>0.9901664327395403</v>
      </c>
      <c r="I132" s="1303">
        <v>6.7014414025634045E-2</v>
      </c>
      <c r="J132" s="1288">
        <v>0.14114126934230842</v>
      </c>
      <c r="K132" s="1280">
        <v>1.3356530414966981</v>
      </c>
      <c r="L132" s="1237">
        <v>0.19598170001346782</v>
      </c>
    </row>
    <row r="133" spans="1:12" s="326" customFormat="1" ht="15.5" x14ac:dyDescent="0.35">
      <c r="A133" s="328" t="s">
        <v>1097</v>
      </c>
      <c r="B133" s="1291">
        <v>0.22133593976923621</v>
      </c>
      <c r="C133" s="1257">
        <v>0.22326593501949368</v>
      </c>
      <c r="D133" s="1257">
        <v>0.245928821965818</v>
      </c>
      <c r="E133" s="1280">
        <v>1.6535024344871776</v>
      </c>
      <c r="F133" s="1303">
        <v>5.7891368688378686E-2</v>
      </c>
      <c r="G133" s="1288">
        <v>0.11030227482624677</v>
      </c>
      <c r="H133" s="1280">
        <v>1.0438163801572029</v>
      </c>
      <c r="I133" s="1303">
        <v>5.9404599345740994E-2</v>
      </c>
      <c r="J133" s="1288">
        <v>0.13842431729637422</v>
      </c>
      <c r="K133" s="1280">
        <v>1.3099418850031885</v>
      </c>
      <c r="L133" s="1330">
        <v>0.19598170001346768</v>
      </c>
    </row>
    <row r="134" spans="1:12" s="326" customFormat="1" ht="15.5" x14ac:dyDescent="0.35">
      <c r="A134" s="328" t="s">
        <v>1098</v>
      </c>
      <c r="B134" s="1291">
        <v>0.22133593976923621</v>
      </c>
      <c r="C134" s="1257">
        <v>0.22326593501949368</v>
      </c>
      <c r="D134" s="1257">
        <v>0.245928821965818</v>
      </c>
      <c r="E134" s="1280">
        <v>1.6535024344871776</v>
      </c>
      <c r="F134" s="1303">
        <v>5.6953721794526048E-2</v>
      </c>
      <c r="G134" s="1288">
        <v>0.10681278056315334</v>
      </c>
      <c r="H134" s="1280">
        <v>1.0107944748880759</v>
      </c>
      <c r="I134" s="1271">
        <v>6.1199335864587694E-2</v>
      </c>
      <c r="J134" s="1288">
        <v>0.14225692107012389</v>
      </c>
      <c r="K134" s="1280">
        <v>1.3462107163033048</v>
      </c>
      <c r="L134" s="1330">
        <v>0.19598170001346768</v>
      </c>
    </row>
    <row r="135" spans="1:12" s="326" customFormat="1" ht="15.5" x14ac:dyDescent="0.35">
      <c r="A135" s="328" t="s">
        <v>1099</v>
      </c>
      <c r="B135" s="1291">
        <v>0.22133593976923621</v>
      </c>
      <c r="C135" s="1257">
        <v>0.22326593501949368</v>
      </c>
      <c r="D135" s="1257">
        <v>0.245928821965818</v>
      </c>
      <c r="E135" s="1280">
        <v>1.6535024344871776</v>
      </c>
      <c r="F135" s="1303">
        <v>5.6916068973050515E-2</v>
      </c>
      <c r="G135" s="1288">
        <v>0.10421158676522889</v>
      </c>
      <c r="H135" s="1280">
        <v>0.98617876593271758</v>
      </c>
      <c r="I135" s="1303">
        <v>6.2994072383434394E-2</v>
      </c>
      <c r="J135" s="1288">
        <v>0.14002648241610163</v>
      </c>
      <c r="K135" s="1280">
        <v>1.3251035505111968</v>
      </c>
      <c r="L135" s="1237">
        <v>0.19598170001346768</v>
      </c>
    </row>
    <row r="136" spans="1:12" s="326" customFormat="1" ht="15.5" x14ac:dyDescent="0.35">
      <c r="A136" s="328" t="s">
        <v>1100</v>
      </c>
      <c r="B136" s="1291">
        <v>0.22133593976923621</v>
      </c>
      <c r="C136" s="1257">
        <v>0.22326593501949368</v>
      </c>
      <c r="D136" s="1257">
        <v>0.245928821965818</v>
      </c>
      <c r="E136" s="1280">
        <v>1.6535024344871776</v>
      </c>
      <c r="F136" s="1303">
        <v>5.7131184290469886E-2</v>
      </c>
      <c r="G136" s="1288">
        <v>0.10022679825005866</v>
      </c>
      <c r="H136" s="1280">
        <v>0.94846977461636395</v>
      </c>
      <c r="I136" s="1303">
        <v>6.1806607774314876E-2</v>
      </c>
      <c r="J136" s="1288">
        <v>0.14466396894948219</v>
      </c>
      <c r="K136" s="1280">
        <v>1.3689891767498794</v>
      </c>
      <c r="L136" s="1330">
        <v>0.19598170001346768</v>
      </c>
    </row>
    <row r="137" spans="1:12" s="326" customFormat="1" ht="15.5" x14ac:dyDescent="0.35">
      <c r="A137" s="328" t="s">
        <v>1101</v>
      </c>
      <c r="B137" s="1291">
        <v>0.22133593976923621</v>
      </c>
      <c r="C137" s="1257">
        <v>0.22326593501949368</v>
      </c>
      <c r="D137" s="1257">
        <v>0.245928821965818</v>
      </c>
      <c r="E137" s="1280">
        <v>1.6535024344871776</v>
      </c>
      <c r="F137" s="1303">
        <v>5.620866082532705E-2</v>
      </c>
      <c r="G137" s="1288">
        <v>0.10247241417570767</v>
      </c>
      <c r="H137" s="1280">
        <v>0.96972056650099825</v>
      </c>
      <c r="I137" s="1303">
        <v>6.1806612189484418E-2</v>
      </c>
      <c r="J137" s="1288">
        <v>0.14430094338881683</v>
      </c>
      <c r="K137" s="1280">
        <v>1.3655537804515239</v>
      </c>
      <c r="L137" s="1330">
        <v>0.19598170001346768</v>
      </c>
    </row>
    <row r="138" spans="1:12" s="326" customFormat="1" ht="15.5" x14ac:dyDescent="0.35">
      <c r="A138" s="328" t="s">
        <v>1102</v>
      </c>
      <c r="B138" s="1291">
        <v>0.22133593976923621</v>
      </c>
      <c r="C138" s="1257">
        <v>0.22326593501949368</v>
      </c>
      <c r="D138" s="1257">
        <v>0.245928821965818</v>
      </c>
      <c r="E138" s="1280">
        <v>1.6535024344871776</v>
      </c>
      <c r="F138" s="1303">
        <v>5.6909881771976291E-2</v>
      </c>
      <c r="G138" s="1288">
        <v>0.10022827137012186</v>
      </c>
      <c r="H138" s="1280">
        <v>0.94848371509813845</v>
      </c>
      <c r="I138" s="1303">
        <v>6.433938713201455E-2</v>
      </c>
      <c r="J138" s="1288">
        <v>0.1423454673369679</v>
      </c>
      <c r="K138" s="1280">
        <v>1.3470486504608654</v>
      </c>
      <c r="L138" s="1330">
        <v>0.19598170001346799</v>
      </c>
    </row>
    <row r="139" spans="1:12" s="326" customFormat="1" ht="15.5" x14ac:dyDescent="0.35">
      <c r="A139" s="328" t="s">
        <v>1103</v>
      </c>
      <c r="B139" s="1291">
        <v>0.22133593976923621</v>
      </c>
      <c r="C139" s="1257">
        <v>0.22326593501949368</v>
      </c>
      <c r="D139" s="1257">
        <v>0.245928821965818</v>
      </c>
      <c r="E139" s="1280">
        <v>1.6535024344871776</v>
      </c>
      <c r="F139" s="1303">
        <v>5.7410876469665618E-2</v>
      </c>
      <c r="G139" s="1288">
        <v>9.4226883898702873E-2</v>
      </c>
      <c r="H139" s="1280">
        <v>0.89169117336493076</v>
      </c>
      <c r="I139" s="1303">
        <v>6.3237869417621842E-2</v>
      </c>
      <c r="J139" s="1288">
        <v>0.14112568251458055</v>
      </c>
      <c r="K139" s="1280">
        <v>1.3355055396784203</v>
      </c>
      <c r="L139" s="1330">
        <v>0.19598170001346799</v>
      </c>
    </row>
    <row r="140" spans="1:12" s="326" customFormat="1" ht="15.5" x14ac:dyDescent="0.35">
      <c r="A140" s="328" t="s">
        <v>1104</v>
      </c>
      <c r="B140" s="1291">
        <v>0.22133593976923621</v>
      </c>
      <c r="C140" s="1257">
        <v>0.22326593501949368</v>
      </c>
      <c r="D140" s="1257">
        <v>0.245928821965818</v>
      </c>
      <c r="E140" s="1280">
        <v>1.6535024344871776</v>
      </c>
      <c r="F140" s="1303">
        <v>5.7514563369230769E-2</v>
      </c>
      <c r="G140" s="1288">
        <v>9.1003510248717251E-2</v>
      </c>
      <c r="H140" s="1280">
        <v>0.86118763007425803</v>
      </c>
      <c r="I140" s="1303">
        <v>6.3112362283241935E-2</v>
      </c>
      <c r="J140" s="1288">
        <v>0.13927518131995612</v>
      </c>
      <c r="K140" s="1280">
        <v>1.3179938114616434</v>
      </c>
      <c r="L140" s="1330">
        <v>0.19112493202729158</v>
      </c>
    </row>
    <row r="141" spans="1:12" s="326" customFormat="1" ht="15.5" x14ac:dyDescent="0.35">
      <c r="A141" s="328" t="s">
        <v>1105</v>
      </c>
      <c r="B141" s="1291">
        <v>0.22133593976923621</v>
      </c>
      <c r="C141" s="1257">
        <v>0.22326593501949368</v>
      </c>
      <c r="D141" s="1257">
        <v>0.245928821965818</v>
      </c>
      <c r="E141" s="1280">
        <v>1.6535024344871776</v>
      </c>
      <c r="F141" s="1303">
        <v>5.7221605509905356E-2</v>
      </c>
      <c r="G141" s="1288">
        <v>8.9496074745996537E-2</v>
      </c>
      <c r="H141" s="1280">
        <v>0.84692241322130546</v>
      </c>
      <c r="I141" s="1303">
        <v>6.2450304978047697E-2</v>
      </c>
      <c r="J141" s="1288">
        <v>0.13280866144346135</v>
      </c>
      <c r="K141" s="1280">
        <v>1.256799612336285</v>
      </c>
      <c r="L141" s="1330">
        <v>0.19112493202729144</v>
      </c>
    </row>
    <row r="142" spans="1:12" s="326" customFormat="1" ht="15.5" x14ac:dyDescent="0.35">
      <c r="A142" s="328" t="s">
        <v>1106</v>
      </c>
      <c r="B142" s="1291">
        <v>0.22133593976923621</v>
      </c>
      <c r="C142" s="1257">
        <v>0.22326593501949368</v>
      </c>
      <c r="D142" s="1257">
        <v>0.245928821965818</v>
      </c>
      <c r="E142" s="1280">
        <v>1.6535024344871776</v>
      </c>
      <c r="F142" s="1303">
        <v>5.7403479885224609E-2</v>
      </c>
      <c r="G142" s="1288">
        <v>9.1362091912747467E-2</v>
      </c>
      <c r="H142" s="1280">
        <v>0.86458097273313228</v>
      </c>
      <c r="I142" s="1303">
        <v>6.2188245650271132E-2</v>
      </c>
      <c r="J142" s="1288">
        <v>0.13189162399167781</v>
      </c>
      <c r="K142" s="1280">
        <v>1.2481214711565392</v>
      </c>
      <c r="L142" s="1330">
        <v>0.19112493202729158</v>
      </c>
    </row>
    <row r="143" spans="1:12" s="326" customFormat="1" ht="15.5" x14ac:dyDescent="0.35">
      <c r="A143" s="328" t="s">
        <v>1107</v>
      </c>
      <c r="B143" s="1291">
        <v>0.22133593976923621</v>
      </c>
      <c r="C143" s="1257">
        <v>0.22326593501949368</v>
      </c>
      <c r="D143" s="1257">
        <v>0.245928821965818</v>
      </c>
      <c r="E143" s="1280">
        <v>1.6535024344871776</v>
      </c>
      <c r="F143" s="1303">
        <v>5.7824456463844952E-2</v>
      </c>
      <c r="G143" s="1288">
        <v>8.9451119917945479E-2</v>
      </c>
      <c r="H143" s="1280">
        <v>0.84649699510585175</v>
      </c>
      <c r="I143" s="1303">
        <v>6.2132901795477535E-2</v>
      </c>
      <c r="J143" s="1288">
        <v>0.13283126089054526</v>
      </c>
      <c r="K143" s="1280">
        <v>1.2570134762215568</v>
      </c>
      <c r="L143" s="1330">
        <v>0.19112493202729264</v>
      </c>
    </row>
    <row r="144" spans="1:12" s="326" customFormat="1" ht="15.5" x14ac:dyDescent="0.35">
      <c r="A144" s="328" t="s">
        <v>1108</v>
      </c>
      <c r="B144" s="1291">
        <v>0.22133593976923621</v>
      </c>
      <c r="C144" s="1257">
        <v>0.22326593501949368</v>
      </c>
      <c r="D144" s="1257">
        <v>0.245928821965818</v>
      </c>
      <c r="E144" s="1280">
        <v>1.6535024344871776</v>
      </c>
      <c r="F144" s="1303">
        <v>5.7721435408898673E-2</v>
      </c>
      <c r="G144" s="1288">
        <v>8.7216670326952975E-2</v>
      </c>
      <c r="H144" s="1280">
        <v>0.82535187287344469</v>
      </c>
      <c r="I144" s="1303">
        <v>6.3208174782191331E-2</v>
      </c>
      <c r="J144" s="1288">
        <v>0.13212573620773957</v>
      </c>
      <c r="K144" s="1280">
        <v>1.250336930142359</v>
      </c>
      <c r="L144" s="1330">
        <v>0.18482310921970199</v>
      </c>
    </row>
    <row r="145" spans="1:12" s="326" customFormat="1" ht="15.5" x14ac:dyDescent="0.35">
      <c r="A145" s="328" t="s">
        <v>1109</v>
      </c>
      <c r="B145" s="1287">
        <v>0.22133593976923621</v>
      </c>
      <c r="C145" s="1257">
        <v>0.22326593501949368</v>
      </c>
      <c r="D145" s="1257">
        <v>0.245928821965818</v>
      </c>
      <c r="E145" s="1280">
        <v>1.6535024344871776</v>
      </c>
      <c r="F145" s="1303">
        <v>5.7719465277613922E-2</v>
      </c>
      <c r="G145" s="1288">
        <v>8.4221226119572806E-2</v>
      </c>
      <c r="H145" s="1280">
        <v>0.79700527952860434</v>
      </c>
      <c r="I145" s="1303">
        <v>6.3504352277479248E-2</v>
      </c>
      <c r="J145" s="1288">
        <v>0.13328824323791033</v>
      </c>
      <c r="K145" s="1280">
        <v>1.2613380076999308</v>
      </c>
      <c r="L145" s="1330">
        <v>0.18482310921970158</v>
      </c>
    </row>
    <row r="146" spans="1:12" s="326" customFormat="1" ht="15.5" x14ac:dyDescent="0.35">
      <c r="A146" s="328" t="s">
        <v>1110</v>
      </c>
      <c r="B146" s="1291">
        <v>0.20172184563442758</v>
      </c>
      <c r="C146" s="1257">
        <v>0.22326593501949368</v>
      </c>
      <c r="D146" s="1257">
        <v>0.22413538403825287</v>
      </c>
      <c r="E146" s="1280">
        <v>1.5069742545811931</v>
      </c>
      <c r="F146" s="1303">
        <v>5.7561129534423466E-2</v>
      </c>
      <c r="G146" s="1288">
        <v>7.5272797930849733E-2</v>
      </c>
      <c r="H146" s="1280">
        <v>0.71232419806620306</v>
      </c>
      <c r="I146" s="1303">
        <v>6.3478893501588654E-2</v>
      </c>
      <c r="J146" s="1288">
        <v>0.13235262082547775</v>
      </c>
      <c r="K146" s="1280">
        <v>1.2524839926646314</v>
      </c>
      <c r="L146" s="1330">
        <v>0.18419584894062224</v>
      </c>
    </row>
    <row r="147" spans="1:12" s="326" customFormat="1" ht="15.5" x14ac:dyDescent="0.35">
      <c r="A147" s="328" t="s">
        <v>1111</v>
      </c>
      <c r="B147" s="1291">
        <v>0.20172184563442758</v>
      </c>
      <c r="C147" s="1257">
        <v>0.22326593501949368</v>
      </c>
      <c r="D147" s="1288">
        <v>0.15361585760002797</v>
      </c>
      <c r="E147" s="1280">
        <v>1.5069742545811931</v>
      </c>
      <c r="F147" s="1303">
        <v>5.7389669677794589E-2</v>
      </c>
      <c r="G147" s="1288">
        <v>7.163398110250592E-2</v>
      </c>
      <c r="H147" s="1280">
        <v>0.67788921822739057</v>
      </c>
      <c r="I147" s="1303">
        <v>6.3080001047721351E-2</v>
      </c>
      <c r="J147" s="1288">
        <v>0.13135196416720935</v>
      </c>
      <c r="K147" s="1280">
        <v>1.243014543258812</v>
      </c>
      <c r="L147" s="1330">
        <v>0.17663746307721503</v>
      </c>
    </row>
    <row r="148" spans="1:12" s="326" customFormat="1" ht="15.5" x14ac:dyDescent="0.35">
      <c r="A148" s="328" t="s">
        <v>1112</v>
      </c>
      <c r="B148" s="1291">
        <v>0.20172184563442758</v>
      </c>
      <c r="C148" s="1257">
        <v>0.22326593501949368</v>
      </c>
      <c r="D148" s="1257">
        <v>0.18183730254306935</v>
      </c>
      <c r="E148" s="1280">
        <v>1.5069742545811931</v>
      </c>
      <c r="F148" s="1303">
        <v>5.7067121335962978E-2</v>
      </c>
      <c r="G148" s="1288">
        <v>7.2670401675933319E-2</v>
      </c>
      <c r="H148" s="1280">
        <v>0.68769710997739841</v>
      </c>
      <c r="I148" s="1303">
        <v>6.3451913214526479E-2</v>
      </c>
      <c r="J148" s="1288">
        <v>0.13126999821681473</v>
      </c>
      <c r="K148" s="1280">
        <v>1.2422388801841218</v>
      </c>
      <c r="L148" s="1330">
        <v>0.17663746308142769</v>
      </c>
    </row>
    <row r="149" spans="1:12" s="326" customFormat="1" ht="15.5" x14ac:dyDescent="0.35">
      <c r="A149" s="328" t="s">
        <v>1113</v>
      </c>
      <c r="B149" s="1287">
        <v>0.18210775149961891</v>
      </c>
      <c r="C149" s="1257">
        <v>0.22326593501949368</v>
      </c>
      <c r="D149" s="1288">
        <v>0.2100587474861107</v>
      </c>
      <c r="E149" s="1280">
        <v>1.3604460746752085</v>
      </c>
      <c r="F149" s="1303">
        <v>5.7210724965559186E-2</v>
      </c>
      <c r="G149" s="1288">
        <v>7.1548299023935183E-2</v>
      </c>
      <c r="H149" s="1280">
        <v>0.67707838855738656</v>
      </c>
      <c r="I149" s="1303">
        <v>6.3375554670748763E-2</v>
      </c>
      <c r="J149" s="1288">
        <v>0.1299305505446843</v>
      </c>
      <c r="K149" s="1280">
        <v>1.2295633716985932</v>
      </c>
      <c r="L149" s="1330">
        <v>0.17708122245997857</v>
      </c>
    </row>
    <row r="150" spans="1:12" s="326" customFormat="1" ht="15.5" x14ac:dyDescent="0.35">
      <c r="A150" s="328" t="s">
        <v>1114</v>
      </c>
      <c r="B150" s="1287">
        <v>0.18210775149961861</v>
      </c>
      <c r="C150" s="1288">
        <v>0.22326593501949368</v>
      </c>
      <c r="D150" s="1288">
        <v>0.25701523256923919</v>
      </c>
      <c r="E150" s="1280">
        <v>1.3604460746752063</v>
      </c>
      <c r="F150" s="1303">
        <v>5.7348305695482542E-2</v>
      </c>
      <c r="G150" s="1288">
        <v>6.9651134208259344E-2</v>
      </c>
      <c r="H150" s="1280">
        <v>0.65912507151492472</v>
      </c>
      <c r="I150" s="1303">
        <v>6.3664193701347474E-2</v>
      </c>
      <c r="J150" s="1288">
        <v>0.12788031136367817</v>
      </c>
      <c r="K150" s="1280">
        <v>1.2101614759195134</v>
      </c>
      <c r="L150" s="1330">
        <v>0.17708122245997887</v>
      </c>
    </row>
    <row r="151" spans="1:12" s="326" customFormat="1" ht="15.5" x14ac:dyDescent="0.35">
      <c r="A151" s="328" t="s">
        <v>1115</v>
      </c>
      <c r="B151" s="1287">
        <v>0.16481459910249704</v>
      </c>
      <c r="C151" s="1257">
        <v>0.21835663690565979</v>
      </c>
      <c r="D151" s="1288">
        <v>0.13881372905130546</v>
      </c>
      <c r="E151" s="1306">
        <v>1.7432441188824717</v>
      </c>
      <c r="F151" s="1303">
        <v>5.7269163471452424E-2</v>
      </c>
      <c r="G151" s="1288">
        <v>6.6499897995368248E-2</v>
      </c>
      <c r="H151" s="1280">
        <v>0.62930418176499214</v>
      </c>
      <c r="I151" s="1303">
        <v>6.3773286637832508E-2</v>
      </c>
      <c r="J151" s="1288">
        <v>0.12856836362009771</v>
      </c>
      <c r="K151" s="1280">
        <v>1.21667267631666</v>
      </c>
      <c r="L151" s="1330">
        <v>0.18125729791221393</v>
      </c>
    </row>
    <row r="152" spans="1:12" s="326" customFormat="1" ht="15.5" x14ac:dyDescent="0.35">
      <c r="A152" s="328" t="s">
        <v>1116</v>
      </c>
      <c r="B152" s="1287">
        <v>0.18209005467245032</v>
      </c>
      <c r="C152" s="1257">
        <v>0.21835663690565979</v>
      </c>
      <c r="D152" s="1288">
        <v>0.21454981303212306</v>
      </c>
      <c r="E152" s="1306">
        <v>1.7432441188824643</v>
      </c>
      <c r="F152" s="1303">
        <v>5.7388475020381642E-2</v>
      </c>
      <c r="G152" s="1288">
        <v>6.67899600825239E-2</v>
      </c>
      <c r="H152" s="1280">
        <v>0.63204910754564902</v>
      </c>
      <c r="I152" s="1303">
        <v>6.3436506995504086E-2</v>
      </c>
      <c r="J152" s="1288">
        <v>0.12859406215031011</v>
      </c>
      <c r="K152" s="1280">
        <v>1.2169158675547729</v>
      </c>
      <c r="L152" s="1330">
        <v>0.18293225744015248</v>
      </c>
    </row>
    <row r="153" spans="1:12" s="326" customFormat="1" ht="15.5" x14ac:dyDescent="0.35">
      <c r="A153" s="328" t="s">
        <v>1117</v>
      </c>
      <c r="B153" s="1287">
        <v>0.19802802497955183</v>
      </c>
      <c r="C153" s="1257">
        <v>0.21835663690565979</v>
      </c>
      <c r="D153" s="1288">
        <v>0.25261962968259394</v>
      </c>
      <c r="E153" s="1306">
        <v>2.1152714939472368</v>
      </c>
      <c r="F153" s="1303">
        <v>5.7267002801858695E-2</v>
      </c>
      <c r="G153" s="1288">
        <v>7.2658913385306764E-2</v>
      </c>
      <c r="H153" s="1280">
        <v>0.68758839358007207</v>
      </c>
      <c r="I153" s="1303">
        <v>6.3141527391844157E-2</v>
      </c>
      <c r="J153" s="1288">
        <v>0.12881132321855643</v>
      </c>
      <c r="K153" s="1280">
        <v>1.2189718601638391</v>
      </c>
      <c r="L153" s="1330">
        <v>0.18293225744015348</v>
      </c>
    </row>
    <row r="154" spans="1:12" s="326" customFormat="1" ht="15.5" x14ac:dyDescent="0.35">
      <c r="A154" s="328" t="s">
        <v>1118</v>
      </c>
      <c r="B154" s="1287">
        <v>0.18328358029641872</v>
      </c>
      <c r="C154" s="1288">
        <v>0.2134473387918259</v>
      </c>
      <c r="D154" s="1288">
        <v>0.25412736207411429</v>
      </c>
      <c r="E154" s="1306">
        <v>2.1140383564659575</v>
      </c>
      <c r="F154" s="1303">
        <v>5.7313625858460476E-2</v>
      </c>
      <c r="G154" s="1288">
        <v>7.1560219726796076E-2</v>
      </c>
      <c r="H154" s="1280">
        <v>0.67719119697343055</v>
      </c>
      <c r="I154" s="1303">
        <v>6.3463972610380726E-2</v>
      </c>
      <c r="J154" s="1288">
        <v>0.12938492781296831</v>
      </c>
      <c r="K154" s="1280">
        <v>1.224400015406546</v>
      </c>
      <c r="L154" s="1330">
        <v>0.182932257440998</v>
      </c>
    </row>
    <row r="155" spans="1:12" s="326" customFormat="1" ht="15.5" x14ac:dyDescent="0.35">
      <c r="A155" s="328" t="s">
        <v>1119</v>
      </c>
      <c r="B155" s="1287">
        <v>0.18295046494396683</v>
      </c>
      <c r="C155" s="1288">
        <v>0.16291337571515399</v>
      </c>
      <c r="D155" s="1288">
        <v>0.19980073687447766</v>
      </c>
      <c r="E155" s="1306">
        <v>1.7460596088667593</v>
      </c>
      <c r="F155" s="1303">
        <v>5.7158431544787232E-2</v>
      </c>
      <c r="G155" s="1288">
        <v>6.9851839554884818E-2</v>
      </c>
      <c r="H155" s="1280">
        <v>0.66102439343482922</v>
      </c>
      <c r="I155" s="1303">
        <v>6.3312536715683071E-2</v>
      </c>
      <c r="J155" s="1288">
        <v>0.12900085969483691</v>
      </c>
      <c r="K155" s="1280">
        <v>1.2207654884356993</v>
      </c>
      <c r="L155" s="1330">
        <v>0.18293225744099828</v>
      </c>
    </row>
    <row r="156" spans="1:12" s="326" customFormat="1" ht="15.5" x14ac:dyDescent="0.35">
      <c r="A156" s="328" t="s">
        <v>1120</v>
      </c>
      <c r="B156" s="1287">
        <v>0.15282595230282539</v>
      </c>
      <c r="C156" s="1288">
        <v>0.21015832753910155</v>
      </c>
      <c r="D156" s="1288">
        <v>0.17423467125016492</v>
      </c>
      <c r="E156" s="1306">
        <v>1.7434095748309852</v>
      </c>
      <c r="F156" s="1303">
        <v>5.692498478781588E-2</v>
      </c>
      <c r="G156" s="1288">
        <v>7.0739487090646119E-2</v>
      </c>
      <c r="H156" s="1280">
        <v>0.66942441092398208</v>
      </c>
      <c r="I156" s="1303">
        <v>6.2915638780480426E-2</v>
      </c>
      <c r="J156" s="1288">
        <v>0.12851773191562421</v>
      </c>
      <c r="K156" s="1280">
        <v>1.2161935365838852</v>
      </c>
      <c r="L156" s="1330">
        <v>0.17991978493488642</v>
      </c>
    </row>
    <row r="157" spans="1:12" s="326" customFormat="1" ht="15.5" x14ac:dyDescent="0.35">
      <c r="A157" s="328" t="s">
        <v>1121</v>
      </c>
      <c r="B157" s="1287">
        <v>0.17022856387558347</v>
      </c>
      <c r="C157" s="1288">
        <v>0.22047613381703293</v>
      </c>
      <c r="D157" s="1288">
        <v>0.23239067831254162</v>
      </c>
      <c r="E157" s="1306">
        <v>1.8117870951562181</v>
      </c>
      <c r="F157" s="1303">
        <v>4.8982150091615481E-2</v>
      </c>
      <c r="G157" s="1288">
        <v>7.0541008366908659E-2</v>
      </c>
      <c r="H157" s="1280">
        <v>0.66754616006037826</v>
      </c>
      <c r="I157" s="1303">
        <v>6.8883367700586923E-2</v>
      </c>
      <c r="J157" s="1288">
        <v>0.12728142123102373</v>
      </c>
      <c r="K157" s="1280">
        <v>1.2044940376788791</v>
      </c>
      <c r="L157" s="1330">
        <v>0.1783762132312835</v>
      </c>
    </row>
    <row r="158" spans="1:12" s="326" customFormat="1" ht="15.5" x14ac:dyDescent="0.35">
      <c r="A158" s="328" t="s">
        <v>1122</v>
      </c>
      <c r="B158" s="1287">
        <v>0.11029917944486094</v>
      </c>
      <c r="C158" s="1288">
        <v>0.2634631088015455</v>
      </c>
      <c r="D158" s="1288">
        <v>0.22255702781610595</v>
      </c>
      <c r="E158" s="1306">
        <v>2.0751309436895178</v>
      </c>
      <c r="F158" s="1303">
        <v>4.8688291485561912E-2</v>
      </c>
      <c r="G158" s="1288">
        <v>6.8034765234841019E-2</v>
      </c>
      <c r="H158" s="1280">
        <v>0.64382899159735574</v>
      </c>
      <c r="I158" s="1303">
        <v>6.887278487200757E-2</v>
      </c>
      <c r="J158" s="1288">
        <v>0.12786819061046625</v>
      </c>
      <c r="K158" s="1280">
        <v>1.210046774379927</v>
      </c>
      <c r="L158" s="1330">
        <v>0.17698699868764967</v>
      </c>
    </row>
    <row r="159" spans="1:12" s="326" customFormat="1" ht="15.5" x14ac:dyDescent="0.35">
      <c r="A159" s="328" t="s">
        <v>1123</v>
      </c>
      <c r="B159" s="1287">
        <v>0.11744684186448207</v>
      </c>
      <c r="C159" s="1288">
        <v>0.15004181765435606</v>
      </c>
      <c r="D159" s="1288">
        <v>0.22041071289056932</v>
      </c>
      <c r="E159" s="1306">
        <v>1.8149268254538844</v>
      </c>
      <c r="F159" s="1303">
        <v>4.8651207890468749E-2</v>
      </c>
      <c r="G159" s="1288">
        <v>7.0802075421830285E-2</v>
      </c>
      <c r="H159" s="1280">
        <v>0.67001669902864391</v>
      </c>
      <c r="I159" s="1303">
        <v>6.8569744592214307E-2</v>
      </c>
      <c r="J159" s="1288">
        <v>0.1280259475631674</v>
      </c>
      <c r="K159" s="1280">
        <v>1.2115396655426207</v>
      </c>
      <c r="L159" s="1330">
        <v>0.17568691762834868</v>
      </c>
    </row>
    <row r="160" spans="1:12" s="326" customFormat="1" ht="15.5" x14ac:dyDescent="0.35">
      <c r="A160" s="328" t="s">
        <v>1124</v>
      </c>
      <c r="B160" s="1287">
        <v>0.14364724892855504</v>
      </c>
      <c r="C160" s="1288">
        <v>0.20502393259386331</v>
      </c>
      <c r="D160" s="1288">
        <v>0.34457690706119276</v>
      </c>
      <c r="E160" s="1306">
        <v>1.8222464705275854</v>
      </c>
      <c r="F160" s="1303">
        <v>5.839477415157638E-2</v>
      </c>
      <c r="G160" s="1288">
        <v>6.7596137388547348E-2</v>
      </c>
      <c r="H160" s="1280">
        <v>0.63967815308132669</v>
      </c>
      <c r="I160" s="1303">
        <v>7.4288279219040146E-2</v>
      </c>
      <c r="J160" s="1288">
        <v>0.1288462690430669</v>
      </c>
      <c r="K160" s="1280">
        <v>1.2193025607237284</v>
      </c>
      <c r="L160" s="1330">
        <v>0.17602413999370337</v>
      </c>
    </row>
    <row r="161" spans="1:12" s="326" customFormat="1" ht="15.5" x14ac:dyDescent="0.35">
      <c r="A161" s="328" t="s">
        <v>1125</v>
      </c>
      <c r="B161" s="1287">
        <v>0.14583405696139951</v>
      </c>
      <c r="C161" s="1288">
        <v>0.17938888217375829</v>
      </c>
      <c r="D161" s="1288">
        <v>0.28865420493870997</v>
      </c>
      <c r="E161" s="1306">
        <v>1.7469408125529409</v>
      </c>
      <c r="F161" s="1303">
        <v>5.8500971053941524E-2</v>
      </c>
      <c r="G161" s="1288">
        <v>6.6628079490141837E-2</v>
      </c>
      <c r="H161" s="1280">
        <v>0.63051719341038637</v>
      </c>
      <c r="I161" s="1303">
        <v>7.490171557636062E-2</v>
      </c>
      <c r="J161" s="1288">
        <v>0.11451849067478712</v>
      </c>
      <c r="K161" s="1280">
        <v>1.0837154227827281</v>
      </c>
      <c r="L161" s="1330">
        <v>0.17819687116733512</v>
      </c>
    </row>
    <row r="162" spans="1:12" s="326" customFormat="1" ht="15.5" x14ac:dyDescent="0.35">
      <c r="A162" s="328" t="s">
        <v>1126</v>
      </c>
      <c r="B162" s="1287">
        <v>0.14124121715487087</v>
      </c>
      <c r="C162" s="1288">
        <v>0.19325945232060357</v>
      </c>
      <c r="D162" s="1288">
        <v>0.23604866673432648</v>
      </c>
      <c r="E162" s="1306">
        <v>1.9245780126216419</v>
      </c>
      <c r="F162" s="1303">
        <v>5.7532055374397706E-2</v>
      </c>
      <c r="G162" s="1288">
        <v>6.1524048753875071E-2</v>
      </c>
      <c r="H162" s="1280">
        <v>0.58221654960468538</v>
      </c>
      <c r="I162" s="1303">
        <v>7.4850213955001133E-2</v>
      </c>
      <c r="J162" s="1288">
        <v>9.8402155215380829E-2</v>
      </c>
      <c r="K162" s="1280">
        <v>0.93120274825143468</v>
      </c>
      <c r="L162" s="1330">
        <v>0.17732749620215343</v>
      </c>
    </row>
    <row r="163" spans="1:12" s="326" customFormat="1" ht="15.5" x14ac:dyDescent="0.35">
      <c r="A163" s="328" t="s">
        <v>1127</v>
      </c>
      <c r="B163" s="1287">
        <v>0.1165109252479675</v>
      </c>
      <c r="C163" s="1288">
        <v>0.20996405821414468</v>
      </c>
      <c r="D163" s="1288">
        <v>0.25937106110706709</v>
      </c>
      <c r="E163" s="1306">
        <v>1.7706290505101956</v>
      </c>
      <c r="F163" s="1303">
        <v>6.2901061559520757E-2</v>
      </c>
      <c r="G163" s="1288">
        <v>5.7656887959349243E-2</v>
      </c>
      <c r="H163" s="1280">
        <v>0.54562069708590055</v>
      </c>
      <c r="I163" s="1303">
        <v>8.0210607413675514E-2</v>
      </c>
      <c r="J163" s="1288">
        <v>9.7407308425287539E-2</v>
      </c>
      <c r="K163" s="1280">
        <v>0.92178827899518423</v>
      </c>
      <c r="L163" s="1330">
        <v>0.17725641996558722</v>
      </c>
    </row>
    <row r="164" spans="1:12" s="326" customFormat="1" ht="15.5" x14ac:dyDescent="0.35">
      <c r="A164" s="328" t="s">
        <v>1128</v>
      </c>
      <c r="B164" s="1287">
        <v>0.11034721738591952</v>
      </c>
      <c r="C164" s="1288">
        <v>0.18245149537788549</v>
      </c>
      <c r="D164" s="1288">
        <v>0.24464793621626968</v>
      </c>
      <c r="E164" s="1306">
        <v>1.780443507883394</v>
      </c>
      <c r="F164" s="1303">
        <v>6.2709980450552247E-2</v>
      </c>
      <c r="G164" s="1288">
        <v>5.681708294795914E-2</v>
      </c>
      <c r="H164" s="1280">
        <v>0.53767342466193691</v>
      </c>
      <c r="I164" s="1303">
        <v>8.0057647714797037E-2</v>
      </c>
      <c r="J164" s="1288">
        <v>9.9508938158644353E-2</v>
      </c>
      <c r="K164" s="1280">
        <v>0.94167649566305356</v>
      </c>
      <c r="L164" s="1330">
        <v>0.16722915576815275</v>
      </c>
    </row>
    <row r="165" spans="1:12" s="326" customFormat="1" ht="15.5" x14ac:dyDescent="0.35">
      <c r="A165" s="328" t="s">
        <v>1129</v>
      </c>
      <c r="B165" s="1287">
        <v>0.13988733414841459</v>
      </c>
      <c r="C165" s="1288">
        <v>0.15873084606477497</v>
      </c>
      <c r="D165" s="1288">
        <v>0.28476812586228706</v>
      </c>
      <c r="E165" s="1306">
        <v>1.8510826908210556</v>
      </c>
      <c r="F165" s="1303">
        <v>5.9357643393218869E-2</v>
      </c>
      <c r="G165" s="1288">
        <v>5.7108816486347962E-2</v>
      </c>
      <c r="H165" s="1280">
        <v>0.54043416777889575</v>
      </c>
      <c r="I165" s="1303">
        <v>8.0315432565409059E-2</v>
      </c>
      <c r="J165" s="1288">
        <v>9.9657549316127456E-2</v>
      </c>
      <c r="K165" s="1280">
        <v>0.94308283801364734</v>
      </c>
      <c r="L165" s="1330">
        <v>0.16668739358332443</v>
      </c>
    </row>
    <row r="166" spans="1:12" s="326" customFormat="1" ht="15.5" x14ac:dyDescent="0.35">
      <c r="A166" s="328" t="s">
        <v>1130</v>
      </c>
      <c r="B166" s="1287">
        <v>0.13126227771860391</v>
      </c>
      <c r="C166" s="1288">
        <v>0.18213346793553065</v>
      </c>
      <c r="D166" s="1288">
        <v>0.26147966696103819</v>
      </c>
      <c r="E166" s="1306">
        <v>2.0965799167788552</v>
      </c>
      <c r="F166" s="1303">
        <v>6.2948999943063355E-2</v>
      </c>
      <c r="G166" s="1288">
        <v>5.6070900406874701E-2</v>
      </c>
      <c r="H166" s="1280">
        <v>0.53061212370329225</v>
      </c>
      <c r="I166" s="1303">
        <v>8.0023083518732233E-2</v>
      </c>
      <c r="J166" s="1288">
        <v>9.9690707041413418E-2</v>
      </c>
      <c r="K166" s="1280">
        <v>0.94339661736984615</v>
      </c>
      <c r="L166" s="1330">
        <v>0.15692815418220973</v>
      </c>
    </row>
    <row r="167" spans="1:12" s="326" customFormat="1" ht="15.5" x14ac:dyDescent="0.35">
      <c r="A167" s="328" t="s">
        <v>1131</v>
      </c>
      <c r="B167" s="1287">
        <v>0.12599621746494497</v>
      </c>
      <c r="C167" s="1288">
        <v>0.12450340505949138</v>
      </c>
      <c r="D167" s="1288">
        <v>0.31393337555168754</v>
      </c>
      <c r="E167" s="1306">
        <v>2.0804351205395424</v>
      </c>
      <c r="F167" s="1303">
        <v>5.8638442661387243E-2</v>
      </c>
      <c r="G167" s="1288">
        <v>5.4451257455185094E-2</v>
      </c>
      <c r="H167" s="1280">
        <v>0.51528506135899432</v>
      </c>
      <c r="I167" s="1303">
        <v>7.809126298232083E-2</v>
      </c>
      <c r="J167" s="1288">
        <v>9.7796464431056718E-2</v>
      </c>
      <c r="K167" s="1280">
        <v>0.92547095384389699</v>
      </c>
      <c r="L167" s="1330">
        <v>0.18660719672010173</v>
      </c>
    </row>
    <row r="168" spans="1:12" s="326" customFormat="1" ht="15.5" x14ac:dyDescent="0.35">
      <c r="A168" s="328" t="s">
        <v>1132</v>
      </c>
      <c r="B168" s="1287">
        <v>0.13445285710681115</v>
      </c>
      <c r="C168" s="1288">
        <v>0.15354952205076683</v>
      </c>
      <c r="D168" s="1288">
        <v>0.28410497354056391</v>
      </c>
      <c r="E168" s="1306">
        <v>1.883936846480232</v>
      </c>
      <c r="F168" s="1303">
        <v>5.7180525039873233E-2</v>
      </c>
      <c r="G168" s="1288">
        <v>5.525152064077192E-2</v>
      </c>
      <c r="H168" s="1280">
        <v>0.52285814018142251</v>
      </c>
      <c r="I168" s="1303">
        <v>7.7394043186266137E-2</v>
      </c>
      <c r="J168" s="1288">
        <v>9.8308071917894868E-2</v>
      </c>
      <c r="K168" s="1280">
        <v>0.93031241587007862</v>
      </c>
      <c r="L168" s="1330">
        <v>0.18660719672010226</v>
      </c>
    </row>
    <row r="169" spans="1:12" s="326" customFormat="1" ht="15.5" x14ac:dyDescent="0.35">
      <c r="A169" s="328" t="s">
        <v>1133</v>
      </c>
      <c r="B169" s="1287">
        <v>0.11854936179229117</v>
      </c>
      <c r="C169" s="1288">
        <v>0.18371202244101295</v>
      </c>
      <c r="D169" s="1288">
        <v>0.29432938517369395</v>
      </c>
      <c r="E169" s="1306">
        <v>1.9902073835114393</v>
      </c>
      <c r="F169" s="1303">
        <v>6.0232841295683709E-2</v>
      </c>
      <c r="G169" s="1288">
        <v>5.5357900197999181E-2</v>
      </c>
      <c r="H169" s="1280">
        <v>0.52386483496194813</v>
      </c>
      <c r="I169" s="1303">
        <v>7.4857396942614493E-2</v>
      </c>
      <c r="J169" s="1288">
        <v>9.5095321065711336E-2</v>
      </c>
      <c r="K169" s="1280">
        <v>0.89990939861448882</v>
      </c>
      <c r="L169" s="1330">
        <v>0.1866071967201024</v>
      </c>
    </row>
    <row r="170" spans="1:12" s="326" customFormat="1" ht="15.5" x14ac:dyDescent="0.35">
      <c r="A170" s="328" t="s">
        <v>1134</v>
      </c>
      <c r="B170" s="1287">
        <v>0.11697580500125768</v>
      </c>
      <c r="C170" s="1288">
        <v>0.19592885397671111</v>
      </c>
      <c r="D170" s="1288">
        <v>0.2047459565964122</v>
      </c>
      <c r="E170" s="1306">
        <v>1.8899635753641184</v>
      </c>
      <c r="F170" s="1303">
        <v>6.1034972564916398E-2</v>
      </c>
      <c r="G170" s="1288">
        <v>5.4056022589533806E-2</v>
      </c>
      <c r="H170" s="1280">
        <v>0.51154486082889716</v>
      </c>
      <c r="I170" s="1303">
        <v>7.2387145730523142E-2</v>
      </c>
      <c r="J170" s="1288">
        <v>9.2934836464781068E-2</v>
      </c>
      <c r="K170" s="1280">
        <v>0.87946422448656791</v>
      </c>
      <c r="L170" s="1330">
        <v>0.19156281842125694</v>
      </c>
    </row>
    <row r="171" spans="1:12" s="326" customFormat="1" ht="15.5" x14ac:dyDescent="0.35">
      <c r="A171" s="328" t="s">
        <v>1135</v>
      </c>
      <c r="B171" s="1291">
        <v>0.11697580500125768</v>
      </c>
      <c r="C171" s="1257">
        <v>0.19592885397671111</v>
      </c>
      <c r="D171" s="1257">
        <v>0.2047459565964122</v>
      </c>
      <c r="E171" s="1280">
        <v>1.8899635753641184</v>
      </c>
      <c r="F171" s="1271">
        <v>6.1034972564916398E-2</v>
      </c>
      <c r="G171" s="1257">
        <v>5.4056022589533806E-2</v>
      </c>
      <c r="H171" s="1280">
        <v>0.51154486082889716</v>
      </c>
      <c r="I171" s="1271">
        <v>7.2387145730523142E-2</v>
      </c>
      <c r="J171" s="1257">
        <v>9.2934836464781068E-2</v>
      </c>
      <c r="K171" s="1280">
        <v>0.87946422448656791</v>
      </c>
      <c r="L171" s="1330">
        <v>0.20139763129188695</v>
      </c>
    </row>
    <row r="172" spans="1:12" s="326" customFormat="1" ht="15.5" x14ac:dyDescent="0.35">
      <c r="A172" s="328" t="s">
        <v>1136</v>
      </c>
      <c r="B172" s="1291">
        <v>0.22133593975959862</v>
      </c>
      <c r="C172" s="1257">
        <v>0.22287360407946577</v>
      </c>
      <c r="D172" s="1257">
        <v>0.24592882195510957</v>
      </c>
      <c r="E172" s="1280">
        <v>1.653502434415179</v>
      </c>
      <c r="F172" s="1271">
        <v>5.7881958457063308E-2</v>
      </c>
      <c r="G172" s="1257">
        <v>9.9047529645303681E-2</v>
      </c>
      <c r="H172" s="1280">
        <v>0.93731007833460178</v>
      </c>
      <c r="I172" s="1271">
        <v>5.9450625939901615E-2</v>
      </c>
      <c r="J172" s="1257">
        <v>0.15968105272120614</v>
      </c>
      <c r="K172" s="1280">
        <v>1.5110993739131786</v>
      </c>
      <c r="L172" s="1237">
        <v>0.19707912124974017</v>
      </c>
    </row>
    <row r="173" spans="1:12" s="326" customFormat="1" ht="15.5" x14ac:dyDescent="0.35">
      <c r="A173" s="328" t="s">
        <v>1137</v>
      </c>
      <c r="B173" s="1291">
        <v>0.22133593975959862</v>
      </c>
      <c r="C173" s="1257">
        <v>0.22287360407946577</v>
      </c>
      <c r="D173" s="1257">
        <v>0.24592882195510957</v>
      </c>
      <c r="E173" s="1280">
        <v>1.653502434415179</v>
      </c>
      <c r="F173" s="1271">
        <v>5.7881958457063308E-2</v>
      </c>
      <c r="G173" s="1257">
        <v>9.9047529645303681E-2</v>
      </c>
      <c r="H173" s="1280">
        <v>0.93731007833460178</v>
      </c>
      <c r="I173" s="1271">
        <v>5.9450625939901615E-2</v>
      </c>
      <c r="J173" s="1257">
        <v>0.15968105272120614</v>
      </c>
      <c r="K173" s="1280">
        <v>1.5110993739131786</v>
      </c>
      <c r="L173" s="1237">
        <v>0.19707912124974017</v>
      </c>
    </row>
    <row r="174" spans="1:12" s="326" customFormat="1" ht="15.5" x14ac:dyDescent="0.35">
      <c r="A174" s="328" t="s">
        <v>1138</v>
      </c>
      <c r="B174" s="1291">
        <v>0.22133593975959862</v>
      </c>
      <c r="C174" s="1257">
        <v>0.22287360407946577</v>
      </c>
      <c r="D174" s="1257">
        <v>0.24592882195510957</v>
      </c>
      <c r="E174" s="1280">
        <v>1.653502434415179</v>
      </c>
      <c r="F174" s="1271">
        <v>5.7881958457063308E-2</v>
      </c>
      <c r="G174" s="1257">
        <v>9.9047529645303681E-2</v>
      </c>
      <c r="H174" s="1280">
        <v>0.93731007833460178</v>
      </c>
      <c r="I174" s="1271">
        <v>5.9450625939901615E-2</v>
      </c>
      <c r="J174" s="1257">
        <v>0.15968105272120614</v>
      </c>
      <c r="K174" s="1280">
        <v>1.5110993739131786</v>
      </c>
      <c r="L174" s="1237">
        <v>0.19707912124974017</v>
      </c>
    </row>
    <row r="175" spans="1:12" s="326" customFormat="1" ht="15.5" x14ac:dyDescent="0.35">
      <c r="A175" s="328" t="s">
        <v>1139</v>
      </c>
      <c r="B175" s="1291">
        <v>0.22133593975959862</v>
      </c>
      <c r="C175" s="1257">
        <v>0.22287360407946577</v>
      </c>
      <c r="D175" s="1257">
        <v>0.24592882195510957</v>
      </c>
      <c r="E175" s="1280">
        <v>1.653502434415179</v>
      </c>
      <c r="F175" s="1303">
        <v>5.7881958457063308E-2</v>
      </c>
      <c r="G175" s="1288">
        <v>9.9047529645303681E-2</v>
      </c>
      <c r="H175" s="1280">
        <v>0.93731007833460178</v>
      </c>
      <c r="I175" s="1303">
        <v>5.9450625939901615E-2</v>
      </c>
      <c r="J175" s="1288">
        <v>0.15968105272120614</v>
      </c>
      <c r="K175" s="1280">
        <v>1.5110993739131786</v>
      </c>
      <c r="L175" s="1237">
        <v>0.19707912124974017</v>
      </c>
    </row>
    <row r="176" spans="1:12" s="326" customFormat="1" ht="15.5" x14ac:dyDescent="0.35">
      <c r="A176" s="328" t="s">
        <v>1140</v>
      </c>
      <c r="B176" s="1291">
        <v>0.22133593975959862</v>
      </c>
      <c r="C176" s="1257">
        <v>0.22287360407946577</v>
      </c>
      <c r="D176" s="1257">
        <v>0.24592882195510957</v>
      </c>
      <c r="E176" s="1280">
        <v>1.653502434415179</v>
      </c>
      <c r="F176" s="1303">
        <v>5.6753057414884026E-2</v>
      </c>
      <c r="G176" s="1288">
        <v>9.8299744929116653E-2</v>
      </c>
      <c r="H176" s="1280">
        <v>0.93023361561597895</v>
      </c>
      <c r="I176" s="1303">
        <v>6.6985788210462791E-2</v>
      </c>
      <c r="J176" s="1288">
        <v>0.16385307331025115</v>
      </c>
      <c r="K176" s="1280">
        <v>1.5505801863992148</v>
      </c>
      <c r="L176" s="1237">
        <v>0.19707912124974017</v>
      </c>
    </row>
    <row r="177" spans="1:12" s="326" customFormat="1" ht="15.5" x14ac:dyDescent="0.35">
      <c r="A177" s="328" t="s">
        <v>1141</v>
      </c>
      <c r="B177" s="1291">
        <v>0.22133593975959862</v>
      </c>
      <c r="C177" s="1257">
        <v>0.22287360407946577</v>
      </c>
      <c r="D177" s="1257">
        <v>0.24592882195510957</v>
      </c>
      <c r="E177" s="1280">
        <v>1.653502434415179</v>
      </c>
      <c r="F177" s="1303">
        <v>5.6701444377529414E-2</v>
      </c>
      <c r="G177" s="1288">
        <v>0.13264354952101659</v>
      </c>
      <c r="H177" s="1280">
        <v>1.2552371193643261</v>
      </c>
      <c r="I177" s="1303">
        <v>6.6895064139314078E-2</v>
      </c>
      <c r="J177" s="1288">
        <v>0.16555460570748606</v>
      </c>
      <c r="K177" s="1280">
        <v>1.5666821878348132</v>
      </c>
      <c r="L177" s="1237">
        <v>0.19707912124974017</v>
      </c>
    </row>
    <row r="178" spans="1:12" s="326" customFormat="1" ht="15.5" x14ac:dyDescent="0.35">
      <c r="A178" s="328" t="s">
        <v>1142</v>
      </c>
      <c r="B178" s="1291">
        <v>0.22133593975959862</v>
      </c>
      <c r="C178" s="1257">
        <v>0.22287360407946577</v>
      </c>
      <c r="D178" s="1257">
        <v>0.24592882195510957</v>
      </c>
      <c r="E178" s="1280">
        <v>1.653502434415179</v>
      </c>
      <c r="F178" s="1303">
        <v>5.7819968238491289E-2</v>
      </c>
      <c r="G178" s="1288">
        <v>0.12814541108842875</v>
      </c>
      <c r="H178" s="1280">
        <v>1.2126701769912338</v>
      </c>
      <c r="I178" s="1303">
        <v>6.1810032589158237E-2</v>
      </c>
      <c r="J178" s="1288">
        <v>0.14233247260461759</v>
      </c>
      <c r="K178" s="1280">
        <v>1.3469256782510504</v>
      </c>
      <c r="L178" s="1330">
        <v>0.19707912124974017</v>
      </c>
    </row>
    <row r="179" spans="1:12" s="326" customFormat="1" ht="15.5" x14ac:dyDescent="0.35">
      <c r="A179" s="328" t="s">
        <v>1143</v>
      </c>
      <c r="B179" s="1291">
        <v>0.22133593975959862</v>
      </c>
      <c r="C179" s="1257">
        <v>0.22287360407946577</v>
      </c>
      <c r="D179" s="1257">
        <v>0.24592882195510957</v>
      </c>
      <c r="E179" s="1280">
        <v>1.653502434415179</v>
      </c>
      <c r="F179" s="1303">
        <v>5.7702607429249111E-2</v>
      </c>
      <c r="G179" s="1288">
        <v>0.10428024299328439</v>
      </c>
      <c r="H179" s="1280">
        <v>0.98682847597321344</v>
      </c>
      <c r="I179" s="1303">
        <v>6.3151445955194507E-2</v>
      </c>
      <c r="J179" s="1288">
        <v>0.14566896659855605</v>
      </c>
      <c r="K179" s="1280">
        <v>1.3784997059731001</v>
      </c>
      <c r="L179" s="1330">
        <v>0.19707912124974017</v>
      </c>
    </row>
    <row r="180" spans="1:12" s="326" customFormat="1" ht="15.5" x14ac:dyDescent="0.35">
      <c r="A180" s="328" t="s">
        <v>1144</v>
      </c>
      <c r="B180" s="1291">
        <v>0.22133593975959862</v>
      </c>
      <c r="C180" s="1257">
        <v>0.22287360407946577</v>
      </c>
      <c r="D180" s="1257">
        <v>0.24592882195510957</v>
      </c>
      <c r="E180" s="1280">
        <v>1.653502434415179</v>
      </c>
      <c r="F180" s="1303">
        <v>5.8070300134552187E-2</v>
      </c>
      <c r="G180" s="1288">
        <v>0.10449633188422121</v>
      </c>
      <c r="H180" s="1280">
        <v>0.9888733759925934</v>
      </c>
      <c r="I180" s="1303">
        <v>6.7034748458457374E-2</v>
      </c>
      <c r="J180" s="1288">
        <v>0.14278291516178804</v>
      </c>
      <c r="K180" s="1280">
        <v>1.3511883221560381</v>
      </c>
      <c r="L180" s="1237">
        <v>0.1970791212497412</v>
      </c>
    </row>
    <row r="181" spans="1:12" s="326" customFormat="1" ht="15.5" x14ac:dyDescent="0.35">
      <c r="A181" s="328" t="s">
        <v>1145</v>
      </c>
      <c r="B181" s="1291">
        <v>0.22133593975959862</v>
      </c>
      <c r="C181" s="1257">
        <v>0.22287360407946577</v>
      </c>
      <c r="D181" s="1257">
        <v>0.24592882195510957</v>
      </c>
      <c r="E181" s="1280">
        <v>1.653502434415179</v>
      </c>
      <c r="F181" s="1303">
        <v>5.7914333781034499E-2</v>
      </c>
      <c r="G181" s="1288">
        <v>0.11042460492033283</v>
      </c>
      <c r="H181" s="1280">
        <v>1.044974018621091</v>
      </c>
      <c r="I181" s="1303">
        <v>5.8487576248143741E-2</v>
      </c>
      <c r="J181" s="1288">
        <v>0.14051642132213418</v>
      </c>
      <c r="K181" s="1280">
        <v>1.3297399576587254</v>
      </c>
      <c r="L181" s="1330">
        <v>0.1970791212497422</v>
      </c>
    </row>
    <row r="182" spans="1:12" s="326" customFormat="1" ht="15.5" x14ac:dyDescent="0.35">
      <c r="A182" s="328" t="s">
        <v>1146</v>
      </c>
      <c r="B182" s="1291">
        <v>0.22133593975959862</v>
      </c>
      <c r="C182" s="1257">
        <v>0.22287360407946577</v>
      </c>
      <c r="D182" s="1257">
        <v>0.24592882195510957</v>
      </c>
      <c r="E182" s="1280">
        <v>1.653502434415179</v>
      </c>
      <c r="F182" s="1303">
        <v>5.7068155889354315E-2</v>
      </c>
      <c r="G182" s="1288">
        <v>0.10677365283581347</v>
      </c>
      <c r="H182" s="1280">
        <v>1.0104241999977348</v>
      </c>
      <c r="I182" s="1271">
        <v>6.0959344472653672E-2</v>
      </c>
      <c r="J182" s="1288">
        <v>0.14184659587900209</v>
      </c>
      <c r="K182" s="1280">
        <v>1.3423277124726154</v>
      </c>
      <c r="L182" s="1330">
        <v>0.19707912124974017</v>
      </c>
    </row>
    <row r="183" spans="1:12" s="326" customFormat="1" ht="15.5" x14ac:dyDescent="0.35">
      <c r="A183" s="328" t="s">
        <v>1147</v>
      </c>
      <c r="B183" s="1291">
        <v>0.22133593975959862</v>
      </c>
      <c r="C183" s="1257">
        <v>0.22287360407946577</v>
      </c>
      <c r="D183" s="1257">
        <v>0.24592882195510957</v>
      </c>
      <c r="E183" s="1280">
        <v>1.653502434415179</v>
      </c>
      <c r="F183" s="1303">
        <v>5.7029167215092387E-2</v>
      </c>
      <c r="G183" s="1288">
        <v>0.1046351183603132</v>
      </c>
      <c r="H183" s="1280">
        <v>0.99018674507149329</v>
      </c>
      <c r="I183" s="1303">
        <v>6.3431112697163602E-2</v>
      </c>
      <c r="J183" s="1288">
        <v>0.13901522288247922</v>
      </c>
      <c r="K183" s="1280">
        <v>1.3155337636011086</v>
      </c>
      <c r="L183" s="1237">
        <v>0.19707912124974017</v>
      </c>
    </row>
    <row r="184" spans="1:12" s="326" customFormat="1" ht="15.5" x14ac:dyDescent="0.35">
      <c r="A184" s="328" t="s">
        <v>1148</v>
      </c>
      <c r="B184" s="1291">
        <v>0.22133593975959862</v>
      </c>
      <c r="C184" s="1257">
        <v>0.22287360407946577</v>
      </c>
      <c r="D184" s="1257">
        <v>0.24592882195510957</v>
      </c>
      <c r="E184" s="1280">
        <v>1.653502434415179</v>
      </c>
      <c r="F184" s="1303">
        <v>5.7144159325307052E-2</v>
      </c>
      <c r="G184" s="1288">
        <v>9.982714217351589E-2</v>
      </c>
      <c r="H184" s="1280">
        <v>0.94468773512731596</v>
      </c>
      <c r="I184" s="1303">
        <v>6.1254807602775907E-2</v>
      </c>
      <c r="J184" s="1288">
        <v>0.14394218375050502</v>
      </c>
      <c r="K184" s="1280">
        <v>1.3621587535801467</v>
      </c>
      <c r="L184" s="1330">
        <v>0.19707912124974017</v>
      </c>
    </row>
    <row r="185" spans="1:12" s="326" customFormat="1" ht="15.5" x14ac:dyDescent="0.35">
      <c r="A185" s="328" t="s">
        <v>1149</v>
      </c>
      <c r="B185" s="1291">
        <v>0.22133593975959862</v>
      </c>
      <c r="C185" s="1257">
        <v>0.22287360407946577</v>
      </c>
      <c r="D185" s="1257">
        <v>0.24592882195510957</v>
      </c>
      <c r="E185" s="1280">
        <v>1.653502434415179</v>
      </c>
      <c r="F185" s="1303">
        <v>5.6251106642840928E-2</v>
      </c>
      <c r="G185" s="1288">
        <v>0.10271191146949925</v>
      </c>
      <c r="H185" s="1280">
        <v>0.97198698574445253</v>
      </c>
      <c r="I185" s="1303">
        <v>6.2118133649920214E-2</v>
      </c>
      <c r="J185" s="1288">
        <v>0.14470811968206732</v>
      </c>
      <c r="K185" s="1280">
        <v>1.3694069855207398</v>
      </c>
      <c r="L185" s="1330">
        <v>0.19707912124974017</v>
      </c>
    </row>
    <row r="186" spans="1:12" s="326" customFormat="1" ht="15.5" x14ac:dyDescent="0.35">
      <c r="A186" s="328" t="s">
        <v>1150</v>
      </c>
      <c r="B186" s="1291">
        <v>0.22133593975959862</v>
      </c>
      <c r="C186" s="1257">
        <v>0.22287360407946577</v>
      </c>
      <c r="D186" s="1257">
        <v>0.24592882195510957</v>
      </c>
      <c r="E186" s="1280">
        <v>1.653502434415179</v>
      </c>
      <c r="F186" s="1303">
        <v>5.6896327395261424E-2</v>
      </c>
      <c r="G186" s="1288">
        <v>0.1004682531280421</v>
      </c>
      <c r="H186" s="1280">
        <v>0.95075471893963348</v>
      </c>
      <c r="I186" s="1303">
        <v>6.4759339431196383E-2</v>
      </c>
      <c r="J186" s="1288">
        <v>0.14252257290522036</v>
      </c>
      <c r="K186" s="1280">
        <v>1.3487246421251367</v>
      </c>
      <c r="L186" s="1330">
        <v>0.19707912124974183</v>
      </c>
    </row>
    <row r="187" spans="1:12" s="326" customFormat="1" ht="15.5" x14ac:dyDescent="0.35">
      <c r="A187" s="328" t="s">
        <v>1151</v>
      </c>
      <c r="B187" s="1291">
        <v>0.22133593975959862</v>
      </c>
      <c r="C187" s="1257">
        <v>0.22287360407946577</v>
      </c>
      <c r="D187" s="1257">
        <v>0.24592882195510957</v>
      </c>
      <c r="E187" s="1280">
        <v>1.653502434415179</v>
      </c>
      <c r="F187" s="1303">
        <v>5.7364592894339012E-2</v>
      </c>
      <c r="G187" s="1288">
        <v>9.4389709591750109E-2</v>
      </c>
      <c r="H187" s="1280">
        <v>0.8932320312101647</v>
      </c>
      <c r="I187" s="1303">
        <v>6.3199632994592581E-2</v>
      </c>
      <c r="J187" s="1288">
        <v>0.14139295070724719</v>
      </c>
      <c r="K187" s="1280">
        <v>1.3380347614722583</v>
      </c>
      <c r="L187" s="1237">
        <v>0.19468105108362271</v>
      </c>
    </row>
    <row r="188" spans="1:12" s="326" customFormat="1" ht="15.5" x14ac:dyDescent="0.35">
      <c r="A188" s="328" t="s">
        <v>1152</v>
      </c>
      <c r="B188" s="1291">
        <v>0.22133593975959862</v>
      </c>
      <c r="C188" s="1257">
        <v>0.22287360407946577</v>
      </c>
      <c r="D188" s="1257">
        <v>0.24592882195510957</v>
      </c>
      <c r="E188" s="1280">
        <v>1.653502434415179</v>
      </c>
      <c r="F188" s="1303">
        <v>5.7484181346197719E-2</v>
      </c>
      <c r="G188" s="1288">
        <v>9.1150912374971277E-2</v>
      </c>
      <c r="H188" s="1280">
        <v>0.86258253107785321</v>
      </c>
      <c r="I188" s="1303">
        <v>6.3195849390607226E-2</v>
      </c>
      <c r="J188" s="1288">
        <v>0.13960180443369699</v>
      </c>
      <c r="K188" s="1280">
        <v>1.3210847228394706</v>
      </c>
      <c r="L188" s="1330">
        <v>0.19228298091750359</v>
      </c>
    </row>
    <row r="189" spans="1:12" s="326" customFormat="1" ht="15.5" x14ac:dyDescent="0.35">
      <c r="A189" s="328" t="s">
        <v>1153</v>
      </c>
      <c r="B189" s="1291">
        <v>0.22133593975959862</v>
      </c>
      <c r="C189" s="1257">
        <v>0.22287360407946577</v>
      </c>
      <c r="D189" s="1257">
        <v>0.24592882195510957</v>
      </c>
      <c r="E189" s="1280">
        <v>1.653502434415179</v>
      </c>
      <c r="F189" s="1303">
        <v>5.7232434409019269E-2</v>
      </c>
      <c r="G189" s="1288">
        <v>8.9617561311283414E-2</v>
      </c>
      <c r="H189" s="1280">
        <v>0.84807206917368938</v>
      </c>
      <c r="I189" s="1303">
        <v>6.229959176331689E-2</v>
      </c>
      <c r="J189" s="1288">
        <v>0.13333534969192465</v>
      </c>
      <c r="K189" s="1280">
        <v>1.2617837871581399</v>
      </c>
      <c r="L189" s="1330">
        <v>0.19228298091750479</v>
      </c>
    </row>
    <row r="190" spans="1:12" s="326" customFormat="1" ht="15.5" x14ac:dyDescent="0.35">
      <c r="A190" s="328" t="s">
        <v>1154</v>
      </c>
      <c r="B190" s="1291">
        <v>0.22133593975959862</v>
      </c>
      <c r="C190" s="1257">
        <v>0.22287360407946577</v>
      </c>
      <c r="D190" s="1257">
        <v>0.24592882195510957</v>
      </c>
      <c r="E190" s="1280">
        <v>1.653502434415179</v>
      </c>
      <c r="F190" s="1303">
        <v>5.7397547728612705E-2</v>
      </c>
      <c r="G190" s="1288">
        <v>9.1339810825616069E-2</v>
      </c>
      <c r="H190" s="1280">
        <v>0.86437012156299908</v>
      </c>
      <c r="I190" s="1303">
        <v>6.2361093078056325E-2</v>
      </c>
      <c r="J190" s="1288">
        <v>0.13198041530565821</v>
      </c>
      <c r="K190" s="1280">
        <v>1.2489617242528097</v>
      </c>
      <c r="L190" s="1237">
        <v>0.19228298091750434</v>
      </c>
    </row>
    <row r="191" spans="1:12" s="326" customFormat="1" ht="15.5" x14ac:dyDescent="0.35">
      <c r="A191" s="328" t="s">
        <v>1155</v>
      </c>
      <c r="B191" s="1291">
        <v>0.22133593975959862</v>
      </c>
      <c r="C191" s="1257">
        <v>0.22287360407946577</v>
      </c>
      <c r="D191" s="1257">
        <v>0.24592882195510957</v>
      </c>
      <c r="E191" s="1280">
        <v>1.653502434415179</v>
      </c>
      <c r="F191" s="1303">
        <v>5.7761846585338186E-2</v>
      </c>
      <c r="G191" s="1288">
        <v>8.9685877890554946E-2</v>
      </c>
      <c r="H191" s="1280">
        <v>0.84871856503782517</v>
      </c>
      <c r="I191" s="1303">
        <v>6.2319716853279694E-2</v>
      </c>
      <c r="J191" s="1288">
        <v>0.13298725286557192</v>
      </c>
      <c r="K191" s="1280">
        <v>1.2584896649852282</v>
      </c>
      <c r="L191" s="1330">
        <v>0.19228298091750393</v>
      </c>
    </row>
    <row r="192" spans="1:12" s="326" customFormat="1" ht="15.5" x14ac:dyDescent="0.35">
      <c r="A192" s="328" t="s">
        <v>1156</v>
      </c>
      <c r="B192" s="1291">
        <v>0.22133593975959862</v>
      </c>
      <c r="C192" s="1257">
        <v>0.22287360407946577</v>
      </c>
      <c r="D192" s="1257">
        <v>0.24592882195510957</v>
      </c>
      <c r="E192" s="1280">
        <v>1.653502434415179</v>
      </c>
      <c r="F192" s="1303">
        <v>5.7698128779617955E-2</v>
      </c>
      <c r="G192" s="1288">
        <v>8.7185473748215503E-2</v>
      </c>
      <c r="H192" s="1280">
        <v>0.82505665230848058</v>
      </c>
      <c r="I192" s="1303">
        <v>6.3302494327267464E-2</v>
      </c>
      <c r="J192" s="1288">
        <v>0.13194919496699542</v>
      </c>
      <c r="K192" s="1280">
        <v>1.2486662788420815</v>
      </c>
      <c r="L192" s="1330">
        <v>0.18600768270851317</v>
      </c>
    </row>
    <row r="193" spans="1:12" s="326" customFormat="1" ht="15.5" x14ac:dyDescent="0.35">
      <c r="A193" s="328" t="s">
        <v>1157</v>
      </c>
      <c r="B193" s="1287">
        <v>0.22133593975959862</v>
      </c>
      <c r="C193" s="1257">
        <v>0.22287360407946577</v>
      </c>
      <c r="D193" s="1257">
        <v>0.24592882195510957</v>
      </c>
      <c r="E193" s="1280">
        <v>1.653502434415179</v>
      </c>
      <c r="F193" s="1303">
        <v>5.7783020826338204E-2</v>
      </c>
      <c r="G193" s="1288">
        <v>8.4423176414064674E-2</v>
      </c>
      <c r="H193" s="1280">
        <v>0.79891638268309739</v>
      </c>
      <c r="I193" s="1303">
        <v>6.3459990040581046E-2</v>
      </c>
      <c r="J193" s="1288">
        <v>0.13271778742214554</v>
      </c>
      <c r="K193" s="1280">
        <v>1.2559396500904509</v>
      </c>
      <c r="L193" s="1330">
        <v>0.18600768270851317</v>
      </c>
    </row>
    <row r="194" spans="1:12" s="326" customFormat="1" ht="15.5" x14ac:dyDescent="0.35">
      <c r="A194" s="328" t="s">
        <v>1158</v>
      </c>
      <c r="B194" s="1226">
        <v>0.2017218456296089</v>
      </c>
      <c r="C194" s="1257">
        <v>0.22287360407946577</v>
      </c>
      <c r="D194" s="1257">
        <v>0.22413538403289879</v>
      </c>
      <c r="E194" s="1280">
        <v>1.506974254545195</v>
      </c>
      <c r="F194" s="1303">
        <v>5.7629521877939946E-2</v>
      </c>
      <c r="G194" s="1288">
        <v>7.5447203241838193E-2</v>
      </c>
      <c r="H194" s="1280">
        <v>0.71397463656063065</v>
      </c>
      <c r="I194" s="1303">
        <v>6.3443403093915773E-2</v>
      </c>
      <c r="J194" s="1288">
        <v>0.13194402258647969</v>
      </c>
      <c r="K194" s="1280">
        <v>1.2486173313882307</v>
      </c>
      <c r="L194" s="1330">
        <v>0.1853804224294327</v>
      </c>
    </row>
    <row r="195" spans="1:12" s="326" customFormat="1" ht="15.5" x14ac:dyDescent="0.35">
      <c r="A195" s="328" t="s">
        <v>1159</v>
      </c>
      <c r="B195" s="1226">
        <v>0.2017218456296089</v>
      </c>
      <c r="C195" s="1257">
        <v>0.22287360407946577</v>
      </c>
      <c r="D195" s="1257">
        <v>0.22413538403289879</v>
      </c>
      <c r="E195" s="1280">
        <v>1.506974254545195</v>
      </c>
      <c r="F195" s="1303">
        <v>5.7414738507416241E-2</v>
      </c>
      <c r="G195" s="1288">
        <v>7.1791263224531707E-2</v>
      </c>
      <c r="H195" s="1280">
        <v>0.67937761595567858</v>
      </c>
      <c r="I195" s="1303">
        <v>6.3194417212060677E-2</v>
      </c>
      <c r="J195" s="1288">
        <v>0.13136494048610714</v>
      </c>
      <c r="K195" s="1280">
        <v>1.2431373412177935</v>
      </c>
      <c r="L195" s="1330">
        <v>0.17784837472733192</v>
      </c>
    </row>
    <row r="196" spans="1:12" s="326" customFormat="1" ht="15.5" x14ac:dyDescent="0.35">
      <c r="A196" s="328" t="s">
        <v>1160</v>
      </c>
      <c r="B196" s="1226">
        <v>0.2017218456296089</v>
      </c>
      <c r="C196" s="1257">
        <v>0.22287360407946577</v>
      </c>
      <c r="D196" s="1257">
        <v>0.22413538403289879</v>
      </c>
      <c r="E196" s="1280">
        <v>1.506974254545195</v>
      </c>
      <c r="F196" s="1303">
        <v>5.7082791864959737E-2</v>
      </c>
      <c r="G196" s="1288">
        <v>7.2772100846324322E-2</v>
      </c>
      <c r="H196" s="1280">
        <v>0.68865951315602514</v>
      </c>
      <c r="I196" s="1303">
        <v>6.344312473929406E-2</v>
      </c>
      <c r="J196" s="1288">
        <v>0.13136714885678455</v>
      </c>
      <c r="K196" s="1280">
        <v>1.2431582395491303</v>
      </c>
      <c r="L196" s="1330">
        <v>0.17784837473154597</v>
      </c>
    </row>
    <row r="197" spans="1:12" s="326" customFormat="1" ht="15.5" x14ac:dyDescent="0.35">
      <c r="A197" s="328" t="s">
        <v>1161</v>
      </c>
      <c r="B197" s="1287">
        <v>0.18210775149961919</v>
      </c>
      <c r="C197" s="1257">
        <v>0.22287360407946577</v>
      </c>
      <c r="D197" s="1288">
        <v>0.21454981303212256</v>
      </c>
      <c r="E197" s="1280">
        <v>1.3604460746752105</v>
      </c>
      <c r="F197" s="1303">
        <v>5.7208370684033706E-2</v>
      </c>
      <c r="G197" s="1288">
        <v>7.1702944148976461E-2</v>
      </c>
      <c r="H197" s="1280">
        <v>0.67854183176274052</v>
      </c>
      <c r="I197" s="1303">
        <v>6.3425561431457972E-2</v>
      </c>
      <c r="J197" s="1288">
        <v>0.12981720052387274</v>
      </c>
      <c r="K197" s="1280">
        <v>1.2284907137810606</v>
      </c>
      <c r="L197" s="1330">
        <v>0.1782957668450483</v>
      </c>
    </row>
    <row r="198" spans="1:12" s="326" customFormat="1" ht="15.5" x14ac:dyDescent="0.35">
      <c r="A198" s="328" t="s">
        <v>1162</v>
      </c>
      <c r="B198" s="1291">
        <v>0.17301250667882437</v>
      </c>
      <c r="C198" s="1288">
        <v>0.22287360407946577</v>
      </c>
      <c r="D198" s="1288">
        <v>0.25701443887729658</v>
      </c>
      <c r="E198" s="1280">
        <v>1.2924995429500841</v>
      </c>
      <c r="F198" s="1303">
        <v>5.7361486785935126E-2</v>
      </c>
      <c r="G198" s="1288">
        <v>6.9853692570378059E-2</v>
      </c>
      <c r="H198" s="1280">
        <v>0.6610419289564452</v>
      </c>
      <c r="I198" s="1303">
        <v>6.3677367145267907E-2</v>
      </c>
      <c r="J198" s="1288">
        <v>0.12786273915449253</v>
      </c>
      <c r="K198" s="1280">
        <v>1.2099951859693521</v>
      </c>
      <c r="L198" s="1330">
        <v>0.17829576684504764</v>
      </c>
    </row>
    <row r="199" spans="1:12" s="326" customFormat="1" ht="15.5" x14ac:dyDescent="0.35">
      <c r="A199" s="328" t="s">
        <v>1163</v>
      </c>
      <c r="B199" s="1287">
        <v>0.16391726185802954</v>
      </c>
      <c r="C199" s="1257">
        <v>0.20110846522862824</v>
      </c>
      <c r="D199" s="1257">
        <v>0.23581606558573714</v>
      </c>
      <c r="E199" s="1280">
        <v>1.2245530112249574</v>
      </c>
      <c r="F199" s="1303">
        <v>5.7267493520750529E-2</v>
      </c>
      <c r="G199" s="1288">
        <v>6.6748243293404161E-2</v>
      </c>
      <c r="H199" s="1280">
        <v>0.6316543317544937</v>
      </c>
      <c r="I199" s="1303">
        <v>6.3704837354476088E-2</v>
      </c>
      <c r="J199" s="1288">
        <v>0.12878357218781211</v>
      </c>
      <c r="K199" s="1280">
        <v>1.2187092456302515</v>
      </c>
      <c r="L199" s="1330">
        <v>0.18250448334372782</v>
      </c>
    </row>
    <row r="200" spans="1:12" s="326" customFormat="1" ht="15.5" x14ac:dyDescent="0.35">
      <c r="A200" s="328" t="s">
        <v>1164</v>
      </c>
      <c r="B200" s="1287">
        <v>0.18211920796362044</v>
      </c>
      <c r="C200" s="1257">
        <v>0.20110846522862824</v>
      </c>
      <c r="D200" s="1288">
        <v>0.21461769229417771</v>
      </c>
      <c r="E200" s="1306">
        <v>1.7478134682053219</v>
      </c>
      <c r="F200" s="1303">
        <v>5.7433440846813712E-2</v>
      </c>
      <c r="G200" s="1288">
        <v>6.7043238650938142E-2</v>
      </c>
      <c r="H200" s="1280">
        <v>0.63444594223351025</v>
      </c>
      <c r="I200" s="1303">
        <v>6.3493104316108648E-2</v>
      </c>
      <c r="J200" s="1288">
        <v>0.12860218966504081</v>
      </c>
      <c r="K200" s="1280">
        <v>1.2169927801390257</v>
      </c>
      <c r="L200" s="1330">
        <v>0.18417944287166799</v>
      </c>
    </row>
    <row r="201" spans="1:12" s="326" customFormat="1" ht="15.5" x14ac:dyDescent="0.35">
      <c r="A201" s="328" t="s">
        <v>1165</v>
      </c>
      <c r="B201" s="1287">
        <v>0.20792867695684664</v>
      </c>
      <c r="C201" s="1257">
        <v>0.20110846522862824</v>
      </c>
      <c r="D201" s="1288">
        <v>0.25679850600176929</v>
      </c>
      <c r="E201" s="1306">
        <v>2.1156752583355991</v>
      </c>
      <c r="F201" s="1303">
        <v>5.7278758429341964E-2</v>
      </c>
      <c r="G201" s="1288">
        <v>7.2796809898341405E-2</v>
      </c>
      <c r="H201" s="1280">
        <v>0.68889334072915731</v>
      </c>
      <c r="I201" s="1303">
        <v>6.3082194328451163E-2</v>
      </c>
      <c r="J201" s="1288">
        <v>0.12904034795348926</v>
      </c>
      <c r="K201" s="1280">
        <v>1.2211391751186813</v>
      </c>
      <c r="L201" s="1330">
        <v>0.18417944287166807</v>
      </c>
    </row>
    <row r="202" spans="1:12" s="326" customFormat="1" ht="15.5" x14ac:dyDescent="0.35">
      <c r="A202" s="328" t="s">
        <v>1166</v>
      </c>
      <c r="B202" s="1287">
        <v>0.18332748874439264</v>
      </c>
      <c r="C202" s="1257">
        <v>0.20110846522862824</v>
      </c>
      <c r="D202" s="1288">
        <v>0.25443471746598278</v>
      </c>
      <c r="E202" s="1306">
        <v>2.1157187665008048</v>
      </c>
      <c r="F202" s="1303">
        <v>5.7349399651501869E-2</v>
      </c>
      <c r="G202" s="1288">
        <v>7.1661343383371823E-2</v>
      </c>
      <c r="H202" s="1280">
        <v>0.6781481539294083</v>
      </c>
      <c r="I202" s="1303">
        <v>6.3547737173780969E-2</v>
      </c>
      <c r="J202" s="1288">
        <v>0.12930397954038075</v>
      </c>
      <c r="K202" s="1280">
        <v>1.2236339828563971</v>
      </c>
      <c r="L202" s="1330">
        <v>0.18417944287251245</v>
      </c>
    </row>
    <row r="203" spans="1:12" s="326" customFormat="1" ht="15.5" x14ac:dyDescent="0.35">
      <c r="A203" s="328" t="s">
        <v>1167</v>
      </c>
      <c r="B203" s="1287">
        <v>0.17926283509991148</v>
      </c>
      <c r="C203" s="1288">
        <v>0.17934332637779074</v>
      </c>
      <c r="D203" s="1288">
        <v>0.21915724789029881</v>
      </c>
      <c r="E203" s="1306">
        <v>1.7478134682053263</v>
      </c>
      <c r="F203" s="1303">
        <v>5.7185277578320225E-2</v>
      </c>
      <c r="G203" s="1288">
        <v>6.9945570672208343E-2</v>
      </c>
      <c r="H203" s="1280">
        <v>0.66191139305244229</v>
      </c>
      <c r="I203" s="1303">
        <v>6.3328451946747286E-2</v>
      </c>
      <c r="J203" s="1288">
        <v>0.12900073390247543</v>
      </c>
      <c r="K203" s="1280">
        <v>1.2207642980329843</v>
      </c>
      <c r="L203" s="1330">
        <v>0.18417944287251192</v>
      </c>
    </row>
    <row r="204" spans="1:12" s="326" customFormat="1" ht="15.5" x14ac:dyDescent="0.35">
      <c r="A204" s="328" t="s">
        <v>1168</v>
      </c>
      <c r="B204" s="1287">
        <v>0.15330178343996206</v>
      </c>
      <c r="C204" s="1288">
        <v>0.22008485786166448</v>
      </c>
      <c r="D204" s="1288">
        <v>0.18046933269233026</v>
      </c>
      <c r="E204" s="1306">
        <v>1.7432441188824759</v>
      </c>
      <c r="F204" s="1303">
        <v>5.6953188133124874E-2</v>
      </c>
      <c r="G204" s="1288">
        <v>7.0834030015235236E-2</v>
      </c>
      <c r="H204" s="1280">
        <v>0.67031909286476299</v>
      </c>
      <c r="I204" s="1303">
        <v>6.2931050786844495E-2</v>
      </c>
      <c r="J204" s="1288">
        <v>0.12843450322471364</v>
      </c>
      <c r="K204" s="1280">
        <v>1.2154059238985768</v>
      </c>
      <c r="L204" s="1330">
        <v>0.18290392462587723</v>
      </c>
    </row>
    <row r="205" spans="1:12" s="326" customFormat="1" ht="15.5" x14ac:dyDescent="0.35">
      <c r="A205" s="328" t="s">
        <v>1169</v>
      </c>
      <c r="B205" s="1287">
        <v>0.17339897618216266</v>
      </c>
      <c r="C205" s="1288">
        <v>0.1557052251766424</v>
      </c>
      <c r="D205" s="1288">
        <v>0.23234228335401483</v>
      </c>
      <c r="E205" s="1306">
        <v>1.9488729463401884</v>
      </c>
      <c r="F205" s="1303">
        <v>4.8985296054494955E-2</v>
      </c>
      <c r="G205" s="1288">
        <v>7.0590305090010713E-2</v>
      </c>
      <c r="H205" s="1280">
        <v>0.66801266655032199</v>
      </c>
      <c r="I205" s="1303">
        <v>6.8925149302350872E-2</v>
      </c>
      <c r="J205" s="1288">
        <v>0.12733647642493753</v>
      </c>
      <c r="K205" s="1280">
        <v>1.2050150379330484</v>
      </c>
      <c r="L205" s="1330">
        <v>0.1810619389531751</v>
      </c>
    </row>
    <row r="206" spans="1:12" s="326" customFormat="1" ht="15.5" x14ac:dyDescent="0.35">
      <c r="A206" s="328" t="s">
        <v>1170</v>
      </c>
      <c r="B206" s="1287">
        <v>0.11564725863891218</v>
      </c>
      <c r="C206" s="1288">
        <v>0.26511493373641837</v>
      </c>
      <c r="D206" s="1288">
        <v>0.2259522443289618</v>
      </c>
      <c r="E206" s="1306">
        <v>2.0931246366836898</v>
      </c>
      <c r="F206" s="1303">
        <v>4.8721449431448405E-2</v>
      </c>
      <c r="G206" s="1288">
        <v>6.8069879868366587E-2</v>
      </c>
      <c r="H206" s="1280">
        <v>0.64416128963667496</v>
      </c>
      <c r="I206" s="1303">
        <v>6.8912410963960918E-2</v>
      </c>
      <c r="J206" s="1288">
        <v>0.12792559496213429</v>
      </c>
      <c r="K206" s="1280">
        <v>1.2105900052666678</v>
      </c>
      <c r="L206" s="1330">
        <v>0.17940415183735176</v>
      </c>
    </row>
    <row r="207" spans="1:12" s="326" customFormat="1" ht="15.5" x14ac:dyDescent="0.35">
      <c r="A207" s="328" t="s">
        <v>1171</v>
      </c>
      <c r="B207" s="1287">
        <v>0.1182667996552257</v>
      </c>
      <c r="C207" s="1288">
        <v>0.17022049671844589</v>
      </c>
      <c r="D207" s="1288">
        <v>0.22019907404954006</v>
      </c>
      <c r="E207" s="1306">
        <v>1.795376613673713</v>
      </c>
      <c r="F207" s="1303">
        <v>4.8682419403490239E-2</v>
      </c>
      <c r="G207" s="1288">
        <v>7.0880209627029137E-2</v>
      </c>
      <c r="H207" s="1280">
        <v>0.67075610139695951</v>
      </c>
      <c r="I207" s="1303">
        <v>6.8597170991862369E-2</v>
      </c>
      <c r="J207" s="1288">
        <v>0.12811721786985814</v>
      </c>
      <c r="K207" s="1280">
        <v>1.2124033779302015</v>
      </c>
      <c r="L207" s="1330">
        <v>0.1778623554630808</v>
      </c>
    </row>
    <row r="208" spans="1:12" s="326" customFormat="1" ht="15.5" x14ac:dyDescent="0.35">
      <c r="A208" s="328" t="s">
        <v>1172</v>
      </c>
      <c r="B208" s="1287">
        <v>0.14188321797405104</v>
      </c>
      <c r="C208" s="1288">
        <v>0.21362048101714534</v>
      </c>
      <c r="D208" s="1288">
        <v>0.3438837471930013</v>
      </c>
      <c r="E208" s="1306">
        <v>1.7664082583714964</v>
      </c>
      <c r="F208" s="1303">
        <v>5.8430147131699577E-2</v>
      </c>
      <c r="G208" s="1288">
        <v>6.7642390432629693E-2</v>
      </c>
      <c r="H208" s="1280">
        <v>0.64011585652054714</v>
      </c>
      <c r="I208" s="1303">
        <v>7.4377714936946254E-2</v>
      </c>
      <c r="J208" s="1288">
        <v>0.12902042518714565</v>
      </c>
      <c r="K208" s="1280">
        <v>1.220950641293062</v>
      </c>
      <c r="L208" s="1330">
        <v>0.17801982742470882</v>
      </c>
    </row>
    <row r="209" spans="1:12" s="326" customFormat="1" ht="15.5" x14ac:dyDescent="0.35">
      <c r="A209" s="328" t="s">
        <v>1173</v>
      </c>
      <c r="B209" s="1287">
        <v>0.14752987925199432</v>
      </c>
      <c r="C209" s="1288">
        <v>0.18389489797646341</v>
      </c>
      <c r="D209" s="1288">
        <v>0.28780000927892241</v>
      </c>
      <c r="E209" s="1306">
        <v>1.7444017374056386</v>
      </c>
      <c r="F209" s="1303">
        <v>5.8547602980429436E-2</v>
      </c>
      <c r="G209" s="1288">
        <v>6.6671739514465228E-2</v>
      </c>
      <c r="H209" s="1280">
        <v>0.63093035849350554</v>
      </c>
      <c r="I209" s="1303">
        <v>7.5018615056542712E-2</v>
      </c>
      <c r="J209" s="1288">
        <v>0.11474710825136608</v>
      </c>
      <c r="K209" s="1280">
        <v>1.0858788847022658</v>
      </c>
      <c r="L209" s="1330">
        <v>0.18009033145052744</v>
      </c>
    </row>
    <row r="210" spans="1:12" s="326" customFormat="1" ht="15.5" x14ac:dyDescent="0.35">
      <c r="A210" s="328" t="s">
        <v>1174</v>
      </c>
      <c r="B210" s="1287">
        <v>0.14555946337675238</v>
      </c>
      <c r="C210" s="1288">
        <v>0.19680553654405156</v>
      </c>
      <c r="D210" s="1288">
        <v>0.24180874573482136</v>
      </c>
      <c r="E210" s="1306">
        <v>2.0467235959854277</v>
      </c>
      <c r="F210" s="1303">
        <v>5.7711793319430417E-2</v>
      </c>
      <c r="G210" s="1288">
        <v>6.1551314570030873E-2</v>
      </c>
      <c r="H210" s="1280">
        <v>0.58247457243845391</v>
      </c>
      <c r="I210" s="1303">
        <v>7.4773622949542026E-2</v>
      </c>
      <c r="J210" s="1288">
        <v>9.8826997947813452E-2</v>
      </c>
      <c r="K210" s="1280">
        <v>0.93522313499144061</v>
      </c>
      <c r="L210" s="1330">
        <v>0.17903511497141811</v>
      </c>
    </row>
    <row r="211" spans="1:12" s="326" customFormat="1" ht="15.5" x14ac:dyDescent="0.35">
      <c r="A211" s="328" t="s">
        <v>1175</v>
      </c>
      <c r="B211" s="1287">
        <v>0.11729413356242856</v>
      </c>
      <c r="C211" s="1288">
        <v>0.22651369504674268</v>
      </c>
      <c r="D211" s="1288">
        <v>0.2614154747164748</v>
      </c>
      <c r="E211" s="1306">
        <v>1.7758266809694303</v>
      </c>
      <c r="F211" s="1303">
        <v>6.3398294468352309E-2</v>
      </c>
      <c r="G211" s="1288">
        <v>5.7641131441052651E-2</v>
      </c>
      <c r="H211" s="1280">
        <v>0.54547158944584384</v>
      </c>
      <c r="I211" s="1303">
        <v>8.0221730807076772E-2</v>
      </c>
      <c r="J211" s="1288">
        <v>9.8211203745445258E-2</v>
      </c>
      <c r="K211" s="1280">
        <v>0.92939572956167682</v>
      </c>
      <c r="L211" s="1330">
        <v>0.17789786108831773</v>
      </c>
    </row>
    <row r="212" spans="1:12" s="326" customFormat="1" ht="15.5" x14ac:dyDescent="0.35">
      <c r="A212" s="328" t="s">
        <v>1176</v>
      </c>
      <c r="B212" s="1287">
        <v>0.11175735789902153</v>
      </c>
      <c r="C212" s="1288">
        <v>0.18713359193571227</v>
      </c>
      <c r="D212" s="1288">
        <v>0.24531865222911331</v>
      </c>
      <c r="E212" s="1306">
        <v>1.808877116358923</v>
      </c>
      <c r="F212" s="1303">
        <v>6.3277204748473231E-2</v>
      </c>
      <c r="G212" s="1288">
        <v>5.6849952502110467E-2</v>
      </c>
      <c r="H212" s="1280">
        <v>0.53798447698688356</v>
      </c>
      <c r="I212" s="1303">
        <v>8.0226104197418852E-2</v>
      </c>
      <c r="J212" s="1288">
        <v>9.9611995986684548E-2</v>
      </c>
      <c r="K212" s="1280">
        <v>0.94265175613869867</v>
      </c>
      <c r="L212" s="1330">
        <v>0.16781512510267776</v>
      </c>
    </row>
    <row r="213" spans="1:12" s="326" customFormat="1" ht="15.5" x14ac:dyDescent="0.35">
      <c r="A213" s="328" t="s">
        <v>1177</v>
      </c>
      <c r="B213" s="1287">
        <v>0.13949844876794482</v>
      </c>
      <c r="C213" s="1288">
        <v>0.1761477661536584</v>
      </c>
      <c r="D213" s="1288">
        <v>0.28660704385155744</v>
      </c>
      <c r="E213" s="1306">
        <v>1.9195903461950805</v>
      </c>
      <c r="F213" s="1303">
        <v>5.9632247965937558E-2</v>
      </c>
      <c r="G213" s="1288">
        <v>5.7122806976110205E-2</v>
      </c>
      <c r="H213" s="1280">
        <v>0.54056656307539586</v>
      </c>
      <c r="I213" s="1303">
        <v>8.0349271400616984E-2</v>
      </c>
      <c r="J213" s="1288">
        <v>0.1002243811960464</v>
      </c>
      <c r="K213" s="1280">
        <v>0.94844690146552724</v>
      </c>
      <c r="L213" s="1330">
        <v>0.16725792479750354</v>
      </c>
    </row>
    <row r="214" spans="1:12" s="326" customFormat="1" ht="15.5" x14ac:dyDescent="0.35">
      <c r="A214" s="328" t="s">
        <v>1178</v>
      </c>
      <c r="B214" s="1287">
        <v>0.13194385061187655</v>
      </c>
      <c r="C214" s="1288">
        <v>0.18386543427713636</v>
      </c>
      <c r="D214" s="1288">
        <v>0.26356195375837876</v>
      </c>
      <c r="E214" s="1306">
        <v>2.088310963540815</v>
      </c>
      <c r="F214" s="1303">
        <v>6.3044866440473107E-2</v>
      </c>
      <c r="G214" s="1288">
        <v>5.6101316422640227E-2</v>
      </c>
      <c r="H214" s="1280">
        <v>0.530899957617191</v>
      </c>
      <c r="I214" s="1303">
        <v>8.0237423956004847E-2</v>
      </c>
      <c r="J214" s="1288">
        <v>0.10010891086224065</v>
      </c>
      <c r="K214" s="1280">
        <v>0.94735417852723314</v>
      </c>
      <c r="L214" s="1330">
        <v>0.15749868539638964</v>
      </c>
    </row>
    <row r="215" spans="1:12" s="326" customFormat="1" ht="15.5" x14ac:dyDescent="0.35">
      <c r="A215" s="328" t="s">
        <v>1179</v>
      </c>
      <c r="B215" s="1287">
        <v>0.12459238969155539</v>
      </c>
      <c r="C215" s="1288">
        <v>0.12917248044557891</v>
      </c>
      <c r="D215" s="1288">
        <v>0.31265444011842158</v>
      </c>
      <c r="E215" s="1306">
        <v>2.0764246942057332</v>
      </c>
      <c r="F215" s="1303">
        <v>5.8675556723303914E-2</v>
      </c>
      <c r="G215" s="1288">
        <v>5.4442637926283351E-2</v>
      </c>
      <c r="H215" s="1280">
        <v>0.51520349272887267</v>
      </c>
      <c r="I215" s="1303">
        <v>7.8028850438563599E-2</v>
      </c>
      <c r="J215" s="1288">
        <v>9.7756154403685666E-2</v>
      </c>
      <c r="K215" s="1280">
        <v>0.92508949057017242</v>
      </c>
      <c r="L215" s="1330">
        <v>0.18714742063668213</v>
      </c>
    </row>
    <row r="216" spans="1:12" s="326" customFormat="1" ht="15.5" x14ac:dyDescent="0.35">
      <c r="A216" s="328" t="s">
        <v>1180</v>
      </c>
      <c r="B216" s="1287">
        <v>0.13255123574816341</v>
      </c>
      <c r="C216" s="1288">
        <v>0.16539617278464575</v>
      </c>
      <c r="D216" s="1288">
        <v>0.28252201425533102</v>
      </c>
      <c r="E216" s="1306">
        <v>1.9320592278364419</v>
      </c>
      <c r="F216" s="1303">
        <v>5.7337422799619786E-2</v>
      </c>
      <c r="G216" s="1288">
        <v>5.529586281951452E-2</v>
      </c>
      <c r="H216" s="1280">
        <v>0.52327776065231757</v>
      </c>
      <c r="I216" s="1303">
        <v>7.751250190756237E-2</v>
      </c>
      <c r="J216" s="1288">
        <v>9.8433626744398539E-2</v>
      </c>
      <c r="K216" s="1280">
        <v>0.931500570735595</v>
      </c>
      <c r="L216" s="1330">
        <v>0.18714742063668194</v>
      </c>
    </row>
    <row r="217" spans="1:12" s="326" customFormat="1" ht="15.5" x14ac:dyDescent="0.35">
      <c r="A217" s="328" t="s">
        <v>1181</v>
      </c>
      <c r="B217" s="1287">
        <v>0.11682316837370618</v>
      </c>
      <c r="C217" s="1288">
        <v>0.19494723611331088</v>
      </c>
      <c r="D217" s="1288">
        <v>0.27884488538873747</v>
      </c>
      <c r="E217" s="1306">
        <v>2.0115292002301084</v>
      </c>
      <c r="F217" s="1303">
        <v>6.016599496304368E-2</v>
      </c>
      <c r="G217" s="1288">
        <v>5.5578073380556432E-2</v>
      </c>
      <c r="H217" s="1280">
        <v>0.52594838559394208</v>
      </c>
      <c r="I217" s="1303">
        <v>7.4930300040134235E-2</v>
      </c>
      <c r="J217" s="1288">
        <v>9.5503836590507069E-2</v>
      </c>
      <c r="K217" s="1280">
        <v>0.90377527714693073</v>
      </c>
      <c r="L217" s="1330">
        <v>0.18714742063668202</v>
      </c>
    </row>
    <row r="218" spans="1:12" s="326" customFormat="1" ht="15.5" x14ac:dyDescent="0.35">
      <c r="A218" s="328" t="s">
        <v>1182</v>
      </c>
      <c r="B218" s="1287">
        <v>0.12304559271303643</v>
      </c>
      <c r="C218" s="1288">
        <v>0.17275140114586918</v>
      </c>
      <c r="D218" s="1288">
        <v>0.21454457041548283</v>
      </c>
      <c r="E218" s="1306">
        <v>1.9664222628951398</v>
      </c>
      <c r="F218" s="1303">
        <v>5.9246807258907623E-2</v>
      </c>
      <c r="G218" s="1288">
        <v>5.4624350252510126E-2</v>
      </c>
      <c r="H218" s="1280">
        <v>0.51692307922779801</v>
      </c>
      <c r="I218" s="1303">
        <v>7.2358230670696674E-2</v>
      </c>
      <c r="J218" s="1288">
        <v>9.4386435260231424E-2</v>
      </c>
      <c r="K218" s="1280">
        <v>0.89320104544057244</v>
      </c>
      <c r="L218" s="1330">
        <v>0.19208261798960147</v>
      </c>
    </row>
    <row r="219" spans="1:12" s="326" customFormat="1" ht="15.5" x14ac:dyDescent="0.35">
      <c r="A219" s="328" t="s">
        <v>1183</v>
      </c>
      <c r="B219" s="1287">
        <v>0.10461591585915928</v>
      </c>
      <c r="C219" s="1288">
        <v>0.20064303006920875</v>
      </c>
      <c r="D219" s="1288">
        <v>0.20042830098896861</v>
      </c>
      <c r="E219" s="1306">
        <v>1.8863187867629732</v>
      </c>
      <c r="F219" s="1303">
        <v>5.5139672206430984E-2</v>
      </c>
      <c r="G219" s="1288">
        <v>5.2999312094189684E-2</v>
      </c>
      <c r="H219" s="1280">
        <v>0.50154496077369215</v>
      </c>
      <c r="I219" s="1303">
        <v>6.8085378981479261E-2</v>
      </c>
      <c r="J219" s="1288">
        <v>8.9369257038900016E-2</v>
      </c>
      <c r="K219" s="1280">
        <v>0.84572230741959054</v>
      </c>
      <c r="L219" s="1330">
        <v>0.19208261798960174</v>
      </c>
    </row>
    <row r="220" spans="1:12" s="326" customFormat="1" ht="15.5" x14ac:dyDescent="0.35">
      <c r="A220" s="328" t="s">
        <v>1184</v>
      </c>
      <c r="B220" s="1291">
        <v>0.10461591585915928</v>
      </c>
      <c r="C220" s="1257">
        <v>0.20064303006920875</v>
      </c>
      <c r="D220" s="1257">
        <v>0.20042830098896861</v>
      </c>
      <c r="E220" s="1280">
        <v>1.8863187867629732</v>
      </c>
      <c r="F220" s="1271">
        <v>5.5139672206430984E-2</v>
      </c>
      <c r="G220" s="1257">
        <v>5.2999312094189684E-2</v>
      </c>
      <c r="H220" s="1280">
        <v>0.50154496077369215</v>
      </c>
      <c r="I220" s="1271">
        <v>6.8085378981479261E-2</v>
      </c>
      <c r="J220" s="1257">
        <v>8.9369257038900016E-2</v>
      </c>
      <c r="K220" s="1280">
        <v>0.84572230741959054</v>
      </c>
      <c r="L220" s="1330">
        <v>0.20264515025573357</v>
      </c>
    </row>
    <row r="221" spans="1:12" s="326" customFormat="1" ht="15.5" x14ac:dyDescent="0.35">
      <c r="A221" s="328" t="s">
        <v>1185</v>
      </c>
      <c r="B221" s="1291">
        <v>0.18210775149961916</v>
      </c>
      <c r="C221" s="1257">
        <v>0.22324305992112559</v>
      </c>
      <c r="D221" s="1257">
        <v>0.20234194611068795</v>
      </c>
      <c r="E221" s="1280">
        <v>1.3604460746752103</v>
      </c>
      <c r="F221" s="1271">
        <v>5.8329983612792125E-2</v>
      </c>
      <c r="G221" s="1257">
        <v>0.10241816710344664</v>
      </c>
      <c r="H221" s="1280">
        <v>0.96920721369217522</v>
      </c>
      <c r="I221" s="1271">
        <v>5.8017734726272301E-2</v>
      </c>
      <c r="J221" s="1257">
        <v>0.17668383992695558</v>
      </c>
      <c r="K221" s="1280">
        <v>1.6720007498969989</v>
      </c>
      <c r="L221" s="1237">
        <v>0.19454637579217063</v>
      </c>
    </row>
    <row r="222" spans="1:12" s="326" customFormat="1" ht="15.5" x14ac:dyDescent="0.35">
      <c r="A222" s="328" t="s">
        <v>1186</v>
      </c>
      <c r="B222" s="1291">
        <v>0.18210775149961916</v>
      </c>
      <c r="C222" s="1257">
        <v>0.22324305992112559</v>
      </c>
      <c r="D222" s="1257">
        <v>0.20234194611068795</v>
      </c>
      <c r="E222" s="1280">
        <v>1.3604460746752103</v>
      </c>
      <c r="F222" s="1271">
        <v>5.8329983612792125E-2</v>
      </c>
      <c r="G222" s="1257">
        <v>0.10241816710344664</v>
      </c>
      <c r="H222" s="1280">
        <v>0.96920721369217522</v>
      </c>
      <c r="I222" s="1271">
        <v>5.8017734726272301E-2</v>
      </c>
      <c r="J222" s="1257">
        <v>0.17668383992695558</v>
      </c>
      <c r="K222" s="1280">
        <v>1.6720007498969989</v>
      </c>
      <c r="L222" s="1237">
        <v>0.19454637579217063</v>
      </c>
    </row>
    <row r="223" spans="1:12" s="326" customFormat="1" ht="15.5" x14ac:dyDescent="0.35">
      <c r="A223" s="328" t="s">
        <v>1187</v>
      </c>
      <c r="B223" s="1291">
        <v>0.18210775149961916</v>
      </c>
      <c r="C223" s="1257">
        <v>0.22324305992112559</v>
      </c>
      <c r="D223" s="1257">
        <v>0.20234194611068795</v>
      </c>
      <c r="E223" s="1280">
        <v>1.3604460746752103</v>
      </c>
      <c r="F223" s="1271">
        <v>5.8329983612792125E-2</v>
      </c>
      <c r="G223" s="1257">
        <v>0.10241816710344664</v>
      </c>
      <c r="H223" s="1280">
        <v>0.96920721369217522</v>
      </c>
      <c r="I223" s="1271">
        <v>5.8017734726272301E-2</v>
      </c>
      <c r="J223" s="1257">
        <v>0.17668383992695558</v>
      </c>
      <c r="K223" s="1280">
        <v>1.6720007498969989</v>
      </c>
      <c r="L223" s="1237">
        <v>0.19454637579217063</v>
      </c>
    </row>
    <row r="224" spans="1:12" s="326" customFormat="1" ht="15.5" x14ac:dyDescent="0.35">
      <c r="A224" s="328" t="s">
        <v>1188</v>
      </c>
      <c r="B224" s="1291">
        <v>0.18210775149961916</v>
      </c>
      <c r="C224" s="1257">
        <v>0.22324305992112559</v>
      </c>
      <c r="D224" s="1257">
        <v>0.20234194611068795</v>
      </c>
      <c r="E224" s="1280">
        <v>1.3604460746752103</v>
      </c>
      <c r="F224" s="1271">
        <v>5.8329983612792125E-2</v>
      </c>
      <c r="G224" s="1257">
        <v>0.10241816710344664</v>
      </c>
      <c r="H224" s="1280">
        <v>0.96920721369217522</v>
      </c>
      <c r="I224" s="1271">
        <v>5.8017734726272301E-2</v>
      </c>
      <c r="J224" s="1257">
        <v>0.17668383992695558</v>
      </c>
      <c r="K224" s="1280">
        <v>1.6720007498969989</v>
      </c>
      <c r="L224" s="1237">
        <v>0.19454637579217063</v>
      </c>
    </row>
    <row r="225" spans="1:12" s="326" customFormat="1" ht="15.5" x14ac:dyDescent="0.35">
      <c r="A225" s="328" t="s">
        <v>1189</v>
      </c>
      <c r="B225" s="1291">
        <v>0.18210775149961916</v>
      </c>
      <c r="C225" s="1257">
        <v>0.22324305992112559</v>
      </c>
      <c r="D225" s="1257">
        <v>0.20234194611068795</v>
      </c>
      <c r="E225" s="1280">
        <v>1.3604460746752103</v>
      </c>
      <c r="F225" s="1271">
        <v>5.8329983612792125E-2</v>
      </c>
      <c r="G225" s="1288">
        <v>0.10241816710344664</v>
      </c>
      <c r="H225" s="1280">
        <v>0.96920721369217522</v>
      </c>
      <c r="I225" s="1303">
        <v>5.8017734726272301E-2</v>
      </c>
      <c r="J225" s="1257">
        <v>0.17668383992695558</v>
      </c>
      <c r="K225" s="1280">
        <v>1.6720007498969989</v>
      </c>
      <c r="L225" s="1237">
        <v>0.19454637579217063</v>
      </c>
    </row>
    <row r="226" spans="1:12" s="326" customFormat="1" ht="15.5" x14ac:dyDescent="0.35">
      <c r="A226" s="328" t="s">
        <v>1190</v>
      </c>
      <c r="B226" s="1291">
        <v>0.18210775149961916</v>
      </c>
      <c r="C226" s="1257">
        <v>0.22324305992112559</v>
      </c>
      <c r="D226" s="1257">
        <v>0.20234194611068795</v>
      </c>
      <c r="E226" s="1280">
        <v>1.3604460746752103</v>
      </c>
      <c r="F226" s="1271">
        <v>5.8329983612792125E-2</v>
      </c>
      <c r="G226" s="1288">
        <v>0.13123659701855225</v>
      </c>
      <c r="H226" s="1280">
        <v>1.2419227967858586</v>
      </c>
      <c r="I226" s="1271">
        <v>6.0773691509193192E-2</v>
      </c>
      <c r="J226" s="1288">
        <v>0.17668383992695558</v>
      </c>
      <c r="K226" s="1280">
        <v>1.6720007498969989</v>
      </c>
      <c r="L226" s="1237">
        <v>0.19454637579217063</v>
      </c>
    </row>
    <row r="227" spans="1:12" s="326" customFormat="1" ht="15.5" x14ac:dyDescent="0.35">
      <c r="A227" s="328" t="s">
        <v>1191</v>
      </c>
      <c r="B227" s="1291">
        <v>0.18210775149961916</v>
      </c>
      <c r="C227" s="1257">
        <v>0.22324305992112559</v>
      </c>
      <c r="D227" s="1257">
        <v>0.20234194611068795</v>
      </c>
      <c r="E227" s="1280">
        <v>1.3604460746752103</v>
      </c>
      <c r="F227" s="1303">
        <v>5.8329983612792125E-2</v>
      </c>
      <c r="G227" s="1288">
        <v>0.12830683415564068</v>
      </c>
      <c r="H227" s="1280">
        <v>1.2141977614581585</v>
      </c>
      <c r="I227" s="1271">
        <v>6.0773691509193192E-2</v>
      </c>
      <c r="J227" s="1288">
        <v>0.12939524226685314</v>
      </c>
      <c r="K227" s="1280">
        <v>1.2244976235105884</v>
      </c>
      <c r="L227" s="1237">
        <v>0.19454637579217063</v>
      </c>
    </row>
    <row r="228" spans="1:12" s="326" customFormat="1" ht="15.5" x14ac:dyDescent="0.35">
      <c r="A228" s="328" t="s">
        <v>1192</v>
      </c>
      <c r="B228" s="1291">
        <v>0.18210775149961916</v>
      </c>
      <c r="C228" s="1257">
        <v>0.22324305992112559</v>
      </c>
      <c r="D228" s="1257">
        <v>0.20234194611068795</v>
      </c>
      <c r="E228" s="1280">
        <v>1.3604460746752103</v>
      </c>
      <c r="F228" s="1303">
        <v>5.7921619211994686E-2</v>
      </c>
      <c r="G228" s="1288">
        <v>0.1027969735812316</v>
      </c>
      <c r="H228" s="1280">
        <v>0.97279194852239026</v>
      </c>
      <c r="I228" s="1271">
        <v>6.0773691509193192E-2</v>
      </c>
      <c r="J228" s="1288">
        <v>0.14835581160550793</v>
      </c>
      <c r="K228" s="1280">
        <v>1.4039259524727112</v>
      </c>
      <c r="L228" s="1237">
        <v>0.19454637579217063</v>
      </c>
    </row>
    <row r="229" spans="1:12" s="326" customFormat="1" ht="15.5" x14ac:dyDescent="0.35">
      <c r="A229" s="328" t="s">
        <v>1193</v>
      </c>
      <c r="B229" s="1291">
        <v>0.18210775149961916</v>
      </c>
      <c r="C229" s="1257">
        <v>0.22324305992112559</v>
      </c>
      <c r="D229" s="1257">
        <v>0.20234194611068795</v>
      </c>
      <c r="E229" s="1280">
        <v>1.3604460746752103</v>
      </c>
      <c r="F229" s="1303">
        <v>5.7181394128944102E-2</v>
      </c>
      <c r="G229" s="1288">
        <v>0.10410023244414353</v>
      </c>
      <c r="H229" s="1280">
        <v>0.98512499379126994</v>
      </c>
      <c r="I229" s="1271">
        <v>6.0773691509193192E-2</v>
      </c>
      <c r="J229" s="1288">
        <v>0.14081886003278418</v>
      </c>
      <c r="K229" s="1280">
        <v>1.3326020063396562</v>
      </c>
      <c r="L229" s="1237">
        <v>0.19454637579217063</v>
      </c>
    </row>
    <row r="230" spans="1:12" s="326" customFormat="1" ht="15.5" x14ac:dyDescent="0.35">
      <c r="A230" s="328" t="s">
        <v>1194</v>
      </c>
      <c r="B230" s="1291">
        <v>0.18210775149961916</v>
      </c>
      <c r="C230" s="1257">
        <v>0.22324305992112559</v>
      </c>
      <c r="D230" s="1257">
        <v>0.20234194611068795</v>
      </c>
      <c r="E230" s="1280">
        <v>1.3604460746752103</v>
      </c>
      <c r="F230" s="1303">
        <v>5.7288524190469835E-2</v>
      </c>
      <c r="G230" s="1288">
        <v>0.11175520794104551</v>
      </c>
      <c r="H230" s="1280">
        <v>1.0575658280891587</v>
      </c>
      <c r="I230" s="1271">
        <v>6.0773691509193192E-2</v>
      </c>
      <c r="J230" s="1288">
        <v>0.14920958248445909</v>
      </c>
      <c r="K230" s="1280">
        <v>1.4120053871874916</v>
      </c>
      <c r="L230" s="1330">
        <v>0.19454637579217063</v>
      </c>
    </row>
    <row r="231" spans="1:12" s="326" customFormat="1" ht="15.5" x14ac:dyDescent="0.35">
      <c r="A231" s="328" t="s">
        <v>1195</v>
      </c>
      <c r="B231" s="1291">
        <v>0.18210775149961916</v>
      </c>
      <c r="C231" s="1257">
        <v>0.22324305992112559</v>
      </c>
      <c r="D231" s="1257">
        <v>0.20234194611068795</v>
      </c>
      <c r="E231" s="1280">
        <v>1.3604460746752103</v>
      </c>
      <c r="F231" s="1303">
        <v>5.7681756269647326E-2</v>
      </c>
      <c r="G231" s="1288">
        <v>0.10509390435180054</v>
      </c>
      <c r="H231" s="1280">
        <v>0.99452834485858299</v>
      </c>
      <c r="I231" s="1271">
        <v>6.0773691509193192E-2</v>
      </c>
      <c r="J231" s="1288">
        <v>0.14128191108260471</v>
      </c>
      <c r="K231" s="1280">
        <v>1.3369839673772961</v>
      </c>
      <c r="L231" s="1237">
        <v>0.19208421846847981</v>
      </c>
    </row>
    <row r="232" spans="1:12" s="326" customFormat="1" ht="15.5" x14ac:dyDescent="0.35">
      <c r="A232" s="328" t="s">
        <v>1196</v>
      </c>
      <c r="B232" s="1291">
        <v>0.18210775149961916</v>
      </c>
      <c r="C232" s="1257">
        <v>0.22324305992112559</v>
      </c>
      <c r="D232" s="1257">
        <v>0.20234194611068795</v>
      </c>
      <c r="E232" s="1280">
        <v>1.3604460746752103</v>
      </c>
      <c r="F232" s="1303">
        <v>5.6957310297348206E-2</v>
      </c>
      <c r="G232" s="1288">
        <v>0.10846380313896456</v>
      </c>
      <c r="H232" s="1280">
        <v>1.0264184899988777</v>
      </c>
      <c r="I232" s="1303">
        <v>6.3529648292114091E-2</v>
      </c>
      <c r="J232" s="1288">
        <v>0.13960746719104983</v>
      </c>
      <c r="K232" s="1280">
        <v>1.3211383108447141</v>
      </c>
      <c r="L232" s="1237">
        <v>0.19208421846847981</v>
      </c>
    </row>
    <row r="233" spans="1:12" s="326" customFormat="1" ht="15.5" x14ac:dyDescent="0.35">
      <c r="A233" s="328" t="s">
        <v>1197</v>
      </c>
      <c r="B233" s="1291">
        <v>0.18210775149961916</v>
      </c>
      <c r="C233" s="1257">
        <v>0.22324305992112559</v>
      </c>
      <c r="D233" s="1257">
        <v>0.20234194611068795</v>
      </c>
      <c r="E233" s="1280">
        <v>1.3604460746752103</v>
      </c>
      <c r="F233" s="1303">
        <v>5.7021010699059356E-2</v>
      </c>
      <c r="G233" s="1288">
        <v>0.10367469799449471</v>
      </c>
      <c r="H233" s="1280">
        <v>0.98109806116849041</v>
      </c>
      <c r="I233" s="1303">
        <v>6.2902516593321994E-2</v>
      </c>
      <c r="J233" s="1288">
        <v>0.14589266006734991</v>
      </c>
      <c r="K233" s="1280">
        <v>1.3806165699020541</v>
      </c>
      <c r="L233" s="1237">
        <v>0.19208421846847981</v>
      </c>
    </row>
    <row r="234" spans="1:12" s="326" customFormat="1" ht="15.5" x14ac:dyDescent="0.35">
      <c r="A234" s="328" t="s">
        <v>1198</v>
      </c>
      <c r="B234" s="1291">
        <v>0.18210775149961916</v>
      </c>
      <c r="C234" s="1257">
        <v>0.22324305992112559</v>
      </c>
      <c r="D234" s="1257">
        <v>0.20234194611068795</v>
      </c>
      <c r="E234" s="1280">
        <v>1.3604460746752103</v>
      </c>
      <c r="F234" s="1303">
        <v>5.6160310228605639E-2</v>
      </c>
      <c r="G234" s="1288">
        <v>0.10708752323138171</v>
      </c>
      <c r="H234" s="1280">
        <v>1.0133944294028547</v>
      </c>
      <c r="I234" s="1303">
        <v>6.4492547048562193E-2</v>
      </c>
      <c r="J234" s="1288">
        <v>0.144751994643292</v>
      </c>
      <c r="K234" s="1280">
        <v>1.3698221846023291</v>
      </c>
      <c r="L234" s="1237">
        <v>0.19208421846847981</v>
      </c>
    </row>
    <row r="235" spans="1:12" s="326" customFormat="1" ht="15.5" x14ac:dyDescent="0.35">
      <c r="A235" s="328" t="s">
        <v>1199</v>
      </c>
      <c r="B235" s="1291">
        <v>0.18210775149961916</v>
      </c>
      <c r="C235" s="1257">
        <v>0.22324305992112559</v>
      </c>
      <c r="D235" s="1257">
        <v>0.20234194611068795</v>
      </c>
      <c r="E235" s="1280">
        <v>1.3604460746752103</v>
      </c>
      <c r="F235" s="1303">
        <v>5.6763420607161365E-2</v>
      </c>
      <c r="G235" s="1288">
        <v>0.1051750325686585</v>
      </c>
      <c r="H235" s="1280">
        <v>0.99529608026370209</v>
      </c>
      <c r="I235" s="1303">
        <v>6.4569301973211146E-2</v>
      </c>
      <c r="J235" s="1288">
        <v>0.14234727848323997</v>
      </c>
      <c r="K235" s="1280">
        <v>1.3470657897641902</v>
      </c>
      <c r="L235" s="1237">
        <v>0.19208421846847981</v>
      </c>
    </row>
    <row r="236" spans="1:12" s="326" customFormat="1" ht="15.5" x14ac:dyDescent="0.35">
      <c r="A236" s="328" t="s">
        <v>1200</v>
      </c>
      <c r="B236" s="1291">
        <v>0.18210775149961916</v>
      </c>
      <c r="C236" s="1257">
        <v>0.22324305992112559</v>
      </c>
      <c r="D236" s="1257">
        <v>0.20234194611068795</v>
      </c>
      <c r="E236" s="1280">
        <v>1.3604460746752103</v>
      </c>
      <c r="F236" s="1303">
        <v>5.7239108268699726E-2</v>
      </c>
      <c r="G236" s="1288">
        <v>0.10045356873037449</v>
      </c>
      <c r="H236" s="1280">
        <v>0.95061575702935275</v>
      </c>
      <c r="I236" s="1303">
        <v>6.3209982965718406E-2</v>
      </c>
      <c r="J236" s="1288">
        <v>0.14108930786529963</v>
      </c>
      <c r="K236" s="1280">
        <v>1.335161317813534</v>
      </c>
      <c r="L236" s="1237">
        <v>0.19208421846847981</v>
      </c>
    </row>
    <row r="237" spans="1:12" s="326" customFormat="1" ht="15.5" x14ac:dyDescent="0.35">
      <c r="A237" s="328" t="s">
        <v>1201</v>
      </c>
      <c r="B237" s="1291">
        <v>0.18210775149961916</v>
      </c>
      <c r="C237" s="1257">
        <v>0.22324305992112559</v>
      </c>
      <c r="D237" s="1257">
        <v>0.20234194611068795</v>
      </c>
      <c r="E237" s="1280">
        <v>1.3604460746752103</v>
      </c>
      <c r="F237" s="1303">
        <v>5.7419739853586615E-2</v>
      </c>
      <c r="G237" s="1288">
        <v>9.607627152403693E-2</v>
      </c>
      <c r="H237" s="1280">
        <v>0.90919236361349642</v>
      </c>
      <c r="I237" s="1303">
        <v>6.2811561679269254E-2</v>
      </c>
      <c r="J237" s="1288">
        <v>0.14036061464489696</v>
      </c>
      <c r="K237" s="1280">
        <v>1.3282655224116353</v>
      </c>
      <c r="L237" s="1237">
        <v>0.19208421846847981</v>
      </c>
    </row>
    <row r="238" spans="1:12" s="326" customFormat="1" ht="15.5" x14ac:dyDescent="0.35">
      <c r="A238" s="328" t="s">
        <v>1202</v>
      </c>
      <c r="B238" s="1291">
        <v>0.18210775149961916</v>
      </c>
      <c r="C238" s="1257">
        <v>0.22324305992112559</v>
      </c>
      <c r="D238" s="1257">
        <v>0.20234194611068795</v>
      </c>
      <c r="E238" s="1280">
        <v>1.3604460746752103</v>
      </c>
      <c r="F238" s="1303">
        <v>5.7259861693360524E-2</v>
      </c>
      <c r="G238" s="1288">
        <v>9.2411421447563119E-2</v>
      </c>
      <c r="H238" s="1280">
        <v>0.87451102502215983</v>
      </c>
      <c r="I238" s="1303">
        <v>6.2193635228349212E-2</v>
      </c>
      <c r="J238" s="1288">
        <v>0.13277499997939396</v>
      </c>
      <c r="K238" s="1280">
        <v>1.2564810659814707</v>
      </c>
      <c r="L238" s="1237">
        <v>0.19208421846847981</v>
      </c>
    </row>
    <row r="239" spans="1:12" s="326" customFormat="1" ht="15.5" x14ac:dyDescent="0.35">
      <c r="A239" s="328" t="s">
        <v>1203</v>
      </c>
      <c r="B239" s="1291">
        <v>0.18210775149961916</v>
      </c>
      <c r="C239" s="1257">
        <v>0.22324305992112559</v>
      </c>
      <c r="D239" s="1257">
        <v>0.20234194611068795</v>
      </c>
      <c r="E239" s="1280">
        <v>1.3604460746752103</v>
      </c>
      <c r="F239" s="1303">
        <v>5.7352701809525647E-2</v>
      </c>
      <c r="G239" s="1288">
        <v>9.0215929386133875E-2</v>
      </c>
      <c r="H239" s="1280">
        <v>0.85373456705848749</v>
      </c>
      <c r="I239" s="1303">
        <v>6.2301953838604804E-2</v>
      </c>
      <c r="J239" s="1288">
        <v>0.13120279187174932</v>
      </c>
      <c r="K239" s="1280">
        <v>1.2416028907275101</v>
      </c>
      <c r="L239" s="1237">
        <v>0.19208421846847981</v>
      </c>
    </row>
    <row r="240" spans="1:12" s="326" customFormat="1" ht="15.5" x14ac:dyDescent="0.35">
      <c r="A240" s="328" t="s">
        <v>1204</v>
      </c>
      <c r="B240" s="1291">
        <v>0.18210775149961916</v>
      </c>
      <c r="C240" s="1257">
        <v>0.22324305992112559</v>
      </c>
      <c r="D240" s="1257">
        <v>0.20234194611068795</v>
      </c>
      <c r="E240" s="1280">
        <v>1.3604460746752103</v>
      </c>
      <c r="F240" s="1303">
        <v>5.76468847577917E-2</v>
      </c>
      <c r="G240" s="1288">
        <v>8.9340752485493155E-2</v>
      </c>
      <c r="H240" s="1280">
        <v>0.84545256212374775</v>
      </c>
      <c r="I240" s="1303">
        <v>6.2379467074487056E-2</v>
      </c>
      <c r="J240" s="1288">
        <v>0.13333932665280526</v>
      </c>
      <c r="K240" s="1280">
        <v>1.2618214220747086</v>
      </c>
      <c r="L240" s="1330">
        <v>0.18962206114478899</v>
      </c>
    </row>
    <row r="241" spans="1:12" s="326" customFormat="1" ht="15.5" x14ac:dyDescent="0.35">
      <c r="A241" s="328" t="s">
        <v>1205</v>
      </c>
      <c r="B241" s="1291">
        <v>0.18210775149961916</v>
      </c>
      <c r="C241" s="1257">
        <v>0.22324305992112559</v>
      </c>
      <c r="D241" s="1257">
        <v>0.20234194611068795</v>
      </c>
      <c r="E241" s="1280">
        <v>1.3604460746752103</v>
      </c>
      <c r="F241" s="1303">
        <v>5.7606505894122681E-2</v>
      </c>
      <c r="G241" s="1288">
        <v>8.7623120742284039E-2</v>
      </c>
      <c r="H241" s="1280">
        <v>0.82919820878911443</v>
      </c>
      <c r="I241" s="1303">
        <v>6.3332240253274219E-2</v>
      </c>
      <c r="J241" s="1288">
        <v>0.13201669099671332</v>
      </c>
      <c r="K241" s="1280">
        <v>1.2493050096527207</v>
      </c>
      <c r="L241" s="1330">
        <v>0.18329381560776956</v>
      </c>
    </row>
    <row r="242" spans="1:12" s="326" customFormat="1" ht="15.5" x14ac:dyDescent="0.35">
      <c r="A242" s="328" t="s">
        <v>1206</v>
      </c>
      <c r="B242" s="1291">
        <v>0.18210775149961916</v>
      </c>
      <c r="C242" s="1257">
        <v>0.22324305992112559</v>
      </c>
      <c r="D242" s="1257">
        <v>0.20234194611068795</v>
      </c>
      <c r="E242" s="1280">
        <v>1.3604460746752103</v>
      </c>
      <c r="F242" s="1303">
        <v>5.7563887011944918E-2</v>
      </c>
      <c r="G242" s="1288">
        <v>8.3770756342209235E-2</v>
      </c>
      <c r="H242" s="1280">
        <v>0.79274237803252412</v>
      </c>
      <c r="I242" s="1303">
        <v>6.3394887931118832E-2</v>
      </c>
      <c r="J242" s="1288">
        <v>0.13255275485800758</v>
      </c>
      <c r="K242" s="1280">
        <v>1.2543779081048219</v>
      </c>
      <c r="L242" s="1330">
        <v>0.18329381560776956</v>
      </c>
    </row>
    <row r="243" spans="1:12" s="326" customFormat="1" ht="15.5" x14ac:dyDescent="0.35">
      <c r="A243" s="328" t="s">
        <v>1207</v>
      </c>
      <c r="B243" s="1291">
        <v>0.18210775149961916</v>
      </c>
      <c r="C243" s="1257">
        <v>0.22324305992112559</v>
      </c>
      <c r="D243" s="1257">
        <v>0.20234194611068795</v>
      </c>
      <c r="E243" s="1280">
        <v>1.3604460746752103</v>
      </c>
      <c r="F243" s="1303">
        <v>5.7757250664239111E-2</v>
      </c>
      <c r="G243" s="1288">
        <v>7.890900599357388E-2</v>
      </c>
      <c r="H243" s="1280">
        <v>0.74673449054212926</v>
      </c>
      <c r="I243" s="1303">
        <v>6.3602624901672428E-2</v>
      </c>
      <c r="J243" s="1288">
        <v>0.13171352096534575</v>
      </c>
      <c r="K243" s="1280">
        <v>1.2464360403117645</v>
      </c>
      <c r="L243" s="1330">
        <v>0.1826761327009061</v>
      </c>
    </row>
    <row r="244" spans="1:12" s="326" customFormat="1" ht="15.5" x14ac:dyDescent="0.35">
      <c r="A244" s="328" t="s">
        <v>1208</v>
      </c>
      <c r="B244" s="1291">
        <v>0.18210775149961916</v>
      </c>
      <c r="C244" s="1257">
        <v>0.22324305992112559</v>
      </c>
      <c r="D244" s="1257">
        <v>0.20234194611068795</v>
      </c>
      <c r="E244" s="1280">
        <v>1.3604460746752103</v>
      </c>
      <c r="F244" s="1303">
        <v>5.694796163847822E-2</v>
      </c>
      <c r="G244" s="1288">
        <v>7.1496523133490766E-2</v>
      </c>
      <c r="H244" s="1280">
        <v>0.67658842112354867</v>
      </c>
      <c r="I244" s="1303">
        <v>6.3104550487655398E-2</v>
      </c>
      <c r="J244" s="1288">
        <v>0.13132717467647714</v>
      </c>
      <c r="K244" s="1280">
        <v>1.2427799544751916</v>
      </c>
      <c r="L244" s="1330">
        <v>0.1751058256104481</v>
      </c>
    </row>
    <row r="245" spans="1:12" s="326" customFormat="1" ht="15.5" x14ac:dyDescent="0.35">
      <c r="A245" s="328" t="s">
        <v>1209</v>
      </c>
      <c r="B245" s="1291">
        <v>0.18210775149961916</v>
      </c>
      <c r="C245" s="1257">
        <v>0.22324305992112559</v>
      </c>
      <c r="D245" s="1257">
        <v>0.20234194611068795</v>
      </c>
      <c r="E245" s="1280">
        <v>1.3604460746752103</v>
      </c>
      <c r="F245" s="1303">
        <v>5.7240331636248851E-2</v>
      </c>
      <c r="G245" s="1288">
        <v>7.5395467902919761E-2</v>
      </c>
      <c r="H245" s="1280">
        <v>0.71348505287542452</v>
      </c>
      <c r="I245" s="1303">
        <v>6.3301397000559895E-2</v>
      </c>
      <c r="J245" s="1288">
        <v>0.13090337431074714</v>
      </c>
      <c r="K245" s="1280">
        <v>1.2387694318965554</v>
      </c>
      <c r="L245" s="1330">
        <v>0.17510582561494592</v>
      </c>
    </row>
    <row r="246" spans="1:12" s="326" customFormat="1" ht="15.5" x14ac:dyDescent="0.35">
      <c r="A246" s="328" t="s">
        <v>1210</v>
      </c>
      <c r="B246" s="1287">
        <v>0.18210775149961916</v>
      </c>
      <c r="C246" s="1257">
        <v>0.22324305992112559</v>
      </c>
      <c r="D246" s="1288">
        <v>0.2145498130321242</v>
      </c>
      <c r="E246" s="1280">
        <v>1.3604460746752103</v>
      </c>
      <c r="F246" s="1303">
        <v>5.7411156648577419E-2</v>
      </c>
      <c r="G246" s="1288">
        <v>7.3075222460572034E-2</v>
      </c>
      <c r="H246" s="1280">
        <v>0.69152802431438376</v>
      </c>
      <c r="I246" s="1303">
        <v>6.3466263087561633E-2</v>
      </c>
      <c r="J246" s="1288">
        <v>0.12989406729387548</v>
      </c>
      <c r="K246" s="1280">
        <v>1.2292181221118952</v>
      </c>
      <c r="L246" s="1330">
        <v>0.17554630551546374</v>
      </c>
    </row>
    <row r="247" spans="1:12" s="326" customFormat="1" ht="15.5" x14ac:dyDescent="0.35">
      <c r="A247" s="328" t="s">
        <v>1211</v>
      </c>
      <c r="B247" s="1226">
        <v>0.16315610180421991</v>
      </c>
      <c r="C247" s="1288">
        <v>0.22324305992112559</v>
      </c>
      <c r="D247" s="1288">
        <v>0.25678034041546544</v>
      </c>
      <c r="E247" s="1280">
        <v>1.2188667227563028</v>
      </c>
      <c r="F247" s="1303">
        <v>5.7540871926578113E-2</v>
      </c>
      <c r="G247" s="1288">
        <v>7.2545152050026637E-2</v>
      </c>
      <c r="H247" s="1280">
        <v>0.68651184329694326</v>
      </c>
      <c r="I247" s="1303">
        <v>6.3671370238158512E-2</v>
      </c>
      <c r="J247" s="1288">
        <v>0.1281001885912498</v>
      </c>
      <c r="K247" s="1280">
        <v>1.212242225859842</v>
      </c>
      <c r="L247" s="1330">
        <v>0.1755463055151831</v>
      </c>
    </row>
    <row r="248" spans="1:12" s="326" customFormat="1" ht="15.5" x14ac:dyDescent="0.35">
      <c r="A248" s="328" t="s">
        <v>1212</v>
      </c>
      <c r="B248" s="1287">
        <v>0.14420445210882063</v>
      </c>
      <c r="C248" s="1257">
        <v>0.167985076281922</v>
      </c>
      <c r="D248" s="1227">
        <v>0.2357016205220199</v>
      </c>
      <c r="E248" s="1280">
        <v>1.0772873708373951</v>
      </c>
      <c r="F248" s="1303">
        <v>5.7469771356739002E-2</v>
      </c>
      <c r="G248" s="1288">
        <v>6.8657044834089853E-2</v>
      </c>
      <c r="H248" s="1280">
        <v>0.64971776986377683</v>
      </c>
      <c r="I248" s="1303">
        <v>6.3798463080470533E-2</v>
      </c>
      <c r="J248" s="1288">
        <v>0.12871129906765125</v>
      </c>
      <c r="K248" s="1280">
        <v>1.2180253080887291</v>
      </c>
      <c r="L248" s="1330">
        <v>0.17968148034620052</v>
      </c>
    </row>
    <row r="249" spans="1:12" s="326" customFormat="1" ht="15.5" x14ac:dyDescent="0.35">
      <c r="A249" s="328" t="s">
        <v>1213</v>
      </c>
      <c r="B249" s="1287">
        <v>0.18216039445819904</v>
      </c>
      <c r="C249" s="1257">
        <v>0.167985076281922</v>
      </c>
      <c r="D249" s="1288">
        <v>0.21462290062857436</v>
      </c>
      <c r="E249" s="1306">
        <v>1.7478134682053248</v>
      </c>
      <c r="F249" s="1303">
        <v>5.748330979323437E-2</v>
      </c>
      <c r="G249" s="1288">
        <v>6.7766854324309192E-2</v>
      </c>
      <c r="H249" s="1280">
        <v>0.64129368761313188</v>
      </c>
      <c r="I249" s="1303">
        <v>6.3543593917791297E-2</v>
      </c>
      <c r="J249" s="1288">
        <v>0.12864960054201949</v>
      </c>
      <c r="K249" s="1280">
        <v>1.2174414404233755</v>
      </c>
      <c r="L249" s="1330">
        <v>0.18133086560912795</v>
      </c>
    </row>
    <row r="250" spans="1:12" s="326" customFormat="1" ht="15.5" x14ac:dyDescent="0.35">
      <c r="A250" s="328" t="s">
        <v>1214</v>
      </c>
      <c r="B250" s="1287">
        <v>0.18133002312872437</v>
      </c>
      <c r="C250" s="1288">
        <v>0.11272709264271843</v>
      </c>
      <c r="D250" s="1288">
        <v>0.25972883438897298</v>
      </c>
      <c r="E250" s="1306">
        <v>2.109553641968017</v>
      </c>
      <c r="F250" s="1303">
        <v>5.7314260619736664E-2</v>
      </c>
      <c r="G250" s="1288">
        <v>7.3568782212723213E-2</v>
      </c>
      <c r="H250" s="1280">
        <v>0.69619869638069687</v>
      </c>
      <c r="I250" s="1303">
        <v>6.308177406194275E-2</v>
      </c>
      <c r="J250" s="1288">
        <v>0.12930107115268702</v>
      </c>
      <c r="K250" s="1280">
        <v>1.2236064600993251</v>
      </c>
      <c r="L250" s="1330">
        <v>0.18133086560881936</v>
      </c>
    </row>
    <row r="251" spans="1:12" s="326" customFormat="1" ht="15.5" x14ac:dyDescent="0.35">
      <c r="A251" s="328" t="s">
        <v>1215</v>
      </c>
      <c r="B251" s="1287">
        <v>0.18231422955687382</v>
      </c>
      <c r="C251" s="1288">
        <v>0.11189125971676321</v>
      </c>
      <c r="D251" s="1288">
        <v>0.25503042699055911</v>
      </c>
      <c r="E251" s="1306">
        <v>2.1157187665007933</v>
      </c>
      <c r="F251" s="1303">
        <v>5.7450929830311123E-2</v>
      </c>
      <c r="G251" s="1288">
        <v>7.2153904505688329E-2</v>
      </c>
      <c r="H251" s="1280">
        <v>0.68280937572662415</v>
      </c>
      <c r="I251" s="1303">
        <v>6.3460242607764242E-2</v>
      </c>
      <c r="J251" s="1288">
        <v>0.129412558950117</v>
      </c>
      <c r="K251" s="1280">
        <v>1.2246614953588277</v>
      </c>
      <c r="L251" s="1330">
        <v>0.18133086560960585</v>
      </c>
    </row>
    <row r="252" spans="1:12" s="326" customFormat="1" ht="15.5" x14ac:dyDescent="0.35">
      <c r="A252" s="328" t="s">
        <v>1216</v>
      </c>
      <c r="B252" s="1287">
        <v>0.1795392275568575</v>
      </c>
      <c r="C252" s="1288">
        <v>0.17671084511716878</v>
      </c>
      <c r="D252" s="1288">
        <v>0.25528775026986578</v>
      </c>
      <c r="E252" s="1306">
        <v>1.7478134682053275</v>
      </c>
      <c r="F252" s="1303">
        <v>5.7237433531923426E-2</v>
      </c>
      <c r="G252" s="1288">
        <v>7.0908273704728714E-2</v>
      </c>
      <c r="H252" s="1280">
        <v>0.67102167836754301</v>
      </c>
      <c r="I252" s="1303">
        <v>6.34137519570592E-2</v>
      </c>
      <c r="J252" s="1288">
        <v>0.12925313916559658</v>
      </c>
      <c r="K252" s="1280">
        <v>1.2231528684273736</v>
      </c>
      <c r="L252" s="1330">
        <v>0.18133086560943987</v>
      </c>
    </row>
    <row r="253" spans="1:12" s="326" customFormat="1" ht="15.5" x14ac:dyDescent="0.35">
      <c r="A253" s="328" t="s">
        <v>1217</v>
      </c>
      <c r="B253" s="1287">
        <v>0.14853946857028602</v>
      </c>
      <c r="C253" s="1288">
        <v>0.21960540300492443</v>
      </c>
      <c r="D253" s="1288">
        <v>0.18077860137151114</v>
      </c>
      <c r="E253" s="1306">
        <v>1.7432441188824652</v>
      </c>
      <c r="F253" s="1303">
        <v>5.7043161367209529E-2</v>
      </c>
      <c r="G253" s="1288">
        <v>7.1590821227319204E-2</v>
      </c>
      <c r="H253" s="1280">
        <v>0.67748078617323393</v>
      </c>
      <c r="I253" s="1303">
        <v>6.3009806141516425E-2</v>
      </c>
      <c r="J253" s="1288">
        <v>0.12855416640106501</v>
      </c>
      <c r="K253" s="1280">
        <v>1.2165383246924313</v>
      </c>
      <c r="L253" s="1330">
        <v>0.18000876105358501</v>
      </c>
    </row>
    <row r="254" spans="1:12" s="326" customFormat="1" ht="15.5" x14ac:dyDescent="0.35">
      <c r="A254" s="328" t="s">
        <v>1218</v>
      </c>
      <c r="B254" s="1287">
        <v>0.16594643726278724</v>
      </c>
      <c r="C254" s="1288">
        <v>0.14678533360162674</v>
      </c>
      <c r="D254" s="1288">
        <v>0.21747059377173802</v>
      </c>
      <c r="E254" s="1306">
        <v>1.9507953558989488</v>
      </c>
      <c r="F254" s="1303">
        <v>4.8949496451331273E-2</v>
      </c>
      <c r="G254" s="1288">
        <v>7.1275499722457974E-2</v>
      </c>
      <c r="H254" s="1280">
        <v>0.67449682457943694</v>
      </c>
      <c r="I254" s="1303">
        <v>6.9064213576463571E-2</v>
      </c>
      <c r="J254" s="1288">
        <v>0.1275334337248536</v>
      </c>
      <c r="K254" s="1280">
        <v>1.2068788912050483</v>
      </c>
      <c r="L254" s="1330">
        <v>0.18000876107547817</v>
      </c>
    </row>
    <row r="255" spans="1:12" s="326" customFormat="1" ht="15.5" x14ac:dyDescent="0.35">
      <c r="A255" s="328" t="s">
        <v>1219</v>
      </c>
      <c r="B255" s="1287">
        <v>0.11778093884532047</v>
      </c>
      <c r="C255" s="1288">
        <v>0.26681095407890787</v>
      </c>
      <c r="D255" s="1288">
        <v>0.2279215096447606</v>
      </c>
      <c r="E255" s="1306">
        <v>2.0993610758289192</v>
      </c>
      <c r="F255" s="1303">
        <v>4.9299312338106693E-2</v>
      </c>
      <c r="G255" s="1288">
        <v>6.9517706585741801E-2</v>
      </c>
      <c r="H255" s="1280">
        <v>0.65786241452830663</v>
      </c>
      <c r="I255" s="1303">
        <v>6.887293442938934E-2</v>
      </c>
      <c r="J255" s="1288">
        <v>0.12805431300582507</v>
      </c>
      <c r="K255" s="1280">
        <v>1.2118080944007121</v>
      </c>
      <c r="L255" s="1330">
        <v>0.17844397042029042</v>
      </c>
    </row>
    <row r="256" spans="1:12" s="326" customFormat="1" ht="15.5" x14ac:dyDescent="0.35">
      <c r="A256" s="328" t="s">
        <v>1220</v>
      </c>
      <c r="B256" s="1287">
        <v>0.11698419097547186</v>
      </c>
      <c r="C256" s="1288">
        <v>0.16910723105327385</v>
      </c>
      <c r="D256" s="1288">
        <v>0.22481547352905004</v>
      </c>
      <c r="E256" s="1306">
        <v>1.7735382910802904</v>
      </c>
      <c r="F256" s="1303">
        <v>4.9014855399726692E-2</v>
      </c>
      <c r="G256" s="1288">
        <v>7.3510835761886814E-2</v>
      </c>
      <c r="H256" s="1280">
        <v>0.69565033548197286</v>
      </c>
      <c r="I256" s="1303">
        <v>6.8592293655602224E-2</v>
      </c>
      <c r="J256" s="1288">
        <v>0.12828081274587078</v>
      </c>
      <c r="K256" s="1280">
        <v>1.2139515147348214</v>
      </c>
      <c r="L256" s="1330">
        <v>0.17698571056776571</v>
      </c>
    </row>
    <row r="257" spans="1:12" s="326" customFormat="1" ht="15.5" x14ac:dyDescent="0.35">
      <c r="A257" s="328" t="s">
        <v>1221</v>
      </c>
      <c r="B257" s="1287">
        <v>0.14315649263157942</v>
      </c>
      <c r="C257" s="1288">
        <v>0.22198969321476059</v>
      </c>
      <c r="D257" s="1288">
        <v>0.35280094393474437</v>
      </c>
      <c r="E257" s="1306">
        <v>1.7730257246828049</v>
      </c>
      <c r="F257" s="1303">
        <v>5.8467330360362293E-2</v>
      </c>
      <c r="G257" s="1288">
        <v>6.8935951262876258E-2</v>
      </c>
      <c r="H257" s="1280">
        <v>0.65235712702442461</v>
      </c>
      <c r="I257" s="1303">
        <v>7.4396956019305432E-2</v>
      </c>
      <c r="J257" s="1288">
        <v>0.12925450901897495</v>
      </c>
      <c r="K257" s="1280">
        <v>1.2231658316722114</v>
      </c>
      <c r="L257" s="1330">
        <v>0.17719245750050863</v>
      </c>
    </row>
    <row r="258" spans="1:12" s="326" customFormat="1" ht="15.5" x14ac:dyDescent="0.35">
      <c r="A258" s="328" t="s">
        <v>1222</v>
      </c>
      <c r="B258" s="1287">
        <v>0.14920121938266612</v>
      </c>
      <c r="C258" s="1288">
        <v>0.1867240986152103</v>
      </c>
      <c r="D258" s="1288">
        <v>0.26983524567147626</v>
      </c>
      <c r="E258" s="1306">
        <v>1.9496368055898934</v>
      </c>
      <c r="F258" s="1303">
        <v>5.8661751712412231E-2</v>
      </c>
      <c r="G258" s="1288">
        <v>6.7468299827131317E-2</v>
      </c>
      <c r="H258" s="1280">
        <v>0.6384683961582206</v>
      </c>
      <c r="I258" s="1303">
        <v>7.5156913996176675E-2</v>
      </c>
      <c r="J258" s="1288">
        <v>0.11464939909729462</v>
      </c>
      <c r="K258" s="1280">
        <v>1.0849542399868983</v>
      </c>
      <c r="L258" s="1330">
        <v>0.17925555717822955</v>
      </c>
    </row>
    <row r="259" spans="1:12" s="326" customFormat="1" ht="15.5" x14ac:dyDescent="0.35">
      <c r="A259" s="328" t="s">
        <v>1223</v>
      </c>
      <c r="B259" s="1287">
        <v>0.15037875100705364</v>
      </c>
      <c r="C259" s="1288">
        <v>0.19944160666902536</v>
      </c>
      <c r="D259" s="1288">
        <v>0.27943075834373593</v>
      </c>
      <c r="E259" s="1306">
        <v>2.0373672485758929</v>
      </c>
      <c r="F259" s="1303">
        <v>5.8095531125062175E-2</v>
      </c>
      <c r="G259" s="1288">
        <v>6.1667581872513894E-2</v>
      </c>
      <c r="H259" s="1280">
        <v>0.58357483727886306</v>
      </c>
      <c r="I259" s="1303">
        <v>7.496534330872788E-2</v>
      </c>
      <c r="J259" s="1288">
        <v>9.8571653310408083E-2</v>
      </c>
      <c r="K259" s="1280">
        <v>0.93280674860658241</v>
      </c>
      <c r="L259" s="1330">
        <v>0.17826295813756884</v>
      </c>
    </row>
    <row r="260" spans="1:12" s="326" customFormat="1" ht="15.5" x14ac:dyDescent="0.35">
      <c r="A260" s="328" t="s">
        <v>1224</v>
      </c>
      <c r="B260" s="1287">
        <v>0.11724956290163148</v>
      </c>
      <c r="C260" s="1288">
        <v>0.22537647798719174</v>
      </c>
      <c r="D260" s="1288">
        <v>0.27376337532134315</v>
      </c>
      <c r="E260" s="1306">
        <v>1.7817134707642097</v>
      </c>
      <c r="F260" s="1303">
        <v>6.2780651437524246E-2</v>
      </c>
      <c r="G260" s="1288">
        <v>5.7445234394517451E-2</v>
      </c>
      <c r="H260" s="1280">
        <v>0.54361776960105845</v>
      </c>
      <c r="I260" s="1303">
        <v>8.0475021323636972E-2</v>
      </c>
      <c r="J260" s="1288">
        <v>9.8474639496409208E-2</v>
      </c>
      <c r="K260" s="1280">
        <v>0.93188868405793135</v>
      </c>
      <c r="L260" s="1330">
        <v>0.1771898132568582</v>
      </c>
    </row>
    <row r="261" spans="1:12" s="326" customFormat="1" ht="15.5" x14ac:dyDescent="0.35">
      <c r="A261" s="328" t="s">
        <v>1225</v>
      </c>
      <c r="B261" s="1287">
        <v>0.11829865286590058</v>
      </c>
      <c r="C261" s="1288">
        <v>0.18822757138082763</v>
      </c>
      <c r="D261" s="1288">
        <v>0.2758232757537194</v>
      </c>
      <c r="E261" s="1306">
        <v>1.8208106399519381</v>
      </c>
      <c r="F261" s="1303">
        <v>6.5414280604957992E-2</v>
      </c>
      <c r="G261" s="1288">
        <v>5.7519990754720619E-2</v>
      </c>
      <c r="H261" s="1280">
        <v>0.54432520662739292</v>
      </c>
      <c r="I261" s="1303">
        <v>8.0147522060724577E-2</v>
      </c>
      <c r="J261" s="1288">
        <v>0.1001538876537119</v>
      </c>
      <c r="K261" s="1280">
        <v>0.94777980448770016</v>
      </c>
      <c r="L261" s="1330">
        <v>0.16633899247099027</v>
      </c>
    </row>
    <row r="262" spans="1:12" s="326" customFormat="1" ht="15.5" x14ac:dyDescent="0.35">
      <c r="A262" s="328" t="s">
        <v>1226</v>
      </c>
      <c r="B262" s="1287">
        <v>0.14008417067183881</v>
      </c>
      <c r="C262" s="1288">
        <v>0.18388811241468808</v>
      </c>
      <c r="D262" s="1288">
        <v>0.27000480302137914</v>
      </c>
      <c r="E262" s="1306">
        <v>1.90969017139202</v>
      </c>
      <c r="F262" s="1303">
        <v>5.7797067543534322E-2</v>
      </c>
      <c r="G262" s="1288">
        <v>5.7770171713768928E-2</v>
      </c>
      <c r="H262" s="1280">
        <v>0.54669272790897505</v>
      </c>
      <c r="I262" s="1303">
        <v>8.0404071680135622E-2</v>
      </c>
      <c r="J262" s="1288">
        <v>0.10010125298919262</v>
      </c>
      <c r="K262" s="1280">
        <v>0.94728171027272723</v>
      </c>
      <c r="L262" s="1330">
        <v>0.16581019834776972</v>
      </c>
    </row>
    <row r="263" spans="1:12" s="326" customFormat="1" ht="15.5" x14ac:dyDescent="0.35">
      <c r="A263" s="328" t="s">
        <v>1227</v>
      </c>
      <c r="B263" s="1287">
        <v>0.13203986502588447</v>
      </c>
      <c r="C263" s="1288">
        <v>0.12650477887598557</v>
      </c>
      <c r="D263" s="1288">
        <v>0.27692096502810021</v>
      </c>
      <c r="E263" s="1306">
        <v>2.0686713118999194</v>
      </c>
      <c r="F263" s="1303">
        <v>6.4141550825496343E-2</v>
      </c>
      <c r="G263" s="1288">
        <v>5.6651384036830989E-2</v>
      </c>
      <c r="H263" s="1280">
        <v>0.53610537687795212</v>
      </c>
      <c r="I263" s="1303">
        <v>8.0338585301489268E-2</v>
      </c>
      <c r="J263" s="1288">
        <v>0.10047843780301825</v>
      </c>
      <c r="K263" s="1280">
        <v>0.95085109891532715</v>
      </c>
      <c r="L263" s="1330">
        <v>0.15606333109739254</v>
      </c>
    </row>
    <row r="264" spans="1:12" s="326" customFormat="1" ht="15.5" x14ac:dyDescent="0.35">
      <c r="A264" s="328" t="s">
        <v>1228</v>
      </c>
      <c r="B264" s="1287">
        <v>0.12444669839246542</v>
      </c>
      <c r="C264" s="1288">
        <v>0.12761633316743667</v>
      </c>
      <c r="D264" s="1288">
        <v>0.30373522910460132</v>
      </c>
      <c r="E264" s="1306">
        <v>2.0407485694175578</v>
      </c>
      <c r="F264" s="1303">
        <v>5.8857066026241411E-2</v>
      </c>
      <c r="G264" s="1288">
        <v>5.4768168980555712E-2</v>
      </c>
      <c r="H264" s="1280">
        <v>0.51828406969099405</v>
      </c>
      <c r="I264" s="1303">
        <v>7.8139339840644126E-2</v>
      </c>
      <c r="J264" s="1288">
        <v>9.7910634976146022E-2</v>
      </c>
      <c r="K264" s="1280">
        <v>0.92655137657573483</v>
      </c>
      <c r="L264" s="1330">
        <v>0.18583680672938044</v>
      </c>
    </row>
    <row r="265" spans="1:12" s="326" customFormat="1" ht="15.5" x14ac:dyDescent="0.35">
      <c r="A265" s="328" t="s">
        <v>1229</v>
      </c>
      <c r="B265" s="1287">
        <v>0.13346035868707809</v>
      </c>
      <c r="C265" s="1288">
        <v>0.17333833224332404</v>
      </c>
      <c r="D265" s="1288">
        <v>0.28719802968805219</v>
      </c>
      <c r="E265" s="1306">
        <v>1.8422337036280383</v>
      </c>
      <c r="F265" s="1303">
        <v>5.6643319510907023E-2</v>
      </c>
      <c r="G265" s="1288">
        <v>5.4982797874364643E-2</v>
      </c>
      <c r="H265" s="1280">
        <v>0.52031515341402423</v>
      </c>
      <c r="I265" s="1303">
        <v>7.765732436615605E-2</v>
      </c>
      <c r="J265" s="1288">
        <v>9.8662785351966431E-2</v>
      </c>
      <c r="K265" s="1280">
        <v>0.93366915255868232</v>
      </c>
      <c r="L265" s="1330">
        <v>0.18583680672939687</v>
      </c>
    </row>
    <row r="266" spans="1:12" s="326" customFormat="1" ht="15.5" x14ac:dyDescent="0.35">
      <c r="A266" s="328" t="s">
        <v>1230</v>
      </c>
      <c r="B266" s="1287">
        <v>0.11189147596108978</v>
      </c>
      <c r="C266" s="1288">
        <v>0.11191771332560675</v>
      </c>
      <c r="D266" s="1288">
        <v>0.31628846494588397</v>
      </c>
      <c r="E266" s="1306">
        <v>2.0057067266396191</v>
      </c>
      <c r="F266" s="1303">
        <v>5.9407736794810283E-2</v>
      </c>
      <c r="G266" s="1288">
        <v>5.4973588445012392E-2</v>
      </c>
      <c r="H266" s="1280">
        <v>0.52022800241713929</v>
      </c>
      <c r="I266" s="1303">
        <v>7.5301763772429559E-2</v>
      </c>
      <c r="J266" s="1288">
        <v>9.5945440039299196E-2</v>
      </c>
      <c r="K266" s="1280">
        <v>0.90795427448954458</v>
      </c>
      <c r="L266" s="1330">
        <v>0.1858368067293521</v>
      </c>
    </row>
    <row r="267" spans="1:12" s="326" customFormat="1" ht="15.5" x14ac:dyDescent="0.35">
      <c r="A267" s="328" t="s">
        <v>1231</v>
      </c>
      <c r="B267" s="1287">
        <v>0.12044497502808442</v>
      </c>
      <c r="C267" s="1288">
        <v>0.16937095803332633</v>
      </c>
      <c r="D267" s="1288">
        <v>0.20941258675839577</v>
      </c>
      <c r="E267" s="1306">
        <v>1.9891440833415268</v>
      </c>
      <c r="F267" s="1303">
        <v>5.8674013466236179E-2</v>
      </c>
      <c r="G267" s="1288">
        <v>5.4191709857424511E-2</v>
      </c>
      <c r="H267" s="1280">
        <v>0.51282890137136283</v>
      </c>
      <c r="I267" s="1303">
        <v>7.2536408098608826E-2</v>
      </c>
      <c r="J267" s="1288">
        <v>9.4612393615983573E-2</v>
      </c>
      <c r="K267" s="1280">
        <v>0.89533934252772684</v>
      </c>
      <c r="L267" s="1330">
        <v>0.19085609724812616</v>
      </c>
    </row>
    <row r="268" spans="1:12" s="326" customFormat="1" ht="15.5" x14ac:dyDescent="0.35">
      <c r="A268" s="328" t="s">
        <v>1232</v>
      </c>
      <c r="B268" s="1287">
        <v>0.13192204198704738</v>
      </c>
      <c r="C268" s="1288">
        <v>0.15441260478278851</v>
      </c>
      <c r="D268" s="1288">
        <v>0.20961003000475528</v>
      </c>
      <c r="E268" s="1306">
        <v>1.9921758006228487</v>
      </c>
      <c r="F268" s="1303">
        <v>5.3867778725685302E-2</v>
      </c>
      <c r="G268" s="1288">
        <v>5.3134739318726421E-2</v>
      </c>
      <c r="H268" s="1280">
        <v>0.50282654046471253</v>
      </c>
      <c r="I268" s="1303">
        <v>6.8032179811827007E-2</v>
      </c>
      <c r="J268" s="1288">
        <v>9.0016785767642674E-2</v>
      </c>
      <c r="K268" s="1280">
        <v>0.85185002413938338</v>
      </c>
      <c r="L268" s="1330">
        <v>0.19085609724815913</v>
      </c>
    </row>
    <row r="269" spans="1:12" s="326" customFormat="1" ht="15.5" x14ac:dyDescent="0.35">
      <c r="A269" s="328" t="s">
        <v>1233</v>
      </c>
      <c r="B269" s="1287">
        <v>0.13536320175337466</v>
      </c>
      <c r="C269" s="1288">
        <v>0.13791290640146764</v>
      </c>
      <c r="D269" s="1288">
        <v>0.22614482107522355</v>
      </c>
      <c r="E269" s="1306">
        <v>1.7652343290145842</v>
      </c>
      <c r="F269" s="1303">
        <v>5.6610042907528711E-2</v>
      </c>
      <c r="G269" s="1288">
        <v>5.0787280912300857E-2</v>
      </c>
      <c r="H269" s="1280">
        <v>0.48061198922155302</v>
      </c>
      <c r="I269" s="1303">
        <v>6.8049450997100261E-2</v>
      </c>
      <c r="J269" s="1288">
        <v>8.8964944772689417E-2</v>
      </c>
      <c r="K269" s="1280">
        <v>0.84189620531214171</v>
      </c>
      <c r="L269" s="1330">
        <v>0.19085609724797073</v>
      </c>
    </row>
    <row r="270" spans="1:12" s="326" customFormat="1" ht="15.5" x14ac:dyDescent="0.35">
      <c r="A270" s="328" t="s">
        <v>1234</v>
      </c>
      <c r="B270" s="1291">
        <v>0.13536320175337466</v>
      </c>
      <c r="C270" s="1257">
        <v>0.13791290640146764</v>
      </c>
      <c r="D270" s="1257">
        <v>0.22614482107522355</v>
      </c>
      <c r="E270" s="1280">
        <v>1.7652343290145842</v>
      </c>
      <c r="F270" s="1271">
        <v>5.6610042907528711E-2</v>
      </c>
      <c r="G270" s="1257">
        <v>5.0787280912300857E-2</v>
      </c>
      <c r="H270" s="1280">
        <v>0.48061198922155302</v>
      </c>
      <c r="I270" s="1271">
        <v>6.8049450997100261E-2</v>
      </c>
      <c r="J270" s="1257">
        <v>8.8964944772689417E-2</v>
      </c>
      <c r="K270" s="1280">
        <v>0.84189620531214171</v>
      </c>
      <c r="L270" s="1330">
        <v>0.19982910497741968</v>
      </c>
    </row>
    <row r="271" spans="1:12" s="326" customFormat="1" ht="15.5" x14ac:dyDescent="0.35">
      <c r="A271" s="328" t="s">
        <v>1235</v>
      </c>
      <c r="B271" s="1291">
        <v>0.11718419087649221</v>
      </c>
      <c r="C271" s="1257">
        <v>0.21996437605706656</v>
      </c>
      <c r="D271" s="1257">
        <v>0.13020465652943577</v>
      </c>
      <c r="E271" s="1280">
        <v>0.87543100817566144</v>
      </c>
      <c r="F271" s="1271">
        <v>5.8376417355290137E-2</v>
      </c>
      <c r="G271" s="1257">
        <v>0.13263778005977719</v>
      </c>
      <c r="H271" s="1280">
        <v>1.2551825215950974</v>
      </c>
      <c r="I271" s="1271">
        <v>6.3648727892389956E-2</v>
      </c>
      <c r="J271" s="1257">
        <v>0.178106097418995</v>
      </c>
      <c r="K271" s="1280">
        <v>1.6854599071929894</v>
      </c>
      <c r="L271" s="1237">
        <v>0.18175472300566051</v>
      </c>
    </row>
    <row r="272" spans="1:12" s="326" customFormat="1" ht="15.5" x14ac:dyDescent="0.35">
      <c r="A272" s="328" t="s">
        <v>1236</v>
      </c>
      <c r="B272" s="1291">
        <v>0.11718419087649221</v>
      </c>
      <c r="C272" s="1257">
        <v>0.21996437605706656</v>
      </c>
      <c r="D272" s="1257">
        <v>0.13020465652943577</v>
      </c>
      <c r="E272" s="1280">
        <v>0.87543100817566144</v>
      </c>
      <c r="F272" s="1271">
        <v>5.8376417355290137E-2</v>
      </c>
      <c r="G272" s="1257">
        <v>0.13263778005977719</v>
      </c>
      <c r="H272" s="1280">
        <v>1.2551825215950974</v>
      </c>
      <c r="I272" s="1271">
        <v>6.3648727892389956E-2</v>
      </c>
      <c r="J272" s="1257">
        <v>0.178106097418995</v>
      </c>
      <c r="K272" s="1280">
        <v>1.6854599071929894</v>
      </c>
      <c r="L272" s="1237">
        <v>0.18175472300566051</v>
      </c>
    </row>
    <row r="273" spans="1:12" s="326" customFormat="1" ht="15.5" x14ac:dyDescent="0.35">
      <c r="A273" s="328" t="s">
        <v>1237</v>
      </c>
      <c r="B273" s="1291">
        <v>0.11718419087649221</v>
      </c>
      <c r="C273" s="1257">
        <v>0.21996437605706656</v>
      </c>
      <c r="D273" s="1257">
        <v>0.13020465652943577</v>
      </c>
      <c r="E273" s="1280">
        <v>0.87543100817566144</v>
      </c>
      <c r="F273" s="1271">
        <v>5.8376417355290137E-2</v>
      </c>
      <c r="G273" s="1257">
        <v>0.13263778005977719</v>
      </c>
      <c r="H273" s="1280">
        <v>1.2551825215950974</v>
      </c>
      <c r="I273" s="1271">
        <v>6.3648727892389956E-2</v>
      </c>
      <c r="J273" s="1257">
        <v>0.178106097418995</v>
      </c>
      <c r="K273" s="1280">
        <v>1.6854599071929894</v>
      </c>
      <c r="L273" s="1237">
        <v>0.18175472300566051</v>
      </c>
    </row>
    <row r="274" spans="1:12" s="326" customFormat="1" ht="15.5" x14ac:dyDescent="0.35">
      <c r="A274" s="328" t="s">
        <v>1238</v>
      </c>
      <c r="B274" s="1291">
        <v>0.11718419087649221</v>
      </c>
      <c r="C274" s="1257">
        <v>0.21996437605706656</v>
      </c>
      <c r="D274" s="1257">
        <v>0.13020465652943577</v>
      </c>
      <c r="E274" s="1280">
        <v>0.87543100817566144</v>
      </c>
      <c r="F274" s="1271">
        <v>5.8376417355290137E-2</v>
      </c>
      <c r="G274" s="1257">
        <v>0.13263778005977719</v>
      </c>
      <c r="H274" s="1280">
        <v>1.2551825215950974</v>
      </c>
      <c r="I274" s="1271">
        <v>6.3648727892389956E-2</v>
      </c>
      <c r="J274" s="1257">
        <v>0.178106097418995</v>
      </c>
      <c r="K274" s="1280">
        <v>1.6854599071929894</v>
      </c>
      <c r="L274" s="1237">
        <v>0.18175472300566051</v>
      </c>
    </row>
    <row r="275" spans="1:12" s="326" customFormat="1" ht="15.5" x14ac:dyDescent="0.35">
      <c r="A275" s="328" t="s">
        <v>1239</v>
      </c>
      <c r="B275" s="1291">
        <v>0.11718419087649221</v>
      </c>
      <c r="C275" s="1257">
        <v>0.21996437605706656</v>
      </c>
      <c r="D275" s="1257">
        <v>0.13020465652943577</v>
      </c>
      <c r="E275" s="1280">
        <v>0.87543100817566144</v>
      </c>
      <c r="F275" s="1271">
        <v>5.8376417355290137E-2</v>
      </c>
      <c r="G275" s="1257">
        <v>0.13263778005977719</v>
      </c>
      <c r="H275" s="1280">
        <v>1.2551825215950974</v>
      </c>
      <c r="I275" s="1271">
        <v>6.3648727892389956E-2</v>
      </c>
      <c r="J275" s="1257">
        <v>0.178106097418995</v>
      </c>
      <c r="K275" s="1280">
        <v>1.6854599071929894</v>
      </c>
      <c r="L275" s="1237">
        <v>0.18175472300566051</v>
      </c>
    </row>
    <row r="276" spans="1:12" s="326" customFormat="1" ht="15.5" x14ac:dyDescent="0.35">
      <c r="A276" s="328" t="s">
        <v>1240</v>
      </c>
      <c r="B276" s="1291">
        <v>0.11718419087649221</v>
      </c>
      <c r="C276" s="1257">
        <v>0.21996437605706656</v>
      </c>
      <c r="D276" s="1257">
        <v>0.13020465652943577</v>
      </c>
      <c r="E276" s="1280">
        <v>0.87543100817566144</v>
      </c>
      <c r="F276" s="1271">
        <v>5.8376417355290137E-2</v>
      </c>
      <c r="G276" s="1288">
        <v>0.13263778005977719</v>
      </c>
      <c r="H276" s="1280">
        <v>1.2551825215950974</v>
      </c>
      <c r="I276" s="1271">
        <v>6.3648727892389956E-2</v>
      </c>
      <c r="J276" s="1288">
        <v>0.178106097418995</v>
      </c>
      <c r="K276" s="1280">
        <v>1.6854599071929894</v>
      </c>
      <c r="L276" s="1237">
        <v>0.18175472300566051</v>
      </c>
    </row>
    <row r="277" spans="1:12" s="326" customFormat="1" ht="15.5" x14ac:dyDescent="0.35">
      <c r="A277" s="328" t="s">
        <v>1241</v>
      </c>
      <c r="B277" s="1291">
        <v>0.11718419087649221</v>
      </c>
      <c r="C277" s="1257">
        <v>0.21996437605706656</v>
      </c>
      <c r="D277" s="1257">
        <v>0.13020465652943577</v>
      </c>
      <c r="E277" s="1280">
        <v>0.87543100817566144</v>
      </c>
      <c r="F277" s="1303">
        <v>5.8376417355290137E-2</v>
      </c>
      <c r="G277" s="1288">
        <v>0.12963805335883791</v>
      </c>
      <c r="H277" s="1280">
        <v>1.2267954020060619</v>
      </c>
      <c r="I277" s="1271">
        <v>6.3648727892389956E-2</v>
      </c>
      <c r="J277" s="1288">
        <v>0.12990500726829293</v>
      </c>
      <c r="K277" s="1280">
        <v>1.2293216496639192</v>
      </c>
      <c r="L277" s="1237">
        <v>0.18175472300566051</v>
      </c>
    </row>
    <row r="278" spans="1:12" s="326" customFormat="1" ht="15.5" x14ac:dyDescent="0.35">
      <c r="A278" s="328" t="s">
        <v>1242</v>
      </c>
      <c r="B278" s="1291">
        <v>0.11718419087649221</v>
      </c>
      <c r="C278" s="1257">
        <v>0.21996437605706656</v>
      </c>
      <c r="D278" s="1257">
        <v>0.13020465652943577</v>
      </c>
      <c r="E278" s="1280">
        <v>0.87543100817566144</v>
      </c>
      <c r="F278" s="1303">
        <v>5.7988430280630998E-2</v>
      </c>
      <c r="G278" s="1288">
        <v>0.10372478563773757</v>
      </c>
      <c r="H278" s="1280">
        <v>0.98157205232182543</v>
      </c>
      <c r="I278" s="1271">
        <v>6.3648727892389956E-2</v>
      </c>
      <c r="J278" s="1288">
        <v>0.14884651664827492</v>
      </c>
      <c r="K278" s="1280">
        <v>1.408569609752425</v>
      </c>
      <c r="L278" s="1237">
        <v>0.18175472300566051</v>
      </c>
    </row>
    <row r="279" spans="1:12" s="326" customFormat="1" ht="15.5" x14ac:dyDescent="0.35">
      <c r="A279" s="328" t="s">
        <v>1243</v>
      </c>
      <c r="B279" s="1291">
        <v>0.11718419087649221</v>
      </c>
      <c r="C279" s="1257">
        <v>0.21996437605706656</v>
      </c>
      <c r="D279" s="1257">
        <v>0.13020465652943577</v>
      </c>
      <c r="E279" s="1280">
        <v>0.87543100817566144</v>
      </c>
      <c r="F279" s="1303">
        <v>5.723301319285385E-2</v>
      </c>
      <c r="G279" s="1288">
        <v>0.10499923790194836</v>
      </c>
      <c r="H279" s="1280">
        <v>0.99363249396917297</v>
      </c>
      <c r="I279" s="1271">
        <v>6.3648727892389956E-2</v>
      </c>
      <c r="J279" s="1288">
        <v>0.14128199004603928</v>
      </c>
      <c r="K279" s="1280">
        <v>1.3369847146268572</v>
      </c>
      <c r="L279" s="1237">
        <v>0.18175472300566051</v>
      </c>
    </row>
    <row r="280" spans="1:12" s="326" customFormat="1" ht="15.5" x14ac:dyDescent="0.35">
      <c r="A280" s="328" t="s">
        <v>1244</v>
      </c>
      <c r="B280" s="1291">
        <v>0.11718419087649221</v>
      </c>
      <c r="C280" s="1257">
        <v>0.21996437605706656</v>
      </c>
      <c r="D280" s="1257">
        <v>0.13020465652943577</v>
      </c>
      <c r="E280" s="1280">
        <v>0.87543100817566144</v>
      </c>
      <c r="F280" s="1303">
        <v>5.746979238117083E-2</v>
      </c>
      <c r="G280" s="1288">
        <v>0.11253927600964329</v>
      </c>
      <c r="H280" s="1280">
        <v>1.0649856487089038</v>
      </c>
      <c r="I280" s="1271">
        <v>6.3648727892389956E-2</v>
      </c>
      <c r="J280" s="1288">
        <v>0.1496800605821548</v>
      </c>
      <c r="K280" s="1280">
        <v>1.4164576321267148</v>
      </c>
      <c r="L280" s="1237">
        <v>0.18175472300566051</v>
      </c>
    </row>
    <row r="281" spans="1:12" s="326" customFormat="1" ht="15.5" x14ac:dyDescent="0.35">
      <c r="A281" s="328" t="s">
        <v>1245</v>
      </c>
      <c r="B281" s="1291">
        <v>0.11718419087649221</v>
      </c>
      <c r="C281" s="1257">
        <v>0.21996437605706656</v>
      </c>
      <c r="D281" s="1257">
        <v>0.13020465652943577</v>
      </c>
      <c r="E281" s="1280">
        <v>0.87543100817566144</v>
      </c>
      <c r="F281" s="1303">
        <v>5.7721791645607354E-2</v>
      </c>
      <c r="G281" s="1288">
        <v>0.10589314400840726</v>
      </c>
      <c r="H281" s="1280">
        <v>1.0020917377854421</v>
      </c>
      <c r="I281" s="1271">
        <v>6.3648727892389956E-2</v>
      </c>
      <c r="J281" s="1288">
        <v>0.14164960192506054</v>
      </c>
      <c r="K281" s="1280">
        <v>1.340463512334948</v>
      </c>
      <c r="L281" s="1237">
        <v>0.18175472300566051</v>
      </c>
    </row>
    <row r="282" spans="1:12" s="326" customFormat="1" ht="15.5" x14ac:dyDescent="0.35">
      <c r="A282" s="328" t="s">
        <v>1246</v>
      </c>
      <c r="B282" s="1291">
        <v>0.11718419087649221</v>
      </c>
      <c r="C282" s="1257">
        <v>0.21996437605706656</v>
      </c>
      <c r="D282" s="1257">
        <v>0.13020465652943577</v>
      </c>
      <c r="E282" s="1280">
        <v>0.87543100817566144</v>
      </c>
      <c r="F282" s="1303">
        <v>5.7044869916602382E-2</v>
      </c>
      <c r="G282" s="1288">
        <v>0.10912979082239743</v>
      </c>
      <c r="H282" s="1280">
        <v>1.0327208881501875</v>
      </c>
      <c r="I282" s="1303">
        <v>6.3648727892389956E-2</v>
      </c>
      <c r="J282" s="1288">
        <v>0.13995235431044062</v>
      </c>
      <c r="K282" s="1280">
        <v>1.3244020588054195</v>
      </c>
      <c r="L282" s="1237">
        <v>0.18175472300566051</v>
      </c>
    </row>
    <row r="283" spans="1:12" s="326" customFormat="1" ht="15.5" x14ac:dyDescent="0.35">
      <c r="A283" s="328" t="s">
        <v>1247</v>
      </c>
      <c r="B283" s="1291">
        <v>0.11718419087649221</v>
      </c>
      <c r="C283" s="1257">
        <v>0.21996437605706656</v>
      </c>
      <c r="D283" s="1257">
        <v>0.13020465652943577</v>
      </c>
      <c r="E283" s="1280">
        <v>0.87543100817566144</v>
      </c>
      <c r="F283" s="1303">
        <v>5.7078555816275821E-2</v>
      </c>
      <c r="G283" s="1288">
        <v>0.10400314932682231</v>
      </c>
      <c r="H283" s="1280">
        <v>0.98420627340897293</v>
      </c>
      <c r="I283" s="1303">
        <v>6.3004560686375055E-2</v>
      </c>
      <c r="J283" s="1288">
        <v>0.14626667970702867</v>
      </c>
      <c r="K283" s="1280">
        <v>1.3841560057569553</v>
      </c>
      <c r="L283" s="1237">
        <v>0.18175472300566051</v>
      </c>
    </row>
    <row r="284" spans="1:12" s="326" customFormat="1" ht="15.5" x14ac:dyDescent="0.35">
      <c r="A284" s="328" t="s">
        <v>1248</v>
      </c>
      <c r="B284" s="1291">
        <v>0.11718419087649221</v>
      </c>
      <c r="C284" s="1257">
        <v>0.21996437605706656</v>
      </c>
      <c r="D284" s="1257">
        <v>0.13020465652943577</v>
      </c>
      <c r="E284" s="1280">
        <v>0.87543100817566144</v>
      </c>
      <c r="F284" s="1303">
        <v>5.6122159753801755E-2</v>
      </c>
      <c r="G284" s="1288">
        <v>0.10749364899932834</v>
      </c>
      <c r="H284" s="1280">
        <v>1.017237693103938</v>
      </c>
      <c r="I284" s="1303">
        <v>6.4603281958660844E-2</v>
      </c>
      <c r="J284" s="1288">
        <v>0.14538029772394584</v>
      </c>
      <c r="K284" s="1280">
        <v>1.3757679644905758</v>
      </c>
      <c r="L284" s="1237">
        <v>0.18175472300566051</v>
      </c>
    </row>
    <row r="285" spans="1:12" s="326" customFormat="1" ht="15.5" x14ac:dyDescent="0.35">
      <c r="A285" s="328" t="s">
        <v>1249</v>
      </c>
      <c r="B285" s="1291">
        <v>0.11718419087649221</v>
      </c>
      <c r="C285" s="1257">
        <v>0.21996437605706656</v>
      </c>
      <c r="D285" s="1257">
        <v>0.13020465652943577</v>
      </c>
      <c r="E285" s="1280">
        <v>0.87543100817566144</v>
      </c>
      <c r="F285" s="1303">
        <v>5.6840636181364125E-2</v>
      </c>
      <c r="G285" s="1288">
        <v>0.10565456951073583</v>
      </c>
      <c r="H285" s="1280">
        <v>0.99983405117880153</v>
      </c>
      <c r="I285" s="1303">
        <v>6.4684666349907327E-2</v>
      </c>
      <c r="J285" s="1288">
        <v>0.14289754784160885</v>
      </c>
      <c r="K285" s="1280">
        <v>1.352273118177578</v>
      </c>
      <c r="L285" s="1237">
        <v>0.18175472300566051</v>
      </c>
    </row>
    <row r="286" spans="1:12" s="326" customFormat="1" ht="15.5" x14ac:dyDescent="0.35">
      <c r="A286" s="328" t="s">
        <v>1250</v>
      </c>
      <c r="B286" s="1291">
        <v>0.11718419087649221</v>
      </c>
      <c r="C286" s="1257">
        <v>0.21996437605706656</v>
      </c>
      <c r="D286" s="1257">
        <v>0.13020465652943577</v>
      </c>
      <c r="E286" s="1280">
        <v>0.87543100817566144</v>
      </c>
      <c r="F286" s="1303">
        <v>5.7293440028194247E-2</v>
      </c>
      <c r="G286" s="1288">
        <v>0.10090422986263646</v>
      </c>
      <c r="H286" s="1280">
        <v>0.95488046936186122</v>
      </c>
      <c r="I286" s="1303">
        <v>6.332661164899632E-2</v>
      </c>
      <c r="J286" s="1288">
        <v>0.14161330443639511</v>
      </c>
      <c r="K286" s="1280">
        <v>1.3401200206591215</v>
      </c>
      <c r="L286" s="1237">
        <v>0.18175472300566051</v>
      </c>
    </row>
    <row r="287" spans="1:12" s="326" customFormat="1" ht="15.5" x14ac:dyDescent="0.35">
      <c r="A287" s="328" t="s">
        <v>1251</v>
      </c>
      <c r="B287" s="1291">
        <v>0.11718419087649221</v>
      </c>
      <c r="C287" s="1257">
        <v>0.21996437605706656</v>
      </c>
      <c r="D287" s="1257">
        <v>0.13020465652943577</v>
      </c>
      <c r="E287" s="1280">
        <v>0.87543100817566144</v>
      </c>
      <c r="F287" s="1303">
        <v>5.7510741168631363E-2</v>
      </c>
      <c r="G287" s="1288">
        <v>9.6793193242321607E-2</v>
      </c>
      <c r="H287" s="1280">
        <v>0.91597676252108751</v>
      </c>
      <c r="I287" s="1303">
        <v>6.2912276738533932E-2</v>
      </c>
      <c r="J287" s="1288">
        <v>0.14086780473194782</v>
      </c>
      <c r="K287" s="1280">
        <v>1.3330651815442414</v>
      </c>
      <c r="L287" s="1237">
        <v>0.18175472300566051</v>
      </c>
    </row>
    <row r="288" spans="1:12" s="326" customFormat="1" ht="15.5" x14ac:dyDescent="0.35">
      <c r="A288" s="328" t="s">
        <v>1252</v>
      </c>
      <c r="B288" s="1291">
        <v>0.11718419087649221</v>
      </c>
      <c r="C288" s="1257">
        <v>0.21996437605706656</v>
      </c>
      <c r="D288" s="1257">
        <v>0.13020465652943577</v>
      </c>
      <c r="E288" s="1280">
        <v>0.87543100817566144</v>
      </c>
      <c r="F288" s="1303">
        <v>5.7350125376853828E-2</v>
      </c>
      <c r="G288" s="1288">
        <v>9.2811611647287517E-2</v>
      </c>
      <c r="H288" s="1280">
        <v>0.87829811904455157</v>
      </c>
      <c r="I288" s="1303">
        <v>6.227925110654664E-2</v>
      </c>
      <c r="J288" s="1288">
        <v>0.13316787898463039</v>
      </c>
      <c r="K288" s="1280">
        <v>1.2601989724501419</v>
      </c>
      <c r="L288" s="1237">
        <v>0.18175472300566051</v>
      </c>
    </row>
    <row r="289" spans="1:12" s="326" customFormat="1" ht="15.5" x14ac:dyDescent="0.35">
      <c r="A289" s="328" t="s">
        <v>1253</v>
      </c>
      <c r="B289" s="1291">
        <v>0.11718419087649221</v>
      </c>
      <c r="C289" s="1257">
        <v>0.21996437605706656</v>
      </c>
      <c r="D289" s="1257">
        <v>0.13020465652943577</v>
      </c>
      <c r="E289" s="1280">
        <v>0.87543100817566144</v>
      </c>
      <c r="F289" s="1303">
        <v>5.7438245100548173E-2</v>
      </c>
      <c r="G289" s="1288">
        <v>9.0780667787719871E-2</v>
      </c>
      <c r="H289" s="1280">
        <v>0.85907881943231967</v>
      </c>
      <c r="I289" s="1303">
        <v>6.2404946117296328E-2</v>
      </c>
      <c r="J289" s="1288">
        <v>0.13155101467483654</v>
      </c>
      <c r="K289" s="1280">
        <v>1.2448982050479018</v>
      </c>
      <c r="L289" s="1237">
        <v>0.18175472300566051</v>
      </c>
    </row>
    <row r="290" spans="1:12" s="326" customFormat="1" ht="15.5" x14ac:dyDescent="0.35">
      <c r="A290" s="328" t="s">
        <v>1254</v>
      </c>
      <c r="B290" s="1291">
        <v>0.11718419087649221</v>
      </c>
      <c r="C290" s="1257">
        <v>0.21996437605706656</v>
      </c>
      <c r="D290" s="1257">
        <v>0.13020465652943577</v>
      </c>
      <c r="E290" s="1280">
        <v>0.87543100817566144</v>
      </c>
      <c r="F290" s="1303">
        <v>5.7745927386654725E-2</v>
      </c>
      <c r="G290" s="1288">
        <v>8.9911772984101052E-2</v>
      </c>
      <c r="H290" s="1280">
        <v>0.85085626345983867</v>
      </c>
      <c r="I290" s="1303">
        <v>6.2475801080183795E-2</v>
      </c>
      <c r="J290" s="1288">
        <v>0.13367388333543367</v>
      </c>
      <c r="K290" s="1280">
        <v>1.2649874106816408</v>
      </c>
      <c r="L290" s="1237">
        <v>0.18175472300566051</v>
      </c>
    </row>
    <row r="291" spans="1:12" s="326" customFormat="1" ht="15.5" x14ac:dyDescent="0.35">
      <c r="A291" s="328" t="s">
        <v>1255</v>
      </c>
      <c r="B291" s="1291">
        <v>0.11718419087649221</v>
      </c>
      <c r="C291" s="1257">
        <v>0.21996437605706656</v>
      </c>
      <c r="D291" s="1257">
        <v>0.13020465652943577</v>
      </c>
      <c r="E291" s="1280">
        <v>0.87543100817566144</v>
      </c>
      <c r="F291" s="1303">
        <v>5.770399468276969E-2</v>
      </c>
      <c r="G291" s="1288">
        <v>8.8306799077588594E-2</v>
      </c>
      <c r="H291" s="1280">
        <v>0.83566801774159216</v>
      </c>
      <c r="I291" s="1303">
        <v>6.345033118152818E-2</v>
      </c>
      <c r="J291" s="1288">
        <v>0.13241302828408744</v>
      </c>
      <c r="K291" s="1280">
        <v>1.2530556426589745</v>
      </c>
      <c r="L291" s="1237">
        <v>0.18175472300566051</v>
      </c>
    </row>
    <row r="292" spans="1:12" s="326" customFormat="1" ht="15.5" x14ac:dyDescent="0.35">
      <c r="A292" s="328" t="s">
        <v>1256</v>
      </c>
      <c r="B292" s="1291">
        <v>0.11718419087649221</v>
      </c>
      <c r="C292" s="1257">
        <v>0.21996437605706656</v>
      </c>
      <c r="D292" s="1257">
        <v>0.13020465652943577</v>
      </c>
      <c r="E292" s="1280">
        <v>0.87543100817566144</v>
      </c>
      <c r="F292" s="1303">
        <v>5.7674393397228657E-2</v>
      </c>
      <c r="G292" s="1288">
        <v>8.440806297754673E-2</v>
      </c>
      <c r="H292" s="1280">
        <v>0.79877336067722526</v>
      </c>
      <c r="I292" s="1303">
        <v>6.3510510478522547E-2</v>
      </c>
      <c r="J292" s="1288">
        <v>0.13291891596336933</v>
      </c>
      <c r="K292" s="1280">
        <v>1.257842976800414</v>
      </c>
      <c r="L292" s="1237">
        <v>0.18175472300566051</v>
      </c>
    </row>
    <row r="293" spans="1:12" s="326" customFormat="1" ht="15.5" x14ac:dyDescent="0.35">
      <c r="A293" s="328" t="s">
        <v>1257</v>
      </c>
      <c r="B293" s="1291">
        <v>0.11718419087649221</v>
      </c>
      <c r="C293" s="1257">
        <v>0.21996437605706656</v>
      </c>
      <c r="D293" s="1257">
        <v>0.13020465652943577</v>
      </c>
      <c r="E293" s="1280">
        <v>0.87543100817566144</v>
      </c>
      <c r="F293" s="1303">
        <v>5.7847550738683015E-2</v>
      </c>
      <c r="G293" s="1288">
        <v>7.9497518868762315E-2</v>
      </c>
      <c r="H293" s="1280">
        <v>0.75230372635365517</v>
      </c>
      <c r="I293" s="1303">
        <v>6.3716755914046061E-2</v>
      </c>
      <c r="J293" s="1288">
        <v>0.13210986112149165</v>
      </c>
      <c r="K293" s="1280">
        <v>1.2501867004658802</v>
      </c>
      <c r="L293" s="1237">
        <v>0.18175472300566051</v>
      </c>
    </row>
    <row r="294" spans="1:12" s="326" customFormat="1" ht="15.5" x14ac:dyDescent="0.35">
      <c r="A294" s="328" t="s">
        <v>1258</v>
      </c>
      <c r="B294" s="1291">
        <v>0.11718419087649221</v>
      </c>
      <c r="C294" s="1257">
        <v>0.21996437605706656</v>
      </c>
      <c r="D294" s="1257">
        <v>0.13020465652943577</v>
      </c>
      <c r="E294" s="1280">
        <v>0.87543100817566144</v>
      </c>
      <c r="F294" s="1303">
        <v>5.7059026389439778E-2</v>
      </c>
      <c r="G294" s="1288">
        <v>7.2281061407874769E-2</v>
      </c>
      <c r="H294" s="1280">
        <v>0.68401269141128551</v>
      </c>
      <c r="I294" s="1303">
        <v>6.3217540883363899E-2</v>
      </c>
      <c r="J294" s="1288">
        <v>0.13168858607392472</v>
      </c>
      <c r="K294" s="1280">
        <v>1.2462000755672142</v>
      </c>
      <c r="L294" s="1237">
        <v>0.18175472300566051</v>
      </c>
    </row>
    <row r="295" spans="1:12" s="326" customFormat="1" ht="15.5" x14ac:dyDescent="0.35">
      <c r="A295" s="328" t="s">
        <v>1259</v>
      </c>
      <c r="B295" s="1291">
        <v>0.11718419087649221</v>
      </c>
      <c r="C295" s="1257">
        <v>0.21996437605706656</v>
      </c>
      <c r="D295" s="1257">
        <v>0.13020465652943577</v>
      </c>
      <c r="E295" s="1280">
        <v>0.87543100817566144</v>
      </c>
      <c r="F295" s="1303">
        <v>5.7327587084861534E-2</v>
      </c>
      <c r="G295" s="1288">
        <v>7.6218526892761179E-2</v>
      </c>
      <c r="H295" s="1280">
        <v>0.72127385375723252</v>
      </c>
      <c r="I295" s="1303">
        <v>6.3433686979472659E-2</v>
      </c>
      <c r="J295" s="1288">
        <v>0.13121973750382074</v>
      </c>
      <c r="K295" s="1280">
        <v>1.2417632512310095</v>
      </c>
      <c r="L295" s="1237">
        <v>0.18175472300566051</v>
      </c>
    </row>
    <row r="296" spans="1:12" s="326" customFormat="1" ht="15.5" x14ac:dyDescent="0.35">
      <c r="A296" s="328" t="s">
        <v>1260</v>
      </c>
      <c r="B296" s="1291">
        <v>0.11718419087649221</v>
      </c>
      <c r="C296" s="1257">
        <v>0.21996437605706656</v>
      </c>
      <c r="D296" s="1257">
        <v>0.13020465652943577</v>
      </c>
      <c r="E296" s="1280">
        <v>0.87543100817566144</v>
      </c>
      <c r="F296" s="1303">
        <v>5.7499221300255331E-2</v>
      </c>
      <c r="G296" s="1288">
        <v>7.3761334788989483E-2</v>
      </c>
      <c r="H296" s="1280">
        <v>0.69802086671639307</v>
      </c>
      <c r="I296" s="1303">
        <v>6.3594930015712578E-2</v>
      </c>
      <c r="J296" s="1288">
        <v>0.13016027219690704</v>
      </c>
      <c r="K296" s="1280">
        <v>1.2317372817457306</v>
      </c>
      <c r="L296" s="1237">
        <v>0.18175472300566051</v>
      </c>
    </row>
    <row r="297" spans="1:12" s="326" customFormat="1" ht="15.5" x14ac:dyDescent="0.35">
      <c r="A297" s="328" t="s">
        <v>1261</v>
      </c>
      <c r="B297" s="1291">
        <v>0.11718419087649221</v>
      </c>
      <c r="C297" s="1257">
        <v>0.21996437605706656</v>
      </c>
      <c r="D297" s="1257">
        <v>0.13020465652943577</v>
      </c>
      <c r="E297" s="1280">
        <v>0.87543100817566144</v>
      </c>
      <c r="F297" s="1303">
        <v>5.7624897104454391E-2</v>
      </c>
      <c r="G297" s="1288">
        <v>7.3168455100294641E-2</v>
      </c>
      <c r="H297" s="1280">
        <v>0.69241030672117065</v>
      </c>
      <c r="I297" s="1303">
        <v>6.3793277824490832E-2</v>
      </c>
      <c r="J297" s="1288">
        <v>0.1283468598694413</v>
      </c>
      <c r="K297" s="1280">
        <v>1.2145765342056689</v>
      </c>
      <c r="L297" s="1237">
        <v>0.18175472300566051</v>
      </c>
    </row>
    <row r="298" spans="1:12" s="326" customFormat="1" ht="15.5" x14ac:dyDescent="0.35">
      <c r="A298" s="328" t="s">
        <v>1262</v>
      </c>
      <c r="B298" s="1291">
        <v>0.11718419087649221</v>
      </c>
      <c r="C298" s="1257">
        <v>0.21996437605706656</v>
      </c>
      <c r="D298" s="1257">
        <v>0.13020465652943577</v>
      </c>
      <c r="E298" s="1280">
        <v>0.87543100817566144</v>
      </c>
      <c r="F298" s="1303">
        <v>5.7552338594410543E-2</v>
      </c>
      <c r="G298" s="1288">
        <v>6.922315678108612E-2</v>
      </c>
      <c r="H298" s="1280">
        <v>0.65507502042101351</v>
      </c>
      <c r="I298" s="1303">
        <v>6.3926463147872023E-2</v>
      </c>
      <c r="J298" s="1288">
        <v>0.12895951383653667</v>
      </c>
      <c r="K298" s="1280">
        <v>1.2203742228501668</v>
      </c>
      <c r="L298" s="1237">
        <v>0.18175472300566051</v>
      </c>
    </row>
    <row r="299" spans="1:12" s="326" customFormat="1" ht="15.5" x14ac:dyDescent="0.35">
      <c r="A299" s="328" t="s">
        <v>1263</v>
      </c>
      <c r="B299" s="1291">
        <v>0.11718419087649221</v>
      </c>
      <c r="C299" s="1257">
        <v>0.21996437605706656</v>
      </c>
      <c r="D299" s="1257">
        <v>0.13020465652943577</v>
      </c>
      <c r="E299" s="1280">
        <v>0.87543100817566144</v>
      </c>
      <c r="F299" s="1303">
        <v>5.756552498743938E-2</v>
      </c>
      <c r="G299" s="1288">
        <v>6.8248669052707781E-2</v>
      </c>
      <c r="H299" s="1280">
        <v>0.64585321375613913</v>
      </c>
      <c r="I299" s="1303">
        <v>6.3663296540108716E-2</v>
      </c>
      <c r="J299" s="1288">
        <v>0.12889801831149184</v>
      </c>
      <c r="K299" s="1280">
        <v>1.2197922762271323</v>
      </c>
      <c r="L299" s="1237">
        <v>0.18175472300566051</v>
      </c>
    </row>
    <row r="300" spans="1:12" s="326" customFormat="1" ht="15.5" x14ac:dyDescent="0.35">
      <c r="A300" s="328" t="s">
        <v>1264</v>
      </c>
      <c r="B300" s="1291">
        <v>0.11718419087649221</v>
      </c>
      <c r="C300" s="1257">
        <v>0.21996437605706656</v>
      </c>
      <c r="D300" s="1257">
        <v>0.13020465652943577</v>
      </c>
      <c r="E300" s="1280">
        <v>0.87543100817566144</v>
      </c>
      <c r="F300" s="1303">
        <v>5.7391996022129528E-2</v>
      </c>
      <c r="G300" s="1288">
        <v>7.4117320963326752E-2</v>
      </c>
      <c r="H300" s="1280">
        <v>0.70138964764559952</v>
      </c>
      <c r="I300" s="1303">
        <v>6.3197905383529346E-2</v>
      </c>
      <c r="J300" s="1288">
        <v>0.12954067864894306</v>
      </c>
      <c r="K300" s="1280">
        <v>1.2258739222146302</v>
      </c>
      <c r="L300" s="1237">
        <v>0.18175472300566051</v>
      </c>
    </row>
    <row r="301" spans="1:12" s="326" customFormat="1" ht="15.5" x14ac:dyDescent="0.35">
      <c r="A301" s="328" t="s">
        <v>1265</v>
      </c>
      <c r="B301" s="1291">
        <v>0.11718419087649221</v>
      </c>
      <c r="C301" s="1257">
        <v>0.21996437605706656</v>
      </c>
      <c r="D301" s="1257">
        <v>0.13020465652943577</v>
      </c>
      <c r="E301" s="1280">
        <v>0.87543100817566144</v>
      </c>
      <c r="F301" s="1303">
        <v>5.7528155553418607E-2</v>
      </c>
      <c r="G301" s="1288">
        <v>7.2654426445844106E-2</v>
      </c>
      <c r="H301" s="1280">
        <v>0.68754593261618646</v>
      </c>
      <c r="I301" s="1303">
        <v>6.3577300859111605E-2</v>
      </c>
      <c r="J301" s="1288">
        <v>0.1296360114063361</v>
      </c>
      <c r="K301" s="1280">
        <v>1.2267760785290776</v>
      </c>
      <c r="L301" s="1330">
        <v>0.18175472300566051</v>
      </c>
    </row>
    <row r="302" spans="1:12" s="326" customFormat="1" ht="15.5" x14ac:dyDescent="0.35">
      <c r="A302" s="328" t="s">
        <v>1266</v>
      </c>
      <c r="B302" s="1291">
        <v>0.11718419087649221</v>
      </c>
      <c r="C302" s="1257">
        <v>0.21996437605706656</v>
      </c>
      <c r="D302" s="1257">
        <v>0.13020465652943577</v>
      </c>
      <c r="E302" s="1280">
        <v>0.87543100817566144</v>
      </c>
      <c r="F302" s="1303">
        <v>5.7312454080821952E-2</v>
      </c>
      <c r="G302" s="1288">
        <v>7.1457422160192893E-2</v>
      </c>
      <c r="H302" s="1280">
        <v>0.67621839941300199</v>
      </c>
      <c r="I302" s="1303">
        <v>6.3528740456995539E-2</v>
      </c>
      <c r="J302" s="1288">
        <v>0.12947829106852032</v>
      </c>
      <c r="K302" s="1280">
        <v>1.2252835338616592</v>
      </c>
      <c r="L302" s="1330">
        <v>0.18175472300549403</v>
      </c>
    </row>
    <row r="303" spans="1:12" s="326" customFormat="1" ht="15.5" x14ac:dyDescent="0.35">
      <c r="A303" s="328" t="s">
        <v>1267</v>
      </c>
      <c r="B303" s="1291">
        <v>0.11718419087649221</v>
      </c>
      <c r="C303" s="1257">
        <v>0.21996437605706656</v>
      </c>
      <c r="D303" s="1257">
        <v>0.13020465652943577</v>
      </c>
      <c r="E303" s="1280">
        <v>0.87543100817566144</v>
      </c>
      <c r="F303" s="1303">
        <v>5.7113096252943585E-2</v>
      </c>
      <c r="G303" s="1288">
        <v>7.2109075538451209E-2</v>
      </c>
      <c r="H303" s="1280">
        <v>0.68238514866166688</v>
      </c>
      <c r="I303" s="1303">
        <v>6.3117332843730375E-2</v>
      </c>
      <c r="J303" s="1288">
        <v>0.12875993475731862</v>
      </c>
      <c r="K303" s="1280">
        <v>1.2184855590637431</v>
      </c>
      <c r="L303" s="1330">
        <v>0.18044005059824944</v>
      </c>
    </row>
    <row r="304" spans="1:12" s="326" customFormat="1" ht="15.5" x14ac:dyDescent="0.35">
      <c r="A304" s="328" t="s">
        <v>1268</v>
      </c>
      <c r="B304" s="1291">
        <v>0.11718419087649221</v>
      </c>
      <c r="C304" s="1257">
        <v>0.21996437605706656</v>
      </c>
      <c r="D304" s="1257">
        <v>0.13020465652943577</v>
      </c>
      <c r="E304" s="1280">
        <v>0.87543100817566144</v>
      </c>
      <c r="F304" s="1303">
        <v>4.9010118157144116E-2</v>
      </c>
      <c r="G304" s="1288">
        <v>7.1698826836735577E-2</v>
      </c>
      <c r="H304" s="1280">
        <v>0.67850286866822562</v>
      </c>
      <c r="I304" s="1303">
        <v>6.9153998436630074E-2</v>
      </c>
      <c r="J304" s="1288">
        <v>0.12774922930388591</v>
      </c>
      <c r="K304" s="1280">
        <v>1.2089210155448615</v>
      </c>
      <c r="L304" s="1330">
        <v>0.18044005062014251</v>
      </c>
    </row>
    <row r="305" spans="1:12" s="326" customFormat="1" ht="15.5" x14ac:dyDescent="0.35">
      <c r="A305" s="328" t="s">
        <v>1269</v>
      </c>
      <c r="B305" s="1291">
        <v>0.11718419087649221</v>
      </c>
      <c r="C305" s="1257">
        <v>0.21996437605706656</v>
      </c>
      <c r="D305" s="1257">
        <v>0.13020465652943577</v>
      </c>
      <c r="E305" s="1280">
        <v>0.87543100817566144</v>
      </c>
      <c r="F305" s="1303">
        <v>4.9342945132795468E-2</v>
      </c>
      <c r="G305" s="1288">
        <v>6.9930386834026748E-2</v>
      </c>
      <c r="H305" s="1280">
        <v>0.66176770481906189</v>
      </c>
      <c r="I305" s="1303">
        <v>6.8961096784425469E-2</v>
      </c>
      <c r="J305" s="1288">
        <v>0.12826463618992742</v>
      </c>
      <c r="K305" s="1280">
        <v>1.2137984321796806</v>
      </c>
      <c r="L305" s="1330">
        <v>0.18044005062836432</v>
      </c>
    </row>
    <row r="306" spans="1:12" s="326" customFormat="1" ht="15.5" x14ac:dyDescent="0.35">
      <c r="A306" s="328" t="s">
        <v>1270</v>
      </c>
      <c r="B306" s="1287">
        <v>0.11718419087649221</v>
      </c>
      <c r="C306" s="1288">
        <v>0.21996437605706656</v>
      </c>
      <c r="D306" s="1288">
        <v>0.22556704663417829</v>
      </c>
      <c r="E306" s="1306">
        <v>1.7735382910802904</v>
      </c>
      <c r="F306" s="1303">
        <v>4.9059533921494959E-2</v>
      </c>
      <c r="G306" s="1288">
        <v>7.3922524643073723E-2</v>
      </c>
      <c r="H306" s="1280">
        <v>0.6995462442326168</v>
      </c>
      <c r="I306" s="1303">
        <v>6.8674734570378995E-2</v>
      </c>
      <c r="J306" s="1288">
        <v>0.12848274125949119</v>
      </c>
      <c r="K306" s="1280">
        <v>1.2158624117718024</v>
      </c>
      <c r="L306" s="1330">
        <v>0.17878218998608866</v>
      </c>
    </row>
    <row r="307" spans="1:12" s="326" customFormat="1" ht="15.5" x14ac:dyDescent="0.35">
      <c r="A307" s="328" t="s">
        <v>1271</v>
      </c>
      <c r="B307" s="1287">
        <v>0.143823831285362</v>
      </c>
      <c r="C307" s="1288">
        <v>0.26665476576765273</v>
      </c>
      <c r="D307" s="1288">
        <v>0.35350929391145947</v>
      </c>
      <c r="E307" s="1306">
        <v>1.7730257246828049</v>
      </c>
      <c r="F307" s="1303">
        <v>5.8526211069874122E-2</v>
      </c>
      <c r="G307" s="1288">
        <v>6.9302234400641483E-2</v>
      </c>
      <c r="H307" s="1280">
        <v>0.65582335054136465</v>
      </c>
      <c r="I307" s="1303">
        <v>7.4487254115569654E-2</v>
      </c>
      <c r="J307" s="1288">
        <v>0.12943830582254257</v>
      </c>
      <c r="K307" s="1280">
        <v>1.2249051440706786</v>
      </c>
      <c r="L307" s="1330">
        <v>0.17884051399459042</v>
      </c>
    </row>
    <row r="308" spans="1:12" s="326" customFormat="1" ht="15.5" x14ac:dyDescent="0.35">
      <c r="A308" s="328" t="s">
        <v>1272</v>
      </c>
      <c r="B308" s="1287">
        <v>0.154017803241424</v>
      </c>
      <c r="C308" s="1288">
        <v>0.26766579999283846</v>
      </c>
      <c r="D308" s="1288">
        <v>0.27341391920852032</v>
      </c>
      <c r="E308" s="1306">
        <v>1.9496368055898969</v>
      </c>
      <c r="F308" s="1303">
        <v>5.8710620888672453E-2</v>
      </c>
      <c r="G308" s="1288">
        <v>6.7815768128376988E-2</v>
      </c>
      <c r="H308" s="1280">
        <v>0.64175657045015577</v>
      </c>
      <c r="I308" s="1303">
        <v>7.5229944448789832E-2</v>
      </c>
      <c r="J308" s="1288">
        <v>0.11481941253616341</v>
      </c>
      <c r="K308" s="1280">
        <v>1.0865631171620758</v>
      </c>
      <c r="L308" s="1330">
        <v>0.18081922861271729</v>
      </c>
    </row>
    <row r="309" spans="1:12" s="326" customFormat="1" ht="15.5" x14ac:dyDescent="0.35">
      <c r="A309" s="328" t="s">
        <v>1273</v>
      </c>
      <c r="B309" s="1287">
        <v>0.15283745747183847</v>
      </c>
      <c r="C309" s="1288">
        <v>0.26767970094614185</v>
      </c>
      <c r="D309" s="1288">
        <v>0.28245735159517682</v>
      </c>
      <c r="E309" s="1306">
        <v>2.0373672485758929</v>
      </c>
      <c r="F309" s="1303">
        <v>5.8150973719561593E-2</v>
      </c>
      <c r="G309" s="1288">
        <v>6.1988495694549221E-2</v>
      </c>
      <c r="H309" s="1280">
        <v>0.58661172028591801</v>
      </c>
      <c r="I309" s="1303">
        <v>7.5033696679063927E-2</v>
      </c>
      <c r="J309" s="1288">
        <v>9.868140078144659E-2</v>
      </c>
      <c r="K309" s="1280">
        <v>0.93384531474795418</v>
      </c>
      <c r="L309" s="1330">
        <v>0.17967316874201136</v>
      </c>
    </row>
    <row r="310" spans="1:12" s="326" customFormat="1" ht="15.5" x14ac:dyDescent="0.35">
      <c r="A310" s="328" t="s">
        <v>1274</v>
      </c>
      <c r="B310" s="1287">
        <v>0.11724956290163148</v>
      </c>
      <c r="C310" s="1288">
        <v>0.22538084288564916</v>
      </c>
      <c r="D310" s="1288">
        <v>0.27376337532134315</v>
      </c>
      <c r="E310" s="1306">
        <v>1.7817134707642097</v>
      </c>
      <c r="F310" s="1303">
        <v>6.2903005027135722E-2</v>
      </c>
      <c r="G310" s="1288">
        <v>5.7725309654026967E-2</v>
      </c>
      <c r="H310" s="1280">
        <v>0.54626818768185814</v>
      </c>
      <c r="I310" s="1303">
        <v>8.0554037646936333E-2</v>
      </c>
      <c r="J310" s="1288">
        <v>9.8649867314378387E-2</v>
      </c>
      <c r="K310" s="1280">
        <v>0.93354690612944846</v>
      </c>
      <c r="L310" s="1330">
        <v>0.17843543184498015</v>
      </c>
    </row>
    <row r="311" spans="1:12" s="326" customFormat="1" ht="15.5" x14ac:dyDescent="0.35">
      <c r="A311" s="328" t="s">
        <v>1275</v>
      </c>
      <c r="B311" s="1287">
        <v>0.11829865286590058</v>
      </c>
      <c r="C311" s="1288">
        <v>0.18822948406638418</v>
      </c>
      <c r="D311" s="1288">
        <v>0.2758232757537194</v>
      </c>
      <c r="E311" s="1306">
        <v>1.8208106399519381</v>
      </c>
      <c r="F311" s="1303">
        <v>6.5472951723249309E-2</v>
      </c>
      <c r="G311" s="1288">
        <v>5.7780426816508877E-2</v>
      </c>
      <c r="H311" s="1280">
        <v>0.54678977435916853</v>
      </c>
      <c r="I311" s="1303">
        <v>8.0227390113502592E-2</v>
      </c>
      <c r="J311" s="1288">
        <v>0.10030143087257742</v>
      </c>
      <c r="K311" s="1280">
        <v>0.94917604068387607</v>
      </c>
      <c r="L311" s="1330">
        <v>0.16736303311168221</v>
      </c>
    </row>
    <row r="312" spans="1:12" s="326" customFormat="1" ht="15.5" x14ac:dyDescent="0.35">
      <c r="A312" s="328" t="s">
        <v>1276</v>
      </c>
      <c r="B312" s="1287">
        <v>0.14008417067183881</v>
      </c>
      <c r="C312" s="1288">
        <v>0.18389148190001903</v>
      </c>
      <c r="D312" s="1288">
        <v>0.27000480302137864</v>
      </c>
      <c r="E312" s="1306">
        <v>1.90969017139202</v>
      </c>
      <c r="F312" s="1303">
        <v>5.7880714733895659E-2</v>
      </c>
      <c r="G312" s="1288">
        <v>5.8018547058465236E-2</v>
      </c>
      <c r="H312" s="1280">
        <v>0.54904316223709382</v>
      </c>
      <c r="I312" s="1303">
        <v>8.0476664066721049E-2</v>
      </c>
      <c r="J312" s="1288">
        <v>0.1002248870823271</v>
      </c>
      <c r="K312" s="1280">
        <v>0.9484516887864336</v>
      </c>
      <c r="L312" s="1330">
        <v>0.16600404985070055</v>
      </c>
    </row>
    <row r="313" spans="1:12" s="326" customFormat="1" ht="15.5" x14ac:dyDescent="0.35">
      <c r="A313" s="328" t="s">
        <v>1277</v>
      </c>
      <c r="B313" s="1287">
        <v>0.13203986502588447</v>
      </c>
      <c r="C313" s="1288">
        <v>0.12650677282886985</v>
      </c>
      <c r="D313" s="1288">
        <v>0.27692096502810021</v>
      </c>
      <c r="E313" s="1306">
        <v>2.0686713118999194</v>
      </c>
      <c r="F313" s="1303">
        <v>6.4218047528910929E-2</v>
      </c>
      <c r="G313" s="1288">
        <v>5.6896257401579019E-2</v>
      </c>
      <c r="H313" s="1280">
        <v>0.53842267114582498</v>
      </c>
      <c r="I313" s="1303">
        <v>8.0402337891479839E-2</v>
      </c>
      <c r="J313" s="1288">
        <v>0.10062388567499846</v>
      </c>
      <c r="K313" s="1280">
        <v>0.95222750635090447</v>
      </c>
      <c r="L313" s="1330">
        <v>0.15625718329705029</v>
      </c>
    </row>
    <row r="314" spans="1:12" s="326" customFormat="1" ht="15.5" x14ac:dyDescent="0.35">
      <c r="A314" s="328" t="s">
        <v>1278</v>
      </c>
      <c r="B314" s="1287">
        <v>0.12444669839246542</v>
      </c>
      <c r="C314" s="1288">
        <v>0.12761711051353877</v>
      </c>
      <c r="D314" s="1288">
        <v>0.30373522910460132</v>
      </c>
      <c r="E314" s="1306">
        <v>2.0407485694175578</v>
      </c>
      <c r="F314" s="1303">
        <v>5.8958560503093178E-2</v>
      </c>
      <c r="G314" s="1288">
        <v>5.5005930572684998E-2</v>
      </c>
      <c r="H314" s="1280">
        <v>0.52053406358121757</v>
      </c>
      <c r="I314" s="1303">
        <v>7.8204965683627115E-2</v>
      </c>
      <c r="J314" s="1288">
        <v>9.8054989412696567E-2</v>
      </c>
      <c r="K314" s="1280">
        <v>0.92791743657456238</v>
      </c>
      <c r="L314" s="1330">
        <v>0.18602038511253804</v>
      </c>
    </row>
    <row r="315" spans="1:12" s="326" customFormat="1" ht="15.5" x14ac:dyDescent="0.35">
      <c r="A315" s="328" t="s">
        <v>1279</v>
      </c>
      <c r="B315" s="1287">
        <v>0.13346035868707809</v>
      </c>
      <c r="C315" s="1288">
        <v>0.17333866552587676</v>
      </c>
      <c r="D315" s="1288">
        <v>0.28719802968805219</v>
      </c>
      <c r="E315" s="1306">
        <v>1.8422337036280383</v>
      </c>
      <c r="F315" s="1303">
        <v>5.664396212086515E-2</v>
      </c>
      <c r="G315" s="1288">
        <v>5.5182231825270836E-2</v>
      </c>
      <c r="H315" s="1280">
        <v>0.52220244381708503</v>
      </c>
      <c r="I315" s="1303">
        <v>7.7719639779931043E-2</v>
      </c>
      <c r="J315" s="1288">
        <v>9.879234955352105E-2</v>
      </c>
      <c r="K315" s="1280">
        <v>0.93489524908368815</v>
      </c>
      <c r="L315" s="1330">
        <v>0.18602038511254845</v>
      </c>
    </row>
    <row r="316" spans="1:12" s="326" customFormat="1" ht="15.5" x14ac:dyDescent="0.35">
      <c r="A316" s="328" t="s">
        <v>1280</v>
      </c>
      <c r="B316" s="1287">
        <v>0.11189147596108978</v>
      </c>
      <c r="C316" s="1288">
        <v>0.11191601353353525</v>
      </c>
      <c r="D316" s="1288">
        <v>0.31628846494588397</v>
      </c>
      <c r="E316" s="1306">
        <v>2.0057067266396191</v>
      </c>
      <c r="F316" s="1303">
        <v>5.9404735280213207E-2</v>
      </c>
      <c r="G316" s="1288">
        <v>5.5172873601679565E-2</v>
      </c>
      <c r="H316" s="1280">
        <v>0.52211388474530585</v>
      </c>
      <c r="I316" s="1303">
        <v>7.5364814563323876E-2</v>
      </c>
      <c r="J316" s="1288">
        <v>9.6056768402415116E-2</v>
      </c>
      <c r="K316" s="1280">
        <v>0.90900780098461953</v>
      </c>
      <c r="L316" s="1330">
        <v>0.18602038511250332</v>
      </c>
    </row>
    <row r="317" spans="1:12" s="326" customFormat="1" ht="15.5" x14ac:dyDescent="0.35">
      <c r="A317" s="328" t="s">
        <v>1281</v>
      </c>
      <c r="B317" s="1287">
        <v>0.12044497502808442</v>
      </c>
      <c r="C317" s="1288">
        <v>0.1693685222840268</v>
      </c>
      <c r="D317" s="1288">
        <v>0.20941258675839577</v>
      </c>
      <c r="E317" s="1306">
        <v>1.9891440833415268</v>
      </c>
      <c r="F317" s="1303">
        <v>5.8683357913099206E-2</v>
      </c>
      <c r="G317" s="1288">
        <v>5.4412873848356129E-2</v>
      </c>
      <c r="H317" s="1280">
        <v>0.51492182825613486</v>
      </c>
      <c r="I317" s="1303">
        <v>7.2596105811687101E-2</v>
      </c>
      <c r="J317" s="1288">
        <v>9.4713255978488439E-2</v>
      </c>
      <c r="K317" s="1280">
        <v>0.89629382679643099</v>
      </c>
      <c r="L317" s="1330">
        <v>0.1910327033683609</v>
      </c>
    </row>
    <row r="318" spans="1:12" s="326" customFormat="1" ht="15.5" x14ac:dyDescent="0.35">
      <c r="A318" s="328" t="s">
        <v>1282</v>
      </c>
      <c r="B318" s="1287">
        <v>0.13192204198704738</v>
      </c>
      <c r="C318" s="1288">
        <v>0.15441075322718173</v>
      </c>
      <c r="D318" s="1288">
        <v>0.20961003000475528</v>
      </c>
      <c r="E318" s="1306">
        <v>1.9921758006228487</v>
      </c>
      <c r="F318" s="1303">
        <v>5.3858092918827365E-2</v>
      </c>
      <c r="G318" s="1288">
        <v>5.3373812528564789E-2</v>
      </c>
      <c r="H318" s="1280">
        <v>0.50508894650193303</v>
      </c>
      <c r="I318" s="1303">
        <v>6.8088969691272927E-2</v>
      </c>
      <c r="J318" s="1288">
        <v>9.0138484020363854E-2</v>
      </c>
      <c r="K318" s="1280">
        <v>0.85300168333976667</v>
      </c>
      <c r="L318" s="1330">
        <v>0.1910327033683942</v>
      </c>
    </row>
    <row r="319" spans="1:12" s="326" customFormat="1" ht="15.5" x14ac:dyDescent="0.35">
      <c r="A319" s="328" t="s">
        <v>1283</v>
      </c>
      <c r="B319" s="1287">
        <v>0.13536320175337466</v>
      </c>
      <c r="C319" s="1288">
        <v>0.13791827509522753</v>
      </c>
      <c r="D319" s="1288">
        <v>0.22614482107522355</v>
      </c>
      <c r="E319" s="1306">
        <v>1.7652343290145842</v>
      </c>
      <c r="F319" s="1303">
        <v>5.6788775755220039E-2</v>
      </c>
      <c r="G319" s="1288">
        <v>5.1417326951382826E-2</v>
      </c>
      <c r="H319" s="1280">
        <v>0.4865742631355125</v>
      </c>
      <c r="I319" s="1303">
        <v>6.8111856523044023E-2</v>
      </c>
      <c r="J319" s="1288">
        <v>8.9120957760806391E-2</v>
      </c>
      <c r="K319" s="1280">
        <v>0.84337259292763089</v>
      </c>
      <c r="L319" s="1330">
        <v>0.19103270336820988</v>
      </c>
    </row>
    <row r="320" spans="1:12" s="326" customFormat="1" ht="15.5" x14ac:dyDescent="0.35">
      <c r="A320" s="328" t="s">
        <v>1284</v>
      </c>
      <c r="B320" s="1287">
        <v>0.11513817792952631</v>
      </c>
      <c r="C320" s="1288">
        <v>0.17454049534973989</v>
      </c>
      <c r="D320" s="1288">
        <v>0.24722345174310745</v>
      </c>
      <c r="E320" s="1280">
        <v>1.7652343290145842</v>
      </c>
      <c r="F320" s="1303">
        <v>5.3354477042814978E-2</v>
      </c>
      <c r="G320" s="1288">
        <v>5.090276604381723E-2</v>
      </c>
      <c r="H320" s="1280">
        <v>0.48170485219406445</v>
      </c>
      <c r="I320" s="1303">
        <v>6.4719719979755619E-2</v>
      </c>
      <c r="J320" s="1288">
        <v>8.6576819967853283E-2</v>
      </c>
      <c r="K320" s="1280">
        <v>0.81929681837225854</v>
      </c>
      <c r="L320" s="1330">
        <v>0.19103349140136017</v>
      </c>
    </row>
    <row r="321" spans="1:12" s="326" customFormat="1" ht="15.5" x14ac:dyDescent="0.35">
      <c r="A321" s="328" t="s">
        <v>1285</v>
      </c>
      <c r="B321" s="1291">
        <v>0.11513817792952631</v>
      </c>
      <c r="C321" s="1257">
        <v>0.17454049534973989</v>
      </c>
      <c r="D321" s="1257">
        <v>0.24722345174310745</v>
      </c>
      <c r="E321" s="1280">
        <v>1.7652343290145842</v>
      </c>
      <c r="F321" s="1271">
        <v>5.3354477042814978E-2</v>
      </c>
      <c r="G321" s="1257">
        <v>5.090276604381723E-2</v>
      </c>
      <c r="H321" s="1280">
        <v>0.48170485219406445</v>
      </c>
      <c r="I321" s="1271">
        <v>6.4719719979755619E-2</v>
      </c>
      <c r="J321" s="1257">
        <v>8.6576819967853283E-2</v>
      </c>
      <c r="K321" s="1280">
        <v>0.81929681837225854</v>
      </c>
      <c r="L321" s="1330">
        <v>0.1811041729820089</v>
      </c>
    </row>
    <row r="322" spans="1:12" s="326" customFormat="1" ht="15.5" x14ac:dyDescent="0.35">
      <c r="A322" s="328" t="s">
        <v>1286</v>
      </c>
      <c r="B322" s="1291">
        <v>0.143823831285362</v>
      </c>
      <c r="C322" s="1257">
        <v>0.26666066830239626</v>
      </c>
      <c r="D322" s="1257">
        <v>0.15980425698373554</v>
      </c>
      <c r="E322" s="1280">
        <v>1.0744439218301458</v>
      </c>
      <c r="F322" s="1271">
        <v>5.835886490946051E-2</v>
      </c>
      <c r="G322" s="1257">
        <v>0.12788136609796019</v>
      </c>
      <c r="H322" s="1280">
        <v>1.2101714571181967</v>
      </c>
      <c r="I322" s="1271">
        <v>6.349516290355986E-2</v>
      </c>
      <c r="J322" s="1257">
        <v>0.12934315978020511</v>
      </c>
      <c r="K322" s="1280">
        <v>1.224004754684735</v>
      </c>
      <c r="L322" s="1237">
        <v>0.18027582950439325</v>
      </c>
    </row>
    <row r="323" spans="1:12" s="326" customFormat="1" ht="15.5" x14ac:dyDescent="0.35">
      <c r="A323" s="328" t="s">
        <v>1287</v>
      </c>
      <c r="B323" s="1291">
        <v>0.143823831285362</v>
      </c>
      <c r="C323" s="1257">
        <v>0.26666066830239626</v>
      </c>
      <c r="D323" s="1257">
        <v>0.15980425698373554</v>
      </c>
      <c r="E323" s="1280">
        <v>1.0744439218301458</v>
      </c>
      <c r="F323" s="1271">
        <v>5.835886490946051E-2</v>
      </c>
      <c r="G323" s="1257">
        <v>0.12788136609796019</v>
      </c>
      <c r="H323" s="1280">
        <v>1.2101714571181967</v>
      </c>
      <c r="I323" s="1271">
        <v>6.349516290355986E-2</v>
      </c>
      <c r="J323" s="1257">
        <v>0.12934315978020511</v>
      </c>
      <c r="K323" s="1280">
        <v>1.224004754684735</v>
      </c>
      <c r="L323" s="1237">
        <v>0.18027582950439325</v>
      </c>
    </row>
    <row r="324" spans="1:12" s="326" customFormat="1" ht="15.5" x14ac:dyDescent="0.35">
      <c r="A324" s="328" t="s">
        <v>1288</v>
      </c>
      <c r="B324" s="1291">
        <v>0.143823831285362</v>
      </c>
      <c r="C324" s="1257">
        <v>0.26666066830239626</v>
      </c>
      <c r="D324" s="1257">
        <v>0.15980425698373554</v>
      </c>
      <c r="E324" s="1280">
        <v>1.0744439218301458</v>
      </c>
      <c r="F324" s="1271">
        <v>5.835886490946051E-2</v>
      </c>
      <c r="G324" s="1257">
        <v>0.12788136609796019</v>
      </c>
      <c r="H324" s="1280">
        <v>1.2101714571181967</v>
      </c>
      <c r="I324" s="1271">
        <v>6.349516290355986E-2</v>
      </c>
      <c r="J324" s="1257">
        <v>0.12934315978020511</v>
      </c>
      <c r="K324" s="1280">
        <v>1.224004754684735</v>
      </c>
      <c r="L324" s="1237">
        <v>0.18027582950439325</v>
      </c>
    </row>
    <row r="325" spans="1:12" s="326" customFormat="1" ht="15.5" x14ac:dyDescent="0.35">
      <c r="A325" s="328" t="s">
        <v>1289</v>
      </c>
      <c r="B325" s="1291">
        <v>0.143823831285362</v>
      </c>
      <c r="C325" s="1257">
        <v>0.26666066830239626</v>
      </c>
      <c r="D325" s="1257">
        <v>0.15980425698373554</v>
      </c>
      <c r="E325" s="1280">
        <v>1.0744439218301458</v>
      </c>
      <c r="F325" s="1271">
        <v>5.835886490946051E-2</v>
      </c>
      <c r="G325" s="1257">
        <v>0.12788136609796019</v>
      </c>
      <c r="H325" s="1280">
        <v>1.2101714571181967</v>
      </c>
      <c r="I325" s="1271">
        <v>6.349516290355986E-2</v>
      </c>
      <c r="J325" s="1257">
        <v>0.12934315978020511</v>
      </c>
      <c r="K325" s="1280">
        <v>1.224004754684735</v>
      </c>
      <c r="L325" s="1237">
        <v>0.18027582950439325</v>
      </c>
    </row>
    <row r="326" spans="1:12" s="326" customFormat="1" ht="15.5" x14ac:dyDescent="0.35">
      <c r="A326" s="328" t="s">
        <v>1290</v>
      </c>
      <c r="B326" s="1291">
        <v>0.143823831285362</v>
      </c>
      <c r="C326" s="1257">
        <v>0.26666066830239626</v>
      </c>
      <c r="D326" s="1257">
        <v>0.15980425698373554</v>
      </c>
      <c r="E326" s="1280">
        <v>1.0744439218301458</v>
      </c>
      <c r="F326" s="1271">
        <v>5.835886490946051E-2</v>
      </c>
      <c r="G326" s="1257">
        <v>0.12788136609796019</v>
      </c>
      <c r="H326" s="1280">
        <v>1.2101714571181967</v>
      </c>
      <c r="I326" s="1271">
        <v>6.349516290355986E-2</v>
      </c>
      <c r="J326" s="1257">
        <v>0.12934315978020511</v>
      </c>
      <c r="K326" s="1280">
        <v>1.224004754684735</v>
      </c>
      <c r="L326" s="1237">
        <v>0.18027582950439325</v>
      </c>
    </row>
    <row r="327" spans="1:12" s="326" customFormat="1" ht="15.5" x14ac:dyDescent="0.35">
      <c r="A327" s="328" t="s">
        <v>1291</v>
      </c>
      <c r="B327" s="1291">
        <v>0.143823831285362</v>
      </c>
      <c r="C327" s="1257">
        <v>0.26666066830239626</v>
      </c>
      <c r="D327" s="1257">
        <v>0.15980425698373554</v>
      </c>
      <c r="E327" s="1280">
        <v>1.0744439218301458</v>
      </c>
      <c r="F327" s="1271">
        <v>5.835886490946051E-2</v>
      </c>
      <c r="G327" s="1257">
        <v>0.12788136609796019</v>
      </c>
      <c r="H327" s="1280">
        <v>1.2101714571181967</v>
      </c>
      <c r="I327" s="1271">
        <v>6.349516290355986E-2</v>
      </c>
      <c r="J327" s="1257">
        <v>0.12934315978020511</v>
      </c>
      <c r="K327" s="1280">
        <v>1.224004754684735</v>
      </c>
      <c r="L327" s="1237">
        <v>0.18027582950439325</v>
      </c>
    </row>
    <row r="328" spans="1:12" s="326" customFormat="1" ht="15.5" x14ac:dyDescent="0.35">
      <c r="A328" s="328" t="s">
        <v>1292</v>
      </c>
      <c r="B328" s="1291">
        <v>0.143823831285362</v>
      </c>
      <c r="C328" s="1257">
        <v>0.26666066830239626</v>
      </c>
      <c r="D328" s="1257">
        <v>0.15980425698373554</v>
      </c>
      <c r="E328" s="1280">
        <v>1.0744439218301458</v>
      </c>
      <c r="F328" s="1303">
        <v>5.835886490946051E-2</v>
      </c>
      <c r="G328" s="1288">
        <v>0.12788136609796019</v>
      </c>
      <c r="H328" s="1280">
        <v>1.2101714571181967</v>
      </c>
      <c r="I328" s="1271">
        <v>6.349516290355986E-2</v>
      </c>
      <c r="J328" s="1288">
        <v>0.12934315978020511</v>
      </c>
      <c r="K328" s="1280">
        <v>1.224004754684735</v>
      </c>
      <c r="L328" s="1237">
        <v>0.18027582950439325</v>
      </c>
    </row>
    <row r="329" spans="1:12" s="326" customFormat="1" ht="15.5" x14ac:dyDescent="0.35">
      <c r="A329" s="328" t="s">
        <v>1293</v>
      </c>
      <c r="B329" s="1291">
        <v>0.143823831285362</v>
      </c>
      <c r="C329" s="1257">
        <v>0.26666066830239626</v>
      </c>
      <c r="D329" s="1257">
        <v>0.15980425698373554</v>
      </c>
      <c r="E329" s="1280">
        <v>1.0744439218301458</v>
      </c>
      <c r="F329" s="1303">
        <v>5.7986430637681496E-2</v>
      </c>
      <c r="G329" s="1288">
        <v>0.10254047590675486</v>
      </c>
      <c r="H329" s="1280">
        <v>0.97036465067642275</v>
      </c>
      <c r="I329" s="1271">
        <v>6.349516290355986E-2</v>
      </c>
      <c r="J329" s="1288">
        <v>0.14830520181640189</v>
      </c>
      <c r="K329" s="1280">
        <v>1.4034470201302152</v>
      </c>
      <c r="L329" s="1237">
        <v>0.18027582950439325</v>
      </c>
    </row>
    <row r="330" spans="1:12" s="326" customFormat="1" ht="15.5" x14ac:dyDescent="0.35">
      <c r="A330" s="328" t="s">
        <v>1294</v>
      </c>
      <c r="B330" s="1291">
        <v>0.143823831285362</v>
      </c>
      <c r="C330" s="1257">
        <v>0.26666066830239626</v>
      </c>
      <c r="D330" s="1257">
        <v>0.15980425698373554</v>
      </c>
      <c r="E330" s="1280">
        <v>1.0744439218301458</v>
      </c>
      <c r="F330" s="1303">
        <v>5.7275445798680887E-2</v>
      </c>
      <c r="G330" s="1288">
        <v>0.10387062469028333</v>
      </c>
      <c r="H330" s="1280">
        <v>0.98295216159113707</v>
      </c>
      <c r="I330" s="1271">
        <v>6.349516290355986E-2</v>
      </c>
      <c r="J330" s="1288">
        <v>0.14079580528756766</v>
      </c>
      <c r="K330" s="1280">
        <v>1.3323838338610263</v>
      </c>
      <c r="L330" s="1237">
        <v>0.18027582950439325</v>
      </c>
    </row>
    <row r="331" spans="1:12" s="326" customFormat="1" ht="15.5" x14ac:dyDescent="0.35">
      <c r="A331" s="328" t="s">
        <v>1295</v>
      </c>
      <c r="B331" s="1291">
        <v>0.143823831285362</v>
      </c>
      <c r="C331" s="1257">
        <v>0.26666066830239626</v>
      </c>
      <c r="D331" s="1257">
        <v>0.15980425698373554</v>
      </c>
      <c r="E331" s="1280">
        <v>1.0744439218301458</v>
      </c>
      <c r="F331" s="1303">
        <v>5.7490602507827997E-2</v>
      </c>
      <c r="G331" s="1288">
        <v>0.11165584072723725</v>
      </c>
      <c r="H331" s="1280">
        <v>1.0566254927643701</v>
      </c>
      <c r="I331" s="1271">
        <v>6.349516290355986E-2</v>
      </c>
      <c r="J331" s="1288">
        <v>0.14915552977188107</v>
      </c>
      <c r="K331" s="1280">
        <v>1.4114938736500804</v>
      </c>
      <c r="L331" s="1237">
        <v>0.18027582950439325</v>
      </c>
    </row>
    <row r="332" spans="1:12" s="326" customFormat="1" ht="15.5" x14ac:dyDescent="0.35">
      <c r="A332" s="328" t="s">
        <v>1296</v>
      </c>
      <c r="B332" s="1291">
        <v>0.143823831285362</v>
      </c>
      <c r="C332" s="1257">
        <v>0.26666066830239626</v>
      </c>
      <c r="D332" s="1257">
        <v>0.15980425698373554</v>
      </c>
      <c r="E332" s="1280">
        <v>1.0744439218301458</v>
      </c>
      <c r="F332" s="1303">
        <v>5.7764699962912634E-2</v>
      </c>
      <c r="G332" s="1288">
        <v>0.10531014549226338</v>
      </c>
      <c r="H332" s="1280">
        <v>0.99657468565105112</v>
      </c>
      <c r="I332" s="1271">
        <v>6.349516290355986E-2</v>
      </c>
      <c r="J332" s="1288">
        <v>0.14115298322771963</v>
      </c>
      <c r="K332" s="1280">
        <v>1.3357638927505526</v>
      </c>
      <c r="L332" s="1237">
        <v>0.18027582950439325</v>
      </c>
    </row>
    <row r="333" spans="1:12" s="326" customFormat="1" ht="15.5" x14ac:dyDescent="0.35">
      <c r="A333" s="328" t="s">
        <v>1297</v>
      </c>
      <c r="B333" s="1291">
        <v>0.143823831285362</v>
      </c>
      <c r="C333" s="1257">
        <v>0.26666066830239626</v>
      </c>
      <c r="D333" s="1257">
        <v>0.15980425698373554</v>
      </c>
      <c r="E333" s="1280">
        <v>1.0744439218301458</v>
      </c>
      <c r="F333" s="1303">
        <v>5.6997577955953838E-2</v>
      </c>
      <c r="G333" s="1288">
        <v>0.10886019447802822</v>
      </c>
      <c r="H333" s="1280">
        <v>1.0301696345089877</v>
      </c>
      <c r="I333" s="1303">
        <v>6.349516290355986E-2</v>
      </c>
      <c r="J333" s="1288">
        <v>0.13947691658026365</v>
      </c>
      <c r="K333" s="1280">
        <v>1.3199028796970536</v>
      </c>
      <c r="L333" s="1237">
        <v>0.18027582950439325</v>
      </c>
    </row>
    <row r="334" spans="1:12" s="326" customFormat="1" ht="15.5" x14ac:dyDescent="0.35">
      <c r="A334" s="328" t="s">
        <v>1298</v>
      </c>
      <c r="B334" s="1291">
        <v>0.143823831285362</v>
      </c>
      <c r="C334" s="1257">
        <v>0.26666066830239626</v>
      </c>
      <c r="D334" s="1257">
        <v>0.15980425698373554</v>
      </c>
      <c r="E334" s="1280">
        <v>1.0744439218301458</v>
      </c>
      <c r="F334" s="1303">
        <v>5.696416340919256E-2</v>
      </c>
      <c r="G334" s="1288">
        <v>0.10353245385287424</v>
      </c>
      <c r="H334" s="1280">
        <v>0.97975197138712611</v>
      </c>
      <c r="I334" s="1303">
        <v>6.2847018428396004E-2</v>
      </c>
      <c r="J334" s="1288">
        <v>0.14577304458585177</v>
      </c>
      <c r="K334" s="1280">
        <v>1.379484620455818</v>
      </c>
      <c r="L334" s="1237">
        <v>0.18027582950439325</v>
      </c>
    </row>
    <row r="335" spans="1:12" s="326" customFormat="1" ht="15.5" x14ac:dyDescent="0.35">
      <c r="A335" s="328" t="s">
        <v>1299</v>
      </c>
      <c r="B335" s="1291">
        <v>0.143823831285362</v>
      </c>
      <c r="C335" s="1257">
        <v>0.26666066830239626</v>
      </c>
      <c r="D335" s="1257">
        <v>0.15980425698373554</v>
      </c>
      <c r="E335" s="1280">
        <v>1.0744439218301458</v>
      </c>
      <c r="F335" s="1303">
        <v>5.5962903502428551E-2</v>
      </c>
      <c r="G335" s="1288">
        <v>0.10659797294406158</v>
      </c>
      <c r="H335" s="1280">
        <v>1.0087616998456417</v>
      </c>
      <c r="I335" s="1303">
        <v>6.4450903927135136E-2</v>
      </c>
      <c r="J335" s="1288">
        <v>0.14468316172141046</v>
      </c>
      <c r="K335" s="1280">
        <v>1.3691708024665827</v>
      </c>
      <c r="L335" s="1237">
        <v>0.18027582950439325</v>
      </c>
    </row>
    <row r="336" spans="1:12" s="326" customFormat="1" ht="15.5" x14ac:dyDescent="0.35">
      <c r="A336" s="328" t="s">
        <v>1300</v>
      </c>
      <c r="B336" s="1291">
        <v>0.143823831285362</v>
      </c>
      <c r="C336" s="1257">
        <v>0.26666066830239626</v>
      </c>
      <c r="D336" s="1257">
        <v>0.15980425698373554</v>
      </c>
      <c r="E336" s="1280">
        <v>1.0744439218301458</v>
      </c>
      <c r="F336" s="1303">
        <v>5.665514339533536E-2</v>
      </c>
      <c r="G336" s="1288">
        <v>0.10474718991556921</v>
      </c>
      <c r="H336" s="1280">
        <v>0.99124730456865862</v>
      </c>
      <c r="I336" s="1303">
        <v>6.4539071926540334E-2</v>
      </c>
      <c r="J336" s="1288">
        <v>0.14223968322310163</v>
      </c>
      <c r="K336" s="1280">
        <v>1.346047590500969</v>
      </c>
      <c r="L336" s="1237">
        <v>0.18027582950439325</v>
      </c>
    </row>
    <row r="337" spans="1:12" s="326" customFormat="1" ht="15.5" x14ac:dyDescent="0.35">
      <c r="A337" s="328" t="s">
        <v>1301</v>
      </c>
      <c r="B337" s="1291">
        <v>0.143823831285362</v>
      </c>
      <c r="C337" s="1257">
        <v>0.26666066830239626</v>
      </c>
      <c r="D337" s="1257">
        <v>0.15980425698373554</v>
      </c>
      <c r="E337" s="1280">
        <v>1.0744439218301458</v>
      </c>
      <c r="F337" s="1303">
        <v>5.7176983400966407E-2</v>
      </c>
      <c r="G337" s="1288">
        <v>0.10008889053361555</v>
      </c>
      <c r="H337" s="1280">
        <v>0.94716472144678843</v>
      </c>
      <c r="I337" s="1303">
        <v>6.3187173614646278E-2</v>
      </c>
      <c r="J337" s="1288">
        <v>0.14098996293305255</v>
      </c>
      <c r="K337" s="1280">
        <v>1.3342211933444015</v>
      </c>
      <c r="L337" s="1237">
        <v>0.18027582950439325</v>
      </c>
    </row>
    <row r="338" spans="1:12" s="326" customFormat="1" ht="15.5" x14ac:dyDescent="0.35">
      <c r="A338" s="328" t="s">
        <v>1302</v>
      </c>
      <c r="B338" s="1291">
        <v>0.143823831285362</v>
      </c>
      <c r="C338" s="1257">
        <v>0.26666066830239626</v>
      </c>
      <c r="D338" s="1257">
        <v>0.15980425698373554</v>
      </c>
      <c r="E338" s="1280">
        <v>1.0744439218301458</v>
      </c>
      <c r="F338" s="1303">
        <v>5.7390571814420234E-2</v>
      </c>
      <c r="G338" s="1288">
        <v>9.5985602655084226E-2</v>
      </c>
      <c r="H338" s="1280">
        <v>0.90833434277274561</v>
      </c>
      <c r="I338" s="1303">
        <v>6.2773358194253726E-2</v>
      </c>
      <c r="J338" s="1288">
        <v>0.14023456632985815</v>
      </c>
      <c r="K338" s="1280">
        <v>1.3270726975479956</v>
      </c>
      <c r="L338" s="1237">
        <v>0.18027582950439325</v>
      </c>
    </row>
    <row r="339" spans="1:12" s="326" customFormat="1" ht="15.5" x14ac:dyDescent="0.35">
      <c r="A339" s="328" t="s">
        <v>1303</v>
      </c>
      <c r="B339" s="1291">
        <v>0.143823831285362</v>
      </c>
      <c r="C339" s="1257">
        <v>0.26666066830239626</v>
      </c>
      <c r="D339" s="1257">
        <v>0.15980425698373554</v>
      </c>
      <c r="E339" s="1280">
        <v>1.0744439218301458</v>
      </c>
      <c r="F339" s="1303">
        <v>5.7244213648863229E-2</v>
      </c>
      <c r="G339" s="1288">
        <v>9.2341192519395571E-2</v>
      </c>
      <c r="H339" s="1280">
        <v>0.87384643215045665</v>
      </c>
      <c r="I339" s="1303">
        <v>6.2144299976025968E-2</v>
      </c>
      <c r="J339" s="1288">
        <v>0.13268068309436509</v>
      </c>
      <c r="K339" s="1280">
        <v>1.2555885231062343</v>
      </c>
      <c r="L339" s="1237">
        <v>0.18027582950439325</v>
      </c>
    </row>
    <row r="340" spans="1:12" s="326" customFormat="1" ht="15.5" x14ac:dyDescent="0.35">
      <c r="A340" s="328" t="s">
        <v>1304</v>
      </c>
      <c r="B340" s="1291">
        <v>0.143823831285362</v>
      </c>
      <c r="C340" s="1257">
        <v>0.26666066830239626</v>
      </c>
      <c r="D340" s="1257">
        <v>0.15980425698373554</v>
      </c>
      <c r="E340" s="1280">
        <v>1.0744439218301458</v>
      </c>
      <c r="F340" s="1303">
        <v>5.7334352920185454E-2</v>
      </c>
      <c r="G340" s="1288">
        <v>9.0099310343692507E-2</v>
      </c>
      <c r="H340" s="1280">
        <v>0.85263097362009022</v>
      </c>
      <c r="I340" s="1303">
        <v>6.2274513859350372E-2</v>
      </c>
      <c r="J340" s="1288">
        <v>0.13112346365569533</v>
      </c>
      <c r="K340" s="1280">
        <v>1.2408521891535285</v>
      </c>
      <c r="L340" s="1237">
        <v>0.18027582950439325</v>
      </c>
    </row>
    <row r="341" spans="1:12" s="326" customFormat="1" ht="15.5" x14ac:dyDescent="0.35">
      <c r="A341" s="328" t="s">
        <v>1305</v>
      </c>
      <c r="B341" s="1291">
        <v>0.143823831285362</v>
      </c>
      <c r="C341" s="1257">
        <v>0.26666066830239626</v>
      </c>
      <c r="D341" s="1257">
        <v>0.15980425698373554</v>
      </c>
      <c r="E341" s="1280">
        <v>1.0744439218301458</v>
      </c>
      <c r="F341" s="1303">
        <v>5.7640598597305526E-2</v>
      </c>
      <c r="G341" s="1288">
        <v>8.9392402263830897E-2</v>
      </c>
      <c r="H341" s="1280">
        <v>0.84594133612904687</v>
      </c>
      <c r="I341" s="1303">
        <v>6.2346909200330092E-2</v>
      </c>
      <c r="J341" s="1288">
        <v>0.1332253144744929</v>
      </c>
      <c r="K341" s="1280">
        <v>1.2607424980049438</v>
      </c>
      <c r="L341" s="1237">
        <v>0.18027582950439325</v>
      </c>
    </row>
    <row r="342" spans="1:12" s="326" customFormat="1" ht="15.5" x14ac:dyDescent="0.35">
      <c r="A342" s="328" t="s">
        <v>1306</v>
      </c>
      <c r="B342" s="1291">
        <v>0.143823831285362</v>
      </c>
      <c r="C342" s="1257">
        <v>0.26666066830239626</v>
      </c>
      <c r="D342" s="1257">
        <v>0.15980425698373554</v>
      </c>
      <c r="E342" s="1280">
        <v>1.0744439218301458</v>
      </c>
      <c r="F342" s="1303">
        <v>5.7610988127662091E-2</v>
      </c>
      <c r="G342" s="1288">
        <v>8.7752170638343202E-2</v>
      </c>
      <c r="H342" s="1280">
        <v>0.8304194383202036</v>
      </c>
      <c r="I342" s="1303">
        <v>6.33157750238003E-2</v>
      </c>
      <c r="J342" s="1288">
        <v>0.13189339476138959</v>
      </c>
      <c r="K342" s="1280">
        <v>1.2481382283669735</v>
      </c>
      <c r="L342" s="1237">
        <v>0.18027582950439325</v>
      </c>
    </row>
    <row r="343" spans="1:12" s="326" customFormat="1" ht="15.5" x14ac:dyDescent="0.35">
      <c r="A343" s="328" t="s">
        <v>1307</v>
      </c>
      <c r="B343" s="1291">
        <v>0.143823831285362</v>
      </c>
      <c r="C343" s="1257">
        <v>0.26666066830239626</v>
      </c>
      <c r="D343" s="1257">
        <v>0.15980425698373554</v>
      </c>
      <c r="E343" s="1280">
        <v>1.0744439218301458</v>
      </c>
      <c r="F343" s="1303">
        <v>5.7593951130437755E-2</v>
      </c>
      <c r="G343" s="1288">
        <v>8.3904875929267292E-2</v>
      </c>
      <c r="H343" s="1280">
        <v>0.7940115832424044</v>
      </c>
      <c r="I343" s="1303">
        <v>6.337995997154991E-2</v>
      </c>
      <c r="J343" s="1288">
        <v>0.1324043084402477</v>
      </c>
      <c r="K343" s="1280">
        <v>1.2529731247249909</v>
      </c>
      <c r="L343" s="1237">
        <v>0.18027582950439325</v>
      </c>
    </row>
    <row r="344" spans="1:12" s="326" customFormat="1" ht="15.5" x14ac:dyDescent="0.35">
      <c r="A344" s="328" t="s">
        <v>1308</v>
      </c>
      <c r="B344" s="1291">
        <v>0.143823831285362</v>
      </c>
      <c r="C344" s="1257">
        <v>0.26666066830239626</v>
      </c>
      <c r="D344" s="1257">
        <v>0.15980425698373554</v>
      </c>
      <c r="E344" s="1280">
        <v>1.0744439218301458</v>
      </c>
      <c r="F344" s="1303">
        <v>5.7763795037351032E-2</v>
      </c>
      <c r="G344" s="1288">
        <v>7.9064840361575378E-2</v>
      </c>
      <c r="H344" s="1280">
        <v>0.74820918783343771</v>
      </c>
      <c r="I344" s="1303">
        <v>6.3587393894861163E-2</v>
      </c>
      <c r="J344" s="1288">
        <v>0.13160869811864143</v>
      </c>
      <c r="K344" s="1280">
        <v>1.2454440770492023</v>
      </c>
      <c r="L344" s="1237">
        <v>0.18027582950439325</v>
      </c>
    </row>
    <row r="345" spans="1:12" s="326" customFormat="1" ht="15.5" x14ac:dyDescent="0.35">
      <c r="A345" s="328" t="s">
        <v>1309</v>
      </c>
      <c r="B345" s="1291">
        <v>0.143823831285362</v>
      </c>
      <c r="C345" s="1257">
        <v>0.26666066830239626</v>
      </c>
      <c r="D345" s="1257">
        <v>0.15980425698373554</v>
      </c>
      <c r="E345" s="1280">
        <v>1.0744439218301458</v>
      </c>
      <c r="F345" s="1303">
        <v>5.697502700291858E-2</v>
      </c>
      <c r="G345" s="1288">
        <v>7.1804607521239266E-2</v>
      </c>
      <c r="H345" s="1280">
        <v>0.67950389617525686</v>
      </c>
      <c r="I345" s="1303">
        <v>6.3078964216414748E-2</v>
      </c>
      <c r="J345" s="1288">
        <v>0.13120957123483973</v>
      </c>
      <c r="K345" s="1280">
        <v>1.2416670454355789</v>
      </c>
      <c r="L345" s="1237">
        <v>0.18027582950439325</v>
      </c>
    </row>
    <row r="346" spans="1:12" s="326" customFormat="1" ht="15.5" x14ac:dyDescent="0.35">
      <c r="A346" s="328" t="s">
        <v>1310</v>
      </c>
      <c r="B346" s="1291">
        <v>0.143823831285362</v>
      </c>
      <c r="C346" s="1257">
        <v>0.26666066830239626</v>
      </c>
      <c r="D346" s="1257">
        <v>0.15980425698373554</v>
      </c>
      <c r="E346" s="1280">
        <v>1.0744439218301458</v>
      </c>
      <c r="F346" s="1303">
        <v>5.7244993707093801E-2</v>
      </c>
      <c r="G346" s="1288">
        <v>7.6133979875428914E-2</v>
      </c>
      <c r="H346" s="1280">
        <v>0.72047376543880159</v>
      </c>
      <c r="I346" s="1303">
        <v>6.3294206181968196E-2</v>
      </c>
      <c r="J346" s="1288">
        <v>0.13079494065711536</v>
      </c>
      <c r="K346" s="1280">
        <v>1.2377432987184371</v>
      </c>
      <c r="L346" s="1237">
        <v>0.18027582950439325</v>
      </c>
    </row>
    <row r="347" spans="1:12" s="326" customFormat="1" ht="15.5" x14ac:dyDescent="0.35">
      <c r="A347" s="328" t="s">
        <v>1311</v>
      </c>
      <c r="B347" s="1291">
        <v>0.143823831285362</v>
      </c>
      <c r="C347" s="1257">
        <v>0.26666066830239626</v>
      </c>
      <c r="D347" s="1257">
        <v>0.15980425698373554</v>
      </c>
      <c r="E347" s="1280">
        <v>1.0744439218301458</v>
      </c>
      <c r="F347" s="1303">
        <v>5.7416872829893724E-2</v>
      </c>
      <c r="G347" s="1288">
        <v>7.3750742757347207E-2</v>
      </c>
      <c r="H347" s="1280">
        <v>0.69792063182871955</v>
      </c>
      <c r="I347" s="1303">
        <v>6.3455839429195679E-2</v>
      </c>
      <c r="J347" s="1288">
        <v>0.12980676379759276</v>
      </c>
      <c r="K347" s="1280">
        <v>1.2283919485845727</v>
      </c>
      <c r="L347" s="1237">
        <v>0.18027582950439325</v>
      </c>
    </row>
    <row r="348" spans="1:12" s="326" customFormat="1" ht="15.5" x14ac:dyDescent="0.35">
      <c r="A348" s="328" t="s">
        <v>1312</v>
      </c>
      <c r="B348" s="1291">
        <v>0.143823831285362</v>
      </c>
      <c r="C348" s="1257">
        <v>0.26666066830239626</v>
      </c>
      <c r="D348" s="1257">
        <v>0.15980425698373554</v>
      </c>
      <c r="E348" s="1280">
        <v>1.0744439218301458</v>
      </c>
      <c r="F348" s="1303">
        <v>5.7542707715637839E-2</v>
      </c>
      <c r="G348" s="1288">
        <v>7.3085214118211506E-2</v>
      </c>
      <c r="H348" s="1280">
        <v>0.69162257772160451</v>
      </c>
      <c r="I348" s="1303">
        <v>6.3657902632834426E-2</v>
      </c>
      <c r="J348" s="1288">
        <v>0.12800329565391505</v>
      </c>
      <c r="K348" s="1280">
        <v>1.2113253051955049</v>
      </c>
      <c r="L348" s="1237">
        <v>0.18027582950439325</v>
      </c>
    </row>
    <row r="349" spans="1:12" s="326" customFormat="1" ht="15.5" x14ac:dyDescent="0.35">
      <c r="A349" s="328" t="s">
        <v>1313</v>
      </c>
      <c r="B349" s="1291">
        <v>0.143823831285362</v>
      </c>
      <c r="C349" s="1257">
        <v>0.26666066830239626</v>
      </c>
      <c r="D349" s="1257">
        <v>0.15980425698373554</v>
      </c>
      <c r="E349" s="1280">
        <v>1.0744439218301458</v>
      </c>
      <c r="F349" s="1303">
        <v>5.7473240561927881E-2</v>
      </c>
      <c r="G349" s="1288">
        <v>6.9039668430556686E-2</v>
      </c>
      <c r="H349" s="1280">
        <v>0.65333862698622391</v>
      </c>
      <c r="I349" s="1303">
        <v>6.3793402681339595E-2</v>
      </c>
      <c r="J349" s="1288">
        <v>0.1286216742264871</v>
      </c>
      <c r="K349" s="1280">
        <v>1.2171771671285947</v>
      </c>
      <c r="L349" s="1237">
        <v>0.18027582950439325</v>
      </c>
    </row>
    <row r="350" spans="1:12" s="326" customFormat="1" ht="15.5" x14ac:dyDescent="0.35">
      <c r="A350" s="328" t="s">
        <v>1314</v>
      </c>
      <c r="B350" s="1291">
        <v>0.143823831285362</v>
      </c>
      <c r="C350" s="1257">
        <v>0.26666066830239626</v>
      </c>
      <c r="D350" s="1257">
        <v>0.15980425698373554</v>
      </c>
      <c r="E350" s="1280">
        <v>1.0744439218301458</v>
      </c>
      <c r="F350" s="1303">
        <v>5.7487866871758955E-2</v>
      </c>
      <c r="G350" s="1288">
        <v>6.8074989042463521E-2</v>
      </c>
      <c r="H350" s="1280">
        <v>0.64420963895331296</v>
      </c>
      <c r="I350" s="1303">
        <v>6.3535607184634163E-2</v>
      </c>
      <c r="J350" s="1288">
        <v>0.12857240934582825</v>
      </c>
      <c r="K350" s="1280">
        <v>1.2167109619711836</v>
      </c>
      <c r="L350" s="1237">
        <v>0.18027582950439325</v>
      </c>
    </row>
    <row r="351" spans="1:12" s="326" customFormat="1" ht="15.5" x14ac:dyDescent="0.35">
      <c r="A351" s="328" t="s">
        <v>1315</v>
      </c>
      <c r="B351" s="1291">
        <v>0.143823831285362</v>
      </c>
      <c r="C351" s="1257">
        <v>0.26666066830239626</v>
      </c>
      <c r="D351" s="1257">
        <v>0.15980425698373554</v>
      </c>
      <c r="E351" s="1280">
        <v>1.0744439218301458</v>
      </c>
      <c r="F351" s="1303">
        <v>5.7316613025351397E-2</v>
      </c>
      <c r="G351" s="1288">
        <v>7.3840631774958143E-2</v>
      </c>
      <c r="H351" s="1280">
        <v>0.69877127275272877</v>
      </c>
      <c r="I351" s="1303">
        <v>6.307383393820791E-2</v>
      </c>
      <c r="J351" s="1288">
        <v>0.12921909452825769</v>
      </c>
      <c r="K351" s="1280">
        <v>1.2228306960137327</v>
      </c>
      <c r="L351" s="1237">
        <v>0.18027582950439325</v>
      </c>
    </row>
    <row r="352" spans="1:12" s="326" customFormat="1" ht="15.5" x14ac:dyDescent="0.35">
      <c r="A352" s="328" t="s">
        <v>1316</v>
      </c>
      <c r="B352" s="1291">
        <v>0.143823831285362</v>
      </c>
      <c r="C352" s="1257">
        <v>0.26666066830239626</v>
      </c>
      <c r="D352" s="1257">
        <v>0.15980425698373554</v>
      </c>
      <c r="E352" s="1280">
        <v>1.0744439218301458</v>
      </c>
      <c r="F352" s="1303">
        <v>5.7455059748139893E-2</v>
      </c>
      <c r="G352" s="1288">
        <v>7.2425924800560121E-2</v>
      </c>
      <c r="H352" s="1280">
        <v>0.68538356778177123</v>
      </c>
      <c r="I352" s="1303">
        <v>6.3456938259326551E-2</v>
      </c>
      <c r="J352" s="1288">
        <v>0.12933249834293598</v>
      </c>
      <c r="K352" s="1280">
        <v>1.2239038629952839</v>
      </c>
      <c r="L352" s="1237">
        <v>0.18027582950439325</v>
      </c>
    </row>
    <row r="353" spans="1:12" s="326" customFormat="1" ht="15.5" x14ac:dyDescent="0.35">
      <c r="A353" s="328" t="s">
        <v>1317</v>
      </c>
      <c r="B353" s="1291">
        <v>0.143823831285362</v>
      </c>
      <c r="C353" s="1257">
        <v>0.26666066830239626</v>
      </c>
      <c r="D353" s="1257">
        <v>0.15980425698373554</v>
      </c>
      <c r="E353" s="1280">
        <v>1.0744439218301458</v>
      </c>
      <c r="F353" s="1303">
        <v>5.7242122260568053E-2</v>
      </c>
      <c r="G353" s="1288">
        <v>7.1195240270611665E-2</v>
      </c>
      <c r="H353" s="1280">
        <v>0.67373731050203822</v>
      </c>
      <c r="I353" s="1303">
        <v>6.3411609454169474E-2</v>
      </c>
      <c r="J353" s="1288">
        <v>0.12918721491014287</v>
      </c>
      <c r="K353" s="1280">
        <v>1.2225290116864254</v>
      </c>
      <c r="L353" s="1237">
        <v>0.18027582950439325</v>
      </c>
    </row>
    <row r="354" spans="1:12" s="326" customFormat="1" ht="15.5" x14ac:dyDescent="0.35">
      <c r="A354" s="328" t="s">
        <v>1318</v>
      </c>
      <c r="B354" s="1291">
        <v>0.143823831285362</v>
      </c>
      <c r="C354" s="1257">
        <v>0.26666066830239626</v>
      </c>
      <c r="D354" s="1257">
        <v>0.15980425698373554</v>
      </c>
      <c r="E354" s="1280">
        <v>1.0744439218301458</v>
      </c>
      <c r="F354" s="1303">
        <v>5.7046168088710471E-2</v>
      </c>
      <c r="G354" s="1288">
        <v>7.1941462893808997E-2</v>
      </c>
      <c r="H354" s="1280">
        <v>0.68079899076714845</v>
      </c>
      <c r="I354" s="1303">
        <v>6.3005811734561462E-2</v>
      </c>
      <c r="J354" s="1288">
        <v>0.12847807637817635</v>
      </c>
      <c r="K354" s="1280">
        <v>1.2158182669023012</v>
      </c>
      <c r="L354" s="1237">
        <v>0.18027582950439325</v>
      </c>
    </row>
    <row r="355" spans="1:12" s="326" customFormat="1" ht="15.5" x14ac:dyDescent="0.35">
      <c r="A355" s="328" t="s">
        <v>1319</v>
      </c>
      <c r="B355" s="1291">
        <v>0.143823831285362</v>
      </c>
      <c r="C355" s="1257">
        <v>0.26666066830239626</v>
      </c>
      <c r="D355" s="1257">
        <v>0.15980425698373554</v>
      </c>
      <c r="E355" s="1280">
        <v>1.0744439218301458</v>
      </c>
      <c r="F355" s="1303">
        <v>4.8948066028328935E-2</v>
      </c>
      <c r="G355" s="1288">
        <v>7.149472491161564E-2</v>
      </c>
      <c r="H355" s="1280">
        <v>0.67657140412683336</v>
      </c>
      <c r="I355" s="1303">
        <v>6.9049882272726751E-2</v>
      </c>
      <c r="J355" s="1288">
        <v>0.12745990332406254</v>
      </c>
      <c r="K355" s="1280">
        <v>1.2061830557210917</v>
      </c>
      <c r="L355" s="1237">
        <v>0.18027582950439325</v>
      </c>
    </row>
    <row r="356" spans="1:12" s="326" customFormat="1" ht="15.5" x14ac:dyDescent="0.35">
      <c r="A356" s="328" t="s">
        <v>1320</v>
      </c>
      <c r="B356" s="1291">
        <v>0.143823831285362</v>
      </c>
      <c r="C356" s="1257">
        <v>0.26666066830239626</v>
      </c>
      <c r="D356" s="1257">
        <v>0.15980425698373554</v>
      </c>
      <c r="E356" s="1280">
        <v>1.0744439218301458</v>
      </c>
      <c r="F356" s="1303">
        <v>4.9275693460699543E-2</v>
      </c>
      <c r="G356" s="1288">
        <v>6.9680591356518579E-2</v>
      </c>
      <c r="H356" s="1280">
        <v>0.6594038314399957</v>
      </c>
      <c r="I356" s="1303">
        <v>6.8862539408630977E-2</v>
      </c>
      <c r="J356" s="1288">
        <v>0.12798602210144744</v>
      </c>
      <c r="K356" s="1280">
        <v>1.2111618415041385</v>
      </c>
      <c r="L356" s="1237">
        <v>0.18027582950439325</v>
      </c>
    </row>
    <row r="357" spans="1:12" s="326" customFormat="1" ht="15.5" x14ac:dyDescent="0.35">
      <c r="A357" s="328" t="s">
        <v>1321</v>
      </c>
      <c r="B357" s="1291">
        <v>0.143823831285362</v>
      </c>
      <c r="C357" s="1257">
        <v>0.26666066830239626</v>
      </c>
      <c r="D357" s="1257">
        <v>0.15980425698373554</v>
      </c>
      <c r="E357" s="1280">
        <v>1.0744439218301458</v>
      </c>
      <c r="F357" s="1303">
        <v>4.8999823920468255E-2</v>
      </c>
      <c r="G357" s="1288">
        <v>7.3780729184929297E-2</v>
      </c>
      <c r="H357" s="1280">
        <v>0.6982044004485588</v>
      </c>
      <c r="I357" s="1303">
        <v>6.8580867619414204E-2</v>
      </c>
      <c r="J357" s="1288">
        <v>0.12821615950953968</v>
      </c>
      <c r="K357" s="1280">
        <v>1.2133396859468939</v>
      </c>
      <c r="L357" s="1330">
        <v>0.18027582950439325</v>
      </c>
    </row>
    <row r="358" spans="1:12" s="326" customFormat="1" ht="15.5" x14ac:dyDescent="0.35">
      <c r="A358" s="328" t="s">
        <v>1322</v>
      </c>
      <c r="B358" s="1287">
        <v>0.143823831285362</v>
      </c>
      <c r="C358" s="1288">
        <v>0.26666066830239626</v>
      </c>
      <c r="D358" s="1288">
        <v>0.35350929391145947</v>
      </c>
      <c r="E358" s="1306">
        <v>1.7730257246828049</v>
      </c>
      <c r="F358" s="1303">
        <v>5.8496299603383407E-2</v>
      </c>
      <c r="G358" s="1288">
        <v>6.9075946762834115E-2</v>
      </c>
      <c r="H358" s="1280">
        <v>0.6536819373806434</v>
      </c>
      <c r="I358" s="1303">
        <v>7.4395628804116765E-2</v>
      </c>
      <c r="J358" s="1288">
        <v>0.12917303329185698</v>
      </c>
      <c r="K358" s="1280">
        <v>1.2223948076957347</v>
      </c>
      <c r="L358" s="1330">
        <v>0.18021072584250589</v>
      </c>
    </row>
    <row r="359" spans="1:12" s="326" customFormat="1" ht="15.5" x14ac:dyDescent="0.35">
      <c r="A359" s="328" t="s">
        <v>1323</v>
      </c>
      <c r="B359" s="1287">
        <v>0.154017803241424</v>
      </c>
      <c r="C359" s="1288">
        <v>0.26766933120139913</v>
      </c>
      <c r="D359" s="1288">
        <v>0.27341391920852032</v>
      </c>
      <c r="E359" s="1306">
        <v>1.9496368055898934</v>
      </c>
      <c r="F359" s="1303">
        <v>5.8669580916236107E-2</v>
      </c>
      <c r="G359" s="1288">
        <v>6.7574695877646973E-2</v>
      </c>
      <c r="H359" s="1280">
        <v>0.63947524701861502</v>
      </c>
      <c r="I359" s="1303">
        <v>7.5142170465087338E-2</v>
      </c>
      <c r="J359" s="1288">
        <v>0.11457266793345368</v>
      </c>
      <c r="K359" s="1280">
        <v>1.08422811492908</v>
      </c>
      <c r="L359" s="1330">
        <v>0.18211922416482787</v>
      </c>
    </row>
    <row r="360" spans="1:12" s="326" customFormat="1" ht="15.5" x14ac:dyDescent="0.35">
      <c r="A360" s="328" t="s">
        <v>1324</v>
      </c>
      <c r="B360" s="1287">
        <v>0.15283745747183847</v>
      </c>
      <c r="C360" s="1288">
        <v>0.26768521862488814</v>
      </c>
      <c r="D360" s="1288">
        <v>0.28245735159517682</v>
      </c>
      <c r="E360" s="1306">
        <v>2.0373672485758929</v>
      </c>
      <c r="F360" s="1303">
        <v>5.8137848503097805E-2</v>
      </c>
      <c r="G360" s="1288">
        <v>6.1748876261434132E-2</v>
      </c>
      <c r="H360" s="1280">
        <v>0.58434414520930678</v>
      </c>
      <c r="I360" s="1303">
        <v>7.4950667377071747E-2</v>
      </c>
      <c r="J360" s="1288">
        <v>9.8452131477495167E-2</v>
      </c>
      <c r="K360" s="1280">
        <v>0.93167568537894319</v>
      </c>
      <c r="L360" s="1330">
        <v>0.18084556091219181</v>
      </c>
    </row>
    <row r="361" spans="1:12" s="326" customFormat="1" ht="15.5" x14ac:dyDescent="0.35">
      <c r="A361" s="328" t="s">
        <v>1325</v>
      </c>
      <c r="B361" s="1287">
        <v>0.11868962710968434</v>
      </c>
      <c r="C361" s="1288">
        <v>0.26827754336742543</v>
      </c>
      <c r="D361" s="1288">
        <v>0.27610948206589048</v>
      </c>
      <c r="E361" s="1306">
        <v>1.7817134707642097</v>
      </c>
      <c r="F361" s="1303">
        <v>6.2925699105081001E-2</v>
      </c>
      <c r="G361" s="1288">
        <v>5.7497520758005523E-2</v>
      </c>
      <c r="H361" s="1280">
        <v>0.54411256776141981</v>
      </c>
      <c r="I361" s="1303">
        <v>8.047403540738185E-2</v>
      </c>
      <c r="J361" s="1288">
        <v>9.8431438819239339E-2</v>
      </c>
      <c r="K361" s="1280">
        <v>0.93147986588500764</v>
      </c>
      <c r="L361" s="1330">
        <v>0.17947099720997065</v>
      </c>
    </row>
    <row r="362" spans="1:12" s="326" customFormat="1" ht="15.5" x14ac:dyDescent="0.35">
      <c r="A362" s="328" t="s">
        <v>1326</v>
      </c>
      <c r="B362" s="1287">
        <v>0.11829865286590058</v>
      </c>
      <c r="C362" s="1288">
        <v>0.18823333257044053</v>
      </c>
      <c r="D362" s="1288">
        <v>0.2758232757537194</v>
      </c>
      <c r="E362" s="1306">
        <v>1.8208106399519381</v>
      </c>
      <c r="F362" s="1303">
        <v>6.5507956826368507E-2</v>
      </c>
      <c r="G362" s="1288">
        <v>5.7574550349373324E-2</v>
      </c>
      <c r="H362" s="1280">
        <v>0.54484151690914306</v>
      </c>
      <c r="I362" s="1303">
        <v>8.0153018728040509E-2</v>
      </c>
      <c r="J362" s="1288">
        <v>0.10009724797111025</v>
      </c>
      <c r="K362" s="1280">
        <v>0.94724380984425649</v>
      </c>
      <c r="L362" s="1330">
        <v>0.16821449657412182</v>
      </c>
    </row>
    <row r="363" spans="1:12" s="326" customFormat="1" ht="15.5" x14ac:dyDescent="0.35">
      <c r="A363" s="328" t="s">
        <v>1327</v>
      </c>
      <c r="B363" s="1287">
        <v>0.14008417067183881</v>
      </c>
      <c r="C363" s="1288">
        <v>0.18389329699252405</v>
      </c>
      <c r="D363" s="1288">
        <v>0.27000480302137914</v>
      </c>
      <c r="E363" s="1306">
        <v>1.90969017139202</v>
      </c>
      <c r="F363" s="1303">
        <v>5.7885979121334231E-2</v>
      </c>
      <c r="G363" s="1288">
        <v>5.7804298825534201E-2</v>
      </c>
      <c r="H363" s="1280">
        <v>0.5470156807975185</v>
      </c>
      <c r="I363" s="1303">
        <v>8.0406013944182161E-2</v>
      </c>
      <c r="J363" s="1288">
        <v>0.10003030599742303</v>
      </c>
      <c r="K363" s="1280">
        <v>0.94661032219620178</v>
      </c>
      <c r="L363" s="1330">
        <v>0.16675019407334837</v>
      </c>
    </row>
    <row r="364" spans="1:12" s="326" customFormat="1" ht="15.5" x14ac:dyDescent="0.35">
      <c r="A364" s="328" t="s">
        <v>1328</v>
      </c>
      <c r="B364" s="1287">
        <v>0.13203986502588447</v>
      </c>
      <c r="C364" s="1288">
        <v>0.12650914357847259</v>
      </c>
      <c r="D364" s="1288">
        <v>0.27692096502810021</v>
      </c>
      <c r="E364" s="1306">
        <v>2.0686713118999194</v>
      </c>
      <c r="F364" s="1303">
        <v>6.4249783143205508E-2</v>
      </c>
      <c r="G364" s="1288">
        <v>5.6693273106640289E-2</v>
      </c>
      <c r="H364" s="1280">
        <v>0.53650178300180917</v>
      </c>
      <c r="I364" s="1303">
        <v>8.0336171840085471E-2</v>
      </c>
      <c r="J364" s="1288">
        <v>0.10043950427342652</v>
      </c>
      <c r="K364" s="1280">
        <v>0.95048266176397</v>
      </c>
      <c r="L364" s="1330">
        <v>0.15620584433945761</v>
      </c>
    </row>
    <row r="365" spans="1:12" s="326" customFormat="1" ht="15.5" x14ac:dyDescent="0.35">
      <c r="A365" s="328" t="s">
        <v>1329</v>
      </c>
      <c r="B365" s="1287">
        <v>0.12444669839246542</v>
      </c>
      <c r="C365" s="1288">
        <v>0.12761895644724267</v>
      </c>
      <c r="D365" s="1288">
        <v>0.30373522910460132</v>
      </c>
      <c r="E365" s="1306">
        <v>2.0407485694175547</v>
      </c>
      <c r="F365" s="1303">
        <v>5.898195897164412E-2</v>
      </c>
      <c r="G365" s="1288">
        <v>5.4804517801357248E-2</v>
      </c>
      <c r="H365" s="1280">
        <v>0.51862804713490274</v>
      </c>
      <c r="I365" s="1303">
        <v>7.814534027779832E-2</v>
      </c>
      <c r="J365" s="1288">
        <v>9.7891838447326268E-2</v>
      </c>
      <c r="K365" s="1280">
        <v>0.92637350060080081</v>
      </c>
      <c r="L365" s="1330">
        <v>0.18597175392585144</v>
      </c>
    </row>
    <row r="366" spans="1:12" s="326" customFormat="1" ht="15.5" x14ac:dyDescent="0.35">
      <c r="A366" s="328" t="s">
        <v>1330</v>
      </c>
      <c r="B366" s="1287">
        <v>0.13346035868707809</v>
      </c>
      <c r="C366" s="1288">
        <v>0.17334075215642158</v>
      </c>
      <c r="D366" s="1288">
        <v>0.28719802968805219</v>
      </c>
      <c r="E366" s="1306">
        <v>1.8422337036280383</v>
      </c>
      <c r="F366" s="1303">
        <v>5.669473279153249E-2</v>
      </c>
      <c r="G366" s="1288">
        <v>5.5019082490338218E-2</v>
      </c>
      <c r="H366" s="1280">
        <v>0.52065852327253892</v>
      </c>
      <c r="I366" s="1303">
        <v>7.7666224621648627E-2</v>
      </c>
      <c r="J366" s="1288">
        <v>9.8641031697303705E-2</v>
      </c>
      <c r="K366" s="1280">
        <v>0.93346329260610195</v>
      </c>
      <c r="L366" s="1330">
        <v>0.18597175392586165</v>
      </c>
    </row>
    <row r="367" spans="1:12" s="326" customFormat="1" ht="15.5" x14ac:dyDescent="0.35">
      <c r="A367" s="328" t="s">
        <v>1331</v>
      </c>
      <c r="B367" s="1287">
        <v>0.11189147596108978</v>
      </c>
      <c r="C367" s="1288">
        <v>0.11191532300459091</v>
      </c>
      <c r="D367" s="1288">
        <v>0.31628846494588397</v>
      </c>
      <c r="E367" s="1306">
        <v>2.0057067266396191</v>
      </c>
      <c r="F367" s="1303">
        <v>5.9379628737709418E-2</v>
      </c>
      <c r="G367" s="1288">
        <v>5.4983467914784485E-2</v>
      </c>
      <c r="H367" s="1280">
        <v>0.52032149416417373</v>
      </c>
      <c r="I367" s="1303">
        <v>7.5317427651935248E-2</v>
      </c>
      <c r="J367" s="1288">
        <v>9.5921852167598035E-2</v>
      </c>
      <c r="K367" s="1280">
        <v>0.90773105690954903</v>
      </c>
      <c r="L367" s="1330">
        <v>0.18597175392582052</v>
      </c>
    </row>
    <row r="368" spans="1:12" s="326" customFormat="1" ht="15.5" x14ac:dyDescent="0.35">
      <c r="A368" s="328" t="s">
        <v>1332</v>
      </c>
      <c r="B368" s="1287">
        <v>0.12044497502808442</v>
      </c>
      <c r="C368" s="1288">
        <v>0.16936857304083633</v>
      </c>
      <c r="D368" s="1288">
        <v>0.20941258675839577</v>
      </c>
      <c r="E368" s="1306">
        <v>1.9891440833415268</v>
      </c>
      <c r="F368" s="1303">
        <v>5.8635677740961276E-2</v>
      </c>
      <c r="G368" s="1288">
        <v>5.4237096125300671E-2</v>
      </c>
      <c r="H368" s="1280">
        <v>0.51325840230339681</v>
      </c>
      <c r="I368" s="1303">
        <v>7.2558503701251845E-2</v>
      </c>
      <c r="J368" s="1288">
        <v>9.4585589738954257E-2</v>
      </c>
      <c r="K368" s="1280">
        <v>0.89508569113260394</v>
      </c>
      <c r="L368" s="1330">
        <v>0.19098593658752988</v>
      </c>
    </row>
    <row r="369" spans="1:12" s="326" customFormat="1" ht="15.5" x14ac:dyDescent="0.35">
      <c r="A369" s="328" t="s">
        <v>1333</v>
      </c>
      <c r="B369" s="1287">
        <v>0.13192204198704738</v>
      </c>
      <c r="C369" s="1288">
        <v>0.15440735509170114</v>
      </c>
      <c r="D369" s="1288">
        <v>0.20961003000475528</v>
      </c>
      <c r="E369" s="1306">
        <v>1.9921758006228487</v>
      </c>
      <c r="F369" s="1303">
        <v>5.3825727078385933E-2</v>
      </c>
      <c r="G369" s="1288">
        <v>5.3219712125355069E-2</v>
      </c>
      <c r="H369" s="1280">
        <v>0.50363065812744101</v>
      </c>
      <c r="I369" s="1303">
        <v>6.8061393372436135E-2</v>
      </c>
      <c r="J369" s="1288">
        <v>9.0033335703429404E-2</v>
      </c>
      <c r="K369" s="1280">
        <v>0.85200664007583571</v>
      </c>
      <c r="L369" s="1330">
        <v>0.19098593658756238</v>
      </c>
    </row>
    <row r="370" spans="1:12" s="326" customFormat="1" ht="15.5" x14ac:dyDescent="0.35">
      <c r="A370" s="328" t="s">
        <v>1334</v>
      </c>
      <c r="B370" s="1287">
        <v>0.13536320175337466</v>
      </c>
      <c r="C370" s="1288">
        <v>0.1379124571587225</v>
      </c>
      <c r="D370" s="1288">
        <v>0.22614482107522355</v>
      </c>
      <c r="E370" s="1306">
        <v>1.7652343290145842</v>
      </c>
      <c r="F370" s="1303">
        <v>5.677608746688044E-2</v>
      </c>
      <c r="G370" s="1288">
        <v>5.1310366473295552E-2</v>
      </c>
      <c r="H370" s="1280">
        <v>0.48556207096420129</v>
      </c>
      <c r="I370" s="1303">
        <v>6.8097678773568746E-2</v>
      </c>
      <c r="J370" s="1288">
        <v>8.9064930772799505E-2</v>
      </c>
      <c r="K370" s="1280">
        <v>0.84284239635730107</v>
      </c>
      <c r="L370" s="1330">
        <v>0.19098593658737881</v>
      </c>
    </row>
    <row r="371" spans="1:12" s="326" customFormat="1" ht="15.5" x14ac:dyDescent="0.35">
      <c r="A371" s="328" t="s">
        <v>1335</v>
      </c>
      <c r="B371" s="1287">
        <v>0.11513817792952631</v>
      </c>
      <c r="C371" s="1288">
        <v>0.17454517516407322</v>
      </c>
      <c r="D371" s="1288">
        <v>0.24722345174310745</v>
      </c>
      <c r="E371" s="1280">
        <v>1.7652343290145842</v>
      </c>
      <c r="F371" s="1303">
        <v>5.3600852658303E-2</v>
      </c>
      <c r="G371" s="1288">
        <v>5.1212580206916887E-2</v>
      </c>
      <c r="H371" s="1280">
        <v>0.48463669651692676</v>
      </c>
      <c r="I371" s="1303">
        <v>6.4717272526651257E-2</v>
      </c>
      <c r="J371" s="1288">
        <v>8.6578854001634648E-2</v>
      </c>
      <c r="K371" s="1280">
        <v>0.81931606691252779</v>
      </c>
      <c r="L371" s="1330">
        <v>0.1909859365875492</v>
      </c>
    </row>
    <row r="372" spans="1:12" s="326" customFormat="1" ht="15.5" x14ac:dyDescent="0.35">
      <c r="A372" s="328" t="s">
        <v>1336</v>
      </c>
      <c r="B372" s="1287">
        <v>9.1986316998667703E-2</v>
      </c>
      <c r="C372" s="1288">
        <v>0.16122137416920859</v>
      </c>
      <c r="D372" s="1288">
        <v>0.24996915493535521</v>
      </c>
      <c r="E372" s="1280">
        <v>1.7652343290145842</v>
      </c>
      <c r="F372" s="1303">
        <v>5.185560494954642E-2</v>
      </c>
      <c r="G372" s="1288">
        <v>4.8270733370854774E-2</v>
      </c>
      <c r="H372" s="1280">
        <v>0.45679730770801547</v>
      </c>
      <c r="I372" s="1303">
        <v>6.306568789922759E-2</v>
      </c>
      <c r="J372" s="1288">
        <v>8.4299003897310223E-2</v>
      </c>
      <c r="K372" s="1280">
        <v>0.79774130893998707</v>
      </c>
      <c r="L372" s="1330">
        <v>0.17272719141482212</v>
      </c>
    </row>
    <row r="373" spans="1:12" s="326" customFormat="1" ht="15.5" x14ac:dyDescent="0.35">
      <c r="A373" s="328" t="s">
        <v>1337</v>
      </c>
      <c r="B373" s="1291">
        <v>9.1986316998667703E-2</v>
      </c>
      <c r="C373" s="1257">
        <v>0.16122137416920859</v>
      </c>
      <c r="D373" s="1257">
        <v>0.24996915493535521</v>
      </c>
      <c r="E373" s="1280">
        <v>1.7652343290145842</v>
      </c>
      <c r="F373" s="1271">
        <v>5.185560494954642E-2</v>
      </c>
      <c r="G373" s="1257">
        <v>4.8270733370854774E-2</v>
      </c>
      <c r="H373" s="1280">
        <v>0.45679730770801547</v>
      </c>
      <c r="I373" s="1271">
        <v>6.306568789922759E-2</v>
      </c>
      <c r="J373" s="1257">
        <v>8.4299003897310223E-2</v>
      </c>
      <c r="K373" s="1280">
        <v>0.79774130893998707</v>
      </c>
      <c r="L373" s="1330">
        <v>0.1810026473271103</v>
      </c>
    </row>
    <row r="374" spans="1:12" s="326" customFormat="1" ht="15.5" x14ac:dyDescent="0.35">
      <c r="A374" s="328" t="s">
        <v>1338</v>
      </c>
      <c r="B374" s="1287">
        <v>0.154017803241424</v>
      </c>
      <c r="C374" s="1288">
        <v>0.26767540971802223</v>
      </c>
      <c r="D374" s="1257">
        <v>0.17113089249047111</v>
      </c>
      <c r="E374" s="1280">
        <v>1.1505985556596825</v>
      </c>
      <c r="F374" s="1271">
        <v>5.7996365921987342E-2</v>
      </c>
      <c r="G374" s="1257">
        <v>0.10247457085967089</v>
      </c>
      <c r="H374" s="1280">
        <v>0.96974097570879725</v>
      </c>
      <c r="I374" s="1271">
        <v>6.3516055344460157E-2</v>
      </c>
      <c r="J374" s="1257">
        <v>0.14834089791788968</v>
      </c>
      <c r="K374" s="1280">
        <v>1.4037848207376764</v>
      </c>
      <c r="L374" s="1237">
        <v>0.18357045575734487</v>
      </c>
    </row>
    <row r="375" spans="1:12" s="326" customFormat="1" ht="15.5" x14ac:dyDescent="0.35">
      <c r="A375" s="328" t="s">
        <v>1339</v>
      </c>
      <c r="B375" s="1287">
        <v>0.154017803241424</v>
      </c>
      <c r="C375" s="1288">
        <v>0.26767540971802223</v>
      </c>
      <c r="D375" s="1257">
        <v>0.17113089249047111</v>
      </c>
      <c r="E375" s="1280">
        <v>1.1505985556596825</v>
      </c>
      <c r="F375" s="1271">
        <v>5.7996365921987342E-2</v>
      </c>
      <c r="G375" s="1257">
        <v>0.10247457085967089</v>
      </c>
      <c r="H375" s="1280">
        <v>0.96974097570879725</v>
      </c>
      <c r="I375" s="1271">
        <v>6.3516055344460157E-2</v>
      </c>
      <c r="J375" s="1257">
        <v>0.14834089791788968</v>
      </c>
      <c r="K375" s="1280">
        <v>1.4037848207376764</v>
      </c>
      <c r="L375" s="1237">
        <v>0.18357045575734487</v>
      </c>
    </row>
    <row r="376" spans="1:12" s="326" customFormat="1" ht="15.5" x14ac:dyDescent="0.35">
      <c r="A376" s="328" t="s">
        <v>1340</v>
      </c>
      <c r="B376" s="1287">
        <v>0.154017803241424</v>
      </c>
      <c r="C376" s="1288">
        <v>0.26767540971802223</v>
      </c>
      <c r="D376" s="1257">
        <v>0.17113089249047111</v>
      </c>
      <c r="E376" s="1280">
        <v>1.1505985556596825</v>
      </c>
      <c r="F376" s="1271">
        <v>5.7996365921987342E-2</v>
      </c>
      <c r="G376" s="1257">
        <v>0.10247457085967089</v>
      </c>
      <c r="H376" s="1280">
        <v>0.96974097570879725</v>
      </c>
      <c r="I376" s="1271">
        <v>6.3516055344460157E-2</v>
      </c>
      <c r="J376" s="1257">
        <v>0.14834089791788968</v>
      </c>
      <c r="K376" s="1280">
        <v>1.4037848207376764</v>
      </c>
      <c r="L376" s="1237">
        <v>0.18357045575734487</v>
      </c>
    </row>
    <row r="377" spans="1:12" s="326" customFormat="1" ht="15.5" x14ac:dyDescent="0.35">
      <c r="A377" s="328" t="s">
        <v>1341</v>
      </c>
      <c r="B377" s="1287">
        <v>0.154017803241424</v>
      </c>
      <c r="C377" s="1288">
        <v>0.26767540971802223</v>
      </c>
      <c r="D377" s="1257">
        <v>0.17113089249047111</v>
      </c>
      <c r="E377" s="1280">
        <v>1.1505985556596825</v>
      </c>
      <c r="F377" s="1271">
        <v>5.7996365921987342E-2</v>
      </c>
      <c r="G377" s="1257">
        <v>0.10247457085967089</v>
      </c>
      <c r="H377" s="1280">
        <v>0.96974097570879725</v>
      </c>
      <c r="I377" s="1271">
        <v>6.3516055344460157E-2</v>
      </c>
      <c r="J377" s="1257">
        <v>0.14834089791788968</v>
      </c>
      <c r="K377" s="1280">
        <v>1.4037848207376764</v>
      </c>
      <c r="L377" s="1237">
        <v>0.18357045575734487</v>
      </c>
    </row>
    <row r="378" spans="1:12" s="326" customFormat="1" ht="15.5" x14ac:dyDescent="0.35">
      <c r="A378" s="328" t="s">
        <v>1342</v>
      </c>
      <c r="B378" s="1287">
        <v>0.154017803241424</v>
      </c>
      <c r="C378" s="1288">
        <v>0.26767540971802223</v>
      </c>
      <c r="D378" s="1257">
        <v>0.17113089249047111</v>
      </c>
      <c r="E378" s="1280">
        <v>1.1505985556596825</v>
      </c>
      <c r="F378" s="1271">
        <v>5.7996365921987342E-2</v>
      </c>
      <c r="G378" s="1257">
        <v>0.10247457085967089</v>
      </c>
      <c r="H378" s="1280">
        <v>0.96974097570879725</v>
      </c>
      <c r="I378" s="1271">
        <v>6.3516055344460157E-2</v>
      </c>
      <c r="J378" s="1257">
        <v>0.14834089791788968</v>
      </c>
      <c r="K378" s="1280">
        <v>1.4037848207376764</v>
      </c>
      <c r="L378" s="1237">
        <v>0.18357045575734487</v>
      </c>
    </row>
    <row r="379" spans="1:12" s="326" customFormat="1" ht="15.5" x14ac:dyDescent="0.35">
      <c r="A379" s="328" t="s">
        <v>1343</v>
      </c>
      <c r="B379" s="1287">
        <v>0.154017803241424</v>
      </c>
      <c r="C379" s="1288">
        <v>0.26767540971802223</v>
      </c>
      <c r="D379" s="1257">
        <v>0.17113089249047111</v>
      </c>
      <c r="E379" s="1280">
        <v>1.1505985556596825</v>
      </c>
      <c r="F379" s="1271">
        <v>5.7996365921987342E-2</v>
      </c>
      <c r="G379" s="1257">
        <v>0.10247457085967089</v>
      </c>
      <c r="H379" s="1280">
        <v>0.96974097570879725</v>
      </c>
      <c r="I379" s="1271">
        <v>6.3516055344460157E-2</v>
      </c>
      <c r="J379" s="1257">
        <v>0.14834089791788968</v>
      </c>
      <c r="K379" s="1280">
        <v>1.4037848207376764</v>
      </c>
      <c r="L379" s="1237">
        <v>0.18357045575734487</v>
      </c>
    </row>
    <row r="380" spans="1:12" s="326" customFormat="1" ht="15.5" x14ac:dyDescent="0.35">
      <c r="A380" s="328" t="s">
        <v>1344</v>
      </c>
      <c r="B380" s="1287">
        <v>0.154017803241424</v>
      </c>
      <c r="C380" s="1288">
        <v>0.26767540971802223</v>
      </c>
      <c r="D380" s="1257">
        <v>0.17113089249047111</v>
      </c>
      <c r="E380" s="1280">
        <v>1.1505985556596825</v>
      </c>
      <c r="F380" s="1271">
        <v>5.7996365921987342E-2</v>
      </c>
      <c r="G380" s="1257">
        <v>0.10247457085967089</v>
      </c>
      <c r="H380" s="1280">
        <v>0.96974097570879725</v>
      </c>
      <c r="I380" s="1271">
        <v>6.3516055344460157E-2</v>
      </c>
      <c r="J380" s="1257">
        <v>0.14834089791788968</v>
      </c>
      <c r="K380" s="1280">
        <v>1.4037848207376764</v>
      </c>
      <c r="L380" s="1237">
        <v>0.18357045575734487</v>
      </c>
    </row>
    <row r="381" spans="1:12" s="326" customFormat="1" ht="15.5" x14ac:dyDescent="0.35">
      <c r="A381" s="328" t="s">
        <v>1345</v>
      </c>
      <c r="B381" s="1287">
        <v>0.154017803241424</v>
      </c>
      <c r="C381" s="1288">
        <v>0.26767540971802223</v>
      </c>
      <c r="D381" s="1257">
        <v>0.17113089249047111</v>
      </c>
      <c r="E381" s="1280">
        <v>1.1505985556596825</v>
      </c>
      <c r="F381" s="1303">
        <v>5.7996365921987342E-2</v>
      </c>
      <c r="G381" s="1288">
        <v>0.10247457085967089</v>
      </c>
      <c r="H381" s="1280">
        <v>0.96974097570879725</v>
      </c>
      <c r="I381" s="1271">
        <v>6.3516055344460157E-2</v>
      </c>
      <c r="J381" s="1288">
        <v>0.14834089791788968</v>
      </c>
      <c r="K381" s="1280">
        <v>1.4037848207376764</v>
      </c>
      <c r="L381" s="1237">
        <v>0.18357045575734487</v>
      </c>
    </row>
    <row r="382" spans="1:12" s="326" customFormat="1" ht="15.5" x14ac:dyDescent="0.35">
      <c r="A382" s="328" t="s">
        <v>1346</v>
      </c>
      <c r="B382" s="1287">
        <v>0.154017803241424</v>
      </c>
      <c r="C382" s="1288">
        <v>0.26767540971802223</v>
      </c>
      <c r="D382" s="1257">
        <v>0.17113089249047111</v>
      </c>
      <c r="E382" s="1280">
        <v>1.1505985556596825</v>
      </c>
      <c r="F382" s="1303">
        <v>5.7306122919693531E-2</v>
      </c>
      <c r="G382" s="1288">
        <v>0.10382091013340322</v>
      </c>
      <c r="H382" s="1280">
        <v>0.98248170104183785</v>
      </c>
      <c r="I382" s="1271">
        <v>6.3516055344460157E-2</v>
      </c>
      <c r="J382" s="1288">
        <v>0.14087550334768781</v>
      </c>
      <c r="K382" s="1280">
        <v>1.3331380353564282</v>
      </c>
      <c r="L382" s="1237">
        <v>0.18357045575734487</v>
      </c>
    </row>
    <row r="383" spans="1:12" s="326" customFormat="1" ht="15.5" x14ac:dyDescent="0.35">
      <c r="A383" s="328" t="s">
        <v>1347</v>
      </c>
      <c r="B383" s="1287">
        <v>0.154017803241424</v>
      </c>
      <c r="C383" s="1288">
        <v>0.26767540971802223</v>
      </c>
      <c r="D383" s="1257">
        <v>0.17113089249047111</v>
      </c>
      <c r="E383" s="1280">
        <v>1.1505985556596825</v>
      </c>
      <c r="F383" s="1303">
        <v>5.7597805953421191E-2</v>
      </c>
      <c r="G383" s="1288">
        <v>0.11164793684091262</v>
      </c>
      <c r="H383" s="1280">
        <v>1.0565506964283422</v>
      </c>
      <c r="I383" s="1271">
        <v>6.3516055344460157E-2</v>
      </c>
      <c r="J383" s="1288">
        <v>0.14919404262517424</v>
      </c>
      <c r="K383" s="1280">
        <v>1.4118583298426415</v>
      </c>
      <c r="L383" s="1237">
        <v>0.18357045575734487</v>
      </c>
    </row>
    <row r="384" spans="1:12" s="326" customFormat="1" ht="15.5" x14ac:dyDescent="0.35">
      <c r="A384" s="328" t="s">
        <v>1348</v>
      </c>
      <c r="B384" s="1287">
        <v>0.154017803241424</v>
      </c>
      <c r="C384" s="1288">
        <v>0.26767540971802223</v>
      </c>
      <c r="D384" s="1257">
        <v>0.17113089249047111</v>
      </c>
      <c r="E384" s="1280">
        <v>1.1505985556596825</v>
      </c>
      <c r="F384" s="1303">
        <v>5.7775102060307088E-2</v>
      </c>
      <c r="G384" s="1288">
        <v>0.10533232547061931</v>
      </c>
      <c r="H384" s="1280">
        <v>0.99678458000505188</v>
      </c>
      <c r="I384" s="1271">
        <v>6.3516055344460157E-2</v>
      </c>
      <c r="J384" s="1288">
        <v>0.14122705152927559</v>
      </c>
      <c r="K384" s="1280">
        <v>1.3364648185160124</v>
      </c>
      <c r="L384" s="1237">
        <v>0.18357045575734487</v>
      </c>
    </row>
    <row r="385" spans="1:12" s="326" customFormat="1" ht="15.5" x14ac:dyDescent="0.35">
      <c r="A385" s="328" t="s">
        <v>1349</v>
      </c>
      <c r="B385" s="1287">
        <v>0.154017803241424</v>
      </c>
      <c r="C385" s="1288">
        <v>0.26767540971802223</v>
      </c>
      <c r="D385" s="1257">
        <v>0.17113089249047111</v>
      </c>
      <c r="E385" s="1280">
        <v>1.1505985556596825</v>
      </c>
      <c r="F385" s="1303">
        <v>5.7047259105495358E-2</v>
      </c>
      <c r="G385" s="1288">
        <v>0.10894848050244013</v>
      </c>
      <c r="H385" s="1280">
        <v>1.0310051059311798</v>
      </c>
      <c r="I385" s="1303">
        <v>6.3516055344460157E-2</v>
      </c>
      <c r="J385" s="1288">
        <v>0.13955705388092959</v>
      </c>
      <c r="K385" s="1280">
        <v>1.3206612378290912</v>
      </c>
      <c r="L385" s="1237">
        <v>0.18357045575734487</v>
      </c>
    </row>
    <row r="386" spans="1:12" s="326" customFormat="1" ht="15.5" x14ac:dyDescent="0.35">
      <c r="A386" s="328" t="s">
        <v>1350</v>
      </c>
      <c r="B386" s="1287">
        <v>0.154017803241424</v>
      </c>
      <c r="C386" s="1288">
        <v>0.26767540971802223</v>
      </c>
      <c r="D386" s="1257">
        <v>0.17113089249047111</v>
      </c>
      <c r="E386" s="1280">
        <v>1.1505985556596825</v>
      </c>
      <c r="F386" s="1303">
        <v>5.6956477122930532E-2</v>
      </c>
      <c r="G386" s="1288">
        <v>0.10384990738974095</v>
      </c>
      <c r="H386" s="1280">
        <v>0.98275610890144571</v>
      </c>
      <c r="I386" s="1303">
        <v>6.2859602123925065E-2</v>
      </c>
      <c r="J386" s="1288">
        <v>0.14584116885767076</v>
      </c>
      <c r="K386" s="1280">
        <v>1.3801292964692815</v>
      </c>
      <c r="L386" s="1237">
        <v>0.18357045575734487</v>
      </c>
    </row>
    <row r="387" spans="1:12" s="326" customFormat="1" ht="15.5" x14ac:dyDescent="0.35">
      <c r="A387" s="328" t="s">
        <v>1351</v>
      </c>
      <c r="B387" s="1287">
        <v>0.154017803241424</v>
      </c>
      <c r="C387" s="1288">
        <v>0.26767540971802223</v>
      </c>
      <c r="D387" s="1257">
        <v>0.17113089249047111</v>
      </c>
      <c r="E387" s="1280">
        <v>1.1505985556596825</v>
      </c>
      <c r="F387" s="1303">
        <v>5.5776510382963503E-2</v>
      </c>
      <c r="G387" s="1288">
        <v>0.10678645087753245</v>
      </c>
      <c r="H387" s="1280">
        <v>1.0105453108778255</v>
      </c>
      <c r="I387" s="1303">
        <v>6.4463972523553348E-2</v>
      </c>
      <c r="J387" s="1288">
        <v>0.14476981520943943</v>
      </c>
      <c r="K387" s="1280">
        <v>1.3699908248128569</v>
      </c>
      <c r="L387" s="1237">
        <v>0.18357045575734487</v>
      </c>
    </row>
    <row r="388" spans="1:12" s="326" customFormat="1" ht="15.5" x14ac:dyDescent="0.35">
      <c r="A388" s="328" t="s">
        <v>1352</v>
      </c>
      <c r="B388" s="1287">
        <v>0.154017803241424</v>
      </c>
      <c r="C388" s="1288">
        <v>0.26767540971802223</v>
      </c>
      <c r="D388" s="1257">
        <v>0.17113089249047111</v>
      </c>
      <c r="E388" s="1280">
        <v>1.1505985556596825</v>
      </c>
      <c r="F388" s="1303">
        <v>5.6617809825874651E-2</v>
      </c>
      <c r="G388" s="1288">
        <v>0.1045870109250816</v>
      </c>
      <c r="H388" s="1280">
        <v>0.98973149309250019</v>
      </c>
      <c r="I388" s="1303">
        <v>6.4555862307728779E-2</v>
      </c>
      <c r="J388" s="1288">
        <v>0.14231947361734357</v>
      </c>
      <c r="K388" s="1280">
        <v>1.3468026657758909</v>
      </c>
      <c r="L388" s="1237">
        <v>0.18357045575734487</v>
      </c>
    </row>
    <row r="389" spans="1:12" s="326" customFormat="1" ht="15.5" x14ac:dyDescent="0.35">
      <c r="A389" s="328" t="s">
        <v>1353</v>
      </c>
      <c r="B389" s="1287">
        <v>0.154017803241424</v>
      </c>
      <c r="C389" s="1288">
        <v>0.26767540971802223</v>
      </c>
      <c r="D389" s="1257">
        <v>0.17113089249047111</v>
      </c>
      <c r="E389" s="1280">
        <v>1.1505985556596825</v>
      </c>
      <c r="F389" s="1303">
        <v>5.7121885569651906E-2</v>
      </c>
      <c r="G389" s="1288">
        <v>9.9890771570618306E-2</v>
      </c>
      <c r="H389" s="1280">
        <v>0.94528987508371876</v>
      </c>
      <c r="I389" s="1303">
        <v>6.3209019766351682E-2</v>
      </c>
      <c r="J389" s="1288">
        <v>0.14107292969987201</v>
      </c>
      <c r="K389" s="1280">
        <v>1.3350063273804063</v>
      </c>
      <c r="L389" s="1237">
        <v>0.18357045575734487</v>
      </c>
    </row>
    <row r="390" spans="1:12" s="326" customFormat="1" ht="15.5" x14ac:dyDescent="0.35">
      <c r="A390" s="328" t="s">
        <v>1354</v>
      </c>
      <c r="B390" s="1287">
        <v>0.154017803241424</v>
      </c>
      <c r="C390" s="1288">
        <v>0.26767540971802223</v>
      </c>
      <c r="D390" s="1257">
        <v>0.17113089249047111</v>
      </c>
      <c r="E390" s="1280">
        <v>1.1505985556596825</v>
      </c>
      <c r="F390" s="1303">
        <v>5.739788542260893E-2</v>
      </c>
      <c r="G390" s="1288">
        <v>9.5858219122043245E-2</v>
      </c>
      <c r="H390" s="1280">
        <v>0.90712888242698264</v>
      </c>
      <c r="I390" s="1303">
        <v>6.2792224104609162E-2</v>
      </c>
      <c r="J390" s="1288">
        <v>0.14031883370155318</v>
      </c>
      <c r="K390" s="1280">
        <v>1.3278701395139629</v>
      </c>
      <c r="L390" s="1237">
        <v>0.18357045575734487</v>
      </c>
    </row>
    <row r="391" spans="1:12" s="326" customFormat="1" ht="15.5" x14ac:dyDescent="0.35">
      <c r="A391" s="328" t="s">
        <v>1355</v>
      </c>
      <c r="B391" s="1287">
        <v>0.154017803241424</v>
      </c>
      <c r="C391" s="1288">
        <v>0.26767540971802223</v>
      </c>
      <c r="D391" s="1257">
        <v>0.17113089249047111</v>
      </c>
      <c r="E391" s="1280">
        <v>1.1505985556596825</v>
      </c>
      <c r="F391" s="1303">
        <v>5.7247309590971844E-2</v>
      </c>
      <c r="G391" s="1288">
        <v>9.2255530662558816E-2</v>
      </c>
      <c r="H391" s="1280">
        <v>0.8730357938434794</v>
      </c>
      <c r="I391" s="1303">
        <v>6.2165532434203738E-2</v>
      </c>
      <c r="J391" s="1288">
        <v>0.13274328173155009</v>
      </c>
      <c r="K391" s="1280">
        <v>1.2561809087390072</v>
      </c>
      <c r="L391" s="1237">
        <v>0.18357045575734487</v>
      </c>
    </row>
    <row r="392" spans="1:12" s="326" customFormat="1" ht="15.5" x14ac:dyDescent="0.35">
      <c r="A392" s="328" t="s">
        <v>1356</v>
      </c>
      <c r="B392" s="1287">
        <v>0.154017803241424</v>
      </c>
      <c r="C392" s="1288">
        <v>0.26767540971802223</v>
      </c>
      <c r="D392" s="1257">
        <v>0.17113089249047111</v>
      </c>
      <c r="E392" s="1280">
        <v>1.1505985556596825</v>
      </c>
      <c r="F392" s="1303">
        <v>5.7337750780781981E-2</v>
      </c>
      <c r="G392" s="1288">
        <v>9.0226159526763078E-2</v>
      </c>
      <c r="H392" s="1280">
        <v>0.8538313772863535</v>
      </c>
      <c r="I392" s="1303">
        <v>6.2294840783424656E-2</v>
      </c>
      <c r="J392" s="1288">
        <v>0.13119504429357809</v>
      </c>
      <c r="K392" s="1280">
        <v>1.2415295735723162</v>
      </c>
      <c r="L392" s="1237">
        <v>0.18357045575734487</v>
      </c>
    </row>
    <row r="393" spans="1:12" s="326" customFormat="1" ht="15.5" x14ac:dyDescent="0.35">
      <c r="A393" s="328" t="s">
        <v>1357</v>
      </c>
      <c r="B393" s="1287">
        <v>0.154017803241424</v>
      </c>
      <c r="C393" s="1288">
        <v>0.26767540971802223</v>
      </c>
      <c r="D393" s="1257">
        <v>0.17113089249047111</v>
      </c>
      <c r="E393" s="1280">
        <v>1.1505985556596825</v>
      </c>
      <c r="F393" s="1303">
        <v>5.7646451932763833E-2</v>
      </c>
      <c r="G393" s="1288">
        <v>8.9289335761990052E-2</v>
      </c>
      <c r="H393" s="1280">
        <v>0.84496599357118518</v>
      </c>
      <c r="I393" s="1303">
        <v>6.2366029047103935E-2</v>
      </c>
      <c r="J393" s="1288">
        <v>0.13328937827686524</v>
      </c>
      <c r="K393" s="1280">
        <v>1.2613487488406292</v>
      </c>
      <c r="L393" s="1237">
        <v>0.18357045575734487</v>
      </c>
    </row>
    <row r="394" spans="1:12" s="326" customFormat="1" ht="15.5" x14ac:dyDescent="0.35">
      <c r="A394" s="328" t="s">
        <v>1358</v>
      </c>
      <c r="B394" s="1287">
        <v>0.154017803241424</v>
      </c>
      <c r="C394" s="1288">
        <v>0.26767540971802223</v>
      </c>
      <c r="D394" s="1257">
        <v>0.17113089249047111</v>
      </c>
      <c r="E394" s="1280">
        <v>1.1505985556596825</v>
      </c>
      <c r="F394" s="1303">
        <v>5.7618564073667194E-2</v>
      </c>
      <c r="G394" s="1288">
        <v>8.7820782171838696E-2</v>
      </c>
      <c r="H394" s="1280">
        <v>0.83106872540556165</v>
      </c>
      <c r="I394" s="1303">
        <v>6.3333634814452117E-2</v>
      </c>
      <c r="J394" s="1288">
        <v>0.13197351848600616</v>
      </c>
      <c r="K394" s="1280">
        <v>1.2488964580256612</v>
      </c>
      <c r="L394" s="1237">
        <v>0.18357045575734487</v>
      </c>
    </row>
    <row r="395" spans="1:12" s="326" customFormat="1" ht="15.5" x14ac:dyDescent="0.35">
      <c r="A395" s="328" t="s">
        <v>1359</v>
      </c>
      <c r="B395" s="1287">
        <v>0.154017803241424</v>
      </c>
      <c r="C395" s="1288">
        <v>0.26767540971802223</v>
      </c>
      <c r="D395" s="1257">
        <v>0.17113089249047111</v>
      </c>
      <c r="E395" s="1280">
        <v>1.1505985556596825</v>
      </c>
      <c r="F395" s="1303">
        <v>5.7611245007187686E-2</v>
      </c>
      <c r="G395" s="1288">
        <v>8.3948246242719141E-2</v>
      </c>
      <c r="H395" s="1280">
        <v>0.79442200672337882</v>
      </c>
      <c r="I395" s="1303">
        <v>6.339890935880399E-2</v>
      </c>
      <c r="J395" s="1288">
        <v>0.13247345392278795</v>
      </c>
      <c r="K395" s="1280">
        <v>1.2536274646957946</v>
      </c>
      <c r="L395" s="1237">
        <v>0.18357045575734487</v>
      </c>
    </row>
    <row r="396" spans="1:12" s="326" customFormat="1" ht="15.5" x14ac:dyDescent="0.35">
      <c r="A396" s="328" t="s">
        <v>1360</v>
      </c>
      <c r="B396" s="1287">
        <v>0.154017803241424</v>
      </c>
      <c r="C396" s="1288">
        <v>0.26767540971802223</v>
      </c>
      <c r="D396" s="1257">
        <v>0.17113089249047111</v>
      </c>
      <c r="E396" s="1280">
        <v>1.1505985556596825</v>
      </c>
      <c r="F396" s="1303">
        <v>5.7778206997431129E-2</v>
      </c>
      <c r="G396" s="1288">
        <v>7.921527478514151E-2</v>
      </c>
      <c r="H396" s="1280">
        <v>0.74963278417997881</v>
      </c>
      <c r="I396" s="1303">
        <v>6.3603382860553823E-2</v>
      </c>
      <c r="J396" s="1288">
        <v>0.13167635598509767</v>
      </c>
      <c r="K396" s="1280">
        <v>1.2460843393589756</v>
      </c>
      <c r="L396" s="1237">
        <v>0.18357045575734487</v>
      </c>
    </row>
    <row r="397" spans="1:12" s="326" customFormat="1" ht="15.5" x14ac:dyDescent="0.35">
      <c r="A397" s="328" t="s">
        <v>1361</v>
      </c>
      <c r="B397" s="1287">
        <v>0.154017803241424</v>
      </c>
      <c r="C397" s="1288">
        <v>0.26767540971802223</v>
      </c>
      <c r="D397" s="1257">
        <v>0.17113089249047111</v>
      </c>
      <c r="E397" s="1280">
        <v>1.1505985556596825</v>
      </c>
      <c r="F397" s="1303">
        <v>5.70339322995706E-2</v>
      </c>
      <c r="G397" s="1288">
        <v>7.1879554941705739E-2</v>
      </c>
      <c r="H397" s="1280">
        <v>0.68021314124981824</v>
      </c>
      <c r="I397" s="1303">
        <v>6.3099430747404123E-2</v>
      </c>
      <c r="J397" s="1288">
        <v>0.13128875007424895</v>
      </c>
      <c r="K397" s="1280">
        <v>1.2424163334232234</v>
      </c>
      <c r="L397" s="1237">
        <v>0.18357045575734487</v>
      </c>
    </row>
    <row r="398" spans="1:12" s="326" customFormat="1" ht="15.5" x14ac:dyDescent="0.35">
      <c r="A398" s="328" t="s">
        <v>1362</v>
      </c>
      <c r="B398" s="1287">
        <v>0.154017803241424</v>
      </c>
      <c r="C398" s="1288">
        <v>0.26767540971802223</v>
      </c>
      <c r="D398" s="1257">
        <v>0.17113089249047111</v>
      </c>
      <c r="E398" s="1280">
        <v>1.1505985556596825</v>
      </c>
      <c r="F398" s="1303">
        <v>5.725763332463326E-2</v>
      </c>
      <c r="G398" s="1288">
        <v>7.6233949705139067E-2</v>
      </c>
      <c r="H398" s="1280">
        <v>0.72141980345966172</v>
      </c>
      <c r="I398" s="1303">
        <v>6.3311733517754737E-2</v>
      </c>
      <c r="J398" s="1288">
        <v>0.13085784871819653</v>
      </c>
      <c r="K398" s="1280">
        <v>1.238338612502345</v>
      </c>
      <c r="L398" s="1237">
        <v>0.18357045575734487</v>
      </c>
    </row>
    <row r="399" spans="1:12" s="326" customFormat="1" ht="15.5" x14ac:dyDescent="0.35">
      <c r="A399" s="328" t="s">
        <v>1363</v>
      </c>
      <c r="B399" s="1287">
        <v>0.154017803241424</v>
      </c>
      <c r="C399" s="1288">
        <v>0.26767540971802223</v>
      </c>
      <c r="D399" s="1257">
        <v>0.17113089249047111</v>
      </c>
      <c r="E399" s="1280">
        <v>1.1505985556596825</v>
      </c>
      <c r="F399" s="1303">
        <v>5.7431143498002504E-2</v>
      </c>
      <c r="G399" s="1288">
        <v>7.4143459168172388E-2</v>
      </c>
      <c r="H399" s="1280">
        <v>0.70163699962821957</v>
      </c>
      <c r="I399" s="1303">
        <v>6.3472781133963457E-2</v>
      </c>
      <c r="J399" s="1288">
        <v>0.12987320723416601</v>
      </c>
      <c r="K399" s="1280">
        <v>1.229020718458615</v>
      </c>
      <c r="L399" s="1237">
        <v>0.18357045575734487</v>
      </c>
    </row>
    <row r="400" spans="1:12" s="326" customFormat="1" ht="15.5" x14ac:dyDescent="0.35">
      <c r="A400" s="328" t="s">
        <v>1364</v>
      </c>
      <c r="B400" s="1287">
        <v>0.154017803241424</v>
      </c>
      <c r="C400" s="1288">
        <v>0.26767540971802223</v>
      </c>
      <c r="D400" s="1257">
        <v>0.17113089249047111</v>
      </c>
      <c r="E400" s="1280">
        <v>1.1505985556596825</v>
      </c>
      <c r="F400" s="1303">
        <v>5.7554782437748427E-2</v>
      </c>
      <c r="G400" s="1288">
        <v>7.3472206951615021E-2</v>
      </c>
      <c r="H400" s="1280">
        <v>0.69528478196123922</v>
      </c>
      <c r="I400" s="1303">
        <v>6.3675087643291758E-2</v>
      </c>
      <c r="J400" s="1288">
        <v>0.12807071021022687</v>
      </c>
      <c r="K400" s="1280">
        <v>1.2119632650041321</v>
      </c>
      <c r="L400" s="1237">
        <v>0.18357045575734487</v>
      </c>
    </row>
    <row r="401" spans="1:12" s="326" customFormat="1" ht="15.5" x14ac:dyDescent="0.35">
      <c r="A401" s="328" t="s">
        <v>1365</v>
      </c>
      <c r="B401" s="1287">
        <v>0.154017803241424</v>
      </c>
      <c r="C401" s="1288">
        <v>0.26767540971802223</v>
      </c>
      <c r="D401" s="1257">
        <v>0.17113089249047111</v>
      </c>
      <c r="E401" s="1280">
        <v>1.1505985556596825</v>
      </c>
      <c r="F401" s="1303">
        <v>5.7486181992438025E-2</v>
      </c>
      <c r="G401" s="1288">
        <v>6.9286473976048479E-2</v>
      </c>
      <c r="H401" s="1280">
        <v>0.65567420593510584</v>
      </c>
      <c r="I401" s="1303">
        <v>6.3808392249745494E-2</v>
      </c>
      <c r="J401" s="1288">
        <v>0.12868463857062476</v>
      </c>
      <c r="K401" s="1280">
        <v>1.2177730135323093</v>
      </c>
      <c r="L401" s="1237">
        <v>0.18357045575734487</v>
      </c>
    </row>
    <row r="402" spans="1:12" s="326" customFormat="1" ht="15.5" x14ac:dyDescent="0.35">
      <c r="A402" s="328" t="s">
        <v>1366</v>
      </c>
      <c r="B402" s="1287">
        <v>0.154017803241424</v>
      </c>
      <c r="C402" s="1288">
        <v>0.26767540971802223</v>
      </c>
      <c r="D402" s="1257">
        <v>0.17113089249047111</v>
      </c>
      <c r="E402" s="1280">
        <v>1.1505985556596825</v>
      </c>
      <c r="F402" s="1303">
        <v>5.7499689507193384E-2</v>
      </c>
      <c r="G402" s="1288">
        <v>6.8280173505586308E-2</v>
      </c>
      <c r="H402" s="1280">
        <v>0.64615134780654104</v>
      </c>
      <c r="I402" s="1303">
        <v>6.3552822100951395E-2</v>
      </c>
      <c r="J402" s="1288">
        <v>0.12863801012923518</v>
      </c>
      <c r="K402" s="1280">
        <v>1.2173317576200418</v>
      </c>
      <c r="L402" s="1237">
        <v>0.18357045575734487</v>
      </c>
    </row>
    <row r="403" spans="1:12" s="326" customFormat="1" ht="15.5" x14ac:dyDescent="0.35">
      <c r="A403" s="328" t="s">
        <v>1367</v>
      </c>
      <c r="B403" s="1287">
        <v>0.154017803241424</v>
      </c>
      <c r="C403" s="1288">
        <v>0.26767540971802223</v>
      </c>
      <c r="D403" s="1257">
        <v>0.17113089249047111</v>
      </c>
      <c r="E403" s="1280">
        <v>1.1505985556596825</v>
      </c>
      <c r="F403" s="1303">
        <v>5.7328747681244373E-2</v>
      </c>
      <c r="G403" s="1288">
        <v>7.4029668326463668E-2</v>
      </c>
      <c r="H403" s="1280">
        <v>0.70056017011881422</v>
      </c>
      <c r="I403" s="1303">
        <v>6.3091565347591194E-2</v>
      </c>
      <c r="J403" s="1288">
        <v>0.12927903979935604</v>
      </c>
      <c r="K403" s="1280">
        <v>1.2233979722189061</v>
      </c>
      <c r="L403" s="1237">
        <v>0.18357045575734487</v>
      </c>
    </row>
    <row r="404" spans="1:12" s="326" customFormat="1" ht="15.5" x14ac:dyDescent="0.35">
      <c r="A404" s="328" t="s">
        <v>1368</v>
      </c>
      <c r="B404" s="1287">
        <v>0.154017803241424</v>
      </c>
      <c r="C404" s="1288">
        <v>0.26767540971802223</v>
      </c>
      <c r="D404" s="1257">
        <v>0.17113089249047111</v>
      </c>
      <c r="E404" s="1280">
        <v>1.1505985556596825</v>
      </c>
      <c r="F404" s="1303">
        <v>5.7466896062902624E-2</v>
      </c>
      <c r="G404" s="1288">
        <v>7.2537384194972396E-2</v>
      </c>
      <c r="H404" s="1280">
        <v>0.68643833425683431</v>
      </c>
      <c r="I404" s="1303">
        <v>6.3474559822821547E-2</v>
      </c>
      <c r="J404" s="1288">
        <v>0.12940158562134549</v>
      </c>
      <c r="K404" s="1280">
        <v>1.2245576521667032</v>
      </c>
      <c r="L404" s="1237">
        <v>0.18357045575734487</v>
      </c>
    </row>
    <row r="405" spans="1:12" s="326" customFormat="1" ht="15.5" x14ac:dyDescent="0.35">
      <c r="A405" s="328" t="s">
        <v>1369</v>
      </c>
      <c r="B405" s="1287">
        <v>0.154017803241424</v>
      </c>
      <c r="C405" s="1288">
        <v>0.26767540971802223</v>
      </c>
      <c r="D405" s="1257">
        <v>0.17113089249047111</v>
      </c>
      <c r="E405" s="1280">
        <v>1.1505985556596825</v>
      </c>
      <c r="F405" s="1303">
        <v>5.7254633750788923E-2</v>
      </c>
      <c r="G405" s="1288">
        <v>7.1339777127374437E-2</v>
      </c>
      <c r="H405" s="1280">
        <v>0.67510509678625652</v>
      </c>
      <c r="I405" s="1303">
        <v>6.3428587054873628E-2</v>
      </c>
      <c r="J405" s="1288">
        <v>0.12925737062609818</v>
      </c>
      <c r="K405" s="1280">
        <v>1.2231929117337379</v>
      </c>
      <c r="L405" s="1237">
        <v>0.18357045575734487</v>
      </c>
    </row>
    <row r="406" spans="1:12" s="326" customFormat="1" ht="15.5" x14ac:dyDescent="0.35">
      <c r="A406" s="328" t="s">
        <v>1370</v>
      </c>
      <c r="B406" s="1287">
        <v>0.154017803241424</v>
      </c>
      <c r="C406" s="1288">
        <v>0.26767540971802223</v>
      </c>
      <c r="D406" s="1257">
        <v>0.17113089249047111</v>
      </c>
      <c r="E406" s="1280">
        <v>1.1505985556596825</v>
      </c>
      <c r="F406" s="1303">
        <v>5.7060134223414952E-2</v>
      </c>
      <c r="G406" s="1288">
        <v>7.2070682622375676E-2</v>
      </c>
      <c r="H406" s="1280">
        <v>0.68202182746321693</v>
      </c>
      <c r="I406" s="1303">
        <v>6.3025712036922754E-2</v>
      </c>
      <c r="J406" s="1288">
        <v>0.12854829049636202</v>
      </c>
      <c r="K406" s="1280">
        <v>1.2164827196236612</v>
      </c>
      <c r="L406" s="1237">
        <v>0.18357045575734487</v>
      </c>
    </row>
    <row r="407" spans="1:12" s="326" customFormat="1" ht="15.5" x14ac:dyDescent="0.35">
      <c r="A407" s="328" t="s">
        <v>1371</v>
      </c>
      <c r="B407" s="1287">
        <v>0.154017803241424</v>
      </c>
      <c r="C407" s="1288">
        <v>0.26767540971802223</v>
      </c>
      <c r="D407" s="1257">
        <v>0.17113089249047111</v>
      </c>
      <c r="E407" s="1280">
        <v>1.1505985556596825</v>
      </c>
      <c r="F407" s="1303">
        <v>4.896791129691988E-2</v>
      </c>
      <c r="G407" s="1288">
        <v>7.166361310719585E-2</v>
      </c>
      <c r="H407" s="1280">
        <v>0.67816963286000775</v>
      </c>
      <c r="I407" s="1303">
        <v>6.9078951784434892E-2</v>
      </c>
      <c r="J407" s="1288">
        <v>0.12753079085962171</v>
      </c>
      <c r="K407" s="1280">
        <v>1.2068538811495082</v>
      </c>
      <c r="L407" s="1237">
        <v>0.18357045575734487</v>
      </c>
    </row>
    <row r="408" spans="1:12" s="326" customFormat="1" ht="15.5" x14ac:dyDescent="0.35">
      <c r="A408" s="328" t="s">
        <v>1372</v>
      </c>
      <c r="B408" s="1287">
        <v>0.154017803241424</v>
      </c>
      <c r="C408" s="1288">
        <v>0.26767540971802223</v>
      </c>
      <c r="D408" s="1257">
        <v>0.17113089249047111</v>
      </c>
      <c r="E408" s="1280">
        <v>1.1505985556596825</v>
      </c>
      <c r="F408" s="1303">
        <v>4.9279991425951457E-2</v>
      </c>
      <c r="G408" s="1288">
        <v>6.9802340620229844E-2</v>
      </c>
      <c r="H408" s="1280">
        <v>0.66055597336938099</v>
      </c>
      <c r="I408" s="1303">
        <v>6.8893874516039094E-2</v>
      </c>
      <c r="J408" s="1288">
        <v>0.12805827468354289</v>
      </c>
      <c r="K408" s="1280">
        <v>1.2118455846891154</v>
      </c>
      <c r="L408" s="1237">
        <v>0.18357045575734487</v>
      </c>
    </row>
    <row r="409" spans="1:12" s="326" customFormat="1" ht="15.5" x14ac:dyDescent="0.35">
      <c r="A409" s="328" t="s">
        <v>1373</v>
      </c>
      <c r="B409" s="1287">
        <v>0.154017803241424</v>
      </c>
      <c r="C409" s="1288">
        <v>0.26767540971802223</v>
      </c>
      <c r="D409" s="1257">
        <v>0.17113089249047111</v>
      </c>
      <c r="E409" s="1280">
        <v>1.1505985556596825</v>
      </c>
      <c r="F409" s="1303">
        <v>4.9011159522883548E-2</v>
      </c>
      <c r="G409" s="1288">
        <v>7.3933665826655851E-2</v>
      </c>
      <c r="H409" s="1280">
        <v>0.69965167587430943</v>
      </c>
      <c r="I409" s="1303">
        <v>6.8614077809347696E-2</v>
      </c>
      <c r="J409" s="1288">
        <v>0.12829142142639793</v>
      </c>
      <c r="K409" s="1280">
        <v>1.2140519071748099</v>
      </c>
      <c r="L409" s="1237">
        <v>0.18357045575734487</v>
      </c>
    </row>
    <row r="410" spans="1:12" s="326" customFormat="1" ht="15.5" x14ac:dyDescent="0.35">
      <c r="A410" s="328" t="s">
        <v>1374</v>
      </c>
      <c r="B410" s="1287">
        <v>0.154017803241424</v>
      </c>
      <c r="C410" s="1288">
        <v>0.26767540971802223</v>
      </c>
      <c r="D410" s="1257">
        <v>0.17113089249047111</v>
      </c>
      <c r="E410" s="1280">
        <v>1.1505985556596825</v>
      </c>
      <c r="F410" s="1303">
        <v>5.8532158880030855E-2</v>
      </c>
      <c r="G410" s="1288">
        <v>6.9176000964066772E-2</v>
      </c>
      <c r="H410" s="1280">
        <v>0.65462877382907314</v>
      </c>
      <c r="I410" s="1303">
        <v>7.4426732671005344E-2</v>
      </c>
      <c r="J410" s="1288">
        <v>0.12923832061113033</v>
      </c>
      <c r="K410" s="1280">
        <v>1.2230126369597409</v>
      </c>
      <c r="L410" s="1237">
        <v>0.18357045575734487</v>
      </c>
    </row>
    <row r="411" spans="1:12" s="326" customFormat="1" ht="15.5" x14ac:dyDescent="0.35">
      <c r="A411" s="328" t="s">
        <v>1375</v>
      </c>
      <c r="B411" s="1287">
        <v>0.154017803241424</v>
      </c>
      <c r="C411" s="1288">
        <v>0.26767540971802223</v>
      </c>
      <c r="D411" s="1288">
        <v>0.27341391920852032</v>
      </c>
      <c r="E411" s="1306">
        <v>1.9496368055898969</v>
      </c>
      <c r="F411" s="1303">
        <v>5.8702889671716919E-2</v>
      </c>
      <c r="G411" s="1288">
        <v>6.7642535574798254E-2</v>
      </c>
      <c r="H411" s="1280">
        <v>0.64011723003503929</v>
      </c>
      <c r="I411" s="1303">
        <v>7.5173602109966611E-2</v>
      </c>
      <c r="J411" s="1288">
        <v>0.11464885619684287</v>
      </c>
      <c r="K411" s="1280">
        <v>1.084949102392182</v>
      </c>
      <c r="L411" s="1330">
        <v>0.18357045575734487</v>
      </c>
    </row>
    <row r="412" spans="1:12" s="326" customFormat="1" ht="15.5" x14ac:dyDescent="0.35">
      <c r="A412" s="328" t="s">
        <v>1376</v>
      </c>
      <c r="B412" s="1287">
        <v>0.15283745747183847</v>
      </c>
      <c r="C412" s="1288">
        <v>0.26768871925528454</v>
      </c>
      <c r="D412" s="1288">
        <v>0.28245735159517682</v>
      </c>
      <c r="E412" s="1306">
        <v>2.0373672485758929</v>
      </c>
      <c r="F412" s="1303">
        <v>5.8181484445151734E-2</v>
      </c>
      <c r="G412" s="1288">
        <v>6.1784764443213666E-2</v>
      </c>
      <c r="H412" s="1280">
        <v>0.58468376351776463</v>
      </c>
      <c r="I412" s="1303">
        <v>7.49830540526982E-2</v>
      </c>
      <c r="J412" s="1288">
        <v>9.8539130559935934E-2</v>
      </c>
      <c r="K412" s="1280">
        <v>0.93249897816645244</v>
      </c>
      <c r="L412" s="1330">
        <v>0.1821543658276053</v>
      </c>
    </row>
    <row r="413" spans="1:12" s="326" customFormat="1" ht="15.5" x14ac:dyDescent="0.35">
      <c r="A413" s="328" t="s">
        <v>1377</v>
      </c>
      <c r="B413" s="1287">
        <v>0.11868962710968434</v>
      </c>
      <c r="C413" s="1288">
        <v>0.268283054992214</v>
      </c>
      <c r="D413" s="1288">
        <v>0.27610948206589048</v>
      </c>
      <c r="E413" s="1306">
        <v>1.7817134707642097</v>
      </c>
      <c r="F413" s="1303">
        <v>6.3045992390794212E-2</v>
      </c>
      <c r="G413" s="1288">
        <v>5.7521749170739794E-2</v>
      </c>
      <c r="H413" s="1280">
        <v>0.54434184693192733</v>
      </c>
      <c r="I413" s="1303">
        <v>8.0504150425621285E-2</v>
      </c>
      <c r="J413" s="1288">
        <v>9.851761497534732E-2</v>
      </c>
      <c r="K413" s="1280">
        <v>0.93229537112700001</v>
      </c>
      <c r="L413" s="1330">
        <v>0.18062704597472792</v>
      </c>
    </row>
    <row r="414" spans="1:12" s="326" customFormat="1" ht="15.5" x14ac:dyDescent="0.35">
      <c r="A414" s="328" t="s">
        <v>1378</v>
      </c>
      <c r="B414" s="1287">
        <v>0.11858920895195345</v>
      </c>
      <c r="C414" s="1288">
        <v>0.22455565053479143</v>
      </c>
      <c r="D414" s="1288">
        <v>0.29017403585321971</v>
      </c>
      <c r="E414" s="1306">
        <v>1.8184631352830882</v>
      </c>
      <c r="F414" s="1303">
        <v>6.5576379235795998E-2</v>
      </c>
      <c r="G414" s="1288">
        <v>5.7623151232128196E-2</v>
      </c>
      <c r="H414" s="1280">
        <v>0.54530143849815438</v>
      </c>
      <c r="I414" s="1303">
        <v>8.0185451962458201E-2</v>
      </c>
      <c r="J414" s="1288">
        <v>0.10018416573841264</v>
      </c>
      <c r="K414" s="1280">
        <v>0.94806633312747834</v>
      </c>
      <c r="L414" s="1330">
        <v>0.16916490525571387</v>
      </c>
    </row>
    <row r="415" spans="1:12" s="326" customFormat="1" ht="15.5" x14ac:dyDescent="0.35">
      <c r="A415" s="328" t="s">
        <v>1379</v>
      </c>
      <c r="B415" s="1287">
        <v>0.14008417067183881</v>
      </c>
      <c r="C415" s="1288">
        <v>0.18389676884250669</v>
      </c>
      <c r="D415" s="1288">
        <v>0.27000480302137914</v>
      </c>
      <c r="E415" s="1306">
        <v>1.90969017139202</v>
      </c>
      <c r="F415" s="1303">
        <v>5.8000540760686038E-2</v>
      </c>
      <c r="G415" s="1288">
        <v>5.7849316438147308E-2</v>
      </c>
      <c r="H415" s="1280">
        <v>0.54744169305805579</v>
      </c>
      <c r="I415" s="1303">
        <v>8.043748267750904E-2</v>
      </c>
      <c r="J415" s="1288">
        <v>0.1001172107801499</v>
      </c>
      <c r="K415" s="1280">
        <v>0.94743272260333022</v>
      </c>
      <c r="L415" s="1330">
        <v>0.16758300847986368</v>
      </c>
    </row>
    <row r="416" spans="1:12" s="326" customFormat="1" ht="15.5" x14ac:dyDescent="0.35">
      <c r="A416" s="328" t="s">
        <v>1380</v>
      </c>
      <c r="B416" s="1287">
        <v>0.13203986502588447</v>
      </c>
      <c r="C416" s="1288">
        <v>0.12651085471897855</v>
      </c>
      <c r="D416" s="1288">
        <v>0.27692096502810021</v>
      </c>
      <c r="E416" s="1306">
        <v>2.0686713118999172</v>
      </c>
      <c r="F416" s="1303">
        <v>6.4304227592227398E-2</v>
      </c>
      <c r="G416" s="1288">
        <v>5.6713933331554826E-2</v>
      </c>
      <c r="H416" s="1280">
        <v>0.53669729557140489</v>
      </c>
      <c r="I416" s="1303">
        <v>8.0368872214910028E-2</v>
      </c>
      <c r="J416" s="1288">
        <v>0.10052314277152745</v>
      </c>
      <c r="K416" s="1280">
        <v>0.95127415255114567</v>
      </c>
      <c r="L416" s="1330">
        <v>0.15695537692898703</v>
      </c>
    </row>
    <row r="417" spans="1:12" s="326" customFormat="1" ht="15.5" x14ac:dyDescent="0.35">
      <c r="A417" s="328" t="s">
        <v>1381</v>
      </c>
      <c r="B417" s="1287">
        <v>0.12444669839246542</v>
      </c>
      <c r="C417" s="1288">
        <v>0.12762127628849904</v>
      </c>
      <c r="D417" s="1288">
        <v>0.30373522910460132</v>
      </c>
      <c r="E417" s="1306">
        <v>2.0407485694175578</v>
      </c>
      <c r="F417" s="1303">
        <v>5.9068561311815204E-2</v>
      </c>
      <c r="G417" s="1288">
        <v>5.4817426934720456E-2</v>
      </c>
      <c r="H417" s="1280">
        <v>0.51875020930136195</v>
      </c>
      <c r="I417" s="1303">
        <v>7.8177905919675814E-2</v>
      </c>
      <c r="J417" s="1288">
        <v>9.7981725073549936E-2</v>
      </c>
      <c r="K417" s="1280">
        <v>0.9272241188945497</v>
      </c>
      <c r="L417" s="1330">
        <v>0.18593091095988976</v>
      </c>
    </row>
    <row r="418" spans="1:12" s="326" customFormat="1" ht="15.5" x14ac:dyDescent="0.35">
      <c r="A418" s="328" t="s">
        <v>1382</v>
      </c>
      <c r="B418" s="1287">
        <v>0.13346035868707809</v>
      </c>
      <c r="C418" s="1288">
        <v>0.17334330609460258</v>
      </c>
      <c r="D418" s="1288">
        <v>0.28719802968805219</v>
      </c>
      <c r="E418" s="1306">
        <v>1.8422337036280383</v>
      </c>
      <c r="F418" s="1303">
        <v>5.6751099431601663E-2</v>
      </c>
      <c r="G418" s="1288">
        <v>5.5044719750647245E-2</v>
      </c>
      <c r="H418" s="1280">
        <v>0.52090113469913979</v>
      </c>
      <c r="I418" s="1303">
        <v>7.7700362994545941E-2</v>
      </c>
      <c r="J418" s="1288">
        <v>9.8733713191422115E-2</v>
      </c>
      <c r="K418" s="1280">
        <v>0.93434035939235494</v>
      </c>
      <c r="L418" s="1330">
        <v>0.18593091095989542</v>
      </c>
    </row>
    <row r="419" spans="1:12" s="326" customFormat="1" ht="15.5" x14ac:dyDescent="0.35">
      <c r="A419" s="328" t="s">
        <v>1383</v>
      </c>
      <c r="B419" s="1287">
        <v>0.11189147596108978</v>
      </c>
      <c r="C419" s="1288">
        <v>0.11191629334612427</v>
      </c>
      <c r="D419" s="1288">
        <v>0.31628846494588397</v>
      </c>
      <c r="E419" s="1306">
        <v>2.0057067266396191</v>
      </c>
      <c r="F419" s="1303">
        <v>5.9455925686645997E-2</v>
      </c>
      <c r="G419" s="1288">
        <v>5.5054621040032933E-2</v>
      </c>
      <c r="H419" s="1280">
        <v>0.52099483293031168</v>
      </c>
      <c r="I419" s="1303">
        <v>7.5349697475196584E-2</v>
      </c>
      <c r="J419" s="1288">
        <v>9.6018656275295627E-2</v>
      </c>
      <c r="K419" s="1280">
        <v>0.90864713695812849</v>
      </c>
      <c r="L419" s="1330">
        <v>0.18593091095986575</v>
      </c>
    </row>
    <row r="420" spans="1:12" s="326" customFormat="1" ht="15.5" x14ac:dyDescent="0.35">
      <c r="A420" s="328" t="s">
        <v>1384</v>
      </c>
      <c r="B420" s="1287">
        <v>0.12044497502808442</v>
      </c>
      <c r="C420" s="1288">
        <v>0.16936864166980767</v>
      </c>
      <c r="D420" s="1288">
        <v>0.20941258675839577</v>
      </c>
      <c r="E420" s="1306">
        <v>1.9891440833415268</v>
      </c>
      <c r="F420" s="1303">
        <v>5.8647848283877896E-2</v>
      </c>
      <c r="G420" s="1288">
        <v>5.4248547007744334E-2</v>
      </c>
      <c r="H420" s="1280">
        <v>0.51336676469828646</v>
      </c>
      <c r="I420" s="1303">
        <v>7.2593341674828671E-2</v>
      </c>
      <c r="J420" s="1288">
        <v>9.4672106999079644E-2</v>
      </c>
      <c r="K420" s="1280">
        <v>0.89590442432217288</v>
      </c>
      <c r="L420" s="1330">
        <v>0.19094661057416895</v>
      </c>
    </row>
    <row r="421" spans="1:12" s="326" customFormat="1" ht="15.5" x14ac:dyDescent="0.35">
      <c r="A421" s="328" t="s">
        <v>1385</v>
      </c>
      <c r="B421" s="1287">
        <v>0.13192204198704738</v>
      </c>
      <c r="C421" s="1288">
        <v>0.15440689562970611</v>
      </c>
      <c r="D421" s="1288">
        <v>0.20961003000475528</v>
      </c>
      <c r="E421" s="1306">
        <v>1.9921758006228487</v>
      </c>
      <c r="F421" s="1303">
        <v>5.3804885016288287E-2</v>
      </c>
      <c r="G421" s="1288">
        <v>5.3235753334677401E-2</v>
      </c>
      <c r="H421" s="1280">
        <v>0.50378245986566039</v>
      </c>
      <c r="I421" s="1303">
        <v>6.8095063448570109E-2</v>
      </c>
      <c r="J421" s="1288">
        <v>9.0117919256841095E-2</v>
      </c>
      <c r="K421" s="1280">
        <v>0.85280707414378298</v>
      </c>
      <c r="L421" s="1330">
        <v>0.19094661057420181</v>
      </c>
    </row>
    <row r="422" spans="1:12" s="326" customFormat="1" ht="15.5" x14ac:dyDescent="0.35">
      <c r="A422" s="328" t="s">
        <v>1386</v>
      </c>
      <c r="B422" s="1287">
        <v>0.13536320175337466</v>
      </c>
      <c r="C422" s="1288">
        <v>0.13790510585116006</v>
      </c>
      <c r="D422" s="1288">
        <v>0.22614482107522355</v>
      </c>
      <c r="E422" s="1306">
        <v>1.7652343290145842</v>
      </c>
      <c r="F422" s="1303">
        <v>5.680108875946388E-2</v>
      </c>
      <c r="G422" s="1288">
        <v>5.13505154258624E-2</v>
      </c>
      <c r="H422" s="1280">
        <v>0.48594200994915382</v>
      </c>
      <c r="I422" s="1303">
        <v>6.8137439268672634E-2</v>
      </c>
      <c r="J422" s="1288">
        <v>8.9172767465397373E-2</v>
      </c>
      <c r="K422" s="1280">
        <v>0.8438628803526943</v>
      </c>
      <c r="L422" s="1330">
        <v>0.19094661057401791</v>
      </c>
    </row>
    <row r="423" spans="1:12" s="326" customFormat="1" ht="15.5" x14ac:dyDescent="0.35">
      <c r="A423" s="328" t="s">
        <v>1387</v>
      </c>
      <c r="B423" s="1287">
        <v>0.11513817792952631</v>
      </c>
      <c r="C423" s="1288">
        <v>0.17454464229926278</v>
      </c>
      <c r="D423" s="1288">
        <v>0.24722345174310745</v>
      </c>
      <c r="E423" s="1280">
        <v>1.7652343290145842</v>
      </c>
      <c r="F423" s="1303">
        <v>5.3635321723095951E-2</v>
      </c>
      <c r="G423" s="1288">
        <v>5.1284258869374141E-2</v>
      </c>
      <c r="H423" s="1280">
        <v>0.48531500856532739</v>
      </c>
      <c r="I423" s="1303">
        <v>6.4758073290209189E-2</v>
      </c>
      <c r="J423" s="1288">
        <v>8.6677971604826515E-2</v>
      </c>
      <c r="K423" s="1280">
        <v>0.82025404011332159</v>
      </c>
      <c r="L423" s="1330">
        <v>0.19094661057418866</v>
      </c>
    </row>
    <row r="424" spans="1:12" s="326" customFormat="1" ht="15.5" x14ac:dyDescent="0.35">
      <c r="A424" s="328" t="s">
        <v>1388</v>
      </c>
      <c r="B424" s="1287">
        <v>9.1986316998667703E-2</v>
      </c>
      <c r="C424" s="1288">
        <v>0.16122584491411004</v>
      </c>
      <c r="D424" s="1288">
        <v>0.24996915493535521</v>
      </c>
      <c r="E424" s="1280">
        <v>1.7652343290145842</v>
      </c>
      <c r="F424" s="1303">
        <v>5.2143990338707688E-2</v>
      </c>
      <c r="G424" s="1288">
        <v>4.8744197597207994E-2</v>
      </c>
      <c r="H424" s="1280">
        <v>0.46127781108534327</v>
      </c>
      <c r="I424" s="1303">
        <v>6.3116935534252877E-2</v>
      </c>
      <c r="J424" s="1288">
        <v>8.4453788297053467E-2</v>
      </c>
      <c r="K424" s="1280">
        <v>0.7992060701346162</v>
      </c>
      <c r="L424" s="1330">
        <v>0.17269091270465334</v>
      </c>
    </row>
    <row r="425" spans="1:12" s="326" customFormat="1" ht="15.5" x14ac:dyDescent="0.35">
      <c r="A425" s="328" t="s">
        <v>1389</v>
      </c>
      <c r="B425" s="1287">
        <v>9.7177645871301246E-2</v>
      </c>
      <c r="C425" s="1288">
        <v>0.18952986913934039</v>
      </c>
      <c r="D425" s="1288">
        <v>0.28445617692262232</v>
      </c>
      <c r="E425" s="1280">
        <v>1.7652343290145842</v>
      </c>
      <c r="F425" s="1303">
        <v>5.0537161860001539E-2</v>
      </c>
      <c r="G425" s="1288">
        <v>4.661597077469052E-2</v>
      </c>
      <c r="H425" s="1280">
        <v>0.44113789990460806</v>
      </c>
      <c r="I425" s="1303">
        <v>6.1530679487223829E-2</v>
      </c>
      <c r="J425" s="1288">
        <v>8.2262824924284397E-2</v>
      </c>
      <c r="K425" s="1280">
        <v>0.77847246821730898</v>
      </c>
      <c r="L425" s="1330">
        <v>0.17269162540194258</v>
      </c>
    </row>
    <row r="426" spans="1:12" s="326" customFormat="1" ht="15.5" x14ac:dyDescent="0.35">
      <c r="A426" s="328" t="s">
        <v>1390</v>
      </c>
      <c r="B426" s="1291">
        <v>9.7177645871301246E-2</v>
      </c>
      <c r="C426" s="1257">
        <v>0.18952986913934039</v>
      </c>
      <c r="D426" s="1257">
        <v>0.28445617692262232</v>
      </c>
      <c r="E426" s="1280">
        <v>1.7652343290145842</v>
      </c>
      <c r="F426" s="1271">
        <v>5.0537161860001539E-2</v>
      </c>
      <c r="G426" s="1257">
        <v>4.661597077469052E-2</v>
      </c>
      <c r="H426" s="1280">
        <v>0.44113789990460806</v>
      </c>
      <c r="I426" s="1271">
        <v>6.1530679487223829E-2</v>
      </c>
      <c r="J426" s="1257">
        <v>8.2262824924284397E-2</v>
      </c>
      <c r="K426" s="1280">
        <v>0.77847246821730898</v>
      </c>
      <c r="L426" s="1330">
        <v>0.18091730564934397</v>
      </c>
    </row>
    <row r="427" spans="1:12" s="326" customFormat="1" ht="15.5" x14ac:dyDescent="0.35">
      <c r="A427" s="328" t="s">
        <v>1391</v>
      </c>
      <c r="B427" s="1291">
        <v>0.15283745710968363</v>
      </c>
      <c r="C427" s="1257">
        <v>0.26769384240466937</v>
      </c>
      <c r="D427" s="1257">
        <v>0.16981939678853736</v>
      </c>
      <c r="E427" s="1280">
        <v>1.141780714307731</v>
      </c>
      <c r="F427" s="1271">
        <v>5.7308383704068384E-2</v>
      </c>
      <c r="G427" s="1257">
        <v>0.10377944659135237</v>
      </c>
      <c r="H427" s="1280">
        <v>0.98208932178728292</v>
      </c>
      <c r="I427" s="1271">
        <v>6.3539378310088088E-2</v>
      </c>
      <c r="J427" s="1257">
        <v>0.14093972792914797</v>
      </c>
      <c r="K427" s="1280">
        <v>1.3337458076824518</v>
      </c>
      <c r="L427" s="1237">
        <v>0.17034470726269224</v>
      </c>
    </row>
    <row r="428" spans="1:12" s="326" customFormat="1" ht="15.5" x14ac:dyDescent="0.35">
      <c r="A428" s="328" t="s">
        <v>1392</v>
      </c>
      <c r="B428" s="1291">
        <v>0.15283745710968363</v>
      </c>
      <c r="C428" s="1257">
        <v>0.26769384240466937</v>
      </c>
      <c r="D428" s="1257">
        <v>0.16981939678853736</v>
      </c>
      <c r="E428" s="1280">
        <v>1.141780714307731</v>
      </c>
      <c r="F428" s="1271">
        <v>5.7308383704068384E-2</v>
      </c>
      <c r="G428" s="1257">
        <v>0.10377944659135237</v>
      </c>
      <c r="H428" s="1280">
        <v>0.98208932178728292</v>
      </c>
      <c r="I428" s="1271">
        <v>6.3539378310088088E-2</v>
      </c>
      <c r="J428" s="1257">
        <v>0.14093972792914797</v>
      </c>
      <c r="K428" s="1280">
        <v>1.3337458076824518</v>
      </c>
      <c r="L428" s="1237">
        <v>0.17034470726269224</v>
      </c>
    </row>
    <row r="429" spans="1:12" s="326" customFormat="1" ht="15.5" x14ac:dyDescent="0.35">
      <c r="A429" s="328" t="s">
        <v>1393</v>
      </c>
      <c r="B429" s="1291">
        <v>0.15283745710968363</v>
      </c>
      <c r="C429" s="1257">
        <v>0.26769384240466937</v>
      </c>
      <c r="D429" s="1257">
        <v>0.16981939678853736</v>
      </c>
      <c r="E429" s="1280">
        <v>1.141780714307731</v>
      </c>
      <c r="F429" s="1271">
        <v>5.7308383704068384E-2</v>
      </c>
      <c r="G429" s="1257">
        <v>0.10377944659135237</v>
      </c>
      <c r="H429" s="1280">
        <v>0.98208932178728292</v>
      </c>
      <c r="I429" s="1271">
        <v>6.3539378310088088E-2</v>
      </c>
      <c r="J429" s="1257">
        <v>0.14093972792914797</v>
      </c>
      <c r="K429" s="1280">
        <v>1.3337458076824518</v>
      </c>
      <c r="L429" s="1237">
        <v>0.17034470726269224</v>
      </c>
    </row>
    <row r="430" spans="1:12" s="326" customFormat="1" ht="15.5" x14ac:dyDescent="0.35">
      <c r="A430" s="328" t="s">
        <v>1394</v>
      </c>
      <c r="B430" s="1291">
        <v>0.15283745710968363</v>
      </c>
      <c r="C430" s="1257">
        <v>0.26769384240466937</v>
      </c>
      <c r="D430" s="1257">
        <v>0.16981939678853736</v>
      </c>
      <c r="E430" s="1280">
        <v>1.141780714307731</v>
      </c>
      <c r="F430" s="1271">
        <v>5.7308383704068384E-2</v>
      </c>
      <c r="G430" s="1257">
        <v>0.10377944659135237</v>
      </c>
      <c r="H430" s="1280">
        <v>0.98208932178728292</v>
      </c>
      <c r="I430" s="1271">
        <v>6.3539378310088088E-2</v>
      </c>
      <c r="J430" s="1257">
        <v>0.14093972792914797</v>
      </c>
      <c r="K430" s="1280">
        <v>1.3337458076824518</v>
      </c>
      <c r="L430" s="1237">
        <v>0.17034470726269224</v>
      </c>
    </row>
    <row r="431" spans="1:12" s="326" customFormat="1" ht="15.5" x14ac:dyDescent="0.35">
      <c r="A431" s="328" t="s">
        <v>1395</v>
      </c>
      <c r="B431" s="1291">
        <v>0.15283745710968363</v>
      </c>
      <c r="C431" s="1257">
        <v>0.26769384240466937</v>
      </c>
      <c r="D431" s="1257">
        <v>0.16981939678853736</v>
      </c>
      <c r="E431" s="1280">
        <v>1.141780714307731</v>
      </c>
      <c r="F431" s="1271">
        <v>5.7308383704068384E-2</v>
      </c>
      <c r="G431" s="1257">
        <v>0.10377944659135237</v>
      </c>
      <c r="H431" s="1280">
        <v>0.98208932178728292</v>
      </c>
      <c r="I431" s="1271">
        <v>6.3539378310088088E-2</v>
      </c>
      <c r="J431" s="1257">
        <v>0.14093972792914797</v>
      </c>
      <c r="K431" s="1280">
        <v>1.3337458076824518</v>
      </c>
      <c r="L431" s="1237">
        <v>0.17034470726269224</v>
      </c>
    </row>
    <row r="432" spans="1:12" s="326" customFormat="1" ht="15.5" x14ac:dyDescent="0.35">
      <c r="A432" s="328" t="s">
        <v>1396</v>
      </c>
      <c r="B432" s="1291">
        <v>0.15283745710968363</v>
      </c>
      <c r="C432" s="1257">
        <v>0.26769384240466937</v>
      </c>
      <c r="D432" s="1257">
        <v>0.16981939678853736</v>
      </c>
      <c r="E432" s="1280">
        <v>1.141780714307731</v>
      </c>
      <c r="F432" s="1271">
        <v>5.7308383704068384E-2</v>
      </c>
      <c r="G432" s="1257">
        <v>0.10377944659135237</v>
      </c>
      <c r="H432" s="1280">
        <v>0.98208932178728292</v>
      </c>
      <c r="I432" s="1271">
        <v>6.3539378310088088E-2</v>
      </c>
      <c r="J432" s="1257">
        <v>0.14093972792914797</v>
      </c>
      <c r="K432" s="1280">
        <v>1.3337458076824518</v>
      </c>
      <c r="L432" s="1237">
        <v>0.17034470726269224</v>
      </c>
    </row>
    <row r="433" spans="1:12" s="326" customFormat="1" ht="15.5" x14ac:dyDescent="0.35">
      <c r="A433" s="328" t="s">
        <v>1397</v>
      </c>
      <c r="B433" s="1291">
        <v>0.15283745710968363</v>
      </c>
      <c r="C433" s="1257">
        <v>0.26769384240466937</v>
      </c>
      <c r="D433" s="1257">
        <v>0.16981939678853736</v>
      </c>
      <c r="E433" s="1280">
        <v>1.141780714307731</v>
      </c>
      <c r="F433" s="1271">
        <v>5.7308383704068384E-2</v>
      </c>
      <c r="G433" s="1257">
        <v>0.10377944659135237</v>
      </c>
      <c r="H433" s="1280">
        <v>0.98208932178728292</v>
      </c>
      <c r="I433" s="1271">
        <v>6.3539378310088088E-2</v>
      </c>
      <c r="J433" s="1257">
        <v>0.14093972792914797</v>
      </c>
      <c r="K433" s="1280">
        <v>1.3337458076824518</v>
      </c>
      <c r="L433" s="1237">
        <v>0.17034470726269224</v>
      </c>
    </row>
    <row r="434" spans="1:12" s="326" customFormat="1" ht="15.5" x14ac:dyDescent="0.35">
      <c r="A434" s="328" t="s">
        <v>1398</v>
      </c>
      <c r="B434" s="1291">
        <v>0.15283745710968363</v>
      </c>
      <c r="C434" s="1257">
        <v>0.26769384240466937</v>
      </c>
      <c r="D434" s="1257">
        <v>0.16981939678853736</v>
      </c>
      <c r="E434" s="1280">
        <v>1.141780714307731</v>
      </c>
      <c r="F434" s="1271">
        <v>5.7308383704068384E-2</v>
      </c>
      <c r="G434" s="1257">
        <v>0.10377944659135237</v>
      </c>
      <c r="H434" s="1280">
        <v>0.98208932178728292</v>
      </c>
      <c r="I434" s="1271">
        <v>6.3539378310088088E-2</v>
      </c>
      <c r="J434" s="1257">
        <v>0.14093972792914797</v>
      </c>
      <c r="K434" s="1280">
        <v>1.3337458076824518</v>
      </c>
      <c r="L434" s="1237">
        <v>0.17034470726269224</v>
      </c>
    </row>
    <row r="435" spans="1:12" s="326" customFormat="1" ht="15.5" x14ac:dyDescent="0.35">
      <c r="A435" s="328" t="s">
        <v>1399</v>
      </c>
      <c r="B435" s="1291">
        <v>0.15283745710968363</v>
      </c>
      <c r="C435" s="1257">
        <v>0.26769384240466937</v>
      </c>
      <c r="D435" s="1257">
        <v>0.16981939678853736</v>
      </c>
      <c r="E435" s="1280">
        <v>1.141780714307731</v>
      </c>
      <c r="F435" s="1303">
        <v>5.7308383704068384E-2</v>
      </c>
      <c r="G435" s="1288">
        <v>0.10377944659135237</v>
      </c>
      <c r="H435" s="1280">
        <v>0.98208932178728292</v>
      </c>
      <c r="I435" s="1271">
        <v>6.3539378310088088E-2</v>
      </c>
      <c r="J435" s="1288">
        <v>0.14093972792914797</v>
      </c>
      <c r="K435" s="1280">
        <v>1.3337458076824518</v>
      </c>
      <c r="L435" s="1237">
        <v>0.17034470726269224</v>
      </c>
    </row>
    <row r="436" spans="1:12" s="326" customFormat="1" ht="15.5" x14ac:dyDescent="0.35">
      <c r="A436" s="328" t="s">
        <v>1400</v>
      </c>
      <c r="B436" s="1291">
        <v>0.15283745710968363</v>
      </c>
      <c r="C436" s="1257">
        <v>0.26769384240466937</v>
      </c>
      <c r="D436" s="1257">
        <v>0.16981939678853736</v>
      </c>
      <c r="E436" s="1280">
        <v>1.141780714307731</v>
      </c>
      <c r="F436" s="1303">
        <v>5.7611617663332261E-2</v>
      </c>
      <c r="G436" s="1288">
        <v>0.11164451813054677</v>
      </c>
      <c r="H436" s="1280">
        <v>1.0565183443677477</v>
      </c>
      <c r="I436" s="1271">
        <v>6.3539378310088088E-2</v>
      </c>
      <c r="J436" s="1288">
        <v>0.14924235728095916</v>
      </c>
      <c r="K436" s="1280">
        <v>1.4123155427984886</v>
      </c>
      <c r="L436" s="1237">
        <v>0.17034470726269224</v>
      </c>
    </row>
    <row r="437" spans="1:12" s="326" customFormat="1" ht="15.5" x14ac:dyDescent="0.35">
      <c r="A437" s="328" t="s">
        <v>1401</v>
      </c>
      <c r="B437" s="1291">
        <v>0.15283745710968363</v>
      </c>
      <c r="C437" s="1257">
        <v>0.26769384240466937</v>
      </c>
      <c r="D437" s="1257">
        <v>0.16981939678853736</v>
      </c>
      <c r="E437" s="1280">
        <v>1.141780714307731</v>
      </c>
      <c r="F437" s="1303">
        <v>5.7770825035935953E-2</v>
      </c>
      <c r="G437" s="1288">
        <v>0.10535140585638088</v>
      </c>
      <c r="H437" s="1280">
        <v>0.99696514218501608</v>
      </c>
      <c r="I437" s="1271">
        <v>6.3539378310088088E-2</v>
      </c>
      <c r="J437" s="1288">
        <v>0.1412881105809928</v>
      </c>
      <c r="K437" s="1280">
        <v>1.3370426346892481</v>
      </c>
      <c r="L437" s="1237">
        <v>0.17034470726269224</v>
      </c>
    </row>
    <row r="438" spans="1:12" s="326" customFormat="1" ht="15.5" x14ac:dyDescent="0.35">
      <c r="A438" s="328" t="s">
        <v>1402</v>
      </c>
      <c r="B438" s="1291">
        <v>0.15283745710968363</v>
      </c>
      <c r="C438" s="1257">
        <v>0.26769384240466937</v>
      </c>
      <c r="D438" s="1257">
        <v>0.16981939678853736</v>
      </c>
      <c r="E438" s="1280">
        <v>1.141780714307731</v>
      </c>
      <c r="F438" s="1303">
        <v>5.7062251034104672E-2</v>
      </c>
      <c r="G438" s="1288">
        <v>0.1089767123878308</v>
      </c>
      <c r="H438" s="1280">
        <v>1.0312722709054283</v>
      </c>
      <c r="I438" s="1303">
        <v>6.3539378310088088E-2</v>
      </c>
      <c r="J438" s="1288">
        <v>0.13960973975547467</v>
      </c>
      <c r="K438" s="1280">
        <v>1.3211598166565874</v>
      </c>
      <c r="L438" s="1237">
        <v>0.17034470726269224</v>
      </c>
    </row>
    <row r="439" spans="1:12" s="326" customFormat="1" ht="15.5" x14ac:dyDescent="0.35">
      <c r="A439" s="328" t="s">
        <v>1403</v>
      </c>
      <c r="B439" s="1291">
        <v>0.15283745710968363</v>
      </c>
      <c r="C439" s="1257">
        <v>0.26769384240466937</v>
      </c>
      <c r="D439" s="1257">
        <v>0.16981939678853736</v>
      </c>
      <c r="E439" s="1280">
        <v>1.141780714307731</v>
      </c>
      <c r="F439" s="1303">
        <v>5.6907704646849917E-2</v>
      </c>
      <c r="G439" s="1288">
        <v>0.10393775017490474</v>
      </c>
      <c r="H439" s="1280">
        <v>0.9835873858463412</v>
      </c>
      <c r="I439" s="1303">
        <v>6.2871457232513805E-2</v>
      </c>
      <c r="J439" s="1288">
        <v>0.14590355628552823</v>
      </c>
      <c r="K439" s="1280">
        <v>1.3807196833784916</v>
      </c>
      <c r="L439" s="1237">
        <v>0.17034470726269224</v>
      </c>
    </row>
    <row r="440" spans="1:12" s="326" customFormat="1" ht="15.5" x14ac:dyDescent="0.35">
      <c r="A440" s="328" t="s">
        <v>1404</v>
      </c>
      <c r="B440" s="1291">
        <v>0.15283745710968363</v>
      </c>
      <c r="C440" s="1257">
        <v>0.26769384240466937</v>
      </c>
      <c r="D440" s="1257">
        <v>0.16981939678853736</v>
      </c>
      <c r="E440" s="1280">
        <v>1.141780714307731</v>
      </c>
      <c r="F440" s="1303">
        <v>5.5670433848695119E-2</v>
      </c>
      <c r="G440" s="1288">
        <v>0.10711273462757755</v>
      </c>
      <c r="H440" s="1280">
        <v>1.0136330107771492</v>
      </c>
      <c r="I440" s="1303">
        <v>6.4480478890456286E-2</v>
      </c>
      <c r="J440" s="1288">
        <v>0.14486166770825035</v>
      </c>
      <c r="K440" s="1280">
        <v>1.3708600466214571</v>
      </c>
      <c r="L440" s="1237">
        <v>0.17034470726269224</v>
      </c>
    </row>
    <row r="441" spans="1:12" s="326" customFormat="1" ht="15.5" x14ac:dyDescent="0.35">
      <c r="A441" s="328" t="s">
        <v>1405</v>
      </c>
      <c r="B441" s="1291">
        <v>0.15283745710968363</v>
      </c>
      <c r="C441" s="1257">
        <v>0.26769384240466937</v>
      </c>
      <c r="D441" s="1257">
        <v>0.16981939678853736</v>
      </c>
      <c r="E441" s="1280">
        <v>1.141780714307731</v>
      </c>
      <c r="F441" s="1303">
        <v>5.6488870991249926E-2</v>
      </c>
      <c r="G441" s="1288">
        <v>0.104773925497452</v>
      </c>
      <c r="H441" s="1280">
        <v>0.99150030967074065</v>
      </c>
      <c r="I441" s="1303">
        <v>6.4575779742271577E-2</v>
      </c>
      <c r="J441" s="1288">
        <v>0.14239441656120388</v>
      </c>
      <c r="K441" s="1280">
        <v>1.3475118684872749</v>
      </c>
      <c r="L441" s="1237">
        <v>0.17034470726269224</v>
      </c>
    </row>
    <row r="442" spans="1:12" s="326" customFormat="1" ht="15.5" x14ac:dyDescent="0.35">
      <c r="A442" s="328" t="s">
        <v>1406</v>
      </c>
      <c r="B442" s="1291">
        <v>0.15283745710968363</v>
      </c>
      <c r="C442" s="1257">
        <v>0.26769384240466937</v>
      </c>
      <c r="D442" s="1257">
        <v>0.16981939678853736</v>
      </c>
      <c r="E442" s="1280">
        <v>1.141780714307731</v>
      </c>
      <c r="F442" s="1303">
        <v>5.7094374379654277E-2</v>
      </c>
      <c r="G442" s="1288">
        <v>9.9721816368201877E-2</v>
      </c>
      <c r="H442" s="1280">
        <v>0.9436910122490868</v>
      </c>
      <c r="I442" s="1303">
        <v>6.3231531090917698E-2</v>
      </c>
      <c r="J442" s="1288">
        <v>0.14114422818918945</v>
      </c>
      <c r="K442" s="1280">
        <v>1.3356810417609324</v>
      </c>
      <c r="L442" s="1237">
        <v>0.17034470726269224</v>
      </c>
    </row>
    <row r="443" spans="1:12" s="326" customFormat="1" ht="15.5" x14ac:dyDescent="0.35">
      <c r="A443" s="328" t="s">
        <v>1407</v>
      </c>
      <c r="B443" s="1291">
        <v>0.15283745710968363</v>
      </c>
      <c r="C443" s="1257">
        <v>0.26769384240466937</v>
      </c>
      <c r="D443" s="1257">
        <v>0.16981939678853736</v>
      </c>
      <c r="E443" s="1280">
        <v>1.141780714307731</v>
      </c>
      <c r="F443" s="1303">
        <v>5.7388085943575286E-2</v>
      </c>
      <c r="G443" s="1288">
        <v>9.5647834161414383E-2</v>
      </c>
      <c r="H443" s="1280">
        <v>0.90513796004220815</v>
      </c>
      <c r="I443" s="1303">
        <v>6.281077029144401E-2</v>
      </c>
      <c r="J443" s="1288">
        <v>0.140398390902814</v>
      </c>
      <c r="K443" s="1280">
        <v>1.3286230080288355</v>
      </c>
      <c r="L443" s="1237">
        <v>0.17034470726269224</v>
      </c>
    </row>
    <row r="444" spans="1:12" s="326" customFormat="1" ht="15.5" x14ac:dyDescent="0.35">
      <c r="A444" s="328" t="s">
        <v>1408</v>
      </c>
      <c r="B444" s="1291">
        <v>0.15283745710968363</v>
      </c>
      <c r="C444" s="1257">
        <v>0.26769384240466937</v>
      </c>
      <c r="D444" s="1257">
        <v>0.16981939678853736</v>
      </c>
      <c r="E444" s="1280">
        <v>1.141780714307731</v>
      </c>
      <c r="F444" s="1303">
        <v>5.7257897685235169E-2</v>
      </c>
      <c r="G444" s="1288">
        <v>9.2162631081561253E-2</v>
      </c>
      <c r="H444" s="1280">
        <v>0.87215666324977448</v>
      </c>
      <c r="I444" s="1303">
        <v>6.2184070415725878E-2</v>
      </c>
      <c r="J444" s="1288">
        <v>0.13280221544393037</v>
      </c>
      <c r="K444" s="1280">
        <v>1.2567386123260176</v>
      </c>
      <c r="L444" s="1237">
        <v>0.17034470726269224</v>
      </c>
    </row>
    <row r="445" spans="1:12" s="326" customFormat="1" ht="15.5" x14ac:dyDescent="0.35">
      <c r="A445" s="328" t="s">
        <v>1409</v>
      </c>
      <c r="B445" s="1291">
        <v>0.15283745710968363</v>
      </c>
      <c r="C445" s="1257">
        <v>0.26769384240466937</v>
      </c>
      <c r="D445" s="1257">
        <v>0.16981939678853736</v>
      </c>
      <c r="E445" s="1280">
        <v>1.141780714307731</v>
      </c>
      <c r="F445" s="1303">
        <v>5.7328032980228247E-2</v>
      </c>
      <c r="G445" s="1288">
        <v>9.0154691699208034E-2</v>
      </c>
      <c r="H445" s="1280">
        <v>0.85315506041824074</v>
      </c>
      <c r="I445" s="1303">
        <v>6.2312208682217228E-2</v>
      </c>
      <c r="J445" s="1288">
        <v>0.13125281136644693</v>
      </c>
      <c r="K445" s="1280">
        <v>1.2420762369751264</v>
      </c>
      <c r="L445" s="1237">
        <v>0.17034470726269224</v>
      </c>
    </row>
    <row r="446" spans="1:12" s="326" customFormat="1" ht="15.5" x14ac:dyDescent="0.35">
      <c r="A446" s="328" t="s">
        <v>1410</v>
      </c>
      <c r="B446" s="1291">
        <v>0.15283745710968363</v>
      </c>
      <c r="C446" s="1257">
        <v>0.26769384240466937</v>
      </c>
      <c r="D446" s="1257">
        <v>0.16981939678853736</v>
      </c>
      <c r="E446" s="1280">
        <v>1.141780714307731</v>
      </c>
      <c r="F446" s="1303">
        <v>5.7650083502412693E-2</v>
      </c>
      <c r="G446" s="1288">
        <v>8.9421105043778717E-2</v>
      </c>
      <c r="H446" s="1280">
        <v>0.84621295728928825</v>
      </c>
      <c r="I446" s="1303">
        <v>6.2384431559391988E-2</v>
      </c>
      <c r="J446" s="1288">
        <v>0.13334437262150708</v>
      </c>
      <c r="K446" s="1280">
        <v>1.2618691732638208</v>
      </c>
      <c r="L446" s="1237">
        <v>0.17034470726269224</v>
      </c>
    </row>
    <row r="447" spans="1:12" s="326" customFormat="1" ht="15.5" x14ac:dyDescent="0.35">
      <c r="A447" s="328" t="s">
        <v>1411</v>
      </c>
      <c r="B447" s="1291">
        <v>0.15283745710968363</v>
      </c>
      <c r="C447" s="1257">
        <v>0.26769384240466937</v>
      </c>
      <c r="D447" s="1257">
        <v>0.16981939678853736</v>
      </c>
      <c r="E447" s="1280">
        <v>1.141780714307731</v>
      </c>
      <c r="F447" s="1303">
        <v>5.7627924464049324E-2</v>
      </c>
      <c r="G447" s="1288">
        <v>8.7743818054187767E-2</v>
      </c>
      <c r="H447" s="1280">
        <v>0.83034039585102692</v>
      </c>
      <c r="I447" s="1303">
        <v>6.3351945810985189E-2</v>
      </c>
      <c r="J447" s="1288">
        <v>0.13204556093734243</v>
      </c>
      <c r="K447" s="1280">
        <v>1.2495782126938215</v>
      </c>
      <c r="L447" s="1237">
        <v>0.17034470726269224</v>
      </c>
    </row>
    <row r="448" spans="1:12" s="326" customFormat="1" ht="15.5" x14ac:dyDescent="0.35">
      <c r="A448" s="328" t="s">
        <v>1412</v>
      </c>
      <c r="B448" s="1291">
        <v>0.15283745710968363</v>
      </c>
      <c r="C448" s="1257">
        <v>0.26769384240466937</v>
      </c>
      <c r="D448" s="1257">
        <v>0.16981939678853736</v>
      </c>
      <c r="E448" s="1280">
        <v>1.141780714307731</v>
      </c>
      <c r="F448" s="1303">
        <v>5.7610445674471343E-2</v>
      </c>
      <c r="G448" s="1288">
        <v>8.4004798901874511E-2</v>
      </c>
      <c r="H448" s="1280">
        <v>0.79495717784347431</v>
      </c>
      <c r="I448" s="1303">
        <v>6.3418519777333565E-2</v>
      </c>
      <c r="J448" s="1288">
        <v>0.13253389281102151</v>
      </c>
      <c r="K448" s="1280">
        <v>1.2541994121160638</v>
      </c>
      <c r="L448" s="1237">
        <v>0.17034470726269224</v>
      </c>
    </row>
    <row r="449" spans="1:12" s="326" customFormat="1" ht="15.5" x14ac:dyDescent="0.35">
      <c r="A449" s="328" t="s">
        <v>1413</v>
      </c>
      <c r="B449" s="1291">
        <v>0.15283745710968363</v>
      </c>
      <c r="C449" s="1257">
        <v>0.26769384240466937</v>
      </c>
      <c r="D449" s="1257">
        <v>0.16981939678853736</v>
      </c>
      <c r="E449" s="1280">
        <v>1.141780714307731</v>
      </c>
      <c r="F449" s="1303">
        <v>5.7791992496197327E-2</v>
      </c>
      <c r="G449" s="1288">
        <v>7.9292575800170684E-2</v>
      </c>
      <c r="H449" s="1280">
        <v>0.75036430187367398</v>
      </c>
      <c r="I449" s="1303">
        <v>6.3619916127300349E-2</v>
      </c>
      <c r="J449" s="1288">
        <v>0.1317335043461304</v>
      </c>
      <c r="K449" s="1280">
        <v>1.2466251477461017</v>
      </c>
      <c r="L449" s="1237">
        <v>0.17034470726269224</v>
      </c>
    </row>
    <row r="450" spans="1:12" s="326" customFormat="1" ht="15.5" x14ac:dyDescent="0.35">
      <c r="A450" s="328" t="s">
        <v>1414</v>
      </c>
      <c r="B450" s="1291">
        <v>0.15283745710968363</v>
      </c>
      <c r="C450" s="1257">
        <v>0.26769384240466937</v>
      </c>
      <c r="D450" s="1257">
        <v>0.16981939678853736</v>
      </c>
      <c r="E450" s="1280">
        <v>1.141780714307731</v>
      </c>
      <c r="F450" s="1303">
        <v>5.706942103713173E-2</v>
      </c>
      <c r="G450" s="1288">
        <v>7.1995827825057493E-2</v>
      </c>
      <c r="H450" s="1280">
        <v>0.68131345890330142</v>
      </c>
      <c r="I450" s="1303">
        <v>6.3119374900966113E-2</v>
      </c>
      <c r="J450" s="1288">
        <v>0.13135587772194288</v>
      </c>
      <c r="K450" s="1280">
        <v>1.2430515781480918</v>
      </c>
      <c r="L450" s="1237">
        <v>0.17034470726269224</v>
      </c>
    </row>
    <row r="451" spans="1:12" s="326" customFormat="1" ht="15.5" x14ac:dyDescent="0.35">
      <c r="A451" s="328" t="s">
        <v>1415</v>
      </c>
      <c r="B451" s="1291">
        <v>0.15283745710968363</v>
      </c>
      <c r="C451" s="1257">
        <v>0.26769384240466937</v>
      </c>
      <c r="D451" s="1257">
        <v>0.16981939678853736</v>
      </c>
      <c r="E451" s="1280">
        <v>1.141780714307731</v>
      </c>
      <c r="F451" s="1303">
        <v>5.7277283932223165E-2</v>
      </c>
      <c r="G451" s="1288">
        <v>7.63639160039076E-2</v>
      </c>
      <c r="H451" s="1280">
        <v>0.72264970512521387</v>
      </c>
      <c r="I451" s="1303">
        <v>6.3330461656766535E-2</v>
      </c>
      <c r="J451" s="1288">
        <v>0.13091170198205754</v>
      </c>
      <c r="K451" s="1280">
        <v>1.238848238609618</v>
      </c>
      <c r="L451" s="1237">
        <v>0.17034470726269224</v>
      </c>
    </row>
    <row r="452" spans="1:12" s="326" customFormat="1" ht="15.5" x14ac:dyDescent="0.35">
      <c r="A452" s="328" t="s">
        <v>1416</v>
      </c>
      <c r="B452" s="1291">
        <v>0.15283745710968363</v>
      </c>
      <c r="C452" s="1257">
        <v>0.26769384240466937</v>
      </c>
      <c r="D452" s="1257">
        <v>0.16981939678853736</v>
      </c>
      <c r="E452" s="1280">
        <v>1.141780714307731</v>
      </c>
      <c r="F452" s="1303">
        <v>5.7442885395408608E-2</v>
      </c>
      <c r="G452" s="1288">
        <v>7.4251636280017519E-2</v>
      </c>
      <c r="H452" s="1280">
        <v>0.70266070509104828</v>
      </c>
      <c r="I452" s="1303">
        <v>6.3490165859863654E-2</v>
      </c>
      <c r="J452" s="1288">
        <v>0.12992183045093014</v>
      </c>
      <c r="K452" s="1280">
        <v>1.2294808513996109</v>
      </c>
      <c r="L452" s="1237">
        <v>0.17034470726269224</v>
      </c>
    </row>
    <row r="453" spans="1:12" s="326" customFormat="1" ht="15.5" x14ac:dyDescent="0.35">
      <c r="A453" s="328" t="s">
        <v>1417</v>
      </c>
      <c r="B453" s="1291">
        <v>0.15283745710968363</v>
      </c>
      <c r="C453" s="1257">
        <v>0.26769384240466937</v>
      </c>
      <c r="D453" s="1257">
        <v>0.16981939678853736</v>
      </c>
      <c r="E453" s="1280">
        <v>1.141780714307731</v>
      </c>
      <c r="F453" s="1303">
        <v>5.756709320136965E-2</v>
      </c>
      <c r="G453" s="1288">
        <v>7.3859751352880532E-2</v>
      </c>
      <c r="H453" s="1280">
        <v>0.69895220581733264</v>
      </c>
      <c r="I453" s="1303">
        <v>6.3693109837388226E-2</v>
      </c>
      <c r="J453" s="1288">
        <v>0.12812113371922998</v>
      </c>
      <c r="K453" s="1280">
        <v>1.2124404345341837</v>
      </c>
      <c r="L453" s="1237">
        <v>0.17034470726269224</v>
      </c>
    </row>
    <row r="454" spans="1:12" s="326" customFormat="1" ht="15.5" x14ac:dyDescent="0.35">
      <c r="A454" s="328" t="s">
        <v>1418</v>
      </c>
      <c r="B454" s="1291">
        <v>0.15283745710968363</v>
      </c>
      <c r="C454" s="1257">
        <v>0.26769384240466937</v>
      </c>
      <c r="D454" s="1257">
        <v>0.16981939678853736</v>
      </c>
      <c r="E454" s="1280">
        <v>1.141780714307731</v>
      </c>
      <c r="F454" s="1303">
        <v>5.7498803670263859E-2</v>
      </c>
      <c r="G454" s="1288">
        <v>6.9600017273659179E-2</v>
      </c>
      <c r="H454" s="1280">
        <v>0.65864133993528939</v>
      </c>
      <c r="I454" s="1303">
        <v>6.3823914420828132E-2</v>
      </c>
      <c r="J454" s="1288">
        <v>0.12872964664640843</v>
      </c>
      <c r="K454" s="1280">
        <v>1.2181989355435856</v>
      </c>
      <c r="L454" s="1237">
        <v>0.17034470726269224</v>
      </c>
    </row>
    <row r="455" spans="1:12" s="326" customFormat="1" ht="15.5" x14ac:dyDescent="0.35">
      <c r="A455" s="328" t="s">
        <v>1419</v>
      </c>
      <c r="B455" s="1291">
        <v>0.15283745710968363</v>
      </c>
      <c r="C455" s="1257">
        <v>0.26769384240466937</v>
      </c>
      <c r="D455" s="1257">
        <v>0.16981939678853736</v>
      </c>
      <c r="E455" s="1280">
        <v>1.141780714307731</v>
      </c>
      <c r="F455" s="1303">
        <v>5.7511048151215133E-2</v>
      </c>
      <c r="G455" s="1288">
        <v>6.8527872120948005E-2</v>
      </c>
      <c r="H455" s="1280">
        <v>0.64849537808573587</v>
      </c>
      <c r="I455" s="1303">
        <v>6.3570221433003699E-2</v>
      </c>
      <c r="J455" s="1288">
        <v>0.12868756933669379</v>
      </c>
      <c r="K455" s="1280">
        <v>1.2178007480612123</v>
      </c>
      <c r="L455" s="1237">
        <v>0.17034470726269224</v>
      </c>
    </row>
    <row r="456" spans="1:12" s="326" customFormat="1" ht="15.5" x14ac:dyDescent="0.35">
      <c r="A456" s="328" t="s">
        <v>1420</v>
      </c>
      <c r="B456" s="1291">
        <v>0.15283745710968363</v>
      </c>
      <c r="C456" s="1257">
        <v>0.26769384240466937</v>
      </c>
      <c r="D456" s="1257">
        <v>0.16981939678853736</v>
      </c>
      <c r="E456" s="1280">
        <v>1.141780714307731</v>
      </c>
      <c r="F456" s="1303">
        <v>5.7340168566686014E-2</v>
      </c>
      <c r="G456" s="1288">
        <v>7.4220536668114942E-2</v>
      </c>
      <c r="H456" s="1280">
        <v>0.70236640214605817</v>
      </c>
      <c r="I456" s="1303">
        <v>6.3108856227067078E-2</v>
      </c>
      <c r="J456" s="1288">
        <v>0.12932616530736751</v>
      </c>
      <c r="K456" s="1280">
        <v>1.2238439319895735</v>
      </c>
      <c r="L456" s="1237">
        <v>0.17034470726269224</v>
      </c>
    </row>
    <row r="457" spans="1:12" s="326" customFormat="1" ht="15.5" x14ac:dyDescent="0.35">
      <c r="A457" s="328" t="s">
        <v>1421</v>
      </c>
      <c r="B457" s="1291">
        <v>0.15283745710968363</v>
      </c>
      <c r="C457" s="1257">
        <v>0.26769384240466937</v>
      </c>
      <c r="D457" s="1257">
        <v>0.16981939678853736</v>
      </c>
      <c r="E457" s="1280">
        <v>1.141780714307731</v>
      </c>
      <c r="F457" s="1303">
        <v>5.7478306891011334E-2</v>
      </c>
      <c r="G457" s="1288">
        <v>7.2713427390219507E-2</v>
      </c>
      <c r="H457" s="1280">
        <v>0.68810427243538619</v>
      </c>
      <c r="I457" s="1303">
        <v>6.3491906678100868E-2</v>
      </c>
      <c r="J457" s="1288">
        <v>0.12945309318594297</v>
      </c>
      <c r="K457" s="1280">
        <v>1.2250450803699162</v>
      </c>
      <c r="L457" s="1237">
        <v>0.17034470726269224</v>
      </c>
    </row>
    <row r="458" spans="1:12" s="326" customFormat="1" ht="15.5" x14ac:dyDescent="0.35">
      <c r="A458" s="328" t="s">
        <v>1422</v>
      </c>
      <c r="B458" s="1291">
        <v>0.15283745710968363</v>
      </c>
      <c r="C458" s="1257">
        <v>0.26769384240466937</v>
      </c>
      <c r="D458" s="1257">
        <v>0.16981939678853736</v>
      </c>
      <c r="E458" s="1280">
        <v>1.141780714307731</v>
      </c>
      <c r="F458" s="1303">
        <v>5.726649275665617E-2</v>
      </c>
      <c r="G458" s="1288">
        <v>7.144447111672704E-2</v>
      </c>
      <c r="H458" s="1280">
        <v>0.67609584064138017</v>
      </c>
      <c r="I458" s="1303">
        <v>6.3445524830023761E-2</v>
      </c>
      <c r="J458" s="1288">
        <v>0.12931157682967268</v>
      </c>
      <c r="K458" s="1280">
        <v>1.2237058777925642</v>
      </c>
      <c r="L458" s="1237">
        <v>0.17034470726269224</v>
      </c>
    </row>
    <row r="459" spans="1:12" s="326" customFormat="1" ht="15.5" x14ac:dyDescent="0.35">
      <c r="A459" s="328" t="s">
        <v>1423</v>
      </c>
      <c r="B459" s="1291">
        <v>0.15283745710968363</v>
      </c>
      <c r="C459" s="1257">
        <v>0.26769384240466937</v>
      </c>
      <c r="D459" s="1257">
        <v>0.16981939678853736</v>
      </c>
      <c r="E459" s="1280">
        <v>1.141780714307731</v>
      </c>
      <c r="F459" s="1303">
        <v>5.707276337826904E-2</v>
      </c>
      <c r="G459" s="1288">
        <v>7.2230246467215486E-2</v>
      </c>
      <c r="H459" s="1280">
        <v>0.68353181767137006</v>
      </c>
      <c r="I459" s="1303">
        <v>6.3044746619794131E-2</v>
      </c>
      <c r="J459" s="1288">
        <v>0.12859920325785759</v>
      </c>
      <c r="K459" s="1280">
        <v>1.216964519065167</v>
      </c>
      <c r="L459" s="1237">
        <v>0.17034470726269224</v>
      </c>
    </row>
    <row r="460" spans="1:12" s="326" customFormat="1" ht="15.5" x14ac:dyDescent="0.35">
      <c r="A460" s="328" t="s">
        <v>1424</v>
      </c>
      <c r="B460" s="1291">
        <v>0.15283745710968363</v>
      </c>
      <c r="C460" s="1257">
        <v>0.26769384240466937</v>
      </c>
      <c r="D460" s="1257">
        <v>0.16981939678853736</v>
      </c>
      <c r="E460" s="1280">
        <v>1.141780714307731</v>
      </c>
      <c r="F460" s="1303">
        <v>4.8982411802722052E-2</v>
      </c>
      <c r="G460" s="1288">
        <v>7.1772364055761595E-2</v>
      </c>
      <c r="H460" s="1280">
        <v>0.67919876867474394</v>
      </c>
      <c r="I460" s="1303">
        <v>6.909769032843055E-2</v>
      </c>
      <c r="J460" s="1288">
        <v>0.12758287224285741</v>
      </c>
      <c r="K460" s="1280">
        <v>1.2073467395335111</v>
      </c>
      <c r="L460" s="1237">
        <v>0.17034470726269224</v>
      </c>
    </row>
    <row r="461" spans="1:12" s="326" customFormat="1" ht="15.5" x14ac:dyDescent="0.35">
      <c r="A461" s="328" t="s">
        <v>1425</v>
      </c>
      <c r="B461" s="1291">
        <v>0.15283745710968363</v>
      </c>
      <c r="C461" s="1257">
        <v>0.26769384240466937</v>
      </c>
      <c r="D461" s="1257">
        <v>0.16981939678853736</v>
      </c>
      <c r="E461" s="1280">
        <v>1.141780714307731</v>
      </c>
      <c r="F461" s="1303">
        <v>4.9273900779937735E-2</v>
      </c>
      <c r="G461" s="1288">
        <v>6.995552052183146E-2</v>
      </c>
      <c r="H461" s="1280">
        <v>0.66200555082056689</v>
      </c>
      <c r="I461" s="1303">
        <v>6.8915922845247862E-2</v>
      </c>
      <c r="J461" s="1288">
        <v>0.12811223784116993</v>
      </c>
      <c r="K461" s="1280">
        <v>1.2123562507469536</v>
      </c>
      <c r="L461" s="1237">
        <v>0.17034470726269224</v>
      </c>
    </row>
    <row r="462" spans="1:12" s="326" customFormat="1" ht="15.5" x14ac:dyDescent="0.35">
      <c r="A462" s="328" t="s">
        <v>1426</v>
      </c>
      <c r="B462" s="1291">
        <v>0.15283745710968363</v>
      </c>
      <c r="C462" s="1257">
        <v>0.26769384240466937</v>
      </c>
      <c r="D462" s="1257">
        <v>0.16981939678853736</v>
      </c>
      <c r="E462" s="1280">
        <v>1.141780714307731</v>
      </c>
      <c r="F462" s="1303">
        <v>4.9015480148437145E-2</v>
      </c>
      <c r="G462" s="1288">
        <v>7.4163738722271513E-2</v>
      </c>
      <c r="H462" s="1280">
        <v>0.70182890982031942</v>
      </c>
      <c r="I462" s="1303">
        <v>6.8637119709732547E-2</v>
      </c>
      <c r="J462" s="1288">
        <v>0.12835066627351502</v>
      </c>
      <c r="K462" s="1280">
        <v>1.2146125551030429</v>
      </c>
      <c r="L462" s="1237">
        <v>0.17034470726269224</v>
      </c>
    </row>
    <row r="463" spans="1:12" s="326" customFormat="1" ht="15.5" x14ac:dyDescent="0.35">
      <c r="A463" s="328" t="s">
        <v>1427</v>
      </c>
      <c r="B463" s="1291">
        <v>0.15283745710968363</v>
      </c>
      <c r="C463" s="1257">
        <v>0.26769384240466937</v>
      </c>
      <c r="D463" s="1257">
        <v>0.16981939678853736</v>
      </c>
      <c r="E463" s="1280">
        <v>1.141780714307731</v>
      </c>
      <c r="F463" s="1303">
        <v>5.8566508401210624E-2</v>
      </c>
      <c r="G463" s="1288">
        <v>6.9272012616402534E-2</v>
      </c>
      <c r="H463" s="1280">
        <v>0.65553735468610341</v>
      </c>
      <c r="I463" s="1303">
        <v>7.4449559617164249E-2</v>
      </c>
      <c r="J463" s="1288">
        <v>0.12928716938018472</v>
      </c>
      <c r="K463" s="1280">
        <v>1.2234749043551303</v>
      </c>
      <c r="L463" s="1237">
        <v>0.17034470726269224</v>
      </c>
    </row>
    <row r="464" spans="1:12" s="326" customFormat="1" ht="15.5" x14ac:dyDescent="0.35">
      <c r="A464" s="328" t="s">
        <v>1428</v>
      </c>
      <c r="B464" s="1291">
        <v>0.15283745710968363</v>
      </c>
      <c r="C464" s="1257">
        <v>0.26769384240466937</v>
      </c>
      <c r="D464" s="1257">
        <v>0.16981939678853736</v>
      </c>
      <c r="E464" s="1280">
        <v>1.141780714307731</v>
      </c>
      <c r="F464" s="1303">
        <v>5.8727345375702601E-2</v>
      </c>
      <c r="G464" s="1288">
        <v>6.7726910671056018E-2</v>
      </c>
      <c r="H464" s="1280">
        <v>0.64091569142389038</v>
      </c>
      <c r="I464" s="1303">
        <v>7.5196712102652011E-2</v>
      </c>
      <c r="J464" s="1288">
        <v>0.11470585402213668</v>
      </c>
      <c r="K464" s="1280">
        <v>1.0854884862241905</v>
      </c>
      <c r="L464" s="1237">
        <v>0.17034470726269224</v>
      </c>
    </row>
    <row r="465" spans="1:12" s="326" customFormat="1" ht="15.5" x14ac:dyDescent="0.35">
      <c r="A465" s="328" t="s">
        <v>1429</v>
      </c>
      <c r="B465" s="1287">
        <v>0.15283745710968363</v>
      </c>
      <c r="C465" s="1288">
        <v>0.26769384240466937</v>
      </c>
      <c r="D465" s="1288">
        <v>0.28245664894533473</v>
      </c>
      <c r="E465" s="1306">
        <v>2.0373630388275825</v>
      </c>
      <c r="F465" s="1303">
        <v>5.8230462287403098E-2</v>
      </c>
      <c r="G465" s="1288">
        <v>6.183039649615376E-2</v>
      </c>
      <c r="H465" s="1280">
        <v>0.58511559037169036</v>
      </c>
      <c r="I465" s="1303">
        <v>7.500455307762742E-2</v>
      </c>
      <c r="J465" s="1288">
        <v>9.8600140075311232E-2</v>
      </c>
      <c r="K465" s="1280">
        <v>0.93307632556562914</v>
      </c>
      <c r="L465" s="1237">
        <v>0.17034470726269224</v>
      </c>
    </row>
    <row r="466" spans="1:12" s="326" customFormat="1" ht="15.5" x14ac:dyDescent="0.35">
      <c r="A466" s="328" t="s">
        <v>1430</v>
      </c>
      <c r="B466" s="1287">
        <v>0.11868961545976903</v>
      </c>
      <c r="C466" s="1288">
        <v>0.26828563894457791</v>
      </c>
      <c r="D466" s="1288">
        <v>0.27610784151706919</v>
      </c>
      <c r="E466" s="1306">
        <v>1.7817129189191492</v>
      </c>
      <c r="F466" s="1303">
        <v>6.3142139331827427E-2</v>
      </c>
      <c r="G466" s="1288">
        <v>5.7550440383958214E-2</v>
      </c>
      <c r="H466" s="1280">
        <v>0.54461335863348692</v>
      </c>
      <c r="I466" s="1303">
        <v>8.0524867717613871E-2</v>
      </c>
      <c r="J466" s="1288">
        <v>9.858328361172311E-2</v>
      </c>
      <c r="K466" s="1280">
        <v>0.93291680888446793</v>
      </c>
      <c r="L466" s="1237">
        <v>0.17034470726269224</v>
      </c>
    </row>
    <row r="467" spans="1:12" s="326" customFormat="1" ht="15.5" x14ac:dyDescent="0.35">
      <c r="A467" s="328" t="s">
        <v>1431</v>
      </c>
      <c r="B467" s="1287">
        <v>0.1185892085565186</v>
      </c>
      <c r="C467" s="1288">
        <v>0.22456297228494479</v>
      </c>
      <c r="D467" s="1288">
        <v>0.29017248902586606</v>
      </c>
      <c r="E467" s="1306">
        <v>1.8184628918549011</v>
      </c>
      <c r="F467" s="1303">
        <v>6.5668497430171016E-2</v>
      </c>
      <c r="G467" s="1288">
        <v>5.7668184752571287E-2</v>
      </c>
      <c r="H467" s="1280">
        <v>0.54572760129822973</v>
      </c>
      <c r="I467" s="1303">
        <v>8.0210417071807455E-2</v>
      </c>
      <c r="J467" s="1288">
        <v>0.1002509138023831</v>
      </c>
      <c r="K467" s="1280">
        <v>0.94869798576225761</v>
      </c>
      <c r="L467" s="1330">
        <v>0.17034470726269224</v>
      </c>
    </row>
    <row r="468" spans="1:12" s="326" customFormat="1" ht="15.5" x14ac:dyDescent="0.35">
      <c r="A468" s="328" t="s">
        <v>1432</v>
      </c>
      <c r="B468" s="1287">
        <v>0.14092490011278727</v>
      </c>
      <c r="C468" s="1288">
        <v>0.22310939275666181</v>
      </c>
      <c r="D468" s="1288">
        <v>0.27426061020440062</v>
      </c>
      <c r="E468" s="1306">
        <v>1.909700737672289</v>
      </c>
      <c r="F468" s="1303">
        <v>5.8068433198292344E-2</v>
      </c>
      <c r="G468" s="1288">
        <v>5.7908509673560586E-2</v>
      </c>
      <c r="H468" s="1280">
        <v>0.54800185257259171</v>
      </c>
      <c r="I468" s="1303">
        <v>8.0459946071526831E-2</v>
      </c>
      <c r="J468" s="1288">
        <v>0.10017854340847064</v>
      </c>
      <c r="K468" s="1280">
        <v>0.94801312769633617</v>
      </c>
      <c r="L468" s="1330">
        <v>0.16861685190898221</v>
      </c>
    </row>
    <row r="469" spans="1:12" s="326" customFormat="1" ht="15.5" x14ac:dyDescent="0.35">
      <c r="A469" s="328" t="s">
        <v>1433</v>
      </c>
      <c r="B469" s="1287">
        <v>0.13203985066189416</v>
      </c>
      <c r="C469" s="1288">
        <v>0.12645489969303766</v>
      </c>
      <c r="D469" s="1288">
        <v>0.27691996597595986</v>
      </c>
      <c r="E469" s="1306">
        <v>2.0686671901126026</v>
      </c>
      <c r="F469" s="1303">
        <v>6.4409330577124779E-2</v>
      </c>
      <c r="G469" s="1288">
        <v>5.6761104589021776E-2</v>
      </c>
      <c r="H469" s="1280">
        <v>0.53714368827993397</v>
      </c>
      <c r="I469" s="1303">
        <v>8.0393127843256404E-2</v>
      </c>
      <c r="J469" s="1288">
        <v>0.10058568407742796</v>
      </c>
      <c r="K469" s="1280">
        <v>0.95186599564448371</v>
      </c>
      <c r="L469" s="1330">
        <v>0.15788583594461711</v>
      </c>
    </row>
    <row r="470" spans="1:12" s="326" customFormat="1" ht="15.5" x14ac:dyDescent="0.35">
      <c r="A470" s="328" t="s">
        <v>1434</v>
      </c>
      <c r="B470" s="1287">
        <v>0.12444668491770611</v>
      </c>
      <c r="C470" s="1288">
        <v>0.12761951685312239</v>
      </c>
      <c r="D470" s="1288">
        <v>0.30373342682189974</v>
      </c>
      <c r="E470" s="1306">
        <v>2.0407945145834021</v>
      </c>
      <c r="F470" s="1303">
        <v>5.9112325387233572E-2</v>
      </c>
      <c r="G470" s="1288">
        <v>5.4837054570323333E-2</v>
      </c>
      <c r="H470" s="1280">
        <v>0.51893595023533912</v>
      </c>
      <c r="I470" s="1303">
        <v>7.8200328338492803E-2</v>
      </c>
      <c r="J470" s="1288">
        <v>9.804625023080242E-2</v>
      </c>
      <c r="K470" s="1280">
        <v>0.92783473564001995</v>
      </c>
      <c r="L470" s="1330">
        <v>0.18672384336994213</v>
      </c>
    </row>
    <row r="471" spans="1:12" s="326" customFormat="1" ht="15.5" x14ac:dyDescent="0.35">
      <c r="A471" s="328" t="s">
        <v>1435</v>
      </c>
      <c r="B471" s="1287">
        <v>0.13346030939765893</v>
      </c>
      <c r="C471" s="1288">
        <v>0.17334355194996337</v>
      </c>
      <c r="D471" s="1288">
        <v>0.28719691464375641</v>
      </c>
      <c r="E471" s="1306">
        <v>1.8422325429791508</v>
      </c>
      <c r="F471" s="1303">
        <v>5.6823862282573426E-2</v>
      </c>
      <c r="G471" s="1288">
        <v>5.5064527365218136E-2</v>
      </c>
      <c r="H471" s="1280">
        <v>0.52108857881643922</v>
      </c>
      <c r="I471" s="1303">
        <v>7.7725412853793516E-2</v>
      </c>
      <c r="J471" s="1288">
        <v>9.8804217535043384E-2</v>
      </c>
      <c r="K471" s="1280">
        <v>0.93500755858530027</v>
      </c>
      <c r="L471" s="1330">
        <v>0.18596902838039375</v>
      </c>
    </row>
    <row r="472" spans="1:12" s="326" customFormat="1" ht="15.5" x14ac:dyDescent="0.35">
      <c r="A472" s="328" t="s">
        <v>1436</v>
      </c>
      <c r="B472" s="1287">
        <v>0.11189147524025997</v>
      </c>
      <c r="C472" s="1288">
        <v>0.11184363038147452</v>
      </c>
      <c r="D472" s="1288">
        <v>0.3162882689204029</v>
      </c>
      <c r="E472" s="1306">
        <v>2.0057031149444371</v>
      </c>
      <c r="F472" s="1303">
        <v>5.9501843931063628E-2</v>
      </c>
      <c r="G472" s="1288">
        <v>5.5097704499489003E-2</v>
      </c>
      <c r="H472" s="1280">
        <v>0.52140254184442902</v>
      </c>
      <c r="I472" s="1303">
        <v>7.5373082210575301E-2</v>
      </c>
      <c r="J472" s="1288">
        <v>9.6094386467460657E-2</v>
      </c>
      <c r="K472" s="1280">
        <v>0.90936378958545483</v>
      </c>
      <c r="L472" s="1330">
        <v>0.18596902838036727</v>
      </c>
    </row>
    <row r="473" spans="1:12" s="326" customFormat="1" ht="15.5" x14ac:dyDescent="0.35">
      <c r="A473" s="328" t="s">
        <v>1437</v>
      </c>
      <c r="B473" s="1287">
        <v>0.12044497415271392</v>
      </c>
      <c r="C473" s="1288">
        <v>0.16936810885834339</v>
      </c>
      <c r="D473" s="1288">
        <v>0.20941282694791288</v>
      </c>
      <c r="E473" s="1306">
        <v>1.9891409886839722</v>
      </c>
      <c r="F473" s="1303">
        <v>5.8701088050313759E-2</v>
      </c>
      <c r="G473" s="1288">
        <v>5.4320445448971473E-2</v>
      </c>
      <c r="H473" s="1280">
        <v>0.51404715656489908</v>
      </c>
      <c r="I473" s="1303">
        <v>7.2618011826920389E-2</v>
      </c>
      <c r="J473" s="1288">
        <v>9.4738707256061358E-2</v>
      </c>
      <c r="K473" s="1280">
        <v>0.89653467822463939</v>
      </c>
      <c r="L473" s="1330">
        <v>0.19098328177926371</v>
      </c>
    </row>
    <row r="474" spans="1:12" s="326" customFormat="1" ht="15.5" x14ac:dyDescent="0.35">
      <c r="A474" s="328" t="s">
        <v>1438</v>
      </c>
      <c r="B474" s="1287">
        <v>0.1319220415723337</v>
      </c>
      <c r="C474" s="1288">
        <v>0.15440365866230227</v>
      </c>
      <c r="D474" s="1288">
        <v>0.20960747755146902</v>
      </c>
      <c r="E474" s="1306">
        <v>1.9921891966179071</v>
      </c>
      <c r="F474" s="1303">
        <v>5.3800189527925958E-2</v>
      </c>
      <c r="G474" s="1288">
        <v>5.3244468985326497E-2</v>
      </c>
      <c r="H474" s="1280">
        <v>0.5038649381184942</v>
      </c>
      <c r="I474" s="1303">
        <v>6.8118420346853156E-2</v>
      </c>
      <c r="J474" s="1288">
        <v>9.0181850181672088E-2</v>
      </c>
      <c r="K474" s="1280">
        <v>0.85341206752802923</v>
      </c>
      <c r="L474" s="1330">
        <v>0.19098328177929658</v>
      </c>
    </row>
    <row r="475" spans="1:12" s="326" customFormat="1" ht="15.5" x14ac:dyDescent="0.35">
      <c r="A475" s="328" t="s">
        <v>1439</v>
      </c>
      <c r="B475" s="1287">
        <v>0.13536319798489557</v>
      </c>
      <c r="C475" s="1288">
        <v>0.13789950072351881</v>
      </c>
      <c r="D475" s="1288">
        <v>0.22614315589684006</v>
      </c>
      <c r="E475" s="1306">
        <v>1.7652339992775061</v>
      </c>
      <c r="F475" s="1303">
        <v>5.6806962557122073E-2</v>
      </c>
      <c r="G475" s="1288">
        <v>5.1366223735044958E-2</v>
      </c>
      <c r="H475" s="1280">
        <v>0.48609066137502099</v>
      </c>
      <c r="I475" s="1303">
        <v>6.8166969931176963E-2</v>
      </c>
      <c r="J475" s="1288">
        <v>8.9250853855555243E-2</v>
      </c>
      <c r="K475" s="1280">
        <v>0.84460183023602642</v>
      </c>
      <c r="L475" s="1330">
        <v>0.19098328177911311</v>
      </c>
    </row>
    <row r="476" spans="1:12" s="326" customFormat="1" ht="15.5" x14ac:dyDescent="0.35">
      <c r="A476" s="328" t="s">
        <v>1440</v>
      </c>
      <c r="B476" s="1287">
        <v>0.11513817792952701</v>
      </c>
      <c r="C476" s="1288">
        <v>0.17454290785134444</v>
      </c>
      <c r="D476" s="1288">
        <v>0.24722271511546112</v>
      </c>
      <c r="E476" s="1280">
        <v>0.86014615478797185</v>
      </c>
      <c r="F476" s="1303">
        <v>5.3664340621125142E-2</v>
      </c>
      <c r="G476" s="1288">
        <v>5.1321140973332152E-2</v>
      </c>
      <c r="H476" s="1280">
        <v>0.4856640325932241</v>
      </c>
      <c r="I476" s="1303">
        <v>6.4781134354072789E-2</v>
      </c>
      <c r="J476" s="1288">
        <v>8.6734098654739758E-2</v>
      </c>
      <c r="K476" s="1280">
        <v>0.82078518359301522</v>
      </c>
      <c r="L476" s="1330">
        <v>0.19098328177928431</v>
      </c>
    </row>
    <row r="477" spans="1:12" s="326" customFormat="1" ht="15.5" x14ac:dyDescent="0.35">
      <c r="A477" s="328" t="s">
        <v>1441</v>
      </c>
      <c r="B477" s="1287">
        <v>9.1986316998669534E-2</v>
      </c>
      <c r="C477" s="1288">
        <v>0.16121862534560844</v>
      </c>
      <c r="D477" s="1288">
        <v>0.24996752248584705</v>
      </c>
      <c r="E477" s="1280">
        <v>0.68718889148950513</v>
      </c>
      <c r="F477" s="1303">
        <v>5.2167813734357513E-2</v>
      </c>
      <c r="G477" s="1288">
        <v>4.880965379413111E-2</v>
      </c>
      <c r="H477" s="1280">
        <v>0.46189723847828484</v>
      </c>
      <c r="I477" s="1303">
        <v>6.314471365209938E-2</v>
      </c>
      <c r="J477" s="1288">
        <v>8.4528531171690596E-2</v>
      </c>
      <c r="K477" s="1280">
        <v>0.7999133795438661</v>
      </c>
      <c r="L477" s="1330">
        <v>0.17272407791171676</v>
      </c>
    </row>
    <row r="478" spans="1:12" s="326" customFormat="1" ht="15.5" x14ac:dyDescent="0.35">
      <c r="A478" s="328" t="s">
        <v>1442</v>
      </c>
      <c r="B478" s="1287">
        <v>9.7177645871302204E-2</v>
      </c>
      <c r="C478" s="1288">
        <v>0.18952801499674332</v>
      </c>
      <c r="D478" s="1288">
        <v>0.28445542240287097</v>
      </c>
      <c r="E478" s="1280">
        <v>0.72597100223966704</v>
      </c>
      <c r="F478" s="1303">
        <v>5.0814049050191538E-2</v>
      </c>
      <c r="G478" s="1288">
        <v>4.707136986667896E-2</v>
      </c>
      <c r="H478" s="1280">
        <v>0.44544744866482217</v>
      </c>
      <c r="I478" s="1303">
        <v>6.156866304431298E-2</v>
      </c>
      <c r="J478" s="1288">
        <v>8.2391831701328119E-2</v>
      </c>
      <c r="K478" s="1280">
        <v>0.77969328970300944</v>
      </c>
      <c r="L478" s="1330">
        <v>0.17272407791193073</v>
      </c>
    </row>
    <row r="479" spans="1:12" s="326" customFormat="1" ht="15.5" x14ac:dyDescent="0.35">
      <c r="A479" s="328" t="s">
        <v>1443</v>
      </c>
      <c r="B479" s="1287">
        <v>0.10547090313047747</v>
      </c>
      <c r="C479" s="1288">
        <v>0.18168377330797453</v>
      </c>
      <c r="D479" s="1288">
        <v>0.22882874834745229</v>
      </c>
      <c r="E479" s="1280">
        <v>0.78792624133085032</v>
      </c>
      <c r="F479" s="1303">
        <v>4.9209136611772633E-2</v>
      </c>
      <c r="G479" s="1288">
        <v>4.5034105704283622E-2</v>
      </c>
      <c r="H479" s="1280">
        <v>0.42616833853980157</v>
      </c>
      <c r="I479" s="1303">
        <v>5.9983111601997187E-2</v>
      </c>
      <c r="J479" s="1288">
        <v>8.0204952716425595E-2</v>
      </c>
      <c r="K479" s="1280">
        <v>0.75899833930911575</v>
      </c>
      <c r="L479" s="1330">
        <v>0.17272479064633806</v>
      </c>
    </row>
    <row r="480" spans="1:12" s="326" customFormat="1" ht="15.5" x14ac:dyDescent="0.35">
      <c r="A480" s="328" t="s">
        <v>1444</v>
      </c>
      <c r="B480" s="1291">
        <v>0.10547090313047747</v>
      </c>
      <c r="C480" s="1257">
        <v>0.18168377330797453</v>
      </c>
      <c r="D480" s="1257">
        <v>0.22882874834745229</v>
      </c>
      <c r="E480" s="1280">
        <v>0.78792624133085032</v>
      </c>
      <c r="F480" s="1271">
        <v>4.9209136611772633E-2</v>
      </c>
      <c r="G480" s="1257">
        <v>4.5034105704283622E-2</v>
      </c>
      <c r="H480" s="1280">
        <v>0.42616833853980157</v>
      </c>
      <c r="I480" s="1271">
        <v>5.9983111601997187E-2</v>
      </c>
      <c r="J480" s="1257">
        <v>8.0204952716425595E-2</v>
      </c>
      <c r="K480" s="1280">
        <v>0.75899833930911575</v>
      </c>
      <c r="L480" s="1330">
        <v>0.16729970120058713</v>
      </c>
    </row>
    <row r="481" spans="1:12" s="326" customFormat="1" ht="15.5" x14ac:dyDescent="0.35">
      <c r="A481" s="328" t="s">
        <v>1445</v>
      </c>
      <c r="B481" s="1291">
        <v>0.11869171096458012</v>
      </c>
      <c r="C481" s="1257">
        <v>0.26844767779269429</v>
      </c>
      <c r="D481" s="1257">
        <v>0.13187967884953347</v>
      </c>
      <c r="E481" s="1280">
        <v>0.88669302074483825</v>
      </c>
      <c r="F481" s="1271">
        <v>5.7600655966363393E-2</v>
      </c>
      <c r="G481" s="1257">
        <v>0.11167904293789903</v>
      </c>
      <c r="H481" s="1280">
        <v>1.0568450607432063</v>
      </c>
      <c r="I481" s="1271">
        <v>6.3558651935805136E-2</v>
      </c>
      <c r="J481" s="1257">
        <v>0.14936321525346738</v>
      </c>
      <c r="K481" s="1280">
        <v>1.4134592502295038</v>
      </c>
      <c r="L481" s="1237">
        <v>0.17143929502841826</v>
      </c>
    </row>
    <row r="482" spans="1:12" s="326" customFormat="1" ht="15.5" x14ac:dyDescent="0.35">
      <c r="A482" s="328" t="s">
        <v>1446</v>
      </c>
      <c r="B482" s="1291">
        <v>0.11869171096458012</v>
      </c>
      <c r="C482" s="1257">
        <v>0.26844767779269429</v>
      </c>
      <c r="D482" s="1257">
        <v>0.13187967884953347</v>
      </c>
      <c r="E482" s="1280">
        <v>0.88669302074483825</v>
      </c>
      <c r="F482" s="1271">
        <v>5.7600655966363393E-2</v>
      </c>
      <c r="G482" s="1257">
        <v>0.11167904293789903</v>
      </c>
      <c r="H482" s="1280">
        <v>1.0568450607432063</v>
      </c>
      <c r="I482" s="1271">
        <v>6.3558651935805136E-2</v>
      </c>
      <c r="J482" s="1257">
        <v>0.14936321525346738</v>
      </c>
      <c r="K482" s="1280">
        <v>1.4134592502295038</v>
      </c>
      <c r="L482" s="1237">
        <v>0.17143929502841826</v>
      </c>
    </row>
    <row r="483" spans="1:12" s="326" customFormat="1" ht="15.5" x14ac:dyDescent="0.35">
      <c r="A483" s="328" t="s">
        <v>1447</v>
      </c>
      <c r="B483" s="1291">
        <v>0.11869171096458012</v>
      </c>
      <c r="C483" s="1257">
        <v>0.26844767779269429</v>
      </c>
      <c r="D483" s="1257">
        <v>0.13187967884953347</v>
      </c>
      <c r="E483" s="1280">
        <v>0.88669302074483825</v>
      </c>
      <c r="F483" s="1271">
        <v>5.7600655966363393E-2</v>
      </c>
      <c r="G483" s="1257">
        <v>0.11167904293789903</v>
      </c>
      <c r="H483" s="1280">
        <v>1.0568450607432063</v>
      </c>
      <c r="I483" s="1271">
        <v>6.3558651935805136E-2</v>
      </c>
      <c r="J483" s="1257">
        <v>0.14936321525346738</v>
      </c>
      <c r="K483" s="1280">
        <v>1.4134592502295038</v>
      </c>
      <c r="L483" s="1237">
        <v>0.17143929502841826</v>
      </c>
    </row>
    <row r="484" spans="1:12" s="326" customFormat="1" ht="15.5" x14ac:dyDescent="0.35">
      <c r="A484" s="328" t="s">
        <v>1448</v>
      </c>
      <c r="B484" s="1291">
        <v>0.11869171096458012</v>
      </c>
      <c r="C484" s="1257">
        <v>0.26844767779269429</v>
      </c>
      <c r="D484" s="1257">
        <v>0.13187967884953347</v>
      </c>
      <c r="E484" s="1280">
        <v>0.88669302074483825</v>
      </c>
      <c r="F484" s="1271">
        <v>5.7600655966363393E-2</v>
      </c>
      <c r="G484" s="1257">
        <v>0.11167904293789903</v>
      </c>
      <c r="H484" s="1280">
        <v>1.0568450607432063</v>
      </c>
      <c r="I484" s="1271">
        <v>6.3558651935805136E-2</v>
      </c>
      <c r="J484" s="1257">
        <v>0.14936321525346738</v>
      </c>
      <c r="K484" s="1280">
        <v>1.4134592502295038</v>
      </c>
      <c r="L484" s="1237">
        <v>0.17143929502841826</v>
      </c>
    </row>
    <row r="485" spans="1:12" s="326" customFormat="1" ht="15.5" x14ac:dyDescent="0.35">
      <c r="A485" s="328" t="s">
        <v>1449</v>
      </c>
      <c r="B485" s="1291">
        <v>0.11869171096458012</v>
      </c>
      <c r="C485" s="1257">
        <v>0.26844767779269429</v>
      </c>
      <c r="D485" s="1257">
        <v>0.13187967884953347</v>
      </c>
      <c r="E485" s="1280">
        <v>0.88669302074483825</v>
      </c>
      <c r="F485" s="1271">
        <v>5.7600655966363393E-2</v>
      </c>
      <c r="G485" s="1257">
        <v>0.11167904293789903</v>
      </c>
      <c r="H485" s="1280">
        <v>1.0568450607432063</v>
      </c>
      <c r="I485" s="1271">
        <v>6.3558651935805136E-2</v>
      </c>
      <c r="J485" s="1257">
        <v>0.14936321525346738</v>
      </c>
      <c r="K485" s="1280">
        <v>1.4134592502295038</v>
      </c>
      <c r="L485" s="1237">
        <v>0.17143929502841826</v>
      </c>
    </row>
    <row r="486" spans="1:12" s="326" customFormat="1" ht="15.5" x14ac:dyDescent="0.35">
      <c r="A486" s="328" t="s">
        <v>1450</v>
      </c>
      <c r="B486" s="1291">
        <v>0.11869171096458012</v>
      </c>
      <c r="C486" s="1257">
        <v>0.26844767779269429</v>
      </c>
      <c r="D486" s="1257">
        <v>0.13187967884953347</v>
      </c>
      <c r="E486" s="1280">
        <v>0.88669302074483825</v>
      </c>
      <c r="F486" s="1271">
        <v>5.7600655966363393E-2</v>
      </c>
      <c r="G486" s="1257">
        <v>0.11167904293789903</v>
      </c>
      <c r="H486" s="1280">
        <v>1.0568450607432063</v>
      </c>
      <c r="I486" s="1271">
        <v>6.3558651935805136E-2</v>
      </c>
      <c r="J486" s="1257">
        <v>0.14936321525346738</v>
      </c>
      <c r="K486" s="1280">
        <v>1.4134592502295038</v>
      </c>
      <c r="L486" s="1237">
        <v>0.17143929502841826</v>
      </c>
    </row>
    <row r="487" spans="1:12" s="326" customFormat="1" ht="15.5" x14ac:dyDescent="0.35">
      <c r="A487" s="328" t="s">
        <v>1451</v>
      </c>
      <c r="B487" s="1291">
        <v>0.11869171096458012</v>
      </c>
      <c r="C487" s="1257">
        <v>0.26844767779269429</v>
      </c>
      <c r="D487" s="1257">
        <v>0.13187967884953347</v>
      </c>
      <c r="E487" s="1280">
        <v>0.88669302074483825</v>
      </c>
      <c r="F487" s="1271">
        <v>5.7600655966363393E-2</v>
      </c>
      <c r="G487" s="1257">
        <v>0.11167904293789903</v>
      </c>
      <c r="H487" s="1280">
        <v>1.0568450607432063</v>
      </c>
      <c r="I487" s="1271">
        <v>6.3558651935805136E-2</v>
      </c>
      <c r="J487" s="1257">
        <v>0.14936321525346738</v>
      </c>
      <c r="K487" s="1280">
        <v>1.4134592502295038</v>
      </c>
      <c r="L487" s="1237">
        <v>0.17143929502841826</v>
      </c>
    </row>
    <row r="488" spans="1:12" s="326" customFormat="1" ht="15.5" x14ac:dyDescent="0.35">
      <c r="A488" s="328" t="s">
        <v>1452</v>
      </c>
      <c r="B488" s="1291">
        <v>0.11869171096458012</v>
      </c>
      <c r="C488" s="1257">
        <v>0.26844767779269429</v>
      </c>
      <c r="D488" s="1257">
        <v>0.13187967884953347</v>
      </c>
      <c r="E488" s="1280">
        <v>0.88669302074483825</v>
      </c>
      <c r="F488" s="1271">
        <v>5.7600655966363393E-2</v>
      </c>
      <c r="G488" s="1257">
        <v>0.11167904293789903</v>
      </c>
      <c r="H488" s="1280">
        <v>1.0568450607432063</v>
      </c>
      <c r="I488" s="1271">
        <v>6.3558651935805136E-2</v>
      </c>
      <c r="J488" s="1257">
        <v>0.14936321525346738</v>
      </c>
      <c r="K488" s="1280">
        <v>1.4134592502295038</v>
      </c>
      <c r="L488" s="1237">
        <v>0.17143929502841826</v>
      </c>
    </row>
    <row r="489" spans="1:12" s="326" customFormat="1" ht="15.5" x14ac:dyDescent="0.35">
      <c r="A489" s="328" t="s">
        <v>1453</v>
      </c>
      <c r="B489" s="1291">
        <v>0.11869171096458012</v>
      </c>
      <c r="C489" s="1257">
        <v>0.26844767779269429</v>
      </c>
      <c r="D489" s="1257">
        <v>0.13187967884953347</v>
      </c>
      <c r="E489" s="1280">
        <v>0.88669302074483825</v>
      </c>
      <c r="F489" s="1271">
        <v>5.7600655966363393E-2</v>
      </c>
      <c r="G489" s="1257">
        <v>0.11167904293789903</v>
      </c>
      <c r="H489" s="1280">
        <v>1.0568450607432063</v>
      </c>
      <c r="I489" s="1271">
        <v>6.3558651935805136E-2</v>
      </c>
      <c r="J489" s="1257">
        <v>0.14936321525346738</v>
      </c>
      <c r="K489" s="1280">
        <v>1.4134592502295038</v>
      </c>
      <c r="L489" s="1237">
        <v>0.17143929502841826</v>
      </c>
    </row>
    <row r="490" spans="1:12" s="326" customFormat="1" ht="15.5" x14ac:dyDescent="0.35">
      <c r="A490" s="328" t="s">
        <v>1454</v>
      </c>
      <c r="B490" s="1291">
        <v>0.11869171096458012</v>
      </c>
      <c r="C490" s="1257">
        <v>0.26844767779269429</v>
      </c>
      <c r="D490" s="1257">
        <v>0.13187967884953347</v>
      </c>
      <c r="E490" s="1280">
        <v>0.88669302074483825</v>
      </c>
      <c r="F490" s="1303">
        <v>5.7600655966363393E-2</v>
      </c>
      <c r="G490" s="1288">
        <v>0.11167904293789903</v>
      </c>
      <c r="H490" s="1280">
        <v>1.0568450607432063</v>
      </c>
      <c r="I490" s="1271">
        <v>6.3558651935805136E-2</v>
      </c>
      <c r="J490" s="1288">
        <v>0.14936321525346738</v>
      </c>
      <c r="K490" s="1280">
        <v>1.4134592502295038</v>
      </c>
      <c r="L490" s="1237">
        <v>0.17143929502841826</v>
      </c>
    </row>
    <row r="491" spans="1:12" s="326" customFormat="1" ht="15.5" x14ac:dyDescent="0.35">
      <c r="A491" s="328" t="s">
        <v>1455</v>
      </c>
      <c r="B491" s="1291">
        <v>0.11869171096458012</v>
      </c>
      <c r="C491" s="1257">
        <v>0.26844767779269429</v>
      </c>
      <c r="D491" s="1257">
        <v>0.13187967884953347</v>
      </c>
      <c r="E491" s="1280">
        <v>0.88669302074483825</v>
      </c>
      <c r="F491" s="1303">
        <v>5.7726697477603457E-2</v>
      </c>
      <c r="G491" s="1288">
        <v>0.10540294903227981</v>
      </c>
      <c r="H491" s="1280">
        <v>0.99745290738635373</v>
      </c>
      <c r="I491" s="1271">
        <v>6.3558651935805136E-2</v>
      </c>
      <c r="J491" s="1288">
        <v>0.14142319958185393</v>
      </c>
      <c r="K491" s="1280">
        <v>1.3383210136900441</v>
      </c>
      <c r="L491" s="1237">
        <v>0.17143929502841826</v>
      </c>
    </row>
    <row r="492" spans="1:12" s="326" customFormat="1" ht="15.5" x14ac:dyDescent="0.35">
      <c r="A492" s="328" t="s">
        <v>1456</v>
      </c>
      <c r="B492" s="1291">
        <v>0.11869171096458012</v>
      </c>
      <c r="C492" s="1257">
        <v>0.26844767779269429</v>
      </c>
      <c r="D492" s="1257">
        <v>0.13187967884953347</v>
      </c>
      <c r="E492" s="1280">
        <v>0.88669302074483825</v>
      </c>
      <c r="F492" s="1303">
        <v>5.7078753028672088E-2</v>
      </c>
      <c r="G492" s="1288">
        <v>0.10903737369922623</v>
      </c>
      <c r="H492" s="1280">
        <v>1.0318463231684127</v>
      </c>
      <c r="I492" s="1303">
        <v>6.3558651935805136E-2</v>
      </c>
      <c r="J492" s="1288">
        <v>0.13974189679730092</v>
      </c>
      <c r="K492" s="1280">
        <v>1.3224104498391638</v>
      </c>
      <c r="L492" s="1237">
        <v>0.17143929502841826</v>
      </c>
    </row>
    <row r="493" spans="1:12" s="326" customFormat="1" ht="15.5" x14ac:dyDescent="0.35">
      <c r="A493" s="328" t="s">
        <v>1457</v>
      </c>
      <c r="B493" s="1291">
        <v>0.11869171096458012</v>
      </c>
      <c r="C493" s="1257">
        <v>0.26844767779269429</v>
      </c>
      <c r="D493" s="1257">
        <v>0.13187967884953347</v>
      </c>
      <c r="E493" s="1280">
        <v>0.88669302074483825</v>
      </c>
      <c r="F493" s="1303">
        <v>5.6872502147382764E-2</v>
      </c>
      <c r="G493" s="1288">
        <v>0.1039904344665343</v>
      </c>
      <c r="H493" s="1280">
        <v>0.9840859496943356</v>
      </c>
      <c r="I493" s="1303">
        <v>6.2885017927358178E-2</v>
      </c>
      <c r="J493" s="1288">
        <v>0.14599514421632989</v>
      </c>
      <c r="K493" s="1280">
        <v>1.3815864015177688</v>
      </c>
      <c r="L493" s="1237">
        <v>0.17143929502841826</v>
      </c>
    </row>
    <row r="494" spans="1:12" s="326" customFormat="1" ht="15.5" x14ac:dyDescent="0.35">
      <c r="A494" s="328" t="s">
        <v>1458</v>
      </c>
      <c r="B494" s="1291">
        <v>0.11869171096458012</v>
      </c>
      <c r="C494" s="1257">
        <v>0.26844767779269429</v>
      </c>
      <c r="D494" s="1257">
        <v>0.13187967884953347</v>
      </c>
      <c r="E494" s="1280">
        <v>0.88669302074483825</v>
      </c>
      <c r="F494" s="1303">
        <v>5.5352953512713507E-2</v>
      </c>
      <c r="G494" s="1288">
        <v>0.1072419323225564</v>
      </c>
      <c r="H494" s="1280">
        <v>1.0148556389641916</v>
      </c>
      <c r="I494" s="1303">
        <v>6.4495451353881156E-2</v>
      </c>
      <c r="J494" s="1288">
        <v>0.14501780179643309</v>
      </c>
      <c r="K494" s="1280">
        <v>1.3723375802353632</v>
      </c>
      <c r="L494" s="1237">
        <v>0.17143929502841826</v>
      </c>
    </row>
    <row r="495" spans="1:12" s="326" customFormat="1" ht="15.5" x14ac:dyDescent="0.35">
      <c r="A495" s="328" t="s">
        <v>1459</v>
      </c>
      <c r="B495" s="1291">
        <v>0.11869171096458012</v>
      </c>
      <c r="C495" s="1257">
        <v>0.26844767779269429</v>
      </c>
      <c r="D495" s="1257">
        <v>0.13187967884953347</v>
      </c>
      <c r="E495" s="1280">
        <v>0.88669302074483825</v>
      </c>
      <c r="F495" s="1303">
        <v>5.6420908122030634E-2</v>
      </c>
      <c r="G495" s="1288">
        <v>0.10512724264044782</v>
      </c>
      <c r="H495" s="1280">
        <v>0.99484383292835532</v>
      </c>
      <c r="I495" s="1303">
        <v>6.45938204123436E-2</v>
      </c>
      <c r="J495" s="1288">
        <v>0.14254753948545051</v>
      </c>
      <c r="K495" s="1280">
        <v>1.3489609067483443</v>
      </c>
      <c r="L495" s="1237">
        <v>0.17143929502841826</v>
      </c>
    </row>
    <row r="496" spans="1:12" s="326" customFormat="1" ht="15.5" x14ac:dyDescent="0.35">
      <c r="A496" s="328" t="s">
        <v>1460</v>
      </c>
      <c r="B496" s="1291">
        <v>0.11869171096458012</v>
      </c>
      <c r="C496" s="1257">
        <v>0.26844767779269429</v>
      </c>
      <c r="D496" s="1257">
        <v>0.13187967884953347</v>
      </c>
      <c r="E496" s="1280">
        <v>0.88669302074483825</v>
      </c>
      <c r="F496" s="1303">
        <v>5.7001624650958795E-2</v>
      </c>
      <c r="G496" s="1288">
        <v>9.9929649429520997E-2</v>
      </c>
      <c r="H496" s="1280">
        <v>0.94565778541024659</v>
      </c>
      <c r="I496" s="1303">
        <v>6.3251155149959853E-2</v>
      </c>
      <c r="J496" s="1288">
        <v>0.14128207585428315</v>
      </c>
      <c r="K496" s="1280">
        <v>1.3369855266504589</v>
      </c>
      <c r="L496" s="1237">
        <v>0.17143929502841826</v>
      </c>
    </row>
    <row r="497" spans="1:12" s="326" customFormat="1" ht="15.5" x14ac:dyDescent="0.35">
      <c r="A497" s="328" t="s">
        <v>1461</v>
      </c>
      <c r="B497" s="1291">
        <v>0.11869171096458012</v>
      </c>
      <c r="C497" s="1257">
        <v>0.26844767779269429</v>
      </c>
      <c r="D497" s="1257">
        <v>0.13187967884953347</v>
      </c>
      <c r="E497" s="1280">
        <v>0.88669302074483825</v>
      </c>
      <c r="F497" s="1303">
        <v>5.7393976926663384E-2</v>
      </c>
      <c r="G497" s="1288">
        <v>9.549139935543996E-2</v>
      </c>
      <c r="H497" s="1280">
        <v>0.9036575806650825</v>
      </c>
      <c r="I497" s="1303">
        <v>6.2826228161617495E-2</v>
      </c>
      <c r="J497" s="1288">
        <v>0.14055120953948075</v>
      </c>
      <c r="K497" s="1280">
        <v>1.3300691667449391</v>
      </c>
      <c r="L497" s="1237">
        <v>0.17143929502841826</v>
      </c>
    </row>
    <row r="498" spans="1:12" s="326" customFormat="1" ht="15.5" x14ac:dyDescent="0.35">
      <c r="A498" s="328" t="s">
        <v>1462</v>
      </c>
      <c r="B498" s="1291">
        <v>0.11869171096458012</v>
      </c>
      <c r="C498" s="1257">
        <v>0.26844767779269429</v>
      </c>
      <c r="D498" s="1257">
        <v>0.13187967884953347</v>
      </c>
      <c r="E498" s="1280">
        <v>0.88669302074483825</v>
      </c>
      <c r="F498" s="1303">
        <v>5.7262026926757907E-2</v>
      </c>
      <c r="G498" s="1288">
        <v>9.2009622499477361E-2</v>
      </c>
      <c r="H498" s="1280">
        <v>0.8707087070354953</v>
      </c>
      <c r="I498" s="1303">
        <v>6.2198324395415033E-2</v>
      </c>
      <c r="J498" s="1288">
        <v>0.13290559215989534</v>
      </c>
      <c r="K498" s="1280">
        <v>1.2577168905131273</v>
      </c>
      <c r="L498" s="1237">
        <v>0.17143929502841826</v>
      </c>
    </row>
    <row r="499" spans="1:12" s="326" customFormat="1" ht="15.5" x14ac:dyDescent="0.35">
      <c r="A499" s="328" t="s">
        <v>1463</v>
      </c>
      <c r="B499" s="1291">
        <v>0.11869171096458012</v>
      </c>
      <c r="C499" s="1257">
        <v>0.26844767779269429</v>
      </c>
      <c r="D499" s="1257">
        <v>0.13187967884953347</v>
      </c>
      <c r="E499" s="1280">
        <v>0.88669302074483825</v>
      </c>
      <c r="F499" s="1303">
        <v>5.7338283308091972E-2</v>
      </c>
      <c r="G499" s="1288">
        <v>9.0075834751679545E-2</v>
      </c>
      <c r="H499" s="1280">
        <v>0.85240881856920281</v>
      </c>
      <c r="I499" s="1303">
        <v>6.2328772322868806E-2</v>
      </c>
      <c r="J499" s="1288">
        <v>0.13136239303577665</v>
      </c>
      <c r="K499" s="1280">
        <v>1.2431132340959159</v>
      </c>
      <c r="L499" s="1237">
        <v>0.17143929502841826</v>
      </c>
    </row>
    <row r="500" spans="1:12" s="326" customFormat="1" ht="15.5" x14ac:dyDescent="0.35">
      <c r="A500" s="328" t="s">
        <v>1464</v>
      </c>
      <c r="B500" s="1291">
        <v>0.11869171096458012</v>
      </c>
      <c r="C500" s="1257">
        <v>0.26844767779269429</v>
      </c>
      <c r="D500" s="1257">
        <v>0.13187967884953347</v>
      </c>
      <c r="E500" s="1280">
        <v>0.88669302074483825</v>
      </c>
      <c r="F500" s="1303">
        <v>5.7646636469088595E-2</v>
      </c>
      <c r="G500" s="1288">
        <v>8.9353016632954252E-2</v>
      </c>
      <c r="H500" s="1280">
        <v>0.84556862063685378</v>
      </c>
      <c r="I500" s="1303">
        <v>6.2399750419238162E-2</v>
      </c>
      <c r="J500" s="1288">
        <v>0.13343579694669788</v>
      </c>
      <c r="K500" s="1280">
        <v>1.2627343431647073</v>
      </c>
      <c r="L500" s="1237">
        <v>0.17143929502841826</v>
      </c>
    </row>
    <row r="501" spans="1:12" s="326" customFormat="1" ht="15.5" x14ac:dyDescent="0.35">
      <c r="A501" s="328" t="s">
        <v>1465</v>
      </c>
      <c r="B501" s="1291">
        <v>0.11869171096458012</v>
      </c>
      <c r="C501" s="1257">
        <v>0.26844767779269429</v>
      </c>
      <c r="D501" s="1257">
        <v>0.13187967884953347</v>
      </c>
      <c r="E501" s="1280">
        <v>0.88669302074483825</v>
      </c>
      <c r="F501" s="1303">
        <v>5.7641107478056633E-2</v>
      </c>
      <c r="G501" s="1288">
        <v>8.7888575569668947E-2</v>
      </c>
      <c r="H501" s="1280">
        <v>0.83171027028061717</v>
      </c>
      <c r="I501" s="1303">
        <v>6.3369985178731686E-2</v>
      </c>
      <c r="J501" s="1288">
        <v>0.13215225119871568</v>
      </c>
      <c r="K501" s="1280">
        <v>1.2505878477407872</v>
      </c>
      <c r="L501" s="1237">
        <v>0.17143929502841826</v>
      </c>
    </row>
    <row r="502" spans="1:12" s="326" customFormat="1" ht="15.5" x14ac:dyDescent="0.35">
      <c r="A502" s="328" t="s">
        <v>1466</v>
      </c>
      <c r="B502" s="1291">
        <v>0.11869171096458012</v>
      </c>
      <c r="C502" s="1257">
        <v>0.26844767779269429</v>
      </c>
      <c r="D502" s="1257">
        <v>0.13187967884953347</v>
      </c>
      <c r="E502" s="1280">
        <v>0.88669302074483825</v>
      </c>
      <c r="F502" s="1303">
        <v>5.7619009587372531E-2</v>
      </c>
      <c r="G502" s="1288">
        <v>8.3932342923153921E-2</v>
      </c>
      <c r="H502" s="1280">
        <v>0.7942715098683758</v>
      </c>
      <c r="I502" s="1303">
        <v>6.3436900465535892E-2</v>
      </c>
      <c r="J502" s="1288">
        <v>0.13263214059761749</v>
      </c>
      <c r="K502" s="1280">
        <v>1.2551291540377478</v>
      </c>
      <c r="L502" s="1237">
        <v>0.17143929502841826</v>
      </c>
    </row>
    <row r="503" spans="1:12" s="326" customFormat="1" ht="15.5" x14ac:dyDescent="0.35">
      <c r="A503" s="328" t="s">
        <v>1467</v>
      </c>
      <c r="B503" s="1291">
        <v>0.11869171096458012</v>
      </c>
      <c r="C503" s="1257">
        <v>0.26844767779269429</v>
      </c>
      <c r="D503" s="1257">
        <v>0.13187967884953347</v>
      </c>
      <c r="E503" s="1280">
        <v>0.88669302074483825</v>
      </c>
      <c r="F503" s="1303">
        <v>5.7803613318595376E-2</v>
      </c>
      <c r="G503" s="1288">
        <v>7.9366725668129634E-2</v>
      </c>
      <c r="H503" s="1280">
        <v>0.75106599952119735</v>
      </c>
      <c r="I503" s="1303">
        <v>6.3636930473932499E-2</v>
      </c>
      <c r="J503" s="1288">
        <v>0.13183961932186986</v>
      </c>
      <c r="K503" s="1280">
        <v>1.2476293387297537</v>
      </c>
      <c r="L503" s="1237">
        <v>0.17143929502841826</v>
      </c>
    </row>
    <row r="504" spans="1:12" s="326" customFormat="1" ht="15.5" x14ac:dyDescent="0.35">
      <c r="A504" s="328" t="s">
        <v>1468</v>
      </c>
      <c r="B504" s="1291">
        <v>0.11869171096458012</v>
      </c>
      <c r="C504" s="1257">
        <v>0.26844767779269429</v>
      </c>
      <c r="D504" s="1257">
        <v>0.13187967884953347</v>
      </c>
      <c r="E504" s="1280">
        <v>0.88669302074483825</v>
      </c>
      <c r="F504" s="1303">
        <v>5.7099110353858597E-2</v>
      </c>
      <c r="G504" s="1288">
        <v>7.2055098704693135E-2</v>
      </c>
      <c r="H504" s="1280">
        <v>0.68187435318338296</v>
      </c>
      <c r="I504" s="1303">
        <v>6.3138120117606292E-2</v>
      </c>
      <c r="J504" s="1288">
        <v>0.13146189270267108</v>
      </c>
      <c r="K504" s="1280">
        <v>1.2440548228554242</v>
      </c>
      <c r="L504" s="1237">
        <v>0.17143929502841826</v>
      </c>
    </row>
    <row r="505" spans="1:12" s="326" customFormat="1" ht="15.5" x14ac:dyDescent="0.35">
      <c r="A505" s="328" t="s">
        <v>1469</v>
      </c>
      <c r="B505" s="1291">
        <v>0.11869171096458012</v>
      </c>
      <c r="C505" s="1257">
        <v>0.26844767779269429</v>
      </c>
      <c r="D505" s="1257">
        <v>0.13187967884953347</v>
      </c>
      <c r="E505" s="1280">
        <v>0.88669302074483825</v>
      </c>
      <c r="F505" s="1303">
        <v>5.7299772133760814E-2</v>
      </c>
      <c r="G505" s="1288">
        <v>7.6524077330879681E-2</v>
      </c>
      <c r="H505" s="1280">
        <v>0.72416534944736877</v>
      </c>
      <c r="I505" s="1303">
        <v>6.3349898997076035E-2</v>
      </c>
      <c r="J505" s="1288">
        <v>0.13100874403067728</v>
      </c>
      <c r="K505" s="1280">
        <v>1.2397665703491298</v>
      </c>
      <c r="L505" s="1237">
        <v>0.17143929502841826</v>
      </c>
    </row>
    <row r="506" spans="1:12" s="326" customFormat="1" ht="15.5" x14ac:dyDescent="0.35">
      <c r="A506" s="328" t="s">
        <v>1470</v>
      </c>
      <c r="B506" s="1291">
        <v>0.11869171096458012</v>
      </c>
      <c r="C506" s="1257">
        <v>0.26844767779269429</v>
      </c>
      <c r="D506" s="1257">
        <v>0.13187967884953347</v>
      </c>
      <c r="E506" s="1280">
        <v>0.88669302074483825</v>
      </c>
      <c r="F506" s="1303">
        <v>5.746544661532877E-2</v>
      </c>
      <c r="G506" s="1288">
        <v>7.4379921827255072E-2</v>
      </c>
      <c r="H506" s="1280">
        <v>0.70387470140939168</v>
      </c>
      <c r="I506" s="1303">
        <v>6.3509325912851453E-2</v>
      </c>
      <c r="J506" s="1288">
        <v>0.13001623468732171</v>
      </c>
      <c r="K506" s="1280">
        <v>1.2303742209013457</v>
      </c>
      <c r="L506" s="1237">
        <v>0.17143929502841826</v>
      </c>
    </row>
    <row r="507" spans="1:12" s="326" customFormat="1" ht="15.5" x14ac:dyDescent="0.35">
      <c r="A507" s="328" t="s">
        <v>1471</v>
      </c>
      <c r="B507" s="1291">
        <v>0.11869171096458012</v>
      </c>
      <c r="C507" s="1257">
        <v>0.26844767779269429</v>
      </c>
      <c r="D507" s="1257">
        <v>0.13187967884953347</v>
      </c>
      <c r="E507" s="1280">
        <v>0.88669302074483825</v>
      </c>
      <c r="F507" s="1303">
        <v>5.7584989586436923E-2</v>
      </c>
      <c r="G507" s="1288">
        <v>7.3964253784898085E-2</v>
      </c>
      <c r="H507" s="1280">
        <v>0.69994113692032245</v>
      </c>
      <c r="I507" s="1303">
        <v>6.371191780932943E-2</v>
      </c>
      <c r="J507" s="1288">
        <v>0.12822265475913638</v>
      </c>
      <c r="K507" s="1280">
        <v>1.2134011520221215</v>
      </c>
      <c r="L507" s="1237">
        <v>0.17143929502841826</v>
      </c>
    </row>
    <row r="508" spans="1:12" s="326" customFormat="1" ht="15.5" x14ac:dyDescent="0.35">
      <c r="A508" s="328" t="s">
        <v>1472</v>
      </c>
      <c r="B508" s="1291">
        <v>0.11869171096458012</v>
      </c>
      <c r="C508" s="1257">
        <v>0.26844767779269429</v>
      </c>
      <c r="D508" s="1257">
        <v>0.13187967884953347</v>
      </c>
      <c r="E508" s="1280">
        <v>0.88669302074483825</v>
      </c>
      <c r="F508" s="1303">
        <v>5.7517597898185079E-2</v>
      </c>
      <c r="G508" s="1288">
        <v>6.9907025182676275E-2</v>
      </c>
      <c r="H508" s="1280">
        <v>0.66154662801547326</v>
      </c>
      <c r="I508" s="1303">
        <v>6.3842382599502465E-2</v>
      </c>
      <c r="J508" s="1288">
        <v>0.12882910930135669</v>
      </c>
      <c r="K508" s="1280">
        <v>1.2191401740503385</v>
      </c>
      <c r="L508" s="1237">
        <v>0.17143929502841826</v>
      </c>
    </row>
    <row r="509" spans="1:12" s="326" customFormat="1" ht="15.5" x14ac:dyDescent="0.35">
      <c r="A509" s="328" t="s">
        <v>1473</v>
      </c>
      <c r="B509" s="1291">
        <v>0.11869171096458012</v>
      </c>
      <c r="C509" s="1257">
        <v>0.26844767779269429</v>
      </c>
      <c r="D509" s="1257">
        <v>0.13187967884953347</v>
      </c>
      <c r="E509" s="1280">
        <v>0.88669302074483825</v>
      </c>
      <c r="F509" s="1303">
        <v>5.7529253396373416E-2</v>
      </c>
      <c r="G509" s="1288">
        <v>6.8826481470981415E-2</v>
      </c>
      <c r="H509" s="1280">
        <v>0.65132118862612554</v>
      </c>
      <c r="I509" s="1303">
        <v>6.3589418257062533E-2</v>
      </c>
      <c r="J509" s="1288">
        <v>0.12878731832371312</v>
      </c>
      <c r="K509" s="1280">
        <v>1.2187446961957262</v>
      </c>
      <c r="L509" s="1237">
        <v>0.17143929502841826</v>
      </c>
    </row>
    <row r="510" spans="1:12" s="326" customFormat="1" ht="15.5" x14ac:dyDescent="0.35">
      <c r="A510" s="328" t="s">
        <v>1474</v>
      </c>
      <c r="B510" s="1291">
        <v>0.11869171096458012</v>
      </c>
      <c r="C510" s="1257">
        <v>0.26844767779269429</v>
      </c>
      <c r="D510" s="1257">
        <v>0.13187967884953347</v>
      </c>
      <c r="E510" s="1280">
        <v>0.88669302074483825</v>
      </c>
      <c r="F510" s="1303">
        <v>5.7358540957441119E-2</v>
      </c>
      <c r="G510" s="1288">
        <v>7.4440088379446379E-2</v>
      </c>
      <c r="H510" s="1280">
        <v>0.70444407164961387</v>
      </c>
      <c r="I510" s="1303">
        <v>6.3127811418568408E-2</v>
      </c>
      <c r="J510" s="1288">
        <v>0.12941918882692502</v>
      </c>
      <c r="K510" s="1280">
        <v>1.224724235443033</v>
      </c>
      <c r="L510" s="1237">
        <v>0.17143929502841826</v>
      </c>
    </row>
    <row r="511" spans="1:12" s="326" customFormat="1" ht="15.5" x14ac:dyDescent="0.35">
      <c r="A511" s="328" t="s">
        <v>1475</v>
      </c>
      <c r="B511" s="1291">
        <v>0.11869171096458012</v>
      </c>
      <c r="C511" s="1257">
        <v>0.26844767779269429</v>
      </c>
      <c r="D511" s="1257">
        <v>0.13187967884953347</v>
      </c>
      <c r="E511" s="1280">
        <v>0.88669302074483825</v>
      </c>
      <c r="F511" s="1303">
        <v>5.7496509277055553E-2</v>
      </c>
      <c r="G511" s="1288">
        <v>7.2881863993267668E-2</v>
      </c>
      <c r="H511" s="1280">
        <v>0.6896982276421727</v>
      </c>
      <c r="I511" s="1303">
        <v>6.3511015036765817E-2</v>
      </c>
      <c r="J511" s="1288">
        <v>0.12955019131185014</v>
      </c>
      <c r="K511" s="1280">
        <v>1.2259639427819937</v>
      </c>
      <c r="L511" s="1237">
        <v>0.17143929502841826</v>
      </c>
    </row>
    <row r="512" spans="1:12" s="326" customFormat="1" ht="15.5" x14ac:dyDescent="0.35">
      <c r="A512" s="328" t="s">
        <v>1476</v>
      </c>
      <c r="B512" s="1291">
        <v>0.11869171096458012</v>
      </c>
      <c r="C512" s="1257">
        <v>0.26844767779269429</v>
      </c>
      <c r="D512" s="1257">
        <v>0.13187967884953347</v>
      </c>
      <c r="E512" s="1280">
        <v>0.88669302074483825</v>
      </c>
      <c r="F512" s="1303">
        <v>5.7285474614765942E-2</v>
      </c>
      <c r="G512" s="1288">
        <v>7.1593105393388368E-2</v>
      </c>
      <c r="H512" s="1280">
        <v>0.67750240177419718</v>
      </c>
      <c r="I512" s="1303">
        <v>6.3464380412000615E-2</v>
      </c>
      <c r="J512" s="1288">
        <v>0.12941063913725581</v>
      </c>
      <c r="K512" s="1280">
        <v>1.2246433277180018</v>
      </c>
      <c r="L512" s="1237">
        <v>0.17143929502841826</v>
      </c>
    </row>
    <row r="513" spans="1:12" s="326" customFormat="1" ht="15.5" x14ac:dyDescent="0.35">
      <c r="A513" s="328" t="s">
        <v>1477</v>
      </c>
      <c r="B513" s="1291">
        <v>0.11869171096458012</v>
      </c>
      <c r="C513" s="1257">
        <v>0.26844767779269429</v>
      </c>
      <c r="D513" s="1257">
        <v>0.13187967884953347</v>
      </c>
      <c r="E513" s="1280">
        <v>0.88669302074483825</v>
      </c>
      <c r="F513" s="1303">
        <v>5.7092575045912086E-2</v>
      </c>
      <c r="G513" s="1288">
        <v>7.233188317837505E-2</v>
      </c>
      <c r="H513" s="1280">
        <v>0.6844936297835934</v>
      </c>
      <c r="I513" s="1303">
        <v>6.3064201482617349E-2</v>
      </c>
      <c r="J513" s="1288">
        <v>0.12869825211330468</v>
      </c>
      <c r="K513" s="1280">
        <v>1.2179018416898759</v>
      </c>
      <c r="L513" s="1237">
        <v>0.17143929502841826</v>
      </c>
    </row>
    <row r="514" spans="1:12" s="326" customFormat="1" ht="15.5" x14ac:dyDescent="0.35">
      <c r="A514" s="328" t="s">
        <v>1478</v>
      </c>
      <c r="B514" s="1291">
        <v>0.11869171096458012</v>
      </c>
      <c r="C514" s="1257">
        <v>0.26844767779269429</v>
      </c>
      <c r="D514" s="1257">
        <v>0.13187967884953347</v>
      </c>
      <c r="E514" s="1280">
        <v>0.88669302074483825</v>
      </c>
      <c r="F514" s="1303">
        <v>4.8989281847455345E-2</v>
      </c>
      <c r="G514" s="1288">
        <v>7.1897941226405082E-2</v>
      </c>
      <c r="H514" s="1280">
        <v>0.68038713498811276</v>
      </c>
      <c r="I514" s="1303">
        <v>6.9104927266033553E-2</v>
      </c>
      <c r="J514" s="1288">
        <v>0.12768482322122954</v>
      </c>
      <c r="K514" s="1280">
        <v>1.2083115256303116</v>
      </c>
      <c r="L514" s="1237">
        <v>0.17143929502841826</v>
      </c>
    </row>
    <row r="515" spans="1:12" s="326" customFormat="1" ht="15.5" x14ac:dyDescent="0.35">
      <c r="A515" s="328" t="s">
        <v>1479</v>
      </c>
      <c r="B515" s="1291">
        <v>0.11869171096458012</v>
      </c>
      <c r="C515" s="1257">
        <v>0.26844767779269429</v>
      </c>
      <c r="D515" s="1257">
        <v>0.13187967884953347</v>
      </c>
      <c r="E515" s="1280">
        <v>0.88669302074483825</v>
      </c>
      <c r="F515" s="1303">
        <v>4.9267522109448299E-2</v>
      </c>
      <c r="G515" s="1288">
        <v>7.0045143643430133E-2</v>
      </c>
      <c r="H515" s="1280">
        <v>0.66285367550804841</v>
      </c>
      <c r="I515" s="1303">
        <v>6.8924057026199151E-2</v>
      </c>
      <c r="J515" s="1288">
        <v>0.12821509365649428</v>
      </c>
      <c r="K515" s="1280">
        <v>1.2133295995287363</v>
      </c>
      <c r="L515" s="1237">
        <v>0.17143929502841826</v>
      </c>
    </row>
    <row r="516" spans="1:12" s="326" customFormat="1" ht="15.5" x14ac:dyDescent="0.35">
      <c r="A516" s="328" t="s">
        <v>1480</v>
      </c>
      <c r="B516" s="1291">
        <v>0.11869171096458012</v>
      </c>
      <c r="C516" s="1257">
        <v>0.26844767779269429</v>
      </c>
      <c r="D516" s="1257">
        <v>0.13187967884953347</v>
      </c>
      <c r="E516" s="1280">
        <v>0.88669302074483825</v>
      </c>
      <c r="F516" s="1303">
        <v>4.9010052994336646E-2</v>
      </c>
      <c r="G516" s="1288">
        <v>7.4443724481500467E-2</v>
      </c>
      <c r="H516" s="1280">
        <v>0.70447848093890519</v>
      </c>
      <c r="I516" s="1303">
        <v>6.8644435694580258E-2</v>
      </c>
      <c r="J516" s="1288">
        <v>0.12845537591019879</v>
      </c>
      <c r="K516" s="1280">
        <v>1.215603447032543</v>
      </c>
      <c r="L516" s="1237">
        <v>0.17143929502841826</v>
      </c>
    </row>
    <row r="517" spans="1:12" s="326" customFormat="1" ht="15.5" x14ac:dyDescent="0.35">
      <c r="A517" s="328" t="s">
        <v>1481</v>
      </c>
      <c r="B517" s="1291">
        <v>0.11869171096458012</v>
      </c>
      <c r="C517" s="1257">
        <v>0.26844767779269429</v>
      </c>
      <c r="D517" s="1257">
        <v>0.13187967884953347</v>
      </c>
      <c r="E517" s="1280">
        <v>0.88669302074483825</v>
      </c>
      <c r="F517" s="1303">
        <v>5.8595560067734524E-2</v>
      </c>
      <c r="G517" s="1288">
        <v>6.9406915427069699E-2</v>
      </c>
      <c r="H517" s="1280">
        <v>0.65681397172528444</v>
      </c>
      <c r="I517" s="1303">
        <v>7.4459231616818E-2</v>
      </c>
      <c r="J517" s="1288">
        <v>0.12938188018436828</v>
      </c>
      <c r="K517" s="1280">
        <v>1.2243711749800146</v>
      </c>
      <c r="L517" s="1237">
        <v>0.17143929502841826</v>
      </c>
    </row>
    <row r="518" spans="1:12" s="326" customFormat="1" ht="15.5" x14ac:dyDescent="0.35">
      <c r="A518" s="328" t="s">
        <v>1482</v>
      </c>
      <c r="B518" s="1291">
        <v>0.11869171096458012</v>
      </c>
      <c r="C518" s="1257">
        <v>0.26844767779269429</v>
      </c>
      <c r="D518" s="1257">
        <v>0.13187967884953347</v>
      </c>
      <c r="E518" s="1280">
        <v>0.88669302074483825</v>
      </c>
      <c r="F518" s="1303">
        <v>5.8746417018611732E-2</v>
      </c>
      <c r="G518" s="1288">
        <v>6.7793628722171997E-2</v>
      </c>
      <c r="H518" s="1280">
        <v>0.64154706003996587</v>
      </c>
      <c r="I518" s="1303">
        <v>7.5207372451028015E-2</v>
      </c>
      <c r="J518" s="1288">
        <v>0.11474727293303499</v>
      </c>
      <c r="K518" s="1280">
        <v>1.0858804431236473</v>
      </c>
      <c r="L518" s="1237">
        <v>0.17143929502841826</v>
      </c>
    </row>
    <row r="519" spans="1:12" s="326" customFormat="1" ht="15.5" x14ac:dyDescent="0.35">
      <c r="A519" s="328" t="s">
        <v>1483</v>
      </c>
      <c r="B519" s="1291">
        <v>0.11869171096458012</v>
      </c>
      <c r="C519" s="1257">
        <v>0.26844767779269429</v>
      </c>
      <c r="D519" s="1257">
        <v>0.13187967884953347</v>
      </c>
      <c r="E519" s="1280">
        <v>0.88669302074483825</v>
      </c>
      <c r="F519" s="1303">
        <v>5.826545393533665E-2</v>
      </c>
      <c r="G519" s="1288">
        <v>6.186626077716309E-2</v>
      </c>
      <c r="H519" s="1280">
        <v>0.58545498250153594</v>
      </c>
      <c r="I519" s="1303">
        <v>7.5014955486230162E-2</v>
      </c>
      <c r="J519" s="1288">
        <v>9.8573547502909031E-2</v>
      </c>
      <c r="K519" s="1280">
        <v>0.93282467379591116</v>
      </c>
      <c r="L519" s="1237">
        <v>0.17143929502841826</v>
      </c>
    </row>
    <row r="520" spans="1:12" s="326" customFormat="1" ht="15.5" x14ac:dyDescent="0.35">
      <c r="A520" s="328" t="s">
        <v>1484</v>
      </c>
      <c r="B520" s="1287">
        <v>0.11869171096458012</v>
      </c>
      <c r="C520" s="1288">
        <v>0.26844767779269429</v>
      </c>
      <c r="D520" s="1288">
        <v>0.27646242285008849</v>
      </c>
      <c r="E520" s="1306">
        <v>1.7817425743723592</v>
      </c>
      <c r="F520" s="1303">
        <v>6.327800918502377E-2</v>
      </c>
      <c r="G520" s="1288">
        <v>5.7570647317318632E-2</v>
      </c>
      <c r="H520" s="1280">
        <v>0.54480458159844913</v>
      </c>
      <c r="I520" s="1303">
        <v>8.0537678681242064E-2</v>
      </c>
      <c r="J520" s="1288">
        <v>9.8555932591152293E-2</v>
      </c>
      <c r="K520" s="1280">
        <v>0.93265797974127207</v>
      </c>
      <c r="L520" s="1237">
        <v>0.17143929502841826</v>
      </c>
    </row>
    <row r="521" spans="1:12" s="326" customFormat="1" ht="15.5" x14ac:dyDescent="0.35">
      <c r="A521" s="328" t="s">
        <v>1485</v>
      </c>
      <c r="B521" s="1287">
        <v>0.11858971169683015</v>
      </c>
      <c r="C521" s="1288">
        <v>0.22459926673616451</v>
      </c>
      <c r="D521" s="1288">
        <v>0.29139434851823687</v>
      </c>
      <c r="E521" s="1306">
        <v>1.8190021418956595</v>
      </c>
      <c r="F521" s="1303">
        <v>6.5738314601253026E-2</v>
      </c>
      <c r="G521" s="1288">
        <v>5.7700873505330624E-2</v>
      </c>
      <c r="H521" s="1280">
        <v>0.5460369426570626</v>
      </c>
      <c r="I521" s="1303">
        <v>8.022273693706275E-2</v>
      </c>
      <c r="J521" s="1288">
        <v>0.10023888796441394</v>
      </c>
      <c r="K521" s="1280">
        <v>0.94858418242794662</v>
      </c>
      <c r="L521" s="1330">
        <v>0.17143929502841826</v>
      </c>
    </row>
    <row r="522" spans="1:12" s="326" customFormat="1" ht="15.5" x14ac:dyDescent="0.35">
      <c r="A522" s="328" t="s">
        <v>1486</v>
      </c>
      <c r="B522" s="1287">
        <v>0.14090666055082229</v>
      </c>
      <c r="C522" s="1288">
        <v>0.22308521080419222</v>
      </c>
      <c r="D522" s="1288">
        <v>0.27516831202310094</v>
      </c>
      <c r="E522" s="1306">
        <v>1.9102057733854532</v>
      </c>
      <c r="F522" s="1303">
        <v>5.8178990132736932E-2</v>
      </c>
      <c r="G522" s="1288">
        <v>5.7946018185395153E-2</v>
      </c>
      <c r="H522" s="1280">
        <v>0.54835680444561441</v>
      </c>
      <c r="I522" s="1303">
        <v>8.0472783229295825E-2</v>
      </c>
      <c r="J522" s="1288">
        <v>0.10016240105772145</v>
      </c>
      <c r="K522" s="1280">
        <v>0.94786036883299629</v>
      </c>
      <c r="L522" s="1330">
        <v>0.16957768869196072</v>
      </c>
    </row>
    <row r="523" spans="1:12" s="326" customFormat="1" ht="15.5" x14ac:dyDescent="0.35">
      <c r="A523" s="328" t="s">
        <v>1487</v>
      </c>
      <c r="B523" s="1287">
        <v>0.13255260788223977</v>
      </c>
      <c r="C523" s="1288">
        <v>0.21497515735646711</v>
      </c>
      <c r="D523" s="1288">
        <v>0.28670268450090136</v>
      </c>
      <c r="E523" s="1306">
        <v>2.0689787306223222</v>
      </c>
      <c r="F523" s="1303">
        <v>6.4471290945313273E-2</v>
      </c>
      <c r="G523" s="1288">
        <v>5.6810890721566518E-2</v>
      </c>
      <c r="H523" s="1280">
        <v>0.53761482616658895</v>
      </c>
      <c r="I523" s="1303">
        <v>8.0403893561690018E-2</v>
      </c>
      <c r="J523" s="1288">
        <v>0.10056870658000042</v>
      </c>
      <c r="K523" s="1280">
        <v>0.95170533359162157</v>
      </c>
      <c r="L523" s="1330">
        <v>0.1587533331892477</v>
      </c>
    </row>
    <row r="524" spans="1:12" s="326" customFormat="1" ht="15.5" x14ac:dyDescent="0.35">
      <c r="A524" s="328" t="s">
        <v>1488</v>
      </c>
      <c r="B524" s="1287">
        <v>0.1244656702695625</v>
      </c>
      <c r="C524" s="1288">
        <v>0.1276060578081932</v>
      </c>
      <c r="D524" s="1288">
        <v>0.30430951028109837</v>
      </c>
      <c r="E524" s="1306">
        <v>2.0421085275491024</v>
      </c>
      <c r="F524" s="1303">
        <v>5.9217258432574443E-2</v>
      </c>
      <c r="G524" s="1288">
        <v>5.4861017071904911E-2</v>
      </c>
      <c r="H524" s="1280">
        <v>0.51916271302604133</v>
      </c>
      <c r="I524" s="1303">
        <v>7.8212015304959734E-2</v>
      </c>
      <c r="J524" s="1288">
        <v>9.8034893290797884E-2</v>
      </c>
      <c r="K524" s="1280">
        <v>0.92772726224453583</v>
      </c>
      <c r="L524" s="1330">
        <v>0.18747214482251709</v>
      </c>
    </row>
    <row r="525" spans="1:12" s="326" customFormat="1" ht="15.5" x14ac:dyDescent="0.35">
      <c r="A525" s="328" t="s">
        <v>1489</v>
      </c>
      <c r="B525" s="1287">
        <v>0.13345783062627728</v>
      </c>
      <c r="C525" s="1288">
        <v>0.173309099075939</v>
      </c>
      <c r="D525" s="1288">
        <v>0.28779845001486604</v>
      </c>
      <c r="E525" s="1306">
        <v>1.8427228243599927</v>
      </c>
      <c r="F525" s="1303">
        <v>5.6852882279756552E-2</v>
      </c>
      <c r="G525" s="1288">
        <v>5.5073023385786332E-2</v>
      </c>
      <c r="H525" s="1280">
        <v>0.52116897865813971</v>
      </c>
      <c r="I525" s="1303">
        <v>7.7737504033494637E-2</v>
      </c>
      <c r="J525" s="1288">
        <v>9.8799855915785162E-2</v>
      </c>
      <c r="K525" s="1280">
        <v>0.93496628355599631</v>
      </c>
      <c r="L525" s="1330">
        <v>0.18664908716587592</v>
      </c>
    </row>
    <row r="526" spans="1:12" s="326" customFormat="1" ht="15.5" x14ac:dyDescent="0.35">
      <c r="A526" s="328" t="s">
        <v>1490</v>
      </c>
      <c r="B526" s="1287">
        <v>0.11189853614694001</v>
      </c>
      <c r="C526" s="1288">
        <v>0.1115782259405475</v>
      </c>
      <c r="D526" s="1288">
        <v>0.31672678126322173</v>
      </c>
      <c r="E526" s="1306">
        <v>2.0061020004255217</v>
      </c>
      <c r="F526" s="1303">
        <v>5.9553204745883673E-2</v>
      </c>
      <c r="G526" s="1288">
        <v>5.5118093093814484E-2</v>
      </c>
      <c r="H526" s="1280">
        <v>0.52159548390984734</v>
      </c>
      <c r="I526" s="1303">
        <v>7.5385228311205282E-2</v>
      </c>
      <c r="J526" s="1288">
        <v>9.6087622279941456E-2</v>
      </c>
      <c r="K526" s="1280">
        <v>0.90929977848738719</v>
      </c>
      <c r="L526" s="1330">
        <v>0.18590833527486467</v>
      </c>
    </row>
    <row r="527" spans="1:12" s="326" customFormat="1" ht="15.5" x14ac:dyDescent="0.35">
      <c r="A527" s="328" t="s">
        <v>1491</v>
      </c>
      <c r="B527" s="1287">
        <v>0.12044608630813211</v>
      </c>
      <c r="C527" s="1288">
        <v>0.16934491455683739</v>
      </c>
      <c r="D527" s="1288">
        <v>0.20957093481222114</v>
      </c>
      <c r="E527" s="1306">
        <v>1.9900697103757234</v>
      </c>
      <c r="F527" s="1303">
        <v>5.8729160625854655E-2</v>
      </c>
      <c r="G527" s="1288">
        <v>5.434804348474568E-2</v>
      </c>
      <c r="H527" s="1280">
        <v>0.51430832327108589</v>
      </c>
      <c r="I527" s="1303">
        <v>7.2630341689587E-2</v>
      </c>
      <c r="J527" s="1288">
        <v>9.4735691281858062E-2</v>
      </c>
      <c r="K527" s="1280">
        <v>0.89650613735111273</v>
      </c>
      <c r="L527" s="1330">
        <v>0.19090439217364497</v>
      </c>
    </row>
    <row r="528" spans="1:12" s="326" customFormat="1" ht="15.5" x14ac:dyDescent="0.35">
      <c r="A528" s="328" t="s">
        <v>1492</v>
      </c>
      <c r="B528" s="1287">
        <v>0.13192436100179458</v>
      </c>
      <c r="C528" s="1288">
        <v>0.15441268786113435</v>
      </c>
      <c r="D528" s="1288">
        <v>0.21046603522385202</v>
      </c>
      <c r="E528" s="1306">
        <v>1.9935416838630147</v>
      </c>
      <c r="F528" s="1303">
        <v>5.3840354952536439E-2</v>
      </c>
      <c r="G528" s="1288">
        <v>5.328496390980042E-2</v>
      </c>
      <c r="H528" s="1280">
        <v>0.50424815111700838</v>
      </c>
      <c r="I528" s="1303">
        <v>6.8131965208898762E-2</v>
      </c>
      <c r="J528" s="1288">
        <v>9.0180602504157353E-2</v>
      </c>
      <c r="K528" s="1280">
        <v>0.85340026046213602</v>
      </c>
      <c r="L528" s="1330">
        <v>0.190904392173676</v>
      </c>
    </row>
    <row r="529" spans="1:12" s="326" customFormat="1" ht="15.5" x14ac:dyDescent="0.35">
      <c r="A529" s="328" t="s">
        <v>1493</v>
      </c>
      <c r="B529" s="1287">
        <v>0.13536366656721716</v>
      </c>
      <c r="C529" s="1288">
        <v>0.13788667630686122</v>
      </c>
      <c r="D529" s="1288">
        <v>0.22649393501409976</v>
      </c>
      <c r="E529" s="1306">
        <v>1.7652513668388681</v>
      </c>
      <c r="F529" s="1303">
        <v>5.6809741565114709E-2</v>
      </c>
      <c r="G529" s="1288">
        <v>5.1358959353917044E-2</v>
      </c>
      <c r="H529" s="1280">
        <v>0.48602191682714146</v>
      </c>
      <c r="I529" s="1303">
        <v>6.8184201962449092E-2</v>
      </c>
      <c r="J529" s="1288">
        <v>8.9252819847624953E-2</v>
      </c>
      <c r="K529" s="1280">
        <v>0.84462043488156835</v>
      </c>
      <c r="L529" s="1330">
        <v>0.1909043921734995</v>
      </c>
    </row>
    <row r="530" spans="1:12" s="326" customFormat="1" ht="15.5" x14ac:dyDescent="0.35">
      <c r="A530" s="328" t="s">
        <v>1494</v>
      </c>
      <c r="B530" s="1287">
        <v>0.11513818870457222</v>
      </c>
      <c r="C530" s="1288">
        <v>0.17456098678970855</v>
      </c>
      <c r="D530" s="1288">
        <v>0.24770223525148644</v>
      </c>
      <c r="E530" s="1280">
        <v>0.86014623528354583</v>
      </c>
      <c r="F530" s="1303">
        <v>5.3654111159001233E-2</v>
      </c>
      <c r="G530" s="1288">
        <v>5.1316562603797064E-2</v>
      </c>
      <c r="H530" s="1280">
        <v>0.48562070640505017</v>
      </c>
      <c r="I530" s="1303">
        <v>6.4778917836965683E-2</v>
      </c>
      <c r="J530" s="1288">
        <v>8.6699769774191304E-2</v>
      </c>
      <c r="K530" s="1280">
        <v>0.82046032131900148</v>
      </c>
      <c r="L530" s="1330">
        <v>0.19090439217366975</v>
      </c>
    </row>
    <row r="531" spans="1:12" s="326" customFormat="1" ht="15.5" x14ac:dyDescent="0.35">
      <c r="A531" s="328" t="s">
        <v>1495</v>
      </c>
      <c r="B531" s="1287">
        <v>9.198633465999291E-2</v>
      </c>
      <c r="C531" s="1288">
        <v>0.16120073272345775</v>
      </c>
      <c r="D531" s="1288">
        <v>0.25034261582429179</v>
      </c>
      <c r="E531" s="1280">
        <v>0.68718902342940258</v>
      </c>
      <c r="F531" s="1303">
        <v>5.2179623734704729E-2</v>
      </c>
      <c r="G531" s="1288">
        <v>4.8826676878644719E-2</v>
      </c>
      <c r="H531" s="1280">
        <v>0.46205833193246881</v>
      </c>
      <c r="I531" s="1303">
        <v>6.314564659248284E-2</v>
      </c>
      <c r="J531" s="1288">
        <v>8.4499816477563897E-2</v>
      </c>
      <c r="K531" s="1280">
        <v>0.79964164563694662</v>
      </c>
      <c r="L531" s="1330">
        <v>0.17265273064896661</v>
      </c>
    </row>
    <row r="532" spans="1:12" s="326" customFormat="1" ht="15.5" x14ac:dyDescent="0.35">
      <c r="A532" s="328" t="s">
        <v>1496</v>
      </c>
      <c r="B532" s="1287">
        <v>9.7177664392824284E-2</v>
      </c>
      <c r="C532" s="1288">
        <v>0.18950844979340498</v>
      </c>
      <c r="D532" s="1288">
        <v>0.28463718726600007</v>
      </c>
      <c r="E532" s="1280">
        <v>0.72597114060572676</v>
      </c>
      <c r="F532" s="1303">
        <v>5.0819993943694866E-2</v>
      </c>
      <c r="G532" s="1288">
        <v>4.7115950939513575E-2</v>
      </c>
      <c r="H532" s="1280">
        <v>0.44586932984672034</v>
      </c>
      <c r="I532" s="1303">
        <v>6.1574593038498257E-2</v>
      </c>
      <c r="J532" s="1288">
        <v>8.2383169648178239E-2</v>
      </c>
      <c r="K532" s="1280">
        <v>0.77961131865592204</v>
      </c>
      <c r="L532" s="1330">
        <v>0.17265273064917661</v>
      </c>
    </row>
    <row r="533" spans="1:12" s="326" customFormat="1" ht="15.5" x14ac:dyDescent="0.35">
      <c r="A533" s="328" t="s">
        <v>1497</v>
      </c>
      <c r="B533" s="1287">
        <v>0.1054709266675804</v>
      </c>
      <c r="C533" s="1288">
        <v>0.18170159989396686</v>
      </c>
      <c r="D533" s="1288">
        <v>0.22904467450786919</v>
      </c>
      <c r="E533" s="1280">
        <v>0.78792641716608536</v>
      </c>
      <c r="F533" s="1303">
        <v>4.9467992996411185E-2</v>
      </c>
      <c r="G533" s="1288">
        <v>4.5473083850467548E-2</v>
      </c>
      <c r="H533" s="1280">
        <v>0.43032249202611572</v>
      </c>
      <c r="I533" s="1303">
        <v>5.999929778537428E-2</v>
      </c>
      <c r="J533" s="1288">
        <v>8.0251360723450377E-2</v>
      </c>
      <c r="K533" s="1280">
        <v>0.75943750919912245</v>
      </c>
      <c r="L533" s="1330">
        <v>0.17265273064920431</v>
      </c>
    </row>
    <row r="534" spans="1:12" s="326" customFormat="1" ht="15.5" x14ac:dyDescent="0.35">
      <c r="A534" s="328" t="s">
        <v>1498</v>
      </c>
      <c r="B534" s="1287">
        <v>0.10357212644771163</v>
      </c>
      <c r="C534" s="1288">
        <v>0.13638712670321923</v>
      </c>
      <c r="D534" s="1288">
        <v>0.21906981170954548</v>
      </c>
      <c r="E534" s="1306">
        <v>1.8984830843794056</v>
      </c>
      <c r="F534" s="1303">
        <v>4.8890568416775436E-2</v>
      </c>
      <c r="G534" s="1288">
        <v>4.34733175672289E-2</v>
      </c>
      <c r="H534" s="1306">
        <v>0.41369734435449379</v>
      </c>
      <c r="I534" s="1303">
        <v>5.9967249509983118E-2</v>
      </c>
      <c r="J534" s="1288">
        <v>8.0135591321358807E-2</v>
      </c>
      <c r="K534" s="1306">
        <v>0.59812626527224622</v>
      </c>
      <c r="L534" s="1330">
        <v>0.15958761837849827</v>
      </c>
    </row>
    <row r="535" spans="1:12" s="326" customFormat="1" ht="15.5" x14ac:dyDescent="0.35">
      <c r="A535" s="328" t="s">
        <v>1499</v>
      </c>
      <c r="B535" s="1291">
        <v>0.10357212644771163</v>
      </c>
      <c r="C535" s="1257">
        <v>0.13638712670321923</v>
      </c>
      <c r="D535" s="1257">
        <v>0.21906981170954548</v>
      </c>
      <c r="E535" s="1280">
        <v>1.8984830843794056</v>
      </c>
      <c r="F535" s="1271">
        <v>4.8890568416775436E-2</v>
      </c>
      <c r="G535" s="1257">
        <v>4.34733175672289E-2</v>
      </c>
      <c r="H535" s="1280">
        <v>0.41369734435449379</v>
      </c>
      <c r="I535" s="1271">
        <v>5.9967249509983118E-2</v>
      </c>
      <c r="J535" s="1257">
        <v>8.0135591321358807E-2</v>
      </c>
      <c r="K535" s="1280">
        <v>0.59812626527224622</v>
      </c>
      <c r="L535" s="1330">
        <v>0.16709134302459594</v>
      </c>
    </row>
    <row r="536" spans="1:12" s="326" customFormat="1" ht="15.5" x14ac:dyDescent="0.35">
      <c r="A536" s="328" t="s">
        <v>1500</v>
      </c>
      <c r="B536" s="1291">
        <v>0.11858971169683015</v>
      </c>
      <c r="C536" s="1257">
        <v>0.2246074003212388</v>
      </c>
      <c r="D536" s="1257">
        <v>0.13176634632981127</v>
      </c>
      <c r="E536" s="1280">
        <v>0.88593102954848602</v>
      </c>
      <c r="F536" s="1271">
        <v>5.7736565582738882E-2</v>
      </c>
      <c r="G536" s="1257">
        <v>0.10547350386697135</v>
      </c>
      <c r="H536" s="1280">
        <v>0.99812058438817752</v>
      </c>
      <c r="I536" s="1271">
        <v>6.3590127512195241E-2</v>
      </c>
      <c r="J536" s="1257">
        <v>0.14153001242328012</v>
      </c>
      <c r="K536" s="1280">
        <v>1.3393318087408934</v>
      </c>
      <c r="L536" s="1237">
        <v>0.1728045400022096</v>
      </c>
    </row>
    <row r="537" spans="1:12" s="326" customFormat="1" ht="15.5" x14ac:dyDescent="0.35">
      <c r="A537" s="328" t="s">
        <v>1501</v>
      </c>
      <c r="B537" s="1291">
        <v>0.11858971169683015</v>
      </c>
      <c r="C537" s="1257">
        <v>0.2246074003212388</v>
      </c>
      <c r="D537" s="1257">
        <v>0.13176634632981127</v>
      </c>
      <c r="E537" s="1280">
        <v>0.88593102954848602</v>
      </c>
      <c r="F537" s="1271">
        <v>5.7736565582738882E-2</v>
      </c>
      <c r="G537" s="1257">
        <v>0.10547350386697135</v>
      </c>
      <c r="H537" s="1280">
        <v>0.99812058438817752</v>
      </c>
      <c r="I537" s="1271">
        <v>6.3590127512195241E-2</v>
      </c>
      <c r="J537" s="1257">
        <v>0.14153001242328012</v>
      </c>
      <c r="K537" s="1280">
        <v>1.3393318087408934</v>
      </c>
      <c r="L537" s="1237">
        <v>0.1728045400022096</v>
      </c>
    </row>
    <row r="538" spans="1:12" s="326" customFormat="1" ht="15.5" x14ac:dyDescent="0.35">
      <c r="A538" s="328" t="s">
        <v>1502</v>
      </c>
      <c r="B538" s="1291">
        <v>0.11858971169683015</v>
      </c>
      <c r="C538" s="1257">
        <v>0.2246074003212388</v>
      </c>
      <c r="D538" s="1257">
        <v>0.13176634632981127</v>
      </c>
      <c r="E538" s="1280">
        <v>0.88593102954848602</v>
      </c>
      <c r="F538" s="1271">
        <v>5.7736565582738882E-2</v>
      </c>
      <c r="G538" s="1257">
        <v>0.10547350386697135</v>
      </c>
      <c r="H538" s="1280">
        <v>0.99812058438817752</v>
      </c>
      <c r="I538" s="1271">
        <v>6.3590127512195241E-2</v>
      </c>
      <c r="J538" s="1257">
        <v>0.14153001242328012</v>
      </c>
      <c r="K538" s="1280">
        <v>1.3393318087408934</v>
      </c>
      <c r="L538" s="1237">
        <v>0.1728045400022096</v>
      </c>
    </row>
    <row r="539" spans="1:12" s="326" customFormat="1" ht="15.5" x14ac:dyDescent="0.35">
      <c r="A539" s="328" t="s">
        <v>1503</v>
      </c>
      <c r="B539" s="1291">
        <v>0.11858971169683015</v>
      </c>
      <c r="C539" s="1257">
        <v>0.2246074003212388</v>
      </c>
      <c r="D539" s="1257">
        <v>0.13176634632981127</v>
      </c>
      <c r="E539" s="1280">
        <v>0.88593102954848602</v>
      </c>
      <c r="F539" s="1271">
        <v>5.7736565582738882E-2</v>
      </c>
      <c r="G539" s="1257">
        <v>0.10547350386697135</v>
      </c>
      <c r="H539" s="1280">
        <v>0.99812058438817752</v>
      </c>
      <c r="I539" s="1271">
        <v>6.3590127512195241E-2</v>
      </c>
      <c r="J539" s="1257">
        <v>0.14153001242328012</v>
      </c>
      <c r="K539" s="1280">
        <v>1.3393318087408934</v>
      </c>
      <c r="L539" s="1237">
        <v>0.1728045400022096</v>
      </c>
    </row>
    <row r="540" spans="1:12" s="326" customFormat="1" ht="15.5" x14ac:dyDescent="0.35">
      <c r="A540" s="328" t="s">
        <v>1504</v>
      </c>
      <c r="B540" s="1291">
        <v>0.11858971169683015</v>
      </c>
      <c r="C540" s="1257">
        <v>0.2246074003212388</v>
      </c>
      <c r="D540" s="1257">
        <v>0.13176634632981127</v>
      </c>
      <c r="E540" s="1280">
        <v>0.88593102954848602</v>
      </c>
      <c r="F540" s="1271">
        <v>5.7736565582738882E-2</v>
      </c>
      <c r="G540" s="1257">
        <v>0.10547350386697135</v>
      </c>
      <c r="H540" s="1280">
        <v>0.99812058438817752</v>
      </c>
      <c r="I540" s="1271">
        <v>6.3590127512195241E-2</v>
      </c>
      <c r="J540" s="1257">
        <v>0.14153001242328012</v>
      </c>
      <c r="K540" s="1280">
        <v>1.3393318087408934</v>
      </c>
      <c r="L540" s="1237">
        <v>0.1728045400022096</v>
      </c>
    </row>
    <row r="541" spans="1:12" s="326" customFormat="1" ht="15.5" x14ac:dyDescent="0.35">
      <c r="A541" s="328" t="s">
        <v>1505</v>
      </c>
      <c r="B541" s="1291">
        <v>0.11858971169683015</v>
      </c>
      <c r="C541" s="1257">
        <v>0.2246074003212388</v>
      </c>
      <c r="D541" s="1257">
        <v>0.13176634632981127</v>
      </c>
      <c r="E541" s="1280">
        <v>0.88593102954848602</v>
      </c>
      <c r="F541" s="1271">
        <v>5.7736565582738882E-2</v>
      </c>
      <c r="G541" s="1257">
        <v>0.10547350386697135</v>
      </c>
      <c r="H541" s="1280">
        <v>0.99812058438817752</v>
      </c>
      <c r="I541" s="1271">
        <v>6.3590127512195241E-2</v>
      </c>
      <c r="J541" s="1257">
        <v>0.14153001242328012</v>
      </c>
      <c r="K541" s="1280">
        <v>1.3393318087408934</v>
      </c>
      <c r="L541" s="1237">
        <v>0.1728045400022096</v>
      </c>
    </row>
    <row r="542" spans="1:12" s="326" customFormat="1" ht="15.5" x14ac:dyDescent="0.35">
      <c r="A542" s="328" t="s">
        <v>1506</v>
      </c>
      <c r="B542" s="1291">
        <v>0.11858971169683015</v>
      </c>
      <c r="C542" s="1257">
        <v>0.2246074003212388</v>
      </c>
      <c r="D542" s="1257">
        <v>0.13176634632981127</v>
      </c>
      <c r="E542" s="1280">
        <v>0.88593102954848602</v>
      </c>
      <c r="F542" s="1271">
        <v>5.7736565582738882E-2</v>
      </c>
      <c r="G542" s="1257">
        <v>0.10547350386697135</v>
      </c>
      <c r="H542" s="1280">
        <v>0.99812058438817752</v>
      </c>
      <c r="I542" s="1271">
        <v>6.3590127512195241E-2</v>
      </c>
      <c r="J542" s="1257">
        <v>0.14153001242328012</v>
      </c>
      <c r="K542" s="1280">
        <v>1.3393318087408934</v>
      </c>
      <c r="L542" s="1237">
        <v>0.1728045400022096</v>
      </c>
    </row>
    <row r="543" spans="1:12" s="326" customFormat="1" ht="15.5" x14ac:dyDescent="0.35">
      <c r="A543" s="328" t="s">
        <v>1507</v>
      </c>
      <c r="B543" s="1291">
        <v>0.11858971169683015</v>
      </c>
      <c r="C543" s="1257">
        <v>0.2246074003212388</v>
      </c>
      <c r="D543" s="1257">
        <v>0.13176634632981127</v>
      </c>
      <c r="E543" s="1280">
        <v>0.88593102954848602</v>
      </c>
      <c r="F543" s="1271">
        <v>5.7736565582738882E-2</v>
      </c>
      <c r="G543" s="1257">
        <v>0.10547350386697135</v>
      </c>
      <c r="H543" s="1280">
        <v>0.99812058438817752</v>
      </c>
      <c r="I543" s="1271">
        <v>6.3590127512195241E-2</v>
      </c>
      <c r="J543" s="1257">
        <v>0.14153001242328012</v>
      </c>
      <c r="K543" s="1280">
        <v>1.3393318087408934</v>
      </c>
      <c r="L543" s="1237">
        <v>0.1728045400022096</v>
      </c>
    </row>
    <row r="544" spans="1:12" s="326" customFormat="1" ht="15.5" x14ac:dyDescent="0.35">
      <c r="A544" s="328" t="s">
        <v>1508</v>
      </c>
      <c r="B544" s="1291">
        <v>0.11858971169683015</v>
      </c>
      <c r="C544" s="1257">
        <v>0.2246074003212388</v>
      </c>
      <c r="D544" s="1257">
        <v>0.13176634632981127</v>
      </c>
      <c r="E544" s="1280">
        <v>0.88593102954848602</v>
      </c>
      <c r="F544" s="1271">
        <v>5.7736565582738882E-2</v>
      </c>
      <c r="G544" s="1257">
        <v>0.10547350386697135</v>
      </c>
      <c r="H544" s="1280">
        <v>0.99812058438817752</v>
      </c>
      <c r="I544" s="1271">
        <v>6.3590127512195241E-2</v>
      </c>
      <c r="J544" s="1257">
        <v>0.14153001242328012</v>
      </c>
      <c r="K544" s="1280">
        <v>1.3393318087408934</v>
      </c>
      <c r="L544" s="1237">
        <v>0.1728045400022096</v>
      </c>
    </row>
    <row r="545" spans="1:12" s="326" customFormat="1" ht="15.5" x14ac:dyDescent="0.35">
      <c r="A545" s="328" t="s">
        <v>1509</v>
      </c>
      <c r="B545" s="1291">
        <v>0.11858971169683015</v>
      </c>
      <c r="C545" s="1257">
        <v>0.2246074003212388</v>
      </c>
      <c r="D545" s="1257">
        <v>0.13176634632981127</v>
      </c>
      <c r="E545" s="1280">
        <v>0.88593102954848602</v>
      </c>
      <c r="F545" s="1271">
        <v>5.7736565582738882E-2</v>
      </c>
      <c r="G545" s="1257">
        <v>0.10547350386697135</v>
      </c>
      <c r="H545" s="1280">
        <v>0.99812058438817752</v>
      </c>
      <c r="I545" s="1271">
        <v>6.3590127512195241E-2</v>
      </c>
      <c r="J545" s="1257">
        <v>0.14153001242328012</v>
      </c>
      <c r="K545" s="1280">
        <v>1.3393318087408934</v>
      </c>
      <c r="L545" s="1237">
        <v>0.1728045400022096</v>
      </c>
    </row>
    <row r="546" spans="1:12" s="326" customFormat="1" ht="15.5" x14ac:dyDescent="0.35">
      <c r="A546" s="328" t="s">
        <v>1510</v>
      </c>
      <c r="B546" s="1291">
        <v>0.11858971169683015</v>
      </c>
      <c r="C546" s="1257">
        <v>0.2246074003212388</v>
      </c>
      <c r="D546" s="1257">
        <v>0.13176634632981127</v>
      </c>
      <c r="E546" s="1280">
        <v>0.88593102954848602</v>
      </c>
      <c r="F546" s="1303">
        <v>5.7736565582738882E-2</v>
      </c>
      <c r="G546" s="1288">
        <v>0.10547350386697135</v>
      </c>
      <c r="H546" s="1280">
        <v>0.99812058438817752</v>
      </c>
      <c r="I546" s="1271">
        <v>6.3590127512195241E-2</v>
      </c>
      <c r="J546" s="1288">
        <v>0.14153001242328012</v>
      </c>
      <c r="K546" s="1280">
        <v>1.3393318087408934</v>
      </c>
      <c r="L546" s="1237">
        <v>0.1728045400022096</v>
      </c>
    </row>
    <row r="547" spans="1:12" s="326" customFormat="1" ht="15.5" x14ac:dyDescent="0.35">
      <c r="A547" s="328" t="s">
        <v>1511</v>
      </c>
      <c r="B547" s="1291">
        <v>0.11858971169683015</v>
      </c>
      <c r="C547" s="1257">
        <v>0.2246074003212388</v>
      </c>
      <c r="D547" s="1257">
        <v>0.13176634632981127</v>
      </c>
      <c r="E547" s="1280">
        <v>0.88593102954848602</v>
      </c>
      <c r="F547" s="1303">
        <v>5.7096458295320528E-2</v>
      </c>
      <c r="G547" s="1288">
        <v>0.10911313972690373</v>
      </c>
      <c r="H547" s="1280">
        <v>1.0325633149156257</v>
      </c>
      <c r="I547" s="1303">
        <v>6.3590127512195241E-2</v>
      </c>
      <c r="J547" s="1288">
        <v>0.13984856527634221</v>
      </c>
      <c r="K547" s="1280">
        <v>1.3234198787547973</v>
      </c>
      <c r="L547" s="1237">
        <v>0.1728045400022096</v>
      </c>
    </row>
    <row r="548" spans="1:12" s="326" customFormat="1" ht="15.5" x14ac:dyDescent="0.35">
      <c r="A548" s="328" t="s">
        <v>1512</v>
      </c>
      <c r="B548" s="1291">
        <v>0.11858971169683015</v>
      </c>
      <c r="C548" s="1257">
        <v>0.2246074003212388</v>
      </c>
      <c r="D548" s="1257">
        <v>0.13176634632981127</v>
      </c>
      <c r="E548" s="1280">
        <v>0.88593102954848602</v>
      </c>
      <c r="F548" s="1303">
        <v>5.6833516103672953E-2</v>
      </c>
      <c r="G548" s="1288">
        <v>0.10406453044515777</v>
      </c>
      <c r="H548" s="1280">
        <v>0.98478713737439749</v>
      </c>
      <c r="I548" s="1303">
        <v>6.290898231712598E-2</v>
      </c>
      <c r="J548" s="1288">
        <v>0.14609638708445744</v>
      </c>
      <c r="K548" s="1280">
        <v>1.3825444866007113</v>
      </c>
      <c r="L548" s="1237">
        <v>0.1728045400022096</v>
      </c>
    </row>
    <row r="549" spans="1:12" s="326" customFormat="1" ht="15.5" x14ac:dyDescent="0.35">
      <c r="A549" s="328" t="s">
        <v>1513</v>
      </c>
      <c r="B549" s="1291">
        <v>0.11858971169683015</v>
      </c>
      <c r="C549" s="1257">
        <v>0.2246074003212388</v>
      </c>
      <c r="D549" s="1257">
        <v>0.13176634632981127</v>
      </c>
      <c r="E549" s="1280">
        <v>0.88593102954848602</v>
      </c>
      <c r="F549" s="1303">
        <v>5.5212360175647186E-2</v>
      </c>
      <c r="G549" s="1288">
        <v>0.10734153346667528</v>
      </c>
      <c r="H549" s="1280">
        <v>1.0157981880265521</v>
      </c>
      <c r="I549" s="1303">
        <v>6.4520830702998799E-2</v>
      </c>
      <c r="J549" s="1288">
        <v>0.14516068604001028</v>
      </c>
      <c r="K549" s="1280">
        <v>1.3736897274521565</v>
      </c>
      <c r="L549" s="1237">
        <v>0.1728045400022096</v>
      </c>
    </row>
    <row r="550" spans="1:12" s="326" customFormat="1" ht="15.5" x14ac:dyDescent="0.35">
      <c r="A550" s="328" t="s">
        <v>1514</v>
      </c>
      <c r="B550" s="1291">
        <v>0.11858971169683015</v>
      </c>
      <c r="C550" s="1257">
        <v>0.2246074003212388</v>
      </c>
      <c r="D550" s="1257">
        <v>0.13176634632981127</v>
      </c>
      <c r="E550" s="1280">
        <v>0.88593102954848602</v>
      </c>
      <c r="F550" s="1303">
        <v>5.6194056988392832E-2</v>
      </c>
      <c r="G550" s="1288">
        <v>0.10529409644241272</v>
      </c>
      <c r="H550" s="1280">
        <v>0.99642280971606734</v>
      </c>
      <c r="I550" s="1303">
        <v>6.4621880317802013E-2</v>
      </c>
      <c r="J550" s="1288">
        <v>0.1426773991006958</v>
      </c>
      <c r="K550" s="1280">
        <v>1.3501897988426137</v>
      </c>
      <c r="L550" s="1237">
        <v>0.1728045400022096</v>
      </c>
    </row>
    <row r="551" spans="1:12" s="326" customFormat="1" ht="15.5" x14ac:dyDescent="0.35">
      <c r="A551" s="328" t="s">
        <v>1515</v>
      </c>
      <c r="B551" s="1291">
        <v>0.11858971169683015</v>
      </c>
      <c r="C551" s="1257">
        <v>0.2246074003212388</v>
      </c>
      <c r="D551" s="1257">
        <v>0.13176634632981127</v>
      </c>
      <c r="E551" s="1280">
        <v>0.88593102954848602</v>
      </c>
      <c r="F551" s="1303">
        <v>5.6957862381238018E-2</v>
      </c>
      <c r="G551" s="1288">
        <v>0.10033023551408274</v>
      </c>
      <c r="H551" s="1280">
        <v>0.94944862578400357</v>
      </c>
      <c r="I551" s="1303">
        <v>6.3282222999756985E-2</v>
      </c>
      <c r="J551" s="1288">
        <v>0.14141025609209704</v>
      </c>
      <c r="K551" s="1280">
        <v>1.3381985264009477</v>
      </c>
      <c r="L551" s="1237">
        <v>0.1728045400022096</v>
      </c>
    </row>
    <row r="552" spans="1:12" s="326" customFormat="1" ht="15.5" x14ac:dyDescent="0.35">
      <c r="A552" s="328" t="s">
        <v>1516</v>
      </c>
      <c r="B552" s="1291">
        <v>0.11858971169683015</v>
      </c>
      <c r="C552" s="1257">
        <v>0.2246074003212388</v>
      </c>
      <c r="D552" s="1257">
        <v>0.13176634632981127</v>
      </c>
      <c r="E552" s="1280">
        <v>0.88593102954848602</v>
      </c>
      <c r="F552" s="1303">
        <v>5.7378071215078374E-2</v>
      </c>
      <c r="G552" s="1288">
        <v>9.5712927448329918E-2</v>
      </c>
      <c r="H552" s="1280">
        <v>0.9057539531323574</v>
      </c>
      <c r="I552" s="1303">
        <v>6.2854322372350058E-2</v>
      </c>
      <c r="J552" s="1288">
        <v>0.14068452978937629</v>
      </c>
      <c r="K552" s="1280">
        <v>1.3313308076391712</v>
      </c>
      <c r="L552" s="1237">
        <v>0.1728045400022096</v>
      </c>
    </row>
    <row r="553" spans="1:12" s="326" customFormat="1" ht="15.5" x14ac:dyDescent="0.35">
      <c r="A553" s="328" t="s">
        <v>1517</v>
      </c>
      <c r="B553" s="1291">
        <v>0.11858971169683015</v>
      </c>
      <c r="C553" s="1257">
        <v>0.2246074003212388</v>
      </c>
      <c r="D553" s="1257">
        <v>0.13176634632981127</v>
      </c>
      <c r="E553" s="1280">
        <v>0.88593102954848602</v>
      </c>
      <c r="F553" s="1303">
        <v>5.7275139372816496E-2</v>
      </c>
      <c r="G553" s="1288">
        <v>9.192263655587353E-2</v>
      </c>
      <c r="H553" s="1280">
        <v>0.86988553858389139</v>
      </c>
      <c r="I553" s="1303">
        <v>6.2226772002715591E-2</v>
      </c>
      <c r="J553" s="1288">
        <v>0.13300535665530464</v>
      </c>
      <c r="K553" s="1280">
        <v>1.2586609854071844</v>
      </c>
      <c r="L553" s="1237">
        <v>0.1728045400022096</v>
      </c>
    </row>
    <row r="554" spans="1:12" s="326" customFormat="1" ht="15.5" x14ac:dyDescent="0.35">
      <c r="A554" s="328" t="s">
        <v>1518</v>
      </c>
      <c r="B554" s="1291">
        <v>0.11858971169683015</v>
      </c>
      <c r="C554" s="1257">
        <v>0.2246074003212388</v>
      </c>
      <c r="D554" s="1257">
        <v>0.13176634632981127</v>
      </c>
      <c r="E554" s="1280">
        <v>0.88593102954848602</v>
      </c>
      <c r="F554" s="1303">
        <v>5.7324340770170491E-2</v>
      </c>
      <c r="G554" s="1288">
        <v>8.9972382517364669E-2</v>
      </c>
      <c r="H554" s="1280">
        <v>0.85142982573417902</v>
      </c>
      <c r="I554" s="1303">
        <v>6.2356730859391432E-2</v>
      </c>
      <c r="J554" s="1288">
        <v>0.13146162610138357</v>
      </c>
      <c r="K554" s="1280">
        <v>1.2440522999447106</v>
      </c>
      <c r="L554" s="1237">
        <v>0.1728045400022096</v>
      </c>
    </row>
    <row r="555" spans="1:12" s="326" customFormat="1" ht="15.5" x14ac:dyDescent="0.35">
      <c r="A555" s="328" t="s">
        <v>1519</v>
      </c>
      <c r="B555" s="1291">
        <v>0.11858971169683015</v>
      </c>
      <c r="C555" s="1257">
        <v>0.2246074003212388</v>
      </c>
      <c r="D555" s="1257">
        <v>0.13176634632981127</v>
      </c>
      <c r="E555" s="1280">
        <v>0.88593102954848602</v>
      </c>
      <c r="F555" s="1303">
        <v>5.7658390444519564E-2</v>
      </c>
      <c r="G555" s="1288">
        <v>8.9308422155666339E-2</v>
      </c>
      <c r="H555" s="1280">
        <v>0.84514661260546009</v>
      </c>
      <c r="I555" s="1303">
        <v>6.2427220151518123E-2</v>
      </c>
      <c r="J555" s="1288">
        <v>0.13353017715351959</v>
      </c>
      <c r="K555" s="1280">
        <v>1.2636274852689686</v>
      </c>
      <c r="L555" s="1237">
        <v>0.1728045400022096</v>
      </c>
    </row>
    <row r="556" spans="1:12" s="326" customFormat="1" ht="15.5" x14ac:dyDescent="0.35">
      <c r="A556" s="328" t="s">
        <v>1520</v>
      </c>
      <c r="B556" s="1291">
        <v>0.11858971169683015</v>
      </c>
      <c r="C556" s="1257">
        <v>0.2246074003212388</v>
      </c>
      <c r="D556" s="1257">
        <v>0.13176634632981127</v>
      </c>
      <c r="E556" s="1280">
        <v>0.88593102954848602</v>
      </c>
      <c r="F556" s="1303">
        <v>5.7648853644684507E-2</v>
      </c>
      <c r="G556" s="1288">
        <v>8.787576267477297E-2</v>
      </c>
      <c r="H556" s="1280">
        <v>0.83158901884141778</v>
      </c>
      <c r="I556" s="1303">
        <v>6.3397961586369997E-2</v>
      </c>
      <c r="J556" s="1288">
        <v>0.13226600646010359</v>
      </c>
      <c r="K556" s="1280">
        <v>1.2516643405452448</v>
      </c>
      <c r="L556" s="1237">
        <v>0.1728045400022096</v>
      </c>
    </row>
    <row r="557" spans="1:12" s="326" customFormat="1" ht="15.5" x14ac:dyDescent="0.35">
      <c r="A557" s="328" t="s">
        <v>1521</v>
      </c>
      <c r="B557" s="1291">
        <v>0.11858971169683015</v>
      </c>
      <c r="C557" s="1257">
        <v>0.2246074003212388</v>
      </c>
      <c r="D557" s="1257">
        <v>0.13176634632981127</v>
      </c>
      <c r="E557" s="1280">
        <v>0.88593102954848602</v>
      </c>
      <c r="F557" s="1303">
        <v>5.7623582430014877E-2</v>
      </c>
      <c r="G557" s="1288">
        <v>8.4084951436812383E-2</v>
      </c>
      <c r="H557" s="1280">
        <v>0.79571568014101124</v>
      </c>
      <c r="I557" s="1303">
        <v>6.3464745185614013E-2</v>
      </c>
      <c r="J557" s="1288">
        <v>0.13273853601434721</v>
      </c>
      <c r="K557" s="1280">
        <v>1.2561359989004768</v>
      </c>
      <c r="L557" s="1237">
        <v>0.1728045400022096</v>
      </c>
    </row>
    <row r="558" spans="1:12" s="326" customFormat="1" ht="15.5" x14ac:dyDescent="0.35">
      <c r="A558" s="328" t="s">
        <v>1522</v>
      </c>
      <c r="B558" s="1291">
        <v>0.11858971169683015</v>
      </c>
      <c r="C558" s="1257">
        <v>0.2246074003212388</v>
      </c>
      <c r="D558" s="1257">
        <v>0.13176634632981127</v>
      </c>
      <c r="E558" s="1280">
        <v>0.88593102954848602</v>
      </c>
      <c r="F558" s="1303">
        <v>5.7817562486799444E-2</v>
      </c>
      <c r="G558" s="1288">
        <v>7.9296776890111845E-2</v>
      </c>
      <c r="H558" s="1280">
        <v>0.75040405777627905</v>
      </c>
      <c r="I558" s="1303">
        <v>6.3662506798994448E-2</v>
      </c>
      <c r="J558" s="1288">
        <v>0.13194313050887113</v>
      </c>
      <c r="K558" s="1280">
        <v>1.2486088894479199</v>
      </c>
      <c r="L558" s="1237">
        <v>0.1728045400022096</v>
      </c>
    </row>
    <row r="559" spans="1:12" s="326" customFormat="1" ht="15.5" x14ac:dyDescent="0.35">
      <c r="A559" s="328" t="s">
        <v>1523</v>
      </c>
      <c r="B559" s="1291">
        <v>0.11858971169683015</v>
      </c>
      <c r="C559" s="1257">
        <v>0.2246074003212388</v>
      </c>
      <c r="D559" s="1257">
        <v>0.13176634632981127</v>
      </c>
      <c r="E559" s="1280">
        <v>0.88593102954848602</v>
      </c>
      <c r="F559" s="1303">
        <v>5.708446529769115E-2</v>
      </c>
      <c r="G559" s="1288">
        <v>7.2147880531108696E-2</v>
      </c>
      <c r="H559" s="1280">
        <v>0.68275236943777129</v>
      </c>
      <c r="I559" s="1303">
        <v>6.3167573221547924E-2</v>
      </c>
      <c r="J559" s="1288">
        <v>0.13157207325644255</v>
      </c>
      <c r="K559" s="1280">
        <v>1.2450974873605998</v>
      </c>
      <c r="L559" s="1237">
        <v>0.1728045400022096</v>
      </c>
    </row>
    <row r="560" spans="1:12" s="326" customFormat="1" ht="15.5" x14ac:dyDescent="0.35">
      <c r="A560" s="328" t="s">
        <v>1524</v>
      </c>
      <c r="B560" s="1291">
        <v>0.11858971169683015</v>
      </c>
      <c r="C560" s="1257">
        <v>0.2246074003212388</v>
      </c>
      <c r="D560" s="1257">
        <v>0.13176634632981127</v>
      </c>
      <c r="E560" s="1280">
        <v>0.88593102954848602</v>
      </c>
      <c r="F560" s="1303">
        <v>5.732183939551231E-2</v>
      </c>
      <c r="G560" s="1288">
        <v>7.6648059499639445E-2</v>
      </c>
      <c r="H560" s="1280">
        <v>0.72533862188261744</v>
      </c>
      <c r="I560" s="1303">
        <v>6.3378240793311863E-2</v>
      </c>
      <c r="J560" s="1288">
        <v>0.1311009505251248</v>
      </c>
      <c r="K560" s="1280">
        <v>1.2406391421017324</v>
      </c>
      <c r="L560" s="1237">
        <v>0.1728045400022096</v>
      </c>
    </row>
    <row r="561" spans="1:12" s="326" customFormat="1" ht="15.5" x14ac:dyDescent="0.35">
      <c r="A561" s="328" t="s">
        <v>1525</v>
      </c>
      <c r="B561" s="1291">
        <v>0.11858971169683015</v>
      </c>
      <c r="C561" s="1257">
        <v>0.2246074003212388</v>
      </c>
      <c r="D561" s="1257">
        <v>0.13176634632981127</v>
      </c>
      <c r="E561" s="1280">
        <v>0.88593102954848602</v>
      </c>
      <c r="F561" s="1303">
        <v>5.7486391205242841E-2</v>
      </c>
      <c r="G561" s="1288">
        <v>7.4575094464615604E-2</v>
      </c>
      <c r="H561" s="1280">
        <v>0.70572166599970798</v>
      </c>
      <c r="I561" s="1303">
        <v>6.3536997469698722E-2</v>
      </c>
      <c r="J561" s="1288">
        <v>0.13010149631829118</v>
      </c>
      <c r="K561" s="1280">
        <v>1.2311810717767702</v>
      </c>
      <c r="L561" s="1237">
        <v>0.1728045400022096</v>
      </c>
    </row>
    <row r="562" spans="1:12" s="326" customFormat="1" ht="15.5" x14ac:dyDescent="0.35">
      <c r="A562" s="328" t="s">
        <v>1526</v>
      </c>
      <c r="B562" s="1291">
        <v>0.11858971169683015</v>
      </c>
      <c r="C562" s="1257">
        <v>0.2246074003212388</v>
      </c>
      <c r="D562" s="1257">
        <v>0.13176634632981127</v>
      </c>
      <c r="E562" s="1280">
        <v>0.88593102954848602</v>
      </c>
      <c r="F562" s="1303">
        <v>5.7604596895803752E-2</v>
      </c>
      <c r="G562" s="1288">
        <v>7.412422583344512E-2</v>
      </c>
      <c r="H562" s="1280">
        <v>0.70145499005620493</v>
      </c>
      <c r="I562" s="1303">
        <v>6.3739309819519571E-2</v>
      </c>
      <c r="J562" s="1288">
        <v>0.12830848335145778</v>
      </c>
      <c r="K562" s="1280">
        <v>1.2142133681862219</v>
      </c>
      <c r="L562" s="1237">
        <v>0.1728045400022096</v>
      </c>
    </row>
    <row r="563" spans="1:12" s="326" customFormat="1" ht="15.5" x14ac:dyDescent="0.35">
      <c r="A563" s="328" t="s">
        <v>1527</v>
      </c>
      <c r="B563" s="1291">
        <v>0.11858971169683015</v>
      </c>
      <c r="C563" s="1257">
        <v>0.2246074003212388</v>
      </c>
      <c r="D563" s="1257">
        <v>0.13176634632981127</v>
      </c>
      <c r="E563" s="1280">
        <v>0.88593102954848602</v>
      </c>
      <c r="F563" s="1303">
        <v>5.7535788458106155E-2</v>
      </c>
      <c r="G563" s="1288">
        <v>7.0018996607270359E-2</v>
      </c>
      <c r="H563" s="1280">
        <v>0.66260623995262469</v>
      </c>
      <c r="I563" s="1303">
        <v>6.3868485457013346E-2</v>
      </c>
      <c r="J563" s="1288">
        <v>0.12891187933551937</v>
      </c>
      <c r="K563" s="1280">
        <v>1.2199234463589221</v>
      </c>
      <c r="L563" s="1237">
        <v>0.1728045400022096</v>
      </c>
    </row>
    <row r="564" spans="1:12" s="326" customFormat="1" ht="15.5" x14ac:dyDescent="0.35">
      <c r="A564" s="328" t="s">
        <v>1528</v>
      </c>
      <c r="B564" s="1291">
        <v>0.11858971169683015</v>
      </c>
      <c r="C564" s="1257">
        <v>0.2246074003212388</v>
      </c>
      <c r="D564" s="1257">
        <v>0.13176634632981127</v>
      </c>
      <c r="E564" s="1280">
        <v>0.88593102954848602</v>
      </c>
      <c r="F564" s="1303">
        <v>5.7547199221178846E-2</v>
      </c>
      <c r="G564" s="1288">
        <v>6.9161869716175481E-2</v>
      </c>
      <c r="H564" s="1280">
        <v>0.65449504650527823</v>
      </c>
      <c r="I564" s="1303">
        <v>6.3616324538501204E-2</v>
      </c>
      <c r="J564" s="1288">
        <v>0.12887116626577419</v>
      </c>
      <c r="K564" s="1280">
        <v>1.2195381690003779</v>
      </c>
      <c r="L564" s="1237">
        <v>0.1728045400022096</v>
      </c>
    </row>
    <row r="565" spans="1:12" s="326" customFormat="1" ht="15.5" x14ac:dyDescent="0.35">
      <c r="A565" s="328" t="s">
        <v>1529</v>
      </c>
      <c r="B565" s="1291">
        <v>0.11858971169683015</v>
      </c>
      <c r="C565" s="1257">
        <v>0.2246074003212388</v>
      </c>
      <c r="D565" s="1257">
        <v>0.13176634632981127</v>
      </c>
      <c r="E565" s="1280">
        <v>0.88593102954848602</v>
      </c>
      <c r="F565" s="1303">
        <v>5.7376384039017694E-2</v>
      </c>
      <c r="G565" s="1288">
        <v>7.4749255905710354E-2</v>
      </c>
      <c r="H565" s="1280">
        <v>0.70736979669595024</v>
      </c>
      <c r="I565" s="1303">
        <v>6.3154670738724578E-2</v>
      </c>
      <c r="J565" s="1288">
        <v>0.12949939095972948</v>
      </c>
      <c r="K565" s="1280">
        <v>1.2254832070968518</v>
      </c>
      <c r="L565" s="1237">
        <v>0.1728045400022096</v>
      </c>
    </row>
    <row r="566" spans="1:12" s="326" customFormat="1" ht="15.5" x14ac:dyDescent="0.35">
      <c r="A566" s="328" t="s">
        <v>1530</v>
      </c>
      <c r="B566" s="1291">
        <v>0.11858971169683015</v>
      </c>
      <c r="C566" s="1257">
        <v>0.2246074003212388</v>
      </c>
      <c r="D566" s="1257">
        <v>0.13176634632981127</v>
      </c>
      <c r="E566" s="1280">
        <v>0.88593102954848602</v>
      </c>
      <c r="F566" s="1303">
        <v>5.7514047816630262E-2</v>
      </c>
      <c r="G566" s="1288">
        <v>7.311925567128115E-2</v>
      </c>
      <c r="H566" s="1280">
        <v>0.69194472094807968</v>
      </c>
      <c r="I566" s="1303">
        <v>6.3537595427633639E-2</v>
      </c>
      <c r="J566" s="1288">
        <v>0.1296330686842771</v>
      </c>
      <c r="K566" s="1280">
        <v>1.2267482308578281</v>
      </c>
      <c r="L566" s="1237">
        <v>0.1728045400022096</v>
      </c>
    </row>
    <row r="567" spans="1:12" s="326" customFormat="1" ht="15.5" x14ac:dyDescent="0.35">
      <c r="A567" s="328" t="s">
        <v>1531</v>
      </c>
      <c r="B567" s="1291">
        <v>0.11858971169683015</v>
      </c>
      <c r="C567" s="1257">
        <v>0.2246074003212388</v>
      </c>
      <c r="D567" s="1257">
        <v>0.13176634632981127</v>
      </c>
      <c r="E567" s="1280">
        <v>0.88593102954848602</v>
      </c>
      <c r="F567" s="1303">
        <v>5.7303137520242062E-2</v>
      </c>
      <c r="G567" s="1288">
        <v>7.1779975702219098E-2</v>
      </c>
      <c r="H567" s="1280">
        <v>0.67927079947614688</v>
      </c>
      <c r="I567" s="1303">
        <v>6.3490145338073289E-2</v>
      </c>
      <c r="J567" s="1288">
        <v>0.12949349788273673</v>
      </c>
      <c r="K567" s="1280">
        <v>1.225427439522663</v>
      </c>
      <c r="L567" s="1237">
        <v>0.1728045400022096</v>
      </c>
    </row>
    <row r="568" spans="1:12" s="326" customFormat="1" ht="15.5" x14ac:dyDescent="0.35">
      <c r="A568" s="328" t="s">
        <v>1532</v>
      </c>
      <c r="B568" s="1291">
        <v>0.11858971169683015</v>
      </c>
      <c r="C568" s="1257">
        <v>0.2246074003212388</v>
      </c>
      <c r="D568" s="1257">
        <v>0.13176634632981127</v>
      </c>
      <c r="E568" s="1280">
        <v>0.88593102954848602</v>
      </c>
      <c r="F568" s="1303">
        <v>5.7110744779497402E-2</v>
      </c>
      <c r="G568" s="1288">
        <v>7.2532165635856197E-2</v>
      </c>
      <c r="H568" s="1280">
        <v>0.68638894980402143</v>
      </c>
      <c r="I568" s="1303">
        <v>6.3091339878599453E-2</v>
      </c>
      <c r="J568" s="1288">
        <v>0.128779559423159</v>
      </c>
      <c r="K568" s="1280">
        <v>1.2186712718941588</v>
      </c>
      <c r="L568" s="1237">
        <v>0.1728045400022096</v>
      </c>
    </row>
    <row r="569" spans="1:12" s="326" customFormat="1" ht="15.5" x14ac:dyDescent="0.35">
      <c r="A569" s="328" t="s">
        <v>1533</v>
      </c>
      <c r="B569" s="1291">
        <v>0.11858971169683015</v>
      </c>
      <c r="C569" s="1257">
        <v>0.2246074003212388</v>
      </c>
      <c r="D569" s="1257">
        <v>0.13176634632981127</v>
      </c>
      <c r="E569" s="1280">
        <v>0.88593102954848602</v>
      </c>
      <c r="F569" s="1303">
        <v>4.9009701019928659E-2</v>
      </c>
      <c r="G569" s="1288">
        <v>7.2021004524918275E-2</v>
      </c>
      <c r="H569" s="1280">
        <v>0.68155171193801334</v>
      </c>
      <c r="I569" s="1303">
        <v>6.9135677390627384E-2</v>
      </c>
      <c r="J569" s="1288">
        <v>0.12776908826640868</v>
      </c>
      <c r="K569" s="1280">
        <v>1.2091089455799113</v>
      </c>
      <c r="L569" s="1237">
        <v>0.1728045400022096</v>
      </c>
    </row>
    <row r="570" spans="1:12" s="326" customFormat="1" ht="15.5" x14ac:dyDescent="0.35">
      <c r="A570" s="328" t="s">
        <v>1534</v>
      </c>
      <c r="B570" s="1291">
        <v>0.11858971169683015</v>
      </c>
      <c r="C570" s="1257">
        <v>0.2246074003212388</v>
      </c>
      <c r="D570" s="1257">
        <v>0.13176634632981127</v>
      </c>
      <c r="E570" s="1280">
        <v>0.88593102954848602</v>
      </c>
      <c r="F570" s="1303">
        <v>4.9274843206334684E-2</v>
      </c>
      <c r="G570" s="1288">
        <v>7.0197022309750626E-2</v>
      </c>
      <c r="H570" s="1280">
        <v>0.66429093906359593</v>
      </c>
      <c r="I570" s="1303">
        <v>6.8956060085225451E-2</v>
      </c>
      <c r="J570" s="1288">
        <v>0.12829939870645388</v>
      </c>
      <c r="K570" s="1280">
        <v>1.2141273980529863</v>
      </c>
      <c r="L570" s="1237">
        <v>0.1728045400022096</v>
      </c>
    </row>
    <row r="571" spans="1:12" s="326" customFormat="1" ht="15.5" x14ac:dyDescent="0.35">
      <c r="A571" s="328" t="s">
        <v>1535</v>
      </c>
      <c r="B571" s="1291">
        <v>0.11858971169683015</v>
      </c>
      <c r="C571" s="1257">
        <v>0.2246074003212388</v>
      </c>
      <c r="D571" s="1257">
        <v>0.13176634632981127</v>
      </c>
      <c r="E571" s="1280">
        <v>0.88593102954848602</v>
      </c>
      <c r="F571" s="1303">
        <v>4.9023073269464805E-2</v>
      </c>
      <c r="G571" s="1288">
        <v>7.4647250933777207E-2</v>
      </c>
      <c r="H571" s="1280">
        <v>0.70640449964537699</v>
      </c>
      <c r="I571" s="1303">
        <v>6.8677345407803375E-2</v>
      </c>
      <c r="J571" s="1288">
        <v>0.12854052577323666</v>
      </c>
      <c r="K571" s="1280">
        <v>1.2164092402217321</v>
      </c>
      <c r="L571" s="1237">
        <v>0.1728045400022096</v>
      </c>
    </row>
    <row r="572" spans="1:12" s="326" customFormat="1" ht="15.5" x14ac:dyDescent="0.35">
      <c r="A572" s="328" t="s">
        <v>1536</v>
      </c>
      <c r="B572" s="1291">
        <v>0.11858971169683015</v>
      </c>
      <c r="C572" s="1257">
        <v>0.2246074003212388</v>
      </c>
      <c r="D572" s="1257">
        <v>0.13176634632981127</v>
      </c>
      <c r="E572" s="1280">
        <v>0.88593102954848602</v>
      </c>
      <c r="F572" s="1303">
        <v>5.8645400475656279E-2</v>
      </c>
      <c r="G572" s="1288">
        <v>6.9608547400721449E-2</v>
      </c>
      <c r="H572" s="1280">
        <v>0.65872206253476839</v>
      </c>
      <c r="I572" s="1303">
        <v>7.4490628593694694E-2</v>
      </c>
      <c r="J572" s="1288">
        <v>0.1294597804364645</v>
      </c>
      <c r="K572" s="1280">
        <v>1.2251083633950721</v>
      </c>
      <c r="L572" s="1237">
        <v>0.1728045400022096</v>
      </c>
    </row>
    <row r="573" spans="1:12" s="326" customFormat="1" ht="15.5" x14ac:dyDescent="0.35">
      <c r="A573" s="328" t="s">
        <v>1537</v>
      </c>
      <c r="B573" s="1291">
        <v>0.11858971169683015</v>
      </c>
      <c r="C573" s="1257">
        <v>0.2246074003212388</v>
      </c>
      <c r="D573" s="1257">
        <v>0.13176634632981127</v>
      </c>
      <c r="E573" s="1280">
        <v>0.88593102954848602</v>
      </c>
      <c r="F573" s="1303">
        <v>5.8781202056903605E-2</v>
      </c>
      <c r="G573" s="1288">
        <v>6.7936485651849884E-2</v>
      </c>
      <c r="H573" s="1280">
        <v>0.64289894877890308</v>
      </c>
      <c r="I573" s="1303">
        <v>7.5238386961680559E-2</v>
      </c>
      <c r="J573" s="1288">
        <v>0.11483157572979857</v>
      </c>
      <c r="K573" s="1280">
        <v>1.0866782203253733</v>
      </c>
      <c r="L573" s="1237">
        <v>0.1728045400022096</v>
      </c>
    </row>
    <row r="574" spans="1:12" s="326" customFormat="1" ht="15.5" x14ac:dyDescent="0.35">
      <c r="A574" s="328" t="s">
        <v>1538</v>
      </c>
      <c r="B574" s="1291">
        <v>0.11858971169683015</v>
      </c>
      <c r="C574" s="1257">
        <v>0.2246074003212388</v>
      </c>
      <c r="D574" s="1257">
        <v>0.13176634632981127</v>
      </c>
      <c r="E574" s="1280">
        <v>0.88593102954848602</v>
      </c>
      <c r="F574" s="1303">
        <v>5.8326579860754818E-2</v>
      </c>
      <c r="G574" s="1288">
        <v>6.1942497391284199E-2</v>
      </c>
      <c r="H574" s="1280">
        <v>0.58617642751899091</v>
      </c>
      <c r="I574" s="1303">
        <v>7.504558137412401E-2</v>
      </c>
      <c r="J574" s="1288">
        <v>9.8659921532937345E-2</v>
      </c>
      <c r="K574" s="1280">
        <v>0.93364205156537017</v>
      </c>
      <c r="L574" s="1237">
        <v>0.1728045400022096</v>
      </c>
    </row>
    <row r="575" spans="1:12" s="326" customFormat="1" ht="15.5" x14ac:dyDescent="0.35">
      <c r="A575" s="328" t="s">
        <v>1539</v>
      </c>
      <c r="B575" s="1291">
        <v>0.11858971169683015</v>
      </c>
      <c r="C575" s="1257">
        <v>0.2246074003212388</v>
      </c>
      <c r="D575" s="1257">
        <v>0.13176634632981127</v>
      </c>
      <c r="E575" s="1280">
        <v>0.88593102954848602</v>
      </c>
      <c r="F575" s="1303">
        <v>6.3409426893135709E-2</v>
      </c>
      <c r="G575" s="1288">
        <v>5.7629707913437613E-2</v>
      </c>
      <c r="H575" s="1280">
        <v>0.54536348591613382</v>
      </c>
      <c r="I575" s="1303">
        <v>8.056710795664529E-2</v>
      </c>
      <c r="J575" s="1288">
        <v>9.8642781834183957E-2</v>
      </c>
      <c r="K575" s="1280">
        <v>0.9334798545631966</v>
      </c>
      <c r="L575" s="1237">
        <v>0.1728045400022096</v>
      </c>
    </row>
    <row r="576" spans="1:12" s="326" customFormat="1" ht="15.5" x14ac:dyDescent="0.35">
      <c r="A576" s="328" t="s">
        <v>1540</v>
      </c>
      <c r="B576" s="1287">
        <v>0.11858971169683015</v>
      </c>
      <c r="C576" s="1288">
        <v>0.2246074003212388</v>
      </c>
      <c r="D576" s="1288">
        <v>0.29139434851823687</v>
      </c>
      <c r="E576" s="1306">
        <v>1.8190021418956595</v>
      </c>
      <c r="F576" s="1303">
        <v>6.585472074647146E-2</v>
      </c>
      <c r="G576" s="1288">
        <v>5.7775228442115217E-2</v>
      </c>
      <c r="H576" s="1280">
        <v>0.54674058091913447</v>
      </c>
      <c r="I576" s="1303">
        <v>8.025375941605134E-2</v>
      </c>
      <c r="J576" s="1288">
        <v>0.10032331984927603</v>
      </c>
      <c r="K576" s="1280">
        <v>0.94938318122072241</v>
      </c>
      <c r="L576" s="1330">
        <v>0.1728045400022096</v>
      </c>
    </row>
    <row r="577" spans="1:12" s="326" customFormat="1" ht="15.5" x14ac:dyDescent="0.35">
      <c r="A577" s="328" t="s">
        <v>1541</v>
      </c>
      <c r="B577" s="1287">
        <v>0.14090666055082229</v>
      </c>
      <c r="C577" s="1288">
        <v>0.22308818938145708</v>
      </c>
      <c r="D577" s="1288">
        <v>0.27516831202310094</v>
      </c>
      <c r="E577" s="1306">
        <v>1.9102057733854532</v>
      </c>
      <c r="F577" s="1303">
        <v>5.8288319516100195E-2</v>
      </c>
      <c r="G577" s="1288">
        <v>5.8019409999672276E-2</v>
      </c>
      <c r="H577" s="1280">
        <v>0.54905132845278104</v>
      </c>
      <c r="I577" s="1303">
        <v>8.0502478160389121E-2</v>
      </c>
      <c r="J577" s="1288">
        <v>0.10024718698616462</v>
      </c>
      <c r="K577" s="1280">
        <v>0.94866271802348434</v>
      </c>
      <c r="L577" s="1330">
        <v>0.17077401721296478</v>
      </c>
    </row>
    <row r="578" spans="1:12" s="326" customFormat="1" ht="15.5" x14ac:dyDescent="0.35">
      <c r="A578" s="328" t="s">
        <v>1542</v>
      </c>
      <c r="B578" s="1287">
        <v>0.13255260788223977</v>
      </c>
      <c r="C578" s="1288">
        <v>0.21497978220081149</v>
      </c>
      <c r="D578" s="1288">
        <v>0.28670268450090136</v>
      </c>
      <c r="E578" s="1306">
        <v>2.0689787306223222</v>
      </c>
      <c r="F578" s="1303">
        <v>6.4587122717968501E-2</v>
      </c>
      <c r="G578" s="1288">
        <v>5.6884414732718117E-2</v>
      </c>
      <c r="H578" s="1280">
        <v>0.53831060118388396</v>
      </c>
      <c r="I578" s="1303">
        <v>8.0433988152393457E-2</v>
      </c>
      <c r="J578" s="1288">
        <v>0.10065095631930611</v>
      </c>
      <c r="K578" s="1280">
        <v>0.95248368222755109</v>
      </c>
      <c r="L578" s="1330">
        <v>0.15983002847477784</v>
      </c>
    </row>
    <row r="579" spans="1:12" s="326" customFormat="1" ht="15.5" x14ac:dyDescent="0.35">
      <c r="A579" s="328" t="s">
        <v>1543</v>
      </c>
      <c r="B579" s="1287">
        <v>0.12675098600905643</v>
      </c>
      <c r="C579" s="1288">
        <v>0.21395863463015469</v>
      </c>
      <c r="D579" s="1288">
        <v>0.3103384058959931</v>
      </c>
      <c r="E579" s="1306">
        <v>2.042083873143262</v>
      </c>
      <c r="F579" s="1303">
        <v>5.9298608821366013E-2</v>
      </c>
      <c r="G579" s="1288">
        <v>5.4927995850514173E-2</v>
      </c>
      <c r="H579" s="1280">
        <v>0.51979654896773342</v>
      </c>
      <c r="I579" s="1303">
        <v>7.8241728327170107E-2</v>
      </c>
      <c r="J579" s="1288">
        <v>9.8119044459952634E-2</v>
      </c>
      <c r="K579" s="1280">
        <v>0.92852360455852245</v>
      </c>
      <c r="L579" s="1330">
        <v>0.18838971686856265</v>
      </c>
    </row>
    <row r="580" spans="1:12" s="326" customFormat="1" ht="15.5" x14ac:dyDescent="0.35">
      <c r="A580" s="328" t="s">
        <v>1544</v>
      </c>
      <c r="B580" s="1287">
        <v>0.133457830626277</v>
      </c>
      <c r="C580" s="1288">
        <v>0.17331246287555599</v>
      </c>
      <c r="D580" s="1288">
        <v>0.28779845001486604</v>
      </c>
      <c r="E580" s="1306">
        <v>1.8427228243599927</v>
      </c>
      <c r="F580" s="1303">
        <v>5.6967567329542404E-2</v>
      </c>
      <c r="G580" s="1288">
        <v>5.5139326935016254E-2</v>
      </c>
      <c r="H580" s="1280">
        <v>0.52179642474533761</v>
      </c>
      <c r="I580" s="1303">
        <v>7.7767505648582105E-2</v>
      </c>
      <c r="J580" s="1288">
        <v>9.8886126847579484E-2</v>
      </c>
      <c r="K580" s="1280">
        <v>0.93578268568260881</v>
      </c>
      <c r="L580" s="1330">
        <v>0.18747490342227205</v>
      </c>
    </row>
    <row r="581" spans="1:12" s="326" customFormat="1" ht="15.5" x14ac:dyDescent="0.35">
      <c r="A581" s="328" t="s">
        <v>1545</v>
      </c>
      <c r="B581" s="1287">
        <v>0.11189853614694001</v>
      </c>
      <c r="C581" s="1288">
        <v>0.11158016371133911</v>
      </c>
      <c r="D581" s="1288">
        <v>0.31672678126322173</v>
      </c>
      <c r="E581" s="1306">
        <v>2.0061020004255217</v>
      </c>
      <c r="F581" s="1303">
        <v>5.9595089961198937E-2</v>
      </c>
      <c r="G581" s="1288">
        <v>5.5164374751770107E-2</v>
      </c>
      <c r="H581" s="1280">
        <v>0.52203345812888335</v>
      </c>
      <c r="I581" s="1303">
        <v>7.5413874472628525E-2</v>
      </c>
      <c r="J581" s="1288">
        <v>9.6177749368285048E-2</v>
      </c>
      <c r="K581" s="1280">
        <v>0.91015267233075625</v>
      </c>
      <c r="L581" s="1330">
        <v>0.18665157132057747</v>
      </c>
    </row>
    <row r="582" spans="1:12" s="326" customFormat="1" ht="15.5" x14ac:dyDescent="0.35">
      <c r="A582" s="328" t="s">
        <v>1546</v>
      </c>
      <c r="B582" s="1287">
        <v>0.12044608630813211</v>
      </c>
      <c r="C582" s="1288">
        <v>0.16934798902865442</v>
      </c>
      <c r="D582" s="1288">
        <v>0.20957093481222114</v>
      </c>
      <c r="E582" s="1306">
        <v>1.9900697103757234</v>
      </c>
      <c r="F582" s="1303">
        <v>5.8782173987393077E-2</v>
      </c>
      <c r="G582" s="1288">
        <v>5.4404063088985426E-2</v>
      </c>
      <c r="H582" s="1280">
        <v>0.51483844996708994</v>
      </c>
      <c r="I582" s="1303">
        <v>7.2659450335342532E-2</v>
      </c>
      <c r="J582" s="1288">
        <v>9.4820667668404648E-2</v>
      </c>
      <c r="K582" s="1280">
        <v>0.89731028889144693</v>
      </c>
      <c r="L582" s="1330">
        <v>0.19090651399215877</v>
      </c>
    </row>
    <row r="583" spans="1:12" s="326" customFormat="1" ht="15.5" x14ac:dyDescent="0.35">
      <c r="A583" s="328" t="s">
        <v>1547</v>
      </c>
      <c r="B583" s="1287">
        <v>0.13192436100179458</v>
      </c>
      <c r="C583" s="1288">
        <v>0.1544153056564789</v>
      </c>
      <c r="D583" s="1288">
        <v>0.21046603522385202</v>
      </c>
      <c r="E583" s="1306">
        <v>1.9935416838630147</v>
      </c>
      <c r="F583" s="1303">
        <v>5.3876188834951412E-2</v>
      </c>
      <c r="G583" s="1288">
        <v>5.3340590301613366E-2</v>
      </c>
      <c r="H583" s="1280">
        <v>0.50477455675129701</v>
      </c>
      <c r="I583" s="1303">
        <v>6.8158924102228027E-2</v>
      </c>
      <c r="J583" s="1288">
        <v>9.0264520145397792E-2</v>
      </c>
      <c r="K583" s="1280">
        <v>0.85419439284652166</v>
      </c>
      <c r="L583" s="1330">
        <v>0.19090651399219077</v>
      </c>
    </row>
    <row r="584" spans="1:12" s="326" customFormat="1" ht="15.5" x14ac:dyDescent="0.35">
      <c r="A584" s="328" t="s">
        <v>1548</v>
      </c>
      <c r="B584" s="1287">
        <v>0.13536366656721716</v>
      </c>
      <c r="C584" s="1288">
        <v>0.13788772335056057</v>
      </c>
      <c r="D584" s="1288">
        <v>0.22649393501409976</v>
      </c>
      <c r="E584" s="1306">
        <v>1.7652513668388681</v>
      </c>
      <c r="F584" s="1303">
        <v>5.6846390544057192E-2</v>
      </c>
      <c r="G584" s="1288">
        <v>5.1438063504969371E-2</v>
      </c>
      <c r="H584" s="1280">
        <v>0.48677049802129096</v>
      </c>
      <c r="I584" s="1303">
        <v>6.8214030737575135E-2</v>
      </c>
      <c r="J584" s="1288">
        <v>8.9346685636438786E-2</v>
      </c>
      <c r="K584" s="1280">
        <v>0.84550870892718177</v>
      </c>
      <c r="L584" s="1330">
        <v>0.19090651399201347</v>
      </c>
    </row>
    <row r="585" spans="1:12" s="326" customFormat="1" ht="15.5" x14ac:dyDescent="0.35">
      <c r="A585" s="328" t="s">
        <v>1549</v>
      </c>
      <c r="B585" s="1287">
        <v>0.11513818870457222</v>
      </c>
      <c r="C585" s="1288">
        <v>0.17456134386602812</v>
      </c>
      <c r="D585" s="1288">
        <v>0.24770223525148644</v>
      </c>
      <c r="E585" s="1280">
        <v>0.86014623528354583</v>
      </c>
      <c r="F585" s="1303">
        <v>5.3677668952658103E-2</v>
      </c>
      <c r="G585" s="1288">
        <v>5.1345848685827783E-2</v>
      </c>
      <c r="H585" s="1280">
        <v>0.48589784749014969</v>
      </c>
      <c r="I585" s="1303">
        <v>6.4809223237645638E-2</v>
      </c>
      <c r="J585" s="1288">
        <v>8.6778686625019474E-2</v>
      </c>
      <c r="K585" s="1280">
        <v>0.82120713004705925</v>
      </c>
      <c r="L585" s="1330">
        <v>0.19090651399218422</v>
      </c>
    </row>
    <row r="586" spans="1:12" s="326" customFormat="1" ht="15.5" x14ac:dyDescent="0.35">
      <c r="A586" s="328" t="s">
        <v>1550</v>
      </c>
      <c r="B586" s="1287">
        <v>9.198633465999291E-2</v>
      </c>
      <c r="C586" s="1288">
        <v>0.1612008390301562</v>
      </c>
      <c r="D586" s="1288">
        <v>0.25034261582429179</v>
      </c>
      <c r="E586" s="1280">
        <v>0.68718902342940258</v>
      </c>
      <c r="F586" s="1303">
        <v>5.2197276504544102E-2</v>
      </c>
      <c r="G586" s="1288">
        <v>4.8859123709400973E-2</v>
      </c>
      <c r="H586" s="1280">
        <v>0.46236538392646365</v>
      </c>
      <c r="I586" s="1303">
        <v>6.3177077496920267E-2</v>
      </c>
      <c r="J586" s="1288">
        <v>8.457609819079781E-2</v>
      </c>
      <c r="K586" s="1280">
        <v>0.80036351743791734</v>
      </c>
      <c r="L586" s="1330">
        <v>0.17265464960827551</v>
      </c>
    </row>
    <row r="587" spans="1:12" s="326" customFormat="1" ht="15.5" x14ac:dyDescent="0.35">
      <c r="A587" s="328" t="s">
        <v>1551</v>
      </c>
      <c r="B587" s="1287">
        <v>9.7177664392824284E-2</v>
      </c>
      <c r="C587" s="1288">
        <v>0.18950849010091647</v>
      </c>
      <c r="D587" s="1288">
        <v>0.28463718726599968</v>
      </c>
      <c r="E587" s="1280">
        <v>0.72597114060572676</v>
      </c>
      <c r="F587" s="1303">
        <v>5.0858648118397368E-2</v>
      </c>
      <c r="G587" s="1288">
        <v>4.7168167629209445E-2</v>
      </c>
      <c r="H587" s="1280">
        <v>0.44636346866759236</v>
      </c>
      <c r="I587" s="1303">
        <v>6.1608047791720189E-2</v>
      </c>
      <c r="J587" s="1288">
        <v>8.2461589622232989E-2</v>
      </c>
      <c r="K587" s="1280">
        <v>0.78035342532216068</v>
      </c>
      <c r="L587" s="1330">
        <v>0.17265464960848592</v>
      </c>
    </row>
    <row r="588" spans="1:12" s="326" customFormat="1" ht="15.5" x14ac:dyDescent="0.35">
      <c r="A588" s="328" t="s">
        <v>1552</v>
      </c>
      <c r="B588" s="1287">
        <v>0.1054709266675804</v>
      </c>
      <c r="C588" s="1288">
        <v>0.18170249503323971</v>
      </c>
      <c r="D588" s="1288">
        <v>0.22904467450786919</v>
      </c>
      <c r="E588" s="1280">
        <v>0.78792641716608536</v>
      </c>
      <c r="F588" s="1303">
        <v>4.9499914207668069E-2</v>
      </c>
      <c r="G588" s="1288">
        <v>4.5553351289496391E-2</v>
      </c>
      <c r="H588" s="1280">
        <v>0.43108208168810186</v>
      </c>
      <c r="I588" s="1303">
        <v>6.0036573051473793E-2</v>
      </c>
      <c r="J588" s="1288">
        <v>8.034623737879483E-2</v>
      </c>
      <c r="K588" s="1280">
        <v>0.76033534931256574</v>
      </c>
      <c r="L588" s="1330">
        <v>0.17265464960851312</v>
      </c>
    </row>
    <row r="589" spans="1:12" s="326" customFormat="1" ht="15.5" x14ac:dyDescent="0.35">
      <c r="A589" s="328" t="s">
        <v>1553</v>
      </c>
      <c r="B589" s="1287">
        <v>0.10357212644771163</v>
      </c>
      <c r="C589" s="1288">
        <v>0.13639098481370732</v>
      </c>
      <c r="D589" s="1288">
        <v>0.21906981170954548</v>
      </c>
      <c r="E589" s="1306">
        <v>1.8984830843794056</v>
      </c>
      <c r="F589" s="1303">
        <v>4.9206511496463844E-2</v>
      </c>
      <c r="G589" s="1288">
        <v>4.3956503239065747E-2</v>
      </c>
      <c r="H589" s="1306">
        <v>0.41817150985235746</v>
      </c>
      <c r="I589" s="1303">
        <v>6.0014662145731409E-2</v>
      </c>
      <c r="J589" s="1288">
        <v>8.0284389965423197E-2</v>
      </c>
      <c r="K589" s="1306">
        <v>0.59846746449089561</v>
      </c>
      <c r="L589" s="1330">
        <v>0.15958875780463241</v>
      </c>
    </row>
    <row r="590" spans="1:12" s="326" customFormat="1" ht="15.5" x14ac:dyDescent="0.35">
      <c r="A590" s="328" t="s">
        <v>1554</v>
      </c>
      <c r="B590" s="1287">
        <v>0.11379154541114314</v>
      </c>
      <c r="C590" s="1288">
        <v>0.13938675694005098</v>
      </c>
      <c r="D590" s="1288">
        <v>0.21285710086294884</v>
      </c>
      <c r="E590" s="1306">
        <v>1.9535389417531965</v>
      </c>
      <c r="F590" s="1303">
        <v>4.8652594738541111E-2</v>
      </c>
      <c r="G590" s="1288">
        <v>4.2011830922821007E-2</v>
      </c>
      <c r="H590" s="1306">
        <v>0.42052132271569603</v>
      </c>
      <c r="I590" s="1303">
        <v>5.9981859870151165E-2</v>
      </c>
      <c r="J590" s="1288">
        <v>8.0166955899413056E-2</v>
      </c>
      <c r="K590" s="1306">
        <v>0.59821772316048849</v>
      </c>
      <c r="L590" s="1330">
        <v>0.15958939231086905</v>
      </c>
    </row>
    <row r="591" spans="1:12" s="326" customFormat="1" ht="15.5" x14ac:dyDescent="0.35">
      <c r="A591" s="328" t="s">
        <v>1555</v>
      </c>
      <c r="B591" s="1291">
        <v>0.11379154541114314</v>
      </c>
      <c r="C591" s="1257">
        <v>0.13938675694005098</v>
      </c>
      <c r="D591" s="1257">
        <v>0.21285710086294884</v>
      </c>
      <c r="E591" s="1280">
        <v>1.9535389417531965</v>
      </c>
      <c r="F591" s="1271">
        <v>4.8652594738541111E-2</v>
      </c>
      <c r="G591" s="1257">
        <v>4.2011830922821007E-2</v>
      </c>
      <c r="H591" s="1280">
        <v>0.42052132271569603</v>
      </c>
      <c r="I591" s="1271">
        <v>5.9981859870151165E-2</v>
      </c>
      <c r="J591" s="1257">
        <v>8.0166955899413056E-2</v>
      </c>
      <c r="K591" s="1280">
        <v>0.59821772316048849</v>
      </c>
      <c r="L591" s="1330">
        <v>0.16709561711582299</v>
      </c>
    </row>
    <row r="592" spans="1:12" s="326" customFormat="1" ht="15.5" x14ac:dyDescent="0.35">
      <c r="A592" s="328" t="s">
        <v>1556</v>
      </c>
      <c r="B592" s="1291">
        <v>0.14090666054072221</v>
      </c>
      <c r="C592" s="1257">
        <v>0.22309331622144069</v>
      </c>
      <c r="D592" s="1257">
        <v>0.15656295615635801</v>
      </c>
      <c r="E592" s="1280">
        <v>1.0526510357172731</v>
      </c>
      <c r="F592" s="1271">
        <v>5.711924727201146E-2</v>
      </c>
      <c r="G592" s="1257">
        <v>0.10919029822355648</v>
      </c>
      <c r="H592" s="1280">
        <v>1.0332934839243912</v>
      </c>
      <c r="I592" s="1271">
        <v>6.3679425571085024E-2</v>
      </c>
      <c r="J592" s="1257">
        <v>0.13996898736058022</v>
      </c>
      <c r="K592" s="1280">
        <v>1.3245594612725495</v>
      </c>
      <c r="L592" s="1237">
        <v>0.1743150375582706</v>
      </c>
    </row>
    <row r="593" spans="1:12" s="326" customFormat="1" ht="15.5" x14ac:dyDescent="0.35">
      <c r="A593" s="328" t="s">
        <v>1557</v>
      </c>
      <c r="B593" s="1291">
        <v>0.14090666054072221</v>
      </c>
      <c r="C593" s="1257">
        <v>0.22309331622144069</v>
      </c>
      <c r="D593" s="1257">
        <v>0.15656295615635801</v>
      </c>
      <c r="E593" s="1280">
        <v>1.0526510357172731</v>
      </c>
      <c r="F593" s="1271">
        <v>5.711924727201146E-2</v>
      </c>
      <c r="G593" s="1257">
        <v>0.10919029822355648</v>
      </c>
      <c r="H593" s="1280">
        <v>1.0332934839243912</v>
      </c>
      <c r="I593" s="1271">
        <v>6.3679425571085024E-2</v>
      </c>
      <c r="J593" s="1257">
        <v>0.13996898736058022</v>
      </c>
      <c r="K593" s="1280">
        <v>1.3245594612725495</v>
      </c>
      <c r="L593" s="1237">
        <v>0.1743150375582706</v>
      </c>
    </row>
    <row r="594" spans="1:12" s="326" customFormat="1" ht="15.5" x14ac:dyDescent="0.35">
      <c r="A594" s="328" t="s">
        <v>1558</v>
      </c>
      <c r="B594" s="1291">
        <v>0.14090666054072221</v>
      </c>
      <c r="C594" s="1257">
        <v>0.22309331622144069</v>
      </c>
      <c r="D594" s="1257">
        <v>0.15656295615635801</v>
      </c>
      <c r="E594" s="1280">
        <v>1.0526510357172731</v>
      </c>
      <c r="F594" s="1271">
        <v>5.711924727201146E-2</v>
      </c>
      <c r="G594" s="1257">
        <v>0.10919029822355648</v>
      </c>
      <c r="H594" s="1280">
        <v>1.0332934839243912</v>
      </c>
      <c r="I594" s="1271">
        <v>6.3679425571085024E-2</v>
      </c>
      <c r="J594" s="1257">
        <v>0.13996898736058022</v>
      </c>
      <c r="K594" s="1280">
        <v>1.3245594612725495</v>
      </c>
      <c r="L594" s="1237">
        <v>0.1743150375582706</v>
      </c>
    </row>
    <row r="595" spans="1:12" s="326" customFormat="1" ht="15.5" x14ac:dyDescent="0.35">
      <c r="A595" s="328" t="s">
        <v>1559</v>
      </c>
      <c r="B595" s="1291">
        <v>0.14090666054072221</v>
      </c>
      <c r="C595" s="1257">
        <v>0.22309331622144069</v>
      </c>
      <c r="D595" s="1257">
        <v>0.15656295615635801</v>
      </c>
      <c r="E595" s="1280">
        <v>1.0526510357172731</v>
      </c>
      <c r="F595" s="1271">
        <v>5.711924727201146E-2</v>
      </c>
      <c r="G595" s="1257">
        <v>0.10919029822355648</v>
      </c>
      <c r="H595" s="1280">
        <v>1.0332934839243912</v>
      </c>
      <c r="I595" s="1271">
        <v>6.3679425571085024E-2</v>
      </c>
      <c r="J595" s="1257">
        <v>0.13996898736058022</v>
      </c>
      <c r="K595" s="1280">
        <v>1.3245594612725495</v>
      </c>
      <c r="L595" s="1237">
        <v>0.1743150375582706</v>
      </c>
    </row>
    <row r="596" spans="1:12" s="326" customFormat="1" ht="15.5" x14ac:dyDescent="0.35">
      <c r="A596" s="328" t="s">
        <v>1560</v>
      </c>
      <c r="B596" s="1291">
        <v>0.14090666054072221</v>
      </c>
      <c r="C596" s="1257">
        <v>0.22309331622144069</v>
      </c>
      <c r="D596" s="1257">
        <v>0.15656295615635801</v>
      </c>
      <c r="E596" s="1280">
        <v>1.0526510357172731</v>
      </c>
      <c r="F596" s="1271">
        <v>5.711924727201146E-2</v>
      </c>
      <c r="G596" s="1257">
        <v>0.10919029822355648</v>
      </c>
      <c r="H596" s="1280">
        <v>1.0332934839243912</v>
      </c>
      <c r="I596" s="1271">
        <v>6.3679425571085024E-2</v>
      </c>
      <c r="J596" s="1257">
        <v>0.13996898736058022</v>
      </c>
      <c r="K596" s="1280">
        <v>1.3245594612725495</v>
      </c>
      <c r="L596" s="1237">
        <v>0.1743150375582706</v>
      </c>
    </row>
    <row r="597" spans="1:12" s="326" customFormat="1" ht="15.5" x14ac:dyDescent="0.35">
      <c r="A597" s="328" t="s">
        <v>1561</v>
      </c>
      <c r="B597" s="1291">
        <v>0.14090666054072221</v>
      </c>
      <c r="C597" s="1257">
        <v>0.22309331622144069</v>
      </c>
      <c r="D597" s="1257">
        <v>0.15656295615635801</v>
      </c>
      <c r="E597" s="1280">
        <v>1.0526510357172731</v>
      </c>
      <c r="F597" s="1271">
        <v>5.711924727201146E-2</v>
      </c>
      <c r="G597" s="1257">
        <v>0.10919029822355648</v>
      </c>
      <c r="H597" s="1280">
        <v>1.0332934839243912</v>
      </c>
      <c r="I597" s="1271">
        <v>6.3679425571085024E-2</v>
      </c>
      <c r="J597" s="1257">
        <v>0.13996898736058022</v>
      </c>
      <c r="K597" s="1280">
        <v>1.3245594612725495</v>
      </c>
      <c r="L597" s="1237">
        <v>0.1743150375582706</v>
      </c>
    </row>
    <row r="598" spans="1:12" s="326" customFormat="1" ht="15.5" x14ac:dyDescent="0.35">
      <c r="A598" s="328" t="s">
        <v>1562</v>
      </c>
      <c r="B598" s="1291">
        <v>0.14090666054072221</v>
      </c>
      <c r="C598" s="1257">
        <v>0.22309331622144069</v>
      </c>
      <c r="D598" s="1257">
        <v>0.15656295615635801</v>
      </c>
      <c r="E598" s="1280">
        <v>1.0526510357172731</v>
      </c>
      <c r="F598" s="1271">
        <v>5.711924727201146E-2</v>
      </c>
      <c r="G598" s="1257">
        <v>0.10919029822355648</v>
      </c>
      <c r="H598" s="1280">
        <v>1.0332934839243912</v>
      </c>
      <c r="I598" s="1271">
        <v>6.3679425571085024E-2</v>
      </c>
      <c r="J598" s="1257">
        <v>0.13996898736058022</v>
      </c>
      <c r="K598" s="1280">
        <v>1.3245594612725495</v>
      </c>
      <c r="L598" s="1237">
        <v>0.1743150375582706</v>
      </c>
    </row>
    <row r="599" spans="1:12" s="326" customFormat="1" ht="15.5" x14ac:dyDescent="0.35">
      <c r="A599" s="328" t="s">
        <v>1563</v>
      </c>
      <c r="B599" s="1291">
        <v>0.14090666054072221</v>
      </c>
      <c r="C599" s="1257">
        <v>0.22309331622144069</v>
      </c>
      <c r="D599" s="1257">
        <v>0.15656295615635801</v>
      </c>
      <c r="E599" s="1280">
        <v>1.0526510357172731</v>
      </c>
      <c r="F599" s="1271">
        <v>5.711924727201146E-2</v>
      </c>
      <c r="G599" s="1257">
        <v>0.10919029822355648</v>
      </c>
      <c r="H599" s="1280">
        <v>1.0332934839243912</v>
      </c>
      <c r="I599" s="1271">
        <v>6.3679425571085024E-2</v>
      </c>
      <c r="J599" s="1257">
        <v>0.13996898736058022</v>
      </c>
      <c r="K599" s="1280">
        <v>1.3245594612725495</v>
      </c>
      <c r="L599" s="1237">
        <v>0.1743150375582706</v>
      </c>
    </row>
    <row r="600" spans="1:12" s="326" customFormat="1" ht="15.5" x14ac:dyDescent="0.35">
      <c r="A600" s="328" t="s">
        <v>1564</v>
      </c>
      <c r="B600" s="1291">
        <v>0.14090666054072221</v>
      </c>
      <c r="C600" s="1257">
        <v>0.22309331622144069</v>
      </c>
      <c r="D600" s="1257">
        <v>0.15656295615635801</v>
      </c>
      <c r="E600" s="1280">
        <v>1.0526510357172731</v>
      </c>
      <c r="F600" s="1271">
        <v>5.711924727201146E-2</v>
      </c>
      <c r="G600" s="1257">
        <v>0.10919029822355648</v>
      </c>
      <c r="H600" s="1280">
        <v>1.0332934839243912</v>
      </c>
      <c r="I600" s="1271">
        <v>6.3679425571085024E-2</v>
      </c>
      <c r="J600" s="1257">
        <v>0.13996898736058022</v>
      </c>
      <c r="K600" s="1280">
        <v>1.3245594612725495</v>
      </c>
      <c r="L600" s="1237">
        <v>0.1743150375582706</v>
      </c>
    </row>
    <row r="601" spans="1:12" s="326" customFormat="1" ht="15.5" x14ac:dyDescent="0.35">
      <c r="A601" s="328" t="s">
        <v>1565</v>
      </c>
      <c r="B601" s="1291">
        <v>0.14090666054072221</v>
      </c>
      <c r="C601" s="1257">
        <v>0.22309331622144069</v>
      </c>
      <c r="D601" s="1257">
        <v>0.15656295615635801</v>
      </c>
      <c r="E601" s="1280">
        <v>1.0526510357172731</v>
      </c>
      <c r="F601" s="1271">
        <v>5.711924727201146E-2</v>
      </c>
      <c r="G601" s="1257">
        <v>0.10919029822355648</v>
      </c>
      <c r="H601" s="1280">
        <v>1.0332934839243912</v>
      </c>
      <c r="I601" s="1271">
        <v>6.3679425571085024E-2</v>
      </c>
      <c r="J601" s="1257">
        <v>0.13996898736058022</v>
      </c>
      <c r="K601" s="1280">
        <v>1.3245594612725495</v>
      </c>
      <c r="L601" s="1237">
        <v>0.1743150375582706</v>
      </c>
    </row>
    <row r="602" spans="1:12" s="326" customFormat="1" ht="15.5" x14ac:dyDescent="0.35">
      <c r="A602" s="328" t="s">
        <v>1566</v>
      </c>
      <c r="B602" s="1291">
        <v>0.14090666054072221</v>
      </c>
      <c r="C602" s="1257">
        <v>0.22309331622144069</v>
      </c>
      <c r="D602" s="1257">
        <v>0.15656295615635801</v>
      </c>
      <c r="E602" s="1280">
        <v>1.0526510357172731</v>
      </c>
      <c r="F602" s="1271">
        <v>5.711924727201146E-2</v>
      </c>
      <c r="G602" s="1257">
        <v>0.10919029822355648</v>
      </c>
      <c r="H602" s="1280">
        <v>1.0332934839243912</v>
      </c>
      <c r="I602" s="1271">
        <v>6.3679425571085024E-2</v>
      </c>
      <c r="J602" s="1257">
        <v>0.13996898736058022</v>
      </c>
      <c r="K602" s="1280">
        <v>1.3245594612725495</v>
      </c>
      <c r="L602" s="1237">
        <v>0.1743150375582706</v>
      </c>
    </row>
    <row r="603" spans="1:12" s="326" customFormat="1" ht="15.5" x14ac:dyDescent="0.35">
      <c r="A603" s="328" t="s">
        <v>1567</v>
      </c>
      <c r="B603" s="1291">
        <v>0.14090666054072221</v>
      </c>
      <c r="C603" s="1257">
        <v>0.22309331622144069</v>
      </c>
      <c r="D603" s="1257">
        <v>0.15656295615635801</v>
      </c>
      <c r="E603" s="1280">
        <v>1.0526510357172731</v>
      </c>
      <c r="F603" s="1303">
        <v>5.711924727201146E-2</v>
      </c>
      <c r="G603" s="1288">
        <v>0.10919029822355648</v>
      </c>
      <c r="H603" s="1280">
        <v>1.0332934839243912</v>
      </c>
      <c r="I603" s="1303">
        <v>6.3679425571085024E-2</v>
      </c>
      <c r="J603" s="1288">
        <v>0.13996898736058022</v>
      </c>
      <c r="K603" s="1280">
        <v>1.3245594612725495</v>
      </c>
      <c r="L603" s="1237">
        <v>0.1743150375582706</v>
      </c>
    </row>
    <row r="604" spans="1:12" s="326" customFormat="1" ht="15.5" x14ac:dyDescent="0.35">
      <c r="A604" s="328" t="s">
        <v>1568</v>
      </c>
      <c r="B604" s="1291">
        <v>0.14090666054072221</v>
      </c>
      <c r="C604" s="1257">
        <v>0.22309331622144069</v>
      </c>
      <c r="D604" s="1257">
        <v>0.15656295615635801</v>
      </c>
      <c r="E604" s="1280">
        <v>1.0526510357172731</v>
      </c>
      <c r="F604" s="1303">
        <v>5.6845649059195189E-2</v>
      </c>
      <c r="G604" s="1288">
        <v>0.10413641484223038</v>
      </c>
      <c r="H604" s="1280">
        <v>0.98546739633787117</v>
      </c>
      <c r="I604" s="1303">
        <v>6.2953790369570953E-2</v>
      </c>
      <c r="J604" s="1288">
        <v>0.14620722861903063</v>
      </c>
      <c r="K604" s="1280">
        <v>1.3835934061227382</v>
      </c>
      <c r="L604" s="1237">
        <v>0.1743150375582706</v>
      </c>
    </row>
    <row r="605" spans="1:12" s="326" customFormat="1" ht="15.5" x14ac:dyDescent="0.35">
      <c r="A605" s="328" t="s">
        <v>1569</v>
      </c>
      <c r="B605" s="1291">
        <v>0.14090666054072221</v>
      </c>
      <c r="C605" s="1257">
        <v>0.22309331622144069</v>
      </c>
      <c r="D605" s="1257">
        <v>0.15656295615635801</v>
      </c>
      <c r="E605" s="1280">
        <v>1.0526510357172731</v>
      </c>
      <c r="F605" s="1303">
        <v>5.4937964079142095E-2</v>
      </c>
      <c r="G605" s="1288">
        <v>0.10744067237487985</v>
      </c>
      <c r="H605" s="1280">
        <v>1.0167363628416937</v>
      </c>
      <c r="I605" s="1303">
        <v>6.460590426650395E-2</v>
      </c>
      <c r="J605" s="1288">
        <v>0.14530919797365505</v>
      </c>
      <c r="K605" s="1280">
        <v>1.375095130824221</v>
      </c>
      <c r="L605" s="1237">
        <v>0.1743150375582706</v>
      </c>
    </row>
    <row r="606" spans="1:12" s="326" customFormat="1" ht="15.5" x14ac:dyDescent="0.35">
      <c r="A606" s="328" t="s">
        <v>1570</v>
      </c>
      <c r="B606" s="1291">
        <v>0.14090666054072221</v>
      </c>
      <c r="C606" s="1257">
        <v>0.22309331622144069</v>
      </c>
      <c r="D606" s="1257">
        <v>0.15656295615635801</v>
      </c>
      <c r="E606" s="1280">
        <v>1.0526510357172731</v>
      </c>
      <c r="F606" s="1303">
        <v>5.6110112537659414E-2</v>
      </c>
      <c r="G606" s="1288">
        <v>0.1053905941949384</v>
      </c>
      <c r="H606" s="1280">
        <v>0.99733599065357148</v>
      </c>
      <c r="I606" s="1303">
        <v>6.4728384702170877E-2</v>
      </c>
      <c r="J606" s="1288">
        <v>0.14281769151978271</v>
      </c>
      <c r="K606" s="1280">
        <v>1.3515174190144144</v>
      </c>
      <c r="L606" s="1237">
        <v>0.1743150375582706</v>
      </c>
    </row>
    <row r="607" spans="1:12" s="326" customFormat="1" ht="15.5" x14ac:dyDescent="0.35">
      <c r="A607" s="328" t="s">
        <v>1571</v>
      </c>
      <c r="B607" s="1291">
        <v>0.14090666054072221</v>
      </c>
      <c r="C607" s="1257">
        <v>0.22309331622144069</v>
      </c>
      <c r="D607" s="1257">
        <v>0.15656295615635801</v>
      </c>
      <c r="E607" s="1280">
        <v>1.0526510357172731</v>
      </c>
      <c r="F607" s="1303">
        <v>5.6800522515098047E-2</v>
      </c>
      <c r="G607" s="1288">
        <v>0.10049604063130223</v>
      </c>
      <c r="H607" s="1280">
        <v>0.95101767862122033</v>
      </c>
      <c r="I607" s="1303">
        <v>6.3348076425123481E-2</v>
      </c>
      <c r="J607" s="1288">
        <v>0.14154325685063021</v>
      </c>
      <c r="K607" s="1280">
        <v>1.3394571438732432</v>
      </c>
      <c r="L607" s="1237">
        <v>0.1743150375582706</v>
      </c>
    </row>
    <row r="608" spans="1:12" s="326" customFormat="1" ht="15.5" x14ac:dyDescent="0.35">
      <c r="A608" s="328" t="s">
        <v>1572</v>
      </c>
      <c r="B608" s="1291">
        <v>0.14090666054072221</v>
      </c>
      <c r="C608" s="1257">
        <v>0.22309331622144069</v>
      </c>
      <c r="D608" s="1257">
        <v>0.15656295615635801</v>
      </c>
      <c r="E608" s="1280">
        <v>1.0526510357172731</v>
      </c>
      <c r="F608" s="1303">
        <v>5.740316011611736E-2</v>
      </c>
      <c r="G608" s="1288">
        <v>9.6111024851742638E-2</v>
      </c>
      <c r="H608" s="1280">
        <v>0.90952124253082922</v>
      </c>
      <c r="I608" s="1303">
        <v>6.2910617101850044E-2</v>
      </c>
      <c r="J608" s="1288">
        <v>0.14083027050814545</v>
      </c>
      <c r="K608" s="1280">
        <v>1.3327099863528173</v>
      </c>
      <c r="L608" s="1237">
        <v>0.1743150375582706</v>
      </c>
    </row>
    <row r="609" spans="1:12" s="326" customFormat="1" ht="15.5" x14ac:dyDescent="0.35">
      <c r="A609" s="328" t="s">
        <v>1573</v>
      </c>
      <c r="B609" s="1291">
        <v>0.14090666054072221</v>
      </c>
      <c r="C609" s="1257">
        <v>0.22309331622144069</v>
      </c>
      <c r="D609" s="1257">
        <v>0.15656295615635801</v>
      </c>
      <c r="E609" s="1280">
        <v>1.0526510357172731</v>
      </c>
      <c r="F609" s="1303">
        <v>5.7293365610540277E-2</v>
      </c>
      <c r="G609" s="1288">
        <v>9.2131593499301542E-2</v>
      </c>
      <c r="H609" s="1280">
        <v>0.87186294730589031</v>
      </c>
      <c r="I609" s="1303">
        <v>6.228904631589529E-2</v>
      </c>
      <c r="J609" s="1288">
        <v>0.13311576816261061</v>
      </c>
      <c r="K609" s="1280">
        <v>1.259705835479999</v>
      </c>
      <c r="L609" s="1237">
        <v>0.1743150375582706</v>
      </c>
    </row>
    <row r="610" spans="1:12" s="326" customFormat="1" ht="15.5" x14ac:dyDescent="0.35">
      <c r="A610" s="328" t="s">
        <v>1574</v>
      </c>
      <c r="B610" s="1291">
        <v>0.14090666054072221</v>
      </c>
      <c r="C610" s="1257">
        <v>0.22309331622144069</v>
      </c>
      <c r="D610" s="1257">
        <v>0.15656295615635801</v>
      </c>
      <c r="E610" s="1280">
        <v>1.0526510357172731</v>
      </c>
      <c r="F610" s="1303">
        <v>5.7353715111981972E-2</v>
      </c>
      <c r="G610" s="1288">
        <v>8.988763194733701E-2</v>
      </c>
      <c r="H610" s="1280">
        <v>0.85062781114869646</v>
      </c>
      <c r="I610" s="1303">
        <v>6.2421387639528592E-2</v>
      </c>
      <c r="J610" s="1288">
        <v>0.13157137040361014</v>
      </c>
      <c r="K610" s="1280">
        <v>1.2450908360988693</v>
      </c>
      <c r="L610" s="1237">
        <v>0.1743150375582706</v>
      </c>
    </row>
    <row r="611" spans="1:12" s="326" customFormat="1" ht="15.5" x14ac:dyDescent="0.35">
      <c r="A611" s="328" t="s">
        <v>1575</v>
      </c>
      <c r="B611" s="1291">
        <v>0.14090666054072221</v>
      </c>
      <c r="C611" s="1257">
        <v>0.22309331622144069</v>
      </c>
      <c r="D611" s="1257">
        <v>0.15656295615635801</v>
      </c>
      <c r="E611" s="1280">
        <v>1.0526510357172731</v>
      </c>
      <c r="F611" s="1303">
        <v>5.7678787318481778E-2</v>
      </c>
      <c r="G611" s="1288">
        <v>8.9202796771249801E-2</v>
      </c>
      <c r="H611" s="1280">
        <v>0.84414705473969465</v>
      </c>
      <c r="I611" s="1303">
        <v>6.2484883509002179E-2</v>
      </c>
      <c r="J611" s="1288">
        <v>0.13363513587657111</v>
      </c>
      <c r="K611" s="1280">
        <v>1.2646207343613751</v>
      </c>
      <c r="L611" s="1237">
        <v>0.1743150375582706</v>
      </c>
    </row>
    <row r="612" spans="1:12" s="326" customFormat="1" ht="15.5" x14ac:dyDescent="0.35">
      <c r="A612" s="328" t="s">
        <v>1576</v>
      </c>
      <c r="B612" s="1291">
        <v>0.14090666054072221</v>
      </c>
      <c r="C612" s="1257">
        <v>0.22309331622144069</v>
      </c>
      <c r="D612" s="1257">
        <v>0.15656295615635801</v>
      </c>
      <c r="E612" s="1280">
        <v>1.0526510357172731</v>
      </c>
      <c r="F612" s="1303">
        <v>5.7696434187403348E-2</v>
      </c>
      <c r="G612" s="1288">
        <v>8.7839564186298513E-2</v>
      </c>
      <c r="H612" s="1280">
        <v>0.83124646402769264</v>
      </c>
      <c r="I612" s="1303">
        <v>6.3463481603031377E-2</v>
      </c>
      <c r="J612" s="1288">
        <v>0.13239278666014448</v>
      </c>
      <c r="K612" s="1280">
        <v>1.2528640914088673</v>
      </c>
      <c r="L612" s="1237">
        <v>0.1743150375582706</v>
      </c>
    </row>
    <row r="613" spans="1:12" s="326" customFormat="1" ht="15.5" x14ac:dyDescent="0.35">
      <c r="A613" s="328" t="s">
        <v>1577</v>
      </c>
      <c r="B613" s="1291">
        <v>0.14090666054072221</v>
      </c>
      <c r="C613" s="1257">
        <v>0.22309331622144069</v>
      </c>
      <c r="D613" s="1257">
        <v>0.15656295615635801</v>
      </c>
      <c r="E613" s="1280">
        <v>1.0526510357172731</v>
      </c>
      <c r="F613" s="1303">
        <v>5.7639937976917868E-2</v>
      </c>
      <c r="G613" s="1288">
        <v>8.4055435024180392E-2</v>
      </c>
      <c r="H613" s="1280">
        <v>0.79543635938323642</v>
      </c>
      <c r="I613" s="1303">
        <v>6.3532230270198026E-2</v>
      </c>
      <c r="J613" s="1288">
        <v>0.13285998498728635</v>
      </c>
      <c r="K613" s="1280">
        <v>1.2572852991076289</v>
      </c>
      <c r="L613" s="1237">
        <v>0.1743150375582706</v>
      </c>
    </row>
    <row r="614" spans="1:12" s="326" customFormat="1" ht="15.5" x14ac:dyDescent="0.35">
      <c r="A614" s="328" t="s">
        <v>1578</v>
      </c>
      <c r="B614" s="1291">
        <v>0.14090666054072221</v>
      </c>
      <c r="C614" s="1257">
        <v>0.22309331622144069</v>
      </c>
      <c r="D614" s="1257">
        <v>0.15656295615635801</v>
      </c>
      <c r="E614" s="1280">
        <v>1.0526510357172731</v>
      </c>
      <c r="F614" s="1303">
        <v>5.7863361264079427E-2</v>
      </c>
      <c r="G614" s="1288">
        <v>7.9477954410570095E-2</v>
      </c>
      <c r="H614" s="1280">
        <v>0.75211858328238024</v>
      </c>
      <c r="I614" s="1303">
        <v>6.3724791179722351E-2</v>
      </c>
      <c r="J614" s="1288">
        <v>0.13205915175150135</v>
      </c>
      <c r="K614" s="1280">
        <v>1.249706825766046</v>
      </c>
      <c r="L614" s="1237">
        <v>0.1743150375582706</v>
      </c>
    </row>
    <row r="615" spans="1:12" s="326" customFormat="1" ht="15.5" x14ac:dyDescent="0.35">
      <c r="A615" s="328" t="s">
        <v>1579</v>
      </c>
      <c r="B615" s="1291">
        <v>0.14090666054072221</v>
      </c>
      <c r="C615" s="1257">
        <v>0.22309331622144069</v>
      </c>
      <c r="D615" s="1257">
        <v>0.15656295615635801</v>
      </c>
      <c r="E615" s="1280">
        <v>1.0526510357172731</v>
      </c>
      <c r="F615" s="1303">
        <v>5.7112033493283934E-2</v>
      </c>
      <c r="G615" s="1288">
        <v>7.2118951951051599E-2</v>
      </c>
      <c r="H615" s="1280">
        <v>0.68247861147796618</v>
      </c>
      <c r="I615" s="1303">
        <v>6.3233609260067422E-2</v>
      </c>
      <c r="J615" s="1288">
        <v>0.13169598417202139</v>
      </c>
      <c r="K615" s="1280">
        <v>1.2462700855102316</v>
      </c>
      <c r="L615" s="1237">
        <v>0.1743150375582706</v>
      </c>
    </row>
    <row r="616" spans="1:12" s="326" customFormat="1" ht="15.5" x14ac:dyDescent="0.35">
      <c r="A616" s="328" t="s">
        <v>1580</v>
      </c>
      <c r="B616" s="1291">
        <v>0.14090666054072221</v>
      </c>
      <c r="C616" s="1257">
        <v>0.22309331622144069</v>
      </c>
      <c r="D616" s="1257">
        <v>0.15656295615635801</v>
      </c>
      <c r="E616" s="1280">
        <v>1.0526510357172731</v>
      </c>
      <c r="F616" s="1303">
        <v>5.736821713604949E-2</v>
      </c>
      <c r="G616" s="1288">
        <v>7.6755435958264798E-2</v>
      </c>
      <c r="H616" s="1280">
        <v>0.72635475057563825</v>
      </c>
      <c r="I616" s="1303">
        <v>6.3451414692250449E-2</v>
      </c>
      <c r="J616" s="1288">
        <v>0.13120492980201021</v>
      </c>
      <c r="K616" s="1280">
        <v>1.2416231224646113</v>
      </c>
      <c r="L616" s="1237">
        <v>0.1743150375582706</v>
      </c>
    </row>
    <row r="617" spans="1:12" s="326" customFormat="1" ht="15.5" x14ac:dyDescent="0.35">
      <c r="A617" s="328" t="s">
        <v>1581</v>
      </c>
      <c r="B617" s="1291">
        <v>0.14090666054072221</v>
      </c>
      <c r="C617" s="1257">
        <v>0.22309331622144069</v>
      </c>
      <c r="D617" s="1257">
        <v>0.15656295615635801</v>
      </c>
      <c r="E617" s="1280">
        <v>1.0526510357172731</v>
      </c>
      <c r="F617" s="1303">
        <v>5.7538689809426696E-2</v>
      </c>
      <c r="G617" s="1288">
        <v>7.4683984525087926E-2</v>
      </c>
      <c r="H617" s="1280">
        <v>0.70675211826314821</v>
      </c>
      <c r="I617" s="1303">
        <v>6.3609170182678698E-2</v>
      </c>
      <c r="J617" s="1288">
        <v>0.13019483560431247</v>
      </c>
      <c r="K617" s="1280">
        <v>1.2320643634025745</v>
      </c>
      <c r="L617" s="1237">
        <v>0.1743150375582706</v>
      </c>
    </row>
    <row r="618" spans="1:12" s="326" customFormat="1" ht="15.5" x14ac:dyDescent="0.35">
      <c r="A618" s="328" t="s">
        <v>1582</v>
      </c>
      <c r="B618" s="1291">
        <v>0.14090666054072221</v>
      </c>
      <c r="C618" s="1257">
        <v>0.22309331622144069</v>
      </c>
      <c r="D618" s="1257">
        <v>0.15656295615635801</v>
      </c>
      <c r="E618" s="1280">
        <v>1.0526510357172731</v>
      </c>
      <c r="F618" s="1303">
        <v>5.7654495030448408E-2</v>
      </c>
      <c r="G618" s="1288">
        <v>7.4309858677861676E-2</v>
      </c>
      <c r="H618" s="1280">
        <v>0.70321167734123502</v>
      </c>
      <c r="I618" s="1303">
        <v>6.3811964387668257E-2</v>
      </c>
      <c r="J618" s="1288">
        <v>0.12840667404533473</v>
      </c>
      <c r="K618" s="1280">
        <v>1.215142569826072</v>
      </c>
      <c r="L618" s="1237">
        <v>0.1743150375582706</v>
      </c>
    </row>
    <row r="619" spans="1:12" s="326" customFormat="1" ht="15.5" x14ac:dyDescent="0.35">
      <c r="A619" s="328" t="s">
        <v>1583</v>
      </c>
      <c r="B619" s="1291">
        <v>0.14090666054072221</v>
      </c>
      <c r="C619" s="1257">
        <v>0.22309331622144069</v>
      </c>
      <c r="D619" s="1257">
        <v>0.15656295615635801</v>
      </c>
      <c r="E619" s="1280">
        <v>1.0526510357172731</v>
      </c>
      <c r="F619" s="1303">
        <v>5.7584772859147246E-2</v>
      </c>
      <c r="G619" s="1288">
        <v>7.0140786537168529E-2</v>
      </c>
      <c r="H619" s="1280">
        <v>0.66375876671570511</v>
      </c>
      <c r="I619" s="1303">
        <v>6.3939969890864506E-2</v>
      </c>
      <c r="J619" s="1288">
        <v>0.12900513585373316</v>
      </c>
      <c r="K619" s="1280">
        <v>1.2208059547334895</v>
      </c>
      <c r="L619" s="1237">
        <v>0.1743150375582706</v>
      </c>
    </row>
    <row r="620" spans="1:12" s="326" customFormat="1" ht="15.5" x14ac:dyDescent="0.35">
      <c r="A620" s="328" t="s">
        <v>1584</v>
      </c>
      <c r="B620" s="1291">
        <v>0.14090666054072221</v>
      </c>
      <c r="C620" s="1257">
        <v>0.22309331622144069</v>
      </c>
      <c r="D620" s="1257">
        <v>0.15656295615635801</v>
      </c>
      <c r="E620" s="1280">
        <v>1.0526510357172731</v>
      </c>
      <c r="F620" s="1303">
        <v>5.7595104236325016E-2</v>
      </c>
      <c r="G620" s="1288">
        <v>6.9270119844447309E-2</v>
      </c>
      <c r="H620" s="1280">
        <v>0.65551944293973297</v>
      </c>
      <c r="I620" s="1303">
        <v>6.3688479771757761E-2</v>
      </c>
      <c r="J620" s="1288">
        <v>0.12896461050360503</v>
      </c>
      <c r="K620" s="1280">
        <v>1.2204224538098503</v>
      </c>
      <c r="L620" s="1237">
        <v>0.1743150375582706</v>
      </c>
    </row>
    <row r="621" spans="1:12" s="326" customFormat="1" ht="15.5" x14ac:dyDescent="0.35">
      <c r="A621" s="328" t="s">
        <v>1585</v>
      </c>
      <c r="B621" s="1291">
        <v>0.14090666054072221</v>
      </c>
      <c r="C621" s="1257">
        <v>0.22309331622144069</v>
      </c>
      <c r="D621" s="1257">
        <v>0.15656295615635801</v>
      </c>
      <c r="E621" s="1280">
        <v>1.0526510357172731</v>
      </c>
      <c r="F621" s="1303">
        <v>5.7425800264276086E-2</v>
      </c>
      <c r="G621" s="1288">
        <v>7.5050379021521937E-2</v>
      </c>
      <c r="H621" s="1280">
        <v>0.71021939559337299</v>
      </c>
      <c r="I621" s="1303">
        <v>6.322356811507221E-2</v>
      </c>
      <c r="J621" s="1288">
        <v>0.12958742143517893</v>
      </c>
      <c r="K621" s="1280">
        <v>1.2263162601990829</v>
      </c>
      <c r="L621" s="1237">
        <v>0.1743150375582706</v>
      </c>
    </row>
    <row r="622" spans="1:12" s="326" customFormat="1" ht="15.5" x14ac:dyDescent="0.35">
      <c r="A622" s="328" t="s">
        <v>1586</v>
      </c>
      <c r="B622" s="1291">
        <v>0.14090666054072221</v>
      </c>
      <c r="C622" s="1257">
        <v>0.22309331622144069</v>
      </c>
      <c r="D622" s="1257">
        <v>0.15656295615635801</v>
      </c>
      <c r="E622" s="1280">
        <v>1.0526510357172731</v>
      </c>
      <c r="F622" s="1303">
        <v>5.756396096604173E-2</v>
      </c>
      <c r="G622" s="1288">
        <v>7.3394159227592085E-2</v>
      </c>
      <c r="H622" s="1280">
        <v>0.69454619798463979</v>
      </c>
      <c r="I622" s="1303">
        <v>6.3606923094072926E-2</v>
      </c>
      <c r="J622" s="1288">
        <v>0.12972519650162415</v>
      </c>
      <c r="K622" s="1280">
        <v>1.2276200580705168</v>
      </c>
      <c r="L622" s="1237">
        <v>0.1743150375582706</v>
      </c>
    </row>
    <row r="623" spans="1:12" s="326" customFormat="1" ht="15.5" x14ac:dyDescent="0.35">
      <c r="A623" s="328" t="s">
        <v>1587</v>
      </c>
      <c r="B623" s="1291">
        <v>0.14090666054072221</v>
      </c>
      <c r="C623" s="1257">
        <v>0.22309331622144069</v>
      </c>
      <c r="D623" s="1257">
        <v>0.15656295615635801</v>
      </c>
      <c r="E623" s="1280">
        <v>1.0526510357172731</v>
      </c>
      <c r="F623" s="1303">
        <v>5.735332037431877E-2</v>
      </c>
      <c r="G623" s="1288">
        <v>7.1985266559900035E-2</v>
      </c>
      <c r="H623" s="1280">
        <v>0.68121351516611295</v>
      </c>
      <c r="I623" s="1303">
        <v>6.3563431314163976E-2</v>
      </c>
      <c r="J623" s="1288">
        <v>0.12958434540468786</v>
      </c>
      <c r="K623" s="1280">
        <v>1.2262871509987741</v>
      </c>
      <c r="L623" s="1237">
        <v>0.1743150375582706</v>
      </c>
    </row>
    <row r="624" spans="1:12" s="326" customFormat="1" ht="15.5" x14ac:dyDescent="0.35">
      <c r="A624" s="328" t="s">
        <v>1588</v>
      </c>
      <c r="B624" s="1291">
        <v>0.14090666054072221</v>
      </c>
      <c r="C624" s="1257">
        <v>0.22309331622144069</v>
      </c>
      <c r="D624" s="1257">
        <v>0.15656295615635801</v>
      </c>
      <c r="E624" s="1280">
        <v>1.0526510357172731</v>
      </c>
      <c r="F624" s="1303">
        <v>5.7161436428180411E-2</v>
      </c>
      <c r="G624" s="1288">
        <v>7.272094163409612E-2</v>
      </c>
      <c r="H624" s="1280">
        <v>0.68817538149324786</v>
      </c>
      <c r="I624" s="1303">
        <v>6.3164095926490763E-2</v>
      </c>
      <c r="J624" s="1288">
        <v>0.12886983307743408</v>
      </c>
      <c r="K624" s="1280">
        <v>1.2195255527254241</v>
      </c>
      <c r="L624" s="1237">
        <v>0.1743150375582706</v>
      </c>
    </row>
    <row r="625" spans="1:12" s="326" customFormat="1" ht="15.5" x14ac:dyDescent="0.35">
      <c r="A625" s="328" t="s">
        <v>1589</v>
      </c>
      <c r="B625" s="1291">
        <v>0.14090666054072221</v>
      </c>
      <c r="C625" s="1257">
        <v>0.22309331622144069</v>
      </c>
      <c r="D625" s="1257">
        <v>0.15656295615635801</v>
      </c>
      <c r="E625" s="1280">
        <v>1.0526510357172731</v>
      </c>
      <c r="F625" s="1303">
        <v>4.9093529281494845E-2</v>
      </c>
      <c r="G625" s="1288">
        <v>7.2187252332114246E-2</v>
      </c>
      <c r="H625" s="1280">
        <v>0.68312495405463991</v>
      </c>
      <c r="I625" s="1303">
        <v>6.9265167038087036E-2</v>
      </c>
      <c r="J625" s="1288">
        <v>0.12786279157079042</v>
      </c>
      <c r="K625" s="1280">
        <v>1.2099956819971123</v>
      </c>
      <c r="L625" s="1237">
        <v>0.1743150375582706</v>
      </c>
    </row>
    <row r="626" spans="1:12" s="326" customFormat="1" ht="15.5" x14ac:dyDescent="0.35">
      <c r="A626" s="328" t="s">
        <v>1590</v>
      </c>
      <c r="B626" s="1291">
        <v>0.14090666054072221</v>
      </c>
      <c r="C626" s="1257">
        <v>0.22309331622144069</v>
      </c>
      <c r="D626" s="1257">
        <v>0.15656295615635801</v>
      </c>
      <c r="E626" s="1280">
        <v>1.0526510357172731</v>
      </c>
      <c r="F626" s="1303">
        <v>4.9345992137405384E-2</v>
      </c>
      <c r="G626" s="1288">
        <v>7.0302736388111492E-2</v>
      </c>
      <c r="H626" s="1280">
        <v>0.66529133626102577</v>
      </c>
      <c r="I626" s="1303">
        <v>6.9084186255048058E-2</v>
      </c>
      <c r="J626" s="1288">
        <v>0.12839268851266289</v>
      </c>
      <c r="K626" s="1280">
        <v>1.2150102214396847</v>
      </c>
      <c r="L626" s="1237">
        <v>0.1743150375582706</v>
      </c>
    </row>
    <row r="627" spans="1:12" s="326" customFormat="1" ht="15.5" x14ac:dyDescent="0.35">
      <c r="A627" s="328" t="s">
        <v>1591</v>
      </c>
      <c r="B627" s="1291">
        <v>0.14090666054072221</v>
      </c>
      <c r="C627" s="1257">
        <v>0.22309331622144069</v>
      </c>
      <c r="D627" s="1257">
        <v>0.15656295615635801</v>
      </c>
      <c r="E627" s="1280">
        <v>1.0526510357172731</v>
      </c>
      <c r="F627" s="1303">
        <v>4.9100413084652982E-2</v>
      </c>
      <c r="G627" s="1288">
        <v>7.4887693667188934E-2</v>
      </c>
      <c r="H627" s="1280">
        <v>0.70867986580641307</v>
      </c>
      <c r="I627" s="1303">
        <v>6.8807319613694615E-2</v>
      </c>
      <c r="J627" s="1288">
        <v>0.1286340056542864</v>
      </c>
      <c r="K627" s="1280">
        <v>1.217293862331372</v>
      </c>
      <c r="L627" s="1237">
        <v>0.1743150375582706</v>
      </c>
    </row>
    <row r="628" spans="1:12" s="326" customFormat="1" ht="15.5" x14ac:dyDescent="0.35">
      <c r="A628" s="328" t="s">
        <v>1592</v>
      </c>
      <c r="B628" s="1291">
        <v>0.14090666054072221</v>
      </c>
      <c r="C628" s="1257">
        <v>0.22309331622144069</v>
      </c>
      <c r="D628" s="1257">
        <v>0.15656295615635801</v>
      </c>
      <c r="E628" s="1280">
        <v>1.0526510357172731</v>
      </c>
      <c r="F628" s="1303">
        <v>5.8761544974000969E-2</v>
      </c>
      <c r="G628" s="1288">
        <v>6.9737103054108754E-2</v>
      </c>
      <c r="H628" s="1280">
        <v>0.65993861493116157</v>
      </c>
      <c r="I628" s="1303">
        <v>7.4614122461677465E-2</v>
      </c>
      <c r="J628" s="1288">
        <v>0.12954834044333408</v>
      </c>
      <c r="K628" s="1280">
        <v>1.2259464275777276</v>
      </c>
      <c r="L628" s="1237">
        <v>0.1743150375582706</v>
      </c>
    </row>
    <row r="629" spans="1:12" s="326" customFormat="1" ht="15.5" x14ac:dyDescent="0.35">
      <c r="A629" s="328" t="s">
        <v>1593</v>
      </c>
      <c r="B629" s="1291">
        <v>0.14090666054072221</v>
      </c>
      <c r="C629" s="1257">
        <v>0.22309331622144069</v>
      </c>
      <c r="D629" s="1257">
        <v>0.15656295615635801</v>
      </c>
      <c r="E629" s="1280">
        <v>1.0526510357172731</v>
      </c>
      <c r="F629" s="1303">
        <v>5.8897539060150779E-2</v>
      </c>
      <c r="G629" s="1288">
        <v>6.8093939067417217E-2</v>
      </c>
      <c r="H629" s="1280">
        <v>0.64438896749827912</v>
      </c>
      <c r="I629" s="1303">
        <v>7.5373550507617321E-2</v>
      </c>
      <c r="J629" s="1288">
        <v>0.11493093383453945</v>
      </c>
      <c r="K629" s="1280">
        <v>1.0876184694489137</v>
      </c>
      <c r="L629" s="1237">
        <v>0.1743150375582706</v>
      </c>
    </row>
    <row r="630" spans="1:12" s="326" customFormat="1" ht="15.5" x14ac:dyDescent="0.35">
      <c r="A630" s="328" t="s">
        <v>1594</v>
      </c>
      <c r="B630" s="1291">
        <v>0.14090666054072221</v>
      </c>
      <c r="C630" s="1257">
        <v>0.22309331622144069</v>
      </c>
      <c r="D630" s="1257">
        <v>0.15656295615635801</v>
      </c>
      <c r="E630" s="1280">
        <v>1.0526510357172731</v>
      </c>
      <c r="F630" s="1303">
        <v>5.8469503066532605E-2</v>
      </c>
      <c r="G630" s="1288">
        <v>6.2026185357702157E-2</v>
      </c>
      <c r="H630" s="1280">
        <v>0.5869683864364903</v>
      </c>
      <c r="I630" s="1303">
        <v>7.5174964781975412E-2</v>
      </c>
      <c r="J630" s="1288">
        <v>9.8767434998014644E-2</v>
      </c>
      <c r="K630" s="1280">
        <v>0.9346594767826828</v>
      </c>
      <c r="L630" s="1237">
        <v>0.1743150375582706</v>
      </c>
    </row>
    <row r="631" spans="1:12" s="326" customFormat="1" ht="15.5" x14ac:dyDescent="0.35">
      <c r="A631" s="328" t="s">
        <v>1595</v>
      </c>
      <c r="B631" s="1291">
        <v>0.14090666054072221</v>
      </c>
      <c r="C631" s="1257">
        <v>0.22309331622144069</v>
      </c>
      <c r="D631" s="1257">
        <v>0.15656295615635801</v>
      </c>
      <c r="E631" s="1280">
        <v>1.0526510357172731</v>
      </c>
      <c r="F631" s="1303">
        <v>6.3651608963725667E-2</v>
      </c>
      <c r="G631" s="1288">
        <v>5.768123299200343E-2</v>
      </c>
      <c r="H631" s="1280">
        <v>0.54585107985815007</v>
      </c>
      <c r="I631" s="1303">
        <v>8.0701456813131803E-2</v>
      </c>
      <c r="J631" s="1288">
        <v>9.8752780382552446E-2</v>
      </c>
      <c r="K631" s="1280">
        <v>0.93452079670841903</v>
      </c>
      <c r="L631" s="1237">
        <v>0.1743150375582706</v>
      </c>
    </row>
    <row r="632" spans="1:12" s="326" customFormat="1" ht="15.5" x14ac:dyDescent="0.35">
      <c r="A632" s="328" t="s">
        <v>1596</v>
      </c>
      <c r="B632" s="1291">
        <v>0.14090666054072221</v>
      </c>
      <c r="C632" s="1257">
        <v>0.22309331622144069</v>
      </c>
      <c r="D632" s="1257">
        <v>0.15656295615635801</v>
      </c>
      <c r="E632" s="1280">
        <v>1.0526510357172731</v>
      </c>
      <c r="F632" s="1303">
        <v>6.6035843813556941E-2</v>
      </c>
      <c r="G632" s="1288">
        <v>5.7849696256799636E-2</v>
      </c>
      <c r="H632" s="1280">
        <v>0.5474452873713318</v>
      </c>
      <c r="I632" s="1303">
        <v>8.0383507303339888E-2</v>
      </c>
      <c r="J632" s="1288">
        <v>0.10042961608166946</v>
      </c>
      <c r="K632" s="1280">
        <v>0.95038908747873974</v>
      </c>
      <c r="L632" s="1330">
        <v>0.1743150375582706</v>
      </c>
    </row>
    <row r="633" spans="1:12" s="326" customFormat="1" ht="15.5" x14ac:dyDescent="0.35">
      <c r="A633" s="328" t="s">
        <v>1597</v>
      </c>
      <c r="B633" s="1287">
        <v>0.14090666054072221</v>
      </c>
      <c r="C633" s="1288">
        <v>0.22309331622144069</v>
      </c>
      <c r="D633" s="1288">
        <v>0.27516701339642474</v>
      </c>
      <c r="E633" s="1306">
        <v>1.9102075911788581</v>
      </c>
      <c r="F633" s="1303">
        <v>5.8507407862674832E-2</v>
      </c>
      <c r="G633" s="1288">
        <v>5.8093887551998465E-2</v>
      </c>
      <c r="H633" s="1280">
        <v>0.54975612705457366</v>
      </c>
      <c r="I633" s="1303">
        <v>8.0637189986334942E-2</v>
      </c>
      <c r="J633" s="1288">
        <v>0.10035437395576909</v>
      </c>
      <c r="K633" s="1280">
        <v>0.9496770535373148</v>
      </c>
      <c r="L633" s="1330">
        <v>0.1720976559841102</v>
      </c>
    </row>
    <row r="634" spans="1:12" s="326" customFormat="1" ht="15.5" x14ac:dyDescent="0.35">
      <c r="A634" s="328" t="s">
        <v>1598</v>
      </c>
      <c r="B634" s="1287">
        <v>0.13255259457417684</v>
      </c>
      <c r="C634" s="1288">
        <v>0.21498271614044565</v>
      </c>
      <c r="D634" s="1288">
        <v>0.28670149352561142</v>
      </c>
      <c r="E634" s="1306">
        <v>2.0689747562787977</v>
      </c>
      <c r="F634" s="1303">
        <v>6.4761620018162921E-2</v>
      </c>
      <c r="G634" s="1288">
        <v>5.6953223749395626E-2</v>
      </c>
      <c r="H634" s="1280">
        <v>0.53896175709906013</v>
      </c>
      <c r="I634" s="1303">
        <v>8.0569474944163652E-2</v>
      </c>
      <c r="J634" s="1288">
        <v>0.10075470392951315</v>
      </c>
      <c r="K634" s="1280">
        <v>0.95346547027414275</v>
      </c>
      <c r="L634" s="1330">
        <v>0.16102130351227525</v>
      </c>
    </row>
    <row r="635" spans="1:12" s="326" customFormat="1" ht="15.5" x14ac:dyDescent="0.35">
      <c r="A635" s="328" t="s">
        <v>1599</v>
      </c>
      <c r="B635" s="1287">
        <v>0.12675098547610095</v>
      </c>
      <c r="C635" s="1288">
        <v>0.21396459095372505</v>
      </c>
      <c r="D635" s="1288">
        <v>0.31033669288484966</v>
      </c>
      <c r="E635" s="1306">
        <v>2.0420864893450483</v>
      </c>
      <c r="F635" s="1303">
        <v>5.9482576450557156E-2</v>
      </c>
      <c r="G635" s="1288">
        <v>5.4984164684445939E-2</v>
      </c>
      <c r="H635" s="1280">
        <v>0.52032808785942586</v>
      </c>
      <c r="I635" s="1303">
        <v>7.8365987220385361E-2</v>
      </c>
      <c r="J635" s="1288">
        <v>9.8224650372027003E-2</v>
      </c>
      <c r="K635" s="1280">
        <v>0.92952297815293206</v>
      </c>
      <c r="L635" s="1330">
        <v>0.18940490238047714</v>
      </c>
    </row>
    <row r="636" spans="1:12" s="326" customFormat="1" ht="15.5" x14ac:dyDescent="0.35">
      <c r="A636" s="328" t="s">
        <v>1600</v>
      </c>
      <c r="B636" s="1287">
        <v>0.13594272448949857</v>
      </c>
      <c r="C636" s="1288">
        <v>0.25066522334002056</v>
      </c>
      <c r="D636" s="1288">
        <v>0.29853956162416562</v>
      </c>
      <c r="E636" s="1306">
        <v>1.8417373218427027</v>
      </c>
      <c r="F636" s="1303">
        <v>5.7092035478678534E-2</v>
      </c>
      <c r="G636" s="1288">
        <v>5.5218135624286499E-2</v>
      </c>
      <c r="H636" s="1280">
        <v>0.52254220991512301</v>
      </c>
      <c r="I636" s="1303">
        <v>7.7891429138485554E-2</v>
      </c>
      <c r="J636" s="1288">
        <v>9.8991955358046432E-2</v>
      </c>
      <c r="K636" s="1280">
        <v>0.9367841657779834</v>
      </c>
      <c r="L636" s="1330">
        <v>0.18838856985340582</v>
      </c>
    </row>
    <row r="637" spans="1:12" s="326" customFormat="1" ht="15.5" x14ac:dyDescent="0.35">
      <c r="A637" s="328" t="s">
        <v>1601</v>
      </c>
      <c r="B637" s="1287">
        <v>0.11189854036133881</v>
      </c>
      <c r="C637" s="1288">
        <v>0.11165731463549508</v>
      </c>
      <c r="D637" s="1288">
        <v>0.31672595337594428</v>
      </c>
      <c r="E637" s="1306">
        <v>2.0060985472423449</v>
      </c>
      <c r="F637" s="1303">
        <v>5.974478551727444E-2</v>
      </c>
      <c r="G637" s="1288">
        <v>5.5247115128085986E-2</v>
      </c>
      <c r="H637" s="1280">
        <v>0.52281644977828434</v>
      </c>
      <c r="I637" s="1303">
        <v>7.5525279189008088E-2</v>
      </c>
      <c r="J637" s="1288">
        <v>9.6288825528616409E-2</v>
      </c>
      <c r="K637" s="1280">
        <v>0.91120381217153912</v>
      </c>
      <c r="L637" s="1330">
        <v>0.18747387057900758</v>
      </c>
    </row>
    <row r="638" spans="1:12" s="326" customFormat="1" ht="15.5" x14ac:dyDescent="0.35">
      <c r="A638" s="328" t="s">
        <v>1602</v>
      </c>
      <c r="B638" s="1287">
        <v>0.12044608718342693</v>
      </c>
      <c r="C638" s="1288">
        <v>0.16935017819015127</v>
      </c>
      <c r="D638" s="1288">
        <v>0.20957603986191567</v>
      </c>
      <c r="E638" s="1306">
        <v>1.9900724599140345</v>
      </c>
      <c r="F638" s="1303">
        <v>5.8879705275954916E-2</v>
      </c>
      <c r="G638" s="1288">
        <v>5.4448609086851396E-2</v>
      </c>
      <c r="H638" s="1280">
        <v>0.51525999922630694</v>
      </c>
      <c r="I638" s="1303">
        <v>7.2767927908081176E-2</v>
      </c>
      <c r="J638" s="1288">
        <v>9.492431828276042E-2</v>
      </c>
      <c r="K638" s="1280">
        <v>0.89829115904347545</v>
      </c>
      <c r="L638" s="1330">
        <v>0.19161861438389011</v>
      </c>
    </row>
    <row r="639" spans="1:12" s="326" customFormat="1" ht="15.5" x14ac:dyDescent="0.35">
      <c r="A639" s="328" t="s">
        <v>1603</v>
      </c>
      <c r="B639" s="1287">
        <v>0.1319243734918284</v>
      </c>
      <c r="C639" s="1288">
        <v>0.1544194085626871</v>
      </c>
      <c r="D639" s="1288">
        <v>0.21046878154477244</v>
      </c>
      <c r="E639" s="1306">
        <v>1.9935423887737072</v>
      </c>
      <c r="F639" s="1303">
        <v>5.398252385873064E-2</v>
      </c>
      <c r="G639" s="1288">
        <v>5.3388418849446735E-2</v>
      </c>
      <c r="H639" s="1280">
        <v>0.50522716955322022</v>
      </c>
      <c r="I639" s="1303">
        <v>6.8264050467420054E-2</v>
      </c>
      <c r="J639" s="1288">
        <v>9.036787867331196E-2</v>
      </c>
      <c r="K639" s="1280">
        <v>0.85517249891582714</v>
      </c>
      <c r="L639" s="1330">
        <v>0.19090571956115182</v>
      </c>
    </row>
    <row r="640" spans="1:12" s="326" customFormat="1" ht="15.5" x14ac:dyDescent="0.35">
      <c r="A640" s="328" t="s">
        <v>1604</v>
      </c>
      <c r="B640" s="1287">
        <v>0.1353636890474067</v>
      </c>
      <c r="C640" s="1288">
        <v>0.13789097032287609</v>
      </c>
      <c r="D640" s="1288">
        <v>0.22649265459539547</v>
      </c>
      <c r="E640" s="1306">
        <v>1.765251595357658</v>
      </c>
      <c r="F640" s="1303">
        <v>5.6947029307941432E-2</v>
      </c>
      <c r="G640" s="1288">
        <v>5.1495820088643264E-2</v>
      </c>
      <c r="H640" s="1280">
        <v>0.48731706216238146</v>
      </c>
      <c r="I640" s="1303">
        <v>6.8325868717541038E-2</v>
      </c>
      <c r="J640" s="1288">
        <v>8.9458008619886314E-2</v>
      </c>
      <c r="K640" s="1280">
        <v>0.84656218451318876</v>
      </c>
      <c r="L640" s="1330">
        <v>0.19090571956097421</v>
      </c>
    </row>
    <row r="641" spans="1:12" s="326" customFormat="1" ht="15.5" x14ac:dyDescent="0.35">
      <c r="A641" s="328" t="s">
        <v>1605</v>
      </c>
      <c r="B641" s="1287">
        <v>0.11513821076267959</v>
      </c>
      <c r="C641" s="1288">
        <v>0.17457784539954838</v>
      </c>
      <c r="D641" s="1288">
        <v>0.24770116723449176</v>
      </c>
      <c r="E641" s="1280">
        <v>0.86014640006986254</v>
      </c>
      <c r="F641" s="1303">
        <v>5.3763534852962702E-2</v>
      </c>
      <c r="G641" s="1288">
        <v>5.1423343813380915E-2</v>
      </c>
      <c r="H641" s="1280">
        <v>0.4866312021163326</v>
      </c>
      <c r="I641" s="1303">
        <v>6.4887074584873819E-2</v>
      </c>
      <c r="J641" s="1288">
        <v>8.6880644044908098E-2</v>
      </c>
      <c r="K641" s="1280">
        <v>0.82217197710144652</v>
      </c>
      <c r="L641" s="1330">
        <v>0.1909057195611458</v>
      </c>
    </row>
    <row r="642" spans="1:12" s="326" customFormat="1" ht="15.5" x14ac:dyDescent="0.35">
      <c r="A642" s="328" t="s">
        <v>1606</v>
      </c>
      <c r="B642" s="1287">
        <v>9.198636584740004E-2</v>
      </c>
      <c r="C642" s="1288">
        <v>0.16120709255707252</v>
      </c>
      <c r="D642" s="1288">
        <v>0.25034138872765405</v>
      </c>
      <c r="E642" s="1280">
        <v>0.68718925641666018</v>
      </c>
      <c r="F642" s="1303">
        <v>5.2256001955358858E-2</v>
      </c>
      <c r="G642" s="1288">
        <v>4.8885473708351335E-2</v>
      </c>
      <c r="H642" s="1280">
        <v>0.46261474016653065</v>
      </c>
      <c r="I642" s="1303">
        <v>6.3254493865602154E-2</v>
      </c>
      <c r="J642" s="1288">
        <v>8.4674653469775416E-2</v>
      </c>
      <c r="K642" s="1280">
        <v>0.80129616923235991</v>
      </c>
      <c r="L642" s="1330">
        <v>0.17265393112984426</v>
      </c>
    </row>
    <row r="643" spans="1:12" s="326" customFormat="1" ht="15.5" x14ac:dyDescent="0.35">
      <c r="A643" s="328" t="s">
        <v>1607</v>
      </c>
      <c r="B643" s="1287">
        <v>9.7177699772710291E-2</v>
      </c>
      <c r="C643" s="1288">
        <v>0.18951360557058708</v>
      </c>
      <c r="D643" s="1288">
        <v>0.28463671737343182</v>
      </c>
      <c r="E643" s="1280">
        <v>0.72597140491313072</v>
      </c>
      <c r="F643" s="1303">
        <v>5.0910378080212669E-2</v>
      </c>
      <c r="G643" s="1288">
        <v>4.7198185518451556E-2</v>
      </c>
      <c r="H643" s="1280">
        <v>0.44664753501652321</v>
      </c>
      <c r="I643" s="1303">
        <v>6.1685566444301787E-2</v>
      </c>
      <c r="J643" s="1288">
        <v>8.2556997420797279E-2</v>
      </c>
      <c r="K643" s="1280">
        <v>0.78125629176886824</v>
      </c>
      <c r="L643" s="1330">
        <v>0.17265393113005426</v>
      </c>
    </row>
    <row r="644" spans="1:12" s="326" customFormat="1" ht="15.5" x14ac:dyDescent="0.35">
      <c r="A644" s="328" t="s">
        <v>1608</v>
      </c>
      <c r="B644" s="1287">
        <v>0.10547094881700431</v>
      </c>
      <c r="C644" s="1288">
        <v>0.18170360399727967</v>
      </c>
      <c r="D644" s="1288">
        <v>0.22904466242923713</v>
      </c>
      <c r="E644" s="1280">
        <v>0.78792658263458715</v>
      </c>
      <c r="F644" s="1303">
        <v>4.9571801146591973E-2</v>
      </c>
      <c r="G644" s="1288">
        <v>4.5604394521737313E-2</v>
      </c>
      <c r="H644" s="1280">
        <v>0.43156511580497003</v>
      </c>
      <c r="I644" s="1303">
        <v>6.011501499779906E-2</v>
      </c>
      <c r="J644" s="1288">
        <v>8.0443145250696221E-2</v>
      </c>
      <c r="K644" s="1280">
        <v>0.76125241130622079</v>
      </c>
      <c r="L644" s="1330">
        <v>0.1726539311300811</v>
      </c>
    </row>
    <row r="645" spans="1:12" s="326" customFormat="1" ht="15.5" x14ac:dyDescent="0.35">
      <c r="A645" s="328" t="s">
        <v>1609</v>
      </c>
      <c r="B645" s="1287">
        <v>0.10357221921321227</v>
      </c>
      <c r="C645" s="1288">
        <v>0.13643557978560325</v>
      </c>
      <c r="D645" s="1288">
        <v>0.2190668949609168</v>
      </c>
      <c r="E645" s="1306">
        <v>1.8984811478939607</v>
      </c>
      <c r="F645" s="1303">
        <v>4.9273353123285409E-2</v>
      </c>
      <c r="G645" s="1288">
        <v>4.4035702834867615E-2</v>
      </c>
      <c r="H645" s="1306">
        <v>0.41860300614205131</v>
      </c>
      <c r="I645" s="1303">
        <v>6.0097907119364295E-2</v>
      </c>
      <c r="J645" s="1288">
        <v>8.0399806629474282E-2</v>
      </c>
      <c r="K645" s="1306">
        <v>0.59862236585610118</v>
      </c>
      <c r="L645" s="1330">
        <v>0.15958809369810234</v>
      </c>
    </row>
    <row r="646" spans="1:12" s="326" customFormat="1" ht="15.5" x14ac:dyDescent="0.35">
      <c r="A646" s="328" t="s">
        <v>1610</v>
      </c>
      <c r="B646" s="1287">
        <v>0.11379163101616709</v>
      </c>
      <c r="C646" s="1288">
        <v>0.1393925965816811</v>
      </c>
      <c r="D646" s="1288">
        <v>0.21285630125705068</v>
      </c>
      <c r="E646" s="1306">
        <v>1.95353604361112</v>
      </c>
      <c r="F646" s="1303">
        <v>4.9028412338483741E-2</v>
      </c>
      <c r="G646" s="1288">
        <v>4.2513031547988231E-2</v>
      </c>
      <c r="H646" s="1306">
        <v>0.4258912185715012</v>
      </c>
      <c r="I646" s="1303">
        <v>6.0075375089071334E-2</v>
      </c>
      <c r="J646" s="1288">
        <v>8.0336399182449419E-2</v>
      </c>
      <c r="K646" s="1306">
        <v>0.59872154221984442</v>
      </c>
      <c r="L646" s="1330">
        <v>0.15958809369801108</v>
      </c>
    </row>
    <row r="647" spans="1:12" s="326" customFormat="1" ht="15.5" x14ac:dyDescent="0.35">
      <c r="A647" s="328" t="s">
        <v>1611</v>
      </c>
      <c r="B647" s="1287">
        <v>0.10844621745293311</v>
      </c>
      <c r="C647" s="1288">
        <v>0.15001562213144434</v>
      </c>
      <c r="D647" s="1288">
        <v>0.18763735498420189</v>
      </c>
      <c r="E647" s="1306">
        <v>1.9037951029822158</v>
      </c>
      <c r="F647" s="1303">
        <v>4.8563011201223451E-2</v>
      </c>
      <c r="G647" s="1288">
        <v>4.1582633126680243E-2</v>
      </c>
      <c r="H647" s="1306">
        <v>0.43392115898633737</v>
      </c>
      <c r="I647" s="1303">
        <v>6.0042640818855471E-2</v>
      </c>
      <c r="J647" s="1288">
        <v>8.0218837711638319E-2</v>
      </c>
      <c r="K647" s="1306">
        <v>0.59847414892118522</v>
      </c>
      <c r="L647" s="1330">
        <v>0.15958872813203415</v>
      </c>
    </row>
    <row r="648" spans="1:12" s="326" customFormat="1" ht="15.5" x14ac:dyDescent="0.35">
      <c r="A648" s="328" t="s">
        <v>1612</v>
      </c>
      <c r="B648" s="1291">
        <v>0.10844621745293311</v>
      </c>
      <c r="C648" s="1257">
        <v>0.15001562213144434</v>
      </c>
      <c r="D648" s="1257">
        <v>0.18763735498420189</v>
      </c>
      <c r="E648" s="1280">
        <v>1.9037951029822158</v>
      </c>
      <c r="F648" s="1271">
        <v>4.8563011201223451E-2</v>
      </c>
      <c r="G648" s="1257">
        <v>4.1582633126680243E-2</v>
      </c>
      <c r="H648" s="1280">
        <v>0.43392115898633737</v>
      </c>
      <c r="I648" s="1271">
        <v>6.0042640818855471E-2</v>
      </c>
      <c r="J648" s="1257">
        <v>8.0218837711638319E-2</v>
      </c>
      <c r="K648" s="1280">
        <v>0.59847414892118522</v>
      </c>
      <c r="L648" s="1330">
        <v>0.16107606157188917</v>
      </c>
    </row>
    <row r="649" spans="1:12" s="326" customFormat="1" ht="15.5" x14ac:dyDescent="0.35">
      <c r="A649" s="328" t="s">
        <v>1613</v>
      </c>
      <c r="B649" s="1291">
        <v>0.13255168770571837</v>
      </c>
      <c r="C649" s="1257">
        <v>0.21497632705719319</v>
      </c>
      <c r="D649" s="1257">
        <v>0.14727965300635373</v>
      </c>
      <c r="E649" s="1280">
        <v>0.99023474698821945</v>
      </c>
      <c r="F649" s="1271">
        <v>5.6865903591996052E-2</v>
      </c>
      <c r="G649" s="1257">
        <v>0.1042584138227622</v>
      </c>
      <c r="H649" s="1280">
        <v>0.98662190139628636</v>
      </c>
      <c r="I649" s="1271">
        <v>6.2962645534548584E-2</v>
      </c>
      <c r="J649" s="1257">
        <v>0.14634795615415866</v>
      </c>
      <c r="K649" s="1280">
        <v>1.3849251439000161</v>
      </c>
      <c r="L649" s="1237">
        <v>0.17425714735279668</v>
      </c>
    </row>
    <row r="650" spans="1:12" s="326" customFormat="1" ht="15.5" x14ac:dyDescent="0.35">
      <c r="A650" s="328" t="s">
        <v>1614</v>
      </c>
      <c r="B650" s="1291">
        <v>0.13255168770571837</v>
      </c>
      <c r="C650" s="1257">
        <v>0.21497632705719319</v>
      </c>
      <c r="D650" s="1257">
        <v>0.14727965300635373</v>
      </c>
      <c r="E650" s="1280">
        <v>0.99023474698821945</v>
      </c>
      <c r="F650" s="1271">
        <v>5.6865903591996052E-2</v>
      </c>
      <c r="G650" s="1257">
        <v>0.1042584138227622</v>
      </c>
      <c r="H650" s="1280">
        <v>0.98662190139628636</v>
      </c>
      <c r="I650" s="1271">
        <v>6.2962645534548584E-2</v>
      </c>
      <c r="J650" s="1257">
        <v>0.14634795615415866</v>
      </c>
      <c r="K650" s="1280">
        <v>1.3849251439000161</v>
      </c>
      <c r="L650" s="1237">
        <v>0.17425714735279668</v>
      </c>
    </row>
    <row r="651" spans="1:12" s="326" customFormat="1" ht="15.5" x14ac:dyDescent="0.35">
      <c r="A651" s="328" t="s">
        <v>1615</v>
      </c>
      <c r="B651" s="1291">
        <v>0.13255168770571837</v>
      </c>
      <c r="C651" s="1257">
        <v>0.21497632705719319</v>
      </c>
      <c r="D651" s="1257">
        <v>0.14727965300635373</v>
      </c>
      <c r="E651" s="1280">
        <v>0.99023474698821945</v>
      </c>
      <c r="F651" s="1271">
        <v>5.6865903591996052E-2</v>
      </c>
      <c r="G651" s="1257">
        <v>0.1042584138227622</v>
      </c>
      <c r="H651" s="1280">
        <v>0.98662190139628636</v>
      </c>
      <c r="I651" s="1271">
        <v>6.2962645534548584E-2</v>
      </c>
      <c r="J651" s="1257">
        <v>0.14634795615415866</v>
      </c>
      <c r="K651" s="1280">
        <v>1.3849251439000161</v>
      </c>
      <c r="L651" s="1237">
        <v>0.17425714735279668</v>
      </c>
    </row>
    <row r="652" spans="1:12" s="326" customFormat="1" ht="15.5" x14ac:dyDescent="0.35">
      <c r="A652" s="328" t="s">
        <v>1616</v>
      </c>
      <c r="B652" s="1291">
        <v>0.13255168770571837</v>
      </c>
      <c r="C652" s="1257">
        <v>0.21497632705719319</v>
      </c>
      <c r="D652" s="1257">
        <v>0.14727965300635373</v>
      </c>
      <c r="E652" s="1280">
        <v>0.99023474698821945</v>
      </c>
      <c r="F652" s="1271">
        <v>5.6865903591996052E-2</v>
      </c>
      <c r="G652" s="1257">
        <v>0.1042584138227622</v>
      </c>
      <c r="H652" s="1280">
        <v>0.98662190139628636</v>
      </c>
      <c r="I652" s="1271">
        <v>6.2962645534548584E-2</v>
      </c>
      <c r="J652" s="1257">
        <v>0.14634795615415866</v>
      </c>
      <c r="K652" s="1280">
        <v>1.3849251439000161</v>
      </c>
      <c r="L652" s="1237">
        <v>0.17425714735279668</v>
      </c>
    </row>
    <row r="653" spans="1:12" s="326" customFormat="1" ht="15.5" x14ac:dyDescent="0.35">
      <c r="A653" s="328" t="s">
        <v>1617</v>
      </c>
      <c r="B653" s="1291">
        <v>0.13255168770571837</v>
      </c>
      <c r="C653" s="1257">
        <v>0.21497632705719319</v>
      </c>
      <c r="D653" s="1257">
        <v>0.14727965300635373</v>
      </c>
      <c r="E653" s="1280">
        <v>0.99023474698821945</v>
      </c>
      <c r="F653" s="1271">
        <v>5.6865903591996052E-2</v>
      </c>
      <c r="G653" s="1257">
        <v>0.1042584138227622</v>
      </c>
      <c r="H653" s="1280">
        <v>0.98662190139628636</v>
      </c>
      <c r="I653" s="1271">
        <v>6.2962645534548584E-2</v>
      </c>
      <c r="J653" s="1257">
        <v>0.14634795615415866</v>
      </c>
      <c r="K653" s="1280">
        <v>1.3849251439000161</v>
      </c>
      <c r="L653" s="1237">
        <v>0.17425714735279668</v>
      </c>
    </row>
    <row r="654" spans="1:12" s="326" customFormat="1" ht="15.5" x14ac:dyDescent="0.35">
      <c r="A654" s="328" t="s">
        <v>1618</v>
      </c>
      <c r="B654" s="1291">
        <v>0.13255168770571837</v>
      </c>
      <c r="C654" s="1257">
        <v>0.21497632705719319</v>
      </c>
      <c r="D654" s="1257">
        <v>0.14727965300635373</v>
      </c>
      <c r="E654" s="1280">
        <v>0.99023474698821945</v>
      </c>
      <c r="F654" s="1271">
        <v>5.6865903591996052E-2</v>
      </c>
      <c r="G654" s="1257">
        <v>0.1042584138227622</v>
      </c>
      <c r="H654" s="1280">
        <v>0.98662190139628636</v>
      </c>
      <c r="I654" s="1271">
        <v>6.2962645534548584E-2</v>
      </c>
      <c r="J654" s="1257">
        <v>0.14634795615415866</v>
      </c>
      <c r="K654" s="1280">
        <v>1.3849251439000161</v>
      </c>
      <c r="L654" s="1237">
        <v>0.17425714735279668</v>
      </c>
    </row>
    <row r="655" spans="1:12" s="326" customFormat="1" ht="15.5" x14ac:dyDescent="0.35">
      <c r="A655" s="328" t="s">
        <v>1619</v>
      </c>
      <c r="B655" s="1291">
        <v>0.13255168770571837</v>
      </c>
      <c r="C655" s="1257">
        <v>0.21497632705719319</v>
      </c>
      <c r="D655" s="1257">
        <v>0.14727965300635373</v>
      </c>
      <c r="E655" s="1280">
        <v>0.99023474698821945</v>
      </c>
      <c r="F655" s="1271">
        <v>5.6865903591996052E-2</v>
      </c>
      <c r="G655" s="1257">
        <v>0.1042584138227622</v>
      </c>
      <c r="H655" s="1280">
        <v>0.98662190139628636</v>
      </c>
      <c r="I655" s="1271">
        <v>6.2962645534548584E-2</v>
      </c>
      <c r="J655" s="1257">
        <v>0.14634795615415866</v>
      </c>
      <c r="K655" s="1280">
        <v>1.3849251439000161</v>
      </c>
      <c r="L655" s="1237">
        <v>0.17425714735279668</v>
      </c>
    </row>
    <row r="656" spans="1:12" s="326" customFormat="1" ht="15.5" x14ac:dyDescent="0.35">
      <c r="A656" s="328" t="s">
        <v>1620</v>
      </c>
      <c r="B656" s="1291">
        <v>0.13255168770571837</v>
      </c>
      <c r="C656" s="1257">
        <v>0.21497632705719319</v>
      </c>
      <c r="D656" s="1257">
        <v>0.14727965300635373</v>
      </c>
      <c r="E656" s="1280">
        <v>0.99023474698821945</v>
      </c>
      <c r="F656" s="1271">
        <v>5.6865903591996052E-2</v>
      </c>
      <c r="G656" s="1257">
        <v>0.1042584138227622</v>
      </c>
      <c r="H656" s="1280">
        <v>0.98662190139628636</v>
      </c>
      <c r="I656" s="1271">
        <v>6.2962645534548584E-2</v>
      </c>
      <c r="J656" s="1257">
        <v>0.14634795615415866</v>
      </c>
      <c r="K656" s="1280">
        <v>1.3849251439000161</v>
      </c>
      <c r="L656" s="1237">
        <v>0.17425714735279668</v>
      </c>
    </row>
    <row r="657" spans="1:12" s="326" customFormat="1" ht="15.5" x14ac:dyDescent="0.35">
      <c r="A657" s="328" t="s">
        <v>1621</v>
      </c>
      <c r="B657" s="1291">
        <v>0.13255168770571837</v>
      </c>
      <c r="C657" s="1257">
        <v>0.21497632705719319</v>
      </c>
      <c r="D657" s="1257">
        <v>0.14727965300635373</v>
      </c>
      <c r="E657" s="1280">
        <v>0.99023474698821945</v>
      </c>
      <c r="F657" s="1271">
        <v>5.6865903591996052E-2</v>
      </c>
      <c r="G657" s="1257">
        <v>0.1042584138227622</v>
      </c>
      <c r="H657" s="1280">
        <v>0.98662190139628636</v>
      </c>
      <c r="I657" s="1271">
        <v>6.2962645534548584E-2</v>
      </c>
      <c r="J657" s="1257">
        <v>0.14634795615415866</v>
      </c>
      <c r="K657" s="1280">
        <v>1.3849251439000161</v>
      </c>
      <c r="L657" s="1237">
        <v>0.17425714735279668</v>
      </c>
    </row>
    <row r="658" spans="1:12" s="326" customFormat="1" ht="15.5" x14ac:dyDescent="0.35">
      <c r="A658" s="328" t="s">
        <v>1622</v>
      </c>
      <c r="B658" s="1291">
        <v>0.13255168770571837</v>
      </c>
      <c r="C658" s="1257">
        <v>0.21497632705719319</v>
      </c>
      <c r="D658" s="1257">
        <v>0.14727965300635373</v>
      </c>
      <c r="E658" s="1280">
        <v>0.99023474698821945</v>
      </c>
      <c r="F658" s="1271">
        <v>5.6865903591996052E-2</v>
      </c>
      <c r="G658" s="1257">
        <v>0.1042584138227622</v>
      </c>
      <c r="H658" s="1280">
        <v>0.98662190139628636</v>
      </c>
      <c r="I658" s="1271">
        <v>6.2962645534548584E-2</v>
      </c>
      <c r="J658" s="1257">
        <v>0.14634795615415866</v>
      </c>
      <c r="K658" s="1280">
        <v>1.3849251439000161</v>
      </c>
      <c r="L658" s="1237">
        <v>0.17425714735279668</v>
      </c>
    </row>
    <row r="659" spans="1:12" s="326" customFormat="1" ht="15.5" x14ac:dyDescent="0.35">
      <c r="A659" s="328" t="s">
        <v>1623</v>
      </c>
      <c r="B659" s="1291">
        <v>0.13255168770571837</v>
      </c>
      <c r="C659" s="1257">
        <v>0.21497632705719319</v>
      </c>
      <c r="D659" s="1257">
        <v>0.14727965300635373</v>
      </c>
      <c r="E659" s="1280">
        <v>0.99023474698821945</v>
      </c>
      <c r="F659" s="1271">
        <v>5.6865903591996052E-2</v>
      </c>
      <c r="G659" s="1257">
        <v>0.1042584138227622</v>
      </c>
      <c r="H659" s="1280">
        <v>0.98662190139628636</v>
      </c>
      <c r="I659" s="1271">
        <v>6.2962645534548584E-2</v>
      </c>
      <c r="J659" s="1257">
        <v>0.14634795615415866</v>
      </c>
      <c r="K659" s="1280">
        <v>1.3849251439000161</v>
      </c>
      <c r="L659" s="1237">
        <v>0.17425714735279668</v>
      </c>
    </row>
    <row r="660" spans="1:12" s="326" customFormat="1" ht="15.5" x14ac:dyDescent="0.35">
      <c r="A660" s="328" t="s">
        <v>1624</v>
      </c>
      <c r="B660" s="1291">
        <v>0.13255168770571837</v>
      </c>
      <c r="C660" s="1257">
        <v>0.21497632705719319</v>
      </c>
      <c r="D660" s="1257">
        <v>0.14727965300635373</v>
      </c>
      <c r="E660" s="1280">
        <v>0.99023474698821945</v>
      </c>
      <c r="F660" s="1271">
        <v>5.6865903591996052E-2</v>
      </c>
      <c r="G660" s="1257">
        <v>0.1042584138227622</v>
      </c>
      <c r="H660" s="1280">
        <v>0.98662190139628636</v>
      </c>
      <c r="I660" s="1271">
        <v>6.2962645534548584E-2</v>
      </c>
      <c r="J660" s="1257">
        <v>0.14634795615415866</v>
      </c>
      <c r="K660" s="1280">
        <v>1.3849251439000161</v>
      </c>
      <c r="L660" s="1237">
        <v>0.17425714735279668</v>
      </c>
    </row>
    <row r="661" spans="1:12" s="326" customFormat="1" ht="15.5" x14ac:dyDescent="0.35">
      <c r="A661" s="328" t="s">
        <v>1625</v>
      </c>
      <c r="B661" s="1291">
        <v>0.13255168770571837</v>
      </c>
      <c r="C661" s="1257">
        <v>0.21497632705719319</v>
      </c>
      <c r="D661" s="1257">
        <v>0.14727965300635373</v>
      </c>
      <c r="E661" s="1280">
        <v>0.99023474698821945</v>
      </c>
      <c r="F661" s="1303">
        <v>5.6865903591996052E-2</v>
      </c>
      <c r="G661" s="1288">
        <v>0.1042584138227622</v>
      </c>
      <c r="H661" s="1280">
        <v>0.98662190139628636</v>
      </c>
      <c r="I661" s="1303">
        <v>6.2962645534548584E-2</v>
      </c>
      <c r="J661" s="1288">
        <v>0.14634795615415866</v>
      </c>
      <c r="K661" s="1280">
        <v>1.3849251439000161</v>
      </c>
      <c r="L661" s="1237">
        <v>0.17425714735279668</v>
      </c>
    </row>
    <row r="662" spans="1:12" s="326" customFormat="1" ht="15.5" x14ac:dyDescent="0.35">
      <c r="A662" s="328" t="s">
        <v>1626</v>
      </c>
      <c r="B662" s="1291">
        <v>0.13255168770571837</v>
      </c>
      <c r="C662" s="1257">
        <v>0.21497632705719319</v>
      </c>
      <c r="D662" s="1257">
        <v>0.14727965300635373</v>
      </c>
      <c r="E662" s="1280">
        <v>0.99023474698821945</v>
      </c>
      <c r="F662" s="1303">
        <v>5.4897902961111814E-2</v>
      </c>
      <c r="G662" s="1288">
        <v>0.1075976119676441</v>
      </c>
      <c r="H662" s="1280">
        <v>1.0182215191349848</v>
      </c>
      <c r="I662" s="1303">
        <v>6.457258481652417E-2</v>
      </c>
      <c r="J662" s="1288">
        <v>0.1455053205972143</v>
      </c>
      <c r="K662" s="1280">
        <v>1.3769510853574618</v>
      </c>
      <c r="L662" s="1237">
        <v>0.17425714735279668</v>
      </c>
    </row>
    <row r="663" spans="1:12" s="326" customFormat="1" ht="15.5" x14ac:dyDescent="0.35">
      <c r="A663" s="328" t="s">
        <v>1627</v>
      </c>
      <c r="B663" s="1291">
        <v>0.13255168770571837</v>
      </c>
      <c r="C663" s="1257">
        <v>0.21497632705719319</v>
      </c>
      <c r="D663" s="1257">
        <v>0.14727965300635373</v>
      </c>
      <c r="E663" s="1280">
        <v>0.99023474698821945</v>
      </c>
      <c r="F663" s="1303">
        <v>5.588250027507511E-2</v>
      </c>
      <c r="G663" s="1288">
        <v>0.10553712326216058</v>
      </c>
      <c r="H663" s="1280">
        <v>0.99872262969412251</v>
      </c>
      <c r="I663" s="1303">
        <v>6.4677211189423045E-2</v>
      </c>
      <c r="J663" s="1288">
        <v>0.1430243787994688</v>
      </c>
      <c r="K663" s="1280">
        <v>1.3534733493743849</v>
      </c>
      <c r="L663" s="1237">
        <v>0.17425714735279668</v>
      </c>
    </row>
    <row r="664" spans="1:12" s="326" customFormat="1" ht="15.5" x14ac:dyDescent="0.35">
      <c r="A664" s="328" t="s">
        <v>1628</v>
      </c>
      <c r="B664" s="1291">
        <v>0.13255168770571837</v>
      </c>
      <c r="C664" s="1257">
        <v>0.21497632705719319</v>
      </c>
      <c r="D664" s="1257">
        <v>0.14727965300635373</v>
      </c>
      <c r="E664" s="1280">
        <v>0.99023474698821945</v>
      </c>
      <c r="F664" s="1303">
        <v>5.6713920261606432E-2</v>
      </c>
      <c r="G664" s="1288">
        <v>0.10063546475178126</v>
      </c>
      <c r="H664" s="1280">
        <v>0.9523370818789888</v>
      </c>
      <c r="I664" s="1303">
        <v>6.3342949610569646E-2</v>
      </c>
      <c r="J664" s="1288">
        <v>0.14174645570712727</v>
      </c>
      <c r="K664" s="1280">
        <v>1.3413800624637706</v>
      </c>
      <c r="L664" s="1237">
        <v>0.17425714735279668</v>
      </c>
    </row>
    <row r="665" spans="1:12" s="326" customFormat="1" ht="15.5" x14ac:dyDescent="0.35">
      <c r="A665" s="328" t="s">
        <v>1629</v>
      </c>
      <c r="B665" s="1291">
        <v>0.13255168770571837</v>
      </c>
      <c r="C665" s="1257">
        <v>0.21497632705719319</v>
      </c>
      <c r="D665" s="1257">
        <v>0.14727965300635373</v>
      </c>
      <c r="E665" s="1280">
        <v>0.99023474698821945</v>
      </c>
      <c r="F665" s="1303">
        <v>5.7338623598552657E-2</v>
      </c>
      <c r="G665" s="1288">
        <v>9.6329532436280507E-2</v>
      </c>
      <c r="H665" s="1280">
        <v>0.9115890312168603</v>
      </c>
      <c r="I665" s="1303">
        <v>6.2910964216878973E-2</v>
      </c>
      <c r="J665" s="1288">
        <v>0.14103447801354596</v>
      </c>
      <c r="K665" s="1280">
        <v>1.3346424500252476</v>
      </c>
      <c r="L665" s="1237">
        <v>0.17425714735279668</v>
      </c>
    </row>
    <row r="666" spans="1:12" s="326" customFormat="1" ht="15.5" x14ac:dyDescent="0.35">
      <c r="A666" s="328" t="s">
        <v>1630</v>
      </c>
      <c r="B666" s="1291">
        <v>0.13255168770571837</v>
      </c>
      <c r="C666" s="1257">
        <v>0.21497632705719319</v>
      </c>
      <c r="D666" s="1257">
        <v>0.14727965300635373</v>
      </c>
      <c r="E666" s="1280">
        <v>0.99023474698821945</v>
      </c>
      <c r="F666" s="1303">
        <v>5.7283147023733251E-2</v>
      </c>
      <c r="G666" s="1288">
        <v>9.2511039104907267E-2</v>
      </c>
      <c r="H666" s="1280">
        <v>0.87545373035305629</v>
      </c>
      <c r="I666" s="1303">
        <v>6.2282305961324461E-2</v>
      </c>
      <c r="J666" s="1288">
        <v>0.13325852242942104</v>
      </c>
      <c r="K666" s="1280">
        <v>1.2610567526960652</v>
      </c>
      <c r="L666" s="1237">
        <v>0.17425714735279668</v>
      </c>
    </row>
    <row r="667" spans="1:12" s="326" customFormat="1" ht="15.5" x14ac:dyDescent="0.35">
      <c r="A667" s="328" t="s">
        <v>1631</v>
      </c>
      <c r="B667" s="1291">
        <v>0.13255168770571837</v>
      </c>
      <c r="C667" s="1257">
        <v>0.21497632705719319</v>
      </c>
      <c r="D667" s="1257">
        <v>0.14727965300635373</v>
      </c>
      <c r="E667" s="1280">
        <v>0.99023474698821945</v>
      </c>
      <c r="F667" s="1303">
        <v>5.729834414806579E-2</v>
      </c>
      <c r="G667" s="1288">
        <v>9.012021877328058E-2</v>
      </c>
      <c r="H667" s="1280">
        <v>0.8528288350089126</v>
      </c>
      <c r="I667" s="1303">
        <v>6.2413139336530331E-2</v>
      </c>
      <c r="J667" s="1288">
        <v>0.13171774044312395</v>
      </c>
      <c r="K667" s="1280">
        <v>1.2464759702227981</v>
      </c>
      <c r="L667" s="1237">
        <v>0.17425714735279668</v>
      </c>
    </row>
    <row r="668" spans="1:12" s="326" customFormat="1" ht="15.5" x14ac:dyDescent="0.35">
      <c r="A668" s="328" t="s">
        <v>1632</v>
      </c>
      <c r="B668" s="1291">
        <v>0.13255168770571837</v>
      </c>
      <c r="C668" s="1257">
        <v>0.21497632705719319</v>
      </c>
      <c r="D668" s="1257">
        <v>0.14727965300635373</v>
      </c>
      <c r="E668" s="1280">
        <v>0.99023474698821945</v>
      </c>
      <c r="F668" s="1303">
        <v>5.7659117091979996E-2</v>
      </c>
      <c r="G668" s="1288">
        <v>8.9153341721622176E-2</v>
      </c>
      <c r="H668" s="1280">
        <v>0.84367904996858634</v>
      </c>
      <c r="I668" s="1303">
        <v>6.2482192485477699E-2</v>
      </c>
      <c r="J668" s="1288">
        <v>0.13376998689613273</v>
      </c>
      <c r="K668" s="1280">
        <v>1.2658968612891386</v>
      </c>
      <c r="L668" s="1237">
        <v>0.17425714735279668</v>
      </c>
    </row>
    <row r="669" spans="1:12" s="326" customFormat="1" ht="15.5" x14ac:dyDescent="0.35">
      <c r="A669" s="328" t="s">
        <v>1633</v>
      </c>
      <c r="B669" s="1291">
        <v>0.13255168770571837</v>
      </c>
      <c r="C669" s="1257">
        <v>0.21497632705719319</v>
      </c>
      <c r="D669" s="1257">
        <v>0.14727965300635373</v>
      </c>
      <c r="E669" s="1280">
        <v>0.99023474698821945</v>
      </c>
      <c r="F669" s="1303">
        <v>5.7673802071393061E-2</v>
      </c>
      <c r="G669" s="1288">
        <v>8.7788281465481802E-2</v>
      </c>
      <c r="H669" s="1280">
        <v>0.83076116357408147</v>
      </c>
      <c r="I669" s="1303">
        <v>6.3454079564899749E-2</v>
      </c>
      <c r="J669" s="1288">
        <v>0.13254961584851277</v>
      </c>
      <c r="K669" s="1280">
        <v>1.254348202919382</v>
      </c>
      <c r="L669" s="1237">
        <v>0.17425714735279668</v>
      </c>
    </row>
    <row r="670" spans="1:12" s="326" customFormat="1" ht="15.5" x14ac:dyDescent="0.35">
      <c r="A670" s="328" t="s">
        <v>1634</v>
      </c>
      <c r="B670" s="1291">
        <v>0.13255168770571837</v>
      </c>
      <c r="C670" s="1257">
        <v>0.21497632705719319</v>
      </c>
      <c r="D670" s="1257">
        <v>0.14727965300635373</v>
      </c>
      <c r="E670" s="1280">
        <v>0.99023474698821945</v>
      </c>
      <c r="F670" s="1303">
        <v>5.762364973039398E-2</v>
      </c>
      <c r="G670" s="1288">
        <v>8.4050331342727352E-2</v>
      </c>
      <c r="H670" s="1280">
        <v>0.79538806204478019</v>
      </c>
      <c r="I670" s="1303">
        <v>6.3520684107685188E-2</v>
      </c>
      <c r="J670" s="1288">
        <v>0.1330077483823224</v>
      </c>
      <c r="K670" s="1280">
        <v>1.2586836188827129</v>
      </c>
      <c r="L670" s="1237">
        <v>0.17425714735279668</v>
      </c>
    </row>
    <row r="671" spans="1:12" s="326" customFormat="1" ht="15.5" x14ac:dyDescent="0.35">
      <c r="A671" s="328" t="s">
        <v>1635</v>
      </c>
      <c r="B671" s="1291">
        <v>0.13255168770571837</v>
      </c>
      <c r="C671" s="1257">
        <v>0.21497632705719319</v>
      </c>
      <c r="D671" s="1257">
        <v>0.14727965300635373</v>
      </c>
      <c r="E671" s="1280">
        <v>0.99023474698821945</v>
      </c>
      <c r="F671" s="1303">
        <v>5.7839468646429151E-2</v>
      </c>
      <c r="G671" s="1288">
        <v>7.9443011653922591E-2</v>
      </c>
      <c r="H671" s="1280">
        <v>0.75178791175439985</v>
      </c>
      <c r="I671" s="1303">
        <v>6.3714819640761894E-2</v>
      </c>
      <c r="J671" s="1288">
        <v>0.13221251006055376</v>
      </c>
      <c r="K671" s="1280">
        <v>1.2511580915289169</v>
      </c>
      <c r="L671" s="1237">
        <v>0.17425714735279668</v>
      </c>
    </row>
    <row r="672" spans="1:12" s="326" customFormat="1" ht="15.5" x14ac:dyDescent="0.35">
      <c r="A672" s="328" t="s">
        <v>1636</v>
      </c>
      <c r="B672" s="1291">
        <v>0.13255168770571837</v>
      </c>
      <c r="C672" s="1257">
        <v>0.21497632705719319</v>
      </c>
      <c r="D672" s="1257">
        <v>0.14727965300635373</v>
      </c>
      <c r="E672" s="1280">
        <v>0.99023474698821945</v>
      </c>
      <c r="F672" s="1303">
        <v>5.7066859528948695E-2</v>
      </c>
      <c r="G672" s="1288">
        <v>7.2300813890310706E-2</v>
      </c>
      <c r="H672" s="1280">
        <v>0.68419961380021965</v>
      </c>
      <c r="I672" s="1303">
        <v>6.3226662754745672E-2</v>
      </c>
      <c r="J672" s="1288">
        <v>0.13185145870825118</v>
      </c>
      <c r="K672" s="1280">
        <v>1.247741377628818</v>
      </c>
      <c r="L672" s="1237">
        <v>0.17425714735279668</v>
      </c>
    </row>
    <row r="673" spans="1:12" s="326" customFormat="1" ht="15.5" x14ac:dyDescent="0.35">
      <c r="A673" s="328" t="s">
        <v>1637</v>
      </c>
      <c r="B673" s="1291">
        <v>0.13255168770571837</v>
      </c>
      <c r="C673" s="1257">
        <v>0.21497632705719319</v>
      </c>
      <c r="D673" s="1257">
        <v>0.14727965300635373</v>
      </c>
      <c r="E673" s="1280">
        <v>0.99023474698821945</v>
      </c>
      <c r="F673" s="1303">
        <v>5.7362181325363623E-2</v>
      </c>
      <c r="G673" s="1288">
        <v>7.6724500729694056E-2</v>
      </c>
      <c r="H673" s="1280">
        <v>0.72606200322879599</v>
      </c>
      <c r="I673" s="1303">
        <v>6.343614135995447E-2</v>
      </c>
      <c r="J673" s="1288">
        <v>0.13134661589268767</v>
      </c>
      <c r="K673" s="1280">
        <v>1.2429639312785958</v>
      </c>
      <c r="L673" s="1237">
        <v>0.17425714735279668</v>
      </c>
    </row>
    <row r="674" spans="1:12" s="326" customFormat="1" ht="15.5" x14ac:dyDescent="0.35">
      <c r="A674" s="328" t="s">
        <v>1638</v>
      </c>
      <c r="B674" s="1291">
        <v>0.13255168770571837</v>
      </c>
      <c r="C674" s="1257">
        <v>0.21497632705719319</v>
      </c>
      <c r="D674" s="1257">
        <v>0.14727965300635373</v>
      </c>
      <c r="E674" s="1280">
        <v>0.99023474698821945</v>
      </c>
      <c r="F674" s="1303">
        <v>5.7531263721131758E-2</v>
      </c>
      <c r="G674" s="1288">
        <v>7.4819719876081409E-2</v>
      </c>
      <c r="H674" s="1280">
        <v>0.70803661382732919</v>
      </c>
      <c r="I674" s="1303">
        <v>6.3593990066544509E-2</v>
      </c>
      <c r="J674" s="1288">
        <v>0.13032662021113905</v>
      </c>
      <c r="K674" s="1280">
        <v>1.2333114721451173</v>
      </c>
      <c r="L674" s="1237">
        <v>0.17425714735279668</v>
      </c>
    </row>
    <row r="675" spans="1:12" s="326" customFormat="1" ht="15.5" x14ac:dyDescent="0.35">
      <c r="A675" s="328" t="s">
        <v>1639</v>
      </c>
      <c r="B675" s="1291">
        <v>0.13255168770571837</v>
      </c>
      <c r="C675" s="1257">
        <v>0.21497632705719319</v>
      </c>
      <c r="D675" s="1257">
        <v>0.14727965300635373</v>
      </c>
      <c r="E675" s="1280">
        <v>0.99023474698821945</v>
      </c>
      <c r="F675" s="1303">
        <v>5.7650332480945289E-2</v>
      </c>
      <c r="G675" s="1288">
        <v>7.4451972559452351E-2</v>
      </c>
      <c r="H675" s="1280">
        <v>0.70455653444128796</v>
      </c>
      <c r="I675" s="1303">
        <v>6.3795142652028458E-2</v>
      </c>
      <c r="J675" s="1288">
        <v>0.12854808015645774</v>
      </c>
      <c r="K675" s="1280">
        <v>1.2164807291276554</v>
      </c>
      <c r="L675" s="1237">
        <v>0.17425714735279668</v>
      </c>
    </row>
    <row r="676" spans="1:12" s="326" customFormat="1" ht="15.5" x14ac:dyDescent="0.35">
      <c r="A676" s="328" t="s">
        <v>1640</v>
      </c>
      <c r="B676" s="1291">
        <v>0.13255168770571837</v>
      </c>
      <c r="C676" s="1257">
        <v>0.21497632705719319</v>
      </c>
      <c r="D676" s="1257">
        <v>0.14727965300635373</v>
      </c>
      <c r="E676" s="1280">
        <v>0.99023474698821945</v>
      </c>
      <c r="F676" s="1303">
        <v>5.7582190299471529E-2</v>
      </c>
      <c r="G676" s="1288">
        <v>7.0320387982896262E-2</v>
      </c>
      <c r="H676" s="1280">
        <v>0.6654583774557904</v>
      </c>
      <c r="I676" s="1303">
        <v>6.3922924608636258E-2</v>
      </c>
      <c r="J676" s="1288">
        <v>0.12914299907104904</v>
      </c>
      <c r="K676" s="1280">
        <v>1.2221105867973536</v>
      </c>
      <c r="L676" s="1237">
        <v>0.17425714735279668</v>
      </c>
    </row>
    <row r="677" spans="1:12" s="326" customFormat="1" ht="15.5" x14ac:dyDescent="0.35">
      <c r="A677" s="328" t="s">
        <v>1641</v>
      </c>
      <c r="B677" s="1291">
        <v>0.13255168770571837</v>
      </c>
      <c r="C677" s="1257">
        <v>0.21497632705719319</v>
      </c>
      <c r="D677" s="1257">
        <v>0.14727965300635373</v>
      </c>
      <c r="E677" s="1280">
        <v>0.99023474698821945</v>
      </c>
      <c r="F677" s="1303">
        <v>5.7591126182598804E-2</v>
      </c>
      <c r="G677" s="1288">
        <v>6.9431407466636258E-2</v>
      </c>
      <c r="H677" s="1280">
        <v>0.65704574565853591</v>
      </c>
      <c r="I677" s="1303">
        <v>6.3671792606418476E-2</v>
      </c>
      <c r="J677" s="1288">
        <v>0.12910314692438188</v>
      </c>
      <c r="K677" s="1280">
        <v>1.2217334565564668</v>
      </c>
      <c r="L677" s="1237">
        <v>0.17425714735279668</v>
      </c>
    </row>
    <row r="678" spans="1:12" s="326" customFormat="1" ht="15.5" x14ac:dyDescent="0.35">
      <c r="A678" s="328" t="s">
        <v>1642</v>
      </c>
      <c r="B678" s="1291">
        <v>0.13255168770571837</v>
      </c>
      <c r="C678" s="1257">
        <v>0.21497632705719319</v>
      </c>
      <c r="D678" s="1257">
        <v>0.14727965300635373</v>
      </c>
      <c r="E678" s="1280">
        <v>0.99023474698821945</v>
      </c>
      <c r="F678" s="1303">
        <v>5.7420480119503445E-2</v>
      </c>
      <c r="G678" s="1288">
        <v>7.5195386545350906E-2</v>
      </c>
      <c r="H678" s="1280">
        <v>0.71159163591078378</v>
      </c>
      <c r="I678" s="1303">
        <v>6.3210457398596737E-2</v>
      </c>
      <c r="J678" s="1288">
        <v>0.1297175285572067</v>
      </c>
      <c r="K678" s="1280">
        <v>1.2275474945082721</v>
      </c>
      <c r="L678" s="1237">
        <v>0.17425714735279668</v>
      </c>
    </row>
    <row r="679" spans="1:12" s="326" customFormat="1" ht="15.5" x14ac:dyDescent="0.35">
      <c r="A679" s="328" t="s">
        <v>1643</v>
      </c>
      <c r="B679" s="1291">
        <v>0.13255168770571837</v>
      </c>
      <c r="C679" s="1257">
        <v>0.21497632705719319</v>
      </c>
      <c r="D679" s="1257">
        <v>0.14727965300635373</v>
      </c>
      <c r="E679" s="1280">
        <v>0.99023474698821945</v>
      </c>
      <c r="F679" s="1303">
        <v>5.7557042883458136E-2</v>
      </c>
      <c r="G679" s="1288">
        <v>7.3709807001048747E-2</v>
      </c>
      <c r="H679" s="1280">
        <v>0.69753324713492459</v>
      </c>
      <c r="I679" s="1303">
        <v>6.3592274617511546E-2</v>
      </c>
      <c r="J679" s="1288">
        <v>0.12985695642106265</v>
      </c>
      <c r="K679" s="1280">
        <v>1.2288669331904971</v>
      </c>
      <c r="L679" s="1237">
        <v>0.17425714735279668</v>
      </c>
    </row>
    <row r="680" spans="1:12" s="326" customFormat="1" ht="15.5" x14ac:dyDescent="0.35">
      <c r="A680" s="328" t="s">
        <v>1644</v>
      </c>
      <c r="B680" s="1291">
        <v>0.13255168770571837</v>
      </c>
      <c r="C680" s="1257">
        <v>0.21497632705719319</v>
      </c>
      <c r="D680" s="1257">
        <v>0.14727965300635373</v>
      </c>
      <c r="E680" s="1280">
        <v>0.99023474698821945</v>
      </c>
      <c r="F680" s="1303">
        <v>5.7347241466299784E-2</v>
      </c>
      <c r="G680" s="1288">
        <v>7.2273089968153598E-2</v>
      </c>
      <c r="H680" s="1280">
        <v>0.68393725580157116</v>
      </c>
      <c r="I680" s="1303">
        <v>6.3543841600440548E-2</v>
      </c>
      <c r="J680" s="1288">
        <v>0.12971674399338487</v>
      </c>
      <c r="K680" s="1280">
        <v>1.2275400699962229</v>
      </c>
      <c r="L680" s="1237">
        <v>0.17425714735279668</v>
      </c>
    </row>
    <row r="681" spans="1:12" s="326" customFormat="1" ht="15.5" x14ac:dyDescent="0.35">
      <c r="A681" s="328" t="s">
        <v>1645</v>
      </c>
      <c r="B681" s="1291">
        <v>0.13255168770571837</v>
      </c>
      <c r="C681" s="1257">
        <v>0.21497632705719319</v>
      </c>
      <c r="D681" s="1257">
        <v>0.14727965300635373</v>
      </c>
      <c r="E681" s="1280">
        <v>0.99023474698821945</v>
      </c>
      <c r="F681" s="1303">
        <v>5.715608560036143E-2</v>
      </c>
      <c r="G681" s="1288">
        <v>7.2982677277661903E-2</v>
      </c>
      <c r="H681" s="1280">
        <v>0.69065224747316811</v>
      </c>
      <c r="I681" s="1303">
        <v>6.3147028983197726E-2</v>
      </c>
      <c r="J681" s="1288">
        <v>0.12900344997329183</v>
      </c>
      <c r="K681" s="1280">
        <v>1.2207900008501955</v>
      </c>
      <c r="L681" s="1237">
        <v>0.17425714735279668</v>
      </c>
    </row>
    <row r="682" spans="1:12" s="326" customFormat="1" ht="15.5" x14ac:dyDescent="0.35">
      <c r="A682" s="328" t="s">
        <v>1646</v>
      </c>
      <c r="B682" s="1291">
        <v>0.13255168770571837</v>
      </c>
      <c r="C682" s="1257">
        <v>0.21497632705719319</v>
      </c>
      <c r="D682" s="1257">
        <v>0.14727965300635373</v>
      </c>
      <c r="E682" s="1280">
        <v>0.99023474698821945</v>
      </c>
      <c r="F682" s="1303">
        <v>4.904451657828348E-2</v>
      </c>
      <c r="G682" s="1288">
        <v>7.2395983570093983E-2</v>
      </c>
      <c r="H682" s="1280">
        <v>0.68510022687287464</v>
      </c>
      <c r="I682" s="1303">
        <v>6.9187164518763999E-2</v>
      </c>
      <c r="J682" s="1288">
        <v>0.12800351009898464</v>
      </c>
      <c r="K682" s="1280">
        <v>1.2113273345396562</v>
      </c>
      <c r="L682" s="1237">
        <v>0.17425714735279668</v>
      </c>
    </row>
    <row r="683" spans="1:12" s="326" customFormat="1" ht="15.5" x14ac:dyDescent="0.35">
      <c r="A683" s="328" t="s">
        <v>1647</v>
      </c>
      <c r="B683" s="1291">
        <v>0.13255168770571837</v>
      </c>
      <c r="C683" s="1257">
        <v>0.21497632705719319</v>
      </c>
      <c r="D683" s="1257">
        <v>0.14727965300635373</v>
      </c>
      <c r="E683" s="1280">
        <v>0.99023474698821945</v>
      </c>
      <c r="F683" s="1303">
        <v>4.928742784306181E-2</v>
      </c>
      <c r="G683" s="1288">
        <v>7.0499962222409077E-2</v>
      </c>
      <c r="H683" s="1280">
        <v>0.6671577307370623</v>
      </c>
      <c r="I683" s="1303">
        <v>6.9009497970925399E-2</v>
      </c>
      <c r="J683" s="1288">
        <v>0.12853089071102838</v>
      </c>
      <c r="K683" s="1280">
        <v>1.2163180613609816</v>
      </c>
      <c r="L683" s="1237">
        <v>0.17425714735279668</v>
      </c>
    </row>
    <row r="684" spans="1:12" s="326" customFormat="1" ht="15.5" x14ac:dyDescent="0.35">
      <c r="A684" s="328" t="s">
        <v>1648</v>
      </c>
      <c r="B684" s="1291">
        <v>0.13255168770571837</v>
      </c>
      <c r="C684" s="1257">
        <v>0.21497632705719319</v>
      </c>
      <c r="D684" s="1257">
        <v>0.14727965300635373</v>
      </c>
      <c r="E684" s="1280">
        <v>0.99023474698821945</v>
      </c>
      <c r="F684" s="1303">
        <v>4.9045112483521343E-2</v>
      </c>
      <c r="G684" s="1288">
        <v>7.5099851872588039E-2</v>
      </c>
      <c r="H684" s="1280">
        <v>0.71068756882368234</v>
      </c>
      <c r="I684" s="1303">
        <v>6.8734363356686118E-2</v>
      </c>
      <c r="J684" s="1288">
        <v>0.12876797643158572</v>
      </c>
      <c r="K684" s="1280">
        <v>1.2185616593194912</v>
      </c>
      <c r="L684" s="1237">
        <v>0.17425714735279668</v>
      </c>
    </row>
    <row r="685" spans="1:12" s="326" customFormat="1" ht="15.5" x14ac:dyDescent="0.35">
      <c r="A685" s="328" t="s">
        <v>1649</v>
      </c>
      <c r="B685" s="1291">
        <v>0.13255168770571837</v>
      </c>
      <c r="C685" s="1257">
        <v>0.21497632705719319</v>
      </c>
      <c r="D685" s="1257">
        <v>0.14727965300635373</v>
      </c>
      <c r="E685" s="1280">
        <v>0.99023474698821945</v>
      </c>
      <c r="F685" s="1303">
        <v>5.8722534911853794E-2</v>
      </c>
      <c r="G685" s="1288">
        <v>6.9935759348772969E-2</v>
      </c>
      <c r="H685" s="1280">
        <v>0.66181854619022651</v>
      </c>
      <c r="I685" s="1303">
        <v>7.4544735109424692E-2</v>
      </c>
      <c r="J685" s="1288">
        <v>0.12967781561667513</v>
      </c>
      <c r="K685" s="1280">
        <v>1.2271716816078004</v>
      </c>
      <c r="L685" s="1237">
        <v>0.17425714735279668</v>
      </c>
    </row>
    <row r="686" spans="1:12" s="326" customFormat="1" ht="15.5" x14ac:dyDescent="0.35">
      <c r="A686" s="328" t="s">
        <v>1650</v>
      </c>
      <c r="B686" s="1291">
        <v>0.13255168770571837</v>
      </c>
      <c r="C686" s="1257">
        <v>0.21497632705719319</v>
      </c>
      <c r="D686" s="1257">
        <v>0.14727965300635373</v>
      </c>
      <c r="E686" s="1280">
        <v>0.99023474698821945</v>
      </c>
      <c r="F686" s="1303">
        <v>5.8848221642671714E-2</v>
      </c>
      <c r="G686" s="1288">
        <v>6.8244030206428316E-2</v>
      </c>
      <c r="H686" s="1280">
        <v>0.64580931526230323</v>
      </c>
      <c r="I686" s="1303">
        <v>7.5292830219414617E-2</v>
      </c>
      <c r="J686" s="1288">
        <v>0.11500989668596558</v>
      </c>
      <c r="K686" s="1280">
        <v>1.0883657134914537</v>
      </c>
      <c r="L686" s="1237">
        <v>0.17425714735279668</v>
      </c>
    </row>
    <row r="687" spans="1:12" s="326" customFormat="1" ht="15.5" x14ac:dyDescent="0.35">
      <c r="A687" s="328" t="s">
        <v>1651</v>
      </c>
      <c r="B687" s="1291">
        <v>0.13255168770571837</v>
      </c>
      <c r="C687" s="1257">
        <v>0.21497632705719319</v>
      </c>
      <c r="D687" s="1257">
        <v>0.14727965300635373</v>
      </c>
      <c r="E687" s="1280">
        <v>0.99023474698821945</v>
      </c>
      <c r="F687" s="1303">
        <v>5.8466853483335704E-2</v>
      </c>
      <c r="G687" s="1288">
        <v>6.2157590431571492E-2</v>
      </c>
      <c r="H687" s="1280">
        <v>0.58821190356935671</v>
      </c>
      <c r="I687" s="1303">
        <v>7.5098840434220299E-2</v>
      </c>
      <c r="J687" s="1288">
        <v>9.8780311425254314E-2</v>
      </c>
      <c r="K687" s="1280">
        <v>0.9347813294433992</v>
      </c>
      <c r="L687" s="1237">
        <v>0.17425714735279668</v>
      </c>
    </row>
    <row r="688" spans="1:12" s="326" customFormat="1" ht="15.5" x14ac:dyDescent="0.35">
      <c r="A688" s="328" t="s">
        <v>1652</v>
      </c>
      <c r="B688" s="1291">
        <v>0.13255168770571837</v>
      </c>
      <c r="C688" s="1257">
        <v>0.21497632705719319</v>
      </c>
      <c r="D688" s="1257">
        <v>0.14727965300635373</v>
      </c>
      <c r="E688" s="1280">
        <v>0.99023474698821945</v>
      </c>
      <c r="F688" s="1303">
        <v>6.3793175955207532E-2</v>
      </c>
      <c r="G688" s="1288">
        <v>5.7778965330076794E-2</v>
      </c>
      <c r="H688" s="1280">
        <v>0.54677594396918261</v>
      </c>
      <c r="I688" s="1303">
        <v>8.062216232190296E-2</v>
      </c>
      <c r="J688" s="1288">
        <v>9.877344783675053E-2</v>
      </c>
      <c r="K688" s="1280">
        <v>0.93471637769042593</v>
      </c>
      <c r="L688" s="1237">
        <v>0.17425714735279668</v>
      </c>
    </row>
    <row r="689" spans="1:12" s="326" customFormat="1" ht="15.5" x14ac:dyDescent="0.35">
      <c r="A689" s="328" t="s">
        <v>1653</v>
      </c>
      <c r="B689" s="1291">
        <v>0.13255168770571837</v>
      </c>
      <c r="C689" s="1257">
        <v>0.21497632705719319</v>
      </c>
      <c r="D689" s="1257">
        <v>0.14727965300635373</v>
      </c>
      <c r="E689" s="1280">
        <v>0.99023474698821945</v>
      </c>
      <c r="F689" s="1303">
        <v>6.6090231971728225E-2</v>
      </c>
      <c r="G689" s="1288">
        <v>5.7956366876984571E-2</v>
      </c>
      <c r="H689" s="1280">
        <v>0.54845473654911137</v>
      </c>
      <c r="I689" s="1303">
        <v>8.0310728354678673E-2</v>
      </c>
      <c r="J689" s="1288">
        <v>0.10045780954654615</v>
      </c>
      <c r="K689" s="1280">
        <v>0.95065588887062435</v>
      </c>
      <c r="L689" s="1330">
        <v>0.17425714735279668</v>
      </c>
    </row>
    <row r="690" spans="1:12" s="326" customFormat="1" ht="15.5" x14ac:dyDescent="0.35">
      <c r="A690" s="328" t="s">
        <v>1654</v>
      </c>
      <c r="B690" s="1291">
        <v>0.13255168770571837</v>
      </c>
      <c r="C690" s="1257">
        <v>0.21497632705719319</v>
      </c>
      <c r="D690" s="1257">
        <v>0.14727965300635373</v>
      </c>
      <c r="E690" s="1280">
        <v>0.99023474698821945</v>
      </c>
      <c r="F690" s="1303">
        <v>5.8621883271259979E-2</v>
      </c>
      <c r="G690" s="1288">
        <v>5.8210434148216306E-2</v>
      </c>
      <c r="H690" s="1280">
        <v>0.5508590349173117</v>
      </c>
      <c r="I690" s="1303">
        <v>8.0555800686583093E-2</v>
      </c>
      <c r="J690" s="1288">
        <v>0.10038378650913118</v>
      </c>
      <c r="K690" s="1280">
        <v>0.9499553914503811</v>
      </c>
      <c r="L690" s="1330">
        <v>0.1734751908087851</v>
      </c>
    </row>
    <row r="691" spans="1:12" s="326" customFormat="1" ht="15.5" x14ac:dyDescent="0.35">
      <c r="A691" s="328" t="s">
        <v>1655</v>
      </c>
      <c r="B691" s="1287">
        <v>0.13255168770571837</v>
      </c>
      <c r="C691" s="1288">
        <v>0.21497632705719319</v>
      </c>
      <c r="D691" s="1288">
        <v>0.28666085909258948</v>
      </c>
      <c r="E691" s="1306">
        <v>2.0682428072664054</v>
      </c>
      <c r="F691" s="1303">
        <v>6.4832156257315449E-2</v>
      </c>
      <c r="G691" s="1288">
        <v>5.7060844982177075E-2</v>
      </c>
      <c r="H691" s="1280">
        <v>0.53998020214751397</v>
      </c>
      <c r="I691" s="1303">
        <v>8.0488919966000327E-2</v>
      </c>
      <c r="J691" s="1288">
        <v>0.10078375747088281</v>
      </c>
      <c r="K691" s="1280">
        <v>0.95374041077225136</v>
      </c>
      <c r="L691" s="1330">
        <v>0.1622574404329053</v>
      </c>
    </row>
    <row r="692" spans="1:12" s="326" customFormat="1" ht="15.5" x14ac:dyDescent="0.35">
      <c r="A692" s="328" t="s">
        <v>1656</v>
      </c>
      <c r="B692" s="1287">
        <v>0.12678156761691392</v>
      </c>
      <c r="C692" s="1288">
        <v>0.21397006758870746</v>
      </c>
      <c r="D692" s="1288">
        <v>0.31028016608239939</v>
      </c>
      <c r="E692" s="1306">
        <v>2.0076767079570979</v>
      </c>
      <c r="F692" s="1303">
        <v>5.9551570314505878E-2</v>
      </c>
      <c r="G692" s="1288">
        <v>5.5073780463889964E-2</v>
      </c>
      <c r="H692" s="1280">
        <v>0.5211761430663705</v>
      </c>
      <c r="I692" s="1303">
        <v>7.8297508768739879E-2</v>
      </c>
      <c r="J692" s="1288">
        <v>9.8257679775445195E-2</v>
      </c>
      <c r="K692" s="1280">
        <v>0.92983554316910266</v>
      </c>
      <c r="L692" s="1330">
        <v>0.19050632527996986</v>
      </c>
    </row>
    <row r="693" spans="1:12" s="326" customFormat="1" ht="15.5" x14ac:dyDescent="0.35">
      <c r="A693" s="328" t="s">
        <v>1657</v>
      </c>
      <c r="B693" s="1287">
        <v>0.13594925503946328</v>
      </c>
      <c r="C693" s="1288">
        <v>0.2503540780635648</v>
      </c>
      <c r="D693" s="1288">
        <v>0.29850250943403456</v>
      </c>
      <c r="E693" s="1306">
        <v>1.8416962845176026</v>
      </c>
      <c r="F693" s="1303">
        <v>5.7184450993598535E-2</v>
      </c>
      <c r="G693" s="1288">
        <v>5.5315441244442036E-2</v>
      </c>
      <c r="H693" s="1280">
        <v>0.52346303589409482</v>
      </c>
      <c r="I693" s="1303">
        <v>7.7821624004315068E-2</v>
      </c>
      <c r="J693" s="1288">
        <v>9.9023130797591952E-2</v>
      </c>
      <c r="K693" s="1280">
        <v>0.93707918629780018</v>
      </c>
      <c r="L693" s="1330">
        <v>0.18937710063395172</v>
      </c>
    </row>
    <row r="694" spans="1:12" s="326" customFormat="1" ht="15.5" x14ac:dyDescent="0.35">
      <c r="A694" s="328" t="s">
        <v>1658</v>
      </c>
      <c r="B694" s="1287">
        <v>0.11297112032306633</v>
      </c>
      <c r="C694" s="1288">
        <v>0.25143017437173232</v>
      </c>
      <c r="D694" s="1288">
        <v>0.32176530946540971</v>
      </c>
      <c r="E694" s="1306">
        <v>2.0055568094183305</v>
      </c>
      <c r="F694" s="1303">
        <v>5.975362003091015E-2</v>
      </c>
      <c r="G694" s="1288">
        <v>5.5374978935408339E-2</v>
      </c>
      <c r="H694" s="1280">
        <v>0.5240264550725775</v>
      </c>
      <c r="I694" s="1303">
        <v>7.5466675119344281E-2</v>
      </c>
      <c r="J694" s="1288">
        <v>9.6320620989274075E-2</v>
      </c>
      <c r="K694" s="1280">
        <v>0.91150470009702755</v>
      </c>
      <c r="L694" s="1330">
        <v>0.1883607984525007</v>
      </c>
    </row>
    <row r="695" spans="1:12" s="326" customFormat="1" ht="15.5" x14ac:dyDescent="0.35">
      <c r="A695" s="328" t="s">
        <v>1659</v>
      </c>
      <c r="B695" s="1287">
        <v>0.12044781135588756</v>
      </c>
      <c r="C695" s="1288">
        <v>0.16928313607875864</v>
      </c>
      <c r="D695" s="1288">
        <v>0.20954720092067819</v>
      </c>
      <c r="E695" s="1306">
        <v>1.9893459514385559</v>
      </c>
      <c r="F695" s="1303">
        <v>5.8892880532161941E-2</v>
      </c>
      <c r="G695" s="1288">
        <v>5.4556179510260698E-2</v>
      </c>
      <c r="H695" s="1280">
        <v>0.51627796345371701</v>
      </c>
      <c r="I695" s="1303">
        <v>7.2713087781548461E-2</v>
      </c>
      <c r="J695" s="1288">
        <v>9.4959223832355305E-2</v>
      </c>
      <c r="K695" s="1280">
        <v>0.89862147847236229</v>
      </c>
      <c r="L695" s="1330">
        <v>0.19234541572865285</v>
      </c>
    </row>
    <row r="696" spans="1:12" s="326" customFormat="1" ht="15.5" x14ac:dyDescent="0.35">
      <c r="A696" s="328" t="s">
        <v>1660</v>
      </c>
      <c r="B696" s="1287">
        <v>0.13192593550219564</v>
      </c>
      <c r="C696" s="1288">
        <v>0.15442702032606614</v>
      </c>
      <c r="D696" s="1288">
        <v>0.21071572849151207</v>
      </c>
      <c r="E696" s="1306">
        <v>1.9842316953550403</v>
      </c>
      <c r="F696" s="1303">
        <v>5.3961939891824906E-2</v>
      </c>
      <c r="G696" s="1288">
        <v>5.3457177045913615E-2</v>
      </c>
      <c r="H696" s="1280">
        <v>0.50587784454478546</v>
      </c>
      <c r="I696" s="1303">
        <v>6.8207328534012637E-2</v>
      </c>
      <c r="J696" s="1288">
        <v>9.0401512122123481E-2</v>
      </c>
      <c r="K696" s="1280">
        <v>0.85549078015568325</v>
      </c>
      <c r="L696" s="1330">
        <v>0.19155333402073196</v>
      </c>
    </row>
    <row r="697" spans="1:12" s="326" customFormat="1" ht="15.5" x14ac:dyDescent="0.35">
      <c r="A697" s="328" t="s">
        <v>1661</v>
      </c>
      <c r="B697" s="1287">
        <v>0.13536309712128433</v>
      </c>
      <c r="C697" s="1288">
        <v>0.13787661725493469</v>
      </c>
      <c r="D697" s="1288">
        <v>0.22634846188296254</v>
      </c>
      <c r="E697" s="1306">
        <v>1.7652062344335067</v>
      </c>
      <c r="F697" s="1303">
        <v>5.6910126177532903E-2</v>
      </c>
      <c r="G697" s="1288">
        <v>5.1567695875543176E-2</v>
      </c>
      <c r="H697" s="1280">
        <v>0.48799723964576514</v>
      </c>
      <c r="I697" s="1303">
        <v>6.8267137686902776E-2</v>
      </c>
      <c r="J697" s="1288">
        <v>8.9495306159675672E-2</v>
      </c>
      <c r="K697" s="1280">
        <v>0.8469151399081073</v>
      </c>
      <c r="L697" s="1330">
        <v>0.19084046048339073</v>
      </c>
    </row>
    <row r="698" spans="1:12" s="326" customFormat="1" ht="15.5" x14ac:dyDescent="0.35">
      <c r="A698" s="328" t="s">
        <v>1662</v>
      </c>
      <c r="B698" s="1287">
        <v>0.11513818146748253</v>
      </c>
      <c r="C698" s="1288">
        <v>0.17454249505568659</v>
      </c>
      <c r="D698" s="1288">
        <v>0.24734830237107383</v>
      </c>
      <c r="E698" s="1280">
        <v>0.8601461812184652</v>
      </c>
      <c r="F698" s="1303">
        <v>5.3769626576263718E-2</v>
      </c>
      <c r="G698" s="1288">
        <v>5.1501723818500572E-2</v>
      </c>
      <c r="H698" s="1280">
        <v>0.48737293054713404</v>
      </c>
      <c r="I698" s="1303">
        <v>6.4866367497493485E-2</v>
      </c>
      <c r="J698" s="1288">
        <v>8.689829979683944E-2</v>
      </c>
      <c r="K698" s="1280">
        <v>0.82233905763626747</v>
      </c>
      <c r="L698" s="1330">
        <v>0.19084046048356121</v>
      </c>
    </row>
    <row r="699" spans="1:12" s="326" customFormat="1" ht="15.5" x14ac:dyDescent="0.35">
      <c r="A699" s="328" t="s">
        <v>1663</v>
      </c>
      <c r="B699" s="1287">
        <v>9.1986322797714654E-2</v>
      </c>
      <c r="C699" s="1288">
        <v>0.16118453848045577</v>
      </c>
      <c r="D699" s="1288">
        <v>0.25028527364963576</v>
      </c>
      <c r="E699" s="1280">
        <v>0.68718893481159382</v>
      </c>
      <c r="F699" s="1303">
        <v>5.2275759332927857E-2</v>
      </c>
      <c r="G699" s="1288">
        <v>4.8980167205553378E-2</v>
      </c>
      <c r="H699" s="1280">
        <v>0.46351084701137646</v>
      </c>
      <c r="I699" s="1303">
        <v>6.3235115965935479E-2</v>
      </c>
      <c r="J699" s="1288">
        <v>8.4692495785724561E-2</v>
      </c>
      <c r="K699" s="1280">
        <v>0.80146501526637881</v>
      </c>
      <c r="L699" s="1330">
        <v>0.17259491123090381</v>
      </c>
    </row>
    <row r="700" spans="1:12" s="326" customFormat="1" ht="15.5" x14ac:dyDescent="0.35">
      <c r="A700" s="328" t="s">
        <v>1664</v>
      </c>
      <c r="B700" s="1287">
        <v>9.717765195279085E-2</v>
      </c>
      <c r="C700" s="1288">
        <v>0.18945984222942572</v>
      </c>
      <c r="D700" s="1288">
        <v>0.28443666558076497</v>
      </c>
      <c r="E700" s="1280">
        <v>0.72597104767176579</v>
      </c>
      <c r="F700" s="1303">
        <v>5.0903237023731819E-2</v>
      </c>
      <c r="G700" s="1288">
        <v>4.7242097471420975E-2</v>
      </c>
      <c r="H700" s="1280">
        <v>0.44706308415969703</v>
      </c>
      <c r="I700" s="1303">
        <v>6.1667817501866638E-2</v>
      </c>
      <c r="J700" s="1288">
        <v>8.2573633937694624E-2</v>
      </c>
      <c r="K700" s="1280">
        <v>0.78141372704274248</v>
      </c>
      <c r="L700" s="1330">
        <v>0.17259491123105314</v>
      </c>
    </row>
    <row r="701" spans="1:12" s="326" customFormat="1" ht="15.5" x14ac:dyDescent="0.35">
      <c r="A701" s="328" t="s">
        <v>1665</v>
      </c>
      <c r="B701" s="1287">
        <v>0.10547091085881821</v>
      </c>
      <c r="C701" s="1288">
        <v>0.18168403039020278</v>
      </c>
      <c r="D701" s="1288">
        <v>0.22486448781516849</v>
      </c>
      <c r="E701" s="1280">
        <v>0.78792629906584921</v>
      </c>
      <c r="F701" s="1303">
        <v>4.9559091119461773E-2</v>
      </c>
      <c r="G701" s="1288">
        <v>4.5651882199311961E-2</v>
      </c>
      <c r="H701" s="1280">
        <v>0.43201450287143012</v>
      </c>
      <c r="I701" s="1303">
        <v>6.0099391828112692E-2</v>
      </c>
      <c r="J701" s="1288">
        <v>8.0458754487717679E-2</v>
      </c>
      <c r="K701" s="1280">
        <v>0.76140012518891653</v>
      </c>
      <c r="L701" s="1330">
        <v>0.17259491123108342</v>
      </c>
    </row>
    <row r="702" spans="1:12" s="326" customFormat="1" ht="15.5" x14ac:dyDescent="0.35">
      <c r="A702" s="328" t="s">
        <v>1666</v>
      </c>
      <c r="B702" s="1287">
        <v>0.10357212096044235</v>
      </c>
      <c r="C702" s="1288">
        <v>0.13638428375030845</v>
      </c>
      <c r="D702" s="1288">
        <v>0.21864900678390506</v>
      </c>
      <c r="E702" s="1306">
        <v>1.8982986074045254</v>
      </c>
      <c r="F702" s="1303">
        <v>4.9284813885692905E-2</v>
      </c>
      <c r="G702" s="1288">
        <v>4.4104419770372438E-2</v>
      </c>
      <c r="H702" s="1306">
        <v>0.41900355557701069</v>
      </c>
      <c r="I702" s="1303">
        <v>6.0084917990012761E-2</v>
      </c>
      <c r="J702" s="1288">
        <v>8.0419407960869729E-2</v>
      </c>
      <c r="K702" s="1306">
        <v>0.59882491916649183</v>
      </c>
      <c r="L702" s="1330">
        <v>0.15953354021583327</v>
      </c>
    </row>
    <row r="703" spans="1:12" s="326" customFormat="1" ht="15.5" x14ac:dyDescent="0.35">
      <c r="A703" s="328" t="s">
        <v>1667</v>
      </c>
      <c r="B703" s="1287">
        <v>0.11379153722627063</v>
      </c>
      <c r="C703" s="1288">
        <v>0.13934954616689593</v>
      </c>
      <c r="D703" s="1288">
        <v>0.21275325011693216</v>
      </c>
      <c r="E703" s="1306">
        <v>1.9530567921595361</v>
      </c>
      <c r="F703" s="1303">
        <v>4.9033935185548452E-2</v>
      </c>
      <c r="G703" s="1288">
        <v>4.2610441703202592E-2</v>
      </c>
      <c r="H703" s="1306">
        <v>0.4264481653548377</v>
      </c>
      <c r="I703" s="1303">
        <v>6.006698071735813E-2</v>
      </c>
      <c r="J703" s="1288">
        <v>8.0374637418301434E-2</v>
      </c>
      <c r="K703" s="1306">
        <v>0.59897290871029341</v>
      </c>
      <c r="L703" s="1330">
        <v>0.15953354021573829</v>
      </c>
    </row>
    <row r="704" spans="1:12" s="326" customFormat="1" ht="15.5" x14ac:dyDescent="0.35">
      <c r="A704" s="328" t="s">
        <v>1668</v>
      </c>
      <c r="B704" s="1287">
        <v>0.10844615133208127</v>
      </c>
      <c r="C704" s="1288">
        <v>0.14998732684767407</v>
      </c>
      <c r="D704" s="1288">
        <v>0.18774086077869065</v>
      </c>
      <c r="E704" s="1306">
        <v>1.9037842950700132</v>
      </c>
      <c r="F704" s="1303">
        <v>4.8890006263445189E-2</v>
      </c>
      <c r="G704" s="1288">
        <v>4.2090910950708341E-2</v>
      </c>
      <c r="H704" s="1306">
        <v>0.44081824165211636</v>
      </c>
      <c r="I704" s="1303">
        <v>6.0044332344970433E-2</v>
      </c>
      <c r="J704" s="1288">
        <v>8.0311250778511714E-2</v>
      </c>
      <c r="K704" s="1306">
        <v>0.59907240485023172</v>
      </c>
      <c r="L704" s="1330">
        <v>0.15953354021575564</v>
      </c>
    </row>
    <row r="705" spans="1:12" s="326" customFormat="1" ht="15.5" x14ac:dyDescent="0.35">
      <c r="A705" s="328" t="s">
        <v>1669</v>
      </c>
      <c r="B705" s="1287">
        <v>0.11619329120069655</v>
      </c>
      <c r="C705" s="1288">
        <v>9.7921155752653102E-2</v>
      </c>
      <c r="D705" s="1288">
        <v>0.22208901115410487</v>
      </c>
      <c r="E705" s="1306">
        <v>1.9140961818384885</v>
      </c>
      <c r="F705" s="1303">
        <v>4.8395436539730309E-2</v>
      </c>
      <c r="G705" s="1288">
        <v>4.1487977421017889E-2</v>
      </c>
      <c r="H705" s="1306">
        <v>0.44825163871620549</v>
      </c>
      <c r="I705" s="1303">
        <v>6.0011899986786604E-2</v>
      </c>
      <c r="J705" s="1288">
        <v>8.0194543270358326E-2</v>
      </c>
      <c r="K705" s="1306">
        <v>0.59882024439462567</v>
      </c>
      <c r="L705" s="1330">
        <v>0.15378853272941595</v>
      </c>
    </row>
    <row r="706" spans="1:12" s="326" customFormat="1" ht="15.5" x14ac:dyDescent="0.35">
      <c r="A706" s="328" t="s">
        <v>1670</v>
      </c>
      <c r="B706" s="1291">
        <v>0.11619329120069655</v>
      </c>
      <c r="C706" s="1257">
        <v>9.7921155752653102E-2</v>
      </c>
      <c r="D706" s="1257">
        <v>0.22208901115410487</v>
      </c>
      <c r="E706" s="1280">
        <v>1.9140961818384885</v>
      </c>
      <c r="F706" s="1271">
        <v>4.8395436539730309E-2</v>
      </c>
      <c r="G706" s="1257">
        <v>4.1487977421017889E-2</v>
      </c>
      <c r="H706" s="1280">
        <v>0.44825163871620549</v>
      </c>
      <c r="I706" s="1271">
        <v>6.0011899986786604E-2</v>
      </c>
      <c r="J706" s="1257">
        <v>8.0194543270358326E-2</v>
      </c>
      <c r="K706" s="1280">
        <v>0.59882024439462567</v>
      </c>
      <c r="L706" s="1330">
        <v>0.16102305515971846</v>
      </c>
    </row>
    <row r="707" spans="1:12" s="326" customFormat="1" ht="15.5" x14ac:dyDescent="0.35">
      <c r="A707" s="328" t="s">
        <v>1671</v>
      </c>
      <c r="B707" s="1291">
        <v>0.12678156761691392</v>
      </c>
      <c r="C707" s="1257">
        <v>0.21397657265973224</v>
      </c>
      <c r="D707" s="1257">
        <v>0.1408684084632377</v>
      </c>
      <c r="E707" s="1280">
        <v>0.94712874430257854</v>
      </c>
      <c r="F707" s="1271">
        <v>5.4865582265835412E-2</v>
      </c>
      <c r="G707" s="1257">
        <v>0.10769078250516959</v>
      </c>
      <c r="H707" s="1280">
        <v>1.0191032138540679</v>
      </c>
      <c r="I707" s="1271">
        <v>6.4599166792295173E-2</v>
      </c>
      <c r="J707" s="1257">
        <v>0.14564781233321875</v>
      </c>
      <c r="K707" s="1280">
        <v>1.3782995181827391</v>
      </c>
      <c r="L707" s="1237">
        <v>0.17425692960284522</v>
      </c>
    </row>
    <row r="708" spans="1:12" s="326" customFormat="1" ht="15.5" x14ac:dyDescent="0.35">
      <c r="A708" s="328" t="s">
        <v>1672</v>
      </c>
      <c r="B708" s="1291">
        <v>0.12678156761691392</v>
      </c>
      <c r="C708" s="1257">
        <v>0.21397657265973224</v>
      </c>
      <c r="D708" s="1257">
        <v>0.1408684084632377</v>
      </c>
      <c r="E708" s="1280">
        <v>0.94712874430257854</v>
      </c>
      <c r="F708" s="1271">
        <v>5.4865582265835412E-2</v>
      </c>
      <c r="G708" s="1257">
        <v>0.10769078250516959</v>
      </c>
      <c r="H708" s="1280">
        <v>1.0191032138540679</v>
      </c>
      <c r="I708" s="1271">
        <v>6.4599166792295173E-2</v>
      </c>
      <c r="J708" s="1257">
        <v>0.14564781233321875</v>
      </c>
      <c r="K708" s="1280">
        <v>1.3782995181827391</v>
      </c>
      <c r="L708" s="1237">
        <v>0.17425692960284522</v>
      </c>
    </row>
    <row r="709" spans="1:12" s="326" customFormat="1" ht="15.5" x14ac:dyDescent="0.35">
      <c r="A709" s="328" t="s">
        <v>1673</v>
      </c>
      <c r="B709" s="1291">
        <v>0.12678156761691392</v>
      </c>
      <c r="C709" s="1257">
        <v>0.21397657265973224</v>
      </c>
      <c r="D709" s="1257">
        <v>0.1408684084632377</v>
      </c>
      <c r="E709" s="1280">
        <v>0.94712874430257854</v>
      </c>
      <c r="F709" s="1271">
        <v>5.4865582265835412E-2</v>
      </c>
      <c r="G709" s="1257">
        <v>0.10769078250516959</v>
      </c>
      <c r="H709" s="1280">
        <v>1.0191032138540679</v>
      </c>
      <c r="I709" s="1271">
        <v>6.4599166792295173E-2</v>
      </c>
      <c r="J709" s="1257">
        <v>0.14564781233321875</v>
      </c>
      <c r="K709" s="1280">
        <v>1.3782995181827391</v>
      </c>
      <c r="L709" s="1237">
        <v>0.17425692960284522</v>
      </c>
    </row>
    <row r="710" spans="1:12" s="326" customFormat="1" ht="15.5" x14ac:dyDescent="0.35">
      <c r="A710" s="328" t="s">
        <v>1674</v>
      </c>
      <c r="B710" s="1291">
        <v>0.12678156761691392</v>
      </c>
      <c r="C710" s="1257">
        <v>0.21397657265973224</v>
      </c>
      <c r="D710" s="1257">
        <v>0.1408684084632377</v>
      </c>
      <c r="E710" s="1280">
        <v>0.94712874430257854</v>
      </c>
      <c r="F710" s="1271">
        <v>5.4865582265835412E-2</v>
      </c>
      <c r="G710" s="1257">
        <v>0.10769078250516959</v>
      </c>
      <c r="H710" s="1280">
        <v>1.0191032138540679</v>
      </c>
      <c r="I710" s="1271">
        <v>6.4599166792295173E-2</v>
      </c>
      <c r="J710" s="1257">
        <v>0.14564781233321875</v>
      </c>
      <c r="K710" s="1280">
        <v>1.3782995181827391</v>
      </c>
      <c r="L710" s="1237">
        <v>0.17425692960284522</v>
      </c>
    </row>
    <row r="711" spans="1:12" s="326" customFormat="1" ht="15.5" x14ac:dyDescent="0.35">
      <c r="A711" s="328" t="s">
        <v>1675</v>
      </c>
      <c r="B711" s="1291">
        <v>0.12678156761691392</v>
      </c>
      <c r="C711" s="1257">
        <v>0.21397657265973224</v>
      </c>
      <c r="D711" s="1257">
        <v>0.1408684084632377</v>
      </c>
      <c r="E711" s="1280">
        <v>0.94712874430257854</v>
      </c>
      <c r="F711" s="1271">
        <v>5.4865582265835412E-2</v>
      </c>
      <c r="G711" s="1257">
        <v>0.10769078250516959</v>
      </c>
      <c r="H711" s="1280">
        <v>1.0191032138540679</v>
      </c>
      <c r="I711" s="1271">
        <v>6.4599166792295173E-2</v>
      </c>
      <c r="J711" s="1257">
        <v>0.14564781233321875</v>
      </c>
      <c r="K711" s="1280">
        <v>1.3782995181827391</v>
      </c>
      <c r="L711" s="1237">
        <v>0.17425692960284522</v>
      </c>
    </row>
    <row r="712" spans="1:12" s="326" customFormat="1" ht="15.5" x14ac:dyDescent="0.35">
      <c r="A712" s="328" t="s">
        <v>1676</v>
      </c>
      <c r="B712" s="1291">
        <v>0.12678156761691392</v>
      </c>
      <c r="C712" s="1257">
        <v>0.21397657265973224</v>
      </c>
      <c r="D712" s="1257">
        <v>0.1408684084632377</v>
      </c>
      <c r="E712" s="1280">
        <v>0.94712874430257854</v>
      </c>
      <c r="F712" s="1271">
        <v>5.4865582265835412E-2</v>
      </c>
      <c r="G712" s="1257">
        <v>0.10769078250516959</v>
      </c>
      <c r="H712" s="1280">
        <v>1.0191032138540679</v>
      </c>
      <c r="I712" s="1271">
        <v>6.4599166792295173E-2</v>
      </c>
      <c r="J712" s="1257">
        <v>0.14564781233321875</v>
      </c>
      <c r="K712" s="1280">
        <v>1.3782995181827391</v>
      </c>
      <c r="L712" s="1237">
        <v>0.17425692960284522</v>
      </c>
    </row>
    <row r="713" spans="1:12" s="326" customFormat="1" ht="15.5" x14ac:dyDescent="0.35">
      <c r="A713" s="328" t="s">
        <v>1677</v>
      </c>
      <c r="B713" s="1291">
        <v>0.12678156761691392</v>
      </c>
      <c r="C713" s="1257">
        <v>0.21397657265973224</v>
      </c>
      <c r="D713" s="1257">
        <v>0.1408684084632377</v>
      </c>
      <c r="E713" s="1280">
        <v>0.94712874430257854</v>
      </c>
      <c r="F713" s="1271">
        <v>5.4865582265835412E-2</v>
      </c>
      <c r="G713" s="1257">
        <v>0.10769078250516959</v>
      </c>
      <c r="H713" s="1280">
        <v>1.0191032138540679</v>
      </c>
      <c r="I713" s="1271">
        <v>6.4599166792295173E-2</v>
      </c>
      <c r="J713" s="1257">
        <v>0.14564781233321875</v>
      </c>
      <c r="K713" s="1280">
        <v>1.3782995181827391</v>
      </c>
      <c r="L713" s="1237">
        <v>0.17425692960284522</v>
      </c>
    </row>
    <row r="714" spans="1:12" s="326" customFormat="1" ht="15.5" x14ac:dyDescent="0.35">
      <c r="A714" s="328" t="s">
        <v>1678</v>
      </c>
      <c r="B714" s="1291">
        <v>0.12678156761691392</v>
      </c>
      <c r="C714" s="1257">
        <v>0.21397657265973224</v>
      </c>
      <c r="D714" s="1257">
        <v>0.1408684084632377</v>
      </c>
      <c r="E714" s="1280">
        <v>0.94712874430257854</v>
      </c>
      <c r="F714" s="1271">
        <v>5.4865582265835412E-2</v>
      </c>
      <c r="G714" s="1257">
        <v>0.10769078250516959</v>
      </c>
      <c r="H714" s="1280">
        <v>1.0191032138540679</v>
      </c>
      <c r="I714" s="1271">
        <v>6.4599166792295173E-2</v>
      </c>
      <c r="J714" s="1257">
        <v>0.14564781233321875</v>
      </c>
      <c r="K714" s="1280">
        <v>1.3782995181827391</v>
      </c>
      <c r="L714" s="1237">
        <v>0.17425692960284522</v>
      </c>
    </row>
    <row r="715" spans="1:12" s="326" customFormat="1" ht="15.5" x14ac:dyDescent="0.35">
      <c r="A715" s="328" t="s">
        <v>1679</v>
      </c>
      <c r="B715" s="1291">
        <v>0.12678156761691392</v>
      </c>
      <c r="C715" s="1257">
        <v>0.21397657265973224</v>
      </c>
      <c r="D715" s="1257">
        <v>0.1408684084632377</v>
      </c>
      <c r="E715" s="1280">
        <v>0.94712874430257854</v>
      </c>
      <c r="F715" s="1271">
        <v>5.4865582265835412E-2</v>
      </c>
      <c r="G715" s="1257">
        <v>0.10769078250516959</v>
      </c>
      <c r="H715" s="1280">
        <v>1.0191032138540679</v>
      </c>
      <c r="I715" s="1271">
        <v>6.4599166792295173E-2</v>
      </c>
      <c r="J715" s="1257">
        <v>0.14564781233321875</v>
      </c>
      <c r="K715" s="1280">
        <v>1.3782995181827391</v>
      </c>
      <c r="L715" s="1237">
        <v>0.17425692960284522</v>
      </c>
    </row>
    <row r="716" spans="1:12" s="326" customFormat="1" ht="15.5" x14ac:dyDescent="0.35">
      <c r="A716" s="328" t="s">
        <v>1680</v>
      </c>
      <c r="B716" s="1291">
        <v>0.12678156761691392</v>
      </c>
      <c r="C716" s="1257">
        <v>0.21397657265973224</v>
      </c>
      <c r="D716" s="1257">
        <v>0.1408684084632377</v>
      </c>
      <c r="E716" s="1280">
        <v>0.94712874430257854</v>
      </c>
      <c r="F716" s="1271">
        <v>5.4865582265835412E-2</v>
      </c>
      <c r="G716" s="1257">
        <v>0.10769078250516959</v>
      </c>
      <c r="H716" s="1280">
        <v>1.0191032138540679</v>
      </c>
      <c r="I716" s="1271">
        <v>6.4599166792295173E-2</v>
      </c>
      <c r="J716" s="1257">
        <v>0.14564781233321875</v>
      </c>
      <c r="K716" s="1280">
        <v>1.3782995181827391</v>
      </c>
      <c r="L716" s="1237">
        <v>0.17425692960284522</v>
      </c>
    </row>
    <row r="717" spans="1:12" s="326" customFormat="1" ht="15.5" x14ac:dyDescent="0.35">
      <c r="A717" s="328" t="s">
        <v>1681</v>
      </c>
      <c r="B717" s="1291">
        <v>0.12678156761691392</v>
      </c>
      <c r="C717" s="1257">
        <v>0.21397657265973224</v>
      </c>
      <c r="D717" s="1257">
        <v>0.1408684084632377</v>
      </c>
      <c r="E717" s="1280">
        <v>0.94712874430257854</v>
      </c>
      <c r="F717" s="1271">
        <v>5.4865582265835412E-2</v>
      </c>
      <c r="G717" s="1257">
        <v>0.10769078250516959</v>
      </c>
      <c r="H717" s="1280">
        <v>1.0191032138540679</v>
      </c>
      <c r="I717" s="1271">
        <v>6.4599166792295173E-2</v>
      </c>
      <c r="J717" s="1257">
        <v>0.14564781233321875</v>
      </c>
      <c r="K717" s="1280">
        <v>1.3782995181827391</v>
      </c>
      <c r="L717" s="1237">
        <v>0.17425692960284522</v>
      </c>
    </row>
    <row r="718" spans="1:12" s="326" customFormat="1" ht="15.5" x14ac:dyDescent="0.35">
      <c r="A718" s="328" t="s">
        <v>1682</v>
      </c>
      <c r="B718" s="1291">
        <v>0.12678156761691392</v>
      </c>
      <c r="C718" s="1257">
        <v>0.21397657265973224</v>
      </c>
      <c r="D718" s="1257">
        <v>0.1408684084632377</v>
      </c>
      <c r="E718" s="1280">
        <v>0.94712874430257854</v>
      </c>
      <c r="F718" s="1271">
        <v>5.4865582265835412E-2</v>
      </c>
      <c r="G718" s="1257">
        <v>0.10769078250516959</v>
      </c>
      <c r="H718" s="1280">
        <v>1.0191032138540679</v>
      </c>
      <c r="I718" s="1271">
        <v>6.4599166792295173E-2</v>
      </c>
      <c r="J718" s="1257">
        <v>0.14564781233321875</v>
      </c>
      <c r="K718" s="1280">
        <v>1.3782995181827391</v>
      </c>
      <c r="L718" s="1237">
        <v>0.17425692960284522</v>
      </c>
    </row>
    <row r="719" spans="1:12" s="326" customFormat="1" ht="15.5" x14ac:dyDescent="0.35">
      <c r="A719" s="328" t="s">
        <v>1683</v>
      </c>
      <c r="B719" s="1291">
        <v>0.12678156761691392</v>
      </c>
      <c r="C719" s="1257">
        <v>0.21397657265973224</v>
      </c>
      <c r="D719" s="1257">
        <v>0.1408684084632377</v>
      </c>
      <c r="E719" s="1280">
        <v>0.94712874430257854</v>
      </c>
      <c r="F719" s="1271">
        <v>5.4865582265835412E-2</v>
      </c>
      <c r="G719" s="1257">
        <v>0.10769078250516959</v>
      </c>
      <c r="H719" s="1280">
        <v>1.0191032138540679</v>
      </c>
      <c r="I719" s="1271">
        <v>6.4599166792295173E-2</v>
      </c>
      <c r="J719" s="1257">
        <v>0.14564781233321875</v>
      </c>
      <c r="K719" s="1280">
        <v>1.3782995181827391</v>
      </c>
      <c r="L719" s="1237">
        <v>0.17425692960284522</v>
      </c>
    </row>
    <row r="720" spans="1:12" s="326" customFormat="1" ht="15.5" x14ac:dyDescent="0.35">
      <c r="A720" s="328" t="s">
        <v>1684</v>
      </c>
      <c r="B720" s="1291">
        <v>0.12678156761691392</v>
      </c>
      <c r="C720" s="1257">
        <v>0.21397657265973224</v>
      </c>
      <c r="D720" s="1257">
        <v>0.1408684084632377</v>
      </c>
      <c r="E720" s="1280">
        <v>0.94712874430257854</v>
      </c>
      <c r="F720" s="1303">
        <v>5.4865582265835412E-2</v>
      </c>
      <c r="G720" s="1288">
        <v>0.10769078250516959</v>
      </c>
      <c r="H720" s="1280">
        <v>1.0191032138540679</v>
      </c>
      <c r="I720" s="1303">
        <v>6.4599166792295173E-2</v>
      </c>
      <c r="J720" s="1288">
        <v>0.14564781233321875</v>
      </c>
      <c r="K720" s="1280">
        <v>1.3782995181827391</v>
      </c>
      <c r="L720" s="1237">
        <v>0.17425692960284522</v>
      </c>
    </row>
    <row r="721" spans="1:12" s="326" customFormat="1" ht="15.5" x14ac:dyDescent="0.35">
      <c r="A721" s="328" t="s">
        <v>1685</v>
      </c>
      <c r="B721" s="1291">
        <v>0.12678156761691392</v>
      </c>
      <c r="C721" s="1257">
        <v>0.21397657265973224</v>
      </c>
      <c r="D721" s="1257">
        <v>0.1408684084632377</v>
      </c>
      <c r="E721" s="1280">
        <v>0.94712874430257854</v>
      </c>
      <c r="F721" s="1303">
        <v>5.5844562365673048E-2</v>
      </c>
      <c r="G721" s="1288">
        <v>0.10562976809995886</v>
      </c>
      <c r="H721" s="1280">
        <v>0.99959934959299301</v>
      </c>
      <c r="I721" s="1303">
        <v>6.4705695230004356E-2</v>
      </c>
      <c r="J721" s="1288">
        <v>0.1431548459017126</v>
      </c>
      <c r="K721" s="1280">
        <v>1.3547079902610595</v>
      </c>
      <c r="L721" s="1237">
        <v>0.17425692960284522</v>
      </c>
    </row>
    <row r="722" spans="1:12" s="326" customFormat="1" ht="15.5" x14ac:dyDescent="0.35">
      <c r="A722" s="328" t="s">
        <v>1686</v>
      </c>
      <c r="B722" s="1291">
        <v>0.12678156761691392</v>
      </c>
      <c r="C722" s="1257">
        <v>0.21397657265973224</v>
      </c>
      <c r="D722" s="1257">
        <v>0.1408684084632377</v>
      </c>
      <c r="E722" s="1280">
        <v>0.94712874430257854</v>
      </c>
      <c r="F722" s="1303">
        <v>5.6526311197183092E-2</v>
      </c>
      <c r="G722" s="1288">
        <v>0.10072406127316219</v>
      </c>
      <c r="H722" s="1280">
        <v>0.95317549160705684</v>
      </c>
      <c r="I722" s="1303">
        <v>6.3373683267119729E-2</v>
      </c>
      <c r="J722" s="1288">
        <v>0.14187416988224505</v>
      </c>
      <c r="K722" s="1280">
        <v>1.3425886517533043</v>
      </c>
      <c r="L722" s="1237">
        <v>0.17425692960284522</v>
      </c>
    </row>
    <row r="723" spans="1:12" s="326" customFormat="1" ht="15.5" x14ac:dyDescent="0.35">
      <c r="A723" s="328" t="s">
        <v>1687</v>
      </c>
      <c r="B723" s="1291">
        <v>0.12678156761691392</v>
      </c>
      <c r="C723" s="1257">
        <v>0.21397657265973224</v>
      </c>
      <c r="D723" s="1257">
        <v>0.1408684084632377</v>
      </c>
      <c r="E723" s="1280">
        <v>0.94712874430257854</v>
      </c>
      <c r="F723" s="1303">
        <v>5.7321629061262015E-2</v>
      </c>
      <c r="G723" s="1288">
        <v>9.6416790684908854E-2</v>
      </c>
      <c r="H723" s="1280">
        <v>0.91241477655498304</v>
      </c>
      <c r="I723" s="1303">
        <v>6.2939300993787417E-2</v>
      </c>
      <c r="J723" s="1288">
        <v>0.14116831610541061</v>
      </c>
      <c r="K723" s="1280">
        <v>1.3359089913798783</v>
      </c>
      <c r="L723" s="1237">
        <v>0.17425692960284522</v>
      </c>
    </row>
    <row r="724" spans="1:12" s="326" customFormat="1" ht="15.5" x14ac:dyDescent="0.35">
      <c r="A724" s="328" t="s">
        <v>1688</v>
      </c>
      <c r="B724" s="1291">
        <v>0.12678156761691392</v>
      </c>
      <c r="C724" s="1257">
        <v>0.21397657265973224</v>
      </c>
      <c r="D724" s="1257">
        <v>0.1408684084632377</v>
      </c>
      <c r="E724" s="1280">
        <v>0.94712874430257854</v>
      </c>
      <c r="F724" s="1303">
        <v>5.7249847428995741E-2</v>
      </c>
      <c r="G724" s="1288">
        <v>9.2649725803415767E-2</v>
      </c>
      <c r="H724" s="1280">
        <v>0.87676615521320655</v>
      </c>
      <c r="I724" s="1303">
        <v>6.2310766100068304E-2</v>
      </c>
      <c r="J724" s="1288">
        <v>0.1333591716628689</v>
      </c>
      <c r="K724" s="1280">
        <v>1.2620092200743547</v>
      </c>
      <c r="L724" s="1237">
        <v>0.17425692960284522</v>
      </c>
    </row>
    <row r="725" spans="1:12" s="326" customFormat="1" ht="15.5" x14ac:dyDescent="0.35">
      <c r="A725" s="328" t="s">
        <v>1689</v>
      </c>
      <c r="B725" s="1291">
        <v>0.12678156761691392</v>
      </c>
      <c r="C725" s="1257">
        <v>0.21397657265973224</v>
      </c>
      <c r="D725" s="1257">
        <v>0.1408684084632377</v>
      </c>
      <c r="E725" s="1280">
        <v>0.94712874430257854</v>
      </c>
      <c r="F725" s="1303">
        <v>5.7283330569290254E-2</v>
      </c>
      <c r="G725" s="1288">
        <v>9.0452291040069369E-2</v>
      </c>
      <c r="H725" s="1280">
        <v>0.85597131300418583</v>
      </c>
      <c r="I725" s="1303">
        <v>6.2440731160263663E-2</v>
      </c>
      <c r="J725" s="1288">
        <v>0.13181483409688394</v>
      </c>
      <c r="K725" s="1280">
        <v>1.2473947903138942</v>
      </c>
      <c r="L725" s="1237">
        <v>0.17425692960284522</v>
      </c>
    </row>
    <row r="726" spans="1:12" s="326" customFormat="1" ht="15.5" x14ac:dyDescent="0.35">
      <c r="A726" s="328" t="s">
        <v>1690</v>
      </c>
      <c r="B726" s="1291">
        <v>0.12678156761691392</v>
      </c>
      <c r="C726" s="1257">
        <v>0.21397657265973224</v>
      </c>
      <c r="D726" s="1257">
        <v>0.1408684084632377</v>
      </c>
      <c r="E726" s="1280">
        <v>0.94712874430257854</v>
      </c>
      <c r="F726" s="1303">
        <v>5.7630124467812939E-2</v>
      </c>
      <c r="G726" s="1288">
        <v>8.9348912929466867E-2</v>
      </c>
      <c r="H726" s="1280">
        <v>0.84552978632517539</v>
      </c>
      <c r="I726" s="1303">
        <v>6.2509658503507537E-2</v>
      </c>
      <c r="J726" s="1288">
        <v>0.13386470678495793</v>
      </c>
      <c r="K726" s="1280">
        <v>1.2667932178841239</v>
      </c>
      <c r="L726" s="1237">
        <v>0.17425692960284522</v>
      </c>
    </row>
    <row r="727" spans="1:12" s="326" customFormat="1" ht="15.5" x14ac:dyDescent="0.35">
      <c r="A727" s="328" t="s">
        <v>1691</v>
      </c>
      <c r="B727" s="1291">
        <v>0.12678156761691392</v>
      </c>
      <c r="C727" s="1257">
        <v>0.21397657265973224</v>
      </c>
      <c r="D727" s="1257">
        <v>0.1408684084632377</v>
      </c>
      <c r="E727" s="1280">
        <v>0.94712874430257854</v>
      </c>
      <c r="F727" s="1303">
        <v>5.7682972155747976E-2</v>
      </c>
      <c r="G727" s="1288">
        <v>8.7716282931884895E-2</v>
      </c>
      <c r="H727" s="1280">
        <v>0.83007982450982243</v>
      </c>
      <c r="I727" s="1303">
        <v>6.3481974459734164E-2</v>
      </c>
      <c r="J727" s="1288">
        <v>0.13266269618510074</v>
      </c>
      <c r="K727" s="1280">
        <v>1.2554183087516519</v>
      </c>
      <c r="L727" s="1237">
        <v>0.17425692960284522</v>
      </c>
    </row>
    <row r="728" spans="1:12" s="326" customFormat="1" ht="15.5" x14ac:dyDescent="0.35">
      <c r="A728" s="328" t="s">
        <v>1692</v>
      </c>
      <c r="B728" s="1291">
        <v>0.12678156761691392</v>
      </c>
      <c r="C728" s="1257">
        <v>0.21397657265973224</v>
      </c>
      <c r="D728" s="1257">
        <v>0.1408684084632377</v>
      </c>
      <c r="E728" s="1280">
        <v>0.94712874430257854</v>
      </c>
      <c r="F728" s="1303">
        <v>5.7593432489849765E-2</v>
      </c>
      <c r="G728" s="1288">
        <v>8.3957715797872784E-2</v>
      </c>
      <c r="H728" s="1280">
        <v>0.7945116193519286</v>
      </c>
      <c r="I728" s="1303">
        <v>6.3548309361935187E-2</v>
      </c>
      <c r="J728" s="1288">
        <v>0.13311547234229704</v>
      </c>
      <c r="K728" s="1280">
        <v>1.2597030360627668</v>
      </c>
      <c r="L728" s="1237">
        <v>0.17425692960284522</v>
      </c>
    </row>
    <row r="729" spans="1:12" s="326" customFormat="1" ht="15.5" x14ac:dyDescent="0.35">
      <c r="A729" s="328" t="s">
        <v>1693</v>
      </c>
      <c r="B729" s="1291">
        <v>0.12678156761691392</v>
      </c>
      <c r="C729" s="1257">
        <v>0.21397657265973224</v>
      </c>
      <c r="D729" s="1257">
        <v>0.1408684084632377</v>
      </c>
      <c r="E729" s="1280">
        <v>0.94712874430257854</v>
      </c>
      <c r="F729" s="1303">
        <v>5.785146801489191E-2</v>
      </c>
      <c r="G729" s="1288">
        <v>7.9375646982056736E-2</v>
      </c>
      <c r="H729" s="1280">
        <v>0.75115042401402221</v>
      </c>
      <c r="I729" s="1303">
        <v>6.3740424111787902E-2</v>
      </c>
      <c r="J729" s="1288">
        <v>0.13231659660797404</v>
      </c>
      <c r="K729" s="1280">
        <v>1.2521430870181074</v>
      </c>
      <c r="L729" s="1237">
        <v>0.17425692960284522</v>
      </c>
    </row>
    <row r="730" spans="1:12" s="326" customFormat="1" ht="15.5" x14ac:dyDescent="0.35">
      <c r="A730" s="328" t="s">
        <v>1694</v>
      </c>
      <c r="B730" s="1291">
        <v>0.12678156761691392</v>
      </c>
      <c r="C730" s="1257">
        <v>0.21397657265973224</v>
      </c>
      <c r="D730" s="1257">
        <v>0.1408684084632377</v>
      </c>
      <c r="E730" s="1280">
        <v>0.94712874430257854</v>
      </c>
      <c r="F730" s="1303">
        <v>5.699865753695417E-2</v>
      </c>
      <c r="G730" s="1288">
        <v>7.2281258514015817E-2</v>
      </c>
      <c r="H730" s="1280">
        <v>0.68401455667307609</v>
      </c>
      <c r="I730" s="1303">
        <v>6.3255839893044341E-2</v>
      </c>
      <c r="J730" s="1288">
        <v>0.13196065516011338</v>
      </c>
      <c r="K730" s="1280">
        <v>1.2487747293460729</v>
      </c>
      <c r="L730" s="1237">
        <v>0.17425692960284522</v>
      </c>
    </row>
    <row r="731" spans="1:12" s="326" customFormat="1" ht="15.5" x14ac:dyDescent="0.35">
      <c r="A731" s="328" t="s">
        <v>1695</v>
      </c>
      <c r="B731" s="1291">
        <v>0.12678156761691392</v>
      </c>
      <c r="C731" s="1257">
        <v>0.21397657265973224</v>
      </c>
      <c r="D731" s="1257">
        <v>0.1408684084632377</v>
      </c>
      <c r="E731" s="1280">
        <v>0.94712874430257854</v>
      </c>
      <c r="F731" s="1303">
        <v>5.7376677717270501E-2</v>
      </c>
      <c r="G731" s="1288">
        <v>7.6905556509447304E-2</v>
      </c>
      <c r="H731" s="1280">
        <v>0.72777537667396086</v>
      </c>
      <c r="I731" s="1303">
        <v>6.3464541474497746E-2</v>
      </c>
      <c r="J731" s="1288">
        <v>0.1314390826855209</v>
      </c>
      <c r="K731" s="1280">
        <v>1.2438389662960692</v>
      </c>
      <c r="L731" s="1237">
        <v>0.17425692960284522</v>
      </c>
    </row>
    <row r="732" spans="1:12" s="326" customFormat="1" ht="15.5" x14ac:dyDescent="0.35">
      <c r="A732" s="328" t="s">
        <v>1696</v>
      </c>
      <c r="B732" s="1291">
        <v>0.12678156761691392</v>
      </c>
      <c r="C732" s="1257">
        <v>0.21397657265973224</v>
      </c>
      <c r="D732" s="1257">
        <v>0.1408684084632377</v>
      </c>
      <c r="E732" s="1280">
        <v>0.94712874430257854</v>
      </c>
      <c r="F732" s="1303">
        <v>5.7548617145068086E-2</v>
      </c>
      <c r="G732" s="1288">
        <v>7.4749818800228185E-2</v>
      </c>
      <c r="H732" s="1280">
        <v>0.70737512349921816</v>
      </c>
      <c r="I732" s="1303">
        <v>6.3621815294089792E-2</v>
      </c>
      <c r="J732" s="1288">
        <v>0.13041006294139101</v>
      </c>
      <c r="K732" s="1280">
        <v>1.2341011103350752</v>
      </c>
      <c r="L732" s="1237">
        <v>0.17425692960284522</v>
      </c>
    </row>
    <row r="733" spans="1:12" s="326" customFormat="1" ht="15.5" x14ac:dyDescent="0.35">
      <c r="A733" s="328" t="s">
        <v>1697</v>
      </c>
      <c r="B733" s="1291">
        <v>0.12678156761691392</v>
      </c>
      <c r="C733" s="1257">
        <v>0.21397657265973224</v>
      </c>
      <c r="D733" s="1257">
        <v>0.1408684084632377</v>
      </c>
      <c r="E733" s="1280">
        <v>0.94712874430257854</v>
      </c>
      <c r="F733" s="1303">
        <v>5.766807434876977E-2</v>
      </c>
      <c r="G733" s="1288">
        <v>7.4555819756450023E-2</v>
      </c>
      <c r="H733" s="1280">
        <v>0.70553926490111163</v>
      </c>
      <c r="I733" s="1303">
        <v>6.3822619176308812E-2</v>
      </c>
      <c r="J733" s="1288">
        <v>0.12863202957881267</v>
      </c>
      <c r="K733" s="1280">
        <v>1.2172751622642051</v>
      </c>
      <c r="L733" s="1237">
        <v>0.17425692960284522</v>
      </c>
    </row>
    <row r="734" spans="1:12" s="326" customFormat="1" ht="15.5" x14ac:dyDescent="0.35">
      <c r="A734" s="328" t="s">
        <v>1698</v>
      </c>
      <c r="B734" s="1291">
        <v>0.12678156761691392</v>
      </c>
      <c r="C734" s="1257">
        <v>0.21397657265973224</v>
      </c>
      <c r="D734" s="1257">
        <v>0.1408684084632377</v>
      </c>
      <c r="E734" s="1280">
        <v>0.94712874430257854</v>
      </c>
      <c r="F734" s="1303">
        <v>5.7601198911267672E-2</v>
      </c>
      <c r="G734" s="1288">
        <v>7.0409219100778131E-2</v>
      </c>
      <c r="H734" s="1280">
        <v>0.66629900722574609</v>
      </c>
      <c r="I734" s="1303">
        <v>6.3949243212889126E-2</v>
      </c>
      <c r="J734" s="1288">
        <v>0.12922447868341402</v>
      </c>
      <c r="K734" s="1280">
        <v>1.2228816475408371</v>
      </c>
      <c r="L734" s="1237">
        <v>0.17425692960284522</v>
      </c>
    </row>
    <row r="735" spans="1:12" s="326" customFormat="1" ht="15.5" x14ac:dyDescent="0.35">
      <c r="A735" s="328" t="s">
        <v>1699</v>
      </c>
      <c r="B735" s="1291">
        <v>0.12678156761691392</v>
      </c>
      <c r="C735" s="1257">
        <v>0.21397657265973224</v>
      </c>
      <c r="D735" s="1257">
        <v>0.1408684084632377</v>
      </c>
      <c r="E735" s="1280">
        <v>0.94712874430257854</v>
      </c>
      <c r="F735" s="1303">
        <v>5.7609186219768072E-2</v>
      </c>
      <c r="G735" s="1288">
        <v>6.9576698164892009E-2</v>
      </c>
      <c r="H735" s="1280">
        <v>0.65842066572217661</v>
      </c>
      <c r="I735" s="1303">
        <v>6.3698634168124685E-2</v>
      </c>
      <c r="J735" s="1288">
        <v>0.12918486276080859</v>
      </c>
      <c r="K735" s="1280">
        <v>1.2225067527438283</v>
      </c>
      <c r="L735" s="1237">
        <v>0.17425692960284522</v>
      </c>
    </row>
    <row r="736" spans="1:12" s="326" customFormat="1" ht="15.5" x14ac:dyDescent="0.35">
      <c r="A736" s="328" t="s">
        <v>1700</v>
      </c>
      <c r="B736" s="1291">
        <v>0.12678156761691392</v>
      </c>
      <c r="C736" s="1257">
        <v>0.21397657265973224</v>
      </c>
      <c r="D736" s="1257">
        <v>0.1408684084632377</v>
      </c>
      <c r="E736" s="1280">
        <v>0.94712874430257854</v>
      </c>
      <c r="F736" s="1303">
        <v>5.7438482517837251E-2</v>
      </c>
      <c r="G736" s="1288">
        <v>7.5315096416422617E-2</v>
      </c>
      <c r="H736" s="1280">
        <v>0.712724478587764</v>
      </c>
      <c r="I736" s="1303">
        <v>6.3237165223092584E-2</v>
      </c>
      <c r="J736" s="1288">
        <v>0.12979688844678181</v>
      </c>
      <c r="K736" s="1280">
        <v>1.2282984958162366</v>
      </c>
      <c r="L736" s="1237">
        <v>0.17425692960284522</v>
      </c>
    </row>
    <row r="737" spans="1:12" s="326" customFormat="1" ht="15.5" x14ac:dyDescent="0.35">
      <c r="A737" s="328" t="s">
        <v>1701</v>
      </c>
      <c r="B737" s="1291">
        <v>0.12678156761691392</v>
      </c>
      <c r="C737" s="1257">
        <v>0.21397657265973224</v>
      </c>
      <c r="D737" s="1257">
        <v>0.1408684084632377</v>
      </c>
      <c r="E737" s="1280">
        <v>0.94712874430257854</v>
      </c>
      <c r="F737" s="1303">
        <v>5.7574620315631632E-2</v>
      </c>
      <c r="G737" s="1288">
        <v>7.3808457056967314E-2</v>
      </c>
      <c r="H737" s="1280">
        <v>0.6984667958258598</v>
      </c>
      <c r="I737" s="1303">
        <v>6.3618673160043437E-2</v>
      </c>
      <c r="J737" s="1288">
        <v>0.12993720226865824</v>
      </c>
      <c r="K737" s="1280">
        <v>1.2296263185276703</v>
      </c>
      <c r="L737" s="1237">
        <v>0.17425692960284522</v>
      </c>
    </row>
    <row r="738" spans="1:12" s="326" customFormat="1" ht="15.5" x14ac:dyDescent="0.35">
      <c r="A738" s="328" t="s">
        <v>1702</v>
      </c>
      <c r="B738" s="1291">
        <v>0.12678156761691392</v>
      </c>
      <c r="C738" s="1257">
        <v>0.21397657265973224</v>
      </c>
      <c r="D738" s="1257">
        <v>0.1408684084632377</v>
      </c>
      <c r="E738" s="1280">
        <v>0.94712874430257854</v>
      </c>
      <c r="F738" s="1303">
        <v>5.7364812308796968E-2</v>
      </c>
      <c r="G738" s="1288">
        <v>7.2518083434515532E-2</v>
      </c>
      <c r="H738" s="1280">
        <v>0.68625568661927561</v>
      </c>
      <c r="I738" s="1303">
        <v>6.3569413442151751E-2</v>
      </c>
      <c r="J738" s="1288">
        <v>0.12979648679914912</v>
      </c>
      <c r="K738" s="1280">
        <v>1.2282946949301832</v>
      </c>
      <c r="L738" s="1237">
        <v>0.17425692960284522</v>
      </c>
    </row>
    <row r="739" spans="1:12" s="326" customFormat="1" ht="15.5" x14ac:dyDescent="0.35">
      <c r="A739" s="328" t="s">
        <v>1703</v>
      </c>
      <c r="B739" s="1291">
        <v>0.12678156761691392</v>
      </c>
      <c r="C739" s="1257">
        <v>0.21397657265973224</v>
      </c>
      <c r="D739" s="1257">
        <v>0.1408684084632377</v>
      </c>
      <c r="E739" s="1280">
        <v>0.94712874430257854</v>
      </c>
      <c r="F739" s="1303">
        <v>5.7173919632833414E-2</v>
      </c>
      <c r="G739" s="1288">
        <v>7.3244151570282176E-2</v>
      </c>
      <c r="H739" s="1280">
        <v>0.69312664022759685</v>
      </c>
      <c r="I739" s="1303">
        <v>6.3173595515104458E-2</v>
      </c>
      <c r="J739" s="1288">
        <v>0.12908198621640096</v>
      </c>
      <c r="K739" s="1280">
        <v>1.2215332077978531</v>
      </c>
      <c r="L739" s="1237">
        <v>0.17425692960284522</v>
      </c>
    </row>
    <row r="740" spans="1:12" s="326" customFormat="1" ht="15.5" x14ac:dyDescent="0.35">
      <c r="A740" s="328" t="s">
        <v>1704</v>
      </c>
      <c r="B740" s="1291">
        <v>0.12678156761691392</v>
      </c>
      <c r="C740" s="1257">
        <v>0.21397657265973224</v>
      </c>
      <c r="D740" s="1257">
        <v>0.1408684084632377</v>
      </c>
      <c r="E740" s="1280">
        <v>0.94712874430257854</v>
      </c>
      <c r="F740" s="1303">
        <v>4.9063746354785893E-2</v>
      </c>
      <c r="G740" s="1288">
        <v>7.2584500289373341E-2</v>
      </c>
      <c r="H740" s="1280">
        <v>0.68688420494429037</v>
      </c>
      <c r="I740" s="1303">
        <v>6.9216237693555907E-2</v>
      </c>
      <c r="J740" s="1288">
        <v>0.12808533025684427</v>
      </c>
      <c r="K740" s="1280">
        <v>1.2121016179452835</v>
      </c>
      <c r="L740" s="1237">
        <v>0.17425692960284522</v>
      </c>
    </row>
    <row r="741" spans="1:12" s="326" customFormat="1" ht="15.5" x14ac:dyDescent="0.35">
      <c r="A741" s="328" t="s">
        <v>1705</v>
      </c>
      <c r="B741" s="1291">
        <v>0.12678156761691392</v>
      </c>
      <c r="C741" s="1257">
        <v>0.21397657265973224</v>
      </c>
      <c r="D741" s="1257">
        <v>0.1408684084632377</v>
      </c>
      <c r="E741" s="1280">
        <v>0.94712874430257854</v>
      </c>
      <c r="F741" s="1303">
        <v>4.9291763732585786E-2</v>
      </c>
      <c r="G741" s="1288">
        <v>7.0651822180418017E-2</v>
      </c>
      <c r="H741" s="1280">
        <v>0.66859481725145586</v>
      </c>
      <c r="I741" s="1303">
        <v>6.9039395490268093E-2</v>
      </c>
      <c r="J741" s="1288">
        <v>0.12861230101263685</v>
      </c>
      <c r="K741" s="1280">
        <v>1.2170884662004677</v>
      </c>
      <c r="L741" s="1237">
        <v>0.17425692960284522</v>
      </c>
    </row>
    <row r="742" spans="1:12" s="326" customFormat="1" ht="15.5" x14ac:dyDescent="0.35">
      <c r="A742" s="328" t="s">
        <v>1706</v>
      </c>
      <c r="B742" s="1291">
        <v>0.12678156761691392</v>
      </c>
      <c r="C742" s="1257">
        <v>0.21397657265973224</v>
      </c>
      <c r="D742" s="1257">
        <v>0.1408684084632377</v>
      </c>
      <c r="E742" s="1280">
        <v>0.94712874430257854</v>
      </c>
      <c r="F742" s="1303">
        <v>4.905571545664756E-2</v>
      </c>
      <c r="G742" s="1288">
        <v>7.5356386097827785E-2</v>
      </c>
      <c r="H742" s="1280">
        <v>0.71311521255812027</v>
      </c>
      <c r="I742" s="1303">
        <v>6.87650073245996E-2</v>
      </c>
      <c r="J742" s="1288">
        <v>0.12884979078544348</v>
      </c>
      <c r="K742" s="1280">
        <v>1.2193358878004836</v>
      </c>
      <c r="L742" s="1237">
        <v>0.17425692960284522</v>
      </c>
    </row>
    <row r="743" spans="1:12" s="326" customFormat="1" ht="15.5" x14ac:dyDescent="0.35">
      <c r="A743" s="328" t="s">
        <v>1707</v>
      </c>
      <c r="B743" s="1291">
        <v>0.12678156761691392</v>
      </c>
      <c r="C743" s="1257">
        <v>0.21397657265973224</v>
      </c>
      <c r="D743" s="1257">
        <v>0.1408684084632377</v>
      </c>
      <c r="E743" s="1280">
        <v>0.94712874430257854</v>
      </c>
      <c r="F743" s="1303">
        <v>5.8759576649233168E-2</v>
      </c>
      <c r="G743" s="1288">
        <v>7.0046709538534938E-2</v>
      </c>
      <c r="H743" s="1280">
        <v>0.66286849394187108</v>
      </c>
      <c r="I743" s="1303">
        <v>7.4573863282662509E-2</v>
      </c>
      <c r="J743" s="1288">
        <v>0.12975465408151485</v>
      </c>
      <c r="K743" s="1280">
        <v>1.2278988220802176</v>
      </c>
      <c r="L743" s="1237">
        <v>0.17425692960284522</v>
      </c>
    </row>
    <row r="744" spans="1:12" s="326" customFormat="1" ht="15.5" x14ac:dyDescent="0.35">
      <c r="A744" s="328" t="s">
        <v>1708</v>
      </c>
      <c r="B744" s="1291">
        <v>0.12678156761691392</v>
      </c>
      <c r="C744" s="1257">
        <v>0.21397657265973224</v>
      </c>
      <c r="D744" s="1257">
        <v>0.1408684084632377</v>
      </c>
      <c r="E744" s="1280">
        <v>0.94712874430257854</v>
      </c>
      <c r="F744" s="1303">
        <v>5.8879508741666198E-2</v>
      </c>
      <c r="G744" s="1288">
        <v>6.8374162239429936E-2</v>
      </c>
      <c r="H744" s="1280">
        <v>0.6470407853098995</v>
      </c>
      <c r="I744" s="1303">
        <v>7.5321769752311835E-2</v>
      </c>
      <c r="J744" s="1288">
        <v>0.11509290690171543</v>
      </c>
      <c r="K744" s="1280">
        <v>1.0891512586949099</v>
      </c>
      <c r="L744" s="1237">
        <v>0.17425692960284522</v>
      </c>
    </row>
    <row r="745" spans="1:12" s="326" customFormat="1" ht="15.5" x14ac:dyDescent="0.35">
      <c r="A745" s="328" t="s">
        <v>1709</v>
      </c>
      <c r="B745" s="1291">
        <v>0.12678156761691392</v>
      </c>
      <c r="C745" s="1257">
        <v>0.21397657265973224</v>
      </c>
      <c r="D745" s="1257">
        <v>0.1408684084632377</v>
      </c>
      <c r="E745" s="1280">
        <v>0.94712874430257854</v>
      </c>
      <c r="F745" s="1303">
        <v>5.8518732996410097E-2</v>
      </c>
      <c r="G745" s="1288">
        <v>6.2231090823768855E-2</v>
      </c>
      <c r="H745" s="1280">
        <v>0.58890745507493025</v>
      </c>
      <c r="I745" s="1303">
        <v>7.5127091756712921E-2</v>
      </c>
      <c r="J745" s="1288">
        <v>9.8865117385006668E-2</v>
      </c>
      <c r="K745" s="1280">
        <v>0.93558386819487926</v>
      </c>
      <c r="L745" s="1237">
        <v>0.17425692960284522</v>
      </c>
    </row>
    <row r="746" spans="1:12" s="326" customFormat="1" ht="15.5" x14ac:dyDescent="0.35">
      <c r="A746" s="328" t="s">
        <v>1710</v>
      </c>
      <c r="B746" s="1291">
        <v>0.12678156761691392</v>
      </c>
      <c r="C746" s="1257">
        <v>0.21397657265973224</v>
      </c>
      <c r="D746" s="1257">
        <v>0.1408684084632377</v>
      </c>
      <c r="E746" s="1280">
        <v>0.94712874430257854</v>
      </c>
      <c r="F746" s="1303">
        <v>6.4036928526314457E-2</v>
      </c>
      <c r="G746" s="1288">
        <v>5.7841958142232537E-2</v>
      </c>
      <c r="H746" s="1280">
        <v>0.54737205977245051</v>
      </c>
      <c r="I746" s="1303">
        <v>8.0649352000639857E-2</v>
      </c>
      <c r="J746" s="1288">
        <v>9.8857942924259826E-2</v>
      </c>
      <c r="K746" s="1280">
        <v>0.93551597458472346</v>
      </c>
      <c r="L746" s="1237">
        <v>0.17425692960284522</v>
      </c>
    </row>
    <row r="747" spans="1:12" s="326" customFormat="1" ht="15.5" x14ac:dyDescent="0.35">
      <c r="A747" s="328" t="s">
        <v>1711</v>
      </c>
      <c r="B747" s="1291">
        <v>0.12678156761691392</v>
      </c>
      <c r="C747" s="1257">
        <v>0.21397657265973224</v>
      </c>
      <c r="D747" s="1257">
        <v>0.1408684084632377</v>
      </c>
      <c r="E747" s="1280">
        <v>0.94712874430257854</v>
      </c>
      <c r="F747" s="1303">
        <v>6.6229026834058707E-2</v>
      </c>
      <c r="G747" s="1288">
        <v>5.8047318565861331E-2</v>
      </c>
      <c r="H747" s="1280">
        <v>0.5493154337813495</v>
      </c>
      <c r="I747" s="1303">
        <v>8.0339276131158016E-2</v>
      </c>
      <c r="J747" s="1288">
        <v>0.10053877959764129</v>
      </c>
      <c r="K747" s="1280">
        <v>0.95142212751591437</v>
      </c>
      <c r="L747" s="1330">
        <v>0.17425692960284522</v>
      </c>
    </row>
    <row r="748" spans="1:12" s="326" customFormat="1" ht="15.5" x14ac:dyDescent="0.35">
      <c r="A748" s="328" t="s">
        <v>1712</v>
      </c>
      <c r="B748" s="1291">
        <v>0.12678156761691392</v>
      </c>
      <c r="C748" s="1257">
        <v>0.21397657265973224</v>
      </c>
      <c r="D748" s="1257">
        <v>0.1408684084632377</v>
      </c>
      <c r="E748" s="1280">
        <v>0.94712874430257854</v>
      </c>
      <c r="F748" s="1303">
        <v>5.8833512085484506E-2</v>
      </c>
      <c r="G748" s="1288">
        <v>5.8288607827589718E-2</v>
      </c>
      <c r="H748" s="1280">
        <v>0.55159881083902917</v>
      </c>
      <c r="I748" s="1303">
        <v>8.0583061037414916E-2</v>
      </c>
      <c r="J748" s="1288">
        <v>0.10046657393668454</v>
      </c>
      <c r="K748" s="1280">
        <v>0.95073882835671319</v>
      </c>
      <c r="L748" s="1330">
        <v>0.17347497971147538</v>
      </c>
    </row>
    <row r="749" spans="1:12" s="326" customFormat="1" ht="15.5" x14ac:dyDescent="0.35">
      <c r="A749" s="328" t="s">
        <v>1713</v>
      </c>
      <c r="B749" s="1291">
        <v>0.12678156761691392</v>
      </c>
      <c r="C749" s="1257">
        <v>0.21397657265973224</v>
      </c>
      <c r="D749" s="1257">
        <v>0.1408684084632377</v>
      </c>
      <c r="E749" s="1280">
        <v>0.94712874430257854</v>
      </c>
      <c r="F749" s="1303">
        <v>6.4952187030947309E-2</v>
      </c>
      <c r="G749" s="1288">
        <v>5.7144105861298561E-2</v>
      </c>
      <c r="H749" s="1280">
        <v>0.54076811943743563</v>
      </c>
      <c r="I749" s="1303">
        <v>8.0516446328421976E-2</v>
      </c>
      <c r="J749" s="1288">
        <v>0.10086392414713054</v>
      </c>
      <c r="K749" s="1280">
        <v>0.95449904689233089</v>
      </c>
      <c r="L749" s="1330">
        <v>0.16372954496684855</v>
      </c>
    </row>
    <row r="750" spans="1:12" s="326" customFormat="1" ht="15.5" x14ac:dyDescent="0.35">
      <c r="A750" s="328" t="s">
        <v>1714</v>
      </c>
      <c r="B750" s="1287">
        <v>0.12678156761691392</v>
      </c>
      <c r="C750" s="1288">
        <v>0.21397657265973224</v>
      </c>
      <c r="D750" s="1288">
        <v>0.31028016608239939</v>
      </c>
      <c r="E750" s="1306">
        <v>2.0076767079570979</v>
      </c>
      <c r="F750" s="1303">
        <v>5.9718194154436723E-2</v>
      </c>
      <c r="G750" s="1288">
        <v>5.5132618228262389E-2</v>
      </c>
      <c r="H750" s="1280">
        <v>0.52173293867480663</v>
      </c>
      <c r="I750" s="1303">
        <v>7.8324683375273596E-2</v>
      </c>
      <c r="J750" s="1288">
        <v>9.8336994189102259E-2</v>
      </c>
      <c r="K750" s="1280">
        <v>0.93058611412775449</v>
      </c>
      <c r="L750" s="1330">
        <v>0.19176083843086425</v>
      </c>
    </row>
    <row r="751" spans="1:12" s="326" customFormat="1" ht="15.5" x14ac:dyDescent="0.35">
      <c r="A751" s="328" t="s">
        <v>1715</v>
      </c>
      <c r="B751" s="1287">
        <v>0.13594925503946328</v>
      </c>
      <c r="C751" s="1288">
        <v>0.25035701356902712</v>
      </c>
      <c r="D751" s="1288">
        <v>0.29850250943403456</v>
      </c>
      <c r="E751" s="1306">
        <v>1.8416962845176026</v>
      </c>
      <c r="F751" s="1303">
        <v>5.7292222912394865E-2</v>
      </c>
      <c r="G751" s="1288">
        <v>5.5380552002291271E-2</v>
      </c>
      <c r="H751" s="1280">
        <v>0.52407919431580041</v>
      </c>
      <c r="I751" s="1303">
        <v>7.7848729571652578E-2</v>
      </c>
      <c r="J751" s="1288">
        <v>9.9102630085838597E-2</v>
      </c>
      <c r="K751" s="1280">
        <v>0.93783150676819327</v>
      </c>
      <c r="L751" s="1330">
        <v>0.19050616241305057</v>
      </c>
    </row>
    <row r="752" spans="1:12" s="326" customFormat="1" ht="15.5" x14ac:dyDescent="0.35">
      <c r="A752" s="328" t="s">
        <v>1716</v>
      </c>
      <c r="B752" s="1287">
        <v>0.11297112032306633</v>
      </c>
      <c r="C752" s="1288">
        <v>0.25143615823263077</v>
      </c>
      <c r="D752" s="1288">
        <v>0.32176530946540971</v>
      </c>
      <c r="E752" s="1306">
        <v>2.0055568094183305</v>
      </c>
      <c r="F752" s="1303">
        <v>5.9848188383075977E-2</v>
      </c>
      <c r="G752" s="1288">
        <v>5.5457648000241132E-2</v>
      </c>
      <c r="H752" s="1280">
        <v>0.52480877188463482</v>
      </c>
      <c r="I752" s="1303">
        <v>7.5492521831856424E-2</v>
      </c>
      <c r="J752" s="1288">
        <v>9.6401253025489811E-2</v>
      </c>
      <c r="K752" s="1280">
        <v>0.91226774002798072</v>
      </c>
      <c r="L752" s="1330">
        <v>0.18937695399698382</v>
      </c>
    </row>
    <row r="753" spans="1:12" s="326" customFormat="1" ht="15.5" x14ac:dyDescent="0.35">
      <c r="A753" s="328" t="s">
        <v>1717</v>
      </c>
      <c r="B753" s="1287">
        <v>0.12094732953693373</v>
      </c>
      <c r="C753" s="1288">
        <v>0.21367279576458967</v>
      </c>
      <c r="D753" s="1288">
        <v>0.23947550030828746</v>
      </c>
      <c r="E753" s="1306">
        <v>1.9912609398089296</v>
      </c>
      <c r="F753" s="1303">
        <v>5.8940227530457107E-2</v>
      </c>
      <c r="G753" s="1288">
        <v>5.465717903225157E-2</v>
      </c>
      <c r="H753" s="1280">
        <v>0.51723374569490999</v>
      </c>
      <c r="I753" s="1303">
        <v>7.2738928653597948E-2</v>
      </c>
      <c r="J753" s="1288">
        <v>9.5034631351529744E-2</v>
      </c>
      <c r="K753" s="1280">
        <v>0.89933507756925579</v>
      </c>
      <c r="L753" s="1330">
        <v>0.19322538081325558</v>
      </c>
    </row>
    <row r="754" spans="1:12" s="326" customFormat="1" ht="15.5" x14ac:dyDescent="0.35">
      <c r="A754" s="328" t="s">
        <v>1718</v>
      </c>
      <c r="B754" s="1287">
        <v>0.13192593550219564</v>
      </c>
      <c r="C754" s="1288">
        <v>0.15443040093827529</v>
      </c>
      <c r="D754" s="1288">
        <v>0.21071572849151207</v>
      </c>
      <c r="E754" s="1306">
        <v>1.9842316953550403</v>
      </c>
      <c r="F754" s="1303">
        <v>5.4029403988315905E-2</v>
      </c>
      <c r="G754" s="1288">
        <v>5.3526902477510158E-2</v>
      </c>
      <c r="H754" s="1280">
        <v>0.50653767270996741</v>
      </c>
      <c r="I754" s="1303">
        <v>6.8231090141857423E-2</v>
      </c>
      <c r="J754" s="1288">
        <v>9.0476064087563993E-2</v>
      </c>
      <c r="K754" s="1280">
        <v>0.85619628294628569</v>
      </c>
      <c r="L754" s="1330">
        <v>0.19234530267593883</v>
      </c>
    </row>
    <row r="755" spans="1:12" s="326" customFormat="1" ht="15.5" x14ac:dyDescent="0.35">
      <c r="A755" s="328" t="s">
        <v>1719</v>
      </c>
      <c r="B755" s="1287">
        <v>0.13536309712128433</v>
      </c>
      <c r="C755" s="1288">
        <v>0.13787874016026216</v>
      </c>
      <c r="D755" s="1288">
        <v>0.22634846188296254</v>
      </c>
      <c r="E755" s="1306">
        <v>1.7652062344335067</v>
      </c>
      <c r="F755" s="1303">
        <v>5.6933497354252953E-2</v>
      </c>
      <c r="G755" s="1288">
        <v>5.1608512361359417E-2</v>
      </c>
      <c r="H755" s="1280">
        <v>0.48838349565492328</v>
      </c>
      <c r="I755" s="1303">
        <v>6.8292772250445152E-2</v>
      </c>
      <c r="J755" s="1288">
        <v>8.9579203939375074E-2</v>
      </c>
      <c r="K755" s="1280">
        <v>0.84770908433805681</v>
      </c>
      <c r="L755" s="1330">
        <v>0.19155323235214028</v>
      </c>
    </row>
    <row r="756" spans="1:12" s="326" customFormat="1" ht="15.5" x14ac:dyDescent="0.35">
      <c r="A756" s="328" t="s">
        <v>1720</v>
      </c>
      <c r="B756" s="1287">
        <v>0.11513818146748253</v>
      </c>
      <c r="C756" s="1288">
        <v>0.1745459012340444</v>
      </c>
      <c r="D756" s="1288">
        <v>0.24734830237107383</v>
      </c>
      <c r="E756" s="1280">
        <v>0.8601461812184652</v>
      </c>
      <c r="F756" s="1303">
        <v>5.3812684480325709E-2</v>
      </c>
      <c r="G756" s="1288">
        <v>5.1545943213717943E-2</v>
      </c>
      <c r="H756" s="1280">
        <v>0.48779138908863962</v>
      </c>
      <c r="I756" s="1303">
        <v>6.4893798214007162E-2</v>
      </c>
      <c r="J756" s="1288">
        <v>8.6976566538386285E-2</v>
      </c>
      <c r="K756" s="1280">
        <v>0.82307971422722903</v>
      </c>
      <c r="L756" s="1330">
        <v>0.19084036906105817</v>
      </c>
    </row>
    <row r="757" spans="1:12" s="326" customFormat="1" ht="15.5" x14ac:dyDescent="0.35">
      <c r="A757" s="328" t="s">
        <v>1721</v>
      </c>
      <c r="B757" s="1287">
        <v>9.1986322797714654E-2</v>
      </c>
      <c r="C757" s="1288">
        <v>0.16118713020961814</v>
      </c>
      <c r="D757" s="1288">
        <v>0.25028527364963576</v>
      </c>
      <c r="E757" s="1280">
        <v>0.68718893481159382</v>
      </c>
      <c r="F757" s="1303">
        <v>5.2313283992777584E-2</v>
      </c>
      <c r="G757" s="1288">
        <v>4.9032150259737832E-2</v>
      </c>
      <c r="H757" s="1280">
        <v>0.46400277488443076</v>
      </c>
      <c r="I757" s="1303">
        <v>6.3262582917539861E-2</v>
      </c>
      <c r="J757" s="1288">
        <v>8.4770546973790287E-2</v>
      </c>
      <c r="K757" s="1280">
        <v>0.80220363202403011</v>
      </c>
      <c r="L757" s="1330">
        <v>0.17259482854896729</v>
      </c>
    </row>
    <row r="758" spans="1:12" s="326" customFormat="1" ht="15.5" x14ac:dyDescent="0.35">
      <c r="A758" s="328" t="s">
        <v>1722</v>
      </c>
      <c r="B758" s="1287">
        <v>9.717765195279085E-2</v>
      </c>
      <c r="C758" s="1288">
        <v>0.18946270953142974</v>
      </c>
      <c r="D758" s="1288">
        <v>0.28443666558076497</v>
      </c>
      <c r="E758" s="1280">
        <v>0.72597104767176579</v>
      </c>
      <c r="F758" s="1303">
        <v>5.0952802839868708E-2</v>
      </c>
      <c r="G758" s="1288">
        <v>4.7310998096360295E-2</v>
      </c>
      <c r="H758" s="1280">
        <v>0.44771510698540951</v>
      </c>
      <c r="I758" s="1303">
        <v>6.1695546759481627E-2</v>
      </c>
      <c r="J758" s="1288">
        <v>8.2650167013918224E-2</v>
      </c>
      <c r="K758" s="1280">
        <v>0.78213797755082914</v>
      </c>
      <c r="L758" s="1330">
        <v>0.17259482854911665</v>
      </c>
    </row>
    <row r="759" spans="1:12" s="326" customFormat="1" ht="15.5" x14ac:dyDescent="0.35">
      <c r="A759" s="328" t="s">
        <v>1723</v>
      </c>
      <c r="B759" s="1287">
        <v>0.10547091085881821</v>
      </c>
      <c r="C759" s="1288">
        <v>0.18168493155394505</v>
      </c>
      <c r="D759" s="1288">
        <v>0.22486448781516849</v>
      </c>
      <c r="E759" s="1280">
        <v>0.78792629906584921</v>
      </c>
      <c r="F759" s="1303">
        <v>4.9581099083151239E-2</v>
      </c>
      <c r="G759" s="1288">
        <v>4.5672886681892448E-2</v>
      </c>
      <c r="H759" s="1280">
        <v>0.43221327323232051</v>
      </c>
      <c r="I759" s="1303">
        <v>6.012767447645042E-2</v>
      </c>
      <c r="J759" s="1288">
        <v>8.0532466275231376E-2</v>
      </c>
      <c r="K759" s="1280">
        <v>0.76209767717810883</v>
      </c>
      <c r="L759" s="1330">
        <v>0.17259482854914718</v>
      </c>
    </row>
    <row r="760" spans="1:12" s="326" customFormat="1" ht="15.5" x14ac:dyDescent="0.35">
      <c r="A760" s="328" t="s">
        <v>1724</v>
      </c>
      <c r="B760" s="1287">
        <v>0.10357212096044235</v>
      </c>
      <c r="C760" s="1288">
        <v>0.13638385745912779</v>
      </c>
      <c r="D760" s="1288">
        <v>0.21864900678390506</v>
      </c>
      <c r="E760" s="1306">
        <v>1.8982986074045254</v>
      </c>
      <c r="F760" s="1303">
        <v>4.9300980210330803E-2</v>
      </c>
      <c r="G760" s="1288">
        <v>4.4130027461759702E-2</v>
      </c>
      <c r="H760" s="1306">
        <v>0.41906340808402059</v>
      </c>
      <c r="I760" s="1303">
        <v>6.0114988723592153E-2</v>
      </c>
      <c r="J760" s="1288">
        <v>8.0492169742007486E-2</v>
      </c>
      <c r="K760" s="1306">
        <v>0.59876797340722965</v>
      </c>
      <c r="L760" s="1330">
        <v>0.1595334637909723</v>
      </c>
    </row>
    <row r="761" spans="1:12" s="326" customFormat="1" ht="15.5" x14ac:dyDescent="0.35">
      <c r="A761" s="328" t="s">
        <v>1725</v>
      </c>
      <c r="B761" s="1287">
        <v>0.11379153722627063</v>
      </c>
      <c r="C761" s="1288">
        <v>0.13934516316054443</v>
      </c>
      <c r="D761" s="1288">
        <v>0.21275325011693216</v>
      </c>
      <c r="E761" s="1306">
        <v>1.9530567921595361</v>
      </c>
      <c r="F761" s="1303">
        <v>4.9076102528340056E-2</v>
      </c>
      <c r="G761" s="1288">
        <v>4.2659353797011454E-2</v>
      </c>
      <c r="H761" s="1306">
        <v>0.42686606762492796</v>
      </c>
      <c r="I761" s="1303">
        <v>6.0099780281165506E-2</v>
      </c>
      <c r="J761" s="1288">
        <v>8.0451243131049108E-2</v>
      </c>
      <c r="K761" s="1306">
        <v>0.59891547983187488</v>
      </c>
      <c r="L761" s="1330">
        <v>0.15953346379087757</v>
      </c>
    </row>
    <row r="762" spans="1:12" s="326" customFormat="1" ht="15.5" x14ac:dyDescent="0.35">
      <c r="A762" s="328" t="s">
        <v>1726</v>
      </c>
      <c r="B762" s="1287">
        <v>0.10844615133208127</v>
      </c>
      <c r="C762" s="1288">
        <v>0.14998623145586676</v>
      </c>
      <c r="D762" s="1288">
        <v>0.18774086077869065</v>
      </c>
      <c r="E762" s="1306">
        <v>1.9037842950700132</v>
      </c>
      <c r="F762" s="1303">
        <v>4.8924417960981834E-2</v>
      </c>
      <c r="G762" s="1288">
        <v>4.2165953606753855E-2</v>
      </c>
      <c r="H762" s="1306">
        <v>0.44145502614813042</v>
      </c>
      <c r="I762" s="1303">
        <v>6.0081806165095508E-2</v>
      </c>
      <c r="J762" s="1288">
        <v>8.0406374699552308E-2</v>
      </c>
      <c r="K762" s="1306">
        <v>0.59906393755384768</v>
      </c>
      <c r="L762" s="1330">
        <v>0.15953346379089531</v>
      </c>
    </row>
    <row r="763" spans="1:12" s="326" customFormat="1" ht="15.5" x14ac:dyDescent="0.35">
      <c r="A763" s="328" t="s">
        <v>1727</v>
      </c>
      <c r="B763" s="1287">
        <v>0.11619329120069655</v>
      </c>
      <c r="C763" s="1288">
        <v>9.792461806232701E-2</v>
      </c>
      <c r="D763" s="1288">
        <v>0.22208901115410487</v>
      </c>
      <c r="E763" s="1306">
        <v>1.9140961818384885</v>
      </c>
      <c r="F763" s="1303">
        <v>4.8762045914987805E-2</v>
      </c>
      <c r="G763" s="1288">
        <v>4.1953061271460326E-2</v>
      </c>
      <c r="H763" s="1306">
        <v>0.45627604142217559</v>
      </c>
      <c r="I763" s="1303">
        <v>6.0059543321411252E-2</v>
      </c>
      <c r="J763" s="1288">
        <v>8.0343779934946166E-2</v>
      </c>
      <c r="K763" s="1306">
        <v>0.59916598459840908</v>
      </c>
      <c r="L763" s="1330">
        <v>0.15378780473490294</v>
      </c>
    </row>
    <row r="764" spans="1:12" s="326" customFormat="1" ht="15.5" x14ac:dyDescent="0.35">
      <c r="A764" s="328" t="s">
        <v>1728</v>
      </c>
      <c r="B764" s="1287">
        <v>0.11349115391980198</v>
      </c>
      <c r="C764" s="1288">
        <v>0.14639818696998805</v>
      </c>
      <c r="D764" s="1288">
        <v>0.22152996716283704</v>
      </c>
      <c r="E764" s="1306">
        <v>1.9033773886938594</v>
      </c>
      <c r="F764" s="1303">
        <v>4.8238965024182075E-2</v>
      </c>
      <c r="G764" s="1288">
        <v>4.1367986195440444E-2</v>
      </c>
      <c r="H764" s="1306">
        <v>0.45924042164798901</v>
      </c>
      <c r="I764" s="1303">
        <v>6.002724130717927E-2</v>
      </c>
      <c r="J764" s="1288">
        <v>8.0227285480048829E-2</v>
      </c>
      <c r="K764" s="1306">
        <v>0.59891406433216465</v>
      </c>
      <c r="L764" s="1330">
        <v>0.15378845904922819</v>
      </c>
    </row>
    <row r="765" spans="1:12" s="326" customFormat="1" ht="15.5" x14ac:dyDescent="0.35">
      <c r="A765" s="328" t="s">
        <v>1729</v>
      </c>
      <c r="B765" s="1291">
        <v>0.11349115391980198</v>
      </c>
      <c r="C765" s="1257">
        <v>0.14639818696998805</v>
      </c>
      <c r="D765" s="1257">
        <v>0.22152996716283704</v>
      </c>
      <c r="E765" s="1280">
        <v>1.9033773886938594</v>
      </c>
      <c r="F765" s="1271">
        <v>4.8238965024182075E-2</v>
      </c>
      <c r="G765" s="1257">
        <v>4.1367986195440444E-2</v>
      </c>
      <c r="H765" s="1280">
        <v>0.45924042164798901</v>
      </c>
      <c r="I765" s="1271">
        <v>6.002724130717927E-2</v>
      </c>
      <c r="J765" s="1257">
        <v>8.0227285480048829E-2</v>
      </c>
      <c r="K765" s="1280">
        <v>0.59891406433216465</v>
      </c>
      <c r="L765" s="1330">
        <v>0.16102287757517883</v>
      </c>
    </row>
    <row r="766" spans="1:12" s="326" customFormat="1" ht="15.5" x14ac:dyDescent="0.35">
      <c r="A766" s="328" t="s">
        <v>1730</v>
      </c>
      <c r="B766" s="1291">
        <v>0.13594925503946328</v>
      </c>
      <c r="C766" s="1257">
        <v>0.25036206666011229</v>
      </c>
      <c r="D766" s="1257">
        <v>0.15105472782162588</v>
      </c>
      <c r="E766" s="1280">
        <v>1.0156164625087016</v>
      </c>
      <c r="F766" s="1271">
        <v>5.5827461403312718E-2</v>
      </c>
      <c r="G766" s="1257">
        <v>0.10572453405524482</v>
      </c>
      <c r="H766" s="1280">
        <v>1.0004961421257359</v>
      </c>
      <c r="I766" s="1271">
        <v>6.473438336860772E-2</v>
      </c>
      <c r="J766" s="1257">
        <v>0.14328610270208886</v>
      </c>
      <c r="K766" s="1280">
        <v>1.355950104246973</v>
      </c>
      <c r="L766" s="1237">
        <v>0.17425665217482347</v>
      </c>
    </row>
    <row r="767" spans="1:12" s="326" customFormat="1" ht="15.5" x14ac:dyDescent="0.35">
      <c r="A767" s="328" t="s">
        <v>1731</v>
      </c>
      <c r="B767" s="1291">
        <v>0.13594925503946328</v>
      </c>
      <c r="C767" s="1257">
        <v>0.25036206666011229</v>
      </c>
      <c r="D767" s="1257">
        <v>0.15105472782162588</v>
      </c>
      <c r="E767" s="1280">
        <v>1.0156164625087016</v>
      </c>
      <c r="F767" s="1271">
        <v>5.5827461403312718E-2</v>
      </c>
      <c r="G767" s="1257">
        <v>0.10572453405524482</v>
      </c>
      <c r="H767" s="1280">
        <v>1.0004961421257359</v>
      </c>
      <c r="I767" s="1271">
        <v>6.473438336860772E-2</v>
      </c>
      <c r="J767" s="1257">
        <v>0.14328610270208886</v>
      </c>
      <c r="K767" s="1280">
        <v>1.355950104246973</v>
      </c>
      <c r="L767" s="1237">
        <v>0.17425665217482347</v>
      </c>
    </row>
    <row r="768" spans="1:12" s="326" customFormat="1" ht="15.5" x14ac:dyDescent="0.35">
      <c r="A768" s="328" t="s">
        <v>1732</v>
      </c>
      <c r="B768" s="1291">
        <v>0.13594925503946328</v>
      </c>
      <c r="C768" s="1257">
        <v>0.25036206666011229</v>
      </c>
      <c r="D768" s="1257">
        <v>0.15105472782162588</v>
      </c>
      <c r="E768" s="1280">
        <v>1.0156164625087016</v>
      </c>
      <c r="F768" s="1271">
        <v>5.5827461403312718E-2</v>
      </c>
      <c r="G768" s="1257">
        <v>0.10572453405524482</v>
      </c>
      <c r="H768" s="1280">
        <v>1.0004961421257359</v>
      </c>
      <c r="I768" s="1271">
        <v>6.473438336860772E-2</v>
      </c>
      <c r="J768" s="1257">
        <v>0.14328610270208886</v>
      </c>
      <c r="K768" s="1280">
        <v>1.355950104246973</v>
      </c>
      <c r="L768" s="1237">
        <v>0.17425665217482347</v>
      </c>
    </row>
    <row r="769" spans="1:12" s="326" customFormat="1" ht="15.5" x14ac:dyDescent="0.35">
      <c r="A769" s="328" t="s">
        <v>1733</v>
      </c>
      <c r="B769" s="1291">
        <v>0.13594925503946328</v>
      </c>
      <c r="C769" s="1257">
        <v>0.25036206666011229</v>
      </c>
      <c r="D769" s="1257">
        <v>0.15105472782162588</v>
      </c>
      <c r="E769" s="1280">
        <v>1.0156164625087016</v>
      </c>
      <c r="F769" s="1271">
        <v>5.5827461403312718E-2</v>
      </c>
      <c r="G769" s="1257">
        <v>0.10572453405524482</v>
      </c>
      <c r="H769" s="1280">
        <v>1.0004961421257359</v>
      </c>
      <c r="I769" s="1271">
        <v>6.473438336860772E-2</v>
      </c>
      <c r="J769" s="1257">
        <v>0.14328610270208886</v>
      </c>
      <c r="K769" s="1280">
        <v>1.355950104246973</v>
      </c>
      <c r="L769" s="1237">
        <v>0.17425665217482347</v>
      </c>
    </row>
    <row r="770" spans="1:12" s="326" customFormat="1" ht="15.5" x14ac:dyDescent="0.35">
      <c r="A770" s="328" t="s">
        <v>1734</v>
      </c>
      <c r="B770" s="1291">
        <v>0.13594925503946328</v>
      </c>
      <c r="C770" s="1257">
        <v>0.25036206666011229</v>
      </c>
      <c r="D770" s="1257">
        <v>0.15105472782162588</v>
      </c>
      <c r="E770" s="1280">
        <v>1.0156164625087016</v>
      </c>
      <c r="F770" s="1271">
        <v>5.5827461403312718E-2</v>
      </c>
      <c r="G770" s="1257">
        <v>0.10572453405524482</v>
      </c>
      <c r="H770" s="1280">
        <v>1.0004961421257359</v>
      </c>
      <c r="I770" s="1271">
        <v>6.473438336860772E-2</v>
      </c>
      <c r="J770" s="1257">
        <v>0.14328610270208886</v>
      </c>
      <c r="K770" s="1280">
        <v>1.355950104246973</v>
      </c>
      <c r="L770" s="1237">
        <v>0.17425665217482347</v>
      </c>
    </row>
    <row r="771" spans="1:12" s="326" customFormat="1" ht="15.5" x14ac:dyDescent="0.35">
      <c r="A771" s="328" t="s">
        <v>1735</v>
      </c>
      <c r="B771" s="1291">
        <v>0.13594925503946328</v>
      </c>
      <c r="C771" s="1257">
        <v>0.25036206666011229</v>
      </c>
      <c r="D771" s="1257">
        <v>0.15105472782162588</v>
      </c>
      <c r="E771" s="1280">
        <v>1.0156164625087016</v>
      </c>
      <c r="F771" s="1271">
        <v>5.5827461403312718E-2</v>
      </c>
      <c r="G771" s="1257">
        <v>0.10572453405524482</v>
      </c>
      <c r="H771" s="1280">
        <v>1.0004961421257359</v>
      </c>
      <c r="I771" s="1271">
        <v>6.473438336860772E-2</v>
      </c>
      <c r="J771" s="1257">
        <v>0.14328610270208886</v>
      </c>
      <c r="K771" s="1280">
        <v>1.355950104246973</v>
      </c>
      <c r="L771" s="1237">
        <v>0.17425665217482347</v>
      </c>
    </row>
    <row r="772" spans="1:12" s="326" customFormat="1" ht="15.5" x14ac:dyDescent="0.35">
      <c r="A772" s="328" t="s">
        <v>1736</v>
      </c>
      <c r="B772" s="1291">
        <v>0.13594925503946328</v>
      </c>
      <c r="C772" s="1257">
        <v>0.25036206666011229</v>
      </c>
      <c r="D772" s="1257">
        <v>0.15105472782162588</v>
      </c>
      <c r="E772" s="1280">
        <v>1.0156164625087016</v>
      </c>
      <c r="F772" s="1271">
        <v>5.5827461403312718E-2</v>
      </c>
      <c r="G772" s="1257">
        <v>0.10572453405524482</v>
      </c>
      <c r="H772" s="1280">
        <v>1.0004961421257359</v>
      </c>
      <c r="I772" s="1271">
        <v>6.473438336860772E-2</v>
      </c>
      <c r="J772" s="1257">
        <v>0.14328610270208886</v>
      </c>
      <c r="K772" s="1280">
        <v>1.355950104246973</v>
      </c>
      <c r="L772" s="1237">
        <v>0.17425665217482347</v>
      </c>
    </row>
    <row r="773" spans="1:12" s="326" customFormat="1" ht="15.5" x14ac:dyDescent="0.35">
      <c r="A773" s="328" t="s">
        <v>1737</v>
      </c>
      <c r="B773" s="1291">
        <v>0.13594925503946328</v>
      </c>
      <c r="C773" s="1257">
        <v>0.25036206666011229</v>
      </c>
      <c r="D773" s="1257">
        <v>0.15105472782162588</v>
      </c>
      <c r="E773" s="1280">
        <v>1.0156164625087016</v>
      </c>
      <c r="F773" s="1271">
        <v>5.5827461403312718E-2</v>
      </c>
      <c r="G773" s="1257">
        <v>0.10572453405524482</v>
      </c>
      <c r="H773" s="1280">
        <v>1.0004961421257359</v>
      </c>
      <c r="I773" s="1271">
        <v>6.473438336860772E-2</v>
      </c>
      <c r="J773" s="1257">
        <v>0.14328610270208886</v>
      </c>
      <c r="K773" s="1280">
        <v>1.355950104246973</v>
      </c>
      <c r="L773" s="1237">
        <v>0.17425665217482347</v>
      </c>
    </row>
    <row r="774" spans="1:12" s="326" customFormat="1" ht="15.5" x14ac:dyDescent="0.35">
      <c r="A774" s="328" t="s">
        <v>1738</v>
      </c>
      <c r="B774" s="1291">
        <v>0.13594925503946328</v>
      </c>
      <c r="C774" s="1257">
        <v>0.25036206666011229</v>
      </c>
      <c r="D774" s="1257">
        <v>0.15105472782162588</v>
      </c>
      <c r="E774" s="1280">
        <v>1.0156164625087016</v>
      </c>
      <c r="F774" s="1271">
        <v>5.5827461403312718E-2</v>
      </c>
      <c r="G774" s="1257">
        <v>0.10572453405524482</v>
      </c>
      <c r="H774" s="1280">
        <v>1.0004961421257359</v>
      </c>
      <c r="I774" s="1271">
        <v>6.473438336860772E-2</v>
      </c>
      <c r="J774" s="1257">
        <v>0.14328610270208886</v>
      </c>
      <c r="K774" s="1280">
        <v>1.355950104246973</v>
      </c>
      <c r="L774" s="1237">
        <v>0.17425665217482347</v>
      </c>
    </row>
    <row r="775" spans="1:12" s="326" customFormat="1" ht="15.5" x14ac:dyDescent="0.35">
      <c r="A775" s="328" t="s">
        <v>1739</v>
      </c>
      <c r="B775" s="1291">
        <v>0.13594925503946328</v>
      </c>
      <c r="C775" s="1257">
        <v>0.25036206666011229</v>
      </c>
      <c r="D775" s="1257">
        <v>0.15105472782162588</v>
      </c>
      <c r="E775" s="1280">
        <v>1.0156164625087016</v>
      </c>
      <c r="F775" s="1271">
        <v>5.5827461403312718E-2</v>
      </c>
      <c r="G775" s="1257">
        <v>0.10572453405524482</v>
      </c>
      <c r="H775" s="1280">
        <v>1.0004961421257359</v>
      </c>
      <c r="I775" s="1271">
        <v>6.473438336860772E-2</v>
      </c>
      <c r="J775" s="1257">
        <v>0.14328610270208886</v>
      </c>
      <c r="K775" s="1280">
        <v>1.355950104246973</v>
      </c>
      <c r="L775" s="1237">
        <v>0.17425665217482347</v>
      </c>
    </row>
    <row r="776" spans="1:12" s="326" customFormat="1" ht="15.5" x14ac:dyDescent="0.35">
      <c r="A776" s="328" t="s">
        <v>1740</v>
      </c>
      <c r="B776" s="1291">
        <v>0.13594925503946328</v>
      </c>
      <c r="C776" s="1257">
        <v>0.25036206666011229</v>
      </c>
      <c r="D776" s="1257">
        <v>0.15105472782162588</v>
      </c>
      <c r="E776" s="1280">
        <v>1.0156164625087016</v>
      </c>
      <c r="F776" s="1271">
        <v>5.5827461403312718E-2</v>
      </c>
      <c r="G776" s="1257">
        <v>0.10572453405524482</v>
      </c>
      <c r="H776" s="1280">
        <v>1.0004961421257359</v>
      </c>
      <c r="I776" s="1271">
        <v>6.473438336860772E-2</v>
      </c>
      <c r="J776" s="1257">
        <v>0.14328610270208886</v>
      </c>
      <c r="K776" s="1280">
        <v>1.355950104246973</v>
      </c>
      <c r="L776" s="1237">
        <v>0.17425665217482347</v>
      </c>
    </row>
    <row r="777" spans="1:12" s="326" customFormat="1" ht="15.5" x14ac:dyDescent="0.35">
      <c r="A777" s="328" t="s">
        <v>1741</v>
      </c>
      <c r="B777" s="1291">
        <v>0.13594925503946328</v>
      </c>
      <c r="C777" s="1257">
        <v>0.25036206666011229</v>
      </c>
      <c r="D777" s="1257">
        <v>0.15105472782162588</v>
      </c>
      <c r="E777" s="1280">
        <v>1.0156164625087016</v>
      </c>
      <c r="F777" s="1271">
        <v>5.5827461403312718E-2</v>
      </c>
      <c r="G777" s="1257">
        <v>0.10572453405524482</v>
      </c>
      <c r="H777" s="1280">
        <v>1.0004961421257359</v>
      </c>
      <c r="I777" s="1271">
        <v>6.473438336860772E-2</v>
      </c>
      <c r="J777" s="1257">
        <v>0.14328610270208886</v>
      </c>
      <c r="K777" s="1280">
        <v>1.355950104246973</v>
      </c>
      <c r="L777" s="1237">
        <v>0.17425665217482347</v>
      </c>
    </row>
    <row r="778" spans="1:12" s="326" customFormat="1" ht="15.5" x14ac:dyDescent="0.35">
      <c r="A778" s="328" t="s">
        <v>1742</v>
      </c>
      <c r="B778" s="1291">
        <v>0.13594925503946328</v>
      </c>
      <c r="C778" s="1257">
        <v>0.25036206666011229</v>
      </c>
      <c r="D778" s="1257">
        <v>0.15105472782162588</v>
      </c>
      <c r="E778" s="1280">
        <v>1.0156164625087016</v>
      </c>
      <c r="F778" s="1271">
        <v>5.5827461403312718E-2</v>
      </c>
      <c r="G778" s="1257">
        <v>0.10572453405524482</v>
      </c>
      <c r="H778" s="1280">
        <v>1.0004961421257359</v>
      </c>
      <c r="I778" s="1271">
        <v>6.473438336860772E-2</v>
      </c>
      <c r="J778" s="1257">
        <v>0.14328610270208886</v>
      </c>
      <c r="K778" s="1280">
        <v>1.355950104246973</v>
      </c>
      <c r="L778" s="1237">
        <v>0.17425665217482347</v>
      </c>
    </row>
    <row r="779" spans="1:12" s="326" customFormat="1" ht="15.5" x14ac:dyDescent="0.35">
      <c r="A779" s="328" t="s">
        <v>1743</v>
      </c>
      <c r="B779" s="1291">
        <v>0.13594925503946328</v>
      </c>
      <c r="C779" s="1257">
        <v>0.25036206666011229</v>
      </c>
      <c r="D779" s="1257">
        <v>0.15105472782162588</v>
      </c>
      <c r="E779" s="1280">
        <v>1.0156164625087016</v>
      </c>
      <c r="F779" s="1271">
        <v>5.5827461403312718E-2</v>
      </c>
      <c r="G779" s="1257">
        <v>0.10572453405524482</v>
      </c>
      <c r="H779" s="1280">
        <v>1.0004961421257359</v>
      </c>
      <c r="I779" s="1271">
        <v>6.473438336860772E-2</v>
      </c>
      <c r="J779" s="1257">
        <v>0.14328610270208886</v>
      </c>
      <c r="K779" s="1280">
        <v>1.355950104246973</v>
      </c>
      <c r="L779" s="1237">
        <v>0.17425665217482347</v>
      </c>
    </row>
    <row r="780" spans="1:12" s="326" customFormat="1" ht="15.5" x14ac:dyDescent="0.35">
      <c r="A780" s="328" t="s">
        <v>1744</v>
      </c>
      <c r="B780" s="1291">
        <v>0.13594925503946328</v>
      </c>
      <c r="C780" s="1257">
        <v>0.25036206666011229</v>
      </c>
      <c r="D780" s="1257">
        <v>0.15105472782162588</v>
      </c>
      <c r="E780" s="1280">
        <v>1.0156164625087016</v>
      </c>
      <c r="F780" s="1303">
        <v>5.5827461403312718E-2</v>
      </c>
      <c r="G780" s="1288">
        <v>0.10572453405524482</v>
      </c>
      <c r="H780" s="1280">
        <v>1.0004961421257359</v>
      </c>
      <c r="I780" s="1303">
        <v>6.473438336860772E-2</v>
      </c>
      <c r="J780" s="1288">
        <v>0.14328610270208886</v>
      </c>
      <c r="K780" s="1280">
        <v>1.355950104246973</v>
      </c>
      <c r="L780" s="1237">
        <v>0.17425665217482347</v>
      </c>
    </row>
    <row r="781" spans="1:12" s="326" customFormat="1" ht="15.5" x14ac:dyDescent="0.35">
      <c r="A781" s="328" t="s">
        <v>1745</v>
      </c>
      <c r="B781" s="1291">
        <v>0.13594925503946328</v>
      </c>
      <c r="C781" s="1257">
        <v>0.25036206666011229</v>
      </c>
      <c r="D781" s="1257">
        <v>0.15105472782162588</v>
      </c>
      <c r="E781" s="1280">
        <v>1.0156164625087016</v>
      </c>
      <c r="F781" s="1303">
        <v>5.649903979249718E-2</v>
      </c>
      <c r="G781" s="1288">
        <v>0.10081483546237897</v>
      </c>
      <c r="H781" s="1280">
        <v>0.95403450911824805</v>
      </c>
      <c r="I781" s="1303">
        <v>6.3404362032132025E-2</v>
      </c>
      <c r="J781" s="1288">
        <v>0.14200222619841218</v>
      </c>
      <c r="K781" s="1280">
        <v>1.3438004788040916</v>
      </c>
      <c r="L781" s="1237">
        <v>0.17425665217482347</v>
      </c>
    </row>
    <row r="782" spans="1:12" s="326" customFormat="1" ht="15.5" x14ac:dyDescent="0.35">
      <c r="A782" s="328" t="s">
        <v>1746</v>
      </c>
      <c r="B782" s="1291">
        <v>0.13594925503946328</v>
      </c>
      <c r="C782" s="1257">
        <v>0.25036206666011229</v>
      </c>
      <c r="D782" s="1257">
        <v>0.15105472782162588</v>
      </c>
      <c r="E782" s="1280">
        <v>1.0156164625087016</v>
      </c>
      <c r="F782" s="1303">
        <v>5.7262024490555986E-2</v>
      </c>
      <c r="G782" s="1288">
        <v>9.6505483658536423E-2</v>
      </c>
      <c r="H782" s="1280">
        <v>0.91325409903335575</v>
      </c>
      <c r="I782" s="1303">
        <v>6.2967586018173247E-2</v>
      </c>
      <c r="J782" s="1288">
        <v>0.14130253923098809</v>
      </c>
      <c r="K782" s="1280">
        <v>1.3371791763991299</v>
      </c>
      <c r="L782" s="1237">
        <v>0.17425665217482347</v>
      </c>
    </row>
    <row r="783" spans="1:12" s="326" customFormat="1" ht="15.5" x14ac:dyDescent="0.35">
      <c r="A783" s="328" t="s">
        <v>1747</v>
      </c>
      <c r="B783" s="1291">
        <v>0.13594925503946328</v>
      </c>
      <c r="C783" s="1257">
        <v>0.25036206666011229</v>
      </c>
      <c r="D783" s="1257">
        <v>0.15105472782162588</v>
      </c>
      <c r="E783" s="1280">
        <v>1.0156164625087016</v>
      </c>
      <c r="F783" s="1303">
        <v>5.7243512661667259E-2</v>
      </c>
      <c r="G783" s="1288">
        <v>9.2724969522771178E-2</v>
      </c>
      <c r="H783" s="1280">
        <v>0.87747820423387135</v>
      </c>
      <c r="I783" s="1303">
        <v>6.2339295173823507E-2</v>
      </c>
      <c r="J783" s="1288">
        <v>0.13346005255891838</v>
      </c>
      <c r="K783" s="1280">
        <v>1.2629638797303526</v>
      </c>
      <c r="L783" s="1237">
        <v>0.17425665217482347</v>
      </c>
    </row>
    <row r="784" spans="1:12" s="326" customFormat="1" ht="15.5" x14ac:dyDescent="0.35">
      <c r="A784" s="328" t="s">
        <v>1748</v>
      </c>
      <c r="B784" s="1291">
        <v>0.13594925503946328</v>
      </c>
      <c r="C784" s="1257">
        <v>0.25036206666011229</v>
      </c>
      <c r="D784" s="1257">
        <v>0.15105472782162588</v>
      </c>
      <c r="E784" s="1280">
        <v>1.0156164625087016</v>
      </c>
      <c r="F784" s="1303">
        <v>5.7192374533207427E-2</v>
      </c>
      <c r="G784" s="1288">
        <v>9.0588308786272359E-2</v>
      </c>
      <c r="H784" s="1280">
        <v>0.85725848094068036</v>
      </c>
      <c r="I784" s="1303">
        <v>6.2468222076062951E-2</v>
      </c>
      <c r="J784" s="1288">
        <v>0.13191121549373586</v>
      </c>
      <c r="K784" s="1280">
        <v>1.2483068701502797</v>
      </c>
      <c r="L784" s="1237">
        <v>0.17425665217482347</v>
      </c>
    </row>
    <row r="785" spans="1:12" s="326" customFormat="1" ht="15.5" x14ac:dyDescent="0.35">
      <c r="A785" s="328" t="s">
        <v>1749</v>
      </c>
      <c r="B785" s="1291">
        <v>0.13594925503946328</v>
      </c>
      <c r="C785" s="1257">
        <v>0.25036206666011229</v>
      </c>
      <c r="D785" s="1257">
        <v>0.15105472782162588</v>
      </c>
      <c r="E785" s="1280">
        <v>1.0156164625087016</v>
      </c>
      <c r="F785" s="1303">
        <v>5.7619387471790441E-2</v>
      </c>
      <c r="G785" s="1288">
        <v>8.9689831708410495E-2</v>
      </c>
      <c r="H785" s="1280">
        <v>0.84875598094650218</v>
      </c>
      <c r="I785" s="1303">
        <v>6.2537072819923614E-2</v>
      </c>
      <c r="J785" s="1288">
        <v>0.13395960373301238</v>
      </c>
      <c r="K785" s="1280">
        <v>1.267691250032257</v>
      </c>
      <c r="L785" s="1237">
        <v>0.17425665217482347</v>
      </c>
    </row>
    <row r="786" spans="1:12" s="326" customFormat="1" ht="15.5" x14ac:dyDescent="0.35">
      <c r="A786" s="328" t="s">
        <v>1750</v>
      </c>
      <c r="B786" s="1291">
        <v>0.13594925503946328</v>
      </c>
      <c r="C786" s="1257">
        <v>0.25036206666011229</v>
      </c>
      <c r="D786" s="1257">
        <v>0.15105472782162588</v>
      </c>
      <c r="E786" s="1280">
        <v>1.0156164625087016</v>
      </c>
      <c r="F786" s="1303">
        <v>5.7671731865703797E-2</v>
      </c>
      <c r="G786" s="1288">
        <v>8.7918337092489751E-2</v>
      </c>
      <c r="H786" s="1280">
        <v>0.83199191057378163</v>
      </c>
      <c r="I786" s="1303">
        <v>6.3509799770420095E-2</v>
      </c>
      <c r="J786" s="1288">
        <v>0.13277595383418631</v>
      </c>
      <c r="K786" s="1280">
        <v>1.2564900925338072</v>
      </c>
      <c r="L786" s="1237">
        <v>0.17425665217482347</v>
      </c>
    </row>
    <row r="787" spans="1:12" s="326" customFormat="1" ht="15.5" x14ac:dyDescent="0.35">
      <c r="A787" s="328" t="s">
        <v>1751</v>
      </c>
      <c r="B787" s="1291">
        <v>0.13594925503946328</v>
      </c>
      <c r="C787" s="1257">
        <v>0.25036206666011229</v>
      </c>
      <c r="D787" s="1257">
        <v>0.15105472782162588</v>
      </c>
      <c r="E787" s="1280">
        <v>1.0156164625087016</v>
      </c>
      <c r="F787" s="1303">
        <v>5.7584324171422792E-2</v>
      </c>
      <c r="G787" s="1288">
        <v>8.3881897484181372E-2</v>
      </c>
      <c r="H787" s="1280">
        <v>0.79379413280986344</v>
      </c>
      <c r="I787" s="1303">
        <v>6.357585545275786E-2</v>
      </c>
      <c r="J787" s="1288">
        <v>0.13322383312802316</v>
      </c>
      <c r="K787" s="1280">
        <v>1.2607284796747487</v>
      </c>
      <c r="L787" s="1237">
        <v>0.17425665217482347</v>
      </c>
    </row>
    <row r="788" spans="1:12" s="326" customFormat="1" ht="15.5" x14ac:dyDescent="0.35">
      <c r="A788" s="328" t="s">
        <v>1752</v>
      </c>
      <c r="B788" s="1291">
        <v>0.13594925503946328</v>
      </c>
      <c r="C788" s="1257">
        <v>0.25036206666011229</v>
      </c>
      <c r="D788" s="1257">
        <v>0.15105472782162588</v>
      </c>
      <c r="E788" s="1280">
        <v>1.0156164625087016</v>
      </c>
      <c r="F788" s="1303">
        <v>5.7847795360641843E-2</v>
      </c>
      <c r="G788" s="1288">
        <v>7.9242735524101146E-2</v>
      </c>
      <c r="H788" s="1280">
        <v>0.74989265161410423</v>
      </c>
      <c r="I788" s="1303">
        <v>6.3766042399836131E-2</v>
      </c>
      <c r="J788" s="1288">
        <v>0.13242120002032245</v>
      </c>
      <c r="K788" s="1280">
        <v>1.2531329737217278</v>
      </c>
      <c r="L788" s="1237">
        <v>0.17425665217482347</v>
      </c>
    </row>
    <row r="789" spans="1:12" s="326" customFormat="1" ht="15.5" x14ac:dyDescent="0.35">
      <c r="A789" s="328" t="s">
        <v>1753</v>
      </c>
      <c r="B789" s="1291">
        <v>0.13594925503946328</v>
      </c>
      <c r="C789" s="1257">
        <v>0.25036206666011229</v>
      </c>
      <c r="D789" s="1257">
        <v>0.15105472782162588</v>
      </c>
      <c r="E789" s="1280">
        <v>1.0156164625087016</v>
      </c>
      <c r="F789" s="1303">
        <v>5.6977949053038802E-2</v>
      </c>
      <c r="G789" s="1288">
        <v>7.2262965657993422E-2</v>
      </c>
      <c r="H789" s="1280">
        <v>0.68384144707233474</v>
      </c>
      <c r="I789" s="1303">
        <v>6.3284977947006701E-2</v>
      </c>
      <c r="J789" s="1288">
        <v>0.13206969522449857</v>
      </c>
      <c r="K789" s="1280">
        <v>1.2498066011318356</v>
      </c>
      <c r="L789" s="1237">
        <v>0.17425665217482347</v>
      </c>
    </row>
    <row r="790" spans="1:12" s="326" customFormat="1" ht="15.5" x14ac:dyDescent="0.35">
      <c r="A790" s="328" t="s">
        <v>1754</v>
      </c>
      <c r="B790" s="1291">
        <v>0.13594925503946328</v>
      </c>
      <c r="C790" s="1257">
        <v>0.25036206666011229</v>
      </c>
      <c r="D790" s="1257">
        <v>0.15105472782162588</v>
      </c>
      <c r="E790" s="1280">
        <v>1.0156164625087016</v>
      </c>
      <c r="F790" s="1303">
        <v>5.7384796803740167E-2</v>
      </c>
      <c r="G790" s="1288">
        <v>7.6861350906175421E-2</v>
      </c>
      <c r="H790" s="1280">
        <v>0.72735704864888062</v>
      </c>
      <c r="I790" s="1303">
        <v>6.3492951300561234E-2</v>
      </c>
      <c r="J790" s="1288">
        <v>0.13153174771512569</v>
      </c>
      <c r="K790" s="1280">
        <v>1.2447158772747557</v>
      </c>
      <c r="L790" s="1237">
        <v>0.17425665217482347</v>
      </c>
    </row>
    <row r="791" spans="1:12" s="326" customFormat="1" ht="15.5" x14ac:dyDescent="0.35">
      <c r="A791" s="328" t="s">
        <v>1755</v>
      </c>
      <c r="B791" s="1291">
        <v>0.13594925503946328</v>
      </c>
      <c r="C791" s="1257">
        <v>0.25036206666011229</v>
      </c>
      <c r="D791" s="1257">
        <v>0.15105472782162588</v>
      </c>
      <c r="E791" s="1280">
        <v>1.0156164625087016</v>
      </c>
      <c r="F791" s="1303">
        <v>5.7564981676730805E-2</v>
      </c>
      <c r="G791" s="1288">
        <v>7.4925286505719918E-2</v>
      </c>
      <c r="H791" s="1280">
        <v>0.70903561568280549</v>
      </c>
      <c r="I791" s="1303">
        <v>6.3649665415690337E-2</v>
      </c>
      <c r="J791" s="1288">
        <v>0.13049298152519725</v>
      </c>
      <c r="K791" s="1280">
        <v>1.2348857884038886</v>
      </c>
      <c r="L791" s="1237">
        <v>0.17425665217482347</v>
      </c>
    </row>
    <row r="792" spans="1:12" s="326" customFormat="1" ht="15.5" x14ac:dyDescent="0.35">
      <c r="A792" s="328" t="s">
        <v>1756</v>
      </c>
      <c r="B792" s="1291">
        <v>0.13594925503946328</v>
      </c>
      <c r="C792" s="1257">
        <v>0.25036206666011229</v>
      </c>
      <c r="D792" s="1257">
        <v>0.15105472782162588</v>
      </c>
      <c r="E792" s="1280">
        <v>1.0156164625087016</v>
      </c>
      <c r="F792" s="1303">
        <v>5.7686306468169746E-2</v>
      </c>
      <c r="G792" s="1288">
        <v>7.4486974585494137E-2</v>
      </c>
      <c r="H792" s="1280">
        <v>0.70488776684949239</v>
      </c>
      <c r="I792" s="1303">
        <v>6.3850147615434907E-2</v>
      </c>
      <c r="J792" s="1288">
        <v>0.12871551980149554</v>
      </c>
      <c r="K792" s="1280">
        <v>1.2180652498862115</v>
      </c>
      <c r="L792" s="1237">
        <v>0.17425665217482347</v>
      </c>
    </row>
    <row r="793" spans="1:12" s="326" customFormat="1" ht="15.5" x14ac:dyDescent="0.35">
      <c r="A793" s="328" t="s">
        <v>1757</v>
      </c>
      <c r="B793" s="1291">
        <v>0.13594925503946328</v>
      </c>
      <c r="C793" s="1257">
        <v>0.25036206666011229</v>
      </c>
      <c r="D793" s="1257">
        <v>0.15105472782162588</v>
      </c>
      <c r="E793" s="1280">
        <v>1.0156164625087016</v>
      </c>
      <c r="F793" s="1303">
        <v>5.7618688909451293E-2</v>
      </c>
      <c r="G793" s="1288">
        <v>7.0496413354622076E-2</v>
      </c>
      <c r="H793" s="1280">
        <v>0.66712414696616629</v>
      </c>
      <c r="I793" s="1303">
        <v>6.3975605814533737E-2</v>
      </c>
      <c r="J793" s="1288">
        <v>0.12930549121402615</v>
      </c>
      <c r="K793" s="1280">
        <v>1.2236482881797917</v>
      </c>
      <c r="L793" s="1237">
        <v>0.17425665217482347</v>
      </c>
    </row>
    <row r="794" spans="1:12" s="326" customFormat="1" ht="15.5" x14ac:dyDescent="0.35">
      <c r="A794" s="328" t="s">
        <v>1758</v>
      </c>
      <c r="B794" s="1291">
        <v>0.13594925503946328</v>
      </c>
      <c r="C794" s="1257">
        <v>0.25036206666011229</v>
      </c>
      <c r="D794" s="1257">
        <v>0.15105472782162588</v>
      </c>
      <c r="E794" s="1280">
        <v>1.0156164625087016</v>
      </c>
      <c r="F794" s="1303">
        <v>5.7627260194299722E-2</v>
      </c>
      <c r="G794" s="1288">
        <v>6.9674943617405546E-2</v>
      </c>
      <c r="H794" s="1280">
        <v>0.65935038555588921</v>
      </c>
      <c r="I794" s="1303">
        <v>6.372544666394625E-2</v>
      </c>
      <c r="J794" s="1288">
        <v>0.12926593747249021</v>
      </c>
      <c r="K794" s="1280">
        <v>1.2232739818168743</v>
      </c>
      <c r="L794" s="1237">
        <v>0.17425665217482347</v>
      </c>
    </row>
    <row r="795" spans="1:12" s="326" customFormat="1" ht="15.5" x14ac:dyDescent="0.35">
      <c r="A795" s="328" t="s">
        <v>1759</v>
      </c>
      <c r="B795" s="1291">
        <v>0.13594925503946328</v>
      </c>
      <c r="C795" s="1257">
        <v>0.25036206666011229</v>
      </c>
      <c r="D795" s="1257">
        <v>0.15105472782162588</v>
      </c>
      <c r="E795" s="1280">
        <v>1.0156164625087016</v>
      </c>
      <c r="F795" s="1303">
        <v>5.745649013390413E-2</v>
      </c>
      <c r="G795" s="1288">
        <v>7.5455442335986431E-2</v>
      </c>
      <c r="H795" s="1280">
        <v>0.71405260504716572</v>
      </c>
      <c r="I795" s="1303">
        <v>6.326379592470549E-2</v>
      </c>
      <c r="J795" s="1288">
        <v>0.1298758973038073</v>
      </c>
      <c r="K795" s="1280">
        <v>1.2290461752205881</v>
      </c>
      <c r="L795" s="1237">
        <v>0.17425665217482347</v>
      </c>
    </row>
    <row r="796" spans="1:12" s="326" customFormat="1" ht="15.5" x14ac:dyDescent="0.35">
      <c r="A796" s="328" t="s">
        <v>1760</v>
      </c>
      <c r="B796" s="1291">
        <v>0.13594925503946328</v>
      </c>
      <c r="C796" s="1257">
        <v>0.25036206666011229</v>
      </c>
      <c r="D796" s="1257">
        <v>0.15105472782162588</v>
      </c>
      <c r="E796" s="1280">
        <v>1.0156164625087016</v>
      </c>
      <c r="F796" s="1303">
        <v>5.7592278649451829E-2</v>
      </c>
      <c r="G796" s="1288">
        <v>7.392788818782417E-2</v>
      </c>
      <c r="H796" s="1280">
        <v>0.69959700071860076</v>
      </c>
      <c r="I796" s="1303">
        <v>6.3644971422340199E-2</v>
      </c>
      <c r="J796" s="1288">
        <v>0.13001674740103517</v>
      </c>
      <c r="K796" s="1280">
        <v>1.2303790728318549</v>
      </c>
      <c r="L796" s="1237">
        <v>0.17425665217482347</v>
      </c>
    </row>
    <row r="797" spans="1:12" s="326" customFormat="1" ht="15.5" x14ac:dyDescent="0.35">
      <c r="A797" s="328" t="s">
        <v>1761</v>
      </c>
      <c r="B797" s="1291">
        <v>0.13594925503946328</v>
      </c>
      <c r="C797" s="1257">
        <v>0.25036206666011229</v>
      </c>
      <c r="D797" s="1257">
        <v>0.15105472782162588</v>
      </c>
      <c r="E797" s="1280">
        <v>1.0156164625087016</v>
      </c>
      <c r="F797" s="1303">
        <v>5.7382355718064069E-2</v>
      </c>
      <c r="G797" s="1288">
        <v>7.2613572296479731E-2</v>
      </c>
      <c r="H797" s="1280">
        <v>0.6871593201880104</v>
      </c>
      <c r="I797" s="1303">
        <v>6.3594925546022668E-2</v>
      </c>
      <c r="J797" s="1288">
        <v>0.12987537438685906</v>
      </c>
      <c r="K797" s="1280">
        <v>1.2290412267344677</v>
      </c>
      <c r="L797" s="1237">
        <v>0.17425665217482347</v>
      </c>
    </row>
    <row r="798" spans="1:12" s="326" customFormat="1" ht="15.5" x14ac:dyDescent="0.35">
      <c r="A798" s="328" t="s">
        <v>1762</v>
      </c>
      <c r="B798" s="1291">
        <v>0.13594925503946328</v>
      </c>
      <c r="C798" s="1257">
        <v>0.25036206666011229</v>
      </c>
      <c r="D798" s="1257">
        <v>0.15105472782162588</v>
      </c>
      <c r="E798" s="1280">
        <v>1.0156164625087016</v>
      </c>
      <c r="F798" s="1303">
        <v>5.7191683160030649E-2</v>
      </c>
      <c r="G798" s="1288">
        <v>7.3511457245289527E-2</v>
      </c>
      <c r="H798" s="1280">
        <v>0.69565621672564426</v>
      </c>
      <c r="I798" s="1303">
        <v>6.3199957450197894E-2</v>
      </c>
      <c r="J798" s="1288">
        <v>0.12915972068601994</v>
      </c>
      <c r="K798" s="1280">
        <v>1.222268827374321</v>
      </c>
      <c r="L798" s="1237">
        <v>0.17425665217482347</v>
      </c>
    </row>
    <row r="799" spans="1:12" s="326" customFormat="1" ht="15.5" x14ac:dyDescent="0.35">
      <c r="A799" s="328" t="s">
        <v>1763</v>
      </c>
      <c r="B799" s="1291">
        <v>0.13594925503946328</v>
      </c>
      <c r="C799" s="1257">
        <v>0.25036206666011229</v>
      </c>
      <c r="D799" s="1257">
        <v>0.15105472782162588</v>
      </c>
      <c r="E799" s="1280">
        <v>1.0156164625087016</v>
      </c>
      <c r="F799" s="1303">
        <v>4.9082613828166324E-2</v>
      </c>
      <c r="G799" s="1288">
        <v>7.2820898072153986E-2</v>
      </c>
      <c r="H799" s="1280">
        <v>0.68912129278575129</v>
      </c>
      <c r="I799" s="1303">
        <v>6.9244638835209718E-2</v>
      </c>
      <c r="J799" s="1288">
        <v>0.12816646299867351</v>
      </c>
      <c r="K799" s="1280">
        <v>1.2128693961712707</v>
      </c>
      <c r="L799" s="1237">
        <v>0.17425665217482347</v>
      </c>
    </row>
    <row r="800" spans="1:12" s="326" customFormat="1" ht="15.5" x14ac:dyDescent="0.35">
      <c r="A800" s="328" t="s">
        <v>1764</v>
      </c>
      <c r="B800" s="1291">
        <v>0.13594925503946328</v>
      </c>
      <c r="C800" s="1257">
        <v>0.25036206666011229</v>
      </c>
      <c r="D800" s="1257">
        <v>0.15105472782162588</v>
      </c>
      <c r="E800" s="1280">
        <v>1.0156164625087016</v>
      </c>
      <c r="F800" s="1303">
        <v>4.9298121730266375E-2</v>
      </c>
      <c r="G800" s="1288">
        <v>7.0832744341361664E-2</v>
      </c>
      <c r="H800" s="1280">
        <v>0.67030692623038568</v>
      </c>
      <c r="I800" s="1303">
        <v>6.9068512229812085E-2</v>
      </c>
      <c r="J800" s="1288">
        <v>0.12869295205920817</v>
      </c>
      <c r="K800" s="1280">
        <v>1.2178516860308888</v>
      </c>
      <c r="L800" s="1237">
        <v>0.17425665217482347</v>
      </c>
    </row>
    <row r="801" spans="1:12" s="326" customFormat="1" ht="15.5" x14ac:dyDescent="0.35">
      <c r="A801" s="328" t="s">
        <v>1765</v>
      </c>
      <c r="B801" s="1291">
        <v>0.13594925503946328</v>
      </c>
      <c r="C801" s="1257">
        <v>0.25036206666011229</v>
      </c>
      <c r="D801" s="1257">
        <v>0.15105472782162588</v>
      </c>
      <c r="E801" s="1280">
        <v>1.0156164625087016</v>
      </c>
      <c r="F801" s="1303">
        <v>4.9065966836096521E-2</v>
      </c>
      <c r="G801" s="1288">
        <v>7.5617608323260629E-2</v>
      </c>
      <c r="H801" s="1280">
        <v>0.71558721994144425</v>
      </c>
      <c r="I801" s="1303">
        <v>6.8794811875502251E-2</v>
      </c>
      <c r="J801" s="1288">
        <v>0.12893077787405369</v>
      </c>
      <c r="K801" s="1280">
        <v>1.2201022876757874</v>
      </c>
      <c r="L801" s="1237">
        <v>0.17425665217482347</v>
      </c>
    </row>
    <row r="802" spans="1:12" s="326" customFormat="1" ht="15.5" x14ac:dyDescent="0.35">
      <c r="A802" s="328" t="s">
        <v>1766</v>
      </c>
      <c r="B802" s="1291">
        <v>0.13594925503946328</v>
      </c>
      <c r="C802" s="1257">
        <v>0.25036206666011229</v>
      </c>
      <c r="D802" s="1257">
        <v>0.15105472782162588</v>
      </c>
      <c r="E802" s="1280">
        <v>1.0156164625087016</v>
      </c>
      <c r="F802" s="1303">
        <v>5.8800827781656601E-2</v>
      </c>
      <c r="G802" s="1288">
        <v>7.0219158032193654E-2</v>
      </c>
      <c r="H802" s="1280">
        <v>0.66450041461347964</v>
      </c>
      <c r="I802" s="1303">
        <v>7.4602205147602185E-2</v>
      </c>
      <c r="J802" s="1288">
        <v>0.12983108391644829</v>
      </c>
      <c r="K802" s="1280">
        <v>1.2286220955916836</v>
      </c>
      <c r="L802" s="1237">
        <v>0.17425665217482347</v>
      </c>
    </row>
    <row r="803" spans="1:12" s="326" customFormat="1" ht="15.5" x14ac:dyDescent="0.35">
      <c r="A803" s="328" t="s">
        <v>1767</v>
      </c>
      <c r="B803" s="1291">
        <v>0.13594925503946328</v>
      </c>
      <c r="C803" s="1257">
        <v>0.25036206666011229</v>
      </c>
      <c r="D803" s="1257">
        <v>0.15105472782162588</v>
      </c>
      <c r="E803" s="1280">
        <v>1.0156164625087016</v>
      </c>
      <c r="F803" s="1303">
        <v>5.8909697518778219E-2</v>
      </c>
      <c r="G803" s="1288">
        <v>6.8478892597108668E-2</v>
      </c>
      <c r="H803" s="1280">
        <v>0.64803187332705037</v>
      </c>
      <c r="I803" s="1303">
        <v>7.535001851405182E-2</v>
      </c>
      <c r="J803" s="1288">
        <v>0.11517511290062295</v>
      </c>
      <c r="K803" s="1280">
        <v>1.0899291934051596</v>
      </c>
      <c r="L803" s="1237">
        <v>0.17425665217482347</v>
      </c>
    </row>
    <row r="804" spans="1:12" s="326" customFormat="1" ht="15.5" x14ac:dyDescent="0.35">
      <c r="A804" s="328" t="s">
        <v>1768</v>
      </c>
      <c r="B804" s="1291">
        <v>0.13594925503946328</v>
      </c>
      <c r="C804" s="1257">
        <v>0.25036206666011229</v>
      </c>
      <c r="D804" s="1257">
        <v>0.15105472782162588</v>
      </c>
      <c r="E804" s="1280">
        <v>1.0156164625087016</v>
      </c>
      <c r="F804" s="1303">
        <v>5.8576422901233195E-2</v>
      </c>
      <c r="G804" s="1288">
        <v>6.2320300519293964E-2</v>
      </c>
      <c r="H804" s="1280">
        <v>0.58975166741420093</v>
      </c>
      <c r="I804" s="1303">
        <v>7.5154587014482799E-2</v>
      </c>
      <c r="J804" s="1288">
        <v>9.8949533065322212E-2</v>
      </c>
      <c r="K804" s="1280">
        <v>0.93638271364021819</v>
      </c>
      <c r="L804" s="1237">
        <v>0.17425665217482347</v>
      </c>
    </row>
    <row r="805" spans="1:12" s="326" customFormat="1" ht="15.5" x14ac:dyDescent="0.35">
      <c r="A805" s="328" t="s">
        <v>1769</v>
      </c>
      <c r="B805" s="1291">
        <v>0.13594925503946328</v>
      </c>
      <c r="C805" s="1257">
        <v>0.25036206666011229</v>
      </c>
      <c r="D805" s="1257">
        <v>0.15105472782162588</v>
      </c>
      <c r="E805" s="1280">
        <v>1.0156164625087016</v>
      </c>
      <c r="F805" s="1303">
        <v>6.4193218805134372E-2</v>
      </c>
      <c r="G805" s="1288">
        <v>5.7902810738521569E-2</v>
      </c>
      <c r="H805" s="1280">
        <v>0.54794792220939159</v>
      </c>
      <c r="I805" s="1303">
        <v>8.0675793854803265E-2</v>
      </c>
      <c r="J805" s="1288">
        <v>9.8941913167116646E-2</v>
      </c>
      <c r="K805" s="1280">
        <v>0.93631060475058181</v>
      </c>
      <c r="L805" s="1237">
        <v>0.17425665217482347</v>
      </c>
    </row>
    <row r="806" spans="1:12" s="326" customFormat="1" ht="15.5" x14ac:dyDescent="0.35">
      <c r="A806" s="328" t="s">
        <v>1770</v>
      </c>
      <c r="B806" s="1291">
        <v>0.13594925503946328</v>
      </c>
      <c r="C806" s="1257">
        <v>0.25036206666011229</v>
      </c>
      <c r="D806" s="1257">
        <v>0.15105472782162588</v>
      </c>
      <c r="E806" s="1280">
        <v>1.0156164625087016</v>
      </c>
      <c r="F806" s="1303">
        <v>6.6397929328916666E-2</v>
      </c>
      <c r="G806" s="1288">
        <v>5.8158139622286324E-2</v>
      </c>
      <c r="H806" s="1280">
        <v>0.55036415951384199</v>
      </c>
      <c r="I806" s="1303">
        <v>8.0367048446947767E-2</v>
      </c>
      <c r="J806" s="1288">
        <v>0.10061944570460597</v>
      </c>
      <c r="K806" s="1280">
        <v>0.95218548986638152</v>
      </c>
      <c r="L806" s="1330">
        <v>0.17425665217482347</v>
      </c>
    </row>
    <row r="807" spans="1:12" s="326" customFormat="1" ht="15.5" x14ac:dyDescent="0.35">
      <c r="A807" s="328" t="s">
        <v>1771</v>
      </c>
      <c r="B807" s="1291">
        <v>0.13594925503946328</v>
      </c>
      <c r="C807" s="1257">
        <v>0.25036206666011229</v>
      </c>
      <c r="D807" s="1257">
        <v>0.15105472782162588</v>
      </c>
      <c r="E807" s="1280">
        <v>1.0156164625087016</v>
      </c>
      <c r="F807" s="1303">
        <v>5.9074519813097984E-2</v>
      </c>
      <c r="G807" s="1288">
        <v>5.8398080170311513E-2</v>
      </c>
      <c r="H807" s="1280">
        <v>0.55263477337640377</v>
      </c>
      <c r="I807" s="1303">
        <v>8.0609581167935318E-2</v>
      </c>
      <c r="J807" s="1288">
        <v>0.10054864184827413</v>
      </c>
      <c r="K807" s="1280">
        <v>0.95151545631418233</v>
      </c>
      <c r="L807" s="1330">
        <v>0.17347471075943957</v>
      </c>
    </row>
    <row r="808" spans="1:12" s="326" customFormat="1" ht="15.5" x14ac:dyDescent="0.35">
      <c r="A808" s="328" t="s">
        <v>1772</v>
      </c>
      <c r="B808" s="1291">
        <v>0.13594925503946328</v>
      </c>
      <c r="C808" s="1257">
        <v>0.25036206666011229</v>
      </c>
      <c r="D808" s="1257">
        <v>0.15105472782162588</v>
      </c>
      <c r="E808" s="1280">
        <v>1.0156164625087016</v>
      </c>
      <c r="F808" s="1303">
        <v>6.5111301746934497E-2</v>
      </c>
      <c r="G808" s="1288">
        <v>5.7230541613887249E-2</v>
      </c>
      <c r="H808" s="1280">
        <v>0.54158608130200647</v>
      </c>
      <c r="I808" s="1303">
        <v>8.0543266017547119E-2</v>
      </c>
      <c r="J808" s="1288">
        <v>0.10094366438081048</v>
      </c>
      <c r="K808" s="1280">
        <v>0.95525364748605213</v>
      </c>
      <c r="L808" s="1330">
        <v>0.16372927597461293</v>
      </c>
    </row>
    <row r="809" spans="1:12" s="326" customFormat="1" ht="15.5" x14ac:dyDescent="0.35">
      <c r="A809" s="328" t="s">
        <v>1773</v>
      </c>
      <c r="B809" s="1291">
        <v>0.13594925503946328</v>
      </c>
      <c r="C809" s="1257">
        <v>0.25036206666011229</v>
      </c>
      <c r="D809" s="1257">
        <v>0.15105472782162588</v>
      </c>
      <c r="E809" s="1280">
        <v>1.0156164625087016</v>
      </c>
      <c r="F809" s="1303">
        <v>5.9865116967290077E-2</v>
      </c>
      <c r="G809" s="1288">
        <v>5.5204592473068213E-2</v>
      </c>
      <c r="H809" s="1280">
        <v>0.52241404788852053</v>
      </c>
      <c r="I809" s="1303">
        <v>7.8351037064561785E-2</v>
      </c>
      <c r="J809" s="1288">
        <v>9.8415572879009941E-2</v>
      </c>
      <c r="K809" s="1280">
        <v>0.93132972275945436</v>
      </c>
      <c r="L809" s="1330">
        <v>0.19315466688756108</v>
      </c>
    </row>
    <row r="810" spans="1:12" s="326" customFormat="1" ht="15.5" x14ac:dyDescent="0.35">
      <c r="A810" s="328" t="s">
        <v>1774</v>
      </c>
      <c r="B810" s="1287">
        <v>0.13594925503946328</v>
      </c>
      <c r="C810" s="1288">
        <v>0.25036206666011229</v>
      </c>
      <c r="D810" s="1288">
        <v>0.29850250943403456</v>
      </c>
      <c r="E810" s="1306">
        <v>1.8416962845176026</v>
      </c>
      <c r="F810" s="1303">
        <v>5.7464435600010806E-2</v>
      </c>
      <c r="G810" s="1288">
        <v>5.5459603717289752E-2</v>
      </c>
      <c r="H810" s="1280">
        <v>0.52482727929523465</v>
      </c>
      <c r="I810" s="1303">
        <v>7.7874980279412309E-2</v>
      </c>
      <c r="J810" s="1288">
        <v>9.9181136182426605E-2</v>
      </c>
      <c r="K810" s="1280">
        <v>0.93857442843222827</v>
      </c>
      <c r="L810" s="1330">
        <v>0.19176060795182587</v>
      </c>
    </row>
    <row r="811" spans="1:12" s="326" customFormat="1" ht="15.5" x14ac:dyDescent="0.35">
      <c r="A811" s="328" t="s">
        <v>1775</v>
      </c>
      <c r="B811" s="1287">
        <v>0.11297112032306633</v>
      </c>
      <c r="C811" s="1288">
        <v>0.2514399546272123</v>
      </c>
      <c r="D811" s="1288">
        <v>0.32176530946540971</v>
      </c>
      <c r="E811" s="1306">
        <v>2.0055568094183305</v>
      </c>
      <c r="F811" s="1303">
        <v>5.9930822451927115E-2</v>
      </c>
      <c r="G811" s="1288">
        <v>5.5546976655829625E-2</v>
      </c>
      <c r="H811" s="1280">
        <v>0.52565410997097595</v>
      </c>
      <c r="I811" s="1303">
        <v>7.5517520099606161E-2</v>
      </c>
      <c r="J811" s="1288">
        <v>9.6480273811837464E-2</v>
      </c>
      <c r="K811" s="1280">
        <v>0.91301553232231492</v>
      </c>
      <c r="L811" s="1330">
        <v>0.19050595490963046</v>
      </c>
    </row>
    <row r="812" spans="1:12" s="326" customFormat="1" ht="15.5" x14ac:dyDescent="0.35">
      <c r="A812" s="328" t="s">
        <v>1776</v>
      </c>
      <c r="B812" s="1287">
        <v>0.12094732953693373</v>
      </c>
      <c r="C812" s="1288">
        <v>0.2136786151667372</v>
      </c>
      <c r="D812" s="1288">
        <v>0.23947550030828746</v>
      </c>
      <c r="E812" s="1306">
        <v>1.9912609398089296</v>
      </c>
      <c r="F812" s="1303">
        <v>5.90164389661188E-2</v>
      </c>
      <c r="G812" s="1288">
        <v>5.4747705931250924E-2</v>
      </c>
      <c r="H812" s="1280">
        <v>0.51809042304058772</v>
      </c>
      <c r="I812" s="1303">
        <v>7.2763794331093978E-2</v>
      </c>
      <c r="J812" s="1288">
        <v>9.5108153993364752E-2</v>
      </c>
      <c r="K812" s="1280">
        <v>0.90003083962838559</v>
      </c>
      <c r="L812" s="1330">
        <v>0.1942030673509334</v>
      </c>
    </row>
    <row r="813" spans="1:12" s="326" customFormat="1" ht="15.5" x14ac:dyDescent="0.35">
      <c r="A813" s="328" t="s">
        <v>1777</v>
      </c>
      <c r="B813" s="1287">
        <v>0.13223244961682107</v>
      </c>
      <c r="C813" s="1288">
        <v>0.21324490246199546</v>
      </c>
      <c r="D813" s="1288">
        <v>0.25994660149469928</v>
      </c>
      <c r="E813" s="1306">
        <v>1.984178919471745</v>
      </c>
      <c r="F813" s="1303">
        <v>5.4077434452813121E-2</v>
      </c>
      <c r="G813" s="1288">
        <v>5.3619190267124743E-2</v>
      </c>
      <c r="H813" s="1280">
        <v>0.50741101377786424</v>
      </c>
      <c r="I813" s="1303">
        <v>6.825392212807331E-2</v>
      </c>
      <c r="J813" s="1288">
        <v>9.0547895937063805E-2</v>
      </c>
      <c r="K813" s="1280">
        <v>0.85687604463971401</v>
      </c>
      <c r="L813" s="1330">
        <v>0.19322522066058831</v>
      </c>
    </row>
    <row r="814" spans="1:12" s="326" customFormat="1" ht="15.5" x14ac:dyDescent="0.35">
      <c r="A814" s="328" t="s">
        <v>1778</v>
      </c>
      <c r="B814" s="1287">
        <v>0.13536309712128433</v>
      </c>
      <c r="C814" s="1288">
        <v>0.13788147928474739</v>
      </c>
      <c r="D814" s="1288">
        <v>0.22634846188296254</v>
      </c>
      <c r="E814" s="1306">
        <v>1.7652062344335067</v>
      </c>
      <c r="F814" s="1303">
        <v>5.6974045185123466E-2</v>
      </c>
      <c r="G814" s="1288">
        <v>5.1685418408814743E-2</v>
      </c>
      <c r="H814" s="1280">
        <v>0.4891112756775336</v>
      </c>
      <c r="I814" s="1303">
        <v>6.8317293490095979E-2</v>
      </c>
      <c r="J814" s="1288">
        <v>8.9659142009253651E-2</v>
      </c>
      <c r="K814" s="1280">
        <v>0.84846555710227534</v>
      </c>
      <c r="L814" s="1330">
        <v>0.19234515863906335</v>
      </c>
    </row>
    <row r="815" spans="1:12" s="326" customFormat="1" ht="15.5" x14ac:dyDescent="0.35">
      <c r="A815" s="328" t="s">
        <v>1779</v>
      </c>
      <c r="B815" s="1287">
        <v>0.11513818146748253</v>
      </c>
      <c r="C815" s="1288">
        <v>0.17454797688345092</v>
      </c>
      <c r="D815" s="1288">
        <v>0.24734830237107383</v>
      </c>
      <c r="E815" s="1280">
        <v>0.8601461812184652</v>
      </c>
      <c r="F815" s="1303">
        <v>5.3843632096395672E-2</v>
      </c>
      <c r="G815" s="1288">
        <v>5.1593257999009157E-2</v>
      </c>
      <c r="H815" s="1280">
        <v>0.48823914003474106</v>
      </c>
      <c r="I815" s="1303">
        <v>6.4920329853725284E-2</v>
      </c>
      <c r="J815" s="1288">
        <v>8.7051916479977051E-2</v>
      </c>
      <c r="K815" s="1280">
        <v>0.82379276845390048</v>
      </c>
      <c r="L815" s="1330">
        <v>0.19155310282002833</v>
      </c>
    </row>
    <row r="816" spans="1:12" s="326" customFormat="1" ht="15.5" x14ac:dyDescent="0.35">
      <c r="A816" s="328" t="s">
        <v>1780</v>
      </c>
      <c r="B816" s="1287">
        <v>9.1986322797714654E-2</v>
      </c>
      <c r="C816" s="1288">
        <v>0.16119030758253122</v>
      </c>
      <c r="D816" s="1288">
        <v>0.25028527364963576</v>
      </c>
      <c r="E816" s="1280">
        <v>0.68718893481159382</v>
      </c>
      <c r="F816" s="1303">
        <v>5.2357517915260554E-2</v>
      </c>
      <c r="G816" s="1288">
        <v>4.9079885786071441E-2</v>
      </c>
      <c r="H816" s="1280">
        <v>0.46445450740201433</v>
      </c>
      <c r="I816" s="1303">
        <v>6.3288998717718897E-2</v>
      </c>
      <c r="J816" s="1288">
        <v>8.4846359458849302E-2</v>
      </c>
      <c r="K816" s="1280">
        <v>0.80292106340837543</v>
      </c>
      <c r="L816" s="1330">
        <v>0.1725947232067129</v>
      </c>
    </row>
    <row r="817" spans="1:12" s="326" customFormat="1" ht="15.5" x14ac:dyDescent="0.35">
      <c r="A817" s="328" t="s">
        <v>1781</v>
      </c>
      <c r="B817" s="1287">
        <v>9.717765195279085E-2</v>
      </c>
      <c r="C817" s="1288">
        <v>0.18946572415204274</v>
      </c>
      <c r="D817" s="1288">
        <v>0.28443666558076497</v>
      </c>
      <c r="E817" s="1280">
        <v>0.72597104767176579</v>
      </c>
      <c r="F817" s="1303">
        <v>5.099038594079508E-2</v>
      </c>
      <c r="G817" s="1288">
        <v>4.7366212901613483E-2</v>
      </c>
      <c r="H817" s="1280">
        <v>0.44823761767923936</v>
      </c>
      <c r="I817" s="1303">
        <v>6.1722013354583667E-2</v>
      </c>
      <c r="J817" s="1288">
        <v>8.2725795655875872E-2</v>
      </c>
      <c r="K817" s="1280">
        <v>0.78285366918464894</v>
      </c>
      <c r="L817" s="1330">
        <v>0.17259472320686164</v>
      </c>
    </row>
    <row r="818" spans="1:12" s="326" customFormat="1" ht="15.5" x14ac:dyDescent="0.35">
      <c r="A818" s="328" t="s">
        <v>1782</v>
      </c>
      <c r="B818" s="1287">
        <v>0.10547091085881821</v>
      </c>
      <c r="C818" s="1288">
        <v>0.18168753805898788</v>
      </c>
      <c r="D818" s="1288">
        <v>0.22486448781516849</v>
      </c>
      <c r="E818" s="1280">
        <v>0.78792629906584921</v>
      </c>
      <c r="F818" s="1303">
        <v>4.963067173623787E-2</v>
      </c>
      <c r="G818" s="1288">
        <v>4.574638471887961E-2</v>
      </c>
      <c r="H818" s="1280">
        <v>0.4329088024499857</v>
      </c>
      <c r="I818" s="1303">
        <v>6.0154386066198905E-2</v>
      </c>
      <c r="J818" s="1288">
        <v>8.0606668114919858E-2</v>
      </c>
      <c r="K818" s="1280">
        <v>0.76279986664633703</v>
      </c>
      <c r="L818" s="1330">
        <v>0.17259472320689254</v>
      </c>
    </row>
    <row r="819" spans="1:12" s="326" customFormat="1" ht="15.5" x14ac:dyDescent="0.35">
      <c r="A819" s="328" t="s">
        <v>1783</v>
      </c>
      <c r="B819" s="1287">
        <v>0.10357212096044235</v>
      </c>
      <c r="C819" s="1288">
        <v>0.13638371699500434</v>
      </c>
      <c r="D819" s="1288">
        <v>0.21864900678390506</v>
      </c>
      <c r="E819" s="1306">
        <v>1.8982986074045254</v>
      </c>
      <c r="F819" s="1303">
        <v>4.9324162310823851E-2</v>
      </c>
      <c r="G819" s="1288">
        <v>4.4155226348905958E-2</v>
      </c>
      <c r="H819" s="1306">
        <v>0.41909569806310193</v>
      </c>
      <c r="I819" s="1303">
        <v>6.0142950903700712E-2</v>
      </c>
      <c r="J819" s="1288">
        <v>8.0565194399806722E-2</v>
      </c>
      <c r="K819" s="1306">
        <v>0.59871654990469214</v>
      </c>
      <c r="L819" s="1330">
        <v>0.15953336642064661</v>
      </c>
    </row>
    <row r="820" spans="1:12" s="326" customFormat="1" ht="15.5" x14ac:dyDescent="0.35">
      <c r="A820" s="328" t="s">
        <v>1784</v>
      </c>
      <c r="B820" s="1287">
        <v>0.11379153722627063</v>
      </c>
      <c r="C820" s="1288">
        <v>0.13934324762632716</v>
      </c>
      <c r="D820" s="1288">
        <v>0.21275325011693216</v>
      </c>
      <c r="E820" s="1306">
        <v>1.9530567921595361</v>
      </c>
      <c r="F820" s="1303">
        <v>4.9092777772076157E-2</v>
      </c>
      <c r="G820" s="1288">
        <v>4.2689570547294151E-2</v>
      </c>
      <c r="H820" s="1306">
        <v>0.42693834478033582</v>
      </c>
      <c r="I820" s="1303">
        <v>6.0129529427343127E-2</v>
      </c>
      <c r="J820" s="1288">
        <v>8.0523309972372475E-2</v>
      </c>
      <c r="K820" s="1306">
        <v>0.59885580565030416</v>
      </c>
      <c r="L820" s="1330">
        <v>0.15953336642055124</v>
      </c>
    </row>
    <row r="821" spans="1:12" s="326" customFormat="1" ht="15.5" x14ac:dyDescent="0.35">
      <c r="A821" s="328" t="s">
        <v>1785</v>
      </c>
      <c r="B821" s="1287">
        <v>0.10844615133208127</v>
      </c>
      <c r="C821" s="1288">
        <v>0.14998372947900246</v>
      </c>
      <c r="D821" s="1288">
        <v>0.18774086077869065</v>
      </c>
      <c r="E821" s="1306">
        <v>1.9037842950700132</v>
      </c>
      <c r="F821" s="1303">
        <v>4.8967844258982214E-2</v>
      </c>
      <c r="G821" s="1288">
        <v>4.2217679196634425E-2</v>
      </c>
      <c r="H821" s="1306">
        <v>0.44198512384384347</v>
      </c>
      <c r="I821" s="1303">
        <v>6.0114285261378957E-2</v>
      </c>
      <c r="J821" s="1288">
        <v>8.0482285252364491E-2</v>
      </c>
      <c r="K821" s="1306">
        <v>0.5990037692279041</v>
      </c>
      <c r="L821" s="1330">
        <v>0.15953336642056884</v>
      </c>
    </row>
    <row r="822" spans="1:12" s="326" customFormat="1" ht="15.5" x14ac:dyDescent="0.35">
      <c r="A822" s="328" t="s">
        <v>1786</v>
      </c>
      <c r="B822" s="1287">
        <v>0.11619329120069655</v>
      </c>
      <c r="C822" s="1288">
        <v>9.7922007658048107E-2</v>
      </c>
      <c r="D822" s="1288">
        <v>0.22208901115410487</v>
      </c>
      <c r="E822" s="1306">
        <v>1.9140961818384885</v>
      </c>
      <c r="F822" s="1303">
        <v>4.8797141299960205E-2</v>
      </c>
      <c r="G822" s="1288">
        <v>4.202882630748931E-2</v>
      </c>
      <c r="H822" s="1306">
        <v>0.45703474813690453</v>
      </c>
      <c r="I822" s="1303">
        <v>6.0096700787417016E-2</v>
      </c>
      <c r="J822" s="1288">
        <v>8.0438226503656271E-2</v>
      </c>
      <c r="K822" s="1306">
        <v>0.59915489688473078</v>
      </c>
      <c r="L822" s="1330">
        <v>0.15378771087140639</v>
      </c>
    </row>
    <row r="823" spans="1:12" s="326" customFormat="1" ht="15.5" x14ac:dyDescent="0.35">
      <c r="A823" s="328" t="s">
        <v>1787</v>
      </c>
      <c r="B823" s="1287">
        <v>0.11349115391980198</v>
      </c>
      <c r="C823" s="1288">
        <v>0.14640238547387288</v>
      </c>
      <c r="D823" s="1288">
        <v>0.22152996716283704</v>
      </c>
      <c r="E823" s="1306">
        <v>1.9033773886938625</v>
      </c>
      <c r="F823" s="1303">
        <v>4.861984503268027E-2</v>
      </c>
      <c r="G823" s="1288">
        <v>4.1814397883908998E-2</v>
      </c>
      <c r="H823" s="1306">
        <v>0.46794627837737118</v>
      </c>
      <c r="I823" s="1303">
        <v>6.0074578311274947E-2</v>
      </c>
      <c r="J823" s="1288">
        <v>8.0375901037468223E-2</v>
      </c>
      <c r="K823" s="1306">
        <v>0.59925813504397563</v>
      </c>
      <c r="L823" s="1330">
        <v>0.15378771087140009</v>
      </c>
    </row>
    <row r="824" spans="1:12" s="326" customFormat="1" ht="15.5" x14ac:dyDescent="0.35">
      <c r="A824" s="328" t="s">
        <v>1788</v>
      </c>
      <c r="B824" s="1287">
        <v>0.10999192690319906</v>
      </c>
      <c r="C824" s="1288">
        <v>0.13919616975750898</v>
      </c>
      <c r="D824" s="1288">
        <v>0.24474277823902921</v>
      </c>
      <c r="E824" s="1306">
        <v>1.9403770703274481</v>
      </c>
      <c r="F824" s="1303">
        <v>4.8064660674339461E-2</v>
      </c>
      <c r="G824" s="1288">
        <v>4.124880368947681E-2</v>
      </c>
      <c r="H824" s="1306">
        <v>0.4681189889259223</v>
      </c>
      <c r="I824" s="1303">
        <v>6.0042302858820507E-2</v>
      </c>
      <c r="J824" s="1288">
        <v>8.0259401615051115E-2</v>
      </c>
      <c r="K824" s="1306">
        <v>0.59900587193606114</v>
      </c>
      <c r="L824" s="1330">
        <v>0.15378836517580988</v>
      </c>
    </row>
    <row r="825" spans="1:12" s="326" customFormat="1" ht="15.5" x14ac:dyDescent="0.35">
      <c r="A825" s="328" t="s">
        <v>1789</v>
      </c>
      <c r="B825" s="1291">
        <v>0.10999192690319906</v>
      </c>
      <c r="C825" s="1257">
        <v>0.13919616975750898</v>
      </c>
      <c r="D825" s="1257">
        <v>0.24474277823902921</v>
      </c>
      <c r="E825" s="1280">
        <v>1.9403770703274481</v>
      </c>
      <c r="F825" s="1271">
        <v>4.8064660674339461E-2</v>
      </c>
      <c r="G825" s="1257">
        <v>4.124880368947681E-2</v>
      </c>
      <c r="H825" s="1280">
        <v>0.4681189889259223</v>
      </c>
      <c r="I825" s="1271">
        <v>6.0042302858820507E-2</v>
      </c>
      <c r="J825" s="1257">
        <v>8.0259401615051115E-2</v>
      </c>
      <c r="K825" s="1280">
        <v>0.59900587193606114</v>
      </c>
      <c r="L825" s="1330">
        <v>0.16102265132067428</v>
      </c>
    </row>
    <row r="826" spans="1:12" s="326" customFormat="1" ht="15.5" x14ac:dyDescent="0.35">
      <c r="A826" s="328" t="s">
        <v>1790</v>
      </c>
      <c r="B826" s="1291">
        <v>0.11297112032306633</v>
      </c>
      <c r="C826" s="1257">
        <v>0.25144648962724664</v>
      </c>
      <c r="D826" s="1257">
        <v>0.12552346702562925</v>
      </c>
      <c r="E826" s="1280">
        <v>0.84395703054681837</v>
      </c>
      <c r="F826" s="1271">
        <v>5.648660621499324E-2</v>
      </c>
      <c r="G826" s="1257">
        <v>0.10090465156977385</v>
      </c>
      <c r="H826" s="1280">
        <v>0.95488446007572747</v>
      </c>
      <c r="I826" s="1271">
        <v>6.3435261779050456E-2</v>
      </c>
      <c r="J826" s="1257">
        <v>0.1421317176429725</v>
      </c>
      <c r="K826" s="1280">
        <v>1.3450258868125413</v>
      </c>
      <c r="L826" s="1237">
        <v>0.17425612425769621</v>
      </c>
    </row>
    <row r="827" spans="1:12" s="326" customFormat="1" ht="15.5" x14ac:dyDescent="0.35">
      <c r="A827" s="328" t="s">
        <v>1791</v>
      </c>
      <c r="B827" s="1291">
        <v>0.11297112032306633</v>
      </c>
      <c r="C827" s="1257">
        <v>0.25144648962724664</v>
      </c>
      <c r="D827" s="1257">
        <v>0.12552346702562925</v>
      </c>
      <c r="E827" s="1280">
        <v>0.84395703054681837</v>
      </c>
      <c r="F827" s="1271">
        <v>5.648660621499324E-2</v>
      </c>
      <c r="G827" s="1257">
        <v>0.10090465156977385</v>
      </c>
      <c r="H827" s="1280">
        <v>0.95488446007572747</v>
      </c>
      <c r="I827" s="1271">
        <v>6.3435261779050456E-2</v>
      </c>
      <c r="J827" s="1257">
        <v>0.1421317176429725</v>
      </c>
      <c r="K827" s="1280">
        <v>1.3450258868125413</v>
      </c>
      <c r="L827" s="1237">
        <v>0.17425612425769621</v>
      </c>
    </row>
    <row r="828" spans="1:12" s="326" customFormat="1" ht="15.5" x14ac:dyDescent="0.35">
      <c r="A828" s="328" t="s">
        <v>1792</v>
      </c>
      <c r="B828" s="1291">
        <v>0.11297112032306633</v>
      </c>
      <c r="C828" s="1257">
        <v>0.25144648962724664</v>
      </c>
      <c r="D828" s="1257">
        <v>0.12552346702562925</v>
      </c>
      <c r="E828" s="1280">
        <v>0.84395703054681837</v>
      </c>
      <c r="F828" s="1271">
        <v>5.648660621499324E-2</v>
      </c>
      <c r="G828" s="1257">
        <v>0.10090465156977385</v>
      </c>
      <c r="H828" s="1280">
        <v>0.95488446007572747</v>
      </c>
      <c r="I828" s="1271">
        <v>6.3435261779050456E-2</v>
      </c>
      <c r="J828" s="1257">
        <v>0.1421317176429725</v>
      </c>
      <c r="K828" s="1280">
        <v>1.3450258868125413</v>
      </c>
      <c r="L828" s="1237">
        <v>0.17425612425769621</v>
      </c>
    </row>
    <row r="829" spans="1:12" s="326" customFormat="1" ht="15.5" x14ac:dyDescent="0.35">
      <c r="A829" s="328" t="s">
        <v>1793</v>
      </c>
      <c r="B829" s="1291">
        <v>0.11297112032306633</v>
      </c>
      <c r="C829" s="1257">
        <v>0.25144648962724664</v>
      </c>
      <c r="D829" s="1257">
        <v>0.12552346702562925</v>
      </c>
      <c r="E829" s="1280">
        <v>0.84395703054681837</v>
      </c>
      <c r="F829" s="1271">
        <v>5.648660621499324E-2</v>
      </c>
      <c r="G829" s="1257">
        <v>0.10090465156977385</v>
      </c>
      <c r="H829" s="1280">
        <v>0.95488446007572747</v>
      </c>
      <c r="I829" s="1271">
        <v>6.3435261779050456E-2</v>
      </c>
      <c r="J829" s="1257">
        <v>0.1421317176429725</v>
      </c>
      <c r="K829" s="1280">
        <v>1.3450258868125413</v>
      </c>
      <c r="L829" s="1237">
        <v>0.17425612425769621</v>
      </c>
    </row>
    <row r="830" spans="1:12" s="326" customFormat="1" ht="15.5" x14ac:dyDescent="0.35">
      <c r="A830" s="328" t="s">
        <v>1794</v>
      </c>
      <c r="B830" s="1291">
        <v>0.11297112032306633</v>
      </c>
      <c r="C830" s="1257">
        <v>0.25144648962724664</v>
      </c>
      <c r="D830" s="1257">
        <v>0.12552346702562925</v>
      </c>
      <c r="E830" s="1280">
        <v>0.84395703054681837</v>
      </c>
      <c r="F830" s="1271">
        <v>5.648660621499324E-2</v>
      </c>
      <c r="G830" s="1257">
        <v>0.10090465156977385</v>
      </c>
      <c r="H830" s="1280">
        <v>0.95488446007572747</v>
      </c>
      <c r="I830" s="1271">
        <v>6.3435261779050456E-2</v>
      </c>
      <c r="J830" s="1257">
        <v>0.1421317176429725</v>
      </c>
      <c r="K830" s="1280">
        <v>1.3450258868125413</v>
      </c>
      <c r="L830" s="1237">
        <v>0.17425612425769621</v>
      </c>
    </row>
    <row r="831" spans="1:12" s="326" customFormat="1" ht="15.5" x14ac:dyDescent="0.35">
      <c r="A831" s="328" t="s">
        <v>1795</v>
      </c>
      <c r="B831" s="1291">
        <v>0.11297112032306633</v>
      </c>
      <c r="C831" s="1257">
        <v>0.25144648962724664</v>
      </c>
      <c r="D831" s="1257">
        <v>0.12552346702562925</v>
      </c>
      <c r="E831" s="1280">
        <v>0.84395703054681837</v>
      </c>
      <c r="F831" s="1271">
        <v>5.648660621499324E-2</v>
      </c>
      <c r="G831" s="1257">
        <v>0.10090465156977385</v>
      </c>
      <c r="H831" s="1280">
        <v>0.95488446007572747</v>
      </c>
      <c r="I831" s="1271">
        <v>6.3435261779050456E-2</v>
      </c>
      <c r="J831" s="1257">
        <v>0.1421317176429725</v>
      </c>
      <c r="K831" s="1280">
        <v>1.3450258868125413</v>
      </c>
      <c r="L831" s="1237">
        <v>0.17425612425769621</v>
      </c>
    </row>
    <row r="832" spans="1:12" s="326" customFormat="1" ht="15.5" x14ac:dyDescent="0.35">
      <c r="A832" s="328" t="s">
        <v>1796</v>
      </c>
      <c r="B832" s="1291">
        <v>0.11297112032306633</v>
      </c>
      <c r="C832" s="1257">
        <v>0.25144648962724664</v>
      </c>
      <c r="D832" s="1257">
        <v>0.12552346702562925</v>
      </c>
      <c r="E832" s="1280">
        <v>0.84395703054681837</v>
      </c>
      <c r="F832" s="1271">
        <v>5.648660621499324E-2</v>
      </c>
      <c r="G832" s="1257">
        <v>0.10090465156977385</v>
      </c>
      <c r="H832" s="1280">
        <v>0.95488446007572747</v>
      </c>
      <c r="I832" s="1271">
        <v>6.3435261779050456E-2</v>
      </c>
      <c r="J832" s="1257">
        <v>0.1421317176429725</v>
      </c>
      <c r="K832" s="1280">
        <v>1.3450258868125413</v>
      </c>
      <c r="L832" s="1237">
        <v>0.17425612425769621</v>
      </c>
    </row>
    <row r="833" spans="1:12" s="326" customFormat="1" ht="15.5" x14ac:dyDescent="0.35">
      <c r="A833" s="328" t="s">
        <v>1797</v>
      </c>
      <c r="B833" s="1291">
        <v>0.11297112032306633</v>
      </c>
      <c r="C833" s="1257">
        <v>0.25144648962724664</v>
      </c>
      <c r="D833" s="1257">
        <v>0.12552346702562925</v>
      </c>
      <c r="E833" s="1280">
        <v>0.84395703054681837</v>
      </c>
      <c r="F833" s="1271">
        <v>5.648660621499324E-2</v>
      </c>
      <c r="G833" s="1257">
        <v>0.10090465156977385</v>
      </c>
      <c r="H833" s="1280">
        <v>0.95488446007572747</v>
      </c>
      <c r="I833" s="1271">
        <v>6.3435261779050456E-2</v>
      </c>
      <c r="J833" s="1257">
        <v>0.1421317176429725</v>
      </c>
      <c r="K833" s="1280">
        <v>1.3450258868125413</v>
      </c>
      <c r="L833" s="1237">
        <v>0.17425612425769621</v>
      </c>
    </row>
    <row r="834" spans="1:12" s="326" customFormat="1" ht="15.5" x14ac:dyDescent="0.35">
      <c r="A834" s="328" t="s">
        <v>1798</v>
      </c>
      <c r="B834" s="1291">
        <v>0.11297112032306633</v>
      </c>
      <c r="C834" s="1257">
        <v>0.25144648962724664</v>
      </c>
      <c r="D834" s="1257">
        <v>0.12552346702562925</v>
      </c>
      <c r="E834" s="1280">
        <v>0.84395703054681837</v>
      </c>
      <c r="F834" s="1271">
        <v>5.648660621499324E-2</v>
      </c>
      <c r="G834" s="1257">
        <v>0.10090465156977385</v>
      </c>
      <c r="H834" s="1280">
        <v>0.95488446007572747</v>
      </c>
      <c r="I834" s="1271">
        <v>6.3435261779050456E-2</v>
      </c>
      <c r="J834" s="1257">
        <v>0.1421317176429725</v>
      </c>
      <c r="K834" s="1280">
        <v>1.3450258868125413</v>
      </c>
      <c r="L834" s="1237">
        <v>0.17425612425769621</v>
      </c>
    </row>
    <row r="835" spans="1:12" s="326" customFormat="1" ht="15.5" x14ac:dyDescent="0.35">
      <c r="A835" s="328" t="s">
        <v>1799</v>
      </c>
      <c r="B835" s="1291">
        <v>0.11297112032306633</v>
      </c>
      <c r="C835" s="1257">
        <v>0.25144648962724664</v>
      </c>
      <c r="D835" s="1257">
        <v>0.12552346702562925</v>
      </c>
      <c r="E835" s="1280">
        <v>0.84395703054681837</v>
      </c>
      <c r="F835" s="1271">
        <v>5.648660621499324E-2</v>
      </c>
      <c r="G835" s="1257">
        <v>0.10090465156977385</v>
      </c>
      <c r="H835" s="1280">
        <v>0.95488446007572747</v>
      </c>
      <c r="I835" s="1271">
        <v>6.3435261779050456E-2</v>
      </c>
      <c r="J835" s="1257">
        <v>0.1421317176429725</v>
      </c>
      <c r="K835" s="1280">
        <v>1.3450258868125413</v>
      </c>
      <c r="L835" s="1237">
        <v>0.17425612425769621</v>
      </c>
    </row>
    <row r="836" spans="1:12" s="326" customFormat="1" ht="15.5" x14ac:dyDescent="0.35">
      <c r="A836" s="328" t="s">
        <v>1800</v>
      </c>
      <c r="B836" s="1291">
        <v>0.11297112032306633</v>
      </c>
      <c r="C836" s="1257">
        <v>0.25144648962724664</v>
      </c>
      <c r="D836" s="1257">
        <v>0.12552346702562925</v>
      </c>
      <c r="E836" s="1280">
        <v>0.84395703054681837</v>
      </c>
      <c r="F836" s="1271">
        <v>5.648660621499324E-2</v>
      </c>
      <c r="G836" s="1257">
        <v>0.10090465156977385</v>
      </c>
      <c r="H836" s="1280">
        <v>0.95488446007572747</v>
      </c>
      <c r="I836" s="1271">
        <v>6.3435261779050456E-2</v>
      </c>
      <c r="J836" s="1257">
        <v>0.1421317176429725</v>
      </c>
      <c r="K836" s="1280">
        <v>1.3450258868125413</v>
      </c>
      <c r="L836" s="1237">
        <v>0.17425612425769621</v>
      </c>
    </row>
    <row r="837" spans="1:12" s="326" customFormat="1" ht="15.5" x14ac:dyDescent="0.35">
      <c r="A837" s="328" t="s">
        <v>1801</v>
      </c>
      <c r="B837" s="1291">
        <v>0.11297112032306633</v>
      </c>
      <c r="C837" s="1257">
        <v>0.25144648962724664</v>
      </c>
      <c r="D837" s="1257">
        <v>0.12552346702562925</v>
      </c>
      <c r="E837" s="1280">
        <v>0.84395703054681837</v>
      </c>
      <c r="F837" s="1271">
        <v>5.648660621499324E-2</v>
      </c>
      <c r="G837" s="1257">
        <v>0.10090465156977385</v>
      </c>
      <c r="H837" s="1280">
        <v>0.95488446007572747</v>
      </c>
      <c r="I837" s="1271">
        <v>6.3435261779050456E-2</v>
      </c>
      <c r="J837" s="1257">
        <v>0.1421317176429725</v>
      </c>
      <c r="K837" s="1280">
        <v>1.3450258868125413</v>
      </c>
      <c r="L837" s="1237">
        <v>0.17425612425769621</v>
      </c>
    </row>
    <row r="838" spans="1:12" s="326" customFormat="1" ht="15.5" x14ac:dyDescent="0.35">
      <c r="A838" s="328" t="s">
        <v>1802</v>
      </c>
      <c r="B838" s="1291">
        <v>0.11297112032306633</v>
      </c>
      <c r="C838" s="1257">
        <v>0.25144648962724664</v>
      </c>
      <c r="D838" s="1257">
        <v>0.12552346702562925</v>
      </c>
      <c r="E838" s="1280">
        <v>0.84395703054681837</v>
      </c>
      <c r="F838" s="1271">
        <v>5.648660621499324E-2</v>
      </c>
      <c r="G838" s="1257">
        <v>0.10090465156977385</v>
      </c>
      <c r="H838" s="1280">
        <v>0.95488446007572747</v>
      </c>
      <c r="I838" s="1271">
        <v>6.3435261779050456E-2</v>
      </c>
      <c r="J838" s="1257">
        <v>0.1421317176429725</v>
      </c>
      <c r="K838" s="1280">
        <v>1.3450258868125413</v>
      </c>
      <c r="L838" s="1237">
        <v>0.17425612425769621</v>
      </c>
    </row>
    <row r="839" spans="1:12" s="326" customFormat="1" ht="15.5" x14ac:dyDescent="0.35">
      <c r="A839" s="328" t="s">
        <v>1803</v>
      </c>
      <c r="B839" s="1291">
        <v>0.11297112032306633</v>
      </c>
      <c r="C839" s="1257">
        <v>0.25144648962724664</v>
      </c>
      <c r="D839" s="1257">
        <v>0.12552346702562925</v>
      </c>
      <c r="E839" s="1280">
        <v>0.84395703054681837</v>
      </c>
      <c r="F839" s="1271">
        <v>5.648660621499324E-2</v>
      </c>
      <c r="G839" s="1257">
        <v>0.10090465156977385</v>
      </c>
      <c r="H839" s="1280">
        <v>0.95488446007572747</v>
      </c>
      <c r="I839" s="1271">
        <v>6.3435261779050456E-2</v>
      </c>
      <c r="J839" s="1257">
        <v>0.1421317176429725</v>
      </c>
      <c r="K839" s="1280">
        <v>1.3450258868125413</v>
      </c>
      <c r="L839" s="1237">
        <v>0.17425612425769621</v>
      </c>
    </row>
    <row r="840" spans="1:12" s="326" customFormat="1" ht="15.5" x14ac:dyDescent="0.35">
      <c r="A840" s="328" t="s">
        <v>1804</v>
      </c>
      <c r="B840" s="1291">
        <v>0.11297112032306633</v>
      </c>
      <c r="C840" s="1257">
        <v>0.25144648962724664</v>
      </c>
      <c r="D840" s="1257">
        <v>0.12552346702562925</v>
      </c>
      <c r="E840" s="1280">
        <v>0.84395703054681837</v>
      </c>
      <c r="F840" s="1271">
        <v>5.648660621499324E-2</v>
      </c>
      <c r="G840" s="1257">
        <v>0.10090465156977385</v>
      </c>
      <c r="H840" s="1280">
        <v>0.95488446007572747</v>
      </c>
      <c r="I840" s="1271">
        <v>6.3435261779050456E-2</v>
      </c>
      <c r="J840" s="1257">
        <v>0.1421317176429725</v>
      </c>
      <c r="K840" s="1280">
        <v>1.3450258868125413</v>
      </c>
      <c r="L840" s="1237">
        <v>0.17425612425769621</v>
      </c>
    </row>
    <row r="841" spans="1:12" s="326" customFormat="1" ht="15.5" x14ac:dyDescent="0.35">
      <c r="A841" s="328" t="s">
        <v>1805</v>
      </c>
      <c r="B841" s="1291">
        <v>0.11297112032306633</v>
      </c>
      <c r="C841" s="1257">
        <v>0.25144648962724664</v>
      </c>
      <c r="D841" s="1257">
        <v>0.12552346702562925</v>
      </c>
      <c r="E841" s="1280">
        <v>0.84395703054681837</v>
      </c>
      <c r="F841" s="1303">
        <v>5.648660621499324E-2</v>
      </c>
      <c r="G841" s="1288">
        <v>0.10090465156977385</v>
      </c>
      <c r="H841" s="1280">
        <v>0.95488446007572747</v>
      </c>
      <c r="I841" s="1303">
        <v>6.3435261779050456E-2</v>
      </c>
      <c r="J841" s="1288">
        <v>0.1421317176429725</v>
      </c>
      <c r="K841" s="1280">
        <v>1.3450258868125413</v>
      </c>
      <c r="L841" s="1237">
        <v>0.17425612425769621</v>
      </c>
    </row>
    <row r="842" spans="1:12" s="326" customFormat="1" ht="15.5" x14ac:dyDescent="0.35">
      <c r="A842" s="328" t="s">
        <v>1806</v>
      </c>
      <c r="B842" s="1291">
        <v>0.11297112032306633</v>
      </c>
      <c r="C842" s="1257">
        <v>0.25144648962724664</v>
      </c>
      <c r="D842" s="1257">
        <v>0.12552346702562925</v>
      </c>
      <c r="E842" s="1280">
        <v>0.84395703054681837</v>
      </c>
      <c r="F842" s="1303">
        <v>5.7265179697554708E-2</v>
      </c>
      <c r="G842" s="1288">
        <v>9.6592663206330434E-2</v>
      </c>
      <c r="H842" s="1280">
        <v>0.91407909960696521</v>
      </c>
      <c r="I842" s="1303">
        <v>6.2996277756259156E-2</v>
      </c>
      <c r="J842" s="1288">
        <v>0.14143834461720431</v>
      </c>
      <c r="K842" s="1280">
        <v>1.3384643347231024</v>
      </c>
      <c r="L842" s="1237">
        <v>0.17425612425769621</v>
      </c>
    </row>
    <row r="843" spans="1:12" s="326" customFormat="1" ht="15.5" x14ac:dyDescent="0.35">
      <c r="A843" s="328" t="s">
        <v>1807</v>
      </c>
      <c r="B843" s="1291">
        <v>0.11297112032306633</v>
      </c>
      <c r="C843" s="1257">
        <v>0.25144648962724664</v>
      </c>
      <c r="D843" s="1257">
        <v>0.12552346702562925</v>
      </c>
      <c r="E843" s="1280">
        <v>0.84395703054681837</v>
      </c>
      <c r="F843" s="1303">
        <v>5.7203977156004178E-2</v>
      </c>
      <c r="G843" s="1288">
        <v>9.2796989965742788E-2</v>
      </c>
      <c r="H843" s="1280">
        <v>0.87815975063169827</v>
      </c>
      <c r="I843" s="1303">
        <v>6.2368217179063393E-2</v>
      </c>
      <c r="J843" s="1288">
        <v>0.13356214044182038</v>
      </c>
      <c r="K843" s="1280">
        <v>1.2639299613869324</v>
      </c>
      <c r="L843" s="1237">
        <v>0.17425612425769621</v>
      </c>
    </row>
    <row r="844" spans="1:12" s="326" customFormat="1" ht="15.5" x14ac:dyDescent="0.35">
      <c r="A844" s="328" t="s">
        <v>1808</v>
      </c>
      <c r="B844" s="1291">
        <v>0.11297112032306633</v>
      </c>
      <c r="C844" s="1257">
        <v>0.25144648962724664</v>
      </c>
      <c r="D844" s="1257">
        <v>0.12552346702562925</v>
      </c>
      <c r="E844" s="1280">
        <v>0.84395703054681837</v>
      </c>
      <c r="F844" s="1303">
        <v>5.7156120515360793E-2</v>
      </c>
      <c r="G844" s="1288">
        <v>9.0657541231912123E-2</v>
      </c>
      <c r="H844" s="1280">
        <v>0.85791364386375657</v>
      </c>
      <c r="I844" s="1303">
        <v>6.2495917579953299E-2</v>
      </c>
      <c r="J844" s="1288">
        <v>0.13200811042923294</v>
      </c>
      <c r="K844" s="1280">
        <v>1.249223809723697</v>
      </c>
      <c r="L844" s="1237">
        <v>0.17425612425769621</v>
      </c>
    </row>
    <row r="845" spans="1:12" s="326" customFormat="1" ht="15.5" x14ac:dyDescent="0.35">
      <c r="A845" s="328" t="s">
        <v>1809</v>
      </c>
      <c r="B845" s="1291">
        <v>0.11297112032306633</v>
      </c>
      <c r="C845" s="1257">
        <v>0.25144648962724664</v>
      </c>
      <c r="D845" s="1257">
        <v>0.12552346702562925</v>
      </c>
      <c r="E845" s="1280">
        <v>0.84395703054681837</v>
      </c>
      <c r="F845" s="1303">
        <v>5.7546535187941568E-2</v>
      </c>
      <c r="G845" s="1288">
        <v>8.982865087867542E-2</v>
      </c>
      <c r="H845" s="1280">
        <v>0.85006965941805346</v>
      </c>
      <c r="I845" s="1303">
        <v>6.256477226368086E-2</v>
      </c>
      <c r="J845" s="1288">
        <v>0.13405562494205431</v>
      </c>
      <c r="K845" s="1280">
        <v>1.2685999213266463</v>
      </c>
      <c r="L845" s="1237">
        <v>0.17425612425769621</v>
      </c>
    </row>
    <row r="846" spans="1:12" s="326" customFormat="1" ht="15.5" x14ac:dyDescent="0.35">
      <c r="A846" s="328" t="s">
        <v>1810</v>
      </c>
      <c r="B846" s="1291">
        <v>0.11297112032306633</v>
      </c>
      <c r="C846" s="1257">
        <v>0.25144648962724664</v>
      </c>
      <c r="D846" s="1257">
        <v>0.12552346702562925</v>
      </c>
      <c r="E846" s="1280">
        <v>0.84395703054681837</v>
      </c>
      <c r="F846" s="1303">
        <v>5.7673116652984344E-2</v>
      </c>
      <c r="G846" s="1288">
        <v>8.825476337456549E-2</v>
      </c>
      <c r="H846" s="1280">
        <v>0.83517559164018962</v>
      </c>
      <c r="I846" s="1303">
        <v>6.3537859903810986E-2</v>
      </c>
      <c r="J846" s="1288">
        <v>0.13289047458812148</v>
      </c>
      <c r="K846" s="1280">
        <v>1.2575738293743552</v>
      </c>
      <c r="L846" s="1237">
        <v>0.17425612425769621</v>
      </c>
    </row>
    <row r="847" spans="1:12" s="326" customFormat="1" ht="15.5" x14ac:dyDescent="0.35">
      <c r="A847" s="328" t="s">
        <v>1811</v>
      </c>
      <c r="B847" s="1291">
        <v>0.11297112032306633</v>
      </c>
      <c r="C847" s="1257">
        <v>0.25144648962724664</v>
      </c>
      <c r="D847" s="1257">
        <v>0.12552346702562925</v>
      </c>
      <c r="E847" s="1280">
        <v>0.84395703054681837</v>
      </c>
      <c r="F847" s="1303">
        <v>5.7523007459649243E-2</v>
      </c>
      <c r="G847" s="1288">
        <v>8.4054368817504041E-2</v>
      </c>
      <c r="H847" s="1280">
        <v>0.79542626961858598</v>
      </c>
      <c r="I847" s="1303">
        <v>6.3603627183538208E-2</v>
      </c>
      <c r="J847" s="1288">
        <v>0.13333379203013204</v>
      </c>
      <c r="K847" s="1280">
        <v>1.2617690466380878</v>
      </c>
      <c r="L847" s="1237">
        <v>0.17425612425769621</v>
      </c>
    </row>
    <row r="848" spans="1:12" s="326" customFormat="1" ht="15.5" x14ac:dyDescent="0.35">
      <c r="A848" s="328" t="s">
        <v>1812</v>
      </c>
      <c r="B848" s="1291">
        <v>0.11297112032306633</v>
      </c>
      <c r="C848" s="1257">
        <v>0.25144648962724664</v>
      </c>
      <c r="D848" s="1257">
        <v>0.12552346702562925</v>
      </c>
      <c r="E848" s="1280">
        <v>0.84395703054681837</v>
      </c>
      <c r="F848" s="1303">
        <v>5.7853099930857861E-2</v>
      </c>
      <c r="G848" s="1288">
        <v>7.9125868617582362E-2</v>
      </c>
      <c r="H848" s="1280">
        <v>0.74878671257962137</v>
      </c>
      <c r="I848" s="1303">
        <v>6.3791936366163093E-2</v>
      </c>
      <c r="J848" s="1288">
        <v>0.13252714978870686</v>
      </c>
      <c r="K848" s="1280">
        <v>1.2541356013093068</v>
      </c>
      <c r="L848" s="1237">
        <v>0.17425612425769621</v>
      </c>
    </row>
    <row r="849" spans="1:12" s="326" customFormat="1" ht="15.5" x14ac:dyDescent="0.35">
      <c r="A849" s="328" t="s">
        <v>1813</v>
      </c>
      <c r="B849" s="1291">
        <v>0.11297112032306633</v>
      </c>
      <c r="C849" s="1257">
        <v>0.25144648962724664</v>
      </c>
      <c r="D849" s="1257">
        <v>0.12552346702562925</v>
      </c>
      <c r="E849" s="1280">
        <v>0.84395703054681837</v>
      </c>
      <c r="F849" s="1303">
        <v>5.6869461366829153E-2</v>
      </c>
      <c r="G849" s="1288">
        <v>7.2195502234175146E-2</v>
      </c>
      <c r="H849" s="1280">
        <v>0.68320302481899575</v>
      </c>
      <c r="I849" s="1303">
        <v>6.3314404311380051E-2</v>
      </c>
      <c r="J849" s="1288">
        <v>0.13217968417838888</v>
      </c>
      <c r="K849" s="1280">
        <v>1.2508474524822535</v>
      </c>
      <c r="L849" s="1237">
        <v>0.17425612425769621</v>
      </c>
    </row>
    <row r="850" spans="1:12" s="326" customFormat="1" ht="15.5" x14ac:dyDescent="0.35">
      <c r="A850" s="328" t="s">
        <v>1814</v>
      </c>
      <c r="B850" s="1291">
        <v>0.11297112032306633</v>
      </c>
      <c r="C850" s="1257">
        <v>0.25144648962724664</v>
      </c>
      <c r="D850" s="1257">
        <v>0.12552346702562925</v>
      </c>
      <c r="E850" s="1280">
        <v>0.84395703054681837</v>
      </c>
      <c r="F850" s="1303">
        <v>5.7399646433492595E-2</v>
      </c>
      <c r="G850" s="1288">
        <v>7.6801594371687404E-2</v>
      </c>
      <c r="H850" s="1280">
        <v>0.72679155850265953</v>
      </c>
      <c r="I850" s="1303">
        <v>6.3521638298705232E-2</v>
      </c>
      <c r="J850" s="1288">
        <v>0.13162549248824906</v>
      </c>
      <c r="K850" s="1280">
        <v>1.2456030061204157</v>
      </c>
      <c r="L850" s="1237">
        <v>0.17425612425769621</v>
      </c>
    </row>
    <row r="851" spans="1:12" s="326" customFormat="1" ht="15.5" x14ac:dyDescent="0.35">
      <c r="A851" s="328" t="s">
        <v>1815</v>
      </c>
      <c r="B851" s="1291">
        <v>0.11297112032306633</v>
      </c>
      <c r="C851" s="1257">
        <v>0.25144648962724664</v>
      </c>
      <c r="D851" s="1257">
        <v>0.12552346702562925</v>
      </c>
      <c r="E851" s="1280">
        <v>0.84395703054681837</v>
      </c>
      <c r="F851" s="1303">
        <v>5.7577735549967722E-2</v>
      </c>
      <c r="G851" s="1288">
        <v>7.4871535363974034E-2</v>
      </c>
      <c r="H851" s="1280">
        <v>0.70852695598113669</v>
      </c>
      <c r="I851" s="1303">
        <v>6.3677823538063491E-2</v>
      </c>
      <c r="J851" s="1288">
        <v>0.13057628283179765</v>
      </c>
      <c r="K851" s="1280">
        <v>1.2356740882685557</v>
      </c>
      <c r="L851" s="1237">
        <v>0.17425612425769621</v>
      </c>
    </row>
    <row r="852" spans="1:12" s="326" customFormat="1" ht="15.5" x14ac:dyDescent="0.35">
      <c r="A852" s="328" t="s">
        <v>1816</v>
      </c>
      <c r="B852" s="1291">
        <v>0.11297112032306633</v>
      </c>
      <c r="C852" s="1257">
        <v>0.25144648962724664</v>
      </c>
      <c r="D852" s="1257">
        <v>0.12552346702562925</v>
      </c>
      <c r="E852" s="1280">
        <v>0.84395703054681837</v>
      </c>
      <c r="F852" s="1303">
        <v>5.7704444570928604E-2</v>
      </c>
      <c r="G852" s="1288">
        <v>7.4646454690929578E-2</v>
      </c>
      <c r="H852" s="1280">
        <v>0.70639696461195856</v>
      </c>
      <c r="I852" s="1303">
        <v>6.387801051096019E-2</v>
      </c>
      <c r="J852" s="1288">
        <v>0.12879938939187355</v>
      </c>
      <c r="K852" s="1280">
        <v>1.2188589275539798</v>
      </c>
      <c r="L852" s="1237">
        <v>0.17425612425769621</v>
      </c>
    </row>
    <row r="853" spans="1:12" s="326" customFormat="1" ht="15.5" x14ac:dyDescent="0.35">
      <c r="A853" s="328" t="s">
        <v>1817</v>
      </c>
      <c r="B853" s="1291">
        <v>0.11297112032306633</v>
      </c>
      <c r="C853" s="1257">
        <v>0.25144648962724664</v>
      </c>
      <c r="D853" s="1257">
        <v>0.12552346702562925</v>
      </c>
      <c r="E853" s="1280">
        <v>0.84395703054681837</v>
      </c>
      <c r="F853" s="1303">
        <v>5.763662913228472E-2</v>
      </c>
      <c r="G853" s="1288">
        <v>7.0437389482591761E-2</v>
      </c>
      <c r="H853" s="1280">
        <v>0.66656559017717343</v>
      </c>
      <c r="I853" s="1303">
        <v>6.4002279573947329E-2</v>
      </c>
      <c r="J853" s="1288">
        <v>0.12938685888191381</v>
      </c>
      <c r="K853" s="1280">
        <v>1.2244182895663462</v>
      </c>
      <c r="L853" s="1237">
        <v>0.17425612425769621</v>
      </c>
    </row>
    <row r="854" spans="1:12" s="326" customFormat="1" ht="15.5" x14ac:dyDescent="0.35">
      <c r="A854" s="328" t="s">
        <v>1818</v>
      </c>
      <c r="B854" s="1291">
        <v>0.11297112032306633</v>
      </c>
      <c r="C854" s="1257">
        <v>0.25144648962724664</v>
      </c>
      <c r="D854" s="1257">
        <v>0.12552346702562925</v>
      </c>
      <c r="E854" s="1280">
        <v>0.84395703054681837</v>
      </c>
      <c r="F854" s="1303">
        <v>5.7644984758098088E-2</v>
      </c>
      <c r="G854" s="1288">
        <v>6.9764699630963559E-2</v>
      </c>
      <c r="H854" s="1280">
        <v>0.66019976783125067</v>
      </c>
      <c r="I854" s="1303">
        <v>6.3752481408090034E-2</v>
      </c>
      <c r="J854" s="1288">
        <v>0.12934718528387104</v>
      </c>
      <c r="K854" s="1280">
        <v>1.224042848973103</v>
      </c>
      <c r="L854" s="1237">
        <v>0.17425612425769621</v>
      </c>
    </row>
    <row r="855" spans="1:12" s="326" customFormat="1" ht="15.5" x14ac:dyDescent="0.35">
      <c r="A855" s="328" t="s">
        <v>1819</v>
      </c>
      <c r="B855" s="1291">
        <v>0.11297112032306633</v>
      </c>
      <c r="C855" s="1257">
        <v>0.25144648962724664</v>
      </c>
      <c r="D855" s="1257">
        <v>0.12552346702562925</v>
      </c>
      <c r="E855" s="1280">
        <v>0.84395703054681837</v>
      </c>
      <c r="F855" s="1303">
        <v>5.7474690135588945E-2</v>
      </c>
      <c r="G855" s="1288">
        <v>7.5548762173851244E-2</v>
      </c>
      <c r="H855" s="1280">
        <v>0.71493571263048938</v>
      </c>
      <c r="I855" s="1303">
        <v>6.3290642333715383E-2</v>
      </c>
      <c r="J855" s="1288">
        <v>0.12995531182900233</v>
      </c>
      <c r="K855" s="1280">
        <v>1.2297976935582793</v>
      </c>
      <c r="L855" s="1237">
        <v>0.17425612425769621</v>
      </c>
    </row>
    <row r="856" spans="1:12" s="326" customFormat="1" ht="15.5" x14ac:dyDescent="0.35">
      <c r="A856" s="328" t="s">
        <v>1820</v>
      </c>
      <c r="B856" s="1291">
        <v>0.11297112032306633</v>
      </c>
      <c r="C856" s="1257">
        <v>0.25144648962724664</v>
      </c>
      <c r="D856" s="1257">
        <v>0.12552346702562925</v>
      </c>
      <c r="E856" s="1280">
        <v>0.84395703054681837</v>
      </c>
      <c r="F856" s="1303">
        <v>5.7610129859626623E-2</v>
      </c>
      <c r="G856" s="1288">
        <v>7.405857354425642E-2</v>
      </c>
      <c r="H856" s="1280">
        <v>0.70083370699601477</v>
      </c>
      <c r="I856" s="1303">
        <v>6.3671430178432659E-2</v>
      </c>
      <c r="J856" s="1288">
        <v>0.13009636391303217</v>
      </c>
      <c r="K856" s="1280">
        <v>1.2311325026181794</v>
      </c>
      <c r="L856" s="1237">
        <v>0.17425612425769621</v>
      </c>
    </row>
    <row r="857" spans="1:12" s="326" customFormat="1" ht="15.5" x14ac:dyDescent="0.35">
      <c r="A857" s="328" t="s">
        <v>1821</v>
      </c>
      <c r="B857" s="1291">
        <v>0.11297112032306633</v>
      </c>
      <c r="C857" s="1257">
        <v>0.25144648962724664</v>
      </c>
      <c r="D857" s="1257">
        <v>0.12552346702562925</v>
      </c>
      <c r="E857" s="1280">
        <v>0.84395703054681837</v>
      </c>
      <c r="F857" s="1303">
        <v>5.740011544462037E-2</v>
      </c>
      <c r="G857" s="1288">
        <v>7.2719763584963751E-2</v>
      </c>
      <c r="H857" s="1280">
        <v>0.68816423333712018</v>
      </c>
      <c r="I857" s="1303">
        <v>6.3620630631712652E-2</v>
      </c>
      <c r="J857" s="1288">
        <v>0.1299541283666287</v>
      </c>
      <c r="K857" s="1280">
        <v>1.229786494175376</v>
      </c>
      <c r="L857" s="1237">
        <v>0.17425612425769621</v>
      </c>
    </row>
    <row r="858" spans="1:12" s="326" customFormat="1" ht="15.5" x14ac:dyDescent="0.35">
      <c r="A858" s="328" t="s">
        <v>1822</v>
      </c>
      <c r="B858" s="1291">
        <v>0.11297112032306633</v>
      </c>
      <c r="C858" s="1257">
        <v>0.25144648962724664</v>
      </c>
      <c r="D858" s="1257">
        <v>0.12552346702562925</v>
      </c>
      <c r="E858" s="1280">
        <v>0.84395703054681837</v>
      </c>
      <c r="F858" s="1303">
        <v>5.7209535367405376E-2</v>
      </c>
      <c r="G858" s="1288">
        <v>7.3607553047724997E-2</v>
      </c>
      <c r="H858" s="1280">
        <v>0.69656559391486816</v>
      </c>
      <c r="I858" s="1303">
        <v>6.3226396906252549E-2</v>
      </c>
      <c r="J858" s="1288">
        <v>0.12923739039157223</v>
      </c>
      <c r="K858" s="1280">
        <v>1.223003834073187</v>
      </c>
      <c r="L858" s="1237">
        <v>0.17425612425769621</v>
      </c>
    </row>
    <row r="859" spans="1:12" s="326" customFormat="1" ht="15.5" x14ac:dyDescent="0.35">
      <c r="A859" s="328" t="s">
        <v>1823</v>
      </c>
      <c r="B859" s="1291">
        <v>0.11297112032306633</v>
      </c>
      <c r="C859" s="1257">
        <v>0.25144648962724664</v>
      </c>
      <c r="D859" s="1257">
        <v>0.12552346702562925</v>
      </c>
      <c r="E859" s="1280">
        <v>0.84395703054681837</v>
      </c>
      <c r="F859" s="1303">
        <v>4.9101358222908113E-2</v>
      </c>
      <c r="G859" s="1288">
        <v>7.3055116176472812E-2</v>
      </c>
      <c r="H859" s="1280">
        <v>0.69133775381706253</v>
      </c>
      <c r="I859" s="1303">
        <v>6.9272794996937462E-2</v>
      </c>
      <c r="J859" s="1288">
        <v>0.12824757951890695</v>
      </c>
      <c r="K859" s="1280">
        <v>1.2136370208884799</v>
      </c>
      <c r="L859" s="1237">
        <v>0.17425612425769621</v>
      </c>
    </row>
    <row r="860" spans="1:12" s="326" customFormat="1" ht="15.5" x14ac:dyDescent="0.35">
      <c r="A860" s="328" t="s">
        <v>1824</v>
      </c>
      <c r="B860" s="1291">
        <v>0.11297112032306633</v>
      </c>
      <c r="C860" s="1257">
        <v>0.25144648962724664</v>
      </c>
      <c r="D860" s="1257">
        <v>0.12552346702562925</v>
      </c>
      <c r="E860" s="1280">
        <v>0.84395703054681837</v>
      </c>
      <c r="F860" s="1303">
        <v>4.9306224483748558E-2</v>
      </c>
      <c r="G860" s="1288">
        <v>7.104840879888405E-2</v>
      </c>
      <c r="H860" s="1280">
        <v>0.67234780973649833</v>
      </c>
      <c r="I860" s="1303">
        <v>6.9097300835160469E-2</v>
      </c>
      <c r="J860" s="1288">
        <v>0.12877362348890734</v>
      </c>
      <c r="K860" s="1280">
        <v>1.2186150987516453</v>
      </c>
      <c r="L860" s="1237">
        <v>0.17425612425769621</v>
      </c>
    </row>
    <row r="861" spans="1:12" s="326" customFormat="1" ht="15.5" x14ac:dyDescent="0.35">
      <c r="A861" s="328" t="s">
        <v>1825</v>
      </c>
      <c r="B861" s="1291">
        <v>0.11297112032306633</v>
      </c>
      <c r="C861" s="1257">
        <v>0.25144648962724664</v>
      </c>
      <c r="D861" s="1257">
        <v>0.12552346702562925</v>
      </c>
      <c r="E861" s="1280">
        <v>0.84395703054681837</v>
      </c>
      <c r="F861" s="1303">
        <v>4.9077096761959475E-2</v>
      </c>
      <c r="G861" s="1288">
        <v>7.5918022626072806E-2</v>
      </c>
      <c r="H861" s="1280">
        <v>0.71843011117467426</v>
      </c>
      <c r="I861" s="1303">
        <v>6.8824196673575311E-2</v>
      </c>
      <c r="J861" s="1288">
        <v>0.12901161713941678</v>
      </c>
      <c r="K861" s="1280">
        <v>1.2208672886649221</v>
      </c>
      <c r="L861" s="1237">
        <v>0.17425612425769621</v>
      </c>
    </row>
    <row r="862" spans="1:12" s="326" customFormat="1" ht="15.5" x14ac:dyDescent="0.35">
      <c r="A862" s="328" t="s">
        <v>1826</v>
      </c>
      <c r="B862" s="1291">
        <v>0.11297112032306633</v>
      </c>
      <c r="C862" s="1257">
        <v>0.25144648962724664</v>
      </c>
      <c r="D862" s="1257">
        <v>0.12552346702562925</v>
      </c>
      <c r="E862" s="1280">
        <v>0.84395703054681837</v>
      </c>
      <c r="F862" s="1303">
        <v>5.8842672740289176E-2</v>
      </c>
      <c r="G862" s="1288">
        <v>7.0383117435499687E-2</v>
      </c>
      <c r="H862" s="1280">
        <v>0.66605200102564777</v>
      </c>
      <c r="I862" s="1303">
        <v>7.4630155502407564E-2</v>
      </c>
      <c r="J862" s="1288">
        <v>0.12990759548778938</v>
      </c>
      <c r="K862" s="1280">
        <v>1.2293461425940069</v>
      </c>
      <c r="L862" s="1237">
        <v>0.17425612425769621</v>
      </c>
    </row>
    <row r="863" spans="1:12" s="326" customFormat="1" ht="15.5" x14ac:dyDescent="0.35">
      <c r="A863" s="328" t="s">
        <v>1827</v>
      </c>
      <c r="B863" s="1291">
        <v>0.11297112032306633</v>
      </c>
      <c r="C863" s="1257">
        <v>0.25144648962724664</v>
      </c>
      <c r="D863" s="1257">
        <v>0.12552346702562925</v>
      </c>
      <c r="E863" s="1280">
        <v>0.84395703054681837</v>
      </c>
      <c r="F863" s="1303">
        <v>5.8941802595742832E-2</v>
      </c>
      <c r="G863" s="1288">
        <v>6.8620412198527228E-2</v>
      </c>
      <c r="H863" s="1280">
        <v>0.6493711066140041</v>
      </c>
      <c r="I863" s="1303">
        <v>7.537799561257516E-2</v>
      </c>
      <c r="J863" s="1288">
        <v>0.11525692520150203</v>
      </c>
      <c r="K863" s="1280">
        <v>1.0907034024583317</v>
      </c>
      <c r="L863" s="1237">
        <v>0.17425612425769621</v>
      </c>
    </row>
    <row r="864" spans="1:12" s="326" customFormat="1" ht="15.5" x14ac:dyDescent="0.35">
      <c r="A864" s="328" t="s">
        <v>1828</v>
      </c>
      <c r="B864" s="1291">
        <v>0.11297112032306633</v>
      </c>
      <c r="C864" s="1257">
        <v>0.25144648962724664</v>
      </c>
      <c r="D864" s="1257">
        <v>0.12552346702562925</v>
      </c>
      <c r="E864" s="1280">
        <v>0.84395703054681837</v>
      </c>
      <c r="F864" s="1303">
        <v>5.8631245158542337E-2</v>
      </c>
      <c r="G864" s="1288">
        <v>6.239302073767064E-2</v>
      </c>
      <c r="H864" s="1280">
        <v>0.59043983595133898</v>
      </c>
      <c r="I864" s="1303">
        <v>7.5181806623883185E-2</v>
      </c>
      <c r="J864" s="1288">
        <v>9.9033948693021012E-2</v>
      </c>
      <c r="K864" s="1280">
        <v>0.93718155858763275</v>
      </c>
      <c r="L864" s="1237">
        <v>0.17425612425769621</v>
      </c>
    </row>
    <row r="865" spans="1:12" s="326" customFormat="1" ht="15.5" x14ac:dyDescent="0.35">
      <c r="A865" s="328" t="s">
        <v>1829</v>
      </c>
      <c r="B865" s="1291">
        <v>0.11297112032306633</v>
      </c>
      <c r="C865" s="1257">
        <v>0.25144648962724664</v>
      </c>
      <c r="D865" s="1257">
        <v>0.12552346702562925</v>
      </c>
      <c r="E865" s="1280">
        <v>0.84395703054681837</v>
      </c>
      <c r="F865" s="1303">
        <v>6.4375342264658963E-2</v>
      </c>
      <c r="G865" s="1288">
        <v>5.7965687332338381E-2</v>
      </c>
      <c r="H865" s="1280">
        <v>0.54854293821117273</v>
      </c>
      <c r="I865" s="1303">
        <v>8.0701919460289387E-2</v>
      </c>
      <c r="J865" s="1288">
        <v>9.9025951034005744E-2</v>
      </c>
      <c r="K865" s="1280">
        <v>0.937105874858569</v>
      </c>
      <c r="L865" s="1237">
        <v>0.17425612425769621</v>
      </c>
    </row>
    <row r="866" spans="1:12" s="326" customFormat="1" ht="15.5" x14ac:dyDescent="0.35">
      <c r="A866" s="328" t="s">
        <v>1830</v>
      </c>
      <c r="B866" s="1291">
        <v>0.11297112032306633</v>
      </c>
      <c r="C866" s="1257">
        <v>0.25144648962724664</v>
      </c>
      <c r="D866" s="1257">
        <v>0.12552346702562925</v>
      </c>
      <c r="E866" s="1280">
        <v>0.84395703054681837</v>
      </c>
      <c r="F866" s="1303">
        <v>6.650918032832237E-2</v>
      </c>
      <c r="G866" s="1288">
        <v>5.8240163394472667E-2</v>
      </c>
      <c r="H866" s="1280">
        <v>0.55114036976975234</v>
      </c>
      <c r="I866" s="1303">
        <v>8.039442968801673E-2</v>
      </c>
      <c r="J866" s="1288">
        <v>0.10070060275603231</v>
      </c>
      <c r="K866" s="1280">
        <v>0.95295349813980579</v>
      </c>
      <c r="L866" s="1330">
        <v>0.17425612425769621</v>
      </c>
    </row>
    <row r="867" spans="1:12" s="326" customFormat="1" ht="15.5" x14ac:dyDescent="0.35">
      <c r="A867" s="328" t="s">
        <v>1831</v>
      </c>
      <c r="B867" s="1291">
        <v>0.11297112032306633</v>
      </c>
      <c r="C867" s="1257">
        <v>0.25144648962724664</v>
      </c>
      <c r="D867" s="1257">
        <v>0.12552346702562925</v>
      </c>
      <c r="E867" s="1280">
        <v>0.84395703054681837</v>
      </c>
      <c r="F867" s="1303">
        <v>5.9386769206427693E-2</v>
      </c>
      <c r="G867" s="1288">
        <v>5.8520360394202824E-2</v>
      </c>
      <c r="H867" s="1280">
        <v>0.55379193990690467</v>
      </c>
      <c r="I867" s="1303">
        <v>8.0635726739707633E-2</v>
      </c>
      <c r="J867" s="1288">
        <v>0.10063042376173506</v>
      </c>
      <c r="K867" s="1280">
        <v>0.95228937780406619</v>
      </c>
      <c r="L867" s="1330">
        <v>0.17347419897146646</v>
      </c>
    </row>
    <row r="868" spans="1:12" s="326" customFormat="1" ht="15.5" x14ac:dyDescent="0.35">
      <c r="A868" s="328" t="s">
        <v>1832</v>
      </c>
      <c r="B868" s="1291">
        <v>0.11297112032306633</v>
      </c>
      <c r="C868" s="1257">
        <v>0.25144648962724664</v>
      </c>
      <c r="D868" s="1257">
        <v>0.12552346702562925</v>
      </c>
      <c r="E868" s="1280">
        <v>0.84395703054681837</v>
      </c>
      <c r="F868" s="1303">
        <v>6.5281175869103036E-2</v>
      </c>
      <c r="G868" s="1288">
        <v>5.7340916595731088E-2</v>
      </c>
      <c r="H868" s="1280">
        <v>0.54263058572577871</v>
      </c>
      <c r="I868" s="1303">
        <v>8.0569715852480878E-2</v>
      </c>
      <c r="J868" s="1288">
        <v>0.10102338639910859</v>
      </c>
      <c r="K868" s="1280">
        <v>0.95600807570332891</v>
      </c>
      <c r="L868" s="1330">
        <v>0.1637287641101364</v>
      </c>
    </row>
    <row r="869" spans="1:12" s="326" customFormat="1" ht="15.5" x14ac:dyDescent="0.35">
      <c r="A869" s="328" t="s">
        <v>1833</v>
      </c>
      <c r="B869" s="1291">
        <v>0.11297112032306633</v>
      </c>
      <c r="C869" s="1257">
        <v>0.25144648962724664</v>
      </c>
      <c r="D869" s="1257">
        <v>0.12552346702562925</v>
      </c>
      <c r="E869" s="1280">
        <v>0.84395703054681837</v>
      </c>
      <c r="F869" s="1303">
        <v>6.0069233460325971E-2</v>
      </c>
      <c r="G869" s="1288">
        <v>5.5272960115197167E-2</v>
      </c>
      <c r="H869" s="1280">
        <v>0.52306102697249079</v>
      </c>
      <c r="I869" s="1303">
        <v>7.8376952233567512E-2</v>
      </c>
      <c r="J869" s="1288">
        <v>9.8493778886080269E-2</v>
      </c>
      <c r="K869" s="1280">
        <v>0.93206980460577427</v>
      </c>
      <c r="L869" s="1330">
        <v>0.19315417973135079</v>
      </c>
    </row>
    <row r="870" spans="1:12" s="326" customFormat="1" ht="15.5" x14ac:dyDescent="0.35">
      <c r="A870" s="328" t="s">
        <v>1834</v>
      </c>
      <c r="B870" s="1291">
        <v>0.11297112032306633</v>
      </c>
      <c r="C870" s="1257">
        <v>0.25144648962724664</v>
      </c>
      <c r="D870" s="1257">
        <v>0.12552346702562925</v>
      </c>
      <c r="E870" s="1280">
        <v>0.84395703054681837</v>
      </c>
      <c r="F870" s="1303">
        <v>5.7612526926671473E-2</v>
      </c>
      <c r="G870" s="1288">
        <v>5.5546575953446219E-2</v>
      </c>
      <c r="H870" s="1280">
        <v>0.52565031803003881</v>
      </c>
      <c r="I870" s="1303">
        <v>7.7900745370836397E-2</v>
      </c>
      <c r="J870" s="1288">
        <v>9.9259374376266876E-2</v>
      </c>
      <c r="K870" s="1280">
        <v>0.93931481486952562</v>
      </c>
      <c r="L870" s="1330">
        <v>0.19315417973135723</v>
      </c>
    </row>
    <row r="871" spans="1:12" s="326" customFormat="1" ht="15.5" x14ac:dyDescent="0.35">
      <c r="A871" s="328" t="s">
        <v>1835</v>
      </c>
      <c r="B871" s="1287">
        <v>0.11297112032306633</v>
      </c>
      <c r="C871" s="1288">
        <v>0.25144648962724664</v>
      </c>
      <c r="D871" s="1288">
        <v>0.32176530946540971</v>
      </c>
      <c r="E871" s="1306">
        <v>2.0055568094183305</v>
      </c>
      <c r="F871" s="1303">
        <v>6.005251781231094E-2</v>
      </c>
      <c r="G871" s="1288">
        <v>5.5644753914220309E-2</v>
      </c>
      <c r="H871" s="1280">
        <v>0.52657939917354069</v>
      </c>
      <c r="I871" s="1303">
        <v>7.5542024605317323E-2</v>
      </c>
      <c r="J871" s="1288">
        <v>9.655866636653028E-2</v>
      </c>
      <c r="K871" s="1280">
        <v>0.91375737951267999</v>
      </c>
      <c r="L871" s="1330">
        <v>0.19176016937371032</v>
      </c>
    </row>
    <row r="872" spans="1:12" s="326" customFormat="1" ht="15.5" x14ac:dyDescent="0.35">
      <c r="A872" s="328" t="s">
        <v>1836</v>
      </c>
      <c r="B872" s="1287">
        <v>0.12094732953693402</v>
      </c>
      <c r="C872" s="1288">
        <v>0.21368230722232162</v>
      </c>
      <c r="D872" s="1288">
        <v>0.23947550030828746</v>
      </c>
      <c r="E872" s="1306">
        <v>1.9912609398089296</v>
      </c>
      <c r="F872" s="1303">
        <v>5.9083139714889973E-2</v>
      </c>
      <c r="G872" s="1288">
        <v>5.4835887167287503E-2</v>
      </c>
      <c r="H872" s="1280">
        <v>0.51892490282572801</v>
      </c>
      <c r="I872" s="1303">
        <v>7.2788079154587987E-2</v>
      </c>
      <c r="J872" s="1288">
        <v>9.5180873261871232E-2</v>
      </c>
      <c r="K872" s="1280">
        <v>0.90071899917667841</v>
      </c>
      <c r="L872" s="1330">
        <v>0.19528918698443132</v>
      </c>
    </row>
    <row r="873" spans="1:12" s="326" customFormat="1" ht="15.5" x14ac:dyDescent="0.35">
      <c r="A873" s="328" t="s">
        <v>1837</v>
      </c>
      <c r="B873" s="1287">
        <v>0.13223244961682107</v>
      </c>
      <c r="C873" s="1288">
        <v>0.21325002914521843</v>
      </c>
      <c r="D873" s="1288">
        <v>0.25994660149469928</v>
      </c>
      <c r="E873" s="1306">
        <v>1.984178919471745</v>
      </c>
      <c r="F873" s="1303">
        <v>5.4154503103721809E-2</v>
      </c>
      <c r="G873" s="1288">
        <v>5.3697246727169815E-2</v>
      </c>
      <c r="H873" s="1280">
        <v>0.50814968042549669</v>
      </c>
      <c r="I873" s="1303">
        <v>6.827618863280957E-2</v>
      </c>
      <c r="J873" s="1288">
        <v>9.0618270171897039E-2</v>
      </c>
      <c r="K873" s="1280">
        <v>0.85754201258258445</v>
      </c>
      <c r="L873" s="1330">
        <v>0.19420272852245252</v>
      </c>
    </row>
    <row r="874" spans="1:12" s="326" customFormat="1" ht="15.5" x14ac:dyDescent="0.35">
      <c r="A874" s="328" t="s">
        <v>1838</v>
      </c>
      <c r="B874" s="1287">
        <v>0.13609026237216851</v>
      </c>
      <c r="C874" s="1288">
        <v>0.23811374668383031</v>
      </c>
      <c r="D874" s="1288">
        <v>0.27985366087598196</v>
      </c>
      <c r="E874" s="1306">
        <v>1.763994158580688</v>
      </c>
      <c r="F874" s="1303">
        <v>5.7004620665291078E-2</v>
      </c>
      <c r="G874" s="1288">
        <v>5.177686444938772E-2</v>
      </c>
      <c r="H874" s="1280">
        <v>0.48997665107619115</v>
      </c>
      <c r="I874" s="1303">
        <v>6.8341047780496281E-2</v>
      </c>
      <c r="J874" s="1288">
        <v>8.9736189623139104E-2</v>
      </c>
      <c r="K874" s="1280">
        <v>0.84919467680132366</v>
      </c>
      <c r="L874" s="1330">
        <v>0.19322491590645802</v>
      </c>
    </row>
    <row r="875" spans="1:12" s="326" customFormat="1" ht="15.5" x14ac:dyDescent="0.35">
      <c r="A875" s="328" t="s">
        <v>1839</v>
      </c>
      <c r="B875" s="1287">
        <v>0.11513818146748253</v>
      </c>
      <c r="C875" s="1288">
        <v>0.17455164098180465</v>
      </c>
      <c r="D875" s="1288">
        <v>0.24734830237107383</v>
      </c>
      <c r="E875" s="1280">
        <v>0.8601461812184652</v>
      </c>
      <c r="F875" s="1303">
        <v>5.389708758088077E-2</v>
      </c>
      <c r="G875" s="1288">
        <v>5.1666984965898992E-2</v>
      </c>
      <c r="H875" s="1280">
        <v>0.48893683566994117</v>
      </c>
      <c r="I875" s="1303">
        <v>6.4946414201003985E-2</v>
      </c>
      <c r="J875" s="1288">
        <v>8.7125142031013209E-2</v>
      </c>
      <c r="K875" s="1280">
        <v>0.82448571907289714</v>
      </c>
      <c r="L875" s="1330">
        <v>0.19234488455240079</v>
      </c>
    </row>
    <row r="876" spans="1:12" s="326" customFormat="1" ht="15.5" x14ac:dyDescent="0.35">
      <c r="A876" s="328" t="s">
        <v>1840</v>
      </c>
      <c r="B876" s="1287">
        <v>9.1986322797714654E-2</v>
      </c>
      <c r="C876" s="1288">
        <v>0.16119235985545347</v>
      </c>
      <c r="D876" s="1288">
        <v>0.25028527364963576</v>
      </c>
      <c r="E876" s="1280">
        <v>0.68718893481159382</v>
      </c>
      <c r="F876" s="1303">
        <v>5.2388472342725131E-2</v>
      </c>
      <c r="G876" s="1288">
        <v>4.9123494097379448E-2</v>
      </c>
      <c r="H876" s="1280">
        <v>0.46486718311270109</v>
      </c>
      <c r="I876" s="1303">
        <v>6.3314845645342191E-2</v>
      </c>
      <c r="J876" s="1288">
        <v>8.4919978874030341E-2</v>
      </c>
      <c r="K876" s="1280">
        <v>0.80361774125644891</v>
      </c>
      <c r="L876" s="1330">
        <v>0.1732391975535556</v>
      </c>
    </row>
    <row r="877" spans="1:12" s="326" customFormat="1" ht="15.5" x14ac:dyDescent="0.35">
      <c r="A877" s="328" t="s">
        <v>1841</v>
      </c>
      <c r="B877" s="1287">
        <v>9.717765195279085E-2</v>
      </c>
      <c r="C877" s="1288">
        <v>0.18946930044120586</v>
      </c>
      <c r="D877" s="1288">
        <v>0.28443666558076458</v>
      </c>
      <c r="E877" s="1280">
        <v>0.72597104767176579</v>
      </c>
      <c r="F877" s="1303">
        <v>5.1034017206971816E-2</v>
      </c>
      <c r="G877" s="1288">
        <v>4.7410923626779136E-2</v>
      </c>
      <c r="H877" s="1280">
        <v>0.44866072579165256</v>
      </c>
      <c r="I877" s="1303">
        <v>6.1747753730167755E-2</v>
      </c>
      <c r="J877" s="1288">
        <v>8.2799891536854964E-2</v>
      </c>
      <c r="K877" s="1280">
        <v>0.78355485594067886</v>
      </c>
      <c r="L877" s="1330">
        <v>0.1725945227515478</v>
      </c>
    </row>
    <row r="878" spans="1:12" s="326" customFormat="1" ht="15.5" x14ac:dyDescent="0.35">
      <c r="A878" s="328" t="s">
        <v>1842</v>
      </c>
      <c r="B878" s="1287">
        <v>0.10547091085881821</v>
      </c>
      <c r="C878" s="1288">
        <v>0.18169041279850978</v>
      </c>
      <c r="D878" s="1288">
        <v>0.22486448781516849</v>
      </c>
      <c r="E878" s="1280">
        <v>0.78792629906584921</v>
      </c>
      <c r="F878" s="1303">
        <v>4.96676414883069E-2</v>
      </c>
      <c r="G878" s="1288">
        <v>4.5799769698193389E-2</v>
      </c>
      <c r="H878" s="1280">
        <v>0.43341399707040357</v>
      </c>
      <c r="I878" s="1303">
        <v>6.0180157173522236E-2</v>
      </c>
      <c r="J878" s="1288">
        <v>8.0680668144429188E-2</v>
      </c>
      <c r="K878" s="1280">
        <v>0.76350014633735563</v>
      </c>
      <c r="L878" s="1330">
        <v>0.17259452275157855</v>
      </c>
    </row>
    <row r="879" spans="1:12" s="326" customFormat="1" ht="15.5" x14ac:dyDescent="0.35">
      <c r="A879" s="328" t="s">
        <v>1843</v>
      </c>
      <c r="B879" s="1287">
        <v>0.10357212096044235</v>
      </c>
      <c r="C879" s="1288">
        <v>0.13638529439807273</v>
      </c>
      <c r="D879" s="1288">
        <v>0.21864900678390506</v>
      </c>
      <c r="E879" s="1306">
        <v>1.8982986074045254</v>
      </c>
      <c r="F879" s="1303">
        <v>4.9377608674724426E-2</v>
      </c>
      <c r="G879" s="1288">
        <v>4.4227990888079931E-2</v>
      </c>
      <c r="H879" s="1306">
        <v>0.41960529569866284</v>
      </c>
      <c r="I879" s="1303">
        <v>6.0169631275620014E-2</v>
      </c>
      <c r="J879" s="1288">
        <v>8.0639335603010828E-2</v>
      </c>
      <c r="K879" s="1306">
        <v>0.59868827710250538</v>
      </c>
      <c r="L879" s="1330">
        <v>0.15953318113507978</v>
      </c>
    </row>
    <row r="880" spans="1:12" s="326" customFormat="1" ht="15.5" x14ac:dyDescent="0.35">
      <c r="A880" s="328" t="s">
        <v>1844</v>
      </c>
      <c r="B880" s="1287">
        <v>0.11379153722627063</v>
      </c>
      <c r="C880" s="1288">
        <v>0.13934244491854447</v>
      </c>
      <c r="D880" s="1288">
        <v>0.21275325011693216</v>
      </c>
      <c r="E880" s="1306">
        <v>1.9530567921595361</v>
      </c>
      <c r="F880" s="1303">
        <v>4.9116446122198926E-2</v>
      </c>
      <c r="G880" s="1288">
        <v>4.2713158370242157E-2</v>
      </c>
      <c r="H880" s="1306">
        <v>0.42697842661261082</v>
      </c>
      <c r="I880" s="1303">
        <v>6.0157457931432651E-2</v>
      </c>
      <c r="J880" s="1288">
        <v>8.0596263388237444E-2</v>
      </c>
      <c r="K880" s="1306">
        <v>0.5988032743379994</v>
      </c>
      <c r="L880" s="1330">
        <v>0.1595331811349853</v>
      </c>
    </row>
    <row r="881" spans="1:12" s="326" customFormat="1" ht="15.5" x14ac:dyDescent="0.35">
      <c r="A881" s="328" t="s">
        <v>1845</v>
      </c>
      <c r="B881" s="1287">
        <v>0.10844615133208127</v>
      </c>
      <c r="C881" s="1288">
        <v>0.14998360565803689</v>
      </c>
      <c r="D881" s="1288">
        <v>0.18774086077869065</v>
      </c>
      <c r="E881" s="1306">
        <v>1.9037842950700132</v>
      </c>
      <c r="F881" s="1303">
        <v>4.8984196360737406E-2</v>
      </c>
      <c r="G881" s="1288">
        <v>4.2245889898543283E-2</v>
      </c>
      <c r="H881" s="1306">
        <v>0.44208178275435683</v>
      </c>
      <c r="I881" s="1303">
        <v>6.01439998359748E-2</v>
      </c>
      <c r="J881" s="1288">
        <v>8.0554272240050476E-2</v>
      </c>
      <c r="K881" s="1306">
        <v>0.59894295993963087</v>
      </c>
      <c r="L881" s="1330">
        <v>0.15953318113500276</v>
      </c>
    </row>
    <row r="882" spans="1:12" s="326" customFormat="1" ht="15.5" x14ac:dyDescent="0.35">
      <c r="A882" s="328" t="s">
        <v>1846</v>
      </c>
      <c r="B882" s="1287">
        <v>0.11619329120069655</v>
      </c>
      <c r="C882" s="1288">
        <v>9.7918250241690319E-2</v>
      </c>
      <c r="D882" s="1288">
        <v>0.22208901115410487</v>
      </c>
      <c r="E882" s="1306">
        <v>1.9140961818384885</v>
      </c>
      <c r="F882" s="1303">
        <v>4.8841092422944828E-2</v>
      </c>
      <c r="G882" s="1288">
        <v>4.2077061536200291E-2</v>
      </c>
      <c r="H882" s="1306">
        <v>0.45765781902736918</v>
      </c>
      <c r="I882" s="1303">
        <v>6.0129146166504811E-2</v>
      </c>
      <c r="J882" s="1288">
        <v>8.0514056043158685E-2</v>
      </c>
      <c r="K882" s="1306">
        <v>0.59909358278233027</v>
      </c>
      <c r="L882" s="1330">
        <v>0.15378753225897124</v>
      </c>
    </row>
    <row r="883" spans="1:12" s="326" customFormat="1" ht="15.5" x14ac:dyDescent="0.35">
      <c r="A883" s="328" t="s">
        <v>1847</v>
      </c>
      <c r="B883" s="1287">
        <v>0.11349115391980198</v>
      </c>
      <c r="C883" s="1288">
        <v>0.14640033434161365</v>
      </c>
      <c r="D883" s="1288">
        <v>0.22152996716283704</v>
      </c>
      <c r="E883" s="1306">
        <v>1.9033773886938625</v>
      </c>
      <c r="F883" s="1303">
        <v>4.8655023355374055E-2</v>
      </c>
      <c r="G883" s="1288">
        <v>4.1885646173833849E-2</v>
      </c>
      <c r="H883" s="1306">
        <v>0.46878049880748596</v>
      </c>
      <c r="I883" s="1303">
        <v>6.011170473002965E-2</v>
      </c>
      <c r="J883" s="1288">
        <v>8.0470281469594548E-2</v>
      </c>
      <c r="K883" s="1306">
        <v>0.59924602179514652</v>
      </c>
      <c r="L883" s="1330">
        <v>0.15378753225896469</v>
      </c>
    </row>
    <row r="884" spans="1:12" s="326" customFormat="1" ht="15.5" x14ac:dyDescent="0.35">
      <c r="A884" s="328" t="s">
        <v>1848</v>
      </c>
      <c r="B884" s="1287">
        <v>0.10999192690319827</v>
      </c>
      <c r="C884" s="1288">
        <v>0.13920083118002477</v>
      </c>
      <c r="D884" s="1288">
        <v>0.24474277823902885</v>
      </c>
      <c r="E884" s="1306">
        <v>1.9403770703274481</v>
      </c>
      <c r="F884" s="1303">
        <v>4.8460236270757857E-2</v>
      </c>
      <c r="G884" s="1288">
        <v>4.1670881152385889E-2</v>
      </c>
      <c r="H884" s="1306">
        <v>0.47722535114105546</v>
      </c>
      <c r="I884" s="1303">
        <v>6.0089618207598706E-2</v>
      </c>
      <c r="J884" s="1288">
        <v>8.0408007122088093E-2</v>
      </c>
      <c r="K884" s="1306">
        <v>0.5993498440508952</v>
      </c>
      <c r="L884" s="1330">
        <v>0.15378753225897004</v>
      </c>
    </row>
    <row r="885" spans="1:12" s="326" customFormat="1" ht="15.5" x14ac:dyDescent="0.35">
      <c r="A885" s="328" t="s">
        <v>1849</v>
      </c>
      <c r="B885" s="1287">
        <v>6.4670367970624379E-2</v>
      </c>
      <c r="C885" s="1288">
        <v>9.6743254841225493E-2</v>
      </c>
      <c r="D885" s="1288">
        <v>9.6797081476315161E-2</v>
      </c>
      <c r="E885" s="1306">
        <v>1.9224537085224584</v>
      </c>
      <c r="F885" s="1303">
        <v>4.7868725466445647E-2</v>
      </c>
      <c r="G885" s="1288">
        <v>4.1128342692451351E-2</v>
      </c>
      <c r="H885" s="1306">
        <v>0.47480024569523616</v>
      </c>
      <c r="I885" s="1303">
        <v>6.0057439077346536E-2</v>
      </c>
      <c r="J885" s="1288">
        <v>8.0291645248611362E-2</v>
      </c>
      <c r="K885" s="1306">
        <v>0.59909768536521735</v>
      </c>
      <c r="L885" s="1330">
        <v>0.15378818654448637</v>
      </c>
    </row>
    <row r="886" spans="1:12" s="326" customFormat="1" ht="15.5" x14ac:dyDescent="0.35">
      <c r="A886" s="328" t="s">
        <v>1850</v>
      </c>
      <c r="B886" s="1291">
        <v>6.4670367970624379E-2</v>
      </c>
      <c r="C886" s="1257">
        <v>9.6743254841225493E-2</v>
      </c>
      <c r="D886" s="1257">
        <v>9.6797081476315161E-2</v>
      </c>
      <c r="E886" s="1280">
        <v>1.9224537085224584</v>
      </c>
      <c r="F886" s="1271">
        <v>4.7868725466445647E-2</v>
      </c>
      <c r="G886" s="1257">
        <v>4.1128342692451351E-2</v>
      </c>
      <c r="H886" s="1280">
        <v>0.47480024569523616</v>
      </c>
      <c r="I886" s="1271">
        <v>6.0057439077346536E-2</v>
      </c>
      <c r="J886" s="1257">
        <v>8.0291645248611362E-2</v>
      </c>
      <c r="K886" s="1280">
        <v>0.59909768536521735</v>
      </c>
      <c r="L886" s="1330">
        <v>0.16102222078175182</v>
      </c>
    </row>
    <row r="887" spans="1:12" s="326" customFormat="1" ht="15.5" x14ac:dyDescent="0.35">
      <c r="A887" s="328" t="s">
        <v>1851</v>
      </c>
      <c r="B887" s="1291">
        <v>0.12094732953693373</v>
      </c>
      <c r="C887" s="1257">
        <v>0.21368866261642258</v>
      </c>
      <c r="D887" s="1257">
        <v>0.13438592170770414</v>
      </c>
      <c r="E887" s="1280">
        <v>0.9035437446017488</v>
      </c>
      <c r="F887" s="1271">
        <v>5.7272596649538342E-2</v>
      </c>
      <c r="G887" s="1257">
        <v>9.6679216190054706E-2</v>
      </c>
      <c r="H887" s="1280">
        <v>0.91489817085735592</v>
      </c>
      <c r="I887" s="1271">
        <v>6.3025237220506666E-2</v>
      </c>
      <c r="J887" s="1257">
        <v>0.14157518337736247</v>
      </c>
      <c r="K887" s="1280">
        <v>1.3397592721078346</v>
      </c>
      <c r="L887" s="1237">
        <v>0.1742564282397267</v>
      </c>
    </row>
    <row r="888" spans="1:12" s="326" customFormat="1" ht="15.5" x14ac:dyDescent="0.35">
      <c r="A888" s="328" t="s">
        <v>1852</v>
      </c>
      <c r="B888" s="1291">
        <v>0.12094732953693373</v>
      </c>
      <c r="C888" s="1257">
        <v>0.21368866261642258</v>
      </c>
      <c r="D888" s="1257">
        <v>0.13438592170770414</v>
      </c>
      <c r="E888" s="1280">
        <v>0.9035437446017488</v>
      </c>
      <c r="F888" s="1271">
        <v>5.7272596649538342E-2</v>
      </c>
      <c r="G888" s="1257">
        <v>9.6679216190054706E-2</v>
      </c>
      <c r="H888" s="1280">
        <v>0.91489817085735592</v>
      </c>
      <c r="I888" s="1271">
        <v>6.3025237220506666E-2</v>
      </c>
      <c r="J888" s="1257">
        <v>0.14157518337736247</v>
      </c>
      <c r="K888" s="1280">
        <v>1.3397592721078346</v>
      </c>
      <c r="L888" s="1237">
        <v>0.1742564282397267</v>
      </c>
    </row>
    <row r="889" spans="1:12" s="326" customFormat="1" ht="15.5" x14ac:dyDescent="0.35">
      <c r="A889" s="328" t="s">
        <v>1853</v>
      </c>
      <c r="B889" s="1291">
        <v>0.12094732953693373</v>
      </c>
      <c r="C889" s="1257">
        <v>0.21368866261642258</v>
      </c>
      <c r="D889" s="1257">
        <v>0.13438592170770414</v>
      </c>
      <c r="E889" s="1280">
        <v>0.9035437446017488</v>
      </c>
      <c r="F889" s="1271">
        <v>5.7272596649538342E-2</v>
      </c>
      <c r="G889" s="1257">
        <v>9.6679216190054706E-2</v>
      </c>
      <c r="H889" s="1280">
        <v>0.91489817085735592</v>
      </c>
      <c r="I889" s="1271">
        <v>6.3025237220506666E-2</v>
      </c>
      <c r="J889" s="1257">
        <v>0.14157518337736247</v>
      </c>
      <c r="K889" s="1280">
        <v>1.3397592721078346</v>
      </c>
      <c r="L889" s="1237">
        <v>0.1742564282397267</v>
      </c>
    </row>
    <row r="890" spans="1:12" s="326" customFormat="1" ht="15.5" x14ac:dyDescent="0.35">
      <c r="A890" s="328" t="s">
        <v>1854</v>
      </c>
      <c r="B890" s="1291">
        <v>0.12094732953693373</v>
      </c>
      <c r="C890" s="1257">
        <v>0.21368866261642258</v>
      </c>
      <c r="D890" s="1257">
        <v>0.13438592170770414</v>
      </c>
      <c r="E890" s="1280">
        <v>0.9035437446017488</v>
      </c>
      <c r="F890" s="1271">
        <v>5.7272596649538342E-2</v>
      </c>
      <c r="G890" s="1257">
        <v>9.6679216190054706E-2</v>
      </c>
      <c r="H890" s="1280">
        <v>0.91489817085735592</v>
      </c>
      <c r="I890" s="1271">
        <v>6.3025237220506666E-2</v>
      </c>
      <c r="J890" s="1257">
        <v>0.14157518337736247</v>
      </c>
      <c r="K890" s="1280">
        <v>1.3397592721078346</v>
      </c>
      <c r="L890" s="1237">
        <v>0.1742564282397267</v>
      </c>
    </row>
    <row r="891" spans="1:12" s="326" customFormat="1" ht="15.5" x14ac:dyDescent="0.35">
      <c r="A891" s="328" t="s">
        <v>1855</v>
      </c>
      <c r="B891" s="1291">
        <v>0.12094732953693373</v>
      </c>
      <c r="C891" s="1257">
        <v>0.21368866261642258</v>
      </c>
      <c r="D891" s="1257">
        <v>0.13438592170770414</v>
      </c>
      <c r="E891" s="1280">
        <v>0.9035437446017488</v>
      </c>
      <c r="F891" s="1271">
        <v>5.7272596649538342E-2</v>
      </c>
      <c r="G891" s="1257">
        <v>9.6679216190054706E-2</v>
      </c>
      <c r="H891" s="1280">
        <v>0.91489817085735592</v>
      </c>
      <c r="I891" s="1271">
        <v>6.3025237220506666E-2</v>
      </c>
      <c r="J891" s="1257">
        <v>0.14157518337736247</v>
      </c>
      <c r="K891" s="1280">
        <v>1.3397592721078346</v>
      </c>
      <c r="L891" s="1237">
        <v>0.1742564282397267</v>
      </c>
    </row>
    <row r="892" spans="1:12" s="326" customFormat="1" ht="15.5" x14ac:dyDescent="0.35">
      <c r="A892" s="328" t="s">
        <v>1856</v>
      </c>
      <c r="B892" s="1291">
        <v>0.12094732953693373</v>
      </c>
      <c r="C892" s="1257">
        <v>0.21368866261642258</v>
      </c>
      <c r="D892" s="1257">
        <v>0.13438592170770414</v>
      </c>
      <c r="E892" s="1280">
        <v>0.9035437446017488</v>
      </c>
      <c r="F892" s="1271">
        <v>5.7272596649538342E-2</v>
      </c>
      <c r="G892" s="1257">
        <v>9.6679216190054706E-2</v>
      </c>
      <c r="H892" s="1280">
        <v>0.91489817085735592</v>
      </c>
      <c r="I892" s="1271">
        <v>6.3025237220506666E-2</v>
      </c>
      <c r="J892" s="1257">
        <v>0.14157518337736247</v>
      </c>
      <c r="K892" s="1280">
        <v>1.3397592721078346</v>
      </c>
      <c r="L892" s="1237">
        <v>0.1742564282397267</v>
      </c>
    </row>
    <row r="893" spans="1:12" s="326" customFormat="1" ht="15.5" x14ac:dyDescent="0.35">
      <c r="A893" s="328" t="s">
        <v>1857</v>
      </c>
      <c r="B893" s="1291">
        <v>0.12094732953693373</v>
      </c>
      <c r="C893" s="1257">
        <v>0.21368866261642258</v>
      </c>
      <c r="D893" s="1257">
        <v>0.13438592170770414</v>
      </c>
      <c r="E893" s="1280">
        <v>0.9035437446017488</v>
      </c>
      <c r="F893" s="1271">
        <v>5.7272596649538342E-2</v>
      </c>
      <c r="G893" s="1257">
        <v>9.6679216190054706E-2</v>
      </c>
      <c r="H893" s="1280">
        <v>0.91489817085735592</v>
      </c>
      <c r="I893" s="1271">
        <v>6.3025237220506666E-2</v>
      </c>
      <c r="J893" s="1257">
        <v>0.14157518337736247</v>
      </c>
      <c r="K893" s="1280">
        <v>1.3397592721078346</v>
      </c>
      <c r="L893" s="1237">
        <v>0.1742564282397267</v>
      </c>
    </row>
    <row r="894" spans="1:12" s="326" customFormat="1" ht="15.5" x14ac:dyDescent="0.35">
      <c r="A894" s="328" t="s">
        <v>1858</v>
      </c>
      <c r="B894" s="1291">
        <v>0.12094732953693373</v>
      </c>
      <c r="C894" s="1257">
        <v>0.21368866261642258</v>
      </c>
      <c r="D894" s="1257">
        <v>0.13438592170770414</v>
      </c>
      <c r="E894" s="1280">
        <v>0.9035437446017488</v>
      </c>
      <c r="F894" s="1271">
        <v>5.7272596649538342E-2</v>
      </c>
      <c r="G894" s="1257">
        <v>9.6679216190054706E-2</v>
      </c>
      <c r="H894" s="1280">
        <v>0.91489817085735592</v>
      </c>
      <c r="I894" s="1271">
        <v>6.3025237220506666E-2</v>
      </c>
      <c r="J894" s="1257">
        <v>0.14157518337736247</v>
      </c>
      <c r="K894" s="1280">
        <v>1.3397592721078346</v>
      </c>
      <c r="L894" s="1237">
        <v>0.1742564282397267</v>
      </c>
    </row>
    <row r="895" spans="1:12" s="326" customFormat="1" ht="15.5" x14ac:dyDescent="0.35">
      <c r="A895" s="328" t="s">
        <v>1859</v>
      </c>
      <c r="B895" s="1291">
        <v>0.12094732953693373</v>
      </c>
      <c r="C895" s="1257">
        <v>0.21368866261642258</v>
      </c>
      <c r="D895" s="1257">
        <v>0.13438592170770414</v>
      </c>
      <c r="E895" s="1280">
        <v>0.9035437446017488</v>
      </c>
      <c r="F895" s="1271">
        <v>5.7272596649538342E-2</v>
      </c>
      <c r="G895" s="1257">
        <v>9.6679216190054706E-2</v>
      </c>
      <c r="H895" s="1280">
        <v>0.91489817085735592</v>
      </c>
      <c r="I895" s="1271">
        <v>6.3025237220506666E-2</v>
      </c>
      <c r="J895" s="1257">
        <v>0.14157518337736247</v>
      </c>
      <c r="K895" s="1280">
        <v>1.3397592721078346</v>
      </c>
      <c r="L895" s="1237">
        <v>0.1742564282397267</v>
      </c>
    </row>
    <row r="896" spans="1:12" s="326" customFormat="1" ht="15.5" x14ac:dyDescent="0.35">
      <c r="A896" s="328" t="s">
        <v>1860</v>
      </c>
      <c r="B896" s="1291">
        <v>0.12094732953693373</v>
      </c>
      <c r="C896" s="1257">
        <v>0.21368866261642258</v>
      </c>
      <c r="D896" s="1257">
        <v>0.13438592170770414</v>
      </c>
      <c r="E896" s="1280">
        <v>0.9035437446017488</v>
      </c>
      <c r="F896" s="1271">
        <v>5.7272596649538342E-2</v>
      </c>
      <c r="G896" s="1257">
        <v>9.6679216190054706E-2</v>
      </c>
      <c r="H896" s="1280">
        <v>0.91489817085735592</v>
      </c>
      <c r="I896" s="1271">
        <v>6.3025237220506666E-2</v>
      </c>
      <c r="J896" s="1257">
        <v>0.14157518337736247</v>
      </c>
      <c r="K896" s="1280">
        <v>1.3397592721078346</v>
      </c>
      <c r="L896" s="1237">
        <v>0.1742564282397267</v>
      </c>
    </row>
    <row r="897" spans="1:12" s="326" customFormat="1" ht="15.5" x14ac:dyDescent="0.35">
      <c r="A897" s="328" t="s">
        <v>1861</v>
      </c>
      <c r="B897" s="1291">
        <v>0.12094732953693373</v>
      </c>
      <c r="C897" s="1257">
        <v>0.21368866261642258</v>
      </c>
      <c r="D897" s="1257">
        <v>0.13438592170770414</v>
      </c>
      <c r="E897" s="1280">
        <v>0.9035437446017488</v>
      </c>
      <c r="F897" s="1271">
        <v>5.7272596649538342E-2</v>
      </c>
      <c r="G897" s="1257">
        <v>9.6679216190054706E-2</v>
      </c>
      <c r="H897" s="1280">
        <v>0.91489817085735592</v>
      </c>
      <c r="I897" s="1271">
        <v>6.3025237220506666E-2</v>
      </c>
      <c r="J897" s="1257">
        <v>0.14157518337736247</v>
      </c>
      <c r="K897" s="1280">
        <v>1.3397592721078346</v>
      </c>
      <c r="L897" s="1237">
        <v>0.1742564282397267</v>
      </c>
    </row>
    <row r="898" spans="1:12" s="326" customFormat="1" ht="15.5" x14ac:dyDescent="0.35">
      <c r="A898" s="328" t="s">
        <v>1862</v>
      </c>
      <c r="B898" s="1291">
        <v>0.12094732953693373</v>
      </c>
      <c r="C898" s="1257">
        <v>0.21368866261642258</v>
      </c>
      <c r="D898" s="1257">
        <v>0.13438592170770414</v>
      </c>
      <c r="E898" s="1280">
        <v>0.9035437446017488</v>
      </c>
      <c r="F898" s="1271">
        <v>5.7272596649538342E-2</v>
      </c>
      <c r="G898" s="1257">
        <v>9.6679216190054706E-2</v>
      </c>
      <c r="H898" s="1280">
        <v>0.91489817085735592</v>
      </c>
      <c r="I898" s="1271">
        <v>6.3025237220506666E-2</v>
      </c>
      <c r="J898" s="1257">
        <v>0.14157518337736247</v>
      </c>
      <c r="K898" s="1280">
        <v>1.3397592721078346</v>
      </c>
      <c r="L898" s="1237">
        <v>0.1742564282397267</v>
      </c>
    </row>
    <row r="899" spans="1:12" s="326" customFormat="1" ht="15.5" x14ac:dyDescent="0.35">
      <c r="A899" s="328" t="s">
        <v>1863</v>
      </c>
      <c r="B899" s="1291">
        <v>0.12094732953693373</v>
      </c>
      <c r="C899" s="1257">
        <v>0.21368866261642258</v>
      </c>
      <c r="D899" s="1257">
        <v>0.13438592170770414</v>
      </c>
      <c r="E899" s="1280">
        <v>0.9035437446017488</v>
      </c>
      <c r="F899" s="1271">
        <v>5.7272596649538342E-2</v>
      </c>
      <c r="G899" s="1257">
        <v>9.6679216190054706E-2</v>
      </c>
      <c r="H899" s="1280">
        <v>0.91489817085735592</v>
      </c>
      <c r="I899" s="1271">
        <v>6.3025237220506666E-2</v>
      </c>
      <c r="J899" s="1257">
        <v>0.14157518337736247</v>
      </c>
      <c r="K899" s="1280">
        <v>1.3397592721078346</v>
      </c>
      <c r="L899" s="1237">
        <v>0.1742564282397267</v>
      </c>
    </row>
    <row r="900" spans="1:12" s="326" customFormat="1" ht="15.5" x14ac:dyDescent="0.35">
      <c r="A900" s="328" t="s">
        <v>1864</v>
      </c>
      <c r="B900" s="1291">
        <v>0.12094732953693373</v>
      </c>
      <c r="C900" s="1257">
        <v>0.21368866261642258</v>
      </c>
      <c r="D900" s="1257">
        <v>0.13438592170770414</v>
      </c>
      <c r="E900" s="1280">
        <v>0.9035437446017488</v>
      </c>
      <c r="F900" s="1271">
        <v>5.7272596649538342E-2</v>
      </c>
      <c r="G900" s="1257">
        <v>9.6679216190054706E-2</v>
      </c>
      <c r="H900" s="1280">
        <v>0.91489817085735592</v>
      </c>
      <c r="I900" s="1271">
        <v>6.3025237220506666E-2</v>
      </c>
      <c r="J900" s="1257">
        <v>0.14157518337736247</v>
      </c>
      <c r="K900" s="1280">
        <v>1.3397592721078346</v>
      </c>
      <c r="L900" s="1237">
        <v>0.1742564282397267</v>
      </c>
    </row>
    <row r="901" spans="1:12" s="326" customFormat="1" ht="15.5" x14ac:dyDescent="0.35">
      <c r="A901" s="328" t="s">
        <v>1865</v>
      </c>
      <c r="B901" s="1291">
        <v>0.12094732953693373</v>
      </c>
      <c r="C901" s="1257">
        <v>0.21368866261642258</v>
      </c>
      <c r="D901" s="1257">
        <v>0.13438592170770414</v>
      </c>
      <c r="E901" s="1280">
        <v>0.9035437446017488</v>
      </c>
      <c r="F901" s="1271">
        <v>5.7272596649538342E-2</v>
      </c>
      <c r="G901" s="1257">
        <v>9.6679216190054706E-2</v>
      </c>
      <c r="H901" s="1280">
        <v>0.91489817085735592</v>
      </c>
      <c r="I901" s="1271">
        <v>6.3025237220506666E-2</v>
      </c>
      <c r="J901" s="1257">
        <v>0.14157518337736247</v>
      </c>
      <c r="K901" s="1280">
        <v>1.3397592721078346</v>
      </c>
      <c r="L901" s="1237">
        <v>0.1742564282397267</v>
      </c>
    </row>
    <row r="902" spans="1:12" s="326" customFormat="1" ht="15.5" x14ac:dyDescent="0.35">
      <c r="A902" s="328" t="s">
        <v>1866</v>
      </c>
      <c r="B902" s="1291">
        <v>0.12094732953693373</v>
      </c>
      <c r="C902" s="1257">
        <v>0.21368866261642258</v>
      </c>
      <c r="D902" s="1257">
        <v>0.13438592170770414</v>
      </c>
      <c r="E902" s="1280">
        <v>0.9035437446017488</v>
      </c>
      <c r="F902" s="1271">
        <v>5.7272596649538342E-2</v>
      </c>
      <c r="G902" s="1257">
        <v>9.6679216190054706E-2</v>
      </c>
      <c r="H902" s="1280">
        <v>0.91489817085735592</v>
      </c>
      <c r="I902" s="1271">
        <v>6.3025237220506666E-2</v>
      </c>
      <c r="J902" s="1257">
        <v>0.14157518337736247</v>
      </c>
      <c r="K902" s="1280">
        <v>1.3397592721078346</v>
      </c>
      <c r="L902" s="1237">
        <v>0.1742564282397267</v>
      </c>
    </row>
    <row r="903" spans="1:12" s="326" customFormat="1" ht="15.5" x14ac:dyDescent="0.35">
      <c r="A903" s="328" t="s">
        <v>1867</v>
      </c>
      <c r="B903" s="1291">
        <v>0.12094732953693373</v>
      </c>
      <c r="C903" s="1257">
        <v>0.21368866261642258</v>
      </c>
      <c r="D903" s="1257">
        <v>0.13438592170770414</v>
      </c>
      <c r="E903" s="1280">
        <v>0.9035437446017488</v>
      </c>
      <c r="F903" s="1303">
        <v>5.7272596649538342E-2</v>
      </c>
      <c r="G903" s="1288">
        <v>9.6679216190054706E-2</v>
      </c>
      <c r="H903" s="1280">
        <v>0.91489817085735592</v>
      </c>
      <c r="I903" s="1303">
        <v>6.3025237220506666E-2</v>
      </c>
      <c r="J903" s="1288">
        <v>0.14157518337736247</v>
      </c>
      <c r="K903" s="1280">
        <v>1.3397592721078346</v>
      </c>
      <c r="L903" s="1237">
        <v>0.1742564282397267</v>
      </c>
    </row>
    <row r="904" spans="1:12" s="326" customFormat="1" ht="15.5" x14ac:dyDescent="0.35">
      <c r="A904" s="328" t="s">
        <v>1868</v>
      </c>
      <c r="B904" s="1291">
        <v>0.12094732953693373</v>
      </c>
      <c r="C904" s="1257">
        <v>0.21368866261642258</v>
      </c>
      <c r="D904" s="1257">
        <v>0.13438592170770414</v>
      </c>
      <c r="E904" s="1280">
        <v>0.9035437446017488</v>
      </c>
      <c r="F904" s="1303">
        <v>5.7211583913711041E-2</v>
      </c>
      <c r="G904" s="1288">
        <v>9.2866439600694822E-2</v>
      </c>
      <c r="H904" s="1280">
        <v>0.87881696886834004</v>
      </c>
      <c r="I904" s="1303">
        <v>6.2397440951903214E-2</v>
      </c>
      <c r="J904" s="1288">
        <v>0.13366511800401618</v>
      </c>
      <c r="K904" s="1280">
        <v>1.2649044622880059</v>
      </c>
      <c r="L904" s="1237">
        <v>0.1742564282397267</v>
      </c>
    </row>
    <row r="905" spans="1:12" s="326" customFormat="1" ht="15.5" x14ac:dyDescent="0.35">
      <c r="A905" s="328" t="s">
        <v>1869</v>
      </c>
      <c r="B905" s="1291">
        <v>0.12094732953693373</v>
      </c>
      <c r="C905" s="1257">
        <v>0.21368866261642258</v>
      </c>
      <c r="D905" s="1257">
        <v>0.13438592170770414</v>
      </c>
      <c r="E905" s="1280">
        <v>0.9035437446017488</v>
      </c>
      <c r="F905" s="1303">
        <v>5.7054692813685942E-2</v>
      </c>
      <c r="G905" s="1288">
        <v>9.0723224050413942E-2</v>
      </c>
      <c r="H905" s="1280">
        <v>0.85853521583002024</v>
      </c>
      <c r="I905" s="1303">
        <v>6.2523753311828745E-2</v>
      </c>
      <c r="J905" s="1288">
        <v>0.13210539721369896</v>
      </c>
      <c r="K905" s="1280">
        <v>1.2501444574561069</v>
      </c>
      <c r="L905" s="1237">
        <v>0.1742564282397267</v>
      </c>
    </row>
    <row r="906" spans="1:12" s="326" customFormat="1" ht="15.5" x14ac:dyDescent="0.35">
      <c r="A906" s="328" t="s">
        <v>1870</v>
      </c>
      <c r="B906" s="1291">
        <v>0.12094732953693373</v>
      </c>
      <c r="C906" s="1257">
        <v>0.21368866261642258</v>
      </c>
      <c r="D906" s="1257">
        <v>0.13438592170770414</v>
      </c>
      <c r="E906" s="1280">
        <v>0.9035437446017488</v>
      </c>
      <c r="F906" s="1303">
        <v>5.7517061808251863E-2</v>
      </c>
      <c r="G906" s="1288">
        <v>8.9900603784080602E-2</v>
      </c>
      <c r="H906" s="1280">
        <v>0.850750566691998</v>
      </c>
      <c r="I906" s="1303">
        <v>6.2592657249223305E-2</v>
      </c>
      <c r="J906" s="1288">
        <v>0.13415246329016339</v>
      </c>
      <c r="K906" s="1280">
        <v>1.2695163254002961</v>
      </c>
      <c r="L906" s="1237">
        <v>0.1742564282397267</v>
      </c>
    </row>
    <row r="907" spans="1:12" s="326" customFormat="1" ht="15.5" x14ac:dyDescent="0.35">
      <c r="A907" s="328" t="s">
        <v>1871</v>
      </c>
      <c r="B907" s="1291">
        <v>0.12094732953693373</v>
      </c>
      <c r="C907" s="1257">
        <v>0.21368866261642258</v>
      </c>
      <c r="D907" s="1257">
        <v>0.13438592170770414</v>
      </c>
      <c r="E907" s="1280">
        <v>0.9035437446017488</v>
      </c>
      <c r="F907" s="1303">
        <v>5.763041576329539E-2</v>
      </c>
      <c r="G907" s="1288">
        <v>8.840414217854374E-2</v>
      </c>
      <c r="H907" s="1280">
        <v>0.83658919841018964</v>
      </c>
      <c r="I907" s="1303">
        <v>6.3566148739554532E-2</v>
      </c>
      <c r="J907" s="1288">
        <v>0.13300584529532589</v>
      </c>
      <c r="K907" s="1280">
        <v>1.2586656095226796</v>
      </c>
      <c r="L907" s="1237">
        <v>0.1742564282397267</v>
      </c>
    </row>
    <row r="908" spans="1:12" s="326" customFormat="1" ht="15.5" x14ac:dyDescent="0.35">
      <c r="A908" s="328" t="s">
        <v>1872</v>
      </c>
      <c r="B908" s="1291">
        <v>0.12094732953693373</v>
      </c>
      <c r="C908" s="1257">
        <v>0.21368866261642258</v>
      </c>
      <c r="D908" s="1257">
        <v>0.13438592170770414</v>
      </c>
      <c r="E908" s="1280">
        <v>0.9035437446017488</v>
      </c>
      <c r="F908" s="1303">
        <v>5.7493536245964726E-2</v>
      </c>
      <c r="G908" s="1288">
        <v>8.4345990810994712E-2</v>
      </c>
      <c r="H908" s="1280">
        <v>0.79818595715992779</v>
      </c>
      <c r="I908" s="1303">
        <v>6.3631575538337551E-2</v>
      </c>
      <c r="J908" s="1288">
        <v>0.13344495160685171</v>
      </c>
      <c r="K908" s="1280">
        <v>1.2628209758677806</v>
      </c>
      <c r="L908" s="1237">
        <v>0.1742564282397267</v>
      </c>
    </row>
    <row r="909" spans="1:12" s="326" customFormat="1" ht="15.5" x14ac:dyDescent="0.35">
      <c r="A909" s="328" t="s">
        <v>1873</v>
      </c>
      <c r="B909" s="1291">
        <v>0.12094732953693373</v>
      </c>
      <c r="C909" s="1257">
        <v>0.21368866261642258</v>
      </c>
      <c r="D909" s="1257">
        <v>0.13438592170770414</v>
      </c>
      <c r="E909" s="1280">
        <v>0.9035437446017488</v>
      </c>
      <c r="F909" s="1303">
        <v>5.7834397653542452E-2</v>
      </c>
      <c r="G909" s="1288">
        <v>7.9341973053969547E-2</v>
      </c>
      <c r="H909" s="1280">
        <v>0.75083175970925586</v>
      </c>
      <c r="I909" s="1303">
        <v>6.3818093392561434E-2</v>
      </c>
      <c r="J909" s="1288">
        <v>0.13263425414101612</v>
      </c>
      <c r="K909" s="1280">
        <v>1.2551491549962335</v>
      </c>
      <c r="L909" s="1237">
        <v>0.1742564282397267</v>
      </c>
    </row>
    <row r="910" spans="1:12" s="326" customFormat="1" ht="15.5" x14ac:dyDescent="0.35">
      <c r="A910" s="328" t="s">
        <v>1874</v>
      </c>
      <c r="B910" s="1291">
        <v>0.12094732953693373</v>
      </c>
      <c r="C910" s="1257">
        <v>0.21368866261642258</v>
      </c>
      <c r="D910" s="1257">
        <v>0.13438592170770414</v>
      </c>
      <c r="E910" s="1280">
        <v>0.9035437446017488</v>
      </c>
      <c r="F910" s="1303">
        <v>5.681178756268266E-2</v>
      </c>
      <c r="G910" s="1288">
        <v>7.2134516014247058E-2</v>
      </c>
      <c r="H910" s="1280">
        <v>0.68262589787011752</v>
      </c>
      <c r="I910" s="1303">
        <v>6.3344055895367624E-2</v>
      </c>
      <c r="J910" s="1288">
        <v>0.13229027392082945</v>
      </c>
      <c r="K910" s="1280">
        <v>1.2518939892360845</v>
      </c>
      <c r="L910" s="1237">
        <v>0.1742564282397267</v>
      </c>
    </row>
    <row r="911" spans="1:12" s="326" customFormat="1" ht="15.5" x14ac:dyDescent="0.35">
      <c r="A911" s="328" t="s">
        <v>1875</v>
      </c>
      <c r="B911" s="1291">
        <v>0.12094732953693373</v>
      </c>
      <c r="C911" s="1257">
        <v>0.21368866261642258</v>
      </c>
      <c r="D911" s="1257">
        <v>0.13438592170770414</v>
      </c>
      <c r="E911" s="1280">
        <v>0.9035437446017488</v>
      </c>
      <c r="F911" s="1303">
        <v>5.7402463438274334E-2</v>
      </c>
      <c r="G911" s="1288">
        <v>7.6682316960520913E-2</v>
      </c>
      <c r="H911" s="1280">
        <v>0.72566280829551788</v>
      </c>
      <c r="I911" s="1303">
        <v>6.3550565103775256E-2</v>
      </c>
      <c r="J911" s="1288">
        <v>0.13172001859689542</v>
      </c>
      <c r="K911" s="1280">
        <v>1.2464975289279734</v>
      </c>
      <c r="L911" s="1237">
        <v>0.1742564282397267</v>
      </c>
    </row>
    <row r="912" spans="1:12" s="326" customFormat="1" ht="15.5" x14ac:dyDescent="0.35">
      <c r="A912" s="328" t="s">
        <v>1876</v>
      </c>
      <c r="B912" s="1291">
        <v>0.12094732953693373</v>
      </c>
      <c r="C912" s="1257">
        <v>0.21368866261642258</v>
      </c>
      <c r="D912" s="1257">
        <v>0.13438592170770414</v>
      </c>
      <c r="E912" s="1280">
        <v>0.9035437446017488</v>
      </c>
      <c r="F912" s="1303">
        <v>5.7594779945534899E-2</v>
      </c>
      <c r="G912" s="1288">
        <v>7.4815349075177381E-2</v>
      </c>
      <c r="H912" s="1280">
        <v>0.70799525190995061</v>
      </c>
      <c r="I912" s="1303">
        <v>6.3706275632473636E-2</v>
      </c>
      <c r="J912" s="1288">
        <v>0.13065976660589412</v>
      </c>
      <c r="K912" s="1280">
        <v>1.2364641148660716</v>
      </c>
      <c r="L912" s="1237">
        <v>0.1742564282397267</v>
      </c>
    </row>
    <row r="913" spans="1:12" s="326" customFormat="1" ht="15.5" x14ac:dyDescent="0.35">
      <c r="A913" s="328" t="s">
        <v>1877</v>
      </c>
      <c r="B913" s="1291">
        <v>0.12094732953693373</v>
      </c>
      <c r="C913" s="1257">
        <v>0.21368866261642258</v>
      </c>
      <c r="D913" s="1257">
        <v>0.13438592170770414</v>
      </c>
      <c r="E913" s="1280">
        <v>0.9035437446017488</v>
      </c>
      <c r="F913" s="1303">
        <v>5.7721699331004898E-2</v>
      </c>
      <c r="G913" s="1288">
        <v>7.4592109895656553E-2</v>
      </c>
      <c r="H913" s="1280">
        <v>0.7058826870272793</v>
      </c>
      <c r="I913" s="1303">
        <v>6.3906150874078915E-2</v>
      </c>
      <c r="J913" s="1288">
        <v>0.1288833429279295</v>
      </c>
      <c r="K913" s="1280">
        <v>1.2196533996194503</v>
      </c>
      <c r="L913" s="1237">
        <v>0.1742564282397267</v>
      </c>
    </row>
    <row r="914" spans="1:12" s="326" customFormat="1" ht="15.5" x14ac:dyDescent="0.35">
      <c r="A914" s="328" t="s">
        <v>1878</v>
      </c>
      <c r="B914" s="1291">
        <v>0.12094732953693373</v>
      </c>
      <c r="C914" s="1257">
        <v>0.21368866261642258</v>
      </c>
      <c r="D914" s="1257">
        <v>0.13438592170770414</v>
      </c>
      <c r="E914" s="1280">
        <v>0.9035437446017488</v>
      </c>
      <c r="F914" s="1303">
        <v>5.7654287310049339E-2</v>
      </c>
      <c r="G914" s="1288">
        <v>7.0561933835959489E-2</v>
      </c>
      <c r="H914" s="1280">
        <v>0.66774418269764613</v>
      </c>
      <c r="I914" s="1303">
        <v>6.4029253635202385E-2</v>
      </c>
      <c r="J914" s="1288">
        <v>0.12946851545022006</v>
      </c>
      <c r="K914" s="1280">
        <v>1.2251910248855384</v>
      </c>
      <c r="L914" s="1237">
        <v>0.1742564282397267</v>
      </c>
    </row>
    <row r="915" spans="1:12" s="326" customFormat="1" ht="15.5" x14ac:dyDescent="0.35">
      <c r="A915" s="328" t="s">
        <v>1879</v>
      </c>
      <c r="B915" s="1291">
        <v>0.12094732953693373</v>
      </c>
      <c r="C915" s="1257">
        <v>0.21368866261642258</v>
      </c>
      <c r="D915" s="1257">
        <v>0.13438592170770414</v>
      </c>
      <c r="E915" s="1280">
        <v>0.9035437446017488</v>
      </c>
      <c r="F915" s="1303">
        <v>5.7663102292835208E-2</v>
      </c>
      <c r="G915" s="1288">
        <v>6.971508182164883E-2</v>
      </c>
      <c r="H915" s="1280">
        <v>0.65973022282692684</v>
      </c>
      <c r="I915" s="1303">
        <v>6.377973354818349E-2</v>
      </c>
      <c r="J915" s="1288">
        <v>0.12942843443905666</v>
      </c>
      <c r="K915" s="1280">
        <v>1.2248117288460729</v>
      </c>
      <c r="L915" s="1237">
        <v>0.1742564282397267</v>
      </c>
    </row>
    <row r="916" spans="1:12" s="326" customFormat="1" ht="15.5" x14ac:dyDescent="0.35">
      <c r="A916" s="328" t="s">
        <v>1880</v>
      </c>
      <c r="B916" s="1291">
        <v>0.12094732953693373</v>
      </c>
      <c r="C916" s="1257">
        <v>0.21368866261642258</v>
      </c>
      <c r="D916" s="1257">
        <v>0.13438592170770414</v>
      </c>
      <c r="E916" s="1280">
        <v>0.9035437446017488</v>
      </c>
      <c r="F916" s="1303">
        <v>5.7492908994365391E-2</v>
      </c>
      <c r="G916" s="1288">
        <v>7.5636656359417354E-2</v>
      </c>
      <c r="H916" s="1280">
        <v>0.7157674759894862</v>
      </c>
      <c r="I916" s="1303">
        <v>6.3317660968948045E-2</v>
      </c>
      <c r="J916" s="1288">
        <v>0.13003489340025046</v>
      </c>
      <c r="K916" s="1280">
        <v>1.230550792692076</v>
      </c>
      <c r="L916" s="1237">
        <v>0.1742564282397267</v>
      </c>
    </row>
    <row r="917" spans="1:12" s="326" customFormat="1" ht="15.5" x14ac:dyDescent="0.35">
      <c r="A917" s="328" t="s">
        <v>1881</v>
      </c>
      <c r="B917" s="1291">
        <v>0.12094732953693373</v>
      </c>
      <c r="C917" s="1257">
        <v>0.21368866261642258</v>
      </c>
      <c r="D917" s="1257">
        <v>0.13438592170770414</v>
      </c>
      <c r="E917" s="1280">
        <v>0.9035437446017488</v>
      </c>
      <c r="F917" s="1303">
        <v>5.7628212060901934E-2</v>
      </c>
      <c r="G917" s="1288">
        <v>7.4147160101855653E-2</v>
      </c>
      <c r="H917" s="1280">
        <v>0.70167202243447224</v>
      </c>
      <c r="I917" s="1303">
        <v>6.3698071400019249E-2</v>
      </c>
      <c r="J917" s="1288">
        <v>0.13017590909048601</v>
      </c>
      <c r="K917" s="1280">
        <v>1.2318852573489374</v>
      </c>
      <c r="L917" s="1237">
        <v>0.1742564282397267</v>
      </c>
    </row>
    <row r="918" spans="1:12" s="326" customFormat="1" ht="15.5" x14ac:dyDescent="0.35">
      <c r="A918" s="328" t="s">
        <v>1882</v>
      </c>
      <c r="B918" s="1291">
        <v>0.12094732953693373</v>
      </c>
      <c r="C918" s="1257">
        <v>0.21368866261642258</v>
      </c>
      <c r="D918" s="1257">
        <v>0.13438592170770414</v>
      </c>
      <c r="E918" s="1280">
        <v>0.9035437446017488</v>
      </c>
      <c r="F918" s="1303">
        <v>5.7418044515772808E-2</v>
      </c>
      <c r="G918" s="1288">
        <v>7.283309711900024E-2</v>
      </c>
      <c r="H918" s="1280">
        <v>0.68923673523642148</v>
      </c>
      <c r="I918" s="1303">
        <v>6.364652390834892E-2</v>
      </c>
      <c r="J918" s="1288">
        <v>0.1300326729273811</v>
      </c>
      <c r="K918" s="1280">
        <v>1.2305297798348491</v>
      </c>
      <c r="L918" s="1237">
        <v>0.1742564282397267</v>
      </c>
    </row>
    <row r="919" spans="1:12" s="326" customFormat="1" ht="15.5" x14ac:dyDescent="0.35">
      <c r="A919" s="328" t="s">
        <v>1883</v>
      </c>
      <c r="B919" s="1291">
        <v>0.12094732953693373</v>
      </c>
      <c r="C919" s="1257">
        <v>0.21368866261642258</v>
      </c>
      <c r="D919" s="1257">
        <v>0.13438592170770414</v>
      </c>
      <c r="E919" s="1280">
        <v>0.9035437446017488</v>
      </c>
      <c r="F919" s="1303">
        <v>5.7227546395455138E-2</v>
      </c>
      <c r="G919" s="1288">
        <v>7.3714860853899111E-2</v>
      </c>
      <c r="H919" s="1280">
        <v>0.6975810729335894</v>
      </c>
      <c r="I919" s="1303">
        <v>6.3252918011721185E-2</v>
      </c>
      <c r="J919" s="1288">
        <v>0.12931484996312054</v>
      </c>
      <c r="K919" s="1280">
        <v>1.2237368522245304</v>
      </c>
      <c r="L919" s="1237">
        <v>0.1742564282397267</v>
      </c>
    </row>
    <row r="920" spans="1:12" s="326" customFormat="1" ht="15.5" x14ac:dyDescent="0.35">
      <c r="A920" s="328" t="s">
        <v>1884</v>
      </c>
      <c r="B920" s="1291">
        <v>0.12094732953693373</v>
      </c>
      <c r="C920" s="1257">
        <v>0.21368866261642258</v>
      </c>
      <c r="D920" s="1257">
        <v>0.13438592170770414</v>
      </c>
      <c r="E920" s="1280">
        <v>0.9035437446017488</v>
      </c>
      <c r="F920" s="1303">
        <v>4.9120144029152768E-2</v>
      </c>
      <c r="G920" s="1288">
        <v>7.3140442641362005E-2</v>
      </c>
      <c r="H920" s="1280">
        <v>0.69214521823112429</v>
      </c>
      <c r="I920" s="1303">
        <v>6.930076535496453E-2</v>
      </c>
      <c r="J920" s="1288">
        <v>0.1283284834524383</v>
      </c>
      <c r="K920" s="1280">
        <v>1.2144026338477065</v>
      </c>
      <c r="L920" s="1237">
        <v>0.1742564282397267</v>
      </c>
    </row>
    <row r="921" spans="1:12" s="326" customFormat="1" ht="15.5" x14ac:dyDescent="0.35">
      <c r="A921" s="328" t="s">
        <v>1885</v>
      </c>
      <c r="B921" s="1291">
        <v>0.12094732953693373</v>
      </c>
      <c r="C921" s="1257">
        <v>0.21368866261642258</v>
      </c>
      <c r="D921" s="1257">
        <v>0.13438592170770414</v>
      </c>
      <c r="E921" s="1280">
        <v>0.9035437446017488</v>
      </c>
      <c r="F921" s="1303">
        <v>4.9312813463037362E-2</v>
      </c>
      <c r="G921" s="1288">
        <v>7.1260092260943E-2</v>
      </c>
      <c r="H921" s="1280">
        <v>0.67435102014583559</v>
      </c>
      <c r="I921" s="1303">
        <v>6.9125770449403531E-2</v>
      </c>
      <c r="J921" s="1288">
        <v>0.12885400488828061</v>
      </c>
      <c r="K921" s="1280">
        <v>1.2193757668471847</v>
      </c>
      <c r="L921" s="1237">
        <v>0.1742564282397267</v>
      </c>
    </row>
    <row r="922" spans="1:12" s="326" customFormat="1" ht="15.5" x14ac:dyDescent="0.35">
      <c r="A922" s="328" t="s">
        <v>1886</v>
      </c>
      <c r="B922" s="1291">
        <v>0.12094732953693373</v>
      </c>
      <c r="C922" s="1257">
        <v>0.21368866261642258</v>
      </c>
      <c r="D922" s="1257">
        <v>0.13438592170770414</v>
      </c>
      <c r="E922" s="1280">
        <v>0.9035437446017488</v>
      </c>
      <c r="F922" s="1303">
        <v>4.9088717237412628E-2</v>
      </c>
      <c r="G922" s="1288">
        <v>7.6280165526117674E-2</v>
      </c>
      <c r="H922" s="1280">
        <v>0.72185715464789291</v>
      </c>
      <c r="I922" s="1303">
        <v>6.8853224367613833E-2</v>
      </c>
      <c r="J922" s="1288">
        <v>0.12909212104859105</v>
      </c>
      <c r="K922" s="1280">
        <v>1.2216291160995345</v>
      </c>
      <c r="L922" s="1237">
        <v>0.1742564282397267</v>
      </c>
    </row>
    <row r="923" spans="1:12" s="326" customFormat="1" ht="15.5" x14ac:dyDescent="0.35">
      <c r="A923" s="328" t="s">
        <v>1887</v>
      </c>
      <c r="B923" s="1291">
        <v>0.12094732953693373</v>
      </c>
      <c r="C923" s="1257">
        <v>0.21368866261642258</v>
      </c>
      <c r="D923" s="1257">
        <v>0.13438592170770414</v>
      </c>
      <c r="E923" s="1280">
        <v>0.9035437446017488</v>
      </c>
      <c r="F923" s="1303">
        <v>5.8880037129812407E-2</v>
      </c>
      <c r="G923" s="1288">
        <v>7.0569011681676799E-2</v>
      </c>
      <c r="H923" s="1280">
        <v>0.66781116201704438</v>
      </c>
      <c r="I923" s="1303">
        <v>7.4657803675494808E-2</v>
      </c>
      <c r="J923" s="1288">
        <v>0.12998388590585452</v>
      </c>
      <c r="K923" s="1280">
        <v>1.2300680967708439</v>
      </c>
      <c r="L923" s="1237">
        <v>0.1742564282397267</v>
      </c>
    </row>
    <row r="924" spans="1:12" s="326" customFormat="1" ht="15.5" x14ac:dyDescent="0.35">
      <c r="A924" s="328" t="s">
        <v>1888</v>
      </c>
      <c r="B924" s="1291">
        <v>0.12094732953693373</v>
      </c>
      <c r="C924" s="1257">
        <v>0.21368866261642258</v>
      </c>
      <c r="D924" s="1257">
        <v>0.13438592170770414</v>
      </c>
      <c r="E924" s="1280">
        <v>0.9035437446017488</v>
      </c>
      <c r="F924" s="1303">
        <v>5.8973739853738959E-2</v>
      </c>
      <c r="G924" s="1288">
        <v>6.8757396844921909E-2</v>
      </c>
      <c r="H924" s="1280">
        <v>0.65066742455451831</v>
      </c>
      <c r="I924" s="1303">
        <v>7.5405729984434663E-2</v>
      </c>
      <c r="J924" s="1288">
        <v>0.11533784130183053</v>
      </c>
      <c r="K924" s="1280">
        <v>1.0914691305548228</v>
      </c>
      <c r="L924" s="1237">
        <v>0.1742564282397267</v>
      </c>
    </row>
    <row r="925" spans="1:12" s="326" customFormat="1" ht="15.5" x14ac:dyDescent="0.35">
      <c r="A925" s="328" t="s">
        <v>1889</v>
      </c>
      <c r="B925" s="1291">
        <v>0.12094732953693373</v>
      </c>
      <c r="C925" s="1257">
        <v>0.21368866261642258</v>
      </c>
      <c r="D925" s="1257">
        <v>0.13438592170770414</v>
      </c>
      <c r="E925" s="1280">
        <v>0.9035437446017488</v>
      </c>
      <c r="F925" s="1303">
        <v>5.8692067774247174E-2</v>
      </c>
      <c r="G925" s="1288">
        <v>6.2481137861471976E-2</v>
      </c>
      <c r="H925" s="1280">
        <v>0.59127370902731202</v>
      </c>
      <c r="I925" s="1303">
        <v>7.520873857679064E-2</v>
      </c>
      <c r="J925" s="1288">
        <v>9.911764841994801E-2</v>
      </c>
      <c r="K925" s="1280">
        <v>0.93797362879759627</v>
      </c>
      <c r="L925" s="1237">
        <v>0.1742564282397267</v>
      </c>
    </row>
    <row r="926" spans="1:12" s="326" customFormat="1" ht="15.5" x14ac:dyDescent="0.35">
      <c r="A926" s="328" t="s">
        <v>1890</v>
      </c>
      <c r="B926" s="1291">
        <v>0.12094732953693373</v>
      </c>
      <c r="C926" s="1257">
        <v>0.21368866261642258</v>
      </c>
      <c r="D926" s="1257">
        <v>0.13438592170770414</v>
      </c>
      <c r="E926" s="1280">
        <v>0.9035437446017488</v>
      </c>
      <c r="F926" s="1303">
        <v>6.4545073116273027E-2</v>
      </c>
      <c r="G926" s="1288">
        <v>5.8018126006657206E-2</v>
      </c>
      <c r="H926" s="1280">
        <v>0.54903917772476341</v>
      </c>
      <c r="I926" s="1303">
        <v>8.0727821774266087E-2</v>
      </c>
      <c r="J926" s="1288">
        <v>9.9109512047514628E-2</v>
      </c>
      <c r="K926" s="1280">
        <v>0.93789663239081844</v>
      </c>
      <c r="L926" s="1237">
        <v>0.1742564282397267</v>
      </c>
    </row>
    <row r="927" spans="1:12" s="326" customFormat="1" ht="15.5" x14ac:dyDescent="0.35">
      <c r="A927" s="328" t="s">
        <v>1891</v>
      </c>
      <c r="B927" s="1291">
        <v>0.12094732953693373</v>
      </c>
      <c r="C927" s="1257">
        <v>0.21368866261642258</v>
      </c>
      <c r="D927" s="1257">
        <v>0.13438592170770414</v>
      </c>
      <c r="E927" s="1280">
        <v>0.9035437446017488</v>
      </c>
      <c r="F927" s="1303">
        <v>6.6631572017203392E-2</v>
      </c>
      <c r="G927" s="1288">
        <v>5.8331234710601323E-2</v>
      </c>
      <c r="H927" s="1280">
        <v>0.55200219906282288</v>
      </c>
      <c r="I927" s="1303">
        <v>8.0421472830628449E-2</v>
      </c>
      <c r="J927" s="1288">
        <v>0.10078180707385662</v>
      </c>
      <c r="K927" s="1280">
        <v>0.95372195370627544</v>
      </c>
      <c r="L927" s="1330">
        <v>0.1742564282397267</v>
      </c>
    </row>
    <row r="928" spans="1:12" s="326" customFormat="1" ht="15.5" x14ac:dyDescent="0.35">
      <c r="A928" s="328" t="s">
        <v>1892</v>
      </c>
      <c r="B928" s="1291">
        <v>0.12094732953693373</v>
      </c>
      <c r="C928" s="1257">
        <v>0.21368866261642258</v>
      </c>
      <c r="D928" s="1257">
        <v>0.13438592170770414</v>
      </c>
      <c r="E928" s="1280">
        <v>0.9035437446017488</v>
      </c>
      <c r="F928" s="1303">
        <v>5.9577798300566885E-2</v>
      </c>
      <c r="G928" s="1288">
        <v>5.8607559433526454E-2</v>
      </c>
      <c r="H928" s="1280">
        <v>0.55461712493344517</v>
      </c>
      <c r="I928" s="1303">
        <v>8.0661574817634404E-2</v>
      </c>
      <c r="J928" s="1288">
        <v>0.10071145555080237</v>
      </c>
      <c r="K928" s="1280">
        <v>0.95305620069031349</v>
      </c>
      <c r="L928" s="1330">
        <v>0.17347449366606865</v>
      </c>
    </row>
    <row r="929" spans="1:12" s="326" customFormat="1" ht="15.5" x14ac:dyDescent="0.35">
      <c r="A929" s="328" t="s">
        <v>1893</v>
      </c>
      <c r="B929" s="1291">
        <v>0.12094732953693373</v>
      </c>
      <c r="C929" s="1257">
        <v>0.21368866261642258</v>
      </c>
      <c r="D929" s="1257">
        <v>0.13438592170770414</v>
      </c>
      <c r="E929" s="1280">
        <v>0.9035437446017488</v>
      </c>
      <c r="F929" s="1303">
        <v>6.548729875757027E-2</v>
      </c>
      <c r="G929" s="1288">
        <v>5.7465017255469805E-2</v>
      </c>
      <c r="H929" s="1280">
        <v>0.54380497946904149</v>
      </c>
      <c r="I929" s="1303">
        <v>8.0595859344052764E-2</v>
      </c>
      <c r="J929" s="1288">
        <v>0.1011025745956855</v>
      </c>
      <c r="K929" s="1280">
        <v>0.95675745224005326</v>
      </c>
      <c r="L929" s="1330">
        <v>0.16372905884879257</v>
      </c>
    </row>
    <row r="930" spans="1:12" s="326" customFormat="1" ht="15.5" x14ac:dyDescent="0.35">
      <c r="A930" s="328" t="s">
        <v>1894</v>
      </c>
      <c r="B930" s="1291">
        <v>0.12094732953693373</v>
      </c>
      <c r="C930" s="1257">
        <v>0.21368866261642258</v>
      </c>
      <c r="D930" s="1257">
        <v>0.13438592170770414</v>
      </c>
      <c r="E930" s="1280">
        <v>0.9035437446017488</v>
      </c>
      <c r="F930" s="1303">
        <v>6.0290453345142415E-2</v>
      </c>
      <c r="G930" s="1288">
        <v>5.5355879396943704E-2</v>
      </c>
      <c r="H930" s="1280">
        <v>0.52384571164607752</v>
      </c>
      <c r="I930" s="1303">
        <v>7.8402502212746986E-2</v>
      </c>
      <c r="J930" s="1288">
        <v>9.8571374629557701E-2</v>
      </c>
      <c r="K930" s="1280">
        <v>0.93280411138412311</v>
      </c>
      <c r="L930" s="1330">
        <v>0.19315446024268579</v>
      </c>
    </row>
    <row r="931" spans="1:12" s="326" customFormat="1" ht="15.5" x14ac:dyDescent="0.35">
      <c r="A931" s="328" t="s">
        <v>1895</v>
      </c>
      <c r="B931" s="1291">
        <v>0.12094732953693373</v>
      </c>
      <c r="C931" s="1257">
        <v>0.21368866261642258</v>
      </c>
      <c r="D931" s="1257">
        <v>0.13438592170770414</v>
      </c>
      <c r="E931" s="1280">
        <v>0.9035437446017488</v>
      </c>
      <c r="F931" s="1303">
        <v>5.7822845602247298E-2</v>
      </c>
      <c r="G931" s="1288">
        <v>5.5627429960953004E-2</v>
      </c>
      <c r="H931" s="1280">
        <v>0.5264154585275479</v>
      </c>
      <c r="I931" s="1303">
        <v>7.7926144802383981E-2</v>
      </c>
      <c r="J931" s="1288">
        <v>9.9337132119939567E-2</v>
      </c>
      <c r="K931" s="1280">
        <v>0.94005065469383986</v>
      </c>
      <c r="L931" s="1330">
        <v>0.19315446024269126</v>
      </c>
    </row>
    <row r="932" spans="1:12" s="326" customFormat="1" ht="15.5" x14ac:dyDescent="0.35">
      <c r="A932" s="328" t="s">
        <v>1896</v>
      </c>
      <c r="B932" s="1291">
        <v>0.12094732953693373</v>
      </c>
      <c r="C932" s="1257">
        <v>0.21368866261642258</v>
      </c>
      <c r="D932" s="1257">
        <v>0.13438592170770414</v>
      </c>
      <c r="E932" s="1280">
        <v>0.9035437446017488</v>
      </c>
      <c r="F932" s="1303">
        <v>6.0155836916264326E-2</v>
      </c>
      <c r="G932" s="1288">
        <v>5.5756240062340458E-2</v>
      </c>
      <c r="H932" s="1280">
        <v>0.52763441882523654</v>
      </c>
      <c r="I932" s="1303">
        <v>7.5566176907145219E-2</v>
      </c>
      <c r="J932" s="1288">
        <v>9.6636684595194186E-2</v>
      </c>
      <c r="K932" s="1280">
        <v>0.91449568436775674</v>
      </c>
      <c r="L932" s="1330">
        <v>0.19315446024266372</v>
      </c>
    </row>
    <row r="933" spans="1:12" s="326" customFormat="1" ht="15.5" x14ac:dyDescent="0.35">
      <c r="A933" s="328" t="s">
        <v>1897</v>
      </c>
      <c r="B933" s="1287">
        <v>0.12094732953693373</v>
      </c>
      <c r="C933" s="1288">
        <v>0.21368866261642258</v>
      </c>
      <c r="D933" s="1288">
        <v>0.23947550030828746</v>
      </c>
      <c r="E933" s="1306">
        <v>1.9912609398089296</v>
      </c>
      <c r="F933" s="1303">
        <v>5.91795742507564E-2</v>
      </c>
      <c r="G933" s="1288">
        <v>5.4933524688764168E-2</v>
      </c>
      <c r="H933" s="1280">
        <v>0.51984886966499622</v>
      </c>
      <c r="I933" s="1303">
        <v>7.2811885853447972E-2</v>
      </c>
      <c r="J933" s="1288">
        <v>9.5253397619562807E-2</v>
      </c>
      <c r="K933" s="1280">
        <v>0.90140531423806858</v>
      </c>
      <c r="L933" s="1330">
        <v>0.19649660417911713</v>
      </c>
    </row>
    <row r="934" spans="1:12" s="326" customFormat="1" ht="15.5" x14ac:dyDescent="0.35">
      <c r="A934" s="328" t="s">
        <v>1898</v>
      </c>
      <c r="B934" s="1287">
        <v>0.13223244961682107</v>
      </c>
      <c r="C934" s="1288">
        <v>0.21325328171286723</v>
      </c>
      <c r="D934" s="1288">
        <v>0.25994660149469928</v>
      </c>
      <c r="E934" s="1306">
        <v>1.984178919471745</v>
      </c>
      <c r="F934" s="1303">
        <v>5.4220298429607086E-2</v>
      </c>
      <c r="G934" s="1288">
        <v>5.3774630585060636E-2</v>
      </c>
      <c r="H934" s="1280">
        <v>0.50888198208068414</v>
      </c>
      <c r="I934" s="1303">
        <v>6.8297986300125138E-2</v>
      </c>
      <c r="J934" s="1288">
        <v>9.0687970153827444E-2</v>
      </c>
      <c r="K934" s="1280">
        <v>0.85820159991158762</v>
      </c>
      <c r="L934" s="1330">
        <v>0.19528940388727423</v>
      </c>
    </row>
    <row r="935" spans="1:12" s="326" customFormat="1" ht="15.5" x14ac:dyDescent="0.35">
      <c r="A935" s="328" t="s">
        <v>1899</v>
      </c>
      <c r="B935" s="1287">
        <v>0.13609026237216851</v>
      </c>
      <c r="C935" s="1288">
        <v>0.23813964742285507</v>
      </c>
      <c r="D935" s="1288">
        <v>0.27985366087598196</v>
      </c>
      <c r="E935" s="1306">
        <v>1.763994158580688</v>
      </c>
      <c r="F935" s="1303">
        <v>5.7046244560877368E-2</v>
      </c>
      <c r="G935" s="1288">
        <v>5.1855924742618471E-2</v>
      </c>
      <c r="H935" s="1280">
        <v>0.49072481723345568</v>
      </c>
      <c r="I935" s="1303">
        <v>6.8364202384477296E-2</v>
      </c>
      <c r="J935" s="1288">
        <v>8.98114464968226E-2</v>
      </c>
      <c r="K935" s="1280">
        <v>0.84990685030449042</v>
      </c>
      <c r="L935" s="1330">
        <v>0.19420292362440122</v>
      </c>
    </row>
    <row r="936" spans="1:12" s="326" customFormat="1" ht="15.5" x14ac:dyDescent="0.35">
      <c r="A936" s="328" t="s">
        <v>1900</v>
      </c>
      <c r="B936" s="1287">
        <v>0.11830071142091175</v>
      </c>
      <c r="C936" s="1288">
        <v>0.26849946118760459</v>
      </c>
      <c r="D936" s="1288">
        <v>0.25900004808692323</v>
      </c>
      <c r="E936" s="1280">
        <v>0.88377203693166684</v>
      </c>
      <c r="F936" s="1303">
        <v>5.3936912283111871E-2</v>
      </c>
      <c r="G936" s="1288">
        <v>5.1757139037377255E-2</v>
      </c>
      <c r="H936" s="1280">
        <v>0.48978998486106268</v>
      </c>
      <c r="I936" s="1303">
        <v>6.4971989372802574E-2</v>
      </c>
      <c r="J936" s="1288">
        <v>8.7196475655101205E-2</v>
      </c>
      <c r="K936" s="1280">
        <v>0.82516076594202392</v>
      </c>
      <c r="L936" s="1330">
        <v>0.19322509138815286</v>
      </c>
    </row>
    <row r="937" spans="1:12" s="326" customFormat="1" ht="15.5" x14ac:dyDescent="0.35">
      <c r="A937" s="328" t="s">
        <v>1901</v>
      </c>
      <c r="B937" s="1287">
        <v>9.1986322797714654E-2</v>
      </c>
      <c r="C937" s="1288">
        <v>0.16119575552729573</v>
      </c>
      <c r="D937" s="1288">
        <v>0.25028527364963576</v>
      </c>
      <c r="E937" s="1280">
        <v>0.68718893481159382</v>
      </c>
      <c r="F937" s="1303">
        <v>5.2442391762647686E-2</v>
      </c>
      <c r="G937" s="1288">
        <v>4.9195067059140778E-2</v>
      </c>
      <c r="H937" s="1280">
        <v>0.46554449489054539</v>
      </c>
      <c r="I937" s="1303">
        <v>6.3340095870166938E-2</v>
      </c>
      <c r="J937" s="1288">
        <v>8.4991152742363948E-2</v>
      </c>
      <c r="K937" s="1280">
        <v>0.80429127631928232</v>
      </c>
      <c r="L937" s="1330">
        <v>0.17395564562338953</v>
      </c>
    </row>
    <row r="938" spans="1:12" s="326" customFormat="1" ht="15.5" x14ac:dyDescent="0.35">
      <c r="A938" s="328" t="s">
        <v>1902</v>
      </c>
      <c r="B938" s="1287">
        <v>9.717765195279085E-2</v>
      </c>
      <c r="C938" s="1288">
        <v>0.18947124383726349</v>
      </c>
      <c r="D938" s="1288">
        <v>0.28443666558076497</v>
      </c>
      <c r="E938" s="1280">
        <v>0.72597104767176579</v>
      </c>
      <c r="F938" s="1303">
        <v>5.1063950999533626E-2</v>
      </c>
      <c r="G938" s="1288">
        <v>4.7453239290807553E-2</v>
      </c>
      <c r="H938" s="1280">
        <v>0.44906116887698028</v>
      </c>
      <c r="I938" s="1303">
        <v>6.1772784301588987E-2</v>
      </c>
      <c r="J938" s="1288">
        <v>8.287149281840038E-2</v>
      </c>
      <c r="K938" s="1280">
        <v>0.78423243571530343</v>
      </c>
      <c r="L938" s="1330">
        <v>0.17323932591455657</v>
      </c>
    </row>
    <row r="939" spans="1:12" s="326" customFormat="1" ht="15.5" x14ac:dyDescent="0.35">
      <c r="A939" s="328" t="s">
        <v>1903</v>
      </c>
      <c r="B939" s="1287">
        <v>0.10547091085881821</v>
      </c>
      <c r="C939" s="1288">
        <v>0.18169385564013837</v>
      </c>
      <c r="D939" s="1288">
        <v>0.22486448781516849</v>
      </c>
      <c r="E939" s="1280">
        <v>0.78792629906584921</v>
      </c>
      <c r="F939" s="1303">
        <v>4.971022011925344E-2</v>
      </c>
      <c r="G939" s="1288">
        <v>4.5844267933771402E-2</v>
      </c>
      <c r="H939" s="1280">
        <v>0.43383509434385137</v>
      </c>
      <c r="I939" s="1303">
        <v>6.0205070841853135E-2</v>
      </c>
      <c r="J939" s="1288">
        <v>8.0752849667272156E-2</v>
      </c>
      <c r="K939" s="1280">
        <v>0.76418321707190628</v>
      </c>
      <c r="L939" s="1330">
        <v>0.17259463817650419</v>
      </c>
    </row>
    <row r="940" spans="1:12" s="326" customFormat="1" ht="15.5" x14ac:dyDescent="0.35">
      <c r="A940" s="328" t="s">
        <v>1904</v>
      </c>
      <c r="B940" s="1287">
        <v>0.10357212096044235</v>
      </c>
      <c r="C940" s="1288">
        <v>0.13638751042288247</v>
      </c>
      <c r="D940" s="1288">
        <v>0.21864900678390506</v>
      </c>
      <c r="E940" s="1306">
        <v>1.8982986074045254</v>
      </c>
      <c r="F940" s="1303">
        <v>4.9416522905409078E-2</v>
      </c>
      <c r="G940" s="1288">
        <v>4.4281628774003406E-2</v>
      </c>
      <c r="H940" s="1306">
        <v>0.41990747023879355</v>
      </c>
      <c r="I940" s="1303">
        <v>6.0195223282958753E-2</v>
      </c>
      <c r="J940" s="1288">
        <v>8.0712951166219862E-2</v>
      </c>
      <c r="K940" s="1306">
        <v>0.59869236544047066</v>
      </c>
      <c r="L940" s="1330">
        <v>0.15953328782505649</v>
      </c>
    </row>
    <row r="941" spans="1:12" s="326" customFormat="1" ht="15.5" x14ac:dyDescent="0.35">
      <c r="A941" s="328" t="s">
        <v>1905</v>
      </c>
      <c r="B941" s="1287">
        <v>0.11379153722627063</v>
      </c>
      <c r="C941" s="1288">
        <v>0.13934371162961659</v>
      </c>
      <c r="D941" s="1288">
        <v>0.21275325011693216</v>
      </c>
      <c r="E941" s="1306">
        <v>1.9530567921595361</v>
      </c>
      <c r="F941" s="1303">
        <v>4.9172663443787866E-2</v>
      </c>
      <c r="G941" s="1288">
        <v>4.278760609586657E-2</v>
      </c>
      <c r="H941" s="1306">
        <v>0.42758334660435099</v>
      </c>
      <c r="I941" s="1303">
        <v>6.0183958259433887E-2</v>
      </c>
      <c r="J941" s="1288">
        <v>8.0670016116823923E-2</v>
      </c>
      <c r="K941" s="1306">
        <v>0.59877318477729968</v>
      </c>
      <c r="L941" s="1330">
        <v>0.15953328782496173</v>
      </c>
    </row>
    <row r="942" spans="1:12" s="326" customFormat="1" ht="15.5" x14ac:dyDescent="0.35">
      <c r="A942" s="328" t="s">
        <v>1906</v>
      </c>
      <c r="B942" s="1287">
        <v>0.10844615133208127</v>
      </c>
      <c r="C942" s="1288">
        <v>0.14998359224142432</v>
      </c>
      <c r="D942" s="1288">
        <v>0.18774086077869065</v>
      </c>
      <c r="E942" s="1306">
        <v>1.9037842950700132</v>
      </c>
      <c r="F942" s="1303">
        <v>4.9007376604682712E-2</v>
      </c>
      <c r="G942" s="1288">
        <v>4.2268832956962141E-2</v>
      </c>
      <c r="H942" s="1306">
        <v>0.44213754747011641</v>
      </c>
      <c r="I942" s="1303">
        <v>6.0171748547419475E-2</v>
      </c>
      <c r="J942" s="1288">
        <v>8.0626832602046478E-2</v>
      </c>
      <c r="K942" s="1306">
        <v>0.59888854620563503</v>
      </c>
      <c r="L942" s="1330">
        <v>0.15953328782497903</v>
      </c>
    </row>
    <row r="943" spans="1:12" s="326" customFormat="1" ht="15.5" x14ac:dyDescent="0.35">
      <c r="A943" s="328" t="s">
        <v>1907</v>
      </c>
      <c r="B943" s="1287">
        <v>0.11619329120069655</v>
      </c>
      <c r="C943" s="1288">
        <v>9.7916235646724747E-2</v>
      </c>
      <c r="D943" s="1288">
        <v>0.22208901115410487</v>
      </c>
      <c r="E943" s="1306">
        <v>1.9140961818384885</v>
      </c>
      <c r="F943" s="1303">
        <v>4.885638882364985E-2</v>
      </c>
      <c r="G943" s="1288">
        <v>4.2103974207640407E-2</v>
      </c>
      <c r="H943" s="1306">
        <v>0.45777834703090114</v>
      </c>
      <c r="I943" s="1303">
        <v>6.0158682554224914E-2</v>
      </c>
      <c r="J943" s="1288">
        <v>8.0585647742457467E-2</v>
      </c>
      <c r="K943" s="1306">
        <v>0.59903086053232302</v>
      </c>
      <c r="L943" s="1330">
        <v>0.1537876351064669</v>
      </c>
    </row>
    <row r="944" spans="1:12" s="326" customFormat="1" ht="15.5" x14ac:dyDescent="0.35">
      <c r="A944" s="328" t="s">
        <v>1908</v>
      </c>
      <c r="B944" s="1287">
        <v>0.11349115391980198</v>
      </c>
      <c r="C944" s="1288">
        <v>0.14639689618056084</v>
      </c>
      <c r="D944" s="1288">
        <v>0.22152996716283704</v>
      </c>
      <c r="E944" s="1306">
        <v>1.9033773886938625</v>
      </c>
      <c r="F944" s="1303">
        <v>4.8698872036398583E-2</v>
      </c>
      <c r="G944" s="1288">
        <v>4.1930977555782713E-2</v>
      </c>
      <c r="H944" s="1306">
        <v>0.46945676857455643</v>
      </c>
      <c r="I944" s="1303">
        <v>6.0143974427842022E-2</v>
      </c>
      <c r="J944" s="1288">
        <v>8.0545718587481926E-2</v>
      </c>
      <c r="K944" s="1306">
        <v>0.5991827848409006</v>
      </c>
      <c r="L944" s="1330">
        <v>0.15378763510646054</v>
      </c>
    </row>
    <row r="945" spans="1:12" s="326" customFormat="1" ht="15.5" x14ac:dyDescent="0.35">
      <c r="A945" s="328" t="s">
        <v>1909</v>
      </c>
      <c r="B945" s="1287">
        <v>0.10999192690319827</v>
      </c>
      <c r="C945" s="1288">
        <v>0.13919807833630155</v>
      </c>
      <c r="D945" s="1288">
        <v>0.24474277823902921</v>
      </c>
      <c r="E945" s="1306">
        <v>1.9403770703274481</v>
      </c>
      <c r="F945" s="1303">
        <v>4.8494693582147294E-2</v>
      </c>
      <c r="G945" s="1288">
        <v>4.173749880466418E-2</v>
      </c>
      <c r="H945" s="1306">
        <v>0.47810878784767097</v>
      </c>
      <c r="I945" s="1303">
        <v>6.0126574119735411E-2</v>
      </c>
      <c r="J945" s="1288">
        <v>8.0502016791501776E-2</v>
      </c>
      <c r="K945" s="1306">
        <v>0.59933592764367827</v>
      </c>
      <c r="L945" s="1330">
        <v>0.15378763510646523</v>
      </c>
    </row>
    <row r="946" spans="1:12" s="326" customFormat="1" ht="15.5" x14ac:dyDescent="0.35">
      <c r="A946" s="328" t="s">
        <v>1910</v>
      </c>
      <c r="B946" s="1287">
        <v>6.4670367970624379E-2</v>
      </c>
      <c r="C946" s="1288">
        <v>9.6748386739047496E-2</v>
      </c>
      <c r="D946" s="1288">
        <v>9.6797081476315161E-2</v>
      </c>
      <c r="E946" s="1306">
        <v>1.9224537085224584</v>
      </c>
      <c r="F946" s="1303">
        <v>4.8279288528486064E-2</v>
      </c>
      <c r="G946" s="1288">
        <v>4.1525290261479622E-2</v>
      </c>
      <c r="H946" s="1306">
        <v>0.484120560071165</v>
      </c>
      <c r="I946" s="1303">
        <v>6.0104596823232735E-2</v>
      </c>
      <c r="J946" s="1288">
        <v>8.0439947638624651E-2</v>
      </c>
      <c r="K946" s="1306">
        <v>0.59944077495715642</v>
      </c>
      <c r="L946" s="1330">
        <v>0.15378763510646939</v>
      </c>
    </row>
    <row r="947" spans="1:12" s="326" customFormat="1" ht="15.5" x14ac:dyDescent="0.35">
      <c r="A947" s="328" t="s">
        <v>1911</v>
      </c>
      <c r="B947" s="1287">
        <v>6.5574775904484517E-2</v>
      </c>
      <c r="C947" s="1288">
        <v>8.5663476471261907E-2</v>
      </c>
      <c r="D947" s="1288">
        <v>9.591090870771915E-2</v>
      </c>
      <c r="E947" s="1306">
        <v>1.961343817622152</v>
      </c>
      <c r="F947" s="1303">
        <v>4.7646047692093123E-2</v>
      </c>
      <c r="G947" s="1288">
        <v>4.0994050881692397E-2</v>
      </c>
      <c r="H947" s="1306">
        <v>0.48304834868646485</v>
      </c>
      <c r="I947" s="1303">
        <v>6.007262406024632E-2</v>
      </c>
      <c r="J947" s="1288">
        <v>8.0323948611331492E-2</v>
      </c>
      <c r="K947" s="1306">
        <v>0.59918932276915271</v>
      </c>
      <c r="L947" s="1330">
        <v>0.15378828940285469</v>
      </c>
    </row>
    <row r="948" spans="1:12" s="326" customFormat="1" ht="15.5" x14ac:dyDescent="0.35">
      <c r="A948" s="328" t="s">
        <v>1912</v>
      </c>
      <c r="B948" s="1291">
        <v>6.5574775904484517E-2</v>
      </c>
      <c r="C948" s="1257">
        <v>8.5663476471261907E-2</v>
      </c>
      <c r="D948" s="1257">
        <v>9.591090870771915E-2</v>
      </c>
      <c r="E948" s="1280">
        <v>1.961343817622152</v>
      </c>
      <c r="F948" s="1271">
        <v>4.7646047692093123E-2</v>
      </c>
      <c r="G948" s="1257">
        <v>4.0994050881692397E-2</v>
      </c>
      <c r="H948" s="1280">
        <v>0.48304834868646485</v>
      </c>
      <c r="I948" s="1271">
        <v>6.007262406024632E-2</v>
      </c>
      <c r="J948" s="1257">
        <v>8.0323948611331492E-2</v>
      </c>
      <c r="K948" s="1280">
        <v>0.59918932276915271</v>
      </c>
      <c r="L948" s="1330">
        <v>0.16102246869201403</v>
      </c>
    </row>
    <row r="949" spans="1:12" s="326" customFormat="1" ht="15.5" x14ac:dyDescent="0.35">
      <c r="A949" s="328" t="s">
        <v>1913</v>
      </c>
      <c r="B949" s="1291">
        <v>0.1322324496168012</v>
      </c>
      <c r="C949" s="1257">
        <v>0.2132588805854389</v>
      </c>
      <c r="D949" s="1257">
        <v>0.14692494401866799</v>
      </c>
      <c r="E949" s="1280">
        <v>0.98784986110951412</v>
      </c>
      <c r="F949" s="1271">
        <v>5.7225654353668734E-2</v>
      </c>
      <c r="G949" s="1257">
        <v>9.2938375435355963E-2</v>
      </c>
      <c r="H949" s="1280">
        <v>0.87949771459781712</v>
      </c>
      <c r="I949" s="1271">
        <v>6.242805808145882E-2</v>
      </c>
      <c r="J949" s="1257">
        <v>0.1337711718860746</v>
      </c>
      <c r="K949" s="1280">
        <v>1.2659080751277796</v>
      </c>
      <c r="L949" s="1237">
        <v>0.17425671730527978</v>
      </c>
    </row>
    <row r="950" spans="1:12" s="326" customFormat="1" ht="15.5" x14ac:dyDescent="0.35">
      <c r="A950" s="328" t="s">
        <v>1914</v>
      </c>
      <c r="B950" s="1291">
        <v>0.1322324496168012</v>
      </c>
      <c r="C950" s="1257">
        <v>0.2132588805854389</v>
      </c>
      <c r="D950" s="1257">
        <v>0.14692494401866799</v>
      </c>
      <c r="E950" s="1280">
        <v>0.98784986110951412</v>
      </c>
      <c r="F950" s="1271">
        <v>5.7225654353668734E-2</v>
      </c>
      <c r="G950" s="1257">
        <v>9.2938375435355963E-2</v>
      </c>
      <c r="H950" s="1280">
        <v>0.87949771459781712</v>
      </c>
      <c r="I950" s="1271">
        <v>6.242805808145882E-2</v>
      </c>
      <c r="J950" s="1257">
        <v>0.1337711718860746</v>
      </c>
      <c r="K950" s="1280">
        <v>1.2659080751277796</v>
      </c>
      <c r="L950" s="1237">
        <v>0.17425671730527978</v>
      </c>
    </row>
    <row r="951" spans="1:12" s="326" customFormat="1" ht="15.5" x14ac:dyDescent="0.35">
      <c r="A951" s="328" t="s">
        <v>1915</v>
      </c>
      <c r="B951" s="1291">
        <v>0.1322324496168012</v>
      </c>
      <c r="C951" s="1257">
        <v>0.2132588805854389</v>
      </c>
      <c r="D951" s="1257">
        <v>0.14692494401866799</v>
      </c>
      <c r="E951" s="1280">
        <v>0.98784986110951412</v>
      </c>
      <c r="F951" s="1271">
        <v>5.7225654353668734E-2</v>
      </c>
      <c r="G951" s="1257">
        <v>9.2938375435355963E-2</v>
      </c>
      <c r="H951" s="1280">
        <v>0.87949771459781712</v>
      </c>
      <c r="I951" s="1271">
        <v>6.242805808145882E-2</v>
      </c>
      <c r="J951" s="1257">
        <v>0.1337711718860746</v>
      </c>
      <c r="K951" s="1280">
        <v>1.2659080751277796</v>
      </c>
      <c r="L951" s="1237">
        <v>0.17425671730527978</v>
      </c>
    </row>
    <row r="952" spans="1:12" s="326" customFormat="1" ht="15.5" x14ac:dyDescent="0.35">
      <c r="A952" s="328" t="s">
        <v>1916</v>
      </c>
      <c r="B952" s="1291">
        <v>0.1322324496168012</v>
      </c>
      <c r="C952" s="1257">
        <v>0.2132588805854389</v>
      </c>
      <c r="D952" s="1257">
        <v>0.14692494401866799</v>
      </c>
      <c r="E952" s="1280">
        <v>0.98784986110951412</v>
      </c>
      <c r="F952" s="1271">
        <v>5.7225654353668734E-2</v>
      </c>
      <c r="G952" s="1257">
        <v>9.2938375435355963E-2</v>
      </c>
      <c r="H952" s="1280">
        <v>0.87949771459781712</v>
      </c>
      <c r="I952" s="1271">
        <v>6.242805808145882E-2</v>
      </c>
      <c r="J952" s="1257">
        <v>0.1337711718860746</v>
      </c>
      <c r="K952" s="1280">
        <v>1.2659080751277796</v>
      </c>
      <c r="L952" s="1237">
        <v>0.17425671730527978</v>
      </c>
    </row>
    <row r="953" spans="1:12" s="326" customFormat="1" ht="15.5" x14ac:dyDescent="0.35">
      <c r="A953" s="328" t="s">
        <v>1917</v>
      </c>
      <c r="B953" s="1291">
        <v>0.1322324496168012</v>
      </c>
      <c r="C953" s="1257">
        <v>0.2132588805854389</v>
      </c>
      <c r="D953" s="1257">
        <v>0.14692494401866799</v>
      </c>
      <c r="E953" s="1280">
        <v>0.98784986110951412</v>
      </c>
      <c r="F953" s="1271">
        <v>5.7225654353668734E-2</v>
      </c>
      <c r="G953" s="1257">
        <v>9.2938375435355963E-2</v>
      </c>
      <c r="H953" s="1280">
        <v>0.87949771459781712</v>
      </c>
      <c r="I953" s="1271">
        <v>6.242805808145882E-2</v>
      </c>
      <c r="J953" s="1257">
        <v>0.1337711718860746</v>
      </c>
      <c r="K953" s="1280">
        <v>1.2659080751277796</v>
      </c>
      <c r="L953" s="1237">
        <v>0.17425671730527978</v>
      </c>
    </row>
    <row r="954" spans="1:12" s="326" customFormat="1" ht="15.5" x14ac:dyDescent="0.35">
      <c r="A954" s="328" t="s">
        <v>1918</v>
      </c>
      <c r="B954" s="1291">
        <v>0.1322324496168012</v>
      </c>
      <c r="C954" s="1257">
        <v>0.2132588805854389</v>
      </c>
      <c r="D954" s="1257">
        <v>0.14692494401866799</v>
      </c>
      <c r="E954" s="1280">
        <v>0.98784986110951412</v>
      </c>
      <c r="F954" s="1271">
        <v>5.7225654353668734E-2</v>
      </c>
      <c r="G954" s="1257">
        <v>9.2938375435355963E-2</v>
      </c>
      <c r="H954" s="1280">
        <v>0.87949771459781712</v>
      </c>
      <c r="I954" s="1271">
        <v>6.242805808145882E-2</v>
      </c>
      <c r="J954" s="1257">
        <v>0.1337711718860746</v>
      </c>
      <c r="K954" s="1280">
        <v>1.2659080751277796</v>
      </c>
      <c r="L954" s="1237">
        <v>0.17425671730527978</v>
      </c>
    </row>
    <row r="955" spans="1:12" s="326" customFormat="1" ht="15.5" x14ac:dyDescent="0.35">
      <c r="A955" s="328" t="s">
        <v>1919</v>
      </c>
      <c r="B955" s="1291">
        <v>0.1322324496168012</v>
      </c>
      <c r="C955" s="1257">
        <v>0.2132588805854389</v>
      </c>
      <c r="D955" s="1257">
        <v>0.14692494401866799</v>
      </c>
      <c r="E955" s="1280">
        <v>0.98784986110951412</v>
      </c>
      <c r="F955" s="1271">
        <v>5.7225654353668734E-2</v>
      </c>
      <c r="G955" s="1257">
        <v>9.2938375435355963E-2</v>
      </c>
      <c r="H955" s="1280">
        <v>0.87949771459781712</v>
      </c>
      <c r="I955" s="1271">
        <v>6.242805808145882E-2</v>
      </c>
      <c r="J955" s="1257">
        <v>0.1337711718860746</v>
      </c>
      <c r="K955" s="1280">
        <v>1.2659080751277796</v>
      </c>
      <c r="L955" s="1237">
        <v>0.17425671730527978</v>
      </c>
    </row>
    <row r="956" spans="1:12" s="326" customFormat="1" ht="15.5" x14ac:dyDescent="0.35">
      <c r="A956" s="328" t="s">
        <v>1920</v>
      </c>
      <c r="B956" s="1291">
        <v>0.1322324496168012</v>
      </c>
      <c r="C956" s="1257">
        <v>0.2132588805854389</v>
      </c>
      <c r="D956" s="1257">
        <v>0.14692494401866799</v>
      </c>
      <c r="E956" s="1280">
        <v>0.98784986110951412</v>
      </c>
      <c r="F956" s="1271">
        <v>5.7225654353668734E-2</v>
      </c>
      <c r="G956" s="1257">
        <v>9.2938375435355963E-2</v>
      </c>
      <c r="H956" s="1280">
        <v>0.87949771459781712</v>
      </c>
      <c r="I956" s="1271">
        <v>6.242805808145882E-2</v>
      </c>
      <c r="J956" s="1257">
        <v>0.1337711718860746</v>
      </c>
      <c r="K956" s="1280">
        <v>1.2659080751277796</v>
      </c>
      <c r="L956" s="1237">
        <v>0.17425671730527978</v>
      </c>
    </row>
    <row r="957" spans="1:12" s="326" customFormat="1" ht="15.5" x14ac:dyDescent="0.35">
      <c r="A957" s="328" t="s">
        <v>1921</v>
      </c>
      <c r="B957" s="1291">
        <v>0.1322324496168012</v>
      </c>
      <c r="C957" s="1257">
        <v>0.2132588805854389</v>
      </c>
      <c r="D957" s="1257">
        <v>0.14692494401866799</v>
      </c>
      <c r="E957" s="1280">
        <v>0.98784986110951412</v>
      </c>
      <c r="F957" s="1271">
        <v>5.7225654353668734E-2</v>
      </c>
      <c r="G957" s="1257">
        <v>9.2938375435355963E-2</v>
      </c>
      <c r="H957" s="1280">
        <v>0.87949771459781712</v>
      </c>
      <c r="I957" s="1271">
        <v>6.242805808145882E-2</v>
      </c>
      <c r="J957" s="1257">
        <v>0.1337711718860746</v>
      </c>
      <c r="K957" s="1280">
        <v>1.2659080751277796</v>
      </c>
      <c r="L957" s="1237">
        <v>0.17425671730527978</v>
      </c>
    </row>
    <row r="958" spans="1:12" s="326" customFormat="1" ht="15.5" x14ac:dyDescent="0.35">
      <c r="A958" s="328" t="s">
        <v>1922</v>
      </c>
      <c r="B958" s="1291">
        <v>0.1322324496168012</v>
      </c>
      <c r="C958" s="1257">
        <v>0.2132588805854389</v>
      </c>
      <c r="D958" s="1257">
        <v>0.14692494401866799</v>
      </c>
      <c r="E958" s="1280">
        <v>0.98784986110951412</v>
      </c>
      <c r="F958" s="1271">
        <v>5.7225654353668734E-2</v>
      </c>
      <c r="G958" s="1257">
        <v>9.2938375435355963E-2</v>
      </c>
      <c r="H958" s="1280">
        <v>0.87949771459781712</v>
      </c>
      <c r="I958" s="1271">
        <v>6.242805808145882E-2</v>
      </c>
      <c r="J958" s="1257">
        <v>0.1337711718860746</v>
      </c>
      <c r="K958" s="1280">
        <v>1.2659080751277796</v>
      </c>
      <c r="L958" s="1237">
        <v>0.17425671730527978</v>
      </c>
    </row>
    <row r="959" spans="1:12" s="326" customFormat="1" ht="15.5" x14ac:dyDescent="0.35">
      <c r="A959" s="328" t="s">
        <v>1923</v>
      </c>
      <c r="B959" s="1291">
        <v>0.1322324496168012</v>
      </c>
      <c r="C959" s="1257">
        <v>0.2132588805854389</v>
      </c>
      <c r="D959" s="1257">
        <v>0.14692494401866799</v>
      </c>
      <c r="E959" s="1280">
        <v>0.98784986110951412</v>
      </c>
      <c r="F959" s="1271">
        <v>5.7225654353668734E-2</v>
      </c>
      <c r="G959" s="1257">
        <v>9.2938375435355963E-2</v>
      </c>
      <c r="H959" s="1280">
        <v>0.87949771459781712</v>
      </c>
      <c r="I959" s="1271">
        <v>6.242805808145882E-2</v>
      </c>
      <c r="J959" s="1257">
        <v>0.1337711718860746</v>
      </c>
      <c r="K959" s="1280">
        <v>1.2659080751277796</v>
      </c>
      <c r="L959" s="1237">
        <v>0.17425671730527978</v>
      </c>
    </row>
    <row r="960" spans="1:12" s="326" customFormat="1" ht="15.5" x14ac:dyDescent="0.35">
      <c r="A960" s="328" t="s">
        <v>1924</v>
      </c>
      <c r="B960" s="1291">
        <v>0.1322324496168012</v>
      </c>
      <c r="C960" s="1257">
        <v>0.2132588805854389</v>
      </c>
      <c r="D960" s="1257">
        <v>0.14692494401866799</v>
      </c>
      <c r="E960" s="1280">
        <v>0.98784986110951412</v>
      </c>
      <c r="F960" s="1271">
        <v>5.7225654353668734E-2</v>
      </c>
      <c r="G960" s="1257">
        <v>9.2938375435355963E-2</v>
      </c>
      <c r="H960" s="1280">
        <v>0.87949771459781712</v>
      </c>
      <c r="I960" s="1271">
        <v>6.242805808145882E-2</v>
      </c>
      <c r="J960" s="1257">
        <v>0.1337711718860746</v>
      </c>
      <c r="K960" s="1280">
        <v>1.2659080751277796</v>
      </c>
      <c r="L960" s="1237">
        <v>0.17425671730527978</v>
      </c>
    </row>
    <row r="961" spans="1:12" s="326" customFormat="1" ht="15.5" x14ac:dyDescent="0.35">
      <c r="A961" s="328" t="s">
        <v>1925</v>
      </c>
      <c r="B961" s="1291">
        <v>0.1322324496168012</v>
      </c>
      <c r="C961" s="1257">
        <v>0.2132588805854389</v>
      </c>
      <c r="D961" s="1257">
        <v>0.14692494401866799</v>
      </c>
      <c r="E961" s="1280">
        <v>0.98784986110951412</v>
      </c>
      <c r="F961" s="1271">
        <v>5.7225654353668734E-2</v>
      </c>
      <c r="G961" s="1257">
        <v>9.2938375435355963E-2</v>
      </c>
      <c r="H961" s="1280">
        <v>0.87949771459781712</v>
      </c>
      <c r="I961" s="1271">
        <v>6.242805808145882E-2</v>
      </c>
      <c r="J961" s="1257">
        <v>0.1337711718860746</v>
      </c>
      <c r="K961" s="1280">
        <v>1.2659080751277796</v>
      </c>
      <c r="L961" s="1237">
        <v>0.17425671730527978</v>
      </c>
    </row>
    <row r="962" spans="1:12" s="326" customFormat="1" ht="15.5" x14ac:dyDescent="0.35">
      <c r="A962" s="328" t="s">
        <v>1926</v>
      </c>
      <c r="B962" s="1291">
        <v>0.1322324496168012</v>
      </c>
      <c r="C962" s="1257">
        <v>0.2132588805854389</v>
      </c>
      <c r="D962" s="1257">
        <v>0.14692494401866799</v>
      </c>
      <c r="E962" s="1280">
        <v>0.98784986110951412</v>
      </c>
      <c r="F962" s="1271">
        <v>5.7225654353668734E-2</v>
      </c>
      <c r="G962" s="1257">
        <v>9.2938375435355963E-2</v>
      </c>
      <c r="H962" s="1280">
        <v>0.87949771459781712</v>
      </c>
      <c r="I962" s="1271">
        <v>6.242805808145882E-2</v>
      </c>
      <c r="J962" s="1257">
        <v>0.1337711718860746</v>
      </c>
      <c r="K962" s="1280">
        <v>1.2659080751277796</v>
      </c>
      <c r="L962" s="1237">
        <v>0.17425671730527978</v>
      </c>
    </row>
    <row r="963" spans="1:12" s="326" customFormat="1" ht="15.5" x14ac:dyDescent="0.35">
      <c r="A963" s="328" t="s">
        <v>1927</v>
      </c>
      <c r="B963" s="1291">
        <v>0.1322324496168012</v>
      </c>
      <c r="C963" s="1257">
        <v>0.2132588805854389</v>
      </c>
      <c r="D963" s="1257">
        <v>0.14692494401866799</v>
      </c>
      <c r="E963" s="1280">
        <v>0.98784986110951412</v>
      </c>
      <c r="F963" s="1271">
        <v>5.7225654353668734E-2</v>
      </c>
      <c r="G963" s="1257">
        <v>9.2938375435355963E-2</v>
      </c>
      <c r="H963" s="1280">
        <v>0.87949771459781712</v>
      </c>
      <c r="I963" s="1271">
        <v>6.242805808145882E-2</v>
      </c>
      <c r="J963" s="1257">
        <v>0.1337711718860746</v>
      </c>
      <c r="K963" s="1280">
        <v>1.2659080751277796</v>
      </c>
      <c r="L963" s="1237">
        <v>0.17425671730527978</v>
      </c>
    </row>
    <row r="964" spans="1:12" s="326" customFormat="1" ht="15.5" x14ac:dyDescent="0.35">
      <c r="A964" s="328" t="s">
        <v>1928</v>
      </c>
      <c r="B964" s="1291">
        <v>0.1322324496168012</v>
      </c>
      <c r="C964" s="1257">
        <v>0.2132588805854389</v>
      </c>
      <c r="D964" s="1257">
        <v>0.14692494401866799</v>
      </c>
      <c r="E964" s="1280">
        <v>0.98784986110951412</v>
      </c>
      <c r="F964" s="1271">
        <v>5.7225654353668734E-2</v>
      </c>
      <c r="G964" s="1257">
        <v>9.2938375435355963E-2</v>
      </c>
      <c r="H964" s="1280">
        <v>0.87949771459781712</v>
      </c>
      <c r="I964" s="1271">
        <v>6.242805808145882E-2</v>
      </c>
      <c r="J964" s="1257">
        <v>0.1337711718860746</v>
      </c>
      <c r="K964" s="1280">
        <v>1.2659080751277796</v>
      </c>
      <c r="L964" s="1237">
        <v>0.17425671730527978</v>
      </c>
    </row>
    <row r="965" spans="1:12" s="326" customFormat="1" ht="15.5" x14ac:dyDescent="0.35">
      <c r="A965" s="328" t="s">
        <v>1929</v>
      </c>
      <c r="B965" s="1291">
        <v>0.1322324496168012</v>
      </c>
      <c r="C965" s="1257">
        <v>0.2132588805854389</v>
      </c>
      <c r="D965" s="1257">
        <v>0.14692494401866799</v>
      </c>
      <c r="E965" s="1280">
        <v>0.98784986110951412</v>
      </c>
      <c r="F965" s="1271">
        <v>5.7225654353668734E-2</v>
      </c>
      <c r="G965" s="1257">
        <v>9.2938375435355963E-2</v>
      </c>
      <c r="H965" s="1280">
        <v>0.87949771459781712</v>
      </c>
      <c r="I965" s="1271">
        <v>6.242805808145882E-2</v>
      </c>
      <c r="J965" s="1257">
        <v>0.1337711718860746</v>
      </c>
      <c r="K965" s="1280">
        <v>1.2659080751277796</v>
      </c>
      <c r="L965" s="1237">
        <v>0.17425671730527978</v>
      </c>
    </row>
    <row r="966" spans="1:12" s="326" customFormat="1" ht="15.5" x14ac:dyDescent="0.35">
      <c r="A966" s="328" t="s">
        <v>1930</v>
      </c>
      <c r="B966" s="1291">
        <v>0.1322324496168012</v>
      </c>
      <c r="C966" s="1257">
        <v>0.2132588805854389</v>
      </c>
      <c r="D966" s="1257">
        <v>0.14692494401866799</v>
      </c>
      <c r="E966" s="1280">
        <v>0.98784986110951412</v>
      </c>
      <c r="F966" s="1303">
        <v>5.7225654353668734E-2</v>
      </c>
      <c r="G966" s="1288">
        <v>9.2938375435355963E-2</v>
      </c>
      <c r="H966" s="1280">
        <v>0.87949771459781712</v>
      </c>
      <c r="I966" s="1303">
        <v>6.242805808145882E-2</v>
      </c>
      <c r="J966" s="1288">
        <v>0.1337711718860746</v>
      </c>
      <c r="K966" s="1280">
        <v>1.2659080751277796</v>
      </c>
      <c r="L966" s="1237">
        <v>0.17425671730527978</v>
      </c>
    </row>
    <row r="967" spans="1:12" s="326" customFormat="1" ht="15.5" x14ac:dyDescent="0.35">
      <c r="A967" s="328" t="s">
        <v>1931</v>
      </c>
      <c r="B967" s="1291">
        <v>0.1322324496168012</v>
      </c>
      <c r="C967" s="1257">
        <v>0.2132588805854389</v>
      </c>
      <c r="D967" s="1257">
        <v>0.14692494401866799</v>
      </c>
      <c r="E967" s="1280">
        <v>0.98784986110951412</v>
      </c>
      <c r="F967" s="1303">
        <v>5.7048486481969196E-2</v>
      </c>
      <c r="G967" s="1288">
        <v>9.0790723084024375E-2</v>
      </c>
      <c r="H967" s="1280">
        <v>0.85917397506720128</v>
      </c>
      <c r="I967" s="1303">
        <v>6.2553211495719185E-2</v>
      </c>
      <c r="J967" s="1288">
        <v>0.13220675803445564</v>
      </c>
      <c r="K967" s="1280">
        <v>1.2511036587525326</v>
      </c>
      <c r="L967" s="1237">
        <v>0.17425671730527978</v>
      </c>
    </row>
    <row r="968" spans="1:12" s="326" customFormat="1" ht="15.5" x14ac:dyDescent="0.35">
      <c r="A968" s="328" t="s">
        <v>1932</v>
      </c>
      <c r="B968" s="1291">
        <v>0.1322324496168012</v>
      </c>
      <c r="C968" s="1257">
        <v>0.2132588805854389</v>
      </c>
      <c r="D968" s="1257">
        <v>0.14692494401866799</v>
      </c>
      <c r="E968" s="1280">
        <v>0.98784986110951412</v>
      </c>
      <c r="F968" s="1303">
        <v>5.743311739821727E-2</v>
      </c>
      <c r="G968" s="1288">
        <v>8.9970718004479394E-2</v>
      </c>
      <c r="H968" s="1280">
        <v>0.85141407405709535</v>
      </c>
      <c r="I968" s="1303">
        <v>6.262224101048193E-2</v>
      </c>
      <c r="J968" s="1288">
        <v>0.13425254477117243</v>
      </c>
      <c r="K968" s="1280">
        <v>1.2704634200036684</v>
      </c>
      <c r="L968" s="1237">
        <v>0.17425671730527978</v>
      </c>
    </row>
    <row r="969" spans="1:12" s="326" customFormat="1" ht="15.5" x14ac:dyDescent="0.35">
      <c r="A969" s="328" t="s">
        <v>1933</v>
      </c>
      <c r="B969" s="1291">
        <v>0.1322324496168012</v>
      </c>
      <c r="C969" s="1257">
        <v>0.2132588805854389</v>
      </c>
      <c r="D969" s="1257">
        <v>0.14692494401866799</v>
      </c>
      <c r="E969" s="1280">
        <v>0.98784986110951412</v>
      </c>
      <c r="F969" s="1303">
        <v>5.7618316835208107E-2</v>
      </c>
      <c r="G969" s="1288">
        <v>8.8481696241883637E-2</v>
      </c>
      <c r="H969" s="1280">
        <v>0.83732311075958998</v>
      </c>
      <c r="I969" s="1303">
        <v>6.3596126178713547E-2</v>
      </c>
      <c r="J969" s="1288">
        <v>0.13312495039947106</v>
      </c>
      <c r="K969" s="1280">
        <v>1.2597927291479358</v>
      </c>
      <c r="L969" s="1237">
        <v>0.17425671730527978</v>
      </c>
    </row>
    <row r="970" spans="1:12" s="326" customFormat="1" ht="15.5" x14ac:dyDescent="0.35">
      <c r="A970" s="328" t="s">
        <v>1934</v>
      </c>
      <c r="B970" s="1291">
        <v>0.1322324496168012</v>
      </c>
      <c r="C970" s="1257">
        <v>0.2132588805854389</v>
      </c>
      <c r="D970" s="1257">
        <v>0.14692494401866799</v>
      </c>
      <c r="E970" s="1280">
        <v>0.98784986110951412</v>
      </c>
      <c r="F970" s="1303">
        <v>5.7364849014933522E-2</v>
      </c>
      <c r="G970" s="1288">
        <v>8.4486432184447527E-2</v>
      </c>
      <c r="H970" s="1280">
        <v>0.79951498692194101</v>
      </c>
      <c r="I970" s="1303">
        <v>6.3661067780497058E-2</v>
      </c>
      <c r="J970" s="1288">
        <v>0.13356044566644681</v>
      </c>
      <c r="K970" s="1280">
        <v>1.2639139233288017</v>
      </c>
      <c r="L970" s="1237">
        <v>0.17425671730527978</v>
      </c>
    </row>
    <row r="971" spans="1:12" s="326" customFormat="1" ht="15.5" x14ac:dyDescent="0.35">
      <c r="A971" s="328" t="s">
        <v>1935</v>
      </c>
      <c r="B971" s="1291">
        <v>0.1322324496168012</v>
      </c>
      <c r="C971" s="1257">
        <v>0.2132588805854389</v>
      </c>
      <c r="D971" s="1257">
        <v>0.14692494401866799</v>
      </c>
      <c r="E971" s="1280">
        <v>0.98784986110951412</v>
      </c>
      <c r="F971" s="1303">
        <v>5.7829942840008565E-2</v>
      </c>
      <c r="G971" s="1288">
        <v>7.9710467841329805E-2</v>
      </c>
      <c r="H971" s="1280">
        <v>0.75431891258670192</v>
      </c>
      <c r="I971" s="1303">
        <v>6.3845751647763418E-2</v>
      </c>
      <c r="J971" s="1288">
        <v>0.13274460586571585</v>
      </c>
      <c r="K971" s="1280">
        <v>1.2561934393321785</v>
      </c>
      <c r="L971" s="1237">
        <v>0.17425671730527978</v>
      </c>
    </row>
    <row r="972" spans="1:12" s="326" customFormat="1" ht="15.5" x14ac:dyDescent="0.35">
      <c r="A972" s="328" t="s">
        <v>1936</v>
      </c>
      <c r="B972" s="1291">
        <v>0.1322324496168012</v>
      </c>
      <c r="C972" s="1257">
        <v>0.2132588805854389</v>
      </c>
      <c r="D972" s="1257">
        <v>0.14692494401866799</v>
      </c>
      <c r="E972" s="1280">
        <v>0.98784986110951412</v>
      </c>
      <c r="F972" s="1303">
        <v>5.6629234804389847E-2</v>
      </c>
      <c r="G972" s="1288">
        <v>7.2294475940526889E-2</v>
      </c>
      <c r="H972" s="1280">
        <v>0.68413963629013308</v>
      </c>
      <c r="I972" s="1303">
        <v>6.3375123130582134E-2</v>
      </c>
      <c r="J972" s="1288">
        <v>0.13240407254747896</v>
      </c>
      <c r="K972" s="1280">
        <v>1.2529708924162164</v>
      </c>
      <c r="L972" s="1237">
        <v>0.17425671730527978</v>
      </c>
    </row>
    <row r="973" spans="1:12" s="326" customFormat="1" ht="15.5" x14ac:dyDescent="0.35">
      <c r="A973" s="328" t="s">
        <v>1937</v>
      </c>
      <c r="B973" s="1291">
        <v>0.1322324496168012</v>
      </c>
      <c r="C973" s="1257">
        <v>0.2132588805854389</v>
      </c>
      <c r="D973" s="1257">
        <v>0.14692494401866799</v>
      </c>
      <c r="E973" s="1280">
        <v>0.98784986110951412</v>
      </c>
      <c r="F973" s="1303">
        <v>5.741289346900276E-2</v>
      </c>
      <c r="G973" s="1288">
        <v>7.6575856561321862E-2</v>
      </c>
      <c r="H973" s="1280">
        <v>0.72465534848839153</v>
      </c>
      <c r="I973" s="1303">
        <v>6.3581331216279818E-2</v>
      </c>
      <c r="J973" s="1288">
        <v>0.13181696584982452</v>
      </c>
      <c r="K973" s="1280">
        <v>1.2474149635935601</v>
      </c>
      <c r="L973" s="1237">
        <v>0.17425671730527978</v>
      </c>
    </row>
    <row r="974" spans="1:12" s="326" customFormat="1" ht="15.5" x14ac:dyDescent="0.35">
      <c r="A974" s="328" t="s">
        <v>1938</v>
      </c>
      <c r="B974" s="1291">
        <v>0.1322324496168012</v>
      </c>
      <c r="C974" s="1257">
        <v>0.2132588805854389</v>
      </c>
      <c r="D974" s="1257">
        <v>0.14692494401866799</v>
      </c>
      <c r="E974" s="1280">
        <v>0.98784986110951412</v>
      </c>
      <c r="F974" s="1303">
        <v>5.7605250013710953E-2</v>
      </c>
      <c r="G974" s="1288">
        <v>7.468732833024308E-2</v>
      </c>
      <c r="H974" s="1280">
        <v>0.70678376147810917</v>
      </c>
      <c r="I974" s="1303">
        <v>6.3736339943824369E-2</v>
      </c>
      <c r="J974" s="1288">
        <v>0.13074517367159497</v>
      </c>
      <c r="K974" s="1280">
        <v>1.2372723420245788</v>
      </c>
      <c r="L974" s="1237">
        <v>0.17425671730527978</v>
      </c>
    </row>
    <row r="975" spans="1:12" s="326" customFormat="1" ht="15.5" x14ac:dyDescent="0.35">
      <c r="A975" s="328" t="s">
        <v>1939</v>
      </c>
      <c r="B975" s="1291">
        <v>0.1322324496168012</v>
      </c>
      <c r="C975" s="1257">
        <v>0.2132588805854389</v>
      </c>
      <c r="D975" s="1257">
        <v>0.14692494401866799</v>
      </c>
      <c r="E975" s="1280">
        <v>0.98784986110951412</v>
      </c>
      <c r="F975" s="1303">
        <v>5.7740956638259476E-2</v>
      </c>
      <c r="G975" s="1288">
        <v>7.451868504760413E-2</v>
      </c>
      <c r="H975" s="1280">
        <v>0.70518785041372434</v>
      </c>
      <c r="I975" s="1303">
        <v>6.3935725078272512E-2</v>
      </c>
      <c r="J975" s="1288">
        <v>0.12896935639189602</v>
      </c>
      <c r="K975" s="1280">
        <v>1.2204673652674278</v>
      </c>
      <c r="L975" s="1237">
        <v>0.17425671730527978</v>
      </c>
    </row>
    <row r="976" spans="1:12" s="326" customFormat="1" ht="15.5" x14ac:dyDescent="0.35">
      <c r="A976" s="328" t="s">
        <v>1940</v>
      </c>
      <c r="B976" s="1291">
        <v>0.1322324496168012</v>
      </c>
      <c r="C976" s="1257">
        <v>0.2132588805854389</v>
      </c>
      <c r="D976" s="1257">
        <v>0.14692494401866799</v>
      </c>
      <c r="E976" s="1280">
        <v>0.98784986110951412</v>
      </c>
      <c r="F976" s="1303">
        <v>5.7670803663940132E-2</v>
      </c>
      <c r="G976" s="1288">
        <v>7.0510358409303531E-2</v>
      </c>
      <c r="H976" s="1280">
        <v>0.66725611229980619</v>
      </c>
      <c r="I976" s="1303">
        <v>6.4057523456654136E-2</v>
      </c>
      <c r="J976" s="1288">
        <v>0.12955201822857149</v>
      </c>
      <c r="K976" s="1280">
        <v>1.2259812313247904</v>
      </c>
      <c r="L976" s="1237">
        <v>0.17425671730527978</v>
      </c>
    </row>
    <row r="977" spans="1:12" s="326" customFormat="1" ht="15.5" x14ac:dyDescent="0.35">
      <c r="A977" s="328" t="s">
        <v>1941</v>
      </c>
      <c r="B977" s="1291">
        <v>0.1322324496168012</v>
      </c>
      <c r="C977" s="1257">
        <v>0.2132588805854389</v>
      </c>
      <c r="D977" s="1257">
        <v>0.14692494401866799</v>
      </c>
      <c r="E977" s="1280">
        <v>0.98784986110951412</v>
      </c>
      <c r="F977" s="1303">
        <v>5.768176986285186E-2</v>
      </c>
      <c r="G977" s="1288">
        <v>6.9852534221305593E-2</v>
      </c>
      <c r="H977" s="1280">
        <v>0.6610309672266198</v>
      </c>
      <c r="I977" s="1303">
        <v>6.3808431850003136E-2</v>
      </c>
      <c r="J977" s="1288">
        <v>0.12951105885695866</v>
      </c>
      <c r="K977" s="1280">
        <v>1.225593623153719</v>
      </c>
      <c r="L977" s="1237">
        <v>0.17425671730527978</v>
      </c>
    </row>
    <row r="978" spans="1:12" s="326" customFormat="1" ht="15.5" x14ac:dyDescent="0.35">
      <c r="A978" s="328" t="s">
        <v>1942</v>
      </c>
      <c r="B978" s="1291">
        <v>0.1322324496168012</v>
      </c>
      <c r="C978" s="1257">
        <v>0.2132588805854389</v>
      </c>
      <c r="D978" s="1257">
        <v>0.14692494401866799</v>
      </c>
      <c r="E978" s="1280">
        <v>0.98784986110951412</v>
      </c>
      <c r="F978" s="1303">
        <v>5.7511874792758773E-2</v>
      </c>
      <c r="G978" s="1288">
        <v>7.5600634297726746E-2</v>
      </c>
      <c r="H978" s="1280">
        <v>0.71542659074392878</v>
      </c>
      <c r="I978" s="1303">
        <v>6.3346180313540668E-2</v>
      </c>
      <c r="J978" s="1288">
        <v>0.13011714254390339</v>
      </c>
      <c r="K978" s="1280">
        <v>1.2313291356912035</v>
      </c>
      <c r="L978" s="1237">
        <v>0.17425671730527978</v>
      </c>
    </row>
    <row r="979" spans="1:12" s="326" customFormat="1" ht="15.5" x14ac:dyDescent="0.35">
      <c r="A979" s="328" t="s">
        <v>1943</v>
      </c>
      <c r="B979" s="1291">
        <v>0.1322324496168012</v>
      </c>
      <c r="C979" s="1257">
        <v>0.2132588805854389</v>
      </c>
      <c r="D979" s="1257">
        <v>0.14692494401866799</v>
      </c>
      <c r="E979" s="1280">
        <v>0.98784986110951412</v>
      </c>
      <c r="F979" s="1303">
        <v>5.7646911956994E-2</v>
      </c>
      <c r="G979" s="1288">
        <v>7.4237831802462101E-2</v>
      </c>
      <c r="H979" s="1280">
        <v>0.70253007007182888</v>
      </c>
      <c r="I979" s="1303">
        <v>6.3726180109925687E-2</v>
      </c>
      <c r="J979" s="1288">
        <v>0.13025641152106598</v>
      </c>
      <c r="K979" s="1280">
        <v>1.2326470707912642</v>
      </c>
      <c r="L979" s="1237">
        <v>0.17425671730527978</v>
      </c>
    </row>
    <row r="980" spans="1:12" s="326" customFormat="1" ht="15.5" x14ac:dyDescent="0.35">
      <c r="A980" s="328" t="s">
        <v>1944</v>
      </c>
      <c r="B980" s="1291">
        <v>0.1322324496168012</v>
      </c>
      <c r="C980" s="1257">
        <v>0.2132588805854389</v>
      </c>
      <c r="D980" s="1257">
        <v>0.14692494401866799</v>
      </c>
      <c r="E980" s="1280">
        <v>0.98784986110951412</v>
      </c>
      <c r="F980" s="1303">
        <v>5.7436663114258567E-2</v>
      </c>
      <c r="G980" s="1288">
        <v>7.2919808821614862E-2</v>
      </c>
      <c r="H980" s="1280">
        <v>0.6900573084810171</v>
      </c>
      <c r="I980" s="1303">
        <v>6.3673895234727787E-2</v>
      </c>
      <c r="J980" s="1288">
        <v>0.13011291186432905</v>
      </c>
      <c r="K980" s="1280">
        <v>1.2312890997749373</v>
      </c>
      <c r="L980" s="1237">
        <v>0.17425671730527978</v>
      </c>
    </row>
    <row r="981" spans="1:12" s="326" customFormat="1" ht="15.5" x14ac:dyDescent="0.35">
      <c r="A981" s="328" t="s">
        <v>1945</v>
      </c>
      <c r="B981" s="1291">
        <v>0.1322324496168012</v>
      </c>
      <c r="C981" s="1257">
        <v>0.2132588805854389</v>
      </c>
      <c r="D981" s="1257">
        <v>0.14692494401866799</v>
      </c>
      <c r="E981" s="1280">
        <v>0.98784986110951412</v>
      </c>
      <c r="F981" s="1303">
        <v>5.724627511619982E-2</v>
      </c>
      <c r="G981" s="1288">
        <v>7.3835445136860869E-2</v>
      </c>
      <c r="H981" s="1280">
        <v>0.69872219037602912</v>
      </c>
      <c r="I981" s="1303">
        <v>6.3281126165676896E-2</v>
      </c>
      <c r="J981" s="1288">
        <v>0.12939384047212665</v>
      </c>
      <c r="K981" s="1280">
        <v>1.2244843579972575</v>
      </c>
      <c r="L981" s="1237">
        <v>0.17425671730527978</v>
      </c>
    </row>
    <row r="982" spans="1:12" s="326" customFormat="1" ht="15.5" x14ac:dyDescent="0.35">
      <c r="A982" s="328" t="s">
        <v>1946</v>
      </c>
      <c r="B982" s="1291">
        <v>0.1322324496168012</v>
      </c>
      <c r="C982" s="1257">
        <v>0.2132588805854389</v>
      </c>
      <c r="D982" s="1257">
        <v>0.14692494401866799</v>
      </c>
      <c r="E982" s="1280">
        <v>0.98784986110951412</v>
      </c>
      <c r="F982" s="1303">
        <v>4.9136866638651626E-2</v>
      </c>
      <c r="G982" s="1288">
        <v>7.3236885059274962E-2</v>
      </c>
      <c r="H982" s="1280">
        <v>0.6930578755241682</v>
      </c>
      <c r="I982" s="1303">
        <v>6.9325097927549137E-2</v>
      </c>
      <c r="J982" s="1288">
        <v>0.128411226269425</v>
      </c>
      <c r="K982" s="1280">
        <v>1.2151856485937498</v>
      </c>
      <c r="L982" s="1237">
        <v>0.17425671730527978</v>
      </c>
    </row>
    <row r="983" spans="1:12" s="326" customFormat="1" ht="15.5" x14ac:dyDescent="0.35">
      <c r="A983" s="328" t="s">
        <v>1947</v>
      </c>
      <c r="B983" s="1291">
        <v>0.1322324496168012</v>
      </c>
      <c r="C983" s="1257">
        <v>0.2132588805854389</v>
      </c>
      <c r="D983" s="1257">
        <v>0.14692494401866799</v>
      </c>
      <c r="E983" s="1280">
        <v>0.98784986110951412</v>
      </c>
      <c r="F983" s="1303">
        <v>4.932620567654207E-2</v>
      </c>
      <c r="G983" s="1288">
        <v>7.1345545893438403E-2</v>
      </c>
      <c r="H983" s="1280">
        <v>0.67515968797687664</v>
      </c>
      <c r="I983" s="1303">
        <v>6.9151175750122626E-2</v>
      </c>
      <c r="J983" s="1288">
        <v>0.12893617087792386</v>
      </c>
      <c r="K983" s="1280">
        <v>1.2201533229403529</v>
      </c>
      <c r="L983" s="1237">
        <v>0.17425671730527978</v>
      </c>
    </row>
    <row r="984" spans="1:12" s="326" customFormat="1" ht="15.5" x14ac:dyDescent="0.35">
      <c r="A984" s="328" t="s">
        <v>1948</v>
      </c>
      <c r="B984" s="1291">
        <v>0.1322324496168012</v>
      </c>
      <c r="C984" s="1257">
        <v>0.2132588805854389</v>
      </c>
      <c r="D984" s="1257">
        <v>0.14692494401866799</v>
      </c>
      <c r="E984" s="1280">
        <v>0.98784986110951412</v>
      </c>
      <c r="F984" s="1303">
        <v>4.9098767272464795E-2</v>
      </c>
      <c r="G984" s="1288">
        <v>7.6645574666971944E-2</v>
      </c>
      <c r="H984" s="1280">
        <v>0.72531510732641835</v>
      </c>
      <c r="I984" s="1303">
        <v>6.8878567472477434E-2</v>
      </c>
      <c r="J984" s="1288">
        <v>0.12917486135650461</v>
      </c>
      <c r="K984" s="1280">
        <v>1.2224121071016281</v>
      </c>
      <c r="L984" s="1237">
        <v>0.17425671730527978</v>
      </c>
    </row>
    <row r="985" spans="1:12" s="326" customFormat="1" ht="15.5" x14ac:dyDescent="0.35">
      <c r="A985" s="328" t="s">
        <v>1949</v>
      </c>
      <c r="B985" s="1291">
        <v>0.1322324496168012</v>
      </c>
      <c r="C985" s="1257">
        <v>0.2132588805854389</v>
      </c>
      <c r="D985" s="1257">
        <v>0.14692494401866799</v>
      </c>
      <c r="E985" s="1280">
        <v>0.98784986110951412</v>
      </c>
      <c r="F985" s="1303">
        <v>5.8912658029065382E-2</v>
      </c>
      <c r="G985" s="1288">
        <v>7.080369425061607E-2</v>
      </c>
      <c r="H985" s="1280">
        <v>0.67003201838634463</v>
      </c>
      <c r="I985" s="1303">
        <v>7.4682106138682675E-2</v>
      </c>
      <c r="J985" s="1288">
        <v>0.13006116077492638</v>
      </c>
      <c r="K985" s="1280">
        <v>1.230799367039193</v>
      </c>
      <c r="L985" s="1237">
        <v>0.17425671730527978</v>
      </c>
    </row>
    <row r="986" spans="1:12" s="326" customFormat="1" ht="15.5" x14ac:dyDescent="0.35">
      <c r="A986" s="328" t="s">
        <v>1950</v>
      </c>
      <c r="B986" s="1291">
        <v>0.1322324496168012</v>
      </c>
      <c r="C986" s="1257">
        <v>0.2132588805854389</v>
      </c>
      <c r="D986" s="1257">
        <v>0.14692494401866799</v>
      </c>
      <c r="E986" s="1280">
        <v>0.98784986110951412</v>
      </c>
      <c r="F986" s="1303">
        <v>5.9002206818701775E-2</v>
      </c>
      <c r="G986" s="1288">
        <v>6.8915597235858328E-2</v>
      </c>
      <c r="H986" s="1280">
        <v>0.65216451207757109</v>
      </c>
      <c r="I986" s="1303">
        <v>7.5430766259108342E-2</v>
      </c>
      <c r="J986" s="1288">
        <v>0.11541625137098821</v>
      </c>
      <c r="K986" s="1280">
        <v>1.0922111434886899</v>
      </c>
      <c r="L986" s="1237">
        <v>0.17425671730527978</v>
      </c>
    </row>
    <row r="987" spans="1:12" s="326" customFormat="1" ht="15.5" x14ac:dyDescent="0.35">
      <c r="A987" s="328" t="s">
        <v>1951</v>
      </c>
      <c r="B987" s="1291">
        <v>0.1322324496168012</v>
      </c>
      <c r="C987" s="1257">
        <v>0.2132588805854389</v>
      </c>
      <c r="D987" s="1257">
        <v>0.14692494401866799</v>
      </c>
      <c r="E987" s="1280">
        <v>0.98784986110951412</v>
      </c>
      <c r="F987" s="1303">
        <v>5.8752395184114542E-2</v>
      </c>
      <c r="G987" s="1288">
        <v>6.2571204050875046E-2</v>
      </c>
      <c r="H987" s="1280">
        <v>0.59212602656967783</v>
      </c>
      <c r="I987" s="1303">
        <v>7.5232198031904521E-2</v>
      </c>
      <c r="J987" s="1288">
        <v>9.9193338823871019E-2</v>
      </c>
      <c r="K987" s="1280">
        <v>0.93868990489942639</v>
      </c>
      <c r="L987" s="1237">
        <v>0.17425671730527978</v>
      </c>
    </row>
    <row r="988" spans="1:12" s="326" customFormat="1" ht="15.5" x14ac:dyDescent="0.35">
      <c r="A988" s="328" t="s">
        <v>1952</v>
      </c>
      <c r="B988" s="1291">
        <v>0.1322324496168012</v>
      </c>
      <c r="C988" s="1257">
        <v>0.2132588805854389</v>
      </c>
      <c r="D988" s="1257">
        <v>0.14692494401866799</v>
      </c>
      <c r="E988" s="1280">
        <v>0.98784986110951412</v>
      </c>
      <c r="F988" s="1303">
        <v>6.474471928175661E-2</v>
      </c>
      <c r="G988" s="1288">
        <v>5.8082087286745937E-2</v>
      </c>
      <c r="H988" s="1280">
        <v>0.54964445836795606</v>
      </c>
      <c r="I988" s="1303">
        <v>8.0750299117860358E-2</v>
      </c>
      <c r="J988" s="1288">
        <v>9.9186275666876753E-2</v>
      </c>
      <c r="K988" s="1280">
        <v>0.93862306458287037</v>
      </c>
      <c r="L988" s="1237">
        <v>0.17425671730527978</v>
      </c>
    </row>
    <row r="989" spans="1:12" s="326" customFormat="1" ht="15.5" x14ac:dyDescent="0.35">
      <c r="A989" s="328" t="s">
        <v>1953</v>
      </c>
      <c r="B989" s="1291">
        <v>0.1322324496168012</v>
      </c>
      <c r="C989" s="1257">
        <v>0.2132588805854389</v>
      </c>
      <c r="D989" s="1257">
        <v>0.14692494401866799</v>
      </c>
      <c r="E989" s="1280">
        <v>0.98784986110951412</v>
      </c>
      <c r="F989" s="1303">
        <v>6.6749071441068689E-2</v>
      </c>
      <c r="G989" s="1288">
        <v>5.8407831354927497E-2</v>
      </c>
      <c r="H989" s="1280">
        <v>0.55272705113082121</v>
      </c>
      <c r="I989" s="1303">
        <v>8.0445701205859713E-2</v>
      </c>
      <c r="J989" s="1288">
        <v>0.10085913577207437</v>
      </c>
      <c r="K989" s="1280">
        <v>0.95445373337249784</v>
      </c>
      <c r="L989" s="1330">
        <v>0.17425671730527978</v>
      </c>
    </row>
    <row r="990" spans="1:12" s="326" customFormat="1" ht="15.5" x14ac:dyDescent="0.35">
      <c r="A990" s="328" t="s">
        <v>1954</v>
      </c>
      <c r="B990" s="1291">
        <v>0.1322324496168012</v>
      </c>
      <c r="C990" s="1257">
        <v>0.2132588805854389</v>
      </c>
      <c r="D990" s="1257">
        <v>0.14692494401866799</v>
      </c>
      <c r="E990" s="1280">
        <v>0.98784986110951412</v>
      </c>
      <c r="F990" s="1303">
        <v>5.9810308806546454E-2</v>
      </c>
      <c r="G990" s="1288">
        <v>5.8711457022482531E-2</v>
      </c>
      <c r="H990" s="1280">
        <v>0.555600332264228</v>
      </c>
      <c r="I990" s="1303">
        <v>8.0684348900823058E-2</v>
      </c>
      <c r="J990" s="1288">
        <v>0.10078573622648469</v>
      </c>
      <c r="K990" s="1280">
        <v>0.9537591362021014</v>
      </c>
      <c r="L990" s="1330">
        <v>0.17347477390002125</v>
      </c>
    </row>
    <row r="991" spans="1:12" s="326" customFormat="1" ht="15.5" x14ac:dyDescent="0.35">
      <c r="A991" s="328" t="s">
        <v>1955</v>
      </c>
      <c r="B991" s="1291">
        <v>0.1322324496168012</v>
      </c>
      <c r="C991" s="1257">
        <v>0.2132588805854389</v>
      </c>
      <c r="D991" s="1257">
        <v>0.14692494401866799</v>
      </c>
      <c r="E991" s="1280">
        <v>0.98784986110951412</v>
      </c>
      <c r="F991" s="1303">
        <v>6.5619731965902484E-2</v>
      </c>
      <c r="G991" s="1288">
        <v>5.7557108680884157E-2</v>
      </c>
      <c r="H991" s="1280">
        <v>0.54467646229630817</v>
      </c>
      <c r="I991" s="1303">
        <v>8.0618196453931992E-2</v>
      </c>
      <c r="J991" s="1288">
        <v>0.10117345957186129</v>
      </c>
      <c r="K991" s="1280">
        <v>0.95742825344842253</v>
      </c>
      <c r="L991" s="1330">
        <v>0.16372933912463197</v>
      </c>
    </row>
    <row r="992" spans="1:12" s="326" customFormat="1" ht="15.5" x14ac:dyDescent="0.35">
      <c r="A992" s="328" t="s">
        <v>1956</v>
      </c>
      <c r="B992" s="1291">
        <v>0.1322324496168012</v>
      </c>
      <c r="C992" s="1257">
        <v>0.2132588805854389</v>
      </c>
      <c r="D992" s="1257">
        <v>0.14692494401866799</v>
      </c>
      <c r="E992" s="1280">
        <v>0.98784986110951412</v>
      </c>
      <c r="F992" s="1303">
        <v>6.0572301154876627E-2</v>
      </c>
      <c r="G992" s="1288">
        <v>5.5450812454743814E-2</v>
      </c>
      <c r="H992" s="1280">
        <v>0.52474408550923002</v>
      </c>
      <c r="I992" s="1303">
        <v>7.842428236374871E-2</v>
      </c>
      <c r="J992" s="1288">
        <v>9.8642795196040745E-2</v>
      </c>
      <c r="K992" s="1280">
        <v>0.9334799810095914</v>
      </c>
      <c r="L992" s="1330">
        <v>0.19315472698923616</v>
      </c>
    </row>
    <row r="993" spans="1:12" s="326" customFormat="1" ht="15.5" x14ac:dyDescent="0.35">
      <c r="A993" s="328" t="s">
        <v>1957</v>
      </c>
      <c r="B993" s="1291">
        <v>0.1322324496168012</v>
      </c>
      <c r="C993" s="1257">
        <v>0.2132588805854389</v>
      </c>
      <c r="D993" s="1257">
        <v>0.14692494401866799</v>
      </c>
      <c r="E993" s="1280">
        <v>0.98784986110951412</v>
      </c>
      <c r="F993" s="1303">
        <v>5.8055359967791195E-2</v>
      </c>
      <c r="G993" s="1288">
        <v>5.5737277395961002E-2</v>
      </c>
      <c r="H993" s="1280">
        <v>0.52745497065148395</v>
      </c>
      <c r="I993" s="1303">
        <v>7.7947848118024465E-2</v>
      </c>
      <c r="J993" s="1288">
        <v>9.9408141350437421E-2</v>
      </c>
      <c r="K993" s="1280">
        <v>0.9407226317500953</v>
      </c>
      <c r="L993" s="1330">
        <v>0.19315472698924288</v>
      </c>
    </row>
    <row r="994" spans="1:12" s="326" customFormat="1" ht="15.5" x14ac:dyDescent="0.35">
      <c r="A994" s="328" t="s">
        <v>1958</v>
      </c>
      <c r="B994" s="1291">
        <v>0.1322324496168012</v>
      </c>
      <c r="C994" s="1257">
        <v>0.2132588805854389</v>
      </c>
      <c r="D994" s="1257">
        <v>0.14692494401866799</v>
      </c>
      <c r="E994" s="1280">
        <v>0.98784986110951412</v>
      </c>
      <c r="F994" s="1303">
        <v>6.0297009577727136E-2</v>
      </c>
      <c r="G994" s="1288">
        <v>5.5862286250075957E-2</v>
      </c>
      <c r="H994" s="1280">
        <v>0.52863795885182174</v>
      </c>
      <c r="I994" s="1303">
        <v>7.5586871533049271E-2</v>
      </c>
      <c r="J994" s="1288">
        <v>9.6708072030465539E-2</v>
      </c>
      <c r="K994" s="1280">
        <v>0.91517124046477316</v>
      </c>
      <c r="L994" s="1330">
        <v>0.19315472698921296</v>
      </c>
    </row>
    <row r="995" spans="1:12" s="326" customFormat="1" ht="15.5" x14ac:dyDescent="0.35">
      <c r="A995" s="328" t="s">
        <v>1959</v>
      </c>
      <c r="B995" s="1291">
        <v>0.1322324496168012</v>
      </c>
      <c r="C995" s="1257">
        <v>0.2132588805854389</v>
      </c>
      <c r="D995" s="1257">
        <v>0.14692494401866799</v>
      </c>
      <c r="E995" s="1280">
        <v>0.98784986110951412</v>
      </c>
      <c r="F995" s="1303">
        <v>5.9260945780594862E-2</v>
      </c>
      <c r="G995" s="1288">
        <v>5.5048760857237554E-2</v>
      </c>
      <c r="H995" s="1280">
        <v>0.52093937664165246</v>
      </c>
      <c r="I995" s="1303">
        <v>7.2831820093444813E-2</v>
      </c>
      <c r="J995" s="1288">
        <v>9.5319314912940961E-2</v>
      </c>
      <c r="K995" s="1280">
        <v>0.90202910509525747</v>
      </c>
      <c r="L995" s="1330">
        <v>0.19783819272426756</v>
      </c>
    </row>
    <row r="996" spans="1:12" s="326" customFormat="1" ht="15.5" x14ac:dyDescent="0.35">
      <c r="A996" s="328" t="s">
        <v>1960</v>
      </c>
      <c r="B996" s="1287">
        <v>0.1322324496168012</v>
      </c>
      <c r="C996" s="1288">
        <v>0.2132588805854389</v>
      </c>
      <c r="D996" s="1288">
        <v>0.25994660149279064</v>
      </c>
      <c r="E996" s="1306">
        <v>1.9841824511142607</v>
      </c>
      <c r="F996" s="1303">
        <v>5.4318793175824331E-2</v>
      </c>
      <c r="G996" s="1288">
        <v>5.3862405949367191E-2</v>
      </c>
      <c r="H996" s="1280">
        <v>0.5097126210061439</v>
      </c>
      <c r="I996" s="1303">
        <v>6.8315923727742603E-2</v>
      </c>
      <c r="J996" s="1288">
        <v>9.0751012347608712E-2</v>
      </c>
      <c r="K996" s="1280">
        <v>0.85879818302479716</v>
      </c>
      <c r="L996" s="1330">
        <v>0.19649683347293895</v>
      </c>
    </row>
    <row r="997" spans="1:12" s="326" customFormat="1" ht="15.5" x14ac:dyDescent="0.35">
      <c r="A997" s="328" t="s">
        <v>1961</v>
      </c>
      <c r="B997" s="1287">
        <v>0.13609026237216817</v>
      </c>
      <c r="C997" s="1288">
        <v>0.23815607986261053</v>
      </c>
      <c r="D997" s="1288">
        <v>0.27985366087582708</v>
      </c>
      <c r="E997" s="1306">
        <v>1.7639941585806216</v>
      </c>
      <c r="F997" s="1303">
        <v>5.7080725847378756E-2</v>
      </c>
      <c r="G997" s="1288">
        <v>5.1936133534265419E-2</v>
      </c>
      <c r="H997" s="1280">
        <v>0.49148385190146754</v>
      </c>
      <c r="I997" s="1303">
        <v>6.8384527693987521E-2</v>
      </c>
      <c r="J997" s="1288">
        <v>8.988068481347232E-2</v>
      </c>
      <c r="K997" s="1280">
        <v>0.85056206878631524</v>
      </c>
      <c r="L997" s="1330">
        <v>0.19528961014652838</v>
      </c>
    </row>
    <row r="998" spans="1:12" s="326" customFormat="1" ht="15.5" x14ac:dyDescent="0.35">
      <c r="A998" s="328" t="s">
        <v>1962</v>
      </c>
      <c r="B998" s="1287">
        <v>0.11830071142091225</v>
      </c>
      <c r="C998" s="1288">
        <v>0.26850502474627019</v>
      </c>
      <c r="D998" s="1288">
        <v>0.25900018763539523</v>
      </c>
      <c r="E998" s="1280">
        <v>0.88377203693167061</v>
      </c>
      <c r="F998" s="1303">
        <v>5.3989434374506227E-2</v>
      </c>
      <c r="G998" s="1288">
        <v>5.1836508323504116E-2</v>
      </c>
      <c r="H998" s="1280">
        <v>0.49054107509080735</v>
      </c>
      <c r="I998" s="1303">
        <v>6.4993172989361567E-2</v>
      </c>
      <c r="J998" s="1288">
        <v>8.7260164910956187E-2</v>
      </c>
      <c r="K998" s="1280">
        <v>0.82576347235588676</v>
      </c>
      <c r="L998" s="1330">
        <v>0.19420310915309494</v>
      </c>
    </row>
    <row r="999" spans="1:12" s="326" customFormat="1" ht="15.5" x14ac:dyDescent="0.35">
      <c r="A999" s="328" t="s">
        <v>1963</v>
      </c>
      <c r="B999" s="1287">
        <v>9.3414981312132245E-2</v>
      </c>
      <c r="C999" s="1288">
        <v>0.23439851373421447</v>
      </c>
      <c r="D999" s="1288">
        <v>0.25829364636855545</v>
      </c>
      <c r="E999" s="1280">
        <v>0.69786180761346794</v>
      </c>
      <c r="F999" s="1303">
        <v>5.2479915628829137E-2</v>
      </c>
      <c r="G999" s="1288">
        <v>4.9283173267356449E-2</v>
      </c>
      <c r="H999" s="1280">
        <v>0.46637826466976284</v>
      </c>
      <c r="I999" s="1303">
        <v>6.3360997748717271E-2</v>
      </c>
      <c r="J999" s="1288">
        <v>8.5054117895883324E-2</v>
      </c>
      <c r="K999" s="1280">
        <v>0.80488713038236648</v>
      </c>
      <c r="L999" s="1330">
        <v>0.17475170732795828</v>
      </c>
    </row>
    <row r="1000" spans="1:12" s="326" customFormat="1" ht="15.5" x14ac:dyDescent="0.35">
      <c r="A1000" s="328" t="s">
        <v>1964</v>
      </c>
      <c r="B1000" s="1287">
        <v>9.7177651952791808E-2</v>
      </c>
      <c r="C1000" s="1288">
        <v>0.18947415187621111</v>
      </c>
      <c r="D1000" s="1288">
        <v>0.28443665083017877</v>
      </c>
      <c r="E1000" s="1280">
        <v>0.7259710476717729</v>
      </c>
      <c r="F1000" s="1303">
        <v>5.1114664946615401E-2</v>
      </c>
      <c r="G1000" s="1288">
        <v>4.7523353228371611E-2</v>
      </c>
      <c r="H1000" s="1280">
        <v>0.44972467356554607</v>
      </c>
      <c r="I1000" s="1303">
        <v>6.179348916060149E-2</v>
      </c>
      <c r="J1000" s="1288">
        <v>8.2934519967808179E-2</v>
      </c>
      <c r="K1000" s="1280">
        <v>0.78482887646006716</v>
      </c>
      <c r="L1000" s="1330">
        <v>0.17395578135373166</v>
      </c>
    </row>
    <row r="1001" spans="1:12" s="326" customFormat="1" ht="15.5" x14ac:dyDescent="0.35">
      <c r="A1001" s="328" t="s">
        <v>1965</v>
      </c>
      <c r="B1001" s="1287">
        <v>0.1054709108588192</v>
      </c>
      <c r="C1001" s="1288">
        <v>0.18169591539357843</v>
      </c>
      <c r="D1001" s="1288">
        <v>0.22486608050243459</v>
      </c>
      <c r="E1001" s="1280">
        <v>0.78792629906585643</v>
      </c>
      <c r="F1001" s="1303">
        <v>4.9737068596399509E-2</v>
      </c>
      <c r="G1001" s="1288">
        <v>4.5886648513317869E-2</v>
      </c>
      <c r="H1001" s="1280">
        <v>0.43423615174000069</v>
      </c>
      <c r="I1001" s="1303">
        <v>6.0225654244834233E-2</v>
      </c>
      <c r="J1001" s="1288">
        <v>8.0816580842590871E-2</v>
      </c>
      <c r="K1001" s="1280">
        <v>0.76478632017951798</v>
      </c>
      <c r="L1001" s="1330">
        <v>0.17323944797682697</v>
      </c>
    </row>
    <row r="1002" spans="1:12" s="326" customFormat="1" ht="15.5" x14ac:dyDescent="0.35">
      <c r="A1002" s="328" t="s">
        <v>1966</v>
      </c>
      <c r="B1002" s="1287">
        <v>0.10357212096044235</v>
      </c>
      <c r="C1002" s="1288">
        <v>0.13636318139880602</v>
      </c>
      <c r="D1002" s="1288">
        <v>0.21865000545085031</v>
      </c>
      <c r="E1002" s="1306">
        <v>1.8982986074039949</v>
      </c>
      <c r="F1002" s="1303">
        <v>4.9459806339340218E-2</v>
      </c>
      <c r="G1002" s="1288">
        <v>4.4326963107067317E-2</v>
      </c>
      <c r="H1002" s="1306">
        <v>0.42018052354723973</v>
      </c>
      <c r="I1002" s="1303">
        <v>6.0216329047437643E-2</v>
      </c>
      <c r="J1002" s="1288">
        <v>8.0778768077762186E-2</v>
      </c>
      <c r="K1002" s="1306">
        <v>0.59869594220591404</v>
      </c>
      <c r="L1002" s="1330">
        <v>0.15953338927980715</v>
      </c>
    </row>
    <row r="1003" spans="1:12" s="326" customFormat="1" ht="15.5" x14ac:dyDescent="0.35">
      <c r="A1003" s="328" t="s">
        <v>1967</v>
      </c>
      <c r="B1003" s="1287">
        <v>0.11379153722627125</v>
      </c>
      <c r="C1003" s="1288">
        <v>0.13934548065035457</v>
      </c>
      <c r="D1003" s="1288">
        <v>0.21275326305366377</v>
      </c>
      <c r="E1003" s="1306">
        <v>1.9530567921592947</v>
      </c>
      <c r="F1003" s="1303">
        <v>4.9211177932348096E-2</v>
      </c>
      <c r="G1003" s="1288">
        <v>4.2843009677027158E-2</v>
      </c>
      <c r="H1003" s="1306">
        <v>0.4279425889696814</v>
      </c>
      <c r="I1003" s="1303">
        <v>6.0205748561707705E-2</v>
      </c>
      <c r="J1003" s="1288">
        <v>8.0737277176418196E-2</v>
      </c>
      <c r="K1003" s="1306">
        <v>0.59878274263640296</v>
      </c>
      <c r="L1003" s="1330">
        <v>0.159533389279713</v>
      </c>
    </row>
    <row r="1004" spans="1:12" s="326" customFormat="1" ht="15.5" x14ac:dyDescent="0.35">
      <c r="A1004" s="328" t="s">
        <v>1968</v>
      </c>
      <c r="B1004" s="1287">
        <v>0.10844615133208214</v>
      </c>
      <c r="C1004" s="1288">
        <v>0.14998130046654784</v>
      </c>
      <c r="D1004" s="1288">
        <v>0.18774214214048773</v>
      </c>
      <c r="E1004" s="1306">
        <v>1.9037842950690818</v>
      </c>
      <c r="F1004" s="1303">
        <v>4.906265622172086E-2</v>
      </c>
      <c r="G1004" s="1288">
        <v>4.2343082579848035E-2</v>
      </c>
      <c r="H1004" s="1306">
        <v>0.44289921000767934</v>
      </c>
      <c r="I1004" s="1303">
        <v>6.0194453785718159E-2</v>
      </c>
      <c r="J1004" s="1288">
        <v>8.0694238669716006E-2</v>
      </c>
      <c r="K1004" s="1306">
        <v>0.59886373990878705</v>
      </c>
      <c r="L1004" s="1330">
        <v>0.15953338927973079</v>
      </c>
    </row>
    <row r="1005" spans="1:12" s="326" customFormat="1" ht="15.5" x14ac:dyDescent="0.35">
      <c r="A1005" s="328" t="s">
        <v>1969</v>
      </c>
      <c r="B1005" s="1287">
        <v>0.11619329120082118</v>
      </c>
      <c r="C1005" s="1288">
        <v>9.7872303859231444E-2</v>
      </c>
      <c r="D1005" s="1288">
        <v>0.22208901516361568</v>
      </c>
      <c r="E1005" s="1306">
        <v>1.9140961818375155</v>
      </c>
      <c r="F1005" s="1303">
        <v>4.8877184454636728E-2</v>
      </c>
      <c r="G1005" s="1288">
        <v>4.2127798408216593E-2</v>
      </c>
      <c r="H1005" s="1306">
        <v>0.45785188043774883</v>
      </c>
      <c r="I1005" s="1303">
        <v>6.0182643513468408E-2</v>
      </c>
      <c r="J1005" s="1288">
        <v>8.0651868495651077E-2</v>
      </c>
      <c r="K1005" s="1306">
        <v>0.59898153910198348</v>
      </c>
      <c r="L1005" s="1330">
        <v>0.15378773290728628</v>
      </c>
    </row>
    <row r="1006" spans="1:12" s="326" customFormat="1" ht="15.5" x14ac:dyDescent="0.35">
      <c r="A1006" s="328" t="s">
        <v>1970</v>
      </c>
      <c r="B1006" s="1287">
        <v>0.1134911539198025</v>
      </c>
      <c r="C1006" s="1288">
        <v>0.14639519874728243</v>
      </c>
      <c r="D1006" s="1288">
        <v>0.22153214078828892</v>
      </c>
      <c r="E1006" s="1306">
        <v>1.9033773886927527</v>
      </c>
      <c r="F1006" s="1303">
        <v>4.8711439078263544E-2</v>
      </c>
      <c r="G1006" s="1288">
        <v>4.1958722101587763E-2</v>
      </c>
      <c r="H1006" s="1306">
        <v>0.46959509174810021</v>
      </c>
      <c r="I1006" s="1303">
        <v>6.0169730635988919E-2</v>
      </c>
      <c r="J1006" s="1288">
        <v>8.0610975757773373E-2</v>
      </c>
      <c r="K1006" s="1306">
        <v>0.59912498437849615</v>
      </c>
      <c r="L1006" s="1330">
        <v>0.15378773290728021</v>
      </c>
    </row>
    <row r="1007" spans="1:12" s="326" customFormat="1" ht="15.5" x14ac:dyDescent="0.35">
      <c r="A1007" s="328" t="s">
        <v>1971</v>
      </c>
      <c r="B1007" s="1287">
        <v>0.10999192690319899</v>
      </c>
      <c r="C1007" s="1288">
        <v>0.13918735354242143</v>
      </c>
      <c r="D1007" s="1288">
        <v>0.24474339885457622</v>
      </c>
      <c r="E1007" s="1306">
        <v>1.9403771171652353</v>
      </c>
      <c r="F1007" s="1303">
        <v>4.8537091150315154E-2</v>
      </c>
      <c r="G1007" s="1288">
        <v>4.1782821197804618E-2</v>
      </c>
      <c r="H1007" s="1306">
        <v>0.47881815986883136</v>
      </c>
      <c r="I1007" s="1303">
        <v>6.0155072521540572E-2</v>
      </c>
      <c r="J1007" s="1288">
        <v>8.0571130037912039E-2</v>
      </c>
      <c r="K1007" s="1306">
        <v>0.59927745632444485</v>
      </c>
      <c r="L1007" s="1330">
        <v>0.15378773290728504</v>
      </c>
    </row>
    <row r="1008" spans="1:12" s="326" customFormat="1" ht="15.5" x14ac:dyDescent="0.35">
      <c r="A1008" s="328" t="s">
        <v>1972</v>
      </c>
      <c r="B1008" s="1287">
        <v>6.4670367970624379E-2</v>
      </c>
      <c r="C1008" s="1288">
        <v>9.6737930767190741E-2</v>
      </c>
      <c r="D1008" s="1288">
        <v>9.6800622353200375E-2</v>
      </c>
      <c r="E1008" s="1306">
        <v>1.9224537136991284</v>
      </c>
      <c r="F1008" s="1303">
        <v>4.8311907749835764E-2</v>
      </c>
      <c r="G1008" s="1288">
        <v>4.1591105650997863E-2</v>
      </c>
      <c r="H1008" s="1306">
        <v>0.48503556906340611</v>
      </c>
      <c r="I1008" s="1303">
        <v>6.0137792661678E-2</v>
      </c>
      <c r="J1008" s="1288">
        <v>8.05276620848598E-2</v>
      </c>
      <c r="K1008" s="1306">
        <v>0.59943159285267589</v>
      </c>
      <c r="L1008" s="1330">
        <v>0.15378773290728945</v>
      </c>
    </row>
    <row r="1009" spans="1:12" s="326" customFormat="1" ht="15.5" x14ac:dyDescent="0.35">
      <c r="A1009" s="328" t="s">
        <v>1973</v>
      </c>
      <c r="B1009" s="1287">
        <v>6.5574775904484517E-2</v>
      </c>
      <c r="C1009" s="1288">
        <v>8.5679351463675446E-2</v>
      </c>
      <c r="D1009" s="1288">
        <v>9.5906826256636935E-2</v>
      </c>
      <c r="E1009" s="1306">
        <v>1.9613439493047997</v>
      </c>
      <c r="F1009" s="1303">
        <v>4.8072255935404234E-2</v>
      </c>
      <c r="G1009" s="1288">
        <v>4.1368630801982921E-2</v>
      </c>
      <c r="H1009" s="1306">
        <v>0.49253596948320344</v>
      </c>
      <c r="I1009" s="1303">
        <v>6.0116040376773865E-2</v>
      </c>
      <c r="J1009" s="1288">
        <v>8.0466031442229857E-2</v>
      </c>
      <c r="K1009" s="1306">
        <v>0.59953794090563461</v>
      </c>
      <c r="L1009" s="1330">
        <v>0.15378773290728365</v>
      </c>
    </row>
    <row r="1010" spans="1:12" s="326" customFormat="1" ht="15.5" x14ac:dyDescent="0.35">
      <c r="A1010" s="328" t="s">
        <v>1974</v>
      </c>
      <c r="B1010" s="1287">
        <v>6.4735510931571649E-2</v>
      </c>
      <c r="C1010" s="1288">
        <v>9.3295798178988115E-2</v>
      </c>
      <c r="D1010" s="1288">
        <v>8.6960699653946746E-2</v>
      </c>
      <c r="E1010" s="1306">
        <v>1.8016046948069422</v>
      </c>
      <c r="F1010" s="1303">
        <v>4.7391212202521578E-2</v>
      </c>
      <c r="G1010" s="1288">
        <v>4.0861681889013332E-2</v>
      </c>
      <c r="H1010" s="1306">
        <v>0.49032324057609433</v>
      </c>
      <c r="I1010" s="1303">
        <v>6.0084108925873549E-2</v>
      </c>
      <c r="J1010" s="1288">
        <v>8.0350041627865423E-2</v>
      </c>
      <c r="K1010" s="1306">
        <v>0.59928638977858117</v>
      </c>
      <c r="L1010" s="1330">
        <v>0.15378838721402197</v>
      </c>
    </row>
    <row r="1011" spans="1:12" s="326" customFormat="1" ht="15.5" x14ac:dyDescent="0.35">
      <c r="A1011" s="328" t="s">
        <v>1975</v>
      </c>
      <c r="B1011" s="1291">
        <v>6.4735510931571649E-2</v>
      </c>
      <c r="C1011" s="1257">
        <v>9.3295798178988115E-2</v>
      </c>
      <c r="D1011" s="1257">
        <v>8.6960699653946746E-2</v>
      </c>
      <c r="E1011" s="1280">
        <v>1.8016046948069422</v>
      </c>
      <c r="F1011" s="1271">
        <v>4.7391212202521578E-2</v>
      </c>
      <c r="G1011" s="1257">
        <v>4.0861681889013332E-2</v>
      </c>
      <c r="H1011" s="1280">
        <v>0.49032324057609433</v>
      </c>
      <c r="I1011" s="1271">
        <v>6.0084108925873549E-2</v>
      </c>
      <c r="J1011" s="1257">
        <v>8.0350041627865423E-2</v>
      </c>
      <c r="K1011" s="1280">
        <v>0.59928638977858117</v>
      </c>
      <c r="L1011" s="1330">
        <v>0.16102270443736263</v>
      </c>
    </row>
    <row r="1012" spans="1:12" s="326" customFormat="1" ht="15.5" x14ac:dyDescent="0.35">
      <c r="A1012" s="328" t="s">
        <v>1976</v>
      </c>
      <c r="B1012" s="1291">
        <v>0.13609026237216754</v>
      </c>
      <c r="C1012" s="1257">
        <v>0.23818436617591127</v>
      </c>
      <c r="D1012" s="1257">
        <v>0.1512114026357417</v>
      </c>
      <c r="E1012" s="1280">
        <v>1.0166698656214093</v>
      </c>
      <c r="F1012" s="1271">
        <v>5.7052062301525916E-2</v>
      </c>
      <c r="G1012" s="1257">
        <v>9.0855666387653869E-2</v>
      </c>
      <c r="H1012" s="1280">
        <v>0.85978854883022449</v>
      </c>
      <c r="I1012" s="1271">
        <v>6.257296708859611E-2</v>
      </c>
      <c r="J1012" s="1257">
        <v>0.13228345899426194</v>
      </c>
      <c r="K1012" s="1280">
        <v>1.251829497982464</v>
      </c>
      <c r="L1012" s="1237">
        <v>0.17425679289528814</v>
      </c>
    </row>
    <row r="1013" spans="1:12" s="326" customFormat="1" ht="15.5" x14ac:dyDescent="0.35">
      <c r="A1013" s="328" t="s">
        <v>1977</v>
      </c>
      <c r="B1013" s="1291">
        <v>0.13609026237216754</v>
      </c>
      <c r="C1013" s="1257">
        <v>0.23818436617591127</v>
      </c>
      <c r="D1013" s="1257">
        <v>0.1512114026357417</v>
      </c>
      <c r="E1013" s="1280">
        <v>1.0166698656214093</v>
      </c>
      <c r="F1013" s="1271">
        <v>5.7052062301525916E-2</v>
      </c>
      <c r="G1013" s="1257">
        <v>9.0855666387653869E-2</v>
      </c>
      <c r="H1013" s="1280">
        <v>0.85978854883022449</v>
      </c>
      <c r="I1013" s="1271">
        <v>6.257296708859611E-2</v>
      </c>
      <c r="J1013" s="1257">
        <v>0.13228345899426194</v>
      </c>
      <c r="K1013" s="1280">
        <v>1.251829497982464</v>
      </c>
      <c r="L1013" s="1237">
        <v>0.17425679289528814</v>
      </c>
    </row>
    <row r="1014" spans="1:12" s="326" customFormat="1" ht="15.5" x14ac:dyDescent="0.35">
      <c r="A1014" s="328" t="s">
        <v>1978</v>
      </c>
      <c r="B1014" s="1291">
        <v>0.13609026237216754</v>
      </c>
      <c r="C1014" s="1257">
        <v>0.23818436617591127</v>
      </c>
      <c r="D1014" s="1257">
        <v>0.1512114026357417</v>
      </c>
      <c r="E1014" s="1280">
        <v>1.0166698656214093</v>
      </c>
      <c r="F1014" s="1271">
        <v>5.7052062301525916E-2</v>
      </c>
      <c r="G1014" s="1257">
        <v>9.0855666387653869E-2</v>
      </c>
      <c r="H1014" s="1280">
        <v>0.85978854883022449</v>
      </c>
      <c r="I1014" s="1271">
        <v>6.257296708859611E-2</v>
      </c>
      <c r="J1014" s="1257">
        <v>0.13228345899426194</v>
      </c>
      <c r="K1014" s="1280">
        <v>1.251829497982464</v>
      </c>
      <c r="L1014" s="1237">
        <v>0.17425679289528814</v>
      </c>
    </row>
    <row r="1015" spans="1:12" s="326" customFormat="1" ht="15.5" x14ac:dyDescent="0.35">
      <c r="A1015" s="328" t="s">
        <v>1979</v>
      </c>
      <c r="B1015" s="1291">
        <v>0.13609026237216754</v>
      </c>
      <c r="C1015" s="1257">
        <v>0.23818436617591127</v>
      </c>
      <c r="D1015" s="1257">
        <v>0.1512114026357417</v>
      </c>
      <c r="E1015" s="1280">
        <v>1.0166698656214093</v>
      </c>
      <c r="F1015" s="1271">
        <v>5.7052062301525916E-2</v>
      </c>
      <c r="G1015" s="1257">
        <v>9.0855666387653869E-2</v>
      </c>
      <c r="H1015" s="1280">
        <v>0.85978854883022449</v>
      </c>
      <c r="I1015" s="1271">
        <v>6.257296708859611E-2</v>
      </c>
      <c r="J1015" s="1257">
        <v>0.13228345899426194</v>
      </c>
      <c r="K1015" s="1280">
        <v>1.251829497982464</v>
      </c>
      <c r="L1015" s="1237">
        <v>0.17425679289528814</v>
      </c>
    </row>
    <row r="1016" spans="1:12" s="326" customFormat="1" ht="15.5" x14ac:dyDescent="0.35">
      <c r="A1016" s="328" t="s">
        <v>1980</v>
      </c>
      <c r="B1016" s="1291">
        <v>0.13609026237216754</v>
      </c>
      <c r="C1016" s="1257">
        <v>0.23818436617591127</v>
      </c>
      <c r="D1016" s="1257">
        <v>0.1512114026357417</v>
      </c>
      <c r="E1016" s="1280">
        <v>1.0166698656214093</v>
      </c>
      <c r="F1016" s="1271">
        <v>5.7052062301525916E-2</v>
      </c>
      <c r="G1016" s="1257">
        <v>9.0855666387653869E-2</v>
      </c>
      <c r="H1016" s="1280">
        <v>0.85978854883022449</v>
      </c>
      <c r="I1016" s="1271">
        <v>6.257296708859611E-2</v>
      </c>
      <c r="J1016" s="1257">
        <v>0.13228345899426194</v>
      </c>
      <c r="K1016" s="1280">
        <v>1.251829497982464</v>
      </c>
      <c r="L1016" s="1237">
        <v>0.17425679289528814</v>
      </c>
    </row>
    <row r="1017" spans="1:12" s="326" customFormat="1" ht="15.5" x14ac:dyDescent="0.35">
      <c r="A1017" s="328" t="s">
        <v>1981</v>
      </c>
      <c r="B1017" s="1291">
        <v>0.13609026237216754</v>
      </c>
      <c r="C1017" s="1257">
        <v>0.23818436617591127</v>
      </c>
      <c r="D1017" s="1257">
        <v>0.1512114026357417</v>
      </c>
      <c r="E1017" s="1280">
        <v>1.0166698656214093</v>
      </c>
      <c r="F1017" s="1271">
        <v>5.7052062301525916E-2</v>
      </c>
      <c r="G1017" s="1257">
        <v>9.0855666387653869E-2</v>
      </c>
      <c r="H1017" s="1280">
        <v>0.85978854883022449</v>
      </c>
      <c r="I1017" s="1271">
        <v>6.257296708859611E-2</v>
      </c>
      <c r="J1017" s="1257">
        <v>0.13228345899426194</v>
      </c>
      <c r="K1017" s="1280">
        <v>1.251829497982464</v>
      </c>
      <c r="L1017" s="1237">
        <v>0.17425679289528814</v>
      </c>
    </row>
    <row r="1018" spans="1:12" s="326" customFormat="1" ht="15.5" x14ac:dyDescent="0.35">
      <c r="A1018" s="328" t="s">
        <v>1982</v>
      </c>
      <c r="B1018" s="1291">
        <v>0.13609026237216754</v>
      </c>
      <c r="C1018" s="1257">
        <v>0.23818436617591127</v>
      </c>
      <c r="D1018" s="1257">
        <v>0.1512114026357417</v>
      </c>
      <c r="E1018" s="1280">
        <v>1.0166698656214093</v>
      </c>
      <c r="F1018" s="1271">
        <v>5.7052062301525916E-2</v>
      </c>
      <c r="G1018" s="1257">
        <v>9.0855666387653869E-2</v>
      </c>
      <c r="H1018" s="1280">
        <v>0.85978854883022449</v>
      </c>
      <c r="I1018" s="1271">
        <v>6.257296708859611E-2</v>
      </c>
      <c r="J1018" s="1257">
        <v>0.13228345899426194</v>
      </c>
      <c r="K1018" s="1280">
        <v>1.251829497982464</v>
      </c>
      <c r="L1018" s="1237">
        <v>0.17425679289528814</v>
      </c>
    </row>
    <row r="1019" spans="1:12" s="326" customFormat="1" ht="15.5" x14ac:dyDescent="0.35">
      <c r="A1019" s="328" t="s">
        <v>1983</v>
      </c>
      <c r="B1019" s="1291">
        <v>0.13609026237216754</v>
      </c>
      <c r="C1019" s="1257">
        <v>0.23818436617591127</v>
      </c>
      <c r="D1019" s="1257">
        <v>0.1512114026357417</v>
      </c>
      <c r="E1019" s="1280">
        <v>1.0166698656214093</v>
      </c>
      <c r="F1019" s="1271">
        <v>5.7052062301525916E-2</v>
      </c>
      <c r="G1019" s="1257">
        <v>9.0855666387653869E-2</v>
      </c>
      <c r="H1019" s="1280">
        <v>0.85978854883022449</v>
      </c>
      <c r="I1019" s="1271">
        <v>6.257296708859611E-2</v>
      </c>
      <c r="J1019" s="1257">
        <v>0.13228345899426194</v>
      </c>
      <c r="K1019" s="1280">
        <v>1.251829497982464</v>
      </c>
      <c r="L1019" s="1237">
        <v>0.17425679289528814</v>
      </c>
    </row>
    <row r="1020" spans="1:12" s="326" customFormat="1" ht="15.5" x14ac:dyDescent="0.35">
      <c r="A1020" s="328" t="s">
        <v>1984</v>
      </c>
      <c r="B1020" s="1291">
        <v>0.13609026237216754</v>
      </c>
      <c r="C1020" s="1257">
        <v>0.23818436617591127</v>
      </c>
      <c r="D1020" s="1257">
        <v>0.1512114026357417</v>
      </c>
      <c r="E1020" s="1280">
        <v>1.0166698656214093</v>
      </c>
      <c r="F1020" s="1271">
        <v>5.7052062301525916E-2</v>
      </c>
      <c r="G1020" s="1257">
        <v>9.0855666387653869E-2</v>
      </c>
      <c r="H1020" s="1280">
        <v>0.85978854883022449</v>
      </c>
      <c r="I1020" s="1271">
        <v>6.257296708859611E-2</v>
      </c>
      <c r="J1020" s="1257">
        <v>0.13228345899426194</v>
      </c>
      <c r="K1020" s="1280">
        <v>1.251829497982464</v>
      </c>
      <c r="L1020" s="1237">
        <v>0.17425679289528814</v>
      </c>
    </row>
    <row r="1021" spans="1:12" s="326" customFormat="1" ht="15.5" x14ac:dyDescent="0.35">
      <c r="A1021" s="328" t="s">
        <v>1985</v>
      </c>
      <c r="B1021" s="1291">
        <v>0.13609026237216754</v>
      </c>
      <c r="C1021" s="1257">
        <v>0.23818436617591127</v>
      </c>
      <c r="D1021" s="1257">
        <v>0.1512114026357417</v>
      </c>
      <c r="E1021" s="1280">
        <v>1.0166698656214093</v>
      </c>
      <c r="F1021" s="1271">
        <v>5.7052062301525916E-2</v>
      </c>
      <c r="G1021" s="1257">
        <v>9.0855666387653869E-2</v>
      </c>
      <c r="H1021" s="1280">
        <v>0.85978854883022449</v>
      </c>
      <c r="I1021" s="1271">
        <v>6.257296708859611E-2</v>
      </c>
      <c r="J1021" s="1257">
        <v>0.13228345899426194</v>
      </c>
      <c r="K1021" s="1280">
        <v>1.251829497982464</v>
      </c>
      <c r="L1021" s="1237">
        <v>0.17425679289528814</v>
      </c>
    </row>
    <row r="1022" spans="1:12" s="326" customFormat="1" ht="15.5" x14ac:dyDescent="0.35">
      <c r="A1022" s="328" t="s">
        <v>1986</v>
      </c>
      <c r="B1022" s="1291">
        <v>0.13609026237216754</v>
      </c>
      <c r="C1022" s="1257">
        <v>0.23818436617591127</v>
      </c>
      <c r="D1022" s="1257">
        <v>0.1512114026357417</v>
      </c>
      <c r="E1022" s="1280">
        <v>1.0166698656214093</v>
      </c>
      <c r="F1022" s="1271">
        <v>5.7052062301525916E-2</v>
      </c>
      <c r="G1022" s="1257">
        <v>9.0855666387653869E-2</v>
      </c>
      <c r="H1022" s="1280">
        <v>0.85978854883022449</v>
      </c>
      <c r="I1022" s="1271">
        <v>6.257296708859611E-2</v>
      </c>
      <c r="J1022" s="1257">
        <v>0.13228345899426194</v>
      </c>
      <c r="K1022" s="1280">
        <v>1.251829497982464</v>
      </c>
      <c r="L1022" s="1237">
        <v>0.17425679289528814</v>
      </c>
    </row>
    <row r="1023" spans="1:12" s="326" customFormat="1" ht="15.5" x14ac:dyDescent="0.35">
      <c r="A1023" s="328" t="s">
        <v>1987</v>
      </c>
      <c r="B1023" s="1291">
        <v>0.13609026237216754</v>
      </c>
      <c r="C1023" s="1257">
        <v>0.23818436617591127</v>
      </c>
      <c r="D1023" s="1257">
        <v>0.1512114026357417</v>
      </c>
      <c r="E1023" s="1280">
        <v>1.0166698656214093</v>
      </c>
      <c r="F1023" s="1271">
        <v>5.7052062301525916E-2</v>
      </c>
      <c r="G1023" s="1257">
        <v>9.0855666387653869E-2</v>
      </c>
      <c r="H1023" s="1280">
        <v>0.85978854883022449</v>
      </c>
      <c r="I1023" s="1271">
        <v>6.257296708859611E-2</v>
      </c>
      <c r="J1023" s="1257">
        <v>0.13228345899426194</v>
      </c>
      <c r="K1023" s="1280">
        <v>1.251829497982464</v>
      </c>
      <c r="L1023" s="1237">
        <v>0.17425679289528814</v>
      </c>
    </row>
    <row r="1024" spans="1:12" s="326" customFormat="1" ht="15.5" x14ac:dyDescent="0.35">
      <c r="A1024" s="328" t="s">
        <v>1988</v>
      </c>
      <c r="B1024" s="1291">
        <v>0.13609026237216754</v>
      </c>
      <c r="C1024" s="1257">
        <v>0.23818436617591127</v>
      </c>
      <c r="D1024" s="1257">
        <v>0.1512114026357417</v>
      </c>
      <c r="E1024" s="1280">
        <v>1.0166698656214093</v>
      </c>
      <c r="F1024" s="1271">
        <v>5.7052062301525916E-2</v>
      </c>
      <c r="G1024" s="1257">
        <v>9.0855666387653869E-2</v>
      </c>
      <c r="H1024" s="1280">
        <v>0.85978854883022449</v>
      </c>
      <c r="I1024" s="1271">
        <v>6.257296708859611E-2</v>
      </c>
      <c r="J1024" s="1257">
        <v>0.13228345899426194</v>
      </c>
      <c r="K1024" s="1280">
        <v>1.251829497982464</v>
      </c>
      <c r="L1024" s="1237">
        <v>0.17425679289528814</v>
      </c>
    </row>
    <row r="1025" spans="1:12" s="326" customFormat="1" ht="15.5" x14ac:dyDescent="0.35">
      <c r="A1025" s="328" t="s">
        <v>1989</v>
      </c>
      <c r="B1025" s="1291">
        <v>0.13609026237216754</v>
      </c>
      <c r="C1025" s="1257">
        <v>0.23818436617591127</v>
      </c>
      <c r="D1025" s="1257">
        <v>0.1512114026357417</v>
      </c>
      <c r="E1025" s="1280">
        <v>1.0166698656214093</v>
      </c>
      <c r="F1025" s="1271">
        <v>5.7052062301525916E-2</v>
      </c>
      <c r="G1025" s="1257">
        <v>9.0855666387653869E-2</v>
      </c>
      <c r="H1025" s="1280">
        <v>0.85978854883022449</v>
      </c>
      <c r="I1025" s="1271">
        <v>6.257296708859611E-2</v>
      </c>
      <c r="J1025" s="1257">
        <v>0.13228345899426194</v>
      </c>
      <c r="K1025" s="1280">
        <v>1.251829497982464</v>
      </c>
      <c r="L1025" s="1237">
        <v>0.17425679289528814</v>
      </c>
    </row>
    <row r="1026" spans="1:12" s="326" customFormat="1" ht="15.5" x14ac:dyDescent="0.35">
      <c r="A1026" s="328" t="s">
        <v>1990</v>
      </c>
      <c r="B1026" s="1291">
        <v>0.13609026237216754</v>
      </c>
      <c r="C1026" s="1257">
        <v>0.23818436617591127</v>
      </c>
      <c r="D1026" s="1257">
        <v>0.1512114026357417</v>
      </c>
      <c r="E1026" s="1280">
        <v>1.0166698656214093</v>
      </c>
      <c r="F1026" s="1271">
        <v>5.7052062301525916E-2</v>
      </c>
      <c r="G1026" s="1257">
        <v>9.0855666387653869E-2</v>
      </c>
      <c r="H1026" s="1280">
        <v>0.85978854883022449</v>
      </c>
      <c r="I1026" s="1271">
        <v>6.257296708859611E-2</v>
      </c>
      <c r="J1026" s="1257">
        <v>0.13228345899426194</v>
      </c>
      <c r="K1026" s="1280">
        <v>1.251829497982464</v>
      </c>
      <c r="L1026" s="1237">
        <v>0.17425679289528814</v>
      </c>
    </row>
    <row r="1027" spans="1:12" s="326" customFormat="1" ht="15.5" x14ac:dyDescent="0.35">
      <c r="A1027" s="328" t="s">
        <v>1991</v>
      </c>
      <c r="B1027" s="1291">
        <v>0.13609026237216754</v>
      </c>
      <c r="C1027" s="1257">
        <v>0.23818436617591127</v>
      </c>
      <c r="D1027" s="1257">
        <v>0.1512114026357417</v>
      </c>
      <c r="E1027" s="1280">
        <v>1.0166698656214093</v>
      </c>
      <c r="F1027" s="1271">
        <v>5.7052062301525916E-2</v>
      </c>
      <c r="G1027" s="1257">
        <v>9.0855666387653869E-2</v>
      </c>
      <c r="H1027" s="1280">
        <v>0.85978854883022449</v>
      </c>
      <c r="I1027" s="1271">
        <v>6.257296708859611E-2</v>
      </c>
      <c r="J1027" s="1257">
        <v>0.13228345899426194</v>
      </c>
      <c r="K1027" s="1280">
        <v>1.251829497982464</v>
      </c>
      <c r="L1027" s="1237">
        <v>0.17425679289528814</v>
      </c>
    </row>
    <row r="1028" spans="1:12" s="326" customFormat="1" ht="15.5" x14ac:dyDescent="0.35">
      <c r="A1028" s="328" t="s">
        <v>1992</v>
      </c>
      <c r="B1028" s="1291">
        <v>0.13609026237216754</v>
      </c>
      <c r="C1028" s="1257">
        <v>0.23818436617591127</v>
      </c>
      <c r="D1028" s="1257">
        <v>0.1512114026357417</v>
      </c>
      <c r="E1028" s="1280">
        <v>1.0166698656214093</v>
      </c>
      <c r="F1028" s="1271">
        <v>5.7052062301525916E-2</v>
      </c>
      <c r="G1028" s="1257">
        <v>9.0855666387653869E-2</v>
      </c>
      <c r="H1028" s="1280">
        <v>0.85978854883022449</v>
      </c>
      <c r="I1028" s="1271">
        <v>6.257296708859611E-2</v>
      </c>
      <c r="J1028" s="1257">
        <v>0.13228345899426194</v>
      </c>
      <c r="K1028" s="1280">
        <v>1.251829497982464</v>
      </c>
      <c r="L1028" s="1237">
        <v>0.17425679289528814</v>
      </c>
    </row>
    <row r="1029" spans="1:12" s="326" customFormat="1" ht="15.5" x14ac:dyDescent="0.35">
      <c r="A1029" s="328" t="s">
        <v>1993</v>
      </c>
      <c r="B1029" s="1291">
        <v>0.13609026237216754</v>
      </c>
      <c r="C1029" s="1257">
        <v>0.23818436617591127</v>
      </c>
      <c r="D1029" s="1257">
        <v>0.1512114026357417</v>
      </c>
      <c r="E1029" s="1280">
        <v>1.0166698656214093</v>
      </c>
      <c r="F1029" s="1271">
        <v>5.7052062301525916E-2</v>
      </c>
      <c r="G1029" s="1257">
        <v>9.0855666387653869E-2</v>
      </c>
      <c r="H1029" s="1280">
        <v>0.85978854883022449</v>
      </c>
      <c r="I1029" s="1271">
        <v>6.257296708859611E-2</v>
      </c>
      <c r="J1029" s="1257">
        <v>0.13228345899426194</v>
      </c>
      <c r="K1029" s="1280">
        <v>1.251829497982464</v>
      </c>
      <c r="L1029" s="1237">
        <v>0.17425679289528814</v>
      </c>
    </row>
    <row r="1030" spans="1:12" s="326" customFormat="1" ht="15.5" x14ac:dyDescent="0.35">
      <c r="A1030" s="328" t="s">
        <v>1994</v>
      </c>
      <c r="B1030" s="1291">
        <v>0.13609026237216754</v>
      </c>
      <c r="C1030" s="1257">
        <v>0.23818436617591127</v>
      </c>
      <c r="D1030" s="1257">
        <v>0.1512114026357417</v>
      </c>
      <c r="E1030" s="1280">
        <v>1.0166698656214093</v>
      </c>
      <c r="F1030" s="1303">
        <v>5.7052062301525916E-2</v>
      </c>
      <c r="G1030" s="1288">
        <v>9.0855666387653869E-2</v>
      </c>
      <c r="H1030" s="1280">
        <v>0.85978854883022449</v>
      </c>
      <c r="I1030" s="1303">
        <v>6.257296708859611E-2</v>
      </c>
      <c r="J1030" s="1288">
        <v>0.13228345899426194</v>
      </c>
      <c r="K1030" s="1280">
        <v>1.251829497982464</v>
      </c>
      <c r="L1030" s="1237">
        <v>0.17425679289528814</v>
      </c>
    </row>
    <row r="1031" spans="1:12" s="326" customFormat="1" ht="15.5" x14ac:dyDescent="0.35">
      <c r="A1031" s="328" t="s">
        <v>1995</v>
      </c>
      <c r="B1031" s="1291">
        <v>0.13609026237216754</v>
      </c>
      <c r="C1031" s="1257">
        <v>0.23818436617591127</v>
      </c>
      <c r="D1031" s="1257">
        <v>0.1512114026357417</v>
      </c>
      <c r="E1031" s="1280">
        <v>1.0166698656214093</v>
      </c>
      <c r="F1031" s="1303">
        <v>5.743146689473163E-2</v>
      </c>
      <c r="G1031" s="1288">
        <v>9.0039864645429665E-2</v>
      </c>
      <c r="H1031" s="1280">
        <v>0.85206842499020574</v>
      </c>
      <c r="I1031" s="1303">
        <v>6.2643793541291057E-2</v>
      </c>
      <c r="J1031" s="1288">
        <v>0.13433372947170735</v>
      </c>
      <c r="K1031" s="1280">
        <v>1.271231689927113</v>
      </c>
      <c r="L1031" s="1237">
        <v>0.17425679289528814</v>
      </c>
    </row>
    <row r="1032" spans="1:12" s="326" customFormat="1" ht="15.5" x14ac:dyDescent="0.35">
      <c r="A1032" s="328" t="s">
        <v>1996</v>
      </c>
      <c r="B1032" s="1291">
        <v>0.13609026237216754</v>
      </c>
      <c r="C1032" s="1257">
        <v>0.23818436617591127</v>
      </c>
      <c r="D1032" s="1257">
        <v>0.1512114026357417</v>
      </c>
      <c r="E1032" s="1280">
        <v>1.0166698656214093</v>
      </c>
      <c r="F1032" s="1303">
        <v>5.7570485441577626E-2</v>
      </c>
      <c r="G1032" s="1288">
        <v>8.855849012665036E-2</v>
      </c>
      <c r="H1032" s="1280">
        <v>0.83804982936028682</v>
      </c>
      <c r="I1032" s="1303">
        <v>6.3620970576491534E-2</v>
      </c>
      <c r="J1032" s="1288">
        <v>0.13321960375671285</v>
      </c>
      <c r="K1032" s="1280">
        <v>1.2606884561388929</v>
      </c>
      <c r="L1032" s="1237">
        <v>0.17425679289528814</v>
      </c>
    </row>
    <row r="1033" spans="1:12" s="326" customFormat="1" ht="15.5" x14ac:dyDescent="0.35">
      <c r="A1033" s="328" t="s">
        <v>1997</v>
      </c>
      <c r="B1033" s="1291">
        <v>0.13609026237216754</v>
      </c>
      <c r="C1033" s="1257">
        <v>0.23818436617591127</v>
      </c>
      <c r="D1033" s="1257">
        <v>0.1512114026357417</v>
      </c>
      <c r="E1033" s="1280">
        <v>1.0166698656214093</v>
      </c>
      <c r="F1033" s="1303">
        <v>5.7310540304182742E-2</v>
      </c>
      <c r="G1033" s="1288">
        <v>8.4567084686316213E-2</v>
      </c>
      <c r="H1033" s="1280">
        <v>0.80027822052418351</v>
      </c>
      <c r="I1033" s="1303">
        <v>6.3685693529316967E-2</v>
      </c>
      <c r="J1033" s="1288">
        <v>0.13365232309779318</v>
      </c>
      <c r="K1033" s="1280">
        <v>1.2647833810798514</v>
      </c>
      <c r="L1033" s="1237">
        <v>0.17425679289528814</v>
      </c>
    </row>
    <row r="1034" spans="1:12" s="326" customFormat="1" ht="15.5" x14ac:dyDescent="0.35">
      <c r="A1034" s="328" t="s">
        <v>1998</v>
      </c>
      <c r="B1034" s="1291">
        <v>0.13609026237216754</v>
      </c>
      <c r="C1034" s="1257">
        <v>0.23818436617591127</v>
      </c>
      <c r="D1034" s="1257">
        <v>0.1512114026357417</v>
      </c>
      <c r="E1034" s="1280">
        <v>1.0166698656214093</v>
      </c>
      <c r="F1034" s="1303">
        <v>5.7776341063623025E-2</v>
      </c>
      <c r="G1034" s="1288">
        <v>7.9869132703353454E-2</v>
      </c>
      <c r="H1034" s="1280">
        <v>0.75582039550894042</v>
      </c>
      <c r="I1034" s="1303">
        <v>6.3868948770253453E-2</v>
      </c>
      <c r="J1034" s="1288">
        <v>0.13282664195872762</v>
      </c>
      <c r="K1034" s="1280">
        <v>1.2569697661829591</v>
      </c>
      <c r="L1034" s="1237">
        <v>0.17425679289528814</v>
      </c>
    </row>
    <row r="1035" spans="1:12" s="326" customFormat="1" ht="15.5" x14ac:dyDescent="0.35">
      <c r="A1035" s="328" t="s">
        <v>1999</v>
      </c>
      <c r="B1035" s="1291">
        <v>0.13609026237216754</v>
      </c>
      <c r="C1035" s="1257">
        <v>0.23818436617591127</v>
      </c>
      <c r="D1035" s="1257">
        <v>0.1512114026357417</v>
      </c>
      <c r="E1035" s="1280">
        <v>1.0166698656214093</v>
      </c>
      <c r="F1035" s="1303">
        <v>5.6522610578574009E-2</v>
      </c>
      <c r="G1035" s="1288">
        <v>7.2563706160953756E-2</v>
      </c>
      <c r="H1035" s="1280">
        <v>0.6866874252143198</v>
      </c>
      <c r="I1035" s="1303">
        <v>6.339973254482982E-2</v>
      </c>
      <c r="J1035" s="1288">
        <v>0.13249126700980346</v>
      </c>
      <c r="K1035" s="1280">
        <v>1.2537960341295369</v>
      </c>
      <c r="L1035" s="1237">
        <v>0.17425679289528814</v>
      </c>
    </row>
    <row r="1036" spans="1:12" s="326" customFormat="1" ht="15.5" x14ac:dyDescent="0.35">
      <c r="A1036" s="328" t="s">
        <v>2000</v>
      </c>
      <c r="B1036" s="1291">
        <v>0.13609026237216754</v>
      </c>
      <c r="C1036" s="1257">
        <v>0.23818436617591127</v>
      </c>
      <c r="D1036" s="1257">
        <v>0.1512114026357417</v>
      </c>
      <c r="E1036" s="1280">
        <v>1.0166698656214093</v>
      </c>
      <c r="F1036" s="1303">
        <v>5.7406041533782794E-2</v>
      </c>
      <c r="G1036" s="1288">
        <v>7.6780160451079382E-2</v>
      </c>
      <c r="H1036" s="1280">
        <v>0.72658872426867027</v>
      </c>
      <c r="I1036" s="1303">
        <v>6.3607969175860549E-2</v>
      </c>
      <c r="J1036" s="1288">
        <v>0.131890048892183</v>
      </c>
      <c r="K1036" s="1280">
        <v>1.2481065656194084</v>
      </c>
      <c r="L1036" s="1237">
        <v>0.17425679289528814</v>
      </c>
    </row>
    <row r="1037" spans="1:12" s="326" customFormat="1" ht="15.5" x14ac:dyDescent="0.35">
      <c r="A1037" s="328" t="s">
        <v>2001</v>
      </c>
      <c r="B1037" s="1291">
        <v>0.13609026237216754</v>
      </c>
      <c r="C1037" s="1257">
        <v>0.23818436617591127</v>
      </c>
      <c r="D1037" s="1257">
        <v>0.1512114026357417</v>
      </c>
      <c r="E1037" s="1280">
        <v>1.0166698656214093</v>
      </c>
      <c r="F1037" s="1303">
        <v>5.7620706948436275E-2</v>
      </c>
      <c r="G1037" s="1288">
        <v>7.4569404099657566E-2</v>
      </c>
      <c r="H1037" s="1280">
        <v>0.70566781673720069</v>
      </c>
      <c r="I1037" s="1303">
        <v>6.3762376214743913E-2</v>
      </c>
      <c r="J1037" s="1288">
        <v>0.13081284167776328</v>
      </c>
      <c r="K1037" s="1280">
        <v>1.2379127002888333</v>
      </c>
      <c r="L1037" s="1237">
        <v>0.17425679289528814</v>
      </c>
    </row>
    <row r="1038" spans="1:12" s="326" customFormat="1" ht="15.5" x14ac:dyDescent="0.35">
      <c r="A1038" s="328" t="s">
        <v>2002</v>
      </c>
      <c r="B1038" s="1291">
        <v>0.13609026237216754</v>
      </c>
      <c r="C1038" s="1257">
        <v>0.23818436617591127</v>
      </c>
      <c r="D1038" s="1257">
        <v>0.1512114026357417</v>
      </c>
      <c r="E1038" s="1280">
        <v>1.0166698656214093</v>
      </c>
      <c r="F1038" s="1303">
        <v>5.7759189742921518E-2</v>
      </c>
      <c r="G1038" s="1288">
        <v>7.4375203083886857E-2</v>
      </c>
      <c r="H1038" s="1280">
        <v>0.7038300468306059</v>
      </c>
      <c r="I1038" s="1303">
        <v>6.3961522715173844E-2</v>
      </c>
      <c r="J1038" s="1288">
        <v>0.12902895742878503</v>
      </c>
      <c r="K1038" s="1280">
        <v>1.2210313839032818</v>
      </c>
      <c r="L1038" s="1237">
        <v>0.17425679289528814</v>
      </c>
    </row>
    <row r="1039" spans="1:12" s="326" customFormat="1" ht="15.5" x14ac:dyDescent="0.35">
      <c r="A1039" s="328" t="s">
        <v>2003</v>
      </c>
      <c r="B1039" s="1291">
        <v>0.13609026237216754</v>
      </c>
      <c r="C1039" s="1257">
        <v>0.23818436617591127</v>
      </c>
      <c r="D1039" s="1257">
        <v>0.1512114026357417</v>
      </c>
      <c r="E1039" s="1280">
        <v>1.0166698656214093</v>
      </c>
      <c r="F1039" s="1303">
        <v>5.7689857670497509E-2</v>
      </c>
      <c r="G1039" s="1288">
        <v>7.0443314519101033E-2</v>
      </c>
      <c r="H1039" s="1280">
        <v>0.66662166019178704</v>
      </c>
      <c r="I1039" s="1303">
        <v>6.4082648199996373E-2</v>
      </c>
      <c r="J1039" s="1288">
        <v>0.12961144394818205</v>
      </c>
      <c r="K1039" s="1280">
        <v>1.2265435908919875</v>
      </c>
      <c r="L1039" s="1237">
        <v>0.17425679289528814</v>
      </c>
    </row>
    <row r="1040" spans="1:12" s="326" customFormat="1" ht="15.5" x14ac:dyDescent="0.35">
      <c r="A1040" s="328" t="s">
        <v>2004</v>
      </c>
      <c r="B1040" s="1291">
        <v>0.13609026237216754</v>
      </c>
      <c r="C1040" s="1257">
        <v>0.23818436617591127</v>
      </c>
      <c r="D1040" s="1257">
        <v>0.1512114026357417</v>
      </c>
      <c r="E1040" s="1280">
        <v>1.0166698656214093</v>
      </c>
      <c r="F1040" s="1303">
        <v>5.7701000691199274E-2</v>
      </c>
      <c r="G1040" s="1288">
        <v>6.9823326870466718E-2</v>
      </c>
      <c r="H1040" s="1280">
        <v>0.66075457119331371</v>
      </c>
      <c r="I1040" s="1303">
        <v>6.3833400429885501E-2</v>
      </c>
      <c r="J1040" s="1288">
        <v>0.12957033308385613</v>
      </c>
      <c r="K1040" s="1280">
        <v>1.2261545491097268</v>
      </c>
      <c r="L1040" s="1237">
        <v>0.17425679289528814</v>
      </c>
    </row>
    <row r="1041" spans="1:12" s="326" customFormat="1" ht="15.5" x14ac:dyDescent="0.35">
      <c r="A1041" s="328" t="s">
        <v>2005</v>
      </c>
      <c r="B1041" s="1291">
        <v>0.13609026237216754</v>
      </c>
      <c r="C1041" s="1257">
        <v>0.23818436617591127</v>
      </c>
      <c r="D1041" s="1257">
        <v>0.1512114026357417</v>
      </c>
      <c r="E1041" s="1280">
        <v>1.0166698656214093</v>
      </c>
      <c r="F1041" s="1303">
        <v>5.7532161473620398E-2</v>
      </c>
      <c r="G1041" s="1288">
        <v>7.5735793956880751E-2</v>
      </c>
      <c r="H1041" s="1280">
        <v>0.71670563840077584</v>
      </c>
      <c r="I1041" s="1303">
        <v>6.3370238400233397E-2</v>
      </c>
      <c r="J1041" s="1288">
        <v>0.13018109043873705</v>
      </c>
      <c r="K1041" s="1280">
        <v>1.2319342896665779</v>
      </c>
      <c r="L1041" s="1237">
        <v>0.17425679289528814</v>
      </c>
    </row>
    <row r="1042" spans="1:12" s="326" customFormat="1" ht="15.5" x14ac:dyDescent="0.35">
      <c r="A1042" s="328" t="s">
        <v>2006</v>
      </c>
      <c r="B1042" s="1291">
        <v>0.13609026237216754</v>
      </c>
      <c r="C1042" s="1257">
        <v>0.23818436617591127</v>
      </c>
      <c r="D1042" s="1257">
        <v>0.1512114026357417</v>
      </c>
      <c r="E1042" s="1280">
        <v>1.0166698656214093</v>
      </c>
      <c r="F1042" s="1303">
        <v>5.7666753805236351E-2</v>
      </c>
      <c r="G1042" s="1288">
        <v>7.4222474721587703E-2</v>
      </c>
      <c r="H1042" s="1280">
        <v>0.70238474240208371</v>
      </c>
      <c r="I1042" s="1303">
        <v>6.3750329233655229E-2</v>
      </c>
      <c r="J1042" s="1288">
        <v>0.13031588208725484</v>
      </c>
      <c r="K1042" s="1280">
        <v>1.2332098547521837</v>
      </c>
      <c r="L1042" s="1237">
        <v>0.17425679289528814</v>
      </c>
    </row>
    <row r="1043" spans="1:12" s="326" customFormat="1" ht="15.5" x14ac:dyDescent="0.35">
      <c r="A1043" s="328" t="s">
        <v>2007</v>
      </c>
      <c r="B1043" s="1291">
        <v>0.13609026237216754</v>
      </c>
      <c r="C1043" s="1257">
        <v>0.23818436617591127</v>
      </c>
      <c r="D1043" s="1257">
        <v>0.1512114026357417</v>
      </c>
      <c r="E1043" s="1280">
        <v>1.0166698656214093</v>
      </c>
      <c r="F1043" s="1303">
        <v>5.7456483810489303E-2</v>
      </c>
      <c r="G1043" s="1288">
        <v>7.3009466064603526E-2</v>
      </c>
      <c r="H1043" s="1280">
        <v>0.6909057560672407</v>
      </c>
      <c r="I1043" s="1303">
        <v>6.3697386723423108E-2</v>
      </c>
      <c r="J1043" s="1288">
        <v>0.13017303631517232</v>
      </c>
      <c r="K1043" s="1280">
        <v>1.231858071600197</v>
      </c>
      <c r="L1043" s="1237">
        <v>0.17425679289528814</v>
      </c>
    </row>
    <row r="1044" spans="1:12" s="326" customFormat="1" ht="15.5" x14ac:dyDescent="0.35">
      <c r="A1044" s="328" t="s">
        <v>2008</v>
      </c>
      <c r="B1044" s="1291">
        <v>0.13609026237216754</v>
      </c>
      <c r="C1044" s="1257">
        <v>0.23818436617591127</v>
      </c>
      <c r="D1044" s="1257">
        <v>0.1512114026357417</v>
      </c>
      <c r="E1044" s="1280">
        <v>1.0166698656214093</v>
      </c>
      <c r="F1044" s="1303">
        <v>5.726591083327421E-2</v>
      </c>
      <c r="G1044" s="1288">
        <v>7.3931561387261077E-2</v>
      </c>
      <c r="H1044" s="1280">
        <v>0.69963176106915437</v>
      </c>
      <c r="I1044" s="1303">
        <v>6.3304629589271522E-2</v>
      </c>
      <c r="J1044" s="1288">
        <v>0.12945189989612554</v>
      </c>
      <c r="K1044" s="1280">
        <v>1.2250337879875997</v>
      </c>
      <c r="L1044" s="1237">
        <v>0.17425679289528814</v>
      </c>
    </row>
    <row r="1045" spans="1:12" s="326" customFormat="1" ht="15.5" x14ac:dyDescent="0.35">
      <c r="A1045" s="328" t="s">
        <v>2009</v>
      </c>
      <c r="B1045" s="1291">
        <v>0.13609026237216754</v>
      </c>
      <c r="C1045" s="1257">
        <v>0.23818436617591127</v>
      </c>
      <c r="D1045" s="1257">
        <v>0.1512114026357417</v>
      </c>
      <c r="E1045" s="1280">
        <v>1.0166698656214093</v>
      </c>
      <c r="F1045" s="1303">
        <v>4.9135736826909214E-2</v>
      </c>
      <c r="G1045" s="1288">
        <v>7.3353656568410558E-2</v>
      </c>
      <c r="H1045" s="1280">
        <v>0.6941629117907675</v>
      </c>
      <c r="I1045" s="1303">
        <v>6.9319389687173452E-2</v>
      </c>
      <c r="J1045" s="1288">
        <v>0.1284721958224905</v>
      </c>
      <c r="K1045" s="1280">
        <v>1.2157626178201859</v>
      </c>
      <c r="L1045" s="1237">
        <v>0.17425679289528814</v>
      </c>
    </row>
    <row r="1046" spans="1:12" s="326" customFormat="1" ht="15.5" x14ac:dyDescent="0.35">
      <c r="A1046" s="328" t="s">
        <v>2010</v>
      </c>
      <c r="B1046" s="1291">
        <v>0.13609026237216754</v>
      </c>
      <c r="C1046" s="1257">
        <v>0.23818436617591127</v>
      </c>
      <c r="D1046" s="1257">
        <v>0.1512114026357417</v>
      </c>
      <c r="E1046" s="1280">
        <v>1.0166698656214093</v>
      </c>
      <c r="F1046" s="1303">
        <v>4.9309256401974061E-2</v>
      </c>
      <c r="G1046" s="1288">
        <v>7.1447674997812835E-2</v>
      </c>
      <c r="H1046" s="1280">
        <v>0.67612615972194945</v>
      </c>
      <c r="I1046" s="1303">
        <v>6.9145098234152838E-2</v>
      </c>
      <c r="J1046" s="1288">
        <v>0.12899596933832516</v>
      </c>
      <c r="K1046" s="1280">
        <v>1.2207192098413564</v>
      </c>
      <c r="L1046" s="1237">
        <v>0.17425679289528814</v>
      </c>
    </row>
    <row r="1047" spans="1:12" s="326" customFormat="1" ht="15.5" x14ac:dyDescent="0.35">
      <c r="A1047" s="328" t="s">
        <v>2011</v>
      </c>
      <c r="B1047" s="1291">
        <v>0.13609026237216754</v>
      </c>
      <c r="C1047" s="1257">
        <v>0.23818436617591127</v>
      </c>
      <c r="D1047" s="1257">
        <v>0.1512114026357417</v>
      </c>
      <c r="E1047" s="1280">
        <v>1.0166698656214093</v>
      </c>
      <c r="F1047" s="1303">
        <v>4.9096471465992254E-2</v>
      </c>
      <c r="G1047" s="1288">
        <v>7.6772692914205007E-2</v>
      </c>
      <c r="H1047" s="1280">
        <v>0.72651805721016061</v>
      </c>
      <c r="I1047" s="1303">
        <v>6.8871222322326994E-2</v>
      </c>
      <c r="J1047" s="1288">
        <v>0.12923700152319609</v>
      </c>
      <c r="K1047" s="1280">
        <v>1.2230001541202455</v>
      </c>
      <c r="L1047" s="1237">
        <v>0.17425679289528814</v>
      </c>
    </row>
    <row r="1048" spans="1:12" s="326" customFormat="1" ht="15.5" x14ac:dyDescent="0.35">
      <c r="A1048" s="328" t="s">
        <v>2012</v>
      </c>
      <c r="B1048" s="1291">
        <v>0.13609026237216754</v>
      </c>
      <c r="C1048" s="1257">
        <v>0.23818436617591127</v>
      </c>
      <c r="D1048" s="1257">
        <v>0.1512114026357417</v>
      </c>
      <c r="E1048" s="1280">
        <v>1.0166698656214093</v>
      </c>
      <c r="F1048" s="1303">
        <v>5.8929119691727372E-2</v>
      </c>
      <c r="G1048" s="1288">
        <v>7.1044302944581333E-2</v>
      </c>
      <c r="H1048" s="1280">
        <v>0.67230895507114841</v>
      </c>
      <c r="I1048" s="1303">
        <v>7.4676936118489953E-2</v>
      </c>
      <c r="J1048" s="1288">
        <v>0.1301158717020483</v>
      </c>
      <c r="K1048" s="1280">
        <v>1.2313171094157069</v>
      </c>
      <c r="L1048" s="1237">
        <v>0.17425679289528814</v>
      </c>
    </row>
    <row r="1049" spans="1:12" s="326" customFormat="1" ht="15.5" x14ac:dyDescent="0.35">
      <c r="A1049" s="328" t="s">
        <v>2013</v>
      </c>
      <c r="B1049" s="1291">
        <v>0.13609026237216754</v>
      </c>
      <c r="C1049" s="1257">
        <v>0.23818436617591127</v>
      </c>
      <c r="D1049" s="1257">
        <v>0.1512114026357417</v>
      </c>
      <c r="E1049" s="1280">
        <v>1.0166698656214093</v>
      </c>
      <c r="F1049" s="1303">
        <v>5.9009177700720228E-2</v>
      </c>
      <c r="G1049" s="1288">
        <v>6.9113728855079062E-2</v>
      </c>
      <c r="H1049" s="1280">
        <v>0.6540394782094614</v>
      </c>
      <c r="I1049" s="1303">
        <v>7.5428155730148425E-2</v>
      </c>
      <c r="J1049" s="1288">
        <v>0.11543060471869418</v>
      </c>
      <c r="K1049" s="1280">
        <v>1.0923469725952899</v>
      </c>
      <c r="L1049" s="1237">
        <v>0.17425679289528814</v>
      </c>
    </row>
    <row r="1050" spans="1:12" s="326" customFormat="1" ht="15.5" x14ac:dyDescent="0.35">
      <c r="A1050" s="328" t="s">
        <v>2014</v>
      </c>
      <c r="B1050" s="1291">
        <v>0.13609026237216754</v>
      </c>
      <c r="C1050" s="1257">
        <v>0.23818436617591127</v>
      </c>
      <c r="D1050" s="1257">
        <v>0.1512114026357417</v>
      </c>
      <c r="E1050" s="1280">
        <v>1.0166698656214093</v>
      </c>
      <c r="F1050" s="1303">
        <v>5.879214764374717E-2</v>
      </c>
      <c r="G1050" s="1288">
        <v>6.2674476205347829E-2</v>
      </c>
      <c r="H1050" s="1280">
        <v>0.59310331526678428</v>
      </c>
      <c r="I1050" s="1303">
        <v>7.5227221642553896E-2</v>
      </c>
      <c r="J1050" s="1288">
        <v>9.9146888252836393E-2</v>
      </c>
      <c r="K1050" s="1280">
        <v>0.93825033221617959</v>
      </c>
      <c r="L1050" s="1237">
        <v>0.17425679289528814</v>
      </c>
    </row>
    <row r="1051" spans="1:12" s="326" customFormat="1" ht="15.5" x14ac:dyDescent="0.35">
      <c r="A1051" s="328" t="s">
        <v>2015</v>
      </c>
      <c r="B1051" s="1291">
        <v>0.13609026237216754</v>
      </c>
      <c r="C1051" s="1257">
        <v>0.23818436617591127</v>
      </c>
      <c r="D1051" s="1257">
        <v>0.1512114026357417</v>
      </c>
      <c r="E1051" s="1280">
        <v>1.0166698656214093</v>
      </c>
      <c r="F1051" s="1303">
        <v>6.4932016428545777E-2</v>
      </c>
      <c r="G1051" s="1288">
        <v>5.8154875144991215E-2</v>
      </c>
      <c r="H1051" s="1280">
        <v>0.55033326699708596</v>
      </c>
      <c r="I1051" s="1303">
        <v>8.0748007036332864E-2</v>
      </c>
      <c r="J1051" s="1288">
        <v>9.9139747243458282E-2</v>
      </c>
      <c r="K1051" s="1280">
        <v>0.93818275516419702</v>
      </c>
      <c r="L1051" s="1237">
        <v>0.17425679289528814</v>
      </c>
    </row>
    <row r="1052" spans="1:12" s="326" customFormat="1" ht="15.5" x14ac:dyDescent="0.35">
      <c r="A1052" s="328" t="s">
        <v>2016</v>
      </c>
      <c r="B1052" s="1291">
        <v>0.13609026237216754</v>
      </c>
      <c r="C1052" s="1257">
        <v>0.23818436617591127</v>
      </c>
      <c r="D1052" s="1257">
        <v>0.1512114026357417</v>
      </c>
      <c r="E1052" s="1280">
        <v>1.0166698656214093</v>
      </c>
      <c r="F1052" s="1303">
        <v>6.6863214359801262E-2</v>
      </c>
      <c r="G1052" s="1288">
        <v>5.8513525386313187E-2</v>
      </c>
      <c r="H1052" s="1280">
        <v>0.55372725861900784</v>
      </c>
      <c r="I1052" s="1303">
        <v>8.0443703466872893E-2</v>
      </c>
      <c r="J1052" s="1288">
        <v>0.10082433295353671</v>
      </c>
      <c r="K1052" s="1280">
        <v>0.95412438611177763</v>
      </c>
      <c r="L1052" s="1330">
        <v>0.17425679289528814</v>
      </c>
    </row>
    <row r="1053" spans="1:12" s="326" customFormat="1" ht="15.5" x14ac:dyDescent="0.35">
      <c r="A1053" s="328" t="s">
        <v>2017</v>
      </c>
      <c r="B1053" s="1291">
        <v>0.13609026237216754</v>
      </c>
      <c r="C1053" s="1257">
        <v>0.23818436617591127</v>
      </c>
      <c r="D1053" s="1257">
        <v>0.1512114026357417</v>
      </c>
      <c r="E1053" s="1280">
        <v>1.0166698656214093</v>
      </c>
      <c r="F1053" s="1303">
        <v>6.0016757447009905E-2</v>
      </c>
      <c r="G1053" s="1288">
        <v>5.8799529134567881E-2</v>
      </c>
      <c r="H1053" s="1280">
        <v>0.55643377938374161</v>
      </c>
      <c r="I1053" s="1303">
        <v>8.0681700577751966E-2</v>
      </c>
      <c r="J1053" s="1288">
        <v>0.10074950594817217</v>
      </c>
      <c r="K1053" s="1280">
        <v>0.95341628055365868</v>
      </c>
      <c r="L1053" s="1330">
        <v>0.1734748471805995</v>
      </c>
    </row>
    <row r="1054" spans="1:12" s="326" customFormat="1" ht="15.5" x14ac:dyDescent="0.35">
      <c r="A1054" s="328" t="s">
        <v>2018</v>
      </c>
      <c r="B1054" s="1291">
        <v>0.13609026237216754</v>
      </c>
      <c r="C1054" s="1257">
        <v>0.23818436617591127</v>
      </c>
      <c r="D1054" s="1257">
        <v>0.1512114026357417</v>
      </c>
      <c r="E1054" s="1280">
        <v>1.0166698656214093</v>
      </c>
      <c r="F1054" s="1303">
        <v>6.5750942271807791E-2</v>
      </c>
      <c r="G1054" s="1288">
        <v>5.7670142996795189E-2</v>
      </c>
      <c r="H1054" s="1280">
        <v>0.54574613262408389</v>
      </c>
      <c r="I1054" s="1303">
        <v>8.0613566927882019E-2</v>
      </c>
      <c r="J1054" s="1288">
        <v>0.10113763263921041</v>
      </c>
      <c r="K1054" s="1280">
        <v>0.95708921475488085</v>
      </c>
      <c r="L1054" s="1330">
        <v>0.16372941241616337</v>
      </c>
    </row>
    <row r="1055" spans="1:12" s="326" customFormat="1" ht="15.5" x14ac:dyDescent="0.35">
      <c r="A1055" s="328" t="s">
        <v>2019</v>
      </c>
      <c r="B1055" s="1291">
        <v>0.13609026237216754</v>
      </c>
      <c r="C1055" s="1257">
        <v>0.23818436617591127</v>
      </c>
      <c r="D1055" s="1257">
        <v>0.1512114026357417</v>
      </c>
      <c r="E1055" s="1280">
        <v>1.0166698656214093</v>
      </c>
      <c r="F1055" s="1303">
        <v>6.0738929458946489E-2</v>
      </c>
      <c r="G1055" s="1288">
        <v>5.5534238728382208E-2</v>
      </c>
      <c r="H1055" s="1280">
        <v>0.52553356796638162</v>
      </c>
      <c r="I1055" s="1303">
        <v>7.8420380262561901E-2</v>
      </c>
      <c r="J1055" s="1288">
        <v>9.8603984717586676E-2</v>
      </c>
      <c r="K1055" s="1280">
        <v>0.93311270832010329</v>
      </c>
      <c r="L1055" s="1330">
        <v>0.19315479674287131</v>
      </c>
    </row>
    <row r="1056" spans="1:12" s="326" customFormat="1" ht="15.5" x14ac:dyDescent="0.35">
      <c r="A1056" s="328" t="s">
        <v>2020</v>
      </c>
      <c r="B1056" s="1291">
        <v>0.13609026237216754</v>
      </c>
      <c r="C1056" s="1257">
        <v>0.23818436617591127</v>
      </c>
      <c r="D1056" s="1257">
        <v>0.1512114026357417</v>
      </c>
      <c r="E1056" s="1280">
        <v>1.0166698656214093</v>
      </c>
      <c r="F1056" s="1303">
        <v>5.8350295158057584E-2</v>
      </c>
      <c r="G1056" s="1288">
        <v>5.5870115691077971E-2</v>
      </c>
      <c r="H1056" s="1280">
        <v>0.52871205069424521</v>
      </c>
      <c r="I1056" s="1303">
        <v>7.7943300313780911E-2</v>
      </c>
      <c r="J1056" s="1288">
        <v>9.937833018128546E-2</v>
      </c>
      <c r="K1056" s="1280">
        <v>0.94044052164201763</v>
      </c>
      <c r="L1056" s="1330">
        <v>0.19315479674287717</v>
      </c>
    </row>
    <row r="1057" spans="1:12" s="326" customFormat="1" ht="15.5" x14ac:dyDescent="0.35">
      <c r="A1057" s="328" t="s">
        <v>2021</v>
      </c>
      <c r="B1057" s="1291">
        <v>0.13609026237216754</v>
      </c>
      <c r="C1057" s="1257">
        <v>0.23818436617591127</v>
      </c>
      <c r="D1057" s="1257">
        <v>0.1512114026357417</v>
      </c>
      <c r="E1057" s="1280">
        <v>1.0166698656214093</v>
      </c>
      <c r="F1057" s="1303">
        <v>6.0436792909756981E-2</v>
      </c>
      <c r="G1057" s="1288">
        <v>5.6007923575872545E-2</v>
      </c>
      <c r="H1057" s="1280">
        <v>0.53001615913344091</v>
      </c>
      <c r="I1057" s="1303">
        <v>7.558259791218204E-2</v>
      </c>
      <c r="J1057" s="1288">
        <v>9.667324844873236E-2</v>
      </c>
      <c r="K1057" s="1280">
        <v>0.91484169671704807</v>
      </c>
      <c r="L1057" s="1330">
        <v>0.1931547967428475</v>
      </c>
    </row>
    <row r="1058" spans="1:12" s="326" customFormat="1" ht="15.5" x14ac:dyDescent="0.35">
      <c r="A1058" s="328" t="s">
        <v>2022</v>
      </c>
      <c r="B1058" s="1291">
        <v>0.13609026237216754</v>
      </c>
      <c r="C1058" s="1257">
        <v>0.23818436617591127</v>
      </c>
      <c r="D1058" s="1257">
        <v>0.1512114026357417</v>
      </c>
      <c r="E1058" s="1280">
        <v>1.0166698656214093</v>
      </c>
      <c r="F1058" s="1303">
        <v>5.9357184058272026E-2</v>
      </c>
      <c r="G1058" s="1288">
        <v>5.5157306479060669E-2</v>
      </c>
      <c r="H1058" s="1280">
        <v>0.52196656940111086</v>
      </c>
      <c r="I1058" s="1303">
        <v>7.2827079873174744E-2</v>
      </c>
      <c r="J1058" s="1288">
        <v>9.5288657255685333E-2</v>
      </c>
      <c r="K1058" s="1280">
        <v>0.90173898447108092</v>
      </c>
      <c r="L1058" s="1330">
        <v>0.19783825937681029</v>
      </c>
    </row>
    <row r="1059" spans="1:12" s="326" customFormat="1" ht="15.5" x14ac:dyDescent="0.35">
      <c r="A1059" s="328" t="s">
        <v>2023</v>
      </c>
      <c r="B1059" s="1291">
        <v>0.13609026237216754</v>
      </c>
      <c r="C1059" s="1257">
        <v>0.23818436617591127</v>
      </c>
      <c r="D1059" s="1257">
        <v>0.1512114026357417</v>
      </c>
      <c r="E1059" s="1280">
        <v>1.0166698656214093</v>
      </c>
      <c r="F1059" s="1303">
        <v>5.4392291848684965E-2</v>
      </c>
      <c r="G1059" s="1288">
        <v>5.3963259564557109E-2</v>
      </c>
      <c r="H1059" s="1280">
        <v>0.51066702249694862</v>
      </c>
      <c r="I1059" s="1303">
        <v>6.8312686179663532E-2</v>
      </c>
      <c r="J1059" s="1288">
        <v>9.0720918913401769E-2</v>
      </c>
      <c r="K1059" s="1280">
        <v>0.85851340177608881</v>
      </c>
      <c r="L1059" s="1330">
        <v>0.19783825937684343</v>
      </c>
    </row>
    <row r="1060" spans="1:12" s="326" customFormat="1" ht="15.5" x14ac:dyDescent="0.35">
      <c r="A1060" s="328" t="s">
        <v>2024</v>
      </c>
      <c r="B1060" s="1287">
        <v>0.13609026237216754</v>
      </c>
      <c r="C1060" s="1288">
        <v>0.23818436617591127</v>
      </c>
      <c r="D1060" s="1288">
        <v>0.27985366087538455</v>
      </c>
      <c r="E1060" s="1306">
        <v>1.7639941585804346</v>
      </c>
      <c r="F1060" s="1303">
        <v>5.7110898104198712E-2</v>
      </c>
      <c r="G1060" s="1288">
        <v>5.2023607738070368E-2</v>
      </c>
      <c r="H1060" s="1280">
        <v>0.4923116408742394</v>
      </c>
      <c r="I1060" s="1303">
        <v>6.8382986690740069E-2</v>
      </c>
      <c r="J1060" s="1288">
        <v>8.9849175314000176E-2</v>
      </c>
      <c r="K1060" s="1280">
        <v>0.85026388697881039</v>
      </c>
      <c r="L1060" s="1330">
        <v>0.19649689343259324</v>
      </c>
    </row>
    <row r="1061" spans="1:12" s="326" customFormat="1" ht="15.5" x14ac:dyDescent="0.35">
      <c r="A1061" s="328" t="s">
        <v>2025</v>
      </c>
      <c r="B1061" s="1287">
        <v>0.11830071142091354</v>
      </c>
      <c r="C1061" s="1288">
        <v>0.26850855448451194</v>
      </c>
      <c r="D1061" s="1288">
        <v>0.25900058430698697</v>
      </c>
      <c r="E1061" s="1280">
        <v>0.88377203693168016</v>
      </c>
      <c r="F1061" s="1303">
        <v>5.4002864152624661E-2</v>
      </c>
      <c r="G1061" s="1288">
        <v>5.1913609500211309E-2</v>
      </c>
      <c r="H1061" s="1280">
        <v>0.49127070166744091</v>
      </c>
      <c r="I1061" s="1303">
        <v>6.4970150038158092E-2</v>
      </c>
      <c r="J1061" s="1288">
        <v>8.7206094532365802E-2</v>
      </c>
      <c r="K1061" s="1280">
        <v>0.82525179164084406</v>
      </c>
      <c r="L1061" s="1330">
        <v>0.19528966408310663</v>
      </c>
    </row>
    <row r="1062" spans="1:12" s="326" customFormat="1" ht="15.5" x14ac:dyDescent="0.35">
      <c r="A1062" s="328" t="s">
        <v>2026</v>
      </c>
      <c r="B1062" s="1287">
        <v>9.3414981312134299E-2</v>
      </c>
      <c r="C1062" s="1288">
        <v>0.23440407711253586</v>
      </c>
      <c r="D1062" s="1288">
        <v>0.2582936678585307</v>
      </c>
      <c r="E1062" s="1280">
        <v>0.69786180761348326</v>
      </c>
      <c r="F1062" s="1303">
        <v>5.2502136124171345E-2</v>
      </c>
      <c r="G1062" s="1288">
        <v>4.9356212569944401E-2</v>
      </c>
      <c r="H1062" s="1280">
        <v>0.46706945277587086</v>
      </c>
      <c r="I1062" s="1303">
        <v>6.333882957757811E-2</v>
      </c>
      <c r="J1062" s="1288">
        <v>8.5001798720582791E-2</v>
      </c>
      <c r="K1062" s="1280">
        <v>0.80439202171610336</v>
      </c>
      <c r="L1062" s="1330">
        <v>0.17563611339865429</v>
      </c>
    </row>
    <row r="1063" spans="1:12" s="326" customFormat="1" ht="15.5" x14ac:dyDescent="0.35">
      <c r="A1063" s="328" t="s">
        <v>2027</v>
      </c>
      <c r="B1063" s="1287">
        <v>9.8587949153307597E-2</v>
      </c>
      <c r="C1063" s="1288">
        <v>0.26577554050195112</v>
      </c>
      <c r="D1063" s="1288">
        <v>0.29376215510846743</v>
      </c>
      <c r="E1063" s="1280">
        <v>0.73650675125807064</v>
      </c>
      <c r="F1063" s="1303">
        <v>5.1121261682689927E-2</v>
      </c>
      <c r="G1063" s="1288">
        <v>4.7605228147622948E-2</v>
      </c>
      <c r="H1063" s="1280">
        <v>0.45049947519110833</v>
      </c>
      <c r="I1063" s="1303">
        <v>6.1772194743133876E-2</v>
      </c>
      <c r="J1063" s="1288">
        <v>8.288453142619405E-2</v>
      </c>
      <c r="K1063" s="1280">
        <v>0.78435582312876284</v>
      </c>
      <c r="L1063" s="1330">
        <v>0.17475174679253536</v>
      </c>
    </row>
    <row r="1064" spans="1:12" s="326" customFormat="1" ht="15.5" x14ac:dyDescent="0.35">
      <c r="A1064" s="328" t="s">
        <v>2028</v>
      </c>
      <c r="B1064" s="1287">
        <v>0.10547091085882174</v>
      </c>
      <c r="C1064" s="1288">
        <v>0.1816951239267888</v>
      </c>
      <c r="D1064" s="1288">
        <v>0.22486993072820405</v>
      </c>
      <c r="E1064" s="1280">
        <v>0.78792629906587541</v>
      </c>
      <c r="F1064" s="1303">
        <v>4.9757721577570434E-2</v>
      </c>
      <c r="G1064" s="1288">
        <v>4.595263605723425E-2</v>
      </c>
      <c r="H1064" s="1280">
        <v>0.43486060739456234</v>
      </c>
      <c r="I1064" s="1303">
        <v>6.020528638082475E-2</v>
      </c>
      <c r="J1064" s="1288">
        <v>8.0769744290137432E-2</v>
      </c>
      <c r="K1064" s="1280">
        <v>0.76434309486328589</v>
      </c>
      <c r="L1064" s="1330">
        <v>0.17395581684692565</v>
      </c>
    </row>
    <row r="1065" spans="1:12" s="326" customFormat="1" ht="15.5" x14ac:dyDescent="0.35">
      <c r="A1065" s="328" t="s">
        <v>2029</v>
      </c>
      <c r="B1065" s="1287">
        <v>0.10357212096044362</v>
      </c>
      <c r="C1065" s="1288">
        <v>0.1362217335034141</v>
      </c>
      <c r="D1065" s="1288">
        <v>0.2186488351649242</v>
      </c>
      <c r="E1065" s="1306">
        <v>1.8982986074024835</v>
      </c>
      <c r="F1065" s="1303">
        <v>4.9459153667125492E-2</v>
      </c>
      <c r="G1065" s="1288">
        <v>4.4365745180007805E-2</v>
      </c>
      <c r="H1065" s="1306">
        <v>0.42031958035288453</v>
      </c>
      <c r="I1065" s="1303">
        <v>6.0196436352088933E-2</v>
      </c>
      <c r="J1065" s="1288">
        <v>8.073410336637625E-2</v>
      </c>
      <c r="K1065" s="1306">
        <v>0.59885917365463259</v>
      </c>
      <c r="L1065" s="1330">
        <v>0.16012933020911144</v>
      </c>
    </row>
    <row r="1066" spans="1:12" s="326" customFormat="1" ht="15.5" x14ac:dyDescent="0.35">
      <c r="A1066" s="328" t="s">
        <v>2030</v>
      </c>
      <c r="B1066" s="1287">
        <v>0.11379153722627251</v>
      </c>
      <c r="C1066" s="1288">
        <v>0.13933548872507653</v>
      </c>
      <c r="D1066" s="1288">
        <v>0.21275244645812127</v>
      </c>
      <c r="E1066" s="1306">
        <v>1.9530567921586111</v>
      </c>
      <c r="F1066" s="1303">
        <v>4.922816886025904E-2</v>
      </c>
      <c r="G1066" s="1288">
        <v>4.2885689999476145E-2</v>
      </c>
      <c r="H1066" s="1306">
        <v>0.42829192944640715</v>
      </c>
      <c r="I1066" s="1303">
        <v>6.0186445763455464E-2</v>
      </c>
      <c r="J1066" s="1288">
        <v>8.0694848198858957E-2</v>
      </c>
      <c r="K1066" s="1306">
        <v>0.59891618523842627</v>
      </c>
      <c r="L1066" s="1330">
        <v>0.15953341580992109</v>
      </c>
    </row>
    <row r="1067" spans="1:12" s="326" customFormat="1" ht="15.5" x14ac:dyDescent="0.35">
      <c r="A1067" s="328" t="s">
        <v>2031</v>
      </c>
      <c r="B1067" s="1287">
        <v>0.10844615133208388</v>
      </c>
      <c r="C1067" s="1288">
        <v>0.14996665565731082</v>
      </c>
      <c r="D1067" s="1288">
        <v>0.18773795312107144</v>
      </c>
      <c r="E1067" s="1306">
        <v>1.9037842950664312</v>
      </c>
      <c r="F1067" s="1303">
        <v>4.9073373179195863E-2</v>
      </c>
      <c r="G1067" s="1288">
        <v>4.2394989010699338E-2</v>
      </c>
      <c r="H1067" s="1306">
        <v>0.44338614044822838</v>
      </c>
      <c r="I1067" s="1303">
        <v>6.0175904309322931E-2</v>
      </c>
      <c r="J1067" s="1288">
        <v>8.0653404896026779E-2</v>
      </c>
      <c r="K1067" s="1306">
        <v>0.59900316200768955</v>
      </c>
      <c r="L1067" s="1330">
        <v>0.1595334158099386</v>
      </c>
    </row>
    <row r="1068" spans="1:12" s="326" customFormat="1" ht="15.5" x14ac:dyDescent="0.35">
      <c r="A1068" s="328" t="s">
        <v>2032</v>
      </c>
      <c r="B1068" s="1287">
        <v>0.11619329120118292</v>
      </c>
      <c r="C1068" s="1288">
        <v>9.7634404100203409E-2</v>
      </c>
      <c r="D1068" s="1288">
        <v>0.22208810541732432</v>
      </c>
      <c r="E1068" s="1306">
        <v>1.9140961818347497</v>
      </c>
      <c r="F1068" s="1303">
        <v>4.8905727127353436E-2</v>
      </c>
      <c r="G1068" s="1288">
        <v>4.2197629192960939E-2</v>
      </c>
      <c r="H1068" s="1306">
        <v>0.45878082253015356</v>
      </c>
      <c r="I1068" s="1303">
        <v>6.0165081265708631E-2</v>
      </c>
      <c r="J1068" s="1288">
        <v>8.0611338140022054E-2</v>
      </c>
      <c r="K1068" s="1306">
        <v>0.59908651711522409</v>
      </c>
      <c r="L1068" s="1330">
        <v>0.15378775848199888</v>
      </c>
    </row>
    <row r="1069" spans="1:12" s="326" customFormat="1" ht="15.5" x14ac:dyDescent="0.35">
      <c r="A1069" s="328" t="s">
        <v>2033</v>
      </c>
      <c r="B1069" s="1287">
        <v>0.11349115391980297</v>
      </c>
      <c r="C1069" s="1288">
        <v>0.14638132689158359</v>
      </c>
      <c r="D1069" s="1288">
        <v>0.2215222968216051</v>
      </c>
      <c r="E1069" s="1306">
        <v>1.9033773886895664</v>
      </c>
      <c r="F1069" s="1303">
        <v>4.8704495162410495E-2</v>
      </c>
      <c r="G1069" s="1288">
        <v>4.1980826190034029E-2</v>
      </c>
      <c r="H1069" s="1306">
        <v>0.46973196052255234</v>
      </c>
      <c r="I1069" s="1303">
        <v>6.0153497046980808E-2</v>
      </c>
      <c r="J1069" s="1288">
        <v>8.0569418136952314E-2</v>
      </c>
      <c r="K1069" s="1306">
        <v>0.59920539256519789</v>
      </c>
      <c r="L1069" s="1330">
        <v>0.15378775848199189</v>
      </c>
    </row>
    <row r="1070" spans="1:12" s="326" customFormat="1" ht="15.5" x14ac:dyDescent="0.35">
      <c r="A1070" s="328" t="s">
        <v>2034</v>
      </c>
      <c r="B1070" s="1287">
        <v>0.10999192690320045</v>
      </c>
      <c r="C1070" s="1288">
        <v>0.13916756111660938</v>
      </c>
      <c r="D1070" s="1288">
        <v>0.24473747917570576</v>
      </c>
      <c r="E1070" s="1306">
        <v>1.9403772503032324</v>
      </c>
      <c r="F1070" s="1303">
        <v>4.8521913513318596E-2</v>
      </c>
      <c r="G1070" s="1288">
        <v>4.1808808110956532E-2</v>
      </c>
      <c r="H1070" s="1306">
        <v>0.47902494502403459</v>
      </c>
      <c r="I1070" s="1303">
        <v>6.0140708350246395E-2</v>
      </c>
      <c r="J1070" s="1288">
        <v>8.0528769386914834E-2</v>
      </c>
      <c r="K1070" s="1306">
        <v>0.59934937083629303</v>
      </c>
      <c r="L1070" s="1330">
        <v>0.1537877584819978</v>
      </c>
    </row>
    <row r="1071" spans="1:12" s="326" customFormat="1" ht="15.5" x14ac:dyDescent="0.35">
      <c r="A1071" s="328" t="s">
        <v>2035</v>
      </c>
      <c r="B1071" s="1287">
        <v>6.4670367970624379E-2</v>
      </c>
      <c r="C1071" s="1288">
        <v>9.6712429387085505E-2</v>
      </c>
      <c r="D1071" s="1288">
        <v>9.6780701898999205E-2</v>
      </c>
      <c r="E1071" s="1306">
        <v>1.922453728413962</v>
      </c>
      <c r="F1071" s="1303">
        <v>4.8328299712381381E-2</v>
      </c>
      <c r="G1071" s="1288">
        <v>4.1633769862628539E-2</v>
      </c>
      <c r="H1071" s="1306">
        <v>0.48582249526501392</v>
      </c>
      <c r="I1071" s="1303">
        <v>6.0126246125621202E-2</v>
      </c>
      <c r="J1071" s="1288">
        <v>8.0489324678149038E-2</v>
      </c>
      <c r="K1071" s="1306">
        <v>0.59950283214506206</v>
      </c>
      <c r="L1071" s="1330">
        <v>0.15378775848200185</v>
      </c>
    </row>
    <row r="1072" spans="1:12" s="326" customFormat="1" ht="15.5" x14ac:dyDescent="0.35">
      <c r="A1072" s="328" t="s">
        <v>2036</v>
      </c>
      <c r="B1072" s="1287">
        <v>6.5574775904484517E-2</v>
      </c>
      <c r="C1072" s="1288">
        <v>8.5608491453176463E-2</v>
      </c>
      <c r="D1072" s="1288">
        <v>9.5876432459919544E-2</v>
      </c>
      <c r="E1072" s="1306">
        <v>1.9613443236174604</v>
      </c>
      <c r="F1072" s="1303">
        <v>4.8078949600314856E-2</v>
      </c>
      <c r="G1072" s="1288">
        <v>4.1431012816622523E-2</v>
      </c>
      <c r="H1072" s="1306">
        <v>0.49354702819676899</v>
      </c>
      <c r="I1072" s="1303">
        <v>6.0109271206065219E-2</v>
      </c>
      <c r="J1072" s="1288">
        <v>8.0446485145995422E-2</v>
      </c>
      <c r="K1072" s="1306">
        <v>0.59965854945286279</v>
      </c>
      <c r="L1072" s="1330">
        <v>0.15378775848199555</v>
      </c>
    </row>
    <row r="1073" spans="1:12" s="326" customFormat="1" ht="15.5" x14ac:dyDescent="0.35">
      <c r="A1073" s="328" t="s">
        <v>2037</v>
      </c>
      <c r="B1073" s="1287">
        <v>6.4735510931571649E-2</v>
      </c>
      <c r="C1073" s="1288">
        <v>9.3258832387087903E-2</v>
      </c>
      <c r="D1073" s="1288">
        <v>8.6874935047390106E-2</v>
      </c>
      <c r="E1073" s="1306">
        <v>1.8016047610389458</v>
      </c>
      <c r="F1073" s="1303">
        <v>4.7810800969439252E-2</v>
      </c>
      <c r="G1073" s="1288">
        <v>4.1210839586865694E-2</v>
      </c>
      <c r="H1073" s="1306">
        <v>0.49993724020903196</v>
      </c>
      <c r="I1073" s="1303">
        <v>6.0087648565447613E-2</v>
      </c>
      <c r="J1073" s="1288">
        <v>8.0385099951244543E-2</v>
      </c>
      <c r="K1073" s="1306">
        <v>0.59976542511165454</v>
      </c>
      <c r="L1073" s="1330">
        <v>0.15378775848199883</v>
      </c>
    </row>
    <row r="1074" spans="1:12" s="326" customFormat="1" ht="15.5" x14ac:dyDescent="0.35">
      <c r="A1074" s="328" t="s">
        <v>2038</v>
      </c>
      <c r="B1074" s="1287">
        <v>6.4815382071033018E-2</v>
      </c>
      <c r="C1074" s="1288">
        <v>8.5259452290505577E-2</v>
      </c>
      <c r="D1074" s="1288">
        <v>8.4989008668810456E-2</v>
      </c>
      <c r="E1074" s="1306">
        <v>1.8717882163426898</v>
      </c>
      <c r="F1074" s="1303">
        <v>4.7075947785045209E-2</v>
      </c>
      <c r="G1074" s="1288">
        <v>4.072995510647049E-2</v>
      </c>
      <c r="H1074" s="1306">
        <v>0.49685649558494233</v>
      </c>
      <c r="I1074" s="1303">
        <v>6.0055919417244245E-2</v>
      </c>
      <c r="J1074" s="1288">
        <v>8.0269476233388412E-2</v>
      </c>
      <c r="K1074" s="1306">
        <v>0.59951395885172742</v>
      </c>
      <c r="L1074" s="1330">
        <v>0.15378841279143732</v>
      </c>
    </row>
    <row r="1075" spans="1:12" s="326" customFormat="1" ht="15.5" x14ac:dyDescent="0.35">
      <c r="A1075" s="328" t="s">
        <v>2039</v>
      </c>
      <c r="B1075" s="1291">
        <v>6.4815382071033018E-2</v>
      </c>
      <c r="C1075" s="1257">
        <v>8.5259452290505577E-2</v>
      </c>
      <c r="D1075" s="1257">
        <v>8.4989008668810456E-2</v>
      </c>
      <c r="E1075" s="1280">
        <v>1.8717882163426898</v>
      </c>
      <c r="F1075" s="1271">
        <v>4.7075947785045209E-2</v>
      </c>
      <c r="G1075" s="1257">
        <v>4.072995510647049E-2</v>
      </c>
      <c r="H1075" s="1280">
        <v>0.49685649558494233</v>
      </c>
      <c r="I1075" s="1271">
        <v>6.0055919417244245E-2</v>
      </c>
      <c r="J1075" s="1257">
        <v>8.0269476233388412E-2</v>
      </c>
      <c r="K1075" s="1280">
        <v>0.59951395885172742</v>
      </c>
      <c r="L1075" s="1330">
        <v>0.16102276608426697</v>
      </c>
    </row>
    <row r="1076" spans="1:12" s="326" customFormat="1" ht="15.5" x14ac:dyDescent="0.35">
      <c r="A1076" s="328" t="s">
        <v>2040</v>
      </c>
      <c r="B1076" s="1291">
        <v>0.11830071142091324</v>
      </c>
      <c r="C1076" s="1257">
        <v>0.26851463047053764</v>
      </c>
      <c r="D1076" s="1257">
        <v>0.13144523491212581</v>
      </c>
      <c r="E1076" s="1280">
        <v>0.88377203693167794</v>
      </c>
      <c r="F1076" s="1271">
        <v>5.7436112375189079E-2</v>
      </c>
      <c r="G1076" s="1257">
        <v>9.0105449794395595E-2</v>
      </c>
      <c r="H1076" s="1280">
        <v>0.85268907268667016</v>
      </c>
      <c r="I1076" s="1271">
        <v>6.267206850041579E-2</v>
      </c>
      <c r="J1076" s="1257">
        <v>0.13443243511510361</v>
      </c>
      <c r="K1076" s="1280">
        <v>1.272165764655429</v>
      </c>
      <c r="L1076" s="1237">
        <v>0.17425713065512616</v>
      </c>
    </row>
    <row r="1077" spans="1:12" s="326" customFormat="1" ht="15.5" x14ac:dyDescent="0.35">
      <c r="A1077" s="328" t="s">
        <v>2041</v>
      </c>
      <c r="B1077" s="1291">
        <v>0.11830071142091324</v>
      </c>
      <c r="C1077" s="1257">
        <v>0.26851463047053764</v>
      </c>
      <c r="D1077" s="1257">
        <v>0.13144523491212581</v>
      </c>
      <c r="E1077" s="1280">
        <v>0.88377203693167794</v>
      </c>
      <c r="F1077" s="1271">
        <v>5.7436112375189079E-2</v>
      </c>
      <c r="G1077" s="1257">
        <v>9.0105449794395595E-2</v>
      </c>
      <c r="H1077" s="1280">
        <v>0.85268907268667016</v>
      </c>
      <c r="I1077" s="1271">
        <v>6.267206850041579E-2</v>
      </c>
      <c r="J1077" s="1257">
        <v>0.13443243511510361</v>
      </c>
      <c r="K1077" s="1280">
        <v>1.272165764655429</v>
      </c>
      <c r="L1077" s="1237">
        <v>0.17425713065512616</v>
      </c>
    </row>
    <row r="1078" spans="1:12" s="326" customFormat="1" ht="15.5" x14ac:dyDescent="0.35">
      <c r="A1078" s="328" t="s">
        <v>2042</v>
      </c>
      <c r="B1078" s="1291">
        <v>0.11830071142091324</v>
      </c>
      <c r="C1078" s="1257">
        <v>0.26851463047053764</v>
      </c>
      <c r="D1078" s="1257">
        <v>0.13144523491212581</v>
      </c>
      <c r="E1078" s="1280">
        <v>0.88377203693167794</v>
      </c>
      <c r="F1078" s="1271">
        <v>5.7436112375189079E-2</v>
      </c>
      <c r="G1078" s="1257">
        <v>9.0105449794395595E-2</v>
      </c>
      <c r="H1078" s="1280">
        <v>0.85268907268667016</v>
      </c>
      <c r="I1078" s="1271">
        <v>6.267206850041579E-2</v>
      </c>
      <c r="J1078" s="1257">
        <v>0.13443243511510361</v>
      </c>
      <c r="K1078" s="1280">
        <v>1.272165764655429</v>
      </c>
      <c r="L1078" s="1237">
        <v>0.17425713065512616</v>
      </c>
    </row>
    <row r="1079" spans="1:12" s="326" customFormat="1" ht="15.5" x14ac:dyDescent="0.35">
      <c r="A1079" s="328" t="s">
        <v>2043</v>
      </c>
      <c r="B1079" s="1291">
        <v>0.11830071142091324</v>
      </c>
      <c r="C1079" s="1257">
        <v>0.26851463047053764</v>
      </c>
      <c r="D1079" s="1257">
        <v>0.13144523491212581</v>
      </c>
      <c r="E1079" s="1280">
        <v>0.88377203693167794</v>
      </c>
      <c r="F1079" s="1271">
        <v>5.7436112375189079E-2</v>
      </c>
      <c r="G1079" s="1257">
        <v>9.0105449794395595E-2</v>
      </c>
      <c r="H1079" s="1280">
        <v>0.85268907268667016</v>
      </c>
      <c r="I1079" s="1271">
        <v>6.267206850041579E-2</v>
      </c>
      <c r="J1079" s="1257">
        <v>0.13443243511510361</v>
      </c>
      <c r="K1079" s="1280">
        <v>1.272165764655429</v>
      </c>
      <c r="L1079" s="1237">
        <v>0.17425713065512616</v>
      </c>
    </row>
    <row r="1080" spans="1:12" s="326" customFormat="1" ht="15.5" x14ac:dyDescent="0.35">
      <c r="A1080" s="328" t="s">
        <v>2044</v>
      </c>
      <c r="B1080" s="1291">
        <v>0.11830071142091324</v>
      </c>
      <c r="C1080" s="1257">
        <v>0.26851463047053764</v>
      </c>
      <c r="D1080" s="1257">
        <v>0.13144523491212581</v>
      </c>
      <c r="E1080" s="1280">
        <v>0.88377203693167794</v>
      </c>
      <c r="F1080" s="1271">
        <v>5.7436112375189079E-2</v>
      </c>
      <c r="G1080" s="1257">
        <v>9.0105449794395595E-2</v>
      </c>
      <c r="H1080" s="1280">
        <v>0.85268907268667016</v>
      </c>
      <c r="I1080" s="1271">
        <v>6.267206850041579E-2</v>
      </c>
      <c r="J1080" s="1257">
        <v>0.13443243511510361</v>
      </c>
      <c r="K1080" s="1280">
        <v>1.272165764655429</v>
      </c>
      <c r="L1080" s="1237">
        <v>0.17425713065512616</v>
      </c>
    </row>
    <row r="1081" spans="1:12" s="326" customFormat="1" ht="15.5" x14ac:dyDescent="0.35">
      <c r="A1081" s="328" t="s">
        <v>2045</v>
      </c>
      <c r="B1081" s="1291">
        <v>0.11830071142091324</v>
      </c>
      <c r="C1081" s="1257">
        <v>0.26851463047053764</v>
      </c>
      <c r="D1081" s="1257">
        <v>0.13144523491212581</v>
      </c>
      <c r="E1081" s="1280">
        <v>0.88377203693167794</v>
      </c>
      <c r="F1081" s="1271">
        <v>5.7436112375189079E-2</v>
      </c>
      <c r="G1081" s="1257">
        <v>9.0105449794395595E-2</v>
      </c>
      <c r="H1081" s="1280">
        <v>0.85268907268667016</v>
      </c>
      <c r="I1081" s="1271">
        <v>6.267206850041579E-2</v>
      </c>
      <c r="J1081" s="1257">
        <v>0.13443243511510361</v>
      </c>
      <c r="K1081" s="1280">
        <v>1.272165764655429</v>
      </c>
      <c r="L1081" s="1237">
        <v>0.17425713065512616</v>
      </c>
    </row>
    <row r="1082" spans="1:12" s="326" customFormat="1" ht="15.5" x14ac:dyDescent="0.35">
      <c r="A1082" s="328" t="s">
        <v>2046</v>
      </c>
      <c r="B1082" s="1291">
        <v>0.11830071142091324</v>
      </c>
      <c r="C1082" s="1257">
        <v>0.26851463047053764</v>
      </c>
      <c r="D1082" s="1257">
        <v>0.13144523491212581</v>
      </c>
      <c r="E1082" s="1280">
        <v>0.88377203693167794</v>
      </c>
      <c r="F1082" s="1271">
        <v>5.7436112375189079E-2</v>
      </c>
      <c r="G1082" s="1257">
        <v>9.0105449794395595E-2</v>
      </c>
      <c r="H1082" s="1280">
        <v>0.85268907268667016</v>
      </c>
      <c r="I1082" s="1271">
        <v>6.267206850041579E-2</v>
      </c>
      <c r="J1082" s="1257">
        <v>0.13443243511510361</v>
      </c>
      <c r="K1082" s="1280">
        <v>1.272165764655429</v>
      </c>
      <c r="L1082" s="1237">
        <v>0.17425713065512616</v>
      </c>
    </row>
    <row r="1083" spans="1:12" s="326" customFormat="1" ht="15.5" x14ac:dyDescent="0.35">
      <c r="A1083" s="328" t="s">
        <v>2047</v>
      </c>
      <c r="B1083" s="1291">
        <v>0.11830071142091324</v>
      </c>
      <c r="C1083" s="1257">
        <v>0.26851463047053764</v>
      </c>
      <c r="D1083" s="1257">
        <v>0.13144523491212581</v>
      </c>
      <c r="E1083" s="1280">
        <v>0.88377203693167794</v>
      </c>
      <c r="F1083" s="1271">
        <v>5.7436112375189079E-2</v>
      </c>
      <c r="G1083" s="1257">
        <v>9.0105449794395595E-2</v>
      </c>
      <c r="H1083" s="1280">
        <v>0.85268907268667016</v>
      </c>
      <c r="I1083" s="1271">
        <v>6.267206850041579E-2</v>
      </c>
      <c r="J1083" s="1257">
        <v>0.13443243511510361</v>
      </c>
      <c r="K1083" s="1280">
        <v>1.272165764655429</v>
      </c>
      <c r="L1083" s="1237">
        <v>0.17425713065512616</v>
      </c>
    </row>
    <row r="1084" spans="1:12" s="326" customFormat="1" ht="15.5" x14ac:dyDescent="0.35">
      <c r="A1084" s="328" t="s">
        <v>2048</v>
      </c>
      <c r="B1084" s="1291">
        <v>0.11830071142091324</v>
      </c>
      <c r="C1084" s="1257">
        <v>0.26851463047053764</v>
      </c>
      <c r="D1084" s="1257">
        <v>0.13144523491212581</v>
      </c>
      <c r="E1084" s="1280">
        <v>0.88377203693167794</v>
      </c>
      <c r="F1084" s="1271">
        <v>5.7436112375189079E-2</v>
      </c>
      <c r="G1084" s="1257">
        <v>9.0105449794395595E-2</v>
      </c>
      <c r="H1084" s="1280">
        <v>0.85268907268667016</v>
      </c>
      <c r="I1084" s="1271">
        <v>6.267206850041579E-2</v>
      </c>
      <c r="J1084" s="1257">
        <v>0.13443243511510361</v>
      </c>
      <c r="K1084" s="1280">
        <v>1.272165764655429</v>
      </c>
      <c r="L1084" s="1237">
        <v>0.17425713065512616</v>
      </c>
    </row>
    <row r="1085" spans="1:12" s="326" customFormat="1" ht="15.5" x14ac:dyDescent="0.35">
      <c r="A1085" s="328" t="s">
        <v>2049</v>
      </c>
      <c r="B1085" s="1291">
        <v>0.11830071142091324</v>
      </c>
      <c r="C1085" s="1257">
        <v>0.26851463047053764</v>
      </c>
      <c r="D1085" s="1257">
        <v>0.13144523491212581</v>
      </c>
      <c r="E1085" s="1280">
        <v>0.88377203693167794</v>
      </c>
      <c r="F1085" s="1271">
        <v>5.7436112375189079E-2</v>
      </c>
      <c r="G1085" s="1257">
        <v>9.0105449794395595E-2</v>
      </c>
      <c r="H1085" s="1280">
        <v>0.85268907268667016</v>
      </c>
      <c r="I1085" s="1271">
        <v>6.267206850041579E-2</v>
      </c>
      <c r="J1085" s="1257">
        <v>0.13443243511510361</v>
      </c>
      <c r="K1085" s="1280">
        <v>1.272165764655429</v>
      </c>
      <c r="L1085" s="1237">
        <v>0.17425713065512616</v>
      </c>
    </row>
    <row r="1086" spans="1:12" s="326" customFormat="1" ht="15.5" x14ac:dyDescent="0.35">
      <c r="A1086" s="328" t="s">
        <v>2050</v>
      </c>
      <c r="B1086" s="1291">
        <v>0.11830071142091324</v>
      </c>
      <c r="C1086" s="1257">
        <v>0.26851463047053764</v>
      </c>
      <c r="D1086" s="1257">
        <v>0.13144523491212581</v>
      </c>
      <c r="E1086" s="1280">
        <v>0.88377203693167794</v>
      </c>
      <c r="F1086" s="1271">
        <v>5.7436112375189079E-2</v>
      </c>
      <c r="G1086" s="1257">
        <v>9.0105449794395595E-2</v>
      </c>
      <c r="H1086" s="1280">
        <v>0.85268907268667016</v>
      </c>
      <c r="I1086" s="1271">
        <v>6.267206850041579E-2</v>
      </c>
      <c r="J1086" s="1257">
        <v>0.13443243511510361</v>
      </c>
      <c r="K1086" s="1280">
        <v>1.272165764655429</v>
      </c>
      <c r="L1086" s="1237">
        <v>0.17425713065512616</v>
      </c>
    </row>
    <row r="1087" spans="1:12" s="326" customFormat="1" ht="15.5" x14ac:dyDescent="0.35">
      <c r="A1087" s="328" t="s">
        <v>2051</v>
      </c>
      <c r="B1087" s="1291">
        <v>0.11830071142091324</v>
      </c>
      <c r="C1087" s="1257">
        <v>0.26851463047053764</v>
      </c>
      <c r="D1087" s="1257">
        <v>0.13144523491212581</v>
      </c>
      <c r="E1087" s="1280">
        <v>0.88377203693167794</v>
      </c>
      <c r="F1087" s="1271">
        <v>5.7436112375189079E-2</v>
      </c>
      <c r="G1087" s="1257">
        <v>9.0105449794395595E-2</v>
      </c>
      <c r="H1087" s="1280">
        <v>0.85268907268667016</v>
      </c>
      <c r="I1087" s="1271">
        <v>6.267206850041579E-2</v>
      </c>
      <c r="J1087" s="1257">
        <v>0.13443243511510361</v>
      </c>
      <c r="K1087" s="1280">
        <v>1.272165764655429</v>
      </c>
      <c r="L1087" s="1237">
        <v>0.17425713065512616</v>
      </c>
    </row>
    <row r="1088" spans="1:12" s="326" customFormat="1" ht="15.5" x14ac:dyDescent="0.35">
      <c r="A1088" s="328" t="s">
        <v>2052</v>
      </c>
      <c r="B1088" s="1291">
        <v>0.11830071142091324</v>
      </c>
      <c r="C1088" s="1257">
        <v>0.26851463047053764</v>
      </c>
      <c r="D1088" s="1257">
        <v>0.13144523491212581</v>
      </c>
      <c r="E1088" s="1280">
        <v>0.88377203693167794</v>
      </c>
      <c r="F1088" s="1271">
        <v>5.7436112375189079E-2</v>
      </c>
      <c r="G1088" s="1257">
        <v>9.0105449794395595E-2</v>
      </c>
      <c r="H1088" s="1280">
        <v>0.85268907268667016</v>
      </c>
      <c r="I1088" s="1271">
        <v>6.267206850041579E-2</v>
      </c>
      <c r="J1088" s="1257">
        <v>0.13443243511510361</v>
      </c>
      <c r="K1088" s="1280">
        <v>1.272165764655429</v>
      </c>
      <c r="L1088" s="1237">
        <v>0.17425713065512616</v>
      </c>
    </row>
    <row r="1089" spans="1:12" s="326" customFormat="1" ht="15.5" x14ac:dyDescent="0.35">
      <c r="A1089" s="328" t="s">
        <v>2053</v>
      </c>
      <c r="B1089" s="1291">
        <v>0.11830071142091324</v>
      </c>
      <c r="C1089" s="1257">
        <v>0.26851463047053764</v>
      </c>
      <c r="D1089" s="1257">
        <v>0.13144523491212581</v>
      </c>
      <c r="E1089" s="1280">
        <v>0.88377203693167794</v>
      </c>
      <c r="F1089" s="1271">
        <v>5.7436112375189079E-2</v>
      </c>
      <c r="G1089" s="1257">
        <v>9.0105449794395595E-2</v>
      </c>
      <c r="H1089" s="1280">
        <v>0.85268907268667016</v>
      </c>
      <c r="I1089" s="1271">
        <v>6.267206850041579E-2</v>
      </c>
      <c r="J1089" s="1257">
        <v>0.13443243511510361</v>
      </c>
      <c r="K1089" s="1280">
        <v>1.272165764655429</v>
      </c>
      <c r="L1089" s="1237">
        <v>0.17425713065512616</v>
      </c>
    </row>
    <row r="1090" spans="1:12" s="326" customFormat="1" ht="15.5" x14ac:dyDescent="0.35">
      <c r="A1090" s="328" t="s">
        <v>2054</v>
      </c>
      <c r="B1090" s="1291">
        <v>0.11830071142091324</v>
      </c>
      <c r="C1090" s="1257">
        <v>0.26851463047053764</v>
      </c>
      <c r="D1090" s="1257">
        <v>0.13144523491212581</v>
      </c>
      <c r="E1090" s="1280">
        <v>0.88377203693167794</v>
      </c>
      <c r="F1090" s="1271">
        <v>5.7436112375189079E-2</v>
      </c>
      <c r="G1090" s="1257">
        <v>9.0105449794395595E-2</v>
      </c>
      <c r="H1090" s="1280">
        <v>0.85268907268667016</v>
      </c>
      <c r="I1090" s="1271">
        <v>6.267206850041579E-2</v>
      </c>
      <c r="J1090" s="1257">
        <v>0.13443243511510361</v>
      </c>
      <c r="K1090" s="1280">
        <v>1.272165764655429</v>
      </c>
      <c r="L1090" s="1237">
        <v>0.17425713065512616</v>
      </c>
    </row>
    <row r="1091" spans="1:12" s="326" customFormat="1" ht="15.5" x14ac:dyDescent="0.35">
      <c r="A1091" s="328" t="s">
        <v>2055</v>
      </c>
      <c r="B1091" s="1291">
        <v>0.11830071142091324</v>
      </c>
      <c r="C1091" s="1257">
        <v>0.26851463047053764</v>
      </c>
      <c r="D1091" s="1257">
        <v>0.13144523491212581</v>
      </c>
      <c r="E1091" s="1280">
        <v>0.88377203693167794</v>
      </c>
      <c r="F1091" s="1271">
        <v>5.7436112375189079E-2</v>
      </c>
      <c r="G1091" s="1257">
        <v>9.0105449794395595E-2</v>
      </c>
      <c r="H1091" s="1280">
        <v>0.85268907268667016</v>
      </c>
      <c r="I1091" s="1271">
        <v>6.267206850041579E-2</v>
      </c>
      <c r="J1091" s="1257">
        <v>0.13443243511510361</v>
      </c>
      <c r="K1091" s="1280">
        <v>1.272165764655429</v>
      </c>
      <c r="L1091" s="1237">
        <v>0.17425713065512616</v>
      </c>
    </row>
    <row r="1092" spans="1:12" s="326" customFormat="1" ht="15.5" x14ac:dyDescent="0.35">
      <c r="A1092" s="328" t="s">
        <v>2056</v>
      </c>
      <c r="B1092" s="1291">
        <v>0.11830071142091324</v>
      </c>
      <c r="C1092" s="1257">
        <v>0.26851463047053764</v>
      </c>
      <c r="D1092" s="1257">
        <v>0.13144523491212581</v>
      </c>
      <c r="E1092" s="1280">
        <v>0.88377203693167794</v>
      </c>
      <c r="F1092" s="1271">
        <v>5.7436112375189079E-2</v>
      </c>
      <c r="G1092" s="1257">
        <v>9.0105449794395595E-2</v>
      </c>
      <c r="H1092" s="1280">
        <v>0.85268907268667016</v>
      </c>
      <c r="I1092" s="1271">
        <v>6.267206850041579E-2</v>
      </c>
      <c r="J1092" s="1257">
        <v>0.13443243511510361</v>
      </c>
      <c r="K1092" s="1280">
        <v>1.272165764655429</v>
      </c>
      <c r="L1092" s="1237">
        <v>0.17425713065512616</v>
      </c>
    </row>
    <row r="1093" spans="1:12" s="326" customFormat="1" ht="15.5" x14ac:dyDescent="0.35">
      <c r="A1093" s="328" t="s">
        <v>2057</v>
      </c>
      <c r="B1093" s="1291">
        <v>0.11830071142091324</v>
      </c>
      <c r="C1093" s="1257">
        <v>0.26851463047053764</v>
      </c>
      <c r="D1093" s="1257">
        <v>0.13144523491212581</v>
      </c>
      <c r="E1093" s="1280">
        <v>0.88377203693167794</v>
      </c>
      <c r="F1093" s="1271">
        <v>5.7436112375189079E-2</v>
      </c>
      <c r="G1093" s="1257">
        <v>9.0105449794395595E-2</v>
      </c>
      <c r="H1093" s="1280">
        <v>0.85268907268667016</v>
      </c>
      <c r="I1093" s="1271">
        <v>6.267206850041579E-2</v>
      </c>
      <c r="J1093" s="1257">
        <v>0.13443243511510361</v>
      </c>
      <c r="K1093" s="1280">
        <v>1.272165764655429</v>
      </c>
      <c r="L1093" s="1237">
        <v>0.17425713065512616</v>
      </c>
    </row>
    <row r="1094" spans="1:12" s="326" customFormat="1" ht="15.5" x14ac:dyDescent="0.35">
      <c r="A1094" s="328" t="s">
        <v>2058</v>
      </c>
      <c r="B1094" s="1291">
        <v>0.11830071142091324</v>
      </c>
      <c r="C1094" s="1257">
        <v>0.26851463047053764</v>
      </c>
      <c r="D1094" s="1257">
        <v>0.13144523491212581</v>
      </c>
      <c r="E1094" s="1280">
        <v>0.88377203693167794</v>
      </c>
      <c r="F1094" s="1271">
        <v>5.7436112375189079E-2</v>
      </c>
      <c r="G1094" s="1257">
        <v>9.0105449794395595E-2</v>
      </c>
      <c r="H1094" s="1280">
        <v>0.85268907268667016</v>
      </c>
      <c r="I1094" s="1271">
        <v>6.267206850041579E-2</v>
      </c>
      <c r="J1094" s="1257">
        <v>0.13443243511510361</v>
      </c>
      <c r="K1094" s="1280">
        <v>1.272165764655429</v>
      </c>
      <c r="L1094" s="1237">
        <v>0.17425713065512616</v>
      </c>
    </row>
    <row r="1095" spans="1:12" s="326" customFormat="1" ht="15.5" x14ac:dyDescent="0.35">
      <c r="A1095" s="328" t="s">
        <v>2059</v>
      </c>
      <c r="B1095" s="1291">
        <v>0.11830071142091324</v>
      </c>
      <c r="C1095" s="1257">
        <v>0.26851463047053764</v>
      </c>
      <c r="D1095" s="1257">
        <v>0.13144523491212581</v>
      </c>
      <c r="E1095" s="1280">
        <v>0.88377203693167794</v>
      </c>
      <c r="F1095" s="1303">
        <v>5.7436112375189079E-2</v>
      </c>
      <c r="G1095" s="1288">
        <v>9.0105449794395595E-2</v>
      </c>
      <c r="H1095" s="1280">
        <v>0.85268907268667016</v>
      </c>
      <c r="I1095" s="1303">
        <v>6.267206850041579E-2</v>
      </c>
      <c r="J1095" s="1288">
        <v>0.13443243511510361</v>
      </c>
      <c r="K1095" s="1280">
        <v>1.272165764655429</v>
      </c>
      <c r="L1095" s="1237">
        <v>0.17425713065512616</v>
      </c>
    </row>
    <row r="1096" spans="1:12" s="326" customFormat="1" ht="15.5" x14ac:dyDescent="0.35">
      <c r="A1096" s="328" t="s">
        <v>2060</v>
      </c>
      <c r="B1096" s="1291">
        <v>0.11830071142091324</v>
      </c>
      <c r="C1096" s="1257">
        <v>0.26851463047053764</v>
      </c>
      <c r="D1096" s="1257">
        <v>0.13144523491212581</v>
      </c>
      <c r="E1096" s="1280">
        <v>0.88377203693167794</v>
      </c>
      <c r="F1096" s="1303">
        <v>5.7575674898663387E-2</v>
      </c>
      <c r="G1096" s="1288">
        <v>8.8630416627743597E-2</v>
      </c>
      <c r="H1096" s="1280">
        <v>0.83873048676401474</v>
      </c>
      <c r="I1096" s="1303">
        <v>6.364968547383662E-2</v>
      </c>
      <c r="J1096" s="1288">
        <v>0.13333691144458251</v>
      </c>
      <c r="K1096" s="1280">
        <v>1.2617985663910125</v>
      </c>
      <c r="L1096" s="1237">
        <v>0.17425713065512616</v>
      </c>
    </row>
    <row r="1097" spans="1:12" s="326" customFormat="1" ht="15.5" x14ac:dyDescent="0.35">
      <c r="A1097" s="328" t="s">
        <v>2061</v>
      </c>
      <c r="B1097" s="1291">
        <v>0.11830071142091324</v>
      </c>
      <c r="C1097" s="1257">
        <v>0.26851463047053764</v>
      </c>
      <c r="D1097" s="1257">
        <v>0.13144523491212581</v>
      </c>
      <c r="E1097" s="1280">
        <v>0.88377203693167794</v>
      </c>
      <c r="F1097" s="1303">
        <v>5.7171020582038545E-2</v>
      </c>
      <c r="G1097" s="1288">
        <v>8.4639272161775816E-2</v>
      </c>
      <c r="H1097" s="1280">
        <v>0.80096134758974624</v>
      </c>
      <c r="I1097" s="1303">
        <v>6.3714103061772359E-2</v>
      </c>
      <c r="J1097" s="1288">
        <v>0.13376619140259077</v>
      </c>
      <c r="K1097" s="1280">
        <v>1.2658609436406936</v>
      </c>
      <c r="L1097" s="1237">
        <v>0.17425713065512616</v>
      </c>
    </row>
    <row r="1098" spans="1:12" s="326" customFormat="1" ht="15.5" x14ac:dyDescent="0.35">
      <c r="A1098" s="328" t="s">
        <v>2062</v>
      </c>
      <c r="B1098" s="1291">
        <v>0.11830071142091324</v>
      </c>
      <c r="C1098" s="1257">
        <v>0.26851463047053764</v>
      </c>
      <c r="D1098" s="1257">
        <v>0.13144523491212581</v>
      </c>
      <c r="E1098" s="1280">
        <v>0.88377203693167794</v>
      </c>
      <c r="F1098" s="1303">
        <v>5.7757497375689019E-2</v>
      </c>
      <c r="G1098" s="1288">
        <v>7.9940290865029268E-2</v>
      </c>
      <c r="H1098" s="1280">
        <v>0.75649378193597538</v>
      </c>
      <c r="I1098" s="1303">
        <v>6.3895814191491498E-2</v>
      </c>
      <c r="J1098" s="1288">
        <v>0.13293624440997825</v>
      </c>
      <c r="K1098" s="1280">
        <v>1.258006959967956</v>
      </c>
      <c r="L1098" s="1237">
        <v>0.17425713065512616</v>
      </c>
    </row>
    <row r="1099" spans="1:12" s="326" customFormat="1" ht="15.5" x14ac:dyDescent="0.35">
      <c r="A1099" s="328" t="s">
        <v>2063</v>
      </c>
      <c r="B1099" s="1291">
        <v>0.11830071142091324</v>
      </c>
      <c r="C1099" s="1257">
        <v>0.26851463047053764</v>
      </c>
      <c r="D1099" s="1257">
        <v>0.13144523491212581</v>
      </c>
      <c r="E1099" s="1280">
        <v>0.88377203693167794</v>
      </c>
      <c r="F1099" s="1303">
        <v>5.6180877456945749E-2</v>
      </c>
      <c r="G1099" s="1288">
        <v>7.2687861781044319E-2</v>
      </c>
      <c r="H1099" s="1280">
        <v>0.68786233906032379</v>
      </c>
      <c r="I1099" s="1303">
        <v>6.3429881091020685E-2</v>
      </c>
      <c r="J1099" s="1288">
        <v>0.1326028312170178</v>
      </c>
      <c r="K1099" s="1280">
        <v>1.2548517924728082</v>
      </c>
      <c r="L1099" s="1237">
        <v>0.17425713065512616</v>
      </c>
    </row>
    <row r="1100" spans="1:12" s="326" customFormat="1" ht="15.5" x14ac:dyDescent="0.35">
      <c r="A1100" s="328" t="s">
        <v>2064</v>
      </c>
      <c r="B1100" s="1291">
        <v>0.11830071142091324</v>
      </c>
      <c r="C1100" s="1257">
        <v>0.26851463047053764</v>
      </c>
      <c r="D1100" s="1257">
        <v>0.13144523491212581</v>
      </c>
      <c r="E1100" s="1280">
        <v>0.88377203693167794</v>
      </c>
      <c r="F1100" s="1303">
        <v>5.7408963217100602E-2</v>
      </c>
      <c r="G1100" s="1288">
        <v>7.712792066423263E-2</v>
      </c>
      <c r="H1100" s="1280">
        <v>0.72987966099167212</v>
      </c>
      <c r="I1100" s="1303">
        <v>6.3637626070080722E-2</v>
      </c>
      <c r="J1100" s="1288">
        <v>0.13198612567867499</v>
      </c>
      <c r="K1100" s="1280">
        <v>1.2490157628562846</v>
      </c>
      <c r="L1100" s="1237">
        <v>0.17425713065512616</v>
      </c>
    </row>
    <row r="1101" spans="1:12" s="326" customFormat="1" ht="15.5" x14ac:dyDescent="0.35">
      <c r="A1101" s="328" t="s">
        <v>2065</v>
      </c>
      <c r="B1101" s="1291">
        <v>0.11830071142091324</v>
      </c>
      <c r="C1101" s="1257">
        <v>0.26851463047053764</v>
      </c>
      <c r="D1101" s="1257">
        <v>0.13144523491212581</v>
      </c>
      <c r="E1101" s="1280">
        <v>0.88377203693167794</v>
      </c>
      <c r="F1101" s="1303">
        <v>5.7624593618857044E-2</v>
      </c>
      <c r="G1101" s="1288">
        <v>7.4760944209462499E-2</v>
      </c>
      <c r="H1101" s="1280">
        <v>0.70748040586454586</v>
      </c>
      <c r="I1101" s="1303">
        <v>6.3791586964456443E-2</v>
      </c>
      <c r="J1101" s="1288">
        <v>0.13089633997085812</v>
      </c>
      <c r="K1101" s="1280">
        <v>1.2387028642830471</v>
      </c>
      <c r="L1101" s="1237">
        <v>0.17425713065512616</v>
      </c>
    </row>
    <row r="1102" spans="1:12" s="326" customFormat="1" ht="15.5" x14ac:dyDescent="0.35">
      <c r="A1102" s="328" t="s">
        <v>2066</v>
      </c>
      <c r="B1102" s="1291">
        <v>0.11830071142091324</v>
      </c>
      <c r="C1102" s="1257">
        <v>0.26851463047053764</v>
      </c>
      <c r="D1102" s="1257">
        <v>0.13144523491212581</v>
      </c>
      <c r="E1102" s="1280">
        <v>0.88377203693167794</v>
      </c>
      <c r="F1102" s="1303">
        <v>5.7777646246475779E-2</v>
      </c>
      <c r="G1102" s="1288">
        <v>7.4229368193352588E-2</v>
      </c>
      <c r="H1102" s="1280">
        <v>0.70244997694738809</v>
      </c>
      <c r="I1102" s="1303">
        <v>6.3990410664224576E-2</v>
      </c>
      <c r="J1102" s="1288">
        <v>0.12911280712757298</v>
      </c>
      <c r="K1102" s="1280">
        <v>1.2218248733322532</v>
      </c>
      <c r="L1102" s="1237">
        <v>0.17425713065512616</v>
      </c>
    </row>
    <row r="1103" spans="1:12" s="326" customFormat="1" ht="15.5" x14ac:dyDescent="0.35">
      <c r="A1103" s="328" t="s">
        <v>2067</v>
      </c>
      <c r="B1103" s="1291">
        <v>0.11830071142091324</v>
      </c>
      <c r="C1103" s="1257">
        <v>0.26851463047053764</v>
      </c>
      <c r="D1103" s="1257">
        <v>0.13144523491212581</v>
      </c>
      <c r="E1103" s="1280">
        <v>0.88377203693167794</v>
      </c>
      <c r="F1103" s="1303">
        <v>5.7705232879944564E-2</v>
      </c>
      <c r="G1103" s="1288">
        <v>7.031163954429083E-2</v>
      </c>
      <c r="H1103" s="1280">
        <v>0.66537558892281101</v>
      </c>
      <c r="I1103" s="1303">
        <v>6.4110390481724622E-2</v>
      </c>
      <c r="J1103" s="1288">
        <v>0.12969303939782464</v>
      </c>
      <c r="K1103" s="1280">
        <v>1.2273157478308847</v>
      </c>
      <c r="L1103" s="1237">
        <v>0.17425713065512616</v>
      </c>
    </row>
    <row r="1104" spans="1:12" s="326" customFormat="1" ht="15.5" x14ac:dyDescent="0.35">
      <c r="A1104" s="328" t="s">
        <v>2068</v>
      </c>
      <c r="B1104" s="1291">
        <v>0.11830071142091324</v>
      </c>
      <c r="C1104" s="1257">
        <v>0.26851463047053764</v>
      </c>
      <c r="D1104" s="1257">
        <v>0.13144523491212581</v>
      </c>
      <c r="E1104" s="1280">
        <v>0.88377203693167794</v>
      </c>
      <c r="F1104" s="1303">
        <v>5.7719927282654314E-2</v>
      </c>
      <c r="G1104" s="1288">
        <v>6.9775719228049954E-2</v>
      </c>
      <c r="H1104" s="1280">
        <v>0.66030404887132566</v>
      </c>
      <c r="I1104" s="1303">
        <v>6.3861238208337417E-2</v>
      </c>
      <c r="J1104" s="1288">
        <v>0.12965114451429549</v>
      </c>
      <c r="K1104" s="1280">
        <v>1.2269192866904284</v>
      </c>
      <c r="L1104" s="1237">
        <v>0.17425713065512616</v>
      </c>
    </row>
    <row r="1105" spans="1:12" s="326" customFormat="1" ht="15.5" x14ac:dyDescent="0.35">
      <c r="A1105" s="328" t="s">
        <v>2069</v>
      </c>
      <c r="B1105" s="1291">
        <v>0.11830071142091324</v>
      </c>
      <c r="C1105" s="1257">
        <v>0.26851463047053764</v>
      </c>
      <c r="D1105" s="1257">
        <v>0.13144523491212581</v>
      </c>
      <c r="E1105" s="1280">
        <v>0.88377203693167794</v>
      </c>
      <c r="F1105" s="1303">
        <v>5.7550868006116987E-2</v>
      </c>
      <c r="G1105" s="1288">
        <v>7.57085840815203E-2</v>
      </c>
      <c r="H1105" s="1280">
        <v>0.71644814494791631</v>
      </c>
      <c r="I1105" s="1303">
        <v>6.3397729487433496E-2</v>
      </c>
      <c r="J1105" s="1288">
        <v>0.13026066916330412</v>
      </c>
      <c r="K1105" s="1280">
        <v>1.2326873618615619</v>
      </c>
      <c r="L1105" s="1237">
        <v>0.17425713065512616</v>
      </c>
    </row>
    <row r="1106" spans="1:12" s="326" customFormat="1" ht="15.5" x14ac:dyDescent="0.35">
      <c r="A1106" s="328" t="s">
        <v>2070</v>
      </c>
      <c r="B1106" s="1291">
        <v>0.11830071142091324</v>
      </c>
      <c r="C1106" s="1257">
        <v>0.26851463047053764</v>
      </c>
      <c r="D1106" s="1257">
        <v>0.13144523491212581</v>
      </c>
      <c r="E1106" s="1280">
        <v>0.88377203693167794</v>
      </c>
      <c r="F1106" s="1303">
        <v>5.7685414435485423E-2</v>
      </c>
      <c r="G1106" s="1288">
        <v>7.4348993383807016E-2</v>
      </c>
      <c r="H1106" s="1280">
        <v>0.70358201827176203</v>
      </c>
      <c r="I1106" s="1303">
        <v>6.3777388734926305E-2</v>
      </c>
      <c r="J1106" s="1288">
        <v>0.13039452303166654</v>
      </c>
      <c r="K1106" s="1280">
        <v>1.2339540525129031</v>
      </c>
      <c r="L1106" s="1237">
        <v>0.17425713065512616</v>
      </c>
    </row>
    <row r="1107" spans="1:12" s="326" customFormat="1" ht="15.5" x14ac:dyDescent="0.35">
      <c r="A1107" s="328" t="s">
        <v>2071</v>
      </c>
      <c r="B1107" s="1291">
        <v>0.11830071142091324</v>
      </c>
      <c r="C1107" s="1257">
        <v>0.26851463047053764</v>
      </c>
      <c r="D1107" s="1257">
        <v>0.13144523491212581</v>
      </c>
      <c r="E1107" s="1280">
        <v>0.88377203693167794</v>
      </c>
      <c r="F1107" s="1303">
        <v>5.7474953964502626E-2</v>
      </c>
      <c r="G1107" s="1288">
        <v>7.2992049547566176E-2</v>
      </c>
      <c r="H1107" s="1280">
        <v>0.69074093946851212</v>
      </c>
      <c r="I1107" s="1303">
        <v>6.3723768952635262E-2</v>
      </c>
      <c r="J1107" s="1288">
        <v>0.13025042499388631</v>
      </c>
      <c r="K1107" s="1280">
        <v>1.2325904188759682</v>
      </c>
      <c r="L1107" s="1237">
        <v>0.17425713065512616</v>
      </c>
    </row>
    <row r="1108" spans="1:12" s="326" customFormat="1" ht="15.5" x14ac:dyDescent="0.35">
      <c r="A1108" s="328" t="s">
        <v>2072</v>
      </c>
      <c r="B1108" s="1291">
        <v>0.11830071142091324</v>
      </c>
      <c r="C1108" s="1257">
        <v>0.26851463047053764</v>
      </c>
      <c r="D1108" s="1257">
        <v>0.13144523491212581</v>
      </c>
      <c r="E1108" s="1280">
        <v>0.88377203693167794</v>
      </c>
      <c r="F1108" s="1303">
        <v>5.7284258177191641E-2</v>
      </c>
      <c r="G1108" s="1288">
        <v>7.4012463269974349E-2</v>
      </c>
      <c r="H1108" s="1280">
        <v>0.70039735462100727</v>
      </c>
      <c r="I1108" s="1303">
        <v>6.3331328211598856E-2</v>
      </c>
      <c r="J1108" s="1288">
        <v>0.12952826694223077</v>
      </c>
      <c r="K1108" s="1280">
        <v>1.2257564673136103</v>
      </c>
      <c r="L1108" s="1237">
        <v>0.17425713065512616</v>
      </c>
    </row>
    <row r="1109" spans="1:12" s="326" customFormat="1" ht="15.5" x14ac:dyDescent="0.35">
      <c r="A1109" s="328" t="s">
        <v>2073</v>
      </c>
      <c r="B1109" s="1291">
        <v>0.11830071142091324</v>
      </c>
      <c r="C1109" s="1257">
        <v>0.26851463047053764</v>
      </c>
      <c r="D1109" s="1257">
        <v>0.13144523491212581</v>
      </c>
      <c r="E1109" s="1280">
        <v>0.88377203693167794</v>
      </c>
      <c r="F1109" s="1303">
        <v>4.9154239957815579E-2</v>
      </c>
      <c r="G1109" s="1288">
        <v>7.3432780872112205E-2</v>
      </c>
      <c r="H1109" s="1280">
        <v>0.69491168369417944</v>
      </c>
      <c r="I1109" s="1303">
        <v>6.9346668902497785E-2</v>
      </c>
      <c r="J1109" s="1288">
        <v>0.1285520281291386</v>
      </c>
      <c r="K1109" s="1280">
        <v>1.2165180897220689</v>
      </c>
      <c r="L1109" s="1237">
        <v>0.17425713065512616</v>
      </c>
    </row>
    <row r="1110" spans="1:12" s="326" customFormat="1" ht="15.5" x14ac:dyDescent="0.35">
      <c r="A1110" s="328" t="s">
        <v>2074</v>
      </c>
      <c r="B1110" s="1291">
        <v>0.11830071142091324</v>
      </c>
      <c r="C1110" s="1257">
        <v>0.26851463047053764</v>
      </c>
      <c r="D1110" s="1257">
        <v>0.13144523491212581</v>
      </c>
      <c r="E1110" s="1280">
        <v>0.88377203693167794</v>
      </c>
      <c r="F1110" s="1303">
        <v>4.9318431703009355E-2</v>
      </c>
      <c r="G1110" s="1288">
        <v>7.1551416938522377E-2</v>
      </c>
      <c r="H1110" s="1280">
        <v>0.6771078941167521</v>
      </c>
      <c r="I1110" s="1303">
        <v>6.917260771833493E-2</v>
      </c>
      <c r="J1110" s="1288">
        <v>0.12907505266482872</v>
      </c>
      <c r="K1110" s="1280">
        <v>1.2214675939679009</v>
      </c>
      <c r="L1110" s="1237">
        <v>0.17425713065512616</v>
      </c>
    </row>
    <row r="1111" spans="1:12" s="326" customFormat="1" ht="15.5" x14ac:dyDescent="0.35">
      <c r="A1111" s="328" t="s">
        <v>2075</v>
      </c>
      <c r="B1111" s="1291">
        <v>0.11830071142091324</v>
      </c>
      <c r="C1111" s="1257">
        <v>0.26851463047053764</v>
      </c>
      <c r="D1111" s="1257">
        <v>0.13144523491212581</v>
      </c>
      <c r="E1111" s="1280">
        <v>0.88377203693167794</v>
      </c>
      <c r="F1111" s="1303">
        <v>4.9104227357659166E-2</v>
      </c>
      <c r="G1111" s="1288">
        <v>7.6906721542000747E-2</v>
      </c>
      <c r="H1111" s="1280">
        <v>0.72778640165113939</v>
      </c>
      <c r="I1111" s="1303">
        <v>6.8899082785937676E-2</v>
      </c>
      <c r="J1111" s="1288">
        <v>0.12931607203925999</v>
      </c>
      <c r="K1111" s="1280">
        <v>1.2237484170185853</v>
      </c>
      <c r="L1111" s="1237">
        <v>0.17425713065512616</v>
      </c>
    </row>
    <row r="1112" spans="1:12" s="326" customFormat="1" ht="15.5" x14ac:dyDescent="0.35">
      <c r="A1112" s="328" t="s">
        <v>2076</v>
      </c>
      <c r="B1112" s="1291">
        <v>0.11830071142091324</v>
      </c>
      <c r="C1112" s="1257">
        <v>0.26851463047053764</v>
      </c>
      <c r="D1112" s="1257">
        <v>0.13144523491212581</v>
      </c>
      <c r="E1112" s="1280">
        <v>0.88377203693167794</v>
      </c>
      <c r="F1112" s="1303">
        <v>5.8949803148869107E-2</v>
      </c>
      <c r="G1112" s="1288">
        <v>7.1134301674991879E-2</v>
      </c>
      <c r="H1112" s="1280">
        <v>0.67316063423319528</v>
      </c>
      <c r="I1112" s="1303">
        <v>7.470353886514712E-2</v>
      </c>
      <c r="J1112" s="1288">
        <v>0.13019132075264062</v>
      </c>
      <c r="K1112" s="1280">
        <v>1.2320311015341798</v>
      </c>
      <c r="L1112" s="1237">
        <v>0.17425713065512616</v>
      </c>
    </row>
    <row r="1113" spans="1:12" s="326" customFormat="1" ht="15.5" x14ac:dyDescent="0.35">
      <c r="A1113" s="328" t="s">
        <v>2077</v>
      </c>
      <c r="B1113" s="1291">
        <v>0.11830071142091324</v>
      </c>
      <c r="C1113" s="1257">
        <v>0.26851463047053764</v>
      </c>
      <c r="D1113" s="1257">
        <v>0.13144523491212581</v>
      </c>
      <c r="E1113" s="1280">
        <v>0.88377203693167794</v>
      </c>
      <c r="F1113" s="1303">
        <v>5.9037384505408727E-2</v>
      </c>
      <c r="G1113" s="1288">
        <v>6.9303056977571151E-2</v>
      </c>
      <c r="H1113" s="1280">
        <v>0.65583113478039745</v>
      </c>
      <c r="I1113" s="1303">
        <v>7.5454933085636319E-2</v>
      </c>
      <c r="J1113" s="1288">
        <v>0.11550806422620193</v>
      </c>
      <c r="K1113" s="1280">
        <v>1.0930799901406021</v>
      </c>
      <c r="L1113" s="1237">
        <v>0.17425713065512616</v>
      </c>
    </row>
    <row r="1114" spans="1:12" s="326" customFormat="1" ht="15.5" x14ac:dyDescent="0.35">
      <c r="A1114" s="328" t="s">
        <v>2078</v>
      </c>
      <c r="B1114" s="1291">
        <v>0.11830071142091324</v>
      </c>
      <c r="C1114" s="1257">
        <v>0.26851463047053764</v>
      </c>
      <c r="D1114" s="1257">
        <v>0.13144523491212581</v>
      </c>
      <c r="E1114" s="1280">
        <v>0.88377203693167794</v>
      </c>
      <c r="F1114" s="1303">
        <v>5.8841858419180666E-2</v>
      </c>
      <c r="G1114" s="1288">
        <v>6.278902077055265E-2</v>
      </c>
      <c r="H1114" s="1280">
        <v>0.59418727743897981</v>
      </c>
      <c r="I1114" s="1303">
        <v>7.5253171894956547E-2</v>
      </c>
      <c r="J1114" s="1288">
        <v>9.9224831856034257E-2</v>
      </c>
      <c r="K1114" s="1280">
        <v>0.93898793087291244</v>
      </c>
      <c r="L1114" s="1237">
        <v>0.17425713065512616</v>
      </c>
    </row>
    <row r="1115" spans="1:12" s="326" customFormat="1" ht="15.5" x14ac:dyDescent="0.35">
      <c r="A1115" s="328" t="s">
        <v>2079</v>
      </c>
      <c r="B1115" s="1291">
        <v>0.11830071142091324</v>
      </c>
      <c r="C1115" s="1257">
        <v>0.26851463047053764</v>
      </c>
      <c r="D1115" s="1257">
        <v>0.13144523491212581</v>
      </c>
      <c r="E1115" s="1280">
        <v>0.88377203693167794</v>
      </c>
      <c r="F1115" s="1303">
        <v>6.5117496236107936E-2</v>
      </c>
      <c r="G1115" s="1288">
        <v>5.8221868414090536E-2</v>
      </c>
      <c r="H1115" s="1280">
        <v>0.55096724006569509</v>
      </c>
      <c r="I1115" s="1303">
        <v>8.0772999871334905E-2</v>
      </c>
      <c r="J1115" s="1288">
        <v>9.9217698320165665E-2</v>
      </c>
      <c r="K1115" s="1280">
        <v>0.93892042454450886</v>
      </c>
      <c r="L1115" s="1237">
        <v>0.17425713065512616</v>
      </c>
    </row>
    <row r="1116" spans="1:12" s="326" customFormat="1" ht="15.5" x14ac:dyDescent="0.35">
      <c r="A1116" s="328" t="s">
        <v>2080</v>
      </c>
      <c r="B1116" s="1291">
        <v>0.11830071142091324</v>
      </c>
      <c r="C1116" s="1257">
        <v>0.26851463047053764</v>
      </c>
      <c r="D1116" s="1257">
        <v>0.13144523491212581</v>
      </c>
      <c r="E1116" s="1280">
        <v>0.88377203693167794</v>
      </c>
      <c r="F1116" s="1303">
        <v>6.6996657315074065E-2</v>
      </c>
      <c r="G1116" s="1288">
        <v>5.861150582921288E-2</v>
      </c>
      <c r="H1116" s="1280">
        <v>0.55465447060438955</v>
      </c>
      <c r="I1116" s="1303">
        <v>8.0469586613636845E-2</v>
      </c>
      <c r="J1116" s="1288">
        <v>0.10090198853757455</v>
      </c>
      <c r="K1116" s="1280">
        <v>0.95485925917542969</v>
      </c>
      <c r="L1116" s="1330">
        <v>0.17425713065512616</v>
      </c>
    </row>
    <row r="1117" spans="1:12" s="326" customFormat="1" ht="15.5" x14ac:dyDescent="0.35">
      <c r="A1117" s="328" t="s">
        <v>2081</v>
      </c>
      <c r="B1117" s="1291">
        <v>0.11830071142091324</v>
      </c>
      <c r="C1117" s="1257">
        <v>0.26851463047053764</v>
      </c>
      <c r="D1117" s="1257">
        <v>0.13144523491212581</v>
      </c>
      <c r="E1117" s="1280">
        <v>0.88377203693167794</v>
      </c>
      <c r="F1117" s="1303">
        <v>6.0287470293096876E-2</v>
      </c>
      <c r="G1117" s="1288">
        <v>5.8909966851135413E-2</v>
      </c>
      <c r="H1117" s="1280">
        <v>0.55747887748096525</v>
      </c>
      <c r="I1117" s="1303">
        <v>8.0706533785565818E-2</v>
      </c>
      <c r="J1117" s="1288">
        <v>0.10082605686831585</v>
      </c>
      <c r="K1117" s="1280">
        <v>0.95414069992295958</v>
      </c>
      <c r="L1117" s="1330">
        <v>0.1734751746212552</v>
      </c>
    </row>
    <row r="1118" spans="1:12" s="326" customFormat="1" ht="15.5" x14ac:dyDescent="0.35">
      <c r="A1118" s="328" t="s">
        <v>2082</v>
      </c>
      <c r="B1118" s="1291">
        <v>0.11830071142091324</v>
      </c>
      <c r="C1118" s="1257">
        <v>0.26851463047053764</v>
      </c>
      <c r="D1118" s="1257">
        <v>0.13144523491212581</v>
      </c>
      <c r="E1118" s="1280">
        <v>0.88377203693167794</v>
      </c>
      <c r="F1118" s="1303">
        <v>6.5897155207689309E-2</v>
      </c>
      <c r="G1118" s="1288">
        <v>5.7755559441012058E-2</v>
      </c>
      <c r="H1118" s="1280">
        <v>0.54655444853369495</v>
      </c>
      <c r="I1118" s="1303">
        <v>8.0638654837918031E-2</v>
      </c>
      <c r="J1118" s="1288">
        <v>0.1012126711516103</v>
      </c>
      <c r="K1118" s="1280">
        <v>0.95779932185384142</v>
      </c>
      <c r="L1118" s="1330">
        <v>0.1637297399057574</v>
      </c>
    </row>
    <row r="1119" spans="1:12" s="326" customFormat="1" ht="15.5" x14ac:dyDescent="0.35">
      <c r="A1119" s="328" t="s">
        <v>2083</v>
      </c>
      <c r="B1119" s="1291">
        <v>0.11830071142091324</v>
      </c>
      <c r="C1119" s="1257">
        <v>0.26851463047053764</v>
      </c>
      <c r="D1119" s="1257">
        <v>0.13144523491212581</v>
      </c>
      <c r="E1119" s="1280">
        <v>0.88377203693167794</v>
      </c>
      <c r="F1119" s="1303">
        <v>6.0949979646356012E-2</v>
      </c>
      <c r="G1119" s="1288">
        <v>5.5620376011023598E-2</v>
      </c>
      <c r="H1119" s="1280">
        <v>0.52634870533961298</v>
      </c>
      <c r="I1119" s="1303">
        <v>7.8444784174902457E-2</v>
      </c>
      <c r="J1119" s="1288">
        <v>9.8677394401077312E-2</v>
      </c>
      <c r="K1119" s="1280">
        <v>0.93380740142784191</v>
      </c>
      <c r="L1119" s="1330">
        <v>0.19315510842394601</v>
      </c>
    </row>
    <row r="1120" spans="1:12" s="326" customFormat="1" ht="15.5" x14ac:dyDescent="0.35">
      <c r="A1120" s="328" t="s">
        <v>2084</v>
      </c>
      <c r="B1120" s="1291">
        <v>0.11830071142091324</v>
      </c>
      <c r="C1120" s="1257">
        <v>0.26851463047053764</v>
      </c>
      <c r="D1120" s="1257">
        <v>0.13144523491212581</v>
      </c>
      <c r="E1120" s="1280">
        <v>0.88377203693167794</v>
      </c>
      <c r="F1120" s="1303">
        <v>5.8540946410135172E-2</v>
      </c>
      <c r="G1120" s="1288">
        <v>5.5964485878932435E-2</v>
      </c>
      <c r="H1120" s="1280">
        <v>0.52960509798666211</v>
      </c>
      <c r="I1120" s="1303">
        <v>7.7967387991014034E-2</v>
      </c>
      <c r="J1120" s="1288">
        <v>9.9452271637547746E-2</v>
      </c>
      <c r="K1120" s="1280">
        <v>0.94114024704061727</v>
      </c>
      <c r="L1120" s="1330">
        <v>0.19315510842395214</v>
      </c>
    </row>
    <row r="1121" spans="1:12" s="326" customFormat="1" ht="15.5" x14ac:dyDescent="0.35">
      <c r="A1121" s="328" t="s">
        <v>2085</v>
      </c>
      <c r="B1121" s="1291">
        <v>0.11830071142091324</v>
      </c>
      <c r="C1121" s="1257">
        <v>0.26851463047053764</v>
      </c>
      <c r="D1121" s="1257">
        <v>0.13144523491212581</v>
      </c>
      <c r="E1121" s="1280">
        <v>0.88377203693167794</v>
      </c>
      <c r="F1121" s="1303">
        <v>6.0634366032525477E-2</v>
      </c>
      <c r="G1121" s="1288">
        <v>5.6180098391277467E-2</v>
      </c>
      <c r="H1121" s="1280">
        <v>0.53164548992333893</v>
      </c>
      <c r="I1121" s="1303">
        <v>7.5605557652667077E-2</v>
      </c>
      <c r="J1121" s="1288">
        <v>9.6747832019004956E-2</v>
      </c>
      <c r="K1121" s="1280">
        <v>0.91554749859161311</v>
      </c>
      <c r="L1121" s="1330">
        <v>0.19315510842392292</v>
      </c>
    </row>
    <row r="1122" spans="1:12" s="326" customFormat="1" ht="15.5" x14ac:dyDescent="0.35">
      <c r="A1122" s="328" t="s">
        <v>2086</v>
      </c>
      <c r="B1122" s="1291">
        <v>0.11830071142091324</v>
      </c>
      <c r="C1122" s="1257">
        <v>0.26851463047053764</v>
      </c>
      <c r="D1122" s="1257">
        <v>0.13144523491212581</v>
      </c>
      <c r="E1122" s="1280">
        <v>0.88377203693167794</v>
      </c>
      <c r="F1122" s="1303">
        <v>5.9482850104809512E-2</v>
      </c>
      <c r="G1122" s="1288">
        <v>5.5307554619905386E-2</v>
      </c>
      <c r="H1122" s="1280">
        <v>0.52338840291042821</v>
      </c>
      <c r="I1122" s="1303">
        <v>7.284952236627143E-2</v>
      </c>
      <c r="J1122" s="1288">
        <v>9.5359399402711043E-2</v>
      </c>
      <c r="K1122" s="1280">
        <v>0.90240843405359639</v>
      </c>
      <c r="L1122" s="1330">
        <v>0.19783855720134202</v>
      </c>
    </row>
    <row r="1123" spans="1:12" s="326" customFormat="1" ht="15.5" x14ac:dyDescent="0.35">
      <c r="A1123" s="328" t="s">
        <v>2087</v>
      </c>
      <c r="B1123" s="1291">
        <v>0.11830071142091324</v>
      </c>
      <c r="C1123" s="1257">
        <v>0.26851463047053764</v>
      </c>
      <c r="D1123" s="1257">
        <v>0.13144523491212581</v>
      </c>
      <c r="E1123" s="1280">
        <v>0.88377203693167794</v>
      </c>
      <c r="F1123" s="1303">
        <v>5.4515231881988806E-2</v>
      </c>
      <c r="G1123" s="1288">
        <v>5.4060009702439037E-2</v>
      </c>
      <c r="H1123" s="1280">
        <v>0.51158259181646348</v>
      </c>
      <c r="I1123" s="1303">
        <v>6.8333191065229462E-2</v>
      </c>
      <c r="J1123" s="1288">
        <v>9.0789116866556913E-2</v>
      </c>
      <c r="K1123" s="1280">
        <v>0.85915877505337312</v>
      </c>
      <c r="L1123" s="1330">
        <v>0.19783855720137442</v>
      </c>
    </row>
    <row r="1124" spans="1:12" s="326" customFormat="1" ht="15.5" x14ac:dyDescent="0.35">
      <c r="A1124" s="328" t="s">
        <v>2088</v>
      </c>
      <c r="B1124" s="1291">
        <v>0.11830071142091324</v>
      </c>
      <c r="C1124" s="1257">
        <v>0.26851463047053764</v>
      </c>
      <c r="D1124" s="1257">
        <v>0.13144523491212581</v>
      </c>
      <c r="E1124" s="1280">
        <v>0.88377203693167794</v>
      </c>
      <c r="F1124" s="1303">
        <v>5.7155391874013223E-2</v>
      </c>
      <c r="G1124" s="1288">
        <v>5.2126054685591706E-2</v>
      </c>
      <c r="H1124" s="1280">
        <v>0.49328112044379796</v>
      </c>
      <c r="I1124" s="1303">
        <v>6.8404444810757428E-2</v>
      </c>
      <c r="J1124" s="1288">
        <v>8.9920602863417298E-2</v>
      </c>
      <c r="K1124" s="1280">
        <v>0.85093982268542701</v>
      </c>
      <c r="L1124" s="1330">
        <v>0.19783855720118929</v>
      </c>
    </row>
    <row r="1125" spans="1:12" s="326" customFormat="1" ht="15.5" x14ac:dyDescent="0.35">
      <c r="A1125" s="328" t="s">
        <v>2089</v>
      </c>
      <c r="B1125" s="1287">
        <v>0.11830071142091324</v>
      </c>
      <c r="C1125" s="1288">
        <v>0.26851463047053764</v>
      </c>
      <c r="D1125" s="1288">
        <v>0.25900058430698697</v>
      </c>
      <c r="E1125" s="1280">
        <v>0.88377203693167794</v>
      </c>
      <c r="F1125" s="1303">
        <v>5.4068440277126491E-2</v>
      </c>
      <c r="G1125" s="1288">
        <v>5.1999754656466453E-2</v>
      </c>
      <c r="H1125" s="1280">
        <v>0.49208591355053177</v>
      </c>
      <c r="I1125" s="1303">
        <v>6.4994165034627849E-2</v>
      </c>
      <c r="J1125" s="1288">
        <v>8.7274994240794102E-2</v>
      </c>
      <c r="K1125" s="1280">
        <v>0.82590380579339706</v>
      </c>
      <c r="L1125" s="1330">
        <v>0.19649716135220208</v>
      </c>
    </row>
    <row r="1126" spans="1:12" s="326" customFormat="1" ht="15.5" x14ac:dyDescent="0.35">
      <c r="A1126" s="328" t="s">
        <v>2090</v>
      </c>
      <c r="B1126" s="1287">
        <v>9.3414981312134299E-2</v>
      </c>
      <c r="C1126" s="1288">
        <v>0.23440760673774644</v>
      </c>
      <c r="D1126" s="1288">
        <v>0.2582936678585307</v>
      </c>
      <c r="E1126" s="1280">
        <v>0.69786180761348326</v>
      </c>
      <c r="F1126" s="1303">
        <v>5.2551739558923123E-2</v>
      </c>
      <c r="G1126" s="1288">
        <v>4.9433627262906975E-2</v>
      </c>
      <c r="H1126" s="1280">
        <v>0.46780204623059757</v>
      </c>
      <c r="I1126" s="1303">
        <v>6.3362359361205836E-2</v>
      </c>
      <c r="J1126" s="1288">
        <v>8.50687026506637E-2</v>
      </c>
      <c r="K1126" s="1280">
        <v>0.80502514934856018</v>
      </c>
      <c r="L1126" s="1330">
        <v>0.17661896092444426</v>
      </c>
    </row>
    <row r="1127" spans="1:12" s="326" customFormat="1" ht="15.5" x14ac:dyDescent="0.35">
      <c r="A1127" s="328" t="s">
        <v>2091</v>
      </c>
      <c r="B1127" s="1287">
        <v>9.8587949153307694E-2</v>
      </c>
      <c r="C1127" s="1288">
        <v>0.26578094415384734</v>
      </c>
      <c r="D1127" s="1288">
        <v>0.29376215510846743</v>
      </c>
      <c r="E1127" s="1280">
        <v>0.73650675125807141</v>
      </c>
      <c r="F1127" s="1303">
        <v>5.1177238245859277E-2</v>
      </c>
      <c r="G1127" s="1288">
        <v>4.7678752699705909E-2</v>
      </c>
      <c r="H1127" s="1280">
        <v>0.45119525532736404</v>
      </c>
      <c r="I1127" s="1303">
        <v>6.1795309553187502E-2</v>
      </c>
      <c r="J1127" s="1288">
        <v>8.2949933693776956E-2</v>
      </c>
      <c r="K1127" s="1280">
        <v>0.78497474017566871</v>
      </c>
      <c r="L1127" s="1330">
        <v>0.17563630945482997</v>
      </c>
    </row>
    <row r="1128" spans="1:12" s="326" customFormat="1" ht="15.5" x14ac:dyDescent="0.35">
      <c r="A1128" s="328" t="s">
        <v>2092</v>
      </c>
      <c r="B1128" s="1287">
        <v>0.1074253596936517</v>
      </c>
      <c r="C1128" s="1288">
        <v>0.26638075595693816</v>
      </c>
      <c r="D1128" s="1288">
        <v>0.23469722647058039</v>
      </c>
      <c r="E1128" s="1280">
        <v>0.8025271176669635</v>
      </c>
      <c r="F1128" s="1303">
        <v>4.9797074111663113E-2</v>
      </c>
      <c r="G1128" s="1288">
        <v>4.6036481013953995E-2</v>
      </c>
      <c r="H1128" s="1280">
        <v>0.43565405194822643</v>
      </c>
      <c r="I1128" s="1303">
        <v>6.0228039034019701E-2</v>
      </c>
      <c r="J1128" s="1288">
        <v>8.083442330697603E-2</v>
      </c>
      <c r="K1128" s="1280">
        <v>0.7649551676182218</v>
      </c>
      <c r="L1128" s="1330">
        <v>0.17475192313207505</v>
      </c>
    </row>
    <row r="1129" spans="1:12" s="326" customFormat="1" ht="15.5" x14ac:dyDescent="0.35">
      <c r="A1129" s="328" t="s">
        <v>2093</v>
      </c>
      <c r="B1129" s="1287">
        <v>0.10357212096044362</v>
      </c>
      <c r="C1129" s="1288">
        <v>0.13622469661075609</v>
      </c>
      <c r="D1129" s="1288">
        <v>0.2186488351649242</v>
      </c>
      <c r="E1129" s="1306">
        <v>1.8982986074024835</v>
      </c>
      <c r="F1129" s="1303">
        <v>4.9516619800529564E-2</v>
      </c>
      <c r="G1129" s="1288">
        <v>4.4434309018780552E-2</v>
      </c>
      <c r="H1129" s="1306">
        <v>0.42075779379182804</v>
      </c>
      <c r="I1129" s="1303">
        <v>6.0219485949894312E-2</v>
      </c>
      <c r="J1129" s="1288">
        <v>8.0800201403951361E-2</v>
      </c>
      <c r="K1129" s="1306">
        <v>0.59889296034459027</v>
      </c>
      <c r="L1129" s="1330">
        <v>0.16079160391198025</v>
      </c>
    </row>
    <row r="1130" spans="1:12" s="326" customFormat="1" ht="15.5" x14ac:dyDescent="0.35">
      <c r="A1130" s="328" t="s">
        <v>2094</v>
      </c>
      <c r="B1130" s="1287">
        <v>0.11379153722627251</v>
      </c>
      <c r="C1130" s="1288">
        <v>0.1393376170328067</v>
      </c>
      <c r="D1130" s="1288">
        <v>0.21275244645812127</v>
      </c>
      <c r="E1130" s="1306">
        <v>1.9530567921586111</v>
      </c>
      <c r="F1130" s="1303">
        <v>4.9260855731524826E-2</v>
      </c>
      <c r="G1130" s="1288">
        <v>4.2926572366890035E-2</v>
      </c>
      <c r="H1130" s="1306">
        <v>0.42843097659583196</v>
      </c>
      <c r="I1130" s="1303">
        <v>6.0209886242664934E-2</v>
      </c>
      <c r="J1130" s="1288">
        <v>8.0762938031461645E-2</v>
      </c>
      <c r="K1130" s="1306">
        <v>0.59893653872387675</v>
      </c>
      <c r="L1130" s="1330">
        <v>0.16012946203998107</v>
      </c>
    </row>
    <row r="1131" spans="1:12" s="326" customFormat="1" ht="15.5" x14ac:dyDescent="0.35">
      <c r="A1131" s="328" t="s">
        <v>2095</v>
      </c>
      <c r="B1131" s="1287">
        <v>0.10844615133208388</v>
      </c>
      <c r="C1131" s="1288">
        <v>0.14996962335451211</v>
      </c>
      <c r="D1131" s="1288">
        <v>0.18773795312107144</v>
      </c>
      <c r="E1131" s="1306">
        <v>1.903784295066435</v>
      </c>
      <c r="F1131" s="1303">
        <v>4.9123317648890948E-2</v>
      </c>
      <c r="G1131" s="1288">
        <v>4.2439574388174355E-2</v>
      </c>
      <c r="H1131" s="1306">
        <v>0.44379197871347453</v>
      </c>
      <c r="I1131" s="1303">
        <v>6.0199859332734425E-2</v>
      </c>
      <c r="J1131" s="1288">
        <v>8.0723570544369641E-2</v>
      </c>
      <c r="K1131" s="1306">
        <v>0.59899376327351439</v>
      </c>
      <c r="L1131" s="1330">
        <v>0.15953353435528353</v>
      </c>
    </row>
    <row r="1132" spans="1:12" s="326" customFormat="1" ht="15.5" x14ac:dyDescent="0.35">
      <c r="A1132" s="328" t="s">
        <v>2096</v>
      </c>
      <c r="B1132" s="1287">
        <v>0.11619329120118292</v>
      </c>
      <c r="C1132" s="1288">
        <v>9.7636120063579759E-2</v>
      </c>
      <c r="D1132" s="1288">
        <v>0.22208810541732432</v>
      </c>
      <c r="E1132" s="1306">
        <v>1.9140961818347497</v>
      </c>
      <c r="F1132" s="1303">
        <v>4.8948764265682704E-2</v>
      </c>
      <c r="G1132" s="1288">
        <v>4.2250205461326927E-2</v>
      </c>
      <c r="H1132" s="1306">
        <v>0.45930582270239256</v>
      </c>
      <c r="I1132" s="1303">
        <v>6.0189716427147225E-2</v>
      </c>
      <c r="J1132" s="1288">
        <v>8.0682943775714264E-2</v>
      </c>
      <c r="K1132" s="1306">
        <v>0.59908321917768059</v>
      </c>
      <c r="L1132" s="1330">
        <v>0.15378787275788802</v>
      </c>
    </row>
    <row r="1133" spans="1:12" s="326" customFormat="1" ht="15.5" x14ac:dyDescent="0.35">
      <c r="A1133" s="328" t="s">
        <v>2097</v>
      </c>
      <c r="B1133" s="1287">
        <v>0.11349115391980297</v>
      </c>
      <c r="C1133" s="1288">
        <v>0.14638283093706583</v>
      </c>
      <c r="D1133" s="1288">
        <v>0.2215222968216051</v>
      </c>
      <c r="E1133" s="1306">
        <v>1.9033773886895695</v>
      </c>
      <c r="F1133" s="1303">
        <v>4.8765642825924806E-2</v>
      </c>
      <c r="G1133" s="1288">
        <v>4.20498105954542E-2</v>
      </c>
      <c r="H1133" s="1306">
        <v>0.47068227465126405</v>
      </c>
      <c r="I1133" s="1303">
        <v>6.0179044163506008E-2</v>
      </c>
      <c r="J1133" s="1288">
        <v>8.0641164271711585E-2</v>
      </c>
      <c r="K1133" s="1306">
        <v>0.59916769207056864</v>
      </c>
      <c r="L1133" s="1330">
        <v>0.15378787275788128</v>
      </c>
    </row>
    <row r="1134" spans="1:12" s="326" customFormat="1" ht="15.5" x14ac:dyDescent="0.35">
      <c r="A1134" s="328" t="s">
        <v>2098</v>
      </c>
      <c r="B1134" s="1287">
        <v>0.10999192690320124</v>
      </c>
      <c r="C1134" s="1288">
        <v>0.1391669780509483</v>
      </c>
      <c r="D1134" s="1288">
        <v>0.24473747917570576</v>
      </c>
      <c r="E1134" s="1306">
        <v>1.9403772503032353</v>
      </c>
      <c r="F1134" s="1303">
        <v>4.8545501032832603E-2</v>
      </c>
      <c r="G1134" s="1288">
        <v>4.183168714580407E-2</v>
      </c>
      <c r="H1134" s="1306">
        <v>0.47911902021312691</v>
      </c>
      <c r="I1134" s="1303">
        <v>6.0167509341955604E-2</v>
      </c>
      <c r="J1134" s="1288">
        <v>8.0599323022722852E-2</v>
      </c>
      <c r="K1134" s="1306">
        <v>0.59928717183145142</v>
      </c>
      <c r="L1134" s="1330">
        <v>0.15378787275788647</v>
      </c>
    </row>
    <row r="1135" spans="1:12" s="326" customFormat="1" ht="15.5" x14ac:dyDescent="0.35">
      <c r="A1135" s="328" t="s">
        <v>2099</v>
      </c>
      <c r="B1135" s="1287">
        <v>6.4670367970624379E-2</v>
      </c>
      <c r="C1135" s="1288">
        <v>9.6705382425782443E-2</v>
      </c>
      <c r="D1135" s="1288">
        <v>9.6780701898999205E-2</v>
      </c>
      <c r="E1135" s="1306">
        <v>1.922453728413962</v>
      </c>
      <c r="F1135" s="1303">
        <v>4.8342666648148687E-2</v>
      </c>
      <c r="G1135" s="1288">
        <v>4.165951179967909E-2</v>
      </c>
      <c r="H1135" s="1306">
        <v>0.4859787640849666</v>
      </c>
      <c r="I1135" s="1303">
        <v>6.0154842544542529E-2</v>
      </c>
      <c r="J1135" s="1288">
        <v>8.0558909949737925E-2</v>
      </c>
      <c r="K1135" s="1306">
        <v>0.59943224939983031</v>
      </c>
      <c r="L1135" s="1330">
        <v>0.15378787275789094</v>
      </c>
    </row>
    <row r="1136" spans="1:12" s="326" customFormat="1" ht="15.5" x14ac:dyDescent="0.35">
      <c r="A1136" s="328" t="s">
        <v>2100</v>
      </c>
      <c r="B1136" s="1287">
        <v>6.5574775904484517E-2</v>
      </c>
      <c r="C1136" s="1288">
        <v>8.5599734219806323E-2</v>
      </c>
      <c r="D1136" s="1288">
        <v>9.5876432459919544E-2</v>
      </c>
      <c r="E1136" s="1306">
        <v>1.9613443236174604</v>
      </c>
      <c r="F1136" s="1303">
        <v>4.8125631679228988E-2</v>
      </c>
      <c r="G1136" s="1288">
        <v>4.1471401507269655E-2</v>
      </c>
      <c r="H1136" s="1306">
        <v>0.49428655291294854</v>
      </c>
      <c r="I1136" s="1303">
        <v>6.014061293619035E-2</v>
      </c>
      <c r="J1136" s="1288">
        <v>8.0519935295022799E-2</v>
      </c>
      <c r="K1136" s="1306">
        <v>0.59958742540836951</v>
      </c>
      <c r="L1136" s="1330">
        <v>0.15378787275788511</v>
      </c>
    </row>
    <row r="1137" spans="1:12" s="326" customFormat="1" ht="15.5" x14ac:dyDescent="0.35">
      <c r="A1137" s="328" t="s">
        <v>2101</v>
      </c>
      <c r="B1137" s="1287">
        <v>6.4735510931571649E-2</v>
      </c>
      <c r="C1137" s="1288">
        <v>9.3252086985868121E-2</v>
      </c>
      <c r="D1137" s="1288">
        <v>8.6874935047390106E-2</v>
      </c>
      <c r="E1137" s="1306">
        <v>1.8016047610389458</v>
      </c>
      <c r="F1137" s="1303">
        <v>4.7846574492088477E-2</v>
      </c>
      <c r="G1137" s="1288">
        <v>4.1269086617282381E-2</v>
      </c>
      <c r="H1137" s="1306">
        <v>0.50090047602918575</v>
      </c>
      <c r="I1137" s="1303">
        <v>6.0123697074098842E-2</v>
      </c>
      <c r="J1137" s="1288">
        <v>8.0477200150387937E-2</v>
      </c>
      <c r="K1137" s="1306">
        <v>0.59974393106473012</v>
      </c>
      <c r="L1137" s="1330">
        <v>0.15378787275788847</v>
      </c>
    </row>
    <row r="1138" spans="1:12" s="326" customFormat="1" ht="15.5" x14ac:dyDescent="0.35">
      <c r="A1138" s="328" t="s">
        <v>2102</v>
      </c>
      <c r="B1138" s="1287">
        <v>6.4815382071033018E-2</v>
      </c>
      <c r="C1138" s="1288">
        <v>8.526376753351321E-2</v>
      </c>
      <c r="D1138" s="1288">
        <v>8.4989008668810456E-2</v>
      </c>
      <c r="E1138" s="1306">
        <v>1.8717882163426898</v>
      </c>
      <c r="F1138" s="1303">
        <v>4.754319591307702E-2</v>
      </c>
      <c r="G1138" s="1288">
        <v>4.1050695314323593E-2</v>
      </c>
      <c r="H1138" s="1306">
        <v>0.50638417823231152</v>
      </c>
      <c r="I1138" s="1303">
        <v>6.0102213901475715E-2</v>
      </c>
      <c r="J1138" s="1288">
        <v>8.0416088087020138E-2</v>
      </c>
      <c r="K1138" s="1306">
        <v>0.59985189100868774</v>
      </c>
      <c r="L1138" s="1330">
        <v>0.15378787275788577</v>
      </c>
    </row>
    <row r="1139" spans="1:12" s="326" customFormat="1" ht="15.5" x14ac:dyDescent="0.35">
      <c r="A1139" s="328" t="s">
        <v>2103</v>
      </c>
      <c r="B1139" s="1287">
        <v>6.4764370128812018E-2</v>
      </c>
      <c r="C1139" s="1288">
        <v>9.6001625898470125E-2</v>
      </c>
      <c r="D1139" s="1288">
        <v>8.3700241107985782E-2</v>
      </c>
      <c r="E1139" s="1306">
        <v>1.8163768095128137</v>
      </c>
      <c r="F1139" s="1303">
        <v>4.6743286998303768E-2</v>
      </c>
      <c r="G1139" s="1288">
        <v>4.0594968925484684E-2</v>
      </c>
      <c r="H1139" s="1306">
        <v>0.50264241624759354</v>
      </c>
      <c r="I1139" s="1303">
        <v>6.0070741458043628E-2</v>
      </c>
      <c r="J1139" s="1288">
        <v>8.030093105570979E-2</v>
      </c>
      <c r="K1139" s="1306">
        <v>0.5996012965804326</v>
      </c>
      <c r="L1139" s="1330">
        <v>0.1537885270794106</v>
      </c>
    </row>
    <row r="1140" spans="1:12" s="326" customFormat="1" ht="15.5" x14ac:dyDescent="0.35">
      <c r="A1140" s="328" t="s">
        <v>2104</v>
      </c>
      <c r="B1140" s="1291">
        <v>6.4764370128812018E-2</v>
      </c>
      <c r="C1140" s="1257">
        <v>9.6001625898470125E-2</v>
      </c>
      <c r="D1140" s="1257">
        <v>8.3700241107985782E-2</v>
      </c>
      <c r="E1140" s="1280">
        <v>1.8163768095128137</v>
      </c>
      <c r="F1140" s="1271">
        <v>4.6743286998303768E-2</v>
      </c>
      <c r="G1140" s="1257">
        <v>4.0594968925484684E-2</v>
      </c>
      <c r="H1140" s="1280">
        <v>0.50264241624759354</v>
      </c>
      <c r="I1140" s="1271">
        <v>6.0070741458043628E-2</v>
      </c>
      <c r="J1140" s="1257">
        <v>8.030093105570979E-2</v>
      </c>
      <c r="K1140" s="1280">
        <v>0.5996012965804326</v>
      </c>
      <c r="L1140" s="1330">
        <v>0.16102304154203798</v>
      </c>
    </row>
    <row r="1141" spans="1:12" s="326" customFormat="1" ht="15.5" x14ac:dyDescent="0.35">
      <c r="A1141" s="328" t="s">
        <v>2105</v>
      </c>
      <c r="B1141" s="1291">
        <v>9.3414981312134299E-2</v>
      </c>
      <c r="C1141" s="1257">
        <v>0.2344136825289527</v>
      </c>
      <c r="D1141" s="1257">
        <v>0.10379442368014921</v>
      </c>
      <c r="E1141" s="1280">
        <v>0.69786180761348326</v>
      </c>
      <c r="F1141" s="1271">
        <v>5.7586729232471913E-2</v>
      </c>
      <c r="G1141" s="1257">
        <v>8.8700890894873083E-2</v>
      </c>
      <c r="H1141" s="1280">
        <v>0.83939740133604157</v>
      </c>
      <c r="I1141" s="1271">
        <v>6.3678915023422378E-2</v>
      </c>
      <c r="J1141" s="1257">
        <v>0.13345629644617793</v>
      </c>
      <c r="K1141" s="1280">
        <v>1.2629283347516986</v>
      </c>
      <c r="L1141" s="1237">
        <v>0.17425729593111258</v>
      </c>
    </row>
    <row r="1142" spans="1:12" s="326" customFormat="1" ht="15.5" x14ac:dyDescent="0.35">
      <c r="A1142" s="328" t="s">
        <v>2106</v>
      </c>
      <c r="B1142" s="1291">
        <v>9.3414981312134299E-2</v>
      </c>
      <c r="C1142" s="1257">
        <v>0.2344136825289527</v>
      </c>
      <c r="D1142" s="1257">
        <v>0.10379442368014921</v>
      </c>
      <c r="E1142" s="1280">
        <v>0.69786180761348326</v>
      </c>
      <c r="F1142" s="1271">
        <v>5.7586729232471913E-2</v>
      </c>
      <c r="G1142" s="1257">
        <v>8.8700890894873083E-2</v>
      </c>
      <c r="H1142" s="1280">
        <v>0.83939740133604157</v>
      </c>
      <c r="I1142" s="1271">
        <v>6.3678915023422378E-2</v>
      </c>
      <c r="J1142" s="1257">
        <v>0.13345629644617793</v>
      </c>
      <c r="K1142" s="1280">
        <v>1.2629283347516986</v>
      </c>
      <c r="L1142" s="1237">
        <v>0.17425729593111258</v>
      </c>
    </row>
    <row r="1143" spans="1:12" s="326" customFormat="1" ht="15.5" x14ac:dyDescent="0.35">
      <c r="A1143" s="328" t="s">
        <v>2107</v>
      </c>
      <c r="B1143" s="1291">
        <v>9.3414981312134299E-2</v>
      </c>
      <c r="C1143" s="1257">
        <v>0.2344136825289527</v>
      </c>
      <c r="D1143" s="1257">
        <v>0.10379442368014921</v>
      </c>
      <c r="E1143" s="1280">
        <v>0.69786180761348326</v>
      </c>
      <c r="F1143" s="1271">
        <v>5.7586729232471913E-2</v>
      </c>
      <c r="G1143" s="1257">
        <v>8.8700890894873083E-2</v>
      </c>
      <c r="H1143" s="1280">
        <v>0.83939740133604157</v>
      </c>
      <c r="I1143" s="1271">
        <v>6.3678915023422378E-2</v>
      </c>
      <c r="J1143" s="1257">
        <v>0.13345629644617793</v>
      </c>
      <c r="K1143" s="1280">
        <v>1.2629283347516986</v>
      </c>
      <c r="L1143" s="1237">
        <v>0.17425729593111258</v>
      </c>
    </row>
    <row r="1144" spans="1:12" s="326" customFormat="1" ht="15.5" x14ac:dyDescent="0.35">
      <c r="A1144" s="328" t="s">
        <v>2108</v>
      </c>
      <c r="B1144" s="1291">
        <v>9.3414981312134299E-2</v>
      </c>
      <c r="C1144" s="1257">
        <v>0.2344136825289527</v>
      </c>
      <c r="D1144" s="1257">
        <v>0.10379442368014921</v>
      </c>
      <c r="E1144" s="1280">
        <v>0.69786180761348326</v>
      </c>
      <c r="F1144" s="1271">
        <v>5.7586729232471913E-2</v>
      </c>
      <c r="G1144" s="1257">
        <v>8.8700890894873083E-2</v>
      </c>
      <c r="H1144" s="1280">
        <v>0.83939740133604157</v>
      </c>
      <c r="I1144" s="1271">
        <v>6.3678915023422378E-2</v>
      </c>
      <c r="J1144" s="1257">
        <v>0.13345629644617793</v>
      </c>
      <c r="K1144" s="1280">
        <v>1.2629283347516986</v>
      </c>
      <c r="L1144" s="1237">
        <v>0.17425729593111258</v>
      </c>
    </row>
    <row r="1145" spans="1:12" s="326" customFormat="1" ht="15.5" x14ac:dyDescent="0.35">
      <c r="A1145" s="328" t="s">
        <v>2109</v>
      </c>
      <c r="B1145" s="1291">
        <v>9.3414981312134299E-2</v>
      </c>
      <c r="C1145" s="1257">
        <v>0.2344136825289527</v>
      </c>
      <c r="D1145" s="1257">
        <v>0.10379442368014921</v>
      </c>
      <c r="E1145" s="1280">
        <v>0.69786180761348326</v>
      </c>
      <c r="F1145" s="1271">
        <v>5.7586729232471913E-2</v>
      </c>
      <c r="G1145" s="1257">
        <v>8.8700890894873083E-2</v>
      </c>
      <c r="H1145" s="1280">
        <v>0.83939740133604157</v>
      </c>
      <c r="I1145" s="1271">
        <v>6.3678915023422378E-2</v>
      </c>
      <c r="J1145" s="1257">
        <v>0.13345629644617793</v>
      </c>
      <c r="K1145" s="1280">
        <v>1.2629283347516986</v>
      </c>
      <c r="L1145" s="1237">
        <v>0.17425729593111258</v>
      </c>
    </row>
    <row r="1146" spans="1:12" s="326" customFormat="1" ht="15.5" x14ac:dyDescent="0.35">
      <c r="A1146" s="328" t="s">
        <v>2110</v>
      </c>
      <c r="B1146" s="1291">
        <v>9.3414981312134299E-2</v>
      </c>
      <c r="C1146" s="1257">
        <v>0.2344136825289527</v>
      </c>
      <c r="D1146" s="1257">
        <v>0.10379442368014921</v>
      </c>
      <c r="E1146" s="1280">
        <v>0.69786180761348326</v>
      </c>
      <c r="F1146" s="1271">
        <v>5.7586729232471913E-2</v>
      </c>
      <c r="G1146" s="1257">
        <v>8.8700890894873083E-2</v>
      </c>
      <c r="H1146" s="1280">
        <v>0.83939740133604157</v>
      </c>
      <c r="I1146" s="1271">
        <v>6.3678915023422378E-2</v>
      </c>
      <c r="J1146" s="1257">
        <v>0.13345629644617793</v>
      </c>
      <c r="K1146" s="1280">
        <v>1.2629283347516986</v>
      </c>
      <c r="L1146" s="1237">
        <v>0.17425729593111258</v>
      </c>
    </row>
    <row r="1147" spans="1:12" s="326" customFormat="1" ht="15.5" x14ac:dyDescent="0.35">
      <c r="A1147" s="328" t="s">
        <v>2111</v>
      </c>
      <c r="B1147" s="1291">
        <v>9.3414981312134299E-2</v>
      </c>
      <c r="C1147" s="1257">
        <v>0.2344136825289527</v>
      </c>
      <c r="D1147" s="1257">
        <v>0.10379442368014921</v>
      </c>
      <c r="E1147" s="1280">
        <v>0.69786180761348326</v>
      </c>
      <c r="F1147" s="1271">
        <v>5.7586729232471913E-2</v>
      </c>
      <c r="G1147" s="1257">
        <v>8.8700890894873083E-2</v>
      </c>
      <c r="H1147" s="1280">
        <v>0.83939740133604157</v>
      </c>
      <c r="I1147" s="1271">
        <v>6.3678915023422378E-2</v>
      </c>
      <c r="J1147" s="1257">
        <v>0.13345629644617793</v>
      </c>
      <c r="K1147" s="1280">
        <v>1.2629283347516986</v>
      </c>
      <c r="L1147" s="1237">
        <v>0.17425729593111258</v>
      </c>
    </row>
    <row r="1148" spans="1:12" s="326" customFormat="1" ht="15.5" x14ac:dyDescent="0.35">
      <c r="A1148" s="328" t="s">
        <v>2112</v>
      </c>
      <c r="B1148" s="1291">
        <v>9.3414981312134299E-2</v>
      </c>
      <c r="C1148" s="1257">
        <v>0.2344136825289527</v>
      </c>
      <c r="D1148" s="1257">
        <v>0.10379442368014921</v>
      </c>
      <c r="E1148" s="1280">
        <v>0.69786180761348326</v>
      </c>
      <c r="F1148" s="1271">
        <v>5.7586729232471913E-2</v>
      </c>
      <c r="G1148" s="1257">
        <v>8.8700890894873083E-2</v>
      </c>
      <c r="H1148" s="1280">
        <v>0.83939740133604157</v>
      </c>
      <c r="I1148" s="1271">
        <v>6.3678915023422378E-2</v>
      </c>
      <c r="J1148" s="1257">
        <v>0.13345629644617793</v>
      </c>
      <c r="K1148" s="1280">
        <v>1.2629283347516986</v>
      </c>
      <c r="L1148" s="1237">
        <v>0.17425729593111258</v>
      </c>
    </row>
    <row r="1149" spans="1:12" s="326" customFormat="1" ht="15.5" x14ac:dyDescent="0.35">
      <c r="A1149" s="328" t="s">
        <v>2113</v>
      </c>
      <c r="B1149" s="1291">
        <v>9.3414981312134299E-2</v>
      </c>
      <c r="C1149" s="1257">
        <v>0.2344136825289527</v>
      </c>
      <c r="D1149" s="1257">
        <v>0.10379442368014921</v>
      </c>
      <c r="E1149" s="1280">
        <v>0.69786180761348326</v>
      </c>
      <c r="F1149" s="1271">
        <v>5.7586729232471913E-2</v>
      </c>
      <c r="G1149" s="1257">
        <v>8.8700890894873083E-2</v>
      </c>
      <c r="H1149" s="1280">
        <v>0.83939740133604157</v>
      </c>
      <c r="I1149" s="1271">
        <v>6.3678915023422378E-2</v>
      </c>
      <c r="J1149" s="1257">
        <v>0.13345629644617793</v>
      </c>
      <c r="K1149" s="1280">
        <v>1.2629283347516986</v>
      </c>
      <c r="L1149" s="1237">
        <v>0.17425729593111258</v>
      </c>
    </row>
    <row r="1150" spans="1:12" s="326" customFormat="1" ht="15.5" x14ac:dyDescent="0.35">
      <c r="A1150" s="328" t="s">
        <v>2114</v>
      </c>
      <c r="B1150" s="1291">
        <v>9.3414981312134299E-2</v>
      </c>
      <c r="C1150" s="1257">
        <v>0.2344136825289527</v>
      </c>
      <c r="D1150" s="1257">
        <v>0.10379442368014921</v>
      </c>
      <c r="E1150" s="1280">
        <v>0.69786180761348326</v>
      </c>
      <c r="F1150" s="1271">
        <v>5.7586729232471913E-2</v>
      </c>
      <c r="G1150" s="1257">
        <v>8.8700890894873083E-2</v>
      </c>
      <c r="H1150" s="1280">
        <v>0.83939740133604157</v>
      </c>
      <c r="I1150" s="1271">
        <v>6.3678915023422378E-2</v>
      </c>
      <c r="J1150" s="1257">
        <v>0.13345629644617793</v>
      </c>
      <c r="K1150" s="1280">
        <v>1.2629283347516986</v>
      </c>
      <c r="L1150" s="1237">
        <v>0.17425729593111258</v>
      </c>
    </row>
    <row r="1151" spans="1:12" s="326" customFormat="1" ht="15.5" x14ac:dyDescent="0.35">
      <c r="A1151" s="328" t="s">
        <v>2115</v>
      </c>
      <c r="B1151" s="1291">
        <v>9.3414981312134299E-2</v>
      </c>
      <c r="C1151" s="1257">
        <v>0.2344136825289527</v>
      </c>
      <c r="D1151" s="1257">
        <v>0.10379442368014921</v>
      </c>
      <c r="E1151" s="1280">
        <v>0.69786180761348326</v>
      </c>
      <c r="F1151" s="1271">
        <v>5.7586729232471913E-2</v>
      </c>
      <c r="G1151" s="1257">
        <v>8.8700890894873083E-2</v>
      </c>
      <c r="H1151" s="1280">
        <v>0.83939740133604157</v>
      </c>
      <c r="I1151" s="1271">
        <v>6.3678915023422378E-2</v>
      </c>
      <c r="J1151" s="1257">
        <v>0.13345629644617793</v>
      </c>
      <c r="K1151" s="1280">
        <v>1.2629283347516986</v>
      </c>
      <c r="L1151" s="1237">
        <v>0.17425729593111258</v>
      </c>
    </row>
    <row r="1152" spans="1:12" s="326" customFormat="1" ht="15.5" x14ac:dyDescent="0.35">
      <c r="A1152" s="328" t="s">
        <v>2116</v>
      </c>
      <c r="B1152" s="1291">
        <v>9.3414981312134299E-2</v>
      </c>
      <c r="C1152" s="1257">
        <v>0.2344136825289527</v>
      </c>
      <c r="D1152" s="1257">
        <v>0.10379442368014921</v>
      </c>
      <c r="E1152" s="1280">
        <v>0.69786180761348326</v>
      </c>
      <c r="F1152" s="1271">
        <v>5.7586729232471913E-2</v>
      </c>
      <c r="G1152" s="1257">
        <v>8.8700890894873083E-2</v>
      </c>
      <c r="H1152" s="1280">
        <v>0.83939740133604157</v>
      </c>
      <c r="I1152" s="1271">
        <v>6.3678915023422378E-2</v>
      </c>
      <c r="J1152" s="1257">
        <v>0.13345629644617793</v>
      </c>
      <c r="K1152" s="1280">
        <v>1.2629283347516986</v>
      </c>
      <c r="L1152" s="1237">
        <v>0.17425729593111258</v>
      </c>
    </row>
    <row r="1153" spans="1:12" s="326" customFormat="1" ht="15.5" x14ac:dyDescent="0.35">
      <c r="A1153" s="328" t="s">
        <v>2117</v>
      </c>
      <c r="B1153" s="1291">
        <v>9.3414981312134299E-2</v>
      </c>
      <c r="C1153" s="1257">
        <v>0.2344136825289527</v>
      </c>
      <c r="D1153" s="1257">
        <v>0.10379442368014921</v>
      </c>
      <c r="E1153" s="1280">
        <v>0.69786180761348326</v>
      </c>
      <c r="F1153" s="1271">
        <v>5.7586729232471913E-2</v>
      </c>
      <c r="G1153" s="1257">
        <v>8.8700890894873083E-2</v>
      </c>
      <c r="H1153" s="1280">
        <v>0.83939740133604157</v>
      </c>
      <c r="I1153" s="1271">
        <v>6.3678915023422378E-2</v>
      </c>
      <c r="J1153" s="1257">
        <v>0.13345629644617793</v>
      </c>
      <c r="K1153" s="1280">
        <v>1.2629283347516986</v>
      </c>
      <c r="L1153" s="1237">
        <v>0.17425729593111258</v>
      </c>
    </row>
    <row r="1154" spans="1:12" s="326" customFormat="1" ht="15.5" x14ac:dyDescent="0.35">
      <c r="A1154" s="328" t="s">
        <v>2118</v>
      </c>
      <c r="B1154" s="1291">
        <v>9.3414981312134299E-2</v>
      </c>
      <c r="C1154" s="1257">
        <v>0.2344136825289527</v>
      </c>
      <c r="D1154" s="1257">
        <v>0.10379442368014921</v>
      </c>
      <c r="E1154" s="1280">
        <v>0.69786180761348326</v>
      </c>
      <c r="F1154" s="1271">
        <v>5.7586729232471913E-2</v>
      </c>
      <c r="G1154" s="1257">
        <v>8.8700890894873083E-2</v>
      </c>
      <c r="H1154" s="1280">
        <v>0.83939740133604157</v>
      </c>
      <c r="I1154" s="1271">
        <v>6.3678915023422378E-2</v>
      </c>
      <c r="J1154" s="1257">
        <v>0.13345629644617793</v>
      </c>
      <c r="K1154" s="1280">
        <v>1.2629283347516986</v>
      </c>
      <c r="L1154" s="1237">
        <v>0.17425729593111258</v>
      </c>
    </row>
    <row r="1155" spans="1:12" s="326" customFormat="1" ht="15.5" x14ac:dyDescent="0.35">
      <c r="A1155" s="328" t="s">
        <v>2119</v>
      </c>
      <c r="B1155" s="1291">
        <v>9.3414981312134299E-2</v>
      </c>
      <c r="C1155" s="1257">
        <v>0.2344136825289527</v>
      </c>
      <c r="D1155" s="1257">
        <v>0.10379442368014921</v>
      </c>
      <c r="E1155" s="1280">
        <v>0.69786180761348326</v>
      </c>
      <c r="F1155" s="1271">
        <v>5.7586729232471913E-2</v>
      </c>
      <c r="G1155" s="1257">
        <v>8.8700890894873083E-2</v>
      </c>
      <c r="H1155" s="1280">
        <v>0.83939740133604157</v>
      </c>
      <c r="I1155" s="1271">
        <v>6.3678915023422378E-2</v>
      </c>
      <c r="J1155" s="1257">
        <v>0.13345629644617793</v>
      </c>
      <c r="K1155" s="1280">
        <v>1.2629283347516986</v>
      </c>
      <c r="L1155" s="1237">
        <v>0.17425729593111258</v>
      </c>
    </row>
    <row r="1156" spans="1:12" s="326" customFormat="1" ht="15.5" x14ac:dyDescent="0.35">
      <c r="A1156" s="328" t="s">
        <v>2120</v>
      </c>
      <c r="B1156" s="1291">
        <v>9.3414981312134299E-2</v>
      </c>
      <c r="C1156" s="1257">
        <v>0.2344136825289527</v>
      </c>
      <c r="D1156" s="1257">
        <v>0.10379442368014921</v>
      </c>
      <c r="E1156" s="1280">
        <v>0.69786180761348326</v>
      </c>
      <c r="F1156" s="1271">
        <v>5.7586729232471913E-2</v>
      </c>
      <c r="G1156" s="1257">
        <v>8.8700890894873083E-2</v>
      </c>
      <c r="H1156" s="1280">
        <v>0.83939740133604157</v>
      </c>
      <c r="I1156" s="1271">
        <v>6.3678915023422378E-2</v>
      </c>
      <c r="J1156" s="1257">
        <v>0.13345629644617793</v>
      </c>
      <c r="K1156" s="1280">
        <v>1.2629283347516986</v>
      </c>
      <c r="L1156" s="1237">
        <v>0.17425729593111258</v>
      </c>
    </row>
    <row r="1157" spans="1:12" s="326" customFormat="1" ht="15.5" x14ac:dyDescent="0.35">
      <c r="A1157" s="328" t="s">
        <v>2121</v>
      </c>
      <c r="B1157" s="1291">
        <v>9.3414981312134299E-2</v>
      </c>
      <c r="C1157" s="1257">
        <v>0.2344136825289527</v>
      </c>
      <c r="D1157" s="1257">
        <v>0.10379442368014921</v>
      </c>
      <c r="E1157" s="1280">
        <v>0.69786180761348326</v>
      </c>
      <c r="F1157" s="1271">
        <v>5.7586729232471913E-2</v>
      </c>
      <c r="G1157" s="1257">
        <v>8.8700890894873083E-2</v>
      </c>
      <c r="H1157" s="1280">
        <v>0.83939740133604157</v>
      </c>
      <c r="I1157" s="1271">
        <v>6.3678915023422378E-2</v>
      </c>
      <c r="J1157" s="1257">
        <v>0.13345629644617793</v>
      </c>
      <c r="K1157" s="1280">
        <v>1.2629283347516986</v>
      </c>
      <c r="L1157" s="1237">
        <v>0.17425729593111258</v>
      </c>
    </row>
    <row r="1158" spans="1:12" s="326" customFormat="1" ht="15.5" x14ac:dyDescent="0.35">
      <c r="A1158" s="328" t="s">
        <v>2122</v>
      </c>
      <c r="B1158" s="1291">
        <v>9.3414981312134299E-2</v>
      </c>
      <c r="C1158" s="1257">
        <v>0.2344136825289527</v>
      </c>
      <c r="D1158" s="1257">
        <v>0.10379442368014921</v>
      </c>
      <c r="E1158" s="1280">
        <v>0.69786180761348326</v>
      </c>
      <c r="F1158" s="1271">
        <v>5.7586729232471913E-2</v>
      </c>
      <c r="G1158" s="1257">
        <v>8.8700890894873083E-2</v>
      </c>
      <c r="H1158" s="1280">
        <v>0.83939740133604157</v>
      </c>
      <c r="I1158" s="1271">
        <v>6.3678915023422378E-2</v>
      </c>
      <c r="J1158" s="1257">
        <v>0.13345629644617793</v>
      </c>
      <c r="K1158" s="1280">
        <v>1.2629283347516986</v>
      </c>
      <c r="L1158" s="1237">
        <v>0.17425729593111258</v>
      </c>
    </row>
    <row r="1159" spans="1:12" s="326" customFormat="1" ht="15.5" x14ac:dyDescent="0.35">
      <c r="A1159" s="328" t="s">
        <v>2123</v>
      </c>
      <c r="B1159" s="1291">
        <v>9.3414981312134299E-2</v>
      </c>
      <c r="C1159" s="1257">
        <v>0.2344136825289527</v>
      </c>
      <c r="D1159" s="1257">
        <v>0.10379442368014921</v>
      </c>
      <c r="E1159" s="1280">
        <v>0.69786180761348326</v>
      </c>
      <c r="F1159" s="1271">
        <v>5.7586729232471913E-2</v>
      </c>
      <c r="G1159" s="1257">
        <v>8.8700890894873083E-2</v>
      </c>
      <c r="H1159" s="1280">
        <v>0.83939740133604157</v>
      </c>
      <c r="I1159" s="1271">
        <v>6.3678915023422378E-2</v>
      </c>
      <c r="J1159" s="1257">
        <v>0.13345629644617793</v>
      </c>
      <c r="K1159" s="1280">
        <v>1.2629283347516986</v>
      </c>
      <c r="L1159" s="1237">
        <v>0.17425729593111258</v>
      </c>
    </row>
    <row r="1160" spans="1:12" s="326" customFormat="1" ht="15.5" x14ac:dyDescent="0.35">
      <c r="A1160" s="328" t="s">
        <v>2124</v>
      </c>
      <c r="B1160" s="1291">
        <v>9.3414981312134299E-2</v>
      </c>
      <c r="C1160" s="1257">
        <v>0.2344136825289527</v>
      </c>
      <c r="D1160" s="1257">
        <v>0.10379442368014921</v>
      </c>
      <c r="E1160" s="1280">
        <v>0.69786180761348326</v>
      </c>
      <c r="F1160" s="1271">
        <v>5.7586729232471913E-2</v>
      </c>
      <c r="G1160" s="1257">
        <v>8.8700890894873083E-2</v>
      </c>
      <c r="H1160" s="1280">
        <v>0.83939740133604157</v>
      </c>
      <c r="I1160" s="1271">
        <v>6.3678915023422378E-2</v>
      </c>
      <c r="J1160" s="1257">
        <v>0.13345629644617793</v>
      </c>
      <c r="K1160" s="1280">
        <v>1.2629283347516986</v>
      </c>
      <c r="L1160" s="1237">
        <v>0.17425729593111258</v>
      </c>
    </row>
    <row r="1161" spans="1:12" s="326" customFormat="1" ht="15.5" x14ac:dyDescent="0.35">
      <c r="A1161" s="328" t="s">
        <v>2125</v>
      </c>
      <c r="B1161" s="1291">
        <v>9.3414981312134299E-2</v>
      </c>
      <c r="C1161" s="1257">
        <v>0.2344136825289527</v>
      </c>
      <c r="D1161" s="1257">
        <v>0.10379442368014921</v>
      </c>
      <c r="E1161" s="1280">
        <v>0.69786180761348326</v>
      </c>
      <c r="F1161" s="1303">
        <v>5.7586729232471913E-2</v>
      </c>
      <c r="G1161" s="1288">
        <v>8.8700890894873083E-2</v>
      </c>
      <c r="H1161" s="1280">
        <v>0.83939740133604157</v>
      </c>
      <c r="I1161" s="1303">
        <v>6.3678915023422378E-2</v>
      </c>
      <c r="J1161" s="1288">
        <v>0.13345629644617793</v>
      </c>
      <c r="K1161" s="1280">
        <v>1.2629283347516986</v>
      </c>
      <c r="L1161" s="1237">
        <v>0.17425729593111258</v>
      </c>
    </row>
    <row r="1162" spans="1:12" s="326" customFormat="1" ht="15.5" x14ac:dyDescent="0.35">
      <c r="A1162" s="328" t="s">
        <v>2126</v>
      </c>
      <c r="B1162" s="1291">
        <v>9.3414981312134299E-2</v>
      </c>
      <c r="C1162" s="1257">
        <v>0.2344136825289527</v>
      </c>
      <c r="D1162" s="1257">
        <v>0.10379442368014921</v>
      </c>
      <c r="E1162" s="1280">
        <v>0.69786180761348326</v>
      </c>
      <c r="F1162" s="1303">
        <v>5.7155204982356753E-2</v>
      </c>
      <c r="G1162" s="1288">
        <v>8.4709629730965477E-2</v>
      </c>
      <c r="H1162" s="1280">
        <v>0.80162715782171001</v>
      </c>
      <c r="I1162" s="1303">
        <v>6.3742964172223887E-2</v>
      </c>
      <c r="J1162" s="1288">
        <v>0.13388208297463289</v>
      </c>
      <c r="K1162" s="1280">
        <v>1.2669576528555333</v>
      </c>
      <c r="L1162" s="1237">
        <v>0.17425729593111258</v>
      </c>
    </row>
    <row r="1163" spans="1:12" s="326" customFormat="1" ht="15.5" x14ac:dyDescent="0.35">
      <c r="A1163" s="328" t="s">
        <v>2127</v>
      </c>
      <c r="B1163" s="1291">
        <v>9.3414981312134299E-2</v>
      </c>
      <c r="C1163" s="1257">
        <v>0.2344136825289527</v>
      </c>
      <c r="D1163" s="1257">
        <v>0.10379442368014921</v>
      </c>
      <c r="E1163" s="1280">
        <v>0.69786180761348326</v>
      </c>
      <c r="F1163" s="1303">
        <v>5.7692871976303288E-2</v>
      </c>
      <c r="G1163" s="1288">
        <v>8.0008416794273757E-2</v>
      </c>
      <c r="H1163" s="1280">
        <v>0.75713847363404663</v>
      </c>
      <c r="I1163" s="1303">
        <v>6.3923229233202677E-2</v>
      </c>
      <c r="J1163" s="1288">
        <v>0.13304784628116142</v>
      </c>
      <c r="K1163" s="1280">
        <v>1.2590630747342262</v>
      </c>
      <c r="L1163" s="1237">
        <v>0.17425729593111258</v>
      </c>
    </row>
    <row r="1164" spans="1:12" s="326" customFormat="1" ht="15.5" x14ac:dyDescent="0.35">
      <c r="A1164" s="328" t="s">
        <v>2128</v>
      </c>
      <c r="B1164" s="1291">
        <v>9.3414981312134299E-2</v>
      </c>
      <c r="C1164" s="1257">
        <v>0.2344136825289527</v>
      </c>
      <c r="D1164" s="1257">
        <v>0.10379442368014921</v>
      </c>
      <c r="E1164" s="1280">
        <v>0.69786180761348326</v>
      </c>
      <c r="F1164" s="1303">
        <v>5.6018484988049344E-2</v>
      </c>
      <c r="G1164" s="1288">
        <v>7.2751164360537246E-2</v>
      </c>
      <c r="H1164" s="1280">
        <v>0.68846138626478992</v>
      </c>
      <c r="I1164" s="1303">
        <v>6.3460582142690139E-2</v>
      </c>
      <c r="J1164" s="1288">
        <v>0.13271599606460813</v>
      </c>
      <c r="K1164" s="1280">
        <v>1.2559226980525784</v>
      </c>
      <c r="L1164" s="1237">
        <v>0.17425729593111258</v>
      </c>
    </row>
    <row r="1165" spans="1:12" s="326" customFormat="1" ht="15.5" x14ac:dyDescent="0.35">
      <c r="A1165" s="328" t="s">
        <v>2129</v>
      </c>
      <c r="B1165" s="1291">
        <v>9.3414981312134299E-2</v>
      </c>
      <c r="C1165" s="1257">
        <v>0.2344136825289527</v>
      </c>
      <c r="D1165" s="1257">
        <v>0.10379442368014921</v>
      </c>
      <c r="E1165" s="1280">
        <v>0.69786180761348326</v>
      </c>
      <c r="F1165" s="1303">
        <v>5.7373995159971387E-2</v>
      </c>
      <c r="G1165" s="1288">
        <v>7.7272416248519563E-2</v>
      </c>
      <c r="H1165" s="1280">
        <v>0.73124705670474033</v>
      </c>
      <c r="I1165" s="1303">
        <v>6.3667864874423788E-2</v>
      </c>
      <c r="J1165" s="1288">
        <v>0.13208378512182756</v>
      </c>
      <c r="K1165" s="1280">
        <v>1.24993993714553</v>
      </c>
      <c r="L1165" s="1237">
        <v>0.17425729593111258</v>
      </c>
    </row>
    <row r="1166" spans="1:12" s="326" customFormat="1" ht="15.5" x14ac:dyDescent="0.35">
      <c r="A1166" s="328" t="s">
        <v>2130</v>
      </c>
      <c r="B1166" s="1291">
        <v>9.3414981312134299E-2</v>
      </c>
      <c r="C1166" s="1257">
        <v>0.2344136825289527</v>
      </c>
      <c r="D1166" s="1257">
        <v>0.10379442368014921</v>
      </c>
      <c r="E1166" s="1280">
        <v>0.69786180761348326</v>
      </c>
      <c r="F1166" s="1303">
        <v>5.7635411407222233E-2</v>
      </c>
      <c r="G1166" s="1288">
        <v>7.5102084598399468E-2</v>
      </c>
      <c r="H1166" s="1280">
        <v>0.71070869763338329</v>
      </c>
      <c r="I1166" s="1303">
        <v>6.3821410153586375E-2</v>
      </c>
      <c r="J1166" s="1288">
        <v>0.13098097829675637</v>
      </c>
      <c r="K1166" s="1280">
        <v>1.2395038166759225</v>
      </c>
      <c r="L1166" s="1237">
        <v>0.17425729593111258</v>
      </c>
    </row>
    <row r="1167" spans="1:12" s="326" customFormat="1" ht="15.5" x14ac:dyDescent="0.35">
      <c r="A1167" s="328" t="s">
        <v>2131</v>
      </c>
      <c r="B1167" s="1291">
        <v>9.3414981312134299E-2</v>
      </c>
      <c r="C1167" s="1257">
        <v>0.2344136825289527</v>
      </c>
      <c r="D1167" s="1257">
        <v>0.10379442368014921</v>
      </c>
      <c r="E1167" s="1280">
        <v>0.69786180761348326</v>
      </c>
      <c r="F1167" s="1303">
        <v>5.7792983090274266E-2</v>
      </c>
      <c r="G1167" s="1288">
        <v>7.4413606459377002E-2</v>
      </c>
      <c r="H1167" s="1280">
        <v>0.70419346700895724</v>
      </c>
      <c r="I1167" s="1303">
        <v>6.4019839615172269E-2</v>
      </c>
      <c r="J1167" s="1288">
        <v>0.12919776752254414</v>
      </c>
      <c r="K1167" s="1280">
        <v>1.2226288735405464</v>
      </c>
      <c r="L1167" s="1237">
        <v>0.17425729593111258</v>
      </c>
    </row>
    <row r="1168" spans="1:12" s="326" customFormat="1" ht="15.5" x14ac:dyDescent="0.35">
      <c r="A1168" s="328" t="s">
        <v>2132</v>
      </c>
      <c r="B1168" s="1291">
        <v>9.3414981312134299E-2</v>
      </c>
      <c r="C1168" s="1257">
        <v>0.2344136825289527</v>
      </c>
      <c r="D1168" s="1257">
        <v>0.10379442368014921</v>
      </c>
      <c r="E1168" s="1280">
        <v>0.69786180761348326</v>
      </c>
      <c r="F1168" s="1303">
        <v>5.7722412630339767E-2</v>
      </c>
      <c r="G1168" s="1288">
        <v>7.017942246494184E-2</v>
      </c>
      <c r="H1168" s="1280">
        <v>0.66412438759103043</v>
      </c>
      <c r="I1168" s="1303">
        <v>6.4138736375787167E-2</v>
      </c>
      <c r="J1168" s="1288">
        <v>0.1297757888526557</v>
      </c>
      <c r="K1168" s="1280">
        <v>1.2280988253924108</v>
      </c>
      <c r="L1168" s="1237">
        <v>0.17425729593111258</v>
      </c>
    </row>
    <row r="1169" spans="1:12" s="326" customFormat="1" ht="15.5" x14ac:dyDescent="0.35">
      <c r="A1169" s="328" t="s">
        <v>2133</v>
      </c>
      <c r="B1169" s="1291">
        <v>9.3414981312134299E-2</v>
      </c>
      <c r="C1169" s="1257">
        <v>0.2344136825289527</v>
      </c>
      <c r="D1169" s="1257">
        <v>0.10379442368014921</v>
      </c>
      <c r="E1169" s="1280">
        <v>0.69786180761348326</v>
      </c>
      <c r="F1169" s="1303">
        <v>5.7738318204482386E-2</v>
      </c>
      <c r="G1169" s="1288">
        <v>6.967629932079894E-2</v>
      </c>
      <c r="H1169" s="1280">
        <v>0.65936321489608996</v>
      </c>
      <c r="I1169" s="1303">
        <v>6.3889576596865311E-2</v>
      </c>
      <c r="J1169" s="1288">
        <v>0.12973291465701989</v>
      </c>
      <c r="K1169" s="1280">
        <v>1.2276930967910631</v>
      </c>
      <c r="L1169" s="1237">
        <v>0.17425729593111258</v>
      </c>
    </row>
    <row r="1170" spans="1:12" s="326" customFormat="1" ht="15.5" x14ac:dyDescent="0.35">
      <c r="A1170" s="328" t="s">
        <v>2134</v>
      </c>
      <c r="B1170" s="1291">
        <v>9.3414981312134299E-2</v>
      </c>
      <c r="C1170" s="1257">
        <v>0.2344136825289527</v>
      </c>
      <c r="D1170" s="1257">
        <v>0.10379442368014921</v>
      </c>
      <c r="E1170" s="1280">
        <v>0.69786180761348326</v>
      </c>
      <c r="F1170" s="1303">
        <v>5.7570268730634706E-2</v>
      </c>
      <c r="G1170" s="1288">
        <v>7.567268050411799E-2</v>
      </c>
      <c r="H1170" s="1280">
        <v>0.71610838094705775</v>
      </c>
      <c r="I1170" s="1303">
        <v>6.3425707031035131E-2</v>
      </c>
      <c r="J1170" s="1288">
        <v>0.13034117013168944</v>
      </c>
      <c r="K1170" s="1280">
        <v>1.2334491614667964</v>
      </c>
      <c r="L1170" s="1237">
        <v>0.17425729593111258</v>
      </c>
    </row>
    <row r="1171" spans="1:12" s="326" customFormat="1" ht="15.5" x14ac:dyDescent="0.35">
      <c r="A1171" s="328" t="s">
        <v>2135</v>
      </c>
      <c r="B1171" s="1291">
        <v>9.3414981312134299E-2</v>
      </c>
      <c r="C1171" s="1257">
        <v>0.2344136825289527</v>
      </c>
      <c r="D1171" s="1257">
        <v>0.10379442368014921</v>
      </c>
      <c r="E1171" s="1280">
        <v>0.69786180761348326</v>
      </c>
      <c r="F1171" s="1303">
        <v>5.7704466771580171E-2</v>
      </c>
      <c r="G1171" s="1288">
        <v>7.4335354255848696E-2</v>
      </c>
      <c r="H1171" s="1280">
        <v>0.70345294799468572</v>
      </c>
      <c r="I1171" s="1303">
        <v>6.3804918135479949E-2</v>
      </c>
      <c r="J1171" s="1288">
        <v>0.13047399968151654</v>
      </c>
      <c r="K1171" s="1280">
        <v>1.2347061587508219</v>
      </c>
      <c r="L1171" s="1237">
        <v>0.17425729593111258</v>
      </c>
    </row>
    <row r="1172" spans="1:12" s="326" customFormat="1" ht="15.5" x14ac:dyDescent="0.35">
      <c r="A1172" s="328" t="s">
        <v>2136</v>
      </c>
      <c r="B1172" s="1291">
        <v>9.3414981312134299E-2</v>
      </c>
      <c r="C1172" s="1257">
        <v>0.2344136825289527</v>
      </c>
      <c r="D1172" s="1257">
        <v>0.10379442368014921</v>
      </c>
      <c r="E1172" s="1280">
        <v>0.69786180761348326</v>
      </c>
      <c r="F1172" s="1303">
        <v>5.7493843160852466E-2</v>
      </c>
      <c r="G1172" s="1288">
        <v>7.310847119332059E-2</v>
      </c>
      <c r="H1172" s="1280">
        <v>0.69184266489561475</v>
      </c>
      <c r="I1172" s="1303">
        <v>6.3750639391446012E-2</v>
      </c>
      <c r="J1172" s="1288">
        <v>0.1303285184966412</v>
      </c>
      <c r="K1172" s="1280">
        <v>1.2333294360674796</v>
      </c>
      <c r="L1172" s="1237">
        <v>0.17425729593111258</v>
      </c>
    </row>
    <row r="1173" spans="1:12" s="326" customFormat="1" ht="15.5" x14ac:dyDescent="0.35">
      <c r="A1173" s="328" t="s">
        <v>2137</v>
      </c>
      <c r="B1173" s="1291">
        <v>9.3414981312134299E-2</v>
      </c>
      <c r="C1173" s="1257">
        <v>0.2344136825289527</v>
      </c>
      <c r="D1173" s="1257">
        <v>0.10379442368014921</v>
      </c>
      <c r="E1173" s="1280">
        <v>0.69786180761348326</v>
      </c>
      <c r="F1173" s="1303">
        <v>5.7302988319354868E-2</v>
      </c>
      <c r="G1173" s="1288">
        <v>7.398601821566439E-2</v>
      </c>
      <c r="H1173" s="1280">
        <v>0.70014709884970638</v>
      </c>
      <c r="I1173" s="1303">
        <v>6.3358422435677714E-2</v>
      </c>
      <c r="J1173" s="1288">
        <v>0.12960541049295971</v>
      </c>
      <c r="K1173" s="1280">
        <v>1.2264864948855818</v>
      </c>
      <c r="L1173" s="1237">
        <v>0.17425729593111258</v>
      </c>
    </row>
    <row r="1174" spans="1:12" s="326" customFormat="1" ht="15.5" x14ac:dyDescent="0.35">
      <c r="A1174" s="328" t="s">
        <v>2138</v>
      </c>
      <c r="B1174" s="1291">
        <v>9.3414981312134299E-2</v>
      </c>
      <c r="C1174" s="1257">
        <v>0.2344136825289527</v>
      </c>
      <c r="D1174" s="1257">
        <v>0.10379442368014921</v>
      </c>
      <c r="E1174" s="1280">
        <v>0.69786180761348326</v>
      </c>
      <c r="F1174" s="1303">
        <v>4.9173263776062216E-2</v>
      </c>
      <c r="G1174" s="1288">
        <v>7.3502777531172042E-2</v>
      </c>
      <c r="H1174" s="1280">
        <v>0.69557407854866482</v>
      </c>
      <c r="I1174" s="1303">
        <v>6.9374295994948015E-2</v>
      </c>
      <c r="J1174" s="1288">
        <v>0.12863253986087841</v>
      </c>
      <c r="K1174" s="1280">
        <v>1.2172799911834598</v>
      </c>
      <c r="L1174" s="1237">
        <v>0.17425729593111258</v>
      </c>
    </row>
    <row r="1175" spans="1:12" s="326" customFormat="1" ht="15.5" x14ac:dyDescent="0.35">
      <c r="A1175" s="328" t="s">
        <v>2139</v>
      </c>
      <c r="B1175" s="1291">
        <v>9.3414981312134299E-2</v>
      </c>
      <c r="C1175" s="1257">
        <v>0.2344136825289527</v>
      </c>
      <c r="D1175" s="1257">
        <v>0.10379442368014921</v>
      </c>
      <c r="E1175" s="1280">
        <v>0.69786180761348326</v>
      </c>
      <c r="F1175" s="1303">
        <v>4.9329092187935852E-2</v>
      </c>
      <c r="G1175" s="1288">
        <v>7.1628713872551847E-2</v>
      </c>
      <c r="H1175" s="1280">
        <v>0.67783937319098697</v>
      </c>
      <c r="I1175" s="1303">
        <v>6.9200392596264759E-2</v>
      </c>
      <c r="J1175" s="1288">
        <v>0.12915482764402497</v>
      </c>
      <c r="K1175" s="1280">
        <v>1.2222225233666189</v>
      </c>
      <c r="L1175" s="1237">
        <v>0.17425729593111258</v>
      </c>
    </row>
    <row r="1176" spans="1:12" s="326" customFormat="1" ht="15.5" x14ac:dyDescent="0.35">
      <c r="A1176" s="328" t="s">
        <v>2140</v>
      </c>
      <c r="B1176" s="1291">
        <v>9.3414981312134299E-2</v>
      </c>
      <c r="C1176" s="1257">
        <v>0.2344136825289527</v>
      </c>
      <c r="D1176" s="1257">
        <v>0.10379442368014921</v>
      </c>
      <c r="E1176" s="1280">
        <v>0.69786180761348326</v>
      </c>
      <c r="F1176" s="1303">
        <v>4.9117452533672973E-2</v>
      </c>
      <c r="G1176" s="1288">
        <v>7.7061911751558562E-2</v>
      </c>
      <c r="H1176" s="1280">
        <v>0.72925500311952851</v>
      </c>
      <c r="I1176" s="1303">
        <v>6.8927160542120211E-2</v>
      </c>
      <c r="J1176" s="1288">
        <v>0.12939570211537968</v>
      </c>
      <c r="K1176" s="1280">
        <v>1.2245019751653943</v>
      </c>
      <c r="L1176" s="1237">
        <v>0.17425729593111258</v>
      </c>
    </row>
    <row r="1177" spans="1:12" s="326" customFormat="1" ht="15.5" x14ac:dyDescent="0.35">
      <c r="A1177" s="328" t="s">
        <v>2141</v>
      </c>
      <c r="B1177" s="1291">
        <v>9.3414981312134299E-2</v>
      </c>
      <c r="C1177" s="1257">
        <v>0.2344136825289527</v>
      </c>
      <c r="D1177" s="1257">
        <v>0.10379442368014921</v>
      </c>
      <c r="E1177" s="1280">
        <v>0.69786180761348326</v>
      </c>
      <c r="F1177" s="1303">
        <v>5.899783708360419E-2</v>
      </c>
      <c r="G1177" s="1288">
        <v>7.12248095077367E-2</v>
      </c>
      <c r="H1177" s="1280">
        <v>0.67401713115042017</v>
      </c>
      <c r="I1177" s="1303">
        <v>7.4730364705065735E-2</v>
      </c>
      <c r="J1177" s="1288">
        <v>0.1302675864453742</v>
      </c>
      <c r="K1177" s="1280">
        <v>1.2327528217293866</v>
      </c>
      <c r="L1177" s="1237">
        <v>0.17425729593111258</v>
      </c>
    </row>
    <row r="1178" spans="1:12" s="326" customFormat="1" ht="15.5" x14ac:dyDescent="0.35">
      <c r="A1178" s="328" t="s">
        <v>2142</v>
      </c>
      <c r="B1178" s="1291">
        <v>9.3414981312134299E-2</v>
      </c>
      <c r="C1178" s="1257">
        <v>0.2344136825289527</v>
      </c>
      <c r="D1178" s="1257">
        <v>0.10379442368014921</v>
      </c>
      <c r="E1178" s="1280">
        <v>0.69786180761348326</v>
      </c>
      <c r="F1178" s="1303">
        <v>5.9057442867010278E-2</v>
      </c>
      <c r="G1178" s="1288">
        <v>6.9382232014404702E-2</v>
      </c>
      <c r="H1178" s="1280">
        <v>0.65658038678337394</v>
      </c>
      <c r="I1178" s="1303">
        <v>7.5481965629168049E-2</v>
      </c>
      <c r="J1178" s="1288">
        <v>0.11558607929162978</v>
      </c>
      <c r="K1178" s="1280">
        <v>1.0938182650612318</v>
      </c>
      <c r="L1178" s="1237">
        <v>0.17425729593111258</v>
      </c>
    </row>
    <row r="1179" spans="1:12" s="326" customFormat="1" ht="15.5" x14ac:dyDescent="0.35">
      <c r="A1179" s="328" t="s">
        <v>2143</v>
      </c>
      <c r="B1179" s="1291">
        <v>9.3414981312134299E-2</v>
      </c>
      <c r="C1179" s="1257">
        <v>0.2344136825289527</v>
      </c>
      <c r="D1179" s="1257">
        <v>0.10379442368014921</v>
      </c>
      <c r="E1179" s="1280">
        <v>0.69786180761348326</v>
      </c>
      <c r="F1179" s="1303">
        <v>5.8891799340390294E-2</v>
      </c>
      <c r="G1179" s="1288">
        <v>6.2900084391054545E-2</v>
      </c>
      <c r="H1179" s="1280">
        <v>0.59523829861240585</v>
      </c>
      <c r="I1179" s="1303">
        <v>7.5279394763301866E-2</v>
      </c>
      <c r="J1179" s="1288">
        <v>9.9303182313487379E-2</v>
      </c>
      <c r="K1179" s="1280">
        <v>0.93972937968719294</v>
      </c>
      <c r="L1179" s="1237">
        <v>0.17425729593111258</v>
      </c>
    </row>
    <row r="1180" spans="1:12" s="326" customFormat="1" ht="15.5" x14ac:dyDescent="0.35">
      <c r="A1180" s="328" t="s">
        <v>2144</v>
      </c>
      <c r="B1180" s="1291">
        <v>9.3414981312134299E-2</v>
      </c>
      <c r="C1180" s="1257">
        <v>0.2344136825289527</v>
      </c>
      <c r="D1180" s="1257">
        <v>0.10379442368014921</v>
      </c>
      <c r="E1180" s="1280">
        <v>0.69786180761348326</v>
      </c>
      <c r="F1180" s="1303">
        <v>6.5273080558118757E-2</v>
      </c>
      <c r="G1180" s="1288">
        <v>5.8298608325036055E-2</v>
      </c>
      <c r="H1180" s="1280">
        <v>0.55169344789942198</v>
      </c>
      <c r="I1180" s="1303">
        <v>8.0798284829489711E-2</v>
      </c>
      <c r="J1180" s="1288">
        <v>9.9295163487668245E-2</v>
      </c>
      <c r="K1180" s="1280">
        <v>0.9396534956516841</v>
      </c>
      <c r="L1180" s="1237">
        <v>0.17425729593111258</v>
      </c>
    </row>
    <row r="1181" spans="1:12" s="326" customFormat="1" ht="15.5" x14ac:dyDescent="0.35">
      <c r="A1181" s="328" t="s">
        <v>2145</v>
      </c>
      <c r="B1181" s="1291">
        <v>9.3414981312134299E-2</v>
      </c>
      <c r="C1181" s="1257">
        <v>0.2344136825289527</v>
      </c>
      <c r="D1181" s="1257">
        <v>0.10379442368014921</v>
      </c>
      <c r="E1181" s="1280">
        <v>0.69786180761348326</v>
      </c>
      <c r="F1181" s="1303">
        <v>6.7118644686049597E-2</v>
      </c>
      <c r="G1181" s="1288">
        <v>5.8718093989265849E-2</v>
      </c>
      <c r="H1181" s="1280">
        <v>0.55566313944253787</v>
      </c>
      <c r="I1181" s="1303">
        <v>8.0495731257128222E-2</v>
      </c>
      <c r="J1181" s="1288">
        <v>0.1009789571759263</v>
      </c>
      <c r="K1181" s="1280">
        <v>0.95558763151042014</v>
      </c>
      <c r="L1181" s="1330">
        <v>0.17425729593111258</v>
      </c>
    </row>
    <row r="1182" spans="1:12" s="326" customFormat="1" ht="15.5" x14ac:dyDescent="0.35">
      <c r="A1182" s="328" t="s">
        <v>2146</v>
      </c>
      <c r="B1182" s="1291">
        <v>9.3414981312134299E-2</v>
      </c>
      <c r="C1182" s="1257">
        <v>0.2344136825289527</v>
      </c>
      <c r="D1182" s="1257">
        <v>0.10379442368014921</v>
      </c>
      <c r="E1182" s="1280">
        <v>0.69786180761348326</v>
      </c>
      <c r="F1182" s="1303">
        <v>6.0563601974543212E-2</v>
      </c>
      <c r="G1182" s="1288">
        <v>5.901934241062997E-2</v>
      </c>
      <c r="H1182" s="1280">
        <v>0.55851392413588796</v>
      </c>
      <c r="I1182" s="1303">
        <v>8.0731637861993708E-2</v>
      </c>
      <c r="J1182" s="1288">
        <v>0.10090250233361478</v>
      </c>
      <c r="K1182" s="1280">
        <v>0.9548641213482516</v>
      </c>
      <c r="L1182" s="1330">
        <v>0.17347533484780092</v>
      </c>
    </row>
    <row r="1183" spans="1:12" s="326" customFormat="1" ht="15.5" x14ac:dyDescent="0.35">
      <c r="A1183" s="328" t="s">
        <v>2147</v>
      </c>
      <c r="B1183" s="1291">
        <v>9.3414981312134299E-2</v>
      </c>
      <c r="C1183" s="1257">
        <v>0.2344136825289527</v>
      </c>
      <c r="D1183" s="1257">
        <v>0.10379442368014921</v>
      </c>
      <c r="E1183" s="1280">
        <v>0.69786180761348326</v>
      </c>
      <c r="F1183" s="1303">
        <v>6.6062172347446227E-2</v>
      </c>
      <c r="G1183" s="1288">
        <v>5.7869362977648095E-2</v>
      </c>
      <c r="H1183" s="1280">
        <v>0.54763139817818451</v>
      </c>
      <c r="I1183" s="1303">
        <v>8.0663969431427909E-2</v>
      </c>
      <c r="J1183" s="1288">
        <v>0.10128742449465895</v>
      </c>
      <c r="K1183" s="1280">
        <v>0.95850673032813283</v>
      </c>
      <c r="L1183" s="1330">
        <v>0.16372990015624786</v>
      </c>
    </row>
    <row r="1184" spans="1:12" s="326" customFormat="1" ht="15.5" x14ac:dyDescent="0.35">
      <c r="A1184" s="328" t="s">
        <v>2148</v>
      </c>
      <c r="B1184" s="1291">
        <v>9.3414981312134299E-2</v>
      </c>
      <c r="C1184" s="1257">
        <v>0.2344136825289527</v>
      </c>
      <c r="D1184" s="1257">
        <v>0.10379442368014921</v>
      </c>
      <c r="E1184" s="1280">
        <v>0.69786180761348326</v>
      </c>
      <c r="F1184" s="1303">
        <v>6.1148514943563131E-2</v>
      </c>
      <c r="G1184" s="1288">
        <v>5.5690718786820449E-2</v>
      </c>
      <c r="H1184" s="1280">
        <v>0.52701437557821995</v>
      </c>
      <c r="I1184" s="1303">
        <v>7.8469355408126024E-2</v>
      </c>
      <c r="J1184" s="1288">
        <v>9.8750470455521197E-2</v>
      </c>
      <c r="K1184" s="1280">
        <v>0.93449893732541023</v>
      </c>
      <c r="L1184" s="1330">
        <v>0.19315526093880359</v>
      </c>
    </row>
    <row r="1185" spans="1:12" s="326" customFormat="1" ht="15.5" x14ac:dyDescent="0.35">
      <c r="A1185" s="328" t="s">
        <v>2149</v>
      </c>
      <c r="B1185" s="1291">
        <v>9.3414981312134299E-2</v>
      </c>
      <c r="C1185" s="1257">
        <v>0.2344136825289527</v>
      </c>
      <c r="D1185" s="1257">
        <v>0.10379442368014921</v>
      </c>
      <c r="E1185" s="1280">
        <v>0.69786180761348326</v>
      </c>
      <c r="F1185" s="1303">
        <v>5.8770447587777823E-2</v>
      </c>
      <c r="G1185" s="1288">
        <v>5.6074696408272659E-2</v>
      </c>
      <c r="H1185" s="1280">
        <v>0.53064804615769789</v>
      </c>
      <c r="I1185" s="1303">
        <v>7.7991610343653137E-2</v>
      </c>
      <c r="J1185" s="1288">
        <v>9.9525686315958525E-2</v>
      </c>
      <c r="K1185" s="1280">
        <v>0.94183498741646043</v>
      </c>
      <c r="L1185" s="1330">
        <v>0.1931552609388098</v>
      </c>
    </row>
    <row r="1186" spans="1:12" s="326" customFormat="1" ht="15.5" x14ac:dyDescent="0.35">
      <c r="A1186" s="328" t="s">
        <v>2150</v>
      </c>
      <c r="B1186" s="1291">
        <v>9.3414981312134299E-2</v>
      </c>
      <c r="C1186" s="1257">
        <v>0.2344136825289527</v>
      </c>
      <c r="D1186" s="1257">
        <v>0.10379442368014921</v>
      </c>
      <c r="E1186" s="1280">
        <v>0.69786180761348326</v>
      </c>
      <c r="F1186" s="1303">
        <v>6.0758648322750623E-2</v>
      </c>
      <c r="G1186" s="1288">
        <v>5.6300513112673638E-2</v>
      </c>
      <c r="H1186" s="1280">
        <v>0.53278500276478646</v>
      </c>
      <c r="I1186" s="1303">
        <v>7.5628652281693784E-2</v>
      </c>
      <c r="J1186" s="1288">
        <v>9.6821872486620761E-2</v>
      </c>
      <c r="K1186" s="1280">
        <v>0.91624816095794792</v>
      </c>
      <c r="L1186" s="1330">
        <v>0.19315526093878035</v>
      </c>
    </row>
    <row r="1187" spans="1:12" s="326" customFormat="1" ht="15.5" x14ac:dyDescent="0.35">
      <c r="A1187" s="328" t="s">
        <v>2151</v>
      </c>
      <c r="B1187" s="1291">
        <v>9.3414981312134299E-2</v>
      </c>
      <c r="C1187" s="1257">
        <v>0.2344136825289527</v>
      </c>
      <c r="D1187" s="1257">
        <v>0.10379442368014921</v>
      </c>
      <c r="E1187" s="1280">
        <v>0.69786180761348326</v>
      </c>
      <c r="F1187" s="1303">
        <v>5.963919880679467E-2</v>
      </c>
      <c r="G1187" s="1288">
        <v>5.5483832793567625E-2</v>
      </c>
      <c r="H1187" s="1280">
        <v>0.52505656474501128</v>
      </c>
      <c r="I1187" s="1303">
        <v>7.2872054129129796E-2</v>
      </c>
      <c r="J1187" s="1288">
        <v>9.5430142151960065E-2</v>
      </c>
      <c r="K1187" s="1280">
        <v>0.90307788933509281</v>
      </c>
      <c r="L1187" s="1330">
        <v>0.19783870293584135</v>
      </c>
    </row>
    <row r="1188" spans="1:12" s="326" customFormat="1" ht="15.5" x14ac:dyDescent="0.35">
      <c r="A1188" s="328" t="s">
        <v>2152</v>
      </c>
      <c r="B1188" s="1291">
        <v>9.3414981312134299E-2</v>
      </c>
      <c r="C1188" s="1257">
        <v>0.2344136825289527</v>
      </c>
      <c r="D1188" s="1257">
        <v>0.10379442368014921</v>
      </c>
      <c r="E1188" s="1280">
        <v>0.69786180761348326</v>
      </c>
      <c r="F1188" s="1303">
        <v>5.4651013022766481E-2</v>
      </c>
      <c r="G1188" s="1288">
        <v>5.4186635098945536E-2</v>
      </c>
      <c r="H1188" s="1280">
        <v>0.51278087773781544</v>
      </c>
      <c r="I1188" s="1303">
        <v>6.8353746872766713E-2</v>
      </c>
      <c r="J1188" s="1288">
        <v>9.0857544158928313E-2</v>
      </c>
      <c r="K1188" s="1280">
        <v>0.85980631862162316</v>
      </c>
      <c r="L1188" s="1330">
        <v>0.19783870293587444</v>
      </c>
    </row>
    <row r="1189" spans="1:12" s="326" customFormat="1" ht="15.5" x14ac:dyDescent="0.35">
      <c r="A1189" s="328" t="s">
        <v>2153</v>
      </c>
      <c r="B1189" s="1291">
        <v>9.3414981312134299E-2</v>
      </c>
      <c r="C1189" s="1257">
        <v>0.2344136825289527</v>
      </c>
      <c r="D1189" s="1257">
        <v>0.10379442368014921</v>
      </c>
      <c r="E1189" s="1280">
        <v>0.69786180761348326</v>
      </c>
      <c r="F1189" s="1303">
        <v>5.7212750742232595E-2</v>
      </c>
      <c r="G1189" s="1288">
        <v>5.2222675597999493E-2</v>
      </c>
      <c r="H1189" s="1280">
        <v>0.49419546687224519</v>
      </c>
      <c r="I1189" s="1303">
        <v>6.8425886518039616E-2</v>
      </c>
      <c r="J1189" s="1288">
        <v>8.9992012113375958E-2</v>
      </c>
      <c r="K1189" s="1280">
        <v>0.85161558521996228</v>
      </c>
      <c r="L1189" s="1330">
        <v>0.19783870293568906</v>
      </c>
    </row>
    <row r="1190" spans="1:12" s="326" customFormat="1" ht="15.5" x14ac:dyDescent="0.35">
      <c r="A1190" s="328" t="s">
        <v>2154</v>
      </c>
      <c r="B1190" s="1291">
        <v>9.3414981312134299E-2</v>
      </c>
      <c r="C1190" s="1257">
        <v>0.2344136825289527</v>
      </c>
      <c r="D1190" s="1257">
        <v>0.10379442368014921</v>
      </c>
      <c r="E1190" s="1280">
        <v>0.69786180761348326</v>
      </c>
      <c r="F1190" s="1303">
        <v>5.4126547644294649E-2</v>
      </c>
      <c r="G1190" s="1288">
        <v>5.2101193199859931E-2</v>
      </c>
      <c r="H1190" s="1280">
        <v>0.49304585035455684</v>
      </c>
      <c r="I1190" s="1303">
        <v>6.5018095324743216E-2</v>
      </c>
      <c r="J1190" s="1288">
        <v>8.7344477315926733E-2</v>
      </c>
      <c r="K1190" s="1280">
        <v>0.82656134048233609</v>
      </c>
      <c r="L1190" s="1330">
        <v>0.19783870293586051</v>
      </c>
    </row>
    <row r="1191" spans="1:12" s="326" customFormat="1" ht="15.5" x14ac:dyDescent="0.35">
      <c r="A1191" s="328" t="s">
        <v>2155</v>
      </c>
      <c r="B1191" s="1287">
        <v>9.3414981312134299E-2</v>
      </c>
      <c r="C1191" s="1288">
        <v>0.2344136825289527</v>
      </c>
      <c r="D1191" s="1288">
        <v>0.2582936678585307</v>
      </c>
      <c r="E1191" s="1280">
        <v>0.69786180761348326</v>
      </c>
      <c r="F1191" s="1303">
        <v>5.2618865384903048E-2</v>
      </c>
      <c r="G1191" s="1288">
        <v>4.9516793845846452E-2</v>
      </c>
      <c r="H1191" s="1280">
        <v>0.46858907117356163</v>
      </c>
      <c r="I1191" s="1303">
        <v>6.3385761096706433E-2</v>
      </c>
      <c r="J1191" s="1288">
        <v>8.5136048380279994E-2</v>
      </c>
      <c r="K1191" s="1280">
        <v>0.80566245783397317</v>
      </c>
      <c r="L1191" s="1330">
        <v>0.17771091445780304</v>
      </c>
    </row>
    <row r="1192" spans="1:12" s="326" customFormat="1" ht="15.5" x14ac:dyDescent="0.35">
      <c r="A1192" s="328" t="s">
        <v>2156</v>
      </c>
      <c r="B1192" s="1287">
        <v>9.8587949153307694E-2</v>
      </c>
      <c r="C1192" s="1288">
        <v>0.26578437244116232</v>
      </c>
      <c r="D1192" s="1288">
        <v>0.29376215510846698</v>
      </c>
      <c r="E1192" s="1280">
        <v>0.73650675125807141</v>
      </c>
      <c r="F1192" s="1303">
        <v>5.1226413126095424E-2</v>
      </c>
      <c r="G1192" s="1288">
        <v>4.7753517431679486E-2</v>
      </c>
      <c r="H1192" s="1280">
        <v>0.45190277157773157</v>
      </c>
      <c r="I1192" s="1303">
        <v>6.1818246380466943E-2</v>
      </c>
      <c r="J1192" s="1288">
        <v>8.3015339199653815E-2</v>
      </c>
      <c r="K1192" s="1280">
        <v>0.78559368786731232</v>
      </c>
      <c r="L1192" s="1330">
        <v>0.17661906758058232</v>
      </c>
    </row>
    <row r="1193" spans="1:12" s="326" customFormat="1" ht="15.5" x14ac:dyDescent="0.35">
      <c r="A1193" s="328" t="s">
        <v>2157</v>
      </c>
      <c r="B1193" s="1287">
        <v>0.1074253596936517</v>
      </c>
      <c r="C1193" s="1288">
        <v>0.26638630937598545</v>
      </c>
      <c r="D1193" s="1288">
        <v>0.23469722647058039</v>
      </c>
      <c r="E1193" s="1280">
        <v>0.8025271176669635</v>
      </c>
      <c r="F1193" s="1303">
        <v>4.9852593757495789E-2</v>
      </c>
      <c r="G1193" s="1288">
        <v>4.610902438925174E-2</v>
      </c>
      <c r="H1193" s="1280">
        <v>0.43634054697769842</v>
      </c>
      <c r="I1193" s="1303">
        <v>6.0250556488478213E-2</v>
      </c>
      <c r="J1193" s="1288">
        <v>8.0898437002216758E-2</v>
      </c>
      <c r="K1193" s="1280">
        <v>0.76556094427833066</v>
      </c>
      <c r="L1193" s="1330">
        <v>0.1756364053909816</v>
      </c>
    </row>
    <row r="1194" spans="1:12" s="326" customFormat="1" ht="15.5" x14ac:dyDescent="0.35">
      <c r="A1194" s="328" t="s">
        <v>2158</v>
      </c>
      <c r="B1194" s="1287">
        <v>0.10560322510941468</v>
      </c>
      <c r="C1194" s="1288">
        <v>0.26740304650304197</v>
      </c>
      <c r="D1194" s="1288">
        <v>0.23770816364335756</v>
      </c>
      <c r="E1194" s="1306">
        <v>1.8982986074024835</v>
      </c>
      <c r="F1194" s="1303">
        <v>4.9558989367324419E-2</v>
      </c>
      <c r="G1194" s="1288">
        <v>4.4518110759180204E-2</v>
      </c>
      <c r="H1194" s="1306">
        <v>0.42120818857457165</v>
      </c>
      <c r="I1194" s="1303">
        <v>6.0242223680228017E-2</v>
      </c>
      <c r="J1194" s="1288">
        <v>8.086487010100156E-2</v>
      </c>
      <c r="K1194" s="1306">
        <v>0.59889730371195771</v>
      </c>
      <c r="L1194" s="1330">
        <v>0.1615273968612353</v>
      </c>
    </row>
    <row r="1195" spans="1:12" s="326" customFormat="1" ht="15.5" x14ac:dyDescent="0.35">
      <c r="A1195" s="328" t="s">
        <v>2159</v>
      </c>
      <c r="B1195" s="1287">
        <v>0.11379153722627251</v>
      </c>
      <c r="C1195" s="1288">
        <v>0.13934047685246445</v>
      </c>
      <c r="D1195" s="1288">
        <v>0.21275244645812127</v>
      </c>
      <c r="E1195" s="1306">
        <v>1.9530567921586111</v>
      </c>
      <c r="F1195" s="1303">
        <v>4.9322202741131929E-2</v>
      </c>
      <c r="G1195" s="1288">
        <v>4.2995494066575844E-2</v>
      </c>
      <c r="H1195" s="1306">
        <v>0.42894956561632053</v>
      </c>
      <c r="I1195" s="1303">
        <v>6.0232920377420542E-2</v>
      </c>
      <c r="J1195" s="1288">
        <v>8.0829024787797299E-2</v>
      </c>
      <c r="K1195" s="1306">
        <v>0.59896955648471217</v>
      </c>
      <c r="L1195" s="1330">
        <v>0.16079167564414759</v>
      </c>
    </row>
    <row r="1196" spans="1:12" s="326" customFormat="1" ht="15.5" x14ac:dyDescent="0.35">
      <c r="A1196" s="328" t="s">
        <v>2160</v>
      </c>
      <c r="B1196" s="1287">
        <v>0.10844615133208388</v>
      </c>
      <c r="C1196" s="1288">
        <v>0.14997163962507495</v>
      </c>
      <c r="D1196" s="1288">
        <v>0.18773795312107144</v>
      </c>
      <c r="E1196" s="1306">
        <v>1.9037842950664312</v>
      </c>
      <c r="F1196" s="1303">
        <v>4.9156705231526175E-2</v>
      </c>
      <c r="G1196" s="1288">
        <v>4.2479969157766237E-2</v>
      </c>
      <c r="H1196" s="1306">
        <v>0.44396632146912751</v>
      </c>
      <c r="I1196" s="1303">
        <v>6.0223283956929573E-2</v>
      </c>
      <c r="J1196" s="1288">
        <v>8.0791648558306409E-2</v>
      </c>
      <c r="K1196" s="1306">
        <v>0.59901332054238521</v>
      </c>
      <c r="L1196" s="1330">
        <v>0.16012952654886953</v>
      </c>
    </row>
    <row r="1197" spans="1:12" s="326" customFormat="1" ht="15.5" x14ac:dyDescent="0.35">
      <c r="A1197" s="328" t="s">
        <v>2161</v>
      </c>
      <c r="B1197" s="1287">
        <v>0.11619329120118292</v>
      </c>
      <c r="C1197" s="1288">
        <v>9.7638373534094255E-2</v>
      </c>
      <c r="D1197" s="1288">
        <v>0.22208810541732488</v>
      </c>
      <c r="E1197" s="1306">
        <v>1.9140961818347497</v>
      </c>
      <c r="F1197" s="1303">
        <v>4.900009970012207E-2</v>
      </c>
      <c r="G1197" s="1288">
        <v>4.2293763572247213E-2</v>
      </c>
      <c r="H1197" s="1306">
        <v>0.45977723867864323</v>
      </c>
      <c r="I1197" s="1303">
        <v>6.0213655866206875E-2</v>
      </c>
      <c r="J1197" s="1288">
        <v>8.0753099453043792E-2</v>
      </c>
      <c r="K1197" s="1306">
        <v>0.59907296135985799</v>
      </c>
      <c r="L1197" s="1330">
        <v>0.15378792867653371</v>
      </c>
    </row>
    <row r="1198" spans="1:12" s="326" customFormat="1" ht="15.5" x14ac:dyDescent="0.35">
      <c r="A1198" s="328" t="s">
        <v>2162</v>
      </c>
      <c r="B1198" s="1287">
        <v>0.11349115391980297</v>
      </c>
      <c r="C1198" s="1288">
        <v>0.1463850871495993</v>
      </c>
      <c r="D1198" s="1288">
        <v>0.2215222968216051</v>
      </c>
      <c r="E1198" s="1306">
        <v>1.9033773886895664</v>
      </c>
      <c r="F1198" s="1303">
        <v>4.8809773505123055E-2</v>
      </c>
      <c r="G1198" s="1288">
        <v>4.2100861278893925E-2</v>
      </c>
      <c r="H1198" s="1306">
        <v>0.47124815573828416</v>
      </c>
      <c r="I1198" s="1303">
        <v>6.0203664097738391E-2</v>
      </c>
      <c r="J1198" s="1288">
        <v>8.0712760394254693E-2</v>
      </c>
      <c r="K1198" s="1306">
        <v>0.59916355062368154</v>
      </c>
      <c r="L1198" s="1330">
        <v>0.15378792867652694</v>
      </c>
    </row>
    <row r="1199" spans="1:12" s="326" customFormat="1" ht="15.5" x14ac:dyDescent="0.35">
      <c r="A1199" s="328" t="s">
        <v>2163</v>
      </c>
      <c r="B1199" s="1287">
        <v>0.10999192690320045</v>
      </c>
      <c r="C1199" s="1288">
        <v>0.13916857320707746</v>
      </c>
      <c r="D1199" s="1288">
        <v>0.24473747917570576</v>
      </c>
      <c r="E1199" s="1306">
        <v>1.9403772503032353</v>
      </c>
      <c r="F1199" s="1303">
        <v>4.8608565882104972E-2</v>
      </c>
      <c r="G1199" s="1288">
        <v>4.1898122040045331E-2</v>
      </c>
      <c r="H1199" s="1306">
        <v>0.48010663496528183</v>
      </c>
      <c r="I1199" s="1303">
        <v>6.0193041924337547E-2</v>
      </c>
      <c r="J1199" s="1288">
        <v>8.0671058600150808E-2</v>
      </c>
      <c r="K1199" s="1306">
        <v>0.59924855229113305</v>
      </c>
      <c r="L1199" s="1330">
        <v>0.15378792867653304</v>
      </c>
    </row>
    <row r="1200" spans="1:12" s="326" customFormat="1" ht="15.5" x14ac:dyDescent="0.35">
      <c r="A1200" s="328" t="s">
        <v>2164</v>
      </c>
      <c r="B1200" s="1287">
        <v>6.4670367970624379E-2</v>
      </c>
      <c r="C1200" s="1288">
        <v>9.670228161896445E-2</v>
      </c>
      <c r="D1200" s="1288">
        <v>9.6780701898999205E-2</v>
      </c>
      <c r="E1200" s="1306">
        <v>1.922453728413962</v>
      </c>
      <c r="F1200" s="1303">
        <v>4.8366388460400971E-2</v>
      </c>
      <c r="G1200" s="1288">
        <v>4.1681972564828668E-2</v>
      </c>
      <c r="H1200" s="1306">
        <v>0.48608032227094911</v>
      </c>
      <c r="I1200" s="1303">
        <v>6.0181630299111541E-2</v>
      </c>
      <c r="J1200" s="1288">
        <v>8.0629450604947084E-2</v>
      </c>
      <c r="K1200" s="1306">
        <v>0.5993690768550074</v>
      </c>
      <c r="L1200" s="1330">
        <v>0.15378792867653721</v>
      </c>
    </row>
    <row r="1201" spans="1:12" s="326" customFormat="1" ht="15.5" x14ac:dyDescent="0.35">
      <c r="A1201" s="328" t="s">
        <v>2165</v>
      </c>
      <c r="B1201" s="1287">
        <v>6.5574775904484517E-2</v>
      </c>
      <c r="C1201" s="1288">
        <v>8.5593740181139438E-2</v>
      </c>
      <c r="D1201" s="1288">
        <v>9.5876432459919544E-2</v>
      </c>
      <c r="E1201" s="1306">
        <v>1.9613443236174604</v>
      </c>
      <c r="F1201" s="1303">
        <v>4.8139549002217216E-2</v>
      </c>
      <c r="G1201" s="1288">
        <v>4.14962461555691E-2</v>
      </c>
      <c r="H1201" s="1306">
        <v>0.49445338763653884</v>
      </c>
      <c r="I1201" s="1303">
        <v>6.0169198066062322E-2</v>
      </c>
      <c r="J1201" s="1288">
        <v>8.0589505385968221E-2</v>
      </c>
      <c r="K1201" s="1306">
        <v>0.59951584817404924</v>
      </c>
      <c r="L1201" s="1330">
        <v>0.15378792867653115</v>
      </c>
    </row>
    <row r="1202" spans="1:12" s="326" customFormat="1" ht="15.5" x14ac:dyDescent="0.35">
      <c r="A1202" s="328" t="s">
        <v>2166</v>
      </c>
      <c r="B1202" s="1287">
        <v>6.4735510931571649E-2</v>
      </c>
      <c r="C1202" s="1288">
        <v>9.3244112226821815E-2</v>
      </c>
      <c r="D1202" s="1288">
        <v>8.6874935047390106E-2</v>
      </c>
      <c r="E1202" s="1306">
        <v>1.8016047610389458</v>
      </c>
      <c r="F1202" s="1303">
        <v>4.7894244038148889E-2</v>
      </c>
      <c r="G1202" s="1288">
        <v>4.1307058087830389E-2</v>
      </c>
      <c r="H1202" s="1306">
        <v>0.50164785469760864</v>
      </c>
      <c r="I1202" s="1303">
        <v>6.0155030785037124E-2</v>
      </c>
      <c r="J1202" s="1288">
        <v>8.0550639361251397E-2</v>
      </c>
      <c r="K1202" s="1306">
        <v>0.5996718122920347</v>
      </c>
      <c r="L1202" s="1330">
        <v>0.15378792867653454</v>
      </c>
    </row>
    <row r="1203" spans="1:12" s="326" customFormat="1" ht="15.5" x14ac:dyDescent="0.35">
      <c r="A1203" s="328" t="s">
        <v>2167</v>
      </c>
      <c r="B1203" s="1287">
        <v>6.4815382071033018E-2</v>
      </c>
      <c r="C1203" s="1288">
        <v>8.5256773753446397E-2</v>
      </c>
      <c r="D1203" s="1288">
        <v>8.4989008668810276E-2</v>
      </c>
      <c r="E1203" s="1306">
        <v>1.8717882163426898</v>
      </c>
      <c r="F1203" s="1303">
        <v>4.7579282006750614E-2</v>
      </c>
      <c r="G1203" s="1288">
        <v>4.1105189811904932E-2</v>
      </c>
      <c r="H1203" s="1306">
        <v>0.50736130755659792</v>
      </c>
      <c r="I1203" s="1303">
        <v>6.0138260206239816E-2</v>
      </c>
      <c r="J1203" s="1288">
        <v>8.0508200739273061E-2</v>
      </c>
      <c r="K1203" s="1306">
        <v>0.59982951801462003</v>
      </c>
      <c r="L1203" s="1330">
        <v>0.15378792867653249</v>
      </c>
    </row>
    <row r="1204" spans="1:12" s="326" customFormat="1" ht="15.5" x14ac:dyDescent="0.35">
      <c r="A1204" s="328" t="s">
        <v>2168</v>
      </c>
      <c r="B1204" s="1287">
        <v>6.4764370128812018E-2</v>
      </c>
      <c r="C1204" s="1288">
        <v>9.6006070359977908E-2</v>
      </c>
      <c r="D1204" s="1288">
        <v>8.3700241107985476E-2</v>
      </c>
      <c r="E1204" s="1306">
        <v>1.8163768095128137</v>
      </c>
      <c r="F1204" s="1303">
        <v>4.7232689251046768E-2</v>
      </c>
      <c r="G1204" s="1288">
        <v>4.0888640685228211E-2</v>
      </c>
      <c r="H1204" s="1306">
        <v>0.51209934744805552</v>
      </c>
      <c r="I1204" s="1303">
        <v>6.0117047601400304E-2</v>
      </c>
      <c r="J1204" s="1288">
        <v>8.0447626658820076E-2</v>
      </c>
      <c r="K1204" s="1306">
        <v>0.59993921557638885</v>
      </c>
      <c r="L1204" s="1330">
        <v>0.15378792867653091</v>
      </c>
    </row>
    <row r="1205" spans="1:12" s="326" customFormat="1" ht="15.5" x14ac:dyDescent="0.35">
      <c r="A1205" s="328" t="s">
        <v>2169</v>
      </c>
      <c r="B1205" s="1287">
        <v>6.4543330592285786E-2</v>
      </c>
      <c r="C1205" s="1288">
        <v>7.5387979914550443E-2</v>
      </c>
      <c r="D1205" s="1288">
        <v>8.4307249902111095E-2</v>
      </c>
      <c r="E1205" s="1306">
        <v>1.8998789029143766</v>
      </c>
      <c r="F1205" s="1303">
        <v>4.6355174868799698E-2</v>
      </c>
      <c r="G1205" s="1288">
        <v>4.0458528299540261E-2</v>
      </c>
      <c r="H1205" s="1306">
        <v>0.5078519452785567</v>
      </c>
      <c r="I1205" s="1303">
        <v>6.0085792296767672E-2</v>
      </c>
      <c r="J1205" s="1288">
        <v>8.0332851091635418E-2</v>
      </c>
      <c r="K1205" s="1306">
        <v>0.59968932312618728</v>
      </c>
      <c r="L1205" s="1330">
        <v>0.15378858300397413</v>
      </c>
    </row>
    <row r="1206" spans="1:12" s="326" customFormat="1" ht="15.5" x14ac:dyDescent="0.35">
      <c r="A1206" s="328" t="s">
        <v>2170</v>
      </c>
      <c r="B1206" s="1291">
        <v>6.4543330592285786E-2</v>
      </c>
      <c r="C1206" s="1257">
        <v>7.5387979914550443E-2</v>
      </c>
      <c r="D1206" s="1257">
        <v>8.4307249902111095E-2</v>
      </c>
      <c r="E1206" s="1280">
        <v>1.8998789029143766</v>
      </c>
      <c r="F1206" s="1271">
        <v>4.6355174868799698E-2</v>
      </c>
      <c r="G1206" s="1257">
        <v>4.0458528299540261E-2</v>
      </c>
      <c r="H1206" s="1280">
        <v>0.5078519452785567</v>
      </c>
      <c r="I1206" s="1271">
        <v>6.0085792296767672E-2</v>
      </c>
      <c r="J1206" s="1257">
        <v>8.0332851091635418E-2</v>
      </c>
      <c r="K1206" s="1280">
        <v>0.59968932312618728</v>
      </c>
      <c r="L1206" s="1330">
        <v>0.16102317633181187</v>
      </c>
    </row>
    <row r="1207" spans="1:12" s="326" customFormat="1" ht="15.5" x14ac:dyDescent="0.35">
      <c r="A1207" s="328" t="s">
        <v>2171</v>
      </c>
      <c r="B1207" s="1291">
        <v>9.8587949142849199E-2</v>
      </c>
      <c r="C1207" s="1257">
        <v>0.26579037092658964</v>
      </c>
      <c r="D1207" s="1257">
        <v>0.10954216571427688</v>
      </c>
      <c r="E1207" s="1280">
        <v>0.73650675117994058</v>
      </c>
      <c r="F1207" s="1271">
        <v>5.7150473815768946E-2</v>
      </c>
      <c r="G1207" s="1257">
        <v>8.4785873567322798E-2</v>
      </c>
      <c r="H1207" s="1280">
        <v>0.80234867118488562</v>
      </c>
      <c r="I1207" s="1271">
        <v>6.377157293396267E-2</v>
      </c>
      <c r="J1207" s="1257">
        <v>0.13398638684337488</v>
      </c>
      <c r="K1207" s="1280">
        <v>1.2679447049075256</v>
      </c>
      <c r="L1207" s="1237">
        <v>0.17425741523886187</v>
      </c>
    </row>
    <row r="1208" spans="1:12" s="326" customFormat="1" ht="15.5" x14ac:dyDescent="0.35">
      <c r="A1208" s="328" t="s">
        <v>2172</v>
      </c>
      <c r="B1208" s="1291">
        <v>9.8587949142849199E-2</v>
      </c>
      <c r="C1208" s="1257">
        <v>0.26579037092658964</v>
      </c>
      <c r="D1208" s="1257">
        <v>0.10954216571427688</v>
      </c>
      <c r="E1208" s="1280">
        <v>0.73650675117994058</v>
      </c>
      <c r="F1208" s="1271">
        <v>5.7150473815768946E-2</v>
      </c>
      <c r="G1208" s="1257">
        <v>8.4785873567322798E-2</v>
      </c>
      <c r="H1208" s="1280">
        <v>0.80234867118488562</v>
      </c>
      <c r="I1208" s="1271">
        <v>6.377157293396267E-2</v>
      </c>
      <c r="J1208" s="1257">
        <v>0.13398638684337488</v>
      </c>
      <c r="K1208" s="1280">
        <v>1.2679447049075256</v>
      </c>
      <c r="L1208" s="1237">
        <v>0.17425741523886187</v>
      </c>
    </row>
    <row r="1209" spans="1:12" s="326" customFormat="1" ht="15.5" x14ac:dyDescent="0.35">
      <c r="A1209" s="328" t="s">
        <v>2173</v>
      </c>
      <c r="B1209" s="1291">
        <v>9.8587949142849199E-2</v>
      </c>
      <c r="C1209" s="1257">
        <v>0.26579037092658964</v>
      </c>
      <c r="D1209" s="1257">
        <v>0.10954216571427688</v>
      </c>
      <c r="E1209" s="1280">
        <v>0.73650675117994058</v>
      </c>
      <c r="F1209" s="1271">
        <v>5.7150473815768946E-2</v>
      </c>
      <c r="G1209" s="1257">
        <v>8.4785873567322798E-2</v>
      </c>
      <c r="H1209" s="1280">
        <v>0.80234867118488562</v>
      </c>
      <c r="I1209" s="1271">
        <v>6.377157293396267E-2</v>
      </c>
      <c r="J1209" s="1257">
        <v>0.13398638684337488</v>
      </c>
      <c r="K1209" s="1280">
        <v>1.2679447049075256</v>
      </c>
      <c r="L1209" s="1237">
        <v>0.17425741523886187</v>
      </c>
    </row>
    <row r="1210" spans="1:12" s="326" customFormat="1" ht="15.5" x14ac:dyDescent="0.35">
      <c r="A1210" s="328" t="s">
        <v>2174</v>
      </c>
      <c r="B1210" s="1291">
        <v>9.8587949142849199E-2</v>
      </c>
      <c r="C1210" s="1257">
        <v>0.26579037092658964</v>
      </c>
      <c r="D1210" s="1257">
        <v>0.10954216571427688</v>
      </c>
      <c r="E1210" s="1280">
        <v>0.73650675117994058</v>
      </c>
      <c r="F1210" s="1271">
        <v>5.7150473815768946E-2</v>
      </c>
      <c r="G1210" s="1257">
        <v>8.4785873567322798E-2</v>
      </c>
      <c r="H1210" s="1280">
        <v>0.80234867118488562</v>
      </c>
      <c r="I1210" s="1271">
        <v>6.377157293396267E-2</v>
      </c>
      <c r="J1210" s="1257">
        <v>0.13398638684337488</v>
      </c>
      <c r="K1210" s="1280">
        <v>1.2679447049075256</v>
      </c>
      <c r="L1210" s="1237">
        <v>0.17425741523886187</v>
      </c>
    </row>
    <row r="1211" spans="1:12" s="326" customFormat="1" ht="15.5" x14ac:dyDescent="0.35">
      <c r="A1211" s="328" t="s">
        <v>2175</v>
      </c>
      <c r="B1211" s="1291">
        <v>9.8587949142849199E-2</v>
      </c>
      <c r="C1211" s="1257">
        <v>0.26579037092658964</v>
      </c>
      <c r="D1211" s="1257">
        <v>0.10954216571427688</v>
      </c>
      <c r="E1211" s="1280">
        <v>0.73650675117994058</v>
      </c>
      <c r="F1211" s="1271">
        <v>5.7150473815768946E-2</v>
      </c>
      <c r="G1211" s="1257">
        <v>8.4785873567322798E-2</v>
      </c>
      <c r="H1211" s="1280">
        <v>0.80234867118488562</v>
      </c>
      <c r="I1211" s="1271">
        <v>6.377157293396267E-2</v>
      </c>
      <c r="J1211" s="1257">
        <v>0.13398638684337488</v>
      </c>
      <c r="K1211" s="1280">
        <v>1.2679447049075256</v>
      </c>
      <c r="L1211" s="1237">
        <v>0.17425741523886187</v>
      </c>
    </row>
    <row r="1212" spans="1:12" s="326" customFormat="1" ht="15.5" x14ac:dyDescent="0.35">
      <c r="A1212" s="328" t="s">
        <v>2176</v>
      </c>
      <c r="B1212" s="1291">
        <v>9.8587949142849199E-2</v>
      </c>
      <c r="C1212" s="1257">
        <v>0.26579037092658964</v>
      </c>
      <c r="D1212" s="1257">
        <v>0.10954216571427688</v>
      </c>
      <c r="E1212" s="1280">
        <v>0.73650675117994058</v>
      </c>
      <c r="F1212" s="1271">
        <v>5.7150473815768946E-2</v>
      </c>
      <c r="G1212" s="1257">
        <v>8.4785873567322798E-2</v>
      </c>
      <c r="H1212" s="1280">
        <v>0.80234867118488562</v>
      </c>
      <c r="I1212" s="1271">
        <v>6.377157293396267E-2</v>
      </c>
      <c r="J1212" s="1257">
        <v>0.13398638684337488</v>
      </c>
      <c r="K1212" s="1280">
        <v>1.2679447049075256</v>
      </c>
      <c r="L1212" s="1237">
        <v>0.17425741523886187</v>
      </c>
    </row>
    <row r="1213" spans="1:12" s="326" customFormat="1" ht="15.5" x14ac:dyDescent="0.35">
      <c r="A1213" s="328" t="s">
        <v>2177</v>
      </c>
      <c r="B1213" s="1291">
        <v>9.8587949142849199E-2</v>
      </c>
      <c r="C1213" s="1257">
        <v>0.26579037092658964</v>
      </c>
      <c r="D1213" s="1257">
        <v>0.10954216571427688</v>
      </c>
      <c r="E1213" s="1280">
        <v>0.73650675117994058</v>
      </c>
      <c r="F1213" s="1271">
        <v>5.7150473815768946E-2</v>
      </c>
      <c r="G1213" s="1257">
        <v>8.4785873567322798E-2</v>
      </c>
      <c r="H1213" s="1280">
        <v>0.80234867118488562</v>
      </c>
      <c r="I1213" s="1271">
        <v>6.377157293396267E-2</v>
      </c>
      <c r="J1213" s="1257">
        <v>0.13398638684337488</v>
      </c>
      <c r="K1213" s="1280">
        <v>1.2679447049075256</v>
      </c>
      <c r="L1213" s="1237">
        <v>0.17425741523886187</v>
      </c>
    </row>
    <row r="1214" spans="1:12" s="326" customFormat="1" ht="15.5" x14ac:dyDescent="0.35">
      <c r="A1214" s="328" t="s">
        <v>2178</v>
      </c>
      <c r="B1214" s="1291">
        <v>9.8587949142849199E-2</v>
      </c>
      <c r="C1214" s="1257">
        <v>0.26579037092658964</v>
      </c>
      <c r="D1214" s="1257">
        <v>0.10954216571427688</v>
      </c>
      <c r="E1214" s="1280">
        <v>0.73650675117994058</v>
      </c>
      <c r="F1214" s="1271">
        <v>5.7150473815768946E-2</v>
      </c>
      <c r="G1214" s="1257">
        <v>8.4785873567322798E-2</v>
      </c>
      <c r="H1214" s="1280">
        <v>0.80234867118488562</v>
      </c>
      <c r="I1214" s="1271">
        <v>6.377157293396267E-2</v>
      </c>
      <c r="J1214" s="1257">
        <v>0.13398638684337488</v>
      </c>
      <c r="K1214" s="1280">
        <v>1.2679447049075256</v>
      </c>
      <c r="L1214" s="1237">
        <v>0.17425741523886187</v>
      </c>
    </row>
    <row r="1215" spans="1:12" s="326" customFormat="1" ht="15.5" x14ac:dyDescent="0.35">
      <c r="A1215" s="328" t="s">
        <v>2179</v>
      </c>
      <c r="B1215" s="1291">
        <v>9.8587949142849199E-2</v>
      </c>
      <c r="C1215" s="1257">
        <v>0.26579037092658964</v>
      </c>
      <c r="D1215" s="1257">
        <v>0.10954216571427688</v>
      </c>
      <c r="E1215" s="1280">
        <v>0.73650675117994058</v>
      </c>
      <c r="F1215" s="1271">
        <v>5.7150473815768946E-2</v>
      </c>
      <c r="G1215" s="1257">
        <v>8.4785873567322798E-2</v>
      </c>
      <c r="H1215" s="1280">
        <v>0.80234867118488562</v>
      </c>
      <c r="I1215" s="1271">
        <v>6.377157293396267E-2</v>
      </c>
      <c r="J1215" s="1257">
        <v>0.13398638684337488</v>
      </c>
      <c r="K1215" s="1280">
        <v>1.2679447049075256</v>
      </c>
      <c r="L1215" s="1237">
        <v>0.17425741523886187</v>
      </c>
    </row>
    <row r="1216" spans="1:12" s="326" customFormat="1" ht="15.5" x14ac:dyDescent="0.35">
      <c r="A1216" s="328" t="s">
        <v>2180</v>
      </c>
      <c r="B1216" s="1291">
        <v>9.8587949142849199E-2</v>
      </c>
      <c r="C1216" s="1257">
        <v>0.26579037092658964</v>
      </c>
      <c r="D1216" s="1257">
        <v>0.10954216571427688</v>
      </c>
      <c r="E1216" s="1280">
        <v>0.73650675117994058</v>
      </c>
      <c r="F1216" s="1271">
        <v>5.7150473815768946E-2</v>
      </c>
      <c r="G1216" s="1257">
        <v>8.4785873567322798E-2</v>
      </c>
      <c r="H1216" s="1280">
        <v>0.80234867118488562</v>
      </c>
      <c r="I1216" s="1271">
        <v>6.377157293396267E-2</v>
      </c>
      <c r="J1216" s="1257">
        <v>0.13398638684337488</v>
      </c>
      <c r="K1216" s="1280">
        <v>1.2679447049075256</v>
      </c>
      <c r="L1216" s="1237">
        <v>0.17425741523886187</v>
      </c>
    </row>
    <row r="1217" spans="1:12" s="326" customFormat="1" ht="15.5" x14ac:dyDescent="0.35">
      <c r="A1217" s="328" t="s">
        <v>2181</v>
      </c>
      <c r="B1217" s="1291">
        <v>9.8587949142849199E-2</v>
      </c>
      <c r="C1217" s="1257">
        <v>0.26579037092658964</v>
      </c>
      <c r="D1217" s="1257">
        <v>0.10954216571427688</v>
      </c>
      <c r="E1217" s="1280">
        <v>0.73650675117994058</v>
      </c>
      <c r="F1217" s="1271">
        <v>5.7150473815768946E-2</v>
      </c>
      <c r="G1217" s="1257">
        <v>8.4785873567322798E-2</v>
      </c>
      <c r="H1217" s="1280">
        <v>0.80234867118488562</v>
      </c>
      <c r="I1217" s="1271">
        <v>6.377157293396267E-2</v>
      </c>
      <c r="J1217" s="1257">
        <v>0.13398638684337488</v>
      </c>
      <c r="K1217" s="1280">
        <v>1.2679447049075256</v>
      </c>
      <c r="L1217" s="1237">
        <v>0.17425741523886187</v>
      </c>
    </row>
    <row r="1218" spans="1:12" s="326" customFormat="1" ht="15.5" x14ac:dyDescent="0.35">
      <c r="A1218" s="328" t="s">
        <v>2182</v>
      </c>
      <c r="B1218" s="1291">
        <v>9.8587949142849199E-2</v>
      </c>
      <c r="C1218" s="1257">
        <v>0.26579037092658964</v>
      </c>
      <c r="D1218" s="1257">
        <v>0.10954216571427688</v>
      </c>
      <c r="E1218" s="1280">
        <v>0.73650675117994058</v>
      </c>
      <c r="F1218" s="1271">
        <v>5.7150473815768946E-2</v>
      </c>
      <c r="G1218" s="1257">
        <v>8.4785873567322798E-2</v>
      </c>
      <c r="H1218" s="1280">
        <v>0.80234867118488562</v>
      </c>
      <c r="I1218" s="1271">
        <v>6.377157293396267E-2</v>
      </c>
      <c r="J1218" s="1257">
        <v>0.13398638684337488</v>
      </c>
      <c r="K1218" s="1280">
        <v>1.2679447049075256</v>
      </c>
      <c r="L1218" s="1237">
        <v>0.17425741523886187</v>
      </c>
    </row>
    <row r="1219" spans="1:12" s="326" customFormat="1" ht="15.5" x14ac:dyDescent="0.35">
      <c r="A1219" s="328" t="s">
        <v>2183</v>
      </c>
      <c r="B1219" s="1291">
        <v>9.8587949142849199E-2</v>
      </c>
      <c r="C1219" s="1257">
        <v>0.26579037092658964</v>
      </c>
      <c r="D1219" s="1257">
        <v>0.10954216571427688</v>
      </c>
      <c r="E1219" s="1280">
        <v>0.73650675117994058</v>
      </c>
      <c r="F1219" s="1271">
        <v>5.7150473815768946E-2</v>
      </c>
      <c r="G1219" s="1257">
        <v>8.4785873567322798E-2</v>
      </c>
      <c r="H1219" s="1280">
        <v>0.80234867118488562</v>
      </c>
      <c r="I1219" s="1271">
        <v>6.377157293396267E-2</v>
      </c>
      <c r="J1219" s="1257">
        <v>0.13398638684337488</v>
      </c>
      <c r="K1219" s="1280">
        <v>1.2679447049075256</v>
      </c>
      <c r="L1219" s="1237">
        <v>0.17425741523886187</v>
      </c>
    </row>
    <row r="1220" spans="1:12" s="326" customFormat="1" ht="15.5" x14ac:dyDescent="0.35">
      <c r="A1220" s="328" t="s">
        <v>2184</v>
      </c>
      <c r="B1220" s="1291">
        <v>9.8587949142849199E-2</v>
      </c>
      <c r="C1220" s="1257">
        <v>0.26579037092658964</v>
      </c>
      <c r="D1220" s="1257">
        <v>0.10954216571427688</v>
      </c>
      <c r="E1220" s="1280">
        <v>0.73650675117994058</v>
      </c>
      <c r="F1220" s="1271">
        <v>5.7150473815768946E-2</v>
      </c>
      <c r="G1220" s="1257">
        <v>8.4785873567322798E-2</v>
      </c>
      <c r="H1220" s="1280">
        <v>0.80234867118488562</v>
      </c>
      <c r="I1220" s="1271">
        <v>6.377157293396267E-2</v>
      </c>
      <c r="J1220" s="1257">
        <v>0.13398638684337488</v>
      </c>
      <c r="K1220" s="1280">
        <v>1.2679447049075256</v>
      </c>
      <c r="L1220" s="1237">
        <v>0.17425741523886187</v>
      </c>
    </row>
    <row r="1221" spans="1:12" s="326" customFormat="1" ht="15.5" x14ac:dyDescent="0.35">
      <c r="A1221" s="328" t="s">
        <v>2185</v>
      </c>
      <c r="B1221" s="1291">
        <v>9.8587949142849199E-2</v>
      </c>
      <c r="C1221" s="1257">
        <v>0.26579037092658964</v>
      </c>
      <c r="D1221" s="1257">
        <v>0.10954216571427688</v>
      </c>
      <c r="E1221" s="1280">
        <v>0.73650675117994058</v>
      </c>
      <c r="F1221" s="1271">
        <v>5.7150473815768946E-2</v>
      </c>
      <c r="G1221" s="1257">
        <v>8.4785873567322798E-2</v>
      </c>
      <c r="H1221" s="1280">
        <v>0.80234867118488562</v>
      </c>
      <c r="I1221" s="1271">
        <v>6.377157293396267E-2</v>
      </c>
      <c r="J1221" s="1257">
        <v>0.13398638684337488</v>
      </c>
      <c r="K1221" s="1280">
        <v>1.2679447049075256</v>
      </c>
      <c r="L1221" s="1237">
        <v>0.17425741523886187</v>
      </c>
    </row>
    <row r="1222" spans="1:12" s="326" customFormat="1" ht="15.5" x14ac:dyDescent="0.35">
      <c r="A1222" s="328" t="s">
        <v>2186</v>
      </c>
      <c r="B1222" s="1291">
        <v>9.8587949142849199E-2</v>
      </c>
      <c r="C1222" s="1257">
        <v>0.26579037092658964</v>
      </c>
      <c r="D1222" s="1257">
        <v>0.10954216571427688</v>
      </c>
      <c r="E1222" s="1280">
        <v>0.73650675117994058</v>
      </c>
      <c r="F1222" s="1271">
        <v>5.7150473815768946E-2</v>
      </c>
      <c r="G1222" s="1257">
        <v>8.4785873567322798E-2</v>
      </c>
      <c r="H1222" s="1280">
        <v>0.80234867118488562</v>
      </c>
      <c r="I1222" s="1271">
        <v>6.377157293396267E-2</v>
      </c>
      <c r="J1222" s="1257">
        <v>0.13398638684337488</v>
      </c>
      <c r="K1222" s="1280">
        <v>1.2679447049075256</v>
      </c>
      <c r="L1222" s="1237">
        <v>0.17425741523886187</v>
      </c>
    </row>
    <row r="1223" spans="1:12" s="326" customFormat="1" ht="15.5" x14ac:dyDescent="0.35">
      <c r="A1223" s="328" t="s">
        <v>2187</v>
      </c>
      <c r="B1223" s="1291">
        <v>9.8587949142849199E-2</v>
      </c>
      <c r="C1223" s="1257">
        <v>0.26579037092658964</v>
      </c>
      <c r="D1223" s="1257">
        <v>0.10954216571427688</v>
      </c>
      <c r="E1223" s="1280">
        <v>0.73650675117994058</v>
      </c>
      <c r="F1223" s="1271">
        <v>5.7150473815768946E-2</v>
      </c>
      <c r="G1223" s="1257">
        <v>8.4785873567322798E-2</v>
      </c>
      <c r="H1223" s="1280">
        <v>0.80234867118488562</v>
      </c>
      <c r="I1223" s="1271">
        <v>6.377157293396267E-2</v>
      </c>
      <c r="J1223" s="1257">
        <v>0.13398638684337488</v>
      </c>
      <c r="K1223" s="1280">
        <v>1.2679447049075256</v>
      </c>
      <c r="L1223" s="1237">
        <v>0.17425741523886187</v>
      </c>
    </row>
    <row r="1224" spans="1:12" s="326" customFormat="1" ht="15.5" x14ac:dyDescent="0.35">
      <c r="A1224" s="328" t="s">
        <v>2188</v>
      </c>
      <c r="B1224" s="1291">
        <v>9.8587949142849199E-2</v>
      </c>
      <c r="C1224" s="1257">
        <v>0.26579037092658964</v>
      </c>
      <c r="D1224" s="1257">
        <v>0.10954216571427688</v>
      </c>
      <c r="E1224" s="1280">
        <v>0.73650675117994058</v>
      </c>
      <c r="F1224" s="1271">
        <v>5.7150473815768946E-2</v>
      </c>
      <c r="G1224" s="1257">
        <v>8.4785873567322798E-2</v>
      </c>
      <c r="H1224" s="1280">
        <v>0.80234867118488562</v>
      </c>
      <c r="I1224" s="1271">
        <v>6.377157293396267E-2</v>
      </c>
      <c r="J1224" s="1257">
        <v>0.13398638684337488</v>
      </c>
      <c r="K1224" s="1280">
        <v>1.2679447049075256</v>
      </c>
      <c r="L1224" s="1237">
        <v>0.17425741523886187</v>
      </c>
    </row>
    <row r="1225" spans="1:12" s="326" customFormat="1" ht="15.5" x14ac:dyDescent="0.35">
      <c r="A1225" s="328" t="s">
        <v>2189</v>
      </c>
      <c r="B1225" s="1291">
        <v>9.8587949142849199E-2</v>
      </c>
      <c r="C1225" s="1257">
        <v>0.26579037092658964</v>
      </c>
      <c r="D1225" s="1257">
        <v>0.10954216571427688</v>
      </c>
      <c r="E1225" s="1280">
        <v>0.73650675117994058</v>
      </c>
      <c r="F1225" s="1271">
        <v>5.7150473815768946E-2</v>
      </c>
      <c r="G1225" s="1257">
        <v>8.4785873567322798E-2</v>
      </c>
      <c r="H1225" s="1280">
        <v>0.80234867118488562</v>
      </c>
      <c r="I1225" s="1271">
        <v>6.377157293396267E-2</v>
      </c>
      <c r="J1225" s="1257">
        <v>0.13398638684337488</v>
      </c>
      <c r="K1225" s="1280">
        <v>1.2679447049075256</v>
      </c>
      <c r="L1225" s="1237">
        <v>0.17425741523886187</v>
      </c>
    </row>
    <row r="1226" spans="1:12" s="326" customFormat="1" ht="15.5" x14ac:dyDescent="0.35">
      <c r="A1226" s="328" t="s">
        <v>2190</v>
      </c>
      <c r="B1226" s="1291">
        <v>9.8587949142849199E-2</v>
      </c>
      <c r="C1226" s="1257">
        <v>0.26579037092658964</v>
      </c>
      <c r="D1226" s="1257">
        <v>0.10954216571427688</v>
      </c>
      <c r="E1226" s="1280">
        <v>0.73650675117994058</v>
      </c>
      <c r="F1226" s="1271">
        <v>5.7150473815768946E-2</v>
      </c>
      <c r="G1226" s="1257">
        <v>8.4785873567322798E-2</v>
      </c>
      <c r="H1226" s="1280">
        <v>0.80234867118488562</v>
      </c>
      <c r="I1226" s="1271">
        <v>6.377157293396267E-2</v>
      </c>
      <c r="J1226" s="1257">
        <v>0.13398638684337488</v>
      </c>
      <c r="K1226" s="1280">
        <v>1.2679447049075256</v>
      </c>
      <c r="L1226" s="1237">
        <v>0.17425741523886187</v>
      </c>
    </row>
    <row r="1227" spans="1:12" s="326" customFormat="1" ht="15.5" x14ac:dyDescent="0.35">
      <c r="A1227" s="328" t="s">
        <v>2191</v>
      </c>
      <c r="B1227" s="1291">
        <v>9.8587949142849199E-2</v>
      </c>
      <c r="C1227" s="1257">
        <v>0.26579037092658964</v>
      </c>
      <c r="D1227" s="1257">
        <v>0.10954216571427688</v>
      </c>
      <c r="E1227" s="1280">
        <v>0.73650675117994058</v>
      </c>
      <c r="F1227" s="1271">
        <v>5.7150473815768946E-2</v>
      </c>
      <c r="G1227" s="1257">
        <v>8.4785873567322798E-2</v>
      </c>
      <c r="H1227" s="1280">
        <v>0.80234867118488562</v>
      </c>
      <c r="I1227" s="1271">
        <v>6.377157293396267E-2</v>
      </c>
      <c r="J1227" s="1257">
        <v>0.13398638684337488</v>
      </c>
      <c r="K1227" s="1280">
        <v>1.2679447049075256</v>
      </c>
      <c r="L1227" s="1237">
        <v>0.17425741523886187</v>
      </c>
    </row>
    <row r="1228" spans="1:12" s="326" customFormat="1" ht="15.5" x14ac:dyDescent="0.35">
      <c r="A1228" s="328" t="s">
        <v>2192</v>
      </c>
      <c r="B1228" s="1291">
        <v>9.8587949142849199E-2</v>
      </c>
      <c r="C1228" s="1257">
        <v>0.26579037092658964</v>
      </c>
      <c r="D1228" s="1257">
        <v>0.10954216571427688</v>
      </c>
      <c r="E1228" s="1280">
        <v>0.73650675117994058</v>
      </c>
      <c r="F1228" s="1303">
        <v>5.7150473815768946E-2</v>
      </c>
      <c r="G1228" s="1288">
        <v>8.4785873567322798E-2</v>
      </c>
      <c r="H1228" s="1280">
        <v>0.80234867118488562</v>
      </c>
      <c r="I1228" s="1303">
        <v>6.377157293396267E-2</v>
      </c>
      <c r="J1228" s="1288">
        <v>0.13398638684337488</v>
      </c>
      <c r="K1228" s="1280">
        <v>1.2679447049075256</v>
      </c>
      <c r="L1228" s="1237">
        <v>0.17425741523886187</v>
      </c>
    </row>
    <row r="1229" spans="1:12" s="326" customFormat="1" ht="15.5" x14ac:dyDescent="0.35">
      <c r="A1229" s="328" t="s">
        <v>2193</v>
      </c>
      <c r="B1229" s="1291">
        <v>9.8587949142849199E-2</v>
      </c>
      <c r="C1229" s="1257">
        <v>0.26579037092658964</v>
      </c>
      <c r="D1229" s="1257">
        <v>0.10954216571427688</v>
      </c>
      <c r="E1229" s="1280">
        <v>0.73650675117994058</v>
      </c>
      <c r="F1229" s="1303">
        <v>5.7692878527210681E-2</v>
      </c>
      <c r="G1229" s="1288">
        <v>8.0080724117915322E-2</v>
      </c>
      <c r="H1229" s="1280">
        <v>0.75782273485115448</v>
      </c>
      <c r="I1229" s="1303">
        <v>6.3950424811972384E-2</v>
      </c>
      <c r="J1229" s="1288">
        <v>0.13314417119408031</v>
      </c>
      <c r="K1229" s="1280">
        <v>1.2599746200498629</v>
      </c>
      <c r="L1229" s="1237">
        <v>0.17425741523886187</v>
      </c>
    </row>
    <row r="1230" spans="1:12" s="326" customFormat="1" ht="15.5" x14ac:dyDescent="0.35">
      <c r="A1230" s="328" t="s">
        <v>2194</v>
      </c>
      <c r="B1230" s="1291">
        <v>9.8587949142849199E-2</v>
      </c>
      <c r="C1230" s="1257">
        <v>0.26579037092658964</v>
      </c>
      <c r="D1230" s="1257">
        <v>0.10954216571427688</v>
      </c>
      <c r="E1230" s="1280">
        <v>0.73650675117994058</v>
      </c>
      <c r="F1230" s="1303">
        <v>5.5660110617787216E-2</v>
      </c>
      <c r="G1230" s="1288">
        <v>7.2819285978724599E-2</v>
      </c>
      <c r="H1230" s="1280">
        <v>0.68910603716631291</v>
      </c>
      <c r="I1230" s="1303">
        <v>6.3491001806674899E-2</v>
      </c>
      <c r="J1230" s="1288">
        <v>0.13281647455302514</v>
      </c>
      <c r="K1230" s="1280">
        <v>1.2568735496304659</v>
      </c>
      <c r="L1230" s="1237">
        <v>0.17425741523886187</v>
      </c>
    </row>
    <row r="1231" spans="1:12" s="326" customFormat="1" ht="15.5" x14ac:dyDescent="0.35">
      <c r="A1231" s="328" t="s">
        <v>2195</v>
      </c>
      <c r="B1231" s="1291">
        <v>9.8587949142849199E-2</v>
      </c>
      <c r="C1231" s="1257">
        <v>0.26579037092658964</v>
      </c>
      <c r="D1231" s="1257">
        <v>0.10954216571427688</v>
      </c>
      <c r="E1231" s="1280">
        <v>0.73650675117994058</v>
      </c>
      <c r="F1231" s="1303">
        <v>5.7365544869660522E-2</v>
      </c>
      <c r="G1231" s="1288">
        <v>7.7340034235410235E-2</v>
      </c>
      <c r="H1231" s="1280">
        <v>0.73188694162480128</v>
      </c>
      <c r="I1231" s="1303">
        <v>6.3697804383445106E-2</v>
      </c>
      <c r="J1231" s="1288">
        <v>0.13216579897087791</v>
      </c>
      <c r="K1231" s="1280">
        <v>1.2507160534964696</v>
      </c>
      <c r="L1231" s="1237">
        <v>0.17425741523886187</v>
      </c>
    </row>
    <row r="1232" spans="1:12" s="326" customFormat="1" ht="15.5" x14ac:dyDescent="0.35">
      <c r="A1232" s="328" t="s">
        <v>2196</v>
      </c>
      <c r="B1232" s="1291">
        <v>9.8587949142849199E-2</v>
      </c>
      <c r="C1232" s="1257">
        <v>0.26579037092658964</v>
      </c>
      <c r="D1232" s="1257">
        <v>0.10954216571427688</v>
      </c>
      <c r="E1232" s="1280">
        <v>0.73650675117994058</v>
      </c>
      <c r="F1232" s="1303">
        <v>5.7623642780399692E-2</v>
      </c>
      <c r="G1232" s="1288">
        <v>7.5242043433015549E-2</v>
      </c>
      <c r="H1232" s="1280">
        <v>0.71203316101684566</v>
      </c>
      <c r="I1232" s="1303">
        <v>6.3851156911328977E-2</v>
      </c>
      <c r="J1232" s="1288">
        <v>0.1310510139028381</v>
      </c>
      <c r="K1232" s="1280">
        <v>1.2401665800952399</v>
      </c>
      <c r="L1232" s="1237">
        <v>0.17425741523886187</v>
      </c>
    </row>
    <row r="1233" spans="1:12" s="326" customFormat="1" ht="15.5" x14ac:dyDescent="0.35">
      <c r="A1233" s="328" t="s">
        <v>2197</v>
      </c>
      <c r="B1233" s="1291">
        <v>9.8587949142849199E-2</v>
      </c>
      <c r="C1233" s="1257">
        <v>0.26579037092658964</v>
      </c>
      <c r="D1233" s="1257">
        <v>0.10954216571427688</v>
      </c>
      <c r="E1233" s="1280">
        <v>0.73650675117994058</v>
      </c>
      <c r="F1233" s="1303">
        <v>5.7810190929952002E-2</v>
      </c>
      <c r="G1233" s="1288">
        <v>7.474728807801824E-2</v>
      </c>
      <c r="H1233" s="1280">
        <v>0.7073511746794815</v>
      </c>
      <c r="I1233" s="1303">
        <v>6.4048998853642625E-2</v>
      </c>
      <c r="J1233" s="1288">
        <v>0.12926617670171989</v>
      </c>
      <c r="K1233" s="1280">
        <v>1.2232762456993638</v>
      </c>
      <c r="L1233" s="1237">
        <v>0.17425741523886187</v>
      </c>
    </row>
    <row r="1234" spans="1:12" s="326" customFormat="1" ht="15.5" x14ac:dyDescent="0.35">
      <c r="A1234" s="328" t="s">
        <v>2198</v>
      </c>
      <c r="B1234" s="1291">
        <v>9.8587949142849199E-2</v>
      </c>
      <c r="C1234" s="1257">
        <v>0.26579037092658964</v>
      </c>
      <c r="D1234" s="1257">
        <v>0.10954216571427688</v>
      </c>
      <c r="E1234" s="1280">
        <v>0.73650675117994058</v>
      </c>
      <c r="F1234" s="1303">
        <v>5.7735237680719392E-2</v>
      </c>
      <c r="G1234" s="1288">
        <v>7.0332086280117306E-2</v>
      </c>
      <c r="H1234" s="1280">
        <v>0.66556908119493352</v>
      </c>
      <c r="I1234" s="1303">
        <v>6.4167008702666561E-2</v>
      </c>
      <c r="J1234" s="1288">
        <v>0.12984306320765293</v>
      </c>
      <c r="K1234" s="1280">
        <v>1.2287354584430097</v>
      </c>
      <c r="L1234" s="1237">
        <v>0.17425741523886187</v>
      </c>
    </row>
    <row r="1235" spans="1:12" s="326" customFormat="1" ht="15.5" x14ac:dyDescent="0.35">
      <c r="A1235" s="328" t="s">
        <v>2199</v>
      </c>
      <c r="B1235" s="1291">
        <v>9.8587949142849199E-2</v>
      </c>
      <c r="C1235" s="1257">
        <v>0.26579037092658964</v>
      </c>
      <c r="D1235" s="1257">
        <v>0.10954216571427688</v>
      </c>
      <c r="E1235" s="1280">
        <v>0.73650675117994058</v>
      </c>
      <c r="F1235" s="1303">
        <v>5.7756882444423945E-2</v>
      </c>
      <c r="G1235" s="1288">
        <v>6.9579404087125082E-2</v>
      </c>
      <c r="H1235" s="1280">
        <v>0.65844627250095566</v>
      </c>
      <c r="I1235" s="1303">
        <v>6.3917622829005524E-2</v>
      </c>
      <c r="J1235" s="1288">
        <v>0.12979718103744339</v>
      </c>
      <c r="K1235" s="1280">
        <v>1.228301264670512</v>
      </c>
      <c r="L1235" s="1237">
        <v>0.17425741523886187</v>
      </c>
    </row>
    <row r="1236" spans="1:12" s="326" customFormat="1" ht="15.5" x14ac:dyDescent="0.35">
      <c r="A1236" s="328" t="s">
        <v>2200</v>
      </c>
      <c r="B1236" s="1291">
        <v>9.8587949142849199E-2</v>
      </c>
      <c r="C1236" s="1257">
        <v>0.26579037092658964</v>
      </c>
      <c r="D1236" s="1257">
        <v>0.10954216571427688</v>
      </c>
      <c r="E1236" s="1280">
        <v>0.73650675117994058</v>
      </c>
      <c r="F1236" s="1303">
        <v>5.7588816805993391E-2</v>
      </c>
      <c r="G1236" s="1288">
        <v>7.5591765880211881E-2</v>
      </c>
      <c r="H1236" s="1280">
        <v>0.71534266682229919</v>
      </c>
      <c r="I1236" s="1303">
        <v>6.3453067129584817E-2</v>
      </c>
      <c r="J1236" s="1288">
        <v>0.13040589124399751</v>
      </c>
      <c r="K1236" s="1280">
        <v>1.2340616325810649</v>
      </c>
      <c r="L1236" s="1237">
        <v>0.17425741523886187</v>
      </c>
    </row>
    <row r="1237" spans="1:12" s="326" customFormat="1" ht="15.5" x14ac:dyDescent="0.35">
      <c r="A1237" s="328" t="s">
        <v>2201</v>
      </c>
      <c r="B1237" s="1291">
        <v>9.8587949142849199E-2</v>
      </c>
      <c r="C1237" s="1257">
        <v>0.26579037092658964</v>
      </c>
      <c r="D1237" s="1257">
        <v>0.10954216571427688</v>
      </c>
      <c r="E1237" s="1280">
        <v>0.73650675117994058</v>
      </c>
      <c r="F1237" s="1303">
        <v>5.7723075595191888E-2</v>
      </c>
      <c r="G1237" s="1288">
        <v>7.4323328579411069E-2</v>
      </c>
      <c r="H1237" s="1280">
        <v>0.70333914618898574</v>
      </c>
      <c r="I1237" s="1303">
        <v>6.3832196324069196E-2</v>
      </c>
      <c r="J1237" s="1288">
        <v>0.13053699397279747</v>
      </c>
      <c r="K1237" s="1280">
        <v>1.2353022885513996</v>
      </c>
      <c r="L1237" s="1237">
        <v>0.17425741523886187</v>
      </c>
    </row>
    <row r="1238" spans="1:12" s="326" customFormat="1" ht="15.5" x14ac:dyDescent="0.35">
      <c r="A1238" s="328" t="s">
        <v>2202</v>
      </c>
      <c r="B1238" s="1291">
        <v>9.8587949142849199E-2</v>
      </c>
      <c r="C1238" s="1257">
        <v>0.26579037092658964</v>
      </c>
      <c r="D1238" s="1257">
        <v>0.10954216571427688</v>
      </c>
      <c r="E1238" s="1280">
        <v>0.73650675117994058</v>
      </c>
      <c r="F1238" s="1303">
        <v>5.7511867307612152E-2</v>
      </c>
      <c r="G1238" s="1288">
        <v>7.3104264075595685E-2</v>
      </c>
      <c r="H1238" s="1280">
        <v>0.69180285195067392</v>
      </c>
      <c r="I1238" s="1303">
        <v>6.3776855113299932E-2</v>
      </c>
      <c r="J1238" s="1288">
        <v>0.13038931977807086</v>
      </c>
      <c r="K1238" s="1280">
        <v>1.2339048128998322</v>
      </c>
      <c r="L1238" s="1237">
        <v>0.17425741523886187</v>
      </c>
    </row>
    <row r="1239" spans="1:12" s="326" customFormat="1" ht="15.5" x14ac:dyDescent="0.35">
      <c r="A1239" s="328" t="s">
        <v>2203</v>
      </c>
      <c r="B1239" s="1291">
        <v>9.8587949142849199E-2</v>
      </c>
      <c r="C1239" s="1257">
        <v>0.26579037092658964</v>
      </c>
      <c r="D1239" s="1257">
        <v>0.10954216571427688</v>
      </c>
      <c r="E1239" s="1280">
        <v>0.73650675117994058</v>
      </c>
      <c r="F1239" s="1303">
        <v>5.732087357848259E-2</v>
      </c>
      <c r="G1239" s="1288">
        <v>7.4108902654059491E-2</v>
      </c>
      <c r="H1239" s="1280">
        <v>0.70130998320422477</v>
      </c>
      <c r="I1239" s="1303">
        <v>6.338505542288797E-2</v>
      </c>
      <c r="J1239" s="1288">
        <v>0.12966460696885906</v>
      </c>
      <c r="K1239" s="1280">
        <v>1.2270466850656001</v>
      </c>
      <c r="L1239" s="1237">
        <v>0.17425741523886187</v>
      </c>
    </row>
    <row r="1240" spans="1:12" s="326" customFormat="1" ht="15.5" x14ac:dyDescent="0.35">
      <c r="A1240" s="328" t="s">
        <v>2204</v>
      </c>
      <c r="B1240" s="1291">
        <v>9.8587949142849199E-2</v>
      </c>
      <c r="C1240" s="1257">
        <v>0.26579037092658964</v>
      </c>
      <c r="D1240" s="1257">
        <v>0.10954216571427688</v>
      </c>
      <c r="E1240" s="1280">
        <v>0.73650675117994058</v>
      </c>
      <c r="F1240" s="1303">
        <v>4.9180048207745269E-2</v>
      </c>
      <c r="G1240" s="1288">
        <v>7.3490975390280627E-2</v>
      </c>
      <c r="H1240" s="1280">
        <v>0.69546239211243499</v>
      </c>
      <c r="I1240" s="1303">
        <v>6.9380508432894825E-2</v>
      </c>
      <c r="J1240" s="1288">
        <v>0.12869366847373268</v>
      </c>
      <c r="K1240" s="1280">
        <v>1.2178584656301026</v>
      </c>
      <c r="L1240" s="1237">
        <v>0.17425741523886187</v>
      </c>
    </row>
    <row r="1241" spans="1:12" s="326" customFormat="1" ht="15.5" x14ac:dyDescent="0.35">
      <c r="A1241" s="328" t="s">
        <v>2205</v>
      </c>
      <c r="B1241" s="1291">
        <v>9.8587949142849199E-2</v>
      </c>
      <c r="C1241" s="1257">
        <v>0.26579037092658964</v>
      </c>
      <c r="D1241" s="1257">
        <v>0.10954216571427688</v>
      </c>
      <c r="E1241" s="1280">
        <v>0.73650675117994058</v>
      </c>
      <c r="F1241" s="1303">
        <v>4.9340275805064851E-2</v>
      </c>
      <c r="G1241" s="1288">
        <v>7.170797761960522E-2</v>
      </c>
      <c r="H1241" s="1280">
        <v>0.67858946467964643</v>
      </c>
      <c r="I1241" s="1303">
        <v>6.920629786506044E-2</v>
      </c>
      <c r="J1241" s="1288">
        <v>0.12921622395540258</v>
      </c>
      <c r="K1241" s="1280">
        <v>1.2228035311073759</v>
      </c>
      <c r="L1241" s="1237">
        <v>0.17425741523886187</v>
      </c>
    </row>
    <row r="1242" spans="1:12" s="326" customFormat="1" ht="15.5" x14ac:dyDescent="0.35">
      <c r="A1242" s="328" t="s">
        <v>2206</v>
      </c>
      <c r="B1242" s="1291">
        <v>9.8587949142849199E-2</v>
      </c>
      <c r="C1242" s="1257">
        <v>0.26579037092658964</v>
      </c>
      <c r="D1242" s="1257">
        <v>0.10954216571427688</v>
      </c>
      <c r="E1242" s="1280">
        <v>0.73650675117994058</v>
      </c>
      <c r="F1242" s="1303">
        <v>4.9118350211329521E-2</v>
      </c>
      <c r="G1242" s="1288">
        <v>7.7161160198362083E-2</v>
      </c>
      <c r="H1242" s="1280">
        <v>0.73019421452420596</v>
      </c>
      <c r="I1242" s="1303">
        <v>6.8931805860312056E-2</v>
      </c>
      <c r="J1242" s="1288">
        <v>0.12945736519905779</v>
      </c>
      <c r="K1242" s="1280">
        <v>1.2250855074352012</v>
      </c>
      <c r="L1242" s="1237">
        <v>0.17425741523886187</v>
      </c>
    </row>
    <row r="1243" spans="1:12" s="326" customFormat="1" ht="15.5" x14ac:dyDescent="0.35">
      <c r="A1243" s="328" t="s">
        <v>2207</v>
      </c>
      <c r="B1243" s="1291">
        <v>9.8587949142849199E-2</v>
      </c>
      <c r="C1243" s="1257">
        <v>0.26579037092658964</v>
      </c>
      <c r="D1243" s="1257">
        <v>0.10954216571427688</v>
      </c>
      <c r="E1243" s="1280">
        <v>0.73650675117994058</v>
      </c>
      <c r="F1243" s="1303">
        <v>5.9016851905703958E-2</v>
      </c>
      <c r="G1243" s="1288">
        <v>7.1335109805984759E-2</v>
      </c>
      <c r="H1243" s="1280">
        <v>0.67506092882575286</v>
      </c>
      <c r="I1243" s="1303">
        <v>7.4735613229618039E-2</v>
      </c>
      <c r="J1243" s="1288">
        <v>0.13032629214420824</v>
      </c>
      <c r="K1243" s="1280">
        <v>1.2333083675705589</v>
      </c>
      <c r="L1243" s="1237">
        <v>0.17425741523886187</v>
      </c>
    </row>
    <row r="1244" spans="1:12" s="326" customFormat="1" ht="15.5" x14ac:dyDescent="0.35">
      <c r="A1244" s="328" t="s">
        <v>2208</v>
      </c>
      <c r="B1244" s="1291">
        <v>9.8587949142849199E-2</v>
      </c>
      <c r="C1244" s="1257">
        <v>0.26579037092658964</v>
      </c>
      <c r="D1244" s="1257">
        <v>0.10954216571427688</v>
      </c>
      <c r="E1244" s="1280">
        <v>0.73650675117994058</v>
      </c>
      <c r="F1244" s="1303">
        <v>5.9078358882651318E-2</v>
      </c>
      <c r="G1244" s="1288">
        <v>6.9479125050067619E-2</v>
      </c>
      <c r="H1244" s="1280">
        <v>0.65749730837821341</v>
      </c>
      <c r="I1244" s="1303">
        <v>7.548975575419592E-2</v>
      </c>
      <c r="J1244" s="1288">
        <v>0.11563481567464269</v>
      </c>
      <c r="K1244" s="1280">
        <v>1.0942794689210671</v>
      </c>
      <c r="L1244" s="1237">
        <v>0.17425741523886187</v>
      </c>
    </row>
    <row r="1245" spans="1:12" s="326" customFormat="1" ht="15.5" x14ac:dyDescent="0.35">
      <c r="A1245" s="328" t="s">
        <v>2209</v>
      </c>
      <c r="B1245" s="1291">
        <v>9.8587949142849199E-2</v>
      </c>
      <c r="C1245" s="1257">
        <v>0.26579037092658964</v>
      </c>
      <c r="D1245" s="1257">
        <v>0.10954216571427688</v>
      </c>
      <c r="E1245" s="1280">
        <v>0.73650675117994058</v>
      </c>
      <c r="F1245" s="1303">
        <v>5.88990913085847E-2</v>
      </c>
      <c r="G1245" s="1288">
        <v>6.2967829083969862E-2</v>
      </c>
      <c r="H1245" s="1280">
        <v>0.59587938258139128</v>
      </c>
      <c r="I1245" s="1303">
        <v>7.5285929443108107E-2</v>
      </c>
      <c r="J1245" s="1288">
        <v>9.9332799213756373E-2</v>
      </c>
      <c r="K1245" s="1280">
        <v>0.94000965138312098</v>
      </c>
      <c r="L1245" s="1237">
        <v>0.17425741523886187</v>
      </c>
    </row>
    <row r="1246" spans="1:12" s="326" customFormat="1" ht="15.5" x14ac:dyDescent="0.35">
      <c r="A1246" s="328" t="s">
        <v>2210</v>
      </c>
      <c r="B1246" s="1291">
        <v>9.8587949142849199E-2</v>
      </c>
      <c r="C1246" s="1257">
        <v>0.26579037092658964</v>
      </c>
      <c r="D1246" s="1257">
        <v>0.10954216571427688</v>
      </c>
      <c r="E1246" s="1280">
        <v>0.73650675117994058</v>
      </c>
      <c r="F1246" s="1303">
        <v>6.5415066182557352E-2</v>
      </c>
      <c r="G1246" s="1288">
        <v>5.8377032750887257E-2</v>
      </c>
      <c r="H1246" s="1280">
        <v>0.55243559669405806</v>
      </c>
      <c r="I1246" s="1303">
        <v>8.0804242897740547E-2</v>
      </c>
      <c r="J1246" s="1288">
        <v>9.9322335393597083E-2</v>
      </c>
      <c r="K1246" s="1280">
        <v>0.93991062979087814</v>
      </c>
      <c r="L1246" s="1237">
        <v>0.17425741523886187</v>
      </c>
    </row>
    <row r="1247" spans="1:12" s="326" customFormat="1" ht="15.5" x14ac:dyDescent="0.35">
      <c r="A1247" s="328" t="s">
        <v>2211</v>
      </c>
      <c r="B1247" s="1291">
        <v>9.8587949142849199E-2</v>
      </c>
      <c r="C1247" s="1257">
        <v>0.26579037092658964</v>
      </c>
      <c r="D1247" s="1257">
        <v>0.10954216571427688</v>
      </c>
      <c r="E1247" s="1280">
        <v>0.73650675117994058</v>
      </c>
      <c r="F1247" s="1303">
        <v>6.7203682837744985E-2</v>
      </c>
      <c r="G1247" s="1288">
        <v>5.8848106450484959E-2</v>
      </c>
      <c r="H1247" s="1280">
        <v>0.55689347795422162</v>
      </c>
      <c r="I1247" s="1303">
        <v>8.0501126477161011E-2</v>
      </c>
      <c r="J1247" s="1288">
        <v>0.10101232438553612</v>
      </c>
      <c r="K1247" s="1280">
        <v>0.9559033932660661</v>
      </c>
      <c r="L1247" s="1330">
        <v>0.17425741523886187</v>
      </c>
    </row>
    <row r="1248" spans="1:12" s="326" customFormat="1" ht="15.5" x14ac:dyDescent="0.35">
      <c r="A1248" s="328" t="s">
        <v>2212</v>
      </c>
      <c r="B1248" s="1291">
        <v>9.8587949142849199E-2</v>
      </c>
      <c r="C1248" s="1257">
        <v>0.26579037092658964</v>
      </c>
      <c r="D1248" s="1257">
        <v>0.10954216571427688</v>
      </c>
      <c r="E1248" s="1280">
        <v>0.73650675117994058</v>
      </c>
      <c r="F1248" s="1303">
        <v>6.0801931346829374E-2</v>
      </c>
      <c r="G1248" s="1288">
        <v>5.9140106646691802E-2</v>
      </c>
      <c r="H1248" s="1280">
        <v>0.55965674451685554</v>
      </c>
      <c r="I1248" s="1303">
        <v>8.0737442894071809E-2</v>
      </c>
      <c r="J1248" s="1288">
        <v>0.10093464867639253</v>
      </c>
      <c r="K1248" s="1280">
        <v>0.95516832975380284</v>
      </c>
      <c r="L1248" s="1330">
        <v>0.17347544247329638</v>
      </c>
    </row>
    <row r="1249" spans="1:12" s="326" customFormat="1" ht="15.5" x14ac:dyDescent="0.35">
      <c r="A1249" s="328" t="s">
        <v>2213</v>
      </c>
      <c r="B1249" s="1291">
        <v>9.8587949142849199E-2</v>
      </c>
      <c r="C1249" s="1257">
        <v>0.26579037092658964</v>
      </c>
      <c r="D1249" s="1257">
        <v>0.10954216571427688</v>
      </c>
      <c r="E1249" s="1280">
        <v>0.73650675117994058</v>
      </c>
      <c r="F1249" s="1303">
        <v>6.6210616218034354E-2</v>
      </c>
      <c r="G1249" s="1288">
        <v>5.7982799250970128E-2</v>
      </c>
      <c r="H1249" s="1280">
        <v>0.54870487232351883</v>
      </c>
      <c r="I1249" s="1303">
        <v>8.0667846500077148E-2</v>
      </c>
      <c r="J1249" s="1288">
        <v>0.10131694001949879</v>
      </c>
      <c r="K1249" s="1280">
        <v>0.9587860426845215</v>
      </c>
      <c r="L1249" s="1330">
        <v>0.16373000435327723</v>
      </c>
    </row>
    <row r="1250" spans="1:12" s="326" customFormat="1" ht="15.5" x14ac:dyDescent="0.35">
      <c r="A1250" s="328" t="s">
        <v>2214</v>
      </c>
      <c r="B1250" s="1291">
        <v>9.8587949142849199E-2</v>
      </c>
      <c r="C1250" s="1257">
        <v>0.26579037092658964</v>
      </c>
      <c r="D1250" s="1257">
        <v>0.10954216571427688</v>
      </c>
      <c r="E1250" s="1280">
        <v>0.73650675117994058</v>
      </c>
      <c r="F1250" s="1303">
        <v>6.1370572470844653E-2</v>
      </c>
      <c r="G1250" s="1288">
        <v>5.5782242161798355E-2</v>
      </c>
      <c r="H1250" s="1280">
        <v>0.52788048281054767</v>
      </c>
      <c r="I1250" s="1303">
        <v>7.8472812720463372E-2</v>
      </c>
      <c r="J1250" s="1288">
        <v>9.8778443292210208E-2</v>
      </c>
      <c r="K1250" s="1280">
        <v>0.93476365086084212</v>
      </c>
      <c r="L1250" s="1330">
        <v>0.19315535838224843</v>
      </c>
    </row>
    <row r="1251" spans="1:12" s="326" customFormat="1" ht="15.5" x14ac:dyDescent="0.35">
      <c r="A1251" s="328" t="s">
        <v>2215</v>
      </c>
      <c r="B1251" s="1291">
        <v>9.8587949142849199E-2</v>
      </c>
      <c r="C1251" s="1257">
        <v>0.26579037092658964</v>
      </c>
      <c r="D1251" s="1257">
        <v>0.10954216571427688</v>
      </c>
      <c r="E1251" s="1280">
        <v>0.73650675117994058</v>
      </c>
      <c r="F1251" s="1303">
        <v>5.8966829533103213E-2</v>
      </c>
      <c r="G1251" s="1288">
        <v>5.6160267693500548E-2</v>
      </c>
      <c r="H1251" s="1280">
        <v>0.53145782736422942</v>
      </c>
      <c r="I1251" s="1303">
        <v>7.7995073627925682E-2</v>
      </c>
      <c r="J1251" s="1288">
        <v>9.9555375956657241E-2</v>
      </c>
      <c r="K1251" s="1280">
        <v>0.9421159474721903</v>
      </c>
      <c r="L1251" s="1330">
        <v>0.19315535838225423</v>
      </c>
    </row>
    <row r="1252" spans="1:12" s="326" customFormat="1" ht="15.5" x14ac:dyDescent="0.35">
      <c r="A1252" s="328" t="s">
        <v>2216</v>
      </c>
      <c r="B1252" s="1291">
        <v>9.8587949142849199E-2</v>
      </c>
      <c r="C1252" s="1257">
        <v>0.26579037092658964</v>
      </c>
      <c r="D1252" s="1257">
        <v>0.10954216571427688</v>
      </c>
      <c r="E1252" s="1280">
        <v>0.73650675117994058</v>
      </c>
      <c r="F1252" s="1303">
        <v>6.0886728330511362E-2</v>
      </c>
      <c r="G1252" s="1288">
        <v>5.6441174478997137E-2</v>
      </c>
      <c r="H1252" s="1280">
        <v>0.53411611437109785</v>
      </c>
      <c r="I1252" s="1303">
        <v>7.5631721191994614E-2</v>
      </c>
      <c r="J1252" s="1288">
        <v>9.6850815247025629E-2</v>
      </c>
      <c r="K1252" s="1280">
        <v>0.91652205310972046</v>
      </c>
      <c r="L1252" s="1330">
        <v>0.19315535838222617</v>
      </c>
    </row>
    <row r="1253" spans="1:12" s="326" customFormat="1" ht="15.5" x14ac:dyDescent="0.35">
      <c r="A1253" s="328" t="s">
        <v>2217</v>
      </c>
      <c r="B1253" s="1291">
        <v>9.8587949142849199E-2</v>
      </c>
      <c r="C1253" s="1257">
        <v>0.26579037092658964</v>
      </c>
      <c r="D1253" s="1257">
        <v>0.10954216571427688</v>
      </c>
      <c r="E1253" s="1280">
        <v>0.73650675117994058</v>
      </c>
      <c r="F1253" s="1303">
        <v>5.972175486980514E-2</v>
      </c>
      <c r="G1253" s="1288">
        <v>5.560593133535513E-2</v>
      </c>
      <c r="H1253" s="1280">
        <v>0.5262120119750151</v>
      </c>
      <c r="I1253" s="1303">
        <v>7.2873879303293712E-2</v>
      </c>
      <c r="J1253" s="1288">
        <v>9.5458874226074159E-2</v>
      </c>
      <c r="K1253" s="1280">
        <v>0.9033497877129224</v>
      </c>
      <c r="L1253" s="1330">
        <v>0.19783876991445551</v>
      </c>
    </row>
    <row r="1254" spans="1:12" s="326" customFormat="1" ht="15.5" x14ac:dyDescent="0.35">
      <c r="A1254" s="328" t="s">
        <v>2218</v>
      </c>
      <c r="B1254" s="1291">
        <v>9.8587949142849199E-2</v>
      </c>
      <c r="C1254" s="1257">
        <v>0.26579037092658964</v>
      </c>
      <c r="D1254" s="1257">
        <v>0.10954216571427688</v>
      </c>
      <c r="E1254" s="1280">
        <v>0.73650675117994058</v>
      </c>
      <c r="F1254" s="1303">
        <v>5.4808830675655597E-2</v>
      </c>
      <c r="G1254" s="1288">
        <v>5.4334562586510558E-2</v>
      </c>
      <c r="H1254" s="1280">
        <v>0.51418075035911093</v>
      </c>
      <c r="I1254" s="1303">
        <v>6.8356392201483498E-2</v>
      </c>
      <c r="J1254" s="1288">
        <v>9.0885398505001908E-2</v>
      </c>
      <c r="K1254" s="1280">
        <v>0.8600699108524813</v>
      </c>
      <c r="L1254" s="1330">
        <v>0.19783876991448771</v>
      </c>
    </row>
    <row r="1255" spans="1:12" s="326" customFormat="1" ht="15.5" x14ac:dyDescent="0.35">
      <c r="A1255" s="328" t="s">
        <v>2219</v>
      </c>
      <c r="B1255" s="1291">
        <v>9.8587949142849199E-2</v>
      </c>
      <c r="C1255" s="1257">
        <v>0.26579037092658964</v>
      </c>
      <c r="D1255" s="1257">
        <v>0.10954216571427688</v>
      </c>
      <c r="E1255" s="1280">
        <v>0.73650675117994058</v>
      </c>
      <c r="F1255" s="1303">
        <v>5.7258597587527708E-2</v>
      </c>
      <c r="G1255" s="1288">
        <v>5.2351248416437519E-2</v>
      </c>
      <c r="H1255" s="1280">
        <v>0.49541218170555218</v>
      </c>
      <c r="I1255" s="1303">
        <v>6.8430192474026319E-2</v>
      </c>
      <c r="J1255" s="1288">
        <v>9.0023722785833898E-2</v>
      </c>
      <c r="K1255" s="1280">
        <v>0.85191567077476638</v>
      </c>
      <c r="L1255" s="1330">
        <v>0.1978387699143018</v>
      </c>
    </row>
    <row r="1256" spans="1:12" s="326" customFormat="1" ht="15.5" x14ac:dyDescent="0.35">
      <c r="A1256" s="328" t="s">
        <v>2220</v>
      </c>
      <c r="B1256" s="1291">
        <v>9.8587949142849199E-2</v>
      </c>
      <c r="C1256" s="1257">
        <v>0.26579037092658964</v>
      </c>
      <c r="D1256" s="1257">
        <v>0.10954216571427688</v>
      </c>
      <c r="E1256" s="1280">
        <v>0.73650675117994058</v>
      </c>
      <c r="F1256" s="1303">
        <v>5.4176830694168433E-2</v>
      </c>
      <c r="G1256" s="1288">
        <v>5.2196188890758381E-2</v>
      </c>
      <c r="H1256" s="1280">
        <v>0.49394481692945613</v>
      </c>
      <c r="I1256" s="1303">
        <v>6.501185913998403E-2</v>
      </c>
      <c r="J1256" s="1288">
        <v>8.7365984184972045E-2</v>
      </c>
      <c r="K1256" s="1280">
        <v>0.82676486504455149</v>
      </c>
      <c r="L1256" s="1330">
        <v>0.19783876991447449</v>
      </c>
    </row>
    <row r="1257" spans="1:12" s="326" customFormat="1" ht="15.5" x14ac:dyDescent="0.35">
      <c r="A1257" s="328" t="s">
        <v>2221</v>
      </c>
      <c r="B1257" s="1291">
        <v>9.8587949142849199E-2</v>
      </c>
      <c r="C1257" s="1257">
        <v>0.26579037092658964</v>
      </c>
      <c r="D1257" s="1257">
        <v>0.10954216571427688</v>
      </c>
      <c r="E1257" s="1280">
        <v>0.73650675117994058</v>
      </c>
      <c r="F1257" s="1303">
        <v>5.2655005989257569E-2</v>
      </c>
      <c r="G1257" s="1288">
        <v>4.961639357832863E-2</v>
      </c>
      <c r="H1257" s="1280">
        <v>0.46953160687727169</v>
      </c>
      <c r="I1257" s="1303">
        <v>6.337974874916634E-2</v>
      </c>
      <c r="J1257" s="1288">
        <v>8.5156811652600028E-2</v>
      </c>
      <c r="K1257" s="1280">
        <v>0.80585894556541349</v>
      </c>
      <c r="L1257" s="1330">
        <v>0.17892413822991682</v>
      </c>
    </row>
    <row r="1258" spans="1:12" s="326" customFormat="1" ht="15.5" x14ac:dyDescent="0.35">
      <c r="A1258" s="328" t="s">
        <v>2222</v>
      </c>
      <c r="B1258" s="1287">
        <v>9.8587949142849199E-2</v>
      </c>
      <c r="C1258" s="1288">
        <v>0.26579037092658964</v>
      </c>
      <c r="D1258" s="1288">
        <v>0.29376096277555513</v>
      </c>
      <c r="E1258" s="1280">
        <v>0.73650675117994058</v>
      </c>
      <c r="F1258" s="1303">
        <v>5.1270524738859291E-2</v>
      </c>
      <c r="G1258" s="1288">
        <v>4.7835194925661122E-2</v>
      </c>
      <c r="H1258" s="1280">
        <v>0.45267570492151371</v>
      </c>
      <c r="I1258" s="1303">
        <v>6.1812483506693293E-2</v>
      </c>
      <c r="J1258" s="1288">
        <v>8.3035244894231156E-2</v>
      </c>
      <c r="K1258" s="1280">
        <v>0.78578206013879037</v>
      </c>
      <c r="L1258" s="1330">
        <v>0.17771097076676376</v>
      </c>
    </row>
    <row r="1259" spans="1:12" s="326" customFormat="1" ht="15.5" x14ac:dyDescent="0.35">
      <c r="A1259" s="328" t="s">
        <v>2223</v>
      </c>
      <c r="B1259" s="1287">
        <v>0.10742535968087413</v>
      </c>
      <c r="C1259" s="1288">
        <v>0.26638993049773635</v>
      </c>
      <c r="D1259" s="1288">
        <v>0.23471686786518031</v>
      </c>
      <c r="E1259" s="1280">
        <v>0.80252711757150796</v>
      </c>
      <c r="F1259" s="1303">
        <v>4.9879402426876655E-2</v>
      </c>
      <c r="G1259" s="1288">
        <v>4.6183915489875119E-2</v>
      </c>
      <c r="H1259" s="1280">
        <v>0.4370492590843329</v>
      </c>
      <c r="I1259" s="1303">
        <v>6.0245076490059606E-2</v>
      </c>
      <c r="J1259" s="1288">
        <v>8.0917735398617102E-2</v>
      </c>
      <c r="K1259" s="1280">
        <v>0.76574356954426637</v>
      </c>
      <c r="L1259" s="1330">
        <v>0.17661912004982222</v>
      </c>
    </row>
    <row r="1260" spans="1:12" s="326" customFormat="1" ht="15.5" x14ac:dyDescent="0.35">
      <c r="A1260" s="328" t="s">
        <v>2224</v>
      </c>
      <c r="B1260" s="1287">
        <v>0.10560322510492826</v>
      </c>
      <c r="C1260" s="1288">
        <v>0.26740866736506808</v>
      </c>
      <c r="D1260" s="1288">
        <v>0.23771080174913406</v>
      </c>
      <c r="E1260" s="1306">
        <v>1.8982986210337491</v>
      </c>
      <c r="F1260" s="1303">
        <v>4.959776165804735E-2</v>
      </c>
      <c r="G1260" s="1288">
        <v>4.4591398089893583E-2</v>
      </c>
      <c r="H1260" s="1306">
        <v>0.42168850480146053</v>
      </c>
      <c r="I1260" s="1303">
        <v>6.0236928143768756E-2</v>
      </c>
      <c r="J1260" s="1288">
        <v>8.0884193035480778E-2</v>
      </c>
      <c r="K1260" s="1306">
        <v>0.59890249251012551</v>
      </c>
      <c r="L1260" s="1330">
        <v>0.16234491018451194</v>
      </c>
    </row>
    <row r="1261" spans="1:12" s="326" customFormat="1" ht="15.5" x14ac:dyDescent="0.35">
      <c r="A1261" s="328" t="s">
        <v>2225</v>
      </c>
      <c r="B1261" s="1287">
        <v>0.11818487792910902</v>
      </c>
      <c r="C1261" s="1288">
        <v>0.26788686807618467</v>
      </c>
      <c r="D1261" s="1288">
        <v>0.23885812977797433</v>
      </c>
      <c r="E1261" s="1306">
        <v>1.9530568155114749</v>
      </c>
      <c r="F1261" s="1303">
        <v>4.9345489253295273E-2</v>
      </c>
      <c r="G1261" s="1288">
        <v>4.3081099192922273E-2</v>
      </c>
      <c r="H1261" s="1306">
        <v>0.429479159922253</v>
      </c>
      <c r="I1261" s="1303">
        <v>6.0227865180037261E-2</v>
      </c>
      <c r="J1261" s="1288">
        <v>8.0849041331345017E-2</v>
      </c>
      <c r="K1261" s="1306">
        <v>0.59896794792067243</v>
      </c>
      <c r="L1261" s="1330">
        <v>0.16152743929081562</v>
      </c>
    </row>
    <row r="1262" spans="1:12" s="326" customFormat="1" ht="15.5" x14ac:dyDescent="0.35">
      <c r="A1262" s="328" t="s">
        <v>2226</v>
      </c>
      <c r="B1262" s="1287">
        <v>0.1084461513234483</v>
      </c>
      <c r="C1262" s="1288">
        <v>0.14995165612299019</v>
      </c>
      <c r="D1262" s="1288">
        <v>0.1877381018827152</v>
      </c>
      <c r="E1262" s="1306">
        <v>1.9037843049418748</v>
      </c>
      <c r="F1262" s="1303">
        <v>4.9198456440773114E-2</v>
      </c>
      <c r="G1262" s="1288">
        <v>4.254885828263507E-2</v>
      </c>
      <c r="H1262" s="1306">
        <v>0.44461023168577346</v>
      </c>
      <c r="I1262" s="1303">
        <v>6.0218544173276406E-2</v>
      </c>
      <c r="J1262" s="1288">
        <v>8.0813121399008328E-2</v>
      </c>
      <c r="K1262" s="1306">
        <v>0.59904030182036394</v>
      </c>
      <c r="L1262" s="1330">
        <v>0.16079171548659238</v>
      </c>
    </row>
    <row r="1263" spans="1:12" s="326" customFormat="1" ht="15.5" x14ac:dyDescent="0.35">
      <c r="A1263" s="328" t="s">
        <v>2227</v>
      </c>
      <c r="B1263" s="1287">
        <v>0.11619328958491532</v>
      </c>
      <c r="C1263" s="1288">
        <v>9.7514302998067889E-2</v>
      </c>
      <c r="D1263" s="1288">
        <v>0.22208815212082592</v>
      </c>
      <c r="E1263" s="1306">
        <v>1.9140961857253409</v>
      </c>
      <c r="F1263" s="1303">
        <v>4.9012879127256673E-2</v>
      </c>
      <c r="G1263" s="1288">
        <v>4.2334927700174489E-2</v>
      </c>
      <c r="H1263" s="1306">
        <v>0.45997344873903767</v>
      </c>
      <c r="I1263" s="1303">
        <v>6.020932668271866E-2</v>
      </c>
      <c r="J1263" s="1288">
        <v>8.0776605980869567E-2</v>
      </c>
      <c r="K1263" s="1306">
        <v>0.59908638455693941</v>
      </c>
      <c r="L1263" s="1330">
        <v>0.15436243622622725</v>
      </c>
    </row>
    <row r="1264" spans="1:12" s="326" customFormat="1" ht="15.5" x14ac:dyDescent="0.35">
      <c r="A1264" s="328" t="s">
        <v>2228</v>
      </c>
      <c r="B1264" s="1287">
        <v>0.11349115391617112</v>
      </c>
      <c r="C1264" s="1288">
        <v>0.14638269359871017</v>
      </c>
      <c r="D1264" s="1288">
        <v>0.22152102722830527</v>
      </c>
      <c r="E1264" s="1306">
        <v>1.9033775205381227</v>
      </c>
      <c r="F1264" s="1303">
        <v>4.884147296299194E-2</v>
      </c>
      <c r="G1264" s="1288">
        <v>4.2144746480959533E-2</v>
      </c>
      <c r="H1264" s="1306">
        <v>0.47174851498471065</v>
      </c>
      <c r="I1264" s="1303">
        <v>6.0199869820148751E-2</v>
      </c>
      <c r="J1264" s="1288">
        <v>8.0738386776724722E-2</v>
      </c>
      <c r="K1264" s="1306">
        <v>0.59914698168061309</v>
      </c>
      <c r="L1264" s="1330">
        <v>0.15378796281916146</v>
      </c>
    </row>
    <row r="1265" spans="1:12" s="326" customFormat="1" ht="15.5" x14ac:dyDescent="0.35">
      <c r="A1265" s="328" t="s">
        <v>2229</v>
      </c>
      <c r="B1265" s="1287">
        <v>0.10999192689763916</v>
      </c>
      <c r="C1265" s="1288">
        <v>0.13913635965542701</v>
      </c>
      <c r="D1265" s="1288">
        <v>0.24473656683258321</v>
      </c>
      <c r="E1265" s="1306">
        <v>1.9403779369665857</v>
      </c>
      <c r="F1265" s="1303">
        <v>4.8632942895781461E-2</v>
      </c>
      <c r="G1265" s="1288">
        <v>4.1949057952970804E-2</v>
      </c>
      <c r="H1265" s="1306">
        <v>0.48068823864411431</v>
      </c>
      <c r="I1265" s="1303">
        <v>6.018994855174619E-2</v>
      </c>
      <c r="J1265" s="1288">
        <v>8.0698166888868259E-2</v>
      </c>
      <c r="K1265" s="1306">
        <v>0.59923791849146557</v>
      </c>
      <c r="L1265" s="1330">
        <v>0.15378796281916665</v>
      </c>
    </row>
    <row r="1266" spans="1:12" s="326" customFormat="1" ht="15.5" x14ac:dyDescent="0.35">
      <c r="A1266" s="328" t="s">
        <v>2230</v>
      </c>
      <c r="B1266" s="1287">
        <v>6.4670367970624379E-2</v>
      </c>
      <c r="C1266" s="1288">
        <v>9.6695463505101428E-2</v>
      </c>
      <c r="D1266" s="1288">
        <v>9.6776587478339116E-2</v>
      </c>
      <c r="E1266" s="1306">
        <v>1.9224538376692752</v>
      </c>
      <c r="F1266" s="1303">
        <v>4.8410812375537932E-2</v>
      </c>
      <c r="G1266" s="1288">
        <v>4.1747432420760629E-2</v>
      </c>
      <c r="H1266" s="1306">
        <v>0.48707826311449598</v>
      </c>
      <c r="I1266" s="1303">
        <v>6.0179469656005201E-2</v>
      </c>
      <c r="J1266" s="1288">
        <v>8.0656735917109548E-2</v>
      </c>
      <c r="K1266" s="1306">
        <v>0.59932370429953297</v>
      </c>
      <c r="L1266" s="1330">
        <v>0.15378796281917112</v>
      </c>
    </row>
    <row r="1267" spans="1:12" s="326" customFormat="1" ht="15.5" x14ac:dyDescent="0.35">
      <c r="A1267" s="328" t="s">
        <v>2231</v>
      </c>
      <c r="B1267" s="1287">
        <v>6.5574775904484517E-2</v>
      </c>
      <c r="C1267" s="1288">
        <v>8.5584519397173486E-2</v>
      </c>
      <c r="D1267" s="1288">
        <v>9.5861336483783283E-2</v>
      </c>
      <c r="E1267" s="1306">
        <v>1.9613452970989966</v>
      </c>
      <c r="F1267" s="1303">
        <v>4.8142943970942896E-2</v>
      </c>
      <c r="G1267" s="1288">
        <v>4.1520181509292736E-2</v>
      </c>
      <c r="H1267" s="1306">
        <v>0.49455553491427007</v>
      </c>
      <c r="I1267" s="1303">
        <v>6.0168313084552172E-2</v>
      </c>
      <c r="J1267" s="1288">
        <v>8.0615629233889402E-2</v>
      </c>
      <c r="K1267" s="1306">
        <v>0.5994455851998296</v>
      </c>
      <c r="L1267" s="1330">
        <v>0.15378796281916546</v>
      </c>
    </row>
    <row r="1268" spans="1:12" s="326" customFormat="1" ht="15.5" x14ac:dyDescent="0.35">
      <c r="A1268" s="328" t="s">
        <v>2232</v>
      </c>
      <c r="B1268" s="1287">
        <v>6.4735510931571649E-2</v>
      </c>
      <c r="C1268" s="1288">
        <v>9.3217177468403467E-2</v>
      </c>
      <c r="D1268" s="1288">
        <v>8.6844196730240686E-2</v>
      </c>
      <c r="E1268" s="1306">
        <v>1.8016050729254212</v>
      </c>
      <c r="F1268" s="1303">
        <v>4.7887435915646918E-2</v>
      </c>
      <c r="G1268" s="1288">
        <v>4.1332991556271181E-2</v>
      </c>
      <c r="H1268" s="1306">
        <v>0.50181372292867177</v>
      </c>
      <c r="I1268" s="1303">
        <v>6.0155964295235911E-2</v>
      </c>
      <c r="J1268" s="1288">
        <v>8.0575823647500114E-2</v>
      </c>
      <c r="K1268" s="1306">
        <v>0.59959277694388169</v>
      </c>
      <c r="L1268" s="1330">
        <v>0.15378796281916898</v>
      </c>
    </row>
    <row r="1269" spans="1:12" s="326" customFormat="1" ht="15.5" x14ac:dyDescent="0.35">
      <c r="A1269" s="328" t="s">
        <v>2233</v>
      </c>
      <c r="B1269" s="1287">
        <v>6.4815382071033018E-2</v>
      </c>
      <c r="C1269" s="1288">
        <v>8.5215953679752043E-2</v>
      </c>
      <c r="D1269" s="1288">
        <v>8.4952751198773449E-2</v>
      </c>
      <c r="E1269" s="1306">
        <v>1.8717905674739828</v>
      </c>
      <c r="F1269" s="1303">
        <v>4.7608043451482285E-2</v>
      </c>
      <c r="G1269" s="1288">
        <v>4.1142875317802675E-2</v>
      </c>
      <c r="H1269" s="1306">
        <v>0.50810065146789063</v>
      </c>
      <c r="I1269" s="1303">
        <v>6.0141964572439255E-2</v>
      </c>
      <c r="J1269" s="1288">
        <v>8.0537288403426166E-2</v>
      </c>
      <c r="K1269" s="1306">
        <v>0.59974956603897245</v>
      </c>
      <c r="L1269" s="1330">
        <v>0.15378796281916698</v>
      </c>
    </row>
    <row r="1270" spans="1:12" s="326" customFormat="1" ht="15.5" x14ac:dyDescent="0.35">
      <c r="A1270" s="328" t="s">
        <v>2234</v>
      </c>
      <c r="B1270" s="1287">
        <v>6.4764370128812018E-2</v>
      </c>
      <c r="C1270" s="1288">
        <v>9.5992279475411946E-2</v>
      </c>
      <c r="D1270" s="1288">
        <v>8.36802613073966E-2</v>
      </c>
      <c r="E1270" s="1306">
        <v>1.8163770365098149</v>
      </c>
      <c r="F1270" s="1303">
        <v>4.7249454959577566E-2</v>
      </c>
      <c r="G1270" s="1288">
        <v>4.094169877585687E-2</v>
      </c>
      <c r="H1270" s="1306">
        <v>0.51307416322753963</v>
      </c>
      <c r="I1270" s="1303">
        <v>6.0125491274605591E-2</v>
      </c>
      <c r="J1270" s="1288">
        <v>8.0495443393875959E-2</v>
      </c>
      <c r="K1270" s="1306">
        <v>0.599908753558688</v>
      </c>
      <c r="L1270" s="1330">
        <v>0.15378796281916521</v>
      </c>
    </row>
    <row r="1271" spans="1:12" s="326" customFormat="1" ht="15.5" x14ac:dyDescent="0.35">
      <c r="A1271" s="328" t="s">
        <v>2235</v>
      </c>
      <c r="B1271" s="1287">
        <v>6.4543330592285786E-2</v>
      </c>
      <c r="C1271" s="1288">
        <v>7.5277476702022408E-2</v>
      </c>
      <c r="D1271" s="1288">
        <v>8.4278471281192036E-2</v>
      </c>
      <c r="E1271" s="1306">
        <v>1.8998806932009293</v>
      </c>
      <c r="F1271" s="1303">
        <v>4.6849204585492556E-2</v>
      </c>
      <c r="G1271" s="1288">
        <v>4.0727170281020193E-2</v>
      </c>
      <c r="H1271" s="1306">
        <v>0.51719065398620845</v>
      </c>
      <c r="I1271" s="1303">
        <v>6.0104531644534109E-2</v>
      </c>
      <c r="J1271" s="1288">
        <v>8.0435359277629501E-2</v>
      </c>
      <c r="K1271" s="1306">
        <v>0.6000197887405252</v>
      </c>
      <c r="L1271" s="1330">
        <v>0.15378796281916821</v>
      </c>
    </row>
    <row r="1272" spans="1:12" s="326" customFormat="1" ht="15.5" x14ac:dyDescent="0.35">
      <c r="A1272" s="328" t="s">
        <v>2236</v>
      </c>
      <c r="B1272" s="1287">
        <v>6.4638498242281378E-2</v>
      </c>
      <c r="C1272" s="1288">
        <v>9.1681056982973727E-2</v>
      </c>
      <c r="D1272" s="1288">
        <v>8.3949468175351427E-2</v>
      </c>
      <c r="E1272" s="1306">
        <v>1.9585895934332322</v>
      </c>
      <c r="F1272" s="1303">
        <v>4.6345232087070205E-2</v>
      </c>
      <c r="G1272" s="1288">
        <v>4.0462754661617972E-2</v>
      </c>
      <c r="H1272" s="1306">
        <v>0.50789708026161862</v>
      </c>
      <c r="I1272" s="1303">
        <v>6.0073521665762498E-2</v>
      </c>
      <c r="J1272" s="1288">
        <v>8.0321027602505535E-2</v>
      </c>
      <c r="K1272" s="1306">
        <v>0.59977142312246101</v>
      </c>
      <c r="L1272" s="1330">
        <v>0.15378861715167302</v>
      </c>
    </row>
    <row r="1273" spans="1:12" s="326" customFormat="1" ht="15.5" x14ac:dyDescent="0.35">
      <c r="A1273" s="328" t="s">
        <v>2237</v>
      </c>
      <c r="B1273" s="1291">
        <v>6.4638498242281378E-2</v>
      </c>
      <c r="C1273" s="1257">
        <v>9.1681056982973727E-2</v>
      </c>
      <c r="D1273" s="1257">
        <v>8.3949468175351427E-2</v>
      </c>
      <c r="E1273" s="1280">
        <v>1.9585895934332322</v>
      </c>
      <c r="F1273" s="1271">
        <v>4.6345232087070205E-2</v>
      </c>
      <c r="G1273" s="1257">
        <v>4.0462754661617972E-2</v>
      </c>
      <c r="H1273" s="1280">
        <v>0.50789708026161862</v>
      </c>
      <c r="I1273" s="1271">
        <v>6.0073521665762498E-2</v>
      </c>
      <c r="J1273" s="1257">
        <v>8.0321027602505535E-2</v>
      </c>
      <c r="K1273" s="1280">
        <v>0.59977142312246101</v>
      </c>
      <c r="L1273" s="1330">
        <v>0.16102323578193989</v>
      </c>
    </row>
    <row r="1274" spans="1:12" s="326" customFormat="1" ht="15.5" x14ac:dyDescent="0.35">
      <c r="A1274" s="328" t="s">
        <v>2238</v>
      </c>
      <c r="B1274" s="1291">
        <v>0.10742535968087413</v>
      </c>
      <c r="C1274" s="1257">
        <v>0.26639599541379394</v>
      </c>
      <c r="D1274" s="1257">
        <v>0.11936151075652682</v>
      </c>
      <c r="E1274" s="1280">
        <v>0.80252711757150796</v>
      </c>
      <c r="F1274" s="1271">
        <v>5.7701149530386513E-2</v>
      </c>
      <c r="G1274" s="1257">
        <v>8.0146715289867818E-2</v>
      </c>
      <c r="H1274" s="1280">
        <v>0.75844722483867566</v>
      </c>
      <c r="I1274" s="1271">
        <v>6.397916693327535E-2</v>
      </c>
      <c r="J1274" s="1257">
        <v>0.13326035772091216</v>
      </c>
      <c r="K1274" s="1280">
        <v>1.261074120491279</v>
      </c>
      <c r="L1274" s="1237">
        <v>0.17425770642779972</v>
      </c>
    </row>
    <row r="1275" spans="1:12" s="326" customFormat="1" ht="15.5" x14ac:dyDescent="0.35">
      <c r="A1275" s="328" t="s">
        <v>2239</v>
      </c>
      <c r="B1275" s="1291">
        <v>0.10742535968087413</v>
      </c>
      <c r="C1275" s="1257">
        <v>0.26639599541379394</v>
      </c>
      <c r="D1275" s="1257">
        <v>0.11936151075652682</v>
      </c>
      <c r="E1275" s="1280">
        <v>0.80252711757150796</v>
      </c>
      <c r="F1275" s="1271">
        <v>5.7701149530386513E-2</v>
      </c>
      <c r="G1275" s="1257">
        <v>8.0146715289867818E-2</v>
      </c>
      <c r="H1275" s="1280">
        <v>0.75844722483867566</v>
      </c>
      <c r="I1275" s="1271">
        <v>6.397916693327535E-2</v>
      </c>
      <c r="J1275" s="1257">
        <v>0.13326035772091216</v>
      </c>
      <c r="K1275" s="1280">
        <v>1.261074120491279</v>
      </c>
      <c r="L1275" s="1237">
        <v>0.17425770642779972</v>
      </c>
    </row>
    <row r="1276" spans="1:12" s="326" customFormat="1" ht="15.5" x14ac:dyDescent="0.35">
      <c r="A1276" s="328" t="s">
        <v>2240</v>
      </c>
      <c r="B1276" s="1291">
        <v>0.10742535968087413</v>
      </c>
      <c r="C1276" s="1257">
        <v>0.26639599541379394</v>
      </c>
      <c r="D1276" s="1257">
        <v>0.11936151075652682</v>
      </c>
      <c r="E1276" s="1280">
        <v>0.80252711757150796</v>
      </c>
      <c r="F1276" s="1271">
        <v>5.7701149530386513E-2</v>
      </c>
      <c r="G1276" s="1257">
        <v>8.0146715289867818E-2</v>
      </c>
      <c r="H1276" s="1280">
        <v>0.75844722483867566</v>
      </c>
      <c r="I1276" s="1271">
        <v>6.397916693327535E-2</v>
      </c>
      <c r="J1276" s="1257">
        <v>0.13326035772091216</v>
      </c>
      <c r="K1276" s="1280">
        <v>1.261074120491279</v>
      </c>
      <c r="L1276" s="1237">
        <v>0.17425770642779972</v>
      </c>
    </row>
    <row r="1277" spans="1:12" s="326" customFormat="1" ht="15.5" x14ac:dyDescent="0.35">
      <c r="A1277" s="328" t="s">
        <v>2241</v>
      </c>
      <c r="B1277" s="1291">
        <v>0.10742535968087413</v>
      </c>
      <c r="C1277" s="1257">
        <v>0.26639599541379394</v>
      </c>
      <c r="D1277" s="1257">
        <v>0.11936151075652682</v>
      </c>
      <c r="E1277" s="1280">
        <v>0.80252711757150796</v>
      </c>
      <c r="F1277" s="1271">
        <v>5.7701149530386513E-2</v>
      </c>
      <c r="G1277" s="1257">
        <v>8.0146715289867818E-2</v>
      </c>
      <c r="H1277" s="1280">
        <v>0.75844722483867566</v>
      </c>
      <c r="I1277" s="1271">
        <v>6.397916693327535E-2</v>
      </c>
      <c r="J1277" s="1257">
        <v>0.13326035772091216</v>
      </c>
      <c r="K1277" s="1280">
        <v>1.261074120491279</v>
      </c>
      <c r="L1277" s="1237">
        <v>0.17425770642779972</v>
      </c>
    </row>
    <row r="1278" spans="1:12" s="326" customFormat="1" ht="15.5" x14ac:dyDescent="0.35">
      <c r="A1278" s="328" t="s">
        <v>2242</v>
      </c>
      <c r="B1278" s="1291">
        <v>0.10742535968087413</v>
      </c>
      <c r="C1278" s="1257">
        <v>0.26639599541379394</v>
      </c>
      <c r="D1278" s="1257">
        <v>0.11936151075652682</v>
      </c>
      <c r="E1278" s="1280">
        <v>0.80252711757150796</v>
      </c>
      <c r="F1278" s="1271">
        <v>5.7701149530386513E-2</v>
      </c>
      <c r="G1278" s="1257">
        <v>8.0146715289867818E-2</v>
      </c>
      <c r="H1278" s="1280">
        <v>0.75844722483867566</v>
      </c>
      <c r="I1278" s="1271">
        <v>6.397916693327535E-2</v>
      </c>
      <c r="J1278" s="1257">
        <v>0.13326035772091216</v>
      </c>
      <c r="K1278" s="1280">
        <v>1.261074120491279</v>
      </c>
      <c r="L1278" s="1237">
        <v>0.17425770642779972</v>
      </c>
    </row>
    <row r="1279" spans="1:12" s="326" customFormat="1" ht="15.5" x14ac:dyDescent="0.35">
      <c r="A1279" s="328" t="s">
        <v>2243</v>
      </c>
      <c r="B1279" s="1291">
        <v>0.10742535968087413</v>
      </c>
      <c r="C1279" s="1257">
        <v>0.26639599541379394</v>
      </c>
      <c r="D1279" s="1257">
        <v>0.11936151075652682</v>
      </c>
      <c r="E1279" s="1280">
        <v>0.80252711757150796</v>
      </c>
      <c r="F1279" s="1271">
        <v>5.7701149530386513E-2</v>
      </c>
      <c r="G1279" s="1257">
        <v>8.0146715289867818E-2</v>
      </c>
      <c r="H1279" s="1280">
        <v>0.75844722483867566</v>
      </c>
      <c r="I1279" s="1271">
        <v>6.397916693327535E-2</v>
      </c>
      <c r="J1279" s="1257">
        <v>0.13326035772091216</v>
      </c>
      <c r="K1279" s="1280">
        <v>1.261074120491279</v>
      </c>
      <c r="L1279" s="1237">
        <v>0.17425770642779972</v>
      </c>
    </row>
    <row r="1280" spans="1:12" s="326" customFormat="1" ht="15.5" x14ac:dyDescent="0.35">
      <c r="A1280" s="328" t="s">
        <v>2244</v>
      </c>
      <c r="B1280" s="1291">
        <v>0.10742535968087413</v>
      </c>
      <c r="C1280" s="1257">
        <v>0.26639599541379394</v>
      </c>
      <c r="D1280" s="1257">
        <v>0.11936151075652682</v>
      </c>
      <c r="E1280" s="1280">
        <v>0.80252711757150796</v>
      </c>
      <c r="F1280" s="1271">
        <v>5.7701149530386513E-2</v>
      </c>
      <c r="G1280" s="1257">
        <v>8.0146715289867818E-2</v>
      </c>
      <c r="H1280" s="1280">
        <v>0.75844722483867566</v>
      </c>
      <c r="I1280" s="1271">
        <v>6.397916693327535E-2</v>
      </c>
      <c r="J1280" s="1257">
        <v>0.13326035772091216</v>
      </c>
      <c r="K1280" s="1280">
        <v>1.261074120491279</v>
      </c>
      <c r="L1280" s="1237">
        <v>0.17425770642779972</v>
      </c>
    </row>
    <row r="1281" spans="1:12" s="326" customFormat="1" ht="15.5" x14ac:dyDescent="0.35">
      <c r="A1281" s="328" t="s">
        <v>2245</v>
      </c>
      <c r="B1281" s="1291">
        <v>0.10742535968087413</v>
      </c>
      <c r="C1281" s="1257">
        <v>0.26639599541379394</v>
      </c>
      <c r="D1281" s="1257">
        <v>0.11936151075652682</v>
      </c>
      <c r="E1281" s="1280">
        <v>0.80252711757150796</v>
      </c>
      <c r="F1281" s="1271">
        <v>5.7701149530386513E-2</v>
      </c>
      <c r="G1281" s="1257">
        <v>8.0146715289867818E-2</v>
      </c>
      <c r="H1281" s="1280">
        <v>0.75844722483867566</v>
      </c>
      <c r="I1281" s="1271">
        <v>6.397916693327535E-2</v>
      </c>
      <c r="J1281" s="1257">
        <v>0.13326035772091216</v>
      </c>
      <c r="K1281" s="1280">
        <v>1.261074120491279</v>
      </c>
      <c r="L1281" s="1237">
        <v>0.17425770642779972</v>
      </c>
    </row>
    <row r="1282" spans="1:12" s="326" customFormat="1" ht="15.5" x14ac:dyDescent="0.35">
      <c r="A1282" s="328" t="s">
        <v>2246</v>
      </c>
      <c r="B1282" s="1291">
        <v>0.10742535968087413</v>
      </c>
      <c r="C1282" s="1257">
        <v>0.26639599541379394</v>
      </c>
      <c r="D1282" s="1257">
        <v>0.11936151075652682</v>
      </c>
      <c r="E1282" s="1280">
        <v>0.80252711757150796</v>
      </c>
      <c r="F1282" s="1271">
        <v>5.7701149530386513E-2</v>
      </c>
      <c r="G1282" s="1257">
        <v>8.0146715289867818E-2</v>
      </c>
      <c r="H1282" s="1280">
        <v>0.75844722483867566</v>
      </c>
      <c r="I1282" s="1271">
        <v>6.397916693327535E-2</v>
      </c>
      <c r="J1282" s="1257">
        <v>0.13326035772091216</v>
      </c>
      <c r="K1282" s="1280">
        <v>1.261074120491279</v>
      </c>
      <c r="L1282" s="1237">
        <v>0.17425770642779972</v>
      </c>
    </row>
    <row r="1283" spans="1:12" s="326" customFormat="1" ht="15.5" x14ac:dyDescent="0.35">
      <c r="A1283" s="328" t="s">
        <v>2247</v>
      </c>
      <c r="B1283" s="1291">
        <v>0.10742535968087413</v>
      </c>
      <c r="C1283" s="1257">
        <v>0.26639599541379394</v>
      </c>
      <c r="D1283" s="1257">
        <v>0.11936151075652682</v>
      </c>
      <c r="E1283" s="1280">
        <v>0.80252711757150796</v>
      </c>
      <c r="F1283" s="1271">
        <v>5.7701149530386513E-2</v>
      </c>
      <c r="G1283" s="1257">
        <v>8.0146715289867818E-2</v>
      </c>
      <c r="H1283" s="1280">
        <v>0.75844722483867566</v>
      </c>
      <c r="I1283" s="1271">
        <v>6.397916693327535E-2</v>
      </c>
      <c r="J1283" s="1257">
        <v>0.13326035772091216</v>
      </c>
      <c r="K1283" s="1280">
        <v>1.261074120491279</v>
      </c>
      <c r="L1283" s="1237">
        <v>0.17425770642779972</v>
      </c>
    </row>
    <row r="1284" spans="1:12" s="326" customFormat="1" ht="15.5" x14ac:dyDescent="0.35">
      <c r="A1284" s="328" t="s">
        <v>2248</v>
      </c>
      <c r="B1284" s="1291">
        <v>0.10742535968087413</v>
      </c>
      <c r="C1284" s="1257">
        <v>0.26639599541379394</v>
      </c>
      <c r="D1284" s="1257">
        <v>0.11936151075652682</v>
      </c>
      <c r="E1284" s="1280">
        <v>0.80252711757150796</v>
      </c>
      <c r="F1284" s="1271">
        <v>5.7701149530386513E-2</v>
      </c>
      <c r="G1284" s="1257">
        <v>8.0146715289867818E-2</v>
      </c>
      <c r="H1284" s="1280">
        <v>0.75844722483867566</v>
      </c>
      <c r="I1284" s="1271">
        <v>6.397916693327535E-2</v>
      </c>
      <c r="J1284" s="1257">
        <v>0.13326035772091216</v>
      </c>
      <c r="K1284" s="1280">
        <v>1.261074120491279</v>
      </c>
      <c r="L1284" s="1237">
        <v>0.17425770642779972</v>
      </c>
    </row>
    <row r="1285" spans="1:12" s="326" customFormat="1" ht="15.5" x14ac:dyDescent="0.35">
      <c r="A1285" s="328" t="s">
        <v>2249</v>
      </c>
      <c r="B1285" s="1291">
        <v>0.10742535968087413</v>
      </c>
      <c r="C1285" s="1257">
        <v>0.26639599541379394</v>
      </c>
      <c r="D1285" s="1257">
        <v>0.11936151075652682</v>
      </c>
      <c r="E1285" s="1280">
        <v>0.80252711757150796</v>
      </c>
      <c r="F1285" s="1271">
        <v>5.7701149530386513E-2</v>
      </c>
      <c r="G1285" s="1257">
        <v>8.0146715289867818E-2</v>
      </c>
      <c r="H1285" s="1280">
        <v>0.75844722483867566</v>
      </c>
      <c r="I1285" s="1271">
        <v>6.397916693327535E-2</v>
      </c>
      <c r="J1285" s="1257">
        <v>0.13326035772091216</v>
      </c>
      <c r="K1285" s="1280">
        <v>1.261074120491279</v>
      </c>
      <c r="L1285" s="1237">
        <v>0.17425770642779972</v>
      </c>
    </row>
    <row r="1286" spans="1:12" s="326" customFormat="1" ht="15.5" x14ac:dyDescent="0.35">
      <c r="A1286" s="328" t="s">
        <v>2250</v>
      </c>
      <c r="B1286" s="1291">
        <v>0.10742535968087413</v>
      </c>
      <c r="C1286" s="1257">
        <v>0.26639599541379394</v>
      </c>
      <c r="D1286" s="1257">
        <v>0.11936151075652682</v>
      </c>
      <c r="E1286" s="1280">
        <v>0.80252711757150796</v>
      </c>
      <c r="F1286" s="1271">
        <v>5.7701149530386513E-2</v>
      </c>
      <c r="G1286" s="1257">
        <v>8.0146715289867818E-2</v>
      </c>
      <c r="H1286" s="1280">
        <v>0.75844722483867566</v>
      </c>
      <c r="I1286" s="1271">
        <v>6.397916693327535E-2</v>
      </c>
      <c r="J1286" s="1257">
        <v>0.13326035772091216</v>
      </c>
      <c r="K1286" s="1280">
        <v>1.261074120491279</v>
      </c>
      <c r="L1286" s="1237">
        <v>0.17425770642779972</v>
      </c>
    </row>
    <row r="1287" spans="1:12" s="326" customFormat="1" ht="15.5" x14ac:dyDescent="0.35">
      <c r="A1287" s="328" t="s">
        <v>2251</v>
      </c>
      <c r="B1287" s="1291">
        <v>0.10742535968087413</v>
      </c>
      <c r="C1287" s="1257">
        <v>0.26639599541379394</v>
      </c>
      <c r="D1287" s="1257">
        <v>0.11936151075652682</v>
      </c>
      <c r="E1287" s="1280">
        <v>0.80252711757150796</v>
      </c>
      <c r="F1287" s="1271">
        <v>5.7701149530386513E-2</v>
      </c>
      <c r="G1287" s="1257">
        <v>8.0146715289867818E-2</v>
      </c>
      <c r="H1287" s="1280">
        <v>0.75844722483867566</v>
      </c>
      <c r="I1287" s="1271">
        <v>6.397916693327535E-2</v>
      </c>
      <c r="J1287" s="1257">
        <v>0.13326035772091216</v>
      </c>
      <c r="K1287" s="1280">
        <v>1.261074120491279</v>
      </c>
      <c r="L1287" s="1237">
        <v>0.17425770642779972</v>
      </c>
    </row>
    <row r="1288" spans="1:12" s="326" customFormat="1" ht="15.5" x14ac:dyDescent="0.35">
      <c r="A1288" s="328" t="s">
        <v>2252</v>
      </c>
      <c r="B1288" s="1291">
        <v>0.10742535968087413</v>
      </c>
      <c r="C1288" s="1257">
        <v>0.26639599541379394</v>
      </c>
      <c r="D1288" s="1257">
        <v>0.11936151075652682</v>
      </c>
      <c r="E1288" s="1280">
        <v>0.80252711757150796</v>
      </c>
      <c r="F1288" s="1271">
        <v>5.7701149530386513E-2</v>
      </c>
      <c r="G1288" s="1257">
        <v>8.0146715289867818E-2</v>
      </c>
      <c r="H1288" s="1280">
        <v>0.75844722483867566</v>
      </c>
      <c r="I1288" s="1271">
        <v>6.397916693327535E-2</v>
      </c>
      <c r="J1288" s="1257">
        <v>0.13326035772091216</v>
      </c>
      <c r="K1288" s="1280">
        <v>1.261074120491279</v>
      </c>
      <c r="L1288" s="1237">
        <v>0.17425770642779972</v>
      </c>
    </row>
    <row r="1289" spans="1:12" s="326" customFormat="1" ht="15.5" x14ac:dyDescent="0.35">
      <c r="A1289" s="328" t="s">
        <v>2253</v>
      </c>
      <c r="B1289" s="1291">
        <v>0.10742535968087413</v>
      </c>
      <c r="C1289" s="1257">
        <v>0.26639599541379394</v>
      </c>
      <c r="D1289" s="1257">
        <v>0.11936151075652682</v>
      </c>
      <c r="E1289" s="1280">
        <v>0.80252711757150796</v>
      </c>
      <c r="F1289" s="1271">
        <v>5.7701149530386513E-2</v>
      </c>
      <c r="G1289" s="1257">
        <v>8.0146715289867818E-2</v>
      </c>
      <c r="H1289" s="1280">
        <v>0.75844722483867566</v>
      </c>
      <c r="I1289" s="1271">
        <v>6.397916693327535E-2</v>
      </c>
      <c r="J1289" s="1257">
        <v>0.13326035772091216</v>
      </c>
      <c r="K1289" s="1280">
        <v>1.261074120491279</v>
      </c>
      <c r="L1289" s="1237">
        <v>0.17425770642779972</v>
      </c>
    </row>
    <row r="1290" spans="1:12" s="326" customFormat="1" ht="15.5" x14ac:dyDescent="0.35">
      <c r="A1290" s="328" t="s">
        <v>2254</v>
      </c>
      <c r="B1290" s="1291">
        <v>0.10742535968087413</v>
      </c>
      <c r="C1290" s="1257">
        <v>0.26639599541379394</v>
      </c>
      <c r="D1290" s="1257">
        <v>0.11936151075652682</v>
      </c>
      <c r="E1290" s="1280">
        <v>0.80252711757150796</v>
      </c>
      <c r="F1290" s="1271">
        <v>5.7701149530386513E-2</v>
      </c>
      <c r="G1290" s="1257">
        <v>8.0146715289867818E-2</v>
      </c>
      <c r="H1290" s="1280">
        <v>0.75844722483867566</v>
      </c>
      <c r="I1290" s="1271">
        <v>6.397916693327535E-2</v>
      </c>
      <c r="J1290" s="1257">
        <v>0.13326035772091216</v>
      </c>
      <c r="K1290" s="1280">
        <v>1.261074120491279</v>
      </c>
      <c r="L1290" s="1237">
        <v>0.17425770642779972</v>
      </c>
    </row>
    <row r="1291" spans="1:12" s="326" customFormat="1" ht="15.5" x14ac:dyDescent="0.35">
      <c r="A1291" s="328" t="s">
        <v>2255</v>
      </c>
      <c r="B1291" s="1291">
        <v>0.10742535968087413</v>
      </c>
      <c r="C1291" s="1257">
        <v>0.26639599541379394</v>
      </c>
      <c r="D1291" s="1257">
        <v>0.11936151075652682</v>
      </c>
      <c r="E1291" s="1280">
        <v>0.80252711757150796</v>
      </c>
      <c r="F1291" s="1271">
        <v>5.7701149530386513E-2</v>
      </c>
      <c r="G1291" s="1257">
        <v>8.0146715289867818E-2</v>
      </c>
      <c r="H1291" s="1280">
        <v>0.75844722483867566</v>
      </c>
      <c r="I1291" s="1271">
        <v>6.397916693327535E-2</v>
      </c>
      <c r="J1291" s="1257">
        <v>0.13326035772091216</v>
      </c>
      <c r="K1291" s="1280">
        <v>1.261074120491279</v>
      </c>
      <c r="L1291" s="1237">
        <v>0.17425770642779972</v>
      </c>
    </row>
    <row r="1292" spans="1:12" s="326" customFormat="1" ht="15.5" x14ac:dyDescent="0.35">
      <c r="A1292" s="328" t="s">
        <v>2256</v>
      </c>
      <c r="B1292" s="1291">
        <v>0.10742535968087413</v>
      </c>
      <c r="C1292" s="1257">
        <v>0.26639599541379394</v>
      </c>
      <c r="D1292" s="1257">
        <v>0.11936151075652682</v>
      </c>
      <c r="E1292" s="1280">
        <v>0.80252711757150796</v>
      </c>
      <c r="F1292" s="1271">
        <v>5.7701149530386513E-2</v>
      </c>
      <c r="G1292" s="1257">
        <v>8.0146715289867818E-2</v>
      </c>
      <c r="H1292" s="1280">
        <v>0.75844722483867566</v>
      </c>
      <c r="I1292" s="1271">
        <v>6.397916693327535E-2</v>
      </c>
      <c r="J1292" s="1257">
        <v>0.13326035772091216</v>
      </c>
      <c r="K1292" s="1280">
        <v>1.261074120491279</v>
      </c>
      <c r="L1292" s="1237">
        <v>0.17425770642779972</v>
      </c>
    </row>
    <row r="1293" spans="1:12" s="326" customFormat="1" ht="15.5" x14ac:dyDescent="0.35">
      <c r="A1293" s="328" t="s">
        <v>2257</v>
      </c>
      <c r="B1293" s="1291">
        <v>0.10742535968087413</v>
      </c>
      <c r="C1293" s="1257">
        <v>0.26639599541379394</v>
      </c>
      <c r="D1293" s="1257">
        <v>0.11936151075652682</v>
      </c>
      <c r="E1293" s="1280">
        <v>0.80252711757150796</v>
      </c>
      <c r="F1293" s="1271">
        <v>5.7701149530386513E-2</v>
      </c>
      <c r="G1293" s="1257">
        <v>8.0146715289867818E-2</v>
      </c>
      <c r="H1293" s="1280">
        <v>0.75844722483867566</v>
      </c>
      <c r="I1293" s="1271">
        <v>6.397916693327535E-2</v>
      </c>
      <c r="J1293" s="1257">
        <v>0.13326035772091216</v>
      </c>
      <c r="K1293" s="1280">
        <v>1.261074120491279</v>
      </c>
      <c r="L1293" s="1237">
        <v>0.17425770642779972</v>
      </c>
    </row>
    <row r="1294" spans="1:12" s="326" customFormat="1" ht="15.5" x14ac:dyDescent="0.35">
      <c r="A1294" s="328" t="s">
        <v>2258</v>
      </c>
      <c r="B1294" s="1291">
        <v>0.10742535968087413</v>
      </c>
      <c r="C1294" s="1257">
        <v>0.26639599541379394</v>
      </c>
      <c r="D1294" s="1257">
        <v>0.11936151075652682</v>
      </c>
      <c r="E1294" s="1280">
        <v>0.80252711757150796</v>
      </c>
      <c r="F1294" s="1271">
        <v>5.7701149530386513E-2</v>
      </c>
      <c r="G1294" s="1257">
        <v>8.0146715289867818E-2</v>
      </c>
      <c r="H1294" s="1280">
        <v>0.75844722483867566</v>
      </c>
      <c r="I1294" s="1271">
        <v>6.397916693327535E-2</v>
      </c>
      <c r="J1294" s="1257">
        <v>0.13326035772091216</v>
      </c>
      <c r="K1294" s="1280">
        <v>1.261074120491279</v>
      </c>
      <c r="L1294" s="1237">
        <v>0.17425770642779972</v>
      </c>
    </row>
    <row r="1295" spans="1:12" s="326" customFormat="1" ht="15.5" x14ac:dyDescent="0.35">
      <c r="A1295" s="328" t="s">
        <v>2259</v>
      </c>
      <c r="B1295" s="1291">
        <v>0.10742535968087413</v>
      </c>
      <c r="C1295" s="1257">
        <v>0.26639599541379394</v>
      </c>
      <c r="D1295" s="1257">
        <v>0.11936151075652682</v>
      </c>
      <c r="E1295" s="1280">
        <v>0.80252711757150796</v>
      </c>
      <c r="F1295" s="1271">
        <v>5.7701149530386513E-2</v>
      </c>
      <c r="G1295" s="1257">
        <v>8.0146715289867818E-2</v>
      </c>
      <c r="H1295" s="1280">
        <v>0.75844722483867566</v>
      </c>
      <c r="I1295" s="1271">
        <v>6.397916693327535E-2</v>
      </c>
      <c r="J1295" s="1257">
        <v>0.13326035772091216</v>
      </c>
      <c r="K1295" s="1280">
        <v>1.261074120491279</v>
      </c>
      <c r="L1295" s="1237">
        <v>0.17425770642779972</v>
      </c>
    </row>
    <row r="1296" spans="1:12" s="326" customFormat="1" ht="15.5" x14ac:dyDescent="0.35">
      <c r="A1296" s="328" t="s">
        <v>2260</v>
      </c>
      <c r="B1296" s="1291">
        <v>0.10742535968087413</v>
      </c>
      <c r="C1296" s="1257">
        <v>0.26639599541379394</v>
      </c>
      <c r="D1296" s="1257">
        <v>0.11936151075652682</v>
      </c>
      <c r="E1296" s="1280">
        <v>0.80252711757150796</v>
      </c>
      <c r="F1296" s="1303">
        <v>5.7701149530386513E-2</v>
      </c>
      <c r="G1296" s="1288">
        <v>8.0146715289867818E-2</v>
      </c>
      <c r="H1296" s="1280">
        <v>0.75844722483867566</v>
      </c>
      <c r="I1296" s="1303">
        <v>6.397916693327535E-2</v>
      </c>
      <c r="J1296" s="1288">
        <v>0.13326035772091216</v>
      </c>
      <c r="K1296" s="1280">
        <v>1.261074120491279</v>
      </c>
      <c r="L1296" s="1237">
        <v>0.17425770642779972</v>
      </c>
    </row>
    <row r="1297" spans="1:12" s="326" customFormat="1" ht="15.5" x14ac:dyDescent="0.35">
      <c r="A1297" s="328" t="s">
        <v>2261</v>
      </c>
      <c r="B1297" s="1291">
        <v>0.10742535968087413</v>
      </c>
      <c r="C1297" s="1257">
        <v>0.26639599541379394</v>
      </c>
      <c r="D1297" s="1257">
        <v>0.11936151075652682</v>
      </c>
      <c r="E1297" s="1280">
        <v>0.80252711757150796</v>
      </c>
      <c r="F1297" s="1303">
        <v>5.5594074210322225E-2</v>
      </c>
      <c r="G1297" s="1288">
        <v>7.2877812475748177E-2</v>
      </c>
      <c r="H1297" s="1280">
        <v>0.68965988717858762</v>
      </c>
      <c r="I1297" s="1303">
        <v>6.3522974570383944E-2</v>
      </c>
      <c r="J1297" s="1288">
        <v>0.13293326039462561</v>
      </c>
      <c r="K1297" s="1280">
        <v>1.2579787215285527</v>
      </c>
      <c r="L1297" s="1237">
        <v>0.17425770642779972</v>
      </c>
    </row>
    <row r="1298" spans="1:12" s="326" customFormat="1" ht="15.5" x14ac:dyDescent="0.35">
      <c r="A1298" s="328" t="s">
        <v>2262</v>
      </c>
      <c r="B1298" s="1291">
        <v>0.10742535968087413</v>
      </c>
      <c r="C1298" s="1257">
        <v>0.26639599541379394</v>
      </c>
      <c r="D1298" s="1257">
        <v>0.11936151075652682</v>
      </c>
      <c r="E1298" s="1280">
        <v>0.80252711757150796</v>
      </c>
      <c r="F1298" s="1303">
        <v>5.7323635370583388E-2</v>
      </c>
      <c r="G1298" s="1288">
        <v>7.7399438176063595E-2</v>
      </c>
      <c r="H1298" s="1280">
        <v>0.73244909509260192</v>
      </c>
      <c r="I1298" s="1303">
        <v>6.3729411333894759E-2</v>
      </c>
      <c r="J1298" s="1288">
        <v>0.13226701320383802</v>
      </c>
      <c r="K1298" s="1280">
        <v>1.2516738675980847</v>
      </c>
      <c r="L1298" s="1237">
        <v>0.17425770642779972</v>
      </c>
    </row>
    <row r="1299" spans="1:12" s="326" customFormat="1" ht="15.5" x14ac:dyDescent="0.35">
      <c r="A1299" s="328" t="s">
        <v>2263</v>
      </c>
      <c r="B1299" s="1291">
        <v>0.10742535968087413</v>
      </c>
      <c r="C1299" s="1257">
        <v>0.26639599541379394</v>
      </c>
      <c r="D1299" s="1257">
        <v>0.11936151075652682</v>
      </c>
      <c r="E1299" s="1280">
        <v>0.80252711757150796</v>
      </c>
      <c r="F1299" s="1303">
        <v>5.7628740205212137E-2</v>
      </c>
      <c r="G1299" s="1288">
        <v>7.5296805274314177E-2</v>
      </c>
      <c r="H1299" s="1280">
        <v>0.71255138520619354</v>
      </c>
      <c r="I1299" s="1303">
        <v>6.3882383975428392E-2</v>
      </c>
      <c r="J1299" s="1288">
        <v>0.13113833270293904</v>
      </c>
      <c r="K1299" s="1280">
        <v>1.2409928984461953</v>
      </c>
      <c r="L1299" s="1237">
        <v>0.17425770642779972</v>
      </c>
    </row>
    <row r="1300" spans="1:12" s="326" customFormat="1" ht="15.5" x14ac:dyDescent="0.35">
      <c r="A1300" s="328" t="s">
        <v>2264</v>
      </c>
      <c r="B1300" s="1291">
        <v>0.10742535968087413</v>
      </c>
      <c r="C1300" s="1257">
        <v>0.26639599541379394</v>
      </c>
      <c r="D1300" s="1257">
        <v>0.11936151075652682</v>
      </c>
      <c r="E1300" s="1280">
        <v>0.80252711757150796</v>
      </c>
      <c r="F1300" s="1303">
        <v>5.7821504302131552E-2</v>
      </c>
      <c r="G1300" s="1288">
        <v>7.4881615261823131E-2</v>
      </c>
      <c r="H1300" s="1280">
        <v>0.70862234442622329</v>
      </c>
      <c r="I1300" s="1303">
        <v>6.4079771837855792E-2</v>
      </c>
      <c r="J1300" s="1288">
        <v>0.12935349949731065</v>
      </c>
      <c r="K1300" s="1280">
        <v>1.2241026018605794</v>
      </c>
      <c r="L1300" s="1237">
        <v>0.17425770642779972</v>
      </c>
    </row>
    <row r="1301" spans="1:12" s="326" customFormat="1" ht="15.5" x14ac:dyDescent="0.35">
      <c r="A1301" s="328" t="s">
        <v>2265</v>
      </c>
      <c r="B1301" s="1291">
        <v>0.10742535968087413</v>
      </c>
      <c r="C1301" s="1257">
        <v>0.26639599541379394</v>
      </c>
      <c r="D1301" s="1257">
        <v>0.11936151075652682</v>
      </c>
      <c r="E1301" s="1280">
        <v>0.80252711757150796</v>
      </c>
      <c r="F1301" s="1303">
        <v>5.7751908073039766E-2</v>
      </c>
      <c r="G1301" s="1288">
        <v>7.0592115536782254E-2</v>
      </c>
      <c r="H1301" s="1280">
        <v>0.66802979923410855</v>
      </c>
      <c r="I1301" s="1303">
        <v>6.4196700688222558E-2</v>
      </c>
      <c r="J1301" s="1288">
        <v>0.12992821679209449</v>
      </c>
      <c r="K1301" s="1280">
        <v>1.2295412868487177</v>
      </c>
      <c r="L1301" s="1237">
        <v>0.17425770642779972</v>
      </c>
    </row>
    <row r="1302" spans="1:12" s="326" customFormat="1" ht="15.5" x14ac:dyDescent="0.35">
      <c r="A1302" s="328" t="s">
        <v>2266</v>
      </c>
      <c r="B1302" s="1291">
        <v>0.10742535968087413</v>
      </c>
      <c r="C1302" s="1257">
        <v>0.26639599541379394</v>
      </c>
      <c r="D1302" s="1257">
        <v>0.11936151075652682</v>
      </c>
      <c r="E1302" s="1280">
        <v>0.80252711757150796</v>
      </c>
      <c r="F1302" s="1303">
        <v>5.7775466597405178E-2</v>
      </c>
      <c r="G1302" s="1288">
        <v>6.9730627052701236E-2</v>
      </c>
      <c r="H1302" s="1280">
        <v>0.65987733100607715</v>
      </c>
      <c r="I1302" s="1303">
        <v>6.3947226517337627E-2</v>
      </c>
      <c r="J1302" s="1288">
        <v>0.12988112741729038</v>
      </c>
      <c r="K1302" s="1280">
        <v>1.2290956690150934</v>
      </c>
      <c r="L1302" s="1237">
        <v>0.17425770642779972</v>
      </c>
    </row>
    <row r="1303" spans="1:12" s="326" customFormat="1" ht="15.5" x14ac:dyDescent="0.35">
      <c r="A1303" s="328" t="s">
        <v>2267</v>
      </c>
      <c r="B1303" s="1291">
        <v>0.10742535968087413</v>
      </c>
      <c r="C1303" s="1257">
        <v>0.26639599541379394</v>
      </c>
      <c r="D1303" s="1257">
        <v>0.11936151075652682</v>
      </c>
      <c r="E1303" s="1280">
        <v>0.80252711757150796</v>
      </c>
      <c r="F1303" s="1303">
        <v>5.760914932491281E-2</v>
      </c>
      <c r="G1303" s="1288">
        <v>7.5500893246101153E-2</v>
      </c>
      <c r="H1303" s="1280">
        <v>0.71448271770391314</v>
      </c>
      <c r="I1303" s="1303">
        <v>6.3482260696381423E-2</v>
      </c>
      <c r="J1303" s="1288">
        <v>0.13048875953883673</v>
      </c>
      <c r="K1303" s="1280">
        <v>1.2348458347535505</v>
      </c>
      <c r="L1303" s="1237">
        <v>0.17425770642779972</v>
      </c>
    </row>
    <row r="1304" spans="1:12" s="326" customFormat="1" ht="15.5" x14ac:dyDescent="0.35">
      <c r="A1304" s="328" t="s">
        <v>2268</v>
      </c>
      <c r="B1304" s="1291">
        <v>0.10742535968087413</v>
      </c>
      <c r="C1304" s="1257">
        <v>0.26639599541379394</v>
      </c>
      <c r="D1304" s="1257">
        <v>0.11936151075652682</v>
      </c>
      <c r="E1304" s="1280">
        <v>0.80252711757150796</v>
      </c>
      <c r="F1304" s="1303">
        <v>5.7743107125767586E-2</v>
      </c>
      <c r="G1304" s="1288">
        <v>7.4260530808027567E-2</v>
      </c>
      <c r="H1304" s="1280">
        <v>0.7027448761024373</v>
      </c>
      <c r="I1304" s="1303">
        <v>6.3860882711555919E-2</v>
      </c>
      <c r="J1304" s="1288">
        <v>0.13061840491207066</v>
      </c>
      <c r="K1304" s="1280">
        <v>1.2360726994252569</v>
      </c>
      <c r="L1304" s="1237">
        <v>0.17425770642779972</v>
      </c>
    </row>
    <row r="1305" spans="1:12" s="326" customFormat="1" ht="15.5" x14ac:dyDescent="0.35">
      <c r="A1305" s="328" t="s">
        <v>2269</v>
      </c>
      <c r="B1305" s="1291">
        <v>0.10742535968087413</v>
      </c>
      <c r="C1305" s="1257">
        <v>0.26639599541379394</v>
      </c>
      <c r="D1305" s="1257">
        <v>0.11936151075652682</v>
      </c>
      <c r="E1305" s="1280">
        <v>0.80252711757150796</v>
      </c>
      <c r="F1305" s="1303">
        <v>5.7531756863466385E-2</v>
      </c>
      <c r="G1305" s="1288">
        <v>7.3091038178585713E-2</v>
      </c>
      <c r="H1305" s="1280">
        <v>0.69167769217529262</v>
      </c>
      <c r="I1305" s="1303">
        <v>6.3804881682015258E-2</v>
      </c>
      <c r="J1305" s="1288">
        <v>0.13046918021747111</v>
      </c>
      <c r="K1305" s="1280">
        <v>1.2346605510285684</v>
      </c>
      <c r="L1305" s="1237">
        <v>0.17425770642779972</v>
      </c>
    </row>
    <row r="1306" spans="1:12" s="326" customFormat="1" ht="15.5" x14ac:dyDescent="0.35">
      <c r="A1306" s="328" t="s">
        <v>2270</v>
      </c>
      <c r="B1306" s="1291">
        <v>0.10742535968087413</v>
      </c>
      <c r="C1306" s="1257">
        <v>0.26639599541379394</v>
      </c>
      <c r="D1306" s="1257">
        <v>0.11936151075652682</v>
      </c>
      <c r="E1306" s="1280">
        <v>0.80252711757150796</v>
      </c>
      <c r="F1306" s="1303">
        <v>5.7340447889415433E-2</v>
      </c>
      <c r="G1306" s="1288">
        <v>7.4085396116094215E-2</v>
      </c>
      <c r="H1306" s="1280">
        <v>0.70108753530450918</v>
      </c>
      <c r="I1306" s="1303">
        <v>6.3413174664749786E-2</v>
      </c>
      <c r="J1306" s="1288">
        <v>0.12974350423477704</v>
      </c>
      <c r="K1306" s="1280">
        <v>1.2277933084570445</v>
      </c>
      <c r="L1306" s="1237">
        <v>0.17425770642779972</v>
      </c>
    </row>
    <row r="1307" spans="1:12" s="326" customFormat="1" ht="15.5" x14ac:dyDescent="0.35">
      <c r="A1307" s="328" t="s">
        <v>2271</v>
      </c>
      <c r="B1307" s="1291">
        <v>0.10742535968087413</v>
      </c>
      <c r="C1307" s="1257">
        <v>0.26639599541379394</v>
      </c>
      <c r="D1307" s="1257">
        <v>0.11936151075652682</v>
      </c>
      <c r="E1307" s="1280">
        <v>0.80252711757150796</v>
      </c>
      <c r="F1307" s="1303">
        <v>4.9199923890747323E-2</v>
      </c>
      <c r="G1307" s="1288">
        <v>7.3597235347742401E-2</v>
      </c>
      <c r="H1307" s="1280">
        <v>0.69646795509223891</v>
      </c>
      <c r="I1307" s="1303">
        <v>6.9409078649576239E-2</v>
      </c>
      <c r="J1307" s="1288">
        <v>0.12877594232855336</v>
      </c>
      <c r="K1307" s="1280">
        <v>1.2186370424768247</v>
      </c>
      <c r="L1307" s="1237">
        <v>0.17425770642779972</v>
      </c>
    </row>
    <row r="1308" spans="1:12" s="326" customFormat="1" ht="15.5" x14ac:dyDescent="0.35">
      <c r="A1308" s="328" t="s">
        <v>2272</v>
      </c>
      <c r="B1308" s="1291">
        <v>0.10742535968087413</v>
      </c>
      <c r="C1308" s="1257">
        <v>0.26639599541379394</v>
      </c>
      <c r="D1308" s="1257">
        <v>0.11936151075652682</v>
      </c>
      <c r="E1308" s="1280">
        <v>0.80252711757150796</v>
      </c>
      <c r="F1308" s="1303">
        <v>4.936360302257975E-2</v>
      </c>
      <c r="G1308" s="1288">
        <v>7.170574538154853E-2</v>
      </c>
      <c r="H1308" s="1280">
        <v>0.67856834048568349</v>
      </c>
      <c r="I1308" s="1303">
        <v>6.9234884643176772E-2</v>
      </c>
      <c r="J1308" s="1288">
        <v>0.12929752823169297</v>
      </c>
      <c r="K1308" s="1280">
        <v>1.2235729326043299</v>
      </c>
      <c r="L1308" s="1237">
        <v>0.17425770642779972</v>
      </c>
    </row>
    <row r="1309" spans="1:12" s="326" customFormat="1" ht="15.5" x14ac:dyDescent="0.35">
      <c r="A1309" s="328" t="s">
        <v>2273</v>
      </c>
      <c r="B1309" s="1291">
        <v>0.10742535968087413</v>
      </c>
      <c r="C1309" s="1257">
        <v>0.26639599541379394</v>
      </c>
      <c r="D1309" s="1257">
        <v>0.11936151075652682</v>
      </c>
      <c r="E1309" s="1280">
        <v>0.80252711757150796</v>
      </c>
      <c r="F1309" s="1303">
        <v>4.9140592823083022E-2</v>
      </c>
      <c r="G1309" s="1288">
        <v>7.7252272263820865E-2</v>
      </c>
      <c r="H1309" s="1280">
        <v>0.73105642943777538</v>
      </c>
      <c r="I1309" s="1303">
        <v>6.8960552867897207E-2</v>
      </c>
      <c r="J1309" s="1288">
        <v>0.12953838767527492</v>
      </c>
      <c r="K1309" s="1280">
        <v>1.2258522421917561</v>
      </c>
      <c r="L1309" s="1237">
        <v>0.17425770642779972</v>
      </c>
    </row>
    <row r="1310" spans="1:12" s="326" customFormat="1" ht="15.5" x14ac:dyDescent="0.35">
      <c r="A1310" s="328" t="s">
        <v>2274</v>
      </c>
      <c r="B1310" s="1291">
        <v>0.10742535968087413</v>
      </c>
      <c r="C1310" s="1257">
        <v>0.26639599541379394</v>
      </c>
      <c r="D1310" s="1257">
        <v>0.11936151075652682</v>
      </c>
      <c r="E1310" s="1280">
        <v>0.80252711757150796</v>
      </c>
      <c r="F1310" s="1303">
        <v>5.9048357456821583E-2</v>
      </c>
      <c r="G1310" s="1288">
        <v>7.141048147775092E-2</v>
      </c>
      <c r="H1310" s="1280">
        <v>0.67577418869018702</v>
      </c>
      <c r="I1310" s="1303">
        <v>7.4763146805067238E-2</v>
      </c>
      <c r="J1310" s="1288">
        <v>0.1304043564067304</v>
      </c>
      <c r="K1310" s="1280">
        <v>1.2340471080548676</v>
      </c>
      <c r="L1310" s="1237">
        <v>0.17425770642779972</v>
      </c>
    </row>
    <row r="1311" spans="1:12" s="326" customFormat="1" ht="15.5" x14ac:dyDescent="0.35">
      <c r="A1311" s="328" t="s">
        <v>2275</v>
      </c>
      <c r="B1311" s="1291">
        <v>0.10742535968087413</v>
      </c>
      <c r="C1311" s="1257">
        <v>0.26639599541379394</v>
      </c>
      <c r="D1311" s="1257">
        <v>0.11936151075652682</v>
      </c>
      <c r="E1311" s="1280">
        <v>0.80252711757150796</v>
      </c>
      <c r="F1311" s="1303">
        <v>5.9106020547517242E-2</v>
      </c>
      <c r="G1311" s="1288">
        <v>6.9577917710094236E-2</v>
      </c>
      <c r="H1311" s="1280">
        <v>0.65843220656537704</v>
      </c>
      <c r="I1311" s="1303">
        <v>7.5517414742251279E-2</v>
      </c>
      <c r="J1311" s="1288">
        <v>0.11571389115720436</v>
      </c>
      <c r="K1311" s="1280">
        <v>1.0950277788185441</v>
      </c>
      <c r="L1311" s="1237">
        <v>0.17425770642779972</v>
      </c>
    </row>
    <row r="1312" spans="1:12" s="326" customFormat="1" ht="15.5" x14ac:dyDescent="0.35">
      <c r="A1312" s="328" t="s">
        <v>2276</v>
      </c>
      <c r="B1312" s="1291">
        <v>0.10742535968087413</v>
      </c>
      <c r="C1312" s="1257">
        <v>0.26639599541379394</v>
      </c>
      <c r="D1312" s="1257">
        <v>0.11936151075652682</v>
      </c>
      <c r="E1312" s="1280">
        <v>0.80252711757150796</v>
      </c>
      <c r="F1312" s="1303">
        <v>5.8975217644598316E-2</v>
      </c>
      <c r="G1312" s="1288">
        <v>6.3038520466497244E-2</v>
      </c>
      <c r="H1312" s="1280">
        <v>0.59654835176751431</v>
      </c>
      <c r="I1312" s="1303">
        <v>7.5312797519776084E-2</v>
      </c>
      <c r="J1312" s="1288">
        <v>9.9411883910870469E-2</v>
      </c>
      <c r="K1312" s="1280">
        <v>0.94075804848007571</v>
      </c>
      <c r="L1312" s="1237">
        <v>0.17425770642779972</v>
      </c>
    </row>
    <row r="1313" spans="1:12" s="326" customFormat="1" ht="15.5" x14ac:dyDescent="0.35">
      <c r="A1313" s="328" t="s">
        <v>2277</v>
      </c>
      <c r="B1313" s="1291">
        <v>0.10742535968087413</v>
      </c>
      <c r="C1313" s="1257">
        <v>0.26639599541379394</v>
      </c>
      <c r="D1313" s="1257">
        <v>0.11936151075652682</v>
      </c>
      <c r="E1313" s="1280">
        <v>0.80252711757150796</v>
      </c>
      <c r="F1313" s="1303">
        <v>6.5442302231717278E-2</v>
      </c>
      <c r="G1313" s="1288">
        <v>5.8427105786873518E-2</v>
      </c>
      <c r="H1313" s="1280">
        <v>0.55290944961548683</v>
      </c>
      <c r="I1313" s="1303">
        <v>8.0830172685114221E-2</v>
      </c>
      <c r="J1313" s="1288">
        <v>9.9400054677688046E-2</v>
      </c>
      <c r="K1313" s="1280">
        <v>0.94064610566312146</v>
      </c>
      <c r="L1313" s="1237">
        <v>0.17425770642779972</v>
      </c>
    </row>
    <row r="1314" spans="1:12" s="326" customFormat="1" ht="15.5" x14ac:dyDescent="0.35">
      <c r="A1314" s="328" t="s">
        <v>2278</v>
      </c>
      <c r="B1314" s="1291">
        <v>0.10742535968087413</v>
      </c>
      <c r="C1314" s="1257">
        <v>0.26639599541379394</v>
      </c>
      <c r="D1314" s="1257">
        <v>0.11936151075652682</v>
      </c>
      <c r="E1314" s="1280">
        <v>0.80252711757150796</v>
      </c>
      <c r="F1314" s="1303">
        <v>6.7306720423923952E-2</v>
      </c>
      <c r="G1314" s="1288">
        <v>5.8971526759391414E-2</v>
      </c>
      <c r="H1314" s="1280">
        <v>0.55806143337747605</v>
      </c>
      <c r="I1314" s="1303">
        <v>8.0527762304027126E-2</v>
      </c>
      <c r="J1314" s="1288">
        <v>0.10108893184986932</v>
      </c>
      <c r="K1314" s="1280">
        <v>0.95662834772633676</v>
      </c>
      <c r="L1314" s="1330">
        <v>0.17425770642779972</v>
      </c>
    </row>
    <row r="1315" spans="1:12" s="326" customFormat="1" ht="15.5" x14ac:dyDescent="0.35">
      <c r="A1315" s="328" t="s">
        <v>2279</v>
      </c>
      <c r="B1315" s="1291">
        <v>0.10742535968087413</v>
      </c>
      <c r="C1315" s="1257">
        <v>0.26639599541379394</v>
      </c>
      <c r="D1315" s="1257">
        <v>0.11936151075652682</v>
      </c>
      <c r="E1315" s="1280">
        <v>0.80252711757150796</v>
      </c>
      <c r="F1315" s="1303">
        <v>6.1018258675639411E-2</v>
      </c>
      <c r="G1315" s="1288">
        <v>5.9284210004446183E-2</v>
      </c>
      <c r="H1315" s="1280">
        <v>0.56102042849795764</v>
      </c>
      <c r="I1315" s="1303">
        <v>8.076312664664155E-2</v>
      </c>
      <c r="J1315" s="1288">
        <v>0.10101092187058454</v>
      </c>
      <c r="K1315" s="1280">
        <v>0.9558901209370757</v>
      </c>
      <c r="L1315" s="1330">
        <v>0.17347572476604431</v>
      </c>
    </row>
    <row r="1316" spans="1:12" s="326" customFormat="1" ht="15.5" x14ac:dyDescent="0.35">
      <c r="A1316" s="328" t="s">
        <v>2280</v>
      </c>
      <c r="B1316" s="1291">
        <v>0.10742535968087413</v>
      </c>
      <c r="C1316" s="1257">
        <v>0.26639599541379394</v>
      </c>
      <c r="D1316" s="1257">
        <v>0.11936151075652682</v>
      </c>
      <c r="E1316" s="1280">
        <v>0.80252711757150796</v>
      </c>
      <c r="F1316" s="1303">
        <v>6.6361075214459997E-2</v>
      </c>
      <c r="G1316" s="1288">
        <v>5.8106754243284625E-2</v>
      </c>
      <c r="H1316" s="1280">
        <v>0.54987788758167144</v>
      </c>
      <c r="I1316" s="1303">
        <v>8.0693677304098391E-2</v>
      </c>
      <c r="J1316" s="1288">
        <v>0.10139183176014772</v>
      </c>
      <c r="K1316" s="1280">
        <v>0.95949476084786844</v>
      </c>
      <c r="L1316" s="1330">
        <v>0.16373028668820461</v>
      </c>
    </row>
    <row r="1317" spans="1:12" s="326" customFormat="1" ht="15.5" x14ac:dyDescent="0.35">
      <c r="A1317" s="328" t="s">
        <v>2281</v>
      </c>
      <c r="B1317" s="1291">
        <v>0.10742535968087413</v>
      </c>
      <c r="C1317" s="1257">
        <v>0.26639599541379394</v>
      </c>
      <c r="D1317" s="1257">
        <v>0.11936151075652682</v>
      </c>
      <c r="E1317" s="1280">
        <v>0.80252711757150796</v>
      </c>
      <c r="F1317" s="1303">
        <v>6.161208131263992E-2</v>
      </c>
      <c r="G1317" s="1288">
        <v>5.5870800867048036E-2</v>
      </c>
      <c r="H1317" s="1280">
        <v>0.52871853467566776</v>
      </c>
      <c r="I1317" s="1303">
        <v>7.8497888752016756E-2</v>
      </c>
      <c r="J1317" s="1288">
        <v>9.8851296495267721E-2</v>
      </c>
      <c r="K1317" s="1280">
        <v>0.93545307786330556</v>
      </c>
      <c r="L1317" s="1330">
        <v>0.19315562708815609</v>
      </c>
    </row>
    <row r="1318" spans="1:12" s="326" customFormat="1" ht="15.5" x14ac:dyDescent="0.35">
      <c r="A1318" s="328" t="s">
        <v>2282</v>
      </c>
      <c r="B1318" s="1291">
        <v>0.10742535968087413</v>
      </c>
      <c r="C1318" s="1257">
        <v>0.26639599541379394</v>
      </c>
      <c r="D1318" s="1257">
        <v>0.11936151075652682</v>
      </c>
      <c r="E1318" s="1280">
        <v>0.80252711757150796</v>
      </c>
      <c r="F1318" s="1303">
        <v>5.922939855002872E-2</v>
      </c>
      <c r="G1318" s="1288">
        <v>5.6275502109963592E-2</v>
      </c>
      <c r="H1318" s="1280">
        <v>0.5325483177611996</v>
      </c>
      <c r="I1318" s="1303">
        <v>7.8019694153244112E-2</v>
      </c>
      <c r="J1318" s="1288">
        <v>9.9627834657686945E-2</v>
      </c>
      <c r="K1318" s="1280">
        <v>0.94280164120914045</v>
      </c>
      <c r="L1318" s="1330">
        <v>0.19315562708816134</v>
      </c>
    </row>
    <row r="1319" spans="1:12" s="326" customFormat="1" ht="15.5" x14ac:dyDescent="0.35">
      <c r="A1319" s="328" t="s">
        <v>2283</v>
      </c>
      <c r="B1319" s="1291">
        <v>0.10742535968087413</v>
      </c>
      <c r="C1319" s="1257">
        <v>0.26639599541379394</v>
      </c>
      <c r="D1319" s="1257">
        <v>0.11936151075652682</v>
      </c>
      <c r="E1319" s="1280">
        <v>0.80252711757150796</v>
      </c>
      <c r="F1319" s="1303">
        <v>6.1020580790545093E-2</v>
      </c>
      <c r="G1319" s="1288">
        <v>5.6549745458653281E-2</v>
      </c>
      <c r="H1319" s="1280">
        <v>0.53514354709769685</v>
      </c>
      <c r="I1319" s="1303">
        <v>7.5655222001209041E-2</v>
      </c>
      <c r="J1319" s="1288">
        <v>9.6923415410529637E-2</v>
      </c>
      <c r="K1319" s="1280">
        <v>0.91720908553935043</v>
      </c>
      <c r="L1319" s="1330">
        <v>0.19315562708813197</v>
      </c>
    </row>
    <row r="1320" spans="1:12" s="326" customFormat="1" ht="15.5" x14ac:dyDescent="0.35">
      <c r="A1320" s="328" t="s">
        <v>2284</v>
      </c>
      <c r="B1320" s="1291">
        <v>0.10742535968087413</v>
      </c>
      <c r="C1320" s="1257">
        <v>0.26639599541379394</v>
      </c>
      <c r="D1320" s="1257">
        <v>0.11936151075652682</v>
      </c>
      <c r="E1320" s="1280">
        <v>0.80252711757150796</v>
      </c>
      <c r="F1320" s="1303">
        <v>5.9838250806857556E-2</v>
      </c>
      <c r="G1320" s="1288">
        <v>5.5751873544118695E-2</v>
      </c>
      <c r="H1320" s="1280">
        <v>0.52759309743588789</v>
      </c>
      <c r="I1320" s="1303">
        <v>7.2896714814571981E-2</v>
      </c>
      <c r="J1320" s="1288">
        <v>9.5528539093199222E-2</v>
      </c>
      <c r="K1320" s="1280">
        <v>0.90400904274226024</v>
      </c>
      <c r="L1320" s="1330">
        <v>0.19783902667460543</v>
      </c>
    </row>
    <row r="1321" spans="1:12" s="326" customFormat="1" ht="15.5" x14ac:dyDescent="0.35">
      <c r="A1321" s="328" t="s">
        <v>2285</v>
      </c>
      <c r="B1321" s="1291">
        <v>0.10742535968087413</v>
      </c>
      <c r="C1321" s="1257">
        <v>0.26639599541379394</v>
      </c>
      <c r="D1321" s="1257">
        <v>0.11936151075652682</v>
      </c>
      <c r="E1321" s="1280">
        <v>0.80252711757150796</v>
      </c>
      <c r="F1321" s="1303">
        <v>5.4916415067139228E-2</v>
      </c>
      <c r="G1321" s="1288">
        <v>5.4441758307055561E-2</v>
      </c>
      <c r="H1321" s="1280">
        <v>0.51519516868515081</v>
      </c>
      <c r="I1321" s="1303">
        <v>6.8377258099797208E-2</v>
      </c>
      <c r="J1321" s="1288">
        <v>9.0953186482285397E-2</v>
      </c>
      <c r="K1321" s="1280">
        <v>0.86071140443162719</v>
      </c>
      <c r="L1321" s="1330">
        <v>0.19783902667463682</v>
      </c>
    </row>
    <row r="1322" spans="1:12" s="326" customFormat="1" ht="15.5" x14ac:dyDescent="0.35">
      <c r="A1322" s="328" t="s">
        <v>2286</v>
      </c>
      <c r="B1322" s="1291">
        <v>0.10742535968087413</v>
      </c>
      <c r="C1322" s="1257">
        <v>0.26639599541379394</v>
      </c>
      <c r="D1322" s="1257">
        <v>0.11936151075652682</v>
      </c>
      <c r="E1322" s="1280">
        <v>0.80252711757150796</v>
      </c>
      <c r="F1322" s="1303">
        <v>5.7333166325707119E-2</v>
      </c>
      <c r="G1322" s="1288">
        <v>5.2500413727324731E-2</v>
      </c>
      <c r="H1322" s="1280">
        <v>0.49682376814019796</v>
      </c>
      <c r="I1322" s="1303">
        <v>6.8451720891514536E-2</v>
      </c>
      <c r="J1322" s="1288">
        <v>9.0094417713939765E-2</v>
      </c>
      <c r="K1322" s="1280">
        <v>0.85258467351353284</v>
      </c>
      <c r="L1322" s="1330">
        <v>0.19783902667445338</v>
      </c>
    </row>
    <row r="1323" spans="1:12" s="326" customFormat="1" ht="15.5" x14ac:dyDescent="0.35">
      <c r="A1323" s="328" t="s">
        <v>2287</v>
      </c>
      <c r="B1323" s="1291">
        <v>0.10742535968087413</v>
      </c>
      <c r="C1323" s="1257">
        <v>0.26639599541379394</v>
      </c>
      <c r="D1323" s="1257">
        <v>0.11936151075652682</v>
      </c>
      <c r="E1323" s="1280">
        <v>0.80252711757150796</v>
      </c>
      <c r="F1323" s="1303">
        <v>5.4255186794925497E-2</v>
      </c>
      <c r="G1323" s="1288">
        <v>5.2318804230372579E-2</v>
      </c>
      <c r="H1323" s="1280">
        <v>0.49510515473889338</v>
      </c>
      <c r="I1323" s="1303">
        <v>6.5035645536983988E-2</v>
      </c>
      <c r="J1323" s="1288">
        <v>8.7435976407882005E-2</v>
      </c>
      <c r="K1323" s="1280">
        <v>0.82742721791870699</v>
      </c>
      <c r="L1323" s="1330">
        <v>0.19783902667462427</v>
      </c>
    </row>
    <row r="1324" spans="1:12" s="326" customFormat="1" ht="15.5" x14ac:dyDescent="0.35">
      <c r="A1324" s="328" t="s">
        <v>2288</v>
      </c>
      <c r="B1324" s="1291">
        <v>0.10742535968087413</v>
      </c>
      <c r="C1324" s="1257">
        <v>0.26639599541379394</v>
      </c>
      <c r="D1324" s="1257">
        <v>0.11936151075652682</v>
      </c>
      <c r="E1324" s="1280">
        <v>0.80252711757150796</v>
      </c>
      <c r="F1324" s="1303">
        <v>5.2730939350830279E-2</v>
      </c>
      <c r="G1324" s="1288">
        <v>4.9706771062584018E-2</v>
      </c>
      <c r="H1324" s="1280">
        <v>0.47038687027607079</v>
      </c>
      <c r="I1324" s="1303">
        <v>6.340293247233883E-2</v>
      </c>
      <c r="J1324" s="1288">
        <v>8.5225056053722409E-2</v>
      </c>
      <c r="K1324" s="1280">
        <v>0.80650475839074076</v>
      </c>
      <c r="L1324" s="1330">
        <v>0.17892437044218024</v>
      </c>
    </row>
    <row r="1325" spans="1:12" s="326" customFormat="1" ht="15.5" x14ac:dyDescent="0.35">
      <c r="A1325" s="328" t="s">
        <v>2289</v>
      </c>
      <c r="B1325" s="1291">
        <v>0.10742535968087413</v>
      </c>
      <c r="C1325" s="1257">
        <v>0.26639599541379394</v>
      </c>
      <c r="D1325" s="1257">
        <v>0.11936151075652682</v>
      </c>
      <c r="E1325" s="1280">
        <v>0.80252711757150796</v>
      </c>
      <c r="F1325" s="1303">
        <v>5.1329325287271854E-2</v>
      </c>
      <c r="G1325" s="1288">
        <v>4.7930185088964655E-2</v>
      </c>
      <c r="H1325" s="1280">
        <v>0.45357461918748165</v>
      </c>
      <c r="I1325" s="1303">
        <v>6.1835120513738878E-2</v>
      </c>
      <c r="J1325" s="1288">
        <v>8.3101520829353334E-2</v>
      </c>
      <c r="K1325" s="1280">
        <v>0.78640924490718922</v>
      </c>
      <c r="L1325" s="1330">
        <v>0.17892437044232923</v>
      </c>
    </row>
    <row r="1326" spans="1:12" s="326" customFormat="1" ht="15.5" x14ac:dyDescent="0.35">
      <c r="A1326" s="328" t="s">
        <v>2290</v>
      </c>
      <c r="B1326" s="1287">
        <v>0.10742535968087413</v>
      </c>
      <c r="C1326" s="1288">
        <v>0.26639599541379394</v>
      </c>
      <c r="D1326" s="1288">
        <v>0.23471686786518192</v>
      </c>
      <c r="E1326" s="1280">
        <v>0.80252711757150796</v>
      </c>
      <c r="F1326" s="1303">
        <v>4.9945480574089506E-2</v>
      </c>
      <c r="G1326" s="1288">
        <v>4.6263421371602914E-2</v>
      </c>
      <c r="H1326" s="1280">
        <v>0.43780164195038934</v>
      </c>
      <c r="I1326" s="1303">
        <v>6.0267203925479296E-2</v>
      </c>
      <c r="J1326" s="1288">
        <v>8.0982064630164816E-2</v>
      </c>
      <c r="K1326" s="1280">
        <v>0.76635233219869203</v>
      </c>
      <c r="L1326" s="1330">
        <v>0.17771117966222455</v>
      </c>
    </row>
    <row r="1327" spans="1:12" s="326" customFormat="1" ht="15.5" x14ac:dyDescent="0.35">
      <c r="A1327" s="328" t="s">
        <v>2291</v>
      </c>
      <c r="B1327" s="1287">
        <v>0.10560322510492826</v>
      </c>
      <c r="C1327" s="1288">
        <v>0.26741217040023496</v>
      </c>
      <c r="D1327" s="1288">
        <v>0.23771080174913406</v>
      </c>
      <c r="E1327" s="1306">
        <v>1.8982986210337491</v>
      </c>
      <c r="F1327" s="1303">
        <v>4.9650539450943033E-2</v>
      </c>
      <c r="G1327" s="1288">
        <v>4.4664998618648387E-2</v>
      </c>
      <c r="H1327" s="1306">
        <v>0.42214341319941345</v>
      </c>
      <c r="I1327" s="1303">
        <v>6.0259159588819812E-2</v>
      </c>
      <c r="J1327" s="1288">
        <v>8.0948055437131877E-2</v>
      </c>
      <c r="K1327" s="1306">
        <v>0.59891423615903006</v>
      </c>
      <c r="L1327" s="1330">
        <v>0.16325338486729926</v>
      </c>
    </row>
    <row r="1328" spans="1:12" s="326" customFormat="1" ht="15.5" x14ac:dyDescent="0.35">
      <c r="A1328" s="328" t="s">
        <v>2292</v>
      </c>
      <c r="B1328" s="1287">
        <v>0.11818487792910902</v>
      </c>
      <c r="C1328" s="1288">
        <v>0.26789238153745559</v>
      </c>
      <c r="D1328" s="1288">
        <v>0.23885812977797433</v>
      </c>
      <c r="E1328" s="1306">
        <v>1.9530568155114749</v>
      </c>
      <c r="F1328" s="1303">
        <v>4.9410037018139071E-2</v>
      </c>
      <c r="G1328" s="1288">
        <v>4.3153780386964907E-2</v>
      </c>
      <c r="H1328" s="1306">
        <v>0.43004911131104473</v>
      </c>
      <c r="I1328" s="1303">
        <v>6.0250251750380762E-2</v>
      </c>
      <c r="J1328" s="1288">
        <v>8.0912867930581389E-2</v>
      </c>
      <c r="K1328" s="1306">
        <v>0.59897670808001935</v>
      </c>
      <c r="L1328" s="1330">
        <v>0.16234506641695304</v>
      </c>
    </row>
    <row r="1329" spans="1:12" s="326" customFormat="1" ht="15.5" x14ac:dyDescent="0.35">
      <c r="A1329" s="328" t="s">
        <v>2293</v>
      </c>
      <c r="B1329" s="1287">
        <v>0.11170694106843995</v>
      </c>
      <c r="C1329" s="1288">
        <v>0.23818388467456422</v>
      </c>
      <c r="D1329" s="1288">
        <v>0.23349684148464456</v>
      </c>
      <c r="E1329" s="1306">
        <v>1.9037843049418748</v>
      </c>
      <c r="F1329" s="1303">
        <v>4.9244472399933042E-2</v>
      </c>
      <c r="G1329" s="1288">
        <v>4.2632362403612768E-2</v>
      </c>
      <c r="H1329" s="1306">
        <v>0.4452758151397837</v>
      </c>
      <c r="I1329" s="1303">
        <v>6.0241146917304172E-2</v>
      </c>
      <c r="J1329" s="1288">
        <v>8.087759073846508E-2</v>
      </c>
      <c r="K1329" s="1306">
        <v>0.59904238128738529</v>
      </c>
      <c r="L1329" s="1330">
        <v>0.16152757981174437</v>
      </c>
    </row>
    <row r="1330" spans="1:12" s="326" customFormat="1" ht="15.5" x14ac:dyDescent="0.35">
      <c r="A1330" s="328" t="s">
        <v>2294</v>
      </c>
      <c r="B1330" s="1287">
        <v>0.11619328958491532</v>
      </c>
      <c r="C1330" s="1288">
        <v>9.751663529364088E-2</v>
      </c>
      <c r="D1330" s="1288">
        <v>0.22208815212082614</v>
      </c>
      <c r="E1330" s="1306">
        <v>1.9140961857253409</v>
      </c>
      <c r="F1330" s="1303">
        <v>4.9077987546660151E-2</v>
      </c>
      <c r="G1330" s="1288">
        <v>4.2401329603583539E-2</v>
      </c>
      <c r="H1330" s="1306">
        <v>0.4607218036209848</v>
      </c>
      <c r="I1330" s="1303">
        <v>6.0232222318594167E-2</v>
      </c>
      <c r="J1330" s="1288">
        <v>8.0842484901672562E-2</v>
      </c>
      <c r="K1330" s="1306">
        <v>0.59911717773470241</v>
      </c>
      <c r="L1330" s="1330">
        <v>0.15500086184065578</v>
      </c>
    </row>
    <row r="1331" spans="1:12" s="326" customFormat="1" ht="15.5" x14ac:dyDescent="0.35">
      <c r="A1331" s="328" t="s">
        <v>2295</v>
      </c>
      <c r="B1331" s="1287">
        <v>0.11349115391617112</v>
      </c>
      <c r="C1331" s="1288">
        <v>0.14638475801784362</v>
      </c>
      <c r="D1331" s="1288">
        <v>0.22152102722830527</v>
      </c>
      <c r="E1331" s="1306">
        <v>1.9033775205381227</v>
      </c>
      <c r="F1331" s="1303">
        <v>4.8876225531708763E-2</v>
      </c>
      <c r="G1331" s="1288">
        <v>4.2184533668443928E-2</v>
      </c>
      <c r="H1331" s="1306">
        <v>0.47196494027006825</v>
      </c>
      <c r="I1331" s="1303">
        <v>6.0223153043077911E-2</v>
      </c>
      <c r="J1331" s="1288">
        <v>8.0806252100048936E-2</v>
      </c>
      <c r="K1331" s="1306">
        <v>0.59916429123901049</v>
      </c>
      <c r="L1331" s="1330">
        <v>0.15436254578695824</v>
      </c>
    </row>
    <row r="1332" spans="1:12" s="326" customFormat="1" ht="15.5" x14ac:dyDescent="0.35">
      <c r="A1332" s="328" t="s">
        <v>2296</v>
      </c>
      <c r="B1332" s="1287">
        <v>0.10999192689763916</v>
      </c>
      <c r="C1332" s="1288">
        <v>0.13913934302533162</v>
      </c>
      <c r="D1332" s="1288">
        <v>0.24473656683258321</v>
      </c>
      <c r="E1332" s="1306">
        <v>1.9403779369665857</v>
      </c>
      <c r="F1332" s="1303">
        <v>4.8687303434389803E-2</v>
      </c>
      <c r="G1332" s="1288">
        <v>4.1990751998280423E-2</v>
      </c>
      <c r="H1332" s="1306">
        <v>0.48121510299726417</v>
      </c>
      <c r="I1332" s="1303">
        <v>6.021374390676492E-2</v>
      </c>
      <c r="J1332" s="1288">
        <v>8.0768105553689379E-2</v>
      </c>
      <c r="K1332" s="1306">
        <v>0.5992253583653151</v>
      </c>
      <c r="L1332" s="1330">
        <v>0.15378806133864206</v>
      </c>
    </row>
    <row r="1333" spans="1:12" s="326" customFormat="1" ht="15.5" x14ac:dyDescent="0.35">
      <c r="A1333" s="328" t="s">
        <v>2297</v>
      </c>
      <c r="B1333" s="1287">
        <v>6.4670367970624379E-2</v>
      </c>
      <c r="C1333" s="1288">
        <v>9.6696987982095597E-2</v>
      </c>
      <c r="D1333" s="1288">
        <v>9.6776587478339116E-2</v>
      </c>
      <c r="E1333" s="1306">
        <v>1.9224538376692752</v>
      </c>
      <c r="F1333" s="1303">
        <v>4.8457304043582131E-2</v>
      </c>
      <c r="G1333" s="1288">
        <v>4.1795411659726882E-2</v>
      </c>
      <c r="H1333" s="1306">
        <v>0.48767911432107131</v>
      </c>
      <c r="I1333" s="1303">
        <v>6.0203943357670535E-2</v>
      </c>
      <c r="J1333" s="1288">
        <v>8.0728110150890833E-2</v>
      </c>
      <c r="K1333" s="1306">
        <v>0.59931726611191349</v>
      </c>
      <c r="L1333" s="1330">
        <v>0.15378806133864678</v>
      </c>
    </row>
    <row r="1334" spans="1:12" s="326" customFormat="1" ht="15.5" x14ac:dyDescent="0.35">
      <c r="A1334" s="328" t="s">
        <v>2298</v>
      </c>
      <c r="B1334" s="1287">
        <v>6.5574775904484517E-2</v>
      </c>
      <c r="C1334" s="1288">
        <v>8.5584495772236271E-2</v>
      </c>
      <c r="D1334" s="1288">
        <v>9.5861336483783283E-2</v>
      </c>
      <c r="E1334" s="1306">
        <v>1.9613452970989966</v>
      </c>
      <c r="F1334" s="1303">
        <v>4.8210223002395552E-2</v>
      </c>
      <c r="G1334" s="1288">
        <v>4.158132050270729E-2</v>
      </c>
      <c r="H1334" s="1306">
        <v>0.49557391826008967</v>
      </c>
      <c r="I1334" s="1303">
        <v>6.019369793939322E-2</v>
      </c>
      <c r="J1334" s="1288">
        <v>8.0687135529337775E-2</v>
      </c>
      <c r="K1334" s="1306">
        <v>0.59940460047877808</v>
      </c>
      <c r="L1334" s="1330">
        <v>0.15378806133864079</v>
      </c>
    </row>
    <row r="1335" spans="1:12" s="326" customFormat="1" ht="15.5" x14ac:dyDescent="0.35">
      <c r="A1335" s="328" t="s">
        <v>2299</v>
      </c>
      <c r="B1335" s="1287">
        <v>6.4735510931571649E-2</v>
      </c>
      <c r="C1335" s="1288">
        <v>9.3214794056544412E-2</v>
      </c>
      <c r="D1335" s="1288">
        <v>8.6844196730240686E-2</v>
      </c>
      <c r="E1335" s="1306">
        <v>1.8016050729254212</v>
      </c>
      <c r="F1335" s="1303">
        <v>4.7911344832963075E-2</v>
      </c>
      <c r="G1335" s="1288">
        <v>4.1354876532330158E-2</v>
      </c>
      <c r="H1335" s="1306">
        <v>0.50193280491601289</v>
      </c>
      <c r="I1335" s="1303">
        <v>6.0182603687135572E-2</v>
      </c>
      <c r="J1335" s="1288">
        <v>8.064612460644606E-2</v>
      </c>
      <c r="K1335" s="1306">
        <v>0.59952718338409827</v>
      </c>
      <c r="L1335" s="1330">
        <v>0.15378806133864384</v>
      </c>
    </row>
    <row r="1336" spans="1:12" s="326" customFormat="1" ht="15.5" x14ac:dyDescent="0.35">
      <c r="A1336" s="328" t="s">
        <v>2300</v>
      </c>
      <c r="B1336" s="1287">
        <v>6.4815382071033018E-2</v>
      </c>
      <c r="C1336" s="1288">
        <v>8.5210346177818447E-2</v>
      </c>
      <c r="D1336" s="1288">
        <v>8.4952751198773449E-2</v>
      </c>
      <c r="E1336" s="1306">
        <v>1.8717905674739828</v>
      </c>
      <c r="F1336" s="1303">
        <v>4.7620805693637296E-2</v>
      </c>
      <c r="G1336" s="1288">
        <v>4.1166048179118057E-2</v>
      </c>
      <c r="H1336" s="1306">
        <v>0.50828317984389826</v>
      </c>
      <c r="I1336" s="1303">
        <v>6.0170402082792444E-2</v>
      </c>
      <c r="J1336" s="1288">
        <v>8.0606609017009417E-2</v>
      </c>
      <c r="K1336" s="1306">
        <v>0.59967553960900843</v>
      </c>
      <c r="L1336" s="1330">
        <v>0.1537880613386419</v>
      </c>
    </row>
    <row r="1337" spans="1:12" s="326" customFormat="1" ht="15.5" x14ac:dyDescent="0.35">
      <c r="A1337" s="328" t="s">
        <v>2301</v>
      </c>
      <c r="B1337" s="1287">
        <v>6.4764370128812018E-2</v>
      </c>
      <c r="C1337" s="1288">
        <v>9.5984052806958459E-2</v>
      </c>
      <c r="D1337" s="1288">
        <v>8.36802613073966E-2</v>
      </c>
      <c r="E1337" s="1306">
        <v>1.8163770365098149</v>
      </c>
      <c r="F1337" s="1303">
        <v>4.7299177524029096E-2</v>
      </c>
      <c r="G1337" s="1288">
        <v>4.0974839695923936E-2</v>
      </c>
      <c r="H1337" s="1306">
        <v>0.513822080949074</v>
      </c>
      <c r="I1337" s="1303">
        <v>6.0156680770828037E-2</v>
      </c>
      <c r="J1337" s="1288">
        <v>8.0568635706985609E-2</v>
      </c>
      <c r="K1337" s="1306">
        <v>0.59983416862983596</v>
      </c>
      <c r="L1337" s="1330">
        <v>0.1537880613386404</v>
      </c>
    </row>
    <row r="1338" spans="1:12" s="326" customFormat="1" ht="15.5" x14ac:dyDescent="0.35">
      <c r="A1338" s="328" t="s">
        <v>2302</v>
      </c>
      <c r="B1338" s="1287">
        <v>6.4543330592285786E-2</v>
      </c>
      <c r="C1338" s="1288">
        <v>7.5272647471187934E-2</v>
      </c>
      <c r="D1338" s="1288">
        <v>8.4278471281192036E-2</v>
      </c>
      <c r="E1338" s="1306">
        <v>1.8998806932009293</v>
      </c>
      <c r="F1338" s="1303">
        <v>4.6885769166872981E-2</v>
      </c>
      <c r="G1338" s="1288">
        <v>4.07740826268536E-2</v>
      </c>
      <c r="H1338" s="1306">
        <v>0.51818108556808862</v>
      </c>
      <c r="I1338" s="1303">
        <v>6.014044324298836E-2</v>
      </c>
      <c r="J1338" s="1288">
        <v>8.0527266022994773E-2</v>
      </c>
      <c r="K1338" s="1306">
        <v>0.599995039279689</v>
      </c>
      <c r="L1338" s="1330">
        <v>0.15378806133864387</v>
      </c>
    </row>
    <row r="1339" spans="1:12" s="326" customFormat="1" ht="15.5" x14ac:dyDescent="0.35">
      <c r="A1339" s="328" t="s">
        <v>2303</v>
      </c>
      <c r="B1339" s="1287">
        <v>6.4638498242281378E-2</v>
      </c>
      <c r="C1339" s="1288">
        <v>9.1685157860408442E-2</v>
      </c>
      <c r="D1339" s="1288">
        <v>8.3949468175351427E-2</v>
      </c>
      <c r="E1339" s="1306">
        <v>1.9585895934332322</v>
      </c>
      <c r="F1339" s="1303">
        <v>4.6857762687319809E-2</v>
      </c>
      <c r="G1339" s="1288">
        <v>4.0728557875218389E-2</v>
      </c>
      <c r="H1339" s="1306">
        <v>0.51724251345388805</v>
      </c>
      <c r="I1339" s="1303">
        <v>6.0119718900446074E-2</v>
      </c>
      <c r="J1339" s="1288">
        <v>8.0467650483942457E-2</v>
      </c>
      <c r="K1339" s="1306">
        <v>0.60010773771521353</v>
      </c>
      <c r="L1339" s="1330">
        <v>0.1537880613386427</v>
      </c>
    </row>
    <row r="1340" spans="1:12" s="326" customFormat="1" ht="15.5" x14ac:dyDescent="0.35">
      <c r="A1340" s="328" t="s">
        <v>2304</v>
      </c>
      <c r="B1340" s="1287">
        <v>6.3966861657527185E-2</v>
      </c>
      <c r="C1340" s="1288">
        <v>8.2735828489489543E-2</v>
      </c>
      <c r="D1340" s="1288">
        <v>7.4598770213105028E-2</v>
      </c>
      <c r="E1340" s="1306">
        <v>1.992266228222151</v>
      </c>
      <c r="F1340" s="1303">
        <v>4.6354029155757592E-2</v>
      </c>
      <c r="G1340" s="1288">
        <v>4.046410762222117E-2</v>
      </c>
      <c r="H1340" s="1306">
        <v>0.50795248331170306</v>
      </c>
      <c r="I1340" s="1303">
        <v>6.00888097751925E-2</v>
      </c>
      <c r="J1340" s="1288">
        <v>8.0353447439158246E-2</v>
      </c>
      <c r="K1340" s="1306">
        <v>0.59985949200057265</v>
      </c>
      <c r="L1340" s="1330">
        <v>0.15378871568156924</v>
      </c>
    </row>
    <row r="1341" spans="1:12" s="326" customFormat="1" ht="15.5" x14ac:dyDescent="0.35">
      <c r="A1341" s="328" t="s">
        <v>2305</v>
      </c>
      <c r="B1341" s="1291">
        <v>6.3966861657527185E-2</v>
      </c>
      <c r="C1341" s="1257">
        <v>8.2735828489489543E-2</v>
      </c>
      <c r="D1341" s="1257">
        <v>7.4598770213105028E-2</v>
      </c>
      <c r="E1341" s="1280">
        <v>1.992266228222151</v>
      </c>
      <c r="F1341" s="1271">
        <v>4.6354029155757592E-2</v>
      </c>
      <c r="G1341" s="1257">
        <v>4.046410762222117E-2</v>
      </c>
      <c r="H1341" s="1280">
        <v>0.50795248331170306</v>
      </c>
      <c r="I1341" s="1271">
        <v>6.00888097751925E-2</v>
      </c>
      <c r="J1341" s="1257">
        <v>8.0353447439158246E-2</v>
      </c>
      <c r="K1341" s="1280">
        <v>0.59985949200057265</v>
      </c>
      <c r="L1341" s="1330">
        <v>0.16102347325927585</v>
      </c>
    </row>
    <row r="1342" spans="1:12" s="326" customFormat="1" ht="15.5" x14ac:dyDescent="0.35">
      <c r="A1342" s="328" t="s">
        <v>2306</v>
      </c>
      <c r="B1342" s="1291">
        <v>0.10560322510941642</v>
      </c>
      <c r="C1342" s="1257">
        <v>0.26741810101733821</v>
      </c>
      <c r="D1342" s="1257">
        <v>0.11733691678824046</v>
      </c>
      <c r="E1342" s="1280">
        <v>0.78891476002573468</v>
      </c>
      <c r="F1342" s="1271">
        <v>5.5549760595088274E-2</v>
      </c>
      <c r="G1342" s="1257">
        <v>7.293402134767149E-2</v>
      </c>
      <c r="H1342" s="1280">
        <v>0.69019180495921473</v>
      </c>
      <c r="I1342" s="1271">
        <v>6.3545645823004343E-2</v>
      </c>
      <c r="J1342" s="1257">
        <v>0.1330082870190227</v>
      </c>
      <c r="K1342" s="1280">
        <v>1.2586887161285458</v>
      </c>
      <c r="L1342" s="1237">
        <v>0.17427038070375386</v>
      </c>
    </row>
    <row r="1343" spans="1:12" s="326" customFormat="1" ht="15.5" x14ac:dyDescent="0.35">
      <c r="A1343" s="328" t="s">
        <v>2307</v>
      </c>
      <c r="B1343" s="1291">
        <v>0.10560322510941642</v>
      </c>
      <c r="C1343" s="1257">
        <v>0.26741810101733821</v>
      </c>
      <c r="D1343" s="1257">
        <v>0.11733691678824046</v>
      </c>
      <c r="E1343" s="1280">
        <v>0.78891476002573468</v>
      </c>
      <c r="F1343" s="1271">
        <v>5.5549760595088274E-2</v>
      </c>
      <c r="G1343" s="1257">
        <v>7.293402134767149E-2</v>
      </c>
      <c r="H1343" s="1280">
        <v>0.69019180495921473</v>
      </c>
      <c r="I1343" s="1271">
        <v>6.3545645823004343E-2</v>
      </c>
      <c r="J1343" s="1257">
        <v>0.1330082870190227</v>
      </c>
      <c r="K1343" s="1280">
        <v>1.2586887161285458</v>
      </c>
      <c r="L1343" s="1237">
        <v>0.17427038070375386</v>
      </c>
    </row>
    <row r="1344" spans="1:12" s="326" customFormat="1" ht="15.5" x14ac:dyDescent="0.35">
      <c r="A1344" s="328" t="s">
        <v>2308</v>
      </c>
      <c r="B1344" s="1291">
        <v>0.10560322510941642</v>
      </c>
      <c r="C1344" s="1257">
        <v>0.26741810101733821</v>
      </c>
      <c r="D1344" s="1257">
        <v>0.11733691678824046</v>
      </c>
      <c r="E1344" s="1280">
        <v>0.78891476002573468</v>
      </c>
      <c r="F1344" s="1271">
        <v>5.5549760595088274E-2</v>
      </c>
      <c r="G1344" s="1257">
        <v>7.293402134767149E-2</v>
      </c>
      <c r="H1344" s="1280">
        <v>0.69019180495921473</v>
      </c>
      <c r="I1344" s="1271">
        <v>6.3545645823004343E-2</v>
      </c>
      <c r="J1344" s="1257">
        <v>0.1330082870190227</v>
      </c>
      <c r="K1344" s="1280">
        <v>1.2586887161285458</v>
      </c>
      <c r="L1344" s="1237">
        <v>0.17427038070375386</v>
      </c>
    </row>
    <row r="1345" spans="1:12" s="326" customFormat="1" ht="15.5" x14ac:dyDescent="0.35">
      <c r="A1345" s="328" t="s">
        <v>2309</v>
      </c>
      <c r="B1345" s="1291">
        <v>0.10560322510941642</v>
      </c>
      <c r="C1345" s="1257">
        <v>0.26741810101733821</v>
      </c>
      <c r="D1345" s="1257">
        <v>0.11733691678824046</v>
      </c>
      <c r="E1345" s="1280">
        <v>0.78891476002573468</v>
      </c>
      <c r="F1345" s="1271">
        <v>5.5549760595088274E-2</v>
      </c>
      <c r="G1345" s="1257">
        <v>7.293402134767149E-2</v>
      </c>
      <c r="H1345" s="1280">
        <v>0.69019180495921473</v>
      </c>
      <c r="I1345" s="1271">
        <v>6.3545645823004343E-2</v>
      </c>
      <c r="J1345" s="1257">
        <v>0.1330082870190227</v>
      </c>
      <c r="K1345" s="1280">
        <v>1.2586887161285458</v>
      </c>
      <c r="L1345" s="1237">
        <v>0.17427038070375386</v>
      </c>
    </row>
    <row r="1346" spans="1:12" s="326" customFormat="1" ht="15.5" x14ac:dyDescent="0.35">
      <c r="A1346" s="328" t="s">
        <v>2310</v>
      </c>
      <c r="B1346" s="1291">
        <v>0.10560322510941642</v>
      </c>
      <c r="C1346" s="1257">
        <v>0.26741810101733821</v>
      </c>
      <c r="D1346" s="1257">
        <v>0.11733691678824046</v>
      </c>
      <c r="E1346" s="1280">
        <v>0.78891476002573468</v>
      </c>
      <c r="F1346" s="1271">
        <v>5.5549760595088274E-2</v>
      </c>
      <c r="G1346" s="1257">
        <v>7.293402134767149E-2</v>
      </c>
      <c r="H1346" s="1280">
        <v>0.69019180495921473</v>
      </c>
      <c r="I1346" s="1271">
        <v>6.3545645823004343E-2</v>
      </c>
      <c r="J1346" s="1257">
        <v>0.1330082870190227</v>
      </c>
      <c r="K1346" s="1280">
        <v>1.2586887161285458</v>
      </c>
      <c r="L1346" s="1237">
        <v>0.17427038070375386</v>
      </c>
    </row>
    <row r="1347" spans="1:12" s="326" customFormat="1" ht="15.5" x14ac:dyDescent="0.35">
      <c r="A1347" s="328" t="s">
        <v>2311</v>
      </c>
      <c r="B1347" s="1291">
        <v>0.10560322510941642</v>
      </c>
      <c r="C1347" s="1257">
        <v>0.26741810101733821</v>
      </c>
      <c r="D1347" s="1257">
        <v>0.11733691678824046</v>
      </c>
      <c r="E1347" s="1280">
        <v>0.78891476002573468</v>
      </c>
      <c r="F1347" s="1271">
        <v>5.5549760595088274E-2</v>
      </c>
      <c r="G1347" s="1257">
        <v>7.293402134767149E-2</v>
      </c>
      <c r="H1347" s="1280">
        <v>0.69019180495921473</v>
      </c>
      <c r="I1347" s="1271">
        <v>6.3545645823004343E-2</v>
      </c>
      <c r="J1347" s="1257">
        <v>0.1330082870190227</v>
      </c>
      <c r="K1347" s="1280">
        <v>1.2586887161285458</v>
      </c>
      <c r="L1347" s="1237">
        <v>0.17427038070375386</v>
      </c>
    </row>
    <row r="1348" spans="1:12" s="326" customFormat="1" ht="15.5" x14ac:dyDescent="0.35">
      <c r="A1348" s="328" t="s">
        <v>2312</v>
      </c>
      <c r="B1348" s="1291">
        <v>0.10560322510941642</v>
      </c>
      <c r="C1348" s="1257">
        <v>0.26741810101733821</v>
      </c>
      <c r="D1348" s="1257">
        <v>0.11733691678824046</v>
      </c>
      <c r="E1348" s="1280">
        <v>0.78891476002573468</v>
      </c>
      <c r="F1348" s="1271">
        <v>5.5549760595088274E-2</v>
      </c>
      <c r="G1348" s="1257">
        <v>7.293402134767149E-2</v>
      </c>
      <c r="H1348" s="1280">
        <v>0.69019180495921473</v>
      </c>
      <c r="I1348" s="1271">
        <v>6.3545645823004343E-2</v>
      </c>
      <c r="J1348" s="1257">
        <v>0.1330082870190227</v>
      </c>
      <c r="K1348" s="1280">
        <v>1.2586887161285458</v>
      </c>
      <c r="L1348" s="1237">
        <v>0.17427038070375386</v>
      </c>
    </row>
    <row r="1349" spans="1:12" s="326" customFormat="1" ht="15.5" x14ac:dyDescent="0.35">
      <c r="A1349" s="328" t="s">
        <v>2313</v>
      </c>
      <c r="B1349" s="1291">
        <v>0.10560322510941642</v>
      </c>
      <c r="C1349" s="1257">
        <v>0.26741810101733821</v>
      </c>
      <c r="D1349" s="1257">
        <v>0.11733691678824046</v>
      </c>
      <c r="E1349" s="1280">
        <v>0.78891476002573468</v>
      </c>
      <c r="F1349" s="1271">
        <v>5.5549760595088274E-2</v>
      </c>
      <c r="G1349" s="1257">
        <v>7.293402134767149E-2</v>
      </c>
      <c r="H1349" s="1280">
        <v>0.69019180495921473</v>
      </c>
      <c r="I1349" s="1271">
        <v>6.3545645823004343E-2</v>
      </c>
      <c r="J1349" s="1257">
        <v>0.1330082870190227</v>
      </c>
      <c r="K1349" s="1280">
        <v>1.2586887161285458</v>
      </c>
      <c r="L1349" s="1237">
        <v>0.17427038070375386</v>
      </c>
    </row>
    <row r="1350" spans="1:12" s="326" customFormat="1" ht="15.5" x14ac:dyDescent="0.35">
      <c r="A1350" s="328" t="s">
        <v>2314</v>
      </c>
      <c r="B1350" s="1291">
        <v>0.10560322510941642</v>
      </c>
      <c r="C1350" s="1257">
        <v>0.26741810101733821</v>
      </c>
      <c r="D1350" s="1257">
        <v>0.11733691678824046</v>
      </c>
      <c r="E1350" s="1280">
        <v>0.78891476002573468</v>
      </c>
      <c r="F1350" s="1271">
        <v>5.5549760595088274E-2</v>
      </c>
      <c r="G1350" s="1257">
        <v>7.293402134767149E-2</v>
      </c>
      <c r="H1350" s="1280">
        <v>0.69019180495921473</v>
      </c>
      <c r="I1350" s="1271">
        <v>6.3545645823004343E-2</v>
      </c>
      <c r="J1350" s="1257">
        <v>0.1330082870190227</v>
      </c>
      <c r="K1350" s="1280">
        <v>1.2586887161285458</v>
      </c>
      <c r="L1350" s="1237">
        <v>0.17427038070375386</v>
      </c>
    </row>
    <row r="1351" spans="1:12" s="326" customFormat="1" ht="15.5" x14ac:dyDescent="0.35">
      <c r="A1351" s="328" t="s">
        <v>2315</v>
      </c>
      <c r="B1351" s="1291">
        <v>0.10560322510941642</v>
      </c>
      <c r="C1351" s="1257">
        <v>0.26741810101733821</v>
      </c>
      <c r="D1351" s="1257">
        <v>0.11733691678824046</v>
      </c>
      <c r="E1351" s="1280">
        <v>0.78891476002573468</v>
      </c>
      <c r="F1351" s="1271">
        <v>5.5549760595088274E-2</v>
      </c>
      <c r="G1351" s="1257">
        <v>7.293402134767149E-2</v>
      </c>
      <c r="H1351" s="1280">
        <v>0.69019180495921473</v>
      </c>
      <c r="I1351" s="1271">
        <v>6.3545645823004343E-2</v>
      </c>
      <c r="J1351" s="1257">
        <v>0.1330082870190227</v>
      </c>
      <c r="K1351" s="1280">
        <v>1.2586887161285458</v>
      </c>
      <c r="L1351" s="1237">
        <v>0.17427038070375386</v>
      </c>
    </row>
    <row r="1352" spans="1:12" s="326" customFormat="1" ht="15.5" x14ac:dyDescent="0.35">
      <c r="A1352" s="328" t="s">
        <v>2316</v>
      </c>
      <c r="B1352" s="1291">
        <v>0.10560322510941642</v>
      </c>
      <c r="C1352" s="1257">
        <v>0.26741810101733821</v>
      </c>
      <c r="D1352" s="1257">
        <v>0.11733691678824046</v>
      </c>
      <c r="E1352" s="1280">
        <v>0.78891476002573468</v>
      </c>
      <c r="F1352" s="1271">
        <v>5.5549760595088274E-2</v>
      </c>
      <c r="G1352" s="1257">
        <v>7.293402134767149E-2</v>
      </c>
      <c r="H1352" s="1280">
        <v>0.69019180495921473</v>
      </c>
      <c r="I1352" s="1271">
        <v>6.3545645823004343E-2</v>
      </c>
      <c r="J1352" s="1257">
        <v>0.1330082870190227</v>
      </c>
      <c r="K1352" s="1280">
        <v>1.2586887161285458</v>
      </c>
      <c r="L1352" s="1237">
        <v>0.17427038070375386</v>
      </c>
    </row>
    <row r="1353" spans="1:12" s="326" customFormat="1" ht="15.5" x14ac:dyDescent="0.35">
      <c r="A1353" s="328" t="s">
        <v>2317</v>
      </c>
      <c r="B1353" s="1291">
        <v>0.10560322510941642</v>
      </c>
      <c r="C1353" s="1257">
        <v>0.26741810101733821</v>
      </c>
      <c r="D1353" s="1257">
        <v>0.11733691678824046</v>
      </c>
      <c r="E1353" s="1280">
        <v>0.78891476002573468</v>
      </c>
      <c r="F1353" s="1271">
        <v>5.5549760595088274E-2</v>
      </c>
      <c r="G1353" s="1257">
        <v>7.293402134767149E-2</v>
      </c>
      <c r="H1353" s="1280">
        <v>0.69019180495921473</v>
      </c>
      <c r="I1353" s="1271">
        <v>6.3545645823004343E-2</v>
      </c>
      <c r="J1353" s="1257">
        <v>0.1330082870190227</v>
      </c>
      <c r="K1353" s="1280">
        <v>1.2586887161285458</v>
      </c>
      <c r="L1353" s="1237">
        <v>0.17427038070375386</v>
      </c>
    </row>
    <row r="1354" spans="1:12" s="326" customFormat="1" ht="15.5" x14ac:dyDescent="0.35">
      <c r="A1354" s="328" t="s">
        <v>2318</v>
      </c>
      <c r="B1354" s="1291">
        <v>0.10560322510941642</v>
      </c>
      <c r="C1354" s="1257">
        <v>0.26741810101733821</v>
      </c>
      <c r="D1354" s="1257">
        <v>0.11733691678824046</v>
      </c>
      <c r="E1354" s="1280">
        <v>0.78891476002573468</v>
      </c>
      <c r="F1354" s="1271">
        <v>5.5549760595088274E-2</v>
      </c>
      <c r="G1354" s="1257">
        <v>7.293402134767149E-2</v>
      </c>
      <c r="H1354" s="1280">
        <v>0.69019180495921473</v>
      </c>
      <c r="I1354" s="1271">
        <v>6.3545645823004343E-2</v>
      </c>
      <c r="J1354" s="1257">
        <v>0.1330082870190227</v>
      </c>
      <c r="K1354" s="1280">
        <v>1.2586887161285458</v>
      </c>
      <c r="L1354" s="1237">
        <v>0.17427038070375386</v>
      </c>
    </row>
    <row r="1355" spans="1:12" s="326" customFormat="1" ht="15.5" x14ac:dyDescent="0.35">
      <c r="A1355" s="328" t="s">
        <v>2319</v>
      </c>
      <c r="B1355" s="1291">
        <v>0.10560322510941642</v>
      </c>
      <c r="C1355" s="1257">
        <v>0.26741810101733821</v>
      </c>
      <c r="D1355" s="1257">
        <v>0.11733691678824046</v>
      </c>
      <c r="E1355" s="1280">
        <v>0.78891476002573468</v>
      </c>
      <c r="F1355" s="1271">
        <v>5.5549760595088274E-2</v>
      </c>
      <c r="G1355" s="1257">
        <v>7.293402134767149E-2</v>
      </c>
      <c r="H1355" s="1280">
        <v>0.69019180495921473</v>
      </c>
      <c r="I1355" s="1271">
        <v>6.3545645823004343E-2</v>
      </c>
      <c r="J1355" s="1257">
        <v>0.1330082870190227</v>
      </c>
      <c r="K1355" s="1280">
        <v>1.2586887161285458</v>
      </c>
      <c r="L1355" s="1237">
        <v>0.17427038070375386</v>
      </c>
    </row>
    <row r="1356" spans="1:12" s="326" customFormat="1" ht="15.5" x14ac:dyDescent="0.35">
      <c r="A1356" s="328" t="s">
        <v>2320</v>
      </c>
      <c r="B1356" s="1291">
        <v>0.10560322510941642</v>
      </c>
      <c r="C1356" s="1257">
        <v>0.26741810101733821</v>
      </c>
      <c r="D1356" s="1257">
        <v>0.11733691678824046</v>
      </c>
      <c r="E1356" s="1280">
        <v>0.78891476002573468</v>
      </c>
      <c r="F1356" s="1271">
        <v>5.5549760595088274E-2</v>
      </c>
      <c r="G1356" s="1257">
        <v>7.293402134767149E-2</v>
      </c>
      <c r="H1356" s="1280">
        <v>0.69019180495921473</v>
      </c>
      <c r="I1356" s="1271">
        <v>6.3545645823004343E-2</v>
      </c>
      <c r="J1356" s="1257">
        <v>0.1330082870190227</v>
      </c>
      <c r="K1356" s="1280">
        <v>1.2586887161285458</v>
      </c>
      <c r="L1356" s="1237">
        <v>0.17427038070375386</v>
      </c>
    </row>
    <row r="1357" spans="1:12" s="326" customFormat="1" ht="15.5" x14ac:dyDescent="0.35">
      <c r="A1357" s="328" t="s">
        <v>2321</v>
      </c>
      <c r="B1357" s="1291">
        <v>0.10560322510941642</v>
      </c>
      <c r="C1357" s="1257">
        <v>0.26741810101733821</v>
      </c>
      <c r="D1357" s="1257">
        <v>0.11733691678824046</v>
      </c>
      <c r="E1357" s="1280">
        <v>0.78891476002573468</v>
      </c>
      <c r="F1357" s="1271">
        <v>5.5549760595088274E-2</v>
      </c>
      <c r="G1357" s="1257">
        <v>7.293402134767149E-2</v>
      </c>
      <c r="H1357" s="1280">
        <v>0.69019180495921473</v>
      </c>
      <c r="I1357" s="1271">
        <v>6.3545645823004343E-2</v>
      </c>
      <c r="J1357" s="1257">
        <v>0.1330082870190227</v>
      </c>
      <c r="K1357" s="1280">
        <v>1.2586887161285458</v>
      </c>
      <c r="L1357" s="1237">
        <v>0.17427038070375386</v>
      </c>
    </row>
    <row r="1358" spans="1:12" s="326" customFormat="1" ht="15.5" x14ac:dyDescent="0.35">
      <c r="A1358" s="328" t="s">
        <v>2322</v>
      </c>
      <c r="B1358" s="1291">
        <v>0.10560322510941642</v>
      </c>
      <c r="C1358" s="1257">
        <v>0.26741810101733821</v>
      </c>
      <c r="D1358" s="1257">
        <v>0.11733691678824046</v>
      </c>
      <c r="E1358" s="1280">
        <v>0.78891476002573468</v>
      </c>
      <c r="F1358" s="1271">
        <v>5.5549760595088274E-2</v>
      </c>
      <c r="G1358" s="1257">
        <v>7.293402134767149E-2</v>
      </c>
      <c r="H1358" s="1280">
        <v>0.69019180495921473</v>
      </c>
      <c r="I1358" s="1271">
        <v>6.3545645823004343E-2</v>
      </c>
      <c r="J1358" s="1257">
        <v>0.1330082870190227</v>
      </c>
      <c r="K1358" s="1280">
        <v>1.2586887161285458</v>
      </c>
      <c r="L1358" s="1237">
        <v>0.17427038070375386</v>
      </c>
    </row>
    <row r="1359" spans="1:12" s="326" customFormat="1" ht="15.5" x14ac:dyDescent="0.35">
      <c r="A1359" s="328" t="s">
        <v>2323</v>
      </c>
      <c r="B1359" s="1291">
        <v>0.10560322510941642</v>
      </c>
      <c r="C1359" s="1257">
        <v>0.26741810101733821</v>
      </c>
      <c r="D1359" s="1257">
        <v>0.11733691678824046</v>
      </c>
      <c r="E1359" s="1280">
        <v>0.78891476002573468</v>
      </c>
      <c r="F1359" s="1271">
        <v>5.5549760595088274E-2</v>
      </c>
      <c r="G1359" s="1257">
        <v>7.293402134767149E-2</v>
      </c>
      <c r="H1359" s="1280">
        <v>0.69019180495921473</v>
      </c>
      <c r="I1359" s="1271">
        <v>6.3545645823004343E-2</v>
      </c>
      <c r="J1359" s="1257">
        <v>0.1330082870190227</v>
      </c>
      <c r="K1359" s="1280">
        <v>1.2586887161285458</v>
      </c>
      <c r="L1359" s="1237">
        <v>0.17427038070375386</v>
      </c>
    </row>
    <row r="1360" spans="1:12" s="326" customFormat="1" ht="15.5" x14ac:dyDescent="0.35">
      <c r="A1360" s="328" t="s">
        <v>2324</v>
      </c>
      <c r="B1360" s="1291">
        <v>0.10560322510941642</v>
      </c>
      <c r="C1360" s="1257">
        <v>0.26741810101733821</v>
      </c>
      <c r="D1360" s="1257">
        <v>0.11733691678824046</v>
      </c>
      <c r="E1360" s="1280">
        <v>0.78891476002573468</v>
      </c>
      <c r="F1360" s="1271">
        <v>5.5549760595088274E-2</v>
      </c>
      <c r="G1360" s="1257">
        <v>7.293402134767149E-2</v>
      </c>
      <c r="H1360" s="1280">
        <v>0.69019180495921473</v>
      </c>
      <c r="I1360" s="1271">
        <v>6.3545645823004343E-2</v>
      </c>
      <c r="J1360" s="1257">
        <v>0.1330082870190227</v>
      </c>
      <c r="K1360" s="1280">
        <v>1.2586887161285458</v>
      </c>
      <c r="L1360" s="1237">
        <v>0.17427038070375386</v>
      </c>
    </row>
    <row r="1361" spans="1:12" s="326" customFormat="1" ht="15.5" x14ac:dyDescent="0.35">
      <c r="A1361" s="328" t="s">
        <v>2325</v>
      </c>
      <c r="B1361" s="1291">
        <v>0.10560322510941642</v>
      </c>
      <c r="C1361" s="1257">
        <v>0.26741810101733821</v>
      </c>
      <c r="D1361" s="1257">
        <v>0.11733691678824046</v>
      </c>
      <c r="E1361" s="1280">
        <v>0.78891476002573468</v>
      </c>
      <c r="F1361" s="1271">
        <v>5.5549760595088274E-2</v>
      </c>
      <c r="G1361" s="1257">
        <v>7.293402134767149E-2</v>
      </c>
      <c r="H1361" s="1280">
        <v>0.69019180495921473</v>
      </c>
      <c r="I1361" s="1271">
        <v>6.3545645823004343E-2</v>
      </c>
      <c r="J1361" s="1257">
        <v>0.1330082870190227</v>
      </c>
      <c r="K1361" s="1280">
        <v>1.2586887161285458</v>
      </c>
      <c r="L1361" s="1237">
        <v>0.17427038070375386</v>
      </c>
    </row>
    <row r="1362" spans="1:12" s="326" customFormat="1" ht="15.5" x14ac:dyDescent="0.35">
      <c r="A1362" s="328" t="s">
        <v>2326</v>
      </c>
      <c r="B1362" s="1291">
        <v>0.10560322510941642</v>
      </c>
      <c r="C1362" s="1257">
        <v>0.26741810101733821</v>
      </c>
      <c r="D1362" s="1257">
        <v>0.11733691678824046</v>
      </c>
      <c r="E1362" s="1280">
        <v>0.78891476002573468</v>
      </c>
      <c r="F1362" s="1271">
        <v>5.5549760595088274E-2</v>
      </c>
      <c r="G1362" s="1257">
        <v>7.293402134767149E-2</v>
      </c>
      <c r="H1362" s="1280">
        <v>0.69019180495921473</v>
      </c>
      <c r="I1362" s="1271">
        <v>6.3545645823004343E-2</v>
      </c>
      <c r="J1362" s="1257">
        <v>0.1330082870190227</v>
      </c>
      <c r="K1362" s="1280">
        <v>1.2586887161285458</v>
      </c>
      <c r="L1362" s="1237">
        <v>0.17427038070375386</v>
      </c>
    </row>
    <row r="1363" spans="1:12" s="326" customFormat="1" ht="15.5" x14ac:dyDescent="0.35">
      <c r="A1363" s="328" t="s">
        <v>2327</v>
      </c>
      <c r="B1363" s="1291">
        <v>0.10560322510941642</v>
      </c>
      <c r="C1363" s="1257">
        <v>0.26741810101733821</v>
      </c>
      <c r="D1363" s="1257">
        <v>0.11733691678824046</v>
      </c>
      <c r="E1363" s="1280">
        <v>0.78891476002573468</v>
      </c>
      <c r="F1363" s="1271">
        <v>5.5549760595088274E-2</v>
      </c>
      <c r="G1363" s="1257">
        <v>7.293402134767149E-2</v>
      </c>
      <c r="H1363" s="1280">
        <v>0.69019180495921473</v>
      </c>
      <c r="I1363" s="1271">
        <v>6.3545645823004343E-2</v>
      </c>
      <c r="J1363" s="1257">
        <v>0.1330082870190227</v>
      </c>
      <c r="K1363" s="1280">
        <v>1.2586887161285458</v>
      </c>
      <c r="L1363" s="1237">
        <v>0.17427038070375386</v>
      </c>
    </row>
    <row r="1364" spans="1:12" s="326" customFormat="1" ht="15.5" x14ac:dyDescent="0.35">
      <c r="A1364" s="328" t="s">
        <v>2328</v>
      </c>
      <c r="B1364" s="1291">
        <v>0.10560322510941642</v>
      </c>
      <c r="C1364" s="1257">
        <v>0.26741810101733821</v>
      </c>
      <c r="D1364" s="1257">
        <v>0.11733691678824046</v>
      </c>
      <c r="E1364" s="1280">
        <v>0.78891476002573468</v>
      </c>
      <c r="F1364" s="1271">
        <v>5.5549760595088274E-2</v>
      </c>
      <c r="G1364" s="1257">
        <v>7.293402134767149E-2</v>
      </c>
      <c r="H1364" s="1280">
        <v>0.69019180495921473</v>
      </c>
      <c r="I1364" s="1271">
        <v>6.3545645823004343E-2</v>
      </c>
      <c r="J1364" s="1257">
        <v>0.1330082870190227</v>
      </c>
      <c r="K1364" s="1280">
        <v>1.2586887161285458</v>
      </c>
      <c r="L1364" s="1237">
        <v>0.17427038070375386</v>
      </c>
    </row>
    <row r="1365" spans="1:12" s="326" customFormat="1" ht="15.5" x14ac:dyDescent="0.35">
      <c r="A1365" s="328" t="s">
        <v>2329</v>
      </c>
      <c r="B1365" s="1291">
        <v>0.10560322510941642</v>
      </c>
      <c r="C1365" s="1257">
        <v>0.26741810101733821</v>
      </c>
      <c r="D1365" s="1257">
        <v>0.11733691678824046</v>
      </c>
      <c r="E1365" s="1280">
        <v>0.78891476002573468</v>
      </c>
      <c r="F1365" s="1303">
        <v>5.5549760595088274E-2</v>
      </c>
      <c r="G1365" s="1288">
        <v>7.293402134767149E-2</v>
      </c>
      <c r="H1365" s="1280">
        <v>0.69019180495921473</v>
      </c>
      <c r="I1365" s="1303">
        <v>6.3545645823004343E-2</v>
      </c>
      <c r="J1365" s="1288">
        <v>0.1330082870190227</v>
      </c>
      <c r="K1365" s="1280">
        <v>1.2586887161285458</v>
      </c>
      <c r="L1365" s="1237">
        <v>0.17427038070375386</v>
      </c>
    </row>
    <row r="1366" spans="1:12" s="326" customFormat="1" ht="15.5" x14ac:dyDescent="0.35">
      <c r="A1366" s="328" t="s">
        <v>2330</v>
      </c>
      <c r="B1366" s="1291">
        <v>0.10560322510941642</v>
      </c>
      <c r="C1366" s="1257">
        <v>0.26741810101733821</v>
      </c>
      <c r="D1366" s="1257">
        <v>0.11733691678824046</v>
      </c>
      <c r="E1366" s="1280">
        <v>0.78891476002573468</v>
      </c>
      <c r="F1366" s="1303">
        <v>5.7332522115867306E-2</v>
      </c>
      <c r="G1366" s="1288">
        <v>7.7453751114570521E-2</v>
      </c>
      <c r="H1366" s="1280">
        <v>0.73296307120920778</v>
      </c>
      <c r="I1366" s="1303">
        <v>6.3756196894572195E-2</v>
      </c>
      <c r="J1366" s="1288">
        <v>0.13232868988211877</v>
      </c>
      <c r="K1366" s="1280">
        <v>1.2522575285168152</v>
      </c>
      <c r="L1366" s="1237">
        <v>0.17427038070375386</v>
      </c>
    </row>
    <row r="1367" spans="1:12" s="326" customFormat="1" ht="15.5" x14ac:dyDescent="0.35">
      <c r="A1367" s="328" t="s">
        <v>2331</v>
      </c>
      <c r="B1367" s="1291">
        <v>0.10560322510941642</v>
      </c>
      <c r="C1367" s="1257">
        <v>0.26741810101733821</v>
      </c>
      <c r="D1367" s="1257">
        <v>0.11733691678824046</v>
      </c>
      <c r="E1367" s="1280">
        <v>0.78891476002573468</v>
      </c>
      <c r="F1367" s="1303">
        <v>5.7612812742787164E-2</v>
      </c>
      <c r="G1367" s="1288">
        <v>7.5344137428588115E-2</v>
      </c>
      <c r="H1367" s="1280">
        <v>0.71299930051906546</v>
      </c>
      <c r="I1367" s="1303">
        <v>6.3908031503944696E-2</v>
      </c>
      <c r="J1367" s="1288">
        <v>0.13119595950501078</v>
      </c>
      <c r="K1367" s="1280">
        <v>1.2415382344334476</v>
      </c>
      <c r="L1367" s="1237">
        <v>0.17427038070375386</v>
      </c>
    </row>
    <row r="1368" spans="1:12" s="326" customFormat="1" ht="15.5" x14ac:dyDescent="0.35">
      <c r="A1368" s="328" t="s">
        <v>2332</v>
      </c>
      <c r="B1368" s="1291">
        <v>0.10560322510941642</v>
      </c>
      <c r="C1368" s="1257">
        <v>0.26741810101733821</v>
      </c>
      <c r="D1368" s="1257">
        <v>0.11733691678824046</v>
      </c>
      <c r="E1368" s="1280">
        <v>0.78891476002573468</v>
      </c>
      <c r="F1368" s="1303">
        <v>5.7838552198152975E-2</v>
      </c>
      <c r="G1368" s="1288">
        <v>7.4930564519559942E-2</v>
      </c>
      <c r="H1368" s="1280">
        <v>0.70908556276965917</v>
      </c>
      <c r="I1368" s="1303">
        <v>6.4105456625389592E-2</v>
      </c>
      <c r="J1368" s="1288">
        <v>0.1293983776159664</v>
      </c>
      <c r="K1368" s="1280">
        <v>1.224527294056976</v>
      </c>
      <c r="L1368" s="1237">
        <v>0.17427038070375386</v>
      </c>
    </row>
    <row r="1369" spans="1:12" s="326" customFormat="1" ht="15.5" x14ac:dyDescent="0.35">
      <c r="A1369" s="328" t="s">
        <v>2333</v>
      </c>
      <c r="B1369" s="1291">
        <v>0.10560322510941642</v>
      </c>
      <c r="C1369" s="1257">
        <v>0.26741810101733821</v>
      </c>
      <c r="D1369" s="1257">
        <v>0.11733691678824046</v>
      </c>
      <c r="E1369" s="1280">
        <v>0.78891476002573468</v>
      </c>
      <c r="F1369" s="1303">
        <v>5.7759739499408026E-2</v>
      </c>
      <c r="G1369" s="1288">
        <v>7.0702667736084926E-2</v>
      </c>
      <c r="H1369" s="1280">
        <v>0.66907598070839192</v>
      </c>
      <c r="I1369" s="1303">
        <v>6.4219711809187785E-2</v>
      </c>
      <c r="J1369" s="1288">
        <v>0.12996270708205679</v>
      </c>
      <c r="K1369" s="1280">
        <v>1.2298676765779932</v>
      </c>
      <c r="L1369" s="1237">
        <v>0.17427038070375386</v>
      </c>
    </row>
    <row r="1370" spans="1:12" s="326" customFormat="1" ht="15.5" x14ac:dyDescent="0.35">
      <c r="A1370" s="328" t="s">
        <v>2334</v>
      </c>
      <c r="B1370" s="1291">
        <v>0.10560322510941642</v>
      </c>
      <c r="C1370" s="1257">
        <v>0.26741810101733821</v>
      </c>
      <c r="D1370" s="1257">
        <v>0.11733691678824046</v>
      </c>
      <c r="E1370" s="1280">
        <v>0.78891476002573468</v>
      </c>
      <c r="F1370" s="1303">
        <v>5.7794176911154738E-2</v>
      </c>
      <c r="G1370" s="1288">
        <v>6.9986545600579764E-2</v>
      </c>
      <c r="H1370" s="1280">
        <v>0.66229914844078053</v>
      </c>
      <c r="I1370" s="1303">
        <v>6.3973180429582471E-2</v>
      </c>
      <c r="J1370" s="1288">
        <v>0.12992275112524754</v>
      </c>
      <c r="K1370" s="1280">
        <v>1.2294895639573056</v>
      </c>
      <c r="L1370" s="1237">
        <v>0.17427038070375386</v>
      </c>
    </row>
    <row r="1371" spans="1:12" s="326" customFormat="1" ht="15.5" x14ac:dyDescent="0.35">
      <c r="A1371" s="328" t="s">
        <v>2335</v>
      </c>
      <c r="B1371" s="1291">
        <v>0.10560322510941642</v>
      </c>
      <c r="C1371" s="1257">
        <v>0.26741810101733821</v>
      </c>
      <c r="D1371" s="1257">
        <v>0.11733691678824046</v>
      </c>
      <c r="E1371" s="1280">
        <v>0.78891476002573468</v>
      </c>
      <c r="F1371" s="1303">
        <v>5.762937585942441E-2</v>
      </c>
      <c r="G1371" s="1288">
        <v>7.5645041475475877E-2</v>
      </c>
      <c r="H1371" s="1280">
        <v>0.7158468263157165</v>
      </c>
      <c r="I1371" s="1303">
        <v>6.3505696834574438E-2</v>
      </c>
      <c r="J1371" s="1288">
        <v>0.13054237443770272</v>
      </c>
      <c r="K1371" s="1280">
        <v>1.2353532051567897</v>
      </c>
      <c r="L1371" s="1237">
        <v>0.17427038070375386</v>
      </c>
    </row>
    <row r="1372" spans="1:12" s="326" customFormat="1" ht="15.5" x14ac:dyDescent="0.35">
      <c r="A1372" s="328" t="s">
        <v>2336</v>
      </c>
      <c r="B1372" s="1291">
        <v>0.10560322510941642</v>
      </c>
      <c r="C1372" s="1257">
        <v>0.26741810101733821</v>
      </c>
      <c r="D1372" s="1257">
        <v>0.11733691678824046</v>
      </c>
      <c r="E1372" s="1280">
        <v>0.78891476002573468</v>
      </c>
      <c r="F1372" s="1303">
        <v>5.7763079302056486E-2</v>
      </c>
      <c r="G1372" s="1288">
        <v>7.4189939160896251E-2</v>
      </c>
      <c r="H1372" s="1280">
        <v>0.70207685073583437</v>
      </c>
      <c r="I1372" s="1303">
        <v>6.3882714582478656E-2</v>
      </c>
      <c r="J1372" s="1288">
        <v>0.1306590385741038</v>
      </c>
      <c r="K1372" s="1280">
        <v>1.2364572253299382</v>
      </c>
      <c r="L1372" s="1237">
        <v>0.17427038070375386</v>
      </c>
    </row>
    <row r="1373" spans="1:12" s="326" customFormat="1" ht="15.5" x14ac:dyDescent="0.35">
      <c r="A1373" s="328" t="s">
        <v>2337</v>
      </c>
      <c r="B1373" s="1291">
        <v>0.10560322510941642</v>
      </c>
      <c r="C1373" s="1257">
        <v>0.26741810101733821</v>
      </c>
      <c r="D1373" s="1257">
        <v>0.11733691678824046</v>
      </c>
      <c r="E1373" s="1280">
        <v>0.78891476002573468</v>
      </c>
      <c r="F1373" s="1303">
        <v>5.7551736577628416E-2</v>
      </c>
      <c r="G1373" s="1288">
        <v>7.3039667757215529E-2</v>
      </c>
      <c r="H1373" s="1280">
        <v>0.69119156179070862</v>
      </c>
      <c r="I1373" s="1303">
        <v>6.3827110649770494E-2</v>
      </c>
      <c r="J1373" s="1288">
        <v>0.13052098552427605</v>
      </c>
      <c r="K1373" s="1280">
        <v>1.2351507968363475</v>
      </c>
      <c r="L1373" s="1237">
        <v>0.17427038070375386</v>
      </c>
    </row>
    <row r="1374" spans="1:12" s="326" customFormat="1" ht="15.5" x14ac:dyDescent="0.35">
      <c r="A1374" s="328" t="s">
        <v>2338</v>
      </c>
      <c r="B1374" s="1291">
        <v>0.10560322510941642</v>
      </c>
      <c r="C1374" s="1257">
        <v>0.26741810101733821</v>
      </c>
      <c r="D1374" s="1257">
        <v>0.11733691678824046</v>
      </c>
      <c r="E1374" s="1280">
        <v>0.78891476002573468</v>
      </c>
      <c r="F1374" s="1303">
        <v>5.7360463787135448E-2</v>
      </c>
      <c r="G1374" s="1288">
        <v>7.4056775422250282E-2</v>
      </c>
      <c r="H1374" s="1280">
        <v>0.70081669094438326</v>
      </c>
      <c r="I1374" s="1303">
        <v>6.3433589426895642E-2</v>
      </c>
      <c r="J1374" s="1288">
        <v>0.129788932472403</v>
      </c>
      <c r="K1374" s="1280">
        <v>1.228223206558696</v>
      </c>
      <c r="L1374" s="1237">
        <v>0.17427038070375386</v>
      </c>
    </row>
    <row r="1375" spans="1:12" s="326" customFormat="1" ht="15.5" x14ac:dyDescent="0.35">
      <c r="A1375" s="328" t="s">
        <v>2339</v>
      </c>
      <c r="B1375" s="1291">
        <v>0.10560322510941642</v>
      </c>
      <c r="C1375" s="1257">
        <v>0.26741810101733821</v>
      </c>
      <c r="D1375" s="1257">
        <v>0.11733691678824046</v>
      </c>
      <c r="E1375" s="1280">
        <v>0.78891476002573468</v>
      </c>
      <c r="F1375" s="1303">
        <v>4.9181115623644245E-2</v>
      </c>
      <c r="G1375" s="1288">
        <v>7.3574500687696026E-2</v>
      </c>
      <c r="H1375" s="1280">
        <v>0.69625281165488806</v>
      </c>
      <c r="I1375" s="1303">
        <v>6.9370104915974964E-2</v>
      </c>
      <c r="J1375" s="1288">
        <v>0.12882562327292149</v>
      </c>
      <c r="K1375" s="1280">
        <v>1.2191071849430144</v>
      </c>
      <c r="L1375" s="1237">
        <v>0.17427038070375386</v>
      </c>
    </row>
    <row r="1376" spans="1:12" s="326" customFormat="1" ht="15.5" x14ac:dyDescent="0.35">
      <c r="A1376" s="328" t="s">
        <v>2340</v>
      </c>
      <c r="B1376" s="1291">
        <v>0.10560322510941642</v>
      </c>
      <c r="C1376" s="1257">
        <v>0.26741810101733821</v>
      </c>
      <c r="D1376" s="1257">
        <v>0.11733691678824046</v>
      </c>
      <c r="E1376" s="1280">
        <v>0.78891476002573468</v>
      </c>
      <c r="F1376" s="1303">
        <v>4.9347952104922044E-2</v>
      </c>
      <c r="G1376" s="1288">
        <v>7.1805508450600325E-2</v>
      </c>
      <c r="H1376" s="1280">
        <v>0.67951242188178396</v>
      </c>
      <c r="I1376" s="1303">
        <v>6.9196712986839395E-2</v>
      </c>
      <c r="J1376" s="1288">
        <v>0.12934791749276475</v>
      </c>
      <c r="K1376" s="1280">
        <v>1.2240497780381487</v>
      </c>
      <c r="L1376" s="1237">
        <v>0.17427038070375386</v>
      </c>
    </row>
    <row r="1377" spans="1:12" s="326" customFormat="1" ht="15.5" x14ac:dyDescent="0.35">
      <c r="A1377" s="328" t="s">
        <v>2341</v>
      </c>
      <c r="B1377" s="1291">
        <v>0.10560322510941642</v>
      </c>
      <c r="C1377" s="1257">
        <v>0.26741810101733821</v>
      </c>
      <c r="D1377" s="1257">
        <v>0.11733691678824046</v>
      </c>
      <c r="E1377" s="1280">
        <v>0.78891476002573468</v>
      </c>
      <c r="F1377" s="1303">
        <v>4.9121076632890032E-2</v>
      </c>
      <c r="G1377" s="1288">
        <v>7.7191651079461646E-2</v>
      </c>
      <c r="H1377" s="1280">
        <v>0.73048275690637599</v>
      </c>
      <c r="I1377" s="1303">
        <v>6.8916982933385829E-2</v>
      </c>
      <c r="J1377" s="1288">
        <v>0.12958884963089923</v>
      </c>
      <c r="K1377" s="1280">
        <v>1.2263297755512301</v>
      </c>
      <c r="L1377" s="1237">
        <v>0.17427038070375386</v>
      </c>
    </row>
    <row r="1378" spans="1:12" s="326" customFormat="1" ht="15.5" x14ac:dyDescent="0.35">
      <c r="A1378" s="328" t="s">
        <v>2342</v>
      </c>
      <c r="B1378" s="1291">
        <v>0.10560322510941642</v>
      </c>
      <c r="C1378" s="1257">
        <v>0.26741810101733821</v>
      </c>
      <c r="D1378" s="1257">
        <v>0.11733691678824046</v>
      </c>
      <c r="E1378" s="1280">
        <v>0.78891476002573468</v>
      </c>
      <c r="F1378" s="1303">
        <v>5.9012463263056834E-2</v>
      </c>
      <c r="G1378" s="1288">
        <v>7.1470635806558672E-2</v>
      </c>
      <c r="H1378" s="1280">
        <v>0.67634344325765461</v>
      </c>
      <c r="I1378" s="1303">
        <v>7.4721589820456721E-2</v>
      </c>
      <c r="J1378" s="1288">
        <v>0.13044774739776985</v>
      </c>
      <c r="K1378" s="1280">
        <v>1.2344577272127191</v>
      </c>
      <c r="L1378" s="1237">
        <v>0.17427038070375386</v>
      </c>
    </row>
    <row r="1379" spans="1:12" s="326" customFormat="1" ht="15.5" x14ac:dyDescent="0.35">
      <c r="A1379" s="328" t="s">
        <v>2343</v>
      </c>
      <c r="B1379" s="1291">
        <v>0.10560322510941642</v>
      </c>
      <c r="C1379" s="1257">
        <v>0.26741810101733821</v>
      </c>
      <c r="D1379" s="1257">
        <v>0.11733691678824046</v>
      </c>
      <c r="E1379" s="1280">
        <v>0.78891476002573468</v>
      </c>
      <c r="F1379" s="1303">
        <v>5.9086760943199326E-2</v>
      </c>
      <c r="G1379" s="1288">
        <v>6.9636362936811164E-2</v>
      </c>
      <c r="H1379" s="1280">
        <v>0.65898528749761742</v>
      </c>
      <c r="I1379" s="1303">
        <v>7.5484795856040524E-2</v>
      </c>
      <c r="J1379" s="1288">
        <v>0.11567886458318424</v>
      </c>
      <c r="K1379" s="1280">
        <v>1.0946963141070449</v>
      </c>
      <c r="L1379" s="1237">
        <v>0.17427038070375386</v>
      </c>
    </row>
    <row r="1380" spans="1:12" s="326" customFormat="1" ht="15.5" x14ac:dyDescent="0.35">
      <c r="A1380" s="328" t="s">
        <v>2344</v>
      </c>
      <c r="B1380" s="1291">
        <v>0.10560322510941642</v>
      </c>
      <c r="C1380" s="1257">
        <v>0.26741810101733821</v>
      </c>
      <c r="D1380" s="1257">
        <v>0.11733691678824046</v>
      </c>
      <c r="E1380" s="1280">
        <v>0.78891476002573468</v>
      </c>
      <c r="F1380" s="1303">
        <v>5.8982274898488951E-2</v>
      </c>
      <c r="G1380" s="1288">
        <v>6.3101983285375099E-2</v>
      </c>
      <c r="H1380" s="1280">
        <v>0.59714891535498349</v>
      </c>
      <c r="I1380" s="1303">
        <v>7.5277478848022855E-2</v>
      </c>
      <c r="J1380" s="1288">
        <v>9.9268608316730844E-2</v>
      </c>
      <c r="K1380" s="1280">
        <v>0.9394021978208279</v>
      </c>
      <c r="L1380" s="1237">
        <v>0.17427038070375386</v>
      </c>
    </row>
    <row r="1381" spans="1:12" s="326" customFormat="1" ht="15.5" x14ac:dyDescent="0.35">
      <c r="A1381" s="328" t="s">
        <v>2345</v>
      </c>
      <c r="B1381" s="1291">
        <v>0.10560322510941642</v>
      </c>
      <c r="C1381" s="1257">
        <v>0.26741810101733821</v>
      </c>
      <c r="D1381" s="1257">
        <v>0.11733691678824046</v>
      </c>
      <c r="E1381" s="1280">
        <v>0.78891476002573468</v>
      </c>
      <c r="F1381" s="1303">
        <v>6.5665827311042327E-2</v>
      </c>
      <c r="G1381" s="1288">
        <v>5.8469689179498151E-2</v>
      </c>
      <c r="H1381" s="1280">
        <v>0.5533124262795156</v>
      </c>
      <c r="I1381" s="1303">
        <v>8.0796853609863953E-2</v>
      </c>
      <c r="J1381" s="1288">
        <v>9.9241126942586938E-2</v>
      </c>
      <c r="K1381" s="1280">
        <v>0.93914213511109856</v>
      </c>
      <c r="L1381" s="1237">
        <v>0.17427038070375386</v>
      </c>
    </row>
    <row r="1382" spans="1:12" s="326" customFormat="1" ht="15.5" x14ac:dyDescent="0.35">
      <c r="A1382" s="328" t="s">
        <v>2346</v>
      </c>
      <c r="B1382" s="1291">
        <v>0.10560322510941642</v>
      </c>
      <c r="C1382" s="1257">
        <v>0.26741810101733821</v>
      </c>
      <c r="D1382" s="1257">
        <v>0.11733691678824046</v>
      </c>
      <c r="E1382" s="1280">
        <v>0.78891476002573468</v>
      </c>
      <c r="F1382" s="1303">
        <v>6.7287772903428397E-2</v>
      </c>
      <c r="G1382" s="1288">
        <v>5.9020008637054006E-2</v>
      </c>
      <c r="H1382" s="1280">
        <v>0.55852022879329788</v>
      </c>
      <c r="I1382" s="1303">
        <v>8.0494058973734489E-2</v>
      </c>
      <c r="J1382" s="1288">
        <v>0.10097046595035533</v>
      </c>
      <c r="K1382" s="1280">
        <v>0.95550727704490668</v>
      </c>
      <c r="L1382" s="1330">
        <v>0.17427038070375386</v>
      </c>
    </row>
    <row r="1383" spans="1:12" s="326" customFormat="1" ht="15.5" x14ac:dyDescent="0.35">
      <c r="A1383" s="328" t="s">
        <v>2347</v>
      </c>
      <c r="B1383" s="1291">
        <v>0.10560322510941642</v>
      </c>
      <c r="C1383" s="1257">
        <v>0.26741810101733821</v>
      </c>
      <c r="D1383" s="1257">
        <v>0.11733691678824046</v>
      </c>
      <c r="E1383" s="1280">
        <v>0.78891476002573468</v>
      </c>
      <c r="F1383" s="1303">
        <v>6.1197518234920228E-2</v>
      </c>
      <c r="G1383" s="1288">
        <v>5.9404717711133981E-2</v>
      </c>
      <c r="H1383" s="1280">
        <v>0.56216082128109879</v>
      </c>
      <c r="I1383" s="1303">
        <v>8.0732007259986596E-2</v>
      </c>
      <c r="J1383" s="1288">
        <v>0.10088772624182796</v>
      </c>
      <c r="K1383" s="1280">
        <v>0.95472429171494544</v>
      </c>
      <c r="L1383" s="1330">
        <v>0.1734836681157923</v>
      </c>
    </row>
    <row r="1384" spans="1:12" s="326" customFormat="1" ht="15.5" x14ac:dyDescent="0.35">
      <c r="A1384" s="328" t="s">
        <v>2348</v>
      </c>
      <c r="B1384" s="1291">
        <v>0.10560322510941642</v>
      </c>
      <c r="C1384" s="1257">
        <v>0.26741810101733821</v>
      </c>
      <c r="D1384" s="1257">
        <v>0.11733691678824046</v>
      </c>
      <c r="E1384" s="1280">
        <v>0.78891476002573468</v>
      </c>
      <c r="F1384" s="1303">
        <v>6.6438572716552027E-2</v>
      </c>
      <c r="G1384" s="1288">
        <v>5.8236680447918784E-2</v>
      </c>
      <c r="H1384" s="1280">
        <v>0.55110740982699613</v>
      </c>
      <c r="I1384" s="1303">
        <v>8.0658793370590107E-2</v>
      </c>
      <c r="J1384" s="1288">
        <v>0.10126198532953944</v>
      </c>
      <c r="K1384" s="1280">
        <v>0.95826599352292097</v>
      </c>
      <c r="L1384" s="1330">
        <v>0.16373774724997059</v>
      </c>
    </row>
    <row r="1385" spans="1:12" s="326" customFormat="1" ht="15.5" x14ac:dyDescent="0.35">
      <c r="A1385" s="328" t="s">
        <v>2349</v>
      </c>
      <c r="B1385" s="1291">
        <v>0.10560322510941642</v>
      </c>
      <c r="C1385" s="1257">
        <v>0.26741810101733821</v>
      </c>
      <c r="D1385" s="1257">
        <v>0.11733691678824046</v>
      </c>
      <c r="E1385" s="1280">
        <v>0.78891476002573468</v>
      </c>
      <c r="F1385" s="1303">
        <v>6.1790739460171468E-2</v>
      </c>
      <c r="G1385" s="1288">
        <v>5.5952211837658083E-2</v>
      </c>
      <c r="H1385" s="1280">
        <v>0.5294889458460732</v>
      </c>
      <c r="I1385" s="1303">
        <v>7.8462937133507521E-2</v>
      </c>
      <c r="J1385" s="1288">
        <v>9.8725879341681463E-2</v>
      </c>
      <c r="K1385" s="1280">
        <v>0.93426622582900032</v>
      </c>
      <c r="L1385" s="1330">
        <v>0.19316604241158186</v>
      </c>
    </row>
    <row r="1386" spans="1:12" s="326" customFormat="1" ht="15.5" x14ac:dyDescent="0.35">
      <c r="A1386" s="328" t="s">
        <v>2350</v>
      </c>
      <c r="B1386" s="1291">
        <v>0.10560322510941642</v>
      </c>
      <c r="C1386" s="1257">
        <v>0.26741810101733821</v>
      </c>
      <c r="D1386" s="1257">
        <v>0.11733691678824046</v>
      </c>
      <c r="E1386" s="1280">
        <v>0.78891476002573468</v>
      </c>
      <c r="F1386" s="1303">
        <v>5.9459277863386485E-2</v>
      </c>
      <c r="G1386" s="1288">
        <v>5.6370562686745299E-2</v>
      </c>
      <c r="H1386" s="1280">
        <v>0.53344789836647943</v>
      </c>
      <c r="I1386" s="1303">
        <v>7.7982568497971638E-2</v>
      </c>
      <c r="J1386" s="1288">
        <v>9.9513086538261922E-2</v>
      </c>
      <c r="K1386" s="1280">
        <v>0.94171575275546382</v>
      </c>
      <c r="L1386" s="1330">
        <v>0.19316604241158841</v>
      </c>
    </row>
    <row r="1387" spans="1:12" s="326" customFormat="1" ht="15.5" x14ac:dyDescent="0.35">
      <c r="A1387" s="328" t="s">
        <v>2351</v>
      </c>
      <c r="B1387" s="1291">
        <v>0.10560322510941642</v>
      </c>
      <c r="C1387" s="1257">
        <v>0.26741810101733821</v>
      </c>
      <c r="D1387" s="1257">
        <v>0.11733691678824046</v>
      </c>
      <c r="E1387" s="1280">
        <v>0.78891476002573468</v>
      </c>
      <c r="F1387" s="1303">
        <v>6.113406051970395E-2</v>
      </c>
      <c r="G1387" s="1288">
        <v>5.6672876492740866E-2</v>
      </c>
      <c r="H1387" s="1280">
        <v>0.53630876504527558</v>
      </c>
      <c r="I1387" s="1303">
        <v>7.5621348014433126E-2</v>
      </c>
      <c r="J1387" s="1288">
        <v>9.67927719918142E-2</v>
      </c>
      <c r="K1387" s="1280">
        <v>0.9159727761284181</v>
      </c>
      <c r="L1387" s="1330">
        <v>0.19316604241156168</v>
      </c>
    </row>
    <row r="1388" spans="1:12" s="326" customFormat="1" ht="15.5" x14ac:dyDescent="0.35">
      <c r="A1388" s="328" t="s">
        <v>2352</v>
      </c>
      <c r="B1388" s="1291">
        <v>0.10560322510941642</v>
      </c>
      <c r="C1388" s="1257">
        <v>0.26741810101733821</v>
      </c>
      <c r="D1388" s="1257">
        <v>0.11733691678824046</v>
      </c>
      <c r="E1388" s="1280">
        <v>0.78891476002573468</v>
      </c>
      <c r="F1388" s="1303">
        <v>5.9898123958416781E-2</v>
      </c>
      <c r="G1388" s="1288">
        <v>5.5834110538840527E-2</v>
      </c>
      <c r="H1388" s="1280">
        <v>0.52837132546682175</v>
      </c>
      <c r="I1388" s="1303">
        <v>7.2860212523771811E-2</v>
      </c>
      <c r="J1388" s="1288">
        <v>9.5409161107433152E-2</v>
      </c>
      <c r="K1388" s="1280">
        <v>0.9028793407740181</v>
      </c>
      <c r="L1388" s="1330">
        <v>0.19784030364641955</v>
      </c>
    </row>
    <row r="1389" spans="1:12" s="326" customFormat="1" ht="15.5" x14ac:dyDescent="0.35">
      <c r="A1389" s="328" t="s">
        <v>2353</v>
      </c>
      <c r="B1389" s="1291">
        <v>0.10560322510941642</v>
      </c>
      <c r="C1389" s="1257">
        <v>0.26741810101733821</v>
      </c>
      <c r="D1389" s="1257">
        <v>0.11733691678824046</v>
      </c>
      <c r="E1389" s="1280">
        <v>0.78891476002573468</v>
      </c>
      <c r="F1389" s="1303">
        <v>5.5007681555694785E-2</v>
      </c>
      <c r="G1389" s="1288">
        <v>5.4543258148983489E-2</v>
      </c>
      <c r="H1389" s="1280">
        <v>0.51615568557163061</v>
      </c>
      <c r="I1389" s="1303">
        <v>6.8345452313597801E-2</v>
      </c>
      <c r="J1389" s="1288">
        <v>9.084013877525586E-2</v>
      </c>
      <c r="K1389" s="1280">
        <v>0.85964160738054629</v>
      </c>
      <c r="L1389" s="1330">
        <v>0.19784030364645161</v>
      </c>
    </row>
    <row r="1390" spans="1:12" s="326" customFormat="1" ht="15.5" x14ac:dyDescent="0.35">
      <c r="A1390" s="328" t="s">
        <v>2354</v>
      </c>
      <c r="B1390" s="1291">
        <v>0.10560322510941642</v>
      </c>
      <c r="C1390" s="1257">
        <v>0.26741810101733821</v>
      </c>
      <c r="D1390" s="1257">
        <v>0.11733691678824046</v>
      </c>
      <c r="E1390" s="1280">
        <v>0.78891476002573468</v>
      </c>
      <c r="F1390" s="1303">
        <v>5.7338889084903547E-2</v>
      </c>
      <c r="G1390" s="1288">
        <v>5.2585307817479991E-2</v>
      </c>
      <c r="H1390" s="1280">
        <v>0.49762714089041721</v>
      </c>
      <c r="I1390" s="1303">
        <v>6.8420673528341441E-2</v>
      </c>
      <c r="J1390" s="1288">
        <v>8.9982334011153783E-2</v>
      </c>
      <c r="K1390" s="1280">
        <v>0.85152399906143328</v>
      </c>
      <c r="L1390" s="1330">
        <v>0.19784030364626515</v>
      </c>
    </row>
    <row r="1391" spans="1:12" s="326" customFormat="1" ht="15.5" x14ac:dyDescent="0.35">
      <c r="A1391" s="328" t="s">
        <v>2355</v>
      </c>
      <c r="B1391" s="1291">
        <v>0.10560322510941642</v>
      </c>
      <c r="C1391" s="1257">
        <v>0.26741810101733821</v>
      </c>
      <c r="D1391" s="1257">
        <v>0.11733691678824046</v>
      </c>
      <c r="E1391" s="1280">
        <v>0.78891476002573468</v>
      </c>
      <c r="F1391" s="1303">
        <v>5.4278137365973457E-2</v>
      </c>
      <c r="G1391" s="1288">
        <v>5.2440866198974173E-2</v>
      </c>
      <c r="H1391" s="1280">
        <v>0.49626025586823347</v>
      </c>
      <c r="I1391" s="1303">
        <v>6.4970198091619469E-2</v>
      </c>
      <c r="J1391" s="1288">
        <v>8.7286560318941511E-2</v>
      </c>
      <c r="K1391" s="1280">
        <v>0.82601325831233618</v>
      </c>
      <c r="L1391" s="1330">
        <v>0.19784030364643726</v>
      </c>
    </row>
    <row r="1392" spans="1:12" s="326" customFormat="1" ht="15.5" x14ac:dyDescent="0.35">
      <c r="A1392" s="328" t="s">
        <v>2356</v>
      </c>
      <c r="B1392" s="1291">
        <v>0.10560322510941642</v>
      </c>
      <c r="C1392" s="1257">
        <v>0.26741810101733821</v>
      </c>
      <c r="D1392" s="1257">
        <v>0.11733691678824046</v>
      </c>
      <c r="E1392" s="1280">
        <v>0.78891476002573468</v>
      </c>
      <c r="F1392" s="1303">
        <v>5.2742353972066051E-2</v>
      </c>
      <c r="G1392" s="1288">
        <v>4.9805650638955382E-2</v>
      </c>
      <c r="H1392" s="1280">
        <v>0.47132259097305568</v>
      </c>
      <c r="I1392" s="1303">
        <v>6.3339206220417971E-2</v>
      </c>
      <c r="J1392" s="1288">
        <v>8.5079978383214849E-2</v>
      </c>
      <c r="K1392" s="1280">
        <v>0.80513185425880529</v>
      </c>
      <c r="L1392" s="1330">
        <v>0.17892552532745643</v>
      </c>
    </row>
    <row r="1393" spans="1:12" s="326" customFormat="1" ht="15.5" x14ac:dyDescent="0.35">
      <c r="A1393" s="328" t="s">
        <v>2357</v>
      </c>
      <c r="B1393" s="1291">
        <v>0.10560322510941642</v>
      </c>
      <c r="C1393" s="1257">
        <v>0.26741810101733821</v>
      </c>
      <c r="D1393" s="1257">
        <v>0.11733691678824046</v>
      </c>
      <c r="E1393" s="1280">
        <v>0.78891476002573468</v>
      </c>
      <c r="F1393" s="1303">
        <v>5.133787300974247E-2</v>
      </c>
      <c r="G1393" s="1288">
        <v>4.7997908467862178E-2</v>
      </c>
      <c r="H1393" s="1280">
        <v>0.45421550145690165</v>
      </c>
      <c r="I1393" s="1303">
        <v>6.1773069523336423E-2</v>
      </c>
      <c r="J1393" s="1288">
        <v>8.2960280588151122E-2</v>
      </c>
      <c r="K1393" s="1280">
        <v>0.78507265527169479</v>
      </c>
      <c r="L1393" s="1330">
        <v>0.17892552532759889</v>
      </c>
    </row>
    <row r="1394" spans="1:12" s="326" customFormat="1" ht="15.5" x14ac:dyDescent="0.35">
      <c r="A1394" s="328" t="s">
        <v>2358</v>
      </c>
      <c r="B1394" s="1291">
        <v>0.10560322510941642</v>
      </c>
      <c r="C1394" s="1257">
        <v>0.26741810101733821</v>
      </c>
      <c r="D1394" s="1257">
        <v>0.11733691678824046</v>
      </c>
      <c r="E1394" s="1280">
        <v>0.78891476002573468</v>
      </c>
      <c r="F1394" s="1303">
        <v>4.9938864888850326E-2</v>
      </c>
      <c r="G1394" s="1288">
        <v>4.6338149639157687E-2</v>
      </c>
      <c r="H1394" s="1280">
        <v>0.43850881312938195</v>
      </c>
      <c r="I1394" s="1303">
        <v>6.0206844214787086E-2</v>
      </c>
      <c r="J1394" s="1288">
        <v>8.0844490670334571E-2</v>
      </c>
      <c r="K1394" s="1280">
        <v>0.76505043744647494</v>
      </c>
      <c r="L1394" s="1330">
        <v>0.17892552532762984</v>
      </c>
    </row>
    <row r="1395" spans="1:12" s="326" customFormat="1" ht="15.5" x14ac:dyDescent="0.35">
      <c r="A1395" s="328" t="s">
        <v>2359</v>
      </c>
      <c r="B1395" s="1287">
        <v>0.10560322510941642</v>
      </c>
      <c r="C1395" s="1288">
        <v>0.26741810101733821</v>
      </c>
      <c r="D1395" s="1288">
        <v>0.23771994196496626</v>
      </c>
      <c r="E1395" s="1306">
        <v>1.8982986073982515</v>
      </c>
      <c r="F1395" s="1303">
        <v>4.965853952341083E-2</v>
      </c>
      <c r="G1395" s="1288">
        <v>4.4725763178304019E-2</v>
      </c>
      <c r="H1395" s="1306">
        <v>0.42282393907909505</v>
      </c>
      <c r="I1395" s="1303">
        <v>6.0198952290616413E-2</v>
      </c>
      <c r="J1395" s="1288">
        <v>8.0810096665815498E-2</v>
      </c>
      <c r="K1395" s="1306">
        <v>0.59932144108384355</v>
      </c>
      <c r="L1395" s="1330">
        <v>0.16426368907680988</v>
      </c>
    </row>
    <row r="1396" spans="1:12" s="326" customFormat="1" ht="15.5" x14ac:dyDescent="0.35">
      <c r="A1396" s="328" t="s">
        <v>2360</v>
      </c>
      <c r="B1396" s="1287">
        <v>0.11818487793563599</v>
      </c>
      <c r="C1396" s="1288">
        <v>0.26789577915510748</v>
      </c>
      <c r="D1396" s="1288">
        <v>0.23885834833662958</v>
      </c>
      <c r="E1396" s="1306">
        <v>1.9530567921566884</v>
      </c>
      <c r="F1396" s="1303">
        <v>4.9402334915887233E-2</v>
      </c>
      <c r="G1396" s="1288">
        <v>4.3209636516492282E-2</v>
      </c>
      <c r="H1396" s="1306">
        <v>0.43065935008143041</v>
      </c>
      <c r="I1396" s="1303">
        <v>6.0190225694001807E-2</v>
      </c>
      <c r="J1396" s="1288">
        <v>8.0774618396312087E-2</v>
      </c>
      <c r="K1396" s="1306">
        <v>0.59938152971445036</v>
      </c>
      <c r="L1396" s="1330">
        <v>0.1632544409536387</v>
      </c>
    </row>
    <row r="1397" spans="1:12" s="326" customFormat="1" ht="15.5" x14ac:dyDescent="0.35">
      <c r="A1397" s="328" t="s">
        <v>2361</v>
      </c>
      <c r="B1397" s="1287">
        <v>0.11170694107772167</v>
      </c>
      <c r="C1397" s="1288">
        <v>0.23819004561345589</v>
      </c>
      <c r="D1397" s="1288">
        <v>0.23349729079729581</v>
      </c>
      <c r="E1397" s="1306">
        <v>1.9037842950590318</v>
      </c>
      <c r="F1397" s="1303">
        <v>4.9247552930897533E-2</v>
      </c>
      <c r="G1397" s="1288">
        <v>4.2686412587917007E-2</v>
      </c>
      <c r="H1397" s="1306">
        <v>0.44608431609563626</v>
      </c>
      <c r="I1397" s="1303">
        <v>6.0181349364183276E-2</v>
      </c>
      <c r="J1397" s="1288">
        <v>8.0739471453492112E-2</v>
      </c>
      <c r="K1397" s="1306">
        <v>0.59944321544118129</v>
      </c>
      <c r="L1397" s="1330">
        <v>0.16234611764288592</v>
      </c>
    </row>
    <row r="1398" spans="1:12" s="326" customFormat="1" ht="15.5" x14ac:dyDescent="0.35">
      <c r="A1398" s="328" t="s">
        <v>2362</v>
      </c>
      <c r="B1398" s="1287">
        <v>0.11989940299393936</v>
      </c>
      <c r="C1398" s="1288">
        <v>0.24169564272524433</v>
      </c>
      <c r="D1398" s="1288">
        <v>0.24721737239978514</v>
      </c>
      <c r="E1398" s="1306">
        <v>1.9140961818266244</v>
      </c>
      <c r="F1398" s="1303">
        <v>4.906233187873478E-2</v>
      </c>
      <c r="G1398" s="1288">
        <v>4.2465845697595206E-2</v>
      </c>
      <c r="H1398" s="1306">
        <v>0.46161542525723215</v>
      </c>
      <c r="I1398" s="1303">
        <v>6.0172717027966095E-2</v>
      </c>
      <c r="J1398" s="1288">
        <v>8.0705182607795203E-2</v>
      </c>
      <c r="K1398" s="1306">
        <v>0.59951029245992771</v>
      </c>
      <c r="L1398" s="1330">
        <v>0.15571111104900479</v>
      </c>
    </row>
    <row r="1399" spans="1:12" s="326" customFormat="1" ht="15.5" x14ac:dyDescent="0.35">
      <c r="A1399" s="328" t="s">
        <v>2363</v>
      </c>
      <c r="B1399" s="1287">
        <v>0.11349115391980492</v>
      </c>
      <c r="C1399" s="1288">
        <v>0.14636875209120256</v>
      </c>
      <c r="D1399" s="1288">
        <v>0.22151445984180079</v>
      </c>
      <c r="E1399" s="1306">
        <v>1.9033773886805783</v>
      </c>
      <c r="F1399" s="1303">
        <v>4.8881123719384974E-2</v>
      </c>
      <c r="G1399" s="1288">
        <v>4.2233289197704964E-2</v>
      </c>
      <c r="H1399" s="1306">
        <v>0.47291042020267715</v>
      </c>
      <c r="I1399" s="1303">
        <v>6.0164015905094986E-2</v>
      </c>
      <c r="J1399" s="1288">
        <v>8.0670532525580221E-2</v>
      </c>
      <c r="K1399" s="1306">
        <v>0.59958514775458005</v>
      </c>
      <c r="L1399" s="1330">
        <v>0.15500186719411715</v>
      </c>
    </row>
    <row r="1400" spans="1:12" s="326" customFormat="1" ht="15.5" x14ac:dyDescent="0.35">
      <c r="A1400" s="328" t="s">
        <v>2364</v>
      </c>
      <c r="B1400" s="1287">
        <v>0.10999192690320336</v>
      </c>
      <c r="C1400" s="1288">
        <v>0.13906696059337001</v>
      </c>
      <c r="D1400" s="1288">
        <v>0.24472901105551034</v>
      </c>
      <c r="E1400" s="1306">
        <v>1.940380148969707</v>
      </c>
      <c r="F1400" s="1303">
        <v>4.8661219178925248E-2</v>
      </c>
      <c r="G1400" s="1288">
        <v>4.2014882863358631E-2</v>
      </c>
      <c r="H1400" s="1306">
        <v>0.48159863010402337</v>
      </c>
      <c r="I1400" s="1303">
        <v>6.0155069361574325E-2</v>
      </c>
      <c r="J1400" s="1288">
        <v>8.0634545848290301E-2</v>
      </c>
      <c r="K1400" s="1306">
        <v>0.59963163670945574</v>
      </c>
      <c r="L1400" s="1330">
        <v>0.15436354772472796</v>
      </c>
    </row>
    <row r="1401" spans="1:12" s="326" customFormat="1" ht="15.5" x14ac:dyDescent="0.35">
      <c r="A1401" s="328" t="s">
        <v>2365</v>
      </c>
      <c r="B1401" s="1287">
        <v>6.4670367970624379E-2</v>
      </c>
      <c r="C1401" s="1288">
        <v>9.6670196058200528E-2</v>
      </c>
      <c r="D1401" s="1288">
        <v>9.6756978857270082E-2</v>
      </c>
      <c r="E1401" s="1306">
        <v>1.9224540488455977</v>
      </c>
      <c r="F1401" s="1303">
        <v>4.8452422908541029E-2</v>
      </c>
      <c r="G1401" s="1288">
        <v>4.1821418394328347E-2</v>
      </c>
      <c r="H1401" s="1306">
        <v>0.48838611364028556</v>
      </c>
      <c r="I1401" s="1303">
        <v>6.0145853207905546E-2</v>
      </c>
      <c r="J1401" s="1288">
        <v>8.0596791171212753E-2</v>
      </c>
      <c r="K1401" s="1306">
        <v>0.59969253467892181</v>
      </c>
      <c r="L1401" s="1330">
        <v>0.15378906020227809</v>
      </c>
    </row>
    <row r="1402" spans="1:12" s="326" customFormat="1" ht="15.5" x14ac:dyDescent="0.35">
      <c r="A1402" s="328" t="s">
        <v>2366</v>
      </c>
      <c r="B1402" s="1287">
        <v>6.5574775904484517E-2</v>
      </c>
      <c r="C1402" s="1288">
        <v>8.5462385374798583E-2</v>
      </c>
      <c r="D1402" s="1288">
        <v>9.5747102826723218E-2</v>
      </c>
      <c r="E1402" s="1306">
        <v>1.961352472788406</v>
      </c>
      <c r="F1402" s="1303">
        <v>4.8197880190371634E-2</v>
      </c>
      <c r="G1402" s="1288">
        <v>4.1613732514710601E-2</v>
      </c>
      <c r="H1402" s="1306">
        <v>0.4963675081662568</v>
      </c>
      <c r="I1402" s="1303">
        <v>6.0136359499249809E-2</v>
      </c>
      <c r="J1402" s="1288">
        <v>8.0557420775631175E-2</v>
      </c>
      <c r="K1402" s="1306">
        <v>0.59978493577672198</v>
      </c>
      <c r="L1402" s="1330">
        <v>0.15378906020227281</v>
      </c>
    </row>
    <row r="1403" spans="1:12" s="326" customFormat="1" ht="15.5" x14ac:dyDescent="0.35">
      <c r="A1403" s="328" t="s">
        <v>2367</v>
      </c>
      <c r="B1403" s="1287">
        <v>6.4735510931571649E-2</v>
      </c>
      <c r="C1403" s="1288">
        <v>9.3123421260194864E-2</v>
      </c>
      <c r="D1403" s="1288">
        <v>8.6720310669159764E-2</v>
      </c>
      <c r="E1403" s="1306">
        <v>1.8016062030031579</v>
      </c>
      <c r="F1403" s="1303">
        <v>4.7921712008656539E-2</v>
      </c>
      <c r="G1403" s="1288">
        <v>4.1400159277401032E-2</v>
      </c>
      <c r="H1403" s="1306">
        <v>0.50314818372025005</v>
      </c>
      <c r="I1403" s="1303">
        <v>6.0126249181726606E-2</v>
      </c>
      <c r="J1403" s="1288">
        <v>8.0516706620394812E-2</v>
      </c>
      <c r="K1403" s="1306">
        <v>0.59987181148605817</v>
      </c>
      <c r="L1403" s="1330">
        <v>0.15378906020227628</v>
      </c>
    </row>
    <row r="1404" spans="1:12" s="326" customFormat="1" ht="15.5" x14ac:dyDescent="0.35">
      <c r="A1404" s="328" t="s">
        <v>2368</v>
      </c>
      <c r="B1404" s="1287">
        <v>6.4815382071033018E-2</v>
      </c>
      <c r="C1404" s="1288">
        <v>8.5062175443363044E-2</v>
      </c>
      <c r="D1404" s="1288">
        <v>8.480755710652986E-2</v>
      </c>
      <c r="E1404" s="1306">
        <v>1.8717991672744294</v>
      </c>
      <c r="F1404" s="1303">
        <v>4.7586516905478694E-2</v>
      </c>
      <c r="G1404" s="1288">
        <v>4.1175524520203656E-2</v>
      </c>
      <c r="H1404" s="1306">
        <v>0.50861435672970234</v>
      </c>
      <c r="I1404" s="1303">
        <v>6.0115374730126452E-2</v>
      </c>
      <c r="J1404" s="1288">
        <v>8.0476147521150801E-2</v>
      </c>
      <c r="K1404" s="1306">
        <v>0.59999442675382331</v>
      </c>
      <c r="L1404" s="1330">
        <v>0.15378906020227345</v>
      </c>
    </row>
    <row r="1405" spans="1:12" s="326" customFormat="1" ht="15.5" x14ac:dyDescent="0.35">
      <c r="A1405" s="328" t="s">
        <v>2369</v>
      </c>
      <c r="B1405" s="1287">
        <v>6.4764370128812018E-2</v>
      </c>
      <c r="C1405" s="1288">
        <v>9.5942006188017487E-2</v>
      </c>
      <c r="D1405" s="1288">
        <v>8.3703654676388045E-2</v>
      </c>
      <c r="E1405" s="1306">
        <v>1.8163785563633781</v>
      </c>
      <c r="F1405" s="1303">
        <v>4.7253981000866974E-2</v>
      </c>
      <c r="G1405" s="1288">
        <v>4.0985832442221058E-2</v>
      </c>
      <c r="H1405" s="1306">
        <v>0.51422638330892767</v>
      </c>
      <c r="I1405" s="1303">
        <v>6.0103528356073431E-2</v>
      </c>
      <c r="J1405" s="1288">
        <v>8.0437364319754331E-2</v>
      </c>
      <c r="K1405" s="1306">
        <v>0.60014353158197131</v>
      </c>
      <c r="L1405" s="1330">
        <v>0.15378906020227215</v>
      </c>
    </row>
    <row r="1406" spans="1:12" s="326" customFormat="1" ht="15.5" x14ac:dyDescent="0.35">
      <c r="A1406" s="328" t="s">
        <v>2370</v>
      </c>
      <c r="B1406" s="1287">
        <v>6.4543330592285786E-2</v>
      </c>
      <c r="C1406" s="1288">
        <v>7.475606388087036E-2</v>
      </c>
      <c r="D1406" s="1288">
        <v>8.4374128745729124E-2</v>
      </c>
      <c r="E1406" s="1306">
        <v>1.8998878604840246</v>
      </c>
      <c r="F1406" s="1303">
        <v>4.6880521458551573E-2</v>
      </c>
      <c r="G1406" s="1288">
        <v>4.0794360828443149E-2</v>
      </c>
      <c r="H1406" s="1306">
        <v>0.51915035696860568</v>
      </c>
      <c r="I1406" s="1303">
        <v>6.0090123802811549E-2</v>
      </c>
      <c r="J1406" s="1288">
        <v>8.0400049831646392E-2</v>
      </c>
      <c r="K1406" s="1306">
        <v>0.60030276992462073</v>
      </c>
      <c r="L1406" s="1330">
        <v>0.15378906020227542</v>
      </c>
    </row>
    <row r="1407" spans="1:12" s="326" customFormat="1" ht="15.5" x14ac:dyDescent="0.35">
      <c r="A1407" s="328" t="s">
        <v>2371</v>
      </c>
      <c r="B1407" s="1287">
        <v>6.4638498242281378E-2</v>
      </c>
      <c r="C1407" s="1288">
        <v>9.1575881473201032E-2</v>
      </c>
      <c r="D1407" s="1288">
        <v>8.3844665776570973E-2</v>
      </c>
      <c r="E1407" s="1306">
        <v>1.9585972683089095</v>
      </c>
      <c r="F1407" s="1303">
        <v>4.6838253391173715E-2</v>
      </c>
      <c r="G1407" s="1288">
        <v>4.0765385592603627E-2</v>
      </c>
      <c r="H1407" s="1306">
        <v>0.51845705897546679</v>
      </c>
      <c r="I1407" s="1303">
        <v>6.0074205414864412E-2</v>
      </c>
      <c r="J1407" s="1288">
        <v>8.0359354832777466E-2</v>
      </c>
      <c r="K1407" s="1306">
        <v>0.60046432532116778</v>
      </c>
      <c r="L1407" s="1330">
        <v>0.15378906020227398</v>
      </c>
    </row>
    <row r="1408" spans="1:12" s="326" customFormat="1" ht="15.5" x14ac:dyDescent="0.35">
      <c r="A1408" s="328" t="s">
        <v>2372</v>
      </c>
      <c r="B1408" s="1287">
        <v>6.3966861657527282E-2</v>
      </c>
      <c r="C1408" s="1288">
        <v>8.2574382113290531E-2</v>
      </c>
      <c r="D1408" s="1288">
        <v>7.4458859469190564E-2</v>
      </c>
      <c r="E1408" s="1306">
        <v>1.992278511822914</v>
      </c>
      <c r="F1408" s="1303">
        <v>4.6810729157095762E-2</v>
      </c>
      <c r="G1408" s="1288">
        <v>4.0720045038674831E-2</v>
      </c>
      <c r="H1408" s="1306">
        <v>0.51752203274674624</v>
      </c>
      <c r="I1408" s="1303">
        <v>6.0053673723859037E-2</v>
      </c>
      <c r="J1408" s="1288">
        <v>8.0300127154281503E-2</v>
      </c>
      <c r="K1408" s="1306">
        <v>0.60057687120888359</v>
      </c>
      <c r="L1408" s="1330">
        <v>0.15378906020227523</v>
      </c>
    </row>
    <row r="1409" spans="1:12" s="326" customFormat="1" ht="15.5" x14ac:dyDescent="0.35">
      <c r="A1409" s="328" t="s">
        <v>2373</v>
      </c>
      <c r="B1409" s="1287">
        <v>6.4265435684909805E-2</v>
      </c>
      <c r="C1409" s="1288">
        <v>6.8329015392083872E-2</v>
      </c>
      <c r="D1409" s="1288">
        <v>8.5226293500462472E-2</v>
      </c>
      <c r="E1409" s="1306">
        <v>1.9380667153599387</v>
      </c>
      <c r="F1409" s="1303">
        <v>4.630906117402795E-2</v>
      </c>
      <c r="G1409" s="1288">
        <v>4.0457737827695038E-2</v>
      </c>
      <c r="H1409" s="1306">
        <v>0.50822094756152447</v>
      </c>
      <c r="I1409" s="1303">
        <v>6.0022815479161717E-2</v>
      </c>
      <c r="J1409" s="1288">
        <v>8.0185964425834394E-2</v>
      </c>
      <c r="K1409" s="1306">
        <v>0.60032675881165976</v>
      </c>
      <c r="L1409" s="1330">
        <v>0.15378971591856697</v>
      </c>
    </row>
    <row r="1410" spans="1:12" s="326" customFormat="1" ht="15.5" x14ac:dyDescent="0.35">
      <c r="A1410" s="328" t="s">
        <v>2374</v>
      </c>
      <c r="B1410" s="1291">
        <v>6.4265435684909805E-2</v>
      </c>
      <c r="C1410" s="1257">
        <v>6.8329015392083872E-2</v>
      </c>
      <c r="D1410" s="1257">
        <v>8.5226293500462472E-2</v>
      </c>
      <c r="E1410" s="1280">
        <v>1.9380667153599387</v>
      </c>
      <c r="F1410" s="1271">
        <v>4.630906117402795E-2</v>
      </c>
      <c r="G1410" s="1257">
        <v>4.0457737827695038E-2</v>
      </c>
      <c r="H1410" s="1280">
        <v>0.50822094756152447</v>
      </c>
      <c r="I1410" s="1271">
        <v>6.0022815479161717E-2</v>
      </c>
      <c r="J1410" s="1257">
        <v>8.0185964425834394E-2</v>
      </c>
      <c r="K1410" s="1280">
        <v>0.60032675881165976</v>
      </c>
      <c r="L1410" s="1330">
        <v>0.16102450444493482</v>
      </c>
    </row>
    <row r="1411" spans="1:12" s="326" customFormat="1" ht="15.5" x14ac:dyDescent="0.35">
      <c r="A1411" s="328" t="s">
        <v>2375</v>
      </c>
      <c r="B1411" s="1291">
        <v>0.11818487793563599</v>
      </c>
      <c r="C1411" s="1257">
        <v>0.26790180042573647</v>
      </c>
      <c r="D1411" s="1257">
        <v>0.13131653103959554</v>
      </c>
      <c r="E1411" s="1280">
        <v>0.88290669644472053</v>
      </c>
      <c r="F1411" s="1271">
        <v>5.7346102866147136E-2</v>
      </c>
      <c r="G1411" s="1257">
        <v>7.7511031333050678E-2</v>
      </c>
      <c r="H1411" s="1280">
        <v>0.733505127394384</v>
      </c>
      <c r="I1411" s="1271">
        <v>6.3789359513153496E-2</v>
      </c>
      <c r="J1411" s="1257">
        <v>0.13243427475197625</v>
      </c>
      <c r="K1411" s="1280">
        <v>1.2532567029837751</v>
      </c>
      <c r="L1411" s="1237">
        <v>0.17427029027010973</v>
      </c>
    </row>
    <row r="1412" spans="1:12" s="326" customFormat="1" ht="15.5" x14ac:dyDescent="0.35">
      <c r="A1412" s="328" t="s">
        <v>2376</v>
      </c>
      <c r="B1412" s="1291">
        <v>0.11818487793563599</v>
      </c>
      <c r="C1412" s="1257">
        <v>0.26790180042573647</v>
      </c>
      <c r="D1412" s="1257">
        <v>0.13131653103959554</v>
      </c>
      <c r="E1412" s="1280">
        <v>0.88290669644472053</v>
      </c>
      <c r="F1412" s="1271">
        <v>5.7346102866147136E-2</v>
      </c>
      <c r="G1412" s="1257">
        <v>7.7511031333050678E-2</v>
      </c>
      <c r="H1412" s="1280">
        <v>0.733505127394384</v>
      </c>
      <c r="I1412" s="1271">
        <v>6.3789359513153496E-2</v>
      </c>
      <c r="J1412" s="1257">
        <v>0.13243427475197625</v>
      </c>
      <c r="K1412" s="1280">
        <v>1.2532567029837751</v>
      </c>
      <c r="L1412" s="1237">
        <v>0.17427029027010973</v>
      </c>
    </row>
    <row r="1413" spans="1:12" s="326" customFormat="1" ht="15.5" x14ac:dyDescent="0.35">
      <c r="A1413" s="328" t="s">
        <v>2377</v>
      </c>
      <c r="B1413" s="1291">
        <v>0.11818487793563599</v>
      </c>
      <c r="C1413" s="1257">
        <v>0.26790180042573647</v>
      </c>
      <c r="D1413" s="1257">
        <v>0.13131653103959554</v>
      </c>
      <c r="E1413" s="1280">
        <v>0.88290669644472053</v>
      </c>
      <c r="F1413" s="1271">
        <v>5.7346102866147136E-2</v>
      </c>
      <c r="G1413" s="1257">
        <v>7.7511031333050678E-2</v>
      </c>
      <c r="H1413" s="1280">
        <v>0.733505127394384</v>
      </c>
      <c r="I1413" s="1271">
        <v>6.3789359513153496E-2</v>
      </c>
      <c r="J1413" s="1257">
        <v>0.13243427475197625</v>
      </c>
      <c r="K1413" s="1280">
        <v>1.2532567029837751</v>
      </c>
      <c r="L1413" s="1237">
        <v>0.17427029027010973</v>
      </c>
    </row>
    <row r="1414" spans="1:12" s="326" customFormat="1" ht="15.5" x14ac:dyDescent="0.35">
      <c r="A1414" s="328" t="s">
        <v>2378</v>
      </c>
      <c r="B1414" s="1291">
        <v>0.11818487793563599</v>
      </c>
      <c r="C1414" s="1257">
        <v>0.26790180042573647</v>
      </c>
      <c r="D1414" s="1257">
        <v>0.13131653103959554</v>
      </c>
      <c r="E1414" s="1280">
        <v>0.88290669644472053</v>
      </c>
      <c r="F1414" s="1271">
        <v>5.7346102866147136E-2</v>
      </c>
      <c r="G1414" s="1257">
        <v>7.7511031333050678E-2</v>
      </c>
      <c r="H1414" s="1280">
        <v>0.733505127394384</v>
      </c>
      <c r="I1414" s="1271">
        <v>6.3789359513153496E-2</v>
      </c>
      <c r="J1414" s="1257">
        <v>0.13243427475197625</v>
      </c>
      <c r="K1414" s="1280">
        <v>1.2532567029837751</v>
      </c>
      <c r="L1414" s="1237">
        <v>0.17427029027010973</v>
      </c>
    </row>
    <row r="1415" spans="1:12" s="326" customFormat="1" ht="15.5" x14ac:dyDescent="0.35">
      <c r="A1415" s="328" t="s">
        <v>2379</v>
      </c>
      <c r="B1415" s="1291">
        <v>0.11818487793563599</v>
      </c>
      <c r="C1415" s="1257">
        <v>0.26790180042573647</v>
      </c>
      <c r="D1415" s="1257">
        <v>0.13131653103959554</v>
      </c>
      <c r="E1415" s="1280">
        <v>0.88290669644472053</v>
      </c>
      <c r="F1415" s="1271">
        <v>5.7346102866147136E-2</v>
      </c>
      <c r="G1415" s="1257">
        <v>7.7511031333050678E-2</v>
      </c>
      <c r="H1415" s="1280">
        <v>0.733505127394384</v>
      </c>
      <c r="I1415" s="1271">
        <v>6.3789359513153496E-2</v>
      </c>
      <c r="J1415" s="1257">
        <v>0.13243427475197625</v>
      </c>
      <c r="K1415" s="1280">
        <v>1.2532567029837751</v>
      </c>
      <c r="L1415" s="1237">
        <v>0.17427029027010973</v>
      </c>
    </row>
    <row r="1416" spans="1:12" s="326" customFormat="1" ht="15.5" x14ac:dyDescent="0.35">
      <c r="A1416" s="328" t="s">
        <v>2380</v>
      </c>
      <c r="B1416" s="1291">
        <v>0.11818487793563599</v>
      </c>
      <c r="C1416" s="1257">
        <v>0.26790180042573647</v>
      </c>
      <c r="D1416" s="1257">
        <v>0.13131653103959554</v>
      </c>
      <c r="E1416" s="1280">
        <v>0.88290669644472053</v>
      </c>
      <c r="F1416" s="1271">
        <v>5.7346102866147136E-2</v>
      </c>
      <c r="G1416" s="1257">
        <v>7.7511031333050678E-2</v>
      </c>
      <c r="H1416" s="1280">
        <v>0.733505127394384</v>
      </c>
      <c r="I1416" s="1271">
        <v>6.3789359513153496E-2</v>
      </c>
      <c r="J1416" s="1257">
        <v>0.13243427475197625</v>
      </c>
      <c r="K1416" s="1280">
        <v>1.2532567029837751</v>
      </c>
      <c r="L1416" s="1237">
        <v>0.17427029027010973</v>
      </c>
    </row>
    <row r="1417" spans="1:12" s="326" customFormat="1" ht="15.5" x14ac:dyDescent="0.35">
      <c r="A1417" s="328" t="s">
        <v>2381</v>
      </c>
      <c r="B1417" s="1291">
        <v>0.11818487793563599</v>
      </c>
      <c r="C1417" s="1257">
        <v>0.26790180042573647</v>
      </c>
      <c r="D1417" s="1257">
        <v>0.13131653103959554</v>
      </c>
      <c r="E1417" s="1280">
        <v>0.88290669644472053</v>
      </c>
      <c r="F1417" s="1271">
        <v>5.7346102866147136E-2</v>
      </c>
      <c r="G1417" s="1257">
        <v>7.7511031333050678E-2</v>
      </c>
      <c r="H1417" s="1280">
        <v>0.733505127394384</v>
      </c>
      <c r="I1417" s="1271">
        <v>6.3789359513153496E-2</v>
      </c>
      <c r="J1417" s="1257">
        <v>0.13243427475197625</v>
      </c>
      <c r="K1417" s="1280">
        <v>1.2532567029837751</v>
      </c>
      <c r="L1417" s="1237">
        <v>0.17427029027010973</v>
      </c>
    </row>
    <row r="1418" spans="1:12" s="326" customFormat="1" ht="15.5" x14ac:dyDescent="0.35">
      <c r="A1418" s="328" t="s">
        <v>2382</v>
      </c>
      <c r="B1418" s="1291">
        <v>0.11818487793563599</v>
      </c>
      <c r="C1418" s="1257">
        <v>0.26790180042573647</v>
      </c>
      <c r="D1418" s="1257">
        <v>0.13131653103959554</v>
      </c>
      <c r="E1418" s="1280">
        <v>0.88290669644472053</v>
      </c>
      <c r="F1418" s="1271">
        <v>5.7346102866147136E-2</v>
      </c>
      <c r="G1418" s="1257">
        <v>7.7511031333050678E-2</v>
      </c>
      <c r="H1418" s="1280">
        <v>0.733505127394384</v>
      </c>
      <c r="I1418" s="1271">
        <v>6.3789359513153496E-2</v>
      </c>
      <c r="J1418" s="1257">
        <v>0.13243427475197625</v>
      </c>
      <c r="K1418" s="1280">
        <v>1.2532567029837751</v>
      </c>
      <c r="L1418" s="1237">
        <v>0.17427029027010973</v>
      </c>
    </row>
    <row r="1419" spans="1:12" s="326" customFormat="1" ht="15.5" x14ac:dyDescent="0.35">
      <c r="A1419" s="328" t="s">
        <v>2383</v>
      </c>
      <c r="B1419" s="1291">
        <v>0.11818487793563599</v>
      </c>
      <c r="C1419" s="1257">
        <v>0.26790180042573647</v>
      </c>
      <c r="D1419" s="1257">
        <v>0.13131653103959554</v>
      </c>
      <c r="E1419" s="1280">
        <v>0.88290669644472053</v>
      </c>
      <c r="F1419" s="1271">
        <v>5.7346102866147136E-2</v>
      </c>
      <c r="G1419" s="1257">
        <v>7.7511031333050678E-2</v>
      </c>
      <c r="H1419" s="1280">
        <v>0.733505127394384</v>
      </c>
      <c r="I1419" s="1271">
        <v>6.3789359513153496E-2</v>
      </c>
      <c r="J1419" s="1257">
        <v>0.13243427475197625</v>
      </c>
      <c r="K1419" s="1280">
        <v>1.2532567029837751</v>
      </c>
      <c r="L1419" s="1237">
        <v>0.17427029027010973</v>
      </c>
    </row>
    <row r="1420" spans="1:12" s="326" customFormat="1" ht="15.5" x14ac:dyDescent="0.35">
      <c r="A1420" s="328" t="s">
        <v>2384</v>
      </c>
      <c r="B1420" s="1291">
        <v>0.11818487793563599</v>
      </c>
      <c r="C1420" s="1257">
        <v>0.26790180042573647</v>
      </c>
      <c r="D1420" s="1257">
        <v>0.13131653103959554</v>
      </c>
      <c r="E1420" s="1280">
        <v>0.88290669644472053</v>
      </c>
      <c r="F1420" s="1271">
        <v>5.7346102866147136E-2</v>
      </c>
      <c r="G1420" s="1257">
        <v>7.7511031333050678E-2</v>
      </c>
      <c r="H1420" s="1280">
        <v>0.733505127394384</v>
      </c>
      <c r="I1420" s="1271">
        <v>6.3789359513153496E-2</v>
      </c>
      <c r="J1420" s="1257">
        <v>0.13243427475197625</v>
      </c>
      <c r="K1420" s="1280">
        <v>1.2532567029837751</v>
      </c>
      <c r="L1420" s="1237">
        <v>0.17427029027010973</v>
      </c>
    </row>
    <row r="1421" spans="1:12" s="326" customFormat="1" ht="15.5" x14ac:dyDescent="0.35">
      <c r="A1421" s="328" t="s">
        <v>2385</v>
      </c>
      <c r="B1421" s="1291">
        <v>0.11818487793563599</v>
      </c>
      <c r="C1421" s="1257">
        <v>0.26790180042573647</v>
      </c>
      <c r="D1421" s="1257">
        <v>0.13131653103959554</v>
      </c>
      <c r="E1421" s="1280">
        <v>0.88290669644472053</v>
      </c>
      <c r="F1421" s="1271">
        <v>5.7346102866147136E-2</v>
      </c>
      <c r="G1421" s="1257">
        <v>7.7511031333050678E-2</v>
      </c>
      <c r="H1421" s="1280">
        <v>0.733505127394384</v>
      </c>
      <c r="I1421" s="1271">
        <v>6.3789359513153496E-2</v>
      </c>
      <c r="J1421" s="1257">
        <v>0.13243427475197625</v>
      </c>
      <c r="K1421" s="1280">
        <v>1.2532567029837751</v>
      </c>
      <c r="L1421" s="1237">
        <v>0.17427029027010973</v>
      </c>
    </row>
    <row r="1422" spans="1:12" s="326" customFormat="1" ht="15.5" x14ac:dyDescent="0.35">
      <c r="A1422" s="328" t="s">
        <v>2386</v>
      </c>
      <c r="B1422" s="1291">
        <v>0.11818487793563599</v>
      </c>
      <c r="C1422" s="1257">
        <v>0.26790180042573647</v>
      </c>
      <c r="D1422" s="1257">
        <v>0.13131653103959554</v>
      </c>
      <c r="E1422" s="1280">
        <v>0.88290669644472053</v>
      </c>
      <c r="F1422" s="1271">
        <v>5.7346102866147136E-2</v>
      </c>
      <c r="G1422" s="1257">
        <v>7.7511031333050678E-2</v>
      </c>
      <c r="H1422" s="1280">
        <v>0.733505127394384</v>
      </c>
      <c r="I1422" s="1271">
        <v>6.3789359513153496E-2</v>
      </c>
      <c r="J1422" s="1257">
        <v>0.13243427475197625</v>
      </c>
      <c r="K1422" s="1280">
        <v>1.2532567029837751</v>
      </c>
      <c r="L1422" s="1237">
        <v>0.17427029027010973</v>
      </c>
    </row>
    <row r="1423" spans="1:12" s="326" customFormat="1" ht="15.5" x14ac:dyDescent="0.35">
      <c r="A1423" s="328" t="s">
        <v>2387</v>
      </c>
      <c r="B1423" s="1291">
        <v>0.11818487793563599</v>
      </c>
      <c r="C1423" s="1257">
        <v>0.26790180042573647</v>
      </c>
      <c r="D1423" s="1257">
        <v>0.13131653103959554</v>
      </c>
      <c r="E1423" s="1280">
        <v>0.88290669644472053</v>
      </c>
      <c r="F1423" s="1271">
        <v>5.7346102866147136E-2</v>
      </c>
      <c r="G1423" s="1257">
        <v>7.7511031333050678E-2</v>
      </c>
      <c r="H1423" s="1280">
        <v>0.733505127394384</v>
      </c>
      <c r="I1423" s="1271">
        <v>6.3789359513153496E-2</v>
      </c>
      <c r="J1423" s="1257">
        <v>0.13243427475197625</v>
      </c>
      <c r="K1423" s="1280">
        <v>1.2532567029837751</v>
      </c>
      <c r="L1423" s="1237">
        <v>0.17427029027010973</v>
      </c>
    </row>
    <row r="1424" spans="1:12" s="326" customFormat="1" ht="15.5" x14ac:dyDescent="0.35">
      <c r="A1424" s="328" t="s">
        <v>2388</v>
      </c>
      <c r="B1424" s="1291">
        <v>0.11818487793563599</v>
      </c>
      <c r="C1424" s="1257">
        <v>0.26790180042573647</v>
      </c>
      <c r="D1424" s="1257">
        <v>0.13131653103959554</v>
      </c>
      <c r="E1424" s="1280">
        <v>0.88290669644472053</v>
      </c>
      <c r="F1424" s="1271">
        <v>5.7346102866147136E-2</v>
      </c>
      <c r="G1424" s="1257">
        <v>7.7511031333050678E-2</v>
      </c>
      <c r="H1424" s="1280">
        <v>0.733505127394384</v>
      </c>
      <c r="I1424" s="1271">
        <v>6.3789359513153496E-2</v>
      </c>
      <c r="J1424" s="1257">
        <v>0.13243427475197625</v>
      </c>
      <c r="K1424" s="1280">
        <v>1.2532567029837751</v>
      </c>
      <c r="L1424" s="1237">
        <v>0.17427029027010973</v>
      </c>
    </row>
    <row r="1425" spans="1:12" s="326" customFormat="1" ht="15.5" x14ac:dyDescent="0.35">
      <c r="A1425" s="328" t="s">
        <v>2389</v>
      </c>
      <c r="B1425" s="1291">
        <v>0.11818487793563599</v>
      </c>
      <c r="C1425" s="1257">
        <v>0.26790180042573647</v>
      </c>
      <c r="D1425" s="1257">
        <v>0.13131653103959554</v>
      </c>
      <c r="E1425" s="1280">
        <v>0.88290669644472053</v>
      </c>
      <c r="F1425" s="1271">
        <v>5.7346102866147136E-2</v>
      </c>
      <c r="G1425" s="1257">
        <v>7.7511031333050678E-2</v>
      </c>
      <c r="H1425" s="1280">
        <v>0.733505127394384</v>
      </c>
      <c r="I1425" s="1271">
        <v>6.3789359513153496E-2</v>
      </c>
      <c r="J1425" s="1257">
        <v>0.13243427475197625</v>
      </c>
      <c r="K1425" s="1280">
        <v>1.2532567029837751</v>
      </c>
      <c r="L1425" s="1237">
        <v>0.17427029027010973</v>
      </c>
    </row>
    <row r="1426" spans="1:12" s="326" customFormat="1" ht="15.5" x14ac:dyDescent="0.35">
      <c r="A1426" s="328" t="s">
        <v>2390</v>
      </c>
      <c r="B1426" s="1291">
        <v>0.11818487793563599</v>
      </c>
      <c r="C1426" s="1257">
        <v>0.26790180042573647</v>
      </c>
      <c r="D1426" s="1257">
        <v>0.13131653103959554</v>
      </c>
      <c r="E1426" s="1280">
        <v>0.88290669644472053</v>
      </c>
      <c r="F1426" s="1271">
        <v>5.7346102866147136E-2</v>
      </c>
      <c r="G1426" s="1257">
        <v>7.7511031333050678E-2</v>
      </c>
      <c r="H1426" s="1280">
        <v>0.733505127394384</v>
      </c>
      <c r="I1426" s="1271">
        <v>6.3789359513153496E-2</v>
      </c>
      <c r="J1426" s="1257">
        <v>0.13243427475197625</v>
      </c>
      <c r="K1426" s="1280">
        <v>1.2532567029837751</v>
      </c>
      <c r="L1426" s="1237">
        <v>0.17427029027010973</v>
      </c>
    </row>
    <row r="1427" spans="1:12" s="326" customFormat="1" ht="15.5" x14ac:dyDescent="0.35">
      <c r="A1427" s="328" t="s">
        <v>2391</v>
      </c>
      <c r="B1427" s="1291">
        <v>0.11818487793563599</v>
      </c>
      <c r="C1427" s="1257">
        <v>0.26790180042573647</v>
      </c>
      <c r="D1427" s="1257">
        <v>0.13131653103959554</v>
      </c>
      <c r="E1427" s="1280">
        <v>0.88290669644472053</v>
      </c>
      <c r="F1427" s="1271">
        <v>5.7346102866147136E-2</v>
      </c>
      <c r="G1427" s="1257">
        <v>7.7511031333050678E-2</v>
      </c>
      <c r="H1427" s="1280">
        <v>0.733505127394384</v>
      </c>
      <c r="I1427" s="1271">
        <v>6.3789359513153496E-2</v>
      </c>
      <c r="J1427" s="1257">
        <v>0.13243427475197625</v>
      </c>
      <c r="K1427" s="1280">
        <v>1.2532567029837751</v>
      </c>
      <c r="L1427" s="1237">
        <v>0.17427029027010973</v>
      </c>
    </row>
    <row r="1428" spans="1:12" s="326" customFormat="1" ht="15.5" x14ac:dyDescent="0.35">
      <c r="A1428" s="328" t="s">
        <v>2392</v>
      </c>
      <c r="B1428" s="1291">
        <v>0.11818487793563599</v>
      </c>
      <c r="C1428" s="1257">
        <v>0.26790180042573647</v>
      </c>
      <c r="D1428" s="1257">
        <v>0.13131653103959554</v>
      </c>
      <c r="E1428" s="1280">
        <v>0.88290669644472053</v>
      </c>
      <c r="F1428" s="1271">
        <v>5.7346102866147136E-2</v>
      </c>
      <c r="G1428" s="1257">
        <v>7.7511031333050678E-2</v>
      </c>
      <c r="H1428" s="1280">
        <v>0.733505127394384</v>
      </c>
      <c r="I1428" s="1271">
        <v>6.3789359513153496E-2</v>
      </c>
      <c r="J1428" s="1257">
        <v>0.13243427475197625</v>
      </c>
      <c r="K1428" s="1280">
        <v>1.2532567029837751</v>
      </c>
      <c r="L1428" s="1237">
        <v>0.17427029027010973</v>
      </c>
    </row>
    <row r="1429" spans="1:12" s="326" customFormat="1" ht="15.5" x14ac:dyDescent="0.35">
      <c r="A1429" s="328" t="s">
        <v>2393</v>
      </c>
      <c r="B1429" s="1291">
        <v>0.11818487793563599</v>
      </c>
      <c r="C1429" s="1257">
        <v>0.26790180042573647</v>
      </c>
      <c r="D1429" s="1257">
        <v>0.13131653103959554</v>
      </c>
      <c r="E1429" s="1280">
        <v>0.88290669644472053</v>
      </c>
      <c r="F1429" s="1271">
        <v>5.7346102866147136E-2</v>
      </c>
      <c r="G1429" s="1257">
        <v>7.7511031333050678E-2</v>
      </c>
      <c r="H1429" s="1280">
        <v>0.733505127394384</v>
      </c>
      <c r="I1429" s="1271">
        <v>6.3789359513153496E-2</v>
      </c>
      <c r="J1429" s="1257">
        <v>0.13243427475197625</v>
      </c>
      <c r="K1429" s="1280">
        <v>1.2532567029837751</v>
      </c>
      <c r="L1429" s="1237">
        <v>0.17427029027010973</v>
      </c>
    </row>
    <row r="1430" spans="1:12" s="326" customFormat="1" ht="15.5" x14ac:dyDescent="0.35">
      <c r="A1430" s="328" t="s">
        <v>2394</v>
      </c>
      <c r="B1430" s="1291">
        <v>0.11818487793563599</v>
      </c>
      <c r="C1430" s="1257">
        <v>0.26790180042573647</v>
      </c>
      <c r="D1430" s="1257">
        <v>0.13131653103959554</v>
      </c>
      <c r="E1430" s="1280">
        <v>0.88290669644472053</v>
      </c>
      <c r="F1430" s="1271">
        <v>5.7346102866147136E-2</v>
      </c>
      <c r="G1430" s="1257">
        <v>7.7511031333050678E-2</v>
      </c>
      <c r="H1430" s="1280">
        <v>0.733505127394384</v>
      </c>
      <c r="I1430" s="1271">
        <v>6.3789359513153496E-2</v>
      </c>
      <c r="J1430" s="1257">
        <v>0.13243427475197625</v>
      </c>
      <c r="K1430" s="1280">
        <v>1.2532567029837751</v>
      </c>
      <c r="L1430" s="1237">
        <v>0.17427029027010973</v>
      </c>
    </row>
    <row r="1431" spans="1:12" s="326" customFormat="1" ht="15.5" x14ac:dyDescent="0.35">
      <c r="A1431" s="328" t="s">
        <v>2395</v>
      </c>
      <c r="B1431" s="1291">
        <v>0.11818487793563599</v>
      </c>
      <c r="C1431" s="1257">
        <v>0.26790180042573647</v>
      </c>
      <c r="D1431" s="1257">
        <v>0.13131653103959554</v>
      </c>
      <c r="E1431" s="1280">
        <v>0.88290669644472053</v>
      </c>
      <c r="F1431" s="1271">
        <v>5.7346102866147136E-2</v>
      </c>
      <c r="G1431" s="1257">
        <v>7.7511031333050678E-2</v>
      </c>
      <c r="H1431" s="1280">
        <v>0.733505127394384</v>
      </c>
      <c r="I1431" s="1271">
        <v>6.3789359513153496E-2</v>
      </c>
      <c r="J1431" s="1257">
        <v>0.13243427475197625</v>
      </c>
      <c r="K1431" s="1280">
        <v>1.2532567029837751</v>
      </c>
      <c r="L1431" s="1237">
        <v>0.17427029027010973</v>
      </c>
    </row>
    <row r="1432" spans="1:12" s="326" customFormat="1" ht="15.5" x14ac:dyDescent="0.35">
      <c r="A1432" s="328" t="s">
        <v>2396</v>
      </c>
      <c r="B1432" s="1291">
        <v>0.11818487793563599</v>
      </c>
      <c r="C1432" s="1257">
        <v>0.26790180042573647</v>
      </c>
      <c r="D1432" s="1257">
        <v>0.13131653103959554</v>
      </c>
      <c r="E1432" s="1280">
        <v>0.88290669644472053</v>
      </c>
      <c r="F1432" s="1271">
        <v>5.7346102866147136E-2</v>
      </c>
      <c r="G1432" s="1257">
        <v>7.7511031333050678E-2</v>
      </c>
      <c r="H1432" s="1280">
        <v>0.733505127394384</v>
      </c>
      <c r="I1432" s="1271">
        <v>6.3789359513153496E-2</v>
      </c>
      <c r="J1432" s="1257">
        <v>0.13243427475197625</v>
      </c>
      <c r="K1432" s="1280">
        <v>1.2532567029837751</v>
      </c>
      <c r="L1432" s="1237">
        <v>0.17427029027010973</v>
      </c>
    </row>
    <row r="1433" spans="1:12" s="326" customFormat="1" ht="15.5" x14ac:dyDescent="0.35">
      <c r="A1433" s="328" t="s">
        <v>2397</v>
      </c>
      <c r="B1433" s="1291">
        <v>0.11818487793563599</v>
      </c>
      <c r="C1433" s="1257">
        <v>0.26790180042573647</v>
      </c>
      <c r="D1433" s="1257">
        <v>0.13131653103959554</v>
      </c>
      <c r="E1433" s="1280">
        <v>0.88290669644472053</v>
      </c>
      <c r="F1433" s="1271">
        <v>5.7346102866147136E-2</v>
      </c>
      <c r="G1433" s="1257">
        <v>7.7511031333050678E-2</v>
      </c>
      <c r="H1433" s="1280">
        <v>0.733505127394384</v>
      </c>
      <c r="I1433" s="1271">
        <v>6.3789359513153496E-2</v>
      </c>
      <c r="J1433" s="1257">
        <v>0.13243427475197625</v>
      </c>
      <c r="K1433" s="1280">
        <v>1.2532567029837751</v>
      </c>
      <c r="L1433" s="1237">
        <v>0.17427029027010973</v>
      </c>
    </row>
    <row r="1434" spans="1:12" s="326" customFormat="1" ht="15.5" x14ac:dyDescent="0.35">
      <c r="A1434" s="328" t="s">
        <v>2398</v>
      </c>
      <c r="B1434" s="1291">
        <v>0.11818487793563599</v>
      </c>
      <c r="C1434" s="1257">
        <v>0.26790180042573647</v>
      </c>
      <c r="D1434" s="1257">
        <v>0.13131653103959554</v>
      </c>
      <c r="E1434" s="1280">
        <v>0.88290669644472053</v>
      </c>
      <c r="F1434" s="1271">
        <v>5.7346102866147136E-2</v>
      </c>
      <c r="G1434" s="1257">
        <v>7.7511031333050678E-2</v>
      </c>
      <c r="H1434" s="1280">
        <v>0.733505127394384</v>
      </c>
      <c r="I1434" s="1271">
        <v>6.3789359513153496E-2</v>
      </c>
      <c r="J1434" s="1257">
        <v>0.13243427475197625</v>
      </c>
      <c r="K1434" s="1280">
        <v>1.2532567029837751</v>
      </c>
      <c r="L1434" s="1237">
        <v>0.17427029027010973</v>
      </c>
    </row>
    <row r="1435" spans="1:12" s="326" customFormat="1" ht="15.5" x14ac:dyDescent="0.35">
      <c r="A1435" s="328" t="s">
        <v>2399</v>
      </c>
      <c r="B1435" s="1291">
        <v>0.11818487793563599</v>
      </c>
      <c r="C1435" s="1257">
        <v>0.26790180042573647</v>
      </c>
      <c r="D1435" s="1257">
        <v>0.13131653103959554</v>
      </c>
      <c r="E1435" s="1280">
        <v>0.88290669644472053</v>
      </c>
      <c r="F1435" s="1303">
        <v>5.7346102866147136E-2</v>
      </c>
      <c r="G1435" s="1288">
        <v>7.7511031333050678E-2</v>
      </c>
      <c r="H1435" s="1280">
        <v>0.733505127394384</v>
      </c>
      <c r="I1435" s="1303">
        <v>6.3789359513153496E-2</v>
      </c>
      <c r="J1435" s="1288">
        <v>0.13243427475197625</v>
      </c>
      <c r="K1435" s="1280">
        <v>1.2532567029837751</v>
      </c>
      <c r="L1435" s="1237">
        <v>0.17427029027010973</v>
      </c>
    </row>
    <row r="1436" spans="1:12" s="326" customFormat="1" ht="15.5" x14ac:dyDescent="0.35">
      <c r="A1436" s="328" t="s">
        <v>2400</v>
      </c>
      <c r="B1436" s="1291">
        <v>0.11818487793563599</v>
      </c>
      <c r="C1436" s="1257">
        <v>0.26790180042573647</v>
      </c>
      <c r="D1436" s="1257">
        <v>0.13131653103959554</v>
      </c>
      <c r="E1436" s="1280">
        <v>0.88290669644472053</v>
      </c>
      <c r="F1436" s="1303">
        <v>5.7627634057656175E-2</v>
      </c>
      <c r="G1436" s="1288">
        <v>7.5395424135928285E-2</v>
      </c>
      <c r="H1436" s="1280">
        <v>0.71348463869808598</v>
      </c>
      <c r="I1436" s="1303">
        <v>6.3940865799392621E-2</v>
      </c>
      <c r="J1436" s="1288">
        <v>0.13128677957723223</v>
      </c>
      <c r="K1436" s="1280">
        <v>1.242397686146308</v>
      </c>
      <c r="L1436" s="1237">
        <v>0.17427029027010973</v>
      </c>
    </row>
    <row r="1437" spans="1:12" s="326" customFormat="1" ht="15.5" x14ac:dyDescent="0.35">
      <c r="A1437" s="328" t="s">
        <v>2401</v>
      </c>
      <c r="B1437" s="1291">
        <v>0.11818487793563599</v>
      </c>
      <c r="C1437" s="1257">
        <v>0.26790180042573647</v>
      </c>
      <c r="D1437" s="1257">
        <v>0.13131653103959554</v>
      </c>
      <c r="E1437" s="1280">
        <v>0.88290669644472053</v>
      </c>
      <c r="F1437" s="1303">
        <v>5.7849489561327433E-2</v>
      </c>
      <c r="G1437" s="1288">
        <v>7.4982701220248332E-2</v>
      </c>
      <c r="H1437" s="1280">
        <v>0.70957894463573234</v>
      </c>
      <c r="I1437" s="1303">
        <v>6.4137752782156693E-2</v>
      </c>
      <c r="J1437" s="1288">
        <v>0.12948902656162595</v>
      </c>
      <c r="K1437" s="1280">
        <v>1.2253851263589159</v>
      </c>
      <c r="L1437" s="1237">
        <v>0.17427029027010973</v>
      </c>
    </row>
    <row r="1438" spans="1:12" s="326" customFormat="1" ht="15.5" x14ac:dyDescent="0.35">
      <c r="A1438" s="328" t="s">
        <v>2402</v>
      </c>
      <c r="B1438" s="1291">
        <v>0.11818487793563599</v>
      </c>
      <c r="C1438" s="1257">
        <v>0.26790180042573647</v>
      </c>
      <c r="D1438" s="1257">
        <v>0.13131653103959554</v>
      </c>
      <c r="E1438" s="1280">
        <v>0.88290669644472053</v>
      </c>
      <c r="F1438" s="1303">
        <v>5.7775035304712986E-2</v>
      </c>
      <c r="G1438" s="1288">
        <v>7.0754484194646028E-2</v>
      </c>
      <c r="H1438" s="1280">
        <v>0.66956633204786342</v>
      </c>
      <c r="I1438" s="1303">
        <v>6.4250945144455354E-2</v>
      </c>
      <c r="J1438" s="1288">
        <v>0.13005104280418631</v>
      </c>
      <c r="K1438" s="1280">
        <v>1.2307036183013806</v>
      </c>
      <c r="L1438" s="1237">
        <v>0.17427029027010973</v>
      </c>
    </row>
    <row r="1439" spans="1:12" s="326" customFormat="1" ht="15.5" x14ac:dyDescent="0.35">
      <c r="A1439" s="328" t="s">
        <v>2403</v>
      </c>
      <c r="B1439" s="1291">
        <v>0.11818487793563599</v>
      </c>
      <c r="C1439" s="1257">
        <v>0.26790180042573647</v>
      </c>
      <c r="D1439" s="1257">
        <v>0.13131653103959554</v>
      </c>
      <c r="E1439" s="1280">
        <v>0.88290669644472053</v>
      </c>
      <c r="F1439" s="1303">
        <v>5.7811731838116144E-2</v>
      </c>
      <c r="G1439" s="1288">
        <v>7.0097713794474867E-2</v>
      </c>
      <c r="H1439" s="1280">
        <v>0.66335115921683208</v>
      </c>
      <c r="I1439" s="1303">
        <v>6.4004201788783466E-2</v>
      </c>
      <c r="J1439" s="1288">
        <v>0.13000965148848384</v>
      </c>
      <c r="K1439" s="1280">
        <v>1.2303119225417551</v>
      </c>
      <c r="L1439" s="1237">
        <v>0.17427029027010973</v>
      </c>
    </row>
    <row r="1440" spans="1:12" s="326" customFormat="1" ht="15.5" x14ac:dyDescent="0.35">
      <c r="A1440" s="328" t="s">
        <v>2404</v>
      </c>
      <c r="B1440" s="1291">
        <v>0.11818487793563599</v>
      </c>
      <c r="C1440" s="1257">
        <v>0.26790180042573647</v>
      </c>
      <c r="D1440" s="1257">
        <v>0.13131653103959554</v>
      </c>
      <c r="E1440" s="1280">
        <v>0.88290669644472053</v>
      </c>
      <c r="F1440" s="1303">
        <v>5.7650761392270856E-2</v>
      </c>
      <c r="G1440" s="1288">
        <v>7.5887882290839759E-2</v>
      </c>
      <c r="H1440" s="1280">
        <v>0.71814488609052041</v>
      </c>
      <c r="I1440" s="1303">
        <v>6.3536264020324584E-2</v>
      </c>
      <c r="J1440" s="1288">
        <v>0.13062813291289302</v>
      </c>
      <c r="K1440" s="1280">
        <v>1.2361647577859802</v>
      </c>
      <c r="L1440" s="1237">
        <v>0.17427029027010973</v>
      </c>
    </row>
    <row r="1441" spans="1:12" s="326" customFormat="1" ht="15.5" x14ac:dyDescent="0.35">
      <c r="A1441" s="328" t="s">
        <v>2405</v>
      </c>
      <c r="B1441" s="1291">
        <v>0.11818487793563599</v>
      </c>
      <c r="C1441" s="1257">
        <v>0.26790180042573647</v>
      </c>
      <c r="D1441" s="1257">
        <v>0.13131653103959554</v>
      </c>
      <c r="E1441" s="1280">
        <v>0.88290669644472053</v>
      </c>
      <c r="F1441" s="1303">
        <v>5.7784196925988789E-2</v>
      </c>
      <c r="G1441" s="1288">
        <v>7.4331233432451987E-2</v>
      </c>
      <c r="H1441" s="1280">
        <v>0.70341395167327725</v>
      </c>
      <c r="I1441" s="1303">
        <v>6.3912723025314352E-2</v>
      </c>
      <c r="J1441" s="1288">
        <v>0.13074321492198926</v>
      </c>
      <c r="K1441" s="1280">
        <v>1.2372538059161777</v>
      </c>
      <c r="L1441" s="1237">
        <v>0.17427029027010973</v>
      </c>
    </row>
    <row r="1442" spans="1:12" s="326" customFormat="1" ht="15.5" x14ac:dyDescent="0.35">
      <c r="A1442" s="328" t="s">
        <v>2406</v>
      </c>
      <c r="B1442" s="1291">
        <v>0.11818487793563599</v>
      </c>
      <c r="C1442" s="1257">
        <v>0.26790180042573647</v>
      </c>
      <c r="D1442" s="1257">
        <v>0.13131653103959554</v>
      </c>
      <c r="E1442" s="1280">
        <v>0.88290669644472053</v>
      </c>
      <c r="F1442" s="1303">
        <v>5.7572725493507448E-2</v>
      </c>
      <c r="G1442" s="1288">
        <v>7.2984982112608107E-2</v>
      </c>
      <c r="H1442" s="1280">
        <v>0.69067405866857812</v>
      </c>
      <c r="I1442" s="1303">
        <v>6.3856456845705373E-2</v>
      </c>
      <c r="J1442" s="1288">
        <v>0.13060341749662616</v>
      </c>
      <c r="K1442" s="1280">
        <v>1.2359308699864548</v>
      </c>
      <c r="L1442" s="1237">
        <v>0.17427029027010973</v>
      </c>
    </row>
    <row r="1443" spans="1:12" s="326" customFormat="1" ht="15.5" x14ac:dyDescent="0.35">
      <c r="A1443" s="328" t="s">
        <v>2407</v>
      </c>
      <c r="B1443" s="1291">
        <v>0.11818487793563599</v>
      </c>
      <c r="C1443" s="1257">
        <v>0.26790180042573647</v>
      </c>
      <c r="D1443" s="1257">
        <v>0.13131653103959554</v>
      </c>
      <c r="E1443" s="1280">
        <v>0.88290669644472053</v>
      </c>
      <c r="F1443" s="1303">
        <v>5.7381053089569693E-2</v>
      </c>
      <c r="G1443" s="1288">
        <v>7.3988532588127306E-2</v>
      </c>
      <c r="H1443" s="1280">
        <v>0.70017089294793999</v>
      </c>
      <c r="I1443" s="1303">
        <v>6.3462891078418834E-2</v>
      </c>
      <c r="J1443" s="1288">
        <v>0.12987041337686744</v>
      </c>
      <c r="K1443" s="1280">
        <v>1.2289942795296207</v>
      </c>
      <c r="L1443" s="1237">
        <v>0.17427029027010973</v>
      </c>
    </row>
    <row r="1444" spans="1:12" s="326" customFormat="1" ht="15.5" x14ac:dyDescent="0.35">
      <c r="A1444" s="328" t="s">
        <v>2408</v>
      </c>
      <c r="B1444" s="1291">
        <v>0.11818487793563599</v>
      </c>
      <c r="C1444" s="1257">
        <v>0.26790180042573647</v>
      </c>
      <c r="D1444" s="1257">
        <v>0.13131653103959554</v>
      </c>
      <c r="E1444" s="1280">
        <v>0.88290669644472053</v>
      </c>
      <c r="F1444" s="1303">
        <v>4.9202049504581437E-2</v>
      </c>
      <c r="G1444" s="1288">
        <v>7.3559026388848398E-2</v>
      </c>
      <c r="H1444" s="1280">
        <v>0.69610637472388148</v>
      </c>
      <c r="I1444" s="1303">
        <v>6.9399910534839265E-2</v>
      </c>
      <c r="J1444" s="1288">
        <v>0.12891040775441004</v>
      </c>
      <c r="K1444" s="1280">
        <v>1.2199095204406305</v>
      </c>
      <c r="L1444" s="1237">
        <v>0.17427029027010973</v>
      </c>
    </row>
    <row r="1445" spans="1:12" s="326" customFormat="1" ht="15.5" x14ac:dyDescent="0.35">
      <c r="A1445" s="328" t="s">
        <v>2409</v>
      </c>
      <c r="B1445" s="1291">
        <v>0.11818487793563599</v>
      </c>
      <c r="C1445" s="1257">
        <v>0.26790180042573647</v>
      </c>
      <c r="D1445" s="1257">
        <v>0.13131653103959554</v>
      </c>
      <c r="E1445" s="1280">
        <v>0.88290669644472053</v>
      </c>
      <c r="F1445" s="1303">
        <v>4.9386056468229723E-2</v>
      </c>
      <c r="G1445" s="1288">
        <v>7.1805441722519014E-2</v>
      </c>
      <c r="H1445" s="1280">
        <v>0.67951179041824983</v>
      </c>
      <c r="I1445" s="1303">
        <v>6.9226335574995704E-2</v>
      </c>
      <c r="J1445" s="1288">
        <v>0.12943154692826075</v>
      </c>
      <c r="K1445" s="1280">
        <v>1.2248411830637616</v>
      </c>
      <c r="L1445" s="1237">
        <v>0.17427029027010973</v>
      </c>
    </row>
    <row r="1446" spans="1:12" s="326" customFormat="1" ht="15.5" x14ac:dyDescent="0.35">
      <c r="A1446" s="328" t="s">
        <v>2410</v>
      </c>
      <c r="B1446" s="1291">
        <v>0.11818487793563599</v>
      </c>
      <c r="C1446" s="1257">
        <v>0.26790180042573647</v>
      </c>
      <c r="D1446" s="1257">
        <v>0.13131653103959554</v>
      </c>
      <c r="E1446" s="1280">
        <v>0.88290669644472053</v>
      </c>
      <c r="F1446" s="1303">
        <v>4.9144298169727485E-2</v>
      </c>
      <c r="G1446" s="1288">
        <v>7.7336299850838383E-2</v>
      </c>
      <c r="H1446" s="1280">
        <v>0.73185160226491908</v>
      </c>
      <c r="I1446" s="1303">
        <v>6.8946671422553008E-2</v>
      </c>
      <c r="J1446" s="1288">
        <v>0.12967201114071442</v>
      </c>
      <c r="K1446" s="1280">
        <v>1.2271167524860254</v>
      </c>
      <c r="L1446" s="1237">
        <v>0.17427029027010973</v>
      </c>
    </row>
    <row r="1447" spans="1:12" s="326" customFormat="1" ht="15.5" x14ac:dyDescent="0.35">
      <c r="A1447" s="328" t="s">
        <v>2411</v>
      </c>
      <c r="B1447" s="1291">
        <v>0.11818487793563599</v>
      </c>
      <c r="C1447" s="1257">
        <v>0.26790180042573647</v>
      </c>
      <c r="D1447" s="1257">
        <v>0.13131653103959554</v>
      </c>
      <c r="E1447" s="1280">
        <v>0.88290669644472053</v>
      </c>
      <c r="F1447" s="1303">
        <v>5.9023757774299121E-2</v>
      </c>
      <c r="G1447" s="1288">
        <v>7.1455902208031899E-2</v>
      </c>
      <c r="H1447" s="1280">
        <v>0.67620401574806654</v>
      </c>
      <c r="I1447" s="1303">
        <v>7.475005900108618E-2</v>
      </c>
      <c r="J1447" s="1288">
        <v>0.13052826026966496</v>
      </c>
      <c r="K1447" s="1280">
        <v>1.2352196394636676</v>
      </c>
      <c r="L1447" s="1237">
        <v>0.17427029027010973</v>
      </c>
    </row>
    <row r="1448" spans="1:12" s="326" customFormat="1" ht="15.5" x14ac:dyDescent="0.35">
      <c r="A1448" s="328" t="s">
        <v>2412</v>
      </c>
      <c r="B1448" s="1291">
        <v>0.11818487793563599</v>
      </c>
      <c r="C1448" s="1257">
        <v>0.26790180042573647</v>
      </c>
      <c r="D1448" s="1257">
        <v>0.13131653103959554</v>
      </c>
      <c r="E1448" s="1280">
        <v>0.88290669644472053</v>
      </c>
      <c r="F1448" s="1303">
        <v>5.9099272583399261E-2</v>
      </c>
      <c r="G1448" s="1288">
        <v>6.9716805382740943E-2</v>
      </c>
      <c r="H1448" s="1280">
        <v>0.65974653329108512</v>
      </c>
      <c r="I1448" s="1303">
        <v>7.5513367028558029E-2</v>
      </c>
      <c r="J1448" s="1288">
        <v>0.11575993732728353</v>
      </c>
      <c r="K1448" s="1280">
        <v>1.0954635245603963</v>
      </c>
      <c r="L1448" s="1237">
        <v>0.17427029027010973</v>
      </c>
    </row>
    <row r="1449" spans="1:12" s="326" customFormat="1" ht="15.5" x14ac:dyDescent="0.35">
      <c r="A1449" s="328" t="s">
        <v>2413</v>
      </c>
      <c r="B1449" s="1291">
        <v>0.11818487793563599</v>
      </c>
      <c r="C1449" s="1257">
        <v>0.26790180042573647</v>
      </c>
      <c r="D1449" s="1257">
        <v>0.13131653103959554</v>
      </c>
      <c r="E1449" s="1280">
        <v>0.88290669644472053</v>
      </c>
      <c r="F1449" s="1303">
        <v>5.9023756146915352E-2</v>
      </c>
      <c r="G1449" s="1288">
        <v>6.3163736083334435E-2</v>
      </c>
      <c r="H1449" s="1280">
        <v>0.59773329661214269</v>
      </c>
      <c r="I1449" s="1303">
        <v>7.5305323456248047E-2</v>
      </c>
      <c r="J1449" s="1288">
        <v>9.9349515052271284E-2</v>
      </c>
      <c r="K1449" s="1280">
        <v>0.94016783729612607</v>
      </c>
      <c r="L1449" s="1237">
        <v>0.17427029027010973</v>
      </c>
    </row>
    <row r="1450" spans="1:12" s="326" customFormat="1" ht="15.5" x14ac:dyDescent="0.35">
      <c r="A1450" s="328" t="s">
        <v>2414</v>
      </c>
      <c r="B1450" s="1291">
        <v>0.11818487793563599</v>
      </c>
      <c r="C1450" s="1257">
        <v>0.26790180042573647</v>
      </c>
      <c r="D1450" s="1257">
        <v>0.13131653103959554</v>
      </c>
      <c r="E1450" s="1280">
        <v>0.88290669644472053</v>
      </c>
      <c r="F1450" s="1303">
        <v>6.5816180993693352E-2</v>
      </c>
      <c r="G1450" s="1288">
        <v>5.8524612324700458E-2</v>
      </c>
      <c r="H1450" s="1280">
        <v>0.553832176925658</v>
      </c>
      <c r="I1450" s="1303">
        <v>8.08237555818095E-2</v>
      </c>
      <c r="J1450" s="1288">
        <v>9.9320701302162515E-2</v>
      </c>
      <c r="K1450" s="1280">
        <v>0.93989516599914091</v>
      </c>
      <c r="L1450" s="1237">
        <v>0.17427029027010973</v>
      </c>
    </row>
    <row r="1451" spans="1:12" s="326" customFormat="1" ht="15.5" x14ac:dyDescent="0.35">
      <c r="A1451" s="328" t="s">
        <v>2415</v>
      </c>
      <c r="B1451" s="1291">
        <v>0.11818487793563599</v>
      </c>
      <c r="C1451" s="1257">
        <v>0.26790180042573647</v>
      </c>
      <c r="D1451" s="1257">
        <v>0.13131653103959554</v>
      </c>
      <c r="E1451" s="1280">
        <v>0.88290669644472053</v>
      </c>
      <c r="F1451" s="1303">
        <v>6.7459190529047613E-2</v>
      </c>
      <c r="G1451" s="1288">
        <v>5.9090198911425314E-2</v>
      </c>
      <c r="H1451" s="1280">
        <v>0.55918445587503218</v>
      </c>
      <c r="I1451" s="1303">
        <v>8.0521488333115773E-2</v>
      </c>
      <c r="J1451" s="1288">
        <v>0.10104872086286702</v>
      </c>
      <c r="K1451" s="1280">
        <v>0.95624782169492528</v>
      </c>
      <c r="L1451" s="1330">
        <v>0.17427029027010973</v>
      </c>
    </row>
    <row r="1452" spans="1:12" s="326" customFormat="1" ht="15.5" x14ac:dyDescent="0.35">
      <c r="A1452" s="328" t="s">
        <v>2416</v>
      </c>
      <c r="B1452" s="1291">
        <v>0.11818487793563599</v>
      </c>
      <c r="C1452" s="1257">
        <v>0.26790180042573647</v>
      </c>
      <c r="D1452" s="1257">
        <v>0.13131653103959554</v>
      </c>
      <c r="E1452" s="1280">
        <v>0.88290669644472053</v>
      </c>
      <c r="F1452" s="1303">
        <v>6.1223325863592429E-2</v>
      </c>
      <c r="G1452" s="1288">
        <v>5.9472356094619767E-2</v>
      </c>
      <c r="H1452" s="1280">
        <v>0.5628008992189385</v>
      </c>
      <c r="I1452" s="1303">
        <v>8.0758550483488692E-2</v>
      </c>
      <c r="J1452" s="1288">
        <v>0.10096570848421439</v>
      </c>
      <c r="K1452" s="1280">
        <v>0.95546225602341117</v>
      </c>
      <c r="L1452" s="1330">
        <v>0.17348358044254203</v>
      </c>
    </row>
    <row r="1453" spans="1:12" s="326" customFormat="1" ht="15.5" x14ac:dyDescent="0.35">
      <c r="A1453" s="328" t="s">
        <v>2417</v>
      </c>
      <c r="B1453" s="1291">
        <v>0.11818487793563599</v>
      </c>
      <c r="C1453" s="1257">
        <v>0.26790180042573647</v>
      </c>
      <c r="D1453" s="1257">
        <v>0.13131653103959554</v>
      </c>
      <c r="E1453" s="1280">
        <v>0.88290669644472053</v>
      </c>
      <c r="F1453" s="1303">
        <v>6.6565018448816904E-2</v>
      </c>
      <c r="G1453" s="1288">
        <v>5.8383714283323292E-2</v>
      </c>
      <c r="H1453" s="1280">
        <v>0.55249882560762553</v>
      </c>
      <c r="I1453" s="1303">
        <v>8.0685404293233426E-2</v>
      </c>
      <c r="J1453" s="1288">
        <v>0.10133829311548462</v>
      </c>
      <c r="K1453" s="1280">
        <v>0.95898811205609347</v>
      </c>
      <c r="L1453" s="1330">
        <v>0.16373765956334682</v>
      </c>
    </row>
    <row r="1454" spans="1:12" s="326" customFormat="1" ht="15.5" x14ac:dyDescent="0.35">
      <c r="A1454" s="328" t="s">
        <v>2418</v>
      </c>
      <c r="B1454" s="1291">
        <v>0.11818487793563599</v>
      </c>
      <c r="C1454" s="1257">
        <v>0.26790180042573647</v>
      </c>
      <c r="D1454" s="1257">
        <v>0.13131653103959554</v>
      </c>
      <c r="E1454" s="1280">
        <v>0.88290669644472053</v>
      </c>
      <c r="F1454" s="1303">
        <v>6.1976194487525789E-2</v>
      </c>
      <c r="G1454" s="1288">
        <v>5.6065732972488291E-2</v>
      </c>
      <c r="H1454" s="1280">
        <v>0.5305632230558267</v>
      </c>
      <c r="I1454" s="1303">
        <v>7.8488745763295287E-2</v>
      </c>
      <c r="J1454" s="1288">
        <v>9.8800305356151336E-2</v>
      </c>
      <c r="K1454" s="1280">
        <v>0.93497053671593222</v>
      </c>
      <c r="L1454" s="1330">
        <v>0.1931659589596933</v>
      </c>
    </row>
    <row r="1455" spans="1:12" s="326" customFormat="1" ht="15.5" x14ac:dyDescent="0.35">
      <c r="A1455" s="328" t="s">
        <v>2419</v>
      </c>
      <c r="B1455" s="1291">
        <v>0.11818487793563599</v>
      </c>
      <c r="C1455" s="1257">
        <v>0.26790180042573647</v>
      </c>
      <c r="D1455" s="1257">
        <v>0.13131653103959554</v>
      </c>
      <c r="E1455" s="1280">
        <v>0.88290669644472053</v>
      </c>
      <c r="F1455" s="1303">
        <v>5.970639897600994E-2</v>
      </c>
      <c r="G1455" s="1288">
        <v>5.6499019631544044E-2</v>
      </c>
      <c r="H1455" s="1280">
        <v>0.53466351666027334</v>
      </c>
      <c r="I1455" s="1303">
        <v>7.8007814391478525E-2</v>
      </c>
      <c r="J1455" s="1288">
        <v>9.958641865348021E-2</v>
      </c>
      <c r="K1455" s="1280">
        <v>0.94240971181638988</v>
      </c>
      <c r="L1455" s="1330">
        <v>0.19316595895970093</v>
      </c>
    </row>
    <row r="1456" spans="1:12" s="326" customFormat="1" ht="15.5" x14ac:dyDescent="0.35">
      <c r="A1456" s="328" t="s">
        <v>2420</v>
      </c>
      <c r="B1456" s="1291">
        <v>0.11818487793563599</v>
      </c>
      <c r="C1456" s="1257">
        <v>0.26790180042573647</v>
      </c>
      <c r="D1456" s="1257">
        <v>0.13131653103959554</v>
      </c>
      <c r="E1456" s="1280">
        <v>0.88290669644472053</v>
      </c>
      <c r="F1456" s="1303">
        <v>6.1295556995307289E-2</v>
      </c>
      <c r="G1456" s="1288">
        <v>5.6824058412014385E-2</v>
      </c>
      <c r="H1456" s="1280">
        <v>0.53773943511957734</v>
      </c>
      <c r="I1456" s="1303">
        <v>7.5645482672393349E-2</v>
      </c>
      <c r="J1456" s="1288">
        <v>9.6865421384744965E-2</v>
      </c>
      <c r="K1456" s="1280">
        <v>0.91666027442769682</v>
      </c>
      <c r="L1456" s="1330">
        <v>0.19316595895967323</v>
      </c>
    </row>
    <row r="1457" spans="1:12" s="326" customFormat="1" ht="15.5" x14ac:dyDescent="0.35">
      <c r="A1457" s="328" t="s">
        <v>2421</v>
      </c>
      <c r="B1457" s="1291">
        <v>0.11818487793563599</v>
      </c>
      <c r="C1457" s="1257">
        <v>0.26790180042573647</v>
      </c>
      <c r="D1457" s="1257">
        <v>0.13131653103959554</v>
      </c>
      <c r="E1457" s="1280">
        <v>0.88290669644472053</v>
      </c>
      <c r="F1457" s="1303">
        <v>6.0024624753333922E-2</v>
      </c>
      <c r="G1457" s="1288">
        <v>5.5989000374405219E-2</v>
      </c>
      <c r="H1457" s="1280">
        <v>0.52983708442543764</v>
      </c>
      <c r="I1457" s="1303">
        <v>7.2883615220834821E-2</v>
      </c>
      <c r="J1457" s="1288">
        <v>9.5478832994524768E-2</v>
      </c>
      <c r="K1457" s="1280">
        <v>0.90353866223495116</v>
      </c>
      <c r="L1457" s="1330">
        <v>0.19784022389959213</v>
      </c>
    </row>
    <row r="1458" spans="1:12" s="326" customFormat="1" ht="15.5" x14ac:dyDescent="0.35">
      <c r="A1458" s="328" t="s">
        <v>2422</v>
      </c>
      <c r="B1458" s="1291">
        <v>0.11818487793563599</v>
      </c>
      <c r="C1458" s="1257">
        <v>0.26790180042573647</v>
      </c>
      <c r="D1458" s="1257">
        <v>0.13131653103959554</v>
      </c>
      <c r="E1458" s="1280">
        <v>0.88290669644472053</v>
      </c>
      <c r="F1458" s="1303">
        <v>5.5124733553856997E-2</v>
      </c>
      <c r="G1458" s="1288">
        <v>5.4640789345167445E-2</v>
      </c>
      <c r="H1458" s="1280">
        <v>0.51707864622963606</v>
      </c>
      <c r="I1458" s="1303">
        <v>6.8366842716010914E-2</v>
      </c>
      <c r="J1458" s="1288">
        <v>9.090748324852671E-2</v>
      </c>
      <c r="K1458" s="1280">
        <v>0.86027890397686679</v>
      </c>
      <c r="L1458" s="1330">
        <v>0.19784022389962405</v>
      </c>
    </row>
    <row r="1459" spans="1:12" s="326" customFormat="1" ht="15.5" x14ac:dyDescent="0.35">
      <c r="A1459" s="328" t="s">
        <v>2423</v>
      </c>
      <c r="B1459" s="1291">
        <v>0.11818487793563599</v>
      </c>
      <c r="C1459" s="1257">
        <v>0.26790180042573647</v>
      </c>
      <c r="D1459" s="1257">
        <v>0.13131653103959554</v>
      </c>
      <c r="E1459" s="1280">
        <v>0.88290669644472053</v>
      </c>
      <c r="F1459" s="1303">
        <v>5.7395904903746839E-2</v>
      </c>
      <c r="G1459" s="1288">
        <v>5.2708330228420107E-2</v>
      </c>
      <c r="H1459" s="1280">
        <v>0.49879133091159322</v>
      </c>
      <c r="I1459" s="1303">
        <v>6.8442516146798929E-2</v>
      </c>
      <c r="J1459" s="1288">
        <v>9.005193581651097E-2</v>
      </c>
      <c r="K1459" s="1280">
        <v>0.8521826573224236</v>
      </c>
      <c r="L1459" s="1330">
        <v>0.19784022389943898</v>
      </c>
    </row>
    <row r="1460" spans="1:12" s="326" customFormat="1" ht="15.5" x14ac:dyDescent="0.35">
      <c r="A1460" s="328" t="s">
        <v>2424</v>
      </c>
      <c r="B1460" s="1291">
        <v>0.11818487793563599</v>
      </c>
      <c r="C1460" s="1257">
        <v>0.26790180042573647</v>
      </c>
      <c r="D1460" s="1257">
        <v>0.13131653103959554</v>
      </c>
      <c r="E1460" s="1280">
        <v>0.88290669644472053</v>
      </c>
      <c r="F1460" s="1303">
        <v>5.4342006530342268E-2</v>
      </c>
      <c r="G1460" s="1288">
        <v>5.2542807100812175E-2</v>
      </c>
      <c r="H1460" s="1280">
        <v>0.49722494660842109</v>
      </c>
      <c r="I1460" s="1303">
        <v>6.4994065965470887E-2</v>
      </c>
      <c r="J1460" s="1288">
        <v>8.7356205050637584E-2</v>
      </c>
      <c r="K1460" s="1280">
        <v>0.82667232279537195</v>
      </c>
      <c r="L1460" s="1330">
        <v>0.19784022389960979</v>
      </c>
    </row>
    <row r="1461" spans="1:12" s="326" customFormat="1" ht="15.5" x14ac:dyDescent="0.35">
      <c r="A1461" s="328" t="s">
        <v>2425</v>
      </c>
      <c r="B1461" s="1291">
        <v>0.11818487793563599</v>
      </c>
      <c r="C1461" s="1257">
        <v>0.26790180042573647</v>
      </c>
      <c r="D1461" s="1257">
        <v>0.13131653103959554</v>
      </c>
      <c r="E1461" s="1280">
        <v>0.88290669644472053</v>
      </c>
      <c r="F1461" s="1303">
        <v>5.2838757651081765E-2</v>
      </c>
      <c r="G1461" s="1288">
        <v>4.9944530599126263E-2</v>
      </c>
      <c r="H1461" s="1280">
        <v>0.47263684471379042</v>
      </c>
      <c r="I1461" s="1303">
        <v>6.3362406776004548E-2</v>
      </c>
      <c r="J1461" s="1288">
        <v>8.5148406426985415E-2</v>
      </c>
      <c r="K1461" s="1280">
        <v>0.80577940493772227</v>
      </c>
      <c r="L1461" s="1330">
        <v>0.1789254532049275</v>
      </c>
    </row>
    <row r="1462" spans="1:12" s="326" customFormat="1" ht="15.5" x14ac:dyDescent="0.35">
      <c r="A1462" s="328" t="s">
        <v>2426</v>
      </c>
      <c r="B1462" s="1291">
        <v>0.11818487793563599</v>
      </c>
      <c r="C1462" s="1257">
        <v>0.26790180042573647</v>
      </c>
      <c r="D1462" s="1257">
        <v>0.13131653103959554</v>
      </c>
      <c r="E1462" s="1280">
        <v>0.88290669644472053</v>
      </c>
      <c r="F1462" s="1303">
        <v>5.1417542588925447E-2</v>
      </c>
      <c r="G1462" s="1288">
        <v>4.8113033746037641E-2</v>
      </c>
      <c r="H1462" s="1280">
        <v>0.45530495905257684</v>
      </c>
      <c r="I1462" s="1303">
        <v>6.1795654748630267E-2</v>
      </c>
      <c r="J1462" s="1288">
        <v>8.3027311027952161E-2</v>
      </c>
      <c r="K1462" s="1280">
        <v>0.78570698009540019</v>
      </c>
      <c r="L1462" s="1330">
        <v>0.17892545320507</v>
      </c>
    </row>
    <row r="1463" spans="1:12" s="326" customFormat="1" ht="15.5" x14ac:dyDescent="0.35">
      <c r="A1463" s="328" t="s">
        <v>2427</v>
      </c>
      <c r="B1463" s="1291">
        <v>0.11818487793563599</v>
      </c>
      <c r="C1463" s="1257">
        <v>0.26790180042573647</v>
      </c>
      <c r="D1463" s="1257">
        <v>0.13131653103959554</v>
      </c>
      <c r="E1463" s="1280">
        <v>0.88290669644472053</v>
      </c>
      <c r="F1463" s="1303">
        <v>5.0013630678629267E-2</v>
      </c>
      <c r="G1463" s="1288">
        <v>4.6424543593046479E-2</v>
      </c>
      <c r="H1463" s="1280">
        <v>0.43932637944302078</v>
      </c>
      <c r="I1463" s="1303">
        <v>6.0228846905647115E-2</v>
      </c>
      <c r="J1463" s="1288">
        <v>8.0909974124628414E-2</v>
      </c>
      <c r="K1463" s="1280">
        <v>0.76567012278232915</v>
      </c>
      <c r="L1463" s="1330">
        <v>0.17892545320510081</v>
      </c>
    </row>
    <row r="1464" spans="1:12" s="326" customFormat="1" ht="15.5" x14ac:dyDescent="0.35">
      <c r="A1464" s="328" t="s">
        <v>2428</v>
      </c>
      <c r="B1464" s="1291">
        <v>0.11818487793563599</v>
      </c>
      <c r="C1464" s="1257">
        <v>0.26790180042573647</v>
      </c>
      <c r="D1464" s="1257">
        <v>0.13131653103959554</v>
      </c>
      <c r="E1464" s="1280">
        <v>0.88290669644472053</v>
      </c>
      <c r="F1464" s="1303">
        <v>4.9722058517148303E-2</v>
      </c>
      <c r="G1464" s="1288">
        <v>4.4819802431809296E-2</v>
      </c>
      <c r="H1464" s="1306">
        <v>0.4234984416597275</v>
      </c>
      <c r="I1464" s="1303">
        <v>6.0220973453324576E-2</v>
      </c>
      <c r="J1464" s="1288">
        <v>8.0875095774128408E-2</v>
      </c>
      <c r="K1464" s="1306">
        <v>0.59936820571202998</v>
      </c>
      <c r="L1464" s="1330">
        <v>0.16538500921567625</v>
      </c>
    </row>
    <row r="1465" spans="1:12" s="326" customFormat="1" ht="15.5" x14ac:dyDescent="0.35">
      <c r="A1465" s="328" t="s">
        <v>2429</v>
      </c>
      <c r="B1465" s="1287">
        <v>0.11818487793563599</v>
      </c>
      <c r="C1465" s="1288">
        <v>0.26790180042573647</v>
      </c>
      <c r="D1465" s="1288">
        <v>0.23885834833662958</v>
      </c>
      <c r="E1465" s="1306">
        <v>1.9530567921566884</v>
      </c>
      <c r="F1465" s="1303">
        <v>4.9479725528170523E-2</v>
      </c>
      <c r="G1465" s="1288">
        <v>4.3289531125629159E-2</v>
      </c>
      <c r="H1465" s="1306">
        <v>0.4313891342659012</v>
      </c>
      <c r="I1465" s="1303">
        <v>6.021230354113323E-2</v>
      </c>
      <c r="J1465" s="1288">
        <v>8.0839006558037482E-2</v>
      </c>
      <c r="K1465" s="1306">
        <v>0.59939255791197243</v>
      </c>
      <c r="L1465" s="1330">
        <v>0.16426362910612197</v>
      </c>
    </row>
    <row r="1466" spans="1:12" s="326" customFormat="1" ht="15.5" x14ac:dyDescent="0.35">
      <c r="A1466" s="328" t="s">
        <v>2430</v>
      </c>
      <c r="B1466" s="1287">
        <v>0.11170694107772167</v>
      </c>
      <c r="C1466" s="1288">
        <v>0.23819398168084782</v>
      </c>
      <c r="D1466" s="1288">
        <v>0.23349729079729581</v>
      </c>
      <c r="E1466" s="1306">
        <v>1.9037842950590318</v>
      </c>
      <c r="F1466" s="1303">
        <v>4.9305357185731327E-2</v>
      </c>
      <c r="G1466" s="1288">
        <v>4.2759537505478389E-2</v>
      </c>
      <c r="H1466" s="1306">
        <v>0.4467496956500781</v>
      </c>
      <c r="I1466" s="1303">
        <v>6.0203526213484571E-2</v>
      </c>
      <c r="J1466" s="1288">
        <v>8.0803375033039457E-2</v>
      </c>
      <c r="K1466" s="1306">
        <v>0.59945284182707981</v>
      </c>
      <c r="L1466" s="1330">
        <v>0.16325438700762629</v>
      </c>
    </row>
    <row r="1467" spans="1:12" s="326" customFormat="1" ht="15.5" x14ac:dyDescent="0.35">
      <c r="A1467" s="328" t="s">
        <v>2431</v>
      </c>
      <c r="B1467" s="1287">
        <v>0.11989940299393936</v>
      </c>
      <c r="C1467" s="1288">
        <v>0.2417008025848347</v>
      </c>
      <c r="D1467" s="1288">
        <v>0.24721737239978514</v>
      </c>
      <c r="E1467" s="1306">
        <v>1.9140961818266244</v>
      </c>
      <c r="F1467" s="1303">
        <v>4.9130950966271417E-2</v>
      </c>
      <c r="G1467" s="1288">
        <v>4.2536041521583495E-2</v>
      </c>
      <c r="H1467" s="1306">
        <v>0.46242962747224697</v>
      </c>
      <c r="I1467" s="1303">
        <v>6.0195044396390139E-2</v>
      </c>
      <c r="J1467" s="1288">
        <v>8.0769035059274158E-2</v>
      </c>
      <c r="K1467" s="1306">
        <v>0.59951691679364594</v>
      </c>
      <c r="L1467" s="1330">
        <v>0.15649911300033695</v>
      </c>
    </row>
    <row r="1468" spans="1:12" s="326" customFormat="1" ht="15.5" x14ac:dyDescent="0.35">
      <c r="A1468" s="328" t="s">
        <v>2432</v>
      </c>
      <c r="B1468" s="1287">
        <v>0.11428808520896638</v>
      </c>
      <c r="C1468" s="1288">
        <v>0.23822085385679553</v>
      </c>
      <c r="D1468" s="1288">
        <v>0.24827114987948251</v>
      </c>
      <c r="E1468" s="1306">
        <v>1.9033773886805812</v>
      </c>
      <c r="F1468" s="1303">
        <v>4.8929653914881251E-2</v>
      </c>
      <c r="G1468" s="1288">
        <v>4.2312637362774984E-2</v>
      </c>
      <c r="H1468" s="1306">
        <v>0.47373284129282778</v>
      </c>
      <c r="I1468" s="1303">
        <v>6.0186555367485413E-2</v>
      </c>
      <c r="J1468" s="1288">
        <v>8.0735016009212041E-2</v>
      </c>
      <c r="K1468" s="1306">
        <v>0.59958505497184877</v>
      </c>
      <c r="L1468" s="1330">
        <v>0.1557110689768311</v>
      </c>
    </row>
    <row r="1469" spans="1:12" s="326" customFormat="1" ht="15.5" x14ac:dyDescent="0.35">
      <c r="A1469" s="328" t="s">
        <v>2433</v>
      </c>
      <c r="B1469" s="1287">
        <v>0.10999192690320417</v>
      </c>
      <c r="C1469" s="1288">
        <v>0.13907004284683067</v>
      </c>
      <c r="D1469" s="1288">
        <v>0.24472901105551034</v>
      </c>
      <c r="E1469" s="1306">
        <v>1.940380148969707</v>
      </c>
      <c r="F1469" s="1303">
        <v>4.8730606326765027E-2</v>
      </c>
      <c r="G1469" s="1288">
        <v>4.2078228511597295E-2</v>
      </c>
      <c r="H1469" s="1306">
        <v>0.48242793989029498</v>
      </c>
      <c r="I1469" s="1303">
        <v>6.0177897861388968E-2</v>
      </c>
      <c r="J1469" s="1288">
        <v>8.0700429640988114E-2</v>
      </c>
      <c r="K1469" s="1306">
        <v>0.59966040216632976</v>
      </c>
      <c r="L1469" s="1330">
        <v>0.15500182935568382</v>
      </c>
    </row>
    <row r="1470" spans="1:12" s="326" customFormat="1" ht="15.5" x14ac:dyDescent="0.35">
      <c r="A1470" s="328" t="s">
        <v>2434</v>
      </c>
      <c r="B1470" s="1287">
        <v>6.4670367970624379E-2</v>
      </c>
      <c r="C1470" s="1288">
        <v>9.6672293272530255E-2</v>
      </c>
      <c r="D1470" s="1288">
        <v>9.6756978857270082E-2</v>
      </c>
      <c r="E1470" s="1306">
        <v>1.9224540488455895</v>
      </c>
      <c r="F1470" s="1303">
        <v>4.8488795687874731E-2</v>
      </c>
      <c r="G1470" s="1288">
        <v>4.1860724455398735E-2</v>
      </c>
      <c r="H1470" s="1306">
        <v>0.48861403304387341</v>
      </c>
      <c r="I1470" s="1303">
        <v>6.0169065791915236E-2</v>
      </c>
      <c r="J1470" s="1288">
        <v>8.0664654547863771E-2</v>
      </c>
      <c r="K1470" s="1306">
        <v>0.59970774806921912</v>
      </c>
      <c r="L1470" s="1330">
        <v>0.15436351369665194</v>
      </c>
    </row>
    <row r="1471" spans="1:12" s="326" customFormat="1" ht="15.5" x14ac:dyDescent="0.35">
      <c r="A1471" s="328" t="s">
        <v>2435</v>
      </c>
      <c r="B1471" s="1287">
        <v>6.5574775904484517E-2</v>
      </c>
      <c r="C1471" s="1288">
        <v>8.5464447865556584E-2</v>
      </c>
      <c r="D1471" s="1288">
        <v>9.5747102826723218E-2</v>
      </c>
      <c r="E1471" s="1306">
        <v>1.961352472788406</v>
      </c>
      <c r="F1471" s="1303">
        <v>4.8255779442537089E-2</v>
      </c>
      <c r="G1471" s="1288">
        <v>4.1653504679862362E-2</v>
      </c>
      <c r="H1471" s="1306">
        <v>0.49691107851036331</v>
      </c>
      <c r="I1471" s="1303">
        <v>6.0160081088273566E-2</v>
      </c>
      <c r="J1471" s="1288">
        <v>8.0627351478777212E-2</v>
      </c>
      <c r="K1471" s="1306">
        <v>0.59977012510559946</v>
      </c>
      <c r="L1471" s="1330">
        <v>0.15378902960351398</v>
      </c>
    </row>
    <row r="1472" spans="1:12" s="326" customFormat="1" ht="15.5" x14ac:dyDescent="0.35">
      <c r="A1472" s="328" t="s">
        <v>2436</v>
      </c>
      <c r="B1472" s="1287">
        <v>6.4735510931571649E-2</v>
      </c>
      <c r="C1472" s="1288">
        <v>9.312490646374115E-2</v>
      </c>
      <c r="D1472" s="1288">
        <v>8.6720310669159764E-2</v>
      </c>
      <c r="E1472" s="1306">
        <v>1.8016062030031579</v>
      </c>
      <c r="F1472" s="1303">
        <v>4.7970961754751601E-2</v>
      </c>
      <c r="G1472" s="1288">
        <v>4.1444852686657527E-2</v>
      </c>
      <c r="H1472" s="1306">
        <v>0.50376052588964171</v>
      </c>
      <c r="I1472" s="1303">
        <v>6.0150646465974893E-2</v>
      </c>
      <c r="J1472" s="1288">
        <v>8.0588065340052945E-2</v>
      </c>
      <c r="K1472" s="1306">
        <v>0.59986315157407244</v>
      </c>
      <c r="L1472" s="1330">
        <v>0.15378902960351779</v>
      </c>
    </row>
    <row r="1473" spans="1:12" s="326" customFormat="1" ht="15.5" x14ac:dyDescent="0.35">
      <c r="A1473" s="328" t="s">
        <v>2437</v>
      </c>
      <c r="B1473" s="1287">
        <v>6.4815382071033018E-2</v>
      </c>
      <c r="C1473" s="1288">
        <v>8.5062171529580982E-2</v>
      </c>
      <c r="D1473" s="1288">
        <v>8.480755710652986E-2</v>
      </c>
      <c r="E1473" s="1306">
        <v>1.8717991672744294</v>
      </c>
      <c r="F1473" s="1303">
        <v>4.7658699320435649E-2</v>
      </c>
      <c r="G1473" s="1288">
        <v>4.1230951152081752E-2</v>
      </c>
      <c r="H1473" s="1306">
        <v>0.50962922489534723</v>
      </c>
      <c r="I1473" s="1303">
        <v>6.0140681174494087E-2</v>
      </c>
      <c r="J1473" s="1288">
        <v>8.0547627050684842E-2</v>
      </c>
      <c r="K1473" s="1306">
        <v>0.5999510386315805</v>
      </c>
      <c r="L1473" s="1330">
        <v>0.15378902960351604</v>
      </c>
    </row>
    <row r="1474" spans="1:12" s="326" customFormat="1" ht="15.5" x14ac:dyDescent="0.35">
      <c r="A1474" s="328" t="s">
        <v>2438</v>
      </c>
      <c r="B1474" s="1287">
        <v>6.4764370128812018E-2</v>
      </c>
      <c r="C1474" s="1288">
        <v>9.5939546501522199E-2</v>
      </c>
      <c r="D1474" s="1288">
        <v>8.3703654676388045E-2</v>
      </c>
      <c r="E1474" s="1306">
        <v>1.8163785563633743</v>
      </c>
      <c r="F1474" s="1303">
        <v>4.7278046566614433E-2</v>
      </c>
      <c r="G1474" s="1288">
        <v>4.1007217633524183E-2</v>
      </c>
      <c r="H1474" s="1306">
        <v>0.5143567721596185</v>
      </c>
      <c r="I1474" s="1303">
        <v>6.0130088413053569E-2</v>
      </c>
      <c r="J1474" s="1288">
        <v>8.0507623548184984E-2</v>
      </c>
      <c r="K1474" s="1306">
        <v>0.60007539935829202</v>
      </c>
      <c r="L1474" s="1330">
        <v>0.1537890296035142</v>
      </c>
    </row>
    <row r="1475" spans="1:12" s="326" customFormat="1" ht="15.5" x14ac:dyDescent="0.35">
      <c r="A1475" s="328" t="s">
        <v>2439</v>
      </c>
      <c r="B1475" s="1287">
        <v>6.4543330592285786E-2</v>
      </c>
      <c r="C1475" s="1288">
        <v>7.4751966428476826E-2</v>
      </c>
      <c r="D1475" s="1288">
        <v>8.4374128745729124E-2</v>
      </c>
      <c r="E1475" s="1306">
        <v>1.8998878604840304</v>
      </c>
      <c r="F1475" s="1303">
        <v>4.6891764071831793E-2</v>
      </c>
      <c r="G1475" s="1288">
        <v>4.0815807941377652E-2</v>
      </c>
      <c r="H1475" s="1306">
        <v>0.51934177716703345</v>
      </c>
      <c r="I1475" s="1303">
        <v>6.0118483083469725E-2</v>
      </c>
      <c r="J1475" s="1288">
        <v>8.0469315418735352E-2</v>
      </c>
      <c r="K1475" s="1306">
        <v>0.6002261529144719</v>
      </c>
      <c r="L1475" s="1330">
        <v>0.1537890296035179</v>
      </c>
    </row>
    <row r="1476" spans="1:12" s="326" customFormat="1" ht="15.5" x14ac:dyDescent="0.35">
      <c r="A1476" s="328" t="s">
        <v>2440</v>
      </c>
      <c r="B1476" s="1287">
        <v>6.4638498242281378E-2</v>
      </c>
      <c r="C1476" s="1288">
        <v>9.1568601693646584E-2</v>
      </c>
      <c r="D1476" s="1288">
        <v>8.3844665776570973E-2</v>
      </c>
      <c r="E1476" s="1306">
        <v>1.9585972683089095</v>
      </c>
      <c r="F1476" s="1303">
        <v>4.6888612239914189E-2</v>
      </c>
      <c r="G1476" s="1288">
        <v>4.0795871907951274E-2</v>
      </c>
      <c r="H1476" s="1306">
        <v>0.51919585930698553</v>
      </c>
      <c r="I1476" s="1303">
        <v>6.0105320549345718E-2</v>
      </c>
      <c r="J1476" s="1288">
        <v>8.0432493610734193E-2</v>
      </c>
      <c r="K1476" s="1306">
        <v>0.60038713786093556</v>
      </c>
      <c r="L1476" s="1330">
        <v>0.15378902960351629</v>
      </c>
    </row>
    <row r="1477" spans="1:12" s="326" customFormat="1" ht="15.5" x14ac:dyDescent="0.35">
      <c r="A1477" s="328" t="s">
        <v>2441</v>
      </c>
      <c r="B1477" s="1287">
        <v>6.3966861657527185E-2</v>
      </c>
      <c r="C1477" s="1288">
        <v>8.2568582907495983E-2</v>
      </c>
      <c r="D1477" s="1288">
        <v>7.4458859469190564E-2</v>
      </c>
      <c r="E1477" s="1306">
        <v>1.992278511822914</v>
      </c>
      <c r="F1477" s="1303">
        <v>4.6846667268052859E-2</v>
      </c>
      <c r="G1477" s="1288">
        <v>4.0766938549822253E-2</v>
      </c>
      <c r="H1477" s="1306">
        <v>0.51850605229544067</v>
      </c>
      <c r="I1477" s="1303">
        <v>6.0089520929488632E-2</v>
      </c>
      <c r="J1477" s="1288">
        <v>8.0392027095863516E-2</v>
      </c>
      <c r="K1477" s="1306">
        <v>0.6005497790665788</v>
      </c>
      <c r="L1477" s="1330">
        <v>0.15378902960351737</v>
      </c>
    </row>
    <row r="1478" spans="1:12" s="326" customFormat="1" ht="15.5" x14ac:dyDescent="0.35">
      <c r="A1478" s="328" t="s">
        <v>2442</v>
      </c>
      <c r="B1478" s="1287">
        <v>6.4265435684909805E-2</v>
      </c>
      <c r="C1478" s="1288">
        <v>6.8332268775063917E-2</v>
      </c>
      <c r="D1478" s="1288">
        <v>8.5226293500462472E-2</v>
      </c>
      <c r="E1478" s="1306">
        <v>1.9380667153599387</v>
      </c>
      <c r="F1478" s="1303">
        <v>4.6819337388473506E-2</v>
      </c>
      <c r="G1478" s="1288">
        <v>4.0721596918877473E-2</v>
      </c>
      <c r="H1478" s="1306">
        <v>0.51757261177760061</v>
      </c>
      <c r="I1478" s="1303">
        <v>6.0068977398844356E-2</v>
      </c>
      <c r="J1478" s="1288">
        <v>8.0332739019490715E-2</v>
      </c>
      <c r="K1478" s="1306">
        <v>0.6006626767212685</v>
      </c>
      <c r="L1478" s="1330">
        <v>0.15378902960351734</v>
      </c>
    </row>
    <row r="1479" spans="1:12" s="326" customFormat="1" ht="15.5" x14ac:dyDescent="0.35">
      <c r="A1479" s="328" t="s">
        <v>2443</v>
      </c>
      <c r="B1479" s="1287">
        <v>6.4872577391815692E-2</v>
      </c>
      <c r="C1479" s="1288">
        <v>8.969272616041786E-2</v>
      </c>
      <c r="D1479" s="1288">
        <v>7.0924192586304641E-2</v>
      </c>
      <c r="E1479" s="1306">
        <v>1.9272819444935527</v>
      </c>
      <c r="F1479" s="1303">
        <v>4.631796466099538E-2</v>
      </c>
      <c r="G1479" s="1288">
        <v>4.045927242027253E-2</v>
      </c>
      <c r="H1479" s="1306">
        <v>0.508275446471672</v>
      </c>
      <c r="I1479" s="1303">
        <v>6.0038331014490326E-2</v>
      </c>
      <c r="J1479" s="1288">
        <v>8.021894146031032E-2</v>
      </c>
      <c r="K1479" s="1306">
        <v>0.60041331234200757</v>
      </c>
      <c r="L1479" s="1330">
        <v>0.15378968531657164</v>
      </c>
    </row>
    <row r="1480" spans="1:12" s="326" customFormat="1" ht="15.5" x14ac:dyDescent="0.35">
      <c r="A1480" s="328" t="s">
        <v>2444</v>
      </c>
      <c r="B1480" s="1291">
        <v>6.4872577391815692E-2</v>
      </c>
      <c r="C1480" s="1257">
        <v>8.969272616041786E-2</v>
      </c>
      <c r="D1480" s="1257">
        <v>7.0924192586304641E-2</v>
      </c>
      <c r="E1480" s="1280">
        <v>1.9272819444935527</v>
      </c>
      <c r="F1480" s="1271">
        <v>4.631796466099538E-2</v>
      </c>
      <c r="G1480" s="1257">
        <v>4.045927242027253E-2</v>
      </c>
      <c r="H1480" s="1280">
        <v>0.508275446471672</v>
      </c>
      <c r="I1480" s="1271">
        <v>6.0038331014490326E-2</v>
      </c>
      <c r="J1480" s="1257">
        <v>8.021894146031032E-2</v>
      </c>
      <c r="K1480" s="1280">
        <v>0.60041331234200757</v>
      </c>
      <c r="L1480" s="1330">
        <v>0.16102443068705627</v>
      </c>
    </row>
    <row r="1481" spans="1:12" s="326" customFormat="1" ht="15.5" x14ac:dyDescent="0.35">
      <c r="A1481" s="328" t="s">
        <v>2445</v>
      </c>
      <c r="B1481" s="1291">
        <v>0.11170694107772167</v>
      </c>
      <c r="C1481" s="1257">
        <v>0.23820075710955355</v>
      </c>
      <c r="D1481" s="1257">
        <v>0.12411882341969074</v>
      </c>
      <c r="E1481" s="1280">
        <v>0.83451290926229071</v>
      </c>
      <c r="F1481" s="1271">
        <v>5.7646060016471712E-2</v>
      </c>
      <c r="G1481" s="1257">
        <v>7.5445523550958959E-2</v>
      </c>
      <c r="H1481" s="1280">
        <v>0.71395874125061898</v>
      </c>
      <c r="I1481" s="1271">
        <v>6.3974549123344368E-2</v>
      </c>
      <c r="J1481" s="1257">
        <v>0.13137951842602222</v>
      </c>
      <c r="K1481" s="1280">
        <v>1.2432752956933131</v>
      </c>
      <c r="L1481" s="1237">
        <v>0.17427021564555045</v>
      </c>
    </row>
    <row r="1482" spans="1:12" s="326" customFormat="1" ht="15.5" x14ac:dyDescent="0.35">
      <c r="A1482" s="328" t="s">
        <v>2446</v>
      </c>
      <c r="B1482" s="1291">
        <v>0.11170694107772167</v>
      </c>
      <c r="C1482" s="1257">
        <v>0.23820075710955355</v>
      </c>
      <c r="D1482" s="1257">
        <v>0.12411882341969074</v>
      </c>
      <c r="E1482" s="1280">
        <v>0.83451290926229071</v>
      </c>
      <c r="F1482" s="1271">
        <v>5.7646060016471712E-2</v>
      </c>
      <c r="G1482" s="1257">
        <v>7.5445523550958959E-2</v>
      </c>
      <c r="H1482" s="1280">
        <v>0.71395874125061898</v>
      </c>
      <c r="I1482" s="1271">
        <v>6.3974549123344368E-2</v>
      </c>
      <c r="J1482" s="1257">
        <v>0.13137951842602222</v>
      </c>
      <c r="K1482" s="1280">
        <v>1.2432752956933131</v>
      </c>
      <c r="L1482" s="1237">
        <v>0.17427021564555045</v>
      </c>
    </row>
    <row r="1483" spans="1:12" s="326" customFormat="1" ht="15.5" x14ac:dyDescent="0.35">
      <c r="A1483" s="328" t="s">
        <v>2447</v>
      </c>
      <c r="B1483" s="1291">
        <v>0.11170694107772167</v>
      </c>
      <c r="C1483" s="1257">
        <v>0.23820075710955355</v>
      </c>
      <c r="D1483" s="1257">
        <v>0.12411882341969074</v>
      </c>
      <c r="E1483" s="1280">
        <v>0.83451290926229071</v>
      </c>
      <c r="F1483" s="1271">
        <v>5.7646060016471712E-2</v>
      </c>
      <c r="G1483" s="1257">
        <v>7.5445523550958959E-2</v>
      </c>
      <c r="H1483" s="1280">
        <v>0.71395874125061898</v>
      </c>
      <c r="I1483" s="1271">
        <v>6.3974549123344368E-2</v>
      </c>
      <c r="J1483" s="1257">
        <v>0.13137951842602222</v>
      </c>
      <c r="K1483" s="1280">
        <v>1.2432752956933131</v>
      </c>
      <c r="L1483" s="1237">
        <v>0.17427021564555045</v>
      </c>
    </row>
    <row r="1484" spans="1:12" s="326" customFormat="1" ht="15.5" x14ac:dyDescent="0.35">
      <c r="A1484" s="328" t="s">
        <v>2448</v>
      </c>
      <c r="B1484" s="1291">
        <v>0.11170694107772167</v>
      </c>
      <c r="C1484" s="1257">
        <v>0.23820075710955355</v>
      </c>
      <c r="D1484" s="1257">
        <v>0.12411882341969074</v>
      </c>
      <c r="E1484" s="1280">
        <v>0.83451290926229071</v>
      </c>
      <c r="F1484" s="1271">
        <v>5.7646060016471712E-2</v>
      </c>
      <c r="G1484" s="1257">
        <v>7.5445523550958959E-2</v>
      </c>
      <c r="H1484" s="1280">
        <v>0.71395874125061898</v>
      </c>
      <c r="I1484" s="1271">
        <v>6.3974549123344368E-2</v>
      </c>
      <c r="J1484" s="1257">
        <v>0.13137951842602222</v>
      </c>
      <c r="K1484" s="1280">
        <v>1.2432752956933131</v>
      </c>
      <c r="L1484" s="1237">
        <v>0.17427021564555045</v>
      </c>
    </row>
    <row r="1485" spans="1:12" s="326" customFormat="1" ht="15.5" x14ac:dyDescent="0.35">
      <c r="A1485" s="328" t="s">
        <v>2449</v>
      </c>
      <c r="B1485" s="1291">
        <v>0.11170694107772167</v>
      </c>
      <c r="C1485" s="1257">
        <v>0.23820075710955355</v>
      </c>
      <c r="D1485" s="1257">
        <v>0.12411882341969074</v>
      </c>
      <c r="E1485" s="1280">
        <v>0.83451290926229071</v>
      </c>
      <c r="F1485" s="1271">
        <v>5.7646060016471712E-2</v>
      </c>
      <c r="G1485" s="1257">
        <v>7.5445523550958959E-2</v>
      </c>
      <c r="H1485" s="1280">
        <v>0.71395874125061898</v>
      </c>
      <c r="I1485" s="1271">
        <v>6.3974549123344368E-2</v>
      </c>
      <c r="J1485" s="1257">
        <v>0.13137951842602222</v>
      </c>
      <c r="K1485" s="1280">
        <v>1.2432752956933131</v>
      </c>
      <c r="L1485" s="1237">
        <v>0.17427021564555045</v>
      </c>
    </row>
    <row r="1486" spans="1:12" s="326" customFormat="1" ht="15.5" x14ac:dyDescent="0.35">
      <c r="A1486" s="328" t="s">
        <v>2450</v>
      </c>
      <c r="B1486" s="1291">
        <v>0.11170694107772167</v>
      </c>
      <c r="C1486" s="1257">
        <v>0.23820075710955355</v>
      </c>
      <c r="D1486" s="1257">
        <v>0.12411882341969074</v>
      </c>
      <c r="E1486" s="1280">
        <v>0.83451290926229071</v>
      </c>
      <c r="F1486" s="1271">
        <v>5.7646060016471712E-2</v>
      </c>
      <c r="G1486" s="1257">
        <v>7.5445523550958959E-2</v>
      </c>
      <c r="H1486" s="1280">
        <v>0.71395874125061898</v>
      </c>
      <c r="I1486" s="1271">
        <v>6.3974549123344368E-2</v>
      </c>
      <c r="J1486" s="1257">
        <v>0.13137951842602222</v>
      </c>
      <c r="K1486" s="1280">
        <v>1.2432752956933131</v>
      </c>
      <c r="L1486" s="1237">
        <v>0.17427021564555045</v>
      </c>
    </row>
    <row r="1487" spans="1:12" s="326" customFormat="1" ht="15.5" x14ac:dyDescent="0.35">
      <c r="A1487" s="328" t="s">
        <v>2451</v>
      </c>
      <c r="B1487" s="1291">
        <v>0.11170694107772167</v>
      </c>
      <c r="C1487" s="1257">
        <v>0.23820075710955355</v>
      </c>
      <c r="D1487" s="1257">
        <v>0.12411882341969074</v>
      </c>
      <c r="E1487" s="1280">
        <v>0.83451290926229071</v>
      </c>
      <c r="F1487" s="1271">
        <v>5.7646060016471712E-2</v>
      </c>
      <c r="G1487" s="1257">
        <v>7.5445523550958959E-2</v>
      </c>
      <c r="H1487" s="1280">
        <v>0.71395874125061898</v>
      </c>
      <c r="I1487" s="1271">
        <v>6.3974549123344368E-2</v>
      </c>
      <c r="J1487" s="1257">
        <v>0.13137951842602222</v>
      </c>
      <c r="K1487" s="1280">
        <v>1.2432752956933131</v>
      </c>
      <c r="L1487" s="1237">
        <v>0.17427021564555045</v>
      </c>
    </row>
    <row r="1488" spans="1:12" s="326" customFormat="1" ht="15.5" x14ac:dyDescent="0.35">
      <c r="A1488" s="328" t="s">
        <v>2452</v>
      </c>
      <c r="B1488" s="1291">
        <v>0.11170694107772167</v>
      </c>
      <c r="C1488" s="1257">
        <v>0.23820075710955355</v>
      </c>
      <c r="D1488" s="1257">
        <v>0.12411882341969074</v>
      </c>
      <c r="E1488" s="1280">
        <v>0.83451290926229071</v>
      </c>
      <c r="F1488" s="1271">
        <v>5.7646060016471712E-2</v>
      </c>
      <c r="G1488" s="1257">
        <v>7.5445523550958959E-2</v>
      </c>
      <c r="H1488" s="1280">
        <v>0.71395874125061898</v>
      </c>
      <c r="I1488" s="1271">
        <v>6.3974549123344368E-2</v>
      </c>
      <c r="J1488" s="1257">
        <v>0.13137951842602222</v>
      </c>
      <c r="K1488" s="1280">
        <v>1.2432752956933131</v>
      </c>
      <c r="L1488" s="1237">
        <v>0.17427021564555045</v>
      </c>
    </row>
    <row r="1489" spans="1:12" s="326" customFormat="1" ht="15.5" x14ac:dyDescent="0.35">
      <c r="A1489" s="328" t="s">
        <v>2453</v>
      </c>
      <c r="B1489" s="1291">
        <v>0.11170694107772167</v>
      </c>
      <c r="C1489" s="1257">
        <v>0.23820075710955355</v>
      </c>
      <c r="D1489" s="1257">
        <v>0.12411882341969074</v>
      </c>
      <c r="E1489" s="1280">
        <v>0.83451290926229071</v>
      </c>
      <c r="F1489" s="1271">
        <v>5.7646060016471712E-2</v>
      </c>
      <c r="G1489" s="1257">
        <v>7.5445523550958959E-2</v>
      </c>
      <c r="H1489" s="1280">
        <v>0.71395874125061898</v>
      </c>
      <c r="I1489" s="1271">
        <v>6.3974549123344368E-2</v>
      </c>
      <c r="J1489" s="1257">
        <v>0.13137951842602222</v>
      </c>
      <c r="K1489" s="1280">
        <v>1.2432752956933131</v>
      </c>
      <c r="L1489" s="1237">
        <v>0.17427021564555045</v>
      </c>
    </row>
    <row r="1490" spans="1:12" s="326" customFormat="1" ht="15.5" x14ac:dyDescent="0.35">
      <c r="A1490" s="328" t="s">
        <v>2454</v>
      </c>
      <c r="B1490" s="1291">
        <v>0.11170694107772167</v>
      </c>
      <c r="C1490" s="1257">
        <v>0.23820075710955355</v>
      </c>
      <c r="D1490" s="1257">
        <v>0.12411882341969074</v>
      </c>
      <c r="E1490" s="1280">
        <v>0.83451290926229071</v>
      </c>
      <c r="F1490" s="1271">
        <v>5.7646060016471712E-2</v>
      </c>
      <c r="G1490" s="1257">
        <v>7.5445523550958959E-2</v>
      </c>
      <c r="H1490" s="1280">
        <v>0.71395874125061898</v>
      </c>
      <c r="I1490" s="1271">
        <v>6.3974549123344368E-2</v>
      </c>
      <c r="J1490" s="1257">
        <v>0.13137951842602222</v>
      </c>
      <c r="K1490" s="1280">
        <v>1.2432752956933131</v>
      </c>
      <c r="L1490" s="1237">
        <v>0.17427021564555045</v>
      </c>
    </row>
    <row r="1491" spans="1:12" s="326" customFormat="1" ht="15.5" x14ac:dyDescent="0.35">
      <c r="A1491" s="328" t="s">
        <v>2455</v>
      </c>
      <c r="B1491" s="1291">
        <v>0.11170694107772167</v>
      </c>
      <c r="C1491" s="1257">
        <v>0.23820075710955355</v>
      </c>
      <c r="D1491" s="1257">
        <v>0.12411882341969074</v>
      </c>
      <c r="E1491" s="1280">
        <v>0.83451290926229071</v>
      </c>
      <c r="F1491" s="1271">
        <v>5.7646060016471712E-2</v>
      </c>
      <c r="G1491" s="1257">
        <v>7.5445523550958959E-2</v>
      </c>
      <c r="H1491" s="1280">
        <v>0.71395874125061898</v>
      </c>
      <c r="I1491" s="1271">
        <v>6.3974549123344368E-2</v>
      </c>
      <c r="J1491" s="1257">
        <v>0.13137951842602222</v>
      </c>
      <c r="K1491" s="1280">
        <v>1.2432752956933131</v>
      </c>
      <c r="L1491" s="1237">
        <v>0.17427021564555045</v>
      </c>
    </row>
    <row r="1492" spans="1:12" s="326" customFormat="1" ht="15.5" x14ac:dyDescent="0.35">
      <c r="A1492" s="328" t="s">
        <v>2456</v>
      </c>
      <c r="B1492" s="1291">
        <v>0.11170694107772167</v>
      </c>
      <c r="C1492" s="1257">
        <v>0.23820075710955355</v>
      </c>
      <c r="D1492" s="1257">
        <v>0.12411882341969074</v>
      </c>
      <c r="E1492" s="1280">
        <v>0.83451290926229071</v>
      </c>
      <c r="F1492" s="1271">
        <v>5.7646060016471712E-2</v>
      </c>
      <c r="G1492" s="1257">
        <v>7.5445523550958959E-2</v>
      </c>
      <c r="H1492" s="1280">
        <v>0.71395874125061898</v>
      </c>
      <c r="I1492" s="1271">
        <v>6.3974549123344368E-2</v>
      </c>
      <c r="J1492" s="1257">
        <v>0.13137951842602222</v>
      </c>
      <c r="K1492" s="1280">
        <v>1.2432752956933131</v>
      </c>
      <c r="L1492" s="1237">
        <v>0.17427021564555045</v>
      </c>
    </row>
    <row r="1493" spans="1:12" s="326" customFormat="1" ht="15.5" x14ac:dyDescent="0.35">
      <c r="A1493" s="328" t="s">
        <v>2457</v>
      </c>
      <c r="B1493" s="1291">
        <v>0.11170694107772167</v>
      </c>
      <c r="C1493" s="1257">
        <v>0.23820075710955355</v>
      </c>
      <c r="D1493" s="1257">
        <v>0.12411882341969074</v>
      </c>
      <c r="E1493" s="1280">
        <v>0.83451290926229071</v>
      </c>
      <c r="F1493" s="1271">
        <v>5.7646060016471712E-2</v>
      </c>
      <c r="G1493" s="1257">
        <v>7.5445523550958959E-2</v>
      </c>
      <c r="H1493" s="1280">
        <v>0.71395874125061898</v>
      </c>
      <c r="I1493" s="1271">
        <v>6.3974549123344368E-2</v>
      </c>
      <c r="J1493" s="1257">
        <v>0.13137951842602222</v>
      </c>
      <c r="K1493" s="1280">
        <v>1.2432752956933131</v>
      </c>
      <c r="L1493" s="1237">
        <v>0.17427021564555045</v>
      </c>
    </row>
    <row r="1494" spans="1:12" s="326" customFormat="1" ht="15.5" x14ac:dyDescent="0.35">
      <c r="A1494" s="328" t="s">
        <v>2458</v>
      </c>
      <c r="B1494" s="1291">
        <v>0.11170694107772167</v>
      </c>
      <c r="C1494" s="1257">
        <v>0.23820075710955355</v>
      </c>
      <c r="D1494" s="1257">
        <v>0.12411882341969074</v>
      </c>
      <c r="E1494" s="1280">
        <v>0.83451290926229071</v>
      </c>
      <c r="F1494" s="1271">
        <v>5.7646060016471712E-2</v>
      </c>
      <c r="G1494" s="1257">
        <v>7.5445523550958959E-2</v>
      </c>
      <c r="H1494" s="1280">
        <v>0.71395874125061898</v>
      </c>
      <c r="I1494" s="1271">
        <v>6.3974549123344368E-2</v>
      </c>
      <c r="J1494" s="1257">
        <v>0.13137951842602222</v>
      </c>
      <c r="K1494" s="1280">
        <v>1.2432752956933131</v>
      </c>
      <c r="L1494" s="1237">
        <v>0.17427021564555045</v>
      </c>
    </row>
    <row r="1495" spans="1:12" s="326" customFormat="1" ht="15.5" x14ac:dyDescent="0.35">
      <c r="A1495" s="328" t="s">
        <v>2459</v>
      </c>
      <c r="B1495" s="1291">
        <v>0.11170694107772167</v>
      </c>
      <c r="C1495" s="1257">
        <v>0.23820075710955355</v>
      </c>
      <c r="D1495" s="1257">
        <v>0.12411882341969074</v>
      </c>
      <c r="E1495" s="1280">
        <v>0.83451290926229071</v>
      </c>
      <c r="F1495" s="1271">
        <v>5.7646060016471712E-2</v>
      </c>
      <c r="G1495" s="1257">
        <v>7.5445523550958959E-2</v>
      </c>
      <c r="H1495" s="1280">
        <v>0.71395874125061898</v>
      </c>
      <c r="I1495" s="1271">
        <v>6.3974549123344368E-2</v>
      </c>
      <c r="J1495" s="1257">
        <v>0.13137951842602222</v>
      </c>
      <c r="K1495" s="1280">
        <v>1.2432752956933131</v>
      </c>
      <c r="L1495" s="1237">
        <v>0.17427021564555045</v>
      </c>
    </row>
    <row r="1496" spans="1:12" s="326" customFormat="1" ht="15.5" x14ac:dyDescent="0.35">
      <c r="A1496" s="328" t="s">
        <v>2460</v>
      </c>
      <c r="B1496" s="1291">
        <v>0.11170694107772167</v>
      </c>
      <c r="C1496" s="1257">
        <v>0.23820075710955355</v>
      </c>
      <c r="D1496" s="1257">
        <v>0.12411882341969074</v>
      </c>
      <c r="E1496" s="1280">
        <v>0.83451290926229071</v>
      </c>
      <c r="F1496" s="1271">
        <v>5.7646060016471712E-2</v>
      </c>
      <c r="G1496" s="1257">
        <v>7.5445523550958959E-2</v>
      </c>
      <c r="H1496" s="1280">
        <v>0.71395874125061898</v>
      </c>
      <c r="I1496" s="1271">
        <v>6.3974549123344368E-2</v>
      </c>
      <c r="J1496" s="1257">
        <v>0.13137951842602222</v>
      </c>
      <c r="K1496" s="1280">
        <v>1.2432752956933131</v>
      </c>
      <c r="L1496" s="1237">
        <v>0.17427021564555045</v>
      </c>
    </row>
    <row r="1497" spans="1:12" s="326" customFormat="1" ht="15.5" x14ac:dyDescent="0.35">
      <c r="A1497" s="328" t="s">
        <v>2461</v>
      </c>
      <c r="B1497" s="1291">
        <v>0.11170694107772167</v>
      </c>
      <c r="C1497" s="1257">
        <v>0.23820075710955355</v>
      </c>
      <c r="D1497" s="1257">
        <v>0.12411882341969074</v>
      </c>
      <c r="E1497" s="1280">
        <v>0.83451290926229071</v>
      </c>
      <c r="F1497" s="1271">
        <v>5.7646060016471712E-2</v>
      </c>
      <c r="G1497" s="1257">
        <v>7.5445523550958959E-2</v>
      </c>
      <c r="H1497" s="1280">
        <v>0.71395874125061898</v>
      </c>
      <c r="I1497" s="1271">
        <v>6.3974549123344368E-2</v>
      </c>
      <c r="J1497" s="1257">
        <v>0.13137951842602222</v>
      </c>
      <c r="K1497" s="1280">
        <v>1.2432752956933131</v>
      </c>
      <c r="L1497" s="1237">
        <v>0.17427021564555045</v>
      </c>
    </row>
    <row r="1498" spans="1:12" s="326" customFormat="1" ht="15.5" x14ac:dyDescent="0.35">
      <c r="A1498" s="328" t="s">
        <v>2462</v>
      </c>
      <c r="B1498" s="1291">
        <v>0.11170694107772167</v>
      </c>
      <c r="C1498" s="1257">
        <v>0.23820075710955355</v>
      </c>
      <c r="D1498" s="1257">
        <v>0.12411882341969074</v>
      </c>
      <c r="E1498" s="1280">
        <v>0.83451290926229071</v>
      </c>
      <c r="F1498" s="1271">
        <v>5.7646060016471712E-2</v>
      </c>
      <c r="G1498" s="1257">
        <v>7.5445523550958959E-2</v>
      </c>
      <c r="H1498" s="1280">
        <v>0.71395874125061898</v>
      </c>
      <c r="I1498" s="1271">
        <v>6.3974549123344368E-2</v>
      </c>
      <c r="J1498" s="1257">
        <v>0.13137951842602222</v>
      </c>
      <c r="K1498" s="1280">
        <v>1.2432752956933131</v>
      </c>
      <c r="L1498" s="1237">
        <v>0.17427021564555045</v>
      </c>
    </row>
    <row r="1499" spans="1:12" s="326" customFormat="1" ht="15.5" x14ac:dyDescent="0.35">
      <c r="A1499" s="328" t="s">
        <v>2463</v>
      </c>
      <c r="B1499" s="1291">
        <v>0.11170694107772167</v>
      </c>
      <c r="C1499" s="1257">
        <v>0.23820075710955355</v>
      </c>
      <c r="D1499" s="1257">
        <v>0.12411882341969074</v>
      </c>
      <c r="E1499" s="1280">
        <v>0.83451290926229071</v>
      </c>
      <c r="F1499" s="1271">
        <v>5.7646060016471712E-2</v>
      </c>
      <c r="G1499" s="1257">
        <v>7.5445523550958959E-2</v>
      </c>
      <c r="H1499" s="1280">
        <v>0.71395874125061898</v>
      </c>
      <c r="I1499" s="1271">
        <v>6.3974549123344368E-2</v>
      </c>
      <c r="J1499" s="1257">
        <v>0.13137951842602222</v>
      </c>
      <c r="K1499" s="1280">
        <v>1.2432752956933131</v>
      </c>
      <c r="L1499" s="1237">
        <v>0.17427021564555045</v>
      </c>
    </row>
    <row r="1500" spans="1:12" s="326" customFormat="1" ht="15.5" x14ac:dyDescent="0.35">
      <c r="A1500" s="328" t="s">
        <v>2464</v>
      </c>
      <c r="B1500" s="1291">
        <v>0.11170694107772167</v>
      </c>
      <c r="C1500" s="1257">
        <v>0.23820075710955355</v>
      </c>
      <c r="D1500" s="1257">
        <v>0.12411882341969074</v>
      </c>
      <c r="E1500" s="1280">
        <v>0.83451290926229071</v>
      </c>
      <c r="F1500" s="1271">
        <v>5.7646060016471712E-2</v>
      </c>
      <c r="G1500" s="1257">
        <v>7.5445523550958959E-2</v>
      </c>
      <c r="H1500" s="1280">
        <v>0.71395874125061898</v>
      </c>
      <c r="I1500" s="1271">
        <v>6.3974549123344368E-2</v>
      </c>
      <c r="J1500" s="1257">
        <v>0.13137951842602222</v>
      </c>
      <c r="K1500" s="1280">
        <v>1.2432752956933131</v>
      </c>
      <c r="L1500" s="1237">
        <v>0.17427021564555045</v>
      </c>
    </row>
    <row r="1501" spans="1:12" s="326" customFormat="1" ht="15.5" x14ac:dyDescent="0.35">
      <c r="A1501" s="328" t="s">
        <v>2465</v>
      </c>
      <c r="B1501" s="1291">
        <v>0.11170694107772167</v>
      </c>
      <c r="C1501" s="1257">
        <v>0.23820075710955355</v>
      </c>
      <c r="D1501" s="1257">
        <v>0.12411882341969074</v>
      </c>
      <c r="E1501" s="1280">
        <v>0.83451290926229071</v>
      </c>
      <c r="F1501" s="1271">
        <v>5.7646060016471712E-2</v>
      </c>
      <c r="G1501" s="1257">
        <v>7.5445523550958959E-2</v>
      </c>
      <c r="H1501" s="1280">
        <v>0.71395874125061898</v>
      </c>
      <c r="I1501" s="1271">
        <v>6.3974549123344368E-2</v>
      </c>
      <c r="J1501" s="1257">
        <v>0.13137951842602222</v>
      </c>
      <c r="K1501" s="1280">
        <v>1.2432752956933131</v>
      </c>
      <c r="L1501" s="1237">
        <v>0.17427021564555045</v>
      </c>
    </row>
    <row r="1502" spans="1:12" s="326" customFormat="1" ht="15.5" x14ac:dyDescent="0.35">
      <c r="A1502" s="328" t="s">
        <v>2466</v>
      </c>
      <c r="B1502" s="1291">
        <v>0.11170694107772167</v>
      </c>
      <c r="C1502" s="1257">
        <v>0.23820075710955355</v>
      </c>
      <c r="D1502" s="1257">
        <v>0.12411882341969074</v>
      </c>
      <c r="E1502" s="1280">
        <v>0.83451290926229071</v>
      </c>
      <c r="F1502" s="1271">
        <v>5.7646060016471712E-2</v>
      </c>
      <c r="G1502" s="1257">
        <v>7.5445523550958959E-2</v>
      </c>
      <c r="H1502" s="1280">
        <v>0.71395874125061898</v>
      </c>
      <c r="I1502" s="1271">
        <v>6.3974549123344368E-2</v>
      </c>
      <c r="J1502" s="1257">
        <v>0.13137951842602222</v>
      </c>
      <c r="K1502" s="1280">
        <v>1.2432752956933131</v>
      </c>
      <c r="L1502" s="1237">
        <v>0.17427021564555045</v>
      </c>
    </row>
    <row r="1503" spans="1:12" s="326" customFormat="1" ht="15.5" x14ac:dyDescent="0.35">
      <c r="A1503" s="328" t="s">
        <v>2467</v>
      </c>
      <c r="B1503" s="1291">
        <v>0.11170694107772167</v>
      </c>
      <c r="C1503" s="1257">
        <v>0.23820075710955355</v>
      </c>
      <c r="D1503" s="1257">
        <v>0.12411882341969074</v>
      </c>
      <c r="E1503" s="1280">
        <v>0.83451290926229071</v>
      </c>
      <c r="F1503" s="1271">
        <v>5.7646060016471712E-2</v>
      </c>
      <c r="G1503" s="1257">
        <v>7.5445523550958959E-2</v>
      </c>
      <c r="H1503" s="1280">
        <v>0.71395874125061898</v>
      </c>
      <c r="I1503" s="1271">
        <v>6.3974549123344368E-2</v>
      </c>
      <c r="J1503" s="1257">
        <v>0.13137951842602222</v>
      </c>
      <c r="K1503" s="1280">
        <v>1.2432752956933131</v>
      </c>
      <c r="L1503" s="1237">
        <v>0.17427021564555045</v>
      </c>
    </row>
    <row r="1504" spans="1:12" s="326" customFormat="1" ht="15.5" x14ac:dyDescent="0.35">
      <c r="A1504" s="328" t="s">
        <v>2468</v>
      </c>
      <c r="B1504" s="1291">
        <v>0.11170694107772167</v>
      </c>
      <c r="C1504" s="1257">
        <v>0.23820075710955355</v>
      </c>
      <c r="D1504" s="1257">
        <v>0.12411882341969074</v>
      </c>
      <c r="E1504" s="1280">
        <v>0.83451290926229071</v>
      </c>
      <c r="F1504" s="1271">
        <v>5.7646060016471712E-2</v>
      </c>
      <c r="G1504" s="1257">
        <v>7.5445523550958959E-2</v>
      </c>
      <c r="H1504" s="1280">
        <v>0.71395874125061898</v>
      </c>
      <c r="I1504" s="1271">
        <v>6.3974549123344368E-2</v>
      </c>
      <c r="J1504" s="1257">
        <v>0.13137951842602222</v>
      </c>
      <c r="K1504" s="1280">
        <v>1.2432752956933131</v>
      </c>
      <c r="L1504" s="1237">
        <v>0.17427021564555045</v>
      </c>
    </row>
    <row r="1505" spans="1:12" s="326" customFormat="1" ht="15.5" x14ac:dyDescent="0.35">
      <c r="A1505" s="328" t="s">
        <v>2469</v>
      </c>
      <c r="B1505" s="1291">
        <v>0.11170694107772167</v>
      </c>
      <c r="C1505" s="1257">
        <v>0.23820075710955355</v>
      </c>
      <c r="D1505" s="1257">
        <v>0.12411882341969074</v>
      </c>
      <c r="E1505" s="1280">
        <v>0.83451290926229071</v>
      </c>
      <c r="F1505" s="1271">
        <v>5.7646060016471712E-2</v>
      </c>
      <c r="G1505" s="1257">
        <v>7.5445523550958959E-2</v>
      </c>
      <c r="H1505" s="1280">
        <v>0.71395874125061898</v>
      </c>
      <c r="I1505" s="1271">
        <v>6.3974549123344368E-2</v>
      </c>
      <c r="J1505" s="1257">
        <v>0.13137951842602222</v>
      </c>
      <c r="K1505" s="1280">
        <v>1.2432752956933131</v>
      </c>
      <c r="L1505" s="1237">
        <v>0.17427021564555045</v>
      </c>
    </row>
    <row r="1506" spans="1:12" s="326" customFormat="1" ht="15.5" x14ac:dyDescent="0.35">
      <c r="A1506" s="328" t="s">
        <v>2470</v>
      </c>
      <c r="B1506" s="1291">
        <v>0.11170694107772167</v>
      </c>
      <c r="C1506" s="1257">
        <v>0.23820075710955355</v>
      </c>
      <c r="D1506" s="1257">
        <v>0.12411882341969074</v>
      </c>
      <c r="E1506" s="1280">
        <v>0.83451290926229071</v>
      </c>
      <c r="F1506" s="1303">
        <v>5.7646060016471712E-2</v>
      </c>
      <c r="G1506" s="1288">
        <v>7.5445523550958959E-2</v>
      </c>
      <c r="H1506" s="1280">
        <v>0.71395874125061898</v>
      </c>
      <c r="I1506" s="1303">
        <v>6.3974549123344368E-2</v>
      </c>
      <c r="J1506" s="1288">
        <v>0.13137951842602222</v>
      </c>
      <c r="K1506" s="1280">
        <v>1.2432752956933131</v>
      </c>
      <c r="L1506" s="1237">
        <v>0.17427021564555045</v>
      </c>
    </row>
    <row r="1507" spans="1:12" s="326" customFormat="1" ht="15.5" x14ac:dyDescent="0.35">
      <c r="A1507" s="328" t="s">
        <v>2471</v>
      </c>
      <c r="B1507" s="1291">
        <v>0.11170694107772167</v>
      </c>
      <c r="C1507" s="1257">
        <v>0.23820075710955355</v>
      </c>
      <c r="D1507" s="1257">
        <v>0.12411882341969074</v>
      </c>
      <c r="E1507" s="1280">
        <v>0.83451290926229071</v>
      </c>
      <c r="F1507" s="1303">
        <v>5.7870695409205648E-2</v>
      </c>
      <c r="G1507" s="1288">
        <v>7.5033752768775316E-2</v>
      </c>
      <c r="H1507" s="1280">
        <v>0.71006205745157236</v>
      </c>
      <c r="I1507" s="1303">
        <v>6.4170860653998615E-2</v>
      </c>
      <c r="J1507" s="1288">
        <v>0.12958140474591265</v>
      </c>
      <c r="K1507" s="1280">
        <v>1.2262593228528647</v>
      </c>
      <c r="L1507" s="1237">
        <v>0.17427021564555045</v>
      </c>
    </row>
    <row r="1508" spans="1:12" s="326" customFormat="1" ht="15.5" x14ac:dyDescent="0.35">
      <c r="A1508" s="328" t="s">
        <v>2472</v>
      </c>
      <c r="B1508" s="1291">
        <v>0.11170694107772167</v>
      </c>
      <c r="C1508" s="1257">
        <v>0.23820075710955355</v>
      </c>
      <c r="D1508" s="1257">
        <v>0.12411882341969074</v>
      </c>
      <c r="E1508" s="1280">
        <v>0.83451290926229071</v>
      </c>
      <c r="F1508" s="1303">
        <v>5.7782178115250445E-2</v>
      </c>
      <c r="G1508" s="1288">
        <v>7.0803501244046177E-2</v>
      </c>
      <c r="H1508" s="1280">
        <v>0.67003019191976043</v>
      </c>
      <c r="I1508" s="1303">
        <v>6.4282983644357583E-2</v>
      </c>
      <c r="J1508" s="1288">
        <v>0.13014106390538507</v>
      </c>
      <c r="K1508" s="1280">
        <v>1.23155550916346</v>
      </c>
      <c r="L1508" s="1237">
        <v>0.17427021564555045</v>
      </c>
    </row>
    <row r="1509" spans="1:12" s="326" customFormat="1" ht="15.5" x14ac:dyDescent="0.35">
      <c r="A1509" s="328" t="s">
        <v>2473</v>
      </c>
      <c r="B1509" s="1291">
        <v>0.11170694107772167</v>
      </c>
      <c r="C1509" s="1257">
        <v>0.23820075710955355</v>
      </c>
      <c r="D1509" s="1257">
        <v>0.12411882341969074</v>
      </c>
      <c r="E1509" s="1280">
        <v>0.83451290926229071</v>
      </c>
      <c r="F1509" s="1303">
        <v>5.78321700213104E-2</v>
      </c>
      <c r="G1509" s="1288">
        <v>7.0147329012130596E-2</v>
      </c>
      <c r="H1509" s="1280">
        <v>0.66382067969567704</v>
      </c>
      <c r="I1509" s="1303">
        <v>6.4035982734647751E-2</v>
      </c>
      <c r="J1509" s="1288">
        <v>0.13009814182350488</v>
      </c>
      <c r="K1509" s="1280">
        <v>1.2311493274033145</v>
      </c>
      <c r="L1509" s="1237">
        <v>0.17427021564555045</v>
      </c>
    </row>
    <row r="1510" spans="1:12" s="326" customFormat="1" ht="15.5" x14ac:dyDescent="0.35">
      <c r="A1510" s="328" t="s">
        <v>2474</v>
      </c>
      <c r="B1510" s="1291">
        <v>0.11170694107772167</v>
      </c>
      <c r="C1510" s="1257">
        <v>0.23820075710955355</v>
      </c>
      <c r="D1510" s="1257">
        <v>0.12411882341969074</v>
      </c>
      <c r="E1510" s="1280">
        <v>0.83451290926229071</v>
      </c>
      <c r="F1510" s="1303">
        <v>5.7671637536296755E-2</v>
      </c>
      <c r="G1510" s="1288">
        <v>7.5996618170062202E-2</v>
      </c>
      <c r="H1510" s="1280">
        <v>0.71917387930051513</v>
      </c>
      <c r="I1510" s="1303">
        <v>6.3567565596140616E-2</v>
      </c>
      <c r="J1510" s="1288">
        <v>0.13071542726927554</v>
      </c>
      <c r="K1510" s="1280">
        <v>1.2369908448202767</v>
      </c>
      <c r="L1510" s="1237">
        <v>0.17427021564555045</v>
      </c>
    </row>
    <row r="1511" spans="1:12" s="326" customFormat="1" ht="15.5" x14ac:dyDescent="0.35">
      <c r="A1511" s="328" t="s">
        <v>2475</v>
      </c>
      <c r="B1511" s="1291">
        <v>0.11170694107772167</v>
      </c>
      <c r="C1511" s="1257">
        <v>0.23820075710955355</v>
      </c>
      <c r="D1511" s="1257">
        <v>0.12411882341969074</v>
      </c>
      <c r="E1511" s="1280">
        <v>0.83451290926229071</v>
      </c>
      <c r="F1511" s="1303">
        <v>5.7806039735571246E-2</v>
      </c>
      <c r="G1511" s="1288">
        <v>7.4558790362181701E-2</v>
      </c>
      <c r="H1511" s="1280">
        <v>0.70556737644211664</v>
      </c>
      <c r="I1511" s="1303">
        <v>6.3943426050054333E-2</v>
      </c>
      <c r="J1511" s="1288">
        <v>0.13082881438813998</v>
      </c>
      <c r="K1511" s="1280">
        <v>1.238063853805413</v>
      </c>
      <c r="L1511" s="1237">
        <v>0.17427021564555045</v>
      </c>
    </row>
    <row r="1512" spans="1:12" s="326" customFormat="1" ht="15.5" x14ac:dyDescent="0.35">
      <c r="A1512" s="328" t="s">
        <v>2476</v>
      </c>
      <c r="B1512" s="1291">
        <v>0.11170694107772167</v>
      </c>
      <c r="C1512" s="1257">
        <v>0.23820075710955355</v>
      </c>
      <c r="D1512" s="1257">
        <v>0.12411882341969074</v>
      </c>
      <c r="E1512" s="1280">
        <v>0.83451290926229071</v>
      </c>
      <c r="F1512" s="1303">
        <v>5.7594225940847558E-2</v>
      </c>
      <c r="G1512" s="1288">
        <v>7.3113628762717806E-2</v>
      </c>
      <c r="H1512" s="1280">
        <v>0.69189147218836622</v>
      </c>
      <c r="I1512" s="1303">
        <v>6.3886506655266753E-2</v>
      </c>
      <c r="J1512" s="1288">
        <v>0.13068721666996436</v>
      </c>
      <c r="K1512" s="1280">
        <v>1.2367238812812069</v>
      </c>
      <c r="L1512" s="1237">
        <v>0.17427021564555045</v>
      </c>
    </row>
    <row r="1513" spans="1:12" s="326" customFormat="1" ht="15.5" x14ac:dyDescent="0.35">
      <c r="A1513" s="328" t="s">
        <v>2477</v>
      </c>
      <c r="B1513" s="1291">
        <v>0.11170694107772167</v>
      </c>
      <c r="C1513" s="1257">
        <v>0.23820075710955355</v>
      </c>
      <c r="D1513" s="1257">
        <v>0.12411882341969074</v>
      </c>
      <c r="E1513" s="1280">
        <v>0.83451290926229071</v>
      </c>
      <c r="F1513" s="1303">
        <v>5.7402271437853515E-2</v>
      </c>
      <c r="G1513" s="1288">
        <v>7.3915816844442539E-2</v>
      </c>
      <c r="H1513" s="1280">
        <v>0.69948276675586429</v>
      </c>
      <c r="I1513" s="1303">
        <v>6.3492834974266318E-2</v>
      </c>
      <c r="J1513" s="1288">
        <v>0.12995319163618133</v>
      </c>
      <c r="K1513" s="1280">
        <v>1.2297776296747454</v>
      </c>
      <c r="L1513" s="1237">
        <v>0.17427021564555045</v>
      </c>
    </row>
    <row r="1514" spans="1:12" s="326" customFormat="1" ht="15.5" x14ac:dyDescent="0.35">
      <c r="A1514" s="328" t="s">
        <v>2478</v>
      </c>
      <c r="B1514" s="1291">
        <v>0.11170694107772167</v>
      </c>
      <c r="C1514" s="1257">
        <v>0.23820075710955355</v>
      </c>
      <c r="D1514" s="1257">
        <v>0.12411882341969074</v>
      </c>
      <c r="E1514" s="1280">
        <v>0.83451290926229071</v>
      </c>
      <c r="F1514" s="1303">
        <v>4.9223911032961622E-2</v>
      </c>
      <c r="G1514" s="1288">
        <v>7.3499089647215701E-2</v>
      </c>
      <c r="H1514" s="1280">
        <v>0.6955391792350486</v>
      </c>
      <c r="I1514" s="1303">
        <v>6.9430408030580315E-2</v>
      </c>
      <c r="J1514" s="1288">
        <v>0.1289965084550436</v>
      </c>
      <c r="K1514" s="1280">
        <v>1.220724311629714</v>
      </c>
      <c r="L1514" s="1237">
        <v>0.17427021564555045</v>
      </c>
    </row>
    <row r="1515" spans="1:12" s="326" customFormat="1" ht="15.5" x14ac:dyDescent="0.35">
      <c r="A1515" s="328" t="s">
        <v>2479</v>
      </c>
      <c r="B1515" s="1291">
        <v>0.11170694107772167</v>
      </c>
      <c r="C1515" s="1257">
        <v>0.23820075710955355</v>
      </c>
      <c r="D1515" s="1257">
        <v>0.12411882341969074</v>
      </c>
      <c r="E1515" s="1280">
        <v>0.83451290926229071</v>
      </c>
      <c r="F1515" s="1303">
        <v>4.9411980114472474E-2</v>
      </c>
      <c r="G1515" s="1288">
        <v>7.179768342085284E-2</v>
      </c>
      <c r="H1515" s="1280">
        <v>0.67943837178410005</v>
      </c>
      <c r="I1515" s="1303">
        <v>6.925661139436845E-2</v>
      </c>
      <c r="J1515" s="1288">
        <v>0.12951639620412828</v>
      </c>
      <c r="K1515" s="1280">
        <v>1.2256441317258318</v>
      </c>
      <c r="L1515" s="1237">
        <v>0.17427021564555045</v>
      </c>
    </row>
    <row r="1516" spans="1:12" s="326" customFormat="1" ht="15.5" x14ac:dyDescent="0.35">
      <c r="A1516" s="328" t="s">
        <v>2480</v>
      </c>
      <c r="B1516" s="1291">
        <v>0.11170694107772167</v>
      </c>
      <c r="C1516" s="1257">
        <v>0.23820075710955355</v>
      </c>
      <c r="D1516" s="1257">
        <v>0.12411882341969074</v>
      </c>
      <c r="E1516" s="1280">
        <v>0.83451290926229071</v>
      </c>
      <c r="F1516" s="1303">
        <v>4.9175113032063462E-2</v>
      </c>
      <c r="G1516" s="1288">
        <v>7.7289344150928779E-2</v>
      </c>
      <c r="H1516" s="1280">
        <v>0.73140724942827462</v>
      </c>
      <c r="I1516" s="1303">
        <v>6.8976911704546298E-2</v>
      </c>
      <c r="J1516" s="1288">
        <v>0.12975633259468228</v>
      </c>
      <c r="K1516" s="1280">
        <v>1.2279147062452656</v>
      </c>
      <c r="L1516" s="1237">
        <v>0.17427021564555045</v>
      </c>
    </row>
    <row r="1517" spans="1:12" s="326" customFormat="1" ht="15.5" x14ac:dyDescent="0.35">
      <c r="A1517" s="328" t="s">
        <v>2481</v>
      </c>
      <c r="B1517" s="1291">
        <v>0.11170694107772167</v>
      </c>
      <c r="C1517" s="1257">
        <v>0.23820075710955355</v>
      </c>
      <c r="D1517" s="1257">
        <v>0.12411882341969074</v>
      </c>
      <c r="E1517" s="1280">
        <v>0.83451290926229071</v>
      </c>
      <c r="F1517" s="1303">
        <v>5.903101878239702E-2</v>
      </c>
      <c r="G1517" s="1288">
        <v>7.1555191428499171E-2</v>
      </c>
      <c r="H1517" s="1280">
        <v>0.67714361300351777</v>
      </c>
      <c r="I1517" s="1303">
        <v>7.4779120519678666E-2</v>
      </c>
      <c r="J1517" s="1288">
        <v>0.1306100770150391</v>
      </c>
      <c r="K1517" s="1280">
        <v>1.2359938905761418</v>
      </c>
      <c r="L1517" s="1237">
        <v>0.17427021564555045</v>
      </c>
    </row>
    <row r="1518" spans="1:12" s="326" customFormat="1" ht="15.5" x14ac:dyDescent="0.35">
      <c r="A1518" s="328" t="s">
        <v>2482</v>
      </c>
      <c r="B1518" s="1291">
        <v>0.11170694107772167</v>
      </c>
      <c r="C1518" s="1257">
        <v>0.23820075710955355</v>
      </c>
      <c r="D1518" s="1257">
        <v>0.12411882341969074</v>
      </c>
      <c r="E1518" s="1280">
        <v>0.83451290926229071</v>
      </c>
      <c r="F1518" s="1303">
        <v>5.9114856616229831E-2</v>
      </c>
      <c r="G1518" s="1288">
        <v>6.9725120133521931E-2</v>
      </c>
      <c r="H1518" s="1280">
        <v>0.65982521773413771</v>
      </c>
      <c r="I1518" s="1303">
        <v>7.5542470962164612E-2</v>
      </c>
      <c r="J1518" s="1288">
        <v>0.1158420206705336</v>
      </c>
      <c r="K1518" s="1280">
        <v>1.0962402985512996</v>
      </c>
      <c r="L1518" s="1237">
        <v>0.17427021564555045</v>
      </c>
    </row>
    <row r="1519" spans="1:12" s="326" customFormat="1" ht="15.5" x14ac:dyDescent="0.35">
      <c r="A1519" s="328" t="s">
        <v>2483</v>
      </c>
      <c r="B1519" s="1291">
        <v>0.11170694107772167</v>
      </c>
      <c r="C1519" s="1257">
        <v>0.23820075710955355</v>
      </c>
      <c r="D1519" s="1257">
        <v>0.12411882341969074</v>
      </c>
      <c r="E1519" s="1280">
        <v>0.83451290926229071</v>
      </c>
      <c r="F1519" s="1303">
        <v>5.9016399929288851E-2</v>
      </c>
      <c r="G1519" s="1288">
        <v>6.323218017962802E-2</v>
      </c>
      <c r="H1519" s="1280">
        <v>0.59838099919986232</v>
      </c>
      <c r="I1519" s="1303">
        <v>7.5333723228778099E-2</v>
      </c>
      <c r="J1519" s="1288">
        <v>9.9431379023973157E-2</v>
      </c>
      <c r="K1519" s="1280">
        <v>0.94094253532245176</v>
      </c>
      <c r="L1519" s="1237">
        <v>0.17427021564555045</v>
      </c>
    </row>
    <row r="1520" spans="1:12" s="326" customFormat="1" ht="15.5" x14ac:dyDescent="0.35">
      <c r="A1520" s="328" t="s">
        <v>2484</v>
      </c>
      <c r="B1520" s="1291">
        <v>0.11170694107772167</v>
      </c>
      <c r="C1520" s="1257">
        <v>0.23820075710955355</v>
      </c>
      <c r="D1520" s="1257">
        <v>0.12411882341969074</v>
      </c>
      <c r="E1520" s="1280">
        <v>0.83451290926229071</v>
      </c>
      <c r="F1520" s="1303">
        <v>6.5932061013580526E-2</v>
      </c>
      <c r="G1520" s="1288">
        <v>5.8577836349665298E-2</v>
      </c>
      <c r="H1520" s="1280">
        <v>0.55433584839720029</v>
      </c>
      <c r="I1520" s="1303">
        <v>8.0851235308943961E-2</v>
      </c>
      <c r="J1520" s="1288">
        <v>9.940100182477983E-2</v>
      </c>
      <c r="K1520" s="1280">
        <v>0.94065506873890914</v>
      </c>
      <c r="L1520" s="1237">
        <v>0.17427021564555045</v>
      </c>
    </row>
    <row r="1521" spans="1:12" s="326" customFormat="1" ht="15.5" x14ac:dyDescent="0.35">
      <c r="A1521" s="328" t="s">
        <v>2485</v>
      </c>
      <c r="B1521" s="1291">
        <v>0.11170694107772167</v>
      </c>
      <c r="C1521" s="1257">
        <v>0.23820075710955355</v>
      </c>
      <c r="D1521" s="1257">
        <v>0.12411882341969074</v>
      </c>
      <c r="E1521" s="1280">
        <v>0.83451290926229071</v>
      </c>
      <c r="F1521" s="1303">
        <v>6.7556883437888376E-2</v>
      </c>
      <c r="G1521" s="1288">
        <v>5.9166975588753536E-2</v>
      </c>
      <c r="H1521" s="1280">
        <v>0.55991101163768975</v>
      </c>
      <c r="I1521" s="1303">
        <v>8.0549403503938785E-2</v>
      </c>
      <c r="J1521" s="1288">
        <v>0.10112791868576175</v>
      </c>
      <c r="K1521" s="1280">
        <v>0.95699728932776018</v>
      </c>
      <c r="L1521" s="1330">
        <v>0.17427021564555045</v>
      </c>
    </row>
    <row r="1522" spans="1:12" s="326" customFormat="1" ht="15.5" x14ac:dyDescent="0.35">
      <c r="A1522" s="328" t="s">
        <v>2486</v>
      </c>
      <c r="B1522" s="1291">
        <v>0.11170694107772167</v>
      </c>
      <c r="C1522" s="1257">
        <v>0.23820075710955355</v>
      </c>
      <c r="D1522" s="1257">
        <v>0.12411882341969074</v>
      </c>
      <c r="E1522" s="1280">
        <v>0.83451290926229071</v>
      </c>
      <c r="F1522" s="1303">
        <v>6.1608280317252406E-2</v>
      </c>
      <c r="G1522" s="1288">
        <v>5.954957311551104E-2</v>
      </c>
      <c r="H1522" s="1280">
        <v>0.56353162205634344</v>
      </c>
      <c r="I1522" s="1303">
        <v>8.078560051661457E-2</v>
      </c>
      <c r="J1522" s="1288">
        <v>0.10104457009286323</v>
      </c>
      <c r="K1522" s="1280">
        <v>0.95620854198172789</v>
      </c>
      <c r="L1522" s="1330">
        <v>0.17348350809582891</v>
      </c>
    </row>
    <row r="1523" spans="1:12" s="326" customFormat="1" ht="15.5" x14ac:dyDescent="0.35">
      <c r="A1523" s="328" t="s">
        <v>2487</v>
      </c>
      <c r="B1523" s="1291">
        <v>0.11170694107772167</v>
      </c>
      <c r="C1523" s="1257">
        <v>0.23820075710955355</v>
      </c>
      <c r="D1523" s="1257">
        <v>0.12411882341969074</v>
      </c>
      <c r="E1523" s="1280">
        <v>0.83451290926229071</v>
      </c>
      <c r="F1523" s="1303">
        <v>6.6594672758316889E-2</v>
      </c>
      <c r="G1523" s="1288">
        <v>5.8452082699211809E-2</v>
      </c>
      <c r="H1523" s="1280">
        <v>0.5531458120138647</v>
      </c>
      <c r="I1523" s="1303">
        <v>8.0712483386188416E-2</v>
      </c>
      <c r="J1523" s="1288">
        <v>0.10141548764771045</v>
      </c>
      <c r="K1523" s="1280">
        <v>0.95971862207796588</v>
      </c>
      <c r="L1523" s="1330">
        <v>0.16373758720559503</v>
      </c>
    </row>
    <row r="1524" spans="1:12" s="326" customFormat="1" ht="15.5" x14ac:dyDescent="0.35">
      <c r="A1524" s="328" t="s">
        <v>2488</v>
      </c>
      <c r="B1524" s="1291">
        <v>0.11170694107772167</v>
      </c>
      <c r="C1524" s="1257">
        <v>0.23820075710955355</v>
      </c>
      <c r="D1524" s="1257">
        <v>0.12411882341969074</v>
      </c>
      <c r="E1524" s="1280">
        <v>0.83451290926229071</v>
      </c>
      <c r="F1524" s="1303">
        <v>6.216319107120253E-2</v>
      </c>
      <c r="G1524" s="1288">
        <v>5.6176983275189482E-2</v>
      </c>
      <c r="H1524" s="1280">
        <v>0.53161601084682986</v>
      </c>
      <c r="I1524" s="1303">
        <v>7.8514998896958663E-2</v>
      </c>
      <c r="J1524" s="1288">
        <v>9.8875637458434112E-2</v>
      </c>
      <c r="K1524" s="1280">
        <v>0.93568342212503453</v>
      </c>
      <c r="L1524" s="1330">
        <v>0.19316589009637894</v>
      </c>
    </row>
    <row r="1525" spans="1:12" s="326" customFormat="1" ht="15.5" x14ac:dyDescent="0.35">
      <c r="A1525" s="328" t="s">
        <v>2489</v>
      </c>
      <c r="B1525" s="1291">
        <v>0.11170694107772167</v>
      </c>
      <c r="C1525" s="1257">
        <v>0.23820075710955355</v>
      </c>
      <c r="D1525" s="1257">
        <v>0.12411882341969074</v>
      </c>
      <c r="E1525" s="1280">
        <v>0.83451290926229071</v>
      </c>
      <c r="F1525" s="1303">
        <v>5.9917412246198246E-2</v>
      </c>
      <c r="G1525" s="1288">
        <v>5.6653379153951092E-2</v>
      </c>
      <c r="H1525" s="1280">
        <v>0.53612425714069889</v>
      </c>
      <c r="I1525" s="1303">
        <v>7.8033448491637666E-2</v>
      </c>
      <c r="J1525" s="1288">
        <v>9.9660543032751445E-2</v>
      </c>
      <c r="K1525" s="1280">
        <v>0.94311116825846408</v>
      </c>
      <c r="L1525" s="1330">
        <v>0.19316589009638679</v>
      </c>
    </row>
    <row r="1526" spans="1:12" s="326" customFormat="1" ht="15.5" x14ac:dyDescent="0.35">
      <c r="A1526" s="328" t="s">
        <v>2490</v>
      </c>
      <c r="B1526" s="1291">
        <v>0.11170694107772167</v>
      </c>
      <c r="C1526" s="1257">
        <v>0.23820075710955355</v>
      </c>
      <c r="D1526" s="1257">
        <v>0.12411882341969074</v>
      </c>
      <c r="E1526" s="1280">
        <v>0.83451290926229071</v>
      </c>
      <c r="F1526" s="1303">
        <v>6.1441180854405322E-2</v>
      </c>
      <c r="G1526" s="1288">
        <v>5.6992812873679924E-2</v>
      </c>
      <c r="H1526" s="1280">
        <v>0.53933639829725044</v>
      </c>
      <c r="I1526" s="1303">
        <v>7.5670023502519806E-2</v>
      </c>
      <c r="J1526" s="1288">
        <v>9.6938532437850694E-2</v>
      </c>
      <c r="K1526" s="1280">
        <v>0.91735214152583699</v>
      </c>
      <c r="L1526" s="1330">
        <v>0.19316589009635876</v>
      </c>
    </row>
    <row r="1527" spans="1:12" s="326" customFormat="1" ht="15.5" x14ac:dyDescent="0.35">
      <c r="A1527" s="328" t="s">
        <v>2491</v>
      </c>
      <c r="B1527" s="1291">
        <v>0.11170694107772167</v>
      </c>
      <c r="C1527" s="1257">
        <v>0.23820075710955355</v>
      </c>
      <c r="D1527" s="1257">
        <v>0.12411882341969074</v>
      </c>
      <c r="E1527" s="1280">
        <v>0.83451290926229071</v>
      </c>
      <c r="F1527" s="1303">
        <v>6.0151708162894835E-2</v>
      </c>
      <c r="G1527" s="1288">
        <v>5.6144354519324945E-2</v>
      </c>
      <c r="H1527" s="1280">
        <v>0.53130723725272944</v>
      </c>
      <c r="I1527" s="1303">
        <v>7.2907399677906687E-2</v>
      </c>
      <c r="J1527" s="1288">
        <v>9.5548842637746642E-2</v>
      </c>
      <c r="K1527" s="1280">
        <v>0.90420117996161709</v>
      </c>
      <c r="L1527" s="1330">
        <v>0.19784015809365019</v>
      </c>
    </row>
    <row r="1528" spans="1:12" s="326" customFormat="1" ht="15.5" x14ac:dyDescent="0.35">
      <c r="A1528" s="328" t="s">
        <v>2492</v>
      </c>
      <c r="B1528" s="1291">
        <v>0.11170694107772167</v>
      </c>
      <c r="C1528" s="1257">
        <v>0.23820075710955355</v>
      </c>
      <c r="D1528" s="1257">
        <v>0.12411882341969074</v>
      </c>
      <c r="E1528" s="1280">
        <v>0.83451290926229071</v>
      </c>
      <c r="F1528" s="1303">
        <v>5.526796069770968E-2</v>
      </c>
      <c r="G1528" s="1288">
        <v>5.4772616417087958E-2</v>
      </c>
      <c r="H1528" s="1280">
        <v>0.51832615682935446</v>
      </c>
      <c r="I1528" s="1303">
        <v>6.8388569455236414E-2</v>
      </c>
      <c r="J1528" s="1288">
        <v>9.0974809043683158E-2</v>
      </c>
      <c r="K1528" s="1280">
        <v>0.86091602381779564</v>
      </c>
      <c r="L1528" s="1330">
        <v>0.19784015809368247</v>
      </c>
    </row>
    <row r="1529" spans="1:12" s="326" customFormat="1" ht="15.5" x14ac:dyDescent="0.35">
      <c r="A1529" s="328" t="s">
        <v>2493</v>
      </c>
      <c r="B1529" s="1291">
        <v>0.11170694107772167</v>
      </c>
      <c r="C1529" s="1257">
        <v>0.23820075710955355</v>
      </c>
      <c r="D1529" s="1257">
        <v>0.12411882341969074</v>
      </c>
      <c r="E1529" s="1280">
        <v>0.83451290926229071</v>
      </c>
      <c r="F1529" s="1303">
        <v>5.7448544495899367E-2</v>
      </c>
      <c r="G1529" s="1288">
        <v>5.2804845808421833E-2</v>
      </c>
      <c r="H1529" s="1280">
        <v>0.4997046805546978</v>
      </c>
      <c r="I1529" s="1303">
        <v>6.8464600991914967E-2</v>
      </c>
      <c r="J1529" s="1288">
        <v>9.0120805954775063E-2</v>
      </c>
      <c r="K1529" s="1280">
        <v>0.85283439164555519</v>
      </c>
      <c r="L1529" s="1330">
        <v>0.19784015809349775</v>
      </c>
    </row>
    <row r="1530" spans="1:12" s="326" customFormat="1" ht="15.5" x14ac:dyDescent="0.35">
      <c r="A1530" s="328" t="s">
        <v>2494</v>
      </c>
      <c r="B1530" s="1291">
        <v>0.11170694107772167</v>
      </c>
      <c r="C1530" s="1257">
        <v>0.23820075710955355</v>
      </c>
      <c r="D1530" s="1257">
        <v>0.12411882341969074</v>
      </c>
      <c r="E1530" s="1280">
        <v>0.83451290926229071</v>
      </c>
      <c r="F1530" s="1303">
        <v>5.4412212191300359E-2</v>
      </c>
      <c r="G1530" s="1288">
        <v>5.2659862004308833E-2</v>
      </c>
      <c r="H1530" s="1280">
        <v>0.49833266470254017</v>
      </c>
      <c r="I1530" s="1303">
        <v>6.5018006861734895E-2</v>
      </c>
      <c r="J1530" s="1288">
        <v>8.7425440825907946E-2</v>
      </c>
      <c r="K1530" s="1280">
        <v>0.82732751722752584</v>
      </c>
      <c r="L1530" s="1330">
        <v>0.19784015809366876</v>
      </c>
    </row>
    <row r="1531" spans="1:12" s="326" customFormat="1" ht="15.5" x14ac:dyDescent="0.35">
      <c r="A1531" s="328" t="s">
        <v>2495</v>
      </c>
      <c r="B1531" s="1291">
        <v>0.11170694107772167</v>
      </c>
      <c r="C1531" s="1257">
        <v>0.23820075710955355</v>
      </c>
      <c r="D1531" s="1257">
        <v>0.12411882341969074</v>
      </c>
      <c r="E1531" s="1280">
        <v>0.83451290926229071</v>
      </c>
      <c r="F1531" s="1303">
        <v>5.2904064499703689E-2</v>
      </c>
      <c r="G1531" s="1288">
        <v>5.0043152672904496E-2</v>
      </c>
      <c r="H1531" s="1280">
        <v>0.47357012860314762</v>
      </c>
      <c r="I1531" s="1303">
        <v>6.3385650647205888E-2</v>
      </c>
      <c r="J1531" s="1288">
        <v>8.5216499458042952E-2</v>
      </c>
      <c r="K1531" s="1280">
        <v>0.80642378531250947</v>
      </c>
      <c r="L1531" s="1330">
        <v>0.17892539369044827</v>
      </c>
    </row>
    <row r="1532" spans="1:12" s="326" customFormat="1" ht="15.5" x14ac:dyDescent="0.35">
      <c r="A1532" s="328" t="s">
        <v>2496</v>
      </c>
      <c r="B1532" s="1291">
        <v>0.11170694107772167</v>
      </c>
      <c r="C1532" s="1257">
        <v>0.23820075710955355</v>
      </c>
      <c r="D1532" s="1257">
        <v>0.12411882341969074</v>
      </c>
      <c r="E1532" s="1280">
        <v>0.83451290926229071</v>
      </c>
      <c r="F1532" s="1303">
        <v>5.1513474619051078E-2</v>
      </c>
      <c r="G1532" s="1288">
        <v>4.8247473706664289E-2</v>
      </c>
      <c r="H1532" s="1280">
        <v>0.45657719603291863</v>
      </c>
      <c r="I1532" s="1303">
        <v>6.1818256471860011E-2</v>
      </c>
      <c r="J1532" s="1288">
        <v>8.309424215965916E-2</v>
      </c>
      <c r="K1532" s="1280">
        <v>0.78634036514324523</v>
      </c>
      <c r="L1532" s="1330">
        <v>0.17892539369059052</v>
      </c>
    </row>
    <row r="1533" spans="1:12" s="326" customFormat="1" ht="15.5" x14ac:dyDescent="0.35">
      <c r="A1533" s="328" t="s">
        <v>2497</v>
      </c>
      <c r="B1533" s="1291">
        <v>0.11170694107772167</v>
      </c>
      <c r="C1533" s="1257">
        <v>0.23820075710955355</v>
      </c>
      <c r="D1533" s="1257">
        <v>0.12411882341969074</v>
      </c>
      <c r="E1533" s="1280">
        <v>0.83451290926229071</v>
      </c>
      <c r="F1533" s="1303">
        <v>5.0092803196269783E-2</v>
      </c>
      <c r="G1533" s="1288">
        <v>4.6538729664168256E-2</v>
      </c>
      <c r="H1533" s="1280">
        <v>0.44040694910135691</v>
      </c>
      <c r="I1533" s="1303">
        <v>6.0250834282960831E-2</v>
      </c>
      <c r="J1533" s="1288">
        <v>8.0975663811878179E-2</v>
      </c>
      <c r="K1533" s="1280">
        <v>0.76629175974917074</v>
      </c>
      <c r="L1533" s="1330">
        <v>0.17892539369062127</v>
      </c>
    </row>
    <row r="1534" spans="1:12" s="326" customFormat="1" ht="15.5" x14ac:dyDescent="0.35">
      <c r="A1534" s="328" t="s">
        <v>2498</v>
      </c>
      <c r="B1534" s="1291">
        <v>0.11170694107772167</v>
      </c>
      <c r="C1534" s="1257">
        <v>0.23820075710955355</v>
      </c>
      <c r="D1534" s="1257">
        <v>0.12411882341969074</v>
      </c>
      <c r="E1534" s="1280">
        <v>0.83451290926229071</v>
      </c>
      <c r="F1534" s="1303">
        <v>4.9804216435663289E-2</v>
      </c>
      <c r="G1534" s="1288">
        <v>4.4906153142666987E-2</v>
      </c>
      <c r="H1534" s="1306">
        <v>0.42426759080271387</v>
      </c>
      <c r="I1534" s="1303">
        <v>6.0242947053883902E-2</v>
      </c>
      <c r="J1534" s="1288">
        <v>8.0940585990826305E-2</v>
      </c>
      <c r="K1534" s="1306">
        <v>0.59941300872643599</v>
      </c>
      <c r="L1534" s="1330">
        <v>0.16538495420504185</v>
      </c>
    </row>
    <row r="1535" spans="1:12" s="326" customFormat="1" ht="15.5" x14ac:dyDescent="0.35">
      <c r="A1535" s="328" t="s">
        <v>2499</v>
      </c>
      <c r="B1535" s="1291">
        <v>0.11170694107772167</v>
      </c>
      <c r="C1535" s="1257">
        <v>0.23820075710955355</v>
      </c>
      <c r="D1535" s="1257">
        <v>0.12411882341969074</v>
      </c>
      <c r="E1535" s="1280">
        <v>0.83451290926229071</v>
      </c>
      <c r="F1535" s="1303">
        <v>4.9547685677751543E-2</v>
      </c>
      <c r="G1535" s="1288">
        <v>4.3384728330421445E-2</v>
      </c>
      <c r="H1535" s="1306">
        <v>0.43218137038989102</v>
      </c>
      <c r="I1535" s="1303">
        <v>6.0234294458008937E-2</v>
      </c>
      <c r="J1535" s="1288">
        <v>8.0904007688222729E-2</v>
      </c>
      <c r="K1535" s="1306">
        <v>0.59943849225481016</v>
      </c>
      <c r="L1535" s="1330">
        <v>0.16538495420494628</v>
      </c>
    </row>
    <row r="1536" spans="1:12" s="326" customFormat="1" ht="15.5" x14ac:dyDescent="0.35">
      <c r="A1536" s="328" t="s">
        <v>2500</v>
      </c>
      <c r="B1536" s="1287">
        <v>0.11170694107772167</v>
      </c>
      <c r="C1536" s="1288">
        <v>0.23820075710955355</v>
      </c>
      <c r="D1536" s="1288">
        <v>0.23349729079729581</v>
      </c>
      <c r="E1536" s="1306">
        <v>1.9037842950590318</v>
      </c>
      <c r="F1536" s="1303">
        <v>4.9385388328403584E-2</v>
      </c>
      <c r="G1536" s="1288">
        <v>4.2838373777752153E-2</v>
      </c>
      <c r="H1536" s="1306">
        <v>0.44765159893062367</v>
      </c>
      <c r="I1536" s="1303">
        <v>6.022557251477214E-2</v>
      </c>
      <c r="J1536" s="1288">
        <v>8.0867759069314094E-2</v>
      </c>
      <c r="K1536" s="1306">
        <v>0.59946296915548258</v>
      </c>
      <c r="L1536" s="1330">
        <v>0.16426357961926527</v>
      </c>
    </row>
    <row r="1537" spans="1:12" s="326" customFormat="1" ht="15.5" x14ac:dyDescent="0.35">
      <c r="A1537" s="328" t="s">
        <v>2501</v>
      </c>
      <c r="B1537" s="1287">
        <v>0.11989940299393936</v>
      </c>
      <c r="C1537" s="1288">
        <v>0.2417040762008304</v>
      </c>
      <c r="D1537" s="1288">
        <v>0.24721737239978514</v>
      </c>
      <c r="E1537" s="1306">
        <v>1.9140961818266244</v>
      </c>
      <c r="F1537" s="1303">
        <v>4.9190585580450107E-2</v>
      </c>
      <c r="G1537" s="1288">
        <v>4.2607638617550056E-2</v>
      </c>
      <c r="H1537" s="1306">
        <v>0.46319081508456683</v>
      </c>
      <c r="I1537" s="1303">
        <v>6.0217188900611361E-2</v>
      </c>
      <c r="J1537" s="1288">
        <v>8.0832930452619078E-2</v>
      </c>
      <c r="K1537" s="1306">
        <v>0.59952564086816518</v>
      </c>
      <c r="L1537" s="1330">
        <v>0.15737467455864601</v>
      </c>
    </row>
    <row r="1538" spans="1:12" s="326" customFormat="1" ht="15.5" x14ac:dyDescent="0.35">
      <c r="A1538" s="328" t="s">
        <v>2502</v>
      </c>
      <c r="B1538" s="1287">
        <v>0.11428808520896638</v>
      </c>
      <c r="C1538" s="1288">
        <v>0.23822596177644631</v>
      </c>
      <c r="D1538" s="1288">
        <v>0.24827114987948201</v>
      </c>
      <c r="E1538" s="1306">
        <v>1.9033773886805783</v>
      </c>
      <c r="F1538" s="1303">
        <v>4.9000653392302647E-2</v>
      </c>
      <c r="G1538" s="1288">
        <v>4.2381318586668791E-2</v>
      </c>
      <c r="H1538" s="1306">
        <v>0.47460023804210211</v>
      </c>
      <c r="I1538" s="1303">
        <v>6.0208849603087339E-2</v>
      </c>
      <c r="J1538" s="1288">
        <v>8.0798856337269021E-2</v>
      </c>
      <c r="K1538" s="1306">
        <v>0.59959077207330713</v>
      </c>
      <c r="L1538" s="1330">
        <v>0.15649907440118691</v>
      </c>
    </row>
    <row r="1539" spans="1:12" s="326" customFormat="1" ht="15.5" x14ac:dyDescent="0.35">
      <c r="A1539" s="328" t="s">
        <v>2503</v>
      </c>
      <c r="B1539" s="1287">
        <v>0.11073085794335995</v>
      </c>
      <c r="C1539" s="1288">
        <v>0.22082848810253355</v>
      </c>
      <c r="D1539" s="1288">
        <v>0.26240254612974345</v>
      </c>
      <c r="E1539" s="1306">
        <v>1.940380148969707</v>
      </c>
      <c r="F1539" s="1303">
        <v>4.8780633585137761E-2</v>
      </c>
      <c r="G1539" s="1288">
        <v>4.2155455566937186E-2</v>
      </c>
      <c r="H1539" s="1306">
        <v>0.48327914169940539</v>
      </c>
      <c r="I1539" s="1303">
        <v>6.0200403602302048E-2</v>
      </c>
      <c r="J1539" s="1288">
        <v>8.0764898606547342E-2</v>
      </c>
      <c r="K1539" s="1306">
        <v>0.5996593898862379</v>
      </c>
      <c r="L1539" s="1330">
        <v>0.1557110342594846</v>
      </c>
    </row>
    <row r="1540" spans="1:12" s="326" customFormat="1" ht="15.5" x14ac:dyDescent="0.35">
      <c r="A1540" s="328" t="s">
        <v>2504</v>
      </c>
      <c r="B1540" s="1287">
        <v>6.4670367970624379E-2</v>
      </c>
      <c r="C1540" s="1288">
        <v>9.6674099899988528E-2</v>
      </c>
      <c r="D1540" s="1288">
        <v>9.6756978857270082E-2</v>
      </c>
      <c r="E1540" s="1306">
        <v>1.9224540488455977</v>
      </c>
      <c r="F1540" s="1303">
        <v>4.8560729589126564E-2</v>
      </c>
      <c r="G1540" s="1288">
        <v>4.1922503901839811E-2</v>
      </c>
      <c r="H1540" s="1306">
        <v>0.48945615833025369</v>
      </c>
      <c r="I1540" s="1303">
        <v>6.0191860133758712E-2</v>
      </c>
      <c r="J1540" s="1288">
        <v>8.0730523019465913E-2</v>
      </c>
      <c r="K1540" s="1306">
        <v>0.5997356567912967</v>
      </c>
      <c r="L1540" s="1330">
        <v>0.15500179813195397</v>
      </c>
    </row>
    <row r="1541" spans="1:12" s="326" customFormat="1" ht="15.5" x14ac:dyDescent="0.35">
      <c r="A1541" s="328" t="s">
        <v>2505</v>
      </c>
      <c r="B1541" s="1287">
        <v>6.5574775904484517E-2</v>
      </c>
      <c r="C1541" s="1288">
        <v>8.5466525695557516E-2</v>
      </c>
      <c r="D1541" s="1288">
        <v>9.5747102826723218E-2</v>
      </c>
      <c r="E1541" s="1306">
        <v>1.961352472788406</v>
      </c>
      <c r="F1541" s="1303">
        <v>4.8293122347021412E-2</v>
      </c>
      <c r="G1541" s="1288">
        <v>4.1692565735198174E-2</v>
      </c>
      <c r="H1541" s="1306">
        <v>0.49714126920400475</v>
      </c>
      <c r="I1541" s="1303">
        <v>6.0183259179856709E-2</v>
      </c>
      <c r="J1541" s="1288">
        <v>8.0695199966283049E-2</v>
      </c>
      <c r="K1541" s="1306">
        <v>0.5997844552030055</v>
      </c>
      <c r="L1541" s="1330">
        <v>0.1543634856171639</v>
      </c>
    </row>
    <row r="1542" spans="1:12" s="326" customFormat="1" ht="15.5" x14ac:dyDescent="0.35">
      <c r="A1542" s="328" t="s">
        <v>2506</v>
      </c>
      <c r="B1542" s="1287">
        <v>6.4735510931571649E-2</v>
      </c>
      <c r="C1542" s="1288">
        <v>9.312698646055767E-2</v>
      </c>
      <c r="D1542" s="1288">
        <v>8.6720310669159764E-2</v>
      </c>
      <c r="E1542" s="1306">
        <v>1.8016062030031579</v>
      </c>
      <c r="F1542" s="1303">
        <v>4.8030972300927108E-2</v>
      </c>
      <c r="G1542" s="1288">
        <v>4.1483614816141025E-2</v>
      </c>
      <c r="H1542" s="1306">
        <v>0.50430536247772206</v>
      </c>
      <c r="I1542" s="1303">
        <v>6.0174333502805585E-2</v>
      </c>
      <c r="J1542" s="1288">
        <v>8.0657982194883182E-2</v>
      </c>
      <c r="K1542" s="1306">
        <v>0.59984739494403372</v>
      </c>
      <c r="L1542" s="1330">
        <v>0.15378900435386297</v>
      </c>
    </row>
    <row r="1543" spans="1:12" s="326" customFormat="1" ht="15.5" x14ac:dyDescent="0.35">
      <c r="A1543" s="328" t="s">
        <v>2507</v>
      </c>
      <c r="B1543" s="1287">
        <v>6.4815382071033018E-2</v>
      </c>
      <c r="C1543" s="1288">
        <v>8.5063589953601304E-2</v>
      </c>
      <c r="D1543" s="1288">
        <v>8.480755710652986E-2</v>
      </c>
      <c r="E1543" s="1306">
        <v>1.8717991672744294</v>
      </c>
      <c r="F1543" s="1303">
        <v>4.7709601774633667E-2</v>
      </c>
      <c r="G1543" s="1288">
        <v>4.1273991795931678E-2</v>
      </c>
      <c r="H1543" s="1306">
        <v>0.51023977861373004</v>
      </c>
      <c r="I1543" s="1303">
        <v>6.0165044099130663E-2</v>
      </c>
      <c r="J1543" s="1288">
        <v>8.0618972145027765E-2</v>
      </c>
      <c r="K1543" s="1306">
        <v>0.59994144654399384</v>
      </c>
      <c r="L1543" s="1330">
        <v>0.15378900435386059</v>
      </c>
    </row>
    <row r="1544" spans="1:12" s="326" customFormat="1" ht="15.5" x14ac:dyDescent="0.35">
      <c r="A1544" s="328" t="s">
        <v>2508</v>
      </c>
      <c r="B1544" s="1287">
        <v>6.4764370128812018E-2</v>
      </c>
      <c r="C1544" s="1288">
        <v>9.5939583161905068E-2</v>
      </c>
      <c r="D1544" s="1288">
        <v>8.3703654676388045E-2</v>
      </c>
      <c r="E1544" s="1306">
        <v>1.8163785563633781</v>
      </c>
      <c r="F1544" s="1303">
        <v>4.7353147637798375E-2</v>
      </c>
      <c r="G1544" s="1288">
        <v>4.1059799201518053E-2</v>
      </c>
      <c r="H1544" s="1306">
        <v>0.51536129244510864</v>
      </c>
      <c r="I1544" s="1303">
        <v>6.0155361214642461E-2</v>
      </c>
      <c r="J1544" s="1288">
        <v>8.0579087878881128E-2</v>
      </c>
      <c r="K1544" s="1306">
        <v>0.60003100263907139</v>
      </c>
      <c r="L1544" s="1330">
        <v>0.15378900435385895</v>
      </c>
    </row>
    <row r="1545" spans="1:12" s="326" customFormat="1" ht="15.5" x14ac:dyDescent="0.35">
      <c r="A1545" s="328" t="s">
        <v>2509</v>
      </c>
      <c r="B1545" s="1287">
        <v>6.4543330592285786E-2</v>
      </c>
      <c r="C1545" s="1288">
        <v>7.475021154865194E-2</v>
      </c>
      <c r="D1545" s="1288">
        <v>8.4374128745729124E-2</v>
      </c>
      <c r="E1545" s="1306">
        <v>1.8998878604840246</v>
      </c>
      <c r="F1545" s="1303">
        <v>4.6915935288038176E-2</v>
      </c>
      <c r="G1545" s="1288">
        <v>4.0836931906678899E-2</v>
      </c>
      <c r="H1545" s="1306">
        <v>0.51947765759037101</v>
      </c>
      <c r="I1545" s="1303">
        <v>6.0145011024690283E-2</v>
      </c>
      <c r="J1545" s="1288">
        <v>8.053955603673163E-2</v>
      </c>
      <c r="K1545" s="1306">
        <v>0.60015695645205447</v>
      </c>
      <c r="L1545" s="1330">
        <v>0.15378900435386286</v>
      </c>
    </row>
    <row r="1546" spans="1:12" s="326" customFormat="1" ht="15.5" x14ac:dyDescent="0.35">
      <c r="A1546" s="328" t="s">
        <v>2510</v>
      </c>
      <c r="B1546" s="1287">
        <v>6.4638498242281628E-2</v>
      </c>
      <c r="C1546" s="1288">
        <v>9.1563566274488084E-2</v>
      </c>
      <c r="D1546" s="1288">
        <v>8.3844665776570973E-2</v>
      </c>
      <c r="E1546" s="1306">
        <v>1.9585972683089095</v>
      </c>
      <c r="F1546" s="1303">
        <v>4.689966627816658E-2</v>
      </c>
      <c r="G1546" s="1288">
        <v>4.0817423168937543E-2</v>
      </c>
      <c r="H1546" s="1306">
        <v>0.51938500922649422</v>
      </c>
      <c r="I1546" s="1303">
        <v>6.0133649781153216E-2</v>
      </c>
      <c r="J1546" s="1288">
        <v>8.0501736822612885E-2</v>
      </c>
      <c r="K1546" s="1306">
        <v>0.60030943312740537</v>
      </c>
      <c r="L1546" s="1330">
        <v>0.15378900435386109</v>
      </c>
    </row>
    <row r="1547" spans="1:12" s="326" customFormat="1" ht="15.5" x14ac:dyDescent="0.35">
      <c r="A1547" s="328" t="s">
        <v>2511</v>
      </c>
      <c r="B1547" s="1287">
        <v>6.3966861657527185E-2</v>
      </c>
      <c r="C1547" s="1288">
        <v>8.2561612423838263E-2</v>
      </c>
      <c r="D1547" s="1288">
        <v>7.4458859469190564E-2</v>
      </c>
      <c r="E1547" s="1306">
        <v>1.992278511822914</v>
      </c>
      <c r="F1547" s="1303">
        <v>4.6896778667965391E-2</v>
      </c>
      <c r="G1547" s="1288">
        <v>4.079749875639551E-2</v>
      </c>
      <c r="H1547" s="1306">
        <v>0.51924155006341532</v>
      </c>
      <c r="I1547" s="1303">
        <v>6.0120610010188674E-2</v>
      </c>
      <c r="J1547" s="1288">
        <v>8.0465148537761474E-2</v>
      </c>
      <c r="K1547" s="1306">
        <v>0.60047150148929351</v>
      </c>
      <c r="L1547" s="1330">
        <v>0.15378900435386228</v>
      </c>
    </row>
    <row r="1548" spans="1:12" s="326" customFormat="1" ht="15.5" x14ac:dyDescent="0.35">
      <c r="A1548" s="328" t="s">
        <v>2512</v>
      </c>
      <c r="B1548" s="1287">
        <v>6.4265435684909805E-2</v>
      </c>
      <c r="C1548" s="1288">
        <v>6.8328045631011511E-2</v>
      </c>
      <c r="D1548" s="1288">
        <v>8.5226293500462472E-2</v>
      </c>
      <c r="E1548" s="1306">
        <v>1.9380667153599471</v>
      </c>
      <c r="F1548" s="1303">
        <v>4.6855072587967207E-2</v>
      </c>
      <c r="G1548" s="1288">
        <v>4.0768608466382257E-2</v>
      </c>
      <c r="H1548" s="1306">
        <v>0.51855466501228764</v>
      </c>
      <c r="I1548" s="1303">
        <v>6.010480639566667E-2</v>
      </c>
      <c r="J1548" s="1288">
        <v>8.0424652793383011E-2</v>
      </c>
      <c r="K1548" s="1306">
        <v>0.6006346128403659</v>
      </c>
      <c r="L1548" s="1330">
        <v>0.15378900435386253</v>
      </c>
    </row>
    <row r="1549" spans="1:12" s="326" customFormat="1" ht="15.5" x14ac:dyDescent="0.35">
      <c r="A1549" s="328" t="s">
        <v>2513</v>
      </c>
      <c r="B1549" s="1287">
        <v>6.4872577391815692E-2</v>
      </c>
      <c r="C1549" s="1288">
        <v>8.969672832728913E-2</v>
      </c>
      <c r="D1549" s="1288">
        <v>7.0924192586304641E-2</v>
      </c>
      <c r="E1549" s="1306">
        <v>1.9272819444935527</v>
      </c>
      <c r="F1549" s="1303">
        <v>4.682808854680473E-2</v>
      </c>
      <c r="G1549" s="1288">
        <v>4.0723287685425005E-2</v>
      </c>
      <c r="H1549" s="1306">
        <v>0.51762359919012491</v>
      </c>
      <c r="I1549" s="1303">
        <v>6.0084492766606906E-2</v>
      </c>
      <c r="J1549" s="1288">
        <v>8.0365823237507988E-2</v>
      </c>
      <c r="K1549" s="1306">
        <v>0.60074911712818735</v>
      </c>
      <c r="L1549" s="1330">
        <v>0.15378900435386275</v>
      </c>
    </row>
    <row r="1550" spans="1:12" s="326" customFormat="1" ht="15.5" x14ac:dyDescent="0.35">
      <c r="A1550" s="328" t="s">
        <v>2514</v>
      </c>
      <c r="B1550" s="1287">
        <v>6.4855016882013977E-2</v>
      </c>
      <c r="C1550" s="1288">
        <v>7.8784967273736628E-2</v>
      </c>
      <c r="D1550" s="1288">
        <v>7.5031470801508335E-2</v>
      </c>
      <c r="E1550" s="1306">
        <v>1.952639455263369</v>
      </c>
      <c r="F1550" s="1303">
        <v>4.6326955771536053E-2</v>
      </c>
      <c r="G1550" s="1288">
        <v>4.0460933285760371E-2</v>
      </c>
      <c r="H1550" s="1306">
        <v>0.50832999832346293</v>
      </c>
      <c r="I1550" s="1303">
        <v>6.0053965605150819E-2</v>
      </c>
      <c r="J1550" s="1288">
        <v>8.0252184006296093E-2</v>
      </c>
      <c r="K1550" s="1306">
        <v>0.60049995247414334</v>
      </c>
      <c r="L1550" s="1330">
        <v>0.15378966006424194</v>
      </c>
    </row>
    <row r="1551" spans="1:12" s="326" customFormat="1" ht="15.5" x14ac:dyDescent="0.35">
      <c r="A1551" s="328" t="s">
        <v>2515</v>
      </c>
      <c r="B1551" s="1291">
        <v>6.4855016882013977E-2</v>
      </c>
      <c r="C1551" s="1257">
        <v>7.8784967273736628E-2</v>
      </c>
      <c r="D1551" s="1257">
        <v>7.5031470801508335E-2</v>
      </c>
      <c r="E1551" s="1280">
        <v>1.952639455263369</v>
      </c>
      <c r="F1551" s="1271">
        <v>4.6326955771536053E-2</v>
      </c>
      <c r="G1551" s="1257">
        <v>4.0460933285760371E-2</v>
      </c>
      <c r="H1551" s="1280">
        <v>0.50832999832346293</v>
      </c>
      <c r="I1551" s="1271">
        <v>6.0053965605150819E-2</v>
      </c>
      <c r="J1551" s="1257">
        <v>8.0252184006296093E-2</v>
      </c>
      <c r="K1551" s="1280">
        <v>0.60049995247414334</v>
      </c>
      <c r="L1551" s="1330">
        <v>0.16102436982310608</v>
      </c>
    </row>
    <row r="1552" spans="1:12" s="326" customFormat="1" ht="15.5" x14ac:dyDescent="0.35">
      <c r="A1552" s="328" t="s">
        <v>2516</v>
      </c>
      <c r="B1552" s="1291">
        <v>0.11989940299393936</v>
      </c>
      <c r="C1552" s="1257">
        <v>0.24170971130534397</v>
      </c>
      <c r="D1552" s="1257">
        <v>0.13322155888215484</v>
      </c>
      <c r="E1552" s="1280">
        <v>0.89571515114416811</v>
      </c>
      <c r="F1552" s="1271">
        <v>5.789357354886461E-2</v>
      </c>
      <c r="G1552" s="1257">
        <v>7.5076825905633401E-2</v>
      </c>
      <c r="H1552" s="1280">
        <v>0.71046966868051609</v>
      </c>
      <c r="I1552" s="1271">
        <v>6.4204804304181698E-2</v>
      </c>
      <c r="J1552" s="1257">
        <v>0.12967565470002132</v>
      </c>
      <c r="K1552" s="1280">
        <v>1.2271512323450546</v>
      </c>
      <c r="L1552" s="1237">
        <v>0.17427001819050048</v>
      </c>
    </row>
    <row r="1553" spans="1:12" s="326" customFormat="1" ht="15.5" x14ac:dyDescent="0.35">
      <c r="A1553" s="328" t="s">
        <v>2517</v>
      </c>
      <c r="B1553" s="1291">
        <v>0.11989940299393936</v>
      </c>
      <c r="C1553" s="1257">
        <v>0.24170971130534397</v>
      </c>
      <c r="D1553" s="1257">
        <v>0.13322155888215484</v>
      </c>
      <c r="E1553" s="1280">
        <v>0.89571515114416811</v>
      </c>
      <c r="F1553" s="1271">
        <v>5.789357354886461E-2</v>
      </c>
      <c r="G1553" s="1257">
        <v>7.5076825905633401E-2</v>
      </c>
      <c r="H1553" s="1280">
        <v>0.71046966868051609</v>
      </c>
      <c r="I1553" s="1271">
        <v>6.4204804304181698E-2</v>
      </c>
      <c r="J1553" s="1257">
        <v>0.12967565470002132</v>
      </c>
      <c r="K1553" s="1280">
        <v>1.2271512323450546</v>
      </c>
      <c r="L1553" s="1237">
        <v>0.17427001819050048</v>
      </c>
    </row>
    <row r="1554" spans="1:12" s="326" customFormat="1" ht="15.5" x14ac:dyDescent="0.35">
      <c r="A1554" s="328" t="s">
        <v>2518</v>
      </c>
      <c r="B1554" s="1291">
        <v>0.11989940299393936</v>
      </c>
      <c r="C1554" s="1257">
        <v>0.24170971130534397</v>
      </c>
      <c r="D1554" s="1257">
        <v>0.13322155888215484</v>
      </c>
      <c r="E1554" s="1280">
        <v>0.89571515114416811</v>
      </c>
      <c r="F1554" s="1271">
        <v>5.789357354886461E-2</v>
      </c>
      <c r="G1554" s="1257">
        <v>7.5076825905633401E-2</v>
      </c>
      <c r="H1554" s="1280">
        <v>0.71046966868051609</v>
      </c>
      <c r="I1554" s="1271">
        <v>6.4204804304181698E-2</v>
      </c>
      <c r="J1554" s="1257">
        <v>0.12967565470002132</v>
      </c>
      <c r="K1554" s="1280">
        <v>1.2271512323450546</v>
      </c>
      <c r="L1554" s="1237">
        <v>0.17427001819050048</v>
      </c>
    </row>
    <row r="1555" spans="1:12" s="326" customFormat="1" ht="15.5" x14ac:dyDescent="0.35">
      <c r="A1555" s="328" t="s">
        <v>2519</v>
      </c>
      <c r="B1555" s="1291">
        <v>0.11989940299393936</v>
      </c>
      <c r="C1555" s="1257">
        <v>0.24170971130534397</v>
      </c>
      <c r="D1555" s="1257">
        <v>0.13322155888215484</v>
      </c>
      <c r="E1555" s="1280">
        <v>0.89571515114416811</v>
      </c>
      <c r="F1555" s="1271">
        <v>5.789357354886461E-2</v>
      </c>
      <c r="G1555" s="1257">
        <v>7.5076825905633401E-2</v>
      </c>
      <c r="H1555" s="1280">
        <v>0.71046966868051609</v>
      </c>
      <c r="I1555" s="1271">
        <v>6.4204804304181698E-2</v>
      </c>
      <c r="J1555" s="1257">
        <v>0.12967565470002132</v>
      </c>
      <c r="K1555" s="1280">
        <v>1.2271512323450546</v>
      </c>
      <c r="L1555" s="1237">
        <v>0.17427001819050048</v>
      </c>
    </row>
    <row r="1556" spans="1:12" s="326" customFormat="1" ht="15.5" x14ac:dyDescent="0.35">
      <c r="A1556" s="328" t="s">
        <v>2520</v>
      </c>
      <c r="B1556" s="1291">
        <v>0.11989940299393936</v>
      </c>
      <c r="C1556" s="1257">
        <v>0.24170971130534397</v>
      </c>
      <c r="D1556" s="1257">
        <v>0.13322155888215484</v>
      </c>
      <c r="E1556" s="1280">
        <v>0.89571515114416811</v>
      </c>
      <c r="F1556" s="1271">
        <v>5.789357354886461E-2</v>
      </c>
      <c r="G1556" s="1257">
        <v>7.5076825905633401E-2</v>
      </c>
      <c r="H1556" s="1280">
        <v>0.71046966868051609</v>
      </c>
      <c r="I1556" s="1271">
        <v>6.4204804304181698E-2</v>
      </c>
      <c r="J1556" s="1257">
        <v>0.12967565470002132</v>
      </c>
      <c r="K1556" s="1280">
        <v>1.2271512323450546</v>
      </c>
      <c r="L1556" s="1237">
        <v>0.17427001819050048</v>
      </c>
    </row>
    <row r="1557" spans="1:12" s="326" customFormat="1" ht="15.5" x14ac:dyDescent="0.35">
      <c r="A1557" s="328" t="s">
        <v>2521</v>
      </c>
      <c r="B1557" s="1291">
        <v>0.11989940299393936</v>
      </c>
      <c r="C1557" s="1257">
        <v>0.24170971130534397</v>
      </c>
      <c r="D1557" s="1257">
        <v>0.13322155888215484</v>
      </c>
      <c r="E1557" s="1280">
        <v>0.89571515114416811</v>
      </c>
      <c r="F1557" s="1271">
        <v>5.789357354886461E-2</v>
      </c>
      <c r="G1557" s="1257">
        <v>7.5076825905633401E-2</v>
      </c>
      <c r="H1557" s="1280">
        <v>0.71046966868051609</v>
      </c>
      <c r="I1557" s="1271">
        <v>6.4204804304181698E-2</v>
      </c>
      <c r="J1557" s="1257">
        <v>0.12967565470002132</v>
      </c>
      <c r="K1557" s="1280">
        <v>1.2271512323450546</v>
      </c>
      <c r="L1557" s="1237">
        <v>0.17427001819050048</v>
      </c>
    </row>
    <row r="1558" spans="1:12" s="326" customFormat="1" ht="15.5" x14ac:dyDescent="0.35">
      <c r="A1558" s="328" t="s">
        <v>2522</v>
      </c>
      <c r="B1558" s="1291">
        <v>0.11989940299393936</v>
      </c>
      <c r="C1558" s="1257">
        <v>0.24170971130534397</v>
      </c>
      <c r="D1558" s="1257">
        <v>0.13322155888215484</v>
      </c>
      <c r="E1558" s="1280">
        <v>0.89571515114416811</v>
      </c>
      <c r="F1558" s="1271">
        <v>5.789357354886461E-2</v>
      </c>
      <c r="G1558" s="1257">
        <v>7.5076825905633401E-2</v>
      </c>
      <c r="H1558" s="1280">
        <v>0.71046966868051609</v>
      </c>
      <c r="I1558" s="1271">
        <v>6.4204804304181698E-2</v>
      </c>
      <c r="J1558" s="1257">
        <v>0.12967565470002132</v>
      </c>
      <c r="K1558" s="1280">
        <v>1.2271512323450546</v>
      </c>
      <c r="L1558" s="1237">
        <v>0.17427001819050048</v>
      </c>
    </row>
    <row r="1559" spans="1:12" s="326" customFormat="1" ht="15.5" x14ac:dyDescent="0.35">
      <c r="A1559" s="328" t="s">
        <v>2523</v>
      </c>
      <c r="B1559" s="1291">
        <v>0.11989940299393936</v>
      </c>
      <c r="C1559" s="1257">
        <v>0.24170971130534397</v>
      </c>
      <c r="D1559" s="1257">
        <v>0.13322155888215484</v>
      </c>
      <c r="E1559" s="1280">
        <v>0.89571515114416811</v>
      </c>
      <c r="F1559" s="1271">
        <v>5.789357354886461E-2</v>
      </c>
      <c r="G1559" s="1257">
        <v>7.5076825905633401E-2</v>
      </c>
      <c r="H1559" s="1280">
        <v>0.71046966868051609</v>
      </c>
      <c r="I1559" s="1271">
        <v>6.4204804304181698E-2</v>
      </c>
      <c r="J1559" s="1257">
        <v>0.12967565470002132</v>
      </c>
      <c r="K1559" s="1280">
        <v>1.2271512323450546</v>
      </c>
      <c r="L1559" s="1237">
        <v>0.17427001819050048</v>
      </c>
    </row>
    <row r="1560" spans="1:12" s="326" customFormat="1" ht="15.5" x14ac:dyDescent="0.35">
      <c r="A1560" s="328" t="s">
        <v>2524</v>
      </c>
      <c r="B1560" s="1291">
        <v>0.11989940299393936</v>
      </c>
      <c r="C1560" s="1257">
        <v>0.24170971130534397</v>
      </c>
      <c r="D1560" s="1257">
        <v>0.13322155888215484</v>
      </c>
      <c r="E1560" s="1280">
        <v>0.89571515114416811</v>
      </c>
      <c r="F1560" s="1271">
        <v>5.789357354886461E-2</v>
      </c>
      <c r="G1560" s="1257">
        <v>7.5076825905633401E-2</v>
      </c>
      <c r="H1560" s="1280">
        <v>0.71046966868051609</v>
      </c>
      <c r="I1560" s="1271">
        <v>6.4204804304181698E-2</v>
      </c>
      <c r="J1560" s="1257">
        <v>0.12967565470002132</v>
      </c>
      <c r="K1560" s="1280">
        <v>1.2271512323450546</v>
      </c>
      <c r="L1560" s="1237">
        <v>0.17427001819050048</v>
      </c>
    </row>
    <row r="1561" spans="1:12" s="326" customFormat="1" ht="15.5" x14ac:dyDescent="0.35">
      <c r="A1561" s="328" t="s">
        <v>2525</v>
      </c>
      <c r="B1561" s="1291">
        <v>0.11989940299393936</v>
      </c>
      <c r="C1561" s="1257">
        <v>0.24170971130534397</v>
      </c>
      <c r="D1561" s="1257">
        <v>0.13322155888215484</v>
      </c>
      <c r="E1561" s="1280">
        <v>0.89571515114416811</v>
      </c>
      <c r="F1561" s="1271">
        <v>5.789357354886461E-2</v>
      </c>
      <c r="G1561" s="1257">
        <v>7.5076825905633401E-2</v>
      </c>
      <c r="H1561" s="1280">
        <v>0.71046966868051609</v>
      </c>
      <c r="I1561" s="1271">
        <v>6.4204804304181698E-2</v>
      </c>
      <c r="J1561" s="1257">
        <v>0.12967565470002132</v>
      </c>
      <c r="K1561" s="1280">
        <v>1.2271512323450546</v>
      </c>
      <c r="L1561" s="1237">
        <v>0.17427001819050048</v>
      </c>
    </row>
    <row r="1562" spans="1:12" s="326" customFormat="1" ht="15.5" x14ac:dyDescent="0.35">
      <c r="A1562" s="328" t="s">
        <v>2526</v>
      </c>
      <c r="B1562" s="1291">
        <v>0.11989940299393936</v>
      </c>
      <c r="C1562" s="1257">
        <v>0.24170971130534397</v>
      </c>
      <c r="D1562" s="1257">
        <v>0.13322155888215484</v>
      </c>
      <c r="E1562" s="1280">
        <v>0.89571515114416811</v>
      </c>
      <c r="F1562" s="1271">
        <v>5.789357354886461E-2</v>
      </c>
      <c r="G1562" s="1257">
        <v>7.5076825905633401E-2</v>
      </c>
      <c r="H1562" s="1280">
        <v>0.71046966868051609</v>
      </c>
      <c r="I1562" s="1271">
        <v>6.4204804304181698E-2</v>
      </c>
      <c r="J1562" s="1257">
        <v>0.12967565470002132</v>
      </c>
      <c r="K1562" s="1280">
        <v>1.2271512323450546</v>
      </c>
      <c r="L1562" s="1237">
        <v>0.17427001819050048</v>
      </c>
    </row>
    <row r="1563" spans="1:12" s="326" customFormat="1" ht="15.5" x14ac:dyDescent="0.35">
      <c r="A1563" s="328" t="s">
        <v>2527</v>
      </c>
      <c r="B1563" s="1291">
        <v>0.11989940299393936</v>
      </c>
      <c r="C1563" s="1257">
        <v>0.24170971130534397</v>
      </c>
      <c r="D1563" s="1257">
        <v>0.13322155888215484</v>
      </c>
      <c r="E1563" s="1280">
        <v>0.89571515114416811</v>
      </c>
      <c r="F1563" s="1271">
        <v>5.789357354886461E-2</v>
      </c>
      <c r="G1563" s="1257">
        <v>7.5076825905633401E-2</v>
      </c>
      <c r="H1563" s="1280">
        <v>0.71046966868051609</v>
      </c>
      <c r="I1563" s="1271">
        <v>6.4204804304181698E-2</v>
      </c>
      <c r="J1563" s="1257">
        <v>0.12967565470002132</v>
      </c>
      <c r="K1563" s="1280">
        <v>1.2271512323450546</v>
      </c>
      <c r="L1563" s="1237">
        <v>0.17427001819050048</v>
      </c>
    </row>
    <row r="1564" spans="1:12" s="326" customFormat="1" ht="15.5" x14ac:dyDescent="0.35">
      <c r="A1564" s="328" t="s">
        <v>2528</v>
      </c>
      <c r="B1564" s="1291">
        <v>0.11989940299393936</v>
      </c>
      <c r="C1564" s="1257">
        <v>0.24170971130534397</v>
      </c>
      <c r="D1564" s="1257">
        <v>0.13322155888215484</v>
      </c>
      <c r="E1564" s="1280">
        <v>0.89571515114416811</v>
      </c>
      <c r="F1564" s="1271">
        <v>5.789357354886461E-2</v>
      </c>
      <c r="G1564" s="1257">
        <v>7.5076825905633401E-2</v>
      </c>
      <c r="H1564" s="1280">
        <v>0.71046966868051609</v>
      </c>
      <c r="I1564" s="1271">
        <v>6.4204804304181698E-2</v>
      </c>
      <c r="J1564" s="1257">
        <v>0.12967565470002132</v>
      </c>
      <c r="K1564" s="1280">
        <v>1.2271512323450546</v>
      </c>
      <c r="L1564" s="1237">
        <v>0.17427001819050048</v>
      </c>
    </row>
    <row r="1565" spans="1:12" s="326" customFormat="1" ht="15.5" x14ac:dyDescent="0.35">
      <c r="A1565" s="328" t="s">
        <v>2529</v>
      </c>
      <c r="B1565" s="1291">
        <v>0.11989940299393936</v>
      </c>
      <c r="C1565" s="1257">
        <v>0.24170971130534397</v>
      </c>
      <c r="D1565" s="1257">
        <v>0.13322155888215484</v>
      </c>
      <c r="E1565" s="1280">
        <v>0.89571515114416811</v>
      </c>
      <c r="F1565" s="1271">
        <v>5.789357354886461E-2</v>
      </c>
      <c r="G1565" s="1257">
        <v>7.5076825905633401E-2</v>
      </c>
      <c r="H1565" s="1280">
        <v>0.71046966868051609</v>
      </c>
      <c r="I1565" s="1271">
        <v>6.4204804304181698E-2</v>
      </c>
      <c r="J1565" s="1257">
        <v>0.12967565470002132</v>
      </c>
      <c r="K1565" s="1280">
        <v>1.2271512323450546</v>
      </c>
      <c r="L1565" s="1237">
        <v>0.17427001819050048</v>
      </c>
    </row>
    <row r="1566" spans="1:12" s="326" customFormat="1" ht="15.5" x14ac:dyDescent="0.35">
      <c r="A1566" s="328" t="s">
        <v>2530</v>
      </c>
      <c r="B1566" s="1291">
        <v>0.11989940299393936</v>
      </c>
      <c r="C1566" s="1257">
        <v>0.24170971130534397</v>
      </c>
      <c r="D1566" s="1257">
        <v>0.13322155888215484</v>
      </c>
      <c r="E1566" s="1280">
        <v>0.89571515114416811</v>
      </c>
      <c r="F1566" s="1271">
        <v>5.789357354886461E-2</v>
      </c>
      <c r="G1566" s="1257">
        <v>7.5076825905633401E-2</v>
      </c>
      <c r="H1566" s="1280">
        <v>0.71046966868051609</v>
      </c>
      <c r="I1566" s="1271">
        <v>6.4204804304181698E-2</v>
      </c>
      <c r="J1566" s="1257">
        <v>0.12967565470002132</v>
      </c>
      <c r="K1566" s="1280">
        <v>1.2271512323450546</v>
      </c>
      <c r="L1566" s="1237">
        <v>0.17427001819050048</v>
      </c>
    </row>
    <row r="1567" spans="1:12" s="326" customFormat="1" ht="15.5" x14ac:dyDescent="0.35">
      <c r="A1567" s="328" t="s">
        <v>2531</v>
      </c>
      <c r="B1567" s="1291">
        <v>0.11989940299393936</v>
      </c>
      <c r="C1567" s="1257">
        <v>0.24170971130534397</v>
      </c>
      <c r="D1567" s="1257">
        <v>0.13322155888215484</v>
      </c>
      <c r="E1567" s="1280">
        <v>0.89571515114416811</v>
      </c>
      <c r="F1567" s="1271">
        <v>5.789357354886461E-2</v>
      </c>
      <c r="G1567" s="1257">
        <v>7.5076825905633401E-2</v>
      </c>
      <c r="H1567" s="1280">
        <v>0.71046966868051609</v>
      </c>
      <c r="I1567" s="1271">
        <v>6.4204804304181698E-2</v>
      </c>
      <c r="J1567" s="1257">
        <v>0.12967565470002132</v>
      </c>
      <c r="K1567" s="1280">
        <v>1.2271512323450546</v>
      </c>
      <c r="L1567" s="1237">
        <v>0.17427001819050048</v>
      </c>
    </row>
    <row r="1568" spans="1:12" s="326" customFormat="1" ht="15.5" x14ac:dyDescent="0.35">
      <c r="A1568" s="328" t="s">
        <v>2532</v>
      </c>
      <c r="B1568" s="1291">
        <v>0.11989940299393936</v>
      </c>
      <c r="C1568" s="1257">
        <v>0.24170971130534397</v>
      </c>
      <c r="D1568" s="1257">
        <v>0.13322155888215484</v>
      </c>
      <c r="E1568" s="1280">
        <v>0.89571515114416811</v>
      </c>
      <c r="F1568" s="1271">
        <v>5.789357354886461E-2</v>
      </c>
      <c r="G1568" s="1257">
        <v>7.5076825905633401E-2</v>
      </c>
      <c r="H1568" s="1280">
        <v>0.71046966868051609</v>
      </c>
      <c r="I1568" s="1271">
        <v>6.4204804304181698E-2</v>
      </c>
      <c r="J1568" s="1257">
        <v>0.12967565470002132</v>
      </c>
      <c r="K1568" s="1280">
        <v>1.2271512323450546</v>
      </c>
      <c r="L1568" s="1237">
        <v>0.17427001819050048</v>
      </c>
    </row>
    <row r="1569" spans="1:12" s="326" customFormat="1" ht="15.5" x14ac:dyDescent="0.35">
      <c r="A1569" s="328" t="s">
        <v>2533</v>
      </c>
      <c r="B1569" s="1291">
        <v>0.11989940299393936</v>
      </c>
      <c r="C1569" s="1257">
        <v>0.24170971130534397</v>
      </c>
      <c r="D1569" s="1257">
        <v>0.13322155888215484</v>
      </c>
      <c r="E1569" s="1280">
        <v>0.89571515114416811</v>
      </c>
      <c r="F1569" s="1271">
        <v>5.789357354886461E-2</v>
      </c>
      <c r="G1569" s="1257">
        <v>7.5076825905633401E-2</v>
      </c>
      <c r="H1569" s="1280">
        <v>0.71046966868051609</v>
      </c>
      <c r="I1569" s="1271">
        <v>6.4204804304181698E-2</v>
      </c>
      <c r="J1569" s="1257">
        <v>0.12967565470002132</v>
      </c>
      <c r="K1569" s="1280">
        <v>1.2271512323450546</v>
      </c>
      <c r="L1569" s="1237">
        <v>0.17427001819050048</v>
      </c>
    </row>
    <row r="1570" spans="1:12" s="326" customFormat="1" ht="15.5" x14ac:dyDescent="0.35">
      <c r="A1570" s="328" t="s">
        <v>2534</v>
      </c>
      <c r="B1570" s="1291">
        <v>0.11989940299393936</v>
      </c>
      <c r="C1570" s="1257">
        <v>0.24170971130534397</v>
      </c>
      <c r="D1570" s="1257">
        <v>0.13322155888215484</v>
      </c>
      <c r="E1570" s="1280">
        <v>0.89571515114416811</v>
      </c>
      <c r="F1570" s="1271">
        <v>5.789357354886461E-2</v>
      </c>
      <c r="G1570" s="1257">
        <v>7.5076825905633401E-2</v>
      </c>
      <c r="H1570" s="1280">
        <v>0.71046966868051609</v>
      </c>
      <c r="I1570" s="1271">
        <v>6.4204804304181698E-2</v>
      </c>
      <c r="J1570" s="1257">
        <v>0.12967565470002132</v>
      </c>
      <c r="K1570" s="1280">
        <v>1.2271512323450546</v>
      </c>
      <c r="L1570" s="1237">
        <v>0.17427001819050048</v>
      </c>
    </row>
    <row r="1571" spans="1:12" s="326" customFormat="1" ht="15.5" x14ac:dyDescent="0.35">
      <c r="A1571" s="328" t="s">
        <v>2535</v>
      </c>
      <c r="B1571" s="1291">
        <v>0.11989940299393936</v>
      </c>
      <c r="C1571" s="1257">
        <v>0.24170971130534397</v>
      </c>
      <c r="D1571" s="1257">
        <v>0.13322155888215484</v>
      </c>
      <c r="E1571" s="1280">
        <v>0.89571515114416811</v>
      </c>
      <c r="F1571" s="1271">
        <v>5.789357354886461E-2</v>
      </c>
      <c r="G1571" s="1257">
        <v>7.5076825905633401E-2</v>
      </c>
      <c r="H1571" s="1280">
        <v>0.71046966868051609</v>
      </c>
      <c r="I1571" s="1271">
        <v>6.4204804304181698E-2</v>
      </c>
      <c r="J1571" s="1257">
        <v>0.12967565470002132</v>
      </c>
      <c r="K1571" s="1280">
        <v>1.2271512323450546</v>
      </c>
      <c r="L1571" s="1237">
        <v>0.17427001819050048</v>
      </c>
    </row>
    <row r="1572" spans="1:12" s="326" customFormat="1" ht="15.5" x14ac:dyDescent="0.35">
      <c r="A1572" s="328" t="s">
        <v>2536</v>
      </c>
      <c r="B1572" s="1291">
        <v>0.11989940299393936</v>
      </c>
      <c r="C1572" s="1257">
        <v>0.24170971130534397</v>
      </c>
      <c r="D1572" s="1257">
        <v>0.13322155888215484</v>
      </c>
      <c r="E1572" s="1280">
        <v>0.89571515114416811</v>
      </c>
      <c r="F1572" s="1271">
        <v>5.789357354886461E-2</v>
      </c>
      <c r="G1572" s="1257">
        <v>7.5076825905633401E-2</v>
      </c>
      <c r="H1572" s="1280">
        <v>0.71046966868051609</v>
      </c>
      <c r="I1572" s="1271">
        <v>6.4204804304181698E-2</v>
      </c>
      <c r="J1572" s="1257">
        <v>0.12967565470002132</v>
      </c>
      <c r="K1572" s="1280">
        <v>1.2271512323450546</v>
      </c>
      <c r="L1572" s="1237">
        <v>0.17427001819050048</v>
      </c>
    </row>
    <row r="1573" spans="1:12" s="326" customFormat="1" ht="15.5" x14ac:dyDescent="0.35">
      <c r="A1573" s="328" t="s">
        <v>2537</v>
      </c>
      <c r="B1573" s="1291">
        <v>0.11989940299393936</v>
      </c>
      <c r="C1573" s="1257">
        <v>0.24170971130534397</v>
      </c>
      <c r="D1573" s="1257">
        <v>0.13322155888215484</v>
      </c>
      <c r="E1573" s="1280">
        <v>0.89571515114416811</v>
      </c>
      <c r="F1573" s="1271">
        <v>5.789357354886461E-2</v>
      </c>
      <c r="G1573" s="1257">
        <v>7.5076825905633401E-2</v>
      </c>
      <c r="H1573" s="1280">
        <v>0.71046966868051609</v>
      </c>
      <c r="I1573" s="1271">
        <v>6.4204804304181698E-2</v>
      </c>
      <c r="J1573" s="1257">
        <v>0.12967565470002132</v>
      </c>
      <c r="K1573" s="1280">
        <v>1.2271512323450546</v>
      </c>
      <c r="L1573" s="1237">
        <v>0.17427001819050048</v>
      </c>
    </row>
    <row r="1574" spans="1:12" s="326" customFormat="1" ht="15.5" x14ac:dyDescent="0.35">
      <c r="A1574" s="328" t="s">
        <v>2538</v>
      </c>
      <c r="B1574" s="1291">
        <v>0.11989940299393936</v>
      </c>
      <c r="C1574" s="1257">
        <v>0.24170971130534397</v>
      </c>
      <c r="D1574" s="1257">
        <v>0.13322155888215484</v>
      </c>
      <c r="E1574" s="1280">
        <v>0.89571515114416811</v>
      </c>
      <c r="F1574" s="1271">
        <v>5.789357354886461E-2</v>
      </c>
      <c r="G1574" s="1257">
        <v>7.5076825905633401E-2</v>
      </c>
      <c r="H1574" s="1280">
        <v>0.71046966868051609</v>
      </c>
      <c r="I1574" s="1271">
        <v>6.4204804304181698E-2</v>
      </c>
      <c r="J1574" s="1257">
        <v>0.12967565470002132</v>
      </c>
      <c r="K1574" s="1280">
        <v>1.2271512323450546</v>
      </c>
      <c r="L1574" s="1237">
        <v>0.17427001819050048</v>
      </c>
    </row>
    <row r="1575" spans="1:12" s="326" customFormat="1" ht="15.5" x14ac:dyDescent="0.35">
      <c r="A1575" s="328" t="s">
        <v>2539</v>
      </c>
      <c r="B1575" s="1291">
        <v>0.11989940299393936</v>
      </c>
      <c r="C1575" s="1257">
        <v>0.24170971130534397</v>
      </c>
      <c r="D1575" s="1257">
        <v>0.13322155888215484</v>
      </c>
      <c r="E1575" s="1280">
        <v>0.89571515114416811</v>
      </c>
      <c r="F1575" s="1271">
        <v>5.789357354886461E-2</v>
      </c>
      <c r="G1575" s="1257">
        <v>7.5076825905633401E-2</v>
      </c>
      <c r="H1575" s="1280">
        <v>0.71046966868051609</v>
      </c>
      <c r="I1575" s="1271">
        <v>6.4204804304181698E-2</v>
      </c>
      <c r="J1575" s="1257">
        <v>0.12967565470002132</v>
      </c>
      <c r="K1575" s="1280">
        <v>1.2271512323450546</v>
      </c>
      <c r="L1575" s="1237">
        <v>0.17427001819050048</v>
      </c>
    </row>
    <row r="1576" spans="1:12" s="326" customFormat="1" ht="15.5" x14ac:dyDescent="0.35">
      <c r="A1576" s="328" t="s">
        <v>2540</v>
      </c>
      <c r="B1576" s="1291">
        <v>0.11989940299393936</v>
      </c>
      <c r="C1576" s="1257">
        <v>0.24170971130534397</v>
      </c>
      <c r="D1576" s="1257">
        <v>0.13322155888215484</v>
      </c>
      <c r="E1576" s="1280">
        <v>0.89571515114416811</v>
      </c>
      <c r="F1576" s="1271">
        <v>5.789357354886461E-2</v>
      </c>
      <c r="G1576" s="1257">
        <v>7.5076825905633401E-2</v>
      </c>
      <c r="H1576" s="1280">
        <v>0.71046966868051609</v>
      </c>
      <c r="I1576" s="1271">
        <v>6.4204804304181698E-2</v>
      </c>
      <c r="J1576" s="1257">
        <v>0.12967565470002132</v>
      </c>
      <c r="K1576" s="1280">
        <v>1.2271512323450546</v>
      </c>
      <c r="L1576" s="1237">
        <v>0.17427001819050048</v>
      </c>
    </row>
    <row r="1577" spans="1:12" s="326" customFormat="1" ht="15.5" x14ac:dyDescent="0.35">
      <c r="A1577" s="328" t="s">
        <v>2541</v>
      </c>
      <c r="B1577" s="1291">
        <v>0.11989940299393936</v>
      </c>
      <c r="C1577" s="1257">
        <v>0.24170971130534397</v>
      </c>
      <c r="D1577" s="1257">
        <v>0.13322155888215484</v>
      </c>
      <c r="E1577" s="1280">
        <v>0.89571515114416811</v>
      </c>
      <c r="F1577" s="1271">
        <v>5.789357354886461E-2</v>
      </c>
      <c r="G1577" s="1257">
        <v>7.5076825905633401E-2</v>
      </c>
      <c r="H1577" s="1280">
        <v>0.71046966868051609</v>
      </c>
      <c r="I1577" s="1271">
        <v>6.4204804304181698E-2</v>
      </c>
      <c r="J1577" s="1257">
        <v>0.12967565470002132</v>
      </c>
      <c r="K1577" s="1280">
        <v>1.2271512323450546</v>
      </c>
      <c r="L1577" s="1237">
        <v>0.17427001819050048</v>
      </c>
    </row>
    <row r="1578" spans="1:12" s="326" customFormat="1" ht="15.5" x14ac:dyDescent="0.35">
      <c r="A1578" s="328" t="s">
        <v>2542</v>
      </c>
      <c r="B1578" s="1291">
        <v>0.11989940299393936</v>
      </c>
      <c r="C1578" s="1257">
        <v>0.24170971130534397</v>
      </c>
      <c r="D1578" s="1257">
        <v>0.13322155888215484</v>
      </c>
      <c r="E1578" s="1280">
        <v>0.89571515114416811</v>
      </c>
      <c r="F1578" s="1303">
        <v>5.789357354886461E-2</v>
      </c>
      <c r="G1578" s="1288">
        <v>7.5076825905633401E-2</v>
      </c>
      <c r="H1578" s="1280">
        <v>0.71046966868051609</v>
      </c>
      <c r="I1578" s="1303">
        <v>6.4204804304181698E-2</v>
      </c>
      <c r="J1578" s="1288">
        <v>0.12967565470002132</v>
      </c>
      <c r="K1578" s="1280">
        <v>1.2271512323450546</v>
      </c>
      <c r="L1578" s="1237">
        <v>0.17427001819050048</v>
      </c>
    </row>
    <row r="1579" spans="1:12" s="326" customFormat="1" ht="15.5" x14ac:dyDescent="0.35">
      <c r="A1579" s="328" t="s">
        <v>2543</v>
      </c>
      <c r="B1579" s="1291">
        <v>0.11989940299393936</v>
      </c>
      <c r="C1579" s="1257">
        <v>0.24170971130534397</v>
      </c>
      <c r="D1579" s="1257">
        <v>0.13322155888215484</v>
      </c>
      <c r="E1579" s="1280">
        <v>0.89571515114416811</v>
      </c>
      <c r="F1579" s="1303">
        <v>5.7802407194126132E-2</v>
      </c>
      <c r="G1579" s="1288">
        <v>7.0843362783454433E-2</v>
      </c>
      <c r="H1579" s="1280">
        <v>0.67040741104636659</v>
      </c>
      <c r="I1579" s="1303">
        <v>6.4315855209709227E-2</v>
      </c>
      <c r="J1579" s="1288">
        <v>0.13023283528791205</v>
      </c>
      <c r="K1579" s="1280">
        <v>1.2324239633495793</v>
      </c>
      <c r="L1579" s="1237">
        <v>0.17427001819050048</v>
      </c>
    </row>
    <row r="1580" spans="1:12" s="326" customFormat="1" ht="15.5" x14ac:dyDescent="0.35">
      <c r="A1580" s="328" t="s">
        <v>2544</v>
      </c>
      <c r="B1580" s="1291">
        <v>0.11989940299393936</v>
      </c>
      <c r="C1580" s="1257">
        <v>0.24170971130534397</v>
      </c>
      <c r="D1580" s="1257">
        <v>0.13322155888215484</v>
      </c>
      <c r="E1580" s="1280">
        <v>0.89571515114416811</v>
      </c>
      <c r="F1580" s="1303">
        <v>5.7850370211911827E-2</v>
      </c>
      <c r="G1580" s="1288">
        <v>7.0185995617196822E-2</v>
      </c>
      <c r="H1580" s="1280">
        <v>0.66418659087744358</v>
      </c>
      <c r="I1580" s="1303">
        <v>6.406856126332211E-2</v>
      </c>
      <c r="J1580" s="1288">
        <v>0.13018835241926782</v>
      </c>
      <c r="K1580" s="1280">
        <v>1.2320030114970417</v>
      </c>
      <c r="L1580" s="1237">
        <v>0.17427001819050048</v>
      </c>
    </row>
    <row r="1581" spans="1:12" s="326" customFormat="1" ht="15.5" x14ac:dyDescent="0.35">
      <c r="A1581" s="328" t="s">
        <v>2545</v>
      </c>
      <c r="B1581" s="1291">
        <v>0.11989940299393936</v>
      </c>
      <c r="C1581" s="1257">
        <v>0.24170971130534397</v>
      </c>
      <c r="D1581" s="1257">
        <v>0.13322155888215484</v>
      </c>
      <c r="E1581" s="1280">
        <v>0.89571515114416811</v>
      </c>
      <c r="F1581" s="1303">
        <v>5.7693991526571065E-2</v>
      </c>
      <c r="G1581" s="1288">
        <v>7.6039877410406173E-2</v>
      </c>
      <c r="H1581" s="1280">
        <v>0.71958325167053483</v>
      </c>
      <c r="I1581" s="1303">
        <v>6.3599651212160532E-2</v>
      </c>
      <c r="J1581" s="1288">
        <v>0.13080445072295069</v>
      </c>
      <c r="K1581" s="1280">
        <v>1.2378332947090995</v>
      </c>
      <c r="L1581" s="1237">
        <v>0.17427001819050048</v>
      </c>
    </row>
    <row r="1582" spans="1:12" s="326" customFormat="1" ht="15.5" x14ac:dyDescent="0.35">
      <c r="A1582" s="328" t="s">
        <v>2546</v>
      </c>
      <c r="B1582" s="1291">
        <v>0.11989940299393936</v>
      </c>
      <c r="C1582" s="1257">
        <v>0.24170971130534397</v>
      </c>
      <c r="D1582" s="1257">
        <v>0.13322155888215484</v>
      </c>
      <c r="E1582" s="1280">
        <v>0.89571515114416811</v>
      </c>
      <c r="F1582" s="1303">
        <v>5.7828158983629543E-2</v>
      </c>
      <c r="G1582" s="1288">
        <v>7.4653672739186744E-2</v>
      </c>
      <c r="H1582" s="1280">
        <v>0.70646527070098042</v>
      </c>
      <c r="I1582" s="1303">
        <v>6.3974875261678332E-2</v>
      </c>
      <c r="J1582" s="1288">
        <v>0.1309160140297253</v>
      </c>
      <c r="K1582" s="1280">
        <v>1.2388890445312974</v>
      </c>
      <c r="L1582" s="1237">
        <v>0.17427001819050048</v>
      </c>
    </row>
    <row r="1583" spans="1:12" s="326" customFormat="1" ht="15.5" x14ac:dyDescent="0.35">
      <c r="A1583" s="328" t="s">
        <v>2547</v>
      </c>
      <c r="B1583" s="1291">
        <v>0.11989940299393936</v>
      </c>
      <c r="C1583" s="1257">
        <v>0.24170971130534397</v>
      </c>
      <c r="D1583" s="1257">
        <v>0.13322155888215484</v>
      </c>
      <c r="E1583" s="1280">
        <v>0.89571515114416811</v>
      </c>
      <c r="F1583" s="1303">
        <v>5.7616432789166817E-2</v>
      </c>
      <c r="G1583" s="1288">
        <v>7.3303643653521197E-2</v>
      </c>
      <c r="H1583" s="1280">
        <v>0.69368962780942489</v>
      </c>
      <c r="I1583" s="1303">
        <v>6.3917274164728033E-2</v>
      </c>
      <c r="J1583" s="1288">
        <v>0.13077250128017068</v>
      </c>
      <c r="K1583" s="1280">
        <v>1.2375309496145563</v>
      </c>
      <c r="L1583" s="1237">
        <v>0.17427001819050048</v>
      </c>
    </row>
    <row r="1584" spans="1:12" s="326" customFormat="1" ht="15.5" x14ac:dyDescent="0.35">
      <c r="A1584" s="328" t="s">
        <v>2548</v>
      </c>
      <c r="B1584" s="1291">
        <v>0.11989940299393936</v>
      </c>
      <c r="C1584" s="1257">
        <v>0.24170971130534397</v>
      </c>
      <c r="D1584" s="1257">
        <v>0.13322155888215484</v>
      </c>
      <c r="E1584" s="1280">
        <v>0.89571515114416811</v>
      </c>
      <c r="F1584" s="1303">
        <v>5.7423981942883652E-2</v>
      </c>
      <c r="G1584" s="1288">
        <v>7.4039887896985707E-2</v>
      </c>
      <c r="H1584" s="1280">
        <v>0.7006568803192692</v>
      </c>
      <c r="I1584" s="1303">
        <v>6.352346726515383E-2</v>
      </c>
      <c r="J1584" s="1288">
        <v>0.13003746196273658</v>
      </c>
      <c r="K1584" s="1280">
        <v>1.2305750996032496</v>
      </c>
      <c r="L1584" s="1237">
        <v>0.17427001819050048</v>
      </c>
    </row>
    <row r="1585" spans="1:12" s="326" customFormat="1" ht="15.5" x14ac:dyDescent="0.35">
      <c r="A1585" s="328" t="s">
        <v>2549</v>
      </c>
      <c r="B1585" s="1291">
        <v>0.11989940299393936</v>
      </c>
      <c r="C1585" s="1257">
        <v>0.24170971130534397</v>
      </c>
      <c r="D1585" s="1257">
        <v>0.13322155888215484</v>
      </c>
      <c r="E1585" s="1280">
        <v>0.89571515114416811</v>
      </c>
      <c r="F1585" s="1303">
        <v>4.9246170602883471E-2</v>
      </c>
      <c r="G1585" s="1288">
        <v>7.3424415128886214E-2</v>
      </c>
      <c r="H1585" s="1280">
        <v>0.69483251669762169</v>
      </c>
      <c r="I1585" s="1303">
        <v>6.9461611860271985E-2</v>
      </c>
      <c r="J1585" s="1288">
        <v>0.12908413713222749</v>
      </c>
      <c r="K1585" s="1280">
        <v>1.2215535624204175</v>
      </c>
      <c r="L1585" s="1237">
        <v>0.17427001819050048</v>
      </c>
    </row>
    <row r="1586" spans="1:12" s="326" customFormat="1" ht="15.5" x14ac:dyDescent="0.35">
      <c r="A1586" s="328" t="s">
        <v>2550</v>
      </c>
      <c r="B1586" s="1291">
        <v>0.11989940299393936</v>
      </c>
      <c r="C1586" s="1257">
        <v>0.24170971130534397</v>
      </c>
      <c r="D1586" s="1257">
        <v>0.13322155888215484</v>
      </c>
      <c r="E1586" s="1280">
        <v>0.89571515114416811</v>
      </c>
      <c r="F1586" s="1303">
        <v>4.9458586779839657E-2</v>
      </c>
      <c r="G1586" s="1288">
        <v>7.1747960651213791E-2</v>
      </c>
      <c r="H1586" s="1280">
        <v>0.67896783351553047</v>
      </c>
      <c r="I1586" s="1303">
        <v>6.9287516865587609E-2</v>
      </c>
      <c r="J1586" s="1288">
        <v>0.12960267629312039</v>
      </c>
      <c r="K1586" s="1280">
        <v>1.2264606205091613</v>
      </c>
      <c r="L1586" s="1237">
        <v>0.17427001819050048</v>
      </c>
    </row>
    <row r="1587" spans="1:12" s="326" customFormat="1" ht="15.5" x14ac:dyDescent="0.35">
      <c r="A1587" s="328" t="s">
        <v>2551</v>
      </c>
      <c r="B1587" s="1291">
        <v>0.11989940299393936</v>
      </c>
      <c r="C1587" s="1257">
        <v>0.24170971130534397</v>
      </c>
      <c r="D1587" s="1257">
        <v>0.13322155888215484</v>
      </c>
      <c r="E1587" s="1280">
        <v>0.89571515114416811</v>
      </c>
      <c r="F1587" s="1303">
        <v>4.9198880203072413E-2</v>
      </c>
      <c r="G1587" s="1288">
        <v>7.7221661950617998E-2</v>
      </c>
      <c r="H1587" s="1280">
        <v>0.73076675684151005</v>
      </c>
      <c r="I1587" s="1303">
        <v>6.9007734751655184E-2</v>
      </c>
      <c r="J1587" s="1288">
        <v>0.1298419957670329</v>
      </c>
      <c r="K1587" s="1280">
        <v>1.2287253570012597</v>
      </c>
      <c r="L1587" s="1237">
        <v>0.17427001819050048</v>
      </c>
    </row>
    <row r="1588" spans="1:12" s="326" customFormat="1" ht="15.5" x14ac:dyDescent="0.35">
      <c r="A1588" s="328" t="s">
        <v>2552</v>
      </c>
      <c r="B1588" s="1291">
        <v>0.11989940299393936</v>
      </c>
      <c r="C1588" s="1257">
        <v>0.24170971130534397</v>
      </c>
      <c r="D1588" s="1257">
        <v>0.13322155888215484</v>
      </c>
      <c r="E1588" s="1280">
        <v>0.89571515114416811</v>
      </c>
      <c r="F1588" s="1303">
        <v>5.9012950597135024E-2</v>
      </c>
      <c r="G1588" s="1288">
        <v>7.1509121705919623E-2</v>
      </c>
      <c r="H1588" s="1280">
        <v>0.67670764437881281</v>
      </c>
      <c r="I1588" s="1303">
        <v>7.480877297668688E-2</v>
      </c>
      <c r="J1588" s="1288">
        <v>0.13069327959574456</v>
      </c>
      <c r="K1588" s="1280">
        <v>1.2367812561744356</v>
      </c>
      <c r="L1588" s="1237">
        <v>0.17427001819050048</v>
      </c>
    </row>
    <row r="1589" spans="1:12" s="326" customFormat="1" ht="15.5" x14ac:dyDescent="0.35">
      <c r="A1589" s="328" t="s">
        <v>2553</v>
      </c>
      <c r="B1589" s="1291">
        <v>0.11989940299393936</v>
      </c>
      <c r="C1589" s="1257">
        <v>0.24170971130534397</v>
      </c>
      <c r="D1589" s="1257">
        <v>0.13322155888215484</v>
      </c>
      <c r="E1589" s="1280">
        <v>0.89571515114416811</v>
      </c>
      <c r="F1589" s="1303">
        <v>5.912814680234163E-2</v>
      </c>
      <c r="G1589" s="1288">
        <v>6.9811485533735285E-2</v>
      </c>
      <c r="H1589" s="1280">
        <v>0.66064251383762729</v>
      </c>
      <c r="I1589" s="1303">
        <v>7.5572111447586687E-2</v>
      </c>
      <c r="J1589" s="1288">
        <v>0.11592527704378902</v>
      </c>
      <c r="K1589" s="1280">
        <v>1.0970281732011504</v>
      </c>
      <c r="L1589" s="1237">
        <v>0.17427001819050048</v>
      </c>
    </row>
    <row r="1590" spans="1:12" s="326" customFormat="1" ht="15.5" x14ac:dyDescent="0.35">
      <c r="A1590" s="328" t="s">
        <v>2554</v>
      </c>
      <c r="B1590" s="1291">
        <v>0.11989940299393936</v>
      </c>
      <c r="C1590" s="1257">
        <v>0.24170971130534397</v>
      </c>
      <c r="D1590" s="1257">
        <v>0.13322155888215484</v>
      </c>
      <c r="E1590" s="1280">
        <v>0.89571515114416811</v>
      </c>
      <c r="F1590" s="1303">
        <v>5.9017597409020496E-2</v>
      </c>
      <c r="G1590" s="1288">
        <v>6.3257394806926132E-2</v>
      </c>
      <c r="H1590" s="1280">
        <v>0.59861961115083773</v>
      </c>
      <c r="I1590" s="1303">
        <v>7.5362705056811113E-2</v>
      </c>
      <c r="J1590" s="1288">
        <v>9.9514268917703652E-2</v>
      </c>
      <c r="K1590" s="1280">
        <v>0.94172694189032802</v>
      </c>
      <c r="L1590" s="1237">
        <v>0.17427001819050048</v>
      </c>
    </row>
    <row r="1591" spans="1:12" s="326" customFormat="1" ht="15.5" x14ac:dyDescent="0.35">
      <c r="A1591" s="328" t="s">
        <v>2555</v>
      </c>
      <c r="B1591" s="1291">
        <v>0.11989940299393936</v>
      </c>
      <c r="C1591" s="1257">
        <v>0.24170971130534397</v>
      </c>
      <c r="D1591" s="1257">
        <v>0.13322155888215484</v>
      </c>
      <c r="E1591" s="1280">
        <v>0.89571515114416811</v>
      </c>
      <c r="F1591" s="1303">
        <v>6.5821327473027116E-2</v>
      </c>
      <c r="G1591" s="1288">
        <v>5.8622110098212193E-2</v>
      </c>
      <c r="H1591" s="1280">
        <v>0.55475482129705211</v>
      </c>
      <c r="I1591" s="1303">
        <v>8.0879261729539131E-2</v>
      </c>
      <c r="J1591" s="1288">
        <v>9.9482179761586687E-2</v>
      </c>
      <c r="K1591" s="1280">
        <v>0.94142327465560349</v>
      </c>
      <c r="L1591" s="1237">
        <v>0.17427001819050048</v>
      </c>
    </row>
    <row r="1592" spans="1:12" s="326" customFormat="1" ht="15.5" x14ac:dyDescent="0.35">
      <c r="A1592" s="328" t="s">
        <v>2556</v>
      </c>
      <c r="B1592" s="1291">
        <v>0.11989940299393936</v>
      </c>
      <c r="C1592" s="1257">
        <v>0.24170971130534397</v>
      </c>
      <c r="D1592" s="1257">
        <v>0.13322155888215484</v>
      </c>
      <c r="E1592" s="1280">
        <v>0.89571515114416811</v>
      </c>
      <c r="F1592" s="1303">
        <v>6.7635893640518321E-2</v>
      </c>
      <c r="G1592" s="1288">
        <v>5.9216750789575258E-2</v>
      </c>
      <c r="H1592" s="1280">
        <v>0.56038204607487763</v>
      </c>
      <c r="I1592" s="1303">
        <v>8.0577796062804311E-2</v>
      </c>
      <c r="J1592" s="1288">
        <v>0.10120803207708491</v>
      </c>
      <c r="K1592" s="1280">
        <v>0.95775542120006085</v>
      </c>
      <c r="L1592" s="1330">
        <v>0.17427001819050048</v>
      </c>
    </row>
    <row r="1593" spans="1:12" s="326" customFormat="1" ht="15.5" x14ac:dyDescent="0.35">
      <c r="A1593" s="328" t="s">
        <v>2557</v>
      </c>
      <c r="B1593" s="1291">
        <v>0.11989940299393936</v>
      </c>
      <c r="C1593" s="1257">
        <v>0.24170971130534397</v>
      </c>
      <c r="D1593" s="1257">
        <v>0.13322155888215484</v>
      </c>
      <c r="E1593" s="1280">
        <v>0.89571515114416811</v>
      </c>
      <c r="F1593" s="1303">
        <v>6.1821214374102519E-2</v>
      </c>
      <c r="G1593" s="1288">
        <v>5.9621364135644124E-2</v>
      </c>
      <c r="H1593" s="1280">
        <v>0.56421099737186753</v>
      </c>
      <c r="I1593" s="1303">
        <v>8.0813180221448844E-2</v>
      </c>
      <c r="J1593" s="1288">
        <v>0.10112421990400505</v>
      </c>
      <c r="K1593" s="1280">
        <v>0.95696228688569485</v>
      </c>
      <c r="L1593" s="1330">
        <v>0.1734833166679394</v>
      </c>
    </row>
    <row r="1594" spans="1:12" s="326" customFormat="1" ht="15.5" x14ac:dyDescent="0.35">
      <c r="A1594" s="328" t="s">
        <v>2558</v>
      </c>
      <c r="B1594" s="1291">
        <v>0.11989940299393936</v>
      </c>
      <c r="C1594" s="1257">
        <v>0.24170971130534397</v>
      </c>
      <c r="D1594" s="1257">
        <v>0.13322155888215484</v>
      </c>
      <c r="E1594" s="1280">
        <v>0.89571515114416811</v>
      </c>
      <c r="F1594" s="1303">
        <v>6.6811284899832124E-2</v>
      </c>
      <c r="G1594" s="1288">
        <v>5.8517495113666336E-2</v>
      </c>
      <c r="H1594" s="1280">
        <v>0.55376482508300418</v>
      </c>
      <c r="I1594" s="1303">
        <v>8.0740041363190712E-2</v>
      </c>
      <c r="J1594" s="1288">
        <v>0.10149360391168835</v>
      </c>
      <c r="K1594" s="1280">
        <v>0.96045785466428613</v>
      </c>
      <c r="L1594" s="1330">
        <v>0.16373739574849958</v>
      </c>
    </row>
    <row r="1595" spans="1:12" s="326" customFormat="1" ht="15.5" x14ac:dyDescent="0.35">
      <c r="A1595" s="328" t="s">
        <v>2559</v>
      </c>
      <c r="B1595" s="1291">
        <v>0.11989940299393936</v>
      </c>
      <c r="C1595" s="1257">
        <v>0.24170971130534397</v>
      </c>
      <c r="D1595" s="1257">
        <v>0.13322155888215484</v>
      </c>
      <c r="E1595" s="1280">
        <v>0.89571515114416811</v>
      </c>
      <c r="F1595" s="1303">
        <v>6.2191420861904254E-2</v>
      </c>
      <c r="G1595" s="1288">
        <v>5.6223344618198556E-2</v>
      </c>
      <c r="H1595" s="1280">
        <v>0.53205473914427603</v>
      </c>
      <c r="I1595" s="1303">
        <v>7.8541714316709726E-2</v>
      </c>
      <c r="J1595" s="1288">
        <v>9.8951890304674953E-2</v>
      </c>
      <c r="K1595" s="1280">
        <v>0.93640502075085785</v>
      </c>
      <c r="L1595" s="1330">
        <v>0.19316570788545775</v>
      </c>
    </row>
    <row r="1596" spans="1:12" s="326" customFormat="1" ht="15.5" x14ac:dyDescent="0.35">
      <c r="A1596" s="328" t="s">
        <v>2560</v>
      </c>
      <c r="B1596" s="1291">
        <v>0.11989940299393936</v>
      </c>
      <c r="C1596" s="1257">
        <v>0.24170971130534397</v>
      </c>
      <c r="D1596" s="1257">
        <v>0.13322155888215484</v>
      </c>
      <c r="E1596" s="1280">
        <v>0.89571515114416811</v>
      </c>
      <c r="F1596" s="1303">
        <v>6.0126765040637353E-2</v>
      </c>
      <c r="G1596" s="1288">
        <v>5.6793478248439812E-2</v>
      </c>
      <c r="H1596" s="1280">
        <v>0.53745004783633843</v>
      </c>
      <c r="I1596" s="1303">
        <v>7.8059490459283204E-2</v>
      </c>
      <c r="J1596" s="1288">
        <v>9.9735486628421355E-2</v>
      </c>
      <c r="K1596" s="1280">
        <v>0.94382037713807565</v>
      </c>
      <c r="L1596" s="1330">
        <v>0.19316570788546542</v>
      </c>
    </row>
    <row r="1597" spans="1:12" s="326" customFormat="1" ht="15.5" x14ac:dyDescent="0.35">
      <c r="A1597" s="328" t="s">
        <v>2561</v>
      </c>
      <c r="B1597" s="1291">
        <v>0.11989940299393936</v>
      </c>
      <c r="C1597" s="1257">
        <v>0.24170971130534397</v>
      </c>
      <c r="D1597" s="1257">
        <v>0.13322155888215484</v>
      </c>
      <c r="E1597" s="1280">
        <v>0.89571515114416811</v>
      </c>
      <c r="F1597" s="1303">
        <v>6.156420694665489E-2</v>
      </c>
      <c r="G1597" s="1288">
        <v>5.7187561793671828E-2</v>
      </c>
      <c r="H1597" s="1280">
        <v>0.5411793531504091</v>
      </c>
      <c r="I1597" s="1303">
        <v>7.5694958792662873E-2</v>
      </c>
      <c r="J1597" s="1288">
        <v>9.7012402494700736E-2</v>
      </c>
      <c r="K1597" s="1280">
        <v>0.9180511912549989</v>
      </c>
      <c r="L1597" s="1330">
        <v>0.19316570788543769</v>
      </c>
    </row>
    <row r="1598" spans="1:12" s="326" customFormat="1" ht="15.5" x14ac:dyDescent="0.35">
      <c r="A1598" s="328" t="s">
        <v>2562</v>
      </c>
      <c r="B1598" s="1291">
        <v>0.11989940299393936</v>
      </c>
      <c r="C1598" s="1257">
        <v>0.24170971130534397</v>
      </c>
      <c r="D1598" s="1257">
        <v>0.13322155888215484</v>
      </c>
      <c r="E1598" s="1280">
        <v>0.89571515114416811</v>
      </c>
      <c r="F1598" s="1303">
        <v>6.026446235337328E-2</v>
      </c>
      <c r="G1598" s="1288">
        <v>5.6309059386089315E-2</v>
      </c>
      <c r="H1598" s="1280">
        <v>0.53286587816100695</v>
      </c>
      <c r="I1598" s="1303">
        <v>7.2931551182714743E-2</v>
      </c>
      <c r="J1598" s="1288">
        <v>9.5619481142188378E-2</v>
      </c>
      <c r="K1598" s="1280">
        <v>0.90486964874997378</v>
      </c>
      <c r="L1598" s="1330">
        <v>0.19783998397251562</v>
      </c>
    </row>
    <row r="1599" spans="1:12" s="326" customFormat="1" ht="15.5" x14ac:dyDescent="0.35">
      <c r="A1599" s="328" t="s">
        <v>2563</v>
      </c>
      <c r="B1599" s="1291">
        <v>0.11989940299393936</v>
      </c>
      <c r="C1599" s="1257">
        <v>0.24170971130534397</v>
      </c>
      <c r="D1599" s="1257">
        <v>0.13322155888215484</v>
      </c>
      <c r="E1599" s="1280">
        <v>0.89571515114416811</v>
      </c>
      <c r="F1599" s="1303">
        <v>5.5412365038321261E-2</v>
      </c>
      <c r="G1599" s="1288">
        <v>5.4896043569132934E-2</v>
      </c>
      <c r="H1599" s="1280">
        <v>0.51949417701083878</v>
      </c>
      <c r="I1599" s="1303">
        <v>6.8410624178468132E-2</v>
      </c>
      <c r="J1599" s="1288">
        <v>9.1042475758095737E-2</v>
      </c>
      <c r="K1599" s="1280">
        <v>0.86155636985786177</v>
      </c>
      <c r="L1599" s="1330">
        <v>0.19783998397254757</v>
      </c>
    </row>
    <row r="1600" spans="1:12" s="326" customFormat="1" ht="15.5" x14ac:dyDescent="0.35">
      <c r="A1600" s="328" t="s">
        <v>2564</v>
      </c>
      <c r="B1600" s="1291">
        <v>0.11989940299393936</v>
      </c>
      <c r="C1600" s="1257">
        <v>0.24170971130534397</v>
      </c>
      <c r="D1600" s="1257">
        <v>0.13322155888215484</v>
      </c>
      <c r="E1600" s="1280">
        <v>0.89571515114416811</v>
      </c>
      <c r="F1600" s="1303">
        <v>5.7508903731906542E-2</v>
      </c>
      <c r="G1600" s="1288">
        <v>5.2926753336793808E-2</v>
      </c>
      <c r="H1600" s="1280">
        <v>0.50085832017980603</v>
      </c>
      <c r="I1600" s="1303">
        <v>6.8486940169142155E-2</v>
      </c>
      <c r="J1600" s="1288">
        <v>9.0189496804573749E-2</v>
      </c>
      <c r="K1600" s="1280">
        <v>0.85348442931975299</v>
      </c>
      <c r="L1600" s="1330">
        <v>0.19783998397236285</v>
      </c>
    </row>
    <row r="1601" spans="1:12" s="326" customFormat="1" ht="15.5" x14ac:dyDescent="0.35">
      <c r="A1601" s="328" t="s">
        <v>2565</v>
      </c>
      <c r="B1601" s="1291">
        <v>0.11989940299393936</v>
      </c>
      <c r="C1601" s="1257">
        <v>0.24170971130534397</v>
      </c>
      <c r="D1601" s="1257">
        <v>0.13322155888215484</v>
      </c>
      <c r="E1601" s="1280">
        <v>0.89571515114416811</v>
      </c>
      <c r="F1601" s="1303">
        <v>5.4479345461457447E-2</v>
      </c>
      <c r="G1601" s="1288">
        <v>5.2744582180852199E-2</v>
      </c>
      <c r="H1601" s="1280">
        <v>0.49913439166732926</v>
      </c>
      <c r="I1601" s="1303">
        <v>6.5042005310341003E-2</v>
      </c>
      <c r="J1601" s="1288">
        <v>8.7494291118543815E-2</v>
      </c>
      <c r="K1601" s="1280">
        <v>0.82797906374680796</v>
      </c>
      <c r="L1601" s="1330">
        <v>0.19783998397253302</v>
      </c>
    </row>
    <row r="1602" spans="1:12" s="326" customFormat="1" ht="15.5" x14ac:dyDescent="0.35">
      <c r="A1602" s="328" t="s">
        <v>2566</v>
      </c>
      <c r="B1602" s="1291">
        <v>0.11989940299393936</v>
      </c>
      <c r="C1602" s="1257">
        <v>0.24170971130534397</v>
      </c>
      <c r="D1602" s="1257">
        <v>0.13322155888215484</v>
      </c>
      <c r="E1602" s="1280">
        <v>0.89571515114416811</v>
      </c>
      <c r="F1602" s="1303">
        <v>5.2975428314087997E-2</v>
      </c>
      <c r="G1602" s="1288">
        <v>5.0147787956132624E-2</v>
      </c>
      <c r="H1602" s="1280">
        <v>0.47456031690840211</v>
      </c>
      <c r="I1602" s="1303">
        <v>6.3408925634434413E-2</v>
      </c>
      <c r="J1602" s="1288">
        <v>8.5284111879379162E-2</v>
      </c>
      <c r="K1602" s="1280">
        <v>0.80706361756441902</v>
      </c>
      <c r="L1602" s="1330">
        <v>0.17892523621639053</v>
      </c>
    </row>
    <row r="1603" spans="1:12" s="326" customFormat="1" ht="15.5" x14ac:dyDescent="0.35">
      <c r="A1603" s="328" t="s">
        <v>2567</v>
      </c>
      <c r="B1603" s="1291">
        <v>0.11989940299393936</v>
      </c>
      <c r="C1603" s="1257">
        <v>0.24170971130534397</v>
      </c>
      <c r="D1603" s="1257">
        <v>0.13322155888215484</v>
      </c>
      <c r="E1603" s="1280">
        <v>0.89571515114416811</v>
      </c>
      <c r="F1603" s="1303">
        <v>5.1577822801361924E-2</v>
      </c>
      <c r="G1603" s="1288">
        <v>4.8334170918089538E-2</v>
      </c>
      <c r="H1603" s="1280">
        <v>0.45739763214397966</v>
      </c>
      <c r="I1603" s="1303">
        <v>6.1840860573709071E-2</v>
      </c>
      <c r="J1603" s="1288">
        <v>8.3160766356894761E-2</v>
      </c>
      <c r="K1603" s="1280">
        <v>0.78696989927443795</v>
      </c>
      <c r="L1603" s="1330">
        <v>0.1789252362165325</v>
      </c>
    </row>
    <row r="1604" spans="1:12" s="326" customFormat="1" ht="15.5" x14ac:dyDescent="0.35">
      <c r="A1604" s="328" t="s">
        <v>2568</v>
      </c>
      <c r="B1604" s="1291">
        <v>0.11989940299393936</v>
      </c>
      <c r="C1604" s="1257">
        <v>0.24170971130534397</v>
      </c>
      <c r="D1604" s="1257">
        <v>0.13322155888215484</v>
      </c>
      <c r="E1604" s="1280">
        <v>0.89571515114416811</v>
      </c>
      <c r="F1604" s="1303">
        <v>5.0187701979074226E-2</v>
      </c>
      <c r="G1604" s="1288">
        <v>4.6663746740459394E-2</v>
      </c>
      <c r="H1604" s="1280">
        <v>0.44159001511008267</v>
      </c>
      <c r="I1604" s="1303">
        <v>6.0272798050971972E-2</v>
      </c>
      <c r="J1604" s="1288">
        <v>8.1041181099921422E-2</v>
      </c>
      <c r="K1604" s="1280">
        <v>0.76691176526175642</v>
      </c>
      <c r="L1604" s="1330">
        <v>0.17892523621656317</v>
      </c>
    </row>
    <row r="1605" spans="1:12" s="326" customFormat="1" ht="15.5" x14ac:dyDescent="0.35">
      <c r="A1605" s="328" t="s">
        <v>2569</v>
      </c>
      <c r="B1605" s="1291">
        <v>0.11989940299393936</v>
      </c>
      <c r="C1605" s="1257">
        <v>0.24170971130534397</v>
      </c>
      <c r="D1605" s="1257">
        <v>0.13322155888215484</v>
      </c>
      <c r="E1605" s="1280">
        <v>0.89571515114416811</v>
      </c>
      <c r="F1605" s="1303">
        <v>4.9890786998864685E-2</v>
      </c>
      <c r="G1605" s="1288">
        <v>4.5012385983754441E-2</v>
      </c>
      <c r="H1605" s="1306">
        <v>0.42526992269727931</v>
      </c>
      <c r="I1605" s="1303">
        <v>6.026486484018815E-2</v>
      </c>
      <c r="J1605" s="1288">
        <v>8.1006209949646121E-2</v>
      </c>
      <c r="K1605" s="1306">
        <v>0.59938173714848142</v>
      </c>
      <c r="L1605" s="1330">
        <v>0.16538480864806213</v>
      </c>
    </row>
    <row r="1606" spans="1:12" s="326" customFormat="1" ht="15.5" x14ac:dyDescent="0.35">
      <c r="A1606" s="328" t="s">
        <v>2570</v>
      </c>
      <c r="B1606" s="1291">
        <v>0.11989940299393936</v>
      </c>
      <c r="C1606" s="1257">
        <v>0.24170971130534397</v>
      </c>
      <c r="D1606" s="1257">
        <v>0.13322155888215484</v>
      </c>
      <c r="E1606" s="1280">
        <v>0.89571515114416811</v>
      </c>
      <c r="F1606" s="1303">
        <v>4.9635391788944945E-2</v>
      </c>
      <c r="G1606" s="1288">
        <v>4.3463796512054176E-2</v>
      </c>
      <c r="H1606" s="1306">
        <v>0.43308218722955055</v>
      </c>
      <c r="I1606" s="1303">
        <v>6.0256196549986742E-2</v>
      </c>
      <c r="J1606" s="1288">
        <v>8.0969426335015568E-2</v>
      </c>
      <c r="K1606" s="1306">
        <v>0.59948227513383068</v>
      </c>
      <c r="L1606" s="1330">
        <v>0.16538480864796681</v>
      </c>
    </row>
    <row r="1607" spans="1:12" s="326" customFormat="1" ht="15.5" x14ac:dyDescent="0.35">
      <c r="A1607" s="328" t="s">
        <v>2571</v>
      </c>
      <c r="B1607" s="1291">
        <v>0.11989940299393936</v>
      </c>
      <c r="C1607" s="1257">
        <v>0.24170971130534397</v>
      </c>
      <c r="D1607" s="1257">
        <v>0.13322155888215484</v>
      </c>
      <c r="E1607" s="1280">
        <v>0.89571515114416811</v>
      </c>
      <c r="F1607" s="1303">
        <v>4.9454995115851885E-2</v>
      </c>
      <c r="G1607" s="1288">
        <v>4.2924042915563794E-2</v>
      </c>
      <c r="H1607" s="1306">
        <v>0.4486273401459589</v>
      </c>
      <c r="I1607" s="1303">
        <v>6.0247489854504357E-2</v>
      </c>
      <c r="J1607" s="1288">
        <v>8.0932681014953239E-2</v>
      </c>
      <c r="K1607" s="1306">
        <v>0.59950788417994072</v>
      </c>
      <c r="L1607" s="1330">
        <v>0.16538480864798333</v>
      </c>
    </row>
    <row r="1608" spans="1:12" s="326" customFormat="1" ht="15.5" x14ac:dyDescent="0.35">
      <c r="A1608" s="328" t="s">
        <v>2572</v>
      </c>
      <c r="B1608" s="1287">
        <v>0.11989940299393936</v>
      </c>
      <c r="C1608" s="1288">
        <v>0.24170971130534397</v>
      </c>
      <c r="D1608" s="1288">
        <v>0.24721737239978514</v>
      </c>
      <c r="E1608" s="1306">
        <v>1.9140961818266244</v>
      </c>
      <c r="F1608" s="1303">
        <v>4.9272811820668519E-2</v>
      </c>
      <c r="G1608" s="1288">
        <v>4.2676352950525916E-2</v>
      </c>
      <c r="H1608" s="1306">
        <v>0.46421896553825492</v>
      </c>
      <c r="I1608" s="1303">
        <v>6.0239160068837415E-2</v>
      </c>
      <c r="J1608" s="1288">
        <v>8.089722936835321E-2</v>
      </c>
      <c r="K1608" s="1306">
        <v>0.59953467863859666</v>
      </c>
      <c r="L1608" s="1330">
        <v>0.15834743739715676</v>
      </c>
    </row>
    <row r="1609" spans="1:12" s="326" customFormat="1" ht="15.5" x14ac:dyDescent="0.35">
      <c r="A1609" s="328" t="s">
        <v>2573</v>
      </c>
      <c r="B1609" s="1287">
        <v>0.11428808520896638</v>
      </c>
      <c r="C1609" s="1288">
        <v>0.23822920243971912</v>
      </c>
      <c r="D1609" s="1288">
        <v>0.24827114987948251</v>
      </c>
      <c r="E1609" s="1306">
        <v>1.9033773886805783</v>
      </c>
      <c r="F1609" s="1303">
        <v>4.9061569927834871E-2</v>
      </c>
      <c r="G1609" s="1288">
        <v>4.2442856069189391E-2</v>
      </c>
      <c r="H1609" s="1306">
        <v>0.47540897328602738</v>
      </c>
      <c r="I1609" s="1303">
        <v>6.0230917430778498E-2</v>
      </c>
      <c r="J1609" s="1288">
        <v>8.0862660169705322E-2</v>
      </c>
      <c r="K1609" s="1306">
        <v>0.59959840292273459</v>
      </c>
      <c r="L1609" s="1330">
        <v>0.15737456101374095</v>
      </c>
    </row>
    <row r="1610" spans="1:12" s="326" customFormat="1" ht="15.5" x14ac:dyDescent="0.35">
      <c r="A1610" s="328" t="s">
        <v>2574</v>
      </c>
      <c r="B1610" s="1287">
        <v>0.11073085794335995</v>
      </c>
      <c r="C1610" s="1288">
        <v>0.22083439221987927</v>
      </c>
      <c r="D1610" s="1288">
        <v>0.26240254612974345</v>
      </c>
      <c r="E1610" s="1306">
        <v>1.940380148969707</v>
      </c>
      <c r="F1610" s="1303">
        <v>4.8853457846246541E-2</v>
      </c>
      <c r="G1610" s="1288">
        <v>4.2213895916943633E-2</v>
      </c>
      <c r="H1610" s="1306">
        <v>0.48417330519920088</v>
      </c>
      <c r="I1610" s="1303">
        <v>6.0222619802191436E-2</v>
      </c>
      <c r="J1610" s="1288">
        <v>8.0828641969676915E-2</v>
      </c>
      <c r="K1610" s="1306">
        <v>0.59966400726596192</v>
      </c>
      <c r="L1610" s="1330">
        <v>0.1564989722686782</v>
      </c>
    </row>
    <row r="1611" spans="1:12" s="326" customFormat="1" ht="15.5" x14ac:dyDescent="0.35">
      <c r="A1611" s="328" t="s">
        <v>2575</v>
      </c>
      <c r="B1611" s="1291">
        <v>8.8152816923922239E-2</v>
      </c>
      <c r="C1611" s="1257">
        <v>0.15315137771666387</v>
      </c>
      <c r="D1611" s="1257">
        <v>0.17907482447823334</v>
      </c>
      <c r="E1611" s="1306">
        <v>1.9224540488455977</v>
      </c>
      <c r="F1611" s="1303">
        <v>4.861155186117061E-2</v>
      </c>
      <c r="G1611" s="1288">
        <v>4.1988741674973212E-2</v>
      </c>
      <c r="H1611" s="1306">
        <v>0.49032067261283863</v>
      </c>
      <c r="I1611" s="1303">
        <v>6.0214286585450749E-2</v>
      </c>
      <c r="J1611" s="1288">
        <v>8.0794890964757435E-2</v>
      </c>
      <c r="K1611" s="1306">
        <v>0.59973353034734511</v>
      </c>
      <c r="L1611" s="1330">
        <v>0.15571094239812053</v>
      </c>
    </row>
    <row r="1612" spans="1:12" s="326" customFormat="1" ht="15.5" x14ac:dyDescent="0.35">
      <c r="A1612" s="328" t="s">
        <v>2576</v>
      </c>
      <c r="B1612" s="1287">
        <v>6.5574775904484517E-2</v>
      </c>
      <c r="C1612" s="1288">
        <v>8.5468363213448445E-2</v>
      </c>
      <c r="D1612" s="1288">
        <v>9.5747102826723218E-2</v>
      </c>
      <c r="E1612" s="1306">
        <v>1.961352472788406</v>
      </c>
      <c r="F1612" s="1303">
        <v>4.8366929773806855E-2</v>
      </c>
      <c r="G1612" s="1288">
        <v>4.1743703609238153E-2</v>
      </c>
      <c r="H1612" s="1306">
        <v>0.49799039689160512</v>
      </c>
      <c r="I1612" s="1303">
        <v>6.0205973038814475E-2</v>
      </c>
      <c r="J1612" s="1288">
        <v>8.0760964890555162E-2</v>
      </c>
      <c r="K1612" s="1306">
        <v>0.59981130963535811</v>
      </c>
      <c r="L1612" s="1330">
        <v>0.15500171551461006</v>
      </c>
    </row>
    <row r="1613" spans="1:12" s="326" customFormat="1" ht="15.5" x14ac:dyDescent="0.35">
      <c r="A1613" s="328" t="s">
        <v>2577</v>
      </c>
      <c r="B1613" s="1287">
        <v>6.4735510931571649E-2</v>
      </c>
      <c r="C1613" s="1288">
        <v>9.3129112964676658E-2</v>
      </c>
      <c r="D1613" s="1288">
        <v>8.6720310669159764E-2</v>
      </c>
      <c r="E1613" s="1306">
        <v>1.8016062030031579</v>
      </c>
      <c r="F1613" s="1303">
        <v>4.8068374470844145E-2</v>
      </c>
      <c r="G1613" s="1288">
        <v>4.1513284008812046E-2</v>
      </c>
      <c r="H1613" s="1306">
        <v>0.50453524798626648</v>
      </c>
      <c r="I1613" s="1303">
        <v>6.0197430163001019E-2</v>
      </c>
      <c r="J1613" s="1288">
        <v>8.0725726125910183E-2</v>
      </c>
      <c r="K1613" s="1306">
        <v>0.59986064232739678</v>
      </c>
      <c r="L1613" s="1330">
        <v>0.1543634113194588</v>
      </c>
    </row>
    <row r="1614" spans="1:12" s="326" customFormat="1" ht="15.5" x14ac:dyDescent="0.35">
      <c r="A1614" s="328" t="s">
        <v>2578</v>
      </c>
      <c r="B1614" s="1287">
        <v>6.4815382071033018E-2</v>
      </c>
      <c r="C1614" s="1288">
        <v>8.5065574404605465E-2</v>
      </c>
      <c r="D1614" s="1288">
        <v>8.480755710652986E-2</v>
      </c>
      <c r="E1614" s="1306">
        <v>1.8717991672744294</v>
      </c>
      <c r="F1614" s="1303">
        <v>4.7770835630374646E-2</v>
      </c>
      <c r="G1614" s="1288">
        <v>4.1302454070409993E-2</v>
      </c>
      <c r="H1614" s="1306">
        <v>0.51078191493277791</v>
      </c>
      <c r="I1614" s="1303">
        <v>6.0188648954491282E-2</v>
      </c>
      <c r="J1614" s="1288">
        <v>8.0688783932186744E-2</v>
      </c>
      <c r="K1614" s="1306">
        <v>0.59992454181920052</v>
      </c>
      <c r="L1614" s="1330">
        <v>0.15378893754381726</v>
      </c>
    </row>
    <row r="1615" spans="1:12" s="326" customFormat="1" ht="15.5" x14ac:dyDescent="0.35">
      <c r="A1615" s="328" t="s">
        <v>2579</v>
      </c>
      <c r="B1615" s="1287">
        <v>6.4764370128812018E-2</v>
      </c>
      <c r="C1615" s="1288">
        <v>9.5941094445296249E-2</v>
      </c>
      <c r="D1615" s="1288">
        <v>8.3703654676388045E-2</v>
      </c>
      <c r="E1615" s="1306">
        <v>1.8163785563633781</v>
      </c>
      <c r="F1615" s="1303">
        <v>4.7404655418213565E-2</v>
      </c>
      <c r="G1615" s="1288">
        <v>4.1091740418372873E-2</v>
      </c>
      <c r="H1615" s="1306">
        <v>0.51596698155702403</v>
      </c>
      <c r="I1615" s="1303">
        <v>6.0179641611252215E-2</v>
      </c>
      <c r="J1615" s="1288">
        <v>8.0650326761027985E-2</v>
      </c>
      <c r="K1615" s="1306">
        <v>0.60002027416844383</v>
      </c>
      <c r="L1615" s="1330">
        <v>0.1537889375438159</v>
      </c>
    </row>
    <row r="1616" spans="1:12" s="326" customFormat="1" ht="15.5" x14ac:dyDescent="0.35">
      <c r="A1616" s="328" t="s">
        <v>2580</v>
      </c>
      <c r="B1616" s="1287">
        <v>6.4543330592285786E-2</v>
      </c>
      <c r="C1616" s="1288">
        <v>7.4750363802497402E-2</v>
      </c>
      <c r="D1616" s="1288">
        <v>8.4374128745729124E-2</v>
      </c>
      <c r="E1616" s="1306">
        <v>1.8998878604840246</v>
      </c>
      <c r="F1616" s="1303">
        <v>4.6992886363176521E-2</v>
      </c>
      <c r="G1616" s="1288">
        <v>4.0877023057631037E-2</v>
      </c>
      <c r="H1616" s="1306">
        <v>0.52046845730601943</v>
      </c>
      <c r="I1616" s="1303">
        <v>6.0170201550293997E-2</v>
      </c>
      <c r="J1616" s="1288">
        <v>8.0610911178607123E-2</v>
      </c>
      <c r="K1616" s="1306">
        <v>0.60011134553396517</v>
      </c>
      <c r="L1616" s="1330">
        <v>0.15378893754381898</v>
      </c>
    </row>
    <row r="1617" spans="1:12" s="326" customFormat="1" ht="15.5" x14ac:dyDescent="0.35">
      <c r="A1617" s="328" t="s">
        <v>2581</v>
      </c>
      <c r="B1617" s="1287">
        <v>6.4638498242281378E-2</v>
      </c>
      <c r="C1617" s="1288">
        <v>9.1561390623601205E-2</v>
      </c>
      <c r="D1617" s="1288">
        <v>8.3844665776570973E-2</v>
      </c>
      <c r="E1617" s="1306">
        <v>1.9585972683089095</v>
      </c>
      <c r="F1617" s="1303">
        <v>4.6922364176675703E-2</v>
      </c>
      <c r="G1617" s="1288">
        <v>4.0828947291836268E-2</v>
      </c>
      <c r="H1617" s="1306">
        <v>0.51951935986236486</v>
      </c>
      <c r="I1617" s="1303">
        <v>6.0160095925936796E-2</v>
      </c>
      <c r="J1617" s="1288">
        <v>8.0571862292439872E-2</v>
      </c>
      <c r="K1617" s="1306">
        <v>0.60023896117029241</v>
      </c>
      <c r="L1617" s="1330">
        <v>0.15378893754381726</v>
      </c>
    </row>
    <row r="1618" spans="1:12" s="326" customFormat="1" ht="15.5" x14ac:dyDescent="0.35">
      <c r="A1618" s="328" t="s">
        <v>2582</v>
      </c>
      <c r="B1618" s="1287">
        <v>6.3966861657527282E-2</v>
      </c>
      <c r="C1618" s="1288">
        <v>8.2556782560412753E-2</v>
      </c>
      <c r="D1618" s="1288">
        <v>7.4458859469190564E-2</v>
      </c>
      <c r="E1618" s="1306">
        <v>1.992278511822914</v>
      </c>
      <c r="F1618" s="1303">
        <v>4.6906258046344469E-2</v>
      </c>
      <c r="G1618" s="1288">
        <v>4.0809267350252476E-2</v>
      </c>
      <c r="H1618" s="1306">
        <v>0.51942827131001124</v>
      </c>
      <c r="I1618" s="1303">
        <v>6.014885908177886E-2</v>
      </c>
      <c r="J1618" s="1288">
        <v>8.0534271415678801E-2</v>
      </c>
      <c r="K1618" s="1306">
        <v>0.60039249820525176</v>
      </c>
      <c r="L1618" s="1330">
        <v>0.15378893754381853</v>
      </c>
    </row>
    <row r="1619" spans="1:12" s="326" customFormat="1" ht="15.5" x14ac:dyDescent="0.35">
      <c r="A1619" s="328" t="s">
        <v>2583</v>
      </c>
      <c r="B1619" s="1287">
        <v>6.4265435684909805E-2</v>
      </c>
      <c r="C1619" s="1288">
        <v>6.832280672827723E-2</v>
      </c>
      <c r="D1619" s="1288">
        <v>8.5226293500462472E-2</v>
      </c>
      <c r="E1619" s="1306">
        <v>1.9380667153599387</v>
      </c>
      <c r="F1619" s="1303">
        <v>4.6903517983853088E-2</v>
      </c>
      <c r="G1619" s="1288">
        <v>4.0789124707549675E-2</v>
      </c>
      <c r="H1619" s="1306">
        <v>0.51928670607121064</v>
      </c>
      <c r="I1619" s="1303">
        <v>6.0135818941591014E-2</v>
      </c>
      <c r="J1619" s="1288">
        <v>8.0497657891477489E-2</v>
      </c>
      <c r="K1619" s="1306">
        <v>0.60055503447922298</v>
      </c>
      <c r="L1619" s="1330">
        <v>0.15378893754381873</v>
      </c>
    </row>
    <row r="1620" spans="1:12" s="326" customFormat="1" ht="15.5" x14ac:dyDescent="0.35">
      <c r="A1620" s="328" t="s">
        <v>2584</v>
      </c>
      <c r="B1620" s="1287">
        <v>6.4872577391815692E-2</v>
      </c>
      <c r="C1620" s="1288">
        <v>8.9690892615535714E-2</v>
      </c>
      <c r="D1620" s="1288">
        <v>7.0924192586304641E-2</v>
      </c>
      <c r="E1620" s="1306">
        <v>1.9272819444935527</v>
      </c>
      <c r="F1620" s="1303">
        <v>4.6862139248147958E-2</v>
      </c>
      <c r="G1620" s="1288">
        <v>4.0759941046496391E-2</v>
      </c>
      <c r="H1620" s="1306">
        <v>0.51860352528641307</v>
      </c>
      <c r="I1620" s="1303">
        <v>6.0120252338610541E-2</v>
      </c>
      <c r="J1620" s="1288">
        <v>8.0457650734369182E-2</v>
      </c>
      <c r="K1620" s="1306">
        <v>0.60071986399786814</v>
      </c>
      <c r="L1620" s="1330">
        <v>0.15378893754381909</v>
      </c>
    </row>
    <row r="1621" spans="1:12" s="326" customFormat="1" ht="15.5" x14ac:dyDescent="0.35">
      <c r="A1621" s="328" t="s">
        <v>2585</v>
      </c>
      <c r="B1621" s="1287">
        <v>6.4855016882013977E-2</v>
      </c>
      <c r="C1621" s="1288">
        <v>7.878933337721486E-2</v>
      </c>
      <c r="D1621" s="1288">
        <v>7.5031470801508335E-2</v>
      </c>
      <c r="E1621" s="1306">
        <v>1.952639455263369</v>
      </c>
      <c r="F1621" s="1303">
        <v>4.6835403042883562E-2</v>
      </c>
      <c r="G1621" s="1288">
        <v>4.0714334425575267E-2</v>
      </c>
      <c r="H1621" s="1306">
        <v>0.51767456342615015</v>
      </c>
      <c r="I1621" s="1303">
        <v>6.0100075895054048E-2</v>
      </c>
      <c r="J1621" s="1288">
        <v>8.0399074497949308E-2</v>
      </c>
      <c r="K1621" s="1306">
        <v>0.6008354260541956</v>
      </c>
      <c r="L1621" s="1330">
        <v>0.15378893754381515</v>
      </c>
    </row>
    <row r="1622" spans="1:12" s="326" customFormat="1" ht="15.5" x14ac:dyDescent="0.35">
      <c r="A1622" s="328" t="s">
        <v>2586</v>
      </c>
      <c r="B1622" s="1287">
        <v>6.4694608205632151E-2</v>
      </c>
      <c r="C1622" s="1288">
        <v>8.5463517321205273E-2</v>
      </c>
      <c r="D1622" s="1288">
        <v>7.7762528328468611E-2</v>
      </c>
      <c r="E1622" s="1306">
        <v>1.9470736899080712</v>
      </c>
      <c r="F1622" s="1303">
        <v>4.63341749533537E-2</v>
      </c>
      <c r="G1622" s="1288">
        <v>4.0451099520311409E-2</v>
      </c>
      <c r="H1622" s="1306">
        <v>0.50838417616399545</v>
      </c>
      <c r="I1622" s="1303">
        <v>6.0069569455686582E-2</v>
      </c>
      <c r="J1622" s="1288">
        <v>8.0285386419378602E-2</v>
      </c>
      <c r="K1622" s="1306">
        <v>0.60058599536315194</v>
      </c>
      <c r="L1622" s="1330">
        <v>0.15378959324713343</v>
      </c>
    </row>
    <row r="1623" spans="1:12" s="326" customFormat="1" ht="15.5" x14ac:dyDescent="0.35">
      <c r="A1623" s="328" t="s">
        <v>2587</v>
      </c>
      <c r="B1623" s="1291">
        <v>6.4694608205632151E-2</v>
      </c>
      <c r="C1623" s="1257">
        <v>8.5463517321205273E-2</v>
      </c>
      <c r="D1623" s="1257">
        <v>7.1882898006257939E-2</v>
      </c>
      <c r="E1623" s="1280">
        <v>0.48330466474507527</v>
      </c>
      <c r="F1623" s="1271">
        <v>4.63341749533537E-2</v>
      </c>
      <c r="G1623" s="1257">
        <v>4.0451099520311409E-2</v>
      </c>
      <c r="H1623" s="1280">
        <v>0.50838417616399545</v>
      </c>
      <c r="I1623" s="1271">
        <v>6.0069569455686582E-2</v>
      </c>
      <c r="J1623" s="1257">
        <v>8.0285386419378602E-2</v>
      </c>
      <c r="K1623" s="1280">
        <v>0.60058599536315194</v>
      </c>
      <c r="L1623" s="1330">
        <v>0.16102420877838855</v>
      </c>
    </row>
    <row r="1624" spans="1:12" s="326" customFormat="1" ht="15.5" x14ac:dyDescent="0.35">
      <c r="A1624" s="328" t="s">
        <v>2588</v>
      </c>
      <c r="B1624" s="1291">
        <v>0.11428808520896638</v>
      </c>
      <c r="C1624" s="1257">
        <v>0.23823478082040875</v>
      </c>
      <c r="D1624" s="1257">
        <v>0.12698676134329598</v>
      </c>
      <c r="E1624" s="1280">
        <v>0.85379548989165044</v>
      </c>
      <c r="F1624" s="1271">
        <v>5.7824459076645171E-2</v>
      </c>
      <c r="G1624" s="1257">
        <v>7.0888776794205521E-2</v>
      </c>
      <c r="H1624" s="1280">
        <v>0.67083717451575375</v>
      </c>
      <c r="I1624" s="1271">
        <v>6.4349325570661198E-2</v>
      </c>
      <c r="J1624" s="1257">
        <v>0.13032588552660512</v>
      </c>
      <c r="K1624" s="1280">
        <v>1.2333045196525059</v>
      </c>
      <c r="L1624" s="1237">
        <v>0.17426992236831368</v>
      </c>
    </row>
    <row r="1625" spans="1:12" s="326" customFormat="1" ht="15.5" x14ac:dyDescent="0.35">
      <c r="A1625" s="328" t="s">
        <v>2589</v>
      </c>
      <c r="B1625" s="1291">
        <v>0.11428808520896638</v>
      </c>
      <c r="C1625" s="1257">
        <v>0.23823478082040875</v>
      </c>
      <c r="D1625" s="1257">
        <v>0.12698676134329598</v>
      </c>
      <c r="E1625" s="1280">
        <v>0.85379548989165044</v>
      </c>
      <c r="F1625" s="1271">
        <v>5.7824459076645171E-2</v>
      </c>
      <c r="G1625" s="1257">
        <v>7.0888776794205521E-2</v>
      </c>
      <c r="H1625" s="1280">
        <v>0.67083717451575375</v>
      </c>
      <c r="I1625" s="1271">
        <v>6.4349325570661198E-2</v>
      </c>
      <c r="J1625" s="1257">
        <v>0.13032588552660512</v>
      </c>
      <c r="K1625" s="1280">
        <v>1.2333045196525059</v>
      </c>
      <c r="L1625" s="1237">
        <v>0.17426992236831368</v>
      </c>
    </row>
    <row r="1626" spans="1:12" s="326" customFormat="1" ht="15.5" x14ac:dyDescent="0.35">
      <c r="A1626" s="328" t="s">
        <v>2590</v>
      </c>
      <c r="B1626" s="1291">
        <v>0.11428808520896638</v>
      </c>
      <c r="C1626" s="1257">
        <v>0.23823478082040875</v>
      </c>
      <c r="D1626" s="1257">
        <v>0.12698676134329598</v>
      </c>
      <c r="E1626" s="1280">
        <v>0.85379548989165044</v>
      </c>
      <c r="F1626" s="1271">
        <v>5.7824459076645171E-2</v>
      </c>
      <c r="G1626" s="1257">
        <v>7.0888776794205521E-2</v>
      </c>
      <c r="H1626" s="1280">
        <v>0.67083717451575375</v>
      </c>
      <c r="I1626" s="1271">
        <v>6.4349325570661198E-2</v>
      </c>
      <c r="J1626" s="1257">
        <v>0.13032588552660512</v>
      </c>
      <c r="K1626" s="1280">
        <v>1.2333045196525059</v>
      </c>
      <c r="L1626" s="1237">
        <v>0.17426992236831368</v>
      </c>
    </row>
    <row r="1627" spans="1:12" s="326" customFormat="1" ht="15.5" x14ac:dyDescent="0.35">
      <c r="A1627" s="328" t="s">
        <v>2591</v>
      </c>
      <c r="B1627" s="1291">
        <v>0.11428808520896638</v>
      </c>
      <c r="C1627" s="1257">
        <v>0.23823478082040875</v>
      </c>
      <c r="D1627" s="1257">
        <v>0.12698676134329598</v>
      </c>
      <c r="E1627" s="1280">
        <v>0.85379548989165044</v>
      </c>
      <c r="F1627" s="1271">
        <v>5.7824459076645171E-2</v>
      </c>
      <c r="G1627" s="1257">
        <v>7.0888776794205521E-2</v>
      </c>
      <c r="H1627" s="1280">
        <v>0.67083717451575375</v>
      </c>
      <c r="I1627" s="1271">
        <v>6.4349325570661198E-2</v>
      </c>
      <c r="J1627" s="1257">
        <v>0.13032588552660512</v>
      </c>
      <c r="K1627" s="1280">
        <v>1.2333045196525059</v>
      </c>
      <c r="L1627" s="1237">
        <v>0.17426992236831368</v>
      </c>
    </row>
    <row r="1628" spans="1:12" s="326" customFormat="1" ht="15.5" x14ac:dyDescent="0.35">
      <c r="A1628" s="328" t="s">
        <v>2592</v>
      </c>
      <c r="B1628" s="1291">
        <v>0.11428808520896638</v>
      </c>
      <c r="C1628" s="1257">
        <v>0.23823478082040875</v>
      </c>
      <c r="D1628" s="1257">
        <v>0.12698676134329598</v>
      </c>
      <c r="E1628" s="1280">
        <v>0.85379548989165044</v>
      </c>
      <c r="F1628" s="1271">
        <v>5.7824459076645171E-2</v>
      </c>
      <c r="G1628" s="1257">
        <v>7.0888776794205521E-2</v>
      </c>
      <c r="H1628" s="1280">
        <v>0.67083717451575375</v>
      </c>
      <c r="I1628" s="1271">
        <v>6.4349325570661198E-2</v>
      </c>
      <c r="J1628" s="1257">
        <v>0.13032588552660512</v>
      </c>
      <c r="K1628" s="1280">
        <v>1.2333045196525059</v>
      </c>
      <c r="L1628" s="1237">
        <v>0.17426992236831368</v>
      </c>
    </row>
    <row r="1629" spans="1:12" s="326" customFormat="1" ht="15.5" x14ac:dyDescent="0.35">
      <c r="A1629" s="328" t="s">
        <v>2593</v>
      </c>
      <c r="B1629" s="1291">
        <v>0.11428808520896638</v>
      </c>
      <c r="C1629" s="1257">
        <v>0.23823478082040875</v>
      </c>
      <c r="D1629" s="1257">
        <v>0.12698676134329598</v>
      </c>
      <c r="E1629" s="1280">
        <v>0.85379548989165044</v>
      </c>
      <c r="F1629" s="1271">
        <v>5.7824459076645171E-2</v>
      </c>
      <c r="G1629" s="1257">
        <v>7.0888776794205521E-2</v>
      </c>
      <c r="H1629" s="1280">
        <v>0.67083717451575375</v>
      </c>
      <c r="I1629" s="1271">
        <v>6.4349325570661198E-2</v>
      </c>
      <c r="J1629" s="1257">
        <v>0.13032588552660512</v>
      </c>
      <c r="K1629" s="1280">
        <v>1.2333045196525059</v>
      </c>
      <c r="L1629" s="1237">
        <v>0.17426992236831368</v>
      </c>
    </row>
    <row r="1630" spans="1:12" s="326" customFormat="1" ht="15.5" x14ac:dyDescent="0.35">
      <c r="A1630" s="328" t="s">
        <v>2594</v>
      </c>
      <c r="B1630" s="1291">
        <v>0.11428808520896638</v>
      </c>
      <c r="C1630" s="1257">
        <v>0.23823478082040875</v>
      </c>
      <c r="D1630" s="1257">
        <v>0.12698676134329598</v>
      </c>
      <c r="E1630" s="1280">
        <v>0.85379548989165044</v>
      </c>
      <c r="F1630" s="1271">
        <v>5.7824459076645171E-2</v>
      </c>
      <c r="G1630" s="1257">
        <v>7.0888776794205521E-2</v>
      </c>
      <c r="H1630" s="1280">
        <v>0.67083717451575375</v>
      </c>
      <c r="I1630" s="1271">
        <v>6.4349325570661198E-2</v>
      </c>
      <c r="J1630" s="1257">
        <v>0.13032588552660512</v>
      </c>
      <c r="K1630" s="1280">
        <v>1.2333045196525059</v>
      </c>
      <c r="L1630" s="1237">
        <v>0.17426992236831368</v>
      </c>
    </row>
    <row r="1631" spans="1:12" s="326" customFormat="1" ht="15.5" x14ac:dyDescent="0.35">
      <c r="A1631" s="328" t="s">
        <v>2595</v>
      </c>
      <c r="B1631" s="1291">
        <v>0.11428808520896638</v>
      </c>
      <c r="C1631" s="1257">
        <v>0.23823478082040875</v>
      </c>
      <c r="D1631" s="1257">
        <v>0.12698676134329598</v>
      </c>
      <c r="E1631" s="1280">
        <v>0.85379548989165044</v>
      </c>
      <c r="F1631" s="1271">
        <v>5.7824459076645171E-2</v>
      </c>
      <c r="G1631" s="1257">
        <v>7.0888776794205521E-2</v>
      </c>
      <c r="H1631" s="1280">
        <v>0.67083717451575375</v>
      </c>
      <c r="I1631" s="1271">
        <v>6.4349325570661198E-2</v>
      </c>
      <c r="J1631" s="1257">
        <v>0.13032588552660512</v>
      </c>
      <c r="K1631" s="1280">
        <v>1.2333045196525059</v>
      </c>
      <c r="L1631" s="1237">
        <v>0.17426992236831368</v>
      </c>
    </row>
    <row r="1632" spans="1:12" s="326" customFormat="1" ht="15.5" x14ac:dyDescent="0.35">
      <c r="A1632" s="328" t="s">
        <v>2596</v>
      </c>
      <c r="B1632" s="1291">
        <v>0.11428808520896638</v>
      </c>
      <c r="C1632" s="1257">
        <v>0.23823478082040875</v>
      </c>
      <c r="D1632" s="1257">
        <v>0.12698676134329598</v>
      </c>
      <c r="E1632" s="1280">
        <v>0.85379548989165044</v>
      </c>
      <c r="F1632" s="1271">
        <v>5.7824459076645171E-2</v>
      </c>
      <c r="G1632" s="1257">
        <v>7.0888776794205521E-2</v>
      </c>
      <c r="H1632" s="1280">
        <v>0.67083717451575375</v>
      </c>
      <c r="I1632" s="1271">
        <v>6.4349325570661198E-2</v>
      </c>
      <c r="J1632" s="1257">
        <v>0.13032588552660512</v>
      </c>
      <c r="K1632" s="1280">
        <v>1.2333045196525059</v>
      </c>
      <c r="L1632" s="1237">
        <v>0.17426992236831368</v>
      </c>
    </row>
    <row r="1633" spans="1:12" s="326" customFormat="1" ht="15.5" x14ac:dyDescent="0.35">
      <c r="A1633" s="328" t="s">
        <v>2597</v>
      </c>
      <c r="B1633" s="1291">
        <v>0.11428808520896638</v>
      </c>
      <c r="C1633" s="1257">
        <v>0.23823478082040875</v>
      </c>
      <c r="D1633" s="1257">
        <v>0.12698676134329598</v>
      </c>
      <c r="E1633" s="1280">
        <v>0.85379548989165044</v>
      </c>
      <c r="F1633" s="1271">
        <v>5.7824459076645171E-2</v>
      </c>
      <c r="G1633" s="1257">
        <v>7.0888776794205521E-2</v>
      </c>
      <c r="H1633" s="1280">
        <v>0.67083717451575375</v>
      </c>
      <c r="I1633" s="1271">
        <v>6.4349325570661198E-2</v>
      </c>
      <c r="J1633" s="1257">
        <v>0.13032588552660512</v>
      </c>
      <c r="K1633" s="1280">
        <v>1.2333045196525059</v>
      </c>
      <c r="L1633" s="1237">
        <v>0.17426992236831368</v>
      </c>
    </row>
    <row r="1634" spans="1:12" s="326" customFormat="1" ht="15.5" x14ac:dyDescent="0.35">
      <c r="A1634" s="328" t="s">
        <v>2598</v>
      </c>
      <c r="B1634" s="1291">
        <v>0.11428808520896638</v>
      </c>
      <c r="C1634" s="1257">
        <v>0.23823478082040875</v>
      </c>
      <c r="D1634" s="1257">
        <v>0.12698676134329598</v>
      </c>
      <c r="E1634" s="1280">
        <v>0.85379548989165044</v>
      </c>
      <c r="F1634" s="1271">
        <v>5.7824459076645171E-2</v>
      </c>
      <c r="G1634" s="1257">
        <v>7.0888776794205521E-2</v>
      </c>
      <c r="H1634" s="1280">
        <v>0.67083717451575375</v>
      </c>
      <c r="I1634" s="1271">
        <v>6.4349325570661198E-2</v>
      </c>
      <c r="J1634" s="1257">
        <v>0.13032588552660512</v>
      </c>
      <c r="K1634" s="1280">
        <v>1.2333045196525059</v>
      </c>
      <c r="L1634" s="1237">
        <v>0.17426992236831368</v>
      </c>
    </row>
    <row r="1635" spans="1:12" s="326" customFormat="1" ht="15.5" x14ac:dyDescent="0.35">
      <c r="A1635" s="328" t="s">
        <v>2599</v>
      </c>
      <c r="B1635" s="1291">
        <v>0.11428808520896638</v>
      </c>
      <c r="C1635" s="1257">
        <v>0.23823478082040875</v>
      </c>
      <c r="D1635" s="1257">
        <v>0.12698676134329598</v>
      </c>
      <c r="E1635" s="1280">
        <v>0.85379548989165044</v>
      </c>
      <c r="F1635" s="1271">
        <v>5.7824459076645171E-2</v>
      </c>
      <c r="G1635" s="1257">
        <v>7.0888776794205521E-2</v>
      </c>
      <c r="H1635" s="1280">
        <v>0.67083717451575375</v>
      </c>
      <c r="I1635" s="1271">
        <v>6.4349325570661198E-2</v>
      </c>
      <c r="J1635" s="1257">
        <v>0.13032588552660512</v>
      </c>
      <c r="K1635" s="1280">
        <v>1.2333045196525059</v>
      </c>
      <c r="L1635" s="1237">
        <v>0.17426992236831368</v>
      </c>
    </row>
    <row r="1636" spans="1:12" s="326" customFormat="1" ht="15.5" x14ac:dyDescent="0.35">
      <c r="A1636" s="328" t="s">
        <v>2600</v>
      </c>
      <c r="B1636" s="1291">
        <v>0.11428808520896638</v>
      </c>
      <c r="C1636" s="1257">
        <v>0.23823478082040875</v>
      </c>
      <c r="D1636" s="1257">
        <v>0.12698676134329598</v>
      </c>
      <c r="E1636" s="1280">
        <v>0.85379548989165044</v>
      </c>
      <c r="F1636" s="1271">
        <v>5.7824459076645171E-2</v>
      </c>
      <c r="G1636" s="1257">
        <v>7.0888776794205521E-2</v>
      </c>
      <c r="H1636" s="1280">
        <v>0.67083717451575375</v>
      </c>
      <c r="I1636" s="1271">
        <v>6.4349325570661198E-2</v>
      </c>
      <c r="J1636" s="1257">
        <v>0.13032588552660512</v>
      </c>
      <c r="K1636" s="1280">
        <v>1.2333045196525059</v>
      </c>
      <c r="L1636" s="1237">
        <v>0.17426992236831368</v>
      </c>
    </row>
    <row r="1637" spans="1:12" s="326" customFormat="1" ht="15.5" x14ac:dyDescent="0.35">
      <c r="A1637" s="328" t="s">
        <v>2601</v>
      </c>
      <c r="B1637" s="1291">
        <v>0.11428808520896638</v>
      </c>
      <c r="C1637" s="1257">
        <v>0.23823478082040875</v>
      </c>
      <c r="D1637" s="1257">
        <v>0.12698676134329598</v>
      </c>
      <c r="E1637" s="1280">
        <v>0.85379548989165044</v>
      </c>
      <c r="F1637" s="1271">
        <v>5.7824459076645171E-2</v>
      </c>
      <c r="G1637" s="1257">
        <v>7.0888776794205521E-2</v>
      </c>
      <c r="H1637" s="1280">
        <v>0.67083717451575375</v>
      </c>
      <c r="I1637" s="1271">
        <v>6.4349325570661198E-2</v>
      </c>
      <c r="J1637" s="1257">
        <v>0.13032588552660512</v>
      </c>
      <c r="K1637" s="1280">
        <v>1.2333045196525059</v>
      </c>
      <c r="L1637" s="1237">
        <v>0.17426992236831368</v>
      </c>
    </row>
    <row r="1638" spans="1:12" s="326" customFormat="1" ht="15.5" x14ac:dyDescent="0.35">
      <c r="A1638" s="328" t="s">
        <v>2602</v>
      </c>
      <c r="B1638" s="1291">
        <v>0.11428808520896638</v>
      </c>
      <c r="C1638" s="1257">
        <v>0.23823478082040875</v>
      </c>
      <c r="D1638" s="1257">
        <v>0.12698676134329598</v>
      </c>
      <c r="E1638" s="1280">
        <v>0.85379548989165044</v>
      </c>
      <c r="F1638" s="1271">
        <v>5.7824459076645171E-2</v>
      </c>
      <c r="G1638" s="1257">
        <v>7.0888776794205521E-2</v>
      </c>
      <c r="H1638" s="1280">
        <v>0.67083717451575375</v>
      </c>
      <c r="I1638" s="1271">
        <v>6.4349325570661198E-2</v>
      </c>
      <c r="J1638" s="1257">
        <v>0.13032588552660512</v>
      </c>
      <c r="K1638" s="1280">
        <v>1.2333045196525059</v>
      </c>
      <c r="L1638" s="1237">
        <v>0.17426992236831368</v>
      </c>
    </row>
    <row r="1639" spans="1:12" s="326" customFormat="1" ht="15.5" x14ac:dyDescent="0.35">
      <c r="A1639" s="328" t="s">
        <v>2603</v>
      </c>
      <c r="B1639" s="1291">
        <v>0.11428808520896638</v>
      </c>
      <c r="C1639" s="1257">
        <v>0.23823478082040875</v>
      </c>
      <c r="D1639" s="1257">
        <v>0.12698676134329598</v>
      </c>
      <c r="E1639" s="1280">
        <v>0.85379548989165044</v>
      </c>
      <c r="F1639" s="1271">
        <v>5.7824459076645171E-2</v>
      </c>
      <c r="G1639" s="1257">
        <v>7.0888776794205521E-2</v>
      </c>
      <c r="H1639" s="1280">
        <v>0.67083717451575375</v>
      </c>
      <c r="I1639" s="1271">
        <v>6.4349325570661198E-2</v>
      </c>
      <c r="J1639" s="1257">
        <v>0.13032588552660512</v>
      </c>
      <c r="K1639" s="1280">
        <v>1.2333045196525059</v>
      </c>
      <c r="L1639" s="1237">
        <v>0.17426992236831368</v>
      </c>
    </row>
    <row r="1640" spans="1:12" s="326" customFormat="1" ht="15.5" x14ac:dyDescent="0.35">
      <c r="A1640" s="328" t="s">
        <v>2604</v>
      </c>
      <c r="B1640" s="1291">
        <v>0.11428808520896638</v>
      </c>
      <c r="C1640" s="1257">
        <v>0.23823478082040875</v>
      </c>
      <c r="D1640" s="1257">
        <v>0.12698676134329598</v>
      </c>
      <c r="E1640" s="1280">
        <v>0.85379548989165044</v>
      </c>
      <c r="F1640" s="1271">
        <v>5.7824459076645171E-2</v>
      </c>
      <c r="G1640" s="1257">
        <v>7.0888776794205521E-2</v>
      </c>
      <c r="H1640" s="1280">
        <v>0.67083717451575375</v>
      </c>
      <c r="I1640" s="1271">
        <v>6.4349325570661198E-2</v>
      </c>
      <c r="J1640" s="1257">
        <v>0.13032588552660512</v>
      </c>
      <c r="K1640" s="1280">
        <v>1.2333045196525059</v>
      </c>
      <c r="L1640" s="1237">
        <v>0.17426992236831368</v>
      </c>
    </row>
    <row r="1641" spans="1:12" s="326" customFormat="1" ht="15.5" x14ac:dyDescent="0.35">
      <c r="A1641" s="328" t="s">
        <v>2605</v>
      </c>
      <c r="B1641" s="1291">
        <v>0.11428808520896638</v>
      </c>
      <c r="C1641" s="1257">
        <v>0.23823478082040875</v>
      </c>
      <c r="D1641" s="1257">
        <v>0.12698676134329598</v>
      </c>
      <c r="E1641" s="1280">
        <v>0.85379548989165044</v>
      </c>
      <c r="F1641" s="1271">
        <v>5.7824459076645171E-2</v>
      </c>
      <c r="G1641" s="1257">
        <v>7.0888776794205521E-2</v>
      </c>
      <c r="H1641" s="1280">
        <v>0.67083717451575375</v>
      </c>
      <c r="I1641" s="1271">
        <v>6.4349325570661198E-2</v>
      </c>
      <c r="J1641" s="1257">
        <v>0.13032588552660512</v>
      </c>
      <c r="K1641" s="1280">
        <v>1.2333045196525059</v>
      </c>
      <c r="L1641" s="1237">
        <v>0.17426992236831368</v>
      </c>
    </row>
    <row r="1642" spans="1:12" s="326" customFormat="1" ht="15.5" x14ac:dyDescent="0.35">
      <c r="A1642" s="328" t="s">
        <v>2606</v>
      </c>
      <c r="B1642" s="1291">
        <v>0.11428808520896638</v>
      </c>
      <c r="C1642" s="1257">
        <v>0.23823478082040875</v>
      </c>
      <c r="D1642" s="1257">
        <v>0.12698676134329598</v>
      </c>
      <c r="E1642" s="1280">
        <v>0.85379548989165044</v>
      </c>
      <c r="F1642" s="1271">
        <v>5.7824459076645171E-2</v>
      </c>
      <c r="G1642" s="1257">
        <v>7.0888776794205521E-2</v>
      </c>
      <c r="H1642" s="1280">
        <v>0.67083717451575375</v>
      </c>
      <c r="I1642" s="1271">
        <v>6.4349325570661198E-2</v>
      </c>
      <c r="J1642" s="1257">
        <v>0.13032588552660512</v>
      </c>
      <c r="K1642" s="1280">
        <v>1.2333045196525059</v>
      </c>
      <c r="L1642" s="1237">
        <v>0.17426992236831368</v>
      </c>
    </row>
    <row r="1643" spans="1:12" s="326" customFormat="1" ht="15.5" x14ac:dyDescent="0.35">
      <c r="A1643" s="328" t="s">
        <v>2607</v>
      </c>
      <c r="B1643" s="1291">
        <v>0.11428808520896638</v>
      </c>
      <c r="C1643" s="1257">
        <v>0.23823478082040875</v>
      </c>
      <c r="D1643" s="1257">
        <v>0.12698676134329598</v>
      </c>
      <c r="E1643" s="1280">
        <v>0.85379548989165044</v>
      </c>
      <c r="F1643" s="1271">
        <v>5.7824459076645171E-2</v>
      </c>
      <c r="G1643" s="1257">
        <v>7.0888776794205521E-2</v>
      </c>
      <c r="H1643" s="1280">
        <v>0.67083717451575375</v>
      </c>
      <c r="I1643" s="1271">
        <v>6.4349325570661198E-2</v>
      </c>
      <c r="J1643" s="1257">
        <v>0.13032588552660512</v>
      </c>
      <c r="K1643" s="1280">
        <v>1.2333045196525059</v>
      </c>
      <c r="L1643" s="1237">
        <v>0.17426992236831368</v>
      </c>
    </row>
    <row r="1644" spans="1:12" s="326" customFormat="1" ht="15.5" x14ac:dyDescent="0.35">
      <c r="A1644" s="328" t="s">
        <v>2608</v>
      </c>
      <c r="B1644" s="1291">
        <v>0.11428808520896638</v>
      </c>
      <c r="C1644" s="1257">
        <v>0.23823478082040875</v>
      </c>
      <c r="D1644" s="1257">
        <v>0.12698676134329598</v>
      </c>
      <c r="E1644" s="1280">
        <v>0.85379548989165044</v>
      </c>
      <c r="F1644" s="1271">
        <v>5.7824459076645171E-2</v>
      </c>
      <c r="G1644" s="1257">
        <v>7.0888776794205521E-2</v>
      </c>
      <c r="H1644" s="1280">
        <v>0.67083717451575375</v>
      </c>
      <c r="I1644" s="1271">
        <v>6.4349325570661198E-2</v>
      </c>
      <c r="J1644" s="1257">
        <v>0.13032588552660512</v>
      </c>
      <c r="K1644" s="1280">
        <v>1.2333045196525059</v>
      </c>
      <c r="L1644" s="1237">
        <v>0.17426992236831368</v>
      </c>
    </row>
    <row r="1645" spans="1:12" s="326" customFormat="1" ht="15.5" x14ac:dyDescent="0.35">
      <c r="A1645" s="328" t="s">
        <v>2609</v>
      </c>
      <c r="B1645" s="1291">
        <v>0.11428808520896638</v>
      </c>
      <c r="C1645" s="1257">
        <v>0.23823478082040875</v>
      </c>
      <c r="D1645" s="1257">
        <v>0.12698676134329598</v>
      </c>
      <c r="E1645" s="1280">
        <v>0.85379548989165044</v>
      </c>
      <c r="F1645" s="1271">
        <v>5.7824459076645171E-2</v>
      </c>
      <c r="G1645" s="1257">
        <v>7.0888776794205521E-2</v>
      </c>
      <c r="H1645" s="1280">
        <v>0.67083717451575375</v>
      </c>
      <c r="I1645" s="1271">
        <v>6.4349325570661198E-2</v>
      </c>
      <c r="J1645" s="1257">
        <v>0.13032588552660512</v>
      </c>
      <c r="K1645" s="1280">
        <v>1.2333045196525059</v>
      </c>
      <c r="L1645" s="1237">
        <v>0.17426992236831368</v>
      </c>
    </row>
    <row r="1646" spans="1:12" s="326" customFormat="1" ht="15.5" x14ac:dyDescent="0.35">
      <c r="A1646" s="328" t="s">
        <v>2610</v>
      </c>
      <c r="B1646" s="1291">
        <v>0.11428808520896638</v>
      </c>
      <c r="C1646" s="1257">
        <v>0.23823478082040875</v>
      </c>
      <c r="D1646" s="1257">
        <v>0.12698676134329598</v>
      </c>
      <c r="E1646" s="1280">
        <v>0.85379548989165044</v>
      </c>
      <c r="F1646" s="1271">
        <v>5.7824459076645171E-2</v>
      </c>
      <c r="G1646" s="1257">
        <v>7.0888776794205521E-2</v>
      </c>
      <c r="H1646" s="1280">
        <v>0.67083717451575375</v>
      </c>
      <c r="I1646" s="1271">
        <v>6.4349325570661198E-2</v>
      </c>
      <c r="J1646" s="1257">
        <v>0.13032588552660512</v>
      </c>
      <c r="K1646" s="1280">
        <v>1.2333045196525059</v>
      </c>
      <c r="L1646" s="1237">
        <v>0.17426992236831368</v>
      </c>
    </row>
    <row r="1647" spans="1:12" s="326" customFormat="1" ht="15.5" x14ac:dyDescent="0.35">
      <c r="A1647" s="328" t="s">
        <v>2611</v>
      </c>
      <c r="B1647" s="1291">
        <v>0.11428808520896638</v>
      </c>
      <c r="C1647" s="1257">
        <v>0.23823478082040875</v>
      </c>
      <c r="D1647" s="1257">
        <v>0.12698676134329598</v>
      </c>
      <c r="E1647" s="1280">
        <v>0.85379548989165044</v>
      </c>
      <c r="F1647" s="1271">
        <v>5.7824459076645171E-2</v>
      </c>
      <c r="G1647" s="1257">
        <v>7.0888776794205521E-2</v>
      </c>
      <c r="H1647" s="1280">
        <v>0.67083717451575375</v>
      </c>
      <c r="I1647" s="1271">
        <v>6.4349325570661198E-2</v>
      </c>
      <c r="J1647" s="1257">
        <v>0.13032588552660512</v>
      </c>
      <c r="K1647" s="1280">
        <v>1.2333045196525059</v>
      </c>
      <c r="L1647" s="1237">
        <v>0.17426992236831368</v>
      </c>
    </row>
    <row r="1648" spans="1:12" s="326" customFormat="1" ht="15.5" x14ac:dyDescent="0.35">
      <c r="A1648" s="328" t="s">
        <v>2612</v>
      </c>
      <c r="B1648" s="1291">
        <v>0.11428808520896638</v>
      </c>
      <c r="C1648" s="1257">
        <v>0.23823478082040875</v>
      </c>
      <c r="D1648" s="1257">
        <v>0.12698676134329598</v>
      </c>
      <c r="E1648" s="1280">
        <v>0.85379548989165044</v>
      </c>
      <c r="F1648" s="1271">
        <v>5.7824459076645171E-2</v>
      </c>
      <c r="G1648" s="1257">
        <v>7.0888776794205521E-2</v>
      </c>
      <c r="H1648" s="1280">
        <v>0.67083717451575375</v>
      </c>
      <c r="I1648" s="1271">
        <v>6.4349325570661198E-2</v>
      </c>
      <c r="J1648" s="1257">
        <v>0.13032588552660512</v>
      </c>
      <c r="K1648" s="1280">
        <v>1.2333045196525059</v>
      </c>
      <c r="L1648" s="1237">
        <v>0.17426992236831368</v>
      </c>
    </row>
    <row r="1649" spans="1:12" s="326" customFormat="1" ht="15.5" x14ac:dyDescent="0.35">
      <c r="A1649" s="328" t="s">
        <v>2613</v>
      </c>
      <c r="B1649" s="1291">
        <v>0.11428808520896638</v>
      </c>
      <c r="C1649" s="1257">
        <v>0.23823478082040875</v>
      </c>
      <c r="D1649" s="1257">
        <v>0.12698676134329598</v>
      </c>
      <c r="E1649" s="1280">
        <v>0.85379548989165044</v>
      </c>
      <c r="F1649" s="1271">
        <v>5.7824459076645171E-2</v>
      </c>
      <c r="G1649" s="1257">
        <v>7.0888776794205521E-2</v>
      </c>
      <c r="H1649" s="1280">
        <v>0.67083717451575375</v>
      </c>
      <c r="I1649" s="1271">
        <v>6.4349325570661198E-2</v>
      </c>
      <c r="J1649" s="1257">
        <v>0.13032588552660512</v>
      </c>
      <c r="K1649" s="1280">
        <v>1.2333045196525059</v>
      </c>
      <c r="L1649" s="1237">
        <v>0.17426992236831368</v>
      </c>
    </row>
    <row r="1650" spans="1:12" s="326" customFormat="1" ht="15.5" x14ac:dyDescent="0.35">
      <c r="A1650" s="328" t="s">
        <v>2614</v>
      </c>
      <c r="B1650" s="1291">
        <v>0.11428808520896638</v>
      </c>
      <c r="C1650" s="1257">
        <v>0.23823478082040875</v>
      </c>
      <c r="D1650" s="1257">
        <v>0.12698676134329598</v>
      </c>
      <c r="E1650" s="1280">
        <v>0.85379548989165044</v>
      </c>
      <c r="F1650" s="1271">
        <v>5.7824459076645171E-2</v>
      </c>
      <c r="G1650" s="1257">
        <v>7.0888776794205521E-2</v>
      </c>
      <c r="H1650" s="1280">
        <v>0.67083717451575375</v>
      </c>
      <c r="I1650" s="1271">
        <v>6.4349325570661198E-2</v>
      </c>
      <c r="J1650" s="1257">
        <v>0.13032588552660512</v>
      </c>
      <c r="K1650" s="1280">
        <v>1.2333045196525059</v>
      </c>
      <c r="L1650" s="1237">
        <v>0.17426992236831368</v>
      </c>
    </row>
    <row r="1651" spans="1:12" s="326" customFormat="1" ht="15.5" x14ac:dyDescent="0.35">
      <c r="A1651" s="328" t="s">
        <v>2615</v>
      </c>
      <c r="B1651" s="1291">
        <v>0.11428808520896638</v>
      </c>
      <c r="C1651" s="1257">
        <v>0.23823478082040875</v>
      </c>
      <c r="D1651" s="1257">
        <v>0.12698676134329598</v>
      </c>
      <c r="E1651" s="1280">
        <v>0.85379548989165044</v>
      </c>
      <c r="F1651" s="1303">
        <v>5.7824459076645171E-2</v>
      </c>
      <c r="G1651" s="1288">
        <v>7.0888776794205521E-2</v>
      </c>
      <c r="H1651" s="1280">
        <v>0.67083717451575375</v>
      </c>
      <c r="I1651" s="1303">
        <v>6.4349325570661198E-2</v>
      </c>
      <c r="J1651" s="1288">
        <v>0.13032588552660512</v>
      </c>
      <c r="K1651" s="1280">
        <v>1.2333045196525059</v>
      </c>
      <c r="L1651" s="1237">
        <v>0.17426992236831368</v>
      </c>
    </row>
    <row r="1652" spans="1:12" s="326" customFormat="1" ht="15.5" x14ac:dyDescent="0.35">
      <c r="A1652" s="328" t="s">
        <v>2616</v>
      </c>
      <c r="B1652" s="1291">
        <v>0.11428808520896638</v>
      </c>
      <c r="C1652" s="1257">
        <v>0.23823478082040875</v>
      </c>
      <c r="D1652" s="1257">
        <v>0.12698676134329598</v>
      </c>
      <c r="E1652" s="1280">
        <v>0.85379548989165044</v>
      </c>
      <c r="F1652" s="1303">
        <v>5.7873304259800661E-2</v>
      </c>
      <c r="G1652" s="1288">
        <v>7.0230802999142847E-2</v>
      </c>
      <c r="H1652" s="1280">
        <v>0.66461061367571206</v>
      </c>
      <c r="I1652" s="1303">
        <v>6.4101705044633667E-2</v>
      </c>
      <c r="J1652" s="1288">
        <v>0.1302797143603715</v>
      </c>
      <c r="K1652" s="1280">
        <v>1.2328675910426332</v>
      </c>
      <c r="L1652" s="1237">
        <v>0.17426992236831368</v>
      </c>
    </row>
    <row r="1653" spans="1:12" s="326" customFormat="1" ht="15.5" x14ac:dyDescent="0.35">
      <c r="A1653" s="328" t="s">
        <v>2617</v>
      </c>
      <c r="B1653" s="1291">
        <v>0.11428808520896638</v>
      </c>
      <c r="C1653" s="1257">
        <v>0.23823478082040875</v>
      </c>
      <c r="D1653" s="1257">
        <v>0.12698676134329598</v>
      </c>
      <c r="E1653" s="1280">
        <v>0.85379548989165044</v>
      </c>
      <c r="F1653" s="1303">
        <v>5.7715778107622774E-2</v>
      </c>
      <c r="G1653" s="1288">
        <v>7.6089311648309732E-2</v>
      </c>
      <c r="H1653" s="1280">
        <v>0.72005105949540171</v>
      </c>
      <c r="I1653" s="1303">
        <v>6.3632280888618331E-2</v>
      </c>
      <c r="J1653" s="1288">
        <v>0.13089460394120636</v>
      </c>
      <c r="K1653" s="1280">
        <v>1.2386864358259748</v>
      </c>
      <c r="L1653" s="1237">
        <v>0.17426992236831368</v>
      </c>
    </row>
    <row r="1654" spans="1:12" s="326" customFormat="1" ht="15.5" x14ac:dyDescent="0.35">
      <c r="A1654" s="328" t="s">
        <v>2618</v>
      </c>
      <c r="B1654" s="1291">
        <v>0.11428808520896638</v>
      </c>
      <c r="C1654" s="1257">
        <v>0.23823478082040875</v>
      </c>
      <c r="D1654" s="1257">
        <v>0.12698676134329598</v>
      </c>
      <c r="E1654" s="1280">
        <v>0.85379548989165044</v>
      </c>
      <c r="F1654" s="1303">
        <v>5.7851124764229482E-2</v>
      </c>
      <c r="G1654" s="1288">
        <v>7.4704611380636624E-2</v>
      </c>
      <c r="H1654" s="1280">
        <v>0.70694731505058328</v>
      </c>
      <c r="I1654" s="1303">
        <v>6.4006848188955842E-2</v>
      </c>
      <c r="J1654" s="1288">
        <v>0.13100430625419276</v>
      </c>
      <c r="K1654" s="1280">
        <v>1.2397245746260741</v>
      </c>
      <c r="L1654" s="1237">
        <v>0.17426992236831368</v>
      </c>
    </row>
    <row r="1655" spans="1:12" s="326" customFormat="1" ht="15.5" x14ac:dyDescent="0.35">
      <c r="A1655" s="328" t="s">
        <v>2619</v>
      </c>
      <c r="B1655" s="1291">
        <v>0.11428808520896638</v>
      </c>
      <c r="C1655" s="1257">
        <v>0.23823478082040875</v>
      </c>
      <c r="D1655" s="1257">
        <v>0.12698676134329598</v>
      </c>
      <c r="E1655" s="1280">
        <v>0.85379548989165044</v>
      </c>
      <c r="F1655" s="1303">
        <v>5.763892277254018E-2</v>
      </c>
      <c r="G1655" s="1288">
        <v>7.3399110077403781E-2</v>
      </c>
      <c r="H1655" s="1280">
        <v>0.69459304904131369</v>
      </c>
      <c r="I1655" s="1303">
        <v>6.3948544258001144E-2</v>
      </c>
      <c r="J1655" s="1288">
        <v>0.13085879727069979</v>
      </c>
      <c r="K1655" s="1280">
        <v>1.2383475888778723</v>
      </c>
      <c r="L1655" s="1237">
        <v>0.17426992236831368</v>
      </c>
    </row>
    <row r="1656" spans="1:12" s="326" customFormat="1" ht="15.5" x14ac:dyDescent="0.35">
      <c r="A1656" s="328" t="s">
        <v>2620</v>
      </c>
      <c r="B1656" s="1291">
        <v>0.11428808520896638</v>
      </c>
      <c r="C1656" s="1257">
        <v>0.23823478082040875</v>
      </c>
      <c r="D1656" s="1257">
        <v>0.12698676134329598</v>
      </c>
      <c r="E1656" s="1280">
        <v>0.85379548989165044</v>
      </c>
      <c r="F1656" s="1303">
        <v>5.7446235211767456E-2</v>
      </c>
      <c r="G1656" s="1288">
        <v>7.4247950013259956E-2</v>
      </c>
      <c r="H1656" s="1280">
        <v>0.70262582108136451</v>
      </c>
      <c r="I1656" s="1303">
        <v>6.3554557249998894E-2</v>
      </c>
      <c r="J1656" s="1288">
        <v>0.13012267548617326</v>
      </c>
      <c r="K1656" s="1280">
        <v>1.231381495225772</v>
      </c>
      <c r="L1656" s="1237">
        <v>0.17426992236831368</v>
      </c>
    </row>
    <row r="1657" spans="1:12" s="326" customFormat="1" ht="15.5" x14ac:dyDescent="0.35">
      <c r="A1657" s="328" t="s">
        <v>2621</v>
      </c>
      <c r="B1657" s="1291">
        <v>0.11428808520896638</v>
      </c>
      <c r="C1657" s="1257">
        <v>0.23823478082040875</v>
      </c>
      <c r="D1657" s="1257">
        <v>0.12698676134329598</v>
      </c>
      <c r="E1657" s="1280">
        <v>0.85379548989165044</v>
      </c>
      <c r="F1657" s="1303">
        <v>4.9269428787530642E-2</v>
      </c>
      <c r="G1657" s="1288">
        <v>7.3547602455477187E-2</v>
      </c>
      <c r="H1657" s="1280">
        <v>0.69599826735440551</v>
      </c>
      <c r="I1657" s="1303">
        <v>6.9493266848632509E-2</v>
      </c>
      <c r="J1657" s="1288">
        <v>0.12917275207251563</v>
      </c>
      <c r="K1657" s="1280">
        <v>1.2223921464509384</v>
      </c>
      <c r="L1657" s="1237">
        <v>0.17426992236831368</v>
      </c>
    </row>
    <row r="1658" spans="1:12" s="326" customFormat="1" ht="15.5" x14ac:dyDescent="0.35">
      <c r="A1658" s="328" t="s">
        <v>2622</v>
      </c>
      <c r="B1658" s="1291">
        <v>0.11428808520896638</v>
      </c>
      <c r="C1658" s="1257">
        <v>0.23823478082040875</v>
      </c>
      <c r="D1658" s="1257">
        <v>0.12698676134329598</v>
      </c>
      <c r="E1658" s="1280">
        <v>0.85379548989165044</v>
      </c>
      <c r="F1658" s="1303">
        <v>4.9494304201588069E-2</v>
      </c>
      <c r="G1658" s="1288">
        <v>7.1701488297242849E-2</v>
      </c>
      <c r="H1658" s="1280">
        <v>0.67852805469523181</v>
      </c>
      <c r="I1658" s="1303">
        <v>6.9318835368217868E-2</v>
      </c>
      <c r="J1658" s="1288">
        <v>0.12968983698903583</v>
      </c>
      <c r="K1658" s="1280">
        <v>1.2272854426830082</v>
      </c>
      <c r="L1658" s="1237">
        <v>0.17426992236831368</v>
      </c>
    </row>
    <row r="1659" spans="1:12" s="326" customFormat="1" ht="15.5" x14ac:dyDescent="0.35">
      <c r="A1659" s="328" t="s">
        <v>2623</v>
      </c>
      <c r="B1659" s="1291">
        <v>0.11428808520896638</v>
      </c>
      <c r="C1659" s="1257">
        <v>0.23823478082040875</v>
      </c>
      <c r="D1659" s="1257">
        <v>0.12698676134329598</v>
      </c>
      <c r="E1659" s="1280">
        <v>0.85379548989165044</v>
      </c>
      <c r="F1659" s="1303">
        <v>4.923530222291294E-2</v>
      </c>
      <c r="G1659" s="1288">
        <v>7.7102303731063471E-2</v>
      </c>
      <c r="H1659" s="1280">
        <v>0.72963724192557855</v>
      </c>
      <c r="I1659" s="1303">
        <v>6.9038932929886818E-2</v>
      </c>
      <c r="J1659" s="1288">
        <v>0.12992842830833856</v>
      </c>
      <c r="K1659" s="1280">
        <v>1.2295432884767039</v>
      </c>
      <c r="L1659" s="1237">
        <v>0.17426992236831368</v>
      </c>
    </row>
    <row r="1660" spans="1:12" s="326" customFormat="1" ht="15.5" x14ac:dyDescent="0.35">
      <c r="A1660" s="328" t="s">
        <v>2624</v>
      </c>
      <c r="B1660" s="1291">
        <v>0.11428808520896638</v>
      </c>
      <c r="C1660" s="1257">
        <v>0.23823478082040875</v>
      </c>
      <c r="D1660" s="1257">
        <v>0.12698676134329598</v>
      </c>
      <c r="E1660" s="1280">
        <v>0.85379548989165044</v>
      </c>
      <c r="F1660" s="1303">
        <v>5.9021428012691404E-2</v>
      </c>
      <c r="G1660" s="1288">
        <v>7.1487639207753306E-2</v>
      </c>
      <c r="H1660" s="1280">
        <v>0.67650435044395962</v>
      </c>
      <c r="I1660" s="1303">
        <v>7.4838825893963484E-2</v>
      </c>
      <c r="J1660" s="1288">
        <v>0.13077728248434439</v>
      </c>
      <c r="K1660" s="1280">
        <v>1.2375761952746414</v>
      </c>
      <c r="L1660" s="1237">
        <v>0.17426992236831368</v>
      </c>
    </row>
    <row r="1661" spans="1:12" s="326" customFormat="1" ht="15.5" x14ac:dyDescent="0.35">
      <c r="A1661" s="328" t="s">
        <v>2625</v>
      </c>
      <c r="B1661" s="1291">
        <v>0.11428808520896638</v>
      </c>
      <c r="C1661" s="1257">
        <v>0.23823478082040875</v>
      </c>
      <c r="D1661" s="1257">
        <v>0.12698676134329598</v>
      </c>
      <c r="E1661" s="1280">
        <v>0.85379548989165044</v>
      </c>
      <c r="F1661" s="1303">
        <v>5.9127656006712576E-2</v>
      </c>
      <c r="G1661" s="1288">
        <v>6.981724972512271E-2</v>
      </c>
      <c r="H1661" s="1280">
        <v>0.66069706173700682</v>
      </c>
      <c r="I1661" s="1303">
        <v>7.560208730082095E-2</v>
      </c>
      <c r="J1661" s="1288">
        <v>0.11600917875299101</v>
      </c>
      <c r="K1661" s="1280">
        <v>1.0978221548169076</v>
      </c>
      <c r="L1661" s="1237">
        <v>0.17426992236831368</v>
      </c>
    </row>
    <row r="1662" spans="1:12" s="326" customFormat="1" ht="15.5" x14ac:dyDescent="0.35">
      <c r="A1662" s="328" t="s">
        <v>2626</v>
      </c>
      <c r="B1662" s="1291">
        <v>0.11428808520896638</v>
      </c>
      <c r="C1662" s="1257">
        <v>0.23823478082040875</v>
      </c>
      <c r="D1662" s="1257">
        <v>0.12698676134329598</v>
      </c>
      <c r="E1662" s="1280">
        <v>0.85379548989165044</v>
      </c>
      <c r="F1662" s="1303">
        <v>5.900901534148377E-2</v>
      </c>
      <c r="G1662" s="1288">
        <v>6.3342209482995862E-2</v>
      </c>
      <c r="H1662" s="1280">
        <v>0.59942223238687997</v>
      </c>
      <c r="I1662" s="1303">
        <v>7.5392044548894421E-2</v>
      </c>
      <c r="J1662" s="1288">
        <v>9.9597643443067374E-2</v>
      </c>
      <c r="K1662" s="1280">
        <v>0.94251593464138006</v>
      </c>
      <c r="L1662" s="1237">
        <v>0.17426992236831368</v>
      </c>
    </row>
    <row r="1663" spans="1:12" s="326" customFormat="1" ht="15.5" x14ac:dyDescent="0.35">
      <c r="A1663" s="328" t="s">
        <v>2627</v>
      </c>
      <c r="B1663" s="1291">
        <v>0.11428808520896638</v>
      </c>
      <c r="C1663" s="1257">
        <v>0.23823478082040875</v>
      </c>
      <c r="D1663" s="1257">
        <v>0.12698676134329598</v>
      </c>
      <c r="E1663" s="1280">
        <v>0.85379548989165044</v>
      </c>
      <c r="F1663" s="1303">
        <v>6.5751180056678848E-2</v>
      </c>
      <c r="G1663" s="1288">
        <v>5.8663476338672249E-2</v>
      </c>
      <c r="H1663" s="1280">
        <v>0.55514627976375863</v>
      </c>
      <c r="I1663" s="1303">
        <v>8.0907610657485654E-2</v>
      </c>
      <c r="J1663" s="1288">
        <v>9.9563903979259238E-2</v>
      </c>
      <c r="K1663" s="1280">
        <v>0.94219665015666654</v>
      </c>
      <c r="L1663" s="1237">
        <v>0.17426992236831368</v>
      </c>
    </row>
    <row r="1664" spans="1:12" s="326" customFormat="1" ht="15.5" x14ac:dyDescent="0.35">
      <c r="A1664" s="328" t="s">
        <v>2628</v>
      </c>
      <c r="B1664" s="1291">
        <v>0.11428808520896638</v>
      </c>
      <c r="C1664" s="1257">
        <v>0.23823478082040875</v>
      </c>
      <c r="D1664" s="1257">
        <v>0.12698676134329598</v>
      </c>
      <c r="E1664" s="1280">
        <v>0.85379548989165044</v>
      </c>
      <c r="F1664" s="1303">
        <v>6.7591106782104296E-2</v>
      </c>
      <c r="G1664" s="1288">
        <v>5.9282265680339591E-2</v>
      </c>
      <c r="H1664" s="1280">
        <v>0.5610020289014489</v>
      </c>
      <c r="I1664" s="1303">
        <v>8.0606456758755121E-2</v>
      </c>
      <c r="J1664" s="1288">
        <v>0.10128859212438064</v>
      </c>
      <c r="K1664" s="1280">
        <v>0.95851777988292564</v>
      </c>
      <c r="L1664" s="1330">
        <v>0.17426992236831368</v>
      </c>
    </row>
    <row r="1665" spans="1:12" s="326" customFormat="1" ht="15.5" x14ac:dyDescent="0.35">
      <c r="A1665" s="328" t="s">
        <v>2629</v>
      </c>
      <c r="B1665" s="1291">
        <v>0.11428808520896638</v>
      </c>
      <c r="C1665" s="1257">
        <v>0.23823478082040875</v>
      </c>
      <c r="D1665" s="1257">
        <v>0.12698676134329598</v>
      </c>
      <c r="E1665" s="1280">
        <v>0.85379548989165044</v>
      </c>
      <c r="F1665" s="1303">
        <v>6.1981779217067053E-2</v>
      </c>
      <c r="G1665" s="1288">
        <v>5.9682844903241147E-2</v>
      </c>
      <c r="H1665" s="1280">
        <v>0.5647928043417012</v>
      </c>
      <c r="I1665" s="1303">
        <v>8.0841046476818473E-2</v>
      </c>
      <c r="J1665" s="1288">
        <v>0.10120435364203134</v>
      </c>
      <c r="K1665" s="1280">
        <v>0.95772061130363484</v>
      </c>
      <c r="L1665" s="1330">
        <v>0.17348322377066405</v>
      </c>
    </row>
    <row r="1666" spans="1:12" s="326" customFormat="1" ht="15.5" x14ac:dyDescent="0.35">
      <c r="A1666" s="328" t="s">
        <v>2630</v>
      </c>
      <c r="B1666" s="1291">
        <v>0.11428808520896638</v>
      </c>
      <c r="C1666" s="1257">
        <v>0.23823478082040875</v>
      </c>
      <c r="D1666" s="1257">
        <v>0.12698676134329598</v>
      </c>
      <c r="E1666" s="1280">
        <v>0.85379548989165044</v>
      </c>
      <c r="F1666" s="1303">
        <v>6.693271846201003E-2</v>
      </c>
      <c r="G1666" s="1288">
        <v>5.860151731877513E-2</v>
      </c>
      <c r="H1666" s="1280">
        <v>0.55455994697987931</v>
      </c>
      <c r="I1666" s="1303">
        <v>8.0767835052884776E-2</v>
      </c>
      <c r="J1666" s="1288">
        <v>0.10157205034777968</v>
      </c>
      <c r="K1666" s="1280">
        <v>0.96120021174700332</v>
      </c>
      <c r="L1666" s="1330">
        <v>0.16373730283705085</v>
      </c>
    </row>
    <row r="1667" spans="1:12" s="326" customFormat="1" ht="15.5" x14ac:dyDescent="0.35">
      <c r="A1667" s="328" t="s">
        <v>2631</v>
      </c>
      <c r="B1667" s="1291">
        <v>0.11428808520896638</v>
      </c>
      <c r="C1667" s="1257">
        <v>0.23823478082040875</v>
      </c>
      <c r="D1667" s="1257">
        <v>0.12698676134329598</v>
      </c>
      <c r="E1667" s="1280">
        <v>0.85379548989165044</v>
      </c>
      <c r="F1667" s="1303">
        <v>6.2519975299957481E-2</v>
      </c>
      <c r="G1667" s="1288">
        <v>5.6289156217101538E-2</v>
      </c>
      <c r="H1667" s="1280">
        <v>0.532677529789777</v>
      </c>
      <c r="I1667" s="1303">
        <v>7.8568668712919315E-2</v>
      </c>
      <c r="J1667" s="1288">
        <v>9.9028535770170345E-2</v>
      </c>
      <c r="K1667" s="1280">
        <v>0.93713033482506791</v>
      </c>
      <c r="L1667" s="1330">
        <v>0.19316561946103128</v>
      </c>
    </row>
    <row r="1668" spans="1:12" s="326" customFormat="1" ht="15.5" x14ac:dyDescent="0.35">
      <c r="A1668" s="328" t="s">
        <v>2632</v>
      </c>
      <c r="B1668" s="1291">
        <v>0.11428808520896638</v>
      </c>
      <c r="C1668" s="1257">
        <v>0.23823478082040875</v>
      </c>
      <c r="D1668" s="1257">
        <v>0.12698676134329598</v>
      </c>
      <c r="E1668" s="1280">
        <v>0.85379548989165044</v>
      </c>
      <c r="F1668" s="1303">
        <v>6.015963984584316E-2</v>
      </c>
      <c r="G1668" s="1288">
        <v>5.686093838255047E-2</v>
      </c>
      <c r="H1668" s="1280">
        <v>0.53808843895840042</v>
      </c>
      <c r="I1668" s="1303">
        <v>7.8085734726469833E-2</v>
      </c>
      <c r="J1668" s="1288">
        <v>9.9810685719574174E-2</v>
      </c>
      <c r="K1668" s="1280">
        <v>0.94453200383155855</v>
      </c>
      <c r="L1668" s="1330">
        <v>0.19316561946103883</v>
      </c>
    </row>
    <row r="1669" spans="1:12" s="326" customFormat="1" ht="15.5" x14ac:dyDescent="0.35">
      <c r="A1669" s="328" t="s">
        <v>2633</v>
      </c>
      <c r="B1669" s="1291">
        <v>0.11428808520896638</v>
      </c>
      <c r="C1669" s="1257">
        <v>0.23823478082040875</v>
      </c>
      <c r="D1669" s="1257">
        <v>0.12698676134329598</v>
      </c>
      <c r="E1669" s="1280">
        <v>0.85379548989165044</v>
      </c>
      <c r="F1669" s="1303">
        <v>6.1687343718026096E-2</v>
      </c>
      <c r="G1669" s="1288">
        <v>5.7388315935701005E-2</v>
      </c>
      <c r="H1669" s="1280">
        <v>0.54307913683270004</v>
      </c>
      <c r="I1669" s="1303">
        <v>7.5720089041783012E-2</v>
      </c>
      <c r="J1669" s="1288">
        <v>9.7086446227534234E-2</v>
      </c>
      <c r="K1669" s="1280">
        <v>0.91875188452085699</v>
      </c>
      <c r="L1669" s="1330">
        <v>0.19316561946101066</v>
      </c>
    </row>
    <row r="1670" spans="1:12" s="326" customFormat="1" ht="15.5" x14ac:dyDescent="0.35">
      <c r="A1670" s="328" t="s">
        <v>2634</v>
      </c>
      <c r="B1670" s="1291">
        <v>0.11428808520896638</v>
      </c>
      <c r="C1670" s="1257">
        <v>0.23823478082040875</v>
      </c>
      <c r="D1670" s="1257">
        <v>0.12698676134329598</v>
      </c>
      <c r="E1670" s="1280">
        <v>0.85379548989165044</v>
      </c>
      <c r="F1670" s="1303">
        <v>6.0363522333272579E-2</v>
      </c>
      <c r="G1670" s="1288">
        <v>5.6519836275774026E-2</v>
      </c>
      <c r="H1670" s="1280">
        <v>0.53486050946265573</v>
      </c>
      <c r="I1670" s="1303">
        <v>7.2955873855263684E-2</v>
      </c>
      <c r="J1670" s="1288">
        <v>9.5690396894854257E-2</v>
      </c>
      <c r="K1670" s="1280">
        <v>0.90554074120351047</v>
      </c>
      <c r="L1670" s="1330">
        <v>0.19783989947396996</v>
      </c>
    </row>
    <row r="1671" spans="1:12" s="326" customFormat="1" ht="15.5" x14ac:dyDescent="0.35">
      <c r="A1671" s="328" t="s">
        <v>2635</v>
      </c>
      <c r="B1671" s="1291">
        <v>0.11428808520896638</v>
      </c>
      <c r="C1671" s="1257">
        <v>0.23823478082040875</v>
      </c>
      <c r="D1671" s="1257">
        <v>0.12698676134329598</v>
      </c>
      <c r="E1671" s="1280">
        <v>0.85379548989165044</v>
      </c>
      <c r="F1671" s="1303">
        <v>5.5543351740150432E-2</v>
      </c>
      <c r="G1671" s="1288">
        <v>5.5043531836196313E-2</v>
      </c>
      <c r="H1671" s="1280">
        <v>0.52088989318518131</v>
      </c>
      <c r="I1671" s="1303">
        <v>6.8432837794800999E-2</v>
      </c>
      <c r="J1671" s="1288">
        <v>9.1110265398273757E-2</v>
      </c>
      <c r="K1671" s="1280">
        <v>0.86219787917336987</v>
      </c>
      <c r="L1671" s="1330">
        <v>0.19783989947400271</v>
      </c>
    </row>
    <row r="1672" spans="1:12" s="326" customFormat="1" ht="15.5" x14ac:dyDescent="0.35">
      <c r="A1672" s="328" t="s">
        <v>2636</v>
      </c>
      <c r="B1672" s="1291">
        <v>0.11428808520896638</v>
      </c>
      <c r="C1672" s="1257">
        <v>0.23823478082040875</v>
      </c>
      <c r="D1672" s="1257">
        <v>0.12698676134329598</v>
      </c>
      <c r="E1672" s="1280">
        <v>0.85379548989165044</v>
      </c>
      <c r="F1672" s="1303">
        <v>5.7568756352020752E-2</v>
      </c>
      <c r="G1672" s="1288">
        <v>5.3057280410654273E-2</v>
      </c>
      <c r="H1672" s="1280">
        <v>0.5020935285920004</v>
      </c>
      <c r="I1672" s="1303">
        <v>6.8509375998250757E-2</v>
      </c>
      <c r="J1672" s="1288">
        <v>9.0257753657251097E-2</v>
      </c>
      <c r="K1672" s="1280">
        <v>0.85413035997707476</v>
      </c>
      <c r="L1672" s="1330">
        <v>0.19783989947381792</v>
      </c>
    </row>
    <row r="1673" spans="1:12" s="326" customFormat="1" ht="15.5" x14ac:dyDescent="0.35">
      <c r="A1673" s="328" t="s">
        <v>2637</v>
      </c>
      <c r="B1673" s="1291">
        <v>0.11428808520896638</v>
      </c>
      <c r="C1673" s="1257">
        <v>0.23823478082040875</v>
      </c>
      <c r="D1673" s="1257">
        <v>0.12698676134329598</v>
      </c>
      <c r="E1673" s="1280">
        <v>0.85379548989165044</v>
      </c>
      <c r="F1673" s="1303">
        <v>5.4555438549797768E-2</v>
      </c>
      <c r="G1673" s="1288">
        <v>5.2865809797664892E-2</v>
      </c>
      <c r="H1673" s="1280">
        <v>0.50028159712937292</v>
      </c>
      <c r="I1673" s="1303">
        <v>6.5065970895425873E-2</v>
      </c>
      <c r="J1673" s="1288">
        <v>8.7562658964520368E-2</v>
      </c>
      <c r="K1673" s="1280">
        <v>0.82862604475983603</v>
      </c>
      <c r="L1673" s="1330">
        <v>0.19783989947398806</v>
      </c>
    </row>
    <row r="1674" spans="1:12" s="326" customFormat="1" ht="15.5" x14ac:dyDescent="0.35">
      <c r="A1674" s="328" t="s">
        <v>2638</v>
      </c>
      <c r="B1674" s="1291">
        <v>0.11428808520896638</v>
      </c>
      <c r="C1674" s="1257">
        <v>0.23823478082040875</v>
      </c>
      <c r="D1674" s="1257">
        <v>0.12698676134329598</v>
      </c>
      <c r="E1674" s="1280">
        <v>0.85379548989165044</v>
      </c>
      <c r="F1674" s="1303">
        <v>5.3044493140072299E-2</v>
      </c>
      <c r="G1674" s="1288">
        <v>5.0238273969045968E-2</v>
      </c>
      <c r="H1674" s="1280">
        <v>0.47541660733942764</v>
      </c>
      <c r="I1674" s="1303">
        <v>6.3432150014137045E-2</v>
      </c>
      <c r="J1674" s="1288">
        <v>8.5351022672758792E-2</v>
      </c>
      <c r="K1674" s="1280">
        <v>0.80769681014588657</v>
      </c>
      <c r="L1674" s="1330">
        <v>0.17892515979643808</v>
      </c>
    </row>
    <row r="1675" spans="1:12" s="326" customFormat="1" ht="15.5" x14ac:dyDescent="0.35">
      <c r="A1675" s="328" t="s">
        <v>2639</v>
      </c>
      <c r="B1675" s="1291">
        <v>0.11428808520896638</v>
      </c>
      <c r="C1675" s="1257">
        <v>0.23823478082040875</v>
      </c>
      <c r="D1675" s="1257">
        <v>0.12698676134329598</v>
      </c>
      <c r="E1675" s="1280">
        <v>0.85379548989165044</v>
      </c>
      <c r="F1675" s="1303">
        <v>5.1649115846180184E-2</v>
      </c>
      <c r="G1675" s="1288">
        <v>4.8443694052896016E-2</v>
      </c>
      <c r="H1675" s="1280">
        <v>0.45843407533880276</v>
      </c>
      <c r="I1675" s="1303">
        <v>6.1863393836250141E-2</v>
      </c>
      <c r="J1675" s="1288">
        <v>8.3226509892770029E-2</v>
      </c>
      <c r="K1675" s="1280">
        <v>0.78759204582349285</v>
      </c>
      <c r="L1675" s="1330">
        <v>0.17892515979658</v>
      </c>
    </row>
    <row r="1676" spans="1:12" s="326" customFormat="1" ht="15.5" x14ac:dyDescent="0.35">
      <c r="A1676" s="328" t="s">
        <v>2640</v>
      </c>
      <c r="B1676" s="1291">
        <v>0.11428808520896638</v>
      </c>
      <c r="C1676" s="1257">
        <v>0.23823478082040875</v>
      </c>
      <c r="D1676" s="1257">
        <v>0.12698676134329598</v>
      </c>
      <c r="E1676" s="1280">
        <v>0.85379548989165044</v>
      </c>
      <c r="F1676" s="1303">
        <v>5.0251963691819446E-2</v>
      </c>
      <c r="G1676" s="1288">
        <v>4.675790180129092E-2</v>
      </c>
      <c r="H1676" s="1280">
        <v>0.44248102660486333</v>
      </c>
      <c r="I1676" s="1303">
        <v>6.0294668319581052E-2</v>
      </c>
      <c r="J1676" s="1288">
        <v>8.1106002287645362E-2</v>
      </c>
      <c r="K1676" s="1280">
        <v>0.76752518341323217</v>
      </c>
      <c r="L1676" s="1330">
        <v>0.17892515979661056</v>
      </c>
    </row>
    <row r="1677" spans="1:12" s="326" customFormat="1" ht="15.5" x14ac:dyDescent="0.35">
      <c r="A1677" s="328" t="s">
        <v>2641</v>
      </c>
      <c r="B1677" s="1291">
        <v>0.11428808520896638</v>
      </c>
      <c r="C1677" s="1257">
        <v>0.23823478082040875</v>
      </c>
      <c r="D1677" s="1257">
        <v>0.12698676134329598</v>
      </c>
      <c r="E1677" s="1280">
        <v>0.85379548989165044</v>
      </c>
      <c r="F1677" s="1303">
        <v>4.9996080519577192E-2</v>
      </c>
      <c r="G1677" s="1288">
        <v>4.5146310314352595E-2</v>
      </c>
      <c r="H1677" s="1306">
        <v>0.42657725461755874</v>
      </c>
      <c r="I1677" s="1303">
        <v>6.0286666028084093E-2</v>
      </c>
      <c r="J1677" s="1288">
        <v>8.1071382918671983E-2</v>
      </c>
      <c r="K1677" s="1306">
        <v>0.59940302384421773</v>
      </c>
      <c r="L1677" s="1330">
        <v>0.16538473801130091</v>
      </c>
    </row>
    <row r="1678" spans="1:12" s="326" customFormat="1" ht="15.5" x14ac:dyDescent="0.35">
      <c r="A1678" s="328" t="s">
        <v>2642</v>
      </c>
      <c r="B1678" s="1291">
        <v>0.11428808520896638</v>
      </c>
      <c r="C1678" s="1257">
        <v>0.23823478082040875</v>
      </c>
      <c r="D1678" s="1257">
        <v>0.12698676134329598</v>
      </c>
      <c r="E1678" s="1280">
        <v>0.85379548989165044</v>
      </c>
      <c r="F1678" s="1303">
        <v>4.9728963738103739E-2</v>
      </c>
      <c r="G1678" s="1288">
        <v>4.3580010609817123E-2</v>
      </c>
      <c r="H1678" s="1306">
        <v>0.4342546992418973</v>
      </c>
      <c r="I1678" s="1303">
        <v>6.0277952604690967E-2</v>
      </c>
      <c r="J1678" s="1288">
        <v>8.1034709501583715E-2</v>
      </c>
      <c r="K1678" s="1306">
        <v>0.59944996185951005</v>
      </c>
      <c r="L1678" s="1330">
        <v>0.16538473801120518</v>
      </c>
    </row>
    <row r="1679" spans="1:12" s="326" customFormat="1" ht="15.5" x14ac:dyDescent="0.35">
      <c r="A1679" s="328" t="s">
        <v>2643</v>
      </c>
      <c r="B1679" s="1291">
        <v>0.11428808520896638</v>
      </c>
      <c r="C1679" s="1257">
        <v>0.23823478082040875</v>
      </c>
      <c r="D1679" s="1257">
        <v>0.12698676134329598</v>
      </c>
      <c r="E1679" s="1280">
        <v>0.85379548989165044</v>
      </c>
      <c r="F1679" s="1303">
        <v>4.954630782980559E-2</v>
      </c>
      <c r="G1679" s="1288">
        <v>4.3009989144488815E-2</v>
      </c>
      <c r="H1679" s="1306">
        <v>0.44973045780131593</v>
      </c>
      <c r="I1679" s="1303">
        <v>6.0269230914385082E-2</v>
      </c>
      <c r="J1679" s="1288">
        <v>8.09977605743393E-2</v>
      </c>
      <c r="K1679" s="1306">
        <v>0.59955076743217128</v>
      </c>
      <c r="L1679" s="1330">
        <v>0.16538473801122239</v>
      </c>
    </row>
    <row r="1680" spans="1:12" s="326" customFormat="1" ht="15.5" x14ac:dyDescent="0.35">
      <c r="A1680" s="328" t="s">
        <v>2644</v>
      </c>
      <c r="B1680" s="1291">
        <v>0.11428808520896638</v>
      </c>
      <c r="C1680" s="1257">
        <v>0.23823478082040875</v>
      </c>
      <c r="D1680" s="1257">
        <v>0.12698676134329598</v>
      </c>
      <c r="E1680" s="1280">
        <v>0.85379548989165044</v>
      </c>
      <c r="F1680" s="1303">
        <v>4.9345345165841777E-2</v>
      </c>
      <c r="G1680" s="1288">
        <v>4.2767752961915977E-2</v>
      </c>
      <c r="H1680" s="1306">
        <v>0.46532753523124937</v>
      </c>
      <c r="I1680" s="1303">
        <v>6.026091760600389E-2</v>
      </c>
      <c r="J1680" s="1288">
        <v>8.0961815344221255E-2</v>
      </c>
      <c r="K1680" s="1306">
        <v>0.59957869894503901</v>
      </c>
      <c r="L1680" s="1330">
        <v>0.15942834306374934</v>
      </c>
    </row>
    <row r="1681" spans="1:12" s="326" customFormat="1" ht="15.5" x14ac:dyDescent="0.35">
      <c r="A1681" s="328" t="s">
        <v>2645</v>
      </c>
      <c r="B1681" s="1287">
        <v>0.11428808520896638</v>
      </c>
      <c r="C1681" s="1288">
        <v>0.23823478082040875</v>
      </c>
      <c r="D1681" s="1288">
        <v>0.24827114987948251</v>
      </c>
      <c r="E1681" s="1306">
        <v>1.9033773886805783</v>
      </c>
      <c r="F1681" s="1303">
        <v>4.9147453875357218E-2</v>
      </c>
      <c r="G1681" s="1288">
        <v>4.2518046911501774E-2</v>
      </c>
      <c r="H1681" s="1306">
        <v>0.47649853807266895</v>
      </c>
      <c r="I1681" s="1303">
        <v>6.025273001621944E-2</v>
      </c>
      <c r="J1681" s="1288">
        <v>8.0926625021201418E-2</v>
      </c>
      <c r="K1681" s="1306">
        <v>0.59960647440921311</v>
      </c>
      <c r="L1681" s="1330">
        <v>0.15834737614177016</v>
      </c>
    </row>
    <row r="1682" spans="1:12" s="326" customFormat="1" ht="15.5" x14ac:dyDescent="0.35">
      <c r="A1682" s="328" t="s">
        <v>2646</v>
      </c>
      <c r="B1682" s="1287">
        <v>0.11073085794335995</v>
      </c>
      <c r="C1682" s="1288">
        <v>0.22083813802208285</v>
      </c>
      <c r="D1682" s="1288">
        <v>0.26240254612974345</v>
      </c>
      <c r="E1682" s="1306">
        <v>1.940380148969707</v>
      </c>
      <c r="F1682" s="1303">
        <v>4.8917163923726109E-2</v>
      </c>
      <c r="G1682" s="1288">
        <v>4.2282244325131432E-2</v>
      </c>
      <c r="H1682" s="1306">
        <v>0.48500522267152651</v>
      </c>
      <c r="I1682" s="1303">
        <v>6.024453046377256E-2</v>
      </c>
      <c r="J1682" s="1288">
        <v>8.0892113949291494E-2</v>
      </c>
      <c r="K1682" s="1306">
        <v>0.59967066887988096</v>
      </c>
      <c r="L1682" s="1330">
        <v>0.15737450591200108</v>
      </c>
    </row>
    <row r="1683" spans="1:12" s="326" customFormat="1" ht="15.5" x14ac:dyDescent="0.35">
      <c r="A1683" s="328" t="s">
        <v>2647</v>
      </c>
      <c r="B1683" s="1291">
        <v>8.7733184437465805E-2</v>
      </c>
      <c r="C1683" s="1257">
        <v>0.15698458125259002</v>
      </c>
      <c r="D1683" s="1257">
        <v>0.1745614283994516</v>
      </c>
      <c r="E1683" s="1306">
        <v>1.9224540488455977</v>
      </c>
      <c r="F1683" s="1303">
        <v>4.8687894366806234E-2</v>
      </c>
      <c r="G1683" s="1288">
        <v>4.2054133824218083E-2</v>
      </c>
      <c r="H1683" s="1306">
        <v>0.49122602907750701</v>
      </c>
      <c r="I1683" s="1303">
        <v>6.0236347149330995E-2</v>
      </c>
      <c r="J1683" s="1288">
        <v>8.0858305416081064E-2</v>
      </c>
      <c r="K1683" s="1306">
        <v>0.59973717218521516</v>
      </c>
      <c r="L1683" s="1330">
        <v>0.15649892270520827</v>
      </c>
    </row>
    <row r="1684" spans="1:12" s="326" customFormat="1" ht="15.5" x14ac:dyDescent="0.35">
      <c r="A1684" s="328" t="s">
        <v>2648</v>
      </c>
      <c r="B1684" s="1291">
        <v>8.7733184437465805E-2</v>
      </c>
      <c r="C1684" s="1257">
        <v>0.15698458125259002</v>
      </c>
      <c r="D1684" s="1257">
        <v>0.1745614283994516</v>
      </c>
      <c r="E1684" s="1306">
        <v>1.961352472788406</v>
      </c>
      <c r="F1684" s="1303">
        <v>4.8420289770896831E-2</v>
      </c>
      <c r="G1684" s="1288">
        <v>4.1816313030975313E-2</v>
      </c>
      <c r="H1684" s="1306">
        <v>0.49886251886872562</v>
      </c>
      <c r="I1684" s="1303">
        <v>6.0228245466913403E-2</v>
      </c>
      <c r="J1684" s="1288">
        <v>8.0825008199665441E-2</v>
      </c>
      <c r="K1684" s="1306">
        <v>0.5998081924861498</v>
      </c>
      <c r="L1684" s="1330">
        <v>0.1557108978190842</v>
      </c>
    </row>
    <row r="1685" spans="1:12" s="326" customFormat="1" ht="15.5" x14ac:dyDescent="0.35">
      <c r="A1685" s="328" t="s">
        <v>2649</v>
      </c>
      <c r="B1685" s="1287">
        <v>6.4735510931571649E-2</v>
      </c>
      <c r="C1685" s="1288">
        <v>9.313102448309718E-2</v>
      </c>
      <c r="D1685" s="1288">
        <v>8.6720310669159764E-2</v>
      </c>
      <c r="E1685" s="1306">
        <v>1.8016062030031579</v>
      </c>
      <c r="F1685" s="1303">
        <v>4.8146066794920082E-2</v>
      </c>
      <c r="G1685" s="1288">
        <v>4.1571611981267027E-2</v>
      </c>
      <c r="H1685" s="1306">
        <v>0.50538270992175938</v>
      </c>
      <c r="I1685" s="1303">
        <v>6.0219991874584426E-2</v>
      </c>
      <c r="J1685" s="1288">
        <v>8.0791172645122047E-2</v>
      </c>
      <c r="K1685" s="1306">
        <v>0.5998865666877784</v>
      </c>
      <c r="L1685" s="1330">
        <v>0.15500167542158316</v>
      </c>
    </row>
    <row r="1686" spans="1:12" s="326" customFormat="1" ht="15.5" x14ac:dyDescent="0.35">
      <c r="A1686" s="328" t="s">
        <v>2650</v>
      </c>
      <c r="B1686" s="1287">
        <v>6.4815382071033018E-2</v>
      </c>
      <c r="C1686" s="1288">
        <v>8.5067581989546295E-2</v>
      </c>
      <c r="D1686" s="1288">
        <v>8.480755710652986E-2</v>
      </c>
      <c r="E1686" s="1306">
        <v>1.8717991672744294</v>
      </c>
      <c r="F1686" s="1303">
        <v>4.781030634157879E-2</v>
      </c>
      <c r="G1686" s="1288">
        <v>4.1340896724879089E-2</v>
      </c>
      <c r="H1686" s="1306">
        <v>0.51100990266250157</v>
      </c>
      <c r="I1686" s="1303">
        <v>6.0211595555879231E-2</v>
      </c>
      <c r="J1686" s="1288">
        <v>8.0756217342189615E-2</v>
      </c>
      <c r="K1686" s="1306">
        <v>0.59993683064357783</v>
      </c>
      <c r="L1686" s="1330">
        <v>0.15436337526382521</v>
      </c>
    </row>
    <row r="1687" spans="1:12" s="326" customFormat="1" ht="15.5" x14ac:dyDescent="0.35">
      <c r="A1687" s="328" t="s">
        <v>2651</v>
      </c>
      <c r="B1687" s="1287">
        <v>6.4764370128812018E-2</v>
      </c>
      <c r="C1687" s="1288">
        <v>9.594321074747468E-2</v>
      </c>
      <c r="D1687" s="1288">
        <v>8.3703654676388045E-2</v>
      </c>
      <c r="E1687" s="1306">
        <v>1.8163785563633781</v>
      </c>
      <c r="F1687" s="1303">
        <v>4.7469426904795817E-2</v>
      </c>
      <c r="G1687" s="1288">
        <v>4.1128321349687587E-2</v>
      </c>
      <c r="H1687" s="1306">
        <v>0.51650390044279149</v>
      </c>
      <c r="I1687" s="1303">
        <v>6.020309886866395E-2</v>
      </c>
      <c r="J1687" s="1288">
        <v>8.0719836908672141E-2</v>
      </c>
      <c r="K1687" s="1306">
        <v>0.60000234574068922</v>
      </c>
      <c r="L1687" s="1330">
        <v>0.15378890512184445</v>
      </c>
    </row>
    <row r="1688" spans="1:12" s="326" customFormat="1" ht="15.5" x14ac:dyDescent="0.35">
      <c r="A1688" s="328" t="s">
        <v>2652</v>
      </c>
      <c r="B1688" s="1287">
        <v>6.4543330592285661E-2</v>
      </c>
      <c r="C1688" s="1288">
        <v>7.4751705638067989E-2</v>
      </c>
      <c r="D1688" s="1288">
        <v>8.4374128745729124E-2</v>
      </c>
      <c r="E1688" s="1306">
        <v>1.8998878604840246</v>
      </c>
      <c r="F1688" s="1303">
        <v>4.7047468523558268E-2</v>
      </c>
      <c r="G1688" s="1288">
        <v>4.0916593921481038E-2</v>
      </c>
      <c r="H1688" s="1306">
        <v>0.52106736253635733</v>
      </c>
      <c r="I1688" s="1303">
        <v>6.0194337346712083E-2</v>
      </c>
      <c r="J1688" s="1288">
        <v>8.0681857011307465E-2</v>
      </c>
      <c r="K1688" s="1306">
        <v>0.60009960651277128</v>
      </c>
      <c r="L1688" s="1330">
        <v>0.15378890512184723</v>
      </c>
    </row>
    <row r="1689" spans="1:12" s="326" customFormat="1" ht="15.5" x14ac:dyDescent="0.35">
      <c r="A1689" s="328" t="s">
        <v>2653</v>
      </c>
      <c r="B1689" s="1287">
        <v>6.4638498242281628E-2</v>
      </c>
      <c r="C1689" s="1288">
        <v>9.1561488451483944E-2</v>
      </c>
      <c r="D1689" s="1288">
        <v>8.3844665776570973E-2</v>
      </c>
      <c r="E1689" s="1306">
        <v>1.9585972683089095</v>
      </c>
      <c r="F1689" s="1303">
        <v>4.7000522485098929E-2</v>
      </c>
      <c r="G1689" s="1288">
        <v>4.0878734992780587E-2</v>
      </c>
      <c r="H1689" s="1306">
        <v>0.52050896406658098</v>
      </c>
      <c r="I1689" s="1303">
        <v>6.0185145022054728E-2</v>
      </c>
      <c r="J1689" s="1288">
        <v>8.0642930421325781E-2</v>
      </c>
      <c r="K1689" s="1306">
        <v>0.60019225884876548</v>
      </c>
      <c r="L1689" s="1330">
        <v>0.15378890512184601</v>
      </c>
    </row>
    <row r="1690" spans="1:12" s="326" customFormat="1" ht="15.5" x14ac:dyDescent="0.35">
      <c r="A1690" s="328" t="s">
        <v>2654</v>
      </c>
      <c r="B1690" s="1287">
        <v>6.3966861657527185E-2</v>
      </c>
      <c r="C1690" s="1288">
        <v>8.2554700240619172E-2</v>
      </c>
      <c r="D1690" s="1288">
        <v>7.4458859469190564E-2</v>
      </c>
      <c r="E1690" s="1306">
        <v>1.992278511822914</v>
      </c>
      <c r="F1690" s="1303">
        <v>4.69301252969022E-2</v>
      </c>
      <c r="G1690" s="1288">
        <v>4.083063217904602E-2</v>
      </c>
      <c r="H1690" s="1306">
        <v>0.51956116731910051</v>
      </c>
      <c r="I1690" s="1303">
        <v>6.0175167893283435E-2</v>
      </c>
      <c r="J1690" s="1288">
        <v>8.0604113952709777E-2</v>
      </c>
      <c r="K1690" s="1306">
        <v>0.60032087605868734</v>
      </c>
      <c r="L1690" s="1330">
        <v>0.15378890512184668</v>
      </c>
    </row>
    <row r="1691" spans="1:12" s="326" customFormat="1" ht="15.5" x14ac:dyDescent="0.35">
      <c r="A1691" s="328" t="s">
        <v>2655</v>
      </c>
      <c r="B1691" s="1287">
        <v>6.4265435684909805E-2</v>
      </c>
      <c r="C1691" s="1288">
        <v>6.8319131989196355E-2</v>
      </c>
      <c r="D1691" s="1288">
        <v>8.5226293500462472E-2</v>
      </c>
      <c r="E1691" s="1306">
        <v>1.9380667153599387</v>
      </c>
      <c r="F1691" s="1303">
        <v>4.6914125017285917E-2</v>
      </c>
      <c r="G1691" s="1288">
        <v>4.0810937149768661E-2</v>
      </c>
      <c r="H1691" s="1306">
        <v>0.5194710739523708</v>
      </c>
      <c r="I1691" s="1303">
        <v>6.0163936220299787E-2</v>
      </c>
      <c r="J1691" s="1288">
        <v>8.0566502843850349E-2</v>
      </c>
      <c r="K1691" s="1306">
        <v>0.60047486079011603</v>
      </c>
      <c r="L1691" s="1330">
        <v>0.15378890512184712</v>
      </c>
    </row>
    <row r="1692" spans="1:12" s="326" customFormat="1" ht="15.5" x14ac:dyDescent="0.35">
      <c r="A1692" s="328" t="s">
        <v>2656</v>
      </c>
      <c r="B1692" s="1287">
        <v>6.4872577391815692E-2</v>
      </c>
      <c r="C1692" s="1288">
        <v>8.9683877724425071E-2</v>
      </c>
      <c r="D1692" s="1288">
        <v>7.0924192586304641E-2</v>
      </c>
      <c r="E1692" s="1306">
        <v>1.9272819444935527</v>
      </c>
      <c r="F1692" s="1303">
        <v>4.6911714023238418E-2</v>
      </c>
      <c r="G1692" s="1288">
        <v>4.0790831589989356E-2</v>
      </c>
      <c r="H1692" s="1306">
        <v>0.51933215926446241</v>
      </c>
      <c r="I1692" s="1303">
        <v>6.0151140561250191E-2</v>
      </c>
      <c r="J1692" s="1288">
        <v>8.0530391673586305E-2</v>
      </c>
      <c r="K1692" s="1306">
        <v>0.60063910796013276</v>
      </c>
      <c r="L1692" s="1330">
        <v>0.15378890512184684</v>
      </c>
    </row>
    <row r="1693" spans="1:12" s="326" customFormat="1" ht="15.5" x14ac:dyDescent="0.35">
      <c r="A1693" s="328" t="s">
        <v>2657</v>
      </c>
      <c r="B1693" s="1287">
        <v>6.4855016882013977E-2</v>
      </c>
      <c r="C1693" s="1288">
        <v>7.8782304255256161E-2</v>
      </c>
      <c r="D1693" s="1288">
        <v>7.5031470801508335E-2</v>
      </c>
      <c r="E1693" s="1306">
        <v>1.952639455263369</v>
      </c>
      <c r="F1693" s="1303">
        <v>4.6870677882796537E-2</v>
      </c>
      <c r="G1693" s="1288">
        <v>4.0761710379671162E-2</v>
      </c>
      <c r="H1693" s="1306">
        <v>0.51865247957676897</v>
      </c>
      <c r="I1693" s="1303">
        <v>6.0135723014029051E-2</v>
      </c>
      <c r="J1693" s="1288">
        <v>8.0490680198865419E-2</v>
      </c>
      <c r="K1693" s="1306">
        <v>0.60080510871848802</v>
      </c>
      <c r="L1693" s="1330">
        <v>0.15378890512184384</v>
      </c>
    </row>
    <row r="1694" spans="1:12" s="326" customFormat="1" ht="15.5" x14ac:dyDescent="0.35">
      <c r="A1694" s="328" t="s">
        <v>2658</v>
      </c>
      <c r="B1694" s="1287">
        <v>6.4694608205631943E-2</v>
      </c>
      <c r="C1694" s="1288">
        <v>8.546796852256143E-2</v>
      </c>
      <c r="D1694" s="1288">
        <v>7.7762528328468611E-2</v>
      </c>
      <c r="E1694" s="1306">
        <v>1.9470736899080712</v>
      </c>
      <c r="F1694" s="1303">
        <v>4.6844167643454039E-2</v>
      </c>
      <c r="G1694" s="1288">
        <v>4.0716086669058044E-2</v>
      </c>
      <c r="H1694" s="1306">
        <v>0.51772520888886853</v>
      </c>
      <c r="I1694" s="1303">
        <v>6.011559114086059E-2</v>
      </c>
      <c r="J1694" s="1288">
        <v>8.0432167950159214E-2</v>
      </c>
      <c r="K1694" s="1306">
        <v>0.60092125673059016</v>
      </c>
      <c r="L1694" s="1330">
        <v>0.1537889051218472</v>
      </c>
    </row>
    <row r="1695" spans="1:12" s="326" customFormat="1" ht="15.5" x14ac:dyDescent="0.35">
      <c r="A1695" s="328" t="s">
        <v>2659</v>
      </c>
      <c r="B1695" s="1287">
        <v>6.5574321470483005E-2</v>
      </c>
      <c r="C1695" s="1288">
        <v>8.2009809601138087E-2</v>
      </c>
      <c r="D1695" s="1288">
        <v>8.9308217559022629E-2</v>
      </c>
      <c r="E1695" s="1306">
        <v>1.9502561331844093</v>
      </c>
      <c r="F1695" s="1303">
        <v>4.634316896700081E-2</v>
      </c>
      <c r="G1695" s="1288">
        <v>4.045280000972943E-2</v>
      </c>
      <c r="H1695" s="1306">
        <v>0.50843842524465599</v>
      </c>
      <c r="I1695" s="1303">
        <v>6.0085197353434115E-2</v>
      </c>
      <c r="J1695" s="1288">
        <v>8.031862752520931E-2</v>
      </c>
      <c r="K1695" s="1306">
        <v>0.60067214014221937</v>
      </c>
      <c r="L1695" s="1330">
        <v>0.1537895608217294</v>
      </c>
    </row>
    <row r="1696" spans="1:12" s="326" customFormat="1" ht="15.5" x14ac:dyDescent="0.35">
      <c r="A1696" s="328" t="s">
        <v>2660</v>
      </c>
      <c r="B1696" s="1291">
        <v>6.5574321470483005E-2</v>
      </c>
      <c r="C1696" s="1257">
        <v>8.2009809601138087E-2</v>
      </c>
      <c r="D1696" s="1257">
        <v>8.9308217559022629E-2</v>
      </c>
      <c r="E1696" s="1280">
        <v>1.9502561331844093</v>
      </c>
      <c r="F1696" s="1271">
        <v>4.634316896700081E-2</v>
      </c>
      <c r="G1696" s="1257">
        <v>4.045280000972943E-2</v>
      </c>
      <c r="H1696" s="1280">
        <v>0.50843842524465599</v>
      </c>
      <c r="I1696" s="1271">
        <v>6.0085197353434115E-2</v>
      </c>
      <c r="J1696" s="1257">
        <v>8.031862752520931E-2</v>
      </c>
      <c r="K1696" s="1280">
        <v>0.60067214014221937</v>
      </c>
      <c r="L1696" s="1330">
        <v>0.16102413062564147</v>
      </c>
    </row>
    <row r="1697" spans="1:12" s="326" customFormat="1" ht="15.5" x14ac:dyDescent="0.35">
      <c r="A1697" s="328" t="s">
        <v>2661</v>
      </c>
      <c r="B1697" s="1291">
        <v>0.11073085794335995</v>
      </c>
      <c r="C1697" s="1257">
        <v>0.22084458593399706</v>
      </c>
      <c r="D1697" s="1257">
        <v>0.12303428660373328</v>
      </c>
      <c r="E1697" s="1280">
        <v>0.82722102598020064</v>
      </c>
      <c r="F1697" s="1271">
        <v>5.789731083167466E-2</v>
      </c>
      <c r="G1697" s="1257">
        <v>7.0273708550736461E-2</v>
      </c>
      <c r="H1697" s="1280">
        <v>0.66501663900586638</v>
      </c>
      <c r="I1697" s="1271">
        <v>6.4135498360640641E-2</v>
      </c>
      <c r="J1697" s="1257">
        <v>0.13037250249454629</v>
      </c>
      <c r="K1697" s="1280">
        <v>1.2337456669888314</v>
      </c>
      <c r="L1697" s="1237">
        <v>0.1742699092469247</v>
      </c>
    </row>
    <row r="1698" spans="1:12" s="326" customFormat="1" ht="15.5" x14ac:dyDescent="0.35">
      <c r="A1698" s="328" t="s">
        <v>2662</v>
      </c>
      <c r="B1698" s="1291">
        <v>0.11073085794335995</v>
      </c>
      <c r="C1698" s="1257">
        <v>0.22084458593399706</v>
      </c>
      <c r="D1698" s="1257">
        <v>0.12303428660373328</v>
      </c>
      <c r="E1698" s="1280">
        <v>0.82722102598020064</v>
      </c>
      <c r="F1698" s="1271">
        <v>5.789731083167466E-2</v>
      </c>
      <c r="G1698" s="1257">
        <v>7.0273708550736461E-2</v>
      </c>
      <c r="H1698" s="1280">
        <v>0.66501663900586638</v>
      </c>
      <c r="I1698" s="1271">
        <v>6.4135498360640641E-2</v>
      </c>
      <c r="J1698" s="1257">
        <v>0.13037250249454629</v>
      </c>
      <c r="K1698" s="1280">
        <v>1.2337456669888314</v>
      </c>
      <c r="L1698" s="1237">
        <v>0.1742699092469247</v>
      </c>
    </row>
    <row r="1699" spans="1:12" s="326" customFormat="1" ht="15.5" x14ac:dyDescent="0.35">
      <c r="A1699" s="328" t="s">
        <v>2663</v>
      </c>
      <c r="B1699" s="1291">
        <v>0.11073085794335995</v>
      </c>
      <c r="C1699" s="1257">
        <v>0.22084458593399706</v>
      </c>
      <c r="D1699" s="1257">
        <v>0.12303428660373328</v>
      </c>
      <c r="E1699" s="1280">
        <v>0.82722102598020064</v>
      </c>
      <c r="F1699" s="1271">
        <v>5.789731083167466E-2</v>
      </c>
      <c r="G1699" s="1257">
        <v>7.0273708550736461E-2</v>
      </c>
      <c r="H1699" s="1280">
        <v>0.66501663900586638</v>
      </c>
      <c r="I1699" s="1271">
        <v>6.4135498360640641E-2</v>
      </c>
      <c r="J1699" s="1257">
        <v>0.13037250249454629</v>
      </c>
      <c r="K1699" s="1280">
        <v>1.2337456669888314</v>
      </c>
      <c r="L1699" s="1237">
        <v>0.1742699092469247</v>
      </c>
    </row>
    <row r="1700" spans="1:12" s="326" customFormat="1" ht="15.5" x14ac:dyDescent="0.35">
      <c r="A1700" s="328" t="s">
        <v>2664</v>
      </c>
      <c r="B1700" s="1291">
        <v>0.11073085794335995</v>
      </c>
      <c r="C1700" s="1257">
        <v>0.22084458593399706</v>
      </c>
      <c r="D1700" s="1257">
        <v>0.12303428660373328</v>
      </c>
      <c r="E1700" s="1280">
        <v>0.82722102598020064</v>
      </c>
      <c r="F1700" s="1271">
        <v>5.789731083167466E-2</v>
      </c>
      <c r="G1700" s="1257">
        <v>7.0273708550736461E-2</v>
      </c>
      <c r="H1700" s="1280">
        <v>0.66501663900586638</v>
      </c>
      <c r="I1700" s="1271">
        <v>6.4135498360640641E-2</v>
      </c>
      <c r="J1700" s="1257">
        <v>0.13037250249454629</v>
      </c>
      <c r="K1700" s="1280">
        <v>1.2337456669888314</v>
      </c>
      <c r="L1700" s="1237">
        <v>0.1742699092469247</v>
      </c>
    </row>
    <row r="1701" spans="1:12" s="326" customFormat="1" ht="15.5" x14ac:dyDescent="0.35">
      <c r="A1701" s="328" t="s">
        <v>2665</v>
      </c>
      <c r="B1701" s="1291">
        <v>0.11073085794335995</v>
      </c>
      <c r="C1701" s="1257">
        <v>0.22084458593399706</v>
      </c>
      <c r="D1701" s="1257">
        <v>0.12303428660373328</v>
      </c>
      <c r="E1701" s="1280">
        <v>0.82722102598020064</v>
      </c>
      <c r="F1701" s="1271">
        <v>5.789731083167466E-2</v>
      </c>
      <c r="G1701" s="1257">
        <v>7.0273708550736461E-2</v>
      </c>
      <c r="H1701" s="1280">
        <v>0.66501663900586638</v>
      </c>
      <c r="I1701" s="1271">
        <v>6.4135498360640641E-2</v>
      </c>
      <c r="J1701" s="1257">
        <v>0.13037250249454629</v>
      </c>
      <c r="K1701" s="1280">
        <v>1.2337456669888314</v>
      </c>
      <c r="L1701" s="1237">
        <v>0.1742699092469247</v>
      </c>
    </row>
    <row r="1702" spans="1:12" s="326" customFormat="1" ht="15.5" x14ac:dyDescent="0.35">
      <c r="A1702" s="328" t="s">
        <v>2666</v>
      </c>
      <c r="B1702" s="1291">
        <v>0.11073085794335995</v>
      </c>
      <c r="C1702" s="1257">
        <v>0.22084458593399706</v>
      </c>
      <c r="D1702" s="1257">
        <v>0.12303428660373328</v>
      </c>
      <c r="E1702" s="1280">
        <v>0.82722102598020064</v>
      </c>
      <c r="F1702" s="1271">
        <v>5.789731083167466E-2</v>
      </c>
      <c r="G1702" s="1257">
        <v>7.0273708550736461E-2</v>
      </c>
      <c r="H1702" s="1280">
        <v>0.66501663900586638</v>
      </c>
      <c r="I1702" s="1271">
        <v>6.4135498360640641E-2</v>
      </c>
      <c r="J1702" s="1257">
        <v>0.13037250249454629</v>
      </c>
      <c r="K1702" s="1280">
        <v>1.2337456669888314</v>
      </c>
      <c r="L1702" s="1237">
        <v>0.1742699092469247</v>
      </c>
    </row>
    <row r="1703" spans="1:12" s="326" customFormat="1" ht="15.5" x14ac:dyDescent="0.35">
      <c r="A1703" s="328" t="s">
        <v>2667</v>
      </c>
      <c r="B1703" s="1291">
        <v>0.11073085794335995</v>
      </c>
      <c r="C1703" s="1257">
        <v>0.22084458593399706</v>
      </c>
      <c r="D1703" s="1257">
        <v>0.12303428660373328</v>
      </c>
      <c r="E1703" s="1280">
        <v>0.82722102598020064</v>
      </c>
      <c r="F1703" s="1271">
        <v>5.789731083167466E-2</v>
      </c>
      <c r="G1703" s="1257">
        <v>7.0273708550736461E-2</v>
      </c>
      <c r="H1703" s="1280">
        <v>0.66501663900586638</v>
      </c>
      <c r="I1703" s="1271">
        <v>6.4135498360640641E-2</v>
      </c>
      <c r="J1703" s="1257">
        <v>0.13037250249454629</v>
      </c>
      <c r="K1703" s="1280">
        <v>1.2337456669888314</v>
      </c>
      <c r="L1703" s="1237">
        <v>0.1742699092469247</v>
      </c>
    </row>
    <row r="1704" spans="1:12" s="326" customFormat="1" ht="15.5" x14ac:dyDescent="0.35">
      <c r="A1704" s="328" t="s">
        <v>2668</v>
      </c>
      <c r="B1704" s="1291">
        <v>0.11073085794335995</v>
      </c>
      <c r="C1704" s="1257">
        <v>0.22084458593399706</v>
      </c>
      <c r="D1704" s="1257">
        <v>0.12303428660373328</v>
      </c>
      <c r="E1704" s="1280">
        <v>0.82722102598020064</v>
      </c>
      <c r="F1704" s="1271">
        <v>5.789731083167466E-2</v>
      </c>
      <c r="G1704" s="1257">
        <v>7.0273708550736461E-2</v>
      </c>
      <c r="H1704" s="1280">
        <v>0.66501663900586638</v>
      </c>
      <c r="I1704" s="1271">
        <v>6.4135498360640641E-2</v>
      </c>
      <c r="J1704" s="1257">
        <v>0.13037250249454629</v>
      </c>
      <c r="K1704" s="1280">
        <v>1.2337456669888314</v>
      </c>
      <c r="L1704" s="1237">
        <v>0.1742699092469247</v>
      </c>
    </row>
    <row r="1705" spans="1:12" s="326" customFormat="1" ht="15.5" x14ac:dyDescent="0.35">
      <c r="A1705" s="328" t="s">
        <v>2669</v>
      </c>
      <c r="B1705" s="1291">
        <v>0.11073085794335995</v>
      </c>
      <c r="C1705" s="1257">
        <v>0.22084458593399706</v>
      </c>
      <c r="D1705" s="1257">
        <v>0.12303428660373328</v>
      </c>
      <c r="E1705" s="1280">
        <v>0.82722102598020064</v>
      </c>
      <c r="F1705" s="1271">
        <v>5.789731083167466E-2</v>
      </c>
      <c r="G1705" s="1257">
        <v>7.0273708550736461E-2</v>
      </c>
      <c r="H1705" s="1280">
        <v>0.66501663900586638</v>
      </c>
      <c r="I1705" s="1271">
        <v>6.4135498360640641E-2</v>
      </c>
      <c r="J1705" s="1257">
        <v>0.13037250249454629</v>
      </c>
      <c r="K1705" s="1280">
        <v>1.2337456669888314</v>
      </c>
      <c r="L1705" s="1237">
        <v>0.1742699092469247</v>
      </c>
    </row>
    <row r="1706" spans="1:12" s="326" customFormat="1" ht="15.5" x14ac:dyDescent="0.35">
      <c r="A1706" s="328" t="s">
        <v>2670</v>
      </c>
      <c r="B1706" s="1291">
        <v>0.11073085794335995</v>
      </c>
      <c r="C1706" s="1257">
        <v>0.22084458593399706</v>
      </c>
      <c r="D1706" s="1257">
        <v>0.12303428660373328</v>
      </c>
      <c r="E1706" s="1280">
        <v>0.82722102598020064</v>
      </c>
      <c r="F1706" s="1271">
        <v>5.789731083167466E-2</v>
      </c>
      <c r="G1706" s="1257">
        <v>7.0273708550736461E-2</v>
      </c>
      <c r="H1706" s="1280">
        <v>0.66501663900586638</v>
      </c>
      <c r="I1706" s="1271">
        <v>6.4135498360640641E-2</v>
      </c>
      <c r="J1706" s="1257">
        <v>0.13037250249454629</v>
      </c>
      <c r="K1706" s="1280">
        <v>1.2337456669888314</v>
      </c>
      <c r="L1706" s="1237">
        <v>0.1742699092469247</v>
      </c>
    </row>
    <row r="1707" spans="1:12" s="326" customFormat="1" ht="15.5" x14ac:dyDescent="0.35">
      <c r="A1707" s="328" t="s">
        <v>2671</v>
      </c>
      <c r="B1707" s="1291">
        <v>0.11073085794335995</v>
      </c>
      <c r="C1707" s="1257">
        <v>0.22084458593399706</v>
      </c>
      <c r="D1707" s="1257">
        <v>0.12303428660373328</v>
      </c>
      <c r="E1707" s="1280">
        <v>0.82722102598020064</v>
      </c>
      <c r="F1707" s="1271">
        <v>5.789731083167466E-2</v>
      </c>
      <c r="G1707" s="1257">
        <v>7.0273708550736461E-2</v>
      </c>
      <c r="H1707" s="1280">
        <v>0.66501663900586638</v>
      </c>
      <c r="I1707" s="1271">
        <v>6.4135498360640641E-2</v>
      </c>
      <c r="J1707" s="1257">
        <v>0.13037250249454629</v>
      </c>
      <c r="K1707" s="1280">
        <v>1.2337456669888314</v>
      </c>
      <c r="L1707" s="1237">
        <v>0.1742699092469247</v>
      </c>
    </row>
    <row r="1708" spans="1:12" s="326" customFormat="1" ht="15.5" x14ac:dyDescent="0.35">
      <c r="A1708" s="328" t="s">
        <v>2672</v>
      </c>
      <c r="B1708" s="1291">
        <v>0.11073085794335995</v>
      </c>
      <c r="C1708" s="1257">
        <v>0.22084458593399706</v>
      </c>
      <c r="D1708" s="1257">
        <v>0.12303428660373328</v>
      </c>
      <c r="E1708" s="1280">
        <v>0.82722102598020064</v>
      </c>
      <c r="F1708" s="1271">
        <v>5.789731083167466E-2</v>
      </c>
      <c r="G1708" s="1257">
        <v>7.0273708550736461E-2</v>
      </c>
      <c r="H1708" s="1280">
        <v>0.66501663900586638</v>
      </c>
      <c r="I1708" s="1271">
        <v>6.4135498360640641E-2</v>
      </c>
      <c r="J1708" s="1257">
        <v>0.13037250249454629</v>
      </c>
      <c r="K1708" s="1280">
        <v>1.2337456669888314</v>
      </c>
      <c r="L1708" s="1237">
        <v>0.1742699092469247</v>
      </c>
    </row>
    <row r="1709" spans="1:12" s="326" customFormat="1" ht="15.5" x14ac:dyDescent="0.35">
      <c r="A1709" s="328" t="s">
        <v>2673</v>
      </c>
      <c r="B1709" s="1291">
        <v>0.11073085794335995</v>
      </c>
      <c r="C1709" s="1257">
        <v>0.22084458593399706</v>
      </c>
      <c r="D1709" s="1257">
        <v>0.12303428660373328</v>
      </c>
      <c r="E1709" s="1280">
        <v>0.82722102598020064</v>
      </c>
      <c r="F1709" s="1271">
        <v>5.789731083167466E-2</v>
      </c>
      <c r="G1709" s="1257">
        <v>7.0273708550736461E-2</v>
      </c>
      <c r="H1709" s="1280">
        <v>0.66501663900586638</v>
      </c>
      <c r="I1709" s="1271">
        <v>6.4135498360640641E-2</v>
      </c>
      <c r="J1709" s="1257">
        <v>0.13037250249454629</v>
      </c>
      <c r="K1709" s="1280">
        <v>1.2337456669888314</v>
      </c>
      <c r="L1709" s="1237">
        <v>0.1742699092469247</v>
      </c>
    </row>
    <row r="1710" spans="1:12" s="326" customFormat="1" ht="15.5" x14ac:dyDescent="0.35">
      <c r="A1710" s="328" t="s">
        <v>2674</v>
      </c>
      <c r="B1710" s="1291">
        <v>0.11073085794335995</v>
      </c>
      <c r="C1710" s="1257">
        <v>0.22084458593399706</v>
      </c>
      <c r="D1710" s="1257">
        <v>0.12303428660373328</v>
      </c>
      <c r="E1710" s="1280">
        <v>0.82722102598020064</v>
      </c>
      <c r="F1710" s="1271">
        <v>5.789731083167466E-2</v>
      </c>
      <c r="G1710" s="1257">
        <v>7.0273708550736461E-2</v>
      </c>
      <c r="H1710" s="1280">
        <v>0.66501663900586638</v>
      </c>
      <c r="I1710" s="1271">
        <v>6.4135498360640641E-2</v>
      </c>
      <c r="J1710" s="1257">
        <v>0.13037250249454629</v>
      </c>
      <c r="K1710" s="1280">
        <v>1.2337456669888314</v>
      </c>
      <c r="L1710" s="1237">
        <v>0.1742699092469247</v>
      </c>
    </row>
    <row r="1711" spans="1:12" s="326" customFormat="1" ht="15.5" x14ac:dyDescent="0.35">
      <c r="A1711" s="328" t="s">
        <v>2675</v>
      </c>
      <c r="B1711" s="1291">
        <v>0.11073085794335995</v>
      </c>
      <c r="C1711" s="1257">
        <v>0.22084458593399706</v>
      </c>
      <c r="D1711" s="1257">
        <v>0.12303428660373328</v>
      </c>
      <c r="E1711" s="1280">
        <v>0.82722102598020064</v>
      </c>
      <c r="F1711" s="1271">
        <v>5.789731083167466E-2</v>
      </c>
      <c r="G1711" s="1257">
        <v>7.0273708550736461E-2</v>
      </c>
      <c r="H1711" s="1280">
        <v>0.66501663900586638</v>
      </c>
      <c r="I1711" s="1271">
        <v>6.4135498360640641E-2</v>
      </c>
      <c r="J1711" s="1257">
        <v>0.13037250249454629</v>
      </c>
      <c r="K1711" s="1280">
        <v>1.2337456669888314</v>
      </c>
      <c r="L1711" s="1237">
        <v>0.1742699092469247</v>
      </c>
    </row>
    <row r="1712" spans="1:12" s="326" customFormat="1" ht="15.5" x14ac:dyDescent="0.35">
      <c r="A1712" s="328" t="s">
        <v>2676</v>
      </c>
      <c r="B1712" s="1291">
        <v>0.11073085794335995</v>
      </c>
      <c r="C1712" s="1257">
        <v>0.22084458593399706</v>
      </c>
      <c r="D1712" s="1257">
        <v>0.12303428660373328</v>
      </c>
      <c r="E1712" s="1280">
        <v>0.82722102598020064</v>
      </c>
      <c r="F1712" s="1271">
        <v>5.789731083167466E-2</v>
      </c>
      <c r="G1712" s="1257">
        <v>7.0273708550736461E-2</v>
      </c>
      <c r="H1712" s="1280">
        <v>0.66501663900586638</v>
      </c>
      <c r="I1712" s="1271">
        <v>6.4135498360640641E-2</v>
      </c>
      <c r="J1712" s="1257">
        <v>0.13037250249454629</v>
      </c>
      <c r="K1712" s="1280">
        <v>1.2337456669888314</v>
      </c>
      <c r="L1712" s="1237">
        <v>0.1742699092469247</v>
      </c>
    </row>
    <row r="1713" spans="1:12" s="326" customFormat="1" ht="15.5" x14ac:dyDescent="0.35">
      <c r="A1713" s="328" t="s">
        <v>2677</v>
      </c>
      <c r="B1713" s="1291">
        <v>0.11073085794335995</v>
      </c>
      <c r="C1713" s="1257">
        <v>0.22084458593399706</v>
      </c>
      <c r="D1713" s="1257">
        <v>0.12303428660373328</v>
      </c>
      <c r="E1713" s="1280">
        <v>0.82722102598020064</v>
      </c>
      <c r="F1713" s="1271">
        <v>5.789731083167466E-2</v>
      </c>
      <c r="G1713" s="1257">
        <v>7.0273708550736461E-2</v>
      </c>
      <c r="H1713" s="1280">
        <v>0.66501663900586638</v>
      </c>
      <c r="I1713" s="1271">
        <v>6.4135498360640641E-2</v>
      </c>
      <c r="J1713" s="1257">
        <v>0.13037250249454629</v>
      </c>
      <c r="K1713" s="1280">
        <v>1.2337456669888314</v>
      </c>
      <c r="L1713" s="1237">
        <v>0.1742699092469247</v>
      </c>
    </row>
    <row r="1714" spans="1:12" s="326" customFormat="1" ht="15.5" x14ac:dyDescent="0.35">
      <c r="A1714" s="328" t="s">
        <v>2678</v>
      </c>
      <c r="B1714" s="1291">
        <v>0.11073085794335995</v>
      </c>
      <c r="C1714" s="1257">
        <v>0.22084458593399706</v>
      </c>
      <c r="D1714" s="1257">
        <v>0.12303428660373328</v>
      </c>
      <c r="E1714" s="1280">
        <v>0.82722102598020064</v>
      </c>
      <c r="F1714" s="1271">
        <v>5.789731083167466E-2</v>
      </c>
      <c r="G1714" s="1257">
        <v>7.0273708550736461E-2</v>
      </c>
      <c r="H1714" s="1280">
        <v>0.66501663900586638</v>
      </c>
      <c r="I1714" s="1271">
        <v>6.4135498360640641E-2</v>
      </c>
      <c r="J1714" s="1257">
        <v>0.13037250249454629</v>
      </c>
      <c r="K1714" s="1280">
        <v>1.2337456669888314</v>
      </c>
      <c r="L1714" s="1237">
        <v>0.1742699092469247</v>
      </c>
    </row>
    <row r="1715" spans="1:12" s="326" customFormat="1" ht="15.5" x14ac:dyDescent="0.35">
      <c r="A1715" s="328" t="s">
        <v>2679</v>
      </c>
      <c r="B1715" s="1291">
        <v>0.11073085794335995</v>
      </c>
      <c r="C1715" s="1257">
        <v>0.22084458593399706</v>
      </c>
      <c r="D1715" s="1257">
        <v>0.12303428660373328</v>
      </c>
      <c r="E1715" s="1280">
        <v>0.82722102598020064</v>
      </c>
      <c r="F1715" s="1271">
        <v>5.789731083167466E-2</v>
      </c>
      <c r="G1715" s="1257">
        <v>7.0273708550736461E-2</v>
      </c>
      <c r="H1715" s="1280">
        <v>0.66501663900586638</v>
      </c>
      <c r="I1715" s="1271">
        <v>6.4135498360640641E-2</v>
      </c>
      <c r="J1715" s="1257">
        <v>0.13037250249454629</v>
      </c>
      <c r="K1715" s="1280">
        <v>1.2337456669888314</v>
      </c>
      <c r="L1715" s="1237">
        <v>0.1742699092469247</v>
      </c>
    </row>
    <row r="1716" spans="1:12" s="326" customFormat="1" ht="15.5" x14ac:dyDescent="0.35">
      <c r="A1716" s="328" t="s">
        <v>2680</v>
      </c>
      <c r="B1716" s="1291">
        <v>0.11073085794335995</v>
      </c>
      <c r="C1716" s="1257">
        <v>0.22084458593399706</v>
      </c>
      <c r="D1716" s="1257">
        <v>0.12303428660373328</v>
      </c>
      <c r="E1716" s="1280">
        <v>0.82722102598020064</v>
      </c>
      <c r="F1716" s="1271">
        <v>5.789731083167466E-2</v>
      </c>
      <c r="G1716" s="1257">
        <v>7.0273708550736461E-2</v>
      </c>
      <c r="H1716" s="1280">
        <v>0.66501663900586638</v>
      </c>
      <c r="I1716" s="1271">
        <v>6.4135498360640641E-2</v>
      </c>
      <c r="J1716" s="1257">
        <v>0.13037250249454629</v>
      </c>
      <c r="K1716" s="1280">
        <v>1.2337456669888314</v>
      </c>
      <c r="L1716" s="1237">
        <v>0.1742699092469247</v>
      </c>
    </row>
    <row r="1717" spans="1:12" s="326" customFormat="1" ht="15.5" x14ac:dyDescent="0.35">
      <c r="A1717" s="328" t="s">
        <v>2681</v>
      </c>
      <c r="B1717" s="1291">
        <v>0.11073085794335995</v>
      </c>
      <c r="C1717" s="1257">
        <v>0.22084458593399706</v>
      </c>
      <c r="D1717" s="1257">
        <v>0.12303428660373328</v>
      </c>
      <c r="E1717" s="1280">
        <v>0.82722102598020064</v>
      </c>
      <c r="F1717" s="1271">
        <v>5.789731083167466E-2</v>
      </c>
      <c r="G1717" s="1257">
        <v>7.0273708550736461E-2</v>
      </c>
      <c r="H1717" s="1280">
        <v>0.66501663900586638</v>
      </c>
      <c r="I1717" s="1271">
        <v>6.4135498360640641E-2</v>
      </c>
      <c r="J1717" s="1257">
        <v>0.13037250249454629</v>
      </c>
      <c r="K1717" s="1280">
        <v>1.2337456669888314</v>
      </c>
      <c r="L1717" s="1237">
        <v>0.1742699092469247</v>
      </c>
    </row>
    <row r="1718" spans="1:12" s="326" customFormat="1" ht="15.5" x14ac:dyDescent="0.35">
      <c r="A1718" s="328" t="s">
        <v>2682</v>
      </c>
      <c r="B1718" s="1291">
        <v>0.11073085794335995</v>
      </c>
      <c r="C1718" s="1257">
        <v>0.22084458593399706</v>
      </c>
      <c r="D1718" s="1257">
        <v>0.12303428660373328</v>
      </c>
      <c r="E1718" s="1280">
        <v>0.82722102598020064</v>
      </c>
      <c r="F1718" s="1271">
        <v>5.789731083167466E-2</v>
      </c>
      <c r="G1718" s="1257">
        <v>7.0273708550736461E-2</v>
      </c>
      <c r="H1718" s="1280">
        <v>0.66501663900586638</v>
      </c>
      <c r="I1718" s="1271">
        <v>6.4135498360640641E-2</v>
      </c>
      <c r="J1718" s="1257">
        <v>0.13037250249454629</v>
      </c>
      <c r="K1718" s="1280">
        <v>1.2337456669888314</v>
      </c>
      <c r="L1718" s="1237">
        <v>0.1742699092469247</v>
      </c>
    </row>
    <row r="1719" spans="1:12" s="326" customFormat="1" ht="15.5" x14ac:dyDescent="0.35">
      <c r="A1719" s="328" t="s">
        <v>2683</v>
      </c>
      <c r="B1719" s="1291">
        <v>0.11073085794335995</v>
      </c>
      <c r="C1719" s="1257">
        <v>0.22084458593399706</v>
      </c>
      <c r="D1719" s="1257">
        <v>0.12303428660373328</v>
      </c>
      <c r="E1719" s="1280">
        <v>0.82722102598020064</v>
      </c>
      <c r="F1719" s="1271">
        <v>5.789731083167466E-2</v>
      </c>
      <c r="G1719" s="1257">
        <v>7.0273708550736461E-2</v>
      </c>
      <c r="H1719" s="1280">
        <v>0.66501663900586638</v>
      </c>
      <c r="I1719" s="1271">
        <v>6.4135498360640641E-2</v>
      </c>
      <c r="J1719" s="1257">
        <v>0.13037250249454629</v>
      </c>
      <c r="K1719" s="1280">
        <v>1.2337456669888314</v>
      </c>
      <c r="L1719" s="1237">
        <v>0.1742699092469247</v>
      </c>
    </row>
    <row r="1720" spans="1:12" s="326" customFormat="1" ht="15.5" x14ac:dyDescent="0.35">
      <c r="A1720" s="328" t="s">
        <v>2684</v>
      </c>
      <c r="B1720" s="1291">
        <v>0.11073085794335995</v>
      </c>
      <c r="C1720" s="1257">
        <v>0.22084458593399706</v>
      </c>
      <c r="D1720" s="1257">
        <v>0.12303428660373328</v>
      </c>
      <c r="E1720" s="1280">
        <v>0.82722102598020064</v>
      </c>
      <c r="F1720" s="1271">
        <v>5.789731083167466E-2</v>
      </c>
      <c r="G1720" s="1257">
        <v>7.0273708550736461E-2</v>
      </c>
      <c r="H1720" s="1280">
        <v>0.66501663900586638</v>
      </c>
      <c r="I1720" s="1271">
        <v>6.4135498360640641E-2</v>
      </c>
      <c r="J1720" s="1257">
        <v>0.13037250249454629</v>
      </c>
      <c r="K1720" s="1280">
        <v>1.2337456669888314</v>
      </c>
      <c r="L1720" s="1237">
        <v>0.1742699092469247</v>
      </c>
    </row>
    <row r="1721" spans="1:12" s="326" customFormat="1" ht="15.5" x14ac:dyDescent="0.35">
      <c r="A1721" s="328" t="s">
        <v>2685</v>
      </c>
      <c r="B1721" s="1291">
        <v>0.11073085794335995</v>
      </c>
      <c r="C1721" s="1257">
        <v>0.22084458593399706</v>
      </c>
      <c r="D1721" s="1257">
        <v>0.12303428660373328</v>
      </c>
      <c r="E1721" s="1280">
        <v>0.82722102598020064</v>
      </c>
      <c r="F1721" s="1271">
        <v>5.789731083167466E-2</v>
      </c>
      <c r="G1721" s="1257">
        <v>7.0273708550736461E-2</v>
      </c>
      <c r="H1721" s="1280">
        <v>0.66501663900586638</v>
      </c>
      <c r="I1721" s="1271">
        <v>6.4135498360640641E-2</v>
      </c>
      <c r="J1721" s="1257">
        <v>0.13037250249454629</v>
      </c>
      <c r="K1721" s="1280">
        <v>1.2337456669888314</v>
      </c>
      <c r="L1721" s="1237">
        <v>0.1742699092469247</v>
      </c>
    </row>
    <row r="1722" spans="1:12" s="326" customFormat="1" ht="15.5" x14ac:dyDescent="0.35">
      <c r="A1722" s="328" t="s">
        <v>2686</v>
      </c>
      <c r="B1722" s="1291">
        <v>0.11073085794335995</v>
      </c>
      <c r="C1722" s="1257">
        <v>0.22084458593399706</v>
      </c>
      <c r="D1722" s="1257">
        <v>0.12303428660373328</v>
      </c>
      <c r="E1722" s="1280">
        <v>0.82722102598020064</v>
      </c>
      <c r="F1722" s="1271">
        <v>5.789731083167466E-2</v>
      </c>
      <c r="G1722" s="1257">
        <v>7.0273708550736461E-2</v>
      </c>
      <c r="H1722" s="1280">
        <v>0.66501663900586638</v>
      </c>
      <c r="I1722" s="1271">
        <v>6.4135498360640641E-2</v>
      </c>
      <c r="J1722" s="1257">
        <v>0.13037250249454629</v>
      </c>
      <c r="K1722" s="1280">
        <v>1.2337456669888314</v>
      </c>
      <c r="L1722" s="1237">
        <v>0.1742699092469247</v>
      </c>
    </row>
    <row r="1723" spans="1:12" s="326" customFormat="1" ht="15.5" x14ac:dyDescent="0.35">
      <c r="A1723" s="328" t="s">
        <v>2687</v>
      </c>
      <c r="B1723" s="1291">
        <v>0.11073085794335995</v>
      </c>
      <c r="C1723" s="1257">
        <v>0.22084458593399706</v>
      </c>
      <c r="D1723" s="1257">
        <v>0.12303428660373328</v>
      </c>
      <c r="E1723" s="1280">
        <v>0.82722102598020064</v>
      </c>
      <c r="F1723" s="1271">
        <v>5.789731083167466E-2</v>
      </c>
      <c r="G1723" s="1257">
        <v>7.0273708550736461E-2</v>
      </c>
      <c r="H1723" s="1280">
        <v>0.66501663900586638</v>
      </c>
      <c r="I1723" s="1271">
        <v>6.4135498360640641E-2</v>
      </c>
      <c r="J1723" s="1257">
        <v>0.13037250249454629</v>
      </c>
      <c r="K1723" s="1280">
        <v>1.2337456669888314</v>
      </c>
      <c r="L1723" s="1237">
        <v>0.1742699092469247</v>
      </c>
    </row>
    <row r="1724" spans="1:12" s="326" customFormat="1" ht="15.5" x14ac:dyDescent="0.35">
      <c r="A1724" s="328" t="s">
        <v>2688</v>
      </c>
      <c r="B1724" s="1291">
        <v>0.11073085794335995</v>
      </c>
      <c r="C1724" s="1257">
        <v>0.22084458593399706</v>
      </c>
      <c r="D1724" s="1257">
        <v>0.12303428660373328</v>
      </c>
      <c r="E1724" s="1280">
        <v>0.82722102598020064</v>
      </c>
      <c r="F1724" s="1271">
        <v>5.789731083167466E-2</v>
      </c>
      <c r="G1724" s="1257">
        <v>7.0273708550736461E-2</v>
      </c>
      <c r="H1724" s="1280">
        <v>0.66501663900586638</v>
      </c>
      <c r="I1724" s="1271">
        <v>6.4135498360640641E-2</v>
      </c>
      <c r="J1724" s="1257">
        <v>0.13037250249454629</v>
      </c>
      <c r="K1724" s="1280">
        <v>1.2337456669888314</v>
      </c>
      <c r="L1724" s="1237">
        <v>0.1742699092469247</v>
      </c>
    </row>
    <row r="1725" spans="1:12" s="326" customFormat="1" ht="15.5" x14ac:dyDescent="0.35">
      <c r="A1725" s="328" t="s">
        <v>2689</v>
      </c>
      <c r="B1725" s="1291">
        <v>0.11073085794335995</v>
      </c>
      <c r="C1725" s="1257">
        <v>0.22084458593399706</v>
      </c>
      <c r="D1725" s="1257">
        <v>0.12303428660373328</v>
      </c>
      <c r="E1725" s="1280">
        <v>0.82722102598020064</v>
      </c>
      <c r="F1725" s="1303">
        <v>5.789731083167466E-2</v>
      </c>
      <c r="G1725" s="1288">
        <v>7.0273708550736461E-2</v>
      </c>
      <c r="H1725" s="1280">
        <v>0.66501663900586638</v>
      </c>
      <c r="I1725" s="1303">
        <v>6.4135498360640641E-2</v>
      </c>
      <c r="J1725" s="1288">
        <v>0.13037250249454629</v>
      </c>
      <c r="K1725" s="1280">
        <v>1.2337456669888314</v>
      </c>
      <c r="L1725" s="1237">
        <v>0.1742699092469247</v>
      </c>
    </row>
    <row r="1726" spans="1:12" s="326" customFormat="1" ht="15.5" x14ac:dyDescent="0.35">
      <c r="A1726" s="328" t="s">
        <v>2690</v>
      </c>
      <c r="B1726" s="1291">
        <v>0.11073085794335995</v>
      </c>
      <c r="C1726" s="1257">
        <v>0.22084458593399706</v>
      </c>
      <c r="D1726" s="1257">
        <v>0.12303428660373328</v>
      </c>
      <c r="E1726" s="1280">
        <v>0.82722102598020064</v>
      </c>
      <c r="F1726" s="1303">
        <v>5.7739778824465446E-2</v>
      </c>
      <c r="G1726" s="1288">
        <v>7.6136794130043747E-2</v>
      </c>
      <c r="H1726" s="1280">
        <v>0.72050039739239935</v>
      </c>
      <c r="I1726" s="1303">
        <v>6.3665523421505721E-2</v>
      </c>
      <c r="J1726" s="1288">
        <v>0.13098612601379395</v>
      </c>
      <c r="K1726" s="1280">
        <v>1.2395525307334765</v>
      </c>
      <c r="L1726" s="1237">
        <v>0.1742699092469247</v>
      </c>
    </row>
    <row r="1727" spans="1:12" s="326" customFormat="1" ht="15.5" x14ac:dyDescent="0.35">
      <c r="A1727" s="328" t="s">
        <v>2691</v>
      </c>
      <c r="B1727" s="1291">
        <v>0.11073085794335995</v>
      </c>
      <c r="C1727" s="1257">
        <v>0.22084458593399706</v>
      </c>
      <c r="D1727" s="1257">
        <v>0.12303428660373328</v>
      </c>
      <c r="E1727" s="1280">
        <v>0.82722102598020064</v>
      </c>
      <c r="F1727" s="1303">
        <v>5.7874308842244579E-2</v>
      </c>
      <c r="G1727" s="1288">
        <v>7.4752391897456263E-2</v>
      </c>
      <c r="H1727" s="1280">
        <v>0.70739947332372211</v>
      </c>
      <c r="I1727" s="1303">
        <v>6.4039422965253931E-2</v>
      </c>
      <c r="J1727" s="1288">
        <v>0.13109383214846329</v>
      </c>
      <c r="K1727" s="1280">
        <v>1.2405717792284725</v>
      </c>
      <c r="L1727" s="1237">
        <v>0.1742699092469247</v>
      </c>
    </row>
    <row r="1728" spans="1:12" s="326" customFormat="1" ht="15.5" x14ac:dyDescent="0.35">
      <c r="A1728" s="328" t="s">
        <v>2692</v>
      </c>
      <c r="B1728" s="1291">
        <v>0.11073085794335995</v>
      </c>
      <c r="C1728" s="1257">
        <v>0.22084458593399706</v>
      </c>
      <c r="D1728" s="1257">
        <v>0.12303428660373328</v>
      </c>
      <c r="E1728" s="1280">
        <v>0.82722102598020064</v>
      </c>
      <c r="F1728" s="1303">
        <v>5.766213981273291E-2</v>
      </c>
      <c r="G1728" s="1288">
        <v>7.3447802380684518E-2</v>
      </c>
      <c r="H1728" s="1280">
        <v>0.69505383576427182</v>
      </c>
      <c r="I1728" s="1303">
        <v>6.3980394312043859E-2</v>
      </c>
      <c r="J1728" s="1288">
        <v>0.13094631092319478</v>
      </c>
      <c r="K1728" s="1280">
        <v>1.2391757511628798</v>
      </c>
      <c r="L1728" s="1237">
        <v>0.1742699092469247</v>
      </c>
    </row>
    <row r="1729" spans="1:12" s="326" customFormat="1" ht="15.5" x14ac:dyDescent="0.35">
      <c r="A1729" s="328" t="s">
        <v>2693</v>
      </c>
      <c r="B1729" s="1291">
        <v>0.11073085794335995</v>
      </c>
      <c r="C1729" s="1257">
        <v>0.22084458593399706</v>
      </c>
      <c r="D1729" s="1257">
        <v>0.12303428660373328</v>
      </c>
      <c r="E1729" s="1280">
        <v>0.82722102598020064</v>
      </c>
      <c r="F1729" s="1303">
        <v>5.7468763710929231E-2</v>
      </c>
      <c r="G1729" s="1288">
        <v>7.4347072579273338E-2</v>
      </c>
      <c r="H1729" s="1280">
        <v>0.70356384124650584</v>
      </c>
      <c r="I1729" s="1303">
        <v>6.3586187390864884E-2</v>
      </c>
      <c r="J1729" s="1288">
        <v>0.13020902907119189</v>
      </c>
      <c r="K1729" s="1280">
        <v>1.2321986795192941</v>
      </c>
      <c r="L1729" s="1237">
        <v>0.1742699092469247</v>
      </c>
    </row>
    <row r="1730" spans="1:12" s="326" customFormat="1" ht="15.5" x14ac:dyDescent="0.35">
      <c r="A1730" s="328" t="s">
        <v>2694</v>
      </c>
      <c r="B1730" s="1291">
        <v>0.11073085794335995</v>
      </c>
      <c r="C1730" s="1257">
        <v>0.22084458593399706</v>
      </c>
      <c r="D1730" s="1257">
        <v>0.12303428660373328</v>
      </c>
      <c r="E1730" s="1280">
        <v>0.82722102598020064</v>
      </c>
      <c r="F1730" s="1303">
        <v>4.9292910893132806E-2</v>
      </c>
      <c r="G1730" s="1288">
        <v>7.3734006516851039E-2</v>
      </c>
      <c r="H1730" s="1280">
        <v>0.69776225284696525</v>
      </c>
      <c r="I1730" s="1303">
        <v>6.9525423550715143E-2</v>
      </c>
      <c r="J1730" s="1288">
        <v>0.12926250942186776</v>
      </c>
      <c r="K1730" s="1280">
        <v>1.223241541367234</v>
      </c>
      <c r="L1730" s="1237">
        <v>0.1742699092469247</v>
      </c>
    </row>
    <row r="1731" spans="1:12" s="326" customFormat="1" ht="15.5" x14ac:dyDescent="0.35">
      <c r="A1731" s="328" t="s">
        <v>2695</v>
      </c>
      <c r="B1731" s="1291">
        <v>0.11073085794335995</v>
      </c>
      <c r="C1731" s="1257">
        <v>0.22084458593399706</v>
      </c>
      <c r="D1731" s="1257">
        <v>0.12303428660373328</v>
      </c>
      <c r="E1731" s="1280">
        <v>0.82722102598020064</v>
      </c>
      <c r="F1731" s="1303">
        <v>4.9557998568447045E-2</v>
      </c>
      <c r="G1731" s="1288">
        <v>7.1814050554857831E-2</v>
      </c>
      <c r="H1731" s="1280">
        <v>0.67959325782427948</v>
      </c>
      <c r="I1731" s="1303">
        <v>6.9350587024295085E-2</v>
      </c>
      <c r="J1731" s="1288">
        <v>0.12977805779177359</v>
      </c>
      <c r="K1731" s="1280">
        <v>1.2281202968971516</v>
      </c>
      <c r="L1731" s="1237">
        <v>0.1742699092469247</v>
      </c>
    </row>
    <row r="1732" spans="1:12" s="326" customFormat="1" ht="15.5" x14ac:dyDescent="0.35">
      <c r="A1732" s="328" t="s">
        <v>2696</v>
      </c>
      <c r="B1732" s="1291">
        <v>0.11073085794335995</v>
      </c>
      <c r="C1732" s="1257">
        <v>0.22084458593399706</v>
      </c>
      <c r="D1732" s="1257">
        <v>0.12303428660373328</v>
      </c>
      <c r="E1732" s="1280">
        <v>0.82722102598020064</v>
      </c>
      <c r="F1732" s="1303">
        <v>4.9265351745427371E-2</v>
      </c>
      <c r="G1732" s="1288">
        <v>7.6979570435797257E-2</v>
      </c>
      <c r="H1732" s="1280">
        <v>0.72847578787405198</v>
      </c>
      <c r="I1732" s="1303">
        <v>6.9070513105748438E-2</v>
      </c>
      <c r="J1732" s="1288">
        <v>0.13001584678462599</v>
      </c>
      <c r="K1732" s="1280">
        <v>1.2303705500868651</v>
      </c>
      <c r="L1732" s="1237">
        <v>0.1742699092469247</v>
      </c>
    </row>
    <row r="1733" spans="1:12" s="326" customFormat="1" ht="15.5" x14ac:dyDescent="0.35">
      <c r="A1733" s="328" t="s">
        <v>2697</v>
      </c>
      <c r="B1733" s="1291">
        <v>0.11073085794335995</v>
      </c>
      <c r="C1733" s="1257">
        <v>0.22084458593399706</v>
      </c>
      <c r="D1733" s="1257">
        <v>0.12303428660373328</v>
      </c>
      <c r="E1733" s="1280">
        <v>0.82722102598020064</v>
      </c>
      <c r="F1733" s="1303">
        <v>5.8988236082619945E-2</v>
      </c>
      <c r="G1733" s="1288">
        <v>7.1405835888352587E-2</v>
      </c>
      <c r="H1733" s="1280">
        <v>0.67573022638463076</v>
      </c>
      <c r="I1733" s="1303">
        <v>7.4869265481167069E-2</v>
      </c>
      <c r="J1733" s="1288">
        <v>0.13086230516627789</v>
      </c>
      <c r="K1733" s="1280">
        <v>1.2383807849191153</v>
      </c>
      <c r="L1733" s="1237">
        <v>0.1742699092469247</v>
      </c>
    </row>
    <row r="1734" spans="1:12" s="326" customFormat="1" ht="15.5" x14ac:dyDescent="0.35">
      <c r="A1734" s="328" t="s">
        <v>2698</v>
      </c>
      <c r="B1734" s="1291">
        <v>0.11073085794335995</v>
      </c>
      <c r="C1734" s="1257">
        <v>0.22084458593399706</v>
      </c>
      <c r="D1734" s="1257">
        <v>0.12303428660373328</v>
      </c>
      <c r="E1734" s="1280">
        <v>0.82722102598020064</v>
      </c>
      <c r="F1734" s="1303">
        <v>5.9142129949078644E-2</v>
      </c>
      <c r="G1734" s="1288">
        <v>6.9818852502930795E-2</v>
      </c>
      <c r="H1734" s="1280">
        <v>0.66071222920052897</v>
      </c>
      <c r="I1734" s="1303">
        <v>7.5632393576125098E-2</v>
      </c>
      <c r="J1734" s="1288">
        <v>0.11609387177006984</v>
      </c>
      <c r="K1734" s="1280">
        <v>1.0986236247652934</v>
      </c>
      <c r="L1734" s="1237">
        <v>0.1742699092469247</v>
      </c>
    </row>
    <row r="1735" spans="1:12" s="326" customFormat="1" ht="15.5" x14ac:dyDescent="0.35">
      <c r="A1735" s="328" t="s">
        <v>2699</v>
      </c>
      <c r="B1735" s="1291">
        <v>0.11073085794335995</v>
      </c>
      <c r="C1735" s="1257">
        <v>0.22084458593399706</v>
      </c>
      <c r="D1735" s="1257">
        <v>0.12303428660373328</v>
      </c>
      <c r="E1735" s="1280">
        <v>0.82722102598020064</v>
      </c>
      <c r="F1735" s="1303">
        <v>5.8951971226778276E-2</v>
      </c>
      <c r="G1735" s="1288">
        <v>6.3379572617422983E-2</v>
      </c>
      <c r="H1735" s="1280">
        <v>0.59977580851928958</v>
      </c>
      <c r="I1735" s="1303">
        <v>7.5421704831189609E-2</v>
      </c>
      <c r="J1735" s="1288">
        <v>9.9681638566499725E-2</v>
      </c>
      <c r="K1735" s="1280">
        <v>0.94331080025797909</v>
      </c>
      <c r="L1735" s="1237">
        <v>0.1742699092469247</v>
      </c>
    </row>
    <row r="1736" spans="1:12" s="326" customFormat="1" ht="15.5" x14ac:dyDescent="0.35">
      <c r="A1736" s="328" t="s">
        <v>2700</v>
      </c>
      <c r="B1736" s="1291">
        <v>0.11073085794335995</v>
      </c>
      <c r="C1736" s="1257">
        <v>0.22084458593399706</v>
      </c>
      <c r="D1736" s="1257">
        <v>0.12303428660373328</v>
      </c>
      <c r="E1736" s="1280">
        <v>0.82722102598020064</v>
      </c>
      <c r="F1736" s="1303">
        <v>6.5624092555418789E-2</v>
      </c>
      <c r="G1736" s="1288">
        <v>5.8727623679891885E-2</v>
      </c>
      <c r="H1736" s="1280">
        <v>0.55575332114721221</v>
      </c>
      <c r="I1736" s="1303">
        <v>8.0936317347284695E-2</v>
      </c>
      <c r="J1736" s="1288">
        <v>9.9646241252315887E-2</v>
      </c>
      <c r="K1736" s="1280">
        <v>0.94297582714507744</v>
      </c>
      <c r="L1736" s="1237">
        <v>0.1742699092469247</v>
      </c>
    </row>
    <row r="1737" spans="1:12" s="326" customFormat="1" ht="15.5" x14ac:dyDescent="0.35">
      <c r="A1737" s="328" t="s">
        <v>2701</v>
      </c>
      <c r="B1737" s="1291">
        <v>0.11073085794335995</v>
      </c>
      <c r="C1737" s="1257">
        <v>0.22084458593399706</v>
      </c>
      <c r="D1737" s="1257">
        <v>0.12303428660373328</v>
      </c>
      <c r="E1737" s="1280">
        <v>0.82722102598020064</v>
      </c>
      <c r="F1737" s="1303">
        <v>6.7564234291479355E-2</v>
      </c>
      <c r="G1737" s="1288">
        <v>5.9309776132780545E-2</v>
      </c>
      <c r="H1737" s="1280">
        <v>0.56126236678594532</v>
      </c>
      <c r="I1737" s="1303">
        <v>8.063539162545548E-2</v>
      </c>
      <c r="J1737" s="1288">
        <v>0.10136970996240825</v>
      </c>
      <c r="K1737" s="1280">
        <v>0.95928541707073101</v>
      </c>
      <c r="L1737" s="1330">
        <v>0.1742699092469247</v>
      </c>
    </row>
    <row r="1738" spans="1:12" s="326" customFormat="1" ht="15.5" x14ac:dyDescent="0.35">
      <c r="A1738" s="328" t="s">
        <v>2702</v>
      </c>
      <c r="B1738" s="1291">
        <v>0.11073085794335995</v>
      </c>
      <c r="C1738" s="1257">
        <v>0.22084458593399706</v>
      </c>
      <c r="D1738" s="1257">
        <v>0.12303428660373328</v>
      </c>
      <c r="E1738" s="1280">
        <v>0.82722102598020064</v>
      </c>
      <c r="F1738" s="1303">
        <v>6.1781941999856732E-2</v>
      </c>
      <c r="G1738" s="1288">
        <v>5.9753879452859503E-2</v>
      </c>
      <c r="H1738" s="1280">
        <v>0.56546502099875129</v>
      </c>
      <c r="I1738" s="1303">
        <v>8.0869205471970573E-2</v>
      </c>
      <c r="J1738" s="1288">
        <v>0.10128497862699457</v>
      </c>
      <c r="K1738" s="1280">
        <v>0.9584835845069265</v>
      </c>
      <c r="L1738" s="1330">
        <v>0.1734832110497988</v>
      </c>
    </row>
    <row r="1739" spans="1:12" s="326" customFormat="1" ht="15.5" x14ac:dyDescent="0.35">
      <c r="A1739" s="328" t="s">
        <v>2703</v>
      </c>
      <c r="B1739" s="1291">
        <v>0.11073085794335995</v>
      </c>
      <c r="C1739" s="1257">
        <v>0.22084458593399706</v>
      </c>
      <c r="D1739" s="1257">
        <v>0.12303428660373328</v>
      </c>
      <c r="E1739" s="1280">
        <v>0.82722102598020064</v>
      </c>
      <c r="F1739" s="1303">
        <v>6.7029627201576708E-2</v>
      </c>
      <c r="G1739" s="1288">
        <v>5.8660885313659941E-2</v>
      </c>
      <c r="H1739" s="1280">
        <v>0.55512176028441429</v>
      </c>
      <c r="I1739" s="1303">
        <v>8.0795898924595114E-2</v>
      </c>
      <c r="J1739" s="1288">
        <v>0.10165115939794248</v>
      </c>
      <c r="K1739" s="1280">
        <v>0.96194883930258801</v>
      </c>
      <c r="L1739" s="1330">
        <v>0.16373729011424532</v>
      </c>
    </row>
    <row r="1740" spans="1:12" s="326" customFormat="1" ht="15.5" x14ac:dyDescent="0.35">
      <c r="A1740" s="328" t="s">
        <v>2704</v>
      </c>
      <c r="B1740" s="1291">
        <v>0.11073085794335995</v>
      </c>
      <c r="C1740" s="1257">
        <v>0.22084458593399706</v>
      </c>
      <c r="D1740" s="1257">
        <v>0.12303428660373328</v>
      </c>
      <c r="E1740" s="1280">
        <v>0.82722102598020064</v>
      </c>
      <c r="F1740" s="1303">
        <v>6.270124425967892E-2</v>
      </c>
      <c r="G1740" s="1288">
        <v>5.6357486169151524E-2</v>
      </c>
      <c r="H1740" s="1280">
        <v>0.53332415220366181</v>
      </c>
      <c r="I1740" s="1303">
        <v>7.8595881753073263E-2</v>
      </c>
      <c r="J1740" s="1288">
        <v>9.9105831508160852E-2</v>
      </c>
      <c r="K1740" s="1280">
        <v>0.93786180258090446</v>
      </c>
      <c r="L1740" s="1330">
        <v>0.19316560735265301</v>
      </c>
    </row>
    <row r="1741" spans="1:12" s="326" customFormat="1" ht="15.5" x14ac:dyDescent="0.35">
      <c r="A1741" s="328" t="s">
        <v>2705</v>
      </c>
      <c r="B1741" s="1291">
        <v>0.11073085794335995</v>
      </c>
      <c r="C1741" s="1257">
        <v>0.22084458593399706</v>
      </c>
      <c r="D1741" s="1257">
        <v>0.12303428660373328</v>
      </c>
      <c r="E1741" s="1280">
        <v>0.82722102598020064</v>
      </c>
      <c r="F1741" s="1303">
        <v>6.0531378371541725E-2</v>
      </c>
      <c r="G1741" s="1288">
        <v>5.6942587677191348E-2</v>
      </c>
      <c r="H1741" s="1280">
        <v>0.53886110544518573</v>
      </c>
      <c r="I1741" s="1303">
        <v>7.8112225182846565E-2</v>
      </c>
      <c r="J1741" s="1288">
        <v>9.9886379944635895E-2</v>
      </c>
      <c r="K1741" s="1280">
        <v>0.94524831609372351</v>
      </c>
      <c r="L1741" s="1330">
        <v>0.19316560735266139</v>
      </c>
    </row>
    <row r="1742" spans="1:12" s="326" customFormat="1" ht="15.5" x14ac:dyDescent="0.35">
      <c r="A1742" s="328" t="s">
        <v>2706</v>
      </c>
      <c r="B1742" s="1291">
        <v>0.11073085794335995</v>
      </c>
      <c r="C1742" s="1257">
        <v>0.22084458593399706</v>
      </c>
      <c r="D1742" s="1257">
        <v>0.12303428660373328</v>
      </c>
      <c r="E1742" s="1280">
        <v>0.82722102598020064</v>
      </c>
      <c r="F1742" s="1303">
        <v>6.1712778211812737E-2</v>
      </c>
      <c r="G1742" s="1288">
        <v>5.7470154141964533E-2</v>
      </c>
      <c r="H1742" s="1280">
        <v>0.54385359103462028</v>
      </c>
      <c r="I1742" s="1303">
        <v>7.5745439598033509E-2</v>
      </c>
      <c r="J1742" s="1288">
        <v>9.7160894088799438E-2</v>
      </c>
      <c r="K1742" s="1280">
        <v>0.91945640214915336</v>
      </c>
      <c r="L1742" s="1330">
        <v>0.19316560735263438</v>
      </c>
    </row>
    <row r="1743" spans="1:12" s="326" customFormat="1" ht="15.5" x14ac:dyDescent="0.35">
      <c r="A1743" s="328" t="s">
        <v>2707</v>
      </c>
      <c r="B1743" s="1291">
        <v>0.11073085794335995</v>
      </c>
      <c r="C1743" s="1257">
        <v>0.22084458593399706</v>
      </c>
      <c r="D1743" s="1257">
        <v>0.12303428660373328</v>
      </c>
      <c r="E1743" s="1280">
        <v>0.82722102598020064</v>
      </c>
      <c r="F1743" s="1303">
        <v>6.0462011741841827E-2</v>
      </c>
      <c r="G1743" s="1288">
        <v>5.6726640494479827E-2</v>
      </c>
      <c r="H1743" s="1280">
        <v>0.53681754644408486</v>
      </c>
      <c r="I1743" s="1303">
        <v>7.2980401455217017E-2</v>
      </c>
      <c r="J1743" s="1288">
        <v>9.5761755815784527E-2</v>
      </c>
      <c r="K1743" s="1280">
        <v>0.90621602746260799</v>
      </c>
      <c r="L1743" s="1330">
        <v>0.1978398879031838</v>
      </c>
    </row>
    <row r="1744" spans="1:12" s="326" customFormat="1" ht="15.5" x14ac:dyDescent="0.35">
      <c r="A1744" s="328" t="s">
        <v>2708</v>
      </c>
      <c r="B1744" s="1291">
        <v>0.11073085794335995</v>
      </c>
      <c r="C1744" s="1257">
        <v>0.22084458593399706</v>
      </c>
      <c r="D1744" s="1257">
        <v>0.12303428660373328</v>
      </c>
      <c r="E1744" s="1280">
        <v>0.82722102598020064</v>
      </c>
      <c r="F1744" s="1303">
        <v>5.5656346675165912E-2</v>
      </c>
      <c r="G1744" s="1288">
        <v>5.5219174597927967E-2</v>
      </c>
      <c r="H1744" s="1280">
        <v>0.52255204196715654</v>
      </c>
      <c r="I1744" s="1303">
        <v>6.8455257837091596E-2</v>
      </c>
      <c r="J1744" s="1288">
        <v>9.1178492679753392E-2</v>
      </c>
      <c r="K1744" s="1280">
        <v>0.86284352999148983</v>
      </c>
      <c r="L1744" s="1330">
        <v>0.19783988790321624</v>
      </c>
    </row>
    <row r="1745" spans="1:12" s="326" customFormat="1" ht="15.5" x14ac:dyDescent="0.35">
      <c r="A1745" s="328" t="s">
        <v>2709</v>
      </c>
      <c r="B1745" s="1291">
        <v>0.11073085794335995</v>
      </c>
      <c r="C1745" s="1257">
        <v>0.22084458593399706</v>
      </c>
      <c r="D1745" s="1257">
        <v>0.12303428660373328</v>
      </c>
      <c r="E1745" s="1280">
        <v>0.82722102598020064</v>
      </c>
      <c r="F1745" s="1303">
        <v>5.7623556102236968E-2</v>
      </c>
      <c r="G1745" s="1288">
        <v>5.3202441754094817E-2</v>
      </c>
      <c r="H1745" s="1280">
        <v>0.50346722454058845</v>
      </c>
      <c r="I1745" s="1303">
        <v>6.8531944188205837E-2</v>
      </c>
      <c r="J1745" s="1288">
        <v>9.032624154663399E-2</v>
      </c>
      <c r="K1745" s="1280">
        <v>0.85477847698910259</v>
      </c>
      <c r="L1745" s="1330">
        <v>0.19783988790303034</v>
      </c>
    </row>
    <row r="1746" spans="1:12" s="326" customFormat="1" ht="15.5" x14ac:dyDescent="0.35">
      <c r="A1746" s="328" t="s">
        <v>2710</v>
      </c>
      <c r="B1746" s="1291">
        <v>0.11073085794335995</v>
      </c>
      <c r="C1746" s="1257">
        <v>0.22084458593399706</v>
      </c>
      <c r="D1746" s="1257">
        <v>0.12303428660373328</v>
      </c>
      <c r="E1746" s="1280">
        <v>0.82722102598020064</v>
      </c>
      <c r="F1746" s="1303">
        <v>5.4632203585845779E-2</v>
      </c>
      <c r="G1746" s="1288">
        <v>5.2988724491741454E-2</v>
      </c>
      <c r="H1746" s="1280">
        <v>0.50144476780052383</v>
      </c>
      <c r="I1746" s="1303">
        <v>6.5089877884938946E-2</v>
      </c>
      <c r="J1746" s="1288">
        <v>8.7630817654367282E-2</v>
      </c>
      <c r="K1746" s="1280">
        <v>0.82927104647919625</v>
      </c>
      <c r="L1746" s="1330">
        <v>0.19783988790320137</v>
      </c>
    </row>
    <row r="1747" spans="1:12" s="326" customFormat="1" ht="15.5" x14ac:dyDescent="0.35">
      <c r="A1747" s="328" t="s">
        <v>2711</v>
      </c>
      <c r="B1747" s="1291">
        <v>0.11073085794335995</v>
      </c>
      <c r="C1747" s="1257">
        <v>0.22084458593399706</v>
      </c>
      <c r="D1747" s="1257">
        <v>0.12303428660373328</v>
      </c>
      <c r="E1747" s="1280">
        <v>0.82722102598020064</v>
      </c>
      <c r="F1747" s="1303">
        <v>5.3122302300525941E-2</v>
      </c>
      <c r="G1747" s="1288">
        <v>5.0355685236599161E-2</v>
      </c>
      <c r="H1747" s="1280">
        <v>0.47652769779046411</v>
      </c>
      <c r="I1747" s="1303">
        <v>6.3455294847597599E-2</v>
      </c>
      <c r="J1747" s="1288">
        <v>8.5417413796051181E-2</v>
      </c>
      <c r="K1747" s="1280">
        <v>0.80832508496704314</v>
      </c>
      <c r="L1747" s="1330">
        <v>0.17892514933189105</v>
      </c>
    </row>
    <row r="1748" spans="1:12" s="326" customFormat="1" ht="15.5" x14ac:dyDescent="0.35">
      <c r="A1748" s="328" t="s">
        <v>2712</v>
      </c>
      <c r="B1748" s="1291">
        <v>0.11073085794335995</v>
      </c>
      <c r="C1748" s="1257">
        <v>0.22084458593399706</v>
      </c>
      <c r="D1748" s="1257">
        <v>0.12303428660373328</v>
      </c>
      <c r="E1748" s="1280">
        <v>0.82722102598020064</v>
      </c>
      <c r="F1748" s="1303">
        <v>5.1717574644443209E-2</v>
      </c>
      <c r="G1748" s="1288">
        <v>4.8530944563211963E-2</v>
      </c>
      <c r="H1748" s="1280">
        <v>0.45925974744745435</v>
      </c>
      <c r="I1748" s="1303">
        <v>6.1885829636654212E-2</v>
      </c>
      <c r="J1748" s="1288">
        <v>8.3291511954895772E-2</v>
      </c>
      <c r="K1748" s="1280">
        <v>0.78820717563199161</v>
      </c>
      <c r="L1748" s="1330">
        <v>0.17892514933203274</v>
      </c>
    </row>
    <row r="1749" spans="1:12" s="326" customFormat="1" ht="15.5" x14ac:dyDescent="0.35">
      <c r="A1749" s="328" t="s">
        <v>2713</v>
      </c>
      <c r="B1749" s="1291">
        <v>0.11073085794335995</v>
      </c>
      <c r="C1749" s="1257">
        <v>0.22084458593399706</v>
      </c>
      <c r="D1749" s="1257">
        <v>0.12303428660373328</v>
      </c>
      <c r="E1749" s="1280">
        <v>0.82722102598020064</v>
      </c>
      <c r="F1749" s="1303">
        <v>5.0322624190096393E-2</v>
      </c>
      <c r="G1749" s="1288">
        <v>4.6866315080543751E-2</v>
      </c>
      <c r="H1749" s="1280">
        <v>0.44350696697543979</v>
      </c>
      <c r="I1749" s="1303">
        <v>6.0316420862069176E-2</v>
      </c>
      <c r="J1749" s="1288">
        <v>8.1169993704645227E-2</v>
      </c>
      <c r="K1749" s="1280">
        <v>0.76813074924910596</v>
      </c>
      <c r="L1749" s="1330">
        <v>0.17892514933206391</v>
      </c>
    </row>
    <row r="1750" spans="1:12" s="326" customFormat="1" ht="15.5" x14ac:dyDescent="0.35">
      <c r="A1750" s="328" t="s">
        <v>2714</v>
      </c>
      <c r="B1750" s="1291">
        <v>0.11073085794335995</v>
      </c>
      <c r="C1750" s="1257">
        <v>0.22084458593399706</v>
      </c>
      <c r="D1750" s="1257">
        <v>0.12303428660373328</v>
      </c>
      <c r="E1750" s="1280">
        <v>0.82722102598020064</v>
      </c>
      <c r="F1750" s="1303">
        <v>5.0066345621069132E-2</v>
      </c>
      <c r="G1750" s="1288">
        <v>4.524021166205755E-2</v>
      </c>
      <c r="H1750" s="1306">
        <v>0.42739224111473223</v>
      </c>
      <c r="I1750" s="1303">
        <v>6.030832326531449E-2</v>
      </c>
      <c r="J1750" s="1288">
        <v>8.1135802715626384E-2</v>
      </c>
      <c r="K1750" s="1306">
        <v>0.59938191322494339</v>
      </c>
      <c r="L1750" s="1330">
        <v>0.16538472833867374</v>
      </c>
    </row>
    <row r="1751" spans="1:12" s="326" customFormat="1" ht="15.5" x14ac:dyDescent="0.35">
      <c r="A1751" s="328" t="s">
        <v>2715</v>
      </c>
      <c r="B1751" s="1291">
        <v>0.11073085794335995</v>
      </c>
      <c r="C1751" s="1257">
        <v>0.22084458593399706</v>
      </c>
      <c r="D1751" s="1257">
        <v>0.12303428660373328</v>
      </c>
      <c r="E1751" s="1280">
        <v>0.82722102598020064</v>
      </c>
      <c r="F1751" s="1303">
        <v>4.9842335256369302E-2</v>
      </c>
      <c r="G1751" s="1288">
        <v>4.3716202717353193E-2</v>
      </c>
      <c r="H1751" s="1306">
        <v>0.43577922588773416</v>
      </c>
      <c r="I1751" s="1303">
        <v>6.0299539880117672E-2</v>
      </c>
      <c r="J1751" s="1288">
        <v>8.1099480178401059E-2</v>
      </c>
      <c r="K1751" s="1306">
        <v>0.59946971030904894</v>
      </c>
      <c r="L1751" s="1330">
        <v>0.16538472833857737</v>
      </c>
    </row>
    <row r="1752" spans="1:12" s="326" customFormat="1" ht="15.5" x14ac:dyDescent="0.35">
      <c r="A1752" s="328" t="s">
        <v>2716</v>
      </c>
      <c r="B1752" s="1291">
        <v>0.11073085794335995</v>
      </c>
      <c r="C1752" s="1257">
        <v>0.22084458593399706</v>
      </c>
      <c r="D1752" s="1257">
        <v>0.12303428660373328</v>
      </c>
      <c r="E1752" s="1280">
        <v>0.82722102598020064</v>
      </c>
      <c r="F1752" s="1303">
        <v>4.9643143412880182E-2</v>
      </c>
      <c r="G1752" s="1288">
        <v>4.3124457283714723E-2</v>
      </c>
      <c r="H1752" s="1306">
        <v>0.45116256518169118</v>
      </c>
      <c r="I1752" s="1303">
        <v>6.0290772028108251E-2</v>
      </c>
      <c r="J1752" s="1288">
        <v>8.106263894233974E-2</v>
      </c>
      <c r="K1752" s="1306">
        <v>0.5995168103366596</v>
      </c>
      <c r="L1752" s="1330">
        <v>0.16538472833859605</v>
      </c>
    </row>
    <row r="1753" spans="1:12" s="326" customFormat="1" ht="15.5" x14ac:dyDescent="0.35">
      <c r="A1753" s="328" t="s">
        <v>2717</v>
      </c>
      <c r="B1753" s="1291">
        <v>0.11073085794335995</v>
      </c>
      <c r="C1753" s="1257">
        <v>0.22084458593399706</v>
      </c>
      <c r="D1753" s="1257">
        <v>0.12303428660373328</v>
      </c>
      <c r="E1753" s="1280">
        <v>0.82722102598020064</v>
      </c>
      <c r="F1753" s="1303">
        <v>4.943995727775486E-2</v>
      </c>
      <c r="G1753" s="1288">
        <v>4.2851601312213841E-2</v>
      </c>
      <c r="H1753" s="1306">
        <v>0.46657253001450733</v>
      </c>
      <c r="I1753" s="1303">
        <v>6.0282443203709145E-2</v>
      </c>
      <c r="J1753" s="1288">
        <v>8.1026489037578406E-2</v>
      </c>
      <c r="K1753" s="1306">
        <v>0.59962008062060079</v>
      </c>
      <c r="L1753" s="1330">
        <v>0.15942833373948581</v>
      </c>
    </row>
    <row r="1754" spans="1:12" s="326" customFormat="1" ht="15.5" x14ac:dyDescent="0.35">
      <c r="A1754" s="328" t="s">
        <v>2718</v>
      </c>
      <c r="B1754" s="1291">
        <v>0.11073085794335995</v>
      </c>
      <c r="C1754" s="1257">
        <v>0.22084458593399706</v>
      </c>
      <c r="D1754" s="1257">
        <v>0.12303428660373328</v>
      </c>
      <c r="E1754" s="1280">
        <v>0.82722102598020064</v>
      </c>
      <c r="F1754" s="1303">
        <v>4.9222502835993054E-2</v>
      </c>
      <c r="G1754" s="1288">
        <v>4.2606931174120483E-2</v>
      </c>
      <c r="H1754" s="1306">
        <v>0.47767002005238279</v>
      </c>
      <c r="I1754" s="1303">
        <v>6.0274271527529177E-2</v>
      </c>
      <c r="J1754" s="1288">
        <v>8.0990802554991623E-2</v>
      </c>
      <c r="K1754" s="1306">
        <v>0.59964899567216545</v>
      </c>
      <c r="L1754" s="1330">
        <v>0.15942833373947929</v>
      </c>
    </row>
    <row r="1755" spans="1:12" s="326" customFormat="1" ht="15.5" x14ac:dyDescent="0.35">
      <c r="A1755" s="328" t="s">
        <v>2719</v>
      </c>
      <c r="B1755" s="1287">
        <v>0.11073085794335995</v>
      </c>
      <c r="C1755" s="1288">
        <v>0.22084458593399706</v>
      </c>
      <c r="D1755" s="1288">
        <v>0.26240254612974345</v>
      </c>
      <c r="E1755" s="1306">
        <v>1.9403801489697043</v>
      </c>
      <c r="F1755" s="1303">
        <v>4.9006306510941754E-2</v>
      </c>
      <c r="G1755" s="1288">
        <v>4.2355494868574851E-2</v>
      </c>
      <c r="H1755" s="1306">
        <v>0.4861233470448974</v>
      </c>
      <c r="I1755" s="1303">
        <v>6.0266126625834124E-2</v>
      </c>
      <c r="J1755" s="1288">
        <v>8.0955667588424235E-2</v>
      </c>
      <c r="K1755" s="1306">
        <v>0.59967716940797489</v>
      </c>
      <c r="L1755" s="1330">
        <v>0.15834736775378597</v>
      </c>
    </row>
    <row r="1756" spans="1:12" s="326" customFormat="1" ht="15.5" x14ac:dyDescent="0.35">
      <c r="A1756" s="328" t="s">
        <v>2720</v>
      </c>
      <c r="B1756" s="1226">
        <v>8.7773120007196476E-2</v>
      </c>
      <c r="C1756" s="1227">
        <v>0.15295697584742401</v>
      </c>
      <c r="D1756" s="1257">
        <v>0.17360505161813666</v>
      </c>
      <c r="E1756" s="1306">
        <v>1.9224540488455977</v>
      </c>
      <c r="F1756" s="1303">
        <v>4.8753856447208511E-2</v>
      </c>
      <c r="G1756" s="1288">
        <v>4.2120759655816915E-2</v>
      </c>
      <c r="H1756" s="1306">
        <v>0.49206657091577721</v>
      </c>
      <c r="I1756" s="1303">
        <v>6.0258041031558081E-2</v>
      </c>
      <c r="J1756" s="1288">
        <v>8.0921363418353431E-2</v>
      </c>
      <c r="K1756" s="1306">
        <v>0.59974225824042682</v>
      </c>
      <c r="L1756" s="1330">
        <v>0.15737449836666165</v>
      </c>
    </row>
    <row r="1757" spans="1:12" s="326" customFormat="1" ht="15.5" x14ac:dyDescent="0.35">
      <c r="A1757" s="328" t="s">
        <v>2721</v>
      </c>
      <c r="B1757" s="1226">
        <v>8.7773120007196476E-2</v>
      </c>
      <c r="C1757" s="1227">
        <v>0.15295697584742401</v>
      </c>
      <c r="D1757" s="1257">
        <v>0.17360505161813666</v>
      </c>
      <c r="E1757" s="1306">
        <v>1.961352472788406</v>
      </c>
      <c r="F1757" s="1303">
        <v>4.8499621450421665E-2</v>
      </c>
      <c r="G1757" s="1288">
        <v>4.1879890132168182E-2</v>
      </c>
      <c r="H1757" s="1306">
        <v>0.4997717205473699</v>
      </c>
      <c r="I1757" s="1303">
        <v>6.0250088914966318E-2</v>
      </c>
      <c r="J1757" s="1288">
        <v>8.0888006575050284E-2</v>
      </c>
      <c r="K1757" s="1306">
        <v>0.5998102498437401</v>
      </c>
      <c r="L1757" s="1330">
        <v>0.15649891591823967</v>
      </c>
    </row>
    <row r="1758" spans="1:12" s="326" customFormat="1" ht="15.5" x14ac:dyDescent="0.35">
      <c r="A1758" s="328" t="s">
        <v>2722</v>
      </c>
      <c r="B1758" s="1226">
        <v>8.7773120007196476E-2</v>
      </c>
      <c r="C1758" s="1227">
        <v>0.15295697584742401</v>
      </c>
      <c r="D1758" s="1257">
        <v>0.17360505161813666</v>
      </c>
      <c r="E1758" s="1306">
        <v>1.8016062030031579</v>
      </c>
      <c r="F1758" s="1303">
        <v>4.8201272239021903E-2</v>
      </c>
      <c r="G1758" s="1288">
        <v>4.1641740137328694E-2</v>
      </c>
      <c r="H1758" s="1306">
        <v>0.50625322487692703</v>
      </c>
      <c r="I1758" s="1303">
        <v>6.0242047041504369E-2</v>
      </c>
      <c r="J1758" s="1288">
        <v>8.0854799299795582E-2</v>
      </c>
      <c r="K1758" s="1306">
        <v>0.59988184890459628</v>
      </c>
      <c r="L1758" s="1330">
        <v>0.15571089171467034</v>
      </c>
    </row>
    <row r="1759" spans="1:12" s="326" customFormat="1" ht="15.5" x14ac:dyDescent="0.35">
      <c r="A1759" s="328" t="s">
        <v>2723</v>
      </c>
      <c r="B1759" s="1287">
        <v>6.4815382071033018E-2</v>
      </c>
      <c r="C1759" s="1288">
        <v>8.5069365760850987E-2</v>
      </c>
      <c r="D1759" s="1288">
        <v>8.480755710652986E-2</v>
      </c>
      <c r="E1759" s="1306">
        <v>1.8717991672744294</v>
      </c>
      <c r="F1759" s="1303">
        <v>4.7891236459293357E-2</v>
      </c>
      <c r="G1759" s="1288">
        <v>4.1397408629907824E-2</v>
      </c>
      <c r="H1759" s="1306">
        <v>0.51184957170948087</v>
      </c>
      <c r="I1759" s="1303">
        <v>6.0233939987027509E-2</v>
      </c>
      <c r="J1759" s="1288">
        <v>8.082124830873591E-2</v>
      </c>
      <c r="K1759" s="1306">
        <v>0.59996121229473565</v>
      </c>
      <c r="L1759" s="1330">
        <v>0.15500166993145187</v>
      </c>
    </row>
    <row r="1760" spans="1:12" s="326" customFormat="1" ht="15.5" x14ac:dyDescent="0.35">
      <c r="A1760" s="328" t="s">
        <v>2724</v>
      </c>
      <c r="B1760" s="1287">
        <v>6.4764370128812018E-2</v>
      </c>
      <c r="C1760" s="1288">
        <v>9.5945370176919995E-2</v>
      </c>
      <c r="D1760" s="1288">
        <v>8.3703654676388045E-2</v>
      </c>
      <c r="E1760" s="1306">
        <v>1.8163785563633781</v>
      </c>
      <c r="F1760" s="1303">
        <v>4.7510051824114136E-2</v>
      </c>
      <c r="G1760" s="1288">
        <v>4.1166442071192848E-2</v>
      </c>
      <c r="H1760" s="1306">
        <v>0.51672847192229854</v>
      </c>
      <c r="I1760" s="1303">
        <v>6.0225828411638517E-2</v>
      </c>
      <c r="J1760" s="1288">
        <v>8.0786857437633308E-2</v>
      </c>
      <c r="K1760" s="1306">
        <v>0.60001306208379368</v>
      </c>
      <c r="L1760" s="1330">
        <v>0.15436337032655573</v>
      </c>
    </row>
    <row r="1761" spans="1:12" s="326" customFormat="1" ht="15.5" x14ac:dyDescent="0.35">
      <c r="A1761" s="328" t="s">
        <v>2725</v>
      </c>
      <c r="B1761" s="1287">
        <v>6.4543330592285786E-2</v>
      </c>
      <c r="C1761" s="1288">
        <v>7.4753587794944426E-2</v>
      </c>
      <c r="D1761" s="1288">
        <v>8.4374128745729124E-2</v>
      </c>
      <c r="E1761" s="1306">
        <v>1.8998878604840246</v>
      </c>
      <c r="F1761" s="1303">
        <v>4.7114895037802154E-2</v>
      </c>
      <c r="G1761" s="1288">
        <v>4.0952030308323326E-2</v>
      </c>
      <c r="H1761" s="1306">
        <v>0.52159689896539607</v>
      </c>
      <c r="I1761" s="1303">
        <v>6.0217578126680077E-2</v>
      </c>
      <c r="J1761" s="1288">
        <v>8.0750957736120163E-2</v>
      </c>
      <c r="K1761" s="1306">
        <v>0.60008003898488815</v>
      </c>
      <c r="L1761" s="1330">
        <v>0.15378890068215331</v>
      </c>
    </row>
    <row r="1762" spans="1:12" s="326" customFormat="1" ht="15.5" x14ac:dyDescent="0.35">
      <c r="A1762" s="328" t="s">
        <v>2726</v>
      </c>
      <c r="B1762" s="1287">
        <v>6.4638498242281628E-2</v>
      </c>
      <c r="C1762" s="1288">
        <v>9.1562962203087447E-2</v>
      </c>
      <c r="D1762" s="1288">
        <v>8.3844665776570973E-2</v>
      </c>
      <c r="E1762" s="1306">
        <v>1.9585972683089095</v>
      </c>
      <c r="F1762" s="1303">
        <v>4.705494201837232E-2</v>
      </c>
      <c r="G1762" s="1288">
        <v>4.0918381145126789E-2</v>
      </c>
      <c r="H1762" s="1306">
        <v>0.52110623770469777</v>
      </c>
      <c r="I1762" s="1303">
        <v>6.020906491502994E-2</v>
      </c>
      <c r="J1762" s="1288">
        <v>8.0713468981661013E-2</v>
      </c>
      <c r="K1762" s="1306">
        <v>0.60017888903709404</v>
      </c>
      <c r="L1762" s="1330">
        <v>0.15378890068215159</v>
      </c>
    </row>
    <row r="1763" spans="1:12" s="326" customFormat="1" ht="15.5" x14ac:dyDescent="0.35">
      <c r="A1763" s="328" t="s">
        <v>2727</v>
      </c>
      <c r="B1763" s="1287">
        <v>6.3966861657527185E-2</v>
      </c>
      <c r="C1763" s="1288">
        <v>8.2554814361712553E-2</v>
      </c>
      <c r="D1763" s="1288">
        <v>7.4458859469190564E-2</v>
      </c>
      <c r="E1763" s="1306">
        <v>1.992278511822914</v>
      </c>
      <c r="F1763" s="1303">
        <v>4.7008123549597193E-2</v>
      </c>
      <c r="G1763" s="1288">
        <v>4.0880497531081327E-2</v>
      </c>
      <c r="H1763" s="1306">
        <v>0.52054913176555906</v>
      </c>
      <c r="I1763" s="1303">
        <v>6.0200002227538747E-2</v>
      </c>
      <c r="J1763" s="1288">
        <v>8.0674775108696833E-2</v>
      </c>
      <c r="K1763" s="1306">
        <v>0.60027246124994815</v>
      </c>
      <c r="L1763" s="1330">
        <v>0.1537889006821527</v>
      </c>
    </row>
    <row r="1764" spans="1:12" s="326" customFormat="1" ht="15.5" x14ac:dyDescent="0.35">
      <c r="A1764" s="328" t="s">
        <v>2728</v>
      </c>
      <c r="B1764" s="1287">
        <v>6.4265435684909805E-2</v>
      </c>
      <c r="C1764" s="1288">
        <v>6.8317569187296728E-2</v>
      </c>
      <c r="D1764" s="1288">
        <v>8.5226293500462472E-2</v>
      </c>
      <c r="E1764" s="1306">
        <v>1.9380667153599387</v>
      </c>
      <c r="F1764" s="1303">
        <v>4.6937768051093738E-2</v>
      </c>
      <c r="G1764" s="1288">
        <v>4.0832369984987141E-2</v>
      </c>
      <c r="H1764" s="1306">
        <v>0.51960207065052466</v>
      </c>
      <c r="I1764" s="1303">
        <v>6.0190032249450701E-2</v>
      </c>
      <c r="J1764" s="1288">
        <v>8.063593677267443E-2</v>
      </c>
      <c r="K1764" s="1306">
        <v>0.60040146676041006</v>
      </c>
      <c r="L1764" s="1330">
        <v>0.15378890068215292</v>
      </c>
    </row>
    <row r="1765" spans="1:12" s="326" customFormat="1" ht="15.5" x14ac:dyDescent="0.35">
      <c r="A1765" s="328" t="s">
        <v>2729</v>
      </c>
      <c r="B1765" s="1287">
        <v>6.4872577391815692E-2</v>
      </c>
      <c r="C1765" s="1288">
        <v>8.9679016560770958E-2</v>
      </c>
      <c r="D1765" s="1288">
        <v>7.0924192586304641E-2</v>
      </c>
      <c r="E1765" s="1306">
        <v>1.9272819444935527</v>
      </c>
      <c r="F1765" s="1303">
        <v>4.6922019630659513E-2</v>
      </c>
      <c r="G1765" s="1288">
        <v>4.0812682446735749E-2</v>
      </c>
      <c r="H1765" s="1306">
        <v>0.51951370685057319</v>
      </c>
      <c r="I1765" s="1303">
        <v>6.0179047937586147E-2</v>
      </c>
      <c r="J1765" s="1288">
        <v>8.0598826488441633E-2</v>
      </c>
      <c r="K1765" s="1306">
        <v>0.60055713376906605</v>
      </c>
      <c r="L1765" s="1330">
        <v>0.15378890068215312</v>
      </c>
    </row>
    <row r="1766" spans="1:12" s="326" customFormat="1" ht="15.5" x14ac:dyDescent="0.35">
      <c r="A1766" s="328" t="s">
        <v>2730</v>
      </c>
      <c r="B1766" s="1287">
        <v>6.4855016882013977E-2</v>
      </c>
      <c r="C1766" s="1288">
        <v>7.8774064903664773E-2</v>
      </c>
      <c r="D1766" s="1288">
        <v>7.5031470801508335E-2</v>
      </c>
      <c r="E1766" s="1306">
        <v>1.952639455263369</v>
      </c>
      <c r="F1766" s="1303">
        <v>4.6919891615447434E-2</v>
      </c>
      <c r="G1766" s="1288">
        <v>4.0792611483687978E-2</v>
      </c>
      <c r="H1766" s="1306">
        <v>0.51937726564970077</v>
      </c>
      <c r="I1766" s="1303">
        <v>6.0166406144020038E-2</v>
      </c>
      <c r="J1766" s="1288">
        <v>8.0563018334747341E-2</v>
      </c>
      <c r="K1766" s="1306">
        <v>0.60072254298841987</v>
      </c>
      <c r="L1766" s="1330">
        <v>0.15378890068214951</v>
      </c>
    </row>
    <row r="1767" spans="1:12" s="326" customFormat="1" ht="15.5" x14ac:dyDescent="0.35">
      <c r="A1767" s="328" t="s">
        <v>2731</v>
      </c>
      <c r="B1767" s="1287">
        <v>6.4694608205631943E-2</v>
      </c>
      <c r="C1767" s="1288">
        <v>8.5460683208337218E-2</v>
      </c>
      <c r="D1767" s="1288">
        <v>7.7762528328468611E-2</v>
      </c>
      <c r="E1767" s="1306">
        <v>1.9470736899080712</v>
      </c>
      <c r="F1767" s="1303">
        <v>4.6879125932300758E-2</v>
      </c>
      <c r="G1767" s="1288">
        <v>4.0763520028630637E-2</v>
      </c>
      <c r="H1767" s="1306">
        <v>0.51870066532109294</v>
      </c>
      <c r="I1767" s="1303">
        <v>6.0151041897982607E-2</v>
      </c>
      <c r="J1767" s="1288">
        <v>8.0523405293105574E-2</v>
      </c>
      <c r="K1767" s="1306">
        <v>0.60088923922324633</v>
      </c>
      <c r="L1767" s="1330">
        <v>0.15378890068215326</v>
      </c>
    </row>
    <row r="1768" spans="1:12" s="326" customFormat="1" ht="15.5" x14ac:dyDescent="0.35">
      <c r="A1768" s="328" t="s">
        <v>2732</v>
      </c>
      <c r="B1768" s="1287">
        <v>6.5574321470483005E-2</v>
      </c>
      <c r="C1768" s="1288">
        <v>8.2014138230390943E-2</v>
      </c>
      <c r="D1768" s="1288">
        <v>8.9308217559022629E-2</v>
      </c>
      <c r="E1768" s="1306">
        <v>1.9502561331844093</v>
      </c>
      <c r="F1768" s="1303">
        <v>4.6852898533705521E-2</v>
      </c>
      <c r="G1768" s="1288">
        <v>4.0717886867378136E-2</v>
      </c>
      <c r="H1768" s="1306">
        <v>0.51777548696503117</v>
      </c>
      <c r="I1768" s="1303">
        <v>6.0131042431727039E-2</v>
      </c>
      <c r="J1768" s="1288">
        <v>8.0465141300096757E-2</v>
      </c>
      <c r="K1768" s="1306">
        <v>0.601006551149738</v>
      </c>
      <c r="L1768" s="1330">
        <v>0.1537889006821504</v>
      </c>
    </row>
    <row r="1769" spans="1:12" s="326" customFormat="1" ht="15.5" x14ac:dyDescent="0.35">
      <c r="A1769" s="328" t="s">
        <v>2733</v>
      </c>
      <c r="B1769" s="1287">
        <v>6.4745552412161109E-2</v>
      </c>
      <c r="C1769" s="1288">
        <v>8.1626269168340884E-2</v>
      </c>
      <c r="D1769" s="1288">
        <v>7.8955171309489092E-2</v>
      </c>
      <c r="E1769" s="1306">
        <v>1.9289103696684387</v>
      </c>
      <c r="F1769" s="1303">
        <v>4.6352044934891215E-2</v>
      </c>
      <c r="G1769" s="1288">
        <v>4.0454558303643834E-2</v>
      </c>
      <c r="H1769" s="1306">
        <v>0.50849176903934357</v>
      </c>
      <c r="I1769" s="1303">
        <v>6.0100604649650079E-2</v>
      </c>
      <c r="J1769" s="1288">
        <v>8.0351424264493224E-2</v>
      </c>
      <c r="K1769" s="1306">
        <v>0.60075683113277589</v>
      </c>
      <c r="L1769" s="1330">
        <v>0.15378955638156572</v>
      </c>
    </row>
    <row r="1770" spans="1:12" s="326" customFormat="1" ht="15.5" x14ac:dyDescent="0.35">
      <c r="A1770" s="328" t="s">
        <v>2734</v>
      </c>
      <c r="B1770" s="1291">
        <v>6.4745552412161109E-2</v>
      </c>
      <c r="C1770" s="1257">
        <v>8.1626269168340884E-2</v>
      </c>
      <c r="D1770" s="1257">
        <v>7.8955171309489092E-2</v>
      </c>
      <c r="E1770" s="1280">
        <v>1.9289103696684387</v>
      </c>
      <c r="F1770" s="1271">
        <v>4.6352044934891215E-2</v>
      </c>
      <c r="G1770" s="1257">
        <v>4.0454558303643834E-2</v>
      </c>
      <c r="H1770" s="1280">
        <v>0.50849176903934357</v>
      </c>
      <c r="I1770" s="1271">
        <v>6.0100604649650079E-2</v>
      </c>
      <c r="J1770" s="1257">
        <v>8.0351424264493224E-2</v>
      </c>
      <c r="K1770" s="1280">
        <v>0.60075683113277589</v>
      </c>
      <c r="L1770" s="1330">
        <v>0.16102411992381582</v>
      </c>
    </row>
    <row r="1771" spans="1:12" s="326" customFormat="1" ht="15.5" x14ac:dyDescent="0.35">
      <c r="A1771" s="328" t="s">
        <v>2735</v>
      </c>
      <c r="B1771" s="1291">
        <v>6.4764370128812018E-2</v>
      </c>
      <c r="C1771" s="1257">
        <v>9.5947307118759928E-2</v>
      </c>
      <c r="D1771" s="1257">
        <v>7.1960411254235579E-2</v>
      </c>
      <c r="E1771" s="1280">
        <v>0.48382582506785282</v>
      </c>
      <c r="F1771" s="1271">
        <v>5.7764692407748064E-2</v>
      </c>
      <c r="G1771" s="1257">
        <v>7.6181990485096274E-2</v>
      </c>
      <c r="H1771" s="1280">
        <v>0.72092810113469774</v>
      </c>
      <c r="I1771" s="1271">
        <v>6.3699574180407101E-2</v>
      </c>
      <c r="J1771" s="1257">
        <v>0.13107941638964413</v>
      </c>
      <c r="K1771" s="1280">
        <v>1.2404353595108235</v>
      </c>
      <c r="L1771" s="1237">
        <v>0.17426988261295631</v>
      </c>
    </row>
    <row r="1772" spans="1:12" s="326" customFormat="1" ht="15.5" x14ac:dyDescent="0.35">
      <c r="A1772" s="328" t="s">
        <v>2736</v>
      </c>
      <c r="B1772" s="1291">
        <v>6.4764370128812018E-2</v>
      </c>
      <c r="C1772" s="1257">
        <v>9.5947307118759928E-2</v>
      </c>
      <c r="D1772" s="1257">
        <v>7.1960411254235579E-2</v>
      </c>
      <c r="E1772" s="1280">
        <v>0.48382582506785282</v>
      </c>
      <c r="F1772" s="1271">
        <v>5.7764692407748064E-2</v>
      </c>
      <c r="G1772" s="1257">
        <v>7.6181990485096274E-2</v>
      </c>
      <c r="H1772" s="1280">
        <v>0.72092810113469774</v>
      </c>
      <c r="I1772" s="1271">
        <v>6.3699574180407101E-2</v>
      </c>
      <c r="J1772" s="1257">
        <v>0.13107941638964413</v>
      </c>
      <c r="K1772" s="1280">
        <v>1.2404353595108235</v>
      </c>
      <c r="L1772" s="1237">
        <v>0.17426988261295631</v>
      </c>
    </row>
    <row r="1773" spans="1:12" s="326" customFormat="1" ht="15.5" x14ac:dyDescent="0.35">
      <c r="A1773" s="328" t="s">
        <v>2737</v>
      </c>
      <c r="B1773" s="1291">
        <v>6.4764370128812018E-2</v>
      </c>
      <c r="C1773" s="1257">
        <v>9.5947307118759928E-2</v>
      </c>
      <c r="D1773" s="1257">
        <v>7.1960411254235579E-2</v>
      </c>
      <c r="E1773" s="1280">
        <v>0.48382582506785282</v>
      </c>
      <c r="F1773" s="1271">
        <v>5.7764692407748064E-2</v>
      </c>
      <c r="G1773" s="1257">
        <v>7.6181990485096274E-2</v>
      </c>
      <c r="H1773" s="1280">
        <v>0.72092810113469774</v>
      </c>
      <c r="I1773" s="1271">
        <v>6.3699574180407101E-2</v>
      </c>
      <c r="J1773" s="1257">
        <v>0.13107941638964413</v>
      </c>
      <c r="K1773" s="1280">
        <v>1.2404353595108235</v>
      </c>
      <c r="L1773" s="1237">
        <v>0.17426988261295631</v>
      </c>
    </row>
    <row r="1774" spans="1:12" s="326" customFormat="1" ht="15.5" x14ac:dyDescent="0.35">
      <c r="A1774" s="328" t="s">
        <v>2738</v>
      </c>
      <c r="B1774" s="1291">
        <v>6.4764370128812018E-2</v>
      </c>
      <c r="C1774" s="1257">
        <v>9.5947307118759928E-2</v>
      </c>
      <c r="D1774" s="1257">
        <v>7.1960411254235579E-2</v>
      </c>
      <c r="E1774" s="1280">
        <v>0.48382582506785282</v>
      </c>
      <c r="F1774" s="1271">
        <v>5.7764692407748064E-2</v>
      </c>
      <c r="G1774" s="1257">
        <v>7.6181990485096274E-2</v>
      </c>
      <c r="H1774" s="1280">
        <v>0.72092810113469774</v>
      </c>
      <c r="I1774" s="1271">
        <v>6.3699574180407101E-2</v>
      </c>
      <c r="J1774" s="1257">
        <v>0.13107941638964413</v>
      </c>
      <c r="K1774" s="1280">
        <v>1.2404353595108235</v>
      </c>
      <c r="L1774" s="1237">
        <v>0.17426988261295631</v>
      </c>
    </row>
    <row r="1775" spans="1:12" s="326" customFormat="1" ht="15.5" x14ac:dyDescent="0.35">
      <c r="A1775" s="328" t="s">
        <v>2739</v>
      </c>
      <c r="B1775" s="1291">
        <v>6.4764370128812018E-2</v>
      </c>
      <c r="C1775" s="1257">
        <v>9.5947307118759928E-2</v>
      </c>
      <c r="D1775" s="1257">
        <v>7.1960411254235579E-2</v>
      </c>
      <c r="E1775" s="1280">
        <v>0.48382582506785282</v>
      </c>
      <c r="F1775" s="1271">
        <v>5.7764692407748064E-2</v>
      </c>
      <c r="G1775" s="1257">
        <v>7.6181990485096274E-2</v>
      </c>
      <c r="H1775" s="1280">
        <v>0.72092810113469774</v>
      </c>
      <c r="I1775" s="1271">
        <v>6.3699574180407101E-2</v>
      </c>
      <c r="J1775" s="1257">
        <v>0.13107941638964413</v>
      </c>
      <c r="K1775" s="1280">
        <v>1.2404353595108235</v>
      </c>
      <c r="L1775" s="1237">
        <v>0.17426988261295631</v>
      </c>
    </row>
    <row r="1776" spans="1:12" s="326" customFormat="1" ht="15.5" x14ac:dyDescent="0.35">
      <c r="A1776" s="328" t="s">
        <v>2740</v>
      </c>
      <c r="B1776" s="1291">
        <v>6.4764370128812018E-2</v>
      </c>
      <c r="C1776" s="1257">
        <v>9.5947307118759928E-2</v>
      </c>
      <c r="D1776" s="1257">
        <v>7.1960411254235579E-2</v>
      </c>
      <c r="E1776" s="1280">
        <v>0.48382582506785282</v>
      </c>
      <c r="F1776" s="1271">
        <v>5.7764692407748064E-2</v>
      </c>
      <c r="G1776" s="1257">
        <v>7.6181990485096274E-2</v>
      </c>
      <c r="H1776" s="1280">
        <v>0.72092810113469774</v>
      </c>
      <c r="I1776" s="1271">
        <v>6.3699574180407101E-2</v>
      </c>
      <c r="J1776" s="1257">
        <v>0.13107941638964413</v>
      </c>
      <c r="K1776" s="1280">
        <v>1.2404353595108235</v>
      </c>
      <c r="L1776" s="1237">
        <v>0.17426988261295631</v>
      </c>
    </row>
    <row r="1777" spans="1:12" s="326" customFormat="1" ht="15.5" x14ac:dyDescent="0.35">
      <c r="A1777" s="328" t="s">
        <v>2741</v>
      </c>
      <c r="B1777" s="1291">
        <v>6.4764370128812018E-2</v>
      </c>
      <c r="C1777" s="1257">
        <v>9.5947307118759928E-2</v>
      </c>
      <c r="D1777" s="1257">
        <v>7.1960411254235579E-2</v>
      </c>
      <c r="E1777" s="1280">
        <v>0.48382582506785282</v>
      </c>
      <c r="F1777" s="1271">
        <v>5.7764692407748064E-2</v>
      </c>
      <c r="G1777" s="1257">
        <v>7.6181990485096274E-2</v>
      </c>
      <c r="H1777" s="1280">
        <v>0.72092810113469774</v>
      </c>
      <c r="I1777" s="1271">
        <v>6.3699574180407101E-2</v>
      </c>
      <c r="J1777" s="1257">
        <v>0.13107941638964413</v>
      </c>
      <c r="K1777" s="1280">
        <v>1.2404353595108235</v>
      </c>
      <c r="L1777" s="1237">
        <v>0.17426988261295631</v>
      </c>
    </row>
    <row r="1778" spans="1:12" s="326" customFormat="1" ht="15.5" x14ac:dyDescent="0.35">
      <c r="A1778" s="328" t="s">
        <v>2742</v>
      </c>
      <c r="B1778" s="1291">
        <v>6.4764370128812018E-2</v>
      </c>
      <c r="C1778" s="1257">
        <v>9.5947307118759928E-2</v>
      </c>
      <c r="D1778" s="1257">
        <v>7.1960411254235579E-2</v>
      </c>
      <c r="E1778" s="1280">
        <v>0.48382582506785282</v>
      </c>
      <c r="F1778" s="1271">
        <v>5.7764692407748064E-2</v>
      </c>
      <c r="G1778" s="1257">
        <v>7.6181990485096274E-2</v>
      </c>
      <c r="H1778" s="1280">
        <v>0.72092810113469774</v>
      </c>
      <c r="I1778" s="1271">
        <v>6.3699574180407101E-2</v>
      </c>
      <c r="J1778" s="1257">
        <v>0.13107941638964413</v>
      </c>
      <c r="K1778" s="1280">
        <v>1.2404353595108235</v>
      </c>
      <c r="L1778" s="1237">
        <v>0.17426988261295631</v>
      </c>
    </row>
    <row r="1779" spans="1:12" s="326" customFormat="1" ht="15.5" x14ac:dyDescent="0.35">
      <c r="A1779" s="328" t="s">
        <v>2743</v>
      </c>
      <c r="B1779" s="1291">
        <v>6.4764370128812018E-2</v>
      </c>
      <c r="C1779" s="1257">
        <v>9.5947307118759928E-2</v>
      </c>
      <c r="D1779" s="1257">
        <v>7.1960411254235579E-2</v>
      </c>
      <c r="E1779" s="1280">
        <v>0.48382582506785282</v>
      </c>
      <c r="F1779" s="1271">
        <v>5.7764692407748064E-2</v>
      </c>
      <c r="G1779" s="1257">
        <v>7.6181990485096274E-2</v>
      </c>
      <c r="H1779" s="1280">
        <v>0.72092810113469774</v>
      </c>
      <c r="I1779" s="1271">
        <v>6.3699574180407101E-2</v>
      </c>
      <c r="J1779" s="1257">
        <v>0.13107941638964413</v>
      </c>
      <c r="K1779" s="1280">
        <v>1.2404353595108235</v>
      </c>
      <c r="L1779" s="1237">
        <v>0.17426988261295631</v>
      </c>
    </row>
    <row r="1780" spans="1:12" s="326" customFormat="1" ht="15.5" x14ac:dyDescent="0.35">
      <c r="A1780" s="328" t="s">
        <v>2744</v>
      </c>
      <c r="B1780" s="1291">
        <v>6.4764370128812018E-2</v>
      </c>
      <c r="C1780" s="1257">
        <v>9.5947307118759928E-2</v>
      </c>
      <c r="D1780" s="1257">
        <v>7.1960411254235579E-2</v>
      </c>
      <c r="E1780" s="1280">
        <v>0.48382582506785282</v>
      </c>
      <c r="F1780" s="1271">
        <v>5.7764692407748064E-2</v>
      </c>
      <c r="G1780" s="1257">
        <v>7.6181990485096274E-2</v>
      </c>
      <c r="H1780" s="1280">
        <v>0.72092810113469774</v>
      </c>
      <c r="I1780" s="1271">
        <v>6.3699574180407101E-2</v>
      </c>
      <c r="J1780" s="1257">
        <v>0.13107941638964413</v>
      </c>
      <c r="K1780" s="1280">
        <v>1.2404353595108235</v>
      </c>
      <c r="L1780" s="1237">
        <v>0.17426988261295631</v>
      </c>
    </row>
    <row r="1781" spans="1:12" s="326" customFormat="1" ht="15.5" x14ac:dyDescent="0.35">
      <c r="A1781" s="328" t="s">
        <v>2745</v>
      </c>
      <c r="B1781" s="1291">
        <v>6.4764370128812018E-2</v>
      </c>
      <c r="C1781" s="1257">
        <v>9.5947307118759928E-2</v>
      </c>
      <c r="D1781" s="1257">
        <v>7.1960411254235579E-2</v>
      </c>
      <c r="E1781" s="1280">
        <v>0.48382582506785282</v>
      </c>
      <c r="F1781" s="1271">
        <v>5.7764692407748064E-2</v>
      </c>
      <c r="G1781" s="1257">
        <v>7.6181990485096274E-2</v>
      </c>
      <c r="H1781" s="1280">
        <v>0.72092810113469774</v>
      </c>
      <c r="I1781" s="1271">
        <v>6.3699574180407101E-2</v>
      </c>
      <c r="J1781" s="1257">
        <v>0.13107941638964413</v>
      </c>
      <c r="K1781" s="1280">
        <v>1.2404353595108235</v>
      </c>
      <c r="L1781" s="1237">
        <v>0.17426988261295631</v>
      </c>
    </row>
    <row r="1782" spans="1:12" s="326" customFormat="1" ht="15.5" x14ac:dyDescent="0.35">
      <c r="A1782" s="328" t="s">
        <v>2746</v>
      </c>
      <c r="B1782" s="1291">
        <v>6.4764370128812018E-2</v>
      </c>
      <c r="C1782" s="1257">
        <v>9.5947307118759928E-2</v>
      </c>
      <c r="D1782" s="1257">
        <v>7.1960411254235579E-2</v>
      </c>
      <c r="E1782" s="1280">
        <v>0.48382582506785282</v>
      </c>
      <c r="F1782" s="1271">
        <v>5.7764692407748064E-2</v>
      </c>
      <c r="G1782" s="1257">
        <v>7.6181990485096274E-2</v>
      </c>
      <c r="H1782" s="1280">
        <v>0.72092810113469774</v>
      </c>
      <c r="I1782" s="1271">
        <v>6.3699574180407101E-2</v>
      </c>
      <c r="J1782" s="1257">
        <v>0.13107941638964413</v>
      </c>
      <c r="K1782" s="1280">
        <v>1.2404353595108235</v>
      </c>
      <c r="L1782" s="1237">
        <v>0.17426988261295631</v>
      </c>
    </row>
    <row r="1783" spans="1:12" s="326" customFormat="1" ht="15.5" x14ac:dyDescent="0.35">
      <c r="A1783" s="328" t="s">
        <v>2747</v>
      </c>
      <c r="B1783" s="1291">
        <v>6.4764370128812018E-2</v>
      </c>
      <c r="C1783" s="1257">
        <v>9.5947307118759928E-2</v>
      </c>
      <c r="D1783" s="1257">
        <v>7.1960411254235579E-2</v>
      </c>
      <c r="E1783" s="1280">
        <v>0.48382582506785282</v>
      </c>
      <c r="F1783" s="1271">
        <v>5.7764692407748064E-2</v>
      </c>
      <c r="G1783" s="1257">
        <v>7.6181990485096274E-2</v>
      </c>
      <c r="H1783" s="1280">
        <v>0.72092810113469774</v>
      </c>
      <c r="I1783" s="1271">
        <v>6.3699574180407101E-2</v>
      </c>
      <c r="J1783" s="1257">
        <v>0.13107941638964413</v>
      </c>
      <c r="K1783" s="1280">
        <v>1.2404353595108235</v>
      </c>
      <c r="L1783" s="1237">
        <v>0.17426988261295631</v>
      </c>
    </row>
    <row r="1784" spans="1:12" s="326" customFormat="1" ht="15.5" x14ac:dyDescent="0.35">
      <c r="A1784" s="328" t="s">
        <v>2748</v>
      </c>
      <c r="B1784" s="1291">
        <v>6.4764370128812018E-2</v>
      </c>
      <c r="C1784" s="1257">
        <v>9.5947307118759928E-2</v>
      </c>
      <c r="D1784" s="1257">
        <v>7.1960411254235579E-2</v>
      </c>
      <c r="E1784" s="1280">
        <v>0.48382582506785282</v>
      </c>
      <c r="F1784" s="1271">
        <v>5.7764692407748064E-2</v>
      </c>
      <c r="G1784" s="1257">
        <v>7.6181990485096274E-2</v>
      </c>
      <c r="H1784" s="1280">
        <v>0.72092810113469774</v>
      </c>
      <c r="I1784" s="1271">
        <v>6.3699574180407101E-2</v>
      </c>
      <c r="J1784" s="1257">
        <v>0.13107941638964413</v>
      </c>
      <c r="K1784" s="1280">
        <v>1.2404353595108235</v>
      </c>
      <c r="L1784" s="1237">
        <v>0.17426988261295631</v>
      </c>
    </row>
    <row r="1785" spans="1:12" s="326" customFormat="1" ht="15.5" x14ac:dyDescent="0.35">
      <c r="A1785" s="328" t="s">
        <v>2749</v>
      </c>
      <c r="B1785" s="1291">
        <v>6.4764370128812018E-2</v>
      </c>
      <c r="C1785" s="1257">
        <v>9.5947307118759928E-2</v>
      </c>
      <c r="D1785" s="1257">
        <v>7.1960411254235579E-2</v>
      </c>
      <c r="E1785" s="1280">
        <v>0.48382582506785282</v>
      </c>
      <c r="F1785" s="1271">
        <v>5.7764692407748064E-2</v>
      </c>
      <c r="G1785" s="1257">
        <v>7.6181990485096274E-2</v>
      </c>
      <c r="H1785" s="1280">
        <v>0.72092810113469774</v>
      </c>
      <c r="I1785" s="1271">
        <v>6.3699574180407101E-2</v>
      </c>
      <c r="J1785" s="1257">
        <v>0.13107941638964413</v>
      </c>
      <c r="K1785" s="1280">
        <v>1.2404353595108235</v>
      </c>
      <c r="L1785" s="1237">
        <v>0.17426988261295631</v>
      </c>
    </row>
    <row r="1786" spans="1:12" s="326" customFormat="1" ht="15.5" x14ac:dyDescent="0.35">
      <c r="A1786" s="328" t="s">
        <v>2750</v>
      </c>
      <c r="B1786" s="1291">
        <v>6.4764370128812018E-2</v>
      </c>
      <c r="C1786" s="1257">
        <v>9.5947307118759928E-2</v>
      </c>
      <c r="D1786" s="1257">
        <v>7.1960411254235579E-2</v>
      </c>
      <c r="E1786" s="1280">
        <v>0.48382582506785282</v>
      </c>
      <c r="F1786" s="1271">
        <v>5.7764692407748064E-2</v>
      </c>
      <c r="G1786" s="1257">
        <v>7.6181990485096274E-2</v>
      </c>
      <c r="H1786" s="1280">
        <v>0.72092810113469774</v>
      </c>
      <c r="I1786" s="1271">
        <v>6.3699574180407101E-2</v>
      </c>
      <c r="J1786" s="1257">
        <v>0.13107941638964413</v>
      </c>
      <c r="K1786" s="1280">
        <v>1.2404353595108235</v>
      </c>
      <c r="L1786" s="1237">
        <v>0.17426988261295631</v>
      </c>
    </row>
    <row r="1787" spans="1:12" s="326" customFormat="1" ht="15.5" x14ac:dyDescent="0.35">
      <c r="A1787" s="328" t="s">
        <v>2751</v>
      </c>
      <c r="B1787" s="1291">
        <v>6.4764370128812018E-2</v>
      </c>
      <c r="C1787" s="1257">
        <v>9.5947307118759928E-2</v>
      </c>
      <c r="D1787" s="1257">
        <v>7.1960411254235579E-2</v>
      </c>
      <c r="E1787" s="1280">
        <v>0.48382582506785282</v>
      </c>
      <c r="F1787" s="1271">
        <v>5.7764692407748064E-2</v>
      </c>
      <c r="G1787" s="1257">
        <v>7.6181990485096274E-2</v>
      </c>
      <c r="H1787" s="1280">
        <v>0.72092810113469774</v>
      </c>
      <c r="I1787" s="1271">
        <v>6.3699574180407101E-2</v>
      </c>
      <c r="J1787" s="1257">
        <v>0.13107941638964413</v>
      </c>
      <c r="K1787" s="1280">
        <v>1.2404353595108235</v>
      </c>
      <c r="L1787" s="1237">
        <v>0.17426988261295631</v>
      </c>
    </row>
    <row r="1788" spans="1:12" s="326" customFormat="1" ht="15.5" x14ac:dyDescent="0.35">
      <c r="A1788" s="328" t="s">
        <v>2752</v>
      </c>
      <c r="B1788" s="1291">
        <v>6.4764370128812018E-2</v>
      </c>
      <c r="C1788" s="1257">
        <v>9.5947307118759928E-2</v>
      </c>
      <c r="D1788" s="1257">
        <v>7.1960411254235579E-2</v>
      </c>
      <c r="E1788" s="1280">
        <v>0.48382582506785282</v>
      </c>
      <c r="F1788" s="1271">
        <v>5.7764692407748064E-2</v>
      </c>
      <c r="G1788" s="1257">
        <v>7.6181990485096274E-2</v>
      </c>
      <c r="H1788" s="1280">
        <v>0.72092810113469774</v>
      </c>
      <c r="I1788" s="1271">
        <v>6.3699574180407101E-2</v>
      </c>
      <c r="J1788" s="1257">
        <v>0.13107941638964413</v>
      </c>
      <c r="K1788" s="1280">
        <v>1.2404353595108235</v>
      </c>
      <c r="L1788" s="1237">
        <v>0.17426988261295631</v>
      </c>
    </row>
    <row r="1789" spans="1:12" s="326" customFormat="1" ht="15.5" x14ac:dyDescent="0.35">
      <c r="A1789" s="328" t="s">
        <v>2753</v>
      </c>
      <c r="B1789" s="1291">
        <v>6.4764370128812018E-2</v>
      </c>
      <c r="C1789" s="1257">
        <v>9.5947307118759928E-2</v>
      </c>
      <c r="D1789" s="1257">
        <v>7.1960411254235579E-2</v>
      </c>
      <c r="E1789" s="1280">
        <v>0.48382582506785282</v>
      </c>
      <c r="F1789" s="1271">
        <v>5.7764692407748064E-2</v>
      </c>
      <c r="G1789" s="1257">
        <v>7.6181990485096274E-2</v>
      </c>
      <c r="H1789" s="1280">
        <v>0.72092810113469774</v>
      </c>
      <c r="I1789" s="1271">
        <v>6.3699574180407101E-2</v>
      </c>
      <c r="J1789" s="1257">
        <v>0.13107941638964413</v>
      </c>
      <c r="K1789" s="1280">
        <v>1.2404353595108235</v>
      </c>
      <c r="L1789" s="1237">
        <v>0.17426988261295631</v>
      </c>
    </row>
    <row r="1790" spans="1:12" s="326" customFormat="1" ht="15.5" x14ac:dyDescent="0.35">
      <c r="A1790" s="328" t="s">
        <v>2754</v>
      </c>
      <c r="B1790" s="1291">
        <v>6.4764370128812018E-2</v>
      </c>
      <c r="C1790" s="1257">
        <v>9.5947307118759928E-2</v>
      </c>
      <c r="D1790" s="1257">
        <v>7.1960411254235579E-2</v>
      </c>
      <c r="E1790" s="1280">
        <v>0.48382582506785282</v>
      </c>
      <c r="F1790" s="1271">
        <v>5.7764692407748064E-2</v>
      </c>
      <c r="G1790" s="1257">
        <v>7.6181990485096274E-2</v>
      </c>
      <c r="H1790" s="1280">
        <v>0.72092810113469774</v>
      </c>
      <c r="I1790" s="1271">
        <v>6.3699574180407101E-2</v>
      </c>
      <c r="J1790" s="1257">
        <v>0.13107941638964413</v>
      </c>
      <c r="K1790" s="1280">
        <v>1.2404353595108235</v>
      </c>
      <c r="L1790" s="1237">
        <v>0.17426988261295631</v>
      </c>
    </row>
    <row r="1791" spans="1:12" s="326" customFormat="1" ht="15.5" x14ac:dyDescent="0.35">
      <c r="A1791" s="328" t="s">
        <v>2755</v>
      </c>
      <c r="B1791" s="1291">
        <v>6.4764370128812018E-2</v>
      </c>
      <c r="C1791" s="1257">
        <v>9.5947307118759928E-2</v>
      </c>
      <c r="D1791" s="1257">
        <v>7.1960411254235579E-2</v>
      </c>
      <c r="E1791" s="1280">
        <v>0.48382582506785282</v>
      </c>
      <c r="F1791" s="1271">
        <v>5.7764692407748064E-2</v>
      </c>
      <c r="G1791" s="1257">
        <v>7.6181990485096274E-2</v>
      </c>
      <c r="H1791" s="1280">
        <v>0.72092810113469774</v>
      </c>
      <c r="I1791" s="1271">
        <v>6.3699574180407101E-2</v>
      </c>
      <c r="J1791" s="1257">
        <v>0.13107941638964413</v>
      </c>
      <c r="K1791" s="1280">
        <v>1.2404353595108235</v>
      </c>
      <c r="L1791" s="1237">
        <v>0.17426988261295631</v>
      </c>
    </row>
    <row r="1792" spans="1:12" s="326" customFormat="1" ht="15.5" x14ac:dyDescent="0.35">
      <c r="A1792" s="328" t="s">
        <v>2756</v>
      </c>
      <c r="B1792" s="1291">
        <v>6.4764370128812018E-2</v>
      </c>
      <c r="C1792" s="1257">
        <v>9.5947307118759928E-2</v>
      </c>
      <c r="D1792" s="1257">
        <v>7.1960411254235579E-2</v>
      </c>
      <c r="E1792" s="1280">
        <v>0.48382582506785282</v>
      </c>
      <c r="F1792" s="1271">
        <v>5.7764692407748064E-2</v>
      </c>
      <c r="G1792" s="1257">
        <v>7.6181990485096274E-2</v>
      </c>
      <c r="H1792" s="1280">
        <v>0.72092810113469774</v>
      </c>
      <c r="I1792" s="1271">
        <v>6.3699574180407101E-2</v>
      </c>
      <c r="J1792" s="1257">
        <v>0.13107941638964413</v>
      </c>
      <c r="K1792" s="1280">
        <v>1.2404353595108235</v>
      </c>
      <c r="L1792" s="1237">
        <v>0.17426988261295631</v>
      </c>
    </row>
    <row r="1793" spans="1:12" s="326" customFormat="1" ht="15.5" x14ac:dyDescent="0.35">
      <c r="A1793" s="328" t="s">
        <v>2757</v>
      </c>
      <c r="B1793" s="1291">
        <v>6.4764370128812018E-2</v>
      </c>
      <c r="C1793" s="1257">
        <v>9.5947307118759928E-2</v>
      </c>
      <c r="D1793" s="1257">
        <v>7.1960411254235579E-2</v>
      </c>
      <c r="E1793" s="1280">
        <v>0.48382582506785282</v>
      </c>
      <c r="F1793" s="1271">
        <v>5.7764692407748064E-2</v>
      </c>
      <c r="G1793" s="1257">
        <v>7.6181990485096274E-2</v>
      </c>
      <c r="H1793" s="1280">
        <v>0.72092810113469774</v>
      </c>
      <c r="I1793" s="1271">
        <v>6.3699574180407101E-2</v>
      </c>
      <c r="J1793" s="1257">
        <v>0.13107941638964413</v>
      </c>
      <c r="K1793" s="1280">
        <v>1.2404353595108235</v>
      </c>
      <c r="L1793" s="1237">
        <v>0.17426988261295631</v>
      </c>
    </row>
    <row r="1794" spans="1:12" s="326" customFormat="1" ht="15.5" x14ac:dyDescent="0.35">
      <c r="A1794" s="328" t="s">
        <v>2758</v>
      </c>
      <c r="B1794" s="1291">
        <v>6.4764370128812018E-2</v>
      </c>
      <c r="C1794" s="1257">
        <v>9.5947307118759928E-2</v>
      </c>
      <c r="D1794" s="1257">
        <v>7.1960411254235579E-2</v>
      </c>
      <c r="E1794" s="1280">
        <v>0.48382582506785282</v>
      </c>
      <c r="F1794" s="1271">
        <v>5.7764692407748064E-2</v>
      </c>
      <c r="G1794" s="1257">
        <v>7.6181990485096274E-2</v>
      </c>
      <c r="H1794" s="1280">
        <v>0.72092810113469774</v>
      </c>
      <c r="I1794" s="1271">
        <v>6.3699574180407101E-2</v>
      </c>
      <c r="J1794" s="1257">
        <v>0.13107941638964413</v>
      </c>
      <c r="K1794" s="1280">
        <v>1.2404353595108235</v>
      </c>
      <c r="L1794" s="1237">
        <v>0.17426988261295631</v>
      </c>
    </row>
    <row r="1795" spans="1:12" s="326" customFormat="1" ht="15.5" x14ac:dyDescent="0.35">
      <c r="A1795" s="328" t="s">
        <v>2759</v>
      </c>
      <c r="B1795" s="1291">
        <v>6.4764370128812018E-2</v>
      </c>
      <c r="C1795" s="1257">
        <v>9.5947307118759928E-2</v>
      </c>
      <c r="D1795" s="1257">
        <v>7.1960411254235579E-2</v>
      </c>
      <c r="E1795" s="1280">
        <v>0.48382582506785282</v>
      </c>
      <c r="F1795" s="1271">
        <v>5.7764692407748064E-2</v>
      </c>
      <c r="G1795" s="1257">
        <v>7.6181990485096274E-2</v>
      </c>
      <c r="H1795" s="1280">
        <v>0.72092810113469774</v>
      </c>
      <c r="I1795" s="1271">
        <v>6.3699574180407101E-2</v>
      </c>
      <c r="J1795" s="1257">
        <v>0.13107941638964413</v>
      </c>
      <c r="K1795" s="1280">
        <v>1.2404353595108235</v>
      </c>
      <c r="L1795" s="1237">
        <v>0.17426988261295631</v>
      </c>
    </row>
    <row r="1796" spans="1:12" s="326" customFormat="1" ht="15.5" x14ac:dyDescent="0.35">
      <c r="A1796" s="328" t="s">
        <v>2760</v>
      </c>
      <c r="B1796" s="1291">
        <v>6.4764370128812018E-2</v>
      </c>
      <c r="C1796" s="1257">
        <v>9.5947307118759928E-2</v>
      </c>
      <c r="D1796" s="1257">
        <v>7.1960411254235579E-2</v>
      </c>
      <c r="E1796" s="1280">
        <v>0.48382582506785282</v>
      </c>
      <c r="F1796" s="1271">
        <v>5.7764692407748064E-2</v>
      </c>
      <c r="G1796" s="1257">
        <v>7.6181990485096274E-2</v>
      </c>
      <c r="H1796" s="1280">
        <v>0.72092810113469774</v>
      </c>
      <c r="I1796" s="1271">
        <v>6.3699574180407101E-2</v>
      </c>
      <c r="J1796" s="1257">
        <v>0.13107941638964413</v>
      </c>
      <c r="K1796" s="1280">
        <v>1.2404353595108235</v>
      </c>
      <c r="L1796" s="1237">
        <v>0.17426988261295631</v>
      </c>
    </row>
    <row r="1797" spans="1:12" s="326" customFormat="1" ht="15.5" x14ac:dyDescent="0.35">
      <c r="A1797" s="328" t="s">
        <v>2761</v>
      </c>
      <c r="B1797" s="1291">
        <v>6.4764370128812018E-2</v>
      </c>
      <c r="C1797" s="1257">
        <v>9.5947307118759928E-2</v>
      </c>
      <c r="D1797" s="1257">
        <v>7.1960411254235579E-2</v>
      </c>
      <c r="E1797" s="1280">
        <v>0.48382582506785282</v>
      </c>
      <c r="F1797" s="1271">
        <v>5.7764692407748064E-2</v>
      </c>
      <c r="G1797" s="1257">
        <v>7.6181990485096274E-2</v>
      </c>
      <c r="H1797" s="1280">
        <v>0.72092810113469774</v>
      </c>
      <c r="I1797" s="1271">
        <v>6.3699574180407101E-2</v>
      </c>
      <c r="J1797" s="1257">
        <v>0.13107941638964413</v>
      </c>
      <c r="K1797" s="1280">
        <v>1.2404353595108235</v>
      </c>
      <c r="L1797" s="1237">
        <v>0.17426988261295631</v>
      </c>
    </row>
    <row r="1798" spans="1:12" s="326" customFormat="1" ht="15.5" x14ac:dyDescent="0.35">
      <c r="A1798" s="328" t="s">
        <v>2762</v>
      </c>
      <c r="B1798" s="1291">
        <v>6.4764370128812018E-2</v>
      </c>
      <c r="C1798" s="1257">
        <v>9.5947307118759928E-2</v>
      </c>
      <c r="D1798" s="1257">
        <v>7.1960411254235579E-2</v>
      </c>
      <c r="E1798" s="1280">
        <v>0.48382582506785282</v>
      </c>
      <c r="F1798" s="1271">
        <v>5.7764692407748064E-2</v>
      </c>
      <c r="G1798" s="1257">
        <v>7.6181990485096274E-2</v>
      </c>
      <c r="H1798" s="1280">
        <v>0.72092810113469774</v>
      </c>
      <c r="I1798" s="1271">
        <v>6.3699574180407101E-2</v>
      </c>
      <c r="J1798" s="1257">
        <v>0.13107941638964413</v>
      </c>
      <c r="K1798" s="1280">
        <v>1.2404353595108235</v>
      </c>
      <c r="L1798" s="1237">
        <v>0.17426988261295631</v>
      </c>
    </row>
    <row r="1799" spans="1:12" s="326" customFormat="1" ht="15.5" x14ac:dyDescent="0.35">
      <c r="A1799" s="328" t="s">
        <v>2763</v>
      </c>
      <c r="B1799" s="1291">
        <v>6.4764370128812018E-2</v>
      </c>
      <c r="C1799" s="1257">
        <v>9.5947307118759928E-2</v>
      </c>
      <c r="D1799" s="1257">
        <v>7.1960411254235579E-2</v>
      </c>
      <c r="E1799" s="1280">
        <v>0.48382582506785282</v>
      </c>
      <c r="F1799" s="1271">
        <v>5.7764692407748064E-2</v>
      </c>
      <c r="G1799" s="1257">
        <v>7.6181990485096274E-2</v>
      </c>
      <c r="H1799" s="1280">
        <v>0.72092810113469774</v>
      </c>
      <c r="I1799" s="1271">
        <v>6.3699574180407101E-2</v>
      </c>
      <c r="J1799" s="1257">
        <v>0.13107941638964413</v>
      </c>
      <c r="K1799" s="1280">
        <v>1.2404353595108235</v>
      </c>
      <c r="L1799" s="1237">
        <v>0.17426988261295631</v>
      </c>
    </row>
    <row r="1800" spans="1:12" s="326" customFormat="1" ht="15.5" x14ac:dyDescent="0.35">
      <c r="A1800" s="328" t="s">
        <v>2764</v>
      </c>
      <c r="B1800" s="1291">
        <v>6.4764370128812018E-2</v>
      </c>
      <c r="C1800" s="1257">
        <v>9.5947307118759928E-2</v>
      </c>
      <c r="D1800" s="1257">
        <v>7.1960411254235579E-2</v>
      </c>
      <c r="E1800" s="1280">
        <v>0.48382582506785282</v>
      </c>
      <c r="F1800" s="1303">
        <v>5.7764692407748064E-2</v>
      </c>
      <c r="G1800" s="1288">
        <v>7.6181990485096274E-2</v>
      </c>
      <c r="H1800" s="1280">
        <v>0.72092810113469774</v>
      </c>
      <c r="I1800" s="1303">
        <v>6.3699574180407101E-2</v>
      </c>
      <c r="J1800" s="1288">
        <v>0.13107941638964413</v>
      </c>
      <c r="K1800" s="1280">
        <v>1.2404353595108235</v>
      </c>
      <c r="L1800" s="1237">
        <v>0.17426988261295631</v>
      </c>
    </row>
    <row r="1801" spans="1:12" s="326" customFormat="1" ht="15.5" x14ac:dyDescent="0.35">
      <c r="A1801" s="328" t="s">
        <v>2765</v>
      </c>
      <c r="B1801" s="1291">
        <v>6.4764370128812018E-2</v>
      </c>
      <c r="C1801" s="1257">
        <v>9.5947307118759928E-2</v>
      </c>
      <c r="D1801" s="1257">
        <v>7.1960411254235579E-2</v>
      </c>
      <c r="E1801" s="1280">
        <v>0.48382582506785282</v>
      </c>
      <c r="F1801" s="1303">
        <v>5.7898752205167527E-2</v>
      </c>
      <c r="G1801" s="1288">
        <v>7.4797944331779859E-2</v>
      </c>
      <c r="H1801" s="1280">
        <v>0.7078305467279461</v>
      </c>
      <c r="I1801" s="1303">
        <v>6.4072723352729802E-2</v>
      </c>
      <c r="J1801" s="1288">
        <v>0.13118502519565256</v>
      </c>
      <c r="K1801" s="1280">
        <v>1.2414347604912122</v>
      </c>
      <c r="L1801" s="1237">
        <v>0.17426988261295631</v>
      </c>
    </row>
    <row r="1802" spans="1:12" s="326" customFormat="1" ht="15.5" x14ac:dyDescent="0.35">
      <c r="A1802" s="328" t="s">
        <v>2766</v>
      </c>
      <c r="B1802" s="1291">
        <v>6.4764370128812018E-2</v>
      </c>
      <c r="C1802" s="1257">
        <v>9.5947307118759928E-2</v>
      </c>
      <c r="D1802" s="1257">
        <v>7.1960411254235579E-2</v>
      </c>
      <c r="E1802" s="1280">
        <v>0.48382582506785282</v>
      </c>
      <c r="F1802" s="1303">
        <v>5.7685853530031812E-2</v>
      </c>
      <c r="G1802" s="1288">
        <v>7.3493140470765092E-2</v>
      </c>
      <c r="H1802" s="1280">
        <v>0.69548288077849019</v>
      </c>
      <c r="I1802" s="1303">
        <v>6.4012984110457305E-2</v>
      </c>
      <c r="J1802" s="1288">
        <v>0.1310354737841519</v>
      </c>
      <c r="K1802" s="1280">
        <v>1.2400195202956139</v>
      </c>
      <c r="L1802" s="1237">
        <v>0.17426988261295631</v>
      </c>
    </row>
    <row r="1803" spans="1:12" s="326" customFormat="1" ht="15.5" x14ac:dyDescent="0.35">
      <c r="A1803" s="328" t="s">
        <v>2767</v>
      </c>
      <c r="B1803" s="1291">
        <v>6.4764370128812018E-2</v>
      </c>
      <c r="C1803" s="1257">
        <v>9.5947307118759928E-2</v>
      </c>
      <c r="D1803" s="1257">
        <v>7.1960411254235579E-2</v>
      </c>
      <c r="E1803" s="1280">
        <v>0.48382582506785282</v>
      </c>
      <c r="F1803" s="1303">
        <v>5.7492166103584423E-2</v>
      </c>
      <c r="G1803" s="1288">
        <v>7.439534849465472E-2</v>
      </c>
      <c r="H1803" s="1280">
        <v>0.70402068759279868</v>
      </c>
      <c r="I1803" s="1303">
        <v>6.3618528172784419E-2</v>
      </c>
      <c r="J1803" s="1288">
        <v>0.1302969418783117</v>
      </c>
      <c r="K1803" s="1280">
        <v>1.233030619098435</v>
      </c>
      <c r="L1803" s="1237">
        <v>0.17426988261295631</v>
      </c>
    </row>
    <row r="1804" spans="1:12" s="326" customFormat="1" ht="15.5" x14ac:dyDescent="0.35">
      <c r="A1804" s="328" t="s">
        <v>2768</v>
      </c>
      <c r="B1804" s="1291">
        <v>6.4764370128812018E-2</v>
      </c>
      <c r="C1804" s="1257">
        <v>9.5947307118759928E-2</v>
      </c>
      <c r="D1804" s="1257">
        <v>7.1960411254235579E-2</v>
      </c>
      <c r="E1804" s="1280">
        <v>0.48382582506785282</v>
      </c>
      <c r="F1804" s="1303">
        <v>4.9318210189636592E-2</v>
      </c>
      <c r="G1804" s="1288">
        <v>7.3827354486989447E-2</v>
      </c>
      <c r="H1804" s="1280">
        <v>0.69864562665261332</v>
      </c>
      <c r="I1804" s="1303">
        <v>6.9558395438052895E-2</v>
      </c>
      <c r="J1804" s="1288">
        <v>0.12935386620116221</v>
      </c>
      <c r="K1804" s="1280">
        <v>1.2241060720654098</v>
      </c>
      <c r="L1804" s="1237">
        <v>0.17426988261295631</v>
      </c>
    </row>
    <row r="1805" spans="1:12" s="326" customFormat="1" ht="15.5" x14ac:dyDescent="0.35">
      <c r="A1805" s="328" t="s">
        <v>2769</v>
      </c>
      <c r="B1805" s="1291">
        <v>6.4764370128812018E-2</v>
      </c>
      <c r="C1805" s="1257">
        <v>9.5947307118759928E-2</v>
      </c>
      <c r="D1805" s="1257">
        <v>7.1960411254235579E-2</v>
      </c>
      <c r="E1805" s="1280">
        <v>0.48382582506785282</v>
      </c>
      <c r="F1805" s="1303">
        <v>4.9606332280179688E-2</v>
      </c>
      <c r="G1805" s="1288">
        <v>7.1983790476242857E-2</v>
      </c>
      <c r="H1805" s="1280">
        <v>0.68119954663915117</v>
      </c>
      <c r="I1805" s="1303">
        <v>6.9383157716102997E-2</v>
      </c>
      <c r="J1805" s="1288">
        <v>0.12986775284497512</v>
      </c>
      <c r="K1805" s="1280">
        <v>1.228969102290316</v>
      </c>
      <c r="L1805" s="1237">
        <v>0.17426988261295631</v>
      </c>
    </row>
    <row r="1806" spans="1:12" s="326" customFormat="1" ht="15.5" x14ac:dyDescent="0.35">
      <c r="A1806" s="328" t="s">
        <v>2770</v>
      </c>
      <c r="B1806" s="1291">
        <v>6.4764370128812018E-2</v>
      </c>
      <c r="C1806" s="1257">
        <v>9.5947307118759928E-2</v>
      </c>
      <c r="D1806" s="1257">
        <v>7.1960411254235579E-2</v>
      </c>
      <c r="E1806" s="1280">
        <v>0.48382582506785282</v>
      </c>
      <c r="F1806" s="1303">
        <v>4.931215742982599E-2</v>
      </c>
      <c r="G1806" s="1288">
        <v>7.714711495910194E-2</v>
      </c>
      <c r="H1806" s="1280">
        <v>0.73006130112032497</v>
      </c>
      <c r="I1806" s="1303">
        <v>6.9102849677532191E-2</v>
      </c>
      <c r="J1806" s="1288">
        <v>0.13010466995977096</v>
      </c>
      <c r="K1806" s="1280">
        <v>1.2312111046928327</v>
      </c>
      <c r="L1806" s="1237">
        <v>0.17426988261295631</v>
      </c>
    </row>
    <row r="1807" spans="1:12" s="326" customFormat="1" ht="15.5" x14ac:dyDescent="0.35">
      <c r="A1807" s="328" t="s">
        <v>2771</v>
      </c>
      <c r="B1807" s="1291">
        <v>6.4764370128812018E-2</v>
      </c>
      <c r="C1807" s="1257">
        <v>9.5947307118759928E-2</v>
      </c>
      <c r="D1807" s="1257">
        <v>7.1960411254235579E-2</v>
      </c>
      <c r="E1807" s="1280">
        <v>0.48382582506785282</v>
      </c>
      <c r="F1807" s="1303">
        <v>5.8977721878317985E-2</v>
      </c>
      <c r="G1807" s="1288">
        <v>7.1328775427945704E-2</v>
      </c>
      <c r="H1807" s="1280">
        <v>0.67500098511592721</v>
      </c>
      <c r="I1807" s="1303">
        <v>7.4900468567931311E-2</v>
      </c>
      <c r="J1807" s="1288">
        <v>0.13094874073889229</v>
      </c>
      <c r="K1807" s="1280">
        <v>1.2391987450805471</v>
      </c>
      <c r="L1807" s="1237">
        <v>0.17426988261295631</v>
      </c>
    </row>
    <row r="1808" spans="1:12" s="326" customFormat="1" ht="15.5" x14ac:dyDescent="0.35">
      <c r="A1808" s="328" t="s">
        <v>2772</v>
      </c>
      <c r="B1808" s="1291">
        <v>6.4764370128812018E-2</v>
      </c>
      <c r="C1808" s="1257">
        <v>9.5947307118759928E-2</v>
      </c>
      <c r="D1808" s="1257">
        <v>7.1960411254235579E-2</v>
      </c>
      <c r="E1808" s="1280">
        <v>0.48382582506785282</v>
      </c>
      <c r="F1808" s="1303">
        <v>5.913312829315788E-2</v>
      </c>
      <c r="G1808" s="1288">
        <v>6.9789059521076433E-2</v>
      </c>
      <c r="H1808" s="1280">
        <v>0.66043029120312768</v>
      </c>
      <c r="I1808" s="1303">
        <v>7.5663395861608557E-2</v>
      </c>
      <c r="J1808" s="1288">
        <v>0.11617977163336787</v>
      </c>
      <c r="K1808" s="1280">
        <v>1.0994365153834151</v>
      </c>
      <c r="L1808" s="1237">
        <v>0.17426988261295631</v>
      </c>
    </row>
    <row r="1809" spans="1:12" s="326" customFormat="1" ht="15.5" x14ac:dyDescent="0.35">
      <c r="A1809" s="328" t="s">
        <v>2773</v>
      </c>
      <c r="B1809" s="1291">
        <v>6.4764370128812018E-2</v>
      </c>
      <c r="C1809" s="1257">
        <v>9.5947307118759928E-2</v>
      </c>
      <c r="D1809" s="1257">
        <v>7.1960411254235579E-2</v>
      </c>
      <c r="E1809" s="1280">
        <v>0.48382582506785282</v>
      </c>
      <c r="F1809" s="1303">
        <v>5.8946214950656974E-2</v>
      </c>
      <c r="G1809" s="1288">
        <v>6.342067739153634E-2</v>
      </c>
      <c r="H1809" s="1280">
        <v>0.60016479266843581</v>
      </c>
      <c r="I1809" s="1303">
        <v>7.5452052596116134E-2</v>
      </c>
      <c r="J1809" s="1288">
        <v>9.9766945667813439E-2</v>
      </c>
      <c r="K1809" s="1280">
        <v>0.94411808142996978</v>
      </c>
      <c r="L1809" s="1237">
        <v>0.17426988261295631</v>
      </c>
    </row>
    <row r="1810" spans="1:12" s="326" customFormat="1" ht="15.5" x14ac:dyDescent="0.35">
      <c r="A1810" s="328" t="s">
        <v>2774</v>
      </c>
      <c r="B1810" s="1291">
        <v>6.4764370128812018E-2</v>
      </c>
      <c r="C1810" s="1257">
        <v>9.5947307118759928E-2</v>
      </c>
      <c r="D1810" s="1257">
        <v>7.1960411254235579E-2</v>
      </c>
      <c r="E1810" s="1280">
        <v>0.48382582506785282</v>
      </c>
      <c r="F1810" s="1303">
        <v>6.5285785303672919E-2</v>
      </c>
      <c r="G1810" s="1288">
        <v>5.8767576063597622E-2</v>
      </c>
      <c r="H1810" s="1280">
        <v>0.55613139995478034</v>
      </c>
      <c r="I1810" s="1303">
        <v>8.0965721870893528E-2</v>
      </c>
      <c r="J1810" s="1288">
        <v>9.972986335714068E-2</v>
      </c>
      <c r="K1810" s="1280">
        <v>0.94376716279882389</v>
      </c>
      <c r="L1810" s="1237">
        <v>0.17426988261295631</v>
      </c>
    </row>
    <row r="1811" spans="1:12" s="326" customFormat="1" ht="15.5" x14ac:dyDescent="0.35">
      <c r="A1811" s="328" t="s">
        <v>2775</v>
      </c>
      <c r="B1811" s="1291">
        <v>6.4764370128812018E-2</v>
      </c>
      <c r="C1811" s="1257">
        <v>9.5947307118759928E-2</v>
      </c>
      <c r="D1811" s="1257">
        <v>7.1960411254235579E-2</v>
      </c>
      <c r="E1811" s="1280">
        <v>0.48382582506785282</v>
      </c>
      <c r="F1811" s="1303">
        <v>6.7512993600338689E-2</v>
      </c>
      <c r="G1811" s="1288">
        <v>5.9390686201359448E-2</v>
      </c>
      <c r="H1811" s="1280">
        <v>0.5620280378025706</v>
      </c>
      <c r="I1811" s="1303">
        <v>8.0664994395801895E-2</v>
      </c>
      <c r="J1811" s="1288">
        <v>0.10145222726501794</v>
      </c>
      <c r="K1811" s="1280">
        <v>0.96006629772116248</v>
      </c>
      <c r="L1811" s="1330">
        <v>0.17426988261295631</v>
      </c>
    </row>
    <row r="1812" spans="1:12" s="326" customFormat="1" ht="15.5" x14ac:dyDescent="0.35">
      <c r="A1812" s="328" t="s">
        <v>2776</v>
      </c>
      <c r="B1812" s="1291">
        <v>6.4764370128812018E-2</v>
      </c>
      <c r="C1812" s="1257">
        <v>9.5947307118759928E-2</v>
      </c>
      <c r="D1812" s="1257">
        <v>7.1960411254235579E-2</v>
      </c>
      <c r="E1812" s="1280">
        <v>0.48382582506785282</v>
      </c>
      <c r="F1812" s="1303">
        <v>6.1650922954947132E-2</v>
      </c>
      <c r="G1812" s="1288">
        <v>5.9775182522867981E-2</v>
      </c>
      <c r="H1812" s="1280">
        <v>0.56566661696272857</v>
      </c>
      <c r="I1812" s="1303">
        <v>8.0898062190811776E-2</v>
      </c>
      <c r="J1812" s="1288">
        <v>0.10136677010617831</v>
      </c>
      <c r="K1812" s="1280">
        <v>0.95925759651949616</v>
      </c>
      <c r="L1812" s="1330">
        <v>0.17348318522881803</v>
      </c>
    </row>
    <row r="1813" spans="1:12" s="326" customFormat="1" ht="15.5" x14ac:dyDescent="0.35">
      <c r="A1813" s="328" t="s">
        <v>2777</v>
      </c>
      <c r="B1813" s="1291">
        <v>6.4764370128812018E-2</v>
      </c>
      <c r="C1813" s="1257">
        <v>9.5947307118759928E-2</v>
      </c>
      <c r="D1813" s="1257">
        <v>7.1960411254235579E-2</v>
      </c>
      <c r="E1813" s="1280">
        <v>0.48382582506785282</v>
      </c>
      <c r="F1813" s="1303">
        <v>6.6966384366486414E-2</v>
      </c>
      <c r="G1813" s="1288">
        <v>5.873099098815282E-2</v>
      </c>
      <c r="H1813" s="1280">
        <v>0.55578518677759325</v>
      </c>
      <c r="I1813" s="1303">
        <v>8.0824586073740448E-2</v>
      </c>
      <c r="J1813" s="1288">
        <v>0.1017314348527973</v>
      </c>
      <c r="K1813" s="1280">
        <v>0.96270850482022141</v>
      </c>
      <c r="L1813" s="1330">
        <v>0.16373726428932434</v>
      </c>
    </row>
    <row r="1814" spans="1:12" s="326" customFormat="1" ht="15.5" x14ac:dyDescent="0.35">
      <c r="A1814" s="328" t="s">
        <v>2778</v>
      </c>
      <c r="B1814" s="1291">
        <v>6.4764370128812018E-2</v>
      </c>
      <c r="C1814" s="1257">
        <v>9.5947307118759928E-2</v>
      </c>
      <c r="D1814" s="1257">
        <v>7.1960411254235579E-2</v>
      </c>
      <c r="E1814" s="1280">
        <v>0.48382582506785282</v>
      </c>
      <c r="F1814" s="1303">
        <v>6.2839685562200695E-2</v>
      </c>
      <c r="G1814" s="1288">
        <v>5.6412258617839613E-2</v>
      </c>
      <c r="H1814" s="1280">
        <v>0.53384247677323216</v>
      </c>
      <c r="I1814" s="1303">
        <v>7.8623672507468031E-2</v>
      </c>
      <c r="J1814" s="1288">
        <v>9.9184225312096169E-2</v>
      </c>
      <c r="K1814" s="1280">
        <v>0.93860366159314534</v>
      </c>
      <c r="L1814" s="1330">
        <v>0.19316558277490645</v>
      </c>
    </row>
    <row r="1815" spans="1:12" s="326" customFormat="1" ht="15.5" x14ac:dyDescent="0.35">
      <c r="A1815" s="328" t="s">
        <v>2779</v>
      </c>
      <c r="B1815" s="1291">
        <v>6.4764370128812018E-2</v>
      </c>
      <c r="C1815" s="1257">
        <v>9.5947307118759928E-2</v>
      </c>
      <c r="D1815" s="1257">
        <v>7.1960411254235579E-2</v>
      </c>
      <c r="E1815" s="1280">
        <v>0.48382582506785282</v>
      </c>
      <c r="F1815" s="1303">
        <v>6.0737347149390879E-2</v>
      </c>
      <c r="G1815" s="1288">
        <v>5.7026979280199619E-2</v>
      </c>
      <c r="H1815" s="1280">
        <v>0.53965972304130083</v>
      </c>
      <c r="I1815" s="1303">
        <v>7.8139264489711646E-2</v>
      </c>
      <c r="J1815" s="1288">
        <v>9.9963007931034881E-2</v>
      </c>
      <c r="K1815" s="1280">
        <v>0.94597346475913158</v>
      </c>
      <c r="L1815" s="1330">
        <v>0.19316558277491278</v>
      </c>
    </row>
    <row r="1816" spans="1:12" s="326" customFormat="1" ht="15.5" x14ac:dyDescent="0.35">
      <c r="A1816" s="328" t="s">
        <v>2780</v>
      </c>
      <c r="B1816" s="1291">
        <v>6.4764370128812018E-2</v>
      </c>
      <c r="C1816" s="1257">
        <v>9.5947307118759928E-2</v>
      </c>
      <c r="D1816" s="1257">
        <v>7.1960411254235579E-2</v>
      </c>
      <c r="E1816" s="1280">
        <v>0.48382582506785282</v>
      </c>
      <c r="F1816" s="1303">
        <v>6.1925294326533403E-2</v>
      </c>
      <c r="G1816" s="1288">
        <v>5.7568567303075663E-2</v>
      </c>
      <c r="H1816" s="1280">
        <v>0.54478489793425278</v>
      </c>
      <c r="I1816" s="1303">
        <v>7.5771312854848519E-2</v>
      </c>
      <c r="J1816" s="1288">
        <v>9.7236186412065814E-2</v>
      </c>
      <c r="K1816" s="1280">
        <v>0.92016891112006405</v>
      </c>
      <c r="L1816" s="1330">
        <v>0.19316558277488524</v>
      </c>
    </row>
    <row r="1817" spans="1:12" s="326" customFormat="1" ht="15.5" x14ac:dyDescent="0.35">
      <c r="A1817" s="328" t="s">
        <v>2781</v>
      </c>
      <c r="B1817" s="1291">
        <v>6.4764370128812018E-2</v>
      </c>
      <c r="C1817" s="1257">
        <v>9.5947307118759928E-2</v>
      </c>
      <c r="D1817" s="1257">
        <v>7.1960411254235579E-2</v>
      </c>
      <c r="E1817" s="1280">
        <v>0.48382582506785282</v>
      </c>
      <c r="F1817" s="1303">
        <v>6.0484527701603598E-2</v>
      </c>
      <c r="G1817" s="1288">
        <v>5.6808879804119014E-2</v>
      </c>
      <c r="H1817" s="1280">
        <v>0.53759579638162625</v>
      </c>
      <c r="I1817" s="1303">
        <v>7.3005419327561549E-2</v>
      </c>
      <c r="J1817" s="1288">
        <v>9.5833856719685084E-2</v>
      </c>
      <c r="K1817" s="1280">
        <v>0.9068983352811375</v>
      </c>
      <c r="L1817" s="1330">
        <v>0.19783986441664583</v>
      </c>
    </row>
    <row r="1818" spans="1:12" s="326" customFormat="1" ht="15.5" x14ac:dyDescent="0.35">
      <c r="A1818" s="328" t="s">
        <v>2782</v>
      </c>
      <c r="B1818" s="1291">
        <v>6.4764370128812018E-2</v>
      </c>
      <c r="C1818" s="1257">
        <v>9.5947307118759928E-2</v>
      </c>
      <c r="D1818" s="1257">
        <v>7.1960411254235579E-2</v>
      </c>
      <c r="E1818" s="1280">
        <v>0.48382582506785282</v>
      </c>
      <c r="F1818" s="1303">
        <v>5.5769298487740315E-2</v>
      </c>
      <c r="G1818" s="1288">
        <v>5.5392487763863477E-2</v>
      </c>
      <c r="H1818" s="1280">
        <v>0.52419214523597268</v>
      </c>
      <c r="I1818" s="1303">
        <v>6.8478142963020225E-2</v>
      </c>
      <c r="J1818" s="1288">
        <v>9.1247509346648006E-2</v>
      </c>
      <c r="K1818" s="1280">
        <v>0.86349665094952932</v>
      </c>
      <c r="L1818" s="1330">
        <v>0.19783986441668</v>
      </c>
    </row>
    <row r="1819" spans="1:12" s="326" customFormat="1" ht="15.5" x14ac:dyDescent="0.35">
      <c r="A1819" s="328" t="s">
        <v>2783</v>
      </c>
      <c r="B1819" s="1291">
        <v>6.4764370128812018E-2</v>
      </c>
      <c r="C1819" s="1257">
        <v>9.5947307118759928E-2</v>
      </c>
      <c r="D1819" s="1257">
        <v>7.1960411254235579E-2</v>
      </c>
      <c r="E1819" s="1280">
        <v>0.48382582506785282</v>
      </c>
      <c r="F1819" s="1303">
        <v>5.7671985761030983E-2</v>
      </c>
      <c r="G1819" s="1288">
        <v>5.337747555799139E-2</v>
      </c>
      <c r="H1819" s="1280">
        <v>0.50512361061128608</v>
      </c>
      <c r="I1819" s="1303">
        <v>6.8554911927853818E-2</v>
      </c>
      <c r="J1819" s="1288">
        <v>9.039532812805047E-2</v>
      </c>
      <c r="K1819" s="1280">
        <v>0.85543225956471292</v>
      </c>
      <c r="L1819" s="1330">
        <v>0.19783986441649343</v>
      </c>
    </row>
    <row r="1820" spans="1:12" s="326" customFormat="1" ht="15.5" x14ac:dyDescent="0.35">
      <c r="A1820" s="328" t="s">
        <v>2784</v>
      </c>
      <c r="B1820" s="1291">
        <v>6.4764370128812018E-2</v>
      </c>
      <c r="C1820" s="1257">
        <v>9.5947307118759928E-2</v>
      </c>
      <c r="D1820" s="1257">
        <v>7.1960411254235579E-2</v>
      </c>
      <c r="E1820" s="1280">
        <v>0.48382582506785282</v>
      </c>
      <c r="F1820" s="1303">
        <v>5.4702170900428781E-2</v>
      </c>
      <c r="G1820" s="1288">
        <v>5.3125141438062837E-2</v>
      </c>
      <c r="H1820" s="1280">
        <v>0.50273571346166812</v>
      </c>
      <c r="I1820" s="1303">
        <v>6.5113955782412913E-2</v>
      </c>
      <c r="J1820" s="1288">
        <v>8.7699484943504324E-2</v>
      </c>
      <c r="K1820" s="1280">
        <v>0.82992086119330932</v>
      </c>
      <c r="L1820" s="1330">
        <v>0.19783986441666562</v>
      </c>
    </row>
    <row r="1821" spans="1:12" s="326" customFormat="1" ht="15.5" x14ac:dyDescent="0.35">
      <c r="A1821" s="328" t="s">
        <v>2785</v>
      </c>
      <c r="B1821" s="1291">
        <v>6.4764370128812018E-2</v>
      </c>
      <c r="C1821" s="1257">
        <v>9.5947307118759928E-2</v>
      </c>
      <c r="D1821" s="1257">
        <v>7.1960411254235579E-2</v>
      </c>
      <c r="E1821" s="1280">
        <v>0.48382582506785282</v>
      </c>
      <c r="F1821" s="1303">
        <v>5.3200986134555366E-2</v>
      </c>
      <c r="G1821" s="1288">
        <v>5.0474660817922977E-2</v>
      </c>
      <c r="H1821" s="1280">
        <v>0.47765359171078581</v>
      </c>
      <c r="I1821" s="1303">
        <v>6.3478587630496588E-2</v>
      </c>
      <c r="J1821" s="1288">
        <v>8.5484009625681659E-2</v>
      </c>
      <c r="K1821" s="1280">
        <v>0.80895529697244339</v>
      </c>
      <c r="L1821" s="1330">
        <v>0.17892512809081521</v>
      </c>
    </row>
    <row r="1822" spans="1:12" s="326" customFormat="1" ht="15.5" x14ac:dyDescent="0.35">
      <c r="A1822" s="328" t="s">
        <v>2786</v>
      </c>
      <c r="B1822" s="1291">
        <v>6.4764370128812018E-2</v>
      </c>
      <c r="C1822" s="1257">
        <v>9.5947307118759928E-2</v>
      </c>
      <c r="D1822" s="1257">
        <v>7.1960411254235579E-2</v>
      </c>
      <c r="E1822" s="1280">
        <v>0.48382582506785282</v>
      </c>
      <c r="F1822" s="1303">
        <v>5.1794940853195935E-2</v>
      </c>
      <c r="G1822" s="1288">
        <v>4.8644280149743174E-2</v>
      </c>
      <c r="H1822" s="1280">
        <v>0.46033226876999606</v>
      </c>
      <c r="I1822" s="1303">
        <v>6.1908389093239466E-2</v>
      </c>
      <c r="J1822" s="1288">
        <v>8.3356402704799687E-2</v>
      </c>
      <c r="K1822" s="1280">
        <v>0.78882125206674414</v>
      </c>
      <c r="L1822" s="1330">
        <v>0.17892512809095712</v>
      </c>
    </row>
    <row r="1823" spans="1:12" s="326" customFormat="1" ht="15.5" x14ac:dyDescent="0.35">
      <c r="A1823" s="328" t="s">
        <v>2787</v>
      </c>
      <c r="B1823" s="1291">
        <v>6.4764370128812018E-2</v>
      </c>
      <c r="C1823" s="1257">
        <v>9.5947307118759928E-2</v>
      </c>
      <c r="D1823" s="1257">
        <v>7.1960411254235579E-2</v>
      </c>
      <c r="E1823" s="1280">
        <v>0.48382582506785282</v>
      </c>
      <c r="F1823" s="1303">
        <v>5.0390612518823166E-2</v>
      </c>
      <c r="G1823" s="1288">
        <v>4.6952351565848476E-2</v>
      </c>
      <c r="H1823" s="1280">
        <v>0.44432115047975723</v>
      </c>
      <c r="I1823" s="1303">
        <v>6.033827574956388E-2</v>
      </c>
      <c r="J1823" s="1288">
        <v>8.1233638498859215E-2</v>
      </c>
      <c r="K1823" s="1280">
        <v>0.76873303491199851</v>
      </c>
      <c r="L1823" s="1330">
        <v>0.17892512809098793</v>
      </c>
    </row>
    <row r="1824" spans="1:12" s="326" customFormat="1" ht="15.5" x14ac:dyDescent="0.35">
      <c r="A1824" s="328" t="s">
        <v>2788</v>
      </c>
      <c r="B1824" s="1291">
        <v>6.4764370128812018E-2</v>
      </c>
      <c r="C1824" s="1257">
        <v>9.5947307118759928E-2</v>
      </c>
      <c r="D1824" s="1257">
        <v>7.1960411254235579E-2</v>
      </c>
      <c r="E1824" s="1280">
        <v>0.48382582506785282</v>
      </c>
      <c r="F1824" s="1303">
        <v>5.0143963866072741E-2</v>
      </c>
      <c r="G1824" s="1288">
        <v>4.5348708630087983E-2</v>
      </c>
      <c r="H1824" s="1306">
        <v>0.42839203048332869</v>
      </c>
      <c r="I1824" s="1303">
        <v>6.0330061169835046E-2</v>
      </c>
      <c r="J1824" s="1288">
        <v>8.1199786556685166E-2</v>
      </c>
      <c r="K1824" s="1306">
        <v>0.5993213983272635</v>
      </c>
      <c r="L1824" s="1330">
        <v>0.16538470870504704</v>
      </c>
    </row>
    <row r="1825" spans="1:12" s="326" customFormat="1" ht="15.5" x14ac:dyDescent="0.35">
      <c r="A1825" s="328" t="s">
        <v>2789</v>
      </c>
      <c r="B1825" s="1291">
        <v>6.4764370128812018E-2</v>
      </c>
      <c r="C1825" s="1257">
        <v>9.5947307118759928E-2</v>
      </c>
      <c r="D1825" s="1257">
        <v>7.1960411254235579E-2</v>
      </c>
      <c r="E1825" s="1280">
        <v>0.48382582506785282</v>
      </c>
      <c r="F1825" s="1303">
        <v>4.9917675541118998E-2</v>
      </c>
      <c r="G1825" s="1288">
        <v>4.38109074265614E-2</v>
      </c>
      <c r="H1825" s="1306">
        <v>0.43672711014830268</v>
      </c>
      <c r="I1825" s="1303">
        <v>6.0321182447639961E-2</v>
      </c>
      <c r="J1825" s="1288">
        <v>8.1163894254082186E-2</v>
      </c>
      <c r="K1825" s="1306">
        <v>0.59944816298831172</v>
      </c>
      <c r="L1825" s="1330">
        <v>0.16538470870495181</v>
      </c>
    </row>
    <row r="1826" spans="1:12" s="326" customFormat="1" ht="15.5" x14ac:dyDescent="0.35">
      <c r="A1826" s="328" t="s">
        <v>2790</v>
      </c>
      <c r="B1826" s="1291">
        <v>6.4764370128812018E-2</v>
      </c>
      <c r="C1826" s="1257">
        <v>9.5947307118759928E-2</v>
      </c>
      <c r="D1826" s="1257">
        <v>7.1960411254235579E-2</v>
      </c>
      <c r="E1826" s="1280">
        <v>0.48382582506785282</v>
      </c>
      <c r="F1826" s="1303">
        <v>4.9760828575781749E-2</v>
      </c>
      <c r="G1826" s="1288">
        <v>4.3258431257940412E-2</v>
      </c>
      <c r="H1826" s="1306">
        <v>0.45301488210534807</v>
      </c>
      <c r="I1826" s="1303">
        <v>6.031234445350208E-2</v>
      </c>
      <c r="J1826" s="1288">
        <v>8.1127404562685621E-2</v>
      </c>
      <c r="K1826" s="1306">
        <v>0.5995361951629552</v>
      </c>
      <c r="L1826" s="1330">
        <v>0.16538470870496932</v>
      </c>
    </row>
    <row r="1827" spans="1:12" s="326" customFormat="1" ht="15.5" x14ac:dyDescent="0.35">
      <c r="A1827" s="328" t="s">
        <v>2791</v>
      </c>
      <c r="B1827" s="1291">
        <v>6.4764370128812018E-2</v>
      </c>
      <c r="C1827" s="1257">
        <v>9.5947307118759928E-2</v>
      </c>
      <c r="D1827" s="1257">
        <v>7.1960411254235579E-2</v>
      </c>
      <c r="E1827" s="1280">
        <v>0.48382582506785282</v>
      </c>
      <c r="F1827" s="1303">
        <v>4.9540558005753292E-2</v>
      </c>
      <c r="G1827" s="1288">
        <v>4.2962812872998926E-2</v>
      </c>
      <c r="H1827" s="1306">
        <v>0.46818601711511793</v>
      </c>
      <c r="I1827" s="1303">
        <v>6.0303969767603209E-2</v>
      </c>
      <c r="J1827" s="1288">
        <v>8.1091364646975306E-2</v>
      </c>
      <c r="K1827" s="1306">
        <v>0.59958565574501677</v>
      </c>
      <c r="L1827" s="1330">
        <v>0.15942831481297129</v>
      </c>
    </row>
    <row r="1828" spans="1:12" s="326" customFormat="1" ht="15.5" x14ac:dyDescent="0.35">
      <c r="A1828" s="328" t="s">
        <v>2792</v>
      </c>
      <c r="B1828" s="1291">
        <v>6.4764370128812018E-2</v>
      </c>
      <c r="C1828" s="1257">
        <v>9.5947307118759928E-2</v>
      </c>
      <c r="D1828" s="1257">
        <v>7.1960411254235579E-2</v>
      </c>
      <c r="E1828" s="1280">
        <v>0.48382582506785282</v>
      </c>
      <c r="F1828" s="1303">
        <v>4.9320886073189983E-2</v>
      </c>
      <c r="G1828" s="1288">
        <v>4.2688598867059988E-2</v>
      </c>
      <c r="H1828" s="1306">
        <v>0.47897943162922424</v>
      </c>
      <c r="I1828" s="1303">
        <v>6.0295782823248836E-2</v>
      </c>
      <c r="J1828" s="1288">
        <v>8.1055474275950432E-2</v>
      </c>
      <c r="K1828" s="1306">
        <v>0.59969005403903675</v>
      </c>
      <c r="L1828" s="1330">
        <v>0.15942831481296496</v>
      </c>
    </row>
    <row r="1829" spans="1:12" s="326" customFormat="1" ht="15.5" x14ac:dyDescent="0.35">
      <c r="A1829" s="328" t="s">
        <v>2793</v>
      </c>
      <c r="B1829" s="1291">
        <v>6.4764370128812018E-2</v>
      </c>
      <c r="C1829" s="1257">
        <v>9.5947307118759928E-2</v>
      </c>
      <c r="D1829" s="1257">
        <v>7.1960411254235579E-2</v>
      </c>
      <c r="E1829" s="1280">
        <v>0.48382582506785282</v>
      </c>
      <c r="F1829" s="1303">
        <v>4.9084275680394474E-2</v>
      </c>
      <c r="G1829" s="1288">
        <v>4.2441732030772089E-2</v>
      </c>
      <c r="H1829" s="1306">
        <v>0.48732373017628799</v>
      </c>
      <c r="I1829" s="1303">
        <v>6.0287654268444492E-2</v>
      </c>
      <c r="J1829" s="1288">
        <v>8.1019843495501537E-2</v>
      </c>
      <c r="K1829" s="1306">
        <v>0.5997193693059234</v>
      </c>
      <c r="L1829" s="1330">
        <v>0.15942831481297001</v>
      </c>
    </row>
    <row r="1830" spans="1:12" s="326" customFormat="1" ht="15.5" x14ac:dyDescent="0.35">
      <c r="A1830" s="328" t="s">
        <v>2794</v>
      </c>
      <c r="B1830" s="1291">
        <v>6.4764370128812018E-2</v>
      </c>
      <c r="C1830" s="1257">
        <v>9.5947307118759928E-2</v>
      </c>
      <c r="D1830" s="1257">
        <v>7.1960411254235579E-2</v>
      </c>
      <c r="E1830" s="1306">
        <v>1.9224540488455895</v>
      </c>
      <c r="F1830" s="1303">
        <v>4.8846737574070188E-2</v>
      </c>
      <c r="G1830" s="1288">
        <v>4.2191989535410951E-2</v>
      </c>
      <c r="H1830" s="1306">
        <v>0.49319534514939395</v>
      </c>
      <c r="I1830" s="1303">
        <v>6.0279623799937961E-2</v>
      </c>
      <c r="J1830" s="1288">
        <v>8.0984915247975978E-2</v>
      </c>
      <c r="K1830" s="1306">
        <v>0.59974836575261636</v>
      </c>
      <c r="L1830" s="1330">
        <v>0.15834735072773734</v>
      </c>
    </row>
    <row r="1831" spans="1:12" s="326" customFormat="1" ht="15.5" x14ac:dyDescent="0.35">
      <c r="A1831" s="328" t="s">
        <v>2795</v>
      </c>
      <c r="B1831" s="1291">
        <v>6.4764370128812018E-2</v>
      </c>
      <c r="C1831" s="1257">
        <v>9.5947307118759928E-2</v>
      </c>
      <c r="D1831" s="1257">
        <v>7.1960411254235579E-2</v>
      </c>
      <c r="E1831" s="1306">
        <v>1.961352472788406</v>
      </c>
      <c r="F1831" s="1303">
        <v>4.8568226606984261E-2</v>
      </c>
      <c r="G1831" s="1288">
        <v>4.1944624945093247E-2</v>
      </c>
      <c r="H1831" s="1306">
        <v>0.50061469955966809</v>
      </c>
      <c r="I1831" s="1303">
        <v>6.0271769872391141E-2</v>
      </c>
      <c r="J1831" s="1288">
        <v>8.0951062529848392E-2</v>
      </c>
      <c r="K1831" s="1306">
        <v>0.59981493804776287</v>
      </c>
      <c r="L1831" s="1330">
        <v>0.15737448305101673</v>
      </c>
    </row>
    <row r="1832" spans="1:12" s="326" customFormat="1" ht="15.5" x14ac:dyDescent="0.35">
      <c r="A1832" s="328" t="s">
        <v>2796</v>
      </c>
      <c r="B1832" s="1291">
        <v>6.4764370128812018E-2</v>
      </c>
      <c r="C1832" s="1257">
        <v>9.5947307118759928E-2</v>
      </c>
      <c r="D1832" s="1257">
        <v>7.1960411254235579E-2</v>
      </c>
      <c r="E1832" s="1306">
        <v>1.8016062030031579</v>
      </c>
      <c r="F1832" s="1303">
        <v>4.8284054523907445E-2</v>
      </c>
      <c r="G1832" s="1288">
        <v>4.1703421298950251E-2</v>
      </c>
      <c r="H1832" s="1306">
        <v>0.50715795165113564</v>
      </c>
      <c r="I1832" s="1303">
        <v>6.0263878213371112E-2</v>
      </c>
      <c r="J1832" s="1288">
        <v>8.0917796295601405E-2</v>
      </c>
      <c r="K1832" s="1306">
        <v>0.59988350093141751</v>
      </c>
      <c r="L1832" s="1330">
        <v>0.15649890214197903</v>
      </c>
    </row>
    <row r="1833" spans="1:12" s="326" customFormat="1" ht="15.5" x14ac:dyDescent="0.35">
      <c r="A1833" s="328" t="s">
        <v>2797</v>
      </c>
      <c r="B1833" s="1291">
        <v>6.4764370128812018E-2</v>
      </c>
      <c r="C1833" s="1257">
        <v>9.5947307118759928E-2</v>
      </c>
      <c r="D1833" s="1257">
        <v>7.1960411254235579E-2</v>
      </c>
      <c r="E1833" s="1306">
        <v>1.8717991672744294</v>
      </c>
      <c r="F1833" s="1303">
        <v>4.7948632065246778E-2</v>
      </c>
      <c r="G1833" s="1288">
        <v>4.1464956767908914E-2</v>
      </c>
      <c r="H1833" s="1306">
        <v>0.51271346854475963</v>
      </c>
      <c r="I1833" s="1303">
        <v>6.0255983656687467E-2</v>
      </c>
      <c r="J1833" s="1288">
        <v>8.0884875676538986E-2</v>
      </c>
      <c r="K1833" s="1306">
        <v>0.59995607343695767</v>
      </c>
      <c r="L1833" s="1330">
        <v>0.15571087932384051</v>
      </c>
    </row>
    <row r="1834" spans="1:12" s="326" customFormat="1" ht="15.5" x14ac:dyDescent="0.35">
      <c r="A1834" s="328" t="s">
        <v>2798</v>
      </c>
      <c r="B1834" s="1287">
        <v>6.4764370128812018E-2</v>
      </c>
      <c r="C1834" s="1288">
        <v>9.5947307118759928E-2</v>
      </c>
      <c r="D1834" s="1288">
        <v>8.3703654676388045E-2</v>
      </c>
      <c r="E1834" s="1306">
        <v>1.8163785563633781</v>
      </c>
      <c r="F1834" s="1303">
        <v>4.7594700081561733E-2</v>
      </c>
      <c r="G1834" s="1288">
        <v>4.1221058340268367E-2</v>
      </c>
      <c r="H1834" s="1306">
        <v>0.51755742115355352</v>
      </c>
      <c r="I1834" s="1303">
        <v>6.0248162355233989E-2</v>
      </c>
      <c r="J1834" s="1288">
        <v>8.0851893069151748E-2</v>
      </c>
      <c r="K1834" s="1306">
        <v>0.60003708181674897</v>
      </c>
      <c r="L1834" s="1330">
        <v>0.15500165878751423</v>
      </c>
    </row>
    <row r="1835" spans="1:12" s="326" customFormat="1" ht="15.5" x14ac:dyDescent="0.35">
      <c r="A1835" s="328" t="s">
        <v>2799</v>
      </c>
      <c r="B1835" s="1287">
        <v>6.4543330592285786E-2</v>
      </c>
      <c r="C1835" s="1288">
        <v>7.4755559803170918E-2</v>
      </c>
      <c r="D1835" s="1288">
        <v>8.4374128745729124E-2</v>
      </c>
      <c r="E1835" s="1306">
        <v>1.8998878604840246</v>
      </c>
      <c r="F1835" s="1303">
        <v>4.71569310319606E-2</v>
      </c>
      <c r="G1835" s="1288">
        <v>4.0989783568687738E-2</v>
      </c>
      <c r="H1835" s="1306">
        <v>0.52181815488912131</v>
      </c>
      <c r="I1835" s="1303">
        <v>6.0240298504786932E-2</v>
      </c>
      <c r="J1835" s="1288">
        <v>8.0817988577291708E-2</v>
      </c>
      <c r="K1835" s="1306">
        <v>0.60009036458379827</v>
      </c>
      <c r="L1835" s="1330">
        <v>0.15436336030482603</v>
      </c>
    </row>
    <row r="1836" spans="1:12" s="326" customFormat="1" ht="15.5" x14ac:dyDescent="0.35">
      <c r="A1836" s="328" t="s">
        <v>2800</v>
      </c>
      <c r="B1836" s="1287">
        <v>6.4638498242281378E-2</v>
      </c>
      <c r="C1836" s="1288">
        <v>9.1565027788923128E-2</v>
      </c>
      <c r="D1836" s="1288">
        <v>8.3844665776570973E-2</v>
      </c>
      <c r="E1836" s="1306">
        <v>1.9585972683089095</v>
      </c>
      <c r="F1836" s="1303">
        <v>4.7122375892958611E-2</v>
      </c>
      <c r="G1836" s="1288">
        <v>4.0953863143684405E-2</v>
      </c>
      <c r="H1836" s="1306">
        <v>0.52163541742730324</v>
      </c>
      <c r="I1836" s="1303">
        <v>6.0232297840409205E-2</v>
      </c>
      <c r="J1836" s="1288">
        <v>8.0782585919390859E-2</v>
      </c>
      <c r="K1836" s="1306">
        <v>0.60015886271364516</v>
      </c>
      <c r="L1836" s="1330">
        <v>0.15378889167040116</v>
      </c>
    </row>
    <row r="1837" spans="1:12" s="326" customFormat="1" ht="15.5" x14ac:dyDescent="0.35">
      <c r="A1837" s="328" t="s">
        <v>2801</v>
      </c>
      <c r="B1837" s="1287">
        <v>6.3966861657527185E-2</v>
      </c>
      <c r="C1837" s="1288">
        <v>8.2556267404343742E-2</v>
      </c>
      <c r="D1837" s="1288">
        <v>7.4458859469190564E-2</v>
      </c>
      <c r="E1837" s="1306">
        <v>1.992278511822914</v>
      </c>
      <c r="F1837" s="1303">
        <v>4.7062518393645981E-2</v>
      </c>
      <c r="G1837" s="1288">
        <v>4.0920173795181952E-2</v>
      </c>
      <c r="H1837" s="1306">
        <v>0.52114563649257228</v>
      </c>
      <c r="I1837" s="1303">
        <v>6.0223915997771549E-2</v>
      </c>
      <c r="J1837" s="1288">
        <v>8.074533527877184E-2</v>
      </c>
      <c r="K1837" s="1306">
        <v>0.60025864391054118</v>
      </c>
      <c r="L1837" s="1330">
        <v>0.15378889167040238</v>
      </c>
    </row>
    <row r="1838" spans="1:12" s="326" customFormat="1" ht="15.5" x14ac:dyDescent="0.35">
      <c r="A1838" s="328" t="s">
        <v>2802</v>
      </c>
      <c r="B1838" s="1287">
        <v>6.4265435684909805E-2</v>
      </c>
      <c r="C1838" s="1288">
        <v>6.831775787509943E-2</v>
      </c>
      <c r="D1838" s="1288">
        <v>8.5226293500462472E-2</v>
      </c>
      <c r="E1838" s="1306">
        <v>1.9380667153599387</v>
      </c>
      <c r="F1838" s="1303">
        <v>4.701574382172112E-2</v>
      </c>
      <c r="G1838" s="1288">
        <v>4.0882268258216052E-2</v>
      </c>
      <c r="H1838" s="1306">
        <v>0.52058924284073038</v>
      </c>
      <c r="I1838" s="1303">
        <v>6.0214862839570428E-2</v>
      </c>
      <c r="J1838" s="1288">
        <v>8.070662328622763E-2</v>
      </c>
      <c r="K1838" s="1306">
        <v>0.60035252674554485</v>
      </c>
      <c r="L1838" s="1330">
        <v>0.15378889167040283</v>
      </c>
    </row>
    <row r="1839" spans="1:12" s="326" customFormat="1" ht="15.5" x14ac:dyDescent="0.35">
      <c r="A1839" s="328" t="s">
        <v>2803</v>
      </c>
      <c r="B1839" s="1287">
        <v>6.4872577391815692E-2</v>
      </c>
      <c r="C1839" s="1288">
        <v>8.9676920305071156E-2</v>
      </c>
      <c r="D1839" s="1288">
        <v>7.0924192586304641E-2</v>
      </c>
      <c r="E1839" s="1306">
        <v>1.9272819444935527</v>
      </c>
      <c r="F1839" s="1303">
        <v>4.6945575293899124E-2</v>
      </c>
      <c r="G1839" s="1288">
        <v>4.0834140280169857E-2</v>
      </c>
      <c r="H1839" s="1306">
        <v>0.51964362873971859</v>
      </c>
      <c r="I1839" s="1303">
        <v>6.0205143240947168E-2</v>
      </c>
      <c r="J1839" s="1288">
        <v>8.0668287158320029E-2</v>
      </c>
      <c r="K1839" s="1306">
        <v>0.60048315458521706</v>
      </c>
      <c r="L1839" s="1330">
        <v>0.15378889167040297</v>
      </c>
    </row>
    <row r="1840" spans="1:12" s="326" customFormat="1" ht="15.5" x14ac:dyDescent="0.35">
      <c r="A1840" s="328" t="s">
        <v>2804</v>
      </c>
      <c r="B1840" s="1287">
        <v>6.4855016882013977E-2</v>
      </c>
      <c r="C1840" s="1288">
        <v>7.8768414303309608E-2</v>
      </c>
      <c r="D1840" s="1288">
        <v>7.5031470801508335E-2</v>
      </c>
      <c r="E1840" s="1306">
        <v>1.952639455263369</v>
      </c>
      <c r="F1840" s="1303">
        <v>4.6930033311287922E-2</v>
      </c>
      <c r="G1840" s="1288">
        <v>4.0814460687426335E-2</v>
      </c>
      <c r="H1840" s="1306">
        <v>0.5195568411908581</v>
      </c>
      <c r="I1840" s="1303">
        <v>6.0194316997654554E-2</v>
      </c>
      <c r="J1840" s="1288">
        <v>8.06314818095719E-2</v>
      </c>
      <c r="K1840" s="1306">
        <v>0.60063996074738069</v>
      </c>
      <c r="L1840" s="1330">
        <v>0.15378889167039908</v>
      </c>
    </row>
    <row r="1841" spans="1:12" s="326" customFormat="1" ht="15.5" x14ac:dyDescent="0.35">
      <c r="A1841" s="328" t="s">
        <v>2805</v>
      </c>
      <c r="B1841" s="1287">
        <v>6.4694608205632151E-2</v>
      </c>
      <c r="C1841" s="1288">
        <v>8.5452176955786038E-2</v>
      </c>
      <c r="D1841" s="1288">
        <v>7.7762528328468611E-2</v>
      </c>
      <c r="E1841" s="1306">
        <v>1.9470736899080712</v>
      </c>
      <c r="F1841" s="1303">
        <v>4.6928115472761968E-2</v>
      </c>
      <c r="G1841" s="1288">
        <v>4.0794392767525528E-2</v>
      </c>
      <c r="H1841" s="1306">
        <v>0.51942243757727691</v>
      </c>
      <c r="I1841" s="1303">
        <v>6.0181734719043957E-2</v>
      </c>
      <c r="J1841" s="1288">
        <v>8.0595782931452753E-2</v>
      </c>
      <c r="K1841" s="1306">
        <v>0.60080606119900759</v>
      </c>
      <c r="L1841" s="1330">
        <v>0.15378889167040283</v>
      </c>
    </row>
    <row r="1842" spans="1:12" s="326" customFormat="1" ht="15.5" x14ac:dyDescent="0.35">
      <c r="A1842" s="328" t="s">
        <v>2806</v>
      </c>
      <c r="B1842" s="1287">
        <v>6.5574321470483005E-2</v>
      </c>
      <c r="C1842" s="1288">
        <v>8.2007222293738719E-2</v>
      </c>
      <c r="D1842" s="1288">
        <v>8.9308217559022629E-2</v>
      </c>
      <c r="E1842" s="1306">
        <v>1.9502561331844093</v>
      </c>
      <c r="F1842" s="1303">
        <v>4.6887678046255571E-2</v>
      </c>
      <c r="G1842" s="1288">
        <v>4.0765340613276968E-2</v>
      </c>
      <c r="H1842" s="1306">
        <v>0.51874931224225973</v>
      </c>
      <c r="I1842" s="1303">
        <v>6.0166513070743992E-2</v>
      </c>
      <c r="J1842" s="1288">
        <v>8.0556456192765455E-2</v>
      </c>
      <c r="K1842" s="1306">
        <v>0.60097403262165161</v>
      </c>
      <c r="L1842" s="1330">
        <v>0.15378889167040086</v>
      </c>
    </row>
    <row r="1843" spans="1:12" s="326" customFormat="1" ht="15.5" x14ac:dyDescent="0.35">
      <c r="A1843" s="328" t="s">
        <v>2807</v>
      </c>
      <c r="B1843" s="1287">
        <v>6.4745552412161109E-2</v>
      </c>
      <c r="C1843" s="1288">
        <v>8.1630191876048558E-2</v>
      </c>
      <c r="D1843" s="1288">
        <v>7.8955171309489092E-2</v>
      </c>
      <c r="E1843" s="1306">
        <v>1.9289103696684387</v>
      </c>
      <c r="F1843" s="1303">
        <v>4.6861643916797466E-2</v>
      </c>
      <c r="G1843" s="1288">
        <v>4.0719705347158533E-2</v>
      </c>
      <c r="H1843" s="1306">
        <v>0.51782564619971316</v>
      </c>
      <c r="I1843" s="1303">
        <v>6.0146491359176484E-2</v>
      </c>
      <c r="J1843" s="1288">
        <v>8.0498121803682765E-2</v>
      </c>
      <c r="K1843" s="1306">
        <v>0.60109158095624193</v>
      </c>
      <c r="L1843" s="1330">
        <v>0.15378889167040183</v>
      </c>
    </row>
    <row r="1844" spans="1:12" s="326" customFormat="1" ht="15.5" x14ac:dyDescent="0.35">
      <c r="A1844" s="328" t="s">
        <v>2808</v>
      </c>
      <c r="B1844" s="1287">
        <v>6.4819542680866454E-2</v>
      </c>
      <c r="C1844" s="1288">
        <v>7.9269168203438933E-2</v>
      </c>
      <c r="D1844" s="1288">
        <v>7.9098249488308153E-2</v>
      </c>
      <c r="E1844" s="1306">
        <v>1.9568307432865633</v>
      </c>
      <c r="F1844" s="1303">
        <v>4.6361039972153732E-2</v>
      </c>
      <c r="G1844" s="1288">
        <v>4.0456349488138775E-2</v>
      </c>
      <c r="H1844" s="1306">
        <v>0.50854552276756149</v>
      </c>
      <c r="I1844" s="1303">
        <v>6.0116181371400852E-2</v>
      </c>
      <c r="J1844" s="1288">
        <v>8.0384596240889061E-2</v>
      </c>
      <c r="K1844" s="1306">
        <v>0.6008421379531923</v>
      </c>
      <c r="L1844" s="1330">
        <v>0.15378954736886294</v>
      </c>
    </row>
    <row r="1845" spans="1:12" s="326" customFormat="1" ht="15.5" x14ac:dyDescent="0.35">
      <c r="A1845" s="328" t="s">
        <v>2809</v>
      </c>
      <c r="B1845" s="1291">
        <v>6.4819542680866454E-2</v>
      </c>
      <c r="C1845" s="1257">
        <v>7.9269168203438933E-2</v>
      </c>
      <c r="D1845" s="1257">
        <v>7.9098249488308153E-2</v>
      </c>
      <c r="E1845" s="1280">
        <v>1.9568307432865633</v>
      </c>
      <c r="F1845" s="1271">
        <v>4.6361039972153732E-2</v>
      </c>
      <c r="G1845" s="1257">
        <v>4.0456349488138775E-2</v>
      </c>
      <c r="H1845" s="1280">
        <v>0.50854552276756149</v>
      </c>
      <c r="I1845" s="1271">
        <v>6.0116181371400852E-2</v>
      </c>
      <c r="J1845" s="1257">
        <v>8.0384596240889061E-2</v>
      </c>
      <c r="K1845" s="1280">
        <v>0.6008421379531923</v>
      </c>
      <c r="L1845" s="1330">
        <v>0.16102409820110714</v>
      </c>
    </row>
    <row r="1846" spans="1:12" s="326" customFormat="1" ht="15.5" x14ac:dyDescent="0.35">
      <c r="A1846" s="328" t="s">
        <v>2810</v>
      </c>
      <c r="B1846" s="1291">
        <v>6.4543330592285786E-2</v>
      </c>
      <c r="C1846" s="1257">
        <v>7.4757379860029116E-2</v>
      </c>
      <c r="D1846" s="1257">
        <v>7.1714811769206424E-2</v>
      </c>
      <c r="E1846" s="1280">
        <v>0.48217453693025936</v>
      </c>
      <c r="F1846" s="1271">
        <v>5.792369066650236E-2</v>
      </c>
      <c r="G1846" s="1257">
        <v>7.4840878697269533E-2</v>
      </c>
      <c r="H1846" s="1280">
        <v>0.70823684473077853</v>
      </c>
      <c r="I1846" s="1271">
        <v>6.410634280485164E-2</v>
      </c>
      <c r="J1846" s="1257">
        <v>0.13127689815406826</v>
      </c>
      <c r="K1846" s="1280">
        <v>1.2423041759138664</v>
      </c>
      <c r="L1846" s="1237">
        <v>0.17426982850597503</v>
      </c>
    </row>
    <row r="1847" spans="1:12" s="326" customFormat="1" ht="15.5" x14ac:dyDescent="0.35">
      <c r="A1847" s="328" t="s">
        <v>2811</v>
      </c>
      <c r="B1847" s="1291">
        <v>6.4543330592285786E-2</v>
      </c>
      <c r="C1847" s="1257">
        <v>7.4757379860029116E-2</v>
      </c>
      <c r="D1847" s="1257">
        <v>7.1714811769206424E-2</v>
      </c>
      <c r="E1847" s="1280">
        <v>0.48217453693025936</v>
      </c>
      <c r="F1847" s="1271">
        <v>5.792369066650236E-2</v>
      </c>
      <c r="G1847" s="1257">
        <v>7.4840878697269533E-2</v>
      </c>
      <c r="H1847" s="1280">
        <v>0.70823684473077853</v>
      </c>
      <c r="I1847" s="1271">
        <v>6.410634280485164E-2</v>
      </c>
      <c r="J1847" s="1257">
        <v>0.13127689815406826</v>
      </c>
      <c r="K1847" s="1280">
        <v>1.2423041759138664</v>
      </c>
      <c r="L1847" s="1237">
        <v>0.17426982850597503</v>
      </c>
    </row>
    <row r="1848" spans="1:12" s="326" customFormat="1" ht="15.5" x14ac:dyDescent="0.35">
      <c r="A1848" s="328" t="s">
        <v>2812</v>
      </c>
      <c r="B1848" s="1291">
        <v>6.4543330592285786E-2</v>
      </c>
      <c r="C1848" s="1257">
        <v>7.4757379860029116E-2</v>
      </c>
      <c r="D1848" s="1257">
        <v>7.1714811769206424E-2</v>
      </c>
      <c r="E1848" s="1280">
        <v>0.48217453693025936</v>
      </c>
      <c r="F1848" s="1271">
        <v>5.792369066650236E-2</v>
      </c>
      <c r="G1848" s="1257">
        <v>7.4840878697269533E-2</v>
      </c>
      <c r="H1848" s="1280">
        <v>0.70823684473077853</v>
      </c>
      <c r="I1848" s="1271">
        <v>6.410634280485164E-2</v>
      </c>
      <c r="J1848" s="1257">
        <v>0.13127689815406826</v>
      </c>
      <c r="K1848" s="1280">
        <v>1.2423041759138664</v>
      </c>
      <c r="L1848" s="1237">
        <v>0.17426982850597503</v>
      </c>
    </row>
    <row r="1849" spans="1:12" s="326" customFormat="1" ht="15.5" x14ac:dyDescent="0.35">
      <c r="A1849" s="328" t="s">
        <v>2813</v>
      </c>
      <c r="B1849" s="1291">
        <v>6.4543330592285786E-2</v>
      </c>
      <c r="C1849" s="1257">
        <v>7.4757379860029116E-2</v>
      </c>
      <c r="D1849" s="1257">
        <v>7.1714811769206424E-2</v>
      </c>
      <c r="E1849" s="1280">
        <v>0.48217453693025936</v>
      </c>
      <c r="F1849" s="1271">
        <v>5.792369066650236E-2</v>
      </c>
      <c r="G1849" s="1257">
        <v>7.4840878697269533E-2</v>
      </c>
      <c r="H1849" s="1280">
        <v>0.70823684473077853</v>
      </c>
      <c r="I1849" s="1271">
        <v>6.410634280485164E-2</v>
      </c>
      <c r="J1849" s="1257">
        <v>0.13127689815406826</v>
      </c>
      <c r="K1849" s="1280">
        <v>1.2423041759138664</v>
      </c>
      <c r="L1849" s="1237">
        <v>0.17426982850597503</v>
      </c>
    </row>
    <row r="1850" spans="1:12" s="326" customFormat="1" ht="15.5" x14ac:dyDescent="0.35">
      <c r="A1850" s="328" t="s">
        <v>2814</v>
      </c>
      <c r="B1850" s="1291">
        <v>6.4543330592285786E-2</v>
      </c>
      <c r="C1850" s="1257">
        <v>7.4757379860029116E-2</v>
      </c>
      <c r="D1850" s="1257">
        <v>7.1714811769206424E-2</v>
      </c>
      <c r="E1850" s="1280">
        <v>0.48217453693025936</v>
      </c>
      <c r="F1850" s="1271">
        <v>5.792369066650236E-2</v>
      </c>
      <c r="G1850" s="1257">
        <v>7.4840878697269533E-2</v>
      </c>
      <c r="H1850" s="1280">
        <v>0.70823684473077853</v>
      </c>
      <c r="I1850" s="1271">
        <v>6.410634280485164E-2</v>
      </c>
      <c r="J1850" s="1257">
        <v>0.13127689815406826</v>
      </c>
      <c r="K1850" s="1280">
        <v>1.2423041759138664</v>
      </c>
      <c r="L1850" s="1237">
        <v>0.17426982850597503</v>
      </c>
    </row>
    <row r="1851" spans="1:12" s="326" customFormat="1" ht="15.5" x14ac:dyDescent="0.35">
      <c r="A1851" s="328" t="s">
        <v>2815</v>
      </c>
      <c r="B1851" s="1291">
        <v>6.4543330592285786E-2</v>
      </c>
      <c r="C1851" s="1257">
        <v>7.4757379860029116E-2</v>
      </c>
      <c r="D1851" s="1257">
        <v>7.1714811769206424E-2</v>
      </c>
      <c r="E1851" s="1280">
        <v>0.48217453693025936</v>
      </c>
      <c r="F1851" s="1271">
        <v>5.792369066650236E-2</v>
      </c>
      <c r="G1851" s="1257">
        <v>7.4840878697269533E-2</v>
      </c>
      <c r="H1851" s="1280">
        <v>0.70823684473077853</v>
      </c>
      <c r="I1851" s="1271">
        <v>6.410634280485164E-2</v>
      </c>
      <c r="J1851" s="1257">
        <v>0.13127689815406826</v>
      </c>
      <c r="K1851" s="1280">
        <v>1.2423041759138664</v>
      </c>
      <c r="L1851" s="1237">
        <v>0.17426982850597503</v>
      </c>
    </row>
    <row r="1852" spans="1:12" s="326" customFormat="1" ht="15.5" x14ac:dyDescent="0.35">
      <c r="A1852" s="328" t="s">
        <v>2816</v>
      </c>
      <c r="B1852" s="1291">
        <v>6.4543330592285786E-2</v>
      </c>
      <c r="C1852" s="1257">
        <v>7.4757379860029116E-2</v>
      </c>
      <c r="D1852" s="1257">
        <v>7.1714811769206424E-2</v>
      </c>
      <c r="E1852" s="1280">
        <v>0.48217453693025936</v>
      </c>
      <c r="F1852" s="1271">
        <v>5.792369066650236E-2</v>
      </c>
      <c r="G1852" s="1257">
        <v>7.4840878697269533E-2</v>
      </c>
      <c r="H1852" s="1280">
        <v>0.70823684473077853</v>
      </c>
      <c r="I1852" s="1271">
        <v>6.410634280485164E-2</v>
      </c>
      <c r="J1852" s="1257">
        <v>0.13127689815406826</v>
      </c>
      <c r="K1852" s="1280">
        <v>1.2423041759138664</v>
      </c>
      <c r="L1852" s="1237">
        <v>0.17426982850597503</v>
      </c>
    </row>
    <row r="1853" spans="1:12" s="326" customFormat="1" ht="15.5" x14ac:dyDescent="0.35">
      <c r="A1853" s="328" t="s">
        <v>2817</v>
      </c>
      <c r="B1853" s="1291">
        <v>6.4543330592285786E-2</v>
      </c>
      <c r="C1853" s="1257">
        <v>7.4757379860029116E-2</v>
      </c>
      <c r="D1853" s="1257">
        <v>7.1714811769206424E-2</v>
      </c>
      <c r="E1853" s="1280">
        <v>0.48217453693025936</v>
      </c>
      <c r="F1853" s="1271">
        <v>5.792369066650236E-2</v>
      </c>
      <c r="G1853" s="1257">
        <v>7.4840878697269533E-2</v>
      </c>
      <c r="H1853" s="1280">
        <v>0.70823684473077853</v>
      </c>
      <c r="I1853" s="1271">
        <v>6.410634280485164E-2</v>
      </c>
      <c r="J1853" s="1257">
        <v>0.13127689815406826</v>
      </c>
      <c r="K1853" s="1280">
        <v>1.2423041759138664</v>
      </c>
      <c r="L1853" s="1237">
        <v>0.17426982850597503</v>
      </c>
    </row>
    <row r="1854" spans="1:12" s="326" customFormat="1" ht="15.5" x14ac:dyDescent="0.35">
      <c r="A1854" s="328" t="s">
        <v>2818</v>
      </c>
      <c r="B1854" s="1291">
        <v>6.4543330592285786E-2</v>
      </c>
      <c r="C1854" s="1257">
        <v>7.4757379860029116E-2</v>
      </c>
      <c r="D1854" s="1257">
        <v>7.1714811769206424E-2</v>
      </c>
      <c r="E1854" s="1280">
        <v>0.48217453693025936</v>
      </c>
      <c r="F1854" s="1271">
        <v>5.792369066650236E-2</v>
      </c>
      <c r="G1854" s="1257">
        <v>7.4840878697269533E-2</v>
      </c>
      <c r="H1854" s="1280">
        <v>0.70823684473077853</v>
      </c>
      <c r="I1854" s="1271">
        <v>6.410634280485164E-2</v>
      </c>
      <c r="J1854" s="1257">
        <v>0.13127689815406826</v>
      </c>
      <c r="K1854" s="1280">
        <v>1.2423041759138664</v>
      </c>
      <c r="L1854" s="1237">
        <v>0.17426982850597503</v>
      </c>
    </row>
    <row r="1855" spans="1:12" s="326" customFormat="1" ht="15.5" x14ac:dyDescent="0.35">
      <c r="A1855" s="328" t="s">
        <v>2819</v>
      </c>
      <c r="B1855" s="1291">
        <v>6.4543330592285786E-2</v>
      </c>
      <c r="C1855" s="1257">
        <v>7.4757379860029116E-2</v>
      </c>
      <c r="D1855" s="1257">
        <v>7.1714811769206424E-2</v>
      </c>
      <c r="E1855" s="1280">
        <v>0.48217453693025936</v>
      </c>
      <c r="F1855" s="1271">
        <v>5.792369066650236E-2</v>
      </c>
      <c r="G1855" s="1257">
        <v>7.4840878697269533E-2</v>
      </c>
      <c r="H1855" s="1280">
        <v>0.70823684473077853</v>
      </c>
      <c r="I1855" s="1271">
        <v>6.410634280485164E-2</v>
      </c>
      <c r="J1855" s="1257">
        <v>0.13127689815406826</v>
      </c>
      <c r="K1855" s="1280">
        <v>1.2423041759138664</v>
      </c>
      <c r="L1855" s="1237">
        <v>0.17426982850597503</v>
      </c>
    </row>
    <row r="1856" spans="1:12" s="326" customFormat="1" ht="15.5" x14ac:dyDescent="0.35">
      <c r="A1856" s="328" t="s">
        <v>2820</v>
      </c>
      <c r="B1856" s="1291">
        <v>6.4543330592285786E-2</v>
      </c>
      <c r="C1856" s="1257">
        <v>7.4757379860029116E-2</v>
      </c>
      <c r="D1856" s="1257">
        <v>7.1714811769206424E-2</v>
      </c>
      <c r="E1856" s="1280">
        <v>0.48217453693025936</v>
      </c>
      <c r="F1856" s="1271">
        <v>5.792369066650236E-2</v>
      </c>
      <c r="G1856" s="1257">
        <v>7.4840878697269533E-2</v>
      </c>
      <c r="H1856" s="1280">
        <v>0.70823684473077853</v>
      </c>
      <c r="I1856" s="1271">
        <v>6.410634280485164E-2</v>
      </c>
      <c r="J1856" s="1257">
        <v>0.13127689815406826</v>
      </c>
      <c r="K1856" s="1280">
        <v>1.2423041759138664</v>
      </c>
      <c r="L1856" s="1237">
        <v>0.17426982850597503</v>
      </c>
    </row>
    <row r="1857" spans="1:12" s="326" customFormat="1" ht="15.5" x14ac:dyDescent="0.35">
      <c r="A1857" s="328" t="s">
        <v>2821</v>
      </c>
      <c r="B1857" s="1291">
        <v>6.4543330592285786E-2</v>
      </c>
      <c r="C1857" s="1257">
        <v>7.4757379860029116E-2</v>
      </c>
      <c r="D1857" s="1257">
        <v>7.1714811769206424E-2</v>
      </c>
      <c r="E1857" s="1280">
        <v>0.48217453693025936</v>
      </c>
      <c r="F1857" s="1271">
        <v>5.792369066650236E-2</v>
      </c>
      <c r="G1857" s="1257">
        <v>7.4840878697269533E-2</v>
      </c>
      <c r="H1857" s="1280">
        <v>0.70823684473077853</v>
      </c>
      <c r="I1857" s="1271">
        <v>6.410634280485164E-2</v>
      </c>
      <c r="J1857" s="1257">
        <v>0.13127689815406826</v>
      </c>
      <c r="K1857" s="1280">
        <v>1.2423041759138664</v>
      </c>
      <c r="L1857" s="1237">
        <v>0.17426982850597503</v>
      </c>
    </row>
    <row r="1858" spans="1:12" s="326" customFormat="1" ht="15.5" x14ac:dyDescent="0.35">
      <c r="A1858" s="328" t="s">
        <v>2822</v>
      </c>
      <c r="B1858" s="1291">
        <v>6.4543330592285786E-2</v>
      </c>
      <c r="C1858" s="1257">
        <v>7.4757379860029116E-2</v>
      </c>
      <c r="D1858" s="1257">
        <v>7.1714811769206424E-2</v>
      </c>
      <c r="E1858" s="1280">
        <v>0.48217453693025936</v>
      </c>
      <c r="F1858" s="1271">
        <v>5.792369066650236E-2</v>
      </c>
      <c r="G1858" s="1257">
        <v>7.4840878697269533E-2</v>
      </c>
      <c r="H1858" s="1280">
        <v>0.70823684473077853</v>
      </c>
      <c r="I1858" s="1271">
        <v>6.410634280485164E-2</v>
      </c>
      <c r="J1858" s="1257">
        <v>0.13127689815406826</v>
      </c>
      <c r="K1858" s="1280">
        <v>1.2423041759138664</v>
      </c>
      <c r="L1858" s="1237">
        <v>0.17426982850597503</v>
      </c>
    </row>
    <row r="1859" spans="1:12" s="326" customFormat="1" ht="15.5" x14ac:dyDescent="0.35">
      <c r="A1859" s="328" t="s">
        <v>2823</v>
      </c>
      <c r="B1859" s="1291">
        <v>6.4543330592285786E-2</v>
      </c>
      <c r="C1859" s="1257">
        <v>7.4757379860029116E-2</v>
      </c>
      <c r="D1859" s="1257">
        <v>7.1714811769206424E-2</v>
      </c>
      <c r="E1859" s="1280">
        <v>0.48217453693025936</v>
      </c>
      <c r="F1859" s="1271">
        <v>5.792369066650236E-2</v>
      </c>
      <c r="G1859" s="1257">
        <v>7.4840878697269533E-2</v>
      </c>
      <c r="H1859" s="1280">
        <v>0.70823684473077853</v>
      </c>
      <c r="I1859" s="1271">
        <v>6.410634280485164E-2</v>
      </c>
      <c r="J1859" s="1257">
        <v>0.13127689815406826</v>
      </c>
      <c r="K1859" s="1280">
        <v>1.2423041759138664</v>
      </c>
      <c r="L1859" s="1237">
        <v>0.17426982850597503</v>
      </c>
    </row>
    <row r="1860" spans="1:12" s="326" customFormat="1" ht="15.5" x14ac:dyDescent="0.35">
      <c r="A1860" s="328" t="s">
        <v>2824</v>
      </c>
      <c r="B1860" s="1291">
        <v>6.4543330592285786E-2</v>
      </c>
      <c r="C1860" s="1257">
        <v>7.4757379860029116E-2</v>
      </c>
      <c r="D1860" s="1257">
        <v>7.1714811769206424E-2</v>
      </c>
      <c r="E1860" s="1280">
        <v>0.48217453693025936</v>
      </c>
      <c r="F1860" s="1271">
        <v>5.792369066650236E-2</v>
      </c>
      <c r="G1860" s="1257">
        <v>7.4840878697269533E-2</v>
      </c>
      <c r="H1860" s="1280">
        <v>0.70823684473077853</v>
      </c>
      <c r="I1860" s="1271">
        <v>6.410634280485164E-2</v>
      </c>
      <c r="J1860" s="1257">
        <v>0.13127689815406826</v>
      </c>
      <c r="K1860" s="1280">
        <v>1.2423041759138664</v>
      </c>
      <c r="L1860" s="1237">
        <v>0.17426982850597503</v>
      </c>
    </row>
    <row r="1861" spans="1:12" s="326" customFormat="1" ht="15.5" x14ac:dyDescent="0.35">
      <c r="A1861" s="328" t="s">
        <v>2825</v>
      </c>
      <c r="B1861" s="1291">
        <v>6.4543330592285786E-2</v>
      </c>
      <c r="C1861" s="1257">
        <v>7.4757379860029116E-2</v>
      </c>
      <c r="D1861" s="1257">
        <v>7.1714811769206424E-2</v>
      </c>
      <c r="E1861" s="1280">
        <v>0.48217453693025936</v>
      </c>
      <c r="F1861" s="1271">
        <v>5.792369066650236E-2</v>
      </c>
      <c r="G1861" s="1257">
        <v>7.4840878697269533E-2</v>
      </c>
      <c r="H1861" s="1280">
        <v>0.70823684473077853</v>
      </c>
      <c r="I1861" s="1271">
        <v>6.410634280485164E-2</v>
      </c>
      <c r="J1861" s="1257">
        <v>0.13127689815406826</v>
      </c>
      <c r="K1861" s="1280">
        <v>1.2423041759138664</v>
      </c>
      <c r="L1861" s="1237">
        <v>0.17426982850597503</v>
      </c>
    </row>
    <row r="1862" spans="1:12" s="326" customFormat="1" ht="15.5" x14ac:dyDescent="0.35">
      <c r="A1862" s="328" t="s">
        <v>2826</v>
      </c>
      <c r="B1862" s="1291">
        <v>6.4543330592285786E-2</v>
      </c>
      <c r="C1862" s="1257">
        <v>7.4757379860029116E-2</v>
      </c>
      <c r="D1862" s="1257">
        <v>7.1714811769206424E-2</v>
      </c>
      <c r="E1862" s="1280">
        <v>0.48217453693025936</v>
      </c>
      <c r="F1862" s="1271">
        <v>5.792369066650236E-2</v>
      </c>
      <c r="G1862" s="1257">
        <v>7.4840878697269533E-2</v>
      </c>
      <c r="H1862" s="1280">
        <v>0.70823684473077853</v>
      </c>
      <c r="I1862" s="1271">
        <v>6.410634280485164E-2</v>
      </c>
      <c r="J1862" s="1257">
        <v>0.13127689815406826</v>
      </c>
      <c r="K1862" s="1280">
        <v>1.2423041759138664</v>
      </c>
      <c r="L1862" s="1237">
        <v>0.17426982850597503</v>
      </c>
    </row>
    <row r="1863" spans="1:12" s="326" customFormat="1" ht="15.5" x14ac:dyDescent="0.35">
      <c r="A1863" s="328" t="s">
        <v>2827</v>
      </c>
      <c r="B1863" s="1291">
        <v>6.4543330592285786E-2</v>
      </c>
      <c r="C1863" s="1257">
        <v>7.4757379860029116E-2</v>
      </c>
      <c r="D1863" s="1257">
        <v>7.1714811769206424E-2</v>
      </c>
      <c r="E1863" s="1280">
        <v>0.48217453693025936</v>
      </c>
      <c r="F1863" s="1271">
        <v>5.792369066650236E-2</v>
      </c>
      <c r="G1863" s="1257">
        <v>7.4840878697269533E-2</v>
      </c>
      <c r="H1863" s="1280">
        <v>0.70823684473077853</v>
      </c>
      <c r="I1863" s="1271">
        <v>6.410634280485164E-2</v>
      </c>
      <c r="J1863" s="1257">
        <v>0.13127689815406826</v>
      </c>
      <c r="K1863" s="1280">
        <v>1.2423041759138664</v>
      </c>
      <c r="L1863" s="1237">
        <v>0.17426982850597503</v>
      </c>
    </row>
    <row r="1864" spans="1:12" s="326" customFormat="1" ht="15.5" x14ac:dyDescent="0.35">
      <c r="A1864" s="328" t="s">
        <v>2828</v>
      </c>
      <c r="B1864" s="1291">
        <v>6.4543330592285786E-2</v>
      </c>
      <c r="C1864" s="1257">
        <v>7.4757379860029116E-2</v>
      </c>
      <c r="D1864" s="1257">
        <v>7.1714811769206424E-2</v>
      </c>
      <c r="E1864" s="1280">
        <v>0.48217453693025936</v>
      </c>
      <c r="F1864" s="1271">
        <v>5.792369066650236E-2</v>
      </c>
      <c r="G1864" s="1257">
        <v>7.4840878697269533E-2</v>
      </c>
      <c r="H1864" s="1280">
        <v>0.70823684473077853</v>
      </c>
      <c r="I1864" s="1271">
        <v>6.410634280485164E-2</v>
      </c>
      <c r="J1864" s="1257">
        <v>0.13127689815406826</v>
      </c>
      <c r="K1864" s="1280">
        <v>1.2423041759138664</v>
      </c>
      <c r="L1864" s="1237">
        <v>0.17426982850597503</v>
      </c>
    </row>
    <row r="1865" spans="1:12" s="326" customFormat="1" ht="15.5" x14ac:dyDescent="0.35">
      <c r="A1865" s="328" t="s">
        <v>2829</v>
      </c>
      <c r="B1865" s="1291">
        <v>6.4543330592285786E-2</v>
      </c>
      <c r="C1865" s="1257">
        <v>7.4757379860029116E-2</v>
      </c>
      <c r="D1865" s="1257">
        <v>7.1714811769206424E-2</v>
      </c>
      <c r="E1865" s="1280">
        <v>0.48217453693025936</v>
      </c>
      <c r="F1865" s="1271">
        <v>5.792369066650236E-2</v>
      </c>
      <c r="G1865" s="1257">
        <v>7.4840878697269533E-2</v>
      </c>
      <c r="H1865" s="1280">
        <v>0.70823684473077853</v>
      </c>
      <c r="I1865" s="1271">
        <v>6.410634280485164E-2</v>
      </c>
      <c r="J1865" s="1257">
        <v>0.13127689815406826</v>
      </c>
      <c r="K1865" s="1280">
        <v>1.2423041759138664</v>
      </c>
      <c r="L1865" s="1237">
        <v>0.17426982850597503</v>
      </c>
    </row>
    <row r="1866" spans="1:12" s="326" customFormat="1" ht="15.5" x14ac:dyDescent="0.35">
      <c r="A1866" s="328" t="s">
        <v>2830</v>
      </c>
      <c r="B1866" s="1291">
        <v>6.4543330592285786E-2</v>
      </c>
      <c r="C1866" s="1257">
        <v>7.4757379860029116E-2</v>
      </c>
      <c r="D1866" s="1257">
        <v>7.1714811769206424E-2</v>
      </c>
      <c r="E1866" s="1280">
        <v>0.48217453693025936</v>
      </c>
      <c r="F1866" s="1271">
        <v>5.792369066650236E-2</v>
      </c>
      <c r="G1866" s="1257">
        <v>7.4840878697269533E-2</v>
      </c>
      <c r="H1866" s="1280">
        <v>0.70823684473077853</v>
      </c>
      <c r="I1866" s="1271">
        <v>6.410634280485164E-2</v>
      </c>
      <c r="J1866" s="1257">
        <v>0.13127689815406826</v>
      </c>
      <c r="K1866" s="1280">
        <v>1.2423041759138664</v>
      </c>
      <c r="L1866" s="1237">
        <v>0.17426982850597503</v>
      </c>
    </row>
    <row r="1867" spans="1:12" s="326" customFormat="1" ht="15.5" x14ac:dyDescent="0.35">
      <c r="A1867" s="328" t="s">
        <v>2831</v>
      </c>
      <c r="B1867" s="1291">
        <v>6.4543330592285786E-2</v>
      </c>
      <c r="C1867" s="1257">
        <v>7.4757379860029116E-2</v>
      </c>
      <c r="D1867" s="1257">
        <v>7.1714811769206424E-2</v>
      </c>
      <c r="E1867" s="1280">
        <v>0.48217453693025936</v>
      </c>
      <c r="F1867" s="1271">
        <v>5.792369066650236E-2</v>
      </c>
      <c r="G1867" s="1257">
        <v>7.4840878697269533E-2</v>
      </c>
      <c r="H1867" s="1280">
        <v>0.70823684473077853</v>
      </c>
      <c r="I1867" s="1271">
        <v>6.410634280485164E-2</v>
      </c>
      <c r="J1867" s="1257">
        <v>0.13127689815406826</v>
      </c>
      <c r="K1867" s="1280">
        <v>1.2423041759138664</v>
      </c>
      <c r="L1867" s="1237">
        <v>0.17426982850597503</v>
      </c>
    </row>
    <row r="1868" spans="1:12" s="326" customFormat="1" ht="15.5" x14ac:dyDescent="0.35">
      <c r="A1868" s="328" t="s">
        <v>2832</v>
      </c>
      <c r="B1868" s="1291">
        <v>6.4543330592285786E-2</v>
      </c>
      <c r="C1868" s="1257">
        <v>7.4757379860029116E-2</v>
      </c>
      <c r="D1868" s="1257">
        <v>7.1714811769206424E-2</v>
      </c>
      <c r="E1868" s="1280">
        <v>0.48217453693025936</v>
      </c>
      <c r="F1868" s="1271">
        <v>5.792369066650236E-2</v>
      </c>
      <c r="G1868" s="1257">
        <v>7.4840878697269533E-2</v>
      </c>
      <c r="H1868" s="1280">
        <v>0.70823684473077853</v>
      </c>
      <c r="I1868" s="1271">
        <v>6.410634280485164E-2</v>
      </c>
      <c r="J1868" s="1257">
        <v>0.13127689815406826</v>
      </c>
      <c r="K1868" s="1280">
        <v>1.2423041759138664</v>
      </c>
      <c r="L1868" s="1237">
        <v>0.17426982850597503</v>
      </c>
    </row>
    <row r="1869" spans="1:12" s="326" customFormat="1" ht="15.5" x14ac:dyDescent="0.35">
      <c r="A1869" s="328" t="s">
        <v>2833</v>
      </c>
      <c r="B1869" s="1291">
        <v>6.4543330592285786E-2</v>
      </c>
      <c r="C1869" s="1257">
        <v>7.4757379860029116E-2</v>
      </c>
      <c r="D1869" s="1257">
        <v>7.1714811769206424E-2</v>
      </c>
      <c r="E1869" s="1280">
        <v>0.48217453693025936</v>
      </c>
      <c r="F1869" s="1271">
        <v>5.792369066650236E-2</v>
      </c>
      <c r="G1869" s="1257">
        <v>7.4840878697269533E-2</v>
      </c>
      <c r="H1869" s="1280">
        <v>0.70823684473077853</v>
      </c>
      <c r="I1869" s="1271">
        <v>6.410634280485164E-2</v>
      </c>
      <c r="J1869" s="1257">
        <v>0.13127689815406826</v>
      </c>
      <c r="K1869" s="1280">
        <v>1.2423041759138664</v>
      </c>
      <c r="L1869" s="1237">
        <v>0.17426982850597503</v>
      </c>
    </row>
    <row r="1870" spans="1:12" s="326" customFormat="1" ht="15.5" x14ac:dyDescent="0.35">
      <c r="A1870" s="328" t="s">
        <v>2834</v>
      </c>
      <c r="B1870" s="1291">
        <v>6.4543330592285786E-2</v>
      </c>
      <c r="C1870" s="1257">
        <v>7.4757379860029116E-2</v>
      </c>
      <c r="D1870" s="1257">
        <v>7.1714811769206424E-2</v>
      </c>
      <c r="E1870" s="1280">
        <v>0.48217453693025936</v>
      </c>
      <c r="F1870" s="1271">
        <v>5.792369066650236E-2</v>
      </c>
      <c r="G1870" s="1257">
        <v>7.4840878697269533E-2</v>
      </c>
      <c r="H1870" s="1280">
        <v>0.70823684473077853</v>
      </c>
      <c r="I1870" s="1271">
        <v>6.410634280485164E-2</v>
      </c>
      <c r="J1870" s="1257">
        <v>0.13127689815406826</v>
      </c>
      <c r="K1870" s="1280">
        <v>1.2423041759138664</v>
      </c>
      <c r="L1870" s="1237">
        <v>0.17426982850597503</v>
      </c>
    </row>
    <row r="1871" spans="1:12" s="326" customFormat="1" ht="15.5" x14ac:dyDescent="0.35">
      <c r="A1871" s="328" t="s">
        <v>2835</v>
      </c>
      <c r="B1871" s="1291">
        <v>6.4543330592285786E-2</v>
      </c>
      <c r="C1871" s="1257">
        <v>7.4757379860029116E-2</v>
      </c>
      <c r="D1871" s="1257">
        <v>7.1714811769206424E-2</v>
      </c>
      <c r="E1871" s="1280">
        <v>0.48217453693025936</v>
      </c>
      <c r="F1871" s="1271">
        <v>5.792369066650236E-2</v>
      </c>
      <c r="G1871" s="1257">
        <v>7.4840878697269533E-2</v>
      </c>
      <c r="H1871" s="1280">
        <v>0.70823684473077853</v>
      </c>
      <c r="I1871" s="1271">
        <v>6.410634280485164E-2</v>
      </c>
      <c r="J1871" s="1257">
        <v>0.13127689815406826</v>
      </c>
      <c r="K1871" s="1280">
        <v>1.2423041759138664</v>
      </c>
      <c r="L1871" s="1237">
        <v>0.17426982850597503</v>
      </c>
    </row>
    <row r="1872" spans="1:12" s="326" customFormat="1" ht="15.5" x14ac:dyDescent="0.35">
      <c r="A1872" s="328" t="s">
        <v>2836</v>
      </c>
      <c r="B1872" s="1291">
        <v>6.4543330592285786E-2</v>
      </c>
      <c r="C1872" s="1257">
        <v>7.4757379860029116E-2</v>
      </c>
      <c r="D1872" s="1257">
        <v>7.1714811769206424E-2</v>
      </c>
      <c r="E1872" s="1280">
        <v>0.48217453693025936</v>
      </c>
      <c r="F1872" s="1271">
        <v>5.792369066650236E-2</v>
      </c>
      <c r="G1872" s="1257">
        <v>7.4840878697269533E-2</v>
      </c>
      <c r="H1872" s="1280">
        <v>0.70823684473077853</v>
      </c>
      <c r="I1872" s="1271">
        <v>6.410634280485164E-2</v>
      </c>
      <c r="J1872" s="1257">
        <v>0.13127689815406826</v>
      </c>
      <c r="K1872" s="1280">
        <v>1.2423041759138664</v>
      </c>
      <c r="L1872" s="1237">
        <v>0.17426982850597503</v>
      </c>
    </row>
    <row r="1873" spans="1:12" s="326" customFormat="1" ht="15.5" x14ac:dyDescent="0.35">
      <c r="A1873" s="328" t="s">
        <v>2837</v>
      </c>
      <c r="B1873" s="1291">
        <v>6.4543330592285786E-2</v>
      </c>
      <c r="C1873" s="1257">
        <v>7.4757379860029116E-2</v>
      </c>
      <c r="D1873" s="1257">
        <v>7.1714811769206424E-2</v>
      </c>
      <c r="E1873" s="1280">
        <v>0.48217453693025936</v>
      </c>
      <c r="F1873" s="1271">
        <v>5.792369066650236E-2</v>
      </c>
      <c r="G1873" s="1257">
        <v>7.4840878697269533E-2</v>
      </c>
      <c r="H1873" s="1280">
        <v>0.70823684473077853</v>
      </c>
      <c r="I1873" s="1271">
        <v>6.410634280485164E-2</v>
      </c>
      <c r="J1873" s="1257">
        <v>0.13127689815406826</v>
      </c>
      <c r="K1873" s="1280">
        <v>1.2423041759138664</v>
      </c>
      <c r="L1873" s="1237">
        <v>0.17426982850597503</v>
      </c>
    </row>
    <row r="1874" spans="1:12" s="326" customFormat="1" ht="15.5" x14ac:dyDescent="0.35">
      <c r="A1874" s="328" t="s">
        <v>2838</v>
      </c>
      <c r="B1874" s="1291">
        <v>6.4543330592285786E-2</v>
      </c>
      <c r="C1874" s="1257">
        <v>7.4757379860029116E-2</v>
      </c>
      <c r="D1874" s="1257">
        <v>7.1714811769206424E-2</v>
      </c>
      <c r="E1874" s="1280">
        <v>0.48217453693025936</v>
      </c>
      <c r="F1874" s="1271">
        <v>5.792369066650236E-2</v>
      </c>
      <c r="G1874" s="1257">
        <v>7.4840878697269533E-2</v>
      </c>
      <c r="H1874" s="1280">
        <v>0.70823684473077853</v>
      </c>
      <c r="I1874" s="1271">
        <v>6.410634280485164E-2</v>
      </c>
      <c r="J1874" s="1257">
        <v>0.13127689815406826</v>
      </c>
      <c r="K1874" s="1280">
        <v>1.2423041759138664</v>
      </c>
      <c r="L1874" s="1237">
        <v>0.17426982850597503</v>
      </c>
    </row>
    <row r="1875" spans="1:12" s="326" customFormat="1" ht="15.5" x14ac:dyDescent="0.35">
      <c r="A1875" s="328" t="s">
        <v>2839</v>
      </c>
      <c r="B1875" s="1291">
        <v>6.4543330592285786E-2</v>
      </c>
      <c r="C1875" s="1257">
        <v>7.4757379860029116E-2</v>
      </c>
      <c r="D1875" s="1257">
        <v>7.1714811769206424E-2</v>
      </c>
      <c r="E1875" s="1280">
        <v>0.48217453693025936</v>
      </c>
      <c r="F1875" s="1271">
        <v>5.792369066650236E-2</v>
      </c>
      <c r="G1875" s="1257">
        <v>7.4840878697269533E-2</v>
      </c>
      <c r="H1875" s="1280">
        <v>0.70823684473077853</v>
      </c>
      <c r="I1875" s="1271">
        <v>6.410634280485164E-2</v>
      </c>
      <c r="J1875" s="1257">
        <v>0.13127689815406826</v>
      </c>
      <c r="K1875" s="1280">
        <v>1.2423041759138664</v>
      </c>
      <c r="L1875" s="1237">
        <v>0.17426982850597503</v>
      </c>
    </row>
    <row r="1876" spans="1:12" s="326" customFormat="1" ht="15.5" x14ac:dyDescent="0.35">
      <c r="A1876" s="328" t="s">
        <v>2840</v>
      </c>
      <c r="B1876" s="1291">
        <v>6.4543330592285786E-2</v>
      </c>
      <c r="C1876" s="1257">
        <v>7.4757379860029116E-2</v>
      </c>
      <c r="D1876" s="1257">
        <v>7.1714811769206424E-2</v>
      </c>
      <c r="E1876" s="1280">
        <v>0.48217453693025936</v>
      </c>
      <c r="F1876" s="1303">
        <v>5.792369066650236E-2</v>
      </c>
      <c r="G1876" s="1288">
        <v>7.4840878697269533E-2</v>
      </c>
      <c r="H1876" s="1280">
        <v>0.70823684473077853</v>
      </c>
      <c r="I1876" s="1303">
        <v>6.410634280485164E-2</v>
      </c>
      <c r="J1876" s="1288">
        <v>0.13127689815406826</v>
      </c>
      <c r="K1876" s="1280">
        <v>1.2423041759138664</v>
      </c>
      <c r="L1876" s="1237">
        <v>0.17426982850597503</v>
      </c>
    </row>
    <row r="1877" spans="1:12" s="326" customFormat="1" ht="15.5" x14ac:dyDescent="0.35">
      <c r="A1877" s="328" t="s">
        <v>2841</v>
      </c>
      <c r="B1877" s="1291">
        <v>6.4543330592285786E-2</v>
      </c>
      <c r="C1877" s="1257">
        <v>7.4757379860029116E-2</v>
      </c>
      <c r="D1877" s="1257">
        <v>7.1714811769206424E-2</v>
      </c>
      <c r="E1877" s="1280">
        <v>0.48217453693025936</v>
      </c>
      <c r="F1877" s="1303">
        <v>5.7710252024276716E-2</v>
      </c>
      <c r="G1877" s="1288">
        <v>7.3535941051148301E-2</v>
      </c>
      <c r="H1877" s="1280">
        <v>0.69588791274138129</v>
      </c>
      <c r="I1877" s="1303">
        <v>6.4045870172040359E-2</v>
      </c>
      <c r="J1877" s="1288">
        <v>0.1311252312149378</v>
      </c>
      <c r="K1877" s="1280">
        <v>1.2408689159825363</v>
      </c>
      <c r="L1877" s="1237">
        <v>0.17426982850597503</v>
      </c>
    </row>
    <row r="1878" spans="1:12" s="326" customFormat="1" ht="15.5" x14ac:dyDescent="0.35">
      <c r="A1878" s="328" t="s">
        <v>2842</v>
      </c>
      <c r="B1878" s="1291">
        <v>6.4543330592285786E-2</v>
      </c>
      <c r="C1878" s="1257">
        <v>7.4757379860029116E-2</v>
      </c>
      <c r="D1878" s="1257">
        <v>7.1714811769206424E-2</v>
      </c>
      <c r="E1878" s="1280">
        <v>0.48217453693025936</v>
      </c>
      <c r="F1878" s="1303">
        <v>5.7515669119677253E-2</v>
      </c>
      <c r="G1878" s="1288">
        <v>7.4440044844026373E-2</v>
      </c>
      <c r="H1878" s="1280">
        <v>0.70444365966369071</v>
      </c>
      <c r="I1878" s="1303">
        <v>6.3651101914246389E-2</v>
      </c>
      <c r="J1878" s="1288">
        <v>0.13038540419284525</v>
      </c>
      <c r="K1878" s="1280">
        <v>1.2338677587955282</v>
      </c>
      <c r="L1878" s="1237">
        <v>0.17426982850597503</v>
      </c>
    </row>
    <row r="1879" spans="1:12" s="326" customFormat="1" ht="15.5" x14ac:dyDescent="0.35">
      <c r="A1879" s="328" t="s">
        <v>2843</v>
      </c>
      <c r="B1879" s="1291">
        <v>6.4543330592285786E-2</v>
      </c>
      <c r="C1879" s="1257">
        <v>7.4757379860029116E-2</v>
      </c>
      <c r="D1879" s="1257">
        <v>7.1714811769206424E-2</v>
      </c>
      <c r="E1879" s="1280">
        <v>0.48217453693025936</v>
      </c>
      <c r="F1879" s="1303">
        <v>4.9342970827376785E-2</v>
      </c>
      <c r="G1879" s="1288">
        <v>7.3873503842809246E-2</v>
      </c>
      <c r="H1879" s="1280">
        <v>0.6990823488654081</v>
      </c>
      <c r="I1879" s="1303">
        <v>6.9591335637406326E-2</v>
      </c>
      <c r="J1879" s="1288">
        <v>0.12944579260038394</v>
      </c>
      <c r="K1879" s="1280">
        <v>1.224975993210986</v>
      </c>
      <c r="L1879" s="1237">
        <v>0.17426982850597503</v>
      </c>
    </row>
    <row r="1880" spans="1:12" s="326" customFormat="1" ht="15.5" x14ac:dyDescent="0.35">
      <c r="A1880" s="328" t="s">
        <v>2844</v>
      </c>
      <c r="B1880" s="1291">
        <v>6.4543330592285786E-2</v>
      </c>
      <c r="C1880" s="1257">
        <v>7.4757379860029116E-2</v>
      </c>
      <c r="D1880" s="1257">
        <v>7.1714811769206424E-2</v>
      </c>
      <c r="E1880" s="1280">
        <v>0.48217453693025936</v>
      </c>
      <c r="F1880" s="1303">
        <v>4.9711596520350156E-2</v>
      </c>
      <c r="G1880" s="1288">
        <v>7.2074989502810424E-2</v>
      </c>
      <c r="H1880" s="1280">
        <v>0.68206258448615442</v>
      </c>
      <c r="I1880" s="1303">
        <v>6.9415637676186207E-2</v>
      </c>
      <c r="J1880" s="1288">
        <v>0.1299579326857444</v>
      </c>
      <c r="K1880" s="1280">
        <v>1.2298224953423018</v>
      </c>
      <c r="L1880" s="1237">
        <v>0.17426982850597503</v>
      </c>
    </row>
    <row r="1881" spans="1:12" s="326" customFormat="1" ht="15.5" x14ac:dyDescent="0.35">
      <c r="A1881" s="328" t="s">
        <v>2845</v>
      </c>
      <c r="B1881" s="1291">
        <v>6.4543330592285786E-2</v>
      </c>
      <c r="C1881" s="1257">
        <v>7.4757379860029116E-2</v>
      </c>
      <c r="D1881" s="1257">
        <v>7.1714811769206424E-2</v>
      </c>
      <c r="E1881" s="1280">
        <v>0.48217453693025936</v>
      </c>
      <c r="F1881" s="1303">
        <v>4.934998817458805E-2</v>
      </c>
      <c r="G1881" s="1288">
        <v>7.7427199336095376E-2</v>
      </c>
      <c r="H1881" s="1280">
        <v>0.7327118054820202</v>
      </c>
      <c r="I1881" s="1303">
        <v>6.9135061571816175E-2</v>
      </c>
      <c r="J1881" s="1288">
        <v>0.13019388670637436</v>
      </c>
      <c r="K1881" s="1280">
        <v>1.2320553837581161</v>
      </c>
      <c r="L1881" s="1237">
        <v>0.17426982850597503</v>
      </c>
    </row>
    <row r="1882" spans="1:12" s="326" customFormat="1" ht="15.5" x14ac:dyDescent="0.35">
      <c r="A1882" s="328" t="s">
        <v>2846</v>
      </c>
      <c r="B1882" s="1291">
        <v>6.4543330592285786E-2</v>
      </c>
      <c r="C1882" s="1257">
        <v>7.4757379860029116E-2</v>
      </c>
      <c r="D1882" s="1257">
        <v>7.1714811769206424E-2</v>
      </c>
      <c r="E1882" s="1280">
        <v>0.48217453693025936</v>
      </c>
      <c r="F1882" s="1303">
        <v>5.8910692983742803E-2</v>
      </c>
      <c r="G1882" s="1288">
        <v>7.1451332654589583E-2</v>
      </c>
      <c r="H1882" s="1280">
        <v>0.67616077298865285</v>
      </c>
      <c r="I1882" s="1303">
        <v>7.4931547458591735E-2</v>
      </c>
      <c r="J1882" s="1288">
        <v>0.13103559678764196</v>
      </c>
      <c r="K1882" s="1280">
        <v>1.2400206843065824</v>
      </c>
      <c r="L1882" s="1237">
        <v>0.17426982850597503</v>
      </c>
    </row>
    <row r="1883" spans="1:12" s="326" customFormat="1" ht="15.5" x14ac:dyDescent="0.35">
      <c r="A1883" s="328" t="s">
        <v>2847</v>
      </c>
      <c r="B1883" s="1291">
        <v>6.4543330592285786E-2</v>
      </c>
      <c r="C1883" s="1257">
        <v>7.4757379860029116E-2</v>
      </c>
      <c r="D1883" s="1257">
        <v>7.1714811769206424E-2</v>
      </c>
      <c r="E1883" s="1280">
        <v>0.48217453693025936</v>
      </c>
      <c r="F1883" s="1303">
        <v>5.9136720636695429E-2</v>
      </c>
      <c r="G1883" s="1288">
        <v>6.976055069316528E-2</v>
      </c>
      <c r="H1883" s="1280">
        <v>0.66016050545664506</v>
      </c>
      <c r="I1883" s="1303">
        <v>7.5694317542000539E-2</v>
      </c>
      <c r="J1883" s="1288">
        <v>0.11626586398682473</v>
      </c>
      <c r="K1883" s="1280">
        <v>1.1002512275812018</v>
      </c>
      <c r="L1883" s="1237">
        <v>0.17426982850597503</v>
      </c>
    </row>
    <row r="1884" spans="1:12" s="326" customFormat="1" ht="15.5" x14ac:dyDescent="0.35">
      <c r="A1884" s="328" t="s">
        <v>2848</v>
      </c>
      <c r="B1884" s="1291">
        <v>6.4543330592285786E-2</v>
      </c>
      <c r="C1884" s="1257">
        <v>7.4757379860029116E-2</v>
      </c>
      <c r="D1884" s="1257">
        <v>7.1714811769206424E-2</v>
      </c>
      <c r="E1884" s="1280">
        <v>0.48217453693025936</v>
      </c>
      <c r="F1884" s="1303">
        <v>5.8857193083570895E-2</v>
      </c>
      <c r="G1884" s="1288">
        <v>6.3448341434969538E-2</v>
      </c>
      <c r="H1884" s="1280">
        <v>0.60042658402063087</v>
      </c>
      <c r="I1884" s="1303">
        <v>7.5482301071555485E-2</v>
      </c>
      <c r="J1884" s="1288">
        <v>9.9852217890826808E-2</v>
      </c>
      <c r="K1884" s="1280">
        <v>0.94492503254039784</v>
      </c>
      <c r="L1884" s="1237">
        <v>0.17426982850597503</v>
      </c>
    </row>
    <row r="1885" spans="1:12" s="326" customFormat="1" ht="15.5" x14ac:dyDescent="0.35">
      <c r="A1885" s="328" t="s">
        <v>2849</v>
      </c>
      <c r="B1885" s="1291">
        <v>6.4543330592285786E-2</v>
      </c>
      <c r="C1885" s="1257">
        <v>7.4757379860029116E-2</v>
      </c>
      <c r="D1885" s="1257">
        <v>7.1714811769206424E-2</v>
      </c>
      <c r="E1885" s="1280">
        <v>0.48217453693025936</v>
      </c>
      <c r="F1885" s="1303">
        <v>6.5168325681365769E-2</v>
      </c>
      <c r="G1885" s="1288">
        <v>5.8807586870383358E-2</v>
      </c>
      <c r="H1885" s="1280">
        <v>0.55651003163370127</v>
      </c>
      <c r="I1885" s="1303">
        <v>8.0995021450719379E-2</v>
      </c>
      <c r="J1885" s="1288">
        <v>9.9813383357137603E-2</v>
      </c>
      <c r="K1885" s="1280">
        <v>0.9445575322105596</v>
      </c>
      <c r="L1885" s="1237">
        <v>0.17426982850597503</v>
      </c>
    </row>
    <row r="1886" spans="1:12" s="326" customFormat="1" ht="15.5" x14ac:dyDescent="0.35">
      <c r="A1886" s="328" t="s">
        <v>2850</v>
      </c>
      <c r="B1886" s="1291">
        <v>6.4543330592285786E-2</v>
      </c>
      <c r="C1886" s="1257">
        <v>7.4757379860029116E-2</v>
      </c>
      <c r="D1886" s="1257">
        <v>7.1714811769206424E-2</v>
      </c>
      <c r="E1886" s="1280">
        <v>0.48217453693025936</v>
      </c>
      <c r="F1886" s="1303">
        <v>6.7341961761892541E-2</v>
      </c>
      <c r="G1886" s="1288">
        <v>5.9415547746860149E-2</v>
      </c>
      <c r="H1886" s="1280">
        <v>0.56226330845741923</v>
      </c>
      <c r="I1886" s="1303">
        <v>8.0694439491352229E-2</v>
      </c>
      <c r="J1886" s="1288">
        <v>0.10153447379432975</v>
      </c>
      <c r="K1886" s="1280">
        <v>0.96084461598016468</v>
      </c>
      <c r="L1886" s="1330">
        <v>0.17426982850597503</v>
      </c>
    </row>
    <row r="1887" spans="1:12" s="326" customFormat="1" ht="15.5" x14ac:dyDescent="0.35">
      <c r="A1887" s="328" t="s">
        <v>2851</v>
      </c>
      <c r="B1887" s="1291">
        <v>6.4543330592285786E-2</v>
      </c>
      <c r="C1887" s="1257">
        <v>7.4757379860029116E-2</v>
      </c>
      <c r="D1887" s="1257">
        <v>7.1714811769206424E-2</v>
      </c>
      <c r="E1887" s="1280">
        <v>0.48217453693025936</v>
      </c>
      <c r="F1887" s="1303">
        <v>6.1419804800626122E-2</v>
      </c>
      <c r="G1887" s="1288">
        <v>5.985652041053665E-2</v>
      </c>
      <c r="H1887" s="1280">
        <v>0.56643633653206371</v>
      </c>
      <c r="I1887" s="1303">
        <v>8.0926742796961756E-2</v>
      </c>
      <c r="J1887" s="1288">
        <v>0.10144836220719282</v>
      </c>
      <c r="K1887" s="1280">
        <v>0.96002972176953794</v>
      </c>
      <c r="L1887" s="1330">
        <v>0.17348313277342409</v>
      </c>
    </row>
    <row r="1888" spans="1:12" s="326" customFormat="1" ht="15.5" x14ac:dyDescent="0.35">
      <c r="A1888" s="328" t="s">
        <v>2852</v>
      </c>
      <c r="B1888" s="1291">
        <v>6.4543330592285786E-2</v>
      </c>
      <c r="C1888" s="1257">
        <v>7.4757379860029116E-2</v>
      </c>
      <c r="D1888" s="1257">
        <v>7.1714811769206424E-2</v>
      </c>
      <c r="E1888" s="1280">
        <v>0.48217453693025936</v>
      </c>
      <c r="F1888" s="1303">
        <v>6.6925919259574793E-2</v>
      </c>
      <c r="G1888" s="1288">
        <v>5.8749264678338992E-2</v>
      </c>
      <c r="H1888" s="1280">
        <v>0.5559581150075168</v>
      </c>
      <c r="I1888" s="1303">
        <v>8.0853118316358413E-2</v>
      </c>
      <c r="J1888" s="1288">
        <v>0.101811392175589</v>
      </c>
      <c r="K1888" s="1280">
        <v>0.96346515977928715</v>
      </c>
      <c r="L1888" s="1330">
        <v>0.16373721182592699</v>
      </c>
    </row>
    <row r="1889" spans="1:12" s="326" customFormat="1" ht="15.5" x14ac:dyDescent="0.35">
      <c r="A1889" s="328" t="s">
        <v>2853</v>
      </c>
      <c r="B1889" s="1291">
        <v>6.4543330592285786E-2</v>
      </c>
      <c r="C1889" s="1257">
        <v>7.4757379860029116E-2</v>
      </c>
      <c r="D1889" s="1257">
        <v>7.1714811769206424E-2</v>
      </c>
      <c r="E1889" s="1280">
        <v>0.48217453693025936</v>
      </c>
      <c r="F1889" s="1303">
        <v>6.2698505845892025E-2</v>
      </c>
      <c r="G1889" s="1288">
        <v>5.6477462529845285E-2</v>
      </c>
      <c r="H1889" s="1280">
        <v>0.53445951673463887</v>
      </c>
      <c r="I1889" s="1303">
        <v>7.865127272257609E-2</v>
      </c>
      <c r="J1889" s="1288">
        <v>9.9262427797807182E-2</v>
      </c>
      <c r="K1889" s="1280">
        <v>0.93934371011601359</v>
      </c>
      <c r="L1889" s="1330">
        <v>0.19316553284514446</v>
      </c>
    </row>
    <row r="1890" spans="1:12" s="326" customFormat="1" ht="15.5" x14ac:dyDescent="0.35">
      <c r="A1890" s="328" t="s">
        <v>2854</v>
      </c>
      <c r="B1890" s="1291">
        <v>6.4543330592285786E-2</v>
      </c>
      <c r="C1890" s="1257">
        <v>7.4757379860029116E-2</v>
      </c>
      <c r="D1890" s="1257">
        <v>7.1714811769206424E-2</v>
      </c>
      <c r="E1890" s="1280">
        <v>0.48217453693025936</v>
      </c>
      <c r="F1890" s="1303">
        <v>6.0895194093833739E-2</v>
      </c>
      <c r="G1890" s="1288">
        <v>5.7087413747929222E-2</v>
      </c>
      <c r="H1890" s="1280">
        <v>0.54023162862930074</v>
      </c>
      <c r="I1890" s="1303">
        <v>7.8166109809935991E-2</v>
      </c>
      <c r="J1890" s="1288">
        <v>0.10003941503640014</v>
      </c>
      <c r="K1890" s="1280">
        <v>0.94669652317534547</v>
      </c>
      <c r="L1890" s="1330">
        <v>0.19316553284515176</v>
      </c>
    </row>
    <row r="1891" spans="1:12" s="326" customFormat="1" ht="15.5" x14ac:dyDescent="0.35">
      <c r="A1891" s="328" t="s">
        <v>2855</v>
      </c>
      <c r="B1891" s="1291">
        <v>6.4543330592285786E-2</v>
      </c>
      <c r="C1891" s="1257">
        <v>7.4757379860029116E-2</v>
      </c>
      <c r="D1891" s="1257">
        <v>7.1714811769206424E-2</v>
      </c>
      <c r="E1891" s="1280">
        <v>0.48217453693025936</v>
      </c>
      <c r="F1891" s="1303">
        <v>6.2043254620499907E-2</v>
      </c>
      <c r="G1891" s="1288">
        <v>5.7674294766698206E-2</v>
      </c>
      <c r="H1891" s="1280">
        <v>0.54578542179956324</v>
      </c>
      <c r="I1891" s="1303">
        <v>7.5796980069244152E-2</v>
      </c>
      <c r="J1891" s="1288">
        <v>9.731108826303532E-2</v>
      </c>
      <c r="K1891" s="1280">
        <v>0.9208777249597534</v>
      </c>
      <c r="L1891" s="1330">
        <v>0.19316553284512347</v>
      </c>
    </row>
    <row r="1892" spans="1:12" s="326" customFormat="1" ht="15.5" x14ac:dyDescent="0.35">
      <c r="A1892" s="328" t="s">
        <v>2856</v>
      </c>
      <c r="B1892" s="1291">
        <v>6.4543330592285786E-2</v>
      </c>
      <c r="C1892" s="1257">
        <v>7.4757379860029116E-2</v>
      </c>
      <c r="D1892" s="1257">
        <v>7.1714811769206424E-2</v>
      </c>
      <c r="E1892" s="1280">
        <v>0.48217453693025936</v>
      </c>
      <c r="F1892" s="1303">
        <v>6.0646572821500391E-2</v>
      </c>
      <c r="G1892" s="1288">
        <v>5.6909301917062949E-2</v>
      </c>
      <c r="H1892" s="1280">
        <v>0.53854611446514722</v>
      </c>
      <c r="I1892" s="1303">
        <v>7.3030209679947763E-2</v>
      </c>
      <c r="J1892" s="1288">
        <v>9.5905748584106262E-2</v>
      </c>
      <c r="K1892" s="1280">
        <v>0.90757866490988792</v>
      </c>
      <c r="L1892" s="1330">
        <v>0.19783981670368314</v>
      </c>
    </row>
    <row r="1893" spans="1:12" s="326" customFormat="1" ht="15.5" x14ac:dyDescent="0.35">
      <c r="A1893" s="328" t="s">
        <v>2857</v>
      </c>
      <c r="B1893" s="1291">
        <v>6.4543330592285786E-2</v>
      </c>
      <c r="C1893" s="1257">
        <v>7.4757379860029116E-2</v>
      </c>
      <c r="D1893" s="1257">
        <v>7.1714811769206424E-2</v>
      </c>
      <c r="E1893" s="1280">
        <v>0.48217453693025936</v>
      </c>
      <c r="F1893" s="1303">
        <v>5.5791363329152049E-2</v>
      </c>
      <c r="G1893" s="1288">
        <v>5.5466620172680503E-2</v>
      </c>
      <c r="H1893" s="1280">
        <v>0.52489367766352801</v>
      </c>
      <c r="I1893" s="1303">
        <v>6.8500844732205704E-2</v>
      </c>
      <c r="J1893" s="1288">
        <v>9.1316146197284301E-2</v>
      </c>
      <c r="K1893" s="1280">
        <v>0.86414617761694767</v>
      </c>
      <c r="L1893" s="1330">
        <v>0.19783981670371531</v>
      </c>
    </row>
    <row r="1894" spans="1:12" s="326" customFormat="1" ht="15.5" x14ac:dyDescent="0.35">
      <c r="A1894" s="328" t="s">
        <v>2858</v>
      </c>
      <c r="B1894" s="1291">
        <v>6.4543330592285786E-2</v>
      </c>
      <c r="C1894" s="1257">
        <v>7.4757379860029116E-2</v>
      </c>
      <c r="D1894" s="1257">
        <v>7.1714811769206424E-2</v>
      </c>
      <c r="E1894" s="1280">
        <v>0.48217453693025936</v>
      </c>
      <c r="F1894" s="1303">
        <v>5.7719236564345702E-2</v>
      </c>
      <c r="G1894" s="1288">
        <v>5.3549738120066748E-2</v>
      </c>
      <c r="H1894" s="1280">
        <v>0.50675377176857284</v>
      </c>
      <c r="I1894" s="1303">
        <v>6.8577624689316954E-2</v>
      </c>
      <c r="J1894" s="1288">
        <v>9.0463916003805114E-2</v>
      </c>
      <c r="K1894" s="1280">
        <v>0.85608132277130278</v>
      </c>
      <c r="L1894" s="1330">
        <v>0.19783981670353074</v>
      </c>
    </row>
    <row r="1895" spans="1:12" s="326" customFormat="1" ht="15.5" x14ac:dyDescent="0.35">
      <c r="A1895" s="328" t="s">
        <v>2859</v>
      </c>
      <c r="B1895" s="1291">
        <v>6.4543330592285786E-2</v>
      </c>
      <c r="C1895" s="1257">
        <v>7.4757379860029116E-2</v>
      </c>
      <c r="D1895" s="1257">
        <v>7.1714811769206424E-2</v>
      </c>
      <c r="E1895" s="1280">
        <v>0.48217453693025936</v>
      </c>
      <c r="F1895" s="1303">
        <v>5.4761528913964734E-2</v>
      </c>
      <c r="G1895" s="1288">
        <v>5.3287560988254219E-2</v>
      </c>
      <c r="H1895" s="1280">
        <v>0.50427272788149402</v>
      </c>
      <c r="I1895" s="1303">
        <v>6.5137748412424368E-2</v>
      </c>
      <c r="J1895" s="1288">
        <v>8.7767800424117665E-2</v>
      </c>
      <c r="K1895" s="1280">
        <v>0.83056734666058396</v>
      </c>
      <c r="L1895" s="1330">
        <v>0.19783981670370016</v>
      </c>
    </row>
    <row r="1896" spans="1:12" s="326" customFormat="1" ht="15.5" x14ac:dyDescent="0.35">
      <c r="A1896" s="328" t="s">
        <v>2860</v>
      </c>
      <c r="B1896" s="1291">
        <v>6.4543330592285786E-2</v>
      </c>
      <c r="C1896" s="1257">
        <v>7.4757379860029116E-2</v>
      </c>
      <c r="D1896" s="1257">
        <v>7.1714811769206424E-2</v>
      </c>
      <c r="E1896" s="1280">
        <v>0.48217453693025936</v>
      </c>
      <c r="F1896" s="1303">
        <v>5.3272215061538189E-2</v>
      </c>
      <c r="G1896" s="1288">
        <v>5.060675439115099E-2</v>
      </c>
      <c r="H1896" s="1280">
        <v>0.47890362427508326</v>
      </c>
      <c r="I1896" s="1303">
        <v>6.3501584318150575E-2</v>
      </c>
      <c r="J1896" s="1288">
        <v>8.5550096228565131E-2</v>
      </c>
      <c r="K1896" s="1280">
        <v>0.80958069004531863</v>
      </c>
      <c r="L1896" s="1330">
        <v>0.17892508493951176</v>
      </c>
    </row>
    <row r="1897" spans="1:12" s="326" customFormat="1" ht="15.5" x14ac:dyDescent="0.35">
      <c r="A1897" s="328" t="s">
        <v>2861</v>
      </c>
      <c r="B1897" s="1291">
        <v>6.4543330592285786E-2</v>
      </c>
      <c r="C1897" s="1257">
        <v>7.4757379860029116E-2</v>
      </c>
      <c r="D1897" s="1257">
        <v>7.1714811769206424E-2</v>
      </c>
      <c r="E1897" s="1280">
        <v>0.48217453693025936</v>
      </c>
      <c r="F1897" s="1303">
        <v>5.1872828682033627E-2</v>
      </c>
      <c r="G1897" s="1288">
        <v>4.8758888810177814E-2</v>
      </c>
      <c r="H1897" s="1280">
        <v>0.46141683749043266</v>
      </c>
      <c r="I1897" s="1303">
        <v>6.1930641664532535E-2</v>
      </c>
      <c r="J1897" s="1288">
        <v>8.3420507804847763E-2</v>
      </c>
      <c r="K1897" s="1280">
        <v>0.78942789371205191</v>
      </c>
      <c r="L1897" s="1330">
        <v>0.17892508493965281</v>
      </c>
    </row>
    <row r="1898" spans="1:12" s="326" customFormat="1" ht="15.5" x14ac:dyDescent="0.35">
      <c r="A1898" s="328" t="s">
        <v>2862</v>
      </c>
      <c r="B1898" s="1291">
        <v>6.4543330592285786E-2</v>
      </c>
      <c r="C1898" s="1257">
        <v>7.4757379860029116E-2</v>
      </c>
      <c r="D1898" s="1257">
        <v>7.1714811769206424E-2</v>
      </c>
      <c r="E1898" s="1280">
        <v>0.48217453693025936</v>
      </c>
      <c r="F1898" s="1303">
        <v>5.0467150586650925E-2</v>
      </c>
      <c r="G1898" s="1288">
        <v>4.7064390925472224E-2</v>
      </c>
      <c r="H1898" s="1280">
        <v>0.44538140530207909</v>
      </c>
      <c r="I1898" s="1303">
        <v>6.0359811491068185E-2</v>
      </c>
      <c r="J1898" s="1288">
        <v>8.129620148145586E-2</v>
      </c>
      <c r="K1898" s="1280">
        <v>0.76932508313701242</v>
      </c>
      <c r="L1898" s="1330">
        <v>0.17892508493968426</v>
      </c>
    </row>
    <row r="1899" spans="1:12" s="326" customFormat="1" ht="15.5" x14ac:dyDescent="0.35">
      <c r="A1899" s="328" t="s">
        <v>2863</v>
      </c>
      <c r="B1899" s="1291">
        <v>6.4543330592285786E-2</v>
      </c>
      <c r="C1899" s="1257">
        <v>7.4757379860029116E-2</v>
      </c>
      <c r="D1899" s="1257">
        <v>7.1714811769206424E-2</v>
      </c>
      <c r="E1899" s="1280">
        <v>0.48217453693025936</v>
      </c>
      <c r="F1899" s="1303">
        <v>5.0218243822929325E-2</v>
      </c>
      <c r="G1899" s="1288">
        <v>4.5434114073104867E-2</v>
      </c>
      <c r="H1899" s="1306">
        <v>0.42925862605686654</v>
      </c>
      <c r="I1899" s="1303">
        <v>6.0351461915764439E-2</v>
      </c>
      <c r="J1899" s="1288">
        <v>8.1262461613208839E-2</v>
      </c>
      <c r="K1899" s="1306">
        <v>0.59935670481733694</v>
      </c>
      <c r="L1899" s="1330">
        <v>0.16538466881928132</v>
      </c>
    </row>
    <row r="1900" spans="1:12" s="326" customFormat="1" ht="15.5" x14ac:dyDescent="0.35">
      <c r="A1900" s="328" t="s">
        <v>2864</v>
      </c>
      <c r="B1900" s="1291">
        <v>6.4543330592285786E-2</v>
      </c>
      <c r="C1900" s="1257">
        <v>7.4757379860029116E-2</v>
      </c>
      <c r="D1900" s="1257">
        <v>7.1714811769206424E-2</v>
      </c>
      <c r="E1900" s="1280">
        <v>0.48217453693025936</v>
      </c>
      <c r="F1900" s="1303">
        <v>5.0000668585991503E-2</v>
      </c>
      <c r="G1900" s="1288">
        <v>4.3920690840898398E-2</v>
      </c>
      <c r="H1900" s="1306">
        <v>0.43788665396876741</v>
      </c>
      <c r="I1900" s="1303">
        <v>6.0342466543866866E-2</v>
      </c>
      <c r="J1900" s="1288">
        <v>8.1226911193775259E-2</v>
      </c>
      <c r="K1900" s="1306">
        <v>0.59938520175357479</v>
      </c>
      <c r="L1900" s="1330">
        <v>0.1653846688191857</v>
      </c>
    </row>
    <row r="1901" spans="1:12" s="326" customFormat="1" ht="15.5" x14ac:dyDescent="0.35">
      <c r="A1901" s="328" t="s">
        <v>2865</v>
      </c>
      <c r="B1901" s="1291">
        <v>6.4543330592285786E-2</v>
      </c>
      <c r="C1901" s="1257">
        <v>7.4757379860029116E-2</v>
      </c>
      <c r="D1901" s="1257">
        <v>7.1714811769206424E-2</v>
      </c>
      <c r="E1901" s="1280">
        <v>0.48217453693025936</v>
      </c>
      <c r="F1901" s="1303">
        <v>4.9838493423795469E-2</v>
      </c>
      <c r="G1901" s="1288">
        <v>4.3351534033074929E-2</v>
      </c>
      <c r="H1901" s="1306">
        <v>0.45415998102052207</v>
      </c>
      <c r="I1901" s="1303">
        <v>6.0333533528276868E-2</v>
      </c>
      <c r="J1901" s="1288">
        <v>8.1190854069487117E-2</v>
      </c>
      <c r="K1901" s="1306">
        <v>0.59951226595029194</v>
      </c>
      <c r="L1901" s="1330">
        <v>0.16538466881920322</v>
      </c>
    </row>
    <row r="1902" spans="1:12" s="326" customFormat="1" ht="15.5" x14ac:dyDescent="0.35">
      <c r="A1902" s="328" t="s">
        <v>2866</v>
      </c>
      <c r="B1902" s="1291">
        <v>6.4543330592285786E-2</v>
      </c>
      <c r="C1902" s="1257">
        <v>7.4757379860029116E-2</v>
      </c>
      <c r="D1902" s="1257">
        <v>7.1714811769206424E-2</v>
      </c>
      <c r="E1902" s="1280">
        <v>0.48217453693025936</v>
      </c>
      <c r="F1902" s="1303">
        <v>4.9662688368032608E-2</v>
      </c>
      <c r="G1902" s="1288">
        <v>4.3092520092251022E-2</v>
      </c>
      <c r="H1902" s="1306">
        <v>0.47026056826546903</v>
      </c>
      <c r="I1902" s="1303">
        <v>6.0325089492574785E-2</v>
      </c>
      <c r="J1902" s="1288">
        <v>8.1155170030882712E-2</v>
      </c>
      <c r="K1902" s="1306">
        <v>0.59960273196786618</v>
      </c>
      <c r="L1902" s="1330">
        <v>0.15942827636370668</v>
      </c>
    </row>
    <row r="1903" spans="1:12" s="326" customFormat="1" ht="15.5" x14ac:dyDescent="0.35">
      <c r="A1903" s="328" t="s">
        <v>2867</v>
      </c>
      <c r="B1903" s="1291">
        <v>6.4543330592285786E-2</v>
      </c>
      <c r="C1903" s="1257">
        <v>7.4757379860029116E-2</v>
      </c>
      <c r="D1903" s="1257">
        <v>7.1714811769206424E-2</v>
      </c>
      <c r="E1903" s="1280">
        <v>0.48217453693025936</v>
      </c>
      <c r="F1903" s="1303">
        <v>4.9425270804041042E-2</v>
      </c>
      <c r="G1903" s="1288">
        <v>4.2796330446529092E-2</v>
      </c>
      <c r="H1903" s="1306">
        <v>0.48067347731994647</v>
      </c>
      <c r="I1903" s="1303">
        <v>6.0316857394710606E-2</v>
      </c>
      <c r="J1903" s="1288">
        <v>8.1119392686096539E-2</v>
      </c>
      <c r="K1903" s="1306">
        <v>0.59965321475702216</v>
      </c>
      <c r="L1903" s="1330">
        <v>0.15942827636370011</v>
      </c>
    </row>
    <row r="1904" spans="1:12" s="326" customFormat="1" ht="15.5" x14ac:dyDescent="0.35">
      <c r="A1904" s="328" t="s">
        <v>2868</v>
      </c>
      <c r="B1904" s="1291">
        <v>6.4543330592285786E-2</v>
      </c>
      <c r="C1904" s="1257">
        <v>7.4757379860029116E-2</v>
      </c>
      <c r="D1904" s="1257">
        <v>7.1714811769206424E-2</v>
      </c>
      <c r="E1904" s="1280">
        <v>0.48217453693025936</v>
      </c>
      <c r="F1904" s="1303">
        <v>4.918646249262433E-2</v>
      </c>
      <c r="G1904" s="1288">
        <v>4.2521025331661778E-2</v>
      </c>
      <c r="H1904" s="1306">
        <v>0.4886584201187284</v>
      </c>
      <c r="I1904" s="1303">
        <v>6.0308714458653608E-2</v>
      </c>
      <c r="J1904" s="1288">
        <v>8.1083560644612002E-2</v>
      </c>
      <c r="K1904" s="1306">
        <v>0.59975815648769881</v>
      </c>
      <c r="L1904" s="1330">
        <v>0.15942827636370532</v>
      </c>
    </row>
    <row r="1905" spans="1:12" s="326" customFormat="1" ht="15.5" x14ac:dyDescent="0.35">
      <c r="A1905" s="328" t="s">
        <v>2869</v>
      </c>
      <c r="B1905" s="1291">
        <v>6.4543330592285786E-2</v>
      </c>
      <c r="C1905" s="1257">
        <v>7.4757379860029116E-2</v>
      </c>
      <c r="D1905" s="1257">
        <v>7.1714811769206424E-2</v>
      </c>
      <c r="E1905" s="1280">
        <v>0.48217453693025936</v>
      </c>
      <c r="F1905" s="1303">
        <v>4.8927590479925162E-2</v>
      </c>
      <c r="G1905" s="1288">
        <v>4.2275420834920502E-2</v>
      </c>
      <c r="H1905" s="1306">
        <v>0.49440414362693286</v>
      </c>
      <c r="I1905" s="1303">
        <v>6.0300701223110473E-2</v>
      </c>
      <c r="J1905" s="1288">
        <v>8.1048138348625537E-2</v>
      </c>
      <c r="K1905" s="1306">
        <v>0.5997882980984186</v>
      </c>
      <c r="L1905" s="1330">
        <v>0.15942827636370965</v>
      </c>
    </row>
    <row r="1906" spans="1:12" s="326" customFormat="1" ht="15.5" x14ac:dyDescent="0.35">
      <c r="A1906" s="328" t="s">
        <v>2870</v>
      </c>
      <c r="B1906" s="1291">
        <v>6.4543330592285786E-2</v>
      </c>
      <c r="C1906" s="1257">
        <v>7.4757379860029116E-2</v>
      </c>
      <c r="D1906" s="1257">
        <v>7.1714811769206424E-2</v>
      </c>
      <c r="E1906" s="1306">
        <v>1.961352472788406</v>
      </c>
      <c r="F1906" s="1303">
        <v>4.8664902726093334E-2</v>
      </c>
      <c r="G1906" s="1288">
        <v>4.201357277561589E-2</v>
      </c>
      <c r="H1906" s="1306">
        <v>0.50174312204050775</v>
      </c>
      <c r="I1906" s="1303">
        <v>6.0292903296521587E-2</v>
      </c>
      <c r="J1906" s="1288">
        <v>8.1013662761089386E-2</v>
      </c>
      <c r="K1906" s="1306">
        <v>0.59981870635619461</v>
      </c>
      <c r="L1906" s="1330">
        <v>0.15834731613925795</v>
      </c>
    </row>
    <row r="1907" spans="1:12" s="326" customFormat="1" ht="15.5" x14ac:dyDescent="0.35">
      <c r="A1907" s="328" t="s">
        <v>2871</v>
      </c>
      <c r="B1907" s="1291">
        <v>6.4543330592285786E-2</v>
      </c>
      <c r="C1907" s="1257">
        <v>7.4757379860029116E-2</v>
      </c>
      <c r="D1907" s="1257">
        <v>7.1714811769206424E-2</v>
      </c>
      <c r="E1907" s="1306">
        <v>1.8016062030031579</v>
      </c>
      <c r="F1907" s="1303">
        <v>4.8355260444680734E-2</v>
      </c>
      <c r="G1907" s="1288">
        <v>4.1766128625925152E-2</v>
      </c>
      <c r="H1907" s="1306">
        <v>0.50799387496813919</v>
      </c>
      <c r="I1907" s="1303">
        <v>6.0285110890294563E-2</v>
      </c>
      <c r="J1907" s="1288">
        <v>8.0979902131603054E-2</v>
      </c>
      <c r="K1907" s="1306">
        <v>0.59988584520421895</v>
      </c>
      <c r="L1907" s="1330">
        <v>0.15737445193726074</v>
      </c>
    </row>
    <row r="1908" spans="1:12" s="326" customFormat="1" ht="15.5" x14ac:dyDescent="0.35">
      <c r="A1908" s="328" t="s">
        <v>2872</v>
      </c>
      <c r="B1908" s="1291">
        <v>6.4543330592285786E-2</v>
      </c>
      <c r="C1908" s="1257">
        <v>7.4757379860029116E-2</v>
      </c>
      <c r="D1908" s="1257">
        <v>7.1714811769206424E-2</v>
      </c>
      <c r="E1908" s="1306">
        <v>1.8717991672744294</v>
      </c>
      <c r="F1908" s="1303">
        <v>4.8034913144048105E-2</v>
      </c>
      <c r="G1908" s="1288">
        <v>4.1524611875626498E-2</v>
      </c>
      <c r="H1908" s="1306">
        <v>0.51360658431411654</v>
      </c>
      <c r="I1908" s="1303">
        <v>6.027736773397574E-2</v>
      </c>
      <c r="J1908" s="1288">
        <v>8.0946924838000561E-2</v>
      </c>
      <c r="K1908" s="1306">
        <v>0.59995537302164947</v>
      </c>
      <c r="L1908" s="1330">
        <v>0.15649887415545841</v>
      </c>
    </row>
    <row r="1909" spans="1:12" s="326" customFormat="1" ht="15.5" x14ac:dyDescent="0.35">
      <c r="A1909" s="328" t="s">
        <v>2873</v>
      </c>
      <c r="B1909" s="1291">
        <v>6.4543330592285786E-2</v>
      </c>
      <c r="C1909" s="1257">
        <v>7.4757379860029116E-2</v>
      </c>
      <c r="D1909" s="1257">
        <v>7.1714811769206424E-2</v>
      </c>
      <c r="E1909" s="1306">
        <v>1.8163785563633781</v>
      </c>
      <c r="F1909" s="1303">
        <v>4.765420927643494E-2</v>
      </c>
      <c r="G1909" s="1288">
        <v>4.1285884643638471E-2</v>
      </c>
      <c r="H1909" s="1306">
        <v>0.51840956599070942</v>
      </c>
      <c r="I1909" s="1303">
        <v>6.0269760297765679E-2</v>
      </c>
      <c r="J1909" s="1288">
        <v>8.0914576332410601E-2</v>
      </c>
      <c r="K1909" s="1306">
        <v>0.60002957384984335</v>
      </c>
      <c r="L1909" s="1330">
        <v>0.15571085415183689</v>
      </c>
    </row>
    <row r="1910" spans="1:12" s="326" customFormat="1" ht="15.5" x14ac:dyDescent="0.35">
      <c r="A1910" s="328" t="s">
        <v>2874</v>
      </c>
      <c r="B1910" s="1287">
        <v>6.4543330592285786E-2</v>
      </c>
      <c r="C1910" s="1288">
        <v>7.4757379860029116E-2</v>
      </c>
      <c r="D1910" s="1288">
        <v>8.4374128745729124E-2</v>
      </c>
      <c r="E1910" s="1306">
        <v>1.8998878604840246</v>
      </c>
      <c r="F1910" s="1303">
        <v>4.7245373548774561E-2</v>
      </c>
      <c r="G1910" s="1288">
        <v>4.1042388539878336E-2</v>
      </c>
      <c r="H1910" s="1306">
        <v>0.52263257200640756</v>
      </c>
      <c r="I1910" s="1303">
        <v>6.0262188370682312E-2</v>
      </c>
      <c r="J1910" s="1288">
        <v>8.0882085708329346E-2</v>
      </c>
      <c r="K1910" s="1306">
        <v>0.60011207506460029</v>
      </c>
      <c r="L1910" s="1330">
        <v>0.15500163614858153</v>
      </c>
    </row>
    <row r="1911" spans="1:12" s="326" customFormat="1" ht="15.5" x14ac:dyDescent="0.35">
      <c r="A1911" s="328" t="s">
        <v>2875</v>
      </c>
      <c r="B1911" s="1287">
        <v>6.4638498242281378E-2</v>
      </c>
      <c r="C1911" s="1288">
        <v>9.15671623812533E-2</v>
      </c>
      <c r="D1911" s="1288">
        <v>8.3844665776570973E-2</v>
      </c>
      <c r="E1911" s="1306">
        <v>1.9585972683089095</v>
      </c>
      <c r="F1911" s="1303">
        <v>4.7164120454665025E-2</v>
      </c>
      <c r="G1911" s="1288">
        <v>4.0991569575647188E-2</v>
      </c>
      <c r="H1911" s="1306">
        <v>0.52185447586432032</v>
      </c>
      <c r="I1911" s="1303">
        <v>6.0254575732260493E-2</v>
      </c>
      <c r="J1911" s="1288">
        <v>8.0848684946812854E-2</v>
      </c>
      <c r="K1911" s="1306">
        <v>0.60016684839867451</v>
      </c>
      <c r="L1911" s="1330">
        <v>0.15436333994564741</v>
      </c>
    </row>
    <row r="1912" spans="1:12" s="326" customFormat="1" ht="15.5" x14ac:dyDescent="0.35">
      <c r="A1912" s="328" t="s">
        <v>2876</v>
      </c>
      <c r="B1912" s="1287">
        <v>6.3966861657527282E-2</v>
      </c>
      <c r="C1912" s="1288">
        <v>8.2558304166758745E-2</v>
      </c>
      <c r="D1912" s="1288">
        <v>7.4458859469190564E-2</v>
      </c>
      <c r="E1912" s="1306">
        <v>1.992278511822914</v>
      </c>
      <c r="F1912" s="1303">
        <v>4.7129677597577739E-2</v>
      </c>
      <c r="G1912" s="1288">
        <v>4.0955624222512609E-2</v>
      </c>
      <c r="H1912" s="1306">
        <v>0.52167302577372021</v>
      </c>
      <c r="I1912" s="1303">
        <v>6.0246708344862343E-2</v>
      </c>
      <c r="J1912" s="1288">
        <v>8.0813527915703481E-2</v>
      </c>
      <c r="K1912" s="1306">
        <v>0.60023620944118095</v>
      </c>
      <c r="L1912" s="1330">
        <v>0.15378887336300889</v>
      </c>
    </row>
    <row r="1913" spans="1:12" s="326" customFormat="1" ht="15.5" x14ac:dyDescent="0.35">
      <c r="A1913" s="328" t="s">
        <v>2877</v>
      </c>
      <c r="B1913" s="1287">
        <v>6.4265435684909805E-2</v>
      </c>
      <c r="C1913" s="1288">
        <v>6.8319063809217095E-2</v>
      </c>
      <c r="D1913" s="1288">
        <v>8.5226293500462472E-2</v>
      </c>
      <c r="E1913" s="1306">
        <v>1.9380667153599387</v>
      </c>
      <c r="F1913" s="1303">
        <v>4.7069832809153597E-2</v>
      </c>
      <c r="G1913" s="1288">
        <v>4.0921898113718581E-2</v>
      </c>
      <c r="H1913" s="1306">
        <v>0.52118355731932764</v>
      </c>
      <c r="I1913" s="1303">
        <v>6.0238338464302439E-2</v>
      </c>
      <c r="J1913" s="1288">
        <v>8.0776266455056103E-2</v>
      </c>
      <c r="K1913" s="1306">
        <v>0.60033631185880743</v>
      </c>
      <c r="L1913" s="1330">
        <v>0.15378887336300928</v>
      </c>
    </row>
    <row r="1914" spans="1:12" s="326" customFormat="1" ht="15.5" x14ac:dyDescent="0.35">
      <c r="A1914" s="328" t="s">
        <v>2878</v>
      </c>
      <c r="B1914" s="1287">
        <v>6.4872577391815692E-2</v>
      </c>
      <c r="C1914" s="1288">
        <v>8.9677034711824852E-2</v>
      </c>
      <c r="D1914" s="1288">
        <v>7.0924192586304641E-2</v>
      </c>
      <c r="E1914" s="1306">
        <v>1.9272819444935527</v>
      </c>
      <c r="F1914" s="1303">
        <v>4.7023248489636973E-2</v>
      </c>
      <c r="G1914" s="1288">
        <v>4.0883995885529857E-2</v>
      </c>
      <c r="H1914" s="1306">
        <v>0.520628589546837</v>
      </c>
      <c r="I1914" s="1303">
        <v>6.0229538588606413E-2</v>
      </c>
      <c r="J1914" s="1288">
        <v>8.0738062072587338E-2</v>
      </c>
      <c r="K1914" s="1306">
        <v>0.60043173489715973</v>
      </c>
      <c r="L1914" s="1330">
        <v>0.15378887336300939</v>
      </c>
    </row>
    <row r="1915" spans="1:12" s="326" customFormat="1" ht="15.5" x14ac:dyDescent="0.35">
      <c r="A1915" s="328" t="s">
        <v>2879</v>
      </c>
      <c r="B1915" s="1287">
        <v>6.4855016882013977E-2</v>
      </c>
      <c r="C1915" s="1288">
        <v>7.8765951753719227E-2</v>
      </c>
      <c r="D1915" s="1288">
        <v>7.5031470801508335E-2</v>
      </c>
      <c r="E1915" s="1306">
        <v>1.952639455263369</v>
      </c>
      <c r="F1915" s="1303">
        <v>4.6953222537899658E-2</v>
      </c>
      <c r="G1915" s="1288">
        <v>4.0835869312978397E-2</v>
      </c>
      <c r="H1915" s="1306">
        <v>0.5196842948104976</v>
      </c>
      <c r="I1915" s="1303">
        <v>6.0219980692430612E-2</v>
      </c>
      <c r="J1915" s="1288">
        <v>8.0700034140542706E-2</v>
      </c>
      <c r="K1915" s="1306">
        <v>0.60056343892268904</v>
      </c>
      <c r="L1915" s="1330">
        <v>0.1537888733630054</v>
      </c>
    </row>
    <row r="1916" spans="1:12" s="326" customFormat="1" ht="15.5" x14ac:dyDescent="0.35">
      <c r="A1916" s="328" t="s">
        <v>2880</v>
      </c>
      <c r="B1916" s="1287">
        <v>6.4694608205632151E-2</v>
      </c>
      <c r="C1916" s="1288">
        <v>8.5446352515930662E-2</v>
      </c>
      <c r="D1916" s="1288">
        <v>7.7762528328468611E-2</v>
      </c>
      <c r="E1916" s="1306">
        <v>1.9470736899080712</v>
      </c>
      <c r="F1916" s="1303">
        <v>4.6937813691668759E-2</v>
      </c>
      <c r="G1916" s="1288">
        <v>4.0816165679127853E-2</v>
      </c>
      <c r="H1916" s="1306">
        <v>0.51959864074376494</v>
      </c>
      <c r="I1916" s="1303">
        <v>6.0209218752142697E-2</v>
      </c>
      <c r="J1916" s="1288">
        <v>8.0663341799884936E-2</v>
      </c>
      <c r="K1916" s="1306">
        <v>0.60072090873728945</v>
      </c>
      <c r="L1916" s="1330">
        <v>0.15378887336300937</v>
      </c>
    </row>
    <row r="1917" spans="1:12" s="326" customFormat="1" ht="15.5" x14ac:dyDescent="0.35">
      <c r="A1917" s="328" t="s">
        <v>2881</v>
      </c>
      <c r="B1917" s="1287">
        <v>6.5574321470483005E-2</v>
      </c>
      <c r="C1917" s="1288">
        <v>8.1999100357944901E-2</v>
      </c>
      <c r="D1917" s="1288">
        <v>8.930821755902324E-2</v>
      </c>
      <c r="E1917" s="1306">
        <v>1.9502561331844093</v>
      </c>
      <c r="F1917" s="1303">
        <v>4.6936164505079064E-2</v>
      </c>
      <c r="G1917" s="1288">
        <v>4.0796110347143262E-2</v>
      </c>
      <c r="H1917" s="1306">
        <v>0.51946668137249619</v>
      </c>
      <c r="I1917" s="1303">
        <v>6.0196785761270862E-2</v>
      </c>
      <c r="J1917" s="1288">
        <v>8.0627941389793123E-2</v>
      </c>
      <c r="K1917" s="1306">
        <v>0.60088827245663734</v>
      </c>
      <c r="L1917" s="1330">
        <v>0.15378887336300717</v>
      </c>
    </row>
    <row r="1918" spans="1:12" s="326" customFormat="1" ht="15.5" x14ac:dyDescent="0.35">
      <c r="A1918" s="328" t="s">
        <v>2882</v>
      </c>
      <c r="B1918" s="1287">
        <v>6.4745552412161109E-2</v>
      </c>
      <c r="C1918" s="1288">
        <v>8.1624377681662849E-2</v>
      </c>
      <c r="D1918" s="1288">
        <v>7.8955171309489092E-2</v>
      </c>
      <c r="E1918" s="1306">
        <v>1.9289103696684387</v>
      </c>
      <c r="F1918" s="1303">
        <v>4.6895967883020709E-2</v>
      </c>
      <c r="G1918" s="1288">
        <v>4.0767104195145246E-2</v>
      </c>
      <c r="H1918" s="1306">
        <v>0.51879647198087475</v>
      </c>
      <c r="I1918" s="1303">
        <v>6.0181552679320689E-2</v>
      </c>
      <c r="J1918" s="1288">
        <v>8.0588583636033037E-2</v>
      </c>
      <c r="K1918" s="1306">
        <v>0.60105658762712266</v>
      </c>
      <c r="L1918" s="1330">
        <v>0.15378887336300806</v>
      </c>
    </row>
    <row r="1919" spans="1:12" s="326" customFormat="1" ht="15.5" x14ac:dyDescent="0.35">
      <c r="A1919" s="328" t="s">
        <v>2883</v>
      </c>
      <c r="B1919" s="1287">
        <v>6.4819542680866454E-2</v>
      </c>
      <c r="C1919" s="1288">
        <v>7.927317582660974E-2</v>
      </c>
      <c r="D1919" s="1288">
        <v>7.9098249488308153E-2</v>
      </c>
      <c r="E1919" s="1306">
        <v>1.9568307432865633</v>
      </c>
      <c r="F1919" s="1303">
        <v>4.6870228437854669E-2</v>
      </c>
      <c r="G1919" s="1288">
        <v>4.0721480357843162E-2</v>
      </c>
      <c r="H1919" s="1306">
        <v>0.51787482942666796</v>
      </c>
      <c r="I1919" s="1303">
        <v>6.0161681210402856E-2</v>
      </c>
      <c r="J1919" s="1288">
        <v>8.0530547821555387E-2</v>
      </c>
      <c r="K1919" s="1306">
        <v>0.60117525860688814</v>
      </c>
      <c r="L1919" s="1330">
        <v>0.15378887336300887</v>
      </c>
    </row>
    <row r="1920" spans="1:12" s="326" customFormat="1" ht="15.5" x14ac:dyDescent="0.35">
      <c r="A1920" s="328" t="s">
        <v>2884</v>
      </c>
      <c r="B1920" s="1287">
        <v>6.4775751378659749E-2</v>
      </c>
      <c r="C1920" s="1288">
        <v>8.658163723377886E-2</v>
      </c>
      <c r="D1920" s="1288">
        <v>7.6699819984927767E-2</v>
      </c>
      <c r="E1920" s="1306">
        <v>1.947369219663164</v>
      </c>
      <c r="F1920" s="1303">
        <v>4.6369685602373638E-2</v>
      </c>
      <c r="G1920" s="1288">
        <v>4.0458066269824698E-2</v>
      </c>
      <c r="H1920" s="1306">
        <v>0.50859746298571984</v>
      </c>
      <c r="I1920" s="1303">
        <v>6.0131182823997237E-2</v>
      </c>
      <c r="J1920" s="1288">
        <v>8.0416537666780322E-2</v>
      </c>
      <c r="K1920" s="1306">
        <v>0.60092457592894688</v>
      </c>
      <c r="L1920" s="1330">
        <v>0.15378952905953192</v>
      </c>
    </row>
    <row r="1921" spans="1:12" s="326" customFormat="1" ht="15.5" x14ac:dyDescent="0.35">
      <c r="A1921" s="328" t="s">
        <v>2885</v>
      </c>
      <c r="B1921" s="1291">
        <v>6.4775751378659749E-2</v>
      </c>
      <c r="C1921" s="1257">
        <v>8.658163723377886E-2</v>
      </c>
      <c r="D1921" s="1257">
        <v>7.6699819984927767E-2</v>
      </c>
      <c r="E1921" s="1280">
        <v>1.947369219663164</v>
      </c>
      <c r="F1921" s="1271">
        <v>5.7735408513676055E-2</v>
      </c>
      <c r="G1921" s="1257">
        <v>7.3576179416695892E-2</v>
      </c>
      <c r="H1921" s="1280">
        <v>0.71279929372808815</v>
      </c>
      <c r="I1921" s="1271">
        <v>6.0131182823997237E-2</v>
      </c>
      <c r="J1921" s="1257">
        <v>8.0416537666780322E-2</v>
      </c>
      <c r="K1921" s="1280">
        <v>0.60092457592894688</v>
      </c>
      <c r="L1921" s="1330">
        <v>0.16102405407136272</v>
      </c>
    </row>
    <row r="1922" spans="1:12" s="326" customFormat="1" ht="15.5" x14ac:dyDescent="0.35">
      <c r="A1922" s="328" t="s">
        <v>2886</v>
      </c>
      <c r="B1922" s="1291">
        <v>6.4638498242281378E-2</v>
      </c>
      <c r="C1922" s="1257">
        <v>9.1569103743671262E-2</v>
      </c>
      <c r="D1922" s="1257">
        <v>7.1820553602534865E-2</v>
      </c>
      <c r="E1922" s="1280">
        <v>0.48288549214664317</v>
      </c>
      <c r="F1922" s="1271">
        <v>5.7735408513676055E-2</v>
      </c>
      <c r="G1922" s="1257">
        <v>7.3576179416695892E-2</v>
      </c>
      <c r="H1922" s="1280">
        <v>0.69626869786240886</v>
      </c>
      <c r="I1922" s="1271">
        <v>6.4079502605565386E-2</v>
      </c>
      <c r="J1922" s="1257">
        <v>0.13121687701648346</v>
      </c>
      <c r="K1922" s="1280">
        <v>1.2417361817662811</v>
      </c>
      <c r="L1922" s="1237">
        <v>0.17426990640755913</v>
      </c>
    </row>
    <row r="1923" spans="1:12" s="326" customFormat="1" ht="15.5" x14ac:dyDescent="0.35">
      <c r="A1923" s="328" t="s">
        <v>2887</v>
      </c>
      <c r="B1923" s="1291">
        <v>6.4638498242281378E-2</v>
      </c>
      <c r="C1923" s="1257">
        <v>9.1569103743671262E-2</v>
      </c>
      <c r="D1923" s="1257">
        <v>7.1820553602534865E-2</v>
      </c>
      <c r="E1923" s="1280">
        <v>0.48288549214664317</v>
      </c>
      <c r="F1923" s="1271">
        <v>5.7735408513676055E-2</v>
      </c>
      <c r="G1923" s="1257">
        <v>7.3576179416695892E-2</v>
      </c>
      <c r="H1923" s="1280">
        <v>0.69626869786240886</v>
      </c>
      <c r="I1923" s="1271">
        <v>6.4079502605565386E-2</v>
      </c>
      <c r="J1923" s="1257">
        <v>0.13121687701648346</v>
      </c>
      <c r="K1923" s="1280">
        <v>1.2417361817662811</v>
      </c>
      <c r="L1923" s="1237">
        <v>0.17426990640755913</v>
      </c>
    </row>
    <row r="1924" spans="1:12" s="326" customFormat="1" ht="15.5" x14ac:dyDescent="0.35">
      <c r="A1924" s="328" t="s">
        <v>2888</v>
      </c>
      <c r="B1924" s="1291">
        <v>6.4638498242281378E-2</v>
      </c>
      <c r="C1924" s="1257">
        <v>9.1569103743671262E-2</v>
      </c>
      <c r="D1924" s="1257">
        <v>7.1820553602534865E-2</v>
      </c>
      <c r="E1924" s="1280">
        <v>0.48288549214664317</v>
      </c>
      <c r="F1924" s="1271">
        <v>5.7735408513676055E-2</v>
      </c>
      <c r="G1924" s="1257">
        <v>7.3576179416695892E-2</v>
      </c>
      <c r="H1924" s="1280">
        <v>0.69626869786240886</v>
      </c>
      <c r="I1924" s="1271">
        <v>6.4079502605565386E-2</v>
      </c>
      <c r="J1924" s="1257">
        <v>0.13121687701648346</v>
      </c>
      <c r="K1924" s="1280">
        <v>1.2417361817662811</v>
      </c>
      <c r="L1924" s="1237">
        <v>0.17426990640755913</v>
      </c>
    </row>
    <row r="1925" spans="1:12" s="326" customFormat="1" ht="15.5" x14ac:dyDescent="0.35">
      <c r="A1925" s="328" t="s">
        <v>2889</v>
      </c>
      <c r="B1925" s="1291">
        <v>6.4638498242281378E-2</v>
      </c>
      <c r="C1925" s="1257">
        <v>9.1569103743671262E-2</v>
      </c>
      <c r="D1925" s="1257">
        <v>7.1820553602534865E-2</v>
      </c>
      <c r="E1925" s="1280">
        <v>0.48288549214664317</v>
      </c>
      <c r="F1925" s="1271">
        <v>5.7735408513676055E-2</v>
      </c>
      <c r="G1925" s="1257">
        <v>7.3576179416695892E-2</v>
      </c>
      <c r="H1925" s="1280">
        <v>0.69626869786240886</v>
      </c>
      <c r="I1925" s="1271">
        <v>6.4079502605565386E-2</v>
      </c>
      <c r="J1925" s="1257">
        <v>0.13121687701648346</v>
      </c>
      <c r="K1925" s="1280">
        <v>1.2417361817662811</v>
      </c>
      <c r="L1925" s="1237">
        <v>0.17426990640755913</v>
      </c>
    </row>
    <row r="1926" spans="1:12" s="326" customFormat="1" ht="15.5" x14ac:dyDescent="0.35">
      <c r="A1926" s="328" t="s">
        <v>2890</v>
      </c>
      <c r="B1926" s="1291">
        <v>6.4638498242281378E-2</v>
      </c>
      <c r="C1926" s="1257">
        <v>9.1569103743671262E-2</v>
      </c>
      <c r="D1926" s="1257">
        <v>7.1820553602534865E-2</v>
      </c>
      <c r="E1926" s="1280">
        <v>0.48288549214664317</v>
      </c>
      <c r="F1926" s="1271">
        <v>5.7735408513676055E-2</v>
      </c>
      <c r="G1926" s="1257">
        <v>7.3576179416695892E-2</v>
      </c>
      <c r="H1926" s="1280">
        <v>0.69626869786240886</v>
      </c>
      <c r="I1926" s="1271">
        <v>6.4079502605565386E-2</v>
      </c>
      <c r="J1926" s="1257">
        <v>0.13121687701648346</v>
      </c>
      <c r="K1926" s="1280">
        <v>1.2417361817662811</v>
      </c>
      <c r="L1926" s="1237">
        <v>0.17426990640755913</v>
      </c>
    </row>
    <row r="1927" spans="1:12" s="326" customFormat="1" ht="15.5" x14ac:dyDescent="0.35">
      <c r="A1927" s="328" t="s">
        <v>2891</v>
      </c>
      <c r="B1927" s="1291">
        <v>6.4638498242281378E-2</v>
      </c>
      <c r="C1927" s="1257">
        <v>9.1569103743671262E-2</v>
      </c>
      <c r="D1927" s="1257">
        <v>7.1820553602534865E-2</v>
      </c>
      <c r="E1927" s="1280">
        <v>0.48288549214664317</v>
      </c>
      <c r="F1927" s="1271">
        <v>5.7735408513676055E-2</v>
      </c>
      <c r="G1927" s="1257">
        <v>7.3576179416695892E-2</v>
      </c>
      <c r="H1927" s="1280">
        <v>0.69626869786240886</v>
      </c>
      <c r="I1927" s="1271">
        <v>6.4079502605565386E-2</v>
      </c>
      <c r="J1927" s="1257">
        <v>0.13121687701648346</v>
      </c>
      <c r="K1927" s="1280">
        <v>1.2417361817662811</v>
      </c>
      <c r="L1927" s="1237">
        <v>0.17426990640755913</v>
      </c>
    </row>
    <row r="1928" spans="1:12" s="326" customFormat="1" ht="15.5" x14ac:dyDescent="0.35">
      <c r="A1928" s="328" t="s">
        <v>2892</v>
      </c>
      <c r="B1928" s="1291">
        <v>6.4638498242281378E-2</v>
      </c>
      <c r="C1928" s="1257">
        <v>9.1569103743671262E-2</v>
      </c>
      <c r="D1928" s="1257">
        <v>7.1820553602534865E-2</v>
      </c>
      <c r="E1928" s="1280">
        <v>0.48288549214664317</v>
      </c>
      <c r="F1928" s="1271">
        <v>5.7735408513676055E-2</v>
      </c>
      <c r="G1928" s="1257">
        <v>7.3576179416695892E-2</v>
      </c>
      <c r="H1928" s="1280">
        <v>0.69626869786240886</v>
      </c>
      <c r="I1928" s="1271">
        <v>6.4079502605565386E-2</v>
      </c>
      <c r="J1928" s="1257">
        <v>0.13121687701648346</v>
      </c>
      <c r="K1928" s="1280">
        <v>1.2417361817662811</v>
      </c>
      <c r="L1928" s="1237">
        <v>0.17426990640755913</v>
      </c>
    </row>
    <row r="1929" spans="1:12" s="326" customFormat="1" ht="15.5" x14ac:dyDescent="0.35">
      <c r="A1929" s="328" t="s">
        <v>2893</v>
      </c>
      <c r="B1929" s="1291">
        <v>6.4638498242281378E-2</v>
      </c>
      <c r="C1929" s="1257">
        <v>9.1569103743671262E-2</v>
      </c>
      <c r="D1929" s="1257">
        <v>7.1820553602534865E-2</v>
      </c>
      <c r="E1929" s="1280">
        <v>0.48288549214664317</v>
      </c>
      <c r="F1929" s="1271">
        <v>5.7735408513676055E-2</v>
      </c>
      <c r="G1929" s="1257">
        <v>7.3576179416695892E-2</v>
      </c>
      <c r="H1929" s="1280">
        <v>0.69626869786240886</v>
      </c>
      <c r="I1929" s="1271">
        <v>6.4079502605565386E-2</v>
      </c>
      <c r="J1929" s="1257">
        <v>0.13121687701648346</v>
      </c>
      <c r="K1929" s="1280">
        <v>1.2417361817662811</v>
      </c>
      <c r="L1929" s="1237">
        <v>0.17426990640755913</v>
      </c>
    </row>
    <row r="1930" spans="1:12" s="326" customFormat="1" ht="15.5" x14ac:dyDescent="0.35">
      <c r="A1930" s="328" t="s">
        <v>2894</v>
      </c>
      <c r="B1930" s="1291">
        <v>6.4638498242281378E-2</v>
      </c>
      <c r="C1930" s="1257">
        <v>9.1569103743671262E-2</v>
      </c>
      <c r="D1930" s="1257">
        <v>7.1820553602534865E-2</v>
      </c>
      <c r="E1930" s="1280">
        <v>0.48288549214664317</v>
      </c>
      <c r="F1930" s="1271">
        <v>5.7735408513676055E-2</v>
      </c>
      <c r="G1930" s="1257">
        <v>7.3576179416695892E-2</v>
      </c>
      <c r="H1930" s="1280">
        <v>0.69626869786240886</v>
      </c>
      <c r="I1930" s="1271">
        <v>6.4079502605565386E-2</v>
      </c>
      <c r="J1930" s="1257">
        <v>0.13121687701648346</v>
      </c>
      <c r="K1930" s="1280">
        <v>1.2417361817662811</v>
      </c>
      <c r="L1930" s="1237">
        <v>0.17426990640755913</v>
      </c>
    </row>
    <row r="1931" spans="1:12" s="326" customFormat="1" ht="15.5" x14ac:dyDescent="0.35">
      <c r="A1931" s="328" t="s">
        <v>2895</v>
      </c>
      <c r="B1931" s="1291">
        <v>6.4638498242281378E-2</v>
      </c>
      <c r="C1931" s="1257">
        <v>9.1569103743671262E-2</v>
      </c>
      <c r="D1931" s="1257">
        <v>7.1820553602534865E-2</v>
      </c>
      <c r="E1931" s="1280">
        <v>0.48288549214664317</v>
      </c>
      <c r="F1931" s="1271">
        <v>5.7735408513676055E-2</v>
      </c>
      <c r="G1931" s="1257">
        <v>7.3576179416695892E-2</v>
      </c>
      <c r="H1931" s="1280">
        <v>0.69626869786240886</v>
      </c>
      <c r="I1931" s="1271">
        <v>6.4079502605565386E-2</v>
      </c>
      <c r="J1931" s="1257">
        <v>0.13121687701648346</v>
      </c>
      <c r="K1931" s="1280">
        <v>1.2417361817662811</v>
      </c>
      <c r="L1931" s="1237">
        <v>0.17426990640755913</v>
      </c>
    </row>
    <row r="1932" spans="1:12" s="326" customFormat="1" ht="15.5" x14ac:dyDescent="0.35">
      <c r="A1932" s="328" t="s">
        <v>2896</v>
      </c>
      <c r="B1932" s="1291">
        <v>6.4638498242281378E-2</v>
      </c>
      <c r="C1932" s="1257">
        <v>9.1569103743671262E-2</v>
      </c>
      <c r="D1932" s="1257">
        <v>7.1820553602534865E-2</v>
      </c>
      <c r="E1932" s="1280">
        <v>0.48288549214664317</v>
      </c>
      <c r="F1932" s="1271">
        <v>5.7735408513676055E-2</v>
      </c>
      <c r="G1932" s="1257">
        <v>7.3576179416695892E-2</v>
      </c>
      <c r="H1932" s="1280">
        <v>0.69626869786240886</v>
      </c>
      <c r="I1932" s="1271">
        <v>6.4079502605565386E-2</v>
      </c>
      <c r="J1932" s="1257">
        <v>0.13121687701648346</v>
      </c>
      <c r="K1932" s="1280">
        <v>1.2417361817662811</v>
      </c>
      <c r="L1932" s="1237">
        <v>0.17426990640755913</v>
      </c>
    </row>
    <row r="1933" spans="1:12" s="326" customFormat="1" ht="15.5" x14ac:dyDescent="0.35">
      <c r="A1933" s="328" t="s">
        <v>2897</v>
      </c>
      <c r="B1933" s="1291">
        <v>6.4638498242281378E-2</v>
      </c>
      <c r="C1933" s="1257">
        <v>9.1569103743671262E-2</v>
      </c>
      <c r="D1933" s="1257">
        <v>7.1820553602534865E-2</v>
      </c>
      <c r="E1933" s="1280">
        <v>0.48288549214664317</v>
      </c>
      <c r="F1933" s="1271">
        <v>5.7735408513676055E-2</v>
      </c>
      <c r="G1933" s="1257">
        <v>7.3576179416695892E-2</v>
      </c>
      <c r="H1933" s="1280">
        <v>0.69626869786240886</v>
      </c>
      <c r="I1933" s="1271">
        <v>6.4079502605565386E-2</v>
      </c>
      <c r="J1933" s="1257">
        <v>0.13121687701648346</v>
      </c>
      <c r="K1933" s="1280">
        <v>1.2417361817662811</v>
      </c>
      <c r="L1933" s="1237">
        <v>0.17426990640755913</v>
      </c>
    </row>
    <row r="1934" spans="1:12" s="326" customFormat="1" ht="15.5" x14ac:dyDescent="0.35">
      <c r="A1934" s="328" t="s">
        <v>2898</v>
      </c>
      <c r="B1934" s="1291">
        <v>6.4638498242281378E-2</v>
      </c>
      <c r="C1934" s="1257">
        <v>9.1569103743671262E-2</v>
      </c>
      <c r="D1934" s="1257">
        <v>7.1820553602534865E-2</v>
      </c>
      <c r="E1934" s="1280">
        <v>0.48288549214664317</v>
      </c>
      <c r="F1934" s="1271">
        <v>5.7735408513676055E-2</v>
      </c>
      <c r="G1934" s="1257">
        <v>7.3576179416695892E-2</v>
      </c>
      <c r="H1934" s="1280">
        <v>0.69626869786240886</v>
      </c>
      <c r="I1934" s="1271">
        <v>6.4079502605565386E-2</v>
      </c>
      <c r="J1934" s="1257">
        <v>0.13121687701648346</v>
      </c>
      <c r="K1934" s="1280">
        <v>1.2417361817662811</v>
      </c>
      <c r="L1934" s="1237">
        <v>0.17426990640755913</v>
      </c>
    </row>
    <row r="1935" spans="1:12" s="326" customFormat="1" ht="15.5" x14ac:dyDescent="0.35">
      <c r="A1935" s="328" t="s">
        <v>2899</v>
      </c>
      <c r="B1935" s="1291">
        <v>6.4638498242281378E-2</v>
      </c>
      <c r="C1935" s="1257">
        <v>9.1569103743671262E-2</v>
      </c>
      <c r="D1935" s="1257">
        <v>7.1820553602534865E-2</v>
      </c>
      <c r="E1935" s="1280">
        <v>0.48288549214664317</v>
      </c>
      <c r="F1935" s="1271">
        <v>5.7735408513676055E-2</v>
      </c>
      <c r="G1935" s="1257">
        <v>7.3576179416695892E-2</v>
      </c>
      <c r="H1935" s="1280">
        <v>0.69626869786240886</v>
      </c>
      <c r="I1935" s="1271">
        <v>6.4079502605565386E-2</v>
      </c>
      <c r="J1935" s="1257">
        <v>0.13121687701648346</v>
      </c>
      <c r="K1935" s="1280">
        <v>1.2417361817662811</v>
      </c>
      <c r="L1935" s="1237">
        <v>0.17426990640755913</v>
      </c>
    </row>
    <row r="1936" spans="1:12" s="326" customFormat="1" ht="15.5" x14ac:dyDescent="0.35">
      <c r="A1936" s="328" t="s">
        <v>2900</v>
      </c>
      <c r="B1936" s="1291">
        <v>6.4638498242281378E-2</v>
      </c>
      <c r="C1936" s="1257">
        <v>9.1569103743671262E-2</v>
      </c>
      <c r="D1936" s="1257">
        <v>7.1820553602534865E-2</v>
      </c>
      <c r="E1936" s="1280">
        <v>0.48288549214664317</v>
      </c>
      <c r="F1936" s="1271">
        <v>5.7735408513676055E-2</v>
      </c>
      <c r="G1936" s="1257">
        <v>7.3576179416695892E-2</v>
      </c>
      <c r="H1936" s="1280">
        <v>0.69626869786240886</v>
      </c>
      <c r="I1936" s="1271">
        <v>6.4079502605565386E-2</v>
      </c>
      <c r="J1936" s="1257">
        <v>0.13121687701648346</v>
      </c>
      <c r="K1936" s="1280">
        <v>1.2417361817662811</v>
      </c>
      <c r="L1936" s="1237">
        <v>0.17426990640755913</v>
      </c>
    </row>
    <row r="1937" spans="1:12" s="326" customFormat="1" ht="15.5" x14ac:dyDescent="0.35">
      <c r="A1937" s="328" t="s">
        <v>2901</v>
      </c>
      <c r="B1937" s="1291">
        <v>6.4638498242281378E-2</v>
      </c>
      <c r="C1937" s="1257">
        <v>9.1569103743671262E-2</v>
      </c>
      <c r="D1937" s="1257">
        <v>7.1820553602534865E-2</v>
      </c>
      <c r="E1937" s="1280">
        <v>0.48288549214664317</v>
      </c>
      <c r="F1937" s="1271">
        <v>5.7735408513676055E-2</v>
      </c>
      <c r="G1937" s="1257">
        <v>7.3576179416695892E-2</v>
      </c>
      <c r="H1937" s="1280">
        <v>0.69626869786240886</v>
      </c>
      <c r="I1937" s="1271">
        <v>6.4079502605565386E-2</v>
      </c>
      <c r="J1937" s="1257">
        <v>0.13121687701648346</v>
      </c>
      <c r="K1937" s="1280">
        <v>1.2417361817662811</v>
      </c>
      <c r="L1937" s="1237">
        <v>0.17426990640755913</v>
      </c>
    </row>
    <row r="1938" spans="1:12" s="326" customFormat="1" ht="15.5" x14ac:dyDescent="0.35">
      <c r="A1938" s="328" t="s">
        <v>2902</v>
      </c>
      <c r="B1938" s="1291">
        <v>6.4638498242281378E-2</v>
      </c>
      <c r="C1938" s="1257">
        <v>9.1569103743671262E-2</v>
      </c>
      <c r="D1938" s="1257">
        <v>7.1820553602534865E-2</v>
      </c>
      <c r="E1938" s="1280">
        <v>0.48288549214664317</v>
      </c>
      <c r="F1938" s="1271">
        <v>5.7735408513676055E-2</v>
      </c>
      <c r="G1938" s="1257">
        <v>7.3576179416695892E-2</v>
      </c>
      <c r="H1938" s="1280">
        <v>0.69626869786240886</v>
      </c>
      <c r="I1938" s="1271">
        <v>6.4079502605565386E-2</v>
      </c>
      <c r="J1938" s="1257">
        <v>0.13121687701648346</v>
      </c>
      <c r="K1938" s="1280">
        <v>1.2417361817662811</v>
      </c>
      <c r="L1938" s="1237">
        <v>0.17426990640755913</v>
      </c>
    </row>
    <row r="1939" spans="1:12" s="326" customFormat="1" ht="15.5" x14ac:dyDescent="0.35">
      <c r="A1939" s="328" t="s">
        <v>2903</v>
      </c>
      <c r="B1939" s="1291">
        <v>6.4638498242281378E-2</v>
      </c>
      <c r="C1939" s="1257">
        <v>9.1569103743671262E-2</v>
      </c>
      <c r="D1939" s="1257">
        <v>7.1820553602534865E-2</v>
      </c>
      <c r="E1939" s="1280">
        <v>0.48288549214664317</v>
      </c>
      <c r="F1939" s="1271">
        <v>5.7735408513676055E-2</v>
      </c>
      <c r="G1939" s="1257">
        <v>7.3576179416695892E-2</v>
      </c>
      <c r="H1939" s="1280">
        <v>0.69626869786240886</v>
      </c>
      <c r="I1939" s="1271">
        <v>6.4079502605565386E-2</v>
      </c>
      <c r="J1939" s="1257">
        <v>0.13121687701648346</v>
      </c>
      <c r="K1939" s="1280">
        <v>1.2417361817662811</v>
      </c>
      <c r="L1939" s="1237">
        <v>0.17426990640755913</v>
      </c>
    </row>
    <row r="1940" spans="1:12" s="326" customFormat="1" ht="15.5" x14ac:dyDescent="0.35">
      <c r="A1940" s="328" t="s">
        <v>2904</v>
      </c>
      <c r="B1940" s="1291">
        <v>6.4638498242281378E-2</v>
      </c>
      <c r="C1940" s="1257">
        <v>9.1569103743671262E-2</v>
      </c>
      <c r="D1940" s="1257">
        <v>7.1820553602534865E-2</v>
      </c>
      <c r="E1940" s="1280">
        <v>0.48288549214664317</v>
      </c>
      <c r="F1940" s="1271">
        <v>5.7735408513676055E-2</v>
      </c>
      <c r="G1940" s="1257">
        <v>7.3576179416695892E-2</v>
      </c>
      <c r="H1940" s="1280">
        <v>0.69626869786240886</v>
      </c>
      <c r="I1940" s="1271">
        <v>6.4079502605565386E-2</v>
      </c>
      <c r="J1940" s="1257">
        <v>0.13121687701648346</v>
      </c>
      <c r="K1940" s="1280">
        <v>1.2417361817662811</v>
      </c>
      <c r="L1940" s="1237">
        <v>0.17426990640755913</v>
      </c>
    </row>
    <row r="1941" spans="1:12" s="326" customFormat="1" ht="15.5" x14ac:dyDescent="0.35">
      <c r="A1941" s="328" t="s">
        <v>2905</v>
      </c>
      <c r="B1941" s="1291">
        <v>6.4638498242281378E-2</v>
      </c>
      <c r="C1941" s="1257">
        <v>9.1569103743671262E-2</v>
      </c>
      <c r="D1941" s="1257">
        <v>7.1820553602534865E-2</v>
      </c>
      <c r="E1941" s="1280">
        <v>0.48288549214664317</v>
      </c>
      <c r="F1941" s="1271">
        <v>5.7735408513676055E-2</v>
      </c>
      <c r="G1941" s="1257">
        <v>7.3576179416695892E-2</v>
      </c>
      <c r="H1941" s="1280">
        <v>0.69626869786240886</v>
      </c>
      <c r="I1941" s="1271">
        <v>6.4079502605565386E-2</v>
      </c>
      <c r="J1941" s="1257">
        <v>0.13121687701648346</v>
      </c>
      <c r="K1941" s="1280">
        <v>1.2417361817662811</v>
      </c>
      <c r="L1941" s="1237">
        <v>0.17426990640755913</v>
      </c>
    </row>
    <row r="1942" spans="1:12" s="326" customFormat="1" ht="15.5" x14ac:dyDescent="0.35">
      <c r="A1942" s="328" t="s">
        <v>2906</v>
      </c>
      <c r="B1942" s="1291">
        <v>6.4638498242281378E-2</v>
      </c>
      <c r="C1942" s="1257">
        <v>9.1569103743671262E-2</v>
      </c>
      <c r="D1942" s="1257">
        <v>7.1820553602534865E-2</v>
      </c>
      <c r="E1942" s="1280">
        <v>0.48288549214664317</v>
      </c>
      <c r="F1942" s="1271">
        <v>5.7735408513676055E-2</v>
      </c>
      <c r="G1942" s="1257">
        <v>7.3576179416695892E-2</v>
      </c>
      <c r="H1942" s="1280">
        <v>0.69626869786240886</v>
      </c>
      <c r="I1942" s="1271">
        <v>6.4079502605565386E-2</v>
      </c>
      <c r="J1942" s="1257">
        <v>0.13121687701648346</v>
      </c>
      <c r="K1942" s="1280">
        <v>1.2417361817662811</v>
      </c>
      <c r="L1942" s="1237">
        <v>0.17426990640755913</v>
      </c>
    </row>
    <row r="1943" spans="1:12" s="326" customFormat="1" ht="15.5" x14ac:dyDescent="0.35">
      <c r="A1943" s="328" t="s">
        <v>2907</v>
      </c>
      <c r="B1943" s="1291">
        <v>6.4638498242281378E-2</v>
      </c>
      <c r="C1943" s="1257">
        <v>9.1569103743671262E-2</v>
      </c>
      <c r="D1943" s="1257">
        <v>7.1820553602534865E-2</v>
      </c>
      <c r="E1943" s="1280">
        <v>0.48288549214664317</v>
      </c>
      <c r="F1943" s="1271">
        <v>5.7735408513676055E-2</v>
      </c>
      <c r="G1943" s="1257">
        <v>7.3576179416695892E-2</v>
      </c>
      <c r="H1943" s="1280">
        <v>0.69626869786240886</v>
      </c>
      <c r="I1943" s="1271">
        <v>6.4079502605565386E-2</v>
      </c>
      <c r="J1943" s="1257">
        <v>0.13121687701648346</v>
      </c>
      <c r="K1943" s="1280">
        <v>1.2417361817662811</v>
      </c>
      <c r="L1943" s="1237">
        <v>0.17426990640755913</v>
      </c>
    </row>
    <row r="1944" spans="1:12" s="326" customFormat="1" ht="15.5" x14ac:dyDescent="0.35">
      <c r="A1944" s="328" t="s">
        <v>2908</v>
      </c>
      <c r="B1944" s="1291">
        <v>6.4638498242281378E-2</v>
      </c>
      <c r="C1944" s="1257">
        <v>9.1569103743671262E-2</v>
      </c>
      <c r="D1944" s="1257">
        <v>7.1820553602534865E-2</v>
      </c>
      <c r="E1944" s="1280">
        <v>0.48288549214664317</v>
      </c>
      <c r="F1944" s="1271">
        <v>5.7735408513676055E-2</v>
      </c>
      <c r="G1944" s="1257">
        <v>7.3576179416695892E-2</v>
      </c>
      <c r="H1944" s="1280">
        <v>0.69626869786240886</v>
      </c>
      <c r="I1944" s="1271">
        <v>6.4079502605565386E-2</v>
      </c>
      <c r="J1944" s="1257">
        <v>0.13121687701648346</v>
      </c>
      <c r="K1944" s="1280">
        <v>1.2417361817662811</v>
      </c>
      <c r="L1944" s="1237">
        <v>0.17426990640755913</v>
      </c>
    </row>
    <row r="1945" spans="1:12" s="326" customFormat="1" ht="15.5" x14ac:dyDescent="0.35">
      <c r="A1945" s="328" t="s">
        <v>2909</v>
      </c>
      <c r="B1945" s="1291">
        <v>6.4638498242281378E-2</v>
      </c>
      <c r="C1945" s="1257">
        <v>9.1569103743671262E-2</v>
      </c>
      <c r="D1945" s="1257">
        <v>7.1820553602534865E-2</v>
      </c>
      <c r="E1945" s="1280">
        <v>0.48288549214664317</v>
      </c>
      <c r="F1945" s="1271">
        <v>5.7735408513676055E-2</v>
      </c>
      <c r="G1945" s="1257">
        <v>7.3576179416695892E-2</v>
      </c>
      <c r="H1945" s="1280">
        <v>0.69626869786240886</v>
      </c>
      <c r="I1945" s="1271">
        <v>6.4079502605565386E-2</v>
      </c>
      <c r="J1945" s="1257">
        <v>0.13121687701648346</v>
      </c>
      <c r="K1945" s="1280">
        <v>1.2417361817662811</v>
      </c>
      <c r="L1945" s="1237">
        <v>0.17426990640755913</v>
      </c>
    </row>
    <row r="1946" spans="1:12" s="326" customFormat="1" ht="15.5" x14ac:dyDescent="0.35">
      <c r="A1946" s="328" t="s">
        <v>2910</v>
      </c>
      <c r="B1946" s="1291">
        <v>6.4638498242281378E-2</v>
      </c>
      <c r="C1946" s="1257">
        <v>9.1569103743671262E-2</v>
      </c>
      <c r="D1946" s="1257">
        <v>7.1820553602534865E-2</v>
      </c>
      <c r="E1946" s="1280">
        <v>0.48288549214664317</v>
      </c>
      <c r="F1946" s="1271">
        <v>5.7735408513676055E-2</v>
      </c>
      <c r="G1946" s="1257">
        <v>7.3576179416695892E-2</v>
      </c>
      <c r="H1946" s="1280">
        <v>0.69626869786240886</v>
      </c>
      <c r="I1946" s="1271">
        <v>6.4079502605565386E-2</v>
      </c>
      <c r="J1946" s="1257">
        <v>0.13121687701648346</v>
      </c>
      <c r="K1946" s="1280">
        <v>1.2417361817662811</v>
      </c>
      <c r="L1946" s="1237">
        <v>0.17426990640755913</v>
      </c>
    </row>
    <row r="1947" spans="1:12" s="326" customFormat="1" ht="15.5" x14ac:dyDescent="0.35">
      <c r="A1947" s="328" t="s">
        <v>2911</v>
      </c>
      <c r="B1947" s="1291">
        <v>6.4638498242281378E-2</v>
      </c>
      <c r="C1947" s="1257">
        <v>9.1569103743671262E-2</v>
      </c>
      <c r="D1947" s="1257">
        <v>7.1820553602534865E-2</v>
      </c>
      <c r="E1947" s="1280">
        <v>0.48288549214664317</v>
      </c>
      <c r="F1947" s="1271">
        <v>5.7735408513676055E-2</v>
      </c>
      <c r="G1947" s="1257">
        <v>7.3576179416695892E-2</v>
      </c>
      <c r="H1947" s="1280">
        <v>0.69626869786240886</v>
      </c>
      <c r="I1947" s="1271">
        <v>6.4079502605565386E-2</v>
      </c>
      <c r="J1947" s="1257">
        <v>0.13121687701648346</v>
      </c>
      <c r="K1947" s="1280">
        <v>1.2417361817662811</v>
      </c>
      <c r="L1947" s="1237">
        <v>0.17426990640755913</v>
      </c>
    </row>
    <row r="1948" spans="1:12" s="326" customFormat="1" ht="15.5" x14ac:dyDescent="0.35">
      <c r="A1948" s="328" t="s">
        <v>2912</v>
      </c>
      <c r="B1948" s="1291">
        <v>6.4638498242281378E-2</v>
      </c>
      <c r="C1948" s="1257">
        <v>9.1569103743671262E-2</v>
      </c>
      <c r="D1948" s="1257">
        <v>7.1820553602534865E-2</v>
      </c>
      <c r="E1948" s="1280">
        <v>0.48288549214664317</v>
      </c>
      <c r="F1948" s="1271">
        <v>5.7735408513676055E-2</v>
      </c>
      <c r="G1948" s="1257">
        <v>7.3576179416695892E-2</v>
      </c>
      <c r="H1948" s="1280">
        <v>0.69626869786240886</v>
      </c>
      <c r="I1948" s="1271">
        <v>6.4079502605565386E-2</v>
      </c>
      <c r="J1948" s="1257">
        <v>0.13121687701648346</v>
      </c>
      <c r="K1948" s="1280">
        <v>1.2417361817662811</v>
      </c>
      <c r="L1948" s="1237">
        <v>0.17426990640755913</v>
      </c>
    </row>
    <row r="1949" spans="1:12" s="326" customFormat="1" ht="15.5" x14ac:dyDescent="0.35">
      <c r="A1949" s="328" t="s">
        <v>2913</v>
      </c>
      <c r="B1949" s="1291">
        <v>6.4638498242281378E-2</v>
      </c>
      <c r="C1949" s="1257">
        <v>9.1569103743671262E-2</v>
      </c>
      <c r="D1949" s="1257">
        <v>7.1820553602534865E-2</v>
      </c>
      <c r="E1949" s="1280">
        <v>0.48288549214664317</v>
      </c>
      <c r="F1949" s="1271">
        <v>5.7735408513676055E-2</v>
      </c>
      <c r="G1949" s="1257">
        <v>7.3576179416695892E-2</v>
      </c>
      <c r="H1949" s="1280">
        <v>0.69626869786240886</v>
      </c>
      <c r="I1949" s="1271">
        <v>6.4079502605565386E-2</v>
      </c>
      <c r="J1949" s="1257">
        <v>0.13121687701648346</v>
      </c>
      <c r="K1949" s="1280">
        <v>1.2417361817662811</v>
      </c>
      <c r="L1949" s="1237">
        <v>0.17426990640755913</v>
      </c>
    </row>
    <row r="1950" spans="1:12" s="326" customFormat="1" ht="15.5" x14ac:dyDescent="0.35">
      <c r="A1950" s="328" t="s">
        <v>2914</v>
      </c>
      <c r="B1950" s="1291">
        <v>6.4638498242281378E-2</v>
      </c>
      <c r="C1950" s="1257">
        <v>9.1569103743671262E-2</v>
      </c>
      <c r="D1950" s="1257">
        <v>7.1820553602534865E-2</v>
      </c>
      <c r="E1950" s="1280">
        <v>0.48288549214664317</v>
      </c>
      <c r="F1950" s="1271">
        <v>5.7735408513676055E-2</v>
      </c>
      <c r="G1950" s="1257">
        <v>7.3576179416695892E-2</v>
      </c>
      <c r="H1950" s="1280">
        <v>0.69626869786240886</v>
      </c>
      <c r="I1950" s="1271">
        <v>6.4079502605565386E-2</v>
      </c>
      <c r="J1950" s="1257">
        <v>0.13121687701648346</v>
      </c>
      <c r="K1950" s="1280">
        <v>1.2417361817662811</v>
      </c>
      <c r="L1950" s="1237">
        <v>0.17426990640755913</v>
      </c>
    </row>
    <row r="1951" spans="1:12" s="326" customFormat="1" ht="15.5" x14ac:dyDescent="0.35">
      <c r="A1951" s="328" t="s">
        <v>2915</v>
      </c>
      <c r="B1951" s="1291">
        <v>6.4638498242281378E-2</v>
      </c>
      <c r="C1951" s="1257">
        <v>9.1569103743671262E-2</v>
      </c>
      <c r="D1951" s="1257">
        <v>7.1820553602534865E-2</v>
      </c>
      <c r="E1951" s="1280">
        <v>0.48288549214664317</v>
      </c>
      <c r="F1951" s="1271">
        <v>5.7735408513676055E-2</v>
      </c>
      <c r="G1951" s="1257">
        <v>7.3576179416695892E-2</v>
      </c>
      <c r="H1951" s="1280">
        <v>0.69626869786240886</v>
      </c>
      <c r="I1951" s="1271">
        <v>6.4079502605565386E-2</v>
      </c>
      <c r="J1951" s="1257">
        <v>0.13121687701648346</v>
      </c>
      <c r="K1951" s="1280">
        <v>1.2417361817662811</v>
      </c>
      <c r="L1951" s="1237">
        <v>0.17426990640755913</v>
      </c>
    </row>
    <row r="1952" spans="1:12" s="326" customFormat="1" ht="15.5" x14ac:dyDescent="0.35">
      <c r="A1952" s="328" t="s">
        <v>2916</v>
      </c>
      <c r="B1952" s="1291">
        <v>6.4638498242281378E-2</v>
      </c>
      <c r="C1952" s="1257">
        <v>9.1569103743671262E-2</v>
      </c>
      <c r="D1952" s="1257">
        <v>7.1820553602534865E-2</v>
      </c>
      <c r="E1952" s="1280">
        <v>0.48288549214664317</v>
      </c>
      <c r="F1952" s="1271">
        <v>5.7735408513676055E-2</v>
      </c>
      <c r="G1952" s="1257">
        <v>7.3576179416695892E-2</v>
      </c>
      <c r="H1952" s="1280">
        <v>0.69626869786240886</v>
      </c>
      <c r="I1952" s="1271">
        <v>6.4079502605565386E-2</v>
      </c>
      <c r="J1952" s="1257">
        <v>0.13121687701648346</v>
      </c>
      <c r="K1952" s="1280">
        <v>1.2417361817662811</v>
      </c>
      <c r="L1952" s="1237">
        <v>0.17426990640755913</v>
      </c>
    </row>
    <row r="1953" spans="1:12" s="326" customFormat="1" ht="15.5" x14ac:dyDescent="0.35">
      <c r="A1953" s="328" t="s">
        <v>2917</v>
      </c>
      <c r="B1953" s="1291">
        <v>6.4638498242281378E-2</v>
      </c>
      <c r="C1953" s="1257">
        <v>9.1569103743671262E-2</v>
      </c>
      <c r="D1953" s="1257">
        <v>7.1820553602534865E-2</v>
      </c>
      <c r="E1953" s="1280">
        <v>0.48288549214664317</v>
      </c>
      <c r="F1953" s="1303">
        <v>5.7735408513676055E-2</v>
      </c>
      <c r="G1953" s="1288">
        <v>7.3576179416695892E-2</v>
      </c>
      <c r="H1953" s="1280">
        <v>0.69626869786240886</v>
      </c>
      <c r="I1953" s="1303">
        <v>6.4079502605565386E-2</v>
      </c>
      <c r="J1953" s="1288">
        <v>0.13121687701648346</v>
      </c>
      <c r="K1953" s="1280">
        <v>1.2417361817662811</v>
      </c>
      <c r="L1953" s="1237">
        <v>0.17426990640755913</v>
      </c>
    </row>
    <row r="1954" spans="1:12" s="326" customFormat="1" ht="15.5" x14ac:dyDescent="0.35">
      <c r="A1954" s="328" t="s">
        <v>2918</v>
      </c>
      <c r="B1954" s="1291">
        <v>6.4638498242281378E-2</v>
      </c>
      <c r="C1954" s="1257">
        <v>9.1569103743671262E-2</v>
      </c>
      <c r="D1954" s="1257">
        <v>7.1820553602534865E-2</v>
      </c>
      <c r="E1954" s="1280">
        <v>0.48288549214664317</v>
      </c>
      <c r="F1954" s="1303">
        <v>5.754025824928298E-2</v>
      </c>
      <c r="G1954" s="1288">
        <v>7.4482511485931907E-2</v>
      </c>
      <c r="H1954" s="1280">
        <v>0.70484553148819384</v>
      </c>
      <c r="I1954" s="1303">
        <v>6.3684413510529836E-2</v>
      </c>
      <c r="J1954" s="1288">
        <v>0.13047569074151069</v>
      </c>
      <c r="K1954" s="1280">
        <v>1.234722161649443</v>
      </c>
      <c r="L1954" s="1237">
        <v>0.17426990640755913</v>
      </c>
    </row>
    <row r="1955" spans="1:12" s="326" customFormat="1" ht="15.5" x14ac:dyDescent="0.35">
      <c r="A1955" s="328" t="s">
        <v>2919</v>
      </c>
      <c r="B1955" s="1291">
        <v>6.4638498242281378E-2</v>
      </c>
      <c r="C1955" s="1257">
        <v>9.1569103743671262E-2</v>
      </c>
      <c r="D1955" s="1257">
        <v>7.1820553602534865E-2</v>
      </c>
      <c r="E1955" s="1280">
        <v>0.48288549214664317</v>
      </c>
      <c r="F1955" s="1303">
        <v>4.9369486317407091E-2</v>
      </c>
      <c r="G1955" s="1288">
        <v>7.3916301000445855E-2</v>
      </c>
      <c r="H1955" s="1280">
        <v>0.69948734843804283</v>
      </c>
      <c r="I1955" s="1303">
        <v>6.9625117964766989E-2</v>
      </c>
      <c r="J1955" s="1288">
        <v>0.12953957454300141</v>
      </c>
      <c r="K1955" s="1280">
        <v>1.2258634738003147</v>
      </c>
      <c r="L1955" s="1237">
        <v>0.17426990640755913</v>
      </c>
    </row>
    <row r="1956" spans="1:12" s="326" customFormat="1" ht="15.5" x14ac:dyDescent="0.35">
      <c r="A1956" s="328" t="s">
        <v>2920</v>
      </c>
      <c r="B1956" s="1291">
        <v>6.4638498242281378E-2</v>
      </c>
      <c r="C1956" s="1257">
        <v>9.1569103743671262E-2</v>
      </c>
      <c r="D1956" s="1257">
        <v>7.1820553602534865E-2</v>
      </c>
      <c r="E1956" s="1280">
        <v>0.48288549214664317</v>
      </c>
      <c r="F1956" s="1303">
        <v>4.9776093442740581E-2</v>
      </c>
      <c r="G1956" s="1288">
        <v>7.2121413222453037E-2</v>
      </c>
      <c r="H1956" s="1280">
        <v>0.68250190306836067</v>
      </c>
      <c r="I1956" s="1303">
        <v>6.9448957790675156E-2</v>
      </c>
      <c r="J1956" s="1288">
        <v>0.13004986458171253</v>
      </c>
      <c r="K1956" s="1280">
        <v>1.2306924685048826</v>
      </c>
      <c r="L1956" s="1237">
        <v>0.17426990640755913</v>
      </c>
    </row>
    <row r="1957" spans="1:12" s="326" customFormat="1" ht="15.5" x14ac:dyDescent="0.35">
      <c r="A1957" s="328" t="s">
        <v>2921</v>
      </c>
      <c r="B1957" s="1291">
        <v>6.4638498242281378E-2</v>
      </c>
      <c r="C1957" s="1257">
        <v>9.1569103743671262E-2</v>
      </c>
      <c r="D1957" s="1257">
        <v>7.1820553602534865E-2</v>
      </c>
      <c r="E1957" s="1280">
        <v>0.48288549214664317</v>
      </c>
      <c r="F1957" s="1303">
        <v>4.9422478846388243E-2</v>
      </c>
      <c r="G1957" s="1288">
        <v>7.7553951866023901E-2</v>
      </c>
      <c r="H1957" s="1280">
        <v>0.73391129449685844</v>
      </c>
      <c r="I1957" s="1303">
        <v>6.9168092470489259E-2</v>
      </c>
      <c r="J1957" s="1288">
        <v>0.13028478261762852</v>
      </c>
      <c r="K1957" s="1280">
        <v>1.2329155531535876</v>
      </c>
      <c r="L1957" s="1237">
        <v>0.17426990640755913</v>
      </c>
    </row>
    <row r="1958" spans="1:12" s="326" customFormat="1" ht="15.5" x14ac:dyDescent="0.35">
      <c r="A1958" s="328" t="s">
        <v>2922</v>
      </c>
      <c r="B1958" s="1291">
        <v>6.4638498242281378E-2</v>
      </c>
      <c r="C1958" s="1257">
        <v>9.1569103743671262E-2</v>
      </c>
      <c r="D1958" s="1257">
        <v>7.1820553602534865E-2</v>
      </c>
      <c r="E1958" s="1280">
        <v>0.48288549214664317</v>
      </c>
      <c r="F1958" s="1303">
        <v>5.887748963650432E-2</v>
      </c>
      <c r="G1958" s="1288">
        <v>7.1644109485943769E-2</v>
      </c>
      <c r="H1958" s="1280">
        <v>0.67798506550301196</v>
      </c>
      <c r="I1958" s="1303">
        <v>7.4963468351551169E-2</v>
      </c>
      <c r="J1958" s="1288">
        <v>0.13112408494488445</v>
      </c>
      <c r="K1958" s="1280">
        <v>1.2408580685593109</v>
      </c>
      <c r="L1958" s="1237">
        <v>0.17426990640755913</v>
      </c>
    </row>
    <row r="1959" spans="1:12" s="326" customFormat="1" ht="15.5" x14ac:dyDescent="0.35">
      <c r="A1959" s="328" t="s">
        <v>2923</v>
      </c>
      <c r="B1959" s="1291">
        <v>6.4638498242281378E-2</v>
      </c>
      <c r="C1959" s="1257">
        <v>9.1569103743671262E-2</v>
      </c>
      <c r="D1959" s="1257">
        <v>7.1820553602534865E-2</v>
      </c>
      <c r="E1959" s="1280">
        <v>0.48288549214664317</v>
      </c>
      <c r="F1959" s="1303">
        <v>5.9107708267561766E-2</v>
      </c>
      <c r="G1959" s="1288">
        <v>6.9872202381939336E-2</v>
      </c>
      <c r="H1959" s="1280">
        <v>0.66121709165849929</v>
      </c>
      <c r="I1959" s="1303">
        <v>7.5726037123294121E-2</v>
      </c>
      <c r="J1959" s="1288">
        <v>0.1163535427687849</v>
      </c>
      <c r="K1959" s="1280">
        <v>1.1010809525251923</v>
      </c>
      <c r="L1959" s="1237">
        <v>0.17426990640755913</v>
      </c>
    </row>
    <row r="1960" spans="1:12" s="326" customFormat="1" ht="15.5" x14ac:dyDescent="0.35">
      <c r="A1960" s="328" t="s">
        <v>2924</v>
      </c>
      <c r="B1960" s="1291">
        <v>6.4638498242281378E-2</v>
      </c>
      <c r="C1960" s="1257">
        <v>9.1569103743671262E-2</v>
      </c>
      <c r="D1960" s="1257">
        <v>7.1820553602534865E-2</v>
      </c>
      <c r="E1960" s="1280">
        <v>0.48288549214664317</v>
      </c>
      <c r="F1960" s="1303">
        <v>5.8814776058998923E-2</v>
      </c>
      <c r="G1960" s="1288">
        <v>6.3478509753697399E-2</v>
      </c>
      <c r="H1960" s="1280">
        <v>0.60071207391918047</v>
      </c>
      <c r="I1960" s="1303">
        <v>7.551338505130907E-2</v>
      </c>
      <c r="J1960" s="1288">
        <v>9.9939090129092328E-2</v>
      </c>
      <c r="K1960" s="1280">
        <v>0.94574712497163105</v>
      </c>
      <c r="L1960" s="1237">
        <v>0.17426990640755913</v>
      </c>
    </row>
    <row r="1961" spans="1:12" s="326" customFormat="1" ht="15.5" x14ac:dyDescent="0.35">
      <c r="A1961" s="328" t="s">
        <v>2925</v>
      </c>
      <c r="B1961" s="1291">
        <v>6.4638498242281378E-2</v>
      </c>
      <c r="C1961" s="1257">
        <v>9.1569103743671262E-2</v>
      </c>
      <c r="D1961" s="1257">
        <v>7.1820553602534865E-2</v>
      </c>
      <c r="E1961" s="1280">
        <v>0.48288549214664317</v>
      </c>
      <c r="F1961" s="1303">
        <v>6.4689512840791732E-2</v>
      </c>
      <c r="G1961" s="1288">
        <v>5.884223888607553E-2</v>
      </c>
      <c r="H1961" s="1280">
        <v>0.55683795181161178</v>
      </c>
      <c r="I1961" s="1303">
        <v>8.1025070827519655E-2</v>
      </c>
      <c r="J1961" s="1288">
        <v>9.9898333159628899E-2</v>
      </c>
      <c r="K1961" s="1280">
        <v>0.94536143217972357</v>
      </c>
      <c r="L1961" s="1237">
        <v>0.17426990640755913</v>
      </c>
    </row>
    <row r="1962" spans="1:12" s="326" customFormat="1" ht="15.5" x14ac:dyDescent="0.35">
      <c r="A1962" s="328" t="s">
        <v>2926</v>
      </c>
      <c r="B1962" s="1291">
        <v>6.4638498242281378E-2</v>
      </c>
      <c r="C1962" s="1257">
        <v>9.1569103743671262E-2</v>
      </c>
      <c r="D1962" s="1257">
        <v>7.1820553602534865E-2</v>
      </c>
      <c r="E1962" s="1280">
        <v>0.48288549214664317</v>
      </c>
      <c r="F1962" s="1303">
        <v>6.7296502038545439E-2</v>
      </c>
      <c r="G1962" s="1288">
        <v>5.9442672777049697E-2</v>
      </c>
      <c r="H1962" s="1280">
        <v>0.5625199990004629</v>
      </c>
      <c r="I1962" s="1303">
        <v>8.0724591603731341E-2</v>
      </c>
      <c r="J1962" s="1288">
        <v>0.10161820447450425</v>
      </c>
      <c r="K1962" s="1280">
        <v>0.96163697910799228</v>
      </c>
      <c r="L1962" s="1330">
        <v>0.17426990640755913</v>
      </c>
    </row>
    <row r="1963" spans="1:12" s="326" customFormat="1" ht="15.5" x14ac:dyDescent="0.35">
      <c r="A1963" s="328" t="s">
        <v>2927</v>
      </c>
      <c r="B1963" s="1291">
        <v>6.4638498242281378E-2</v>
      </c>
      <c r="C1963" s="1257">
        <v>9.1569103743671262E-2</v>
      </c>
      <c r="D1963" s="1257">
        <v>7.1820553602534865E-2</v>
      </c>
      <c r="E1963" s="1280">
        <v>0.48288549214664317</v>
      </c>
      <c r="F1963" s="1303">
        <v>6.0872700530385751E-2</v>
      </c>
      <c r="G1963" s="1288">
        <v>5.9874833975536848E-2</v>
      </c>
      <c r="H1963" s="1280">
        <v>0.5666096421067347</v>
      </c>
      <c r="I1963" s="1303">
        <v>8.0956157386801272E-2</v>
      </c>
      <c r="J1963" s="1288">
        <v>0.10153138618966996</v>
      </c>
      <c r="K1963" s="1280">
        <v>0.96081539725077381</v>
      </c>
      <c r="L1963" s="1330">
        <v>0.17348320829710237</v>
      </c>
    </row>
    <row r="1964" spans="1:12" s="326" customFormat="1" ht="15.5" x14ac:dyDescent="0.35">
      <c r="A1964" s="328" t="s">
        <v>2928</v>
      </c>
      <c r="B1964" s="1291">
        <v>6.4638498242281378E-2</v>
      </c>
      <c r="C1964" s="1257">
        <v>9.1569103743671262E-2</v>
      </c>
      <c r="D1964" s="1257">
        <v>7.1820553602534865E-2</v>
      </c>
      <c r="E1964" s="1280">
        <v>0.48288549214664317</v>
      </c>
      <c r="F1964" s="1303">
        <v>6.685447860112731E-2</v>
      </c>
      <c r="G1964" s="1288">
        <v>5.8828073286657678E-2</v>
      </c>
      <c r="H1964" s="1280">
        <v>0.55670389941123843</v>
      </c>
      <c r="I1964" s="1303">
        <v>8.0882312360995093E-2</v>
      </c>
      <c r="J1964" s="1288">
        <v>0.10189262239208377</v>
      </c>
      <c r="K1964" s="1280">
        <v>0.96423386043096904</v>
      </c>
      <c r="L1964" s="1330">
        <v>0.16373728736112889</v>
      </c>
    </row>
    <row r="1965" spans="1:12" s="326" customFormat="1" ht="15.5" x14ac:dyDescent="0.35">
      <c r="A1965" s="328" t="s">
        <v>2929</v>
      </c>
      <c r="B1965" s="1291">
        <v>6.4638498242281378E-2</v>
      </c>
      <c r="C1965" s="1257">
        <v>9.1569103743671262E-2</v>
      </c>
      <c r="D1965" s="1257">
        <v>7.1820553602534865E-2</v>
      </c>
      <c r="E1965" s="1280">
        <v>0.48288549214664317</v>
      </c>
      <c r="F1965" s="1303">
        <v>6.2606738149992486E-2</v>
      </c>
      <c r="G1965" s="1288">
        <v>5.6507509549222915E-2</v>
      </c>
      <c r="H1965" s="1280">
        <v>0.53474385874889618</v>
      </c>
      <c r="I1965" s="1303">
        <v>7.8679505890741658E-2</v>
      </c>
      <c r="J1965" s="1288">
        <v>9.9341710824025459E-2</v>
      </c>
      <c r="K1965" s="1280">
        <v>0.94009398404794686</v>
      </c>
      <c r="L1965" s="1330">
        <v>0.19316560473249442</v>
      </c>
    </row>
    <row r="1966" spans="1:12" s="326" customFormat="1" ht="15.5" x14ac:dyDescent="0.35">
      <c r="A1966" s="328" t="s">
        <v>2930</v>
      </c>
      <c r="B1966" s="1291">
        <v>6.4638498242281378E-2</v>
      </c>
      <c r="C1966" s="1257">
        <v>9.1569103743671262E-2</v>
      </c>
      <c r="D1966" s="1257">
        <v>7.1820553602534865E-2</v>
      </c>
      <c r="E1966" s="1280">
        <v>0.48288549214664317</v>
      </c>
      <c r="F1966" s="1303">
        <v>6.0723081408618318E-2</v>
      </c>
      <c r="G1966" s="1288">
        <v>5.7162967679717326E-2</v>
      </c>
      <c r="H1966" s="1280">
        <v>0.54094661326320737</v>
      </c>
      <c r="I1966" s="1303">
        <v>7.8193592835320347E-2</v>
      </c>
      <c r="J1966" s="1288">
        <v>0.1001170409761359</v>
      </c>
      <c r="K1966" s="1280">
        <v>0.94743111570799188</v>
      </c>
      <c r="L1966" s="1330">
        <v>0.19316560473250186</v>
      </c>
    </row>
    <row r="1967" spans="1:12" s="326" customFormat="1" ht="15.5" x14ac:dyDescent="0.35">
      <c r="A1967" s="328" t="s">
        <v>2931</v>
      </c>
      <c r="B1967" s="1291">
        <v>6.4638498242281378E-2</v>
      </c>
      <c r="C1967" s="1257">
        <v>9.1569103743671262E-2</v>
      </c>
      <c r="D1967" s="1257">
        <v>7.1820553602534865E-2</v>
      </c>
      <c r="E1967" s="1280">
        <v>0.48288549214664317</v>
      </c>
      <c r="F1967" s="1303">
        <v>6.2133900268314876E-2</v>
      </c>
      <c r="G1967" s="1288">
        <v>5.7743092835980288E-2</v>
      </c>
      <c r="H1967" s="1280">
        <v>0.5464364741169605</v>
      </c>
      <c r="I1967" s="1303">
        <v>7.5823227194975862E-2</v>
      </c>
      <c r="J1967" s="1288">
        <v>9.7387125717672413E-2</v>
      </c>
      <c r="K1967" s="1280">
        <v>0.92159728528414997</v>
      </c>
      <c r="L1967" s="1330">
        <v>0.19316560473247388</v>
      </c>
    </row>
    <row r="1968" spans="1:12" s="326" customFormat="1" ht="15.5" x14ac:dyDescent="0.35">
      <c r="A1968" s="328" t="s">
        <v>2932</v>
      </c>
      <c r="B1968" s="1291">
        <v>6.4638498242281378E-2</v>
      </c>
      <c r="C1968" s="1257">
        <v>9.1569103743671262E-2</v>
      </c>
      <c r="D1968" s="1257">
        <v>7.1820553602534865E-2</v>
      </c>
      <c r="E1968" s="1280">
        <v>0.48288549214664317</v>
      </c>
      <c r="F1968" s="1303">
        <v>6.0740610929344095E-2</v>
      </c>
      <c r="G1968" s="1288">
        <v>5.7014500549056504E-2</v>
      </c>
      <c r="H1968" s="1280">
        <v>0.53954163387232146</v>
      </c>
      <c r="I1968" s="1303">
        <v>7.3055558254437089E-2</v>
      </c>
      <c r="J1968" s="1288">
        <v>9.5978537757904714E-2</v>
      </c>
      <c r="K1968" s="1280">
        <v>0.90826748598840701</v>
      </c>
      <c r="L1968" s="1330">
        <v>0.19783988539935526</v>
      </c>
    </row>
    <row r="1969" spans="1:12" s="326" customFormat="1" ht="15.5" x14ac:dyDescent="0.35">
      <c r="A1969" s="328" t="s">
        <v>2933</v>
      </c>
      <c r="B1969" s="1291">
        <v>6.4638498242281378E-2</v>
      </c>
      <c r="C1969" s="1257">
        <v>9.1569103743671262E-2</v>
      </c>
      <c r="D1969" s="1257">
        <v>7.1820553602534865E-2</v>
      </c>
      <c r="E1969" s="1280">
        <v>0.48288549214664317</v>
      </c>
      <c r="F1969" s="1303">
        <v>5.5979775480335961E-2</v>
      </c>
      <c r="G1969" s="1288">
        <v>5.5557409514479225E-2</v>
      </c>
      <c r="H1969" s="1280">
        <v>0.52575283856716737</v>
      </c>
      <c r="I1969" s="1303">
        <v>6.8524008150841101E-2</v>
      </c>
      <c r="J1969" s="1288">
        <v>9.1385807011507225E-2</v>
      </c>
      <c r="K1969" s="1280">
        <v>0.86480539429271897</v>
      </c>
      <c r="L1969" s="1330">
        <v>0.19783988539938721</v>
      </c>
    </row>
    <row r="1970" spans="1:12" s="326" customFormat="1" ht="15.5" x14ac:dyDescent="0.35">
      <c r="A1970" s="328" t="s">
        <v>2934</v>
      </c>
      <c r="B1970" s="1291">
        <v>6.4638498242281378E-2</v>
      </c>
      <c r="C1970" s="1257">
        <v>9.1569103743671262E-2</v>
      </c>
      <c r="D1970" s="1257">
        <v>7.1820553602534865E-2</v>
      </c>
      <c r="E1970" s="1280">
        <v>0.48288549214664317</v>
      </c>
      <c r="F1970" s="1303">
        <v>5.7735949226341982E-2</v>
      </c>
      <c r="G1970" s="1288">
        <v>5.3623945570779805E-2</v>
      </c>
      <c r="H1970" s="1280">
        <v>0.50745601433524712</v>
      </c>
      <c r="I1970" s="1303">
        <v>6.860079411425056E-2</v>
      </c>
      <c r="J1970" s="1288">
        <v>9.053358510899609E-2</v>
      </c>
      <c r="K1970" s="1280">
        <v>0.85674061790645573</v>
      </c>
      <c r="L1970" s="1330">
        <v>0.19783988539920191</v>
      </c>
    </row>
    <row r="1971" spans="1:12" s="326" customFormat="1" ht="15.5" x14ac:dyDescent="0.35">
      <c r="A1971" s="328" t="s">
        <v>2935</v>
      </c>
      <c r="B1971" s="1291">
        <v>6.4638498242281378E-2</v>
      </c>
      <c r="C1971" s="1257">
        <v>9.1569103743671262E-2</v>
      </c>
      <c r="D1971" s="1257">
        <v>7.1820553602534865E-2</v>
      </c>
      <c r="E1971" s="1280">
        <v>0.48288549214664317</v>
      </c>
      <c r="F1971" s="1303">
        <v>5.4822179936228059E-2</v>
      </c>
      <c r="G1971" s="1288">
        <v>5.3450347138802243E-2</v>
      </c>
      <c r="H1971" s="1280">
        <v>0.50581321152675351</v>
      </c>
      <c r="I1971" s="1303">
        <v>6.5161795215090287E-2</v>
      </c>
      <c r="J1971" s="1288">
        <v>8.7836865370828937E-2</v>
      </c>
      <c r="K1971" s="1280">
        <v>0.83122092450188867</v>
      </c>
      <c r="L1971" s="1330">
        <v>0.19783988539937261</v>
      </c>
    </row>
    <row r="1972" spans="1:12" s="326" customFormat="1" ht="15.5" x14ac:dyDescent="0.35">
      <c r="A1972" s="328" t="s">
        <v>2936</v>
      </c>
      <c r="B1972" s="1291">
        <v>6.4638498242281378E-2</v>
      </c>
      <c r="C1972" s="1257">
        <v>9.1569103743671262E-2</v>
      </c>
      <c r="D1972" s="1257">
        <v>7.1820553602534865E-2</v>
      </c>
      <c r="E1972" s="1280">
        <v>0.48288549214664317</v>
      </c>
      <c r="F1972" s="1303">
        <v>5.3332845187457609E-2</v>
      </c>
      <c r="G1972" s="1288">
        <v>5.0764391982985137E-2</v>
      </c>
      <c r="H1972" s="1280">
        <v>0.48039538589780789</v>
      </c>
      <c r="I1972" s="1303">
        <v>6.3524812682345971E-2</v>
      </c>
      <c r="J1972" s="1288">
        <v>8.5616965047614943E-2</v>
      </c>
      <c r="K1972" s="1280">
        <v>0.81021348541382665</v>
      </c>
      <c r="L1972" s="1330">
        <v>0.17892514706744453</v>
      </c>
    </row>
    <row r="1973" spans="1:12" s="326" customFormat="1" ht="15.5" x14ac:dyDescent="0.35">
      <c r="A1973" s="328" t="s">
        <v>2937</v>
      </c>
      <c r="B1973" s="1291">
        <v>6.4638498242281378E-2</v>
      </c>
      <c r="C1973" s="1257">
        <v>9.1569103743671262E-2</v>
      </c>
      <c r="D1973" s="1257">
        <v>7.1820553602534865E-2</v>
      </c>
      <c r="E1973" s="1280">
        <v>0.48288549214664317</v>
      </c>
      <c r="F1973" s="1303">
        <v>5.1943640472122243E-2</v>
      </c>
      <c r="G1973" s="1288">
        <v>4.8886262209374767E-2</v>
      </c>
      <c r="H1973" s="1280">
        <v>0.46262220193724501</v>
      </c>
      <c r="I1973" s="1303">
        <v>6.1953101382328055E-2</v>
      </c>
      <c r="J1973" s="1288">
        <v>8.3485208684334081E-2</v>
      </c>
      <c r="K1973" s="1280">
        <v>0.7900401733583674</v>
      </c>
      <c r="L1973" s="1330">
        <v>0.17892514706758705</v>
      </c>
    </row>
    <row r="1974" spans="1:12" s="326" customFormat="1" ht="15.5" x14ac:dyDescent="0.35">
      <c r="A1974" s="328" t="s">
        <v>2938</v>
      </c>
      <c r="B1974" s="1291">
        <v>6.4638498242281378E-2</v>
      </c>
      <c r="C1974" s="1257">
        <v>9.1569103743671262E-2</v>
      </c>
      <c r="D1974" s="1257">
        <v>7.1820553602534865E-2</v>
      </c>
      <c r="E1974" s="1280">
        <v>0.48288549214664317</v>
      </c>
      <c r="F1974" s="1303">
        <v>5.0544583901254915E-2</v>
      </c>
      <c r="G1974" s="1288">
        <v>4.7177867121102925E-2</v>
      </c>
      <c r="H1974" s="1280">
        <v>0.44645525724161367</v>
      </c>
      <c r="I1974" s="1303">
        <v>6.0381530272692288E-2</v>
      </c>
      <c r="J1974" s="1288">
        <v>8.1359048783968907E-2</v>
      </c>
      <c r="K1974" s="1280">
        <v>0.769919821948294</v>
      </c>
      <c r="L1974" s="1330">
        <v>0.1789251470676172</v>
      </c>
    </row>
    <row r="1975" spans="1:12" s="326" customFormat="1" ht="15.5" x14ac:dyDescent="0.35">
      <c r="A1975" s="328" t="s">
        <v>2939</v>
      </c>
      <c r="B1975" s="1291">
        <v>6.4638498242281378E-2</v>
      </c>
      <c r="C1975" s="1257">
        <v>9.1569103743671262E-2</v>
      </c>
      <c r="D1975" s="1257">
        <v>7.1820553602534865E-2</v>
      </c>
      <c r="E1975" s="1280">
        <v>0.48288549214664317</v>
      </c>
      <c r="F1975" s="1303">
        <v>5.0302537738043517E-2</v>
      </c>
      <c r="G1975" s="1288">
        <v>4.5546180895116341E-2</v>
      </c>
      <c r="H1975" s="1306">
        <v>0.43043036359104558</v>
      </c>
      <c r="I1975" s="1303">
        <v>6.037302438602303E-2</v>
      </c>
      <c r="J1975" s="1288">
        <v>8.1325105169846978E-2</v>
      </c>
      <c r="K1975" s="1306">
        <v>0.59939838096514919</v>
      </c>
      <c r="L1975" s="1330">
        <v>0.1653847262455925</v>
      </c>
    </row>
    <row r="1976" spans="1:12" s="326" customFormat="1" ht="15.5" x14ac:dyDescent="0.35">
      <c r="A1976" s="328" t="s">
        <v>2940</v>
      </c>
      <c r="B1976" s="1291">
        <v>6.4638498242281378E-2</v>
      </c>
      <c r="C1976" s="1257">
        <v>9.1569103743671262E-2</v>
      </c>
      <c r="D1976" s="1257">
        <v>7.1820553602534865E-2</v>
      </c>
      <c r="E1976" s="1280">
        <v>0.48288549214664317</v>
      </c>
      <c r="F1976" s="1303">
        <v>5.0080412058995522E-2</v>
      </c>
      <c r="G1976" s="1288">
        <v>4.4006590578038747E-2</v>
      </c>
      <c r="H1976" s="1306">
        <v>0.43888971887243283</v>
      </c>
      <c r="I1976" s="1303">
        <v>6.0363892983218877E-2</v>
      </c>
      <c r="J1976" s="1288">
        <v>8.1289665294373467E-2</v>
      </c>
      <c r="K1976" s="1306">
        <v>0.59942053850866683</v>
      </c>
      <c r="L1976" s="1330">
        <v>0.16538472624549716</v>
      </c>
    </row>
    <row r="1977" spans="1:12" s="326" customFormat="1" ht="15.5" x14ac:dyDescent="0.35">
      <c r="A1977" s="328" t="s">
        <v>2941</v>
      </c>
      <c r="B1977" s="1291">
        <v>6.4638498242281378E-2</v>
      </c>
      <c r="C1977" s="1257">
        <v>9.1569103743671262E-2</v>
      </c>
      <c r="D1977" s="1257">
        <v>7.1820553602534865E-2</v>
      </c>
      <c r="E1977" s="1280">
        <v>0.48288549214664317</v>
      </c>
      <c r="F1977" s="1303">
        <v>4.9924533941391631E-2</v>
      </c>
      <c r="G1977" s="1288">
        <v>4.3459641092314413E-2</v>
      </c>
      <c r="H1977" s="1306">
        <v>0.45555499868717542</v>
      </c>
      <c r="I1977" s="1303">
        <v>6.0354842245468616E-2</v>
      </c>
      <c r="J1977" s="1288">
        <v>8.1253948249683169E-2</v>
      </c>
      <c r="K1977" s="1306">
        <v>0.59944915461731352</v>
      </c>
      <c r="L1977" s="1330">
        <v>0.16538472624551495</v>
      </c>
    </row>
    <row r="1978" spans="1:12" s="326" customFormat="1" ht="15.5" x14ac:dyDescent="0.35">
      <c r="A1978" s="328" t="s">
        <v>2942</v>
      </c>
      <c r="B1978" s="1291">
        <v>6.4638498242281378E-2</v>
      </c>
      <c r="C1978" s="1257">
        <v>9.1569103743671262E-2</v>
      </c>
      <c r="D1978" s="1257">
        <v>7.1820553602534865E-2</v>
      </c>
      <c r="E1978" s="1280">
        <v>0.48288549214664317</v>
      </c>
      <c r="F1978" s="1303">
        <v>4.9743326929153585E-2</v>
      </c>
      <c r="G1978" s="1288">
        <v>4.3183127293759449E-2</v>
      </c>
      <c r="H1978" s="1306">
        <v>0.47153718161301739</v>
      </c>
      <c r="I1978" s="1303">
        <v>6.0346302638512615E-2</v>
      </c>
      <c r="J1978" s="1288">
        <v>8.1218697368753257E-2</v>
      </c>
      <c r="K1978" s="1306">
        <v>0.59957871834030063</v>
      </c>
      <c r="L1978" s="1330">
        <v>0.15942833172178747</v>
      </c>
    </row>
    <row r="1979" spans="1:12" s="326" customFormat="1" ht="15.5" x14ac:dyDescent="0.35">
      <c r="A1979" s="328" t="s">
        <v>2943</v>
      </c>
      <c r="B1979" s="1291">
        <v>6.4638498242281378E-2</v>
      </c>
      <c r="C1979" s="1257">
        <v>9.1569103743671262E-2</v>
      </c>
      <c r="D1979" s="1257">
        <v>7.1820553602534865E-2</v>
      </c>
      <c r="E1979" s="1280">
        <v>0.48288549214664317</v>
      </c>
      <c r="F1979" s="1303">
        <v>4.9552642091644401E-2</v>
      </c>
      <c r="G1979" s="1288">
        <v>4.2921747508102147E-2</v>
      </c>
      <c r="H1979" s="1306">
        <v>0.48284420104573617</v>
      </c>
      <c r="I1979" s="1303">
        <v>6.0338000522583368E-2</v>
      </c>
      <c r="J1979" s="1288">
        <v>8.1183275505086208E-2</v>
      </c>
      <c r="K1979" s="1306">
        <v>0.59967027994126409</v>
      </c>
      <c r="L1979" s="1330">
        <v>0.159428331721781</v>
      </c>
    </row>
    <row r="1980" spans="1:12" s="326" customFormat="1" ht="15.5" x14ac:dyDescent="0.35">
      <c r="A1980" s="328" t="s">
        <v>2944</v>
      </c>
      <c r="B1980" s="1291">
        <v>6.4638498242281378E-2</v>
      </c>
      <c r="C1980" s="1257">
        <v>9.1569103743671262E-2</v>
      </c>
      <c r="D1980" s="1257">
        <v>7.1820553602534865E-2</v>
      </c>
      <c r="E1980" s="1280">
        <v>0.48288549214664317</v>
      </c>
      <c r="F1980" s="1303">
        <v>4.9295368479400248E-2</v>
      </c>
      <c r="G1980" s="1288">
        <v>4.2625254076013294E-2</v>
      </c>
      <c r="H1980" s="1306">
        <v>0.49038582731424979</v>
      </c>
      <c r="I1980" s="1303">
        <v>6.0329811965988078E-2</v>
      </c>
      <c r="J1980" s="1288">
        <v>8.1147555962328866E-2</v>
      </c>
      <c r="K1980" s="1306">
        <v>0.59972120223598968</v>
      </c>
      <c r="L1980" s="1330">
        <v>0.15942833172178608</v>
      </c>
    </row>
    <row r="1981" spans="1:12" s="326" customFormat="1" ht="15.5" x14ac:dyDescent="0.35">
      <c r="A1981" s="328" t="s">
        <v>2945</v>
      </c>
      <c r="B1981" s="1291">
        <v>6.4638498242281378E-2</v>
      </c>
      <c r="C1981" s="1257">
        <v>9.1569103743671262E-2</v>
      </c>
      <c r="D1981" s="1257">
        <v>7.1820553602534865E-2</v>
      </c>
      <c r="E1981" s="1280">
        <v>0.48288549214664317</v>
      </c>
      <c r="F1981" s="1303">
        <v>4.9034322688183501E-2</v>
      </c>
      <c r="G1981" s="1288">
        <v>4.2352394903171574E-2</v>
      </c>
      <c r="H1981" s="1306">
        <v>0.49574498111925852</v>
      </c>
      <c r="I1981" s="1303">
        <v>6.0321783852515208E-2</v>
      </c>
      <c r="J1981" s="1288">
        <v>8.1111931008979302E-2</v>
      </c>
      <c r="K1981" s="1306">
        <v>0.59982711141847123</v>
      </c>
      <c r="L1981" s="1330">
        <v>0.15942833172179049</v>
      </c>
    </row>
    <row r="1982" spans="1:12" s="326" customFormat="1" ht="15.5" x14ac:dyDescent="0.35">
      <c r="A1982" s="328" t="s">
        <v>2946</v>
      </c>
      <c r="B1982" s="1291">
        <v>6.4638498242281378E-2</v>
      </c>
      <c r="C1982" s="1257">
        <v>9.1569103743671262E-2</v>
      </c>
      <c r="D1982" s="1257">
        <v>7.1820553602534865E-2</v>
      </c>
      <c r="E1982" s="1280">
        <v>0.48288549214664317</v>
      </c>
      <c r="F1982" s="1303">
        <v>4.8749291011567823E-2</v>
      </c>
      <c r="G1982" s="1288">
        <v>4.209405805172315E-2</v>
      </c>
      <c r="H1982" s="1306">
        <v>0.50295084752082964</v>
      </c>
      <c r="I1982" s="1303">
        <v>6.0314002661108645E-2</v>
      </c>
      <c r="J1982" s="1288">
        <v>8.107695923963186E-2</v>
      </c>
      <c r="K1982" s="1306">
        <v>0.5998586650413481</v>
      </c>
      <c r="L1982" s="1330">
        <v>0.15942833172178439</v>
      </c>
    </row>
    <row r="1983" spans="1:12" s="326" customFormat="1" ht="15.5" x14ac:dyDescent="0.35">
      <c r="A1983" s="328" t="s">
        <v>2947</v>
      </c>
      <c r="B1983" s="1291">
        <v>6.4638498242281378E-2</v>
      </c>
      <c r="C1983" s="1257">
        <v>9.1569103743671262E-2</v>
      </c>
      <c r="D1983" s="1257">
        <v>7.1820553602534865E-2</v>
      </c>
      <c r="E1983" s="1306">
        <v>1.8016062030031579</v>
      </c>
      <c r="F1983" s="1303">
        <v>4.8456475321005957E-2</v>
      </c>
      <c r="G1983" s="1288">
        <v>4.1832829440098245E-2</v>
      </c>
      <c r="H1983" s="1306">
        <v>0.50911261392652551</v>
      </c>
      <c r="I1983" s="1303">
        <v>6.030626591014597E-2</v>
      </c>
      <c r="J1983" s="1288">
        <v>8.1042573378584268E-2</v>
      </c>
      <c r="K1983" s="1306">
        <v>0.59988956677628036</v>
      </c>
      <c r="L1983" s="1330">
        <v>0.15834736593869134</v>
      </c>
    </row>
    <row r="1984" spans="1:12" s="326" customFormat="1" ht="15.5" x14ac:dyDescent="0.35">
      <c r="A1984" s="328" t="s">
        <v>2948</v>
      </c>
      <c r="B1984" s="1291">
        <v>6.4638498242281378E-2</v>
      </c>
      <c r="C1984" s="1257">
        <v>9.1569103743671262E-2</v>
      </c>
      <c r="D1984" s="1257">
        <v>7.1820553602534865E-2</v>
      </c>
      <c r="E1984" s="1306">
        <v>1.8717991672744294</v>
      </c>
      <c r="F1984" s="1303">
        <v>4.8109335734815864E-2</v>
      </c>
      <c r="G1984" s="1288">
        <v>4.158532610531341E-2</v>
      </c>
      <c r="H1984" s="1306">
        <v>0.51443175705505839</v>
      </c>
      <c r="I1984" s="1303">
        <v>6.0298621757693016E-2</v>
      </c>
      <c r="J1984" s="1288">
        <v>8.1009099521594671E-2</v>
      </c>
      <c r="K1984" s="1306">
        <v>0.59995766477250512</v>
      </c>
      <c r="L1984" s="1330">
        <v>0.15737449673390289</v>
      </c>
    </row>
    <row r="1985" spans="1:12" s="326" customFormat="1" ht="15.5" x14ac:dyDescent="0.35">
      <c r="A1985" s="328" t="s">
        <v>2949</v>
      </c>
      <c r="B1985" s="1291">
        <v>6.4638498242281378E-2</v>
      </c>
      <c r="C1985" s="1257">
        <v>9.1569103743671262E-2</v>
      </c>
      <c r="D1985" s="1257">
        <v>7.1820553602534865E-2</v>
      </c>
      <c r="E1985" s="1306">
        <v>1.8163785563633781</v>
      </c>
      <c r="F1985" s="1303">
        <v>4.7744689854153005E-2</v>
      </c>
      <c r="G1985" s="1288">
        <v>4.1343541230530682E-2</v>
      </c>
      <c r="H1985" s="1306">
        <v>0.51928898496387743</v>
      </c>
      <c r="I1985" s="1303">
        <v>6.029116559622482E-2</v>
      </c>
      <c r="J1985" s="1288">
        <v>8.0976692964722374E-2</v>
      </c>
      <c r="K1985" s="1306">
        <v>0.60002881176216316</v>
      </c>
      <c r="L1985" s="1330">
        <v>0.15649891444959382</v>
      </c>
    </row>
    <row r="1986" spans="1:12" s="326" customFormat="1" ht="15.5" x14ac:dyDescent="0.35">
      <c r="A1986" s="328" t="s">
        <v>2950</v>
      </c>
      <c r="B1986" s="1291">
        <v>6.4638498242281378E-2</v>
      </c>
      <c r="C1986" s="1257">
        <v>9.1569103743671262E-2</v>
      </c>
      <c r="D1986" s="1257">
        <v>7.1820553602534865E-2</v>
      </c>
      <c r="E1986" s="1306">
        <v>1.8998878604840246</v>
      </c>
      <c r="F1986" s="1303">
        <v>4.7307532150140504E-2</v>
      </c>
      <c r="G1986" s="1288">
        <v>4.1104495227892085E-2</v>
      </c>
      <c r="H1986" s="1306">
        <v>0.52347222026907314</v>
      </c>
      <c r="I1986" s="1303">
        <v>6.0283807615427211E-2</v>
      </c>
      <c r="J1986" s="1288">
        <v>8.0944836503521744E-2</v>
      </c>
      <c r="K1986" s="1306">
        <v>0.60010448907697489</v>
      </c>
      <c r="L1986" s="1330">
        <v>0.15571089039372166</v>
      </c>
    </row>
    <row r="1987" spans="1:12" s="326" customFormat="1" ht="15.5" x14ac:dyDescent="0.35">
      <c r="A1987" s="328" t="s">
        <v>2951</v>
      </c>
      <c r="B1987" s="1287">
        <v>6.4638498242281378E-2</v>
      </c>
      <c r="C1987" s="1288">
        <v>9.1569103743671262E-2</v>
      </c>
      <c r="D1987" s="1288">
        <v>8.3844665776570973E-2</v>
      </c>
      <c r="E1987" s="1306">
        <v>1.9585972683089095</v>
      </c>
      <c r="F1987" s="1303">
        <v>4.7252568345133125E-2</v>
      </c>
      <c r="G1987" s="1288">
        <v>4.1044191194674187E-2</v>
      </c>
      <c r="H1987" s="1306">
        <v>0.52266851525452473</v>
      </c>
      <c r="I1987" s="1303">
        <v>6.0276486855742654E-2</v>
      </c>
      <c r="J1987" s="1288">
        <v>8.0912850816004661E-2</v>
      </c>
      <c r="K1987" s="1306">
        <v>0.60018853769068348</v>
      </c>
      <c r="L1987" s="1330">
        <v>0.15500166874343113</v>
      </c>
    </row>
    <row r="1988" spans="1:12" s="326" customFormat="1" ht="15.5" x14ac:dyDescent="0.35">
      <c r="A1988" s="328" t="s">
        <v>2952</v>
      </c>
      <c r="B1988" s="1287">
        <v>6.3966861657527185E-2</v>
      </c>
      <c r="C1988" s="1288">
        <v>8.2560416315150223E-2</v>
      </c>
      <c r="D1988" s="1288">
        <v>7.4458859469190564E-2</v>
      </c>
      <c r="E1988" s="1306">
        <v>1.992278511822914</v>
      </c>
      <c r="F1988" s="1303">
        <v>4.7171414127977658E-2</v>
      </c>
      <c r="G1988" s="1288">
        <v>4.0993333025217675E-2</v>
      </c>
      <c r="H1988" s="1306">
        <v>0.52189161053946376</v>
      </c>
      <c r="I1988" s="1303">
        <v>6.0269007665504727E-2</v>
      </c>
      <c r="J1988" s="1288">
        <v>8.0879698334093766E-2</v>
      </c>
      <c r="K1988" s="1306">
        <v>0.60024414172094942</v>
      </c>
      <c r="L1988" s="1330">
        <v>0.15436336925817151</v>
      </c>
    </row>
    <row r="1989" spans="1:12" s="326" customFormat="1" ht="15.5" x14ac:dyDescent="0.35">
      <c r="A1989" s="328" t="s">
        <v>2953</v>
      </c>
      <c r="B1989" s="1287">
        <v>6.4265435684909805E-2</v>
      </c>
      <c r="C1989" s="1288">
        <v>6.8320896643035325E-2</v>
      </c>
      <c r="D1989" s="1288">
        <v>8.5226293500462472E-2</v>
      </c>
      <c r="E1989" s="1306">
        <v>1.9380667153599387</v>
      </c>
      <c r="F1989" s="1303">
        <v>4.7136999110766784E-2</v>
      </c>
      <c r="G1989" s="1288">
        <v>4.0957363823733099E-2</v>
      </c>
      <c r="H1989" s="1306">
        <v>0.52171086636619624</v>
      </c>
      <c r="I1989" s="1303">
        <v>6.0261152783188485E-2</v>
      </c>
      <c r="J1989" s="1288">
        <v>8.0844534016843009E-2</v>
      </c>
      <c r="K1989" s="1306">
        <v>0.60031375701223666</v>
      </c>
      <c r="L1989" s="1330">
        <v>0.15378889972143753</v>
      </c>
    </row>
    <row r="1990" spans="1:12" s="326" customFormat="1" ht="15.5" x14ac:dyDescent="0.35">
      <c r="A1990" s="328" t="s">
        <v>2954</v>
      </c>
      <c r="B1990" s="1287">
        <v>6.4872577391815692E-2</v>
      </c>
      <c r="C1990" s="1288">
        <v>8.9678496969184229E-2</v>
      </c>
      <c r="D1990" s="1288">
        <v>7.0924192586304641E-2</v>
      </c>
      <c r="E1990" s="1306">
        <v>1.9272819444935527</v>
      </c>
      <c r="F1990" s="1303">
        <v>4.7077311302791136E-2</v>
      </c>
      <c r="G1990" s="1288">
        <v>4.0923624843818993E-2</v>
      </c>
      <c r="H1990" s="1306">
        <v>0.52122239128723691</v>
      </c>
      <c r="I1990" s="1303">
        <v>6.0253037026580768E-2</v>
      </c>
      <c r="J1990" s="1288">
        <v>8.0807783025024921E-2</v>
      </c>
      <c r="K1990" s="1306">
        <v>0.60041540894450307</v>
      </c>
      <c r="L1990" s="1330">
        <v>0.15378889972143781</v>
      </c>
    </row>
    <row r="1991" spans="1:12" s="326" customFormat="1" ht="15.5" x14ac:dyDescent="0.35">
      <c r="A1991" s="328" t="s">
        <v>2955</v>
      </c>
      <c r="B1991" s="1287">
        <v>6.4855016882013977E-2</v>
      </c>
      <c r="C1991" s="1288">
        <v>7.8765956195897657E-2</v>
      </c>
      <c r="D1991" s="1288">
        <v>7.5031470801508335E-2</v>
      </c>
      <c r="E1991" s="1306">
        <v>1.952639455263369</v>
      </c>
      <c r="F1991" s="1303">
        <v>4.7030870662249105E-2</v>
      </c>
      <c r="G1991" s="1288">
        <v>4.0885726822090247E-2</v>
      </c>
      <c r="H1991" s="1306">
        <v>0.52066872036770495</v>
      </c>
      <c r="I1991" s="1303">
        <v>6.0244400095585751E-2</v>
      </c>
      <c r="J1991" s="1288">
        <v>8.0769887701067508E-2</v>
      </c>
      <c r="K1991" s="1306">
        <v>0.60051182768579425</v>
      </c>
      <c r="L1991" s="1330">
        <v>0.15378889972143397</v>
      </c>
    </row>
    <row r="1992" spans="1:12" s="326" customFormat="1" ht="15.5" x14ac:dyDescent="0.35">
      <c r="A1992" s="328" t="s">
        <v>2956</v>
      </c>
      <c r="B1992" s="1287">
        <v>6.4694608205631943E-2</v>
      </c>
      <c r="C1992" s="1288">
        <v>8.5443809368476342E-2</v>
      </c>
      <c r="D1992" s="1288">
        <v>7.7762528328468611E-2</v>
      </c>
      <c r="E1992" s="1306">
        <v>1.9470736899080712</v>
      </c>
      <c r="F1992" s="1303">
        <v>4.6960911462140119E-2</v>
      </c>
      <c r="G1992" s="1288">
        <v>4.0837567988502639E-2</v>
      </c>
      <c r="H1992" s="1306">
        <v>0.51972527615895692</v>
      </c>
      <c r="I1992" s="1303">
        <v>6.0234908417474753E-2</v>
      </c>
      <c r="J1992" s="1288">
        <v>8.073197158039376E-2</v>
      </c>
      <c r="K1992" s="1306">
        <v>0.60064413639236525</v>
      </c>
      <c r="L1992" s="1330">
        <v>0.15378889972143789</v>
      </c>
    </row>
    <row r="1993" spans="1:12" s="326" customFormat="1" ht="15.5" x14ac:dyDescent="0.35">
      <c r="A1993" s="328" t="s">
        <v>2957</v>
      </c>
      <c r="B1993" s="1287">
        <v>6.5574321470483005E-2</v>
      </c>
      <c r="C1993" s="1288">
        <v>8.1993525833387856E-2</v>
      </c>
      <c r="D1993" s="1288">
        <v>8.9308217559022629E-2</v>
      </c>
      <c r="E1993" s="1306">
        <v>1.9502561331844093</v>
      </c>
      <c r="F1993" s="1303">
        <v>4.6945693455864169E-2</v>
      </c>
      <c r="G1993" s="1288">
        <v>4.081784960583431E-2</v>
      </c>
      <c r="H1993" s="1306">
        <v>0.51964115197971505</v>
      </c>
      <c r="I1993" s="1303">
        <v>6.0224298629427568E-2</v>
      </c>
      <c r="J1993" s="1288">
        <v>8.069557668551397E-2</v>
      </c>
      <c r="K1993" s="1306">
        <v>0.60080284450545973</v>
      </c>
      <c r="L1993" s="1330">
        <v>0.15378889972143536</v>
      </c>
    </row>
    <row r="1994" spans="1:12" s="326" customFormat="1" ht="15.5" x14ac:dyDescent="0.35">
      <c r="A1994" s="328" t="s">
        <v>2958</v>
      </c>
      <c r="B1994" s="1287">
        <v>6.4745552412161109E-2</v>
      </c>
      <c r="C1994" s="1288">
        <v>8.1617419177715811E-2</v>
      </c>
      <c r="D1994" s="1288">
        <v>7.8955171309489092E-2</v>
      </c>
      <c r="E1994" s="1306">
        <v>1.9289103696684387</v>
      </c>
      <c r="F1994" s="1303">
        <v>4.6944225556785513E-2</v>
      </c>
      <c r="G1994" s="1288">
        <v>4.0797813545537943E-2</v>
      </c>
      <c r="H1994" s="1306">
        <v>0.51951108525373935</v>
      </c>
      <c r="I1994" s="1303">
        <v>6.0211858937113942E-2</v>
      </c>
      <c r="J1994" s="1288">
        <v>8.0660152763996615E-2</v>
      </c>
      <c r="K1994" s="1306">
        <v>0.60097054657720095</v>
      </c>
      <c r="L1994" s="1330">
        <v>0.15378889972143622</v>
      </c>
    </row>
    <row r="1995" spans="1:12" s="326" customFormat="1" ht="15.5" x14ac:dyDescent="0.35">
      <c r="A1995" s="328" t="s">
        <v>2959</v>
      </c>
      <c r="B1995" s="1287">
        <v>6.4819542680866454E-2</v>
      </c>
      <c r="C1995" s="1288">
        <v>7.9266994006018512E-2</v>
      </c>
      <c r="D1995" s="1288">
        <v>7.9098249488308153E-2</v>
      </c>
      <c r="E1995" s="1306">
        <v>1.9568307432865633</v>
      </c>
      <c r="F1995" s="1303">
        <v>4.6904366945701874E-2</v>
      </c>
      <c r="G1995" s="1288">
        <v>4.076886581375562E-2</v>
      </c>
      <c r="H1995" s="1306">
        <v>0.51884423818390268</v>
      </c>
      <c r="I1995" s="1303">
        <v>6.0196784827869047E-2</v>
      </c>
      <c r="J1995" s="1288">
        <v>8.0621127478269869E-2</v>
      </c>
      <c r="K1995" s="1306">
        <v>0.60114009279146985</v>
      </c>
      <c r="L1995" s="1330">
        <v>0.15378889972143689</v>
      </c>
    </row>
    <row r="1996" spans="1:12" s="326" customFormat="1" ht="15.5" x14ac:dyDescent="0.35">
      <c r="A1996" s="328" t="s">
        <v>2960</v>
      </c>
      <c r="B1996" s="1287">
        <v>6.4775751378659749E-2</v>
      </c>
      <c r="C1996" s="1288">
        <v>8.6585743489048669E-2</v>
      </c>
      <c r="D1996" s="1288">
        <v>7.6699819984927767E-2</v>
      </c>
      <c r="E1996" s="1306">
        <v>1.947369219663164</v>
      </c>
      <c r="F1996" s="1303">
        <v>4.6878712693495722E-2</v>
      </c>
      <c r="G1996" s="1288">
        <v>4.0723212640895651E-2</v>
      </c>
      <c r="H1996" s="1306">
        <v>0.51792354297590559</v>
      </c>
      <c r="I1996" s="1303">
        <v>6.0176744379382155E-2</v>
      </c>
      <c r="J1996" s="1288">
        <v>8.0562704863519491E-2</v>
      </c>
      <c r="K1996" s="1306">
        <v>0.60125834291287061</v>
      </c>
      <c r="L1996" s="1330">
        <v>0.15378889972143653</v>
      </c>
    </row>
    <row r="1997" spans="1:12" s="326" customFormat="1" ht="15.5" x14ac:dyDescent="0.35">
      <c r="A1997" s="328" t="s">
        <v>2961</v>
      </c>
      <c r="B1997" s="1287">
        <v>6.4546147903546847E-2</v>
      </c>
      <c r="C1997" s="1288">
        <v>7.4227889529546509E-2</v>
      </c>
      <c r="D1997" s="1288">
        <v>8.1836420675046373E-2</v>
      </c>
      <c r="E1997" s="1306">
        <v>1.9734931130460169</v>
      </c>
      <c r="F1997" s="1303">
        <v>4.6378342538527795E-2</v>
      </c>
      <c r="G1997" s="1288">
        <v>4.0459716800094157E-2</v>
      </c>
      <c r="H1997" s="1306">
        <v>0.5086496527174067</v>
      </c>
      <c r="I1997" s="1303">
        <v>6.0146238887281434E-2</v>
      </c>
      <c r="J1997" s="1288">
        <v>8.0448588808743685E-2</v>
      </c>
      <c r="K1997" s="1306">
        <v>0.60100740122769247</v>
      </c>
      <c r="L1997" s="1330">
        <v>0.15378955542074807</v>
      </c>
    </row>
    <row r="1998" spans="1:12" s="326" customFormat="1" ht="15.5" x14ac:dyDescent="0.35">
      <c r="A1998" s="328" t="s">
        <v>2962</v>
      </c>
      <c r="B1998" s="1291">
        <v>6.4546147903546847E-2</v>
      </c>
      <c r="C1998" s="1257">
        <v>7.4227889529546509E-2</v>
      </c>
      <c r="D1998" s="1257">
        <v>8.1836420675046373E-2</v>
      </c>
      <c r="E1998" s="1280">
        <v>1.9734931130460169</v>
      </c>
      <c r="F1998" s="1271">
        <v>4.6378342538527795E-2</v>
      </c>
      <c r="G1998" s="1257">
        <v>4.0459716800094157E-2</v>
      </c>
      <c r="H1998" s="1280">
        <v>0.5086496527174067</v>
      </c>
      <c r="I1998" s="1271">
        <v>6.0146238887281434E-2</v>
      </c>
      <c r="J1998" s="1257">
        <v>8.0448588808743685E-2</v>
      </c>
      <c r="K1998" s="1280">
        <v>0.60100740122769247</v>
      </c>
      <c r="L1998" s="1330">
        <v>0.16102411760802385</v>
      </c>
    </row>
    <row r="1999" spans="1:12" s="326" customFormat="1" ht="15.5" x14ac:dyDescent="0.35">
      <c r="A1999" s="328" t="s">
        <v>2963</v>
      </c>
      <c r="B1999" s="1291">
        <v>6.3966861657527282E-2</v>
      </c>
      <c r="C1999" s="1257">
        <v>8.2562344565565521E-2</v>
      </c>
      <c r="D1999" s="1257">
        <v>7.1074290730585868E-2</v>
      </c>
      <c r="E1999" s="1280">
        <v>0.4778679937270941</v>
      </c>
      <c r="F1999" s="1271">
        <v>5.7565518109754625E-2</v>
      </c>
      <c r="G1999" s="1257">
        <v>7.4522624032537454E-2</v>
      </c>
      <c r="H1999" s="1280">
        <v>0.70522512595496833</v>
      </c>
      <c r="I1999" s="1271">
        <v>6.3718334279063135E-2</v>
      </c>
      <c r="J1999" s="1257">
        <v>0.13056736064401162</v>
      </c>
      <c r="K1999" s="1280">
        <v>1.235589655506198</v>
      </c>
      <c r="L1999" s="1237">
        <v>0.17426984174276333</v>
      </c>
    </row>
    <row r="2000" spans="1:12" s="326" customFormat="1" ht="15.5" x14ac:dyDescent="0.35">
      <c r="A2000" s="328" t="s">
        <v>2964</v>
      </c>
      <c r="B2000" s="1291">
        <v>6.3966861657527282E-2</v>
      </c>
      <c r="C2000" s="1257">
        <v>8.2562344565565521E-2</v>
      </c>
      <c r="D2000" s="1257">
        <v>7.1074290730585868E-2</v>
      </c>
      <c r="E2000" s="1280">
        <v>0.4778679937270941</v>
      </c>
      <c r="F2000" s="1271">
        <v>5.7565518109754625E-2</v>
      </c>
      <c r="G2000" s="1257">
        <v>7.4522624032537454E-2</v>
      </c>
      <c r="H2000" s="1280">
        <v>0.70522512595496833</v>
      </c>
      <c r="I2000" s="1271">
        <v>6.3718334279063135E-2</v>
      </c>
      <c r="J2000" s="1257">
        <v>0.13056736064401162</v>
      </c>
      <c r="K2000" s="1280">
        <v>1.235589655506198</v>
      </c>
      <c r="L2000" s="1237">
        <v>0.17426984174276333</v>
      </c>
    </row>
    <row r="2001" spans="1:12" s="326" customFormat="1" ht="15.5" x14ac:dyDescent="0.35">
      <c r="A2001" s="328" t="s">
        <v>2965</v>
      </c>
      <c r="B2001" s="1291">
        <v>6.3966861657527282E-2</v>
      </c>
      <c r="C2001" s="1257">
        <v>8.2562344565565521E-2</v>
      </c>
      <c r="D2001" s="1257">
        <v>7.1074290730585868E-2</v>
      </c>
      <c r="E2001" s="1280">
        <v>0.4778679937270941</v>
      </c>
      <c r="F2001" s="1271">
        <v>5.7565518109754625E-2</v>
      </c>
      <c r="G2001" s="1257">
        <v>7.4522624032537454E-2</v>
      </c>
      <c r="H2001" s="1280">
        <v>0.70522512595496833</v>
      </c>
      <c r="I2001" s="1271">
        <v>6.3718334279063135E-2</v>
      </c>
      <c r="J2001" s="1257">
        <v>0.13056736064401162</v>
      </c>
      <c r="K2001" s="1280">
        <v>1.235589655506198</v>
      </c>
      <c r="L2001" s="1237">
        <v>0.17426984174276333</v>
      </c>
    </row>
    <row r="2002" spans="1:12" s="326" customFormat="1" ht="15.5" x14ac:dyDescent="0.35">
      <c r="A2002" s="328" t="s">
        <v>2966</v>
      </c>
      <c r="B2002" s="1291">
        <v>6.3966861657527282E-2</v>
      </c>
      <c r="C2002" s="1257">
        <v>8.2562344565565521E-2</v>
      </c>
      <c r="D2002" s="1257">
        <v>7.1074290730585868E-2</v>
      </c>
      <c r="E2002" s="1280">
        <v>0.4778679937270941</v>
      </c>
      <c r="F2002" s="1271">
        <v>5.7565518109754625E-2</v>
      </c>
      <c r="G2002" s="1257">
        <v>7.4522624032537454E-2</v>
      </c>
      <c r="H2002" s="1280">
        <v>0.70522512595496833</v>
      </c>
      <c r="I2002" s="1271">
        <v>6.3718334279063135E-2</v>
      </c>
      <c r="J2002" s="1257">
        <v>0.13056736064401162</v>
      </c>
      <c r="K2002" s="1280">
        <v>1.235589655506198</v>
      </c>
      <c r="L2002" s="1237">
        <v>0.17426984174276333</v>
      </c>
    </row>
    <row r="2003" spans="1:12" s="326" customFormat="1" ht="15.5" x14ac:dyDescent="0.35">
      <c r="A2003" s="328" t="s">
        <v>2967</v>
      </c>
      <c r="B2003" s="1291">
        <v>6.3966861657527282E-2</v>
      </c>
      <c r="C2003" s="1257">
        <v>8.2562344565565521E-2</v>
      </c>
      <c r="D2003" s="1257">
        <v>7.1074290730585868E-2</v>
      </c>
      <c r="E2003" s="1280">
        <v>0.4778679937270941</v>
      </c>
      <c r="F2003" s="1271">
        <v>5.7565518109754625E-2</v>
      </c>
      <c r="G2003" s="1257">
        <v>7.4522624032537454E-2</v>
      </c>
      <c r="H2003" s="1280">
        <v>0.70522512595496833</v>
      </c>
      <c r="I2003" s="1271">
        <v>6.3718334279063135E-2</v>
      </c>
      <c r="J2003" s="1257">
        <v>0.13056736064401162</v>
      </c>
      <c r="K2003" s="1280">
        <v>1.235589655506198</v>
      </c>
      <c r="L2003" s="1237">
        <v>0.17426984174276333</v>
      </c>
    </row>
    <row r="2004" spans="1:12" s="326" customFormat="1" ht="15.5" x14ac:dyDescent="0.35">
      <c r="A2004" s="328" t="s">
        <v>2968</v>
      </c>
      <c r="B2004" s="1291">
        <v>6.3966861657527282E-2</v>
      </c>
      <c r="C2004" s="1257">
        <v>8.2562344565565521E-2</v>
      </c>
      <c r="D2004" s="1257">
        <v>7.1074290730585868E-2</v>
      </c>
      <c r="E2004" s="1280">
        <v>0.4778679937270941</v>
      </c>
      <c r="F2004" s="1271">
        <v>5.7565518109754625E-2</v>
      </c>
      <c r="G2004" s="1257">
        <v>7.4522624032537454E-2</v>
      </c>
      <c r="H2004" s="1280">
        <v>0.70522512595496833</v>
      </c>
      <c r="I2004" s="1271">
        <v>6.3718334279063135E-2</v>
      </c>
      <c r="J2004" s="1257">
        <v>0.13056736064401162</v>
      </c>
      <c r="K2004" s="1280">
        <v>1.235589655506198</v>
      </c>
      <c r="L2004" s="1237">
        <v>0.17426984174276333</v>
      </c>
    </row>
    <row r="2005" spans="1:12" s="326" customFormat="1" ht="15.5" x14ac:dyDescent="0.35">
      <c r="A2005" s="328" t="s">
        <v>2969</v>
      </c>
      <c r="B2005" s="1291">
        <v>6.3966861657527282E-2</v>
      </c>
      <c r="C2005" s="1257">
        <v>8.2562344565565521E-2</v>
      </c>
      <c r="D2005" s="1257">
        <v>7.1074290730585868E-2</v>
      </c>
      <c r="E2005" s="1280">
        <v>0.4778679937270941</v>
      </c>
      <c r="F2005" s="1271">
        <v>5.7565518109754625E-2</v>
      </c>
      <c r="G2005" s="1257">
        <v>7.4522624032537454E-2</v>
      </c>
      <c r="H2005" s="1280">
        <v>0.70522512595496833</v>
      </c>
      <c r="I2005" s="1271">
        <v>6.3718334279063135E-2</v>
      </c>
      <c r="J2005" s="1257">
        <v>0.13056736064401162</v>
      </c>
      <c r="K2005" s="1280">
        <v>1.235589655506198</v>
      </c>
      <c r="L2005" s="1237">
        <v>0.17426984174276333</v>
      </c>
    </row>
    <row r="2006" spans="1:12" s="326" customFormat="1" ht="15.5" x14ac:dyDescent="0.35">
      <c r="A2006" s="328" t="s">
        <v>2970</v>
      </c>
      <c r="B2006" s="1291">
        <v>6.3966861657527282E-2</v>
      </c>
      <c r="C2006" s="1257">
        <v>8.2562344565565521E-2</v>
      </c>
      <c r="D2006" s="1257">
        <v>7.1074290730585868E-2</v>
      </c>
      <c r="E2006" s="1280">
        <v>0.4778679937270941</v>
      </c>
      <c r="F2006" s="1271">
        <v>5.7565518109754625E-2</v>
      </c>
      <c r="G2006" s="1257">
        <v>7.4522624032537454E-2</v>
      </c>
      <c r="H2006" s="1280">
        <v>0.70522512595496833</v>
      </c>
      <c r="I2006" s="1271">
        <v>6.3718334279063135E-2</v>
      </c>
      <c r="J2006" s="1257">
        <v>0.13056736064401162</v>
      </c>
      <c r="K2006" s="1280">
        <v>1.235589655506198</v>
      </c>
      <c r="L2006" s="1237">
        <v>0.17426984174276333</v>
      </c>
    </row>
    <row r="2007" spans="1:12" s="326" customFormat="1" ht="15.5" x14ac:dyDescent="0.35">
      <c r="A2007" s="328" t="s">
        <v>2971</v>
      </c>
      <c r="B2007" s="1291">
        <v>6.3966861657527282E-2</v>
      </c>
      <c r="C2007" s="1257">
        <v>8.2562344565565521E-2</v>
      </c>
      <c r="D2007" s="1257">
        <v>7.1074290730585868E-2</v>
      </c>
      <c r="E2007" s="1280">
        <v>0.4778679937270941</v>
      </c>
      <c r="F2007" s="1271">
        <v>5.7565518109754625E-2</v>
      </c>
      <c r="G2007" s="1257">
        <v>7.4522624032537454E-2</v>
      </c>
      <c r="H2007" s="1280">
        <v>0.70522512595496833</v>
      </c>
      <c r="I2007" s="1271">
        <v>6.3718334279063135E-2</v>
      </c>
      <c r="J2007" s="1257">
        <v>0.13056736064401162</v>
      </c>
      <c r="K2007" s="1280">
        <v>1.235589655506198</v>
      </c>
      <c r="L2007" s="1237">
        <v>0.17426984174276333</v>
      </c>
    </row>
    <row r="2008" spans="1:12" s="326" customFormat="1" ht="15.5" x14ac:dyDescent="0.35">
      <c r="A2008" s="328" t="s">
        <v>2972</v>
      </c>
      <c r="B2008" s="1291">
        <v>6.3966861657527282E-2</v>
      </c>
      <c r="C2008" s="1257">
        <v>8.2562344565565521E-2</v>
      </c>
      <c r="D2008" s="1257">
        <v>7.1074290730585868E-2</v>
      </c>
      <c r="E2008" s="1280">
        <v>0.4778679937270941</v>
      </c>
      <c r="F2008" s="1271">
        <v>5.7565518109754625E-2</v>
      </c>
      <c r="G2008" s="1257">
        <v>7.4522624032537454E-2</v>
      </c>
      <c r="H2008" s="1280">
        <v>0.70522512595496833</v>
      </c>
      <c r="I2008" s="1271">
        <v>6.3718334279063135E-2</v>
      </c>
      <c r="J2008" s="1257">
        <v>0.13056736064401162</v>
      </c>
      <c r="K2008" s="1280">
        <v>1.235589655506198</v>
      </c>
      <c r="L2008" s="1237">
        <v>0.17426984174276333</v>
      </c>
    </row>
    <row r="2009" spans="1:12" s="326" customFormat="1" ht="15.5" x14ac:dyDescent="0.35">
      <c r="A2009" s="328" t="s">
        <v>2973</v>
      </c>
      <c r="B2009" s="1291">
        <v>6.3966861657527282E-2</v>
      </c>
      <c r="C2009" s="1257">
        <v>8.2562344565565521E-2</v>
      </c>
      <c r="D2009" s="1257">
        <v>7.1074290730585868E-2</v>
      </c>
      <c r="E2009" s="1280">
        <v>0.4778679937270941</v>
      </c>
      <c r="F2009" s="1271">
        <v>5.7565518109754625E-2</v>
      </c>
      <c r="G2009" s="1257">
        <v>7.4522624032537454E-2</v>
      </c>
      <c r="H2009" s="1280">
        <v>0.70522512595496833</v>
      </c>
      <c r="I2009" s="1271">
        <v>6.3718334279063135E-2</v>
      </c>
      <c r="J2009" s="1257">
        <v>0.13056736064401162</v>
      </c>
      <c r="K2009" s="1280">
        <v>1.235589655506198</v>
      </c>
      <c r="L2009" s="1237">
        <v>0.17426984174276333</v>
      </c>
    </row>
    <row r="2010" spans="1:12" s="326" customFormat="1" ht="15.5" x14ac:dyDescent="0.35">
      <c r="A2010" s="328" t="s">
        <v>2974</v>
      </c>
      <c r="B2010" s="1291">
        <v>6.3966861657527282E-2</v>
      </c>
      <c r="C2010" s="1257">
        <v>8.2562344565565521E-2</v>
      </c>
      <c r="D2010" s="1257">
        <v>7.1074290730585868E-2</v>
      </c>
      <c r="E2010" s="1280">
        <v>0.4778679937270941</v>
      </c>
      <c r="F2010" s="1271">
        <v>5.7565518109754625E-2</v>
      </c>
      <c r="G2010" s="1257">
        <v>7.4522624032537454E-2</v>
      </c>
      <c r="H2010" s="1280">
        <v>0.70522512595496833</v>
      </c>
      <c r="I2010" s="1271">
        <v>6.3718334279063135E-2</v>
      </c>
      <c r="J2010" s="1257">
        <v>0.13056736064401162</v>
      </c>
      <c r="K2010" s="1280">
        <v>1.235589655506198</v>
      </c>
      <c r="L2010" s="1237">
        <v>0.17426984174276333</v>
      </c>
    </row>
    <row r="2011" spans="1:12" s="326" customFormat="1" ht="15.5" x14ac:dyDescent="0.35">
      <c r="A2011" s="328" t="s">
        <v>2975</v>
      </c>
      <c r="B2011" s="1291">
        <v>6.3966861657527282E-2</v>
      </c>
      <c r="C2011" s="1257">
        <v>8.2562344565565521E-2</v>
      </c>
      <c r="D2011" s="1257">
        <v>7.1074290730585868E-2</v>
      </c>
      <c r="E2011" s="1280">
        <v>0.4778679937270941</v>
      </c>
      <c r="F2011" s="1271">
        <v>5.7565518109754625E-2</v>
      </c>
      <c r="G2011" s="1257">
        <v>7.4522624032537454E-2</v>
      </c>
      <c r="H2011" s="1280">
        <v>0.70522512595496833</v>
      </c>
      <c r="I2011" s="1271">
        <v>6.3718334279063135E-2</v>
      </c>
      <c r="J2011" s="1257">
        <v>0.13056736064401162</v>
      </c>
      <c r="K2011" s="1280">
        <v>1.235589655506198</v>
      </c>
      <c r="L2011" s="1237">
        <v>0.17426984174276333</v>
      </c>
    </row>
    <row r="2012" spans="1:12" s="326" customFormat="1" ht="15.5" x14ac:dyDescent="0.35">
      <c r="A2012" s="328" t="s">
        <v>2976</v>
      </c>
      <c r="B2012" s="1291">
        <v>6.3966861657527282E-2</v>
      </c>
      <c r="C2012" s="1257">
        <v>8.2562344565565521E-2</v>
      </c>
      <c r="D2012" s="1257">
        <v>7.1074290730585868E-2</v>
      </c>
      <c r="E2012" s="1280">
        <v>0.4778679937270941</v>
      </c>
      <c r="F2012" s="1271">
        <v>5.7565518109754625E-2</v>
      </c>
      <c r="G2012" s="1257">
        <v>7.4522624032537454E-2</v>
      </c>
      <c r="H2012" s="1280">
        <v>0.70522512595496833</v>
      </c>
      <c r="I2012" s="1271">
        <v>6.3718334279063135E-2</v>
      </c>
      <c r="J2012" s="1257">
        <v>0.13056736064401162</v>
      </c>
      <c r="K2012" s="1280">
        <v>1.235589655506198</v>
      </c>
      <c r="L2012" s="1237">
        <v>0.17426984174276333</v>
      </c>
    </row>
    <row r="2013" spans="1:12" s="326" customFormat="1" ht="15.5" x14ac:dyDescent="0.35">
      <c r="A2013" s="328" t="s">
        <v>2977</v>
      </c>
      <c r="B2013" s="1291">
        <v>6.3966861657527282E-2</v>
      </c>
      <c r="C2013" s="1257">
        <v>8.2562344565565521E-2</v>
      </c>
      <c r="D2013" s="1257">
        <v>7.1074290730585868E-2</v>
      </c>
      <c r="E2013" s="1280">
        <v>0.4778679937270941</v>
      </c>
      <c r="F2013" s="1271">
        <v>5.7565518109754625E-2</v>
      </c>
      <c r="G2013" s="1257">
        <v>7.4522624032537454E-2</v>
      </c>
      <c r="H2013" s="1280">
        <v>0.70522512595496833</v>
      </c>
      <c r="I2013" s="1271">
        <v>6.3718334279063135E-2</v>
      </c>
      <c r="J2013" s="1257">
        <v>0.13056736064401162</v>
      </c>
      <c r="K2013" s="1280">
        <v>1.235589655506198</v>
      </c>
      <c r="L2013" s="1237">
        <v>0.17426984174276333</v>
      </c>
    </row>
    <row r="2014" spans="1:12" s="326" customFormat="1" ht="15.5" x14ac:dyDescent="0.35">
      <c r="A2014" s="328" t="s">
        <v>2978</v>
      </c>
      <c r="B2014" s="1291">
        <v>6.3966861657527282E-2</v>
      </c>
      <c r="C2014" s="1257">
        <v>8.2562344565565521E-2</v>
      </c>
      <c r="D2014" s="1257">
        <v>7.1074290730585868E-2</v>
      </c>
      <c r="E2014" s="1280">
        <v>0.4778679937270941</v>
      </c>
      <c r="F2014" s="1271">
        <v>5.7565518109754625E-2</v>
      </c>
      <c r="G2014" s="1257">
        <v>7.4522624032537454E-2</v>
      </c>
      <c r="H2014" s="1280">
        <v>0.70522512595496833</v>
      </c>
      <c r="I2014" s="1271">
        <v>6.3718334279063135E-2</v>
      </c>
      <c r="J2014" s="1257">
        <v>0.13056736064401162</v>
      </c>
      <c r="K2014" s="1280">
        <v>1.235589655506198</v>
      </c>
      <c r="L2014" s="1237">
        <v>0.17426984174276333</v>
      </c>
    </row>
    <row r="2015" spans="1:12" s="326" customFormat="1" ht="15.5" x14ac:dyDescent="0.35">
      <c r="A2015" s="328" t="s">
        <v>2979</v>
      </c>
      <c r="B2015" s="1291">
        <v>6.3966861657527282E-2</v>
      </c>
      <c r="C2015" s="1257">
        <v>8.2562344565565521E-2</v>
      </c>
      <c r="D2015" s="1257">
        <v>7.1074290730585868E-2</v>
      </c>
      <c r="E2015" s="1280">
        <v>0.4778679937270941</v>
      </c>
      <c r="F2015" s="1271">
        <v>5.7565518109754625E-2</v>
      </c>
      <c r="G2015" s="1257">
        <v>7.4522624032537454E-2</v>
      </c>
      <c r="H2015" s="1280">
        <v>0.70522512595496833</v>
      </c>
      <c r="I2015" s="1271">
        <v>6.3718334279063135E-2</v>
      </c>
      <c r="J2015" s="1257">
        <v>0.13056736064401162</v>
      </c>
      <c r="K2015" s="1280">
        <v>1.235589655506198</v>
      </c>
      <c r="L2015" s="1237">
        <v>0.17426984174276333</v>
      </c>
    </row>
    <row r="2016" spans="1:12" s="326" customFormat="1" ht="15.5" x14ac:dyDescent="0.35">
      <c r="A2016" s="328" t="s">
        <v>2980</v>
      </c>
      <c r="B2016" s="1291">
        <v>6.3966861657527282E-2</v>
      </c>
      <c r="C2016" s="1257">
        <v>8.2562344565565521E-2</v>
      </c>
      <c r="D2016" s="1257">
        <v>7.1074290730585868E-2</v>
      </c>
      <c r="E2016" s="1280">
        <v>0.4778679937270941</v>
      </c>
      <c r="F2016" s="1271">
        <v>5.7565518109754625E-2</v>
      </c>
      <c r="G2016" s="1257">
        <v>7.4522624032537454E-2</v>
      </c>
      <c r="H2016" s="1280">
        <v>0.70522512595496833</v>
      </c>
      <c r="I2016" s="1271">
        <v>6.3718334279063135E-2</v>
      </c>
      <c r="J2016" s="1257">
        <v>0.13056736064401162</v>
      </c>
      <c r="K2016" s="1280">
        <v>1.235589655506198</v>
      </c>
      <c r="L2016" s="1237">
        <v>0.17426984174276333</v>
      </c>
    </row>
    <row r="2017" spans="1:12" s="326" customFormat="1" ht="15.5" x14ac:dyDescent="0.35">
      <c r="A2017" s="328" t="s">
        <v>2981</v>
      </c>
      <c r="B2017" s="1291">
        <v>6.3966861657527282E-2</v>
      </c>
      <c r="C2017" s="1257">
        <v>8.2562344565565521E-2</v>
      </c>
      <c r="D2017" s="1257">
        <v>7.1074290730585868E-2</v>
      </c>
      <c r="E2017" s="1280">
        <v>0.4778679937270941</v>
      </c>
      <c r="F2017" s="1271">
        <v>5.7565518109754625E-2</v>
      </c>
      <c r="G2017" s="1257">
        <v>7.4522624032537454E-2</v>
      </c>
      <c r="H2017" s="1280">
        <v>0.70522512595496833</v>
      </c>
      <c r="I2017" s="1271">
        <v>6.3718334279063135E-2</v>
      </c>
      <c r="J2017" s="1257">
        <v>0.13056736064401162</v>
      </c>
      <c r="K2017" s="1280">
        <v>1.235589655506198</v>
      </c>
      <c r="L2017" s="1237">
        <v>0.17426984174276333</v>
      </c>
    </row>
    <row r="2018" spans="1:12" s="326" customFormat="1" ht="15.5" x14ac:dyDescent="0.35">
      <c r="A2018" s="328" t="s">
        <v>2982</v>
      </c>
      <c r="B2018" s="1291">
        <v>6.3966861657527282E-2</v>
      </c>
      <c r="C2018" s="1257">
        <v>8.2562344565565521E-2</v>
      </c>
      <c r="D2018" s="1257">
        <v>7.1074290730585868E-2</v>
      </c>
      <c r="E2018" s="1280">
        <v>0.4778679937270941</v>
      </c>
      <c r="F2018" s="1271">
        <v>5.7565518109754625E-2</v>
      </c>
      <c r="G2018" s="1257">
        <v>7.4522624032537454E-2</v>
      </c>
      <c r="H2018" s="1280">
        <v>0.70522512595496833</v>
      </c>
      <c r="I2018" s="1271">
        <v>6.3718334279063135E-2</v>
      </c>
      <c r="J2018" s="1257">
        <v>0.13056736064401162</v>
      </c>
      <c r="K2018" s="1280">
        <v>1.235589655506198</v>
      </c>
      <c r="L2018" s="1237">
        <v>0.17426984174276333</v>
      </c>
    </row>
    <row r="2019" spans="1:12" s="326" customFormat="1" ht="15.5" x14ac:dyDescent="0.35">
      <c r="A2019" s="328" t="s">
        <v>2983</v>
      </c>
      <c r="B2019" s="1291">
        <v>6.3966861657527282E-2</v>
      </c>
      <c r="C2019" s="1257">
        <v>8.2562344565565521E-2</v>
      </c>
      <c r="D2019" s="1257">
        <v>7.1074290730585868E-2</v>
      </c>
      <c r="E2019" s="1280">
        <v>0.4778679937270941</v>
      </c>
      <c r="F2019" s="1271">
        <v>5.7565518109754625E-2</v>
      </c>
      <c r="G2019" s="1257">
        <v>7.4522624032537454E-2</v>
      </c>
      <c r="H2019" s="1280">
        <v>0.70522512595496833</v>
      </c>
      <c r="I2019" s="1271">
        <v>6.3718334279063135E-2</v>
      </c>
      <c r="J2019" s="1257">
        <v>0.13056736064401162</v>
      </c>
      <c r="K2019" s="1280">
        <v>1.235589655506198</v>
      </c>
      <c r="L2019" s="1237">
        <v>0.17426984174276333</v>
      </c>
    </row>
    <row r="2020" spans="1:12" s="326" customFormat="1" ht="15.5" x14ac:dyDescent="0.35">
      <c r="A2020" s="328" t="s">
        <v>2984</v>
      </c>
      <c r="B2020" s="1291">
        <v>6.3966861657527282E-2</v>
      </c>
      <c r="C2020" s="1257">
        <v>8.2562344565565521E-2</v>
      </c>
      <c r="D2020" s="1257">
        <v>7.1074290730585868E-2</v>
      </c>
      <c r="E2020" s="1280">
        <v>0.4778679937270941</v>
      </c>
      <c r="F2020" s="1271">
        <v>5.7565518109754625E-2</v>
      </c>
      <c r="G2020" s="1257">
        <v>7.4522624032537454E-2</v>
      </c>
      <c r="H2020" s="1280">
        <v>0.70522512595496833</v>
      </c>
      <c r="I2020" s="1271">
        <v>6.3718334279063135E-2</v>
      </c>
      <c r="J2020" s="1257">
        <v>0.13056736064401162</v>
      </c>
      <c r="K2020" s="1280">
        <v>1.235589655506198</v>
      </c>
      <c r="L2020" s="1237">
        <v>0.17426984174276333</v>
      </c>
    </row>
    <row r="2021" spans="1:12" s="326" customFormat="1" ht="15.5" x14ac:dyDescent="0.35">
      <c r="A2021" s="328" t="s">
        <v>2985</v>
      </c>
      <c r="B2021" s="1291">
        <v>6.3966861657527282E-2</v>
      </c>
      <c r="C2021" s="1257">
        <v>8.2562344565565521E-2</v>
      </c>
      <c r="D2021" s="1257">
        <v>7.1074290730585868E-2</v>
      </c>
      <c r="E2021" s="1280">
        <v>0.4778679937270941</v>
      </c>
      <c r="F2021" s="1271">
        <v>5.7565518109754625E-2</v>
      </c>
      <c r="G2021" s="1257">
        <v>7.4522624032537454E-2</v>
      </c>
      <c r="H2021" s="1280">
        <v>0.70522512595496833</v>
      </c>
      <c r="I2021" s="1271">
        <v>6.3718334279063135E-2</v>
      </c>
      <c r="J2021" s="1257">
        <v>0.13056736064401162</v>
      </c>
      <c r="K2021" s="1280">
        <v>1.235589655506198</v>
      </c>
      <c r="L2021" s="1237">
        <v>0.17426984174276333</v>
      </c>
    </row>
    <row r="2022" spans="1:12" s="326" customFormat="1" ht="15.5" x14ac:dyDescent="0.35">
      <c r="A2022" s="328" t="s">
        <v>2986</v>
      </c>
      <c r="B2022" s="1291">
        <v>6.3966861657527282E-2</v>
      </c>
      <c r="C2022" s="1257">
        <v>8.2562344565565521E-2</v>
      </c>
      <c r="D2022" s="1257">
        <v>7.1074290730585868E-2</v>
      </c>
      <c r="E2022" s="1280">
        <v>0.4778679937270941</v>
      </c>
      <c r="F2022" s="1271">
        <v>5.7565518109754625E-2</v>
      </c>
      <c r="G2022" s="1257">
        <v>7.4522624032537454E-2</v>
      </c>
      <c r="H2022" s="1280">
        <v>0.70522512595496833</v>
      </c>
      <c r="I2022" s="1271">
        <v>6.3718334279063135E-2</v>
      </c>
      <c r="J2022" s="1257">
        <v>0.13056736064401162</v>
      </c>
      <c r="K2022" s="1280">
        <v>1.235589655506198</v>
      </c>
      <c r="L2022" s="1237">
        <v>0.17426984174276333</v>
      </c>
    </row>
    <row r="2023" spans="1:12" s="326" customFormat="1" ht="15.5" x14ac:dyDescent="0.35">
      <c r="A2023" s="328" t="s">
        <v>2987</v>
      </c>
      <c r="B2023" s="1291">
        <v>6.3966861657527282E-2</v>
      </c>
      <c r="C2023" s="1257">
        <v>8.2562344565565521E-2</v>
      </c>
      <c r="D2023" s="1257">
        <v>7.1074290730585868E-2</v>
      </c>
      <c r="E2023" s="1280">
        <v>0.4778679937270941</v>
      </c>
      <c r="F2023" s="1271">
        <v>5.7565518109754625E-2</v>
      </c>
      <c r="G2023" s="1257">
        <v>7.4522624032537454E-2</v>
      </c>
      <c r="H2023" s="1280">
        <v>0.70522512595496833</v>
      </c>
      <c r="I2023" s="1271">
        <v>6.3718334279063135E-2</v>
      </c>
      <c r="J2023" s="1257">
        <v>0.13056736064401162</v>
      </c>
      <c r="K2023" s="1280">
        <v>1.235589655506198</v>
      </c>
      <c r="L2023" s="1237">
        <v>0.17426984174276333</v>
      </c>
    </row>
    <row r="2024" spans="1:12" s="326" customFormat="1" ht="15.5" x14ac:dyDescent="0.35">
      <c r="A2024" s="328" t="s">
        <v>2988</v>
      </c>
      <c r="B2024" s="1291">
        <v>6.3966861657527282E-2</v>
      </c>
      <c r="C2024" s="1257">
        <v>8.2562344565565521E-2</v>
      </c>
      <c r="D2024" s="1257">
        <v>7.1074290730585868E-2</v>
      </c>
      <c r="E2024" s="1280">
        <v>0.4778679937270941</v>
      </c>
      <c r="F2024" s="1271">
        <v>5.7565518109754625E-2</v>
      </c>
      <c r="G2024" s="1257">
        <v>7.4522624032537454E-2</v>
      </c>
      <c r="H2024" s="1280">
        <v>0.70522512595496833</v>
      </c>
      <c r="I2024" s="1271">
        <v>6.3718334279063135E-2</v>
      </c>
      <c r="J2024" s="1257">
        <v>0.13056736064401162</v>
      </c>
      <c r="K2024" s="1280">
        <v>1.235589655506198</v>
      </c>
      <c r="L2024" s="1237">
        <v>0.17426984174276333</v>
      </c>
    </row>
    <row r="2025" spans="1:12" s="326" customFormat="1" ht="15.5" x14ac:dyDescent="0.35">
      <c r="A2025" s="328" t="s">
        <v>2989</v>
      </c>
      <c r="B2025" s="1291">
        <v>6.3966861657527282E-2</v>
      </c>
      <c r="C2025" s="1257">
        <v>8.2562344565565521E-2</v>
      </c>
      <c r="D2025" s="1257">
        <v>7.1074290730585868E-2</v>
      </c>
      <c r="E2025" s="1280">
        <v>0.4778679937270941</v>
      </c>
      <c r="F2025" s="1271">
        <v>5.7565518109754625E-2</v>
      </c>
      <c r="G2025" s="1257">
        <v>7.4522624032537454E-2</v>
      </c>
      <c r="H2025" s="1280">
        <v>0.70522512595496833</v>
      </c>
      <c r="I2025" s="1271">
        <v>6.3718334279063135E-2</v>
      </c>
      <c r="J2025" s="1257">
        <v>0.13056736064401162</v>
      </c>
      <c r="K2025" s="1280">
        <v>1.235589655506198</v>
      </c>
      <c r="L2025" s="1237">
        <v>0.17426984174276333</v>
      </c>
    </row>
    <row r="2026" spans="1:12" s="326" customFormat="1" ht="15.5" x14ac:dyDescent="0.35">
      <c r="A2026" s="328" t="s">
        <v>2990</v>
      </c>
      <c r="B2026" s="1291">
        <v>6.3966861657527282E-2</v>
      </c>
      <c r="C2026" s="1257">
        <v>8.2562344565565521E-2</v>
      </c>
      <c r="D2026" s="1257">
        <v>7.1074290730585868E-2</v>
      </c>
      <c r="E2026" s="1280">
        <v>0.4778679937270941</v>
      </c>
      <c r="F2026" s="1271">
        <v>5.7565518109754625E-2</v>
      </c>
      <c r="G2026" s="1257">
        <v>7.4522624032537454E-2</v>
      </c>
      <c r="H2026" s="1280">
        <v>0.70522512595496833</v>
      </c>
      <c r="I2026" s="1271">
        <v>6.3718334279063135E-2</v>
      </c>
      <c r="J2026" s="1257">
        <v>0.13056736064401162</v>
      </c>
      <c r="K2026" s="1280">
        <v>1.235589655506198</v>
      </c>
      <c r="L2026" s="1237">
        <v>0.17426984174276333</v>
      </c>
    </row>
    <row r="2027" spans="1:12" s="326" customFormat="1" ht="15.5" x14ac:dyDescent="0.35">
      <c r="A2027" s="328" t="s">
        <v>2991</v>
      </c>
      <c r="B2027" s="1291">
        <v>6.3966861657527282E-2</v>
      </c>
      <c r="C2027" s="1257">
        <v>8.2562344565565521E-2</v>
      </c>
      <c r="D2027" s="1257">
        <v>7.1074290730585868E-2</v>
      </c>
      <c r="E2027" s="1280">
        <v>0.4778679937270941</v>
      </c>
      <c r="F2027" s="1271">
        <v>5.7565518109754625E-2</v>
      </c>
      <c r="G2027" s="1257">
        <v>7.4522624032537454E-2</v>
      </c>
      <c r="H2027" s="1280">
        <v>0.70522512595496833</v>
      </c>
      <c r="I2027" s="1271">
        <v>6.3718334279063135E-2</v>
      </c>
      <c r="J2027" s="1257">
        <v>0.13056736064401162</v>
      </c>
      <c r="K2027" s="1280">
        <v>1.235589655506198</v>
      </c>
      <c r="L2027" s="1237">
        <v>0.17426984174276333</v>
      </c>
    </row>
    <row r="2028" spans="1:12" s="326" customFormat="1" ht="15.5" x14ac:dyDescent="0.35">
      <c r="A2028" s="328" t="s">
        <v>2992</v>
      </c>
      <c r="B2028" s="1291">
        <v>6.3966861657527282E-2</v>
      </c>
      <c r="C2028" s="1257">
        <v>8.2562344565565521E-2</v>
      </c>
      <c r="D2028" s="1257">
        <v>7.1074290730585868E-2</v>
      </c>
      <c r="E2028" s="1280">
        <v>0.4778679937270941</v>
      </c>
      <c r="F2028" s="1271">
        <v>5.7565518109754625E-2</v>
      </c>
      <c r="G2028" s="1257">
        <v>7.4522624032537454E-2</v>
      </c>
      <c r="H2028" s="1280">
        <v>0.70522512595496833</v>
      </c>
      <c r="I2028" s="1271">
        <v>6.3718334279063135E-2</v>
      </c>
      <c r="J2028" s="1257">
        <v>0.13056736064401162</v>
      </c>
      <c r="K2028" s="1280">
        <v>1.235589655506198</v>
      </c>
      <c r="L2028" s="1237">
        <v>0.17426984174276333</v>
      </c>
    </row>
    <row r="2029" spans="1:12" s="326" customFormat="1" ht="15.5" x14ac:dyDescent="0.35">
      <c r="A2029" s="328" t="s">
        <v>2993</v>
      </c>
      <c r="B2029" s="1291">
        <v>6.3966861657527282E-2</v>
      </c>
      <c r="C2029" s="1257">
        <v>8.2562344565565521E-2</v>
      </c>
      <c r="D2029" s="1257">
        <v>7.1074290730585868E-2</v>
      </c>
      <c r="E2029" s="1280">
        <v>0.4778679937270941</v>
      </c>
      <c r="F2029" s="1271">
        <v>5.7565518109754625E-2</v>
      </c>
      <c r="G2029" s="1257">
        <v>7.4522624032537454E-2</v>
      </c>
      <c r="H2029" s="1280">
        <v>0.70522512595496833</v>
      </c>
      <c r="I2029" s="1271">
        <v>6.3718334279063135E-2</v>
      </c>
      <c r="J2029" s="1257">
        <v>0.13056736064401162</v>
      </c>
      <c r="K2029" s="1280">
        <v>1.235589655506198</v>
      </c>
      <c r="L2029" s="1237">
        <v>0.17426984174276333</v>
      </c>
    </row>
    <row r="2030" spans="1:12" s="326" customFormat="1" ht="15.5" x14ac:dyDescent="0.35">
      <c r="A2030" s="328" t="s">
        <v>2994</v>
      </c>
      <c r="B2030" s="1291">
        <v>6.3966861657527282E-2</v>
      </c>
      <c r="C2030" s="1257">
        <v>8.2562344565565521E-2</v>
      </c>
      <c r="D2030" s="1257">
        <v>7.1074290730585868E-2</v>
      </c>
      <c r="E2030" s="1280">
        <v>0.4778679937270941</v>
      </c>
      <c r="F2030" s="1271">
        <v>5.7565518109754625E-2</v>
      </c>
      <c r="G2030" s="1257">
        <v>7.4522624032537454E-2</v>
      </c>
      <c r="H2030" s="1280">
        <v>0.70522512595496833</v>
      </c>
      <c r="I2030" s="1271">
        <v>6.3718334279063135E-2</v>
      </c>
      <c r="J2030" s="1257">
        <v>0.13056736064401162</v>
      </c>
      <c r="K2030" s="1280">
        <v>1.235589655506198</v>
      </c>
      <c r="L2030" s="1237">
        <v>0.17426984174276333</v>
      </c>
    </row>
    <row r="2031" spans="1:12" s="326" customFormat="1" ht="15.5" x14ac:dyDescent="0.35">
      <c r="A2031" s="328" t="s">
        <v>2995</v>
      </c>
      <c r="B2031" s="1291">
        <v>6.3966861657527282E-2</v>
      </c>
      <c r="C2031" s="1257">
        <v>8.2562344565565521E-2</v>
      </c>
      <c r="D2031" s="1257">
        <v>7.1074290730585868E-2</v>
      </c>
      <c r="E2031" s="1280">
        <v>0.4778679937270941</v>
      </c>
      <c r="F2031" s="1303">
        <v>5.7565518109754625E-2</v>
      </c>
      <c r="G2031" s="1288">
        <v>7.4522624032537454E-2</v>
      </c>
      <c r="H2031" s="1280">
        <v>0.70522512595496833</v>
      </c>
      <c r="I2031" s="1303">
        <v>6.3718334279063135E-2</v>
      </c>
      <c r="J2031" s="1288">
        <v>0.13056736064401162</v>
      </c>
      <c r="K2031" s="1280">
        <v>1.235589655506198</v>
      </c>
      <c r="L2031" s="1237">
        <v>0.17426984174276333</v>
      </c>
    </row>
    <row r="2032" spans="1:12" s="326" customFormat="1" ht="15.5" x14ac:dyDescent="0.35">
      <c r="A2032" s="328" t="s">
        <v>2996</v>
      </c>
      <c r="B2032" s="1291">
        <v>6.3966861657527282E-2</v>
      </c>
      <c r="C2032" s="1257">
        <v>8.2562344565565521E-2</v>
      </c>
      <c r="D2032" s="1257">
        <v>7.1074290730585868E-2</v>
      </c>
      <c r="E2032" s="1280">
        <v>0.4778679937270941</v>
      </c>
      <c r="F2032" s="1303">
        <v>4.9395270083406648E-2</v>
      </c>
      <c r="G2032" s="1288">
        <v>7.39569424549541E-2</v>
      </c>
      <c r="H2032" s="1280">
        <v>0.6998719480847494</v>
      </c>
      <c r="I2032" s="1303">
        <v>6.965946422526649E-2</v>
      </c>
      <c r="J2032" s="1288">
        <v>0.12963472978009288</v>
      </c>
      <c r="K2032" s="1280">
        <v>1.2267639501983789</v>
      </c>
      <c r="L2032" s="1237">
        <v>0.17426984174276333</v>
      </c>
    </row>
    <row r="2033" spans="1:12" s="326" customFormat="1" ht="15.5" x14ac:dyDescent="0.35">
      <c r="A2033" s="328" t="s">
        <v>2997</v>
      </c>
      <c r="B2033" s="1291">
        <v>6.3966861657527282E-2</v>
      </c>
      <c r="C2033" s="1257">
        <v>8.2562344565565521E-2</v>
      </c>
      <c r="D2033" s="1257">
        <v>7.1074290730585868E-2</v>
      </c>
      <c r="E2033" s="1280">
        <v>0.4778679937270941</v>
      </c>
      <c r="F2033" s="1303">
        <v>4.9886811507953772E-2</v>
      </c>
      <c r="G2033" s="1288">
        <v>7.2164596974606629E-2</v>
      </c>
      <c r="H2033" s="1280">
        <v>0.68291056107587289</v>
      </c>
      <c r="I2033" s="1303">
        <v>6.9482799097742867E-2</v>
      </c>
      <c r="J2033" s="1288">
        <v>0.1301430862895174</v>
      </c>
      <c r="K2033" s="1280">
        <v>1.2315746474603595</v>
      </c>
      <c r="L2033" s="1237">
        <v>0.17426984174276333</v>
      </c>
    </row>
    <row r="2034" spans="1:12" s="326" customFormat="1" ht="15.5" x14ac:dyDescent="0.35">
      <c r="A2034" s="328" t="s">
        <v>2998</v>
      </c>
      <c r="B2034" s="1291">
        <v>6.3966861657527282E-2</v>
      </c>
      <c r="C2034" s="1257">
        <v>8.2562344565565521E-2</v>
      </c>
      <c r="D2034" s="1257">
        <v>7.1074290730585868E-2</v>
      </c>
      <c r="E2034" s="1280">
        <v>0.4778679937270941</v>
      </c>
      <c r="F2034" s="1303">
        <v>4.9471201841174275E-2</v>
      </c>
      <c r="G2034" s="1288">
        <v>7.7607161128997071E-2</v>
      </c>
      <c r="H2034" s="1280">
        <v>0.73441482627220023</v>
      </c>
      <c r="I2034" s="1303">
        <v>6.9201566840144876E-2</v>
      </c>
      <c r="J2034" s="1288">
        <v>0.13037682995043487</v>
      </c>
      <c r="K2034" s="1280">
        <v>1.2337866187221298</v>
      </c>
      <c r="L2034" s="1237">
        <v>0.17426984174276333</v>
      </c>
    </row>
    <row r="2035" spans="1:12" s="326" customFormat="1" ht="15.5" x14ac:dyDescent="0.35">
      <c r="A2035" s="328" t="s">
        <v>2999</v>
      </c>
      <c r="B2035" s="1291">
        <v>6.3966861657527282E-2</v>
      </c>
      <c r="C2035" s="1257">
        <v>8.2562344565565521E-2</v>
      </c>
      <c r="D2035" s="1257">
        <v>7.1074290730585868E-2</v>
      </c>
      <c r="E2035" s="1280">
        <v>0.4778679937270941</v>
      </c>
      <c r="F2035" s="1303">
        <v>5.8729052774209339E-2</v>
      </c>
      <c r="G2035" s="1288">
        <v>7.1742886806517331E-2</v>
      </c>
      <c r="H2035" s="1280">
        <v>0.67891981852932215</v>
      </c>
      <c r="I2035" s="1303">
        <v>7.4995888031265126E-2</v>
      </c>
      <c r="J2035" s="1288">
        <v>0.13121371586050654</v>
      </c>
      <c r="K2035" s="1280">
        <v>1.24170626700347</v>
      </c>
      <c r="L2035" s="1237">
        <v>0.17426984174276333</v>
      </c>
    </row>
    <row r="2036" spans="1:12" s="326" customFormat="1" ht="15.5" x14ac:dyDescent="0.35">
      <c r="A2036" s="328" t="s">
        <v>3000</v>
      </c>
      <c r="B2036" s="1291">
        <v>6.3966861657527282E-2</v>
      </c>
      <c r="C2036" s="1257">
        <v>8.2562344565565521E-2</v>
      </c>
      <c r="D2036" s="1257">
        <v>7.1074290730585868E-2</v>
      </c>
      <c r="E2036" s="1280">
        <v>0.4778679937270941</v>
      </c>
      <c r="F2036" s="1303">
        <v>5.9098419680930846E-2</v>
      </c>
      <c r="G2036" s="1288">
        <v>7.0038426629503131E-2</v>
      </c>
      <c r="H2036" s="1280">
        <v>0.66279011082478323</v>
      </c>
      <c r="I2036" s="1303">
        <v>7.5758162303860857E-2</v>
      </c>
      <c r="J2036" s="1288">
        <v>0.11644215447150327</v>
      </c>
      <c r="K2036" s="1280">
        <v>1.1019195059178286</v>
      </c>
      <c r="L2036" s="1237">
        <v>0.17426984174276333</v>
      </c>
    </row>
    <row r="2037" spans="1:12" s="326" customFormat="1" ht="15.5" x14ac:dyDescent="0.35">
      <c r="A2037" s="328" t="s">
        <v>3001</v>
      </c>
      <c r="B2037" s="1291">
        <v>6.3966861657527282E-2</v>
      </c>
      <c r="C2037" s="1257">
        <v>8.2562344565565521E-2</v>
      </c>
      <c r="D2037" s="1257">
        <v>7.1074290730585868E-2</v>
      </c>
      <c r="E2037" s="1280">
        <v>0.4778679937270941</v>
      </c>
      <c r="F2037" s="1303">
        <v>5.8654863611066831E-2</v>
      </c>
      <c r="G2037" s="1288">
        <v>6.3562338350152223E-2</v>
      </c>
      <c r="H2037" s="1280">
        <v>0.60150536365180807</v>
      </c>
      <c r="I2037" s="1303">
        <v>7.5544874623311872E-2</v>
      </c>
      <c r="J2037" s="1288">
        <v>0.10002672499192054</v>
      </c>
      <c r="K2037" s="1280">
        <v>0.9465764342985421</v>
      </c>
      <c r="L2037" s="1237">
        <v>0.17426984174276333</v>
      </c>
    </row>
    <row r="2038" spans="1:12" s="326" customFormat="1" ht="15.5" x14ac:dyDescent="0.35">
      <c r="A2038" s="328" t="s">
        <v>3002</v>
      </c>
      <c r="B2038" s="1291">
        <v>6.3966861657527282E-2</v>
      </c>
      <c r="C2038" s="1257">
        <v>8.2562344565565521E-2</v>
      </c>
      <c r="D2038" s="1257">
        <v>7.1074290730585868E-2</v>
      </c>
      <c r="E2038" s="1280">
        <v>0.4778679937270941</v>
      </c>
      <c r="F2038" s="1303">
        <v>6.4422368131692748E-2</v>
      </c>
      <c r="G2038" s="1288">
        <v>5.8872363721967601E-2</v>
      </c>
      <c r="H2038" s="1280">
        <v>0.55712303022185516</v>
      </c>
      <c r="I2038" s="1303">
        <v>8.1055556816994251E-2</v>
      </c>
      <c r="J2038" s="1288">
        <v>9.9983926966084061E-2</v>
      </c>
      <c r="K2038" s="1280">
        <v>0.9461714265099278</v>
      </c>
      <c r="L2038" s="1237">
        <v>0.17426984174276333</v>
      </c>
    </row>
    <row r="2039" spans="1:12" s="326" customFormat="1" ht="15.5" x14ac:dyDescent="0.35">
      <c r="A2039" s="328" t="s">
        <v>3003</v>
      </c>
      <c r="B2039" s="1291">
        <v>6.3966861657527282E-2</v>
      </c>
      <c r="C2039" s="1257">
        <v>8.2562344565565521E-2</v>
      </c>
      <c r="D2039" s="1257">
        <v>7.1074290730585868E-2</v>
      </c>
      <c r="E2039" s="1280">
        <v>0.4778679937270941</v>
      </c>
      <c r="F2039" s="1303">
        <v>6.7042580117308709E-2</v>
      </c>
      <c r="G2039" s="1288">
        <v>5.9449871579616773E-2</v>
      </c>
      <c r="H2039" s="1280">
        <v>0.5625881229629911</v>
      </c>
      <c r="I2039" s="1303">
        <v>8.0755074696401724E-2</v>
      </c>
      <c r="J2039" s="1288">
        <v>0.10170256030405382</v>
      </c>
      <c r="K2039" s="1280">
        <v>0.96243525817145048</v>
      </c>
      <c r="L2039" s="1330">
        <v>0.17426984174276333</v>
      </c>
    </row>
    <row r="2040" spans="1:12" s="326" customFormat="1" ht="15.5" x14ac:dyDescent="0.35">
      <c r="A2040" s="328" t="s">
        <v>3004</v>
      </c>
      <c r="B2040" s="1291">
        <v>6.3966861657527282E-2</v>
      </c>
      <c r="C2040" s="1257">
        <v>8.2562344565565521E-2</v>
      </c>
      <c r="D2040" s="1257">
        <v>7.1074290730585868E-2</v>
      </c>
      <c r="E2040" s="1280">
        <v>0.4778679937270941</v>
      </c>
      <c r="F2040" s="1303">
        <v>6.0662028186949372E-2</v>
      </c>
      <c r="G2040" s="1288">
        <v>5.9890861171068066E-2</v>
      </c>
      <c r="H2040" s="1280">
        <v>0.56676131122915152</v>
      </c>
      <c r="I2040" s="1303">
        <v>8.0985898369751494E-2</v>
      </c>
      <c r="J2040" s="1288">
        <v>0.10161496970152474</v>
      </c>
      <c r="K2040" s="1280">
        <v>0.96160636769016417</v>
      </c>
      <c r="L2040" s="1330">
        <v>0.17348314560616412</v>
      </c>
    </row>
    <row r="2041" spans="1:12" s="326" customFormat="1" ht="15.5" x14ac:dyDescent="0.35">
      <c r="A2041" s="328" t="s">
        <v>3005</v>
      </c>
      <c r="B2041" s="1291">
        <v>6.3966861657527282E-2</v>
      </c>
      <c r="C2041" s="1257">
        <v>8.2562344565565521E-2</v>
      </c>
      <c r="D2041" s="1257">
        <v>7.1074290730585868E-2</v>
      </c>
      <c r="E2041" s="1280">
        <v>0.4778679937270941</v>
      </c>
      <c r="F2041" s="1303">
        <v>6.662917120482495E-2</v>
      </c>
      <c r="G2041" s="1288">
        <v>5.8841212138184579E-2</v>
      </c>
      <c r="H2041" s="1280">
        <v>0.55682823545473203</v>
      </c>
      <c r="I2041" s="1303">
        <v>8.0911819681274574E-2</v>
      </c>
      <c r="J2041" s="1288">
        <v>0.10197446303462342</v>
      </c>
      <c r="K2041" s="1280">
        <v>0.96500833768794347</v>
      </c>
      <c r="L2041" s="1330">
        <v>0.16373722466062707</v>
      </c>
    </row>
    <row r="2042" spans="1:12" s="326" customFormat="1" ht="15.5" x14ac:dyDescent="0.35">
      <c r="A2042" s="328" t="s">
        <v>3006</v>
      </c>
      <c r="B2042" s="1291">
        <v>6.3966861657527282E-2</v>
      </c>
      <c r="C2042" s="1257">
        <v>8.2562344565565521E-2</v>
      </c>
      <c r="D2042" s="1257">
        <v>7.1074290730585868E-2</v>
      </c>
      <c r="E2042" s="1280">
        <v>0.4778679937270941</v>
      </c>
      <c r="F2042" s="1303">
        <v>6.2446242182475631E-2</v>
      </c>
      <c r="G2042" s="1288">
        <v>5.6580218855100214E-2</v>
      </c>
      <c r="H2042" s="1280">
        <v>0.53543192401848516</v>
      </c>
      <c r="I2042" s="1303">
        <v>7.8708044101095928E-2</v>
      </c>
      <c r="J2042" s="1288">
        <v>9.9421688470032993E-2</v>
      </c>
      <c r="K2042" s="1280">
        <v>0.94085083133038572</v>
      </c>
      <c r="L2042" s="1330">
        <v>0.19316554506001321</v>
      </c>
    </row>
    <row r="2043" spans="1:12" s="326" customFormat="1" ht="15.5" x14ac:dyDescent="0.35">
      <c r="A2043" s="328" t="s">
        <v>3007</v>
      </c>
      <c r="B2043" s="1291">
        <v>6.3966861657527282E-2</v>
      </c>
      <c r="C2043" s="1257">
        <v>8.2562344565565521E-2</v>
      </c>
      <c r="D2043" s="1257">
        <v>7.1074290730585868E-2</v>
      </c>
      <c r="E2043" s="1280">
        <v>0.4778679937270941</v>
      </c>
      <c r="F2043" s="1303">
        <v>6.0615560830984933E-2</v>
      </c>
      <c r="G2043" s="1288">
        <v>5.7178678755939648E-2</v>
      </c>
      <c r="H2043" s="1280">
        <v>0.54109529087422292</v>
      </c>
      <c r="I2043" s="1303">
        <v>7.8221388789599014E-2</v>
      </c>
      <c r="J2043" s="1288">
        <v>0.10019520460920725</v>
      </c>
      <c r="K2043" s="1280">
        <v>0.94817079655918912</v>
      </c>
      <c r="L2043" s="1330">
        <v>0.19316554506002109</v>
      </c>
    </row>
    <row r="2044" spans="1:12" s="326" customFormat="1" ht="15.5" x14ac:dyDescent="0.35">
      <c r="A2044" s="328" t="s">
        <v>3008</v>
      </c>
      <c r="B2044" s="1291">
        <v>6.3966861657527282E-2</v>
      </c>
      <c r="C2044" s="1257">
        <v>8.2562344565565521E-2</v>
      </c>
      <c r="D2044" s="1257">
        <v>7.1074290730585868E-2</v>
      </c>
      <c r="E2044" s="1280">
        <v>0.4778679937270941</v>
      </c>
      <c r="F2044" s="1303">
        <v>6.2052070921754049E-2</v>
      </c>
      <c r="G2044" s="1288">
        <v>5.7825769845546195E-2</v>
      </c>
      <c r="H2044" s="1280">
        <v>0.54721886611189674</v>
      </c>
      <c r="I2044" s="1303">
        <v>7.5849771842773112E-2</v>
      </c>
      <c r="J2044" s="1288">
        <v>9.7463620553008987E-2</v>
      </c>
      <c r="K2044" s="1280">
        <v>0.92232117390972479</v>
      </c>
      <c r="L2044" s="1330">
        <v>0.19316554505999364</v>
      </c>
    </row>
    <row r="2045" spans="1:12" s="326" customFormat="1" ht="15.5" x14ac:dyDescent="0.35">
      <c r="A2045" s="328" t="s">
        <v>3009</v>
      </c>
      <c r="B2045" s="1291">
        <v>6.3966861657527282E-2</v>
      </c>
      <c r="C2045" s="1257">
        <v>8.2562344565565521E-2</v>
      </c>
      <c r="D2045" s="1257">
        <v>7.1074290730585868E-2</v>
      </c>
      <c r="E2045" s="1280">
        <v>0.4778679937270941</v>
      </c>
      <c r="F2045" s="1303">
        <v>6.0808193906848433E-2</v>
      </c>
      <c r="G2045" s="1288">
        <v>5.7084782465242262E-2</v>
      </c>
      <c r="H2045" s="1280">
        <v>0.5402067281821088</v>
      </c>
      <c r="I2045" s="1303">
        <v>7.308117504686619E-2</v>
      </c>
      <c r="J2045" s="1288">
        <v>9.6051897172920717E-2</v>
      </c>
      <c r="K2045" s="1280">
        <v>0.90896170339374227</v>
      </c>
      <c r="L2045" s="1330">
        <v>0.19783982837623237</v>
      </c>
    </row>
    <row r="2046" spans="1:12" s="326" customFormat="1" ht="15.5" x14ac:dyDescent="0.35">
      <c r="A2046" s="328" t="s">
        <v>3010</v>
      </c>
      <c r="B2046" s="1291">
        <v>6.3966861657527282E-2</v>
      </c>
      <c r="C2046" s="1257">
        <v>8.2562344565565521E-2</v>
      </c>
      <c r="D2046" s="1257">
        <v>7.1074290730585868E-2</v>
      </c>
      <c r="E2046" s="1280">
        <v>0.4778679937270941</v>
      </c>
      <c r="F2046" s="1303">
        <v>5.6088218456859344E-2</v>
      </c>
      <c r="G2046" s="1288">
        <v>5.5652470419569278E-2</v>
      </c>
      <c r="H2046" s="1280">
        <v>0.52665242227930631</v>
      </c>
      <c r="I2046" s="1303">
        <v>6.8547430915859242E-2</v>
      </c>
      <c r="J2046" s="1288">
        <v>9.1455925250169115E-2</v>
      </c>
      <c r="K2046" s="1280">
        <v>0.86546893968358574</v>
      </c>
      <c r="L2046" s="1330">
        <v>0.19783982837626418</v>
      </c>
    </row>
    <row r="2047" spans="1:12" s="326" customFormat="1" ht="15.5" x14ac:dyDescent="0.35">
      <c r="A2047" s="328" t="s">
        <v>3011</v>
      </c>
      <c r="B2047" s="1291">
        <v>6.3966861657527282E-2</v>
      </c>
      <c r="C2047" s="1257">
        <v>8.2562344565565521E-2</v>
      </c>
      <c r="D2047" s="1257">
        <v>7.1074290730585868E-2</v>
      </c>
      <c r="E2047" s="1280">
        <v>0.4778679937270941</v>
      </c>
      <c r="F2047" s="1303">
        <v>5.7811183534224868E-2</v>
      </c>
      <c r="G2047" s="1288">
        <v>5.3710639756437355E-2</v>
      </c>
      <c r="H2047" s="1280">
        <v>0.50827642181275645</v>
      </c>
      <c r="I2047" s="1303">
        <v>6.8624153902124715E-2</v>
      </c>
      <c r="J2047" s="1288">
        <v>9.0603753586952898E-2</v>
      </c>
      <c r="K2047" s="1280">
        <v>0.85740463872359107</v>
      </c>
      <c r="L2047" s="1330">
        <v>0.19783982837607744</v>
      </c>
    </row>
    <row r="2048" spans="1:12" s="326" customFormat="1" ht="15.5" x14ac:dyDescent="0.35">
      <c r="A2048" s="328" t="s">
        <v>3012</v>
      </c>
      <c r="B2048" s="1291">
        <v>6.3966861657527282E-2</v>
      </c>
      <c r="C2048" s="1257">
        <v>8.2562344565565521E-2</v>
      </c>
      <c r="D2048" s="1257">
        <v>7.1074290730585868E-2</v>
      </c>
      <c r="E2048" s="1280">
        <v>0.4778679937270941</v>
      </c>
      <c r="F2048" s="1303">
        <v>5.4844842138695178E-2</v>
      </c>
      <c r="G2048" s="1288">
        <v>5.3519207591447279E-2</v>
      </c>
      <c r="H2048" s="1280">
        <v>0.50646485419259302</v>
      </c>
      <c r="I2048" s="1303">
        <v>6.5185814297887987E-2</v>
      </c>
      <c r="J2048" s="1288">
        <v>8.7906113542402797E-2</v>
      </c>
      <c r="K2048" s="1280">
        <v>0.83187623624317941</v>
      </c>
      <c r="L2048" s="1330">
        <v>0.19783982837625003</v>
      </c>
    </row>
    <row r="2049" spans="1:12" s="326" customFormat="1" ht="15.5" x14ac:dyDescent="0.35">
      <c r="A2049" s="328" t="s">
        <v>3013</v>
      </c>
      <c r="B2049" s="1291">
        <v>6.3966861657527282E-2</v>
      </c>
      <c r="C2049" s="1257">
        <v>8.2562344565565521E-2</v>
      </c>
      <c r="D2049" s="1257">
        <v>7.1074290730585868E-2</v>
      </c>
      <c r="E2049" s="1280">
        <v>0.4778679937270941</v>
      </c>
      <c r="F2049" s="1303">
        <v>5.3394581294520099E-2</v>
      </c>
      <c r="G2049" s="1288">
        <v>5.0922450532248829E-2</v>
      </c>
      <c r="H2049" s="1280">
        <v>0.48189113113973703</v>
      </c>
      <c r="I2049" s="1303">
        <v>6.3547992532211342E-2</v>
      </c>
      <c r="J2049" s="1288">
        <v>8.5683952024669302E-2</v>
      </c>
      <c r="K2049" s="1280">
        <v>0.81084739893933377</v>
      </c>
      <c r="L2049" s="1330">
        <v>0.17892509549609167</v>
      </c>
    </row>
    <row r="2050" spans="1:12" s="326" customFormat="1" ht="15.5" x14ac:dyDescent="0.35">
      <c r="A2050" s="328" t="s">
        <v>3014</v>
      </c>
      <c r="B2050" s="1291">
        <v>6.3966861657527282E-2</v>
      </c>
      <c r="C2050" s="1257">
        <v>8.2562344565565521E-2</v>
      </c>
      <c r="D2050" s="1257">
        <v>7.1074290730585868E-2</v>
      </c>
      <c r="E2050" s="1280">
        <v>0.4778679937270941</v>
      </c>
      <c r="F2050" s="1303">
        <v>5.2003645722842211E-2</v>
      </c>
      <c r="G2050" s="1288">
        <v>4.9038381749740637E-2</v>
      </c>
      <c r="H2050" s="1280">
        <v>0.46406174494056029</v>
      </c>
      <c r="I2050" s="1303">
        <v>6.1975497735050102E-2</v>
      </c>
      <c r="J2050" s="1288">
        <v>8.3550082162083095E-2</v>
      </c>
      <c r="K2050" s="1280">
        <v>0.79065408634265399</v>
      </c>
      <c r="L2050" s="1330">
        <v>0.17892509549623223</v>
      </c>
    </row>
    <row r="2051" spans="1:12" s="326" customFormat="1" ht="15.5" x14ac:dyDescent="0.35">
      <c r="A2051" s="328" t="s">
        <v>3015</v>
      </c>
      <c r="B2051" s="1291">
        <v>6.3966861657527282E-2</v>
      </c>
      <c r="C2051" s="1257">
        <v>8.2562344565565521E-2</v>
      </c>
      <c r="D2051" s="1257">
        <v>7.1074290730585868E-2</v>
      </c>
      <c r="E2051" s="1280">
        <v>0.4778679937270941</v>
      </c>
      <c r="F2051" s="1303">
        <v>5.0614720561007125E-2</v>
      </c>
      <c r="G2051" s="1288">
        <v>4.7304170685363849E-2</v>
      </c>
      <c r="H2051" s="1280">
        <v>0.44765049758870057</v>
      </c>
      <c r="I2051" s="1303">
        <v>6.0403168621987718E-2</v>
      </c>
      <c r="J2051" s="1288">
        <v>8.1421894385505927E-2</v>
      </c>
      <c r="K2051" s="1280">
        <v>0.7705145446628392</v>
      </c>
      <c r="L2051" s="1330">
        <v>0.17892509549626398</v>
      </c>
    </row>
    <row r="2052" spans="1:12" s="326" customFormat="1" ht="15.5" x14ac:dyDescent="0.35">
      <c r="A2052" s="328" t="s">
        <v>3016</v>
      </c>
      <c r="B2052" s="1291">
        <v>6.3966861657527282E-2</v>
      </c>
      <c r="C2052" s="1257">
        <v>8.2562344565565521E-2</v>
      </c>
      <c r="D2052" s="1257">
        <v>7.1074290730585868E-2</v>
      </c>
      <c r="E2052" s="1280">
        <v>0.4778679937270941</v>
      </c>
      <c r="F2052" s="1303">
        <v>5.0387633865272244E-2</v>
      </c>
      <c r="G2052" s="1288">
        <v>4.5659741239903122E-2</v>
      </c>
      <c r="H2052" s="1306">
        <v>0.43168801663926554</v>
      </c>
      <c r="I2052" s="1303">
        <v>6.0394487208976798E-2</v>
      </c>
      <c r="J2052" s="1288">
        <v>8.1387447020262252E-2</v>
      </c>
      <c r="K2052" s="1306">
        <v>0.5994055741116604</v>
      </c>
      <c r="L2052" s="1330">
        <v>0.16538467857697689</v>
      </c>
    </row>
    <row r="2053" spans="1:12" s="326" customFormat="1" ht="15.5" x14ac:dyDescent="0.35">
      <c r="A2053" s="328" t="s">
        <v>3017</v>
      </c>
      <c r="B2053" s="1291">
        <v>6.3966861657527282E-2</v>
      </c>
      <c r="C2053" s="1257">
        <v>8.2562344565565521E-2</v>
      </c>
      <c r="D2053" s="1257">
        <v>7.1074290730585868E-2</v>
      </c>
      <c r="E2053" s="1280">
        <v>0.4778679937270941</v>
      </c>
      <c r="F2053" s="1303">
        <v>5.017084403606703E-2</v>
      </c>
      <c r="G2053" s="1288">
        <v>4.4120152809207495E-2</v>
      </c>
      <c r="H2053" s="1306">
        <v>0.44024247245004711</v>
      </c>
      <c r="I2053" s="1303">
        <v>6.0385198175916033E-2</v>
      </c>
      <c r="J2053" s="1288">
        <v>8.1351800813857886E-2</v>
      </c>
      <c r="K2053" s="1306">
        <v>0.59946066746962223</v>
      </c>
      <c r="L2053" s="1330">
        <v>0.16538467857688099</v>
      </c>
    </row>
    <row r="2054" spans="1:12" s="326" customFormat="1" ht="15.5" x14ac:dyDescent="0.35">
      <c r="A2054" s="328" t="s">
        <v>3018</v>
      </c>
      <c r="B2054" s="1291">
        <v>6.3966861657527282E-2</v>
      </c>
      <c r="C2054" s="1257">
        <v>8.2562344565565521E-2</v>
      </c>
      <c r="D2054" s="1257">
        <v>7.1074290730585868E-2</v>
      </c>
      <c r="E2054" s="1280">
        <v>0.4778679937270941</v>
      </c>
      <c r="F2054" s="1303">
        <v>5.0006976105200794E-2</v>
      </c>
      <c r="G2054" s="1288">
        <v>4.3544216274387093E-2</v>
      </c>
      <c r="H2054" s="1306">
        <v>0.45675553272921571</v>
      </c>
      <c r="I2054" s="1303">
        <v>6.0376010102725315E-2</v>
      </c>
      <c r="J2054" s="1288">
        <v>8.1316191714289193E-2</v>
      </c>
      <c r="K2054" s="1306">
        <v>0.59948292847821794</v>
      </c>
      <c r="L2054" s="1330">
        <v>0.16538467857689854</v>
      </c>
    </row>
    <row r="2055" spans="1:12" s="326" customFormat="1" ht="15.5" x14ac:dyDescent="0.35">
      <c r="A2055" s="328" t="s">
        <v>3019</v>
      </c>
      <c r="B2055" s="1291">
        <v>6.3966861657527282E-2</v>
      </c>
      <c r="C2055" s="1257">
        <v>8.2562344565565521E-2</v>
      </c>
      <c r="D2055" s="1257">
        <v>7.1074290730585868E-2</v>
      </c>
      <c r="E2055" s="1280">
        <v>0.4778679937270941</v>
      </c>
      <c r="F2055" s="1303">
        <v>4.9832566029832159E-2</v>
      </c>
      <c r="G2055" s="1288">
        <v>4.3288188036497623E-2</v>
      </c>
      <c r="H2055" s="1306">
        <v>0.47308386094318383</v>
      </c>
      <c r="I2055" s="1303">
        <v>6.0367351952143253E-2</v>
      </c>
      <c r="J2055" s="1288">
        <v>8.12812808646277E-2</v>
      </c>
      <c r="K2055" s="1306">
        <v>0.59951386074238311</v>
      </c>
      <c r="L2055" s="1330">
        <v>0.15942828576997475</v>
      </c>
    </row>
    <row r="2056" spans="1:12" s="326" customFormat="1" ht="15.5" x14ac:dyDescent="0.35">
      <c r="A2056" s="328" t="s">
        <v>3020</v>
      </c>
      <c r="B2056" s="1291">
        <v>6.3966861657527282E-2</v>
      </c>
      <c r="C2056" s="1257">
        <v>8.2562344565565521E-2</v>
      </c>
      <c r="D2056" s="1257">
        <v>7.1074290730585868E-2</v>
      </c>
      <c r="E2056" s="1280">
        <v>0.4778679937270941</v>
      </c>
      <c r="F2056" s="1303">
        <v>4.9636324682587669E-2</v>
      </c>
      <c r="G2056" s="1288">
        <v>4.3009787545583968E-2</v>
      </c>
      <c r="H2056" s="1306">
        <v>0.48417418249537014</v>
      </c>
      <c r="I2056" s="1303">
        <v>6.0358953258831755E-2</v>
      </c>
      <c r="J2056" s="1288">
        <v>8.1246291391798439E-2</v>
      </c>
      <c r="K2056" s="1306">
        <v>0.59964458364680362</v>
      </c>
      <c r="L2056" s="1330">
        <v>0.15942828576996829</v>
      </c>
    </row>
    <row r="2057" spans="1:12" s="326" customFormat="1" ht="15.5" x14ac:dyDescent="0.35">
      <c r="A2057" s="328" t="s">
        <v>3021</v>
      </c>
      <c r="B2057" s="1291">
        <v>6.3966861657527282E-2</v>
      </c>
      <c r="C2057" s="1257">
        <v>8.2562344565565521E-2</v>
      </c>
      <c r="D2057" s="1257">
        <v>7.1074290730585868E-2</v>
      </c>
      <c r="E2057" s="1280">
        <v>0.4778679937270941</v>
      </c>
      <c r="F2057" s="1303">
        <v>4.9428283262923027E-2</v>
      </c>
      <c r="G2057" s="1288">
        <v>4.2746225116444832E-2</v>
      </c>
      <c r="H2057" s="1306">
        <v>0.49259130909834742</v>
      </c>
      <c r="I2057" s="1303">
        <v>6.0350693882448028E-2</v>
      </c>
      <c r="J2057" s="1288">
        <v>8.1210926795909008E-2</v>
      </c>
      <c r="K2057" s="1306">
        <v>0.59973665658809727</v>
      </c>
      <c r="L2057" s="1330">
        <v>0.15942828576997342</v>
      </c>
    </row>
    <row r="2058" spans="1:12" s="326" customFormat="1" ht="15.5" x14ac:dyDescent="0.35">
      <c r="A2058" s="328" t="s">
        <v>3022</v>
      </c>
      <c r="B2058" s="1291">
        <v>6.3966861657527282E-2</v>
      </c>
      <c r="C2058" s="1257">
        <v>8.2562344565565521E-2</v>
      </c>
      <c r="D2058" s="1257">
        <v>7.1074290730585868E-2</v>
      </c>
      <c r="E2058" s="1280">
        <v>0.4778679937270941</v>
      </c>
      <c r="F2058" s="1303">
        <v>4.9147996599419395E-2</v>
      </c>
      <c r="G2058" s="1288">
        <v>4.2453062943700402E-2</v>
      </c>
      <c r="H2058" s="1306">
        <v>0.49747916725104785</v>
      </c>
      <c r="I2058" s="1303">
        <v>6.0342619250048871E-2</v>
      </c>
      <c r="J2058" s="1288">
        <v>8.1175413016399703E-2</v>
      </c>
      <c r="K2058" s="1306">
        <v>0.59978843908998702</v>
      </c>
      <c r="L2058" s="1330">
        <v>0.15942828576997753</v>
      </c>
    </row>
    <row r="2059" spans="1:12" s="326" customFormat="1" ht="15.5" x14ac:dyDescent="0.35">
      <c r="A2059" s="328" t="s">
        <v>3023</v>
      </c>
      <c r="B2059" s="1291">
        <v>6.3966861657527282E-2</v>
      </c>
      <c r="C2059" s="1257">
        <v>8.2562344565565521E-2</v>
      </c>
      <c r="D2059" s="1257">
        <v>7.1074290730585868E-2</v>
      </c>
      <c r="E2059" s="1280">
        <v>0.4778679937270941</v>
      </c>
      <c r="F2059" s="1303">
        <v>4.8860832649418186E-2</v>
      </c>
      <c r="G2059" s="1288">
        <v>4.2168531190428529E-2</v>
      </c>
      <c r="H2059" s="1306">
        <v>0.5042832768571951</v>
      </c>
      <c r="I2059" s="1303">
        <v>6.0334822291496989E-2</v>
      </c>
      <c r="J2059" s="1288">
        <v>8.1140236555960532E-2</v>
      </c>
      <c r="K2059" s="1306">
        <v>0.59989589886896744</v>
      </c>
      <c r="L2059" s="1330">
        <v>0.15942828576997167</v>
      </c>
    </row>
    <row r="2060" spans="1:12" s="326" customFormat="1" ht="15.5" x14ac:dyDescent="0.35">
      <c r="A2060" s="328" t="s">
        <v>3024</v>
      </c>
      <c r="B2060" s="1291">
        <v>6.3966861657527282E-2</v>
      </c>
      <c r="C2060" s="1257">
        <v>8.2562344565565521E-2</v>
      </c>
      <c r="D2060" s="1257">
        <v>7.1074290730585868E-2</v>
      </c>
      <c r="E2060" s="1280">
        <v>0.4778679937270941</v>
      </c>
      <c r="F2060" s="1303">
        <v>4.8544569838100439E-2</v>
      </c>
      <c r="G2060" s="1288">
        <v>4.1910321989977212E-2</v>
      </c>
      <c r="H2060" s="1306">
        <v>0.51030700533972817</v>
      </c>
      <c r="I2060" s="1303">
        <v>6.0327101452503959E-2</v>
      </c>
      <c r="J2060" s="1288">
        <v>8.1105351812883433E-2</v>
      </c>
      <c r="K2060" s="1306">
        <v>0.59992794494696988</v>
      </c>
      <c r="L2060" s="1330">
        <v>0.15942828576997503</v>
      </c>
    </row>
    <row r="2061" spans="1:12" s="326" customFormat="1" ht="15.5" x14ac:dyDescent="0.35">
      <c r="A2061" s="328" t="s">
        <v>3025</v>
      </c>
      <c r="B2061" s="1291">
        <v>6.3966861657527282E-2</v>
      </c>
      <c r="C2061" s="1257">
        <v>8.2562344565565521E-2</v>
      </c>
      <c r="D2061" s="1257">
        <v>7.1074290730585868E-2</v>
      </c>
      <c r="E2061" s="1306">
        <v>1.8717991672744294</v>
      </c>
      <c r="F2061" s="1303">
        <v>4.8215376494937991E-2</v>
      </c>
      <c r="G2061" s="1288">
        <v>4.1649753941605652E-2</v>
      </c>
      <c r="H2061" s="1306">
        <v>0.51553294622852186</v>
      </c>
      <c r="I2061" s="1303">
        <v>6.0319512211490942E-2</v>
      </c>
      <c r="J2061" s="1288">
        <v>8.1071249702511089E-2</v>
      </c>
      <c r="K2061" s="1306">
        <v>0.59995973103285749</v>
      </c>
      <c r="L2061" s="1330">
        <v>0.15834732460101886</v>
      </c>
    </row>
    <row r="2062" spans="1:12" s="326" customFormat="1" ht="15.5" x14ac:dyDescent="0.35">
      <c r="A2062" s="328" t="s">
        <v>3026</v>
      </c>
      <c r="B2062" s="1291">
        <v>6.3966861657527282E-2</v>
      </c>
      <c r="C2062" s="1257">
        <v>8.2562344565565521E-2</v>
      </c>
      <c r="D2062" s="1257">
        <v>7.1074290730585868E-2</v>
      </c>
      <c r="E2062" s="1306">
        <v>1.8163785563633781</v>
      </c>
      <c r="F2062" s="1303">
        <v>4.7822481327523939E-2</v>
      </c>
      <c r="G2062" s="1288">
        <v>4.1402247088945784E-2</v>
      </c>
      <c r="H2062" s="1306">
        <v>0.5200989895610908</v>
      </c>
      <c r="I2062" s="1303">
        <v>6.0312154383274676E-2</v>
      </c>
      <c r="J2062" s="1288">
        <v>8.1038343639396923E-2</v>
      </c>
      <c r="K2062" s="1306">
        <v>0.60002943967013533</v>
      </c>
      <c r="L2062" s="1330">
        <v>0.15737445954895929</v>
      </c>
    </row>
    <row r="2063" spans="1:12" s="326" customFormat="1" ht="15.5" x14ac:dyDescent="0.35">
      <c r="A2063" s="328" t="s">
        <v>3027</v>
      </c>
      <c r="B2063" s="1291">
        <v>6.3966861657527282E-2</v>
      </c>
      <c r="C2063" s="1257">
        <v>8.2562344565565521E-2</v>
      </c>
      <c r="D2063" s="1257">
        <v>7.1074290730585868E-2</v>
      </c>
      <c r="E2063" s="1306">
        <v>1.8998878604840246</v>
      </c>
      <c r="F2063" s="1303">
        <v>4.7402465827669771E-2</v>
      </c>
      <c r="G2063" s="1288">
        <v>4.1160141808222771E-2</v>
      </c>
      <c r="H2063" s="1306">
        <v>0.52433446304894282</v>
      </c>
      <c r="I2063" s="1303">
        <v>6.0304947142843658E-2</v>
      </c>
      <c r="J2063" s="1288">
        <v>8.1006426937673154E-2</v>
      </c>
      <c r="K2063" s="1306">
        <v>0.60010205163579899</v>
      </c>
      <c r="L2063" s="1330">
        <v>0.15649888100211048</v>
      </c>
    </row>
    <row r="2064" spans="1:12" s="326" customFormat="1" ht="15.5" x14ac:dyDescent="0.35">
      <c r="A2064" s="328" t="s">
        <v>3028</v>
      </c>
      <c r="B2064" s="1291">
        <v>6.3966861657527282E-2</v>
      </c>
      <c r="C2064" s="1257">
        <v>8.2562344565565521E-2</v>
      </c>
      <c r="D2064" s="1257">
        <v>7.1074290730585868E-2</v>
      </c>
      <c r="E2064" s="1306">
        <v>1.9585972683089095</v>
      </c>
      <c r="F2064" s="1303">
        <v>4.7314552890145606E-2</v>
      </c>
      <c r="G2064" s="1288">
        <v>4.1106362125292825E-2</v>
      </c>
      <c r="H2064" s="1306">
        <v>0.52350693716974084</v>
      </c>
      <c r="I2064" s="1303">
        <v>6.0297839676016908E-2</v>
      </c>
      <c r="J2064" s="1288">
        <v>8.0975074131771338E-2</v>
      </c>
      <c r="K2064" s="1306">
        <v>0.60017925493026458</v>
      </c>
      <c r="L2064" s="1330">
        <v>0.15571086030994261</v>
      </c>
    </row>
    <row r="2065" spans="1:12" s="326" customFormat="1" ht="15.5" x14ac:dyDescent="0.35">
      <c r="A2065" s="328" t="s">
        <v>3029</v>
      </c>
      <c r="B2065" s="1287">
        <v>6.3966861657527282E-2</v>
      </c>
      <c r="C2065" s="1288">
        <v>8.2562344565565521E-2</v>
      </c>
      <c r="D2065" s="1288">
        <v>7.4458859469190564E-2</v>
      </c>
      <c r="E2065" s="1306">
        <v>1.992278511822914</v>
      </c>
      <c r="F2065" s="1303">
        <v>4.7259694722615021E-2</v>
      </c>
      <c r="G2065" s="1288">
        <v>4.104600421704694E-2</v>
      </c>
      <c r="H2065" s="1306">
        <v>0.52270407478941872</v>
      </c>
      <c r="I2065" s="1303">
        <v>6.0290651861957811E-2</v>
      </c>
      <c r="J2065" s="1288">
        <v>8.0943337020003905E-2</v>
      </c>
      <c r="K2065" s="1306">
        <v>0.60026418912356705</v>
      </c>
      <c r="L2065" s="1330">
        <v>0.15500164168699446</v>
      </c>
    </row>
    <row r="2066" spans="1:12" s="326" customFormat="1" ht="15.5" x14ac:dyDescent="0.35">
      <c r="A2066" s="328" t="s">
        <v>3030</v>
      </c>
      <c r="B2066" s="1287">
        <v>6.4265435684909805E-2</v>
      </c>
      <c r="C2066" s="1288">
        <v>6.832283434316494E-2</v>
      </c>
      <c r="D2066" s="1288">
        <v>8.5226293500462472E-2</v>
      </c>
      <c r="E2066" s="1306">
        <v>1.9380667153599387</v>
      </c>
      <c r="F2066" s="1303">
        <v>4.7178554449666364E-2</v>
      </c>
      <c r="G2066" s="1288">
        <v>4.0995107477391199E-2</v>
      </c>
      <c r="H2066" s="1306">
        <v>0.52192777464503681</v>
      </c>
      <c r="I2066" s="1303">
        <v>6.0283184946475207E-2</v>
      </c>
      <c r="J2066" s="1288">
        <v>8.0910179119008704E-2</v>
      </c>
      <c r="K2066" s="1306">
        <v>0.60032001366722554</v>
      </c>
      <c r="L2066" s="1330">
        <v>0.15436334492633885</v>
      </c>
    </row>
    <row r="2067" spans="1:12" s="326" customFormat="1" ht="15.5" x14ac:dyDescent="0.35">
      <c r="A2067" s="328" t="s">
        <v>3031</v>
      </c>
      <c r="B2067" s="1287">
        <v>6.4872577391815692E-2</v>
      </c>
      <c r="C2067" s="1288">
        <v>8.9680547036689345E-2</v>
      </c>
      <c r="D2067" s="1288">
        <v>7.0924192586304641E-2</v>
      </c>
      <c r="E2067" s="1306">
        <v>1.9272819444935527</v>
      </c>
      <c r="F2067" s="1303">
        <v>4.71443117995183E-2</v>
      </c>
      <c r="G2067" s="1288">
        <v>4.0959137775212318E-2</v>
      </c>
      <c r="H2067" s="1306">
        <v>0.52174840742118189</v>
      </c>
      <c r="I2067" s="1303">
        <v>6.0275584208165665E-2</v>
      </c>
      <c r="J2067" s="1288">
        <v>8.0875527792897473E-2</v>
      </c>
      <c r="K2067" s="1306">
        <v>0.60039110731610645</v>
      </c>
      <c r="L2067" s="1330">
        <v>0.15378887784174899</v>
      </c>
    </row>
    <row r="2068" spans="1:12" s="326" customFormat="1" ht="15.5" x14ac:dyDescent="0.35">
      <c r="A2068" s="328" t="s">
        <v>3032</v>
      </c>
      <c r="B2068" s="1287">
        <v>6.4855016882013977E-2</v>
      </c>
      <c r="C2068" s="1288">
        <v>7.8767400479571564E-2</v>
      </c>
      <c r="D2068" s="1288">
        <v>7.5031470801508335E-2</v>
      </c>
      <c r="E2068" s="1306">
        <v>1.952639455263369</v>
      </c>
      <c r="F2068" s="1303">
        <v>4.7084734741216924E-2</v>
      </c>
      <c r="G2068" s="1288">
        <v>4.0925387525875254E-2</v>
      </c>
      <c r="H2068" s="1306">
        <v>0.52126082459723833</v>
      </c>
      <c r="I2068" s="1303">
        <v>6.0267631640645025E-2</v>
      </c>
      <c r="J2068" s="1288">
        <v>8.0839087540478777E-2</v>
      </c>
      <c r="K2068" s="1306">
        <v>0.60049376063589743</v>
      </c>
      <c r="L2068" s="1330">
        <v>0.1537888778417458</v>
      </c>
    </row>
    <row r="2069" spans="1:12" s="326" customFormat="1" ht="15.5" x14ac:dyDescent="0.35">
      <c r="A2069" s="328" t="s">
        <v>3033</v>
      </c>
      <c r="B2069" s="1287">
        <v>6.4694608205631943E-2</v>
      </c>
      <c r="C2069" s="1288">
        <v>8.5443791881027034E-2</v>
      </c>
      <c r="D2069" s="1288">
        <v>7.7762528328468611E-2</v>
      </c>
      <c r="E2069" s="1306">
        <v>1.9470736899080712</v>
      </c>
      <c r="F2069" s="1303">
        <v>4.7038361771348847E-2</v>
      </c>
      <c r="G2069" s="1288">
        <v>4.088745862765409E-2</v>
      </c>
      <c r="H2069" s="1306">
        <v>0.52070797892306442</v>
      </c>
      <c r="I2069" s="1303">
        <v>6.0259061605544041E-2</v>
      </c>
      <c r="J2069" s="1288">
        <v>8.0801303811301156E-2</v>
      </c>
      <c r="K2069" s="1306">
        <v>0.60059069937755971</v>
      </c>
      <c r="L2069" s="1330">
        <v>0.15378887784174877</v>
      </c>
    </row>
    <row r="2070" spans="1:12" s="326" customFormat="1" ht="15.5" x14ac:dyDescent="0.35">
      <c r="A2070" s="328" t="s">
        <v>3034</v>
      </c>
      <c r="B2070" s="1287">
        <v>6.5574321470483005E-2</v>
      </c>
      <c r="C2070" s="1288">
        <v>8.1991098309091653E-2</v>
      </c>
      <c r="D2070" s="1288">
        <v>8.9308217559022629E-2</v>
      </c>
      <c r="E2070" s="1306">
        <v>1.9502561331844093</v>
      </c>
      <c r="F2070" s="1303">
        <v>4.6968527919443885E-2</v>
      </c>
      <c r="G2070" s="1288">
        <v>4.0839276661776634E-2</v>
      </c>
      <c r="H2070" s="1306">
        <v>0.51976579038196347</v>
      </c>
      <c r="I2070" s="1303">
        <v>6.0249723282585523E-2</v>
      </c>
      <c r="J2070" s="1288">
        <v>8.0763682450825672E-2</v>
      </c>
      <c r="K2070" s="1306">
        <v>0.60072417989037397</v>
      </c>
      <c r="L2070" s="1330">
        <v>0.15378887784174708</v>
      </c>
    </row>
    <row r="2071" spans="1:12" s="326" customFormat="1" ht="15.5" x14ac:dyDescent="0.35">
      <c r="A2071" s="328" t="s">
        <v>3035</v>
      </c>
      <c r="B2071" s="1287">
        <v>6.4745552412161109E-2</v>
      </c>
      <c r="C2071" s="1288">
        <v>8.1612605989745457E-2</v>
      </c>
      <c r="D2071" s="1288">
        <v>7.8955171309489092E-2</v>
      </c>
      <c r="E2071" s="1306">
        <v>1.9289103696684387</v>
      </c>
      <c r="F2071" s="1303">
        <v>4.6953414252482777E-2</v>
      </c>
      <c r="G2071" s="1288">
        <v>4.0819549666921029E-2</v>
      </c>
      <c r="H2071" s="1306">
        <v>0.51968266960267218</v>
      </c>
      <c r="I2071" s="1303">
        <v>6.0239109076301596E-2</v>
      </c>
      <c r="J2071" s="1288">
        <v>8.0727261924754226E-2</v>
      </c>
      <c r="K2071" s="1306">
        <v>0.60088319657012002</v>
      </c>
      <c r="L2071" s="1330">
        <v>0.15378887784174777</v>
      </c>
    </row>
    <row r="2072" spans="1:12" s="326" customFormat="1" ht="15.5" x14ac:dyDescent="0.35">
      <c r="A2072" s="328" t="s">
        <v>3036</v>
      </c>
      <c r="B2072" s="1287">
        <v>6.4819542680866454E-2</v>
      </c>
      <c r="C2072" s="1288">
        <v>7.9259670721851888E-2</v>
      </c>
      <c r="D2072" s="1288">
        <v>7.9098249488308153E-2</v>
      </c>
      <c r="E2072" s="1306">
        <v>1.9568307432865633</v>
      </c>
      <c r="F2072" s="1303">
        <v>4.6952222260144234E-2</v>
      </c>
      <c r="G2072" s="1288">
        <v>4.0799543605437062E-2</v>
      </c>
      <c r="H2072" s="1306">
        <v>0.51955491783803909</v>
      </c>
      <c r="I2072" s="1303">
        <v>6.0226832606448483E-2</v>
      </c>
      <c r="J2072" s="1288">
        <v>8.069217701744015E-2</v>
      </c>
      <c r="K2072" s="1306">
        <v>0.60105211538829706</v>
      </c>
      <c r="L2072" s="1330">
        <v>0.15378887784174827</v>
      </c>
    </row>
    <row r="2073" spans="1:12" s="326" customFormat="1" ht="15.5" x14ac:dyDescent="0.35">
      <c r="A2073" s="328" t="s">
        <v>3037</v>
      </c>
      <c r="B2073" s="1287">
        <v>6.4775751378659749E-2</v>
      </c>
      <c r="C2073" s="1288">
        <v>8.6579527816448107E-2</v>
      </c>
      <c r="D2073" s="1288">
        <v>7.6699819984927767E-2</v>
      </c>
      <c r="E2073" s="1306">
        <v>1.947369219663164</v>
      </c>
      <c r="F2073" s="1303">
        <v>4.6912493310769861E-2</v>
      </c>
      <c r="G2073" s="1288">
        <v>4.077061302342818E-2</v>
      </c>
      <c r="H2073" s="1306">
        <v>0.51889037968716412</v>
      </c>
      <c r="I2073" s="1303">
        <v>6.0211597432813832E-2</v>
      </c>
      <c r="J2073" s="1288">
        <v>8.0652797121104056E-2</v>
      </c>
      <c r="K2073" s="1306">
        <v>0.60122134487203116</v>
      </c>
      <c r="L2073" s="1330">
        <v>0.1537888778417478</v>
      </c>
    </row>
    <row r="2074" spans="1:12" s="326" customFormat="1" ht="15.5" x14ac:dyDescent="0.35">
      <c r="A2074" s="328" t="s">
        <v>3038</v>
      </c>
      <c r="B2074" s="1287">
        <v>6.4546147903546847E-2</v>
      </c>
      <c r="C2074" s="1288">
        <v>7.4231388385578606E-2</v>
      </c>
      <c r="D2074" s="1288">
        <v>8.1836420675046373E-2</v>
      </c>
      <c r="E2074" s="1306">
        <v>1.9734931130460169</v>
      </c>
      <c r="F2074" s="1303">
        <v>4.6887021704022216E-2</v>
      </c>
      <c r="G2074" s="1288">
        <v>4.072490077270826E-2</v>
      </c>
      <c r="H2074" s="1306">
        <v>0.51797123359576591</v>
      </c>
      <c r="I2074" s="1303">
        <v>6.0191568586397799E-2</v>
      </c>
      <c r="J2074" s="1288">
        <v>8.0594364664788518E-2</v>
      </c>
      <c r="K2074" s="1306">
        <v>0.60134015391711104</v>
      </c>
      <c r="L2074" s="1330">
        <v>0.1537888778417465</v>
      </c>
    </row>
    <row r="2075" spans="1:12" s="326" customFormat="1" ht="15.5" x14ac:dyDescent="0.35">
      <c r="A2075" s="328" t="s">
        <v>3039</v>
      </c>
      <c r="B2075" s="1287">
        <v>6.464286230624694E-2</v>
      </c>
      <c r="C2075" s="1288">
        <v>8.8656924233332893E-2</v>
      </c>
      <c r="D2075" s="1288">
        <v>8.0360401601757975E-2</v>
      </c>
      <c r="E2075" s="1306">
        <v>1.8748795129581042</v>
      </c>
      <c r="F2075" s="1303">
        <v>4.6386802364345649E-2</v>
      </c>
      <c r="G2075" s="1288">
        <v>4.0461368038087045E-2</v>
      </c>
      <c r="H2075" s="1306">
        <v>0.50870066925922952</v>
      </c>
      <c r="I2075" s="1303">
        <v>6.0160961929826229E-2</v>
      </c>
      <c r="J2075" s="1288">
        <v>8.0479959875623869E-2</v>
      </c>
      <c r="K2075" s="1306">
        <v>0.60108835168383279</v>
      </c>
      <c r="L2075" s="1330">
        <v>0.15378953353874517</v>
      </c>
    </row>
    <row r="2076" spans="1:12" s="326" customFormat="1" ht="15.5" x14ac:dyDescent="0.35">
      <c r="A2076" s="328" t="s">
        <v>3040</v>
      </c>
      <c r="B2076" s="1291">
        <v>6.464286230624694E-2</v>
      </c>
      <c r="C2076" s="1257">
        <v>8.8656924233332893E-2</v>
      </c>
      <c r="D2076" s="1257">
        <v>8.0360401601757975E-2</v>
      </c>
      <c r="E2076" s="1280">
        <v>1.8748795129581042</v>
      </c>
      <c r="F2076" s="1271">
        <v>4.6386802364345649E-2</v>
      </c>
      <c r="G2076" s="1257">
        <v>4.0461368038087045E-2</v>
      </c>
      <c r="H2076" s="1280">
        <v>0.50870066925922952</v>
      </c>
      <c r="I2076" s="1271">
        <v>6.0160961929826229E-2</v>
      </c>
      <c r="J2076" s="1257">
        <v>8.0479959875623869E-2</v>
      </c>
      <c r="K2076" s="1280">
        <v>0.60108835168383279</v>
      </c>
      <c r="L2076" s="1330">
        <v>0.16102406486730939</v>
      </c>
    </row>
    <row r="2077" spans="1:12" s="326" customFormat="1" ht="15.5" x14ac:dyDescent="0.35">
      <c r="A2077" s="328" t="s">
        <v>3041</v>
      </c>
      <c r="B2077" s="1291">
        <v>6.4265435684909805E-2</v>
      </c>
      <c r="C2077" s="1257">
        <v>6.832463957022801E-2</v>
      </c>
      <c r="D2077" s="1257">
        <v>7.1406039649899777E-2</v>
      </c>
      <c r="E2077" s="1280">
        <v>0.48009850758610118</v>
      </c>
      <c r="F2077" s="1271">
        <v>4.9421635493377081E-2</v>
      </c>
      <c r="G2077" s="1257">
        <v>7.3995082435523135E-2</v>
      </c>
      <c r="H2077" s="1280">
        <v>0.70023287569498738</v>
      </c>
      <c r="I2077" s="1271">
        <v>6.9694498724813925E-2</v>
      </c>
      <c r="J2077" s="1257">
        <v>0.1297317239036431</v>
      </c>
      <c r="K2077" s="1280">
        <v>1.2276818284116813</v>
      </c>
      <c r="L2077" s="1237">
        <v>0.1742698650522605</v>
      </c>
    </row>
    <row r="2078" spans="1:12" s="326" customFormat="1" ht="15.5" x14ac:dyDescent="0.35">
      <c r="A2078" s="328" t="s">
        <v>3042</v>
      </c>
      <c r="B2078" s="1291">
        <v>6.4265435684909805E-2</v>
      </c>
      <c r="C2078" s="1257">
        <v>6.832463957022801E-2</v>
      </c>
      <c r="D2078" s="1257">
        <v>7.1406039649899777E-2</v>
      </c>
      <c r="E2078" s="1280">
        <v>0.48009850758610118</v>
      </c>
      <c r="F2078" s="1271">
        <v>4.9421635493377081E-2</v>
      </c>
      <c r="G2078" s="1257">
        <v>7.3995082435523135E-2</v>
      </c>
      <c r="H2078" s="1280">
        <v>0.70023287569498738</v>
      </c>
      <c r="I2078" s="1271">
        <v>6.9694498724813925E-2</v>
      </c>
      <c r="J2078" s="1257">
        <v>0.1297317239036431</v>
      </c>
      <c r="K2078" s="1280">
        <v>1.2276818284116813</v>
      </c>
      <c r="L2078" s="1237">
        <v>0.1742698650522605</v>
      </c>
    </row>
    <row r="2079" spans="1:12" s="326" customFormat="1" ht="15.5" x14ac:dyDescent="0.35">
      <c r="A2079" s="328" t="s">
        <v>3043</v>
      </c>
      <c r="B2079" s="1291">
        <v>6.4265435684909805E-2</v>
      </c>
      <c r="C2079" s="1257">
        <v>6.832463957022801E-2</v>
      </c>
      <c r="D2079" s="1257">
        <v>7.1406039649899777E-2</v>
      </c>
      <c r="E2079" s="1280">
        <v>0.48009850758610118</v>
      </c>
      <c r="F2079" s="1271">
        <v>4.9421635493377081E-2</v>
      </c>
      <c r="G2079" s="1257">
        <v>7.3995082435523135E-2</v>
      </c>
      <c r="H2079" s="1280">
        <v>0.70023287569498738</v>
      </c>
      <c r="I2079" s="1271">
        <v>6.9694498724813925E-2</v>
      </c>
      <c r="J2079" s="1257">
        <v>0.1297317239036431</v>
      </c>
      <c r="K2079" s="1280">
        <v>1.2276818284116813</v>
      </c>
      <c r="L2079" s="1237">
        <v>0.1742698650522605</v>
      </c>
    </row>
    <row r="2080" spans="1:12" s="326" customFormat="1" ht="15.5" x14ac:dyDescent="0.35">
      <c r="A2080" s="328" t="s">
        <v>3044</v>
      </c>
      <c r="B2080" s="1291">
        <v>6.4265435684909805E-2</v>
      </c>
      <c r="C2080" s="1257">
        <v>6.832463957022801E-2</v>
      </c>
      <c r="D2080" s="1257">
        <v>7.1406039649899777E-2</v>
      </c>
      <c r="E2080" s="1280">
        <v>0.48009850758610118</v>
      </c>
      <c r="F2080" s="1271">
        <v>4.9421635493377081E-2</v>
      </c>
      <c r="G2080" s="1257">
        <v>7.3995082435523135E-2</v>
      </c>
      <c r="H2080" s="1280">
        <v>0.70023287569498738</v>
      </c>
      <c r="I2080" s="1271">
        <v>6.9694498724813925E-2</v>
      </c>
      <c r="J2080" s="1257">
        <v>0.1297317239036431</v>
      </c>
      <c r="K2080" s="1280">
        <v>1.2276818284116813</v>
      </c>
      <c r="L2080" s="1237">
        <v>0.1742698650522605</v>
      </c>
    </row>
    <row r="2081" spans="1:12" s="326" customFormat="1" ht="15.5" x14ac:dyDescent="0.35">
      <c r="A2081" s="328" t="s">
        <v>3045</v>
      </c>
      <c r="B2081" s="1291">
        <v>6.4265435684909805E-2</v>
      </c>
      <c r="C2081" s="1257">
        <v>6.832463957022801E-2</v>
      </c>
      <c r="D2081" s="1257">
        <v>7.1406039649899777E-2</v>
      </c>
      <c r="E2081" s="1280">
        <v>0.48009850758610118</v>
      </c>
      <c r="F2081" s="1271">
        <v>4.9421635493377081E-2</v>
      </c>
      <c r="G2081" s="1257">
        <v>7.3995082435523135E-2</v>
      </c>
      <c r="H2081" s="1280">
        <v>0.70023287569498738</v>
      </c>
      <c r="I2081" s="1271">
        <v>6.9694498724813925E-2</v>
      </c>
      <c r="J2081" s="1257">
        <v>0.1297317239036431</v>
      </c>
      <c r="K2081" s="1280">
        <v>1.2276818284116813</v>
      </c>
      <c r="L2081" s="1237">
        <v>0.1742698650522605</v>
      </c>
    </row>
    <row r="2082" spans="1:12" s="326" customFormat="1" ht="15.5" x14ac:dyDescent="0.35">
      <c r="A2082" s="328" t="s">
        <v>3046</v>
      </c>
      <c r="B2082" s="1291">
        <v>6.4265435684909805E-2</v>
      </c>
      <c r="C2082" s="1257">
        <v>6.832463957022801E-2</v>
      </c>
      <c r="D2082" s="1257">
        <v>7.1406039649899777E-2</v>
      </c>
      <c r="E2082" s="1280">
        <v>0.48009850758610118</v>
      </c>
      <c r="F2082" s="1271">
        <v>4.9421635493377081E-2</v>
      </c>
      <c r="G2082" s="1257">
        <v>7.3995082435523135E-2</v>
      </c>
      <c r="H2082" s="1280">
        <v>0.70023287569498738</v>
      </c>
      <c r="I2082" s="1271">
        <v>6.9694498724813925E-2</v>
      </c>
      <c r="J2082" s="1257">
        <v>0.1297317239036431</v>
      </c>
      <c r="K2082" s="1280">
        <v>1.2276818284116813</v>
      </c>
      <c r="L2082" s="1237">
        <v>0.1742698650522605</v>
      </c>
    </row>
    <row r="2083" spans="1:12" s="326" customFormat="1" ht="15.5" x14ac:dyDescent="0.35">
      <c r="A2083" s="328" t="s">
        <v>3047</v>
      </c>
      <c r="B2083" s="1291">
        <v>6.4265435684909805E-2</v>
      </c>
      <c r="C2083" s="1257">
        <v>6.832463957022801E-2</v>
      </c>
      <c r="D2083" s="1257">
        <v>7.1406039649899777E-2</v>
      </c>
      <c r="E2083" s="1280">
        <v>0.48009850758610118</v>
      </c>
      <c r="F2083" s="1271">
        <v>4.9421635493377081E-2</v>
      </c>
      <c r="G2083" s="1257">
        <v>7.3995082435523135E-2</v>
      </c>
      <c r="H2083" s="1280">
        <v>0.70023287569498738</v>
      </c>
      <c r="I2083" s="1271">
        <v>6.9694498724813925E-2</v>
      </c>
      <c r="J2083" s="1257">
        <v>0.1297317239036431</v>
      </c>
      <c r="K2083" s="1280">
        <v>1.2276818284116813</v>
      </c>
      <c r="L2083" s="1237">
        <v>0.1742698650522605</v>
      </c>
    </row>
    <row r="2084" spans="1:12" s="326" customFormat="1" ht="15.5" x14ac:dyDescent="0.35">
      <c r="A2084" s="328" t="s">
        <v>3048</v>
      </c>
      <c r="B2084" s="1291">
        <v>6.4265435684909805E-2</v>
      </c>
      <c r="C2084" s="1257">
        <v>6.832463957022801E-2</v>
      </c>
      <c r="D2084" s="1257">
        <v>7.1406039649899777E-2</v>
      </c>
      <c r="E2084" s="1280">
        <v>0.48009850758610118</v>
      </c>
      <c r="F2084" s="1271">
        <v>4.9421635493377081E-2</v>
      </c>
      <c r="G2084" s="1257">
        <v>7.3995082435523135E-2</v>
      </c>
      <c r="H2084" s="1280">
        <v>0.70023287569498738</v>
      </c>
      <c r="I2084" s="1271">
        <v>6.9694498724813925E-2</v>
      </c>
      <c r="J2084" s="1257">
        <v>0.1297317239036431</v>
      </c>
      <c r="K2084" s="1280">
        <v>1.2276818284116813</v>
      </c>
      <c r="L2084" s="1237">
        <v>0.1742698650522605</v>
      </c>
    </row>
    <row r="2085" spans="1:12" s="326" customFormat="1" ht="15.5" x14ac:dyDescent="0.35">
      <c r="A2085" s="328" t="s">
        <v>3049</v>
      </c>
      <c r="B2085" s="1291">
        <v>6.4265435684909805E-2</v>
      </c>
      <c r="C2085" s="1257">
        <v>6.832463957022801E-2</v>
      </c>
      <c r="D2085" s="1257">
        <v>7.1406039649899777E-2</v>
      </c>
      <c r="E2085" s="1280">
        <v>0.48009850758610118</v>
      </c>
      <c r="F2085" s="1271">
        <v>4.9421635493377081E-2</v>
      </c>
      <c r="G2085" s="1257">
        <v>7.3995082435523135E-2</v>
      </c>
      <c r="H2085" s="1280">
        <v>0.70023287569498738</v>
      </c>
      <c r="I2085" s="1271">
        <v>6.9694498724813925E-2</v>
      </c>
      <c r="J2085" s="1257">
        <v>0.1297317239036431</v>
      </c>
      <c r="K2085" s="1280">
        <v>1.2276818284116813</v>
      </c>
      <c r="L2085" s="1237">
        <v>0.1742698650522605</v>
      </c>
    </row>
    <row r="2086" spans="1:12" s="326" customFormat="1" ht="15.5" x14ac:dyDescent="0.35">
      <c r="A2086" s="328" t="s">
        <v>3050</v>
      </c>
      <c r="B2086" s="1291">
        <v>6.4265435684909805E-2</v>
      </c>
      <c r="C2086" s="1257">
        <v>6.832463957022801E-2</v>
      </c>
      <c r="D2086" s="1257">
        <v>7.1406039649899777E-2</v>
      </c>
      <c r="E2086" s="1280">
        <v>0.48009850758610118</v>
      </c>
      <c r="F2086" s="1271">
        <v>4.9421635493377081E-2</v>
      </c>
      <c r="G2086" s="1257">
        <v>7.3995082435523135E-2</v>
      </c>
      <c r="H2086" s="1280">
        <v>0.70023287569498738</v>
      </c>
      <c r="I2086" s="1271">
        <v>6.9694498724813925E-2</v>
      </c>
      <c r="J2086" s="1257">
        <v>0.1297317239036431</v>
      </c>
      <c r="K2086" s="1280">
        <v>1.2276818284116813</v>
      </c>
      <c r="L2086" s="1237">
        <v>0.1742698650522605</v>
      </c>
    </row>
    <row r="2087" spans="1:12" s="326" customFormat="1" ht="15.5" x14ac:dyDescent="0.35">
      <c r="A2087" s="328" t="s">
        <v>3051</v>
      </c>
      <c r="B2087" s="1291">
        <v>6.4265435684909805E-2</v>
      </c>
      <c r="C2087" s="1257">
        <v>6.832463957022801E-2</v>
      </c>
      <c r="D2087" s="1257">
        <v>7.1406039649899777E-2</v>
      </c>
      <c r="E2087" s="1280">
        <v>0.48009850758610118</v>
      </c>
      <c r="F2087" s="1271">
        <v>4.9421635493377081E-2</v>
      </c>
      <c r="G2087" s="1257">
        <v>7.3995082435523135E-2</v>
      </c>
      <c r="H2087" s="1280">
        <v>0.70023287569498738</v>
      </c>
      <c r="I2087" s="1271">
        <v>6.9694498724813925E-2</v>
      </c>
      <c r="J2087" s="1257">
        <v>0.1297317239036431</v>
      </c>
      <c r="K2087" s="1280">
        <v>1.2276818284116813</v>
      </c>
      <c r="L2087" s="1237">
        <v>0.1742698650522605</v>
      </c>
    </row>
    <row r="2088" spans="1:12" s="326" customFormat="1" ht="15.5" x14ac:dyDescent="0.35">
      <c r="A2088" s="328" t="s">
        <v>3052</v>
      </c>
      <c r="B2088" s="1291">
        <v>6.4265435684909805E-2</v>
      </c>
      <c r="C2088" s="1257">
        <v>6.832463957022801E-2</v>
      </c>
      <c r="D2088" s="1257">
        <v>7.1406039649899777E-2</v>
      </c>
      <c r="E2088" s="1280">
        <v>0.48009850758610118</v>
      </c>
      <c r="F2088" s="1271">
        <v>4.9421635493377081E-2</v>
      </c>
      <c r="G2088" s="1257">
        <v>7.3995082435523135E-2</v>
      </c>
      <c r="H2088" s="1280">
        <v>0.70023287569498738</v>
      </c>
      <c r="I2088" s="1271">
        <v>6.9694498724813925E-2</v>
      </c>
      <c r="J2088" s="1257">
        <v>0.1297317239036431</v>
      </c>
      <c r="K2088" s="1280">
        <v>1.2276818284116813</v>
      </c>
      <c r="L2088" s="1237">
        <v>0.1742698650522605</v>
      </c>
    </row>
    <row r="2089" spans="1:12" s="326" customFormat="1" ht="15.5" x14ac:dyDescent="0.35">
      <c r="A2089" s="328" t="s">
        <v>3053</v>
      </c>
      <c r="B2089" s="1291">
        <v>6.4265435684909805E-2</v>
      </c>
      <c r="C2089" s="1257">
        <v>6.832463957022801E-2</v>
      </c>
      <c r="D2089" s="1257">
        <v>7.1406039649899777E-2</v>
      </c>
      <c r="E2089" s="1280">
        <v>0.48009850758610118</v>
      </c>
      <c r="F2089" s="1271">
        <v>4.9421635493377081E-2</v>
      </c>
      <c r="G2089" s="1257">
        <v>7.3995082435523135E-2</v>
      </c>
      <c r="H2089" s="1280">
        <v>0.70023287569498738</v>
      </c>
      <c r="I2089" s="1271">
        <v>6.9694498724813925E-2</v>
      </c>
      <c r="J2089" s="1257">
        <v>0.1297317239036431</v>
      </c>
      <c r="K2089" s="1280">
        <v>1.2276818284116813</v>
      </c>
      <c r="L2089" s="1237">
        <v>0.1742698650522605</v>
      </c>
    </row>
    <row r="2090" spans="1:12" s="326" customFormat="1" ht="15.5" x14ac:dyDescent="0.35">
      <c r="A2090" s="328" t="s">
        <v>3054</v>
      </c>
      <c r="B2090" s="1291">
        <v>6.4265435684909805E-2</v>
      </c>
      <c r="C2090" s="1257">
        <v>6.832463957022801E-2</v>
      </c>
      <c r="D2090" s="1257">
        <v>7.1406039649899777E-2</v>
      </c>
      <c r="E2090" s="1280">
        <v>0.48009850758610118</v>
      </c>
      <c r="F2090" s="1271">
        <v>4.9421635493377081E-2</v>
      </c>
      <c r="G2090" s="1257">
        <v>7.3995082435523135E-2</v>
      </c>
      <c r="H2090" s="1280">
        <v>0.70023287569498738</v>
      </c>
      <c r="I2090" s="1271">
        <v>6.9694498724813925E-2</v>
      </c>
      <c r="J2090" s="1257">
        <v>0.1297317239036431</v>
      </c>
      <c r="K2090" s="1280">
        <v>1.2276818284116813</v>
      </c>
      <c r="L2090" s="1237">
        <v>0.1742698650522605</v>
      </c>
    </row>
    <row r="2091" spans="1:12" s="326" customFormat="1" ht="15.5" x14ac:dyDescent="0.35">
      <c r="A2091" s="328" t="s">
        <v>3055</v>
      </c>
      <c r="B2091" s="1291">
        <v>6.4265435684909805E-2</v>
      </c>
      <c r="C2091" s="1257">
        <v>6.832463957022801E-2</v>
      </c>
      <c r="D2091" s="1257">
        <v>7.1406039649899777E-2</v>
      </c>
      <c r="E2091" s="1280">
        <v>0.48009850758610118</v>
      </c>
      <c r="F2091" s="1271">
        <v>4.9421635493377081E-2</v>
      </c>
      <c r="G2091" s="1257">
        <v>7.3995082435523135E-2</v>
      </c>
      <c r="H2091" s="1280">
        <v>0.70023287569498738</v>
      </c>
      <c r="I2091" s="1271">
        <v>6.9694498724813925E-2</v>
      </c>
      <c r="J2091" s="1257">
        <v>0.1297317239036431</v>
      </c>
      <c r="K2091" s="1280">
        <v>1.2276818284116813</v>
      </c>
      <c r="L2091" s="1237">
        <v>0.1742698650522605</v>
      </c>
    </row>
    <row r="2092" spans="1:12" s="326" customFormat="1" ht="15.5" x14ac:dyDescent="0.35">
      <c r="A2092" s="328" t="s">
        <v>3056</v>
      </c>
      <c r="B2092" s="1291">
        <v>6.4265435684909805E-2</v>
      </c>
      <c r="C2092" s="1257">
        <v>6.832463957022801E-2</v>
      </c>
      <c r="D2092" s="1257">
        <v>7.1406039649899777E-2</v>
      </c>
      <c r="E2092" s="1280">
        <v>0.48009850758610118</v>
      </c>
      <c r="F2092" s="1271">
        <v>4.9421635493377081E-2</v>
      </c>
      <c r="G2092" s="1257">
        <v>7.3995082435523135E-2</v>
      </c>
      <c r="H2092" s="1280">
        <v>0.70023287569498738</v>
      </c>
      <c r="I2092" s="1271">
        <v>6.9694498724813925E-2</v>
      </c>
      <c r="J2092" s="1257">
        <v>0.1297317239036431</v>
      </c>
      <c r="K2092" s="1280">
        <v>1.2276818284116813</v>
      </c>
      <c r="L2092" s="1237">
        <v>0.1742698650522605</v>
      </c>
    </row>
    <row r="2093" spans="1:12" s="326" customFormat="1" ht="15.5" x14ac:dyDescent="0.35">
      <c r="A2093" s="328" t="s">
        <v>3057</v>
      </c>
      <c r="B2093" s="1291">
        <v>6.4265435684909805E-2</v>
      </c>
      <c r="C2093" s="1257">
        <v>6.832463957022801E-2</v>
      </c>
      <c r="D2093" s="1257">
        <v>7.1406039649899777E-2</v>
      </c>
      <c r="E2093" s="1280">
        <v>0.48009850758610118</v>
      </c>
      <c r="F2093" s="1271">
        <v>4.9421635493377081E-2</v>
      </c>
      <c r="G2093" s="1257">
        <v>7.3995082435523135E-2</v>
      </c>
      <c r="H2093" s="1280">
        <v>0.70023287569498738</v>
      </c>
      <c r="I2093" s="1271">
        <v>6.9694498724813925E-2</v>
      </c>
      <c r="J2093" s="1257">
        <v>0.1297317239036431</v>
      </c>
      <c r="K2093" s="1280">
        <v>1.2276818284116813</v>
      </c>
      <c r="L2093" s="1237">
        <v>0.1742698650522605</v>
      </c>
    </row>
    <row r="2094" spans="1:12" s="326" customFormat="1" ht="15.5" x14ac:dyDescent="0.35">
      <c r="A2094" s="328" t="s">
        <v>3058</v>
      </c>
      <c r="B2094" s="1291">
        <v>6.4265435684909805E-2</v>
      </c>
      <c r="C2094" s="1257">
        <v>6.832463957022801E-2</v>
      </c>
      <c r="D2094" s="1257">
        <v>7.1406039649899777E-2</v>
      </c>
      <c r="E2094" s="1280">
        <v>0.48009850758610118</v>
      </c>
      <c r="F2094" s="1271">
        <v>4.9421635493377081E-2</v>
      </c>
      <c r="G2094" s="1257">
        <v>7.3995082435523135E-2</v>
      </c>
      <c r="H2094" s="1280">
        <v>0.70023287569498738</v>
      </c>
      <c r="I2094" s="1271">
        <v>6.9694498724813925E-2</v>
      </c>
      <c r="J2094" s="1257">
        <v>0.1297317239036431</v>
      </c>
      <c r="K2094" s="1280">
        <v>1.2276818284116813</v>
      </c>
      <c r="L2094" s="1237">
        <v>0.1742698650522605</v>
      </c>
    </row>
    <row r="2095" spans="1:12" s="326" customFormat="1" ht="15.5" x14ac:dyDescent="0.35">
      <c r="A2095" s="328" t="s">
        <v>3059</v>
      </c>
      <c r="B2095" s="1291">
        <v>6.4265435684909805E-2</v>
      </c>
      <c r="C2095" s="1257">
        <v>6.832463957022801E-2</v>
      </c>
      <c r="D2095" s="1257">
        <v>7.1406039649899777E-2</v>
      </c>
      <c r="E2095" s="1280">
        <v>0.48009850758610118</v>
      </c>
      <c r="F2095" s="1271">
        <v>4.9421635493377081E-2</v>
      </c>
      <c r="G2095" s="1257">
        <v>7.3995082435523135E-2</v>
      </c>
      <c r="H2095" s="1280">
        <v>0.70023287569498738</v>
      </c>
      <c r="I2095" s="1271">
        <v>6.9694498724813925E-2</v>
      </c>
      <c r="J2095" s="1257">
        <v>0.1297317239036431</v>
      </c>
      <c r="K2095" s="1280">
        <v>1.2276818284116813</v>
      </c>
      <c r="L2095" s="1237">
        <v>0.1742698650522605</v>
      </c>
    </row>
    <row r="2096" spans="1:12" s="326" customFormat="1" ht="15.5" x14ac:dyDescent="0.35">
      <c r="A2096" s="328" t="s">
        <v>3060</v>
      </c>
      <c r="B2096" s="1291">
        <v>6.4265435684909805E-2</v>
      </c>
      <c r="C2096" s="1257">
        <v>6.832463957022801E-2</v>
      </c>
      <c r="D2096" s="1257">
        <v>7.1406039649899777E-2</v>
      </c>
      <c r="E2096" s="1280">
        <v>0.48009850758610118</v>
      </c>
      <c r="F2096" s="1271">
        <v>4.9421635493377081E-2</v>
      </c>
      <c r="G2096" s="1257">
        <v>7.3995082435523135E-2</v>
      </c>
      <c r="H2096" s="1280">
        <v>0.70023287569498738</v>
      </c>
      <c r="I2096" s="1271">
        <v>6.9694498724813925E-2</v>
      </c>
      <c r="J2096" s="1257">
        <v>0.1297317239036431</v>
      </c>
      <c r="K2096" s="1280">
        <v>1.2276818284116813</v>
      </c>
      <c r="L2096" s="1237">
        <v>0.1742698650522605</v>
      </c>
    </row>
    <row r="2097" spans="1:12" s="326" customFormat="1" ht="15.5" x14ac:dyDescent="0.35">
      <c r="A2097" s="328" t="s">
        <v>3061</v>
      </c>
      <c r="B2097" s="1291">
        <v>6.4265435684909805E-2</v>
      </c>
      <c r="C2097" s="1257">
        <v>6.832463957022801E-2</v>
      </c>
      <c r="D2097" s="1257">
        <v>7.1406039649899777E-2</v>
      </c>
      <c r="E2097" s="1280">
        <v>0.48009850758610118</v>
      </c>
      <c r="F2097" s="1271">
        <v>4.9421635493377081E-2</v>
      </c>
      <c r="G2097" s="1257">
        <v>7.3995082435523135E-2</v>
      </c>
      <c r="H2097" s="1280">
        <v>0.70023287569498738</v>
      </c>
      <c r="I2097" s="1271">
        <v>6.9694498724813925E-2</v>
      </c>
      <c r="J2097" s="1257">
        <v>0.1297317239036431</v>
      </c>
      <c r="K2097" s="1280">
        <v>1.2276818284116813</v>
      </c>
      <c r="L2097" s="1237">
        <v>0.1742698650522605</v>
      </c>
    </row>
    <row r="2098" spans="1:12" s="326" customFormat="1" ht="15.5" x14ac:dyDescent="0.35">
      <c r="A2098" s="328" t="s">
        <v>3062</v>
      </c>
      <c r="B2098" s="1291">
        <v>6.4265435684909805E-2</v>
      </c>
      <c r="C2098" s="1257">
        <v>6.832463957022801E-2</v>
      </c>
      <c r="D2098" s="1257">
        <v>7.1406039649899777E-2</v>
      </c>
      <c r="E2098" s="1280">
        <v>0.48009850758610118</v>
      </c>
      <c r="F2098" s="1271">
        <v>4.9421635493377081E-2</v>
      </c>
      <c r="G2098" s="1257">
        <v>7.3995082435523135E-2</v>
      </c>
      <c r="H2098" s="1280">
        <v>0.70023287569498738</v>
      </c>
      <c r="I2098" s="1271">
        <v>6.9694498724813925E-2</v>
      </c>
      <c r="J2098" s="1257">
        <v>0.1297317239036431</v>
      </c>
      <c r="K2098" s="1280">
        <v>1.2276818284116813</v>
      </c>
      <c r="L2098" s="1237">
        <v>0.1742698650522605</v>
      </c>
    </row>
    <row r="2099" spans="1:12" s="326" customFormat="1" ht="15.5" x14ac:dyDescent="0.35">
      <c r="A2099" s="328" t="s">
        <v>3063</v>
      </c>
      <c r="B2099" s="1291">
        <v>6.4265435684909805E-2</v>
      </c>
      <c r="C2099" s="1257">
        <v>6.832463957022801E-2</v>
      </c>
      <c r="D2099" s="1257">
        <v>7.1406039649899777E-2</v>
      </c>
      <c r="E2099" s="1280">
        <v>0.48009850758610118</v>
      </c>
      <c r="F2099" s="1271">
        <v>4.9421635493377081E-2</v>
      </c>
      <c r="G2099" s="1257">
        <v>7.3995082435523135E-2</v>
      </c>
      <c r="H2099" s="1280">
        <v>0.70023287569498738</v>
      </c>
      <c r="I2099" s="1271">
        <v>6.9694498724813925E-2</v>
      </c>
      <c r="J2099" s="1257">
        <v>0.1297317239036431</v>
      </c>
      <c r="K2099" s="1280">
        <v>1.2276818284116813</v>
      </c>
      <c r="L2099" s="1237">
        <v>0.1742698650522605</v>
      </c>
    </row>
    <row r="2100" spans="1:12" s="326" customFormat="1" ht="15.5" x14ac:dyDescent="0.35">
      <c r="A2100" s="328" t="s">
        <v>3064</v>
      </c>
      <c r="B2100" s="1291">
        <v>6.4265435684909805E-2</v>
      </c>
      <c r="C2100" s="1257">
        <v>6.832463957022801E-2</v>
      </c>
      <c r="D2100" s="1257">
        <v>7.1406039649899777E-2</v>
      </c>
      <c r="E2100" s="1280">
        <v>0.48009850758610118</v>
      </c>
      <c r="F2100" s="1271">
        <v>4.9421635493377081E-2</v>
      </c>
      <c r="G2100" s="1257">
        <v>7.3995082435523135E-2</v>
      </c>
      <c r="H2100" s="1280">
        <v>0.70023287569498738</v>
      </c>
      <c r="I2100" s="1271">
        <v>6.9694498724813925E-2</v>
      </c>
      <c r="J2100" s="1257">
        <v>0.1297317239036431</v>
      </c>
      <c r="K2100" s="1280">
        <v>1.2276818284116813</v>
      </c>
      <c r="L2100" s="1237">
        <v>0.1742698650522605</v>
      </c>
    </row>
    <row r="2101" spans="1:12" s="326" customFormat="1" ht="15.5" x14ac:dyDescent="0.35">
      <c r="A2101" s="328" t="s">
        <v>3065</v>
      </c>
      <c r="B2101" s="1291">
        <v>6.4265435684909805E-2</v>
      </c>
      <c r="C2101" s="1257">
        <v>6.832463957022801E-2</v>
      </c>
      <c r="D2101" s="1257">
        <v>7.1406039649899777E-2</v>
      </c>
      <c r="E2101" s="1280">
        <v>0.48009850758610118</v>
      </c>
      <c r="F2101" s="1271">
        <v>4.9421635493377081E-2</v>
      </c>
      <c r="G2101" s="1257">
        <v>7.3995082435523135E-2</v>
      </c>
      <c r="H2101" s="1280">
        <v>0.70023287569498738</v>
      </c>
      <c r="I2101" s="1271">
        <v>6.9694498724813925E-2</v>
      </c>
      <c r="J2101" s="1257">
        <v>0.1297317239036431</v>
      </c>
      <c r="K2101" s="1280">
        <v>1.2276818284116813</v>
      </c>
      <c r="L2101" s="1237">
        <v>0.1742698650522605</v>
      </c>
    </row>
    <row r="2102" spans="1:12" s="326" customFormat="1" ht="15.5" x14ac:dyDescent="0.35">
      <c r="A2102" s="328" t="s">
        <v>3066</v>
      </c>
      <c r="B2102" s="1291">
        <v>6.4265435684909805E-2</v>
      </c>
      <c r="C2102" s="1257">
        <v>6.832463957022801E-2</v>
      </c>
      <c r="D2102" s="1257">
        <v>7.1406039649899777E-2</v>
      </c>
      <c r="E2102" s="1280">
        <v>0.48009850758610118</v>
      </c>
      <c r="F2102" s="1271">
        <v>4.9421635493377081E-2</v>
      </c>
      <c r="G2102" s="1257">
        <v>7.3995082435523135E-2</v>
      </c>
      <c r="H2102" s="1280">
        <v>0.70023287569498738</v>
      </c>
      <c r="I2102" s="1271">
        <v>6.9694498724813925E-2</v>
      </c>
      <c r="J2102" s="1257">
        <v>0.1297317239036431</v>
      </c>
      <c r="K2102" s="1280">
        <v>1.2276818284116813</v>
      </c>
      <c r="L2102" s="1237">
        <v>0.1742698650522605</v>
      </c>
    </row>
    <row r="2103" spans="1:12" s="326" customFormat="1" ht="15.5" x14ac:dyDescent="0.35">
      <c r="A2103" s="328" t="s">
        <v>3067</v>
      </c>
      <c r="B2103" s="1291">
        <v>6.4265435684909805E-2</v>
      </c>
      <c r="C2103" s="1257">
        <v>6.832463957022801E-2</v>
      </c>
      <c r="D2103" s="1257">
        <v>7.1406039649899777E-2</v>
      </c>
      <c r="E2103" s="1280">
        <v>0.48009850758610118</v>
      </c>
      <c r="F2103" s="1271">
        <v>4.9421635493377081E-2</v>
      </c>
      <c r="G2103" s="1257">
        <v>7.3995082435523135E-2</v>
      </c>
      <c r="H2103" s="1280">
        <v>0.70023287569498738</v>
      </c>
      <c r="I2103" s="1271">
        <v>6.9694498724813925E-2</v>
      </c>
      <c r="J2103" s="1257">
        <v>0.1297317239036431</v>
      </c>
      <c r="K2103" s="1280">
        <v>1.2276818284116813</v>
      </c>
      <c r="L2103" s="1237">
        <v>0.1742698650522605</v>
      </c>
    </row>
    <row r="2104" spans="1:12" s="326" customFormat="1" ht="15.5" x14ac:dyDescent="0.35">
      <c r="A2104" s="328" t="s">
        <v>3068</v>
      </c>
      <c r="B2104" s="1291">
        <v>6.4265435684909805E-2</v>
      </c>
      <c r="C2104" s="1257">
        <v>6.832463957022801E-2</v>
      </c>
      <c r="D2104" s="1257">
        <v>7.1406039649899777E-2</v>
      </c>
      <c r="E2104" s="1280">
        <v>0.48009850758610118</v>
      </c>
      <c r="F2104" s="1271">
        <v>4.9421635493377081E-2</v>
      </c>
      <c r="G2104" s="1257">
        <v>7.3995082435523135E-2</v>
      </c>
      <c r="H2104" s="1280">
        <v>0.70023287569498738</v>
      </c>
      <c r="I2104" s="1271">
        <v>6.9694498724813925E-2</v>
      </c>
      <c r="J2104" s="1257">
        <v>0.1297317239036431</v>
      </c>
      <c r="K2104" s="1280">
        <v>1.2276818284116813</v>
      </c>
      <c r="L2104" s="1237">
        <v>0.1742698650522605</v>
      </c>
    </row>
    <row r="2105" spans="1:12" s="326" customFormat="1" ht="15.5" x14ac:dyDescent="0.35">
      <c r="A2105" s="328" t="s">
        <v>3069</v>
      </c>
      <c r="B2105" s="1291">
        <v>6.4265435684909805E-2</v>
      </c>
      <c r="C2105" s="1257">
        <v>6.832463957022801E-2</v>
      </c>
      <c r="D2105" s="1257">
        <v>7.1406039649899777E-2</v>
      </c>
      <c r="E2105" s="1280">
        <v>0.48009850758610118</v>
      </c>
      <c r="F2105" s="1271">
        <v>4.9421635493377081E-2</v>
      </c>
      <c r="G2105" s="1257">
        <v>7.3995082435523135E-2</v>
      </c>
      <c r="H2105" s="1280">
        <v>0.70023287569498738</v>
      </c>
      <c r="I2105" s="1271">
        <v>6.9694498724813925E-2</v>
      </c>
      <c r="J2105" s="1257">
        <v>0.1297317239036431</v>
      </c>
      <c r="K2105" s="1280">
        <v>1.2276818284116813</v>
      </c>
      <c r="L2105" s="1237">
        <v>0.1742698650522605</v>
      </c>
    </row>
    <row r="2106" spans="1:12" s="326" customFormat="1" ht="15.5" x14ac:dyDescent="0.35">
      <c r="A2106" s="328" t="s">
        <v>3070</v>
      </c>
      <c r="B2106" s="1291">
        <v>6.4265435684909805E-2</v>
      </c>
      <c r="C2106" s="1257">
        <v>6.832463957022801E-2</v>
      </c>
      <c r="D2106" s="1257">
        <v>7.1406039649899777E-2</v>
      </c>
      <c r="E2106" s="1280">
        <v>0.48009850758610118</v>
      </c>
      <c r="F2106" s="1271">
        <v>4.9421635493377081E-2</v>
      </c>
      <c r="G2106" s="1257">
        <v>7.3995082435523135E-2</v>
      </c>
      <c r="H2106" s="1280">
        <v>0.70023287569498738</v>
      </c>
      <c r="I2106" s="1271">
        <v>6.9694498724813925E-2</v>
      </c>
      <c r="J2106" s="1257">
        <v>0.1297317239036431</v>
      </c>
      <c r="K2106" s="1280">
        <v>1.2276818284116813</v>
      </c>
      <c r="L2106" s="1237">
        <v>0.1742698650522605</v>
      </c>
    </row>
    <row r="2107" spans="1:12" s="326" customFormat="1" ht="15.5" x14ac:dyDescent="0.35">
      <c r="A2107" s="328" t="s">
        <v>3071</v>
      </c>
      <c r="B2107" s="1291">
        <v>6.4265435684909805E-2</v>
      </c>
      <c r="C2107" s="1257">
        <v>6.832463957022801E-2</v>
      </c>
      <c r="D2107" s="1257">
        <v>7.1406039649899777E-2</v>
      </c>
      <c r="E2107" s="1280">
        <v>0.48009850758610118</v>
      </c>
      <c r="F2107" s="1271">
        <v>4.9421635493377081E-2</v>
      </c>
      <c r="G2107" s="1257">
        <v>7.3995082435523135E-2</v>
      </c>
      <c r="H2107" s="1280">
        <v>0.70023287569498738</v>
      </c>
      <c r="I2107" s="1271">
        <v>6.9694498724813925E-2</v>
      </c>
      <c r="J2107" s="1257">
        <v>0.1297317239036431</v>
      </c>
      <c r="K2107" s="1280">
        <v>1.2276818284116813</v>
      </c>
      <c r="L2107" s="1237">
        <v>0.1742698650522605</v>
      </c>
    </row>
    <row r="2108" spans="1:12" s="326" customFormat="1" ht="15.5" x14ac:dyDescent="0.35">
      <c r="A2108" s="328" t="s">
        <v>3072</v>
      </c>
      <c r="B2108" s="1291">
        <v>6.4265435684909805E-2</v>
      </c>
      <c r="C2108" s="1257">
        <v>6.832463957022801E-2</v>
      </c>
      <c r="D2108" s="1257">
        <v>7.1406039649899777E-2</v>
      </c>
      <c r="E2108" s="1280">
        <v>0.48009850758610118</v>
      </c>
      <c r="F2108" s="1271">
        <v>4.9421635493377081E-2</v>
      </c>
      <c r="G2108" s="1257">
        <v>7.3995082435523135E-2</v>
      </c>
      <c r="H2108" s="1280">
        <v>0.70023287569498738</v>
      </c>
      <c r="I2108" s="1271">
        <v>6.9694498724813925E-2</v>
      </c>
      <c r="J2108" s="1257">
        <v>0.1297317239036431</v>
      </c>
      <c r="K2108" s="1280">
        <v>1.2276818284116813</v>
      </c>
      <c r="L2108" s="1237">
        <v>0.1742698650522605</v>
      </c>
    </row>
    <row r="2109" spans="1:12" s="326" customFormat="1" ht="15.5" x14ac:dyDescent="0.35">
      <c r="A2109" s="328" t="s">
        <v>3073</v>
      </c>
      <c r="B2109" s="1291">
        <v>6.4265435684909805E-2</v>
      </c>
      <c r="C2109" s="1257">
        <v>6.832463957022801E-2</v>
      </c>
      <c r="D2109" s="1257">
        <v>7.1406039649899777E-2</v>
      </c>
      <c r="E2109" s="1280">
        <v>0.48009850758610118</v>
      </c>
      <c r="F2109" s="1271">
        <v>4.9421635493377081E-2</v>
      </c>
      <c r="G2109" s="1257">
        <v>7.3995082435523135E-2</v>
      </c>
      <c r="H2109" s="1280">
        <v>0.70023287569498738</v>
      </c>
      <c r="I2109" s="1271">
        <v>6.9694498724813925E-2</v>
      </c>
      <c r="J2109" s="1257">
        <v>0.1297317239036431</v>
      </c>
      <c r="K2109" s="1280">
        <v>1.2276818284116813</v>
      </c>
      <c r="L2109" s="1237">
        <v>0.1742698650522605</v>
      </c>
    </row>
    <row r="2110" spans="1:12" s="326" customFormat="1" ht="15.5" x14ac:dyDescent="0.35">
      <c r="A2110" s="328" t="s">
        <v>3074</v>
      </c>
      <c r="B2110" s="1291">
        <v>6.4265435684909805E-2</v>
      </c>
      <c r="C2110" s="1257">
        <v>6.832463957022801E-2</v>
      </c>
      <c r="D2110" s="1257">
        <v>7.1406039649899777E-2</v>
      </c>
      <c r="E2110" s="1280">
        <v>0.48009850758610118</v>
      </c>
      <c r="F2110" s="1303">
        <v>4.9421635493377081E-2</v>
      </c>
      <c r="G2110" s="1288">
        <v>7.3995082435523135E-2</v>
      </c>
      <c r="H2110" s="1280">
        <v>0.70023287569498738</v>
      </c>
      <c r="I2110" s="1303">
        <v>6.9694498724813925E-2</v>
      </c>
      <c r="J2110" s="1288">
        <v>0.1297317239036431</v>
      </c>
      <c r="K2110" s="1280">
        <v>1.2276818284116813</v>
      </c>
      <c r="L2110" s="1237">
        <v>0.1742698650522605</v>
      </c>
    </row>
    <row r="2111" spans="1:12" s="326" customFormat="1" ht="15.5" x14ac:dyDescent="0.35">
      <c r="A2111" s="328" t="s">
        <v>3075</v>
      </c>
      <c r="B2111" s="1291">
        <v>6.4265435684909805E-2</v>
      </c>
      <c r="C2111" s="1257">
        <v>6.832463957022801E-2</v>
      </c>
      <c r="D2111" s="1257">
        <v>7.1406039649899777E-2</v>
      </c>
      <c r="E2111" s="1280">
        <v>0.48009850758610118</v>
      </c>
      <c r="F2111" s="1303">
        <v>4.9929454657449891E-2</v>
      </c>
      <c r="G2111" s="1288">
        <v>7.2205351496584858E-2</v>
      </c>
      <c r="H2111" s="1280">
        <v>0.68329623070665224</v>
      </c>
      <c r="I2111" s="1303">
        <v>6.9517325538290944E-2</v>
      </c>
      <c r="J2111" s="1288">
        <v>0.13023804707283573</v>
      </c>
      <c r="K2111" s="1280">
        <v>1.2324732836966146</v>
      </c>
      <c r="L2111" s="1237">
        <v>0.1742698650522605</v>
      </c>
    </row>
    <row r="2112" spans="1:12" s="326" customFormat="1" ht="15.5" x14ac:dyDescent="0.35">
      <c r="A2112" s="328" t="s">
        <v>3076</v>
      </c>
      <c r="B2112" s="1291">
        <v>6.4265435684909805E-2</v>
      </c>
      <c r="C2112" s="1257">
        <v>6.832463957022801E-2</v>
      </c>
      <c r="D2112" s="1257">
        <v>7.1406039649899777E-2</v>
      </c>
      <c r="E2112" s="1280">
        <v>0.48009850758610118</v>
      </c>
      <c r="F2112" s="1303">
        <v>4.9549101652794324E-2</v>
      </c>
      <c r="G2112" s="1288">
        <v>7.7656943461686626E-2</v>
      </c>
      <c r="H2112" s="1280">
        <v>0.73488592819993148</v>
      </c>
      <c r="I2112" s="1303">
        <v>6.9235710745702894E-2</v>
      </c>
      <c r="J2112" s="1288">
        <v>0.13047056064977258</v>
      </c>
      <c r="K2112" s="1280">
        <v>1.2346736143842447</v>
      </c>
      <c r="L2112" s="1237">
        <v>0.1742698650522605</v>
      </c>
    </row>
    <row r="2113" spans="1:12" s="326" customFormat="1" ht="15.5" x14ac:dyDescent="0.35">
      <c r="A2113" s="328" t="s">
        <v>3077</v>
      </c>
      <c r="B2113" s="1291">
        <v>6.4265435684909805E-2</v>
      </c>
      <c r="C2113" s="1257">
        <v>6.832463957022801E-2</v>
      </c>
      <c r="D2113" s="1257">
        <v>7.1406039649899777E-2</v>
      </c>
      <c r="E2113" s="1280">
        <v>0.48009850758610118</v>
      </c>
      <c r="F2113" s="1303">
        <v>5.8662190695877435E-2</v>
      </c>
      <c r="G2113" s="1288">
        <v>7.1790128360634003E-2</v>
      </c>
      <c r="H2113" s="1280">
        <v>0.679366876471588</v>
      </c>
      <c r="I2113" s="1303">
        <v>7.5029003275108447E-2</v>
      </c>
      <c r="J2113" s="1288">
        <v>0.13130499682976965</v>
      </c>
      <c r="K2113" s="1280">
        <v>1.2425700802934818</v>
      </c>
      <c r="L2113" s="1237">
        <v>0.1742698650522605</v>
      </c>
    </row>
    <row r="2114" spans="1:12" s="326" customFormat="1" ht="15.5" x14ac:dyDescent="0.35">
      <c r="A2114" s="328" t="s">
        <v>3078</v>
      </c>
      <c r="B2114" s="1291">
        <v>6.4265435684909805E-2</v>
      </c>
      <c r="C2114" s="1257">
        <v>6.832463957022801E-2</v>
      </c>
      <c r="D2114" s="1257">
        <v>7.1406039649899777E-2</v>
      </c>
      <c r="E2114" s="1280">
        <v>0.48009850758610118</v>
      </c>
      <c r="F2114" s="1303">
        <v>5.9020371721783163E-2</v>
      </c>
      <c r="G2114" s="1288">
        <v>7.0121708429515886E-2</v>
      </c>
      <c r="H2114" s="1280">
        <v>0.66357822609402162</v>
      </c>
      <c r="I2114" s="1303">
        <v>7.5790946000221973E-2</v>
      </c>
      <c r="J2114" s="1288">
        <v>0.11653233412032135</v>
      </c>
      <c r="K2114" s="1280">
        <v>1.102772897153335</v>
      </c>
      <c r="L2114" s="1237">
        <v>0.1742698650522605</v>
      </c>
    </row>
    <row r="2115" spans="1:12" s="326" customFormat="1" ht="15.5" x14ac:dyDescent="0.35">
      <c r="A2115" s="328" t="s">
        <v>3079</v>
      </c>
      <c r="B2115" s="1291">
        <v>6.4265435684909805E-2</v>
      </c>
      <c r="C2115" s="1257">
        <v>6.832463957022801E-2</v>
      </c>
      <c r="D2115" s="1257">
        <v>7.1406039649899777E-2</v>
      </c>
      <c r="E2115" s="1280">
        <v>0.48009850758610118</v>
      </c>
      <c r="F2115" s="1303">
        <v>5.8565662861194551E-2</v>
      </c>
      <c r="G2115" s="1288">
        <v>6.3673788449496241E-2</v>
      </c>
      <c r="H2115" s="1280">
        <v>0.60256004216545345</v>
      </c>
      <c r="I2115" s="1303">
        <v>7.5577044345117098E-2</v>
      </c>
      <c r="J2115" s="1288">
        <v>0.10011589654452492</v>
      </c>
      <c r="K2115" s="1280">
        <v>0.94742028568237924</v>
      </c>
      <c r="L2115" s="1237">
        <v>0.1742698650522605</v>
      </c>
    </row>
    <row r="2116" spans="1:12" s="326" customFormat="1" ht="15.5" x14ac:dyDescent="0.35">
      <c r="A2116" s="328" t="s">
        <v>3080</v>
      </c>
      <c r="B2116" s="1291">
        <v>6.4265435684909805E-2</v>
      </c>
      <c r="C2116" s="1257">
        <v>6.832463957022801E-2</v>
      </c>
      <c r="D2116" s="1257">
        <v>7.1406039649899777E-2</v>
      </c>
      <c r="E2116" s="1280">
        <v>0.48009850758610118</v>
      </c>
      <c r="F2116" s="1303">
        <v>6.3671125409664908E-2</v>
      </c>
      <c r="G2116" s="1288">
        <v>5.8932188172563182E-2</v>
      </c>
      <c r="H2116" s="1280">
        <v>0.55768916307418248</v>
      </c>
      <c r="I2116" s="1303">
        <v>8.1086654587905566E-2</v>
      </c>
      <c r="J2116" s="1288">
        <v>0.10007092563537562</v>
      </c>
      <c r="K2116" s="1280">
        <v>0.94699471538770896</v>
      </c>
      <c r="L2116" s="1237">
        <v>0.1742698650522605</v>
      </c>
    </row>
    <row r="2117" spans="1:12" s="326" customFormat="1" ht="15.5" x14ac:dyDescent="0.35">
      <c r="A2117" s="328" t="s">
        <v>3081</v>
      </c>
      <c r="B2117" s="1291">
        <v>6.4265435684909805E-2</v>
      </c>
      <c r="C2117" s="1257">
        <v>6.832463957022801E-2</v>
      </c>
      <c r="D2117" s="1257">
        <v>7.1406039649899777E-2</v>
      </c>
      <c r="E2117" s="1280">
        <v>0.48009850758610118</v>
      </c>
      <c r="F2117" s="1303">
        <v>6.6907674762811939E-2</v>
      </c>
      <c r="G2117" s="1288">
        <v>5.9459192837664446E-2</v>
      </c>
      <c r="H2117" s="1280">
        <v>0.56267633222113345</v>
      </c>
      <c r="I2117" s="1303">
        <v>8.0786122097348423E-2</v>
      </c>
      <c r="J2117" s="1288">
        <v>0.10178826720335868</v>
      </c>
      <c r="K2117" s="1280">
        <v>0.96324632272590172</v>
      </c>
      <c r="L2117" s="1330">
        <v>0.1742698650522605</v>
      </c>
    </row>
    <row r="2118" spans="1:12" s="326" customFormat="1" ht="15.5" x14ac:dyDescent="0.35">
      <c r="A2118" s="328" t="s">
        <v>3082</v>
      </c>
      <c r="B2118" s="1291">
        <v>6.4265435684909805E-2</v>
      </c>
      <c r="C2118" s="1257">
        <v>6.832463957022801E-2</v>
      </c>
      <c r="D2118" s="1257">
        <v>7.1406039649899777E-2</v>
      </c>
      <c r="E2118" s="1280">
        <v>0.48009850758610118</v>
      </c>
      <c r="F2118" s="1303">
        <v>5.9929607476355395E-2</v>
      </c>
      <c r="G2118" s="1288">
        <v>5.9879714773228794E-2</v>
      </c>
      <c r="H2118" s="1280">
        <v>0.56665583024371657</v>
      </c>
      <c r="I2118" s="1303">
        <v>8.1016208491177924E-2</v>
      </c>
      <c r="J2118" s="1288">
        <v>0.10169994809681555</v>
      </c>
      <c r="K2118" s="1280">
        <v>0.96241053823971778</v>
      </c>
      <c r="L2118" s="1330">
        <v>0.17348316820415235</v>
      </c>
    </row>
    <row r="2119" spans="1:12" s="326" customFormat="1" ht="15.5" x14ac:dyDescent="0.35">
      <c r="A2119" s="328" t="s">
        <v>3083</v>
      </c>
      <c r="B2119" s="1291">
        <v>6.4265435684909805E-2</v>
      </c>
      <c r="C2119" s="1257">
        <v>6.832463957022801E-2</v>
      </c>
      <c r="D2119" s="1257">
        <v>7.1406039649899777E-2</v>
      </c>
      <c r="E2119" s="1280">
        <v>0.48009850758610118</v>
      </c>
      <c r="F2119" s="1303">
        <v>6.6566877136557567E-2</v>
      </c>
      <c r="G2119" s="1288">
        <v>5.8851175157020569E-2</v>
      </c>
      <c r="H2119" s="1280">
        <v>0.55692251784621671</v>
      </c>
      <c r="I2119" s="1303">
        <v>8.0941831188409877E-2</v>
      </c>
      <c r="J2119" s="1288">
        <v>0.10205756130414065</v>
      </c>
      <c r="K2119" s="1280">
        <v>0.96579471616491919</v>
      </c>
      <c r="L2119" s="1330">
        <v>0.16373724726206129</v>
      </c>
    </row>
    <row r="2120" spans="1:12" s="326" customFormat="1" ht="15.5" x14ac:dyDescent="0.35">
      <c r="A2120" s="328" t="s">
        <v>3084</v>
      </c>
      <c r="B2120" s="1291">
        <v>6.4265435684909805E-2</v>
      </c>
      <c r="C2120" s="1257">
        <v>6.832463957022801E-2</v>
      </c>
      <c r="D2120" s="1257">
        <v>7.1406039649899777E-2</v>
      </c>
      <c r="E2120" s="1280">
        <v>0.48009850758610118</v>
      </c>
      <c r="F2120" s="1303">
        <v>6.2026658951564111E-2</v>
      </c>
      <c r="G2120" s="1288">
        <v>5.6607777788902032E-2</v>
      </c>
      <c r="H2120" s="1280">
        <v>0.53569272069350671</v>
      </c>
      <c r="I2120" s="1303">
        <v>7.8737073791792428E-2</v>
      </c>
      <c r="J2120" s="1288">
        <v>9.9502781982699018E-2</v>
      </c>
      <c r="K2120" s="1280">
        <v>0.94161823832157088</v>
      </c>
      <c r="L2120" s="1330">
        <v>0.19316556656994865</v>
      </c>
    </row>
    <row r="2121" spans="1:12" s="326" customFormat="1" ht="15.5" x14ac:dyDescent="0.35">
      <c r="A2121" s="328" t="s">
        <v>3085</v>
      </c>
      <c r="B2121" s="1291">
        <v>6.4265435684909805E-2</v>
      </c>
      <c r="C2121" s="1257">
        <v>6.832463957022801E-2</v>
      </c>
      <c r="D2121" s="1257">
        <v>7.1406039649899777E-2</v>
      </c>
      <c r="E2121" s="1280">
        <v>0.48009850758610118</v>
      </c>
      <c r="F2121" s="1303">
        <v>6.0424545459126698E-2</v>
      </c>
      <c r="G2121" s="1288">
        <v>5.7259970273222327E-2</v>
      </c>
      <c r="H2121" s="1280">
        <v>0.54186457162968482</v>
      </c>
      <c r="I2121" s="1303">
        <v>7.8249649260583851E-2</v>
      </c>
      <c r="J2121" s="1288">
        <v>0.10027446408195735</v>
      </c>
      <c r="K2121" s="1280">
        <v>0.94892084759911111</v>
      </c>
      <c r="L2121" s="1330">
        <v>0.19316556656995623</v>
      </c>
    </row>
    <row r="2122" spans="1:12" s="326" customFormat="1" ht="15.5" x14ac:dyDescent="0.35">
      <c r="A2122" s="328" t="s">
        <v>3086</v>
      </c>
      <c r="B2122" s="1291">
        <v>6.4265435684909805E-2</v>
      </c>
      <c r="C2122" s="1257">
        <v>6.832463957022801E-2</v>
      </c>
      <c r="D2122" s="1257">
        <v>7.1406039649899777E-2</v>
      </c>
      <c r="E2122" s="1280">
        <v>0.48009850758610118</v>
      </c>
      <c r="F2122" s="1303">
        <v>6.2000146453037974E-2</v>
      </c>
      <c r="G2122" s="1288">
        <v>5.7827036061843862E-2</v>
      </c>
      <c r="H2122" s="1280">
        <v>0.54723084861465487</v>
      </c>
      <c r="I2122" s="1303">
        <v>7.5876722826279511E-2</v>
      </c>
      <c r="J2122" s="1288">
        <v>9.7541235548297953E-2</v>
      </c>
      <c r="K2122" s="1280">
        <v>0.92305566287249607</v>
      </c>
      <c r="L2122" s="1330">
        <v>0.19316556656992803</v>
      </c>
    </row>
    <row r="2123" spans="1:12" s="326" customFormat="1" ht="15.5" x14ac:dyDescent="0.35">
      <c r="A2123" s="328" t="s">
        <v>3087</v>
      </c>
      <c r="B2123" s="1291">
        <v>6.4265435684909805E-2</v>
      </c>
      <c r="C2123" s="1257">
        <v>6.832463957022801E-2</v>
      </c>
      <c r="D2123" s="1257">
        <v>7.1406039649899777E-2</v>
      </c>
      <c r="E2123" s="1280">
        <v>0.48009850758610118</v>
      </c>
      <c r="F2123" s="1303">
        <v>6.0743069465342081E-2</v>
      </c>
      <c r="G2123" s="1288">
        <v>5.7168637118289338E-2</v>
      </c>
      <c r="H2123" s="1280">
        <v>0.54100026449439986</v>
      </c>
      <c r="I2123" s="1303">
        <v>7.3107200043866186E-2</v>
      </c>
      <c r="J2123" s="1288">
        <v>9.6126170783341083E-2</v>
      </c>
      <c r="K2123" s="1280">
        <v>0.90966457204529383</v>
      </c>
      <c r="L2123" s="1330">
        <v>0.19783984893116063</v>
      </c>
    </row>
    <row r="2124" spans="1:12" s="326" customFormat="1" ht="15.5" x14ac:dyDescent="0.35">
      <c r="A2124" s="328" t="s">
        <v>3088</v>
      </c>
      <c r="B2124" s="1291">
        <v>6.4265435684909805E-2</v>
      </c>
      <c r="C2124" s="1257">
        <v>6.832463957022801E-2</v>
      </c>
      <c r="D2124" s="1257">
        <v>7.1406039649899777E-2</v>
      </c>
      <c r="E2124" s="1280">
        <v>0.48009850758610118</v>
      </c>
      <c r="F2124" s="1303">
        <v>5.6167958779088395E-2</v>
      </c>
      <c r="G2124" s="1288">
        <v>5.5720188857823046E-2</v>
      </c>
      <c r="H2124" s="1280">
        <v>0.52729325779425185</v>
      </c>
      <c r="I2124" s="1303">
        <v>6.85711860914935E-2</v>
      </c>
      <c r="J2124" s="1288">
        <v>9.1526942431194108E-2</v>
      </c>
      <c r="K2124" s="1280">
        <v>0.86614099197755012</v>
      </c>
      <c r="L2124" s="1330">
        <v>0.19783984893119311</v>
      </c>
    </row>
    <row r="2125" spans="1:12" s="326" customFormat="1" ht="15.5" x14ac:dyDescent="0.35">
      <c r="A2125" s="328" t="s">
        <v>3089</v>
      </c>
      <c r="B2125" s="1291">
        <v>6.4265435684909805E-2</v>
      </c>
      <c r="C2125" s="1257">
        <v>6.832463957022801E-2</v>
      </c>
      <c r="D2125" s="1257">
        <v>7.1406039649899777E-2</v>
      </c>
      <c r="E2125" s="1280">
        <v>0.48009850758610118</v>
      </c>
      <c r="F2125" s="1303">
        <v>5.7857932876029576E-2</v>
      </c>
      <c r="G2125" s="1288">
        <v>5.3804318949350831E-2</v>
      </c>
      <c r="H2125" s="1280">
        <v>0.50916293005745972</v>
      </c>
      <c r="I2125" s="1303">
        <v>6.8647844734222363E-2</v>
      </c>
      <c r="J2125" s="1288">
        <v>9.0674853388172841E-2</v>
      </c>
      <c r="K2125" s="1280">
        <v>0.85807747287190028</v>
      </c>
      <c r="L2125" s="1330">
        <v>0.19783984893100814</v>
      </c>
    </row>
    <row r="2126" spans="1:12" s="326" customFormat="1" ht="15.5" x14ac:dyDescent="0.35">
      <c r="A2126" s="328" t="s">
        <v>3090</v>
      </c>
      <c r="B2126" s="1291">
        <v>6.4265435684909805E-2</v>
      </c>
      <c r="C2126" s="1257">
        <v>6.832463957022801E-2</v>
      </c>
      <c r="D2126" s="1257">
        <v>7.1406039649899777E-2</v>
      </c>
      <c r="E2126" s="1280">
        <v>0.48009850758610118</v>
      </c>
      <c r="F2126" s="1303">
        <v>5.493876516382408E-2</v>
      </c>
      <c r="G2126" s="1288">
        <v>5.3602628961999424E-2</v>
      </c>
      <c r="H2126" s="1280">
        <v>0.50725429025068569</v>
      </c>
      <c r="I2126" s="1303">
        <v>6.5210133090649242E-2</v>
      </c>
      <c r="J2126" s="1288">
        <v>8.7976206932806722E-2</v>
      </c>
      <c r="K2126" s="1280">
        <v>0.8325395464891342</v>
      </c>
      <c r="L2126" s="1330">
        <v>0.19783984893117931</v>
      </c>
    </row>
    <row r="2127" spans="1:12" s="326" customFormat="1" ht="15.5" x14ac:dyDescent="0.35">
      <c r="A2127" s="328" t="s">
        <v>3091</v>
      </c>
      <c r="B2127" s="1291">
        <v>6.4265435684909805E-2</v>
      </c>
      <c r="C2127" s="1257">
        <v>6.832463957022801E-2</v>
      </c>
      <c r="D2127" s="1257">
        <v>7.1406039649899777E-2</v>
      </c>
      <c r="E2127" s="1280">
        <v>0.48009850758610118</v>
      </c>
      <c r="F2127" s="1303">
        <v>5.3417127044464996E-2</v>
      </c>
      <c r="G2127" s="1288">
        <v>5.0988207345539112E-2</v>
      </c>
      <c r="H2127" s="1280">
        <v>0.48251340333609438</v>
      </c>
      <c r="I2127" s="1303">
        <v>6.3571450486282155E-2</v>
      </c>
      <c r="J2127" s="1288">
        <v>8.5751723835466767E-2</v>
      </c>
      <c r="K2127" s="1280">
        <v>0.81148873953121858</v>
      </c>
      <c r="L2127" s="1330">
        <v>0.17892511408583911</v>
      </c>
    </row>
    <row r="2128" spans="1:12" s="326" customFormat="1" ht="15.5" x14ac:dyDescent="0.35">
      <c r="A2128" s="328" t="s">
        <v>3092</v>
      </c>
      <c r="B2128" s="1291">
        <v>6.4265435684909805E-2</v>
      </c>
      <c r="C2128" s="1257">
        <v>6.832463957022801E-2</v>
      </c>
      <c r="D2128" s="1257">
        <v>7.1406039649899777E-2</v>
      </c>
      <c r="E2128" s="1280">
        <v>0.48009850758610118</v>
      </c>
      <c r="F2128" s="1303">
        <v>5.206499824272174E-2</v>
      </c>
      <c r="G2128" s="1288">
        <v>4.9190794381412731E-2</v>
      </c>
      <c r="H2128" s="1280">
        <v>0.46550406153586898</v>
      </c>
      <c r="I2128" s="1303">
        <v>6.1998145281230245E-2</v>
      </c>
      <c r="J2128" s="1288">
        <v>8.3615663988829442E-2</v>
      </c>
      <c r="K2128" s="1280">
        <v>0.79127470260017263</v>
      </c>
      <c r="L2128" s="1330">
        <v>0.17892511408598083</v>
      </c>
    </row>
    <row r="2129" spans="1:12" s="326" customFormat="1" ht="15.5" x14ac:dyDescent="0.35">
      <c r="A2129" s="328" t="s">
        <v>3093</v>
      </c>
      <c r="B2129" s="1291">
        <v>6.4265435684909805E-2</v>
      </c>
      <c r="C2129" s="1257">
        <v>6.832463957022801E-2</v>
      </c>
      <c r="D2129" s="1257">
        <v>7.1406039649899777E-2</v>
      </c>
      <c r="E2129" s="1280">
        <v>0.48009850758610118</v>
      </c>
      <c r="F2129" s="1303">
        <v>5.0674313206973236E-2</v>
      </c>
      <c r="G2129" s="1288">
        <v>4.7455067396451452E-2</v>
      </c>
      <c r="H2129" s="1280">
        <v>0.44907846867083107</v>
      </c>
      <c r="I2129" s="1303">
        <v>6.0425037059857356E-2</v>
      </c>
      <c r="J2129" s="1288">
        <v>8.1485492655154618E-2</v>
      </c>
      <c r="K2129" s="1280">
        <v>0.7711163900528234</v>
      </c>
      <c r="L2129" s="1330">
        <v>0.17892511408601142</v>
      </c>
    </row>
    <row r="2130" spans="1:12" s="326" customFormat="1" ht="15.5" x14ac:dyDescent="0.35">
      <c r="A2130" s="328" t="s">
        <v>3094</v>
      </c>
      <c r="B2130" s="1291">
        <v>6.4265435684909805E-2</v>
      </c>
      <c r="C2130" s="1257">
        <v>6.832463957022801E-2</v>
      </c>
      <c r="D2130" s="1257">
        <v>7.1406039649899777E-2</v>
      </c>
      <c r="E2130" s="1280">
        <v>0.48009850758610118</v>
      </c>
      <c r="F2130" s="1303">
        <v>5.046475664141787E-2</v>
      </c>
      <c r="G2130" s="1288">
        <v>4.5786591362867862E-2</v>
      </c>
      <c r="H2130" s="1306">
        <v>0.43299676910116119</v>
      </c>
      <c r="I2130" s="1303">
        <v>6.0416162300132449E-2</v>
      </c>
      <c r="J2130" s="1288">
        <v>8.1450367818594202E-2</v>
      </c>
      <c r="K2130" s="1306">
        <v>0.5994563562544033</v>
      </c>
      <c r="L2130" s="1330">
        <v>0.16538469575991949</v>
      </c>
    </row>
    <row r="2131" spans="1:12" s="326" customFormat="1" ht="15.5" x14ac:dyDescent="0.35">
      <c r="A2131" s="328" t="s">
        <v>3095</v>
      </c>
      <c r="B2131" s="1291">
        <v>6.4265435684909805E-2</v>
      </c>
      <c r="C2131" s="1257">
        <v>6.832463957022801E-2</v>
      </c>
      <c r="D2131" s="1257">
        <v>7.1406039649899777E-2</v>
      </c>
      <c r="E2131" s="1280">
        <v>0.48009850758610118</v>
      </c>
      <c r="F2131" s="1303">
        <v>5.0262404143886212E-2</v>
      </c>
      <c r="G2131" s="1288">
        <v>4.423531607348595E-2</v>
      </c>
      <c r="H2131" s="1306">
        <v>0.44169016051036336</v>
      </c>
      <c r="I2131" s="1303">
        <v>6.040669725668104E-2</v>
      </c>
      <c r="J2131" s="1288">
        <v>8.1414216881841583E-2</v>
      </c>
      <c r="K2131" s="1306">
        <v>0.59946813836460822</v>
      </c>
      <c r="L2131" s="1330">
        <v>0.16538469575982337</v>
      </c>
    </row>
    <row r="2132" spans="1:12" s="326" customFormat="1" ht="15.5" x14ac:dyDescent="0.35">
      <c r="A2132" s="328" t="s">
        <v>3096</v>
      </c>
      <c r="B2132" s="1291">
        <v>6.4265435684909805E-2</v>
      </c>
      <c r="C2132" s="1257">
        <v>6.832463957022801E-2</v>
      </c>
      <c r="D2132" s="1257">
        <v>7.1406039649899777E-2</v>
      </c>
      <c r="E2132" s="1280">
        <v>0.48009850758610118</v>
      </c>
      <c r="F2132" s="1303">
        <v>5.0100837118724553E-2</v>
      </c>
      <c r="G2132" s="1288">
        <v>4.3655934310319215E-2</v>
      </c>
      <c r="H2132" s="1306">
        <v>0.45836862829939362</v>
      </c>
      <c r="I2132" s="1303">
        <v>6.0397351041487378E-2</v>
      </c>
      <c r="J2132" s="1288">
        <v>8.1378400331254527E-2</v>
      </c>
      <c r="K2132" s="1306">
        <v>0.59952338778042469</v>
      </c>
      <c r="L2132" s="1330">
        <v>0.16538469575984077</v>
      </c>
    </row>
    <row r="2133" spans="1:12" s="326" customFormat="1" ht="15.5" x14ac:dyDescent="0.35">
      <c r="A2133" s="328" t="s">
        <v>3097</v>
      </c>
      <c r="B2133" s="1291">
        <v>6.4265435684909805E-2</v>
      </c>
      <c r="C2133" s="1257">
        <v>6.832463957022801E-2</v>
      </c>
      <c r="D2133" s="1257">
        <v>7.1406039649899777E-2</v>
      </c>
      <c r="E2133" s="1280">
        <v>0.48009850758610118</v>
      </c>
      <c r="F2133" s="1303">
        <v>4.9918294728397428E-2</v>
      </c>
      <c r="G2133" s="1288">
        <v>4.3370553094204865E-2</v>
      </c>
      <c r="H2133" s="1306">
        <v>0.47440935136320511</v>
      </c>
      <c r="I2133" s="1303">
        <v>6.0388555525346027E-2</v>
      </c>
      <c r="J2133" s="1288">
        <v>8.1343598947608092E-2</v>
      </c>
      <c r="K2133" s="1306">
        <v>0.59954795255493842</v>
      </c>
      <c r="L2133" s="1330">
        <v>0.15942830233406652</v>
      </c>
    </row>
    <row r="2134" spans="1:12" s="326" customFormat="1" ht="15.5" x14ac:dyDescent="0.35">
      <c r="A2134" s="328" t="s">
        <v>3098</v>
      </c>
      <c r="B2134" s="1291">
        <v>6.4265435684909805E-2</v>
      </c>
      <c r="C2134" s="1257">
        <v>6.832463957022801E-2</v>
      </c>
      <c r="D2134" s="1257">
        <v>7.1406039649899777E-2</v>
      </c>
      <c r="E2134" s="1280">
        <v>0.48009850758610118</v>
      </c>
      <c r="F2134" s="1303">
        <v>4.9729315628521495E-2</v>
      </c>
      <c r="G2134" s="1288">
        <v>4.3111656549996186E-2</v>
      </c>
      <c r="H2134" s="1306">
        <v>0.48578054829725481</v>
      </c>
      <c r="I2134" s="1303">
        <v>6.0380038059359563E-2</v>
      </c>
      <c r="J2134" s="1288">
        <v>8.1308950617423284E-2</v>
      </c>
      <c r="K2134" s="1306">
        <v>0.59957985969848893</v>
      </c>
      <c r="L2134" s="1330">
        <v>0.15942830233406022</v>
      </c>
    </row>
    <row r="2135" spans="1:12" s="326" customFormat="1" ht="15.5" x14ac:dyDescent="0.35">
      <c r="A2135" s="328" t="s">
        <v>3099</v>
      </c>
      <c r="B2135" s="1291">
        <v>6.4265435684909805E-2</v>
      </c>
      <c r="C2135" s="1257">
        <v>6.832463957022801E-2</v>
      </c>
      <c r="D2135" s="1257">
        <v>7.1406039649899777E-2</v>
      </c>
      <c r="E2135" s="1280">
        <v>0.48009850758610118</v>
      </c>
      <c r="F2135" s="1303">
        <v>4.9515555515309985E-2</v>
      </c>
      <c r="G2135" s="1288">
        <v>4.2831564717230118E-2</v>
      </c>
      <c r="H2135" s="1306">
        <v>0.49393928388474606</v>
      </c>
      <c r="I2135" s="1303">
        <v>6.0371682100311387E-2</v>
      </c>
      <c r="J2135" s="1288">
        <v>8.127402019546362E-2</v>
      </c>
      <c r="K2135" s="1306">
        <v>0.59971116295810234</v>
      </c>
      <c r="L2135" s="1330">
        <v>0.15942830233406524</v>
      </c>
    </row>
    <row r="2136" spans="1:12" s="326" customFormat="1" ht="15.5" x14ac:dyDescent="0.35">
      <c r="A2136" s="328" t="s">
        <v>3100</v>
      </c>
      <c r="B2136" s="1291">
        <v>6.4265435684909805E-2</v>
      </c>
      <c r="C2136" s="1257">
        <v>6.832463957022801E-2</v>
      </c>
      <c r="D2136" s="1257">
        <v>7.1406039649899777E-2</v>
      </c>
      <c r="E2136" s="1280">
        <v>0.48009850758610118</v>
      </c>
      <c r="F2136" s="1303">
        <v>4.9287260632068723E-2</v>
      </c>
      <c r="G2136" s="1288">
        <v>4.2569465055841152E-2</v>
      </c>
      <c r="H2136" s="1306">
        <v>0.49968935623412652</v>
      </c>
      <c r="I2136" s="1303">
        <v>6.0363536545368364E-2</v>
      </c>
      <c r="J2136" s="1288">
        <v>8.1238862749561089E-2</v>
      </c>
      <c r="K2136" s="1306">
        <v>0.59980416874068143</v>
      </c>
      <c r="L2136" s="1330">
        <v>0.15942830233406968</v>
      </c>
    </row>
    <row r="2137" spans="1:12" s="326" customFormat="1" ht="15.5" x14ac:dyDescent="0.35">
      <c r="A2137" s="328" t="s">
        <v>3101</v>
      </c>
      <c r="B2137" s="1291">
        <v>6.4265435684909805E-2</v>
      </c>
      <c r="C2137" s="1257">
        <v>6.832463957022801E-2</v>
      </c>
      <c r="D2137" s="1257">
        <v>7.1406039649899777E-2</v>
      </c>
      <c r="E2137" s="1280">
        <v>0.48009850758610118</v>
      </c>
      <c r="F2137" s="1303">
        <v>4.8980009968704552E-2</v>
      </c>
      <c r="G2137" s="1288">
        <v>4.2265254926244257E-2</v>
      </c>
      <c r="H2137" s="1306">
        <v>0.50600805558710182</v>
      </c>
      <c r="I2137" s="1303">
        <v>6.035569298745503E-2</v>
      </c>
      <c r="J2137" s="1288">
        <v>8.1203798415671047E-2</v>
      </c>
      <c r="K2137" s="1306">
        <v>0.59985739503894198</v>
      </c>
      <c r="L2137" s="1330">
        <v>0.15942830233406352</v>
      </c>
    </row>
    <row r="2138" spans="1:12" s="326" customFormat="1" ht="15.5" x14ac:dyDescent="0.35">
      <c r="A2138" s="328" t="s">
        <v>3102</v>
      </c>
      <c r="B2138" s="1291">
        <v>6.4265435684909805E-2</v>
      </c>
      <c r="C2138" s="1257">
        <v>6.832463957022801E-2</v>
      </c>
      <c r="D2138" s="1257">
        <v>7.1406039649899777E-2</v>
      </c>
      <c r="E2138" s="1280">
        <v>0.48009850758610118</v>
      </c>
      <c r="F2138" s="1303">
        <v>4.8661665176534259E-2</v>
      </c>
      <c r="G2138" s="1288">
        <v>4.1982188668702243E-2</v>
      </c>
      <c r="H2138" s="1306">
        <v>0.51162022970588805</v>
      </c>
      <c r="I2138" s="1303">
        <v>6.034795636694993E-2</v>
      </c>
      <c r="J2138" s="1288">
        <v>8.116870929704148E-2</v>
      </c>
      <c r="K2138" s="1306">
        <v>0.59996548824773333</v>
      </c>
      <c r="L2138" s="1330">
        <v>0.15942830233406699</v>
      </c>
    </row>
    <row r="2139" spans="1:12" s="326" customFormat="1" ht="15.5" x14ac:dyDescent="0.35">
      <c r="A2139" s="328" t="s">
        <v>3103</v>
      </c>
      <c r="B2139" s="1291">
        <v>6.4265435684909805E-2</v>
      </c>
      <c r="C2139" s="1257">
        <v>6.832463957022801E-2</v>
      </c>
      <c r="D2139" s="1257">
        <v>7.1406039649899777E-2</v>
      </c>
      <c r="E2139" s="1280">
        <v>0.48009850758610118</v>
      </c>
      <c r="F2139" s="1303">
        <v>4.8307804749434247E-2</v>
      </c>
      <c r="G2139" s="1288">
        <v>4.1724135493623832E-2</v>
      </c>
      <c r="H2139" s="1306">
        <v>0.51670827341200365</v>
      </c>
      <c r="I2139" s="1303">
        <v>6.0340383141597412E-2</v>
      </c>
      <c r="J2139" s="1288">
        <v>8.1134108127506863E-2</v>
      </c>
      <c r="K2139" s="1306">
        <v>0.59999841741834592</v>
      </c>
      <c r="L2139" s="1330">
        <v>0.15942830233406516</v>
      </c>
    </row>
    <row r="2140" spans="1:12" s="326" customFormat="1" ht="15.5" x14ac:dyDescent="0.35">
      <c r="A2140" s="328" t="s">
        <v>3104</v>
      </c>
      <c r="B2140" s="1291">
        <v>6.4265435684909805E-2</v>
      </c>
      <c r="C2140" s="1257">
        <v>6.832463957022801E-2</v>
      </c>
      <c r="D2140" s="1257">
        <v>7.1406039649899777E-2</v>
      </c>
      <c r="E2140" s="1306">
        <v>1.8163785563633781</v>
      </c>
      <c r="F2140" s="1303">
        <v>4.7934095143629729E-2</v>
      </c>
      <c r="G2140" s="1288">
        <v>4.1464298483152563E-2</v>
      </c>
      <c r="H2140" s="1306">
        <v>0.52117973190732603</v>
      </c>
      <c r="I2140" s="1303">
        <v>6.0333080429045206E-2</v>
      </c>
      <c r="J2140" s="1288">
        <v>8.1100573278431481E-2</v>
      </c>
      <c r="K2140" s="1306">
        <v>0.60003173966338408</v>
      </c>
      <c r="L2140" s="1330">
        <v>0.15834733950186514</v>
      </c>
    </row>
    <row r="2141" spans="1:12" s="326" customFormat="1" ht="15.5" x14ac:dyDescent="0.35">
      <c r="A2141" s="328" t="s">
        <v>3105</v>
      </c>
      <c r="B2141" s="1291">
        <v>6.4265435684909805E-2</v>
      </c>
      <c r="C2141" s="1257">
        <v>6.832463957022801E-2</v>
      </c>
      <c r="D2141" s="1257">
        <v>7.1406039649899777E-2</v>
      </c>
      <c r="E2141" s="1306">
        <v>1.8998878604840304</v>
      </c>
      <c r="F2141" s="1303">
        <v>4.7484200381405384E-2</v>
      </c>
      <c r="G2141" s="1288">
        <v>4.1216740533042084E-2</v>
      </c>
      <c r="H2141" s="1306">
        <v>0.52512863112478514</v>
      </c>
      <c r="I2141" s="1303">
        <v>6.0325971865404109E-2</v>
      </c>
      <c r="J2141" s="1288">
        <v>8.1068156665622865E-2</v>
      </c>
      <c r="K2141" s="1306">
        <v>0.60010290697199031</v>
      </c>
      <c r="L2141" s="1330">
        <v>0.15737447295289081</v>
      </c>
    </row>
    <row r="2142" spans="1:12" s="326" customFormat="1" ht="15.5" x14ac:dyDescent="0.35">
      <c r="A2142" s="328" t="s">
        <v>3106</v>
      </c>
      <c r="B2142" s="1291">
        <v>6.4265435684909805E-2</v>
      </c>
      <c r="C2142" s="1257">
        <v>6.832463957022801E-2</v>
      </c>
      <c r="D2142" s="1257">
        <v>7.1406039649899777E-2</v>
      </c>
      <c r="E2142" s="1306">
        <v>1.9585972683089095</v>
      </c>
      <c r="F2142" s="1303">
        <v>4.7409540415947062E-2</v>
      </c>
      <c r="G2142" s="1288">
        <v>4.1162006870384266E-2</v>
      </c>
      <c r="H2142" s="1306">
        <v>0.52436921558823157</v>
      </c>
      <c r="I2142" s="1303">
        <v>6.0319015423441126E-2</v>
      </c>
      <c r="J2142" s="1288">
        <v>8.1036743684447146E-2</v>
      </c>
      <c r="K2142" s="1306">
        <v>0.60017703391987876</v>
      </c>
      <c r="L2142" s="1330">
        <v>0.15649889305881007</v>
      </c>
    </row>
    <row r="2143" spans="1:12" s="326" customFormat="1" ht="15.5" x14ac:dyDescent="0.35">
      <c r="A2143" s="328" t="s">
        <v>3107</v>
      </c>
      <c r="B2143" s="1291">
        <v>6.4265435684909805E-2</v>
      </c>
      <c r="C2143" s="1257">
        <v>6.832463957022801E-2</v>
      </c>
      <c r="D2143" s="1257">
        <v>7.1406039649899777E-2</v>
      </c>
      <c r="E2143" s="1306">
        <v>1.992278511822914</v>
      </c>
      <c r="F2143" s="1303">
        <v>4.7321696795886381E-2</v>
      </c>
      <c r="G2143" s="1288">
        <v>4.1108181379036345E-2</v>
      </c>
      <c r="H2143" s="1306">
        <v>0.52354262715086575</v>
      </c>
      <c r="I2143" s="1303">
        <v>6.0312041303593342E-2</v>
      </c>
      <c r="J2143" s="1288">
        <v>8.1005640766619771E-2</v>
      </c>
      <c r="K2143" s="1306">
        <v>0.60025510420183947</v>
      </c>
      <c r="L2143" s="1330">
        <v>0.15571087115414037</v>
      </c>
    </row>
    <row r="2144" spans="1:12" s="326" customFormat="1" ht="15.5" x14ac:dyDescent="0.35">
      <c r="A2144" s="328" t="s">
        <v>3108</v>
      </c>
      <c r="B2144" s="1287">
        <v>6.4265435684909805E-2</v>
      </c>
      <c r="C2144" s="1288">
        <v>6.832463957022801E-2</v>
      </c>
      <c r="D2144" s="1288">
        <v>8.5226293500462472E-2</v>
      </c>
      <c r="E2144" s="1306">
        <v>1.9380667153599387</v>
      </c>
      <c r="F2144" s="1303">
        <v>4.7266858396852338E-2</v>
      </c>
      <c r="G2144" s="1288">
        <v>4.1047770738628232E-2</v>
      </c>
      <c r="H2144" s="1306">
        <v>0.52274001197085729</v>
      </c>
      <c r="I2144" s="1303">
        <v>6.0304866424382896E-2</v>
      </c>
      <c r="J2144" s="1288">
        <v>8.0973901370599191E-2</v>
      </c>
      <c r="K2144" s="1306">
        <v>0.60034031614185934</v>
      </c>
      <c r="L2144" s="1330">
        <v>0.15500165143993566</v>
      </c>
    </row>
    <row r="2145" spans="1:12" s="326" customFormat="1" ht="15.5" x14ac:dyDescent="0.35">
      <c r="A2145" s="328" t="s">
        <v>3109</v>
      </c>
      <c r="B2145" s="1287">
        <v>6.4872577391815692E-2</v>
      </c>
      <c r="C2145" s="1288">
        <v>8.9682673190857543E-2</v>
      </c>
      <c r="D2145" s="1288">
        <v>7.0924192586304641E-2</v>
      </c>
      <c r="E2145" s="1306">
        <v>1.9272819444935527</v>
      </c>
      <c r="F2145" s="1303">
        <v>4.7185876057071065E-2</v>
      </c>
      <c r="G2145" s="1288">
        <v>4.0996860487390922E-2</v>
      </c>
      <c r="H2145" s="1306">
        <v>0.52196496918198898</v>
      </c>
      <c r="I2145" s="1303">
        <v>6.0297654584070791E-2</v>
      </c>
      <c r="J2145" s="1288">
        <v>8.0941261220933758E-2</v>
      </c>
      <c r="K2145" s="1306">
        <v>0.60039758708892677</v>
      </c>
      <c r="L2145" s="1330">
        <v>0.15436335369715046</v>
      </c>
    </row>
    <row r="2146" spans="1:12" s="326" customFormat="1" ht="15.5" x14ac:dyDescent="0.35">
      <c r="A2146" s="328" t="s">
        <v>3110</v>
      </c>
      <c r="B2146" s="1287">
        <v>6.4855016882013977E-2</v>
      </c>
      <c r="C2146" s="1288">
        <v>7.8769421083966451E-2</v>
      </c>
      <c r="D2146" s="1288">
        <v>7.5031470801508335E-2</v>
      </c>
      <c r="E2146" s="1306">
        <v>1.952639455263369</v>
      </c>
      <c r="F2146" s="1303">
        <v>4.7151759597825339E-2</v>
      </c>
      <c r="G2146" s="1288">
        <v>4.0960893308949878E-2</v>
      </c>
      <c r="H2146" s="1306">
        <v>0.52178688346707547</v>
      </c>
      <c r="I2146" s="1303">
        <v>6.0290218144901889E-2</v>
      </c>
      <c r="J2146" s="1288">
        <v>8.0906925953467351E-2</v>
      </c>
      <c r="K2146" s="1306">
        <v>0.60046961318386427</v>
      </c>
      <c r="L2146" s="1330">
        <v>0.15378888572864113</v>
      </c>
    </row>
    <row r="2147" spans="1:12" s="326" customFormat="1" ht="15.5" x14ac:dyDescent="0.35">
      <c r="A2147" s="328" t="s">
        <v>3111</v>
      </c>
      <c r="B2147" s="1287">
        <v>6.4694608205632151E-2</v>
      </c>
      <c r="C2147" s="1288">
        <v>8.5445237538669935E-2</v>
      </c>
      <c r="D2147" s="1288">
        <v>7.7762528328468611E-2</v>
      </c>
      <c r="E2147" s="1306">
        <v>1.9470736899080712</v>
      </c>
      <c r="F2147" s="1303">
        <v>4.7092216392103155E-2</v>
      </c>
      <c r="G2147" s="1288">
        <v>4.0927097860918332E-2</v>
      </c>
      <c r="H2147" s="1306">
        <v>0.52129971281433762</v>
      </c>
      <c r="I2147" s="1303">
        <v>6.028233398200937E-2</v>
      </c>
      <c r="J2147" s="1288">
        <v>8.0870602223660826E-2</v>
      </c>
      <c r="K2147" s="1306">
        <v>0.60057279618182957</v>
      </c>
      <c r="L2147" s="1330">
        <v>0.15378888572864508</v>
      </c>
    </row>
    <row r="2148" spans="1:12" s="326" customFormat="1" ht="15.5" x14ac:dyDescent="0.35">
      <c r="A2148" s="328" t="s">
        <v>3112</v>
      </c>
      <c r="B2148" s="1287">
        <v>6.5574321470483005E-2</v>
      </c>
      <c r="C2148" s="1288">
        <v>8.1991112230622179E-2</v>
      </c>
      <c r="D2148" s="1288">
        <v>8.930821755902324E-2</v>
      </c>
      <c r="E2148" s="1306">
        <v>1.9502561331844093</v>
      </c>
      <c r="F2148" s="1303">
        <v>4.7045970151418252E-2</v>
      </c>
      <c r="G2148" s="1288">
        <v>4.0889148611121424E-2</v>
      </c>
      <c r="H2148" s="1306">
        <v>0.52074809265651945</v>
      </c>
      <c r="I2148" s="1303">
        <v>6.0273919194146472E-2</v>
      </c>
      <c r="J2148" s="1288">
        <v>8.0833116115350809E-2</v>
      </c>
      <c r="K2148" s="1306">
        <v>0.60067082571896935</v>
      </c>
      <c r="L2148" s="1330">
        <v>0.15378888572864302</v>
      </c>
    </row>
    <row r="2149" spans="1:12" s="326" customFormat="1" ht="15.5" x14ac:dyDescent="0.35">
      <c r="A2149" s="328" t="s">
        <v>3113</v>
      </c>
      <c r="B2149" s="1287">
        <v>6.4745552412161109E-2</v>
      </c>
      <c r="C2149" s="1288">
        <v>8.1610527079528275E-2</v>
      </c>
      <c r="D2149" s="1288">
        <v>7.8955171309489092E-2</v>
      </c>
      <c r="E2149" s="1306">
        <v>1.9289103696684387</v>
      </c>
      <c r="F2149" s="1303">
        <v>4.6976175699510576E-2</v>
      </c>
      <c r="G2149" s="1288">
        <v>4.0840951106796225E-2</v>
      </c>
      <c r="H2149" s="1306">
        <v>0.51980663351032608</v>
      </c>
      <c r="I2149" s="1303">
        <v>6.0264579141688659E-2</v>
      </c>
      <c r="J2149" s="1288">
        <v>8.0795470201288896E-2</v>
      </c>
      <c r="K2149" s="1306">
        <v>0.60080455668289667</v>
      </c>
      <c r="L2149" s="1330">
        <v>0.15378888572864344</v>
      </c>
    </row>
    <row r="2150" spans="1:12" s="326" customFormat="1" ht="15.5" x14ac:dyDescent="0.35">
      <c r="A2150" s="328" t="s">
        <v>3114</v>
      </c>
      <c r="B2150" s="1287">
        <v>6.4819542680866454E-2</v>
      </c>
      <c r="C2150" s="1288">
        <v>7.9254626356650551E-2</v>
      </c>
      <c r="D2150" s="1288">
        <v>7.9098249488308153E-2</v>
      </c>
      <c r="E2150" s="1306">
        <v>1.9568307432865633</v>
      </c>
      <c r="F2150" s="1303">
        <v>4.6961260199854374E-2</v>
      </c>
      <c r="G2150" s="1288">
        <v>4.0821228356992513E-2</v>
      </c>
      <c r="H2150" s="1306">
        <v>0.51972492341150844</v>
      </c>
      <c r="I2150" s="1303">
        <v>6.0254132091047755E-2</v>
      </c>
      <c r="J2150" s="1288">
        <v>8.0759390543027554E-2</v>
      </c>
      <c r="K2150" s="1306">
        <v>0.60096476612211214</v>
      </c>
      <c r="L2150" s="1330">
        <v>0.15378888572864388</v>
      </c>
    </row>
    <row r="2151" spans="1:12" s="326" customFormat="1" ht="15.5" x14ac:dyDescent="0.35">
      <c r="A2151" s="328" t="s">
        <v>3115</v>
      </c>
      <c r="B2151" s="1287">
        <v>6.4775751378659749E-2</v>
      </c>
      <c r="C2151" s="1288">
        <v>8.657212850416067E-2</v>
      </c>
      <c r="D2151" s="1288">
        <v>7.6699819984927767E-2</v>
      </c>
      <c r="E2151" s="1306">
        <v>1.947369219663164</v>
      </c>
      <c r="F2151" s="1303">
        <v>4.6960136618743188E-2</v>
      </c>
      <c r="G2151" s="1288">
        <v>4.0801214128457074E-2</v>
      </c>
      <c r="H2151" s="1306">
        <v>0.51959843800550365</v>
      </c>
      <c r="I2151" s="1303">
        <v>6.0241700292341611E-2</v>
      </c>
      <c r="J2151" s="1288">
        <v>8.0723961057959329E-2</v>
      </c>
      <c r="K2151" s="1306">
        <v>0.60113336548890239</v>
      </c>
      <c r="L2151" s="1330">
        <v>0.15378888572864335</v>
      </c>
    </row>
    <row r="2152" spans="1:12" s="326" customFormat="1" ht="15.5" x14ac:dyDescent="0.35">
      <c r="A2152" s="328" t="s">
        <v>3116</v>
      </c>
      <c r="B2152" s="1287">
        <v>6.4546147903546847E-2</v>
      </c>
      <c r="C2152" s="1288">
        <v>7.4226566354162096E-2</v>
      </c>
      <c r="D2152" s="1288">
        <v>8.1836420675046373E-2</v>
      </c>
      <c r="E2152" s="1306">
        <v>1.9734931130460169</v>
      </c>
      <c r="F2152" s="1303">
        <v>4.6920631036832694E-2</v>
      </c>
      <c r="G2152" s="1288">
        <v>4.0772272349324359E-2</v>
      </c>
      <c r="H2152" s="1306">
        <v>0.51893679871518628</v>
      </c>
      <c r="I2152" s="1303">
        <v>6.0226486449522859E-2</v>
      </c>
      <c r="J2152" s="1288">
        <v>8.0684607562029123E-2</v>
      </c>
      <c r="K2152" s="1306">
        <v>0.60130326236160825</v>
      </c>
      <c r="L2152" s="1330">
        <v>0.1537888857286426</v>
      </c>
    </row>
    <row r="2153" spans="1:12" s="326" customFormat="1" ht="15.5" x14ac:dyDescent="0.35">
      <c r="A2153" s="328" t="s">
        <v>3117</v>
      </c>
      <c r="B2153" s="1287">
        <v>6.464286230624694E-2</v>
      </c>
      <c r="C2153" s="1288">
        <v>8.8660944034619396E-2</v>
      </c>
      <c r="D2153" s="1288">
        <v>8.0360401601757975E-2</v>
      </c>
      <c r="E2153" s="1306">
        <v>1.8748795129581042</v>
      </c>
      <c r="F2153" s="1303">
        <v>4.6895311466151335E-2</v>
      </c>
      <c r="G2153" s="1288">
        <v>4.0726541642072914E-2</v>
      </c>
      <c r="H2153" s="1306">
        <v>0.51801892846187148</v>
      </c>
      <c r="I2153" s="1303">
        <v>6.0206377218958849E-2</v>
      </c>
      <c r="J2153" s="1288">
        <v>8.0625987492699086E-2</v>
      </c>
      <c r="K2153" s="1306">
        <v>0.60142201704103426</v>
      </c>
      <c r="L2153" s="1330">
        <v>0.15378888572864405</v>
      </c>
    </row>
    <row r="2154" spans="1:12" s="326" customFormat="1" ht="15.5" x14ac:dyDescent="0.35">
      <c r="A2154" s="328" t="s">
        <v>3118</v>
      </c>
      <c r="B2154" s="1287">
        <v>6.4006865766613713E-2</v>
      </c>
      <c r="C2154" s="1288">
        <v>8.0531842147410715E-2</v>
      </c>
      <c r="D2154" s="1288">
        <v>7.3774697548605009E-2</v>
      </c>
      <c r="E2154" s="1306">
        <v>1.929633869277338</v>
      </c>
      <c r="F2154" s="1303">
        <v>4.6395372692573017E-2</v>
      </c>
      <c r="G2154" s="1288">
        <v>4.0462960713589263E-2</v>
      </c>
      <c r="H2154" s="1306">
        <v>0.50875253985118529</v>
      </c>
      <c r="I2154" s="1303">
        <v>6.017588443137651E-2</v>
      </c>
      <c r="J2154" s="1288">
        <v>8.0511733079820999E-2</v>
      </c>
      <c r="K2154" s="1306">
        <v>0.60117065023426175</v>
      </c>
      <c r="L2154" s="1330">
        <v>0.1537895414264758</v>
      </c>
    </row>
    <row r="2155" spans="1:12" s="326" customFormat="1" ht="15.5" x14ac:dyDescent="0.35">
      <c r="A2155" s="328" t="s">
        <v>3119</v>
      </c>
      <c r="B2155" s="1291">
        <v>6.4006865766613713E-2</v>
      </c>
      <c r="C2155" s="1257">
        <v>8.0531842147410715E-2</v>
      </c>
      <c r="D2155" s="1257">
        <v>7.3774697548605009E-2</v>
      </c>
      <c r="E2155" s="1280">
        <v>1.929633869277338</v>
      </c>
      <c r="F2155" s="1271">
        <v>4.6395372692573017E-2</v>
      </c>
      <c r="G2155" s="1257">
        <v>4.0462960713589263E-2</v>
      </c>
      <c r="H2155" s="1280">
        <v>0.50875253985118529</v>
      </c>
      <c r="I2155" s="1271">
        <v>6.017588443137651E-2</v>
      </c>
      <c r="J2155" s="1257">
        <v>8.0511733079820999E-2</v>
      </c>
      <c r="K2155" s="1280">
        <v>0.60117065023426175</v>
      </c>
      <c r="L2155" s="1330">
        <v>0.16102408387857348</v>
      </c>
    </row>
    <row r="2156" spans="1:12" s="326" customFormat="1" ht="15.5" x14ac:dyDescent="0.35">
      <c r="A2156" s="328" t="s">
        <v>3120</v>
      </c>
      <c r="B2156" s="1291">
        <v>6.4872577391815692E-2</v>
      </c>
      <c r="C2156" s="1257">
        <v>8.9684614309495092E-2</v>
      </c>
      <c r="D2156" s="1257">
        <v>7.2080641546461877E-2</v>
      </c>
      <c r="E2156" s="1280">
        <v>0.48463419343763647</v>
      </c>
      <c r="F2156" s="1271">
        <v>4.9965976778029886E-2</v>
      </c>
      <c r="G2156" s="1257">
        <v>7.2243553581578274E-2</v>
      </c>
      <c r="H2156" s="1280">
        <v>0.68365774602567098</v>
      </c>
      <c r="I2156" s="1271">
        <v>6.9552568439328111E-2</v>
      </c>
      <c r="J2156" s="1257">
        <v>0.13033468160558423</v>
      </c>
      <c r="K2156" s="1280">
        <v>1.2333877590175508</v>
      </c>
      <c r="L2156" s="1237">
        <v>0.17426989804284726</v>
      </c>
    </row>
    <row r="2157" spans="1:12" s="326" customFormat="1" ht="15.5" x14ac:dyDescent="0.35">
      <c r="A2157" s="328" t="s">
        <v>3121</v>
      </c>
      <c r="B2157" s="1291">
        <v>6.4872577391815692E-2</v>
      </c>
      <c r="C2157" s="1257">
        <v>8.9684614309495092E-2</v>
      </c>
      <c r="D2157" s="1257">
        <v>7.2080641546461877E-2</v>
      </c>
      <c r="E2157" s="1280">
        <v>0.48463419343763647</v>
      </c>
      <c r="F2157" s="1271">
        <v>4.9965976778029886E-2</v>
      </c>
      <c r="G2157" s="1257">
        <v>7.2243553581578274E-2</v>
      </c>
      <c r="H2157" s="1280">
        <v>0.68365774602567098</v>
      </c>
      <c r="I2157" s="1271">
        <v>6.9552568439328111E-2</v>
      </c>
      <c r="J2157" s="1257">
        <v>0.13033468160558423</v>
      </c>
      <c r="K2157" s="1280">
        <v>1.2333877590175508</v>
      </c>
      <c r="L2157" s="1237">
        <v>0.17426989804284726</v>
      </c>
    </row>
    <row r="2158" spans="1:12" s="326" customFormat="1" ht="15.5" x14ac:dyDescent="0.35">
      <c r="A2158" s="328" t="s">
        <v>3122</v>
      </c>
      <c r="B2158" s="1291">
        <v>6.4872577391815692E-2</v>
      </c>
      <c r="C2158" s="1257">
        <v>8.9684614309495092E-2</v>
      </c>
      <c r="D2158" s="1257">
        <v>7.2080641546461877E-2</v>
      </c>
      <c r="E2158" s="1280">
        <v>0.48463419343763647</v>
      </c>
      <c r="F2158" s="1271">
        <v>4.9965976778029886E-2</v>
      </c>
      <c r="G2158" s="1257">
        <v>7.2243553581578274E-2</v>
      </c>
      <c r="H2158" s="1280">
        <v>0.68365774602567098</v>
      </c>
      <c r="I2158" s="1271">
        <v>6.9552568439328111E-2</v>
      </c>
      <c r="J2158" s="1257">
        <v>0.13033468160558423</v>
      </c>
      <c r="K2158" s="1280">
        <v>1.2333877590175508</v>
      </c>
      <c r="L2158" s="1237">
        <v>0.17426989804284726</v>
      </c>
    </row>
    <row r="2159" spans="1:12" s="326" customFormat="1" ht="15.5" x14ac:dyDescent="0.35">
      <c r="A2159" s="328" t="s">
        <v>3123</v>
      </c>
      <c r="B2159" s="1291">
        <v>6.4872577391815692E-2</v>
      </c>
      <c r="C2159" s="1257">
        <v>8.9684614309495092E-2</v>
      </c>
      <c r="D2159" s="1257">
        <v>7.2080641546461877E-2</v>
      </c>
      <c r="E2159" s="1280">
        <v>0.48463419343763647</v>
      </c>
      <c r="F2159" s="1271">
        <v>4.9965976778029886E-2</v>
      </c>
      <c r="G2159" s="1257">
        <v>7.2243553581578274E-2</v>
      </c>
      <c r="H2159" s="1280">
        <v>0.68365774602567098</v>
      </c>
      <c r="I2159" s="1271">
        <v>6.9552568439328111E-2</v>
      </c>
      <c r="J2159" s="1257">
        <v>0.13033468160558423</v>
      </c>
      <c r="K2159" s="1280">
        <v>1.2333877590175508</v>
      </c>
      <c r="L2159" s="1237">
        <v>0.17426989804284726</v>
      </c>
    </row>
    <row r="2160" spans="1:12" s="326" customFormat="1" ht="15.5" x14ac:dyDescent="0.35">
      <c r="A2160" s="328" t="s">
        <v>3124</v>
      </c>
      <c r="B2160" s="1291">
        <v>6.4872577391815692E-2</v>
      </c>
      <c r="C2160" s="1257">
        <v>8.9684614309495092E-2</v>
      </c>
      <c r="D2160" s="1257">
        <v>7.2080641546461877E-2</v>
      </c>
      <c r="E2160" s="1280">
        <v>0.48463419343763647</v>
      </c>
      <c r="F2160" s="1271">
        <v>4.9965976778029886E-2</v>
      </c>
      <c r="G2160" s="1257">
        <v>7.2243553581578274E-2</v>
      </c>
      <c r="H2160" s="1280">
        <v>0.68365774602567098</v>
      </c>
      <c r="I2160" s="1271">
        <v>6.9552568439328111E-2</v>
      </c>
      <c r="J2160" s="1257">
        <v>0.13033468160558423</v>
      </c>
      <c r="K2160" s="1280">
        <v>1.2333877590175508</v>
      </c>
      <c r="L2160" s="1237">
        <v>0.17426989804284726</v>
      </c>
    </row>
    <row r="2161" spans="1:12" s="326" customFormat="1" ht="15.5" x14ac:dyDescent="0.35">
      <c r="A2161" s="328" t="s">
        <v>3125</v>
      </c>
      <c r="B2161" s="1291">
        <v>6.4872577391815692E-2</v>
      </c>
      <c r="C2161" s="1257">
        <v>8.9684614309495092E-2</v>
      </c>
      <c r="D2161" s="1257">
        <v>7.2080641546461877E-2</v>
      </c>
      <c r="E2161" s="1280">
        <v>0.48463419343763647</v>
      </c>
      <c r="F2161" s="1271">
        <v>4.9965976778029886E-2</v>
      </c>
      <c r="G2161" s="1257">
        <v>7.2243553581578274E-2</v>
      </c>
      <c r="H2161" s="1280">
        <v>0.68365774602567098</v>
      </c>
      <c r="I2161" s="1271">
        <v>6.9552568439328111E-2</v>
      </c>
      <c r="J2161" s="1257">
        <v>0.13033468160558423</v>
      </c>
      <c r="K2161" s="1280">
        <v>1.2333877590175508</v>
      </c>
      <c r="L2161" s="1237">
        <v>0.17426989804284726</v>
      </c>
    </row>
    <row r="2162" spans="1:12" s="326" customFormat="1" ht="15.5" x14ac:dyDescent="0.35">
      <c r="A2162" s="328" t="s">
        <v>3126</v>
      </c>
      <c r="B2162" s="1291">
        <v>6.4872577391815692E-2</v>
      </c>
      <c r="C2162" s="1257">
        <v>8.9684614309495092E-2</v>
      </c>
      <c r="D2162" s="1257">
        <v>7.2080641546461877E-2</v>
      </c>
      <c r="E2162" s="1280">
        <v>0.48463419343763647</v>
      </c>
      <c r="F2162" s="1271">
        <v>4.9965976778029886E-2</v>
      </c>
      <c r="G2162" s="1257">
        <v>7.2243553581578274E-2</v>
      </c>
      <c r="H2162" s="1280">
        <v>0.68365774602567098</v>
      </c>
      <c r="I2162" s="1271">
        <v>6.9552568439328111E-2</v>
      </c>
      <c r="J2162" s="1257">
        <v>0.13033468160558423</v>
      </c>
      <c r="K2162" s="1280">
        <v>1.2333877590175508</v>
      </c>
      <c r="L2162" s="1237">
        <v>0.17426989804284726</v>
      </c>
    </row>
    <row r="2163" spans="1:12" s="326" customFormat="1" ht="15.5" x14ac:dyDescent="0.35">
      <c r="A2163" s="328" t="s">
        <v>3127</v>
      </c>
      <c r="B2163" s="1291">
        <v>6.4872577391815692E-2</v>
      </c>
      <c r="C2163" s="1257">
        <v>8.9684614309495092E-2</v>
      </c>
      <c r="D2163" s="1257">
        <v>7.2080641546461877E-2</v>
      </c>
      <c r="E2163" s="1280">
        <v>0.48463419343763647</v>
      </c>
      <c r="F2163" s="1271">
        <v>4.9965976778029886E-2</v>
      </c>
      <c r="G2163" s="1257">
        <v>7.2243553581578274E-2</v>
      </c>
      <c r="H2163" s="1280">
        <v>0.68365774602567098</v>
      </c>
      <c r="I2163" s="1271">
        <v>6.9552568439328111E-2</v>
      </c>
      <c r="J2163" s="1257">
        <v>0.13033468160558423</v>
      </c>
      <c r="K2163" s="1280">
        <v>1.2333877590175508</v>
      </c>
      <c r="L2163" s="1237">
        <v>0.17426989804284726</v>
      </c>
    </row>
    <row r="2164" spans="1:12" s="326" customFormat="1" ht="15.5" x14ac:dyDescent="0.35">
      <c r="A2164" s="328" t="s">
        <v>3128</v>
      </c>
      <c r="B2164" s="1291">
        <v>6.4872577391815692E-2</v>
      </c>
      <c r="C2164" s="1257">
        <v>8.9684614309495092E-2</v>
      </c>
      <c r="D2164" s="1257">
        <v>7.2080641546461877E-2</v>
      </c>
      <c r="E2164" s="1280">
        <v>0.48463419343763647</v>
      </c>
      <c r="F2164" s="1271">
        <v>4.9965976778029886E-2</v>
      </c>
      <c r="G2164" s="1257">
        <v>7.2243553581578274E-2</v>
      </c>
      <c r="H2164" s="1280">
        <v>0.68365774602567098</v>
      </c>
      <c r="I2164" s="1271">
        <v>6.9552568439328111E-2</v>
      </c>
      <c r="J2164" s="1257">
        <v>0.13033468160558423</v>
      </c>
      <c r="K2164" s="1280">
        <v>1.2333877590175508</v>
      </c>
      <c r="L2164" s="1237">
        <v>0.17426989804284726</v>
      </c>
    </row>
    <row r="2165" spans="1:12" s="326" customFormat="1" ht="15.5" x14ac:dyDescent="0.35">
      <c r="A2165" s="328" t="s">
        <v>3129</v>
      </c>
      <c r="B2165" s="1291">
        <v>6.4872577391815692E-2</v>
      </c>
      <c r="C2165" s="1257">
        <v>8.9684614309495092E-2</v>
      </c>
      <c r="D2165" s="1257">
        <v>7.2080641546461877E-2</v>
      </c>
      <c r="E2165" s="1280">
        <v>0.48463419343763647</v>
      </c>
      <c r="F2165" s="1271">
        <v>4.9965976778029886E-2</v>
      </c>
      <c r="G2165" s="1257">
        <v>7.2243553581578274E-2</v>
      </c>
      <c r="H2165" s="1280">
        <v>0.68365774602567098</v>
      </c>
      <c r="I2165" s="1271">
        <v>6.9552568439328111E-2</v>
      </c>
      <c r="J2165" s="1257">
        <v>0.13033468160558423</v>
      </c>
      <c r="K2165" s="1280">
        <v>1.2333877590175508</v>
      </c>
      <c r="L2165" s="1237">
        <v>0.17426989804284726</v>
      </c>
    </row>
    <row r="2166" spans="1:12" s="326" customFormat="1" ht="15.5" x14ac:dyDescent="0.35">
      <c r="A2166" s="328" t="s">
        <v>3130</v>
      </c>
      <c r="B2166" s="1291">
        <v>6.4872577391815692E-2</v>
      </c>
      <c r="C2166" s="1257">
        <v>8.9684614309495092E-2</v>
      </c>
      <c r="D2166" s="1257">
        <v>7.2080641546461877E-2</v>
      </c>
      <c r="E2166" s="1280">
        <v>0.48463419343763647</v>
      </c>
      <c r="F2166" s="1271">
        <v>4.9965976778029886E-2</v>
      </c>
      <c r="G2166" s="1257">
        <v>7.2243553581578274E-2</v>
      </c>
      <c r="H2166" s="1280">
        <v>0.68365774602567098</v>
      </c>
      <c r="I2166" s="1271">
        <v>6.9552568439328111E-2</v>
      </c>
      <c r="J2166" s="1257">
        <v>0.13033468160558423</v>
      </c>
      <c r="K2166" s="1280">
        <v>1.2333877590175508</v>
      </c>
      <c r="L2166" s="1237">
        <v>0.17426989804284726</v>
      </c>
    </row>
    <row r="2167" spans="1:12" s="326" customFormat="1" ht="15.5" x14ac:dyDescent="0.35">
      <c r="A2167" s="328" t="s">
        <v>3131</v>
      </c>
      <c r="B2167" s="1291">
        <v>6.4872577391815692E-2</v>
      </c>
      <c r="C2167" s="1257">
        <v>8.9684614309495092E-2</v>
      </c>
      <c r="D2167" s="1257">
        <v>7.2080641546461877E-2</v>
      </c>
      <c r="E2167" s="1280">
        <v>0.48463419343763647</v>
      </c>
      <c r="F2167" s="1271">
        <v>4.9965976778029886E-2</v>
      </c>
      <c r="G2167" s="1257">
        <v>7.2243553581578274E-2</v>
      </c>
      <c r="H2167" s="1280">
        <v>0.68365774602567098</v>
      </c>
      <c r="I2167" s="1271">
        <v>6.9552568439328111E-2</v>
      </c>
      <c r="J2167" s="1257">
        <v>0.13033468160558423</v>
      </c>
      <c r="K2167" s="1280">
        <v>1.2333877590175508</v>
      </c>
      <c r="L2167" s="1237">
        <v>0.17426989804284726</v>
      </c>
    </row>
    <row r="2168" spans="1:12" s="326" customFormat="1" ht="15.5" x14ac:dyDescent="0.35">
      <c r="A2168" s="328" t="s">
        <v>3132</v>
      </c>
      <c r="B2168" s="1291">
        <v>6.4872577391815692E-2</v>
      </c>
      <c r="C2168" s="1257">
        <v>8.9684614309495092E-2</v>
      </c>
      <c r="D2168" s="1257">
        <v>7.2080641546461877E-2</v>
      </c>
      <c r="E2168" s="1280">
        <v>0.48463419343763647</v>
      </c>
      <c r="F2168" s="1271">
        <v>4.9965976778029886E-2</v>
      </c>
      <c r="G2168" s="1257">
        <v>7.2243553581578274E-2</v>
      </c>
      <c r="H2168" s="1280">
        <v>0.68365774602567098</v>
      </c>
      <c r="I2168" s="1271">
        <v>6.9552568439328111E-2</v>
      </c>
      <c r="J2168" s="1257">
        <v>0.13033468160558423</v>
      </c>
      <c r="K2168" s="1280">
        <v>1.2333877590175508</v>
      </c>
      <c r="L2168" s="1237">
        <v>0.17426989804284726</v>
      </c>
    </row>
    <row r="2169" spans="1:12" s="326" customFormat="1" ht="15.5" x14ac:dyDescent="0.35">
      <c r="A2169" s="328" t="s">
        <v>3133</v>
      </c>
      <c r="B2169" s="1291">
        <v>6.4872577391815692E-2</v>
      </c>
      <c r="C2169" s="1257">
        <v>8.9684614309495092E-2</v>
      </c>
      <c r="D2169" s="1257">
        <v>7.2080641546461877E-2</v>
      </c>
      <c r="E2169" s="1280">
        <v>0.48463419343763647</v>
      </c>
      <c r="F2169" s="1271">
        <v>4.9965976778029886E-2</v>
      </c>
      <c r="G2169" s="1257">
        <v>7.2243553581578274E-2</v>
      </c>
      <c r="H2169" s="1280">
        <v>0.68365774602567098</v>
      </c>
      <c r="I2169" s="1271">
        <v>6.9552568439328111E-2</v>
      </c>
      <c r="J2169" s="1257">
        <v>0.13033468160558423</v>
      </c>
      <c r="K2169" s="1280">
        <v>1.2333877590175508</v>
      </c>
      <c r="L2169" s="1237">
        <v>0.17426989804284726</v>
      </c>
    </row>
    <row r="2170" spans="1:12" s="326" customFormat="1" ht="15.5" x14ac:dyDescent="0.35">
      <c r="A2170" s="328" t="s">
        <v>3134</v>
      </c>
      <c r="B2170" s="1291">
        <v>6.4872577391815692E-2</v>
      </c>
      <c r="C2170" s="1257">
        <v>8.9684614309495092E-2</v>
      </c>
      <c r="D2170" s="1257">
        <v>7.2080641546461877E-2</v>
      </c>
      <c r="E2170" s="1280">
        <v>0.48463419343763647</v>
      </c>
      <c r="F2170" s="1271">
        <v>4.9965976778029886E-2</v>
      </c>
      <c r="G2170" s="1257">
        <v>7.2243553581578274E-2</v>
      </c>
      <c r="H2170" s="1280">
        <v>0.68365774602567098</v>
      </c>
      <c r="I2170" s="1271">
        <v>6.9552568439328111E-2</v>
      </c>
      <c r="J2170" s="1257">
        <v>0.13033468160558423</v>
      </c>
      <c r="K2170" s="1280">
        <v>1.2333877590175508</v>
      </c>
      <c r="L2170" s="1237">
        <v>0.17426989804284726</v>
      </c>
    </row>
    <row r="2171" spans="1:12" s="326" customFormat="1" ht="15.5" x14ac:dyDescent="0.35">
      <c r="A2171" s="328" t="s">
        <v>3135</v>
      </c>
      <c r="B2171" s="1291">
        <v>6.4872577391815692E-2</v>
      </c>
      <c r="C2171" s="1257">
        <v>8.9684614309495092E-2</v>
      </c>
      <c r="D2171" s="1257">
        <v>7.2080641546461877E-2</v>
      </c>
      <c r="E2171" s="1280">
        <v>0.48463419343763647</v>
      </c>
      <c r="F2171" s="1271">
        <v>4.9965976778029886E-2</v>
      </c>
      <c r="G2171" s="1257">
        <v>7.2243553581578274E-2</v>
      </c>
      <c r="H2171" s="1280">
        <v>0.68365774602567098</v>
      </c>
      <c r="I2171" s="1271">
        <v>6.9552568439328111E-2</v>
      </c>
      <c r="J2171" s="1257">
        <v>0.13033468160558423</v>
      </c>
      <c r="K2171" s="1280">
        <v>1.2333877590175508</v>
      </c>
      <c r="L2171" s="1237">
        <v>0.17426989804284726</v>
      </c>
    </row>
    <row r="2172" spans="1:12" s="326" customFormat="1" ht="15.5" x14ac:dyDescent="0.35">
      <c r="A2172" s="328" t="s">
        <v>3136</v>
      </c>
      <c r="B2172" s="1291">
        <v>6.4872577391815692E-2</v>
      </c>
      <c r="C2172" s="1257">
        <v>8.9684614309495092E-2</v>
      </c>
      <c r="D2172" s="1257">
        <v>7.2080641546461877E-2</v>
      </c>
      <c r="E2172" s="1280">
        <v>0.48463419343763647</v>
      </c>
      <c r="F2172" s="1271">
        <v>4.9965976778029886E-2</v>
      </c>
      <c r="G2172" s="1257">
        <v>7.2243553581578274E-2</v>
      </c>
      <c r="H2172" s="1280">
        <v>0.68365774602567098</v>
      </c>
      <c r="I2172" s="1271">
        <v>6.9552568439328111E-2</v>
      </c>
      <c r="J2172" s="1257">
        <v>0.13033468160558423</v>
      </c>
      <c r="K2172" s="1280">
        <v>1.2333877590175508</v>
      </c>
      <c r="L2172" s="1237">
        <v>0.17426989804284726</v>
      </c>
    </row>
    <row r="2173" spans="1:12" s="326" customFormat="1" ht="15.5" x14ac:dyDescent="0.35">
      <c r="A2173" s="328" t="s">
        <v>3137</v>
      </c>
      <c r="B2173" s="1291">
        <v>6.4872577391815692E-2</v>
      </c>
      <c r="C2173" s="1257">
        <v>8.9684614309495092E-2</v>
      </c>
      <c r="D2173" s="1257">
        <v>7.2080641546461877E-2</v>
      </c>
      <c r="E2173" s="1280">
        <v>0.48463419343763647</v>
      </c>
      <c r="F2173" s="1271">
        <v>4.9965976778029886E-2</v>
      </c>
      <c r="G2173" s="1257">
        <v>7.2243553581578274E-2</v>
      </c>
      <c r="H2173" s="1280">
        <v>0.68365774602567098</v>
      </c>
      <c r="I2173" s="1271">
        <v>6.9552568439328111E-2</v>
      </c>
      <c r="J2173" s="1257">
        <v>0.13033468160558423</v>
      </c>
      <c r="K2173" s="1280">
        <v>1.2333877590175508</v>
      </c>
      <c r="L2173" s="1237">
        <v>0.17426989804284726</v>
      </c>
    </row>
    <row r="2174" spans="1:12" s="326" customFormat="1" ht="15.5" x14ac:dyDescent="0.35">
      <c r="A2174" s="328" t="s">
        <v>3138</v>
      </c>
      <c r="B2174" s="1291">
        <v>6.4872577391815692E-2</v>
      </c>
      <c r="C2174" s="1257">
        <v>8.9684614309495092E-2</v>
      </c>
      <c r="D2174" s="1257">
        <v>7.2080641546461877E-2</v>
      </c>
      <c r="E2174" s="1280">
        <v>0.48463419343763647</v>
      </c>
      <c r="F2174" s="1271">
        <v>4.9965976778029886E-2</v>
      </c>
      <c r="G2174" s="1257">
        <v>7.2243553581578274E-2</v>
      </c>
      <c r="H2174" s="1280">
        <v>0.68365774602567098</v>
      </c>
      <c r="I2174" s="1271">
        <v>6.9552568439328111E-2</v>
      </c>
      <c r="J2174" s="1257">
        <v>0.13033468160558423</v>
      </c>
      <c r="K2174" s="1280">
        <v>1.2333877590175508</v>
      </c>
      <c r="L2174" s="1237">
        <v>0.17426989804284726</v>
      </c>
    </row>
    <row r="2175" spans="1:12" s="326" customFormat="1" ht="15.5" x14ac:dyDescent="0.35">
      <c r="A2175" s="328" t="s">
        <v>3139</v>
      </c>
      <c r="B2175" s="1291">
        <v>6.4872577391815692E-2</v>
      </c>
      <c r="C2175" s="1257">
        <v>8.9684614309495092E-2</v>
      </c>
      <c r="D2175" s="1257">
        <v>7.2080641546461877E-2</v>
      </c>
      <c r="E2175" s="1280">
        <v>0.48463419343763647</v>
      </c>
      <c r="F2175" s="1271">
        <v>4.9965976778029886E-2</v>
      </c>
      <c r="G2175" s="1257">
        <v>7.2243553581578274E-2</v>
      </c>
      <c r="H2175" s="1280">
        <v>0.68365774602567098</v>
      </c>
      <c r="I2175" s="1271">
        <v>6.9552568439328111E-2</v>
      </c>
      <c r="J2175" s="1257">
        <v>0.13033468160558423</v>
      </c>
      <c r="K2175" s="1280">
        <v>1.2333877590175508</v>
      </c>
      <c r="L2175" s="1237">
        <v>0.17426989804284726</v>
      </c>
    </row>
    <row r="2176" spans="1:12" s="326" customFormat="1" ht="15.5" x14ac:dyDescent="0.35">
      <c r="A2176" s="328" t="s">
        <v>3140</v>
      </c>
      <c r="B2176" s="1291">
        <v>6.4872577391815692E-2</v>
      </c>
      <c r="C2176" s="1257">
        <v>8.9684614309495092E-2</v>
      </c>
      <c r="D2176" s="1257">
        <v>7.2080641546461877E-2</v>
      </c>
      <c r="E2176" s="1280">
        <v>0.48463419343763647</v>
      </c>
      <c r="F2176" s="1271">
        <v>4.9965976778029886E-2</v>
      </c>
      <c r="G2176" s="1257">
        <v>7.2243553581578274E-2</v>
      </c>
      <c r="H2176" s="1280">
        <v>0.68365774602567098</v>
      </c>
      <c r="I2176" s="1271">
        <v>6.9552568439328111E-2</v>
      </c>
      <c r="J2176" s="1257">
        <v>0.13033468160558423</v>
      </c>
      <c r="K2176" s="1280">
        <v>1.2333877590175508</v>
      </c>
      <c r="L2176" s="1237">
        <v>0.17426989804284726</v>
      </c>
    </row>
    <row r="2177" spans="1:12" s="326" customFormat="1" ht="15.5" x14ac:dyDescent="0.35">
      <c r="A2177" s="328" t="s">
        <v>3141</v>
      </c>
      <c r="B2177" s="1291">
        <v>6.4872577391815692E-2</v>
      </c>
      <c r="C2177" s="1257">
        <v>8.9684614309495092E-2</v>
      </c>
      <c r="D2177" s="1257">
        <v>7.2080641546461877E-2</v>
      </c>
      <c r="E2177" s="1280">
        <v>0.48463419343763647</v>
      </c>
      <c r="F2177" s="1271">
        <v>4.9965976778029886E-2</v>
      </c>
      <c r="G2177" s="1257">
        <v>7.2243553581578274E-2</v>
      </c>
      <c r="H2177" s="1280">
        <v>0.68365774602567098</v>
      </c>
      <c r="I2177" s="1271">
        <v>6.9552568439328111E-2</v>
      </c>
      <c r="J2177" s="1257">
        <v>0.13033468160558423</v>
      </c>
      <c r="K2177" s="1280">
        <v>1.2333877590175508</v>
      </c>
      <c r="L2177" s="1237">
        <v>0.17426989804284726</v>
      </c>
    </row>
    <row r="2178" spans="1:12" s="326" customFormat="1" ht="15.5" x14ac:dyDescent="0.35">
      <c r="A2178" s="328" t="s">
        <v>3142</v>
      </c>
      <c r="B2178" s="1291">
        <v>6.4872577391815692E-2</v>
      </c>
      <c r="C2178" s="1257">
        <v>8.9684614309495092E-2</v>
      </c>
      <c r="D2178" s="1257">
        <v>7.2080641546461877E-2</v>
      </c>
      <c r="E2178" s="1280">
        <v>0.48463419343763647</v>
      </c>
      <c r="F2178" s="1271">
        <v>4.9965976778029886E-2</v>
      </c>
      <c r="G2178" s="1257">
        <v>7.2243553581578274E-2</v>
      </c>
      <c r="H2178" s="1280">
        <v>0.68365774602567098</v>
      </c>
      <c r="I2178" s="1271">
        <v>6.9552568439328111E-2</v>
      </c>
      <c r="J2178" s="1257">
        <v>0.13033468160558423</v>
      </c>
      <c r="K2178" s="1280">
        <v>1.2333877590175508</v>
      </c>
      <c r="L2178" s="1237">
        <v>0.17426989804284726</v>
      </c>
    </row>
    <row r="2179" spans="1:12" s="326" customFormat="1" ht="15.5" x14ac:dyDescent="0.35">
      <c r="A2179" s="328" t="s">
        <v>3143</v>
      </c>
      <c r="B2179" s="1291">
        <v>6.4872577391815692E-2</v>
      </c>
      <c r="C2179" s="1257">
        <v>8.9684614309495092E-2</v>
      </c>
      <c r="D2179" s="1257">
        <v>7.2080641546461877E-2</v>
      </c>
      <c r="E2179" s="1280">
        <v>0.48463419343763647</v>
      </c>
      <c r="F2179" s="1271">
        <v>4.9965976778029886E-2</v>
      </c>
      <c r="G2179" s="1257">
        <v>7.2243553581578274E-2</v>
      </c>
      <c r="H2179" s="1280">
        <v>0.68365774602567098</v>
      </c>
      <c r="I2179" s="1271">
        <v>6.9552568439328111E-2</v>
      </c>
      <c r="J2179" s="1257">
        <v>0.13033468160558423</v>
      </c>
      <c r="K2179" s="1280">
        <v>1.2333877590175508</v>
      </c>
      <c r="L2179" s="1237">
        <v>0.17426989804284726</v>
      </c>
    </row>
    <row r="2180" spans="1:12" s="326" customFormat="1" ht="15.5" x14ac:dyDescent="0.35">
      <c r="A2180" s="328" t="s">
        <v>3144</v>
      </c>
      <c r="B2180" s="1291">
        <v>6.4872577391815692E-2</v>
      </c>
      <c r="C2180" s="1257">
        <v>8.9684614309495092E-2</v>
      </c>
      <c r="D2180" s="1257">
        <v>7.2080641546461877E-2</v>
      </c>
      <c r="E2180" s="1280">
        <v>0.48463419343763647</v>
      </c>
      <c r="F2180" s="1271">
        <v>4.9965976778029886E-2</v>
      </c>
      <c r="G2180" s="1257">
        <v>7.2243553581578274E-2</v>
      </c>
      <c r="H2180" s="1280">
        <v>0.68365774602567098</v>
      </c>
      <c r="I2180" s="1271">
        <v>6.9552568439328111E-2</v>
      </c>
      <c r="J2180" s="1257">
        <v>0.13033468160558423</v>
      </c>
      <c r="K2180" s="1280">
        <v>1.2333877590175508</v>
      </c>
      <c r="L2180" s="1237">
        <v>0.17426989804284726</v>
      </c>
    </row>
    <row r="2181" spans="1:12" s="326" customFormat="1" ht="15.5" x14ac:dyDescent="0.35">
      <c r="A2181" s="328" t="s">
        <v>3145</v>
      </c>
      <c r="B2181" s="1291">
        <v>6.4872577391815692E-2</v>
      </c>
      <c r="C2181" s="1257">
        <v>8.9684614309495092E-2</v>
      </c>
      <c r="D2181" s="1257">
        <v>7.2080641546461877E-2</v>
      </c>
      <c r="E2181" s="1280">
        <v>0.48463419343763647</v>
      </c>
      <c r="F2181" s="1271">
        <v>4.9965976778029886E-2</v>
      </c>
      <c r="G2181" s="1257">
        <v>7.2243553581578274E-2</v>
      </c>
      <c r="H2181" s="1280">
        <v>0.68365774602567098</v>
      </c>
      <c r="I2181" s="1271">
        <v>6.9552568439328111E-2</v>
      </c>
      <c r="J2181" s="1257">
        <v>0.13033468160558423</v>
      </c>
      <c r="K2181" s="1280">
        <v>1.2333877590175508</v>
      </c>
      <c r="L2181" s="1237">
        <v>0.17426989804284726</v>
      </c>
    </row>
    <row r="2182" spans="1:12" s="326" customFormat="1" ht="15.5" x14ac:dyDescent="0.35">
      <c r="A2182" s="328" t="s">
        <v>3146</v>
      </c>
      <c r="B2182" s="1291">
        <v>6.4872577391815692E-2</v>
      </c>
      <c r="C2182" s="1257">
        <v>8.9684614309495092E-2</v>
      </c>
      <c r="D2182" s="1257">
        <v>7.2080641546461877E-2</v>
      </c>
      <c r="E2182" s="1280">
        <v>0.48463419343763647</v>
      </c>
      <c r="F2182" s="1271">
        <v>4.9965976778029886E-2</v>
      </c>
      <c r="G2182" s="1257">
        <v>7.2243553581578274E-2</v>
      </c>
      <c r="H2182" s="1280">
        <v>0.68365774602567098</v>
      </c>
      <c r="I2182" s="1271">
        <v>6.9552568439328111E-2</v>
      </c>
      <c r="J2182" s="1257">
        <v>0.13033468160558423</v>
      </c>
      <c r="K2182" s="1280">
        <v>1.2333877590175508</v>
      </c>
      <c r="L2182" s="1237">
        <v>0.17426989804284726</v>
      </c>
    </row>
    <row r="2183" spans="1:12" s="326" customFormat="1" ht="15.5" x14ac:dyDescent="0.35">
      <c r="A2183" s="328" t="s">
        <v>3147</v>
      </c>
      <c r="B2183" s="1291">
        <v>6.4872577391815692E-2</v>
      </c>
      <c r="C2183" s="1257">
        <v>8.9684614309495092E-2</v>
      </c>
      <c r="D2183" s="1257">
        <v>7.2080641546461877E-2</v>
      </c>
      <c r="E2183" s="1280">
        <v>0.48463419343763647</v>
      </c>
      <c r="F2183" s="1271">
        <v>4.9965976778029886E-2</v>
      </c>
      <c r="G2183" s="1257">
        <v>7.2243553581578274E-2</v>
      </c>
      <c r="H2183" s="1280">
        <v>0.68365774602567098</v>
      </c>
      <c r="I2183" s="1271">
        <v>6.9552568439328111E-2</v>
      </c>
      <c r="J2183" s="1257">
        <v>0.13033468160558423</v>
      </c>
      <c r="K2183" s="1280">
        <v>1.2333877590175508</v>
      </c>
      <c r="L2183" s="1237">
        <v>0.17426989804284726</v>
      </c>
    </row>
    <row r="2184" spans="1:12" s="326" customFormat="1" ht="15.5" x14ac:dyDescent="0.35">
      <c r="A2184" s="328" t="s">
        <v>3148</v>
      </c>
      <c r="B2184" s="1291">
        <v>6.4872577391815692E-2</v>
      </c>
      <c r="C2184" s="1257">
        <v>8.9684614309495092E-2</v>
      </c>
      <c r="D2184" s="1257">
        <v>7.2080641546461877E-2</v>
      </c>
      <c r="E2184" s="1280">
        <v>0.48463419343763647</v>
      </c>
      <c r="F2184" s="1271">
        <v>4.9965976778029886E-2</v>
      </c>
      <c r="G2184" s="1257">
        <v>7.2243553581578274E-2</v>
      </c>
      <c r="H2184" s="1280">
        <v>0.68365774602567098</v>
      </c>
      <c r="I2184" s="1271">
        <v>6.9552568439328111E-2</v>
      </c>
      <c r="J2184" s="1257">
        <v>0.13033468160558423</v>
      </c>
      <c r="K2184" s="1280">
        <v>1.2333877590175508</v>
      </c>
      <c r="L2184" s="1237">
        <v>0.17426989804284726</v>
      </c>
    </row>
    <row r="2185" spans="1:12" s="326" customFormat="1" ht="15.5" x14ac:dyDescent="0.35">
      <c r="A2185" s="328" t="s">
        <v>3149</v>
      </c>
      <c r="B2185" s="1291">
        <v>6.4872577391815692E-2</v>
      </c>
      <c r="C2185" s="1257">
        <v>8.9684614309495092E-2</v>
      </c>
      <c r="D2185" s="1257">
        <v>7.2080641546461877E-2</v>
      </c>
      <c r="E2185" s="1280">
        <v>0.48463419343763647</v>
      </c>
      <c r="F2185" s="1271">
        <v>4.9965976778029886E-2</v>
      </c>
      <c r="G2185" s="1257">
        <v>7.2243553581578274E-2</v>
      </c>
      <c r="H2185" s="1280">
        <v>0.68365774602567098</v>
      </c>
      <c r="I2185" s="1271">
        <v>6.9552568439328111E-2</v>
      </c>
      <c r="J2185" s="1257">
        <v>0.13033468160558423</v>
      </c>
      <c r="K2185" s="1280">
        <v>1.2333877590175508</v>
      </c>
      <c r="L2185" s="1237">
        <v>0.17426989804284726</v>
      </c>
    </row>
    <row r="2186" spans="1:12" s="326" customFormat="1" ht="15.5" x14ac:dyDescent="0.35">
      <c r="A2186" s="328" t="s">
        <v>3150</v>
      </c>
      <c r="B2186" s="1291">
        <v>6.4872577391815692E-2</v>
      </c>
      <c r="C2186" s="1257">
        <v>8.9684614309495092E-2</v>
      </c>
      <c r="D2186" s="1257">
        <v>7.2080641546461877E-2</v>
      </c>
      <c r="E2186" s="1280">
        <v>0.48463419343763647</v>
      </c>
      <c r="F2186" s="1271">
        <v>4.9965976778029886E-2</v>
      </c>
      <c r="G2186" s="1257">
        <v>7.2243553581578274E-2</v>
      </c>
      <c r="H2186" s="1280">
        <v>0.68365774602567098</v>
      </c>
      <c r="I2186" s="1271">
        <v>6.9552568439328111E-2</v>
      </c>
      <c r="J2186" s="1257">
        <v>0.13033468160558423</v>
      </c>
      <c r="K2186" s="1280">
        <v>1.2333877590175508</v>
      </c>
      <c r="L2186" s="1237">
        <v>0.17426989804284726</v>
      </c>
    </row>
    <row r="2187" spans="1:12" s="326" customFormat="1" ht="15.5" x14ac:dyDescent="0.35">
      <c r="A2187" s="328" t="s">
        <v>3151</v>
      </c>
      <c r="B2187" s="1291">
        <v>6.4872577391815692E-2</v>
      </c>
      <c r="C2187" s="1257">
        <v>8.9684614309495092E-2</v>
      </c>
      <c r="D2187" s="1257">
        <v>7.2080641546461877E-2</v>
      </c>
      <c r="E2187" s="1280">
        <v>0.48463419343763647</v>
      </c>
      <c r="F2187" s="1271">
        <v>4.9965976778029886E-2</v>
      </c>
      <c r="G2187" s="1257">
        <v>7.2243553581578274E-2</v>
      </c>
      <c r="H2187" s="1280">
        <v>0.68365774602567098</v>
      </c>
      <c r="I2187" s="1271">
        <v>6.9552568439328111E-2</v>
      </c>
      <c r="J2187" s="1257">
        <v>0.13033468160558423</v>
      </c>
      <c r="K2187" s="1280">
        <v>1.2333877590175508</v>
      </c>
      <c r="L2187" s="1237">
        <v>0.17426989804284726</v>
      </c>
    </row>
    <row r="2188" spans="1:12" s="326" customFormat="1" ht="15.5" x14ac:dyDescent="0.35">
      <c r="A2188" s="328" t="s">
        <v>3152</v>
      </c>
      <c r="B2188" s="1291">
        <v>6.4872577391815692E-2</v>
      </c>
      <c r="C2188" s="1257">
        <v>8.9684614309495092E-2</v>
      </c>
      <c r="D2188" s="1257">
        <v>7.2080641546461877E-2</v>
      </c>
      <c r="E2188" s="1280">
        <v>0.48463419343763647</v>
      </c>
      <c r="F2188" s="1271">
        <v>4.9965976778029886E-2</v>
      </c>
      <c r="G2188" s="1257">
        <v>7.2243553581578274E-2</v>
      </c>
      <c r="H2188" s="1280">
        <v>0.68365774602567098</v>
      </c>
      <c r="I2188" s="1271">
        <v>6.9552568439328111E-2</v>
      </c>
      <c r="J2188" s="1257">
        <v>0.13033468160558423</v>
      </c>
      <c r="K2188" s="1280">
        <v>1.2333877590175508</v>
      </c>
      <c r="L2188" s="1237">
        <v>0.17426989804284726</v>
      </c>
    </row>
    <row r="2189" spans="1:12" s="326" customFormat="1" ht="15.5" x14ac:dyDescent="0.35">
      <c r="A2189" s="328" t="s">
        <v>3153</v>
      </c>
      <c r="B2189" s="1291">
        <v>6.4872577391815692E-2</v>
      </c>
      <c r="C2189" s="1257">
        <v>8.9684614309495092E-2</v>
      </c>
      <c r="D2189" s="1257">
        <v>7.2080641546461877E-2</v>
      </c>
      <c r="E2189" s="1280">
        <v>0.48463419343763647</v>
      </c>
      <c r="F2189" s="1271">
        <v>4.9965976778029886E-2</v>
      </c>
      <c r="G2189" s="1257">
        <v>7.2243553581578274E-2</v>
      </c>
      <c r="H2189" s="1280">
        <v>0.68365774602567098</v>
      </c>
      <c r="I2189" s="1271">
        <v>6.9552568439328111E-2</v>
      </c>
      <c r="J2189" s="1257">
        <v>0.13033468160558423</v>
      </c>
      <c r="K2189" s="1280">
        <v>1.2333877590175508</v>
      </c>
      <c r="L2189" s="1237">
        <v>0.17426989804284726</v>
      </c>
    </row>
    <row r="2190" spans="1:12" s="326" customFormat="1" ht="15.5" x14ac:dyDescent="0.35">
      <c r="A2190" s="328" t="s">
        <v>3154</v>
      </c>
      <c r="B2190" s="1291">
        <v>6.4872577391815692E-2</v>
      </c>
      <c r="C2190" s="1257">
        <v>8.9684614309495092E-2</v>
      </c>
      <c r="D2190" s="1257">
        <v>7.2080641546461877E-2</v>
      </c>
      <c r="E2190" s="1280">
        <v>0.48463419343763647</v>
      </c>
      <c r="F2190" s="1303">
        <v>4.9965976778029886E-2</v>
      </c>
      <c r="G2190" s="1288">
        <v>7.2243553581578274E-2</v>
      </c>
      <c r="H2190" s="1280">
        <v>0.68365774602567098</v>
      </c>
      <c r="I2190" s="1303">
        <v>6.9552568439328111E-2</v>
      </c>
      <c r="J2190" s="1288">
        <v>0.13033468160558423</v>
      </c>
      <c r="K2190" s="1280">
        <v>1.2333877590175508</v>
      </c>
      <c r="L2190" s="1237">
        <v>0.17426989804284726</v>
      </c>
    </row>
    <row r="2191" spans="1:12" s="326" customFormat="1" ht="15.5" x14ac:dyDescent="0.35">
      <c r="A2191" s="328" t="s">
        <v>3155</v>
      </c>
      <c r="B2191" s="1291">
        <v>6.4872577391815692E-2</v>
      </c>
      <c r="C2191" s="1257">
        <v>8.9684614309495092E-2</v>
      </c>
      <c r="D2191" s="1257">
        <v>7.2080641546461877E-2</v>
      </c>
      <c r="E2191" s="1280">
        <v>0.48463419343763647</v>
      </c>
      <c r="F2191" s="1303">
        <v>4.9585548272708536E-2</v>
      </c>
      <c r="G2191" s="1288">
        <v>7.7705177469675701E-2</v>
      </c>
      <c r="H2191" s="1280">
        <v>0.73534237796671054</v>
      </c>
      <c r="I2191" s="1303">
        <v>6.9270513755177746E-2</v>
      </c>
      <c r="J2191" s="1288">
        <v>0.13056587209981266</v>
      </c>
      <c r="K2191" s="1280">
        <v>1.2355755690621977</v>
      </c>
      <c r="L2191" s="1237">
        <v>0.17426989804284726</v>
      </c>
    </row>
    <row r="2192" spans="1:12" s="326" customFormat="1" ht="15.5" x14ac:dyDescent="0.35">
      <c r="A2192" s="328" t="s">
        <v>3156</v>
      </c>
      <c r="B2192" s="1291">
        <v>6.4872577391815692E-2</v>
      </c>
      <c r="C2192" s="1257">
        <v>8.9684614309495092E-2</v>
      </c>
      <c r="D2192" s="1257">
        <v>7.2080641546461877E-2</v>
      </c>
      <c r="E2192" s="1280">
        <v>0.48463419343763647</v>
      </c>
      <c r="F2192" s="1303">
        <v>5.8496851717274999E-2</v>
      </c>
      <c r="G2192" s="1288">
        <v>7.1834147733664894E-2</v>
      </c>
      <c r="H2192" s="1280">
        <v>0.67978344215607878</v>
      </c>
      <c r="I2192" s="1303">
        <v>7.5062781052645217E-2</v>
      </c>
      <c r="J2192" s="1288">
        <v>0.13139777910264122</v>
      </c>
      <c r="K2192" s="1280">
        <v>1.2434481007727884</v>
      </c>
      <c r="L2192" s="1237">
        <v>0.17426989804284726</v>
      </c>
    </row>
    <row r="2193" spans="1:12" s="326" customFormat="1" ht="15.5" x14ac:dyDescent="0.35">
      <c r="A2193" s="328" t="s">
        <v>3157</v>
      </c>
      <c r="B2193" s="1291">
        <v>6.4872577391815692E-2</v>
      </c>
      <c r="C2193" s="1257">
        <v>8.9684614309495092E-2</v>
      </c>
      <c r="D2193" s="1257">
        <v>7.2080641546461877E-2</v>
      </c>
      <c r="E2193" s="1280">
        <v>0.48463419343763647</v>
      </c>
      <c r="F2193" s="1303">
        <v>5.8990122165581062E-2</v>
      </c>
      <c r="G2193" s="1288">
        <v>7.0167526092618032E-2</v>
      </c>
      <c r="H2193" s="1280">
        <v>0.6640118094205838</v>
      </c>
      <c r="I2193" s="1303">
        <v>7.582437385628546E-2</v>
      </c>
      <c r="J2193" s="1288">
        <v>0.11662392171406816</v>
      </c>
      <c r="K2193" s="1280">
        <v>1.1036396121029832</v>
      </c>
      <c r="L2193" s="1237">
        <v>0.17426989804284726</v>
      </c>
    </row>
    <row r="2194" spans="1:12" s="326" customFormat="1" ht="15.5" x14ac:dyDescent="0.35">
      <c r="A2194" s="328" t="s">
        <v>3158</v>
      </c>
      <c r="B2194" s="1291">
        <v>6.4872577391815692E-2</v>
      </c>
      <c r="C2194" s="1257">
        <v>8.9684614309495092E-2</v>
      </c>
      <c r="D2194" s="1257">
        <v>7.2080641546461877E-2</v>
      </c>
      <c r="E2194" s="1280">
        <v>0.48463419343763647</v>
      </c>
      <c r="F2194" s="1303">
        <v>5.8252682350365667E-2</v>
      </c>
      <c r="G2194" s="1288">
        <v>6.3735482222076811E-2</v>
      </c>
      <c r="H2194" s="1280">
        <v>0.60314386485156513</v>
      </c>
      <c r="I2194" s="1303">
        <v>7.5609821653359874E-2</v>
      </c>
      <c r="J2194" s="1288">
        <v>0.10020649586207739</v>
      </c>
      <c r="K2194" s="1280">
        <v>0.94827764834186468</v>
      </c>
      <c r="L2194" s="1237">
        <v>0.17426989804284726</v>
      </c>
    </row>
    <row r="2195" spans="1:12" s="326" customFormat="1" ht="15.5" x14ac:dyDescent="0.35">
      <c r="A2195" s="328" t="s">
        <v>3159</v>
      </c>
      <c r="B2195" s="1291">
        <v>6.4872577391815692E-2</v>
      </c>
      <c r="C2195" s="1257">
        <v>8.9684614309495092E-2</v>
      </c>
      <c r="D2195" s="1257">
        <v>7.2080641546461877E-2</v>
      </c>
      <c r="E2195" s="1280">
        <v>0.48463419343763647</v>
      </c>
      <c r="F2195" s="1303">
        <v>6.3238136660177524E-2</v>
      </c>
      <c r="G2195" s="1288">
        <v>5.9002884064632784E-2</v>
      </c>
      <c r="H2195" s="1280">
        <v>0.5583581749351646</v>
      </c>
      <c r="I2195" s="1303">
        <v>8.1118341378480424E-2</v>
      </c>
      <c r="J2195" s="1288">
        <v>0.10015903954666448</v>
      </c>
      <c r="K2195" s="1280">
        <v>0.94782855806292043</v>
      </c>
      <c r="L2195" s="1237">
        <v>0.17426989804284726</v>
      </c>
    </row>
    <row r="2196" spans="1:12" s="326" customFormat="1" ht="15.5" x14ac:dyDescent="0.35">
      <c r="A2196" s="328" t="s">
        <v>3160</v>
      </c>
      <c r="B2196" s="1291">
        <v>6.4872577391815692E-2</v>
      </c>
      <c r="C2196" s="1257">
        <v>8.9684614309495092E-2</v>
      </c>
      <c r="D2196" s="1257">
        <v>7.2080641546461877E-2</v>
      </c>
      <c r="E2196" s="1280">
        <v>0.48463419343763647</v>
      </c>
      <c r="F2196" s="1303">
        <v>6.6472301932574904E-2</v>
      </c>
      <c r="G2196" s="1288">
        <v>5.954178554690933E-2</v>
      </c>
      <c r="H2196" s="1280">
        <v>0.56345792646229642</v>
      </c>
      <c r="I2196" s="1303">
        <v>8.0817679434501036E-2</v>
      </c>
      <c r="J2196" s="1288">
        <v>0.10187521143484395</v>
      </c>
      <c r="K2196" s="1280">
        <v>0.96406909644591288</v>
      </c>
      <c r="L2196" s="1330">
        <v>0.17426989804284726</v>
      </c>
    </row>
    <row r="2197" spans="1:12" s="326" customFormat="1" ht="15.5" x14ac:dyDescent="0.35">
      <c r="A2197" s="328" t="s">
        <v>3161</v>
      </c>
      <c r="B2197" s="1291">
        <v>6.4872577391815692E-2</v>
      </c>
      <c r="C2197" s="1257">
        <v>8.9684614309495092E-2</v>
      </c>
      <c r="D2197" s="1257">
        <v>7.2080641546461877E-2</v>
      </c>
      <c r="E2197" s="1280">
        <v>0.48463419343763647</v>
      </c>
      <c r="F2197" s="1303">
        <v>5.9520534598076276E-2</v>
      </c>
      <c r="G2197" s="1288">
        <v>5.9870484843593329E-2</v>
      </c>
      <c r="H2197" s="1280">
        <v>0.5665684852478281</v>
      </c>
      <c r="I2197" s="1303">
        <v>8.1047024808239346E-2</v>
      </c>
      <c r="J2197" s="1288">
        <v>0.10178605264933653</v>
      </c>
      <c r="K2197" s="1280">
        <v>0.96322536588011853</v>
      </c>
      <c r="L2197" s="1330">
        <v>0.17348320018771968</v>
      </c>
    </row>
    <row r="2198" spans="1:12" s="326" customFormat="1" ht="15.5" x14ac:dyDescent="0.35">
      <c r="A2198" s="328" t="s">
        <v>3162</v>
      </c>
      <c r="B2198" s="1291">
        <v>6.4872577391815692E-2</v>
      </c>
      <c r="C2198" s="1257">
        <v>8.9684614309495092E-2</v>
      </c>
      <c r="D2198" s="1257">
        <v>7.2080641546461877E-2</v>
      </c>
      <c r="E2198" s="1280">
        <v>0.48463419343763647</v>
      </c>
      <c r="F2198" s="1303">
        <v>6.6238883987450245E-2</v>
      </c>
      <c r="G2198" s="1288">
        <v>5.883055330724013E-2</v>
      </c>
      <c r="H2198" s="1280">
        <v>0.55672736842954451</v>
      </c>
      <c r="I2198" s="1303">
        <v>8.097233875364819E-2</v>
      </c>
      <c r="J2198" s="1288">
        <v>0.10214166889298677</v>
      </c>
      <c r="K2198" s="1280">
        <v>0.96659064606819101</v>
      </c>
      <c r="L2198" s="1330">
        <v>0.16373727925050882</v>
      </c>
    </row>
    <row r="2199" spans="1:12" s="326" customFormat="1" ht="15.5" x14ac:dyDescent="0.35">
      <c r="A2199" s="328" t="s">
        <v>3163</v>
      </c>
      <c r="B2199" s="1291">
        <v>6.4872577391815692E-2</v>
      </c>
      <c r="C2199" s="1257">
        <v>8.9684614309495092E-2</v>
      </c>
      <c r="D2199" s="1257">
        <v>7.2080641546461877E-2</v>
      </c>
      <c r="E2199" s="1280">
        <v>0.48463419343763647</v>
      </c>
      <c r="F2199" s="1303">
        <v>6.188092386067947E-2</v>
      </c>
      <c r="G2199" s="1288">
        <v>5.6633229668361554E-2</v>
      </c>
      <c r="H2199" s="1280">
        <v>0.53593357781750972</v>
      </c>
      <c r="I2199" s="1303">
        <v>7.8766562467323886E-2</v>
      </c>
      <c r="J2199" s="1288">
        <v>9.9584734371673991E-2</v>
      </c>
      <c r="K2199" s="1280">
        <v>0.94239377306135608</v>
      </c>
      <c r="L2199" s="1330">
        <v>0.19316559701356331</v>
      </c>
    </row>
    <row r="2200" spans="1:12" s="326" customFormat="1" ht="15.5" x14ac:dyDescent="0.35">
      <c r="A2200" s="328" t="s">
        <v>3164</v>
      </c>
      <c r="B2200" s="1291">
        <v>6.4872577391815692E-2</v>
      </c>
      <c r="C2200" s="1257">
        <v>8.9684614309495092E-2</v>
      </c>
      <c r="D2200" s="1257">
        <v>7.2080641546461877E-2</v>
      </c>
      <c r="E2200" s="1280">
        <v>0.48463419343763647</v>
      </c>
      <c r="F2200" s="1303">
        <v>5.9929551262154393E-2</v>
      </c>
      <c r="G2200" s="1288">
        <v>5.7276760325059552E-2</v>
      </c>
      <c r="H2200" s="1280">
        <v>0.5420234598408209</v>
      </c>
      <c r="I2200" s="1303">
        <v>7.8278376868694682E-2</v>
      </c>
      <c r="J2200" s="1288">
        <v>0.10035469253213215</v>
      </c>
      <c r="K2200" s="1280">
        <v>0.94968006830039775</v>
      </c>
      <c r="L2200" s="1330">
        <v>0.19316559701357211</v>
      </c>
    </row>
    <row r="2201" spans="1:12" s="326" customFormat="1" ht="15.5" x14ac:dyDescent="0.35">
      <c r="A2201" s="328" t="s">
        <v>3165</v>
      </c>
      <c r="B2201" s="1291">
        <v>6.4872577391815692E-2</v>
      </c>
      <c r="C2201" s="1257">
        <v>8.9684614309495092E-2</v>
      </c>
      <c r="D2201" s="1257">
        <v>7.2080641546461877E-2</v>
      </c>
      <c r="E2201" s="1280">
        <v>0.48463419343763647</v>
      </c>
      <c r="F2201" s="1303">
        <v>6.190424901670738E-2</v>
      </c>
      <c r="G2201" s="1288">
        <v>5.792500535680814E-2</v>
      </c>
      <c r="H2201" s="1280">
        <v>0.54815795510450049</v>
      </c>
      <c r="I2201" s="1303">
        <v>7.5904091954845432E-2</v>
      </c>
      <c r="J2201" s="1288">
        <v>9.7619661638265243E-2</v>
      </c>
      <c r="K2201" s="1280">
        <v>0.92379782741505423</v>
      </c>
      <c r="L2201" s="1330">
        <v>0.19316559701354341</v>
      </c>
    </row>
    <row r="2202" spans="1:12" s="326" customFormat="1" ht="15.5" x14ac:dyDescent="0.35">
      <c r="A2202" s="328" t="s">
        <v>3166</v>
      </c>
      <c r="B2202" s="1291">
        <v>6.4872577391815692E-2</v>
      </c>
      <c r="C2202" s="1257">
        <v>8.9684614309495092E-2</v>
      </c>
      <c r="D2202" s="1257">
        <v>7.2080641546461877E-2</v>
      </c>
      <c r="E2202" s="1280">
        <v>0.48463419343763647</v>
      </c>
      <c r="F2202" s="1303">
        <v>6.0708354796857766E-2</v>
      </c>
      <c r="G2202" s="1288">
        <v>5.7164695609212543E-2</v>
      </c>
      <c r="H2202" s="1280">
        <v>0.54096296506659225</v>
      </c>
      <c r="I2202" s="1303">
        <v>7.3133623434413E-2</v>
      </c>
      <c r="J2202" s="1288">
        <v>9.6201152137737722E-2</v>
      </c>
      <c r="K2202" s="1280">
        <v>0.91037413824462099</v>
      </c>
      <c r="L2202" s="1330">
        <v>0.19783987802313224</v>
      </c>
    </row>
    <row r="2203" spans="1:12" s="326" customFormat="1" ht="15.5" x14ac:dyDescent="0.35">
      <c r="A2203" s="328" t="s">
        <v>3167</v>
      </c>
      <c r="B2203" s="1291">
        <v>6.4872577391815692E-2</v>
      </c>
      <c r="C2203" s="1257">
        <v>8.9684614309495092E-2</v>
      </c>
      <c r="D2203" s="1257">
        <v>7.2080641546461877E-2</v>
      </c>
      <c r="E2203" s="1280">
        <v>0.48463419343763647</v>
      </c>
      <c r="F2203" s="1303">
        <v>5.6086829485061974E-2</v>
      </c>
      <c r="G2203" s="1288">
        <v>5.5799897425912896E-2</v>
      </c>
      <c r="H2203" s="1280">
        <v>0.5280475587290433</v>
      </c>
      <c r="I2203" s="1303">
        <v>6.8595309095609402E-2</v>
      </c>
      <c r="J2203" s="1288">
        <v>9.1598775545710914E-2</v>
      </c>
      <c r="K2203" s="1280">
        <v>0.86682076564213195</v>
      </c>
      <c r="L2203" s="1330">
        <v>0.19783987802316474</v>
      </c>
    </row>
    <row r="2204" spans="1:12" s="326" customFormat="1" ht="15.5" x14ac:dyDescent="0.35">
      <c r="A2204" s="328" t="s">
        <v>3168</v>
      </c>
      <c r="B2204" s="1291">
        <v>6.4872577391815692E-2</v>
      </c>
      <c r="C2204" s="1257">
        <v>8.9684614309495092E-2</v>
      </c>
      <c r="D2204" s="1257">
        <v>7.2080641546461877E-2</v>
      </c>
      <c r="E2204" s="1280">
        <v>0.48463419343763647</v>
      </c>
      <c r="F2204" s="1303">
        <v>5.7894751310052665E-2</v>
      </c>
      <c r="G2204" s="1288">
        <v>5.3870311870476827E-2</v>
      </c>
      <c r="H2204" s="1280">
        <v>0.50978743659782111</v>
      </c>
      <c r="I2204" s="1303">
        <v>6.8671853434904409E-2</v>
      </c>
      <c r="J2204" s="1288">
        <v>9.0746817552166847E-2</v>
      </c>
      <c r="K2204" s="1280">
        <v>0.85875848668852006</v>
      </c>
      <c r="L2204" s="1330">
        <v>0.19783987802297881</v>
      </c>
    </row>
    <row r="2205" spans="1:12" s="326" customFormat="1" ht="15.5" x14ac:dyDescent="0.35">
      <c r="A2205" s="328" t="s">
        <v>3169</v>
      </c>
      <c r="B2205" s="1291">
        <v>6.4872577391815692E-2</v>
      </c>
      <c r="C2205" s="1257">
        <v>8.9684614309495092E-2</v>
      </c>
      <c r="D2205" s="1257">
        <v>7.2080641546461877E-2</v>
      </c>
      <c r="E2205" s="1280">
        <v>0.48463419343763647</v>
      </c>
      <c r="F2205" s="1303">
        <v>5.499540863766967E-2</v>
      </c>
      <c r="G2205" s="1288">
        <v>5.3691216260916566E-2</v>
      </c>
      <c r="H2205" s="1280">
        <v>0.50809261270440897</v>
      </c>
      <c r="I2205" s="1303">
        <v>6.5234605441746973E-2</v>
      </c>
      <c r="J2205" s="1288">
        <v>8.8046885261734806E-2</v>
      </c>
      <c r="K2205" s="1280">
        <v>0.83320839214597575</v>
      </c>
      <c r="L2205" s="1330">
        <v>0.19783987802314959</v>
      </c>
    </row>
    <row r="2206" spans="1:12" s="326" customFormat="1" ht="15.5" x14ac:dyDescent="0.35">
      <c r="A2206" s="328" t="s">
        <v>3170</v>
      </c>
      <c r="B2206" s="1291">
        <v>6.4872577391815692E-2</v>
      </c>
      <c r="C2206" s="1257">
        <v>8.9684614309495092E-2</v>
      </c>
      <c r="D2206" s="1257">
        <v>7.2080641546461877E-2</v>
      </c>
      <c r="E2206" s="1280">
        <v>0.48463419343763647</v>
      </c>
      <c r="F2206" s="1303">
        <v>5.3513507861501476E-2</v>
      </c>
      <c r="G2206" s="1288">
        <v>5.1068038530641874E-2</v>
      </c>
      <c r="H2206" s="1280">
        <v>0.48326886462453011</v>
      </c>
      <c r="I2206" s="1303">
        <v>6.3595040065038064E-2</v>
      </c>
      <c r="J2206" s="1288">
        <v>8.5820015066934652E-2</v>
      </c>
      <c r="K2206" s="1280">
        <v>0.81213499552312429</v>
      </c>
      <c r="L2206" s="1330">
        <v>0.1789251403964332</v>
      </c>
    </row>
    <row r="2207" spans="1:12" s="326" customFormat="1" ht="15.5" x14ac:dyDescent="0.35">
      <c r="A2207" s="328" t="s">
        <v>3171</v>
      </c>
      <c r="B2207" s="1291">
        <v>6.4872577391815692E-2</v>
      </c>
      <c r="C2207" s="1257">
        <v>8.9684614309495092E-2</v>
      </c>
      <c r="D2207" s="1257">
        <v>7.2080641546461877E-2</v>
      </c>
      <c r="E2207" s="1280">
        <v>0.48463419343763647</v>
      </c>
      <c r="F2207" s="1303">
        <v>5.2087054723735295E-2</v>
      </c>
      <c r="G2207" s="1288">
        <v>4.9253884522499097E-2</v>
      </c>
      <c r="H2207" s="1280">
        <v>0.4661010983857084</v>
      </c>
      <c r="I2207" s="1303">
        <v>6.2020907075037927E-2</v>
      </c>
      <c r="J2207" s="1288">
        <v>8.3681712973009387E-2</v>
      </c>
      <c r="K2207" s="1280">
        <v>0.79189973967840499</v>
      </c>
      <c r="L2207" s="1330">
        <v>0.17892514039657642</v>
      </c>
    </row>
    <row r="2208" spans="1:12" s="326" customFormat="1" ht="15.5" x14ac:dyDescent="0.35">
      <c r="A2208" s="328" t="s">
        <v>3172</v>
      </c>
      <c r="B2208" s="1291">
        <v>6.4872577391815692E-2</v>
      </c>
      <c r="C2208" s="1257">
        <v>8.9684614309495092E-2</v>
      </c>
      <c r="D2208" s="1257">
        <v>7.2080641546461877E-2</v>
      </c>
      <c r="E2208" s="1280">
        <v>0.48463419343763647</v>
      </c>
      <c r="F2208" s="1303">
        <v>5.073512129820288E-2</v>
      </c>
      <c r="G2208" s="1288">
        <v>4.7606396439860116E-2</v>
      </c>
      <c r="H2208" s="1280">
        <v>0.45051053101544097</v>
      </c>
      <c r="I2208" s="1303">
        <v>6.0446996879724255E-2</v>
      </c>
      <c r="J2208" s="1288">
        <v>8.1549490710972644E-2</v>
      </c>
      <c r="K2208" s="1280">
        <v>0.77172201871339552</v>
      </c>
      <c r="L2208" s="1330">
        <v>0.17892514039660654</v>
      </c>
    </row>
    <row r="2209" spans="1:12" s="326" customFormat="1" ht="15.5" x14ac:dyDescent="0.35">
      <c r="A2209" s="328" t="s">
        <v>3173</v>
      </c>
      <c r="B2209" s="1291">
        <v>6.4872577391815692E-2</v>
      </c>
      <c r="C2209" s="1257">
        <v>8.9684614309495092E-2</v>
      </c>
      <c r="D2209" s="1257">
        <v>7.2080641546461877E-2</v>
      </c>
      <c r="E2209" s="1280">
        <v>0.48463419343763647</v>
      </c>
      <c r="F2209" s="1303">
        <v>5.0529883588491184E-2</v>
      </c>
      <c r="G2209" s="1288">
        <v>4.5938249340109295E-2</v>
      </c>
      <c r="H2209" s="1306">
        <v>0.4343181804958795</v>
      </c>
      <c r="I2209" s="1303">
        <v>6.0437913587760544E-2</v>
      </c>
      <c r="J2209" s="1288">
        <v>8.1513746856595529E-2</v>
      </c>
      <c r="K2209" s="1306">
        <v>0.59952235760089234</v>
      </c>
      <c r="L2209" s="1330">
        <v>0.16538472007942046</v>
      </c>
    </row>
    <row r="2210" spans="1:12" s="326" customFormat="1" ht="15.5" x14ac:dyDescent="0.35">
      <c r="A2210" s="328" t="s">
        <v>3174</v>
      </c>
      <c r="B2210" s="1291">
        <v>6.4872577391815692E-2</v>
      </c>
      <c r="C2210" s="1257">
        <v>8.9684614309495092E-2</v>
      </c>
      <c r="D2210" s="1257">
        <v>7.2080641546461877E-2</v>
      </c>
      <c r="E2210" s="1280">
        <v>0.48463419343763647</v>
      </c>
      <c r="F2210" s="1303">
        <v>5.0345112671898298E-2</v>
      </c>
      <c r="G2210" s="1288">
        <v>4.4364498426353746E-2</v>
      </c>
      <c r="H2210" s="1306">
        <v>0.44319113102865548</v>
      </c>
      <c r="I2210" s="1303">
        <v>6.0428254295080974E-2</v>
      </c>
      <c r="J2210" s="1288">
        <v>8.147691599741981E-2</v>
      </c>
      <c r="K2210" s="1306">
        <v>0.59951826693066257</v>
      </c>
      <c r="L2210" s="1330">
        <v>0.16538472007932584</v>
      </c>
    </row>
    <row r="2211" spans="1:12" s="326" customFormat="1" ht="15.5" x14ac:dyDescent="0.35">
      <c r="A2211" s="328" t="s">
        <v>3175</v>
      </c>
      <c r="B2211" s="1291">
        <v>6.4872577391815692E-2</v>
      </c>
      <c r="C2211" s="1257">
        <v>8.9684614309495092E-2</v>
      </c>
      <c r="D2211" s="1257">
        <v>7.2080641546461877E-2</v>
      </c>
      <c r="E2211" s="1280">
        <v>0.48463419343763647</v>
      </c>
      <c r="F2211" s="1303">
        <v>5.0195767591681761E-2</v>
      </c>
      <c r="G2211" s="1288">
        <v>4.3769194957838473E-2</v>
      </c>
      <c r="H2211" s="1306">
        <v>0.46008415355693416</v>
      </c>
      <c r="I2211" s="1303">
        <v>6.0418731144093941E-2</v>
      </c>
      <c r="J2211" s="1288">
        <v>8.1440591776167165E-2</v>
      </c>
      <c r="K2211" s="1306">
        <v>0.59953012633366209</v>
      </c>
      <c r="L2211" s="1330">
        <v>0.16538472007934341</v>
      </c>
    </row>
    <row r="2212" spans="1:12" s="326" customFormat="1" ht="15.5" x14ac:dyDescent="0.35">
      <c r="A2212" s="328" t="s">
        <v>3176</v>
      </c>
      <c r="B2212" s="1291">
        <v>6.4872577391815692E-2</v>
      </c>
      <c r="C2212" s="1257">
        <v>8.9684614309495092E-2</v>
      </c>
      <c r="D2212" s="1257">
        <v>7.2080641546461877E-2</v>
      </c>
      <c r="E2212" s="1280">
        <v>0.48463419343763647</v>
      </c>
      <c r="F2212" s="1303">
        <v>5.0015905370174668E-2</v>
      </c>
      <c r="G2212" s="1288">
        <v>4.3478954189597477E-2</v>
      </c>
      <c r="H2212" s="1306">
        <v>0.47618280507485689</v>
      </c>
      <c r="I2212" s="1303">
        <v>6.0409777076590551E-2</v>
      </c>
      <c r="J2212" s="1288">
        <v>8.1405582600871232E-2</v>
      </c>
      <c r="K2212" s="1306">
        <v>0.59958773796625142</v>
      </c>
      <c r="L2212" s="1330">
        <v>0.15942832577769267</v>
      </c>
    </row>
    <row r="2213" spans="1:12" s="326" customFormat="1" ht="15.5" x14ac:dyDescent="0.35">
      <c r="A2213" s="328" t="s">
        <v>3177</v>
      </c>
      <c r="B2213" s="1291">
        <v>6.4872577391815692E-2</v>
      </c>
      <c r="C2213" s="1257">
        <v>8.9684614309495092E-2</v>
      </c>
      <c r="D2213" s="1257">
        <v>7.2080641546461877E-2</v>
      </c>
      <c r="E2213" s="1280">
        <v>0.48463419343763647</v>
      </c>
      <c r="F2213" s="1303">
        <v>4.9818522836566383E-2</v>
      </c>
      <c r="G2213" s="1288">
        <v>4.3191754707876444E-2</v>
      </c>
      <c r="H2213" s="1306">
        <v>0.48715199653938362</v>
      </c>
      <c r="I2213" s="1303">
        <v>6.0401121609785786E-2</v>
      </c>
      <c r="J2213" s="1288">
        <v>8.1371043085302602E-2</v>
      </c>
      <c r="K2213" s="1306">
        <v>0.59961326460530295</v>
      </c>
      <c r="L2213" s="1330">
        <v>0.15942832577768645</v>
      </c>
    </row>
    <row r="2214" spans="1:12" s="326" customFormat="1" ht="15.5" x14ac:dyDescent="0.35">
      <c r="A2214" s="328" t="s">
        <v>3178</v>
      </c>
      <c r="B2214" s="1291">
        <v>6.4872577391815692E-2</v>
      </c>
      <c r="C2214" s="1257">
        <v>8.9684614309495092E-2</v>
      </c>
      <c r="D2214" s="1257">
        <v>7.2080641546461877E-2</v>
      </c>
      <c r="E2214" s="1280">
        <v>0.48463419343763647</v>
      </c>
      <c r="F2214" s="1303">
        <v>4.9612549014063027E-2</v>
      </c>
      <c r="G2214" s="1288">
        <v>4.2930134253686782E-2</v>
      </c>
      <c r="H2214" s="1306">
        <v>0.49556208026805548</v>
      </c>
      <c r="I2214" s="1303">
        <v>6.0392646471989497E-2</v>
      </c>
      <c r="J2214" s="1288">
        <v>8.1336454105022923E-2</v>
      </c>
      <c r="K2214" s="1306">
        <v>0.59964556828619597</v>
      </c>
      <c r="L2214" s="1330">
        <v>0.15942832577769156</v>
      </c>
    </row>
    <row r="2215" spans="1:12" s="326" customFormat="1" ht="15.5" x14ac:dyDescent="0.35">
      <c r="A2215" s="328" t="s">
        <v>3179</v>
      </c>
      <c r="B2215" s="1291">
        <v>6.4872577391815692E-2</v>
      </c>
      <c r="C2215" s="1257">
        <v>8.9684614309495092E-2</v>
      </c>
      <c r="D2215" s="1257">
        <v>7.2080641546461877E-2</v>
      </c>
      <c r="E2215" s="1280">
        <v>0.48463419343763647</v>
      </c>
      <c r="F2215" s="1303">
        <v>4.9378369000422404E-2</v>
      </c>
      <c r="G2215" s="1288">
        <v>4.2652074167167334E-2</v>
      </c>
      <c r="H2215" s="1306">
        <v>0.50103683129375298</v>
      </c>
      <c r="I2215" s="1303">
        <v>6.0384403797932397E-2</v>
      </c>
      <c r="J2215" s="1288">
        <v>8.1301731023562751E-2</v>
      </c>
      <c r="K2215" s="1306">
        <v>0.59977787217364387</v>
      </c>
      <c r="L2215" s="1330">
        <v>0.15942832577769595</v>
      </c>
    </row>
    <row r="2216" spans="1:12" s="326" customFormat="1" ht="15.5" x14ac:dyDescent="0.35">
      <c r="A2216" s="328" t="s">
        <v>3180</v>
      </c>
      <c r="B2216" s="1291">
        <v>6.4872577391815692E-2</v>
      </c>
      <c r="C2216" s="1257">
        <v>8.9684614309495092E-2</v>
      </c>
      <c r="D2216" s="1257">
        <v>7.2080641546461877E-2</v>
      </c>
      <c r="E2216" s="1280">
        <v>0.48463419343763647</v>
      </c>
      <c r="F2216" s="1303">
        <v>4.9126176879675791E-2</v>
      </c>
      <c r="G2216" s="1288">
        <v>4.237666887789078E-2</v>
      </c>
      <c r="H2216" s="1306">
        <v>0.50819957604242427</v>
      </c>
      <c r="I2216" s="1303">
        <v>6.0376488814455072E-2</v>
      </c>
      <c r="J2216" s="1288">
        <v>8.1267023155047372E-2</v>
      </c>
      <c r="K2216" s="1306">
        <v>0.59987239546116766</v>
      </c>
      <c r="L2216" s="1330">
        <v>0.15942832577768995</v>
      </c>
    </row>
    <row r="2217" spans="1:12" s="326" customFormat="1" ht="15.5" x14ac:dyDescent="0.35">
      <c r="A2217" s="328" t="s">
        <v>3181</v>
      </c>
      <c r="B2217" s="1291">
        <v>6.4872577391815692E-2</v>
      </c>
      <c r="C2217" s="1257">
        <v>8.9684614309495092E-2</v>
      </c>
      <c r="D2217" s="1257">
        <v>7.2080641546461877E-2</v>
      </c>
      <c r="E2217" s="1280">
        <v>0.48463419343763647</v>
      </c>
      <c r="F2217" s="1303">
        <v>4.8786821558956812E-2</v>
      </c>
      <c r="G2217" s="1288">
        <v>4.207488781013461E-2</v>
      </c>
      <c r="H2217" s="1306">
        <v>0.51332019313882504</v>
      </c>
      <c r="I2217" s="1303">
        <v>6.0368705120895552E-2</v>
      </c>
      <c r="J2217" s="1288">
        <v>8.1232045808464756E-2</v>
      </c>
      <c r="K2217" s="1306">
        <v>0.59992614848369441</v>
      </c>
      <c r="L2217" s="1330">
        <v>0.15942832577769347</v>
      </c>
    </row>
    <row r="2218" spans="1:12" s="326" customFormat="1" ht="15.5" x14ac:dyDescent="0.35">
      <c r="A2218" s="328" t="s">
        <v>3182</v>
      </c>
      <c r="B2218" s="1291">
        <v>6.4872577391815692E-2</v>
      </c>
      <c r="C2218" s="1257">
        <v>8.9684614309495092E-2</v>
      </c>
      <c r="D2218" s="1257">
        <v>7.2080641546461877E-2</v>
      </c>
      <c r="E2218" s="1280">
        <v>0.48463419343763647</v>
      </c>
      <c r="F2218" s="1303">
        <v>4.8430946117966764E-2</v>
      </c>
      <c r="G2218" s="1288">
        <v>4.1793356751925956E-2</v>
      </c>
      <c r="H2218" s="1306">
        <v>0.51799455383134307</v>
      </c>
      <c r="I2218" s="1303">
        <v>6.0361115739232869E-2</v>
      </c>
      <c r="J2218" s="1288">
        <v>8.1197239415180575E-2</v>
      </c>
      <c r="K2218" s="1306">
        <v>0.60003526728639744</v>
      </c>
      <c r="L2218" s="1330">
        <v>0.15942832577769164</v>
      </c>
    </row>
    <row r="2219" spans="1:12" s="326" customFormat="1" ht="15.5" x14ac:dyDescent="0.35">
      <c r="A2219" s="328" t="s">
        <v>3183</v>
      </c>
      <c r="B2219" s="1291">
        <v>6.4872577391815692E-2</v>
      </c>
      <c r="C2219" s="1257">
        <v>8.9684614309495092E-2</v>
      </c>
      <c r="D2219" s="1257">
        <v>7.2080641546461877E-2</v>
      </c>
      <c r="E2219" s="1280">
        <v>0.48463419343763647</v>
      </c>
      <c r="F2219" s="1303">
        <v>4.8031218827130046E-2</v>
      </c>
      <c r="G2219" s="1288">
        <v>4.153552043911507E-2</v>
      </c>
      <c r="H2219" s="1306">
        <v>0.52233123008199345</v>
      </c>
      <c r="I2219" s="1303">
        <v>6.0353828714678898E-2</v>
      </c>
      <c r="J2219" s="1288">
        <v>8.1163203975934253E-2</v>
      </c>
      <c r="K2219" s="1306">
        <v>0.60006973366727112</v>
      </c>
      <c r="L2219" s="1330">
        <v>0.15942832577768859</v>
      </c>
    </row>
    <row r="2220" spans="1:12" s="326" customFormat="1" ht="15.5" x14ac:dyDescent="0.35">
      <c r="A2220" s="328" t="s">
        <v>3184</v>
      </c>
      <c r="B2220" s="1291">
        <v>6.4872577391815692E-2</v>
      </c>
      <c r="C2220" s="1257">
        <v>8.9684614309495092E-2</v>
      </c>
      <c r="D2220" s="1257">
        <v>7.2080641546461877E-2</v>
      </c>
      <c r="E2220" s="1306">
        <v>1.8998878604840246</v>
      </c>
      <c r="F2220" s="1303">
        <v>4.7601883815250864E-2</v>
      </c>
      <c r="G2220" s="1288">
        <v>4.1276385147210513E-2</v>
      </c>
      <c r="H2220" s="1306">
        <v>0.52618586617688345</v>
      </c>
      <c r="I2220" s="1303">
        <v>6.0346775031961231E-2</v>
      </c>
      <c r="J2220" s="1288">
        <v>8.1130156638947001E-2</v>
      </c>
      <c r="K2220" s="1306">
        <v>0.60010444026313636</v>
      </c>
      <c r="L2220" s="1330">
        <v>0.15834736059145876</v>
      </c>
    </row>
    <row r="2221" spans="1:12" s="326" customFormat="1" ht="15.5" x14ac:dyDescent="0.35">
      <c r="A2221" s="328" t="s">
        <v>3185</v>
      </c>
      <c r="B2221" s="1291">
        <v>6.4872577391815692E-2</v>
      </c>
      <c r="C2221" s="1257">
        <v>8.9684614309495092E-2</v>
      </c>
      <c r="D2221" s="1257">
        <v>7.2080641546461877E-2</v>
      </c>
      <c r="E2221" s="1306">
        <v>1.9585972683089095</v>
      </c>
      <c r="F2221" s="1303">
        <v>4.7491214511339287E-2</v>
      </c>
      <c r="G2221" s="1288">
        <v>4.1218623869530416E-2</v>
      </c>
      <c r="H2221" s="1306">
        <v>0.52516272440430123</v>
      </c>
      <c r="I2221" s="1303">
        <v>6.0339916930240094E-2</v>
      </c>
      <c r="J2221" s="1288">
        <v>8.1098241621008232E-2</v>
      </c>
      <c r="K2221" s="1306">
        <v>0.60017711521912032</v>
      </c>
      <c r="L2221" s="1330">
        <v>0.15737449192384714</v>
      </c>
    </row>
    <row r="2222" spans="1:12" s="326" customFormat="1" ht="15.5" x14ac:dyDescent="0.35">
      <c r="A2222" s="328" t="s">
        <v>3186</v>
      </c>
      <c r="B2222" s="1291">
        <v>6.4872577391815692E-2</v>
      </c>
      <c r="C2222" s="1257">
        <v>8.9684614309495092E-2</v>
      </c>
      <c r="D2222" s="1257">
        <v>7.2080641546461877E-2</v>
      </c>
      <c r="E2222" s="1306">
        <v>1.992278511822914</v>
      </c>
      <c r="F2222" s="1303">
        <v>4.741663065835916E-2</v>
      </c>
      <c r="G2222" s="1288">
        <v>4.1163846155134708E-2</v>
      </c>
      <c r="H2222" s="1306">
        <v>0.5244043043731067</v>
      </c>
      <c r="I2222" s="1303">
        <v>6.0333093559914619E-2</v>
      </c>
      <c r="J2222" s="1288">
        <v>8.106707700000737E-2</v>
      </c>
      <c r="K2222" s="1306">
        <v>0.60025209851057582</v>
      </c>
      <c r="L2222" s="1330">
        <v>0.1564989101230006</v>
      </c>
    </row>
    <row r="2223" spans="1:12" s="326" customFormat="1" ht="15.5" x14ac:dyDescent="0.35">
      <c r="A2223" s="328" t="s">
        <v>3187</v>
      </c>
      <c r="B2223" s="1291">
        <v>6.4872577391815692E-2</v>
      </c>
      <c r="C2223" s="1257">
        <v>8.9684614309495092E-2</v>
      </c>
      <c r="D2223" s="1257">
        <v>7.2080641546461877E-2</v>
      </c>
      <c r="E2223" s="1306">
        <v>1.9380667153599471</v>
      </c>
      <c r="F2223" s="1303">
        <v>4.732876978818553E-2</v>
      </c>
      <c r="G2223" s="1288">
        <v>4.1109974672395161E-2</v>
      </c>
      <c r="H2223" s="1306">
        <v>0.5235780502000168</v>
      </c>
      <c r="I2223" s="1303">
        <v>6.0326132282077019E-2</v>
      </c>
      <c r="J2223" s="1288">
        <v>8.1035971666126833E-2</v>
      </c>
      <c r="K2223" s="1306">
        <v>0.60033042863463149</v>
      </c>
      <c r="L2223" s="1330">
        <v>0.15571088650223566</v>
      </c>
    </row>
    <row r="2224" spans="1:12" s="326" customFormat="1" ht="15.5" x14ac:dyDescent="0.35">
      <c r="A2224" s="328" t="s">
        <v>3188</v>
      </c>
      <c r="B2224" s="1287">
        <v>6.4872577391815692E-2</v>
      </c>
      <c r="C2224" s="1288">
        <v>8.9684614309495092E-2</v>
      </c>
      <c r="D2224" s="1288">
        <v>7.0924192586304641E-2</v>
      </c>
      <c r="E2224" s="1306">
        <v>1.9272819444935527</v>
      </c>
      <c r="F2224" s="1303">
        <v>4.7274095741661436E-2</v>
      </c>
      <c r="G2224" s="1288">
        <v>4.1049535767454133E-2</v>
      </c>
      <c r="H2224" s="1306">
        <v>0.52277633388436862</v>
      </c>
      <c r="I2224" s="1303">
        <v>6.031921260160724E-2</v>
      </c>
      <c r="J2224" s="1288">
        <v>8.1004751621939972E-2</v>
      </c>
      <c r="K2224" s="1306">
        <v>0.60041714501303067</v>
      </c>
      <c r="L2224" s="1330">
        <v>0.1550016652435478</v>
      </c>
    </row>
    <row r="2225" spans="1:12" s="326" customFormat="1" ht="15.5" x14ac:dyDescent="0.35">
      <c r="A2225" s="328" t="s">
        <v>3189</v>
      </c>
      <c r="B2225" s="1287">
        <v>6.4855016882013977E-2</v>
      </c>
      <c r="C2225" s="1288">
        <v>7.8771468627596708E-2</v>
      </c>
      <c r="D2225" s="1288">
        <v>7.5031470801508335E-2</v>
      </c>
      <c r="E2225" s="1306">
        <v>1.952639455263369</v>
      </c>
      <c r="F2225" s="1303">
        <v>4.7193224158706956E-2</v>
      </c>
      <c r="G2225" s="1288">
        <v>4.0998614458729092E-2</v>
      </c>
      <c r="H2225" s="1306">
        <v>0.52200245372212317</v>
      </c>
      <c r="I2225" s="1303">
        <v>6.031216524856841E-2</v>
      </c>
      <c r="J2225" s="1288">
        <v>8.0972430293311373E-2</v>
      </c>
      <c r="K2225" s="1306">
        <v>0.6004753156068543</v>
      </c>
      <c r="L2225" s="1330">
        <v>0.15436336611072518</v>
      </c>
    </row>
    <row r="2226" spans="1:12" s="326" customFormat="1" ht="15.5" x14ac:dyDescent="0.35">
      <c r="A2226" s="328" t="s">
        <v>3190</v>
      </c>
      <c r="B2226" s="1287">
        <v>6.4694608205632151E-2</v>
      </c>
      <c r="C2226" s="1288">
        <v>8.5447259656618424E-2</v>
      </c>
      <c r="D2226" s="1288">
        <v>7.7762528328468611E-2</v>
      </c>
      <c r="E2226" s="1306">
        <v>1.9470736899080712</v>
      </c>
      <c r="F2226" s="1303">
        <v>4.7159156619931891E-2</v>
      </c>
      <c r="G2226" s="1288">
        <v>4.0962614527480685E-2</v>
      </c>
      <c r="H2226" s="1306">
        <v>0.52182517112262872</v>
      </c>
      <c r="I2226" s="1303">
        <v>6.030479765358044E-2</v>
      </c>
      <c r="J2226" s="1288">
        <v>8.0938215002384628E-2</v>
      </c>
      <c r="K2226" s="1306">
        <v>0.60054780167070709</v>
      </c>
      <c r="L2226" s="1330">
        <v>0.15378889689119166</v>
      </c>
    </row>
    <row r="2227" spans="1:12" s="326" customFormat="1" ht="15.5" x14ac:dyDescent="0.35">
      <c r="A2227" s="328" t="s">
        <v>3191</v>
      </c>
      <c r="B2227" s="1287">
        <v>6.5574321470483005E-2</v>
      </c>
      <c r="C2227" s="1288">
        <v>8.1992556115645016E-2</v>
      </c>
      <c r="D2227" s="1288">
        <v>8.930821755902324E-2</v>
      </c>
      <c r="E2227" s="1306">
        <v>1.9502561331844093</v>
      </c>
      <c r="F2227" s="1303">
        <v>4.7099706750067735E-2</v>
      </c>
      <c r="G2227" s="1288">
        <v>4.0928783625779078E-2</v>
      </c>
      <c r="H2227" s="1306">
        <v>0.52133880820650458</v>
      </c>
      <c r="I2227" s="1303">
        <v>6.0297069377878716E-2</v>
      </c>
      <c r="J2227" s="1288">
        <v>8.0902191428674677E-2</v>
      </c>
      <c r="K2227" s="1306">
        <v>0.60065208341564591</v>
      </c>
      <c r="L2227" s="1330">
        <v>0.15378889689118874</v>
      </c>
    </row>
    <row r="2228" spans="1:12" s="326" customFormat="1" ht="15.5" x14ac:dyDescent="0.35">
      <c r="A2228" s="328" t="s">
        <v>3192</v>
      </c>
      <c r="B2228" s="1287">
        <v>6.4745552412161109E-2</v>
      </c>
      <c r="C2228" s="1288">
        <v>8.1610622312490819E-2</v>
      </c>
      <c r="D2228" s="1288">
        <v>7.8955171309489092E-2</v>
      </c>
      <c r="E2228" s="1306">
        <v>1.9289103696684387</v>
      </c>
      <c r="F2228" s="1303">
        <v>4.7053501127450464E-2</v>
      </c>
      <c r="G2228" s="1288">
        <v>4.0890820501740303E-2</v>
      </c>
      <c r="H2228" s="1306">
        <v>0.52078789300317252</v>
      </c>
      <c r="I2228" s="1303">
        <v>6.0288654059479231E-2</v>
      </c>
      <c r="J2228" s="1288">
        <v>8.0864681772221295E-2</v>
      </c>
      <c r="K2228" s="1306">
        <v>0.60075028177584278</v>
      </c>
      <c r="L2228" s="1330">
        <v>0.1537888968911901</v>
      </c>
    </row>
    <row r="2229" spans="1:12" s="326" customFormat="1" ht="15.5" x14ac:dyDescent="0.35">
      <c r="A2229" s="328" t="s">
        <v>3193</v>
      </c>
      <c r="B2229" s="1287">
        <v>6.4819542680866454E-2</v>
      </c>
      <c r="C2229" s="1288">
        <v>7.9252438143697632E-2</v>
      </c>
      <c r="D2229" s="1288">
        <v>7.9098249488308153E-2</v>
      </c>
      <c r="E2229" s="1306">
        <v>1.956830743286569</v>
      </c>
      <c r="F2229" s="1303">
        <v>4.6983838943016693E-2</v>
      </c>
      <c r="G2229" s="1288">
        <v>4.0842619081102045E-2</v>
      </c>
      <c r="H2229" s="1306">
        <v>0.51984754232788366</v>
      </c>
      <c r="I2229" s="1303">
        <v>6.0279483098332413E-2</v>
      </c>
      <c r="J2229" s="1288">
        <v>8.0827375873402954E-2</v>
      </c>
      <c r="K2229" s="1306">
        <v>0.60088514312124675</v>
      </c>
      <c r="L2229" s="1330">
        <v>0.15378889689119107</v>
      </c>
    </row>
    <row r="2230" spans="1:12" s="326" customFormat="1" ht="15.5" x14ac:dyDescent="0.35">
      <c r="A2230" s="328" t="s">
        <v>3194</v>
      </c>
      <c r="B2230" s="1287">
        <v>6.4775751378659749E-2</v>
      </c>
      <c r="C2230" s="1288">
        <v>8.6567021269927449E-2</v>
      </c>
      <c r="D2230" s="1288">
        <v>7.6699819984927767E-2</v>
      </c>
      <c r="E2230" s="1306">
        <v>1.947369219663164</v>
      </c>
      <c r="F2230" s="1303">
        <v>4.6968914736599414E-2</v>
      </c>
      <c r="G2230" s="1288">
        <v>4.0822862835193603E-2</v>
      </c>
      <c r="H2230" s="1306">
        <v>0.5197662130018238</v>
      </c>
      <c r="I2230" s="1303">
        <v>6.0268883554715581E-2</v>
      </c>
      <c r="J2230" s="1288">
        <v>8.0790950929841177E-2</v>
      </c>
      <c r="K2230" s="1306">
        <v>0.60104500945226114</v>
      </c>
      <c r="L2230" s="1330">
        <v>0.15378889689119024</v>
      </c>
    </row>
    <row r="2231" spans="1:12" s="326" customFormat="1" ht="15.5" x14ac:dyDescent="0.35">
      <c r="A2231" s="328" t="s">
        <v>3195</v>
      </c>
      <c r="B2231" s="1287">
        <v>6.4546147903546847E-2</v>
      </c>
      <c r="C2231" s="1288">
        <v>7.4220683031079121E-2</v>
      </c>
      <c r="D2231" s="1288">
        <v>8.1836420675046373E-2</v>
      </c>
      <c r="E2231" s="1306">
        <v>1.9734931130460169</v>
      </c>
      <c r="F2231" s="1303">
        <v>4.6967947312373262E-2</v>
      </c>
      <c r="G2231" s="1288">
        <v>4.0802809727017435E-2</v>
      </c>
      <c r="H2231" s="1306">
        <v>0.5196415403064949</v>
      </c>
      <c r="I2231" s="1303">
        <v>6.0256477846443092E-2</v>
      </c>
      <c r="J2231" s="1288">
        <v>8.0755555527055947E-2</v>
      </c>
      <c r="K2231" s="1306">
        <v>0.601214268333359</v>
      </c>
      <c r="L2231" s="1330">
        <v>0.15378889689118955</v>
      </c>
    </row>
    <row r="2232" spans="1:12" s="326" customFormat="1" ht="15.5" x14ac:dyDescent="0.35">
      <c r="A2232" s="328" t="s">
        <v>3196</v>
      </c>
      <c r="B2232" s="1287">
        <v>6.464286230624694E-2</v>
      </c>
      <c r="C2232" s="1288">
        <v>8.8655024147259953E-2</v>
      </c>
      <c r="D2232" s="1288">
        <v>8.0360401601757975E-2</v>
      </c>
      <c r="E2232" s="1306">
        <v>1.8748795129581042</v>
      </c>
      <c r="F2232" s="1303">
        <v>4.6928638088208026E-2</v>
      </c>
      <c r="G2232" s="1288">
        <v>4.0773896980577193E-2</v>
      </c>
      <c r="H2232" s="1306">
        <v>0.51898256355727723</v>
      </c>
      <c r="I2232" s="1303">
        <v>6.0241192197671822E-2</v>
      </c>
      <c r="J2232" s="1288">
        <v>8.0716047696622301E-2</v>
      </c>
      <c r="K2232" s="1306">
        <v>0.60138421750658921</v>
      </c>
      <c r="L2232" s="1330">
        <v>0.15378889689119057</v>
      </c>
    </row>
    <row r="2233" spans="1:12" s="326" customFormat="1" ht="15.5" x14ac:dyDescent="0.35">
      <c r="A2233" s="328" t="s">
        <v>3197</v>
      </c>
      <c r="B2233" s="1287">
        <v>6.4006865766613713E-2</v>
      </c>
      <c r="C2233" s="1288">
        <v>8.0535744015568081E-2</v>
      </c>
      <c r="D2233" s="1288">
        <v>7.3774697548605009E-2</v>
      </c>
      <c r="E2233" s="1306">
        <v>1.929633869277338</v>
      </c>
      <c r="F2233" s="1303">
        <v>4.6903590027750561E-2</v>
      </c>
      <c r="G2233" s="1288">
        <v>4.0728132435642245E-2</v>
      </c>
      <c r="H2233" s="1306">
        <v>0.51806671702157858</v>
      </c>
      <c r="I2233" s="1303">
        <v>6.0221216050762305E-2</v>
      </c>
      <c r="J2233" s="1288">
        <v>8.0657674004746299E-2</v>
      </c>
      <c r="K2233" s="1306">
        <v>0.60150422520348801</v>
      </c>
      <c r="L2233" s="1330">
        <v>0.15378889689119038</v>
      </c>
    </row>
    <row r="2234" spans="1:12" s="326" customFormat="1" ht="15.5" x14ac:dyDescent="0.35">
      <c r="A2234" s="328" t="s">
        <v>3198</v>
      </c>
      <c r="B2234" s="1287">
        <v>6.4273681973698121E-2</v>
      </c>
      <c r="C2234" s="1288">
        <v>6.8470858287268177E-2</v>
      </c>
      <c r="D2234" s="1288">
        <v>8.1661239077746264E-2</v>
      </c>
      <c r="E2234" s="1306">
        <v>1.9394992922256273</v>
      </c>
      <c r="F2234" s="1303">
        <v>4.6403829247985771E-2</v>
      </c>
      <c r="G2234" s="1288">
        <v>4.0464489574005523E-2</v>
      </c>
      <c r="H2234" s="1306">
        <v>0.50880397165425451</v>
      </c>
      <c r="I2234" s="1303">
        <v>6.0190651118486566E-2</v>
      </c>
      <c r="J2234" s="1288">
        <v>8.054318830560768E-2</v>
      </c>
      <c r="K2234" s="1306">
        <v>0.60125225036783692</v>
      </c>
      <c r="L2234" s="1330">
        <v>0.15378955259020341</v>
      </c>
    </row>
    <row r="2235" spans="1:12" s="326" customFormat="1" ht="15.5" x14ac:dyDescent="0.35">
      <c r="A2235" s="328" t="s">
        <v>3199</v>
      </c>
      <c r="B2235" s="1291">
        <v>6.4273681973698121E-2</v>
      </c>
      <c r="C2235" s="1257">
        <v>6.8470858287268177E-2</v>
      </c>
      <c r="D2235" s="1257">
        <v>8.1661239077746264E-2</v>
      </c>
      <c r="E2235" s="1280">
        <v>1.9394992922256273</v>
      </c>
      <c r="F2235" s="1271">
        <v>4.6403829247985771E-2</v>
      </c>
      <c r="G2235" s="1257">
        <v>4.0464489574005523E-2</v>
      </c>
      <c r="H2235" s="1280">
        <v>0.50880397165425451</v>
      </c>
      <c r="I2235" s="1271">
        <v>6.0190651118486566E-2</v>
      </c>
      <c r="J2235" s="1257">
        <v>8.054318830560768E-2</v>
      </c>
      <c r="K2235" s="1280">
        <v>0.60125225036783692</v>
      </c>
      <c r="L2235" s="1330">
        <v>0.16102411078575066</v>
      </c>
    </row>
    <row r="2236" spans="1:12" s="326" customFormat="1" ht="15.5" x14ac:dyDescent="0.35">
      <c r="A2236" s="328" t="s">
        <v>3200</v>
      </c>
      <c r="B2236" s="1291">
        <v>6.4855016882013977E-2</v>
      </c>
      <c r="C2236" s="1257">
        <v>7.8773291380573929E-2</v>
      </c>
      <c r="D2236" s="1257">
        <v>7.2061129868904422E-2</v>
      </c>
      <c r="E2236" s="1280">
        <v>0.48450300667357887</v>
      </c>
      <c r="F2236" s="1271">
        <v>4.9618631380154668E-2</v>
      </c>
      <c r="G2236" s="1257">
        <v>7.7751960369968606E-2</v>
      </c>
      <c r="H2236" s="1280">
        <v>0.73578509555992344</v>
      </c>
      <c r="I2236" s="1271">
        <v>6.930634322591292E-2</v>
      </c>
      <c r="J2236" s="1257">
        <v>0.13066348700351854</v>
      </c>
      <c r="K2236" s="1280">
        <v>1.2364993218641791</v>
      </c>
      <c r="L2236" s="1237">
        <v>0.17426987125622292</v>
      </c>
    </row>
    <row r="2237" spans="1:12" s="326" customFormat="1" ht="15.5" x14ac:dyDescent="0.35">
      <c r="A2237" s="328" t="s">
        <v>3201</v>
      </c>
      <c r="B2237" s="1291">
        <v>6.4855016882013977E-2</v>
      </c>
      <c r="C2237" s="1257">
        <v>7.8773291380573929E-2</v>
      </c>
      <c r="D2237" s="1257">
        <v>7.2061129868904422E-2</v>
      </c>
      <c r="E2237" s="1280">
        <v>0.48450300667357887</v>
      </c>
      <c r="F2237" s="1271">
        <v>4.9618631380154668E-2</v>
      </c>
      <c r="G2237" s="1257">
        <v>7.7751960369968606E-2</v>
      </c>
      <c r="H2237" s="1280">
        <v>0.73578509555992344</v>
      </c>
      <c r="I2237" s="1271">
        <v>6.930634322591292E-2</v>
      </c>
      <c r="J2237" s="1257">
        <v>0.13066348700351854</v>
      </c>
      <c r="K2237" s="1280">
        <v>1.2364993218641791</v>
      </c>
      <c r="L2237" s="1237">
        <v>0.17426987125622292</v>
      </c>
    </row>
    <row r="2238" spans="1:12" s="326" customFormat="1" ht="15.5" x14ac:dyDescent="0.35">
      <c r="A2238" s="328" t="s">
        <v>3202</v>
      </c>
      <c r="B2238" s="1291">
        <v>6.4855016882013977E-2</v>
      </c>
      <c r="C2238" s="1257">
        <v>7.8773291380573929E-2</v>
      </c>
      <c r="D2238" s="1257">
        <v>7.2061129868904422E-2</v>
      </c>
      <c r="E2238" s="1280">
        <v>0.48450300667357887</v>
      </c>
      <c r="F2238" s="1271">
        <v>4.9618631380154668E-2</v>
      </c>
      <c r="G2238" s="1257">
        <v>7.7751960369968606E-2</v>
      </c>
      <c r="H2238" s="1280">
        <v>0.73578509555992344</v>
      </c>
      <c r="I2238" s="1271">
        <v>6.930634322591292E-2</v>
      </c>
      <c r="J2238" s="1257">
        <v>0.13066348700351854</v>
      </c>
      <c r="K2238" s="1280">
        <v>1.2364993218641791</v>
      </c>
      <c r="L2238" s="1237">
        <v>0.17426987125622292</v>
      </c>
    </row>
    <row r="2239" spans="1:12" s="326" customFormat="1" ht="15.5" x14ac:dyDescent="0.35">
      <c r="A2239" s="328" t="s">
        <v>3203</v>
      </c>
      <c r="B2239" s="1291">
        <v>6.4855016882013977E-2</v>
      </c>
      <c r="C2239" s="1257">
        <v>7.8773291380573929E-2</v>
      </c>
      <c r="D2239" s="1257">
        <v>7.2061129868904422E-2</v>
      </c>
      <c r="E2239" s="1280">
        <v>0.48450300667357887</v>
      </c>
      <c r="F2239" s="1271">
        <v>4.9618631380154668E-2</v>
      </c>
      <c r="G2239" s="1257">
        <v>7.7751960369968606E-2</v>
      </c>
      <c r="H2239" s="1280">
        <v>0.73578509555992344</v>
      </c>
      <c r="I2239" s="1271">
        <v>6.930634322591292E-2</v>
      </c>
      <c r="J2239" s="1257">
        <v>0.13066348700351854</v>
      </c>
      <c r="K2239" s="1280">
        <v>1.2364993218641791</v>
      </c>
      <c r="L2239" s="1237">
        <v>0.17426987125622292</v>
      </c>
    </row>
    <row r="2240" spans="1:12" s="326" customFormat="1" ht="15.5" x14ac:dyDescent="0.35">
      <c r="A2240" s="328" t="s">
        <v>3204</v>
      </c>
      <c r="B2240" s="1291">
        <v>6.4855016882013977E-2</v>
      </c>
      <c r="C2240" s="1257">
        <v>7.8773291380573929E-2</v>
      </c>
      <c r="D2240" s="1257">
        <v>7.2061129868904422E-2</v>
      </c>
      <c r="E2240" s="1280">
        <v>0.48450300667357887</v>
      </c>
      <c r="F2240" s="1271">
        <v>4.9618631380154668E-2</v>
      </c>
      <c r="G2240" s="1257">
        <v>7.7751960369968606E-2</v>
      </c>
      <c r="H2240" s="1280">
        <v>0.73578509555992344</v>
      </c>
      <c r="I2240" s="1271">
        <v>6.930634322591292E-2</v>
      </c>
      <c r="J2240" s="1257">
        <v>0.13066348700351854</v>
      </c>
      <c r="K2240" s="1280">
        <v>1.2364993218641791</v>
      </c>
      <c r="L2240" s="1237">
        <v>0.17426987125622292</v>
      </c>
    </row>
    <row r="2241" spans="1:12" s="326" customFormat="1" ht="15.5" x14ac:dyDescent="0.35">
      <c r="A2241" s="328" t="s">
        <v>3205</v>
      </c>
      <c r="B2241" s="1291">
        <v>6.4855016882013977E-2</v>
      </c>
      <c r="C2241" s="1257">
        <v>7.8773291380573929E-2</v>
      </c>
      <c r="D2241" s="1257">
        <v>7.2061129868904422E-2</v>
      </c>
      <c r="E2241" s="1280">
        <v>0.48450300667357887</v>
      </c>
      <c r="F2241" s="1271">
        <v>4.9618631380154668E-2</v>
      </c>
      <c r="G2241" s="1257">
        <v>7.7751960369968606E-2</v>
      </c>
      <c r="H2241" s="1280">
        <v>0.73578509555992344</v>
      </c>
      <c r="I2241" s="1271">
        <v>6.930634322591292E-2</v>
      </c>
      <c r="J2241" s="1257">
        <v>0.13066348700351854</v>
      </c>
      <c r="K2241" s="1280">
        <v>1.2364993218641791</v>
      </c>
      <c r="L2241" s="1237">
        <v>0.17426987125622292</v>
      </c>
    </row>
    <row r="2242" spans="1:12" s="326" customFormat="1" ht="15.5" x14ac:dyDescent="0.35">
      <c r="A2242" s="328" t="s">
        <v>3206</v>
      </c>
      <c r="B2242" s="1291">
        <v>6.4855016882013977E-2</v>
      </c>
      <c r="C2242" s="1257">
        <v>7.8773291380573929E-2</v>
      </c>
      <c r="D2242" s="1257">
        <v>7.2061129868904422E-2</v>
      </c>
      <c r="E2242" s="1280">
        <v>0.48450300667357887</v>
      </c>
      <c r="F2242" s="1271">
        <v>4.9618631380154668E-2</v>
      </c>
      <c r="G2242" s="1257">
        <v>7.7751960369968606E-2</v>
      </c>
      <c r="H2242" s="1280">
        <v>0.73578509555992344</v>
      </c>
      <c r="I2242" s="1271">
        <v>6.930634322591292E-2</v>
      </c>
      <c r="J2242" s="1257">
        <v>0.13066348700351854</v>
      </c>
      <c r="K2242" s="1280">
        <v>1.2364993218641791</v>
      </c>
      <c r="L2242" s="1237">
        <v>0.17426987125622292</v>
      </c>
    </row>
    <row r="2243" spans="1:12" s="326" customFormat="1" ht="15.5" x14ac:dyDescent="0.35">
      <c r="A2243" s="328" t="s">
        <v>3207</v>
      </c>
      <c r="B2243" s="1291">
        <v>6.4855016882013977E-2</v>
      </c>
      <c r="C2243" s="1257">
        <v>7.8773291380573929E-2</v>
      </c>
      <c r="D2243" s="1257">
        <v>7.2061129868904422E-2</v>
      </c>
      <c r="E2243" s="1280">
        <v>0.48450300667357887</v>
      </c>
      <c r="F2243" s="1271">
        <v>4.9618631380154668E-2</v>
      </c>
      <c r="G2243" s="1257">
        <v>7.7751960369968606E-2</v>
      </c>
      <c r="H2243" s="1280">
        <v>0.73578509555992344</v>
      </c>
      <c r="I2243" s="1271">
        <v>6.930634322591292E-2</v>
      </c>
      <c r="J2243" s="1257">
        <v>0.13066348700351854</v>
      </c>
      <c r="K2243" s="1280">
        <v>1.2364993218641791</v>
      </c>
      <c r="L2243" s="1237">
        <v>0.17426987125622292</v>
      </c>
    </row>
    <row r="2244" spans="1:12" s="326" customFormat="1" ht="15.5" x14ac:dyDescent="0.35">
      <c r="A2244" s="328" t="s">
        <v>3208</v>
      </c>
      <c r="B2244" s="1291">
        <v>6.4855016882013977E-2</v>
      </c>
      <c r="C2244" s="1257">
        <v>7.8773291380573929E-2</v>
      </c>
      <c r="D2244" s="1257">
        <v>7.2061129868904422E-2</v>
      </c>
      <c r="E2244" s="1280">
        <v>0.48450300667357887</v>
      </c>
      <c r="F2244" s="1271">
        <v>4.9618631380154668E-2</v>
      </c>
      <c r="G2244" s="1257">
        <v>7.7751960369968606E-2</v>
      </c>
      <c r="H2244" s="1280">
        <v>0.73578509555992344</v>
      </c>
      <c r="I2244" s="1271">
        <v>6.930634322591292E-2</v>
      </c>
      <c r="J2244" s="1257">
        <v>0.13066348700351854</v>
      </c>
      <c r="K2244" s="1280">
        <v>1.2364993218641791</v>
      </c>
      <c r="L2244" s="1237">
        <v>0.17426987125622292</v>
      </c>
    </row>
    <row r="2245" spans="1:12" s="326" customFormat="1" ht="15.5" x14ac:dyDescent="0.35">
      <c r="A2245" s="328" t="s">
        <v>3209</v>
      </c>
      <c r="B2245" s="1291">
        <v>6.4855016882013977E-2</v>
      </c>
      <c r="C2245" s="1257">
        <v>7.8773291380573929E-2</v>
      </c>
      <c r="D2245" s="1257">
        <v>7.2061129868904422E-2</v>
      </c>
      <c r="E2245" s="1280">
        <v>0.48450300667357887</v>
      </c>
      <c r="F2245" s="1271">
        <v>4.9618631380154668E-2</v>
      </c>
      <c r="G2245" s="1257">
        <v>7.7751960369968606E-2</v>
      </c>
      <c r="H2245" s="1280">
        <v>0.73578509555992344</v>
      </c>
      <c r="I2245" s="1271">
        <v>6.930634322591292E-2</v>
      </c>
      <c r="J2245" s="1257">
        <v>0.13066348700351854</v>
      </c>
      <c r="K2245" s="1280">
        <v>1.2364993218641791</v>
      </c>
      <c r="L2245" s="1237">
        <v>0.17426987125622292</v>
      </c>
    </row>
    <row r="2246" spans="1:12" s="326" customFormat="1" ht="15.5" x14ac:dyDescent="0.35">
      <c r="A2246" s="328" t="s">
        <v>3210</v>
      </c>
      <c r="B2246" s="1291">
        <v>6.4855016882013977E-2</v>
      </c>
      <c r="C2246" s="1257">
        <v>7.8773291380573929E-2</v>
      </c>
      <c r="D2246" s="1257">
        <v>7.2061129868904422E-2</v>
      </c>
      <c r="E2246" s="1280">
        <v>0.48450300667357887</v>
      </c>
      <c r="F2246" s="1271">
        <v>4.9618631380154668E-2</v>
      </c>
      <c r="G2246" s="1257">
        <v>7.7751960369968606E-2</v>
      </c>
      <c r="H2246" s="1280">
        <v>0.73578509555992344</v>
      </c>
      <c r="I2246" s="1271">
        <v>6.930634322591292E-2</v>
      </c>
      <c r="J2246" s="1257">
        <v>0.13066348700351854</v>
      </c>
      <c r="K2246" s="1280">
        <v>1.2364993218641791</v>
      </c>
      <c r="L2246" s="1237">
        <v>0.17426987125622292</v>
      </c>
    </row>
    <row r="2247" spans="1:12" s="326" customFormat="1" ht="15.5" x14ac:dyDescent="0.35">
      <c r="A2247" s="328" t="s">
        <v>3211</v>
      </c>
      <c r="B2247" s="1291">
        <v>6.4855016882013977E-2</v>
      </c>
      <c r="C2247" s="1257">
        <v>7.8773291380573929E-2</v>
      </c>
      <c r="D2247" s="1257">
        <v>7.2061129868904422E-2</v>
      </c>
      <c r="E2247" s="1280">
        <v>0.48450300667357887</v>
      </c>
      <c r="F2247" s="1271">
        <v>4.9618631380154668E-2</v>
      </c>
      <c r="G2247" s="1257">
        <v>7.7751960369968606E-2</v>
      </c>
      <c r="H2247" s="1280">
        <v>0.73578509555992344</v>
      </c>
      <c r="I2247" s="1271">
        <v>6.930634322591292E-2</v>
      </c>
      <c r="J2247" s="1257">
        <v>0.13066348700351854</v>
      </c>
      <c r="K2247" s="1280">
        <v>1.2364993218641791</v>
      </c>
      <c r="L2247" s="1237">
        <v>0.17426987125622292</v>
      </c>
    </row>
    <row r="2248" spans="1:12" s="326" customFormat="1" ht="15.5" x14ac:dyDescent="0.35">
      <c r="A2248" s="328" t="s">
        <v>3212</v>
      </c>
      <c r="B2248" s="1291">
        <v>6.4855016882013977E-2</v>
      </c>
      <c r="C2248" s="1257">
        <v>7.8773291380573929E-2</v>
      </c>
      <c r="D2248" s="1257">
        <v>7.2061129868904422E-2</v>
      </c>
      <c r="E2248" s="1280">
        <v>0.48450300667357887</v>
      </c>
      <c r="F2248" s="1271">
        <v>4.9618631380154668E-2</v>
      </c>
      <c r="G2248" s="1257">
        <v>7.7751960369968606E-2</v>
      </c>
      <c r="H2248" s="1280">
        <v>0.73578509555992344</v>
      </c>
      <c r="I2248" s="1271">
        <v>6.930634322591292E-2</v>
      </c>
      <c r="J2248" s="1257">
        <v>0.13066348700351854</v>
      </c>
      <c r="K2248" s="1280">
        <v>1.2364993218641791</v>
      </c>
      <c r="L2248" s="1237">
        <v>0.17426987125622292</v>
      </c>
    </row>
    <row r="2249" spans="1:12" s="326" customFormat="1" ht="15.5" x14ac:dyDescent="0.35">
      <c r="A2249" s="328" t="s">
        <v>3213</v>
      </c>
      <c r="B2249" s="1291">
        <v>6.4855016882013977E-2</v>
      </c>
      <c r="C2249" s="1257">
        <v>7.8773291380573929E-2</v>
      </c>
      <c r="D2249" s="1257">
        <v>7.2061129868904422E-2</v>
      </c>
      <c r="E2249" s="1280">
        <v>0.48450300667357887</v>
      </c>
      <c r="F2249" s="1271">
        <v>4.9618631380154668E-2</v>
      </c>
      <c r="G2249" s="1257">
        <v>7.7751960369968606E-2</v>
      </c>
      <c r="H2249" s="1280">
        <v>0.73578509555992344</v>
      </c>
      <c r="I2249" s="1271">
        <v>6.930634322591292E-2</v>
      </c>
      <c r="J2249" s="1257">
        <v>0.13066348700351854</v>
      </c>
      <c r="K2249" s="1280">
        <v>1.2364993218641791</v>
      </c>
      <c r="L2249" s="1237">
        <v>0.17426987125622292</v>
      </c>
    </row>
    <row r="2250" spans="1:12" s="326" customFormat="1" ht="15.5" x14ac:dyDescent="0.35">
      <c r="A2250" s="328" t="s">
        <v>3214</v>
      </c>
      <c r="B2250" s="1291">
        <v>6.4855016882013977E-2</v>
      </c>
      <c r="C2250" s="1257">
        <v>7.8773291380573929E-2</v>
      </c>
      <c r="D2250" s="1257">
        <v>7.2061129868904422E-2</v>
      </c>
      <c r="E2250" s="1280">
        <v>0.48450300667357887</v>
      </c>
      <c r="F2250" s="1271">
        <v>4.9618631380154668E-2</v>
      </c>
      <c r="G2250" s="1257">
        <v>7.7751960369968606E-2</v>
      </c>
      <c r="H2250" s="1280">
        <v>0.73578509555992344</v>
      </c>
      <c r="I2250" s="1271">
        <v>6.930634322591292E-2</v>
      </c>
      <c r="J2250" s="1257">
        <v>0.13066348700351854</v>
      </c>
      <c r="K2250" s="1280">
        <v>1.2364993218641791</v>
      </c>
      <c r="L2250" s="1237">
        <v>0.17426987125622292</v>
      </c>
    </row>
    <row r="2251" spans="1:12" s="326" customFormat="1" ht="15.5" x14ac:dyDescent="0.35">
      <c r="A2251" s="328" t="s">
        <v>3215</v>
      </c>
      <c r="B2251" s="1291">
        <v>6.4855016882013977E-2</v>
      </c>
      <c r="C2251" s="1257">
        <v>7.8773291380573929E-2</v>
      </c>
      <c r="D2251" s="1257">
        <v>7.2061129868904422E-2</v>
      </c>
      <c r="E2251" s="1280">
        <v>0.48450300667357887</v>
      </c>
      <c r="F2251" s="1271">
        <v>4.9618631380154668E-2</v>
      </c>
      <c r="G2251" s="1257">
        <v>7.7751960369968606E-2</v>
      </c>
      <c r="H2251" s="1280">
        <v>0.73578509555992344</v>
      </c>
      <c r="I2251" s="1271">
        <v>6.930634322591292E-2</v>
      </c>
      <c r="J2251" s="1257">
        <v>0.13066348700351854</v>
      </c>
      <c r="K2251" s="1280">
        <v>1.2364993218641791</v>
      </c>
      <c r="L2251" s="1237">
        <v>0.17426987125622292</v>
      </c>
    </row>
    <row r="2252" spans="1:12" s="326" customFormat="1" ht="15.5" x14ac:dyDescent="0.35">
      <c r="A2252" s="328" t="s">
        <v>3216</v>
      </c>
      <c r="B2252" s="1291">
        <v>6.4855016882013977E-2</v>
      </c>
      <c r="C2252" s="1257">
        <v>7.8773291380573929E-2</v>
      </c>
      <c r="D2252" s="1257">
        <v>7.2061129868904422E-2</v>
      </c>
      <c r="E2252" s="1280">
        <v>0.48450300667357887</v>
      </c>
      <c r="F2252" s="1271">
        <v>4.9618631380154668E-2</v>
      </c>
      <c r="G2252" s="1257">
        <v>7.7751960369968606E-2</v>
      </c>
      <c r="H2252" s="1280">
        <v>0.73578509555992344</v>
      </c>
      <c r="I2252" s="1271">
        <v>6.930634322591292E-2</v>
      </c>
      <c r="J2252" s="1257">
        <v>0.13066348700351854</v>
      </c>
      <c r="K2252" s="1280">
        <v>1.2364993218641791</v>
      </c>
      <c r="L2252" s="1237">
        <v>0.17426987125622292</v>
      </c>
    </row>
    <row r="2253" spans="1:12" s="326" customFormat="1" ht="15.5" x14ac:dyDescent="0.35">
      <c r="A2253" s="328" t="s">
        <v>3217</v>
      </c>
      <c r="B2253" s="1291">
        <v>6.4855016882013977E-2</v>
      </c>
      <c r="C2253" s="1257">
        <v>7.8773291380573929E-2</v>
      </c>
      <c r="D2253" s="1257">
        <v>7.2061129868904422E-2</v>
      </c>
      <c r="E2253" s="1280">
        <v>0.48450300667357887</v>
      </c>
      <c r="F2253" s="1271">
        <v>4.9618631380154668E-2</v>
      </c>
      <c r="G2253" s="1257">
        <v>7.7751960369968606E-2</v>
      </c>
      <c r="H2253" s="1280">
        <v>0.73578509555992344</v>
      </c>
      <c r="I2253" s="1271">
        <v>6.930634322591292E-2</v>
      </c>
      <c r="J2253" s="1257">
        <v>0.13066348700351854</v>
      </c>
      <c r="K2253" s="1280">
        <v>1.2364993218641791</v>
      </c>
      <c r="L2253" s="1237">
        <v>0.17426987125622292</v>
      </c>
    </row>
    <row r="2254" spans="1:12" s="326" customFormat="1" ht="15.5" x14ac:dyDescent="0.35">
      <c r="A2254" s="328" t="s">
        <v>3218</v>
      </c>
      <c r="B2254" s="1291">
        <v>6.4855016882013977E-2</v>
      </c>
      <c r="C2254" s="1257">
        <v>7.8773291380573929E-2</v>
      </c>
      <c r="D2254" s="1257">
        <v>7.2061129868904422E-2</v>
      </c>
      <c r="E2254" s="1280">
        <v>0.48450300667357887</v>
      </c>
      <c r="F2254" s="1271">
        <v>4.9618631380154668E-2</v>
      </c>
      <c r="G2254" s="1257">
        <v>7.7751960369968606E-2</v>
      </c>
      <c r="H2254" s="1280">
        <v>0.73578509555992344</v>
      </c>
      <c r="I2254" s="1271">
        <v>6.930634322591292E-2</v>
      </c>
      <c r="J2254" s="1257">
        <v>0.13066348700351854</v>
      </c>
      <c r="K2254" s="1280">
        <v>1.2364993218641791</v>
      </c>
      <c r="L2254" s="1237">
        <v>0.17426987125622292</v>
      </c>
    </row>
    <row r="2255" spans="1:12" s="326" customFormat="1" ht="15.5" x14ac:dyDescent="0.35">
      <c r="A2255" s="328" t="s">
        <v>3219</v>
      </c>
      <c r="B2255" s="1291">
        <v>6.4855016882013977E-2</v>
      </c>
      <c r="C2255" s="1257">
        <v>7.8773291380573929E-2</v>
      </c>
      <c r="D2255" s="1257">
        <v>7.2061129868904422E-2</v>
      </c>
      <c r="E2255" s="1280">
        <v>0.48450300667357887</v>
      </c>
      <c r="F2255" s="1271">
        <v>4.9618631380154668E-2</v>
      </c>
      <c r="G2255" s="1257">
        <v>7.7751960369968606E-2</v>
      </c>
      <c r="H2255" s="1280">
        <v>0.73578509555992344</v>
      </c>
      <c r="I2255" s="1271">
        <v>6.930634322591292E-2</v>
      </c>
      <c r="J2255" s="1257">
        <v>0.13066348700351854</v>
      </c>
      <c r="K2255" s="1280">
        <v>1.2364993218641791</v>
      </c>
      <c r="L2255" s="1237">
        <v>0.17426987125622292</v>
      </c>
    </row>
    <row r="2256" spans="1:12" s="326" customFormat="1" ht="15.5" x14ac:dyDescent="0.35">
      <c r="A2256" s="328" t="s">
        <v>3220</v>
      </c>
      <c r="B2256" s="1291">
        <v>6.4855016882013977E-2</v>
      </c>
      <c r="C2256" s="1257">
        <v>7.8773291380573929E-2</v>
      </c>
      <c r="D2256" s="1257">
        <v>7.2061129868904422E-2</v>
      </c>
      <c r="E2256" s="1280">
        <v>0.48450300667357887</v>
      </c>
      <c r="F2256" s="1271">
        <v>4.9618631380154668E-2</v>
      </c>
      <c r="G2256" s="1257">
        <v>7.7751960369968606E-2</v>
      </c>
      <c r="H2256" s="1280">
        <v>0.73578509555992344</v>
      </c>
      <c r="I2256" s="1271">
        <v>6.930634322591292E-2</v>
      </c>
      <c r="J2256" s="1257">
        <v>0.13066348700351854</v>
      </c>
      <c r="K2256" s="1280">
        <v>1.2364993218641791</v>
      </c>
      <c r="L2256" s="1237">
        <v>0.17426987125622292</v>
      </c>
    </row>
    <row r="2257" spans="1:12" s="326" customFormat="1" ht="15.5" x14ac:dyDescent="0.35">
      <c r="A2257" s="328" t="s">
        <v>3221</v>
      </c>
      <c r="B2257" s="1291">
        <v>6.4855016882013977E-2</v>
      </c>
      <c r="C2257" s="1257">
        <v>7.8773291380573929E-2</v>
      </c>
      <c r="D2257" s="1257">
        <v>7.2061129868904422E-2</v>
      </c>
      <c r="E2257" s="1280">
        <v>0.48450300667357887</v>
      </c>
      <c r="F2257" s="1271">
        <v>4.9618631380154668E-2</v>
      </c>
      <c r="G2257" s="1257">
        <v>7.7751960369968606E-2</v>
      </c>
      <c r="H2257" s="1280">
        <v>0.73578509555992344</v>
      </c>
      <c r="I2257" s="1271">
        <v>6.930634322591292E-2</v>
      </c>
      <c r="J2257" s="1257">
        <v>0.13066348700351854</v>
      </c>
      <c r="K2257" s="1280">
        <v>1.2364993218641791</v>
      </c>
      <c r="L2257" s="1237">
        <v>0.17426987125622292</v>
      </c>
    </row>
    <row r="2258" spans="1:12" s="326" customFormat="1" ht="15.5" x14ac:dyDescent="0.35">
      <c r="A2258" s="328" t="s">
        <v>3222</v>
      </c>
      <c r="B2258" s="1291">
        <v>6.4855016882013977E-2</v>
      </c>
      <c r="C2258" s="1257">
        <v>7.8773291380573929E-2</v>
      </c>
      <c r="D2258" s="1257">
        <v>7.2061129868904422E-2</v>
      </c>
      <c r="E2258" s="1280">
        <v>0.48450300667357887</v>
      </c>
      <c r="F2258" s="1271">
        <v>4.9618631380154668E-2</v>
      </c>
      <c r="G2258" s="1257">
        <v>7.7751960369968606E-2</v>
      </c>
      <c r="H2258" s="1280">
        <v>0.73578509555992344</v>
      </c>
      <c r="I2258" s="1271">
        <v>6.930634322591292E-2</v>
      </c>
      <c r="J2258" s="1257">
        <v>0.13066348700351854</v>
      </c>
      <c r="K2258" s="1280">
        <v>1.2364993218641791</v>
      </c>
      <c r="L2258" s="1237">
        <v>0.17426987125622292</v>
      </c>
    </row>
    <row r="2259" spans="1:12" s="326" customFormat="1" ht="15.5" x14ac:dyDescent="0.35">
      <c r="A2259" s="328" t="s">
        <v>3223</v>
      </c>
      <c r="B2259" s="1291">
        <v>6.4855016882013977E-2</v>
      </c>
      <c r="C2259" s="1257">
        <v>7.8773291380573929E-2</v>
      </c>
      <c r="D2259" s="1257">
        <v>7.2061129868904422E-2</v>
      </c>
      <c r="E2259" s="1280">
        <v>0.48450300667357887</v>
      </c>
      <c r="F2259" s="1271">
        <v>4.9618631380154668E-2</v>
      </c>
      <c r="G2259" s="1257">
        <v>7.7751960369968606E-2</v>
      </c>
      <c r="H2259" s="1280">
        <v>0.73578509555992344</v>
      </c>
      <c r="I2259" s="1271">
        <v>6.930634322591292E-2</v>
      </c>
      <c r="J2259" s="1257">
        <v>0.13066348700351854</v>
      </c>
      <c r="K2259" s="1280">
        <v>1.2364993218641791</v>
      </c>
      <c r="L2259" s="1237">
        <v>0.17426987125622292</v>
      </c>
    </row>
    <row r="2260" spans="1:12" s="326" customFormat="1" ht="15.5" x14ac:dyDescent="0.35">
      <c r="A2260" s="328" t="s">
        <v>3224</v>
      </c>
      <c r="B2260" s="1291">
        <v>6.4855016882013977E-2</v>
      </c>
      <c r="C2260" s="1257">
        <v>7.8773291380573929E-2</v>
      </c>
      <c r="D2260" s="1257">
        <v>7.2061129868904422E-2</v>
      </c>
      <c r="E2260" s="1280">
        <v>0.48450300667357887</v>
      </c>
      <c r="F2260" s="1271">
        <v>4.9618631380154668E-2</v>
      </c>
      <c r="G2260" s="1257">
        <v>7.7751960369968606E-2</v>
      </c>
      <c r="H2260" s="1280">
        <v>0.73578509555992344</v>
      </c>
      <c r="I2260" s="1271">
        <v>6.930634322591292E-2</v>
      </c>
      <c r="J2260" s="1257">
        <v>0.13066348700351854</v>
      </c>
      <c r="K2260" s="1280">
        <v>1.2364993218641791</v>
      </c>
      <c r="L2260" s="1237">
        <v>0.17426987125622292</v>
      </c>
    </row>
    <row r="2261" spans="1:12" s="326" customFormat="1" ht="15.5" x14ac:dyDescent="0.35">
      <c r="A2261" s="328" t="s">
        <v>3225</v>
      </c>
      <c r="B2261" s="1291">
        <v>6.4855016882013977E-2</v>
      </c>
      <c r="C2261" s="1257">
        <v>7.8773291380573929E-2</v>
      </c>
      <c r="D2261" s="1257">
        <v>7.2061129868904422E-2</v>
      </c>
      <c r="E2261" s="1280">
        <v>0.48450300667357887</v>
      </c>
      <c r="F2261" s="1271">
        <v>4.9618631380154668E-2</v>
      </c>
      <c r="G2261" s="1257">
        <v>7.7751960369968606E-2</v>
      </c>
      <c r="H2261" s="1280">
        <v>0.73578509555992344</v>
      </c>
      <c r="I2261" s="1271">
        <v>6.930634322591292E-2</v>
      </c>
      <c r="J2261" s="1257">
        <v>0.13066348700351854</v>
      </c>
      <c r="K2261" s="1280">
        <v>1.2364993218641791</v>
      </c>
      <c r="L2261" s="1237">
        <v>0.17426987125622292</v>
      </c>
    </row>
    <row r="2262" spans="1:12" s="326" customFormat="1" ht="15.5" x14ac:dyDescent="0.35">
      <c r="A2262" s="328" t="s">
        <v>3226</v>
      </c>
      <c r="B2262" s="1291">
        <v>6.4855016882013977E-2</v>
      </c>
      <c r="C2262" s="1257">
        <v>7.8773291380573929E-2</v>
      </c>
      <c r="D2262" s="1257">
        <v>7.2061129868904422E-2</v>
      </c>
      <c r="E2262" s="1280">
        <v>0.48450300667357887</v>
      </c>
      <c r="F2262" s="1271">
        <v>4.9618631380154668E-2</v>
      </c>
      <c r="G2262" s="1257">
        <v>7.7751960369968606E-2</v>
      </c>
      <c r="H2262" s="1280">
        <v>0.73578509555992344</v>
      </c>
      <c r="I2262" s="1271">
        <v>6.930634322591292E-2</v>
      </c>
      <c r="J2262" s="1257">
        <v>0.13066348700351854</v>
      </c>
      <c r="K2262" s="1280">
        <v>1.2364993218641791</v>
      </c>
      <c r="L2262" s="1237">
        <v>0.17426987125622292</v>
      </c>
    </row>
    <row r="2263" spans="1:12" s="326" customFormat="1" ht="15.5" x14ac:dyDescent="0.35">
      <c r="A2263" s="328" t="s">
        <v>3227</v>
      </c>
      <c r="B2263" s="1291">
        <v>6.4855016882013977E-2</v>
      </c>
      <c r="C2263" s="1257">
        <v>7.8773291380573929E-2</v>
      </c>
      <c r="D2263" s="1257">
        <v>7.2061129868904422E-2</v>
      </c>
      <c r="E2263" s="1280">
        <v>0.48450300667357887</v>
      </c>
      <c r="F2263" s="1271">
        <v>4.9618631380154668E-2</v>
      </c>
      <c r="G2263" s="1257">
        <v>7.7751960369968606E-2</v>
      </c>
      <c r="H2263" s="1280">
        <v>0.73578509555992344</v>
      </c>
      <c r="I2263" s="1271">
        <v>6.930634322591292E-2</v>
      </c>
      <c r="J2263" s="1257">
        <v>0.13066348700351854</v>
      </c>
      <c r="K2263" s="1280">
        <v>1.2364993218641791</v>
      </c>
      <c r="L2263" s="1237">
        <v>0.17426987125622292</v>
      </c>
    </row>
    <row r="2264" spans="1:12" s="326" customFormat="1" ht="15.5" x14ac:dyDescent="0.35">
      <c r="A2264" s="328" t="s">
        <v>3228</v>
      </c>
      <c r="B2264" s="1291">
        <v>6.4855016882013977E-2</v>
      </c>
      <c r="C2264" s="1257">
        <v>7.8773291380573929E-2</v>
      </c>
      <c r="D2264" s="1257">
        <v>7.2061129868904422E-2</v>
      </c>
      <c r="E2264" s="1280">
        <v>0.48450300667357887</v>
      </c>
      <c r="F2264" s="1271">
        <v>4.9618631380154668E-2</v>
      </c>
      <c r="G2264" s="1257">
        <v>7.7751960369968606E-2</v>
      </c>
      <c r="H2264" s="1280">
        <v>0.73578509555992344</v>
      </c>
      <c r="I2264" s="1271">
        <v>6.930634322591292E-2</v>
      </c>
      <c r="J2264" s="1257">
        <v>0.13066348700351854</v>
      </c>
      <c r="K2264" s="1280">
        <v>1.2364993218641791</v>
      </c>
      <c r="L2264" s="1237">
        <v>0.17426987125622292</v>
      </c>
    </row>
    <row r="2265" spans="1:12" s="326" customFormat="1" ht="15.5" x14ac:dyDescent="0.35">
      <c r="A2265" s="328" t="s">
        <v>3229</v>
      </c>
      <c r="B2265" s="1291">
        <v>6.4855016882013977E-2</v>
      </c>
      <c r="C2265" s="1257">
        <v>7.8773291380573929E-2</v>
      </c>
      <c r="D2265" s="1257">
        <v>7.2061129868904422E-2</v>
      </c>
      <c r="E2265" s="1280">
        <v>0.48450300667357887</v>
      </c>
      <c r="F2265" s="1271">
        <v>4.9618631380154668E-2</v>
      </c>
      <c r="G2265" s="1257">
        <v>7.7751960369968606E-2</v>
      </c>
      <c r="H2265" s="1280">
        <v>0.73578509555992344</v>
      </c>
      <c r="I2265" s="1271">
        <v>6.930634322591292E-2</v>
      </c>
      <c r="J2265" s="1257">
        <v>0.13066348700351854</v>
      </c>
      <c r="K2265" s="1280">
        <v>1.2364993218641791</v>
      </c>
      <c r="L2265" s="1237">
        <v>0.17426987125622292</v>
      </c>
    </row>
    <row r="2266" spans="1:12" s="326" customFormat="1" ht="15.5" x14ac:dyDescent="0.35">
      <c r="A2266" s="328" t="s">
        <v>3230</v>
      </c>
      <c r="B2266" s="1291">
        <v>6.4855016882013977E-2</v>
      </c>
      <c r="C2266" s="1257">
        <v>7.8773291380573929E-2</v>
      </c>
      <c r="D2266" s="1257">
        <v>7.2061129868904422E-2</v>
      </c>
      <c r="E2266" s="1280">
        <v>0.48450300667357887</v>
      </c>
      <c r="F2266" s="1271">
        <v>4.9618631380154668E-2</v>
      </c>
      <c r="G2266" s="1257">
        <v>7.7751960369968606E-2</v>
      </c>
      <c r="H2266" s="1280">
        <v>0.73578509555992344</v>
      </c>
      <c r="I2266" s="1271">
        <v>6.930634322591292E-2</v>
      </c>
      <c r="J2266" s="1257">
        <v>0.13066348700351854</v>
      </c>
      <c r="K2266" s="1280">
        <v>1.2364993218641791</v>
      </c>
      <c r="L2266" s="1237">
        <v>0.17426987125622292</v>
      </c>
    </row>
    <row r="2267" spans="1:12" s="326" customFormat="1" ht="15.5" x14ac:dyDescent="0.35">
      <c r="A2267" s="328" t="s">
        <v>3231</v>
      </c>
      <c r="B2267" s="1291">
        <v>6.4855016882013977E-2</v>
      </c>
      <c r="C2267" s="1257">
        <v>7.8773291380573929E-2</v>
      </c>
      <c r="D2267" s="1257">
        <v>7.2061129868904422E-2</v>
      </c>
      <c r="E2267" s="1280">
        <v>0.48450300667357887</v>
      </c>
      <c r="F2267" s="1271">
        <v>4.9618631380154668E-2</v>
      </c>
      <c r="G2267" s="1257">
        <v>7.7751960369968606E-2</v>
      </c>
      <c r="H2267" s="1280">
        <v>0.73578509555992344</v>
      </c>
      <c r="I2267" s="1271">
        <v>6.930634322591292E-2</v>
      </c>
      <c r="J2267" s="1257">
        <v>0.13066348700351854</v>
      </c>
      <c r="K2267" s="1280">
        <v>1.2364993218641791</v>
      </c>
      <c r="L2267" s="1237">
        <v>0.17426987125622292</v>
      </c>
    </row>
    <row r="2268" spans="1:12" s="326" customFormat="1" ht="15.5" x14ac:dyDescent="0.35">
      <c r="A2268" s="328" t="s">
        <v>3232</v>
      </c>
      <c r="B2268" s="1291">
        <v>6.4855016882013977E-2</v>
      </c>
      <c r="C2268" s="1257">
        <v>7.8773291380573929E-2</v>
      </c>
      <c r="D2268" s="1257">
        <v>7.2061129868904422E-2</v>
      </c>
      <c r="E2268" s="1280">
        <v>0.48450300667357887</v>
      </c>
      <c r="F2268" s="1271">
        <v>4.9618631380154668E-2</v>
      </c>
      <c r="G2268" s="1257">
        <v>7.7751960369968606E-2</v>
      </c>
      <c r="H2268" s="1280">
        <v>0.73578509555992344</v>
      </c>
      <c r="I2268" s="1271">
        <v>6.930634322591292E-2</v>
      </c>
      <c r="J2268" s="1257">
        <v>0.13066348700351854</v>
      </c>
      <c r="K2268" s="1280">
        <v>1.2364993218641791</v>
      </c>
      <c r="L2268" s="1237">
        <v>0.17426987125622292</v>
      </c>
    </row>
    <row r="2269" spans="1:12" s="326" customFormat="1" ht="15.5" x14ac:dyDescent="0.35">
      <c r="A2269" s="328" t="s">
        <v>3233</v>
      </c>
      <c r="B2269" s="1291">
        <v>6.4855016882013977E-2</v>
      </c>
      <c r="C2269" s="1257">
        <v>7.8773291380573929E-2</v>
      </c>
      <c r="D2269" s="1257">
        <v>7.2061129868904422E-2</v>
      </c>
      <c r="E2269" s="1280">
        <v>0.48450300667357887</v>
      </c>
      <c r="F2269" s="1271">
        <v>4.9618631380154668E-2</v>
      </c>
      <c r="G2269" s="1257">
        <v>7.7751960369968606E-2</v>
      </c>
      <c r="H2269" s="1280">
        <v>0.73578509555992344</v>
      </c>
      <c r="I2269" s="1271">
        <v>6.930634322591292E-2</v>
      </c>
      <c r="J2269" s="1257">
        <v>0.13066348700351854</v>
      </c>
      <c r="K2269" s="1280">
        <v>1.2364993218641791</v>
      </c>
      <c r="L2269" s="1237">
        <v>0.17426987125622292</v>
      </c>
    </row>
    <row r="2270" spans="1:12" s="326" customFormat="1" ht="15.5" x14ac:dyDescent="0.35">
      <c r="A2270" s="328" t="s">
        <v>3234</v>
      </c>
      <c r="B2270" s="1291">
        <v>6.4855016882013977E-2</v>
      </c>
      <c r="C2270" s="1257">
        <v>7.8773291380573929E-2</v>
      </c>
      <c r="D2270" s="1257">
        <v>7.2061129868904422E-2</v>
      </c>
      <c r="E2270" s="1280">
        <v>0.48450300667357887</v>
      </c>
      <c r="F2270" s="1271">
        <v>4.9618631380154668E-2</v>
      </c>
      <c r="G2270" s="1257">
        <v>7.7751960369968606E-2</v>
      </c>
      <c r="H2270" s="1280">
        <v>0.73578509555992344</v>
      </c>
      <c r="I2270" s="1271">
        <v>6.930634322591292E-2</v>
      </c>
      <c r="J2270" s="1257">
        <v>0.13066348700351854</v>
      </c>
      <c r="K2270" s="1280">
        <v>1.2364993218641791</v>
      </c>
      <c r="L2270" s="1237">
        <v>0.17426987125622292</v>
      </c>
    </row>
    <row r="2271" spans="1:12" s="326" customFormat="1" ht="15.5" x14ac:dyDescent="0.35">
      <c r="A2271" s="328" t="s">
        <v>3235</v>
      </c>
      <c r="B2271" s="1291">
        <v>6.4855016882013977E-2</v>
      </c>
      <c r="C2271" s="1257">
        <v>7.8773291380573929E-2</v>
      </c>
      <c r="D2271" s="1257">
        <v>7.2061129868904422E-2</v>
      </c>
      <c r="E2271" s="1280">
        <v>0.48450300667357887</v>
      </c>
      <c r="F2271" s="1303">
        <v>4.9618631380154668E-2</v>
      </c>
      <c r="G2271" s="1288">
        <v>7.7751960369968606E-2</v>
      </c>
      <c r="H2271" s="1280">
        <v>0.73578509555992344</v>
      </c>
      <c r="I2271" s="1303">
        <v>6.930634322591292E-2</v>
      </c>
      <c r="J2271" s="1288">
        <v>0.13066348700351854</v>
      </c>
      <c r="K2271" s="1280">
        <v>1.2364993218641791</v>
      </c>
      <c r="L2271" s="1237">
        <v>0.17426987125622292</v>
      </c>
    </row>
    <row r="2272" spans="1:12" s="326" customFormat="1" ht="15.5" x14ac:dyDescent="0.35">
      <c r="A2272" s="328" t="s">
        <v>3236</v>
      </c>
      <c r="B2272" s="1291">
        <v>6.4855016882013977E-2</v>
      </c>
      <c r="C2272" s="1257">
        <v>7.8773291380573929E-2</v>
      </c>
      <c r="D2272" s="1257">
        <v>7.2061129868904422E-2</v>
      </c>
      <c r="E2272" s="1280">
        <v>0.48450300667357887</v>
      </c>
      <c r="F2272" s="1303">
        <v>5.8476119035854202E-2</v>
      </c>
      <c r="G2272" s="1288">
        <v>7.1876177070237843E-2</v>
      </c>
      <c r="H2272" s="1280">
        <v>0.68018117565732439</v>
      </c>
      <c r="I2272" s="1303">
        <v>7.5097545867915283E-2</v>
      </c>
      <c r="J2272" s="1288">
        <v>0.13149271265927881</v>
      </c>
      <c r="K2272" s="1280">
        <v>1.2443464793565575</v>
      </c>
      <c r="L2272" s="1237">
        <v>0.17426987125622292</v>
      </c>
    </row>
    <row r="2273" spans="1:12" s="326" customFormat="1" ht="15.5" x14ac:dyDescent="0.35">
      <c r="A2273" s="328" t="s">
        <v>3237</v>
      </c>
      <c r="B2273" s="1291">
        <v>6.4855016882013977E-2</v>
      </c>
      <c r="C2273" s="1257">
        <v>7.8773291380573929E-2</v>
      </c>
      <c r="D2273" s="1257">
        <v>7.2061129868904422E-2</v>
      </c>
      <c r="E2273" s="1280">
        <v>0.48450300667357887</v>
      </c>
      <c r="F2273" s="1303">
        <v>5.8899097852815253E-2</v>
      </c>
      <c r="G2273" s="1288">
        <v>7.0210590047668359E-2</v>
      </c>
      <c r="H2273" s="1280">
        <v>0.66441933375992035</v>
      </c>
      <c r="I2273" s="1303">
        <v>7.5858713986621848E-2</v>
      </c>
      <c r="J2273" s="1288">
        <v>0.11671770532213577</v>
      </c>
      <c r="K2273" s="1280">
        <v>1.1045271084528583</v>
      </c>
      <c r="L2273" s="1237">
        <v>0.17426987125622292</v>
      </c>
    </row>
    <row r="2274" spans="1:12" s="326" customFormat="1" ht="15.5" x14ac:dyDescent="0.35">
      <c r="A2274" s="328" t="s">
        <v>3238</v>
      </c>
      <c r="B2274" s="1291">
        <v>6.4855016882013977E-2</v>
      </c>
      <c r="C2274" s="1257">
        <v>7.8773291380573929E-2</v>
      </c>
      <c r="D2274" s="1257">
        <v>7.2061129868904422E-2</v>
      </c>
      <c r="E2274" s="1280">
        <v>0.48450300667357887</v>
      </c>
      <c r="F2274" s="1303">
        <v>5.8104780242566517E-2</v>
      </c>
      <c r="G2274" s="1288">
        <v>6.3776214822420574E-2</v>
      </c>
      <c r="H2274" s="1280">
        <v>0.6035293270327593</v>
      </c>
      <c r="I2274" s="1303">
        <v>7.5643511082072276E-2</v>
      </c>
      <c r="J2274" s="1288">
        <v>0.10029925070354651</v>
      </c>
      <c r="K2274" s="1280">
        <v>0.94915540923135555</v>
      </c>
      <c r="L2274" s="1237">
        <v>0.17426987125622292</v>
      </c>
    </row>
    <row r="2275" spans="1:12" s="326" customFormat="1" ht="15.5" x14ac:dyDescent="0.35">
      <c r="A2275" s="328" t="s">
        <v>3239</v>
      </c>
      <c r="B2275" s="1291">
        <v>6.4855016882013977E-2</v>
      </c>
      <c r="C2275" s="1257">
        <v>7.8773291380573929E-2</v>
      </c>
      <c r="D2275" s="1257">
        <v>7.2061129868904422E-2</v>
      </c>
      <c r="E2275" s="1280">
        <v>0.48450300667357887</v>
      </c>
      <c r="F2275" s="1303">
        <v>6.1980106142012263E-2</v>
      </c>
      <c r="G2275" s="1288">
        <v>5.9054667989345229E-2</v>
      </c>
      <c r="H2275" s="1280">
        <v>0.55884821839917143</v>
      </c>
      <c r="I2275" s="1303">
        <v>8.115090073655129E-2</v>
      </c>
      <c r="J2275" s="1288">
        <v>0.10024945127013933</v>
      </c>
      <c r="K2275" s="1280">
        <v>0.94868414547550961</v>
      </c>
      <c r="L2275" s="1237">
        <v>0.17426987125622292</v>
      </c>
    </row>
    <row r="2276" spans="1:12" s="326" customFormat="1" ht="15.5" x14ac:dyDescent="0.35">
      <c r="A2276" s="328" t="s">
        <v>3240</v>
      </c>
      <c r="B2276" s="1291">
        <v>6.4855016882013977E-2</v>
      </c>
      <c r="C2276" s="1257">
        <v>7.8773291380573929E-2</v>
      </c>
      <c r="D2276" s="1257">
        <v>7.2061129868904422E-2</v>
      </c>
      <c r="E2276" s="1280">
        <v>0.48450300667357887</v>
      </c>
      <c r="F2276" s="1303">
        <v>6.6220912902467247E-2</v>
      </c>
      <c r="G2276" s="1288">
        <v>5.9657786066033551E-2</v>
      </c>
      <c r="H2276" s="1280">
        <v>0.56455566666900869</v>
      </c>
      <c r="I2276" s="1303">
        <v>8.0850073168361972E-2</v>
      </c>
      <c r="J2276" s="1288">
        <v>0.10196424870080793</v>
      </c>
      <c r="K2276" s="1280">
        <v>0.96491167704367509</v>
      </c>
      <c r="L2276" s="1330">
        <v>0.17426987125622292</v>
      </c>
    </row>
    <row r="2277" spans="1:12" s="326" customFormat="1" ht="15.5" x14ac:dyDescent="0.35">
      <c r="A2277" s="328" t="s">
        <v>3241</v>
      </c>
      <c r="B2277" s="1291">
        <v>6.4855016882013977E-2</v>
      </c>
      <c r="C2277" s="1257">
        <v>7.8773291380573929E-2</v>
      </c>
      <c r="D2277" s="1257">
        <v>7.2061129868904422E-2</v>
      </c>
      <c r="E2277" s="1280">
        <v>0.48450300667357887</v>
      </c>
      <c r="F2277" s="1303">
        <v>5.8487280376822159E-2</v>
      </c>
      <c r="G2277" s="1288">
        <v>5.9959597296050327E-2</v>
      </c>
      <c r="H2277" s="1280">
        <v>0.56741177735306447</v>
      </c>
      <c r="I2277" s="1303">
        <v>8.1078674238606901E-2</v>
      </c>
      <c r="J2277" s="1288">
        <v>0.10187419444949333</v>
      </c>
      <c r="K2277" s="1280">
        <v>0.96405947247424939</v>
      </c>
      <c r="L2277" s="1330">
        <v>0.17348317421874332</v>
      </c>
    </row>
    <row r="2278" spans="1:12" s="326" customFormat="1" ht="15.5" x14ac:dyDescent="0.35">
      <c r="A2278" s="328" t="s">
        <v>3242</v>
      </c>
      <c r="B2278" s="1291">
        <v>6.4855016882013977E-2</v>
      </c>
      <c r="C2278" s="1257">
        <v>7.8773291380573929E-2</v>
      </c>
      <c r="D2278" s="1257">
        <v>7.2061129868904422E-2</v>
      </c>
      <c r="E2278" s="1280">
        <v>0.48450300667357887</v>
      </c>
      <c r="F2278" s="1303">
        <v>6.606548293815942E-2</v>
      </c>
      <c r="G2278" s="1288">
        <v>5.8811963580236187E-2</v>
      </c>
      <c r="H2278" s="1280">
        <v>0.55655144946885282</v>
      </c>
      <c r="I2278" s="1303">
        <v>8.1003628040850942E-2</v>
      </c>
      <c r="J2278" s="1288">
        <v>0.10222772677273941</v>
      </c>
      <c r="K2278" s="1280">
        <v>0.96740503203320305</v>
      </c>
      <c r="L2278" s="1330">
        <v>0.16373725327756997</v>
      </c>
    </row>
    <row r="2279" spans="1:12" s="326" customFormat="1" ht="15.5" x14ac:dyDescent="0.35">
      <c r="A2279" s="328" t="s">
        <v>3243</v>
      </c>
      <c r="B2279" s="1291">
        <v>6.4855016882013977E-2</v>
      </c>
      <c r="C2279" s="1257">
        <v>7.8773291380573929E-2</v>
      </c>
      <c r="D2279" s="1257">
        <v>7.2061129868904422E-2</v>
      </c>
      <c r="E2279" s="1280">
        <v>0.48450300667357887</v>
      </c>
      <c r="F2279" s="1303">
        <v>6.1300455122257916E-2</v>
      </c>
      <c r="G2279" s="1288">
        <v>5.6646889516342322E-2</v>
      </c>
      <c r="H2279" s="1280">
        <v>0.53606284417303351</v>
      </c>
      <c r="I2279" s="1303">
        <v>7.8796793582911501E-2</v>
      </c>
      <c r="J2279" s="1288">
        <v>9.9668456643584133E-2</v>
      </c>
      <c r="K2279" s="1280">
        <v>0.94318605661979982</v>
      </c>
      <c r="L2279" s="1330">
        <v>0.19316557229494694</v>
      </c>
    </row>
    <row r="2280" spans="1:12" s="326" customFormat="1" ht="15.5" x14ac:dyDescent="0.35">
      <c r="A2280" s="328" t="s">
        <v>3244</v>
      </c>
      <c r="B2280" s="1291">
        <v>6.4855016882013977E-2</v>
      </c>
      <c r="C2280" s="1257">
        <v>7.8773291380573929E-2</v>
      </c>
      <c r="D2280" s="1257">
        <v>7.2061129868904422E-2</v>
      </c>
      <c r="E2280" s="1280">
        <v>0.48450300667357887</v>
      </c>
      <c r="F2280" s="1303">
        <v>5.9757456466092186E-2</v>
      </c>
      <c r="G2280" s="1288">
        <v>5.7284749778294244E-2</v>
      </c>
      <c r="H2280" s="1280">
        <v>0.54209906591665213</v>
      </c>
      <c r="I2280" s="1303">
        <v>7.830782316686162E-2</v>
      </c>
      <c r="J2280" s="1288">
        <v>0.10043663396147959</v>
      </c>
      <c r="K2280" s="1280">
        <v>0.95045549932664875</v>
      </c>
      <c r="L2280" s="1330">
        <v>0.19316557229495385</v>
      </c>
    </row>
    <row r="2281" spans="1:12" s="326" customFormat="1" ht="15.5" x14ac:dyDescent="0.35">
      <c r="A2281" s="328" t="s">
        <v>3245</v>
      </c>
      <c r="B2281" s="1291">
        <v>6.4855016882013977E-2</v>
      </c>
      <c r="C2281" s="1257">
        <v>7.8773291380573929E-2</v>
      </c>
      <c r="D2281" s="1257">
        <v>7.2061129868904422E-2</v>
      </c>
      <c r="E2281" s="1280">
        <v>0.48450300667357887</v>
      </c>
      <c r="F2281" s="1303">
        <v>6.1641404646180946E-2</v>
      </c>
      <c r="G2281" s="1288">
        <v>5.7929094737558216E-2</v>
      </c>
      <c r="H2281" s="1280">
        <v>0.54819665387674577</v>
      </c>
      <c r="I2281" s="1303">
        <v>7.5932117891150425E-2</v>
      </c>
      <c r="J2281" s="1288">
        <v>9.7699794850257662E-2</v>
      </c>
      <c r="K2281" s="1280">
        <v>0.92455614685501175</v>
      </c>
      <c r="L2281" s="1330">
        <v>0.19316557229492592</v>
      </c>
    </row>
    <row r="2282" spans="1:12" s="326" customFormat="1" ht="15.5" x14ac:dyDescent="0.35">
      <c r="A2282" s="328" t="s">
        <v>3246</v>
      </c>
      <c r="B2282" s="1291">
        <v>6.4855016882013977E-2</v>
      </c>
      <c r="C2282" s="1257">
        <v>7.8773291380573929E-2</v>
      </c>
      <c r="D2282" s="1257">
        <v>7.2061129868904422E-2</v>
      </c>
      <c r="E2282" s="1280">
        <v>0.48450300667357887</v>
      </c>
      <c r="F2282" s="1303">
        <v>6.0633805696323366E-2</v>
      </c>
      <c r="G2282" s="1288">
        <v>5.7263298035003789E-2</v>
      </c>
      <c r="H2282" s="1280">
        <v>0.54189606302242566</v>
      </c>
      <c r="I2282" s="1303">
        <v>7.3160669510031265E-2</v>
      </c>
      <c r="J2282" s="1288">
        <v>9.6277601046455955E-2</v>
      </c>
      <c r="K2282" s="1280">
        <v>0.9110975922558</v>
      </c>
      <c r="L2282" s="1330">
        <v>0.19783985440197996</v>
      </c>
    </row>
    <row r="2283" spans="1:12" s="326" customFormat="1" ht="15.5" x14ac:dyDescent="0.35">
      <c r="A2283" s="328" t="s">
        <v>3247</v>
      </c>
      <c r="B2283" s="1291">
        <v>6.4855016882013977E-2</v>
      </c>
      <c r="C2283" s="1257">
        <v>7.8773291380573929E-2</v>
      </c>
      <c r="D2283" s="1257">
        <v>7.2061129868904422E-2</v>
      </c>
      <c r="E2283" s="1280">
        <v>0.48450300667357887</v>
      </c>
      <c r="F2283" s="1303">
        <v>5.6042732043452566E-2</v>
      </c>
      <c r="G2283" s="1288">
        <v>5.5811048503802675E-2</v>
      </c>
      <c r="H2283" s="1280">
        <v>0.5281530840028974</v>
      </c>
      <c r="I2283" s="1303">
        <v>6.862000072580432E-2</v>
      </c>
      <c r="J2283" s="1288">
        <v>9.1672122812429382E-2</v>
      </c>
      <c r="K2283" s="1280">
        <v>0.86751486808526923</v>
      </c>
      <c r="L2283" s="1330">
        <v>0.19783985440201207</v>
      </c>
    </row>
    <row r="2284" spans="1:12" s="326" customFormat="1" ht="15.5" x14ac:dyDescent="0.35">
      <c r="A2284" s="328" t="s">
        <v>3248</v>
      </c>
      <c r="B2284" s="1291">
        <v>6.4855016882013977E-2</v>
      </c>
      <c r="C2284" s="1257">
        <v>7.8773291380573929E-2</v>
      </c>
      <c r="D2284" s="1257">
        <v>7.2061129868904422E-2</v>
      </c>
      <c r="E2284" s="1280">
        <v>0.48450300667357887</v>
      </c>
      <c r="F2284" s="1303">
        <v>5.7878289142177554E-2</v>
      </c>
      <c r="G2284" s="1288">
        <v>5.3943328079882259E-2</v>
      </c>
      <c r="H2284" s="1280">
        <v>0.51047840616770934</v>
      </c>
      <c r="I2284" s="1303">
        <v>6.8696415487316753E-2</v>
      </c>
      <c r="J2284" s="1288">
        <v>9.0820163644423788E-2</v>
      </c>
      <c r="K2284" s="1280">
        <v>0.85945257801745156</v>
      </c>
      <c r="L2284" s="1330">
        <v>0.197839854401827</v>
      </c>
    </row>
    <row r="2285" spans="1:12" s="326" customFormat="1" ht="15.5" x14ac:dyDescent="0.35">
      <c r="A2285" s="328" t="s">
        <v>3249</v>
      </c>
      <c r="B2285" s="1291">
        <v>6.4855016882013977E-2</v>
      </c>
      <c r="C2285" s="1257">
        <v>7.8773291380573929E-2</v>
      </c>
      <c r="D2285" s="1257">
        <v>7.2061129868904422E-2</v>
      </c>
      <c r="E2285" s="1280">
        <v>0.48450300667357887</v>
      </c>
      <c r="F2285" s="1303">
        <v>5.5044497936465535E-2</v>
      </c>
      <c r="G2285" s="1288">
        <v>5.3753676695504217E-2</v>
      </c>
      <c r="H2285" s="1280">
        <v>0.50868369049348472</v>
      </c>
      <c r="I2285" s="1303">
        <v>6.5259610215686617E-2</v>
      </c>
      <c r="J2285" s="1288">
        <v>8.8118993400620502E-2</v>
      </c>
      <c r="K2285" s="1280">
        <v>0.83389076843087195</v>
      </c>
      <c r="L2285" s="1330">
        <v>0.197839854401998</v>
      </c>
    </row>
    <row r="2286" spans="1:12" s="326" customFormat="1" ht="15.5" x14ac:dyDescent="0.35">
      <c r="A2286" s="328" t="s">
        <v>3250</v>
      </c>
      <c r="B2286" s="1291">
        <v>6.4855016882013977E-2</v>
      </c>
      <c r="C2286" s="1257">
        <v>7.8773291380573929E-2</v>
      </c>
      <c r="D2286" s="1257">
        <v>7.2061129868904422E-2</v>
      </c>
      <c r="E2286" s="1280">
        <v>0.48450300667357887</v>
      </c>
      <c r="F2286" s="1303">
        <v>5.3571429984277399E-2</v>
      </c>
      <c r="G2286" s="1288">
        <v>5.1153159860570376E-2</v>
      </c>
      <c r="H2286" s="1280">
        <v>0.48407438779819167</v>
      </c>
      <c r="I2286" s="1303">
        <v>6.3619129274000402E-2</v>
      </c>
      <c r="J2286" s="1288">
        <v>8.5889645744832363E-2</v>
      </c>
      <c r="K2286" s="1280">
        <v>0.81279392701175912</v>
      </c>
      <c r="L2286" s="1330">
        <v>0.17892511903361344</v>
      </c>
    </row>
    <row r="2287" spans="1:12" s="326" customFormat="1" ht="15.5" x14ac:dyDescent="0.35">
      <c r="A2287" s="328" t="s">
        <v>3251</v>
      </c>
      <c r="B2287" s="1291">
        <v>6.4855016882013977E-2</v>
      </c>
      <c r="C2287" s="1257">
        <v>7.8773291380573929E-2</v>
      </c>
      <c r="D2287" s="1257">
        <v>7.2061129868904422E-2</v>
      </c>
      <c r="E2287" s="1280">
        <v>0.48450300667357887</v>
      </c>
      <c r="F2287" s="1303">
        <v>5.2183132285464423E-2</v>
      </c>
      <c r="G2287" s="1288">
        <v>4.9330817427881167E-2</v>
      </c>
      <c r="H2287" s="1280">
        <v>0.46682913257119896</v>
      </c>
      <c r="I2287" s="1303">
        <v>6.2044137832658636E-2</v>
      </c>
      <c r="J2287" s="1288">
        <v>8.3749016730514228E-2</v>
      </c>
      <c r="K2287" s="1280">
        <v>0.79253665097185155</v>
      </c>
      <c r="L2287" s="1330">
        <v>0.17892511903375519</v>
      </c>
    </row>
    <row r="2288" spans="1:12" s="326" customFormat="1" ht="15.5" x14ac:dyDescent="0.35">
      <c r="A2288" s="328" t="s">
        <v>3252</v>
      </c>
      <c r="B2288" s="1291">
        <v>6.4855016882013977E-2</v>
      </c>
      <c r="C2288" s="1257">
        <v>7.8773291380573929E-2</v>
      </c>
      <c r="D2288" s="1257">
        <v>7.2061129868904422E-2</v>
      </c>
      <c r="E2288" s="1280">
        <v>0.48450300667357887</v>
      </c>
      <c r="F2288" s="1303">
        <v>5.0756949475467245E-2</v>
      </c>
      <c r="G2288" s="1288">
        <v>4.7668431071652105E-2</v>
      </c>
      <c r="H2288" s="1280">
        <v>0.45109757933247252</v>
      </c>
      <c r="I2288" s="1303">
        <v>6.0469399416283688E-2</v>
      </c>
      <c r="J2288" s="1288">
        <v>8.16146733747658E-2</v>
      </c>
      <c r="K2288" s="1280">
        <v>0.77233885759796761</v>
      </c>
      <c r="L2288" s="1330">
        <v>0.17892511903378602</v>
      </c>
    </row>
    <row r="2289" spans="1:12" s="326" customFormat="1" ht="15.5" x14ac:dyDescent="0.35">
      <c r="A2289" s="328" t="s">
        <v>3253</v>
      </c>
      <c r="B2289" s="1291">
        <v>6.4855016882013977E-2</v>
      </c>
      <c r="C2289" s="1257">
        <v>7.8773291380573929E-2</v>
      </c>
      <c r="D2289" s="1257">
        <v>7.2061129868904422E-2</v>
      </c>
      <c r="E2289" s="1280">
        <v>0.48450300667357887</v>
      </c>
      <c r="F2289" s="1303">
        <v>5.0596653106449771E-2</v>
      </c>
      <c r="G2289" s="1288">
        <v>4.6090803857175421E-2</v>
      </c>
      <c r="H2289" s="1306">
        <v>0.43571857998372493</v>
      </c>
      <c r="I2289" s="1303">
        <v>6.046008696737519E-2</v>
      </c>
      <c r="J2289" s="1288">
        <v>8.1578249354886417E-2</v>
      </c>
      <c r="K2289" s="1306">
        <v>0.5994583907751293</v>
      </c>
      <c r="L2289" s="1330">
        <v>0.16538470033326114</v>
      </c>
    </row>
    <row r="2290" spans="1:12" s="326" customFormat="1" ht="15.5" x14ac:dyDescent="0.35">
      <c r="A2290" s="328" t="s">
        <v>3254</v>
      </c>
      <c r="B2290" s="1291">
        <v>6.4855016882013977E-2</v>
      </c>
      <c r="C2290" s="1257">
        <v>7.8773291380573929E-2</v>
      </c>
      <c r="D2290" s="1257">
        <v>7.2061129868904422E-2</v>
      </c>
      <c r="E2290" s="1280">
        <v>0.48450300667357887</v>
      </c>
      <c r="F2290" s="1303">
        <v>5.0415000626832324E-2</v>
      </c>
      <c r="G2290" s="1288">
        <v>4.4519231556783542E-2</v>
      </c>
      <c r="H2290" s="1306">
        <v>0.4447040681600341</v>
      </c>
      <c r="I2290" s="1303">
        <v>6.0450217592306385E-2</v>
      </c>
      <c r="J2290" s="1288">
        <v>8.1540795631179497E-2</v>
      </c>
      <c r="K2290" s="1306">
        <v>0.59958518580186604</v>
      </c>
      <c r="L2290" s="1330">
        <v>0.16538470033316671</v>
      </c>
    </row>
    <row r="2291" spans="1:12" s="326" customFormat="1" ht="15.5" x14ac:dyDescent="0.35">
      <c r="A2291" s="328" t="s">
        <v>3255</v>
      </c>
      <c r="B2291" s="1291">
        <v>6.4855016882013977E-2</v>
      </c>
      <c r="C2291" s="1257">
        <v>7.8773291380573929E-2</v>
      </c>
      <c r="D2291" s="1257">
        <v>7.2061129868904422E-2</v>
      </c>
      <c r="E2291" s="1280">
        <v>0.48450300667357887</v>
      </c>
      <c r="F2291" s="1303">
        <v>5.0281714610781986E-2</v>
      </c>
      <c r="G2291" s="1288">
        <v>4.3896435541512686E-2</v>
      </c>
      <c r="H2291" s="1306">
        <v>0.46185175226610714</v>
      </c>
      <c r="I2291" s="1303">
        <v>6.0440498682365229E-2</v>
      </c>
      <c r="J2291" s="1288">
        <v>8.1503786534854489E-2</v>
      </c>
      <c r="K2291" s="1306">
        <v>0.59958113973662952</v>
      </c>
      <c r="L2291" s="1330">
        <v>0.16538470033318448</v>
      </c>
    </row>
    <row r="2292" spans="1:12" s="326" customFormat="1" ht="15.5" x14ac:dyDescent="0.35">
      <c r="A2292" s="328" t="s">
        <v>3256</v>
      </c>
      <c r="B2292" s="1291">
        <v>6.4855016882013977E-2</v>
      </c>
      <c r="C2292" s="1257">
        <v>7.8773291380573929E-2</v>
      </c>
      <c r="D2292" s="1257">
        <v>7.2061129868904422E-2</v>
      </c>
      <c r="E2292" s="1280">
        <v>0.48450300667357887</v>
      </c>
      <c r="F2292" s="1303">
        <v>5.0114932356470306E-2</v>
      </c>
      <c r="G2292" s="1288">
        <v>4.3588876152824689E-2</v>
      </c>
      <c r="H2292" s="1306">
        <v>0.47805804417312353</v>
      </c>
      <c r="I2292" s="1303">
        <v>6.0431366702962473E-2</v>
      </c>
      <c r="J2292" s="1288">
        <v>8.1468266988748414E-2</v>
      </c>
      <c r="K2292" s="1306">
        <v>0.5995952839557448</v>
      </c>
      <c r="L2292" s="1330">
        <v>0.15942830674269967</v>
      </c>
    </row>
    <row r="2293" spans="1:12" s="326" customFormat="1" ht="15.5" x14ac:dyDescent="0.35">
      <c r="A2293" s="328" t="s">
        <v>3257</v>
      </c>
      <c r="B2293" s="1291">
        <v>6.4855016882013977E-2</v>
      </c>
      <c r="C2293" s="1257">
        <v>7.8773291380573929E-2</v>
      </c>
      <c r="D2293" s="1257">
        <v>7.2061129868904422E-2</v>
      </c>
      <c r="E2293" s="1280">
        <v>0.48450300667357887</v>
      </c>
      <c r="F2293" s="1303">
        <v>4.9920513331390207E-2</v>
      </c>
      <c r="G2293" s="1288">
        <v>4.3296854254509604E-2</v>
      </c>
      <c r="H2293" s="1306">
        <v>0.48898270572651625</v>
      </c>
      <c r="I2293" s="1303">
        <v>6.0422551485450393E-2</v>
      </c>
      <c r="J2293" s="1288">
        <v>8.1433516656930535E-2</v>
      </c>
      <c r="K2293" s="1306">
        <v>0.59965391506932486</v>
      </c>
      <c r="L2293" s="1330">
        <v>0.1594283067426937</v>
      </c>
    </row>
    <row r="2294" spans="1:12" s="326" customFormat="1" ht="15.5" x14ac:dyDescent="0.35">
      <c r="A2294" s="328" t="s">
        <v>3258</v>
      </c>
      <c r="B2294" s="1291">
        <v>6.4855016882013977E-2</v>
      </c>
      <c r="C2294" s="1257">
        <v>7.8773291380573929E-2</v>
      </c>
      <c r="D2294" s="1257">
        <v>7.2061129868904422E-2</v>
      </c>
      <c r="E2294" s="1280">
        <v>0.48450300667357887</v>
      </c>
      <c r="F2294" s="1303">
        <v>4.9705847086858622E-2</v>
      </c>
      <c r="G2294" s="1288">
        <v>4.3008022034200968E-2</v>
      </c>
      <c r="H2294" s="1306">
        <v>0.4969444215768124</v>
      </c>
      <c r="I2294" s="1303">
        <v>6.041393740262934E-2</v>
      </c>
      <c r="J2294" s="1288">
        <v>8.1399034607972334E-2</v>
      </c>
      <c r="K2294" s="1306">
        <v>0.59967982468725833</v>
      </c>
      <c r="L2294" s="1330">
        <v>0.15942830674269856</v>
      </c>
    </row>
    <row r="2295" spans="1:12" s="326" customFormat="1" ht="15.5" x14ac:dyDescent="0.35">
      <c r="A2295" s="328" t="s">
        <v>3259</v>
      </c>
      <c r="B2295" s="1291">
        <v>6.4855016882013977E-2</v>
      </c>
      <c r="C2295" s="1257">
        <v>7.8773291380573929E-2</v>
      </c>
      <c r="D2295" s="1257">
        <v>7.2061129868904422E-2</v>
      </c>
      <c r="E2295" s="1280">
        <v>0.48450300667357887</v>
      </c>
      <c r="F2295" s="1303">
        <v>4.9480041953490921E-2</v>
      </c>
      <c r="G2295" s="1288">
        <v>4.2747417756537606E-2</v>
      </c>
      <c r="H2295" s="1306">
        <v>0.50265638478330321</v>
      </c>
      <c r="I2295" s="1303">
        <v>6.0405574483062649E-2</v>
      </c>
      <c r="J2295" s="1288">
        <v>8.1364651267495744E-2</v>
      </c>
      <c r="K2295" s="1306">
        <v>0.59971294358316174</v>
      </c>
      <c r="L2295" s="1330">
        <v>0.15942830674270292</v>
      </c>
    </row>
    <row r="2296" spans="1:12" s="326" customFormat="1" ht="15.5" x14ac:dyDescent="0.35">
      <c r="A2296" s="328" t="s">
        <v>3260</v>
      </c>
      <c r="B2296" s="1291">
        <v>6.4855016882013977E-2</v>
      </c>
      <c r="C2296" s="1257">
        <v>7.8773291380573929E-2</v>
      </c>
      <c r="D2296" s="1257">
        <v>7.2061129868904422E-2</v>
      </c>
      <c r="E2296" s="1280">
        <v>0.48450300667357887</v>
      </c>
      <c r="F2296" s="1303">
        <v>4.9221791046182684E-2</v>
      </c>
      <c r="G2296" s="1288">
        <v>4.2456430211629155E-2</v>
      </c>
      <c r="H2296" s="1306">
        <v>0.50953291862801875</v>
      </c>
      <c r="I2296" s="1303">
        <v>6.0397561353033001E-2</v>
      </c>
      <c r="J2296" s="1288">
        <v>8.133037636085011E-2</v>
      </c>
      <c r="K2296" s="1306">
        <v>0.59984683592324539</v>
      </c>
      <c r="L2296" s="1330">
        <v>0.1594283067426967</v>
      </c>
    </row>
    <row r="2297" spans="1:12" s="326" customFormat="1" ht="15.5" x14ac:dyDescent="0.35">
      <c r="A2297" s="328" t="s">
        <v>3261</v>
      </c>
      <c r="B2297" s="1291">
        <v>6.4855016882013977E-2</v>
      </c>
      <c r="C2297" s="1257">
        <v>7.8773291380573929E-2</v>
      </c>
      <c r="D2297" s="1257">
        <v>7.2061129868904422E-2</v>
      </c>
      <c r="E2297" s="1280">
        <v>0.48450300667357887</v>
      </c>
      <c r="F2297" s="1303">
        <v>4.894090869561999E-2</v>
      </c>
      <c r="G2297" s="1288">
        <v>4.2181319623611331E-2</v>
      </c>
      <c r="H2297" s="1306">
        <v>0.51547598151953511</v>
      </c>
      <c r="I2297" s="1303">
        <v>6.0389705244808918E-2</v>
      </c>
      <c r="J2297" s="1288">
        <v>8.1295753942556989E-2</v>
      </c>
      <c r="K2297" s="1306">
        <v>0.59994196239595898</v>
      </c>
      <c r="L2297" s="1330">
        <v>0.15942830674270003</v>
      </c>
    </row>
    <row r="2298" spans="1:12" s="326" customFormat="1" ht="15.5" x14ac:dyDescent="0.35">
      <c r="A2298" s="328" t="s">
        <v>3262</v>
      </c>
      <c r="B2298" s="1291">
        <v>6.4855016882013977E-2</v>
      </c>
      <c r="C2298" s="1257">
        <v>7.8773291380573929E-2</v>
      </c>
      <c r="D2298" s="1257">
        <v>7.2061129868904422E-2</v>
      </c>
      <c r="E2298" s="1280">
        <v>0.48450300667357887</v>
      </c>
      <c r="F2298" s="1303">
        <v>4.8563003170332741E-2</v>
      </c>
      <c r="G2298" s="1288">
        <v>4.1882054773269305E-2</v>
      </c>
      <c r="H2298" s="1306">
        <v>0.51966173999358412</v>
      </c>
      <c r="I2298" s="1303">
        <v>6.0382067931342667E-2</v>
      </c>
      <c r="J2298" s="1288">
        <v>8.1261057556409055E-2</v>
      </c>
      <c r="K2298" s="1306">
        <v>0.5999966344440959</v>
      </c>
      <c r="L2298" s="1330">
        <v>0.15942830674269826</v>
      </c>
    </row>
    <row r="2299" spans="1:12" s="326" customFormat="1" ht="15.5" x14ac:dyDescent="0.35">
      <c r="A2299" s="328" t="s">
        <v>3263</v>
      </c>
      <c r="B2299" s="1291">
        <v>6.4855016882013977E-2</v>
      </c>
      <c r="C2299" s="1257">
        <v>7.8773291380573929E-2</v>
      </c>
      <c r="D2299" s="1257">
        <v>7.2061129868904422E-2</v>
      </c>
      <c r="E2299" s="1280">
        <v>0.48450300667357887</v>
      </c>
      <c r="F2299" s="1303">
        <v>4.8161336068831911E-2</v>
      </c>
      <c r="G2299" s="1288">
        <v>4.1602156788611906E-2</v>
      </c>
      <c r="H2299" s="1306">
        <v>0.52358735304922732</v>
      </c>
      <c r="I2299" s="1303">
        <v>6.0374763937701005E-2</v>
      </c>
      <c r="J2299" s="1288">
        <v>8.1226814456808849E-2</v>
      </c>
      <c r="K2299" s="1306">
        <v>0.6001074367743775</v>
      </c>
      <c r="L2299" s="1330">
        <v>0.15942830674269662</v>
      </c>
    </row>
    <row r="2300" spans="1:12" s="326" customFormat="1" ht="15.5" x14ac:dyDescent="0.35">
      <c r="A2300" s="328" t="s">
        <v>3264</v>
      </c>
      <c r="B2300" s="1291">
        <v>6.4855016882013977E-2</v>
      </c>
      <c r="C2300" s="1257">
        <v>7.8773291380573929E-2</v>
      </c>
      <c r="D2300" s="1257">
        <v>7.2061129868904422E-2</v>
      </c>
      <c r="E2300" s="1280">
        <v>0.48450300667357887</v>
      </c>
      <c r="F2300" s="1303">
        <v>4.7704466020239936E-2</v>
      </c>
      <c r="G2300" s="1288">
        <v>4.1344492667712958E-2</v>
      </c>
      <c r="H2300" s="1306">
        <v>0.52731211107583953</v>
      </c>
      <c r="I2300" s="1303">
        <v>6.0367725218627259E-2</v>
      </c>
      <c r="J2300" s="1288">
        <v>8.1193263435099874E-2</v>
      </c>
      <c r="K2300" s="1306">
        <v>0.60014328827324293</v>
      </c>
      <c r="L2300" s="1330">
        <v>0.15942830674269906</v>
      </c>
    </row>
    <row r="2301" spans="1:12" s="326" customFormat="1" ht="15.5" x14ac:dyDescent="0.35">
      <c r="A2301" s="328" t="s">
        <v>3265</v>
      </c>
      <c r="B2301" s="1291">
        <v>6.4855016882013977E-2</v>
      </c>
      <c r="C2301" s="1257">
        <v>7.8773291380573929E-2</v>
      </c>
      <c r="D2301" s="1257">
        <v>7.2061129868904422E-2</v>
      </c>
      <c r="E2301" s="1306">
        <v>1.9585972683089095</v>
      </c>
      <c r="F2301" s="1303">
        <v>4.760909352270868E-2</v>
      </c>
      <c r="G2301" s="1288">
        <v>4.1278407002578926E-2</v>
      </c>
      <c r="H2301" s="1306">
        <v>0.52622040902815703</v>
      </c>
      <c r="I2301" s="1303">
        <v>6.0360921207436205E-2</v>
      </c>
      <c r="J2301" s="1288">
        <v>8.1160714049194102E-2</v>
      </c>
      <c r="K2301" s="1306">
        <v>0.60017942572828087</v>
      </c>
      <c r="L2301" s="1330">
        <v>0.15834734346781865</v>
      </c>
    </row>
    <row r="2302" spans="1:12" s="326" customFormat="1" ht="15.5" x14ac:dyDescent="0.35">
      <c r="A2302" s="328" t="s">
        <v>3266</v>
      </c>
      <c r="B2302" s="1291">
        <v>6.4855016882013977E-2</v>
      </c>
      <c r="C2302" s="1257">
        <v>7.8773291380573929E-2</v>
      </c>
      <c r="D2302" s="1257">
        <v>7.2061129868904422E-2</v>
      </c>
      <c r="E2302" s="1306">
        <v>1.992278511822914</v>
      </c>
      <c r="F2302" s="1303">
        <v>4.7498465946095171E-2</v>
      </c>
      <c r="G2302" s="1288">
        <v>4.1220594423201806E-2</v>
      </c>
      <c r="H2302" s="1306">
        <v>0.52519815537315329</v>
      </c>
      <c r="I2302" s="1303">
        <v>6.0354195456547785E-2</v>
      </c>
      <c r="J2302" s="1288">
        <v>8.1129043808632312E-2</v>
      </c>
      <c r="K2302" s="1306">
        <v>0.60025295135559953</v>
      </c>
      <c r="L2302" s="1330">
        <v>0.15737447652042769</v>
      </c>
    </row>
    <row r="2303" spans="1:12" s="326" customFormat="1" ht="15.5" x14ac:dyDescent="0.35">
      <c r="A2303" s="328" t="s">
        <v>3267</v>
      </c>
      <c r="B2303" s="1291">
        <v>6.4855016882013977E-2</v>
      </c>
      <c r="C2303" s="1257">
        <v>7.8773291380573929E-2</v>
      </c>
      <c r="D2303" s="1257">
        <v>7.2061129868904422E-2</v>
      </c>
      <c r="E2303" s="1306">
        <v>1.9380667153599387</v>
      </c>
      <c r="F2303" s="1303">
        <v>4.7423869896576022E-2</v>
      </c>
      <c r="G2303" s="1288">
        <v>4.1165769981131459E-2</v>
      </c>
      <c r="H2303" s="1306">
        <v>0.52444012181682498</v>
      </c>
      <c r="I2303" s="1303">
        <v>6.0347384368090978E-2</v>
      </c>
      <c r="J2303" s="1288">
        <v>8.1097874043243048E-2</v>
      </c>
      <c r="K2303" s="1306">
        <v>0.60032818617516803</v>
      </c>
      <c r="L2303" s="1330">
        <v>0.15649889626777566</v>
      </c>
    </row>
    <row r="2304" spans="1:12" s="326" customFormat="1" ht="15.5" x14ac:dyDescent="0.35">
      <c r="A2304" s="328" t="s">
        <v>3268</v>
      </c>
      <c r="B2304" s="1291">
        <v>6.4855016882013977E-2</v>
      </c>
      <c r="C2304" s="1257">
        <v>7.8773291380573929E-2</v>
      </c>
      <c r="D2304" s="1257">
        <v>7.2061129868904422E-2</v>
      </c>
      <c r="E2304" s="1306">
        <v>1.9272819444935527</v>
      </c>
      <c r="F2304" s="1303">
        <v>4.7336135316016652E-2</v>
      </c>
      <c r="G2304" s="1288">
        <v>4.1111876154516752E-2</v>
      </c>
      <c r="H2304" s="1306">
        <v>0.52361484882296794</v>
      </c>
      <c r="I2304" s="1303">
        <v>6.0340677959545945E-2</v>
      </c>
      <c r="J2304" s="1288">
        <v>8.1067286868809013E-2</v>
      </c>
      <c r="K2304" s="1306">
        <v>0.60040800459126165</v>
      </c>
      <c r="L2304" s="1330">
        <v>0.15571087404038836</v>
      </c>
    </row>
    <row r="2305" spans="1:12" s="326" customFormat="1" ht="15.5" x14ac:dyDescent="0.35">
      <c r="A2305" s="328" t="s">
        <v>3269</v>
      </c>
      <c r="B2305" s="1287">
        <v>6.4855016882013977E-2</v>
      </c>
      <c r="C2305" s="1288">
        <v>7.8773291380573929E-2</v>
      </c>
      <c r="D2305" s="1288">
        <v>7.5031470801508335E-2</v>
      </c>
      <c r="E2305" s="1306">
        <v>1.952639455263369</v>
      </c>
      <c r="F2305" s="1303">
        <v>4.7281578124479855E-2</v>
      </c>
      <c r="G2305" s="1288">
        <v>4.105141015950535E-2</v>
      </c>
      <c r="H2305" s="1306">
        <v>0.52281395232084593</v>
      </c>
      <c r="I2305" s="1303">
        <v>6.0333922487854533E-2</v>
      </c>
      <c r="J2305" s="1288">
        <v>8.1036385845490513E-2</v>
      </c>
      <c r="K2305" s="1306">
        <v>0.6004956809779648</v>
      </c>
      <c r="L2305" s="1330">
        <v>0.15500165403573601</v>
      </c>
    </row>
    <row r="2306" spans="1:12" s="326" customFormat="1" ht="15.5" x14ac:dyDescent="0.35">
      <c r="A2306" s="328" t="s">
        <v>3270</v>
      </c>
      <c r="B2306" s="1287">
        <v>6.4694608205632151E-2</v>
      </c>
      <c r="C2306" s="1288">
        <v>8.5449299459185543E-2</v>
      </c>
      <c r="D2306" s="1288">
        <v>7.7762528328468611E-2</v>
      </c>
      <c r="E2306" s="1306">
        <v>1.9470736899080712</v>
      </c>
      <c r="F2306" s="1303">
        <v>4.7200737678576958E-2</v>
      </c>
      <c r="G2306" s="1288">
        <v>4.1000440398112639E-2</v>
      </c>
      <c r="H2306" s="1306">
        <v>0.522040738556665</v>
      </c>
      <c r="I2306" s="1303">
        <v>6.0326943916877075E-2</v>
      </c>
      <c r="J2306" s="1288">
        <v>8.1004186150221202E-2</v>
      </c>
      <c r="K2306" s="1306">
        <v>0.60055427995780963</v>
      </c>
      <c r="L2306" s="1330">
        <v>0.15436335603155568</v>
      </c>
    </row>
    <row r="2307" spans="1:12" s="326" customFormat="1" ht="15.5" x14ac:dyDescent="0.35">
      <c r="A2307" s="328" t="s">
        <v>3271</v>
      </c>
      <c r="B2307" s="1287">
        <v>6.5574321470483005E-2</v>
      </c>
      <c r="C2307" s="1288">
        <v>8.1994576578682365E-2</v>
      </c>
      <c r="D2307" s="1288">
        <v>8.9308217559022629E-2</v>
      </c>
      <c r="E2307" s="1306">
        <v>1.9502561331844093</v>
      </c>
      <c r="F2307" s="1303">
        <v>4.7166778700869362E-2</v>
      </c>
      <c r="G2307" s="1288">
        <v>4.0964416242026201E-2</v>
      </c>
      <c r="H2307" s="1306">
        <v>0.52186466709464807</v>
      </c>
      <c r="I2307" s="1303">
        <v>6.0319732288421031E-2</v>
      </c>
      <c r="J2307" s="1288">
        <v>8.0970272988691527E-2</v>
      </c>
      <c r="K2307" s="1306">
        <v>0.60062779668881761</v>
      </c>
      <c r="L2307" s="1330">
        <v>0.15378888782778799</v>
      </c>
    </row>
    <row r="2308" spans="1:12" s="326" customFormat="1" ht="15.5" x14ac:dyDescent="0.35">
      <c r="A2308" s="328" t="s">
        <v>3272</v>
      </c>
      <c r="B2308" s="1287">
        <v>6.4745552412161109E-2</v>
      </c>
      <c r="C2308" s="1288">
        <v>8.1612033700394132E-2</v>
      </c>
      <c r="D2308" s="1288">
        <v>7.8955171309489092E-2</v>
      </c>
      <c r="E2308" s="1306">
        <v>1.9289103696684387</v>
      </c>
      <c r="F2308" s="1303">
        <v>4.7107335375916125E-2</v>
      </c>
      <c r="G2308" s="1288">
        <v>4.0930554817671584E-2</v>
      </c>
      <c r="H2308" s="1306">
        <v>0.52137860226230637</v>
      </c>
      <c r="I2308" s="1303">
        <v>6.0312003998231639E-2</v>
      </c>
      <c r="J2308" s="1288">
        <v>8.0934227499468575E-2</v>
      </c>
      <c r="K2308" s="1306">
        <v>0.6007322600467544</v>
      </c>
      <c r="L2308" s="1330">
        <v>0.1537888878277886</v>
      </c>
    </row>
    <row r="2309" spans="1:12" s="326" customFormat="1" ht="15.5" x14ac:dyDescent="0.35">
      <c r="A2309" s="328" t="s">
        <v>3273</v>
      </c>
      <c r="B2309" s="1287">
        <v>6.4819542680866454E-2</v>
      </c>
      <c r="C2309" s="1288">
        <v>7.9252491441547585E-2</v>
      </c>
      <c r="D2309" s="1288">
        <v>7.9098249488308153E-2</v>
      </c>
      <c r="E2309" s="1306">
        <v>1.9568307432865633</v>
      </c>
      <c r="F2309" s="1303">
        <v>4.7061262119250838E-2</v>
      </c>
      <c r="G2309" s="1288">
        <v>4.0892587928277366E-2</v>
      </c>
      <c r="H2309" s="1306">
        <v>0.52082876723447935</v>
      </c>
      <c r="I2309" s="1303">
        <v>6.0303758806898443E-2</v>
      </c>
      <c r="J2309" s="1288">
        <v>8.0897057842595793E-2</v>
      </c>
      <c r="K2309" s="1306">
        <v>0.60083151003347868</v>
      </c>
      <c r="L2309" s="1330">
        <v>0.15378888782778938</v>
      </c>
    </row>
    <row r="2310" spans="1:12" s="326" customFormat="1" ht="15.5" x14ac:dyDescent="0.35">
      <c r="A2310" s="328" t="s">
        <v>3274</v>
      </c>
      <c r="B2310" s="1287">
        <v>6.4775751378659749E-2</v>
      </c>
      <c r="C2310" s="1288">
        <v>8.6564809975237841E-2</v>
      </c>
      <c r="D2310" s="1288">
        <v>7.6699819984927767E-2</v>
      </c>
      <c r="E2310" s="1306">
        <v>1.947369219663164</v>
      </c>
      <c r="F2310" s="1303">
        <v>4.6991525249279693E-2</v>
      </c>
      <c r="G2310" s="1288">
        <v>4.0844343973308869E-2</v>
      </c>
      <c r="H2310" s="1306">
        <v>0.51988850764078776</v>
      </c>
      <c r="I2310" s="1303">
        <v>6.0294436902056416E-2</v>
      </c>
      <c r="J2310" s="1288">
        <v>8.0859404366705356E-2</v>
      </c>
      <c r="K2310" s="1306">
        <v>0.6009659744647472</v>
      </c>
      <c r="L2310" s="1330">
        <v>0.15378888782778849</v>
      </c>
    </row>
    <row r="2311" spans="1:12" s="326" customFormat="1" ht="15.5" x14ac:dyDescent="0.35">
      <c r="A2311" s="328" t="s">
        <v>3275</v>
      </c>
      <c r="B2311" s="1287">
        <v>6.4546147903546847E-2</v>
      </c>
      <c r="C2311" s="1288">
        <v>7.4216582480342325E-2</v>
      </c>
      <c r="D2311" s="1288">
        <v>8.1836420675046373E-2</v>
      </c>
      <c r="E2311" s="1306">
        <v>1.9734931130460169</v>
      </c>
      <c r="F2311" s="1303">
        <v>4.6976676377455312E-2</v>
      </c>
      <c r="G2311" s="1288">
        <v>4.0824522639444007E-2</v>
      </c>
      <c r="H2311" s="1306">
        <v>0.51980811044136299</v>
      </c>
      <c r="I2311" s="1303">
        <v>6.028386610506685E-2</v>
      </c>
      <c r="J2311" s="1288">
        <v>8.0823011869261274E-2</v>
      </c>
      <c r="K2311" s="1306">
        <v>0.60112648200676611</v>
      </c>
      <c r="L2311" s="1330">
        <v>0.15378888782778821</v>
      </c>
    </row>
    <row r="2312" spans="1:12" s="326" customFormat="1" ht="15.5" x14ac:dyDescent="0.35">
      <c r="A2312" s="328" t="s">
        <v>3276</v>
      </c>
      <c r="B2312" s="1287">
        <v>6.464286230624694E-2</v>
      </c>
      <c r="C2312" s="1288">
        <v>8.864792676028338E-2</v>
      </c>
      <c r="D2312" s="1288">
        <v>8.0360401601757975E-2</v>
      </c>
      <c r="E2312" s="1306">
        <v>1.8748795129581042</v>
      </c>
      <c r="F2312" s="1303">
        <v>4.6975840043378882E-2</v>
      </c>
      <c r="G2312" s="1288">
        <v>4.0804470298155579E-2</v>
      </c>
      <c r="H2312" s="1306">
        <v>0.51968503849307301</v>
      </c>
      <c r="I2312" s="1303">
        <v>6.0271393030107985E-2</v>
      </c>
      <c r="J2312" s="1288">
        <v>8.0787468799951592E-2</v>
      </c>
      <c r="K2312" s="1306">
        <v>0.6012957937772353</v>
      </c>
      <c r="L2312" s="1330">
        <v>0.15378888782778874</v>
      </c>
    </row>
    <row r="2313" spans="1:12" s="326" customFormat="1" ht="15.5" x14ac:dyDescent="0.35">
      <c r="A2313" s="328" t="s">
        <v>3277</v>
      </c>
      <c r="B2313" s="1287">
        <v>6.4006865766613713E-2</v>
      </c>
      <c r="C2313" s="1288">
        <v>8.0530094751397371E-2</v>
      </c>
      <c r="D2313" s="1288">
        <v>7.3774697548605009E-2</v>
      </c>
      <c r="E2313" s="1306">
        <v>1.929633869277338</v>
      </c>
      <c r="F2313" s="1303">
        <v>4.693684241575799E-2</v>
      </c>
      <c r="G2313" s="1288">
        <v>4.0775570450330659E-2</v>
      </c>
      <c r="H2313" s="1306">
        <v>0.51902947689388546</v>
      </c>
      <c r="I2313" s="1303">
        <v>6.0256248572934289E-2</v>
      </c>
      <c r="J2313" s="1288">
        <v>8.0748239088717783E-2</v>
      </c>
      <c r="K2313" s="1306">
        <v>0.60146710776607426</v>
      </c>
      <c r="L2313" s="1330">
        <v>0.15378888782778899</v>
      </c>
    </row>
    <row r="2314" spans="1:12" s="326" customFormat="1" ht="15.5" x14ac:dyDescent="0.35">
      <c r="A2314" s="328" t="s">
        <v>3278</v>
      </c>
      <c r="B2314" s="1287">
        <v>6.4273681973698121E-2</v>
      </c>
      <c r="C2314" s="1288">
        <v>6.8474135010225687E-2</v>
      </c>
      <c r="D2314" s="1288">
        <v>8.1661239077746264E-2</v>
      </c>
      <c r="E2314" s="1306">
        <v>1.9394992922256273</v>
      </c>
      <c r="F2314" s="1303">
        <v>4.6911950130849804E-2</v>
      </c>
      <c r="G2314" s="1288">
        <v>4.0729750960493742E-2</v>
      </c>
      <c r="H2314" s="1306">
        <v>0.51811500386141973</v>
      </c>
      <c r="I2314" s="1303">
        <v>6.0236218690766063E-2</v>
      </c>
      <c r="J2314" s="1288">
        <v>8.0689727304198891E-2</v>
      </c>
      <c r="K2314" s="1306">
        <v>0.60158732432568418</v>
      </c>
      <c r="L2314" s="1330">
        <v>0.15378888782778841</v>
      </c>
    </row>
    <row r="2315" spans="1:12" s="326" customFormat="1" ht="15.5" x14ac:dyDescent="0.35">
      <c r="A2315" s="328" t="s">
        <v>3279</v>
      </c>
      <c r="B2315" s="1287">
        <v>6.4878587406249077E-2</v>
      </c>
      <c r="C2315" s="1288">
        <v>8.5996377755103381E-2</v>
      </c>
      <c r="D2315" s="1288">
        <v>7.0933943302197155E-2</v>
      </c>
      <c r="E2315" s="1306">
        <v>1.9229298421597418</v>
      </c>
      <c r="F2315" s="1303">
        <v>4.641245955232156E-2</v>
      </c>
      <c r="G2315" s="1288">
        <v>4.0466085229153979E-2</v>
      </c>
      <c r="H2315" s="1306">
        <v>0.50885634129026125</v>
      </c>
      <c r="I2315" s="1303">
        <v>6.0205690523596797E-2</v>
      </c>
      <c r="J2315" s="1288">
        <v>8.0575239136392932E-2</v>
      </c>
      <c r="K2315" s="1306">
        <v>0.60133529309545897</v>
      </c>
      <c r="L2315" s="1330">
        <v>0.15378954352584312</v>
      </c>
    </row>
    <row r="2316" spans="1:12" s="326" customFormat="1" ht="16" thickBot="1" x14ac:dyDescent="0.4">
      <c r="A2316" s="329" t="s">
        <v>3280</v>
      </c>
      <c r="B2316" s="1296">
        <v>6.4878587406249077E-2</v>
      </c>
      <c r="C2316" s="1297">
        <v>8.5996377755103381E-2</v>
      </c>
      <c r="D2316" s="1297">
        <v>7.0933943302197155E-2</v>
      </c>
      <c r="E2316" s="1299">
        <v>1.9229298421597418</v>
      </c>
      <c r="F2316" s="1304">
        <v>4.641245955232156E-2</v>
      </c>
      <c r="G2316" s="1297">
        <v>4.0466085229153979E-2</v>
      </c>
      <c r="H2316" s="1299">
        <v>0.50885634129026125</v>
      </c>
      <c r="I2316" s="1304">
        <v>6.0205690523596797E-2</v>
      </c>
      <c r="J2316" s="1297">
        <v>8.0575239136392932E-2</v>
      </c>
      <c r="K2316" s="1299">
        <v>0.60133529309545897</v>
      </c>
      <c r="L2316" s="1331">
        <v>0.16102408893853684</v>
      </c>
    </row>
    <row r="2317" spans="1:12" x14ac:dyDescent="0.3">
      <c r="L2317" s="330"/>
    </row>
    <row r="2318" spans="1:12" x14ac:dyDescent="0.3">
      <c r="L2318" s="330"/>
    </row>
    <row r="2319" spans="1:12" x14ac:dyDescent="0.3">
      <c r="L2319" s="330"/>
    </row>
    <row r="2320" spans="1:12" x14ac:dyDescent="0.3">
      <c r="L2320" s="330"/>
    </row>
    <row r="2321" spans="12:12" x14ac:dyDescent="0.3">
      <c r="L2321" s="331"/>
    </row>
    <row r="2322" spans="12:12" x14ac:dyDescent="0.3">
      <c r="L2322" s="331"/>
    </row>
    <row r="2323" spans="12:12" x14ac:dyDescent="0.3">
      <c r="L2323" s="330"/>
    </row>
    <row r="2324" spans="12:12" x14ac:dyDescent="0.3">
      <c r="L2324" s="330"/>
    </row>
    <row r="2325" spans="12:12" x14ac:dyDescent="0.3">
      <c r="L2325" s="330"/>
    </row>
    <row r="2326" spans="12:12" x14ac:dyDescent="0.3">
      <c r="L2326" s="330"/>
    </row>
    <row r="2327" spans="12:12" x14ac:dyDescent="0.3">
      <c r="L2327" s="330"/>
    </row>
    <row r="2328" spans="12:12" x14ac:dyDescent="0.3">
      <c r="L2328" s="330"/>
    </row>
    <row r="2329" spans="12:12" x14ac:dyDescent="0.3">
      <c r="L2329" s="330"/>
    </row>
    <row r="2330" spans="12:12" x14ac:dyDescent="0.3">
      <c r="L2330" s="330"/>
    </row>
    <row r="2331" spans="12:12" x14ac:dyDescent="0.3">
      <c r="L2331" s="330"/>
    </row>
    <row r="2332" spans="12:12" x14ac:dyDescent="0.3">
      <c r="L2332" s="330"/>
    </row>
    <row r="2333" spans="12:12" x14ac:dyDescent="0.3">
      <c r="L2333" s="330"/>
    </row>
    <row r="2334" spans="12:12" x14ac:dyDescent="0.3">
      <c r="L2334" s="330"/>
    </row>
    <row r="2335" spans="12:12" x14ac:dyDescent="0.3">
      <c r="L2335" s="330"/>
    </row>
    <row r="2336" spans="12:12" x14ac:dyDescent="0.3">
      <c r="L2336" s="330"/>
    </row>
    <row r="2337" spans="12:12" x14ac:dyDescent="0.3">
      <c r="L2337" s="330"/>
    </row>
    <row r="2338" spans="12:12" x14ac:dyDescent="0.3">
      <c r="L2338" s="330"/>
    </row>
    <row r="2339" spans="12:12" x14ac:dyDescent="0.3">
      <c r="L2339" s="330"/>
    </row>
    <row r="2340" spans="12:12" x14ac:dyDescent="0.3">
      <c r="L2340" s="330"/>
    </row>
    <row r="2341" spans="12:12" x14ac:dyDescent="0.3">
      <c r="L2341" s="330"/>
    </row>
    <row r="2342" spans="12:12" x14ac:dyDescent="0.3">
      <c r="L2342" s="330"/>
    </row>
    <row r="2343" spans="12:12" x14ac:dyDescent="0.3">
      <c r="L2343" s="330"/>
    </row>
    <row r="2344" spans="12:12" x14ac:dyDescent="0.3">
      <c r="L2344" s="330"/>
    </row>
    <row r="2345" spans="12:12" x14ac:dyDescent="0.3">
      <c r="L2345" s="330"/>
    </row>
    <row r="2346" spans="12:12" x14ac:dyDescent="0.3">
      <c r="L2346" s="330"/>
    </row>
    <row r="2347" spans="12:12" x14ac:dyDescent="0.3">
      <c r="L2347" s="330"/>
    </row>
    <row r="2348" spans="12:12" x14ac:dyDescent="0.3">
      <c r="L2348" s="330"/>
    </row>
  </sheetData>
  <phoneticPr fontId="95" type="noConversion"/>
  <hyperlinks>
    <hyperlink ref="A24" r:id="rId1" tooltip="EMFAC2021 Database" xr:uid="{119759DE-4487-4BC7-A5A9-13FC71A76333}"/>
  </hyperlinks>
  <pageMargins left="0.7" right="0.7" top="0.75" bottom="0.75" header="0.3" footer="0.3"/>
  <pageSetup scale="59" orientation="portrait" r:id="rId2"/>
  <headerFooter>
    <oddFooter>&amp;L&amp;"Avenir LT Std 55 Roman,Regular"&amp;12December 30, 2020&amp;C&amp;"Avenir LT Std 55 Roman,Regular"&amp;12&amp;P of &amp;N&amp;R&amp;"Avenir LT Std 55 Roman,Regular"&amp;12&amp;A</oddFooter>
  </headerFooter>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9D2C7-FD6A-4F5B-B987-8A2F4B97BCFB}">
  <sheetPr>
    <tabColor theme="9" tint="0.79998168889431442"/>
  </sheetPr>
  <dimension ref="B1:U176"/>
  <sheetViews>
    <sheetView showGridLines="0" zoomScaleNormal="100" workbookViewId="0">
      <selection activeCell="D27" sqref="D27"/>
    </sheetView>
  </sheetViews>
  <sheetFormatPr defaultColWidth="9.1796875" defaultRowHeight="15" customHeight="1" x14ac:dyDescent="0.3"/>
  <cols>
    <col min="1" max="1" width="2.81640625" style="487" customWidth="1"/>
    <col min="2" max="2" width="8.54296875" style="487" customWidth="1"/>
    <col min="3" max="3" width="37.26953125" style="487" customWidth="1"/>
    <col min="4" max="4" width="33.26953125" style="487" customWidth="1"/>
    <col min="5" max="5" width="65.81640625" style="487" customWidth="1"/>
    <col min="6" max="6" width="2.81640625" style="487" customWidth="1"/>
    <col min="7" max="16384" width="9.1796875" style="487"/>
  </cols>
  <sheetData>
    <row r="1" spans="2:5" ht="20.149999999999999" customHeight="1" x14ac:dyDescent="0.3">
      <c r="B1" s="1560"/>
      <c r="C1" s="1560"/>
      <c r="D1" s="1560"/>
      <c r="E1" s="1560"/>
    </row>
    <row r="2" spans="2:5" ht="15" customHeight="1" x14ac:dyDescent="0.3">
      <c r="B2" s="1560"/>
      <c r="C2" s="1560"/>
      <c r="D2" s="1560"/>
      <c r="E2" s="1560"/>
    </row>
    <row r="3" spans="2:5" ht="20.149999999999999" customHeight="1" x14ac:dyDescent="0.3">
      <c r="B3" s="1560"/>
      <c r="C3" s="1560"/>
      <c r="D3" s="1560"/>
      <c r="E3" s="1560"/>
    </row>
    <row r="4" spans="2:5" ht="20.149999999999999" customHeight="1" x14ac:dyDescent="0.3">
      <c r="B4" s="1560"/>
      <c r="C4" s="1560"/>
      <c r="D4" s="1560"/>
      <c r="E4" s="1560"/>
    </row>
    <row r="5" spans="2:5" ht="15" customHeight="1" x14ac:dyDescent="0.3">
      <c r="B5" s="1560"/>
      <c r="C5" s="1560"/>
      <c r="D5" s="1560"/>
      <c r="E5" s="1560"/>
    </row>
    <row r="6" spans="2:5" ht="20.149999999999999" customHeight="1" x14ac:dyDescent="0.3">
      <c r="B6" s="1560"/>
      <c r="C6" s="1560"/>
      <c r="D6" s="1560"/>
      <c r="E6" s="1560"/>
    </row>
    <row r="8" spans="2:5" ht="15" customHeight="1" x14ac:dyDescent="0.35">
      <c r="B8" s="488" t="s">
        <v>29</v>
      </c>
      <c r="C8" s="488"/>
    </row>
    <row r="9" spans="2:5" s="1561" customFormat="1" ht="18.75" customHeight="1" x14ac:dyDescent="0.35">
      <c r="B9" s="1332" t="s">
        <v>6192</v>
      </c>
      <c r="C9" s="532"/>
      <c r="D9" s="532"/>
      <c r="E9" s="533"/>
    </row>
    <row r="10" spans="2:5" s="1561" customFormat="1" ht="18.75" customHeight="1" x14ac:dyDescent="0.35">
      <c r="B10" s="534" t="s">
        <v>6210</v>
      </c>
      <c r="C10" s="530"/>
      <c r="D10" s="530"/>
      <c r="E10" s="531"/>
    </row>
    <row r="11" spans="2:5" ht="15" customHeight="1" thickBot="1" x14ac:dyDescent="0.35">
      <c r="B11" s="1602"/>
      <c r="C11" s="1602"/>
      <c r="D11" s="1602"/>
      <c r="E11" s="1602"/>
    </row>
    <row r="12" spans="2:5" ht="21" hidden="1" thickBot="1" x14ac:dyDescent="0.35">
      <c r="B12" s="1603" t="s">
        <v>6193</v>
      </c>
      <c r="C12" s="1603"/>
      <c r="D12" s="1603"/>
      <c r="E12" s="1603"/>
    </row>
    <row r="13" spans="2:5" ht="15" customHeight="1" x14ac:dyDescent="0.3">
      <c r="B13" s="1562" t="s">
        <v>35</v>
      </c>
      <c r="C13" s="1563"/>
      <c r="D13" s="1564"/>
      <c r="E13" s="1565"/>
    </row>
    <row r="14" spans="2:5" ht="15" customHeight="1" x14ac:dyDescent="0.3">
      <c r="B14" s="1566" t="s">
        <v>6194</v>
      </c>
      <c r="C14" s="1567"/>
      <c r="D14" s="1568"/>
      <c r="E14" s="1569"/>
    </row>
    <row r="15" spans="2:5" ht="15" customHeight="1" x14ac:dyDescent="0.3">
      <c r="B15" s="1566" t="s">
        <v>6195</v>
      </c>
      <c r="C15" s="1567"/>
      <c r="D15" s="1568"/>
      <c r="E15" s="1570"/>
    </row>
    <row r="16" spans="2:5" ht="15" customHeight="1" x14ac:dyDescent="0.3">
      <c r="B16" s="1566" t="s">
        <v>6196</v>
      </c>
      <c r="C16" s="1567"/>
      <c r="D16" s="1568"/>
      <c r="E16" s="1571"/>
    </row>
    <row r="17" spans="2:21" ht="15" customHeight="1" x14ac:dyDescent="0.3">
      <c r="B17" s="1566" t="s">
        <v>6197</v>
      </c>
      <c r="C17" s="1567"/>
      <c r="D17" s="1568"/>
      <c r="E17" s="1572"/>
    </row>
    <row r="18" spans="2:21" ht="15" customHeight="1" thickBot="1" x14ac:dyDescent="0.35">
      <c r="B18" s="1573" t="s">
        <v>6198</v>
      </c>
      <c r="C18" s="1574"/>
      <c r="D18" s="1575"/>
      <c r="E18" s="1576"/>
    </row>
    <row r="19" spans="2:21" ht="15" hidden="1" customHeight="1" x14ac:dyDescent="0.3">
      <c r="B19" s="1604" t="s">
        <v>6199</v>
      </c>
      <c r="C19" s="1605"/>
      <c r="D19" s="1606"/>
      <c r="E19" s="1577"/>
    </row>
    <row r="20" spans="2:21" ht="15" hidden="1" customHeight="1" x14ac:dyDescent="0.3">
      <c r="B20" s="1607" t="s">
        <v>6200</v>
      </c>
      <c r="C20" s="1608"/>
      <c r="D20" s="1609"/>
      <c r="E20" s="1578"/>
    </row>
    <row r="21" spans="2:21" ht="15" hidden="1" customHeight="1" x14ac:dyDescent="0.3">
      <c r="B21" s="1607" t="s">
        <v>6201</v>
      </c>
      <c r="C21" s="1608"/>
      <c r="D21" s="1609"/>
      <c r="E21" s="1578"/>
    </row>
    <row r="22" spans="2:21" ht="15" hidden="1" customHeight="1" x14ac:dyDescent="0.3">
      <c r="B22" s="1607" t="s">
        <v>6202</v>
      </c>
      <c r="C22" s="1608"/>
      <c r="D22" s="1609"/>
      <c r="E22" s="1578"/>
    </row>
    <row r="23" spans="2:21" ht="15" hidden="1" customHeight="1" x14ac:dyDescent="0.3">
      <c r="B23" s="1599" t="s">
        <v>6203</v>
      </c>
      <c r="C23" s="1600"/>
      <c r="D23" s="1601"/>
      <c r="E23" s="1579">
        <f>SUM(E21:E22)</f>
        <v>0</v>
      </c>
    </row>
    <row r="24" spans="2:21" ht="15" customHeight="1" thickBot="1" x14ac:dyDescent="0.35">
      <c r="B24" s="1580"/>
      <c r="C24" s="1580"/>
      <c r="D24" s="1580"/>
      <c r="E24" s="1580"/>
    </row>
    <row r="25" spans="2:21" ht="15" customHeight="1" thickBot="1" x14ac:dyDescent="0.4">
      <c r="B25" s="1581"/>
      <c r="C25" s="1582" t="s">
        <v>24</v>
      </c>
      <c r="D25" s="1580"/>
      <c r="E25" s="1580"/>
      <c r="F25" s="1583"/>
      <c r="G25" s="1583"/>
      <c r="H25" s="1583"/>
      <c r="I25" s="1583"/>
      <c r="J25" s="1583"/>
      <c r="K25" s="1583"/>
      <c r="L25" s="1583"/>
      <c r="M25" s="1583"/>
      <c r="N25" s="1583"/>
      <c r="O25" s="1583"/>
      <c r="P25" s="1583"/>
      <c r="Q25" s="1583"/>
      <c r="R25" s="1583"/>
      <c r="S25" s="1584"/>
      <c r="T25" s="1584"/>
      <c r="U25" s="1583"/>
    </row>
    <row r="26" spans="2:21" ht="15" customHeight="1" thickTop="1" x14ac:dyDescent="0.35">
      <c r="B26" s="1585" t="s">
        <v>25</v>
      </c>
      <c r="C26" s="1586" t="s">
        <v>26</v>
      </c>
      <c r="D26" s="1580"/>
      <c r="E26" s="1580"/>
      <c r="F26" s="1583"/>
    </row>
    <row r="27" spans="2:21" ht="15" customHeight="1" x14ac:dyDescent="0.35">
      <c r="B27" s="1587" t="s">
        <v>27</v>
      </c>
      <c r="C27" s="1586" t="s">
        <v>6204</v>
      </c>
      <c r="D27" s="1588"/>
      <c r="E27" s="1588"/>
      <c r="F27" s="1583"/>
    </row>
    <row r="28" spans="2:21" ht="15" customHeight="1" x14ac:dyDescent="0.3">
      <c r="B28" s="1589" t="s">
        <v>6205</v>
      </c>
      <c r="C28" s="1586" t="s">
        <v>31</v>
      </c>
      <c r="D28" s="1588"/>
      <c r="E28" s="1590"/>
    </row>
    <row r="29" spans="2:21" ht="15" customHeight="1" x14ac:dyDescent="0.3">
      <c r="B29" s="1591" t="s">
        <v>6206</v>
      </c>
      <c r="C29" s="1586" t="s">
        <v>6207</v>
      </c>
      <c r="D29" s="1588"/>
      <c r="E29" s="1590"/>
    </row>
    <row r="30" spans="2:21" ht="15" customHeight="1" thickBot="1" x14ac:dyDescent="0.35">
      <c r="B30" s="1592" t="s">
        <v>32</v>
      </c>
      <c r="C30" s="1593" t="s">
        <v>33</v>
      </c>
      <c r="D30" s="1588"/>
      <c r="E30" s="1590"/>
    </row>
    <row r="31" spans="2:21" ht="15" customHeight="1" x14ac:dyDescent="0.3">
      <c r="B31" s="1594" t="s">
        <v>6208</v>
      </c>
      <c r="C31" s="1588"/>
      <c r="D31" s="1588"/>
      <c r="E31" s="1590"/>
    </row>
    <row r="32" spans="2:21" ht="15" customHeight="1" x14ac:dyDescent="0.3">
      <c r="B32" s="1588"/>
      <c r="C32" s="1588"/>
      <c r="D32" s="1588"/>
      <c r="E32" s="1590"/>
    </row>
    <row r="33" spans="2:6" ht="15" customHeight="1" x14ac:dyDescent="0.35">
      <c r="B33" s="1588"/>
      <c r="C33" s="1588"/>
      <c r="D33" s="1588"/>
      <c r="E33" s="1588"/>
      <c r="F33" s="1583"/>
    </row>
    <row r="34" spans="2:6" ht="15" customHeight="1" x14ac:dyDescent="0.35">
      <c r="B34" s="1588"/>
      <c r="C34" s="1588"/>
      <c r="D34" s="1588"/>
      <c r="E34" s="1588"/>
      <c r="F34" s="1583"/>
    </row>
    <row r="35" spans="2:6" ht="15" customHeight="1" x14ac:dyDescent="0.35">
      <c r="B35" s="1588"/>
      <c r="C35" s="1588"/>
      <c r="D35" s="1588"/>
      <c r="E35" s="1588"/>
      <c r="F35" s="1583"/>
    </row>
    <row r="36" spans="2:6" ht="15" customHeight="1" x14ac:dyDescent="0.35">
      <c r="B36" s="1588"/>
      <c r="C36" s="1588"/>
      <c r="D36" s="1588"/>
      <c r="E36" s="1588"/>
      <c r="F36" s="1583"/>
    </row>
    <row r="37" spans="2:6" ht="15" customHeight="1" x14ac:dyDescent="0.35">
      <c r="B37" s="1588"/>
      <c r="C37" s="1588"/>
      <c r="D37" s="1588"/>
      <c r="E37" s="1588"/>
      <c r="F37" s="1583"/>
    </row>
    <row r="38" spans="2:6" ht="15" customHeight="1" x14ac:dyDescent="0.35">
      <c r="B38" s="1588"/>
      <c r="C38" s="1588"/>
      <c r="D38" s="1588"/>
      <c r="E38" s="1588"/>
      <c r="F38" s="1583"/>
    </row>
    <row r="39" spans="2:6" ht="15" customHeight="1" x14ac:dyDescent="0.35">
      <c r="B39" s="1588"/>
      <c r="C39" s="1588"/>
      <c r="D39" s="1588"/>
      <c r="E39" s="1588"/>
      <c r="F39" s="1583"/>
    </row>
    <row r="40" spans="2:6" ht="15" customHeight="1" x14ac:dyDescent="0.35">
      <c r="B40" s="1588"/>
      <c r="C40" s="1588"/>
      <c r="D40" s="1588"/>
      <c r="E40" s="1588"/>
      <c r="F40" s="1583"/>
    </row>
    <row r="41" spans="2:6" ht="15" customHeight="1" x14ac:dyDescent="0.35">
      <c r="B41" s="1588"/>
      <c r="C41" s="1588"/>
      <c r="D41" s="1588"/>
      <c r="E41" s="1588"/>
      <c r="F41" s="1583"/>
    </row>
    <row r="42" spans="2:6" ht="15" customHeight="1" x14ac:dyDescent="0.35">
      <c r="B42" s="1588"/>
      <c r="C42" s="1588"/>
      <c r="D42" s="1588"/>
      <c r="E42" s="1588"/>
      <c r="F42" s="1583"/>
    </row>
    <row r="43" spans="2:6" ht="15" customHeight="1" x14ac:dyDescent="0.35">
      <c r="B43" s="1588"/>
      <c r="C43" s="1588"/>
      <c r="D43" s="1588"/>
      <c r="E43" s="1588"/>
      <c r="F43" s="1583"/>
    </row>
    <row r="44" spans="2:6" ht="15" customHeight="1" x14ac:dyDescent="0.35">
      <c r="B44" s="1588"/>
      <c r="C44" s="1588"/>
      <c r="D44" s="1588"/>
      <c r="E44" s="1588"/>
      <c r="F44" s="1583"/>
    </row>
    <row r="45" spans="2:6" ht="15" customHeight="1" x14ac:dyDescent="0.35">
      <c r="B45" s="1588"/>
      <c r="C45" s="1588"/>
      <c r="D45" s="1588"/>
      <c r="E45" s="1588"/>
      <c r="F45" s="1583"/>
    </row>
    <row r="46" spans="2:6" ht="15" customHeight="1" x14ac:dyDescent="0.35">
      <c r="B46" s="1588"/>
      <c r="C46" s="1588"/>
      <c r="D46" s="1588"/>
      <c r="E46" s="1588"/>
      <c r="F46" s="1583"/>
    </row>
    <row r="47" spans="2:6" ht="15" customHeight="1" x14ac:dyDescent="0.35">
      <c r="B47" s="1588"/>
      <c r="C47" s="1588"/>
      <c r="D47" s="1588"/>
      <c r="E47" s="1588"/>
      <c r="F47" s="1583"/>
    </row>
    <row r="48" spans="2:6" ht="15" customHeight="1" x14ac:dyDescent="0.35">
      <c r="B48" s="1588"/>
      <c r="C48" s="1588"/>
      <c r="D48" s="1588"/>
      <c r="E48" s="1588"/>
      <c r="F48" s="1583"/>
    </row>
    <row r="49" spans="2:6" ht="15" customHeight="1" x14ac:dyDescent="0.35">
      <c r="B49" s="1588"/>
      <c r="C49" s="1588"/>
      <c r="D49" s="1588"/>
      <c r="E49" s="1588"/>
      <c r="F49" s="1583"/>
    </row>
    <row r="50" spans="2:6" ht="15" customHeight="1" x14ac:dyDescent="0.35">
      <c r="B50" s="1588"/>
      <c r="C50" s="1588"/>
      <c r="D50" s="1588"/>
      <c r="E50" s="1588"/>
      <c r="F50" s="1583"/>
    </row>
    <row r="51" spans="2:6" ht="15" customHeight="1" x14ac:dyDescent="0.35">
      <c r="B51" s="1588"/>
      <c r="C51" s="1588"/>
      <c r="D51" s="1588"/>
      <c r="E51" s="1588"/>
      <c r="F51" s="1583"/>
    </row>
    <row r="52" spans="2:6" ht="15" customHeight="1" x14ac:dyDescent="0.35">
      <c r="B52" s="1588"/>
      <c r="C52" s="1588"/>
      <c r="D52" s="1588"/>
      <c r="E52" s="1588"/>
      <c r="F52" s="1583"/>
    </row>
    <row r="53" spans="2:6" ht="15" customHeight="1" x14ac:dyDescent="0.35">
      <c r="B53" s="1588"/>
      <c r="C53" s="1588"/>
      <c r="D53" s="1588"/>
      <c r="E53" s="1588"/>
      <c r="F53" s="1583"/>
    </row>
    <row r="54" spans="2:6" ht="15" customHeight="1" x14ac:dyDescent="0.35">
      <c r="B54" s="1588"/>
      <c r="C54" s="1588"/>
      <c r="D54" s="1588"/>
      <c r="E54" s="1588"/>
      <c r="F54" s="1583"/>
    </row>
    <row r="55" spans="2:6" ht="15" customHeight="1" x14ac:dyDescent="0.35">
      <c r="F55" s="1583"/>
    </row>
    <row r="56" spans="2:6" ht="15" customHeight="1" x14ac:dyDescent="0.35">
      <c r="B56" s="1595"/>
      <c r="C56" s="1595"/>
      <c r="F56" s="1583"/>
    </row>
    <row r="57" spans="2:6" ht="15" customHeight="1" x14ac:dyDescent="0.35">
      <c r="B57" s="1596"/>
      <c r="C57" s="1596"/>
      <c r="F57" s="1583"/>
    </row>
    <row r="58" spans="2:6" ht="15" customHeight="1" x14ac:dyDescent="0.35">
      <c r="F58" s="1583"/>
    </row>
    <row r="59" spans="2:6" ht="15" customHeight="1" x14ac:dyDescent="0.35">
      <c r="F59" s="1583"/>
    </row>
    <row r="60" spans="2:6" ht="15" customHeight="1" x14ac:dyDescent="0.35">
      <c r="F60" s="1583"/>
    </row>
    <row r="61" spans="2:6" ht="15" customHeight="1" x14ac:dyDescent="0.35">
      <c r="F61" s="1583"/>
    </row>
    <row r="62" spans="2:6" ht="15" customHeight="1" x14ac:dyDescent="0.35">
      <c r="F62" s="1583"/>
    </row>
    <row r="63" spans="2:6" ht="15" customHeight="1" x14ac:dyDescent="0.35">
      <c r="F63" s="1583"/>
    </row>
    <row r="64" spans="2:6" ht="15" customHeight="1" x14ac:dyDescent="0.35">
      <c r="F64" s="1583"/>
    </row>
    <row r="65" spans="6:6" ht="15" customHeight="1" x14ac:dyDescent="0.35">
      <c r="F65" s="1583"/>
    </row>
    <row r="66" spans="6:6" ht="15" customHeight="1" x14ac:dyDescent="0.35">
      <c r="F66" s="1583"/>
    </row>
    <row r="67" spans="6:6" ht="15" customHeight="1" x14ac:dyDescent="0.35">
      <c r="F67" s="1583"/>
    </row>
    <row r="68" spans="6:6" ht="15" customHeight="1" x14ac:dyDescent="0.35">
      <c r="F68" s="1583"/>
    </row>
    <row r="69" spans="6:6" ht="15" customHeight="1" x14ac:dyDescent="0.35">
      <c r="F69" s="1583"/>
    </row>
    <row r="70" spans="6:6" ht="15" customHeight="1" x14ac:dyDescent="0.35">
      <c r="F70" s="1583"/>
    </row>
    <row r="71" spans="6:6" ht="15" customHeight="1" x14ac:dyDescent="0.35">
      <c r="F71" s="1583"/>
    </row>
    <row r="72" spans="6:6" ht="15" customHeight="1" x14ac:dyDescent="0.35">
      <c r="F72" s="1583"/>
    </row>
    <row r="73" spans="6:6" ht="15" customHeight="1" x14ac:dyDescent="0.35">
      <c r="F73" s="1583"/>
    </row>
    <row r="74" spans="6:6" ht="15" customHeight="1" x14ac:dyDescent="0.35">
      <c r="F74" s="1583"/>
    </row>
    <row r="75" spans="6:6" ht="15" customHeight="1" x14ac:dyDescent="0.35">
      <c r="F75" s="1583"/>
    </row>
    <row r="76" spans="6:6" ht="15" customHeight="1" x14ac:dyDescent="0.35">
      <c r="F76" s="1583"/>
    </row>
    <row r="77" spans="6:6" ht="15" customHeight="1" x14ac:dyDescent="0.35">
      <c r="F77" s="1583"/>
    </row>
    <row r="78" spans="6:6" ht="15" customHeight="1" x14ac:dyDescent="0.35">
      <c r="F78" s="1583"/>
    </row>
    <row r="79" spans="6:6" ht="15" customHeight="1" x14ac:dyDescent="0.35">
      <c r="F79" s="1583"/>
    </row>
    <row r="80" spans="6:6" ht="15" customHeight="1" x14ac:dyDescent="0.35">
      <c r="F80" s="1583"/>
    </row>
    <row r="81" spans="6:6" ht="15" customHeight="1" x14ac:dyDescent="0.35">
      <c r="F81" s="1583"/>
    </row>
    <row r="82" spans="6:6" ht="15" customHeight="1" x14ac:dyDescent="0.35">
      <c r="F82" s="1583"/>
    </row>
    <row r="83" spans="6:6" ht="15" customHeight="1" x14ac:dyDescent="0.35">
      <c r="F83" s="1583"/>
    </row>
    <row r="84" spans="6:6" ht="15" customHeight="1" x14ac:dyDescent="0.35">
      <c r="F84" s="1583"/>
    </row>
    <row r="85" spans="6:6" ht="15" customHeight="1" x14ac:dyDescent="0.35">
      <c r="F85" s="1583"/>
    </row>
    <row r="86" spans="6:6" ht="15" customHeight="1" x14ac:dyDescent="0.35">
      <c r="F86" s="1583"/>
    </row>
    <row r="87" spans="6:6" ht="15" customHeight="1" x14ac:dyDescent="0.35">
      <c r="F87" s="1583"/>
    </row>
    <row r="88" spans="6:6" ht="15" customHeight="1" x14ac:dyDescent="0.35">
      <c r="F88" s="1583"/>
    </row>
    <row r="89" spans="6:6" ht="15" customHeight="1" x14ac:dyDescent="0.35">
      <c r="F89" s="1583"/>
    </row>
    <row r="90" spans="6:6" ht="15" customHeight="1" x14ac:dyDescent="0.35">
      <c r="F90" s="1583"/>
    </row>
    <row r="91" spans="6:6" ht="15" customHeight="1" x14ac:dyDescent="0.35">
      <c r="F91" s="1583"/>
    </row>
    <row r="92" spans="6:6" ht="15" customHeight="1" x14ac:dyDescent="0.35">
      <c r="F92" s="1583"/>
    </row>
    <row r="93" spans="6:6" ht="15" customHeight="1" x14ac:dyDescent="0.35">
      <c r="F93" s="1583"/>
    </row>
    <row r="94" spans="6:6" ht="15" customHeight="1" x14ac:dyDescent="0.35">
      <c r="F94" s="1583"/>
    </row>
    <row r="95" spans="6:6" ht="15" customHeight="1" x14ac:dyDescent="0.35">
      <c r="F95" s="1583"/>
    </row>
    <row r="96" spans="6:6" ht="15" customHeight="1" x14ac:dyDescent="0.35">
      <c r="F96" s="1583"/>
    </row>
    <row r="97" spans="6:6" ht="15" customHeight="1" x14ac:dyDescent="0.35">
      <c r="F97" s="1583"/>
    </row>
    <row r="98" spans="6:6" ht="15" customHeight="1" x14ac:dyDescent="0.35">
      <c r="F98" s="1583"/>
    </row>
    <row r="99" spans="6:6" ht="15" customHeight="1" x14ac:dyDescent="0.35">
      <c r="F99" s="1583"/>
    </row>
    <row r="100" spans="6:6" ht="15" customHeight="1" x14ac:dyDescent="0.35">
      <c r="F100" s="1583"/>
    </row>
    <row r="101" spans="6:6" ht="15" customHeight="1" x14ac:dyDescent="0.35">
      <c r="F101" s="1583"/>
    </row>
    <row r="102" spans="6:6" ht="15" customHeight="1" x14ac:dyDescent="0.35">
      <c r="F102" s="1583"/>
    </row>
    <row r="103" spans="6:6" ht="15" customHeight="1" x14ac:dyDescent="0.35">
      <c r="F103" s="1583"/>
    </row>
    <row r="104" spans="6:6" ht="15" customHeight="1" x14ac:dyDescent="0.35">
      <c r="F104" s="1583"/>
    </row>
    <row r="105" spans="6:6" ht="15" customHeight="1" x14ac:dyDescent="0.35">
      <c r="F105" s="1583"/>
    </row>
    <row r="106" spans="6:6" ht="15" customHeight="1" x14ac:dyDescent="0.35">
      <c r="F106" s="1583"/>
    </row>
    <row r="107" spans="6:6" ht="15" customHeight="1" x14ac:dyDescent="0.35">
      <c r="F107" s="1583"/>
    </row>
    <row r="108" spans="6:6" ht="15" customHeight="1" x14ac:dyDescent="0.35">
      <c r="F108" s="1583"/>
    </row>
    <row r="109" spans="6:6" ht="15" customHeight="1" x14ac:dyDescent="0.35">
      <c r="F109" s="1583"/>
    </row>
    <row r="110" spans="6:6" ht="15" customHeight="1" x14ac:dyDescent="0.35">
      <c r="F110" s="1583"/>
    </row>
    <row r="111" spans="6:6" ht="15" customHeight="1" x14ac:dyDescent="0.35">
      <c r="F111" s="1583"/>
    </row>
    <row r="112" spans="6:6" ht="15" customHeight="1" x14ac:dyDescent="0.35">
      <c r="F112" s="1583"/>
    </row>
    <row r="113" spans="6:6" ht="15" customHeight="1" x14ac:dyDescent="0.35">
      <c r="F113" s="1583"/>
    </row>
    <row r="114" spans="6:6" ht="15" customHeight="1" x14ac:dyDescent="0.35">
      <c r="F114" s="1583"/>
    </row>
    <row r="115" spans="6:6" ht="15" customHeight="1" x14ac:dyDescent="0.35">
      <c r="F115" s="1583"/>
    </row>
    <row r="116" spans="6:6" ht="15" customHeight="1" x14ac:dyDescent="0.35">
      <c r="F116" s="1583"/>
    </row>
    <row r="117" spans="6:6" ht="15" customHeight="1" x14ac:dyDescent="0.35">
      <c r="F117" s="1583"/>
    </row>
    <row r="118" spans="6:6" ht="15" customHeight="1" x14ac:dyDescent="0.35">
      <c r="F118" s="1583"/>
    </row>
    <row r="119" spans="6:6" ht="15" customHeight="1" x14ac:dyDescent="0.35">
      <c r="F119" s="1583"/>
    </row>
    <row r="120" spans="6:6" ht="15" customHeight="1" x14ac:dyDescent="0.35">
      <c r="F120" s="1583"/>
    </row>
    <row r="121" spans="6:6" ht="15" customHeight="1" x14ac:dyDescent="0.35">
      <c r="F121" s="1583"/>
    </row>
    <row r="122" spans="6:6" ht="15" customHeight="1" x14ac:dyDescent="0.35">
      <c r="F122" s="1583"/>
    </row>
    <row r="123" spans="6:6" ht="15" customHeight="1" x14ac:dyDescent="0.35">
      <c r="F123" s="1583"/>
    </row>
    <row r="124" spans="6:6" ht="15" customHeight="1" x14ac:dyDescent="0.35">
      <c r="F124" s="1583"/>
    </row>
    <row r="125" spans="6:6" ht="15" customHeight="1" x14ac:dyDescent="0.35">
      <c r="F125" s="1583"/>
    </row>
    <row r="126" spans="6:6" ht="15" customHeight="1" x14ac:dyDescent="0.35">
      <c r="F126" s="1583"/>
    </row>
    <row r="127" spans="6:6" ht="15" customHeight="1" x14ac:dyDescent="0.35">
      <c r="F127" s="1583"/>
    </row>
    <row r="128" spans="6:6" ht="15" customHeight="1" x14ac:dyDescent="0.35">
      <c r="F128" s="1583"/>
    </row>
    <row r="129" spans="6:6" ht="15" customHeight="1" x14ac:dyDescent="0.35">
      <c r="F129" s="1583"/>
    </row>
    <row r="130" spans="6:6" ht="15" customHeight="1" x14ac:dyDescent="0.35">
      <c r="F130" s="1583"/>
    </row>
    <row r="131" spans="6:6" ht="15" customHeight="1" x14ac:dyDescent="0.35">
      <c r="F131" s="1583"/>
    </row>
    <row r="132" spans="6:6" ht="15" customHeight="1" x14ac:dyDescent="0.35">
      <c r="F132" s="1583"/>
    </row>
    <row r="133" spans="6:6" ht="15" customHeight="1" x14ac:dyDescent="0.35">
      <c r="F133" s="1583"/>
    </row>
    <row r="134" spans="6:6" ht="15" customHeight="1" x14ac:dyDescent="0.35">
      <c r="F134" s="1583"/>
    </row>
    <row r="135" spans="6:6" ht="15" customHeight="1" x14ac:dyDescent="0.35">
      <c r="F135" s="1583"/>
    </row>
    <row r="136" spans="6:6" ht="15" customHeight="1" x14ac:dyDescent="0.35">
      <c r="F136" s="1583"/>
    </row>
    <row r="137" spans="6:6" ht="15" customHeight="1" x14ac:dyDescent="0.35">
      <c r="F137" s="1583"/>
    </row>
    <row r="138" spans="6:6" ht="15" customHeight="1" x14ac:dyDescent="0.35">
      <c r="F138" s="1583"/>
    </row>
    <row r="139" spans="6:6" ht="15" customHeight="1" x14ac:dyDescent="0.35">
      <c r="F139" s="1583"/>
    </row>
    <row r="140" spans="6:6" ht="15" customHeight="1" x14ac:dyDescent="0.35">
      <c r="F140" s="1583"/>
    </row>
    <row r="141" spans="6:6" ht="15" customHeight="1" x14ac:dyDescent="0.35">
      <c r="F141" s="1583"/>
    </row>
    <row r="142" spans="6:6" ht="15" customHeight="1" x14ac:dyDescent="0.35">
      <c r="F142" s="1583"/>
    </row>
    <row r="143" spans="6:6" ht="15" customHeight="1" x14ac:dyDescent="0.35">
      <c r="F143" s="1583"/>
    </row>
    <row r="144" spans="6:6" ht="15" customHeight="1" x14ac:dyDescent="0.35">
      <c r="F144" s="1583"/>
    </row>
    <row r="145" spans="6:6" ht="15" customHeight="1" x14ac:dyDescent="0.35">
      <c r="F145" s="1583"/>
    </row>
    <row r="146" spans="6:6" ht="15" customHeight="1" x14ac:dyDescent="0.35">
      <c r="F146" s="1583"/>
    </row>
    <row r="147" spans="6:6" ht="15" customHeight="1" x14ac:dyDescent="0.35">
      <c r="F147" s="1583"/>
    </row>
    <row r="148" spans="6:6" ht="15" customHeight="1" x14ac:dyDescent="0.35">
      <c r="F148" s="1583"/>
    </row>
    <row r="149" spans="6:6" ht="15" customHeight="1" x14ac:dyDescent="0.35">
      <c r="F149" s="1583"/>
    </row>
    <row r="150" spans="6:6" ht="15" customHeight="1" x14ac:dyDescent="0.35">
      <c r="F150" s="1583"/>
    </row>
    <row r="151" spans="6:6" ht="15" customHeight="1" x14ac:dyDescent="0.35">
      <c r="F151" s="1583"/>
    </row>
    <row r="152" spans="6:6" ht="15" customHeight="1" x14ac:dyDescent="0.35">
      <c r="F152" s="1583"/>
    </row>
    <row r="153" spans="6:6" ht="15" customHeight="1" x14ac:dyDescent="0.35">
      <c r="F153" s="1583"/>
    </row>
    <row r="154" spans="6:6" ht="15" customHeight="1" x14ac:dyDescent="0.35">
      <c r="F154" s="1583"/>
    </row>
    <row r="155" spans="6:6" ht="15" customHeight="1" x14ac:dyDescent="0.35">
      <c r="F155" s="1583"/>
    </row>
    <row r="156" spans="6:6" ht="15" customHeight="1" x14ac:dyDescent="0.35">
      <c r="F156" s="1583"/>
    </row>
    <row r="157" spans="6:6" ht="15" customHeight="1" x14ac:dyDescent="0.35">
      <c r="F157" s="1583"/>
    </row>
    <row r="158" spans="6:6" ht="15" customHeight="1" x14ac:dyDescent="0.35">
      <c r="F158" s="1583"/>
    </row>
    <row r="159" spans="6:6" ht="15" customHeight="1" x14ac:dyDescent="0.35">
      <c r="F159" s="1583"/>
    </row>
    <row r="160" spans="6:6" ht="15" customHeight="1" x14ac:dyDescent="0.35">
      <c r="F160" s="1583"/>
    </row>
    <row r="161" spans="6:6" ht="15" customHeight="1" x14ac:dyDescent="0.35">
      <c r="F161" s="1583"/>
    </row>
    <row r="162" spans="6:6" ht="15" customHeight="1" x14ac:dyDescent="0.35">
      <c r="F162" s="1583"/>
    </row>
    <row r="163" spans="6:6" ht="15" customHeight="1" x14ac:dyDescent="0.35">
      <c r="F163" s="1583"/>
    </row>
    <row r="164" spans="6:6" ht="15" customHeight="1" x14ac:dyDescent="0.35">
      <c r="F164" s="1583"/>
    </row>
    <row r="165" spans="6:6" ht="15" customHeight="1" x14ac:dyDescent="0.35">
      <c r="F165" s="1583"/>
    </row>
    <row r="166" spans="6:6" ht="15" customHeight="1" x14ac:dyDescent="0.35">
      <c r="F166" s="1583"/>
    </row>
    <row r="167" spans="6:6" ht="15" customHeight="1" x14ac:dyDescent="0.35">
      <c r="F167" s="1583"/>
    </row>
    <row r="168" spans="6:6" ht="15" customHeight="1" x14ac:dyDescent="0.35">
      <c r="F168" s="1583"/>
    </row>
    <row r="169" spans="6:6" ht="15" customHeight="1" x14ac:dyDescent="0.35">
      <c r="F169" s="1583"/>
    </row>
    <row r="170" spans="6:6" ht="15" customHeight="1" x14ac:dyDescent="0.35">
      <c r="F170" s="1583"/>
    </row>
    <row r="171" spans="6:6" ht="15" customHeight="1" x14ac:dyDescent="0.35">
      <c r="F171" s="1583"/>
    </row>
    <row r="172" spans="6:6" ht="15" customHeight="1" x14ac:dyDescent="0.35">
      <c r="F172" s="1583"/>
    </row>
    <row r="173" spans="6:6" ht="15" customHeight="1" x14ac:dyDescent="0.35">
      <c r="F173" s="1583"/>
    </row>
    <row r="174" spans="6:6" ht="15" customHeight="1" x14ac:dyDescent="0.35">
      <c r="F174" s="1583"/>
    </row>
    <row r="175" spans="6:6" ht="15" customHeight="1" x14ac:dyDescent="0.35">
      <c r="F175" s="1583"/>
    </row>
    <row r="176" spans="6:6" ht="15" customHeight="1" x14ac:dyDescent="0.35">
      <c r="F176" s="1583"/>
    </row>
  </sheetData>
  <mergeCells count="7">
    <mergeCell ref="B23:D23"/>
    <mergeCell ref="B11:E11"/>
    <mergeCell ref="B12:E12"/>
    <mergeCell ref="B19:D19"/>
    <mergeCell ref="B20:D20"/>
    <mergeCell ref="B21:D21"/>
    <mergeCell ref="B22:D22"/>
  </mergeCells>
  <dataValidations count="3">
    <dataValidation type="custom" allowBlank="1" showInputMessage="1" showErrorMessage="1" errorTitle="Invalid Input" error="Total LCTOP GGRF Funds must be greater than or equal to FY 2018-19 LCTOP GGRF Funds Requested." promptTitle="Use:" prompt="FY 2019-20 TIRCP GGRF Funds Requested plus all TIRCP dollars from CalSTA that have previously been awarded to the same project and any other TIRCP dollars that the project plans to apply for." sqref="E20" xr:uid="{37D2A2A8-AEEC-445F-B5D5-07832BD7323B}">
      <formula1>E20&gt;=E19</formula1>
    </dataValidation>
    <dataValidation type="custom" allowBlank="1" showInputMessage="1" showErrorMessage="1" errorTitle="Invalid Input" error="Total GGRF Funds must be greater than or equal to Total LCTOP GGRF Funds." promptTitle="Use:" prompt="Total TIRCP GGRF Funds plus all GGRF dollars that have previously been awarded to the same project and any other GGRF dollars that the project has or plans to apply for." sqref="E21" xr:uid="{C5532B96-E234-4B0B-85D0-1BD9E65F45DF}">
      <formula1>E21&gt;=E20</formula1>
    </dataValidation>
    <dataValidation type="custom" allowBlank="1" showInputMessage="1" showErrorMessage="1" errorTitle="Invalid Input" error="FY 2018-19 LCTOP GGRF Funds Requested must be less than or equal to Total LCTOP GGRF Funds." promptTitle="Use:" prompt="FY 2019-20 TIRCP dollars the applicant is requesting from CalSTA." sqref="E19" xr:uid="{F2FCD4B5-179D-4414-8CBE-5AF049E6789C}">
      <formula1>IF(ISNUMBER(E20),E19&lt;=E20,0)</formula1>
    </dataValidation>
  </dataValidation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theme="1"/>
  </sheetPr>
  <dimension ref="A1:M2662"/>
  <sheetViews>
    <sheetView showGridLines="0" zoomScaleNormal="100" zoomScalePageLayoutView="70" workbookViewId="0">
      <selection activeCell="C40" sqref="C40"/>
    </sheetView>
  </sheetViews>
  <sheetFormatPr defaultColWidth="9.08984375" defaultRowHeight="14" x14ac:dyDescent="0.3"/>
  <cols>
    <col min="1" max="1" width="29" style="186" customWidth="1"/>
    <col min="2" max="2" width="21.08984375" style="186" bestFit="1" customWidth="1"/>
    <col min="3" max="3" width="21" style="186" bestFit="1" customWidth="1"/>
    <col min="4" max="12" width="16.453125" style="186" customWidth="1"/>
    <col min="13" max="16384" width="9.08984375" style="186"/>
  </cols>
  <sheetData>
    <row r="1" spans="1:13" ht="15" customHeight="1" x14ac:dyDescent="0.3">
      <c r="A1" s="168"/>
      <c r="B1" s="168"/>
      <c r="C1" s="168"/>
      <c r="D1" s="168"/>
      <c r="E1" s="168"/>
      <c r="F1" s="168"/>
      <c r="G1" s="168"/>
      <c r="H1" s="168"/>
      <c r="I1" s="168"/>
      <c r="J1" s="168"/>
      <c r="K1" s="168"/>
      <c r="L1" s="168"/>
      <c r="M1" s="168"/>
    </row>
    <row r="2" spans="1:13" ht="15" customHeight="1" x14ac:dyDescent="0.35">
      <c r="A2" s="261"/>
      <c r="B2" s="261"/>
      <c r="C2" s="261"/>
      <c r="D2" s="261"/>
      <c r="E2" s="261"/>
      <c r="F2" s="117"/>
      <c r="G2" s="117"/>
      <c r="H2" s="117"/>
      <c r="I2" s="117"/>
      <c r="J2" s="117"/>
      <c r="K2" s="117"/>
    </row>
    <row r="3" spans="1:13" ht="20.5" x14ac:dyDescent="0.3">
      <c r="A3" s="168"/>
      <c r="B3" s="168"/>
      <c r="C3" s="168"/>
      <c r="D3" s="168"/>
      <c r="E3" s="168"/>
      <c r="F3" s="168"/>
      <c r="G3" s="168"/>
      <c r="H3" s="168"/>
      <c r="I3" s="168"/>
      <c r="J3" s="168"/>
      <c r="K3" s="168"/>
      <c r="L3" s="168"/>
      <c r="M3" s="168"/>
    </row>
    <row r="4" spans="1:13" ht="20.5" x14ac:dyDescent="0.3">
      <c r="A4" s="170"/>
      <c r="B4" s="170"/>
      <c r="C4" s="170"/>
      <c r="D4" s="170"/>
      <c r="E4" s="170"/>
      <c r="F4" s="170"/>
      <c r="G4" s="170"/>
      <c r="H4" s="170"/>
      <c r="I4" s="170"/>
      <c r="J4" s="170"/>
      <c r="K4" s="170"/>
      <c r="L4" s="170"/>
      <c r="M4" s="170"/>
    </row>
    <row r="5" spans="1:13" ht="15" customHeight="1" x14ac:dyDescent="0.35">
      <c r="A5" s="261"/>
      <c r="B5" s="261"/>
      <c r="C5" s="261"/>
      <c r="D5" s="261"/>
      <c r="E5" s="261"/>
      <c r="F5" s="117"/>
      <c r="G5" s="117"/>
      <c r="H5" s="117"/>
      <c r="I5" s="117"/>
      <c r="J5" s="117"/>
      <c r="K5" s="117"/>
    </row>
    <row r="6" spans="1:13" ht="15" customHeight="1" x14ac:dyDescent="0.3">
      <c r="A6" s="168"/>
      <c r="B6" s="168"/>
      <c r="C6" s="168"/>
      <c r="D6" s="168"/>
      <c r="E6" s="168"/>
      <c r="F6" s="168"/>
      <c r="G6" s="168"/>
      <c r="H6" s="168"/>
      <c r="I6" s="168"/>
      <c r="J6" s="168"/>
      <c r="K6" s="168"/>
      <c r="L6" s="168"/>
      <c r="M6" s="168"/>
    </row>
    <row r="7" spans="1:13" ht="15" customHeight="1" x14ac:dyDescent="0.3">
      <c r="A7" s="171"/>
      <c r="B7" s="171"/>
      <c r="C7" s="171"/>
      <c r="D7" s="171"/>
      <c r="E7" s="171"/>
      <c r="F7" s="171"/>
      <c r="G7" s="171"/>
      <c r="H7" s="171"/>
      <c r="I7" s="171"/>
      <c r="J7" s="171"/>
      <c r="K7" s="171"/>
    </row>
    <row r="8" spans="1:13" ht="15" customHeight="1" x14ac:dyDescent="0.3">
      <c r="A8" s="171"/>
      <c r="B8" s="171"/>
      <c r="C8" s="171"/>
      <c r="D8" s="171"/>
      <c r="E8" s="171"/>
      <c r="F8" s="171"/>
      <c r="G8" s="171"/>
      <c r="H8" s="171"/>
      <c r="I8" s="171"/>
      <c r="J8" s="171"/>
      <c r="K8" s="171"/>
    </row>
    <row r="9" spans="1:13" ht="15" customHeight="1" x14ac:dyDescent="0.3">
      <c r="A9" s="171"/>
      <c r="B9" s="171"/>
      <c r="C9" s="171"/>
      <c r="D9" s="171"/>
      <c r="E9" s="171"/>
      <c r="F9" s="171"/>
      <c r="G9" s="171"/>
      <c r="H9" s="171"/>
      <c r="I9" s="171"/>
      <c r="J9" s="171"/>
      <c r="K9" s="171"/>
    </row>
    <row r="10" spans="1:13" ht="15" customHeight="1" thickBot="1" x14ac:dyDescent="0.35">
      <c r="A10" s="171"/>
      <c r="B10" s="171"/>
      <c r="C10" s="171"/>
      <c r="D10" s="171"/>
      <c r="E10" s="171"/>
      <c r="F10" s="171"/>
      <c r="G10" s="171"/>
      <c r="H10" s="171"/>
      <c r="I10" s="171"/>
      <c r="J10" s="171"/>
      <c r="K10" s="171"/>
    </row>
    <row r="11" spans="1:13" ht="15.5" x14ac:dyDescent="0.35">
      <c r="A11" s="656" t="s">
        <v>3281</v>
      </c>
      <c r="B11" s="657"/>
      <c r="C11" s="657"/>
      <c r="D11" s="657"/>
      <c r="E11" s="657"/>
      <c r="F11" s="657"/>
      <c r="G11" s="657"/>
      <c r="H11" s="657"/>
      <c r="I11" s="657"/>
      <c r="J11" s="657"/>
      <c r="K11" s="657"/>
      <c r="L11" s="657"/>
      <c r="M11" s="658"/>
    </row>
    <row r="12" spans="1:13" ht="15.5" x14ac:dyDescent="0.35">
      <c r="A12" s="537" t="s">
        <v>748</v>
      </c>
      <c r="B12" s="538"/>
      <c r="C12" s="538"/>
      <c r="D12" s="538"/>
      <c r="E12" s="538"/>
      <c r="F12" s="538"/>
      <c r="G12" s="538"/>
      <c r="H12" s="538"/>
      <c r="I12" s="538"/>
      <c r="J12" s="538"/>
      <c r="K12" s="538"/>
      <c r="L12" s="538"/>
      <c r="M12" s="539"/>
    </row>
    <row r="13" spans="1:13" ht="15.5" x14ac:dyDescent="0.35">
      <c r="A13" s="174" t="s">
        <v>976</v>
      </c>
      <c r="B13" s="175"/>
      <c r="C13" s="175"/>
      <c r="D13" s="175"/>
      <c r="E13" s="175"/>
      <c r="F13" s="175"/>
      <c r="G13" s="175"/>
      <c r="H13" s="175"/>
      <c r="I13" s="175"/>
      <c r="J13" s="175"/>
      <c r="K13" s="175"/>
      <c r="M13" s="203"/>
    </row>
    <row r="14" spans="1:13" ht="15.5" x14ac:dyDescent="0.35">
      <c r="A14" s="1171" t="s">
        <v>757</v>
      </c>
      <c r="B14" s="175"/>
      <c r="C14" s="175"/>
      <c r="D14" s="175"/>
      <c r="E14" s="175"/>
      <c r="F14" s="175"/>
      <c r="G14" s="175"/>
      <c r="H14" s="175"/>
      <c r="I14" s="175"/>
      <c r="J14" s="175"/>
      <c r="K14" s="175"/>
      <c r="M14" s="203"/>
    </row>
    <row r="15" spans="1:13" ht="15.5" x14ac:dyDescent="0.35">
      <c r="A15" s="1171" t="s">
        <v>758</v>
      </c>
      <c r="B15" s="175"/>
      <c r="C15" s="175"/>
      <c r="D15" s="175"/>
      <c r="E15" s="175"/>
      <c r="F15" s="175"/>
      <c r="G15" s="175"/>
      <c r="H15" s="175"/>
      <c r="I15" s="175"/>
      <c r="J15" s="175"/>
      <c r="K15" s="175"/>
      <c r="M15" s="203"/>
    </row>
    <row r="16" spans="1:13" ht="15.75" customHeight="1" x14ac:dyDescent="0.35">
      <c r="A16" s="1172" t="s">
        <v>3282</v>
      </c>
      <c r="B16" s="178"/>
      <c r="C16" s="178"/>
      <c r="D16" s="178"/>
      <c r="E16" s="178"/>
      <c r="F16" s="178"/>
      <c r="G16" s="178"/>
      <c r="H16" s="178"/>
      <c r="I16" s="178"/>
      <c r="J16" s="178"/>
      <c r="K16" s="178"/>
      <c r="L16" s="178"/>
      <c r="M16" s="655"/>
    </row>
    <row r="17" spans="1:13" ht="15.75" customHeight="1" x14ac:dyDescent="0.35">
      <c r="A17" s="1172" t="s">
        <v>3283</v>
      </c>
      <c r="B17" s="178"/>
      <c r="C17" s="178"/>
      <c r="D17" s="178"/>
      <c r="E17" s="178"/>
      <c r="F17" s="178"/>
      <c r="G17" s="178"/>
      <c r="H17" s="178"/>
      <c r="I17" s="178"/>
      <c r="J17" s="178"/>
      <c r="K17" s="178"/>
      <c r="L17" s="178"/>
      <c r="M17" s="655"/>
    </row>
    <row r="18" spans="1:13" ht="15.5" x14ac:dyDescent="0.35">
      <c r="A18" s="1171" t="s">
        <v>761</v>
      </c>
      <c r="B18" s="175"/>
      <c r="C18" s="175"/>
      <c r="D18" s="175"/>
      <c r="E18" s="175"/>
      <c r="F18" s="175"/>
      <c r="G18" s="175"/>
      <c r="H18" s="175"/>
      <c r="I18" s="175"/>
      <c r="J18" s="175"/>
      <c r="K18" s="175"/>
      <c r="M18" s="203"/>
    </row>
    <row r="19" spans="1:13" ht="15.5" x14ac:dyDescent="0.35">
      <c r="A19" s="1171" t="s">
        <v>981</v>
      </c>
      <c r="B19" s="175"/>
      <c r="C19" s="175"/>
      <c r="D19" s="175"/>
      <c r="E19" s="175"/>
      <c r="F19" s="175"/>
      <c r="G19" s="175"/>
      <c r="H19" s="175"/>
      <c r="I19" s="175"/>
      <c r="J19" s="175"/>
      <c r="K19" s="175"/>
      <c r="M19" s="203"/>
    </row>
    <row r="20" spans="1:13" ht="15.5" x14ac:dyDescent="0.35">
      <c r="A20" s="1171" t="s">
        <v>3284</v>
      </c>
      <c r="B20" s="175"/>
      <c r="C20" s="175"/>
      <c r="D20" s="175"/>
      <c r="E20" s="175"/>
      <c r="F20" s="175"/>
      <c r="G20" s="175"/>
      <c r="H20" s="175"/>
      <c r="I20" s="175"/>
      <c r="J20" s="175"/>
      <c r="K20" s="175"/>
      <c r="M20" s="203"/>
    </row>
    <row r="21" spans="1:13" ht="15.5" x14ac:dyDescent="0.35">
      <c r="A21" s="1171" t="s">
        <v>764</v>
      </c>
      <c r="B21" s="175"/>
      <c r="C21" s="175"/>
      <c r="D21" s="175"/>
      <c r="E21" s="175"/>
      <c r="F21" s="175"/>
      <c r="G21" s="175"/>
      <c r="H21" s="175"/>
      <c r="I21" s="175"/>
      <c r="J21" s="175"/>
      <c r="K21" s="175"/>
      <c r="M21" s="203"/>
    </row>
    <row r="22" spans="1:13" ht="15.5" x14ac:dyDescent="0.35">
      <c r="A22" s="1171" t="s">
        <v>765</v>
      </c>
      <c r="B22" s="175"/>
      <c r="C22" s="175"/>
      <c r="D22" s="175"/>
      <c r="E22" s="175"/>
      <c r="F22" s="175"/>
      <c r="G22" s="175"/>
      <c r="H22" s="175"/>
      <c r="I22" s="175"/>
      <c r="J22" s="175"/>
      <c r="K22" s="175"/>
      <c r="M22" s="203"/>
    </row>
    <row r="23" spans="1:13" ht="15.5" x14ac:dyDescent="0.35">
      <c r="A23" s="1171" t="s">
        <v>3285</v>
      </c>
      <c r="B23" s="175"/>
      <c r="C23" s="175"/>
      <c r="D23" s="175"/>
      <c r="E23" s="175"/>
      <c r="F23" s="175"/>
      <c r="G23" s="175"/>
      <c r="H23" s="175"/>
      <c r="I23" s="175"/>
      <c r="J23" s="175"/>
      <c r="K23" s="175"/>
      <c r="M23" s="203"/>
    </row>
    <row r="24" spans="1:13" ht="15.5" x14ac:dyDescent="0.3">
      <c r="A24" s="1172" t="s">
        <v>767</v>
      </c>
      <c r="B24" s="180"/>
      <c r="C24" s="180"/>
      <c r="D24" s="180"/>
      <c r="E24" s="180"/>
      <c r="F24" s="180"/>
      <c r="G24" s="180"/>
      <c r="H24" s="180"/>
      <c r="I24" s="180"/>
      <c r="J24" s="180"/>
      <c r="K24" s="180"/>
      <c r="M24" s="203"/>
    </row>
    <row r="25" spans="1:13" ht="16" thickBot="1" x14ac:dyDescent="0.4">
      <c r="A25" s="182" t="s">
        <v>768</v>
      </c>
      <c r="B25" s="183"/>
      <c r="C25" s="183"/>
      <c r="D25" s="183"/>
      <c r="E25" s="183"/>
      <c r="F25" s="183"/>
      <c r="G25" s="183"/>
      <c r="H25" s="183"/>
      <c r="I25" s="183"/>
      <c r="J25" s="183"/>
      <c r="K25" s="183"/>
      <c r="L25" s="204"/>
      <c r="M25" s="205"/>
    </row>
    <row r="27" spans="1:13" ht="15.5" x14ac:dyDescent="0.3">
      <c r="A27" s="958" t="s">
        <v>3286</v>
      </c>
      <c r="B27" s="541"/>
      <c r="C27" s="541"/>
      <c r="D27" s="541"/>
      <c r="E27" s="541"/>
      <c r="F27" s="541"/>
      <c r="G27" s="541"/>
      <c r="H27" s="541"/>
      <c r="I27" s="541"/>
      <c r="J27" s="541"/>
      <c r="K27" s="541"/>
    </row>
    <row r="28" spans="1:13" ht="15.5" x14ac:dyDescent="0.3">
      <c r="A28" s="541" t="s">
        <v>3287</v>
      </c>
      <c r="B28" s="541"/>
      <c r="C28" s="541"/>
      <c r="D28" s="541"/>
      <c r="E28" s="541"/>
      <c r="F28" s="541"/>
      <c r="G28" s="541"/>
      <c r="H28" s="541"/>
      <c r="I28" s="541"/>
      <c r="J28" s="541"/>
      <c r="K28" s="541"/>
    </row>
    <row r="29" spans="1:13" ht="15.5" x14ac:dyDescent="0.3">
      <c r="A29" s="541" t="s">
        <v>3288</v>
      </c>
      <c r="B29" s="541"/>
      <c r="C29" s="541"/>
      <c r="D29" s="541"/>
      <c r="E29" s="541"/>
      <c r="F29" s="541"/>
      <c r="G29" s="541"/>
      <c r="H29" s="541"/>
      <c r="I29" s="541"/>
      <c r="J29" s="541"/>
      <c r="K29" s="541"/>
    </row>
    <row r="30" spans="1:13" ht="15.5" x14ac:dyDescent="0.3">
      <c r="A30" s="541" t="s">
        <v>3289</v>
      </c>
      <c r="B30" s="541"/>
      <c r="C30" s="541"/>
      <c r="D30" s="541"/>
      <c r="E30" s="541"/>
      <c r="F30" s="541"/>
      <c r="G30" s="541"/>
      <c r="H30" s="541"/>
      <c r="I30" s="541"/>
      <c r="J30" s="541"/>
      <c r="K30" s="541"/>
    </row>
    <row r="31" spans="1:13" ht="15.5" x14ac:dyDescent="0.3">
      <c r="A31" s="541" t="s">
        <v>3290</v>
      </c>
      <c r="B31" s="541"/>
      <c r="C31" s="541"/>
      <c r="D31" s="541"/>
      <c r="E31" s="541"/>
      <c r="F31" s="541"/>
      <c r="G31" s="541"/>
      <c r="H31" s="541"/>
      <c r="I31" s="541"/>
      <c r="J31" s="541"/>
      <c r="K31" s="541"/>
    </row>
    <row r="32" spans="1:13" s="212" customFormat="1" ht="16" thickBot="1" x14ac:dyDescent="0.4"/>
    <row r="33" spans="1:13" s="212" customFormat="1" ht="16" thickBot="1" x14ac:dyDescent="0.4">
      <c r="D33" s="652" t="s">
        <v>3291</v>
      </c>
      <c r="E33" s="653"/>
      <c r="F33" s="653"/>
      <c r="G33" s="653"/>
      <c r="H33" s="243"/>
      <c r="I33" s="243"/>
      <c r="J33" s="652" t="s">
        <v>3292</v>
      </c>
      <c r="K33" s="654"/>
    </row>
    <row r="34" spans="1:13" s="212" customFormat="1" ht="49" thickBot="1" x14ac:dyDescent="0.4">
      <c r="A34" s="244" t="s">
        <v>78</v>
      </c>
      <c r="B34" s="245" t="s">
        <v>3293</v>
      </c>
      <c r="C34" s="246" t="s">
        <v>3294</v>
      </c>
      <c r="D34" s="247" t="s">
        <v>3295</v>
      </c>
      <c r="E34" s="248" t="s">
        <v>3296</v>
      </c>
      <c r="F34" s="248" t="s">
        <v>3297</v>
      </c>
      <c r="G34" s="249" t="s">
        <v>3298</v>
      </c>
      <c r="H34" s="249" t="s">
        <v>3299</v>
      </c>
      <c r="I34" s="250" t="s">
        <v>3300</v>
      </c>
      <c r="J34" s="247" t="s">
        <v>3301</v>
      </c>
      <c r="K34" s="250" t="s">
        <v>3302</v>
      </c>
      <c r="L34" s="250" t="s">
        <v>3303</v>
      </c>
      <c r="M34" s="251"/>
    </row>
    <row r="35" spans="1:13" s="212" customFormat="1" ht="15.5" x14ac:dyDescent="0.35">
      <c r="A35" s="194" t="s">
        <v>786</v>
      </c>
      <c r="B35" s="195">
        <v>2015</v>
      </c>
      <c r="C35" s="211" t="s">
        <v>787</v>
      </c>
      <c r="D35" s="237">
        <v>4.5917873927113093E-2</v>
      </c>
      <c r="E35" s="238">
        <v>0.21118447714866004</v>
      </c>
      <c r="F35" s="238">
        <v>1.8969421022499489E-3</v>
      </c>
      <c r="G35" s="235">
        <v>1.7539057882676326E-3</v>
      </c>
      <c r="H35" s="224">
        <v>2.0000005732018805E-3</v>
      </c>
      <c r="I35" s="252">
        <v>2.6329746760374636E-3</v>
      </c>
      <c r="J35" s="253">
        <v>1.8088116699660221E-4</v>
      </c>
      <c r="K35" s="254">
        <v>1.8905981071989784E-4</v>
      </c>
      <c r="L35" s="236">
        <v>4.349904725517504E-2</v>
      </c>
    </row>
    <row r="36" spans="1:13" s="212" customFormat="1" ht="15.5" x14ac:dyDescent="0.35">
      <c r="A36" s="198" t="s">
        <v>786</v>
      </c>
      <c r="B36" s="197">
        <v>2016</v>
      </c>
      <c r="C36" s="213" t="s">
        <v>789</v>
      </c>
      <c r="D36" s="239">
        <v>3.8573473138442754E-2</v>
      </c>
      <c r="E36" s="226">
        <v>0.18362215814411742</v>
      </c>
      <c r="F36" s="226">
        <v>1.8026952456456212E-3</v>
      </c>
      <c r="G36" s="227">
        <v>1.6653221268955461E-3</v>
      </c>
      <c r="H36" s="226">
        <v>2.0000005732018801E-3</v>
      </c>
      <c r="I36" s="255">
        <v>2.6427977567217084E-3</v>
      </c>
      <c r="J36" s="256">
        <v>1.5503987123849269E-4</v>
      </c>
      <c r="K36" s="257">
        <v>1.6205008623665804E-4</v>
      </c>
      <c r="L36" s="228">
        <v>4.2476168919543943E-2</v>
      </c>
    </row>
    <row r="37" spans="1:13" s="212" customFormat="1" ht="15.5" x14ac:dyDescent="0.35">
      <c r="A37" s="198" t="s">
        <v>786</v>
      </c>
      <c r="B37" s="197">
        <v>2017</v>
      </c>
      <c r="C37" s="213" t="s">
        <v>3304</v>
      </c>
      <c r="D37" s="239">
        <v>3.1194159192292483E-2</v>
      </c>
      <c r="E37" s="226">
        <v>0.15342014392105785</v>
      </c>
      <c r="F37" s="226">
        <v>1.7218848171872394E-3</v>
      </c>
      <c r="G37" s="227">
        <v>1.5891876528518645E-3</v>
      </c>
      <c r="H37" s="226">
        <v>2.0000005732018792E-3</v>
      </c>
      <c r="I37" s="255">
        <v>2.6429619880650465E-3</v>
      </c>
      <c r="J37" s="256">
        <v>1.2517145990723443E-4</v>
      </c>
      <c r="K37" s="257">
        <v>1.3083115788411258E-4</v>
      </c>
      <c r="L37" s="228">
        <v>4.2096190467915087E-2</v>
      </c>
    </row>
    <row r="38" spans="1:13" s="212" customFormat="1" ht="15.5" x14ac:dyDescent="0.35">
      <c r="A38" s="198" t="s">
        <v>786</v>
      </c>
      <c r="B38" s="197">
        <v>2018</v>
      </c>
      <c r="C38" s="213" t="s">
        <v>3305</v>
      </c>
      <c r="D38" s="239">
        <v>2.6072485616461225E-2</v>
      </c>
      <c r="E38" s="226">
        <v>0.13225055344575398</v>
      </c>
      <c r="F38" s="226">
        <v>1.6988074711142842E-3</v>
      </c>
      <c r="G38" s="227">
        <v>1.5668827901363148E-3</v>
      </c>
      <c r="H38" s="226">
        <v>2.0000005732018805E-3</v>
      </c>
      <c r="I38" s="255">
        <v>2.6448886058066876E-3</v>
      </c>
      <c r="J38" s="256">
        <v>1.0946000261347304E-4</v>
      </c>
      <c r="K38" s="257">
        <v>1.1440929821008627E-4</v>
      </c>
      <c r="L38" s="228">
        <v>4.1604747209985797E-2</v>
      </c>
    </row>
    <row r="39" spans="1:13" s="212" customFormat="1" ht="15.5" x14ac:dyDescent="0.35">
      <c r="A39" s="198" t="s">
        <v>786</v>
      </c>
      <c r="B39" s="197">
        <v>2019</v>
      </c>
      <c r="C39" s="213" t="s">
        <v>3306</v>
      </c>
      <c r="D39" s="239">
        <v>2.1719202451620106E-2</v>
      </c>
      <c r="E39" s="226">
        <v>0.11352677183856566</v>
      </c>
      <c r="F39" s="226">
        <v>1.6801954036487073E-3</v>
      </c>
      <c r="G39" s="227">
        <v>1.5487845636031154E-3</v>
      </c>
      <c r="H39" s="226">
        <v>2.0000005732018801E-3</v>
      </c>
      <c r="I39" s="255">
        <v>2.6486187305737167E-3</v>
      </c>
      <c r="J39" s="256">
        <v>9.3562292258798986E-5</v>
      </c>
      <c r="K39" s="257">
        <v>9.7792763938219001E-5</v>
      </c>
      <c r="L39" s="228">
        <v>4.1055711780608996E-2</v>
      </c>
    </row>
    <row r="40" spans="1:13" s="212" customFormat="1" ht="15.5" x14ac:dyDescent="0.35">
      <c r="A40" s="198" t="s">
        <v>786</v>
      </c>
      <c r="B40" s="197">
        <v>2020</v>
      </c>
      <c r="C40" s="213" t="s">
        <v>3307</v>
      </c>
      <c r="D40" s="239">
        <v>1.901128172874373E-2</v>
      </c>
      <c r="E40" s="226">
        <v>0.10063593431969535</v>
      </c>
      <c r="F40" s="226">
        <v>1.6447828481478098E-3</v>
      </c>
      <c r="G40" s="227">
        <v>1.5158113330700771E-3</v>
      </c>
      <c r="H40" s="226">
        <v>2.0000005732018801E-3</v>
      </c>
      <c r="I40" s="255">
        <v>2.6560393968391438E-3</v>
      </c>
      <c r="J40" s="256">
        <v>8.5423722121510441E-5</v>
      </c>
      <c r="K40" s="257">
        <v>8.9286203773692119E-5</v>
      </c>
      <c r="L40" s="228">
        <v>4.0808298571022604E-2</v>
      </c>
    </row>
    <row r="41" spans="1:13" s="212" customFormat="1" ht="15.5" x14ac:dyDescent="0.35">
      <c r="A41" s="198" t="s">
        <v>786</v>
      </c>
      <c r="B41" s="197">
        <v>2021</v>
      </c>
      <c r="C41" s="213" t="s">
        <v>3308</v>
      </c>
      <c r="D41" s="239">
        <v>1.6545728033645818E-2</v>
      </c>
      <c r="E41" s="226">
        <v>8.8413365227317534E-2</v>
      </c>
      <c r="F41" s="226">
        <v>1.5648715212084391E-3</v>
      </c>
      <c r="G41" s="227">
        <v>1.4419500429034239E-3</v>
      </c>
      <c r="H41" s="226">
        <v>2.0000005732018801E-3</v>
      </c>
      <c r="I41" s="255">
        <v>2.6239025696046404E-3</v>
      </c>
      <c r="J41" s="256">
        <v>7.6745101078676012E-5</v>
      </c>
      <c r="K41" s="257">
        <v>8.0215173998111224E-5</v>
      </c>
      <c r="L41" s="228">
        <v>3.9952292246049417E-2</v>
      </c>
    </row>
    <row r="42" spans="1:13" s="212" customFormat="1" ht="15.5" x14ac:dyDescent="0.35">
      <c r="A42" s="198" t="s">
        <v>786</v>
      </c>
      <c r="B42" s="197">
        <v>2022</v>
      </c>
      <c r="C42" s="213" t="s">
        <v>3309</v>
      </c>
      <c r="D42" s="239">
        <v>1.4316170720126311E-2</v>
      </c>
      <c r="E42" s="226">
        <v>7.7391481067273435E-2</v>
      </c>
      <c r="F42" s="226">
        <v>1.4966498382080347E-3</v>
      </c>
      <c r="G42" s="227">
        <v>1.3788415100933731E-3</v>
      </c>
      <c r="H42" s="226">
        <v>2.0000005732018801E-3</v>
      </c>
      <c r="I42" s="255">
        <v>2.6256696769686645E-3</v>
      </c>
      <c r="J42" s="256">
        <v>6.9012322406794414E-5</v>
      </c>
      <c r="K42" s="257">
        <v>7.2132753388384332E-5</v>
      </c>
      <c r="L42" s="228">
        <v>3.9273180051742282E-2</v>
      </c>
    </row>
    <row r="43" spans="1:13" s="212" customFormat="1" ht="15.5" x14ac:dyDescent="0.35">
      <c r="A43" s="198" t="s">
        <v>786</v>
      </c>
      <c r="B43" s="197">
        <v>2023</v>
      </c>
      <c r="C43" s="213" t="s">
        <v>3310</v>
      </c>
      <c r="D43" s="239">
        <v>1.2602121525585149E-2</v>
      </c>
      <c r="E43" s="226">
        <v>6.8230634028558237E-2</v>
      </c>
      <c r="F43" s="226">
        <v>1.4345429318870489E-3</v>
      </c>
      <c r="G43" s="227">
        <v>1.3214088802645893E-3</v>
      </c>
      <c r="H43" s="226">
        <v>2.0000005732018797E-3</v>
      </c>
      <c r="I43" s="255">
        <v>2.627497689762661E-3</v>
      </c>
      <c r="J43" s="256">
        <v>6.1025916502795056E-5</v>
      </c>
      <c r="K43" s="257">
        <v>6.3785237648557544E-5</v>
      </c>
      <c r="L43" s="228">
        <v>3.8551820687691869E-2</v>
      </c>
    </row>
    <row r="44" spans="1:13" s="212" customFormat="1" ht="15.5" x14ac:dyDescent="0.35">
      <c r="A44" s="198" t="s">
        <v>786</v>
      </c>
      <c r="B44" s="197">
        <v>2024</v>
      </c>
      <c r="C44" s="213" t="s">
        <v>3311</v>
      </c>
      <c r="D44" s="239">
        <v>1.1137827169457503E-2</v>
      </c>
      <c r="E44" s="226">
        <v>6.0554486529978233E-2</v>
      </c>
      <c r="F44" s="226">
        <v>1.3758011430040683E-3</v>
      </c>
      <c r="G44" s="227">
        <v>1.2670171173139949E-3</v>
      </c>
      <c r="H44" s="226">
        <v>2.0000005732018801E-3</v>
      </c>
      <c r="I44" s="255">
        <v>2.629543122780987E-3</v>
      </c>
      <c r="J44" s="256">
        <v>5.1694746190409589E-5</v>
      </c>
      <c r="K44" s="257">
        <v>5.4032153221101084E-5</v>
      </c>
      <c r="L44" s="228">
        <v>3.7794602461646711E-2</v>
      </c>
    </row>
    <row r="45" spans="1:13" s="212" customFormat="1" ht="15.5" x14ac:dyDescent="0.35">
      <c r="A45" s="198" t="s">
        <v>786</v>
      </c>
      <c r="B45" s="197">
        <v>2025</v>
      </c>
      <c r="C45" s="213" t="s">
        <v>3312</v>
      </c>
      <c r="D45" s="239">
        <v>9.9409373703423405E-3</v>
      </c>
      <c r="E45" s="226">
        <v>5.4316768502243526E-2</v>
      </c>
      <c r="F45" s="226">
        <v>1.3256895104184533E-3</v>
      </c>
      <c r="G45" s="227">
        <v>1.220657416668463E-3</v>
      </c>
      <c r="H45" s="226">
        <v>2.0000005732018801E-3</v>
      </c>
      <c r="I45" s="255">
        <v>2.6315748489069099E-3</v>
      </c>
      <c r="J45" s="256">
        <v>4.4508654994852919E-5</v>
      </c>
      <c r="K45" s="257">
        <v>4.6521138869488775E-5</v>
      </c>
      <c r="L45" s="228">
        <v>3.7004749341486787E-2</v>
      </c>
    </row>
    <row r="46" spans="1:13" s="212" customFormat="1" ht="15.5" x14ac:dyDescent="0.35">
      <c r="A46" s="198" t="s">
        <v>786</v>
      </c>
      <c r="B46" s="197">
        <v>2026</v>
      </c>
      <c r="C46" s="213" t="s">
        <v>3313</v>
      </c>
      <c r="D46" s="239">
        <v>8.9457323512952044E-3</v>
      </c>
      <c r="E46" s="226">
        <v>4.9186231848175041E-2</v>
      </c>
      <c r="F46" s="226">
        <v>1.2708074007914195E-3</v>
      </c>
      <c r="G46" s="227">
        <v>1.1699454819280902E-3</v>
      </c>
      <c r="H46" s="226">
        <v>2.0000005732018805E-3</v>
      </c>
      <c r="I46" s="255">
        <v>2.6333646410839993E-3</v>
      </c>
      <c r="J46" s="256">
        <v>3.8107186986484306E-5</v>
      </c>
      <c r="K46" s="257">
        <v>3.9830224883875217E-5</v>
      </c>
      <c r="L46" s="228">
        <v>3.6236299857243894E-2</v>
      </c>
    </row>
    <row r="47" spans="1:13" s="212" customFormat="1" ht="15.5" x14ac:dyDescent="0.35">
      <c r="A47" s="198" t="s">
        <v>786</v>
      </c>
      <c r="B47" s="197">
        <v>2027</v>
      </c>
      <c r="C47" s="213" t="s">
        <v>3314</v>
      </c>
      <c r="D47" s="239">
        <v>8.1005927445329789E-3</v>
      </c>
      <c r="E47" s="226">
        <v>4.4843669876167225E-2</v>
      </c>
      <c r="F47" s="226">
        <v>1.203964448117714E-3</v>
      </c>
      <c r="G47" s="227">
        <v>1.1081561930916899E-3</v>
      </c>
      <c r="H47" s="226">
        <v>2.0000005732018801E-3</v>
      </c>
      <c r="I47" s="255">
        <v>2.6349126194337596E-3</v>
      </c>
      <c r="J47" s="256">
        <v>2.9651938595618824E-5</v>
      </c>
      <c r="K47" s="257">
        <v>3.0992667680384008E-5</v>
      </c>
      <c r="L47" s="228">
        <v>3.551852458214648E-2</v>
      </c>
    </row>
    <row r="48" spans="1:13" s="212" customFormat="1" ht="15.5" x14ac:dyDescent="0.35">
      <c r="A48" s="198" t="s">
        <v>786</v>
      </c>
      <c r="B48" s="197">
        <v>2028</v>
      </c>
      <c r="C48" s="213" t="s">
        <v>3315</v>
      </c>
      <c r="D48" s="239">
        <v>7.3976131447193467E-3</v>
      </c>
      <c r="E48" s="226">
        <v>4.1248906086861201E-2</v>
      </c>
      <c r="F48" s="226">
        <v>1.1307339646012822E-3</v>
      </c>
      <c r="G48" s="227">
        <v>1.040567301224484E-3</v>
      </c>
      <c r="H48" s="226">
        <v>2.0000005732018801E-3</v>
      </c>
      <c r="I48" s="255">
        <v>2.636427773280717E-3</v>
      </c>
      <c r="J48" s="256">
        <v>2.3077335663989682E-5</v>
      </c>
      <c r="K48" s="257">
        <v>2.4120790378554935E-5</v>
      </c>
      <c r="L48" s="228">
        <v>3.4860077413027511E-2</v>
      </c>
    </row>
    <row r="49" spans="1:12" s="212" customFormat="1" ht="15.5" x14ac:dyDescent="0.35">
      <c r="A49" s="198" t="s">
        <v>786</v>
      </c>
      <c r="B49" s="197">
        <v>2029</v>
      </c>
      <c r="C49" s="213" t="s">
        <v>3316</v>
      </c>
      <c r="D49" s="239">
        <v>6.7936727507888024E-3</v>
      </c>
      <c r="E49" s="226">
        <v>3.8208766345175872E-2</v>
      </c>
      <c r="F49" s="226">
        <v>1.0612938559556361E-3</v>
      </c>
      <c r="G49" s="227">
        <v>9.7655052257050571E-4</v>
      </c>
      <c r="H49" s="226">
        <v>2.0000005732018801E-3</v>
      </c>
      <c r="I49" s="255">
        <v>2.637822309441905E-3</v>
      </c>
      <c r="J49" s="256">
        <v>1.8735715780841227E-5</v>
      </c>
      <c r="K49" s="257">
        <v>1.9582861709943411E-5</v>
      </c>
      <c r="L49" s="228">
        <v>3.4259008815159281E-2</v>
      </c>
    </row>
    <row r="50" spans="1:12" s="212" customFormat="1" ht="15.5" x14ac:dyDescent="0.35">
      <c r="A50" s="198" t="s">
        <v>786</v>
      </c>
      <c r="B50" s="197">
        <v>2030</v>
      </c>
      <c r="C50" s="213" t="s">
        <v>3317</v>
      </c>
      <c r="D50" s="239">
        <v>6.2963572528918262E-3</v>
      </c>
      <c r="E50" s="226">
        <v>3.5699830039803128E-2</v>
      </c>
      <c r="F50" s="226">
        <v>9.9603252837177363E-4</v>
      </c>
      <c r="G50" s="227">
        <v>9.1641615512948627E-4</v>
      </c>
      <c r="H50" s="226">
        <v>2.0000005732018801E-3</v>
      </c>
      <c r="I50" s="255">
        <v>2.6391047479985825E-3</v>
      </c>
      <c r="J50" s="256">
        <v>1.5425238492993877E-5</v>
      </c>
      <c r="K50" s="257">
        <v>1.6122699329165004E-5</v>
      </c>
      <c r="L50" s="228">
        <v>3.3713954732426964E-2</v>
      </c>
    </row>
    <row r="51" spans="1:12" s="212" customFormat="1" ht="15.5" x14ac:dyDescent="0.35">
      <c r="A51" s="198" t="s">
        <v>786</v>
      </c>
      <c r="B51" s="197">
        <v>2031</v>
      </c>
      <c r="C51" s="213" t="s">
        <v>3318</v>
      </c>
      <c r="D51" s="239">
        <v>5.961422644602637E-3</v>
      </c>
      <c r="E51" s="226">
        <v>3.3614952928365284E-2</v>
      </c>
      <c r="F51" s="226">
        <v>9.5066269766428161E-4</v>
      </c>
      <c r="G51" s="227">
        <v>8.7463546699948326E-4</v>
      </c>
      <c r="H51" s="226">
        <v>2.0000005732018805E-3</v>
      </c>
      <c r="I51" s="255">
        <v>2.7469950708704175E-3</v>
      </c>
      <c r="J51" s="256">
        <v>1.3762026403459468E-5</v>
      </c>
      <c r="K51" s="257">
        <v>1.4384284169336174E-5</v>
      </c>
      <c r="L51" s="228">
        <v>3.3271641724417642E-2</v>
      </c>
    </row>
    <row r="52" spans="1:12" s="212" customFormat="1" ht="15.5" x14ac:dyDescent="0.35">
      <c r="A52" s="198" t="s">
        <v>786</v>
      </c>
      <c r="B52" s="197">
        <v>2032</v>
      </c>
      <c r="C52" s="213" t="s">
        <v>3319</v>
      </c>
      <c r="D52" s="239">
        <v>5.5762410560328329E-3</v>
      </c>
      <c r="E52" s="226">
        <v>3.1743438283886656E-2</v>
      </c>
      <c r="F52" s="226">
        <v>8.9169676330807558E-4</v>
      </c>
      <c r="G52" s="227">
        <v>8.2034746374676248E-4</v>
      </c>
      <c r="H52" s="226">
        <v>2.0000005732018801E-3</v>
      </c>
      <c r="I52" s="255">
        <v>2.7478092842109529E-3</v>
      </c>
      <c r="J52" s="256">
        <v>1.1939696492170846E-5</v>
      </c>
      <c r="K52" s="257">
        <v>1.247955658592831E-5</v>
      </c>
      <c r="L52" s="228">
        <v>3.2826532861828198E-2</v>
      </c>
    </row>
    <row r="53" spans="1:12" s="212" customFormat="1" ht="15.5" x14ac:dyDescent="0.35">
      <c r="A53" s="198" t="s">
        <v>786</v>
      </c>
      <c r="B53" s="197">
        <v>2033</v>
      </c>
      <c r="C53" s="213" t="s">
        <v>3320</v>
      </c>
      <c r="D53" s="239">
        <v>5.2437002784677189E-3</v>
      </c>
      <c r="E53" s="226">
        <v>3.0149347899741042E-2</v>
      </c>
      <c r="F53" s="226">
        <v>8.3739232605899031E-4</v>
      </c>
      <c r="G53" s="227">
        <v>7.70379469866283E-4</v>
      </c>
      <c r="H53" s="226">
        <v>2.0000005732018797E-3</v>
      </c>
      <c r="I53" s="255">
        <v>2.7483944566764036E-3</v>
      </c>
      <c r="J53" s="256">
        <v>1.0988320111351328E-5</v>
      </c>
      <c r="K53" s="257">
        <v>1.1485163186838294E-5</v>
      </c>
      <c r="L53" s="228">
        <v>3.242868840647093E-2</v>
      </c>
    </row>
    <row r="54" spans="1:12" s="212" customFormat="1" ht="15.5" x14ac:dyDescent="0.35">
      <c r="A54" s="198" t="s">
        <v>786</v>
      </c>
      <c r="B54" s="197">
        <v>2034</v>
      </c>
      <c r="C54" s="213" t="s">
        <v>3321</v>
      </c>
      <c r="D54" s="239">
        <v>4.9486061378797973E-3</v>
      </c>
      <c r="E54" s="226">
        <v>2.8772857843061307E-2</v>
      </c>
      <c r="F54" s="226">
        <v>7.8695861991082724E-4</v>
      </c>
      <c r="G54" s="227">
        <v>7.2397416004165555E-4</v>
      </c>
      <c r="H54" s="226">
        <v>2.0000005732018805E-3</v>
      </c>
      <c r="I54" s="255">
        <v>2.7487838365987984E-3</v>
      </c>
      <c r="J54" s="256">
        <v>1.013164126437495E-5</v>
      </c>
      <c r="K54" s="257">
        <v>1.0589749123857739E-5</v>
      </c>
      <c r="L54" s="228">
        <v>3.2074882711846942E-2</v>
      </c>
    </row>
    <row r="55" spans="1:12" s="212" customFormat="1" ht="15.5" x14ac:dyDescent="0.35">
      <c r="A55" s="198" t="s">
        <v>786</v>
      </c>
      <c r="B55" s="197">
        <v>2035</v>
      </c>
      <c r="C55" s="213" t="s">
        <v>3322</v>
      </c>
      <c r="D55" s="239">
        <v>4.6873675148719918E-3</v>
      </c>
      <c r="E55" s="226">
        <v>2.758285857201144E-2</v>
      </c>
      <c r="F55" s="226">
        <v>7.406203848739335E-4</v>
      </c>
      <c r="G55" s="227">
        <v>6.8133672942659893E-4</v>
      </c>
      <c r="H55" s="226">
        <v>2.0000005732018797E-3</v>
      </c>
      <c r="I55" s="255">
        <v>2.7490410223077215E-3</v>
      </c>
      <c r="J55" s="256">
        <v>9.3325736188113365E-6</v>
      </c>
      <c r="K55" s="257">
        <v>9.7545511851718825E-6</v>
      </c>
      <c r="L55" s="228">
        <v>3.1763414950016861E-2</v>
      </c>
    </row>
    <row r="56" spans="1:12" s="212" customFormat="1" ht="15.5" x14ac:dyDescent="0.35">
      <c r="A56" s="198" t="s">
        <v>786</v>
      </c>
      <c r="B56" s="197">
        <v>2036</v>
      </c>
      <c r="C56" s="213" t="s">
        <v>3323</v>
      </c>
      <c r="D56" s="239">
        <v>4.4594090083951935E-3</v>
      </c>
      <c r="E56" s="226">
        <v>2.6561181198388354E-2</v>
      </c>
      <c r="F56" s="226">
        <v>7.0008399179061339E-4</v>
      </c>
      <c r="G56" s="227">
        <v>6.4403875833384959E-4</v>
      </c>
      <c r="H56" s="226">
        <v>2.0000005732018801E-3</v>
      </c>
      <c r="I56" s="255">
        <v>2.749214387479517E-3</v>
      </c>
      <c r="J56" s="256">
        <v>8.6587536179181132E-6</v>
      </c>
      <c r="K56" s="257">
        <v>9.0502640338702457E-6</v>
      </c>
      <c r="L56" s="228">
        <v>3.1492063459882896E-2</v>
      </c>
    </row>
    <row r="57" spans="1:12" s="212" customFormat="1" ht="15.5" x14ac:dyDescent="0.35">
      <c r="A57" s="198" t="s">
        <v>786</v>
      </c>
      <c r="B57" s="197">
        <v>2037</v>
      </c>
      <c r="C57" s="213" t="s">
        <v>3324</v>
      </c>
      <c r="D57" s="239">
        <v>4.2661782323049277E-3</v>
      </c>
      <c r="E57" s="226">
        <v>2.5700627720742851E-2</v>
      </c>
      <c r="F57" s="226">
        <v>6.6418053925713157E-4</v>
      </c>
      <c r="G57" s="227">
        <v>6.1100368994183505E-4</v>
      </c>
      <c r="H57" s="226">
        <v>2.0000005732018801E-3</v>
      </c>
      <c r="I57" s="255">
        <v>2.7493193889730544E-3</v>
      </c>
      <c r="J57" s="256">
        <v>8.0641084720636687E-6</v>
      </c>
      <c r="K57" s="257">
        <v>8.4287316732190295E-6</v>
      </c>
      <c r="L57" s="228">
        <v>3.1257882953403329E-2</v>
      </c>
    </row>
    <row r="58" spans="1:12" s="212" customFormat="1" ht="15.5" x14ac:dyDescent="0.35">
      <c r="A58" s="198" t="s">
        <v>786</v>
      </c>
      <c r="B58" s="197">
        <v>2038</v>
      </c>
      <c r="C58" s="213" t="s">
        <v>3325</v>
      </c>
      <c r="D58" s="239">
        <v>4.0944906408920331E-3</v>
      </c>
      <c r="E58" s="226">
        <v>2.4936411928711561E-2</v>
      </c>
      <c r="F58" s="226">
        <v>6.3267960442959202E-4</v>
      </c>
      <c r="G58" s="227">
        <v>5.8202321025791761E-4</v>
      </c>
      <c r="H58" s="226">
        <v>2.0000005732018805E-3</v>
      </c>
      <c r="I58" s="255">
        <v>2.7493829635135223E-3</v>
      </c>
      <c r="J58" s="256">
        <v>7.6397841004156514E-6</v>
      </c>
      <c r="K58" s="257">
        <v>7.9852212363965823E-6</v>
      </c>
      <c r="L58" s="228">
        <v>3.1058314376111108E-2</v>
      </c>
    </row>
    <row r="59" spans="1:12" s="212" customFormat="1" ht="15.5" x14ac:dyDescent="0.35">
      <c r="A59" s="198" t="s">
        <v>786</v>
      </c>
      <c r="B59" s="197">
        <v>2039</v>
      </c>
      <c r="C59" s="213" t="s">
        <v>3326</v>
      </c>
      <c r="D59" s="239">
        <v>3.9361148312867817E-3</v>
      </c>
      <c r="E59" s="226">
        <v>2.4246120650742102E-2</v>
      </c>
      <c r="F59" s="226">
        <v>6.0521318657213009E-4</v>
      </c>
      <c r="G59" s="227">
        <v>5.5675487717699317E-4</v>
      </c>
      <c r="H59" s="226">
        <v>2.0000005732018801E-3</v>
      </c>
      <c r="I59" s="255">
        <v>2.7494609318697203E-3</v>
      </c>
      <c r="J59" s="256">
        <v>7.2810907769640531E-6</v>
      </c>
      <c r="K59" s="257">
        <v>7.6103093925365581E-6</v>
      </c>
      <c r="L59" s="228">
        <v>3.0889718904749515E-2</v>
      </c>
    </row>
    <row r="60" spans="1:12" s="212" customFormat="1" ht="15.5" x14ac:dyDescent="0.35">
      <c r="A60" s="198" t="s">
        <v>786</v>
      </c>
      <c r="B60" s="197">
        <v>2040</v>
      </c>
      <c r="C60" s="213" t="s">
        <v>3327</v>
      </c>
      <c r="D60" s="239">
        <v>3.7951043390468974E-3</v>
      </c>
      <c r="E60" s="226">
        <v>2.3652700714180613E-2</v>
      </c>
      <c r="F60" s="226">
        <v>5.8161223127078108E-4</v>
      </c>
      <c r="G60" s="227">
        <v>5.3504272032671169E-4</v>
      </c>
      <c r="H60" s="226">
        <v>2.0000005732018805E-3</v>
      </c>
      <c r="I60" s="255">
        <v>2.7495614827480644E-3</v>
      </c>
      <c r="J60" s="256">
        <v>6.9743981160069457E-6</v>
      </c>
      <c r="K60" s="257">
        <v>7.289749450379499E-6</v>
      </c>
      <c r="L60" s="228">
        <v>3.0748622219884086E-2</v>
      </c>
    </row>
    <row r="61" spans="1:12" s="212" customFormat="1" ht="15.5" x14ac:dyDescent="0.35">
      <c r="A61" s="198" t="s">
        <v>786</v>
      </c>
      <c r="B61" s="197">
        <v>2041</v>
      </c>
      <c r="C61" s="213" t="s">
        <v>3328</v>
      </c>
      <c r="D61" s="239">
        <v>3.6796663023404442E-3</v>
      </c>
      <c r="E61" s="226">
        <v>2.3145196780007031E-2</v>
      </c>
      <c r="F61" s="226">
        <v>5.6303109969251333E-4</v>
      </c>
      <c r="G61" s="227">
        <v>5.179488645317401E-4</v>
      </c>
      <c r="H61" s="226">
        <v>2.0000005732018801E-3</v>
      </c>
      <c r="I61" s="255">
        <v>2.7496685142425472E-3</v>
      </c>
      <c r="J61" s="256">
        <v>6.7385020185815155E-6</v>
      </c>
      <c r="K61" s="257">
        <v>7.0431871782019035E-6</v>
      </c>
      <c r="L61" s="228">
        <v>3.0631931929725412E-2</v>
      </c>
    </row>
    <row r="62" spans="1:12" s="212" customFormat="1" ht="15.5" x14ac:dyDescent="0.35">
      <c r="A62" s="198" t="s">
        <v>786</v>
      </c>
      <c r="B62" s="197">
        <v>2042</v>
      </c>
      <c r="C62" s="213" t="s">
        <v>3329</v>
      </c>
      <c r="D62" s="239">
        <v>3.5752406911839915E-3</v>
      </c>
      <c r="E62" s="226">
        <v>2.2654894494193025E-2</v>
      </c>
      <c r="F62" s="226">
        <v>5.4734650834440508E-4</v>
      </c>
      <c r="G62" s="227">
        <v>5.0352003124544734E-4</v>
      </c>
      <c r="H62" s="226">
        <v>2.0000005732018805E-3</v>
      </c>
      <c r="I62" s="255">
        <v>2.7497279855633531E-3</v>
      </c>
      <c r="J62" s="256">
        <v>6.5477947439015339E-6</v>
      </c>
      <c r="K62" s="257">
        <v>6.8438569668119181E-6</v>
      </c>
      <c r="L62" s="228">
        <v>3.0534286552826525E-2</v>
      </c>
    </row>
    <row r="63" spans="1:12" s="212" customFormat="1" ht="15.5" x14ac:dyDescent="0.35">
      <c r="A63" s="198" t="s">
        <v>786</v>
      </c>
      <c r="B63" s="197">
        <v>2043</v>
      </c>
      <c r="C63" s="213" t="s">
        <v>3330</v>
      </c>
      <c r="D63" s="239">
        <v>3.4931403047729469E-3</v>
      </c>
      <c r="E63" s="226">
        <v>2.2228818816984946E-2</v>
      </c>
      <c r="F63" s="226">
        <v>5.3420296718543852E-4</v>
      </c>
      <c r="G63" s="227">
        <v>4.9142889406495946E-4</v>
      </c>
      <c r="H63" s="226">
        <v>2.0000005732018797E-3</v>
      </c>
      <c r="I63" s="255">
        <v>2.7497735442074292E-3</v>
      </c>
      <c r="J63" s="256">
        <v>6.3903050935431381E-6</v>
      </c>
      <c r="K63" s="257">
        <v>6.6792463333142846E-6</v>
      </c>
      <c r="L63" s="228">
        <v>3.0453877158235661E-2</v>
      </c>
    </row>
    <row r="64" spans="1:12" s="212" customFormat="1" ht="15.5" x14ac:dyDescent="0.35">
      <c r="A64" s="198" t="s">
        <v>786</v>
      </c>
      <c r="B64" s="197">
        <v>2044</v>
      </c>
      <c r="C64" s="213" t="s">
        <v>3331</v>
      </c>
      <c r="D64" s="239">
        <v>3.4309858612400035E-3</v>
      </c>
      <c r="E64" s="226">
        <v>2.1843455732249495E-2</v>
      </c>
      <c r="F64" s="226">
        <v>5.2324890380697851E-4</v>
      </c>
      <c r="G64" s="227">
        <v>4.8135221817754054E-4</v>
      </c>
      <c r="H64" s="226">
        <v>2.0000005732018801E-3</v>
      </c>
      <c r="I64" s="255">
        <v>2.7498099939108106E-3</v>
      </c>
      <c r="J64" s="256">
        <v>6.2666243868084798E-6</v>
      </c>
      <c r="K64" s="257">
        <v>6.5499733338460899E-6</v>
      </c>
      <c r="L64" s="228">
        <v>3.0387417597286567E-2</v>
      </c>
    </row>
    <row r="65" spans="1:12" s="212" customFormat="1" ht="15.5" x14ac:dyDescent="0.35">
      <c r="A65" s="198" t="s">
        <v>786</v>
      </c>
      <c r="B65" s="197">
        <v>2045</v>
      </c>
      <c r="C65" s="213" t="s">
        <v>3332</v>
      </c>
      <c r="D65" s="239">
        <v>3.3856615136930901E-3</v>
      </c>
      <c r="E65" s="226">
        <v>2.1486037669994015E-2</v>
      </c>
      <c r="F65" s="226">
        <v>5.1406270948605272E-4</v>
      </c>
      <c r="G65" s="227">
        <v>4.7290192221004679E-4</v>
      </c>
      <c r="H65" s="226">
        <v>2.0000005732018801E-3</v>
      </c>
      <c r="I65" s="255">
        <v>2.7498319544329332E-3</v>
      </c>
      <c r="J65" s="256">
        <v>6.1657751190313127E-6</v>
      </c>
      <c r="K65" s="257">
        <v>6.444564109692038E-6</v>
      </c>
      <c r="L65" s="228">
        <v>3.0331028402312651E-2</v>
      </c>
    </row>
    <row r="66" spans="1:12" s="212" customFormat="1" ht="15.5" x14ac:dyDescent="0.35">
      <c r="A66" s="198" t="s">
        <v>786</v>
      </c>
      <c r="B66" s="197">
        <v>2046</v>
      </c>
      <c r="C66" s="213" t="s">
        <v>3333</v>
      </c>
      <c r="D66" s="239">
        <v>3.3458495603307971E-3</v>
      </c>
      <c r="E66" s="226">
        <v>2.116968671941457E-2</v>
      </c>
      <c r="F66" s="226">
        <v>5.0651011521292161E-4</v>
      </c>
      <c r="G66" s="227">
        <v>4.6595457341648994E-4</v>
      </c>
      <c r="H66" s="226">
        <v>2.0000005732018801E-3</v>
      </c>
      <c r="I66" s="255">
        <v>2.7498624524620687E-3</v>
      </c>
      <c r="J66" s="256">
        <v>6.0883386700386041E-6</v>
      </c>
      <c r="K66" s="257">
        <v>6.3636263280950229E-6</v>
      </c>
      <c r="L66" s="228">
        <v>3.0284382229709517E-2</v>
      </c>
    </row>
    <row r="67" spans="1:12" s="212" customFormat="1" ht="15.5" x14ac:dyDescent="0.35">
      <c r="A67" s="198" t="s">
        <v>786</v>
      </c>
      <c r="B67" s="197">
        <v>2047</v>
      </c>
      <c r="C67" s="213" t="s">
        <v>3334</v>
      </c>
      <c r="D67" s="239">
        <v>3.312378454223748E-3</v>
      </c>
      <c r="E67" s="226">
        <v>2.0900492739394077E-2</v>
      </c>
      <c r="F67" s="226">
        <v>5.0034192807658039E-4</v>
      </c>
      <c r="G67" s="227">
        <v>4.6028032030252005E-4</v>
      </c>
      <c r="H67" s="226">
        <v>2.0000005732018801E-3</v>
      </c>
      <c r="I67" s="255">
        <v>2.7499225755305999E-3</v>
      </c>
      <c r="J67" s="256">
        <v>6.0156354344052223E-6</v>
      </c>
      <c r="K67" s="257">
        <v>6.2876357747621316E-6</v>
      </c>
      <c r="L67" s="228">
        <v>3.0246363226597388E-2</v>
      </c>
    </row>
    <row r="68" spans="1:12" s="212" customFormat="1" ht="15.5" x14ac:dyDescent="0.35">
      <c r="A68" s="198" t="s">
        <v>786</v>
      </c>
      <c r="B68" s="197">
        <v>2048</v>
      </c>
      <c r="C68" s="213" t="s">
        <v>3335</v>
      </c>
      <c r="D68" s="239">
        <v>3.2851845317649069E-3</v>
      </c>
      <c r="E68" s="226">
        <v>2.0680258177549204E-2</v>
      </c>
      <c r="F68" s="226">
        <v>4.9528991360328774E-4</v>
      </c>
      <c r="G68" s="227">
        <v>4.5563265206830135E-4</v>
      </c>
      <c r="H68" s="226">
        <v>2.0000005732018797E-3</v>
      </c>
      <c r="I68" s="255">
        <v>2.7500023201588427E-3</v>
      </c>
      <c r="J68" s="256">
        <v>5.9507683018770865E-6</v>
      </c>
      <c r="K68" s="257">
        <v>6.2198356383447187E-6</v>
      </c>
      <c r="L68" s="228">
        <v>3.0214751394244028E-2</v>
      </c>
    </row>
    <row r="69" spans="1:12" s="212" customFormat="1" ht="15.5" x14ac:dyDescent="0.35">
      <c r="A69" s="198" t="s">
        <v>786</v>
      </c>
      <c r="B69" s="197">
        <v>2049</v>
      </c>
      <c r="C69" s="213" t="s">
        <v>3336</v>
      </c>
      <c r="D69" s="239">
        <v>3.2791208905754423E-3</v>
      </c>
      <c r="E69" s="226">
        <v>2.06598290419331E-2</v>
      </c>
      <c r="F69" s="226">
        <v>4.9201140099590054E-4</v>
      </c>
      <c r="G69" s="227">
        <v>4.5261648129509414E-4</v>
      </c>
      <c r="H69" s="226">
        <v>2.0000005732018801E-3</v>
      </c>
      <c r="I69" s="255">
        <v>2.7500977138168472E-3</v>
      </c>
      <c r="J69" s="256">
        <v>5.9071511466544816E-6</v>
      </c>
      <c r="K69" s="257">
        <v>6.1742463089112075E-6</v>
      </c>
      <c r="L69" s="228">
        <v>3.0188632316859063E-2</v>
      </c>
    </row>
    <row r="70" spans="1:12" s="212" customFormat="1" ht="15.5" x14ac:dyDescent="0.35">
      <c r="A70" s="198" t="s">
        <v>786</v>
      </c>
      <c r="B70" s="197">
        <v>2050</v>
      </c>
      <c r="C70" s="213" t="s">
        <v>3337</v>
      </c>
      <c r="D70" s="239">
        <v>3.2745679322278543E-3</v>
      </c>
      <c r="E70" s="226">
        <v>2.0644194913450559E-2</v>
      </c>
      <c r="F70" s="226">
        <v>4.893540146776648E-4</v>
      </c>
      <c r="G70" s="227">
        <v>4.5016996716633269E-4</v>
      </c>
      <c r="H70" s="226">
        <v>2.0000005732018797E-3</v>
      </c>
      <c r="I70" s="255">
        <v>2.750233427426637E-3</v>
      </c>
      <c r="J70" s="256">
        <v>5.8264204298589508E-6</v>
      </c>
      <c r="K70" s="257">
        <v>6.0898653073394217E-6</v>
      </c>
      <c r="L70" s="228">
        <v>3.0167801459946044E-2</v>
      </c>
    </row>
    <row r="71" spans="1:12" s="212" customFormat="1" ht="15.5" x14ac:dyDescent="0.35">
      <c r="A71" s="198" t="s">
        <v>790</v>
      </c>
      <c r="B71" s="197">
        <v>2015</v>
      </c>
      <c r="C71" s="213" t="s">
        <v>839</v>
      </c>
      <c r="D71" s="239">
        <v>6.1346430683790268E-2</v>
      </c>
      <c r="E71" s="226">
        <v>0.28503383950195393</v>
      </c>
      <c r="F71" s="226">
        <v>2.1976658713646433E-3</v>
      </c>
      <c r="G71" s="227">
        <v>2.0322525297891418E-3</v>
      </c>
      <c r="H71" s="226">
        <v>2.0000005732018801E-3</v>
      </c>
      <c r="I71" s="255">
        <v>3.29277514240417E-3</v>
      </c>
      <c r="J71" s="256">
        <v>1.7781883383209468E-4</v>
      </c>
      <c r="K71" s="257">
        <v>1.8585901243859345E-4</v>
      </c>
      <c r="L71" s="228">
        <v>4.3818159783082081E-2</v>
      </c>
    </row>
    <row r="72" spans="1:12" s="212" customFormat="1" ht="15.5" x14ac:dyDescent="0.35">
      <c r="A72" s="198" t="s">
        <v>790</v>
      </c>
      <c r="B72" s="197">
        <v>2016</v>
      </c>
      <c r="C72" s="213" t="s">
        <v>841</v>
      </c>
      <c r="D72" s="239">
        <v>5.2975184861299304E-2</v>
      </c>
      <c r="E72" s="226">
        <v>0.2580042983939001</v>
      </c>
      <c r="F72" s="226">
        <v>2.0995405903188572E-3</v>
      </c>
      <c r="G72" s="227">
        <v>1.9398312022638029E-3</v>
      </c>
      <c r="H72" s="226">
        <v>2.0000005732018797E-3</v>
      </c>
      <c r="I72" s="255">
        <v>3.2891330684863278E-3</v>
      </c>
      <c r="J72" s="256">
        <v>1.5507945914603019E-4</v>
      </c>
      <c r="K72" s="257">
        <v>1.6209146413370595E-4</v>
      </c>
      <c r="L72" s="228">
        <v>4.2833604079830147E-2</v>
      </c>
    </row>
    <row r="73" spans="1:12" s="212" customFormat="1" ht="15.5" x14ac:dyDescent="0.35">
      <c r="A73" s="198" t="s">
        <v>790</v>
      </c>
      <c r="B73" s="197">
        <v>2017</v>
      </c>
      <c r="C73" s="213" t="s">
        <v>3338</v>
      </c>
      <c r="D73" s="239">
        <v>4.0955935935504319E-2</v>
      </c>
      <c r="E73" s="226">
        <v>0.21418066067942904</v>
      </c>
      <c r="F73" s="226">
        <v>1.9510727446023909E-3</v>
      </c>
      <c r="G73" s="227">
        <v>1.8010565524024854E-3</v>
      </c>
      <c r="H73" s="226">
        <v>2.0000005732018801E-3</v>
      </c>
      <c r="I73" s="255">
        <v>3.2865207671779247E-3</v>
      </c>
      <c r="J73" s="256">
        <v>1.3448693945966706E-4</v>
      </c>
      <c r="K73" s="257">
        <v>1.4056784208507794E-4</v>
      </c>
      <c r="L73" s="228">
        <v>4.2487741951869211E-2</v>
      </c>
    </row>
    <row r="74" spans="1:12" s="212" customFormat="1" ht="15.5" x14ac:dyDescent="0.35">
      <c r="A74" s="198" t="s">
        <v>790</v>
      </c>
      <c r="B74" s="197">
        <v>2018</v>
      </c>
      <c r="C74" s="213" t="s">
        <v>3339</v>
      </c>
      <c r="D74" s="239">
        <v>3.4608072908752591E-2</v>
      </c>
      <c r="E74" s="226">
        <v>0.1883921692917731</v>
      </c>
      <c r="F74" s="226">
        <v>1.8916271109289996E-3</v>
      </c>
      <c r="G74" s="227">
        <v>1.7446016403510833E-3</v>
      </c>
      <c r="H74" s="226">
        <v>2.0000005732018801E-3</v>
      </c>
      <c r="I74" s="255">
        <v>3.2874715054727055E-3</v>
      </c>
      <c r="J74" s="256">
        <v>1.0656072352995617E-4</v>
      </c>
      <c r="K74" s="257">
        <v>1.1137892659177359E-4</v>
      </c>
      <c r="L74" s="228">
        <v>4.2000675310771153E-2</v>
      </c>
    </row>
    <row r="75" spans="1:12" s="212" customFormat="1" ht="15.5" x14ac:dyDescent="0.35">
      <c r="A75" s="198" t="s">
        <v>790</v>
      </c>
      <c r="B75" s="197">
        <v>2019</v>
      </c>
      <c r="C75" s="213" t="s">
        <v>3340</v>
      </c>
      <c r="D75" s="239">
        <v>2.8379382933017967E-2</v>
      </c>
      <c r="E75" s="226">
        <v>0.15996085139426286</v>
      </c>
      <c r="F75" s="226">
        <v>1.8258498076976345E-3</v>
      </c>
      <c r="G75" s="227">
        <v>1.6824458984704953E-3</v>
      </c>
      <c r="H75" s="226">
        <v>2.0000005732018805E-3</v>
      </c>
      <c r="I75" s="255">
        <v>3.2891605631177462E-3</v>
      </c>
      <c r="J75" s="256">
        <v>7.7984424578889466E-5</v>
      </c>
      <c r="K75" s="257">
        <v>8.151053420758802E-5</v>
      </c>
      <c r="L75" s="228">
        <v>4.140518640943848E-2</v>
      </c>
    </row>
    <row r="76" spans="1:12" s="212" customFormat="1" ht="15.5" x14ac:dyDescent="0.35">
      <c r="A76" s="198" t="s">
        <v>790</v>
      </c>
      <c r="B76" s="197">
        <v>2020</v>
      </c>
      <c r="C76" s="213" t="s">
        <v>3341</v>
      </c>
      <c r="D76" s="239">
        <v>2.495575726385485E-2</v>
      </c>
      <c r="E76" s="226">
        <v>0.14316256445197673</v>
      </c>
      <c r="F76" s="226">
        <v>1.7750925800091527E-3</v>
      </c>
      <c r="G76" s="227">
        <v>1.6354062925382157E-3</v>
      </c>
      <c r="H76" s="226">
        <v>2.0000005732018801E-3</v>
      </c>
      <c r="I76" s="255">
        <v>3.2972730908779513E-3</v>
      </c>
      <c r="J76" s="256">
        <v>7.2417455974697664E-5</v>
      </c>
      <c r="K76" s="257">
        <v>7.5691851986171857E-5</v>
      </c>
      <c r="L76" s="228">
        <v>4.10290479248216E-2</v>
      </c>
    </row>
    <row r="77" spans="1:12" s="212" customFormat="1" ht="15.5" x14ac:dyDescent="0.35">
      <c r="A77" s="198" t="s">
        <v>790</v>
      </c>
      <c r="B77" s="197">
        <v>2021</v>
      </c>
      <c r="C77" s="213" t="s">
        <v>3342</v>
      </c>
      <c r="D77" s="239">
        <v>2.1722501868983911E-2</v>
      </c>
      <c r="E77" s="226">
        <v>0.12684951147959866</v>
      </c>
      <c r="F77" s="226">
        <v>1.6934624769942468E-3</v>
      </c>
      <c r="G77" s="227">
        <v>1.5599680606449378E-3</v>
      </c>
      <c r="H77" s="226">
        <v>2.0000005732018801E-3</v>
      </c>
      <c r="I77" s="255">
        <v>3.3012584806686048E-3</v>
      </c>
      <c r="J77" s="256">
        <v>6.6618459005850057E-5</v>
      </c>
      <c r="K77" s="257">
        <v>6.9630650107060872E-5</v>
      </c>
      <c r="L77" s="228">
        <v>4.0220074993259539E-2</v>
      </c>
    </row>
    <row r="78" spans="1:12" s="212" customFormat="1" ht="15.5" x14ac:dyDescent="0.35">
      <c r="A78" s="198" t="s">
        <v>790</v>
      </c>
      <c r="B78" s="197">
        <v>2022</v>
      </c>
      <c r="C78" s="213" t="s">
        <v>3343</v>
      </c>
      <c r="D78" s="239">
        <v>1.8428926798638404E-2</v>
      </c>
      <c r="E78" s="226">
        <v>0.11118952343428334</v>
      </c>
      <c r="F78" s="226">
        <v>1.6087565487011661E-3</v>
      </c>
      <c r="G78" s="227">
        <v>1.4816548990566076E-3</v>
      </c>
      <c r="H78" s="226">
        <v>2.0000005732018801E-3</v>
      </c>
      <c r="I78" s="255">
        <v>3.3011419988074496E-3</v>
      </c>
      <c r="J78" s="256">
        <v>6.0787539465954234E-5</v>
      </c>
      <c r="K78" s="257">
        <v>6.3536082259893338E-5</v>
      </c>
      <c r="L78" s="228">
        <v>3.9489766423915926E-2</v>
      </c>
    </row>
    <row r="79" spans="1:12" s="212" customFormat="1" ht="15.5" x14ac:dyDescent="0.35">
      <c r="A79" s="198" t="s">
        <v>790</v>
      </c>
      <c r="B79" s="197">
        <v>2023</v>
      </c>
      <c r="C79" s="213" t="s">
        <v>3344</v>
      </c>
      <c r="D79" s="239">
        <v>1.6124742867490573E-2</v>
      </c>
      <c r="E79" s="226">
        <v>9.8039982624146635E-2</v>
      </c>
      <c r="F79" s="226">
        <v>1.5312956831057861E-3</v>
      </c>
      <c r="G79" s="227">
        <v>1.410150804667975E-3</v>
      </c>
      <c r="H79" s="226">
        <v>2.0000005732018801E-3</v>
      </c>
      <c r="I79" s="255">
        <v>3.3009090464501565E-3</v>
      </c>
      <c r="J79" s="256">
        <v>5.4711419579481976E-5</v>
      </c>
      <c r="K79" s="257">
        <v>5.7185227194537484E-5</v>
      </c>
      <c r="L79" s="228">
        <v>3.8716884828380739E-2</v>
      </c>
    </row>
    <row r="80" spans="1:12" s="212" customFormat="1" ht="15.5" x14ac:dyDescent="0.35">
      <c r="A80" s="198" t="s">
        <v>790</v>
      </c>
      <c r="B80" s="197">
        <v>2024</v>
      </c>
      <c r="C80" s="213" t="s">
        <v>3345</v>
      </c>
      <c r="D80" s="239">
        <v>1.414098059977548E-2</v>
      </c>
      <c r="E80" s="226">
        <v>8.6857939904796497E-2</v>
      </c>
      <c r="F80" s="226">
        <v>1.4606841054494778E-3</v>
      </c>
      <c r="G80" s="227">
        <v>1.3449277311361294E-3</v>
      </c>
      <c r="H80" s="226">
        <v>2.0000005732018805E-3</v>
      </c>
      <c r="I80" s="255">
        <v>3.3010166153485837E-3</v>
      </c>
      <c r="J80" s="256">
        <v>4.8114315407714358E-5</v>
      </c>
      <c r="K80" s="257">
        <v>5.0289831246338661E-5</v>
      </c>
      <c r="L80" s="228">
        <v>3.7914536235316716E-2</v>
      </c>
    </row>
    <row r="81" spans="1:12" s="212" customFormat="1" ht="15.5" x14ac:dyDescent="0.35">
      <c r="A81" s="198" t="s">
        <v>790</v>
      </c>
      <c r="B81" s="197">
        <v>2025</v>
      </c>
      <c r="C81" s="213" t="s">
        <v>3346</v>
      </c>
      <c r="D81" s="239">
        <v>1.2587093357337159E-2</v>
      </c>
      <c r="E81" s="226">
        <v>7.7727115428167709E-2</v>
      </c>
      <c r="F81" s="226">
        <v>1.4037244218558101E-3</v>
      </c>
      <c r="G81" s="227">
        <v>1.2923464585145735E-3</v>
      </c>
      <c r="H81" s="226">
        <v>2.0000005732018801E-3</v>
      </c>
      <c r="I81" s="255">
        <v>3.3012810648466728E-3</v>
      </c>
      <c r="J81" s="256">
        <v>4.292829424478581E-5</v>
      </c>
      <c r="K81" s="257">
        <v>4.4869321219050538E-5</v>
      </c>
      <c r="L81" s="228">
        <v>3.7087909336498401E-2</v>
      </c>
    </row>
    <row r="82" spans="1:12" s="212" customFormat="1" ht="15.5" x14ac:dyDescent="0.35">
      <c r="A82" s="198" t="s">
        <v>790</v>
      </c>
      <c r="B82" s="197">
        <v>2026</v>
      </c>
      <c r="C82" s="213" t="s">
        <v>3347</v>
      </c>
      <c r="D82" s="239">
        <v>1.1278724335391196E-2</v>
      </c>
      <c r="E82" s="226">
        <v>7.0091571216336676E-2</v>
      </c>
      <c r="F82" s="226">
        <v>1.3446093589924506E-3</v>
      </c>
      <c r="G82" s="227">
        <v>1.2377830190406854E-3</v>
      </c>
      <c r="H82" s="226">
        <v>2.0000005732018801E-3</v>
      </c>
      <c r="I82" s="255">
        <v>3.3014420441842113E-3</v>
      </c>
      <c r="J82" s="256">
        <v>3.75752761280214E-5</v>
      </c>
      <c r="K82" s="257">
        <v>3.9274263376712214E-5</v>
      </c>
      <c r="L82" s="228">
        <v>3.6288449583744643E-2</v>
      </c>
    </row>
    <row r="83" spans="1:12" s="212" customFormat="1" ht="15.5" x14ac:dyDescent="0.35">
      <c r="A83" s="198" t="s">
        <v>790</v>
      </c>
      <c r="B83" s="197">
        <v>2027</v>
      </c>
      <c r="C83" s="213" t="s">
        <v>3348</v>
      </c>
      <c r="D83" s="239">
        <v>1.0173064666525388E-2</v>
      </c>
      <c r="E83" s="226">
        <v>6.3555146844657823E-2</v>
      </c>
      <c r="F83" s="226">
        <v>1.2758911048432011E-3</v>
      </c>
      <c r="G83" s="227">
        <v>1.1743545779383923E-3</v>
      </c>
      <c r="H83" s="226">
        <v>2.0000005732018805E-3</v>
      </c>
      <c r="I83" s="255">
        <v>3.3014267270643641E-3</v>
      </c>
      <c r="J83" s="256">
        <v>3.13068216964208E-5</v>
      </c>
      <c r="K83" s="257">
        <v>3.2722377251569152E-5</v>
      </c>
      <c r="L83" s="228">
        <v>3.5545725493029208E-2</v>
      </c>
    </row>
    <row r="84" spans="1:12" s="212" customFormat="1" ht="15.5" x14ac:dyDescent="0.35">
      <c r="A84" s="198" t="s">
        <v>790</v>
      </c>
      <c r="B84" s="197">
        <v>2028</v>
      </c>
      <c r="C84" s="213" t="s">
        <v>3349</v>
      </c>
      <c r="D84" s="239">
        <v>9.2415483069556714E-3</v>
      </c>
      <c r="E84" s="226">
        <v>5.8046910047569691E-2</v>
      </c>
      <c r="F84" s="226">
        <v>1.2006304960202766E-3</v>
      </c>
      <c r="G84" s="227">
        <v>1.1049553090594889E-3</v>
      </c>
      <c r="H84" s="226">
        <v>2.0000005732018801E-3</v>
      </c>
      <c r="I84" s="255">
        <v>3.3015607672070455E-3</v>
      </c>
      <c r="J84" s="256">
        <v>2.6175856443867325E-5</v>
      </c>
      <c r="K84" s="257">
        <v>2.7359412518616312E-5</v>
      </c>
      <c r="L84" s="228">
        <v>3.4861807268726161E-2</v>
      </c>
    </row>
    <row r="85" spans="1:12" s="212" customFormat="1" ht="15.5" x14ac:dyDescent="0.35">
      <c r="A85" s="198" t="s">
        <v>790</v>
      </c>
      <c r="B85" s="197">
        <v>2029</v>
      </c>
      <c r="C85" s="213" t="s">
        <v>3350</v>
      </c>
      <c r="D85" s="239">
        <v>8.432119267318872E-3</v>
      </c>
      <c r="E85" s="226">
        <v>5.328223606432337E-2</v>
      </c>
      <c r="F85" s="226">
        <v>1.1286242597548246E-3</v>
      </c>
      <c r="G85" s="227">
        <v>1.0385998335592141E-3</v>
      </c>
      <c r="H85" s="226">
        <v>2.0000005732018801E-3</v>
      </c>
      <c r="I85" s="255">
        <v>3.3016842136811726E-3</v>
      </c>
      <c r="J85" s="256">
        <v>2.236712277307278E-5</v>
      </c>
      <c r="K85" s="257">
        <v>2.3378464812233796E-5</v>
      </c>
      <c r="L85" s="228">
        <v>3.4234953596649548E-2</v>
      </c>
    </row>
    <row r="86" spans="1:12" s="212" customFormat="1" ht="15.5" x14ac:dyDescent="0.35">
      <c r="A86" s="198" t="s">
        <v>790</v>
      </c>
      <c r="B86" s="197">
        <v>2030</v>
      </c>
      <c r="C86" s="213" t="s">
        <v>3351</v>
      </c>
      <c r="D86" s="239">
        <v>7.7542826473596116E-3</v>
      </c>
      <c r="E86" s="226">
        <v>4.9264153929333067E-2</v>
      </c>
      <c r="F86" s="226">
        <v>1.0606508483162033E-3</v>
      </c>
      <c r="G86" s="227">
        <v>9.7597478434848016E-4</v>
      </c>
      <c r="H86" s="226">
        <v>2.0000005732018801E-3</v>
      </c>
      <c r="I86" s="255">
        <v>3.3018727552242802E-3</v>
      </c>
      <c r="J86" s="256">
        <v>1.9133108643690003E-5</v>
      </c>
      <c r="K86" s="257">
        <v>1.999822291464547E-5</v>
      </c>
      <c r="L86" s="228">
        <v>3.366780475494021E-2</v>
      </c>
    </row>
    <row r="87" spans="1:12" s="212" customFormat="1" ht="15.5" x14ac:dyDescent="0.35">
      <c r="A87" s="198" t="s">
        <v>790</v>
      </c>
      <c r="B87" s="197">
        <v>2031</v>
      </c>
      <c r="C87" s="213" t="s">
        <v>3352</v>
      </c>
      <c r="D87" s="239">
        <v>7.1643465370152468E-3</v>
      </c>
      <c r="E87" s="226">
        <v>4.5792755604352503E-2</v>
      </c>
      <c r="F87" s="226">
        <v>9.9716383429674293E-4</v>
      </c>
      <c r="G87" s="227">
        <v>9.1752421999823661E-4</v>
      </c>
      <c r="H87" s="226">
        <v>2.0000005732018797E-3</v>
      </c>
      <c r="I87" s="255">
        <v>3.301932628434103E-3</v>
      </c>
      <c r="J87" s="256">
        <v>1.7167174517329051E-5</v>
      </c>
      <c r="K87" s="257">
        <v>1.7943397970793971E-5</v>
      </c>
      <c r="L87" s="228">
        <v>3.3154916018058748E-2</v>
      </c>
    </row>
    <row r="88" spans="1:12" s="212" customFormat="1" ht="15.5" x14ac:dyDescent="0.35">
      <c r="A88" s="198" t="s">
        <v>790</v>
      </c>
      <c r="B88" s="197">
        <v>2032</v>
      </c>
      <c r="C88" s="213" t="s">
        <v>3353</v>
      </c>
      <c r="D88" s="239">
        <v>6.6509742192490178E-3</v>
      </c>
      <c r="E88" s="226">
        <v>4.2823299419510186E-2</v>
      </c>
      <c r="F88" s="226">
        <v>9.371964978176847E-4</v>
      </c>
      <c r="G88" s="227">
        <v>8.6231388734889735E-4</v>
      </c>
      <c r="H88" s="226">
        <v>2.0000005732018801E-3</v>
      </c>
      <c r="I88" s="255">
        <v>3.3019024361196285E-3</v>
      </c>
      <c r="J88" s="256">
        <v>1.5304367375249831E-5</v>
      </c>
      <c r="K88" s="257">
        <v>1.5996362955834208E-5</v>
      </c>
      <c r="L88" s="228">
        <v>3.2695139345568558E-2</v>
      </c>
    </row>
    <row r="89" spans="1:12" s="212" customFormat="1" ht="15.5" x14ac:dyDescent="0.35">
      <c r="A89" s="198" t="s">
        <v>790</v>
      </c>
      <c r="B89" s="197">
        <v>2033</v>
      </c>
      <c r="C89" s="213" t="s">
        <v>3354</v>
      </c>
      <c r="D89" s="239">
        <v>6.1917321538850611E-3</v>
      </c>
      <c r="E89" s="226">
        <v>4.0220241317627484E-2</v>
      </c>
      <c r="F89" s="226">
        <v>8.810743538791504E-4</v>
      </c>
      <c r="G89" s="227">
        <v>8.1066443790091302E-4</v>
      </c>
      <c r="H89" s="226">
        <v>2.0000005732018801E-3</v>
      </c>
      <c r="I89" s="255">
        <v>3.3017150352017341E-3</v>
      </c>
      <c r="J89" s="256">
        <v>1.4092708253683967E-5</v>
      </c>
      <c r="K89" s="257">
        <v>1.4729917985448853E-5</v>
      </c>
      <c r="L89" s="228">
        <v>3.2281289523935774E-2</v>
      </c>
    </row>
    <row r="90" spans="1:12" s="212" customFormat="1" ht="15.5" x14ac:dyDescent="0.35">
      <c r="A90" s="198" t="s">
        <v>790</v>
      </c>
      <c r="B90" s="197">
        <v>2034</v>
      </c>
      <c r="C90" s="213" t="s">
        <v>3355</v>
      </c>
      <c r="D90" s="239">
        <v>5.7849873758698484E-3</v>
      </c>
      <c r="E90" s="226">
        <v>3.7978022935019749E-2</v>
      </c>
      <c r="F90" s="226">
        <v>8.2875296750236954E-4</v>
      </c>
      <c r="G90" s="227">
        <v>7.6251252232073107E-4</v>
      </c>
      <c r="H90" s="226">
        <v>2.0000005732018801E-3</v>
      </c>
      <c r="I90" s="255">
        <v>3.3014108690803561E-3</v>
      </c>
      <c r="J90" s="256">
        <v>1.2954903702963548E-5</v>
      </c>
      <c r="K90" s="257">
        <v>1.3540666961877787E-5</v>
      </c>
      <c r="L90" s="228">
        <v>3.1911666394416269E-2</v>
      </c>
    </row>
    <row r="91" spans="1:12" s="212" customFormat="1" ht="15.5" x14ac:dyDescent="0.35">
      <c r="A91" s="198" t="s">
        <v>790</v>
      </c>
      <c r="B91" s="197">
        <v>2035</v>
      </c>
      <c r="C91" s="213" t="s">
        <v>3356</v>
      </c>
      <c r="D91" s="239">
        <v>5.4341670033811167E-3</v>
      </c>
      <c r="E91" s="226">
        <v>3.6101218145420319E-2</v>
      </c>
      <c r="F91" s="226">
        <v>7.8061921347524538E-4</v>
      </c>
      <c r="G91" s="227">
        <v>7.1821569172212611E-4</v>
      </c>
      <c r="H91" s="226">
        <v>2.0000005732018801E-3</v>
      </c>
      <c r="I91" s="255">
        <v>3.301079467792031E-3</v>
      </c>
      <c r="J91" s="256">
        <v>1.1938024865821202E-5</v>
      </c>
      <c r="K91" s="257">
        <v>1.2477809376052853E-5</v>
      </c>
      <c r="L91" s="228">
        <v>3.1586560847585092E-2</v>
      </c>
    </row>
    <row r="92" spans="1:12" s="212" customFormat="1" ht="15.5" x14ac:dyDescent="0.35">
      <c r="A92" s="198" t="s">
        <v>790</v>
      </c>
      <c r="B92" s="197">
        <v>2036</v>
      </c>
      <c r="C92" s="213" t="s">
        <v>3357</v>
      </c>
      <c r="D92" s="239">
        <v>5.1087130367784474E-3</v>
      </c>
      <c r="E92" s="226">
        <v>3.4384543777695085E-2</v>
      </c>
      <c r="F92" s="226">
        <v>7.3815481306394547E-4</v>
      </c>
      <c r="G92" s="227">
        <v>6.7913599209402941E-4</v>
      </c>
      <c r="H92" s="226">
        <v>2.0000005732018801E-3</v>
      </c>
      <c r="I92" s="255">
        <v>3.300663993736401E-3</v>
      </c>
      <c r="J92" s="256">
        <v>1.1033293618835352E-5</v>
      </c>
      <c r="K92" s="257">
        <v>1.1532170196763771E-5</v>
      </c>
      <c r="L92" s="228">
        <v>3.1302369576750713E-2</v>
      </c>
    </row>
    <row r="93" spans="1:12" s="212" customFormat="1" ht="15.5" x14ac:dyDescent="0.35">
      <c r="A93" s="198" t="s">
        <v>790</v>
      </c>
      <c r="B93" s="197">
        <v>2037</v>
      </c>
      <c r="C93" s="213" t="s">
        <v>3358</v>
      </c>
      <c r="D93" s="239">
        <v>4.8152406893373521E-3</v>
      </c>
      <c r="E93" s="226">
        <v>3.2861653819060879E-2</v>
      </c>
      <c r="F93" s="226">
        <v>6.9983537404207151E-4</v>
      </c>
      <c r="G93" s="227">
        <v>6.4387102310828445E-4</v>
      </c>
      <c r="H93" s="226">
        <v>2.0000005732018801E-3</v>
      </c>
      <c r="I93" s="255">
        <v>3.3002541343301341E-3</v>
      </c>
      <c r="J93" s="256">
        <v>1.0220743633656206E-5</v>
      </c>
      <c r="K93" s="257">
        <v>1.0682880306891972E-5</v>
      </c>
      <c r="L93" s="228">
        <v>3.1052973024993446E-2</v>
      </c>
    </row>
    <row r="94" spans="1:12" s="212" customFormat="1" ht="15.5" x14ac:dyDescent="0.35">
      <c r="A94" s="198" t="s">
        <v>790</v>
      </c>
      <c r="B94" s="197">
        <v>2038</v>
      </c>
      <c r="C94" s="213" t="s">
        <v>3359</v>
      </c>
      <c r="D94" s="239">
        <v>4.5589173635180195E-3</v>
      </c>
      <c r="E94" s="226">
        <v>3.153576482310419E-2</v>
      </c>
      <c r="F94" s="226">
        <v>6.6584749459861468E-4</v>
      </c>
      <c r="G94" s="227">
        <v>6.1259660326288385E-4</v>
      </c>
      <c r="H94" s="226">
        <v>2.0000005732018801E-3</v>
      </c>
      <c r="I94" s="255">
        <v>3.2998772582195695E-3</v>
      </c>
      <c r="J94" s="256">
        <v>9.609410791097843E-6</v>
      </c>
      <c r="K94" s="257">
        <v>1.0043905705942428E-5</v>
      </c>
      <c r="L94" s="228">
        <v>3.0845502676823268E-2</v>
      </c>
    </row>
    <row r="95" spans="1:12" s="212" customFormat="1" ht="15.5" x14ac:dyDescent="0.35">
      <c r="A95" s="198" t="s">
        <v>790</v>
      </c>
      <c r="B95" s="197">
        <v>2039</v>
      </c>
      <c r="C95" s="213" t="s">
        <v>3360</v>
      </c>
      <c r="D95" s="239">
        <v>4.3217654336432159E-3</v>
      </c>
      <c r="E95" s="226">
        <v>3.0339169930981631E-2</v>
      </c>
      <c r="F95" s="226">
        <v>6.3579267599934205E-4</v>
      </c>
      <c r="G95" s="227">
        <v>5.8494110603462776E-4</v>
      </c>
      <c r="H95" s="226">
        <v>2.0000005732018801E-3</v>
      </c>
      <c r="I95" s="255">
        <v>3.2995371942245088E-3</v>
      </c>
      <c r="J95" s="256">
        <v>9.0652791295813571E-6</v>
      </c>
      <c r="K95" s="257">
        <v>9.4751708252406563E-6</v>
      </c>
      <c r="L95" s="228">
        <v>3.0668393698203941E-2</v>
      </c>
    </row>
    <row r="96" spans="1:12" s="212" customFormat="1" ht="15.5" x14ac:dyDescent="0.35">
      <c r="A96" s="198" t="s">
        <v>790</v>
      </c>
      <c r="B96" s="197">
        <v>2040</v>
      </c>
      <c r="C96" s="213" t="s">
        <v>3361</v>
      </c>
      <c r="D96" s="239">
        <v>4.0902085371301361E-3</v>
      </c>
      <c r="E96" s="226">
        <v>2.9209976101900795E-2</v>
      </c>
      <c r="F96" s="226">
        <v>6.0884785520519326E-4</v>
      </c>
      <c r="G96" s="227">
        <v>5.601489051195428E-4</v>
      </c>
      <c r="H96" s="226">
        <v>2.0000005732018801E-3</v>
      </c>
      <c r="I96" s="255">
        <v>3.2992453566159045E-3</v>
      </c>
      <c r="J96" s="256">
        <v>8.6178582530457696E-6</v>
      </c>
      <c r="K96" s="257">
        <v>9.0075195620688648E-6</v>
      </c>
      <c r="L96" s="228">
        <v>3.0516792849925079E-2</v>
      </c>
    </row>
    <row r="97" spans="1:12" s="212" customFormat="1" ht="15.5" x14ac:dyDescent="0.35">
      <c r="A97" s="198" t="s">
        <v>790</v>
      </c>
      <c r="B97" s="197">
        <v>2041</v>
      </c>
      <c r="C97" s="213" t="s">
        <v>3362</v>
      </c>
      <c r="D97" s="239">
        <v>3.9344567839914146E-3</v>
      </c>
      <c r="E97" s="226">
        <v>2.8383210941958472E-2</v>
      </c>
      <c r="F97" s="226">
        <v>5.8855948904546959E-4</v>
      </c>
      <c r="G97" s="227">
        <v>5.4148003447986471E-4</v>
      </c>
      <c r="H97" s="226">
        <v>2.0000005732018801E-3</v>
      </c>
      <c r="I97" s="255">
        <v>3.2990610724839323E-3</v>
      </c>
      <c r="J97" s="256">
        <v>8.2465597709163621E-6</v>
      </c>
      <c r="K97" s="257">
        <v>8.6194326101901872E-6</v>
      </c>
      <c r="L97" s="228">
        <v>3.0392469449018581E-2</v>
      </c>
    </row>
    <row r="98" spans="1:12" s="212" customFormat="1" ht="15.5" x14ac:dyDescent="0.35">
      <c r="A98" s="198" t="s">
        <v>790</v>
      </c>
      <c r="B98" s="197">
        <v>2042</v>
      </c>
      <c r="C98" s="213" t="s">
        <v>3363</v>
      </c>
      <c r="D98" s="239">
        <v>3.7863749631898971E-3</v>
      </c>
      <c r="E98" s="226">
        <v>2.7549414880085412E-2</v>
      </c>
      <c r="F98" s="226">
        <v>5.7102032828745049E-4</v>
      </c>
      <c r="G98" s="227">
        <v>5.253413249088878E-4</v>
      </c>
      <c r="H98" s="226">
        <v>2.0000005732018797E-3</v>
      </c>
      <c r="I98" s="255">
        <v>3.2988328187126079E-3</v>
      </c>
      <c r="J98" s="256">
        <v>7.9360417818369352E-6</v>
      </c>
      <c r="K98" s="257">
        <v>8.2948743755477608E-6</v>
      </c>
      <c r="L98" s="228">
        <v>3.0287534852772094E-2</v>
      </c>
    </row>
    <row r="99" spans="1:12" s="212" customFormat="1" ht="15.5" x14ac:dyDescent="0.35">
      <c r="A99" s="198" t="s">
        <v>790</v>
      </c>
      <c r="B99" s="197">
        <v>2043</v>
      </c>
      <c r="C99" s="213" t="s">
        <v>3364</v>
      </c>
      <c r="D99" s="239">
        <v>3.6683415208475906E-3</v>
      </c>
      <c r="E99" s="226">
        <v>2.6814275792267903E-2</v>
      </c>
      <c r="F99" s="226">
        <v>5.5598756166048817E-4</v>
      </c>
      <c r="G99" s="227">
        <v>5.1150907187631149E-4</v>
      </c>
      <c r="H99" s="226">
        <v>2.0000005732018797E-3</v>
      </c>
      <c r="I99" s="255">
        <v>3.2986352529028153E-3</v>
      </c>
      <c r="J99" s="256">
        <v>7.6747925631912846E-6</v>
      </c>
      <c r="K99" s="257">
        <v>8.0218126265111851E-6</v>
      </c>
      <c r="L99" s="228">
        <v>3.0203962527964114E-2</v>
      </c>
    </row>
    <row r="100" spans="1:12" s="212" customFormat="1" ht="15.5" x14ac:dyDescent="0.35">
      <c r="A100" s="198" t="s">
        <v>790</v>
      </c>
      <c r="B100" s="197">
        <v>2044</v>
      </c>
      <c r="C100" s="213" t="s">
        <v>3365</v>
      </c>
      <c r="D100" s="239">
        <v>3.5616418527241512E-3</v>
      </c>
      <c r="E100" s="226">
        <v>2.6009294119524125E-2</v>
      </c>
      <c r="F100" s="226">
        <v>5.4288217346745141E-4</v>
      </c>
      <c r="G100" s="227">
        <v>4.9945095563039158E-4</v>
      </c>
      <c r="H100" s="226">
        <v>2.0000005732018805E-3</v>
      </c>
      <c r="I100" s="255">
        <v>3.298355261042035E-3</v>
      </c>
      <c r="J100" s="256">
        <v>7.4644497947933726E-6</v>
      </c>
      <c r="K100" s="257">
        <v>7.8019590915085323E-6</v>
      </c>
      <c r="L100" s="228">
        <v>3.0131149686060944E-2</v>
      </c>
    </row>
    <row r="101" spans="1:12" s="212" customFormat="1" ht="15.5" x14ac:dyDescent="0.35">
      <c r="A101" s="198" t="s">
        <v>790</v>
      </c>
      <c r="B101" s="197">
        <v>2045</v>
      </c>
      <c r="C101" s="213" t="s">
        <v>3366</v>
      </c>
      <c r="D101" s="239">
        <v>3.4883986628355228E-3</v>
      </c>
      <c r="E101" s="226">
        <v>2.5338584475404193E-2</v>
      </c>
      <c r="F101" s="226">
        <v>5.3179110445142482E-4</v>
      </c>
      <c r="G101" s="227">
        <v>4.8924643525053715E-4</v>
      </c>
      <c r="H101" s="226">
        <v>2.0000005732018797E-3</v>
      </c>
      <c r="I101" s="255">
        <v>3.2981780441006625E-3</v>
      </c>
      <c r="J101" s="256">
        <v>7.2927011235392919E-6</v>
      </c>
      <c r="K101" s="257">
        <v>7.6224447074637824E-6</v>
      </c>
      <c r="L101" s="228">
        <v>3.0076782719255107E-2</v>
      </c>
    </row>
    <row r="102" spans="1:12" s="212" customFormat="1" ht="15.5" x14ac:dyDescent="0.35">
      <c r="A102" s="198" t="s">
        <v>790</v>
      </c>
      <c r="B102" s="197">
        <v>2046</v>
      </c>
      <c r="C102" s="213" t="s">
        <v>3367</v>
      </c>
      <c r="D102" s="239">
        <v>3.4210821721100309E-3</v>
      </c>
      <c r="E102" s="226">
        <v>2.4714939654396521E-2</v>
      </c>
      <c r="F102" s="226">
        <v>5.2248639664889869E-4</v>
      </c>
      <c r="G102" s="227">
        <v>4.8068590331295445E-4</v>
      </c>
      <c r="H102" s="226">
        <v>2.0000005732018801E-3</v>
      </c>
      <c r="I102" s="255">
        <v>3.2980373680578834E-3</v>
      </c>
      <c r="J102" s="256">
        <v>7.1593286265548918E-6</v>
      </c>
      <c r="K102" s="257">
        <v>7.4830416979974331E-6</v>
      </c>
      <c r="L102" s="228">
        <v>3.0031480787718539E-2</v>
      </c>
    </row>
    <row r="103" spans="1:12" s="212" customFormat="1" ht="15.5" x14ac:dyDescent="0.35">
      <c r="A103" s="198" t="s">
        <v>790</v>
      </c>
      <c r="B103" s="197">
        <v>2047</v>
      </c>
      <c r="C103" s="213" t="s">
        <v>3368</v>
      </c>
      <c r="D103" s="239">
        <v>3.3590020634059687E-3</v>
      </c>
      <c r="E103" s="226">
        <v>2.4131079354365974E-2</v>
      </c>
      <c r="F103" s="226">
        <v>5.145613534156692E-4</v>
      </c>
      <c r="G103" s="227">
        <v>4.7339443445348152E-4</v>
      </c>
      <c r="H103" s="226">
        <v>2.0000005732018801E-3</v>
      </c>
      <c r="I103" s="255">
        <v>3.2979095140688247E-3</v>
      </c>
      <c r="J103" s="256">
        <v>7.0391079798221678E-6</v>
      </c>
      <c r="K103" s="257">
        <v>7.3573852070906896E-6</v>
      </c>
      <c r="L103" s="228">
        <v>2.9993837613756496E-2</v>
      </c>
    </row>
    <row r="104" spans="1:12" s="212" customFormat="1" ht="15.5" x14ac:dyDescent="0.35">
      <c r="A104" s="198" t="s">
        <v>790</v>
      </c>
      <c r="B104" s="197">
        <v>2048</v>
      </c>
      <c r="C104" s="213" t="s">
        <v>3369</v>
      </c>
      <c r="D104" s="239">
        <v>3.3110145255653527E-3</v>
      </c>
      <c r="E104" s="226">
        <v>2.3688079299036938E-2</v>
      </c>
      <c r="F104" s="226">
        <v>5.0800563491332478E-4</v>
      </c>
      <c r="G104" s="227">
        <v>4.6736263339278194E-4</v>
      </c>
      <c r="H104" s="226">
        <v>2.0000005732018805E-3</v>
      </c>
      <c r="I104" s="255">
        <v>3.2978561302521802E-3</v>
      </c>
      <c r="J104" s="256">
        <v>6.9349091055019608E-6</v>
      </c>
      <c r="K104" s="257">
        <v>7.248474922049374E-6</v>
      </c>
      <c r="L104" s="228">
        <v>2.9963216883274829E-2</v>
      </c>
    </row>
    <row r="105" spans="1:12" s="212" customFormat="1" ht="15.5" x14ac:dyDescent="0.35">
      <c r="A105" s="198" t="s">
        <v>790</v>
      </c>
      <c r="B105" s="197">
        <v>2049</v>
      </c>
      <c r="C105" s="213" t="s">
        <v>3370</v>
      </c>
      <c r="D105" s="239">
        <v>3.3011440908309393E-3</v>
      </c>
      <c r="E105" s="226">
        <v>2.3644793360205058E-2</v>
      </c>
      <c r="F105" s="226">
        <v>5.0405836282341025E-4</v>
      </c>
      <c r="G105" s="227">
        <v>4.6373036537846531E-4</v>
      </c>
      <c r="H105" s="226">
        <v>2.0000005732018805E-3</v>
      </c>
      <c r="I105" s="255">
        <v>3.2977777609876436E-3</v>
      </c>
      <c r="J105" s="256">
        <v>6.8605554409658634E-6</v>
      </c>
      <c r="K105" s="257">
        <v>7.1707593147424502E-6</v>
      </c>
      <c r="L105" s="228">
        <v>2.9940969589854927E-2</v>
      </c>
    </row>
    <row r="106" spans="1:12" s="212" customFormat="1" ht="15.5" x14ac:dyDescent="0.35">
      <c r="A106" s="198" t="s">
        <v>790</v>
      </c>
      <c r="B106" s="197">
        <v>2050</v>
      </c>
      <c r="C106" s="213" t="s">
        <v>3371</v>
      </c>
      <c r="D106" s="239">
        <v>3.2940053960162758E-3</v>
      </c>
      <c r="E106" s="226">
        <v>2.361320908304352E-2</v>
      </c>
      <c r="F106" s="226">
        <v>5.0073416690147644E-4</v>
      </c>
      <c r="G106" s="227">
        <v>4.6066745858269477E-4</v>
      </c>
      <c r="H106" s="226">
        <v>2.0000005732018801E-3</v>
      </c>
      <c r="I106" s="255">
        <v>3.2978147866137191E-3</v>
      </c>
      <c r="J106" s="256">
        <v>6.6954918704287724E-6</v>
      </c>
      <c r="K106" s="257">
        <v>6.9982323020044137E-6</v>
      </c>
      <c r="L106" s="228">
        <v>2.9925474991227514E-2</v>
      </c>
    </row>
    <row r="107" spans="1:12" s="212" customFormat="1" ht="15.5" x14ac:dyDescent="0.35">
      <c r="A107" s="198" t="s">
        <v>792</v>
      </c>
      <c r="B107" s="197">
        <v>2015</v>
      </c>
      <c r="C107" s="213" t="s">
        <v>863</v>
      </c>
      <c r="D107" s="239">
        <v>8.4053399337374768E-2</v>
      </c>
      <c r="E107" s="226">
        <v>0.37953604010532499</v>
      </c>
      <c r="F107" s="226">
        <v>2.6873495845998185E-3</v>
      </c>
      <c r="G107" s="227">
        <v>2.488377288976005E-3</v>
      </c>
      <c r="H107" s="226">
        <v>2.0000005732018805E-3</v>
      </c>
      <c r="I107" s="255">
        <v>2.7784776684122198E-3</v>
      </c>
      <c r="J107" s="256">
        <v>2.3322609737408642E-4</v>
      </c>
      <c r="K107" s="257">
        <v>2.4377154657186293E-4</v>
      </c>
      <c r="L107" s="228">
        <v>4.548793738580266E-2</v>
      </c>
    </row>
    <row r="108" spans="1:12" s="212" customFormat="1" ht="15.5" x14ac:dyDescent="0.35">
      <c r="A108" s="198" t="s">
        <v>792</v>
      </c>
      <c r="B108" s="197">
        <v>2016</v>
      </c>
      <c r="C108" s="213" t="s">
        <v>864</v>
      </c>
      <c r="D108" s="239">
        <v>7.5697521765075992E-2</v>
      </c>
      <c r="E108" s="226">
        <v>0.35770750648209626</v>
      </c>
      <c r="F108" s="226">
        <v>2.5756775788383815E-3</v>
      </c>
      <c r="G108" s="227">
        <v>2.3839194061280981E-3</v>
      </c>
      <c r="H108" s="226">
        <v>2.0000005732018801E-3</v>
      </c>
      <c r="I108" s="255">
        <v>2.7819227985206897E-3</v>
      </c>
      <c r="J108" s="256">
        <v>2.4059339519306129E-4</v>
      </c>
      <c r="K108" s="257">
        <v>2.5147196090631244E-4</v>
      </c>
      <c r="L108" s="228">
        <v>4.4675785668300973E-2</v>
      </c>
    </row>
    <row r="109" spans="1:12" s="212" customFormat="1" ht="15.5" x14ac:dyDescent="0.35">
      <c r="A109" s="198" t="s">
        <v>792</v>
      </c>
      <c r="B109" s="197">
        <v>2017</v>
      </c>
      <c r="C109" s="213" t="s">
        <v>3372</v>
      </c>
      <c r="D109" s="239">
        <v>6.1275453232777256E-2</v>
      </c>
      <c r="E109" s="226">
        <v>0.30612378734651963</v>
      </c>
      <c r="F109" s="226">
        <v>2.3440797002061658E-3</v>
      </c>
      <c r="G109" s="227">
        <v>2.1685635217704264E-3</v>
      </c>
      <c r="H109" s="226">
        <v>2.0000005732018797E-3</v>
      </c>
      <c r="I109" s="255">
        <v>2.7772208058568378E-3</v>
      </c>
      <c r="J109" s="256">
        <v>2.3973535899686035E-4</v>
      </c>
      <c r="K109" s="257">
        <v>2.5057512812079854E-4</v>
      </c>
      <c r="L109" s="228">
        <v>4.436666637233861E-2</v>
      </c>
    </row>
    <row r="110" spans="1:12" s="212" customFormat="1" ht="15.5" x14ac:dyDescent="0.35">
      <c r="A110" s="198" t="s">
        <v>792</v>
      </c>
      <c r="B110" s="197">
        <v>2018</v>
      </c>
      <c r="C110" s="213" t="s">
        <v>3373</v>
      </c>
      <c r="D110" s="239">
        <v>5.1237528017235245E-2</v>
      </c>
      <c r="E110" s="226">
        <v>0.27046939341077825</v>
      </c>
      <c r="F110" s="226">
        <v>2.1814344678922205E-3</v>
      </c>
      <c r="G110" s="227">
        <v>2.016205078024367E-3</v>
      </c>
      <c r="H110" s="226">
        <v>2.0000005732018797E-3</v>
      </c>
      <c r="I110" s="255">
        <v>2.776696173845431E-3</v>
      </c>
      <c r="J110" s="256">
        <v>2.0929977580605709E-4</v>
      </c>
      <c r="K110" s="257">
        <v>2.1876338291400705E-4</v>
      </c>
      <c r="L110" s="228">
        <v>4.385029942197198E-2</v>
      </c>
    </row>
    <row r="111" spans="1:12" s="212" customFormat="1" ht="15.5" x14ac:dyDescent="0.35">
      <c r="A111" s="198" t="s">
        <v>792</v>
      </c>
      <c r="B111" s="197">
        <v>2019</v>
      </c>
      <c r="C111" s="213" t="s">
        <v>3374</v>
      </c>
      <c r="D111" s="239">
        <v>4.26862463262669E-2</v>
      </c>
      <c r="E111" s="226">
        <v>0.23348670778857572</v>
      </c>
      <c r="F111" s="226">
        <v>2.0229964963639599E-3</v>
      </c>
      <c r="G111" s="227">
        <v>1.8676897124377562E-3</v>
      </c>
      <c r="H111" s="226">
        <v>2.0000005732018805E-3</v>
      </c>
      <c r="I111" s="255">
        <v>2.7763534522696229E-3</v>
      </c>
      <c r="J111" s="256">
        <v>1.6560420840998816E-4</v>
      </c>
      <c r="K111" s="257">
        <v>1.7309209585649664E-4</v>
      </c>
      <c r="L111" s="228">
        <v>4.313825914410431E-2</v>
      </c>
    </row>
    <row r="112" spans="1:12" s="212" customFormat="1" ht="15.5" x14ac:dyDescent="0.35">
      <c r="A112" s="198" t="s">
        <v>792</v>
      </c>
      <c r="B112" s="197">
        <v>2020</v>
      </c>
      <c r="C112" s="213" t="s">
        <v>3375</v>
      </c>
      <c r="D112" s="239">
        <v>3.754962311082604E-2</v>
      </c>
      <c r="E112" s="226">
        <v>0.21232657869249738</v>
      </c>
      <c r="F112" s="226">
        <v>1.9362407953403555E-3</v>
      </c>
      <c r="G112" s="227">
        <v>1.7871620043715633E-3</v>
      </c>
      <c r="H112" s="226">
        <v>2.0000005732018801E-3</v>
      </c>
      <c r="I112" s="255">
        <v>2.7816562399155891E-3</v>
      </c>
      <c r="J112" s="256">
        <v>1.5747489089655694E-4</v>
      </c>
      <c r="K112" s="257">
        <v>1.6459520667842003E-4</v>
      </c>
      <c r="L112" s="228">
        <v>4.2791365990908846E-2</v>
      </c>
    </row>
    <row r="113" spans="1:12" s="212" customFormat="1" ht="15.5" x14ac:dyDescent="0.35">
      <c r="A113" s="198" t="s">
        <v>792</v>
      </c>
      <c r="B113" s="197">
        <v>2021</v>
      </c>
      <c r="C113" s="213" t="s">
        <v>3376</v>
      </c>
      <c r="D113" s="239">
        <v>3.35826044624132E-2</v>
      </c>
      <c r="E113" s="226">
        <v>0.1919507420075641</v>
      </c>
      <c r="F113" s="226">
        <v>1.8344909598037341E-3</v>
      </c>
      <c r="G113" s="227">
        <v>1.6930575382687416E-3</v>
      </c>
      <c r="H113" s="226">
        <v>2.0000005732018801E-3</v>
      </c>
      <c r="I113" s="255">
        <v>2.7844099827554094E-3</v>
      </c>
      <c r="J113" s="256">
        <v>1.4840948635201352E-4</v>
      </c>
      <c r="K113" s="257">
        <v>1.5511990476750937E-4</v>
      </c>
      <c r="L113" s="228">
        <v>4.1889092926838713E-2</v>
      </c>
    </row>
    <row r="114" spans="1:12" s="212" customFormat="1" ht="15.5" x14ac:dyDescent="0.35">
      <c r="A114" s="198" t="s">
        <v>792</v>
      </c>
      <c r="B114" s="197">
        <v>2022</v>
      </c>
      <c r="C114" s="213" t="s">
        <v>3377</v>
      </c>
      <c r="D114" s="239">
        <v>2.9216424162525925E-2</v>
      </c>
      <c r="E114" s="226">
        <v>0.17132774313944971</v>
      </c>
      <c r="F114" s="226">
        <v>1.7197902211961279E-3</v>
      </c>
      <c r="G114" s="227">
        <v>1.5867399120311164E-3</v>
      </c>
      <c r="H114" s="226">
        <v>2.0000005732018797E-3</v>
      </c>
      <c r="I114" s="255">
        <v>2.7836471349559763E-3</v>
      </c>
      <c r="J114" s="256">
        <v>1.3462259532586316E-4</v>
      </c>
      <c r="K114" s="257">
        <v>1.4070963170757938E-4</v>
      </c>
      <c r="L114" s="228">
        <v>4.1099066753073163E-2</v>
      </c>
    </row>
    <row r="115" spans="1:12" s="212" customFormat="1" ht="15.5" x14ac:dyDescent="0.35">
      <c r="A115" s="198" t="s">
        <v>792</v>
      </c>
      <c r="B115" s="197">
        <v>2023</v>
      </c>
      <c r="C115" s="213" t="s">
        <v>3378</v>
      </c>
      <c r="D115" s="239">
        <v>2.5947789643187214E-2</v>
      </c>
      <c r="E115" s="226">
        <v>0.15343084352370495</v>
      </c>
      <c r="F115" s="226">
        <v>1.6108271084513941E-3</v>
      </c>
      <c r="G115" s="227">
        <v>1.4858067600623673E-3</v>
      </c>
      <c r="H115" s="226">
        <v>2.0000005732018801E-3</v>
      </c>
      <c r="I115" s="255">
        <v>2.7815442587685408E-3</v>
      </c>
      <c r="J115" s="256">
        <v>1.177239986435874E-4</v>
      </c>
      <c r="K115" s="257">
        <v>1.2304695546974315E-4</v>
      </c>
      <c r="L115" s="228">
        <v>4.0266362170343468E-2</v>
      </c>
    </row>
    <row r="116" spans="1:12" s="212" customFormat="1" ht="15.5" x14ac:dyDescent="0.35">
      <c r="A116" s="198" t="s">
        <v>792</v>
      </c>
      <c r="B116" s="197">
        <v>2024</v>
      </c>
      <c r="C116" s="213" t="s">
        <v>3379</v>
      </c>
      <c r="D116" s="239">
        <v>2.2924075695512951E-2</v>
      </c>
      <c r="E116" s="226">
        <v>0.13698710429333244</v>
      </c>
      <c r="F116" s="226">
        <v>1.4981926668324668E-3</v>
      </c>
      <c r="G116" s="227">
        <v>1.3812570779399441E-3</v>
      </c>
      <c r="H116" s="226">
        <v>2.0000005732018801E-3</v>
      </c>
      <c r="I116" s="255">
        <v>2.7787988863909306E-3</v>
      </c>
      <c r="J116" s="256">
        <v>9.4761933398020641E-5</v>
      </c>
      <c r="K116" s="257">
        <v>9.904664752642766E-5</v>
      </c>
      <c r="L116" s="228">
        <v>3.9396710892907735E-2</v>
      </c>
    </row>
    <row r="117" spans="1:12" s="212" customFormat="1" ht="15.5" x14ac:dyDescent="0.35">
      <c r="A117" s="198" t="s">
        <v>792</v>
      </c>
      <c r="B117" s="197">
        <v>2025</v>
      </c>
      <c r="C117" s="213" t="s">
        <v>3380</v>
      </c>
      <c r="D117" s="239">
        <v>2.0480472164285099E-2</v>
      </c>
      <c r="E117" s="226">
        <v>0.12316730547419019</v>
      </c>
      <c r="F117" s="226">
        <v>1.4180040559140989E-3</v>
      </c>
      <c r="G117" s="227">
        <v>1.307209658806652E-3</v>
      </c>
      <c r="H117" s="226">
        <v>2.0000005732018797E-3</v>
      </c>
      <c r="I117" s="255">
        <v>2.7756776605674044E-3</v>
      </c>
      <c r="J117" s="256">
        <v>8.7375681556119101E-5</v>
      </c>
      <c r="K117" s="257">
        <v>9.1326422152242335E-5</v>
      </c>
      <c r="L117" s="228">
        <v>3.8509361919706414E-2</v>
      </c>
    </row>
    <row r="118" spans="1:12" s="212" customFormat="1" ht="15.5" x14ac:dyDescent="0.35">
      <c r="A118" s="198" t="s">
        <v>792</v>
      </c>
      <c r="B118" s="197">
        <v>2026</v>
      </c>
      <c r="C118" s="213" t="s">
        <v>3381</v>
      </c>
      <c r="D118" s="239">
        <v>1.8345200303897937E-2</v>
      </c>
      <c r="E118" s="226">
        <v>0.1110828905861381</v>
      </c>
      <c r="F118" s="226">
        <v>1.3447496237341101E-3</v>
      </c>
      <c r="G118" s="227">
        <v>1.2394411141231239E-3</v>
      </c>
      <c r="H118" s="226">
        <v>2.0000005732018801E-3</v>
      </c>
      <c r="I118" s="255">
        <v>2.7722141718841934E-3</v>
      </c>
      <c r="J118" s="256">
        <v>7.6801151559234698E-5</v>
      </c>
      <c r="K118" s="257">
        <v>8.0273758832680484E-5</v>
      </c>
      <c r="L118" s="228">
        <v>3.7632039218392428E-2</v>
      </c>
    </row>
    <row r="119" spans="1:12" s="212" customFormat="1" ht="15.5" x14ac:dyDescent="0.35">
      <c r="A119" s="198" t="s">
        <v>792</v>
      </c>
      <c r="B119" s="197">
        <v>2027</v>
      </c>
      <c r="C119" s="213" t="s">
        <v>3382</v>
      </c>
      <c r="D119" s="239">
        <v>1.6464279956453293E-2</v>
      </c>
      <c r="E119" s="226">
        <v>0.1002691719551029</v>
      </c>
      <c r="F119" s="226">
        <v>1.2660876646679877E-3</v>
      </c>
      <c r="G119" s="227">
        <v>1.1666022699916498E-3</v>
      </c>
      <c r="H119" s="226">
        <v>2.0000005732018801E-3</v>
      </c>
      <c r="I119" s="255">
        <v>2.7682615926910635E-3</v>
      </c>
      <c r="J119" s="256">
        <v>6.3686196150761554E-5</v>
      </c>
      <c r="K119" s="257">
        <v>6.6565803337389039E-5</v>
      </c>
      <c r="L119" s="228">
        <v>3.678427628760117E-2</v>
      </c>
    </row>
    <row r="120" spans="1:12" s="212" customFormat="1" ht="15.5" x14ac:dyDescent="0.35">
      <c r="A120" s="198" t="s">
        <v>792</v>
      </c>
      <c r="B120" s="197">
        <v>2028</v>
      </c>
      <c r="C120" s="213" t="s">
        <v>3383</v>
      </c>
      <c r="D120" s="239">
        <v>1.480844442822628E-2</v>
      </c>
      <c r="E120" s="226">
        <v>9.0511512215271789E-2</v>
      </c>
      <c r="F120" s="226">
        <v>1.1837061680226133E-3</v>
      </c>
      <c r="G120" s="227">
        <v>1.0903890732429698E-3</v>
      </c>
      <c r="H120" s="226">
        <v>2.0000005732018797E-3</v>
      </c>
      <c r="I120" s="255">
        <v>2.7642913825420405E-3</v>
      </c>
      <c r="J120" s="256">
        <v>5.1714503947350558E-5</v>
      </c>
      <c r="K120" s="257">
        <v>5.4052804336137113E-5</v>
      </c>
      <c r="L120" s="228">
        <v>3.5984876111574408E-2</v>
      </c>
    </row>
    <row r="121" spans="1:12" s="212" customFormat="1" ht="15.5" x14ac:dyDescent="0.35">
      <c r="A121" s="198" t="s">
        <v>792</v>
      </c>
      <c r="B121" s="197">
        <v>2029</v>
      </c>
      <c r="C121" s="213" t="s">
        <v>3384</v>
      </c>
      <c r="D121" s="239">
        <v>1.3299920078964696E-2</v>
      </c>
      <c r="E121" s="226">
        <v>8.1663012859984535E-2</v>
      </c>
      <c r="F121" s="226">
        <v>1.1068532994416595E-3</v>
      </c>
      <c r="G121" s="227">
        <v>1.0194690149000331E-3</v>
      </c>
      <c r="H121" s="226">
        <v>2.0000005732018801E-3</v>
      </c>
      <c r="I121" s="255">
        <v>2.7602693749546898E-3</v>
      </c>
      <c r="J121" s="256">
        <v>4.5126628865028453E-5</v>
      </c>
      <c r="K121" s="257">
        <v>4.7167054775855182E-5</v>
      </c>
      <c r="L121" s="228">
        <v>3.5234470015097399E-2</v>
      </c>
    </row>
    <row r="122" spans="1:12" s="212" customFormat="1" ht="15.5" x14ac:dyDescent="0.35">
      <c r="A122" s="198" t="s">
        <v>792</v>
      </c>
      <c r="B122" s="197">
        <v>2030</v>
      </c>
      <c r="C122" s="213" t="s">
        <v>3385</v>
      </c>
      <c r="D122" s="239">
        <v>1.2019227533627427E-2</v>
      </c>
      <c r="E122" s="226">
        <v>7.3999726985470804E-2</v>
      </c>
      <c r="F122" s="226">
        <v>1.0311350705667535E-3</v>
      </c>
      <c r="G122" s="227">
        <v>9.4953101499016469E-4</v>
      </c>
      <c r="H122" s="226">
        <v>2.0000005732018797E-3</v>
      </c>
      <c r="I122" s="255">
        <v>2.7563911834173837E-3</v>
      </c>
      <c r="J122" s="256">
        <v>3.6968004738360402E-5</v>
      </c>
      <c r="K122" s="257">
        <v>3.86395338695375E-5</v>
      </c>
      <c r="L122" s="228">
        <v>3.4540271287749794E-2</v>
      </c>
    </row>
    <row r="123" spans="1:12" s="212" customFormat="1" ht="15.5" x14ac:dyDescent="0.35">
      <c r="A123" s="198" t="s">
        <v>792</v>
      </c>
      <c r="B123" s="197">
        <v>2031</v>
      </c>
      <c r="C123" s="213" t="s">
        <v>3386</v>
      </c>
      <c r="D123" s="239">
        <v>1.0902535529148622E-2</v>
      </c>
      <c r="E123" s="226">
        <v>6.7274051511112709E-2</v>
      </c>
      <c r="F123" s="226">
        <v>9.6442151554273874E-4</v>
      </c>
      <c r="G123" s="227">
        <v>8.8805510694640953E-4</v>
      </c>
      <c r="H123" s="226">
        <v>2.0000005732018797E-3</v>
      </c>
      <c r="I123" s="255">
        <v>2.7526227993810485E-3</v>
      </c>
      <c r="J123" s="256">
        <v>3.3496577374107935E-5</v>
      </c>
      <c r="K123" s="257">
        <v>3.5011143964104331E-5</v>
      </c>
      <c r="L123" s="228">
        <v>3.3904853681531837E-2</v>
      </c>
    </row>
    <row r="124" spans="1:12" s="212" customFormat="1" ht="15.5" x14ac:dyDescent="0.35">
      <c r="A124" s="198" t="s">
        <v>792</v>
      </c>
      <c r="B124" s="197">
        <v>2032</v>
      </c>
      <c r="C124" s="213" t="s">
        <v>3387</v>
      </c>
      <c r="D124" s="239">
        <v>9.9264423134881666E-3</v>
      </c>
      <c r="E124" s="226">
        <v>6.1507826967725832E-2</v>
      </c>
      <c r="F124" s="226">
        <v>9.0260127767509012E-4</v>
      </c>
      <c r="G124" s="227">
        <v>8.3109245634390469E-4</v>
      </c>
      <c r="H124" s="226">
        <v>2.0000005732018797E-3</v>
      </c>
      <c r="I124" s="255">
        <v>2.7490057753891736E-3</v>
      </c>
      <c r="J124" s="256">
        <v>3.0385311903722984E-5</v>
      </c>
      <c r="K124" s="257">
        <v>3.1759200875184717E-5</v>
      </c>
      <c r="L124" s="228">
        <v>3.3324739972858307E-2</v>
      </c>
    </row>
    <row r="125" spans="1:12" s="212" customFormat="1" ht="15.5" x14ac:dyDescent="0.35">
      <c r="A125" s="198" t="s">
        <v>792</v>
      </c>
      <c r="B125" s="197">
        <v>2033</v>
      </c>
      <c r="C125" s="213" t="s">
        <v>3388</v>
      </c>
      <c r="D125" s="239">
        <v>9.001366331774294E-3</v>
      </c>
      <c r="E125" s="226">
        <v>5.614143311675307E-2</v>
      </c>
      <c r="F125" s="226">
        <v>8.415730468004334E-4</v>
      </c>
      <c r="G125" s="227">
        <v>7.7486181185708108E-4</v>
      </c>
      <c r="H125" s="226">
        <v>2.0000005732018801E-3</v>
      </c>
      <c r="I125" s="255">
        <v>2.745499139949674E-3</v>
      </c>
      <c r="J125" s="256">
        <v>2.737118816310008E-5</v>
      </c>
      <c r="K125" s="257">
        <v>2.8608791833986819E-5</v>
      </c>
      <c r="L125" s="228">
        <v>3.2792250970552134E-2</v>
      </c>
    </row>
    <row r="126" spans="1:12" s="212" customFormat="1" ht="15.5" x14ac:dyDescent="0.35">
      <c r="A126" s="198" t="s">
        <v>792</v>
      </c>
      <c r="B126" s="197">
        <v>2034</v>
      </c>
      <c r="C126" s="213" t="s">
        <v>3389</v>
      </c>
      <c r="D126" s="239">
        <v>8.1636965256705381E-3</v>
      </c>
      <c r="E126" s="226">
        <v>5.1465929384979341E-2</v>
      </c>
      <c r="F126" s="226">
        <v>7.8491851898103405E-4</v>
      </c>
      <c r="G126" s="227">
        <v>7.2266384749079587E-4</v>
      </c>
      <c r="H126" s="226">
        <v>2.0000005732018801E-3</v>
      </c>
      <c r="I126" s="255">
        <v>2.7421901894831595E-3</v>
      </c>
      <c r="J126" s="256">
        <v>2.4645072109455009E-5</v>
      </c>
      <c r="K126" s="257">
        <v>2.575941290935677E-5</v>
      </c>
      <c r="L126" s="228">
        <v>3.2309582633899402E-2</v>
      </c>
    </row>
    <row r="127" spans="1:12" s="212" customFormat="1" ht="15.5" x14ac:dyDescent="0.35">
      <c r="A127" s="198" t="s">
        <v>792</v>
      </c>
      <c r="B127" s="197">
        <v>2035</v>
      </c>
      <c r="C127" s="213" t="s">
        <v>3390</v>
      </c>
      <c r="D127" s="239">
        <v>7.4059761491588735E-3</v>
      </c>
      <c r="E127" s="226">
        <v>4.7391340510312359E-2</v>
      </c>
      <c r="F127" s="226">
        <v>7.3198443281435768E-4</v>
      </c>
      <c r="G127" s="227">
        <v>6.7390112090628463E-4</v>
      </c>
      <c r="H127" s="226">
        <v>2.0000005732018801E-3</v>
      </c>
      <c r="I127" s="255">
        <v>2.7391877917912364E-3</v>
      </c>
      <c r="J127" s="256">
        <v>2.228928332103019E-5</v>
      </c>
      <c r="K127" s="257">
        <v>2.3297105805577316E-5</v>
      </c>
      <c r="L127" s="228">
        <v>3.1875607745735834E-2</v>
      </c>
    </row>
    <row r="128" spans="1:12" s="212" customFormat="1" ht="15.5" x14ac:dyDescent="0.35">
      <c r="A128" s="198" t="s">
        <v>792</v>
      </c>
      <c r="B128" s="197">
        <v>2036</v>
      </c>
      <c r="C128" s="213" t="s">
        <v>3391</v>
      </c>
      <c r="D128" s="239">
        <v>6.746008121391393E-3</v>
      </c>
      <c r="E128" s="226">
        <v>4.386725884475768E-2</v>
      </c>
      <c r="F128" s="226">
        <v>6.8934935678340102E-4</v>
      </c>
      <c r="G128" s="227">
        <v>6.3461431813555623E-4</v>
      </c>
      <c r="H128" s="226">
        <v>2.0000005732018801E-3</v>
      </c>
      <c r="I128" s="255">
        <v>2.7364725671263348E-3</v>
      </c>
      <c r="J128" s="256">
        <v>2.0096833590157854E-5</v>
      </c>
      <c r="K128" s="257">
        <v>2.1005523226726499E-5</v>
      </c>
      <c r="L128" s="228">
        <v>3.1489858772069938E-2</v>
      </c>
    </row>
    <row r="129" spans="1:12" s="212" customFormat="1" ht="15.5" x14ac:dyDescent="0.35">
      <c r="A129" s="198" t="s">
        <v>792</v>
      </c>
      <c r="B129" s="197">
        <v>2037</v>
      </c>
      <c r="C129" s="213" t="s">
        <v>3392</v>
      </c>
      <c r="D129" s="239">
        <v>6.1619992581108066E-3</v>
      </c>
      <c r="E129" s="226">
        <v>4.0745557713141284E-2</v>
      </c>
      <c r="F129" s="226">
        <v>6.5093031233965889E-4</v>
      </c>
      <c r="G129" s="227">
        <v>5.9921664561543824E-4</v>
      </c>
      <c r="H129" s="226">
        <v>2.0000005732018801E-3</v>
      </c>
      <c r="I129" s="255">
        <v>2.7340639331557459E-3</v>
      </c>
      <c r="J129" s="256">
        <v>1.8228919265511079E-5</v>
      </c>
      <c r="K129" s="257">
        <v>1.9053150105066247E-5</v>
      </c>
      <c r="L129" s="228">
        <v>3.1147377232487648E-2</v>
      </c>
    </row>
    <row r="130" spans="1:12" s="212" customFormat="1" ht="15.5" x14ac:dyDescent="0.35">
      <c r="A130" s="198" t="s">
        <v>792</v>
      </c>
      <c r="B130" s="197">
        <v>2038</v>
      </c>
      <c r="C130" s="213" t="s">
        <v>3393</v>
      </c>
      <c r="D130" s="239">
        <v>5.6226785106523796E-3</v>
      </c>
      <c r="E130" s="226">
        <v>3.7829488938769987E-2</v>
      </c>
      <c r="F130" s="226">
        <v>6.1559147466626134E-4</v>
      </c>
      <c r="G130" s="227">
        <v>5.6666175327846368E-4</v>
      </c>
      <c r="H130" s="226">
        <v>2.0000005732018805E-3</v>
      </c>
      <c r="I130" s="255">
        <v>2.7318550493543384E-3</v>
      </c>
      <c r="J130" s="256">
        <v>1.6634181844205929E-5</v>
      </c>
      <c r="K130" s="257">
        <v>1.7386305734112183E-5</v>
      </c>
      <c r="L130" s="228">
        <v>3.0847063219862643E-2</v>
      </c>
    </row>
    <row r="131" spans="1:12" s="212" customFormat="1" ht="15.5" x14ac:dyDescent="0.35">
      <c r="A131" s="198" t="s">
        <v>792</v>
      </c>
      <c r="B131" s="197">
        <v>2039</v>
      </c>
      <c r="C131" s="213" t="s">
        <v>3394</v>
      </c>
      <c r="D131" s="239">
        <v>5.0874270123647475E-3</v>
      </c>
      <c r="E131" s="226">
        <v>3.5045441669844253E-2</v>
      </c>
      <c r="F131" s="226">
        <v>5.8267030911119376E-4</v>
      </c>
      <c r="G131" s="227">
        <v>5.3633296862485691E-4</v>
      </c>
      <c r="H131" s="226">
        <v>2.0000005732018801E-3</v>
      </c>
      <c r="I131" s="255">
        <v>2.729825163190141E-3</v>
      </c>
      <c r="J131" s="256">
        <v>1.5120224235386094E-5</v>
      </c>
      <c r="K131" s="257">
        <v>1.5803893680308912E-5</v>
      </c>
      <c r="L131" s="228">
        <v>3.0578285862369468E-2</v>
      </c>
    </row>
    <row r="132" spans="1:12" s="212" customFormat="1" ht="15.5" x14ac:dyDescent="0.35">
      <c r="A132" s="198" t="s">
        <v>792</v>
      </c>
      <c r="B132" s="197">
        <v>2040</v>
      </c>
      <c r="C132" s="213" t="s">
        <v>3395</v>
      </c>
      <c r="D132" s="239">
        <v>4.6245772109689189E-3</v>
      </c>
      <c r="E132" s="226">
        <v>3.2745739682160185E-2</v>
      </c>
      <c r="F132" s="226">
        <v>5.5354838440297902E-4</v>
      </c>
      <c r="G132" s="227">
        <v>5.0950995911749181E-4</v>
      </c>
      <c r="H132" s="226">
        <v>2.0000005732018805E-3</v>
      </c>
      <c r="I132" s="255">
        <v>2.7280734940538513E-3</v>
      </c>
      <c r="J132" s="256">
        <v>1.3927429501644405E-5</v>
      </c>
      <c r="K132" s="257">
        <v>1.4557166061655666E-5</v>
      </c>
      <c r="L132" s="228">
        <v>3.0342895907861989E-2</v>
      </c>
    </row>
    <row r="133" spans="1:12" s="212" customFormat="1" ht="15.5" x14ac:dyDescent="0.35">
      <c r="A133" s="198" t="s">
        <v>792</v>
      </c>
      <c r="B133" s="197">
        <v>2041</v>
      </c>
      <c r="C133" s="213" t="s">
        <v>3396</v>
      </c>
      <c r="D133" s="239">
        <v>4.2132958223437701E-3</v>
      </c>
      <c r="E133" s="226">
        <v>3.0658460797261877E-2</v>
      </c>
      <c r="F133" s="226">
        <v>5.3295645226509518E-4</v>
      </c>
      <c r="G133" s="227">
        <v>4.9053434013966648E-4</v>
      </c>
      <c r="H133" s="226">
        <v>2.0000005732018801E-3</v>
      </c>
      <c r="I133" s="255">
        <v>2.7265070106417214E-3</v>
      </c>
      <c r="J133" s="256">
        <v>1.2846978298878232E-5</v>
      </c>
      <c r="K133" s="257">
        <v>1.34278616499316E-5</v>
      </c>
      <c r="L133" s="228">
        <v>3.0136531338572154E-2</v>
      </c>
    </row>
    <row r="134" spans="1:12" s="212" customFormat="1" ht="15.5" x14ac:dyDescent="0.35">
      <c r="A134" s="198" t="s">
        <v>792</v>
      </c>
      <c r="B134" s="197">
        <v>2042</v>
      </c>
      <c r="C134" s="213" t="s">
        <v>3397</v>
      </c>
      <c r="D134" s="239">
        <v>3.8525235415056785E-3</v>
      </c>
      <c r="E134" s="226">
        <v>2.8678394348639804E-2</v>
      </c>
      <c r="F134" s="226">
        <v>5.1411599229941982E-4</v>
      </c>
      <c r="G134" s="227">
        <v>4.7316972434893387E-4</v>
      </c>
      <c r="H134" s="226">
        <v>2.0000005732018801E-3</v>
      </c>
      <c r="I134" s="255">
        <v>2.7249849214561216E-3</v>
      </c>
      <c r="J134" s="256">
        <v>1.178164857907607E-5</v>
      </c>
      <c r="K134" s="257">
        <v>1.2314362447530613E-5</v>
      </c>
      <c r="L134" s="228">
        <v>2.9950415469009825E-2</v>
      </c>
    </row>
    <row r="135" spans="1:12" s="212" customFormat="1" ht="15.5" x14ac:dyDescent="0.35">
      <c r="A135" s="198" t="s">
        <v>792</v>
      </c>
      <c r="B135" s="197">
        <v>2043</v>
      </c>
      <c r="C135" s="213" t="s">
        <v>3398</v>
      </c>
      <c r="D135" s="239">
        <v>3.5822912691122043E-3</v>
      </c>
      <c r="E135" s="226">
        <v>2.698860091009378E-2</v>
      </c>
      <c r="F135" s="226">
        <v>4.9694324632910546E-4</v>
      </c>
      <c r="G135" s="227">
        <v>4.5733479153274066E-4</v>
      </c>
      <c r="H135" s="226">
        <v>2.0000005732018801E-3</v>
      </c>
      <c r="I135" s="255">
        <v>2.7235353325151591E-3</v>
      </c>
      <c r="J135" s="256">
        <v>1.0620882252790872E-5</v>
      </c>
      <c r="K135" s="257">
        <v>1.1101111418795091E-5</v>
      </c>
      <c r="L135" s="228">
        <v>2.9785230448275021E-2</v>
      </c>
    </row>
    <row r="136" spans="1:12" s="212" customFormat="1" ht="15.5" x14ac:dyDescent="0.35">
      <c r="A136" s="198" t="s">
        <v>792</v>
      </c>
      <c r="B136" s="197">
        <v>2044</v>
      </c>
      <c r="C136" s="213" t="s">
        <v>3399</v>
      </c>
      <c r="D136" s="239">
        <v>3.3821686121478455E-3</v>
      </c>
      <c r="E136" s="226">
        <v>2.5491661235785307E-2</v>
      </c>
      <c r="F136" s="226">
        <v>4.8180156558965493E-4</v>
      </c>
      <c r="G136" s="227">
        <v>4.4338626841548465E-4</v>
      </c>
      <c r="H136" s="226">
        <v>2.0000005732018801E-3</v>
      </c>
      <c r="I136" s="255">
        <v>2.7222510817636767E-3</v>
      </c>
      <c r="J136" s="256">
        <v>9.9457113252000741E-6</v>
      </c>
      <c r="K136" s="257">
        <v>1.0395412257885249E-5</v>
      </c>
      <c r="L136" s="228">
        <v>2.9638311188397597E-2</v>
      </c>
    </row>
    <row r="137" spans="1:12" s="212" customFormat="1" ht="15.5" x14ac:dyDescent="0.35">
      <c r="A137" s="198" t="s">
        <v>792</v>
      </c>
      <c r="B137" s="197">
        <v>2045</v>
      </c>
      <c r="C137" s="213" t="s">
        <v>3400</v>
      </c>
      <c r="D137" s="239">
        <v>3.2472104033599764E-3</v>
      </c>
      <c r="E137" s="226">
        <v>2.4140819074243376E-2</v>
      </c>
      <c r="F137" s="226">
        <v>4.6809079189534389E-4</v>
      </c>
      <c r="G137" s="227">
        <v>4.3075794438534806E-4</v>
      </c>
      <c r="H137" s="226">
        <v>2.0000005732018797E-3</v>
      </c>
      <c r="I137" s="255">
        <v>2.7210644531018573E-3</v>
      </c>
      <c r="J137" s="256">
        <v>9.3868787884020565E-6</v>
      </c>
      <c r="K137" s="257">
        <v>9.8113117935558852E-6</v>
      </c>
      <c r="L137" s="228">
        <v>2.9502103811793409E-2</v>
      </c>
    </row>
    <row r="138" spans="1:12" s="212" customFormat="1" ht="15.5" x14ac:dyDescent="0.35">
      <c r="A138" s="198" t="s">
        <v>792</v>
      </c>
      <c r="B138" s="197">
        <v>2046</v>
      </c>
      <c r="C138" s="213" t="s">
        <v>3401</v>
      </c>
      <c r="D138" s="239">
        <v>3.1277847762525976E-3</v>
      </c>
      <c r="E138" s="226">
        <v>2.2928210776684856E-2</v>
      </c>
      <c r="F138" s="226">
        <v>4.5594432752613226E-4</v>
      </c>
      <c r="G138" s="227">
        <v>4.1956941283266048E-4</v>
      </c>
      <c r="H138" s="226">
        <v>2.0000005732018797E-3</v>
      </c>
      <c r="I138" s="255">
        <v>2.7200081314964039E-3</v>
      </c>
      <c r="J138" s="256">
        <v>8.8657179094399397E-6</v>
      </c>
      <c r="K138" s="257">
        <v>9.2665863322642339E-6</v>
      </c>
      <c r="L138" s="228">
        <v>2.9381041976071227E-2</v>
      </c>
    </row>
    <row r="139" spans="1:12" s="212" customFormat="1" ht="15.5" x14ac:dyDescent="0.35">
      <c r="A139" s="198" t="s">
        <v>792</v>
      </c>
      <c r="B139" s="197">
        <v>2047</v>
      </c>
      <c r="C139" s="213" t="s">
        <v>3402</v>
      </c>
      <c r="D139" s="239">
        <v>3.0297043906738559E-3</v>
      </c>
      <c r="E139" s="226">
        <v>2.1944750643499343E-2</v>
      </c>
      <c r="F139" s="226">
        <v>4.4549754300172859E-4</v>
      </c>
      <c r="G139" s="227">
        <v>4.0994521397667654E-4</v>
      </c>
      <c r="H139" s="226">
        <v>2.0000005732018805E-3</v>
      </c>
      <c r="I139" s="255">
        <v>2.7190987720068327E-3</v>
      </c>
      <c r="J139" s="256">
        <v>8.384077198842611E-6</v>
      </c>
      <c r="K139" s="257">
        <v>8.76316796598272E-6</v>
      </c>
      <c r="L139" s="228">
        <v>2.9276113960424212E-2</v>
      </c>
    </row>
    <row r="140" spans="1:12" s="212" customFormat="1" ht="15.5" x14ac:dyDescent="0.35">
      <c r="A140" s="198" t="s">
        <v>792</v>
      </c>
      <c r="B140" s="197">
        <v>2048</v>
      </c>
      <c r="C140" s="213" t="s">
        <v>3403</v>
      </c>
      <c r="D140" s="239">
        <v>2.9461669134246307E-3</v>
      </c>
      <c r="E140" s="226">
        <v>2.1087610099789461E-2</v>
      </c>
      <c r="F140" s="226">
        <v>4.3598994147642928E-4</v>
      </c>
      <c r="G140" s="227">
        <v>4.0116889980609593E-4</v>
      </c>
      <c r="H140" s="226">
        <v>2.0000005732018797E-3</v>
      </c>
      <c r="I140" s="255">
        <v>2.7182931700173284E-3</v>
      </c>
      <c r="J140" s="256">
        <v>7.5005304264529581E-6</v>
      </c>
      <c r="K140" s="257">
        <v>7.8396711292263343E-6</v>
      </c>
      <c r="L140" s="228">
        <v>2.9182874861691663E-2</v>
      </c>
    </row>
    <row r="141" spans="1:12" s="212" customFormat="1" ht="15.5" x14ac:dyDescent="0.35">
      <c r="A141" s="198" t="s">
        <v>792</v>
      </c>
      <c r="B141" s="197">
        <v>2049</v>
      </c>
      <c r="C141" s="213" t="s">
        <v>3404</v>
      </c>
      <c r="D141" s="239">
        <v>2.9296941289582942E-3</v>
      </c>
      <c r="E141" s="226">
        <v>2.1010472524772901E-2</v>
      </c>
      <c r="F141" s="226">
        <v>4.3126261332358524E-4</v>
      </c>
      <c r="G141" s="227">
        <v>3.9681108908359359E-4</v>
      </c>
      <c r="H141" s="226">
        <v>2.0000005732018801E-3</v>
      </c>
      <c r="I141" s="255">
        <v>2.7175035809133322E-3</v>
      </c>
      <c r="J141" s="256">
        <v>7.2128980195918098E-6</v>
      </c>
      <c r="K141" s="257">
        <v>7.5390332612768218E-6</v>
      </c>
      <c r="L141" s="228">
        <v>2.9100015747971809E-2</v>
      </c>
    </row>
    <row r="142" spans="1:12" s="212" customFormat="1" ht="15.5" x14ac:dyDescent="0.35">
      <c r="A142" s="198" t="s">
        <v>792</v>
      </c>
      <c r="B142" s="197">
        <v>2050</v>
      </c>
      <c r="C142" s="213" t="s">
        <v>3405</v>
      </c>
      <c r="D142" s="239">
        <v>2.9157066082378521E-3</v>
      </c>
      <c r="E142" s="226">
        <v>2.0944230069640895E-2</v>
      </c>
      <c r="F142" s="226">
        <v>4.2721995697290083E-4</v>
      </c>
      <c r="G142" s="227">
        <v>3.9308300791160748E-4</v>
      </c>
      <c r="H142" s="226">
        <v>2.0000005732018801E-3</v>
      </c>
      <c r="I142" s="255">
        <v>2.7167416126898294E-3</v>
      </c>
      <c r="J142" s="256">
        <v>6.9303756454550941E-6</v>
      </c>
      <c r="K142" s="257">
        <v>7.2437364790561241E-6</v>
      </c>
      <c r="L142" s="228">
        <v>2.9026618180636423E-2</v>
      </c>
    </row>
    <row r="143" spans="1:12" s="212" customFormat="1" ht="15.5" x14ac:dyDescent="0.35">
      <c r="A143" s="198" t="s">
        <v>794</v>
      </c>
      <c r="B143" s="197">
        <v>2015</v>
      </c>
      <c r="C143" s="213" t="s">
        <v>865</v>
      </c>
      <c r="D143" s="239">
        <v>8.2604027086907381E-2</v>
      </c>
      <c r="E143" s="226">
        <v>0.33960407601914844</v>
      </c>
      <c r="F143" s="226">
        <v>2.7039060916753906E-3</v>
      </c>
      <c r="G143" s="227">
        <v>2.5043364573675017E-3</v>
      </c>
      <c r="H143" s="226">
        <v>2.0000005732027796E-3</v>
      </c>
      <c r="I143" s="255">
        <v>3.111481887216605E-3</v>
      </c>
      <c r="J143" s="256">
        <v>2.7349194278400055E-4</v>
      </c>
      <c r="K143" s="257">
        <v>2.8585803483417065E-4</v>
      </c>
      <c r="L143" s="228">
        <v>4.7501905493266293E-2</v>
      </c>
    </row>
    <row r="144" spans="1:12" s="212" customFormat="1" ht="15.5" x14ac:dyDescent="0.35">
      <c r="A144" s="198" t="s">
        <v>794</v>
      </c>
      <c r="B144" s="197">
        <v>2016</v>
      </c>
      <c r="C144" s="213" t="s">
        <v>866</v>
      </c>
      <c r="D144" s="239">
        <v>7.2182676036993784E-2</v>
      </c>
      <c r="E144" s="226">
        <v>0.30806790446471261</v>
      </c>
      <c r="F144" s="226">
        <v>2.5415719797451486E-3</v>
      </c>
      <c r="G144" s="227">
        <v>2.3527922907025135E-3</v>
      </c>
      <c r="H144" s="226">
        <v>2.0000005732027796E-3</v>
      </c>
      <c r="I144" s="255">
        <v>3.1084512763373423E-3</v>
      </c>
      <c r="J144" s="256">
        <v>2.6318409633189577E-4</v>
      </c>
      <c r="K144" s="257">
        <v>2.7508411330589248E-4</v>
      </c>
      <c r="L144" s="228">
        <v>4.6511219481032429E-2</v>
      </c>
    </row>
    <row r="145" spans="1:12" s="212" customFormat="1" ht="15.5" x14ac:dyDescent="0.35">
      <c r="A145" s="198" t="s">
        <v>794</v>
      </c>
      <c r="B145" s="197">
        <v>2017</v>
      </c>
      <c r="C145" s="213" t="s">
        <v>3406</v>
      </c>
      <c r="D145" s="239">
        <v>5.7283212077127783E-2</v>
      </c>
      <c r="E145" s="226">
        <v>0.25762391467079909</v>
      </c>
      <c r="F145" s="226">
        <v>2.2833494676143514E-3</v>
      </c>
      <c r="G145" s="227">
        <v>2.1116690211473057E-3</v>
      </c>
      <c r="H145" s="226">
        <v>2.00000057320278E-3</v>
      </c>
      <c r="I145" s="255">
        <v>3.1059412848199789E-3</v>
      </c>
      <c r="J145" s="256">
        <v>2.2236199066964137E-4</v>
      </c>
      <c r="K145" s="257">
        <v>2.3241621317100287E-4</v>
      </c>
      <c r="L145" s="228">
        <v>4.6160455788846734E-2</v>
      </c>
    </row>
    <row r="146" spans="1:12" s="212" customFormat="1" ht="15.5" x14ac:dyDescent="0.35">
      <c r="A146" s="198" t="s">
        <v>794</v>
      </c>
      <c r="B146" s="197">
        <v>2018</v>
      </c>
      <c r="C146" s="213" t="s">
        <v>3407</v>
      </c>
      <c r="D146" s="239">
        <v>4.6976695347370478E-2</v>
      </c>
      <c r="E146" s="226">
        <v>0.2222947303436929</v>
      </c>
      <c r="F146" s="226">
        <v>2.140912638301832E-3</v>
      </c>
      <c r="G146" s="227">
        <v>1.9782768362357392E-3</v>
      </c>
      <c r="H146" s="226">
        <v>2.00000057320278E-3</v>
      </c>
      <c r="I146" s="255">
        <v>3.1042954413756842E-3</v>
      </c>
      <c r="J146" s="256">
        <v>1.9871704312669197E-4</v>
      </c>
      <c r="K146" s="257">
        <v>2.0770214602306157E-4</v>
      </c>
      <c r="L146" s="228">
        <v>4.5542867164934421E-2</v>
      </c>
    </row>
    <row r="147" spans="1:12" s="212" customFormat="1" ht="15.5" x14ac:dyDescent="0.35">
      <c r="A147" s="198" t="s">
        <v>794</v>
      </c>
      <c r="B147" s="197">
        <v>2019</v>
      </c>
      <c r="C147" s="213" t="s">
        <v>3408</v>
      </c>
      <c r="D147" s="239">
        <v>3.5806755101531279E-2</v>
      </c>
      <c r="E147" s="226">
        <v>0.17599255055192148</v>
      </c>
      <c r="F147" s="226">
        <v>1.9797750748071297E-3</v>
      </c>
      <c r="G147" s="227">
        <v>1.8273602970096611E-3</v>
      </c>
      <c r="H147" s="226">
        <v>2.0000005732027804E-3</v>
      </c>
      <c r="I147" s="255">
        <v>3.0983526275820553E-3</v>
      </c>
      <c r="J147" s="256">
        <v>1.5923865337927424E-4</v>
      </c>
      <c r="K147" s="257">
        <v>1.6643871867402587E-4</v>
      </c>
      <c r="L147" s="228">
        <v>4.4629925517701445E-2</v>
      </c>
    </row>
    <row r="148" spans="1:12" s="212" customFormat="1" ht="15.5" x14ac:dyDescent="0.35">
      <c r="A148" s="198" t="s">
        <v>794</v>
      </c>
      <c r="B148" s="197">
        <v>2020</v>
      </c>
      <c r="C148" s="213" t="s">
        <v>3409</v>
      </c>
      <c r="D148" s="239">
        <v>3.0805501935869391E-2</v>
      </c>
      <c r="E148" s="226">
        <v>0.15578079663044825</v>
      </c>
      <c r="F148" s="226">
        <v>1.9079167929465135E-3</v>
      </c>
      <c r="G148" s="227">
        <v>1.7604754119749898E-3</v>
      </c>
      <c r="H148" s="226">
        <v>2.0000005732027804E-3</v>
      </c>
      <c r="I148" s="255">
        <v>3.1007647394704907E-3</v>
      </c>
      <c r="J148" s="256">
        <v>1.4716577940110796E-4</v>
      </c>
      <c r="K148" s="257">
        <v>1.5381996290715177E-4</v>
      </c>
      <c r="L148" s="228">
        <v>4.4211689449601042E-2</v>
      </c>
    </row>
    <row r="149" spans="1:12" s="212" customFormat="1" ht="15.5" x14ac:dyDescent="0.35">
      <c r="A149" s="198" t="s">
        <v>794</v>
      </c>
      <c r="B149" s="197">
        <v>2021</v>
      </c>
      <c r="C149" s="213" t="s">
        <v>3410</v>
      </c>
      <c r="D149" s="239">
        <v>2.6845947079936715E-2</v>
      </c>
      <c r="E149" s="226">
        <v>0.1371504845850775</v>
      </c>
      <c r="F149" s="226">
        <v>1.8139676475039453E-3</v>
      </c>
      <c r="G149" s="227">
        <v>1.6734124097539554E-3</v>
      </c>
      <c r="H149" s="226">
        <v>2.0000005732005595E-3</v>
      </c>
      <c r="I149" s="255">
        <v>3.0415955850343272E-3</v>
      </c>
      <c r="J149" s="256">
        <v>1.3322466502789439E-4</v>
      </c>
      <c r="K149" s="257">
        <v>1.3924849320476039E-4</v>
      </c>
      <c r="L149" s="228">
        <v>4.323556369150125E-2</v>
      </c>
    </row>
    <row r="150" spans="1:12" s="212" customFormat="1" ht="15.5" x14ac:dyDescent="0.35">
      <c r="A150" s="198" t="s">
        <v>794</v>
      </c>
      <c r="B150" s="197">
        <v>2022</v>
      </c>
      <c r="C150" s="213" t="s">
        <v>3411</v>
      </c>
      <c r="D150" s="239">
        <v>2.2676052911192568E-2</v>
      </c>
      <c r="E150" s="226">
        <v>0.11904508143181142</v>
      </c>
      <c r="F150" s="226">
        <v>1.7152175734759956E-3</v>
      </c>
      <c r="G150" s="227">
        <v>1.5818155045217983E-3</v>
      </c>
      <c r="H150" s="226">
        <v>2.0000005732005595E-3</v>
      </c>
      <c r="I150" s="255">
        <v>3.0369489863027164E-3</v>
      </c>
      <c r="J150" s="256">
        <v>1.1933907525434226E-4</v>
      </c>
      <c r="K150" s="257">
        <v>1.2473505867804016E-4</v>
      </c>
      <c r="L150" s="228">
        <v>4.2304311139677954E-2</v>
      </c>
    </row>
    <row r="151" spans="1:12" s="212" customFormat="1" ht="15.5" x14ac:dyDescent="0.35">
      <c r="A151" s="198" t="s">
        <v>794</v>
      </c>
      <c r="B151" s="197">
        <v>2023</v>
      </c>
      <c r="C151" s="213" t="s">
        <v>3412</v>
      </c>
      <c r="D151" s="239">
        <v>1.9725277350355078E-2</v>
      </c>
      <c r="E151" s="226">
        <v>0.1039539580018357</v>
      </c>
      <c r="F151" s="226">
        <v>1.6258496684719327E-3</v>
      </c>
      <c r="G151" s="227">
        <v>1.4991042416241901E-3</v>
      </c>
      <c r="H151" s="226">
        <v>2.00000057320056E-3</v>
      </c>
      <c r="I151" s="255">
        <v>3.0316815189547772E-3</v>
      </c>
      <c r="J151" s="256">
        <v>1.0644166118325172E-4</v>
      </c>
      <c r="K151" s="257">
        <v>1.1125448077408222E-4</v>
      </c>
      <c r="L151" s="228">
        <v>4.1332694413401587E-2</v>
      </c>
    </row>
    <row r="152" spans="1:12" s="212" customFormat="1" ht="15.5" x14ac:dyDescent="0.35">
      <c r="A152" s="198" t="s">
        <v>794</v>
      </c>
      <c r="B152" s="197">
        <v>2024</v>
      </c>
      <c r="C152" s="213" t="s">
        <v>3413</v>
      </c>
      <c r="D152" s="239">
        <v>1.7168766901177548E-2</v>
      </c>
      <c r="E152" s="226">
        <v>9.0980593313798222E-2</v>
      </c>
      <c r="F152" s="226">
        <v>1.5433477632668421E-3</v>
      </c>
      <c r="G152" s="227">
        <v>1.4226996385449842E-3</v>
      </c>
      <c r="H152" s="226">
        <v>2.0000005732005595E-3</v>
      </c>
      <c r="I152" s="255">
        <v>3.0265184567591741E-3</v>
      </c>
      <c r="J152" s="256">
        <v>9.3388681540054679E-5</v>
      </c>
      <c r="K152" s="257">
        <v>9.7611303313159268E-5</v>
      </c>
      <c r="L152" s="228">
        <v>4.0342332487053052E-2</v>
      </c>
    </row>
    <row r="153" spans="1:12" s="212" customFormat="1" ht="15.5" x14ac:dyDescent="0.35">
      <c r="A153" s="198" t="s">
        <v>794</v>
      </c>
      <c r="B153" s="197">
        <v>2025</v>
      </c>
      <c r="C153" s="213" t="s">
        <v>3414</v>
      </c>
      <c r="D153" s="239">
        <v>1.5113352397888441E-2</v>
      </c>
      <c r="E153" s="226">
        <v>8.0334070389208492E-2</v>
      </c>
      <c r="F153" s="226">
        <v>1.4756445461898921E-3</v>
      </c>
      <c r="G153" s="227">
        <v>1.3600307789798777E-3</v>
      </c>
      <c r="H153" s="226">
        <v>2.0000005732005604E-3</v>
      </c>
      <c r="I153" s="255">
        <v>3.0216906716787773E-3</v>
      </c>
      <c r="J153" s="256">
        <v>8.2862238158922441E-5</v>
      </c>
      <c r="K153" s="257">
        <v>8.660890087273273E-5</v>
      </c>
      <c r="L153" s="228">
        <v>3.9345015109815334E-2</v>
      </c>
    </row>
    <row r="154" spans="1:12" s="212" customFormat="1" ht="15.5" x14ac:dyDescent="0.35">
      <c r="A154" s="198" t="s">
        <v>794</v>
      </c>
      <c r="B154" s="197">
        <v>2026</v>
      </c>
      <c r="C154" s="213" t="s">
        <v>3415</v>
      </c>
      <c r="D154" s="239">
        <v>1.3367080694722163E-2</v>
      </c>
      <c r="E154" s="226">
        <v>7.1361306192677804E-2</v>
      </c>
      <c r="F154" s="226">
        <v>1.4039749501298911E-3</v>
      </c>
      <c r="G154" s="227">
        <v>1.2936030398912463E-3</v>
      </c>
      <c r="H154" s="226">
        <v>2.00000057320056E-3</v>
      </c>
      <c r="I154" s="255">
        <v>3.0170891404908973E-3</v>
      </c>
      <c r="J154" s="256">
        <v>6.9282415092196596E-5</v>
      </c>
      <c r="K154" s="257">
        <v>7.2415058466502043E-5</v>
      </c>
      <c r="L154" s="228">
        <v>3.8380914845737267E-2</v>
      </c>
    </row>
    <row r="155" spans="1:12" s="212" customFormat="1" ht="15.5" x14ac:dyDescent="0.35">
      <c r="A155" s="198" t="s">
        <v>794</v>
      </c>
      <c r="B155" s="197">
        <v>2027</v>
      </c>
      <c r="C155" s="213" t="s">
        <v>3416</v>
      </c>
      <c r="D155" s="239">
        <v>1.1894317928846187E-2</v>
      </c>
      <c r="E155" s="226">
        <v>6.3739256338096767E-2</v>
      </c>
      <c r="F155" s="226">
        <v>1.3227855764503305E-3</v>
      </c>
      <c r="G155" s="227">
        <v>1.2183140861745099E-3</v>
      </c>
      <c r="H155" s="226">
        <v>2.0000005732005595E-3</v>
      </c>
      <c r="I155" s="255">
        <v>3.0125778592535505E-3</v>
      </c>
      <c r="J155" s="256">
        <v>5.2911301912337492E-5</v>
      </c>
      <c r="K155" s="257">
        <v>5.5303716194388445E-5</v>
      </c>
      <c r="L155" s="228">
        <v>3.7474448103761902E-2</v>
      </c>
    </row>
    <row r="156" spans="1:12" s="212" customFormat="1" ht="15.5" x14ac:dyDescent="0.35">
      <c r="A156" s="198" t="s">
        <v>794</v>
      </c>
      <c r="B156" s="197">
        <v>2028</v>
      </c>
      <c r="C156" s="213" t="s">
        <v>3417</v>
      </c>
      <c r="D156" s="239">
        <v>1.0670879480134973E-2</v>
      </c>
      <c r="E156" s="226">
        <v>5.7343727237388169E-2</v>
      </c>
      <c r="F156" s="226">
        <v>1.239067045056344E-3</v>
      </c>
      <c r="G156" s="227">
        <v>1.1408588207487817E-3</v>
      </c>
      <c r="H156" s="226">
        <v>2.0000005732005595E-3</v>
      </c>
      <c r="I156" s="255">
        <v>3.008500525080479E-3</v>
      </c>
      <c r="J156" s="256">
        <v>4.0613284192332365E-5</v>
      </c>
      <c r="K156" s="257">
        <v>4.2449636684730124E-5</v>
      </c>
      <c r="L156" s="228">
        <v>3.664128224132876E-2</v>
      </c>
    </row>
    <row r="157" spans="1:12" s="212" customFormat="1" ht="15.5" x14ac:dyDescent="0.35">
      <c r="A157" s="198" t="s">
        <v>794</v>
      </c>
      <c r="B157" s="197">
        <v>2029</v>
      </c>
      <c r="C157" s="213" t="s">
        <v>3418</v>
      </c>
      <c r="D157" s="239">
        <v>9.621585629371425E-3</v>
      </c>
      <c r="E157" s="226">
        <v>5.1926430693407986E-2</v>
      </c>
      <c r="F157" s="226">
        <v>1.161459763640733E-3</v>
      </c>
      <c r="G157" s="227">
        <v>1.0692340853321646E-3</v>
      </c>
      <c r="H157" s="226">
        <v>2.00000057320056E-3</v>
      </c>
      <c r="I157" s="255">
        <v>3.0047987537420899E-3</v>
      </c>
      <c r="J157" s="256">
        <v>3.3742516214805029E-5</v>
      </c>
      <c r="K157" s="257">
        <v>3.5268203067840323E-5</v>
      </c>
      <c r="L157" s="228">
        <v>3.5880026902418087E-2</v>
      </c>
    </row>
    <row r="158" spans="1:12" s="212" customFormat="1" ht="15.5" x14ac:dyDescent="0.35">
      <c r="A158" s="198" t="s">
        <v>794</v>
      </c>
      <c r="B158" s="197">
        <v>2030</v>
      </c>
      <c r="C158" s="213" t="s">
        <v>3419</v>
      </c>
      <c r="D158" s="239">
        <v>8.7526907932300568E-3</v>
      </c>
      <c r="E158" s="226">
        <v>4.7384121981151744E-2</v>
      </c>
      <c r="F158" s="226">
        <v>1.0871793677884954E-3</v>
      </c>
      <c r="G158" s="227">
        <v>1.0006871966474417E-3</v>
      </c>
      <c r="H158" s="226">
        <v>2.0000005732005604E-3</v>
      </c>
      <c r="I158" s="255">
        <v>3.0014741808253396E-3</v>
      </c>
      <c r="J158" s="256">
        <v>2.735678077993134E-5</v>
      </c>
      <c r="K158" s="257">
        <v>2.8593733012883016E-5</v>
      </c>
      <c r="L158" s="228">
        <v>3.519046508333689E-2</v>
      </c>
    </row>
    <row r="159" spans="1:12" s="212" customFormat="1" ht="15.5" x14ac:dyDescent="0.35">
      <c r="A159" s="198" t="s">
        <v>794</v>
      </c>
      <c r="B159" s="197">
        <v>2031</v>
      </c>
      <c r="C159" s="213" t="s">
        <v>3420</v>
      </c>
      <c r="D159" s="239">
        <v>7.9884905246809523E-3</v>
      </c>
      <c r="E159" s="226">
        <v>4.3429779424527463E-2</v>
      </c>
      <c r="F159" s="226">
        <v>1.0183105566381157E-3</v>
      </c>
      <c r="G159" s="227">
        <v>9.3723858702182781E-4</v>
      </c>
      <c r="H159" s="226">
        <v>2.0000005732008132E-3</v>
      </c>
      <c r="I159" s="255">
        <v>2.9752533800903986E-3</v>
      </c>
      <c r="J159" s="256">
        <v>2.411574890339196E-5</v>
      </c>
      <c r="K159" s="257">
        <v>2.5206156056752457E-5</v>
      </c>
      <c r="L159" s="228">
        <v>3.4590063194121487E-2</v>
      </c>
    </row>
    <row r="160" spans="1:12" s="212" customFormat="1" ht="15.5" x14ac:dyDescent="0.35">
      <c r="A160" s="198" t="s">
        <v>794</v>
      </c>
      <c r="B160" s="197">
        <v>2032</v>
      </c>
      <c r="C160" s="213" t="s">
        <v>3421</v>
      </c>
      <c r="D160" s="239">
        <v>7.3442990304363092E-3</v>
      </c>
      <c r="E160" s="226">
        <v>4.0168004497147768E-2</v>
      </c>
      <c r="F160" s="226">
        <v>9.5398776441045431E-4</v>
      </c>
      <c r="G160" s="227">
        <v>8.7796257029782267E-4</v>
      </c>
      <c r="H160" s="226">
        <v>2.0000005732008119E-3</v>
      </c>
      <c r="I160" s="255">
        <v>2.9724818005423983E-3</v>
      </c>
      <c r="J160" s="256">
        <v>2.0687264424258843E-5</v>
      </c>
      <c r="K160" s="257">
        <v>2.1622650723147513E-5</v>
      </c>
      <c r="L160" s="228">
        <v>3.4032116427440508E-2</v>
      </c>
    </row>
    <row r="161" spans="1:12" s="212" customFormat="1" ht="15.5" x14ac:dyDescent="0.35">
      <c r="A161" s="198" t="s">
        <v>794</v>
      </c>
      <c r="B161" s="197">
        <v>2033</v>
      </c>
      <c r="C161" s="213" t="s">
        <v>3422</v>
      </c>
      <c r="D161" s="239">
        <v>6.7787184650490466E-3</v>
      </c>
      <c r="E161" s="226">
        <v>3.7353362266768851E-2</v>
      </c>
      <c r="F161" s="226">
        <v>8.946800213894009E-4</v>
      </c>
      <c r="G161" s="227">
        <v>8.2334799538676476E-4</v>
      </c>
      <c r="H161" s="226">
        <v>2.0000005732008132E-3</v>
      </c>
      <c r="I161" s="255">
        <v>2.9699126866120067E-3</v>
      </c>
      <c r="J161" s="256">
        <v>1.8549475013285137E-5</v>
      </c>
      <c r="K161" s="257">
        <v>1.9388199961309614E-5</v>
      </c>
      <c r="L161" s="228">
        <v>3.3532605293897483E-2</v>
      </c>
    </row>
    <row r="162" spans="1:12" s="212" customFormat="1" ht="15.5" x14ac:dyDescent="0.35">
      <c r="A162" s="198" t="s">
        <v>794</v>
      </c>
      <c r="B162" s="197">
        <v>2034</v>
      </c>
      <c r="C162" s="213" t="s">
        <v>3423</v>
      </c>
      <c r="D162" s="239">
        <v>6.256156315085042E-3</v>
      </c>
      <c r="E162" s="226">
        <v>3.4867014781210272E-2</v>
      </c>
      <c r="F162" s="226">
        <v>8.3845876235502203E-4</v>
      </c>
      <c r="G162" s="227">
        <v>7.7157524686435235E-4</v>
      </c>
      <c r="H162" s="226">
        <v>2.0000005732008102E-3</v>
      </c>
      <c r="I162" s="255">
        <v>2.9675789848918632E-3</v>
      </c>
      <c r="J162" s="256">
        <v>1.6512250404472155E-5</v>
      </c>
      <c r="K162" s="257">
        <v>1.7258861095736416E-5</v>
      </c>
      <c r="L162" s="228">
        <v>3.3087903136983565E-2</v>
      </c>
    </row>
    <row r="163" spans="1:12" s="212" customFormat="1" ht="15.5" x14ac:dyDescent="0.35">
      <c r="A163" s="198" t="s">
        <v>794</v>
      </c>
      <c r="B163" s="197">
        <v>2035</v>
      </c>
      <c r="C163" s="213" t="s">
        <v>3424</v>
      </c>
      <c r="D163" s="239">
        <v>5.7977385291726026E-3</v>
      </c>
      <c r="E163" s="226">
        <v>3.2759727490219395E-2</v>
      </c>
      <c r="F163" s="226">
        <v>7.8681519483365513E-4</v>
      </c>
      <c r="G163" s="227">
        <v>7.24021943210356E-4</v>
      </c>
      <c r="H163" s="226">
        <v>2.0000005732008158E-3</v>
      </c>
      <c r="I163" s="255">
        <v>2.9654753842135425E-3</v>
      </c>
      <c r="J163" s="256">
        <v>1.4742626638619672E-5</v>
      </c>
      <c r="K163" s="257">
        <v>1.5409222795781238E-5</v>
      </c>
      <c r="L163" s="228">
        <v>3.2695505346623528E-2</v>
      </c>
    </row>
    <row r="164" spans="1:12" s="212" customFormat="1" ht="15.5" x14ac:dyDescent="0.35">
      <c r="A164" s="198" t="s">
        <v>794</v>
      </c>
      <c r="B164" s="197">
        <v>2036</v>
      </c>
      <c r="C164" s="213" t="s">
        <v>3425</v>
      </c>
      <c r="D164" s="239">
        <v>5.4047122639843976E-3</v>
      </c>
      <c r="E164" s="226">
        <v>3.0983497852037328E-2</v>
      </c>
      <c r="F164" s="226">
        <v>7.4273220289120239E-4</v>
      </c>
      <c r="G164" s="227">
        <v>6.8342738105310803E-4</v>
      </c>
      <c r="H164" s="226">
        <v>2.0000005732026599E-3</v>
      </c>
      <c r="I164" s="255">
        <v>2.9564272508211774E-3</v>
      </c>
      <c r="J164" s="256">
        <v>1.3154491896088916E-5</v>
      </c>
      <c r="K164" s="257">
        <v>1.3749279647436782E-5</v>
      </c>
      <c r="L164" s="228">
        <v>3.2360163371452019E-2</v>
      </c>
    </row>
    <row r="165" spans="1:12" s="212" customFormat="1" ht="15.5" x14ac:dyDescent="0.35">
      <c r="A165" s="198" t="s">
        <v>794</v>
      </c>
      <c r="B165" s="197">
        <v>2037</v>
      </c>
      <c r="C165" s="213" t="s">
        <v>3426</v>
      </c>
      <c r="D165" s="239">
        <v>5.0686787782198246E-3</v>
      </c>
      <c r="E165" s="226">
        <v>2.9482893364118204E-2</v>
      </c>
      <c r="F165" s="226">
        <v>7.0323440923080024E-4</v>
      </c>
      <c r="G165" s="227">
        <v>6.4705624919357855E-4</v>
      </c>
      <c r="H165" s="226">
        <v>2.0000005732026594E-3</v>
      </c>
      <c r="I165" s="255">
        <v>2.9548059453091144E-3</v>
      </c>
      <c r="J165" s="256">
        <v>1.1759097813361086E-5</v>
      </c>
      <c r="K165" s="257">
        <v>1.2290792036257553E-5</v>
      </c>
      <c r="L165" s="228">
        <v>3.2063469922804864E-2</v>
      </c>
    </row>
    <row r="166" spans="1:12" s="212" customFormat="1" ht="15.5" x14ac:dyDescent="0.35">
      <c r="A166" s="198" t="s">
        <v>794</v>
      </c>
      <c r="B166" s="197">
        <v>2038</v>
      </c>
      <c r="C166" s="213" t="s">
        <v>3427</v>
      </c>
      <c r="D166" s="239">
        <v>4.7767602431404354E-3</v>
      </c>
      <c r="E166" s="226">
        <v>2.8180725708647783E-2</v>
      </c>
      <c r="F166" s="226">
        <v>6.6821743817659942E-4</v>
      </c>
      <c r="G166" s="227">
        <v>6.1482043780163747E-4</v>
      </c>
      <c r="H166" s="226">
        <v>2.0000005732026603E-3</v>
      </c>
      <c r="I166" s="255">
        <v>2.9533854612185115E-3</v>
      </c>
      <c r="J166" s="256">
        <v>1.0758168509261042E-5</v>
      </c>
      <c r="K166" s="257">
        <v>1.1244605150584092E-5</v>
      </c>
      <c r="L166" s="228">
        <v>3.180972216596293E-2</v>
      </c>
    </row>
    <row r="167" spans="1:12" s="212" customFormat="1" ht="15.5" x14ac:dyDescent="0.35">
      <c r="A167" s="198" t="s">
        <v>794</v>
      </c>
      <c r="B167" s="197">
        <v>2039</v>
      </c>
      <c r="C167" s="213" t="s">
        <v>3428</v>
      </c>
      <c r="D167" s="239">
        <v>4.4903591178034365E-3</v>
      </c>
      <c r="E167" s="226">
        <v>2.6939666936730527E-2</v>
      </c>
      <c r="F167" s="226">
        <v>6.3655860171795548E-4</v>
      </c>
      <c r="G167" s="227">
        <v>5.8567322180928371E-4</v>
      </c>
      <c r="H167" s="226">
        <v>2.0000005732026594E-3</v>
      </c>
      <c r="I167" s="255">
        <v>2.952108429665029E-3</v>
      </c>
      <c r="J167" s="256">
        <v>9.7807127560989838E-6</v>
      </c>
      <c r="K167" s="257">
        <v>1.0222953185659713E-5</v>
      </c>
      <c r="L167" s="228">
        <v>3.1590309115386961E-2</v>
      </c>
    </row>
    <row r="168" spans="1:12" s="212" customFormat="1" ht="15.5" x14ac:dyDescent="0.35">
      <c r="A168" s="198" t="s">
        <v>794</v>
      </c>
      <c r="B168" s="197">
        <v>2040</v>
      </c>
      <c r="C168" s="213" t="s">
        <v>3429</v>
      </c>
      <c r="D168" s="239">
        <v>4.2534967329550316E-3</v>
      </c>
      <c r="E168" s="226">
        <v>2.5938964396892722E-2</v>
      </c>
      <c r="F168" s="226">
        <v>6.0912042188652788E-4</v>
      </c>
      <c r="G168" s="227">
        <v>5.6041664338590347E-4</v>
      </c>
      <c r="H168" s="226">
        <v>2.0000005732026599E-3</v>
      </c>
      <c r="I168" s="255">
        <v>2.951039941710015E-3</v>
      </c>
      <c r="J168" s="256">
        <v>9.0573346873759224E-6</v>
      </c>
      <c r="K168" s="257">
        <v>9.4668671706116536E-6</v>
      </c>
      <c r="L168" s="228">
        <v>3.1404295596142023E-2</v>
      </c>
    </row>
    <row r="169" spans="1:12" s="212" customFormat="1" ht="15.5" x14ac:dyDescent="0.35">
      <c r="A169" s="198" t="s">
        <v>794</v>
      </c>
      <c r="B169" s="197">
        <v>2041</v>
      </c>
      <c r="C169" s="213" t="s">
        <v>3430</v>
      </c>
      <c r="D169" s="239">
        <v>4.0692153785875399E-3</v>
      </c>
      <c r="E169" s="226">
        <v>2.5107149495823163E-2</v>
      </c>
      <c r="F169" s="226">
        <v>5.8799149967450712E-4</v>
      </c>
      <c r="G169" s="227">
        <v>5.4096652860032794E-4</v>
      </c>
      <c r="H169" s="226">
        <v>2.0000005732026599E-3</v>
      </c>
      <c r="I169" s="255">
        <v>2.9501301680078143E-3</v>
      </c>
      <c r="J169" s="256">
        <v>8.4708599973520169E-6</v>
      </c>
      <c r="K169" s="257">
        <v>8.8538746975477432E-6</v>
      </c>
      <c r="L169" s="228">
        <v>3.1248257922149272E-2</v>
      </c>
    </row>
    <row r="170" spans="1:12" s="212" customFormat="1" ht="15.5" x14ac:dyDescent="0.35">
      <c r="A170" s="198" t="s">
        <v>794</v>
      </c>
      <c r="B170" s="197">
        <v>2042</v>
      </c>
      <c r="C170" s="213" t="s">
        <v>3431</v>
      </c>
      <c r="D170" s="239">
        <v>3.9037531734694413E-3</v>
      </c>
      <c r="E170" s="226">
        <v>2.4306564333919371E-2</v>
      </c>
      <c r="F170" s="226">
        <v>5.6977307625902468E-4</v>
      </c>
      <c r="G170" s="227">
        <v>5.2419730031291148E-4</v>
      </c>
      <c r="H170" s="226">
        <v>2.0000005732026603E-3</v>
      </c>
      <c r="I170" s="255">
        <v>2.9492919065226201E-3</v>
      </c>
      <c r="J170" s="256">
        <v>8.0073302807022624E-6</v>
      </c>
      <c r="K170" s="257">
        <v>8.3693862239937513E-6</v>
      </c>
      <c r="L170" s="228">
        <v>3.1114794399195161E-2</v>
      </c>
    </row>
    <row r="171" spans="1:12" s="212" customFormat="1" ht="15.5" x14ac:dyDescent="0.35">
      <c r="A171" s="198" t="s">
        <v>794</v>
      </c>
      <c r="B171" s="197">
        <v>2043</v>
      </c>
      <c r="C171" s="213" t="s">
        <v>3432</v>
      </c>
      <c r="D171" s="239">
        <v>3.7770143542308595E-3</v>
      </c>
      <c r="E171" s="226">
        <v>2.3634704669202568E-2</v>
      </c>
      <c r="F171" s="226">
        <v>5.5419035076355175E-4</v>
      </c>
      <c r="G171" s="227">
        <v>5.0985439576277782E-4</v>
      </c>
      <c r="H171" s="226">
        <v>2.0000005732026599E-3</v>
      </c>
      <c r="I171" s="255">
        <v>2.9485735993253714E-3</v>
      </c>
      <c r="J171" s="256">
        <v>7.6181480273507485E-6</v>
      </c>
      <c r="K171" s="257">
        <v>7.9626068761163406E-6</v>
      </c>
      <c r="L171" s="228">
        <v>3.1003252989640542E-2</v>
      </c>
    </row>
    <row r="172" spans="1:12" s="212" customFormat="1" ht="15.5" x14ac:dyDescent="0.35">
      <c r="A172" s="198" t="s">
        <v>794</v>
      </c>
      <c r="B172" s="197">
        <v>2044</v>
      </c>
      <c r="C172" s="213" t="s">
        <v>3433</v>
      </c>
      <c r="D172" s="239">
        <v>3.6782120619587972E-3</v>
      </c>
      <c r="E172" s="226">
        <v>2.301319666110194E-2</v>
      </c>
      <c r="F172" s="226">
        <v>5.4086519533934666E-4</v>
      </c>
      <c r="G172" s="227">
        <v>4.9759008211547947E-4</v>
      </c>
      <c r="H172" s="226">
        <v>2.0000005732026599E-3</v>
      </c>
      <c r="I172" s="255">
        <v>2.9479022491352069E-3</v>
      </c>
      <c r="J172" s="256">
        <v>7.3018186023950566E-6</v>
      </c>
      <c r="K172" s="257">
        <v>7.6319744382551972E-6</v>
      </c>
      <c r="L172" s="228">
        <v>3.0907697909989686E-2</v>
      </c>
    </row>
    <row r="173" spans="1:12" s="212" customFormat="1" ht="15.5" x14ac:dyDescent="0.35">
      <c r="A173" s="198" t="s">
        <v>794</v>
      </c>
      <c r="B173" s="197">
        <v>2045</v>
      </c>
      <c r="C173" s="213" t="s">
        <v>3434</v>
      </c>
      <c r="D173" s="239">
        <v>3.6072302701703248E-3</v>
      </c>
      <c r="E173" s="226">
        <v>2.2471502821521657E-2</v>
      </c>
      <c r="F173" s="226">
        <v>5.2953455711824055E-4</v>
      </c>
      <c r="G173" s="227">
        <v>4.8716203954013215E-4</v>
      </c>
      <c r="H173" s="226">
        <v>2.0000005732026599E-3</v>
      </c>
      <c r="I173" s="255">
        <v>2.9473171713877838E-3</v>
      </c>
      <c r="J173" s="256">
        <v>7.0467302178862646E-6</v>
      </c>
      <c r="K173" s="257">
        <v>7.3653520889368579E-6</v>
      </c>
      <c r="L173" s="228">
        <v>3.0825747684966303E-2</v>
      </c>
    </row>
    <row r="174" spans="1:12" s="212" customFormat="1" ht="15.5" x14ac:dyDescent="0.35">
      <c r="A174" s="198" t="s">
        <v>794</v>
      </c>
      <c r="B174" s="197">
        <v>2046</v>
      </c>
      <c r="C174" s="213" t="s">
        <v>3435</v>
      </c>
      <c r="D174" s="239">
        <v>3.5404665262911577E-3</v>
      </c>
      <c r="E174" s="226">
        <v>2.1952876496328679E-2</v>
      </c>
      <c r="F174" s="226">
        <v>5.1995080345343912E-4</v>
      </c>
      <c r="G174" s="227">
        <v>4.7834208326236931E-4</v>
      </c>
      <c r="H174" s="226">
        <v>2.0000005732026594E-3</v>
      </c>
      <c r="I174" s="255">
        <v>2.9467631464962867E-3</v>
      </c>
      <c r="J174" s="256">
        <v>6.8401605970574105E-6</v>
      </c>
      <c r="K174" s="257">
        <v>7.1494423064932286E-6</v>
      </c>
      <c r="L174" s="228">
        <v>3.0755020983665626E-2</v>
      </c>
    </row>
    <row r="175" spans="1:12" s="212" customFormat="1" ht="15.5" x14ac:dyDescent="0.35">
      <c r="A175" s="198" t="s">
        <v>794</v>
      </c>
      <c r="B175" s="197">
        <v>2047</v>
      </c>
      <c r="C175" s="213" t="s">
        <v>3436</v>
      </c>
      <c r="D175" s="239">
        <v>3.4817035728189494E-3</v>
      </c>
      <c r="E175" s="226">
        <v>2.1491147923473092E-2</v>
      </c>
      <c r="F175" s="226">
        <v>5.1191991897148832E-4</v>
      </c>
      <c r="G175" s="227">
        <v>4.7094947863308132E-4</v>
      </c>
      <c r="H175" s="226">
        <v>2.0000005732026599E-3</v>
      </c>
      <c r="I175" s="255">
        <v>2.9462724302873008E-3</v>
      </c>
      <c r="J175" s="256">
        <v>6.6219325829952704E-6</v>
      </c>
      <c r="K175" s="257">
        <v>6.9213469900076806E-6</v>
      </c>
      <c r="L175" s="228">
        <v>3.0695234170673671E-2</v>
      </c>
    </row>
    <row r="176" spans="1:12" s="212" customFormat="1" ht="15.5" x14ac:dyDescent="0.35">
      <c r="A176" s="198" t="s">
        <v>794</v>
      </c>
      <c r="B176" s="197">
        <v>2048</v>
      </c>
      <c r="C176" s="213" t="s">
        <v>3437</v>
      </c>
      <c r="D176" s="239">
        <v>3.4342757830294777E-3</v>
      </c>
      <c r="E176" s="226">
        <v>2.1122443196857132E-2</v>
      </c>
      <c r="F176" s="226">
        <v>5.0531306969986965E-4</v>
      </c>
      <c r="G176" s="227">
        <v>4.6486796085385904E-4</v>
      </c>
      <c r="H176" s="226">
        <v>2.0000005732026599E-3</v>
      </c>
      <c r="I176" s="255">
        <v>2.9458347007801375E-3</v>
      </c>
      <c r="J176" s="256">
        <v>6.4483378091057173E-6</v>
      </c>
      <c r="K176" s="257">
        <v>6.7399030307582485E-6</v>
      </c>
      <c r="L176" s="228">
        <v>3.0644359299233152E-2</v>
      </c>
    </row>
    <row r="177" spans="1:12" s="212" customFormat="1" ht="15.5" x14ac:dyDescent="0.35">
      <c r="A177" s="198" t="s">
        <v>794</v>
      </c>
      <c r="B177" s="197">
        <v>2049</v>
      </c>
      <c r="C177" s="213" t="s">
        <v>3438</v>
      </c>
      <c r="D177" s="239">
        <v>3.4233786369450899E-3</v>
      </c>
      <c r="E177" s="226">
        <v>2.1081445124549465E-2</v>
      </c>
      <c r="F177" s="226">
        <v>5.0126643050378106E-4</v>
      </c>
      <c r="G177" s="227">
        <v>4.6114292236753087E-4</v>
      </c>
      <c r="H177" s="226">
        <v>2.0000005732026603E-3</v>
      </c>
      <c r="I177" s="255">
        <v>2.9454268906438583E-3</v>
      </c>
      <c r="J177" s="256">
        <v>6.3378963069497728E-6</v>
      </c>
      <c r="K177" s="257">
        <v>6.6244678539517025E-6</v>
      </c>
      <c r="L177" s="228">
        <v>3.0600850790104876E-2</v>
      </c>
    </row>
    <row r="178" spans="1:12" s="212" customFormat="1" ht="15.5" x14ac:dyDescent="0.35">
      <c r="A178" s="198" t="s">
        <v>794</v>
      </c>
      <c r="B178" s="197">
        <v>2050</v>
      </c>
      <c r="C178" s="213" t="s">
        <v>3439</v>
      </c>
      <c r="D178" s="239">
        <v>3.4148881391840662E-3</v>
      </c>
      <c r="E178" s="226">
        <v>2.1047633442881179E-2</v>
      </c>
      <c r="F178" s="226">
        <v>4.979052634437296E-4</v>
      </c>
      <c r="G178" s="227">
        <v>4.5804499862786677E-4</v>
      </c>
      <c r="H178" s="226">
        <v>2.0000005732026599E-3</v>
      </c>
      <c r="I178" s="255">
        <v>2.9450954643507276E-3</v>
      </c>
      <c r="J178" s="256">
        <v>6.1465680631985822E-6</v>
      </c>
      <c r="K178" s="257">
        <v>6.4244885960245883E-6</v>
      </c>
      <c r="L178" s="228">
        <v>3.0565128794168183E-2</v>
      </c>
    </row>
    <row r="179" spans="1:12" s="212" customFormat="1" ht="15.5" x14ac:dyDescent="0.35">
      <c r="A179" s="198" t="s">
        <v>796</v>
      </c>
      <c r="B179" s="197">
        <v>2015</v>
      </c>
      <c r="C179" s="213" t="s">
        <v>867</v>
      </c>
      <c r="D179" s="239">
        <v>0.10198553455320877</v>
      </c>
      <c r="E179" s="226">
        <v>0.39664882273271429</v>
      </c>
      <c r="F179" s="226">
        <v>3.5137474563159718E-3</v>
      </c>
      <c r="G179" s="227">
        <v>3.2552479489259965E-3</v>
      </c>
      <c r="H179" s="226">
        <v>2.0000005732018701E-3</v>
      </c>
      <c r="I179" s="255">
        <v>3.5881490261394484E-3</v>
      </c>
      <c r="J179" s="256">
        <v>4.0840875294841962E-4</v>
      </c>
      <c r="K179" s="257">
        <v>4.2687518446974662E-4</v>
      </c>
      <c r="L179" s="228">
        <v>4.8214195258913434E-2</v>
      </c>
    </row>
    <row r="180" spans="1:12" s="212" customFormat="1" ht="15.5" x14ac:dyDescent="0.35">
      <c r="A180" s="198" t="s">
        <v>796</v>
      </c>
      <c r="B180" s="197">
        <v>2016</v>
      </c>
      <c r="C180" s="213" t="s">
        <v>868</v>
      </c>
      <c r="D180" s="239">
        <v>9.2752561915167758E-2</v>
      </c>
      <c r="E180" s="226">
        <v>0.37574061074253523</v>
      </c>
      <c r="F180" s="226">
        <v>3.354792489067648E-3</v>
      </c>
      <c r="G180" s="227">
        <v>3.1060340505688704E-3</v>
      </c>
      <c r="H180" s="226">
        <v>2.0000005732018701E-3</v>
      </c>
      <c r="I180" s="255">
        <v>3.5937755747562179E-3</v>
      </c>
      <c r="J180" s="256">
        <v>3.816486923622365E-4</v>
      </c>
      <c r="K180" s="257">
        <v>3.9890515268986625E-4</v>
      </c>
      <c r="L180" s="228">
        <v>4.7452010878946294E-2</v>
      </c>
    </row>
    <row r="181" spans="1:12" s="212" customFormat="1" ht="15.5" x14ac:dyDescent="0.35">
      <c r="A181" s="198" t="s">
        <v>796</v>
      </c>
      <c r="B181" s="197">
        <v>2017</v>
      </c>
      <c r="C181" s="213" t="s">
        <v>3440</v>
      </c>
      <c r="D181" s="239">
        <v>7.5226759860597195E-2</v>
      </c>
      <c r="E181" s="226">
        <v>0.31877766581892913</v>
      </c>
      <c r="F181" s="226">
        <v>3.0334766616202198E-3</v>
      </c>
      <c r="G181" s="227">
        <v>2.8074469853703828E-3</v>
      </c>
      <c r="H181" s="226">
        <v>2.0000005732018701E-3</v>
      </c>
      <c r="I181" s="255">
        <v>3.5864739220496399E-3</v>
      </c>
      <c r="J181" s="256">
        <v>3.5928433305421964E-4</v>
      </c>
      <c r="K181" s="257">
        <v>3.7552957629431608E-4</v>
      </c>
      <c r="L181" s="228">
        <v>4.7075178174114489E-2</v>
      </c>
    </row>
    <row r="182" spans="1:12" s="212" customFormat="1" ht="15.5" x14ac:dyDescent="0.35">
      <c r="A182" s="198" t="s">
        <v>796</v>
      </c>
      <c r="B182" s="197">
        <v>2018</v>
      </c>
      <c r="C182" s="213" t="s">
        <v>3441</v>
      </c>
      <c r="D182" s="239">
        <v>6.3153779595877244E-2</v>
      </c>
      <c r="E182" s="226">
        <v>0.28137459308608925</v>
      </c>
      <c r="F182" s="226">
        <v>2.8358263377358619E-3</v>
      </c>
      <c r="G182" s="227">
        <v>2.6227691598844942E-3</v>
      </c>
      <c r="H182" s="226">
        <v>2.0000005732018701E-3</v>
      </c>
      <c r="I182" s="255">
        <v>3.5860526569762739E-3</v>
      </c>
      <c r="J182" s="256">
        <v>3.3011951146522898E-4</v>
      </c>
      <c r="K182" s="257">
        <v>3.450460508900501E-4</v>
      </c>
      <c r="L182" s="228">
        <v>4.6561454178896441E-2</v>
      </c>
    </row>
    <row r="183" spans="1:12" s="212" customFormat="1" ht="15.5" x14ac:dyDescent="0.35">
      <c r="A183" s="198" t="s">
        <v>796</v>
      </c>
      <c r="B183" s="197">
        <v>2019</v>
      </c>
      <c r="C183" s="213" t="s">
        <v>3442</v>
      </c>
      <c r="D183" s="239">
        <v>5.3051908252032903E-2</v>
      </c>
      <c r="E183" s="226">
        <v>0.24213602659355071</v>
      </c>
      <c r="F183" s="226">
        <v>2.6062865477083342E-3</v>
      </c>
      <c r="G183" s="227">
        <v>2.4069211816987609E-3</v>
      </c>
      <c r="H183" s="226">
        <v>2.0000005732018697E-3</v>
      </c>
      <c r="I183" s="255">
        <v>3.5850483325617047E-3</v>
      </c>
      <c r="J183" s="256">
        <v>2.3650569895418338E-4</v>
      </c>
      <c r="K183" s="257">
        <v>2.4719943718239551E-4</v>
      </c>
      <c r="L183" s="228">
        <v>4.5749207037722124E-2</v>
      </c>
    </row>
    <row r="184" spans="1:12" s="212" customFormat="1" ht="15.5" x14ac:dyDescent="0.35">
      <c r="A184" s="198" t="s">
        <v>796</v>
      </c>
      <c r="B184" s="197">
        <v>2020</v>
      </c>
      <c r="C184" s="213" t="s">
        <v>3443</v>
      </c>
      <c r="D184" s="239">
        <v>4.7225441881699484E-2</v>
      </c>
      <c r="E184" s="226">
        <v>0.22065649677611052</v>
      </c>
      <c r="F184" s="226">
        <v>2.49845728926155E-3</v>
      </c>
      <c r="G184" s="227">
        <v>2.3066366957014803E-3</v>
      </c>
      <c r="H184" s="226">
        <v>2.0000005732018701E-3</v>
      </c>
      <c r="I184" s="255">
        <v>3.5919568864555807E-3</v>
      </c>
      <c r="J184" s="256">
        <v>2.1798474832253413E-4</v>
      </c>
      <c r="K184" s="257">
        <v>2.2784105134868439E-4</v>
      </c>
      <c r="L184" s="228">
        <v>4.5314149693252592E-2</v>
      </c>
    </row>
    <row r="185" spans="1:12" s="212" customFormat="1" ht="15.5" x14ac:dyDescent="0.35">
      <c r="A185" s="198" t="s">
        <v>796</v>
      </c>
      <c r="B185" s="197">
        <v>2021</v>
      </c>
      <c r="C185" s="213" t="s">
        <v>3444</v>
      </c>
      <c r="D185" s="239">
        <v>4.1996796437042232E-2</v>
      </c>
      <c r="E185" s="226">
        <v>0.19888767300036359</v>
      </c>
      <c r="F185" s="226">
        <v>2.3576646238747364E-3</v>
      </c>
      <c r="G185" s="227">
        <v>2.1761535532482603E-3</v>
      </c>
      <c r="H185" s="226">
        <v>2.0000005732018701E-3</v>
      </c>
      <c r="I185" s="255">
        <v>3.5950473904073207E-3</v>
      </c>
      <c r="J185" s="256">
        <v>1.988095014859056E-4</v>
      </c>
      <c r="K185" s="257">
        <v>2.0779878493900109E-4</v>
      </c>
      <c r="L185" s="228">
        <v>4.4371529852572325E-2</v>
      </c>
    </row>
    <row r="186" spans="1:12" s="212" customFormat="1" ht="15.5" x14ac:dyDescent="0.35">
      <c r="A186" s="198" t="s">
        <v>796</v>
      </c>
      <c r="B186" s="197">
        <v>2022</v>
      </c>
      <c r="C186" s="213" t="s">
        <v>3445</v>
      </c>
      <c r="D186" s="239">
        <v>3.6549264729467172E-2</v>
      </c>
      <c r="E186" s="226">
        <v>0.1775038758971576</v>
      </c>
      <c r="F186" s="226">
        <v>2.2158865608022929E-3</v>
      </c>
      <c r="G186" s="227">
        <v>2.0446774132259499E-3</v>
      </c>
      <c r="H186" s="226">
        <v>2.0000005732018706E-3</v>
      </c>
      <c r="I186" s="255">
        <v>3.5936320368998979E-3</v>
      </c>
      <c r="J186" s="256">
        <v>1.7991147659989672E-4</v>
      </c>
      <c r="K186" s="257">
        <v>1.8804627522639043E-4</v>
      </c>
      <c r="L186" s="228">
        <v>4.3531096300741388E-2</v>
      </c>
    </row>
    <row r="187" spans="1:12" s="212" customFormat="1" ht="15.5" x14ac:dyDescent="0.35">
      <c r="A187" s="198" t="s">
        <v>796</v>
      </c>
      <c r="B187" s="197">
        <v>2023</v>
      </c>
      <c r="C187" s="213" t="s">
        <v>3446</v>
      </c>
      <c r="D187" s="239">
        <v>3.2472328392085442E-2</v>
      </c>
      <c r="E187" s="226">
        <v>0.15890457838517952</v>
      </c>
      <c r="F187" s="226">
        <v>2.0863983190788854E-3</v>
      </c>
      <c r="G187" s="227">
        <v>1.9249232515922063E-3</v>
      </c>
      <c r="H187" s="226">
        <v>2.0000005732018706E-3</v>
      </c>
      <c r="I187" s="255">
        <v>3.5908549310268503E-3</v>
      </c>
      <c r="J187" s="256">
        <v>1.6460859963292199E-4</v>
      </c>
      <c r="K187" s="257">
        <v>1.7205147006848004E-4</v>
      </c>
      <c r="L187" s="228">
        <v>4.2648448217127266E-2</v>
      </c>
    </row>
    <row r="188" spans="1:12" s="212" customFormat="1" ht="15.5" x14ac:dyDescent="0.35">
      <c r="A188" s="198" t="s">
        <v>796</v>
      </c>
      <c r="B188" s="197">
        <v>2024</v>
      </c>
      <c r="C188" s="213" t="s">
        <v>3447</v>
      </c>
      <c r="D188" s="239">
        <v>2.8732840648304028E-2</v>
      </c>
      <c r="E188" s="226">
        <v>0.14203551200548309</v>
      </c>
      <c r="F188" s="226">
        <v>1.9512664279087877E-3</v>
      </c>
      <c r="G188" s="227">
        <v>1.7996005534326805E-3</v>
      </c>
      <c r="H188" s="226">
        <v>2.0000005732018701E-3</v>
      </c>
      <c r="I188" s="255">
        <v>3.5876390512124818E-3</v>
      </c>
      <c r="J188" s="256">
        <v>1.3979710656654952E-4</v>
      </c>
      <c r="K188" s="257">
        <v>1.4611811138501613E-4</v>
      </c>
      <c r="L188" s="228">
        <v>4.1732679030218496E-2</v>
      </c>
    </row>
    <row r="189" spans="1:12" s="212" customFormat="1" ht="15.5" x14ac:dyDescent="0.35">
      <c r="A189" s="198" t="s">
        <v>796</v>
      </c>
      <c r="B189" s="197">
        <v>2025</v>
      </c>
      <c r="C189" s="213" t="s">
        <v>3448</v>
      </c>
      <c r="D189" s="239">
        <v>2.5744294575384408E-2</v>
      </c>
      <c r="E189" s="226">
        <v>0.12793873514890725</v>
      </c>
      <c r="F189" s="226">
        <v>1.8463858244977367E-3</v>
      </c>
      <c r="G189" s="227">
        <v>1.7024108626482622E-3</v>
      </c>
      <c r="H189" s="226">
        <v>2.0000005732018697E-3</v>
      </c>
      <c r="I189" s="255">
        <v>3.5842283190575665E-3</v>
      </c>
      <c r="J189" s="256">
        <v>1.2128377734032558E-4</v>
      </c>
      <c r="K189" s="257">
        <v>1.2676769156286404E-4</v>
      </c>
      <c r="L189" s="228">
        <v>4.0806247293363955E-2</v>
      </c>
    </row>
    <row r="190" spans="1:12" s="212" customFormat="1" ht="15.5" x14ac:dyDescent="0.35">
      <c r="A190" s="198" t="s">
        <v>796</v>
      </c>
      <c r="B190" s="197">
        <v>2026</v>
      </c>
      <c r="C190" s="213" t="s">
        <v>3449</v>
      </c>
      <c r="D190" s="239">
        <v>2.3161081211605306E-2</v>
      </c>
      <c r="E190" s="226">
        <v>0.11563974997973323</v>
      </c>
      <c r="F190" s="226">
        <v>1.7505655170080895E-3</v>
      </c>
      <c r="G190" s="227">
        <v>1.6136781087306492E-3</v>
      </c>
      <c r="H190" s="226">
        <v>2.0000005732018701E-3</v>
      </c>
      <c r="I190" s="255">
        <v>3.5805971411672047E-3</v>
      </c>
      <c r="J190" s="256">
        <v>1.0515860778448123E-4</v>
      </c>
      <c r="K190" s="257">
        <v>1.0991341339408463E-4</v>
      </c>
      <c r="L190" s="228">
        <v>3.9897629448190926E-2</v>
      </c>
    </row>
    <row r="191" spans="1:12" s="212" customFormat="1" ht="15.5" x14ac:dyDescent="0.35">
      <c r="A191" s="198" t="s">
        <v>796</v>
      </c>
      <c r="B191" s="197">
        <v>2027</v>
      </c>
      <c r="C191" s="213" t="s">
        <v>3450</v>
      </c>
      <c r="D191" s="239">
        <v>2.0849548327843609E-2</v>
      </c>
      <c r="E191" s="226">
        <v>0.10453684889259697</v>
      </c>
      <c r="F191" s="226">
        <v>1.6455959468017285E-3</v>
      </c>
      <c r="G191" s="227">
        <v>1.5163740956579939E-3</v>
      </c>
      <c r="H191" s="226">
        <v>2.0000005732018706E-3</v>
      </c>
      <c r="I191" s="255">
        <v>3.5764188257702695E-3</v>
      </c>
      <c r="J191" s="256">
        <v>8.4936399146143059E-5</v>
      </c>
      <c r="K191" s="257">
        <v>8.8776846215842697E-5</v>
      </c>
      <c r="L191" s="228">
        <v>3.902295165027167E-2</v>
      </c>
    </row>
    <row r="192" spans="1:12" s="212" customFormat="1" ht="15.5" x14ac:dyDescent="0.35">
      <c r="A192" s="198" t="s">
        <v>796</v>
      </c>
      <c r="B192" s="197">
        <v>2028</v>
      </c>
      <c r="C192" s="213" t="s">
        <v>3451</v>
      </c>
      <c r="D192" s="239">
        <v>1.8808604420401623E-2</v>
      </c>
      <c r="E192" s="226">
        <v>9.4466492176008207E-2</v>
      </c>
      <c r="F192" s="226">
        <v>1.5414513936083385E-3</v>
      </c>
      <c r="G192" s="227">
        <v>1.4200952947275372E-3</v>
      </c>
      <c r="H192" s="226">
        <v>2.0000005732018706E-3</v>
      </c>
      <c r="I192" s="255">
        <v>3.5721653258918603E-3</v>
      </c>
      <c r="J192" s="256">
        <v>7.1545996838882496E-5</v>
      </c>
      <c r="K192" s="257">
        <v>7.4780989335277925E-5</v>
      </c>
      <c r="L192" s="228">
        <v>3.8199922633123606E-2</v>
      </c>
    </row>
    <row r="193" spans="1:12" s="212" customFormat="1" ht="15.5" x14ac:dyDescent="0.35">
      <c r="A193" s="198" t="s">
        <v>796</v>
      </c>
      <c r="B193" s="197">
        <v>2029</v>
      </c>
      <c r="C193" s="213" t="s">
        <v>3452</v>
      </c>
      <c r="D193" s="239">
        <v>1.6992555866131138E-2</v>
      </c>
      <c r="E193" s="226">
        <v>8.5604866706530072E-2</v>
      </c>
      <c r="F193" s="226">
        <v>1.4429890464306761E-3</v>
      </c>
      <c r="G193" s="227">
        <v>1.3291779833283746E-3</v>
      </c>
      <c r="H193" s="226">
        <v>2.0000005732018697E-3</v>
      </c>
      <c r="I193" s="255">
        <v>3.5679845713589954E-3</v>
      </c>
      <c r="J193" s="256">
        <v>6.1669474249915321E-5</v>
      </c>
      <c r="K193" s="257">
        <v>6.4457894221257313E-5</v>
      </c>
      <c r="L193" s="228">
        <v>3.7433560948150646E-2</v>
      </c>
    </row>
    <row r="194" spans="1:12" s="212" customFormat="1" ht="15.5" x14ac:dyDescent="0.35">
      <c r="A194" s="198" t="s">
        <v>796</v>
      </c>
      <c r="B194" s="197">
        <v>2030</v>
      </c>
      <c r="C194" s="213" t="s">
        <v>3453</v>
      </c>
      <c r="D194" s="239">
        <v>1.5396067211606636E-2</v>
      </c>
      <c r="E194" s="226">
        <v>7.7737060926555579E-2</v>
      </c>
      <c r="F194" s="226">
        <v>1.3494843443919477E-3</v>
      </c>
      <c r="G194" s="227">
        <v>1.2428681935633722E-3</v>
      </c>
      <c r="H194" s="226">
        <v>2.0000005732018701E-3</v>
      </c>
      <c r="I194" s="255">
        <v>3.5639210441283111E-3</v>
      </c>
      <c r="J194" s="256">
        <v>5.3054407162303856E-5</v>
      </c>
      <c r="K194" s="257">
        <v>5.5453292028738111E-5</v>
      </c>
      <c r="L194" s="228">
        <v>3.6723454475887179E-2</v>
      </c>
    </row>
    <row r="195" spans="1:12" s="212" customFormat="1" ht="15.5" x14ac:dyDescent="0.35">
      <c r="A195" s="198" t="s">
        <v>796</v>
      </c>
      <c r="B195" s="197">
        <v>2031</v>
      </c>
      <c r="C195" s="213" t="s">
        <v>3454</v>
      </c>
      <c r="D195" s="239">
        <v>1.3948245277564353E-2</v>
      </c>
      <c r="E195" s="226">
        <v>7.0678609249199928E-2</v>
      </c>
      <c r="F195" s="226">
        <v>1.2617293587188843E-3</v>
      </c>
      <c r="G195" s="227">
        <v>1.1619259134497623E-3</v>
      </c>
      <c r="H195" s="226">
        <v>2.0000005732018701E-3</v>
      </c>
      <c r="I195" s="255">
        <v>3.5599709942914664E-3</v>
      </c>
      <c r="J195" s="256">
        <v>4.6514589840634386E-5</v>
      </c>
      <c r="K195" s="257">
        <v>4.861777318779247E-5</v>
      </c>
      <c r="L195" s="228">
        <v>3.6069185392138887E-2</v>
      </c>
    </row>
    <row r="196" spans="1:12" s="212" customFormat="1" ht="15.5" x14ac:dyDescent="0.35">
      <c r="A196" s="198" t="s">
        <v>796</v>
      </c>
      <c r="B196" s="197">
        <v>2032</v>
      </c>
      <c r="C196" s="213" t="s">
        <v>3455</v>
      </c>
      <c r="D196" s="239">
        <v>1.2665129260656501E-2</v>
      </c>
      <c r="E196" s="226">
        <v>6.4568790306385168E-2</v>
      </c>
      <c r="F196" s="226">
        <v>1.1803437678425145E-3</v>
      </c>
      <c r="G196" s="227">
        <v>1.0868497211471682E-3</v>
      </c>
      <c r="H196" s="226">
        <v>2.0000005732018701E-3</v>
      </c>
      <c r="I196" s="255">
        <v>3.5562326106947061E-3</v>
      </c>
      <c r="J196" s="256">
        <v>4.0222813971184754E-5</v>
      </c>
      <c r="K196" s="257">
        <v>4.2041511132868255E-5</v>
      </c>
      <c r="L196" s="228">
        <v>3.5470770207155257E-2</v>
      </c>
    </row>
    <row r="197" spans="1:12" s="212" customFormat="1" ht="15.5" x14ac:dyDescent="0.35">
      <c r="A197" s="198" t="s">
        <v>796</v>
      </c>
      <c r="B197" s="197">
        <v>2033</v>
      </c>
      <c r="C197" s="213" t="s">
        <v>3456</v>
      </c>
      <c r="D197" s="239">
        <v>1.1503550632205163E-2</v>
      </c>
      <c r="E197" s="226">
        <v>5.9116256668044841E-2</v>
      </c>
      <c r="F197" s="226">
        <v>1.1054104347805415E-3</v>
      </c>
      <c r="G197" s="227">
        <v>1.0178059384171544E-3</v>
      </c>
      <c r="H197" s="226">
        <v>2.0000005732018701E-3</v>
      </c>
      <c r="I197" s="255">
        <v>3.5525715963892093E-3</v>
      </c>
      <c r="J197" s="256">
        <v>3.6492365788805992E-5</v>
      </c>
      <c r="K197" s="257">
        <v>3.8142388637300904E-5</v>
      </c>
      <c r="L197" s="228">
        <v>3.4921769034558972E-2</v>
      </c>
    </row>
    <row r="198" spans="1:12" s="212" customFormat="1" ht="15.5" x14ac:dyDescent="0.35">
      <c r="A198" s="198" t="s">
        <v>796</v>
      </c>
      <c r="B198" s="197">
        <v>2034</v>
      </c>
      <c r="C198" s="213" t="s">
        <v>3457</v>
      </c>
      <c r="D198" s="239">
        <v>1.0445072216905519E-2</v>
      </c>
      <c r="E198" s="226">
        <v>5.4337240279736777E-2</v>
      </c>
      <c r="F198" s="226">
        <v>1.0338789401790663E-3</v>
      </c>
      <c r="G198" s="227">
        <v>9.5189364814866895E-4</v>
      </c>
      <c r="H198" s="226">
        <v>2.0000005732018701E-3</v>
      </c>
      <c r="I198" s="255">
        <v>3.5491604676749292E-3</v>
      </c>
      <c r="J198" s="256">
        <v>3.2855020812867146E-5</v>
      </c>
      <c r="K198" s="257">
        <v>3.4340579062029331E-5</v>
      </c>
      <c r="L198" s="228">
        <v>3.4424347411163576E-2</v>
      </c>
    </row>
    <row r="199" spans="1:12" s="212" customFormat="1" ht="15.5" x14ac:dyDescent="0.35">
      <c r="A199" s="198" t="s">
        <v>796</v>
      </c>
      <c r="B199" s="197">
        <v>2035</v>
      </c>
      <c r="C199" s="213" t="s">
        <v>3458</v>
      </c>
      <c r="D199" s="239">
        <v>9.5210482957126495E-3</v>
      </c>
      <c r="E199" s="226">
        <v>5.0253509149392937E-2</v>
      </c>
      <c r="F199" s="226">
        <v>9.6821021763537332E-4</v>
      </c>
      <c r="G199" s="227">
        <v>8.9139148699953798E-4</v>
      </c>
      <c r="H199" s="226">
        <v>2.0000005732018701E-3</v>
      </c>
      <c r="I199" s="255">
        <v>3.5460799822973192E-3</v>
      </c>
      <c r="J199" s="256">
        <v>2.9718835589128033E-5</v>
      </c>
      <c r="K199" s="257">
        <v>3.1062589459088604E-5</v>
      </c>
      <c r="L199" s="228">
        <v>3.3978272851267359E-2</v>
      </c>
    </row>
    <row r="200" spans="1:12" s="212" customFormat="1" ht="15.5" x14ac:dyDescent="0.35">
      <c r="A200" s="198" t="s">
        <v>796</v>
      </c>
      <c r="B200" s="197">
        <v>2036</v>
      </c>
      <c r="C200" s="213" t="s">
        <v>3459</v>
      </c>
      <c r="D200" s="239">
        <v>8.6989520046083357E-3</v>
      </c>
      <c r="E200" s="226">
        <v>4.6655352295160435E-2</v>
      </c>
      <c r="F200" s="226">
        <v>9.1366095482104802E-4</v>
      </c>
      <c r="G200" s="227">
        <v>8.4112773211379569E-4</v>
      </c>
      <c r="H200" s="226">
        <v>2.0000005732018697E-3</v>
      </c>
      <c r="I200" s="255">
        <v>3.5433498119153478E-3</v>
      </c>
      <c r="J200" s="256">
        <v>2.6954119185446553E-5</v>
      </c>
      <c r="K200" s="257">
        <v>2.8172864847879984E-5</v>
      </c>
      <c r="L200" s="228">
        <v>3.3579770554695805E-2</v>
      </c>
    </row>
    <row r="201" spans="1:12" s="212" customFormat="1" ht="15.5" x14ac:dyDescent="0.35">
      <c r="A201" s="198" t="s">
        <v>796</v>
      </c>
      <c r="B201" s="197">
        <v>2037</v>
      </c>
      <c r="C201" s="213" t="s">
        <v>3460</v>
      </c>
      <c r="D201" s="239">
        <v>7.9461391718965019E-3</v>
      </c>
      <c r="E201" s="226">
        <v>4.336855587646981E-2</v>
      </c>
      <c r="F201" s="226">
        <v>8.6323929814934551E-4</v>
      </c>
      <c r="G201" s="227">
        <v>7.9465355430781079E-4</v>
      </c>
      <c r="H201" s="226">
        <v>2.0000005732018701E-3</v>
      </c>
      <c r="I201" s="255">
        <v>3.5409601059955458E-3</v>
      </c>
      <c r="J201" s="256">
        <v>2.40455631006604E-5</v>
      </c>
      <c r="K201" s="257">
        <v>2.5132796763466269E-5</v>
      </c>
      <c r="L201" s="228">
        <v>3.3222888733912027E-2</v>
      </c>
    </row>
    <row r="202" spans="1:12" s="212" customFormat="1" ht="15.5" x14ac:dyDescent="0.35">
      <c r="A202" s="198" t="s">
        <v>796</v>
      </c>
      <c r="B202" s="197">
        <v>2038</v>
      </c>
      <c r="C202" s="213" t="s">
        <v>3461</v>
      </c>
      <c r="D202" s="239">
        <v>7.2878558266941326E-3</v>
      </c>
      <c r="E202" s="226">
        <v>4.0470482498827225E-2</v>
      </c>
      <c r="F202" s="226">
        <v>8.1813048661618629E-4</v>
      </c>
      <c r="G202" s="227">
        <v>7.53090720032163E-4</v>
      </c>
      <c r="H202" s="226">
        <v>2.0000005732018701E-3</v>
      </c>
      <c r="I202" s="255">
        <v>3.5389287281071798E-3</v>
      </c>
      <c r="J202" s="256">
        <v>2.1814024284441481E-5</v>
      </c>
      <c r="K202" s="257">
        <v>2.2800357664284835E-5</v>
      </c>
      <c r="L202" s="228">
        <v>3.2911729359953713E-2</v>
      </c>
    </row>
    <row r="203" spans="1:12" s="212" customFormat="1" ht="15.5" x14ac:dyDescent="0.35">
      <c r="A203" s="198" t="s">
        <v>796</v>
      </c>
      <c r="B203" s="197">
        <v>2039</v>
      </c>
      <c r="C203" s="213" t="s">
        <v>3462</v>
      </c>
      <c r="D203" s="239">
        <v>6.6525197419122616E-3</v>
      </c>
      <c r="E203" s="226">
        <v>3.7704162669390882E-2</v>
      </c>
      <c r="F203" s="226">
        <v>7.7632188794847935E-4</v>
      </c>
      <c r="G203" s="227">
        <v>7.1456507062111292E-4</v>
      </c>
      <c r="H203" s="226">
        <v>2.0000005732018701E-3</v>
      </c>
      <c r="I203" s="255">
        <v>3.537070928455891E-3</v>
      </c>
      <c r="J203" s="256">
        <v>1.9653346639667487E-5</v>
      </c>
      <c r="K203" s="257">
        <v>2.0541983764279168E-5</v>
      </c>
      <c r="L203" s="228">
        <v>3.2632160918725714E-2</v>
      </c>
    </row>
    <row r="204" spans="1:12" s="212" customFormat="1" ht="15.5" x14ac:dyDescent="0.35">
      <c r="A204" s="198" t="s">
        <v>796</v>
      </c>
      <c r="B204" s="197">
        <v>2040</v>
      </c>
      <c r="C204" s="213" t="s">
        <v>3463</v>
      </c>
      <c r="D204" s="239">
        <v>6.0632897747313307E-3</v>
      </c>
      <c r="E204" s="226">
        <v>3.525501700987399E-2</v>
      </c>
      <c r="F204" s="226">
        <v>7.3765033860671175E-4</v>
      </c>
      <c r="G204" s="227">
        <v>6.789401671749301E-4</v>
      </c>
      <c r="H204" s="226">
        <v>2.0000005732018697E-3</v>
      </c>
      <c r="I204" s="255">
        <v>3.5354246134932693E-3</v>
      </c>
      <c r="J204" s="256">
        <v>1.7912168532457071E-5</v>
      </c>
      <c r="K204" s="257">
        <v>1.8722077309424095E-5</v>
      </c>
      <c r="L204" s="228">
        <v>3.2383269087700485E-2</v>
      </c>
    </row>
    <row r="205" spans="1:12" s="212" customFormat="1" ht="15.5" x14ac:dyDescent="0.35">
      <c r="A205" s="198" t="s">
        <v>796</v>
      </c>
      <c r="B205" s="197">
        <v>2041</v>
      </c>
      <c r="C205" s="213" t="s">
        <v>3464</v>
      </c>
      <c r="D205" s="239">
        <v>5.5738016716445583E-3</v>
      </c>
      <c r="E205" s="226">
        <v>3.3132752242804347E-2</v>
      </c>
      <c r="F205" s="226">
        <v>7.1040989745146694E-4</v>
      </c>
      <c r="G205" s="227">
        <v>6.5383304969056334E-4</v>
      </c>
      <c r="H205" s="226">
        <v>2.0000005732018701E-3</v>
      </c>
      <c r="I205" s="255">
        <v>3.5340727112230397E-3</v>
      </c>
      <c r="J205" s="256">
        <v>1.6358449346826073E-5</v>
      </c>
      <c r="K205" s="257">
        <v>1.7098105836745653E-5</v>
      </c>
      <c r="L205" s="228">
        <v>3.2165714089574325E-2</v>
      </c>
    </row>
    <row r="206" spans="1:12" s="212" customFormat="1" ht="15.5" x14ac:dyDescent="0.35">
      <c r="A206" s="198" t="s">
        <v>796</v>
      </c>
      <c r="B206" s="197">
        <v>2042</v>
      </c>
      <c r="C206" s="213" t="s">
        <v>3465</v>
      </c>
      <c r="D206" s="239">
        <v>5.145289070502798E-3</v>
      </c>
      <c r="E206" s="226">
        <v>3.112136077077348E-2</v>
      </c>
      <c r="F206" s="226">
        <v>6.8561679445568364E-4</v>
      </c>
      <c r="G206" s="227">
        <v>6.3098762425465042E-4</v>
      </c>
      <c r="H206" s="226">
        <v>2.0000005732018701E-3</v>
      </c>
      <c r="I206" s="255">
        <v>3.5327308631470833E-3</v>
      </c>
      <c r="J206" s="256">
        <v>1.5098726682132488E-5</v>
      </c>
      <c r="K206" s="257">
        <v>1.5781424103091154E-5</v>
      </c>
      <c r="L206" s="228">
        <v>3.1968179911506835E-2</v>
      </c>
    </row>
    <row r="207" spans="1:12" s="212" customFormat="1" ht="15.5" x14ac:dyDescent="0.35">
      <c r="A207" s="198" t="s">
        <v>796</v>
      </c>
      <c r="B207" s="197">
        <v>2043</v>
      </c>
      <c r="C207" s="213" t="s">
        <v>3466</v>
      </c>
      <c r="D207" s="239">
        <v>4.8140540464129723E-3</v>
      </c>
      <c r="E207" s="226">
        <v>2.9412646154619616E-2</v>
      </c>
      <c r="F207" s="226">
        <v>6.6328194260246802E-4</v>
      </c>
      <c r="G207" s="227">
        <v>6.1040677808775663E-4</v>
      </c>
      <c r="H207" s="226">
        <v>2.0000005732018701E-3</v>
      </c>
      <c r="I207" s="255">
        <v>3.5315710151344595E-3</v>
      </c>
      <c r="J207" s="256">
        <v>1.3949572977608014E-5</v>
      </c>
      <c r="K207" s="257">
        <v>1.4580310767342132E-5</v>
      </c>
      <c r="L207" s="228">
        <v>3.1794074012133931E-2</v>
      </c>
    </row>
    <row r="208" spans="1:12" s="212" customFormat="1" ht="15.5" x14ac:dyDescent="0.35">
      <c r="A208" s="198" t="s">
        <v>796</v>
      </c>
      <c r="B208" s="197">
        <v>2044</v>
      </c>
      <c r="C208" s="213" t="s">
        <v>3467</v>
      </c>
      <c r="D208" s="239">
        <v>4.5647688884323965E-3</v>
      </c>
      <c r="E208" s="226">
        <v>2.7839912740104236E-2</v>
      </c>
      <c r="F208" s="226">
        <v>6.4313161622177643E-4</v>
      </c>
      <c r="G208" s="227">
        <v>5.9184018397138668E-4</v>
      </c>
      <c r="H208" s="226">
        <v>2.0000005732018706E-3</v>
      </c>
      <c r="I208" s="255">
        <v>3.5304930022281421E-3</v>
      </c>
      <c r="J208" s="256">
        <v>1.2945724664913629E-5</v>
      </c>
      <c r="K208" s="257">
        <v>1.3531072888458627E-5</v>
      </c>
      <c r="L208" s="228">
        <v>3.1636883532366621E-2</v>
      </c>
    </row>
    <row r="209" spans="1:12" s="212" customFormat="1" ht="15.5" x14ac:dyDescent="0.35">
      <c r="A209" s="198" t="s">
        <v>796</v>
      </c>
      <c r="B209" s="197">
        <v>2045</v>
      </c>
      <c r="C209" s="213" t="s">
        <v>3468</v>
      </c>
      <c r="D209" s="239">
        <v>4.3923375242258004E-3</v>
      </c>
      <c r="E209" s="226">
        <v>2.6409997409872685E-2</v>
      </c>
      <c r="F209" s="226">
        <v>6.2498324243492789E-4</v>
      </c>
      <c r="G209" s="227">
        <v>5.7512055878065481E-4</v>
      </c>
      <c r="H209" s="226">
        <v>2.0000005732018701E-3</v>
      </c>
      <c r="I209" s="255">
        <v>3.5295466291303357E-3</v>
      </c>
      <c r="J209" s="256">
        <v>1.2102219079976767E-5</v>
      </c>
      <c r="K209" s="257">
        <v>1.2649427723971517E-5</v>
      </c>
      <c r="L209" s="228">
        <v>3.1491301454093151E-2</v>
      </c>
    </row>
    <row r="210" spans="1:12" s="212" customFormat="1" ht="15.5" x14ac:dyDescent="0.35">
      <c r="A210" s="198" t="s">
        <v>796</v>
      </c>
      <c r="B210" s="197">
        <v>2046</v>
      </c>
      <c r="C210" s="213" t="s">
        <v>3469</v>
      </c>
      <c r="D210" s="239">
        <v>4.2258789266388019E-3</v>
      </c>
      <c r="E210" s="226">
        <v>2.5017411303378298E-2</v>
      </c>
      <c r="F210" s="226">
        <v>6.0880266353642847E-4</v>
      </c>
      <c r="G210" s="227">
        <v>5.6021748382625988E-4</v>
      </c>
      <c r="H210" s="226">
        <v>2.0000005732018701E-3</v>
      </c>
      <c r="I210" s="255">
        <v>3.5286683233623729E-3</v>
      </c>
      <c r="J210" s="256">
        <v>1.1444415237563232E-5</v>
      </c>
      <c r="K210" s="257">
        <v>1.196188091076536E-5</v>
      </c>
      <c r="L210" s="228">
        <v>3.1357540060625085E-2</v>
      </c>
    </row>
    <row r="211" spans="1:12" s="212" customFormat="1" ht="15.5" x14ac:dyDescent="0.35">
      <c r="A211" s="198" t="s">
        <v>796</v>
      </c>
      <c r="B211" s="197">
        <v>2047</v>
      </c>
      <c r="C211" s="213" t="s">
        <v>3470</v>
      </c>
      <c r="D211" s="239">
        <v>4.0914825012932999E-3</v>
      </c>
      <c r="E211" s="226">
        <v>2.3896767824641747E-2</v>
      </c>
      <c r="F211" s="226">
        <v>5.9499284815806301E-4</v>
      </c>
      <c r="G211" s="227">
        <v>5.4749826347821808E-4</v>
      </c>
      <c r="H211" s="226">
        <v>2.0000005732018701E-3</v>
      </c>
      <c r="I211" s="255">
        <v>3.5279961627559509E-3</v>
      </c>
      <c r="J211" s="256">
        <v>1.0889916433705812E-5</v>
      </c>
      <c r="K211" s="257">
        <v>1.1382310131549489E-5</v>
      </c>
      <c r="L211" s="228">
        <v>3.1242180631085532E-2</v>
      </c>
    </row>
    <row r="212" spans="1:12" s="212" customFormat="1" ht="15.5" x14ac:dyDescent="0.35">
      <c r="A212" s="198" t="s">
        <v>796</v>
      </c>
      <c r="B212" s="197">
        <v>2048</v>
      </c>
      <c r="C212" s="213" t="s">
        <v>3471</v>
      </c>
      <c r="D212" s="239">
        <v>3.9718586036581842E-3</v>
      </c>
      <c r="E212" s="226">
        <v>2.2884369888750668E-2</v>
      </c>
      <c r="F212" s="226">
        <v>5.8224429568326974E-4</v>
      </c>
      <c r="G212" s="227">
        <v>5.3573918062819385E-4</v>
      </c>
      <c r="H212" s="226">
        <v>2.0000005732018706E-3</v>
      </c>
      <c r="I212" s="255">
        <v>3.5273856204922878E-3</v>
      </c>
      <c r="J212" s="256">
        <v>9.93363596237835E-6</v>
      </c>
      <c r="K212" s="257">
        <v>1.0382790900740363E-5</v>
      </c>
      <c r="L212" s="228">
        <v>3.1137810893045587E-2</v>
      </c>
    </row>
    <row r="213" spans="1:12" s="212" customFormat="1" ht="15.5" x14ac:dyDescent="0.35">
      <c r="A213" s="198" t="s">
        <v>796</v>
      </c>
      <c r="B213" s="197">
        <v>2049</v>
      </c>
      <c r="C213" s="213" t="s">
        <v>3472</v>
      </c>
      <c r="D213" s="239">
        <v>3.9507822141187192E-3</v>
      </c>
      <c r="E213" s="226">
        <v>2.2808383012212906E-2</v>
      </c>
      <c r="F213" s="226">
        <v>5.7576535032387093E-4</v>
      </c>
      <c r="G213" s="227">
        <v>5.2976974750422012E-4</v>
      </c>
      <c r="H213" s="226">
        <v>2.0000005732018701E-3</v>
      </c>
      <c r="I213" s="255">
        <v>3.5268371686721861E-3</v>
      </c>
      <c r="J213" s="256">
        <v>9.6184122358854388E-6</v>
      </c>
      <c r="K213" s="257">
        <v>1.0053314156120001E-5</v>
      </c>
      <c r="L213" s="228">
        <v>3.1047355362059985E-2</v>
      </c>
    </row>
    <row r="214" spans="1:12" s="212" customFormat="1" ht="15.5" x14ac:dyDescent="0.35">
      <c r="A214" s="198" t="s">
        <v>796</v>
      </c>
      <c r="B214" s="197">
        <v>2050</v>
      </c>
      <c r="C214" s="213" t="s">
        <v>3473</v>
      </c>
      <c r="D214" s="239">
        <v>3.9321189710138597E-3</v>
      </c>
      <c r="E214" s="226">
        <v>2.2734421548419207E-2</v>
      </c>
      <c r="F214" s="226">
        <v>5.6993831973677458E-4</v>
      </c>
      <c r="G214" s="227">
        <v>5.2439106385166086E-4</v>
      </c>
      <c r="H214" s="226">
        <v>2.0000005732018701E-3</v>
      </c>
      <c r="I214" s="255">
        <v>3.5262711560170587E-3</v>
      </c>
      <c r="J214" s="256">
        <v>9.0808717933934225E-6</v>
      </c>
      <c r="K214" s="257">
        <v>9.4914685201189021E-6</v>
      </c>
      <c r="L214" s="228">
        <v>3.0965062841738167E-2</v>
      </c>
    </row>
    <row r="215" spans="1:12" s="212" customFormat="1" ht="15.5" x14ac:dyDescent="0.35">
      <c r="A215" s="198" t="s">
        <v>798</v>
      </c>
      <c r="B215" s="197">
        <v>2015</v>
      </c>
      <c r="C215" s="213" t="s">
        <v>3474</v>
      </c>
      <c r="D215" s="239">
        <v>5.4030895506586012E-2</v>
      </c>
      <c r="E215" s="226">
        <v>0.24996520755972437</v>
      </c>
      <c r="F215" s="226">
        <v>2.0330381402841515E-3</v>
      </c>
      <c r="G215" s="227">
        <v>1.8798950617620685E-3</v>
      </c>
      <c r="H215" s="226">
        <v>2.0000005732018801E-3</v>
      </c>
      <c r="I215" s="255">
        <v>2.4149901889333079E-3</v>
      </c>
      <c r="J215" s="256">
        <v>1.8540843530715761E-4</v>
      </c>
      <c r="K215" s="257">
        <v>1.9379178201400091E-4</v>
      </c>
      <c r="L215" s="228">
        <v>4.6506635858956931E-2</v>
      </c>
    </row>
    <row r="216" spans="1:12" s="212" customFormat="1" ht="15.5" x14ac:dyDescent="0.35">
      <c r="A216" s="198" t="s">
        <v>798</v>
      </c>
      <c r="B216" s="197">
        <v>2016</v>
      </c>
      <c r="C216" s="213" t="s">
        <v>3475</v>
      </c>
      <c r="D216" s="239">
        <v>4.7669445691708084E-2</v>
      </c>
      <c r="E216" s="226">
        <v>0.22673809081554194</v>
      </c>
      <c r="F216" s="226">
        <v>1.9633933347337549E-3</v>
      </c>
      <c r="G216" s="227">
        <v>1.8141692974447811E-3</v>
      </c>
      <c r="H216" s="226">
        <v>2.0000005732018801E-3</v>
      </c>
      <c r="I216" s="255">
        <v>2.4088746913030787E-3</v>
      </c>
      <c r="J216" s="256">
        <v>1.6425840990993268E-4</v>
      </c>
      <c r="K216" s="257">
        <v>1.7168544632016107E-4</v>
      </c>
      <c r="L216" s="228">
        <v>4.5356825613593159E-2</v>
      </c>
    </row>
    <row r="217" spans="1:12" s="212" customFormat="1" ht="15.5" x14ac:dyDescent="0.35">
      <c r="A217" s="198" t="s">
        <v>798</v>
      </c>
      <c r="B217" s="197">
        <v>2017</v>
      </c>
      <c r="C217" s="213" t="s">
        <v>3476</v>
      </c>
      <c r="D217" s="239">
        <v>3.8430259410020963E-2</v>
      </c>
      <c r="E217" s="226">
        <v>0.18963776784385802</v>
      </c>
      <c r="F217" s="226">
        <v>1.8327747719258719E-3</v>
      </c>
      <c r="G217" s="227">
        <v>1.6921030485783398E-3</v>
      </c>
      <c r="H217" s="226">
        <v>2.0000005732018801E-3</v>
      </c>
      <c r="I217" s="255">
        <v>2.4101947375977165E-3</v>
      </c>
      <c r="J217" s="256">
        <v>1.3745774537261645E-4</v>
      </c>
      <c r="K217" s="257">
        <v>1.436729746586548E-4</v>
      </c>
      <c r="L217" s="228">
        <v>4.5068354718324578E-2</v>
      </c>
    </row>
    <row r="218" spans="1:12" s="212" customFormat="1" ht="15.5" x14ac:dyDescent="0.35">
      <c r="A218" s="198" t="s">
        <v>798</v>
      </c>
      <c r="B218" s="197">
        <v>2018</v>
      </c>
      <c r="C218" s="213" t="s">
        <v>3477</v>
      </c>
      <c r="D218" s="239">
        <v>3.2428568012984549E-2</v>
      </c>
      <c r="E218" s="226">
        <v>0.1648989999716271</v>
      </c>
      <c r="F218" s="226">
        <v>1.7782618347181166E-3</v>
      </c>
      <c r="G218" s="227">
        <v>1.6406185000746927E-3</v>
      </c>
      <c r="H218" s="226">
        <v>2.0000005732018801E-3</v>
      </c>
      <c r="I218" s="255">
        <v>2.4108535828259109E-3</v>
      </c>
      <c r="J218" s="256">
        <v>1.1804278960768748E-4</v>
      </c>
      <c r="K218" s="257">
        <v>1.2338016074662613E-4</v>
      </c>
      <c r="L218" s="228">
        <v>4.4516049490827846E-2</v>
      </c>
    </row>
    <row r="219" spans="1:12" s="212" customFormat="1" ht="15.5" x14ac:dyDescent="0.35">
      <c r="A219" s="198" t="s">
        <v>798</v>
      </c>
      <c r="B219" s="197">
        <v>2019</v>
      </c>
      <c r="C219" s="213" t="s">
        <v>3478</v>
      </c>
      <c r="D219" s="239">
        <v>2.6890613993816179E-2</v>
      </c>
      <c r="E219" s="226">
        <v>0.14028101592930334</v>
      </c>
      <c r="F219" s="226">
        <v>1.7463273405309598E-3</v>
      </c>
      <c r="G219" s="227">
        <v>1.6104467431255186E-3</v>
      </c>
      <c r="H219" s="226">
        <v>2.0000005732018801E-3</v>
      </c>
      <c r="I219" s="255">
        <v>2.411925551085502E-3</v>
      </c>
      <c r="J219" s="256">
        <v>1.1088025661049281E-4</v>
      </c>
      <c r="K219" s="257">
        <v>1.158937697905676E-4</v>
      </c>
      <c r="L219" s="228">
        <v>4.3823087472103429E-2</v>
      </c>
    </row>
    <row r="220" spans="1:12" s="212" customFormat="1" ht="15.5" x14ac:dyDescent="0.35">
      <c r="A220" s="198" t="s">
        <v>798</v>
      </c>
      <c r="B220" s="197">
        <v>2020</v>
      </c>
      <c r="C220" s="213" t="s">
        <v>3479</v>
      </c>
      <c r="D220" s="239">
        <v>2.3539930928198182E-2</v>
      </c>
      <c r="E220" s="226">
        <v>0.12488747418160799</v>
      </c>
      <c r="F220" s="226">
        <v>1.7013835075645634E-3</v>
      </c>
      <c r="G220" s="227">
        <v>1.5686589029254906E-3</v>
      </c>
      <c r="H220" s="226">
        <v>2.0000005732018797E-3</v>
      </c>
      <c r="I220" s="255">
        <v>2.4171718614274507E-3</v>
      </c>
      <c r="J220" s="256">
        <v>1.030731647315101E-4</v>
      </c>
      <c r="K220" s="257">
        <v>1.0773367586027459E-4</v>
      </c>
      <c r="L220" s="228">
        <v>4.3445494638041572E-2</v>
      </c>
    </row>
    <row r="221" spans="1:12" s="212" customFormat="1" ht="15.5" x14ac:dyDescent="0.35">
      <c r="A221" s="198" t="s">
        <v>798</v>
      </c>
      <c r="B221" s="197">
        <v>2021</v>
      </c>
      <c r="C221" s="213" t="s">
        <v>3480</v>
      </c>
      <c r="D221" s="239">
        <v>2.0659971643609089E-2</v>
      </c>
      <c r="E221" s="226">
        <v>0.11033719483839889</v>
      </c>
      <c r="F221" s="226">
        <v>1.6281604412669664E-3</v>
      </c>
      <c r="G221" s="227">
        <v>1.5009223861657177E-3</v>
      </c>
      <c r="H221" s="226">
        <v>2.0000005732018805E-3</v>
      </c>
      <c r="I221" s="255">
        <v>2.4195153868463992E-3</v>
      </c>
      <c r="J221" s="256">
        <v>9.4689726696578063E-5</v>
      </c>
      <c r="K221" s="257">
        <v>9.8971175958358098E-5</v>
      </c>
      <c r="L221" s="228">
        <v>4.2549953183902839E-2</v>
      </c>
    </row>
    <row r="222" spans="1:12" s="212" customFormat="1" ht="15.5" x14ac:dyDescent="0.35">
      <c r="A222" s="198" t="s">
        <v>798</v>
      </c>
      <c r="B222" s="197">
        <v>2022</v>
      </c>
      <c r="C222" s="213" t="s">
        <v>3481</v>
      </c>
      <c r="D222" s="239">
        <v>1.7755926419405797E-2</v>
      </c>
      <c r="E222" s="226">
        <v>9.6435969314197678E-2</v>
      </c>
      <c r="F222" s="226">
        <v>1.5490618110772323E-3</v>
      </c>
      <c r="G222" s="227">
        <v>1.4276808426851666E-3</v>
      </c>
      <c r="H222" s="226">
        <v>2.0000005732018801E-3</v>
      </c>
      <c r="I222" s="255">
        <v>2.4188122118513045E-3</v>
      </c>
      <c r="J222" s="256">
        <v>8.5110133594264005E-5</v>
      </c>
      <c r="K222" s="257">
        <v>8.8958436164772185E-5</v>
      </c>
      <c r="L222" s="228">
        <v>4.1728450717168922E-2</v>
      </c>
    </row>
    <row r="223" spans="1:12" s="212" customFormat="1" ht="15.5" x14ac:dyDescent="0.35">
      <c r="A223" s="198" t="s">
        <v>798</v>
      </c>
      <c r="B223" s="197">
        <v>2023</v>
      </c>
      <c r="C223" s="213" t="s">
        <v>3482</v>
      </c>
      <c r="D223" s="239">
        <v>1.5576319469609495E-2</v>
      </c>
      <c r="E223" s="226">
        <v>8.4708091109857594E-2</v>
      </c>
      <c r="F223" s="226">
        <v>1.4771962854514839E-3</v>
      </c>
      <c r="G223" s="227">
        <v>1.3612006907223841E-3</v>
      </c>
      <c r="H223" s="226">
        <v>2.0000005732018801E-3</v>
      </c>
      <c r="I223" s="255">
        <v>2.4177555014369308E-3</v>
      </c>
      <c r="J223" s="256">
        <v>7.545392490666189E-5</v>
      </c>
      <c r="K223" s="257">
        <v>7.8865616569108213E-5</v>
      </c>
      <c r="L223" s="228">
        <v>4.0862216832389053E-2</v>
      </c>
    </row>
    <row r="224" spans="1:12" s="212" customFormat="1" ht="15.5" x14ac:dyDescent="0.35">
      <c r="A224" s="198" t="s">
        <v>798</v>
      </c>
      <c r="B224" s="197">
        <v>2024</v>
      </c>
      <c r="C224" s="213" t="s">
        <v>3483</v>
      </c>
      <c r="D224" s="239">
        <v>1.370475786007931E-2</v>
      </c>
      <c r="E224" s="226">
        <v>7.4722112982918559E-2</v>
      </c>
      <c r="F224" s="226">
        <v>1.4129427388347045E-3</v>
      </c>
      <c r="G224" s="227">
        <v>1.3017355720903033E-3</v>
      </c>
      <c r="H224" s="226">
        <v>2.0000005732018805E-3</v>
      </c>
      <c r="I224" s="255">
        <v>2.4167849346024709E-3</v>
      </c>
      <c r="J224" s="256">
        <v>6.6175053992815856E-5</v>
      </c>
      <c r="K224" s="257">
        <v>6.9167196286917964E-5</v>
      </c>
      <c r="L224" s="228">
        <v>3.9964833247275129E-2</v>
      </c>
    </row>
    <row r="225" spans="1:12" s="212" customFormat="1" ht="15.5" x14ac:dyDescent="0.35">
      <c r="A225" s="198" t="s">
        <v>798</v>
      </c>
      <c r="B225" s="197">
        <v>2025</v>
      </c>
      <c r="C225" s="213" t="s">
        <v>3484</v>
      </c>
      <c r="D225" s="239">
        <v>1.216069488625793E-2</v>
      </c>
      <c r="E225" s="226">
        <v>6.6442147661657361E-2</v>
      </c>
      <c r="F225" s="226">
        <v>1.3597827492789296E-3</v>
      </c>
      <c r="G225" s="227">
        <v>1.2525809579956896E-3</v>
      </c>
      <c r="H225" s="226">
        <v>2.0000005732018801E-3</v>
      </c>
      <c r="I225" s="255">
        <v>2.4158993440411077E-3</v>
      </c>
      <c r="J225" s="256">
        <v>5.9278625994577596E-5</v>
      </c>
      <c r="K225" s="257">
        <v>6.1958942417045381E-5</v>
      </c>
      <c r="L225" s="228">
        <v>3.9043692963774357E-2</v>
      </c>
    </row>
    <row r="226" spans="1:12" s="212" customFormat="1" ht="15.5" x14ac:dyDescent="0.35">
      <c r="A226" s="198" t="s">
        <v>798</v>
      </c>
      <c r="B226" s="197">
        <v>2026</v>
      </c>
      <c r="C226" s="213" t="s">
        <v>3485</v>
      </c>
      <c r="D226" s="239">
        <v>1.0856276332273226E-2</v>
      </c>
      <c r="E226" s="226">
        <v>5.9513944003692074E-2</v>
      </c>
      <c r="F226" s="226">
        <v>1.303310473674538E-3</v>
      </c>
      <c r="G226" s="227">
        <v>1.2003668356340904E-3</v>
      </c>
      <c r="H226" s="226">
        <v>2.0000005732018801E-3</v>
      </c>
      <c r="I226" s="255">
        <v>2.4149825270241817E-3</v>
      </c>
      <c r="J226" s="256">
        <v>5.1862549718022898E-5</v>
      </c>
      <c r="K226" s="257">
        <v>5.4207544079615919E-5</v>
      </c>
      <c r="L226" s="228">
        <v>3.8150912295392934E-2</v>
      </c>
    </row>
    <row r="227" spans="1:12" s="212" customFormat="1" ht="15.5" x14ac:dyDescent="0.35">
      <c r="A227" s="198" t="s">
        <v>798</v>
      </c>
      <c r="B227" s="197">
        <v>2027</v>
      </c>
      <c r="C227" s="213" t="s">
        <v>3486</v>
      </c>
      <c r="D227" s="239">
        <v>9.7604788570095774E-3</v>
      </c>
      <c r="E227" s="226">
        <v>5.3657254668961818E-2</v>
      </c>
      <c r="F227" s="226">
        <v>1.2375284948801487E-3</v>
      </c>
      <c r="G227" s="227">
        <v>1.1395388346131534E-3</v>
      </c>
      <c r="H227" s="226">
        <v>2.0000005732018801E-3</v>
      </c>
      <c r="I227" s="255">
        <v>2.4139638180778176E-3</v>
      </c>
      <c r="J227" s="256">
        <v>4.3042621517674151E-5</v>
      </c>
      <c r="K227" s="257">
        <v>4.4988817863899167E-5</v>
      </c>
      <c r="L227" s="228">
        <v>3.731447164296408E-2</v>
      </c>
    </row>
    <row r="228" spans="1:12" s="212" customFormat="1" ht="15.5" x14ac:dyDescent="0.35">
      <c r="A228" s="198" t="s">
        <v>798</v>
      </c>
      <c r="B228" s="197">
        <v>2028</v>
      </c>
      <c r="C228" s="213" t="s">
        <v>3487</v>
      </c>
      <c r="D228" s="239">
        <v>8.8491894319656407E-3</v>
      </c>
      <c r="E228" s="226">
        <v>4.8769766606282995E-2</v>
      </c>
      <c r="F228" s="226">
        <v>1.1656508419663574E-3</v>
      </c>
      <c r="G228" s="227">
        <v>1.0731632537638613E-3</v>
      </c>
      <c r="H228" s="226">
        <v>2.0000005732018797E-3</v>
      </c>
      <c r="I228" s="255">
        <v>2.4130788479249281E-3</v>
      </c>
      <c r="J228" s="256">
        <v>3.5683508026512639E-5</v>
      </c>
      <c r="K228" s="257">
        <v>3.7296957916249804E-5</v>
      </c>
      <c r="L228" s="228">
        <v>3.654611003239671E-2</v>
      </c>
    </row>
    <row r="229" spans="1:12" s="212" customFormat="1" ht="15.5" x14ac:dyDescent="0.35">
      <c r="A229" s="198" t="s">
        <v>798</v>
      </c>
      <c r="B229" s="197">
        <v>2029</v>
      </c>
      <c r="C229" s="213" t="s">
        <v>3488</v>
      </c>
      <c r="D229" s="239">
        <v>8.0688948647846415E-3</v>
      </c>
      <c r="E229" s="226">
        <v>4.4656012698265454E-2</v>
      </c>
      <c r="F229" s="226">
        <v>1.0965298398226439E-3</v>
      </c>
      <c r="G229" s="227">
        <v>1.0093901215869185E-3</v>
      </c>
      <c r="H229" s="226">
        <v>2.0000005732018801E-3</v>
      </c>
      <c r="I229" s="255">
        <v>2.412264184517488E-3</v>
      </c>
      <c r="J229" s="256">
        <v>3.0064770471206053E-5</v>
      </c>
      <c r="K229" s="257">
        <v>3.14241659814709E-5</v>
      </c>
      <c r="L229" s="228">
        <v>3.5843439724152049E-2</v>
      </c>
    </row>
    <row r="230" spans="1:12" s="212" customFormat="1" ht="15.5" x14ac:dyDescent="0.35">
      <c r="A230" s="198" t="s">
        <v>798</v>
      </c>
      <c r="B230" s="197">
        <v>2030</v>
      </c>
      <c r="C230" s="213" t="s">
        <v>3489</v>
      </c>
      <c r="D230" s="239">
        <v>7.4193445858033273E-3</v>
      </c>
      <c r="E230" s="226">
        <v>4.1217079922655248E-2</v>
      </c>
      <c r="F230" s="226">
        <v>1.0302974731541497E-3</v>
      </c>
      <c r="G230" s="227">
        <v>9.4829082347036716E-4</v>
      </c>
      <c r="H230" s="226">
        <v>2.0000005732018801E-3</v>
      </c>
      <c r="I230" s="255">
        <v>2.4115473738118795E-3</v>
      </c>
      <c r="J230" s="256">
        <v>2.4903914162788154E-5</v>
      </c>
      <c r="K230" s="257">
        <v>2.6029958651747023E-5</v>
      </c>
      <c r="L230" s="228">
        <v>3.5205102343722691E-2</v>
      </c>
    </row>
    <row r="231" spans="1:12" s="212" customFormat="1" ht="15.5" x14ac:dyDescent="0.35">
      <c r="A231" s="198" t="s">
        <v>798</v>
      </c>
      <c r="B231" s="197">
        <v>2031</v>
      </c>
      <c r="C231" s="213" t="s">
        <v>3490</v>
      </c>
      <c r="D231" s="239">
        <v>6.8516505988532967E-3</v>
      </c>
      <c r="E231" s="226">
        <v>3.8249788136888584E-2</v>
      </c>
      <c r="F231" s="226">
        <v>9.6876472999415637E-4</v>
      </c>
      <c r="G231" s="227">
        <v>8.9161084863645065E-4</v>
      </c>
      <c r="H231" s="226">
        <v>2.0000005732018805E-3</v>
      </c>
      <c r="I231" s="255">
        <v>2.4107922894452652E-3</v>
      </c>
      <c r="J231" s="256">
        <v>2.2263224812088071E-5</v>
      </c>
      <c r="K231" s="257">
        <v>2.3269869046493744E-5</v>
      </c>
      <c r="L231" s="228">
        <v>3.4626569666803254E-2</v>
      </c>
    </row>
    <row r="232" spans="1:12" s="212" customFormat="1" ht="15.5" x14ac:dyDescent="0.35">
      <c r="A232" s="198" t="s">
        <v>798</v>
      </c>
      <c r="B232" s="197">
        <v>2032</v>
      </c>
      <c r="C232" s="213" t="s">
        <v>3491</v>
      </c>
      <c r="D232" s="239">
        <v>6.3626818424897752E-3</v>
      </c>
      <c r="E232" s="226">
        <v>3.5744574755172946E-2</v>
      </c>
      <c r="F232" s="226">
        <v>9.1069364937987796E-4</v>
      </c>
      <c r="G232" s="227">
        <v>8.3812033952063928E-4</v>
      </c>
      <c r="H232" s="226">
        <v>2.0000005732018801E-3</v>
      </c>
      <c r="I232" s="255">
        <v>2.4100036386092761E-3</v>
      </c>
      <c r="J232" s="256">
        <v>1.9791793692970407E-5</v>
      </c>
      <c r="K232" s="257">
        <v>2.0686690778982743E-5</v>
      </c>
      <c r="L232" s="228">
        <v>3.4104430541563584E-2</v>
      </c>
    </row>
    <row r="233" spans="1:12" s="212" customFormat="1" ht="15.5" x14ac:dyDescent="0.35">
      <c r="A233" s="198" t="s">
        <v>798</v>
      </c>
      <c r="B233" s="197">
        <v>2033</v>
      </c>
      <c r="C233" s="213" t="s">
        <v>3492</v>
      </c>
      <c r="D233" s="239">
        <v>5.93629933374376E-3</v>
      </c>
      <c r="E233" s="226">
        <v>3.3599805463628216E-2</v>
      </c>
      <c r="F233" s="226">
        <v>8.5640831212578726E-4</v>
      </c>
      <c r="G233" s="227">
        <v>7.8813426571739125E-4</v>
      </c>
      <c r="H233" s="226">
        <v>2.0000005732018801E-3</v>
      </c>
      <c r="I233" s="255">
        <v>2.409185684582035E-3</v>
      </c>
      <c r="J233" s="256">
        <v>1.792565766277484E-5</v>
      </c>
      <c r="K233" s="257">
        <v>1.8736176358357722E-5</v>
      </c>
      <c r="L233" s="228">
        <v>3.3634752833815264E-2</v>
      </c>
    </row>
    <row r="234" spans="1:12" s="212" customFormat="1" ht="15.5" x14ac:dyDescent="0.35">
      <c r="A234" s="198" t="s">
        <v>798</v>
      </c>
      <c r="B234" s="197">
        <v>2034</v>
      </c>
      <c r="C234" s="213" t="s">
        <v>3493</v>
      </c>
      <c r="D234" s="239">
        <v>5.5511202724535958E-3</v>
      </c>
      <c r="E234" s="226">
        <v>3.1731328919406741E-2</v>
      </c>
      <c r="F234" s="226">
        <v>8.0505880370852182E-4</v>
      </c>
      <c r="G234" s="227">
        <v>7.4084276700072478E-4</v>
      </c>
      <c r="H234" s="226">
        <v>2.0000005732018801E-3</v>
      </c>
      <c r="I234" s="255">
        <v>2.4083626837053109E-3</v>
      </c>
      <c r="J234" s="256">
        <v>1.5936041018566522E-5</v>
      </c>
      <c r="K234" s="257">
        <v>1.6656598078291405E-5</v>
      </c>
      <c r="L234" s="228">
        <v>3.3214895061901992E-2</v>
      </c>
    </row>
    <row r="235" spans="1:12" s="212" customFormat="1" ht="15.5" x14ac:dyDescent="0.35">
      <c r="A235" s="198" t="s">
        <v>798</v>
      </c>
      <c r="B235" s="197">
        <v>2035</v>
      </c>
      <c r="C235" s="213" t="s">
        <v>3494</v>
      </c>
      <c r="D235" s="239">
        <v>5.2188830794054697E-3</v>
      </c>
      <c r="E235" s="226">
        <v>3.0169384021762218E-2</v>
      </c>
      <c r="F235" s="226">
        <v>7.5751239624584192E-4</v>
      </c>
      <c r="G235" s="227">
        <v>6.9704582083762051E-4</v>
      </c>
      <c r="H235" s="226">
        <v>2.0000005732018801E-3</v>
      </c>
      <c r="I235" s="255">
        <v>2.4075766693590584E-3</v>
      </c>
      <c r="J235" s="256">
        <v>1.3888461725757991E-5</v>
      </c>
      <c r="K235" s="257">
        <v>1.4516436335860607E-5</v>
      </c>
      <c r="L235" s="228">
        <v>3.284295007492255E-2</v>
      </c>
    </row>
    <row r="236" spans="1:12" s="212" customFormat="1" ht="15.5" x14ac:dyDescent="0.35">
      <c r="A236" s="198" t="s">
        <v>798</v>
      </c>
      <c r="B236" s="197">
        <v>2036</v>
      </c>
      <c r="C236" s="213" t="s">
        <v>3495</v>
      </c>
      <c r="D236" s="239">
        <v>4.9248402020852632E-3</v>
      </c>
      <c r="E236" s="226">
        <v>2.880979661156479E-2</v>
      </c>
      <c r="F236" s="226">
        <v>7.1594037865398575E-4</v>
      </c>
      <c r="G236" s="227">
        <v>6.5877034115808316E-4</v>
      </c>
      <c r="H236" s="226">
        <v>2.0000005732018801E-3</v>
      </c>
      <c r="I236" s="255">
        <v>2.4068141891228534E-3</v>
      </c>
      <c r="J236" s="256">
        <v>1.2565560236799102E-5</v>
      </c>
      <c r="K236" s="257">
        <v>1.3133719111859415E-5</v>
      </c>
      <c r="L236" s="228">
        <v>3.2515538350936873E-2</v>
      </c>
    </row>
    <row r="237" spans="1:12" s="212" customFormat="1" ht="15.5" x14ac:dyDescent="0.35">
      <c r="A237" s="198" t="s">
        <v>798</v>
      </c>
      <c r="B237" s="197">
        <v>2037</v>
      </c>
      <c r="C237" s="213" t="s">
        <v>3496</v>
      </c>
      <c r="D237" s="239">
        <v>4.6718618265576273E-3</v>
      </c>
      <c r="E237" s="226">
        <v>2.765659390117689E-2</v>
      </c>
      <c r="F237" s="226">
        <v>6.7831709421529919E-4</v>
      </c>
      <c r="G237" s="227">
        <v>6.2412375547667815E-4</v>
      </c>
      <c r="H237" s="226">
        <v>2.0000005732018801E-3</v>
      </c>
      <c r="I237" s="255">
        <v>2.4061167724602791E-3</v>
      </c>
      <c r="J237" s="256">
        <v>1.119593792086957E-5</v>
      </c>
      <c r="K237" s="257">
        <v>1.1702168552412562E-5</v>
      </c>
      <c r="L237" s="228">
        <v>3.2230764139582077E-2</v>
      </c>
    </row>
    <row r="238" spans="1:12" s="212" customFormat="1" ht="15.5" x14ac:dyDescent="0.35">
      <c r="A238" s="198" t="s">
        <v>798</v>
      </c>
      <c r="B238" s="197">
        <v>2038</v>
      </c>
      <c r="C238" s="213" t="s">
        <v>3497</v>
      </c>
      <c r="D238" s="239">
        <v>4.4402017342146062E-3</v>
      </c>
      <c r="E238" s="226">
        <v>2.6617011275003627E-2</v>
      </c>
      <c r="F238" s="226">
        <v>6.4480043679515761E-4</v>
      </c>
      <c r="G238" s="227">
        <v>5.9327115617714623E-4</v>
      </c>
      <c r="H238" s="226">
        <v>2.0000005732018801E-3</v>
      </c>
      <c r="I238" s="255">
        <v>2.4054887524176966E-3</v>
      </c>
      <c r="J238" s="256">
        <v>1.0290717336484385E-5</v>
      </c>
      <c r="K238" s="257">
        <v>1.0756017910058326E-5</v>
      </c>
      <c r="L238" s="228">
        <v>3.198526099422766E-2</v>
      </c>
    </row>
    <row r="239" spans="1:12" s="212" customFormat="1" ht="15.5" x14ac:dyDescent="0.35">
      <c r="A239" s="198" t="s">
        <v>798</v>
      </c>
      <c r="B239" s="197">
        <v>2039</v>
      </c>
      <c r="C239" s="213" t="s">
        <v>3498</v>
      </c>
      <c r="D239" s="239">
        <v>4.2170341260266784E-3</v>
      </c>
      <c r="E239" s="226">
        <v>2.5636160889026038E-2</v>
      </c>
      <c r="F239" s="226">
        <v>6.1486176101768558E-4</v>
      </c>
      <c r="G239" s="227">
        <v>5.657101913302318E-4</v>
      </c>
      <c r="H239" s="226">
        <v>2.0000005732018801E-3</v>
      </c>
      <c r="I239" s="255">
        <v>2.404920803228074E-3</v>
      </c>
      <c r="J239" s="256">
        <v>9.4320129670998912E-6</v>
      </c>
      <c r="K239" s="257">
        <v>9.8584867395344752E-6</v>
      </c>
      <c r="L239" s="228">
        <v>3.1774093640517288E-2</v>
      </c>
    </row>
    <row r="240" spans="1:12" s="212" customFormat="1" ht="15.5" x14ac:dyDescent="0.35">
      <c r="A240" s="198" t="s">
        <v>798</v>
      </c>
      <c r="B240" s="197">
        <v>2040</v>
      </c>
      <c r="C240" s="213" t="s">
        <v>3499</v>
      </c>
      <c r="D240" s="239">
        <v>4.0201034097648303E-3</v>
      </c>
      <c r="E240" s="226">
        <v>2.4798578106613213E-2</v>
      </c>
      <c r="F240" s="226">
        <v>5.8875987864621016E-4</v>
      </c>
      <c r="G240" s="227">
        <v>5.4168508817340844E-4</v>
      </c>
      <c r="H240" s="226">
        <v>2.0000005732018801E-3</v>
      </c>
      <c r="I240" s="255">
        <v>2.4044525854486436E-3</v>
      </c>
      <c r="J240" s="256">
        <v>8.7804745345158119E-6</v>
      </c>
      <c r="K240" s="257">
        <v>9.177488630187912E-6</v>
      </c>
      <c r="L240" s="228">
        <v>3.1594636318201974E-2</v>
      </c>
    </row>
    <row r="241" spans="1:12" s="212" customFormat="1" ht="15.5" x14ac:dyDescent="0.35">
      <c r="A241" s="198" t="s">
        <v>798</v>
      </c>
      <c r="B241" s="197">
        <v>2041</v>
      </c>
      <c r="C241" s="213" t="s">
        <v>3500</v>
      </c>
      <c r="D241" s="239">
        <v>3.8681742758979298E-3</v>
      </c>
      <c r="E241" s="226">
        <v>2.4114796596770342E-2</v>
      </c>
      <c r="F241" s="226">
        <v>5.6842718530052247E-4</v>
      </c>
      <c r="G241" s="227">
        <v>5.2296884094623556E-4</v>
      </c>
      <c r="H241" s="226">
        <v>2.0000005732018801E-3</v>
      </c>
      <c r="I241" s="255">
        <v>2.404088131945922E-3</v>
      </c>
      <c r="J241" s="256">
        <v>8.2392867218683329E-6</v>
      </c>
      <c r="K241" s="257">
        <v>8.6118307061378746E-6</v>
      </c>
      <c r="L241" s="228">
        <v>3.1444903109272664E-2</v>
      </c>
    </row>
    <row r="242" spans="1:12" s="212" customFormat="1" ht="15.5" x14ac:dyDescent="0.35">
      <c r="A242" s="198" t="s">
        <v>798</v>
      </c>
      <c r="B242" s="197">
        <v>2042</v>
      </c>
      <c r="C242" s="213" t="s">
        <v>3501</v>
      </c>
      <c r="D242" s="239">
        <v>3.7324988810189131E-3</v>
      </c>
      <c r="E242" s="226">
        <v>2.346360329184486E-2</v>
      </c>
      <c r="F242" s="226">
        <v>5.5102059899074702E-4</v>
      </c>
      <c r="G242" s="227">
        <v>5.0694694588066945E-4</v>
      </c>
      <c r="H242" s="226">
        <v>2.0000005732018801E-3</v>
      </c>
      <c r="I242" s="255">
        <v>2.4037685033697913E-3</v>
      </c>
      <c r="J242" s="256">
        <v>7.7983161814073979E-6</v>
      </c>
      <c r="K242" s="257">
        <v>8.1509214346151066E-6</v>
      </c>
      <c r="L242" s="228">
        <v>3.1318621419283335E-2</v>
      </c>
    </row>
    <row r="243" spans="1:12" s="212" customFormat="1" ht="15.5" x14ac:dyDescent="0.35">
      <c r="A243" s="198" t="s">
        <v>798</v>
      </c>
      <c r="B243" s="197">
        <v>2043</v>
      </c>
      <c r="C243" s="213" t="s">
        <v>3502</v>
      </c>
      <c r="D243" s="239">
        <v>3.6281139566997234E-3</v>
      </c>
      <c r="E243" s="226">
        <v>2.2916859224545581E-2</v>
      </c>
      <c r="F243" s="226">
        <v>5.3628507400983272E-4</v>
      </c>
      <c r="G243" s="227">
        <v>4.9338393210671681E-4</v>
      </c>
      <c r="H243" s="226">
        <v>2.0000005732018797E-3</v>
      </c>
      <c r="I243" s="255">
        <v>2.4035223987358082E-3</v>
      </c>
      <c r="J243" s="256">
        <v>7.4327763214362128E-6</v>
      </c>
      <c r="K243" s="257">
        <v>7.7688534842351115E-6</v>
      </c>
      <c r="L243" s="228">
        <v>3.1213820562348102E-2</v>
      </c>
    </row>
    <row r="244" spans="1:12" s="212" customFormat="1" ht="15.5" x14ac:dyDescent="0.35">
      <c r="A244" s="198" t="s">
        <v>798</v>
      </c>
      <c r="B244" s="197">
        <v>2044</v>
      </c>
      <c r="C244" s="213" t="s">
        <v>3503</v>
      </c>
      <c r="D244" s="239">
        <v>3.5434540744531057E-3</v>
      </c>
      <c r="E244" s="226">
        <v>2.2385350234555495E-2</v>
      </c>
      <c r="F244" s="226">
        <v>5.2372980564136472E-4</v>
      </c>
      <c r="G244" s="227">
        <v>4.818280410159052E-4</v>
      </c>
      <c r="H244" s="226">
        <v>2.0000005732018805E-3</v>
      </c>
      <c r="I244" s="255">
        <v>2.4033065244429292E-3</v>
      </c>
      <c r="J244" s="256">
        <v>7.1303018142164222E-6</v>
      </c>
      <c r="K244" s="257">
        <v>7.4527024220095896E-6</v>
      </c>
      <c r="L244" s="228">
        <v>3.112577582098093E-2</v>
      </c>
    </row>
    <row r="245" spans="1:12" s="212" customFormat="1" ht="15.5" x14ac:dyDescent="0.35">
      <c r="A245" s="198" t="s">
        <v>798</v>
      </c>
      <c r="B245" s="197">
        <v>2045</v>
      </c>
      <c r="C245" s="213" t="s">
        <v>3504</v>
      </c>
      <c r="D245" s="239">
        <v>3.4800997067833774E-3</v>
      </c>
      <c r="E245" s="226">
        <v>2.1897126864015348E-2</v>
      </c>
      <c r="F245" s="226">
        <v>5.1308902600040755E-4</v>
      </c>
      <c r="G245" s="227">
        <v>4.720352328408352E-4</v>
      </c>
      <c r="H245" s="226">
        <v>2.0000005732018805E-3</v>
      </c>
      <c r="I245" s="255">
        <v>2.4031383070400431E-3</v>
      </c>
      <c r="J245" s="256">
        <v>6.8992080779689323E-6</v>
      </c>
      <c r="K245" s="257">
        <v>7.2111596524722779E-6</v>
      </c>
      <c r="L245" s="228">
        <v>3.1050428557000739E-2</v>
      </c>
    </row>
    <row r="246" spans="1:12" s="212" customFormat="1" ht="15.5" x14ac:dyDescent="0.35">
      <c r="A246" s="198" t="s">
        <v>798</v>
      </c>
      <c r="B246" s="197">
        <v>2046</v>
      </c>
      <c r="C246" s="213" t="s">
        <v>3505</v>
      </c>
      <c r="D246" s="239">
        <v>3.4218272671431333E-3</v>
      </c>
      <c r="E246" s="226">
        <v>2.144266756933132E-2</v>
      </c>
      <c r="F246" s="226">
        <v>5.0418966039247762E-4</v>
      </c>
      <c r="G246" s="227">
        <v>4.6384484705359652E-4</v>
      </c>
      <c r="H246" s="226">
        <v>2.0000005732018801E-3</v>
      </c>
      <c r="I246" s="255">
        <v>2.4030147615233138E-3</v>
      </c>
      <c r="J246" s="256">
        <v>6.7003620889040933E-6</v>
      </c>
      <c r="K246" s="257">
        <v>7.003322730147933E-6</v>
      </c>
      <c r="L246" s="228">
        <v>3.09872502969308E-2</v>
      </c>
    </row>
    <row r="247" spans="1:12" s="212" customFormat="1" ht="15.5" x14ac:dyDescent="0.35">
      <c r="A247" s="198" t="s">
        <v>798</v>
      </c>
      <c r="B247" s="197">
        <v>2047</v>
      </c>
      <c r="C247" s="213" t="s">
        <v>3506</v>
      </c>
      <c r="D247" s="239">
        <v>3.3710849513225475E-3</v>
      </c>
      <c r="E247" s="226">
        <v>2.1042637226287606E-2</v>
      </c>
      <c r="F247" s="226">
        <v>4.9682432651676142E-4</v>
      </c>
      <c r="G247" s="227">
        <v>4.5706601766621528E-4</v>
      </c>
      <c r="H247" s="226">
        <v>2.0000005732018801E-3</v>
      </c>
      <c r="I247" s="255">
        <v>2.4029365714694781E-3</v>
      </c>
      <c r="J247" s="256">
        <v>6.5289998905613185E-6</v>
      </c>
      <c r="K247" s="257">
        <v>6.8242122936045666E-6</v>
      </c>
      <c r="L247" s="228">
        <v>3.0934685967616671E-2</v>
      </c>
    </row>
    <row r="248" spans="1:12" s="212" customFormat="1" ht="15.5" x14ac:dyDescent="0.35">
      <c r="A248" s="198" t="s">
        <v>798</v>
      </c>
      <c r="B248" s="197">
        <v>2048</v>
      </c>
      <c r="C248" s="213" t="s">
        <v>3507</v>
      </c>
      <c r="D248" s="239">
        <v>3.3303549290194436E-3</v>
      </c>
      <c r="E248" s="226">
        <v>2.0723438944308854E-2</v>
      </c>
      <c r="F248" s="226">
        <v>4.9071626396189117E-4</v>
      </c>
      <c r="G248" s="227">
        <v>4.5144313808853892E-4</v>
      </c>
      <c r="H248" s="226">
        <v>2.0000005732018801E-3</v>
      </c>
      <c r="I248" s="255">
        <v>2.402905646116651E-3</v>
      </c>
      <c r="J248" s="256">
        <v>6.3559755850296576E-6</v>
      </c>
      <c r="K248" s="257">
        <v>6.6433645967607776E-6</v>
      </c>
      <c r="L248" s="228">
        <v>3.0890833348890308E-2</v>
      </c>
    </row>
    <row r="249" spans="1:12" s="212" customFormat="1" ht="15.5" x14ac:dyDescent="0.35">
      <c r="A249" s="198" t="s">
        <v>798</v>
      </c>
      <c r="B249" s="197">
        <v>2049</v>
      </c>
      <c r="C249" s="213" t="s">
        <v>3508</v>
      </c>
      <c r="D249" s="239">
        <v>3.3216507653196091E-3</v>
      </c>
      <c r="E249" s="226">
        <v>2.0691956795418305E-2</v>
      </c>
      <c r="F249" s="226">
        <v>4.8693880273146069E-4</v>
      </c>
      <c r="G249" s="227">
        <v>4.4796598980310697E-4</v>
      </c>
      <c r="H249" s="226">
        <v>2.0000005732018801E-3</v>
      </c>
      <c r="I249" s="255">
        <v>2.4028929658867293E-3</v>
      </c>
      <c r="J249" s="256">
        <v>6.2555692151120181E-6</v>
      </c>
      <c r="K249" s="257">
        <v>6.5384182963421092E-6</v>
      </c>
      <c r="L249" s="228">
        <v>3.0853525932059672E-2</v>
      </c>
    </row>
    <row r="250" spans="1:12" s="212" customFormat="1" ht="15.5" x14ac:dyDescent="0.35">
      <c r="A250" s="198" t="s">
        <v>798</v>
      </c>
      <c r="B250" s="197">
        <v>2050</v>
      </c>
      <c r="C250" s="213" t="s">
        <v>3509</v>
      </c>
      <c r="D250" s="239">
        <v>3.315048528036579E-3</v>
      </c>
      <c r="E250" s="226">
        <v>2.0665944502259403E-2</v>
      </c>
      <c r="F250" s="226">
        <v>4.8380763968192326E-4</v>
      </c>
      <c r="G250" s="227">
        <v>4.4507910395105081E-4</v>
      </c>
      <c r="H250" s="226">
        <v>2.0000005732018801E-3</v>
      </c>
      <c r="I250" s="255">
        <v>2.4029398065914987E-3</v>
      </c>
      <c r="J250" s="256">
        <v>6.0528888826661874E-6</v>
      </c>
      <c r="K250" s="257">
        <v>6.326573658643732E-6</v>
      </c>
      <c r="L250" s="228">
        <v>3.0823166115931031E-2</v>
      </c>
    </row>
    <row r="251" spans="1:12" s="212" customFormat="1" ht="15.5" x14ac:dyDescent="0.35">
      <c r="A251" s="198" t="s">
        <v>800</v>
      </c>
      <c r="B251" s="197">
        <v>2015</v>
      </c>
      <c r="C251" s="213" t="s">
        <v>871</v>
      </c>
      <c r="D251" s="239">
        <v>4.4527521754316658E-2</v>
      </c>
      <c r="E251" s="226">
        <v>0.21208987125224535</v>
      </c>
      <c r="F251" s="226">
        <v>1.7903263783866754E-3</v>
      </c>
      <c r="G251" s="227">
        <v>1.6537106668372895E-3</v>
      </c>
      <c r="H251" s="226">
        <v>2.0000005732018797E-3</v>
      </c>
      <c r="I251" s="255">
        <v>2.8513783713449725E-3</v>
      </c>
      <c r="J251" s="256">
        <v>1.340443123701526E-4</v>
      </c>
      <c r="K251" s="257">
        <v>1.4010520136270414E-4</v>
      </c>
      <c r="L251" s="228">
        <v>4.405265914456602E-2</v>
      </c>
    </row>
    <row r="252" spans="1:12" s="212" customFormat="1" ht="15.5" x14ac:dyDescent="0.35">
      <c r="A252" s="198" t="s">
        <v>800</v>
      </c>
      <c r="B252" s="197">
        <v>2016</v>
      </c>
      <c r="C252" s="213" t="s">
        <v>872</v>
      </c>
      <c r="D252" s="239">
        <v>3.848766559392959E-2</v>
      </c>
      <c r="E252" s="226">
        <v>0.18832550511661261</v>
      </c>
      <c r="F252" s="226">
        <v>1.7225327999887655E-3</v>
      </c>
      <c r="G252" s="227">
        <v>1.5902247749882503E-3</v>
      </c>
      <c r="H252" s="226">
        <v>2.0000005732018801E-3</v>
      </c>
      <c r="I252" s="255">
        <v>2.7485688956346128E-3</v>
      </c>
      <c r="J252" s="256">
        <v>1.2098246235832341E-4</v>
      </c>
      <c r="K252" s="257">
        <v>1.2645275245444135E-4</v>
      </c>
      <c r="L252" s="228">
        <v>4.3152591030883404E-2</v>
      </c>
    </row>
    <row r="253" spans="1:12" s="212" customFormat="1" ht="15.5" x14ac:dyDescent="0.35">
      <c r="A253" s="198" t="s">
        <v>800</v>
      </c>
      <c r="B253" s="197">
        <v>2017</v>
      </c>
      <c r="C253" s="213" t="s">
        <v>3510</v>
      </c>
      <c r="D253" s="239">
        <v>3.1346691064339717E-2</v>
      </c>
      <c r="E253" s="226">
        <v>0.15791678483098776</v>
      </c>
      <c r="F253" s="226">
        <v>1.6529757368817046E-3</v>
      </c>
      <c r="G253" s="227">
        <v>1.5247674334747366E-3</v>
      </c>
      <c r="H253" s="226">
        <v>2.0000005732018805E-3</v>
      </c>
      <c r="I253" s="255">
        <v>2.7477977323888407E-3</v>
      </c>
      <c r="J253" s="256">
        <v>9.8320791725971479E-5</v>
      </c>
      <c r="K253" s="257">
        <v>1.0276642163576809E-4</v>
      </c>
      <c r="L253" s="228">
        <v>4.2780965364071569E-2</v>
      </c>
    </row>
    <row r="254" spans="1:12" s="212" customFormat="1" ht="15.5" x14ac:dyDescent="0.35">
      <c r="A254" s="198" t="s">
        <v>800</v>
      </c>
      <c r="B254" s="197">
        <v>2018</v>
      </c>
      <c r="C254" s="213" t="s">
        <v>3511</v>
      </c>
      <c r="D254" s="239">
        <v>2.6535015054900857E-2</v>
      </c>
      <c r="E254" s="226">
        <v>0.13726391365322296</v>
      </c>
      <c r="F254" s="226">
        <v>1.6407298485543139E-3</v>
      </c>
      <c r="G254" s="227">
        <v>1.5126766910100093E-3</v>
      </c>
      <c r="H254" s="226">
        <v>2.0000005732018801E-3</v>
      </c>
      <c r="I254" s="255">
        <v>2.7489838177787163E-3</v>
      </c>
      <c r="J254" s="256">
        <v>8.7837700978215177E-5</v>
      </c>
      <c r="K254" s="257">
        <v>9.1809332042424576E-5</v>
      </c>
      <c r="L254" s="228">
        <v>4.2266484604785402E-2</v>
      </c>
    </row>
    <row r="255" spans="1:12" s="212" customFormat="1" ht="15.5" x14ac:dyDescent="0.35">
      <c r="A255" s="198" t="s">
        <v>800</v>
      </c>
      <c r="B255" s="197">
        <v>2019</v>
      </c>
      <c r="C255" s="213" t="s">
        <v>3512</v>
      </c>
      <c r="D255" s="239">
        <v>2.2226911571523428E-2</v>
      </c>
      <c r="E255" s="226">
        <v>0.11828010388323106</v>
      </c>
      <c r="F255" s="226">
        <v>1.6332858494926175E-3</v>
      </c>
      <c r="G255" s="227">
        <v>1.5051360578509229E-3</v>
      </c>
      <c r="H255" s="226">
        <v>2.0000005732018805E-3</v>
      </c>
      <c r="I255" s="255">
        <v>2.7516889983092169E-3</v>
      </c>
      <c r="J255" s="256">
        <v>7.9110923863804204E-5</v>
      </c>
      <c r="K255" s="257">
        <v>8.2687968791400051E-5</v>
      </c>
      <c r="L255" s="228">
        <v>4.168136230741927E-2</v>
      </c>
    </row>
    <row r="256" spans="1:12" s="212" customFormat="1" ht="15.5" x14ac:dyDescent="0.35">
      <c r="A256" s="198" t="s">
        <v>800</v>
      </c>
      <c r="B256" s="197">
        <v>2020</v>
      </c>
      <c r="C256" s="213" t="s">
        <v>3513</v>
      </c>
      <c r="D256" s="239">
        <v>1.9552299250045976E-2</v>
      </c>
      <c r="E256" s="226">
        <v>0.10533427418058668</v>
      </c>
      <c r="F256" s="226">
        <v>1.6047819190014273E-3</v>
      </c>
      <c r="G256" s="227">
        <v>1.4785683083792039E-3</v>
      </c>
      <c r="H256" s="226">
        <v>2.0000005732018801E-3</v>
      </c>
      <c r="I256" s="255">
        <v>2.7595581548529521E-3</v>
      </c>
      <c r="J256" s="256">
        <v>7.2519113727557633E-5</v>
      </c>
      <c r="K256" s="257">
        <v>7.5798106251516545E-5</v>
      </c>
      <c r="L256" s="228">
        <v>4.1387909326780929E-2</v>
      </c>
    </row>
    <row r="257" spans="1:12" s="212" customFormat="1" ht="15.5" x14ac:dyDescent="0.35">
      <c r="A257" s="198" t="s">
        <v>800</v>
      </c>
      <c r="B257" s="197">
        <v>2021</v>
      </c>
      <c r="C257" s="213" t="s">
        <v>3514</v>
      </c>
      <c r="D257" s="239">
        <v>1.7227998777821808E-2</v>
      </c>
      <c r="E257" s="226">
        <v>9.3186210631401645E-2</v>
      </c>
      <c r="F257" s="226">
        <v>1.5451538775141779E-3</v>
      </c>
      <c r="G257" s="227">
        <v>1.4234404623000476E-3</v>
      </c>
      <c r="H257" s="226">
        <v>2.0000005732018801E-3</v>
      </c>
      <c r="I257" s="255">
        <v>2.7936556232414393E-3</v>
      </c>
      <c r="J257" s="256">
        <v>6.6057657037456148E-5</v>
      </c>
      <c r="K257" s="257">
        <v>6.9044491162178134E-5</v>
      </c>
      <c r="L257" s="228">
        <v>4.0525044138840109E-2</v>
      </c>
    </row>
    <row r="258" spans="1:12" s="212" customFormat="1" ht="15.5" x14ac:dyDescent="0.35">
      <c r="A258" s="198" t="s">
        <v>800</v>
      </c>
      <c r="B258" s="197">
        <v>2022</v>
      </c>
      <c r="C258" s="213" t="s">
        <v>3515</v>
      </c>
      <c r="D258" s="239">
        <v>1.4849941721470833E-2</v>
      </c>
      <c r="E258" s="226">
        <v>8.1772036261981693E-2</v>
      </c>
      <c r="F258" s="226">
        <v>1.482007900208425E-3</v>
      </c>
      <c r="G258" s="227">
        <v>1.3649968080173987E-3</v>
      </c>
      <c r="H258" s="226">
        <v>2.0000005732018805E-3</v>
      </c>
      <c r="I258" s="255">
        <v>2.79570583952046E-3</v>
      </c>
      <c r="J258" s="256">
        <v>5.9208442779876667E-5</v>
      </c>
      <c r="K258" s="257">
        <v>6.1885585828809069E-5</v>
      </c>
      <c r="L258" s="228">
        <v>3.9820632857297263E-2</v>
      </c>
    </row>
    <row r="259" spans="1:12" s="212" customFormat="1" ht="15.5" x14ac:dyDescent="0.35">
      <c r="A259" s="198" t="s">
        <v>800</v>
      </c>
      <c r="B259" s="197">
        <v>2023</v>
      </c>
      <c r="C259" s="213" t="s">
        <v>3516</v>
      </c>
      <c r="D259" s="239">
        <v>1.3106933687601534E-2</v>
      </c>
      <c r="E259" s="226">
        <v>7.2269269391937549E-2</v>
      </c>
      <c r="F259" s="226">
        <v>1.4237088740101499E-3</v>
      </c>
      <c r="G259" s="227">
        <v>1.3111120375309526E-3</v>
      </c>
      <c r="H259" s="226">
        <v>2.0000005732018797E-3</v>
      </c>
      <c r="I259" s="255">
        <v>2.7972735930448544E-3</v>
      </c>
      <c r="J259" s="256">
        <v>5.2445838407445022E-5</v>
      </c>
      <c r="K259" s="257">
        <v>5.4817206495268401E-5</v>
      </c>
      <c r="L259" s="228">
        <v>3.90688080488618E-2</v>
      </c>
    </row>
    <row r="260" spans="1:12" s="212" customFormat="1" ht="15.5" x14ac:dyDescent="0.35">
      <c r="A260" s="198" t="s">
        <v>800</v>
      </c>
      <c r="B260" s="197">
        <v>2024</v>
      </c>
      <c r="C260" s="213" t="s">
        <v>3517</v>
      </c>
      <c r="D260" s="239">
        <v>1.1618360596857252E-2</v>
      </c>
      <c r="E260" s="226">
        <v>6.4249568452917377E-2</v>
      </c>
      <c r="F260" s="226">
        <v>1.3701927822788596E-3</v>
      </c>
      <c r="G260" s="227">
        <v>1.2616351575106693E-3</v>
      </c>
      <c r="H260" s="226">
        <v>2.0000005732018801E-3</v>
      </c>
      <c r="I260" s="255">
        <v>2.7987110640364517E-3</v>
      </c>
      <c r="J260" s="256">
        <v>4.5885446663030962E-5</v>
      </c>
      <c r="K260" s="257">
        <v>4.7960182947479203E-5</v>
      </c>
      <c r="L260" s="228">
        <v>3.8279501093831457E-2</v>
      </c>
    </row>
    <row r="261" spans="1:12" s="212" customFormat="1" ht="15.5" x14ac:dyDescent="0.35">
      <c r="A261" s="198" t="s">
        <v>800</v>
      </c>
      <c r="B261" s="197">
        <v>2025</v>
      </c>
      <c r="C261" s="213" t="s">
        <v>3518</v>
      </c>
      <c r="D261" s="239">
        <v>1.0377673394173215E-2</v>
      </c>
      <c r="E261" s="226">
        <v>5.7626690086831169E-2</v>
      </c>
      <c r="F261" s="226">
        <v>1.32363577209416E-3</v>
      </c>
      <c r="G261" s="227">
        <v>1.218628870677287E-3</v>
      </c>
      <c r="H261" s="226">
        <v>2.0000005732018801E-3</v>
      </c>
      <c r="I261" s="255">
        <v>2.7998979949830465E-3</v>
      </c>
      <c r="J261" s="256">
        <v>4.0911762604572856E-5</v>
      </c>
      <c r="K261" s="257">
        <v>4.2761610966293785E-5</v>
      </c>
      <c r="L261" s="228">
        <v>3.7457211768507311E-2</v>
      </c>
    </row>
    <row r="262" spans="1:12" s="212" customFormat="1" ht="15.5" x14ac:dyDescent="0.35">
      <c r="A262" s="198" t="s">
        <v>800</v>
      </c>
      <c r="B262" s="197">
        <v>2026</v>
      </c>
      <c r="C262" s="213" t="s">
        <v>3519</v>
      </c>
      <c r="D262" s="239">
        <v>9.341964414041436E-3</v>
      </c>
      <c r="E262" s="226">
        <v>5.2131385996937778E-2</v>
      </c>
      <c r="F262" s="226">
        <v>1.272019204676768E-3</v>
      </c>
      <c r="G262" s="227">
        <v>1.1709698252126066E-3</v>
      </c>
      <c r="H262" s="226">
        <v>2.0000005732018801E-3</v>
      </c>
      <c r="I262" s="255">
        <v>2.8007257525195454E-3</v>
      </c>
      <c r="J262" s="256">
        <v>3.5801275276902637E-5</v>
      </c>
      <c r="K262" s="257">
        <v>3.742005007911813E-5</v>
      </c>
      <c r="L262" s="228">
        <v>3.6652765077682191E-2</v>
      </c>
    </row>
    <row r="263" spans="1:12" s="212" customFormat="1" ht="15.5" x14ac:dyDescent="0.35">
      <c r="A263" s="198" t="s">
        <v>800</v>
      </c>
      <c r="B263" s="197">
        <v>2027</v>
      </c>
      <c r="C263" s="213" t="s">
        <v>3520</v>
      </c>
      <c r="D263" s="239">
        <v>8.4593925895237385E-3</v>
      </c>
      <c r="E263" s="226">
        <v>4.7455880881652035E-2</v>
      </c>
      <c r="F263" s="226">
        <v>1.2108504860021642E-3</v>
      </c>
      <c r="G263" s="227">
        <v>1.1145152313258831E-3</v>
      </c>
      <c r="H263" s="226">
        <v>2.0000005732018801E-3</v>
      </c>
      <c r="I263" s="255">
        <v>2.8011313350760243E-3</v>
      </c>
      <c r="J263" s="256">
        <v>3.0359806897752718E-5</v>
      </c>
      <c r="K263" s="257">
        <v>3.1732542646021258E-5</v>
      </c>
      <c r="L263" s="228">
        <v>3.5893036539325178E-2</v>
      </c>
    </row>
    <row r="264" spans="1:12" s="212" customFormat="1" ht="15.5" x14ac:dyDescent="0.35">
      <c r="A264" s="198" t="s">
        <v>800</v>
      </c>
      <c r="B264" s="197">
        <v>2028</v>
      </c>
      <c r="C264" s="213" t="s">
        <v>3521</v>
      </c>
      <c r="D264" s="239">
        <v>7.7222751152621902E-3</v>
      </c>
      <c r="E264" s="226">
        <v>4.3568276278917059E-2</v>
      </c>
      <c r="F264" s="226">
        <v>1.141690527876304E-3</v>
      </c>
      <c r="G264" s="227">
        <v>1.0507294519676331E-3</v>
      </c>
      <c r="H264" s="226">
        <v>2.0000005732018805E-3</v>
      </c>
      <c r="I264" s="255">
        <v>2.801406665720861E-3</v>
      </c>
      <c r="J264" s="256">
        <v>2.5335774124490968E-5</v>
      </c>
      <c r="K264" s="257">
        <v>2.6481345404567862E-5</v>
      </c>
      <c r="L264" s="228">
        <v>3.5190747185521308E-2</v>
      </c>
    </row>
    <row r="265" spans="1:12" s="212" customFormat="1" ht="15.5" x14ac:dyDescent="0.35">
      <c r="A265" s="198" t="s">
        <v>800</v>
      </c>
      <c r="B265" s="197">
        <v>2029</v>
      </c>
      <c r="C265" s="213" t="s">
        <v>3522</v>
      </c>
      <c r="D265" s="239">
        <v>7.0872646086337981E-3</v>
      </c>
      <c r="E265" s="226">
        <v>4.0268470409781244E-2</v>
      </c>
      <c r="F265" s="226">
        <v>1.0738919958595769E-3</v>
      </c>
      <c r="G265" s="227">
        <v>9.8823333022484468E-4</v>
      </c>
      <c r="H265" s="226">
        <v>2.0000005732018801E-3</v>
      </c>
      <c r="I265" s="255">
        <v>2.8015023377182375E-3</v>
      </c>
      <c r="J265" s="256">
        <v>2.1283860708794025E-5</v>
      </c>
      <c r="K265" s="257">
        <v>2.22462224443126E-5</v>
      </c>
      <c r="L265" s="228">
        <v>3.4546056344692634E-2</v>
      </c>
    </row>
    <row r="266" spans="1:12" s="212" customFormat="1" ht="15.5" x14ac:dyDescent="0.35">
      <c r="A266" s="198" t="s">
        <v>800</v>
      </c>
      <c r="B266" s="197">
        <v>2030</v>
      </c>
      <c r="C266" s="213" t="s">
        <v>3523</v>
      </c>
      <c r="D266" s="239">
        <v>6.5571416241407372E-3</v>
      </c>
      <c r="E266" s="226">
        <v>3.7513004146114956E-2</v>
      </c>
      <c r="F266" s="226">
        <v>1.0092128896844758E-3</v>
      </c>
      <c r="G266" s="227">
        <v>9.2863975770253351E-4</v>
      </c>
      <c r="H266" s="226">
        <v>2.0000005732018801E-3</v>
      </c>
      <c r="I266" s="255">
        <v>2.8014751468422102E-3</v>
      </c>
      <c r="J266" s="256">
        <v>1.811361499179014E-5</v>
      </c>
      <c r="K266" s="257">
        <v>1.8932632283742813E-5</v>
      </c>
      <c r="L266" s="228">
        <v>3.3958756398830753E-2</v>
      </c>
    </row>
    <row r="267" spans="1:12" s="212" customFormat="1" ht="15.5" x14ac:dyDescent="0.35">
      <c r="A267" s="198" t="s">
        <v>800</v>
      </c>
      <c r="B267" s="197">
        <v>2031</v>
      </c>
      <c r="C267" s="213" t="s">
        <v>3524</v>
      </c>
      <c r="D267" s="239">
        <v>6.1430865236116513E-3</v>
      </c>
      <c r="E267" s="226">
        <v>3.5184218107993832E-2</v>
      </c>
      <c r="F267" s="226">
        <v>9.5584254327879862E-4</v>
      </c>
      <c r="G267" s="227">
        <v>8.7949464410722988E-4</v>
      </c>
      <c r="H267" s="226">
        <v>2.0000005732018801E-3</v>
      </c>
      <c r="I267" s="255">
        <v>2.8380106933948808E-3</v>
      </c>
      <c r="J267" s="256">
        <v>1.6238750078887791E-5</v>
      </c>
      <c r="K267" s="257">
        <v>1.697299429906883E-5</v>
      </c>
      <c r="L267" s="228">
        <v>3.3479481413856038E-2</v>
      </c>
    </row>
    <row r="268" spans="1:12" s="212" customFormat="1" ht="15.5" x14ac:dyDescent="0.35">
      <c r="A268" s="198" t="s">
        <v>800</v>
      </c>
      <c r="B268" s="197">
        <v>2032</v>
      </c>
      <c r="C268" s="213" t="s">
        <v>3525</v>
      </c>
      <c r="D268" s="239">
        <v>5.7375307583400325E-3</v>
      </c>
      <c r="E268" s="226">
        <v>3.313952456106118E-2</v>
      </c>
      <c r="F268" s="226">
        <v>8.9746383043779777E-4</v>
      </c>
      <c r="G268" s="227">
        <v>8.2574982784355366E-4</v>
      </c>
      <c r="H268" s="226">
        <v>2.0000005732018801E-3</v>
      </c>
      <c r="I268" s="255">
        <v>2.8375214206670311E-3</v>
      </c>
      <c r="J268" s="256">
        <v>1.4500050598504211E-5</v>
      </c>
      <c r="K268" s="257">
        <v>1.5155678543546981E-5</v>
      </c>
      <c r="L268" s="228">
        <v>3.2996721255311751E-2</v>
      </c>
    </row>
    <row r="269" spans="1:12" s="212" customFormat="1" ht="15.5" x14ac:dyDescent="0.35">
      <c r="A269" s="198" t="s">
        <v>800</v>
      </c>
      <c r="B269" s="197">
        <v>2033</v>
      </c>
      <c r="C269" s="213" t="s">
        <v>3526</v>
      </c>
      <c r="D269" s="239">
        <v>5.3837591154621677E-3</v>
      </c>
      <c r="E269" s="226">
        <v>3.1383825749909389E-2</v>
      </c>
      <c r="F269" s="226">
        <v>8.429971726785499E-4</v>
      </c>
      <c r="G269" s="227">
        <v>7.7561828011377641E-4</v>
      </c>
      <c r="H269" s="226">
        <v>2.0000005732018797E-3</v>
      </c>
      <c r="I269" s="255">
        <v>2.8368641979844762E-3</v>
      </c>
      <c r="J269" s="256">
        <v>1.3179140929501342E-5</v>
      </c>
      <c r="K269" s="257">
        <v>1.3775043200761652E-5</v>
      </c>
      <c r="L269" s="228">
        <v>3.2563407583863398E-2</v>
      </c>
    </row>
    <row r="270" spans="1:12" s="212" customFormat="1" ht="15.5" x14ac:dyDescent="0.35">
      <c r="A270" s="198" t="s">
        <v>800</v>
      </c>
      <c r="B270" s="197">
        <v>2034</v>
      </c>
      <c r="C270" s="213" t="s">
        <v>3527</v>
      </c>
      <c r="D270" s="239">
        <v>5.0678470771737703E-3</v>
      </c>
      <c r="E270" s="226">
        <v>2.9857005242406719E-2</v>
      </c>
      <c r="F270" s="226">
        <v>7.9219652046032837E-4</v>
      </c>
      <c r="G270" s="227">
        <v>7.28864568496395E-4</v>
      </c>
      <c r="H270" s="226">
        <v>2.0000005732018801E-3</v>
      </c>
      <c r="I270" s="255">
        <v>2.8360902831138816E-3</v>
      </c>
      <c r="J270" s="256">
        <v>1.2039925766332229E-5</v>
      </c>
      <c r="K270" s="257">
        <v>1.258431778310646E-5</v>
      </c>
      <c r="L270" s="228">
        <v>3.217694734093466E-2</v>
      </c>
    </row>
    <row r="271" spans="1:12" s="212" customFormat="1" ht="15.5" x14ac:dyDescent="0.35">
      <c r="A271" s="198" t="s">
        <v>800</v>
      </c>
      <c r="B271" s="197">
        <v>2035</v>
      </c>
      <c r="C271" s="213" t="s">
        <v>3528</v>
      </c>
      <c r="D271" s="239">
        <v>4.7901572407950399E-3</v>
      </c>
      <c r="E271" s="226">
        <v>2.8548214691062963E-2</v>
      </c>
      <c r="F271" s="226">
        <v>7.4542018367140318E-4</v>
      </c>
      <c r="G271" s="227">
        <v>6.8581482571221657E-4</v>
      </c>
      <c r="H271" s="226">
        <v>2.0000005732018801E-3</v>
      </c>
      <c r="I271" s="255">
        <v>2.8352816373489473E-3</v>
      </c>
      <c r="J271" s="256">
        <v>1.0997195906411358E-5</v>
      </c>
      <c r="K271" s="257">
        <v>1.1494440305965178E-5</v>
      </c>
      <c r="L271" s="228">
        <v>3.1835603339634672E-2</v>
      </c>
    </row>
    <row r="272" spans="1:12" s="212" customFormat="1" ht="15.5" x14ac:dyDescent="0.35">
      <c r="A272" s="198" t="s">
        <v>800</v>
      </c>
      <c r="B272" s="197">
        <v>2036</v>
      </c>
      <c r="C272" s="213" t="s">
        <v>3529</v>
      </c>
      <c r="D272" s="239">
        <v>4.5494994727949883E-3</v>
      </c>
      <c r="E272" s="226">
        <v>2.743007125655279E-2</v>
      </c>
      <c r="F272" s="226">
        <v>7.0426510674996003E-4</v>
      </c>
      <c r="G272" s="227">
        <v>6.479394367220068E-4</v>
      </c>
      <c r="H272" s="226">
        <v>2.0000005732018801E-3</v>
      </c>
      <c r="I272" s="255">
        <v>2.8344855813789913E-3</v>
      </c>
      <c r="J272" s="256">
        <v>1.0103655305125442E-5</v>
      </c>
      <c r="K272" s="257">
        <v>1.056049776371681E-5</v>
      </c>
      <c r="L272" s="228">
        <v>3.153722750671311E-2</v>
      </c>
    </row>
    <row r="273" spans="1:12" s="212" customFormat="1" ht="15.5" x14ac:dyDescent="0.35">
      <c r="A273" s="198" t="s">
        <v>800</v>
      </c>
      <c r="B273" s="197">
        <v>2037</v>
      </c>
      <c r="C273" s="213" t="s">
        <v>3530</v>
      </c>
      <c r="D273" s="239">
        <v>4.343185240475958E-3</v>
      </c>
      <c r="E273" s="226">
        <v>2.6482682792039455E-2</v>
      </c>
      <c r="F273" s="226">
        <v>6.6755962791558018E-4</v>
      </c>
      <c r="G273" s="227">
        <v>6.141569547776102E-4</v>
      </c>
      <c r="H273" s="226">
        <v>2.0000005732018805E-3</v>
      </c>
      <c r="I273" s="255">
        <v>2.8337346569818592E-3</v>
      </c>
      <c r="J273" s="256">
        <v>9.25286955177739E-6</v>
      </c>
      <c r="K273" s="257">
        <v>9.6712432539082352E-6</v>
      </c>
      <c r="L273" s="228">
        <v>3.1279220660386568E-2</v>
      </c>
    </row>
    <row r="274" spans="1:12" s="212" customFormat="1" ht="15.5" x14ac:dyDescent="0.35">
      <c r="A274" s="198" t="s">
        <v>800</v>
      </c>
      <c r="B274" s="197">
        <v>2038</v>
      </c>
      <c r="C274" s="213" t="s">
        <v>3531</v>
      </c>
      <c r="D274" s="239">
        <v>4.1598776272039756E-3</v>
      </c>
      <c r="E274" s="226">
        <v>2.5642226256761973E-2</v>
      </c>
      <c r="F274" s="226">
        <v>6.3524593083269835E-4</v>
      </c>
      <c r="G274" s="227">
        <v>5.8442174514019489E-4</v>
      </c>
      <c r="H274" s="226">
        <v>2.0000005732018797E-3</v>
      </c>
      <c r="I274" s="255">
        <v>2.8330551206695994E-3</v>
      </c>
      <c r="J274" s="256">
        <v>8.6379775802775097E-6</v>
      </c>
      <c r="K274" s="257">
        <v>9.0285485959998303E-6</v>
      </c>
      <c r="L274" s="228">
        <v>3.1058639165424604E-2</v>
      </c>
    </row>
    <row r="275" spans="1:12" s="212" customFormat="1" ht="15.5" x14ac:dyDescent="0.35">
      <c r="A275" s="198" t="s">
        <v>800</v>
      </c>
      <c r="B275" s="197">
        <v>2039</v>
      </c>
      <c r="C275" s="213" t="s">
        <v>3532</v>
      </c>
      <c r="D275" s="239">
        <v>3.9860095654307417E-3</v>
      </c>
      <c r="E275" s="226">
        <v>2.4866289994772452E-2</v>
      </c>
      <c r="F275" s="226">
        <v>6.0690089592092898E-4</v>
      </c>
      <c r="G275" s="227">
        <v>5.5833922165102222E-4</v>
      </c>
      <c r="H275" s="226">
        <v>2.0000005732018801E-3</v>
      </c>
      <c r="I275" s="255">
        <v>2.8324860687350168E-3</v>
      </c>
      <c r="J275" s="256">
        <v>8.1167074584576268E-6</v>
      </c>
      <c r="K275" s="257">
        <v>8.4837089523731833E-6</v>
      </c>
      <c r="L275" s="228">
        <v>3.087134539158393E-2</v>
      </c>
    </row>
    <row r="276" spans="1:12" s="212" customFormat="1" ht="15.5" x14ac:dyDescent="0.35">
      <c r="A276" s="198" t="s">
        <v>800</v>
      </c>
      <c r="B276" s="197">
        <v>2040</v>
      </c>
      <c r="C276" s="213" t="s">
        <v>3533</v>
      </c>
      <c r="D276" s="239">
        <v>3.8356101496931916E-3</v>
      </c>
      <c r="E276" s="226">
        <v>2.4212545863524702E-2</v>
      </c>
      <c r="F276" s="226">
        <v>5.8255452407365393E-4</v>
      </c>
      <c r="G276" s="227">
        <v>5.3593704737952825E-4</v>
      </c>
      <c r="H276" s="226">
        <v>2.0000005732018801E-3</v>
      </c>
      <c r="I276" s="255">
        <v>2.8320500210310771E-3</v>
      </c>
      <c r="J276" s="256">
        <v>7.6910702133067329E-6</v>
      </c>
      <c r="K276" s="257">
        <v>8.0388262797338466E-6</v>
      </c>
      <c r="L276" s="228">
        <v>3.0714240465186796E-2</v>
      </c>
    </row>
    <row r="277" spans="1:12" s="212" customFormat="1" ht="15.5" x14ac:dyDescent="0.35">
      <c r="A277" s="198" t="s">
        <v>800</v>
      </c>
      <c r="B277" s="197">
        <v>2041</v>
      </c>
      <c r="C277" s="213" t="s">
        <v>3534</v>
      </c>
      <c r="D277" s="239">
        <v>3.7199019321703351E-3</v>
      </c>
      <c r="E277" s="226">
        <v>2.3667451489280417E-2</v>
      </c>
      <c r="F277" s="226">
        <v>5.6331137068815523E-4</v>
      </c>
      <c r="G277" s="227">
        <v>5.1823000147309406E-4</v>
      </c>
      <c r="H277" s="226">
        <v>2.0000005732018797E-3</v>
      </c>
      <c r="I277" s="255">
        <v>2.8317204607856295E-3</v>
      </c>
      <c r="J277" s="256">
        <v>7.3400517819643628E-6</v>
      </c>
      <c r="K277" s="257">
        <v>7.6719363525474255E-6</v>
      </c>
      <c r="L277" s="228">
        <v>3.0583996143363015E-2</v>
      </c>
    </row>
    <row r="278" spans="1:12" s="212" customFormat="1" ht="15.5" x14ac:dyDescent="0.35">
      <c r="A278" s="198" t="s">
        <v>800</v>
      </c>
      <c r="B278" s="197">
        <v>2042</v>
      </c>
      <c r="C278" s="213" t="s">
        <v>3535</v>
      </c>
      <c r="D278" s="239">
        <v>3.6149160998456822E-3</v>
      </c>
      <c r="E278" s="226">
        <v>2.3141964637511784E-2</v>
      </c>
      <c r="F278" s="226">
        <v>5.4701511645558506E-4</v>
      </c>
      <c r="G278" s="227">
        <v>5.0323509646377554E-4</v>
      </c>
      <c r="H278" s="226">
        <v>2.0000005732018805E-3</v>
      </c>
      <c r="I278" s="255">
        <v>2.8314331709224658E-3</v>
      </c>
      <c r="J278" s="256">
        <v>7.0551451135254044E-6</v>
      </c>
      <c r="K278" s="257">
        <v>7.3741474688162391E-6</v>
      </c>
      <c r="L278" s="228">
        <v>3.0474877280529961E-2</v>
      </c>
    </row>
    <row r="279" spans="1:12" s="212" customFormat="1" ht="15.5" x14ac:dyDescent="0.35">
      <c r="A279" s="198" t="s">
        <v>800</v>
      </c>
      <c r="B279" s="197">
        <v>2043</v>
      </c>
      <c r="C279" s="213" t="s">
        <v>3536</v>
      </c>
      <c r="D279" s="239">
        <v>3.5310117790527673E-3</v>
      </c>
      <c r="E279" s="226">
        <v>2.2679237158517409E-2</v>
      </c>
      <c r="F279" s="226">
        <v>5.3330602885659094E-4</v>
      </c>
      <c r="G279" s="227">
        <v>4.9062123701652696E-4</v>
      </c>
      <c r="H279" s="226">
        <v>2.0000005732018805E-3</v>
      </c>
      <c r="I279" s="255">
        <v>2.8312010701729931E-3</v>
      </c>
      <c r="J279" s="256">
        <v>6.8277635149867109E-6</v>
      </c>
      <c r="K279" s="257">
        <v>7.1364846833825368E-6</v>
      </c>
      <c r="L279" s="228">
        <v>3.0384544611758393E-2</v>
      </c>
    </row>
    <row r="280" spans="1:12" s="212" customFormat="1" ht="15.5" x14ac:dyDescent="0.35">
      <c r="A280" s="198" t="s">
        <v>800</v>
      </c>
      <c r="B280" s="197">
        <v>2044</v>
      </c>
      <c r="C280" s="213" t="s">
        <v>3537</v>
      </c>
      <c r="D280" s="239">
        <v>3.4624358207334489E-3</v>
      </c>
      <c r="E280" s="226">
        <v>2.2232961069059483E-2</v>
      </c>
      <c r="F280" s="226">
        <v>5.217712564933117E-4</v>
      </c>
      <c r="G280" s="227">
        <v>4.8000804027400226E-4</v>
      </c>
      <c r="H280" s="226">
        <v>2.0000005732018801E-3</v>
      </c>
      <c r="I280" s="255">
        <v>2.831013672460411E-3</v>
      </c>
      <c r="J280" s="256">
        <v>6.6378561930286825E-6</v>
      </c>
      <c r="K280" s="257">
        <v>6.9379905950268291E-6</v>
      </c>
      <c r="L280" s="228">
        <v>3.0309353477151253E-2</v>
      </c>
    </row>
    <row r="281" spans="1:12" s="212" customFormat="1" ht="15.5" x14ac:dyDescent="0.35">
      <c r="A281" s="198" t="s">
        <v>800</v>
      </c>
      <c r="B281" s="197">
        <v>2045</v>
      </c>
      <c r="C281" s="213" t="s">
        <v>3538</v>
      </c>
      <c r="D281" s="239">
        <v>3.4087996787420197E-3</v>
      </c>
      <c r="E281" s="226">
        <v>2.1815242166641512E-2</v>
      </c>
      <c r="F281" s="226">
        <v>5.1208577726795292E-4</v>
      </c>
      <c r="G281" s="227">
        <v>4.7109676136696031E-4</v>
      </c>
      <c r="H281" s="226">
        <v>2.0000005732018805E-3</v>
      </c>
      <c r="I281" s="255">
        <v>2.8308699214475075E-3</v>
      </c>
      <c r="J281" s="256">
        <v>6.4880141327958361E-6</v>
      </c>
      <c r="K281" s="257">
        <v>6.7813733417445307E-6</v>
      </c>
      <c r="L281" s="228">
        <v>3.0245337335688814E-2</v>
      </c>
    </row>
    <row r="282" spans="1:12" s="212" customFormat="1" ht="15.5" x14ac:dyDescent="0.35">
      <c r="A282" s="198" t="s">
        <v>800</v>
      </c>
      <c r="B282" s="197">
        <v>2046</v>
      </c>
      <c r="C282" s="213" t="s">
        <v>3539</v>
      </c>
      <c r="D282" s="239">
        <v>3.3576270568367282E-3</v>
      </c>
      <c r="E282" s="226">
        <v>2.1408192071766832E-2</v>
      </c>
      <c r="F282" s="226">
        <v>5.0399484035610188E-4</v>
      </c>
      <c r="G282" s="227">
        <v>4.6365274781506481E-4</v>
      </c>
      <c r="H282" s="226">
        <v>2.0000005732018801E-3</v>
      </c>
      <c r="I282" s="255">
        <v>2.8307488586838672E-3</v>
      </c>
      <c r="J282" s="256">
        <v>6.367496317946116E-6</v>
      </c>
      <c r="K282" s="257">
        <v>6.6554062460971994E-6</v>
      </c>
      <c r="L282" s="228">
        <v>3.0191007978210959E-2</v>
      </c>
    </row>
    <row r="283" spans="1:12" s="212" customFormat="1" ht="15.5" x14ac:dyDescent="0.35">
      <c r="A283" s="198" t="s">
        <v>800</v>
      </c>
      <c r="B283" s="197">
        <v>2047</v>
      </c>
      <c r="C283" s="213" t="s">
        <v>3540</v>
      </c>
      <c r="D283" s="239">
        <v>3.3122179144115197E-3</v>
      </c>
      <c r="E283" s="226">
        <v>2.1043252490084929E-2</v>
      </c>
      <c r="F283" s="226">
        <v>4.9731887724075103E-4</v>
      </c>
      <c r="G283" s="227">
        <v>4.5751038575837956E-4</v>
      </c>
      <c r="H283" s="226">
        <v>2.0000005732018805E-3</v>
      </c>
      <c r="I283" s="255">
        <v>2.8306731274354126E-3</v>
      </c>
      <c r="J283" s="256">
        <v>6.2632842801896079E-6</v>
      </c>
      <c r="K283" s="257">
        <v>6.5464822024274064E-6</v>
      </c>
      <c r="L283" s="228">
        <v>3.0145569568072551E-2</v>
      </c>
    </row>
    <row r="284" spans="1:12" s="212" customFormat="1" ht="15.5" x14ac:dyDescent="0.35">
      <c r="A284" s="198" t="s">
        <v>800</v>
      </c>
      <c r="B284" s="197">
        <v>2048</v>
      </c>
      <c r="C284" s="213" t="s">
        <v>3541</v>
      </c>
      <c r="D284" s="239">
        <v>3.2762062993382034E-3</v>
      </c>
      <c r="E284" s="226">
        <v>2.0756513581659627E-2</v>
      </c>
      <c r="F284" s="226">
        <v>4.9183214366051728E-4</v>
      </c>
      <c r="G284" s="227">
        <v>4.524620896118707E-4</v>
      </c>
      <c r="H284" s="226">
        <v>2.0000005732018801E-3</v>
      </c>
      <c r="I284" s="255">
        <v>2.8306430201006897E-3</v>
      </c>
      <c r="J284" s="256">
        <v>6.1748115947579641E-6</v>
      </c>
      <c r="K284" s="257">
        <v>6.4540091747522779E-6</v>
      </c>
      <c r="L284" s="228">
        <v>3.0107577853497079E-2</v>
      </c>
    </row>
    <row r="285" spans="1:12" s="212" customFormat="1" ht="15.5" x14ac:dyDescent="0.35">
      <c r="A285" s="198" t="s">
        <v>800</v>
      </c>
      <c r="B285" s="197">
        <v>2049</v>
      </c>
      <c r="C285" s="213" t="s">
        <v>3542</v>
      </c>
      <c r="D285" s="239">
        <v>3.2684621620563729E-3</v>
      </c>
      <c r="E285" s="226">
        <v>2.0727668617267457E-2</v>
      </c>
      <c r="F285" s="226">
        <v>4.8835129944182435E-4</v>
      </c>
      <c r="G285" s="227">
        <v>4.4925909116422567E-4</v>
      </c>
      <c r="H285" s="226">
        <v>2.0000005732018801E-3</v>
      </c>
      <c r="I285" s="255">
        <v>2.8306353529741384E-3</v>
      </c>
      <c r="J285" s="256">
        <v>6.1108872491778812E-6</v>
      </c>
      <c r="K285" s="257">
        <v>6.3871944539251409E-6</v>
      </c>
      <c r="L285" s="228">
        <v>3.0075182656722554E-2</v>
      </c>
    </row>
    <row r="286" spans="1:12" s="212" customFormat="1" ht="15.5" x14ac:dyDescent="0.35">
      <c r="A286" s="198" t="s">
        <v>800</v>
      </c>
      <c r="B286" s="197">
        <v>2050</v>
      </c>
      <c r="C286" s="213" t="s">
        <v>3543</v>
      </c>
      <c r="D286" s="239">
        <v>3.2627238185686052E-3</v>
      </c>
      <c r="E286" s="226">
        <v>2.0705603059454434E-2</v>
      </c>
      <c r="F286" s="226">
        <v>4.8548662030493625E-4</v>
      </c>
      <c r="G286" s="227">
        <v>4.4662027695244042E-4</v>
      </c>
      <c r="H286" s="226">
        <v>2.0000005732018801E-3</v>
      </c>
      <c r="I286" s="255">
        <v>2.8306902759329205E-3</v>
      </c>
      <c r="J286" s="256">
        <v>5.9864742283281959E-6</v>
      </c>
      <c r="K286" s="257">
        <v>6.2571560283472371E-6</v>
      </c>
      <c r="L286" s="228">
        <v>3.0049264702512891E-2</v>
      </c>
    </row>
    <row r="287" spans="1:12" s="212" customFormat="1" ht="15.5" x14ac:dyDescent="0.35">
      <c r="A287" s="198" t="s">
        <v>802</v>
      </c>
      <c r="B287" s="197">
        <v>2015</v>
      </c>
      <c r="C287" s="213" t="s">
        <v>873</v>
      </c>
      <c r="D287" s="239">
        <v>9.231451528727494E-2</v>
      </c>
      <c r="E287" s="226">
        <v>0.38970426577089995</v>
      </c>
      <c r="F287" s="226">
        <v>3.3459357787556272E-3</v>
      </c>
      <c r="G287" s="227">
        <v>3.0972011409226051E-3</v>
      </c>
      <c r="H287" s="226">
        <v>2.0000005732018797E-3</v>
      </c>
      <c r="I287" s="255">
        <v>2.805941153161334E-3</v>
      </c>
      <c r="J287" s="256">
        <v>3.9000299590468231E-4</v>
      </c>
      <c r="K287" s="257">
        <v>4.0763720076682859E-4</v>
      </c>
      <c r="L287" s="228">
        <v>4.8719986671462094E-2</v>
      </c>
    </row>
    <row r="288" spans="1:12" s="212" customFormat="1" ht="15.5" x14ac:dyDescent="0.35">
      <c r="A288" s="198" t="s">
        <v>802</v>
      </c>
      <c r="B288" s="197">
        <v>2016</v>
      </c>
      <c r="C288" s="213" t="s">
        <v>874</v>
      </c>
      <c r="D288" s="239">
        <v>8.3546328048659718E-2</v>
      </c>
      <c r="E288" s="226">
        <v>0.36279183855187885</v>
      </c>
      <c r="F288" s="226">
        <v>3.1996490855657998E-3</v>
      </c>
      <c r="G288" s="227">
        <v>2.9607940470484351E-3</v>
      </c>
      <c r="H288" s="226">
        <v>2.0000005732018801E-3</v>
      </c>
      <c r="I288" s="255">
        <v>2.8038272972290791E-3</v>
      </c>
      <c r="J288" s="256">
        <v>3.7704211150412767E-4</v>
      </c>
      <c r="K288" s="257">
        <v>3.940902826867542E-4</v>
      </c>
      <c r="L288" s="228">
        <v>4.7764559423336996E-2</v>
      </c>
    </row>
    <row r="289" spans="1:12" s="212" customFormat="1" ht="15.5" x14ac:dyDescent="0.35">
      <c r="A289" s="198" t="s">
        <v>802</v>
      </c>
      <c r="B289" s="197">
        <v>2017</v>
      </c>
      <c r="C289" s="213" t="s">
        <v>3544</v>
      </c>
      <c r="D289" s="239">
        <v>6.7978721763402555E-2</v>
      </c>
      <c r="E289" s="226">
        <v>0.3055903252369449</v>
      </c>
      <c r="F289" s="226">
        <v>2.8699678175357957E-3</v>
      </c>
      <c r="G289" s="227">
        <v>2.6545479189194199E-3</v>
      </c>
      <c r="H289" s="226">
        <v>2.0000005732018801E-3</v>
      </c>
      <c r="I289" s="255">
        <v>2.8042874061872552E-3</v>
      </c>
      <c r="J289" s="256">
        <v>3.3434550985350073E-4</v>
      </c>
      <c r="K289" s="257">
        <v>3.4946313017284906E-4</v>
      </c>
      <c r="L289" s="228">
        <v>4.7468730572373344E-2</v>
      </c>
    </row>
    <row r="290" spans="1:12" s="212" customFormat="1" ht="15.5" x14ac:dyDescent="0.35">
      <c r="A290" s="198" t="s">
        <v>802</v>
      </c>
      <c r="B290" s="197">
        <v>2018</v>
      </c>
      <c r="C290" s="213" t="s">
        <v>3545</v>
      </c>
      <c r="D290" s="239">
        <v>5.8312394634679958E-2</v>
      </c>
      <c r="E290" s="226">
        <v>0.27063368104241936</v>
      </c>
      <c r="F290" s="226">
        <v>2.6737311140071721E-3</v>
      </c>
      <c r="G290" s="227">
        <v>2.4704686850047794E-3</v>
      </c>
      <c r="H290" s="226">
        <v>2.0000005732018797E-3</v>
      </c>
      <c r="I290" s="255">
        <v>2.8048571897989804E-3</v>
      </c>
      <c r="J290" s="256">
        <v>2.6805146526099808E-4</v>
      </c>
      <c r="K290" s="257">
        <v>2.8017156305933967E-4</v>
      </c>
      <c r="L290" s="228">
        <v>4.6879821099666825E-2</v>
      </c>
    </row>
    <row r="291" spans="1:12" s="212" customFormat="1" ht="15.5" x14ac:dyDescent="0.35">
      <c r="A291" s="198" t="s">
        <v>802</v>
      </c>
      <c r="B291" s="197">
        <v>2019</v>
      </c>
      <c r="C291" s="213" t="s">
        <v>3546</v>
      </c>
      <c r="D291" s="239">
        <v>4.8332336397100675E-2</v>
      </c>
      <c r="E291" s="226">
        <v>0.22733554092582531</v>
      </c>
      <c r="F291" s="226">
        <v>2.4601464977711831E-3</v>
      </c>
      <c r="G291" s="227">
        <v>2.2699127162999605E-3</v>
      </c>
      <c r="H291" s="226">
        <v>2.0000005732018797E-3</v>
      </c>
      <c r="I291" s="255">
        <v>2.8074477513865101E-3</v>
      </c>
      <c r="J291" s="256">
        <v>1.8364673016478986E-4</v>
      </c>
      <c r="K291" s="257">
        <v>1.9195042038254564E-4</v>
      </c>
      <c r="L291" s="228">
        <v>4.6162844148621797E-2</v>
      </c>
    </row>
    <row r="292" spans="1:12" s="212" customFormat="1" ht="15.5" x14ac:dyDescent="0.35">
      <c r="A292" s="198" t="s">
        <v>802</v>
      </c>
      <c r="B292" s="197">
        <v>2020</v>
      </c>
      <c r="C292" s="213" t="s">
        <v>3547</v>
      </c>
      <c r="D292" s="239">
        <v>4.2497539029712414E-2</v>
      </c>
      <c r="E292" s="226">
        <v>0.20483950594317302</v>
      </c>
      <c r="F292" s="226">
        <v>2.3581264640318358E-3</v>
      </c>
      <c r="G292" s="227">
        <v>2.1753107162561449E-3</v>
      </c>
      <c r="H292" s="226">
        <v>2.0000005732018801E-3</v>
      </c>
      <c r="I292" s="255">
        <v>2.814622563219005E-3</v>
      </c>
      <c r="J292" s="256">
        <v>1.7117953248684369E-4</v>
      </c>
      <c r="K292" s="257">
        <v>1.7891951134797323E-4</v>
      </c>
      <c r="L292" s="228">
        <v>4.5823106863899239E-2</v>
      </c>
    </row>
    <row r="293" spans="1:12" s="212" customFormat="1" ht="15.5" x14ac:dyDescent="0.35">
      <c r="A293" s="198" t="s">
        <v>802</v>
      </c>
      <c r="B293" s="197">
        <v>2021</v>
      </c>
      <c r="C293" s="213" t="s">
        <v>3548</v>
      </c>
      <c r="D293" s="239">
        <v>3.7698619983649144E-2</v>
      </c>
      <c r="E293" s="226">
        <v>0.18341819782676941</v>
      </c>
      <c r="F293" s="226">
        <v>2.2330087313725284E-3</v>
      </c>
      <c r="G293" s="227">
        <v>2.0594005831589572E-3</v>
      </c>
      <c r="H293" s="226">
        <v>2.0000005732018797E-3</v>
      </c>
      <c r="I293" s="255">
        <v>2.8191392509791103E-3</v>
      </c>
      <c r="J293" s="256">
        <v>1.5218233968162601E-4</v>
      </c>
      <c r="K293" s="257">
        <v>1.5906334978289826E-4</v>
      </c>
      <c r="L293" s="228">
        <v>4.4975626078259001E-2</v>
      </c>
    </row>
    <row r="294" spans="1:12" s="212" customFormat="1" ht="15.5" x14ac:dyDescent="0.35">
      <c r="A294" s="198" t="s">
        <v>802</v>
      </c>
      <c r="B294" s="197">
        <v>2022</v>
      </c>
      <c r="C294" s="213" t="s">
        <v>3549</v>
      </c>
      <c r="D294" s="239">
        <v>3.3099910346477593E-2</v>
      </c>
      <c r="E294" s="226">
        <v>0.16332290732063698</v>
      </c>
      <c r="F294" s="226">
        <v>2.1189646017531756E-3</v>
      </c>
      <c r="G294" s="227">
        <v>1.953931197844103E-3</v>
      </c>
      <c r="H294" s="226">
        <v>2.0000005732018801E-3</v>
      </c>
      <c r="I294" s="255">
        <v>2.8204431364148115E-3</v>
      </c>
      <c r="J294" s="256">
        <v>1.4080252594429876E-4</v>
      </c>
      <c r="K294" s="257">
        <v>1.4716899136554465E-4</v>
      </c>
      <c r="L294" s="228">
        <v>4.4229655621361649E-2</v>
      </c>
    </row>
    <row r="295" spans="1:12" s="212" customFormat="1" ht="15.5" x14ac:dyDescent="0.35">
      <c r="A295" s="198" t="s">
        <v>802</v>
      </c>
      <c r="B295" s="197">
        <v>2023</v>
      </c>
      <c r="C295" s="213" t="s">
        <v>3550</v>
      </c>
      <c r="D295" s="239">
        <v>2.9267848313777371E-2</v>
      </c>
      <c r="E295" s="226">
        <v>0.14526301384664181</v>
      </c>
      <c r="F295" s="226">
        <v>2.0103778192176172E-3</v>
      </c>
      <c r="G295" s="227">
        <v>1.8535881264250811E-3</v>
      </c>
      <c r="H295" s="226">
        <v>2.0000005732018797E-3</v>
      </c>
      <c r="I295" s="255">
        <v>2.8206481889779334E-3</v>
      </c>
      <c r="J295" s="256">
        <v>1.2937252254166621E-4</v>
      </c>
      <c r="K295" s="257">
        <v>1.3522217392893411E-4</v>
      </c>
      <c r="L295" s="228">
        <v>4.3424976697357141E-2</v>
      </c>
    </row>
    <row r="296" spans="1:12" s="212" customFormat="1" ht="15.5" x14ac:dyDescent="0.35">
      <c r="A296" s="198" t="s">
        <v>802</v>
      </c>
      <c r="B296" s="197">
        <v>2024</v>
      </c>
      <c r="C296" s="213" t="s">
        <v>3551</v>
      </c>
      <c r="D296" s="239">
        <v>2.5933127122077536E-2</v>
      </c>
      <c r="E296" s="226">
        <v>0.12945487530150346</v>
      </c>
      <c r="F296" s="226">
        <v>1.9080395058682384E-3</v>
      </c>
      <c r="G296" s="227">
        <v>1.7587877159116034E-3</v>
      </c>
      <c r="H296" s="226">
        <v>2.0000005732018801E-3</v>
      </c>
      <c r="I296" s="255">
        <v>2.8204424324200315E-3</v>
      </c>
      <c r="J296" s="256">
        <v>1.1257926484242016E-4</v>
      </c>
      <c r="K296" s="257">
        <v>1.176695996355053E-4</v>
      </c>
      <c r="L296" s="228">
        <v>4.2580064396826107E-2</v>
      </c>
    </row>
    <row r="297" spans="1:12" s="212" customFormat="1" ht="15.5" x14ac:dyDescent="0.35">
      <c r="A297" s="198" t="s">
        <v>802</v>
      </c>
      <c r="B297" s="197">
        <v>2025</v>
      </c>
      <c r="C297" s="213" t="s">
        <v>3552</v>
      </c>
      <c r="D297" s="239">
        <v>2.3073023381901724E-2</v>
      </c>
      <c r="E297" s="226">
        <v>0.11577363168488439</v>
      </c>
      <c r="F297" s="226">
        <v>1.8225597236966177E-3</v>
      </c>
      <c r="G297" s="227">
        <v>1.6796628972716068E-3</v>
      </c>
      <c r="H297" s="226">
        <v>2.0000005732018805E-3</v>
      </c>
      <c r="I297" s="255">
        <v>2.8198105876653633E-3</v>
      </c>
      <c r="J297" s="256">
        <v>9.9698321768227033E-5</v>
      </c>
      <c r="K297" s="257">
        <v>1.042062374738355E-4</v>
      </c>
      <c r="L297" s="228">
        <v>4.1700460867097881E-2</v>
      </c>
    </row>
    <row r="298" spans="1:12" s="212" customFormat="1" ht="15.5" x14ac:dyDescent="0.35">
      <c r="A298" s="198" t="s">
        <v>802</v>
      </c>
      <c r="B298" s="197">
        <v>2026</v>
      </c>
      <c r="C298" s="213" t="s">
        <v>3553</v>
      </c>
      <c r="D298" s="239">
        <v>2.0635751807977318E-2</v>
      </c>
      <c r="E298" s="226">
        <v>0.10406142501654772</v>
      </c>
      <c r="F298" s="226">
        <v>1.7423526872812338E-3</v>
      </c>
      <c r="G298" s="227">
        <v>1.6053462082542386E-3</v>
      </c>
      <c r="H298" s="226">
        <v>2.0000005732018801E-3</v>
      </c>
      <c r="I298" s="255">
        <v>2.8187699038093863E-3</v>
      </c>
      <c r="J298" s="256">
        <v>8.5134946296670189E-5</v>
      </c>
      <c r="K298" s="257">
        <v>8.8984370787476325E-5</v>
      </c>
      <c r="L298" s="228">
        <v>4.0825466174902229E-2</v>
      </c>
    </row>
    <row r="299" spans="1:12" s="212" customFormat="1" ht="15.5" x14ac:dyDescent="0.35">
      <c r="A299" s="198" t="s">
        <v>802</v>
      </c>
      <c r="B299" s="197">
        <v>2027</v>
      </c>
      <c r="C299" s="213" t="s">
        <v>3554</v>
      </c>
      <c r="D299" s="239">
        <v>1.8591068982360251E-2</v>
      </c>
      <c r="E299" s="226">
        <v>9.3979596467914012E-2</v>
      </c>
      <c r="F299" s="226">
        <v>1.6577099144195601E-3</v>
      </c>
      <c r="G299" s="227">
        <v>1.5269217390698499E-3</v>
      </c>
      <c r="H299" s="226">
        <v>2.0000005732018801E-3</v>
      </c>
      <c r="I299" s="255">
        <v>2.8171981556137449E-3</v>
      </c>
      <c r="J299" s="256">
        <v>6.9775744335721926E-5</v>
      </c>
      <c r="K299" s="257">
        <v>7.2930693869303467E-5</v>
      </c>
      <c r="L299" s="228">
        <v>3.9976683287825061E-2</v>
      </c>
    </row>
    <row r="300" spans="1:12" s="212" customFormat="1" ht="15.5" x14ac:dyDescent="0.35">
      <c r="A300" s="198" t="s">
        <v>802</v>
      </c>
      <c r="B300" s="197">
        <v>2028</v>
      </c>
      <c r="C300" s="213" t="s">
        <v>3555</v>
      </c>
      <c r="D300" s="239">
        <v>1.6805504210456911E-2</v>
      </c>
      <c r="E300" s="226">
        <v>8.5107650988236583E-2</v>
      </c>
      <c r="F300" s="226">
        <v>1.5745918251925922E-3</v>
      </c>
      <c r="G300" s="227">
        <v>1.4502398326225658E-3</v>
      </c>
      <c r="H300" s="226">
        <v>2.0000005732018801E-3</v>
      </c>
      <c r="I300" s="255">
        <v>2.8153573295432001E-3</v>
      </c>
      <c r="J300" s="256">
        <v>6.3156840050198243E-5</v>
      </c>
      <c r="K300" s="257">
        <v>6.6012512102941206E-5</v>
      </c>
      <c r="L300" s="228">
        <v>3.9168089617402348E-2</v>
      </c>
    </row>
    <row r="301" spans="1:12" s="212" customFormat="1" ht="15.5" x14ac:dyDescent="0.35">
      <c r="A301" s="198" t="s">
        <v>802</v>
      </c>
      <c r="B301" s="197">
        <v>2029</v>
      </c>
      <c r="C301" s="213" t="s">
        <v>3556</v>
      </c>
      <c r="D301" s="239">
        <v>1.5279403869805747E-2</v>
      </c>
      <c r="E301" s="226">
        <v>7.7508190742582236E-2</v>
      </c>
      <c r="F301" s="226">
        <v>1.489338551910189E-3</v>
      </c>
      <c r="G301" s="227">
        <v>1.3714864067462501E-3</v>
      </c>
      <c r="H301" s="226">
        <v>2.0000005732018801E-3</v>
      </c>
      <c r="I301" s="255">
        <v>2.8133901451309297E-3</v>
      </c>
      <c r="J301" s="256">
        <v>5.3758456224238397E-5</v>
      </c>
      <c r="K301" s="257">
        <v>5.6189175065082046E-5</v>
      </c>
      <c r="L301" s="228">
        <v>3.8409482282905846E-2</v>
      </c>
    </row>
    <row r="302" spans="1:12" s="212" customFormat="1" ht="15.5" x14ac:dyDescent="0.35">
      <c r="A302" s="198" t="s">
        <v>802</v>
      </c>
      <c r="B302" s="197">
        <v>2030</v>
      </c>
      <c r="C302" s="213" t="s">
        <v>3557</v>
      </c>
      <c r="D302" s="239">
        <v>1.3930705036076119E-2</v>
      </c>
      <c r="E302" s="226">
        <v>7.0720557020597027E-2</v>
      </c>
      <c r="F302" s="226">
        <v>1.3999379957740068E-3</v>
      </c>
      <c r="G302" s="227">
        <v>1.2887560290780586E-3</v>
      </c>
      <c r="H302" s="226">
        <v>2.0000005732018805E-3</v>
      </c>
      <c r="I302" s="255">
        <v>2.8113016326980341E-3</v>
      </c>
      <c r="J302" s="256">
        <v>4.015919379168316E-5</v>
      </c>
      <c r="K302" s="257">
        <v>4.1975014331159886E-5</v>
      </c>
      <c r="L302" s="228">
        <v>3.7698206439391174E-2</v>
      </c>
    </row>
    <row r="303" spans="1:12" s="212" customFormat="1" ht="15.5" x14ac:dyDescent="0.35">
      <c r="A303" s="198" t="s">
        <v>802</v>
      </c>
      <c r="B303" s="197">
        <v>2031</v>
      </c>
      <c r="C303" s="213" t="s">
        <v>3558</v>
      </c>
      <c r="D303" s="239">
        <v>1.2770415136971891E-2</v>
      </c>
      <c r="E303" s="226">
        <v>6.4892786879992975E-2</v>
      </c>
      <c r="F303" s="226">
        <v>1.3212136971844028E-3</v>
      </c>
      <c r="G303" s="227">
        <v>1.2161318029199752E-3</v>
      </c>
      <c r="H303" s="226">
        <v>2.0000005732018805E-3</v>
      </c>
      <c r="I303" s="255">
        <v>2.809062255449476E-3</v>
      </c>
      <c r="J303" s="256">
        <v>3.3995902353524538E-5</v>
      </c>
      <c r="K303" s="257">
        <v>3.5533046203368463E-5</v>
      </c>
      <c r="L303" s="228">
        <v>3.7038415133599567E-2</v>
      </c>
    </row>
    <row r="304" spans="1:12" s="212" customFormat="1" ht="15.5" x14ac:dyDescent="0.35">
      <c r="A304" s="198" t="s">
        <v>802</v>
      </c>
      <c r="B304" s="197">
        <v>2032</v>
      </c>
      <c r="C304" s="213" t="s">
        <v>3559</v>
      </c>
      <c r="D304" s="239">
        <v>1.1698196511965823E-2</v>
      </c>
      <c r="E304" s="226">
        <v>5.9552941866303423E-2</v>
      </c>
      <c r="F304" s="226">
        <v>1.2449844279204391E-3</v>
      </c>
      <c r="G304" s="227">
        <v>1.14591038915642E-3</v>
      </c>
      <c r="H304" s="226">
        <v>2.0000005732018801E-3</v>
      </c>
      <c r="I304" s="255">
        <v>2.8066336609147789E-3</v>
      </c>
      <c r="J304" s="256">
        <v>3.0623088680549227E-5</v>
      </c>
      <c r="K304" s="257">
        <v>3.2007728862740243E-5</v>
      </c>
      <c r="L304" s="228">
        <v>3.6424154513626641E-2</v>
      </c>
    </row>
    <row r="305" spans="1:12" s="212" customFormat="1" ht="15.5" x14ac:dyDescent="0.35">
      <c r="A305" s="198" t="s">
        <v>802</v>
      </c>
      <c r="B305" s="197">
        <v>2033</v>
      </c>
      <c r="C305" s="213" t="s">
        <v>3560</v>
      </c>
      <c r="D305" s="239">
        <v>1.0680419487990905E-2</v>
      </c>
      <c r="E305" s="226">
        <v>5.4565596167503172E-2</v>
      </c>
      <c r="F305" s="226">
        <v>1.1689543012035348E-3</v>
      </c>
      <c r="G305" s="227">
        <v>1.0758918736961205E-3</v>
      </c>
      <c r="H305" s="226">
        <v>2.0000005732018801E-3</v>
      </c>
      <c r="I305" s="255">
        <v>2.8040012697097445E-3</v>
      </c>
      <c r="J305" s="256">
        <v>2.77582992142195E-5</v>
      </c>
      <c r="K305" s="257">
        <v>2.9013406329058021E-5</v>
      </c>
      <c r="L305" s="228">
        <v>3.5851867579290639E-2</v>
      </c>
    </row>
    <row r="306" spans="1:12" s="212" customFormat="1" ht="15.5" x14ac:dyDescent="0.35">
      <c r="A306" s="198" t="s">
        <v>802</v>
      </c>
      <c r="B306" s="197">
        <v>2034</v>
      </c>
      <c r="C306" s="213" t="s">
        <v>3561</v>
      </c>
      <c r="D306" s="239">
        <v>9.7855753293032751E-3</v>
      </c>
      <c r="E306" s="226">
        <v>5.0410053233805902E-2</v>
      </c>
      <c r="F306" s="226">
        <v>1.0965055309778244E-3</v>
      </c>
      <c r="G306" s="227">
        <v>1.0091775178643488E-3</v>
      </c>
      <c r="H306" s="226">
        <v>2.0000005732018801E-3</v>
      </c>
      <c r="I306" s="255">
        <v>2.8013599563400026E-3</v>
      </c>
      <c r="J306" s="256">
        <v>2.518184918546107E-5</v>
      </c>
      <c r="K306" s="257">
        <v>2.6320460662826819E-5</v>
      </c>
      <c r="L306" s="228">
        <v>3.5328856438661453E-2</v>
      </c>
    </row>
    <row r="307" spans="1:12" s="212" customFormat="1" ht="15.5" x14ac:dyDescent="0.35">
      <c r="A307" s="198" t="s">
        <v>802</v>
      </c>
      <c r="B307" s="197">
        <v>2035</v>
      </c>
      <c r="C307" s="213" t="s">
        <v>3562</v>
      </c>
      <c r="D307" s="239">
        <v>8.9939677151587745E-3</v>
      </c>
      <c r="E307" s="226">
        <v>4.6902401212357663E-2</v>
      </c>
      <c r="F307" s="226">
        <v>1.027971133831767E-3</v>
      </c>
      <c r="G307" s="227">
        <v>9.4606888878968247E-4</v>
      </c>
      <c r="H307" s="226">
        <v>2.000000573201881E-3</v>
      </c>
      <c r="I307" s="255">
        <v>2.798764800333193E-3</v>
      </c>
      <c r="J307" s="256">
        <v>2.2774924663918509E-5</v>
      </c>
      <c r="K307" s="257">
        <v>2.3804705694989472E-5</v>
      </c>
      <c r="L307" s="228">
        <v>3.4852943814714328E-2</v>
      </c>
    </row>
    <row r="308" spans="1:12" s="212" customFormat="1" ht="15.5" x14ac:dyDescent="0.35">
      <c r="A308" s="198" t="s">
        <v>802</v>
      </c>
      <c r="B308" s="197">
        <v>2036</v>
      </c>
      <c r="C308" s="213" t="s">
        <v>3563</v>
      </c>
      <c r="D308" s="239">
        <v>8.2551005498674567E-3</v>
      </c>
      <c r="E308" s="226">
        <v>4.3650798201547117E-2</v>
      </c>
      <c r="F308" s="226">
        <v>9.6835681502736783E-4</v>
      </c>
      <c r="G308" s="227">
        <v>8.9117150866018121E-4</v>
      </c>
      <c r="H308" s="226">
        <v>2.0000005732018801E-3</v>
      </c>
      <c r="I308" s="255">
        <v>2.7961753128784438E-3</v>
      </c>
      <c r="J308" s="256">
        <v>2.0613520407242294E-5</v>
      </c>
      <c r="K308" s="257">
        <v>2.154557232891572E-5</v>
      </c>
      <c r="L308" s="228">
        <v>3.4421348477053131E-2</v>
      </c>
    </row>
    <row r="309" spans="1:12" s="212" customFormat="1" ht="15.5" x14ac:dyDescent="0.35">
      <c r="A309" s="198" t="s">
        <v>802</v>
      </c>
      <c r="B309" s="197">
        <v>2037</v>
      </c>
      <c r="C309" s="213" t="s">
        <v>3564</v>
      </c>
      <c r="D309" s="239">
        <v>7.6211048398592838E-3</v>
      </c>
      <c r="E309" s="226">
        <v>4.0947274499782985E-2</v>
      </c>
      <c r="F309" s="226">
        <v>9.1389916842420603E-4</v>
      </c>
      <c r="G309" s="227">
        <v>8.4102354184103969E-4</v>
      </c>
      <c r="H309" s="226">
        <v>2.0000005732018797E-3</v>
      </c>
      <c r="I309" s="255">
        <v>2.7937861361541473E-3</v>
      </c>
      <c r="J309" s="256">
        <v>1.8658558023721547E-5</v>
      </c>
      <c r="K309" s="257">
        <v>1.9502215221429258E-5</v>
      </c>
      <c r="L309" s="228">
        <v>3.4036579675120568E-2</v>
      </c>
    </row>
    <row r="310" spans="1:12" s="212" customFormat="1" ht="15.5" x14ac:dyDescent="0.35">
      <c r="A310" s="198" t="s">
        <v>802</v>
      </c>
      <c r="B310" s="197">
        <v>2038</v>
      </c>
      <c r="C310" s="213" t="s">
        <v>3565</v>
      </c>
      <c r="D310" s="239">
        <v>7.0424429818209417E-3</v>
      </c>
      <c r="E310" s="226">
        <v>3.845578548201041E-2</v>
      </c>
      <c r="F310" s="226">
        <v>8.63490093435203E-4</v>
      </c>
      <c r="G310" s="227">
        <v>7.9459515575703785E-4</v>
      </c>
      <c r="H310" s="226">
        <v>2.0000005732018805E-3</v>
      </c>
      <c r="I310" s="255">
        <v>2.7915242270188921E-3</v>
      </c>
      <c r="J310" s="256">
        <v>1.662835939579649E-5</v>
      </c>
      <c r="K310" s="257">
        <v>1.738022002042241E-5</v>
      </c>
      <c r="L310" s="228">
        <v>3.3697142460043343E-2</v>
      </c>
    </row>
    <row r="311" spans="1:12" s="212" customFormat="1" ht="15.5" x14ac:dyDescent="0.35">
      <c r="A311" s="198" t="s">
        <v>802</v>
      </c>
      <c r="B311" s="197">
        <v>2039</v>
      </c>
      <c r="C311" s="213" t="s">
        <v>3566</v>
      </c>
      <c r="D311" s="239">
        <v>6.4710151899941429E-3</v>
      </c>
      <c r="E311" s="226">
        <v>3.6074801649916111E-2</v>
      </c>
      <c r="F311" s="226">
        <v>8.165156677009622E-4</v>
      </c>
      <c r="G311" s="227">
        <v>7.5133661384228377E-4</v>
      </c>
      <c r="H311" s="226">
        <v>2.0000005732018801E-3</v>
      </c>
      <c r="I311" s="255">
        <v>2.7894322335069045E-3</v>
      </c>
      <c r="J311" s="256">
        <v>1.4901294526810572E-5</v>
      </c>
      <c r="K311" s="257">
        <v>1.5575064941797802E-5</v>
      </c>
      <c r="L311" s="228">
        <v>3.3396765832576794E-2</v>
      </c>
    </row>
    <row r="312" spans="1:12" s="212" customFormat="1" ht="15.5" x14ac:dyDescent="0.35">
      <c r="A312" s="198" t="s">
        <v>802</v>
      </c>
      <c r="B312" s="197">
        <v>2040</v>
      </c>
      <c r="C312" s="213" t="s">
        <v>3567</v>
      </c>
      <c r="D312" s="239">
        <v>5.9353417256324259E-3</v>
      </c>
      <c r="E312" s="226">
        <v>3.3919482641781094E-2</v>
      </c>
      <c r="F312" s="226">
        <v>7.7364414101933204E-4</v>
      </c>
      <c r="G312" s="227">
        <v>7.1187282373617552E-4</v>
      </c>
      <c r="H312" s="226">
        <v>2.0000005732018801E-3</v>
      </c>
      <c r="I312" s="255">
        <v>2.7875269483090171E-3</v>
      </c>
      <c r="J312" s="256">
        <v>1.3746250607979513E-5</v>
      </c>
      <c r="K312" s="257">
        <v>1.4367795062388677E-5</v>
      </c>
      <c r="L312" s="228">
        <v>3.3131960141255606E-2</v>
      </c>
    </row>
    <row r="313" spans="1:12" s="212" customFormat="1" ht="15.5" x14ac:dyDescent="0.35">
      <c r="A313" s="198" t="s">
        <v>802</v>
      </c>
      <c r="B313" s="197">
        <v>2041</v>
      </c>
      <c r="C313" s="213" t="s">
        <v>3568</v>
      </c>
      <c r="D313" s="239">
        <v>5.5123968213525044E-3</v>
      </c>
      <c r="E313" s="226">
        <v>3.212148291049842E-2</v>
      </c>
      <c r="F313" s="226">
        <v>7.4262963935859446E-4</v>
      </c>
      <c r="G313" s="227">
        <v>6.833188844293681E-4</v>
      </c>
      <c r="H313" s="226">
        <v>2.0000005732018805E-3</v>
      </c>
      <c r="I313" s="255">
        <v>2.7858744856305985E-3</v>
      </c>
      <c r="J313" s="256">
        <v>1.2790215838415228E-5</v>
      </c>
      <c r="K313" s="257">
        <v>1.3368532642886142E-5</v>
      </c>
      <c r="L313" s="228">
        <v>3.2904182492557901E-2</v>
      </c>
    </row>
    <row r="314" spans="1:12" s="212" customFormat="1" ht="15.5" x14ac:dyDescent="0.35">
      <c r="A314" s="198" t="s">
        <v>802</v>
      </c>
      <c r="B314" s="197">
        <v>2042</v>
      </c>
      <c r="C314" s="213" t="s">
        <v>3569</v>
      </c>
      <c r="D314" s="239">
        <v>5.1448550456156626E-3</v>
      </c>
      <c r="E314" s="226">
        <v>3.0417651886879497E-2</v>
      </c>
      <c r="F314" s="226">
        <v>7.1483912552037501E-4</v>
      </c>
      <c r="G314" s="227">
        <v>6.5773143748266007E-4</v>
      </c>
      <c r="H314" s="226">
        <v>2.0000005732018805E-3</v>
      </c>
      <c r="I314" s="255">
        <v>2.7843250638199318E-3</v>
      </c>
      <c r="J314" s="256">
        <v>1.1889478931785189E-5</v>
      </c>
      <c r="K314" s="257">
        <v>1.2427068410299133E-5</v>
      </c>
      <c r="L314" s="228">
        <v>3.2703996727603692E-2</v>
      </c>
    </row>
    <row r="315" spans="1:12" s="212" customFormat="1" ht="15.5" x14ac:dyDescent="0.35">
      <c r="A315" s="198" t="s">
        <v>802</v>
      </c>
      <c r="B315" s="197">
        <v>2043</v>
      </c>
      <c r="C315" s="213" t="s">
        <v>3570</v>
      </c>
      <c r="D315" s="239">
        <v>4.841380851183779E-3</v>
      </c>
      <c r="E315" s="226">
        <v>2.8878967834658879E-2</v>
      </c>
      <c r="F315" s="226">
        <v>6.9008022385989192E-4</v>
      </c>
      <c r="G315" s="227">
        <v>6.349356747112787E-4</v>
      </c>
      <c r="H315" s="226">
        <v>2.0000005732018797E-3</v>
      </c>
      <c r="I315" s="255">
        <v>2.7829027162690331E-3</v>
      </c>
      <c r="J315" s="256">
        <v>1.1097273117132741E-5</v>
      </c>
      <c r="K315" s="257">
        <v>1.1599042564069328E-5</v>
      </c>
      <c r="L315" s="228">
        <v>3.2529705705718469E-2</v>
      </c>
    </row>
    <row r="316" spans="1:12" s="212" customFormat="1" ht="15.5" x14ac:dyDescent="0.35">
      <c r="A316" s="198" t="s">
        <v>802</v>
      </c>
      <c r="B316" s="197">
        <v>2044</v>
      </c>
      <c r="C316" s="213" t="s">
        <v>3571</v>
      </c>
      <c r="D316" s="239">
        <v>4.6412457245725344E-3</v>
      </c>
      <c r="E316" s="226">
        <v>2.7661237971066836E-2</v>
      </c>
      <c r="F316" s="226">
        <v>6.6888600734657598E-4</v>
      </c>
      <c r="G316" s="227">
        <v>6.1542598953755103E-4</v>
      </c>
      <c r="H316" s="226">
        <v>2.0000005732018801E-3</v>
      </c>
      <c r="I316" s="255">
        <v>2.7817376335295845E-3</v>
      </c>
      <c r="J316" s="256">
        <v>1.0522740865447238E-5</v>
      </c>
      <c r="K316" s="257">
        <v>1.099853251341173E-5</v>
      </c>
      <c r="L316" s="228">
        <v>3.2382112626808852E-2</v>
      </c>
    </row>
    <row r="317" spans="1:12" s="212" customFormat="1" ht="15.5" x14ac:dyDescent="0.35">
      <c r="A317" s="198" t="s">
        <v>802</v>
      </c>
      <c r="B317" s="197">
        <v>2045</v>
      </c>
      <c r="C317" s="213" t="s">
        <v>3572</v>
      </c>
      <c r="D317" s="239">
        <v>4.4894203144046838E-3</v>
      </c>
      <c r="E317" s="226">
        <v>2.6460756849330191E-2</v>
      </c>
      <c r="F317" s="226">
        <v>6.49868040122321E-4</v>
      </c>
      <c r="G317" s="227">
        <v>5.9791905183870827E-4</v>
      </c>
      <c r="H317" s="226">
        <v>2.0000005732018805E-3</v>
      </c>
      <c r="I317" s="255">
        <v>2.7806166815347354E-3</v>
      </c>
      <c r="J317" s="256">
        <v>9.9935488274491285E-6</v>
      </c>
      <c r="K317" s="257">
        <v>1.044541275971023E-5</v>
      </c>
      <c r="L317" s="228">
        <v>3.2247432566630173E-2</v>
      </c>
    </row>
    <row r="318" spans="1:12" s="212" customFormat="1" ht="15.5" x14ac:dyDescent="0.35">
      <c r="A318" s="198" t="s">
        <v>802</v>
      </c>
      <c r="B318" s="197">
        <v>2046</v>
      </c>
      <c r="C318" s="213" t="s">
        <v>3573</v>
      </c>
      <c r="D318" s="239">
        <v>4.357132227713013E-3</v>
      </c>
      <c r="E318" s="226">
        <v>2.5418775582363523E-2</v>
      </c>
      <c r="F318" s="226">
        <v>6.3360014776025141E-4</v>
      </c>
      <c r="G318" s="227">
        <v>5.8294293449016681E-4</v>
      </c>
      <c r="H318" s="226">
        <v>2.0000005732018801E-3</v>
      </c>
      <c r="I318" s="255">
        <v>2.779674081525004E-3</v>
      </c>
      <c r="J318" s="256">
        <v>9.5215401344469034E-6</v>
      </c>
      <c r="K318" s="257">
        <v>9.9520619281179874E-6</v>
      </c>
      <c r="L318" s="228">
        <v>3.2132091394469105E-2</v>
      </c>
    </row>
    <row r="319" spans="1:12" s="212" customFormat="1" ht="15.5" x14ac:dyDescent="0.35">
      <c r="A319" s="198" t="s">
        <v>802</v>
      </c>
      <c r="B319" s="197">
        <v>2047</v>
      </c>
      <c r="C319" s="213" t="s">
        <v>3574</v>
      </c>
      <c r="D319" s="239">
        <v>4.2450655227758999E-3</v>
      </c>
      <c r="E319" s="226">
        <v>2.4529295218409596E-2</v>
      </c>
      <c r="F319" s="226">
        <v>6.1951226330384977E-4</v>
      </c>
      <c r="G319" s="227">
        <v>5.6997068291640425E-4</v>
      </c>
      <c r="H319" s="226">
        <v>2.0000005732018801E-3</v>
      </c>
      <c r="I319" s="255">
        <v>2.77889785514882E-3</v>
      </c>
      <c r="J319" s="256">
        <v>9.0348758382370323E-6</v>
      </c>
      <c r="K319" s="257">
        <v>9.4433928319743327E-6</v>
      </c>
      <c r="L319" s="228">
        <v>3.2034164025528694E-2</v>
      </c>
    </row>
    <row r="320" spans="1:12" s="212" customFormat="1" ht="15.5" x14ac:dyDescent="0.35">
      <c r="A320" s="198" t="s">
        <v>802</v>
      </c>
      <c r="B320" s="197">
        <v>2048</v>
      </c>
      <c r="C320" s="213" t="s">
        <v>3575</v>
      </c>
      <c r="D320" s="239">
        <v>4.1399179792606412E-3</v>
      </c>
      <c r="E320" s="226">
        <v>2.370035655640261E-2</v>
      </c>
      <c r="F320" s="226">
        <v>6.0715506896369582E-4</v>
      </c>
      <c r="G320" s="227">
        <v>5.5859014954501936E-4</v>
      </c>
      <c r="H320" s="226">
        <v>2.0000005732018801E-3</v>
      </c>
      <c r="I320" s="255">
        <v>2.7781595840919203E-3</v>
      </c>
      <c r="J320" s="256">
        <v>8.5587991861380252E-6</v>
      </c>
      <c r="K320" s="257">
        <v>8.9457901062262928E-6</v>
      </c>
      <c r="L320" s="228">
        <v>3.1945280878580874E-2</v>
      </c>
    </row>
    <row r="321" spans="1:12" s="212" customFormat="1" ht="15.5" x14ac:dyDescent="0.35">
      <c r="A321" s="198" t="s">
        <v>802</v>
      </c>
      <c r="B321" s="197">
        <v>2049</v>
      </c>
      <c r="C321" s="213" t="s">
        <v>3576</v>
      </c>
      <c r="D321" s="239">
        <v>4.1198300745338328E-3</v>
      </c>
      <c r="E321" s="226">
        <v>2.3627342213766875E-2</v>
      </c>
      <c r="F321" s="226">
        <v>6.0027090852240756E-4</v>
      </c>
      <c r="G321" s="227">
        <v>5.5225341076606347E-4</v>
      </c>
      <c r="H321" s="226">
        <v>2.0000005732018801E-3</v>
      </c>
      <c r="I321" s="255">
        <v>2.7775345103968367E-3</v>
      </c>
      <c r="J321" s="256">
        <v>8.3789519075419061E-6</v>
      </c>
      <c r="K321" s="257">
        <v>8.7578109317525204E-6</v>
      </c>
      <c r="L321" s="228">
        <v>3.1869665777242033E-2</v>
      </c>
    </row>
    <row r="322" spans="1:12" s="212" customFormat="1" ht="15.5" x14ac:dyDescent="0.35">
      <c r="A322" s="198" t="s">
        <v>802</v>
      </c>
      <c r="B322" s="197">
        <v>2050</v>
      </c>
      <c r="C322" s="213" t="s">
        <v>3577</v>
      </c>
      <c r="D322" s="239">
        <v>4.1033281636773389E-3</v>
      </c>
      <c r="E322" s="226">
        <v>2.3566761182144475E-2</v>
      </c>
      <c r="F322" s="226">
        <v>5.9463497643501761E-4</v>
      </c>
      <c r="G322" s="227">
        <v>5.4706338797735736E-4</v>
      </c>
      <c r="H322" s="226">
        <v>2.0000005732018801E-3</v>
      </c>
      <c r="I322" s="255">
        <v>2.7769802482143112E-3</v>
      </c>
      <c r="J322" s="256">
        <v>8.1738522395194555E-6</v>
      </c>
      <c r="K322" s="257">
        <v>8.5434375668583835E-6</v>
      </c>
      <c r="L322" s="228">
        <v>3.1803538727892322E-2</v>
      </c>
    </row>
    <row r="323" spans="1:12" s="212" customFormat="1" ht="15.5" x14ac:dyDescent="0.35">
      <c r="A323" s="198" t="s">
        <v>804</v>
      </c>
      <c r="B323" s="197">
        <v>2015</v>
      </c>
      <c r="C323" s="213" t="s">
        <v>875</v>
      </c>
      <c r="D323" s="239">
        <v>5.8362115117164645E-2</v>
      </c>
      <c r="E323" s="226">
        <v>0.26433930110510678</v>
      </c>
      <c r="F323" s="226">
        <v>2.1889391804650101E-3</v>
      </c>
      <c r="G323" s="227">
        <v>2.0261913304920544E-3</v>
      </c>
      <c r="H323" s="226">
        <v>1.9999999362868958E-3</v>
      </c>
      <c r="I323" s="255">
        <v>3.1956572937618809E-3</v>
      </c>
      <c r="J323" s="256">
        <v>2.4693607933718191E-4</v>
      </c>
      <c r="K323" s="257">
        <v>2.5810143308218605E-4</v>
      </c>
      <c r="L323" s="228">
        <v>4.6512131710145857E-2</v>
      </c>
    </row>
    <row r="324" spans="1:12" s="212" customFormat="1" ht="15.5" x14ac:dyDescent="0.35">
      <c r="A324" s="198" t="s">
        <v>804</v>
      </c>
      <c r="B324" s="197">
        <v>2016</v>
      </c>
      <c r="C324" s="213" t="s">
        <v>876</v>
      </c>
      <c r="D324" s="239">
        <v>5.032327311135059E-2</v>
      </c>
      <c r="E324" s="226">
        <v>0.23775391080722283</v>
      </c>
      <c r="F324" s="226">
        <v>2.090418971152311E-3</v>
      </c>
      <c r="G324" s="227">
        <v>1.9335709672031332E-3</v>
      </c>
      <c r="H324" s="226">
        <v>1.9999999354953593E-3</v>
      </c>
      <c r="I324" s="255">
        <v>3.1924161456066006E-3</v>
      </c>
      <c r="J324" s="256">
        <v>2.2526325654285794E-4</v>
      </c>
      <c r="K324" s="257">
        <v>2.3544866141282926E-4</v>
      </c>
      <c r="L324" s="228">
        <v>4.5542706673027941E-2</v>
      </c>
    </row>
    <row r="325" spans="1:12" s="212" customFormat="1" ht="15.5" x14ac:dyDescent="0.35">
      <c r="A325" s="198" t="s">
        <v>804</v>
      </c>
      <c r="B325" s="197">
        <v>2017</v>
      </c>
      <c r="C325" s="213" t="s">
        <v>3578</v>
      </c>
      <c r="D325" s="239">
        <v>4.0457609421585522E-2</v>
      </c>
      <c r="E325" s="226">
        <v>0.19832137559250623</v>
      </c>
      <c r="F325" s="226">
        <v>1.9621131304747384E-3</v>
      </c>
      <c r="G325" s="227">
        <v>1.8134396704720492E-3</v>
      </c>
      <c r="H325" s="226">
        <v>1.9999999309906519E-3</v>
      </c>
      <c r="I325" s="255">
        <v>3.1867831438676351E-3</v>
      </c>
      <c r="J325" s="256">
        <v>1.9442035783775126E-4</v>
      </c>
      <c r="K325" s="257">
        <v>2.0321118369161356E-4</v>
      </c>
      <c r="L325" s="228">
        <v>4.5152862983054765E-2</v>
      </c>
    </row>
    <row r="326" spans="1:12" s="212" customFormat="1" ht="15.5" x14ac:dyDescent="0.35">
      <c r="A326" s="198" t="s">
        <v>804</v>
      </c>
      <c r="B326" s="197">
        <v>2018</v>
      </c>
      <c r="C326" s="213" t="s">
        <v>3579</v>
      </c>
      <c r="D326" s="239">
        <v>3.3599302079665161E-2</v>
      </c>
      <c r="E326" s="226">
        <v>0.17138346460418138</v>
      </c>
      <c r="F326" s="226">
        <v>1.9062367108361059E-3</v>
      </c>
      <c r="G326" s="227">
        <v>1.7606140445934533E-3</v>
      </c>
      <c r="H326" s="226">
        <v>1.9999999379056847E-3</v>
      </c>
      <c r="I326" s="255">
        <v>3.1868604315840152E-3</v>
      </c>
      <c r="J326" s="256">
        <v>1.7669776325075843E-4</v>
      </c>
      <c r="K326" s="257">
        <v>1.8468725202024628E-4</v>
      </c>
      <c r="L326" s="228">
        <v>4.4577483387198316E-2</v>
      </c>
    </row>
    <row r="327" spans="1:12" s="212" customFormat="1" ht="15.5" x14ac:dyDescent="0.35">
      <c r="A327" s="198" t="s">
        <v>804</v>
      </c>
      <c r="B327" s="197">
        <v>2019</v>
      </c>
      <c r="C327" s="213" t="s">
        <v>3580</v>
      </c>
      <c r="D327" s="239">
        <v>2.7689733737713267E-2</v>
      </c>
      <c r="E327" s="226">
        <v>0.14520798903729051</v>
      </c>
      <c r="F327" s="226">
        <v>1.8396642460531607E-3</v>
      </c>
      <c r="G327" s="227">
        <v>1.6970285608764004E-3</v>
      </c>
      <c r="H327" s="226">
        <v>1.9999999386702853E-3</v>
      </c>
      <c r="I327" s="255">
        <v>3.1904018962982629E-3</v>
      </c>
      <c r="J327" s="256">
        <v>1.3008385288523154E-4</v>
      </c>
      <c r="K327" s="257">
        <v>1.3596566747415366E-4</v>
      </c>
      <c r="L327" s="228">
        <v>4.3844970893130379E-2</v>
      </c>
    </row>
    <row r="328" spans="1:12" s="212" customFormat="1" ht="15.5" x14ac:dyDescent="0.35">
      <c r="A328" s="198" t="s">
        <v>804</v>
      </c>
      <c r="B328" s="197">
        <v>2020</v>
      </c>
      <c r="C328" s="213" t="s">
        <v>3581</v>
      </c>
      <c r="D328" s="239">
        <v>2.4180084764127689E-2</v>
      </c>
      <c r="E328" s="226">
        <v>0.12973592886719323</v>
      </c>
      <c r="F328" s="226">
        <v>1.8003209158078549E-3</v>
      </c>
      <c r="G328" s="227">
        <v>1.660221147977743E-3</v>
      </c>
      <c r="H328" s="226">
        <v>1.9999999378020987E-3</v>
      </c>
      <c r="I328" s="255">
        <v>3.2007478541563232E-3</v>
      </c>
      <c r="J328" s="256">
        <v>1.1880136679896989E-4</v>
      </c>
      <c r="K328" s="257">
        <v>1.2417303743236186E-4</v>
      </c>
      <c r="L328" s="228">
        <v>4.3534587964264682E-2</v>
      </c>
    </row>
    <row r="329" spans="1:12" s="212" customFormat="1" ht="15.5" x14ac:dyDescent="0.35">
      <c r="A329" s="198" t="s">
        <v>804</v>
      </c>
      <c r="B329" s="197">
        <v>2021</v>
      </c>
      <c r="C329" s="213" t="s">
        <v>3582</v>
      </c>
      <c r="D329" s="239">
        <v>2.1382808973922727E-2</v>
      </c>
      <c r="E329" s="226">
        <v>0.11566365980817767</v>
      </c>
      <c r="F329" s="226">
        <v>1.7340065566128799E-3</v>
      </c>
      <c r="G329" s="227">
        <v>1.5987195473264886E-3</v>
      </c>
      <c r="H329" s="226">
        <v>1.9999962538638804E-3</v>
      </c>
      <c r="I329" s="255">
        <v>3.2014929708668758E-3</v>
      </c>
      <c r="J329" s="256">
        <v>1.0714540777558377E-4</v>
      </c>
      <c r="K329" s="257">
        <v>1.1199004766449035E-4</v>
      </c>
      <c r="L329" s="228">
        <v>4.2690220900755096E-2</v>
      </c>
    </row>
    <row r="330" spans="1:12" s="212" customFormat="1" ht="15.5" x14ac:dyDescent="0.35">
      <c r="A330" s="198" t="s">
        <v>804</v>
      </c>
      <c r="B330" s="197">
        <v>2022</v>
      </c>
      <c r="C330" s="213" t="s">
        <v>3583</v>
      </c>
      <c r="D330" s="239">
        <v>1.8486857882517874E-2</v>
      </c>
      <c r="E330" s="226">
        <v>0.10218435499773312</v>
      </c>
      <c r="F330" s="226">
        <v>1.6574048457557271E-3</v>
      </c>
      <c r="G330" s="227">
        <v>1.52773388229402E-3</v>
      </c>
      <c r="H330" s="226">
        <v>1.9999962530141305E-3</v>
      </c>
      <c r="I330" s="255">
        <v>3.2037879218079967E-3</v>
      </c>
      <c r="J330" s="256">
        <v>9.6401381300982163E-5</v>
      </c>
      <c r="K330" s="257">
        <v>1.0076022398861867E-4</v>
      </c>
      <c r="L330" s="228">
        <v>4.1908374796999957E-2</v>
      </c>
    </row>
    <row r="331" spans="1:12" s="212" customFormat="1" ht="15.5" x14ac:dyDescent="0.35">
      <c r="A331" s="198" t="s">
        <v>804</v>
      </c>
      <c r="B331" s="197">
        <v>2023</v>
      </c>
      <c r="C331" s="213" t="s">
        <v>3584</v>
      </c>
      <c r="D331" s="239">
        <v>1.6337454995124467E-2</v>
      </c>
      <c r="E331" s="226">
        <v>9.0702291862007081E-2</v>
      </c>
      <c r="F331" s="226">
        <v>1.5846932359775585E-3</v>
      </c>
      <c r="G331" s="227">
        <v>1.4604418412477325E-3</v>
      </c>
      <c r="H331" s="226">
        <v>1.9999962537165083E-3</v>
      </c>
      <c r="I331" s="255">
        <v>3.2049132848776369E-3</v>
      </c>
      <c r="J331" s="256">
        <v>8.5785677461677867E-5</v>
      </c>
      <c r="K331" s="257">
        <v>8.9664525128189157E-5</v>
      </c>
      <c r="L331" s="228">
        <v>4.1079136055782381E-2</v>
      </c>
    </row>
    <row r="332" spans="1:12" s="212" customFormat="1" ht="15.5" x14ac:dyDescent="0.35">
      <c r="A332" s="198" t="s">
        <v>804</v>
      </c>
      <c r="B332" s="197">
        <v>2024</v>
      </c>
      <c r="C332" s="213" t="s">
        <v>3585</v>
      </c>
      <c r="D332" s="239">
        <v>1.4416763940894233E-2</v>
      </c>
      <c r="E332" s="226">
        <v>8.072387154381562E-2</v>
      </c>
      <c r="F332" s="226">
        <v>1.5159316265089212E-3</v>
      </c>
      <c r="G332" s="227">
        <v>1.3968260355228736E-3</v>
      </c>
      <c r="H332" s="226">
        <v>1.9999962555073783E-3</v>
      </c>
      <c r="I332" s="255">
        <v>3.1774643384932027E-3</v>
      </c>
      <c r="J332" s="256">
        <v>7.6422814851812864E-5</v>
      </c>
      <c r="K332" s="257">
        <v>7.9878315418193527E-5</v>
      </c>
      <c r="L332" s="228">
        <v>4.0258458399386257E-2</v>
      </c>
    </row>
    <row r="333" spans="1:12" s="212" customFormat="1" ht="15.5" x14ac:dyDescent="0.35">
      <c r="A333" s="198" t="s">
        <v>804</v>
      </c>
      <c r="B333" s="197">
        <v>2025</v>
      </c>
      <c r="C333" s="213" t="s">
        <v>3586</v>
      </c>
      <c r="D333" s="239">
        <v>1.2868611892838328E-2</v>
      </c>
      <c r="E333" s="226">
        <v>7.2333753181935009E-2</v>
      </c>
      <c r="F333" s="226">
        <v>1.4551516238572718E-3</v>
      </c>
      <c r="G333" s="227">
        <v>1.3405734951240065E-3</v>
      </c>
      <c r="H333" s="226">
        <v>1.9999962594331481E-3</v>
      </c>
      <c r="I333" s="255">
        <v>3.1744082641099523E-3</v>
      </c>
      <c r="J333" s="256">
        <v>6.7104995953866037E-5</v>
      </c>
      <c r="K333" s="257">
        <v>7.0139186096890611E-5</v>
      </c>
      <c r="L333" s="228">
        <v>3.9367986375700083E-2</v>
      </c>
    </row>
    <row r="334" spans="1:12" s="212" customFormat="1" ht="15.5" x14ac:dyDescent="0.35">
      <c r="A334" s="198" t="s">
        <v>804</v>
      </c>
      <c r="B334" s="197">
        <v>2026</v>
      </c>
      <c r="C334" s="213" t="s">
        <v>3587</v>
      </c>
      <c r="D334" s="239">
        <v>1.1563805751784884E-2</v>
      </c>
      <c r="E334" s="226">
        <v>6.52604376396035E-2</v>
      </c>
      <c r="F334" s="226">
        <v>1.3910101742700186E-3</v>
      </c>
      <c r="G334" s="227">
        <v>1.2812209402809826E-3</v>
      </c>
      <c r="H334" s="226">
        <v>1.9999962626229481E-3</v>
      </c>
      <c r="I334" s="255">
        <v>3.1741894947855992E-3</v>
      </c>
      <c r="J334" s="256">
        <v>5.7443778796301596E-5</v>
      </c>
      <c r="K334" s="257">
        <v>6.0041131570477329E-5</v>
      </c>
      <c r="L334" s="228">
        <v>3.8495448993227488E-2</v>
      </c>
    </row>
    <row r="335" spans="1:12" s="212" customFormat="1" ht="15.5" x14ac:dyDescent="0.35">
      <c r="A335" s="198" t="s">
        <v>804</v>
      </c>
      <c r="B335" s="197">
        <v>2027</v>
      </c>
      <c r="C335" s="213" t="s">
        <v>3588</v>
      </c>
      <c r="D335" s="239">
        <v>1.0470588072369232E-2</v>
      </c>
      <c r="E335" s="226">
        <v>5.9193623771057434E-2</v>
      </c>
      <c r="F335" s="226">
        <v>1.3242724394323614E-3</v>
      </c>
      <c r="G335" s="227">
        <v>1.2194852685618871E-3</v>
      </c>
      <c r="H335" s="226">
        <v>1.9999962660297997E-3</v>
      </c>
      <c r="I335" s="255">
        <v>3.2001195117008505E-3</v>
      </c>
      <c r="J335" s="256">
        <v>4.7882585333579695E-5</v>
      </c>
      <c r="K335" s="257">
        <v>5.0047623366538642E-5</v>
      </c>
      <c r="L335" s="228">
        <v>3.7711977964330047E-2</v>
      </c>
    </row>
    <row r="336" spans="1:12" s="212" customFormat="1" ht="15.5" x14ac:dyDescent="0.35">
      <c r="A336" s="198" t="s">
        <v>804</v>
      </c>
      <c r="B336" s="197">
        <v>2028</v>
      </c>
      <c r="C336" s="213" t="s">
        <v>3589</v>
      </c>
      <c r="D336" s="239">
        <v>9.4915740308211399E-3</v>
      </c>
      <c r="E336" s="226">
        <v>5.390226960817418E-2</v>
      </c>
      <c r="F336" s="226">
        <v>1.244386653416711E-3</v>
      </c>
      <c r="G336" s="227">
        <v>1.145744779379509E-3</v>
      </c>
      <c r="H336" s="226">
        <v>1.9999962715563963E-3</v>
      </c>
      <c r="I336" s="255">
        <v>3.2409738556874691E-3</v>
      </c>
      <c r="J336" s="256">
        <v>4.0479184856697668E-5</v>
      </c>
      <c r="K336" s="257">
        <v>4.2309473972195087E-5</v>
      </c>
      <c r="L336" s="228">
        <v>3.6876238044734569E-2</v>
      </c>
    </row>
    <row r="337" spans="1:12" s="212" customFormat="1" ht="15.5" x14ac:dyDescent="0.35">
      <c r="A337" s="198" t="s">
        <v>804</v>
      </c>
      <c r="B337" s="197">
        <v>2029</v>
      </c>
      <c r="C337" s="213" t="s">
        <v>3590</v>
      </c>
      <c r="D337" s="239">
        <v>8.6598403684007043E-3</v>
      </c>
      <c r="E337" s="226">
        <v>4.9453542334706488E-2</v>
      </c>
      <c r="F337" s="226">
        <v>1.1692668777196602E-3</v>
      </c>
      <c r="G337" s="227">
        <v>1.0764736440240924E-3</v>
      </c>
      <c r="H337" s="226">
        <v>1.999996276825291E-3</v>
      </c>
      <c r="I337" s="255">
        <v>3.2397326663472473E-3</v>
      </c>
      <c r="J337" s="256">
        <v>3.5313382921237903E-5</v>
      </c>
      <c r="K337" s="257">
        <v>3.6910097396120314E-5</v>
      </c>
      <c r="L337" s="228">
        <v>3.6175142123165215E-2</v>
      </c>
    </row>
    <row r="338" spans="1:12" s="212" customFormat="1" ht="15.5" x14ac:dyDescent="0.35">
      <c r="A338" s="198" t="s">
        <v>804</v>
      </c>
      <c r="B338" s="197">
        <v>2030</v>
      </c>
      <c r="C338" s="213" t="s">
        <v>3591</v>
      </c>
      <c r="D338" s="239">
        <v>7.9558516292574776E-3</v>
      </c>
      <c r="E338" s="226">
        <v>4.5650582873284891E-2</v>
      </c>
      <c r="F338" s="226">
        <v>1.0967568501571315E-3</v>
      </c>
      <c r="G338" s="227">
        <v>1.0095977427710561E-3</v>
      </c>
      <c r="H338" s="226">
        <v>1.9999962819901313E-3</v>
      </c>
      <c r="I338" s="255">
        <v>3.2384429049156123E-3</v>
      </c>
      <c r="J338" s="256">
        <v>3.0036373210211269E-5</v>
      </c>
      <c r="K338" s="257">
        <v>3.1394484722344888E-5</v>
      </c>
      <c r="L338" s="228">
        <v>3.5536518940958085E-2</v>
      </c>
    </row>
    <row r="339" spans="1:12" s="212" customFormat="1" ht="15.5" x14ac:dyDescent="0.35">
      <c r="A339" s="198" t="s">
        <v>804</v>
      </c>
      <c r="B339" s="197">
        <v>2031</v>
      </c>
      <c r="C339" s="213" t="s">
        <v>3592</v>
      </c>
      <c r="D339" s="239">
        <v>7.3369642349658771E-3</v>
      </c>
      <c r="E339" s="226">
        <v>4.2329211568334912E-2</v>
      </c>
      <c r="F339" s="226">
        <v>1.0295322588648715E-3</v>
      </c>
      <c r="G339" s="227">
        <v>9.476594463831364E-4</v>
      </c>
      <c r="H339" s="226">
        <v>1.9999962867281104E-3</v>
      </c>
      <c r="I339" s="255">
        <v>3.2370567008482213E-3</v>
      </c>
      <c r="J339" s="256">
        <v>2.6757196579616146E-5</v>
      </c>
      <c r="K339" s="257">
        <v>2.7967038275645076E-5</v>
      </c>
      <c r="L339" s="228">
        <v>3.4958279990831537E-2</v>
      </c>
    </row>
    <row r="340" spans="1:12" s="212" customFormat="1" ht="15.5" x14ac:dyDescent="0.35">
      <c r="A340" s="198" t="s">
        <v>804</v>
      </c>
      <c r="B340" s="197">
        <v>2032</v>
      </c>
      <c r="C340" s="213" t="s">
        <v>3593</v>
      </c>
      <c r="D340" s="239">
        <v>6.8143818524424539E-3</v>
      </c>
      <c r="E340" s="226">
        <v>3.9561819356250964E-2</v>
      </c>
      <c r="F340" s="226">
        <v>9.6693736783470428E-4</v>
      </c>
      <c r="G340" s="227">
        <v>8.8997201425107758E-4</v>
      </c>
      <c r="H340" s="226">
        <v>1.9999962916095581E-3</v>
      </c>
      <c r="I340" s="255">
        <v>3.2356228722683436E-3</v>
      </c>
      <c r="J340" s="256">
        <v>2.3324688332400382E-5</v>
      </c>
      <c r="K340" s="257">
        <v>2.4379327237019937E-5</v>
      </c>
      <c r="L340" s="228">
        <v>3.4438681061562754E-2</v>
      </c>
    </row>
    <row r="341" spans="1:12" s="212" customFormat="1" ht="15.5" x14ac:dyDescent="0.35">
      <c r="A341" s="198" t="s">
        <v>804</v>
      </c>
      <c r="B341" s="197">
        <v>2033</v>
      </c>
      <c r="C341" s="213" t="s">
        <v>3594</v>
      </c>
      <c r="D341" s="239">
        <v>6.3598885238666091E-3</v>
      </c>
      <c r="E341" s="226">
        <v>3.7191822321104427E-2</v>
      </c>
      <c r="F341" s="226">
        <v>9.0985567416204248E-4</v>
      </c>
      <c r="G341" s="227">
        <v>8.3740297793373291E-4</v>
      </c>
      <c r="H341" s="226">
        <v>1.9999962963905102E-3</v>
      </c>
      <c r="I341" s="255">
        <v>3.2341337778281241E-3</v>
      </c>
      <c r="J341" s="256">
        <v>2.1155289020461132E-5</v>
      </c>
      <c r="K341" s="257">
        <v>2.211183731476167E-5</v>
      </c>
      <c r="L341" s="228">
        <v>3.3973052287108507E-2</v>
      </c>
    </row>
    <row r="342" spans="1:12" s="212" customFormat="1" ht="15.5" x14ac:dyDescent="0.35">
      <c r="A342" s="198" t="s">
        <v>804</v>
      </c>
      <c r="B342" s="197">
        <v>2034</v>
      </c>
      <c r="C342" s="213" t="s">
        <v>3595</v>
      </c>
      <c r="D342" s="239">
        <v>5.9514906534863668E-3</v>
      </c>
      <c r="E342" s="226">
        <v>3.5135158840865259E-2</v>
      </c>
      <c r="F342" s="226">
        <v>8.5674300252040455E-4</v>
      </c>
      <c r="G342" s="227">
        <v>7.8849165796678554E-4</v>
      </c>
      <c r="H342" s="226">
        <v>1.9999963006973745E-3</v>
      </c>
      <c r="I342" s="255">
        <v>3.2327041980093527E-3</v>
      </c>
      <c r="J342" s="256">
        <v>1.9200121872779713E-5</v>
      </c>
      <c r="K342" s="257">
        <v>2.0068266184587845E-5</v>
      </c>
      <c r="L342" s="228">
        <v>3.3558658282119472E-2</v>
      </c>
    </row>
    <row r="343" spans="1:12" s="212" customFormat="1" ht="15.5" x14ac:dyDescent="0.35">
      <c r="A343" s="198" t="s">
        <v>804</v>
      </c>
      <c r="B343" s="197">
        <v>2035</v>
      </c>
      <c r="C343" s="213" t="s">
        <v>3596</v>
      </c>
      <c r="D343" s="239">
        <v>5.5912235811706517E-3</v>
      </c>
      <c r="E343" s="226">
        <v>3.335759964735726E-2</v>
      </c>
      <c r="F343" s="226">
        <v>8.0786896677529512E-4</v>
      </c>
      <c r="G343" s="227">
        <v>7.4347778454539716E-4</v>
      </c>
      <c r="H343" s="226">
        <v>1.9999963044699063E-3</v>
      </c>
      <c r="I343" s="255">
        <v>3.2313825225532182E-3</v>
      </c>
      <c r="J343" s="256">
        <v>1.724950517031806E-5</v>
      </c>
      <c r="K343" s="257">
        <v>1.8029451250574291E-5</v>
      </c>
      <c r="L343" s="228">
        <v>3.3192436878921788E-2</v>
      </c>
    </row>
    <row r="344" spans="1:12" s="212" customFormat="1" ht="15.5" x14ac:dyDescent="0.35">
      <c r="A344" s="198" t="s">
        <v>804</v>
      </c>
      <c r="B344" s="197">
        <v>2036</v>
      </c>
      <c r="C344" s="213" t="s">
        <v>3597</v>
      </c>
      <c r="D344" s="239">
        <v>5.2993100457310108E-3</v>
      </c>
      <c r="E344" s="226">
        <v>3.1884650676520722E-2</v>
      </c>
      <c r="F344" s="226">
        <v>7.6775185523828145E-4</v>
      </c>
      <c r="G344" s="227">
        <v>7.0653305568185428E-4</v>
      </c>
      <c r="H344" s="226">
        <v>1.9999963083046938E-3</v>
      </c>
      <c r="I344" s="255">
        <v>3.2436060884630359E-3</v>
      </c>
      <c r="J344" s="256">
        <v>1.5747417792626833E-5</v>
      </c>
      <c r="K344" s="257">
        <v>1.6459446147077889E-5</v>
      </c>
      <c r="L344" s="228">
        <v>3.2883658584543049E-2</v>
      </c>
    </row>
    <row r="345" spans="1:12" s="212" customFormat="1" ht="15.5" x14ac:dyDescent="0.35">
      <c r="A345" s="198" t="s">
        <v>804</v>
      </c>
      <c r="B345" s="197">
        <v>2037</v>
      </c>
      <c r="C345" s="213" t="s">
        <v>3598</v>
      </c>
      <c r="D345" s="239">
        <v>5.0333351784892389E-3</v>
      </c>
      <c r="E345" s="226">
        <v>3.0589683941398601E-2</v>
      </c>
      <c r="F345" s="226">
        <v>7.2994301687105472E-4</v>
      </c>
      <c r="G345" s="227">
        <v>6.7171180478175748E-4</v>
      </c>
      <c r="H345" s="226">
        <v>1.9999963114468553E-3</v>
      </c>
      <c r="I345" s="255">
        <v>3.2426088578153735E-3</v>
      </c>
      <c r="J345" s="256">
        <v>1.4273716118676713E-5</v>
      </c>
      <c r="K345" s="257">
        <v>1.4919110222886068E-5</v>
      </c>
      <c r="L345" s="228">
        <v>3.260470822639084E-2</v>
      </c>
    </row>
    <row r="346" spans="1:12" s="212" customFormat="1" ht="15.5" x14ac:dyDescent="0.35">
      <c r="A346" s="198" t="s">
        <v>804</v>
      </c>
      <c r="B346" s="197">
        <v>2038</v>
      </c>
      <c r="C346" s="213" t="s">
        <v>3599</v>
      </c>
      <c r="D346" s="239">
        <v>4.7973076972591955E-3</v>
      </c>
      <c r="E346" s="226">
        <v>2.9436174001924515E-2</v>
      </c>
      <c r="F346" s="226">
        <v>6.9639604115497521E-4</v>
      </c>
      <c r="G346" s="227">
        <v>6.4082456120429117E-4</v>
      </c>
      <c r="H346" s="226">
        <v>1.9999963140556317E-3</v>
      </c>
      <c r="I346" s="255">
        <v>3.2417614821039966E-3</v>
      </c>
      <c r="J346" s="256">
        <v>1.319479879164615E-5</v>
      </c>
      <c r="K346" s="257">
        <v>1.3791409041951893E-5</v>
      </c>
      <c r="L346" s="228">
        <v>3.2364794189740628E-2</v>
      </c>
    </row>
    <row r="347" spans="1:12" s="212" customFormat="1" ht="15.5" x14ac:dyDescent="0.35">
      <c r="A347" s="198" t="s">
        <v>804</v>
      </c>
      <c r="B347" s="197">
        <v>2039</v>
      </c>
      <c r="C347" s="213" t="s">
        <v>3600</v>
      </c>
      <c r="D347" s="239">
        <v>4.5724774333682069E-3</v>
      </c>
      <c r="E347" s="226">
        <v>2.8356360852648289E-2</v>
      </c>
      <c r="F347" s="226">
        <v>6.6647633367333792E-4</v>
      </c>
      <c r="G347" s="227">
        <v>6.1327746631720649E-4</v>
      </c>
      <c r="H347" s="226">
        <v>1.9999963163649099E-3</v>
      </c>
      <c r="I347" s="255">
        <v>3.2410559346572041E-3</v>
      </c>
      <c r="J347" s="256">
        <v>1.2244451074742399E-5</v>
      </c>
      <c r="K347" s="257">
        <v>1.2798090818395325E-5</v>
      </c>
      <c r="L347" s="228">
        <v>3.2157268874417999E-2</v>
      </c>
    </row>
    <row r="348" spans="1:12" s="212" customFormat="1" ht="15.5" x14ac:dyDescent="0.35">
      <c r="A348" s="198" t="s">
        <v>804</v>
      </c>
      <c r="B348" s="197">
        <v>2040</v>
      </c>
      <c r="C348" s="213" t="s">
        <v>3601</v>
      </c>
      <c r="D348" s="239">
        <v>4.371130953884265E-3</v>
      </c>
      <c r="E348" s="226">
        <v>2.740931195951293E-2</v>
      </c>
      <c r="F348" s="226">
        <v>6.3997735137778311E-4</v>
      </c>
      <c r="G348" s="227">
        <v>5.8888239963559197E-4</v>
      </c>
      <c r="H348" s="226">
        <v>1.9999963180595986E-3</v>
      </c>
      <c r="I348" s="255">
        <v>3.2405028040368169E-3</v>
      </c>
      <c r="J348" s="256">
        <v>1.1468568557602975E-5</v>
      </c>
      <c r="K348" s="257">
        <v>1.1987126336758521E-5</v>
      </c>
      <c r="L348" s="228">
        <v>3.1978462857399713E-2</v>
      </c>
    </row>
    <row r="349" spans="1:12" s="212" customFormat="1" ht="15.5" x14ac:dyDescent="0.35">
      <c r="A349" s="198" t="s">
        <v>804</v>
      </c>
      <c r="B349" s="197">
        <v>2041</v>
      </c>
      <c r="C349" s="213" t="s">
        <v>3602</v>
      </c>
      <c r="D349" s="239">
        <v>4.2158118928294049E-3</v>
      </c>
      <c r="E349" s="226">
        <v>2.6622023198065826E-2</v>
      </c>
      <c r="F349" s="226">
        <v>6.1898594298364805E-4</v>
      </c>
      <c r="G349" s="227">
        <v>5.6955455807952769E-4</v>
      </c>
      <c r="H349" s="226">
        <v>1.9999963197341155E-3</v>
      </c>
      <c r="I349" s="255">
        <v>3.2401285862672727E-3</v>
      </c>
      <c r="J349" s="256">
        <v>1.0775180547084539E-5</v>
      </c>
      <c r="K349" s="257">
        <v>1.1262386397268158E-5</v>
      </c>
      <c r="L349" s="228">
        <v>3.1827338825534311E-2</v>
      </c>
    </row>
    <row r="350" spans="1:12" s="212" customFormat="1" ht="15.5" x14ac:dyDescent="0.35">
      <c r="A350" s="198" t="s">
        <v>804</v>
      </c>
      <c r="B350" s="197">
        <v>2042</v>
      </c>
      <c r="C350" s="213" t="s">
        <v>3603</v>
      </c>
      <c r="D350" s="239">
        <v>4.073794952154629E-3</v>
      </c>
      <c r="E350" s="226">
        <v>2.5864532103826724E-2</v>
      </c>
      <c r="F350" s="226">
        <v>6.0070500192923649E-4</v>
      </c>
      <c r="G350" s="227">
        <v>5.527236717071584E-4</v>
      </c>
      <c r="H350" s="226">
        <v>1.9999963213143458E-3</v>
      </c>
      <c r="I350" s="255">
        <v>3.2398287048612446E-3</v>
      </c>
      <c r="J350" s="256">
        <v>1.0204486665128145E-5</v>
      </c>
      <c r="K350" s="257">
        <v>1.0665888270386306E-5</v>
      </c>
      <c r="L350" s="228">
        <v>3.1696415104502995E-2</v>
      </c>
    </row>
    <row r="351" spans="1:12" s="212" customFormat="1" ht="15.5" x14ac:dyDescent="0.35">
      <c r="A351" s="198" t="s">
        <v>804</v>
      </c>
      <c r="B351" s="197">
        <v>2043</v>
      </c>
      <c r="C351" s="213" t="s">
        <v>3604</v>
      </c>
      <c r="D351" s="239">
        <v>3.9604780417262161E-3</v>
      </c>
      <c r="E351" s="226">
        <v>2.5206341318587674E-2</v>
      </c>
      <c r="F351" s="226">
        <v>5.8490867665940058E-4</v>
      </c>
      <c r="G351" s="227">
        <v>5.3818018307446637E-4</v>
      </c>
      <c r="H351" s="226">
        <v>1.9999963226509064E-3</v>
      </c>
      <c r="I351" s="255">
        <v>3.2396546107509674E-3</v>
      </c>
      <c r="J351" s="256">
        <v>9.7078437865403425E-6</v>
      </c>
      <c r="K351" s="257">
        <v>1.0146789404648902E-5</v>
      </c>
      <c r="L351" s="228">
        <v>3.158457466656861E-2</v>
      </c>
    </row>
    <row r="352" spans="1:12" s="212" customFormat="1" ht="15.5" x14ac:dyDescent="0.35">
      <c r="A352" s="198" t="s">
        <v>804</v>
      </c>
      <c r="B352" s="197">
        <v>2044</v>
      </c>
      <c r="C352" s="213" t="s">
        <v>3605</v>
      </c>
      <c r="D352" s="239">
        <v>3.8662104617023232E-3</v>
      </c>
      <c r="E352" s="226">
        <v>2.4562932969744565E-2</v>
      </c>
      <c r="F352" s="226">
        <v>5.7114196375018431E-4</v>
      </c>
      <c r="G352" s="227">
        <v>5.2550599543211749E-4</v>
      </c>
      <c r="H352" s="226">
        <v>1.9999963236765335E-3</v>
      </c>
      <c r="I352" s="255">
        <v>3.2395258228304783E-3</v>
      </c>
      <c r="J352" s="256">
        <v>9.291978919639329E-6</v>
      </c>
      <c r="K352" s="257">
        <v>9.7121209738396387E-6</v>
      </c>
      <c r="L352" s="228">
        <v>3.1487354867522029E-2</v>
      </c>
    </row>
    <row r="353" spans="1:12" s="212" customFormat="1" ht="15.5" x14ac:dyDescent="0.35">
      <c r="A353" s="198" t="s">
        <v>804</v>
      </c>
      <c r="B353" s="197">
        <v>2045</v>
      </c>
      <c r="C353" s="213" t="s">
        <v>3606</v>
      </c>
      <c r="D353" s="239">
        <v>3.7959937642062947E-3</v>
      </c>
      <c r="E353" s="226">
        <v>2.3988619041733664E-2</v>
      </c>
      <c r="F353" s="226">
        <v>5.5930152506829603E-4</v>
      </c>
      <c r="G353" s="227">
        <v>5.1460579888869197E-4</v>
      </c>
      <c r="H353" s="226">
        <v>1.9999963248080272E-3</v>
      </c>
      <c r="I353" s="255">
        <v>3.2395154679019343E-3</v>
      </c>
      <c r="J353" s="256">
        <v>8.9493389160740063E-6</v>
      </c>
      <c r="K353" s="257">
        <v>9.3539883097555894E-6</v>
      </c>
      <c r="L353" s="228">
        <v>3.1402675374399662E-2</v>
      </c>
    </row>
    <row r="354" spans="1:12" s="212" customFormat="1" ht="15.5" x14ac:dyDescent="0.35">
      <c r="A354" s="198" t="s">
        <v>804</v>
      </c>
      <c r="B354" s="197">
        <v>2046</v>
      </c>
      <c r="C354" s="213" t="s">
        <v>3607</v>
      </c>
      <c r="D354" s="239">
        <v>3.7298005135776818E-3</v>
      </c>
      <c r="E354" s="226">
        <v>2.3434163928641855E-2</v>
      </c>
      <c r="F354" s="226">
        <v>5.4904936077634968E-4</v>
      </c>
      <c r="G354" s="227">
        <v>5.0516787975131417E-4</v>
      </c>
      <c r="H354" s="226">
        <v>1.999996325395621E-3</v>
      </c>
      <c r="I354" s="255">
        <v>3.2395560017868161E-3</v>
      </c>
      <c r="J354" s="256">
        <v>8.6559183867455677E-6</v>
      </c>
      <c r="K354" s="257">
        <v>9.0473006061252292E-6</v>
      </c>
      <c r="L354" s="228">
        <v>3.1328606483770595E-2</v>
      </c>
    </row>
    <row r="355" spans="1:12" s="212" customFormat="1" ht="15.5" x14ac:dyDescent="0.35">
      <c r="A355" s="198" t="s">
        <v>804</v>
      </c>
      <c r="B355" s="197">
        <v>2047</v>
      </c>
      <c r="C355" s="213" t="s">
        <v>3608</v>
      </c>
      <c r="D355" s="239">
        <v>3.6719865669453404E-3</v>
      </c>
      <c r="E355" s="226">
        <v>2.294787544399789E-2</v>
      </c>
      <c r="F355" s="226">
        <v>5.4031336147594288E-4</v>
      </c>
      <c r="G355" s="227">
        <v>4.9712599479952635E-4</v>
      </c>
      <c r="H355" s="226">
        <v>1.9999963260396172E-3</v>
      </c>
      <c r="I355" s="255">
        <v>3.2396507686634529E-3</v>
      </c>
      <c r="J355" s="256">
        <v>8.4132241409107477E-6</v>
      </c>
      <c r="K355" s="257">
        <v>8.7936328034335331E-6</v>
      </c>
      <c r="L355" s="228">
        <v>3.1265019883525438E-2</v>
      </c>
    </row>
    <row r="356" spans="1:12" s="212" customFormat="1" ht="15.5" x14ac:dyDescent="0.35">
      <c r="A356" s="198" t="s">
        <v>804</v>
      </c>
      <c r="B356" s="197">
        <v>2048</v>
      </c>
      <c r="C356" s="213" t="s">
        <v>3609</v>
      </c>
      <c r="D356" s="239">
        <v>3.6244203639467856E-3</v>
      </c>
      <c r="E356" s="226">
        <v>2.254883798511317E-2</v>
      </c>
      <c r="F356" s="226">
        <v>5.328648287015647E-4</v>
      </c>
      <c r="G356" s="227">
        <v>4.9026852494511415E-4</v>
      </c>
      <c r="H356" s="226">
        <v>1.9999963267549625E-3</v>
      </c>
      <c r="I356" s="255">
        <v>3.2397979529905315E-3</v>
      </c>
      <c r="J356" s="256">
        <v>8.1868826583857556E-6</v>
      </c>
      <c r="K356" s="257">
        <v>8.5570571634442098E-6</v>
      </c>
      <c r="L356" s="228">
        <v>3.1209958075588351E-2</v>
      </c>
    </row>
    <row r="357" spans="1:12" s="212" customFormat="1" ht="15.5" x14ac:dyDescent="0.35">
      <c r="A357" s="198" t="s">
        <v>804</v>
      </c>
      <c r="B357" s="197">
        <v>2049</v>
      </c>
      <c r="C357" s="213" t="s">
        <v>3610</v>
      </c>
      <c r="D357" s="239">
        <v>3.614603888360685E-3</v>
      </c>
      <c r="E357" s="226">
        <v>2.251262204040156E-2</v>
      </c>
      <c r="F357" s="226">
        <v>5.2806206669790234E-4</v>
      </c>
      <c r="G357" s="227">
        <v>4.8584740251825524E-4</v>
      </c>
      <c r="H357" s="226">
        <v>1.999996327123789E-3</v>
      </c>
      <c r="I357" s="255">
        <v>3.2399462556617336E-3</v>
      </c>
      <c r="J357" s="256">
        <v>8.0544476661208557E-6</v>
      </c>
      <c r="K357" s="257">
        <v>8.4186340485006634E-6</v>
      </c>
      <c r="L357" s="228">
        <v>3.1161641056025834E-2</v>
      </c>
    </row>
    <row r="358" spans="1:12" s="212" customFormat="1" ht="15.5" x14ac:dyDescent="0.35">
      <c r="A358" s="198" t="s">
        <v>804</v>
      </c>
      <c r="B358" s="197">
        <v>2050</v>
      </c>
      <c r="C358" s="213" t="s">
        <v>3611</v>
      </c>
      <c r="D358" s="239">
        <v>3.6068864833417699E-3</v>
      </c>
      <c r="E358" s="226">
        <v>2.2483501549168665E-2</v>
      </c>
      <c r="F358" s="226">
        <v>5.2401234813364607E-4</v>
      </c>
      <c r="G358" s="227">
        <v>4.8211686088393672E-4</v>
      </c>
      <c r="H358" s="226">
        <v>1.9999963277719988E-3</v>
      </c>
      <c r="I358" s="255">
        <v>3.2401170678654527E-3</v>
      </c>
      <c r="J358" s="256">
        <v>7.875433636045459E-6</v>
      </c>
      <c r="K358" s="257">
        <v>8.2315257983482572E-6</v>
      </c>
      <c r="L358" s="228">
        <v>3.1120880891577433E-2</v>
      </c>
    </row>
    <row r="359" spans="1:12" s="212" customFormat="1" ht="15.5" x14ac:dyDescent="0.35">
      <c r="A359" s="198" t="s">
        <v>806</v>
      </c>
      <c r="B359" s="197">
        <v>2015</v>
      </c>
      <c r="C359" s="213" t="s">
        <v>877</v>
      </c>
      <c r="D359" s="239">
        <v>5.0301464387556068E-2</v>
      </c>
      <c r="E359" s="226">
        <v>0.24140841928968906</v>
      </c>
      <c r="F359" s="226">
        <v>1.7925012871069172E-3</v>
      </c>
      <c r="G359" s="227">
        <v>1.655944103991678E-3</v>
      </c>
      <c r="H359" s="226">
        <v>2.0000007289259301E-3</v>
      </c>
      <c r="I359" s="255">
        <v>2.2682605275410042E-3</v>
      </c>
      <c r="J359" s="256">
        <v>1.1261543252715604E-4</v>
      </c>
      <c r="K359" s="257">
        <v>1.1770740266245323E-4</v>
      </c>
      <c r="L359" s="228">
        <v>4.6276803782224096E-2</v>
      </c>
    </row>
    <row r="360" spans="1:12" s="212" customFormat="1" ht="15.5" x14ac:dyDescent="0.35">
      <c r="A360" s="198" t="s">
        <v>806</v>
      </c>
      <c r="B360" s="197">
        <v>2016</v>
      </c>
      <c r="C360" s="213" t="s">
        <v>878</v>
      </c>
      <c r="D360" s="239">
        <v>4.4071922148145024E-2</v>
      </c>
      <c r="E360" s="226">
        <v>0.21732765354413558</v>
      </c>
      <c r="F360" s="226">
        <v>1.7210502312591301E-3</v>
      </c>
      <c r="G360" s="227">
        <v>1.5888389235071125E-3</v>
      </c>
      <c r="H360" s="226">
        <v>2.0000007289259301E-3</v>
      </c>
      <c r="I360" s="255">
        <v>2.2621233092453476E-3</v>
      </c>
      <c r="J360" s="256">
        <v>9.8075836210626701E-5</v>
      </c>
      <c r="K360" s="257">
        <v>1.0251039031899344E-4</v>
      </c>
      <c r="L360" s="228">
        <v>4.5142590716639286E-2</v>
      </c>
    </row>
    <row r="361" spans="1:12" s="212" customFormat="1" ht="15.5" x14ac:dyDescent="0.35">
      <c r="A361" s="198" t="s">
        <v>806</v>
      </c>
      <c r="B361" s="197">
        <v>2017</v>
      </c>
      <c r="C361" s="213" t="s">
        <v>3612</v>
      </c>
      <c r="D361" s="239">
        <v>3.47329497643541E-2</v>
      </c>
      <c r="E361" s="226">
        <v>0.17881036481875026</v>
      </c>
      <c r="F361" s="226">
        <v>1.6056519348467259E-3</v>
      </c>
      <c r="G361" s="227">
        <v>1.4810890484642464E-3</v>
      </c>
      <c r="H361" s="226">
        <v>2.0000007289259301E-3</v>
      </c>
      <c r="I361" s="255">
        <v>2.2602650045556649E-3</v>
      </c>
      <c r="J361" s="256">
        <v>8.2412011715944969E-5</v>
      </c>
      <c r="K361" s="257">
        <v>8.6138317187854182E-5</v>
      </c>
      <c r="L361" s="228">
        <v>4.4721368410646528E-2</v>
      </c>
    </row>
    <row r="362" spans="1:12" s="212" customFormat="1" ht="15.5" x14ac:dyDescent="0.35">
      <c r="A362" s="198" t="s">
        <v>806</v>
      </c>
      <c r="B362" s="197">
        <v>2018</v>
      </c>
      <c r="C362" s="213" t="s">
        <v>3613</v>
      </c>
      <c r="D362" s="239">
        <v>2.9151773316551031E-2</v>
      </c>
      <c r="E362" s="226">
        <v>0.15536185251509693</v>
      </c>
      <c r="F362" s="226">
        <v>1.5742870906821954E-3</v>
      </c>
      <c r="G362" s="227">
        <v>1.4513113493075888E-3</v>
      </c>
      <c r="H362" s="226">
        <v>2.0000007289259301E-3</v>
      </c>
      <c r="I362" s="255">
        <v>2.2590693817742384E-3</v>
      </c>
      <c r="J362" s="256">
        <v>7.4332823236576597E-5</v>
      </c>
      <c r="K362" s="257">
        <v>7.7693823656316656E-5</v>
      </c>
      <c r="L362" s="228">
        <v>4.4095464037964847E-2</v>
      </c>
    </row>
    <row r="363" spans="1:12" s="212" customFormat="1" ht="15.5" x14ac:dyDescent="0.35">
      <c r="A363" s="198" t="s">
        <v>806</v>
      </c>
      <c r="B363" s="197">
        <v>2019</v>
      </c>
      <c r="C363" s="213" t="s">
        <v>3614</v>
      </c>
      <c r="D363" s="239">
        <v>2.402572369335193E-2</v>
      </c>
      <c r="E363" s="226">
        <v>0.13277138417557827</v>
      </c>
      <c r="F363" s="226">
        <v>1.5574088805806702E-3</v>
      </c>
      <c r="G363" s="227">
        <v>1.4351662028560534E-3</v>
      </c>
      <c r="H363" s="226">
        <v>2.0000007289259301E-3</v>
      </c>
      <c r="I363" s="255">
        <v>2.2585577229774175E-3</v>
      </c>
      <c r="J363" s="256">
        <v>7.2003483106349313E-5</v>
      </c>
      <c r="K363" s="257">
        <v>7.5259161101694301E-5</v>
      </c>
      <c r="L363" s="228">
        <v>4.3403248091433325E-2</v>
      </c>
    </row>
    <row r="364" spans="1:12" s="212" customFormat="1" ht="15.5" x14ac:dyDescent="0.35">
      <c r="A364" s="198" t="s">
        <v>806</v>
      </c>
      <c r="B364" s="197">
        <v>2020</v>
      </c>
      <c r="C364" s="213" t="s">
        <v>3615</v>
      </c>
      <c r="D364" s="239">
        <v>2.0766328045022504E-2</v>
      </c>
      <c r="E364" s="226">
        <v>0.116920491803161</v>
      </c>
      <c r="F364" s="226">
        <v>1.524529046853166E-3</v>
      </c>
      <c r="G364" s="227">
        <v>1.4045486161548435E-3</v>
      </c>
      <c r="H364" s="226">
        <v>2.0000007282640698E-3</v>
      </c>
      <c r="I364" s="255">
        <v>2.2577361834603192E-3</v>
      </c>
      <c r="J364" s="256">
        <v>6.5963423697679703E-5</v>
      </c>
      <c r="K364" s="257">
        <v>6.8945997008931344E-5</v>
      </c>
      <c r="L364" s="228">
        <v>4.3044930781946003E-2</v>
      </c>
    </row>
    <row r="365" spans="1:12" s="212" customFormat="1" ht="15.5" x14ac:dyDescent="0.35">
      <c r="A365" s="198" t="s">
        <v>806</v>
      </c>
      <c r="B365" s="197">
        <v>2021</v>
      </c>
      <c r="C365" s="213" t="s">
        <v>3616</v>
      </c>
      <c r="D365" s="239">
        <v>1.8153664236610658E-2</v>
      </c>
      <c r="E365" s="226">
        <v>0.10264409812036844</v>
      </c>
      <c r="F365" s="226">
        <v>1.470695278830962E-3</v>
      </c>
      <c r="G365" s="227">
        <v>1.3547708795176496E-3</v>
      </c>
      <c r="H365" s="226">
        <v>2.00000072621675E-3</v>
      </c>
      <c r="I365" s="255">
        <v>2.2633303748341937E-3</v>
      </c>
      <c r="J365" s="256">
        <v>6.0394675704720968E-5</v>
      </c>
      <c r="K365" s="257">
        <v>6.3125454942684182E-5</v>
      </c>
      <c r="L365" s="228">
        <v>4.2154113120078912E-2</v>
      </c>
    </row>
    <row r="366" spans="1:12" s="212" customFormat="1" ht="15.5" x14ac:dyDescent="0.35">
      <c r="A366" s="198" t="s">
        <v>806</v>
      </c>
      <c r="B366" s="197">
        <v>2022</v>
      </c>
      <c r="C366" s="213" t="s">
        <v>3617</v>
      </c>
      <c r="D366" s="239">
        <v>1.5508670558411163E-2</v>
      </c>
      <c r="E366" s="226">
        <v>8.9223146711291348E-2</v>
      </c>
      <c r="F366" s="226">
        <v>1.4073360759334892E-3</v>
      </c>
      <c r="G366" s="227">
        <v>1.2961763432848292E-3</v>
      </c>
      <c r="H366" s="226">
        <v>2.0000007218921399E-3</v>
      </c>
      <c r="I366" s="255">
        <v>2.2642014399435416E-3</v>
      </c>
      <c r="J366" s="256">
        <v>5.4838706140264784E-5</v>
      </c>
      <c r="K366" s="257">
        <v>5.7318269088772981E-5</v>
      </c>
      <c r="L366" s="228">
        <v>4.1336750606899515E-2</v>
      </c>
    </row>
    <row r="367" spans="1:12" s="212" customFormat="1" ht="15.5" x14ac:dyDescent="0.35">
      <c r="A367" s="198" t="s">
        <v>806</v>
      </c>
      <c r="B367" s="197">
        <v>2023</v>
      </c>
      <c r="C367" s="213" t="s">
        <v>3618</v>
      </c>
      <c r="D367" s="239">
        <v>1.3544399470201052E-2</v>
      </c>
      <c r="E367" s="226">
        <v>7.7975175826659152E-2</v>
      </c>
      <c r="F367" s="226">
        <v>1.3494523440382073E-3</v>
      </c>
      <c r="G367" s="227">
        <v>1.2427143633965436E-3</v>
      </c>
      <c r="H367" s="226">
        <v>2.0000007218921403E-3</v>
      </c>
      <c r="I367" s="255">
        <v>2.2636966851310998E-3</v>
      </c>
      <c r="J367" s="256">
        <v>4.9201683211239446E-5</v>
      </c>
      <c r="K367" s="257">
        <v>5.1426364996816088E-5</v>
      </c>
      <c r="L367" s="228">
        <v>4.0496062557738244E-2</v>
      </c>
    </row>
    <row r="368" spans="1:12" s="212" customFormat="1" ht="15.5" x14ac:dyDescent="0.35">
      <c r="A368" s="198" t="s">
        <v>806</v>
      </c>
      <c r="B368" s="197">
        <v>2024</v>
      </c>
      <c r="C368" s="213" t="s">
        <v>3619</v>
      </c>
      <c r="D368" s="239">
        <v>1.1870543584998634E-2</v>
      </c>
      <c r="E368" s="226">
        <v>6.8463794114112839E-2</v>
      </c>
      <c r="F368" s="226">
        <v>1.2949176797269657E-3</v>
      </c>
      <c r="G368" s="227">
        <v>1.1922826795775646E-3</v>
      </c>
      <c r="H368" s="226">
        <v>2.0000007152081098E-3</v>
      </c>
      <c r="I368" s="255">
        <v>2.2686088730981806E-3</v>
      </c>
      <c r="J368" s="256">
        <v>4.2264864440952366E-5</v>
      </c>
      <c r="K368" s="257">
        <v>4.4175894063413869E-5</v>
      </c>
      <c r="L368" s="228">
        <v>3.9620984849901474E-2</v>
      </c>
    </row>
    <row r="369" spans="1:12" s="212" customFormat="1" ht="15.5" x14ac:dyDescent="0.35">
      <c r="A369" s="198" t="s">
        <v>806</v>
      </c>
      <c r="B369" s="197">
        <v>2025</v>
      </c>
      <c r="C369" s="213" t="s">
        <v>3620</v>
      </c>
      <c r="D369" s="239">
        <v>1.0487880721010777E-2</v>
      </c>
      <c r="E369" s="226">
        <v>6.0572221475231523E-2</v>
      </c>
      <c r="F369" s="226">
        <v>1.2491450339731881E-3</v>
      </c>
      <c r="G369" s="227">
        <v>1.1500227624884373E-3</v>
      </c>
      <c r="H369" s="226">
        <v>2.0000007152081094E-3</v>
      </c>
      <c r="I369" s="255">
        <v>2.2683225841525234E-3</v>
      </c>
      <c r="J369" s="256">
        <v>3.7974721199655205E-5</v>
      </c>
      <c r="K369" s="257">
        <v>3.9691769581974044E-5</v>
      </c>
      <c r="L369" s="228">
        <v>3.8727096990409632E-2</v>
      </c>
    </row>
    <row r="370" spans="1:12" s="212" customFormat="1" ht="15.5" x14ac:dyDescent="0.35">
      <c r="A370" s="198" t="s">
        <v>806</v>
      </c>
      <c r="B370" s="197">
        <v>2026</v>
      </c>
      <c r="C370" s="213" t="s">
        <v>3621</v>
      </c>
      <c r="D370" s="239">
        <v>9.3458163897269832E-3</v>
      </c>
      <c r="E370" s="226">
        <v>5.4057376636016632E-2</v>
      </c>
      <c r="F370" s="226">
        <v>1.1997269958640708E-3</v>
      </c>
      <c r="G370" s="227">
        <v>1.1043834288490099E-3</v>
      </c>
      <c r="H370" s="226">
        <v>2.0000007152081102E-3</v>
      </c>
      <c r="I370" s="255">
        <v>2.2681104523576997E-3</v>
      </c>
      <c r="J370" s="256">
        <v>3.2815352401379809E-5</v>
      </c>
      <c r="K370" s="257">
        <v>3.4299117021000615E-5</v>
      </c>
      <c r="L370" s="228">
        <v>3.7855982959873843E-2</v>
      </c>
    </row>
    <row r="371" spans="1:12" s="212" customFormat="1" ht="15.5" x14ac:dyDescent="0.35">
      <c r="A371" s="198" t="s">
        <v>806</v>
      </c>
      <c r="B371" s="197">
        <v>2027</v>
      </c>
      <c r="C371" s="213" t="s">
        <v>3622</v>
      </c>
      <c r="D371" s="239">
        <v>8.3715868364030131E-3</v>
      </c>
      <c r="E371" s="226">
        <v>4.8593203036833656E-2</v>
      </c>
      <c r="F371" s="226">
        <v>1.1403110895532242E-3</v>
      </c>
      <c r="G371" s="227">
        <v>1.0495277470102095E-3</v>
      </c>
      <c r="H371" s="226">
        <v>2.0000007105127194E-3</v>
      </c>
      <c r="I371" s="255">
        <v>2.2687530295373223E-3</v>
      </c>
      <c r="J371" s="256">
        <v>2.704606031134782E-5</v>
      </c>
      <c r="K371" s="257">
        <v>2.8268963143511798E-5</v>
      </c>
      <c r="L371" s="228">
        <v>3.7008948151631527E-2</v>
      </c>
    </row>
    <row r="372" spans="1:12" s="212" customFormat="1" ht="15.5" x14ac:dyDescent="0.35">
      <c r="A372" s="198" t="s">
        <v>806</v>
      </c>
      <c r="B372" s="197">
        <v>2028</v>
      </c>
      <c r="C372" s="213" t="s">
        <v>3623</v>
      </c>
      <c r="D372" s="239">
        <v>7.5804096091723226E-3</v>
      </c>
      <c r="E372" s="226">
        <v>4.4111529912955229E-2</v>
      </c>
      <c r="F372" s="226">
        <v>1.0766638091292775E-3</v>
      </c>
      <c r="G372" s="227">
        <v>9.9080693094113072E-4</v>
      </c>
      <c r="H372" s="226">
        <v>2.0000007105127199E-3</v>
      </c>
      <c r="I372" s="255">
        <v>2.2686633426399613E-3</v>
      </c>
      <c r="J372" s="256">
        <v>2.192602923400886E-5</v>
      </c>
      <c r="K372" s="257">
        <v>2.2917426980656995E-5</v>
      </c>
      <c r="L372" s="228">
        <v>3.624957358831668E-2</v>
      </c>
    </row>
    <row r="373" spans="1:12" s="212" customFormat="1" ht="15.5" x14ac:dyDescent="0.35">
      <c r="A373" s="198" t="s">
        <v>806</v>
      </c>
      <c r="B373" s="197">
        <v>2029</v>
      </c>
      <c r="C373" s="213" t="s">
        <v>3624</v>
      </c>
      <c r="D373" s="239">
        <v>6.912240325169022E-3</v>
      </c>
      <c r="E373" s="226">
        <v>4.0384678468006016E-2</v>
      </c>
      <c r="F373" s="226">
        <v>1.014601347658111E-3</v>
      </c>
      <c r="G373" s="227">
        <v>9.3360984377176422E-4</v>
      </c>
      <c r="H373" s="226">
        <v>2.0000007105127199E-3</v>
      </c>
      <c r="I373" s="255">
        <v>2.2686576599860119E-3</v>
      </c>
      <c r="J373" s="256">
        <v>1.8513941366228306E-5</v>
      </c>
      <c r="K373" s="257">
        <v>1.9351059640411067E-5</v>
      </c>
      <c r="L373" s="228">
        <v>3.5552545178276232E-2</v>
      </c>
    </row>
    <row r="374" spans="1:12" s="212" customFormat="1" ht="15.5" x14ac:dyDescent="0.35">
      <c r="A374" s="198" t="s">
        <v>806</v>
      </c>
      <c r="B374" s="197">
        <v>2030</v>
      </c>
      <c r="C374" s="213" t="s">
        <v>3625</v>
      </c>
      <c r="D374" s="239">
        <v>6.3475304923279064E-3</v>
      </c>
      <c r="E374" s="226">
        <v>3.7291703355279912E-2</v>
      </c>
      <c r="F374" s="226">
        <v>9.5306687437190748E-4</v>
      </c>
      <c r="G374" s="227">
        <v>8.7692051468404397E-4</v>
      </c>
      <c r="H374" s="226">
        <v>2.0000007095542002E-3</v>
      </c>
      <c r="I374" s="255">
        <v>2.2548623871093045E-3</v>
      </c>
      <c r="J374" s="256">
        <v>1.5673999080178421E-5</v>
      </c>
      <c r="K374" s="257">
        <v>1.6382707766243264E-5</v>
      </c>
      <c r="L374" s="228">
        <v>3.4914332251852614E-2</v>
      </c>
    </row>
    <row r="375" spans="1:12" s="212" customFormat="1" ht="15.5" x14ac:dyDescent="0.35">
      <c r="A375" s="198" t="s">
        <v>806</v>
      </c>
      <c r="B375" s="197">
        <v>2031</v>
      </c>
      <c r="C375" s="213" t="s">
        <v>3626</v>
      </c>
      <c r="D375" s="239">
        <v>5.8734969463254969E-3</v>
      </c>
      <c r="E375" s="226">
        <v>3.4682550221883671E-2</v>
      </c>
      <c r="F375" s="226">
        <v>8.9592574514901638E-4</v>
      </c>
      <c r="G375" s="227">
        <v>8.2431458135219949E-4</v>
      </c>
      <c r="H375" s="226">
        <v>2.0000007081495404E-3</v>
      </c>
      <c r="I375" s="255">
        <v>2.2526929493872244E-3</v>
      </c>
      <c r="J375" s="256">
        <v>1.396020735290787E-5</v>
      </c>
      <c r="K375" s="257">
        <v>1.4591425981903715E-5</v>
      </c>
      <c r="L375" s="228">
        <v>3.4336925713806817E-2</v>
      </c>
    </row>
    <row r="376" spans="1:12" s="212" customFormat="1" ht="15.5" x14ac:dyDescent="0.35">
      <c r="A376" s="198" t="s">
        <v>806</v>
      </c>
      <c r="B376" s="197">
        <v>2032</v>
      </c>
      <c r="C376" s="213" t="s">
        <v>3627</v>
      </c>
      <c r="D376" s="239">
        <v>5.4646653301433463E-3</v>
      </c>
      <c r="E376" s="226">
        <v>3.2494291039450014E-2</v>
      </c>
      <c r="F376" s="226">
        <v>8.4101737959983356E-4</v>
      </c>
      <c r="G376" s="227">
        <v>7.7376863450320853E-4</v>
      </c>
      <c r="H376" s="226">
        <v>2.0000006998179905E-3</v>
      </c>
      <c r="I376" s="255">
        <v>2.2525397525008199E-3</v>
      </c>
      <c r="J376" s="256">
        <v>1.2427169814648625E-5</v>
      </c>
      <c r="K376" s="257">
        <v>1.2989071288917685E-5</v>
      </c>
      <c r="L376" s="228">
        <v>3.3804094828448164E-2</v>
      </c>
    </row>
    <row r="377" spans="1:12" s="212" customFormat="1" ht="15.5" x14ac:dyDescent="0.35">
      <c r="A377" s="198" t="s">
        <v>806</v>
      </c>
      <c r="B377" s="197">
        <v>2033</v>
      </c>
      <c r="C377" s="213" t="s">
        <v>3628</v>
      </c>
      <c r="D377" s="239">
        <v>5.1167855790537021E-3</v>
      </c>
      <c r="E377" s="226">
        <v>3.0646211493616897E-2</v>
      </c>
      <c r="F377" s="226">
        <v>7.9048180086542291E-4</v>
      </c>
      <c r="G377" s="227">
        <v>7.2726656208783457E-4</v>
      </c>
      <c r="H377" s="226">
        <v>2.0000006998179901E-3</v>
      </c>
      <c r="I377" s="255">
        <v>2.2524466150737909E-3</v>
      </c>
      <c r="J377" s="256">
        <v>1.1491068996698487E-5</v>
      </c>
      <c r="K377" s="257">
        <v>1.2010644145865711E-5</v>
      </c>
      <c r="L377" s="228">
        <v>3.3337967758192748E-2</v>
      </c>
    </row>
    <row r="378" spans="1:12" s="212" customFormat="1" ht="15.5" x14ac:dyDescent="0.35">
      <c r="A378" s="198" t="s">
        <v>806</v>
      </c>
      <c r="B378" s="197">
        <v>2034</v>
      </c>
      <c r="C378" s="213" t="s">
        <v>3629</v>
      </c>
      <c r="D378" s="239">
        <v>4.8099795706550309E-3</v>
      </c>
      <c r="E378" s="226">
        <v>2.9076420419557884E-2</v>
      </c>
      <c r="F378" s="226">
        <v>7.4304732069702768E-4</v>
      </c>
      <c r="G378" s="227">
        <v>6.8361910407227912E-4</v>
      </c>
      <c r="H378" s="226">
        <v>2.0000006998179901E-3</v>
      </c>
      <c r="I378" s="255">
        <v>2.2522990125120527E-3</v>
      </c>
      <c r="J378" s="256">
        <v>1.06388618518786E-5</v>
      </c>
      <c r="K378" s="257">
        <v>1.111990397557029E-5</v>
      </c>
      <c r="L378" s="228">
        <v>3.2921699690969038E-2</v>
      </c>
    </row>
    <row r="379" spans="1:12" s="212" customFormat="1" ht="15.5" x14ac:dyDescent="0.35">
      <c r="A379" s="198" t="s">
        <v>806</v>
      </c>
      <c r="B379" s="197">
        <v>2035</v>
      </c>
      <c r="C379" s="213" t="s">
        <v>3630</v>
      </c>
      <c r="D379" s="239">
        <v>4.5416115112171173E-3</v>
      </c>
      <c r="E379" s="226">
        <v>2.7743587205508572E-2</v>
      </c>
      <c r="F379" s="226">
        <v>6.9911816882117458E-4</v>
      </c>
      <c r="G379" s="227">
        <v>6.4319511973469118E-4</v>
      </c>
      <c r="H379" s="226">
        <v>2.0000006998179901E-3</v>
      </c>
      <c r="I379" s="255">
        <v>2.2521102051525953E-3</v>
      </c>
      <c r="J379" s="256">
        <v>9.7982992359452182E-6</v>
      </c>
      <c r="K379" s="257">
        <v>1.0241334848085763E-5</v>
      </c>
      <c r="L379" s="228">
        <v>3.2552798418713301E-2</v>
      </c>
    </row>
    <row r="380" spans="1:12" s="212" customFormat="1" ht="15.5" x14ac:dyDescent="0.35">
      <c r="A380" s="198" t="s">
        <v>806</v>
      </c>
      <c r="B380" s="197">
        <v>2036</v>
      </c>
      <c r="C380" s="213" t="s">
        <v>3631</v>
      </c>
      <c r="D380" s="239">
        <v>4.3086413165564887E-3</v>
      </c>
      <c r="E380" s="226">
        <v>2.6611629435530824E-2</v>
      </c>
      <c r="F380" s="226">
        <v>6.602942826666187E-4</v>
      </c>
      <c r="G380" s="227">
        <v>6.0746997009095496E-4</v>
      </c>
      <c r="H380" s="226">
        <v>2.0000006998179896E-3</v>
      </c>
      <c r="I380" s="255">
        <v>2.2518810017264036E-3</v>
      </c>
      <c r="J380" s="256">
        <v>9.0791679283653718E-6</v>
      </c>
      <c r="K380" s="257">
        <v>9.4896876138750628E-6</v>
      </c>
      <c r="L380" s="228">
        <v>3.2228399038453447E-2</v>
      </c>
    </row>
    <row r="381" spans="1:12" s="212" customFormat="1" ht="15.5" x14ac:dyDescent="0.35">
      <c r="A381" s="198" t="s">
        <v>806</v>
      </c>
      <c r="B381" s="197">
        <v>2037</v>
      </c>
      <c r="C381" s="213" t="s">
        <v>3632</v>
      </c>
      <c r="D381" s="239">
        <v>4.1102423649789187E-3</v>
      </c>
      <c r="E381" s="226">
        <v>2.5664172912911613E-2</v>
      </c>
      <c r="F381" s="226">
        <v>6.2544079187426397E-4</v>
      </c>
      <c r="G381" s="227">
        <v>5.7539729546077841E-4</v>
      </c>
      <c r="H381" s="226">
        <v>2.0000006998179901E-3</v>
      </c>
      <c r="I381" s="255">
        <v>2.251644668805397E-3</v>
      </c>
      <c r="J381" s="256">
        <v>8.4073389919718945E-6</v>
      </c>
      <c r="K381" s="257">
        <v>8.7874815541746378E-6</v>
      </c>
      <c r="L381" s="228">
        <v>3.1946292327061275E-2</v>
      </c>
    </row>
    <row r="382" spans="1:12" s="212" customFormat="1" ht="15.5" x14ac:dyDescent="0.35">
      <c r="A382" s="198" t="s">
        <v>806</v>
      </c>
      <c r="B382" s="197">
        <v>2038</v>
      </c>
      <c r="C382" s="213" t="s">
        <v>3633</v>
      </c>
      <c r="D382" s="239">
        <v>3.9308316079426373E-3</v>
      </c>
      <c r="E382" s="226">
        <v>2.4819231567430097E-2</v>
      </c>
      <c r="F382" s="226">
        <v>5.939934196639103E-4</v>
      </c>
      <c r="G382" s="227">
        <v>5.4646327440006925E-4</v>
      </c>
      <c r="H382" s="226">
        <v>2.0000006942338697E-3</v>
      </c>
      <c r="I382" s="255">
        <v>2.2590287578437823E-3</v>
      </c>
      <c r="J382" s="256">
        <v>7.9114021850345174E-6</v>
      </c>
      <c r="K382" s="257">
        <v>8.2691206855145163E-6</v>
      </c>
      <c r="L382" s="228">
        <v>3.1688282361931948E-2</v>
      </c>
    </row>
    <row r="383" spans="1:12" s="212" customFormat="1" ht="15.5" x14ac:dyDescent="0.35">
      <c r="A383" s="198" t="s">
        <v>806</v>
      </c>
      <c r="B383" s="197">
        <v>2039</v>
      </c>
      <c r="C383" s="213" t="s">
        <v>3634</v>
      </c>
      <c r="D383" s="239">
        <v>3.7647442624782952E-3</v>
      </c>
      <c r="E383" s="226">
        <v>2.4050666337590593E-2</v>
      </c>
      <c r="F383" s="226">
        <v>5.6654252747781746E-4</v>
      </c>
      <c r="G383" s="227">
        <v>5.2120647671482481E-4</v>
      </c>
      <c r="H383" s="226">
        <v>2.0000006942338701E-3</v>
      </c>
      <c r="I383" s="255">
        <v>2.2588222324800736E-3</v>
      </c>
      <c r="J383" s="256">
        <v>7.4823884281089518E-6</v>
      </c>
      <c r="K383" s="257">
        <v>7.8207088302211285E-6</v>
      </c>
      <c r="L383" s="228">
        <v>3.1480919218497203E-2</v>
      </c>
    </row>
    <row r="384" spans="1:12" s="212" customFormat="1" ht="15.5" x14ac:dyDescent="0.35">
      <c r="A384" s="198" t="s">
        <v>806</v>
      </c>
      <c r="B384" s="197">
        <v>2040</v>
      </c>
      <c r="C384" s="213" t="s">
        <v>3635</v>
      </c>
      <c r="D384" s="239">
        <v>3.6205227617840761E-3</v>
      </c>
      <c r="E384" s="226">
        <v>2.3402806632257328E-2</v>
      </c>
      <c r="F384" s="226">
        <v>5.4268131334060416E-4</v>
      </c>
      <c r="G384" s="227">
        <v>4.992525297783084E-4</v>
      </c>
      <c r="H384" s="226">
        <v>2.0000006942338701E-3</v>
      </c>
      <c r="I384" s="255">
        <v>2.2586447434730646E-3</v>
      </c>
      <c r="J384" s="256">
        <v>7.1117453086795513E-6</v>
      </c>
      <c r="K384" s="257">
        <v>7.4333068736356232E-6</v>
      </c>
      <c r="L384" s="228">
        <v>3.1305223786458336E-2</v>
      </c>
    </row>
    <row r="385" spans="1:12" s="212" customFormat="1" ht="15.5" x14ac:dyDescent="0.35">
      <c r="A385" s="198" t="s">
        <v>806</v>
      </c>
      <c r="B385" s="197">
        <v>2041</v>
      </c>
      <c r="C385" s="213" t="s">
        <v>3636</v>
      </c>
      <c r="D385" s="239">
        <v>3.5091954260703935E-3</v>
      </c>
      <c r="E385" s="226">
        <v>2.2872271510921621E-2</v>
      </c>
      <c r="F385" s="226">
        <v>5.2361948330337889E-4</v>
      </c>
      <c r="G385" s="227">
        <v>4.8171375543316241E-4</v>
      </c>
      <c r="H385" s="226">
        <v>2.0000006942338701E-3</v>
      </c>
      <c r="I385" s="255">
        <v>2.2585049030753391E-3</v>
      </c>
      <c r="J385" s="256">
        <v>6.8005451868061413E-6</v>
      </c>
      <c r="K385" s="257">
        <v>7.1080356631812005E-6</v>
      </c>
      <c r="L385" s="228">
        <v>3.1158747411184146E-2</v>
      </c>
    </row>
    <row r="386" spans="1:12" s="212" customFormat="1" ht="15.5" x14ac:dyDescent="0.35">
      <c r="A386" s="198" t="s">
        <v>806</v>
      </c>
      <c r="B386" s="197">
        <v>2042</v>
      </c>
      <c r="C386" s="213" t="s">
        <v>3637</v>
      </c>
      <c r="D386" s="239">
        <v>3.4092464904593566E-3</v>
      </c>
      <c r="E386" s="226">
        <v>2.2368351887663687E-2</v>
      </c>
      <c r="F386" s="226">
        <v>5.0740614016416973E-4</v>
      </c>
      <c r="G386" s="227">
        <v>4.6679674350677048E-4</v>
      </c>
      <c r="H386" s="226">
        <v>2.0000006942338701E-3</v>
      </c>
      <c r="I386" s="255">
        <v>2.2583735467468138E-3</v>
      </c>
      <c r="J386" s="256">
        <v>6.558227603102001E-6</v>
      </c>
      <c r="K386" s="257">
        <v>6.8547615536102921E-6</v>
      </c>
      <c r="L386" s="228">
        <v>3.1035946048504619E-2</v>
      </c>
    </row>
    <row r="387" spans="1:12" s="212" customFormat="1" ht="15.5" x14ac:dyDescent="0.35">
      <c r="A387" s="198" t="s">
        <v>806</v>
      </c>
      <c r="B387" s="197">
        <v>2043</v>
      </c>
      <c r="C387" s="213" t="s">
        <v>3638</v>
      </c>
      <c r="D387" s="239">
        <v>3.3323994857189106E-3</v>
      </c>
      <c r="E387" s="226">
        <v>2.1948830949569675E-2</v>
      </c>
      <c r="F387" s="226">
        <v>4.9378625689398337E-4</v>
      </c>
      <c r="G387" s="227">
        <v>4.5426601585707931E-4</v>
      </c>
      <c r="H387" s="226">
        <v>2.0000006942338697E-3</v>
      </c>
      <c r="I387" s="255">
        <v>2.2582831798035915E-3</v>
      </c>
      <c r="J387" s="256">
        <v>6.3593785520467949E-6</v>
      </c>
      <c r="K387" s="257">
        <v>6.646921430845963E-6</v>
      </c>
      <c r="L387" s="228">
        <v>3.0934816383475429E-2</v>
      </c>
    </row>
    <row r="388" spans="1:12" s="212" customFormat="1" ht="15.5" x14ac:dyDescent="0.35">
      <c r="A388" s="198" t="s">
        <v>806</v>
      </c>
      <c r="B388" s="197">
        <v>2044</v>
      </c>
      <c r="C388" s="213" t="s">
        <v>3639</v>
      </c>
      <c r="D388" s="239">
        <v>3.2721271505217566E-3</v>
      </c>
      <c r="E388" s="226">
        <v>2.1559781016452083E-2</v>
      </c>
      <c r="F388" s="226">
        <v>4.8237283073888378E-4</v>
      </c>
      <c r="G388" s="227">
        <v>4.4376551909147287E-4</v>
      </c>
      <c r="H388" s="226">
        <v>2.0000006942338701E-3</v>
      </c>
      <c r="I388" s="255">
        <v>2.2582184926393154E-3</v>
      </c>
      <c r="J388" s="256">
        <v>6.1983863911750445E-6</v>
      </c>
      <c r="K388" s="257">
        <v>6.4786499188517375E-6</v>
      </c>
      <c r="L388" s="228">
        <v>3.0851097825262953E-2</v>
      </c>
    </row>
    <row r="389" spans="1:12" s="212" customFormat="1" ht="15.5" x14ac:dyDescent="0.35">
      <c r="A389" s="198" t="s">
        <v>806</v>
      </c>
      <c r="B389" s="197">
        <v>2045</v>
      </c>
      <c r="C389" s="213" t="s">
        <v>3640</v>
      </c>
      <c r="D389" s="239">
        <v>3.2259803563859856E-3</v>
      </c>
      <c r="E389" s="226">
        <v>2.1198139559240638E-2</v>
      </c>
      <c r="F389" s="226">
        <v>4.7279921498731342E-4</v>
      </c>
      <c r="G389" s="227">
        <v>4.3495813279027405E-4</v>
      </c>
      <c r="H389" s="226">
        <v>2.0000006942338697E-3</v>
      </c>
      <c r="I389" s="255">
        <v>2.2581716617024565E-3</v>
      </c>
      <c r="J389" s="256">
        <v>6.0751920298804921E-6</v>
      </c>
      <c r="K389" s="257">
        <v>6.3498852552063224E-6</v>
      </c>
      <c r="L389" s="228">
        <v>3.0780416261253617E-2</v>
      </c>
    </row>
    <row r="390" spans="1:12" s="212" customFormat="1" ht="15.5" x14ac:dyDescent="0.35">
      <c r="A390" s="198" t="s">
        <v>806</v>
      </c>
      <c r="B390" s="197">
        <v>2046</v>
      </c>
      <c r="C390" s="213" t="s">
        <v>3641</v>
      </c>
      <c r="D390" s="239">
        <v>3.1844491504814791E-3</v>
      </c>
      <c r="E390" s="226">
        <v>2.0868359366258901E-2</v>
      </c>
      <c r="F390" s="226">
        <v>4.6489663243822127E-4</v>
      </c>
      <c r="G390" s="227">
        <v>4.2768841781850583E-4</v>
      </c>
      <c r="H390" s="226">
        <v>2.0000006942338705E-3</v>
      </c>
      <c r="I390" s="255">
        <v>2.2581503349490399E-3</v>
      </c>
      <c r="J390" s="256">
        <v>5.983257740617213E-6</v>
      </c>
      <c r="K390" s="257">
        <v>6.2537941053349256E-6</v>
      </c>
      <c r="L390" s="228">
        <v>3.0721842681845132E-2</v>
      </c>
    </row>
    <row r="391" spans="1:12" s="212" customFormat="1" ht="15.5" x14ac:dyDescent="0.35">
      <c r="A391" s="198" t="s">
        <v>806</v>
      </c>
      <c r="B391" s="197">
        <v>2047</v>
      </c>
      <c r="C391" s="213" t="s">
        <v>3642</v>
      </c>
      <c r="D391" s="239">
        <v>3.1482255202139311E-3</v>
      </c>
      <c r="E391" s="226">
        <v>2.0575029762002855E-2</v>
      </c>
      <c r="F391" s="226">
        <v>4.5838904007546239E-4</v>
      </c>
      <c r="G391" s="227">
        <v>4.2170184022287226E-4</v>
      </c>
      <c r="H391" s="226">
        <v>2.0000006942338701E-3</v>
      </c>
      <c r="I391" s="255">
        <v>2.2581571913115957E-3</v>
      </c>
      <c r="J391" s="256">
        <v>5.9040379331612039E-6</v>
      </c>
      <c r="K391" s="257">
        <v>6.1709923297184435E-6</v>
      </c>
      <c r="L391" s="228">
        <v>3.0673563965684242E-2</v>
      </c>
    </row>
    <row r="392" spans="1:12" s="212" customFormat="1" ht="15.5" x14ac:dyDescent="0.35">
      <c r="A392" s="198" t="s">
        <v>806</v>
      </c>
      <c r="B392" s="197">
        <v>2048</v>
      </c>
      <c r="C392" s="213" t="s">
        <v>3643</v>
      </c>
      <c r="D392" s="239">
        <v>3.1183447112720082E-3</v>
      </c>
      <c r="E392" s="226">
        <v>2.0333052028864641E-2</v>
      </c>
      <c r="F392" s="226">
        <v>4.5303920828636051E-4</v>
      </c>
      <c r="G392" s="227">
        <v>4.1678010557129851E-4</v>
      </c>
      <c r="H392" s="226">
        <v>2.0000006942338701E-3</v>
      </c>
      <c r="I392" s="255">
        <v>2.2581890257428526E-3</v>
      </c>
      <c r="J392" s="256">
        <v>5.8331551063885957E-6</v>
      </c>
      <c r="K392" s="257">
        <v>6.0969044960570538E-6</v>
      </c>
      <c r="L392" s="228">
        <v>3.0633352685683565E-2</v>
      </c>
    </row>
    <row r="393" spans="1:12" s="212" customFormat="1" ht="15.5" x14ac:dyDescent="0.35">
      <c r="A393" s="198" t="s">
        <v>806</v>
      </c>
      <c r="B393" s="197">
        <v>2049</v>
      </c>
      <c r="C393" s="213" t="s">
        <v>3644</v>
      </c>
      <c r="D393" s="239">
        <v>3.1116679525628513E-3</v>
      </c>
      <c r="E393" s="226">
        <v>2.0308618293151372E-2</v>
      </c>
      <c r="F393" s="226">
        <v>4.4952665931429332E-4</v>
      </c>
      <c r="G393" s="227">
        <v>4.1354866182995989E-4</v>
      </c>
      <c r="H393" s="226">
        <v>2.0000006942338705E-3</v>
      </c>
      <c r="I393" s="255">
        <v>2.2582425495316365E-3</v>
      </c>
      <c r="J393" s="256">
        <v>5.7873520308197463E-6</v>
      </c>
      <c r="K393" s="257">
        <v>6.0490304086591265E-6</v>
      </c>
      <c r="L393" s="228">
        <v>3.060022950603896E-2</v>
      </c>
    </row>
    <row r="394" spans="1:12" s="212" customFormat="1" ht="15.5" x14ac:dyDescent="0.35">
      <c r="A394" s="198" t="s">
        <v>806</v>
      </c>
      <c r="B394" s="197">
        <v>2050</v>
      </c>
      <c r="C394" s="213" t="s">
        <v>3645</v>
      </c>
      <c r="D394" s="239">
        <v>3.1066047383246404E-3</v>
      </c>
      <c r="E394" s="226">
        <v>2.0288866759937105E-2</v>
      </c>
      <c r="F394" s="226">
        <v>4.4666558788265147E-4</v>
      </c>
      <c r="G394" s="227">
        <v>4.1091377902901751E-4</v>
      </c>
      <c r="H394" s="226">
        <v>2.0000006942338697E-3</v>
      </c>
      <c r="I394" s="255">
        <v>2.2583293309195009E-3</v>
      </c>
      <c r="J394" s="256">
        <v>5.6787042502632624E-6</v>
      </c>
      <c r="K394" s="257">
        <v>5.9354700575832587E-6</v>
      </c>
      <c r="L394" s="228">
        <v>3.0573487758118016E-2</v>
      </c>
    </row>
    <row r="395" spans="1:12" s="212" customFormat="1" ht="15.5" x14ac:dyDescent="0.35">
      <c r="A395" s="198" t="s">
        <v>808</v>
      </c>
      <c r="B395" s="197">
        <v>2015</v>
      </c>
      <c r="C395" s="213" t="s">
        <v>879</v>
      </c>
      <c r="D395" s="239">
        <v>6.2269399041593183E-2</v>
      </c>
      <c r="E395" s="226">
        <v>0.26721290021705024</v>
      </c>
      <c r="F395" s="226">
        <v>2.3081810148756084E-3</v>
      </c>
      <c r="G395" s="227">
        <v>2.133557731598448E-3</v>
      </c>
      <c r="H395" s="226">
        <v>2.0000005732018805E-3</v>
      </c>
      <c r="I395" s="255">
        <v>2.9448145131153311E-3</v>
      </c>
      <c r="J395" s="256">
        <v>1.9920621998214871E-4</v>
      </c>
      <c r="K395" s="257">
        <v>2.0821344128523227E-4</v>
      </c>
      <c r="L395" s="228">
        <v>4.744218146388969E-2</v>
      </c>
    </row>
    <row r="396" spans="1:12" s="212" customFormat="1" ht="15.5" x14ac:dyDescent="0.35">
      <c r="A396" s="198" t="s">
        <v>808</v>
      </c>
      <c r="B396" s="197">
        <v>2016</v>
      </c>
      <c r="C396" s="213" t="s">
        <v>880</v>
      </c>
      <c r="D396" s="239">
        <v>5.5158737230475492E-2</v>
      </c>
      <c r="E396" s="226">
        <v>0.24229467358929191</v>
      </c>
      <c r="F396" s="226">
        <v>2.2108847045466517E-3</v>
      </c>
      <c r="G396" s="227">
        <v>2.0422521213296994E-3</v>
      </c>
      <c r="H396" s="226">
        <v>2.0000005732018805E-3</v>
      </c>
      <c r="I396" s="255">
        <v>2.938747002162621E-3</v>
      </c>
      <c r="J396" s="256">
        <v>1.7665591341462766E-4</v>
      </c>
      <c r="K396" s="257">
        <v>1.84643509920231E-4</v>
      </c>
      <c r="L396" s="228">
        <v>4.6306876925335895E-2</v>
      </c>
    </row>
    <row r="397" spans="1:12" s="212" customFormat="1" ht="15.5" x14ac:dyDescent="0.35">
      <c r="A397" s="198" t="s">
        <v>808</v>
      </c>
      <c r="B397" s="197">
        <v>2017</v>
      </c>
      <c r="C397" s="213" t="s">
        <v>3646</v>
      </c>
      <c r="D397" s="239">
        <v>4.4482987007112902E-2</v>
      </c>
      <c r="E397" s="226">
        <v>0.20155081084944326</v>
      </c>
      <c r="F397" s="226">
        <v>2.0416682164913543E-3</v>
      </c>
      <c r="G397" s="227">
        <v>1.8844949845914639E-3</v>
      </c>
      <c r="H397" s="226">
        <v>2.0000005732018801E-3</v>
      </c>
      <c r="I397" s="255">
        <v>2.9390739078847534E-3</v>
      </c>
      <c r="J397" s="256">
        <v>1.4423762666619549E-4</v>
      </c>
      <c r="K397" s="257">
        <v>1.5075941209905164E-4</v>
      </c>
      <c r="L397" s="228">
        <v>4.5982530984634264E-2</v>
      </c>
    </row>
    <row r="398" spans="1:12" s="212" customFormat="1" ht="15.5" x14ac:dyDescent="0.35">
      <c r="A398" s="198" t="s">
        <v>808</v>
      </c>
      <c r="B398" s="197">
        <v>2018</v>
      </c>
      <c r="C398" s="213" t="s">
        <v>3647</v>
      </c>
      <c r="D398" s="239">
        <v>3.758979886205089E-2</v>
      </c>
      <c r="E398" s="226">
        <v>0.17488475902942779</v>
      </c>
      <c r="F398" s="226">
        <v>1.9807078352631719E-3</v>
      </c>
      <c r="G398" s="227">
        <v>1.8271270998813131E-3</v>
      </c>
      <c r="H398" s="226">
        <v>2.0000005732018801E-3</v>
      </c>
      <c r="I398" s="255">
        <v>2.9383161841829326E-3</v>
      </c>
      <c r="J398" s="256">
        <v>1.2627625606358129E-4</v>
      </c>
      <c r="K398" s="257">
        <v>1.3198590802018914E-4</v>
      </c>
      <c r="L398" s="228">
        <v>4.5398335448654167E-2</v>
      </c>
    </row>
    <row r="399" spans="1:12" s="212" customFormat="1" ht="15.5" x14ac:dyDescent="0.35">
      <c r="A399" s="198" t="s">
        <v>808</v>
      </c>
      <c r="B399" s="197">
        <v>2019</v>
      </c>
      <c r="C399" s="213" t="s">
        <v>3648</v>
      </c>
      <c r="D399" s="239">
        <v>3.0979923394271011E-2</v>
      </c>
      <c r="E399" s="226">
        <v>0.14576862373786784</v>
      </c>
      <c r="F399" s="226">
        <v>1.9382302507595128E-3</v>
      </c>
      <c r="G399" s="227">
        <v>1.7872772505691755E-3</v>
      </c>
      <c r="H399" s="226">
        <v>2.0000005732018801E-3</v>
      </c>
      <c r="I399" s="255">
        <v>2.937521266586468E-3</v>
      </c>
      <c r="J399" s="256">
        <v>1.1889203737654962E-4</v>
      </c>
      <c r="K399" s="257">
        <v>1.2426780773111483E-4</v>
      </c>
      <c r="L399" s="228">
        <v>4.4625785970684756E-2</v>
      </c>
    </row>
    <row r="400" spans="1:12" s="212" customFormat="1" ht="15.5" x14ac:dyDescent="0.35">
      <c r="A400" s="198" t="s">
        <v>808</v>
      </c>
      <c r="B400" s="197">
        <v>2020</v>
      </c>
      <c r="C400" s="213" t="s">
        <v>3649</v>
      </c>
      <c r="D400" s="239">
        <v>2.6914564225152642E-2</v>
      </c>
      <c r="E400" s="226">
        <v>0.12875246695748863</v>
      </c>
      <c r="F400" s="226">
        <v>1.8818376414327402E-3</v>
      </c>
      <c r="G400" s="227">
        <v>1.7348773737356159E-3</v>
      </c>
      <c r="H400" s="226">
        <v>2.0000005732018801E-3</v>
      </c>
      <c r="I400" s="255">
        <v>2.9415754234527695E-3</v>
      </c>
      <c r="J400" s="256">
        <v>1.0933067569803582E-4</v>
      </c>
      <c r="K400" s="257">
        <v>1.1427412370541291E-4</v>
      </c>
      <c r="L400" s="228">
        <v>4.4176841743178499E-2</v>
      </c>
    </row>
    <row r="401" spans="1:12" s="212" customFormat="1" ht="15.5" x14ac:dyDescent="0.35">
      <c r="A401" s="198" t="s">
        <v>808</v>
      </c>
      <c r="B401" s="197">
        <v>2021</v>
      </c>
      <c r="C401" s="213" t="s">
        <v>3650</v>
      </c>
      <c r="D401" s="239">
        <v>2.3341701751343764E-2</v>
      </c>
      <c r="E401" s="226">
        <v>0.11274667243214732</v>
      </c>
      <c r="F401" s="226">
        <v>1.7981171833655182E-3</v>
      </c>
      <c r="G401" s="227">
        <v>1.657412489409305E-3</v>
      </c>
      <c r="H401" s="226">
        <v>2.0000005732018801E-3</v>
      </c>
      <c r="I401" s="255">
        <v>2.9423076410346662E-3</v>
      </c>
      <c r="J401" s="256">
        <v>9.9732187100974213E-5</v>
      </c>
      <c r="K401" s="257">
        <v>1.0424163404665454E-4</v>
      </c>
      <c r="L401" s="228">
        <v>4.3214045077699791E-2</v>
      </c>
    </row>
    <row r="402" spans="1:12" s="212" customFormat="1" ht="15.5" x14ac:dyDescent="0.35">
      <c r="A402" s="198" t="s">
        <v>808</v>
      </c>
      <c r="B402" s="197">
        <v>2022</v>
      </c>
      <c r="C402" s="213" t="s">
        <v>3651</v>
      </c>
      <c r="D402" s="239">
        <v>1.9860239720752952E-2</v>
      </c>
      <c r="E402" s="226">
        <v>9.772609408064209E-2</v>
      </c>
      <c r="F402" s="226">
        <v>1.7114796565580062E-3</v>
      </c>
      <c r="G402" s="227">
        <v>1.5772516786630713E-3</v>
      </c>
      <c r="H402" s="226">
        <v>2.0000005732018801E-3</v>
      </c>
      <c r="I402" s="255">
        <v>2.9396401024556359E-3</v>
      </c>
      <c r="J402" s="256">
        <v>9.0974396038212411E-5</v>
      </c>
      <c r="K402" s="257">
        <v>9.5087854534156848E-5</v>
      </c>
      <c r="L402" s="228">
        <v>4.2337356372370759E-2</v>
      </c>
    </row>
    <row r="403" spans="1:12" s="212" customFormat="1" ht="15.5" x14ac:dyDescent="0.35">
      <c r="A403" s="198" t="s">
        <v>808</v>
      </c>
      <c r="B403" s="197">
        <v>2023</v>
      </c>
      <c r="C403" s="213" t="s">
        <v>3652</v>
      </c>
      <c r="D403" s="239">
        <v>1.7254320053936244E-2</v>
      </c>
      <c r="E403" s="226">
        <v>8.5139378477070315E-2</v>
      </c>
      <c r="F403" s="226">
        <v>1.633021603318682E-3</v>
      </c>
      <c r="G403" s="227">
        <v>1.5047554483846972E-3</v>
      </c>
      <c r="H403" s="226">
        <v>2.0000005732018801E-3</v>
      </c>
      <c r="I403" s="255">
        <v>2.9366433333667427E-3</v>
      </c>
      <c r="J403" s="256">
        <v>8.2509377643496599E-5</v>
      </c>
      <c r="K403" s="257">
        <v>8.6240085570594651E-5</v>
      </c>
      <c r="L403" s="228">
        <v>4.1418829117329449E-2</v>
      </c>
    </row>
    <row r="404" spans="1:12" s="212" customFormat="1" ht="15.5" x14ac:dyDescent="0.35">
      <c r="A404" s="198" t="s">
        <v>808</v>
      </c>
      <c r="B404" s="197">
        <v>2024</v>
      </c>
      <c r="C404" s="213" t="s">
        <v>3653</v>
      </c>
      <c r="D404" s="239">
        <v>1.503247358340748E-2</v>
      </c>
      <c r="E404" s="226">
        <v>7.4480586553682018E-2</v>
      </c>
      <c r="F404" s="226">
        <v>1.5596234101549233E-3</v>
      </c>
      <c r="G404" s="227">
        <v>1.4368060733936149E-3</v>
      </c>
      <c r="H404" s="226">
        <v>2.0000005732018797E-3</v>
      </c>
      <c r="I404" s="255">
        <v>2.933828460170854E-3</v>
      </c>
      <c r="J404" s="256">
        <v>7.1350163598307494E-5</v>
      </c>
      <c r="K404" s="257">
        <v>7.4576301384561011E-5</v>
      </c>
      <c r="L404" s="228">
        <v>4.0472645086742809E-2</v>
      </c>
    </row>
    <row r="405" spans="1:12" s="212" customFormat="1" ht="15.5" x14ac:dyDescent="0.35">
      <c r="A405" s="198" t="s">
        <v>808</v>
      </c>
      <c r="B405" s="197">
        <v>2025</v>
      </c>
      <c r="C405" s="213" t="s">
        <v>3654</v>
      </c>
      <c r="D405" s="239">
        <v>1.3222107674055463E-2</v>
      </c>
      <c r="E405" s="226">
        <v>6.5722091104570932E-2</v>
      </c>
      <c r="F405" s="226">
        <v>1.4975349050847578E-3</v>
      </c>
      <c r="G405" s="227">
        <v>1.379361168738911E-3</v>
      </c>
      <c r="H405" s="226">
        <v>2.0000005732018805E-3</v>
      </c>
      <c r="I405" s="255">
        <v>2.9312621138219918E-3</v>
      </c>
      <c r="J405" s="256">
        <v>6.2404297619719662E-5</v>
      </c>
      <c r="K405" s="257">
        <v>6.5225943043114044E-5</v>
      </c>
      <c r="L405" s="228">
        <v>3.9507709422546194E-2</v>
      </c>
    </row>
    <row r="406" spans="1:12" s="212" customFormat="1" ht="15.5" x14ac:dyDescent="0.35">
      <c r="A406" s="198" t="s">
        <v>808</v>
      </c>
      <c r="B406" s="197">
        <v>2026</v>
      </c>
      <c r="C406" s="213" t="s">
        <v>3655</v>
      </c>
      <c r="D406" s="239">
        <v>1.1720013979451275E-2</v>
      </c>
      <c r="E406" s="226">
        <v>5.8499644072945008E-2</v>
      </c>
      <c r="F406" s="226">
        <v>1.4347167869500793E-3</v>
      </c>
      <c r="G406" s="227">
        <v>1.3213230911074876E-3</v>
      </c>
      <c r="H406" s="226">
        <v>2.0000005732018801E-3</v>
      </c>
      <c r="I406" s="255">
        <v>2.9288016320002989E-3</v>
      </c>
      <c r="J406" s="256">
        <v>5.5274732171700404E-5</v>
      </c>
      <c r="K406" s="257">
        <v>5.7774010282513372E-5</v>
      </c>
      <c r="L406" s="228">
        <v>3.8574534588873832E-2</v>
      </c>
    </row>
    <row r="407" spans="1:12" s="212" customFormat="1" ht="15.5" x14ac:dyDescent="0.35">
      <c r="A407" s="198" t="s">
        <v>808</v>
      </c>
      <c r="B407" s="197">
        <v>2027</v>
      </c>
      <c r="C407" s="213" t="s">
        <v>3656</v>
      </c>
      <c r="D407" s="239">
        <v>1.0474190811665986E-2</v>
      </c>
      <c r="E407" s="226">
        <v>5.2458357133746678E-2</v>
      </c>
      <c r="F407" s="226">
        <v>1.3615659680750799E-3</v>
      </c>
      <c r="G407" s="227">
        <v>1.2537025781181599E-3</v>
      </c>
      <c r="H407" s="226">
        <v>2.0000005732018801E-3</v>
      </c>
      <c r="I407" s="255">
        <v>2.9263708682995787E-3</v>
      </c>
      <c r="J407" s="256">
        <v>4.6016361921277061E-5</v>
      </c>
      <c r="K407" s="257">
        <v>4.8097017612775391E-5</v>
      </c>
      <c r="L407" s="228">
        <v>3.77007017842192E-2</v>
      </c>
    </row>
    <row r="408" spans="1:12" s="212" customFormat="1" ht="15.5" x14ac:dyDescent="0.35">
      <c r="A408" s="198" t="s">
        <v>808</v>
      </c>
      <c r="B408" s="197">
        <v>2028</v>
      </c>
      <c r="C408" s="213" t="s">
        <v>3657</v>
      </c>
      <c r="D408" s="239">
        <v>9.4415718082103712E-3</v>
      </c>
      <c r="E408" s="226">
        <v>4.7466625819924606E-2</v>
      </c>
      <c r="F408" s="226">
        <v>1.2801920285970098E-3</v>
      </c>
      <c r="G408" s="227">
        <v>1.178500864935363E-3</v>
      </c>
      <c r="H408" s="226">
        <v>2.0000005732018801E-3</v>
      </c>
      <c r="I408" s="255">
        <v>2.9242392356532173E-3</v>
      </c>
      <c r="J408" s="256">
        <v>3.6228080177043857E-5</v>
      </c>
      <c r="K408" s="257">
        <v>3.7866153202924928E-5</v>
      </c>
      <c r="L408" s="228">
        <v>3.6898412370029943E-2</v>
      </c>
    </row>
    <row r="409" spans="1:12" s="212" customFormat="1" ht="15.5" x14ac:dyDescent="0.35">
      <c r="A409" s="198" t="s">
        <v>808</v>
      </c>
      <c r="B409" s="197">
        <v>2029</v>
      </c>
      <c r="C409" s="213" t="s">
        <v>3658</v>
      </c>
      <c r="D409" s="239">
        <v>8.5710388208192299E-3</v>
      </c>
      <c r="E409" s="226">
        <v>4.3324068432438606E-2</v>
      </c>
      <c r="F409" s="226">
        <v>1.20280215212514E-3</v>
      </c>
      <c r="G409" s="227">
        <v>1.1070695301935842E-3</v>
      </c>
      <c r="H409" s="226">
        <v>2.0000005732018801E-3</v>
      </c>
      <c r="I409" s="255">
        <v>2.9223659399726524E-3</v>
      </c>
      <c r="J409" s="256">
        <v>2.9190611297368139E-5</v>
      </c>
      <c r="K409" s="257">
        <v>3.0510481208815895E-5</v>
      </c>
      <c r="L409" s="228">
        <v>3.6167001234208879E-2</v>
      </c>
    </row>
    <row r="410" spans="1:12" s="212" customFormat="1" ht="15.5" x14ac:dyDescent="0.35">
      <c r="A410" s="198" t="s">
        <v>808</v>
      </c>
      <c r="B410" s="197">
        <v>2030</v>
      </c>
      <c r="C410" s="213" t="s">
        <v>3659</v>
      </c>
      <c r="D410" s="239">
        <v>7.8598382041830499E-3</v>
      </c>
      <c r="E410" s="226">
        <v>3.9937841025117063E-2</v>
      </c>
      <c r="F410" s="226">
        <v>1.1298753619047369E-3</v>
      </c>
      <c r="G410" s="227">
        <v>1.0398008473713849E-3</v>
      </c>
      <c r="H410" s="226">
        <v>2.0000005732018801E-3</v>
      </c>
      <c r="I410" s="255">
        <v>2.9207757805337145E-3</v>
      </c>
      <c r="J410" s="256">
        <v>2.3667631804948693E-5</v>
      </c>
      <c r="K410" s="257">
        <v>2.4737777091607792E-5</v>
      </c>
      <c r="L410" s="228">
        <v>3.5505239683953714E-2</v>
      </c>
    </row>
    <row r="411" spans="1:12" s="212" customFormat="1" ht="15.5" x14ac:dyDescent="0.35">
      <c r="A411" s="198" t="s">
        <v>808</v>
      </c>
      <c r="B411" s="197">
        <v>2031</v>
      </c>
      <c r="C411" s="213" t="s">
        <v>3660</v>
      </c>
      <c r="D411" s="239">
        <v>7.2568031370573091E-3</v>
      </c>
      <c r="E411" s="226">
        <v>3.7089090110237422E-2</v>
      </c>
      <c r="F411" s="226">
        <v>1.0625245635791803E-3</v>
      </c>
      <c r="G411" s="227">
        <v>9.7775853751112503E-4</v>
      </c>
      <c r="H411" s="226">
        <v>2.0000005732018801E-3</v>
      </c>
      <c r="I411" s="255">
        <v>2.9192911346225536E-3</v>
      </c>
      <c r="J411" s="256">
        <v>2.0697191042984924E-5</v>
      </c>
      <c r="K411" s="257">
        <v>2.1633026179523706E-5</v>
      </c>
      <c r="L411" s="228">
        <v>3.4909023129169117E-2</v>
      </c>
    </row>
    <row r="412" spans="1:12" s="212" customFormat="1" ht="15.5" x14ac:dyDescent="0.35">
      <c r="A412" s="198" t="s">
        <v>808</v>
      </c>
      <c r="B412" s="197">
        <v>2032</v>
      </c>
      <c r="C412" s="213" t="s">
        <v>3661</v>
      </c>
      <c r="D412" s="239">
        <v>6.7468328651271343E-3</v>
      </c>
      <c r="E412" s="226">
        <v>3.473055995270824E-2</v>
      </c>
      <c r="F412" s="226">
        <v>9.9901653127277765E-4</v>
      </c>
      <c r="G412" s="227">
        <v>9.1926236124598496E-4</v>
      </c>
      <c r="H412" s="226">
        <v>2.0000005732018801E-3</v>
      </c>
      <c r="I412" s="255">
        <v>2.9179248624750086E-3</v>
      </c>
      <c r="J412" s="256">
        <v>1.8056605009660105E-5</v>
      </c>
      <c r="K412" s="257">
        <v>1.8873044563198879E-5</v>
      </c>
      <c r="L412" s="228">
        <v>3.4374537866609503E-2</v>
      </c>
    </row>
    <row r="413" spans="1:12" s="212" customFormat="1" ht="15.5" x14ac:dyDescent="0.35">
      <c r="A413" s="198" t="s">
        <v>808</v>
      </c>
      <c r="B413" s="197">
        <v>2033</v>
      </c>
      <c r="C413" s="213" t="s">
        <v>3662</v>
      </c>
      <c r="D413" s="239">
        <v>6.2961293337684462E-3</v>
      </c>
      <c r="E413" s="226">
        <v>3.2691636854739171E-2</v>
      </c>
      <c r="F413" s="226">
        <v>9.3964453826799301E-4</v>
      </c>
      <c r="G413" s="227">
        <v>8.6460453810965866E-4</v>
      </c>
      <c r="H413" s="226">
        <v>2.0000005732018801E-3</v>
      </c>
      <c r="I413" s="255">
        <v>2.9166115228400078E-3</v>
      </c>
      <c r="J413" s="256">
        <v>1.6325029574086615E-5</v>
      </c>
      <c r="K413" s="257">
        <v>1.7063174970180989E-5</v>
      </c>
      <c r="L413" s="228">
        <v>3.3896378192609704E-2</v>
      </c>
    </row>
    <row r="414" spans="1:12" s="212" customFormat="1" ht="15.5" x14ac:dyDescent="0.35">
      <c r="A414" s="198" t="s">
        <v>808</v>
      </c>
      <c r="B414" s="197">
        <v>2034</v>
      </c>
      <c r="C414" s="213" t="s">
        <v>3663</v>
      </c>
      <c r="D414" s="239">
        <v>5.8957478074494821E-3</v>
      </c>
      <c r="E414" s="226">
        <v>3.0942853206489686E-2</v>
      </c>
      <c r="F414" s="226">
        <v>8.838966932417431E-4</v>
      </c>
      <c r="G414" s="227">
        <v>8.1328456908472742E-4</v>
      </c>
      <c r="H414" s="226">
        <v>2.0000005732018801E-3</v>
      </c>
      <c r="I414" s="255">
        <v>2.9154040497803785E-3</v>
      </c>
      <c r="J414" s="256">
        <v>1.4736765504400543E-5</v>
      </c>
      <c r="K414" s="257">
        <v>1.5403096647081127E-5</v>
      </c>
      <c r="L414" s="228">
        <v>3.3472262811669755E-2</v>
      </c>
    </row>
    <row r="415" spans="1:12" s="212" customFormat="1" ht="15.5" x14ac:dyDescent="0.35">
      <c r="A415" s="198" t="s">
        <v>808</v>
      </c>
      <c r="B415" s="197">
        <v>2035</v>
      </c>
      <c r="C415" s="213" t="s">
        <v>3664</v>
      </c>
      <c r="D415" s="239">
        <v>5.5400041150048471E-3</v>
      </c>
      <c r="E415" s="226">
        <v>2.9446464735639034E-2</v>
      </c>
      <c r="F415" s="226">
        <v>8.3195245114396795E-4</v>
      </c>
      <c r="G415" s="227">
        <v>7.6546829236500238E-4</v>
      </c>
      <c r="H415" s="226">
        <v>2.0000005732018801E-3</v>
      </c>
      <c r="I415" s="255">
        <v>2.9143078814502224E-3</v>
      </c>
      <c r="J415" s="256">
        <v>1.3313268906784439E-5</v>
      </c>
      <c r="K415" s="257">
        <v>1.3915235849993416E-5</v>
      </c>
      <c r="L415" s="228">
        <v>3.3097933484663146E-2</v>
      </c>
    </row>
    <row r="416" spans="1:12" s="212" customFormat="1" ht="15.5" x14ac:dyDescent="0.35">
      <c r="A416" s="198" t="s">
        <v>808</v>
      </c>
      <c r="B416" s="197">
        <v>2036</v>
      </c>
      <c r="C416" s="213" t="s">
        <v>3665</v>
      </c>
      <c r="D416" s="239">
        <v>5.2344924958569183E-3</v>
      </c>
      <c r="E416" s="226">
        <v>2.819262645629721E-2</v>
      </c>
      <c r="F416" s="226">
        <v>7.8649414094508806E-4</v>
      </c>
      <c r="G416" s="227">
        <v>7.2362270672625504E-4</v>
      </c>
      <c r="H416" s="226">
        <v>2.0000005732018801E-3</v>
      </c>
      <c r="I416" s="255">
        <v>2.9133312742494633E-3</v>
      </c>
      <c r="J416" s="256">
        <v>1.207241063049238E-5</v>
      </c>
      <c r="K416" s="257">
        <v>1.2618271468674487E-5</v>
      </c>
      <c r="L416" s="228">
        <v>3.2770500991342363E-2</v>
      </c>
    </row>
    <row r="417" spans="1:12" s="212" customFormat="1" ht="15.5" x14ac:dyDescent="0.35">
      <c r="A417" s="198" t="s">
        <v>808</v>
      </c>
      <c r="B417" s="197">
        <v>2037</v>
      </c>
      <c r="C417" s="213" t="s">
        <v>3666</v>
      </c>
      <c r="D417" s="239">
        <v>4.9718490717400119E-3</v>
      </c>
      <c r="E417" s="226">
        <v>2.7127740636856284E-2</v>
      </c>
      <c r="F417" s="226">
        <v>7.4532131967327414E-4</v>
      </c>
      <c r="G417" s="227">
        <v>6.8570965202264557E-4</v>
      </c>
      <c r="H417" s="226">
        <v>2.0000005732018801E-3</v>
      </c>
      <c r="I417" s="255">
        <v>2.9124805449707593E-3</v>
      </c>
      <c r="J417" s="256">
        <v>1.0630901228943822E-5</v>
      </c>
      <c r="K417" s="257">
        <v>1.1111583408591132E-5</v>
      </c>
      <c r="L417" s="228">
        <v>3.2486851900762267E-2</v>
      </c>
    </row>
    <row r="418" spans="1:12" s="212" customFormat="1" ht="15.5" x14ac:dyDescent="0.35">
      <c r="A418" s="198" t="s">
        <v>808</v>
      </c>
      <c r="B418" s="197">
        <v>2038</v>
      </c>
      <c r="C418" s="213" t="s">
        <v>3667</v>
      </c>
      <c r="D418" s="239">
        <v>4.7421482444592782E-3</v>
      </c>
      <c r="E418" s="226">
        <v>2.6203293527824949E-2</v>
      </c>
      <c r="F418" s="226">
        <v>7.0901598680203496E-4</v>
      </c>
      <c r="G418" s="227">
        <v>6.5229511949506955E-4</v>
      </c>
      <c r="H418" s="226">
        <v>2.0000005732018801E-3</v>
      </c>
      <c r="I418" s="255">
        <v>2.9117666307341057E-3</v>
      </c>
      <c r="J418" s="256">
        <v>9.7808847772436575E-6</v>
      </c>
      <c r="K418" s="257">
        <v>1.0223132984837215E-5</v>
      </c>
      <c r="L418" s="228">
        <v>3.2243939508072882E-2</v>
      </c>
    </row>
    <row r="419" spans="1:12" s="212" customFormat="1" ht="15.5" x14ac:dyDescent="0.35">
      <c r="A419" s="198" t="s">
        <v>808</v>
      </c>
      <c r="B419" s="197">
        <v>2039</v>
      </c>
      <c r="C419" s="213" t="s">
        <v>3668</v>
      </c>
      <c r="D419" s="239">
        <v>4.5205730306060003E-3</v>
      </c>
      <c r="E419" s="226">
        <v>2.5334628500136055E-2</v>
      </c>
      <c r="F419" s="226">
        <v>6.7657834430193229E-4</v>
      </c>
      <c r="G419" s="227">
        <v>6.2244167192263011E-4</v>
      </c>
      <c r="H419" s="226">
        <v>2.0000005732018797E-3</v>
      </c>
      <c r="I419" s="255">
        <v>2.9111594535012838E-3</v>
      </c>
      <c r="J419" s="256">
        <v>9.0562806917195278E-6</v>
      </c>
      <c r="K419" s="257">
        <v>9.4657655179486915E-6</v>
      </c>
      <c r="L419" s="228">
        <v>3.2035949906177426E-2</v>
      </c>
    </row>
    <row r="420" spans="1:12" s="212" customFormat="1" ht="15.5" x14ac:dyDescent="0.35">
      <c r="A420" s="198" t="s">
        <v>808</v>
      </c>
      <c r="B420" s="197">
        <v>2040</v>
      </c>
      <c r="C420" s="213" t="s">
        <v>3669</v>
      </c>
      <c r="D420" s="239">
        <v>4.3310380830305422E-3</v>
      </c>
      <c r="E420" s="226">
        <v>2.4609744027851647E-2</v>
      </c>
      <c r="F420" s="226">
        <v>6.4827328641529534E-4</v>
      </c>
      <c r="G420" s="227">
        <v>5.9639240430517512E-4</v>
      </c>
      <c r="H420" s="226">
        <v>2.0000005732018801E-3</v>
      </c>
      <c r="I420" s="255">
        <v>2.9106920637866807E-3</v>
      </c>
      <c r="J420" s="256">
        <v>8.4451422657916033E-6</v>
      </c>
      <c r="K420" s="257">
        <v>8.8269941242869119E-6</v>
      </c>
      <c r="L420" s="228">
        <v>3.1860631379309549E-2</v>
      </c>
    </row>
    <row r="421" spans="1:12" s="212" customFormat="1" ht="15.5" x14ac:dyDescent="0.35">
      <c r="A421" s="198" t="s">
        <v>808</v>
      </c>
      <c r="B421" s="197">
        <v>2041</v>
      </c>
      <c r="C421" s="213" t="s">
        <v>3670</v>
      </c>
      <c r="D421" s="239">
        <v>4.1865660119456138E-3</v>
      </c>
      <c r="E421" s="226">
        <v>2.4018209783999347E-2</v>
      </c>
      <c r="F421" s="226">
        <v>6.2576787190163157E-4</v>
      </c>
      <c r="G421" s="227">
        <v>5.7567870636099263E-4</v>
      </c>
      <c r="H421" s="226">
        <v>2.0000005732018801E-3</v>
      </c>
      <c r="I421" s="255">
        <v>2.9103502255558313E-3</v>
      </c>
      <c r="J421" s="256">
        <v>7.9112998004815468E-6</v>
      </c>
      <c r="K421" s="257">
        <v>8.2690136715864052E-6</v>
      </c>
      <c r="L421" s="228">
        <v>3.171477971373967E-2</v>
      </c>
    </row>
    <row r="422" spans="1:12" s="212" customFormat="1" ht="15.5" x14ac:dyDescent="0.35">
      <c r="A422" s="198" t="s">
        <v>808</v>
      </c>
      <c r="B422" s="197">
        <v>2042</v>
      </c>
      <c r="C422" s="213" t="s">
        <v>3671</v>
      </c>
      <c r="D422" s="239">
        <v>4.0572928522292001E-3</v>
      </c>
      <c r="E422" s="226">
        <v>2.3458034107242558E-2</v>
      </c>
      <c r="F422" s="226">
        <v>6.0645764036350747E-4</v>
      </c>
      <c r="G422" s="227">
        <v>5.5790755195691351E-4</v>
      </c>
      <c r="H422" s="226">
        <v>2.0000005732018797E-3</v>
      </c>
      <c r="I422" s="255">
        <v>2.910069673076126E-3</v>
      </c>
      <c r="J422" s="256">
        <v>7.4978472563638107E-6</v>
      </c>
      <c r="K422" s="257">
        <v>7.8368666380921603E-6</v>
      </c>
      <c r="L422" s="228">
        <v>3.159223908178696E-2</v>
      </c>
    </row>
    <row r="423" spans="1:12" s="212" customFormat="1" ht="15.5" x14ac:dyDescent="0.35">
      <c r="A423" s="198" t="s">
        <v>808</v>
      </c>
      <c r="B423" s="197">
        <v>2043</v>
      </c>
      <c r="C423" s="213" t="s">
        <v>3672</v>
      </c>
      <c r="D423" s="239">
        <v>3.9575652163795685E-3</v>
      </c>
      <c r="E423" s="226">
        <v>2.2991075065228066E-2</v>
      </c>
      <c r="F423" s="226">
        <v>5.9013590117718158E-4</v>
      </c>
      <c r="G423" s="227">
        <v>5.4288786453103339E-4</v>
      </c>
      <c r="H423" s="226">
        <v>2.0000005732018805E-3</v>
      </c>
      <c r="I423" s="255">
        <v>2.9098705697929287E-3</v>
      </c>
      <c r="J423" s="256">
        <v>7.1782936988808678E-6</v>
      </c>
      <c r="K423" s="257">
        <v>7.5028642867377327E-6</v>
      </c>
      <c r="L423" s="228">
        <v>3.14913516217315E-2</v>
      </c>
    </row>
    <row r="424" spans="1:12" s="212" customFormat="1" ht="15.5" x14ac:dyDescent="0.35">
      <c r="A424" s="198" t="s">
        <v>808</v>
      </c>
      <c r="B424" s="197">
        <v>2044</v>
      </c>
      <c r="C424" s="213" t="s">
        <v>3673</v>
      </c>
      <c r="D424" s="239">
        <v>3.8770896291496827E-3</v>
      </c>
      <c r="E424" s="226">
        <v>2.2542003432961973E-2</v>
      </c>
      <c r="F424" s="226">
        <v>5.7627593944296635E-4</v>
      </c>
      <c r="G424" s="227">
        <v>5.3013413837720176E-4</v>
      </c>
      <c r="H424" s="226">
        <v>2.0000005732018801E-3</v>
      </c>
      <c r="I424" s="255">
        <v>2.9097004622036051E-3</v>
      </c>
      <c r="J424" s="256">
        <v>6.921563431510937E-6</v>
      </c>
      <c r="K424" s="257">
        <v>7.2345258159010195E-6</v>
      </c>
      <c r="L424" s="228">
        <v>3.1406447756875122E-2</v>
      </c>
    </row>
    <row r="425" spans="1:12" s="212" customFormat="1" ht="15.5" x14ac:dyDescent="0.35">
      <c r="A425" s="198" t="s">
        <v>808</v>
      </c>
      <c r="B425" s="197">
        <v>2045</v>
      </c>
      <c r="C425" s="213" t="s">
        <v>3674</v>
      </c>
      <c r="D425" s="239">
        <v>3.8170028734548231E-3</v>
      </c>
      <c r="E425" s="226">
        <v>2.2134843511687759E-2</v>
      </c>
      <c r="F425" s="226">
        <v>5.6461262899725579E-4</v>
      </c>
      <c r="G425" s="227">
        <v>5.1940251685134457E-4</v>
      </c>
      <c r="H425" s="226">
        <v>2.0000005732018801E-3</v>
      </c>
      <c r="I425" s="255">
        <v>2.9095786649230688E-3</v>
      </c>
      <c r="J425" s="256">
        <v>6.7255281929287047E-6</v>
      </c>
      <c r="K425" s="257">
        <v>7.0296267337235879E-6</v>
      </c>
      <c r="L425" s="228">
        <v>3.1334962277715657E-2</v>
      </c>
    </row>
    <row r="426" spans="1:12" s="212" customFormat="1" ht="15.5" x14ac:dyDescent="0.35">
      <c r="A426" s="198" t="s">
        <v>808</v>
      </c>
      <c r="B426" s="197">
        <v>2046</v>
      </c>
      <c r="C426" s="213" t="s">
        <v>3675</v>
      </c>
      <c r="D426" s="239">
        <v>3.761940264500285E-3</v>
      </c>
      <c r="E426" s="226">
        <v>2.1754239742417542E-2</v>
      </c>
      <c r="F426" s="226">
        <v>5.5492431665125149E-4</v>
      </c>
      <c r="G426" s="227">
        <v>5.1048790724213711E-4</v>
      </c>
      <c r="H426" s="226">
        <v>2.0000005732018801E-3</v>
      </c>
      <c r="I426" s="255">
        <v>2.9094908575795068E-3</v>
      </c>
      <c r="J426" s="256">
        <v>6.5570593664251907E-6</v>
      </c>
      <c r="K426" s="257">
        <v>6.8535404944549315E-6</v>
      </c>
      <c r="L426" s="228">
        <v>3.1275338878026054E-2</v>
      </c>
    </row>
    <row r="427" spans="1:12" s="212" customFormat="1" ht="15.5" x14ac:dyDescent="0.35">
      <c r="A427" s="198" t="s">
        <v>808</v>
      </c>
      <c r="B427" s="197">
        <v>2047</v>
      </c>
      <c r="C427" s="213" t="s">
        <v>3676</v>
      </c>
      <c r="D427" s="239">
        <v>3.7129136512953271E-3</v>
      </c>
      <c r="E427" s="226">
        <v>2.1409965065537304E-2</v>
      </c>
      <c r="F427" s="226">
        <v>5.4690986482975202E-4</v>
      </c>
      <c r="G427" s="227">
        <v>5.0311327227026712E-4</v>
      </c>
      <c r="H427" s="226">
        <v>2.0000005732018797E-3</v>
      </c>
      <c r="I427" s="255">
        <v>2.9094364234301499E-3</v>
      </c>
      <c r="J427" s="256">
        <v>6.4122456711967983E-6</v>
      </c>
      <c r="K427" s="257">
        <v>6.702178966529577E-6</v>
      </c>
      <c r="L427" s="228">
        <v>3.1225474840492345E-2</v>
      </c>
    </row>
    <row r="428" spans="1:12" s="212" customFormat="1" ht="15.5" x14ac:dyDescent="0.35">
      <c r="A428" s="198" t="s">
        <v>808</v>
      </c>
      <c r="B428" s="197">
        <v>2048</v>
      </c>
      <c r="C428" s="213" t="s">
        <v>3677</v>
      </c>
      <c r="D428" s="239">
        <v>3.6730612057741924E-3</v>
      </c>
      <c r="E428" s="226">
        <v>2.1132330508938091E-2</v>
      </c>
      <c r="F428" s="226">
        <v>5.4035116394093744E-4</v>
      </c>
      <c r="G428" s="227">
        <v>4.9707847470938993E-4</v>
      </c>
      <c r="H428" s="226">
        <v>2.0000005732018805E-3</v>
      </c>
      <c r="I428" s="255">
        <v>2.9094076395640525E-3</v>
      </c>
      <c r="J428" s="256">
        <v>6.3015199190389318E-6</v>
      </c>
      <c r="K428" s="257">
        <v>6.5864466871973703E-6</v>
      </c>
      <c r="L428" s="228">
        <v>3.1183675158278228E-2</v>
      </c>
    </row>
    <row r="429" spans="1:12" s="212" customFormat="1" ht="15.5" x14ac:dyDescent="0.35">
      <c r="A429" s="198" t="s">
        <v>808</v>
      </c>
      <c r="B429" s="197">
        <v>2049</v>
      </c>
      <c r="C429" s="213" t="s">
        <v>3678</v>
      </c>
      <c r="D429" s="239">
        <v>3.663859901222435E-3</v>
      </c>
      <c r="E429" s="226">
        <v>2.1103187252581212E-2</v>
      </c>
      <c r="F429" s="226">
        <v>5.3612232829266919E-4</v>
      </c>
      <c r="G429" s="227">
        <v>4.9318708808673731E-4</v>
      </c>
      <c r="H429" s="226">
        <v>2.0000005732018801E-3</v>
      </c>
      <c r="I429" s="255">
        <v>2.9093919551202389E-3</v>
      </c>
      <c r="J429" s="256">
        <v>6.2212295844357192E-6</v>
      </c>
      <c r="K429" s="257">
        <v>6.502525979946491E-6</v>
      </c>
      <c r="L429" s="228">
        <v>3.1148706678447571E-2</v>
      </c>
    </row>
    <row r="430" spans="1:12" s="212" customFormat="1" ht="15.5" x14ac:dyDescent="0.35">
      <c r="A430" s="198" t="s">
        <v>808</v>
      </c>
      <c r="B430" s="197">
        <v>2050</v>
      </c>
      <c r="C430" s="213" t="s">
        <v>3679</v>
      </c>
      <c r="D430" s="239">
        <v>3.6569210835532399E-3</v>
      </c>
      <c r="E430" s="226">
        <v>2.1079088428802645E-2</v>
      </c>
      <c r="F430" s="226">
        <v>5.3264549125401738E-4</v>
      </c>
      <c r="G430" s="227">
        <v>4.8998318331069501E-4</v>
      </c>
      <c r="H430" s="226">
        <v>2.0000005732018801E-3</v>
      </c>
      <c r="I430" s="255">
        <v>2.9094232083545011E-3</v>
      </c>
      <c r="J430" s="256">
        <v>6.039480697347542E-6</v>
      </c>
      <c r="K430" s="257">
        <v>6.3125592146829169E-6</v>
      </c>
      <c r="L430" s="228">
        <v>3.1120730421960223E-2</v>
      </c>
    </row>
    <row r="431" spans="1:12" s="212" customFormat="1" ht="15.5" x14ac:dyDescent="0.35">
      <c r="A431" s="198" t="s">
        <v>810</v>
      </c>
      <c r="B431" s="197">
        <v>2015</v>
      </c>
      <c r="C431" s="213" t="s">
        <v>881</v>
      </c>
      <c r="D431" s="239">
        <v>7.947443573581349E-2</v>
      </c>
      <c r="E431" s="226">
        <v>0.36786409185082436</v>
      </c>
      <c r="F431" s="226">
        <v>3.024309813533538E-3</v>
      </c>
      <c r="G431" s="227">
        <v>2.8039417873304143E-3</v>
      </c>
      <c r="H431" s="226">
        <v>2.0000005732018797E-3</v>
      </c>
      <c r="I431" s="255">
        <v>2.8138146323149786E-3</v>
      </c>
      <c r="J431" s="256">
        <v>4.6802820426761015E-4</v>
      </c>
      <c r="K431" s="257">
        <v>4.8919036282019481E-4</v>
      </c>
      <c r="L431" s="228">
        <v>4.743263343163788E-2</v>
      </c>
    </row>
    <row r="432" spans="1:12" s="212" customFormat="1" ht="15.5" x14ac:dyDescent="0.35">
      <c r="A432" s="198" t="s">
        <v>810</v>
      </c>
      <c r="B432" s="197">
        <v>2016</v>
      </c>
      <c r="C432" s="213" t="s">
        <v>882</v>
      </c>
      <c r="D432" s="239">
        <v>6.9785117311908798E-2</v>
      </c>
      <c r="E432" s="226">
        <v>0.33444082132478736</v>
      </c>
      <c r="F432" s="226">
        <v>2.8282076596747828E-3</v>
      </c>
      <c r="G432" s="227">
        <v>2.621607657017517E-3</v>
      </c>
      <c r="H432" s="226">
        <v>2.0000005732018801E-3</v>
      </c>
      <c r="I432" s="255">
        <v>2.8123415537956785E-3</v>
      </c>
      <c r="J432" s="256">
        <v>4.5065216799638721E-4</v>
      </c>
      <c r="K432" s="257">
        <v>4.7102865929380479E-4</v>
      </c>
      <c r="L432" s="228">
        <v>4.6346190234342576E-2</v>
      </c>
    </row>
    <row r="433" spans="1:12" s="212" customFormat="1" ht="15.5" x14ac:dyDescent="0.35">
      <c r="A433" s="198" t="s">
        <v>810</v>
      </c>
      <c r="B433" s="197">
        <v>2017</v>
      </c>
      <c r="C433" s="213" t="s">
        <v>3680</v>
      </c>
      <c r="D433" s="239">
        <v>5.7003424383806588E-2</v>
      </c>
      <c r="E433" s="226">
        <v>0.28391491414317899</v>
      </c>
      <c r="F433" s="226">
        <v>2.5385321730107789E-3</v>
      </c>
      <c r="G433" s="227">
        <v>2.3510608336022665E-3</v>
      </c>
      <c r="H433" s="226">
        <v>2.0000005732018801E-3</v>
      </c>
      <c r="I433" s="255">
        <v>2.811266908575691E-3</v>
      </c>
      <c r="J433" s="256">
        <v>3.7676217449851584E-4</v>
      </c>
      <c r="K433" s="257">
        <v>3.9379768817195078E-4</v>
      </c>
      <c r="L433" s="228">
        <v>4.6002133611047324E-2</v>
      </c>
    </row>
    <row r="434" spans="1:12" s="212" customFormat="1" ht="15.5" x14ac:dyDescent="0.35">
      <c r="A434" s="198" t="s">
        <v>810</v>
      </c>
      <c r="B434" s="197">
        <v>2018</v>
      </c>
      <c r="C434" s="213" t="s">
        <v>3681</v>
      </c>
      <c r="D434" s="239">
        <v>4.8739582418484327E-2</v>
      </c>
      <c r="E434" s="226">
        <v>0.25065250479340806</v>
      </c>
      <c r="F434" s="226">
        <v>2.3901107172626746E-3</v>
      </c>
      <c r="G434" s="227">
        <v>2.2126000609818783E-3</v>
      </c>
      <c r="H434" s="226">
        <v>2.0000005732018797E-3</v>
      </c>
      <c r="I434" s="255">
        <v>2.8128646009240193E-3</v>
      </c>
      <c r="J434" s="256">
        <v>3.4620455145286679E-4</v>
      </c>
      <c r="K434" s="257">
        <v>3.6185838500962136E-4</v>
      </c>
      <c r="L434" s="228">
        <v>4.543993050872884E-2</v>
      </c>
    </row>
    <row r="435" spans="1:12" s="212" customFormat="1" ht="15.5" x14ac:dyDescent="0.35">
      <c r="A435" s="198" t="s">
        <v>810</v>
      </c>
      <c r="B435" s="197">
        <v>2019</v>
      </c>
      <c r="C435" s="213" t="s">
        <v>3682</v>
      </c>
      <c r="D435" s="239">
        <v>4.050570144623284E-2</v>
      </c>
      <c r="E435" s="226">
        <v>0.21308971587291778</v>
      </c>
      <c r="F435" s="226">
        <v>2.2415512093554484E-3</v>
      </c>
      <c r="G435" s="227">
        <v>2.0732438854189402E-3</v>
      </c>
      <c r="H435" s="226">
        <v>2.0000005732018792E-3</v>
      </c>
      <c r="I435" s="255">
        <v>2.8126709455011359E-3</v>
      </c>
      <c r="J435" s="256">
        <v>2.9553731777906176E-4</v>
      </c>
      <c r="K435" s="257">
        <v>3.0890020386160633E-4</v>
      </c>
      <c r="L435" s="228">
        <v>4.4743741065958978E-2</v>
      </c>
    </row>
    <row r="436" spans="1:12" s="212" customFormat="1" ht="15.5" x14ac:dyDescent="0.35">
      <c r="A436" s="198" t="s">
        <v>810</v>
      </c>
      <c r="B436" s="197">
        <v>2020</v>
      </c>
      <c r="C436" s="213" t="s">
        <v>3683</v>
      </c>
      <c r="D436" s="239">
        <v>3.5729867501728602E-2</v>
      </c>
      <c r="E436" s="226">
        <v>0.19178365734451858</v>
      </c>
      <c r="F436" s="226">
        <v>2.1421650382130184E-3</v>
      </c>
      <c r="G436" s="227">
        <v>1.9806316228654502E-3</v>
      </c>
      <c r="H436" s="226">
        <v>2.0000005732018749E-3</v>
      </c>
      <c r="I436" s="255">
        <v>2.820204573986131E-3</v>
      </c>
      <c r="J436" s="256">
        <v>2.6963503394936454E-4</v>
      </c>
      <c r="K436" s="257">
        <v>2.8182673369681212E-4</v>
      </c>
      <c r="L436" s="228">
        <v>4.4366355168925301E-2</v>
      </c>
    </row>
    <row r="437" spans="1:12" s="212" customFormat="1" ht="15.5" x14ac:dyDescent="0.35">
      <c r="A437" s="198" t="s">
        <v>810</v>
      </c>
      <c r="B437" s="197">
        <v>2021</v>
      </c>
      <c r="C437" s="213" t="s">
        <v>3684</v>
      </c>
      <c r="D437" s="239">
        <v>3.1511276852389726E-2</v>
      </c>
      <c r="E437" s="226">
        <v>0.17132871152580326</v>
      </c>
      <c r="F437" s="226">
        <v>2.0254477973313447E-3</v>
      </c>
      <c r="G437" s="227">
        <v>1.8721009380382979E-3</v>
      </c>
      <c r="H437" s="226">
        <v>2.0000005732018792E-3</v>
      </c>
      <c r="I437" s="255">
        <v>2.8254981208750336E-3</v>
      </c>
      <c r="J437" s="256">
        <v>2.42492193646301E-4</v>
      </c>
      <c r="K437" s="257">
        <v>2.5345661459981423E-4</v>
      </c>
      <c r="L437" s="228">
        <v>4.3479081010644426E-2</v>
      </c>
    </row>
    <row r="438" spans="1:12" s="212" customFormat="1" ht="15.5" x14ac:dyDescent="0.35">
      <c r="A438" s="198" t="s">
        <v>810</v>
      </c>
      <c r="B438" s="197">
        <v>2022</v>
      </c>
      <c r="C438" s="213" t="s">
        <v>3685</v>
      </c>
      <c r="D438" s="239">
        <v>2.7411397777496859E-2</v>
      </c>
      <c r="E438" s="226">
        <v>0.15206749497433067</v>
      </c>
      <c r="F438" s="226">
        <v>1.912656550439003E-3</v>
      </c>
      <c r="G438" s="227">
        <v>1.7671898468710843E-3</v>
      </c>
      <c r="H438" s="226">
        <v>2.0000005732018775E-3</v>
      </c>
      <c r="I438" s="255">
        <v>2.8279000396979862E-3</v>
      </c>
      <c r="J438" s="256">
        <v>2.1673314195587353E-4</v>
      </c>
      <c r="K438" s="257">
        <v>2.2653285289604466E-4</v>
      </c>
      <c r="L438" s="228">
        <v>4.2666321355908872E-2</v>
      </c>
    </row>
    <row r="439" spans="1:12" s="212" customFormat="1" ht="15.5" x14ac:dyDescent="0.35">
      <c r="A439" s="198" t="s">
        <v>810</v>
      </c>
      <c r="B439" s="197">
        <v>2023</v>
      </c>
      <c r="C439" s="213" t="s">
        <v>3686</v>
      </c>
      <c r="D439" s="239">
        <v>2.4207742782737782E-2</v>
      </c>
      <c r="E439" s="226">
        <v>0.13515464821614015</v>
      </c>
      <c r="F439" s="226">
        <v>1.8028731879337625E-3</v>
      </c>
      <c r="G439" s="227">
        <v>1.6650392930562968E-3</v>
      </c>
      <c r="H439" s="226">
        <v>2.0000005732018792E-3</v>
      </c>
      <c r="I439" s="255">
        <v>2.8293085361617799E-3</v>
      </c>
      <c r="J439" s="256">
        <v>1.871123059500068E-4</v>
      </c>
      <c r="K439" s="257">
        <v>1.9557269412650533E-4</v>
      </c>
      <c r="L439" s="228">
        <v>4.1816006676128455E-2</v>
      </c>
    </row>
    <row r="440" spans="1:12" s="212" customFormat="1" ht="15.5" x14ac:dyDescent="0.35">
      <c r="A440" s="198" t="s">
        <v>810</v>
      </c>
      <c r="B440" s="197">
        <v>2024</v>
      </c>
      <c r="C440" s="213" t="s">
        <v>3687</v>
      </c>
      <c r="D440" s="239">
        <v>2.1382536949064473E-2</v>
      </c>
      <c r="E440" s="226">
        <v>0.12021970002459843</v>
      </c>
      <c r="F440" s="226">
        <v>1.7073728329278313E-3</v>
      </c>
      <c r="G440" s="227">
        <v>1.5763138836120023E-3</v>
      </c>
      <c r="H440" s="226">
        <v>2.0000005732018727E-3</v>
      </c>
      <c r="I440" s="255">
        <v>2.8303231191279181E-3</v>
      </c>
      <c r="J440" s="256">
        <v>1.6507345955153255E-4</v>
      </c>
      <c r="K440" s="257">
        <v>1.7253734888982494E-4</v>
      </c>
      <c r="L440" s="228">
        <v>4.0933719476722648E-2</v>
      </c>
    </row>
    <row r="441" spans="1:12" s="212" customFormat="1" ht="15.5" x14ac:dyDescent="0.35">
      <c r="A441" s="198" t="s">
        <v>810</v>
      </c>
      <c r="B441" s="197">
        <v>2025</v>
      </c>
      <c r="C441" s="213" t="s">
        <v>3688</v>
      </c>
      <c r="D441" s="239">
        <v>1.9110400725169778E-2</v>
      </c>
      <c r="E441" s="226">
        <v>0.10776192556038287</v>
      </c>
      <c r="F441" s="226">
        <v>1.6335454427884907E-3</v>
      </c>
      <c r="G441" s="227">
        <v>1.5077644395234398E-3</v>
      </c>
      <c r="H441" s="226">
        <v>2.0000005732018801E-3</v>
      </c>
      <c r="I441" s="255">
        <v>2.8309594556895305E-3</v>
      </c>
      <c r="J441" s="256">
        <v>1.4829503981874395E-4</v>
      </c>
      <c r="K441" s="257">
        <v>1.5500028346985428E-4</v>
      </c>
      <c r="L441" s="228">
        <v>4.0030349796366112E-2</v>
      </c>
    </row>
    <row r="442" spans="1:12" s="212" customFormat="1" ht="15.5" x14ac:dyDescent="0.35">
      <c r="A442" s="198" t="s">
        <v>810</v>
      </c>
      <c r="B442" s="197">
        <v>2026</v>
      </c>
      <c r="C442" s="213" t="s">
        <v>3689</v>
      </c>
      <c r="D442" s="239">
        <v>1.7133646826889865E-2</v>
      </c>
      <c r="E442" s="226">
        <v>9.6990834541872115E-2</v>
      </c>
      <c r="F442" s="226">
        <v>1.5559989076240276E-3</v>
      </c>
      <c r="G442" s="227">
        <v>1.4355471187447594E-3</v>
      </c>
      <c r="H442" s="226">
        <v>2.0000005732018749E-3</v>
      </c>
      <c r="I442" s="255">
        <v>2.8312419089739581E-3</v>
      </c>
      <c r="J442" s="256">
        <v>1.2481300382877122E-4</v>
      </c>
      <c r="K442" s="257">
        <v>1.3045649401240641E-4</v>
      </c>
      <c r="L442" s="228">
        <v>3.9156389966138766E-2</v>
      </c>
    </row>
    <row r="443" spans="1:12" s="212" customFormat="1" ht="15.5" x14ac:dyDescent="0.35">
      <c r="A443" s="198" t="s">
        <v>810</v>
      </c>
      <c r="B443" s="197">
        <v>2027</v>
      </c>
      <c r="C443" s="213" t="s">
        <v>3690</v>
      </c>
      <c r="D443" s="239">
        <v>1.5433325298906344E-2</v>
      </c>
      <c r="E443" s="226">
        <v>8.7589996120589569E-2</v>
      </c>
      <c r="F443" s="226">
        <v>1.4728326745956544E-3</v>
      </c>
      <c r="G443" s="227">
        <v>1.3581015617671159E-3</v>
      </c>
      <c r="H443" s="226">
        <v>2.0000005732018797E-3</v>
      </c>
      <c r="I443" s="255">
        <v>2.8309613121588607E-3</v>
      </c>
      <c r="J443" s="256">
        <v>9.9743257705899559E-5</v>
      </c>
      <c r="K443" s="257">
        <v>1.042532052152095E-4</v>
      </c>
      <c r="L443" s="228">
        <v>3.8339656675000756E-2</v>
      </c>
    </row>
    <row r="444" spans="1:12" s="212" customFormat="1" ht="15.5" x14ac:dyDescent="0.35">
      <c r="A444" s="198" t="s">
        <v>810</v>
      </c>
      <c r="B444" s="197">
        <v>2028</v>
      </c>
      <c r="C444" s="213" t="s">
        <v>3691</v>
      </c>
      <c r="D444" s="239">
        <v>1.39646003323717E-2</v>
      </c>
      <c r="E444" s="226">
        <v>7.941260103581424E-2</v>
      </c>
      <c r="F444" s="226">
        <v>1.392815643685021E-3</v>
      </c>
      <c r="G444" s="227">
        <v>1.2839005007846938E-3</v>
      </c>
      <c r="H444" s="226">
        <v>2.0000005732018797E-3</v>
      </c>
      <c r="I444" s="255">
        <v>2.8304207655784615E-3</v>
      </c>
      <c r="J444" s="256">
        <v>8.361624558953072E-5</v>
      </c>
      <c r="K444" s="257">
        <v>8.7397001173494912E-5</v>
      </c>
      <c r="L444" s="228">
        <v>3.7588565652761016E-2</v>
      </c>
    </row>
    <row r="445" spans="1:12" s="212" customFormat="1" ht="15.5" x14ac:dyDescent="0.35">
      <c r="A445" s="198" t="s">
        <v>810</v>
      </c>
      <c r="B445" s="197">
        <v>2029</v>
      </c>
      <c r="C445" s="213" t="s">
        <v>3692</v>
      </c>
      <c r="D445" s="239">
        <v>1.2658109318724261E-2</v>
      </c>
      <c r="E445" s="226">
        <v>7.222105993583397E-2</v>
      </c>
      <c r="F445" s="226">
        <v>1.313210464575824E-3</v>
      </c>
      <c r="G445" s="227">
        <v>1.2101347195625318E-3</v>
      </c>
      <c r="H445" s="226">
        <v>2.0000005732018797E-3</v>
      </c>
      <c r="I445" s="255">
        <v>2.8296476625125412E-3</v>
      </c>
      <c r="J445" s="256">
        <v>6.8941827404682572E-5</v>
      </c>
      <c r="K445" s="257">
        <v>7.2059070915094119E-5</v>
      </c>
      <c r="L445" s="228">
        <v>3.6899453118843233E-2</v>
      </c>
    </row>
    <row r="446" spans="1:12" s="212" customFormat="1" ht="15.5" x14ac:dyDescent="0.35">
      <c r="A446" s="198" t="s">
        <v>810</v>
      </c>
      <c r="B446" s="197">
        <v>2030</v>
      </c>
      <c r="C446" s="213" t="s">
        <v>3693</v>
      </c>
      <c r="D446" s="239">
        <v>1.1531115215562059E-2</v>
      </c>
      <c r="E446" s="226">
        <v>6.5945254377164697E-2</v>
      </c>
      <c r="F446" s="226">
        <v>1.2366367532404927E-3</v>
      </c>
      <c r="G446" s="227">
        <v>1.1392598740593387E-3</v>
      </c>
      <c r="H446" s="226">
        <v>2.0000005732018749E-3</v>
      </c>
      <c r="I446" s="255">
        <v>2.8286958334353737E-3</v>
      </c>
      <c r="J446" s="256">
        <v>5.6926684457535595E-5</v>
      </c>
      <c r="K446" s="257">
        <v>5.950065652028428E-5</v>
      </c>
      <c r="L446" s="228">
        <v>3.6273476649756206E-2</v>
      </c>
    </row>
    <row r="447" spans="1:12" s="212" customFormat="1" ht="15.5" x14ac:dyDescent="0.35">
      <c r="A447" s="198" t="s">
        <v>810</v>
      </c>
      <c r="B447" s="197">
        <v>2031</v>
      </c>
      <c r="C447" s="213" t="s">
        <v>3694</v>
      </c>
      <c r="D447" s="239">
        <v>1.0530548176555625E-2</v>
      </c>
      <c r="E447" s="226">
        <v>6.0376573237262393E-2</v>
      </c>
      <c r="F447" s="226">
        <v>1.1661937342500519E-3</v>
      </c>
      <c r="G447" s="227">
        <v>1.0742211873558929E-3</v>
      </c>
      <c r="H447" s="226">
        <v>2.0000005732018732E-3</v>
      </c>
      <c r="I447" s="255">
        <v>2.8274664591387147E-3</v>
      </c>
      <c r="J447" s="256">
        <v>5.0024447184529858E-5</v>
      </c>
      <c r="K447" s="257">
        <v>5.2286330706017496E-5</v>
      </c>
      <c r="L447" s="228">
        <v>3.5706013503114045E-2</v>
      </c>
    </row>
    <row r="448" spans="1:12" s="212" customFormat="1" ht="15.5" x14ac:dyDescent="0.35">
      <c r="A448" s="198" t="s">
        <v>810</v>
      </c>
      <c r="B448" s="197">
        <v>2032</v>
      </c>
      <c r="C448" s="213" t="s">
        <v>3695</v>
      </c>
      <c r="D448" s="239">
        <v>9.6348889190974504E-3</v>
      </c>
      <c r="E448" s="226">
        <v>5.5444905768752606E-2</v>
      </c>
      <c r="F448" s="226">
        <v>1.0988583863218234E-3</v>
      </c>
      <c r="G448" s="227">
        <v>1.0121086902825699E-3</v>
      </c>
      <c r="H448" s="226">
        <v>2.0000005732018723E-3</v>
      </c>
      <c r="I448" s="255">
        <v>2.826005448551383E-3</v>
      </c>
      <c r="J448" s="256">
        <v>4.4888014062372904E-5</v>
      </c>
      <c r="K448" s="257">
        <v>4.6917650870661029E-5</v>
      </c>
      <c r="L448" s="228">
        <v>3.5192237496557845E-2</v>
      </c>
    </row>
    <row r="449" spans="1:12" s="212" customFormat="1" ht="15.5" x14ac:dyDescent="0.35">
      <c r="A449" s="198" t="s">
        <v>810</v>
      </c>
      <c r="B449" s="197">
        <v>2033</v>
      </c>
      <c r="C449" s="213" t="s">
        <v>3696</v>
      </c>
      <c r="D449" s="239">
        <v>8.8499193995645788E-3</v>
      </c>
      <c r="E449" s="226">
        <v>5.121988698513049E-2</v>
      </c>
      <c r="F449" s="226">
        <v>1.0347552918047284E-3</v>
      </c>
      <c r="G449" s="227">
        <v>9.53007279605167E-4</v>
      </c>
      <c r="H449" s="226">
        <v>2.0000005732018801E-3</v>
      </c>
      <c r="I449" s="255">
        <v>2.8243924140993913E-3</v>
      </c>
      <c r="J449" s="256">
        <v>4.0756350191936329E-5</v>
      </c>
      <c r="K449" s="257">
        <v>4.2599171493990216E-5</v>
      </c>
      <c r="L449" s="228">
        <v>3.4729180278893095E-2</v>
      </c>
    </row>
    <row r="450" spans="1:12" s="212" customFormat="1" ht="15.5" x14ac:dyDescent="0.35">
      <c r="A450" s="198" t="s">
        <v>810</v>
      </c>
      <c r="B450" s="197">
        <v>2034</v>
      </c>
      <c r="C450" s="213" t="s">
        <v>3697</v>
      </c>
      <c r="D450" s="239">
        <v>8.1193489389431092E-3</v>
      </c>
      <c r="E450" s="226">
        <v>4.7433930364328976E-2</v>
      </c>
      <c r="F450" s="226">
        <v>9.7163509918373337E-4</v>
      </c>
      <c r="G450" s="227">
        <v>8.9482098642065951E-4</v>
      </c>
      <c r="H450" s="226">
        <v>2.0000005732018801E-3</v>
      </c>
      <c r="I450" s="255">
        <v>2.8226089482653476E-3</v>
      </c>
      <c r="J450" s="256">
        <v>3.6916643265697101E-5</v>
      </c>
      <c r="K450" s="257">
        <v>3.8585850058993577E-5</v>
      </c>
      <c r="L450" s="228">
        <v>3.4313435561120875E-2</v>
      </c>
    </row>
    <row r="451" spans="1:12" s="212" customFormat="1" ht="15.5" x14ac:dyDescent="0.35">
      <c r="A451" s="198" t="s">
        <v>810</v>
      </c>
      <c r="B451" s="197">
        <v>2035</v>
      </c>
      <c r="C451" s="213" t="s">
        <v>3698</v>
      </c>
      <c r="D451" s="239">
        <v>7.4825254573091709E-3</v>
      </c>
      <c r="E451" s="226">
        <v>4.4271209610490164E-2</v>
      </c>
      <c r="F451" s="226">
        <v>9.1196975778006309E-4</v>
      </c>
      <c r="G451" s="227">
        <v>8.3981389180066079E-4</v>
      </c>
      <c r="H451" s="226">
        <v>2.0000005732018771E-3</v>
      </c>
      <c r="I451" s="255">
        <v>2.8208242554318844E-3</v>
      </c>
      <c r="J451" s="256">
        <v>3.3143420099771577E-5</v>
      </c>
      <c r="K451" s="257">
        <v>3.4642018484934718E-5</v>
      </c>
      <c r="L451" s="228">
        <v>3.3945127347706265E-2</v>
      </c>
    </row>
    <row r="452" spans="1:12" s="212" customFormat="1" ht="15.5" x14ac:dyDescent="0.35">
      <c r="A452" s="198" t="s">
        <v>810</v>
      </c>
      <c r="B452" s="197">
        <v>2036</v>
      </c>
      <c r="C452" s="213" t="s">
        <v>3699</v>
      </c>
      <c r="D452" s="239">
        <v>6.8986918822904362E-3</v>
      </c>
      <c r="E452" s="226">
        <v>4.1404427042379288E-2</v>
      </c>
      <c r="F452" s="226">
        <v>8.5903710822842958E-4</v>
      </c>
      <c r="G452" s="227">
        <v>7.909931023779821E-4</v>
      </c>
      <c r="H452" s="226">
        <v>2.0000005732018801E-3</v>
      </c>
      <c r="I452" s="255">
        <v>2.8190184098191321E-3</v>
      </c>
      <c r="J452" s="256">
        <v>2.9263520032651585E-5</v>
      </c>
      <c r="K452" s="257">
        <v>3.0586686553581152E-5</v>
      </c>
      <c r="L452" s="228">
        <v>3.3621759211132203E-2</v>
      </c>
    </row>
    <row r="453" spans="1:12" s="212" customFormat="1" ht="15.5" x14ac:dyDescent="0.35">
      <c r="A453" s="198" t="s">
        <v>810</v>
      </c>
      <c r="B453" s="197">
        <v>2037</v>
      </c>
      <c r="C453" s="213" t="s">
        <v>3700</v>
      </c>
      <c r="D453" s="239">
        <v>6.4120432898600137E-3</v>
      </c>
      <c r="E453" s="226">
        <v>3.9044437276353747E-2</v>
      </c>
      <c r="F453" s="226">
        <v>8.1060566483518283E-4</v>
      </c>
      <c r="G453" s="227">
        <v>7.4631123755261998E-4</v>
      </c>
      <c r="H453" s="226">
        <v>2.0000005732018701E-3</v>
      </c>
      <c r="I453" s="255">
        <v>2.8173007084928794E-3</v>
      </c>
      <c r="J453" s="256">
        <v>2.5389566308135179E-5</v>
      </c>
      <c r="K453" s="257">
        <v>2.6537569832057198E-5</v>
      </c>
      <c r="L453" s="228">
        <v>3.3339236820730304E-2</v>
      </c>
    </row>
    <row r="454" spans="1:12" s="212" customFormat="1" ht="15.5" x14ac:dyDescent="0.35">
      <c r="A454" s="198" t="s">
        <v>810</v>
      </c>
      <c r="B454" s="197">
        <v>2038</v>
      </c>
      <c r="C454" s="213" t="s">
        <v>3701</v>
      </c>
      <c r="D454" s="239">
        <v>5.9516426259239768E-3</v>
      </c>
      <c r="E454" s="226">
        <v>3.6805623900877174E-2</v>
      </c>
      <c r="F454" s="226">
        <v>7.6610745850786007E-4</v>
      </c>
      <c r="G454" s="227">
        <v>7.0529769361287007E-4</v>
      </c>
      <c r="H454" s="226">
        <v>2.0000005732018745E-3</v>
      </c>
      <c r="I454" s="255">
        <v>2.8156201622558451E-3</v>
      </c>
      <c r="J454" s="256">
        <v>2.2846484447834673E-5</v>
      </c>
      <c r="K454" s="257">
        <v>2.3879501094792511E-5</v>
      </c>
      <c r="L454" s="228">
        <v>3.3096366790694762E-2</v>
      </c>
    </row>
    <row r="455" spans="1:12" s="212" customFormat="1" ht="15.5" x14ac:dyDescent="0.35">
      <c r="A455" s="198" t="s">
        <v>810</v>
      </c>
      <c r="B455" s="197">
        <v>2039</v>
      </c>
      <c r="C455" s="213" t="s">
        <v>3702</v>
      </c>
      <c r="D455" s="239">
        <v>5.498448969076467E-3</v>
      </c>
      <c r="E455" s="226">
        <v>3.465145578700813E-2</v>
      </c>
      <c r="F455" s="226">
        <v>7.243640810535492E-4</v>
      </c>
      <c r="G455" s="227">
        <v>6.6681683693886314E-4</v>
      </c>
      <c r="H455" s="226">
        <v>2.0000005732018805E-3</v>
      </c>
      <c r="I455" s="255">
        <v>2.8140122879109215E-3</v>
      </c>
      <c r="J455" s="256">
        <v>2.0296313924328667E-5</v>
      </c>
      <c r="K455" s="257">
        <v>2.1214023176427625E-5</v>
      </c>
      <c r="L455" s="228">
        <v>3.2886799535435371E-2</v>
      </c>
    </row>
    <row r="456" spans="1:12" s="212" customFormat="1" ht="15.5" x14ac:dyDescent="0.35">
      <c r="A456" s="198" t="s">
        <v>810</v>
      </c>
      <c r="B456" s="197">
        <v>2040</v>
      </c>
      <c r="C456" s="213" t="s">
        <v>3703</v>
      </c>
      <c r="D456" s="239">
        <v>5.0952246443673622E-3</v>
      </c>
      <c r="E456" s="226">
        <v>3.281639534745396E-2</v>
      </c>
      <c r="F456" s="226">
        <v>6.8689439545697095E-4</v>
      </c>
      <c r="G456" s="227">
        <v>6.3228959560574242E-4</v>
      </c>
      <c r="H456" s="226">
        <v>2.0000005732018797E-3</v>
      </c>
      <c r="I456" s="255">
        <v>2.8125709615963801E-3</v>
      </c>
      <c r="J456" s="256">
        <v>1.8365025690226389E-5</v>
      </c>
      <c r="K456" s="257">
        <v>1.9195410658343876E-5</v>
      </c>
      <c r="L456" s="228">
        <v>3.2707503181797402E-2</v>
      </c>
    </row>
    <row r="457" spans="1:12" s="212" customFormat="1" ht="15.5" x14ac:dyDescent="0.35">
      <c r="A457" s="198" t="s">
        <v>810</v>
      </c>
      <c r="B457" s="197">
        <v>2041</v>
      </c>
      <c r="C457" s="213" t="s">
        <v>3704</v>
      </c>
      <c r="D457" s="239">
        <v>4.767992911124703E-3</v>
      </c>
      <c r="E457" s="226">
        <v>3.1257882713556888E-2</v>
      </c>
      <c r="F457" s="226">
        <v>6.5859396577105911E-4</v>
      </c>
      <c r="G457" s="227">
        <v>6.0620262610491284E-4</v>
      </c>
      <c r="H457" s="226">
        <v>2.0000005732018801E-3</v>
      </c>
      <c r="I457" s="255">
        <v>2.8112838641556055E-3</v>
      </c>
      <c r="J457" s="256">
        <v>1.6677032788651033E-5</v>
      </c>
      <c r="K457" s="257">
        <v>1.7431094208116856E-5</v>
      </c>
      <c r="L457" s="228">
        <v>3.2557132120434706E-2</v>
      </c>
    </row>
    <row r="458" spans="1:12" s="212" customFormat="1" ht="15.5" x14ac:dyDescent="0.35">
      <c r="A458" s="198" t="s">
        <v>810</v>
      </c>
      <c r="B458" s="197">
        <v>2042</v>
      </c>
      <c r="C458" s="213" t="s">
        <v>3705</v>
      </c>
      <c r="D458" s="239">
        <v>4.4714940570990437E-3</v>
      </c>
      <c r="E458" s="226">
        <v>2.9753018323394061E-2</v>
      </c>
      <c r="F458" s="226">
        <v>6.3345205937376887E-4</v>
      </c>
      <c r="G458" s="227">
        <v>5.8303069082170768E-4</v>
      </c>
      <c r="H458" s="226">
        <v>2.0000005732018758E-3</v>
      </c>
      <c r="I458" s="255">
        <v>2.8100231314484385E-3</v>
      </c>
      <c r="J458" s="256">
        <v>1.5268501922665672E-5</v>
      </c>
      <c r="K458" s="257">
        <v>1.5958875826634777E-5</v>
      </c>
      <c r="L458" s="228">
        <v>3.2428833852451835E-2</v>
      </c>
    </row>
    <row r="459" spans="1:12" s="212" customFormat="1" ht="15.5" x14ac:dyDescent="0.35">
      <c r="A459" s="198" t="s">
        <v>810</v>
      </c>
      <c r="B459" s="197">
        <v>2043</v>
      </c>
      <c r="C459" s="213" t="s">
        <v>3706</v>
      </c>
      <c r="D459" s="239">
        <v>4.2407876302123062E-3</v>
      </c>
      <c r="E459" s="226">
        <v>2.8466697453280371E-2</v>
      </c>
      <c r="F459" s="226">
        <v>6.1125243294742667E-4</v>
      </c>
      <c r="G459" s="227">
        <v>5.625695987846581E-4</v>
      </c>
      <c r="H459" s="226">
        <v>2.0000005732018801E-3</v>
      </c>
      <c r="I459" s="255">
        <v>2.808902020444756E-3</v>
      </c>
      <c r="J459" s="256">
        <v>1.4001783511304358E-5</v>
      </c>
      <c r="K459" s="257">
        <v>1.46348820296914E-5</v>
      </c>
      <c r="L459" s="228">
        <v>3.2321930531124823E-2</v>
      </c>
    </row>
    <row r="460" spans="1:12" s="212" customFormat="1" ht="15.5" x14ac:dyDescent="0.35">
      <c r="A460" s="198" t="s">
        <v>810</v>
      </c>
      <c r="B460" s="197">
        <v>2044</v>
      </c>
      <c r="C460" s="213" t="s">
        <v>3707</v>
      </c>
      <c r="D460" s="239">
        <v>4.0691100265391059E-3</v>
      </c>
      <c r="E460" s="226">
        <v>2.7304727365801404E-2</v>
      </c>
      <c r="F460" s="226">
        <v>5.9178830720564395E-4</v>
      </c>
      <c r="G460" s="227">
        <v>5.4463313383780053E-4</v>
      </c>
      <c r="H460" s="226">
        <v>2.0000005732018801E-3</v>
      </c>
      <c r="I460" s="255">
        <v>2.8078722269129514E-3</v>
      </c>
      <c r="J460" s="256">
        <v>1.2977223470530595E-5</v>
      </c>
      <c r="K460" s="257">
        <v>1.3563995930291726E-5</v>
      </c>
      <c r="L460" s="228">
        <v>3.2230780236265764E-2</v>
      </c>
    </row>
    <row r="461" spans="1:12" s="212" customFormat="1" ht="15.5" x14ac:dyDescent="0.35">
      <c r="A461" s="198" t="s">
        <v>810</v>
      </c>
      <c r="B461" s="197">
        <v>2045</v>
      </c>
      <c r="C461" s="213" t="s">
        <v>3708</v>
      </c>
      <c r="D461" s="239">
        <v>3.946055191955883E-3</v>
      </c>
      <c r="E461" s="226">
        <v>2.6238395808485703E-2</v>
      </c>
      <c r="F461" s="226">
        <v>5.7460645925061613E-4</v>
      </c>
      <c r="G461" s="227">
        <v>5.2880011460290828E-4</v>
      </c>
      <c r="H461" s="226">
        <v>2.0000005732018766E-3</v>
      </c>
      <c r="I461" s="255">
        <v>2.8069545453533531E-3</v>
      </c>
      <c r="J461" s="256">
        <v>1.2080362748134725E-5</v>
      </c>
      <c r="K461" s="257">
        <v>1.2626583145789594E-5</v>
      </c>
      <c r="L461" s="228">
        <v>3.2152181606224794E-2</v>
      </c>
    </row>
    <row r="462" spans="1:12" s="212" customFormat="1" ht="15.5" x14ac:dyDescent="0.35">
      <c r="A462" s="198" t="s">
        <v>810</v>
      </c>
      <c r="B462" s="197">
        <v>2046</v>
      </c>
      <c r="C462" s="213" t="s">
        <v>3709</v>
      </c>
      <c r="D462" s="239">
        <v>3.8355942439789988E-3</v>
      </c>
      <c r="E462" s="226">
        <v>2.5272480864138299E-2</v>
      </c>
      <c r="F462" s="226">
        <v>5.5968500419001756E-4</v>
      </c>
      <c r="G462" s="227">
        <v>5.1504919023100278E-4</v>
      </c>
      <c r="H462" s="226">
        <v>2.0000005732018766E-3</v>
      </c>
      <c r="I462" s="255">
        <v>2.80615912470487E-3</v>
      </c>
      <c r="J462" s="256">
        <v>1.1279671370774069E-5</v>
      </c>
      <c r="K462" s="257">
        <v>1.1789688057360091E-5</v>
      </c>
      <c r="L462" s="228">
        <v>3.2083857485688906E-2</v>
      </c>
    </row>
    <row r="463" spans="1:12" s="212" customFormat="1" ht="15.5" x14ac:dyDescent="0.35">
      <c r="A463" s="198" t="s">
        <v>810</v>
      </c>
      <c r="B463" s="197">
        <v>2047</v>
      </c>
      <c r="C463" s="213" t="s">
        <v>3710</v>
      </c>
      <c r="D463" s="239">
        <v>3.7325035609968951E-3</v>
      </c>
      <c r="E463" s="226">
        <v>2.4357883229003129E-2</v>
      </c>
      <c r="F463" s="226">
        <v>5.4653516366441265E-4</v>
      </c>
      <c r="G463" s="227">
        <v>5.0292915584956659E-4</v>
      </c>
      <c r="H463" s="226">
        <v>2.0000005732018797E-3</v>
      </c>
      <c r="I463" s="255">
        <v>2.8054238184483625E-3</v>
      </c>
      <c r="J463" s="256">
        <v>1.0529177029948948E-5</v>
      </c>
      <c r="K463" s="257">
        <v>1.1005259692712127E-5</v>
      </c>
      <c r="L463" s="228">
        <v>3.2026457454683251E-2</v>
      </c>
    </row>
    <row r="464" spans="1:12" s="212" customFormat="1" ht="15.5" x14ac:dyDescent="0.35">
      <c r="A464" s="198" t="s">
        <v>810</v>
      </c>
      <c r="B464" s="197">
        <v>2048</v>
      </c>
      <c r="C464" s="213" t="s">
        <v>3711</v>
      </c>
      <c r="D464" s="239">
        <v>3.6430183764402054E-3</v>
      </c>
      <c r="E464" s="226">
        <v>2.3545720455541964E-2</v>
      </c>
      <c r="F464" s="226">
        <v>5.3496722239948264E-4</v>
      </c>
      <c r="G464" s="227">
        <v>4.9226308749458943E-4</v>
      </c>
      <c r="H464" s="226">
        <v>2.0000005732018801E-3</v>
      </c>
      <c r="I464" s="255">
        <v>2.8047534279101367E-3</v>
      </c>
      <c r="J464" s="256">
        <v>9.7650299102534365E-6</v>
      </c>
      <c r="K464" s="257">
        <v>1.0206561231116636E-5</v>
      </c>
      <c r="L464" s="228">
        <v>3.1977939201349233E-2</v>
      </c>
    </row>
    <row r="465" spans="1:12" s="212" customFormat="1" ht="15.5" x14ac:dyDescent="0.35">
      <c r="A465" s="198" t="s">
        <v>810</v>
      </c>
      <c r="B465" s="197">
        <v>2049</v>
      </c>
      <c r="C465" s="213" t="s">
        <v>3712</v>
      </c>
      <c r="D465" s="239">
        <v>3.6242212705643933E-3</v>
      </c>
      <c r="E465" s="226">
        <v>2.3464462329031762E-2</v>
      </c>
      <c r="F465" s="226">
        <v>5.2818365070815879E-4</v>
      </c>
      <c r="G465" s="227">
        <v>4.8600624573128215E-4</v>
      </c>
      <c r="H465" s="226">
        <v>2.0000005732018801E-3</v>
      </c>
      <c r="I465" s="255">
        <v>2.8041294358852891E-3</v>
      </c>
      <c r="J465" s="256">
        <v>9.2620384102749831E-6</v>
      </c>
      <c r="K465" s="257">
        <v>9.6808266875008816E-6</v>
      </c>
      <c r="L465" s="228">
        <v>3.1935257999175043E-2</v>
      </c>
    </row>
    <row r="466" spans="1:12" s="212" customFormat="1" ht="15.5" x14ac:dyDescent="0.35">
      <c r="A466" s="198" t="s">
        <v>810</v>
      </c>
      <c r="B466" s="197">
        <v>2050</v>
      </c>
      <c r="C466" s="213" t="s">
        <v>3713</v>
      </c>
      <c r="D466" s="239">
        <v>3.6089591203376618E-3</v>
      </c>
      <c r="E466" s="226">
        <v>2.3395383096901957E-2</v>
      </c>
      <c r="F466" s="226">
        <v>5.2240040742717968E-4</v>
      </c>
      <c r="G466" s="227">
        <v>4.8066741527033781E-4</v>
      </c>
      <c r="H466" s="226">
        <v>2.0000005732018805E-3</v>
      </c>
      <c r="I466" s="255">
        <v>2.8036134675500776E-3</v>
      </c>
      <c r="J466" s="256">
        <v>8.714036212031361E-6</v>
      </c>
      <c r="K466" s="257">
        <v>9.1080462615764363E-6</v>
      </c>
      <c r="L466" s="228">
        <v>3.1901140210479996E-2</v>
      </c>
    </row>
    <row r="467" spans="1:12" s="212" customFormat="1" ht="15.5" x14ac:dyDescent="0.35">
      <c r="A467" s="198" t="s">
        <v>812</v>
      </c>
      <c r="B467" s="197">
        <v>2015</v>
      </c>
      <c r="C467" s="213" t="s">
        <v>883</v>
      </c>
      <c r="D467" s="239">
        <v>6.4347127526634601E-2</v>
      </c>
      <c r="E467" s="226">
        <v>0.26758670684562424</v>
      </c>
      <c r="F467" s="226">
        <v>2.1899272337119603E-3</v>
      </c>
      <c r="G467" s="227">
        <v>2.0266283063323396E-3</v>
      </c>
      <c r="H467" s="226">
        <v>2.0000005732018797E-3</v>
      </c>
      <c r="I467" s="255">
        <v>1.9317343620378284E-3</v>
      </c>
      <c r="J467" s="256">
        <v>1.8260549506686442E-4</v>
      </c>
      <c r="K467" s="257">
        <v>1.908621052539045E-4</v>
      </c>
      <c r="L467" s="228">
        <v>4.6338810605438936E-2</v>
      </c>
    </row>
    <row r="468" spans="1:12" s="212" customFormat="1" ht="15.5" x14ac:dyDescent="0.35">
      <c r="A468" s="198" t="s">
        <v>812</v>
      </c>
      <c r="B468" s="197">
        <v>2016</v>
      </c>
      <c r="C468" s="213" t="s">
        <v>884</v>
      </c>
      <c r="D468" s="239">
        <v>5.7000717578603317E-2</v>
      </c>
      <c r="E468" s="226">
        <v>0.24557519376276199</v>
      </c>
      <c r="F468" s="226">
        <v>2.1127505791712765E-3</v>
      </c>
      <c r="G468" s="227">
        <v>1.9534319233067746E-3</v>
      </c>
      <c r="H468" s="226">
        <v>2.0000005732018805E-3</v>
      </c>
      <c r="I468" s="255">
        <v>1.9275586748648517E-3</v>
      </c>
      <c r="J468" s="256">
        <v>1.6247719906634331E-4</v>
      </c>
      <c r="K468" s="257">
        <v>1.6982369702623075E-4</v>
      </c>
      <c r="L468" s="228">
        <v>4.5476588026468069E-2</v>
      </c>
    </row>
    <row r="469" spans="1:12" s="212" customFormat="1" ht="15.5" x14ac:dyDescent="0.35">
      <c r="A469" s="198" t="s">
        <v>812</v>
      </c>
      <c r="B469" s="197">
        <v>2017</v>
      </c>
      <c r="C469" s="213" t="s">
        <v>3714</v>
      </c>
      <c r="D469" s="239">
        <v>4.6084688349391577E-2</v>
      </c>
      <c r="E469" s="226">
        <v>0.20845396904735025</v>
      </c>
      <c r="F469" s="226">
        <v>1.9710902472176439E-3</v>
      </c>
      <c r="G469" s="227">
        <v>1.8206836288703163E-3</v>
      </c>
      <c r="H469" s="226">
        <v>2.0000005732018805E-3</v>
      </c>
      <c r="I469" s="255">
        <v>1.9282807327530261E-3</v>
      </c>
      <c r="J469" s="256">
        <v>1.4010789457603298E-4</v>
      </c>
      <c r="K469" s="257">
        <v>1.4644295184918692E-4</v>
      </c>
      <c r="L469" s="228">
        <v>4.5176530185420526E-2</v>
      </c>
    </row>
    <row r="470" spans="1:12" s="212" customFormat="1" ht="15.5" x14ac:dyDescent="0.35">
      <c r="A470" s="198" t="s">
        <v>812</v>
      </c>
      <c r="B470" s="197">
        <v>2018</v>
      </c>
      <c r="C470" s="213" t="s">
        <v>3715</v>
      </c>
      <c r="D470" s="239">
        <v>3.9314341867539661E-2</v>
      </c>
      <c r="E470" s="226">
        <v>0.18365063986778665</v>
      </c>
      <c r="F470" s="226">
        <v>1.9122744100918505E-3</v>
      </c>
      <c r="G470" s="227">
        <v>1.7649744997730414E-3</v>
      </c>
      <c r="H470" s="226">
        <v>2.0000005732018801E-3</v>
      </c>
      <c r="I470" s="255">
        <v>1.9418890231866074E-3</v>
      </c>
      <c r="J470" s="256">
        <v>1.2286611704008513E-4</v>
      </c>
      <c r="K470" s="257">
        <v>1.2842157764231807E-4</v>
      </c>
      <c r="L470" s="228">
        <v>4.4655513803199147E-2</v>
      </c>
    </row>
    <row r="471" spans="1:12" s="212" customFormat="1" ht="15.5" x14ac:dyDescent="0.35">
      <c r="A471" s="198" t="s">
        <v>812</v>
      </c>
      <c r="B471" s="197">
        <v>2019</v>
      </c>
      <c r="C471" s="213" t="s">
        <v>3716</v>
      </c>
      <c r="D471" s="239">
        <v>3.3971049553587283E-2</v>
      </c>
      <c r="E471" s="226">
        <v>0.16084802565343612</v>
      </c>
      <c r="F471" s="226">
        <v>1.8843359736013081E-3</v>
      </c>
      <c r="G471" s="227">
        <v>1.7375690697335119E-3</v>
      </c>
      <c r="H471" s="226">
        <v>2.0000005732018801E-3</v>
      </c>
      <c r="I471" s="255">
        <v>2.0875222524087121E-3</v>
      </c>
      <c r="J471" s="256">
        <v>9.8896780887778278E-5</v>
      </c>
      <c r="K471" s="257">
        <v>1.0336845447155799E-4</v>
      </c>
      <c r="L471" s="228">
        <v>4.388816068388255E-2</v>
      </c>
    </row>
    <row r="472" spans="1:12" s="212" customFormat="1" ht="15.5" x14ac:dyDescent="0.35">
      <c r="A472" s="198" t="s">
        <v>812</v>
      </c>
      <c r="B472" s="197">
        <v>2020</v>
      </c>
      <c r="C472" s="213" t="s">
        <v>3717</v>
      </c>
      <c r="D472" s="239">
        <v>3.0121259880223759E-2</v>
      </c>
      <c r="E472" s="226">
        <v>0.1446632085220165</v>
      </c>
      <c r="F472" s="226">
        <v>1.8290630743718487E-3</v>
      </c>
      <c r="G472" s="227">
        <v>1.6862666035379107E-3</v>
      </c>
      <c r="H472" s="226">
        <v>2.0000005732018801E-3</v>
      </c>
      <c r="I472" s="255">
        <v>2.091189633813256E-3</v>
      </c>
      <c r="J472" s="256">
        <v>9.2523932318906696E-5</v>
      </c>
      <c r="K472" s="257">
        <v>9.6707453969498638E-5</v>
      </c>
      <c r="L472" s="228">
        <v>4.3551015043128104E-2</v>
      </c>
    </row>
    <row r="473" spans="1:12" s="212" customFormat="1" ht="15.5" x14ac:dyDescent="0.35">
      <c r="A473" s="198" t="s">
        <v>812</v>
      </c>
      <c r="B473" s="197">
        <v>2021</v>
      </c>
      <c r="C473" s="213" t="s">
        <v>3718</v>
      </c>
      <c r="D473" s="239">
        <v>2.6243462450672751E-2</v>
      </c>
      <c r="E473" s="226">
        <v>0.12810728774951927</v>
      </c>
      <c r="F473" s="226">
        <v>1.7335638995624862E-3</v>
      </c>
      <c r="G473" s="227">
        <v>1.597895563111269E-3</v>
      </c>
      <c r="H473" s="226">
        <v>2.0000005732018801E-3</v>
      </c>
      <c r="I473" s="255">
        <v>2.0927472592813744E-3</v>
      </c>
      <c r="J473" s="256">
        <v>8.4832475047564169E-5</v>
      </c>
      <c r="K473" s="257">
        <v>8.8668223130682197E-5</v>
      </c>
      <c r="L473" s="228">
        <v>4.2761461101825202E-2</v>
      </c>
    </row>
    <row r="474" spans="1:12" s="212" customFormat="1" ht="15.5" x14ac:dyDescent="0.35">
      <c r="A474" s="198" t="s">
        <v>812</v>
      </c>
      <c r="B474" s="197">
        <v>2022</v>
      </c>
      <c r="C474" s="213" t="s">
        <v>3719</v>
      </c>
      <c r="D474" s="239">
        <v>2.1861560245730934E-2</v>
      </c>
      <c r="E474" s="226">
        <v>0.11147930025977436</v>
      </c>
      <c r="F474" s="226">
        <v>1.6346883276805498E-3</v>
      </c>
      <c r="G474" s="227">
        <v>1.5062559893748273E-3</v>
      </c>
      <c r="H474" s="226">
        <v>2.0000005732018801E-3</v>
      </c>
      <c r="I474" s="255">
        <v>2.0918434444598391E-3</v>
      </c>
      <c r="J474" s="256">
        <v>7.7847468583436486E-5</v>
      </c>
      <c r="K474" s="257">
        <v>8.1367385669753927E-5</v>
      </c>
      <c r="L474" s="228">
        <v>4.2081388554232727E-2</v>
      </c>
    </row>
    <row r="475" spans="1:12" s="212" customFormat="1" ht="15.5" x14ac:dyDescent="0.35">
      <c r="A475" s="198" t="s">
        <v>812</v>
      </c>
      <c r="B475" s="197">
        <v>2023</v>
      </c>
      <c r="C475" s="213" t="s">
        <v>3720</v>
      </c>
      <c r="D475" s="239">
        <v>1.9053208470737295E-2</v>
      </c>
      <c r="E475" s="226">
        <v>9.8011306512540614E-2</v>
      </c>
      <c r="F475" s="226">
        <v>1.5432358624914804E-3</v>
      </c>
      <c r="G475" s="227">
        <v>1.4217857825123297E-3</v>
      </c>
      <c r="H475" s="226">
        <v>2.000000573201881E-3</v>
      </c>
      <c r="I475" s="255">
        <v>2.0997689827049553E-3</v>
      </c>
      <c r="J475" s="256">
        <v>7.0135478751789858E-5</v>
      </c>
      <c r="K475" s="257">
        <v>7.3306693879368127E-5</v>
      </c>
      <c r="L475" s="228">
        <v>4.1351119756193135E-2</v>
      </c>
    </row>
    <row r="476" spans="1:12" s="212" customFormat="1" ht="15.5" x14ac:dyDescent="0.35">
      <c r="A476" s="198" t="s">
        <v>812</v>
      </c>
      <c r="B476" s="197">
        <v>2024</v>
      </c>
      <c r="C476" s="213" t="s">
        <v>3721</v>
      </c>
      <c r="D476" s="239">
        <v>1.6681627888192573E-2</v>
      </c>
      <c r="E476" s="226">
        <v>8.6485598120725288E-2</v>
      </c>
      <c r="F476" s="226">
        <v>1.4621787121780892E-3</v>
      </c>
      <c r="G476" s="227">
        <v>1.3467431893133632E-3</v>
      </c>
      <c r="H476" s="226">
        <v>2.0000005732018805E-3</v>
      </c>
      <c r="I476" s="255">
        <v>2.1369080404351876E-3</v>
      </c>
      <c r="J476" s="256">
        <v>5.885199171078557E-5</v>
      </c>
      <c r="K476" s="257">
        <v>6.1513017624101796E-5</v>
      </c>
      <c r="L476" s="228">
        <v>4.0582352445999739E-2</v>
      </c>
    </row>
    <row r="477" spans="1:12" s="212" customFormat="1" ht="15.5" x14ac:dyDescent="0.35">
      <c r="A477" s="198" t="s">
        <v>812</v>
      </c>
      <c r="B477" s="197">
        <v>2025</v>
      </c>
      <c r="C477" s="213" t="s">
        <v>3722</v>
      </c>
      <c r="D477" s="239">
        <v>1.4780661558175773E-2</v>
      </c>
      <c r="E477" s="226">
        <v>7.7192255090642883E-2</v>
      </c>
      <c r="F477" s="226">
        <v>1.3990420771983082E-3</v>
      </c>
      <c r="G477" s="227">
        <v>1.2884416380172545E-3</v>
      </c>
      <c r="H477" s="226">
        <v>2.0000005732018801E-3</v>
      </c>
      <c r="I477" s="255">
        <v>2.1364443985486307E-3</v>
      </c>
      <c r="J477" s="256">
        <v>5.3167245300387785E-5</v>
      </c>
      <c r="K477" s="257">
        <v>5.5571232206714537E-5</v>
      </c>
      <c r="L477" s="228">
        <v>3.9786204424157992E-2</v>
      </c>
    </row>
    <row r="478" spans="1:12" s="212" customFormat="1" ht="15.5" x14ac:dyDescent="0.35">
      <c r="A478" s="198" t="s">
        <v>812</v>
      </c>
      <c r="B478" s="197">
        <v>2026</v>
      </c>
      <c r="C478" s="213" t="s">
        <v>3723</v>
      </c>
      <c r="D478" s="239">
        <v>1.3225243710900459E-2</v>
      </c>
      <c r="E478" s="226">
        <v>6.9435869146948409E-2</v>
      </c>
      <c r="F478" s="226">
        <v>1.3379626340346356E-3</v>
      </c>
      <c r="G478" s="227">
        <v>1.2319434246236035E-3</v>
      </c>
      <c r="H478" s="226">
        <v>2.0000005732018797E-3</v>
      </c>
      <c r="I478" s="255">
        <v>2.1186428954029319E-3</v>
      </c>
      <c r="J478" s="256">
        <v>4.4541361570557158E-5</v>
      </c>
      <c r="K478" s="257">
        <v>4.6555324291412988E-5</v>
      </c>
      <c r="L478" s="228">
        <v>3.8992975865657344E-2</v>
      </c>
    </row>
    <row r="479" spans="1:12" s="212" customFormat="1" ht="15.5" x14ac:dyDescent="0.35">
      <c r="A479" s="198" t="s">
        <v>812</v>
      </c>
      <c r="B479" s="197">
        <v>2027</v>
      </c>
      <c r="C479" s="213" t="s">
        <v>3724</v>
      </c>
      <c r="D479" s="239">
        <v>1.1868932339114513E-2</v>
      </c>
      <c r="E479" s="226">
        <v>6.2872853770591583E-2</v>
      </c>
      <c r="F479" s="226">
        <v>1.2641285515945582E-3</v>
      </c>
      <c r="G479" s="227">
        <v>1.1636769474042995E-3</v>
      </c>
      <c r="H479" s="226">
        <v>2.0000005732018797E-3</v>
      </c>
      <c r="I479" s="255">
        <v>1.9869147643067505E-3</v>
      </c>
      <c r="J479" s="256">
        <v>3.4838465611567979E-5</v>
      </c>
      <c r="K479" s="257">
        <v>3.6413706433121485E-5</v>
      </c>
      <c r="L479" s="228">
        <v>3.8220181592515001E-2</v>
      </c>
    </row>
    <row r="480" spans="1:12" s="212" customFormat="1" ht="15.5" x14ac:dyDescent="0.35">
      <c r="A480" s="198" t="s">
        <v>812</v>
      </c>
      <c r="B480" s="197">
        <v>2028</v>
      </c>
      <c r="C480" s="213" t="s">
        <v>3725</v>
      </c>
      <c r="D480" s="239">
        <v>1.0776523809768585E-2</v>
      </c>
      <c r="E480" s="226">
        <v>5.7231784736772581E-2</v>
      </c>
      <c r="F480" s="226">
        <v>1.1889765752100404E-3</v>
      </c>
      <c r="G480" s="227">
        <v>1.0943106018364277E-3</v>
      </c>
      <c r="H480" s="226">
        <v>2.0000005732018801E-3</v>
      </c>
      <c r="I480" s="255">
        <v>1.9868666787900644E-3</v>
      </c>
      <c r="J480" s="256">
        <v>2.7988935922757759E-5</v>
      </c>
      <c r="K480" s="257">
        <v>2.9254471406121165E-5</v>
      </c>
      <c r="L480" s="228">
        <v>3.7482591596669217E-2</v>
      </c>
    </row>
    <row r="481" spans="1:12" s="212" customFormat="1" ht="15.5" x14ac:dyDescent="0.35">
      <c r="A481" s="198" t="s">
        <v>812</v>
      </c>
      <c r="B481" s="197">
        <v>2029</v>
      </c>
      <c r="C481" s="213" t="s">
        <v>3726</v>
      </c>
      <c r="D481" s="239">
        <v>9.7626418209543538E-3</v>
      </c>
      <c r="E481" s="226">
        <v>5.2120784654063751E-2</v>
      </c>
      <c r="F481" s="226">
        <v>1.1153128834256692E-3</v>
      </c>
      <c r="G481" s="227">
        <v>1.0263662142728292E-3</v>
      </c>
      <c r="H481" s="226">
        <v>2.0000005732018801E-3</v>
      </c>
      <c r="I481" s="255">
        <v>1.9869274247919047E-3</v>
      </c>
      <c r="J481" s="256">
        <v>2.2513413034824465E-5</v>
      </c>
      <c r="K481" s="257">
        <v>2.3531369670468477E-5</v>
      </c>
      <c r="L481" s="228">
        <v>3.6784728086228242E-2</v>
      </c>
    </row>
    <row r="482" spans="1:12" s="212" customFormat="1" ht="15.5" x14ac:dyDescent="0.35">
      <c r="A482" s="198" t="s">
        <v>812</v>
      </c>
      <c r="B482" s="197">
        <v>2030</v>
      </c>
      <c r="C482" s="213" t="s">
        <v>3727</v>
      </c>
      <c r="D482" s="239">
        <v>8.9403548238842032E-3</v>
      </c>
      <c r="E482" s="226">
        <v>4.7806900481844744E-2</v>
      </c>
      <c r="F482" s="226">
        <v>1.0455594111977275E-3</v>
      </c>
      <c r="G482" s="227">
        <v>9.620271446828967E-4</v>
      </c>
      <c r="H482" s="226">
        <v>2.0000005732018805E-3</v>
      </c>
      <c r="I482" s="255">
        <v>1.9871113490698461E-3</v>
      </c>
      <c r="J482" s="256">
        <v>1.7294940717880635E-5</v>
      </c>
      <c r="K482" s="257">
        <v>1.8076941191980392E-5</v>
      </c>
      <c r="L482" s="228">
        <v>3.6127770485101407E-2</v>
      </c>
    </row>
    <row r="483" spans="1:12" s="212" customFormat="1" ht="15.5" x14ac:dyDescent="0.35">
      <c r="A483" s="198" t="s">
        <v>812</v>
      </c>
      <c r="B483" s="197">
        <v>2031</v>
      </c>
      <c r="C483" s="213" t="s">
        <v>3728</v>
      </c>
      <c r="D483" s="239">
        <v>8.2364586149216001E-3</v>
      </c>
      <c r="E483" s="226">
        <v>4.4119249752633968E-2</v>
      </c>
      <c r="F483" s="226">
        <v>9.8298470539340309E-4</v>
      </c>
      <c r="G483" s="227">
        <v>9.0441736737027626E-4</v>
      </c>
      <c r="H483" s="226">
        <v>2.0000005732018805E-3</v>
      </c>
      <c r="I483" s="255">
        <v>1.9873164215602414E-3</v>
      </c>
      <c r="J483" s="256">
        <v>1.537913917956657E-5</v>
      </c>
      <c r="K483" s="257">
        <v>1.6074515609347192E-5</v>
      </c>
      <c r="L483" s="228">
        <v>3.5512522043501346E-2</v>
      </c>
    </row>
    <row r="484" spans="1:12" s="212" customFormat="1" ht="15.5" x14ac:dyDescent="0.35">
      <c r="A484" s="198" t="s">
        <v>812</v>
      </c>
      <c r="B484" s="197">
        <v>2032</v>
      </c>
      <c r="C484" s="213" t="s">
        <v>3729</v>
      </c>
      <c r="D484" s="239">
        <v>7.6255803463280807E-3</v>
      </c>
      <c r="E484" s="226">
        <v>4.0909706653437884E-2</v>
      </c>
      <c r="F484" s="226">
        <v>9.253266960787918E-4</v>
      </c>
      <c r="G484" s="227">
        <v>8.5132949356056715E-4</v>
      </c>
      <c r="H484" s="226">
        <v>2.0000005732018805E-3</v>
      </c>
      <c r="I484" s="255">
        <v>1.9980191344473844E-3</v>
      </c>
      <c r="J484" s="256">
        <v>1.3493688828354271E-5</v>
      </c>
      <c r="K484" s="257">
        <v>1.410381355981507E-5</v>
      </c>
      <c r="L484" s="228">
        <v>3.4938581984070231E-2</v>
      </c>
    </row>
    <row r="485" spans="1:12" s="212" customFormat="1" ht="15.5" x14ac:dyDescent="0.35">
      <c r="A485" s="198" t="s">
        <v>812</v>
      </c>
      <c r="B485" s="197">
        <v>2033</v>
      </c>
      <c r="C485" s="213" t="s">
        <v>3730</v>
      </c>
      <c r="D485" s="239">
        <v>7.1209661395497947E-3</v>
      </c>
      <c r="E485" s="226">
        <v>3.8193173372147164E-2</v>
      </c>
      <c r="F485" s="226">
        <v>8.7491988667620581E-4</v>
      </c>
      <c r="G485" s="227">
        <v>8.0494334397291744E-4</v>
      </c>
      <c r="H485" s="226">
        <v>2.0000005732018805E-3</v>
      </c>
      <c r="I485" s="255">
        <v>2.0396812342642311E-3</v>
      </c>
      <c r="J485" s="256">
        <v>1.2494044962067302E-5</v>
      </c>
      <c r="K485" s="257">
        <v>1.305897023374857E-5</v>
      </c>
      <c r="L485" s="228">
        <v>3.4407018535176796E-2</v>
      </c>
    </row>
    <row r="486" spans="1:12" s="212" customFormat="1" ht="15.5" x14ac:dyDescent="0.35">
      <c r="A486" s="198" t="s">
        <v>812</v>
      </c>
      <c r="B486" s="197">
        <v>2034</v>
      </c>
      <c r="C486" s="213" t="s">
        <v>3731</v>
      </c>
      <c r="D486" s="239">
        <v>6.6029149286766058E-3</v>
      </c>
      <c r="E486" s="226">
        <v>3.571321447440938E-2</v>
      </c>
      <c r="F486" s="226">
        <v>8.2130561616382703E-4</v>
      </c>
      <c r="G486" s="227">
        <v>7.5560931822869748E-4</v>
      </c>
      <c r="H486" s="226">
        <v>2.0000005732018805E-3</v>
      </c>
      <c r="I486" s="255">
        <v>2.0397482574570037E-3</v>
      </c>
      <c r="J486" s="256">
        <v>1.152689196733848E-5</v>
      </c>
      <c r="K486" s="257">
        <v>1.204808687227596E-5</v>
      </c>
      <c r="L486" s="228">
        <v>3.3915716859460883E-2</v>
      </c>
    </row>
    <row r="487" spans="1:12" s="212" customFormat="1" ht="15.5" x14ac:dyDescent="0.35">
      <c r="A487" s="198" t="s">
        <v>812</v>
      </c>
      <c r="B487" s="197">
        <v>2035</v>
      </c>
      <c r="C487" s="213" t="s">
        <v>3732</v>
      </c>
      <c r="D487" s="239">
        <v>6.1510190241882414E-3</v>
      </c>
      <c r="E487" s="226">
        <v>3.3631740568200459E-2</v>
      </c>
      <c r="F487" s="226">
        <v>7.7183218664820228E-4</v>
      </c>
      <c r="G487" s="227">
        <v>7.1008675155188536E-4</v>
      </c>
      <c r="H487" s="226">
        <v>2.0000005732018805E-3</v>
      </c>
      <c r="I487" s="255">
        <v>2.0397960233367427E-3</v>
      </c>
      <c r="J487" s="256">
        <v>1.0665188610087494E-5</v>
      </c>
      <c r="K487" s="257">
        <v>1.1147421112962122E-5</v>
      </c>
      <c r="L487" s="228">
        <v>3.3468125095188546E-2</v>
      </c>
    </row>
    <row r="488" spans="1:12" s="212" customFormat="1" ht="15.5" x14ac:dyDescent="0.35">
      <c r="A488" s="198" t="s">
        <v>812</v>
      </c>
      <c r="B488" s="197">
        <v>2036</v>
      </c>
      <c r="C488" s="213" t="s">
        <v>3733</v>
      </c>
      <c r="D488" s="239">
        <v>5.7656336883990522E-3</v>
      </c>
      <c r="E488" s="226">
        <v>3.1841040424584244E-2</v>
      </c>
      <c r="F488" s="226">
        <v>7.3098343061141625E-4</v>
      </c>
      <c r="G488" s="227">
        <v>6.7249279639028197E-4</v>
      </c>
      <c r="H488" s="226">
        <v>1.9999523543506102E-3</v>
      </c>
      <c r="I488" s="255">
        <v>2.0436386988415146E-3</v>
      </c>
      <c r="J488" s="256">
        <v>9.7660807167209838E-6</v>
      </c>
      <c r="K488" s="257">
        <v>1.0207659550389758E-5</v>
      </c>
      <c r="L488" s="228">
        <v>3.3061395259602888E-2</v>
      </c>
    </row>
    <row r="489" spans="1:12" s="212" customFormat="1" ht="15.5" x14ac:dyDescent="0.35">
      <c r="A489" s="198" t="s">
        <v>812</v>
      </c>
      <c r="B489" s="197">
        <v>2037</v>
      </c>
      <c r="C489" s="213" t="s">
        <v>3734</v>
      </c>
      <c r="D489" s="239">
        <v>5.4146681570627865E-3</v>
      </c>
      <c r="E489" s="226">
        <v>3.0270739933370424E-2</v>
      </c>
      <c r="F489" s="226">
        <v>6.9218901789214074E-4</v>
      </c>
      <c r="G489" s="227">
        <v>6.3679133073878244E-4</v>
      </c>
      <c r="H489" s="226">
        <v>1.9999523543506102E-3</v>
      </c>
      <c r="I489" s="255">
        <v>2.0436182675630378E-3</v>
      </c>
      <c r="J489" s="256">
        <v>8.9592827823576278E-6</v>
      </c>
      <c r="K489" s="257">
        <v>9.3643817935473002E-6</v>
      </c>
      <c r="L489" s="228">
        <v>3.2698157354981827E-2</v>
      </c>
    </row>
    <row r="490" spans="1:12" s="212" customFormat="1" ht="15.5" x14ac:dyDescent="0.35">
      <c r="A490" s="198" t="s">
        <v>812</v>
      </c>
      <c r="B490" s="197">
        <v>2038</v>
      </c>
      <c r="C490" s="213" t="s">
        <v>3735</v>
      </c>
      <c r="D490" s="239">
        <v>5.1475014730712199E-3</v>
      </c>
      <c r="E490" s="226">
        <v>2.8922192908419009E-2</v>
      </c>
      <c r="F490" s="226">
        <v>6.633329887394307E-4</v>
      </c>
      <c r="G490" s="227">
        <v>6.1024079358423236E-4</v>
      </c>
      <c r="H490" s="226">
        <v>2.0000005732018801E-3</v>
      </c>
      <c r="I490" s="255">
        <v>2.058017821251337E-3</v>
      </c>
      <c r="J490" s="256">
        <v>8.4848951635513983E-6</v>
      </c>
      <c r="K490" s="257">
        <v>8.8685444716825399E-6</v>
      </c>
      <c r="L490" s="228">
        <v>3.2375428262590836E-2</v>
      </c>
    </row>
    <row r="491" spans="1:12" s="212" customFormat="1" ht="15.5" x14ac:dyDescent="0.35">
      <c r="A491" s="198" t="s">
        <v>812</v>
      </c>
      <c r="B491" s="197">
        <v>2039</v>
      </c>
      <c r="C491" s="213" t="s">
        <v>3736</v>
      </c>
      <c r="D491" s="239">
        <v>4.8221786007459719E-3</v>
      </c>
      <c r="E491" s="226">
        <v>2.7555942488857166E-2</v>
      </c>
      <c r="F491" s="226">
        <v>6.312816574643265E-4</v>
      </c>
      <c r="G491" s="227">
        <v>5.8075259313467107E-4</v>
      </c>
      <c r="H491" s="226">
        <v>2.000000573201881E-3</v>
      </c>
      <c r="I491" s="255">
        <v>2.0579505928700233E-3</v>
      </c>
      <c r="J491" s="256">
        <v>8.0181830347793768E-6</v>
      </c>
      <c r="K491" s="257">
        <v>8.3807296914518433E-6</v>
      </c>
      <c r="L491" s="228">
        <v>3.2088410039199128E-2</v>
      </c>
    </row>
    <row r="492" spans="1:12" s="212" customFormat="1" ht="15.5" x14ac:dyDescent="0.35">
      <c r="A492" s="198" t="s">
        <v>812</v>
      </c>
      <c r="B492" s="197">
        <v>2040</v>
      </c>
      <c r="C492" s="213" t="s">
        <v>3737</v>
      </c>
      <c r="D492" s="239">
        <v>4.5398600106932325E-3</v>
      </c>
      <c r="E492" s="226">
        <v>2.6412954778644571E-2</v>
      </c>
      <c r="F492" s="226">
        <v>6.0306062875309927E-4</v>
      </c>
      <c r="G492" s="227">
        <v>5.5478912632127579E-4</v>
      </c>
      <c r="H492" s="226">
        <v>2.0000005732018801E-3</v>
      </c>
      <c r="I492" s="255">
        <v>2.0579041249766733E-3</v>
      </c>
      <c r="J492" s="256">
        <v>7.6262039926581692E-6</v>
      </c>
      <c r="K492" s="257">
        <v>7.9710270964271329E-6</v>
      </c>
      <c r="L492" s="228">
        <v>3.1836825529863937E-2</v>
      </c>
    </row>
    <row r="493" spans="1:12" s="212" customFormat="1" ht="15.5" x14ac:dyDescent="0.35">
      <c r="A493" s="198" t="s">
        <v>812</v>
      </c>
      <c r="B493" s="197">
        <v>2041</v>
      </c>
      <c r="C493" s="213" t="s">
        <v>3738</v>
      </c>
      <c r="D493" s="239">
        <v>4.3205304375910965E-3</v>
      </c>
      <c r="E493" s="226">
        <v>2.5464873863079641E-2</v>
      </c>
      <c r="F493" s="226">
        <v>5.8189768768247482E-4</v>
      </c>
      <c r="G493" s="227">
        <v>5.3531747423238838E-4</v>
      </c>
      <c r="H493" s="226">
        <v>2.0000005732018797E-3</v>
      </c>
      <c r="I493" s="255">
        <v>2.0578804131416418E-3</v>
      </c>
      <c r="J493" s="256">
        <v>7.2897565963799042E-6</v>
      </c>
      <c r="K493" s="257">
        <v>7.6193670418523926E-6</v>
      </c>
      <c r="L493" s="228">
        <v>3.1618599598487472E-2</v>
      </c>
    </row>
    <row r="494" spans="1:12" s="212" customFormat="1" ht="15.5" x14ac:dyDescent="0.35">
      <c r="A494" s="198" t="s">
        <v>812</v>
      </c>
      <c r="B494" s="197">
        <v>2042</v>
      </c>
      <c r="C494" s="213" t="s">
        <v>3739</v>
      </c>
      <c r="D494" s="239">
        <v>4.1121281085856427E-3</v>
      </c>
      <c r="E494" s="226">
        <v>2.4497073287374761E-2</v>
      </c>
      <c r="F494" s="226">
        <v>5.6345148046338704E-4</v>
      </c>
      <c r="G494" s="227">
        <v>5.1834628197502768E-4</v>
      </c>
      <c r="H494" s="226">
        <v>2.0000005732018801E-3</v>
      </c>
      <c r="I494" s="255">
        <v>2.0577851059197633E-3</v>
      </c>
      <c r="J494" s="256">
        <v>7.0180718069543565E-6</v>
      </c>
      <c r="K494" s="257">
        <v>7.335397871832412E-6</v>
      </c>
      <c r="L494" s="228">
        <v>3.1425568713857148E-2</v>
      </c>
    </row>
    <row r="495" spans="1:12" s="212" customFormat="1" ht="15.5" x14ac:dyDescent="0.35">
      <c r="A495" s="198" t="s">
        <v>812</v>
      </c>
      <c r="B495" s="197">
        <v>2043</v>
      </c>
      <c r="C495" s="213" t="s">
        <v>3740</v>
      </c>
      <c r="D495" s="239">
        <v>3.9507047326775352E-3</v>
      </c>
      <c r="E495" s="226">
        <v>2.3677991086585134E-2</v>
      </c>
      <c r="F495" s="226">
        <v>5.4759531436253807E-4</v>
      </c>
      <c r="G495" s="227">
        <v>5.0375842925115359E-4</v>
      </c>
      <c r="H495" s="226">
        <v>2.0000005732018801E-3</v>
      </c>
      <c r="I495" s="255">
        <v>2.0577049573823735E-3</v>
      </c>
      <c r="J495" s="256">
        <v>6.7949545566476559E-6</v>
      </c>
      <c r="K495" s="257">
        <v>7.1021922495349882E-6</v>
      </c>
      <c r="L495" s="228">
        <v>3.1259025761027917E-2</v>
      </c>
    </row>
    <row r="496" spans="1:12" s="212" customFormat="1" ht="15.5" x14ac:dyDescent="0.35">
      <c r="A496" s="198" t="s">
        <v>812</v>
      </c>
      <c r="B496" s="197">
        <v>2044</v>
      </c>
      <c r="C496" s="213" t="s">
        <v>3741</v>
      </c>
      <c r="D496" s="239">
        <v>3.831565932610673E-3</v>
      </c>
      <c r="E496" s="226">
        <v>2.2949014954913468E-2</v>
      </c>
      <c r="F496" s="226">
        <v>5.3401828868508282E-4</v>
      </c>
      <c r="G496" s="227">
        <v>4.9126751806677664E-4</v>
      </c>
      <c r="H496" s="226">
        <v>2.0000005732018801E-3</v>
      </c>
      <c r="I496" s="255">
        <v>2.0576347734796423E-3</v>
      </c>
      <c r="J496" s="256">
        <v>6.6066409401823665E-6</v>
      </c>
      <c r="K496" s="257">
        <v>6.9053639269624291E-6</v>
      </c>
      <c r="L496" s="228">
        <v>3.1113683444302497E-2</v>
      </c>
    </row>
    <row r="497" spans="1:12" s="212" customFormat="1" ht="15.5" x14ac:dyDescent="0.35">
      <c r="A497" s="198" t="s">
        <v>812</v>
      </c>
      <c r="B497" s="197">
        <v>2045</v>
      </c>
      <c r="C497" s="213" t="s">
        <v>3742</v>
      </c>
      <c r="D497" s="239">
        <v>3.741737719071837E-3</v>
      </c>
      <c r="E497" s="226">
        <v>2.2254841579047571E-2</v>
      </c>
      <c r="F497" s="226">
        <v>5.2226120120257131E-4</v>
      </c>
      <c r="G497" s="227">
        <v>4.8045149465910953E-4</v>
      </c>
      <c r="H497" s="226">
        <v>2.0000005732018792E-3</v>
      </c>
      <c r="I497" s="255">
        <v>2.05755039536871E-3</v>
      </c>
      <c r="J497" s="256">
        <v>6.4573846444058948E-6</v>
      </c>
      <c r="K497" s="257">
        <v>6.749358923805953E-6</v>
      </c>
      <c r="L497" s="228">
        <v>3.0984204513649402E-2</v>
      </c>
    </row>
    <row r="498" spans="1:12" s="212" customFormat="1" ht="15.5" x14ac:dyDescent="0.35">
      <c r="A498" s="198" t="s">
        <v>812</v>
      </c>
      <c r="B498" s="197">
        <v>2046</v>
      </c>
      <c r="C498" s="213" t="s">
        <v>3743</v>
      </c>
      <c r="D498" s="239">
        <v>3.6554296027784981E-3</v>
      </c>
      <c r="E498" s="226">
        <v>2.1584359708835942E-2</v>
      </c>
      <c r="F498" s="226">
        <v>5.122709365511654E-4</v>
      </c>
      <c r="G498" s="227">
        <v>4.7126114270065386E-4</v>
      </c>
      <c r="H498" s="226">
        <v>2.0000005732018801E-3</v>
      </c>
      <c r="I498" s="255">
        <v>2.0574709979165494E-3</v>
      </c>
      <c r="J498" s="256">
        <v>6.3374658754454316E-6</v>
      </c>
      <c r="K498" s="257">
        <v>6.6240179602447404E-6</v>
      </c>
      <c r="L498" s="228">
        <v>3.08713138020166E-2</v>
      </c>
    </row>
    <row r="499" spans="1:12" s="212" customFormat="1" ht="15.5" x14ac:dyDescent="0.35">
      <c r="A499" s="198" t="s">
        <v>812</v>
      </c>
      <c r="B499" s="197">
        <v>2047</v>
      </c>
      <c r="C499" s="213" t="s">
        <v>3744</v>
      </c>
      <c r="D499" s="239">
        <v>3.5816819377188359E-3</v>
      </c>
      <c r="E499" s="226">
        <v>2.1011996703787585E-2</v>
      </c>
      <c r="F499" s="226">
        <v>5.0393623354185433E-4</v>
      </c>
      <c r="G499" s="227">
        <v>4.6359309797981956E-4</v>
      </c>
      <c r="H499" s="226">
        <v>2.0000005732018801E-3</v>
      </c>
      <c r="I499" s="255">
        <v>2.0574274003527524E-3</v>
      </c>
      <c r="J499" s="256">
        <v>6.2195854328810102E-6</v>
      </c>
      <c r="K499" s="257">
        <v>6.5008074871542797E-6</v>
      </c>
      <c r="L499" s="228">
        <v>3.0771889032862172E-2</v>
      </c>
    </row>
    <row r="500" spans="1:12" s="212" customFormat="1" ht="15.5" x14ac:dyDescent="0.35">
      <c r="A500" s="198" t="s">
        <v>812</v>
      </c>
      <c r="B500" s="197">
        <v>2048</v>
      </c>
      <c r="C500" s="213" t="s">
        <v>3745</v>
      </c>
      <c r="D500" s="239">
        <v>3.5193112502291323E-3</v>
      </c>
      <c r="E500" s="226">
        <v>2.052892295936818E-2</v>
      </c>
      <c r="F500" s="226">
        <v>4.9688034937395837E-4</v>
      </c>
      <c r="G500" s="227">
        <v>4.5710135669169865E-4</v>
      </c>
      <c r="H500" s="226">
        <v>2.0000005732018797E-3</v>
      </c>
      <c r="I500" s="255">
        <v>2.0573996326545829E-3</v>
      </c>
      <c r="J500" s="256">
        <v>6.1139400420592866E-6</v>
      </c>
      <c r="K500" s="257">
        <v>6.3903852805540796E-6</v>
      </c>
      <c r="L500" s="228">
        <v>3.0683568508965198E-2</v>
      </c>
    </row>
    <row r="501" spans="1:12" s="212" customFormat="1" ht="15.5" x14ac:dyDescent="0.35">
      <c r="A501" s="198" t="s">
        <v>812</v>
      </c>
      <c r="B501" s="197">
        <v>2049</v>
      </c>
      <c r="C501" s="213" t="s">
        <v>3746</v>
      </c>
      <c r="D501" s="239">
        <v>3.5079286763860067E-3</v>
      </c>
      <c r="E501" s="226">
        <v>2.0487613277171982E-2</v>
      </c>
      <c r="F501" s="226">
        <v>4.929000373528425E-4</v>
      </c>
      <c r="G501" s="227">
        <v>4.5343885380197396E-4</v>
      </c>
      <c r="H501" s="226">
        <v>2.0000005732018801E-3</v>
      </c>
      <c r="I501" s="255">
        <v>2.0573861268059113E-3</v>
      </c>
      <c r="J501" s="256">
        <v>6.0432853280427713E-6</v>
      </c>
      <c r="K501" s="257">
        <v>6.3165358738953922E-6</v>
      </c>
      <c r="L501" s="228">
        <v>3.0605930505389855E-2</v>
      </c>
    </row>
    <row r="502" spans="1:12" s="212" customFormat="1" ht="15.5" x14ac:dyDescent="0.35">
      <c r="A502" s="198" t="s">
        <v>812</v>
      </c>
      <c r="B502" s="197">
        <v>2050</v>
      </c>
      <c r="C502" s="213" t="s">
        <v>3747</v>
      </c>
      <c r="D502" s="239">
        <v>3.4990070178948594E-3</v>
      </c>
      <c r="E502" s="226">
        <v>2.0452747546764943E-2</v>
      </c>
      <c r="F502" s="226">
        <v>4.8955929227321093E-4</v>
      </c>
      <c r="G502" s="227">
        <v>4.5035967286183087E-4</v>
      </c>
      <c r="H502" s="226">
        <v>2.0000005732018801E-3</v>
      </c>
      <c r="I502" s="255">
        <v>2.0574147218894311E-3</v>
      </c>
      <c r="J502" s="256">
        <v>5.851072713058991E-6</v>
      </c>
      <c r="K502" s="257">
        <v>6.1156322573928886E-6</v>
      </c>
      <c r="L502" s="228">
        <v>3.0540167984390545E-2</v>
      </c>
    </row>
    <row r="503" spans="1:12" s="212" customFormat="1" ht="15.5" x14ac:dyDescent="0.35">
      <c r="A503" s="198" t="s">
        <v>814</v>
      </c>
      <c r="B503" s="197">
        <v>2015</v>
      </c>
      <c r="C503" s="213" t="s">
        <v>885</v>
      </c>
      <c r="D503" s="239">
        <v>6.7234941830496095E-2</v>
      </c>
      <c r="E503" s="226">
        <v>0.2742431767343223</v>
      </c>
      <c r="F503" s="226">
        <v>2.4544533772089872E-3</v>
      </c>
      <c r="G503" s="227">
        <v>2.2701850440179365E-3</v>
      </c>
      <c r="H503" s="226">
        <v>2.0000005732018797E-3</v>
      </c>
      <c r="I503" s="255">
        <v>2.4512816006340044E-3</v>
      </c>
      <c r="J503" s="256">
        <v>2.1500372785572013E-4</v>
      </c>
      <c r="K503" s="257">
        <v>2.2472524236444319E-4</v>
      </c>
      <c r="L503" s="228">
        <v>4.8230663710307549E-2</v>
      </c>
    </row>
    <row r="504" spans="1:12" s="212" customFormat="1" ht="15.5" x14ac:dyDescent="0.35">
      <c r="A504" s="198" t="s">
        <v>814</v>
      </c>
      <c r="B504" s="197">
        <v>2016</v>
      </c>
      <c r="C504" s="213" t="s">
        <v>886</v>
      </c>
      <c r="D504" s="239">
        <v>5.8957235535124504E-2</v>
      </c>
      <c r="E504" s="226">
        <v>0.24767947145189567</v>
      </c>
      <c r="F504" s="226">
        <v>2.3470428132388922E-3</v>
      </c>
      <c r="G504" s="227">
        <v>2.1693188319900475E-3</v>
      </c>
      <c r="H504" s="226">
        <v>2.0000005732018801E-3</v>
      </c>
      <c r="I504" s="255">
        <v>2.4457797489374888E-3</v>
      </c>
      <c r="J504" s="256">
        <v>1.9285892879939727E-4</v>
      </c>
      <c r="K504" s="257">
        <v>2.0157915376088398E-4</v>
      </c>
      <c r="L504" s="228">
        <v>4.7106109396894059E-2</v>
      </c>
    </row>
    <row r="505" spans="1:12" s="212" customFormat="1" ht="15.5" x14ac:dyDescent="0.35">
      <c r="A505" s="198" t="s">
        <v>814</v>
      </c>
      <c r="B505" s="197">
        <v>2017</v>
      </c>
      <c r="C505" s="213" t="s">
        <v>3748</v>
      </c>
      <c r="D505" s="239">
        <v>4.8048804811220737E-2</v>
      </c>
      <c r="E505" s="226">
        <v>0.21019226146669415</v>
      </c>
      <c r="F505" s="226">
        <v>2.2048577600138055E-3</v>
      </c>
      <c r="G505" s="227">
        <v>2.0364570246615395E-3</v>
      </c>
      <c r="H505" s="226">
        <v>2.0000005732018805E-3</v>
      </c>
      <c r="I505" s="255">
        <v>2.4473066829360556E-3</v>
      </c>
      <c r="J505" s="256">
        <v>1.724454753989711E-4</v>
      </c>
      <c r="K505" s="257">
        <v>1.8024269458104868E-4</v>
      </c>
      <c r="L505" s="228">
        <v>4.6728563281759242E-2</v>
      </c>
    </row>
    <row r="506" spans="1:12" s="212" customFormat="1" ht="15.5" x14ac:dyDescent="0.35">
      <c r="A506" s="198" t="s">
        <v>814</v>
      </c>
      <c r="B506" s="197">
        <v>2018</v>
      </c>
      <c r="C506" s="213" t="s">
        <v>3749</v>
      </c>
      <c r="D506" s="239">
        <v>4.081203002482884E-2</v>
      </c>
      <c r="E506" s="226">
        <v>0.18388085741440366</v>
      </c>
      <c r="F506" s="226">
        <v>2.1397452312628012E-3</v>
      </c>
      <c r="G506" s="227">
        <v>1.975089363335699E-3</v>
      </c>
      <c r="H506" s="226">
        <v>2.0000005732018797E-3</v>
      </c>
      <c r="I506" s="255">
        <v>2.4482566237254018E-3</v>
      </c>
      <c r="J506" s="256">
        <v>1.5441100590149031E-4</v>
      </c>
      <c r="K506" s="257">
        <v>1.6139278639966482E-4</v>
      </c>
      <c r="L506" s="228">
        <v>4.6136196099425132E-2</v>
      </c>
    </row>
    <row r="507" spans="1:12" s="212" customFormat="1" ht="15.5" x14ac:dyDescent="0.35">
      <c r="A507" s="198" t="s">
        <v>814</v>
      </c>
      <c r="B507" s="197">
        <v>2019</v>
      </c>
      <c r="C507" s="213" t="s">
        <v>3750</v>
      </c>
      <c r="D507" s="239">
        <v>3.4310185038217894E-2</v>
      </c>
      <c r="E507" s="226">
        <v>0.1586153779106238</v>
      </c>
      <c r="F507" s="226">
        <v>2.0705887871602436E-3</v>
      </c>
      <c r="G507" s="227">
        <v>1.9096952553845619E-3</v>
      </c>
      <c r="H507" s="226">
        <v>2.0000005732018801E-3</v>
      </c>
      <c r="I507" s="255">
        <v>2.450254921364213E-3</v>
      </c>
      <c r="J507" s="256">
        <v>1.2576616417733251E-4</v>
      </c>
      <c r="K507" s="257">
        <v>1.3145275204234344E-4</v>
      </c>
      <c r="L507" s="228">
        <v>4.5577339259299451E-2</v>
      </c>
    </row>
    <row r="508" spans="1:12" s="212" customFormat="1" ht="15.5" x14ac:dyDescent="0.35">
      <c r="A508" s="198" t="s">
        <v>814</v>
      </c>
      <c r="B508" s="197">
        <v>2020</v>
      </c>
      <c r="C508" s="213" t="s">
        <v>3751</v>
      </c>
      <c r="D508" s="239">
        <v>3.0348518087372382E-2</v>
      </c>
      <c r="E508" s="226">
        <v>0.14238246305844424</v>
      </c>
      <c r="F508" s="226">
        <v>2.0086454616368909E-3</v>
      </c>
      <c r="G508" s="227">
        <v>1.8521577391318838E-3</v>
      </c>
      <c r="H508" s="226">
        <v>2.0000005732018801E-3</v>
      </c>
      <c r="I508" s="255">
        <v>2.456789234750208E-3</v>
      </c>
      <c r="J508" s="256">
        <v>1.1650060186498473E-4</v>
      </c>
      <c r="K508" s="257">
        <v>1.2176824211755496E-4</v>
      </c>
      <c r="L508" s="228">
        <v>4.5198542137604915E-2</v>
      </c>
    </row>
    <row r="509" spans="1:12" s="212" customFormat="1" ht="15.5" x14ac:dyDescent="0.35">
      <c r="A509" s="198" t="s">
        <v>814</v>
      </c>
      <c r="B509" s="197">
        <v>2021</v>
      </c>
      <c r="C509" s="213" t="s">
        <v>3752</v>
      </c>
      <c r="D509" s="239">
        <v>2.6406059499435856E-2</v>
      </c>
      <c r="E509" s="226">
        <v>0.12601272542595249</v>
      </c>
      <c r="F509" s="226">
        <v>1.9089235354554279E-3</v>
      </c>
      <c r="G509" s="227">
        <v>1.7598511184886254E-3</v>
      </c>
      <c r="H509" s="226">
        <v>2.0000005732018801E-3</v>
      </c>
      <c r="I509" s="255">
        <v>2.4602467460455991E-3</v>
      </c>
      <c r="J509" s="256">
        <v>1.0684156398329412E-4</v>
      </c>
      <c r="K509" s="257">
        <v>1.1167246540420016E-4</v>
      </c>
      <c r="L509" s="228">
        <v>4.4281957270344931E-2</v>
      </c>
    </row>
    <row r="510" spans="1:12" s="212" customFormat="1" ht="15.5" x14ac:dyDescent="0.35">
      <c r="A510" s="198" t="s">
        <v>814</v>
      </c>
      <c r="B510" s="197">
        <v>2022</v>
      </c>
      <c r="C510" s="213" t="s">
        <v>3753</v>
      </c>
      <c r="D510" s="239">
        <v>2.2123206126124794E-2</v>
      </c>
      <c r="E510" s="226">
        <v>0.10991811408677286</v>
      </c>
      <c r="F510" s="226">
        <v>1.8040002234803558E-3</v>
      </c>
      <c r="G510" s="227">
        <v>1.6625445945305537E-3</v>
      </c>
      <c r="H510" s="226">
        <v>2.0000005732018801E-3</v>
      </c>
      <c r="I510" s="255">
        <v>2.4605565310260574E-3</v>
      </c>
      <c r="J510" s="256">
        <v>9.5095262803396595E-5</v>
      </c>
      <c r="K510" s="257">
        <v>9.9395048608387273E-5</v>
      </c>
      <c r="L510" s="228">
        <v>4.3431737117501146E-2</v>
      </c>
    </row>
    <row r="511" spans="1:12" s="212" customFormat="1" ht="15.5" x14ac:dyDescent="0.35">
      <c r="A511" s="198" t="s">
        <v>814</v>
      </c>
      <c r="B511" s="197">
        <v>2023</v>
      </c>
      <c r="C511" s="213" t="s">
        <v>3754</v>
      </c>
      <c r="D511" s="239">
        <v>1.9447157264805792E-2</v>
      </c>
      <c r="E511" s="226">
        <v>9.7093585294529272E-2</v>
      </c>
      <c r="F511" s="226">
        <v>1.714006916415551E-3</v>
      </c>
      <c r="G511" s="227">
        <v>1.5793721834882794E-3</v>
      </c>
      <c r="H511" s="226">
        <v>2.0000005732018792E-3</v>
      </c>
      <c r="I511" s="255">
        <v>2.4606267702065279E-3</v>
      </c>
      <c r="J511" s="256">
        <v>8.5491306894154673E-5</v>
      </c>
      <c r="K511" s="257">
        <v>8.9356844429852556E-5</v>
      </c>
      <c r="L511" s="228">
        <v>4.2529852787902167E-2</v>
      </c>
    </row>
    <row r="512" spans="1:12" s="212" customFormat="1" ht="15.5" x14ac:dyDescent="0.35">
      <c r="A512" s="198" t="s">
        <v>814</v>
      </c>
      <c r="B512" s="197">
        <v>2024</v>
      </c>
      <c r="C512" s="213" t="s">
        <v>3755</v>
      </c>
      <c r="D512" s="239">
        <v>1.7075659555001017E-2</v>
      </c>
      <c r="E512" s="226">
        <v>8.5932921252146133E-2</v>
      </c>
      <c r="F512" s="226">
        <v>1.6267707779224357E-3</v>
      </c>
      <c r="G512" s="227">
        <v>1.4985650000220946E-3</v>
      </c>
      <c r="H512" s="226">
        <v>2.0000005732018801E-3</v>
      </c>
      <c r="I512" s="255">
        <v>2.4608384089268736E-3</v>
      </c>
      <c r="J512" s="256">
        <v>7.1599265826761729E-5</v>
      </c>
      <c r="K512" s="257">
        <v>7.4836666910411349E-5</v>
      </c>
      <c r="L512" s="228">
        <v>4.1595691035198716E-2</v>
      </c>
    </row>
    <row r="513" spans="1:12" s="212" customFormat="1" ht="15.5" x14ac:dyDescent="0.35">
      <c r="A513" s="198" t="s">
        <v>814</v>
      </c>
      <c r="B513" s="197">
        <v>2025</v>
      </c>
      <c r="C513" s="213" t="s">
        <v>3756</v>
      </c>
      <c r="D513" s="239">
        <v>1.5182965357096628E-2</v>
      </c>
      <c r="E513" s="226">
        <v>7.6829002960095427E-2</v>
      </c>
      <c r="F513" s="226">
        <v>1.5589565150775754E-3</v>
      </c>
      <c r="G513" s="227">
        <v>1.4358608296721608E-3</v>
      </c>
      <c r="H513" s="226">
        <v>2.0000005732018801E-3</v>
      </c>
      <c r="I513" s="255">
        <v>2.4611089846040745E-3</v>
      </c>
      <c r="J513" s="256">
        <v>6.3044621250458996E-5</v>
      </c>
      <c r="K513" s="257">
        <v>6.5895219267041256E-5</v>
      </c>
      <c r="L513" s="228">
        <v>4.065895886067681E-2</v>
      </c>
    </row>
    <row r="514" spans="1:12" s="212" customFormat="1" ht="15.5" x14ac:dyDescent="0.35">
      <c r="A514" s="198" t="s">
        <v>814</v>
      </c>
      <c r="B514" s="197">
        <v>2026</v>
      </c>
      <c r="C514" s="213" t="s">
        <v>3757</v>
      </c>
      <c r="D514" s="239">
        <v>1.3624827983263008E-2</v>
      </c>
      <c r="E514" s="226">
        <v>6.9252080666833818E-2</v>
      </c>
      <c r="F514" s="226">
        <v>1.4901579644304361E-3</v>
      </c>
      <c r="G514" s="227">
        <v>1.3722549588261531E-3</v>
      </c>
      <c r="H514" s="226">
        <v>2.0000005732018797E-3</v>
      </c>
      <c r="I514" s="255">
        <v>2.4612328541676149E-3</v>
      </c>
      <c r="J514" s="256">
        <v>5.4139179752368241E-5</v>
      </c>
      <c r="K514" s="257">
        <v>5.65871132217182E-5</v>
      </c>
      <c r="L514" s="228">
        <v>3.9806936661995376E-2</v>
      </c>
    </row>
    <row r="515" spans="1:12" s="212" customFormat="1" ht="15.5" x14ac:dyDescent="0.35">
      <c r="A515" s="198" t="s">
        <v>814</v>
      </c>
      <c r="B515" s="197">
        <v>2027</v>
      </c>
      <c r="C515" s="213" t="s">
        <v>3758</v>
      </c>
      <c r="D515" s="239">
        <v>1.2284368448174109E-2</v>
      </c>
      <c r="E515" s="226">
        <v>6.2702100842870992E-2</v>
      </c>
      <c r="F515" s="226">
        <v>1.4111935910098214E-3</v>
      </c>
      <c r="G515" s="227">
        <v>1.2992578673971487E-3</v>
      </c>
      <c r="H515" s="226">
        <v>2.0000005732018797E-3</v>
      </c>
      <c r="I515" s="255">
        <v>2.4611557094677016E-3</v>
      </c>
      <c r="J515" s="256">
        <v>4.4079181382274986E-5</v>
      </c>
      <c r="K515" s="257">
        <v>4.6072246365911005E-5</v>
      </c>
      <c r="L515" s="228">
        <v>3.907182118098363E-2</v>
      </c>
    </row>
    <row r="516" spans="1:12" s="212" customFormat="1" ht="15.5" x14ac:dyDescent="0.35">
      <c r="A516" s="198" t="s">
        <v>814</v>
      </c>
      <c r="B516" s="197">
        <v>2028</v>
      </c>
      <c r="C516" s="213" t="s">
        <v>3759</v>
      </c>
      <c r="D516" s="239">
        <v>1.1147597903564876E-2</v>
      </c>
      <c r="E516" s="226">
        <v>5.7105035416944297E-2</v>
      </c>
      <c r="F516" s="226">
        <v>1.326021366649129E-3</v>
      </c>
      <c r="G516" s="227">
        <v>1.2206159632218889E-3</v>
      </c>
      <c r="H516" s="226">
        <v>2.0000005732018801E-3</v>
      </c>
      <c r="I516" s="255">
        <v>2.4610978823457049E-3</v>
      </c>
      <c r="J516" s="256">
        <v>3.5630424916377213E-5</v>
      </c>
      <c r="K516" s="257">
        <v>3.7241474623426916E-5</v>
      </c>
      <c r="L516" s="228">
        <v>3.8305125431149598E-2</v>
      </c>
    </row>
    <row r="517" spans="1:12" s="212" customFormat="1" ht="15.5" x14ac:dyDescent="0.35">
      <c r="A517" s="198" t="s">
        <v>814</v>
      </c>
      <c r="B517" s="197">
        <v>2029</v>
      </c>
      <c r="C517" s="213" t="s">
        <v>3760</v>
      </c>
      <c r="D517" s="239">
        <v>1.013655462051366E-2</v>
      </c>
      <c r="E517" s="226">
        <v>5.2214418643703409E-2</v>
      </c>
      <c r="F517" s="226">
        <v>1.2453878200412514E-3</v>
      </c>
      <c r="G517" s="227">
        <v>1.1462629918805637E-3</v>
      </c>
      <c r="H517" s="226">
        <v>2.0000005732018801E-3</v>
      </c>
      <c r="I517" s="255">
        <v>2.4610051920031777E-3</v>
      </c>
      <c r="J517" s="256">
        <v>3.0153373803586359E-5</v>
      </c>
      <c r="K517" s="257">
        <v>3.151677556337003E-5</v>
      </c>
      <c r="L517" s="228">
        <v>3.7603141519296467E-2</v>
      </c>
    </row>
    <row r="518" spans="1:12" s="212" customFormat="1" ht="15.5" x14ac:dyDescent="0.35">
      <c r="A518" s="198" t="s">
        <v>814</v>
      </c>
      <c r="B518" s="197">
        <v>2030</v>
      </c>
      <c r="C518" s="213" t="s">
        <v>3761</v>
      </c>
      <c r="D518" s="239">
        <v>9.3016923471218073E-3</v>
      </c>
      <c r="E518" s="226">
        <v>4.8106041264659838E-2</v>
      </c>
      <c r="F518" s="226">
        <v>1.1674072948227375E-3</v>
      </c>
      <c r="G518" s="227">
        <v>1.0742951010636864E-3</v>
      </c>
      <c r="H518" s="226">
        <v>2.0000005732018801E-3</v>
      </c>
      <c r="I518" s="255">
        <v>2.4609360593063094E-3</v>
      </c>
      <c r="J518" s="256">
        <v>2.3283337267424682E-5</v>
      </c>
      <c r="K518" s="257">
        <v>2.4336106460378692E-5</v>
      </c>
      <c r="L518" s="228">
        <v>3.6966809456755616E-2</v>
      </c>
    </row>
    <row r="519" spans="1:12" s="212" customFormat="1" ht="15.5" x14ac:dyDescent="0.35">
      <c r="A519" s="198" t="s">
        <v>814</v>
      </c>
      <c r="B519" s="197">
        <v>2031</v>
      </c>
      <c r="C519" s="213" t="s">
        <v>3762</v>
      </c>
      <c r="D519" s="239">
        <v>8.571104185503213E-3</v>
      </c>
      <c r="E519" s="226">
        <v>4.4534002462184329E-2</v>
      </c>
      <c r="F519" s="226">
        <v>1.0969374929027361E-3</v>
      </c>
      <c r="G519" s="227">
        <v>1.0094025417453577E-3</v>
      </c>
      <c r="H519" s="226">
        <v>2.0000005732018801E-3</v>
      </c>
      <c r="I519" s="255">
        <v>2.4607611314946031E-3</v>
      </c>
      <c r="J519" s="256">
        <v>2.0763561846808398E-5</v>
      </c>
      <c r="K519" s="257">
        <v>2.1702397976579975E-5</v>
      </c>
      <c r="L519" s="228">
        <v>3.6393479379314801E-2</v>
      </c>
    </row>
    <row r="520" spans="1:12" s="212" customFormat="1" ht="15.5" x14ac:dyDescent="0.35">
      <c r="A520" s="198" t="s">
        <v>814</v>
      </c>
      <c r="B520" s="197">
        <v>2032</v>
      </c>
      <c r="C520" s="213" t="s">
        <v>3763</v>
      </c>
      <c r="D520" s="239">
        <v>7.9197847734199436E-3</v>
      </c>
      <c r="E520" s="226">
        <v>4.1411006577042622E-2</v>
      </c>
      <c r="F520" s="226">
        <v>1.0300912629179909E-3</v>
      </c>
      <c r="G520" s="227">
        <v>9.4784912212055581E-4</v>
      </c>
      <c r="H520" s="226">
        <v>2.0000005732018801E-3</v>
      </c>
      <c r="I520" s="255">
        <v>2.4604503395241595E-3</v>
      </c>
      <c r="J520" s="256">
        <v>1.843368657197906E-5</v>
      </c>
      <c r="K520" s="257">
        <v>1.9267176080491246E-5</v>
      </c>
      <c r="L520" s="228">
        <v>3.5887812823094105E-2</v>
      </c>
    </row>
    <row r="521" spans="1:12" s="212" customFormat="1" ht="15.5" x14ac:dyDescent="0.35">
      <c r="A521" s="198" t="s">
        <v>814</v>
      </c>
      <c r="B521" s="197">
        <v>2033</v>
      </c>
      <c r="C521" s="213" t="s">
        <v>3764</v>
      </c>
      <c r="D521" s="239">
        <v>7.3392535712655136E-3</v>
      </c>
      <c r="E521" s="226">
        <v>3.8676091563222138E-2</v>
      </c>
      <c r="F521" s="226">
        <v>9.6741779092640557E-4</v>
      </c>
      <c r="G521" s="227">
        <v>8.9016077376008506E-4</v>
      </c>
      <c r="H521" s="226">
        <v>2.0000005732018801E-3</v>
      </c>
      <c r="I521" s="255">
        <v>2.4600120296700508E-3</v>
      </c>
      <c r="J521" s="256">
        <v>1.6832051186661088E-5</v>
      </c>
      <c r="K521" s="257">
        <v>1.7593121850200952E-5</v>
      </c>
      <c r="L521" s="228">
        <v>3.542812812241463E-2</v>
      </c>
    </row>
    <row r="522" spans="1:12" s="212" customFormat="1" ht="15.5" x14ac:dyDescent="0.35">
      <c r="A522" s="198" t="s">
        <v>814</v>
      </c>
      <c r="B522" s="197">
        <v>2034</v>
      </c>
      <c r="C522" s="213" t="s">
        <v>3765</v>
      </c>
      <c r="D522" s="239">
        <v>6.7968718138302813E-3</v>
      </c>
      <c r="E522" s="226">
        <v>3.6224372940702736E-2</v>
      </c>
      <c r="F522" s="226">
        <v>9.0767085846012521E-4</v>
      </c>
      <c r="G522" s="227">
        <v>8.3516811838388273E-4</v>
      </c>
      <c r="H522" s="226">
        <v>2.0000005732018801E-3</v>
      </c>
      <c r="I522" s="255">
        <v>2.4594596016377247E-3</v>
      </c>
      <c r="J522" s="256">
        <v>1.5354839826755159E-5</v>
      </c>
      <c r="K522" s="257">
        <v>1.6049117547628401E-5</v>
      </c>
      <c r="L522" s="228">
        <v>3.5006020929772813E-2</v>
      </c>
    </row>
    <row r="523" spans="1:12" s="212" customFormat="1" ht="15.5" x14ac:dyDescent="0.35">
      <c r="A523" s="198" t="s">
        <v>814</v>
      </c>
      <c r="B523" s="197">
        <v>2035</v>
      </c>
      <c r="C523" s="213" t="s">
        <v>3766</v>
      </c>
      <c r="D523" s="239">
        <v>6.3472890392554382E-3</v>
      </c>
      <c r="E523" s="226">
        <v>3.4237310586171084E-2</v>
      </c>
      <c r="F523" s="226">
        <v>8.5383118149789938E-4</v>
      </c>
      <c r="G523" s="227">
        <v>7.8561399750229789E-4</v>
      </c>
      <c r="H523" s="226">
        <v>2.0000005732018805E-3</v>
      </c>
      <c r="I523" s="255">
        <v>2.4589038452195104E-3</v>
      </c>
      <c r="J523" s="256">
        <v>1.4058085176832562E-5</v>
      </c>
      <c r="K523" s="257">
        <v>1.4693729406699855E-5</v>
      </c>
      <c r="L523" s="228">
        <v>3.4630470867298119E-2</v>
      </c>
    </row>
    <row r="524" spans="1:12" s="212" customFormat="1" ht="15.5" x14ac:dyDescent="0.35">
      <c r="A524" s="198" t="s">
        <v>814</v>
      </c>
      <c r="B524" s="197">
        <v>2036</v>
      </c>
      <c r="C524" s="213" t="s">
        <v>3767</v>
      </c>
      <c r="D524" s="239">
        <v>5.9465271837870638E-3</v>
      </c>
      <c r="E524" s="226">
        <v>3.249463519491444E-2</v>
      </c>
      <c r="F524" s="226">
        <v>8.0703869699546053E-4</v>
      </c>
      <c r="G524" s="227">
        <v>7.4254570096937949E-4</v>
      </c>
      <c r="H524" s="226">
        <v>2.0000005732018801E-3</v>
      </c>
      <c r="I524" s="255">
        <v>2.4583239386320268E-3</v>
      </c>
      <c r="J524" s="256">
        <v>1.2920225722244645E-5</v>
      </c>
      <c r="K524" s="257">
        <v>1.3504420996752054E-5</v>
      </c>
      <c r="L524" s="228">
        <v>3.4319188641502504E-2</v>
      </c>
    </row>
    <row r="525" spans="1:12" s="212" customFormat="1" ht="15.5" x14ac:dyDescent="0.35">
      <c r="A525" s="198" t="s">
        <v>814</v>
      </c>
      <c r="B525" s="197">
        <v>2037</v>
      </c>
      <c r="C525" s="213" t="s">
        <v>3768</v>
      </c>
      <c r="D525" s="239">
        <v>5.6046101465822527E-3</v>
      </c>
      <c r="E525" s="226">
        <v>3.1015664221361271E-2</v>
      </c>
      <c r="F525" s="226">
        <v>7.64818208276066E-4</v>
      </c>
      <c r="G525" s="227">
        <v>7.0367251582770425E-4</v>
      </c>
      <c r="H525" s="226">
        <v>2.0000005732018801E-3</v>
      </c>
      <c r="I525" s="255">
        <v>2.457762620422522E-3</v>
      </c>
      <c r="J525" s="256">
        <v>1.1559847601169219E-5</v>
      </c>
      <c r="K525" s="257">
        <v>1.208253261363009E-5</v>
      </c>
      <c r="L525" s="228">
        <v>3.4026029437351619E-2</v>
      </c>
    </row>
    <row r="526" spans="1:12" s="212" customFormat="1" ht="15.5" x14ac:dyDescent="0.35">
      <c r="A526" s="198" t="s">
        <v>814</v>
      </c>
      <c r="B526" s="197">
        <v>2038</v>
      </c>
      <c r="C526" s="213" t="s">
        <v>3769</v>
      </c>
      <c r="D526" s="239">
        <v>5.2914345293430644E-3</v>
      </c>
      <c r="E526" s="226">
        <v>2.9671785026495069E-2</v>
      </c>
      <c r="F526" s="226">
        <v>7.2725115875468252E-4</v>
      </c>
      <c r="G526" s="227">
        <v>6.6910137946305577E-4</v>
      </c>
      <c r="H526" s="226">
        <v>2.0000005732018801E-3</v>
      </c>
      <c r="I526" s="255">
        <v>2.4572141421286735E-3</v>
      </c>
      <c r="J526" s="256">
        <v>1.079961019095228E-5</v>
      </c>
      <c r="K526" s="257">
        <v>1.1287920641226667E-5</v>
      </c>
      <c r="L526" s="228">
        <v>3.3880617123308206E-2</v>
      </c>
    </row>
    <row r="527" spans="1:12" s="212" customFormat="1" ht="15.5" x14ac:dyDescent="0.35">
      <c r="A527" s="198" t="s">
        <v>814</v>
      </c>
      <c r="B527" s="197">
        <v>2039</v>
      </c>
      <c r="C527" s="213" t="s">
        <v>3770</v>
      </c>
      <c r="D527" s="239">
        <v>4.984881129178961E-3</v>
      </c>
      <c r="E527" s="226">
        <v>2.8388038654483309E-2</v>
      </c>
      <c r="F527" s="226">
        <v>6.9339187693751231E-4</v>
      </c>
      <c r="G527" s="227">
        <v>6.379401719856057E-4</v>
      </c>
      <c r="H527" s="226">
        <v>2.0000005732018805E-3</v>
      </c>
      <c r="I527" s="255">
        <v>2.4566854394559197E-3</v>
      </c>
      <c r="J527" s="256">
        <v>1.0059221088689738E-5</v>
      </c>
      <c r="K527" s="257">
        <v>1.0514054429187807E-5</v>
      </c>
      <c r="L527" s="228">
        <v>3.3657975004634043E-2</v>
      </c>
    </row>
    <row r="528" spans="1:12" s="212" customFormat="1" ht="15.5" x14ac:dyDescent="0.35">
      <c r="A528" s="198" t="s">
        <v>814</v>
      </c>
      <c r="B528" s="197">
        <v>2040</v>
      </c>
      <c r="C528" s="213" t="s">
        <v>3771</v>
      </c>
      <c r="D528" s="239">
        <v>4.7137357754530951E-3</v>
      </c>
      <c r="E528" s="226">
        <v>2.7288783559259028E-2</v>
      </c>
      <c r="F528" s="226">
        <v>6.6363625022249789E-4</v>
      </c>
      <c r="G528" s="227">
        <v>6.1055952189381375E-4</v>
      </c>
      <c r="H528" s="226">
        <v>2.0000005732018801E-3</v>
      </c>
      <c r="I528" s="255">
        <v>2.4562210097290402E-3</v>
      </c>
      <c r="J528" s="256">
        <v>9.5087049615931558E-6</v>
      </c>
      <c r="K528" s="257">
        <v>9.9386464057030396E-6</v>
      </c>
      <c r="L528" s="228">
        <v>3.3466890220484262E-2</v>
      </c>
    </row>
    <row r="529" spans="1:12" s="212" customFormat="1" ht="15.5" x14ac:dyDescent="0.35">
      <c r="A529" s="198" t="s">
        <v>814</v>
      </c>
      <c r="B529" s="197">
        <v>2041</v>
      </c>
      <c r="C529" s="213" t="s">
        <v>3772</v>
      </c>
      <c r="D529" s="239">
        <v>4.5061374643078191E-3</v>
      </c>
      <c r="E529" s="226">
        <v>2.6377926971491023E-2</v>
      </c>
      <c r="F529" s="226">
        <v>6.4091361496292228E-4</v>
      </c>
      <c r="G529" s="227">
        <v>5.8964865905928438E-4</v>
      </c>
      <c r="H529" s="226">
        <v>2.0000005732018801E-3</v>
      </c>
      <c r="I529" s="255">
        <v>2.4558291332491371E-3</v>
      </c>
      <c r="J529" s="256">
        <v>9.0406062972832035E-6</v>
      </c>
      <c r="K529" s="257">
        <v>9.4493823969500497E-6</v>
      </c>
      <c r="L529" s="228">
        <v>3.3305414857530802E-2</v>
      </c>
    </row>
    <row r="530" spans="1:12" s="212" customFormat="1" ht="15.5" x14ac:dyDescent="0.35">
      <c r="A530" s="198" t="s">
        <v>814</v>
      </c>
      <c r="B530" s="197">
        <v>2042</v>
      </c>
      <c r="C530" s="213" t="s">
        <v>3773</v>
      </c>
      <c r="D530" s="239">
        <v>4.3182164884828069E-3</v>
      </c>
      <c r="E530" s="226">
        <v>2.5489908064284843E-2</v>
      </c>
      <c r="F530" s="226">
        <v>6.2116866954737659E-4</v>
      </c>
      <c r="G530" s="227">
        <v>5.714771144132621E-4</v>
      </c>
      <c r="H530" s="226">
        <v>2.0000005732018805E-3</v>
      </c>
      <c r="I530" s="255">
        <v>2.4554248247117051E-3</v>
      </c>
      <c r="J530" s="256">
        <v>8.6095247103468968E-6</v>
      </c>
      <c r="K530" s="257">
        <v>8.9988092135487007E-6</v>
      </c>
      <c r="L530" s="228">
        <v>3.3165181775797387E-2</v>
      </c>
    </row>
    <row r="531" spans="1:12" s="212" customFormat="1" ht="15.5" x14ac:dyDescent="0.35">
      <c r="A531" s="198" t="s">
        <v>814</v>
      </c>
      <c r="B531" s="197">
        <v>2043</v>
      </c>
      <c r="C531" s="213" t="s">
        <v>3774</v>
      </c>
      <c r="D531" s="239">
        <v>4.1734120738874288E-3</v>
      </c>
      <c r="E531" s="226">
        <v>2.4743505413192445E-2</v>
      </c>
      <c r="F531" s="226">
        <v>6.0425634195252441E-4</v>
      </c>
      <c r="G531" s="227">
        <v>5.5591292479773219E-4</v>
      </c>
      <c r="H531" s="226">
        <v>2.0000005732018801E-3</v>
      </c>
      <c r="I531" s="255">
        <v>2.4550852475670655E-3</v>
      </c>
      <c r="J531" s="256">
        <v>8.2520389323150947E-6</v>
      </c>
      <c r="K531" s="257">
        <v>8.6251595149539339E-6</v>
      </c>
      <c r="L531" s="228">
        <v>3.3046819217689843E-2</v>
      </c>
    </row>
    <row r="532" spans="1:12" s="212" customFormat="1" ht="15.5" x14ac:dyDescent="0.35">
      <c r="A532" s="198" t="s">
        <v>814</v>
      </c>
      <c r="B532" s="197">
        <v>2044</v>
      </c>
      <c r="C532" s="213" t="s">
        <v>3775</v>
      </c>
      <c r="D532" s="239">
        <v>4.0545689689223674E-3</v>
      </c>
      <c r="E532" s="226">
        <v>2.4013582018031391E-2</v>
      </c>
      <c r="F532" s="226">
        <v>5.8962538143049242E-4</v>
      </c>
      <c r="G532" s="227">
        <v>5.4244845113466159E-4</v>
      </c>
      <c r="H532" s="226">
        <v>2.0000005732018805E-3</v>
      </c>
      <c r="I532" s="255">
        <v>2.4547502497113361E-3</v>
      </c>
      <c r="J532" s="256">
        <v>7.9480179126573371E-6</v>
      </c>
      <c r="K532" s="257">
        <v>8.3073920138605482E-6</v>
      </c>
      <c r="L532" s="228">
        <v>3.2946802639165398E-2</v>
      </c>
    </row>
    <row r="533" spans="1:12" s="212" customFormat="1" ht="15.5" x14ac:dyDescent="0.35">
      <c r="A533" s="198" t="s">
        <v>814</v>
      </c>
      <c r="B533" s="197">
        <v>2045</v>
      </c>
      <c r="C533" s="213" t="s">
        <v>3776</v>
      </c>
      <c r="D533" s="239">
        <v>3.9671515590895675E-3</v>
      </c>
      <c r="E533" s="226">
        <v>2.3355593380167506E-2</v>
      </c>
      <c r="F533" s="226">
        <v>5.7704322426394244E-4</v>
      </c>
      <c r="G533" s="227">
        <v>5.3086833117445861E-4</v>
      </c>
      <c r="H533" s="226">
        <v>2.0000005732018801E-3</v>
      </c>
      <c r="I533" s="255">
        <v>2.4544567414128068E-3</v>
      </c>
      <c r="J533" s="256">
        <v>7.658232098046381E-6</v>
      </c>
      <c r="K533" s="257">
        <v>8.0045033706183979E-6</v>
      </c>
      <c r="L533" s="228">
        <v>3.2857707242628549E-2</v>
      </c>
    </row>
    <row r="534" spans="1:12" s="212" customFormat="1" ht="15.5" x14ac:dyDescent="0.35">
      <c r="A534" s="198" t="s">
        <v>814</v>
      </c>
      <c r="B534" s="197">
        <v>2046</v>
      </c>
      <c r="C534" s="213" t="s">
        <v>3777</v>
      </c>
      <c r="D534" s="239">
        <v>3.8836321207925632E-3</v>
      </c>
      <c r="E534" s="226">
        <v>2.2723658048002627E-2</v>
      </c>
      <c r="F534" s="226">
        <v>5.662767062564073E-4</v>
      </c>
      <c r="G534" s="227">
        <v>5.2095884328726648E-4</v>
      </c>
      <c r="H534" s="226">
        <v>2.0000005732018801E-3</v>
      </c>
      <c r="I534" s="255">
        <v>2.4541848454589835E-3</v>
      </c>
      <c r="J534" s="256">
        <v>7.3997295659959245E-6</v>
      </c>
      <c r="K534" s="257">
        <v>7.7343125011566309E-6</v>
      </c>
      <c r="L534" s="228">
        <v>3.2780360546023034E-2</v>
      </c>
    </row>
    <row r="535" spans="1:12" s="212" customFormat="1" ht="15.5" x14ac:dyDescent="0.35">
      <c r="A535" s="198" t="s">
        <v>814</v>
      </c>
      <c r="B535" s="197">
        <v>2047</v>
      </c>
      <c r="C535" s="213" t="s">
        <v>3778</v>
      </c>
      <c r="D535" s="239">
        <v>3.8108715184893473E-3</v>
      </c>
      <c r="E535" s="226">
        <v>2.2171726246550776E-2</v>
      </c>
      <c r="F535" s="226">
        <v>5.5723954414043969E-4</v>
      </c>
      <c r="G535" s="227">
        <v>5.1264091891255116E-4</v>
      </c>
      <c r="H535" s="226">
        <v>2.0000005732018801E-3</v>
      </c>
      <c r="I535" s="255">
        <v>2.4539704897784584E-3</v>
      </c>
      <c r="J535" s="256">
        <v>7.179330114852718E-6</v>
      </c>
      <c r="K535" s="257">
        <v>7.503947564840795E-6</v>
      </c>
      <c r="L535" s="228">
        <v>3.2715219977922178E-2</v>
      </c>
    </row>
    <row r="536" spans="1:12" s="212" customFormat="1" ht="15.5" x14ac:dyDescent="0.35">
      <c r="A536" s="198" t="s">
        <v>814</v>
      </c>
      <c r="B536" s="197">
        <v>2048</v>
      </c>
      <c r="C536" s="213" t="s">
        <v>3779</v>
      </c>
      <c r="D536" s="239">
        <v>3.7514062659625559E-3</v>
      </c>
      <c r="E536" s="226">
        <v>2.1722892873219234E-2</v>
      </c>
      <c r="F536" s="226">
        <v>5.4963675799346026E-4</v>
      </c>
      <c r="G536" s="227">
        <v>5.0564384997065957E-4</v>
      </c>
      <c r="H536" s="226">
        <v>2.0000005732018805E-3</v>
      </c>
      <c r="I536" s="255">
        <v>2.4538055824773774E-3</v>
      </c>
      <c r="J536" s="256">
        <v>7.0102532690579364E-6</v>
      </c>
      <c r="K536" s="257">
        <v>7.3272258143465692E-6</v>
      </c>
      <c r="L536" s="228">
        <v>3.2658581606986342E-2</v>
      </c>
    </row>
    <row r="537" spans="1:12" s="212" customFormat="1" ht="15.5" x14ac:dyDescent="0.35">
      <c r="A537" s="198" t="s">
        <v>814</v>
      </c>
      <c r="B537" s="197">
        <v>2049</v>
      </c>
      <c r="C537" s="213" t="s">
        <v>3780</v>
      </c>
      <c r="D537" s="239">
        <v>3.7393027421244391E-3</v>
      </c>
      <c r="E537" s="226">
        <v>2.1678737693114312E-2</v>
      </c>
      <c r="F537" s="226">
        <v>5.4509522182227658E-4</v>
      </c>
      <c r="G537" s="227">
        <v>5.0146349993418428E-4</v>
      </c>
      <c r="H537" s="226">
        <v>2.0000005732018801E-3</v>
      </c>
      <c r="I537" s="255">
        <v>2.4536614791138677E-3</v>
      </c>
      <c r="J537" s="256">
        <v>6.8928294901477466E-6</v>
      </c>
      <c r="K537" s="257">
        <v>7.2044926532143728E-6</v>
      </c>
      <c r="L537" s="228">
        <v>3.2609965814497564E-2</v>
      </c>
    </row>
    <row r="538" spans="1:12" s="212" customFormat="1" ht="15.5" x14ac:dyDescent="0.35">
      <c r="A538" s="198" t="s">
        <v>814</v>
      </c>
      <c r="B538" s="197">
        <v>2050</v>
      </c>
      <c r="C538" s="213" t="s">
        <v>3781</v>
      </c>
      <c r="D538" s="239">
        <v>3.7301274767477673E-3</v>
      </c>
      <c r="E538" s="226">
        <v>2.1642873955619295E-2</v>
      </c>
      <c r="F538" s="226">
        <v>5.4123555360705109E-4</v>
      </c>
      <c r="G538" s="227">
        <v>4.979049814557349E-4</v>
      </c>
      <c r="H538" s="226">
        <v>2.0000005732018805E-3</v>
      </c>
      <c r="I538" s="255">
        <v>2.4536016021397596E-3</v>
      </c>
      <c r="J538" s="256">
        <v>6.6439765430878758E-6</v>
      </c>
      <c r="K538" s="257">
        <v>6.9443876801570299E-6</v>
      </c>
      <c r="L538" s="228">
        <v>3.2569161138158713E-2</v>
      </c>
    </row>
    <row r="539" spans="1:12" s="212" customFormat="1" ht="15.5" x14ac:dyDescent="0.35">
      <c r="A539" s="198" t="s">
        <v>816</v>
      </c>
      <c r="B539" s="197">
        <v>2015</v>
      </c>
      <c r="C539" s="213" t="s">
        <v>887</v>
      </c>
      <c r="D539" s="239">
        <v>5.0539866615921213E-2</v>
      </c>
      <c r="E539" s="226">
        <v>0.22965841782355473</v>
      </c>
      <c r="F539" s="226">
        <v>1.8181991607487333E-3</v>
      </c>
      <c r="G539" s="227">
        <v>1.6810662921623114E-3</v>
      </c>
      <c r="H539" s="226">
        <v>2.0000005732018801E-3</v>
      </c>
      <c r="I539" s="255">
        <v>2.3196337220607191E-3</v>
      </c>
      <c r="J539" s="256">
        <v>1.3101414014774976E-4</v>
      </c>
      <c r="K539" s="257">
        <v>1.369380181985944E-4</v>
      </c>
      <c r="L539" s="228">
        <v>4.7858477922808625E-2</v>
      </c>
    </row>
    <row r="540" spans="1:12" s="212" customFormat="1" ht="15.5" x14ac:dyDescent="0.35">
      <c r="A540" s="198" t="s">
        <v>816</v>
      </c>
      <c r="B540" s="197">
        <v>2016</v>
      </c>
      <c r="C540" s="213" t="s">
        <v>888</v>
      </c>
      <c r="D540" s="239">
        <v>4.4772918569591577E-2</v>
      </c>
      <c r="E540" s="226">
        <v>0.21136278646414522</v>
      </c>
      <c r="F540" s="226">
        <v>1.7793075417602297E-3</v>
      </c>
      <c r="G540" s="227">
        <v>1.6437327795472678E-3</v>
      </c>
      <c r="H540" s="226">
        <v>2.0000005732018801E-3</v>
      </c>
      <c r="I540" s="255">
        <v>2.3162312586846034E-3</v>
      </c>
      <c r="J540" s="256">
        <v>1.1854584736267434E-4</v>
      </c>
      <c r="K540" s="257">
        <v>1.2390596454100805E-4</v>
      </c>
      <c r="L540" s="228">
        <v>4.6771755182619001E-2</v>
      </c>
    </row>
    <row r="541" spans="1:12" s="212" customFormat="1" ht="15.5" x14ac:dyDescent="0.35">
      <c r="A541" s="198" t="s">
        <v>816</v>
      </c>
      <c r="B541" s="197">
        <v>2017</v>
      </c>
      <c r="C541" s="213" t="s">
        <v>3782</v>
      </c>
      <c r="D541" s="239">
        <v>3.5625849254462723E-2</v>
      </c>
      <c r="E541" s="226">
        <v>0.17623371017102804</v>
      </c>
      <c r="F541" s="226">
        <v>1.6706965943338193E-3</v>
      </c>
      <c r="G541" s="227">
        <v>1.5419363034911643E-3</v>
      </c>
      <c r="H541" s="226">
        <v>2.0000005732018801E-3</v>
      </c>
      <c r="I541" s="255">
        <v>2.3173765998477603E-3</v>
      </c>
      <c r="J541" s="256">
        <v>9.9587103317751199E-5</v>
      </c>
      <c r="K541" s="257">
        <v>1.0408999021855399E-4</v>
      </c>
      <c r="L541" s="228">
        <v>4.6415276561162788E-2</v>
      </c>
    </row>
    <row r="542" spans="1:12" s="212" customFormat="1" ht="15.5" x14ac:dyDescent="0.35">
      <c r="A542" s="198" t="s">
        <v>816</v>
      </c>
      <c r="B542" s="197">
        <v>2018</v>
      </c>
      <c r="C542" s="213" t="s">
        <v>3783</v>
      </c>
      <c r="D542" s="239">
        <v>2.9938268321846439E-2</v>
      </c>
      <c r="E542" s="226">
        <v>0.1544505378331657</v>
      </c>
      <c r="F542" s="226">
        <v>1.6410865749996062E-3</v>
      </c>
      <c r="G542" s="227">
        <v>1.5134883144151533E-3</v>
      </c>
      <c r="H542" s="226">
        <v>2.0000005732018801E-3</v>
      </c>
      <c r="I542" s="255">
        <v>2.3179201772373656E-3</v>
      </c>
      <c r="J542" s="256">
        <v>8.8035008132090345E-5</v>
      </c>
      <c r="K542" s="257">
        <v>9.2015560550260647E-5</v>
      </c>
      <c r="L542" s="228">
        <v>4.5838706386237653E-2</v>
      </c>
    </row>
    <row r="543" spans="1:12" s="212" customFormat="1" ht="15.5" x14ac:dyDescent="0.35">
      <c r="A543" s="198" t="s">
        <v>816</v>
      </c>
      <c r="B543" s="197">
        <v>2019</v>
      </c>
      <c r="C543" s="213" t="s">
        <v>3784</v>
      </c>
      <c r="D543" s="239">
        <v>2.4689020988181046E-2</v>
      </c>
      <c r="E543" s="226">
        <v>0.13260462786545035</v>
      </c>
      <c r="F543" s="226">
        <v>1.6193979750152891E-3</v>
      </c>
      <c r="G543" s="227">
        <v>1.4928049334762897E-3</v>
      </c>
      <c r="H543" s="226">
        <v>2.0000005732018797E-3</v>
      </c>
      <c r="I543" s="255">
        <v>2.3187445363735426E-3</v>
      </c>
      <c r="J543" s="256">
        <v>8.5594739517631086E-5</v>
      </c>
      <c r="K543" s="257">
        <v>8.9464953817586975E-5</v>
      </c>
      <c r="L543" s="228">
        <v>4.5147813198441349E-2</v>
      </c>
    </row>
    <row r="544" spans="1:12" s="212" customFormat="1" ht="15.5" x14ac:dyDescent="0.35">
      <c r="A544" s="198" t="s">
        <v>816</v>
      </c>
      <c r="B544" s="197">
        <v>2020</v>
      </c>
      <c r="C544" s="213" t="s">
        <v>3785</v>
      </c>
      <c r="D544" s="239">
        <v>2.1484813417827826E-2</v>
      </c>
      <c r="E544" s="226">
        <v>0.11803200695566204</v>
      </c>
      <c r="F544" s="226">
        <v>1.5747225151790409E-3</v>
      </c>
      <c r="G544" s="227">
        <v>1.451281919089167E-3</v>
      </c>
      <c r="H544" s="226">
        <v>2.0000005732018801E-3</v>
      </c>
      <c r="I544" s="255">
        <v>2.2903165383384148E-3</v>
      </c>
      <c r="J544" s="256">
        <v>7.8511260966463453E-5</v>
      </c>
      <c r="K544" s="257">
        <v>8.2061191798806329E-5</v>
      </c>
      <c r="L544" s="228">
        <v>4.4764004314496869E-2</v>
      </c>
    </row>
    <row r="545" spans="1:12" s="212" customFormat="1" ht="15.5" x14ac:dyDescent="0.35">
      <c r="A545" s="198" t="s">
        <v>816</v>
      </c>
      <c r="B545" s="197">
        <v>2021</v>
      </c>
      <c r="C545" s="213" t="s">
        <v>3786</v>
      </c>
      <c r="D545" s="239">
        <v>1.8892625830316319E-2</v>
      </c>
      <c r="E545" s="226">
        <v>0.10457979515317804</v>
      </c>
      <c r="F545" s="226">
        <v>1.5132720973886822E-3</v>
      </c>
      <c r="G545" s="227">
        <v>1.3944386386400404E-3</v>
      </c>
      <c r="H545" s="226">
        <v>2.0000005732018801E-3</v>
      </c>
      <c r="I545" s="255">
        <v>2.3025009258194921E-3</v>
      </c>
      <c r="J545" s="256">
        <v>7.2197190966758872E-5</v>
      </c>
      <c r="K545" s="257">
        <v>7.5461627571985767E-5</v>
      </c>
      <c r="L545" s="228">
        <v>4.3890964629521773E-2</v>
      </c>
    </row>
    <row r="546" spans="1:12" s="212" customFormat="1" ht="15.5" x14ac:dyDescent="0.35">
      <c r="A546" s="198" t="s">
        <v>816</v>
      </c>
      <c r="B546" s="197">
        <v>2022</v>
      </c>
      <c r="C546" s="213" t="s">
        <v>3787</v>
      </c>
      <c r="D546" s="239">
        <v>1.6235427819113191E-2</v>
      </c>
      <c r="E546" s="226">
        <v>9.1669282861633464E-2</v>
      </c>
      <c r="F546" s="226">
        <v>1.4460672072354457E-3</v>
      </c>
      <c r="G546" s="227">
        <v>1.3322447288956129E-3</v>
      </c>
      <c r="H546" s="226">
        <v>2.0000005732018801E-3</v>
      </c>
      <c r="I546" s="255">
        <v>2.3232819644534953E-3</v>
      </c>
      <c r="J546" s="256">
        <v>6.6008776487383366E-5</v>
      </c>
      <c r="K546" s="257">
        <v>6.899340045053533E-5</v>
      </c>
      <c r="L546" s="228">
        <v>4.3088209145146258E-2</v>
      </c>
    </row>
    <row r="547" spans="1:12" s="212" customFormat="1" ht="15.5" x14ac:dyDescent="0.35">
      <c r="A547" s="198" t="s">
        <v>816</v>
      </c>
      <c r="B547" s="197">
        <v>2023</v>
      </c>
      <c r="C547" s="213" t="s">
        <v>3788</v>
      </c>
      <c r="D547" s="239">
        <v>1.429205369253689E-2</v>
      </c>
      <c r="E547" s="226">
        <v>8.0849097706164746E-2</v>
      </c>
      <c r="F547" s="226">
        <v>1.3820051304441808E-3</v>
      </c>
      <c r="G547" s="227">
        <v>1.2730750140017546E-3</v>
      </c>
      <c r="H547" s="226">
        <v>2.0000005732018801E-3</v>
      </c>
      <c r="I547" s="255">
        <v>2.324110206932488E-3</v>
      </c>
      <c r="J547" s="256">
        <v>5.9845705955135882E-5</v>
      </c>
      <c r="K547" s="257">
        <v>6.2551663217039967E-5</v>
      </c>
      <c r="L547" s="228">
        <v>4.2247564233498652E-2</v>
      </c>
    </row>
    <row r="548" spans="1:12" s="212" customFormat="1" ht="15.5" x14ac:dyDescent="0.35">
      <c r="A548" s="198" t="s">
        <v>816</v>
      </c>
      <c r="B548" s="197">
        <v>2024</v>
      </c>
      <c r="C548" s="213" t="s">
        <v>3789</v>
      </c>
      <c r="D548" s="239">
        <v>1.2594859136284782E-2</v>
      </c>
      <c r="E548" s="226">
        <v>7.1478684530473652E-2</v>
      </c>
      <c r="F548" s="226">
        <v>1.3219321422129483E-3</v>
      </c>
      <c r="G548" s="227">
        <v>1.2175269649431441E-3</v>
      </c>
      <c r="H548" s="226">
        <v>2.0000005732018801E-3</v>
      </c>
      <c r="I548" s="255">
        <v>2.3414502351325013E-3</v>
      </c>
      <c r="J548" s="256">
        <v>5.2550959143537227E-5</v>
      </c>
      <c r="K548" s="257">
        <v>5.4927080324580461E-5</v>
      </c>
      <c r="L548" s="228">
        <v>4.137327023987581E-2</v>
      </c>
    </row>
    <row r="549" spans="1:12" s="212" customFormat="1" ht="15.5" x14ac:dyDescent="0.35">
      <c r="A549" s="198" t="s">
        <v>816</v>
      </c>
      <c r="B549" s="197">
        <v>2025</v>
      </c>
      <c r="C549" s="213" t="s">
        <v>3790</v>
      </c>
      <c r="D549" s="239">
        <v>1.1188580638230753E-2</v>
      </c>
      <c r="E549" s="226">
        <v>6.3709697857556993E-2</v>
      </c>
      <c r="F549" s="226">
        <v>1.2711138053114921E-3</v>
      </c>
      <c r="G549" s="227">
        <v>1.1705598071569997E-3</v>
      </c>
      <c r="H549" s="226">
        <v>2.0000005732018805E-3</v>
      </c>
      <c r="I549" s="255">
        <v>2.342191331693359E-3</v>
      </c>
      <c r="J549" s="256">
        <v>4.6606429522885948E-5</v>
      </c>
      <c r="K549" s="257">
        <v>4.8713765452942858E-5</v>
      </c>
      <c r="L549" s="228">
        <v>4.0475953747740052E-2</v>
      </c>
    </row>
    <row r="550" spans="1:12" s="212" customFormat="1" ht="15.5" x14ac:dyDescent="0.35">
      <c r="A550" s="198" t="s">
        <v>816</v>
      </c>
      <c r="B550" s="197">
        <v>2026</v>
      </c>
      <c r="C550" s="213" t="s">
        <v>3791</v>
      </c>
      <c r="D550" s="239">
        <v>1.0012054545113421E-2</v>
      </c>
      <c r="E550" s="226">
        <v>5.7218776918017772E-2</v>
      </c>
      <c r="F550" s="226">
        <v>1.2183868237566021E-3</v>
      </c>
      <c r="G550" s="227">
        <v>1.1218442154637075E-3</v>
      </c>
      <c r="H550" s="226">
        <v>2.0000005732018801E-3</v>
      </c>
      <c r="I550" s="255">
        <v>2.3428201618679967E-3</v>
      </c>
      <c r="J550" s="256">
        <v>4.0604707681193376E-5</v>
      </c>
      <c r="K550" s="257">
        <v>4.2440672381815143E-5</v>
      </c>
      <c r="L550" s="228">
        <v>3.9606571879846279E-2</v>
      </c>
    </row>
    <row r="551" spans="1:12" s="212" customFormat="1" ht="15.5" x14ac:dyDescent="0.35">
      <c r="A551" s="198" t="s">
        <v>816</v>
      </c>
      <c r="B551" s="197">
        <v>2027</v>
      </c>
      <c r="C551" s="213" t="s">
        <v>3792</v>
      </c>
      <c r="D551" s="239">
        <v>9.0227679454908741E-3</v>
      </c>
      <c r="E551" s="226">
        <v>5.1685654349382736E-2</v>
      </c>
      <c r="F551" s="226">
        <v>1.1576906701193223E-3</v>
      </c>
      <c r="G551" s="227">
        <v>1.0657533147517735E-3</v>
      </c>
      <c r="H551" s="226">
        <v>2.0000005732018805E-3</v>
      </c>
      <c r="I551" s="255">
        <v>2.3496787323819017E-3</v>
      </c>
      <c r="J551" s="256">
        <v>3.3351677082969871E-5</v>
      </c>
      <c r="K551" s="257">
        <v>3.4859691924786679E-5</v>
      </c>
      <c r="L551" s="228">
        <v>3.8792020898720532E-2</v>
      </c>
    </row>
    <row r="552" spans="1:12" s="212" customFormat="1" ht="15.5" x14ac:dyDescent="0.35">
      <c r="A552" s="198" t="s">
        <v>816</v>
      </c>
      <c r="B552" s="197">
        <v>2028</v>
      </c>
      <c r="C552" s="213" t="s">
        <v>3793</v>
      </c>
      <c r="D552" s="239">
        <v>8.2008278878484744E-3</v>
      </c>
      <c r="E552" s="226">
        <v>4.7102855222144184E-2</v>
      </c>
      <c r="F552" s="226">
        <v>1.0913496389086744E-3</v>
      </c>
      <c r="G552" s="227">
        <v>1.0045401379884409E-3</v>
      </c>
      <c r="H552" s="226">
        <v>2.0000005732018801E-3</v>
      </c>
      <c r="I552" s="255">
        <v>2.3501627988569669E-3</v>
      </c>
      <c r="J552" s="256">
        <v>2.7832386946108006E-5</v>
      </c>
      <c r="K552" s="257">
        <v>2.9090843979423055E-5</v>
      </c>
      <c r="L552" s="228">
        <v>3.8042638075750972E-2</v>
      </c>
    </row>
    <row r="553" spans="1:12" s="212" customFormat="1" ht="15.5" x14ac:dyDescent="0.35">
      <c r="A553" s="198" t="s">
        <v>816</v>
      </c>
      <c r="B553" s="197">
        <v>2029</v>
      </c>
      <c r="C553" s="213" t="s">
        <v>3794</v>
      </c>
      <c r="D553" s="239">
        <v>7.4873099560332345E-3</v>
      </c>
      <c r="E553" s="226">
        <v>4.3184613514925869E-2</v>
      </c>
      <c r="F553" s="226">
        <v>1.0264068057305861E-3</v>
      </c>
      <c r="G553" s="227">
        <v>9.4465238039223077E-4</v>
      </c>
      <c r="H553" s="226">
        <v>2.0000005732018805E-3</v>
      </c>
      <c r="I553" s="255">
        <v>2.3506306875450307E-3</v>
      </c>
      <c r="J553" s="256">
        <v>2.3335292696582699E-5</v>
      </c>
      <c r="K553" s="257">
        <v>2.4390411083494426E-5</v>
      </c>
      <c r="L553" s="228">
        <v>3.7353802172550146E-2</v>
      </c>
    </row>
    <row r="554" spans="1:12" s="212" customFormat="1" ht="15.5" x14ac:dyDescent="0.35">
      <c r="A554" s="198" t="s">
        <v>816</v>
      </c>
      <c r="B554" s="197">
        <v>2030</v>
      </c>
      <c r="C554" s="213" t="s">
        <v>3795</v>
      </c>
      <c r="D554" s="239">
        <v>6.8781754525923198E-3</v>
      </c>
      <c r="E554" s="226">
        <v>3.9902803680062812E-2</v>
      </c>
      <c r="F554" s="226">
        <v>9.6189876485074154E-4</v>
      </c>
      <c r="G554" s="227">
        <v>8.8520431959888881E-4</v>
      </c>
      <c r="H554" s="226">
        <v>2.0000005732018801E-3</v>
      </c>
      <c r="I554" s="255">
        <v>2.3555114047764613E-3</v>
      </c>
      <c r="J554" s="256">
        <v>1.9862797814603119E-5</v>
      </c>
      <c r="K554" s="257">
        <v>2.0760905391919587E-5</v>
      </c>
      <c r="L554" s="228">
        <v>3.6726847577848692E-2</v>
      </c>
    </row>
    <row r="555" spans="1:12" s="212" customFormat="1" ht="15.5" x14ac:dyDescent="0.35">
      <c r="A555" s="198" t="s">
        <v>816</v>
      </c>
      <c r="B555" s="197">
        <v>2031</v>
      </c>
      <c r="C555" s="213" t="s">
        <v>3796</v>
      </c>
      <c r="D555" s="239">
        <v>6.3638039885646428E-3</v>
      </c>
      <c r="E555" s="226">
        <v>3.7095751743802169E-2</v>
      </c>
      <c r="F555" s="226">
        <v>9.0324148978911448E-4</v>
      </c>
      <c r="G555" s="227">
        <v>8.3118565733537777E-4</v>
      </c>
      <c r="H555" s="226">
        <v>2.0000005732018801E-3</v>
      </c>
      <c r="I555" s="255">
        <v>2.3577281327640922E-3</v>
      </c>
      <c r="J555" s="256">
        <v>1.7669349503961613E-5</v>
      </c>
      <c r="K555" s="257">
        <v>1.8468279081953565E-5</v>
      </c>
      <c r="L555" s="228">
        <v>3.6157518944283727E-2</v>
      </c>
    </row>
    <row r="556" spans="1:12" s="212" customFormat="1" ht="15.5" x14ac:dyDescent="0.35">
      <c r="A556" s="198" t="s">
        <v>816</v>
      </c>
      <c r="B556" s="197">
        <v>2032</v>
      </c>
      <c r="C556" s="213" t="s">
        <v>3797</v>
      </c>
      <c r="D556" s="239">
        <v>5.8986540891580071E-3</v>
      </c>
      <c r="E556" s="226">
        <v>3.4674194115935218E-2</v>
      </c>
      <c r="F556" s="226">
        <v>8.4516747087855638E-4</v>
      </c>
      <c r="G556" s="227">
        <v>7.7771086325945137E-4</v>
      </c>
      <c r="H556" s="226">
        <v>2.0000005732018801E-3</v>
      </c>
      <c r="I556" s="255">
        <v>2.3421390200763243E-3</v>
      </c>
      <c r="J556" s="256">
        <v>1.5670591314335987E-5</v>
      </c>
      <c r="K556" s="257">
        <v>1.6379145916351176E-5</v>
      </c>
      <c r="L556" s="228">
        <v>3.5640190136158476E-2</v>
      </c>
    </row>
    <row r="557" spans="1:12" s="212" customFormat="1" ht="15.5" x14ac:dyDescent="0.35">
      <c r="A557" s="198" t="s">
        <v>816</v>
      </c>
      <c r="B557" s="197">
        <v>2033</v>
      </c>
      <c r="C557" s="213" t="s">
        <v>3798</v>
      </c>
      <c r="D557" s="239">
        <v>5.5177473446028956E-3</v>
      </c>
      <c r="E557" s="226">
        <v>3.2642412408821701E-2</v>
      </c>
      <c r="F557" s="226">
        <v>7.9494780883663564E-4</v>
      </c>
      <c r="G557" s="227">
        <v>7.3148262250667651E-4</v>
      </c>
      <c r="H557" s="226">
        <v>2.0000005732018801E-3</v>
      </c>
      <c r="I557" s="255">
        <v>2.3422122591756998E-3</v>
      </c>
      <c r="J557" s="256">
        <v>1.4307364005578875E-5</v>
      </c>
      <c r="K557" s="257">
        <v>1.4954279517923653E-5</v>
      </c>
      <c r="L557" s="228">
        <v>3.5173346999673193E-2</v>
      </c>
    </row>
    <row r="558" spans="1:12" s="212" customFormat="1" ht="15.5" x14ac:dyDescent="0.35">
      <c r="A558" s="198" t="s">
        <v>816</v>
      </c>
      <c r="B558" s="197">
        <v>2034</v>
      </c>
      <c r="C558" s="213" t="s">
        <v>3799</v>
      </c>
      <c r="D558" s="239">
        <v>5.1749211335664477E-3</v>
      </c>
      <c r="E558" s="226">
        <v>3.0891189284919202E-2</v>
      </c>
      <c r="F558" s="226">
        <v>7.4779865729702501E-4</v>
      </c>
      <c r="G558" s="227">
        <v>6.8808297461791222E-4</v>
      </c>
      <c r="H558" s="226">
        <v>2.0000005732018801E-3</v>
      </c>
      <c r="I558" s="255">
        <v>2.3421892855931786E-3</v>
      </c>
      <c r="J558" s="256">
        <v>1.3082006362264317E-5</v>
      </c>
      <c r="K558" s="257">
        <v>1.3673516639422447E-5</v>
      </c>
      <c r="L558" s="228">
        <v>3.4753090134786425E-2</v>
      </c>
    </row>
    <row r="559" spans="1:12" s="212" customFormat="1" ht="15.5" x14ac:dyDescent="0.35">
      <c r="A559" s="198" t="s">
        <v>816</v>
      </c>
      <c r="B559" s="197">
        <v>2035</v>
      </c>
      <c r="C559" s="213" t="s">
        <v>3800</v>
      </c>
      <c r="D559" s="239">
        <v>4.8745577387089029E-3</v>
      </c>
      <c r="E559" s="226">
        <v>2.9402648787155247E-2</v>
      </c>
      <c r="F559" s="226">
        <v>7.0427243987074273E-4</v>
      </c>
      <c r="G559" s="227">
        <v>6.4801891703308401E-4</v>
      </c>
      <c r="H559" s="226">
        <v>2.0000005732018801E-3</v>
      </c>
      <c r="I559" s="255">
        <v>2.3420943291417788E-3</v>
      </c>
      <c r="J559" s="256">
        <v>1.1970503755030254E-5</v>
      </c>
      <c r="K559" s="257">
        <v>1.2511756816509026E-5</v>
      </c>
      <c r="L559" s="228">
        <v>3.4380534034044549E-2</v>
      </c>
    </row>
    <row r="560" spans="1:12" s="212" customFormat="1" ht="15.5" x14ac:dyDescent="0.35">
      <c r="A560" s="198" t="s">
        <v>816</v>
      </c>
      <c r="B560" s="197">
        <v>2036</v>
      </c>
      <c r="C560" s="213" t="s">
        <v>3801</v>
      </c>
      <c r="D560" s="239">
        <v>4.6047735229246423E-3</v>
      </c>
      <c r="E560" s="226">
        <v>2.8097876297533957E-2</v>
      </c>
      <c r="F560" s="226">
        <v>6.6606325188113959E-4</v>
      </c>
      <c r="G560" s="227">
        <v>6.1285107777955242E-4</v>
      </c>
      <c r="H560" s="226">
        <v>2.0000005732018801E-3</v>
      </c>
      <c r="I560" s="255">
        <v>2.3419319414599337E-3</v>
      </c>
      <c r="J560" s="256">
        <v>1.1049080320008987E-5</v>
      </c>
      <c r="K560" s="257">
        <v>1.1548670702512008E-5</v>
      </c>
      <c r="L560" s="228">
        <v>3.4052522051073689E-2</v>
      </c>
    </row>
    <row r="561" spans="1:12" s="212" customFormat="1" ht="15.5" x14ac:dyDescent="0.35">
      <c r="A561" s="198" t="s">
        <v>816</v>
      </c>
      <c r="B561" s="197">
        <v>2037</v>
      </c>
      <c r="C561" s="213" t="s">
        <v>3802</v>
      </c>
      <c r="D561" s="239">
        <v>4.3774155495423213E-3</v>
      </c>
      <c r="E561" s="226">
        <v>2.7013605945828561E-2</v>
      </c>
      <c r="F561" s="226">
        <v>6.3177994429175401E-4</v>
      </c>
      <c r="G561" s="227">
        <v>5.8129323105597175E-4</v>
      </c>
      <c r="H561" s="226">
        <v>2.0000005732018797E-3</v>
      </c>
      <c r="I561" s="255">
        <v>2.3417460321351427E-3</v>
      </c>
      <c r="J561" s="256">
        <v>1.0135110570622254E-5</v>
      </c>
      <c r="K561" s="257">
        <v>1.0593375296738714E-5</v>
      </c>
      <c r="L561" s="228">
        <v>3.3766691120059096E-2</v>
      </c>
    </row>
    <row r="562" spans="1:12" s="212" customFormat="1" ht="15.5" x14ac:dyDescent="0.35">
      <c r="A562" s="198" t="s">
        <v>816</v>
      </c>
      <c r="B562" s="197">
        <v>2038</v>
      </c>
      <c r="C562" s="213" t="s">
        <v>3803</v>
      </c>
      <c r="D562" s="239">
        <v>4.1936473167103437E-3</v>
      </c>
      <c r="E562" s="226">
        <v>2.6080594340361227E-2</v>
      </c>
      <c r="F562" s="226">
        <v>6.0384654158494172E-4</v>
      </c>
      <c r="G562" s="227">
        <v>5.5558493894684207E-4</v>
      </c>
      <c r="H562" s="226">
        <v>2.0000005732018805E-3</v>
      </c>
      <c r="I562" s="255">
        <v>2.3988079802259379E-3</v>
      </c>
      <c r="J562" s="256">
        <v>9.5047818060623894E-6</v>
      </c>
      <c r="K562" s="257">
        <v>9.9345458624879147E-6</v>
      </c>
      <c r="L562" s="228">
        <v>3.3519590182867327E-2</v>
      </c>
    </row>
    <row r="563" spans="1:12" s="212" customFormat="1" ht="15.5" x14ac:dyDescent="0.35">
      <c r="A563" s="198" t="s">
        <v>816</v>
      </c>
      <c r="B563" s="197">
        <v>2039</v>
      </c>
      <c r="C563" s="213" t="s">
        <v>3804</v>
      </c>
      <c r="D563" s="239">
        <v>3.9891724569479864E-3</v>
      </c>
      <c r="E563" s="226">
        <v>2.5147259365598557E-2</v>
      </c>
      <c r="F563" s="226">
        <v>5.7634572367237899E-4</v>
      </c>
      <c r="G563" s="227">
        <v>5.3027565288728132E-4</v>
      </c>
      <c r="H563" s="226">
        <v>2.0000005732018801E-3</v>
      </c>
      <c r="I563" s="255">
        <v>2.3986122123688799E-3</v>
      </c>
      <c r="J563" s="256">
        <v>8.9067991979201628E-6</v>
      </c>
      <c r="K563" s="257">
        <v>9.3095251343140361E-6</v>
      </c>
      <c r="L563" s="228">
        <v>3.3306022180458333E-2</v>
      </c>
    </row>
    <row r="564" spans="1:12" s="212" customFormat="1" ht="15.5" x14ac:dyDescent="0.35">
      <c r="A564" s="198" t="s">
        <v>816</v>
      </c>
      <c r="B564" s="197">
        <v>2040</v>
      </c>
      <c r="C564" s="213" t="s">
        <v>3805</v>
      </c>
      <c r="D564" s="239">
        <v>3.8106782750816286E-3</v>
      </c>
      <c r="E564" s="226">
        <v>2.4356756433370659E-2</v>
      </c>
      <c r="F564" s="226">
        <v>5.523163581636453E-4</v>
      </c>
      <c r="G564" s="227">
        <v>5.0816232924388947E-4</v>
      </c>
      <c r="H564" s="226">
        <v>2.0000005732018801E-3</v>
      </c>
      <c r="I564" s="255">
        <v>2.3984523633104665E-3</v>
      </c>
      <c r="J564" s="256">
        <v>8.4137901581419084E-6</v>
      </c>
      <c r="K564" s="257">
        <v>8.7942244134522164E-6</v>
      </c>
      <c r="L564" s="228">
        <v>3.3123250656803424E-2</v>
      </c>
    </row>
    <row r="565" spans="1:12" s="212" customFormat="1" ht="15.5" x14ac:dyDescent="0.35">
      <c r="A565" s="198" t="s">
        <v>816</v>
      </c>
      <c r="B565" s="197">
        <v>2041</v>
      </c>
      <c r="C565" s="213" t="s">
        <v>3806</v>
      </c>
      <c r="D565" s="239">
        <v>3.6736228521555649E-3</v>
      </c>
      <c r="E565" s="226">
        <v>2.3706600892201276E-2</v>
      </c>
      <c r="F565" s="226">
        <v>5.3356133545907057E-4</v>
      </c>
      <c r="G565" s="227">
        <v>4.9090207709886612E-4</v>
      </c>
      <c r="H565" s="226">
        <v>2.0000005732018805E-3</v>
      </c>
      <c r="I565" s="255">
        <v>2.3983348130325773E-3</v>
      </c>
      <c r="J565" s="256">
        <v>8.010815047320921E-6</v>
      </c>
      <c r="K565" s="257">
        <v>8.3730285562954772E-6</v>
      </c>
      <c r="L565" s="228">
        <v>3.2969657920687498E-2</v>
      </c>
    </row>
    <row r="566" spans="1:12" s="212" customFormat="1" ht="15.5" x14ac:dyDescent="0.35">
      <c r="A566" s="198" t="s">
        <v>816</v>
      </c>
      <c r="B566" s="197">
        <v>2042</v>
      </c>
      <c r="C566" s="213" t="s">
        <v>3807</v>
      </c>
      <c r="D566" s="239">
        <v>3.552550075922414E-3</v>
      </c>
      <c r="E566" s="226">
        <v>2.3092595826990556E-2</v>
      </c>
      <c r="F566" s="226">
        <v>5.174688717677244E-4</v>
      </c>
      <c r="G566" s="227">
        <v>4.7609305844141823E-4</v>
      </c>
      <c r="H566" s="226">
        <v>2.0000005732018801E-3</v>
      </c>
      <c r="I566" s="255">
        <v>2.398224438100035E-3</v>
      </c>
      <c r="J566" s="256">
        <v>7.6876276198226573E-6</v>
      </c>
      <c r="K566" s="257">
        <v>8.0352280274487012E-6</v>
      </c>
      <c r="L566" s="228">
        <v>3.2838201003503473E-2</v>
      </c>
    </row>
    <row r="567" spans="1:12" s="212" customFormat="1" ht="15.5" x14ac:dyDescent="0.35">
      <c r="A567" s="198" t="s">
        <v>816</v>
      </c>
      <c r="B567" s="197">
        <v>2043</v>
      </c>
      <c r="C567" s="213" t="s">
        <v>3808</v>
      </c>
      <c r="D567" s="239">
        <v>3.4570383819690475E-3</v>
      </c>
      <c r="E567" s="226">
        <v>2.2568382456573461E-2</v>
      </c>
      <c r="F567" s="226">
        <v>5.0377521703423871E-4</v>
      </c>
      <c r="G567" s="227">
        <v>4.6349174542044679E-4</v>
      </c>
      <c r="H567" s="226">
        <v>2.0000005732018753E-3</v>
      </c>
      <c r="I567" s="255">
        <v>2.3981544339955283E-3</v>
      </c>
      <c r="J567" s="256">
        <v>7.4180642260535204E-6</v>
      </c>
      <c r="K567" s="257">
        <v>7.7534761731831711E-6</v>
      </c>
      <c r="L567" s="228">
        <v>3.2728124768263818E-2</v>
      </c>
    </row>
    <row r="568" spans="1:12" s="212" customFormat="1" ht="15.5" x14ac:dyDescent="0.35">
      <c r="A568" s="198" t="s">
        <v>816</v>
      </c>
      <c r="B568" s="197">
        <v>2044</v>
      </c>
      <c r="C568" s="213" t="s">
        <v>3809</v>
      </c>
      <c r="D568" s="239">
        <v>3.3824269395516552E-3</v>
      </c>
      <c r="E568" s="226">
        <v>2.2080635120282861E-2</v>
      </c>
      <c r="F568" s="226">
        <v>4.9213581953444431E-4</v>
      </c>
      <c r="G568" s="227">
        <v>4.5278065132916368E-4</v>
      </c>
      <c r="H568" s="226">
        <v>2.0000005732018801E-3</v>
      </c>
      <c r="I568" s="255">
        <v>2.3981090934911613E-3</v>
      </c>
      <c r="J568" s="256">
        <v>7.1845667464186368E-6</v>
      </c>
      <c r="K568" s="257">
        <v>7.509420973648924E-6</v>
      </c>
      <c r="L568" s="228">
        <v>3.263468292676483E-2</v>
      </c>
    </row>
    <row r="569" spans="1:12" s="212" customFormat="1" ht="15.5" x14ac:dyDescent="0.35">
      <c r="A569" s="198" t="s">
        <v>816</v>
      </c>
      <c r="B569" s="197">
        <v>2045</v>
      </c>
      <c r="C569" s="213" t="s">
        <v>3810</v>
      </c>
      <c r="D569" s="239">
        <v>3.3251990099251337E-3</v>
      </c>
      <c r="E569" s="226">
        <v>2.1621480196717158E-2</v>
      </c>
      <c r="F569" s="226">
        <v>4.8222222064849078E-4</v>
      </c>
      <c r="G569" s="227">
        <v>4.4365858284818832E-4</v>
      </c>
      <c r="H569" s="226">
        <v>2.0000005732018801E-3</v>
      </c>
      <c r="I569" s="255">
        <v>2.398087885981723E-3</v>
      </c>
      <c r="J569" s="256">
        <v>7.0079821364902331E-6</v>
      </c>
      <c r="K569" s="257">
        <v>7.3248519912421455E-6</v>
      </c>
      <c r="L569" s="228">
        <v>3.2552846025243304E-2</v>
      </c>
    </row>
    <row r="570" spans="1:12" s="212" customFormat="1" ht="15.5" x14ac:dyDescent="0.35">
      <c r="A570" s="198" t="s">
        <v>816</v>
      </c>
      <c r="B570" s="197">
        <v>2046</v>
      </c>
      <c r="C570" s="213" t="s">
        <v>3811</v>
      </c>
      <c r="D570" s="239">
        <v>3.2694600087744621E-3</v>
      </c>
      <c r="E570" s="226">
        <v>2.1167967910240535E-2</v>
      </c>
      <c r="F570" s="226">
        <v>4.7385624266712477E-4</v>
      </c>
      <c r="G570" s="227">
        <v>4.3596098449500559E-4</v>
      </c>
      <c r="H570" s="226">
        <v>2.0000005732018805E-3</v>
      </c>
      <c r="I570" s="255">
        <v>2.3980807476289899E-3</v>
      </c>
      <c r="J570" s="256">
        <v>6.8696347737883057E-6</v>
      </c>
      <c r="K570" s="257">
        <v>7.1802491747061817E-6</v>
      </c>
      <c r="L570" s="228">
        <v>3.2481661230413031E-2</v>
      </c>
    </row>
    <row r="571" spans="1:12" s="212" customFormat="1" ht="15.5" x14ac:dyDescent="0.35">
      <c r="A571" s="198" t="s">
        <v>816</v>
      </c>
      <c r="B571" s="197">
        <v>2047</v>
      </c>
      <c r="C571" s="213" t="s">
        <v>3812</v>
      </c>
      <c r="D571" s="239">
        <v>3.2208865369376047E-3</v>
      </c>
      <c r="E571" s="226">
        <v>2.0768553479547879E-2</v>
      </c>
      <c r="F571" s="226">
        <v>4.6688518401040321E-4</v>
      </c>
      <c r="G571" s="227">
        <v>4.2954664112588236E-4</v>
      </c>
      <c r="H571" s="226">
        <v>2.0000005732018801E-3</v>
      </c>
      <c r="I571" s="255">
        <v>2.3981120553836499E-3</v>
      </c>
      <c r="J571" s="256">
        <v>6.7486925797964165E-6</v>
      </c>
      <c r="K571" s="257">
        <v>7.0538385113750109E-6</v>
      </c>
      <c r="L571" s="228">
        <v>3.2422860618528809E-2</v>
      </c>
    </row>
    <row r="572" spans="1:12" s="212" customFormat="1" ht="15.5" x14ac:dyDescent="0.35">
      <c r="A572" s="198" t="s">
        <v>816</v>
      </c>
      <c r="B572" s="197">
        <v>2048</v>
      </c>
      <c r="C572" s="213" t="s">
        <v>3813</v>
      </c>
      <c r="D572" s="239">
        <v>3.1799936205525537E-3</v>
      </c>
      <c r="E572" s="226">
        <v>2.0436013398323509E-2</v>
      </c>
      <c r="F572" s="226">
        <v>4.6106241136390874E-4</v>
      </c>
      <c r="G572" s="227">
        <v>4.2418893044763228E-4</v>
      </c>
      <c r="H572" s="226">
        <v>2.0000005732018805E-3</v>
      </c>
      <c r="I572" s="255">
        <v>2.3981685044123929E-3</v>
      </c>
      <c r="J572" s="256">
        <v>6.6489523871623512E-6</v>
      </c>
      <c r="K572" s="257">
        <v>6.9495885098205844E-6</v>
      </c>
      <c r="L572" s="228">
        <v>3.2373006545534926E-2</v>
      </c>
    </row>
    <row r="573" spans="1:12" s="212" customFormat="1" ht="15.5" x14ac:dyDescent="0.35">
      <c r="A573" s="198" t="s">
        <v>816</v>
      </c>
      <c r="B573" s="197">
        <v>2049</v>
      </c>
      <c r="C573" s="213" t="s">
        <v>3814</v>
      </c>
      <c r="D573" s="239">
        <v>3.1718186161232764E-3</v>
      </c>
      <c r="E573" s="226">
        <v>2.0403825247021754E-2</v>
      </c>
      <c r="F573" s="226">
        <v>4.574536398708093E-4</v>
      </c>
      <c r="G573" s="227">
        <v>4.2086804327406805E-4</v>
      </c>
      <c r="H573" s="226">
        <v>2.0000005732018801E-3</v>
      </c>
      <c r="I573" s="255">
        <v>2.3982480188586069E-3</v>
      </c>
      <c r="J573" s="256">
        <v>6.5782441666413017E-6</v>
      </c>
      <c r="K573" s="257">
        <v>6.8756831773306744E-6</v>
      </c>
      <c r="L573" s="228">
        <v>3.2329908403635817E-2</v>
      </c>
    </row>
    <row r="574" spans="1:12" s="212" customFormat="1" ht="15.5" x14ac:dyDescent="0.35">
      <c r="A574" s="198" t="s">
        <v>816</v>
      </c>
      <c r="B574" s="197">
        <v>2050</v>
      </c>
      <c r="C574" s="213" t="s">
        <v>3815</v>
      </c>
      <c r="D574" s="239">
        <v>3.1653359081197196E-3</v>
      </c>
      <c r="E574" s="226">
        <v>2.037334478134941E-2</v>
      </c>
      <c r="F574" s="226">
        <v>4.5435650594312984E-4</v>
      </c>
      <c r="G574" s="227">
        <v>4.1801032241421785E-4</v>
      </c>
      <c r="H574" s="226">
        <v>2.0000005732018797E-3</v>
      </c>
      <c r="I574" s="255">
        <v>2.398366674970287E-3</v>
      </c>
      <c r="J574" s="256">
        <v>6.3210624813738957E-6</v>
      </c>
      <c r="K574" s="257">
        <v>6.6068728774822811E-6</v>
      </c>
      <c r="L574" s="228">
        <v>3.2296260941079492E-2</v>
      </c>
    </row>
    <row r="575" spans="1:12" s="212" customFormat="1" ht="15.5" x14ac:dyDescent="0.35">
      <c r="A575" s="198" t="s">
        <v>818</v>
      </c>
      <c r="B575" s="197">
        <v>2015</v>
      </c>
      <c r="C575" s="213" t="s">
        <v>889</v>
      </c>
      <c r="D575" s="239">
        <v>5.2407660519927506E-2</v>
      </c>
      <c r="E575" s="226">
        <v>0.23812372565545042</v>
      </c>
      <c r="F575" s="226">
        <v>1.8997400885448425E-3</v>
      </c>
      <c r="G575" s="227">
        <v>1.7561206184933326E-3</v>
      </c>
      <c r="H575" s="226">
        <v>2.0000005732018797E-3</v>
      </c>
      <c r="I575" s="255">
        <v>1.6239239316513763E-3</v>
      </c>
      <c r="J575" s="256">
        <v>1.3690409242022827E-4</v>
      </c>
      <c r="K575" s="257">
        <v>1.4309428797655785E-4</v>
      </c>
      <c r="L575" s="228">
        <v>4.6290347831478812E-2</v>
      </c>
    </row>
    <row r="576" spans="1:12" s="212" customFormat="1" ht="15.5" x14ac:dyDescent="0.35">
      <c r="A576" s="198" t="s">
        <v>818</v>
      </c>
      <c r="B576" s="197">
        <v>2016</v>
      </c>
      <c r="C576" s="213" t="s">
        <v>890</v>
      </c>
      <c r="D576" s="239">
        <v>4.6153043509595801E-2</v>
      </c>
      <c r="E576" s="226">
        <v>0.2158515596127521</v>
      </c>
      <c r="F576" s="226">
        <v>1.8541178201008401E-3</v>
      </c>
      <c r="G576" s="227">
        <v>1.7129133039713797E-3</v>
      </c>
      <c r="H576" s="226">
        <v>2.0000005732018805E-3</v>
      </c>
      <c r="I576" s="255">
        <v>1.6170133172718861E-3</v>
      </c>
      <c r="J576" s="256">
        <v>1.2996866795859105E-4</v>
      </c>
      <c r="K576" s="257">
        <v>1.3584527439625642E-4</v>
      </c>
      <c r="L576" s="228">
        <v>4.513356015219553E-2</v>
      </c>
    </row>
    <row r="577" spans="1:12" s="212" customFormat="1" ht="15.5" x14ac:dyDescent="0.35">
      <c r="A577" s="198" t="s">
        <v>818</v>
      </c>
      <c r="B577" s="197">
        <v>2017</v>
      </c>
      <c r="C577" s="213" t="s">
        <v>3816</v>
      </c>
      <c r="D577" s="239">
        <v>3.6916484852132898E-2</v>
      </c>
      <c r="E577" s="226">
        <v>0.17900753927493723</v>
      </c>
      <c r="F577" s="226">
        <v>1.7426329041434589E-3</v>
      </c>
      <c r="G577" s="227">
        <v>1.6086340004045189E-3</v>
      </c>
      <c r="H577" s="226">
        <v>2.0000005732018805E-3</v>
      </c>
      <c r="I577" s="255">
        <v>1.6191697796711351E-3</v>
      </c>
      <c r="J577" s="256">
        <v>1.1213010012015826E-4</v>
      </c>
      <c r="K577" s="257">
        <v>1.1720012567764174E-4</v>
      </c>
      <c r="L577" s="228">
        <v>4.4864706666601833E-2</v>
      </c>
    </row>
    <row r="578" spans="1:12" s="212" customFormat="1" ht="15.5" x14ac:dyDescent="0.35">
      <c r="A578" s="198" t="s">
        <v>818</v>
      </c>
      <c r="B578" s="197">
        <v>2018</v>
      </c>
      <c r="C578" s="213" t="s">
        <v>3817</v>
      </c>
      <c r="D578" s="239">
        <v>3.0973005638783697E-2</v>
      </c>
      <c r="E578" s="226">
        <v>0.15590834011679172</v>
      </c>
      <c r="F578" s="226">
        <v>1.7010728894128265E-3</v>
      </c>
      <c r="G578" s="227">
        <v>1.5689394297967421E-3</v>
      </c>
      <c r="H578" s="226">
        <v>2.0000005732018805E-3</v>
      </c>
      <c r="I578" s="255">
        <v>1.6191478433316986E-3</v>
      </c>
      <c r="J578" s="256">
        <v>9.4629107960219152E-5</v>
      </c>
      <c r="K578" s="257">
        <v>9.8907816311732681E-5</v>
      </c>
      <c r="L578" s="228">
        <v>4.4284962414176184E-2</v>
      </c>
    </row>
    <row r="579" spans="1:12" s="212" customFormat="1" ht="15.5" x14ac:dyDescent="0.35">
      <c r="A579" s="198" t="s">
        <v>818</v>
      </c>
      <c r="B579" s="197">
        <v>2019</v>
      </c>
      <c r="C579" s="213" t="s">
        <v>3818</v>
      </c>
      <c r="D579" s="239">
        <v>2.5528807799534082E-2</v>
      </c>
      <c r="E579" s="226">
        <v>0.13359965275494745</v>
      </c>
      <c r="F579" s="226">
        <v>1.6825205030407586E-3</v>
      </c>
      <c r="G579" s="227">
        <v>1.5511129311726682E-3</v>
      </c>
      <c r="H579" s="226">
        <v>2.0000005732018797E-3</v>
      </c>
      <c r="I579" s="255">
        <v>1.6193701984220314E-3</v>
      </c>
      <c r="J579" s="256">
        <v>9.1640667551937593E-5</v>
      </c>
      <c r="K579" s="257">
        <v>9.5784251889196516E-5</v>
      </c>
      <c r="L579" s="228">
        <v>4.3621111335093464E-2</v>
      </c>
    </row>
    <row r="580" spans="1:12" s="212" customFormat="1" ht="15.5" x14ac:dyDescent="0.35">
      <c r="A580" s="198" t="s">
        <v>818</v>
      </c>
      <c r="B580" s="197">
        <v>2020</v>
      </c>
      <c r="C580" s="213" t="s">
        <v>3819</v>
      </c>
      <c r="D580" s="239">
        <v>2.1934567079219338E-2</v>
      </c>
      <c r="E580" s="226">
        <v>0.11807131713489953</v>
      </c>
      <c r="F580" s="226">
        <v>1.6407721684987085E-3</v>
      </c>
      <c r="G580" s="227">
        <v>1.5122074605768455E-3</v>
      </c>
      <c r="H580" s="226">
        <v>2.0000005732018801E-3</v>
      </c>
      <c r="I580" s="255">
        <v>1.6205890634735046E-3</v>
      </c>
      <c r="J580" s="256">
        <v>8.4349587478073135E-5</v>
      </c>
      <c r="K580" s="257">
        <v>8.8163501528080638E-5</v>
      </c>
      <c r="L580" s="228">
        <v>4.3294358222140526E-2</v>
      </c>
    </row>
    <row r="581" spans="1:12" s="212" customFormat="1" ht="15.5" x14ac:dyDescent="0.35">
      <c r="A581" s="198" t="s">
        <v>818</v>
      </c>
      <c r="B581" s="197">
        <v>2021</v>
      </c>
      <c r="C581" s="213" t="s">
        <v>3820</v>
      </c>
      <c r="D581" s="239">
        <v>1.9158497432410999E-2</v>
      </c>
      <c r="E581" s="226">
        <v>0.10397259303730437</v>
      </c>
      <c r="F581" s="226">
        <v>1.5741420816660283E-3</v>
      </c>
      <c r="G581" s="227">
        <v>1.4505002099383958E-3</v>
      </c>
      <c r="H581" s="226">
        <v>2.0000005732018801E-3</v>
      </c>
      <c r="I581" s="255">
        <v>1.6264984375812508E-3</v>
      </c>
      <c r="J581" s="256">
        <v>7.552102592576495E-5</v>
      </c>
      <c r="K581" s="257">
        <v>7.8935751598538847E-5</v>
      </c>
      <c r="L581" s="228">
        <v>4.2426746933952895E-2</v>
      </c>
    </row>
    <row r="582" spans="1:12" s="212" customFormat="1" ht="15.5" x14ac:dyDescent="0.35">
      <c r="A582" s="198" t="s">
        <v>818</v>
      </c>
      <c r="B582" s="197">
        <v>2022</v>
      </c>
      <c r="C582" s="213" t="s">
        <v>3821</v>
      </c>
      <c r="D582" s="239">
        <v>1.6527467015782893E-2</v>
      </c>
      <c r="E582" s="226">
        <v>9.0986228953534073E-2</v>
      </c>
      <c r="F582" s="226">
        <v>1.505341193537563E-3</v>
      </c>
      <c r="G582" s="227">
        <v>1.3868525418187063E-3</v>
      </c>
      <c r="H582" s="226">
        <v>2.0000005732018801E-3</v>
      </c>
      <c r="I582" s="255">
        <v>1.6313733984090646E-3</v>
      </c>
      <c r="J582" s="256">
        <v>6.8689829330772031E-5</v>
      </c>
      <c r="K582" s="257">
        <v>7.179567860650622E-5</v>
      </c>
      <c r="L582" s="228">
        <v>4.164858941856435E-2</v>
      </c>
    </row>
    <row r="583" spans="1:12" s="212" customFormat="1" ht="15.5" x14ac:dyDescent="0.35">
      <c r="A583" s="198" t="s">
        <v>818</v>
      </c>
      <c r="B583" s="197">
        <v>2023</v>
      </c>
      <c r="C583" s="213" t="s">
        <v>3822</v>
      </c>
      <c r="D583" s="239">
        <v>1.4467819876169382E-2</v>
      </c>
      <c r="E583" s="226">
        <v>7.9864808600402237E-2</v>
      </c>
      <c r="F583" s="226">
        <v>1.4378106353118863E-3</v>
      </c>
      <c r="G583" s="227">
        <v>1.324403149702546E-3</v>
      </c>
      <c r="H583" s="226">
        <v>2.0000005732018805E-3</v>
      </c>
      <c r="I583" s="255">
        <v>1.6316764456972305E-3</v>
      </c>
      <c r="J583" s="256">
        <v>6.0381459560688966E-5</v>
      </c>
      <c r="K583" s="257">
        <v>6.3111641223264752E-5</v>
      </c>
      <c r="L583" s="228">
        <v>4.0820989360158134E-2</v>
      </c>
    </row>
    <row r="584" spans="1:12" s="212" customFormat="1" ht="15.5" x14ac:dyDescent="0.35">
      <c r="A584" s="198" t="s">
        <v>818</v>
      </c>
      <c r="B584" s="197">
        <v>2024</v>
      </c>
      <c r="C584" s="213" t="s">
        <v>3823</v>
      </c>
      <c r="D584" s="239">
        <v>1.2730623158970061E-2</v>
      </c>
      <c r="E584" s="226">
        <v>7.0483406890282402E-2</v>
      </c>
      <c r="F584" s="226">
        <v>1.374504168977321E-3</v>
      </c>
      <c r="G584" s="227">
        <v>1.2657627421966595E-3</v>
      </c>
      <c r="H584" s="226">
        <v>2.0000005732018805E-3</v>
      </c>
      <c r="I584" s="255">
        <v>1.628846307280561E-3</v>
      </c>
      <c r="J584" s="256">
        <v>4.9918246418715232E-5</v>
      </c>
      <c r="K584" s="257">
        <v>5.2175328012831775E-5</v>
      </c>
      <c r="L584" s="228">
        <v>3.9947526847531209E-2</v>
      </c>
    </row>
    <row r="585" spans="1:12" s="212" customFormat="1" ht="15.5" x14ac:dyDescent="0.35">
      <c r="A585" s="198" t="s">
        <v>818</v>
      </c>
      <c r="B585" s="197">
        <v>2025</v>
      </c>
      <c r="C585" s="213" t="s">
        <v>3824</v>
      </c>
      <c r="D585" s="239">
        <v>1.1291765270394884E-2</v>
      </c>
      <c r="E585" s="226">
        <v>6.2728350533936078E-2</v>
      </c>
      <c r="F585" s="226">
        <v>1.3239526795819948E-3</v>
      </c>
      <c r="G585" s="227">
        <v>1.2190595588593533E-3</v>
      </c>
      <c r="H585" s="226">
        <v>2.0000005732018801E-3</v>
      </c>
      <c r="I585" s="255">
        <v>1.6291911988750489E-3</v>
      </c>
      <c r="J585" s="256">
        <v>4.446415541896993E-5</v>
      </c>
      <c r="K585" s="257">
        <v>4.6474627220248269E-5</v>
      </c>
      <c r="L585" s="228">
        <v>3.9053370156152019E-2</v>
      </c>
    </row>
    <row r="586" spans="1:12" s="212" customFormat="1" ht="15.5" x14ac:dyDescent="0.35">
      <c r="A586" s="198" t="s">
        <v>818</v>
      </c>
      <c r="B586" s="197">
        <v>2026</v>
      </c>
      <c r="C586" s="213" t="s">
        <v>3825</v>
      </c>
      <c r="D586" s="239">
        <v>1.0089601357527263E-2</v>
      </c>
      <c r="E586" s="226">
        <v>5.629126214852237E-2</v>
      </c>
      <c r="F586" s="226">
        <v>1.269963661596862E-3</v>
      </c>
      <c r="G586" s="227">
        <v>1.1691926335323588E-3</v>
      </c>
      <c r="H586" s="226">
        <v>2.0000005732018805E-3</v>
      </c>
      <c r="I586" s="255">
        <v>1.6294991143285106E-3</v>
      </c>
      <c r="J586" s="256">
        <v>3.8688331227160472E-5</v>
      </c>
      <c r="K586" s="257">
        <v>4.0437645888325482E-5</v>
      </c>
      <c r="L586" s="228">
        <v>3.8183292306669024E-2</v>
      </c>
    </row>
    <row r="587" spans="1:12" s="212" customFormat="1" ht="15.5" x14ac:dyDescent="0.35">
      <c r="A587" s="198" t="s">
        <v>818</v>
      </c>
      <c r="B587" s="197">
        <v>2027</v>
      </c>
      <c r="C587" s="213" t="s">
        <v>3826</v>
      </c>
      <c r="D587" s="239">
        <v>9.0845763265940873E-3</v>
      </c>
      <c r="E587" s="226">
        <v>5.0872606588475366E-2</v>
      </c>
      <c r="F587" s="226">
        <v>1.2064873717211684E-3</v>
      </c>
      <c r="G587" s="227">
        <v>1.1105248730834717E-3</v>
      </c>
      <c r="H587" s="226">
        <v>2.0000005732018801E-3</v>
      </c>
      <c r="I587" s="255">
        <v>1.6363957820114622E-3</v>
      </c>
      <c r="J587" s="256">
        <v>3.0908131066645868E-5</v>
      </c>
      <c r="K587" s="257">
        <v>3.2305659600679336E-5</v>
      </c>
      <c r="L587" s="228">
        <v>3.737217477813632E-2</v>
      </c>
    </row>
    <row r="588" spans="1:12" s="212" customFormat="1" ht="15.5" x14ac:dyDescent="0.35">
      <c r="A588" s="198" t="s">
        <v>818</v>
      </c>
      <c r="B588" s="197">
        <v>2028</v>
      </c>
      <c r="C588" s="213" t="s">
        <v>3827</v>
      </c>
      <c r="D588" s="239">
        <v>8.258447477088763E-3</v>
      </c>
      <c r="E588" s="226">
        <v>4.6395308435271627E-2</v>
      </c>
      <c r="F588" s="226">
        <v>1.1359872568204566E-3</v>
      </c>
      <c r="G588" s="227">
        <v>1.0454381629861275E-3</v>
      </c>
      <c r="H588" s="226">
        <v>2.0000005732018797E-3</v>
      </c>
      <c r="I588" s="255">
        <v>1.636677126263041E-3</v>
      </c>
      <c r="J588" s="256">
        <v>2.412072588375833E-5</v>
      </c>
      <c r="K588" s="257">
        <v>2.5211358074085983E-5</v>
      </c>
      <c r="L588" s="228">
        <v>3.6618870884182912E-2</v>
      </c>
    </row>
    <row r="589" spans="1:12" s="212" customFormat="1" ht="15.5" x14ac:dyDescent="0.35">
      <c r="A589" s="198" t="s">
        <v>818</v>
      </c>
      <c r="B589" s="197">
        <v>2029</v>
      </c>
      <c r="C589" s="213" t="s">
        <v>3828</v>
      </c>
      <c r="D589" s="239">
        <v>7.5453203554521411E-3</v>
      </c>
      <c r="E589" s="226">
        <v>4.2600860959319323E-2</v>
      </c>
      <c r="F589" s="226">
        <v>1.068199142680081E-3</v>
      </c>
      <c r="G589" s="227">
        <v>9.8295114644729735E-4</v>
      </c>
      <c r="H589" s="226">
        <v>2.0000005732018801E-3</v>
      </c>
      <c r="I589" s="255">
        <v>1.6369555078029226E-3</v>
      </c>
      <c r="J589" s="256">
        <v>2.0056656054303865E-5</v>
      </c>
      <c r="K589" s="257">
        <v>2.0963529040986372E-5</v>
      </c>
      <c r="L589" s="228">
        <v>3.592944416107139E-2</v>
      </c>
    </row>
    <row r="590" spans="1:12" s="212" customFormat="1" ht="15.5" x14ac:dyDescent="0.35">
      <c r="A590" s="198" t="s">
        <v>818</v>
      </c>
      <c r="B590" s="197">
        <v>2030</v>
      </c>
      <c r="C590" s="213" t="s">
        <v>3829</v>
      </c>
      <c r="D590" s="239">
        <v>6.9488681475337842E-3</v>
      </c>
      <c r="E590" s="226">
        <v>3.9417165715246567E-2</v>
      </c>
      <c r="F590" s="226">
        <v>1.0030057528183087E-3</v>
      </c>
      <c r="G590" s="227">
        <v>9.228960282319942E-4</v>
      </c>
      <c r="H590" s="226">
        <v>2.0000005732018801E-3</v>
      </c>
      <c r="I590" s="255">
        <v>1.6357400750375494E-3</v>
      </c>
      <c r="J590" s="256">
        <v>1.7176922116696395E-5</v>
      </c>
      <c r="K590" s="257">
        <v>1.7953586313350405E-5</v>
      </c>
      <c r="L590" s="228">
        <v>3.5268772411776436E-2</v>
      </c>
    </row>
    <row r="591" spans="1:12" s="212" customFormat="1" ht="15.5" x14ac:dyDescent="0.35">
      <c r="A591" s="198" t="s">
        <v>818</v>
      </c>
      <c r="B591" s="197">
        <v>2031</v>
      </c>
      <c r="C591" s="213" t="s">
        <v>3830</v>
      </c>
      <c r="D591" s="239">
        <v>6.4318398041553343E-3</v>
      </c>
      <c r="E591" s="226">
        <v>3.6648950915210581E-2</v>
      </c>
      <c r="F591" s="226">
        <v>9.4132083992120804E-4</v>
      </c>
      <c r="G591" s="227">
        <v>8.661030463917302E-4</v>
      </c>
      <c r="H591" s="226">
        <v>2.0000005732018797E-3</v>
      </c>
      <c r="I591" s="255">
        <v>1.6349559671308838E-3</v>
      </c>
      <c r="J591" s="256">
        <v>1.5226824822926373E-5</v>
      </c>
      <c r="K591" s="257">
        <v>1.5915314273384669E-5</v>
      </c>
      <c r="L591" s="228">
        <v>3.4688483620476669E-2</v>
      </c>
    </row>
    <row r="592" spans="1:12" s="212" customFormat="1" ht="15.5" x14ac:dyDescent="0.35">
      <c r="A592" s="198" t="s">
        <v>818</v>
      </c>
      <c r="B592" s="197">
        <v>2032</v>
      </c>
      <c r="C592" s="213" t="s">
        <v>3831</v>
      </c>
      <c r="D592" s="239">
        <v>5.983382850625411E-3</v>
      </c>
      <c r="E592" s="226">
        <v>3.4281288861317712E-2</v>
      </c>
      <c r="F592" s="226">
        <v>8.8283205675169553E-4</v>
      </c>
      <c r="G592" s="227">
        <v>8.1224793609600691E-4</v>
      </c>
      <c r="H592" s="226">
        <v>2.0000005732018801E-3</v>
      </c>
      <c r="I592" s="255">
        <v>1.6424036025738267E-3</v>
      </c>
      <c r="J592" s="256">
        <v>1.3254866665436232E-5</v>
      </c>
      <c r="K592" s="257">
        <v>1.3854192918447552E-5</v>
      </c>
      <c r="L592" s="228">
        <v>3.4146756023933814E-2</v>
      </c>
    </row>
    <row r="593" spans="1:12" s="212" customFormat="1" ht="15.5" x14ac:dyDescent="0.35">
      <c r="A593" s="198" t="s">
        <v>818</v>
      </c>
      <c r="B593" s="197">
        <v>2033</v>
      </c>
      <c r="C593" s="213" t="s">
        <v>3832</v>
      </c>
      <c r="D593" s="239">
        <v>5.5827763553413711E-3</v>
      </c>
      <c r="E593" s="226">
        <v>3.2182452098776043E-2</v>
      </c>
      <c r="F593" s="226">
        <v>8.2823186605234856E-4</v>
      </c>
      <c r="G593" s="227">
        <v>7.620017492109551E-4</v>
      </c>
      <c r="H593" s="226">
        <v>2.0000005732018801E-3</v>
      </c>
      <c r="I593" s="255">
        <v>1.6424416535328324E-3</v>
      </c>
      <c r="J593" s="256">
        <v>1.2142859822640941E-5</v>
      </c>
      <c r="K593" s="257">
        <v>1.2691906060678345E-5</v>
      </c>
      <c r="L593" s="228">
        <v>3.3687910204888816E-2</v>
      </c>
    </row>
    <row r="594" spans="1:12" s="212" customFormat="1" ht="15.5" x14ac:dyDescent="0.35">
      <c r="A594" s="198" t="s">
        <v>818</v>
      </c>
      <c r="B594" s="197">
        <v>2034</v>
      </c>
      <c r="C594" s="213" t="s">
        <v>3833</v>
      </c>
      <c r="D594" s="239">
        <v>5.2358355630107694E-3</v>
      </c>
      <c r="E594" s="226">
        <v>3.0445306817348191E-2</v>
      </c>
      <c r="F594" s="226">
        <v>7.7772519392298699E-4</v>
      </c>
      <c r="G594" s="227">
        <v>7.1552352871428148E-4</v>
      </c>
      <c r="H594" s="226">
        <v>2.0000005732018805E-3</v>
      </c>
      <c r="I594" s="255">
        <v>1.6424341606107165E-3</v>
      </c>
      <c r="J594" s="256">
        <v>1.1136778598226915E-5</v>
      </c>
      <c r="K594" s="257">
        <v>1.1640334307715615E-5</v>
      </c>
      <c r="L594" s="228">
        <v>3.3277434394703237E-2</v>
      </c>
    </row>
    <row r="595" spans="1:12" s="212" customFormat="1" ht="15.5" x14ac:dyDescent="0.35">
      <c r="A595" s="198" t="s">
        <v>818</v>
      </c>
      <c r="B595" s="197">
        <v>2035</v>
      </c>
      <c r="C595" s="213" t="s">
        <v>3834</v>
      </c>
      <c r="D595" s="239">
        <v>4.9260350027504974E-3</v>
      </c>
      <c r="E595" s="226">
        <v>2.8940333963830875E-2</v>
      </c>
      <c r="F595" s="226">
        <v>7.3102734079839046E-4</v>
      </c>
      <c r="G595" s="227">
        <v>6.7255136308028054E-4</v>
      </c>
      <c r="H595" s="226">
        <v>2.0000005732018801E-3</v>
      </c>
      <c r="I595" s="255">
        <v>1.642368857919424E-3</v>
      </c>
      <c r="J595" s="256">
        <v>1.0233009692580036E-5</v>
      </c>
      <c r="K595" s="257">
        <v>1.0695700982570508E-5</v>
      </c>
      <c r="L595" s="228">
        <v>3.2913011042043375E-2</v>
      </c>
    </row>
    <row r="596" spans="1:12" s="212" customFormat="1" ht="15.5" x14ac:dyDescent="0.35">
      <c r="A596" s="198" t="s">
        <v>818</v>
      </c>
      <c r="B596" s="197">
        <v>2036</v>
      </c>
      <c r="C596" s="213" t="s">
        <v>3835</v>
      </c>
      <c r="D596" s="239">
        <v>4.648650872259838E-3</v>
      </c>
      <c r="E596" s="226">
        <v>2.7632073713172962E-2</v>
      </c>
      <c r="F596" s="226">
        <v>6.8999889697809091E-4</v>
      </c>
      <c r="G596" s="227">
        <v>6.3479618751594339E-4</v>
      </c>
      <c r="H596" s="226">
        <v>2.0000005732018797E-3</v>
      </c>
      <c r="I596" s="255">
        <v>1.6422602511450496E-3</v>
      </c>
      <c r="J596" s="256">
        <v>9.4364579310195497E-6</v>
      </c>
      <c r="K596" s="257">
        <v>9.8631326849983495E-6</v>
      </c>
      <c r="L596" s="228">
        <v>3.2591351385945891E-2</v>
      </c>
    </row>
    <row r="597" spans="1:12" s="212" customFormat="1" ht="15.5" x14ac:dyDescent="0.35">
      <c r="A597" s="198" t="s">
        <v>818</v>
      </c>
      <c r="B597" s="197">
        <v>2037</v>
      </c>
      <c r="C597" s="213" t="s">
        <v>3836</v>
      </c>
      <c r="D597" s="239">
        <v>4.4158935927691503E-3</v>
      </c>
      <c r="E597" s="226">
        <v>2.6543201690044354E-2</v>
      </c>
      <c r="F597" s="226">
        <v>6.5321476868427763E-4</v>
      </c>
      <c r="G597" s="227">
        <v>6.0093518013284671E-4</v>
      </c>
      <c r="H597" s="226">
        <v>2.0000005732018801E-3</v>
      </c>
      <c r="I597" s="255">
        <v>1.6421420103559601E-3</v>
      </c>
      <c r="J597" s="256">
        <v>8.4262854692587633E-6</v>
      </c>
      <c r="K597" s="257">
        <v>8.8072847070906504E-6</v>
      </c>
      <c r="L597" s="228">
        <v>3.2310989154574164E-2</v>
      </c>
    </row>
    <row r="598" spans="1:12" s="212" customFormat="1" ht="15.5" x14ac:dyDescent="0.35">
      <c r="A598" s="198" t="s">
        <v>818</v>
      </c>
      <c r="B598" s="197">
        <v>2038</v>
      </c>
      <c r="C598" s="213" t="s">
        <v>3837</v>
      </c>
      <c r="D598" s="239">
        <v>4.1979890299758977E-3</v>
      </c>
      <c r="E598" s="226">
        <v>2.5559518283749864E-2</v>
      </c>
      <c r="F598" s="226">
        <v>6.1952115893321961E-4</v>
      </c>
      <c r="G598" s="227">
        <v>5.699336383258014E-4</v>
      </c>
      <c r="H598" s="226">
        <v>2.0000005732018805E-3</v>
      </c>
      <c r="I598" s="255">
        <v>1.6459936910941297E-3</v>
      </c>
      <c r="J598" s="256">
        <v>7.8741864146593652E-6</v>
      </c>
      <c r="K598" s="257">
        <v>8.2302221831455381E-6</v>
      </c>
      <c r="L598" s="228">
        <v>3.2054396092245821E-2</v>
      </c>
    </row>
    <row r="599" spans="1:12" s="212" customFormat="1" ht="15.5" x14ac:dyDescent="0.35">
      <c r="A599" s="198" t="s">
        <v>818</v>
      </c>
      <c r="B599" s="197">
        <v>2039</v>
      </c>
      <c r="C599" s="213" t="s">
        <v>3838</v>
      </c>
      <c r="D599" s="239">
        <v>3.9925571512296936E-3</v>
      </c>
      <c r="E599" s="226">
        <v>2.4624492254426335E-2</v>
      </c>
      <c r="F599" s="226">
        <v>5.9073086988464525E-4</v>
      </c>
      <c r="G599" s="227">
        <v>5.4344405809079348E-4</v>
      </c>
      <c r="H599" s="226">
        <v>2.0000005732018797E-3</v>
      </c>
      <c r="I599" s="255">
        <v>1.645890327385274E-3</v>
      </c>
      <c r="J599" s="256">
        <v>7.4129220696657977E-6</v>
      </c>
      <c r="K599" s="257">
        <v>7.7481015113015645E-6</v>
      </c>
      <c r="L599" s="228">
        <v>3.1846121156604082E-2</v>
      </c>
    </row>
    <row r="600" spans="1:12" s="212" customFormat="1" ht="15.5" x14ac:dyDescent="0.35">
      <c r="A600" s="198" t="s">
        <v>818</v>
      </c>
      <c r="B600" s="197">
        <v>2040</v>
      </c>
      <c r="C600" s="213" t="s">
        <v>3839</v>
      </c>
      <c r="D600" s="239">
        <v>3.8262092026388511E-3</v>
      </c>
      <c r="E600" s="226">
        <v>2.3899351529631387E-2</v>
      </c>
      <c r="F600" s="226">
        <v>5.6610364333876332E-4</v>
      </c>
      <c r="G600" s="227">
        <v>5.2078528471521067E-4</v>
      </c>
      <c r="H600" s="226">
        <v>2.0000005732018792E-3</v>
      </c>
      <c r="I600" s="255">
        <v>1.645827009224148E-3</v>
      </c>
      <c r="J600" s="256">
        <v>7.0292844019504847E-6</v>
      </c>
      <c r="K600" s="257">
        <v>7.3471174506191115E-6</v>
      </c>
      <c r="L600" s="228">
        <v>3.1668629168084529E-2</v>
      </c>
    </row>
    <row r="601" spans="1:12" s="212" customFormat="1" ht="15.5" x14ac:dyDescent="0.35">
      <c r="A601" s="198" t="s">
        <v>818</v>
      </c>
      <c r="B601" s="197">
        <v>2041</v>
      </c>
      <c r="C601" s="213" t="s">
        <v>3840</v>
      </c>
      <c r="D601" s="239">
        <v>3.6990134330646654E-3</v>
      </c>
      <c r="E601" s="226">
        <v>2.3305678356722793E-2</v>
      </c>
      <c r="F601" s="226">
        <v>5.4675237192161206E-4</v>
      </c>
      <c r="G601" s="227">
        <v>5.0298033167087651E-4</v>
      </c>
      <c r="H601" s="226">
        <v>2.0000005732018805E-3</v>
      </c>
      <c r="I601" s="255">
        <v>1.6457937551097586E-3</v>
      </c>
      <c r="J601" s="256">
        <v>6.7168514545277662E-6</v>
      </c>
      <c r="K601" s="257">
        <v>7.0205576717146184E-6</v>
      </c>
      <c r="L601" s="228">
        <v>3.151973116215636E-2</v>
      </c>
    </row>
    <row r="602" spans="1:12" s="212" customFormat="1" ht="15.5" x14ac:dyDescent="0.35">
      <c r="A602" s="198" t="s">
        <v>818</v>
      </c>
      <c r="B602" s="197">
        <v>2042</v>
      </c>
      <c r="C602" s="213" t="s">
        <v>3841</v>
      </c>
      <c r="D602" s="239">
        <v>3.5827358293582584E-3</v>
      </c>
      <c r="E602" s="226">
        <v>2.2722272866059098E-2</v>
      </c>
      <c r="F602" s="226">
        <v>5.3027872561532837E-4</v>
      </c>
      <c r="G602" s="227">
        <v>4.8782354921080831E-4</v>
      </c>
      <c r="H602" s="226">
        <v>2.0000005732018801E-3</v>
      </c>
      <c r="I602" s="255">
        <v>1.6457528478328052E-3</v>
      </c>
      <c r="J602" s="256">
        <v>6.4634623035851289E-6</v>
      </c>
      <c r="K602" s="257">
        <v>6.7557113877640435E-6</v>
      </c>
      <c r="L602" s="228">
        <v>3.1393848942994934E-2</v>
      </c>
    </row>
    <row r="603" spans="1:12" s="212" customFormat="1" ht="15.5" x14ac:dyDescent="0.35">
      <c r="A603" s="198" t="s">
        <v>818</v>
      </c>
      <c r="B603" s="197">
        <v>2043</v>
      </c>
      <c r="C603" s="213" t="s">
        <v>3842</v>
      </c>
      <c r="D603" s="239">
        <v>3.4939958888341206E-3</v>
      </c>
      <c r="E603" s="226">
        <v>2.2235009474855051E-2</v>
      </c>
      <c r="F603" s="226">
        <v>5.1644003682191852E-4</v>
      </c>
      <c r="G603" s="227">
        <v>4.7509147122957508E-4</v>
      </c>
      <c r="H603" s="226">
        <v>2.0000005732018801E-3</v>
      </c>
      <c r="I603" s="255">
        <v>1.6457413124019045E-3</v>
      </c>
      <c r="J603" s="256">
        <v>6.2603340594607148E-6</v>
      </c>
      <c r="K603" s="257">
        <v>6.543398585808582E-6</v>
      </c>
      <c r="L603" s="228">
        <v>3.1288917293930907E-2</v>
      </c>
    </row>
    <row r="604" spans="1:12" s="212" customFormat="1" ht="15.5" x14ac:dyDescent="0.35">
      <c r="A604" s="198" t="s">
        <v>818</v>
      </c>
      <c r="B604" s="197">
        <v>2044</v>
      </c>
      <c r="C604" s="213" t="s">
        <v>3843</v>
      </c>
      <c r="D604" s="239">
        <v>3.4261637119834373E-3</v>
      </c>
      <c r="E604" s="226">
        <v>2.1794283727421052E-2</v>
      </c>
      <c r="F604" s="226">
        <v>5.0483613624629998E-4</v>
      </c>
      <c r="G604" s="227">
        <v>4.644156979898194E-4</v>
      </c>
      <c r="H604" s="226">
        <v>2.0000005732018805E-3</v>
      </c>
      <c r="I604" s="255">
        <v>1.6457519798591151E-3</v>
      </c>
      <c r="J604" s="256">
        <v>6.0956903346698114E-6</v>
      </c>
      <c r="K604" s="257">
        <v>6.3713104023783261E-6</v>
      </c>
      <c r="L604" s="228">
        <v>3.1200848708349084E-2</v>
      </c>
    </row>
    <row r="605" spans="1:12" s="212" customFormat="1" ht="15.5" x14ac:dyDescent="0.35">
      <c r="A605" s="198" t="s">
        <v>818</v>
      </c>
      <c r="B605" s="197">
        <v>2045</v>
      </c>
      <c r="C605" s="213" t="s">
        <v>3844</v>
      </c>
      <c r="D605" s="239">
        <v>3.3754938222155606E-3</v>
      </c>
      <c r="E605" s="226">
        <v>2.139435941926883E-2</v>
      </c>
      <c r="F605" s="226">
        <v>4.950626834406926E-4</v>
      </c>
      <c r="G605" s="227">
        <v>4.5542416372151135E-4</v>
      </c>
      <c r="H605" s="226">
        <v>2.0000005732018801E-3</v>
      </c>
      <c r="I605" s="255">
        <v>1.6457748461173257E-3</v>
      </c>
      <c r="J605" s="256">
        <v>5.9620970362085072E-6</v>
      </c>
      <c r="K605" s="257">
        <v>6.2316766077720768E-6</v>
      </c>
      <c r="L605" s="228">
        <v>3.1125283549221568E-2</v>
      </c>
    </row>
    <row r="606" spans="1:12" s="212" customFormat="1" ht="15.5" x14ac:dyDescent="0.35">
      <c r="A606" s="198" t="s">
        <v>818</v>
      </c>
      <c r="B606" s="197">
        <v>2046</v>
      </c>
      <c r="C606" s="213" t="s">
        <v>3845</v>
      </c>
      <c r="D606" s="239">
        <v>3.3287262272938076E-3</v>
      </c>
      <c r="E606" s="226">
        <v>2.1021865213191882E-2</v>
      </c>
      <c r="F606" s="226">
        <v>4.8692634656784576E-4</v>
      </c>
      <c r="G606" s="227">
        <v>4.4793916069600263E-4</v>
      </c>
      <c r="H606" s="226">
        <v>2.0000005732018801E-3</v>
      </c>
      <c r="I606" s="255">
        <v>1.6458060301999149E-3</v>
      </c>
      <c r="J606" s="256">
        <v>5.8609339210142003E-6</v>
      </c>
      <c r="K606" s="257">
        <v>6.1259393454133698E-6</v>
      </c>
      <c r="L606" s="228">
        <v>3.106064342234359E-2</v>
      </c>
    </row>
    <row r="607" spans="1:12" s="212" customFormat="1" ht="15.5" x14ac:dyDescent="0.35">
      <c r="A607" s="198" t="s">
        <v>818</v>
      </c>
      <c r="B607" s="197">
        <v>2047</v>
      </c>
      <c r="C607" s="213" t="s">
        <v>3846</v>
      </c>
      <c r="D607" s="239">
        <v>3.2873729026732406E-3</v>
      </c>
      <c r="E607" s="226">
        <v>2.068592918288956E-2</v>
      </c>
      <c r="F607" s="226">
        <v>4.8019034274977601E-4</v>
      </c>
      <c r="G607" s="227">
        <v>4.4174227098747043E-4</v>
      </c>
      <c r="H607" s="226">
        <v>2.0000005732018801E-3</v>
      </c>
      <c r="I607" s="255">
        <v>1.645849560667291E-3</v>
      </c>
      <c r="J607" s="256">
        <v>5.7741117213455115E-6</v>
      </c>
      <c r="K607" s="257">
        <v>6.0351914311434664E-6</v>
      </c>
      <c r="L607" s="228">
        <v>3.100669420798631E-2</v>
      </c>
    </row>
    <row r="608" spans="1:12" s="212" customFormat="1" ht="15.5" x14ac:dyDescent="0.35">
      <c r="A608" s="198" t="s">
        <v>818</v>
      </c>
      <c r="B608" s="197">
        <v>2048</v>
      </c>
      <c r="C608" s="213" t="s">
        <v>3847</v>
      </c>
      <c r="D608" s="239">
        <v>3.253209677230957E-3</v>
      </c>
      <c r="E608" s="226">
        <v>2.0410198270980281E-2</v>
      </c>
      <c r="F608" s="226">
        <v>4.746455606369912E-4</v>
      </c>
      <c r="G608" s="227">
        <v>4.3664115150824192E-4</v>
      </c>
      <c r="H608" s="226">
        <v>2.0000005732018805E-3</v>
      </c>
      <c r="I608" s="255">
        <v>1.6459095957850941E-3</v>
      </c>
      <c r="J608" s="256">
        <v>5.6997588941713431E-6</v>
      </c>
      <c r="K608" s="257">
        <v>5.9574766990602694E-6</v>
      </c>
      <c r="L608" s="228">
        <v>3.0960630140164959E-2</v>
      </c>
    </row>
    <row r="609" spans="1:12" s="212" customFormat="1" ht="15.5" x14ac:dyDescent="0.35">
      <c r="A609" s="198" t="s">
        <v>818</v>
      </c>
      <c r="B609" s="197">
        <v>2049</v>
      </c>
      <c r="C609" s="213" t="s">
        <v>3848</v>
      </c>
      <c r="D609" s="239">
        <v>3.2461446095689668E-3</v>
      </c>
      <c r="E609" s="226">
        <v>2.0385087114688196E-2</v>
      </c>
      <c r="F609" s="226">
        <v>4.7108564019231685E-4</v>
      </c>
      <c r="G609" s="227">
        <v>4.3336591340680024E-4</v>
      </c>
      <c r="H609" s="226">
        <v>2.0000005732018801E-3</v>
      </c>
      <c r="I609" s="255">
        <v>1.6459825652146399E-3</v>
      </c>
      <c r="J609" s="256">
        <v>5.6478464216369596E-6</v>
      </c>
      <c r="K609" s="257">
        <v>5.9032169748760655E-6</v>
      </c>
      <c r="L609" s="228">
        <v>3.0921583486056486E-2</v>
      </c>
    </row>
    <row r="610" spans="1:12" s="212" customFormat="1" ht="15.5" x14ac:dyDescent="0.35">
      <c r="A610" s="198" t="s">
        <v>818</v>
      </c>
      <c r="B610" s="197">
        <v>2050</v>
      </c>
      <c r="C610" s="213" t="s">
        <v>3849</v>
      </c>
      <c r="D610" s="239">
        <v>3.2407142967311444E-3</v>
      </c>
      <c r="E610" s="226">
        <v>2.0364422099829926E-2</v>
      </c>
      <c r="F610" s="226">
        <v>4.6816955541928532E-4</v>
      </c>
      <c r="G610" s="227">
        <v>4.306798104682072E-4</v>
      </c>
      <c r="H610" s="226">
        <v>2.0000005732018801E-3</v>
      </c>
      <c r="I610" s="255">
        <v>1.6460761991382311E-3</v>
      </c>
      <c r="J610" s="256">
        <v>5.5228394533787378E-6</v>
      </c>
      <c r="K610" s="257">
        <v>5.7725577462234103E-6</v>
      </c>
      <c r="L610" s="228">
        <v>3.0889299561267566E-2</v>
      </c>
    </row>
    <row r="611" spans="1:12" s="212" customFormat="1" ht="15.5" x14ac:dyDescent="0.35">
      <c r="A611" s="198" t="s">
        <v>819</v>
      </c>
      <c r="B611" s="197">
        <v>2015</v>
      </c>
      <c r="C611" s="213" t="s">
        <v>891</v>
      </c>
      <c r="D611" s="239">
        <v>0.1096632859529864</v>
      </c>
      <c r="E611" s="226">
        <v>0.42645984922140862</v>
      </c>
      <c r="F611" s="226">
        <v>3.6753152702253306E-3</v>
      </c>
      <c r="G611" s="227">
        <v>3.403531267060837E-3</v>
      </c>
      <c r="H611" s="226">
        <v>2.0000005732018801E-3</v>
      </c>
      <c r="I611" s="255">
        <v>2.9723420288728735E-3</v>
      </c>
      <c r="J611" s="256">
        <v>3.8650808673053902E-4</v>
      </c>
      <c r="K611" s="257">
        <v>4.0398426730826051E-4</v>
      </c>
      <c r="L611" s="228">
        <v>4.7565658648517091E-2</v>
      </c>
    </row>
    <row r="612" spans="1:12" s="212" customFormat="1" ht="15.5" x14ac:dyDescent="0.35">
      <c r="A612" s="198" t="s">
        <v>819</v>
      </c>
      <c r="B612" s="197">
        <v>2016</v>
      </c>
      <c r="C612" s="213" t="s">
        <v>892</v>
      </c>
      <c r="D612" s="239">
        <v>9.7010936686292765E-2</v>
      </c>
      <c r="E612" s="226">
        <v>0.39500995157622937</v>
      </c>
      <c r="F612" s="226">
        <v>3.4290949493870262E-3</v>
      </c>
      <c r="G612" s="227">
        <v>3.1739289833813368E-3</v>
      </c>
      <c r="H612" s="226">
        <v>2.0000005732018801E-3</v>
      </c>
      <c r="I612" s="255">
        <v>2.9726957514479265E-3</v>
      </c>
      <c r="J612" s="256">
        <v>3.6975914811608059E-4</v>
      </c>
      <c r="K612" s="257">
        <v>3.8647801601197082E-4</v>
      </c>
      <c r="L612" s="228">
        <v>4.6306288351502571E-2</v>
      </c>
    </row>
    <row r="613" spans="1:12" s="212" customFormat="1" ht="15.5" x14ac:dyDescent="0.35">
      <c r="A613" s="198" t="s">
        <v>819</v>
      </c>
      <c r="B613" s="197">
        <v>2017</v>
      </c>
      <c r="C613" s="213" t="s">
        <v>3850</v>
      </c>
      <c r="D613" s="239">
        <v>7.9245449680097862E-2</v>
      </c>
      <c r="E613" s="226">
        <v>0.33935263176334041</v>
      </c>
      <c r="F613" s="226">
        <v>3.0992696532617841E-3</v>
      </c>
      <c r="G613" s="227">
        <v>2.8677377104675893E-3</v>
      </c>
      <c r="H613" s="226">
        <v>2.0000005732018801E-3</v>
      </c>
      <c r="I613" s="255">
        <v>2.9708799565921749E-3</v>
      </c>
      <c r="J613" s="256">
        <v>3.5598277800432819E-4</v>
      </c>
      <c r="K613" s="257">
        <v>3.7207873957550194E-4</v>
      </c>
      <c r="L613" s="228">
        <v>4.5982918128477039E-2</v>
      </c>
    </row>
    <row r="614" spans="1:12" s="212" customFormat="1" ht="15.5" x14ac:dyDescent="0.35">
      <c r="A614" s="198" t="s">
        <v>819</v>
      </c>
      <c r="B614" s="197">
        <v>2018</v>
      </c>
      <c r="C614" s="213" t="s">
        <v>3851</v>
      </c>
      <c r="D614" s="239">
        <v>6.679760102023985E-2</v>
      </c>
      <c r="E614" s="226">
        <v>0.30003244265726564</v>
      </c>
      <c r="F614" s="226">
        <v>2.8691546876952437E-3</v>
      </c>
      <c r="G614" s="227">
        <v>2.6531828662128254E-3</v>
      </c>
      <c r="H614" s="226">
        <v>2.0000005732018797E-3</v>
      </c>
      <c r="I614" s="255">
        <v>2.9694765951469386E-3</v>
      </c>
      <c r="J614" s="256">
        <v>3.2367006973765621E-4</v>
      </c>
      <c r="K614" s="257">
        <v>3.3830499402653078E-4</v>
      </c>
      <c r="L614" s="228">
        <v>4.5362826001275058E-2</v>
      </c>
    </row>
    <row r="615" spans="1:12" s="212" customFormat="1" ht="15.5" x14ac:dyDescent="0.35">
      <c r="A615" s="198" t="s">
        <v>819</v>
      </c>
      <c r="B615" s="197">
        <v>2019</v>
      </c>
      <c r="C615" s="213" t="s">
        <v>3852</v>
      </c>
      <c r="D615" s="239">
        <v>5.6284743495360966E-2</v>
      </c>
      <c r="E615" s="226">
        <v>0.26026981966305818</v>
      </c>
      <c r="F615" s="226">
        <v>2.6666152496253922E-3</v>
      </c>
      <c r="G615" s="227">
        <v>2.4638087424898665E-3</v>
      </c>
      <c r="H615" s="226">
        <v>2.0000005732018801E-3</v>
      </c>
      <c r="I615" s="255">
        <v>2.9684813369710429E-3</v>
      </c>
      <c r="J615" s="256">
        <v>2.7112605020568472E-4</v>
      </c>
      <c r="K615" s="257">
        <v>2.8338516709195685E-4</v>
      </c>
      <c r="L615" s="228">
        <v>4.4665234099350526E-2</v>
      </c>
    </row>
    <row r="616" spans="1:12" s="212" customFormat="1" ht="15.5" x14ac:dyDescent="0.35">
      <c r="A616" s="198" t="s">
        <v>819</v>
      </c>
      <c r="B616" s="197">
        <v>2020</v>
      </c>
      <c r="C616" s="213" t="s">
        <v>3853</v>
      </c>
      <c r="D616" s="239">
        <v>5.0088905337904936E-2</v>
      </c>
      <c r="E616" s="226">
        <v>0.23496758052281627</v>
      </c>
      <c r="F616" s="226">
        <v>2.5339041045166059E-3</v>
      </c>
      <c r="G616" s="227">
        <v>2.340618407537414E-3</v>
      </c>
      <c r="H616" s="226">
        <v>2.0000005732018801E-3</v>
      </c>
      <c r="I616" s="255">
        <v>2.9718741072696868E-3</v>
      </c>
      <c r="J616" s="256">
        <v>2.491330889137395E-4</v>
      </c>
      <c r="K616" s="257">
        <v>2.6039778168270971E-4</v>
      </c>
      <c r="L616" s="228">
        <v>4.4306230934463758E-2</v>
      </c>
    </row>
    <row r="617" spans="1:12" s="212" customFormat="1" ht="15.5" x14ac:dyDescent="0.35">
      <c r="A617" s="198" t="s">
        <v>819</v>
      </c>
      <c r="B617" s="197">
        <v>2021</v>
      </c>
      <c r="C617" s="213" t="s">
        <v>3854</v>
      </c>
      <c r="D617" s="239">
        <v>4.4039375177123675E-2</v>
      </c>
      <c r="E617" s="226">
        <v>0.20945563588588623</v>
      </c>
      <c r="F617" s="226">
        <v>2.3720684409394518E-3</v>
      </c>
      <c r="G617" s="227">
        <v>2.1905099354728678E-3</v>
      </c>
      <c r="H617" s="226">
        <v>2.0000005732018801E-3</v>
      </c>
      <c r="I617" s="255">
        <v>2.9731855474765998E-3</v>
      </c>
      <c r="J617" s="256">
        <v>2.2368061632912874E-4</v>
      </c>
      <c r="K617" s="257">
        <v>2.3379446123149774E-4</v>
      </c>
      <c r="L617" s="228">
        <v>4.3408496708421097E-2</v>
      </c>
    </row>
    <row r="618" spans="1:12" s="212" customFormat="1" ht="15.5" x14ac:dyDescent="0.35">
      <c r="A618" s="198" t="s">
        <v>819</v>
      </c>
      <c r="B618" s="197">
        <v>2022</v>
      </c>
      <c r="C618" s="213" t="s">
        <v>3855</v>
      </c>
      <c r="D618" s="239">
        <v>3.7601746632528792E-2</v>
      </c>
      <c r="E618" s="226">
        <v>0.18443224492316787</v>
      </c>
      <c r="F618" s="226">
        <v>2.2077069185020303E-3</v>
      </c>
      <c r="G618" s="227">
        <v>2.0379365974910004E-3</v>
      </c>
      <c r="H618" s="226">
        <v>2.0000005732018801E-3</v>
      </c>
      <c r="I618" s="255">
        <v>2.9717400032287099E-3</v>
      </c>
      <c r="J618" s="256">
        <v>1.9895767336629543E-4</v>
      </c>
      <c r="K618" s="257">
        <v>2.0795365649431923E-4</v>
      </c>
      <c r="L618" s="228">
        <v>4.2598220263226447E-2</v>
      </c>
    </row>
    <row r="619" spans="1:12" s="212" customFormat="1" ht="15.5" x14ac:dyDescent="0.35">
      <c r="A619" s="198" t="s">
        <v>819</v>
      </c>
      <c r="B619" s="197">
        <v>2023</v>
      </c>
      <c r="C619" s="213" t="s">
        <v>3856</v>
      </c>
      <c r="D619" s="239">
        <v>3.2954130433742297E-2</v>
      </c>
      <c r="E619" s="226">
        <v>0.16292988409483586</v>
      </c>
      <c r="F619" s="226">
        <v>2.0620418817355246E-3</v>
      </c>
      <c r="G619" s="227">
        <v>1.9031104615095343E-3</v>
      </c>
      <c r="H619" s="226">
        <v>2.0000005732018805E-3</v>
      </c>
      <c r="I619" s="255">
        <v>2.9695014197879911E-3</v>
      </c>
      <c r="J619" s="256">
        <v>1.7887187142057089E-4</v>
      </c>
      <c r="K619" s="257">
        <v>1.8695966371403514E-4</v>
      </c>
      <c r="L619" s="228">
        <v>4.1738752228830882E-2</v>
      </c>
    </row>
    <row r="620" spans="1:12" s="212" customFormat="1" ht="15.5" x14ac:dyDescent="0.35">
      <c r="A620" s="198" t="s">
        <v>819</v>
      </c>
      <c r="B620" s="197">
        <v>2024</v>
      </c>
      <c r="C620" s="213" t="s">
        <v>3857</v>
      </c>
      <c r="D620" s="239">
        <v>2.8663013620120401E-2</v>
      </c>
      <c r="E620" s="226">
        <v>0.14336163564730339</v>
      </c>
      <c r="F620" s="226">
        <v>1.9234570700406937E-3</v>
      </c>
      <c r="G620" s="227">
        <v>1.7748312508037466E-3</v>
      </c>
      <c r="H620" s="226">
        <v>2.0000005732018797E-3</v>
      </c>
      <c r="I620" s="255">
        <v>2.9672026473361668E-3</v>
      </c>
      <c r="J620" s="256">
        <v>1.6048879799808555E-4</v>
      </c>
      <c r="K620" s="257">
        <v>1.6774538928506522E-4</v>
      </c>
      <c r="L620" s="228">
        <v>4.0848524399310172E-2</v>
      </c>
    </row>
    <row r="621" spans="1:12" s="212" customFormat="1" ht="15.5" x14ac:dyDescent="0.35">
      <c r="A621" s="198" t="s">
        <v>819</v>
      </c>
      <c r="B621" s="197">
        <v>2025</v>
      </c>
      <c r="C621" s="213" t="s">
        <v>3858</v>
      </c>
      <c r="D621" s="239">
        <v>2.5348110241455207E-2</v>
      </c>
      <c r="E621" s="226">
        <v>0.12733254715188086</v>
      </c>
      <c r="F621" s="226">
        <v>1.8154833440397495E-3</v>
      </c>
      <c r="G621" s="227">
        <v>1.6747766117238192E-3</v>
      </c>
      <c r="H621" s="226">
        <v>2.0000005732018801E-3</v>
      </c>
      <c r="I621" s="255">
        <v>2.9649522293605604E-3</v>
      </c>
      <c r="J621" s="256">
        <v>1.412825050721575E-4</v>
      </c>
      <c r="K621" s="257">
        <v>1.4767067301968943E-4</v>
      </c>
      <c r="L621" s="228">
        <v>3.9931210381550411E-2</v>
      </c>
    </row>
    <row r="622" spans="1:12" s="212" customFormat="1" ht="15.5" x14ac:dyDescent="0.35">
      <c r="A622" s="198" t="s">
        <v>819</v>
      </c>
      <c r="B622" s="197">
        <v>2026</v>
      </c>
      <c r="C622" s="213" t="s">
        <v>3859</v>
      </c>
      <c r="D622" s="239">
        <v>2.2601764189453696E-2</v>
      </c>
      <c r="E622" s="226">
        <v>0.1137859534783337</v>
      </c>
      <c r="F622" s="226">
        <v>1.7211030897900886E-3</v>
      </c>
      <c r="G622" s="227">
        <v>1.5871731006598141E-3</v>
      </c>
      <c r="H622" s="226">
        <v>2.0000005732018801E-3</v>
      </c>
      <c r="I622" s="255">
        <v>2.9628435134825561E-3</v>
      </c>
      <c r="J622" s="256">
        <v>1.2015006610874868E-4</v>
      </c>
      <c r="K622" s="257">
        <v>1.25582718940164E-4</v>
      </c>
      <c r="L622" s="228">
        <v>3.9038997631395754E-2</v>
      </c>
    </row>
    <row r="623" spans="1:12" s="212" customFormat="1" ht="15.5" x14ac:dyDescent="0.35">
      <c r="A623" s="198" t="s">
        <v>819</v>
      </c>
      <c r="B623" s="197">
        <v>2027</v>
      </c>
      <c r="C623" s="213" t="s">
        <v>3860</v>
      </c>
      <c r="D623" s="239">
        <v>2.0173725482689767E-2</v>
      </c>
      <c r="E623" s="226">
        <v>0.1017793920481414</v>
      </c>
      <c r="F623" s="226">
        <v>1.6230559989862756E-3</v>
      </c>
      <c r="G623" s="227">
        <v>1.4961557277550304E-3</v>
      </c>
      <c r="H623" s="226">
        <v>2.0000005732018801E-3</v>
      </c>
      <c r="I623" s="255">
        <v>2.9605818208123975E-3</v>
      </c>
      <c r="J623" s="256">
        <v>9.7930361752408268E-5</v>
      </c>
      <c r="K623" s="257">
        <v>1.0235833815130771E-4</v>
      </c>
      <c r="L623" s="228">
        <v>3.8195235883002353E-2</v>
      </c>
    </row>
    <row r="624" spans="1:12" s="212" customFormat="1" ht="15.5" x14ac:dyDescent="0.35">
      <c r="A624" s="198" t="s">
        <v>819</v>
      </c>
      <c r="B624" s="197">
        <v>2028</v>
      </c>
      <c r="C624" s="213" t="s">
        <v>3861</v>
      </c>
      <c r="D624" s="239">
        <v>1.8109016095130867E-2</v>
      </c>
      <c r="E624" s="226">
        <v>9.1452809837945986E-2</v>
      </c>
      <c r="F624" s="226">
        <v>1.5225714562775174E-3</v>
      </c>
      <c r="G624" s="227">
        <v>1.402907777240884E-3</v>
      </c>
      <c r="H624" s="226">
        <v>2.0000005732018801E-3</v>
      </c>
      <c r="I624" s="255">
        <v>2.9584714032368938E-3</v>
      </c>
      <c r="J624" s="256">
        <v>7.5957580733032536E-5</v>
      </c>
      <c r="K624" s="257">
        <v>7.9392045477007686E-5</v>
      </c>
      <c r="L624" s="228">
        <v>3.74210746908634E-2</v>
      </c>
    </row>
    <row r="625" spans="1:12" s="212" customFormat="1" ht="15.5" x14ac:dyDescent="0.35">
      <c r="A625" s="198" t="s">
        <v>819</v>
      </c>
      <c r="B625" s="197">
        <v>2029</v>
      </c>
      <c r="C625" s="213" t="s">
        <v>3862</v>
      </c>
      <c r="D625" s="239">
        <v>1.6256396563422489E-2</v>
      </c>
      <c r="E625" s="226">
        <v>8.2295046153182574E-2</v>
      </c>
      <c r="F625" s="226">
        <v>1.4322639667915149E-3</v>
      </c>
      <c r="G625" s="227">
        <v>1.3194318424167304E-3</v>
      </c>
      <c r="H625" s="226">
        <v>2.0000005732018801E-3</v>
      </c>
      <c r="I625" s="255">
        <v>2.9565258945677764E-3</v>
      </c>
      <c r="J625" s="256">
        <v>6.4625465901566498E-5</v>
      </c>
      <c r="K625" s="257">
        <v>6.7547542698377647E-5</v>
      </c>
      <c r="L625" s="228">
        <v>3.6710340185068933E-2</v>
      </c>
    </row>
    <row r="626" spans="1:12" s="212" customFormat="1" ht="15.5" x14ac:dyDescent="0.35">
      <c r="A626" s="198" t="s">
        <v>819</v>
      </c>
      <c r="B626" s="197">
        <v>2030</v>
      </c>
      <c r="C626" s="213" t="s">
        <v>3863</v>
      </c>
      <c r="D626" s="239">
        <v>1.4665432216278465E-2</v>
      </c>
      <c r="E626" s="226">
        <v>7.436876764565449E-2</v>
      </c>
      <c r="F626" s="226">
        <v>1.3426362679945171E-3</v>
      </c>
      <c r="G626" s="227">
        <v>1.2365459656931634E-3</v>
      </c>
      <c r="H626" s="226">
        <v>2.0000005732018801E-3</v>
      </c>
      <c r="I626" s="255">
        <v>2.9547468716681828E-3</v>
      </c>
      <c r="J626" s="256">
        <v>5.2395461792062904E-5</v>
      </c>
      <c r="K626" s="257">
        <v>5.4764552072881611E-5</v>
      </c>
      <c r="L626" s="228">
        <v>3.6057774785951922E-2</v>
      </c>
    </row>
    <row r="627" spans="1:12" s="212" customFormat="1" ht="15.5" x14ac:dyDescent="0.35">
      <c r="A627" s="198" t="s">
        <v>819</v>
      </c>
      <c r="B627" s="197">
        <v>2031</v>
      </c>
      <c r="C627" s="213" t="s">
        <v>3864</v>
      </c>
      <c r="D627" s="239">
        <v>1.3228003394905073E-2</v>
      </c>
      <c r="E627" s="226">
        <v>6.7291254016413921E-2</v>
      </c>
      <c r="F627" s="226">
        <v>1.2600742813376035E-3</v>
      </c>
      <c r="G627" s="227">
        <v>1.16038895384182E-3</v>
      </c>
      <c r="H627" s="226">
        <v>2.0000005732018801E-3</v>
      </c>
      <c r="I627" s="255">
        <v>2.9529780624245393E-3</v>
      </c>
      <c r="J627" s="256">
        <v>4.6125063901454965E-5</v>
      </c>
      <c r="K627" s="257">
        <v>4.8210634614138997E-5</v>
      </c>
      <c r="L627" s="228">
        <v>3.5469185088543728E-2</v>
      </c>
    </row>
    <row r="628" spans="1:12" s="212" customFormat="1" ht="15.5" x14ac:dyDescent="0.35">
      <c r="A628" s="198" t="s">
        <v>819</v>
      </c>
      <c r="B628" s="197">
        <v>2032</v>
      </c>
      <c r="C628" s="213" t="s">
        <v>3865</v>
      </c>
      <c r="D628" s="239">
        <v>1.1961877048946874E-2</v>
      </c>
      <c r="E628" s="226">
        <v>6.1181506163447939E-2</v>
      </c>
      <c r="F628" s="226">
        <v>1.1807481093634488E-3</v>
      </c>
      <c r="G628" s="227">
        <v>1.0871947796440677E-3</v>
      </c>
      <c r="H628" s="226">
        <v>2.0000005732018801E-3</v>
      </c>
      <c r="I628" s="255">
        <v>2.9512529085476157E-3</v>
      </c>
      <c r="J628" s="256">
        <v>3.9537068674057053E-5</v>
      </c>
      <c r="K628" s="257">
        <v>4.1324759476353998E-5</v>
      </c>
      <c r="L628" s="228">
        <v>3.4930197877107445E-2</v>
      </c>
    </row>
    <row r="629" spans="1:12" s="212" customFormat="1" ht="15.5" x14ac:dyDescent="0.35">
      <c r="A629" s="198" t="s">
        <v>819</v>
      </c>
      <c r="B629" s="197">
        <v>2033</v>
      </c>
      <c r="C629" s="213" t="s">
        <v>3866</v>
      </c>
      <c r="D629" s="239">
        <v>1.0887362415698078E-2</v>
      </c>
      <c r="E629" s="226">
        <v>5.6015171377919018E-2</v>
      </c>
      <c r="F629" s="226">
        <v>1.1096355528086629E-3</v>
      </c>
      <c r="G629" s="227">
        <v>1.0216723414156787E-3</v>
      </c>
      <c r="H629" s="226">
        <v>2.0000005732018801E-3</v>
      </c>
      <c r="I629" s="255">
        <v>2.9495290537577944E-3</v>
      </c>
      <c r="J629" s="256">
        <v>3.6019169983201202E-5</v>
      </c>
      <c r="K629" s="257">
        <v>3.7647797017141982E-5</v>
      </c>
      <c r="L629" s="228">
        <v>3.4453555629392868E-2</v>
      </c>
    </row>
    <row r="630" spans="1:12" s="212" customFormat="1" ht="15.5" x14ac:dyDescent="0.35">
      <c r="A630" s="198" t="s">
        <v>819</v>
      </c>
      <c r="B630" s="197">
        <v>2034</v>
      </c>
      <c r="C630" s="213" t="s">
        <v>3867</v>
      </c>
      <c r="D630" s="239">
        <v>9.9243571117652741E-3</v>
      </c>
      <c r="E630" s="226">
        <v>5.1558555802780535E-2</v>
      </c>
      <c r="F630" s="226">
        <v>1.0412128834907915E-3</v>
      </c>
      <c r="G630" s="227">
        <v>9.5863585974516677E-4</v>
      </c>
      <c r="H630" s="226">
        <v>2.0000005732018801E-3</v>
      </c>
      <c r="I630" s="255">
        <v>2.9478242176489084E-3</v>
      </c>
      <c r="J630" s="256">
        <v>3.2827339008423719E-5</v>
      </c>
      <c r="K630" s="257">
        <v>3.4311645609225251E-5</v>
      </c>
      <c r="L630" s="228">
        <v>3.402848701787789E-2</v>
      </c>
    </row>
    <row r="631" spans="1:12" s="212" customFormat="1" ht="15.5" x14ac:dyDescent="0.35">
      <c r="A631" s="198" t="s">
        <v>819</v>
      </c>
      <c r="B631" s="197">
        <v>2035</v>
      </c>
      <c r="C631" s="213" t="s">
        <v>3868</v>
      </c>
      <c r="D631" s="239">
        <v>9.0354079926085479E-3</v>
      </c>
      <c r="E631" s="226">
        <v>4.7600601372185504E-2</v>
      </c>
      <c r="F631" s="226">
        <v>9.7289469141652589E-4</v>
      </c>
      <c r="G631" s="227">
        <v>8.9565154804771032E-4</v>
      </c>
      <c r="H631" s="226">
        <v>2.0000005732018801E-3</v>
      </c>
      <c r="I631" s="255">
        <v>2.9461274171739397E-3</v>
      </c>
      <c r="J631" s="256">
        <v>2.8508974140109468E-5</v>
      </c>
      <c r="K631" s="257">
        <v>2.979802344402608E-5</v>
      </c>
      <c r="L631" s="228">
        <v>3.3651322815969525E-2</v>
      </c>
    </row>
    <row r="632" spans="1:12" s="212" customFormat="1" ht="15.5" x14ac:dyDescent="0.35">
      <c r="A632" s="198" t="s">
        <v>819</v>
      </c>
      <c r="B632" s="197">
        <v>2036</v>
      </c>
      <c r="C632" s="213" t="s">
        <v>3869</v>
      </c>
      <c r="D632" s="239">
        <v>8.242795120079905E-3</v>
      </c>
      <c r="E632" s="226">
        <v>4.4111442684213027E-2</v>
      </c>
      <c r="F632" s="226">
        <v>9.148605994754197E-4</v>
      </c>
      <c r="G632" s="227">
        <v>8.4213528408959163E-4</v>
      </c>
      <c r="H632" s="226">
        <v>2.0000005732018801E-3</v>
      </c>
      <c r="I632" s="255">
        <v>2.9444615953977274E-3</v>
      </c>
      <c r="J632" s="256">
        <v>2.4503658097637182E-5</v>
      </c>
      <c r="K632" s="257">
        <v>2.5611604783439914E-5</v>
      </c>
      <c r="L632" s="228">
        <v>3.331986142708674E-2</v>
      </c>
    </row>
    <row r="633" spans="1:12" s="212" customFormat="1" ht="15.5" x14ac:dyDescent="0.35">
      <c r="A633" s="198" t="s">
        <v>819</v>
      </c>
      <c r="B633" s="197">
        <v>2037</v>
      </c>
      <c r="C633" s="213" t="s">
        <v>3870</v>
      </c>
      <c r="D633" s="239">
        <v>7.5762473074833863E-3</v>
      </c>
      <c r="E633" s="226">
        <v>4.1196564941546651E-2</v>
      </c>
      <c r="F633" s="226">
        <v>8.6331217853052877E-4</v>
      </c>
      <c r="G633" s="227">
        <v>7.9463941510476315E-4</v>
      </c>
      <c r="H633" s="226">
        <v>2.0000005732018801E-3</v>
      </c>
      <c r="I633" s="255">
        <v>2.9428463573282549E-3</v>
      </c>
      <c r="J633" s="256">
        <v>2.1962810491363413E-5</v>
      </c>
      <c r="K633" s="257">
        <v>2.2955871323254734E-5</v>
      </c>
      <c r="L633" s="228">
        <v>3.3032046037513869E-2</v>
      </c>
    </row>
    <row r="634" spans="1:12" s="212" customFormat="1" ht="15.5" x14ac:dyDescent="0.35">
      <c r="A634" s="198" t="s">
        <v>819</v>
      </c>
      <c r="B634" s="197">
        <v>2038</v>
      </c>
      <c r="C634" s="213" t="s">
        <v>3871</v>
      </c>
      <c r="D634" s="239">
        <v>6.9448216091534268E-3</v>
      </c>
      <c r="E634" s="226">
        <v>3.8471827936763903E-2</v>
      </c>
      <c r="F634" s="226">
        <v>8.1517126407382992E-4</v>
      </c>
      <c r="G634" s="227">
        <v>7.5030246290505218E-4</v>
      </c>
      <c r="H634" s="226">
        <v>2.0000005732018801E-3</v>
      </c>
      <c r="I634" s="255">
        <v>2.9413249593589091E-3</v>
      </c>
      <c r="J634" s="256">
        <v>2.0085167324031965E-5</v>
      </c>
      <c r="K634" s="257">
        <v>2.0993329463814693E-5</v>
      </c>
      <c r="L634" s="228">
        <v>3.2762899322230657E-2</v>
      </c>
    </row>
    <row r="635" spans="1:12" s="212" customFormat="1" ht="15.5" x14ac:dyDescent="0.35">
      <c r="A635" s="198" t="s">
        <v>819</v>
      </c>
      <c r="B635" s="197">
        <v>2039</v>
      </c>
      <c r="C635" s="213" t="s">
        <v>3872</v>
      </c>
      <c r="D635" s="239">
        <v>6.3193130172065175E-3</v>
      </c>
      <c r="E635" s="226">
        <v>3.5817668542767842E-2</v>
      </c>
      <c r="F635" s="226">
        <v>7.694411461211519E-4</v>
      </c>
      <c r="G635" s="227">
        <v>7.0817696465857874E-4</v>
      </c>
      <c r="H635" s="226">
        <v>2.0000005732018801E-3</v>
      </c>
      <c r="I635" s="255">
        <v>2.9398138312311728E-3</v>
      </c>
      <c r="J635" s="256">
        <v>1.807446304463886E-5</v>
      </c>
      <c r="K635" s="257">
        <v>1.8891710059275499E-5</v>
      </c>
      <c r="L635" s="228">
        <v>3.2551498968686671E-2</v>
      </c>
    </row>
    <row r="636" spans="1:12" s="212" customFormat="1" ht="15.5" x14ac:dyDescent="0.35">
      <c r="A636" s="198" t="s">
        <v>819</v>
      </c>
      <c r="B636" s="197">
        <v>2040</v>
      </c>
      <c r="C636" s="213" t="s">
        <v>3873</v>
      </c>
      <c r="D636" s="239">
        <v>5.74511012648821E-3</v>
      </c>
      <c r="E636" s="226">
        <v>3.3492896322353312E-2</v>
      </c>
      <c r="F636" s="226">
        <v>7.2698587624686075E-4</v>
      </c>
      <c r="G636" s="227">
        <v>6.6907932783980581E-4</v>
      </c>
      <c r="H636" s="226">
        <v>2.0000005732018801E-3</v>
      </c>
      <c r="I636" s="255">
        <v>2.9384919654633162E-3</v>
      </c>
      <c r="J636" s="256">
        <v>1.6493899112102014E-5</v>
      </c>
      <c r="K636" s="257">
        <v>1.7239680039357957E-5</v>
      </c>
      <c r="L636" s="228">
        <v>3.237362002678925E-2</v>
      </c>
    </row>
    <row r="637" spans="1:12" s="212" customFormat="1" ht="15.5" x14ac:dyDescent="0.35">
      <c r="A637" s="198" t="s">
        <v>819</v>
      </c>
      <c r="B637" s="197">
        <v>2041</v>
      </c>
      <c r="C637" s="213" t="s">
        <v>3874</v>
      </c>
      <c r="D637" s="239">
        <v>5.3198719506980163E-3</v>
      </c>
      <c r="E637" s="226">
        <v>3.1646199204978992E-2</v>
      </c>
      <c r="F637" s="226">
        <v>6.9679626582206809E-4</v>
      </c>
      <c r="G637" s="227">
        <v>6.4127137622660413E-4</v>
      </c>
      <c r="H637" s="226">
        <v>2.0000005732018801E-3</v>
      </c>
      <c r="I637" s="255">
        <v>2.9372870012770507E-3</v>
      </c>
      <c r="J637" s="256">
        <v>1.5217832779158301E-5</v>
      </c>
      <c r="K637" s="257">
        <v>1.5905915649298998E-5</v>
      </c>
      <c r="L637" s="228">
        <v>3.2225491880183837E-2</v>
      </c>
    </row>
    <row r="638" spans="1:12" s="212" customFormat="1" ht="15.5" x14ac:dyDescent="0.35">
      <c r="A638" s="198" t="s">
        <v>819</v>
      </c>
      <c r="B638" s="197">
        <v>2042</v>
      </c>
      <c r="C638" s="213" t="s">
        <v>3875</v>
      </c>
      <c r="D638" s="239">
        <v>4.9139873974650364E-3</v>
      </c>
      <c r="E638" s="226">
        <v>2.9794698947174788E-2</v>
      </c>
      <c r="F638" s="226">
        <v>6.6934687659066965E-4</v>
      </c>
      <c r="G638" s="227">
        <v>6.1598863456530941E-4</v>
      </c>
      <c r="H638" s="226">
        <v>2.0000005732018801E-3</v>
      </c>
      <c r="I638" s="255">
        <v>2.9361123642936229E-3</v>
      </c>
      <c r="J638" s="256">
        <v>1.4087487574926387E-5</v>
      </c>
      <c r="K638" s="257">
        <v>1.4724461250764283E-5</v>
      </c>
      <c r="L638" s="228">
        <v>3.2100760062403741E-2</v>
      </c>
    </row>
    <row r="639" spans="1:12" s="212" customFormat="1" ht="15.5" x14ac:dyDescent="0.35">
      <c r="A639" s="198" t="s">
        <v>819</v>
      </c>
      <c r="B639" s="197">
        <v>2043</v>
      </c>
      <c r="C639" s="213" t="s">
        <v>3876</v>
      </c>
      <c r="D639" s="239">
        <v>4.6068684691456295E-3</v>
      </c>
      <c r="E639" s="226">
        <v>2.8248313242659539E-2</v>
      </c>
      <c r="F639" s="226">
        <v>6.448411702814086E-4</v>
      </c>
      <c r="G639" s="227">
        <v>5.934124670806827E-4</v>
      </c>
      <c r="H639" s="226">
        <v>2.0000005732018797E-3</v>
      </c>
      <c r="I639" s="255">
        <v>2.935038479078739E-3</v>
      </c>
      <c r="J639" s="256">
        <v>1.2956279734082673E-5</v>
      </c>
      <c r="K639" s="257">
        <v>1.3542105211018054E-5</v>
      </c>
      <c r="L639" s="228">
        <v>3.199774264525207E-2</v>
      </c>
    </row>
    <row r="640" spans="1:12" s="212" customFormat="1" ht="15.5" x14ac:dyDescent="0.35">
      <c r="A640" s="198" t="s">
        <v>819</v>
      </c>
      <c r="B640" s="197">
        <v>2044</v>
      </c>
      <c r="C640" s="213" t="s">
        <v>3877</v>
      </c>
      <c r="D640" s="239">
        <v>4.3806305834777192E-3</v>
      </c>
      <c r="E640" s="226">
        <v>2.6880160697576181E-2</v>
      </c>
      <c r="F640" s="226">
        <v>6.2324558194345688E-4</v>
      </c>
      <c r="G640" s="227">
        <v>5.7352241481002154E-4</v>
      </c>
      <c r="H640" s="226">
        <v>2.0000005732018801E-3</v>
      </c>
      <c r="I640" s="255">
        <v>2.9340212404868073E-3</v>
      </c>
      <c r="J640" s="256">
        <v>1.2091201140758449E-5</v>
      </c>
      <c r="K640" s="257">
        <v>1.263791160243312E-5</v>
      </c>
      <c r="L640" s="228">
        <v>3.1912226768514081E-2</v>
      </c>
    </row>
    <row r="641" spans="1:12" s="212" customFormat="1" ht="15.5" x14ac:dyDescent="0.35">
      <c r="A641" s="198" t="s">
        <v>819</v>
      </c>
      <c r="B641" s="197">
        <v>2045</v>
      </c>
      <c r="C641" s="213" t="s">
        <v>3878</v>
      </c>
      <c r="D641" s="239">
        <v>4.220989228507931E-3</v>
      </c>
      <c r="E641" s="226">
        <v>2.565896813853253E-2</v>
      </c>
      <c r="F641" s="226">
        <v>6.0408024427769541E-4</v>
      </c>
      <c r="G641" s="227">
        <v>5.5587331821314227E-4</v>
      </c>
      <c r="H641" s="226">
        <v>2.0000005732018801E-3</v>
      </c>
      <c r="I641" s="255">
        <v>2.9330891441338141E-3</v>
      </c>
      <c r="J641" s="256">
        <v>1.1391148573795526E-5</v>
      </c>
      <c r="K641" s="257">
        <v>1.1906205764829399E-5</v>
      </c>
      <c r="L641" s="228">
        <v>3.1839543194082436E-2</v>
      </c>
    </row>
    <row r="642" spans="1:12" s="212" customFormat="1" ht="15.5" x14ac:dyDescent="0.35">
      <c r="A642" s="198" t="s">
        <v>819</v>
      </c>
      <c r="B642" s="197">
        <v>2046</v>
      </c>
      <c r="C642" s="213" t="s">
        <v>3879</v>
      </c>
      <c r="D642" s="239">
        <v>4.0780016388269969E-3</v>
      </c>
      <c r="E642" s="226">
        <v>2.4563609079855529E-2</v>
      </c>
      <c r="F642" s="226">
        <v>5.8722422792546768E-4</v>
      </c>
      <c r="G642" s="227">
        <v>5.4034834539329422E-4</v>
      </c>
      <c r="H642" s="226">
        <v>2.0000005732018805E-3</v>
      </c>
      <c r="I642" s="255">
        <v>2.9322529855699995E-3</v>
      </c>
      <c r="J642" s="256">
        <v>1.0711322253028551E-5</v>
      </c>
      <c r="K642" s="257">
        <v>1.1195640714521971E-5</v>
      </c>
      <c r="L642" s="228">
        <v>3.1778446979243639E-2</v>
      </c>
    </row>
    <row r="643" spans="1:12" s="212" customFormat="1" ht="15.5" x14ac:dyDescent="0.35">
      <c r="A643" s="198" t="s">
        <v>819</v>
      </c>
      <c r="B643" s="197">
        <v>2047</v>
      </c>
      <c r="C643" s="213" t="s">
        <v>3880</v>
      </c>
      <c r="D643" s="239">
        <v>3.9598355531469771E-3</v>
      </c>
      <c r="E643" s="226">
        <v>2.3649351464574607E-2</v>
      </c>
      <c r="F643" s="226">
        <v>5.7258827956982504E-4</v>
      </c>
      <c r="G643" s="227">
        <v>5.2685757140190554E-4</v>
      </c>
      <c r="H643" s="226">
        <v>2.0000005732018801E-3</v>
      </c>
      <c r="I643" s="255">
        <v>2.9315007901843638E-3</v>
      </c>
      <c r="J643" s="256">
        <v>9.8499963348787884E-6</v>
      </c>
      <c r="K643" s="257">
        <v>1.0295369460430622E-5</v>
      </c>
      <c r="L643" s="228">
        <v>3.1727297526189489E-2</v>
      </c>
    </row>
    <row r="644" spans="1:12" s="212" customFormat="1" ht="15.5" x14ac:dyDescent="0.35">
      <c r="A644" s="198" t="s">
        <v>819</v>
      </c>
      <c r="B644" s="197">
        <v>2048</v>
      </c>
      <c r="C644" s="213" t="s">
        <v>3881</v>
      </c>
      <c r="D644" s="239">
        <v>3.8621444850587836E-3</v>
      </c>
      <c r="E644" s="226">
        <v>2.2903076222037536E-2</v>
      </c>
      <c r="F644" s="226">
        <v>5.5985170938848078E-4</v>
      </c>
      <c r="G644" s="227">
        <v>5.1511796474507901E-4</v>
      </c>
      <c r="H644" s="226">
        <v>2.0000005732018805E-3</v>
      </c>
      <c r="I644" s="255">
        <v>2.9308180115259134E-3</v>
      </c>
      <c r="J644" s="256">
        <v>9.1108178438506368E-6</v>
      </c>
      <c r="K644" s="257">
        <v>9.5227685980941472E-6</v>
      </c>
      <c r="L644" s="228">
        <v>3.1684303761788296E-2</v>
      </c>
    </row>
    <row r="645" spans="1:12" s="212" customFormat="1" ht="15.5" x14ac:dyDescent="0.35">
      <c r="A645" s="198" t="s">
        <v>819</v>
      </c>
      <c r="B645" s="197">
        <v>2049</v>
      </c>
      <c r="C645" s="213" t="s">
        <v>3882</v>
      </c>
      <c r="D645" s="239">
        <v>3.8401046447358658E-3</v>
      </c>
      <c r="E645" s="226">
        <v>2.2815397583452319E-2</v>
      </c>
      <c r="F645" s="226">
        <v>5.5242933960089992E-4</v>
      </c>
      <c r="G645" s="227">
        <v>5.0827716835822375E-4</v>
      </c>
      <c r="H645" s="226">
        <v>2.0000005732018801E-3</v>
      </c>
      <c r="I645" s="255">
        <v>2.930167702442523E-3</v>
      </c>
      <c r="J645" s="256">
        <v>8.6950028272979853E-6</v>
      </c>
      <c r="K645" s="257">
        <v>9.0881522716447935E-6</v>
      </c>
      <c r="L645" s="228">
        <v>3.1648537753117677E-2</v>
      </c>
    </row>
    <row r="646" spans="1:12" s="212" customFormat="1" ht="15.5" x14ac:dyDescent="0.35">
      <c r="A646" s="198" t="s">
        <v>819</v>
      </c>
      <c r="B646" s="197">
        <v>2050</v>
      </c>
      <c r="C646" s="213" t="s">
        <v>3883</v>
      </c>
      <c r="D646" s="239">
        <v>3.8219287086541588E-3</v>
      </c>
      <c r="E646" s="226">
        <v>2.2737159185015964E-2</v>
      </c>
      <c r="F646" s="226">
        <v>5.4596713863703475E-4</v>
      </c>
      <c r="G646" s="227">
        <v>5.0231131202441615E-4</v>
      </c>
      <c r="H646" s="226">
        <v>2.0000005732018801E-3</v>
      </c>
      <c r="I646" s="255">
        <v>2.9296075429405067E-3</v>
      </c>
      <c r="J646" s="256">
        <v>8.0764374106922871E-6</v>
      </c>
      <c r="K646" s="257">
        <v>8.4416180717435583E-6</v>
      </c>
      <c r="L646" s="228">
        <v>3.1619255267967994E-2</v>
      </c>
    </row>
    <row r="647" spans="1:12" s="212" customFormat="1" ht="15.5" x14ac:dyDescent="0.35">
      <c r="A647" s="198" t="s">
        <v>820</v>
      </c>
      <c r="B647" s="197">
        <v>2015</v>
      </c>
      <c r="C647" s="213" t="s">
        <v>893</v>
      </c>
      <c r="D647" s="239">
        <v>8.800154466242649E-2</v>
      </c>
      <c r="E647" s="226">
        <v>0.33269580210259997</v>
      </c>
      <c r="F647" s="226">
        <v>2.9813802508839018E-3</v>
      </c>
      <c r="G647" s="227">
        <v>2.7579068012493022E-3</v>
      </c>
      <c r="H647" s="226">
        <v>2.0000005732018801E-3</v>
      </c>
      <c r="I647" s="255">
        <v>3.2767413417112514E-3</v>
      </c>
      <c r="J647" s="256">
        <v>2.4301463542481807E-4</v>
      </c>
      <c r="K647" s="257">
        <v>2.540026788772544E-4</v>
      </c>
      <c r="L647" s="228">
        <v>4.8152279757627613E-2</v>
      </c>
    </row>
    <row r="648" spans="1:12" s="212" customFormat="1" ht="15.5" x14ac:dyDescent="0.35">
      <c r="A648" s="198" t="s">
        <v>820</v>
      </c>
      <c r="B648" s="197">
        <v>2016</v>
      </c>
      <c r="C648" s="213" t="s">
        <v>894</v>
      </c>
      <c r="D648" s="239">
        <v>7.9490936490778541E-2</v>
      </c>
      <c r="E648" s="226">
        <v>0.30830081770949613</v>
      </c>
      <c r="F648" s="226">
        <v>2.8946511830001448E-3</v>
      </c>
      <c r="G648" s="227">
        <v>2.6766458951400069E-3</v>
      </c>
      <c r="H648" s="226">
        <v>2.0000005732018797E-3</v>
      </c>
      <c r="I648" s="255">
        <v>3.2716058200892677E-3</v>
      </c>
      <c r="J648" s="256">
        <v>2.3819240589507224E-4</v>
      </c>
      <c r="K648" s="257">
        <v>2.4896240952650015E-4</v>
      </c>
      <c r="L648" s="228">
        <v>4.7354375049325388E-2</v>
      </c>
    </row>
    <row r="649" spans="1:12" s="212" customFormat="1" ht="15.5" x14ac:dyDescent="0.35">
      <c r="A649" s="198" t="s">
        <v>820</v>
      </c>
      <c r="B649" s="197">
        <v>2017</v>
      </c>
      <c r="C649" s="213" t="s">
        <v>3884</v>
      </c>
      <c r="D649" s="239">
        <v>6.3824048691693697E-2</v>
      </c>
      <c r="E649" s="226">
        <v>0.2596546848621572</v>
      </c>
      <c r="F649" s="226">
        <v>2.6586487916186977E-3</v>
      </c>
      <c r="G649" s="227">
        <v>2.4556171633817888E-3</v>
      </c>
      <c r="H649" s="226">
        <v>2.0000005732018801E-3</v>
      </c>
      <c r="I649" s="255">
        <v>3.2712797792280061E-3</v>
      </c>
      <c r="J649" s="256">
        <v>1.8792446028729741E-4</v>
      </c>
      <c r="K649" s="257">
        <v>1.9642157047904701E-4</v>
      </c>
      <c r="L649" s="228">
        <v>4.6963715678010151E-2</v>
      </c>
    </row>
    <row r="650" spans="1:12" s="212" customFormat="1" ht="15.5" x14ac:dyDescent="0.35">
      <c r="A650" s="198" t="s">
        <v>820</v>
      </c>
      <c r="B650" s="197">
        <v>2018</v>
      </c>
      <c r="C650" s="213" t="s">
        <v>3885</v>
      </c>
      <c r="D650" s="239">
        <v>5.3515126557430341E-2</v>
      </c>
      <c r="E650" s="226">
        <v>0.2284033960710499</v>
      </c>
      <c r="F650" s="226">
        <v>2.5605191322922529E-3</v>
      </c>
      <c r="G650" s="227">
        <v>2.3634950596663541E-3</v>
      </c>
      <c r="H650" s="226">
        <v>2.0000005732018801E-3</v>
      </c>
      <c r="I650" s="255">
        <v>3.2727089368364266E-3</v>
      </c>
      <c r="J650" s="256">
        <v>1.7465007640219101E-4</v>
      </c>
      <c r="K650" s="257">
        <v>1.8254697785886206E-4</v>
      </c>
      <c r="L650" s="228">
        <v>4.6394057064242267E-2</v>
      </c>
    </row>
    <row r="651" spans="1:12" s="212" customFormat="1" ht="15.5" x14ac:dyDescent="0.35">
      <c r="A651" s="198" t="s">
        <v>820</v>
      </c>
      <c r="B651" s="197">
        <v>2019</v>
      </c>
      <c r="C651" s="213" t="s">
        <v>3886</v>
      </c>
      <c r="D651" s="239">
        <v>4.5038367525033401E-2</v>
      </c>
      <c r="E651" s="226">
        <v>0.19724272145810229</v>
      </c>
      <c r="F651" s="226">
        <v>2.4635205924029005E-3</v>
      </c>
      <c r="G651" s="227">
        <v>2.2719625998735339E-3</v>
      </c>
      <c r="H651" s="226">
        <v>2.0000005732018797E-3</v>
      </c>
      <c r="I651" s="255">
        <v>3.2760492744700275E-3</v>
      </c>
      <c r="J651" s="256">
        <v>1.3871626997524275E-4</v>
      </c>
      <c r="K651" s="257">
        <v>1.4498840415919177E-4</v>
      </c>
      <c r="L651" s="228">
        <v>4.5689766530722264E-2</v>
      </c>
    </row>
    <row r="652" spans="1:12" s="212" customFormat="1" ht="15.5" x14ac:dyDescent="0.35">
      <c r="A652" s="198" t="s">
        <v>820</v>
      </c>
      <c r="B652" s="197">
        <v>2020</v>
      </c>
      <c r="C652" s="213" t="s">
        <v>3887</v>
      </c>
      <c r="D652" s="239">
        <v>3.9652496356538031E-2</v>
      </c>
      <c r="E652" s="226">
        <v>0.17686815904414521</v>
      </c>
      <c r="F652" s="226">
        <v>2.3799206694634588E-3</v>
      </c>
      <c r="G652" s="227">
        <v>2.1943674371899891E-3</v>
      </c>
      <c r="H652" s="226">
        <v>2.0000005732018801E-3</v>
      </c>
      <c r="I652" s="255">
        <v>3.2853241949540248E-3</v>
      </c>
      <c r="J652" s="256">
        <v>1.2899131943251038E-4</v>
      </c>
      <c r="K652" s="257">
        <v>1.348237345067459E-4</v>
      </c>
      <c r="L652" s="228">
        <v>4.5316522944459842E-2</v>
      </c>
    </row>
    <row r="653" spans="1:12" s="212" customFormat="1" ht="15.5" x14ac:dyDescent="0.35">
      <c r="A653" s="198" t="s">
        <v>820</v>
      </c>
      <c r="B653" s="197">
        <v>2021</v>
      </c>
      <c r="C653" s="213" t="s">
        <v>3888</v>
      </c>
      <c r="D653" s="239">
        <v>3.4120896456930623E-2</v>
      </c>
      <c r="E653" s="226">
        <v>0.15623308782841733</v>
      </c>
      <c r="F653" s="226">
        <v>2.2599456969778116E-3</v>
      </c>
      <c r="G653" s="227">
        <v>2.0832655630755757E-3</v>
      </c>
      <c r="H653" s="226">
        <v>2.0000005732018797E-3</v>
      </c>
      <c r="I653" s="255">
        <v>3.2905503564042856E-3</v>
      </c>
      <c r="J653" s="256">
        <v>1.1904657969246958E-4</v>
      </c>
      <c r="K653" s="257">
        <v>1.2442933776478956E-4</v>
      </c>
      <c r="L653" s="228">
        <v>4.4421819359238487E-2</v>
      </c>
    </row>
    <row r="654" spans="1:12" s="212" customFormat="1" ht="15.5" x14ac:dyDescent="0.35">
      <c r="A654" s="198" t="s">
        <v>820</v>
      </c>
      <c r="B654" s="197">
        <v>2022</v>
      </c>
      <c r="C654" s="213" t="s">
        <v>3889</v>
      </c>
      <c r="D654" s="239">
        <v>2.8423655299237141E-2</v>
      </c>
      <c r="E654" s="226">
        <v>0.13634119531666655</v>
      </c>
      <c r="F654" s="226">
        <v>2.1358127814255917E-3</v>
      </c>
      <c r="G654" s="227">
        <v>1.9682440756753016E-3</v>
      </c>
      <c r="H654" s="226">
        <v>2.0000005732018805E-3</v>
      </c>
      <c r="I654" s="255">
        <v>3.2913461579048638E-3</v>
      </c>
      <c r="J654" s="256">
        <v>1.0910258274256103E-4</v>
      </c>
      <c r="K654" s="257">
        <v>1.14035717398639E-4</v>
      </c>
      <c r="L654" s="228">
        <v>4.3636082331480544E-2</v>
      </c>
    </row>
    <row r="655" spans="1:12" s="212" customFormat="1" ht="15.5" x14ac:dyDescent="0.35">
      <c r="A655" s="198" t="s">
        <v>820</v>
      </c>
      <c r="B655" s="197">
        <v>2023</v>
      </c>
      <c r="C655" s="213" t="s">
        <v>3890</v>
      </c>
      <c r="D655" s="239">
        <v>2.48995112974905E-2</v>
      </c>
      <c r="E655" s="226">
        <v>0.12019123636158431</v>
      </c>
      <c r="F655" s="226">
        <v>2.0225107460710768E-3</v>
      </c>
      <c r="G655" s="227">
        <v>1.8635192901950595E-3</v>
      </c>
      <c r="H655" s="226">
        <v>2.0000005732018801E-3</v>
      </c>
      <c r="I655" s="255">
        <v>3.2912966967379997E-3</v>
      </c>
      <c r="J655" s="256">
        <v>9.7106673036843435E-5</v>
      </c>
      <c r="K655" s="257">
        <v>1.0149740588708976E-4</v>
      </c>
      <c r="L655" s="228">
        <v>4.2806793976156624E-2</v>
      </c>
    </row>
    <row r="656" spans="1:12" s="212" customFormat="1" ht="15.5" x14ac:dyDescent="0.35">
      <c r="A656" s="198" t="s">
        <v>820</v>
      </c>
      <c r="B656" s="197">
        <v>2024</v>
      </c>
      <c r="C656" s="213" t="s">
        <v>3891</v>
      </c>
      <c r="D656" s="239">
        <v>2.1833846539187535E-2</v>
      </c>
      <c r="E656" s="226">
        <v>0.10626714566635685</v>
      </c>
      <c r="F656" s="226">
        <v>1.9178387354000586E-3</v>
      </c>
      <c r="G656" s="227">
        <v>1.766675541230189E-3</v>
      </c>
      <c r="H656" s="226">
        <v>2.0000005732018801E-3</v>
      </c>
      <c r="I656" s="255">
        <v>3.2911540820365201E-3</v>
      </c>
      <c r="J656" s="256">
        <v>8.3615775967771393E-5</v>
      </c>
      <c r="K656" s="257">
        <v>8.7396510317523429E-5</v>
      </c>
      <c r="L656" s="228">
        <v>4.1937563781655203E-2</v>
      </c>
    </row>
    <row r="657" spans="1:12" s="212" customFormat="1" ht="15.5" x14ac:dyDescent="0.35">
      <c r="A657" s="198" t="s">
        <v>820</v>
      </c>
      <c r="B657" s="197">
        <v>2025</v>
      </c>
      <c r="C657" s="213" t="s">
        <v>3892</v>
      </c>
      <c r="D657" s="239">
        <v>1.935317819492554E-2</v>
      </c>
      <c r="E657" s="226">
        <v>9.4817718710094881E-2</v>
      </c>
      <c r="F657" s="226">
        <v>1.8336188269027411E-3</v>
      </c>
      <c r="G657" s="227">
        <v>1.6888199800341004E-3</v>
      </c>
      <c r="H657" s="226">
        <v>2.0000005732018775E-3</v>
      </c>
      <c r="I657" s="255">
        <v>3.2909162335935617E-3</v>
      </c>
      <c r="J657" s="256">
        <v>7.3703441584164209E-5</v>
      </c>
      <c r="K657" s="257">
        <v>7.7035984158421868E-5</v>
      </c>
      <c r="L657" s="228">
        <v>4.1053893548785698E-2</v>
      </c>
    </row>
    <row r="658" spans="1:12" s="212" customFormat="1" ht="15.5" x14ac:dyDescent="0.35">
      <c r="A658" s="198" t="s">
        <v>820</v>
      </c>
      <c r="B658" s="197">
        <v>2026</v>
      </c>
      <c r="C658" s="213" t="s">
        <v>3893</v>
      </c>
      <c r="D658" s="239">
        <v>1.7365210306881002E-2</v>
      </c>
      <c r="E658" s="226">
        <v>8.5446505555662786E-2</v>
      </c>
      <c r="F658" s="226">
        <v>1.7555325958270957E-3</v>
      </c>
      <c r="G658" s="227">
        <v>1.6166994542709838E-3</v>
      </c>
      <c r="H658" s="226">
        <v>2.0000005732018801E-3</v>
      </c>
      <c r="I658" s="255">
        <v>3.2903878646304442E-3</v>
      </c>
      <c r="J658" s="256">
        <v>6.5465828301046456E-5</v>
      </c>
      <c r="K658" s="257">
        <v>6.8425902556509263E-5</v>
      </c>
      <c r="L658" s="228">
        <v>4.0185072787647914E-2</v>
      </c>
    </row>
    <row r="659" spans="1:12" s="212" customFormat="1" ht="15.5" x14ac:dyDescent="0.35">
      <c r="A659" s="198" t="s">
        <v>820</v>
      </c>
      <c r="B659" s="197">
        <v>2027</v>
      </c>
      <c r="C659" s="213" t="s">
        <v>3894</v>
      </c>
      <c r="D659" s="239">
        <v>1.5645607004122104E-2</v>
      </c>
      <c r="E659" s="226">
        <v>7.7333006972735416E-2</v>
      </c>
      <c r="F659" s="226">
        <v>1.6652222494883797E-3</v>
      </c>
      <c r="G659" s="227">
        <v>1.5332004593665205E-3</v>
      </c>
      <c r="H659" s="226">
        <v>2.0000005732018805E-3</v>
      </c>
      <c r="I659" s="255">
        <v>3.2894169978345844E-3</v>
      </c>
      <c r="J659" s="256">
        <v>5.3642577917798183E-5</v>
      </c>
      <c r="K659" s="257">
        <v>5.6068057255826903E-5</v>
      </c>
      <c r="L659" s="228">
        <v>3.934150350055652E-2</v>
      </c>
    </row>
    <row r="660" spans="1:12" s="212" customFormat="1" ht="15.5" x14ac:dyDescent="0.35">
      <c r="A660" s="198" t="s">
        <v>820</v>
      </c>
      <c r="B660" s="197">
        <v>2028</v>
      </c>
      <c r="C660" s="213" t="s">
        <v>3895</v>
      </c>
      <c r="D660" s="239">
        <v>1.418361987767177E-2</v>
      </c>
      <c r="E660" s="226">
        <v>7.0418804843572824E-2</v>
      </c>
      <c r="F660" s="226">
        <v>1.570474982268679E-3</v>
      </c>
      <c r="G660" s="227">
        <v>1.4457669519485521E-3</v>
      </c>
      <c r="H660" s="226">
        <v>2.0000005732018775E-3</v>
      </c>
      <c r="I660" s="255">
        <v>3.2883006122259649E-3</v>
      </c>
      <c r="J660" s="256">
        <v>4.5509384046107389E-5</v>
      </c>
      <c r="K660" s="257">
        <v>4.7567116447771483E-5</v>
      </c>
      <c r="L660" s="228">
        <v>3.8541411735594881E-2</v>
      </c>
    </row>
    <row r="661" spans="1:12" s="212" customFormat="1" ht="15.5" x14ac:dyDescent="0.35">
      <c r="A661" s="198" t="s">
        <v>820</v>
      </c>
      <c r="B661" s="197">
        <v>2029</v>
      </c>
      <c r="C661" s="213" t="s">
        <v>3896</v>
      </c>
      <c r="D661" s="239">
        <v>1.2890855860750375E-2</v>
      </c>
      <c r="E661" s="226">
        <v>6.4404914723424522E-2</v>
      </c>
      <c r="F661" s="226">
        <v>1.4782442404028685E-3</v>
      </c>
      <c r="G661" s="227">
        <v>1.3607004623774079E-3</v>
      </c>
      <c r="H661" s="226">
        <v>2.0000005732018779E-3</v>
      </c>
      <c r="I661" s="255">
        <v>3.2870475608519178E-3</v>
      </c>
      <c r="J661" s="256">
        <v>3.8740711655179785E-5</v>
      </c>
      <c r="K661" s="257">
        <v>4.0492394726865124E-5</v>
      </c>
      <c r="L661" s="228">
        <v>3.7787034195448731E-2</v>
      </c>
    </row>
    <row r="662" spans="1:12" s="212" customFormat="1" ht="15.5" x14ac:dyDescent="0.35">
      <c r="A662" s="198" t="s">
        <v>820</v>
      </c>
      <c r="B662" s="197">
        <v>2030</v>
      </c>
      <c r="C662" s="213" t="s">
        <v>3897</v>
      </c>
      <c r="D662" s="239">
        <v>1.1808226156570116E-2</v>
      </c>
      <c r="E662" s="226">
        <v>5.9226045517784293E-2</v>
      </c>
      <c r="F662" s="226">
        <v>1.3892311805188543E-3</v>
      </c>
      <c r="G662" s="227">
        <v>1.2786014453410751E-3</v>
      </c>
      <c r="H662" s="226">
        <v>2.0000005732018797E-3</v>
      </c>
      <c r="I662" s="255">
        <v>3.2856743913648218E-3</v>
      </c>
      <c r="J662" s="256">
        <v>3.2201301779619549E-5</v>
      </c>
      <c r="K662" s="257">
        <v>3.3657301754933561E-5</v>
      </c>
      <c r="L662" s="228">
        <v>3.7081511785938631E-2</v>
      </c>
    </row>
    <row r="663" spans="1:12" s="212" customFormat="1" ht="15.5" x14ac:dyDescent="0.35">
      <c r="A663" s="198" t="s">
        <v>820</v>
      </c>
      <c r="B663" s="197">
        <v>2031</v>
      </c>
      <c r="C663" s="213" t="s">
        <v>3898</v>
      </c>
      <c r="D663" s="239">
        <v>1.0862474359042897E-2</v>
      </c>
      <c r="E663" s="226">
        <v>5.4719130729374725E-2</v>
      </c>
      <c r="F663" s="226">
        <v>1.3071662220161459E-3</v>
      </c>
      <c r="G663" s="227">
        <v>1.2030276141121508E-3</v>
      </c>
      <c r="H663" s="226">
        <v>2.0000005732018801E-3</v>
      </c>
      <c r="I663" s="255">
        <v>3.2841481033978135E-3</v>
      </c>
      <c r="J663" s="256">
        <v>2.9169412110229224E-5</v>
      </c>
      <c r="K663" s="257">
        <v>3.0488323488504569E-5</v>
      </c>
      <c r="L663" s="228">
        <v>3.6424516149847576E-2</v>
      </c>
    </row>
    <row r="664" spans="1:12" s="212" customFormat="1" ht="15.5" x14ac:dyDescent="0.35">
      <c r="A664" s="198" t="s">
        <v>820</v>
      </c>
      <c r="B664" s="197">
        <v>2032</v>
      </c>
      <c r="C664" s="213" t="s">
        <v>3899</v>
      </c>
      <c r="D664" s="239">
        <v>1.0025404078884401E-2</v>
      </c>
      <c r="E664" s="226">
        <v>5.0784731513754067E-2</v>
      </c>
      <c r="F664" s="226">
        <v>1.2291563018469887E-3</v>
      </c>
      <c r="G664" s="227">
        <v>1.1311894050473413E-3</v>
      </c>
      <c r="H664" s="226">
        <v>2.0000005732018801E-3</v>
      </c>
      <c r="I664" s="255">
        <v>3.2824143397541471E-3</v>
      </c>
      <c r="J664" s="256">
        <v>2.6321392331907356E-5</v>
      </c>
      <c r="K664" s="257">
        <v>2.7511528893707586E-5</v>
      </c>
      <c r="L664" s="228">
        <v>3.5816148564442304E-2</v>
      </c>
    </row>
    <row r="665" spans="1:12" s="212" customFormat="1" ht="15.5" x14ac:dyDescent="0.35">
      <c r="A665" s="198" t="s">
        <v>820</v>
      </c>
      <c r="B665" s="197">
        <v>2033</v>
      </c>
      <c r="C665" s="213" t="s">
        <v>3900</v>
      </c>
      <c r="D665" s="239">
        <v>9.2470417488014021E-3</v>
      </c>
      <c r="E665" s="226">
        <v>4.7223440084655899E-2</v>
      </c>
      <c r="F665" s="226">
        <v>1.1542821798456819E-3</v>
      </c>
      <c r="G665" s="227">
        <v>1.0622583554264031E-3</v>
      </c>
      <c r="H665" s="226">
        <v>2.0000005732018771E-3</v>
      </c>
      <c r="I665" s="255">
        <v>3.2804866101002208E-3</v>
      </c>
      <c r="J665" s="256">
        <v>2.4087002356671727E-5</v>
      </c>
      <c r="K665" s="257">
        <v>2.517610971875047E-5</v>
      </c>
      <c r="L665" s="228">
        <v>3.5255892340640999E-2</v>
      </c>
    </row>
    <row r="666" spans="1:12" s="212" customFormat="1" ht="15.5" x14ac:dyDescent="0.35">
      <c r="A666" s="198" t="s">
        <v>820</v>
      </c>
      <c r="B666" s="197">
        <v>2034</v>
      </c>
      <c r="C666" s="213" t="s">
        <v>3901</v>
      </c>
      <c r="D666" s="239">
        <v>8.5266971133195514E-3</v>
      </c>
      <c r="E666" s="226">
        <v>4.4061437311669963E-2</v>
      </c>
      <c r="F666" s="226">
        <v>1.0828040282004625E-3</v>
      </c>
      <c r="G666" s="227">
        <v>9.9645563086862995E-4</v>
      </c>
      <c r="H666" s="226">
        <v>2.0000005732018801E-3</v>
      </c>
      <c r="I666" s="255">
        <v>3.2784368063405178E-3</v>
      </c>
      <c r="J666" s="256">
        <v>2.2002900978110729E-5</v>
      </c>
      <c r="K666" s="257">
        <v>2.2997774523913836E-5</v>
      </c>
      <c r="L666" s="228">
        <v>3.4741195940691048E-2</v>
      </c>
    </row>
    <row r="667" spans="1:12" s="212" customFormat="1" ht="15.5" x14ac:dyDescent="0.35">
      <c r="A667" s="198" t="s">
        <v>820</v>
      </c>
      <c r="B667" s="197">
        <v>2035</v>
      </c>
      <c r="C667" s="213" t="s">
        <v>3902</v>
      </c>
      <c r="D667" s="239">
        <v>7.8683691220134203E-3</v>
      </c>
      <c r="E667" s="226">
        <v>4.1263449415142421E-2</v>
      </c>
      <c r="F667" s="226">
        <v>1.0149150237159907E-3</v>
      </c>
      <c r="G667" s="227">
        <v>9.3393039677240944E-4</v>
      </c>
      <c r="H667" s="226">
        <v>2.0000005732018797E-3</v>
      </c>
      <c r="I667" s="255">
        <v>3.2763539311787522E-3</v>
      </c>
      <c r="J667" s="256">
        <v>1.9338814955319455E-5</v>
      </c>
      <c r="K667" s="257">
        <v>2.0213230352878615E-5</v>
      </c>
      <c r="L667" s="228">
        <v>3.426965997653806E-2</v>
      </c>
    </row>
    <row r="668" spans="1:12" s="212" customFormat="1" ht="15.5" x14ac:dyDescent="0.35">
      <c r="A668" s="198" t="s">
        <v>820</v>
      </c>
      <c r="B668" s="197">
        <v>2036</v>
      </c>
      <c r="C668" s="213" t="s">
        <v>3903</v>
      </c>
      <c r="D668" s="239">
        <v>7.3300389234724154E-3</v>
      </c>
      <c r="E668" s="226">
        <v>3.8996840604865746E-2</v>
      </c>
      <c r="F668" s="226">
        <v>9.5879315681773652E-4</v>
      </c>
      <c r="G668" s="227">
        <v>8.8226343272174612E-4</v>
      </c>
      <c r="H668" s="226">
        <v>2.0000005732018753E-3</v>
      </c>
      <c r="I668" s="255">
        <v>3.2744024243128596E-3</v>
      </c>
      <c r="J668" s="256">
        <v>1.7671097795020082E-5</v>
      </c>
      <c r="K668" s="257">
        <v>1.8470106422975763E-5</v>
      </c>
      <c r="L668" s="228">
        <v>3.3841792283421268E-2</v>
      </c>
    </row>
    <row r="669" spans="1:12" s="212" customFormat="1" ht="15.5" x14ac:dyDescent="0.35">
      <c r="A669" s="198" t="s">
        <v>820</v>
      </c>
      <c r="B669" s="197">
        <v>2037</v>
      </c>
      <c r="C669" s="213" t="s">
        <v>3904</v>
      </c>
      <c r="D669" s="239">
        <v>6.826996405886368E-3</v>
      </c>
      <c r="E669" s="226">
        <v>3.6915083901523704E-2</v>
      </c>
      <c r="F669" s="226">
        <v>9.0654605363805541E-4</v>
      </c>
      <c r="G669" s="227">
        <v>8.3414110630574008E-4</v>
      </c>
      <c r="H669" s="226">
        <v>2.0000005732018801E-3</v>
      </c>
      <c r="I669" s="255">
        <v>3.2724924574204215E-3</v>
      </c>
      <c r="J669" s="256">
        <v>1.5539744987444322E-5</v>
      </c>
      <c r="K669" s="257">
        <v>1.6242383299179466E-5</v>
      </c>
      <c r="L669" s="228">
        <v>3.3457773230287285E-2</v>
      </c>
    </row>
    <row r="670" spans="1:12" s="212" customFormat="1" ht="15.5" x14ac:dyDescent="0.35">
      <c r="A670" s="198" t="s">
        <v>820</v>
      </c>
      <c r="B670" s="197">
        <v>2038</v>
      </c>
      <c r="C670" s="213" t="s">
        <v>3905</v>
      </c>
      <c r="D670" s="239">
        <v>6.3658417643369042E-3</v>
      </c>
      <c r="E670" s="226">
        <v>3.5006848151509555E-2</v>
      </c>
      <c r="F670" s="226">
        <v>8.5986045220414831E-4</v>
      </c>
      <c r="G670" s="227">
        <v>7.9116891236283727E-4</v>
      </c>
      <c r="H670" s="226">
        <v>2.0000005732018792E-3</v>
      </c>
      <c r="I670" s="255">
        <v>3.2707215889112859E-3</v>
      </c>
      <c r="J670" s="256">
        <v>1.4346128704910639E-5</v>
      </c>
      <c r="K670" s="257">
        <v>1.4994796984943397E-5</v>
      </c>
      <c r="L670" s="228">
        <v>3.3116057019562606E-2</v>
      </c>
    </row>
    <row r="671" spans="1:12" s="212" customFormat="1" ht="15.5" x14ac:dyDescent="0.35">
      <c r="A671" s="198" t="s">
        <v>820</v>
      </c>
      <c r="B671" s="197">
        <v>2039</v>
      </c>
      <c r="C671" s="213" t="s">
        <v>3906</v>
      </c>
      <c r="D671" s="239">
        <v>5.912529847954655E-3</v>
      </c>
      <c r="E671" s="226">
        <v>3.3152784313668505E-2</v>
      </c>
      <c r="F671" s="226">
        <v>8.1708163723134906E-4</v>
      </c>
      <c r="G671" s="227">
        <v>7.5178500383064439E-4</v>
      </c>
      <c r="H671" s="226">
        <v>2.0000005732018801E-3</v>
      </c>
      <c r="I671" s="255">
        <v>3.2690490948258434E-3</v>
      </c>
      <c r="J671" s="256">
        <v>1.3053430146306442E-5</v>
      </c>
      <c r="K671" s="257">
        <v>1.3643648333784025E-5</v>
      </c>
      <c r="L671" s="228">
        <v>3.2808672791434505E-2</v>
      </c>
    </row>
    <row r="672" spans="1:12" s="212" customFormat="1" ht="15.5" x14ac:dyDescent="0.35">
      <c r="A672" s="198" t="s">
        <v>820</v>
      </c>
      <c r="B672" s="197">
        <v>2040</v>
      </c>
      <c r="C672" s="213" t="s">
        <v>3907</v>
      </c>
      <c r="D672" s="239">
        <v>5.5447207866741195E-3</v>
      </c>
      <c r="E672" s="226">
        <v>3.1672572686259816E-2</v>
      </c>
      <c r="F672" s="226">
        <v>7.7987971265082727E-4</v>
      </c>
      <c r="G672" s="227">
        <v>7.1754514133718207E-4</v>
      </c>
      <c r="H672" s="226">
        <v>2.0000005732018797E-3</v>
      </c>
      <c r="I672" s="255">
        <v>3.2676307198436414E-3</v>
      </c>
      <c r="J672" s="256">
        <v>1.2179108893141404E-5</v>
      </c>
      <c r="K672" s="257">
        <v>1.2729794153293978E-5</v>
      </c>
      <c r="L672" s="228">
        <v>3.2537498789469481E-2</v>
      </c>
    </row>
    <row r="673" spans="1:12" s="212" customFormat="1" ht="15.5" x14ac:dyDescent="0.35">
      <c r="A673" s="198" t="s">
        <v>820</v>
      </c>
      <c r="B673" s="197">
        <v>2041</v>
      </c>
      <c r="C673" s="213" t="s">
        <v>3908</v>
      </c>
      <c r="D673" s="239">
        <v>5.2729885486632409E-3</v>
      </c>
      <c r="E673" s="226">
        <v>3.0440329154810621E-2</v>
      </c>
      <c r="F673" s="226">
        <v>7.5164098976399768E-4</v>
      </c>
      <c r="G673" s="227">
        <v>6.9155057098290351E-4</v>
      </c>
      <c r="H673" s="226">
        <v>2.0000005732018805E-3</v>
      </c>
      <c r="I673" s="255">
        <v>3.2663953660522459E-3</v>
      </c>
      <c r="J673" s="256">
        <v>1.1406398175055575E-5</v>
      </c>
      <c r="K673" s="257">
        <v>1.1922144885389314E-5</v>
      </c>
      <c r="L673" s="228">
        <v>3.2302191784333377E-2</v>
      </c>
    </row>
    <row r="674" spans="1:12" s="212" customFormat="1" ht="15.5" x14ac:dyDescent="0.35">
      <c r="A674" s="198" t="s">
        <v>820</v>
      </c>
      <c r="B674" s="197">
        <v>2042</v>
      </c>
      <c r="C674" s="213" t="s">
        <v>3909</v>
      </c>
      <c r="D674" s="239">
        <v>5.0347471183736113E-3</v>
      </c>
      <c r="E674" s="226">
        <v>2.9303680686487397E-2</v>
      </c>
      <c r="F674" s="226">
        <v>7.2700421190828948E-4</v>
      </c>
      <c r="G674" s="227">
        <v>6.6887070973096314E-4</v>
      </c>
      <c r="H674" s="226">
        <v>2.0000005732018801E-3</v>
      </c>
      <c r="I674" s="255">
        <v>3.2652884035618362E-3</v>
      </c>
      <c r="J674" s="256">
        <v>1.0706926511950288E-5</v>
      </c>
      <c r="K674" s="257">
        <v>1.1191046217537942E-5</v>
      </c>
      <c r="L674" s="228">
        <v>3.2091383345815884E-2</v>
      </c>
    </row>
    <row r="675" spans="1:12" s="212" customFormat="1" ht="15.5" x14ac:dyDescent="0.35">
      <c r="A675" s="198" t="s">
        <v>820</v>
      </c>
      <c r="B675" s="197">
        <v>2043</v>
      </c>
      <c r="C675" s="213" t="s">
        <v>3910</v>
      </c>
      <c r="D675" s="239">
        <v>4.8415392990212762E-3</v>
      </c>
      <c r="E675" s="226">
        <v>2.8278689192090884E-2</v>
      </c>
      <c r="F675" s="226">
        <v>7.0561251558863883E-4</v>
      </c>
      <c r="G675" s="227">
        <v>6.4917929661909262E-4</v>
      </c>
      <c r="H675" s="226">
        <v>2.0000005732018749E-3</v>
      </c>
      <c r="I675" s="255">
        <v>3.2642858650695715E-3</v>
      </c>
      <c r="J675" s="256">
        <v>1.0128479103745494E-5</v>
      </c>
      <c r="K675" s="257">
        <v>1.0586443984356495E-5</v>
      </c>
      <c r="L675" s="228">
        <v>3.1908269313919532E-2</v>
      </c>
    </row>
    <row r="676" spans="1:12" s="212" customFormat="1" ht="15.5" x14ac:dyDescent="0.35">
      <c r="A676" s="198" t="s">
        <v>820</v>
      </c>
      <c r="B676" s="197">
        <v>2044</v>
      </c>
      <c r="C676" s="213" t="s">
        <v>3911</v>
      </c>
      <c r="D676" s="239">
        <v>4.6831510459462928E-3</v>
      </c>
      <c r="E676" s="226">
        <v>2.7301145461943413E-2</v>
      </c>
      <c r="F676" s="226">
        <v>6.8709778889968029E-4</v>
      </c>
      <c r="G676" s="227">
        <v>6.32138481420299E-4</v>
      </c>
      <c r="H676" s="226">
        <v>2.0000005732018805E-3</v>
      </c>
      <c r="I676" s="255">
        <v>3.2633776650069796E-3</v>
      </c>
      <c r="J676" s="256">
        <v>9.6868423115951914E-6</v>
      </c>
      <c r="K676" s="257">
        <v>1.0124838336199397E-5</v>
      </c>
      <c r="L676" s="228">
        <v>3.1747072571349948E-2</v>
      </c>
    </row>
    <row r="677" spans="1:12" s="212" customFormat="1" ht="15.5" x14ac:dyDescent="0.35">
      <c r="A677" s="198" t="s">
        <v>820</v>
      </c>
      <c r="B677" s="197">
        <v>2045</v>
      </c>
      <c r="C677" s="213" t="s">
        <v>3912</v>
      </c>
      <c r="D677" s="239">
        <v>4.5622177335843473E-3</v>
      </c>
      <c r="E677" s="226">
        <v>2.6418168776668308E-2</v>
      </c>
      <c r="F677" s="226">
        <v>6.7109891392357925E-4</v>
      </c>
      <c r="G677" s="227">
        <v>6.1741434825732992E-4</v>
      </c>
      <c r="H677" s="226">
        <v>2.0000005732018753E-3</v>
      </c>
      <c r="I677" s="255">
        <v>3.2625876436496782E-3</v>
      </c>
      <c r="J677" s="256">
        <v>9.333732177883852E-6</v>
      </c>
      <c r="K677" s="257">
        <v>9.7557621291446537E-6</v>
      </c>
      <c r="L677" s="228">
        <v>3.1601343022162609E-2</v>
      </c>
    </row>
    <row r="678" spans="1:12" s="212" customFormat="1" ht="15.5" x14ac:dyDescent="0.35">
      <c r="A678" s="198" t="s">
        <v>820</v>
      </c>
      <c r="B678" s="197">
        <v>2046</v>
      </c>
      <c r="C678" s="213" t="s">
        <v>3913</v>
      </c>
      <c r="D678" s="239">
        <v>4.4479988614119616E-3</v>
      </c>
      <c r="E678" s="226">
        <v>2.5573591260071867E-2</v>
      </c>
      <c r="F678" s="226">
        <v>6.5732528621998418E-4</v>
      </c>
      <c r="G678" s="227">
        <v>6.0473794057426479E-4</v>
      </c>
      <c r="H678" s="226">
        <v>2.0000005732018805E-3</v>
      </c>
      <c r="I678" s="255">
        <v>3.2618703158599268E-3</v>
      </c>
      <c r="J678" s="256">
        <v>9.0240673228820565E-6</v>
      </c>
      <c r="K678" s="257">
        <v>9.4320956035170824E-6</v>
      </c>
      <c r="L678" s="228">
        <v>3.1473616214819956E-2</v>
      </c>
    </row>
    <row r="679" spans="1:12" s="212" customFormat="1" ht="15.5" x14ac:dyDescent="0.35">
      <c r="A679" s="198" t="s">
        <v>820</v>
      </c>
      <c r="B679" s="197">
        <v>2047</v>
      </c>
      <c r="C679" s="213" t="s">
        <v>3914</v>
      </c>
      <c r="D679" s="239">
        <v>4.3553073162583972E-3</v>
      </c>
      <c r="E679" s="226">
        <v>2.4884353636923619E-2</v>
      </c>
      <c r="F679" s="226">
        <v>6.4581617681562877E-4</v>
      </c>
      <c r="G679" s="227">
        <v>5.9414644994845137E-4</v>
      </c>
      <c r="H679" s="226">
        <v>2.0000005732018775E-3</v>
      </c>
      <c r="I679" s="255">
        <v>3.2612906489843246E-3</v>
      </c>
      <c r="J679" s="256">
        <v>8.7856515971309641E-6</v>
      </c>
      <c r="K679" s="257">
        <v>9.182899776601677E-6</v>
      </c>
      <c r="L679" s="228">
        <v>3.1364554432011478E-2</v>
      </c>
    </row>
    <row r="680" spans="1:12" s="212" customFormat="1" ht="15.5" x14ac:dyDescent="0.35">
      <c r="A680" s="198" t="s">
        <v>820</v>
      </c>
      <c r="B680" s="197">
        <v>2048</v>
      </c>
      <c r="C680" s="213" t="s">
        <v>3915</v>
      </c>
      <c r="D680" s="239">
        <v>4.2805082665097732E-3</v>
      </c>
      <c r="E680" s="226">
        <v>2.4336934175882879E-2</v>
      </c>
      <c r="F680" s="226">
        <v>6.3596664595885408E-4</v>
      </c>
      <c r="G680" s="227">
        <v>5.850783869106532E-4</v>
      </c>
      <c r="H680" s="226">
        <v>2.0000005732018792E-3</v>
      </c>
      <c r="I680" s="255">
        <v>3.2607827998282529E-3</v>
      </c>
      <c r="J680" s="256">
        <v>8.4832357926933132E-6</v>
      </c>
      <c r="K680" s="257">
        <v>8.8668100714375986E-6</v>
      </c>
      <c r="L680" s="228">
        <v>3.1268944280684149E-2</v>
      </c>
    </row>
    <row r="681" spans="1:12" s="212" customFormat="1" ht="15.5" x14ac:dyDescent="0.35">
      <c r="A681" s="198" t="s">
        <v>820</v>
      </c>
      <c r="B681" s="197">
        <v>2049</v>
      </c>
      <c r="C681" s="213" t="s">
        <v>3916</v>
      </c>
      <c r="D681" s="239">
        <v>4.2635585589664042E-3</v>
      </c>
      <c r="E681" s="226">
        <v>2.4274430764520034E-2</v>
      </c>
      <c r="F681" s="226">
        <v>6.2994679655858097E-4</v>
      </c>
      <c r="G681" s="227">
        <v>5.7953673505569835E-4</v>
      </c>
      <c r="H681" s="226">
        <v>2.0000005732018801E-3</v>
      </c>
      <c r="I681" s="255">
        <v>3.2602726833977714E-3</v>
      </c>
      <c r="J681" s="256">
        <v>8.3132652471507832E-6</v>
      </c>
      <c r="K681" s="257">
        <v>8.689154212058763E-6</v>
      </c>
      <c r="L681" s="228">
        <v>3.1184778149346781E-2</v>
      </c>
    </row>
    <row r="682" spans="1:12" s="212" customFormat="1" ht="15.5" x14ac:dyDescent="0.35">
      <c r="A682" s="198" t="s">
        <v>820</v>
      </c>
      <c r="B682" s="197">
        <v>2050</v>
      </c>
      <c r="C682" s="213" t="s">
        <v>3917</v>
      </c>
      <c r="D682" s="239">
        <v>4.2502290845826763E-3</v>
      </c>
      <c r="E682" s="226">
        <v>2.422474117924462E-2</v>
      </c>
      <c r="F682" s="226">
        <v>6.2495722259608749E-4</v>
      </c>
      <c r="G682" s="227">
        <v>5.7494059656775366E-4</v>
      </c>
      <c r="H682" s="226">
        <v>2.0000005732018797E-3</v>
      </c>
      <c r="I682" s="255">
        <v>3.2598746232613417E-3</v>
      </c>
      <c r="J682" s="256">
        <v>8.0974339209790591E-6</v>
      </c>
      <c r="K682" s="257">
        <v>8.463563951054853E-6</v>
      </c>
      <c r="L682" s="228">
        <v>3.1112984651872427E-2</v>
      </c>
    </row>
    <row r="683" spans="1:12" s="212" customFormat="1" ht="15.5" x14ac:dyDescent="0.35">
      <c r="A683" s="198" t="s">
        <v>821</v>
      </c>
      <c r="B683" s="197">
        <v>2015</v>
      </c>
      <c r="C683" s="213" t="s">
        <v>895</v>
      </c>
      <c r="D683" s="239">
        <v>5.9002674353336705E-2</v>
      </c>
      <c r="E683" s="226">
        <v>0.22177558070048697</v>
      </c>
      <c r="F683" s="226">
        <v>2.3435428840359492E-3</v>
      </c>
      <c r="G683" s="227">
        <v>2.1649496211457726E-3</v>
      </c>
      <c r="H683" s="226">
        <v>2.000000573201874E-3</v>
      </c>
      <c r="I683" s="255">
        <v>3.3409720202507826E-3</v>
      </c>
      <c r="J683" s="256">
        <v>1.5616172424852076E-4</v>
      </c>
      <c r="K683" s="257">
        <v>1.6322266446165061E-4</v>
      </c>
      <c r="L683" s="228">
        <v>4.5989885303747605E-2</v>
      </c>
    </row>
    <row r="684" spans="1:12" s="212" customFormat="1" ht="15.5" x14ac:dyDescent="0.35">
      <c r="A684" s="198" t="s">
        <v>821</v>
      </c>
      <c r="B684" s="197">
        <v>2016</v>
      </c>
      <c r="C684" s="213" t="s">
        <v>896</v>
      </c>
      <c r="D684" s="239">
        <v>5.091915975729254E-2</v>
      </c>
      <c r="E684" s="226">
        <v>0.19730828789040356</v>
      </c>
      <c r="F684" s="226">
        <v>2.2676776136120627E-3</v>
      </c>
      <c r="G684" s="227">
        <v>2.0932424612034764E-3</v>
      </c>
      <c r="H684" s="226">
        <v>2.0000005732018801E-3</v>
      </c>
      <c r="I684" s="255">
        <v>3.3326232103939981E-3</v>
      </c>
      <c r="J684" s="256">
        <v>1.3502902094845938E-4</v>
      </c>
      <c r="K684" s="257">
        <v>1.4113443409334214E-4</v>
      </c>
      <c r="L684" s="228">
        <v>4.5100253007498148E-2</v>
      </c>
    </row>
    <row r="685" spans="1:12" s="212" customFormat="1" ht="15.5" x14ac:dyDescent="0.35">
      <c r="A685" s="198" t="s">
        <v>821</v>
      </c>
      <c r="B685" s="197">
        <v>2017</v>
      </c>
      <c r="C685" s="213" t="s">
        <v>3918</v>
      </c>
      <c r="D685" s="239">
        <v>4.2097526121002017E-2</v>
      </c>
      <c r="E685" s="226">
        <v>0.16873603006572052</v>
      </c>
      <c r="F685" s="226">
        <v>2.184114704461376E-3</v>
      </c>
      <c r="G685" s="227">
        <v>2.0146725565923472E-3</v>
      </c>
      <c r="H685" s="226">
        <v>2.0000005732018801E-3</v>
      </c>
      <c r="I685" s="255">
        <v>3.3351537447813893E-3</v>
      </c>
      <c r="J685" s="256">
        <v>1.1449632057043114E-4</v>
      </c>
      <c r="K685" s="257">
        <v>1.1967333611672826E-4</v>
      </c>
      <c r="L685" s="228">
        <v>4.4698729386770754E-2</v>
      </c>
    </row>
    <row r="686" spans="1:12" s="212" customFormat="1" ht="15.5" x14ac:dyDescent="0.35">
      <c r="A686" s="198" t="s">
        <v>821</v>
      </c>
      <c r="B686" s="197">
        <v>2018</v>
      </c>
      <c r="C686" s="213" t="s">
        <v>3919</v>
      </c>
      <c r="D686" s="239">
        <v>3.5459488570816301E-2</v>
      </c>
      <c r="E686" s="226">
        <v>0.14786782744895413</v>
      </c>
      <c r="F686" s="226">
        <v>2.1384843996322201E-3</v>
      </c>
      <c r="G686" s="227">
        <v>1.9713944699563178E-3</v>
      </c>
      <c r="H686" s="226">
        <v>2.0000005732018801E-3</v>
      </c>
      <c r="I686" s="255">
        <v>3.3296502310465347E-3</v>
      </c>
      <c r="J686" s="256">
        <v>1.0025096215755384E-4</v>
      </c>
      <c r="K686" s="257">
        <v>1.0478386580926244E-4</v>
      </c>
      <c r="L686" s="228">
        <v>4.4130029059528161E-2</v>
      </c>
    </row>
    <row r="687" spans="1:12" s="212" customFormat="1" ht="15.5" x14ac:dyDescent="0.35">
      <c r="A687" s="198" t="s">
        <v>821</v>
      </c>
      <c r="B687" s="197">
        <v>2019</v>
      </c>
      <c r="C687" s="213" t="s">
        <v>3920</v>
      </c>
      <c r="D687" s="239">
        <v>2.9747268595283975E-2</v>
      </c>
      <c r="E687" s="226">
        <v>0.12858237196877428</v>
      </c>
      <c r="F687" s="226">
        <v>2.0999019409991943E-3</v>
      </c>
      <c r="G687" s="227">
        <v>1.9348275127284514E-3</v>
      </c>
      <c r="H687" s="226">
        <v>2.0000005732018797E-3</v>
      </c>
      <c r="I687" s="255">
        <v>3.313830487157686E-3</v>
      </c>
      <c r="J687" s="256">
        <v>8.8125215931244118E-5</v>
      </c>
      <c r="K687" s="257">
        <v>9.2109847145800918E-5</v>
      </c>
      <c r="L687" s="228">
        <v>4.3171530592727797E-2</v>
      </c>
    </row>
    <row r="688" spans="1:12" s="212" customFormat="1" ht="15.5" x14ac:dyDescent="0.35">
      <c r="A688" s="198" t="s">
        <v>821</v>
      </c>
      <c r="B688" s="197">
        <v>2020</v>
      </c>
      <c r="C688" s="213" t="s">
        <v>3921</v>
      </c>
      <c r="D688" s="239">
        <v>2.6414160937129429E-2</v>
      </c>
      <c r="E688" s="226">
        <v>0.11586879499024548</v>
      </c>
      <c r="F688" s="226">
        <v>2.0377532052436305E-3</v>
      </c>
      <c r="G688" s="227">
        <v>1.8772301418746443E-3</v>
      </c>
      <c r="H688" s="226">
        <v>2.0000005732018801E-3</v>
      </c>
      <c r="I688" s="255">
        <v>3.324860718356454E-3</v>
      </c>
      <c r="J688" s="256">
        <v>8.1159409332866973E-5</v>
      </c>
      <c r="K688" s="257">
        <v>8.4829077683354091E-5</v>
      </c>
      <c r="L688" s="228">
        <v>4.2797288854485402E-2</v>
      </c>
    </row>
    <row r="689" spans="1:12" s="212" customFormat="1" ht="15.5" x14ac:dyDescent="0.35">
      <c r="A689" s="198" t="s">
        <v>821</v>
      </c>
      <c r="B689" s="197">
        <v>2021</v>
      </c>
      <c r="C689" s="213" t="s">
        <v>3922</v>
      </c>
      <c r="D689" s="239">
        <v>2.3303353688892515E-2</v>
      </c>
      <c r="E689" s="226">
        <v>0.10307949087582614</v>
      </c>
      <c r="F689" s="226">
        <v>1.9309525338974101E-3</v>
      </c>
      <c r="G689" s="227">
        <v>1.7786213349972675E-3</v>
      </c>
      <c r="H689" s="226">
        <v>2.0000005732018801E-3</v>
      </c>
      <c r="I689" s="255">
        <v>3.3309813138037731E-3</v>
      </c>
      <c r="J689" s="256">
        <v>7.3863038032674402E-5</v>
      </c>
      <c r="K689" s="257">
        <v>7.7202796850134946E-5</v>
      </c>
      <c r="L689" s="228">
        <v>4.1777743498482678E-2</v>
      </c>
    </row>
    <row r="690" spans="1:12" s="212" customFormat="1" ht="15.5" x14ac:dyDescent="0.35">
      <c r="A690" s="198" t="s">
        <v>821</v>
      </c>
      <c r="B690" s="197">
        <v>2022</v>
      </c>
      <c r="C690" s="213" t="s">
        <v>3923</v>
      </c>
      <c r="D690" s="239">
        <v>2.0005226350134891E-2</v>
      </c>
      <c r="E690" s="226">
        <v>9.0482158795577333E-2</v>
      </c>
      <c r="F690" s="226">
        <v>1.8264933056409709E-3</v>
      </c>
      <c r="G690" s="227">
        <v>1.6820947092580736E-3</v>
      </c>
      <c r="H690" s="226">
        <v>2.0000005732018801E-3</v>
      </c>
      <c r="I690" s="255">
        <v>3.3328172919501247E-3</v>
      </c>
      <c r="J690" s="256">
        <v>6.6914721394410493E-5</v>
      </c>
      <c r="K690" s="257">
        <v>6.9940308166187038E-5</v>
      </c>
      <c r="L690" s="228">
        <v>4.0865114963512285E-2</v>
      </c>
    </row>
    <row r="691" spans="1:12" s="212" customFormat="1" ht="15.5" x14ac:dyDescent="0.35">
      <c r="A691" s="198" t="s">
        <v>821</v>
      </c>
      <c r="B691" s="197">
        <v>2023</v>
      </c>
      <c r="C691" s="213" t="s">
        <v>3924</v>
      </c>
      <c r="D691" s="239">
        <v>1.7628253793612405E-2</v>
      </c>
      <c r="E691" s="226">
        <v>8.0074176309678044E-2</v>
      </c>
      <c r="F691" s="226">
        <v>1.7357372493099236E-3</v>
      </c>
      <c r="G691" s="227">
        <v>1.5983161427334535E-3</v>
      </c>
      <c r="H691" s="226">
        <v>2.0000005732018801E-3</v>
      </c>
      <c r="I691" s="255">
        <v>3.3365524879421789E-3</v>
      </c>
      <c r="J691" s="256">
        <v>5.9448600313243204E-5</v>
      </c>
      <c r="K691" s="257">
        <v>6.2136602220151259E-5</v>
      </c>
      <c r="L691" s="228">
        <v>3.991718075804835E-2</v>
      </c>
    </row>
    <row r="692" spans="1:12" s="212" customFormat="1" ht="15.5" x14ac:dyDescent="0.35">
      <c r="A692" s="198" t="s">
        <v>821</v>
      </c>
      <c r="B692" s="197">
        <v>2024</v>
      </c>
      <c r="C692" s="213" t="s">
        <v>3925</v>
      </c>
      <c r="D692" s="239">
        <v>1.5531482080893262E-2</v>
      </c>
      <c r="E692" s="226">
        <v>7.1242719213330155E-2</v>
      </c>
      <c r="F692" s="226">
        <v>1.6497896001983845E-3</v>
      </c>
      <c r="G692" s="227">
        <v>1.5189091958913387E-3</v>
      </c>
      <c r="H692" s="226">
        <v>2.0000005732018805E-3</v>
      </c>
      <c r="I692" s="255">
        <v>3.3318865870143512E-3</v>
      </c>
      <c r="J692" s="256">
        <v>5.0675533704201193E-5</v>
      </c>
      <c r="K692" s="257">
        <v>5.2966856468954745E-5</v>
      </c>
      <c r="L692" s="228">
        <v>3.8941043641689287E-2</v>
      </c>
    </row>
    <row r="693" spans="1:12" s="212" customFormat="1" ht="15.5" x14ac:dyDescent="0.35">
      <c r="A693" s="198" t="s">
        <v>821</v>
      </c>
      <c r="B693" s="197">
        <v>2025</v>
      </c>
      <c r="C693" s="213" t="s">
        <v>3926</v>
      </c>
      <c r="D693" s="239">
        <v>1.3900411757352628E-2</v>
      </c>
      <c r="E693" s="226">
        <v>6.4108544431919476E-2</v>
      </c>
      <c r="F693" s="226">
        <v>1.5879864447451183E-3</v>
      </c>
      <c r="G693" s="227">
        <v>1.4618197613131692E-3</v>
      </c>
      <c r="H693" s="226">
        <v>2.0000005732018801E-3</v>
      </c>
      <c r="I693" s="255">
        <v>3.3360264125307779E-3</v>
      </c>
      <c r="J693" s="256">
        <v>4.4211845571321553E-5</v>
      </c>
      <c r="K693" s="257">
        <v>4.6210909040897617E-5</v>
      </c>
      <c r="L693" s="228">
        <v>3.7960571142549818E-2</v>
      </c>
    </row>
    <row r="694" spans="1:12" s="212" customFormat="1" ht="15.5" x14ac:dyDescent="0.35">
      <c r="A694" s="198" t="s">
        <v>821</v>
      </c>
      <c r="B694" s="197">
        <v>2026</v>
      </c>
      <c r="C694" s="213" t="s">
        <v>3927</v>
      </c>
      <c r="D694" s="239">
        <v>1.2523480529059067E-2</v>
      </c>
      <c r="E694" s="226">
        <v>5.814552462739548E-2</v>
      </c>
      <c r="F694" s="226">
        <v>1.5192070033905091E-3</v>
      </c>
      <c r="G694" s="227">
        <v>1.3983210827358777E-3</v>
      </c>
      <c r="H694" s="226">
        <v>2.0000005732018749E-3</v>
      </c>
      <c r="I694" s="255">
        <v>3.336754377527298E-3</v>
      </c>
      <c r="J694" s="256">
        <v>3.7615753472332803E-5</v>
      </c>
      <c r="K694" s="257">
        <v>3.9316570926917777E-5</v>
      </c>
      <c r="L694" s="228">
        <v>3.7005675512498636E-2</v>
      </c>
    </row>
    <row r="695" spans="1:12" s="212" customFormat="1" ht="15.5" x14ac:dyDescent="0.35">
      <c r="A695" s="198" t="s">
        <v>821</v>
      </c>
      <c r="B695" s="197">
        <v>2027</v>
      </c>
      <c r="C695" s="213" t="s">
        <v>3928</v>
      </c>
      <c r="D695" s="239">
        <v>1.1354263141356687E-2</v>
      </c>
      <c r="E695" s="226">
        <v>5.3062457386321378E-2</v>
      </c>
      <c r="F695" s="226">
        <v>1.4375376887892075E-3</v>
      </c>
      <c r="G695" s="227">
        <v>1.3229327831473067E-3</v>
      </c>
      <c r="H695" s="226">
        <v>2.0000005732018801E-3</v>
      </c>
      <c r="I695" s="255">
        <v>3.3316508515310833E-3</v>
      </c>
      <c r="J695" s="256">
        <v>3.0027092901744409E-5</v>
      </c>
      <c r="K695" s="257">
        <v>3.1384784799509914E-5</v>
      </c>
      <c r="L695" s="228">
        <v>3.6092127296612854E-2</v>
      </c>
    </row>
    <row r="696" spans="1:12" s="212" customFormat="1" ht="15.5" x14ac:dyDescent="0.35">
      <c r="A696" s="198" t="s">
        <v>821</v>
      </c>
      <c r="B696" s="197">
        <v>2028</v>
      </c>
      <c r="C696" s="213" t="s">
        <v>3929</v>
      </c>
      <c r="D696" s="239">
        <v>1.0386364850802814E-2</v>
      </c>
      <c r="E696" s="226">
        <v>4.8782187062156035E-2</v>
      </c>
      <c r="F696" s="226">
        <v>1.3490193481107554E-3</v>
      </c>
      <c r="G696" s="227">
        <v>1.241302945284648E-3</v>
      </c>
      <c r="H696" s="226">
        <v>2.0000005732018801E-3</v>
      </c>
      <c r="I696" s="255">
        <v>3.3360883679741595E-3</v>
      </c>
      <c r="J696" s="256">
        <v>2.3854779312331897E-5</v>
      </c>
      <c r="K696" s="257">
        <v>2.493338657882012E-5</v>
      </c>
      <c r="L696" s="228">
        <v>3.5237848056420433E-2</v>
      </c>
    </row>
    <row r="697" spans="1:12" s="212" customFormat="1" ht="15.5" x14ac:dyDescent="0.35">
      <c r="A697" s="198" t="s">
        <v>821</v>
      </c>
      <c r="B697" s="197">
        <v>2029</v>
      </c>
      <c r="C697" s="213" t="s">
        <v>3930</v>
      </c>
      <c r="D697" s="239">
        <v>9.5406873935678215E-3</v>
      </c>
      <c r="E697" s="226">
        <v>4.5077425204397163E-2</v>
      </c>
      <c r="F697" s="226">
        <v>1.2666600996457606E-3</v>
      </c>
      <c r="G697" s="227">
        <v>1.1654085981823207E-3</v>
      </c>
      <c r="H697" s="226">
        <v>2.0000005732018801E-3</v>
      </c>
      <c r="I697" s="255">
        <v>3.3405454067778977E-3</v>
      </c>
      <c r="J697" s="256">
        <v>1.9541487283069978E-5</v>
      </c>
      <c r="K697" s="257">
        <v>2.0425066623944834E-5</v>
      </c>
      <c r="L697" s="228">
        <v>3.4443747419706391E-2</v>
      </c>
    </row>
    <row r="698" spans="1:12" s="212" customFormat="1" ht="15.5" x14ac:dyDescent="0.35">
      <c r="A698" s="198" t="s">
        <v>821</v>
      </c>
      <c r="B698" s="197">
        <v>2030</v>
      </c>
      <c r="C698" s="213" t="s">
        <v>3931</v>
      </c>
      <c r="D698" s="239">
        <v>8.8293480409941463E-3</v>
      </c>
      <c r="E698" s="226">
        <v>4.1926176471477561E-2</v>
      </c>
      <c r="F698" s="226">
        <v>1.1903762622698299E-3</v>
      </c>
      <c r="G698" s="227">
        <v>1.0951292382443316E-3</v>
      </c>
      <c r="H698" s="226">
        <v>2.0000005732018784E-3</v>
      </c>
      <c r="I698" s="255">
        <v>3.3449827113081129E-3</v>
      </c>
      <c r="J698" s="256">
        <v>1.5969180879214105E-5</v>
      </c>
      <c r="K698" s="257">
        <v>1.6691236376381515E-5</v>
      </c>
      <c r="L698" s="228">
        <v>3.371207740654189E-2</v>
      </c>
    </row>
    <row r="699" spans="1:12" s="212" customFormat="1" ht="15.5" x14ac:dyDescent="0.35">
      <c r="A699" s="198" t="s">
        <v>821</v>
      </c>
      <c r="B699" s="197">
        <v>2031</v>
      </c>
      <c r="C699" s="213" t="s">
        <v>3932</v>
      </c>
      <c r="D699" s="239">
        <v>8.1956661244281769E-3</v>
      </c>
      <c r="E699" s="226">
        <v>3.9127223213592618E-2</v>
      </c>
      <c r="F699" s="226">
        <v>1.1196762328966178E-3</v>
      </c>
      <c r="G699" s="227">
        <v>1.0300534972697759E-3</v>
      </c>
      <c r="H699" s="226">
        <v>2.0000005732018797E-3</v>
      </c>
      <c r="I699" s="255">
        <v>3.3490952622516534E-3</v>
      </c>
      <c r="J699" s="256">
        <v>1.4180973415662918E-5</v>
      </c>
      <c r="K699" s="257">
        <v>1.482217410638165E-5</v>
      </c>
      <c r="L699" s="228">
        <v>3.3043769410711583E-2</v>
      </c>
    </row>
    <row r="700" spans="1:12" s="212" customFormat="1" ht="15.5" x14ac:dyDescent="0.35">
      <c r="A700" s="198" t="s">
        <v>821</v>
      </c>
      <c r="B700" s="197">
        <v>2032</v>
      </c>
      <c r="C700" s="213" t="s">
        <v>3933</v>
      </c>
      <c r="D700" s="239">
        <v>7.6535417388536994E-3</v>
      </c>
      <c r="E700" s="226">
        <v>3.6748275087040913E-2</v>
      </c>
      <c r="F700" s="226">
        <v>1.0543990685239809E-3</v>
      </c>
      <c r="G700" s="227">
        <v>9.6996631481923465E-4</v>
      </c>
      <c r="H700" s="226">
        <v>2.0000005732018801E-3</v>
      </c>
      <c r="I700" s="255">
        <v>3.3532672904564983E-3</v>
      </c>
      <c r="J700" s="256">
        <v>1.2455244119989147E-5</v>
      </c>
      <c r="K700" s="257">
        <v>1.3018414989767837E-5</v>
      </c>
      <c r="L700" s="228">
        <v>3.2438330080680818E-2</v>
      </c>
    </row>
    <row r="701" spans="1:12" s="212" customFormat="1" ht="15.5" x14ac:dyDescent="0.35">
      <c r="A701" s="198" t="s">
        <v>821</v>
      </c>
      <c r="B701" s="197">
        <v>2033</v>
      </c>
      <c r="C701" s="213" t="s">
        <v>3934</v>
      </c>
      <c r="D701" s="239">
        <v>7.1497368724098122E-3</v>
      </c>
      <c r="E701" s="226">
        <v>3.4645601402340492E-2</v>
      </c>
      <c r="F701" s="226">
        <v>9.9071607731014721E-4</v>
      </c>
      <c r="G701" s="227">
        <v>9.1138164604827234E-4</v>
      </c>
      <c r="H701" s="226">
        <v>2.0000005732018753E-3</v>
      </c>
      <c r="I701" s="255">
        <v>3.3609527820378272E-3</v>
      </c>
      <c r="J701" s="256">
        <v>1.167221497682109E-5</v>
      </c>
      <c r="K701" s="257">
        <v>1.2199980743386091E-5</v>
      </c>
      <c r="L701" s="228">
        <v>3.1888989459659421E-2</v>
      </c>
    </row>
    <row r="702" spans="1:12" s="212" customFormat="1" ht="15.5" x14ac:dyDescent="0.35">
      <c r="A702" s="198" t="s">
        <v>821</v>
      </c>
      <c r="B702" s="197">
        <v>2034</v>
      </c>
      <c r="C702" s="213" t="s">
        <v>3935</v>
      </c>
      <c r="D702" s="239">
        <v>6.6945970248742078E-3</v>
      </c>
      <c r="E702" s="226">
        <v>3.2779960840494386E-2</v>
      </c>
      <c r="F702" s="226">
        <v>9.3198189910695254E-4</v>
      </c>
      <c r="G702" s="227">
        <v>8.5734782292095745E-4</v>
      </c>
      <c r="H702" s="226">
        <v>2.0000005732018797E-3</v>
      </c>
      <c r="I702" s="255">
        <v>3.3638937405606087E-3</v>
      </c>
      <c r="J702" s="256">
        <v>1.0904450485285684E-5</v>
      </c>
      <c r="K702" s="257">
        <v>1.1397501348447928E-5</v>
      </c>
      <c r="L702" s="228">
        <v>3.1397614349106345E-2</v>
      </c>
    </row>
    <row r="703" spans="1:12" s="212" customFormat="1" ht="15.5" x14ac:dyDescent="0.35">
      <c r="A703" s="198" t="s">
        <v>821</v>
      </c>
      <c r="B703" s="197">
        <v>2035</v>
      </c>
      <c r="C703" s="213" t="s">
        <v>3936</v>
      </c>
      <c r="D703" s="239">
        <v>6.2990540791414583E-3</v>
      </c>
      <c r="E703" s="226">
        <v>3.1213769408426028E-2</v>
      </c>
      <c r="F703" s="226">
        <v>8.7780561574418107E-4</v>
      </c>
      <c r="G703" s="227">
        <v>8.0750844110373857E-4</v>
      </c>
      <c r="H703" s="226">
        <v>2.0000005732018801E-3</v>
      </c>
      <c r="I703" s="255">
        <v>3.3664917979475137E-3</v>
      </c>
      <c r="J703" s="256">
        <v>1.0229729667909637E-5</v>
      </c>
      <c r="K703" s="257">
        <v>1.06922726497394E-5</v>
      </c>
      <c r="L703" s="228">
        <v>3.095952769014617E-2</v>
      </c>
    </row>
    <row r="704" spans="1:12" s="212" customFormat="1" ht="15.5" x14ac:dyDescent="0.35">
      <c r="A704" s="198" t="s">
        <v>821</v>
      </c>
      <c r="B704" s="197">
        <v>2036</v>
      </c>
      <c r="C704" s="213" t="s">
        <v>3937</v>
      </c>
      <c r="D704" s="239">
        <v>5.9584627868034959E-3</v>
      </c>
      <c r="E704" s="226">
        <v>2.9830800493034097E-2</v>
      </c>
      <c r="F704" s="226">
        <v>8.326814141208054E-4</v>
      </c>
      <c r="G704" s="227">
        <v>7.6599612560286526E-4</v>
      </c>
      <c r="H704" s="226">
        <v>1.9998847303402604E-3</v>
      </c>
      <c r="I704" s="255">
        <v>3.3708991795378604E-3</v>
      </c>
      <c r="J704" s="256">
        <v>9.6579605584176855E-6</v>
      </c>
      <c r="K704" s="257">
        <v>1.0094650678304081E-5</v>
      </c>
      <c r="L704" s="228">
        <v>3.0575501038074892E-2</v>
      </c>
    </row>
    <row r="705" spans="1:12" s="212" customFormat="1" ht="15.5" x14ac:dyDescent="0.35">
      <c r="A705" s="198" t="s">
        <v>821</v>
      </c>
      <c r="B705" s="197">
        <v>2037</v>
      </c>
      <c r="C705" s="213" t="s">
        <v>3938</v>
      </c>
      <c r="D705" s="239">
        <v>5.6546271019910751E-3</v>
      </c>
      <c r="E705" s="226">
        <v>2.8647433118980995E-2</v>
      </c>
      <c r="F705" s="226">
        <v>7.9025063074677853E-4</v>
      </c>
      <c r="G705" s="227">
        <v>7.2696131242502794E-4</v>
      </c>
      <c r="H705" s="226">
        <v>1.9998847302665069E-3</v>
      </c>
      <c r="I705" s="255">
        <v>3.3728177965328295E-3</v>
      </c>
      <c r="J705" s="256">
        <v>9.1119509524525656E-6</v>
      </c>
      <c r="K705" s="257">
        <v>9.5239529408389554E-6</v>
      </c>
      <c r="L705" s="228">
        <v>3.0237750824984196E-2</v>
      </c>
    </row>
    <row r="706" spans="1:12" s="212" customFormat="1" ht="15.5" x14ac:dyDescent="0.35">
      <c r="A706" s="198" t="s">
        <v>821</v>
      </c>
      <c r="B706" s="197">
        <v>2038</v>
      </c>
      <c r="C706" s="213" t="s">
        <v>3939</v>
      </c>
      <c r="D706" s="239">
        <v>5.4007958298275321E-3</v>
      </c>
      <c r="E706" s="226">
        <v>2.7593458098191349E-2</v>
      </c>
      <c r="F706" s="226">
        <v>7.561621084146476E-4</v>
      </c>
      <c r="G706" s="227">
        <v>6.9560597679188042E-4</v>
      </c>
      <c r="H706" s="226">
        <v>2.0000005732018801E-3</v>
      </c>
      <c r="I706" s="255">
        <v>3.385542541621257E-3</v>
      </c>
      <c r="J706" s="256">
        <v>8.7988926668098211E-6</v>
      </c>
      <c r="K706" s="257">
        <v>9.1967395486950272E-6</v>
      </c>
      <c r="L706" s="228">
        <v>2.994554724831746E-2</v>
      </c>
    </row>
    <row r="707" spans="1:12" s="212" customFormat="1" ht="15.5" x14ac:dyDescent="0.35">
      <c r="A707" s="198" t="s">
        <v>821</v>
      </c>
      <c r="B707" s="197">
        <v>2039</v>
      </c>
      <c r="C707" s="213" t="s">
        <v>3940</v>
      </c>
      <c r="D707" s="239">
        <v>5.1209858834973115E-3</v>
      </c>
      <c r="E707" s="226">
        <v>2.6543302313198971E-2</v>
      </c>
      <c r="F707" s="226">
        <v>7.222446216257547E-4</v>
      </c>
      <c r="G707" s="227">
        <v>6.6440799401387566E-4</v>
      </c>
      <c r="H707" s="226">
        <v>2.0000005732018801E-3</v>
      </c>
      <c r="I707" s="255">
        <v>3.3869519181448544E-3</v>
      </c>
      <c r="J707" s="256">
        <v>8.4881952576516669E-6</v>
      </c>
      <c r="K707" s="257">
        <v>8.8719937813940754E-6</v>
      </c>
      <c r="L707" s="228">
        <v>2.9692835961371282E-2</v>
      </c>
    </row>
    <row r="708" spans="1:12" s="212" customFormat="1" ht="15.5" x14ac:dyDescent="0.35">
      <c r="A708" s="198" t="s">
        <v>821</v>
      </c>
      <c r="B708" s="197">
        <v>2040</v>
      </c>
      <c r="C708" s="213" t="s">
        <v>3941</v>
      </c>
      <c r="D708" s="239">
        <v>4.8668931397980782E-3</v>
      </c>
      <c r="E708" s="226">
        <v>2.5632110111444149E-2</v>
      </c>
      <c r="F708" s="226">
        <v>6.9248327142769101E-4</v>
      </c>
      <c r="G708" s="227">
        <v>6.3703335352973333E-4</v>
      </c>
      <c r="H708" s="226">
        <v>2.0000005732018801E-3</v>
      </c>
      <c r="I708" s="255">
        <v>3.3881795195763497E-3</v>
      </c>
      <c r="J708" s="256">
        <v>8.2269837547740402E-6</v>
      </c>
      <c r="K708" s="257">
        <v>8.5989714534651912E-6</v>
      </c>
      <c r="L708" s="228">
        <v>2.9473796761139322E-2</v>
      </c>
    </row>
    <row r="709" spans="1:12" s="212" customFormat="1" ht="15.5" x14ac:dyDescent="0.35">
      <c r="A709" s="198" t="s">
        <v>821</v>
      </c>
      <c r="B709" s="197">
        <v>2041</v>
      </c>
      <c r="C709" s="213" t="s">
        <v>3942</v>
      </c>
      <c r="D709" s="239">
        <v>4.6723050700047432E-3</v>
      </c>
      <c r="E709" s="226">
        <v>2.4889736040274252E-2</v>
      </c>
      <c r="F709" s="226">
        <v>6.7006111687518586E-4</v>
      </c>
      <c r="G709" s="227">
        <v>6.1640897285523402E-4</v>
      </c>
      <c r="H709" s="226">
        <v>2.0000005732018801E-3</v>
      </c>
      <c r="I709" s="255">
        <v>3.3892792729817967E-3</v>
      </c>
      <c r="J709" s="256">
        <v>8.0207046362072431E-6</v>
      </c>
      <c r="K709" s="257">
        <v>8.3833653085068476E-6</v>
      </c>
      <c r="L709" s="228">
        <v>2.9288177549816025E-2</v>
      </c>
    </row>
    <row r="710" spans="1:12" s="212" customFormat="1" ht="15.5" x14ac:dyDescent="0.35">
      <c r="A710" s="198" t="s">
        <v>821</v>
      </c>
      <c r="B710" s="197">
        <v>2042</v>
      </c>
      <c r="C710" s="213" t="s">
        <v>3943</v>
      </c>
      <c r="D710" s="239">
        <v>4.4937146654888058E-3</v>
      </c>
      <c r="E710" s="226">
        <v>2.4147943710822014E-2</v>
      </c>
      <c r="F710" s="226">
        <v>6.5073918528350621E-4</v>
      </c>
      <c r="G710" s="227">
        <v>5.9863660639773882E-4</v>
      </c>
      <c r="H710" s="226">
        <v>2.0000005732018801E-3</v>
      </c>
      <c r="I710" s="255">
        <v>3.3901451120388376E-3</v>
      </c>
      <c r="J710" s="256">
        <v>7.8522472235091327E-6</v>
      </c>
      <c r="K710" s="257">
        <v>8.207290999125207E-6</v>
      </c>
      <c r="L710" s="228">
        <v>2.9127222963071863E-2</v>
      </c>
    </row>
    <row r="711" spans="1:12" s="212" customFormat="1" ht="15.5" x14ac:dyDescent="0.35">
      <c r="A711" s="198" t="s">
        <v>821</v>
      </c>
      <c r="B711" s="197">
        <v>2043</v>
      </c>
      <c r="C711" s="213" t="s">
        <v>3944</v>
      </c>
      <c r="D711" s="239">
        <v>4.354016953874015E-3</v>
      </c>
      <c r="E711" s="226">
        <v>2.350791313024779E-2</v>
      </c>
      <c r="F711" s="226">
        <v>6.3428219990665016E-4</v>
      </c>
      <c r="G711" s="227">
        <v>5.8349966247658229E-4</v>
      </c>
      <c r="H711" s="226">
        <v>2.0000005732018801E-3</v>
      </c>
      <c r="I711" s="255">
        <v>3.3908871070835195E-3</v>
      </c>
      <c r="J711" s="256">
        <v>7.7148513007587115E-6</v>
      </c>
      <c r="K711" s="257">
        <v>8.0636826424333936E-6</v>
      </c>
      <c r="L711" s="228">
        <v>2.8988903360795442E-2</v>
      </c>
    </row>
    <row r="712" spans="1:12" s="212" customFormat="1" ht="15.5" x14ac:dyDescent="0.35">
      <c r="A712" s="198" t="s">
        <v>821</v>
      </c>
      <c r="B712" s="197">
        <v>2044</v>
      </c>
      <c r="C712" s="213" t="s">
        <v>3945</v>
      </c>
      <c r="D712" s="239">
        <v>4.2420790393269221E-3</v>
      </c>
      <c r="E712" s="226">
        <v>2.2879899970815212E-2</v>
      </c>
      <c r="F712" s="226">
        <v>6.2018844795596923E-4</v>
      </c>
      <c r="G712" s="227">
        <v>5.7053652933766079E-4</v>
      </c>
      <c r="H712" s="226">
        <v>2.0000005732018801E-3</v>
      </c>
      <c r="I712" s="255">
        <v>3.391478993932866E-3</v>
      </c>
      <c r="J712" s="256">
        <v>7.6006795467914363E-6</v>
      </c>
      <c r="K712" s="257">
        <v>7.944348548381362E-6</v>
      </c>
      <c r="L712" s="228">
        <v>2.8867696575854106E-2</v>
      </c>
    </row>
    <row r="713" spans="1:12" s="212" customFormat="1" ht="15.5" x14ac:dyDescent="0.35">
      <c r="A713" s="198" t="s">
        <v>821</v>
      </c>
      <c r="B713" s="197">
        <v>2045</v>
      </c>
      <c r="C713" s="213" t="s">
        <v>3946</v>
      </c>
      <c r="D713" s="239">
        <v>4.15889503699487E-3</v>
      </c>
      <c r="E713" s="226">
        <v>2.2285590440205037E-2</v>
      </c>
      <c r="F713" s="226">
        <v>6.081250934100097E-4</v>
      </c>
      <c r="G713" s="227">
        <v>5.5944145092521051E-4</v>
      </c>
      <c r="H713" s="226">
        <v>2.0000005732018801E-3</v>
      </c>
      <c r="I713" s="255">
        <v>3.3919656805572306E-3</v>
      </c>
      <c r="J713" s="256">
        <v>7.5167740520666887E-6</v>
      </c>
      <c r="K713" s="257">
        <v>7.8566492195102935E-6</v>
      </c>
      <c r="L713" s="228">
        <v>2.8761397170575843E-2</v>
      </c>
    </row>
    <row r="714" spans="1:12" s="212" customFormat="1" ht="15.5" x14ac:dyDescent="0.35">
      <c r="A714" s="198" t="s">
        <v>821</v>
      </c>
      <c r="B714" s="197">
        <v>2046</v>
      </c>
      <c r="C714" s="213" t="s">
        <v>3947</v>
      </c>
      <c r="D714" s="239">
        <v>4.0821776680676257E-3</v>
      </c>
      <c r="E714" s="226">
        <v>2.1738197054566213E-2</v>
      </c>
      <c r="F714" s="226">
        <v>5.9803354394131884E-4</v>
      </c>
      <c r="G714" s="227">
        <v>5.5016012336991417E-4</v>
      </c>
      <c r="H714" s="226">
        <v>2.0000005732018766E-3</v>
      </c>
      <c r="I714" s="255">
        <v>3.3924057811875507E-3</v>
      </c>
      <c r="J714" s="256">
        <v>7.452088735889469E-6</v>
      </c>
      <c r="K714" s="257">
        <v>7.7890391203723768E-6</v>
      </c>
      <c r="L714" s="228">
        <v>2.8669253491823386E-2</v>
      </c>
    </row>
    <row r="715" spans="1:12" s="212" customFormat="1" ht="15.5" x14ac:dyDescent="0.35">
      <c r="A715" s="198" t="s">
        <v>821</v>
      </c>
      <c r="B715" s="197">
        <v>2047</v>
      </c>
      <c r="C715" s="213" t="s">
        <v>3948</v>
      </c>
      <c r="D715" s="239">
        <v>4.0117549536168081E-3</v>
      </c>
      <c r="E715" s="226">
        <v>2.1231763715808483E-2</v>
      </c>
      <c r="F715" s="226">
        <v>5.8956574101463085E-4</v>
      </c>
      <c r="G715" s="227">
        <v>5.4237216817604531E-4</v>
      </c>
      <c r="H715" s="226">
        <v>2.0000005732018797E-3</v>
      </c>
      <c r="I715" s="255">
        <v>3.3928042430118282E-3</v>
      </c>
      <c r="J715" s="256">
        <v>7.397601667139344E-6</v>
      </c>
      <c r="K715" s="257">
        <v>7.7320883881561758E-6</v>
      </c>
      <c r="L715" s="228">
        <v>2.8589364140604496E-2</v>
      </c>
    </row>
    <row r="716" spans="1:12" s="212" customFormat="1" ht="15.5" x14ac:dyDescent="0.35">
      <c r="A716" s="198" t="s">
        <v>821</v>
      </c>
      <c r="B716" s="197">
        <v>2048</v>
      </c>
      <c r="C716" s="213" t="s">
        <v>3949</v>
      </c>
      <c r="D716" s="239">
        <v>3.9511655819386227E-3</v>
      </c>
      <c r="E716" s="226">
        <v>2.0798317355511443E-2</v>
      </c>
      <c r="F716" s="226">
        <v>5.8242838315408654E-4</v>
      </c>
      <c r="G716" s="227">
        <v>5.3580785983949237E-4</v>
      </c>
      <c r="H716" s="226">
        <v>2.0000005732018801E-3</v>
      </c>
      <c r="I716" s="255">
        <v>3.3931819161320464E-3</v>
      </c>
      <c r="J716" s="256">
        <v>7.3521418945342813E-6</v>
      </c>
      <c r="K716" s="257">
        <v>7.6845731263586475E-6</v>
      </c>
      <c r="L716" s="228">
        <v>2.8519878831725565E-2</v>
      </c>
    </row>
    <row r="717" spans="1:12" s="212" customFormat="1" ht="15.5" x14ac:dyDescent="0.35">
      <c r="A717" s="198" t="s">
        <v>821</v>
      </c>
      <c r="B717" s="197">
        <v>2049</v>
      </c>
      <c r="C717" s="213" t="s">
        <v>3950</v>
      </c>
      <c r="D717" s="239">
        <v>3.9411319561741803E-3</v>
      </c>
      <c r="E717" s="226">
        <v>2.0765655251885264E-2</v>
      </c>
      <c r="F717" s="226">
        <v>5.7835506275899897E-4</v>
      </c>
      <c r="G717" s="227">
        <v>5.3206131024329147E-4</v>
      </c>
      <c r="H717" s="226">
        <v>2.0000005732018801E-3</v>
      </c>
      <c r="I717" s="255">
        <v>3.3935364140715955E-3</v>
      </c>
      <c r="J717" s="256">
        <v>7.3192426159193038E-6</v>
      </c>
      <c r="K717" s="257">
        <v>7.6501862883530716E-6</v>
      </c>
      <c r="L717" s="228">
        <v>2.8461030300962059E-2</v>
      </c>
    </row>
    <row r="718" spans="1:12" s="212" customFormat="1" ht="15.5" x14ac:dyDescent="0.35">
      <c r="A718" s="198" t="s">
        <v>821</v>
      </c>
      <c r="B718" s="197">
        <v>2050</v>
      </c>
      <c r="C718" s="213" t="s">
        <v>3951</v>
      </c>
      <c r="D718" s="239">
        <v>3.9340038928369842E-3</v>
      </c>
      <c r="E718" s="226">
        <v>2.0741525066930146E-2</v>
      </c>
      <c r="F718" s="226">
        <v>5.7492729622600264E-4</v>
      </c>
      <c r="G718" s="227">
        <v>5.2890374569890925E-4</v>
      </c>
      <c r="H718" s="226">
        <v>2.0000005732018801E-3</v>
      </c>
      <c r="I718" s="255">
        <v>3.3939741192237894E-3</v>
      </c>
      <c r="J718" s="256">
        <v>7.1688495548886179E-6</v>
      </c>
      <c r="K718" s="257">
        <v>7.4929931204619189E-6</v>
      </c>
      <c r="L718" s="228">
        <v>2.8411808033152203E-2</v>
      </c>
    </row>
    <row r="719" spans="1:12" s="212" customFormat="1" ht="15.5" x14ac:dyDescent="0.35">
      <c r="A719" s="198" t="s">
        <v>822</v>
      </c>
      <c r="B719" s="197">
        <v>2015</v>
      </c>
      <c r="C719" s="213" t="s">
        <v>897</v>
      </c>
      <c r="D719" s="239">
        <v>5.3223266071760866E-2</v>
      </c>
      <c r="E719" s="226">
        <v>0.27261575811621086</v>
      </c>
      <c r="F719" s="226">
        <v>1.8744195963671492E-3</v>
      </c>
      <c r="G719" s="227">
        <v>1.7323823851339022E-3</v>
      </c>
      <c r="H719" s="226">
        <v>2.0000005732018797E-3</v>
      </c>
      <c r="I719" s="255">
        <v>1.6649704149749903E-3</v>
      </c>
      <c r="J719" s="256">
        <v>1.4184076510642807E-4</v>
      </c>
      <c r="K719" s="257">
        <v>1.4825417509546775E-4</v>
      </c>
      <c r="L719" s="228">
        <v>4.8152279757627613E-2</v>
      </c>
    </row>
    <row r="720" spans="1:12" s="212" customFormat="1" ht="15.5" x14ac:dyDescent="0.35">
      <c r="A720" s="198" t="s">
        <v>822</v>
      </c>
      <c r="B720" s="197">
        <v>2016</v>
      </c>
      <c r="C720" s="213" t="s">
        <v>898</v>
      </c>
      <c r="D720" s="239">
        <v>4.7001845187041376E-2</v>
      </c>
      <c r="E720" s="226">
        <v>0.24812305910733307</v>
      </c>
      <c r="F720" s="226">
        <v>1.7959285599172376E-3</v>
      </c>
      <c r="G720" s="227">
        <v>1.6588289563248179E-3</v>
      </c>
      <c r="H720" s="226">
        <v>2.0000005732018801E-3</v>
      </c>
      <c r="I720" s="255">
        <v>1.660958182011804E-3</v>
      </c>
      <c r="J720" s="256">
        <v>1.2935051697636574E-4</v>
      </c>
      <c r="K720" s="257">
        <v>1.3519917336961908E-4</v>
      </c>
      <c r="L720" s="228">
        <v>4.7354375049325388E-2</v>
      </c>
    </row>
    <row r="721" spans="1:12" s="212" customFormat="1" ht="15.5" x14ac:dyDescent="0.35">
      <c r="A721" s="198" t="s">
        <v>822</v>
      </c>
      <c r="B721" s="197">
        <v>2017</v>
      </c>
      <c r="C721" s="213" t="s">
        <v>3952</v>
      </c>
      <c r="D721" s="239">
        <v>3.7492924859149256E-2</v>
      </c>
      <c r="E721" s="226">
        <v>0.20539623047952688</v>
      </c>
      <c r="F721" s="226">
        <v>1.6586196423212141E-3</v>
      </c>
      <c r="G721" s="227">
        <v>1.5308560269683719E-3</v>
      </c>
      <c r="H721" s="226">
        <v>2.0000005732018801E-3</v>
      </c>
      <c r="I721" s="255">
        <v>1.6603997547784905E-3</v>
      </c>
      <c r="J721" s="256">
        <v>1.0941640660287783E-4</v>
      </c>
      <c r="K721" s="257">
        <v>1.143637309813465E-4</v>
      </c>
      <c r="L721" s="228">
        <v>4.6963715678010151E-2</v>
      </c>
    </row>
    <row r="722" spans="1:12" s="212" customFormat="1" ht="15.5" x14ac:dyDescent="0.35">
      <c r="A722" s="198" t="s">
        <v>822</v>
      </c>
      <c r="B722" s="197">
        <v>2018</v>
      </c>
      <c r="C722" s="213" t="s">
        <v>3953</v>
      </c>
      <c r="D722" s="239">
        <v>3.1546416449509646E-2</v>
      </c>
      <c r="E722" s="226">
        <v>0.17853330597922307</v>
      </c>
      <c r="F722" s="226">
        <v>1.6009845349105396E-3</v>
      </c>
      <c r="G722" s="227">
        <v>1.4765726015278074E-3</v>
      </c>
      <c r="H722" s="226">
        <v>2.0000005732018801E-3</v>
      </c>
      <c r="I722" s="255">
        <v>1.6597037809970186E-3</v>
      </c>
      <c r="J722" s="256">
        <v>9.2832520177369164E-5</v>
      </c>
      <c r="K722" s="257">
        <v>9.7029994801582536E-5</v>
      </c>
      <c r="L722" s="228">
        <v>4.6394057064242267E-2</v>
      </c>
    </row>
    <row r="723" spans="1:12" s="212" customFormat="1" ht="15.5" x14ac:dyDescent="0.35">
      <c r="A723" s="198" t="s">
        <v>822</v>
      </c>
      <c r="B723" s="197">
        <v>2019</v>
      </c>
      <c r="C723" s="213" t="s">
        <v>3954</v>
      </c>
      <c r="D723" s="239">
        <v>2.6289902458769322E-2</v>
      </c>
      <c r="E723" s="226">
        <v>0.15252258450048117</v>
      </c>
      <c r="F723" s="226">
        <v>1.5619055367267294E-3</v>
      </c>
      <c r="G723" s="227">
        <v>1.4397628335148897E-3</v>
      </c>
      <c r="H723" s="226">
        <v>2.0000005732018805E-3</v>
      </c>
      <c r="I723" s="255">
        <v>1.6593037926393003E-3</v>
      </c>
      <c r="J723" s="256">
        <v>8.2097352848382955E-5</v>
      </c>
      <c r="K723" s="257">
        <v>8.5809430842579012E-5</v>
      </c>
      <c r="L723" s="228">
        <v>4.5689766530722264E-2</v>
      </c>
    </row>
    <row r="724" spans="1:12" s="212" customFormat="1" ht="15.5" x14ac:dyDescent="0.35">
      <c r="A724" s="198" t="s">
        <v>822</v>
      </c>
      <c r="B724" s="197">
        <v>2020</v>
      </c>
      <c r="C724" s="213" t="s">
        <v>3955</v>
      </c>
      <c r="D724" s="239">
        <v>2.2870772262283342E-2</v>
      </c>
      <c r="E724" s="226">
        <v>0.1346310271829704</v>
      </c>
      <c r="F724" s="226">
        <v>1.5261273500253771E-3</v>
      </c>
      <c r="G724" s="227">
        <v>1.4064559594941914E-3</v>
      </c>
      <c r="H724" s="226">
        <v>2.0000005732018801E-3</v>
      </c>
      <c r="I724" s="255">
        <v>1.7519999547879613E-3</v>
      </c>
      <c r="J724" s="256">
        <v>7.6310785933998579E-5</v>
      </c>
      <c r="K724" s="257">
        <v>7.9761221049836554E-5</v>
      </c>
      <c r="L724" s="228">
        <v>4.5316522944459842E-2</v>
      </c>
    </row>
    <row r="725" spans="1:12" s="212" customFormat="1" ht="15.5" x14ac:dyDescent="0.35">
      <c r="A725" s="198" t="s">
        <v>822</v>
      </c>
      <c r="B725" s="197">
        <v>2021</v>
      </c>
      <c r="C725" s="213" t="s">
        <v>3956</v>
      </c>
      <c r="D725" s="239">
        <v>2.0053687600401555E-2</v>
      </c>
      <c r="E725" s="226">
        <v>0.11845778820295809</v>
      </c>
      <c r="F725" s="226">
        <v>1.4702813593672087E-3</v>
      </c>
      <c r="G725" s="227">
        <v>1.3548174347094342E-3</v>
      </c>
      <c r="H725" s="226">
        <v>2.0000005732018801E-3</v>
      </c>
      <c r="I725" s="255">
        <v>1.7662081745661179E-3</v>
      </c>
      <c r="J725" s="256">
        <v>7.0549027330631253E-5</v>
      </c>
      <c r="K725" s="257">
        <v>7.3738941289850079E-5</v>
      </c>
      <c r="L725" s="228">
        <v>4.4421819359238487E-2</v>
      </c>
    </row>
    <row r="726" spans="1:12" s="212" customFormat="1" ht="15.5" x14ac:dyDescent="0.35">
      <c r="A726" s="198" t="s">
        <v>822</v>
      </c>
      <c r="B726" s="197">
        <v>2022</v>
      </c>
      <c r="C726" s="213" t="s">
        <v>3957</v>
      </c>
      <c r="D726" s="239">
        <v>1.7208870184476217E-2</v>
      </c>
      <c r="E726" s="226">
        <v>0.10325124244996338</v>
      </c>
      <c r="F726" s="226">
        <v>1.4152163128899351E-3</v>
      </c>
      <c r="G726" s="227">
        <v>1.3038301956254863E-3</v>
      </c>
      <c r="H726" s="226">
        <v>2.0000005732018801E-3</v>
      </c>
      <c r="I726" s="255">
        <v>1.7347258280946227E-3</v>
      </c>
      <c r="J726" s="256">
        <v>6.5113255985482741E-5</v>
      </c>
      <c r="K726" s="257">
        <v>6.805738848535218E-5</v>
      </c>
      <c r="L726" s="228">
        <v>4.3636082331480544E-2</v>
      </c>
    </row>
    <row r="727" spans="1:12" s="212" customFormat="1" ht="15.5" x14ac:dyDescent="0.35">
      <c r="A727" s="198" t="s">
        <v>822</v>
      </c>
      <c r="B727" s="197">
        <v>2023</v>
      </c>
      <c r="C727" s="213" t="s">
        <v>3958</v>
      </c>
      <c r="D727" s="239">
        <v>1.4971763335824435E-2</v>
      </c>
      <c r="E727" s="226">
        <v>8.9998882984718143E-2</v>
      </c>
      <c r="F727" s="226">
        <v>1.3528693759390304E-3</v>
      </c>
      <c r="G727" s="227">
        <v>1.2462201740275154E-3</v>
      </c>
      <c r="H727" s="226">
        <v>2.0000005732018805E-3</v>
      </c>
      <c r="I727" s="255">
        <v>1.7333297515257551E-3</v>
      </c>
      <c r="J727" s="256">
        <v>5.8490799621664236E-5</v>
      </c>
      <c r="K727" s="257">
        <v>6.1135494031476525E-5</v>
      </c>
      <c r="L727" s="228">
        <v>4.2806793976156624E-2</v>
      </c>
    </row>
    <row r="728" spans="1:12" s="212" customFormat="1" ht="15.5" x14ac:dyDescent="0.35">
      <c r="A728" s="198" t="s">
        <v>822</v>
      </c>
      <c r="B728" s="197">
        <v>2024</v>
      </c>
      <c r="C728" s="213" t="s">
        <v>3959</v>
      </c>
      <c r="D728" s="239">
        <v>1.3101406248310779E-2</v>
      </c>
      <c r="E728" s="226">
        <v>7.876258605652324E-2</v>
      </c>
      <c r="F728" s="226">
        <v>1.2984635768273083E-3</v>
      </c>
      <c r="G728" s="227">
        <v>1.1958833535521043E-3</v>
      </c>
      <c r="H728" s="226">
        <v>2.0000005732018801E-3</v>
      </c>
      <c r="I728" s="255">
        <v>1.74648219477187E-3</v>
      </c>
      <c r="J728" s="256">
        <v>5.1022238701739588E-5</v>
      </c>
      <c r="K728" s="257">
        <v>5.3329237928001225E-5</v>
      </c>
      <c r="L728" s="228">
        <v>4.1937563781655203E-2</v>
      </c>
    </row>
    <row r="729" spans="1:12" s="212" customFormat="1" ht="15.5" x14ac:dyDescent="0.35">
      <c r="A729" s="198" t="s">
        <v>822</v>
      </c>
      <c r="B729" s="197">
        <v>2025</v>
      </c>
      <c r="C729" s="213" t="s">
        <v>3960</v>
      </c>
      <c r="D729" s="239">
        <v>1.1538226385407588E-2</v>
      </c>
      <c r="E729" s="226">
        <v>6.9386906424346126E-2</v>
      </c>
      <c r="F729" s="226">
        <v>1.2510280034534777E-3</v>
      </c>
      <c r="G729" s="227">
        <v>1.1520560201000343E-3</v>
      </c>
      <c r="H729" s="226">
        <v>2.0000005732018805E-3</v>
      </c>
      <c r="I729" s="255">
        <v>1.7450182778169336E-3</v>
      </c>
      <c r="J729" s="256">
        <v>4.5715168363369597E-5</v>
      </c>
      <c r="K729" s="257">
        <v>4.7782205418705962E-5</v>
      </c>
      <c r="L729" s="228">
        <v>4.1053893548785698E-2</v>
      </c>
    </row>
    <row r="730" spans="1:12" s="212" customFormat="1" ht="15.5" x14ac:dyDescent="0.35">
      <c r="A730" s="198" t="s">
        <v>822</v>
      </c>
      <c r="B730" s="197">
        <v>2026</v>
      </c>
      <c r="C730" s="213" t="s">
        <v>3961</v>
      </c>
      <c r="D730" s="239">
        <v>1.0235436588009888E-2</v>
      </c>
      <c r="E730" s="226">
        <v>6.1594782753715896E-2</v>
      </c>
      <c r="F730" s="226">
        <v>1.202786176769626E-3</v>
      </c>
      <c r="G730" s="227">
        <v>1.1075197533940019E-3</v>
      </c>
      <c r="H730" s="226">
        <v>2.0000005732018801E-3</v>
      </c>
      <c r="I730" s="255">
        <v>1.7435637561916749E-3</v>
      </c>
      <c r="J730" s="256">
        <v>4.1115600679784723E-5</v>
      </c>
      <c r="K730" s="257">
        <v>4.2974665694748652E-5</v>
      </c>
      <c r="L730" s="228">
        <v>4.0185072787647914E-2</v>
      </c>
    </row>
    <row r="731" spans="1:12" s="212" customFormat="1" ht="15.5" x14ac:dyDescent="0.35">
      <c r="A731" s="198" t="s">
        <v>822</v>
      </c>
      <c r="B731" s="197">
        <v>2027</v>
      </c>
      <c r="C731" s="213" t="s">
        <v>3962</v>
      </c>
      <c r="D731" s="239">
        <v>9.1343618154388958E-3</v>
      </c>
      <c r="E731" s="226">
        <v>5.5018733405733503E-2</v>
      </c>
      <c r="F731" s="226">
        <v>1.1455607025098271E-3</v>
      </c>
      <c r="G731" s="227">
        <v>1.0546028304469085E-3</v>
      </c>
      <c r="H731" s="226">
        <v>2.0000005732018801E-3</v>
      </c>
      <c r="I731" s="255">
        <v>1.738820242644711E-3</v>
      </c>
      <c r="J731" s="256">
        <v>3.3417718456497957E-5</v>
      </c>
      <c r="K731" s="257">
        <v>3.4928719396171331E-5</v>
      </c>
      <c r="L731" s="228">
        <v>3.934150350055652E-2</v>
      </c>
    </row>
    <row r="732" spans="1:12" s="212" customFormat="1" ht="15.5" x14ac:dyDescent="0.35">
      <c r="A732" s="198" t="s">
        <v>822</v>
      </c>
      <c r="B732" s="197">
        <v>2028</v>
      </c>
      <c r="C732" s="213" t="s">
        <v>3963</v>
      </c>
      <c r="D732" s="239">
        <v>8.2215394299969633E-3</v>
      </c>
      <c r="E732" s="226">
        <v>4.9579471192938207E-2</v>
      </c>
      <c r="F732" s="226">
        <v>1.0834989681240779E-3</v>
      </c>
      <c r="G732" s="227">
        <v>9.9730386206915364E-4</v>
      </c>
      <c r="H732" s="226">
        <v>2.0000005732018801E-3</v>
      </c>
      <c r="I732" s="255">
        <v>1.7374427022736215E-3</v>
      </c>
      <c r="J732" s="256">
        <v>2.7373644512735249E-5</v>
      </c>
      <c r="K732" s="257">
        <v>2.8611359248852584E-5</v>
      </c>
      <c r="L732" s="228">
        <v>3.8541411735594881E-2</v>
      </c>
    </row>
    <row r="733" spans="1:12" s="212" customFormat="1" ht="15.5" x14ac:dyDescent="0.35">
      <c r="A733" s="198" t="s">
        <v>822</v>
      </c>
      <c r="B733" s="197">
        <v>2029</v>
      </c>
      <c r="C733" s="213" t="s">
        <v>3964</v>
      </c>
      <c r="D733" s="239">
        <v>7.4507234416083638E-3</v>
      </c>
      <c r="E733" s="226">
        <v>4.504871941958382E-2</v>
      </c>
      <c r="F733" s="226">
        <v>1.0224255494707723E-3</v>
      </c>
      <c r="G733" s="227">
        <v>9.409555372342246E-4</v>
      </c>
      <c r="H733" s="226">
        <v>2.0000005732018801E-3</v>
      </c>
      <c r="I733" s="255">
        <v>1.7361698540550993E-3</v>
      </c>
      <c r="J733" s="256">
        <v>2.2405561792021411E-5</v>
      </c>
      <c r="K733" s="257">
        <v>2.3418641873048672E-5</v>
      </c>
      <c r="L733" s="228">
        <v>3.7787034195448731E-2</v>
      </c>
    </row>
    <row r="734" spans="1:12" s="212" customFormat="1" ht="15.5" x14ac:dyDescent="0.35">
      <c r="A734" s="198" t="s">
        <v>822</v>
      </c>
      <c r="B734" s="197">
        <v>2030</v>
      </c>
      <c r="C734" s="213" t="s">
        <v>3965</v>
      </c>
      <c r="D734" s="239">
        <v>6.8044639439198114E-3</v>
      </c>
      <c r="E734" s="226">
        <v>4.1313527904862181E-2</v>
      </c>
      <c r="F734" s="226">
        <v>9.6240609405569711E-4</v>
      </c>
      <c r="G734" s="227">
        <v>8.8565148621110956E-4</v>
      </c>
      <c r="H734" s="226">
        <v>2.0000005732018805E-3</v>
      </c>
      <c r="I734" s="255">
        <v>1.7264663960423752E-3</v>
      </c>
      <c r="J734" s="256">
        <v>1.9367355260529591E-5</v>
      </c>
      <c r="K734" s="257">
        <v>2.0243061124044607E-5</v>
      </c>
      <c r="L734" s="228">
        <v>3.7081511785938631E-2</v>
      </c>
    </row>
    <row r="735" spans="1:12" s="212" customFormat="1" ht="15.5" x14ac:dyDescent="0.35">
      <c r="A735" s="198" t="s">
        <v>822</v>
      </c>
      <c r="B735" s="197">
        <v>2031</v>
      </c>
      <c r="C735" s="213" t="s">
        <v>3966</v>
      </c>
      <c r="D735" s="239">
        <v>6.260911614814073E-3</v>
      </c>
      <c r="E735" s="226">
        <v>3.8116072022836504E-2</v>
      </c>
      <c r="F735" s="226">
        <v>9.0679170713829703E-4</v>
      </c>
      <c r="G735" s="227">
        <v>8.3443064594966804E-4</v>
      </c>
      <c r="H735" s="226">
        <v>2.0000005732018797E-3</v>
      </c>
      <c r="I735" s="255">
        <v>1.7293504277250673E-3</v>
      </c>
      <c r="J735" s="256">
        <v>1.7173872938733346E-5</v>
      </c>
      <c r="K735" s="257">
        <v>1.7950399265090393E-5</v>
      </c>
      <c r="L735" s="228">
        <v>3.6424516149847576E-2</v>
      </c>
    </row>
    <row r="736" spans="1:12" s="212" customFormat="1" ht="15.5" x14ac:dyDescent="0.35">
      <c r="A736" s="198" t="s">
        <v>822</v>
      </c>
      <c r="B736" s="197">
        <v>2032</v>
      </c>
      <c r="C736" s="213" t="s">
        <v>3967</v>
      </c>
      <c r="D736" s="239">
        <v>5.7969311247122587E-3</v>
      </c>
      <c r="E736" s="226">
        <v>3.5446390029535708E-2</v>
      </c>
      <c r="F736" s="226">
        <v>8.5291428229776391E-4</v>
      </c>
      <c r="G736" s="227">
        <v>7.84824098557768E-4</v>
      </c>
      <c r="H736" s="226">
        <v>2.0000005732018805E-3</v>
      </c>
      <c r="I736" s="255">
        <v>1.794407864275228E-3</v>
      </c>
      <c r="J736" s="256">
        <v>1.5422358958231749E-5</v>
      </c>
      <c r="K736" s="257">
        <v>1.6119689594618675E-5</v>
      </c>
      <c r="L736" s="228">
        <v>3.5816148564442304E-2</v>
      </c>
    </row>
    <row r="737" spans="1:12" s="212" customFormat="1" ht="15.5" x14ac:dyDescent="0.35">
      <c r="A737" s="198" t="s">
        <v>822</v>
      </c>
      <c r="B737" s="197">
        <v>2033</v>
      </c>
      <c r="C737" s="213" t="s">
        <v>3968</v>
      </c>
      <c r="D737" s="239">
        <v>5.3903618327525733E-3</v>
      </c>
      <c r="E737" s="226">
        <v>3.3164297659139245E-2</v>
      </c>
      <c r="F737" s="226">
        <v>8.0186338203598021E-4</v>
      </c>
      <c r="G737" s="227">
        <v>7.3783033279924679E-4</v>
      </c>
      <c r="H737" s="226">
        <v>2.0000005732018805E-3</v>
      </c>
      <c r="I737" s="255">
        <v>1.7932605110441713E-3</v>
      </c>
      <c r="J737" s="256">
        <v>1.4027508059910172E-5</v>
      </c>
      <c r="K737" s="257">
        <v>1.4661769728234207E-5</v>
      </c>
      <c r="L737" s="228">
        <v>3.5255892340640999E-2</v>
      </c>
    </row>
    <row r="738" spans="1:12" s="212" customFormat="1" ht="15.5" x14ac:dyDescent="0.35">
      <c r="A738" s="198" t="s">
        <v>822</v>
      </c>
      <c r="B738" s="197">
        <v>2034</v>
      </c>
      <c r="C738" s="213" t="s">
        <v>3969</v>
      </c>
      <c r="D738" s="239">
        <v>5.0302668880154288E-3</v>
      </c>
      <c r="E738" s="226">
        <v>3.1220623083898134E-2</v>
      </c>
      <c r="F738" s="226">
        <v>7.5352103263263102E-4</v>
      </c>
      <c r="G738" s="227">
        <v>6.9333136742237838E-4</v>
      </c>
      <c r="H738" s="226">
        <v>2.0000005732018801E-3</v>
      </c>
      <c r="I738" s="255">
        <v>1.7921427407867471E-3</v>
      </c>
      <c r="J738" s="256">
        <v>1.2745273279468606E-5</v>
      </c>
      <c r="K738" s="257">
        <v>1.3321557980853613E-5</v>
      </c>
      <c r="L738" s="228">
        <v>3.4741195940691048E-2</v>
      </c>
    </row>
    <row r="739" spans="1:12" s="212" customFormat="1" ht="15.5" x14ac:dyDescent="0.35">
      <c r="A739" s="198" t="s">
        <v>822</v>
      </c>
      <c r="B739" s="197">
        <v>2035</v>
      </c>
      <c r="C739" s="213" t="s">
        <v>3970</v>
      </c>
      <c r="D739" s="239">
        <v>4.7214673141345734E-3</v>
      </c>
      <c r="E739" s="226">
        <v>2.9601866174048003E-2</v>
      </c>
      <c r="F739" s="226">
        <v>7.0865523577198287E-4</v>
      </c>
      <c r="G739" s="227">
        <v>6.5203351234561829E-4</v>
      </c>
      <c r="H739" s="226">
        <v>2.0000005732018801E-3</v>
      </c>
      <c r="I739" s="255">
        <v>1.7910811218807929E-3</v>
      </c>
      <c r="J739" s="256">
        <v>1.1579779539483083E-5</v>
      </c>
      <c r="K739" s="257">
        <v>1.2103365785747826E-5</v>
      </c>
      <c r="L739" s="228">
        <v>3.426965997653806E-2</v>
      </c>
    </row>
    <row r="740" spans="1:12" s="212" customFormat="1" ht="15.5" x14ac:dyDescent="0.35">
      <c r="A740" s="198" t="s">
        <v>822</v>
      </c>
      <c r="B740" s="197">
        <v>2036</v>
      </c>
      <c r="C740" s="213" t="s">
        <v>3971</v>
      </c>
      <c r="D740" s="239">
        <v>4.4513394792353167E-3</v>
      </c>
      <c r="E740" s="226">
        <v>2.8220154631218766E-2</v>
      </c>
      <c r="F740" s="226">
        <v>6.6859053148133208E-4</v>
      </c>
      <c r="G740" s="227">
        <v>6.151505650419366E-4</v>
      </c>
      <c r="H740" s="226">
        <v>2.0000005732018801E-3</v>
      </c>
      <c r="I740" s="255">
        <v>1.7900783392427156E-3</v>
      </c>
      <c r="J740" s="256">
        <v>1.0426614883006488E-5</v>
      </c>
      <c r="K740" s="257">
        <v>1.0898060140597734E-5</v>
      </c>
      <c r="L740" s="228">
        <v>3.3841792283421268E-2</v>
      </c>
    </row>
    <row r="741" spans="1:12" s="212" customFormat="1" ht="15.5" x14ac:dyDescent="0.35">
      <c r="A741" s="198" t="s">
        <v>822</v>
      </c>
      <c r="B741" s="197">
        <v>2037</v>
      </c>
      <c r="C741" s="213" t="s">
        <v>3972</v>
      </c>
      <c r="D741" s="239">
        <v>4.2177669816244809E-3</v>
      </c>
      <c r="E741" s="226">
        <v>2.7045933809234247E-2</v>
      </c>
      <c r="F741" s="226">
        <v>6.3246054167711478E-4</v>
      </c>
      <c r="G741" s="227">
        <v>5.8189510092749338E-4</v>
      </c>
      <c r="H741" s="226">
        <v>2.0000005732018797E-3</v>
      </c>
      <c r="I741" s="255">
        <v>1.7891581135208597E-3</v>
      </c>
      <c r="J741" s="256">
        <v>9.5213390397994607E-6</v>
      </c>
      <c r="K741" s="257">
        <v>9.9518517408629388E-6</v>
      </c>
      <c r="L741" s="228">
        <v>3.3457773230287285E-2</v>
      </c>
    </row>
    <row r="742" spans="1:12" s="212" customFormat="1" ht="15.5" x14ac:dyDescent="0.35">
      <c r="A742" s="198" t="s">
        <v>822</v>
      </c>
      <c r="B742" s="197">
        <v>2038</v>
      </c>
      <c r="C742" s="213" t="s">
        <v>3973</v>
      </c>
      <c r="D742" s="239">
        <v>4.0179466853890742E-3</v>
      </c>
      <c r="E742" s="226">
        <v>2.6036189591781934E-2</v>
      </c>
      <c r="F742" s="226">
        <v>6.0065488846747933E-4</v>
      </c>
      <c r="G742" s="227">
        <v>5.5262026278155095E-4</v>
      </c>
      <c r="H742" s="226">
        <v>2.0000005732018801E-3</v>
      </c>
      <c r="I742" s="255">
        <v>1.7436790375703743E-3</v>
      </c>
      <c r="J742" s="256">
        <v>8.7330487448872389E-6</v>
      </c>
      <c r="K742" s="257">
        <v>9.1279184568011605E-6</v>
      </c>
      <c r="L742" s="228">
        <v>3.3116057019562606E-2</v>
      </c>
    </row>
    <row r="743" spans="1:12" s="212" customFormat="1" ht="15.5" x14ac:dyDescent="0.35">
      <c r="A743" s="198" t="s">
        <v>822</v>
      </c>
      <c r="B743" s="197">
        <v>2039</v>
      </c>
      <c r="C743" s="213" t="s">
        <v>3974</v>
      </c>
      <c r="D743" s="239">
        <v>3.8224610870440721E-3</v>
      </c>
      <c r="E743" s="226">
        <v>2.5085430585632569E-2</v>
      </c>
      <c r="F743" s="226">
        <v>5.716030905932606E-4</v>
      </c>
      <c r="G743" s="227">
        <v>5.2588150988545814E-4</v>
      </c>
      <c r="H743" s="226">
        <v>2.0000005732018797E-3</v>
      </c>
      <c r="I743" s="255">
        <v>1.7429644264525031E-3</v>
      </c>
      <c r="J743" s="256">
        <v>8.0478545798553679E-6</v>
      </c>
      <c r="K743" s="257">
        <v>8.4117428521306568E-6</v>
      </c>
      <c r="L743" s="228">
        <v>3.2808672791434505E-2</v>
      </c>
    </row>
    <row r="744" spans="1:12" s="212" customFormat="1" ht="15.5" x14ac:dyDescent="0.35">
      <c r="A744" s="198" t="s">
        <v>822</v>
      </c>
      <c r="B744" s="197">
        <v>2040</v>
      </c>
      <c r="C744" s="213" t="s">
        <v>3975</v>
      </c>
      <c r="D744" s="239">
        <v>3.6498270278501502E-3</v>
      </c>
      <c r="E744" s="226">
        <v>2.4267878910137843E-2</v>
      </c>
      <c r="F744" s="226">
        <v>5.4607652500607165E-4</v>
      </c>
      <c r="G744" s="227">
        <v>5.023893354094204E-4</v>
      </c>
      <c r="H744" s="226">
        <v>2.0000005732018797E-3</v>
      </c>
      <c r="I744" s="255">
        <v>1.7423456650141581E-3</v>
      </c>
      <c r="J744" s="256">
        <v>7.4975954923756229E-6</v>
      </c>
      <c r="K744" s="257">
        <v>7.8366034904536067E-6</v>
      </c>
      <c r="L744" s="228">
        <v>3.2537498789469481E-2</v>
      </c>
    </row>
    <row r="745" spans="1:12" s="212" customFormat="1" ht="15.5" x14ac:dyDescent="0.35">
      <c r="A745" s="198" t="s">
        <v>822</v>
      </c>
      <c r="B745" s="197">
        <v>2041</v>
      </c>
      <c r="C745" s="213" t="s">
        <v>3976</v>
      </c>
      <c r="D745" s="239">
        <v>3.5233220613330694E-3</v>
      </c>
      <c r="E745" s="226">
        <v>2.3616950630673081E-2</v>
      </c>
      <c r="F745" s="226">
        <v>5.257417222436614E-4</v>
      </c>
      <c r="G745" s="227">
        <v>4.836739540156286E-4</v>
      </c>
      <c r="H745" s="226">
        <v>2.0000005732018805E-3</v>
      </c>
      <c r="I745" s="255">
        <v>1.741840890727135E-3</v>
      </c>
      <c r="J745" s="256">
        <v>7.0284086398519144E-6</v>
      </c>
      <c r="K745" s="257">
        <v>7.3462020904445812E-6</v>
      </c>
      <c r="L745" s="228">
        <v>3.2302191784333377E-2</v>
      </c>
    </row>
    <row r="746" spans="1:12" s="212" customFormat="1" ht="15.5" x14ac:dyDescent="0.35">
      <c r="A746" s="198" t="s">
        <v>822</v>
      </c>
      <c r="B746" s="197">
        <v>2042</v>
      </c>
      <c r="C746" s="213" t="s">
        <v>3977</v>
      </c>
      <c r="D746" s="239">
        <v>3.411852847603414E-3</v>
      </c>
      <c r="E746" s="226">
        <v>2.300724567536307E-2</v>
      </c>
      <c r="F746" s="226">
        <v>5.0842071984241982E-4</v>
      </c>
      <c r="G746" s="227">
        <v>4.6773324200481247E-4</v>
      </c>
      <c r="H746" s="226">
        <v>2.0000005732018801E-3</v>
      </c>
      <c r="I746" s="255">
        <v>1.7414101390614591E-3</v>
      </c>
      <c r="J746" s="256">
        <v>6.6513915469236208E-6</v>
      </c>
      <c r="K746" s="257">
        <v>6.9521379575626461E-6</v>
      </c>
      <c r="L746" s="228">
        <v>3.2091383345815884E-2</v>
      </c>
    </row>
    <row r="747" spans="1:12" s="212" customFormat="1" ht="15.5" x14ac:dyDescent="0.35">
      <c r="A747" s="198" t="s">
        <v>822</v>
      </c>
      <c r="B747" s="197">
        <v>2043</v>
      </c>
      <c r="C747" s="213" t="s">
        <v>3978</v>
      </c>
      <c r="D747" s="239">
        <v>3.3255348764782301E-3</v>
      </c>
      <c r="E747" s="226">
        <v>2.2502822419264469E-2</v>
      </c>
      <c r="F747" s="226">
        <v>4.9385120554276533E-4</v>
      </c>
      <c r="G747" s="227">
        <v>4.5432572443028876E-4</v>
      </c>
      <c r="H747" s="226">
        <v>2.0000005732018797E-3</v>
      </c>
      <c r="I747" s="255">
        <v>1.7410691501412753E-3</v>
      </c>
      <c r="J747" s="256">
        <v>6.3591395575607731E-6</v>
      </c>
      <c r="K747" s="257">
        <v>6.6466716300898016E-6</v>
      </c>
      <c r="L747" s="228">
        <v>3.1908269313919532E-2</v>
      </c>
    </row>
    <row r="748" spans="1:12" s="212" customFormat="1" ht="15.5" x14ac:dyDescent="0.35">
      <c r="A748" s="198" t="s">
        <v>822</v>
      </c>
      <c r="B748" s="197">
        <v>2044</v>
      </c>
      <c r="C748" s="213" t="s">
        <v>3979</v>
      </c>
      <c r="D748" s="239">
        <v>3.2547978078490843E-3</v>
      </c>
      <c r="E748" s="226">
        <v>2.201728742656086E-2</v>
      </c>
      <c r="F748" s="226">
        <v>4.8155808564352438E-4</v>
      </c>
      <c r="G748" s="227">
        <v>4.4301304691707235E-4</v>
      </c>
      <c r="H748" s="226">
        <v>2.0000005732018801E-3</v>
      </c>
      <c r="I748" s="255">
        <v>1.7407865299196106E-3</v>
      </c>
      <c r="J748" s="256">
        <v>6.1125576642533521E-6</v>
      </c>
      <c r="K748" s="257">
        <v>6.3889403977579605E-6</v>
      </c>
      <c r="L748" s="228">
        <v>3.1747072571349948E-2</v>
      </c>
    </row>
    <row r="749" spans="1:12" s="212" customFormat="1" ht="15.5" x14ac:dyDescent="0.35">
      <c r="A749" s="198" t="s">
        <v>822</v>
      </c>
      <c r="B749" s="197">
        <v>2045</v>
      </c>
      <c r="C749" s="213" t="s">
        <v>3980</v>
      </c>
      <c r="D749" s="239">
        <v>3.2003523987854396E-3</v>
      </c>
      <c r="E749" s="226">
        <v>2.1582162366481437E-2</v>
      </c>
      <c r="F749" s="226">
        <v>4.7125513384920186E-4</v>
      </c>
      <c r="G749" s="227">
        <v>4.3353235178364104E-4</v>
      </c>
      <c r="H749" s="226">
        <v>2.0000005732018805E-3</v>
      </c>
      <c r="I749" s="255">
        <v>1.7405656934391558E-3</v>
      </c>
      <c r="J749" s="256">
        <v>5.9197775003021991E-6</v>
      </c>
      <c r="K749" s="257">
        <v>6.1874435702422587E-6</v>
      </c>
      <c r="L749" s="228">
        <v>3.1601343022162609E-2</v>
      </c>
    </row>
    <row r="750" spans="1:12" s="212" customFormat="1" ht="15.5" x14ac:dyDescent="0.35">
      <c r="A750" s="198" t="s">
        <v>822</v>
      </c>
      <c r="B750" s="197">
        <v>2046</v>
      </c>
      <c r="C750" s="213" t="s">
        <v>3981</v>
      </c>
      <c r="D750" s="239">
        <v>3.148950948616518E-3</v>
      </c>
      <c r="E750" s="226">
        <v>2.1166315114271937E-2</v>
      </c>
      <c r="F750" s="226">
        <v>4.6268033711622912E-4</v>
      </c>
      <c r="G750" s="227">
        <v>4.2564212034383077E-4</v>
      </c>
      <c r="H750" s="226">
        <v>2.0000005732018801E-3</v>
      </c>
      <c r="I750" s="255">
        <v>1.7403875763245913E-3</v>
      </c>
      <c r="J750" s="256">
        <v>5.7652107839876118E-6</v>
      </c>
      <c r="K750" s="257">
        <v>6.0258880328955611E-6</v>
      </c>
      <c r="L750" s="228">
        <v>3.1473616214819956E-2</v>
      </c>
    </row>
    <row r="751" spans="1:12" s="212" customFormat="1" ht="15.5" x14ac:dyDescent="0.35">
      <c r="A751" s="198" t="s">
        <v>822</v>
      </c>
      <c r="B751" s="197">
        <v>2047</v>
      </c>
      <c r="C751" s="213" t="s">
        <v>3982</v>
      </c>
      <c r="D751" s="239">
        <v>3.1049200580246508E-3</v>
      </c>
      <c r="E751" s="226">
        <v>2.0806307034256111E-2</v>
      </c>
      <c r="F751" s="226">
        <v>4.5562267489556737E-4</v>
      </c>
      <c r="G751" s="227">
        <v>4.1914768827217686E-4</v>
      </c>
      <c r="H751" s="226">
        <v>2.0000005732018805E-3</v>
      </c>
      <c r="I751" s="255">
        <v>1.7402600692028555E-3</v>
      </c>
      <c r="J751" s="256">
        <v>5.6324644739044796E-6</v>
      </c>
      <c r="K751" s="257">
        <v>5.8871395237235036E-6</v>
      </c>
      <c r="L751" s="228">
        <v>3.1364554432011478E-2</v>
      </c>
    </row>
    <row r="752" spans="1:12" s="212" customFormat="1" ht="15.5" x14ac:dyDescent="0.35">
      <c r="A752" s="198" t="s">
        <v>822</v>
      </c>
      <c r="B752" s="197">
        <v>2048</v>
      </c>
      <c r="C752" s="213" t="s">
        <v>3983</v>
      </c>
      <c r="D752" s="239">
        <v>3.07025208085161E-3</v>
      </c>
      <c r="E752" s="226">
        <v>2.0527658977784535E-2</v>
      </c>
      <c r="F752" s="226">
        <v>4.498494041900877E-4</v>
      </c>
      <c r="G752" s="227">
        <v>4.1383509967925621E-4</v>
      </c>
      <c r="H752" s="226">
        <v>2.0000005732018801E-3</v>
      </c>
      <c r="I752" s="255">
        <v>1.7401791572205626E-3</v>
      </c>
      <c r="J752" s="256">
        <v>5.522634619992315E-6</v>
      </c>
      <c r="K752" s="257">
        <v>5.7723436511801866E-6</v>
      </c>
      <c r="L752" s="228">
        <v>3.1268944280684149E-2</v>
      </c>
    </row>
    <row r="753" spans="1:12" s="212" customFormat="1" ht="15.5" x14ac:dyDescent="0.35">
      <c r="A753" s="198" t="s">
        <v>822</v>
      </c>
      <c r="B753" s="197">
        <v>2049</v>
      </c>
      <c r="C753" s="213" t="s">
        <v>3984</v>
      </c>
      <c r="D753" s="239">
        <v>3.0621730469123447E-3</v>
      </c>
      <c r="E753" s="226">
        <v>2.0496551357849419E-2</v>
      </c>
      <c r="F753" s="226">
        <v>4.4608874260912434E-4</v>
      </c>
      <c r="G753" s="227">
        <v>4.1037424420404639E-4</v>
      </c>
      <c r="H753" s="226">
        <v>2.0000005732018805E-3</v>
      </c>
      <c r="I753" s="255">
        <v>1.7401254689759244E-3</v>
      </c>
      <c r="J753" s="256">
        <v>5.4439451465621603E-6</v>
      </c>
      <c r="K753" s="257">
        <v>5.6900961889408902E-6</v>
      </c>
      <c r="L753" s="228">
        <v>3.1184778149346781E-2</v>
      </c>
    </row>
    <row r="754" spans="1:12" s="212" customFormat="1" ht="15.5" x14ac:dyDescent="0.35">
      <c r="A754" s="198" t="s">
        <v>822</v>
      </c>
      <c r="B754" s="197">
        <v>2050</v>
      </c>
      <c r="C754" s="213" t="s">
        <v>3985</v>
      </c>
      <c r="D754" s="239">
        <v>3.0560898896720939E-3</v>
      </c>
      <c r="E754" s="226">
        <v>2.04712389037555E-2</v>
      </c>
      <c r="F754" s="226">
        <v>4.4301542435392537E-4</v>
      </c>
      <c r="G754" s="227">
        <v>4.0754203194446963E-4</v>
      </c>
      <c r="H754" s="226">
        <v>2.0000005732018805E-3</v>
      </c>
      <c r="I754" s="255">
        <v>1.7401168082392502E-3</v>
      </c>
      <c r="J754" s="256">
        <v>5.279440626615452E-6</v>
      </c>
      <c r="K754" s="257">
        <v>5.5181535045801903E-6</v>
      </c>
      <c r="L754" s="228">
        <v>3.1112984651872427E-2</v>
      </c>
    </row>
    <row r="755" spans="1:12" s="212" customFormat="1" ht="15.5" x14ac:dyDescent="0.35">
      <c r="A755" s="198" t="s">
        <v>823</v>
      </c>
      <c r="B755" s="197">
        <v>2015</v>
      </c>
      <c r="C755" s="213" t="s">
        <v>899</v>
      </c>
      <c r="D755" s="239">
        <v>4.6851019024822679E-2</v>
      </c>
      <c r="E755" s="226">
        <v>0.21424374102758584</v>
      </c>
      <c r="F755" s="226">
        <v>1.9913746980589906E-3</v>
      </c>
      <c r="G755" s="227">
        <v>1.8447662375870074E-3</v>
      </c>
      <c r="H755" s="226">
        <v>2.0000005732018801E-3</v>
      </c>
      <c r="I755" s="255">
        <v>2.581772161045669E-3</v>
      </c>
      <c r="J755" s="256">
        <v>2.7246301241579037E-4</v>
      </c>
      <c r="K755" s="257">
        <v>2.8478258080052055E-4</v>
      </c>
      <c r="L755" s="228">
        <v>4.9091320914207419E-2</v>
      </c>
    </row>
    <row r="756" spans="1:12" s="212" customFormat="1" ht="15.5" x14ac:dyDescent="0.35">
      <c r="A756" s="198" t="s">
        <v>823</v>
      </c>
      <c r="B756" s="197">
        <v>2016</v>
      </c>
      <c r="C756" s="213" t="s">
        <v>900</v>
      </c>
      <c r="D756" s="239">
        <v>3.9811711060283028E-2</v>
      </c>
      <c r="E756" s="226">
        <v>0.19024934092803197</v>
      </c>
      <c r="F756" s="226">
        <v>1.9086051769807645E-3</v>
      </c>
      <c r="G756" s="227">
        <v>1.7663775667425207E-3</v>
      </c>
      <c r="H756" s="226">
        <v>2.0000005732018801E-3</v>
      </c>
      <c r="I756" s="255">
        <v>2.5677951070885064E-3</v>
      </c>
      <c r="J756" s="256">
        <v>2.4413428857804356E-4</v>
      </c>
      <c r="K756" s="257">
        <v>2.5517295777768162E-4</v>
      </c>
      <c r="L756" s="228">
        <v>4.7985067224271538E-2</v>
      </c>
    </row>
    <row r="757" spans="1:12" s="212" customFormat="1" ht="15.5" x14ac:dyDescent="0.35">
      <c r="A757" s="198" t="s">
        <v>823</v>
      </c>
      <c r="B757" s="197">
        <v>2017</v>
      </c>
      <c r="C757" s="213" t="s">
        <v>3986</v>
      </c>
      <c r="D757" s="239">
        <v>3.322500266134467E-2</v>
      </c>
      <c r="E757" s="226">
        <v>0.16179077951840207</v>
      </c>
      <c r="F757" s="226">
        <v>1.8329100854024805E-3</v>
      </c>
      <c r="G757" s="227">
        <v>1.694694837071273E-3</v>
      </c>
      <c r="H757" s="226">
        <v>2.0000005732018801E-3</v>
      </c>
      <c r="I757" s="255">
        <v>2.569559054088141E-3</v>
      </c>
      <c r="J757" s="256">
        <v>2.0417480646751264E-4</v>
      </c>
      <c r="K757" s="257">
        <v>2.1340668520368795E-4</v>
      </c>
      <c r="L757" s="228">
        <v>4.7636938464975874E-2</v>
      </c>
    </row>
    <row r="758" spans="1:12" s="212" customFormat="1" ht="15.5" x14ac:dyDescent="0.35">
      <c r="A758" s="198" t="s">
        <v>823</v>
      </c>
      <c r="B758" s="197">
        <v>2018</v>
      </c>
      <c r="C758" s="213" t="s">
        <v>3987</v>
      </c>
      <c r="D758" s="239">
        <v>2.815023642061323E-2</v>
      </c>
      <c r="E758" s="226">
        <v>0.14128485085738227</v>
      </c>
      <c r="F758" s="226">
        <v>1.8002150622376358E-3</v>
      </c>
      <c r="G758" s="227">
        <v>1.6629764870694543E-3</v>
      </c>
      <c r="H758" s="226">
        <v>2.0000005732018801E-3</v>
      </c>
      <c r="I758" s="255">
        <v>2.5729036056805509E-3</v>
      </c>
      <c r="J758" s="256">
        <v>1.7585392304994134E-4</v>
      </c>
      <c r="K758" s="257">
        <v>1.8380525711003351E-4</v>
      </c>
      <c r="L758" s="228">
        <v>4.7032971229496665E-2</v>
      </c>
    </row>
    <row r="759" spans="1:12" s="212" customFormat="1" ht="15.5" x14ac:dyDescent="0.35">
      <c r="A759" s="198" t="s">
        <v>823</v>
      </c>
      <c r="B759" s="197">
        <v>2019</v>
      </c>
      <c r="C759" s="213" t="s">
        <v>3988</v>
      </c>
      <c r="D759" s="239">
        <v>2.3231560070027312E-2</v>
      </c>
      <c r="E759" s="226">
        <v>0.12121699290427145</v>
      </c>
      <c r="F759" s="226">
        <v>1.7666911288622728E-3</v>
      </c>
      <c r="G759" s="227">
        <v>1.6306791408276504E-3</v>
      </c>
      <c r="H759" s="226">
        <v>2.0000005732018801E-3</v>
      </c>
      <c r="I759" s="255">
        <v>2.5775166820576827E-3</v>
      </c>
      <c r="J759" s="256">
        <v>1.5229617404375736E-4</v>
      </c>
      <c r="K759" s="257">
        <v>1.5918233122975267E-4</v>
      </c>
      <c r="L759" s="228">
        <v>4.6309327161180115E-2</v>
      </c>
    </row>
    <row r="760" spans="1:12" s="212" customFormat="1" ht="15.5" x14ac:dyDescent="0.35">
      <c r="A760" s="198" t="s">
        <v>823</v>
      </c>
      <c r="B760" s="197">
        <v>2020</v>
      </c>
      <c r="C760" s="213" t="s">
        <v>3989</v>
      </c>
      <c r="D760" s="239">
        <v>2.0317127663528126E-2</v>
      </c>
      <c r="E760" s="226">
        <v>0.10740447771472014</v>
      </c>
      <c r="F760" s="226">
        <v>1.7230867194785188E-3</v>
      </c>
      <c r="G760" s="227">
        <v>1.5900116008722943E-3</v>
      </c>
      <c r="H760" s="226">
        <v>2.0000005732018801E-3</v>
      </c>
      <c r="I760" s="255">
        <v>2.5863468537430409E-3</v>
      </c>
      <c r="J760" s="256">
        <v>1.4060221176698733E-4</v>
      </c>
      <c r="K760" s="257">
        <v>1.4695961987001624E-4</v>
      </c>
      <c r="L760" s="228">
        <v>4.5944843752761311E-2</v>
      </c>
    </row>
    <row r="761" spans="1:12" s="212" customFormat="1" ht="15.5" x14ac:dyDescent="0.35">
      <c r="A761" s="198" t="s">
        <v>823</v>
      </c>
      <c r="B761" s="197">
        <v>2021</v>
      </c>
      <c r="C761" s="213" t="s">
        <v>3990</v>
      </c>
      <c r="D761" s="239">
        <v>1.7533522873591126E-2</v>
      </c>
      <c r="E761" s="226">
        <v>9.4139590879682586E-2</v>
      </c>
      <c r="F761" s="226">
        <v>1.6264547528913108E-3</v>
      </c>
      <c r="G761" s="227">
        <v>1.5006350865839331E-3</v>
      </c>
      <c r="H761" s="226">
        <v>2.0000005732018805E-3</v>
      </c>
      <c r="I761" s="255">
        <v>2.5181128020149175E-3</v>
      </c>
      <c r="J761" s="256">
        <v>1.2891753733012599E-4</v>
      </c>
      <c r="K761" s="257">
        <v>1.34746616305095E-4</v>
      </c>
      <c r="L761" s="228">
        <v>4.502319573641126E-2</v>
      </c>
    </row>
    <row r="762" spans="1:12" s="212" customFormat="1" ht="15.5" x14ac:dyDescent="0.35">
      <c r="A762" s="198" t="s">
        <v>823</v>
      </c>
      <c r="B762" s="197">
        <v>2022</v>
      </c>
      <c r="C762" s="213" t="s">
        <v>3991</v>
      </c>
      <c r="D762" s="239">
        <v>1.5131009944700484E-2</v>
      </c>
      <c r="E762" s="226">
        <v>8.2323275770569956E-2</v>
      </c>
      <c r="F762" s="226">
        <v>1.5500923058518034E-3</v>
      </c>
      <c r="G762" s="227">
        <v>1.4298209024658898E-3</v>
      </c>
      <c r="H762" s="226">
        <v>2.0000005732018801E-3</v>
      </c>
      <c r="I762" s="255">
        <v>2.5207302585028768E-3</v>
      </c>
      <c r="J762" s="256">
        <v>1.1607473444027069E-4</v>
      </c>
      <c r="K762" s="257">
        <v>1.2132311885765422E-4</v>
      </c>
      <c r="L762" s="228">
        <v>4.4186379946062171E-2</v>
      </c>
    </row>
    <row r="763" spans="1:12" s="212" customFormat="1" ht="15.5" x14ac:dyDescent="0.35">
      <c r="A763" s="198" t="s">
        <v>823</v>
      </c>
      <c r="B763" s="197">
        <v>2023</v>
      </c>
      <c r="C763" s="213" t="s">
        <v>3992</v>
      </c>
      <c r="D763" s="239">
        <v>1.3325364010085789E-2</v>
      </c>
      <c r="E763" s="226">
        <v>7.2552094392501321E-2</v>
      </c>
      <c r="F763" s="226">
        <v>1.483292515528499E-3</v>
      </c>
      <c r="G763" s="227">
        <v>1.3679551500706646E-3</v>
      </c>
      <c r="H763" s="226">
        <v>2.0000005732018801E-3</v>
      </c>
      <c r="I763" s="255">
        <v>2.5231767855514223E-3</v>
      </c>
      <c r="J763" s="256">
        <v>1.0512560923372946E-4</v>
      </c>
      <c r="K763" s="257">
        <v>1.098789227952965E-4</v>
      </c>
      <c r="L763" s="228">
        <v>4.3310159558713424E-2</v>
      </c>
    </row>
    <row r="764" spans="1:12" s="212" customFormat="1" ht="15.5" x14ac:dyDescent="0.35">
      <c r="A764" s="198" t="s">
        <v>823</v>
      </c>
      <c r="B764" s="197">
        <v>2024</v>
      </c>
      <c r="C764" s="213" t="s">
        <v>3993</v>
      </c>
      <c r="D764" s="239">
        <v>1.1775458175943896E-2</v>
      </c>
      <c r="E764" s="226">
        <v>6.4343932731362935E-2</v>
      </c>
      <c r="F764" s="226">
        <v>1.4189728349250418E-3</v>
      </c>
      <c r="G764" s="227">
        <v>1.3082439372203325E-3</v>
      </c>
      <c r="H764" s="226">
        <v>2.0000005732018805E-3</v>
      </c>
      <c r="I764" s="255">
        <v>2.5257303391583046E-3</v>
      </c>
      <c r="J764" s="256">
        <v>9.0996366104102174E-5</v>
      </c>
      <c r="K764" s="257">
        <v>9.5110817988935514E-5</v>
      </c>
      <c r="L764" s="228">
        <v>4.2404671364519697E-2</v>
      </c>
    </row>
    <row r="765" spans="1:12" s="212" customFormat="1" ht="15.5" x14ac:dyDescent="0.35">
      <c r="A765" s="198" t="s">
        <v>823</v>
      </c>
      <c r="B765" s="197">
        <v>2025</v>
      </c>
      <c r="C765" s="213" t="s">
        <v>3994</v>
      </c>
      <c r="D765" s="239">
        <v>1.0504962040351271E-2</v>
      </c>
      <c r="E765" s="226">
        <v>5.7629506922955431E-2</v>
      </c>
      <c r="F765" s="226">
        <v>1.3636681839766273E-3</v>
      </c>
      <c r="G765" s="227">
        <v>1.2569310968729608E-3</v>
      </c>
      <c r="H765" s="226">
        <v>2.0000005732018801E-3</v>
      </c>
      <c r="I765" s="255">
        <v>2.5282196799020851E-3</v>
      </c>
      <c r="J765" s="256">
        <v>7.9250202263511212E-5</v>
      </c>
      <c r="K765" s="257">
        <v>8.2833544742302913E-5</v>
      </c>
      <c r="L765" s="228">
        <v>4.1479452457262728E-2</v>
      </c>
    </row>
    <row r="766" spans="1:12" s="212" customFormat="1" ht="15.5" x14ac:dyDescent="0.35">
      <c r="A766" s="198" t="s">
        <v>823</v>
      </c>
      <c r="B766" s="197">
        <v>2026</v>
      </c>
      <c r="C766" s="213" t="s">
        <v>3995</v>
      </c>
      <c r="D766" s="239">
        <v>9.4508960999348957E-3</v>
      </c>
      <c r="E766" s="226">
        <v>5.2121477501706419E-2</v>
      </c>
      <c r="F766" s="226">
        <v>1.3059064996897342E-3</v>
      </c>
      <c r="G766" s="227">
        <v>1.2034274399381579E-3</v>
      </c>
      <c r="H766" s="226">
        <v>2.0000005732018801E-3</v>
      </c>
      <c r="I766" s="255">
        <v>2.5303615458447818E-3</v>
      </c>
      <c r="J766" s="256">
        <v>6.9155093246853135E-5</v>
      </c>
      <c r="K766" s="257">
        <v>7.2281979692294325E-5</v>
      </c>
      <c r="L766" s="228">
        <v>4.0581136546042201E-2</v>
      </c>
    </row>
    <row r="767" spans="1:12" s="212" customFormat="1" ht="15.5" x14ac:dyDescent="0.35">
      <c r="A767" s="198" t="s">
        <v>823</v>
      </c>
      <c r="B767" s="197">
        <v>2027</v>
      </c>
      <c r="C767" s="213" t="s">
        <v>3996</v>
      </c>
      <c r="D767" s="239">
        <v>8.5554497536182578E-3</v>
      </c>
      <c r="E767" s="226">
        <v>4.7459056148029151E-2</v>
      </c>
      <c r="F767" s="226">
        <v>1.2370545019265602E-3</v>
      </c>
      <c r="G767" s="227">
        <v>1.1396708506382202E-3</v>
      </c>
      <c r="H767" s="226">
        <v>2.0000005732018805E-3</v>
      </c>
      <c r="I767" s="255">
        <v>2.5320961424945623E-3</v>
      </c>
      <c r="J767" s="256">
        <v>5.7616368788180216E-5</v>
      </c>
      <c r="K767" s="257">
        <v>6.0221525315931805E-5</v>
      </c>
      <c r="L767" s="228">
        <v>3.9730663500673544E-2</v>
      </c>
    </row>
    <row r="768" spans="1:12" s="212" customFormat="1" ht="15.5" x14ac:dyDescent="0.35">
      <c r="A768" s="198" t="s">
        <v>823</v>
      </c>
      <c r="B768" s="197">
        <v>2028</v>
      </c>
      <c r="C768" s="213" t="s">
        <v>3997</v>
      </c>
      <c r="D768" s="239">
        <v>7.8092729483314706E-3</v>
      </c>
      <c r="E768" s="226">
        <v>4.3581233596853355E-2</v>
      </c>
      <c r="F768" s="226">
        <v>1.1592675670508404E-3</v>
      </c>
      <c r="G768" s="227">
        <v>1.0676749862687503E-3</v>
      </c>
      <c r="H768" s="226">
        <v>2.0000005732018801E-3</v>
      </c>
      <c r="I768" s="255">
        <v>2.5336444128264829E-3</v>
      </c>
      <c r="J768" s="256">
        <v>4.5459947644050694E-5</v>
      </c>
      <c r="K768" s="257">
        <v>4.7515444750984801E-5</v>
      </c>
      <c r="L768" s="228">
        <v>3.8940657124419832E-2</v>
      </c>
    </row>
    <row r="769" spans="1:12" s="212" customFormat="1" ht="15.5" x14ac:dyDescent="0.35">
      <c r="A769" s="198" t="s">
        <v>823</v>
      </c>
      <c r="B769" s="197">
        <v>2029</v>
      </c>
      <c r="C769" s="213" t="s">
        <v>3998</v>
      </c>
      <c r="D769" s="239">
        <v>7.1614120282919276E-3</v>
      </c>
      <c r="E769" s="226">
        <v>4.0274718321827357E-2</v>
      </c>
      <c r="F769" s="226">
        <v>1.0861517768647195E-3</v>
      </c>
      <c r="G769" s="227">
        <v>1.0001222931134734E-3</v>
      </c>
      <c r="H769" s="226">
        <v>2.0000005732018797E-3</v>
      </c>
      <c r="I769" s="255">
        <v>2.5349518161931362E-3</v>
      </c>
      <c r="J769" s="256">
        <v>3.7107817335954115E-5</v>
      </c>
      <c r="K769" s="257">
        <v>3.878566817238518E-5</v>
      </c>
      <c r="L769" s="228">
        <v>3.8209807558267889E-2</v>
      </c>
    </row>
    <row r="770" spans="1:12" s="212" customFormat="1" ht="15.5" x14ac:dyDescent="0.35">
      <c r="A770" s="198" t="s">
        <v>823</v>
      </c>
      <c r="B770" s="197">
        <v>2030</v>
      </c>
      <c r="C770" s="213" t="s">
        <v>3999</v>
      </c>
      <c r="D770" s="239">
        <v>6.6262617174458324E-3</v>
      </c>
      <c r="E770" s="226">
        <v>3.75343213208362E-2</v>
      </c>
      <c r="F770" s="226">
        <v>1.0171801327172646E-3</v>
      </c>
      <c r="G770" s="227">
        <v>9.3641811003316873E-4</v>
      </c>
      <c r="H770" s="226">
        <v>2.0000005732018801E-3</v>
      </c>
      <c r="I770" s="255">
        <v>2.5360609012392821E-3</v>
      </c>
      <c r="J770" s="256">
        <v>2.973407394590941E-5</v>
      </c>
      <c r="K770" s="257">
        <v>3.1078516826744436E-5</v>
      </c>
      <c r="L770" s="228">
        <v>3.7536942953299367E-2</v>
      </c>
    </row>
    <row r="771" spans="1:12" s="212" customFormat="1" ht="15.5" x14ac:dyDescent="0.35">
      <c r="A771" s="198" t="s">
        <v>823</v>
      </c>
      <c r="B771" s="197">
        <v>2031</v>
      </c>
      <c r="C771" s="213" t="s">
        <v>4000</v>
      </c>
      <c r="D771" s="239">
        <v>6.1551042412967619E-3</v>
      </c>
      <c r="E771" s="226">
        <v>3.5105874484794714E-2</v>
      </c>
      <c r="F771" s="226">
        <v>9.5545712792662637E-4</v>
      </c>
      <c r="G771" s="227">
        <v>8.7953563650375441E-4</v>
      </c>
      <c r="H771" s="226">
        <v>2.0000005732018801E-3</v>
      </c>
      <c r="I771" s="255">
        <v>2.5502315101853324E-3</v>
      </c>
      <c r="J771" s="256">
        <v>2.6386040711681518E-5</v>
      </c>
      <c r="K771" s="257">
        <v>2.7579100386342191E-5</v>
      </c>
      <c r="L771" s="228">
        <v>3.6922609614988118E-2</v>
      </c>
    </row>
    <row r="772" spans="1:12" s="212" customFormat="1" ht="15.5" x14ac:dyDescent="0.35">
      <c r="A772" s="198" t="s">
        <v>823</v>
      </c>
      <c r="B772" s="197">
        <v>2032</v>
      </c>
      <c r="C772" s="213" t="s">
        <v>4001</v>
      </c>
      <c r="D772" s="239">
        <v>5.7397763986004567E-3</v>
      </c>
      <c r="E772" s="226">
        <v>3.3049481680835727E-2</v>
      </c>
      <c r="F772" s="226">
        <v>8.9516790454406594E-4</v>
      </c>
      <c r="G772" s="227">
        <v>8.239441316347534E-4</v>
      </c>
      <c r="H772" s="226">
        <v>2.0000005732018797E-3</v>
      </c>
      <c r="I772" s="255">
        <v>2.5507029727945855E-3</v>
      </c>
      <c r="J772" s="256">
        <v>2.2336303057442403E-5</v>
      </c>
      <c r="K772" s="257">
        <v>2.3346251565823057E-5</v>
      </c>
      <c r="L772" s="228">
        <v>3.6360992814574264E-2</v>
      </c>
    </row>
    <row r="773" spans="1:12" s="212" customFormat="1" ht="15.5" x14ac:dyDescent="0.35">
      <c r="A773" s="198" t="s">
        <v>823</v>
      </c>
      <c r="B773" s="197">
        <v>2033</v>
      </c>
      <c r="C773" s="213" t="s">
        <v>4002</v>
      </c>
      <c r="D773" s="239">
        <v>5.38824173181306E-3</v>
      </c>
      <c r="E773" s="226">
        <v>3.1333105254225176E-2</v>
      </c>
      <c r="F773" s="226">
        <v>8.4040534082507163E-4</v>
      </c>
      <c r="G773" s="227">
        <v>7.7349744569463273E-4</v>
      </c>
      <c r="H773" s="226">
        <v>2.0000005732018801E-3</v>
      </c>
      <c r="I773" s="255">
        <v>2.5509069252439881E-3</v>
      </c>
      <c r="J773" s="256">
        <v>1.991014624300762E-5</v>
      </c>
      <c r="K773" s="257">
        <v>2.0810394706150965E-5</v>
      </c>
      <c r="L773" s="228">
        <v>3.5847721284258754E-2</v>
      </c>
    </row>
    <row r="774" spans="1:12" s="212" customFormat="1" ht="15.5" x14ac:dyDescent="0.35">
      <c r="A774" s="198" t="s">
        <v>823</v>
      </c>
      <c r="B774" s="197">
        <v>2034</v>
      </c>
      <c r="C774" s="213" t="s">
        <v>4003</v>
      </c>
      <c r="D774" s="239">
        <v>5.0734750147715764E-3</v>
      </c>
      <c r="E774" s="226">
        <v>2.9838516230320567E-2</v>
      </c>
      <c r="F774" s="226">
        <v>7.8917815944471901E-4</v>
      </c>
      <c r="G774" s="227">
        <v>7.2631156462776522E-4</v>
      </c>
      <c r="H774" s="226">
        <v>2.0000005732018801E-3</v>
      </c>
      <c r="I774" s="255">
        <v>2.5508971743139646E-3</v>
      </c>
      <c r="J774" s="256">
        <v>1.7744527552181385E-5</v>
      </c>
      <c r="K774" s="257">
        <v>1.8546856347916174E-5</v>
      </c>
      <c r="L774" s="228">
        <v>3.5382242092138014E-2</v>
      </c>
    </row>
    <row r="775" spans="1:12" s="212" customFormat="1" ht="15.5" x14ac:dyDescent="0.35">
      <c r="A775" s="198" t="s">
        <v>823</v>
      </c>
      <c r="B775" s="197">
        <v>2035</v>
      </c>
      <c r="C775" s="213" t="s">
        <v>4004</v>
      </c>
      <c r="D775" s="239">
        <v>4.7891541564986026E-3</v>
      </c>
      <c r="E775" s="226">
        <v>2.853059403702372E-2</v>
      </c>
      <c r="F775" s="226">
        <v>7.4175948884684509E-4</v>
      </c>
      <c r="G775" s="227">
        <v>6.8264176845512625E-4</v>
      </c>
      <c r="H775" s="226">
        <v>2.0000005732018801E-3</v>
      </c>
      <c r="I775" s="255">
        <v>2.5507723486395679E-3</v>
      </c>
      <c r="J775" s="256">
        <v>1.5945920111217802E-5</v>
      </c>
      <c r="K775" s="257">
        <v>1.6666923859674559E-5</v>
      </c>
      <c r="L775" s="228">
        <v>3.4962737598177487E-2</v>
      </c>
    </row>
    <row r="776" spans="1:12" s="212" customFormat="1" ht="15.5" x14ac:dyDescent="0.35">
      <c r="A776" s="198" t="s">
        <v>823</v>
      </c>
      <c r="B776" s="197">
        <v>2036</v>
      </c>
      <c r="C776" s="213" t="s">
        <v>4005</v>
      </c>
      <c r="D776" s="239">
        <v>4.5429394259099273E-3</v>
      </c>
      <c r="E776" s="226">
        <v>2.7423448240598326E-2</v>
      </c>
      <c r="F776" s="226">
        <v>7.0037537105427665E-4</v>
      </c>
      <c r="G776" s="227">
        <v>6.4452169702122817E-4</v>
      </c>
      <c r="H776" s="226">
        <v>2.0000005732018801E-3</v>
      </c>
      <c r="I776" s="255">
        <v>2.5505872807102502E-3</v>
      </c>
      <c r="J776" s="256">
        <v>1.4177500029438086E-5</v>
      </c>
      <c r="K776" s="257">
        <v>1.4818543669044645E-5</v>
      </c>
      <c r="L776" s="228">
        <v>3.459346775265245E-2</v>
      </c>
    </row>
    <row r="777" spans="1:12" s="212" customFormat="1" ht="15.5" x14ac:dyDescent="0.35">
      <c r="A777" s="198" t="s">
        <v>823</v>
      </c>
      <c r="B777" s="197">
        <v>2037</v>
      </c>
      <c r="C777" s="213" t="s">
        <v>4006</v>
      </c>
      <c r="D777" s="239">
        <v>4.3382290159882384E-3</v>
      </c>
      <c r="E777" s="226">
        <v>2.6506123115175313E-2</v>
      </c>
      <c r="F777" s="226">
        <v>6.6363630318096384E-4</v>
      </c>
      <c r="G777" s="227">
        <v>6.1068149264521788E-4</v>
      </c>
      <c r="H777" s="226">
        <v>2.0000005732018805E-3</v>
      </c>
      <c r="I777" s="255">
        <v>2.550344861948032E-3</v>
      </c>
      <c r="J777" s="256">
        <v>1.2637890562665382E-5</v>
      </c>
      <c r="K777" s="257">
        <v>1.3209319894100301E-5</v>
      </c>
      <c r="L777" s="228">
        <v>3.4265572217539383E-2</v>
      </c>
    </row>
    <row r="778" spans="1:12" s="212" customFormat="1" ht="15.5" x14ac:dyDescent="0.35">
      <c r="A778" s="198" t="s">
        <v>823</v>
      </c>
      <c r="B778" s="197">
        <v>2038</v>
      </c>
      <c r="C778" s="213" t="s">
        <v>4007</v>
      </c>
      <c r="D778" s="239">
        <v>4.157393648098918E-3</v>
      </c>
      <c r="E778" s="226">
        <v>2.5698795937949444E-2</v>
      </c>
      <c r="F778" s="226">
        <v>6.3138393388926823E-4</v>
      </c>
      <c r="G778" s="227">
        <v>5.8098390067207629E-4</v>
      </c>
      <c r="H778" s="226">
        <v>2.0000005732018805E-3</v>
      </c>
      <c r="I778" s="255">
        <v>2.5500900879523712E-3</v>
      </c>
      <c r="J778" s="256">
        <v>1.1541232874754347E-5</v>
      </c>
      <c r="K778" s="257">
        <v>1.2063076211888359E-5</v>
      </c>
      <c r="L778" s="228">
        <v>3.3980756853466486E-2</v>
      </c>
    </row>
    <row r="779" spans="1:12" s="212" customFormat="1" ht="15.5" x14ac:dyDescent="0.35">
      <c r="A779" s="198" t="s">
        <v>823</v>
      </c>
      <c r="B779" s="197">
        <v>2039</v>
      </c>
      <c r="C779" s="213" t="s">
        <v>4008</v>
      </c>
      <c r="D779" s="239">
        <v>3.9798331091444213E-3</v>
      </c>
      <c r="E779" s="226">
        <v>2.4930826690527555E-2</v>
      </c>
      <c r="F779" s="226">
        <v>6.0286153760410501E-4</v>
      </c>
      <c r="G779" s="227">
        <v>5.5472226313080469E-4</v>
      </c>
      <c r="H779" s="226">
        <v>2.0000005732018801E-3</v>
      </c>
      <c r="I779" s="255">
        <v>2.5498862539580602E-3</v>
      </c>
      <c r="J779" s="256">
        <v>1.0608370502782497E-5</v>
      </c>
      <c r="K779" s="257">
        <v>1.1088033942971404E-5</v>
      </c>
      <c r="L779" s="228">
        <v>3.3731441336289025E-2</v>
      </c>
    </row>
    <row r="780" spans="1:12" s="212" customFormat="1" ht="15.5" x14ac:dyDescent="0.35">
      <c r="A780" s="198" t="s">
        <v>823</v>
      </c>
      <c r="B780" s="197">
        <v>2040</v>
      </c>
      <c r="C780" s="213" t="s">
        <v>4009</v>
      </c>
      <c r="D780" s="239">
        <v>3.8165595474946236E-3</v>
      </c>
      <c r="E780" s="226">
        <v>2.4252147447991593E-2</v>
      </c>
      <c r="F780" s="226">
        <v>5.7799828416321458E-4</v>
      </c>
      <c r="G780" s="227">
        <v>5.3182960763565484E-4</v>
      </c>
      <c r="H780" s="226">
        <v>2.0000005732018801E-3</v>
      </c>
      <c r="I780" s="255">
        <v>2.5497738442260684E-3</v>
      </c>
      <c r="J780" s="256">
        <v>9.7919079137719143E-6</v>
      </c>
      <c r="K780" s="257">
        <v>1.0234654538684846E-5</v>
      </c>
      <c r="L780" s="228">
        <v>3.3518602080903646E-2</v>
      </c>
    </row>
    <row r="781" spans="1:12" s="212" customFormat="1" ht="15.5" x14ac:dyDescent="0.35">
      <c r="A781" s="198" t="s">
        <v>823</v>
      </c>
      <c r="B781" s="197">
        <v>2041</v>
      </c>
      <c r="C781" s="213" t="s">
        <v>4010</v>
      </c>
      <c r="D781" s="239">
        <v>3.6855605594395321E-3</v>
      </c>
      <c r="E781" s="226">
        <v>2.3679276462037057E-2</v>
      </c>
      <c r="F781" s="226">
        <v>5.5874106917748055E-4</v>
      </c>
      <c r="G781" s="227">
        <v>5.1409873989972411E-4</v>
      </c>
      <c r="H781" s="226">
        <v>2.0000005732018801E-3</v>
      </c>
      <c r="I781" s="255">
        <v>2.549721958246039E-3</v>
      </c>
      <c r="J781" s="256">
        <v>9.1613231524345999E-6</v>
      </c>
      <c r="K781" s="257">
        <v>9.5755575326182823E-6</v>
      </c>
      <c r="L781" s="228">
        <v>3.333783055303037E-2</v>
      </c>
    </row>
    <row r="782" spans="1:12" s="212" customFormat="1" ht="15.5" x14ac:dyDescent="0.35">
      <c r="A782" s="198" t="s">
        <v>823</v>
      </c>
      <c r="B782" s="197">
        <v>2042</v>
      </c>
      <c r="C782" s="213" t="s">
        <v>4011</v>
      </c>
      <c r="D782" s="239">
        <v>3.5693143461193472E-3</v>
      </c>
      <c r="E782" s="226">
        <v>2.3139419630527985E-2</v>
      </c>
      <c r="F782" s="226">
        <v>5.4234825796387184E-4</v>
      </c>
      <c r="G782" s="227">
        <v>4.9900580596367781E-4</v>
      </c>
      <c r="H782" s="226">
        <v>2.0000005732018797E-3</v>
      </c>
      <c r="I782" s="255">
        <v>2.5496779763074556E-3</v>
      </c>
      <c r="J782" s="256">
        <v>8.639053415729918E-6</v>
      </c>
      <c r="K782" s="257">
        <v>9.0296730759574699E-6</v>
      </c>
      <c r="L782" s="228">
        <v>3.3182856475928217E-2</v>
      </c>
    </row>
    <row r="783" spans="1:12" s="212" customFormat="1" ht="15.5" x14ac:dyDescent="0.35">
      <c r="A783" s="198" t="s">
        <v>823</v>
      </c>
      <c r="B783" s="197">
        <v>2043</v>
      </c>
      <c r="C783" s="213" t="s">
        <v>4012</v>
      </c>
      <c r="D783" s="239">
        <v>3.4810638264162032E-3</v>
      </c>
      <c r="E783" s="226">
        <v>2.2690672681066903E-2</v>
      </c>
      <c r="F783" s="226">
        <v>5.2851714705351828E-4</v>
      </c>
      <c r="G783" s="227">
        <v>4.8627141606465818E-4</v>
      </c>
      <c r="H783" s="226">
        <v>2.0000005732018805E-3</v>
      </c>
      <c r="I783" s="255">
        <v>2.5496616132369651E-3</v>
      </c>
      <c r="J783" s="256">
        <v>8.1977625039407806E-6</v>
      </c>
      <c r="K783" s="257">
        <v>8.5684289473366228E-6</v>
      </c>
      <c r="L783" s="228">
        <v>3.3050450544547194E-2</v>
      </c>
    </row>
    <row r="784" spans="1:12" s="212" customFormat="1" ht="15.5" x14ac:dyDescent="0.35">
      <c r="A784" s="198" t="s">
        <v>823</v>
      </c>
      <c r="B784" s="197">
        <v>2044</v>
      </c>
      <c r="C784" s="213" t="s">
        <v>4013</v>
      </c>
      <c r="D784" s="239">
        <v>3.4132067743805079E-3</v>
      </c>
      <c r="E784" s="226">
        <v>2.2271906535739565E-2</v>
      </c>
      <c r="F784" s="226">
        <v>5.1683493439936884E-4</v>
      </c>
      <c r="G784" s="227">
        <v>4.7551576310526477E-4</v>
      </c>
      <c r="H784" s="226">
        <v>2.0000005732018801E-3</v>
      </c>
      <c r="I784" s="255">
        <v>2.5496579399060227E-3</v>
      </c>
      <c r="J784" s="256">
        <v>7.8310121648966315E-6</v>
      </c>
      <c r="K784" s="257">
        <v>8.1850957853914174E-6</v>
      </c>
      <c r="L784" s="228">
        <v>3.2936673997597483E-2</v>
      </c>
    </row>
    <row r="785" spans="1:12" s="212" customFormat="1" ht="15.5" x14ac:dyDescent="0.35">
      <c r="A785" s="198" t="s">
        <v>823</v>
      </c>
      <c r="B785" s="197">
        <v>2045</v>
      </c>
      <c r="C785" s="213" t="s">
        <v>4014</v>
      </c>
      <c r="D785" s="239">
        <v>3.3657487603008362E-3</v>
      </c>
      <c r="E785" s="226">
        <v>2.1895970052354968E-2</v>
      </c>
      <c r="F785" s="226">
        <v>5.0699627990299326E-4</v>
      </c>
      <c r="G785" s="227">
        <v>4.6645878307769974E-4</v>
      </c>
      <c r="H785" s="226">
        <v>2.0000005732018805E-3</v>
      </c>
      <c r="I785" s="255">
        <v>2.5496736613094622E-3</v>
      </c>
      <c r="J785" s="256">
        <v>7.5563817434752902E-6</v>
      </c>
      <c r="K785" s="257">
        <v>7.8980477949678647E-6</v>
      </c>
      <c r="L785" s="228">
        <v>3.2836642737624412E-2</v>
      </c>
    </row>
    <row r="786" spans="1:12" s="212" customFormat="1" ht="15.5" x14ac:dyDescent="0.35">
      <c r="A786" s="198" t="s">
        <v>823</v>
      </c>
      <c r="B786" s="197">
        <v>2046</v>
      </c>
      <c r="C786" s="213" t="s">
        <v>4015</v>
      </c>
      <c r="D786" s="239">
        <v>3.3238709406573324E-3</v>
      </c>
      <c r="E786" s="226">
        <v>2.1560414580262085E-2</v>
      </c>
      <c r="F786" s="226">
        <v>4.9879520059590459E-4</v>
      </c>
      <c r="G786" s="227">
        <v>4.5890901610161632E-4</v>
      </c>
      <c r="H786" s="226">
        <v>2.0000005732018805E-3</v>
      </c>
      <c r="I786" s="255">
        <v>2.5497165728662749E-3</v>
      </c>
      <c r="J786" s="256">
        <v>7.320842699575311E-6</v>
      </c>
      <c r="K786" s="257">
        <v>7.651858720691741E-6</v>
      </c>
      <c r="L786" s="228">
        <v>3.2749880198874315E-2</v>
      </c>
    </row>
    <row r="787" spans="1:12" s="212" customFormat="1" ht="15.5" x14ac:dyDescent="0.35">
      <c r="A787" s="198" t="s">
        <v>823</v>
      </c>
      <c r="B787" s="197">
        <v>2047</v>
      </c>
      <c r="C787" s="213" t="s">
        <v>4016</v>
      </c>
      <c r="D787" s="239">
        <v>3.2873403556478026E-3</v>
      </c>
      <c r="E787" s="226">
        <v>2.1263505858522356E-2</v>
      </c>
      <c r="F787" s="226">
        <v>4.919830698187533E-4</v>
      </c>
      <c r="G787" s="227">
        <v>4.5263712802561017E-4</v>
      </c>
      <c r="H787" s="226">
        <v>2.0000005732018801E-3</v>
      </c>
      <c r="I787" s="255">
        <v>2.5497900055805084E-3</v>
      </c>
      <c r="J787" s="256">
        <v>7.1056306149390848E-6</v>
      </c>
      <c r="K787" s="257">
        <v>7.4269157005777694E-6</v>
      </c>
      <c r="L787" s="228">
        <v>3.2678490887832763E-2</v>
      </c>
    </row>
    <row r="788" spans="1:12" s="212" customFormat="1" ht="15.5" x14ac:dyDescent="0.35">
      <c r="A788" s="198" t="s">
        <v>823</v>
      </c>
      <c r="B788" s="197">
        <v>2048</v>
      </c>
      <c r="C788" s="213" t="s">
        <v>4017</v>
      </c>
      <c r="D788" s="239">
        <v>3.258121705819632E-3</v>
      </c>
      <c r="E788" s="226">
        <v>2.1025078611311351E-2</v>
      </c>
      <c r="F788" s="226">
        <v>4.8632383636963982E-4</v>
      </c>
      <c r="G788" s="227">
        <v>4.4742551076406504E-4</v>
      </c>
      <c r="H788" s="226">
        <v>2.0000005732018801E-3</v>
      </c>
      <c r="I788" s="255">
        <v>2.5498921798648749E-3</v>
      </c>
      <c r="J788" s="256">
        <v>6.8961747266779103E-6</v>
      </c>
      <c r="K788" s="257">
        <v>7.2079891464961424E-6</v>
      </c>
      <c r="L788" s="228">
        <v>3.2617361167899032E-2</v>
      </c>
    </row>
    <row r="789" spans="1:12" s="212" customFormat="1" ht="15.5" x14ac:dyDescent="0.35">
      <c r="A789" s="198" t="s">
        <v>823</v>
      </c>
      <c r="B789" s="197">
        <v>2049</v>
      </c>
      <c r="C789" s="213" t="s">
        <v>4018</v>
      </c>
      <c r="D789" s="239">
        <v>3.2514201612718345E-3</v>
      </c>
      <c r="E789" s="226">
        <v>2.1001181258560851E-2</v>
      </c>
      <c r="F789" s="226">
        <v>4.8264366399617569E-4</v>
      </c>
      <c r="G789" s="227">
        <v>4.4403629509632967E-4</v>
      </c>
      <c r="H789" s="226">
        <v>2.0000005732018801E-3</v>
      </c>
      <c r="I789" s="255">
        <v>2.5500066769054237E-3</v>
      </c>
      <c r="J789" s="256">
        <v>6.7567338860857463E-6</v>
      </c>
      <c r="K789" s="257">
        <v>7.0622434098519671E-6</v>
      </c>
      <c r="L789" s="228">
        <v>3.2563207361381921E-2</v>
      </c>
    </row>
    <row r="790" spans="1:12" s="212" customFormat="1" ht="15.5" x14ac:dyDescent="0.35">
      <c r="A790" s="198" t="s">
        <v>823</v>
      </c>
      <c r="B790" s="197">
        <v>2050</v>
      </c>
      <c r="C790" s="213" t="s">
        <v>4019</v>
      </c>
      <c r="D790" s="239">
        <v>3.2463239091402533E-3</v>
      </c>
      <c r="E790" s="226">
        <v>2.0981839013595453E-2</v>
      </c>
      <c r="F790" s="226">
        <v>4.7960458214500642E-4</v>
      </c>
      <c r="G790" s="227">
        <v>4.4123439601368022E-4</v>
      </c>
      <c r="H790" s="226">
        <v>2.0000005732018805E-3</v>
      </c>
      <c r="I790" s="255">
        <v>2.5501695293088781E-3</v>
      </c>
      <c r="J790" s="256">
        <v>6.5623051650203117E-6</v>
      </c>
      <c r="K790" s="257">
        <v>6.8590234847846354E-6</v>
      </c>
      <c r="L790" s="228">
        <v>3.251875622806185E-2</v>
      </c>
    </row>
    <row r="791" spans="1:12" s="212" customFormat="1" ht="15.5" x14ac:dyDescent="0.35">
      <c r="A791" s="198" t="s">
        <v>824</v>
      </c>
      <c r="B791" s="197">
        <v>2015</v>
      </c>
      <c r="C791" s="213" t="s">
        <v>901</v>
      </c>
      <c r="D791" s="239">
        <v>0.12156535236575886</v>
      </c>
      <c r="E791" s="226">
        <v>0.46298851079199516</v>
      </c>
      <c r="F791" s="226">
        <v>3.9865574669538471E-3</v>
      </c>
      <c r="G791" s="227">
        <v>3.6892479974654792E-3</v>
      </c>
      <c r="H791" s="226">
        <v>2.0000005732018801E-3</v>
      </c>
      <c r="I791" s="255">
        <v>3.5493687767744544E-3</v>
      </c>
      <c r="J791" s="256">
        <v>3.7378938763071829E-4</v>
      </c>
      <c r="K791" s="257">
        <v>3.9069048507353696E-4</v>
      </c>
      <c r="L791" s="228">
        <v>4.5193420863238659E-2</v>
      </c>
    </row>
    <row r="792" spans="1:12" s="212" customFormat="1" ht="15.5" x14ac:dyDescent="0.35">
      <c r="A792" s="198" t="s">
        <v>824</v>
      </c>
      <c r="B792" s="197">
        <v>2016</v>
      </c>
      <c r="C792" s="213" t="s">
        <v>902</v>
      </c>
      <c r="D792" s="239">
        <v>0.11224871970983193</v>
      </c>
      <c r="E792" s="226">
        <v>0.43956793580805542</v>
      </c>
      <c r="F792" s="226">
        <v>3.803322439371861E-3</v>
      </c>
      <c r="G792" s="227">
        <v>3.5186139572322217E-3</v>
      </c>
      <c r="H792" s="226">
        <v>2.0000005732018801E-3</v>
      </c>
      <c r="I792" s="255">
        <v>3.5544912204375136E-3</v>
      </c>
      <c r="J792" s="256">
        <v>3.6675461082483782E-4</v>
      </c>
      <c r="K792" s="257">
        <v>3.8333762687685498E-4</v>
      </c>
      <c r="L792" s="228">
        <v>4.4163678224594424E-2</v>
      </c>
    </row>
    <row r="793" spans="1:12" s="212" customFormat="1" ht="15.5" x14ac:dyDescent="0.35">
      <c r="A793" s="198" t="s">
        <v>824</v>
      </c>
      <c r="B793" s="197">
        <v>2017</v>
      </c>
      <c r="C793" s="213" t="s">
        <v>4020</v>
      </c>
      <c r="D793" s="239">
        <v>9.2135648278872023E-2</v>
      </c>
      <c r="E793" s="226">
        <v>0.37520169281516463</v>
      </c>
      <c r="F793" s="226">
        <v>3.3776530000419682E-3</v>
      </c>
      <c r="G793" s="227">
        <v>3.1225313185796167E-3</v>
      </c>
      <c r="H793" s="226">
        <v>2.0000005732018801E-3</v>
      </c>
      <c r="I793" s="255">
        <v>3.548507261742329E-3</v>
      </c>
      <c r="J793" s="256">
        <v>3.0690492816070112E-4</v>
      </c>
      <c r="K793" s="257">
        <v>3.2078180714167887E-4</v>
      </c>
      <c r="L793" s="228">
        <v>4.382015596439022E-2</v>
      </c>
    </row>
    <row r="794" spans="1:12" s="212" customFormat="1" ht="15.5" x14ac:dyDescent="0.35">
      <c r="A794" s="198" t="s">
        <v>824</v>
      </c>
      <c r="B794" s="197">
        <v>2018</v>
      </c>
      <c r="C794" s="213" t="s">
        <v>4021</v>
      </c>
      <c r="D794" s="239">
        <v>7.8239976150926288E-2</v>
      </c>
      <c r="E794" s="226">
        <v>0.33397074235737284</v>
      </c>
      <c r="F794" s="226">
        <v>3.1375431337042643E-3</v>
      </c>
      <c r="G794" s="227">
        <v>2.8992493522057728E-3</v>
      </c>
      <c r="H794" s="226">
        <v>2.0000005732018801E-3</v>
      </c>
      <c r="I794" s="255">
        <v>3.5501523499926642E-3</v>
      </c>
      <c r="J794" s="256">
        <v>2.9086706790454374E-4</v>
      </c>
      <c r="K794" s="257">
        <v>3.0401878601168947E-4</v>
      </c>
      <c r="L794" s="228">
        <v>4.3265199323562542E-2</v>
      </c>
    </row>
    <row r="795" spans="1:12" s="212" customFormat="1" ht="15.5" x14ac:dyDescent="0.35">
      <c r="A795" s="198" t="s">
        <v>824</v>
      </c>
      <c r="B795" s="197">
        <v>2019</v>
      </c>
      <c r="C795" s="213" t="s">
        <v>4022</v>
      </c>
      <c r="D795" s="239">
        <v>6.7374726311148492E-2</v>
      </c>
      <c r="E795" s="226">
        <v>0.29080725906666227</v>
      </c>
      <c r="F795" s="226">
        <v>2.9371297953874813E-3</v>
      </c>
      <c r="G795" s="227">
        <v>2.7122782114862914E-3</v>
      </c>
      <c r="H795" s="226">
        <v>2.0000005732018801E-3</v>
      </c>
      <c r="I795" s="255">
        <v>3.5514697479313269E-3</v>
      </c>
      <c r="J795" s="256">
        <v>2.445975834803582E-4</v>
      </c>
      <c r="K795" s="257">
        <v>2.5565720081963816E-4</v>
      </c>
      <c r="L795" s="228">
        <v>4.2718647343442995E-2</v>
      </c>
    </row>
    <row r="796" spans="1:12" s="212" customFormat="1" ht="15.5" x14ac:dyDescent="0.35">
      <c r="A796" s="198" t="s">
        <v>824</v>
      </c>
      <c r="B796" s="197">
        <v>2020</v>
      </c>
      <c r="C796" s="213" t="s">
        <v>4023</v>
      </c>
      <c r="D796" s="239">
        <v>6.1106925770028762E-2</v>
      </c>
      <c r="E796" s="226">
        <v>0.26635043121269131</v>
      </c>
      <c r="F796" s="226">
        <v>2.8150522396234944E-3</v>
      </c>
      <c r="G796" s="227">
        <v>2.5990620809848795E-3</v>
      </c>
      <c r="H796" s="226">
        <v>2.0000005732018775E-3</v>
      </c>
      <c r="I796" s="255">
        <v>3.5573030891946963E-3</v>
      </c>
      <c r="J796" s="256">
        <v>2.2821551886947336E-4</v>
      </c>
      <c r="K796" s="257">
        <v>2.3853441194138459E-4</v>
      </c>
      <c r="L796" s="228">
        <v>4.2452358321722679E-2</v>
      </c>
    </row>
    <row r="797" spans="1:12" s="212" customFormat="1" ht="15.5" x14ac:dyDescent="0.35">
      <c r="A797" s="198" t="s">
        <v>824</v>
      </c>
      <c r="B797" s="197">
        <v>2021</v>
      </c>
      <c r="C797" s="213" t="s">
        <v>4024</v>
      </c>
      <c r="D797" s="239">
        <v>5.3770553100068529E-2</v>
      </c>
      <c r="E797" s="226">
        <v>0.23982887881538009</v>
      </c>
      <c r="F797" s="226">
        <v>2.6559677365259925E-3</v>
      </c>
      <c r="G797" s="227">
        <v>2.4516061400558131E-3</v>
      </c>
      <c r="H797" s="226">
        <v>2.0000005732018801E-3</v>
      </c>
      <c r="I797" s="255">
        <v>3.5588836869693873E-3</v>
      </c>
      <c r="J797" s="256">
        <v>2.1223127803829273E-4</v>
      </c>
      <c r="K797" s="257">
        <v>2.2182743466883623E-4</v>
      </c>
      <c r="L797" s="228">
        <v>4.169291254402703E-2</v>
      </c>
    </row>
    <row r="798" spans="1:12" s="212" customFormat="1" ht="15.5" x14ac:dyDescent="0.35">
      <c r="A798" s="198" t="s">
        <v>824</v>
      </c>
      <c r="B798" s="197">
        <v>2022</v>
      </c>
      <c r="C798" s="213" t="s">
        <v>4025</v>
      </c>
      <c r="D798" s="239">
        <v>4.5149807534984515E-2</v>
      </c>
      <c r="E798" s="226">
        <v>0.21227374300011276</v>
      </c>
      <c r="F798" s="226">
        <v>2.4859287540312863E-3</v>
      </c>
      <c r="G798" s="227">
        <v>2.2936740243849688E-3</v>
      </c>
      <c r="H798" s="226">
        <v>2.0000005732018801E-3</v>
      </c>
      <c r="I798" s="255">
        <v>3.5555337348159078E-3</v>
      </c>
      <c r="J798" s="256">
        <v>1.9508381514551557E-4</v>
      </c>
      <c r="K798" s="257">
        <v>2.039046395947871E-4</v>
      </c>
      <c r="L798" s="228">
        <v>4.097618505627082E-2</v>
      </c>
    </row>
    <row r="799" spans="1:12" s="212" customFormat="1" ht="15.5" x14ac:dyDescent="0.35">
      <c r="A799" s="198" t="s">
        <v>824</v>
      </c>
      <c r="B799" s="197">
        <v>2023</v>
      </c>
      <c r="C799" s="213" t="s">
        <v>4026</v>
      </c>
      <c r="D799" s="239">
        <v>3.9809679533678213E-2</v>
      </c>
      <c r="E799" s="226">
        <v>0.1890865588272268</v>
      </c>
      <c r="F799" s="226">
        <v>2.3233072437276151E-3</v>
      </c>
      <c r="G799" s="227">
        <v>2.1433696004521463E-3</v>
      </c>
      <c r="H799" s="226">
        <v>2.0000005732018762E-3</v>
      </c>
      <c r="I799" s="255">
        <v>3.5502643884861799E-3</v>
      </c>
      <c r="J799" s="256">
        <v>1.7948993870804461E-4</v>
      </c>
      <c r="K799" s="257">
        <v>1.8760567726161542E-4</v>
      </c>
      <c r="L799" s="228">
        <v>4.0197640584509677E-2</v>
      </c>
    </row>
    <row r="800" spans="1:12" s="212" customFormat="1" ht="15.5" x14ac:dyDescent="0.35">
      <c r="A800" s="198" t="s">
        <v>824</v>
      </c>
      <c r="B800" s="197">
        <v>2024</v>
      </c>
      <c r="C800" s="213" t="s">
        <v>4027</v>
      </c>
      <c r="D800" s="239">
        <v>3.5133195114358487E-2</v>
      </c>
      <c r="E800" s="226">
        <v>0.16851884736465669</v>
      </c>
      <c r="F800" s="226">
        <v>2.1789799762464679E-3</v>
      </c>
      <c r="G800" s="227">
        <v>2.0099612518634982E-3</v>
      </c>
      <c r="H800" s="226">
        <v>2.0000005732018805E-3</v>
      </c>
      <c r="I800" s="255">
        <v>3.5443714449333238E-3</v>
      </c>
      <c r="J800" s="256">
        <v>1.6519883294454905E-4</v>
      </c>
      <c r="K800" s="257">
        <v>1.7266839111133733E-4</v>
      </c>
      <c r="L800" s="228">
        <v>3.934542228508793E-2</v>
      </c>
    </row>
    <row r="801" spans="1:12" s="212" customFormat="1" ht="15.5" x14ac:dyDescent="0.35">
      <c r="A801" s="198" t="s">
        <v>824</v>
      </c>
      <c r="B801" s="197">
        <v>2025</v>
      </c>
      <c r="C801" s="213" t="s">
        <v>4028</v>
      </c>
      <c r="D801" s="239">
        <v>3.158308539676366E-2</v>
      </c>
      <c r="E801" s="226">
        <v>0.15180626465050512</v>
      </c>
      <c r="F801" s="226">
        <v>2.0664963617105813E-3</v>
      </c>
      <c r="G801" s="227">
        <v>1.9057684188191466E-3</v>
      </c>
      <c r="H801" s="226">
        <v>2.0000005732018775E-3</v>
      </c>
      <c r="I801" s="255">
        <v>3.5382601997137036E-3</v>
      </c>
      <c r="J801" s="256">
        <v>1.4610398220017503E-4</v>
      </c>
      <c r="K801" s="257">
        <v>1.5271015594844783E-4</v>
      </c>
      <c r="L801" s="228">
        <v>3.8531950558291284E-2</v>
      </c>
    </row>
    <row r="802" spans="1:12" s="212" customFormat="1" ht="15.5" x14ac:dyDescent="0.35">
      <c r="A802" s="198" t="s">
        <v>824</v>
      </c>
      <c r="B802" s="197">
        <v>2026</v>
      </c>
      <c r="C802" s="213" t="s">
        <v>4029</v>
      </c>
      <c r="D802" s="239">
        <v>2.8374494468787974E-2</v>
      </c>
      <c r="E802" s="226">
        <v>0.13701605282034168</v>
      </c>
      <c r="F802" s="226">
        <v>1.9624651727489302E-3</v>
      </c>
      <c r="G802" s="227">
        <v>1.8094281857697324E-3</v>
      </c>
      <c r="H802" s="226">
        <v>2.0000005732018801E-3</v>
      </c>
      <c r="I802" s="255">
        <v>3.5317090941451392E-3</v>
      </c>
      <c r="J802" s="256">
        <v>1.2861822838614522E-4</v>
      </c>
      <c r="K802" s="257">
        <v>1.3443377393883115E-4</v>
      </c>
      <c r="L802" s="228">
        <v>3.7751519116151253E-2</v>
      </c>
    </row>
    <row r="803" spans="1:12" s="212" customFormat="1" ht="15.5" x14ac:dyDescent="0.35">
      <c r="A803" s="198" t="s">
        <v>824</v>
      </c>
      <c r="B803" s="197">
        <v>2027</v>
      </c>
      <c r="C803" s="213" t="s">
        <v>4030</v>
      </c>
      <c r="D803" s="239">
        <v>2.5571863652241966E-2</v>
      </c>
      <c r="E803" s="226">
        <v>0.12388605549966554</v>
      </c>
      <c r="F803" s="226">
        <v>1.8518210670337534E-3</v>
      </c>
      <c r="G803" s="227">
        <v>1.7068862713038547E-3</v>
      </c>
      <c r="H803" s="226">
        <v>2.0000005732018801E-3</v>
      </c>
      <c r="I803" s="255">
        <v>3.52467159746288E-3</v>
      </c>
      <c r="J803" s="256">
        <v>1.0792725898538297E-4</v>
      </c>
      <c r="K803" s="257">
        <v>1.1280725071658335E-4</v>
      </c>
      <c r="L803" s="228">
        <v>3.7048626912826989E-2</v>
      </c>
    </row>
    <row r="804" spans="1:12" s="212" customFormat="1" ht="15.5" x14ac:dyDescent="0.35">
      <c r="A804" s="198" t="s">
        <v>824</v>
      </c>
      <c r="B804" s="197">
        <v>2028</v>
      </c>
      <c r="C804" s="213" t="s">
        <v>4031</v>
      </c>
      <c r="D804" s="239">
        <v>2.3039145943543161E-2</v>
      </c>
      <c r="E804" s="226">
        <v>0.11202829414668626</v>
      </c>
      <c r="F804" s="226">
        <v>1.7360164705578611E-3</v>
      </c>
      <c r="G804" s="227">
        <v>1.5996367710727855E-3</v>
      </c>
      <c r="H804" s="226">
        <v>2.0000005732018805E-3</v>
      </c>
      <c r="I804" s="255">
        <v>3.5174491783908882E-3</v>
      </c>
      <c r="J804" s="256">
        <v>8.8127680614165767E-5</v>
      </c>
      <c r="K804" s="257">
        <v>9.2112423270747419E-5</v>
      </c>
      <c r="L804" s="228">
        <v>3.6417699188484358E-2</v>
      </c>
    </row>
    <row r="805" spans="1:12" s="212" customFormat="1" ht="15.5" x14ac:dyDescent="0.35">
      <c r="A805" s="198" t="s">
        <v>824</v>
      </c>
      <c r="B805" s="197">
        <v>2029</v>
      </c>
      <c r="C805" s="213" t="s">
        <v>4032</v>
      </c>
      <c r="D805" s="239">
        <v>2.0892490884469608E-2</v>
      </c>
      <c r="E805" s="226">
        <v>0.10187295273144154</v>
      </c>
      <c r="F805" s="226">
        <v>1.6302607109633951E-3</v>
      </c>
      <c r="G805" s="227">
        <v>1.5018468050656171E-3</v>
      </c>
      <c r="H805" s="226">
        <v>2.0000005732018797E-3</v>
      </c>
      <c r="I805" s="255">
        <v>3.5104161066800668E-3</v>
      </c>
      <c r="J805" s="256">
        <v>7.3974494060011442E-5</v>
      </c>
      <c r="K805" s="257">
        <v>7.7319292424449302E-5</v>
      </c>
      <c r="L805" s="228">
        <v>3.5847009220877954E-2</v>
      </c>
    </row>
    <row r="806" spans="1:12" s="212" customFormat="1" ht="15.5" x14ac:dyDescent="0.35">
      <c r="A806" s="198" t="s">
        <v>824</v>
      </c>
      <c r="B806" s="197">
        <v>2030</v>
      </c>
      <c r="C806" s="213" t="s">
        <v>4033</v>
      </c>
      <c r="D806" s="239">
        <v>1.8874706285503969E-2</v>
      </c>
      <c r="E806" s="226">
        <v>9.23512190537156E-2</v>
      </c>
      <c r="F806" s="226">
        <v>1.5218746942440007E-3</v>
      </c>
      <c r="G806" s="227">
        <v>1.4017399870648016E-3</v>
      </c>
      <c r="H806" s="226">
        <v>2.0000005732018753E-3</v>
      </c>
      <c r="I806" s="255">
        <v>3.5034216757689825E-3</v>
      </c>
      <c r="J806" s="256">
        <v>6.242820831866743E-5</v>
      </c>
      <c r="K806" s="257">
        <v>6.5250934877766035E-5</v>
      </c>
      <c r="L806" s="228">
        <v>3.5331245292308723E-2</v>
      </c>
    </row>
    <row r="807" spans="1:12" s="212" customFormat="1" ht="15.5" x14ac:dyDescent="0.35">
      <c r="A807" s="198" t="s">
        <v>824</v>
      </c>
      <c r="B807" s="197">
        <v>2031</v>
      </c>
      <c r="C807" s="213" t="s">
        <v>4034</v>
      </c>
      <c r="D807" s="239">
        <v>1.7071293154704792E-2</v>
      </c>
      <c r="E807" s="226">
        <v>8.3812735845806008E-2</v>
      </c>
      <c r="F807" s="226">
        <v>1.4235389112043676E-3</v>
      </c>
      <c r="G807" s="227">
        <v>1.3111059384566224E-3</v>
      </c>
      <c r="H807" s="226">
        <v>2.0000005732018801E-3</v>
      </c>
      <c r="I807" s="255">
        <v>3.4966128629457176E-3</v>
      </c>
      <c r="J807" s="256">
        <v>5.6835038812045409E-5</v>
      </c>
      <c r="K807" s="257">
        <v>5.9404867065376653E-5</v>
      </c>
      <c r="L807" s="228">
        <v>3.4864158911303435E-2</v>
      </c>
    </row>
    <row r="808" spans="1:12" s="212" customFormat="1" ht="15.5" x14ac:dyDescent="0.35">
      <c r="A808" s="198" t="s">
        <v>824</v>
      </c>
      <c r="B808" s="197">
        <v>2032</v>
      </c>
      <c r="C808" s="213" t="s">
        <v>4035</v>
      </c>
      <c r="D808" s="239">
        <v>1.5563156981123131E-2</v>
      </c>
      <c r="E808" s="226">
        <v>7.6701483164811332E-2</v>
      </c>
      <c r="F808" s="226">
        <v>1.3343311538381404E-3</v>
      </c>
      <c r="G808" s="227">
        <v>1.2288776891527017E-3</v>
      </c>
      <c r="H808" s="226">
        <v>2.0000005732018801E-3</v>
      </c>
      <c r="I808" s="255">
        <v>3.4901837072035397E-3</v>
      </c>
      <c r="J808" s="256">
        <v>5.1573380753374043E-5</v>
      </c>
      <c r="K808" s="257">
        <v>5.3905300177554057E-5</v>
      </c>
      <c r="L808" s="228">
        <v>3.4453371062765727E-2</v>
      </c>
    </row>
    <row r="809" spans="1:12" s="212" customFormat="1" ht="15.5" x14ac:dyDescent="0.35">
      <c r="A809" s="198" t="s">
        <v>824</v>
      </c>
      <c r="B809" s="197">
        <v>2033</v>
      </c>
      <c r="C809" s="213" t="s">
        <v>4036</v>
      </c>
      <c r="D809" s="239">
        <v>1.4126864163561707E-2</v>
      </c>
      <c r="E809" s="226">
        <v>7.0119738375958543E-2</v>
      </c>
      <c r="F809" s="226">
        <v>1.2475114571952831E-3</v>
      </c>
      <c r="G809" s="227">
        <v>1.1488642261610982E-3</v>
      </c>
      <c r="H809" s="226">
        <v>2.0000005732018801E-3</v>
      </c>
      <c r="I809" s="255">
        <v>3.483874387446996E-3</v>
      </c>
      <c r="J809" s="256">
        <v>4.6800717116334175E-5</v>
      </c>
      <c r="K809" s="257">
        <v>4.8916837869228341E-5</v>
      </c>
      <c r="L809" s="228">
        <v>3.4054665016492652E-2</v>
      </c>
    </row>
    <row r="810" spans="1:12" s="212" customFormat="1" ht="15.5" x14ac:dyDescent="0.35">
      <c r="A810" s="198" t="s">
        <v>824</v>
      </c>
      <c r="B810" s="197">
        <v>2034</v>
      </c>
      <c r="C810" s="213" t="s">
        <v>4037</v>
      </c>
      <c r="D810" s="239">
        <v>1.2775678268152547E-2</v>
      </c>
      <c r="E810" s="226">
        <v>6.4153702688033595E-2</v>
      </c>
      <c r="F810" s="226">
        <v>1.1639657958575293E-3</v>
      </c>
      <c r="G810" s="227">
        <v>1.07188607334104E-3</v>
      </c>
      <c r="H810" s="226">
        <v>2.0000005732018801E-3</v>
      </c>
      <c r="I810" s="255">
        <v>3.477854980283497E-3</v>
      </c>
      <c r="J810" s="256">
        <v>4.2668549440740151E-5</v>
      </c>
      <c r="K810" s="257">
        <v>4.4597831907566509E-5</v>
      </c>
      <c r="L810" s="228">
        <v>3.3712214463035531E-2</v>
      </c>
    </row>
    <row r="811" spans="1:12" s="212" customFormat="1" ht="15.5" x14ac:dyDescent="0.35">
      <c r="A811" s="198" t="s">
        <v>824</v>
      </c>
      <c r="B811" s="197">
        <v>2035</v>
      </c>
      <c r="C811" s="213" t="s">
        <v>4038</v>
      </c>
      <c r="D811" s="239">
        <v>1.1552675701968017E-2</v>
      </c>
      <c r="E811" s="226">
        <v>5.8916465043058225E-2</v>
      </c>
      <c r="F811" s="226">
        <v>1.0849508699133455E-3</v>
      </c>
      <c r="G811" s="227">
        <v>9.9908508905589182E-4</v>
      </c>
      <c r="H811" s="226">
        <v>2.0000005732018758E-3</v>
      </c>
      <c r="I811" s="255">
        <v>3.4723801666830542E-3</v>
      </c>
      <c r="J811" s="256">
        <v>3.8827032372869758E-5</v>
      </c>
      <c r="K811" s="257">
        <v>4.0582618484366483E-5</v>
      </c>
      <c r="L811" s="228">
        <v>3.3408197625328505E-2</v>
      </c>
    </row>
    <row r="812" spans="1:12" s="212" customFormat="1" ht="15.5" x14ac:dyDescent="0.35">
      <c r="A812" s="198" t="s">
        <v>824</v>
      </c>
      <c r="B812" s="197">
        <v>2036</v>
      </c>
      <c r="C812" s="213" t="s">
        <v>4039</v>
      </c>
      <c r="D812" s="239">
        <v>1.0486040129606997E-2</v>
      </c>
      <c r="E812" s="226">
        <v>5.4408662699590889E-2</v>
      </c>
      <c r="F812" s="226">
        <v>1.0165378142838553E-3</v>
      </c>
      <c r="G812" s="227">
        <v>9.3585999559554268E-4</v>
      </c>
      <c r="H812" s="226">
        <v>2.0000005732018801E-3</v>
      </c>
      <c r="I812" s="255">
        <v>3.4674781854971515E-3</v>
      </c>
      <c r="J812" s="256">
        <v>3.0567525138926038E-5</v>
      </c>
      <c r="K812" s="257">
        <v>3.1949652984324369E-5</v>
      </c>
      <c r="L812" s="228">
        <v>3.3166706022965016E-2</v>
      </c>
    </row>
    <row r="813" spans="1:12" s="212" customFormat="1" ht="15.5" x14ac:dyDescent="0.35">
      <c r="A813" s="198" t="s">
        <v>824</v>
      </c>
      <c r="B813" s="197">
        <v>2037</v>
      </c>
      <c r="C813" s="213" t="s">
        <v>4040</v>
      </c>
      <c r="D813" s="239">
        <v>9.5239553585037082E-3</v>
      </c>
      <c r="E813" s="226">
        <v>5.0387054594744109E-2</v>
      </c>
      <c r="F813" s="226">
        <v>9.5817327363030005E-4</v>
      </c>
      <c r="G813" s="227">
        <v>8.8208269637698327E-4</v>
      </c>
      <c r="H813" s="226">
        <v>2.0000005732018801E-3</v>
      </c>
      <c r="I813" s="255">
        <v>3.4631070371770674E-3</v>
      </c>
      <c r="J813" s="256">
        <v>2.7660694158899388E-5</v>
      </c>
      <c r="K813" s="257">
        <v>2.8911388006252343E-5</v>
      </c>
      <c r="L813" s="228">
        <v>3.2931630585242906E-2</v>
      </c>
    </row>
    <row r="814" spans="1:12" s="212" customFormat="1" ht="15.5" x14ac:dyDescent="0.35">
      <c r="A814" s="198" t="s">
        <v>824</v>
      </c>
      <c r="B814" s="197">
        <v>2038</v>
      </c>
      <c r="C814" s="213" t="s">
        <v>4041</v>
      </c>
      <c r="D814" s="239">
        <v>8.6629419837418939E-3</v>
      </c>
      <c r="E814" s="226">
        <v>4.6782005094515494E-2</v>
      </c>
      <c r="F814" s="226">
        <v>9.0526771984819686E-4</v>
      </c>
      <c r="G814" s="227">
        <v>8.3334784498468467E-4</v>
      </c>
      <c r="H814" s="226">
        <v>2.0000005732018801E-3</v>
      </c>
      <c r="I814" s="255">
        <v>3.4592670128314124E-3</v>
      </c>
      <c r="J814" s="256">
        <v>2.534701514632644E-5</v>
      </c>
      <c r="K814" s="257">
        <v>2.6493094695529472E-5</v>
      </c>
      <c r="L814" s="228">
        <v>3.2776091957940276E-2</v>
      </c>
    </row>
    <row r="815" spans="1:12" s="212" customFormat="1" ht="15.5" x14ac:dyDescent="0.35">
      <c r="A815" s="198" t="s">
        <v>824</v>
      </c>
      <c r="B815" s="197">
        <v>2039</v>
      </c>
      <c r="C815" s="213" t="s">
        <v>4042</v>
      </c>
      <c r="D815" s="239">
        <v>7.7447770489088271E-3</v>
      </c>
      <c r="E815" s="226">
        <v>4.3070946620664574E-2</v>
      </c>
      <c r="F815" s="226">
        <v>8.5323802235316086E-4</v>
      </c>
      <c r="G815" s="227">
        <v>7.854098466727685E-4</v>
      </c>
      <c r="H815" s="226">
        <v>2.0000005732018805E-3</v>
      </c>
      <c r="I815" s="255">
        <v>3.455691633894939E-3</v>
      </c>
      <c r="J815" s="256">
        <v>2.2816092258352125E-5</v>
      </c>
      <c r="K815" s="257">
        <v>2.3847734705364869E-5</v>
      </c>
      <c r="L815" s="228">
        <v>3.2600728370897371E-2</v>
      </c>
    </row>
    <row r="816" spans="1:12" s="212" customFormat="1" ht="15.5" x14ac:dyDescent="0.35">
      <c r="A816" s="198" t="s">
        <v>824</v>
      </c>
      <c r="B816" s="197">
        <v>2040</v>
      </c>
      <c r="C816" s="213" t="s">
        <v>4043</v>
      </c>
      <c r="D816" s="239">
        <v>6.9775430512541634E-3</v>
      </c>
      <c r="E816" s="226">
        <v>4.0002622501319411E-2</v>
      </c>
      <c r="F816" s="226">
        <v>8.0692970263780792E-4</v>
      </c>
      <c r="G816" s="227">
        <v>7.4276339168978316E-4</v>
      </c>
      <c r="H816" s="226">
        <v>2.0000005732018801E-3</v>
      </c>
      <c r="I816" s="255">
        <v>3.4525627721658683E-3</v>
      </c>
      <c r="J816" s="256">
        <v>2.1079455076708307E-5</v>
      </c>
      <c r="K816" s="257">
        <v>2.2032574496580525E-5</v>
      </c>
      <c r="L816" s="228">
        <v>3.2451042355394547E-2</v>
      </c>
    </row>
    <row r="817" spans="1:12" s="212" customFormat="1" ht="15.5" x14ac:dyDescent="0.35">
      <c r="A817" s="198" t="s">
        <v>824</v>
      </c>
      <c r="B817" s="197">
        <v>2041</v>
      </c>
      <c r="C817" s="213" t="s">
        <v>4044</v>
      </c>
      <c r="D817" s="239">
        <v>6.4323831055863165E-3</v>
      </c>
      <c r="E817" s="226">
        <v>3.754088036945126E-2</v>
      </c>
      <c r="F817" s="226">
        <v>7.7568039056587668E-4</v>
      </c>
      <c r="G817" s="227">
        <v>7.1397236628590926E-4</v>
      </c>
      <c r="H817" s="226">
        <v>2.0000005732018797E-3</v>
      </c>
      <c r="I817" s="255">
        <v>3.4499544638210314E-3</v>
      </c>
      <c r="J817" s="256">
        <v>1.9579656709051898E-5</v>
      </c>
      <c r="K817" s="257">
        <v>2.0464961901995351E-5</v>
      </c>
      <c r="L817" s="228">
        <v>3.2326118013519929E-2</v>
      </c>
    </row>
    <row r="818" spans="1:12" s="212" customFormat="1" ht="15.5" x14ac:dyDescent="0.35">
      <c r="A818" s="198" t="s">
        <v>824</v>
      </c>
      <c r="B818" s="197">
        <v>2042</v>
      </c>
      <c r="C818" s="213" t="s">
        <v>4045</v>
      </c>
      <c r="D818" s="239">
        <v>5.9196396606521892E-3</v>
      </c>
      <c r="E818" s="226">
        <v>3.5100153055556527E-2</v>
      </c>
      <c r="F818" s="226">
        <v>7.4747408858626271E-4</v>
      </c>
      <c r="G818" s="227">
        <v>6.8799098602491068E-4</v>
      </c>
      <c r="H818" s="226">
        <v>2.0000005732018805E-3</v>
      </c>
      <c r="I818" s="255">
        <v>3.4475235806341147E-3</v>
      </c>
      <c r="J818" s="256">
        <v>1.8380392882702724E-5</v>
      </c>
      <c r="K818" s="257">
        <v>1.9211472687073076E-5</v>
      </c>
      <c r="L818" s="228">
        <v>3.2219299409989244E-2</v>
      </c>
    </row>
    <row r="819" spans="1:12" s="212" customFormat="1" ht="15.5" x14ac:dyDescent="0.35">
      <c r="A819" s="198" t="s">
        <v>824</v>
      </c>
      <c r="B819" s="197">
        <v>2043</v>
      </c>
      <c r="C819" s="213" t="s">
        <v>4046</v>
      </c>
      <c r="D819" s="239">
        <v>5.5385734337732462E-3</v>
      </c>
      <c r="E819" s="226">
        <v>3.3077128848540208E-2</v>
      </c>
      <c r="F819" s="226">
        <v>7.2248179985535119E-4</v>
      </c>
      <c r="G819" s="227">
        <v>6.6496598132411116E-4</v>
      </c>
      <c r="H819" s="226">
        <v>2.0000005732018801E-3</v>
      </c>
      <c r="I819" s="255">
        <v>3.4454345677490134E-3</v>
      </c>
      <c r="J819" s="256">
        <v>1.7212159009446181E-5</v>
      </c>
      <c r="K819" s="257">
        <v>1.7990416462028917E-5</v>
      </c>
      <c r="L819" s="228">
        <v>3.2130159338250738E-2</v>
      </c>
    </row>
    <row r="820" spans="1:12" s="212" customFormat="1" ht="15.5" x14ac:dyDescent="0.35">
      <c r="A820" s="198" t="s">
        <v>824</v>
      </c>
      <c r="B820" s="197">
        <v>2044</v>
      </c>
      <c r="C820" s="213" t="s">
        <v>4047</v>
      </c>
      <c r="D820" s="239">
        <v>5.1900833360806571E-3</v>
      </c>
      <c r="E820" s="226">
        <v>3.0898796414091895E-2</v>
      </c>
      <c r="F820" s="226">
        <v>6.9917543998788381E-4</v>
      </c>
      <c r="G820" s="227">
        <v>6.4349655874961723E-4</v>
      </c>
      <c r="H820" s="226">
        <v>2.0000005732018797E-3</v>
      </c>
      <c r="I820" s="255">
        <v>3.4433092711396848E-3</v>
      </c>
      <c r="J820" s="256">
        <v>1.61833596378612E-5</v>
      </c>
      <c r="K820" s="257">
        <v>1.6915099348090474E-5</v>
      </c>
      <c r="L820" s="228">
        <v>3.2054216349220309E-2</v>
      </c>
    </row>
    <row r="821" spans="1:12" s="212" customFormat="1" ht="15.5" x14ac:dyDescent="0.35">
      <c r="A821" s="198" t="s">
        <v>824</v>
      </c>
      <c r="B821" s="197">
        <v>2045</v>
      </c>
      <c r="C821" s="213" t="s">
        <v>4048</v>
      </c>
      <c r="D821" s="239">
        <v>4.9313333631768493E-3</v>
      </c>
      <c r="E821" s="226">
        <v>2.8954826245957566E-2</v>
      </c>
      <c r="F821" s="226">
        <v>6.7815024004319309E-4</v>
      </c>
      <c r="G821" s="227">
        <v>6.2412140183084664E-4</v>
      </c>
      <c r="H821" s="226">
        <v>2.0000005732018801E-3</v>
      </c>
      <c r="I821" s="255">
        <v>3.4414600658732226E-3</v>
      </c>
      <c r="J821" s="256">
        <v>1.5073029074728271E-5</v>
      </c>
      <c r="K821" s="257">
        <v>1.575456456391158E-5</v>
      </c>
      <c r="L821" s="228">
        <v>3.198737632824028E-2</v>
      </c>
    </row>
    <row r="822" spans="1:12" s="212" customFormat="1" ht="15.5" x14ac:dyDescent="0.35">
      <c r="A822" s="198" t="s">
        <v>824</v>
      </c>
      <c r="B822" s="197">
        <v>2046</v>
      </c>
      <c r="C822" s="213" t="s">
        <v>4049</v>
      </c>
      <c r="D822" s="239">
        <v>4.6699601541431565E-3</v>
      </c>
      <c r="E822" s="226">
        <v>2.6968412795644769E-2</v>
      </c>
      <c r="F822" s="226">
        <v>6.5921405490657731E-4</v>
      </c>
      <c r="G822" s="227">
        <v>6.0668299750127721E-4</v>
      </c>
      <c r="H822" s="226">
        <v>2.0000005732018801E-3</v>
      </c>
      <c r="I822" s="255">
        <v>3.4396114419098286E-3</v>
      </c>
      <c r="J822" s="256">
        <v>1.4372847549403755E-5</v>
      </c>
      <c r="K822" s="257">
        <v>1.5022723937021369E-5</v>
      </c>
      <c r="L822" s="228">
        <v>3.1930715200193381E-2</v>
      </c>
    </row>
    <row r="823" spans="1:12" s="212" customFormat="1" ht="15.5" x14ac:dyDescent="0.35">
      <c r="A823" s="198" t="s">
        <v>824</v>
      </c>
      <c r="B823" s="197">
        <v>2047</v>
      </c>
      <c r="C823" s="213" t="s">
        <v>4050</v>
      </c>
      <c r="D823" s="239">
        <v>4.4490857456158444E-3</v>
      </c>
      <c r="E823" s="226">
        <v>2.5306854345056223E-2</v>
      </c>
      <c r="F823" s="226">
        <v>6.4273485369065804E-4</v>
      </c>
      <c r="G823" s="227">
        <v>5.9150310299643783E-4</v>
      </c>
      <c r="H823" s="226">
        <v>2.0000005732018792E-3</v>
      </c>
      <c r="I823" s="255">
        <v>3.4380446341856236E-3</v>
      </c>
      <c r="J823" s="256">
        <v>1.3657364371931993E-5</v>
      </c>
      <c r="K823" s="257">
        <v>1.4274889785173927E-5</v>
      </c>
      <c r="L823" s="228">
        <v>3.1882178516394397E-2</v>
      </c>
    </row>
    <row r="824" spans="1:12" s="212" customFormat="1" ht="15.5" x14ac:dyDescent="0.35">
      <c r="A824" s="198" t="s">
        <v>824</v>
      </c>
      <c r="B824" s="197">
        <v>2048</v>
      </c>
      <c r="C824" s="213" t="s">
        <v>4051</v>
      </c>
      <c r="D824" s="239">
        <v>4.2777000078963751E-3</v>
      </c>
      <c r="E824" s="226">
        <v>2.4029120970287886E-2</v>
      </c>
      <c r="F824" s="226">
        <v>6.2744267926964821E-4</v>
      </c>
      <c r="G824" s="227">
        <v>5.7738202770289053E-4</v>
      </c>
      <c r="H824" s="226">
        <v>2.0000005732018801E-3</v>
      </c>
      <c r="I824" s="255">
        <v>3.4366912050617739E-3</v>
      </c>
      <c r="J824" s="256">
        <v>1.2104979073934578E-5</v>
      </c>
      <c r="K824" s="257">
        <v>1.26523125126088E-5</v>
      </c>
      <c r="L824" s="228">
        <v>3.184014285966897E-2</v>
      </c>
    </row>
    <row r="825" spans="1:12" s="212" customFormat="1" ht="15.5" x14ac:dyDescent="0.35">
      <c r="A825" s="198" t="s">
        <v>824</v>
      </c>
      <c r="B825" s="197">
        <v>2049</v>
      </c>
      <c r="C825" s="213" t="s">
        <v>4052</v>
      </c>
      <c r="D825" s="239">
        <v>4.2474985514157158E-3</v>
      </c>
      <c r="E825" s="226">
        <v>2.3907412735138328E-2</v>
      </c>
      <c r="F825" s="226">
        <v>6.2026609789063382E-4</v>
      </c>
      <c r="G825" s="227">
        <v>5.7076481204358675E-4</v>
      </c>
      <c r="H825" s="226">
        <v>2.0000005732018801E-3</v>
      </c>
      <c r="I825" s="255">
        <v>3.4354446697853072E-3</v>
      </c>
      <c r="J825" s="256">
        <v>1.1627242508091505E-5</v>
      </c>
      <c r="K825" s="257">
        <v>1.2152974819182918E-5</v>
      </c>
      <c r="L825" s="228">
        <v>3.1804122618545434E-2</v>
      </c>
    </row>
    <row r="826" spans="1:12" s="212" customFormat="1" ht="15.5" x14ac:dyDescent="0.35">
      <c r="A826" s="198" t="s">
        <v>824</v>
      </c>
      <c r="B826" s="197">
        <v>2050</v>
      </c>
      <c r="C826" s="213" t="s">
        <v>4053</v>
      </c>
      <c r="D826" s="239">
        <v>4.220840833068157E-3</v>
      </c>
      <c r="E826" s="226">
        <v>2.3778161877745785E-2</v>
      </c>
      <c r="F826" s="226">
        <v>6.133305336301373E-4</v>
      </c>
      <c r="G826" s="227">
        <v>5.6433585265162412E-4</v>
      </c>
      <c r="H826" s="226">
        <v>2.0000005732018801E-3</v>
      </c>
      <c r="I826" s="255">
        <v>3.4342707826497355E-3</v>
      </c>
      <c r="J826" s="256">
        <v>1.0293560915190563E-5</v>
      </c>
      <c r="K826" s="257">
        <v>1.075899006277542E-5</v>
      </c>
      <c r="L826" s="228">
        <v>3.1775928607352073E-2</v>
      </c>
    </row>
    <row r="827" spans="1:12" s="212" customFormat="1" ht="15.5" x14ac:dyDescent="0.35">
      <c r="A827" s="198" t="s">
        <v>825</v>
      </c>
      <c r="B827" s="197">
        <v>2015</v>
      </c>
      <c r="C827" s="213" t="s">
        <v>903</v>
      </c>
      <c r="D827" s="239">
        <v>7.8680676074717279E-2</v>
      </c>
      <c r="E827" s="226">
        <v>0.34298686023152736</v>
      </c>
      <c r="F827" s="226">
        <v>3.0130409206734058E-3</v>
      </c>
      <c r="G827" s="227">
        <v>2.7965173735137482E-3</v>
      </c>
      <c r="H827" s="226">
        <v>2.0000005732018801E-3</v>
      </c>
      <c r="I827" s="255">
        <v>2.935300303883853E-3</v>
      </c>
      <c r="J827" s="256">
        <v>5.1498127652513544E-4</v>
      </c>
      <c r="K827" s="257">
        <v>5.3826644465403226E-4</v>
      </c>
      <c r="L827" s="228">
        <v>4.7059486629473332E-2</v>
      </c>
    </row>
    <row r="828" spans="1:12" s="212" customFormat="1" ht="15.5" x14ac:dyDescent="0.35">
      <c r="A828" s="198" t="s">
        <v>825</v>
      </c>
      <c r="B828" s="197">
        <v>2016</v>
      </c>
      <c r="C828" s="213" t="s">
        <v>904</v>
      </c>
      <c r="D828" s="239">
        <v>6.8590029442782544E-2</v>
      </c>
      <c r="E828" s="226">
        <v>0.3119589053907833</v>
      </c>
      <c r="F828" s="226">
        <v>2.7781522124228665E-3</v>
      </c>
      <c r="G828" s="227">
        <v>2.5755814555043287E-3</v>
      </c>
      <c r="H828" s="226">
        <v>2.0000005732018805E-3</v>
      </c>
      <c r="I828" s="255">
        <v>2.9327560500882395E-3</v>
      </c>
      <c r="J828" s="256">
        <v>4.3267850487839038E-4</v>
      </c>
      <c r="K828" s="257">
        <v>4.5224230688656157E-4</v>
      </c>
      <c r="L828" s="228">
        <v>4.5981835191649195E-2</v>
      </c>
    </row>
    <row r="829" spans="1:12" s="212" customFormat="1" ht="15.5" x14ac:dyDescent="0.35">
      <c r="A829" s="198" t="s">
        <v>825</v>
      </c>
      <c r="B829" s="197">
        <v>2017</v>
      </c>
      <c r="C829" s="213" t="s">
        <v>4054</v>
      </c>
      <c r="D829" s="239">
        <v>5.6422649599114534E-2</v>
      </c>
      <c r="E829" s="226">
        <v>0.26744438268200221</v>
      </c>
      <c r="F829" s="226">
        <v>2.5625437006348453E-3</v>
      </c>
      <c r="G829" s="227">
        <v>2.3743696012536362E-3</v>
      </c>
      <c r="H829" s="226">
        <v>2.0000005732018801E-3</v>
      </c>
      <c r="I829" s="255">
        <v>2.9311886460117093E-3</v>
      </c>
      <c r="J829" s="256">
        <v>3.9557703634384914E-4</v>
      </c>
      <c r="K829" s="257">
        <v>4.1346327458021711E-4</v>
      </c>
      <c r="L829" s="228">
        <v>4.56151513261683E-2</v>
      </c>
    </row>
    <row r="830" spans="1:12" s="212" customFormat="1" ht="15.5" x14ac:dyDescent="0.35">
      <c r="A830" s="198" t="s">
        <v>825</v>
      </c>
      <c r="B830" s="197">
        <v>2018</v>
      </c>
      <c r="C830" s="213" t="s">
        <v>4055</v>
      </c>
      <c r="D830" s="239">
        <v>4.7723804216721046E-2</v>
      </c>
      <c r="E830" s="226">
        <v>0.23499291993315755</v>
      </c>
      <c r="F830" s="226">
        <v>2.421520004120463E-3</v>
      </c>
      <c r="G830" s="227">
        <v>2.2420112968116832E-3</v>
      </c>
      <c r="H830" s="226">
        <v>2.0000005732018801E-3</v>
      </c>
      <c r="I830" s="255">
        <v>2.9296416134070567E-3</v>
      </c>
      <c r="J830" s="256">
        <v>3.5330439049564778E-4</v>
      </c>
      <c r="K830" s="257">
        <v>3.6927924726884762E-4</v>
      </c>
      <c r="L830" s="228">
        <v>4.4981836192618897E-2</v>
      </c>
    </row>
    <row r="831" spans="1:12" s="212" customFormat="1" ht="15.5" x14ac:dyDescent="0.35">
      <c r="A831" s="198" t="s">
        <v>825</v>
      </c>
      <c r="B831" s="197">
        <v>2019</v>
      </c>
      <c r="C831" s="213" t="s">
        <v>4056</v>
      </c>
      <c r="D831" s="239">
        <v>3.9693748945564641E-2</v>
      </c>
      <c r="E831" s="226">
        <v>0.20180647636555832</v>
      </c>
      <c r="F831" s="226">
        <v>2.2575474089721061E-3</v>
      </c>
      <c r="G831" s="227">
        <v>2.087222968013838E-3</v>
      </c>
      <c r="H831" s="226">
        <v>2.0000005732018805E-3</v>
      </c>
      <c r="I831" s="255">
        <v>2.930407120508384E-3</v>
      </c>
      <c r="J831" s="256">
        <v>2.7328937336652516E-4</v>
      </c>
      <c r="K831" s="257">
        <v>2.8564630612652584E-4</v>
      </c>
      <c r="L831" s="228">
        <v>4.4263738580277906E-2</v>
      </c>
    </row>
    <row r="832" spans="1:12" s="212" customFormat="1" ht="15.5" x14ac:dyDescent="0.35">
      <c r="A832" s="198" t="s">
        <v>825</v>
      </c>
      <c r="B832" s="197">
        <v>2020</v>
      </c>
      <c r="C832" s="213" t="s">
        <v>4057</v>
      </c>
      <c r="D832" s="239">
        <v>3.4785071059805751E-2</v>
      </c>
      <c r="E832" s="226">
        <v>0.18101208683041931</v>
      </c>
      <c r="F832" s="226">
        <v>2.1618959325745983E-3</v>
      </c>
      <c r="G832" s="227">
        <v>1.9981920511881585E-3</v>
      </c>
      <c r="H832" s="226">
        <v>2.0000005732018797E-3</v>
      </c>
      <c r="I832" s="255">
        <v>2.9367927396408179E-3</v>
      </c>
      <c r="J832" s="256">
        <v>2.527907735729877E-4</v>
      </c>
      <c r="K832" s="257">
        <v>2.6422085061151397E-4</v>
      </c>
      <c r="L832" s="228">
        <v>4.3781464802044978E-2</v>
      </c>
    </row>
    <row r="833" spans="1:12" s="212" customFormat="1" ht="15.5" x14ac:dyDescent="0.35">
      <c r="A833" s="198" t="s">
        <v>825</v>
      </c>
      <c r="B833" s="197">
        <v>2021</v>
      </c>
      <c r="C833" s="213" t="s">
        <v>4058</v>
      </c>
      <c r="D833" s="239">
        <v>3.0469244092625292E-2</v>
      </c>
      <c r="E833" s="226">
        <v>0.16077215705506515</v>
      </c>
      <c r="F833" s="226">
        <v>2.0407624553847818E-3</v>
      </c>
      <c r="G833" s="227">
        <v>1.885809384968755E-3</v>
      </c>
      <c r="H833" s="226">
        <v>2.0000005732018801E-3</v>
      </c>
      <c r="I833" s="255">
        <v>2.9403495530898778E-3</v>
      </c>
      <c r="J833" s="256">
        <v>2.3180435889755044E-4</v>
      </c>
      <c r="K833" s="257">
        <v>2.4228552339028924E-4</v>
      </c>
      <c r="L833" s="228">
        <v>4.2864525974097518E-2</v>
      </c>
    </row>
    <row r="834" spans="1:12" s="212" customFormat="1" ht="15.5" x14ac:dyDescent="0.35">
      <c r="A834" s="198" t="s">
        <v>825</v>
      </c>
      <c r="B834" s="197">
        <v>2022</v>
      </c>
      <c r="C834" s="213" t="s">
        <v>4059</v>
      </c>
      <c r="D834" s="239">
        <v>2.6233437983905632E-2</v>
      </c>
      <c r="E834" s="226">
        <v>0.14158896395772053</v>
      </c>
      <c r="F834" s="226">
        <v>1.9163978863677386E-3</v>
      </c>
      <c r="G834" s="227">
        <v>1.7702392137869487E-3</v>
      </c>
      <c r="H834" s="226">
        <v>2.0000005732018801E-3</v>
      </c>
      <c r="I834" s="255">
        <v>2.9406231608947058E-3</v>
      </c>
      <c r="J834" s="256">
        <v>2.0636115453943587E-4</v>
      </c>
      <c r="K834" s="257">
        <v>2.1569189023364774E-4</v>
      </c>
      <c r="L834" s="228">
        <v>4.2149406260636887E-2</v>
      </c>
    </row>
    <row r="835" spans="1:12" s="212" customFormat="1" ht="15.5" x14ac:dyDescent="0.35">
      <c r="A835" s="198" t="s">
        <v>825</v>
      </c>
      <c r="B835" s="197">
        <v>2023</v>
      </c>
      <c r="C835" s="213" t="s">
        <v>4060</v>
      </c>
      <c r="D835" s="239">
        <v>2.3021500453639532E-2</v>
      </c>
      <c r="E835" s="226">
        <v>0.1250781462384028</v>
      </c>
      <c r="F835" s="226">
        <v>1.8054583162619695E-3</v>
      </c>
      <c r="G835" s="227">
        <v>1.6672985280133678E-3</v>
      </c>
      <c r="H835" s="226">
        <v>2.0000005732018801E-3</v>
      </c>
      <c r="I835" s="255">
        <v>2.940353536413321E-3</v>
      </c>
      <c r="J835" s="256">
        <v>1.83850597583362E-4</v>
      </c>
      <c r="K835" s="257">
        <v>1.9216350578113735E-4</v>
      </c>
      <c r="L835" s="228">
        <v>4.1267724125413525E-2</v>
      </c>
    </row>
    <row r="836" spans="1:12" s="212" customFormat="1" ht="15.5" x14ac:dyDescent="0.35">
      <c r="A836" s="198" t="s">
        <v>825</v>
      </c>
      <c r="B836" s="197">
        <v>2024</v>
      </c>
      <c r="C836" s="213" t="s">
        <v>4061</v>
      </c>
      <c r="D836" s="239">
        <v>2.0168221187506087E-2</v>
      </c>
      <c r="E836" s="226">
        <v>0.11051695394149615</v>
      </c>
      <c r="F836" s="226">
        <v>1.6944976685769821E-3</v>
      </c>
      <c r="G836" s="227">
        <v>1.5640821778685201E-3</v>
      </c>
      <c r="H836" s="226">
        <v>2.0000005732018801E-3</v>
      </c>
      <c r="I836" s="255">
        <v>2.9401347898023928E-3</v>
      </c>
      <c r="J836" s="256">
        <v>1.5490141451171652E-4</v>
      </c>
      <c r="K836" s="257">
        <v>1.6190536911108973E-4</v>
      </c>
      <c r="L836" s="228">
        <v>4.0365455079323494E-2</v>
      </c>
    </row>
    <row r="837" spans="1:12" s="212" customFormat="1" ht="15.5" x14ac:dyDescent="0.35">
      <c r="A837" s="198" t="s">
        <v>825</v>
      </c>
      <c r="B837" s="197">
        <v>2025</v>
      </c>
      <c r="C837" s="213" t="s">
        <v>4062</v>
      </c>
      <c r="D837" s="239">
        <v>1.7893250269764887E-2</v>
      </c>
      <c r="E837" s="226">
        <v>9.8498508650415414E-2</v>
      </c>
      <c r="F837" s="226">
        <v>1.6127322428159032E-3</v>
      </c>
      <c r="G837" s="227">
        <v>1.488211702145687E-3</v>
      </c>
      <c r="H837" s="226">
        <v>2.0000005732018801E-3</v>
      </c>
      <c r="I837" s="255">
        <v>2.9399705027406847E-3</v>
      </c>
      <c r="J837" s="256">
        <v>1.3762589123533225E-4</v>
      </c>
      <c r="K837" s="257">
        <v>1.4384872333114641E-4</v>
      </c>
      <c r="L837" s="228">
        <v>3.9428690560047067E-2</v>
      </c>
    </row>
    <row r="838" spans="1:12" s="212" customFormat="1" ht="15.5" x14ac:dyDescent="0.35">
      <c r="A838" s="198" t="s">
        <v>825</v>
      </c>
      <c r="B838" s="197">
        <v>2026</v>
      </c>
      <c r="C838" s="213" t="s">
        <v>4063</v>
      </c>
      <c r="D838" s="239">
        <v>1.5952113957368973E-2</v>
      </c>
      <c r="E838" s="226">
        <v>8.8230363390627481E-2</v>
      </c>
      <c r="F838" s="226">
        <v>1.5293332884631769E-3</v>
      </c>
      <c r="G838" s="227">
        <v>1.4106583368626855E-3</v>
      </c>
      <c r="H838" s="226">
        <v>2.0000005732018805E-3</v>
      </c>
      <c r="I838" s="255">
        <v>2.9397678652117007E-3</v>
      </c>
      <c r="J838" s="256">
        <v>1.1530312649706366E-4</v>
      </c>
      <c r="K838" s="257">
        <v>1.2051662222721475E-4</v>
      </c>
      <c r="L838" s="228">
        <v>3.8513479492994579E-2</v>
      </c>
    </row>
    <row r="839" spans="1:12" s="212" customFormat="1" ht="15.5" x14ac:dyDescent="0.35">
      <c r="A839" s="198" t="s">
        <v>825</v>
      </c>
      <c r="B839" s="197">
        <v>2027</v>
      </c>
      <c r="C839" s="213" t="s">
        <v>4064</v>
      </c>
      <c r="D839" s="239">
        <v>1.431285735493191E-2</v>
      </c>
      <c r="E839" s="226">
        <v>7.9390782852017575E-2</v>
      </c>
      <c r="F839" s="226">
        <v>1.4405698838811025E-3</v>
      </c>
      <c r="G839" s="227">
        <v>1.3281330883805767E-3</v>
      </c>
      <c r="H839" s="226">
        <v>2.0000005732018797E-3</v>
      </c>
      <c r="I839" s="255">
        <v>2.9393395256284314E-3</v>
      </c>
      <c r="J839" s="256">
        <v>9.1940233512488524E-5</v>
      </c>
      <c r="K839" s="257">
        <v>9.6097362893179507E-5</v>
      </c>
      <c r="L839" s="228">
        <v>3.7653097809534852E-2</v>
      </c>
    </row>
    <row r="840" spans="1:12" s="212" customFormat="1" ht="15.5" x14ac:dyDescent="0.35">
      <c r="A840" s="198" t="s">
        <v>825</v>
      </c>
      <c r="B840" s="197">
        <v>2028</v>
      </c>
      <c r="C840" s="213" t="s">
        <v>4065</v>
      </c>
      <c r="D840" s="239">
        <v>1.2908168910443867E-2</v>
      </c>
      <c r="E840" s="226">
        <v>7.1744108140530768E-2</v>
      </c>
      <c r="F840" s="226">
        <v>1.3506155013065185E-3</v>
      </c>
      <c r="G840" s="227">
        <v>1.244692734911332E-3</v>
      </c>
      <c r="H840" s="226">
        <v>2.0000005732018801E-3</v>
      </c>
      <c r="I840" s="255">
        <v>2.9389575596008447E-3</v>
      </c>
      <c r="J840" s="256">
        <v>7.3188557413206119E-5</v>
      </c>
      <c r="K840" s="257">
        <v>7.649781921001773E-5</v>
      </c>
      <c r="L840" s="228">
        <v>3.6845250069277698E-2</v>
      </c>
    </row>
    <row r="841" spans="1:12" s="212" customFormat="1" ht="15.5" x14ac:dyDescent="0.35">
      <c r="A841" s="198" t="s">
        <v>825</v>
      </c>
      <c r="B841" s="197">
        <v>2029</v>
      </c>
      <c r="C841" s="213" t="s">
        <v>4066</v>
      </c>
      <c r="D841" s="239">
        <v>1.1662150063442393E-2</v>
      </c>
      <c r="E841" s="226">
        <v>6.5065406957832139E-2</v>
      </c>
      <c r="F841" s="226">
        <v>1.2667282514887467E-3</v>
      </c>
      <c r="G841" s="227">
        <v>1.1670439854007837E-3</v>
      </c>
      <c r="H841" s="226">
        <v>2.0000005732018801E-3</v>
      </c>
      <c r="I841" s="255">
        <v>2.9385667293150837E-3</v>
      </c>
      <c r="J841" s="256">
        <v>5.990617380762774E-5</v>
      </c>
      <c r="K841" s="257">
        <v>6.2614865157499549E-5</v>
      </c>
      <c r="L841" s="228">
        <v>3.6100327287475691E-2</v>
      </c>
    </row>
    <row r="842" spans="1:12" s="212" customFormat="1" ht="15.5" x14ac:dyDescent="0.35">
      <c r="A842" s="198" t="s">
        <v>825</v>
      </c>
      <c r="B842" s="197">
        <v>2030</v>
      </c>
      <c r="C842" s="213" t="s">
        <v>4067</v>
      </c>
      <c r="D842" s="239">
        <v>1.0608720489274795E-2</v>
      </c>
      <c r="E842" s="226">
        <v>5.9359300099528452E-2</v>
      </c>
      <c r="F842" s="226">
        <v>1.1869652925860414E-3</v>
      </c>
      <c r="G842" s="227">
        <v>1.0932535407705969E-3</v>
      </c>
      <c r="H842" s="226">
        <v>2.0000005732018801E-3</v>
      </c>
      <c r="I842" s="255">
        <v>2.9382242584883129E-3</v>
      </c>
      <c r="J842" s="256">
        <v>4.8322115286194724E-5</v>
      </c>
      <c r="K842" s="257">
        <v>5.0507026913225686E-5</v>
      </c>
      <c r="L842" s="228">
        <v>3.540822473499132E-2</v>
      </c>
    </row>
    <row r="843" spans="1:12" s="212" customFormat="1" ht="15.5" x14ac:dyDescent="0.35">
      <c r="A843" s="198" t="s">
        <v>825</v>
      </c>
      <c r="B843" s="197">
        <v>2031</v>
      </c>
      <c r="C843" s="213" t="s">
        <v>4068</v>
      </c>
      <c r="D843" s="239">
        <v>9.6628166797658472E-3</v>
      </c>
      <c r="E843" s="226">
        <v>5.42393466743692E-2</v>
      </c>
      <c r="F843" s="226">
        <v>1.1130798561688983E-3</v>
      </c>
      <c r="G843" s="227">
        <v>1.0250312064563087E-3</v>
      </c>
      <c r="H843" s="226">
        <v>2.0000005732018801E-3</v>
      </c>
      <c r="I843" s="255">
        <v>2.9377206191724763E-3</v>
      </c>
      <c r="J843" s="256">
        <v>4.0945789345294967E-5</v>
      </c>
      <c r="K843" s="257">
        <v>4.279717624523993E-5</v>
      </c>
      <c r="L843" s="228">
        <v>3.4788493789429435E-2</v>
      </c>
    </row>
    <row r="844" spans="1:12" s="212" customFormat="1" ht="15.5" x14ac:dyDescent="0.35">
      <c r="A844" s="198" t="s">
        <v>825</v>
      </c>
      <c r="B844" s="197">
        <v>2032</v>
      </c>
      <c r="C844" s="213" t="s">
        <v>4069</v>
      </c>
      <c r="D844" s="239">
        <v>8.8549834505211034E-3</v>
      </c>
      <c r="E844" s="226">
        <v>4.9930252773983878E-2</v>
      </c>
      <c r="F844" s="226">
        <v>1.0453377696115571E-3</v>
      </c>
      <c r="G844" s="227">
        <v>9.6252601564208225E-4</v>
      </c>
      <c r="H844" s="226">
        <v>2.0000005732018801E-3</v>
      </c>
      <c r="I844" s="255">
        <v>2.9371098591142821E-3</v>
      </c>
      <c r="J844" s="256">
        <v>3.532908912993317E-5</v>
      </c>
      <c r="K844" s="257">
        <v>3.6926513769877606E-5</v>
      </c>
      <c r="L844" s="228">
        <v>3.4156454831114451E-2</v>
      </c>
    </row>
    <row r="845" spans="1:12" s="212" customFormat="1" ht="15.5" x14ac:dyDescent="0.35">
      <c r="A845" s="198" t="s">
        <v>825</v>
      </c>
      <c r="B845" s="197">
        <v>2033</v>
      </c>
      <c r="C845" s="213" t="s">
        <v>4070</v>
      </c>
      <c r="D845" s="239">
        <v>8.1488384270231671E-3</v>
      </c>
      <c r="E845" s="226">
        <v>4.6206742461670794E-2</v>
      </c>
      <c r="F845" s="226">
        <v>9.829468893943706E-4</v>
      </c>
      <c r="G845" s="227">
        <v>9.0502765937963551E-4</v>
      </c>
      <c r="H845" s="226">
        <v>2.0000005732018801E-3</v>
      </c>
      <c r="I845" s="255">
        <v>2.9363771614483204E-3</v>
      </c>
      <c r="J845" s="256">
        <v>3.1934962490595331E-5</v>
      </c>
      <c r="K845" s="257">
        <v>3.3378919785122759E-5</v>
      </c>
      <c r="L845" s="228">
        <v>3.3649432650035282E-2</v>
      </c>
    </row>
    <row r="846" spans="1:12" s="212" customFormat="1" ht="15.5" x14ac:dyDescent="0.35">
      <c r="A846" s="198" t="s">
        <v>825</v>
      </c>
      <c r="B846" s="197">
        <v>2034</v>
      </c>
      <c r="C846" s="213" t="s">
        <v>4071</v>
      </c>
      <c r="D846" s="239">
        <v>7.4825793487202225E-3</v>
      </c>
      <c r="E846" s="226">
        <v>4.2846102440973637E-2</v>
      </c>
      <c r="F846" s="226">
        <v>9.2169498010734199E-4</v>
      </c>
      <c r="G846" s="227">
        <v>8.485737597457569E-4</v>
      </c>
      <c r="H846" s="226">
        <v>2.0000005732018801E-3</v>
      </c>
      <c r="I846" s="255">
        <v>2.9355105355393495E-3</v>
      </c>
      <c r="J846" s="256">
        <v>2.8469355002491665E-5</v>
      </c>
      <c r="K846" s="257">
        <v>2.9756612904812495E-5</v>
      </c>
      <c r="L846" s="228">
        <v>3.3194344407744915E-2</v>
      </c>
    </row>
    <row r="847" spans="1:12" s="212" customFormat="1" ht="15.5" x14ac:dyDescent="0.35">
      <c r="A847" s="198" t="s">
        <v>825</v>
      </c>
      <c r="B847" s="197">
        <v>2035</v>
      </c>
      <c r="C847" s="213" t="s">
        <v>4072</v>
      </c>
      <c r="D847" s="239">
        <v>6.8946317261786259E-3</v>
      </c>
      <c r="E847" s="226">
        <v>3.9999777249821324E-2</v>
      </c>
      <c r="F847" s="226">
        <v>8.6479070635964563E-4</v>
      </c>
      <c r="G847" s="227">
        <v>7.9614457862216975E-4</v>
      </c>
      <c r="H847" s="226">
        <v>2.0000005732018801E-3</v>
      </c>
      <c r="I847" s="255">
        <v>2.9346234584587826E-3</v>
      </c>
      <c r="J847" s="256">
        <v>2.5702569589505491E-5</v>
      </c>
      <c r="K847" s="257">
        <v>2.6864725732879563E-5</v>
      </c>
      <c r="L847" s="228">
        <v>3.2789308585246493E-2</v>
      </c>
    </row>
    <row r="848" spans="1:12" s="212" customFormat="1" ht="15.5" x14ac:dyDescent="0.35">
      <c r="A848" s="198" t="s">
        <v>825</v>
      </c>
      <c r="B848" s="197">
        <v>2036</v>
      </c>
      <c r="C848" s="213" t="s">
        <v>4073</v>
      </c>
      <c r="D848" s="239">
        <v>6.3775613054827592E-3</v>
      </c>
      <c r="E848" s="226">
        <v>3.7559790021557425E-2</v>
      </c>
      <c r="F848" s="226">
        <v>8.1587190506648218E-4</v>
      </c>
      <c r="G848" s="227">
        <v>7.5106088527334954E-4</v>
      </c>
      <c r="H848" s="226">
        <v>2.0000005732018801E-3</v>
      </c>
      <c r="I848" s="255">
        <v>2.9337217363380815E-3</v>
      </c>
      <c r="J848" s="256">
        <v>2.3016389594562948E-5</v>
      </c>
      <c r="K848" s="257">
        <v>2.4057088598312884E-5</v>
      </c>
      <c r="L848" s="228">
        <v>3.2431207437646811E-2</v>
      </c>
    </row>
    <row r="849" spans="1:12" s="212" customFormat="1" ht="15.5" x14ac:dyDescent="0.35">
      <c r="A849" s="198" t="s">
        <v>825</v>
      </c>
      <c r="B849" s="197">
        <v>2037</v>
      </c>
      <c r="C849" s="213" t="s">
        <v>4074</v>
      </c>
      <c r="D849" s="239">
        <v>5.9383090413063231E-3</v>
      </c>
      <c r="E849" s="226">
        <v>3.5501307335801507E-2</v>
      </c>
      <c r="F849" s="226">
        <v>7.7181440692814126E-4</v>
      </c>
      <c r="G849" s="227">
        <v>7.1046580568554342E-4</v>
      </c>
      <c r="H849" s="226">
        <v>2.0000005732018801E-3</v>
      </c>
      <c r="I849" s="255">
        <v>2.9328478501837976E-3</v>
      </c>
      <c r="J849" s="256">
        <v>2.081336069354499E-5</v>
      </c>
      <c r="K849" s="257">
        <v>2.17544485061869E-5</v>
      </c>
      <c r="L849" s="228">
        <v>3.2117840155625473E-2</v>
      </c>
    </row>
    <row r="850" spans="1:12" s="212" customFormat="1" ht="15.5" x14ac:dyDescent="0.35">
      <c r="A850" s="198" t="s">
        <v>825</v>
      </c>
      <c r="B850" s="197">
        <v>2038</v>
      </c>
      <c r="C850" s="213" t="s">
        <v>4075</v>
      </c>
      <c r="D850" s="239">
        <v>5.5383929489917208E-3</v>
      </c>
      <c r="E850" s="226">
        <v>3.3612806689330921E-2</v>
      </c>
      <c r="F850" s="226">
        <v>7.3145706845274751E-4</v>
      </c>
      <c r="G850" s="227">
        <v>6.7328527155674945E-4</v>
      </c>
      <c r="H850" s="226">
        <v>2.0000005732018801E-3</v>
      </c>
      <c r="I850" s="255">
        <v>2.9319937956798808E-3</v>
      </c>
      <c r="J850" s="256">
        <v>1.8928204458738089E-5</v>
      </c>
      <c r="K850" s="257">
        <v>1.9784053871698917E-5</v>
      </c>
      <c r="L850" s="228">
        <v>3.1897563362658247E-2</v>
      </c>
    </row>
    <row r="851" spans="1:12" s="212" customFormat="1" ht="15.5" x14ac:dyDescent="0.35">
      <c r="A851" s="198" t="s">
        <v>825</v>
      </c>
      <c r="B851" s="197">
        <v>2039</v>
      </c>
      <c r="C851" s="213" t="s">
        <v>4076</v>
      </c>
      <c r="D851" s="239">
        <v>5.1448285925242447E-3</v>
      </c>
      <c r="E851" s="226">
        <v>3.1802580026529928E-2</v>
      </c>
      <c r="F851" s="226">
        <v>6.9404973137738755E-4</v>
      </c>
      <c r="G851" s="227">
        <v>6.388212245434172E-4</v>
      </c>
      <c r="H851" s="226">
        <v>2.0000005732018805E-3</v>
      </c>
      <c r="I851" s="255">
        <v>2.9311670283621596E-3</v>
      </c>
      <c r="J851" s="256">
        <v>1.714749947691098E-5</v>
      </c>
      <c r="K851" s="257">
        <v>1.7922833312354899E-5</v>
      </c>
      <c r="L851" s="228">
        <v>3.1664671080693756E-2</v>
      </c>
    </row>
    <row r="852" spans="1:12" s="212" customFormat="1" ht="15.5" x14ac:dyDescent="0.35">
      <c r="A852" s="198" t="s">
        <v>825</v>
      </c>
      <c r="B852" s="197">
        <v>2040</v>
      </c>
      <c r="C852" s="213" t="s">
        <v>4077</v>
      </c>
      <c r="D852" s="239">
        <v>4.8019943066151616E-3</v>
      </c>
      <c r="E852" s="226">
        <v>3.0284192405737435E-2</v>
      </c>
      <c r="F852" s="226">
        <v>6.6055809478977661E-4</v>
      </c>
      <c r="G852" s="227">
        <v>6.0796993489157505E-4</v>
      </c>
      <c r="H852" s="226">
        <v>2.0000005732018801E-3</v>
      </c>
      <c r="I852" s="255">
        <v>2.9304266080867943E-3</v>
      </c>
      <c r="J852" s="256">
        <v>1.5685438928761934E-5</v>
      </c>
      <c r="K852" s="257">
        <v>1.6394664874016167E-5</v>
      </c>
      <c r="L852" s="228">
        <v>3.1466555972291137E-2</v>
      </c>
    </row>
    <row r="853" spans="1:12" s="212" customFormat="1" ht="15.5" x14ac:dyDescent="0.35">
      <c r="A853" s="198" t="s">
        <v>825</v>
      </c>
      <c r="B853" s="197">
        <v>2041</v>
      </c>
      <c r="C853" s="213" t="s">
        <v>4078</v>
      </c>
      <c r="D853" s="239">
        <v>4.5226717446759535E-3</v>
      </c>
      <c r="E853" s="226">
        <v>2.8985129368930614E-2</v>
      </c>
      <c r="F853" s="226">
        <v>6.3516727934753345E-4</v>
      </c>
      <c r="G853" s="227">
        <v>5.8457503509282062E-4</v>
      </c>
      <c r="H853" s="226">
        <v>2.0000005732018801E-3</v>
      </c>
      <c r="I853" s="255">
        <v>2.929771966664569E-3</v>
      </c>
      <c r="J853" s="256">
        <v>1.4428287133760456E-5</v>
      </c>
      <c r="K853" s="257">
        <v>1.5080670253373159E-5</v>
      </c>
      <c r="L853" s="228">
        <v>3.130174434834649E-2</v>
      </c>
    </row>
    <row r="854" spans="1:12" s="212" customFormat="1" ht="15.5" x14ac:dyDescent="0.35">
      <c r="A854" s="198" t="s">
        <v>825</v>
      </c>
      <c r="B854" s="197">
        <v>2042</v>
      </c>
      <c r="C854" s="213" t="s">
        <v>4079</v>
      </c>
      <c r="D854" s="239">
        <v>4.2673746296052958E-3</v>
      </c>
      <c r="E854" s="226">
        <v>2.7725421276805887E-2</v>
      </c>
      <c r="F854" s="226">
        <v>6.1262074565666762E-4</v>
      </c>
      <c r="G854" s="227">
        <v>5.638036599402436E-4</v>
      </c>
      <c r="H854" s="226">
        <v>2.0000005732018805E-3</v>
      </c>
      <c r="I854" s="255">
        <v>2.9290944653551148E-3</v>
      </c>
      <c r="J854" s="256">
        <v>1.3384481163248773E-5</v>
      </c>
      <c r="K854" s="257">
        <v>1.3989668008695357E-5</v>
      </c>
      <c r="L854" s="228">
        <v>3.1163421104439086E-2</v>
      </c>
    </row>
    <row r="855" spans="1:12" s="212" customFormat="1" ht="15.5" x14ac:dyDescent="0.35">
      <c r="A855" s="198" t="s">
        <v>825</v>
      </c>
      <c r="B855" s="197">
        <v>2043</v>
      </c>
      <c r="C855" s="213" t="s">
        <v>4080</v>
      </c>
      <c r="D855" s="239">
        <v>4.069474814632352E-3</v>
      </c>
      <c r="E855" s="226">
        <v>2.6637405521804165E-2</v>
      </c>
      <c r="F855" s="226">
        <v>5.9270259011750669E-4</v>
      </c>
      <c r="G855" s="227">
        <v>5.454500927641637E-4</v>
      </c>
      <c r="H855" s="226">
        <v>2.0000005732018805E-3</v>
      </c>
      <c r="I855" s="255">
        <v>2.9284560995111084E-3</v>
      </c>
      <c r="J855" s="256">
        <v>1.2369196875511348E-5</v>
      </c>
      <c r="K855" s="257">
        <v>1.2928477070723719E-5</v>
      </c>
      <c r="L855" s="228">
        <v>3.1049440720859228E-2</v>
      </c>
    </row>
    <row r="856" spans="1:12" s="212" customFormat="1" ht="15.5" x14ac:dyDescent="0.35">
      <c r="A856" s="198" t="s">
        <v>825</v>
      </c>
      <c r="B856" s="197">
        <v>2044</v>
      </c>
      <c r="C856" s="213" t="s">
        <v>4081</v>
      </c>
      <c r="D856" s="239">
        <v>3.9211498486031362E-3</v>
      </c>
      <c r="E856" s="226">
        <v>2.5656795394025763E-2</v>
      </c>
      <c r="F856" s="226">
        <v>5.7528381992503206E-4</v>
      </c>
      <c r="G856" s="227">
        <v>5.2940021314057471E-4</v>
      </c>
      <c r="H856" s="226">
        <v>2.0000005732018801E-3</v>
      </c>
      <c r="I856" s="255">
        <v>2.9278539669552674E-3</v>
      </c>
      <c r="J856" s="256">
        <v>1.1497510457091383E-5</v>
      </c>
      <c r="K856" s="257">
        <v>1.2017376860514028E-5</v>
      </c>
      <c r="L856" s="228">
        <v>3.0954469192771925E-2</v>
      </c>
    </row>
    <row r="857" spans="1:12" s="212" customFormat="1" ht="15.5" x14ac:dyDescent="0.35">
      <c r="A857" s="198" t="s">
        <v>825</v>
      </c>
      <c r="B857" s="197">
        <v>2045</v>
      </c>
      <c r="C857" s="213" t="s">
        <v>4082</v>
      </c>
      <c r="D857" s="239">
        <v>3.8161622767276114E-3</v>
      </c>
      <c r="E857" s="226">
        <v>2.4774505495321213E-2</v>
      </c>
      <c r="F857" s="226">
        <v>5.6016230627001359E-4</v>
      </c>
      <c r="G857" s="227">
        <v>5.154715158081786E-4</v>
      </c>
      <c r="H857" s="226">
        <v>2.0000005732018797E-3</v>
      </c>
      <c r="I857" s="255">
        <v>2.9273080524192035E-3</v>
      </c>
      <c r="J857" s="256">
        <v>1.0855265622495103E-5</v>
      </c>
      <c r="K857" s="257">
        <v>1.1346092564416536E-5</v>
      </c>
      <c r="L857" s="228">
        <v>3.0874548688368357E-2</v>
      </c>
    </row>
    <row r="858" spans="1:12" s="212" customFormat="1" ht="15.5" x14ac:dyDescent="0.35">
      <c r="A858" s="198" t="s">
        <v>825</v>
      </c>
      <c r="B858" s="197">
        <v>2046</v>
      </c>
      <c r="C858" s="213" t="s">
        <v>4083</v>
      </c>
      <c r="D858" s="239">
        <v>3.7176451315571895E-3</v>
      </c>
      <c r="E858" s="226">
        <v>2.393583386256002E-2</v>
      </c>
      <c r="F858" s="226">
        <v>5.4700042805553239E-4</v>
      </c>
      <c r="G858" s="227">
        <v>5.0334875817569576E-4</v>
      </c>
      <c r="H858" s="226">
        <v>2.0000005732018801E-3</v>
      </c>
      <c r="I858" s="255">
        <v>2.9267859798484982E-3</v>
      </c>
      <c r="J858" s="256">
        <v>1.031894849968645E-5</v>
      </c>
      <c r="K858" s="257">
        <v>1.078552556118648E-5</v>
      </c>
      <c r="L858" s="228">
        <v>3.0807369702235052E-2</v>
      </c>
    </row>
    <row r="859" spans="1:12" s="212" customFormat="1" ht="15.5" x14ac:dyDescent="0.35">
      <c r="A859" s="198" t="s">
        <v>825</v>
      </c>
      <c r="B859" s="197">
        <v>2047</v>
      </c>
      <c r="C859" s="213" t="s">
        <v>4084</v>
      </c>
      <c r="D859" s="239">
        <v>3.6338213428179075E-3</v>
      </c>
      <c r="E859" s="226">
        <v>2.3220809736051885E-2</v>
      </c>
      <c r="F859" s="226">
        <v>5.3566578308531009E-4</v>
      </c>
      <c r="G859" s="227">
        <v>4.9290374978074741E-4</v>
      </c>
      <c r="H859" s="226">
        <v>2.0000005732018801E-3</v>
      </c>
      <c r="I859" s="255">
        <v>2.9263468272190687E-3</v>
      </c>
      <c r="J859" s="256">
        <v>9.7229776030300232E-6</v>
      </c>
      <c r="K859" s="257">
        <v>1.0162607505164923E-5</v>
      </c>
      <c r="L859" s="228">
        <v>3.0751959669545678E-2</v>
      </c>
    </row>
    <row r="860" spans="1:12" s="212" customFormat="1" ht="15.5" x14ac:dyDescent="0.35">
      <c r="A860" s="198" t="s">
        <v>825</v>
      </c>
      <c r="B860" s="197">
        <v>2048</v>
      </c>
      <c r="C860" s="213" t="s">
        <v>4085</v>
      </c>
      <c r="D860" s="239">
        <v>3.5637209714082596E-3</v>
      </c>
      <c r="E860" s="226">
        <v>2.2615786638277263E-2</v>
      </c>
      <c r="F860" s="226">
        <v>5.2588176733631684E-4</v>
      </c>
      <c r="G860" s="227">
        <v>4.8388610194660144E-4</v>
      </c>
      <c r="H860" s="226">
        <v>2.0000005732018801E-3</v>
      </c>
      <c r="I860" s="255">
        <v>2.9259611958532927E-3</v>
      </c>
      <c r="J860" s="256">
        <v>9.1684366572728374E-6</v>
      </c>
      <c r="K860" s="257">
        <v>9.5829926785796063E-6</v>
      </c>
      <c r="L860" s="228">
        <v>3.0706376795190383E-2</v>
      </c>
    </row>
    <row r="861" spans="1:12" s="212" customFormat="1" ht="15.5" x14ac:dyDescent="0.35">
      <c r="A861" s="198" t="s">
        <v>825</v>
      </c>
      <c r="B861" s="197">
        <v>2049</v>
      </c>
      <c r="C861" s="213" t="s">
        <v>4086</v>
      </c>
      <c r="D861" s="239">
        <v>3.548644083375848E-3</v>
      </c>
      <c r="E861" s="226">
        <v>2.2553416899551454E-2</v>
      </c>
      <c r="F861" s="226">
        <v>5.1992122375298382E-4</v>
      </c>
      <c r="G861" s="227">
        <v>4.7839159276075535E-4</v>
      </c>
      <c r="H861" s="226">
        <v>2.0000005732018801E-3</v>
      </c>
      <c r="I861" s="255">
        <v>2.9256008109533635E-3</v>
      </c>
      <c r="J861" s="256">
        <v>8.8088794604852695E-6</v>
      </c>
      <c r="K861" s="257">
        <v>9.2071779008647296E-6</v>
      </c>
      <c r="L861" s="228">
        <v>3.0668439872787813E-2</v>
      </c>
    </row>
    <row r="862" spans="1:12" s="212" customFormat="1" ht="15.5" x14ac:dyDescent="0.35">
      <c r="A862" s="198" t="s">
        <v>825</v>
      </c>
      <c r="B862" s="197">
        <v>2050</v>
      </c>
      <c r="C862" s="213" t="s">
        <v>4087</v>
      </c>
      <c r="D862" s="239">
        <v>3.5360350985094392E-3</v>
      </c>
      <c r="E862" s="226">
        <v>2.2492333567331376E-2</v>
      </c>
      <c r="F862" s="226">
        <v>5.146263296685015E-4</v>
      </c>
      <c r="G862" s="227">
        <v>4.7349834826252135E-4</v>
      </c>
      <c r="H862" s="226">
        <v>2.0000005732018801E-3</v>
      </c>
      <c r="I862" s="255">
        <v>2.925313739004363E-3</v>
      </c>
      <c r="J862" s="256">
        <v>8.1727652474169991E-6</v>
      </c>
      <c r="K862" s="257">
        <v>8.5423014257965243E-6</v>
      </c>
      <c r="L862" s="228">
        <v>3.0637914686139311E-2</v>
      </c>
    </row>
    <row r="863" spans="1:12" s="212" customFormat="1" ht="15.5" x14ac:dyDescent="0.35">
      <c r="A863" s="198" t="s">
        <v>826</v>
      </c>
      <c r="B863" s="197">
        <v>2015</v>
      </c>
      <c r="C863" s="213" t="s">
        <v>905</v>
      </c>
      <c r="D863" s="239">
        <v>6.2404190452907404E-2</v>
      </c>
      <c r="E863" s="226">
        <v>0.29435241951350299</v>
      </c>
      <c r="F863" s="226">
        <v>2.1298570962214329E-3</v>
      </c>
      <c r="G863" s="227">
        <v>1.9674521763914845E-3</v>
      </c>
      <c r="H863" s="226">
        <v>2.0000005732018797E-3</v>
      </c>
      <c r="I863" s="255">
        <v>2.7743875940482994E-3</v>
      </c>
      <c r="J863" s="256">
        <v>1.3862037849403779E-4</v>
      </c>
      <c r="K863" s="257">
        <v>1.4488817689071884E-4</v>
      </c>
      <c r="L863" s="228">
        <v>4.363030168977472E-2</v>
      </c>
    </row>
    <row r="864" spans="1:12" s="212" customFormat="1" ht="15.5" x14ac:dyDescent="0.35">
      <c r="A864" s="198" t="s">
        <v>826</v>
      </c>
      <c r="B864" s="197">
        <v>2016</v>
      </c>
      <c r="C864" s="213" t="s">
        <v>906</v>
      </c>
      <c r="D864" s="239">
        <v>5.5235960976697467E-2</v>
      </c>
      <c r="E864" s="226">
        <v>0.26690739346287562</v>
      </c>
      <c r="F864" s="226">
        <v>2.0181243740501676E-3</v>
      </c>
      <c r="G864" s="227">
        <v>1.8632968627682802E-3</v>
      </c>
      <c r="H864" s="226">
        <v>2.0000005732018801E-3</v>
      </c>
      <c r="I864" s="255">
        <v>2.7666326327834409E-3</v>
      </c>
      <c r="J864" s="256">
        <v>1.2531150636540847E-4</v>
      </c>
      <c r="K864" s="257">
        <v>1.3097753662167795E-4</v>
      </c>
      <c r="L864" s="228">
        <v>4.2871187860283419E-2</v>
      </c>
    </row>
    <row r="865" spans="1:12" s="212" customFormat="1" ht="15.5" x14ac:dyDescent="0.35">
      <c r="A865" s="198" t="s">
        <v>826</v>
      </c>
      <c r="B865" s="197">
        <v>2017</v>
      </c>
      <c r="C865" s="213" t="s">
        <v>4088</v>
      </c>
      <c r="D865" s="239">
        <v>4.3827575329173848E-2</v>
      </c>
      <c r="E865" s="226">
        <v>0.22106325652125663</v>
      </c>
      <c r="F865" s="226">
        <v>1.8341759047263012E-3</v>
      </c>
      <c r="G865" s="227">
        <v>1.692398970258333E-3</v>
      </c>
      <c r="H865" s="226">
        <v>2.0000005732018801E-3</v>
      </c>
      <c r="I865" s="255">
        <v>2.7640625965380753E-3</v>
      </c>
      <c r="J865" s="256">
        <v>1.0848915743387975E-4</v>
      </c>
      <c r="K865" s="257">
        <v>1.133945557195336E-4</v>
      </c>
      <c r="L865" s="228">
        <v>4.2594341575843409E-2</v>
      </c>
    </row>
    <row r="866" spans="1:12" s="212" customFormat="1" ht="15.5" x14ac:dyDescent="0.35">
      <c r="A866" s="198" t="s">
        <v>826</v>
      </c>
      <c r="B866" s="197">
        <v>2018</v>
      </c>
      <c r="C866" s="213" t="s">
        <v>4089</v>
      </c>
      <c r="D866" s="239">
        <v>3.6877774001481962E-2</v>
      </c>
      <c r="E866" s="226">
        <v>0.19170717077004287</v>
      </c>
      <c r="F866" s="226">
        <v>1.7508607331054064E-3</v>
      </c>
      <c r="G866" s="227">
        <v>1.6145579243456948E-3</v>
      </c>
      <c r="H866" s="226">
        <v>2.0000005732018801E-3</v>
      </c>
      <c r="I866" s="255">
        <v>2.7610806453336949E-3</v>
      </c>
      <c r="J866" s="256">
        <v>9.26733373730339E-5</v>
      </c>
      <c r="K866" s="257">
        <v>9.6863614457198295E-5</v>
      </c>
      <c r="L866" s="228">
        <v>4.2163381039331559E-2</v>
      </c>
    </row>
    <row r="867" spans="1:12" s="212" customFormat="1" ht="15.5" x14ac:dyDescent="0.35">
      <c r="A867" s="198" t="s">
        <v>826</v>
      </c>
      <c r="B867" s="197">
        <v>2019</v>
      </c>
      <c r="C867" s="213" t="s">
        <v>4090</v>
      </c>
      <c r="D867" s="239">
        <v>3.0731181279666443E-2</v>
      </c>
      <c r="E867" s="226">
        <v>0.16433423894234964</v>
      </c>
      <c r="F867" s="226">
        <v>1.6940854828836932E-3</v>
      </c>
      <c r="G867" s="227">
        <v>1.561455525877245E-3</v>
      </c>
      <c r="H867" s="226">
        <v>2.0000005732018797E-3</v>
      </c>
      <c r="I867" s="255">
        <v>2.760244486062323E-3</v>
      </c>
      <c r="J867" s="256">
        <v>8.3691276271402587E-5</v>
      </c>
      <c r="K867" s="257">
        <v>8.7475424409857097E-5</v>
      </c>
      <c r="L867" s="228">
        <v>4.1574624196898891E-2</v>
      </c>
    </row>
    <row r="868" spans="1:12" s="212" customFormat="1" ht="15.5" x14ac:dyDescent="0.35">
      <c r="A868" s="198" t="s">
        <v>826</v>
      </c>
      <c r="B868" s="197">
        <v>2020</v>
      </c>
      <c r="C868" s="213" t="s">
        <v>4091</v>
      </c>
      <c r="D868" s="239">
        <v>2.693171628303568E-2</v>
      </c>
      <c r="E868" s="226">
        <v>0.14641509571881961</v>
      </c>
      <c r="F868" s="226">
        <v>1.647169385370896E-3</v>
      </c>
      <c r="G868" s="227">
        <v>1.5179118621058069E-3</v>
      </c>
      <c r="H868" s="226">
        <v>2.0000005732018801E-3</v>
      </c>
      <c r="I868" s="255">
        <v>2.7955014501686117E-3</v>
      </c>
      <c r="J868" s="256">
        <v>7.7982976496536056E-5</v>
      </c>
      <c r="K868" s="257">
        <v>8.1509020649376274E-5</v>
      </c>
      <c r="L868" s="228">
        <v>4.1288672213537811E-2</v>
      </c>
    </row>
    <row r="869" spans="1:12" s="212" customFormat="1" ht="15.5" x14ac:dyDescent="0.35">
      <c r="A869" s="198" t="s">
        <v>826</v>
      </c>
      <c r="B869" s="197">
        <v>2021</v>
      </c>
      <c r="C869" s="213" t="s">
        <v>4092</v>
      </c>
      <c r="D869" s="239">
        <v>2.3694150328213624E-2</v>
      </c>
      <c r="E869" s="226">
        <v>0.12983511745961362</v>
      </c>
      <c r="F869" s="226">
        <v>1.5868633027449819E-3</v>
      </c>
      <c r="G869" s="227">
        <v>1.4621381529074959E-3</v>
      </c>
      <c r="H869" s="226">
        <v>2.0000005732018797E-3</v>
      </c>
      <c r="I869" s="255">
        <v>2.8247668810235582E-3</v>
      </c>
      <c r="J869" s="256">
        <v>7.2290668778207131E-5</v>
      </c>
      <c r="K869" s="257">
        <v>7.5559332035265831E-5</v>
      </c>
      <c r="L869" s="228">
        <v>4.0401022197643549E-2</v>
      </c>
    </row>
    <row r="870" spans="1:12" s="212" customFormat="1" ht="15.5" x14ac:dyDescent="0.35">
      <c r="A870" s="198" t="s">
        <v>826</v>
      </c>
      <c r="B870" s="197">
        <v>2022</v>
      </c>
      <c r="C870" s="213" t="s">
        <v>4093</v>
      </c>
      <c r="D870" s="239">
        <v>2.022747391023684E-2</v>
      </c>
      <c r="E870" s="226">
        <v>0.11377916759296522</v>
      </c>
      <c r="F870" s="226">
        <v>1.5105886733182685E-3</v>
      </c>
      <c r="G870" s="227">
        <v>1.3915753491767669E-3</v>
      </c>
      <c r="H870" s="226">
        <v>2.0000005732018801E-3</v>
      </c>
      <c r="I870" s="255">
        <v>2.8361969286050687E-3</v>
      </c>
      <c r="J870" s="256">
        <v>6.5936122679015682E-5</v>
      </c>
      <c r="K870" s="257">
        <v>6.8917461559349705E-5</v>
      </c>
      <c r="L870" s="228">
        <v>3.9723682959747847E-2</v>
      </c>
    </row>
    <row r="871" spans="1:12" s="212" customFormat="1" ht="15.5" x14ac:dyDescent="0.35">
      <c r="A871" s="198" t="s">
        <v>826</v>
      </c>
      <c r="B871" s="197">
        <v>2023</v>
      </c>
      <c r="C871" s="213" t="s">
        <v>4094</v>
      </c>
      <c r="D871" s="239">
        <v>1.7699613897258458E-2</v>
      </c>
      <c r="E871" s="226">
        <v>0.10002099860744548</v>
      </c>
      <c r="F871" s="226">
        <v>1.4441234060974036E-3</v>
      </c>
      <c r="G871" s="227">
        <v>1.3301847510396717E-3</v>
      </c>
      <c r="H871" s="226">
        <v>2.0000005732018801E-3</v>
      </c>
      <c r="I871" s="255">
        <v>2.8341025403320623E-3</v>
      </c>
      <c r="J871" s="256">
        <v>5.9654726107812672E-5</v>
      </c>
      <c r="K871" s="257">
        <v>6.2352048108481393E-5</v>
      </c>
      <c r="L871" s="228">
        <v>3.9002200556108362E-2</v>
      </c>
    </row>
    <row r="872" spans="1:12" s="212" customFormat="1" ht="15.5" x14ac:dyDescent="0.35">
      <c r="A872" s="198" t="s">
        <v>826</v>
      </c>
      <c r="B872" s="197">
        <v>2024</v>
      </c>
      <c r="C872" s="213" t="s">
        <v>4095</v>
      </c>
      <c r="D872" s="239">
        <v>1.5193954574902239E-2</v>
      </c>
      <c r="E872" s="226">
        <v>8.7651083749247974E-2</v>
      </c>
      <c r="F872" s="226">
        <v>1.353890994935309E-3</v>
      </c>
      <c r="G872" s="227">
        <v>1.2469179043110286E-3</v>
      </c>
      <c r="H872" s="226">
        <v>2.0000005732018797E-3</v>
      </c>
      <c r="I872" s="255">
        <v>2.8298519378112826E-3</v>
      </c>
      <c r="J872" s="256">
        <v>5.2572637218078309E-5</v>
      </c>
      <c r="K872" s="257">
        <v>5.4949738585457278E-5</v>
      </c>
      <c r="L872" s="228">
        <v>3.8246601681766371E-2</v>
      </c>
    </row>
    <row r="873" spans="1:12" s="212" customFormat="1" ht="15.5" x14ac:dyDescent="0.35">
      <c r="A873" s="198" t="s">
        <v>826</v>
      </c>
      <c r="B873" s="197">
        <v>2025</v>
      </c>
      <c r="C873" s="213" t="s">
        <v>4096</v>
      </c>
      <c r="D873" s="239">
        <v>1.3372942568321482E-2</v>
      </c>
      <c r="E873" s="226">
        <v>7.7445976562264512E-2</v>
      </c>
      <c r="F873" s="226">
        <v>1.3032143071982855E-3</v>
      </c>
      <c r="G873" s="227">
        <v>1.2001200657449328E-3</v>
      </c>
      <c r="H873" s="226">
        <v>2.0000005732018801E-3</v>
      </c>
      <c r="I873" s="255">
        <v>2.8272131967251603E-3</v>
      </c>
      <c r="J873" s="256">
        <v>4.7751540364966908E-5</v>
      </c>
      <c r="K873" s="257">
        <v>4.9910653125948542E-5</v>
      </c>
      <c r="L873" s="228">
        <v>3.7461101349129625E-2</v>
      </c>
    </row>
    <row r="874" spans="1:12" s="212" customFormat="1" ht="15.5" x14ac:dyDescent="0.35">
      <c r="A874" s="198" t="s">
        <v>826</v>
      </c>
      <c r="B874" s="197">
        <v>2026</v>
      </c>
      <c r="C874" s="213" t="s">
        <v>4097</v>
      </c>
      <c r="D874" s="239">
        <v>1.1866301936456323E-2</v>
      </c>
      <c r="E874" s="226">
        <v>6.8901926169514821E-2</v>
      </c>
      <c r="F874" s="226">
        <v>1.2534420734537667E-3</v>
      </c>
      <c r="G874" s="227">
        <v>1.1541632140344661E-3</v>
      </c>
      <c r="H874" s="226">
        <v>2.0000005732018801E-3</v>
      </c>
      <c r="I874" s="255">
        <v>2.8245378498612354E-3</v>
      </c>
      <c r="J874" s="256">
        <v>4.2835527103466695E-5</v>
      </c>
      <c r="K874" s="257">
        <v>4.4772359559249105E-5</v>
      </c>
      <c r="L874" s="228">
        <v>3.6695747376631276E-2</v>
      </c>
    </row>
    <row r="875" spans="1:12" s="212" customFormat="1" ht="15.5" x14ac:dyDescent="0.35">
      <c r="A875" s="198" t="s">
        <v>826</v>
      </c>
      <c r="B875" s="197">
        <v>2027</v>
      </c>
      <c r="C875" s="213" t="s">
        <v>4098</v>
      </c>
      <c r="D875" s="239">
        <v>1.0541736226040717E-2</v>
      </c>
      <c r="E875" s="226">
        <v>6.1482013509686032E-2</v>
      </c>
      <c r="F875" s="226">
        <v>1.1894539820005579E-3</v>
      </c>
      <c r="G875" s="227">
        <v>1.0950344814749148E-3</v>
      </c>
      <c r="H875" s="226">
        <v>2.0000005732018801E-3</v>
      </c>
      <c r="I875" s="255">
        <v>2.9041982064734826E-3</v>
      </c>
      <c r="J875" s="256">
        <v>3.5301582613192126E-5</v>
      </c>
      <c r="K875" s="257">
        <v>3.6897763530507865E-5</v>
      </c>
      <c r="L875" s="228">
        <v>3.5978334942187037E-2</v>
      </c>
    </row>
    <row r="876" spans="1:12" s="212" customFormat="1" ht="15.5" x14ac:dyDescent="0.35">
      <c r="A876" s="198" t="s">
        <v>826</v>
      </c>
      <c r="B876" s="197">
        <v>2028</v>
      </c>
      <c r="C876" s="213" t="s">
        <v>4099</v>
      </c>
      <c r="D876" s="239">
        <v>9.4736585845116243E-3</v>
      </c>
      <c r="E876" s="226">
        <v>5.5356832684571526E-2</v>
      </c>
      <c r="F876" s="226">
        <v>1.1262757718728262E-3</v>
      </c>
      <c r="G876" s="227">
        <v>1.0366773278354415E-3</v>
      </c>
      <c r="H876" s="226">
        <v>2.0000005732018801E-3</v>
      </c>
      <c r="I876" s="255">
        <v>2.9014101445552897E-3</v>
      </c>
      <c r="J876" s="256">
        <v>2.8445786444297912E-5</v>
      </c>
      <c r="K876" s="257">
        <v>2.9731978681001156E-5</v>
      </c>
      <c r="L876" s="228">
        <v>3.5318268068820498E-2</v>
      </c>
    </row>
    <row r="877" spans="1:12" s="212" customFormat="1" ht="15.5" x14ac:dyDescent="0.35">
      <c r="A877" s="198" t="s">
        <v>826</v>
      </c>
      <c r="B877" s="197">
        <v>2029</v>
      </c>
      <c r="C877" s="213" t="s">
        <v>4100</v>
      </c>
      <c r="D877" s="239">
        <v>8.5528727963442037E-3</v>
      </c>
      <c r="E877" s="226">
        <v>5.0147599933668213E-2</v>
      </c>
      <c r="F877" s="226">
        <v>1.0635484420004305E-3</v>
      </c>
      <c r="G877" s="227">
        <v>9.7878927509904845E-4</v>
      </c>
      <c r="H877" s="226">
        <v>2.0000005732018801E-3</v>
      </c>
      <c r="I877" s="255">
        <v>2.8987296221816517E-3</v>
      </c>
      <c r="J877" s="256">
        <v>2.298960864875878E-5</v>
      </c>
      <c r="K877" s="257">
        <v>2.4029096736978152E-5</v>
      </c>
      <c r="L877" s="228">
        <v>3.4712784665250761E-2</v>
      </c>
    </row>
    <row r="878" spans="1:12" s="212" customFormat="1" ht="15.5" x14ac:dyDescent="0.35">
      <c r="A878" s="198" t="s">
        <v>826</v>
      </c>
      <c r="B878" s="197">
        <v>2030</v>
      </c>
      <c r="C878" s="213" t="s">
        <v>4101</v>
      </c>
      <c r="D878" s="239">
        <v>7.8119783903926997E-3</v>
      </c>
      <c r="E878" s="226">
        <v>4.5877873246850796E-2</v>
      </c>
      <c r="F878" s="226">
        <v>1.006695656854891E-3</v>
      </c>
      <c r="G878" s="227">
        <v>9.2640231288887681E-4</v>
      </c>
      <c r="H878" s="226">
        <v>2.0000005732018801E-3</v>
      </c>
      <c r="I878" s="255">
        <v>2.9066170065169183E-3</v>
      </c>
      <c r="J878" s="256">
        <v>2.0091340225973104E-5</v>
      </c>
      <c r="K878" s="257">
        <v>2.0999781476989755E-5</v>
      </c>
      <c r="L878" s="228">
        <v>3.4160764680743499E-2</v>
      </c>
    </row>
    <row r="879" spans="1:12" s="212" customFormat="1" ht="15.5" x14ac:dyDescent="0.35">
      <c r="A879" s="198" t="s">
        <v>826</v>
      </c>
      <c r="B879" s="197">
        <v>2031</v>
      </c>
      <c r="C879" s="213" t="s">
        <v>4102</v>
      </c>
      <c r="D879" s="239">
        <v>7.143319909271255E-3</v>
      </c>
      <c r="E879" s="226">
        <v>4.2142888481131992E-2</v>
      </c>
      <c r="F879" s="226">
        <v>9.4799471110505035E-4</v>
      </c>
      <c r="G879" s="227">
        <v>8.7233438492899374E-4</v>
      </c>
      <c r="H879" s="226">
        <v>2.0000005732018801E-3</v>
      </c>
      <c r="I879" s="255">
        <v>2.8943585626186679E-3</v>
      </c>
      <c r="J879" s="256">
        <v>1.7664025413815531E-5</v>
      </c>
      <c r="K879" s="257">
        <v>1.8462714260076378E-5</v>
      </c>
      <c r="L879" s="228">
        <v>3.3642122365954895E-2</v>
      </c>
    </row>
    <row r="880" spans="1:12" s="212" customFormat="1" ht="15.5" x14ac:dyDescent="0.35">
      <c r="A880" s="198" t="s">
        <v>826</v>
      </c>
      <c r="B880" s="197">
        <v>2032</v>
      </c>
      <c r="C880" s="213" t="s">
        <v>4103</v>
      </c>
      <c r="D880" s="239">
        <v>6.494019528580787E-3</v>
      </c>
      <c r="E880" s="226">
        <v>3.8850318703954105E-2</v>
      </c>
      <c r="F880" s="226">
        <v>8.817238119239603E-4</v>
      </c>
      <c r="G880" s="227">
        <v>8.1133353708012855E-4</v>
      </c>
      <c r="H880" s="226">
        <v>2.0000005732018797E-3</v>
      </c>
      <c r="I880" s="255">
        <v>2.9512444934338654E-3</v>
      </c>
      <c r="J880" s="256">
        <v>1.5939247705147627E-5</v>
      </c>
      <c r="K880" s="257">
        <v>1.6659949757010232E-5</v>
      </c>
      <c r="L880" s="228">
        <v>3.3185716026919762E-2</v>
      </c>
    </row>
    <row r="881" spans="1:12" s="212" customFormat="1" ht="15.5" x14ac:dyDescent="0.35">
      <c r="A881" s="198" t="s">
        <v>826</v>
      </c>
      <c r="B881" s="197">
        <v>2033</v>
      </c>
      <c r="C881" s="213" t="s">
        <v>4104</v>
      </c>
      <c r="D881" s="239">
        <v>5.9991194407925412E-3</v>
      </c>
      <c r="E881" s="226">
        <v>3.6159703883691947E-2</v>
      </c>
      <c r="F881" s="226">
        <v>8.2897510187229329E-4</v>
      </c>
      <c r="G881" s="227">
        <v>7.6278037393347209E-4</v>
      </c>
      <c r="H881" s="226">
        <v>2.0000005732018797E-3</v>
      </c>
      <c r="I881" s="255">
        <v>2.9488804763068924E-3</v>
      </c>
      <c r="J881" s="256">
        <v>1.458741321565535E-5</v>
      </c>
      <c r="K881" s="257">
        <v>1.5246991310579813E-5</v>
      </c>
      <c r="L881" s="228">
        <v>3.277572854342331E-2</v>
      </c>
    </row>
    <row r="882" spans="1:12" s="212" customFormat="1" ht="15.5" x14ac:dyDescent="0.35">
      <c r="A882" s="198" t="s">
        <v>826</v>
      </c>
      <c r="B882" s="197">
        <v>2034</v>
      </c>
      <c r="C882" s="213" t="s">
        <v>4105</v>
      </c>
      <c r="D882" s="239">
        <v>5.5598636325496975E-3</v>
      </c>
      <c r="E882" s="226">
        <v>3.3845585676623123E-2</v>
      </c>
      <c r="F882" s="226">
        <v>7.784790256031883E-4</v>
      </c>
      <c r="G882" s="227">
        <v>7.1630277255245976E-4</v>
      </c>
      <c r="H882" s="226">
        <v>2.0000005732018801E-3</v>
      </c>
      <c r="I882" s="255">
        <v>2.9466212531314047E-3</v>
      </c>
      <c r="J882" s="256">
        <v>1.3347176081945983E-5</v>
      </c>
      <c r="K882" s="257">
        <v>1.3950676157154901E-5</v>
      </c>
      <c r="L882" s="228">
        <v>3.2408546921918836E-2</v>
      </c>
    </row>
    <row r="883" spans="1:12" s="212" customFormat="1" ht="15.5" x14ac:dyDescent="0.35">
      <c r="A883" s="198" t="s">
        <v>826</v>
      </c>
      <c r="B883" s="197">
        <v>2035</v>
      </c>
      <c r="C883" s="213" t="s">
        <v>4106</v>
      </c>
      <c r="D883" s="239">
        <v>5.1682807418197809E-3</v>
      </c>
      <c r="E883" s="226">
        <v>3.1845791178248997E-2</v>
      </c>
      <c r="F883" s="226">
        <v>7.3043378370535761E-4</v>
      </c>
      <c r="G883" s="227">
        <v>6.7207477469851523E-4</v>
      </c>
      <c r="H883" s="226">
        <v>2.0000005732018805E-3</v>
      </c>
      <c r="I883" s="255">
        <v>2.9444837512350957E-3</v>
      </c>
      <c r="J883" s="256">
        <v>1.2008172864516796E-5</v>
      </c>
      <c r="K883" s="257">
        <v>1.2551129155972334E-5</v>
      </c>
      <c r="L883" s="228">
        <v>3.2083451370499096E-2</v>
      </c>
    </row>
    <row r="884" spans="1:12" s="212" customFormat="1" ht="15.5" x14ac:dyDescent="0.35">
      <c r="A884" s="198" t="s">
        <v>826</v>
      </c>
      <c r="B884" s="197">
        <v>2036</v>
      </c>
      <c r="C884" s="213" t="s">
        <v>4107</v>
      </c>
      <c r="D884" s="239">
        <v>4.8316228507239616E-3</v>
      </c>
      <c r="E884" s="226">
        <v>3.0162495655028584E-2</v>
      </c>
      <c r="F884" s="226">
        <v>6.8789211021064005E-4</v>
      </c>
      <c r="G884" s="227">
        <v>6.3291519488392243E-4</v>
      </c>
      <c r="H884" s="226">
        <v>2.0000005732018801E-3</v>
      </c>
      <c r="I884" s="255">
        <v>2.9424947872963799E-3</v>
      </c>
      <c r="J884" s="256">
        <v>1.0876804354871543E-5</v>
      </c>
      <c r="K884" s="257">
        <v>1.1368605182694333E-5</v>
      </c>
      <c r="L884" s="228">
        <v>3.1798217340779845E-2</v>
      </c>
    </row>
    <row r="885" spans="1:12" s="212" customFormat="1" ht="15.5" x14ac:dyDescent="0.35">
      <c r="A885" s="198" t="s">
        <v>826</v>
      </c>
      <c r="B885" s="197">
        <v>2037</v>
      </c>
      <c r="C885" s="213" t="s">
        <v>4108</v>
      </c>
      <c r="D885" s="239">
        <v>4.5336278365380404E-3</v>
      </c>
      <c r="E885" s="226">
        <v>2.8701873600070558E-2</v>
      </c>
      <c r="F885" s="226">
        <v>6.4903978909808594E-4</v>
      </c>
      <c r="G885" s="227">
        <v>5.9715151100169612E-4</v>
      </c>
      <c r="H885" s="226">
        <v>2.0000005732018805E-3</v>
      </c>
      <c r="I885" s="255">
        <v>2.9406686174117524E-3</v>
      </c>
      <c r="J885" s="256">
        <v>9.8396948391532253E-6</v>
      </c>
      <c r="K885" s="257">
        <v>1.0284602176780569E-5</v>
      </c>
      <c r="L885" s="228">
        <v>3.1550737226879469E-2</v>
      </c>
    </row>
    <row r="886" spans="1:12" s="212" customFormat="1" ht="15.5" x14ac:dyDescent="0.35">
      <c r="A886" s="198" t="s">
        <v>826</v>
      </c>
      <c r="B886" s="197">
        <v>2038</v>
      </c>
      <c r="C886" s="213" t="s">
        <v>4109</v>
      </c>
      <c r="D886" s="239">
        <v>4.3625354349025921E-3</v>
      </c>
      <c r="E886" s="226">
        <v>2.7591433112039564E-2</v>
      </c>
      <c r="F886" s="226">
        <v>6.2677814630915135E-4</v>
      </c>
      <c r="G886" s="227">
        <v>5.7665838345065184E-4</v>
      </c>
      <c r="H886" s="226">
        <v>2.0000005732018801E-3</v>
      </c>
      <c r="I886" s="255">
        <v>3.0766893821603403E-3</v>
      </c>
      <c r="J886" s="256">
        <v>9.2142598068363012E-6</v>
      </c>
      <c r="K886" s="257">
        <v>9.6308877476291321E-6</v>
      </c>
      <c r="L886" s="228">
        <v>3.1338716083874965E-2</v>
      </c>
    </row>
    <row r="887" spans="1:12" s="212" customFormat="1" ht="15.5" x14ac:dyDescent="0.35">
      <c r="A887" s="198" t="s">
        <v>826</v>
      </c>
      <c r="B887" s="197">
        <v>2039</v>
      </c>
      <c r="C887" s="213" t="s">
        <v>4110</v>
      </c>
      <c r="D887" s="239">
        <v>4.0887875599234513E-3</v>
      </c>
      <c r="E887" s="226">
        <v>2.6328051068918484E-2</v>
      </c>
      <c r="F887" s="226">
        <v>5.9443375316482056E-4</v>
      </c>
      <c r="G887" s="227">
        <v>5.4689202888535547E-4</v>
      </c>
      <c r="H887" s="226">
        <v>2.0000005732018801E-3</v>
      </c>
      <c r="I887" s="255">
        <v>3.0751350811437581E-3</v>
      </c>
      <c r="J887" s="256">
        <v>8.5243981961736391E-6</v>
      </c>
      <c r="K887" s="257">
        <v>8.9098336561478444E-6</v>
      </c>
      <c r="L887" s="228">
        <v>3.1157961268435258E-2</v>
      </c>
    </row>
    <row r="888" spans="1:12" s="212" customFormat="1" ht="15.5" x14ac:dyDescent="0.35">
      <c r="A888" s="198" t="s">
        <v>826</v>
      </c>
      <c r="B888" s="197">
        <v>2040</v>
      </c>
      <c r="C888" s="213" t="s">
        <v>4111</v>
      </c>
      <c r="D888" s="239">
        <v>3.8661266241582838E-3</v>
      </c>
      <c r="E888" s="226">
        <v>2.5309807798976944E-2</v>
      </c>
      <c r="F888" s="226">
        <v>5.6630003171795199E-4</v>
      </c>
      <c r="G888" s="227">
        <v>5.210017665132513E-4</v>
      </c>
      <c r="H888" s="226">
        <v>2.0000005732018805E-3</v>
      </c>
      <c r="I888" s="255">
        <v>3.0737999388457953E-3</v>
      </c>
      <c r="J888" s="256">
        <v>7.9509293107112224E-6</v>
      </c>
      <c r="K888" s="257">
        <v>8.3104350524153017E-6</v>
      </c>
      <c r="L888" s="228">
        <v>3.1005932651982933E-2</v>
      </c>
    </row>
    <row r="889" spans="1:12" s="212" customFormat="1" ht="15.5" x14ac:dyDescent="0.35">
      <c r="A889" s="198" t="s">
        <v>826</v>
      </c>
      <c r="B889" s="197">
        <v>2041</v>
      </c>
      <c r="C889" s="213" t="s">
        <v>4112</v>
      </c>
      <c r="D889" s="239">
        <v>3.7077477601281505E-3</v>
      </c>
      <c r="E889" s="226">
        <v>2.4512946342739077E-2</v>
      </c>
      <c r="F889" s="226">
        <v>5.441636889515247E-4</v>
      </c>
      <c r="G889" s="227">
        <v>5.0062924556588289E-4</v>
      </c>
      <c r="H889" s="226">
        <v>2.0000005732018801E-3</v>
      </c>
      <c r="I889" s="255">
        <v>3.072693269991347E-3</v>
      </c>
      <c r="J889" s="256">
        <v>7.4640327862224276E-6</v>
      </c>
      <c r="K889" s="257">
        <v>7.8015232276604615E-6</v>
      </c>
      <c r="L889" s="228">
        <v>3.088009971652286E-2</v>
      </c>
    </row>
    <row r="890" spans="1:12" s="212" customFormat="1" ht="15.5" x14ac:dyDescent="0.35">
      <c r="A890" s="198" t="s">
        <v>826</v>
      </c>
      <c r="B890" s="197">
        <v>2042</v>
      </c>
      <c r="C890" s="213" t="s">
        <v>4113</v>
      </c>
      <c r="D890" s="239">
        <v>3.5671643809591313E-3</v>
      </c>
      <c r="E890" s="226">
        <v>2.3769598540323768E-2</v>
      </c>
      <c r="F890" s="226">
        <v>5.2516619049640444E-4</v>
      </c>
      <c r="G890" s="227">
        <v>4.8314650153708936E-4</v>
      </c>
      <c r="H890" s="226">
        <v>2.0000005732018801E-3</v>
      </c>
      <c r="I890" s="255">
        <v>3.0717197194521165E-3</v>
      </c>
      <c r="J890" s="256">
        <v>7.0727513310905004E-6</v>
      </c>
      <c r="K890" s="257">
        <v>7.3925497614131991E-6</v>
      </c>
      <c r="L890" s="228">
        <v>3.0774281777353016E-2</v>
      </c>
    </row>
    <row r="891" spans="1:12" s="212" customFormat="1" ht="15.5" x14ac:dyDescent="0.35">
      <c r="A891" s="198" t="s">
        <v>826</v>
      </c>
      <c r="B891" s="197">
        <v>2043</v>
      </c>
      <c r="C891" s="213" t="s">
        <v>4114</v>
      </c>
      <c r="D891" s="239">
        <v>3.4584303062540462E-3</v>
      </c>
      <c r="E891" s="226">
        <v>2.3148813734560226E-2</v>
      </c>
      <c r="F891" s="226">
        <v>5.0913411871802191E-4</v>
      </c>
      <c r="G891" s="227">
        <v>4.6839300356061263E-4</v>
      </c>
      <c r="H891" s="226">
        <v>2.0000005732018801E-3</v>
      </c>
      <c r="I891" s="255">
        <v>3.0709108746545255E-3</v>
      </c>
      <c r="J891" s="256">
        <v>6.7493725992276583E-6</v>
      </c>
      <c r="K891" s="257">
        <v>7.054549278267406E-6</v>
      </c>
      <c r="L891" s="228">
        <v>3.068720128160778E-2</v>
      </c>
    </row>
    <row r="892" spans="1:12" s="212" customFormat="1" ht="15.5" x14ac:dyDescent="0.35">
      <c r="A892" s="198" t="s">
        <v>826</v>
      </c>
      <c r="B892" s="197">
        <v>2044</v>
      </c>
      <c r="C892" s="213" t="s">
        <v>4115</v>
      </c>
      <c r="D892" s="239">
        <v>3.3667222557637582E-3</v>
      </c>
      <c r="E892" s="226">
        <v>2.25361933385625E-2</v>
      </c>
      <c r="F892" s="226">
        <v>4.9553586849280628E-4</v>
      </c>
      <c r="G892" s="227">
        <v>4.5587938225670455E-4</v>
      </c>
      <c r="H892" s="226">
        <v>2.0000005732018801E-3</v>
      </c>
      <c r="I892" s="255">
        <v>3.0701980462068726E-3</v>
      </c>
      <c r="J892" s="256">
        <v>6.4790596034265747E-6</v>
      </c>
      <c r="K892" s="257">
        <v>6.7720139282923528E-6</v>
      </c>
      <c r="L892" s="228">
        <v>3.0614642640099402E-2</v>
      </c>
    </row>
    <row r="893" spans="1:12" s="212" customFormat="1" ht="15.5" x14ac:dyDescent="0.35">
      <c r="A893" s="198" t="s">
        <v>826</v>
      </c>
      <c r="B893" s="197">
        <v>2045</v>
      </c>
      <c r="C893" s="213" t="s">
        <v>4116</v>
      </c>
      <c r="D893" s="239">
        <v>3.2940828076457492E-3</v>
      </c>
      <c r="E893" s="226">
        <v>2.1969546301183699E-2</v>
      </c>
      <c r="F893" s="226">
        <v>4.8408247144011328E-4</v>
      </c>
      <c r="G893" s="227">
        <v>4.4534013308896803E-4</v>
      </c>
      <c r="H893" s="226">
        <v>2.0000005732018801E-3</v>
      </c>
      <c r="I893" s="255">
        <v>3.0695989438055014E-3</v>
      </c>
      <c r="J893" s="256">
        <v>6.2667201694699951E-6</v>
      </c>
      <c r="K893" s="257">
        <v>6.5500734473745267E-6</v>
      </c>
      <c r="L893" s="228">
        <v>3.0553341861404595E-2</v>
      </c>
    </row>
    <row r="894" spans="1:12" s="212" customFormat="1" ht="15.5" x14ac:dyDescent="0.35">
      <c r="A894" s="198" t="s">
        <v>826</v>
      </c>
      <c r="B894" s="197">
        <v>2046</v>
      </c>
      <c r="C894" s="213" t="s">
        <v>4117</v>
      </c>
      <c r="D894" s="239">
        <v>3.2253266760742198E-3</v>
      </c>
      <c r="E894" s="226">
        <v>2.142054016219291E-2</v>
      </c>
      <c r="F894" s="226">
        <v>4.7454422801463119E-4</v>
      </c>
      <c r="G894" s="227">
        <v>4.3656372682201436E-4</v>
      </c>
      <c r="H894" s="226">
        <v>2.0000005732018805E-3</v>
      </c>
      <c r="I894" s="255">
        <v>3.0690649164564657E-3</v>
      </c>
      <c r="J894" s="256">
        <v>6.1039108151417688E-6</v>
      </c>
      <c r="K894" s="257">
        <v>6.3799025764993883E-6</v>
      </c>
      <c r="L894" s="228">
        <v>3.0502554583754563E-2</v>
      </c>
    </row>
    <row r="895" spans="1:12" s="212" customFormat="1" ht="15.5" x14ac:dyDescent="0.35">
      <c r="A895" s="198" t="s">
        <v>826</v>
      </c>
      <c r="B895" s="197">
        <v>2047</v>
      </c>
      <c r="C895" s="213" t="s">
        <v>4118</v>
      </c>
      <c r="D895" s="239">
        <v>3.1652157814762607E-3</v>
      </c>
      <c r="E895" s="226">
        <v>2.0936341196804077E-2</v>
      </c>
      <c r="F895" s="226">
        <v>4.6667062174422997E-4</v>
      </c>
      <c r="G895" s="227">
        <v>4.2931848393332878E-4</v>
      </c>
      <c r="H895" s="226">
        <v>2.0000005732018801E-3</v>
      </c>
      <c r="I895" s="255">
        <v>3.068629384112901E-3</v>
      </c>
      <c r="J895" s="256">
        <v>5.9562687336197512E-6</v>
      </c>
      <c r="K895" s="257">
        <v>6.225584775202981E-6</v>
      </c>
      <c r="L895" s="228">
        <v>3.0460435831871514E-2</v>
      </c>
    </row>
    <row r="896" spans="1:12" s="212" customFormat="1" ht="15.5" x14ac:dyDescent="0.35">
      <c r="A896" s="198" t="s">
        <v>826</v>
      </c>
      <c r="B896" s="197">
        <v>2048</v>
      </c>
      <c r="C896" s="213" t="s">
        <v>4119</v>
      </c>
      <c r="D896" s="239">
        <v>3.1168838348135893E-3</v>
      </c>
      <c r="E896" s="226">
        <v>2.0556380169691142E-2</v>
      </c>
      <c r="F896" s="226">
        <v>4.6017198986729831E-4</v>
      </c>
      <c r="G896" s="227">
        <v>4.2333827427996082E-4</v>
      </c>
      <c r="H896" s="226">
        <v>2.0000005732018797E-3</v>
      </c>
      <c r="I896" s="255">
        <v>3.0682809563747923E-3</v>
      </c>
      <c r="J896" s="256">
        <v>5.8290315804191435E-6</v>
      </c>
      <c r="K896" s="257">
        <v>6.0925945225411526E-6</v>
      </c>
      <c r="L896" s="228">
        <v>3.0425831452824126E-2</v>
      </c>
    </row>
    <row r="897" spans="1:12" s="212" customFormat="1" ht="15.5" x14ac:dyDescent="0.35">
      <c r="A897" s="198" t="s">
        <v>826</v>
      </c>
      <c r="B897" s="197">
        <v>2049</v>
      </c>
      <c r="C897" s="213" t="s">
        <v>4120</v>
      </c>
      <c r="D897" s="239">
        <v>3.1064231700768325E-3</v>
      </c>
      <c r="E897" s="226">
        <v>2.0514617797520344E-2</v>
      </c>
      <c r="F897" s="226">
        <v>4.5612486803684642E-4</v>
      </c>
      <c r="G897" s="227">
        <v>4.1961369338644336E-4</v>
      </c>
      <c r="H897" s="226">
        <v>2.0000005732018801E-3</v>
      </c>
      <c r="I897" s="255">
        <v>3.0680119949812322E-3</v>
      </c>
      <c r="J897" s="256">
        <v>5.7417238270303015E-6</v>
      </c>
      <c r="K897" s="257">
        <v>6.0013390999664943E-6</v>
      </c>
      <c r="L897" s="228">
        <v>3.0396549864000852E-2</v>
      </c>
    </row>
    <row r="898" spans="1:12" s="212" customFormat="1" ht="15.5" x14ac:dyDescent="0.35">
      <c r="A898" s="198" t="s">
        <v>826</v>
      </c>
      <c r="B898" s="197">
        <v>2050</v>
      </c>
      <c r="C898" s="213" t="s">
        <v>4121</v>
      </c>
      <c r="D898" s="239">
        <v>3.098298669439076E-3</v>
      </c>
      <c r="E898" s="226">
        <v>2.0479911765392048E-2</v>
      </c>
      <c r="F898" s="226">
        <v>4.5280732344904408E-4</v>
      </c>
      <c r="G898" s="227">
        <v>4.1655625267000455E-4</v>
      </c>
      <c r="H898" s="226">
        <v>2.0000005732018801E-3</v>
      </c>
      <c r="I898" s="255">
        <v>3.0678129920194523E-3</v>
      </c>
      <c r="J898" s="256">
        <v>5.5599885675431436E-6</v>
      </c>
      <c r="K898" s="257">
        <v>5.8113865784835806E-6</v>
      </c>
      <c r="L898" s="228">
        <v>3.0373458359107177E-2</v>
      </c>
    </row>
    <row r="899" spans="1:12" s="212" customFormat="1" ht="15.5" x14ac:dyDescent="0.35">
      <c r="A899" s="198" t="s">
        <v>827</v>
      </c>
      <c r="B899" s="197">
        <v>2015</v>
      </c>
      <c r="C899" s="213" t="s">
        <v>907</v>
      </c>
      <c r="D899" s="239">
        <v>0.11315564086355515</v>
      </c>
      <c r="E899" s="226">
        <v>0.36868813993655658</v>
      </c>
      <c r="F899" s="226">
        <v>3.8147478052672824E-3</v>
      </c>
      <c r="G899" s="227">
        <v>3.5298062789172195E-3</v>
      </c>
      <c r="H899" s="226">
        <v>2.0000005732018801E-3</v>
      </c>
      <c r="I899" s="255">
        <v>3.6964177982890447E-3</v>
      </c>
      <c r="J899" s="256">
        <v>3.3295616110846563E-4</v>
      </c>
      <c r="K899" s="257">
        <v>3.4801096124270777E-4</v>
      </c>
      <c r="L899" s="228">
        <v>5.0012523534838302E-2</v>
      </c>
    </row>
    <row r="900" spans="1:12" s="212" customFormat="1" ht="15.5" x14ac:dyDescent="0.35">
      <c r="A900" s="198" t="s">
        <v>827</v>
      </c>
      <c r="B900" s="197">
        <v>2016</v>
      </c>
      <c r="C900" s="213" t="s">
        <v>908</v>
      </c>
      <c r="D900" s="239">
        <v>0.101227470442516</v>
      </c>
      <c r="E900" s="226">
        <v>0.34001929925633995</v>
      </c>
      <c r="F900" s="226">
        <v>3.6595933504113953E-3</v>
      </c>
      <c r="G900" s="227">
        <v>3.3838332594046169E-3</v>
      </c>
      <c r="H900" s="226">
        <v>2.0000005732018801E-3</v>
      </c>
      <c r="I900" s="255">
        <v>3.6874923691024137E-3</v>
      </c>
      <c r="J900" s="256">
        <v>2.9629341342869958E-4</v>
      </c>
      <c r="K900" s="257">
        <v>3.0969048680139596E-4</v>
      </c>
      <c r="L900" s="228">
        <v>4.9172890131526134E-2</v>
      </c>
    </row>
    <row r="901" spans="1:12" s="212" customFormat="1" ht="15.5" x14ac:dyDescent="0.35">
      <c r="A901" s="198" t="s">
        <v>827</v>
      </c>
      <c r="B901" s="197">
        <v>2017</v>
      </c>
      <c r="C901" s="213" t="s">
        <v>4122</v>
      </c>
      <c r="D901" s="239">
        <v>8.0479720796055296E-2</v>
      </c>
      <c r="E901" s="226">
        <v>0.28754965289625278</v>
      </c>
      <c r="F901" s="226">
        <v>3.3730174897530726E-3</v>
      </c>
      <c r="G901" s="227">
        <v>3.1162379433197964E-3</v>
      </c>
      <c r="H901" s="226">
        <v>2.0000005732018805E-3</v>
      </c>
      <c r="I901" s="255">
        <v>3.6929500014010871E-3</v>
      </c>
      <c r="J901" s="256">
        <v>2.6247563302252781E-4</v>
      </c>
      <c r="K901" s="257">
        <v>2.7434361642943492E-4</v>
      </c>
      <c r="L901" s="228">
        <v>4.8791766604929163E-2</v>
      </c>
    </row>
    <row r="902" spans="1:12" s="212" customFormat="1" ht="15.5" x14ac:dyDescent="0.35">
      <c r="A902" s="198" t="s">
        <v>827</v>
      </c>
      <c r="B902" s="197">
        <v>2018</v>
      </c>
      <c r="C902" s="213" t="s">
        <v>4123</v>
      </c>
      <c r="D902" s="239">
        <v>6.8068676501982117E-2</v>
      </c>
      <c r="E902" s="226">
        <v>0.2544146299844659</v>
      </c>
      <c r="F902" s="226">
        <v>3.2374004395749802E-3</v>
      </c>
      <c r="G902" s="227">
        <v>2.9883864922907672E-3</v>
      </c>
      <c r="H902" s="226">
        <v>2.0000005732018797E-3</v>
      </c>
      <c r="I902" s="255">
        <v>3.6944888755411393E-3</v>
      </c>
      <c r="J902" s="256">
        <v>2.2388852646328567E-4</v>
      </c>
      <c r="K902" s="257">
        <v>2.3401177213933327E-4</v>
      </c>
      <c r="L902" s="228">
        <v>4.8229666459448081E-2</v>
      </c>
    </row>
    <row r="903" spans="1:12" s="212" customFormat="1" ht="15.5" x14ac:dyDescent="0.35">
      <c r="A903" s="198" t="s">
        <v>827</v>
      </c>
      <c r="B903" s="197">
        <v>2019</v>
      </c>
      <c r="C903" s="213" t="s">
        <v>4124</v>
      </c>
      <c r="D903" s="239">
        <v>5.9038599602417696E-2</v>
      </c>
      <c r="E903" s="226">
        <v>0.21949951958055858</v>
      </c>
      <c r="F903" s="226">
        <v>3.1260032466295792E-3</v>
      </c>
      <c r="G903" s="227">
        <v>2.8837855410719817E-3</v>
      </c>
      <c r="H903" s="226">
        <v>2.0000005732018801E-3</v>
      </c>
      <c r="I903" s="255">
        <v>3.6956821651754953E-3</v>
      </c>
      <c r="J903" s="256">
        <v>1.8445509378382007E-4</v>
      </c>
      <c r="K903" s="257">
        <v>1.927953346173687E-4</v>
      </c>
      <c r="L903" s="228">
        <v>4.7494011814192244E-2</v>
      </c>
    </row>
    <row r="904" spans="1:12" s="212" customFormat="1" ht="15.5" x14ac:dyDescent="0.35">
      <c r="A904" s="198" t="s">
        <v>827</v>
      </c>
      <c r="B904" s="197">
        <v>2020</v>
      </c>
      <c r="C904" s="213" t="s">
        <v>4125</v>
      </c>
      <c r="D904" s="239">
        <v>5.159722081405544E-2</v>
      </c>
      <c r="E904" s="226">
        <v>0.19736997264828746</v>
      </c>
      <c r="F904" s="226">
        <v>3.013293866075374E-3</v>
      </c>
      <c r="G904" s="227">
        <v>2.7789983763708177E-3</v>
      </c>
      <c r="H904" s="226">
        <v>2.0000005732018805E-3</v>
      </c>
      <c r="I904" s="255">
        <v>3.706418681909596E-3</v>
      </c>
      <c r="J904" s="256">
        <v>1.7133745161623072E-4</v>
      </c>
      <c r="K904" s="257">
        <v>1.7908457087963494E-4</v>
      </c>
      <c r="L904" s="228">
        <v>4.7049233728172005E-2</v>
      </c>
    </row>
    <row r="905" spans="1:12" s="212" customFormat="1" ht="15.5" x14ac:dyDescent="0.35">
      <c r="A905" s="198" t="s">
        <v>827</v>
      </c>
      <c r="B905" s="197">
        <v>2021</v>
      </c>
      <c r="C905" s="213" t="s">
        <v>4126</v>
      </c>
      <c r="D905" s="239">
        <v>4.4193544882184632E-2</v>
      </c>
      <c r="E905" s="226">
        <v>0.17459987239538677</v>
      </c>
      <c r="F905" s="226">
        <v>2.855116573700558E-3</v>
      </c>
      <c r="G905" s="227">
        <v>2.6324250821710559E-3</v>
      </c>
      <c r="H905" s="226">
        <v>2.0000005732018801E-3</v>
      </c>
      <c r="I905" s="255">
        <v>3.7123718923436837E-3</v>
      </c>
      <c r="J905" s="256">
        <v>1.5761541407531541E-4</v>
      </c>
      <c r="K905" s="257">
        <v>1.6474208369175993E-4</v>
      </c>
      <c r="L905" s="228">
        <v>4.6070266389759897E-2</v>
      </c>
    </row>
    <row r="906" spans="1:12" s="212" customFormat="1" ht="15.5" x14ac:dyDescent="0.35">
      <c r="A906" s="198" t="s">
        <v>827</v>
      </c>
      <c r="B906" s="197">
        <v>2022</v>
      </c>
      <c r="C906" s="213" t="s">
        <v>4127</v>
      </c>
      <c r="D906" s="239">
        <v>3.6037144322786152E-2</v>
      </c>
      <c r="E906" s="226">
        <v>0.15212584518649824</v>
      </c>
      <c r="F906" s="226">
        <v>2.694619892659966E-3</v>
      </c>
      <c r="G906" s="227">
        <v>2.4835114432900846E-3</v>
      </c>
      <c r="H906" s="226">
        <v>2.0000005732018797E-3</v>
      </c>
      <c r="I906" s="255">
        <v>3.7133620781652026E-3</v>
      </c>
      <c r="J906" s="256">
        <v>1.4456133247174095E-4</v>
      </c>
      <c r="K906" s="257">
        <v>1.5109775444470096E-4</v>
      </c>
      <c r="L906" s="228">
        <v>4.5186402525360006E-2</v>
      </c>
    </row>
    <row r="907" spans="1:12" s="212" customFormat="1" ht="15.5" x14ac:dyDescent="0.35">
      <c r="A907" s="198" t="s">
        <v>827</v>
      </c>
      <c r="B907" s="197">
        <v>2023</v>
      </c>
      <c r="C907" s="213" t="s">
        <v>4128</v>
      </c>
      <c r="D907" s="239">
        <v>3.155972998804412E-2</v>
      </c>
      <c r="E907" s="226">
        <v>0.13438546896466322</v>
      </c>
      <c r="F907" s="226">
        <v>2.5538678215224252E-3</v>
      </c>
      <c r="G907" s="227">
        <v>2.3534577943733065E-3</v>
      </c>
      <c r="H907" s="226">
        <v>2.0000005732018801E-3</v>
      </c>
      <c r="I907" s="255">
        <v>3.7134933016669714E-3</v>
      </c>
      <c r="J907" s="256">
        <v>1.3127116770237071E-4</v>
      </c>
      <c r="K907" s="257">
        <v>1.3720666739869226E-4</v>
      </c>
      <c r="L907" s="228">
        <v>4.425210455772384E-2</v>
      </c>
    </row>
    <row r="908" spans="1:12" s="212" customFormat="1" ht="15.5" x14ac:dyDescent="0.35">
      <c r="A908" s="198" t="s">
        <v>827</v>
      </c>
      <c r="B908" s="197">
        <v>2024</v>
      </c>
      <c r="C908" s="213" t="s">
        <v>4129</v>
      </c>
      <c r="D908" s="239">
        <v>2.7503861770886616E-2</v>
      </c>
      <c r="E908" s="226">
        <v>0.1186888908543372</v>
      </c>
      <c r="F908" s="226">
        <v>2.4134452358637246E-3</v>
      </c>
      <c r="G908" s="227">
        <v>2.2234185188106576E-3</v>
      </c>
      <c r="H908" s="226">
        <v>2.0000005732018801E-3</v>
      </c>
      <c r="I908" s="255">
        <v>3.7134094043174471E-3</v>
      </c>
      <c r="J908" s="256">
        <v>1.1085527918332394E-4</v>
      </c>
      <c r="K908" s="257">
        <v>1.1586766299497766E-4</v>
      </c>
      <c r="L908" s="228">
        <v>4.3291530025608857E-2</v>
      </c>
    </row>
    <row r="909" spans="1:12" s="212" customFormat="1" ht="15.5" x14ac:dyDescent="0.35">
      <c r="A909" s="198" t="s">
        <v>827</v>
      </c>
      <c r="B909" s="197">
        <v>2025</v>
      </c>
      <c r="C909" s="213" t="s">
        <v>4130</v>
      </c>
      <c r="D909" s="239">
        <v>2.4594819644694746E-2</v>
      </c>
      <c r="E909" s="226">
        <v>0.10646507413603483</v>
      </c>
      <c r="F909" s="226">
        <v>2.3164578432537963E-3</v>
      </c>
      <c r="G909" s="227">
        <v>2.1338059573477227E-3</v>
      </c>
      <c r="H909" s="226">
        <v>2.0000005732018801E-3</v>
      </c>
      <c r="I909" s="255">
        <v>3.713384172355453E-3</v>
      </c>
      <c r="J909" s="256">
        <v>1.0014998368196172E-4</v>
      </c>
      <c r="K909" s="257">
        <v>1.0467832153508908E-4</v>
      </c>
      <c r="L909" s="228">
        <v>4.2325845519317611E-2</v>
      </c>
    </row>
    <row r="910" spans="1:12" s="212" customFormat="1" ht="15.5" x14ac:dyDescent="0.35">
      <c r="A910" s="198" t="s">
        <v>827</v>
      </c>
      <c r="B910" s="197">
        <v>2026</v>
      </c>
      <c r="C910" s="213" t="s">
        <v>4131</v>
      </c>
      <c r="D910" s="239">
        <v>2.2039869227723035E-2</v>
      </c>
      <c r="E910" s="226">
        <v>9.5982719488131099E-2</v>
      </c>
      <c r="F910" s="226">
        <v>2.217961816905434E-3</v>
      </c>
      <c r="G910" s="227">
        <v>2.042833489663306E-3</v>
      </c>
      <c r="H910" s="226">
        <v>2.0000005732018797E-3</v>
      </c>
      <c r="I910" s="255">
        <v>3.7127743599046389E-3</v>
      </c>
      <c r="J910" s="256">
        <v>8.9790357858092246E-5</v>
      </c>
      <c r="K910" s="257">
        <v>9.3850279401623221E-5</v>
      </c>
      <c r="L910" s="228">
        <v>4.1368645982268901E-2</v>
      </c>
    </row>
    <row r="911" spans="1:12" s="212" customFormat="1" ht="15.5" x14ac:dyDescent="0.35">
      <c r="A911" s="198" t="s">
        <v>827</v>
      </c>
      <c r="B911" s="197">
        <v>2027</v>
      </c>
      <c r="C911" s="213" t="s">
        <v>4132</v>
      </c>
      <c r="D911" s="239">
        <v>1.9894761067178291E-2</v>
      </c>
      <c r="E911" s="226">
        <v>8.6941566739293916E-2</v>
      </c>
      <c r="F911" s="226">
        <v>2.1016156610665975E-3</v>
      </c>
      <c r="G911" s="227">
        <v>1.9351852222606414E-3</v>
      </c>
      <c r="H911" s="226">
        <v>2.0000005732018805E-3</v>
      </c>
      <c r="I911" s="255">
        <v>3.7115917590895887E-3</v>
      </c>
      <c r="J911" s="256">
        <v>7.2561343185508032E-5</v>
      </c>
      <c r="K911" s="257">
        <v>7.5842245138165135E-5</v>
      </c>
      <c r="L911" s="228">
        <v>4.0441867609237771E-2</v>
      </c>
    </row>
    <row r="912" spans="1:12" s="212" customFormat="1" ht="15.5" x14ac:dyDescent="0.35">
      <c r="A912" s="198" t="s">
        <v>827</v>
      </c>
      <c r="B912" s="197">
        <v>2028</v>
      </c>
      <c r="C912" s="213" t="s">
        <v>4133</v>
      </c>
      <c r="D912" s="239">
        <v>1.8092345361572431E-2</v>
      </c>
      <c r="E912" s="226">
        <v>7.9262882030859613E-2</v>
      </c>
      <c r="F912" s="226">
        <v>1.9791344678857068E-3</v>
      </c>
      <c r="G912" s="227">
        <v>1.822056233393996E-3</v>
      </c>
      <c r="H912" s="226">
        <v>2.0000005732018805E-3</v>
      </c>
      <c r="I912" s="255">
        <v>3.710258720454425E-3</v>
      </c>
      <c r="J912" s="256">
        <v>5.9419271557835905E-5</v>
      </c>
      <c r="K912" s="257">
        <v>6.2105947348568843E-5</v>
      </c>
      <c r="L912" s="228">
        <v>3.9557894762447657E-2</v>
      </c>
    </row>
    <row r="913" spans="1:12" s="212" customFormat="1" ht="15.5" x14ac:dyDescent="0.35">
      <c r="A913" s="198" t="s">
        <v>827</v>
      </c>
      <c r="B913" s="197">
        <v>2029</v>
      </c>
      <c r="C913" s="213" t="s">
        <v>4134</v>
      </c>
      <c r="D913" s="239">
        <v>1.6374564342834803E-2</v>
      </c>
      <c r="E913" s="226">
        <v>7.2304407216793418E-2</v>
      </c>
      <c r="F913" s="226">
        <v>1.8600670786445732E-3</v>
      </c>
      <c r="G913" s="227">
        <v>1.7122234238754377E-3</v>
      </c>
      <c r="H913" s="226">
        <v>2.0000005732018801E-3</v>
      </c>
      <c r="I913" s="255">
        <v>3.7086062962740736E-3</v>
      </c>
      <c r="J913" s="256">
        <v>5.0314701025235243E-5</v>
      </c>
      <c r="K913" s="257">
        <v>5.2589708537417276E-5</v>
      </c>
      <c r="L913" s="228">
        <v>3.8731734663487616E-2</v>
      </c>
    </row>
    <row r="914" spans="1:12" s="212" customFormat="1" ht="15.5" x14ac:dyDescent="0.35">
      <c r="A914" s="198" t="s">
        <v>827</v>
      </c>
      <c r="B914" s="197">
        <v>2030</v>
      </c>
      <c r="C914" s="213" t="s">
        <v>4135</v>
      </c>
      <c r="D914" s="239">
        <v>1.5004337983694544E-2</v>
      </c>
      <c r="E914" s="226">
        <v>6.6454703998230044E-2</v>
      </c>
      <c r="F914" s="226">
        <v>1.7470376013946983E-3</v>
      </c>
      <c r="G914" s="227">
        <v>1.6079811397087041E-3</v>
      </c>
      <c r="H914" s="226">
        <v>2.0000005732018801E-3</v>
      </c>
      <c r="I914" s="255">
        <v>3.7068638916722659E-3</v>
      </c>
      <c r="J914" s="256">
        <v>4.2208212764496261E-5</v>
      </c>
      <c r="K914" s="257">
        <v>4.4116680849536576E-5</v>
      </c>
      <c r="L914" s="228">
        <v>3.7950474641527773E-2</v>
      </c>
    </row>
    <row r="915" spans="1:12" s="212" customFormat="1" ht="15.5" x14ac:dyDescent="0.35">
      <c r="A915" s="198" t="s">
        <v>827</v>
      </c>
      <c r="B915" s="197">
        <v>2031</v>
      </c>
      <c r="C915" s="213" t="s">
        <v>4136</v>
      </c>
      <c r="D915" s="239">
        <v>1.3783217300685701E-2</v>
      </c>
      <c r="E915" s="226">
        <v>6.1231319513000669E-2</v>
      </c>
      <c r="F915" s="226">
        <v>1.6411251579604642E-3</v>
      </c>
      <c r="G915" s="227">
        <v>1.5104363675358464E-3</v>
      </c>
      <c r="H915" s="226">
        <v>2.0000005732018805E-3</v>
      </c>
      <c r="I915" s="255">
        <v>3.7048504518166227E-3</v>
      </c>
      <c r="J915" s="256">
        <v>3.804553310391755E-5</v>
      </c>
      <c r="K915" s="257">
        <v>3.976578328632388E-5</v>
      </c>
      <c r="L915" s="228">
        <v>3.722858833084406E-2</v>
      </c>
    </row>
    <row r="916" spans="1:12" s="212" customFormat="1" ht="15.5" x14ac:dyDescent="0.35">
      <c r="A916" s="198" t="s">
        <v>827</v>
      </c>
      <c r="B916" s="197">
        <v>2032</v>
      </c>
      <c r="C916" s="213" t="s">
        <v>4137</v>
      </c>
      <c r="D916" s="239">
        <v>1.2733126475796035E-2</v>
      </c>
      <c r="E916" s="226">
        <v>5.6866565206929613E-2</v>
      </c>
      <c r="F916" s="226">
        <v>1.5419143165322782E-3</v>
      </c>
      <c r="G916" s="227">
        <v>1.4190611313366684E-3</v>
      </c>
      <c r="H916" s="226">
        <v>2.0000005732018801E-3</v>
      </c>
      <c r="I916" s="255">
        <v>3.7026358998405026E-3</v>
      </c>
      <c r="J916" s="256">
        <v>3.407945865481016E-5</v>
      </c>
      <c r="K916" s="257">
        <v>3.5620380549822605E-5</v>
      </c>
      <c r="L916" s="228">
        <v>3.6571832137952058E-2</v>
      </c>
    </row>
    <row r="917" spans="1:12" s="212" customFormat="1" ht="15.5" x14ac:dyDescent="0.35">
      <c r="A917" s="198" t="s">
        <v>827</v>
      </c>
      <c r="B917" s="197">
        <v>2033</v>
      </c>
      <c r="C917" s="213" t="s">
        <v>4138</v>
      </c>
      <c r="D917" s="239">
        <v>1.1760978789346994E-2</v>
      </c>
      <c r="E917" s="226">
        <v>5.2888640785288717E-2</v>
      </c>
      <c r="F917" s="226">
        <v>1.4468411352767916E-3</v>
      </c>
      <c r="G917" s="227">
        <v>1.3315307627451472E-3</v>
      </c>
      <c r="H917" s="226">
        <v>2.0000005732018805E-3</v>
      </c>
      <c r="I917" s="255">
        <v>3.7001691116007387E-3</v>
      </c>
      <c r="J917" s="256">
        <v>3.1151341861574619E-5</v>
      </c>
      <c r="K917" s="257">
        <v>3.2559867308522802E-5</v>
      </c>
      <c r="L917" s="228">
        <v>3.5962024440030001E-2</v>
      </c>
    </row>
    <row r="918" spans="1:12" s="212" customFormat="1" ht="15.5" x14ac:dyDescent="0.35">
      <c r="A918" s="198" t="s">
        <v>827</v>
      </c>
      <c r="B918" s="197">
        <v>2034</v>
      </c>
      <c r="C918" s="213" t="s">
        <v>4139</v>
      </c>
      <c r="D918" s="239">
        <v>1.0801647205514832E-2</v>
      </c>
      <c r="E918" s="226">
        <v>4.9146495236968318E-2</v>
      </c>
      <c r="F918" s="226">
        <v>1.353941071210055E-3</v>
      </c>
      <c r="G918" s="227">
        <v>1.2460041647653509E-3</v>
      </c>
      <c r="H918" s="226">
        <v>2.0000005732018801E-3</v>
      </c>
      <c r="I918" s="255">
        <v>3.6974517715096249E-3</v>
      </c>
      <c r="J918" s="256">
        <v>2.836873724702983E-5</v>
      </c>
      <c r="K918" s="257">
        <v>2.965144566093339E-5</v>
      </c>
      <c r="L918" s="228">
        <v>3.5402601666512025E-2</v>
      </c>
    </row>
    <row r="919" spans="1:12" s="212" customFormat="1" ht="15.5" x14ac:dyDescent="0.35">
      <c r="A919" s="198" t="s">
        <v>827</v>
      </c>
      <c r="B919" s="197">
        <v>2035</v>
      </c>
      <c r="C919" s="213" t="s">
        <v>4140</v>
      </c>
      <c r="D919" s="239">
        <v>9.9730261033050566E-3</v>
      </c>
      <c r="E919" s="226">
        <v>4.5997468921458638E-2</v>
      </c>
      <c r="F919" s="226">
        <v>1.2640907455612768E-3</v>
      </c>
      <c r="G919" s="227">
        <v>1.1631126469251454E-3</v>
      </c>
      <c r="H919" s="226">
        <v>2.0000005732018801E-3</v>
      </c>
      <c r="I919" s="255">
        <v>3.6947568536705349E-3</v>
      </c>
      <c r="J919" s="256">
        <v>2.1247598207663094E-5</v>
      </c>
      <c r="K919" s="257">
        <v>2.2208320313792964E-5</v>
      </c>
      <c r="L919" s="228">
        <v>3.4896358467635155E-2</v>
      </c>
    </row>
    <row r="920" spans="1:12" s="212" customFormat="1" ht="15.5" x14ac:dyDescent="0.35">
      <c r="A920" s="198" t="s">
        <v>827</v>
      </c>
      <c r="B920" s="197">
        <v>2036</v>
      </c>
      <c r="C920" s="213" t="s">
        <v>4141</v>
      </c>
      <c r="D920" s="239">
        <v>9.2522371863239944E-3</v>
      </c>
      <c r="E920" s="226">
        <v>4.3300002895511662E-2</v>
      </c>
      <c r="F920" s="226">
        <v>1.191955625142227E-3</v>
      </c>
      <c r="G920" s="227">
        <v>1.0967093864863106E-3</v>
      </c>
      <c r="H920" s="226">
        <v>2.0000005732018805E-3</v>
      </c>
      <c r="I920" s="255">
        <v>3.6921725005155471E-3</v>
      </c>
      <c r="J920" s="256">
        <v>1.9253907411360248E-5</v>
      </c>
      <c r="K920" s="257">
        <v>2.0124483666553181E-5</v>
      </c>
      <c r="L920" s="228">
        <v>3.4444138692056106E-2</v>
      </c>
    </row>
    <row r="921" spans="1:12" s="212" customFormat="1" ht="15.5" x14ac:dyDescent="0.35">
      <c r="A921" s="198" t="s">
        <v>827</v>
      </c>
      <c r="B921" s="197">
        <v>2037</v>
      </c>
      <c r="C921" s="213" t="s">
        <v>4142</v>
      </c>
      <c r="D921" s="239">
        <v>8.5966039558672581E-3</v>
      </c>
      <c r="E921" s="226">
        <v>4.0881795720199961E-2</v>
      </c>
      <c r="F921" s="226">
        <v>1.1263516785196773E-3</v>
      </c>
      <c r="G921" s="227">
        <v>1.0363196119426161E-3</v>
      </c>
      <c r="H921" s="226">
        <v>2.000000573201881E-3</v>
      </c>
      <c r="I921" s="255">
        <v>3.689636627411421E-3</v>
      </c>
      <c r="J921" s="256">
        <v>1.7473565180757989E-5</v>
      </c>
      <c r="K921" s="257">
        <v>1.8263642260434737E-5</v>
      </c>
      <c r="L921" s="228">
        <v>3.4040387616349636E-2</v>
      </c>
    </row>
    <row r="922" spans="1:12" s="212" customFormat="1" ht="15.5" x14ac:dyDescent="0.35">
      <c r="A922" s="198" t="s">
        <v>827</v>
      </c>
      <c r="B922" s="197">
        <v>2038</v>
      </c>
      <c r="C922" s="213" t="s">
        <v>4143</v>
      </c>
      <c r="D922" s="239">
        <v>8.0310580779728892E-3</v>
      </c>
      <c r="E922" s="226">
        <v>3.879011783717648E-2</v>
      </c>
      <c r="F922" s="226">
        <v>1.0674909144363118E-3</v>
      </c>
      <c r="G922" s="227">
        <v>9.8212721107609601E-4</v>
      </c>
      <c r="H922" s="226">
        <v>2.0000005732018805E-3</v>
      </c>
      <c r="I922" s="255">
        <v>3.6873290452153476E-3</v>
      </c>
      <c r="J922" s="256">
        <v>1.5623059791287599E-5</v>
      </c>
      <c r="K922" s="257">
        <v>1.632946522874856E-5</v>
      </c>
      <c r="L922" s="228">
        <v>3.3690199976851833E-2</v>
      </c>
    </row>
    <row r="923" spans="1:12" s="212" customFormat="1" ht="15.5" x14ac:dyDescent="0.35">
      <c r="A923" s="198" t="s">
        <v>827</v>
      </c>
      <c r="B923" s="197">
        <v>2039</v>
      </c>
      <c r="C923" s="213" t="s">
        <v>4144</v>
      </c>
      <c r="D923" s="239">
        <v>7.4235326520985514E-3</v>
      </c>
      <c r="E923" s="226">
        <v>3.6598255519733967E-2</v>
      </c>
      <c r="F923" s="226">
        <v>1.0134549656280975E-3</v>
      </c>
      <c r="G923" s="227">
        <v>9.323980889601309E-4</v>
      </c>
      <c r="H923" s="226">
        <v>2.0000005732018801E-3</v>
      </c>
      <c r="I923" s="255">
        <v>3.6850752581901124E-3</v>
      </c>
      <c r="J923" s="256">
        <v>1.4466527943014257E-5</v>
      </c>
      <c r="K923" s="257">
        <v>1.5120640142330358E-5</v>
      </c>
      <c r="L923" s="228">
        <v>3.3373974738949597E-2</v>
      </c>
    </row>
    <row r="924" spans="1:12" s="212" customFormat="1" ht="15.5" x14ac:dyDescent="0.35">
      <c r="A924" s="198" t="s">
        <v>827</v>
      </c>
      <c r="B924" s="197">
        <v>2040</v>
      </c>
      <c r="C924" s="213" t="s">
        <v>4145</v>
      </c>
      <c r="D924" s="239">
        <v>6.9386896139799386E-3</v>
      </c>
      <c r="E924" s="226">
        <v>3.4864344370876661E-2</v>
      </c>
      <c r="F924" s="226">
        <v>9.666785178077987E-4</v>
      </c>
      <c r="G924" s="227">
        <v>8.8935055082908039E-4</v>
      </c>
      <c r="H924" s="226">
        <v>2.0000005732018801E-3</v>
      </c>
      <c r="I924" s="255">
        <v>3.6831678808335305E-3</v>
      </c>
      <c r="J924" s="256">
        <v>1.3483001685408389E-5</v>
      </c>
      <c r="K924" s="257">
        <v>1.4092643191688698E-5</v>
      </c>
      <c r="L924" s="228">
        <v>3.3097596042305368E-2</v>
      </c>
    </row>
    <row r="925" spans="1:12" s="212" customFormat="1" ht="15.5" x14ac:dyDescent="0.35">
      <c r="A925" s="198" t="s">
        <v>827</v>
      </c>
      <c r="B925" s="197">
        <v>2041</v>
      </c>
      <c r="C925" s="213" t="s">
        <v>4146</v>
      </c>
      <c r="D925" s="239">
        <v>6.5912167848560244E-3</v>
      </c>
      <c r="E925" s="226">
        <v>3.3485229147487597E-2</v>
      </c>
      <c r="F925" s="226">
        <v>9.3186771493536141E-4</v>
      </c>
      <c r="G925" s="227">
        <v>8.573117015089883E-4</v>
      </c>
      <c r="H925" s="226">
        <v>2.0000005732018801E-3</v>
      </c>
      <c r="I925" s="255">
        <v>3.6815216291798472E-3</v>
      </c>
      <c r="J925" s="256">
        <v>1.267194644783775E-5</v>
      </c>
      <c r="K925" s="257">
        <v>1.3244915635279434E-5</v>
      </c>
      <c r="L925" s="228">
        <v>3.2858834844542169E-2</v>
      </c>
    </row>
    <row r="926" spans="1:12" s="212" customFormat="1" ht="15.5" x14ac:dyDescent="0.35">
      <c r="A926" s="198" t="s">
        <v>827</v>
      </c>
      <c r="B926" s="197">
        <v>2042</v>
      </c>
      <c r="C926" s="213" t="s">
        <v>4147</v>
      </c>
      <c r="D926" s="239">
        <v>6.2688071000866876E-3</v>
      </c>
      <c r="E926" s="226">
        <v>3.2122766411734012E-2</v>
      </c>
      <c r="F926" s="226">
        <v>9.0155961852769002E-4</v>
      </c>
      <c r="G926" s="227">
        <v>8.2941863413278259E-4</v>
      </c>
      <c r="H926" s="226">
        <v>2.0000005732018801E-3</v>
      </c>
      <c r="I926" s="255">
        <v>3.6799716057416255E-3</v>
      </c>
      <c r="J926" s="256">
        <v>1.2007429607679032E-5</v>
      </c>
      <c r="K926" s="257">
        <v>1.2550352292358531E-5</v>
      </c>
      <c r="L926" s="228">
        <v>3.2642835370802023E-2</v>
      </c>
    </row>
    <row r="927" spans="1:12" s="212" customFormat="1" ht="15.5" x14ac:dyDescent="0.35">
      <c r="A927" s="198" t="s">
        <v>827</v>
      </c>
      <c r="B927" s="197">
        <v>2043</v>
      </c>
      <c r="C927" s="213" t="s">
        <v>4148</v>
      </c>
      <c r="D927" s="239">
        <v>6.0011917274760259E-3</v>
      </c>
      <c r="E927" s="226">
        <v>3.0848872429135626E-2</v>
      </c>
      <c r="F927" s="226">
        <v>8.7519167704371926E-4</v>
      </c>
      <c r="G927" s="227">
        <v>8.0515231696594595E-4</v>
      </c>
      <c r="H927" s="226">
        <v>2.0000005732018805E-3</v>
      </c>
      <c r="I927" s="255">
        <v>3.6785076113172526E-3</v>
      </c>
      <c r="J927" s="256">
        <v>1.1443603470842483E-5</v>
      </c>
      <c r="K927" s="257">
        <v>1.1961032439555659E-5</v>
      </c>
      <c r="L927" s="228">
        <v>3.2454919049746803E-2</v>
      </c>
    </row>
    <row r="928" spans="1:12" s="212" customFormat="1" ht="15.5" x14ac:dyDescent="0.35">
      <c r="A928" s="198" t="s">
        <v>827</v>
      </c>
      <c r="B928" s="197">
        <v>2044</v>
      </c>
      <c r="C928" s="213" t="s">
        <v>4149</v>
      </c>
      <c r="D928" s="239">
        <v>5.8032338181889468E-3</v>
      </c>
      <c r="E928" s="226">
        <v>2.9771890496671921E-2</v>
      </c>
      <c r="F928" s="226">
        <v>8.5274270825224545E-4</v>
      </c>
      <c r="G928" s="227">
        <v>7.8449070521674599E-4</v>
      </c>
      <c r="H928" s="226">
        <v>2.0000005732018801E-3</v>
      </c>
      <c r="I928" s="255">
        <v>3.6773045635649267E-3</v>
      </c>
      <c r="J928" s="256">
        <v>1.0914545996624634E-5</v>
      </c>
      <c r="K928" s="257">
        <v>1.1408053334011447E-5</v>
      </c>
      <c r="L928" s="228">
        <v>3.2278796392771203E-2</v>
      </c>
    </row>
    <row r="929" spans="1:12" s="212" customFormat="1" ht="15.5" x14ac:dyDescent="0.35">
      <c r="A929" s="198" t="s">
        <v>827</v>
      </c>
      <c r="B929" s="197">
        <v>2045</v>
      </c>
      <c r="C929" s="213" t="s">
        <v>4150</v>
      </c>
      <c r="D929" s="239">
        <v>5.6459984663315066E-3</v>
      </c>
      <c r="E929" s="226">
        <v>2.874476541998424E-2</v>
      </c>
      <c r="F929" s="226">
        <v>8.3322677780118095E-4</v>
      </c>
      <c r="G929" s="227">
        <v>7.6652930445392112E-4</v>
      </c>
      <c r="H929" s="226">
        <v>2.0000005732018805E-3</v>
      </c>
      <c r="I929" s="255">
        <v>3.676216104856949E-3</v>
      </c>
      <c r="J929" s="256">
        <v>1.0472507233049778E-5</v>
      </c>
      <c r="K929" s="257">
        <v>1.0946027539065703E-5</v>
      </c>
      <c r="L929" s="228">
        <v>3.2116241404609384E-2</v>
      </c>
    </row>
    <row r="930" spans="1:12" s="212" customFormat="1" ht="15.5" x14ac:dyDescent="0.35">
      <c r="A930" s="198" t="s">
        <v>827</v>
      </c>
      <c r="B930" s="197">
        <v>2046</v>
      </c>
      <c r="C930" s="213" t="s">
        <v>4151</v>
      </c>
      <c r="D930" s="239">
        <v>5.4978003506509941E-3</v>
      </c>
      <c r="E930" s="226">
        <v>2.7773503035005139E-2</v>
      </c>
      <c r="F930" s="226">
        <v>8.1667628293232819E-4</v>
      </c>
      <c r="G930" s="227">
        <v>7.5129944622758535E-4</v>
      </c>
      <c r="H930" s="226">
        <v>2.0000005732018801E-3</v>
      </c>
      <c r="I930" s="255">
        <v>3.6752155301162121E-3</v>
      </c>
      <c r="J930" s="256">
        <v>1.0157101358158387E-5</v>
      </c>
      <c r="K930" s="257">
        <v>1.0616360410104567E-5</v>
      </c>
      <c r="L930" s="228">
        <v>3.1962916457670243E-2</v>
      </c>
    </row>
    <row r="931" spans="1:12" s="212" customFormat="1" ht="15.5" x14ac:dyDescent="0.35">
      <c r="A931" s="198" t="s">
        <v>827</v>
      </c>
      <c r="B931" s="197">
        <v>2047</v>
      </c>
      <c r="C931" s="213" t="s">
        <v>4152</v>
      </c>
      <c r="D931" s="239">
        <v>5.3685588280484066E-3</v>
      </c>
      <c r="E931" s="226">
        <v>2.6920437792683109E-2</v>
      </c>
      <c r="F931" s="226">
        <v>8.0266356598629994E-4</v>
      </c>
      <c r="G931" s="227">
        <v>7.3840383282780552E-4</v>
      </c>
      <c r="H931" s="226">
        <v>2.0000005732018801E-3</v>
      </c>
      <c r="I931" s="255">
        <v>3.6743649969786492E-3</v>
      </c>
      <c r="J931" s="256">
        <v>9.8635548288741896E-6</v>
      </c>
      <c r="K931" s="257">
        <v>1.0309541009359561E-5</v>
      </c>
      <c r="L931" s="228">
        <v>3.1831263295547016E-2</v>
      </c>
    </row>
    <row r="932" spans="1:12" s="212" customFormat="1" ht="15.5" x14ac:dyDescent="0.35">
      <c r="A932" s="198" t="s">
        <v>827</v>
      </c>
      <c r="B932" s="197">
        <v>2048</v>
      </c>
      <c r="C932" s="213" t="s">
        <v>4153</v>
      </c>
      <c r="D932" s="239">
        <v>5.2667042569397434E-3</v>
      </c>
      <c r="E932" s="226">
        <v>2.6255576183263584E-2</v>
      </c>
      <c r="F932" s="226">
        <v>7.90878754184145E-4</v>
      </c>
      <c r="G932" s="227">
        <v>7.2756013825128112E-4</v>
      </c>
      <c r="H932" s="226">
        <v>2.0000005732018805E-3</v>
      </c>
      <c r="I932" s="255">
        <v>3.6736467235913978E-3</v>
      </c>
      <c r="J932" s="256">
        <v>9.6583560367019107E-6</v>
      </c>
      <c r="K932" s="257">
        <v>1.0095064038361408E-5</v>
      </c>
      <c r="L932" s="228">
        <v>3.171551850721066E-2</v>
      </c>
    </row>
    <row r="933" spans="1:12" s="212" customFormat="1" ht="15.5" x14ac:dyDescent="0.35">
      <c r="A933" s="198" t="s">
        <v>827</v>
      </c>
      <c r="B933" s="197">
        <v>2049</v>
      </c>
      <c r="C933" s="213" t="s">
        <v>4154</v>
      </c>
      <c r="D933" s="239">
        <v>5.2457489448203267E-3</v>
      </c>
      <c r="E933" s="226">
        <v>2.6186072930923229E-2</v>
      </c>
      <c r="F933" s="226">
        <v>7.8401438725607896E-4</v>
      </c>
      <c r="G933" s="227">
        <v>7.2124062693319779E-4</v>
      </c>
      <c r="H933" s="226">
        <v>2.0000005732018797E-3</v>
      </c>
      <c r="I933" s="255">
        <v>3.6729958030851757E-3</v>
      </c>
      <c r="J933" s="256">
        <v>9.4535633715792043E-6</v>
      </c>
      <c r="K933" s="257">
        <v>9.8810115576758529E-6</v>
      </c>
      <c r="L933" s="228">
        <v>3.1613175075753938E-2</v>
      </c>
    </row>
    <row r="934" spans="1:12" s="212" customFormat="1" ht="15.5" x14ac:dyDescent="0.35">
      <c r="A934" s="198" t="s">
        <v>827</v>
      </c>
      <c r="B934" s="197">
        <v>2050</v>
      </c>
      <c r="C934" s="213" t="s">
        <v>4155</v>
      </c>
      <c r="D934" s="239">
        <v>5.2292524174232542E-3</v>
      </c>
      <c r="E934" s="226">
        <v>2.6130592439193197E-2</v>
      </c>
      <c r="F934" s="226">
        <v>7.7832739577758387E-4</v>
      </c>
      <c r="G934" s="227">
        <v>7.1600007075690907E-4</v>
      </c>
      <c r="H934" s="226">
        <v>2.0000005732018797E-3</v>
      </c>
      <c r="I934" s="255">
        <v>3.6724843966073409E-3</v>
      </c>
      <c r="J934" s="256">
        <v>9.1564232039809181E-6</v>
      </c>
      <c r="K934" s="257">
        <v>9.5704360302387383E-6</v>
      </c>
      <c r="L934" s="228">
        <v>3.1521793733806772E-2</v>
      </c>
    </row>
    <row r="935" spans="1:12" s="212" customFormat="1" ht="15.5" x14ac:dyDescent="0.35">
      <c r="A935" s="198" t="s">
        <v>828</v>
      </c>
      <c r="B935" s="197">
        <v>2015</v>
      </c>
      <c r="C935" s="213" t="s">
        <v>909</v>
      </c>
      <c r="D935" s="239">
        <v>6.7313343980878362E-2</v>
      </c>
      <c r="E935" s="226">
        <v>0.31476204772173988</v>
      </c>
      <c r="F935" s="226">
        <v>2.5271152921892788E-3</v>
      </c>
      <c r="G935" s="227">
        <v>2.339290273412337E-3</v>
      </c>
      <c r="H935" s="226">
        <v>2.0000005732018801E-3</v>
      </c>
      <c r="I935" s="255">
        <v>2.5613579833871827E-3</v>
      </c>
      <c r="J935" s="256">
        <v>2.8743439899462021E-4</v>
      </c>
      <c r="K935" s="257">
        <v>3.0043090704590125E-4</v>
      </c>
      <c r="L935" s="228">
        <v>4.5939534087537308E-2</v>
      </c>
    </row>
    <row r="936" spans="1:12" s="212" customFormat="1" ht="15.5" x14ac:dyDescent="0.35">
      <c r="A936" s="198" t="s">
        <v>828</v>
      </c>
      <c r="B936" s="197">
        <v>2016</v>
      </c>
      <c r="C936" s="213" t="s">
        <v>910</v>
      </c>
      <c r="D936" s="239">
        <v>5.855821332898152E-2</v>
      </c>
      <c r="E936" s="226">
        <v>0.28529356909943154</v>
      </c>
      <c r="F936" s="226">
        <v>2.4312140659384206E-3</v>
      </c>
      <c r="G936" s="227">
        <v>2.2492604402036659E-3</v>
      </c>
      <c r="H936" s="226">
        <v>2.0000005732018805E-3</v>
      </c>
      <c r="I936" s="255">
        <v>2.5556433470118318E-3</v>
      </c>
      <c r="J936" s="256">
        <v>2.7184097361888763E-4</v>
      </c>
      <c r="K936" s="257">
        <v>2.8413241616947853E-4</v>
      </c>
      <c r="L936" s="228">
        <v>4.5016138427292435E-2</v>
      </c>
    </row>
    <row r="937" spans="1:12" s="212" customFormat="1" ht="15.5" x14ac:dyDescent="0.35">
      <c r="A937" s="198" t="s">
        <v>828</v>
      </c>
      <c r="B937" s="197">
        <v>2017</v>
      </c>
      <c r="C937" s="213" t="s">
        <v>4156</v>
      </c>
      <c r="D937" s="239">
        <v>4.7700881469436116E-2</v>
      </c>
      <c r="E937" s="226">
        <v>0.2415225656066845</v>
      </c>
      <c r="F937" s="226">
        <v>2.2858208225933043E-3</v>
      </c>
      <c r="G937" s="227">
        <v>2.11344287879532E-3</v>
      </c>
      <c r="H937" s="226">
        <v>2.0000005732018801E-3</v>
      </c>
      <c r="I937" s="255">
        <v>2.5577231832761482E-3</v>
      </c>
      <c r="J937" s="256">
        <v>2.4518258062470363E-4</v>
      </c>
      <c r="K937" s="257">
        <v>2.5626864893896466E-4</v>
      </c>
      <c r="L937" s="228">
        <v>4.4686126309536556E-2</v>
      </c>
    </row>
    <row r="938" spans="1:12" s="212" customFormat="1" ht="15.5" x14ac:dyDescent="0.35">
      <c r="A938" s="198" t="s">
        <v>828</v>
      </c>
      <c r="B938" s="197">
        <v>2018</v>
      </c>
      <c r="C938" s="213" t="s">
        <v>4157</v>
      </c>
      <c r="D938" s="239">
        <v>4.0677061773226462E-2</v>
      </c>
      <c r="E938" s="226">
        <v>0.21249128271013512</v>
      </c>
      <c r="F938" s="226">
        <v>2.2281238891125924E-3</v>
      </c>
      <c r="G938" s="227">
        <v>2.0586685426033998E-3</v>
      </c>
      <c r="H938" s="226">
        <v>2.0000005732018797E-3</v>
      </c>
      <c r="I938" s="255">
        <v>2.5589775367141731E-3</v>
      </c>
      <c r="J938" s="256">
        <v>2.1962526585415847E-4</v>
      </c>
      <c r="K938" s="257">
        <v>2.2955574580340004E-4</v>
      </c>
      <c r="L938" s="228">
        <v>4.4117423947377742E-2</v>
      </c>
    </row>
    <row r="939" spans="1:12" s="212" customFormat="1" ht="15.5" x14ac:dyDescent="0.35">
      <c r="A939" s="198" t="s">
        <v>828</v>
      </c>
      <c r="B939" s="197">
        <v>2019</v>
      </c>
      <c r="C939" s="213" t="s">
        <v>4158</v>
      </c>
      <c r="D939" s="239">
        <v>3.4531606085387322E-2</v>
      </c>
      <c r="E939" s="226">
        <v>0.18377531684862888</v>
      </c>
      <c r="F939" s="226">
        <v>2.0968402762074193E-3</v>
      </c>
      <c r="G939" s="227">
        <v>1.9334283095067981E-3</v>
      </c>
      <c r="H939" s="226">
        <v>2.0000005732018801E-3</v>
      </c>
      <c r="I939" s="255">
        <v>2.5604169325184269E-3</v>
      </c>
      <c r="J939" s="256">
        <v>1.1751809340112964E-4</v>
      </c>
      <c r="K939" s="257">
        <v>1.2283174010591251E-4</v>
      </c>
      <c r="L939" s="228">
        <v>4.3437179088640539E-2</v>
      </c>
    </row>
    <row r="940" spans="1:12" s="212" customFormat="1" ht="15.5" x14ac:dyDescent="0.35">
      <c r="A940" s="198" t="s">
        <v>828</v>
      </c>
      <c r="B940" s="197">
        <v>2020</v>
      </c>
      <c r="C940" s="213" t="s">
        <v>4159</v>
      </c>
      <c r="D940" s="239">
        <v>3.0467038633250912E-2</v>
      </c>
      <c r="E940" s="226">
        <v>0.16465762515012941</v>
      </c>
      <c r="F940" s="226">
        <v>2.0359613665689364E-3</v>
      </c>
      <c r="G940" s="227">
        <v>1.8769192285960491E-3</v>
      </c>
      <c r="H940" s="226">
        <v>2.0000005732018801E-3</v>
      </c>
      <c r="I940" s="255">
        <v>2.5664134904476508E-3</v>
      </c>
      <c r="J940" s="256">
        <v>1.0906289039335489E-4</v>
      </c>
      <c r="K940" s="257">
        <v>1.1399423033753394E-4</v>
      </c>
      <c r="L940" s="228">
        <v>4.3102675862652227E-2</v>
      </c>
    </row>
    <row r="941" spans="1:12" s="212" customFormat="1" ht="15.5" x14ac:dyDescent="0.35">
      <c r="A941" s="198" t="s">
        <v>828</v>
      </c>
      <c r="B941" s="197">
        <v>2021</v>
      </c>
      <c r="C941" s="213" t="s">
        <v>4160</v>
      </c>
      <c r="D941" s="239">
        <v>2.6388552005638791E-2</v>
      </c>
      <c r="E941" s="226">
        <v>0.14547891446325209</v>
      </c>
      <c r="F941" s="226">
        <v>1.9316311456961058E-3</v>
      </c>
      <c r="G941" s="227">
        <v>1.7803066230004108E-3</v>
      </c>
      <c r="H941" s="226">
        <v>2.0000005732018801E-3</v>
      </c>
      <c r="I941" s="255">
        <v>2.5687779043097464E-3</v>
      </c>
      <c r="J941" s="256">
        <v>9.718787228044971E-5</v>
      </c>
      <c r="K941" s="257">
        <v>1.015822766001757E-4</v>
      </c>
      <c r="L941" s="228">
        <v>4.2270328563260767E-2</v>
      </c>
    </row>
    <row r="942" spans="1:12" s="212" customFormat="1" ht="15.5" x14ac:dyDescent="0.35">
      <c r="A942" s="198" t="s">
        <v>828</v>
      </c>
      <c r="B942" s="197">
        <v>2022</v>
      </c>
      <c r="C942" s="213" t="s">
        <v>4161</v>
      </c>
      <c r="D942" s="239">
        <v>2.1985801356949997E-2</v>
      </c>
      <c r="E942" s="226">
        <v>0.1267715688839339</v>
      </c>
      <c r="F942" s="226">
        <v>1.8244325959489321E-3</v>
      </c>
      <c r="G942" s="227">
        <v>1.6810657869771426E-3</v>
      </c>
      <c r="H942" s="226">
        <v>2.0000005732018801E-3</v>
      </c>
      <c r="I942" s="255">
        <v>2.567533338818085E-3</v>
      </c>
      <c r="J942" s="256">
        <v>8.8267235735905162E-5</v>
      </c>
      <c r="K942" s="257">
        <v>9.2258288455825195E-5</v>
      </c>
      <c r="L942" s="228">
        <v>4.1534413592749189E-2</v>
      </c>
    </row>
    <row r="943" spans="1:12" s="212" customFormat="1" ht="15.5" x14ac:dyDescent="0.35">
      <c r="A943" s="198" t="s">
        <v>828</v>
      </c>
      <c r="B943" s="197">
        <v>2023</v>
      </c>
      <c r="C943" s="213" t="s">
        <v>4162</v>
      </c>
      <c r="D943" s="239">
        <v>1.921130636581829E-2</v>
      </c>
      <c r="E943" s="226">
        <v>0.11153984644792063</v>
      </c>
      <c r="F943" s="226">
        <v>1.7307734712584254E-3</v>
      </c>
      <c r="G943" s="227">
        <v>1.594550101089266E-3</v>
      </c>
      <c r="H943" s="226">
        <v>2.0000005732018805E-3</v>
      </c>
      <c r="I943" s="255">
        <v>2.566027701354257E-3</v>
      </c>
      <c r="J943" s="256">
        <v>7.9379565892718292E-5</v>
      </c>
      <c r="K943" s="257">
        <v>8.2968757620780181E-5</v>
      </c>
      <c r="L943" s="228">
        <v>4.0754433189241795E-2</v>
      </c>
    </row>
    <row r="944" spans="1:12" s="212" customFormat="1" ht="15.5" x14ac:dyDescent="0.35">
      <c r="A944" s="198" t="s">
        <v>828</v>
      </c>
      <c r="B944" s="197">
        <v>2024</v>
      </c>
      <c r="C944" s="213" t="s">
        <v>4163</v>
      </c>
      <c r="D944" s="239">
        <v>1.6745148187139333E-2</v>
      </c>
      <c r="E944" s="226">
        <v>9.8292744344317964E-2</v>
      </c>
      <c r="F944" s="226">
        <v>1.6444145385200136E-3</v>
      </c>
      <c r="G944" s="227">
        <v>1.5147340451955238E-3</v>
      </c>
      <c r="H944" s="226">
        <v>2.0000005732018805E-3</v>
      </c>
      <c r="I944" s="255">
        <v>2.5647193729196266E-3</v>
      </c>
      <c r="J944" s="256">
        <v>7.0373445816122014E-5</v>
      </c>
      <c r="K944" s="257">
        <v>7.3555420758386164E-5</v>
      </c>
      <c r="L944" s="228">
        <v>3.9941354094031246E-2</v>
      </c>
    </row>
    <row r="945" spans="1:12" s="212" customFormat="1" ht="15.5" x14ac:dyDescent="0.35">
      <c r="A945" s="198" t="s">
        <v>828</v>
      </c>
      <c r="B945" s="197">
        <v>2025</v>
      </c>
      <c r="C945" s="213" t="s">
        <v>4164</v>
      </c>
      <c r="D945" s="239">
        <v>1.4881417959746441E-2</v>
      </c>
      <c r="E945" s="226">
        <v>8.7718819535158685E-2</v>
      </c>
      <c r="F945" s="226">
        <v>1.5746028294479665E-3</v>
      </c>
      <c r="G945" s="227">
        <v>1.4501757788830275E-3</v>
      </c>
      <c r="H945" s="226">
        <v>2.0000005732018801E-3</v>
      </c>
      <c r="I945" s="255">
        <v>2.563607451018619E-3</v>
      </c>
      <c r="J945" s="256">
        <v>6.1175555434013165E-5</v>
      </c>
      <c r="K945" s="257">
        <v>6.3941642588232492E-5</v>
      </c>
      <c r="L945" s="228">
        <v>3.9106523841263639E-2</v>
      </c>
    </row>
    <row r="946" spans="1:12" s="212" customFormat="1" ht="15.5" x14ac:dyDescent="0.35">
      <c r="A946" s="198" t="s">
        <v>828</v>
      </c>
      <c r="B946" s="197">
        <v>2026</v>
      </c>
      <c r="C946" s="213" t="s">
        <v>4165</v>
      </c>
      <c r="D946" s="239">
        <v>1.3279118492601031E-2</v>
      </c>
      <c r="E946" s="226">
        <v>7.8770557547467326E-2</v>
      </c>
      <c r="F946" s="226">
        <v>1.5047280217751636E-3</v>
      </c>
      <c r="G946" s="227">
        <v>1.3856471348526263E-3</v>
      </c>
      <c r="H946" s="226">
        <v>2.0000005732018801E-3</v>
      </c>
      <c r="I946" s="255">
        <v>2.5624016786895938E-3</v>
      </c>
      <c r="J946" s="256">
        <v>5.4019127551092117E-5</v>
      </c>
      <c r="K946" s="257">
        <v>5.6461632792624073E-5</v>
      </c>
      <c r="L946" s="228">
        <v>3.8288911132997094E-2</v>
      </c>
    </row>
    <row r="947" spans="1:12" s="212" customFormat="1" ht="15.5" x14ac:dyDescent="0.35">
      <c r="A947" s="198" t="s">
        <v>828</v>
      </c>
      <c r="B947" s="197">
        <v>2027</v>
      </c>
      <c r="C947" s="213" t="s">
        <v>4166</v>
      </c>
      <c r="D947" s="239">
        <v>1.1945237714061255E-2</v>
      </c>
      <c r="E947" s="226">
        <v>7.1157715113989231E-2</v>
      </c>
      <c r="F947" s="226">
        <v>1.4259001833638975E-3</v>
      </c>
      <c r="G947" s="227">
        <v>1.3128654483394993E-3</v>
      </c>
      <c r="H947" s="226">
        <v>2.0000005732018801E-3</v>
      </c>
      <c r="I947" s="255">
        <v>2.5610634625635748E-3</v>
      </c>
      <c r="J947" s="256">
        <v>4.6271323007949236E-5</v>
      </c>
      <c r="K947" s="257">
        <v>4.8363506908413917E-5</v>
      </c>
      <c r="L947" s="228">
        <v>3.7510360387818249E-2</v>
      </c>
    </row>
    <row r="948" spans="1:12" s="212" customFormat="1" ht="15.5" x14ac:dyDescent="0.35">
      <c r="A948" s="198" t="s">
        <v>828</v>
      </c>
      <c r="B948" s="197">
        <v>2028</v>
      </c>
      <c r="C948" s="213" t="s">
        <v>4167</v>
      </c>
      <c r="D948" s="239">
        <v>1.0809673023761634E-2</v>
      </c>
      <c r="E948" s="226">
        <v>6.4646176424192778E-2</v>
      </c>
      <c r="F948" s="226">
        <v>1.3369411284213058E-3</v>
      </c>
      <c r="G948" s="227">
        <v>1.2306869343088798E-3</v>
      </c>
      <c r="H948" s="226">
        <v>2.0000005732018805E-3</v>
      </c>
      <c r="I948" s="255">
        <v>2.5598798296706297E-3</v>
      </c>
      <c r="J948" s="256">
        <v>3.641715377784655E-5</v>
      </c>
      <c r="K948" s="257">
        <v>3.80637758729542E-5</v>
      </c>
      <c r="L948" s="228">
        <v>3.6782266071416131E-2</v>
      </c>
    </row>
    <row r="949" spans="1:12" s="212" customFormat="1" ht="15.5" x14ac:dyDescent="0.35">
      <c r="A949" s="198" t="s">
        <v>828</v>
      </c>
      <c r="B949" s="197">
        <v>2029</v>
      </c>
      <c r="C949" s="213" t="s">
        <v>4168</v>
      </c>
      <c r="D949" s="239">
        <v>9.7926937464170773E-3</v>
      </c>
      <c r="E949" s="226">
        <v>5.8921768989184976E-2</v>
      </c>
      <c r="F949" s="226">
        <v>1.2541629568022052E-3</v>
      </c>
      <c r="G949" s="227">
        <v>1.1543870871095127E-3</v>
      </c>
      <c r="H949" s="226">
        <v>2.0000005732018801E-3</v>
      </c>
      <c r="I949" s="255">
        <v>2.5587693097933171E-3</v>
      </c>
      <c r="J949" s="256">
        <v>3.1582449455265693E-5</v>
      </c>
      <c r="K949" s="257">
        <v>3.3010467674589035E-5</v>
      </c>
      <c r="L949" s="228">
        <v>3.6104802935636005E-2</v>
      </c>
    </row>
    <row r="950" spans="1:12" s="212" customFormat="1" ht="15.5" x14ac:dyDescent="0.35">
      <c r="A950" s="198" t="s">
        <v>828</v>
      </c>
      <c r="B950" s="197">
        <v>2030</v>
      </c>
      <c r="C950" s="213" t="s">
        <v>4169</v>
      </c>
      <c r="D950" s="239">
        <v>8.9611904523492734E-3</v>
      </c>
      <c r="E950" s="226">
        <v>5.4154868974981125E-2</v>
      </c>
      <c r="F950" s="226">
        <v>1.1767727517117518E-3</v>
      </c>
      <c r="G950" s="227">
        <v>1.0830695566208604E-3</v>
      </c>
      <c r="H950" s="226">
        <v>2.0000005732018801E-3</v>
      </c>
      <c r="I950" s="255">
        <v>2.557792404507573E-3</v>
      </c>
      <c r="J950" s="256">
        <v>2.7473573872515998E-5</v>
      </c>
      <c r="K950" s="257">
        <v>2.8715806970852681E-5</v>
      </c>
      <c r="L950" s="228">
        <v>3.5479146026219086E-2</v>
      </c>
    </row>
    <row r="951" spans="1:12" s="212" customFormat="1" ht="15.5" x14ac:dyDescent="0.35">
      <c r="A951" s="198" t="s">
        <v>828</v>
      </c>
      <c r="B951" s="197">
        <v>2031</v>
      </c>
      <c r="C951" s="213" t="s">
        <v>4170</v>
      </c>
      <c r="D951" s="239">
        <v>8.2465512615384814E-3</v>
      </c>
      <c r="E951" s="226">
        <v>5.0055218511093527E-2</v>
      </c>
      <c r="F951" s="226">
        <v>1.1051794945617784E-3</v>
      </c>
      <c r="G951" s="227">
        <v>1.0171316407271136E-3</v>
      </c>
      <c r="H951" s="226">
        <v>2.0000005732018801E-3</v>
      </c>
      <c r="I951" s="255">
        <v>2.5568030650242727E-3</v>
      </c>
      <c r="J951" s="256">
        <v>2.4636035395914341E-5</v>
      </c>
      <c r="K951" s="257">
        <v>2.5749967595729604E-5</v>
      </c>
      <c r="L951" s="228">
        <v>3.4900815952002562E-2</v>
      </c>
    </row>
    <row r="952" spans="1:12" s="212" customFormat="1" ht="15.5" x14ac:dyDescent="0.35">
      <c r="A952" s="198" t="s">
        <v>828</v>
      </c>
      <c r="B952" s="197">
        <v>2032</v>
      </c>
      <c r="C952" s="213" t="s">
        <v>4171</v>
      </c>
      <c r="D952" s="239">
        <v>7.6147986218622326E-3</v>
      </c>
      <c r="E952" s="226">
        <v>4.6478554127461713E-2</v>
      </c>
      <c r="F952" s="226">
        <v>1.0364621403421799E-3</v>
      </c>
      <c r="G952" s="227">
        <v>9.5380265194314141E-4</v>
      </c>
      <c r="H952" s="226">
        <v>2.0000005732018805E-3</v>
      </c>
      <c r="I952" s="255">
        <v>2.555788720286003E-3</v>
      </c>
      <c r="J952" s="256">
        <v>2.0890979701056864E-5</v>
      </c>
      <c r="K952" s="257">
        <v>2.1835577100789194E-5</v>
      </c>
      <c r="L952" s="228">
        <v>3.4369938899815336E-2</v>
      </c>
    </row>
    <row r="953" spans="1:12" s="212" customFormat="1" ht="15.5" x14ac:dyDescent="0.35">
      <c r="A953" s="198" t="s">
        <v>828</v>
      </c>
      <c r="B953" s="197">
        <v>2033</v>
      </c>
      <c r="C953" s="213" t="s">
        <v>4172</v>
      </c>
      <c r="D953" s="239">
        <v>7.0605618826866494E-3</v>
      </c>
      <c r="E953" s="226">
        <v>4.3411686682541056E-2</v>
      </c>
      <c r="F953" s="226">
        <v>9.7374927469432348E-4</v>
      </c>
      <c r="G953" s="227">
        <v>8.9606795438785017E-4</v>
      </c>
      <c r="H953" s="226">
        <v>2.0000005732018801E-3</v>
      </c>
      <c r="I953" s="255">
        <v>2.5547382504566979E-3</v>
      </c>
      <c r="J953" s="256">
        <v>1.9029399874041835E-5</v>
      </c>
      <c r="K953" s="257">
        <v>1.9889824894634691E-5</v>
      </c>
      <c r="L953" s="228">
        <v>3.3884593549498541E-2</v>
      </c>
    </row>
    <row r="954" spans="1:12" s="212" customFormat="1" ht="15.5" x14ac:dyDescent="0.35">
      <c r="A954" s="198" t="s">
        <v>828</v>
      </c>
      <c r="B954" s="197">
        <v>2034</v>
      </c>
      <c r="C954" s="213" t="s">
        <v>4173</v>
      </c>
      <c r="D954" s="239">
        <v>6.5681630367221385E-3</v>
      </c>
      <c r="E954" s="226">
        <v>4.0778837774820047E-2</v>
      </c>
      <c r="F954" s="226">
        <v>9.1542333368612198E-4</v>
      </c>
      <c r="G954" s="227">
        <v>8.4237191090068373E-4</v>
      </c>
      <c r="H954" s="226">
        <v>2.0000005732018797E-3</v>
      </c>
      <c r="I954" s="255">
        <v>2.5536862792605807E-3</v>
      </c>
      <c r="J954" s="256">
        <v>1.72971430451478E-5</v>
      </c>
      <c r="K954" s="257">
        <v>1.807924309871391E-5</v>
      </c>
      <c r="L954" s="228">
        <v>3.3440431087301437E-2</v>
      </c>
    </row>
    <row r="955" spans="1:12" s="212" customFormat="1" ht="15.5" x14ac:dyDescent="0.35">
      <c r="A955" s="198" t="s">
        <v>828</v>
      </c>
      <c r="B955" s="197">
        <v>2035</v>
      </c>
      <c r="C955" s="213" t="s">
        <v>4174</v>
      </c>
      <c r="D955" s="239">
        <v>6.1400660056604127E-3</v>
      </c>
      <c r="E955" s="226">
        <v>3.8567058072998824E-2</v>
      </c>
      <c r="F955" s="226">
        <v>8.6189601471640194E-4</v>
      </c>
      <c r="G955" s="227">
        <v>7.9309658625077912E-4</v>
      </c>
      <c r="H955" s="226">
        <v>2.0000005732018797E-3</v>
      </c>
      <c r="I955" s="255">
        <v>2.5526842213213045E-3</v>
      </c>
      <c r="J955" s="256">
        <v>1.5784659625668387E-5</v>
      </c>
      <c r="K955" s="257">
        <v>1.6498371890551391E-5</v>
      </c>
      <c r="L955" s="228">
        <v>3.3038844858342929E-2</v>
      </c>
    </row>
    <row r="956" spans="1:12" s="212" customFormat="1" ht="15.5" x14ac:dyDescent="0.35">
      <c r="A956" s="198" t="s">
        <v>828</v>
      </c>
      <c r="B956" s="197">
        <v>2036</v>
      </c>
      <c r="C956" s="213" t="s">
        <v>4175</v>
      </c>
      <c r="D956" s="239">
        <v>5.768337492385785E-3</v>
      </c>
      <c r="E956" s="226">
        <v>3.6667711233417576E-2</v>
      </c>
      <c r="F956" s="226">
        <v>8.1567331138708435E-4</v>
      </c>
      <c r="G956" s="227">
        <v>7.5054457456808844E-4</v>
      </c>
      <c r="H956" s="226">
        <v>2.0000005732018801E-3</v>
      </c>
      <c r="I956" s="255">
        <v>2.551739359179803E-3</v>
      </c>
      <c r="J956" s="256">
        <v>1.4451539763541591E-5</v>
      </c>
      <c r="K956" s="257">
        <v>1.5104974263891018E-5</v>
      </c>
      <c r="L956" s="228">
        <v>3.2679352528762938E-2</v>
      </c>
    </row>
    <row r="957" spans="1:12" s="212" customFormat="1" ht="15.5" x14ac:dyDescent="0.35">
      <c r="A957" s="198" t="s">
        <v>828</v>
      </c>
      <c r="B957" s="197">
        <v>2037</v>
      </c>
      <c r="C957" s="213" t="s">
        <v>4176</v>
      </c>
      <c r="D957" s="239">
        <v>5.424912615870167E-3</v>
      </c>
      <c r="E957" s="226">
        <v>3.4942517046575028E-2</v>
      </c>
      <c r="F957" s="226">
        <v>7.7368899624001238E-4</v>
      </c>
      <c r="G957" s="227">
        <v>7.1189526311965924E-4</v>
      </c>
      <c r="H957" s="226">
        <v>2.0000005732018797E-3</v>
      </c>
      <c r="I957" s="255">
        <v>2.5508683743751212E-3</v>
      </c>
      <c r="J957" s="256">
        <v>1.3263654350691268E-5</v>
      </c>
      <c r="K957" s="257">
        <v>1.3863377943835034E-5</v>
      </c>
      <c r="L957" s="228">
        <v>3.2359364578986395E-2</v>
      </c>
    </row>
    <row r="958" spans="1:12" s="212" customFormat="1" ht="15.5" x14ac:dyDescent="0.35">
      <c r="A958" s="198" t="s">
        <v>828</v>
      </c>
      <c r="B958" s="197">
        <v>2038</v>
      </c>
      <c r="C958" s="213" t="s">
        <v>4177</v>
      </c>
      <c r="D958" s="239">
        <v>5.1230530182138348E-3</v>
      </c>
      <c r="E958" s="226">
        <v>3.3421515681813813E-2</v>
      </c>
      <c r="F958" s="226">
        <v>7.3641598174411453E-4</v>
      </c>
      <c r="G958" s="227">
        <v>6.7758742599012241E-4</v>
      </c>
      <c r="H958" s="226">
        <v>2.0000005732018797E-3</v>
      </c>
      <c r="I958" s="255">
        <v>2.5500613323665802E-3</v>
      </c>
      <c r="J958" s="256">
        <v>1.2322344118623081E-5</v>
      </c>
      <c r="K958" s="257">
        <v>1.2879505840075039E-5</v>
      </c>
      <c r="L958" s="228">
        <v>3.2078231424666953E-2</v>
      </c>
    </row>
    <row r="959" spans="1:12" s="212" customFormat="1" ht="15.5" x14ac:dyDescent="0.35">
      <c r="A959" s="198" t="s">
        <v>828</v>
      </c>
      <c r="B959" s="197">
        <v>2039</v>
      </c>
      <c r="C959" s="213" t="s">
        <v>4178</v>
      </c>
      <c r="D959" s="239">
        <v>4.8310706301876172E-3</v>
      </c>
      <c r="E959" s="226">
        <v>3.1983759413915937E-2</v>
      </c>
      <c r="F959" s="226">
        <v>7.0293225371582534E-4</v>
      </c>
      <c r="G959" s="227">
        <v>6.4676841596727705E-4</v>
      </c>
      <c r="H959" s="226">
        <v>2.0000005732018805E-3</v>
      </c>
      <c r="I959" s="255">
        <v>2.5493563483117679E-3</v>
      </c>
      <c r="J959" s="256">
        <v>1.1502125389161142E-5</v>
      </c>
      <c r="K959" s="257">
        <v>1.2022200459333502E-5</v>
      </c>
      <c r="L959" s="228">
        <v>3.182927600562787E-2</v>
      </c>
    </row>
    <row r="960" spans="1:12" s="212" customFormat="1" ht="15.5" x14ac:dyDescent="0.35">
      <c r="A960" s="198" t="s">
        <v>828</v>
      </c>
      <c r="B960" s="197">
        <v>2040</v>
      </c>
      <c r="C960" s="213" t="s">
        <v>4179</v>
      </c>
      <c r="D960" s="239">
        <v>4.5800040048353382E-3</v>
      </c>
      <c r="E960" s="226">
        <v>3.0772180145700229E-2</v>
      </c>
      <c r="F960" s="226">
        <v>6.7345839803631673E-4</v>
      </c>
      <c r="G960" s="227">
        <v>6.1963607324320524E-4</v>
      </c>
      <c r="H960" s="226">
        <v>2.0000005732018801E-3</v>
      </c>
      <c r="I960" s="255">
        <v>2.5487485615660198E-3</v>
      </c>
      <c r="J960" s="256">
        <v>1.0675174340034778E-5</v>
      </c>
      <c r="K960" s="257">
        <v>1.1157858353306591E-5</v>
      </c>
      <c r="L960" s="228">
        <v>3.1612702815651553E-2</v>
      </c>
    </row>
    <row r="961" spans="1:12" s="212" customFormat="1" ht="15.5" x14ac:dyDescent="0.35">
      <c r="A961" s="198" t="s">
        <v>828</v>
      </c>
      <c r="B961" s="197">
        <v>2041</v>
      </c>
      <c r="C961" s="213" t="s">
        <v>4180</v>
      </c>
      <c r="D961" s="239">
        <v>4.3790135270724839E-3</v>
      </c>
      <c r="E961" s="226">
        <v>2.9730709825120279E-2</v>
      </c>
      <c r="F961" s="226">
        <v>6.5083090153968831E-4</v>
      </c>
      <c r="G961" s="227">
        <v>5.9880782368255708E-4</v>
      </c>
      <c r="H961" s="226">
        <v>2.0000005732018805E-3</v>
      </c>
      <c r="I961" s="255">
        <v>2.548260277846018E-3</v>
      </c>
      <c r="J961" s="256">
        <v>1.0082256673296289E-5</v>
      </c>
      <c r="K961" s="257">
        <v>1.0538131580711375E-5</v>
      </c>
      <c r="L961" s="228">
        <v>3.1425742564540969E-2</v>
      </c>
    </row>
    <row r="962" spans="1:12" s="212" customFormat="1" ht="15.5" x14ac:dyDescent="0.35">
      <c r="A962" s="198" t="s">
        <v>828</v>
      </c>
      <c r="B962" s="197">
        <v>2042</v>
      </c>
      <c r="C962" s="213" t="s">
        <v>4181</v>
      </c>
      <c r="D962" s="239">
        <v>4.204544332728875E-3</v>
      </c>
      <c r="E962" s="226">
        <v>2.8749914475491755E-2</v>
      </c>
      <c r="F962" s="226">
        <v>6.312207472408684E-4</v>
      </c>
      <c r="G962" s="227">
        <v>5.8075751326007853E-4</v>
      </c>
      <c r="H962" s="226">
        <v>2.0000005732018805E-3</v>
      </c>
      <c r="I962" s="255">
        <v>2.5478117562749659E-3</v>
      </c>
      <c r="J962" s="256">
        <v>9.5818467069284033E-6</v>
      </c>
      <c r="K962" s="257">
        <v>1.0015095296200645E-5</v>
      </c>
      <c r="L962" s="228">
        <v>3.1261070952479042E-2</v>
      </c>
    </row>
    <row r="963" spans="1:12" s="212" customFormat="1" ht="15.5" x14ac:dyDescent="0.35">
      <c r="A963" s="198" t="s">
        <v>828</v>
      </c>
      <c r="B963" s="197">
        <v>2043</v>
      </c>
      <c r="C963" s="213" t="s">
        <v>4182</v>
      </c>
      <c r="D963" s="239">
        <v>4.0619121855317393E-3</v>
      </c>
      <c r="E963" s="226">
        <v>2.7878164046001821E-2</v>
      </c>
      <c r="F963" s="226">
        <v>6.1421522072290511E-4</v>
      </c>
      <c r="G963" s="227">
        <v>5.6510140335414504E-4</v>
      </c>
      <c r="H963" s="226">
        <v>2.0000005732018801E-3</v>
      </c>
      <c r="I963" s="255">
        <v>2.5474380352394884E-3</v>
      </c>
      <c r="J963" s="256">
        <v>9.0645338804222725E-6</v>
      </c>
      <c r="K963" s="257">
        <v>9.4743918792215823E-6</v>
      </c>
      <c r="L963" s="228">
        <v>3.1118659536678066E-2</v>
      </c>
    </row>
    <row r="964" spans="1:12" s="212" customFormat="1" ht="15.5" x14ac:dyDescent="0.35">
      <c r="A964" s="198" t="s">
        <v>828</v>
      </c>
      <c r="B964" s="197">
        <v>2044</v>
      </c>
      <c r="C964" s="213" t="s">
        <v>4183</v>
      </c>
      <c r="D964" s="239">
        <v>3.9501237419922106E-3</v>
      </c>
      <c r="E964" s="226">
        <v>2.707005375656896E-2</v>
      </c>
      <c r="F964" s="226">
        <v>5.9964994981422408E-4</v>
      </c>
      <c r="G964" s="227">
        <v>5.5169523075773849E-4</v>
      </c>
      <c r="H964" s="226">
        <v>2.0000005732018801E-3</v>
      </c>
      <c r="I964" s="255">
        <v>2.5471131577815258E-3</v>
      </c>
      <c r="J964" s="256">
        <v>8.7066639548973919E-6</v>
      </c>
      <c r="K964" s="257">
        <v>9.1003406636887553E-6</v>
      </c>
      <c r="L964" s="228">
        <v>3.0994730412689884E-2</v>
      </c>
    </row>
    <row r="965" spans="1:12" s="212" customFormat="1" ht="15.5" x14ac:dyDescent="0.35">
      <c r="A965" s="198" t="s">
        <v>828</v>
      </c>
      <c r="B965" s="197">
        <v>2045</v>
      </c>
      <c r="C965" s="213" t="s">
        <v>4184</v>
      </c>
      <c r="D965" s="239">
        <v>3.8663920931387413E-3</v>
      </c>
      <c r="E965" s="226">
        <v>2.6340789729733517E-2</v>
      </c>
      <c r="F965" s="226">
        <v>5.8704415996784355E-4</v>
      </c>
      <c r="G965" s="227">
        <v>5.4009011742470138E-4</v>
      </c>
      <c r="H965" s="226">
        <v>2.0000005732018801E-3</v>
      </c>
      <c r="I965" s="255">
        <v>2.546855108170337E-3</v>
      </c>
      <c r="J965" s="256">
        <v>8.3331061822835075E-6</v>
      </c>
      <c r="K965" s="257">
        <v>8.7098922662353362E-6</v>
      </c>
      <c r="L965" s="228">
        <v>3.0884234096181809E-2</v>
      </c>
    </row>
    <row r="966" spans="1:12" s="212" customFormat="1" ht="15.5" x14ac:dyDescent="0.35">
      <c r="A966" s="198" t="s">
        <v>828</v>
      </c>
      <c r="B966" s="197">
        <v>2046</v>
      </c>
      <c r="C966" s="213" t="s">
        <v>4185</v>
      </c>
      <c r="D966" s="239">
        <v>3.7836517777851369E-3</v>
      </c>
      <c r="E966" s="226">
        <v>2.5615064214804348E-2</v>
      </c>
      <c r="F966" s="226">
        <v>5.7622089065617512E-4</v>
      </c>
      <c r="G966" s="227">
        <v>5.3012776910752628E-4</v>
      </c>
      <c r="H966" s="226">
        <v>2.0000005732018801E-3</v>
      </c>
      <c r="I966" s="255">
        <v>2.546615146965533E-3</v>
      </c>
      <c r="J966" s="256">
        <v>8.0571588202062532E-6</v>
      </c>
      <c r="K966" s="257">
        <v>8.4214677889432231E-6</v>
      </c>
      <c r="L966" s="228">
        <v>3.0786850692155688E-2</v>
      </c>
    </row>
    <row r="967" spans="1:12" s="212" customFormat="1" ht="15.5" x14ac:dyDescent="0.35">
      <c r="A967" s="198" t="s">
        <v>828</v>
      </c>
      <c r="B967" s="197">
        <v>2047</v>
      </c>
      <c r="C967" s="213" t="s">
        <v>4186</v>
      </c>
      <c r="D967" s="239">
        <v>3.7108745103813343E-3</v>
      </c>
      <c r="E967" s="226">
        <v>2.4967286115319905E-2</v>
      </c>
      <c r="F967" s="226">
        <v>5.6694710880648991E-4</v>
      </c>
      <c r="G967" s="227">
        <v>5.2158740999074416E-4</v>
      </c>
      <c r="H967" s="226">
        <v>2.0000005732018801E-3</v>
      </c>
      <c r="I967" s="255">
        <v>2.5464239463431461E-3</v>
      </c>
      <c r="J967" s="256">
        <v>7.71172671749141E-6</v>
      </c>
      <c r="K967" s="257">
        <v>8.0604167793758776E-6</v>
      </c>
      <c r="L967" s="228">
        <v>3.0703637854075268E-2</v>
      </c>
    </row>
    <row r="968" spans="1:12" s="212" customFormat="1" ht="15.5" x14ac:dyDescent="0.35">
      <c r="A968" s="198" t="s">
        <v>828</v>
      </c>
      <c r="B968" s="197">
        <v>2048</v>
      </c>
      <c r="C968" s="213" t="s">
        <v>4187</v>
      </c>
      <c r="D968" s="239">
        <v>3.653311091031829E-3</v>
      </c>
      <c r="E968" s="226">
        <v>2.4464366666639443E-2</v>
      </c>
      <c r="F968" s="226">
        <v>5.5917107547861329E-4</v>
      </c>
      <c r="G968" s="227">
        <v>5.1442612108119792E-4</v>
      </c>
      <c r="H968" s="226">
        <v>2.0000005732018801E-3</v>
      </c>
      <c r="I968" s="255">
        <v>2.546304735233317E-3</v>
      </c>
      <c r="J968" s="256">
        <v>7.4162326032555821E-6</v>
      </c>
      <c r="K968" s="257">
        <v>7.7515617325300242E-6</v>
      </c>
      <c r="L968" s="228">
        <v>3.0631406883578852E-2</v>
      </c>
    </row>
    <row r="969" spans="1:12" s="212" customFormat="1" ht="15.5" x14ac:dyDescent="0.35">
      <c r="A969" s="198" t="s">
        <v>828</v>
      </c>
      <c r="B969" s="197">
        <v>2049</v>
      </c>
      <c r="C969" s="213" t="s">
        <v>4188</v>
      </c>
      <c r="D969" s="239">
        <v>3.6409814181590748E-3</v>
      </c>
      <c r="E969" s="226">
        <v>2.4412784927137863E-2</v>
      </c>
      <c r="F969" s="226">
        <v>5.5458444395341548E-4</v>
      </c>
      <c r="G969" s="227">
        <v>5.1020416425627579E-4</v>
      </c>
      <c r="H969" s="226">
        <v>2.0000005732018801E-3</v>
      </c>
      <c r="I969" s="255">
        <v>2.5461449801333419E-3</v>
      </c>
      <c r="J969" s="256">
        <v>7.2951316050405424E-6</v>
      </c>
      <c r="K969" s="257">
        <v>7.6249850845534136E-6</v>
      </c>
      <c r="L969" s="228">
        <v>3.0568336053724748E-2</v>
      </c>
    </row>
    <row r="970" spans="1:12" s="212" customFormat="1" ht="15.5" x14ac:dyDescent="0.35">
      <c r="A970" s="198" t="s">
        <v>828</v>
      </c>
      <c r="B970" s="197">
        <v>2050</v>
      </c>
      <c r="C970" s="213" t="s">
        <v>4189</v>
      </c>
      <c r="D970" s="239">
        <v>3.6319425421031254E-3</v>
      </c>
      <c r="E970" s="226">
        <v>2.437289462033523E-2</v>
      </c>
      <c r="F970" s="226">
        <v>5.5061360852710016E-4</v>
      </c>
      <c r="G970" s="227">
        <v>5.0654158507085873E-4</v>
      </c>
      <c r="H970" s="226">
        <v>2.0000005732018801E-3</v>
      </c>
      <c r="I970" s="255">
        <v>2.5460890588119944E-3</v>
      </c>
      <c r="J970" s="256">
        <v>6.9988858513599268E-6</v>
      </c>
      <c r="K970" s="257">
        <v>7.3153444124624197E-6</v>
      </c>
      <c r="L970" s="228">
        <v>3.0514816043378076E-2</v>
      </c>
    </row>
    <row r="971" spans="1:12" s="212" customFormat="1" ht="15.5" x14ac:dyDescent="0.35">
      <c r="A971" s="198" t="s">
        <v>829</v>
      </c>
      <c r="B971" s="197">
        <v>2015</v>
      </c>
      <c r="C971" s="213" t="s">
        <v>911</v>
      </c>
      <c r="D971" s="239">
        <v>6.5144351097620179E-2</v>
      </c>
      <c r="E971" s="226">
        <v>0.30989204697836198</v>
      </c>
      <c r="F971" s="226">
        <v>2.3586307827709353E-3</v>
      </c>
      <c r="G971" s="227">
        <v>2.1829673381782923E-3</v>
      </c>
      <c r="H971" s="226">
        <v>2.0000005732018797E-3</v>
      </c>
      <c r="I971" s="255">
        <v>2.5375921455002876E-3</v>
      </c>
      <c r="J971" s="256">
        <v>2.5649759834027371E-4</v>
      </c>
      <c r="K971" s="257">
        <v>2.6809528154598546E-4</v>
      </c>
      <c r="L971" s="228">
        <v>4.6039718093680571E-2</v>
      </c>
    </row>
    <row r="972" spans="1:12" s="212" customFormat="1" ht="15.5" x14ac:dyDescent="0.35">
      <c r="A972" s="198" t="s">
        <v>829</v>
      </c>
      <c r="B972" s="197">
        <v>2016</v>
      </c>
      <c r="C972" s="213" t="s">
        <v>912</v>
      </c>
      <c r="D972" s="239">
        <v>5.6532975460399988E-2</v>
      </c>
      <c r="E972" s="226">
        <v>0.27902851078853519</v>
      </c>
      <c r="F972" s="226">
        <v>2.1946370704918686E-3</v>
      </c>
      <c r="G972" s="227">
        <v>2.0286749372216855E-3</v>
      </c>
      <c r="H972" s="226">
        <v>2.0000005732018801E-3</v>
      </c>
      <c r="I972" s="255">
        <v>2.6137184920535924E-3</v>
      </c>
      <c r="J972" s="256">
        <v>2.0261707196100602E-4</v>
      </c>
      <c r="K972" s="257">
        <v>2.1177851685514194E-4</v>
      </c>
      <c r="L972" s="228">
        <v>4.4962009009026103E-2</v>
      </c>
    </row>
    <row r="973" spans="1:12" s="212" customFormat="1" ht="15.5" x14ac:dyDescent="0.35">
      <c r="A973" s="198" t="s">
        <v>829</v>
      </c>
      <c r="B973" s="197">
        <v>2017</v>
      </c>
      <c r="C973" s="213" t="s">
        <v>4190</v>
      </c>
      <c r="D973" s="239">
        <v>4.5858387567857088E-2</v>
      </c>
      <c r="E973" s="226">
        <v>0.23492054521635214</v>
      </c>
      <c r="F973" s="226">
        <v>2.0418752890060121E-3</v>
      </c>
      <c r="G973" s="227">
        <v>1.8870772429226291E-3</v>
      </c>
      <c r="H973" s="226">
        <v>2.0000005732018801E-3</v>
      </c>
      <c r="I973" s="255">
        <v>2.6142231573763552E-3</v>
      </c>
      <c r="J973" s="256">
        <v>2.0015863372489871E-4</v>
      </c>
      <c r="K973" s="257">
        <v>2.0920891895115606E-4</v>
      </c>
      <c r="L973" s="228">
        <v>4.4583714336139418E-2</v>
      </c>
    </row>
    <row r="974" spans="1:12" s="212" customFormat="1" ht="15.5" x14ac:dyDescent="0.35">
      <c r="A974" s="198" t="s">
        <v>829</v>
      </c>
      <c r="B974" s="197">
        <v>2018</v>
      </c>
      <c r="C974" s="213" t="s">
        <v>4191</v>
      </c>
      <c r="D974" s="239">
        <v>3.8868452349103667E-2</v>
      </c>
      <c r="E974" s="226">
        <v>0.20609840027953361</v>
      </c>
      <c r="F974" s="226">
        <v>1.9541825506126389E-3</v>
      </c>
      <c r="G974" s="227">
        <v>1.8046347118893201E-3</v>
      </c>
      <c r="H974" s="226">
        <v>2.0000005732018805E-3</v>
      </c>
      <c r="I974" s="255">
        <v>2.6143489342149917E-3</v>
      </c>
      <c r="J974" s="256">
        <v>1.7281152890424064E-4</v>
      </c>
      <c r="K974" s="257">
        <v>1.8062529940148813E-4</v>
      </c>
      <c r="L974" s="228">
        <v>4.3946134418814189E-2</v>
      </c>
    </row>
    <row r="975" spans="1:12" s="212" customFormat="1" ht="15.5" x14ac:dyDescent="0.35">
      <c r="A975" s="198" t="s">
        <v>829</v>
      </c>
      <c r="B975" s="197">
        <v>2019</v>
      </c>
      <c r="C975" s="213" t="s">
        <v>4192</v>
      </c>
      <c r="D975" s="239">
        <v>3.2194343213631731E-2</v>
      </c>
      <c r="E975" s="226">
        <v>0.17422066563478897</v>
      </c>
      <c r="F975" s="226">
        <v>1.8670132692261406E-3</v>
      </c>
      <c r="G975" s="227">
        <v>1.7224056685790179E-3</v>
      </c>
      <c r="H975" s="226">
        <v>2.0000005732018801E-3</v>
      </c>
      <c r="I975" s="255">
        <v>2.615875971860724E-3</v>
      </c>
      <c r="J975" s="256">
        <v>1.3562917930908365E-4</v>
      </c>
      <c r="K975" s="257">
        <v>1.4176172895187086E-4</v>
      </c>
      <c r="L975" s="228">
        <v>4.3267828722339786E-2</v>
      </c>
    </row>
    <row r="976" spans="1:12" s="212" customFormat="1" ht="15.5" x14ac:dyDescent="0.35">
      <c r="A976" s="198" t="s">
        <v>829</v>
      </c>
      <c r="B976" s="197">
        <v>2020</v>
      </c>
      <c r="C976" s="213" t="s">
        <v>4193</v>
      </c>
      <c r="D976" s="239">
        <v>2.8263593165325479E-2</v>
      </c>
      <c r="E976" s="226">
        <v>0.15574388058859109</v>
      </c>
      <c r="F976" s="226">
        <v>1.8094705729510962E-3</v>
      </c>
      <c r="G976" s="227">
        <v>1.6689829531654704E-3</v>
      </c>
      <c r="H976" s="226">
        <v>2.0000005732018797E-3</v>
      </c>
      <c r="I976" s="255">
        <v>2.6213761478869986E-3</v>
      </c>
      <c r="J976" s="256">
        <v>1.2674487595346905E-4</v>
      </c>
      <c r="K976" s="257">
        <v>1.3247571682202766E-4</v>
      </c>
      <c r="L976" s="228">
        <v>4.2886236934634524E-2</v>
      </c>
    </row>
    <row r="977" spans="1:12" s="212" customFormat="1" ht="15.5" x14ac:dyDescent="0.35">
      <c r="A977" s="198" t="s">
        <v>829</v>
      </c>
      <c r="B977" s="197">
        <v>2021</v>
      </c>
      <c r="C977" s="213" t="s">
        <v>4194</v>
      </c>
      <c r="D977" s="239">
        <v>2.4955011683060399E-2</v>
      </c>
      <c r="E977" s="226">
        <v>0.13863267705592566</v>
      </c>
      <c r="F977" s="226">
        <v>1.7347633484299575E-3</v>
      </c>
      <c r="G977" s="227">
        <v>1.5999051699519293E-3</v>
      </c>
      <c r="H977" s="226">
        <v>2.0000005732018801E-3</v>
      </c>
      <c r="I977" s="255">
        <v>2.6248944369683231E-3</v>
      </c>
      <c r="J977" s="256">
        <v>1.1886033853835568E-4</v>
      </c>
      <c r="K977" s="257">
        <v>1.2423467561211953E-4</v>
      </c>
      <c r="L977" s="228">
        <v>4.1998436245002199E-2</v>
      </c>
    </row>
    <row r="978" spans="1:12" s="212" customFormat="1" ht="15.5" x14ac:dyDescent="0.35">
      <c r="A978" s="198" t="s">
        <v>829</v>
      </c>
      <c r="B978" s="197">
        <v>2022</v>
      </c>
      <c r="C978" s="213" t="s">
        <v>4195</v>
      </c>
      <c r="D978" s="239">
        <v>2.1606632635813344E-2</v>
      </c>
      <c r="E978" s="226">
        <v>0.12229375874109097</v>
      </c>
      <c r="F978" s="226">
        <v>1.653256765746042E-3</v>
      </c>
      <c r="G978" s="227">
        <v>1.5244202005658747E-3</v>
      </c>
      <c r="H978" s="226">
        <v>2.0000005732018805E-3</v>
      </c>
      <c r="I978" s="255">
        <v>2.6258281314378122E-3</v>
      </c>
      <c r="J978" s="256">
        <v>1.087721873628268E-4</v>
      </c>
      <c r="K978" s="257">
        <v>1.1369038300594111E-4</v>
      </c>
      <c r="L978" s="228">
        <v>4.1133943123977411E-2</v>
      </c>
    </row>
    <row r="979" spans="1:12" s="212" customFormat="1" ht="15.5" x14ac:dyDescent="0.35">
      <c r="A979" s="198" t="s">
        <v>829</v>
      </c>
      <c r="B979" s="197">
        <v>2023</v>
      </c>
      <c r="C979" s="213" t="s">
        <v>4196</v>
      </c>
      <c r="D979" s="239">
        <v>1.9037961369883293E-2</v>
      </c>
      <c r="E979" s="226">
        <v>0.1081887084969848</v>
      </c>
      <c r="F979" s="226">
        <v>1.5792327258138533E-3</v>
      </c>
      <c r="G979" s="227">
        <v>1.4559883205780906E-3</v>
      </c>
      <c r="H979" s="226">
        <v>2.0000005732018801E-3</v>
      </c>
      <c r="I979" s="255">
        <v>2.6262182560442752E-3</v>
      </c>
      <c r="J979" s="256">
        <v>1.0005685221840463E-4</v>
      </c>
      <c r="K979" s="257">
        <v>1.0458097908001494E-4</v>
      </c>
      <c r="L979" s="228">
        <v>4.0301080498970313E-2</v>
      </c>
    </row>
    <row r="980" spans="1:12" s="212" customFormat="1" ht="15.5" x14ac:dyDescent="0.35">
      <c r="A980" s="198" t="s">
        <v>829</v>
      </c>
      <c r="B980" s="197">
        <v>2024</v>
      </c>
      <c r="C980" s="213" t="s">
        <v>4197</v>
      </c>
      <c r="D980" s="239">
        <v>1.6779166015328709E-2</v>
      </c>
      <c r="E980" s="226">
        <v>9.5818983230633842E-2</v>
      </c>
      <c r="F980" s="226">
        <v>1.5044389483941914E-3</v>
      </c>
      <c r="G980" s="227">
        <v>1.3866172675326253E-3</v>
      </c>
      <c r="H980" s="226">
        <v>2.0000005732018801E-3</v>
      </c>
      <c r="I980" s="255">
        <v>2.6265030455859401E-3</v>
      </c>
      <c r="J980" s="256">
        <v>8.5518628033926287E-5</v>
      </c>
      <c r="K980" s="257">
        <v>8.9385400910328873E-5</v>
      </c>
      <c r="L980" s="228">
        <v>3.9149912395268681E-2</v>
      </c>
    </row>
    <row r="981" spans="1:12" s="212" customFormat="1" ht="15.5" x14ac:dyDescent="0.35">
      <c r="A981" s="198" t="s">
        <v>829</v>
      </c>
      <c r="B981" s="197">
        <v>2025</v>
      </c>
      <c r="C981" s="213" t="s">
        <v>4198</v>
      </c>
      <c r="D981" s="239">
        <v>1.4939179331655941E-2</v>
      </c>
      <c r="E981" s="226">
        <v>8.5455451219907733E-2</v>
      </c>
      <c r="F981" s="226">
        <v>1.4469041472378518E-3</v>
      </c>
      <c r="G981" s="227">
        <v>1.3333923644832033E-3</v>
      </c>
      <c r="H981" s="226">
        <v>2.0000005732018801E-3</v>
      </c>
      <c r="I981" s="255">
        <v>2.6266691261078918E-3</v>
      </c>
      <c r="J981" s="256">
        <v>7.741443823869654E-5</v>
      </c>
      <c r="K981" s="257">
        <v>8.0914775614368296E-5</v>
      </c>
      <c r="L981" s="228">
        <v>3.8259685368215168E-2</v>
      </c>
    </row>
    <row r="982" spans="1:12" s="212" customFormat="1" ht="15.5" x14ac:dyDescent="0.35">
      <c r="A982" s="198" t="s">
        <v>829</v>
      </c>
      <c r="B982" s="197">
        <v>2026</v>
      </c>
      <c r="C982" s="213" t="s">
        <v>4199</v>
      </c>
      <c r="D982" s="239">
        <v>1.3380612498800249E-2</v>
      </c>
      <c r="E982" s="226">
        <v>7.6649230543379229E-2</v>
      </c>
      <c r="F982" s="226">
        <v>1.3860127682809127E-3</v>
      </c>
      <c r="G982" s="227">
        <v>1.2769434615205767E-3</v>
      </c>
      <c r="H982" s="226">
        <v>2.0000005732018801E-3</v>
      </c>
      <c r="I982" s="255">
        <v>2.6267273779213532E-3</v>
      </c>
      <c r="J982" s="256">
        <v>6.5592521523726946E-5</v>
      </c>
      <c r="K982" s="257">
        <v>6.8558324284526427E-5</v>
      </c>
      <c r="L982" s="228">
        <v>3.7382920063099401E-2</v>
      </c>
    </row>
    <row r="983" spans="1:12" s="212" customFormat="1" ht="15.5" x14ac:dyDescent="0.35">
      <c r="A983" s="198" t="s">
        <v>829</v>
      </c>
      <c r="B983" s="197">
        <v>2027</v>
      </c>
      <c r="C983" s="213" t="s">
        <v>4200</v>
      </c>
      <c r="D983" s="239">
        <v>1.2061285783727276E-2</v>
      </c>
      <c r="E983" s="226">
        <v>6.9118227434485563E-2</v>
      </c>
      <c r="F983" s="226">
        <v>1.3202276390500017E-3</v>
      </c>
      <c r="G983" s="227">
        <v>1.2160193999036228E-3</v>
      </c>
      <c r="H983" s="226">
        <v>2.0000005732018801E-3</v>
      </c>
      <c r="I983" s="255">
        <v>2.6265137537515035E-3</v>
      </c>
      <c r="J983" s="256">
        <v>5.4380463328347061E-5</v>
      </c>
      <c r="K983" s="257">
        <v>5.6839306570322922E-5</v>
      </c>
      <c r="L983" s="228">
        <v>3.6347151259494913E-2</v>
      </c>
    </row>
    <row r="984" spans="1:12" s="212" customFormat="1" ht="15.5" x14ac:dyDescent="0.35">
      <c r="A984" s="198" t="s">
        <v>829</v>
      </c>
      <c r="B984" s="197">
        <v>2028</v>
      </c>
      <c r="C984" s="213" t="s">
        <v>4201</v>
      </c>
      <c r="D984" s="239">
        <v>1.094268629023905E-2</v>
      </c>
      <c r="E984" s="226">
        <v>6.271837170871189E-2</v>
      </c>
      <c r="F984" s="226">
        <v>1.2463324924700992E-3</v>
      </c>
      <c r="G984" s="227">
        <v>1.1475758159720649E-3</v>
      </c>
      <c r="H984" s="226">
        <v>2.0000005732018797E-3</v>
      </c>
      <c r="I984" s="255">
        <v>2.6263257305829267E-3</v>
      </c>
      <c r="J984" s="256">
        <v>4.1554809087869892E-5</v>
      </c>
      <c r="K984" s="257">
        <v>4.3433733158089146E-5</v>
      </c>
      <c r="L984" s="228">
        <v>3.555685074810707E-2</v>
      </c>
    </row>
    <row r="985" spans="1:12" s="212" customFormat="1" ht="15.5" x14ac:dyDescent="0.35">
      <c r="A985" s="198" t="s">
        <v>829</v>
      </c>
      <c r="B985" s="197">
        <v>2029</v>
      </c>
      <c r="C985" s="213" t="s">
        <v>4202</v>
      </c>
      <c r="D985" s="239">
        <v>9.9628040696250163E-3</v>
      </c>
      <c r="E985" s="226">
        <v>5.7187212990822439E-2</v>
      </c>
      <c r="F985" s="226">
        <v>1.176043567359389E-3</v>
      </c>
      <c r="G985" s="227">
        <v>1.0826198915357313E-3</v>
      </c>
      <c r="H985" s="226">
        <v>2.0000005732018797E-3</v>
      </c>
      <c r="I985" s="255">
        <v>2.626101431730676E-3</v>
      </c>
      <c r="J985" s="256">
        <v>3.3140327869655536E-5</v>
      </c>
      <c r="K985" s="257">
        <v>3.4638786437894478E-5</v>
      </c>
      <c r="L985" s="228">
        <v>3.4820436578359808E-2</v>
      </c>
    </row>
    <row r="986" spans="1:12" s="212" customFormat="1" ht="15.5" x14ac:dyDescent="0.35">
      <c r="A986" s="198" t="s">
        <v>829</v>
      </c>
      <c r="B986" s="197">
        <v>2030</v>
      </c>
      <c r="C986" s="213" t="s">
        <v>4203</v>
      </c>
      <c r="D986" s="239">
        <v>9.1349457681585283E-3</v>
      </c>
      <c r="E986" s="226">
        <v>5.2493262501601641E-2</v>
      </c>
      <c r="F986" s="226">
        <v>1.109578648892358E-3</v>
      </c>
      <c r="G986" s="227">
        <v>1.0212811306260796E-3</v>
      </c>
      <c r="H986" s="226">
        <v>2.0000005732018801E-3</v>
      </c>
      <c r="I986" s="255">
        <v>2.6259267952558618E-3</v>
      </c>
      <c r="J986" s="256">
        <v>2.732140922768471E-5</v>
      </c>
      <c r="K986" s="257">
        <v>2.8556762116002717E-5</v>
      </c>
      <c r="L986" s="228">
        <v>3.4161375979200256E-2</v>
      </c>
    </row>
    <row r="987" spans="1:12" s="212" customFormat="1" ht="15.5" x14ac:dyDescent="0.35">
      <c r="A987" s="198" t="s">
        <v>829</v>
      </c>
      <c r="B987" s="197">
        <v>2031</v>
      </c>
      <c r="C987" s="213" t="s">
        <v>4204</v>
      </c>
      <c r="D987" s="239">
        <v>8.412925597032465E-3</v>
      </c>
      <c r="E987" s="226">
        <v>4.8433473003822121E-2</v>
      </c>
      <c r="F987" s="226">
        <v>1.0474680079996875E-3</v>
      </c>
      <c r="G987" s="227">
        <v>9.6405755242344763E-4</v>
      </c>
      <c r="H987" s="226">
        <v>2.0000005732018801E-3</v>
      </c>
      <c r="I987" s="255">
        <v>2.6256685862441668E-3</v>
      </c>
      <c r="J987" s="256">
        <v>2.4366376126553944E-5</v>
      </c>
      <c r="K987" s="257">
        <v>2.5468115530803996E-5</v>
      </c>
      <c r="L987" s="228">
        <v>3.3538361217977056E-2</v>
      </c>
    </row>
    <row r="988" spans="1:12" s="212" customFormat="1" ht="15.5" x14ac:dyDescent="0.35">
      <c r="A988" s="198" t="s">
        <v>829</v>
      </c>
      <c r="B988" s="197">
        <v>2032</v>
      </c>
      <c r="C988" s="213" t="s">
        <v>4205</v>
      </c>
      <c r="D988" s="239">
        <v>7.7899546762968154E-3</v>
      </c>
      <c r="E988" s="226">
        <v>4.4998556067463745E-2</v>
      </c>
      <c r="F988" s="226">
        <v>9.8778643713996208E-4</v>
      </c>
      <c r="G988" s="227">
        <v>9.090604260145915E-4</v>
      </c>
      <c r="H988" s="226">
        <v>2.0000005732018801E-3</v>
      </c>
      <c r="I988" s="255">
        <v>2.6253290675673988E-3</v>
      </c>
      <c r="J988" s="256">
        <v>2.1231981558985889E-5</v>
      </c>
      <c r="K988" s="257">
        <v>2.219199754956044E-5</v>
      </c>
      <c r="L988" s="228">
        <v>3.2759871174069637E-2</v>
      </c>
    </row>
    <row r="989" spans="1:12" s="212" customFormat="1" ht="15.5" x14ac:dyDescent="0.35">
      <c r="A989" s="198" t="s">
        <v>829</v>
      </c>
      <c r="B989" s="197">
        <v>2033</v>
      </c>
      <c r="C989" s="213" t="s">
        <v>4206</v>
      </c>
      <c r="D989" s="239">
        <v>7.2349984108344909E-3</v>
      </c>
      <c r="E989" s="226">
        <v>4.2001876143839247E-2</v>
      </c>
      <c r="F989" s="226">
        <v>9.3097331939591996E-4</v>
      </c>
      <c r="G989" s="227">
        <v>8.5673871644291173E-4</v>
      </c>
      <c r="H989" s="226">
        <v>2.0000005732018805E-3</v>
      </c>
      <c r="I989" s="255">
        <v>2.6248850354837279E-3</v>
      </c>
      <c r="J989" s="256">
        <v>1.9072363178396759E-5</v>
      </c>
      <c r="K989" s="257">
        <v>1.993473080896568E-5</v>
      </c>
      <c r="L989" s="228">
        <v>3.2245885436544997E-2</v>
      </c>
    </row>
    <row r="990" spans="1:12" s="212" customFormat="1" ht="15.5" x14ac:dyDescent="0.35">
      <c r="A990" s="198" t="s">
        <v>829</v>
      </c>
      <c r="B990" s="197">
        <v>2034</v>
      </c>
      <c r="C990" s="213" t="s">
        <v>4207</v>
      </c>
      <c r="D990" s="239">
        <v>6.7274434395608622E-3</v>
      </c>
      <c r="E990" s="226">
        <v>3.9386125275135637E-2</v>
      </c>
      <c r="F990" s="226">
        <v>8.7619191788382246E-4</v>
      </c>
      <c r="G990" s="227">
        <v>8.0629373338831148E-4</v>
      </c>
      <c r="H990" s="226">
        <v>2.0000005732018797E-3</v>
      </c>
      <c r="I990" s="255">
        <v>2.6243320270284256E-3</v>
      </c>
      <c r="J990" s="256">
        <v>1.7134454276542211E-5</v>
      </c>
      <c r="K990" s="257">
        <v>1.7909198265912674E-5</v>
      </c>
      <c r="L990" s="228">
        <v>3.1782417699422978E-2</v>
      </c>
    </row>
    <row r="991" spans="1:12" s="212" customFormat="1" ht="15.5" x14ac:dyDescent="0.35">
      <c r="A991" s="198" t="s">
        <v>829</v>
      </c>
      <c r="B991" s="197">
        <v>2035</v>
      </c>
      <c r="C991" s="213" t="s">
        <v>4208</v>
      </c>
      <c r="D991" s="239">
        <v>6.2698262637132553E-3</v>
      </c>
      <c r="E991" s="226">
        <v>3.714055458307685E-2</v>
      </c>
      <c r="F991" s="226">
        <v>8.2423163406151784E-4</v>
      </c>
      <c r="G991" s="227">
        <v>7.5845151355849569E-4</v>
      </c>
      <c r="H991" s="226">
        <v>2.0000005732018801E-3</v>
      </c>
      <c r="I991" s="255">
        <v>2.6237241791402101E-3</v>
      </c>
      <c r="J991" s="256">
        <v>1.5423675557398201E-5</v>
      </c>
      <c r="K991" s="257">
        <v>1.6121065724557121E-5</v>
      </c>
      <c r="L991" s="228">
        <v>3.1367640861343991E-2</v>
      </c>
    </row>
    <row r="992" spans="1:12" s="212" customFormat="1" ht="15.5" x14ac:dyDescent="0.35">
      <c r="A992" s="198" t="s">
        <v>829</v>
      </c>
      <c r="B992" s="197">
        <v>2036</v>
      </c>
      <c r="C992" s="213" t="s">
        <v>4209</v>
      </c>
      <c r="D992" s="239">
        <v>5.8379569665714731E-3</v>
      </c>
      <c r="E992" s="226">
        <v>3.5112116924895652E-2</v>
      </c>
      <c r="F992" s="226">
        <v>7.7666238884298549E-4</v>
      </c>
      <c r="G992" s="227">
        <v>7.146529831716516E-4</v>
      </c>
      <c r="H992" s="226">
        <v>2.0000005732018801E-3</v>
      </c>
      <c r="I992" s="255">
        <v>2.6111564468801278E-3</v>
      </c>
      <c r="J992" s="256">
        <v>1.387437189888405E-5</v>
      </c>
      <c r="K992" s="257">
        <v>1.4501709429538122E-5</v>
      </c>
      <c r="L992" s="228">
        <v>3.1000644485693955E-2</v>
      </c>
    </row>
    <row r="993" spans="1:12" s="212" customFormat="1" ht="15.5" x14ac:dyDescent="0.35">
      <c r="A993" s="198" t="s">
        <v>829</v>
      </c>
      <c r="B993" s="197">
        <v>2037</v>
      </c>
      <c r="C993" s="213" t="s">
        <v>4210</v>
      </c>
      <c r="D993" s="239">
        <v>5.4742154839224908E-3</v>
      </c>
      <c r="E993" s="226">
        <v>3.3391578453999905E-2</v>
      </c>
      <c r="F993" s="226">
        <v>7.3487071792077447E-4</v>
      </c>
      <c r="G993" s="227">
        <v>6.7617934178223072E-4</v>
      </c>
      <c r="H993" s="226">
        <v>2.0000005732018797E-3</v>
      </c>
      <c r="I993" s="255">
        <v>2.6105004093323046E-3</v>
      </c>
      <c r="J993" s="256">
        <v>1.2649035583474312E-5</v>
      </c>
      <c r="K993" s="257">
        <v>1.3220968843294935E-5</v>
      </c>
      <c r="L993" s="228">
        <v>3.0677810953901079E-2</v>
      </c>
    </row>
    <row r="994" spans="1:12" s="212" customFormat="1" ht="15.5" x14ac:dyDescent="0.35">
      <c r="A994" s="198" t="s">
        <v>829</v>
      </c>
      <c r="B994" s="197">
        <v>2038</v>
      </c>
      <c r="C994" s="213" t="s">
        <v>4211</v>
      </c>
      <c r="D994" s="239">
        <v>5.1420287168992447E-3</v>
      </c>
      <c r="E994" s="226">
        <v>3.1835766113164236E-2</v>
      </c>
      <c r="F994" s="226">
        <v>6.9665790877509201E-4</v>
      </c>
      <c r="G994" s="227">
        <v>6.4100562831150563E-4</v>
      </c>
      <c r="H994" s="226">
        <v>2.0000005732018801E-3</v>
      </c>
      <c r="I994" s="255">
        <v>2.6098709922231515E-3</v>
      </c>
      <c r="J994" s="256">
        <v>1.1662301309849846E-5</v>
      </c>
      <c r="K994" s="257">
        <v>1.2189618824385663E-5</v>
      </c>
      <c r="L994" s="228">
        <v>3.0455804982076274E-2</v>
      </c>
    </row>
    <row r="995" spans="1:12" s="212" customFormat="1" ht="15.5" x14ac:dyDescent="0.35">
      <c r="A995" s="198" t="s">
        <v>829</v>
      </c>
      <c r="B995" s="197">
        <v>2039</v>
      </c>
      <c r="C995" s="213" t="s">
        <v>4212</v>
      </c>
      <c r="D995" s="239">
        <v>4.8140543620358101E-3</v>
      </c>
      <c r="E995" s="226">
        <v>3.0351396262528255E-2</v>
      </c>
      <c r="F995" s="226">
        <v>6.6147198758019108E-4</v>
      </c>
      <c r="G995" s="227">
        <v>6.0861507911609818E-4</v>
      </c>
      <c r="H995" s="226">
        <v>2.0000005732018797E-3</v>
      </c>
      <c r="I995" s="255">
        <v>2.609248317262444E-3</v>
      </c>
      <c r="J995" s="256">
        <v>1.0676915379748596E-5</v>
      </c>
      <c r="K995" s="257">
        <v>1.115967811511052E-5</v>
      </c>
      <c r="L995" s="228">
        <v>3.0213086963706438E-2</v>
      </c>
    </row>
    <row r="996" spans="1:12" s="212" customFormat="1" ht="15.5" x14ac:dyDescent="0.35">
      <c r="A996" s="198" t="s">
        <v>829</v>
      </c>
      <c r="B996" s="197">
        <v>2040</v>
      </c>
      <c r="C996" s="213" t="s">
        <v>4213</v>
      </c>
      <c r="D996" s="239">
        <v>4.5191946148321598E-3</v>
      </c>
      <c r="E996" s="226">
        <v>2.906920951014989E-2</v>
      </c>
      <c r="F996" s="226">
        <v>6.2983858636728326E-4</v>
      </c>
      <c r="G996" s="227">
        <v>5.7950106271075473E-4</v>
      </c>
      <c r="H996" s="226">
        <v>2.0000005732018805E-3</v>
      </c>
      <c r="I996" s="255">
        <v>2.6086920864518311E-3</v>
      </c>
      <c r="J996" s="256">
        <v>9.9513100918404534E-6</v>
      </c>
      <c r="K996" s="257">
        <v>1.0401264175908936E-5</v>
      </c>
      <c r="L996" s="228">
        <v>3.0006469932128792E-2</v>
      </c>
    </row>
    <row r="997" spans="1:12" s="212" customFormat="1" ht="15.5" x14ac:dyDescent="0.35">
      <c r="A997" s="198" t="s">
        <v>829</v>
      </c>
      <c r="B997" s="197">
        <v>2041</v>
      </c>
      <c r="C997" s="213" t="s">
        <v>4214</v>
      </c>
      <c r="D997" s="239">
        <v>4.2870125743488981E-3</v>
      </c>
      <c r="E997" s="226">
        <v>2.7983231935816678E-2</v>
      </c>
      <c r="F997" s="226">
        <v>6.0561076350750128E-4</v>
      </c>
      <c r="G997" s="227">
        <v>5.572009149343931E-4</v>
      </c>
      <c r="H997" s="226">
        <v>2.0000005732018805E-3</v>
      </c>
      <c r="I997" s="255">
        <v>2.6082015560923415E-3</v>
      </c>
      <c r="J997" s="256">
        <v>9.3466582479046715E-6</v>
      </c>
      <c r="K997" s="257">
        <v>9.7692726586932062E-6</v>
      </c>
      <c r="L997" s="228">
        <v>2.9833321796936031E-2</v>
      </c>
    </row>
    <row r="998" spans="1:12" s="212" customFormat="1" ht="15.5" x14ac:dyDescent="0.35">
      <c r="A998" s="198" t="s">
        <v>829</v>
      </c>
      <c r="B998" s="197">
        <v>2042</v>
      </c>
      <c r="C998" s="213" t="s">
        <v>4215</v>
      </c>
      <c r="D998" s="239">
        <v>4.0788386864481305E-3</v>
      </c>
      <c r="E998" s="226">
        <v>2.6921311138121944E-2</v>
      </c>
      <c r="F998" s="226">
        <v>5.8421907208791655E-4</v>
      </c>
      <c r="G998" s="227">
        <v>5.3751195386026233E-4</v>
      </c>
      <c r="H998" s="226">
        <v>2.0000005732018801E-3</v>
      </c>
      <c r="I998" s="255">
        <v>2.607709440739838E-3</v>
      </c>
      <c r="J998" s="256">
        <v>8.8310278802636993E-6</v>
      </c>
      <c r="K998" s="257">
        <v>9.2303277739033829E-6</v>
      </c>
      <c r="L998" s="228">
        <v>2.9687021698136803E-2</v>
      </c>
    </row>
    <row r="999" spans="1:12" s="212" customFormat="1" ht="15.5" x14ac:dyDescent="0.35">
      <c r="A999" s="198" t="s">
        <v>829</v>
      </c>
      <c r="B999" s="197">
        <v>2043</v>
      </c>
      <c r="C999" s="213" t="s">
        <v>4216</v>
      </c>
      <c r="D999" s="239">
        <v>3.9144226749266674E-3</v>
      </c>
      <c r="E999" s="226">
        <v>2.5998195962250614E-2</v>
      </c>
      <c r="F999" s="226">
        <v>5.6556375801802069E-4</v>
      </c>
      <c r="G999" s="227">
        <v>5.2034218591818766E-4</v>
      </c>
      <c r="H999" s="226">
        <v>2.0000005732018801E-3</v>
      </c>
      <c r="I999" s="255">
        <v>2.6072760397678136E-3</v>
      </c>
      <c r="J999" s="256">
        <v>8.3974029211182223E-6</v>
      </c>
      <c r="K999" s="257">
        <v>8.7770962182875972E-6</v>
      </c>
      <c r="L999" s="228">
        <v>2.9565555102231716E-2</v>
      </c>
    </row>
    <row r="1000" spans="1:12" s="212" customFormat="1" ht="15.5" x14ac:dyDescent="0.35">
      <c r="A1000" s="198" t="s">
        <v>829</v>
      </c>
      <c r="B1000" s="197">
        <v>2044</v>
      </c>
      <c r="C1000" s="213" t="s">
        <v>4217</v>
      </c>
      <c r="D1000" s="239">
        <v>3.7790853607433542E-3</v>
      </c>
      <c r="E1000" s="226">
        <v>2.5080806242983734E-2</v>
      </c>
      <c r="F1000" s="226">
        <v>5.4921858547338199E-4</v>
      </c>
      <c r="G1000" s="227">
        <v>5.0529978227193317E-4</v>
      </c>
      <c r="H1000" s="226">
        <v>2.0000005732018801E-3</v>
      </c>
      <c r="I1000" s="255">
        <v>2.6068363710506715E-3</v>
      </c>
      <c r="J1000" s="256">
        <v>8.0478178917120778E-6</v>
      </c>
      <c r="K1000" s="257">
        <v>8.4117045051123081E-6</v>
      </c>
      <c r="L1000" s="228">
        <v>2.9463396974419756E-2</v>
      </c>
    </row>
    <row r="1001" spans="1:12" s="212" customFormat="1" ht="15.5" x14ac:dyDescent="0.35">
      <c r="A1001" s="198" t="s">
        <v>829</v>
      </c>
      <c r="B1001" s="197">
        <v>2045</v>
      </c>
      <c r="C1001" s="213" t="s">
        <v>4218</v>
      </c>
      <c r="D1001" s="239">
        <v>3.676156624621345E-3</v>
      </c>
      <c r="E1001" s="226">
        <v>2.4234308318962967E-2</v>
      </c>
      <c r="F1001" s="226">
        <v>5.349673512865926E-4</v>
      </c>
      <c r="G1001" s="227">
        <v>4.9218565800150053E-4</v>
      </c>
      <c r="H1001" s="226">
        <v>2.0000005732018792E-3</v>
      </c>
      <c r="I1001" s="255">
        <v>2.6064417043295709E-3</v>
      </c>
      <c r="J1001" s="256">
        <v>7.7747248828742461E-6</v>
      </c>
      <c r="K1001" s="257">
        <v>8.1262634422471123E-6</v>
      </c>
      <c r="L1001" s="228">
        <v>2.9376120994842062E-2</v>
      </c>
    </row>
    <row r="1002" spans="1:12" s="212" customFormat="1" ht="15.5" x14ac:dyDescent="0.35">
      <c r="A1002" s="198" t="s">
        <v>829</v>
      </c>
      <c r="B1002" s="197">
        <v>2046</v>
      </c>
      <c r="C1002" s="213" t="s">
        <v>4219</v>
      </c>
      <c r="D1002" s="239">
        <v>3.5744525379646421E-3</v>
      </c>
      <c r="E1002" s="226">
        <v>2.3388169419950908E-2</v>
      </c>
      <c r="F1002" s="226">
        <v>5.2261755302900287E-4</v>
      </c>
      <c r="G1002" s="227">
        <v>4.8082202047044283E-4</v>
      </c>
      <c r="H1002" s="226">
        <v>2.0000005732018805E-3</v>
      </c>
      <c r="I1002" s="255">
        <v>2.6060528543965147E-3</v>
      </c>
      <c r="J1002" s="256">
        <v>7.5577517028855672E-6</v>
      </c>
      <c r="K1002" s="257">
        <v>7.899479697863566E-6</v>
      </c>
      <c r="L1002" s="228">
        <v>2.9301617591732596E-2</v>
      </c>
    </row>
    <row r="1003" spans="1:12" s="212" customFormat="1" ht="15.5" x14ac:dyDescent="0.35">
      <c r="A1003" s="198" t="s">
        <v>829</v>
      </c>
      <c r="B1003" s="197">
        <v>2047</v>
      </c>
      <c r="C1003" s="213" t="s">
        <v>4220</v>
      </c>
      <c r="D1003" s="239">
        <v>3.488352652227222E-3</v>
      </c>
      <c r="E1003" s="226">
        <v>2.2669548793181785E-2</v>
      </c>
      <c r="F1003" s="226">
        <v>5.1219484487044834E-4</v>
      </c>
      <c r="G1003" s="227">
        <v>4.7123022271742583E-4</v>
      </c>
      <c r="H1003" s="226">
        <v>2.0000005732018801E-3</v>
      </c>
      <c r="I1003" s="255">
        <v>2.6057694818179874E-3</v>
      </c>
      <c r="J1003" s="256">
        <v>7.3395354465500376E-6</v>
      </c>
      <c r="K1003" s="257">
        <v>7.6713966707368356E-6</v>
      </c>
      <c r="L1003" s="228">
        <v>2.9239625927299218E-2</v>
      </c>
    </row>
    <row r="1004" spans="1:12" s="212" customFormat="1" ht="15.5" x14ac:dyDescent="0.35">
      <c r="A1004" s="198" t="s">
        <v>829</v>
      </c>
      <c r="B1004" s="197">
        <v>2048</v>
      </c>
      <c r="C1004" s="213" t="s">
        <v>4221</v>
      </c>
      <c r="D1004" s="239">
        <v>3.4170445623882789E-3</v>
      </c>
      <c r="E1004" s="226">
        <v>2.2082949367927807E-2</v>
      </c>
      <c r="F1004" s="226">
        <v>5.0332455562318817E-4</v>
      </c>
      <c r="G1004" s="227">
        <v>4.6306579459895784E-4</v>
      </c>
      <c r="H1004" s="226">
        <v>2.0000005732018805E-3</v>
      </c>
      <c r="I1004" s="255">
        <v>2.6055549276983916E-3</v>
      </c>
      <c r="J1004" s="256">
        <v>7.1207481252379149E-6</v>
      </c>
      <c r="K1004" s="257">
        <v>7.4427167576093407E-6</v>
      </c>
      <c r="L1004" s="228">
        <v>2.9187622271236797E-2</v>
      </c>
    </row>
    <row r="1005" spans="1:12" s="212" customFormat="1" ht="15.5" x14ac:dyDescent="0.35">
      <c r="A1005" s="198" t="s">
        <v>829</v>
      </c>
      <c r="B1005" s="197">
        <v>2049</v>
      </c>
      <c r="C1005" s="213" t="s">
        <v>4222</v>
      </c>
      <c r="D1005" s="239">
        <v>3.4032337132630856E-3</v>
      </c>
      <c r="E1005" s="226">
        <v>2.202713138632021E-2</v>
      </c>
      <c r="F1005" s="226">
        <v>4.9807843346134939E-4</v>
      </c>
      <c r="G1005" s="227">
        <v>4.5823740774307673E-4</v>
      </c>
      <c r="H1005" s="226">
        <v>2.0000005732018797E-3</v>
      </c>
      <c r="I1005" s="255">
        <v>2.6053969927275992E-3</v>
      </c>
      <c r="J1005" s="256">
        <v>6.9982936800227779E-6</v>
      </c>
      <c r="K1005" s="257">
        <v>7.314725465765146E-6</v>
      </c>
      <c r="L1005" s="228">
        <v>2.9144396622567782E-2</v>
      </c>
    </row>
    <row r="1006" spans="1:12" s="212" customFormat="1" ht="15.5" x14ac:dyDescent="0.35">
      <c r="A1006" s="198" t="s">
        <v>829</v>
      </c>
      <c r="B1006" s="197">
        <v>2050</v>
      </c>
      <c r="C1006" s="213" t="s">
        <v>4223</v>
      </c>
      <c r="D1006" s="239">
        <v>3.3928459572736599E-3</v>
      </c>
      <c r="E1006" s="226">
        <v>2.1984416875472115E-2</v>
      </c>
      <c r="F1006" s="226">
        <v>4.9370016826384981E-4</v>
      </c>
      <c r="G1006" s="227">
        <v>4.5420363133086321E-4</v>
      </c>
      <c r="H1006" s="226">
        <v>2.0000005732018801E-3</v>
      </c>
      <c r="I1006" s="255">
        <v>2.6053417636442088E-3</v>
      </c>
      <c r="J1006" s="256">
        <v>6.7898086143299811E-6</v>
      </c>
      <c r="K1006" s="257">
        <v>7.0968136305404698E-6</v>
      </c>
      <c r="L1006" s="228">
        <v>2.9108902860940537E-2</v>
      </c>
    </row>
    <row r="1007" spans="1:12" s="212" customFormat="1" ht="15.5" x14ac:dyDescent="0.35">
      <c r="A1007" s="198" t="s">
        <v>830</v>
      </c>
      <c r="B1007" s="197">
        <v>2015</v>
      </c>
      <c r="C1007" s="213" t="s">
        <v>913</v>
      </c>
      <c r="D1007" s="239">
        <v>5.3641217008542748E-2</v>
      </c>
      <c r="E1007" s="226">
        <v>0.24992990181005789</v>
      </c>
      <c r="F1007" s="226">
        <v>2.0455868031772108E-3</v>
      </c>
      <c r="G1007" s="227">
        <v>1.8930625013950748E-3</v>
      </c>
      <c r="H1007" s="226">
        <v>2.0000005732018801E-3</v>
      </c>
      <c r="I1007" s="255">
        <v>3.0424865087956177E-3</v>
      </c>
      <c r="J1007" s="256">
        <v>2.1672589872672173E-4</v>
      </c>
      <c r="K1007" s="257">
        <v>2.2652528216021161E-4</v>
      </c>
      <c r="L1007" s="228">
        <v>5.2301434443179813E-2</v>
      </c>
    </row>
    <row r="1008" spans="1:12" s="212" customFormat="1" ht="15.5" x14ac:dyDescent="0.35">
      <c r="A1008" s="198" t="s">
        <v>830</v>
      </c>
      <c r="B1008" s="197">
        <v>2016</v>
      </c>
      <c r="C1008" s="213" t="s">
        <v>914</v>
      </c>
      <c r="D1008" s="239">
        <v>4.5988019427744865E-2</v>
      </c>
      <c r="E1008" s="226">
        <v>0.22226639215119834</v>
      </c>
      <c r="F1008" s="226">
        <v>1.9319235558360832E-3</v>
      </c>
      <c r="G1008" s="227">
        <v>1.7862458654612872E-3</v>
      </c>
      <c r="H1008" s="226">
        <v>2.0000005732018801E-3</v>
      </c>
      <c r="I1008" s="255">
        <v>3.0335450182012113E-3</v>
      </c>
      <c r="J1008" s="256">
        <v>1.8712090189491732E-4</v>
      </c>
      <c r="K1008" s="257">
        <v>1.9558167874190118E-4</v>
      </c>
      <c r="L1008" s="228">
        <v>5.1112346301066924E-2</v>
      </c>
    </row>
    <row r="1009" spans="1:12" s="212" customFormat="1" ht="15.5" x14ac:dyDescent="0.35">
      <c r="A1009" s="198" t="s">
        <v>830</v>
      </c>
      <c r="B1009" s="197">
        <v>2017</v>
      </c>
      <c r="C1009" s="213" t="s">
        <v>4224</v>
      </c>
      <c r="D1009" s="239">
        <v>3.7378901753966347E-2</v>
      </c>
      <c r="E1009" s="226">
        <v>0.18655798762317058</v>
      </c>
      <c r="F1009" s="226">
        <v>1.8164295886502809E-3</v>
      </c>
      <c r="G1009" s="227">
        <v>1.6781144495901289E-3</v>
      </c>
      <c r="H1009" s="226">
        <v>2.0000005732018801E-3</v>
      </c>
      <c r="I1009" s="255">
        <v>3.032138798417015E-3</v>
      </c>
      <c r="J1009" s="256">
        <v>1.5863675499895133E-4</v>
      </c>
      <c r="K1009" s="257">
        <v>1.6580960511982924E-4</v>
      </c>
      <c r="L1009" s="228">
        <v>5.0764762336938087E-2</v>
      </c>
    </row>
    <row r="1010" spans="1:12" s="212" customFormat="1" ht="15.5" x14ac:dyDescent="0.35">
      <c r="A1010" s="198" t="s">
        <v>830</v>
      </c>
      <c r="B1010" s="197">
        <v>2018</v>
      </c>
      <c r="C1010" s="213" t="s">
        <v>4225</v>
      </c>
      <c r="D1010" s="239">
        <v>3.0751902942269392E-2</v>
      </c>
      <c r="E1010" s="226">
        <v>0.16105311745266493</v>
      </c>
      <c r="F1010" s="226">
        <v>1.7655048887192156E-3</v>
      </c>
      <c r="G1010" s="227">
        <v>1.6300262209112582E-3</v>
      </c>
      <c r="H1010" s="226">
        <v>2.0000005732018805E-3</v>
      </c>
      <c r="I1010" s="255">
        <v>3.0328489564403122E-3</v>
      </c>
      <c r="J1010" s="256">
        <v>1.4767991809092797E-4</v>
      </c>
      <c r="K1010" s="257">
        <v>1.5435734866706889E-4</v>
      </c>
      <c r="L1010" s="228">
        <v>5.0138752217075415E-2</v>
      </c>
    </row>
    <row r="1011" spans="1:12" s="212" customFormat="1" ht="15.5" x14ac:dyDescent="0.35">
      <c r="A1011" s="198" t="s">
        <v>830</v>
      </c>
      <c r="B1011" s="197">
        <v>2019</v>
      </c>
      <c r="C1011" s="213" t="s">
        <v>4226</v>
      </c>
      <c r="D1011" s="239">
        <v>2.5245909934491668E-2</v>
      </c>
      <c r="E1011" s="226">
        <v>0.13603009353576254</v>
      </c>
      <c r="F1011" s="226">
        <v>1.737902904655207E-3</v>
      </c>
      <c r="G1011" s="227">
        <v>1.6041129433004156E-3</v>
      </c>
      <c r="H1011" s="226">
        <v>2.0000005732018805E-3</v>
      </c>
      <c r="I1011" s="255">
        <v>3.0394103208597834E-3</v>
      </c>
      <c r="J1011" s="256">
        <v>1.4690470814858773E-4</v>
      </c>
      <c r="K1011" s="257">
        <v>1.5354708717107938E-4</v>
      </c>
      <c r="L1011" s="228">
        <v>4.9334194975602465E-2</v>
      </c>
    </row>
    <row r="1012" spans="1:12" s="212" customFormat="1" ht="15.5" x14ac:dyDescent="0.35">
      <c r="A1012" s="198" t="s">
        <v>830</v>
      </c>
      <c r="B1012" s="197">
        <v>2020</v>
      </c>
      <c r="C1012" s="213" t="s">
        <v>4227</v>
      </c>
      <c r="D1012" s="239">
        <v>2.2021274496252252E-2</v>
      </c>
      <c r="E1012" s="226">
        <v>0.12092864026067839</v>
      </c>
      <c r="F1012" s="226">
        <v>1.6909038758513384E-3</v>
      </c>
      <c r="G1012" s="227">
        <v>1.560254715601209E-3</v>
      </c>
      <c r="H1012" s="226">
        <v>2.0000005732018805E-3</v>
      </c>
      <c r="I1012" s="255">
        <v>3.0471665775274612E-3</v>
      </c>
      <c r="J1012" s="256">
        <v>1.3497287331520519E-4</v>
      </c>
      <c r="K1012" s="257">
        <v>1.410757477132637E-4</v>
      </c>
      <c r="L1012" s="228">
        <v>4.8914300198872308E-2</v>
      </c>
    </row>
    <row r="1013" spans="1:12" s="212" customFormat="1" ht="15.5" x14ac:dyDescent="0.35">
      <c r="A1013" s="198" t="s">
        <v>830</v>
      </c>
      <c r="B1013" s="197">
        <v>2021</v>
      </c>
      <c r="C1013" s="213" t="s">
        <v>4228</v>
      </c>
      <c r="D1013" s="239">
        <v>1.9351264429348581E-2</v>
      </c>
      <c r="E1013" s="226">
        <v>0.10694192662973716</v>
      </c>
      <c r="F1013" s="226">
        <v>1.6248281123155781E-3</v>
      </c>
      <c r="G1013" s="227">
        <v>1.4989933917016164E-3</v>
      </c>
      <c r="H1013" s="226">
        <v>2.0000005732018797E-3</v>
      </c>
      <c r="I1013" s="255">
        <v>3.0313073370022781E-3</v>
      </c>
      <c r="J1013" s="256">
        <v>1.2412813397436056E-4</v>
      </c>
      <c r="K1013" s="257">
        <v>1.2974065738224444E-4</v>
      </c>
      <c r="L1013" s="228">
        <v>4.7955034371243377E-2</v>
      </c>
    </row>
    <row r="1014" spans="1:12" s="212" customFormat="1" ht="15.5" x14ac:dyDescent="0.35">
      <c r="A1014" s="198" t="s">
        <v>830</v>
      </c>
      <c r="B1014" s="197">
        <v>2022</v>
      </c>
      <c r="C1014" s="213" t="s">
        <v>4229</v>
      </c>
      <c r="D1014" s="239">
        <v>1.6650157872550239E-2</v>
      </c>
      <c r="E1014" s="226">
        <v>9.3720750689132645E-2</v>
      </c>
      <c r="F1014" s="226">
        <v>1.5526628451150233E-3</v>
      </c>
      <c r="G1014" s="227">
        <v>1.4320557153820854E-3</v>
      </c>
      <c r="H1014" s="226">
        <v>2.0000005732018801E-3</v>
      </c>
      <c r="I1014" s="255">
        <v>3.0320227732531227E-3</v>
      </c>
      <c r="J1014" s="256">
        <v>1.1264089359306093E-4</v>
      </c>
      <c r="K1014" s="257">
        <v>1.1773401496477659E-4</v>
      </c>
      <c r="L1014" s="228">
        <v>4.7065539240048242E-2</v>
      </c>
    </row>
    <row r="1015" spans="1:12" s="212" customFormat="1" ht="15.5" x14ac:dyDescent="0.35">
      <c r="A1015" s="198" t="s">
        <v>830</v>
      </c>
      <c r="B1015" s="197">
        <v>2023</v>
      </c>
      <c r="C1015" s="213" t="s">
        <v>4230</v>
      </c>
      <c r="D1015" s="239">
        <v>1.4647987654399321E-2</v>
      </c>
      <c r="E1015" s="226">
        <v>8.2565593774811971E-2</v>
      </c>
      <c r="F1015" s="226">
        <v>1.4866856771039289E-3</v>
      </c>
      <c r="G1015" s="227">
        <v>1.370977310519553E-3</v>
      </c>
      <c r="H1015" s="226">
        <v>2.0000005732018805E-3</v>
      </c>
      <c r="I1015" s="255">
        <v>3.0319530740963432E-3</v>
      </c>
      <c r="J1015" s="256">
        <v>1.0258712381647765E-4</v>
      </c>
      <c r="K1015" s="257">
        <v>1.0722565833183901E-4</v>
      </c>
      <c r="L1015" s="228">
        <v>4.6137315789894259E-2</v>
      </c>
    </row>
    <row r="1016" spans="1:12" s="212" customFormat="1" ht="15.5" x14ac:dyDescent="0.35">
      <c r="A1016" s="198" t="s">
        <v>830</v>
      </c>
      <c r="B1016" s="197">
        <v>2024</v>
      </c>
      <c r="C1016" s="213" t="s">
        <v>4231</v>
      </c>
      <c r="D1016" s="239">
        <v>1.2950549240682114E-2</v>
      </c>
      <c r="E1016" s="226">
        <v>7.3158186636422207E-2</v>
      </c>
      <c r="F1016" s="226">
        <v>1.4262808019782061E-3</v>
      </c>
      <c r="G1016" s="227">
        <v>1.314987925608141E-3</v>
      </c>
      <c r="H1016" s="226">
        <v>2.0000005732018801E-3</v>
      </c>
      <c r="I1016" s="255">
        <v>3.0315432817396813E-3</v>
      </c>
      <c r="J1016" s="256">
        <v>9.1533532606181021E-5</v>
      </c>
      <c r="K1016" s="257">
        <v>9.5672272776597291E-5</v>
      </c>
      <c r="L1016" s="228">
        <v>4.5167787424057616E-2</v>
      </c>
    </row>
    <row r="1017" spans="1:12" s="212" customFormat="1" ht="15.5" x14ac:dyDescent="0.35">
      <c r="A1017" s="198" t="s">
        <v>830</v>
      </c>
      <c r="B1017" s="197">
        <v>2025</v>
      </c>
      <c r="C1017" s="213" t="s">
        <v>4232</v>
      </c>
      <c r="D1017" s="239">
        <v>1.1513039567211811E-2</v>
      </c>
      <c r="E1017" s="226">
        <v>6.5270471591133514E-2</v>
      </c>
      <c r="F1017" s="226">
        <v>1.371637081596596E-3</v>
      </c>
      <c r="G1017" s="227">
        <v>1.2643144062106139E-3</v>
      </c>
      <c r="H1017" s="226">
        <v>2.0000005732018801E-3</v>
      </c>
      <c r="I1017" s="255">
        <v>3.0306840034508443E-3</v>
      </c>
      <c r="J1017" s="256">
        <v>8.0703781167522002E-5</v>
      </c>
      <c r="K1017" s="257">
        <v>8.4352848034192356E-5</v>
      </c>
      <c r="L1017" s="228">
        <v>4.4184361756278968E-2</v>
      </c>
    </row>
    <row r="1018" spans="1:12" s="212" customFormat="1" ht="15.5" x14ac:dyDescent="0.35">
      <c r="A1018" s="198" t="s">
        <v>830</v>
      </c>
      <c r="B1018" s="197">
        <v>2026</v>
      </c>
      <c r="C1018" s="213" t="s">
        <v>4233</v>
      </c>
      <c r="D1018" s="239">
        <v>1.0337063928196657E-2</v>
      </c>
      <c r="E1018" s="226">
        <v>5.8767174219392898E-2</v>
      </c>
      <c r="F1018" s="226">
        <v>1.3139958415520762E-3</v>
      </c>
      <c r="G1018" s="227">
        <v>1.2108603483626712E-3</v>
      </c>
      <c r="H1018" s="226">
        <v>2.0000005732018801E-3</v>
      </c>
      <c r="I1018" s="255">
        <v>3.0293558964457541E-3</v>
      </c>
      <c r="J1018" s="256">
        <v>6.9029095947898626E-5</v>
      </c>
      <c r="K1018" s="257">
        <v>7.2150285354586035E-5</v>
      </c>
      <c r="L1018" s="228">
        <v>4.3220515868890266E-2</v>
      </c>
    </row>
    <row r="1019" spans="1:12" s="212" customFormat="1" ht="15.5" x14ac:dyDescent="0.35">
      <c r="A1019" s="198" t="s">
        <v>830</v>
      </c>
      <c r="B1019" s="197">
        <v>2027</v>
      </c>
      <c r="C1019" s="213" t="s">
        <v>4234</v>
      </c>
      <c r="D1019" s="239">
        <v>9.3310185203298226E-3</v>
      </c>
      <c r="E1019" s="226">
        <v>5.3221426619686339E-2</v>
      </c>
      <c r="F1019" s="226">
        <v>1.2477533126330519E-3</v>
      </c>
      <c r="G1019" s="227">
        <v>1.1494748522437219E-3</v>
      </c>
      <c r="H1019" s="226">
        <v>2.0000005732018801E-3</v>
      </c>
      <c r="I1019" s="255">
        <v>3.0274667512896784E-3</v>
      </c>
      <c r="J1019" s="256">
        <v>5.6765304303708686E-5</v>
      </c>
      <c r="K1019" s="257">
        <v>5.9331979472015286E-5</v>
      </c>
      <c r="L1019" s="228">
        <v>4.2309498410811636E-2</v>
      </c>
    </row>
    <row r="1020" spans="1:12" s="212" customFormat="1" ht="15.5" x14ac:dyDescent="0.35">
      <c r="A1020" s="198" t="s">
        <v>830</v>
      </c>
      <c r="B1020" s="197">
        <v>2028</v>
      </c>
      <c r="C1020" s="213" t="s">
        <v>4235</v>
      </c>
      <c r="D1020" s="239">
        <v>8.4736132015512406E-3</v>
      </c>
      <c r="E1020" s="226">
        <v>4.8538046739600667E-2</v>
      </c>
      <c r="F1020" s="226">
        <v>1.1728989047089847E-3</v>
      </c>
      <c r="G1020" s="227">
        <v>1.0801541463460076E-3</v>
      </c>
      <c r="H1020" s="226">
        <v>2.0000005732018801E-3</v>
      </c>
      <c r="I1020" s="255">
        <v>3.0253586248121414E-3</v>
      </c>
      <c r="J1020" s="256">
        <v>4.4064985557531389E-5</v>
      </c>
      <c r="K1020" s="257">
        <v>4.6057408668965513E-5</v>
      </c>
      <c r="L1020" s="228">
        <v>4.1463242472200741E-2</v>
      </c>
    </row>
    <row r="1021" spans="1:12" s="212" customFormat="1" ht="15.5" x14ac:dyDescent="0.35">
      <c r="A1021" s="198" t="s">
        <v>830</v>
      </c>
      <c r="B1021" s="197">
        <v>2029</v>
      </c>
      <c r="C1021" s="213" t="s">
        <v>4236</v>
      </c>
      <c r="D1021" s="239">
        <v>7.7247601471647394E-3</v>
      </c>
      <c r="E1021" s="226">
        <v>4.4542645173746939E-2</v>
      </c>
      <c r="F1021" s="226">
        <v>1.1019994202848759E-3</v>
      </c>
      <c r="G1021" s="227">
        <v>1.014625125618878E-3</v>
      </c>
      <c r="H1021" s="226">
        <v>2.0000005732018801E-3</v>
      </c>
      <c r="I1021" s="255">
        <v>3.0230130716079459E-3</v>
      </c>
      <c r="J1021" s="256">
        <v>3.5349973630416548E-5</v>
      </c>
      <c r="K1021" s="257">
        <v>3.6948342574799202E-5</v>
      </c>
      <c r="L1021" s="228">
        <v>4.0674869673823159E-2</v>
      </c>
    </row>
    <row r="1022" spans="1:12" s="212" customFormat="1" ht="15.5" x14ac:dyDescent="0.35">
      <c r="A1022" s="198" t="s">
        <v>830</v>
      </c>
      <c r="B1022" s="197">
        <v>2030</v>
      </c>
      <c r="C1022" s="213" t="s">
        <v>4237</v>
      </c>
      <c r="D1022" s="239">
        <v>7.1021470260474564E-3</v>
      </c>
      <c r="E1022" s="226">
        <v>4.1207671339636646E-2</v>
      </c>
      <c r="F1022" s="226">
        <v>1.0343383111532597E-3</v>
      </c>
      <c r="G1022" s="227">
        <v>9.521398798917999E-4</v>
      </c>
      <c r="H1022" s="226">
        <v>2.0000005732018805E-3</v>
      </c>
      <c r="I1022" s="255">
        <v>3.020532877440541E-3</v>
      </c>
      <c r="J1022" s="256">
        <v>2.8334232125176966E-5</v>
      </c>
      <c r="K1022" s="257">
        <v>2.9615380370584551E-5</v>
      </c>
      <c r="L1022" s="228">
        <v>3.9951398058439648E-2</v>
      </c>
    </row>
    <row r="1023" spans="1:12" s="212" customFormat="1" ht="15.5" x14ac:dyDescent="0.35">
      <c r="A1023" s="198" t="s">
        <v>830</v>
      </c>
      <c r="B1023" s="197">
        <v>2031</v>
      </c>
      <c r="C1023" s="213" t="s">
        <v>4238</v>
      </c>
      <c r="D1023" s="239">
        <v>6.5672971720764995E-3</v>
      </c>
      <c r="E1023" s="226">
        <v>3.8347829220303817E-2</v>
      </c>
      <c r="F1023" s="226">
        <v>9.7238653424248597E-4</v>
      </c>
      <c r="G1023" s="227">
        <v>8.9505211023259163E-4</v>
      </c>
      <c r="H1023" s="226">
        <v>2.0000005732018801E-3</v>
      </c>
      <c r="I1023" s="255">
        <v>3.0433519801365523E-3</v>
      </c>
      <c r="J1023" s="256">
        <v>2.5115845136243024E-5</v>
      </c>
      <c r="K1023" s="257">
        <v>2.6251472203391772E-5</v>
      </c>
      <c r="L1023" s="228">
        <v>3.9288986558023188E-2</v>
      </c>
    </row>
    <row r="1024" spans="1:12" s="212" customFormat="1" ht="15.5" x14ac:dyDescent="0.35">
      <c r="A1024" s="198" t="s">
        <v>830</v>
      </c>
      <c r="B1024" s="197">
        <v>2032</v>
      </c>
      <c r="C1024" s="213" t="s">
        <v>4239</v>
      </c>
      <c r="D1024" s="239">
        <v>6.0986074830414036E-3</v>
      </c>
      <c r="E1024" s="226">
        <v>3.5910317904123544E-2</v>
      </c>
      <c r="F1024" s="226">
        <v>9.1222704077644531E-4</v>
      </c>
      <c r="G1024" s="227">
        <v>8.3957780672597204E-4</v>
      </c>
      <c r="H1024" s="226">
        <v>2.0000005732018801E-3</v>
      </c>
      <c r="I1024" s="255">
        <v>3.0404814502649181E-3</v>
      </c>
      <c r="J1024" s="256">
        <v>2.1012710310229341E-5</v>
      </c>
      <c r="K1024" s="257">
        <v>2.1962811827936887E-5</v>
      </c>
      <c r="L1024" s="228">
        <v>3.8685161832732788E-2</v>
      </c>
    </row>
    <row r="1025" spans="1:12" s="212" customFormat="1" ht="15.5" x14ac:dyDescent="0.35">
      <c r="A1025" s="198" t="s">
        <v>830</v>
      </c>
      <c r="B1025" s="197">
        <v>2033</v>
      </c>
      <c r="C1025" s="213" t="s">
        <v>4240</v>
      </c>
      <c r="D1025" s="239">
        <v>5.6900815619794574E-3</v>
      </c>
      <c r="E1025" s="226">
        <v>3.382945265756989E-2</v>
      </c>
      <c r="F1025" s="226">
        <v>8.5699621486925049E-4</v>
      </c>
      <c r="G1025" s="227">
        <v>7.8871417471911573E-4</v>
      </c>
      <c r="H1025" s="226">
        <v>2.0000005732018801E-3</v>
      </c>
      <c r="I1025" s="255">
        <v>3.037506149805933E-3</v>
      </c>
      <c r="J1025" s="256">
        <v>1.8935699484483445E-5</v>
      </c>
      <c r="K1025" s="257">
        <v>1.979188778924979E-5</v>
      </c>
      <c r="L1025" s="228">
        <v>3.8134172214916127E-2</v>
      </c>
    </row>
    <row r="1026" spans="1:12" s="212" customFormat="1" ht="15.5" x14ac:dyDescent="0.35">
      <c r="A1026" s="198" t="s">
        <v>830</v>
      </c>
      <c r="B1026" s="197">
        <v>2034</v>
      </c>
      <c r="C1026" s="213" t="s">
        <v>4241</v>
      </c>
      <c r="D1026" s="239">
        <v>5.3207973879131057E-3</v>
      </c>
      <c r="E1026" s="226">
        <v>3.2011121615159295E-2</v>
      </c>
      <c r="F1026" s="226">
        <v>8.0464084159868128E-4</v>
      </c>
      <c r="G1026" s="227">
        <v>7.4050291527811782E-4</v>
      </c>
      <c r="H1026" s="226">
        <v>2.0000005732018805E-3</v>
      </c>
      <c r="I1026" s="255">
        <v>3.0344989261662167E-3</v>
      </c>
      <c r="J1026" s="256">
        <v>1.7076845250251295E-5</v>
      </c>
      <c r="K1026" s="257">
        <v>1.784898441508914E-5</v>
      </c>
      <c r="L1026" s="228">
        <v>3.7631593172933339E-2</v>
      </c>
    </row>
    <row r="1027" spans="1:12" s="212" customFormat="1" ht="15.5" x14ac:dyDescent="0.35">
      <c r="A1027" s="198" t="s">
        <v>830</v>
      </c>
      <c r="B1027" s="197">
        <v>2035</v>
      </c>
      <c r="C1027" s="213" t="s">
        <v>4242</v>
      </c>
      <c r="D1027" s="239">
        <v>4.9899590817272113E-3</v>
      </c>
      <c r="E1027" s="226">
        <v>3.043820332518006E-2</v>
      </c>
      <c r="F1027" s="226">
        <v>7.5532351378015613E-4</v>
      </c>
      <c r="G1027" s="227">
        <v>6.9508217211190304E-4</v>
      </c>
      <c r="H1027" s="226">
        <v>2.0000005732018797E-3</v>
      </c>
      <c r="I1027" s="255">
        <v>3.0316087802734074E-3</v>
      </c>
      <c r="J1027" s="256">
        <v>1.5144732151672691E-5</v>
      </c>
      <c r="K1027" s="257">
        <v>1.5829509735817721E-5</v>
      </c>
      <c r="L1027" s="228">
        <v>3.7182348165493574E-2</v>
      </c>
    </row>
    <row r="1028" spans="1:12" s="212" customFormat="1" ht="15.5" x14ac:dyDescent="0.35">
      <c r="A1028" s="198" t="s">
        <v>830</v>
      </c>
      <c r="B1028" s="197">
        <v>2036</v>
      </c>
      <c r="C1028" s="213" t="s">
        <v>4243</v>
      </c>
      <c r="D1028" s="239">
        <v>4.7020777960467674E-3</v>
      </c>
      <c r="E1028" s="226">
        <v>2.9090622057698554E-2</v>
      </c>
      <c r="F1028" s="226">
        <v>7.1190334557124973E-4</v>
      </c>
      <c r="G1028" s="227">
        <v>6.5508840239601989E-4</v>
      </c>
      <c r="H1028" s="226">
        <v>2.0000005732018801E-3</v>
      </c>
      <c r="I1028" s="255">
        <v>3.0289043733682051E-3</v>
      </c>
      <c r="J1028" s="256">
        <v>1.3334603635619369E-5</v>
      </c>
      <c r="K1028" s="257">
        <v>1.3937535240594802E-5</v>
      </c>
      <c r="L1028" s="228">
        <v>3.6784891647645118E-2</v>
      </c>
    </row>
    <row r="1029" spans="1:12" s="212" customFormat="1" ht="15.5" x14ac:dyDescent="0.35">
      <c r="A1029" s="198" t="s">
        <v>830</v>
      </c>
      <c r="B1029" s="197">
        <v>2037</v>
      </c>
      <c r="C1029" s="213" t="s">
        <v>4244</v>
      </c>
      <c r="D1029" s="239">
        <v>4.4632757851282628E-3</v>
      </c>
      <c r="E1029" s="226">
        <v>2.7982054364221309E-2</v>
      </c>
      <c r="F1029" s="226">
        <v>6.7317271163660683E-4</v>
      </c>
      <c r="G1029" s="227">
        <v>6.1941662514283314E-4</v>
      </c>
      <c r="H1029" s="226">
        <v>2.0000005732018805E-3</v>
      </c>
      <c r="I1029" s="255">
        <v>3.0264453610127566E-3</v>
      </c>
      <c r="J1029" s="256">
        <v>1.1784692105738371E-5</v>
      </c>
      <c r="K1029" s="257">
        <v>1.2317543588963111E-5</v>
      </c>
      <c r="L1029" s="228">
        <v>3.6432678156234952E-2</v>
      </c>
    </row>
    <row r="1030" spans="1:12" s="212" customFormat="1" ht="15.5" x14ac:dyDescent="0.35">
      <c r="A1030" s="198" t="s">
        <v>830</v>
      </c>
      <c r="B1030" s="197">
        <v>2038</v>
      </c>
      <c r="C1030" s="213" t="s">
        <v>4245</v>
      </c>
      <c r="D1030" s="239">
        <v>4.2485511584941169E-3</v>
      </c>
      <c r="E1030" s="226">
        <v>2.6992974288084386E-2</v>
      </c>
      <c r="F1030" s="226">
        <v>6.3889746936914374E-4</v>
      </c>
      <c r="G1030" s="227">
        <v>5.878592334460401E-4</v>
      </c>
      <c r="H1030" s="226">
        <v>2.0000005732018805E-3</v>
      </c>
      <c r="I1030" s="255">
        <v>3.0242468272569738E-3</v>
      </c>
      <c r="J1030" s="256">
        <v>1.0692071793671811E-5</v>
      </c>
      <c r="K1030" s="257">
        <v>1.1175519834815759E-5</v>
      </c>
      <c r="L1030" s="228">
        <v>3.6130434252197648E-2</v>
      </c>
    </row>
    <row r="1031" spans="1:12" s="212" customFormat="1" ht="15.5" x14ac:dyDescent="0.35">
      <c r="A1031" s="198" t="s">
        <v>830</v>
      </c>
      <c r="B1031" s="197">
        <v>2039</v>
      </c>
      <c r="C1031" s="213" t="s">
        <v>4246</v>
      </c>
      <c r="D1031" s="239">
        <v>4.0325533277879074E-3</v>
      </c>
      <c r="E1031" s="226">
        <v>2.6030868687396767E-2</v>
      </c>
      <c r="F1031" s="226">
        <v>6.082944095095504E-4</v>
      </c>
      <c r="G1031" s="227">
        <v>5.5968573751662848E-4</v>
      </c>
      <c r="H1031" s="226">
        <v>2.0000005732018801E-3</v>
      </c>
      <c r="I1031" s="255">
        <v>3.0223491740905134E-3</v>
      </c>
      <c r="J1031" s="256">
        <v>9.7909053790957891E-6</v>
      </c>
      <c r="K1031" s="257">
        <v>1.0233606673839332E-5</v>
      </c>
      <c r="L1031" s="228">
        <v>3.5864518789808272E-2</v>
      </c>
    </row>
    <row r="1032" spans="1:12" s="212" customFormat="1" ht="15.5" x14ac:dyDescent="0.35">
      <c r="A1032" s="198" t="s">
        <v>830</v>
      </c>
      <c r="B1032" s="197">
        <v>2040</v>
      </c>
      <c r="C1032" s="213" t="s">
        <v>4247</v>
      </c>
      <c r="D1032" s="239">
        <v>3.8432697350696469E-3</v>
      </c>
      <c r="E1032" s="226">
        <v>2.520796676836495E-2</v>
      </c>
      <c r="F1032" s="226">
        <v>5.8164612292429954E-4</v>
      </c>
      <c r="G1032" s="227">
        <v>5.3515270449511383E-4</v>
      </c>
      <c r="H1032" s="226">
        <v>2.0000005732018801E-3</v>
      </c>
      <c r="I1032" s="255">
        <v>3.0208112868311786E-3</v>
      </c>
      <c r="J1032" s="256">
        <v>8.9974020675524684E-6</v>
      </c>
      <c r="K1032" s="257">
        <v>9.4042246636668257E-6</v>
      </c>
      <c r="L1032" s="228">
        <v>3.563800422751788E-2</v>
      </c>
    </row>
    <row r="1033" spans="1:12" s="212" customFormat="1" ht="15.5" x14ac:dyDescent="0.35">
      <c r="A1033" s="198" t="s">
        <v>830</v>
      </c>
      <c r="B1033" s="197">
        <v>2041</v>
      </c>
      <c r="C1033" s="213" t="s">
        <v>4248</v>
      </c>
      <c r="D1033" s="239">
        <v>3.7018000571187684E-3</v>
      </c>
      <c r="E1033" s="226">
        <v>2.4548534782166127E-2</v>
      </c>
      <c r="F1033" s="226">
        <v>5.6095180700424291E-4</v>
      </c>
      <c r="G1033" s="227">
        <v>5.1610042450135412E-4</v>
      </c>
      <c r="H1033" s="226">
        <v>2.0000005732018797E-3</v>
      </c>
      <c r="I1033" s="255">
        <v>3.0195891077540141E-3</v>
      </c>
      <c r="J1033" s="256">
        <v>8.3655084686803788E-6</v>
      </c>
      <c r="K1033" s="257">
        <v>8.7437596402400671E-6</v>
      </c>
      <c r="L1033" s="228">
        <v>3.5447458121174745E-2</v>
      </c>
    </row>
    <row r="1034" spans="1:12" s="212" customFormat="1" ht="15.5" x14ac:dyDescent="0.35">
      <c r="A1034" s="198" t="s">
        <v>830</v>
      </c>
      <c r="B1034" s="197">
        <v>2042</v>
      </c>
      <c r="C1034" s="213" t="s">
        <v>4249</v>
      </c>
      <c r="D1034" s="239">
        <v>3.5728788641681327E-3</v>
      </c>
      <c r="E1034" s="226">
        <v>2.3915658526611469E-2</v>
      </c>
      <c r="F1034" s="226">
        <v>5.4324728043731721E-4</v>
      </c>
      <c r="G1034" s="227">
        <v>4.998015157802266E-4</v>
      </c>
      <c r="H1034" s="226">
        <v>2.0000005732018801E-3</v>
      </c>
      <c r="I1034" s="255">
        <v>3.0185541249050482E-3</v>
      </c>
      <c r="J1034" s="256">
        <v>7.8457812362957124E-6</v>
      </c>
      <c r="K1034" s="257">
        <v>8.2005326486623877E-6</v>
      </c>
      <c r="L1034" s="228">
        <v>3.5281821461998854E-2</v>
      </c>
    </row>
    <row r="1035" spans="1:12" s="212" customFormat="1" ht="15.5" x14ac:dyDescent="0.35">
      <c r="A1035" s="198" t="s">
        <v>830</v>
      </c>
      <c r="B1035" s="197">
        <v>2043</v>
      </c>
      <c r="C1035" s="213" t="s">
        <v>4250</v>
      </c>
      <c r="D1035" s="239">
        <v>3.4746895440254935E-3</v>
      </c>
      <c r="E1035" s="226">
        <v>2.3381348538707641E-2</v>
      </c>
      <c r="F1035" s="226">
        <v>5.2827855255255761E-4</v>
      </c>
      <c r="G1035" s="227">
        <v>4.8602190905701174E-4</v>
      </c>
      <c r="H1035" s="226">
        <v>2.0000005732018801E-3</v>
      </c>
      <c r="I1035" s="255">
        <v>3.0177279796077786E-3</v>
      </c>
      <c r="J1035" s="256">
        <v>7.4245091567635405E-6</v>
      </c>
      <c r="K1035" s="257">
        <v>7.7602125150609453E-6</v>
      </c>
      <c r="L1035" s="228">
        <v>3.5140207687708744E-2</v>
      </c>
    </row>
    <row r="1036" spans="1:12" s="212" customFormat="1" ht="15.5" x14ac:dyDescent="0.35">
      <c r="A1036" s="198" t="s">
        <v>830</v>
      </c>
      <c r="B1036" s="197">
        <v>2044</v>
      </c>
      <c r="C1036" s="213" t="s">
        <v>4251</v>
      </c>
      <c r="D1036" s="239">
        <v>3.3960437663158954E-3</v>
      </c>
      <c r="E1036" s="226">
        <v>2.2874361793426515E-2</v>
      </c>
      <c r="F1036" s="226">
        <v>5.155841249150666E-4</v>
      </c>
      <c r="G1036" s="227">
        <v>4.7433590336134579E-4</v>
      </c>
      <c r="H1036" s="226">
        <v>2.0000005732018801E-3</v>
      </c>
      <c r="I1036" s="255">
        <v>3.0170728263251905E-3</v>
      </c>
      <c r="J1036" s="256">
        <v>7.0665255551672658E-6</v>
      </c>
      <c r="K1036" s="257">
        <v>7.3860424835291967E-6</v>
      </c>
      <c r="L1036" s="228">
        <v>3.5021334571460845E-2</v>
      </c>
    </row>
    <row r="1037" spans="1:12" s="212" customFormat="1" ht="15.5" x14ac:dyDescent="0.35">
      <c r="A1037" s="198" t="s">
        <v>830</v>
      </c>
      <c r="B1037" s="197">
        <v>2045</v>
      </c>
      <c r="C1037" s="213" t="s">
        <v>4252</v>
      </c>
      <c r="D1037" s="239">
        <v>3.3342080252307905E-3</v>
      </c>
      <c r="E1037" s="226">
        <v>2.2382780051906286E-2</v>
      </c>
      <c r="F1037" s="226">
        <v>5.0484686029163782E-4</v>
      </c>
      <c r="G1037" s="227">
        <v>4.6445349720310972E-4</v>
      </c>
      <c r="H1037" s="226">
        <v>2.0000005732018797E-3</v>
      </c>
      <c r="I1037" s="255">
        <v>3.0165460226045139E-3</v>
      </c>
      <c r="J1037" s="256">
        <v>6.8127537342598201E-6</v>
      </c>
      <c r="K1037" s="257">
        <v>7.1207962269760964E-6</v>
      </c>
      <c r="L1037" s="228">
        <v>3.4915544917226801E-2</v>
      </c>
    </row>
    <row r="1038" spans="1:12" s="212" customFormat="1" ht="15.5" x14ac:dyDescent="0.35">
      <c r="A1038" s="198" t="s">
        <v>830</v>
      </c>
      <c r="B1038" s="197">
        <v>2046</v>
      </c>
      <c r="C1038" s="213" t="s">
        <v>4253</v>
      </c>
      <c r="D1038" s="239">
        <v>3.2757935235690422E-3</v>
      </c>
      <c r="E1038" s="226">
        <v>2.190881820142691E-2</v>
      </c>
      <c r="F1038" s="226">
        <v>4.9584207347866686E-4</v>
      </c>
      <c r="G1038" s="227">
        <v>4.5616524816488043E-4</v>
      </c>
      <c r="H1038" s="226">
        <v>2.0000005732018797E-3</v>
      </c>
      <c r="I1038" s="255">
        <v>3.0161350015197384E-3</v>
      </c>
      <c r="J1038" s="256">
        <v>6.5899786995601051E-6</v>
      </c>
      <c r="K1038" s="257">
        <v>6.8879482937568149E-6</v>
      </c>
      <c r="L1038" s="228">
        <v>3.4823209209882883E-2</v>
      </c>
    </row>
    <row r="1039" spans="1:12" s="212" customFormat="1" ht="15.5" x14ac:dyDescent="0.35">
      <c r="A1039" s="198" t="s">
        <v>830</v>
      </c>
      <c r="B1039" s="197">
        <v>2047</v>
      </c>
      <c r="C1039" s="213" t="s">
        <v>4254</v>
      </c>
      <c r="D1039" s="239">
        <v>3.2232003231725355E-3</v>
      </c>
      <c r="E1039" s="226">
        <v>2.1476051191182788E-2</v>
      </c>
      <c r="F1039" s="226">
        <v>4.8837126593334547E-4</v>
      </c>
      <c r="G1039" s="227">
        <v>4.4928894094552457E-4</v>
      </c>
      <c r="H1039" s="226">
        <v>2.0000005732018801E-3</v>
      </c>
      <c r="I1039" s="255">
        <v>3.01581871116813E-3</v>
      </c>
      <c r="J1039" s="256">
        <v>6.4058174935971806E-6</v>
      </c>
      <c r="K1039" s="257">
        <v>6.69546013526352E-6</v>
      </c>
      <c r="L1039" s="228">
        <v>3.4744979104157581E-2</v>
      </c>
    </row>
    <row r="1040" spans="1:12" s="212" customFormat="1" ht="15.5" x14ac:dyDescent="0.35">
      <c r="A1040" s="198" t="s">
        <v>830</v>
      </c>
      <c r="B1040" s="197">
        <v>2048</v>
      </c>
      <c r="C1040" s="213" t="s">
        <v>4255</v>
      </c>
      <c r="D1040" s="239">
        <v>3.1808727009372778E-3</v>
      </c>
      <c r="E1040" s="226">
        <v>2.1132981946057863E-2</v>
      </c>
      <c r="F1040" s="226">
        <v>4.8218700435988146E-4</v>
      </c>
      <c r="G1040" s="227">
        <v>4.4359614479915627E-4</v>
      </c>
      <c r="H1040" s="226">
        <v>2.0000005732018797E-3</v>
      </c>
      <c r="I1040" s="255">
        <v>3.0155944798094013E-3</v>
      </c>
      <c r="J1040" s="256">
        <v>6.2365304944357707E-6</v>
      </c>
      <c r="K1040" s="257">
        <v>6.5185187291999557E-6</v>
      </c>
      <c r="L1040" s="228">
        <v>3.467787868064557E-2</v>
      </c>
    </row>
    <row r="1041" spans="1:12" s="212" customFormat="1" ht="15.5" x14ac:dyDescent="0.35">
      <c r="A1041" s="198" t="s">
        <v>830</v>
      </c>
      <c r="B1041" s="197">
        <v>2049</v>
      </c>
      <c r="C1041" s="213" t="s">
        <v>4256</v>
      </c>
      <c r="D1041" s="239">
        <v>3.1715270130349554E-3</v>
      </c>
      <c r="E1041" s="226">
        <v>2.109714649806007E-2</v>
      </c>
      <c r="F1041" s="226">
        <v>4.783808005975141E-4</v>
      </c>
      <c r="G1041" s="227">
        <v>4.4009246986107339E-4</v>
      </c>
      <c r="H1041" s="226">
        <v>2.0000005732018801E-3</v>
      </c>
      <c r="I1041" s="255">
        <v>3.0154189779778092E-3</v>
      </c>
      <c r="J1041" s="256">
        <v>6.1335843861423396E-6</v>
      </c>
      <c r="K1041" s="257">
        <v>6.4109178547060897E-6</v>
      </c>
      <c r="L1041" s="228">
        <v>3.4619248063413169E-2</v>
      </c>
    </row>
    <row r="1042" spans="1:12" s="212" customFormat="1" ht="15.5" x14ac:dyDescent="0.35">
      <c r="A1042" s="198" t="s">
        <v>830</v>
      </c>
      <c r="B1042" s="197">
        <v>2050</v>
      </c>
      <c r="C1042" s="213" t="s">
        <v>4257</v>
      </c>
      <c r="D1042" s="239">
        <v>3.1645912735224812E-3</v>
      </c>
      <c r="E1042" s="226">
        <v>2.1069551735234181E-2</v>
      </c>
      <c r="F1042" s="226">
        <v>4.7523442814949264E-4</v>
      </c>
      <c r="G1042" s="227">
        <v>4.3719224162855417E-4</v>
      </c>
      <c r="H1042" s="226">
        <v>2.0000005732018801E-3</v>
      </c>
      <c r="I1042" s="255">
        <v>3.0153558288597599E-3</v>
      </c>
      <c r="J1042" s="256">
        <v>5.9473838456008841E-6</v>
      </c>
      <c r="K1042" s="257">
        <v>6.2162981519740115E-6</v>
      </c>
      <c r="L1042" s="228">
        <v>3.4569962831965749E-2</v>
      </c>
    </row>
    <row r="1043" spans="1:12" s="212" customFormat="1" ht="15.5" x14ac:dyDescent="0.35">
      <c r="A1043" s="198" t="s">
        <v>831</v>
      </c>
      <c r="B1043" s="197">
        <v>2015</v>
      </c>
      <c r="C1043" s="213" t="s">
        <v>915</v>
      </c>
      <c r="D1043" s="239">
        <v>7.4177424952556234E-2</v>
      </c>
      <c r="E1043" s="226">
        <v>0.35699648109893456</v>
      </c>
      <c r="F1043" s="226">
        <v>2.5658366127511742E-3</v>
      </c>
      <c r="G1043" s="227">
        <v>2.3775798331482621E-3</v>
      </c>
      <c r="H1043" s="226">
        <v>2.0000005732018801E-3</v>
      </c>
      <c r="I1043" s="255">
        <v>2.9177945028760299E-3</v>
      </c>
      <c r="J1043" s="256">
        <v>3.3030682565316578E-4</v>
      </c>
      <c r="K1043" s="257">
        <v>3.4524183459437092E-4</v>
      </c>
      <c r="L1043" s="228">
        <v>4.5559336014510787E-2</v>
      </c>
    </row>
    <row r="1044" spans="1:12" s="212" customFormat="1" ht="15.5" x14ac:dyDescent="0.35">
      <c r="A1044" s="198" t="s">
        <v>831</v>
      </c>
      <c r="B1044" s="197">
        <v>2016</v>
      </c>
      <c r="C1044" s="213" t="s">
        <v>916</v>
      </c>
      <c r="D1044" s="239">
        <v>6.5349803444569657E-2</v>
      </c>
      <c r="E1044" s="226">
        <v>0.32457678851633504</v>
      </c>
      <c r="F1044" s="226">
        <v>2.4038873414306133E-3</v>
      </c>
      <c r="G1044" s="227">
        <v>2.2263411395344887E-3</v>
      </c>
      <c r="H1044" s="226">
        <v>2.0000005732018805E-3</v>
      </c>
      <c r="I1044" s="255">
        <v>2.9196123007132263E-3</v>
      </c>
      <c r="J1044" s="256">
        <v>3.0344759793604159E-4</v>
      </c>
      <c r="K1044" s="257">
        <v>3.1716815178593652E-4</v>
      </c>
      <c r="L1044" s="228">
        <v>4.4526606626423174E-2</v>
      </c>
    </row>
    <row r="1045" spans="1:12" s="212" customFormat="1" ht="15.5" x14ac:dyDescent="0.35">
      <c r="A1045" s="198" t="s">
        <v>831</v>
      </c>
      <c r="B1045" s="197">
        <v>2017</v>
      </c>
      <c r="C1045" s="213" t="s">
        <v>4258</v>
      </c>
      <c r="D1045" s="239">
        <v>5.264618310682654E-2</v>
      </c>
      <c r="E1045" s="226">
        <v>0.2741753958849979</v>
      </c>
      <c r="F1045" s="226">
        <v>2.1828891382167023E-3</v>
      </c>
      <c r="G1045" s="227">
        <v>2.0199635950426953E-3</v>
      </c>
      <c r="H1045" s="226">
        <v>2.0000005732018805E-3</v>
      </c>
      <c r="I1045" s="255">
        <v>2.9180157980114299E-3</v>
      </c>
      <c r="J1045" s="256">
        <v>2.6113632135763866E-4</v>
      </c>
      <c r="K1045" s="257">
        <v>2.7294374703416689E-4</v>
      </c>
      <c r="L1045" s="228">
        <v>4.4187913084249665E-2</v>
      </c>
    </row>
    <row r="1046" spans="1:12" s="212" customFormat="1" ht="15.5" x14ac:dyDescent="0.35">
      <c r="A1046" s="198" t="s">
        <v>831</v>
      </c>
      <c r="B1046" s="197">
        <v>2018</v>
      </c>
      <c r="C1046" s="213" t="s">
        <v>4259</v>
      </c>
      <c r="D1046" s="239">
        <v>4.3923000088454206E-2</v>
      </c>
      <c r="E1046" s="226">
        <v>0.24061755915221439</v>
      </c>
      <c r="F1046" s="226">
        <v>2.062781215650923E-3</v>
      </c>
      <c r="G1046" s="227">
        <v>1.9072165492128226E-3</v>
      </c>
      <c r="H1046" s="226">
        <v>2.0000005732018797E-3</v>
      </c>
      <c r="I1046" s="255">
        <v>2.9209037804369298E-3</v>
      </c>
      <c r="J1046" s="256">
        <v>2.317398973755031E-4</v>
      </c>
      <c r="K1046" s="257">
        <v>2.4221814720425846E-4</v>
      </c>
      <c r="L1046" s="228">
        <v>4.3624705616712375E-2</v>
      </c>
    </row>
    <row r="1047" spans="1:12" s="212" customFormat="1" ht="15.5" x14ac:dyDescent="0.35">
      <c r="A1047" s="198" t="s">
        <v>831</v>
      </c>
      <c r="B1047" s="197">
        <v>2019</v>
      </c>
      <c r="C1047" s="213" t="s">
        <v>4260</v>
      </c>
      <c r="D1047" s="239">
        <v>3.5947863471792046E-2</v>
      </c>
      <c r="E1047" s="226">
        <v>0.19679172584680518</v>
      </c>
      <c r="F1047" s="226">
        <v>1.9363618412524021E-3</v>
      </c>
      <c r="G1047" s="227">
        <v>1.7880826919735877E-3</v>
      </c>
      <c r="H1047" s="226">
        <v>2.0000005732018801E-3</v>
      </c>
      <c r="I1047" s="255">
        <v>2.9220542814283679E-3</v>
      </c>
      <c r="J1047" s="256">
        <v>1.7547188622350665E-4</v>
      </c>
      <c r="K1047" s="257">
        <v>1.8340594627357071E-4</v>
      </c>
      <c r="L1047" s="228">
        <v>4.2981030713125284E-2</v>
      </c>
    </row>
    <row r="1048" spans="1:12" s="212" customFormat="1" ht="15.5" x14ac:dyDescent="0.35">
      <c r="A1048" s="198" t="s">
        <v>831</v>
      </c>
      <c r="B1048" s="197">
        <v>2020</v>
      </c>
      <c r="C1048" s="213" t="s">
        <v>4261</v>
      </c>
      <c r="D1048" s="239">
        <v>3.1382050463840711E-2</v>
      </c>
      <c r="E1048" s="226">
        <v>0.17665405101301382</v>
      </c>
      <c r="F1048" s="226">
        <v>1.8620976932091182E-3</v>
      </c>
      <c r="G1048" s="227">
        <v>1.7188134270981045E-3</v>
      </c>
      <c r="H1048" s="226">
        <v>2.0000005732018801E-3</v>
      </c>
      <c r="I1048" s="255">
        <v>2.9311333511333197E-3</v>
      </c>
      <c r="J1048" s="256">
        <v>1.5820776521613874E-4</v>
      </c>
      <c r="K1048" s="257">
        <v>1.6536121832265164E-4</v>
      </c>
      <c r="L1048" s="228">
        <v>4.2641701036861705E-2</v>
      </c>
    </row>
    <row r="1049" spans="1:12" s="212" customFormat="1" ht="15.5" x14ac:dyDescent="0.35">
      <c r="A1049" s="198" t="s">
        <v>831</v>
      </c>
      <c r="B1049" s="197">
        <v>2021</v>
      </c>
      <c r="C1049" s="213" t="s">
        <v>4262</v>
      </c>
      <c r="D1049" s="239">
        <v>2.7624211708141621E-2</v>
      </c>
      <c r="E1049" s="226">
        <v>0.15777531476339124</v>
      </c>
      <c r="F1049" s="226">
        <v>1.7762474380599203E-3</v>
      </c>
      <c r="G1049" s="227">
        <v>1.6391514282569906E-3</v>
      </c>
      <c r="H1049" s="226">
        <v>2.0000005732018801E-3</v>
      </c>
      <c r="I1049" s="255">
        <v>2.9373353024389785E-3</v>
      </c>
      <c r="J1049" s="256">
        <v>1.4372655853629626E-4</v>
      </c>
      <c r="K1049" s="257">
        <v>1.5022523573615012E-4</v>
      </c>
      <c r="L1049" s="228">
        <v>4.1820989966072079E-2</v>
      </c>
    </row>
    <row r="1050" spans="1:12" s="212" customFormat="1" ht="15.5" x14ac:dyDescent="0.35">
      <c r="A1050" s="198" t="s">
        <v>831</v>
      </c>
      <c r="B1050" s="197">
        <v>2022</v>
      </c>
      <c r="C1050" s="213" t="s">
        <v>4263</v>
      </c>
      <c r="D1050" s="239">
        <v>2.3610028713971474E-2</v>
      </c>
      <c r="E1050" s="226">
        <v>0.13936021775216623</v>
      </c>
      <c r="F1050" s="226">
        <v>1.6871655469547959E-3</v>
      </c>
      <c r="G1050" s="227">
        <v>1.5564239724587745E-3</v>
      </c>
      <c r="H1050" s="226">
        <v>2.0000005732018805E-3</v>
      </c>
      <c r="I1050" s="255">
        <v>2.939694126568749E-3</v>
      </c>
      <c r="J1050" s="256">
        <v>1.2961852365233801E-4</v>
      </c>
      <c r="K1050" s="257">
        <v>1.3547929811821654E-4</v>
      </c>
      <c r="L1050" s="228">
        <v>4.1072879438939801E-2</v>
      </c>
    </row>
    <row r="1051" spans="1:12" s="212" customFormat="1" ht="15.5" x14ac:dyDescent="0.35">
      <c r="A1051" s="198" t="s">
        <v>831</v>
      </c>
      <c r="B1051" s="197">
        <v>2023</v>
      </c>
      <c r="C1051" s="213" t="s">
        <v>4264</v>
      </c>
      <c r="D1051" s="239">
        <v>2.0879289188220861E-2</v>
      </c>
      <c r="E1051" s="226">
        <v>0.1238567283254931</v>
      </c>
      <c r="F1051" s="226">
        <v>1.6062084740737876E-3</v>
      </c>
      <c r="G1051" s="227">
        <v>1.4814213094694626E-3</v>
      </c>
      <c r="H1051" s="226">
        <v>2.0000005732018801E-3</v>
      </c>
      <c r="I1051" s="255">
        <v>2.9407923568661003E-3</v>
      </c>
      <c r="J1051" s="256">
        <v>1.1604911807794533E-4</v>
      </c>
      <c r="K1051" s="257">
        <v>1.2129634423709538E-4</v>
      </c>
      <c r="L1051" s="228">
        <v>4.0222179284976331E-2</v>
      </c>
    </row>
    <row r="1052" spans="1:12" s="212" customFormat="1" ht="15.5" x14ac:dyDescent="0.35">
      <c r="A1052" s="198" t="s">
        <v>831</v>
      </c>
      <c r="B1052" s="197">
        <v>2024</v>
      </c>
      <c r="C1052" s="213" t="s">
        <v>4265</v>
      </c>
      <c r="D1052" s="239">
        <v>1.8455091666828238E-2</v>
      </c>
      <c r="E1052" s="226">
        <v>0.11016197643898031</v>
      </c>
      <c r="F1052" s="226">
        <v>1.528941137483718E-3</v>
      </c>
      <c r="G1052" s="227">
        <v>1.409757519307364E-3</v>
      </c>
      <c r="H1052" s="226">
        <v>2.0000005732018801E-3</v>
      </c>
      <c r="I1052" s="255">
        <v>2.941284231988276E-3</v>
      </c>
      <c r="J1052" s="256">
        <v>1.0108908326468694E-4</v>
      </c>
      <c r="K1052" s="257">
        <v>1.056598830337526E-4</v>
      </c>
      <c r="L1052" s="228">
        <v>3.9395432457200674E-2</v>
      </c>
    </row>
    <row r="1053" spans="1:12" s="212" customFormat="1" ht="15.5" x14ac:dyDescent="0.35">
      <c r="A1053" s="198" t="s">
        <v>831</v>
      </c>
      <c r="B1053" s="197">
        <v>2025</v>
      </c>
      <c r="C1053" s="213" t="s">
        <v>4266</v>
      </c>
      <c r="D1053" s="239">
        <v>1.6454896372127582E-2</v>
      </c>
      <c r="E1053" s="226">
        <v>9.8624559613413834E-2</v>
      </c>
      <c r="F1053" s="226">
        <v>1.4675269206177873E-3</v>
      </c>
      <c r="G1053" s="227">
        <v>1.3528716302332793E-3</v>
      </c>
      <c r="H1053" s="226">
        <v>2.0000005732018801E-3</v>
      </c>
      <c r="I1053" s="255">
        <v>2.9412904292518078E-3</v>
      </c>
      <c r="J1053" s="256">
        <v>9.0660035169845676E-5</v>
      </c>
      <c r="K1053" s="257">
        <v>9.4759279662278177E-5</v>
      </c>
      <c r="L1053" s="228">
        <v>3.8536952512837924E-2</v>
      </c>
    </row>
    <row r="1054" spans="1:12" s="212" customFormat="1" ht="15.5" x14ac:dyDescent="0.35">
      <c r="A1054" s="198" t="s">
        <v>831</v>
      </c>
      <c r="B1054" s="197">
        <v>2026</v>
      </c>
      <c r="C1054" s="213" t="s">
        <v>4267</v>
      </c>
      <c r="D1054" s="239">
        <v>1.4731596529794893E-2</v>
      </c>
      <c r="E1054" s="226">
        <v>8.8718434202663884E-2</v>
      </c>
      <c r="F1054" s="226">
        <v>1.4067243568249177E-3</v>
      </c>
      <c r="G1054" s="227">
        <v>1.2965840394863718E-3</v>
      </c>
      <c r="H1054" s="226">
        <v>2.0000005732018801E-3</v>
      </c>
      <c r="I1054" s="255">
        <v>2.9408153042852535E-3</v>
      </c>
      <c r="J1054" s="256">
        <v>8.0908666540904859E-5</v>
      </c>
      <c r="K1054" s="257">
        <v>8.456699741499412E-5</v>
      </c>
      <c r="L1054" s="228">
        <v>3.7712235322257481E-2</v>
      </c>
    </row>
    <row r="1055" spans="1:12" s="212" customFormat="1" ht="15.5" x14ac:dyDescent="0.35">
      <c r="A1055" s="198" t="s">
        <v>831</v>
      </c>
      <c r="B1055" s="197">
        <v>2027</v>
      </c>
      <c r="C1055" s="213" t="s">
        <v>4268</v>
      </c>
      <c r="D1055" s="239">
        <v>1.3251277120141949E-2</v>
      </c>
      <c r="E1055" s="226">
        <v>8.0076940961007523E-2</v>
      </c>
      <c r="F1055" s="226">
        <v>1.3367081319555505E-3</v>
      </c>
      <c r="G1055" s="227">
        <v>1.2316688622248946E-3</v>
      </c>
      <c r="H1055" s="226">
        <v>2.0000005732018801E-3</v>
      </c>
      <c r="I1055" s="255">
        <v>2.9397001265710604E-3</v>
      </c>
      <c r="J1055" s="256">
        <v>6.7117138256224531E-5</v>
      </c>
      <c r="K1055" s="257">
        <v>7.0151877420280962E-5</v>
      </c>
      <c r="L1055" s="228">
        <v>3.7009220562976418E-2</v>
      </c>
    </row>
    <row r="1056" spans="1:12" s="212" customFormat="1" ht="15.5" x14ac:dyDescent="0.35">
      <c r="A1056" s="198" t="s">
        <v>831</v>
      </c>
      <c r="B1056" s="197">
        <v>2028</v>
      </c>
      <c r="C1056" s="213" t="s">
        <v>4269</v>
      </c>
      <c r="D1056" s="239">
        <v>1.1984131750047583E-2</v>
      </c>
      <c r="E1056" s="226">
        <v>7.2638479633181666E-2</v>
      </c>
      <c r="F1056" s="226">
        <v>1.2648304384058786E-3</v>
      </c>
      <c r="G1056" s="227">
        <v>1.1651856632536193E-3</v>
      </c>
      <c r="H1056" s="226">
        <v>2.0000005732018805E-3</v>
      </c>
      <c r="I1056" s="255">
        <v>2.9383210405246464E-3</v>
      </c>
      <c r="J1056" s="256">
        <v>5.699691519435437E-5</v>
      </c>
      <c r="K1056" s="257">
        <v>5.9574062779377728E-5</v>
      </c>
      <c r="L1056" s="228">
        <v>3.6286867047639879E-2</v>
      </c>
    </row>
    <row r="1057" spans="1:12" s="212" customFormat="1" ht="15.5" x14ac:dyDescent="0.35">
      <c r="A1057" s="198" t="s">
        <v>831</v>
      </c>
      <c r="B1057" s="197">
        <v>2029</v>
      </c>
      <c r="C1057" s="213" t="s">
        <v>4270</v>
      </c>
      <c r="D1057" s="239">
        <v>1.0873761656604367E-2</v>
      </c>
      <c r="E1057" s="226">
        <v>6.6197894707431149E-2</v>
      </c>
      <c r="F1057" s="226">
        <v>1.1948434944241029E-3</v>
      </c>
      <c r="G1057" s="227">
        <v>1.1005070780299637E-3</v>
      </c>
      <c r="H1057" s="226">
        <v>2.0000005732018797E-3</v>
      </c>
      <c r="I1057" s="255">
        <v>2.9367178874378569E-3</v>
      </c>
      <c r="J1057" s="256">
        <v>4.8574187961368752E-5</v>
      </c>
      <c r="K1057" s="257">
        <v>5.0770497196215002E-5</v>
      </c>
      <c r="L1057" s="228">
        <v>3.562574691538823E-2</v>
      </c>
    </row>
    <row r="1058" spans="1:12" s="212" customFormat="1" ht="15.5" x14ac:dyDescent="0.35">
      <c r="A1058" s="198" t="s">
        <v>831</v>
      </c>
      <c r="B1058" s="197">
        <v>2030</v>
      </c>
      <c r="C1058" s="213" t="s">
        <v>4271</v>
      </c>
      <c r="D1058" s="239">
        <v>9.9404870867948608E-3</v>
      </c>
      <c r="E1058" s="226">
        <v>6.069183025134376E-2</v>
      </c>
      <c r="F1058" s="226">
        <v>1.1289886780112884E-3</v>
      </c>
      <c r="G1058" s="227">
        <v>1.0397057405193476E-3</v>
      </c>
      <c r="H1058" s="226">
        <v>2.0000005732018801E-3</v>
      </c>
      <c r="I1058" s="255">
        <v>2.9350018790120758E-3</v>
      </c>
      <c r="J1058" s="256">
        <v>4.2151029486283881E-5</v>
      </c>
      <c r="K1058" s="257">
        <v>4.4056911997230495E-5</v>
      </c>
      <c r="L1058" s="228">
        <v>3.5023854430135157E-2</v>
      </c>
    </row>
    <row r="1059" spans="1:12" s="212" customFormat="1" ht="15.5" x14ac:dyDescent="0.35">
      <c r="A1059" s="198" t="s">
        <v>831</v>
      </c>
      <c r="B1059" s="197">
        <v>2031</v>
      </c>
      <c r="C1059" s="213" t="s">
        <v>4272</v>
      </c>
      <c r="D1059" s="239">
        <v>9.1084405602817158E-3</v>
      </c>
      <c r="E1059" s="226">
        <v>5.5830743008633756E-2</v>
      </c>
      <c r="F1059" s="226">
        <v>1.0664927884910999E-3</v>
      </c>
      <c r="G1059" s="227">
        <v>9.820808982206608E-4</v>
      </c>
      <c r="H1059" s="226">
        <v>2.0000005732018801E-3</v>
      </c>
      <c r="I1059" s="255">
        <v>2.9330388878598336E-3</v>
      </c>
      <c r="J1059" s="256">
        <v>3.7988636629099619E-5</v>
      </c>
      <c r="K1059" s="257">
        <v>3.9706314205389099E-5</v>
      </c>
      <c r="L1059" s="228">
        <v>3.4478447018441757E-2</v>
      </c>
    </row>
    <row r="1060" spans="1:12" s="212" customFormat="1" ht="15.5" x14ac:dyDescent="0.35">
      <c r="A1060" s="198" t="s">
        <v>831</v>
      </c>
      <c r="B1060" s="197">
        <v>2032</v>
      </c>
      <c r="C1060" s="213" t="s">
        <v>4273</v>
      </c>
      <c r="D1060" s="239">
        <v>8.3898974258570652E-3</v>
      </c>
      <c r="E1060" s="226">
        <v>5.1689578342782629E-2</v>
      </c>
      <c r="F1060" s="226">
        <v>1.0071653485541332E-3</v>
      </c>
      <c r="G1060" s="227">
        <v>9.2737435761330606E-4</v>
      </c>
      <c r="H1060" s="226">
        <v>2.0000005732018797E-3</v>
      </c>
      <c r="I1060" s="255">
        <v>2.9309242021622775E-3</v>
      </c>
      <c r="J1060" s="256">
        <v>3.395532192992755E-5</v>
      </c>
      <c r="K1060" s="257">
        <v>3.5490630913089317E-5</v>
      </c>
      <c r="L1060" s="228">
        <v>3.3994075948523508E-2</v>
      </c>
    </row>
    <row r="1061" spans="1:12" s="212" customFormat="1" ht="15.5" x14ac:dyDescent="0.35">
      <c r="A1061" s="198" t="s">
        <v>831</v>
      </c>
      <c r="B1061" s="197">
        <v>2033</v>
      </c>
      <c r="C1061" s="213" t="s">
        <v>4274</v>
      </c>
      <c r="D1061" s="239">
        <v>7.7466966992067419E-3</v>
      </c>
      <c r="E1061" s="226">
        <v>4.8033167428218504E-2</v>
      </c>
      <c r="F1061" s="226">
        <v>9.5093077700286158E-4</v>
      </c>
      <c r="G1061" s="227">
        <v>8.7555586826842491E-4</v>
      </c>
      <c r="H1061" s="226">
        <v>2.0000005732018801E-3</v>
      </c>
      <c r="I1061" s="255">
        <v>2.9286670598857286E-3</v>
      </c>
      <c r="J1061" s="256">
        <v>3.1058292772263132E-5</v>
      </c>
      <c r="K1061" s="257">
        <v>3.2462610952291865E-5</v>
      </c>
      <c r="L1061" s="228">
        <v>3.3588423819499058E-2</v>
      </c>
    </row>
    <row r="1062" spans="1:12" s="212" customFormat="1" ht="15.5" x14ac:dyDescent="0.35">
      <c r="A1062" s="198" t="s">
        <v>831</v>
      </c>
      <c r="B1062" s="197">
        <v>2034</v>
      </c>
      <c r="C1062" s="213" t="s">
        <v>4275</v>
      </c>
      <c r="D1062" s="239">
        <v>7.1585907044625649E-3</v>
      </c>
      <c r="E1062" s="226">
        <v>4.4805914019513504E-2</v>
      </c>
      <c r="F1062" s="226">
        <v>8.9642987834121629E-4</v>
      </c>
      <c r="G1062" s="227">
        <v>8.2532351530919027E-4</v>
      </c>
      <c r="H1062" s="226">
        <v>2.0000005732018801E-3</v>
      </c>
      <c r="I1062" s="255">
        <v>2.9263440322808941E-3</v>
      </c>
      <c r="J1062" s="256">
        <v>2.795820256384834E-5</v>
      </c>
      <c r="K1062" s="257">
        <v>2.9222348421099114E-5</v>
      </c>
      <c r="L1062" s="228">
        <v>3.3187263150301453E-2</v>
      </c>
    </row>
    <row r="1063" spans="1:12" s="212" customFormat="1" ht="15.5" x14ac:dyDescent="0.35">
      <c r="A1063" s="198" t="s">
        <v>831</v>
      </c>
      <c r="B1063" s="197">
        <v>2035</v>
      </c>
      <c r="C1063" s="213" t="s">
        <v>4276</v>
      </c>
      <c r="D1063" s="239">
        <v>6.6360005597809529E-3</v>
      </c>
      <c r="E1063" s="226">
        <v>4.2029772424872582E-2</v>
      </c>
      <c r="F1063" s="226">
        <v>8.4551193293129078E-4</v>
      </c>
      <c r="G1063" s="227">
        <v>7.7840872625960353E-4</v>
      </c>
      <c r="H1063" s="226">
        <v>2.0000005732018801E-3</v>
      </c>
      <c r="I1063" s="255">
        <v>2.9240361130322078E-3</v>
      </c>
      <c r="J1063" s="256">
        <v>2.5452797761361439E-5</v>
      </c>
      <c r="K1063" s="257">
        <v>2.6603660331012925E-5</v>
      </c>
      <c r="L1063" s="228">
        <v>3.2830543255663806E-2</v>
      </c>
    </row>
    <row r="1064" spans="1:12" s="212" customFormat="1" ht="15.5" x14ac:dyDescent="0.35">
      <c r="A1064" s="198" t="s">
        <v>831</v>
      </c>
      <c r="B1064" s="197">
        <v>2036</v>
      </c>
      <c r="C1064" s="213" t="s">
        <v>4277</v>
      </c>
      <c r="D1064" s="239">
        <v>6.1864439799853305E-3</v>
      </c>
      <c r="E1064" s="226">
        <v>3.9649401194977028E-2</v>
      </c>
      <c r="F1064" s="226">
        <v>8.0090840328337818E-4</v>
      </c>
      <c r="G1064" s="227">
        <v>7.3730871181850149E-4</v>
      </c>
      <c r="H1064" s="226">
        <v>2.0000005732018797E-3</v>
      </c>
      <c r="I1064" s="255">
        <v>2.9218211296058033E-3</v>
      </c>
      <c r="J1064" s="256">
        <v>2.317587708538166E-5</v>
      </c>
      <c r="K1064" s="257">
        <v>2.4223787405751189E-5</v>
      </c>
      <c r="L1064" s="228">
        <v>3.2514860456757375E-2</v>
      </c>
    </row>
    <row r="1065" spans="1:12" s="212" customFormat="1" ht="15.5" x14ac:dyDescent="0.35">
      <c r="A1065" s="198" t="s">
        <v>831</v>
      </c>
      <c r="B1065" s="197">
        <v>2037</v>
      </c>
      <c r="C1065" s="213" t="s">
        <v>4278</v>
      </c>
      <c r="D1065" s="239">
        <v>5.7919706625156374E-3</v>
      </c>
      <c r="E1065" s="226">
        <v>3.7575787210437507E-2</v>
      </c>
      <c r="F1065" s="226">
        <v>7.5937471722670354E-4</v>
      </c>
      <c r="G1065" s="227">
        <v>6.9901464997749357E-4</v>
      </c>
      <c r="H1065" s="226">
        <v>2.0000005732018797E-3</v>
      </c>
      <c r="I1065" s="255">
        <v>2.9197438026239094E-3</v>
      </c>
      <c r="J1065" s="256">
        <v>2.0471491368471496E-5</v>
      </c>
      <c r="K1065" s="257">
        <v>2.1397121367256226E-5</v>
      </c>
      <c r="L1065" s="228">
        <v>3.2238545146254974E-2</v>
      </c>
    </row>
    <row r="1066" spans="1:12" s="212" customFormat="1" ht="15.5" x14ac:dyDescent="0.35">
      <c r="A1066" s="198" t="s">
        <v>831</v>
      </c>
      <c r="B1066" s="197">
        <v>2038</v>
      </c>
      <c r="C1066" s="213" t="s">
        <v>4279</v>
      </c>
      <c r="D1066" s="239">
        <v>5.4329170927047898E-3</v>
      </c>
      <c r="E1066" s="226">
        <v>3.5686612341183144E-2</v>
      </c>
      <c r="F1066" s="226">
        <v>7.2186810471600244E-4</v>
      </c>
      <c r="G1066" s="227">
        <v>6.6445809560749072E-4</v>
      </c>
      <c r="H1066" s="226">
        <v>2.0000005732018805E-3</v>
      </c>
      <c r="I1066" s="255">
        <v>2.9178206282148237E-3</v>
      </c>
      <c r="J1066" s="256">
        <v>1.8659288236192799E-5</v>
      </c>
      <c r="K1066" s="257">
        <v>1.9502978450868183E-5</v>
      </c>
      <c r="L1066" s="228">
        <v>3.1841235777702738E-2</v>
      </c>
    </row>
    <row r="1067" spans="1:12" s="212" customFormat="1" ht="15.5" x14ac:dyDescent="0.35">
      <c r="A1067" s="198" t="s">
        <v>831</v>
      </c>
      <c r="B1067" s="197">
        <v>2039</v>
      </c>
      <c r="C1067" s="213" t="s">
        <v>4280</v>
      </c>
      <c r="D1067" s="239">
        <v>5.0423044614709041E-3</v>
      </c>
      <c r="E1067" s="226">
        <v>3.3683716411712847E-2</v>
      </c>
      <c r="F1067" s="226">
        <v>6.8596491906751812E-4</v>
      </c>
      <c r="G1067" s="227">
        <v>6.3136836316923448E-4</v>
      </c>
      <c r="H1067" s="226">
        <v>2.0000005732018797E-3</v>
      </c>
      <c r="I1067" s="255">
        <v>2.9160178464816252E-3</v>
      </c>
      <c r="J1067" s="256">
        <v>1.6655367174000276E-5</v>
      </c>
      <c r="K1067" s="257">
        <v>1.7408448970511342E-5</v>
      </c>
      <c r="L1067" s="228">
        <v>3.1635298470538267E-2</v>
      </c>
    </row>
    <row r="1068" spans="1:12" s="212" customFormat="1" ht="15.5" x14ac:dyDescent="0.35">
      <c r="A1068" s="198" t="s">
        <v>831</v>
      </c>
      <c r="B1068" s="197">
        <v>2040</v>
      </c>
      <c r="C1068" s="213" t="s">
        <v>4281</v>
      </c>
      <c r="D1068" s="239">
        <v>4.7332907900602787E-3</v>
      </c>
      <c r="E1068" s="226">
        <v>3.2116705684167877E-2</v>
      </c>
      <c r="F1068" s="226">
        <v>6.5461264459578739E-4</v>
      </c>
      <c r="G1068" s="227">
        <v>6.0248982531319929E-4</v>
      </c>
      <c r="H1068" s="226">
        <v>2.0000005732018801E-3</v>
      </c>
      <c r="I1068" s="255">
        <v>2.9144557180715829E-3</v>
      </c>
      <c r="J1068" s="256">
        <v>1.5339273791644169E-5</v>
      </c>
      <c r="K1068" s="257">
        <v>1.6032847685482994E-5</v>
      </c>
      <c r="L1068" s="228">
        <v>3.145950529569165E-2</v>
      </c>
    </row>
    <row r="1069" spans="1:12" s="212" customFormat="1" ht="15.5" x14ac:dyDescent="0.35">
      <c r="A1069" s="198" t="s">
        <v>831</v>
      </c>
      <c r="B1069" s="197">
        <v>2041</v>
      </c>
      <c r="C1069" s="213" t="s">
        <v>4282</v>
      </c>
      <c r="D1069" s="239">
        <v>4.5203255674571433E-3</v>
      </c>
      <c r="E1069" s="226">
        <v>3.0875749968640231E-2</v>
      </c>
      <c r="F1069" s="226">
        <v>6.2996128981129211E-4</v>
      </c>
      <c r="G1069" s="227">
        <v>5.7977686013564419E-4</v>
      </c>
      <c r="H1069" s="226">
        <v>2.0000005732018801E-3</v>
      </c>
      <c r="I1069" s="255">
        <v>2.9131288595815787E-3</v>
      </c>
      <c r="J1069" s="256">
        <v>1.4134167490827409E-5</v>
      </c>
      <c r="K1069" s="257">
        <v>1.4773251825323295E-5</v>
      </c>
      <c r="L1069" s="228">
        <v>3.1312304035609584E-2</v>
      </c>
    </row>
    <row r="1070" spans="1:12" s="212" customFormat="1" ht="15.5" x14ac:dyDescent="0.35">
      <c r="A1070" s="198" t="s">
        <v>831</v>
      </c>
      <c r="B1070" s="197">
        <v>2042</v>
      </c>
      <c r="C1070" s="213" t="s">
        <v>4283</v>
      </c>
      <c r="D1070" s="239">
        <v>4.3107606629969519E-3</v>
      </c>
      <c r="E1070" s="226">
        <v>2.9605013836345787E-2</v>
      </c>
      <c r="F1070" s="226">
        <v>6.07880408634846E-4</v>
      </c>
      <c r="G1070" s="227">
        <v>5.5943588940682428E-4</v>
      </c>
      <c r="H1070" s="226">
        <v>2.0000005732018801E-3</v>
      </c>
      <c r="I1070" s="255">
        <v>2.9118617821422069E-3</v>
      </c>
      <c r="J1070" s="256">
        <v>1.3148214680212685E-5</v>
      </c>
      <c r="K1070" s="257">
        <v>1.3742718603713366E-5</v>
      </c>
      <c r="L1070" s="228">
        <v>3.1186686064281998E-2</v>
      </c>
    </row>
    <row r="1071" spans="1:12" s="212" customFormat="1" ht="15.5" x14ac:dyDescent="0.35">
      <c r="A1071" s="198" t="s">
        <v>831</v>
      </c>
      <c r="B1071" s="197">
        <v>2043</v>
      </c>
      <c r="C1071" s="213" t="s">
        <v>4284</v>
      </c>
      <c r="D1071" s="239">
        <v>4.1459760361094783E-3</v>
      </c>
      <c r="E1071" s="226">
        <v>2.8516826477729795E-2</v>
      </c>
      <c r="F1071" s="226">
        <v>5.8841073640211337E-4</v>
      </c>
      <c r="G1071" s="227">
        <v>5.415010628157422E-4</v>
      </c>
      <c r="H1071" s="226">
        <v>2.0000005732018797E-3</v>
      </c>
      <c r="I1071" s="255">
        <v>2.9107696378783878E-3</v>
      </c>
      <c r="J1071" s="256">
        <v>1.2296592339386828E-5</v>
      </c>
      <c r="K1071" s="257">
        <v>1.2852589679653536E-5</v>
      </c>
      <c r="L1071" s="228">
        <v>3.1081770033038403E-2</v>
      </c>
    </row>
    <row r="1072" spans="1:12" s="212" customFormat="1" ht="15.5" x14ac:dyDescent="0.35">
      <c r="A1072" s="198" t="s">
        <v>831</v>
      </c>
      <c r="B1072" s="197">
        <v>2044</v>
      </c>
      <c r="C1072" s="213" t="s">
        <v>4285</v>
      </c>
      <c r="D1072" s="239">
        <v>3.9918941016140568E-3</v>
      </c>
      <c r="E1072" s="226">
        <v>2.7343810767621882E-2</v>
      </c>
      <c r="F1072" s="226">
        <v>5.7092369815826664E-4</v>
      </c>
      <c r="G1072" s="227">
        <v>5.2539532608476185E-4</v>
      </c>
      <c r="H1072" s="226">
        <v>2.0000005732018801E-3</v>
      </c>
      <c r="I1072" s="255">
        <v>2.9096967143501331E-3</v>
      </c>
      <c r="J1072" s="256">
        <v>1.1602327284657222E-5</v>
      </c>
      <c r="K1072" s="257">
        <v>1.2126933039904604E-5</v>
      </c>
      <c r="L1072" s="228">
        <v>3.0992779295997506E-2</v>
      </c>
    </row>
    <row r="1073" spans="1:12" s="212" customFormat="1" ht="15.5" x14ac:dyDescent="0.35">
      <c r="A1073" s="198" t="s">
        <v>831</v>
      </c>
      <c r="B1073" s="197">
        <v>2045</v>
      </c>
      <c r="C1073" s="213" t="s">
        <v>4286</v>
      </c>
      <c r="D1073" s="239">
        <v>3.8630747777099041E-3</v>
      </c>
      <c r="E1073" s="226">
        <v>2.621457536330592E-2</v>
      </c>
      <c r="F1073" s="226">
        <v>5.5543621991251959E-4</v>
      </c>
      <c r="G1073" s="227">
        <v>5.1113255420143764E-4</v>
      </c>
      <c r="H1073" s="226">
        <v>2.0000005732018797E-3</v>
      </c>
      <c r="I1073" s="255">
        <v>2.9087485037592076E-3</v>
      </c>
      <c r="J1073" s="256">
        <v>1.1022099990411176E-5</v>
      </c>
      <c r="K1073" s="257">
        <v>1.1520470442133252E-5</v>
      </c>
      <c r="L1073" s="228">
        <v>3.0915224457253702E-2</v>
      </c>
    </row>
    <row r="1074" spans="1:12" s="212" customFormat="1" ht="15.5" x14ac:dyDescent="0.35">
      <c r="A1074" s="198" t="s">
        <v>831</v>
      </c>
      <c r="B1074" s="197">
        <v>2046</v>
      </c>
      <c r="C1074" s="213" t="s">
        <v>4287</v>
      </c>
      <c r="D1074" s="239">
        <v>3.7460637618425023E-3</v>
      </c>
      <c r="E1074" s="226">
        <v>2.5179380478687917E-2</v>
      </c>
      <c r="F1074" s="226">
        <v>5.4193021174329134E-4</v>
      </c>
      <c r="G1074" s="227">
        <v>4.9869581210946925E-4</v>
      </c>
      <c r="H1074" s="226">
        <v>2.0000005732018801E-3</v>
      </c>
      <c r="I1074" s="255">
        <v>2.9079240416715947E-3</v>
      </c>
      <c r="J1074" s="256">
        <v>1.0548158431713359E-5</v>
      </c>
      <c r="K1074" s="257">
        <v>1.1025099349235638E-5</v>
      </c>
      <c r="L1074" s="228">
        <v>3.0848821999860398E-2</v>
      </c>
    </row>
    <row r="1075" spans="1:12" s="212" customFormat="1" ht="15.5" x14ac:dyDescent="0.35">
      <c r="A1075" s="198" t="s">
        <v>831</v>
      </c>
      <c r="B1075" s="197">
        <v>2047</v>
      </c>
      <c r="C1075" s="213" t="s">
        <v>4288</v>
      </c>
      <c r="D1075" s="239">
        <v>3.6375577976290041E-3</v>
      </c>
      <c r="E1075" s="226">
        <v>2.4214263923442184E-2</v>
      </c>
      <c r="F1075" s="226">
        <v>5.3007703862579234E-4</v>
      </c>
      <c r="G1075" s="227">
        <v>4.8778157480513997E-4</v>
      </c>
      <c r="H1075" s="226">
        <v>2.0000005732018797E-3</v>
      </c>
      <c r="I1075" s="255">
        <v>2.9071874902618948E-3</v>
      </c>
      <c r="J1075" s="256">
        <v>1.0145668696772168E-5</v>
      </c>
      <c r="K1075" s="257">
        <v>1.0604410814502129E-5</v>
      </c>
      <c r="L1075" s="228">
        <v>3.0792833400241804E-2</v>
      </c>
    </row>
    <row r="1076" spans="1:12" s="212" customFormat="1" ht="15.5" x14ac:dyDescent="0.35">
      <c r="A1076" s="198" t="s">
        <v>831</v>
      </c>
      <c r="B1076" s="197">
        <v>2048</v>
      </c>
      <c r="C1076" s="213" t="s">
        <v>4289</v>
      </c>
      <c r="D1076" s="239">
        <v>3.550936338602297E-3</v>
      </c>
      <c r="E1076" s="226">
        <v>2.3454277081862377E-2</v>
      </c>
      <c r="F1076" s="226">
        <v>5.1982515701807326E-4</v>
      </c>
      <c r="G1076" s="227">
        <v>4.7834270576802186E-4</v>
      </c>
      <c r="H1076" s="226">
        <v>2.0000005732018801E-3</v>
      </c>
      <c r="I1076" s="255">
        <v>2.9065566486753476E-3</v>
      </c>
      <c r="J1076" s="256">
        <v>9.8211976470264763E-6</v>
      </c>
      <c r="K1076" s="257">
        <v>1.026526862370591E-5</v>
      </c>
      <c r="L1076" s="228">
        <v>3.074428123541037E-2</v>
      </c>
    </row>
    <row r="1077" spans="1:12" s="212" customFormat="1" ht="15.5" x14ac:dyDescent="0.35">
      <c r="A1077" s="198" t="s">
        <v>831</v>
      </c>
      <c r="B1077" s="197">
        <v>2049</v>
      </c>
      <c r="C1077" s="213" t="s">
        <v>4290</v>
      </c>
      <c r="D1077" s="239">
        <v>3.5323733150928196E-3</v>
      </c>
      <c r="E1077" s="226">
        <v>2.3371807411553806E-2</v>
      </c>
      <c r="F1077" s="226">
        <v>5.1339457685808921E-4</v>
      </c>
      <c r="G1077" s="227">
        <v>4.724205205694379E-4</v>
      </c>
      <c r="H1077" s="226">
        <v>2.0000005732018801E-3</v>
      </c>
      <c r="I1077" s="255">
        <v>2.9059434038573606E-3</v>
      </c>
      <c r="J1077" s="256">
        <v>9.5772702515825481E-6</v>
      </c>
      <c r="K1077" s="257">
        <v>1.0010311913851787E-5</v>
      </c>
      <c r="L1077" s="228">
        <v>3.070268125454188E-2</v>
      </c>
    </row>
    <row r="1078" spans="1:12" s="212" customFormat="1" ht="15.5" x14ac:dyDescent="0.35">
      <c r="A1078" s="198" t="s">
        <v>831</v>
      </c>
      <c r="B1078" s="197">
        <v>2050</v>
      </c>
      <c r="C1078" s="213" t="s">
        <v>4291</v>
      </c>
      <c r="D1078" s="239">
        <v>3.5178340202683821E-3</v>
      </c>
      <c r="E1078" s="226">
        <v>2.3305065431653924E-2</v>
      </c>
      <c r="F1078" s="226">
        <v>5.0780987078757997E-4</v>
      </c>
      <c r="G1078" s="227">
        <v>4.6727177253978378E-4</v>
      </c>
      <c r="H1078" s="226">
        <v>2.0000005732018801E-3</v>
      </c>
      <c r="I1078" s="255">
        <v>2.9054652749128844E-3</v>
      </c>
      <c r="J1078" s="256">
        <v>9.2226520219894574E-6</v>
      </c>
      <c r="K1078" s="257">
        <v>9.639659421511604E-6</v>
      </c>
      <c r="L1078" s="228">
        <v>3.066883706878433E-2</v>
      </c>
    </row>
    <row r="1079" spans="1:12" s="212" customFormat="1" ht="15.5" x14ac:dyDescent="0.35">
      <c r="A1079" s="198" t="s">
        <v>832</v>
      </c>
      <c r="B1079" s="197">
        <v>2015</v>
      </c>
      <c r="C1079" s="213" t="s">
        <v>917</v>
      </c>
      <c r="D1079" s="239">
        <v>4.0146376444108955E-2</v>
      </c>
      <c r="E1079" s="226">
        <v>0.17436193858735308</v>
      </c>
      <c r="F1079" s="226">
        <v>1.7542830254000201E-3</v>
      </c>
      <c r="G1079" s="227">
        <v>1.6194497846653486E-3</v>
      </c>
      <c r="H1079" s="226">
        <v>2.0000005732018801E-3</v>
      </c>
      <c r="I1079" s="255">
        <v>3.1027696957414549E-3</v>
      </c>
      <c r="J1079" s="256">
        <v>1.1297357979643323E-4</v>
      </c>
      <c r="K1079" s="257">
        <v>1.1808174376199207E-4</v>
      </c>
      <c r="L1079" s="228">
        <v>4.7165543054320108E-2</v>
      </c>
    </row>
    <row r="1080" spans="1:12" s="212" customFormat="1" ht="15.5" x14ac:dyDescent="0.35">
      <c r="A1080" s="198" t="s">
        <v>832</v>
      </c>
      <c r="B1080" s="197">
        <v>2016</v>
      </c>
      <c r="C1080" s="213" t="s">
        <v>918</v>
      </c>
      <c r="D1080" s="239">
        <v>3.488605520580864E-2</v>
      </c>
      <c r="E1080" s="226">
        <v>0.15542136838794351</v>
      </c>
      <c r="F1080" s="226">
        <v>1.7393318327724272E-3</v>
      </c>
      <c r="G1080" s="227">
        <v>1.604551475439959E-3</v>
      </c>
      <c r="H1080" s="226">
        <v>2.0000005732018801E-3</v>
      </c>
      <c r="I1080" s="255">
        <v>3.0967831059830935E-3</v>
      </c>
      <c r="J1080" s="256">
        <v>9.9769103470693385E-5</v>
      </c>
      <c r="K1080" s="257">
        <v>1.0428021961079828E-4</v>
      </c>
      <c r="L1080" s="228">
        <v>4.6066448290527813E-2</v>
      </c>
    </row>
    <row r="1081" spans="1:12" s="212" customFormat="1" ht="15.5" x14ac:dyDescent="0.35">
      <c r="A1081" s="198" t="s">
        <v>832</v>
      </c>
      <c r="B1081" s="197">
        <v>2017</v>
      </c>
      <c r="C1081" s="213" t="s">
        <v>4292</v>
      </c>
      <c r="D1081" s="239">
        <v>2.9164440355009046E-2</v>
      </c>
      <c r="E1081" s="226">
        <v>0.13266621515048782</v>
      </c>
      <c r="F1081" s="226">
        <v>1.7235079702549131E-3</v>
      </c>
      <c r="G1081" s="227">
        <v>1.5889151144866209E-3</v>
      </c>
      <c r="H1081" s="226">
        <v>2.0000005732018797E-3</v>
      </c>
      <c r="I1081" s="255">
        <v>3.0988309695770973E-3</v>
      </c>
      <c r="J1081" s="256">
        <v>8.3106288477323342E-5</v>
      </c>
      <c r="K1081" s="257">
        <v>8.6863986063574433E-5</v>
      </c>
      <c r="L1081" s="228">
        <v>4.5749926542358502E-2</v>
      </c>
    </row>
    <row r="1082" spans="1:12" s="212" customFormat="1" ht="15.5" x14ac:dyDescent="0.35">
      <c r="A1082" s="198" t="s">
        <v>832</v>
      </c>
      <c r="B1082" s="197">
        <v>2018</v>
      </c>
      <c r="C1082" s="213" t="s">
        <v>4293</v>
      </c>
      <c r="D1082" s="239">
        <v>2.4988150394144995E-2</v>
      </c>
      <c r="E1082" s="226">
        <v>0.1164447872608131</v>
      </c>
      <c r="F1082" s="226">
        <v>1.7365626272432379E-3</v>
      </c>
      <c r="G1082" s="227">
        <v>1.6000512731128055E-3</v>
      </c>
      <c r="H1082" s="226">
        <v>2.0000005732018801E-3</v>
      </c>
      <c r="I1082" s="255">
        <v>3.0995565375744388E-3</v>
      </c>
      <c r="J1082" s="256">
        <v>7.0580982342560559E-5</v>
      </c>
      <c r="K1082" s="257">
        <v>7.3772341165620709E-5</v>
      </c>
      <c r="L1082" s="228">
        <v>4.5205784359878473E-2</v>
      </c>
    </row>
    <row r="1083" spans="1:12" s="212" customFormat="1" ht="15.5" x14ac:dyDescent="0.35">
      <c r="A1083" s="198" t="s">
        <v>832</v>
      </c>
      <c r="B1083" s="197">
        <v>2019</v>
      </c>
      <c r="C1083" s="213" t="s">
        <v>4294</v>
      </c>
      <c r="D1083" s="239">
        <v>2.1469707306075791E-2</v>
      </c>
      <c r="E1083" s="226">
        <v>0.10260457037583486</v>
      </c>
      <c r="F1083" s="226">
        <v>1.7496099180940312E-3</v>
      </c>
      <c r="G1083" s="227">
        <v>1.6116108933818076E-3</v>
      </c>
      <c r="H1083" s="226">
        <v>2.0000005732018801E-3</v>
      </c>
      <c r="I1083" s="255">
        <v>3.1105776756219093E-3</v>
      </c>
      <c r="J1083" s="256">
        <v>6.7053216288516065E-5</v>
      </c>
      <c r="K1083" s="257">
        <v>7.0085065184842215E-5</v>
      </c>
      <c r="L1083" s="228">
        <v>4.4483309053386912E-2</v>
      </c>
    </row>
    <row r="1084" spans="1:12" s="212" customFormat="1" ht="15.5" x14ac:dyDescent="0.35">
      <c r="A1084" s="198" t="s">
        <v>832</v>
      </c>
      <c r="B1084" s="197">
        <v>2020</v>
      </c>
      <c r="C1084" s="213" t="s">
        <v>4295</v>
      </c>
      <c r="D1084" s="239">
        <v>1.9086375311391585E-2</v>
      </c>
      <c r="E1084" s="226">
        <v>9.2067101073735155E-2</v>
      </c>
      <c r="F1084" s="226">
        <v>1.7191909039359081E-3</v>
      </c>
      <c r="G1084" s="227">
        <v>1.583345689998731E-3</v>
      </c>
      <c r="H1084" s="226">
        <v>2.0000005732018797E-3</v>
      </c>
      <c r="I1084" s="255">
        <v>3.1211647968654396E-3</v>
      </c>
      <c r="J1084" s="256">
        <v>6.1815787781477574E-5</v>
      </c>
      <c r="K1084" s="257">
        <v>6.4610823401460262E-5</v>
      </c>
      <c r="L1084" s="228">
        <v>4.4128681161567561E-2</v>
      </c>
    </row>
    <row r="1085" spans="1:12" s="212" customFormat="1" ht="15.5" x14ac:dyDescent="0.35">
      <c r="A1085" s="198" t="s">
        <v>832</v>
      </c>
      <c r="B1085" s="197">
        <v>2021</v>
      </c>
      <c r="C1085" s="213" t="s">
        <v>4296</v>
      </c>
      <c r="D1085" s="239">
        <v>1.6897132292347079E-2</v>
      </c>
      <c r="E1085" s="226">
        <v>8.1853423655066468E-2</v>
      </c>
      <c r="F1085" s="226">
        <v>1.6455993278541427E-3</v>
      </c>
      <c r="G1085" s="227">
        <v>1.5154009237780684E-3</v>
      </c>
      <c r="H1085" s="226">
        <v>2.0000005732018797E-3</v>
      </c>
      <c r="I1085" s="255">
        <v>3.1275405020180012E-3</v>
      </c>
      <c r="J1085" s="256">
        <v>5.6255329759838538E-5</v>
      </c>
      <c r="K1085" s="257">
        <v>5.8798946142249618E-5</v>
      </c>
      <c r="L1085" s="228">
        <v>4.3191601459555869E-2</v>
      </c>
    </row>
    <row r="1086" spans="1:12" s="212" customFormat="1" ht="15.5" x14ac:dyDescent="0.35">
      <c r="A1086" s="198" t="s">
        <v>832</v>
      </c>
      <c r="B1086" s="197">
        <v>2022</v>
      </c>
      <c r="C1086" s="213" t="s">
        <v>4297</v>
      </c>
      <c r="D1086" s="239">
        <v>1.4701333428867876E-2</v>
      </c>
      <c r="E1086" s="226">
        <v>7.2102735728805267E-2</v>
      </c>
      <c r="F1086" s="226">
        <v>1.5686232133777039E-3</v>
      </c>
      <c r="G1086" s="227">
        <v>1.4443176005431877E-3</v>
      </c>
      <c r="H1086" s="226">
        <v>2.0000005732018805E-3</v>
      </c>
      <c r="I1086" s="255">
        <v>3.1297377762878782E-3</v>
      </c>
      <c r="J1086" s="256">
        <v>5.0928354622909147E-5</v>
      </c>
      <c r="K1086" s="257">
        <v>5.3231108827730484E-5</v>
      </c>
      <c r="L1086" s="228">
        <v>4.2338062702975465E-2</v>
      </c>
    </row>
    <row r="1087" spans="1:12" s="212" customFormat="1" ht="15.5" x14ac:dyDescent="0.35">
      <c r="A1087" s="198" t="s">
        <v>832</v>
      </c>
      <c r="B1087" s="197">
        <v>2023</v>
      </c>
      <c r="C1087" s="213" t="s">
        <v>4298</v>
      </c>
      <c r="D1087" s="239">
        <v>1.3014705961929966E-2</v>
      </c>
      <c r="E1087" s="226">
        <v>6.394410521064034E-2</v>
      </c>
      <c r="F1087" s="226">
        <v>1.4985133186336584E-3</v>
      </c>
      <c r="G1087" s="227">
        <v>1.3796258858694058E-3</v>
      </c>
      <c r="H1087" s="226">
        <v>2.0000005732018797E-3</v>
      </c>
      <c r="I1087" s="255">
        <v>3.1336704901958191E-3</v>
      </c>
      <c r="J1087" s="256">
        <v>4.5552930799052113E-5</v>
      </c>
      <c r="K1087" s="257">
        <v>4.7612632191648604E-5</v>
      </c>
      <c r="L1087" s="228">
        <v>4.1451000863205911E-2</v>
      </c>
    </row>
    <row r="1088" spans="1:12" s="212" customFormat="1" ht="15.5" x14ac:dyDescent="0.35">
      <c r="A1088" s="198" t="s">
        <v>832</v>
      </c>
      <c r="B1088" s="197">
        <v>2024</v>
      </c>
      <c r="C1088" s="213" t="s">
        <v>4299</v>
      </c>
      <c r="D1088" s="239">
        <v>1.1568152148000858E-2</v>
      </c>
      <c r="E1088" s="226">
        <v>5.7090115392566781E-2</v>
      </c>
      <c r="F1088" s="226">
        <v>1.436795301498366E-3</v>
      </c>
      <c r="G1088" s="227">
        <v>1.3226509228845447E-3</v>
      </c>
      <c r="H1088" s="226">
        <v>2.0000005732018797E-3</v>
      </c>
      <c r="I1088" s="255">
        <v>3.1027194911899562E-3</v>
      </c>
      <c r="J1088" s="256">
        <v>4.014974964561905E-5</v>
      </c>
      <c r="K1088" s="257">
        <v>4.1965143162718539E-5</v>
      </c>
      <c r="L1088" s="228">
        <v>4.0536428259503009E-2</v>
      </c>
    </row>
    <row r="1089" spans="1:12" s="212" customFormat="1" ht="15.5" x14ac:dyDescent="0.35">
      <c r="A1089" s="198" t="s">
        <v>832</v>
      </c>
      <c r="B1089" s="197">
        <v>2025</v>
      </c>
      <c r="C1089" s="213" t="s">
        <v>4300</v>
      </c>
      <c r="D1089" s="239">
        <v>1.0381549424450558E-2</v>
      </c>
      <c r="E1089" s="226">
        <v>5.1471829576603546E-2</v>
      </c>
      <c r="F1089" s="226">
        <v>1.3864951018247719E-3</v>
      </c>
      <c r="G1089" s="227">
        <v>1.2762164800445492E-3</v>
      </c>
      <c r="H1089" s="226">
        <v>2.0000005732018797E-3</v>
      </c>
      <c r="I1089" s="255">
        <v>3.1049083209680698E-3</v>
      </c>
      <c r="J1089" s="256">
        <v>3.5529189736054137E-5</v>
      </c>
      <c r="K1089" s="257">
        <v>3.713566203747408E-5</v>
      </c>
      <c r="L1089" s="228">
        <v>3.9608112491645399E-2</v>
      </c>
    </row>
    <row r="1090" spans="1:12" s="212" customFormat="1" ht="15.5" x14ac:dyDescent="0.35">
      <c r="A1090" s="198" t="s">
        <v>832</v>
      </c>
      <c r="B1090" s="197">
        <v>2026</v>
      </c>
      <c r="C1090" s="213" t="s">
        <v>4301</v>
      </c>
      <c r="D1090" s="239">
        <v>9.4068178893277603E-3</v>
      </c>
      <c r="E1090" s="226">
        <v>4.6826085503188994E-2</v>
      </c>
      <c r="F1090" s="226">
        <v>1.3333744319213386E-3</v>
      </c>
      <c r="G1090" s="227">
        <v>1.2272034448945314E-3</v>
      </c>
      <c r="H1090" s="226">
        <v>2.0000005732018801E-3</v>
      </c>
      <c r="I1090" s="255">
        <v>3.1129732664059518E-3</v>
      </c>
      <c r="J1090" s="256">
        <v>3.117427421928964E-5</v>
      </c>
      <c r="K1090" s="257">
        <v>3.25838365656928E-5</v>
      </c>
      <c r="L1090" s="228">
        <v>3.8712535417679418E-2</v>
      </c>
    </row>
    <row r="1091" spans="1:12" s="212" customFormat="1" ht="15.5" x14ac:dyDescent="0.35">
      <c r="A1091" s="198" t="s">
        <v>832</v>
      </c>
      <c r="B1091" s="197">
        <v>2027</v>
      </c>
      <c r="C1091" s="213" t="s">
        <v>4302</v>
      </c>
      <c r="D1091" s="239">
        <v>8.6076194685185507E-3</v>
      </c>
      <c r="E1091" s="226">
        <v>4.2929145138175397E-2</v>
      </c>
      <c r="F1091" s="226">
        <v>1.2709006658126625E-3</v>
      </c>
      <c r="G1091" s="227">
        <v>1.1695648690106387E-3</v>
      </c>
      <c r="H1091" s="226">
        <v>2.0000005732018797E-3</v>
      </c>
      <c r="I1091" s="255">
        <v>3.1111515167949323E-3</v>
      </c>
      <c r="J1091" s="256">
        <v>2.6143330411867964E-5</v>
      </c>
      <c r="K1091" s="257">
        <v>2.7325415803782115E-5</v>
      </c>
      <c r="L1091" s="228">
        <v>3.7878211508405937E-2</v>
      </c>
    </row>
    <row r="1092" spans="1:12" s="212" customFormat="1" ht="15.5" x14ac:dyDescent="0.35">
      <c r="A1092" s="198" t="s">
        <v>832</v>
      </c>
      <c r="B1092" s="197">
        <v>2028</v>
      </c>
      <c r="C1092" s="213" t="s">
        <v>4303</v>
      </c>
      <c r="D1092" s="239">
        <v>7.8941557593538419E-3</v>
      </c>
      <c r="E1092" s="226">
        <v>3.9616757238903039E-2</v>
      </c>
      <c r="F1092" s="226">
        <v>1.1920005434339252E-3</v>
      </c>
      <c r="G1092" s="227">
        <v>1.0968566537379835E-3</v>
      </c>
      <c r="H1092" s="226">
        <v>2.0000005732018801E-3</v>
      </c>
      <c r="I1092" s="255">
        <v>3.1125772558404747E-3</v>
      </c>
      <c r="J1092" s="256">
        <v>2.1973587328928511E-5</v>
      </c>
      <c r="K1092" s="257">
        <v>2.2967135441592992E-5</v>
      </c>
      <c r="L1092" s="228">
        <v>3.7114181338437198E-2</v>
      </c>
    </row>
    <row r="1093" spans="1:12" s="212" customFormat="1" ht="15.5" x14ac:dyDescent="0.35">
      <c r="A1093" s="198" t="s">
        <v>832</v>
      </c>
      <c r="B1093" s="197">
        <v>2029</v>
      </c>
      <c r="C1093" s="213" t="s">
        <v>4304</v>
      </c>
      <c r="D1093" s="239">
        <v>7.2783215992189903E-3</v>
      </c>
      <c r="E1093" s="226">
        <v>3.6797888387862986E-2</v>
      </c>
      <c r="F1093" s="226">
        <v>1.1173825655505186E-3</v>
      </c>
      <c r="G1093" s="227">
        <v>1.028130598095135E-3</v>
      </c>
      <c r="H1093" s="226">
        <v>2.0000005732018801E-3</v>
      </c>
      <c r="I1093" s="255">
        <v>3.1138546909918853E-3</v>
      </c>
      <c r="J1093" s="256">
        <v>1.8955859735899315E-5</v>
      </c>
      <c r="K1093" s="257">
        <v>1.9812959597774904E-5</v>
      </c>
      <c r="L1093" s="228">
        <v>3.6416178903511169E-2</v>
      </c>
    </row>
    <row r="1094" spans="1:12" s="212" customFormat="1" ht="15.5" x14ac:dyDescent="0.35">
      <c r="A1094" s="198" t="s">
        <v>832</v>
      </c>
      <c r="B1094" s="197">
        <v>2030</v>
      </c>
      <c r="C1094" s="213" t="s">
        <v>4305</v>
      </c>
      <c r="D1094" s="239">
        <v>6.7627705834008818E-3</v>
      </c>
      <c r="E1094" s="226">
        <v>3.4437211291150377E-2</v>
      </c>
      <c r="F1094" s="226">
        <v>1.047999497911328E-3</v>
      </c>
      <c r="G1094" s="227">
        <v>9.6422716090601021E-4</v>
      </c>
      <c r="H1094" s="226">
        <v>2.0000005732018797E-3</v>
      </c>
      <c r="I1094" s="255">
        <v>3.115038502888834E-3</v>
      </c>
      <c r="J1094" s="256">
        <v>1.6177121689364393E-5</v>
      </c>
      <c r="K1094" s="257">
        <v>1.6908579347243114E-5</v>
      </c>
      <c r="L1094" s="228">
        <v>3.578385269166022E-2</v>
      </c>
    </row>
    <row r="1095" spans="1:12" s="212" customFormat="1" ht="15.5" x14ac:dyDescent="0.35">
      <c r="A1095" s="198" t="s">
        <v>832</v>
      </c>
      <c r="B1095" s="197">
        <v>2031</v>
      </c>
      <c r="C1095" s="213" t="s">
        <v>4306</v>
      </c>
      <c r="D1095" s="239">
        <v>6.3086013480834462E-3</v>
      </c>
      <c r="E1095" s="226">
        <v>3.2371926024791942E-2</v>
      </c>
      <c r="F1095" s="226">
        <v>9.8390373790055441E-4</v>
      </c>
      <c r="G1095" s="227">
        <v>9.0522801418879088E-4</v>
      </c>
      <c r="H1095" s="226">
        <v>2.0000005732018801E-3</v>
      </c>
      <c r="I1095" s="255">
        <v>3.1159266261538364E-3</v>
      </c>
      <c r="J1095" s="256">
        <v>1.4497026387941179E-5</v>
      </c>
      <c r="K1095" s="257">
        <v>1.5152517591602035E-5</v>
      </c>
      <c r="L1095" s="228">
        <v>3.5212494885132208E-2</v>
      </c>
    </row>
    <row r="1096" spans="1:12" s="212" customFormat="1" ht="15.5" x14ac:dyDescent="0.35">
      <c r="A1096" s="198" t="s">
        <v>832</v>
      </c>
      <c r="B1096" s="197">
        <v>2032</v>
      </c>
      <c r="C1096" s="213" t="s">
        <v>4307</v>
      </c>
      <c r="D1096" s="239">
        <v>5.9002346933750604E-3</v>
      </c>
      <c r="E1096" s="226">
        <v>3.0587960284139955E-2</v>
      </c>
      <c r="F1096" s="226">
        <v>9.2201806900470552E-4</v>
      </c>
      <c r="G1096" s="227">
        <v>8.4826586642741772E-4</v>
      </c>
      <c r="H1096" s="226">
        <v>2.0000005732018797E-3</v>
      </c>
      <c r="I1096" s="255">
        <v>3.1177837102523065E-3</v>
      </c>
      <c r="J1096" s="256">
        <v>1.2942736910451628E-5</v>
      </c>
      <c r="K1096" s="257">
        <v>1.3527950040997816E-5</v>
      </c>
      <c r="L1096" s="228">
        <v>3.4696853691822314E-2</v>
      </c>
    </row>
    <row r="1097" spans="1:12" s="212" customFormat="1" ht="15.5" x14ac:dyDescent="0.35">
      <c r="A1097" s="198" t="s">
        <v>832</v>
      </c>
      <c r="B1097" s="197">
        <v>2033</v>
      </c>
      <c r="C1097" s="213" t="s">
        <v>4308</v>
      </c>
      <c r="D1097" s="239">
        <v>5.5464174219717523E-3</v>
      </c>
      <c r="E1097" s="226">
        <v>2.9066259354506564E-2</v>
      </c>
      <c r="F1097" s="226">
        <v>8.6550545349287859E-4</v>
      </c>
      <c r="G1097" s="227">
        <v>7.9626279783840163E-4</v>
      </c>
      <c r="H1097" s="226">
        <v>2.0000005732018797E-3</v>
      </c>
      <c r="I1097" s="255">
        <v>3.0969628423006363E-3</v>
      </c>
      <c r="J1097" s="256">
        <v>1.1869801064490651E-5</v>
      </c>
      <c r="K1097" s="257">
        <v>1.2406500797164778E-5</v>
      </c>
      <c r="L1097" s="228">
        <v>3.4233395669881553E-2</v>
      </c>
    </row>
    <row r="1098" spans="1:12" s="212" customFormat="1" ht="15.5" x14ac:dyDescent="0.35">
      <c r="A1098" s="198" t="s">
        <v>832</v>
      </c>
      <c r="B1098" s="197">
        <v>2034</v>
      </c>
      <c r="C1098" s="213" t="s">
        <v>4309</v>
      </c>
      <c r="D1098" s="239">
        <v>5.2372648362081125E-3</v>
      </c>
      <c r="E1098" s="226">
        <v>2.7741211937483724E-2</v>
      </c>
      <c r="F1098" s="226">
        <v>8.1466759177021241E-4</v>
      </c>
      <c r="G1098" s="227">
        <v>7.4948322980979457E-4</v>
      </c>
      <c r="H1098" s="226">
        <v>2.0000005732018801E-3</v>
      </c>
      <c r="I1098" s="255">
        <v>3.0971098416603918E-3</v>
      </c>
      <c r="J1098" s="256">
        <v>1.0945055579131922E-5</v>
      </c>
      <c r="K1098" s="257">
        <v>1.1439942424455439E-5</v>
      </c>
      <c r="L1098" s="228">
        <v>3.3819365930118403E-2</v>
      </c>
    </row>
    <row r="1099" spans="1:12" s="212" customFormat="1" ht="15.5" x14ac:dyDescent="0.35">
      <c r="A1099" s="198" t="s">
        <v>832</v>
      </c>
      <c r="B1099" s="197">
        <v>2035</v>
      </c>
      <c r="C1099" s="213" t="s">
        <v>4310</v>
      </c>
      <c r="D1099" s="239">
        <v>4.9677853853103771E-3</v>
      </c>
      <c r="E1099" s="226">
        <v>2.6613126459498378E-2</v>
      </c>
      <c r="F1099" s="226">
        <v>7.6821118240536998E-4</v>
      </c>
      <c r="G1099" s="227">
        <v>7.0673575379108598E-4</v>
      </c>
      <c r="H1099" s="226">
        <v>2.0000005732018801E-3</v>
      </c>
      <c r="I1099" s="255">
        <v>3.0971210599623216E-3</v>
      </c>
      <c r="J1099" s="256">
        <v>1.0110352181598075E-5</v>
      </c>
      <c r="K1099" s="257">
        <v>1.056749744322659E-5</v>
      </c>
      <c r="L1099" s="228">
        <v>3.345183602454279E-2</v>
      </c>
    </row>
    <row r="1100" spans="1:12" s="212" customFormat="1" ht="15.5" x14ac:dyDescent="0.35">
      <c r="A1100" s="198" t="s">
        <v>832</v>
      </c>
      <c r="B1100" s="197">
        <v>2036</v>
      </c>
      <c r="C1100" s="213" t="s">
        <v>4311</v>
      </c>
      <c r="D1100" s="239">
        <v>4.7161919380946616E-3</v>
      </c>
      <c r="E1100" s="226">
        <v>2.5629784444517918E-2</v>
      </c>
      <c r="F1100" s="226">
        <v>7.2460033442423347E-4</v>
      </c>
      <c r="G1100" s="227">
        <v>6.6660709480480772E-4</v>
      </c>
      <c r="H1100" s="226">
        <v>2.00005901492629E-3</v>
      </c>
      <c r="I1100" s="255">
        <v>3.1008884520061612E-3</v>
      </c>
      <c r="J1100" s="256">
        <v>9.3379742105347976E-6</v>
      </c>
      <c r="K1100" s="257">
        <v>9.7601959676883333E-6</v>
      </c>
      <c r="L1100" s="228">
        <v>3.313001910085886E-2</v>
      </c>
    </row>
    <row r="1101" spans="1:12" s="212" customFormat="1" ht="15.5" x14ac:dyDescent="0.35">
      <c r="A1101" s="198" t="s">
        <v>832</v>
      </c>
      <c r="B1101" s="197">
        <v>2037</v>
      </c>
      <c r="C1101" s="213" t="s">
        <v>4312</v>
      </c>
      <c r="D1101" s="239">
        <v>4.5185886824380362E-3</v>
      </c>
      <c r="E1101" s="226">
        <v>2.4813815043730137E-2</v>
      </c>
      <c r="F1101" s="226">
        <v>6.8882595776624588E-4</v>
      </c>
      <c r="G1101" s="227">
        <v>6.3369047151150921E-4</v>
      </c>
      <c r="H1101" s="226">
        <v>2.0000590149262896E-3</v>
      </c>
      <c r="I1101" s="255">
        <v>3.1007685801569874E-3</v>
      </c>
      <c r="J1101" s="256">
        <v>8.7372873063714727E-6</v>
      </c>
      <c r="K1101" s="257">
        <v>9.1323486672273854E-6</v>
      </c>
      <c r="L1101" s="228">
        <v>3.2848200968936085E-2</v>
      </c>
    </row>
    <row r="1102" spans="1:12" s="212" customFormat="1" ht="15.5" x14ac:dyDescent="0.35">
      <c r="A1102" s="198" t="s">
        <v>832</v>
      </c>
      <c r="B1102" s="197">
        <v>2038</v>
      </c>
      <c r="C1102" s="213" t="s">
        <v>4313</v>
      </c>
      <c r="D1102" s="239">
        <v>4.3003005171655629E-3</v>
      </c>
      <c r="E1102" s="226">
        <v>2.4011145862348024E-2</v>
      </c>
      <c r="F1102" s="226">
        <v>6.5170958902131392E-4</v>
      </c>
      <c r="G1102" s="227">
        <v>5.9954328786807954E-4</v>
      </c>
      <c r="H1102" s="226">
        <v>2.0000005732018797E-3</v>
      </c>
      <c r="I1102" s="255">
        <v>3.092308541588931E-3</v>
      </c>
      <c r="J1102" s="256">
        <v>8.2226268427943158E-6</v>
      </c>
      <c r="K1102" s="257">
        <v>8.5944175412592508E-6</v>
      </c>
      <c r="L1102" s="228">
        <v>3.2605527594895954E-2</v>
      </c>
    </row>
    <row r="1103" spans="1:12" s="212" customFormat="1" ht="15.5" x14ac:dyDescent="0.35">
      <c r="A1103" s="198" t="s">
        <v>832</v>
      </c>
      <c r="B1103" s="197">
        <v>2039</v>
      </c>
      <c r="C1103" s="213" t="s">
        <v>4314</v>
      </c>
      <c r="D1103" s="239">
        <v>4.131670217865E-3</v>
      </c>
      <c r="E1103" s="226">
        <v>2.3327618193908571E-2</v>
      </c>
      <c r="F1103" s="226">
        <v>6.2461628176200819E-4</v>
      </c>
      <c r="G1103" s="227">
        <v>5.7461637382482257E-4</v>
      </c>
      <c r="H1103" s="226">
        <v>2.000000573201881E-3</v>
      </c>
      <c r="I1103" s="255">
        <v>3.0922039744649397E-3</v>
      </c>
      <c r="J1103" s="256">
        <v>7.821780959380806E-6</v>
      </c>
      <c r="K1103" s="257">
        <v>8.1754471857250637E-6</v>
      </c>
      <c r="L1103" s="228">
        <v>3.2396561520294027E-2</v>
      </c>
    </row>
    <row r="1104" spans="1:12" s="212" customFormat="1" ht="15.5" x14ac:dyDescent="0.35">
      <c r="A1104" s="198" t="s">
        <v>832</v>
      </c>
      <c r="B1104" s="197">
        <v>2040</v>
      </c>
      <c r="C1104" s="213" t="s">
        <v>4315</v>
      </c>
      <c r="D1104" s="239">
        <v>3.9816454304769785E-3</v>
      </c>
      <c r="E1104" s="226">
        <v>2.2739612367358226E-2</v>
      </c>
      <c r="F1104" s="226">
        <v>6.0131223267701395E-4</v>
      </c>
      <c r="G1104" s="227">
        <v>5.5317597309681422E-4</v>
      </c>
      <c r="H1104" s="226">
        <v>2.0000005732018801E-3</v>
      </c>
      <c r="I1104" s="255">
        <v>3.0921267179385772E-3</v>
      </c>
      <c r="J1104" s="256">
        <v>7.483309736536175E-6</v>
      </c>
      <c r="K1104" s="257">
        <v>7.8216717961272029E-6</v>
      </c>
      <c r="L1104" s="228">
        <v>3.2217790672652721E-2</v>
      </c>
    </row>
    <row r="1105" spans="1:12" s="212" customFormat="1" ht="15.5" x14ac:dyDescent="0.35">
      <c r="A1105" s="198" t="s">
        <v>832</v>
      </c>
      <c r="B1105" s="197">
        <v>2041</v>
      </c>
      <c r="C1105" s="213" t="s">
        <v>4316</v>
      </c>
      <c r="D1105" s="239">
        <v>3.8671368498421552E-3</v>
      </c>
      <c r="E1105" s="226">
        <v>2.2261791358538681E-2</v>
      </c>
      <c r="F1105" s="226">
        <v>5.8307702653287528E-4</v>
      </c>
      <c r="G1105" s="227">
        <v>5.3639907593057109E-4</v>
      </c>
      <c r="H1105" s="226">
        <v>2.0000005732018801E-3</v>
      </c>
      <c r="I1105" s="255">
        <v>3.0920932838656911E-3</v>
      </c>
      <c r="J1105" s="256">
        <v>7.2190009775923406E-6</v>
      </c>
      <c r="K1105" s="257">
        <v>7.5454121679566614E-6</v>
      </c>
      <c r="L1105" s="228">
        <v>3.2067666153211459E-2</v>
      </c>
    </row>
    <row r="1106" spans="1:12" s="212" customFormat="1" ht="15.5" x14ac:dyDescent="0.35">
      <c r="A1106" s="198" t="s">
        <v>832</v>
      </c>
      <c r="B1106" s="197">
        <v>2042</v>
      </c>
      <c r="C1106" s="213" t="s">
        <v>4317</v>
      </c>
      <c r="D1106" s="239">
        <v>3.7633316104954176E-3</v>
      </c>
      <c r="E1106" s="226">
        <v>2.1796544997230525E-2</v>
      </c>
      <c r="F1106" s="226">
        <v>5.676447927310766E-4</v>
      </c>
      <c r="G1106" s="227">
        <v>5.2220127140340216E-4</v>
      </c>
      <c r="H1106" s="226">
        <v>2.0000005732018797E-3</v>
      </c>
      <c r="I1106" s="255">
        <v>3.0920347556910107E-3</v>
      </c>
      <c r="J1106" s="256">
        <v>7.0025078856946263E-6</v>
      </c>
      <c r="K1106" s="257">
        <v>7.3191302191171899E-6</v>
      </c>
      <c r="L1106" s="228">
        <v>3.1939847030533382E-2</v>
      </c>
    </row>
    <row r="1107" spans="1:12" s="212" customFormat="1" ht="15.5" x14ac:dyDescent="0.35">
      <c r="A1107" s="198" t="s">
        <v>832</v>
      </c>
      <c r="B1107" s="197">
        <v>2043</v>
      </c>
      <c r="C1107" s="213" t="s">
        <v>4318</v>
      </c>
      <c r="D1107" s="239">
        <v>3.6806453169742049E-3</v>
      </c>
      <c r="E1107" s="226">
        <v>2.1389988268003861E-2</v>
      </c>
      <c r="F1107" s="226">
        <v>5.5469005773828989E-4</v>
      </c>
      <c r="G1107" s="227">
        <v>5.1028311263612367E-4</v>
      </c>
      <c r="H1107" s="226">
        <v>2.0000005732018801E-3</v>
      </c>
      <c r="I1107" s="255">
        <v>3.0919903574749895E-3</v>
      </c>
      <c r="J1107" s="256">
        <v>6.8290572138222302E-6</v>
      </c>
      <c r="K1107" s="257">
        <v>7.1378368775386989E-6</v>
      </c>
      <c r="L1107" s="228">
        <v>3.1832292365209326E-2</v>
      </c>
    </row>
    <row r="1108" spans="1:12" s="212" customFormat="1" ht="15.5" x14ac:dyDescent="0.35">
      <c r="A1108" s="198" t="s">
        <v>832</v>
      </c>
      <c r="B1108" s="197">
        <v>2044</v>
      </c>
      <c r="C1108" s="213" t="s">
        <v>4319</v>
      </c>
      <c r="D1108" s="239">
        <v>3.6138164802249546E-3</v>
      </c>
      <c r="E1108" s="226">
        <v>2.0994211340300308E-2</v>
      </c>
      <c r="F1108" s="226">
        <v>5.4380544287895732E-4</v>
      </c>
      <c r="G1108" s="227">
        <v>5.0026957296264935E-4</v>
      </c>
      <c r="H1108" s="226">
        <v>2.0000005732018801E-3</v>
      </c>
      <c r="I1108" s="255">
        <v>3.0919425075611995E-3</v>
      </c>
      <c r="J1108" s="256">
        <v>6.6869195551173227E-6</v>
      </c>
      <c r="K1108" s="257">
        <v>6.9892723846336788E-6</v>
      </c>
      <c r="L1108" s="228">
        <v>3.1740723051224509E-2</v>
      </c>
    </row>
    <row r="1109" spans="1:12" s="212" customFormat="1" ht="15.5" x14ac:dyDescent="0.35">
      <c r="A1109" s="198" t="s">
        <v>832</v>
      </c>
      <c r="B1109" s="197">
        <v>2045</v>
      </c>
      <c r="C1109" s="213" t="s">
        <v>4320</v>
      </c>
      <c r="D1109" s="239">
        <v>3.5622026230740103E-3</v>
      </c>
      <c r="E1109" s="226">
        <v>2.0615661798566373E-2</v>
      </c>
      <c r="F1109" s="226">
        <v>5.3466828698807152E-4</v>
      </c>
      <c r="G1109" s="227">
        <v>4.9186416268659451E-4</v>
      </c>
      <c r="H1109" s="226">
        <v>2.0000005732018801E-3</v>
      </c>
      <c r="I1109" s="255">
        <v>3.0918945176408859E-3</v>
      </c>
      <c r="J1109" s="256">
        <v>6.5808516053028139E-6</v>
      </c>
      <c r="K1109" s="257">
        <v>6.8784085127981156E-6</v>
      </c>
      <c r="L1109" s="228">
        <v>3.1660833708157941E-2</v>
      </c>
    </row>
    <row r="1110" spans="1:12" s="212" customFormat="1" ht="15.5" x14ac:dyDescent="0.35">
      <c r="A1110" s="198" t="s">
        <v>832</v>
      </c>
      <c r="B1110" s="197">
        <v>2046</v>
      </c>
      <c r="C1110" s="213" t="s">
        <v>4321</v>
      </c>
      <c r="D1110" s="239">
        <v>3.5146273854923873E-3</v>
      </c>
      <c r="E1110" s="226">
        <v>2.0263697116655547E-2</v>
      </c>
      <c r="F1110" s="226">
        <v>5.2713043605128569E-4</v>
      </c>
      <c r="G1110" s="227">
        <v>4.8493019991961906E-4</v>
      </c>
      <c r="H1110" s="226">
        <v>2.0000005732018801E-3</v>
      </c>
      <c r="I1110" s="255">
        <v>3.0918715638989795E-3</v>
      </c>
      <c r="J1110" s="256">
        <v>6.4990539026129554E-6</v>
      </c>
      <c r="K1110" s="257">
        <v>6.7929122809645328E-6</v>
      </c>
      <c r="L1110" s="228">
        <v>3.1590813580844208E-2</v>
      </c>
    </row>
    <row r="1111" spans="1:12" s="212" customFormat="1" ht="15.5" x14ac:dyDescent="0.35">
      <c r="A1111" s="198" t="s">
        <v>832</v>
      </c>
      <c r="B1111" s="197">
        <v>2047</v>
      </c>
      <c r="C1111" s="213" t="s">
        <v>4322</v>
      </c>
      <c r="D1111" s="239">
        <v>3.4714280537823119E-3</v>
      </c>
      <c r="E1111" s="226">
        <v>1.9940393572123911E-2</v>
      </c>
      <c r="F1111" s="226">
        <v>5.2091226523244376E-4</v>
      </c>
      <c r="G1111" s="227">
        <v>4.7921023168887163E-4</v>
      </c>
      <c r="H1111" s="226">
        <v>2.0000005732018797E-3</v>
      </c>
      <c r="I1111" s="255">
        <v>3.0918676970020883E-3</v>
      </c>
      <c r="J1111" s="256">
        <v>6.4325882524928929E-6</v>
      </c>
      <c r="K1111" s="257">
        <v>6.7234413490830057E-6</v>
      </c>
      <c r="L1111" s="228">
        <v>3.153067521985501E-2</v>
      </c>
    </row>
    <row r="1112" spans="1:12" s="212" customFormat="1" ht="15.5" x14ac:dyDescent="0.35">
      <c r="A1112" s="198" t="s">
        <v>832</v>
      </c>
      <c r="B1112" s="197">
        <v>2048</v>
      </c>
      <c r="C1112" s="213" t="s">
        <v>4323</v>
      </c>
      <c r="D1112" s="239">
        <v>3.4337071517194524E-3</v>
      </c>
      <c r="E1112" s="226">
        <v>1.9658409555171622E-2</v>
      </c>
      <c r="F1112" s="226">
        <v>5.1574501949090581E-4</v>
      </c>
      <c r="G1112" s="227">
        <v>4.744570566415374E-4</v>
      </c>
      <c r="H1112" s="226">
        <v>2.0000005732018801E-3</v>
      </c>
      <c r="I1112" s="255">
        <v>3.0918792774547329E-3</v>
      </c>
      <c r="J1112" s="256">
        <v>6.3791187534145796E-6</v>
      </c>
      <c r="K1112" s="257">
        <v>6.6675541965237397E-6</v>
      </c>
      <c r="L1112" s="228">
        <v>3.148026024741242E-2</v>
      </c>
    </row>
    <row r="1113" spans="1:12" s="212" customFormat="1" ht="15.5" x14ac:dyDescent="0.35">
      <c r="A1113" s="198" t="s">
        <v>832</v>
      </c>
      <c r="B1113" s="197">
        <v>2049</v>
      </c>
      <c r="C1113" s="213" t="s">
        <v>4324</v>
      </c>
      <c r="D1113" s="239">
        <v>3.4262968882130809E-3</v>
      </c>
      <c r="E1113" s="226">
        <v>1.9632613570311146E-2</v>
      </c>
      <c r="F1113" s="226">
        <v>5.1257740590999524E-4</v>
      </c>
      <c r="G1113" s="227">
        <v>4.7154286919817191E-4</v>
      </c>
      <c r="H1113" s="226">
        <v>2.0000005732018797E-3</v>
      </c>
      <c r="I1113" s="255">
        <v>3.0919009556699736E-3</v>
      </c>
      <c r="J1113" s="256">
        <v>6.3359063061406282E-6</v>
      </c>
      <c r="K1113" s="257">
        <v>6.6223878741364623E-6</v>
      </c>
      <c r="L1113" s="228">
        <v>3.1432782075574067E-2</v>
      </c>
    </row>
    <row r="1114" spans="1:12" s="212" customFormat="1" ht="15.5" x14ac:dyDescent="0.35">
      <c r="A1114" s="198" t="s">
        <v>832</v>
      </c>
      <c r="B1114" s="197">
        <v>2050</v>
      </c>
      <c r="C1114" s="213" t="s">
        <v>4325</v>
      </c>
      <c r="D1114" s="239">
        <v>3.4208318053945649E-3</v>
      </c>
      <c r="E1114" s="226">
        <v>1.9611701617477419E-2</v>
      </c>
      <c r="F1114" s="226">
        <v>5.0991343518331763E-4</v>
      </c>
      <c r="G1114" s="227">
        <v>4.6908749484984115E-4</v>
      </c>
      <c r="H1114" s="226">
        <v>2.0000005732018797E-3</v>
      </c>
      <c r="I1114" s="255">
        <v>3.0919965164238651E-3</v>
      </c>
      <c r="J1114" s="256">
        <v>6.1831557686552376E-6</v>
      </c>
      <c r="K1114" s="257">
        <v>6.4627306351664558E-6</v>
      </c>
      <c r="L1114" s="228">
        <v>3.1394219108249688E-2</v>
      </c>
    </row>
    <row r="1115" spans="1:12" s="212" customFormat="1" ht="15.5" x14ac:dyDescent="0.35">
      <c r="A1115" s="198" t="s">
        <v>833</v>
      </c>
      <c r="B1115" s="197">
        <v>2015</v>
      </c>
      <c r="C1115" s="213" t="s">
        <v>919</v>
      </c>
      <c r="D1115" s="239">
        <v>4.8087747555994244E-2</v>
      </c>
      <c r="E1115" s="226">
        <v>0.21460491324484096</v>
      </c>
      <c r="F1115" s="226">
        <v>1.9200994052469564E-3</v>
      </c>
      <c r="G1115" s="227">
        <v>1.7761638106806919E-3</v>
      </c>
      <c r="H1115" s="226">
        <v>2.0000003095789159E-3</v>
      </c>
      <c r="I1115" s="255">
        <v>3.103688687391365E-3</v>
      </c>
      <c r="J1115" s="256">
        <v>1.9014680347624667E-4</v>
      </c>
      <c r="K1115" s="257">
        <v>1.9874439816549918E-4</v>
      </c>
      <c r="L1115" s="228">
        <v>4.5921388492591135E-2</v>
      </c>
    </row>
    <row r="1116" spans="1:12" s="212" customFormat="1" ht="15.5" x14ac:dyDescent="0.35">
      <c r="A1116" s="198" t="s">
        <v>833</v>
      </c>
      <c r="B1116" s="197">
        <v>2016</v>
      </c>
      <c r="C1116" s="213" t="s">
        <v>920</v>
      </c>
      <c r="D1116" s="239">
        <v>4.1347780142332861E-2</v>
      </c>
      <c r="E1116" s="226">
        <v>0.19126255167528847</v>
      </c>
      <c r="F1116" s="226">
        <v>1.859095340289837E-3</v>
      </c>
      <c r="G1116" s="227">
        <v>1.718142855283659E-3</v>
      </c>
      <c r="H1116" s="226">
        <v>2.000000319370109E-3</v>
      </c>
      <c r="I1116" s="255">
        <v>3.0972316094438406E-3</v>
      </c>
      <c r="J1116" s="256">
        <v>1.6473721054646324E-4</v>
      </c>
      <c r="K1116" s="257">
        <v>1.7218589619682936E-4</v>
      </c>
      <c r="L1116" s="228">
        <v>4.4818405714916312E-2</v>
      </c>
    </row>
    <row r="1117" spans="1:12" s="212" customFormat="1" ht="15.5" x14ac:dyDescent="0.35">
      <c r="A1117" s="198" t="s">
        <v>833</v>
      </c>
      <c r="B1117" s="197">
        <v>2017</v>
      </c>
      <c r="C1117" s="213" t="s">
        <v>4326</v>
      </c>
      <c r="D1117" s="239">
        <v>3.3319999635889018E-2</v>
      </c>
      <c r="E1117" s="226">
        <v>0.15919421492650179</v>
      </c>
      <c r="F1117" s="226">
        <v>1.7943596348964155E-3</v>
      </c>
      <c r="G1117" s="227">
        <v>1.6568306695072159E-3</v>
      </c>
      <c r="H1117" s="226">
        <v>2.0000003234912889E-3</v>
      </c>
      <c r="I1117" s="255">
        <v>3.0926958070499489E-3</v>
      </c>
      <c r="J1117" s="256">
        <v>1.4020922458610085E-4</v>
      </c>
      <c r="K1117" s="257">
        <v>1.4654886355266485E-4</v>
      </c>
      <c r="L1117" s="228">
        <v>4.4503531924931408E-2</v>
      </c>
    </row>
    <row r="1118" spans="1:12" s="212" customFormat="1" ht="15.5" x14ac:dyDescent="0.35">
      <c r="A1118" s="198" t="s">
        <v>833</v>
      </c>
      <c r="B1118" s="197">
        <v>2018</v>
      </c>
      <c r="C1118" s="213" t="s">
        <v>4327</v>
      </c>
      <c r="D1118" s="239">
        <v>2.7718371138585517E-2</v>
      </c>
      <c r="E1118" s="226">
        <v>0.13714103666723862</v>
      </c>
      <c r="F1118" s="226">
        <v>1.7784938672292898E-3</v>
      </c>
      <c r="G1118" s="227">
        <v>1.640938388522732E-3</v>
      </c>
      <c r="H1118" s="226">
        <v>2.0000003307041412E-3</v>
      </c>
      <c r="I1118" s="255">
        <v>3.0929174119004614E-3</v>
      </c>
      <c r="J1118" s="256">
        <v>1.230248550282162E-4</v>
      </c>
      <c r="K1118" s="257">
        <v>1.285874930578835E-4</v>
      </c>
      <c r="L1118" s="228">
        <v>4.3939180497499543E-2</v>
      </c>
    </row>
    <row r="1119" spans="1:12" s="212" customFormat="1" ht="15.5" x14ac:dyDescent="0.35">
      <c r="A1119" s="198" t="s">
        <v>833</v>
      </c>
      <c r="B1119" s="197">
        <v>2019</v>
      </c>
      <c r="C1119" s="213" t="s">
        <v>4328</v>
      </c>
      <c r="D1119" s="239">
        <v>2.2962477637189522E-2</v>
      </c>
      <c r="E1119" s="226">
        <v>0.11675721601369524</v>
      </c>
      <c r="F1119" s="226">
        <v>1.7657821525173944E-3</v>
      </c>
      <c r="G1119" s="227">
        <v>1.6279279891622709E-3</v>
      </c>
      <c r="H1119" s="226">
        <v>2.0000003306450509E-3</v>
      </c>
      <c r="I1119" s="255">
        <v>3.0961749523746372E-3</v>
      </c>
      <c r="J1119" s="256">
        <v>1.013285835567072E-4</v>
      </c>
      <c r="K1119" s="257">
        <v>1.0591021246621143E-4</v>
      </c>
      <c r="L1119" s="228">
        <v>4.3212861351077381E-2</v>
      </c>
    </row>
    <row r="1120" spans="1:12" s="212" customFormat="1" ht="15.5" x14ac:dyDescent="0.35">
      <c r="A1120" s="198" t="s">
        <v>833</v>
      </c>
      <c r="B1120" s="197">
        <v>2020</v>
      </c>
      <c r="C1120" s="213" t="s">
        <v>4329</v>
      </c>
      <c r="D1120" s="239">
        <v>2.0214236766728746E-2</v>
      </c>
      <c r="E1120" s="226">
        <v>0.10433749443068775</v>
      </c>
      <c r="F1120" s="226">
        <v>1.7382274431967703E-3</v>
      </c>
      <c r="G1120" s="227">
        <v>1.6021771473282739E-3</v>
      </c>
      <c r="H1120" s="226">
        <v>2.0000003300070317E-3</v>
      </c>
      <c r="I1120" s="255">
        <v>3.1086668935443205E-3</v>
      </c>
      <c r="J1120" s="256">
        <v>9.4183653095225391E-5</v>
      </c>
      <c r="K1120" s="257">
        <v>9.8442219954420661E-5</v>
      </c>
      <c r="L1120" s="228">
        <v>4.2887656418138659E-2</v>
      </c>
    </row>
    <row r="1121" spans="1:12" s="212" customFormat="1" ht="15.5" x14ac:dyDescent="0.35">
      <c r="A1121" s="198" t="s">
        <v>833</v>
      </c>
      <c r="B1121" s="197">
        <v>2021</v>
      </c>
      <c r="C1121" s="213" t="s">
        <v>4330</v>
      </c>
      <c r="D1121" s="239">
        <v>1.7832837166038579E-2</v>
      </c>
      <c r="E1121" s="226">
        <v>9.2694187194222011E-2</v>
      </c>
      <c r="F1121" s="226">
        <v>1.6775312049316219E-3</v>
      </c>
      <c r="G1121" s="227">
        <v>1.5459924592811222E-3</v>
      </c>
      <c r="H1121" s="226">
        <v>1.9999989159139074E-3</v>
      </c>
      <c r="I1121" s="255">
        <v>3.1139503535550042E-3</v>
      </c>
      <c r="J1121" s="256">
        <v>8.6680234673660757E-5</v>
      </c>
      <c r="K1121" s="257">
        <v>9.0599530247759117E-5</v>
      </c>
      <c r="L1121" s="228">
        <v>4.2048442190649696E-2</v>
      </c>
    </row>
    <row r="1122" spans="1:12" s="212" customFormat="1" ht="15.5" x14ac:dyDescent="0.35">
      <c r="A1122" s="198" t="s">
        <v>833</v>
      </c>
      <c r="B1122" s="197">
        <v>2022</v>
      </c>
      <c r="C1122" s="213" t="s">
        <v>4331</v>
      </c>
      <c r="D1122" s="239">
        <v>1.5363876451821067E-2</v>
      </c>
      <c r="E1122" s="226">
        <v>8.1576318730238392E-2</v>
      </c>
      <c r="F1122" s="226">
        <v>1.6068104535697759E-3</v>
      </c>
      <c r="G1122" s="227">
        <v>1.4805004964735359E-3</v>
      </c>
      <c r="H1122" s="226">
        <v>1.9999989110723376E-3</v>
      </c>
      <c r="I1122" s="255">
        <v>3.1182462487881289E-3</v>
      </c>
      <c r="J1122" s="256">
        <v>7.8227322685414733E-5</v>
      </c>
      <c r="K1122" s="257">
        <v>8.17644150886458E-5</v>
      </c>
      <c r="L1122" s="228">
        <v>4.1316011725987978E-2</v>
      </c>
    </row>
    <row r="1123" spans="1:12" s="212" customFormat="1" ht="15.5" x14ac:dyDescent="0.35">
      <c r="A1123" s="198" t="s">
        <v>833</v>
      </c>
      <c r="B1123" s="197">
        <v>2023</v>
      </c>
      <c r="C1123" s="213" t="s">
        <v>4332</v>
      </c>
      <c r="D1123" s="239">
        <v>1.3597736671601739E-2</v>
      </c>
      <c r="E1123" s="226">
        <v>7.232811375025644E-2</v>
      </c>
      <c r="F1123" s="226">
        <v>1.541605454679195E-3</v>
      </c>
      <c r="G1123" s="227">
        <v>1.4202156584406332E-3</v>
      </c>
      <c r="H1123" s="226">
        <v>1.9999989069239654E-3</v>
      </c>
      <c r="I1123" s="255">
        <v>3.1218574035296251E-3</v>
      </c>
      <c r="J1123" s="256">
        <v>7.0293395129883714E-5</v>
      </c>
      <c r="K1123" s="257">
        <v>7.3471750535335868E-5</v>
      </c>
      <c r="L1123" s="228">
        <v>4.0539090049146055E-2</v>
      </c>
    </row>
    <row r="1124" spans="1:12" s="212" customFormat="1" ht="15.5" x14ac:dyDescent="0.35">
      <c r="A1124" s="198" t="s">
        <v>833</v>
      </c>
      <c r="B1124" s="197">
        <v>2024</v>
      </c>
      <c r="C1124" s="213" t="s">
        <v>4333</v>
      </c>
      <c r="D1124" s="239">
        <v>1.2074911391282717E-2</v>
      </c>
      <c r="E1124" s="226">
        <v>6.451252398225471E-2</v>
      </c>
      <c r="F1124" s="226">
        <v>1.4817068026311952E-3</v>
      </c>
      <c r="G1124" s="227">
        <v>1.3648366919745262E-3</v>
      </c>
      <c r="H1124" s="226">
        <v>1.9999989032226822E-3</v>
      </c>
      <c r="I1124" s="255">
        <v>3.0948666791401963E-3</v>
      </c>
      <c r="J1124" s="256">
        <v>6.3020206638952344E-5</v>
      </c>
      <c r="K1124" s="257">
        <v>6.5869700735140624E-5</v>
      </c>
      <c r="L1124" s="228">
        <v>3.9726499824962826E-2</v>
      </c>
    </row>
    <row r="1125" spans="1:12" s="212" customFormat="1" ht="15.5" x14ac:dyDescent="0.35">
      <c r="A1125" s="198" t="s">
        <v>833</v>
      </c>
      <c r="B1125" s="197">
        <v>2025</v>
      </c>
      <c r="C1125" s="213" t="s">
        <v>4334</v>
      </c>
      <c r="D1125" s="239">
        <v>1.0816188039709096E-2</v>
      </c>
      <c r="E1125" s="226">
        <v>5.7976649754547055E-2</v>
      </c>
      <c r="F1125" s="226">
        <v>1.4286972892700687E-3</v>
      </c>
      <c r="G1125" s="227">
        <v>1.3158527215635946E-3</v>
      </c>
      <c r="H1125" s="226">
        <v>1.9999989015509665E-3</v>
      </c>
      <c r="I1125" s="255">
        <v>3.0940574907543862E-3</v>
      </c>
      <c r="J1125" s="256">
        <v>5.6917484678234752E-5</v>
      </c>
      <c r="K1125" s="257">
        <v>5.9491040767786875E-5</v>
      </c>
      <c r="L1125" s="228">
        <v>3.8885989615794918E-2</v>
      </c>
    </row>
    <row r="1126" spans="1:12" s="212" customFormat="1" ht="15.5" x14ac:dyDescent="0.35">
      <c r="A1126" s="198" t="s">
        <v>833</v>
      </c>
      <c r="B1126" s="197">
        <v>2026</v>
      </c>
      <c r="C1126" s="213" t="s">
        <v>4335</v>
      </c>
      <c r="D1126" s="239">
        <v>9.7651293574810213E-3</v>
      </c>
      <c r="E1126" s="226">
        <v>5.2535512172062281E-2</v>
      </c>
      <c r="F1126" s="226">
        <v>1.3688868842909334E-3</v>
      </c>
      <c r="G1126" s="227">
        <v>1.2605861676402621E-3</v>
      </c>
      <c r="H1126" s="226">
        <v>1.9999988984922687E-3</v>
      </c>
      <c r="I1126" s="255">
        <v>3.0961754545408811E-3</v>
      </c>
      <c r="J1126" s="256">
        <v>4.9919355681860932E-5</v>
      </c>
      <c r="K1126" s="257">
        <v>5.2176487431934526E-5</v>
      </c>
      <c r="L1126" s="228">
        <v>3.8058466075420155E-2</v>
      </c>
    </row>
    <row r="1127" spans="1:12" s="212" customFormat="1" ht="15.5" x14ac:dyDescent="0.35">
      <c r="A1127" s="198" t="s">
        <v>833</v>
      </c>
      <c r="B1127" s="197">
        <v>2027</v>
      </c>
      <c r="C1127" s="213" t="s">
        <v>4336</v>
      </c>
      <c r="D1127" s="239">
        <v>8.9073132445284062E-3</v>
      </c>
      <c r="E1127" s="226">
        <v>4.7955878167647806E-2</v>
      </c>
      <c r="F1127" s="226">
        <v>1.3035500713343433E-3</v>
      </c>
      <c r="G1127" s="227">
        <v>1.2001931992626116E-3</v>
      </c>
      <c r="H1127" s="226">
        <v>1.9999988943022054E-3</v>
      </c>
      <c r="I1127" s="255">
        <v>3.1263637804453998E-3</v>
      </c>
      <c r="J1127" s="256">
        <v>4.1758376811314961E-5</v>
      </c>
      <c r="K1127" s="257">
        <v>4.3646505310669889E-5</v>
      </c>
      <c r="L1127" s="228">
        <v>3.7265079195308783E-2</v>
      </c>
    </row>
    <row r="1128" spans="1:12" s="212" customFormat="1" ht="15.5" x14ac:dyDescent="0.35">
      <c r="A1128" s="198" t="s">
        <v>833</v>
      </c>
      <c r="B1128" s="197">
        <v>2028</v>
      </c>
      <c r="C1128" s="213" t="s">
        <v>4337</v>
      </c>
      <c r="D1128" s="239">
        <v>8.1341929709325186E-3</v>
      </c>
      <c r="E1128" s="226">
        <v>4.401479086600496E-2</v>
      </c>
      <c r="F1128" s="226">
        <v>1.2226595842809453E-3</v>
      </c>
      <c r="G1128" s="227">
        <v>1.1255735259186029E-3</v>
      </c>
      <c r="H1128" s="226">
        <v>1.9999988921031208E-3</v>
      </c>
      <c r="I1128" s="255">
        <v>3.1725222843560987E-3</v>
      </c>
      <c r="J1128" s="256">
        <v>3.5499690622843588E-5</v>
      </c>
      <c r="K1128" s="257">
        <v>3.7104829105264522E-5</v>
      </c>
      <c r="L1128" s="228">
        <v>3.6520486418146661E-2</v>
      </c>
    </row>
    <row r="1129" spans="1:12" s="212" customFormat="1" ht="15.5" x14ac:dyDescent="0.35">
      <c r="A1129" s="198" t="s">
        <v>833</v>
      </c>
      <c r="B1129" s="197">
        <v>2029</v>
      </c>
      <c r="C1129" s="213" t="s">
        <v>4338</v>
      </c>
      <c r="D1129" s="239">
        <v>7.4743986140334848E-3</v>
      </c>
      <c r="E1129" s="226">
        <v>4.0696074888712894E-2</v>
      </c>
      <c r="F1129" s="226">
        <v>1.1455645838091876E-3</v>
      </c>
      <c r="G1129" s="227">
        <v>1.0544749618953044E-3</v>
      </c>
      <c r="H1129" s="226">
        <v>1.999998889925793E-3</v>
      </c>
      <c r="I1129" s="255">
        <v>3.1732407715741586E-3</v>
      </c>
      <c r="J1129" s="256">
        <v>3.0044320749005195E-5</v>
      </c>
      <c r="K1129" s="257">
        <v>3.1402791613576415E-5</v>
      </c>
      <c r="L1129" s="228">
        <v>3.582660503475793E-2</v>
      </c>
    </row>
    <row r="1130" spans="1:12" s="212" customFormat="1" ht="15.5" x14ac:dyDescent="0.35">
      <c r="A1130" s="198" t="s">
        <v>833</v>
      </c>
      <c r="B1130" s="197">
        <v>2030</v>
      </c>
      <c r="C1130" s="213" t="s">
        <v>4339</v>
      </c>
      <c r="D1130" s="239">
        <v>6.9234064012700892E-3</v>
      </c>
      <c r="E1130" s="226">
        <v>3.7906476164211882E-2</v>
      </c>
      <c r="F1130" s="226">
        <v>1.0723793853402376E-3</v>
      </c>
      <c r="G1130" s="227">
        <v>9.8699258362365538E-4</v>
      </c>
      <c r="H1130" s="226">
        <v>1.9999988881952203E-3</v>
      </c>
      <c r="I1130" s="255">
        <v>3.1736924388889877E-3</v>
      </c>
      <c r="J1130" s="256">
        <v>2.5134781572928207E-5</v>
      </c>
      <c r="K1130" s="257">
        <v>2.6271264861714653E-5</v>
      </c>
      <c r="L1130" s="228">
        <v>3.5186536393883749E-2</v>
      </c>
    </row>
    <row r="1131" spans="1:12" s="212" customFormat="1" ht="15.5" x14ac:dyDescent="0.35">
      <c r="A1131" s="198" t="s">
        <v>833</v>
      </c>
      <c r="B1131" s="197">
        <v>2031</v>
      </c>
      <c r="C1131" s="213" t="s">
        <v>4340</v>
      </c>
      <c r="D1131" s="239">
        <v>6.4491009454853291E-3</v>
      </c>
      <c r="E1131" s="226">
        <v>3.5537352003365795E-2</v>
      </c>
      <c r="F1131" s="226">
        <v>1.0049384563111158E-3</v>
      </c>
      <c r="G1131" s="227">
        <v>9.2486911849974152E-4</v>
      </c>
      <c r="H1131" s="226">
        <v>1.9999988864273775E-3</v>
      </c>
      <c r="I1131" s="255">
        <v>3.1737800366293274E-3</v>
      </c>
      <c r="J1131" s="256">
        <v>2.2208397914935029E-5</v>
      </c>
      <c r="K1131" s="257">
        <v>2.3212563120342193E-5</v>
      </c>
      <c r="L1131" s="228">
        <v>3.459869848211234E-2</v>
      </c>
    </row>
    <row r="1132" spans="1:12" s="212" customFormat="1" ht="15.5" x14ac:dyDescent="0.35">
      <c r="A1132" s="198" t="s">
        <v>833</v>
      </c>
      <c r="B1132" s="197">
        <v>2032</v>
      </c>
      <c r="C1132" s="213" t="s">
        <v>4341</v>
      </c>
      <c r="D1132" s="239">
        <v>6.0340673663546451E-3</v>
      </c>
      <c r="E1132" s="226">
        <v>3.3511138992204169E-2</v>
      </c>
      <c r="F1132" s="226">
        <v>9.4192807747620251E-4</v>
      </c>
      <c r="G1132" s="227">
        <v>8.6683791307142432E-4</v>
      </c>
      <c r="H1132" s="226">
        <v>1.9999988850433917E-3</v>
      </c>
      <c r="I1132" s="255">
        <v>3.1735533817439042E-3</v>
      </c>
      <c r="J1132" s="256">
        <v>1.9757655164952971E-5</v>
      </c>
      <c r="K1132" s="257">
        <v>2.0651008658215843E-5</v>
      </c>
      <c r="L1132" s="228">
        <v>3.4060409497437952E-2</v>
      </c>
    </row>
    <row r="1133" spans="1:12" s="212" customFormat="1" ht="15.5" x14ac:dyDescent="0.35">
      <c r="A1133" s="198" t="s">
        <v>833</v>
      </c>
      <c r="B1133" s="197">
        <v>2033</v>
      </c>
      <c r="C1133" s="213" t="s">
        <v>4342</v>
      </c>
      <c r="D1133" s="239">
        <v>5.6772106889643398E-3</v>
      </c>
      <c r="E1133" s="226">
        <v>3.1789236447368925E-2</v>
      </c>
      <c r="F1133" s="226">
        <v>8.8416860369752248E-4</v>
      </c>
      <c r="G1133" s="227">
        <v>8.1366413051174266E-4</v>
      </c>
      <c r="H1133" s="226">
        <v>1.9999988837833054E-3</v>
      </c>
      <c r="I1133" s="255">
        <v>3.1730723916458181E-3</v>
      </c>
      <c r="J1133" s="256">
        <v>1.8061720602126362E-5</v>
      </c>
      <c r="K1133" s="257">
        <v>1.8878391460056358E-5</v>
      </c>
      <c r="L1133" s="228">
        <v>3.35694471641136E-2</v>
      </c>
    </row>
    <row r="1134" spans="1:12" s="212" customFormat="1" ht="15.5" x14ac:dyDescent="0.35">
      <c r="A1134" s="198" t="s">
        <v>833</v>
      </c>
      <c r="B1134" s="197">
        <v>2034</v>
      </c>
      <c r="C1134" s="213" t="s">
        <v>4343</v>
      </c>
      <c r="D1134" s="239">
        <v>5.3565181214760742E-3</v>
      </c>
      <c r="E1134" s="226">
        <v>3.0287629045652756E-2</v>
      </c>
      <c r="F1134" s="226">
        <v>8.3075360702242879E-4</v>
      </c>
      <c r="G1134" s="227">
        <v>7.6448852056876042E-4</v>
      </c>
      <c r="H1134" s="226">
        <v>1.9999988826336101E-3</v>
      </c>
      <c r="I1134" s="255">
        <v>3.1724481121463131E-3</v>
      </c>
      <c r="J1134" s="256">
        <v>1.6457829730414308E-5</v>
      </c>
      <c r="K1134" s="257">
        <v>1.7201979760285828E-5</v>
      </c>
      <c r="L1134" s="228">
        <v>3.3123751005581681E-2</v>
      </c>
    </row>
    <row r="1135" spans="1:12" s="212" customFormat="1" ht="15.5" x14ac:dyDescent="0.35">
      <c r="A1135" s="198" t="s">
        <v>833</v>
      </c>
      <c r="B1135" s="197">
        <v>2035</v>
      </c>
      <c r="C1135" s="213" t="s">
        <v>4344</v>
      </c>
      <c r="D1135" s="239">
        <v>5.0763822019679041E-3</v>
      </c>
      <c r="E1135" s="226">
        <v>2.90106038709467E-2</v>
      </c>
      <c r="F1135" s="226">
        <v>7.8219016630837841E-4</v>
      </c>
      <c r="G1135" s="227">
        <v>7.1978222592766945E-4</v>
      </c>
      <c r="H1135" s="226">
        <v>1.9999988814516493E-3</v>
      </c>
      <c r="I1135" s="255">
        <v>3.1717550945679096E-3</v>
      </c>
      <c r="J1135" s="256">
        <v>1.507180472833628E-5</v>
      </c>
      <c r="K1135" s="257">
        <v>1.5753284858008671E-5</v>
      </c>
      <c r="L1135" s="228">
        <v>3.2721318347359397E-2</v>
      </c>
    </row>
    <row r="1136" spans="1:12" s="212" customFormat="1" ht="15.5" x14ac:dyDescent="0.35">
      <c r="A1136" s="198" t="s">
        <v>833</v>
      </c>
      <c r="B1136" s="197">
        <v>2036</v>
      </c>
      <c r="C1136" s="213" t="s">
        <v>4345</v>
      </c>
      <c r="D1136" s="239">
        <v>4.8458114401092054E-3</v>
      </c>
      <c r="E1136" s="226">
        <v>2.7931137602862151E-2</v>
      </c>
      <c r="F1136" s="226">
        <v>7.4202559090057261E-4</v>
      </c>
      <c r="G1136" s="227">
        <v>6.828055174664798E-4</v>
      </c>
      <c r="H1136" s="226">
        <v>1.9999988806155681E-3</v>
      </c>
      <c r="I1136" s="255">
        <v>3.185426258309405E-3</v>
      </c>
      <c r="J1136" s="256">
        <v>1.3869019710155189E-5</v>
      </c>
      <c r="K1136" s="257">
        <v>1.4496115238584918E-5</v>
      </c>
      <c r="L1136" s="228">
        <v>3.2351411158370251E-2</v>
      </c>
    </row>
    <row r="1137" spans="1:12" s="212" customFormat="1" ht="15.5" x14ac:dyDescent="0.35">
      <c r="A1137" s="198" t="s">
        <v>833</v>
      </c>
      <c r="B1137" s="197">
        <v>2037</v>
      </c>
      <c r="C1137" s="213" t="s">
        <v>4346</v>
      </c>
      <c r="D1137" s="239">
        <v>4.6383303082713837E-3</v>
      </c>
      <c r="E1137" s="226">
        <v>2.7008649356448058E-2</v>
      </c>
      <c r="F1137" s="226">
        <v>7.0452329642462473E-4</v>
      </c>
      <c r="G1137" s="227">
        <v>6.4827391028826435E-4</v>
      </c>
      <c r="H1137" s="226">
        <v>1.9999988797697577E-3</v>
      </c>
      <c r="I1137" s="255">
        <v>3.1847255494745195E-3</v>
      </c>
      <c r="J1137" s="256">
        <v>1.2595198815729048E-5</v>
      </c>
      <c r="K1137" s="257">
        <v>1.3164697815809346E-5</v>
      </c>
      <c r="L1137" s="228">
        <v>3.2031886076021414E-2</v>
      </c>
    </row>
    <row r="1138" spans="1:12" s="212" customFormat="1" ht="15.5" x14ac:dyDescent="0.35">
      <c r="A1138" s="198" t="s">
        <v>833</v>
      </c>
      <c r="B1138" s="197">
        <v>2038</v>
      </c>
      <c r="C1138" s="213" t="s">
        <v>4347</v>
      </c>
      <c r="D1138" s="239">
        <v>4.4558919555771348E-3</v>
      </c>
      <c r="E1138" s="226">
        <v>2.6202378589252232E-2</v>
      </c>
      <c r="F1138" s="226">
        <v>6.7188291979229241E-4</v>
      </c>
      <c r="G1138" s="227">
        <v>6.1822797983416753E-4</v>
      </c>
      <c r="H1138" s="226">
        <v>1.9999988787813955E-3</v>
      </c>
      <c r="I1138" s="255">
        <v>3.1840800534839527E-3</v>
      </c>
      <c r="J1138" s="256">
        <v>1.1714642916722381E-5</v>
      </c>
      <c r="K1138" s="257">
        <v>1.2244327086458521E-5</v>
      </c>
      <c r="L1138" s="228">
        <v>3.1752377150406304E-2</v>
      </c>
    </row>
    <row r="1139" spans="1:12" s="212" customFormat="1" ht="15.5" x14ac:dyDescent="0.35">
      <c r="A1139" s="198" t="s">
        <v>833</v>
      </c>
      <c r="B1139" s="197">
        <v>2039</v>
      </c>
      <c r="C1139" s="213" t="s">
        <v>4348</v>
      </c>
      <c r="D1139" s="239">
        <v>4.2843603821928417E-3</v>
      </c>
      <c r="E1139" s="226">
        <v>2.5462085805565676E-2</v>
      </c>
      <c r="F1139" s="226">
        <v>6.4335187828026819E-4</v>
      </c>
      <c r="G1139" s="227">
        <v>5.9196514292609974E-4</v>
      </c>
      <c r="H1139" s="226">
        <v>1.999998878097257E-3</v>
      </c>
      <c r="I1139" s="255">
        <v>3.1835138919779709E-3</v>
      </c>
      <c r="J1139" s="256">
        <v>1.0955012132601841E-5</v>
      </c>
      <c r="K1139" s="257">
        <v>1.1450349169091731E-5</v>
      </c>
      <c r="L1139" s="228">
        <v>3.1506636035688103E-2</v>
      </c>
    </row>
    <row r="1140" spans="1:12" s="212" customFormat="1" ht="15.5" x14ac:dyDescent="0.35">
      <c r="A1140" s="198" t="s">
        <v>833</v>
      </c>
      <c r="B1140" s="197">
        <v>2040</v>
      </c>
      <c r="C1140" s="213" t="s">
        <v>4349</v>
      </c>
      <c r="D1140" s="239">
        <v>4.1298832466066812E-3</v>
      </c>
      <c r="E1140" s="226">
        <v>2.4815366757209509E-2</v>
      </c>
      <c r="F1140" s="226">
        <v>6.1857460804587948E-4</v>
      </c>
      <c r="G1140" s="227">
        <v>5.6915740477595064E-4</v>
      </c>
      <c r="H1140" s="226">
        <v>1.9999988773636099E-3</v>
      </c>
      <c r="I1140" s="255">
        <v>3.1830743532692994E-3</v>
      </c>
      <c r="J1140" s="256">
        <v>1.0288922454979224E-5</v>
      </c>
      <c r="K1140" s="257">
        <v>1.0754141871976172E-5</v>
      </c>
      <c r="L1140" s="228">
        <v>3.1293236884458439E-2</v>
      </c>
    </row>
    <row r="1141" spans="1:12" s="212" customFormat="1" ht="15.5" x14ac:dyDescent="0.35">
      <c r="A1141" s="198" t="s">
        <v>833</v>
      </c>
      <c r="B1141" s="197">
        <v>2041</v>
      </c>
      <c r="C1141" s="213" t="s">
        <v>4350</v>
      </c>
      <c r="D1141" s="239">
        <v>4.0111977534735095E-3</v>
      </c>
      <c r="E1141" s="226">
        <v>2.4290015567587333E-2</v>
      </c>
      <c r="F1141" s="226">
        <v>5.9912292600216991E-4</v>
      </c>
      <c r="G1141" s="227">
        <v>5.5125150915884844E-4</v>
      </c>
      <c r="H1141" s="226">
        <v>1.999998876853642E-3</v>
      </c>
      <c r="I1141" s="255">
        <v>3.182751753527334E-3</v>
      </c>
      <c r="J1141" s="256">
        <v>9.7552864073368937E-6</v>
      </c>
      <c r="K1141" s="257">
        <v>1.019637717023434E-5</v>
      </c>
      <c r="L1141" s="228">
        <v>3.111056880809936E-2</v>
      </c>
    </row>
    <row r="1142" spans="1:12" s="212" customFormat="1" ht="15.5" x14ac:dyDescent="0.35">
      <c r="A1142" s="198" t="s">
        <v>833</v>
      </c>
      <c r="B1142" s="197">
        <v>2042</v>
      </c>
      <c r="C1142" s="213" t="s">
        <v>4351</v>
      </c>
      <c r="D1142" s="239">
        <v>3.9039196691912962E-3</v>
      </c>
      <c r="E1142" s="226">
        <v>2.3790730039328578E-2</v>
      </c>
      <c r="F1142" s="226">
        <v>5.8259835349791695E-4</v>
      </c>
      <c r="G1142" s="227">
        <v>5.3604106102007139E-4</v>
      </c>
      <c r="H1142" s="226">
        <v>1.9999988763120457E-3</v>
      </c>
      <c r="I1142" s="255">
        <v>3.182504336858728E-3</v>
      </c>
      <c r="J1142" s="256">
        <v>9.3263219163301525E-6</v>
      </c>
      <c r="K1142" s="257">
        <v>9.7480168084460303E-6</v>
      </c>
      <c r="L1142" s="228">
        <v>3.0951803848275995E-2</v>
      </c>
    </row>
    <row r="1143" spans="1:12" s="212" customFormat="1" ht="15.5" x14ac:dyDescent="0.35">
      <c r="A1143" s="198" t="s">
        <v>833</v>
      </c>
      <c r="B1143" s="197">
        <v>2043</v>
      </c>
      <c r="C1143" s="213" t="s">
        <v>4352</v>
      </c>
      <c r="D1143" s="239">
        <v>3.8200128705503517E-3</v>
      </c>
      <c r="E1143" s="226">
        <v>2.3365936417527468E-2</v>
      </c>
      <c r="F1143" s="226">
        <v>5.6865949873801064E-4</v>
      </c>
      <c r="G1143" s="227">
        <v>5.2321037081429547E-4</v>
      </c>
      <c r="H1143" s="226">
        <v>1.9999988759219186E-3</v>
      </c>
      <c r="I1143" s="255">
        <v>3.1823497907219485E-3</v>
      </c>
      <c r="J1143" s="256">
        <v>8.9560264328229701E-6</v>
      </c>
      <c r="K1143" s="257">
        <v>9.3609782063365183E-6</v>
      </c>
      <c r="L1143" s="228">
        <v>3.0816472241460103E-2</v>
      </c>
    </row>
    <row r="1144" spans="1:12" s="212" customFormat="1" ht="15.5" x14ac:dyDescent="0.35">
      <c r="A1144" s="198" t="s">
        <v>833</v>
      </c>
      <c r="B1144" s="197">
        <v>2044</v>
      </c>
      <c r="C1144" s="213" t="s">
        <v>4353</v>
      </c>
      <c r="D1144" s="239">
        <v>3.7524216704343237E-3</v>
      </c>
      <c r="E1144" s="226">
        <v>2.2956567373346039E-2</v>
      </c>
      <c r="F1144" s="226">
        <v>5.5687310497327838E-4</v>
      </c>
      <c r="G1144" s="227">
        <v>5.1236133363466029E-4</v>
      </c>
      <c r="H1144" s="226">
        <v>1.9999988754961576E-3</v>
      </c>
      <c r="I1144" s="255">
        <v>3.1822378234157506E-3</v>
      </c>
      <c r="J1144" s="256">
        <v>8.6510391313599945E-6</v>
      </c>
      <c r="K1144" s="257">
        <v>9.0422007324625064E-6</v>
      </c>
      <c r="L1144" s="228">
        <v>3.0698984240303328E-2</v>
      </c>
    </row>
    <row r="1145" spans="1:12" s="212" customFormat="1" ht="15.5" x14ac:dyDescent="0.35">
      <c r="A1145" s="198" t="s">
        <v>833</v>
      </c>
      <c r="B1145" s="197">
        <v>2045</v>
      </c>
      <c r="C1145" s="213" t="s">
        <v>4354</v>
      </c>
      <c r="D1145" s="239">
        <v>3.7016723479093528E-3</v>
      </c>
      <c r="E1145" s="226">
        <v>2.2576229481689501E-2</v>
      </c>
      <c r="F1145" s="226">
        <v>5.4693924615024274E-4</v>
      </c>
      <c r="G1145" s="227">
        <v>5.0321795091923282E-4</v>
      </c>
      <c r="H1145" s="226">
        <v>1.9999988751860506E-3</v>
      </c>
      <c r="I1145" s="255">
        <v>3.1821840429756658E-3</v>
      </c>
      <c r="J1145" s="256">
        <v>8.4055178641050006E-6</v>
      </c>
      <c r="K1145" s="257">
        <v>8.7855780829867105E-6</v>
      </c>
      <c r="L1145" s="228">
        <v>3.0595092038110037E-2</v>
      </c>
    </row>
    <row r="1146" spans="1:12" s="212" customFormat="1" ht="15.5" x14ac:dyDescent="0.35">
      <c r="A1146" s="198" t="s">
        <v>833</v>
      </c>
      <c r="B1146" s="197">
        <v>2046</v>
      </c>
      <c r="C1146" s="213" t="s">
        <v>4355</v>
      </c>
      <c r="D1146" s="239">
        <v>3.6541341565832276E-3</v>
      </c>
      <c r="E1146" s="226">
        <v>2.2212087476314903E-2</v>
      </c>
      <c r="F1146" s="226">
        <v>5.3863721061944345E-4</v>
      </c>
      <c r="G1146" s="227">
        <v>4.955770344698536E-4</v>
      </c>
      <c r="H1146" s="226">
        <v>1.9999988748382914E-3</v>
      </c>
      <c r="I1146" s="255">
        <v>3.1821716780265621E-3</v>
      </c>
      <c r="J1146" s="256">
        <v>8.2129953574323883E-6</v>
      </c>
      <c r="K1146" s="257">
        <v>8.5843505628683387E-6</v>
      </c>
      <c r="L1146" s="228">
        <v>3.0503668335342699E-2</v>
      </c>
    </row>
    <row r="1147" spans="1:12" s="212" customFormat="1" ht="15.5" x14ac:dyDescent="0.35">
      <c r="A1147" s="198" t="s">
        <v>833</v>
      </c>
      <c r="B1147" s="197">
        <v>2047</v>
      </c>
      <c r="C1147" s="213" t="s">
        <v>4356</v>
      </c>
      <c r="D1147" s="239">
        <v>3.6119906491838176E-3</v>
      </c>
      <c r="E1147" s="226">
        <v>2.1885058055490438E-2</v>
      </c>
      <c r="F1147" s="226">
        <v>5.3174064603334461E-4</v>
      </c>
      <c r="G1147" s="227">
        <v>4.8922887086394202E-4</v>
      </c>
      <c r="H1147" s="226">
        <v>1.9999988745892463E-3</v>
      </c>
      <c r="I1147" s="255">
        <v>3.1822104967268732E-3</v>
      </c>
      <c r="J1147" s="256">
        <v>8.0326431449721581E-6</v>
      </c>
      <c r="K1147" s="257">
        <v>8.3958436236617408E-6</v>
      </c>
      <c r="L1147" s="228">
        <v>3.0427048192541033E-2</v>
      </c>
    </row>
    <row r="1148" spans="1:12" s="212" customFormat="1" ht="15.5" x14ac:dyDescent="0.35">
      <c r="A1148" s="198" t="s">
        <v>833</v>
      </c>
      <c r="B1148" s="197">
        <v>2048</v>
      </c>
      <c r="C1148" s="213" t="s">
        <v>4357</v>
      </c>
      <c r="D1148" s="239">
        <v>3.5779187502577555E-3</v>
      </c>
      <c r="E1148" s="226">
        <v>2.1623438940832712E-2</v>
      </c>
      <c r="F1148" s="226">
        <v>5.260172372765176E-4</v>
      </c>
      <c r="G1148" s="227">
        <v>4.8396014289199031E-4</v>
      </c>
      <c r="H1148" s="226">
        <v>1.9999988743007852E-3</v>
      </c>
      <c r="I1148" s="255">
        <v>3.1822903813253649E-3</v>
      </c>
      <c r="J1148" s="256">
        <v>7.8718519482936127E-6</v>
      </c>
      <c r="K1148" s="257">
        <v>8.22778216256977E-6</v>
      </c>
      <c r="L1148" s="228">
        <v>3.0361162387182457E-2</v>
      </c>
    </row>
    <row r="1149" spans="1:12" s="212" customFormat="1" ht="15.5" x14ac:dyDescent="0.35">
      <c r="A1149" s="198" t="s">
        <v>833</v>
      </c>
      <c r="B1149" s="197">
        <v>2049</v>
      </c>
      <c r="C1149" s="213" t="s">
        <v>4358</v>
      </c>
      <c r="D1149" s="239">
        <v>3.5705225774635397E-3</v>
      </c>
      <c r="E1149" s="226">
        <v>2.1596669489397913E-2</v>
      </c>
      <c r="F1149" s="226">
        <v>5.2234233294234955E-4</v>
      </c>
      <c r="G1149" s="227">
        <v>4.8057694283856756E-4</v>
      </c>
      <c r="H1149" s="226">
        <v>1.9999988740623722E-3</v>
      </c>
      <c r="I1149" s="255">
        <v>3.1823869427890852E-3</v>
      </c>
      <c r="J1149" s="256">
        <v>7.7624870897196204E-6</v>
      </c>
      <c r="K1149" s="257">
        <v>8.1134723103904255E-6</v>
      </c>
      <c r="L1149" s="228">
        <v>3.0304781837113097E-2</v>
      </c>
    </row>
    <row r="1150" spans="1:12" s="212" customFormat="1" ht="15.5" x14ac:dyDescent="0.35">
      <c r="A1150" s="198" t="s">
        <v>833</v>
      </c>
      <c r="B1150" s="197">
        <v>2050</v>
      </c>
      <c r="C1150" s="213" t="s">
        <v>4359</v>
      </c>
      <c r="D1150" s="239">
        <v>3.5647686576208539E-3</v>
      </c>
      <c r="E1150" s="226">
        <v>2.1574127929004674E-2</v>
      </c>
      <c r="F1150" s="226">
        <v>5.1927838268739455E-4</v>
      </c>
      <c r="G1150" s="227">
        <v>4.7775237168445379E-4</v>
      </c>
      <c r="H1150" s="226">
        <v>1.9999988738175663E-3</v>
      </c>
      <c r="I1150" s="255">
        <v>3.1825273756970682E-3</v>
      </c>
      <c r="J1150" s="256">
        <v>7.5730248365962376E-6</v>
      </c>
      <c r="K1150" s="257">
        <v>7.915443414907117E-6</v>
      </c>
      <c r="L1150" s="228">
        <v>3.0258980862380585E-2</v>
      </c>
    </row>
    <row r="1151" spans="1:12" s="212" customFormat="1" ht="15.5" x14ac:dyDescent="0.35">
      <c r="A1151" s="198" t="s">
        <v>834</v>
      </c>
      <c r="B1151" s="197">
        <v>2015</v>
      </c>
      <c r="C1151" s="213" t="s">
        <v>921</v>
      </c>
      <c r="D1151" s="239">
        <v>0.12660826272464462</v>
      </c>
      <c r="E1151" s="226">
        <v>0.43128392311452851</v>
      </c>
      <c r="F1151" s="226">
        <v>4.1117737785808508E-3</v>
      </c>
      <c r="G1151" s="227">
        <v>3.804993732390152E-3</v>
      </c>
      <c r="H1151" s="226">
        <v>2.0000005732018801E-3</v>
      </c>
      <c r="I1151" s="255">
        <v>3.9429102081309031E-3</v>
      </c>
      <c r="J1151" s="256">
        <v>3.5539154660875559E-4</v>
      </c>
      <c r="K1151" s="257">
        <v>3.7146077531977198E-4</v>
      </c>
      <c r="L1151" s="228">
        <v>4.7406364406980567E-2</v>
      </c>
    </row>
    <row r="1152" spans="1:12" s="212" customFormat="1" ht="15.5" x14ac:dyDescent="0.35">
      <c r="A1152" s="198" t="s">
        <v>834</v>
      </c>
      <c r="B1152" s="197">
        <v>2016</v>
      </c>
      <c r="C1152" s="213" t="s">
        <v>922</v>
      </c>
      <c r="D1152" s="239">
        <v>0.11584576108606348</v>
      </c>
      <c r="E1152" s="226">
        <v>0.40375462949799629</v>
      </c>
      <c r="F1152" s="226">
        <v>3.9614750793529174E-3</v>
      </c>
      <c r="G1152" s="227">
        <v>3.6646174199669408E-3</v>
      </c>
      <c r="H1152" s="226">
        <v>2.0000005732018801E-3</v>
      </c>
      <c r="I1152" s="255">
        <v>3.9447541983814397E-3</v>
      </c>
      <c r="J1152" s="256">
        <v>3.4380330842472023E-4</v>
      </c>
      <c r="K1152" s="257">
        <v>3.593485684271001E-4</v>
      </c>
      <c r="L1152" s="228">
        <v>4.6487609594923478E-2</v>
      </c>
    </row>
    <row r="1153" spans="1:12" s="212" customFormat="1" ht="15.5" x14ac:dyDescent="0.35">
      <c r="A1153" s="198" t="s">
        <v>834</v>
      </c>
      <c r="B1153" s="197">
        <v>2017</v>
      </c>
      <c r="C1153" s="213" t="s">
        <v>4360</v>
      </c>
      <c r="D1153" s="239">
        <v>9.3830776330324009E-2</v>
      </c>
      <c r="E1153" s="226">
        <v>0.34401792165107836</v>
      </c>
      <c r="F1153" s="226">
        <v>3.5907184768676219E-3</v>
      </c>
      <c r="G1153" s="227">
        <v>3.3185446229611571E-3</v>
      </c>
      <c r="H1153" s="226">
        <v>2.0000005732018801E-3</v>
      </c>
      <c r="I1153" s="255">
        <v>3.9423697087790036E-3</v>
      </c>
      <c r="J1153" s="256">
        <v>2.8802155068108977E-4</v>
      </c>
      <c r="K1153" s="257">
        <v>3.0104460712618671E-4</v>
      </c>
      <c r="L1153" s="228">
        <v>4.6123903832698272E-2</v>
      </c>
    </row>
    <row r="1154" spans="1:12" s="212" customFormat="1" ht="15.5" x14ac:dyDescent="0.35">
      <c r="A1154" s="198" t="s">
        <v>834</v>
      </c>
      <c r="B1154" s="197">
        <v>2018</v>
      </c>
      <c r="C1154" s="213" t="s">
        <v>4361</v>
      </c>
      <c r="D1154" s="239">
        <v>8.03731585975309E-2</v>
      </c>
      <c r="E1154" s="226">
        <v>0.30447091306072793</v>
      </c>
      <c r="F1154" s="226">
        <v>3.4064312173151569E-3</v>
      </c>
      <c r="G1154" s="227">
        <v>3.1464683227070273E-3</v>
      </c>
      <c r="H1154" s="226">
        <v>2.0000005732018797E-3</v>
      </c>
      <c r="I1154" s="255">
        <v>3.9423642165976516E-3</v>
      </c>
      <c r="J1154" s="256">
        <v>2.644801391459647E-4</v>
      </c>
      <c r="K1154" s="257">
        <v>2.7643875742490925E-4</v>
      </c>
      <c r="L1154" s="228">
        <v>4.5572385479613953E-2</v>
      </c>
    </row>
    <row r="1155" spans="1:12" s="212" customFormat="1" ht="15.5" x14ac:dyDescent="0.35">
      <c r="A1155" s="198" t="s">
        <v>834</v>
      </c>
      <c r="B1155" s="197">
        <v>2019</v>
      </c>
      <c r="C1155" s="213" t="s">
        <v>4362</v>
      </c>
      <c r="D1155" s="239">
        <v>6.6732109888499244E-2</v>
      </c>
      <c r="E1155" s="226">
        <v>0.26142351384306045</v>
      </c>
      <c r="F1155" s="226">
        <v>3.2044850399766587E-3</v>
      </c>
      <c r="G1155" s="227">
        <v>2.9570081633635186E-3</v>
      </c>
      <c r="H1155" s="226">
        <v>2.0000005732018801E-3</v>
      </c>
      <c r="I1155" s="255">
        <v>3.945731781676E-3</v>
      </c>
      <c r="J1155" s="256">
        <v>2.1153052794891671E-4</v>
      </c>
      <c r="K1155" s="257">
        <v>2.2109499976995117E-4</v>
      </c>
      <c r="L1155" s="228">
        <v>4.4789504665155362E-2</v>
      </c>
    </row>
    <row r="1156" spans="1:12" s="212" customFormat="1" ht="15.5" x14ac:dyDescent="0.35">
      <c r="A1156" s="198" t="s">
        <v>834</v>
      </c>
      <c r="B1156" s="197">
        <v>2020</v>
      </c>
      <c r="C1156" s="213" t="s">
        <v>4363</v>
      </c>
      <c r="D1156" s="239">
        <v>5.9033351974432394E-2</v>
      </c>
      <c r="E1156" s="226">
        <v>0.2358926590452991</v>
      </c>
      <c r="F1156" s="226">
        <v>3.0691844809774211E-3</v>
      </c>
      <c r="G1156" s="227">
        <v>2.8315248377794992E-3</v>
      </c>
      <c r="H1156" s="226">
        <v>2.0000005732018801E-3</v>
      </c>
      <c r="I1156" s="255">
        <v>3.954196122374941E-3</v>
      </c>
      <c r="J1156" s="256">
        <v>1.9803789023132087E-4</v>
      </c>
      <c r="K1156" s="257">
        <v>2.0699228484745861E-4</v>
      </c>
      <c r="L1156" s="228">
        <v>4.4473664983396007E-2</v>
      </c>
    </row>
    <row r="1157" spans="1:12" s="212" customFormat="1" ht="15.5" x14ac:dyDescent="0.35">
      <c r="A1157" s="198" t="s">
        <v>834</v>
      </c>
      <c r="B1157" s="197">
        <v>2021</v>
      </c>
      <c r="C1157" s="213" t="s">
        <v>4364</v>
      </c>
      <c r="D1157" s="239">
        <v>5.1409416395991829E-2</v>
      </c>
      <c r="E1157" s="226">
        <v>0.20976524138679212</v>
      </c>
      <c r="F1157" s="226">
        <v>2.8934306607297042E-3</v>
      </c>
      <c r="G1157" s="227">
        <v>2.6689089260676186E-3</v>
      </c>
      <c r="H1157" s="226">
        <v>2.0000005732018801E-3</v>
      </c>
      <c r="I1157" s="255">
        <v>3.9573565548929879E-3</v>
      </c>
      <c r="J1157" s="256">
        <v>1.8498920013924113E-4</v>
      </c>
      <c r="K1157" s="257">
        <v>1.9335359089211963E-4</v>
      </c>
      <c r="L1157" s="228">
        <v>4.3583572668281091E-2</v>
      </c>
    </row>
    <row r="1158" spans="1:12" s="212" customFormat="1" ht="15.5" x14ac:dyDescent="0.35">
      <c r="A1158" s="198" t="s">
        <v>834</v>
      </c>
      <c r="B1158" s="197">
        <v>2022</v>
      </c>
      <c r="C1158" s="213" t="s">
        <v>4365</v>
      </c>
      <c r="D1158" s="239">
        <v>4.2101546031886268E-2</v>
      </c>
      <c r="E1158" s="226">
        <v>0.18289770371819369</v>
      </c>
      <c r="F1158" s="226">
        <v>2.7095087761298377E-3</v>
      </c>
      <c r="G1158" s="227">
        <v>2.4983388469553697E-3</v>
      </c>
      <c r="H1158" s="226">
        <v>2.0000005732018797E-3</v>
      </c>
      <c r="I1158" s="255">
        <v>3.9547582927022705E-3</v>
      </c>
      <c r="J1158" s="256">
        <v>1.7187201812924422E-4</v>
      </c>
      <c r="K1158" s="257">
        <v>1.7964330811826338E-4</v>
      </c>
      <c r="L1158" s="228">
        <v>4.2775321977374395E-2</v>
      </c>
    </row>
    <row r="1159" spans="1:12" s="212" customFormat="1" ht="15.5" x14ac:dyDescent="0.35">
      <c r="A1159" s="198" t="s">
        <v>834</v>
      </c>
      <c r="B1159" s="197">
        <v>2023</v>
      </c>
      <c r="C1159" s="213" t="s">
        <v>4366</v>
      </c>
      <c r="D1159" s="239">
        <v>3.6592265189526296E-2</v>
      </c>
      <c r="E1159" s="226">
        <v>0.16087963082327156</v>
      </c>
      <c r="F1159" s="226">
        <v>2.5285944232176527E-3</v>
      </c>
      <c r="G1159" s="227">
        <v>2.3309435763760778E-3</v>
      </c>
      <c r="H1159" s="226">
        <v>2.0000005732018801E-3</v>
      </c>
      <c r="I1159" s="255">
        <v>3.9508865053546113E-3</v>
      </c>
      <c r="J1159" s="256">
        <v>1.4930761478990513E-4</v>
      </c>
      <c r="K1159" s="257">
        <v>1.5605864258797593E-4</v>
      </c>
      <c r="L1159" s="228">
        <v>4.1921576131839645E-2</v>
      </c>
    </row>
    <row r="1160" spans="1:12" s="212" customFormat="1" ht="15.5" x14ac:dyDescent="0.35">
      <c r="A1160" s="198" t="s">
        <v>834</v>
      </c>
      <c r="B1160" s="197">
        <v>2024</v>
      </c>
      <c r="C1160" s="213" t="s">
        <v>4367</v>
      </c>
      <c r="D1160" s="239">
        <v>3.1933615317969261E-2</v>
      </c>
      <c r="E1160" s="226">
        <v>0.14201111332102684</v>
      </c>
      <c r="F1160" s="226">
        <v>2.3706423560278787E-3</v>
      </c>
      <c r="G1160" s="227">
        <v>2.1847494357673334E-3</v>
      </c>
      <c r="H1160" s="226">
        <v>2.0000005732018801E-3</v>
      </c>
      <c r="I1160" s="255">
        <v>3.9469558866416649E-3</v>
      </c>
      <c r="J1160" s="256">
        <v>1.2814353307981607E-4</v>
      </c>
      <c r="K1160" s="257">
        <v>1.3393761501717902E-4</v>
      </c>
      <c r="L1160" s="228">
        <v>4.1055719964036487E-2</v>
      </c>
    </row>
    <row r="1161" spans="1:12" s="212" customFormat="1" ht="15.5" x14ac:dyDescent="0.35">
      <c r="A1161" s="198" t="s">
        <v>834</v>
      </c>
      <c r="B1161" s="197">
        <v>2025</v>
      </c>
      <c r="C1161" s="213" t="s">
        <v>4368</v>
      </c>
      <c r="D1161" s="239">
        <v>2.8367708533796995E-2</v>
      </c>
      <c r="E1161" s="226">
        <v>0.1267859421464943</v>
      </c>
      <c r="F1161" s="226">
        <v>2.2477460181295882E-3</v>
      </c>
      <c r="G1161" s="227">
        <v>2.0710195574064837E-3</v>
      </c>
      <c r="H1161" s="226">
        <v>2.0000005732018797E-3</v>
      </c>
      <c r="I1161" s="255">
        <v>3.9432622358928143E-3</v>
      </c>
      <c r="J1161" s="256">
        <v>1.1021316257322411E-4</v>
      </c>
      <c r="K1161" s="257">
        <v>1.1519651272111958E-4</v>
      </c>
      <c r="L1161" s="228">
        <v>4.0148210157897414E-2</v>
      </c>
    </row>
    <row r="1162" spans="1:12" s="212" customFormat="1" ht="15.5" x14ac:dyDescent="0.35">
      <c r="A1162" s="198" t="s">
        <v>834</v>
      </c>
      <c r="B1162" s="197">
        <v>2026</v>
      </c>
      <c r="C1162" s="213" t="s">
        <v>4369</v>
      </c>
      <c r="D1162" s="239">
        <v>2.5261152118692252E-2</v>
      </c>
      <c r="E1162" s="226">
        <v>0.11371008023389957</v>
      </c>
      <c r="F1162" s="226">
        <v>2.1378345153245069E-3</v>
      </c>
      <c r="G1162" s="227">
        <v>1.969503755373287E-3</v>
      </c>
      <c r="H1162" s="226">
        <v>2.0000005732018797E-3</v>
      </c>
      <c r="I1162" s="255">
        <v>3.9394179434309139E-3</v>
      </c>
      <c r="J1162" s="256">
        <v>9.863731199033088E-5</v>
      </c>
      <c r="K1162" s="257">
        <v>1.0309725354194421E-4</v>
      </c>
      <c r="L1162" s="228">
        <v>3.9258610992868655E-2</v>
      </c>
    </row>
    <row r="1163" spans="1:12" s="212" customFormat="1" ht="15.5" x14ac:dyDescent="0.35">
      <c r="A1163" s="198" t="s">
        <v>834</v>
      </c>
      <c r="B1163" s="197">
        <v>2027</v>
      </c>
      <c r="C1163" s="213" t="s">
        <v>4370</v>
      </c>
      <c r="D1163" s="239">
        <v>2.2697417505866669E-2</v>
      </c>
      <c r="E1163" s="226">
        <v>0.10251976012007159</v>
      </c>
      <c r="F1163" s="226">
        <v>2.0155850064369407E-3</v>
      </c>
      <c r="G1163" s="227">
        <v>1.8563064086654646E-3</v>
      </c>
      <c r="H1163" s="226">
        <v>2.0000005732018801E-3</v>
      </c>
      <c r="I1163" s="255">
        <v>3.9353357128217355E-3</v>
      </c>
      <c r="J1163" s="256">
        <v>7.8289814859176292E-5</v>
      </c>
      <c r="K1163" s="257">
        <v>8.1829732881199947E-5</v>
      </c>
      <c r="L1163" s="228">
        <v>3.8431225326445745E-2</v>
      </c>
    </row>
    <row r="1164" spans="1:12" s="212" customFormat="1" ht="15.5" x14ac:dyDescent="0.35">
      <c r="A1164" s="198" t="s">
        <v>834</v>
      </c>
      <c r="B1164" s="197">
        <v>2028</v>
      </c>
      <c r="C1164" s="213" t="s">
        <v>4371</v>
      </c>
      <c r="D1164" s="239">
        <v>2.0474856967288908E-2</v>
      </c>
      <c r="E1164" s="226">
        <v>9.2855755794380476E-2</v>
      </c>
      <c r="F1164" s="226">
        <v>1.8908265518628768E-3</v>
      </c>
      <c r="G1164" s="227">
        <v>1.7409567379329497E-3</v>
      </c>
      <c r="H1164" s="226">
        <v>2.0000005732018801E-3</v>
      </c>
      <c r="I1164" s="255">
        <v>3.9313357045395857E-3</v>
      </c>
      <c r="J1164" s="256">
        <v>6.1892745119042594E-5</v>
      </c>
      <c r="K1164" s="257">
        <v>6.4691260408336802E-5</v>
      </c>
      <c r="L1164" s="228">
        <v>3.7605633861949046E-2</v>
      </c>
    </row>
    <row r="1165" spans="1:12" s="212" customFormat="1" ht="15.5" x14ac:dyDescent="0.35">
      <c r="A1165" s="198" t="s">
        <v>834</v>
      </c>
      <c r="B1165" s="197">
        <v>2029</v>
      </c>
      <c r="C1165" s="213" t="s">
        <v>4372</v>
      </c>
      <c r="D1165" s="239">
        <v>1.8459916650382883E-2</v>
      </c>
      <c r="E1165" s="226">
        <v>8.4167904430081431E-2</v>
      </c>
      <c r="F1165" s="226">
        <v>1.773708777366842E-3</v>
      </c>
      <c r="G1165" s="227">
        <v>1.6328903024332908E-3</v>
      </c>
      <c r="H1165" s="226">
        <v>2.0000005732018797E-3</v>
      </c>
      <c r="I1165" s="255">
        <v>3.9273189157894564E-3</v>
      </c>
      <c r="J1165" s="256">
        <v>5.2115103731412943E-5</v>
      </c>
      <c r="K1165" s="257">
        <v>5.4471517464799662E-5</v>
      </c>
      <c r="L1165" s="228">
        <v>3.6872488175495488E-2</v>
      </c>
    </row>
    <row r="1166" spans="1:12" s="212" customFormat="1" ht="15.5" x14ac:dyDescent="0.35">
      <c r="A1166" s="198" t="s">
        <v>834</v>
      </c>
      <c r="B1166" s="197">
        <v>2030</v>
      </c>
      <c r="C1166" s="213" t="s">
        <v>4373</v>
      </c>
      <c r="D1166" s="239">
        <v>1.6806533156149515E-2</v>
      </c>
      <c r="E1166" s="226">
        <v>7.6790746216687827E-2</v>
      </c>
      <c r="F1166" s="226">
        <v>1.6649542036102506E-3</v>
      </c>
      <c r="G1166" s="227">
        <v>1.5326300888660149E-3</v>
      </c>
      <c r="H1166" s="226">
        <v>2.0000005732018805E-3</v>
      </c>
      <c r="I1166" s="255">
        <v>3.9234675583411432E-3</v>
      </c>
      <c r="J1166" s="256">
        <v>4.5329222325136212E-5</v>
      </c>
      <c r="K1166" s="257">
        <v>4.7378808613233927E-5</v>
      </c>
      <c r="L1166" s="228">
        <v>3.6198811017390004E-2</v>
      </c>
    </row>
    <row r="1167" spans="1:12" s="212" customFormat="1" ht="15.5" x14ac:dyDescent="0.35">
      <c r="A1167" s="198" t="s">
        <v>834</v>
      </c>
      <c r="B1167" s="197">
        <v>2031</v>
      </c>
      <c r="C1167" s="213" t="s">
        <v>4374</v>
      </c>
      <c r="D1167" s="239">
        <v>1.5281716308953934E-2</v>
      </c>
      <c r="E1167" s="226">
        <v>7.0098849215801881E-2</v>
      </c>
      <c r="F1167" s="226">
        <v>1.5604954355601544E-3</v>
      </c>
      <c r="G1167" s="227">
        <v>1.4364054932115133E-3</v>
      </c>
      <c r="H1167" s="226">
        <v>2.0000005732018801E-3</v>
      </c>
      <c r="I1167" s="255">
        <v>3.9194564891718011E-3</v>
      </c>
      <c r="J1167" s="256">
        <v>4.0745004483309893E-5</v>
      </c>
      <c r="K1167" s="257">
        <v>4.2587312782765533E-5</v>
      </c>
      <c r="L1167" s="228">
        <v>3.5581706460605489E-2</v>
      </c>
    </row>
    <row r="1168" spans="1:12" s="212" customFormat="1" ht="15.5" x14ac:dyDescent="0.35">
      <c r="A1168" s="198" t="s">
        <v>834</v>
      </c>
      <c r="B1168" s="197">
        <v>2032</v>
      </c>
      <c r="C1168" s="213" t="s">
        <v>4375</v>
      </c>
      <c r="D1168" s="239">
        <v>1.3968810952681281E-2</v>
      </c>
      <c r="E1168" s="226">
        <v>6.4430676232107506E-2</v>
      </c>
      <c r="F1168" s="226">
        <v>1.4631843179800067E-3</v>
      </c>
      <c r="G1168" s="227">
        <v>1.3467390532542686E-3</v>
      </c>
      <c r="H1168" s="226">
        <v>2.0000005732018801E-3</v>
      </c>
      <c r="I1168" s="255">
        <v>3.9154937154628295E-3</v>
      </c>
      <c r="J1168" s="256">
        <v>3.5805446552451043E-5</v>
      </c>
      <c r="K1168" s="257">
        <v>3.7424409961236988E-5</v>
      </c>
      <c r="L1168" s="228">
        <v>3.5020407118421061E-2</v>
      </c>
    </row>
    <row r="1169" spans="1:12" s="212" customFormat="1" ht="15.5" x14ac:dyDescent="0.35">
      <c r="A1169" s="198" t="s">
        <v>834</v>
      </c>
      <c r="B1169" s="197">
        <v>2033</v>
      </c>
      <c r="C1169" s="213" t="s">
        <v>4376</v>
      </c>
      <c r="D1169" s="239">
        <v>1.2713203589062725E-2</v>
      </c>
      <c r="E1169" s="226">
        <v>5.907772027334806E-2</v>
      </c>
      <c r="F1169" s="226">
        <v>1.369205312848621E-3</v>
      </c>
      <c r="G1169" s="227">
        <v>1.2602096083635442E-3</v>
      </c>
      <c r="H1169" s="226">
        <v>2.0000005732018801E-3</v>
      </c>
      <c r="I1169" s="255">
        <v>3.9113907796952795E-3</v>
      </c>
      <c r="J1169" s="256">
        <v>3.274564397711811E-5</v>
      </c>
      <c r="K1169" s="257">
        <v>3.4226256691120231E-5</v>
      </c>
      <c r="L1169" s="228">
        <v>3.4510622187008802E-2</v>
      </c>
    </row>
    <row r="1170" spans="1:12" s="212" customFormat="1" ht="15.5" x14ac:dyDescent="0.35">
      <c r="A1170" s="198" t="s">
        <v>834</v>
      </c>
      <c r="B1170" s="197">
        <v>2034</v>
      </c>
      <c r="C1170" s="213" t="s">
        <v>4377</v>
      </c>
      <c r="D1170" s="239">
        <v>1.1569116672176694E-2</v>
      </c>
      <c r="E1170" s="226">
        <v>5.4447685931749847E-2</v>
      </c>
      <c r="F1170" s="226">
        <v>1.280369086094055E-3</v>
      </c>
      <c r="G1170" s="227">
        <v>1.178415761296939E-3</v>
      </c>
      <c r="H1170" s="226">
        <v>2.0000005732018801E-3</v>
      </c>
      <c r="I1170" s="255">
        <v>3.9074098580395809E-3</v>
      </c>
      <c r="J1170" s="256">
        <v>2.9865575091206759E-5</v>
      </c>
      <c r="K1170" s="257">
        <v>3.1215963870304459E-5</v>
      </c>
      <c r="L1170" s="228">
        <v>3.4050174277973765E-2</v>
      </c>
    </row>
    <row r="1171" spans="1:12" s="212" customFormat="1" ht="15.5" x14ac:dyDescent="0.35">
      <c r="A1171" s="198" t="s">
        <v>834</v>
      </c>
      <c r="B1171" s="197">
        <v>2035</v>
      </c>
      <c r="C1171" s="213" t="s">
        <v>4378</v>
      </c>
      <c r="D1171" s="239">
        <v>1.0534656402611253E-2</v>
      </c>
      <c r="E1171" s="226">
        <v>5.0406033522514195E-2</v>
      </c>
      <c r="F1171" s="226">
        <v>1.1970232208852888E-3</v>
      </c>
      <c r="G1171" s="227">
        <v>1.1016827516143555E-3</v>
      </c>
      <c r="H1171" s="226">
        <v>2.0000005732018801E-3</v>
      </c>
      <c r="I1171" s="255">
        <v>3.9035132750552762E-3</v>
      </c>
      <c r="J1171" s="256">
        <v>2.7310241173934066E-5</v>
      </c>
      <c r="K1171" s="257">
        <v>2.8545089092418971E-5</v>
      </c>
      <c r="L1171" s="228">
        <v>3.3638161938385189E-2</v>
      </c>
    </row>
    <row r="1172" spans="1:12" s="212" customFormat="1" ht="15.5" x14ac:dyDescent="0.35">
      <c r="A1172" s="198" t="s">
        <v>834</v>
      </c>
      <c r="B1172" s="197">
        <v>2036</v>
      </c>
      <c r="C1172" s="213" t="s">
        <v>4379</v>
      </c>
      <c r="D1172" s="239">
        <v>9.6966320940969838E-3</v>
      </c>
      <c r="E1172" s="226">
        <v>4.7121601472098359E-2</v>
      </c>
      <c r="F1172" s="226">
        <v>1.1301538124549512E-3</v>
      </c>
      <c r="G1172" s="227">
        <v>1.0401054005556617E-3</v>
      </c>
      <c r="H1172" s="226">
        <v>2.0000005732018805E-3</v>
      </c>
      <c r="I1172" s="255">
        <v>3.899963925656229E-3</v>
      </c>
      <c r="J1172" s="256">
        <v>2.4913129871125115E-5</v>
      </c>
      <c r="K1172" s="257">
        <v>2.6039591053520877E-5</v>
      </c>
      <c r="L1172" s="228">
        <v>3.3279016877013234E-2</v>
      </c>
    </row>
    <row r="1173" spans="1:12" s="212" customFormat="1" ht="15.5" x14ac:dyDescent="0.35">
      <c r="A1173" s="198" t="s">
        <v>834</v>
      </c>
      <c r="B1173" s="197">
        <v>2037</v>
      </c>
      <c r="C1173" s="213" t="s">
        <v>4380</v>
      </c>
      <c r="D1173" s="239">
        <v>8.9327009069182003E-3</v>
      </c>
      <c r="E1173" s="226">
        <v>4.4172550838369254E-2</v>
      </c>
      <c r="F1173" s="226">
        <v>1.0671910361912131E-3</v>
      </c>
      <c r="G1173" s="227">
        <v>9.8207893507086313E-4</v>
      </c>
      <c r="H1173" s="226">
        <v>2.0000005732018797E-3</v>
      </c>
      <c r="I1173" s="255">
        <v>3.8965555911680406E-3</v>
      </c>
      <c r="J1173" s="256">
        <v>2.1460693418110527E-5</v>
      </c>
      <c r="K1173" s="257">
        <v>2.2431050744060842E-5</v>
      </c>
      <c r="L1173" s="228">
        <v>3.2956277762380928E-2</v>
      </c>
    </row>
    <row r="1174" spans="1:12" s="212" customFormat="1" ht="15.5" x14ac:dyDescent="0.35">
      <c r="A1174" s="198" t="s">
        <v>834</v>
      </c>
      <c r="B1174" s="197">
        <v>2038</v>
      </c>
      <c r="C1174" s="213" t="s">
        <v>4381</v>
      </c>
      <c r="D1174" s="239">
        <v>8.1951715064109525E-3</v>
      </c>
      <c r="E1174" s="226">
        <v>4.1341627490768501E-2</v>
      </c>
      <c r="F1174" s="226">
        <v>1.0099649924681163E-3</v>
      </c>
      <c r="G1174" s="227">
        <v>9.2939347435327816E-4</v>
      </c>
      <c r="H1174" s="226">
        <v>2.0000005732018805E-3</v>
      </c>
      <c r="I1174" s="255">
        <v>3.8933598167427848E-3</v>
      </c>
      <c r="J1174" s="256">
        <v>1.9709644754895003E-5</v>
      </c>
      <c r="K1174" s="257">
        <v>2.0600827430458097E-5</v>
      </c>
      <c r="L1174" s="228">
        <v>3.2676034261415139E-2</v>
      </c>
    </row>
    <row r="1175" spans="1:12" s="212" customFormat="1" ht="15.5" x14ac:dyDescent="0.35">
      <c r="A1175" s="198" t="s">
        <v>834</v>
      </c>
      <c r="B1175" s="197">
        <v>2039</v>
      </c>
      <c r="C1175" s="213" t="s">
        <v>4382</v>
      </c>
      <c r="D1175" s="239">
        <v>7.4844026792088977E-3</v>
      </c>
      <c r="E1175" s="226">
        <v>3.8666190823272648E-2</v>
      </c>
      <c r="F1175" s="226">
        <v>9.5758221125312156E-4</v>
      </c>
      <c r="G1175" s="227">
        <v>8.8116962570176265E-4</v>
      </c>
      <c r="H1175" s="226">
        <v>2.0000005732018801E-3</v>
      </c>
      <c r="I1175" s="255">
        <v>3.890401387672614E-3</v>
      </c>
      <c r="J1175" s="256">
        <v>1.8174467447659277E-5</v>
      </c>
      <c r="K1175" s="257">
        <v>1.8996236217637565E-5</v>
      </c>
      <c r="L1175" s="228">
        <v>3.242895503727463E-2</v>
      </c>
    </row>
    <row r="1176" spans="1:12" s="212" customFormat="1" ht="15.5" x14ac:dyDescent="0.35">
      <c r="A1176" s="198" t="s">
        <v>834</v>
      </c>
      <c r="B1176" s="197">
        <v>2040</v>
      </c>
      <c r="C1176" s="213" t="s">
        <v>4383</v>
      </c>
      <c r="D1176" s="239">
        <v>6.8878373551321172E-3</v>
      </c>
      <c r="E1176" s="226">
        <v>3.6452480022128614E-2</v>
      </c>
      <c r="F1176" s="226">
        <v>9.1072152012014018E-4</v>
      </c>
      <c r="G1176" s="227">
        <v>8.3803319265354445E-4</v>
      </c>
      <c r="H1176" s="226">
        <v>2.0000005732018801E-3</v>
      </c>
      <c r="I1176" s="255">
        <v>3.8877716065301806E-3</v>
      </c>
      <c r="J1176" s="256">
        <v>1.6897423278737552E-5</v>
      </c>
      <c r="K1176" s="257">
        <v>1.7661449778196756E-5</v>
      </c>
      <c r="L1176" s="228">
        <v>3.2214628849397638E-2</v>
      </c>
    </row>
    <row r="1177" spans="1:12" s="212" customFormat="1" ht="15.5" x14ac:dyDescent="0.35">
      <c r="A1177" s="198" t="s">
        <v>834</v>
      </c>
      <c r="B1177" s="197">
        <v>2041</v>
      </c>
      <c r="C1177" s="213" t="s">
        <v>4384</v>
      </c>
      <c r="D1177" s="239">
        <v>6.475278221940199E-3</v>
      </c>
      <c r="E1177" s="226">
        <v>3.4697108327449738E-2</v>
      </c>
      <c r="F1177" s="226">
        <v>8.7714010202611509E-4</v>
      </c>
      <c r="G1177" s="227">
        <v>8.0710699199733923E-4</v>
      </c>
      <c r="H1177" s="226">
        <v>2.0000005732018801E-3</v>
      </c>
      <c r="I1177" s="255">
        <v>3.8854272686584365E-3</v>
      </c>
      <c r="J1177" s="256">
        <v>1.563144110750637E-5</v>
      </c>
      <c r="K1177" s="257">
        <v>1.6338225510895211E-5</v>
      </c>
      <c r="L1177" s="228">
        <v>3.2030975146559525E-2</v>
      </c>
    </row>
    <row r="1178" spans="1:12" s="212" customFormat="1" ht="15.5" x14ac:dyDescent="0.35">
      <c r="A1178" s="198" t="s">
        <v>834</v>
      </c>
      <c r="B1178" s="197">
        <v>2042</v>
      </c>
      <c r="C1178" s="213" t="s">
        <v>4385</v>
      </c>
      <c r="D1178" s="239">
        <v>6.102540783960192E-3</v>
      </c>
      <c r="E1178" s="226">
        <v>3.3057961770192795E-2</v>
      </c>
      <c r="F1178" s="226">
        <v>8.4749633640685516E-4</v>
      </c>
      <c r="G1178" s="227">
        <v>7.7981277291824694E-4</v>
      </c>
      <c r="H1178" s="226">
        <v>2.0000005732018801E-3</v>
      </c>
      <c r="I1178" s="255">
        <v>3.8832440657732281E-3</v>
      </c>
      <c r="J1178" s="256">
        <v>1.4659468991617135E-5</v>
      </c>
      <c r="K1178" s="257">
        <v>1.5322305128987845E-5</v>
      </c>
      <c r="L1178" s="228">
        <v>3.1869447448229997E-2</v>
      </c>
    </row>
    <row r="1179" spans="1:12" s="212" customFormat="1" ht="15.5" x14ac:dyDescent="0.35">
      <c r="A1179" s="198" t="s">
        <v>834</v>
      </c>
      <c r="B1179" s="197">
        <v>2043</v>
      </c>
      <c r="C1179" s="213" t="s">
        <v>4386</v>
      </c>
      <c r="D1179" s="239">
        <v>5.7950886656782351E-3</v>
      </c>
      <c r="E1179" s="226">
        <v>3.1553944369208477E-2</v>
      </c>
      <c r="F1179" s="226">
        <v>8.2110536701381933E-4</v>
      </c>
      <c r="G1179" s="227">
        <v>7.5551421259666574E-4</v>
      </c>
      <c r="H1179" s="226">
        <v>2.0000005732018797E-3</v>
      </c>
      <c r="I1179" s="255">
        <v>3.8812461997220077E-3</v>
      </c>
      <c r="J1179" s="256">
        <v>1.3811530267244013E-5</v>
      </c>
      <c r="K1179" s="257">
        <v>1.4436026378170917E-5</v>
      </c>
      <c r="L1179" s="228">
        <v>3.1729978107330484E-2</v>
      </c>
    </row>
    <row r="1180" spans="1:12" s="212" customFormat="1" ht="15.5" x14ac:dyDescent="0.35">
      <c r="A1180" s="198" t="s">
        <v>834</v>
      </c>
      <c r="B1180" s="197">
        <v>2044</v>
      </c>
      <c r="C1180" s="213" t="s">
        <v>4387</v>
      </c>
      <c r="D1180" s="239">
        <v>5.5360909291679002E-3</v>
      </c>
      <c r="E1180" s="226">
        <v>3.0049551409162791E-2</v>
      </c>
      <c r="F1180" s="226">
        <v>7.9745308854212073E-4</v>
      </c>
      <c r="G1180" s="227">
        <v>7.337347587509658E-4</v>
      </c>
      <c r="H1180" s="226">
        <v>2.0000005732018801E-3</v>
      </c>
      <c r="I1180" s="255">
        <v>3.8792870390208026E-3</v>
      </c>
      <c r="J1180" s="256">
        <v>1.2988776193769818E-5</v>
      </c>
      <c r="K1180" s="257">
        <v>1.3576071016411373E-5</v>
      </c>
      <c r="L1180" s="228">
        <v>3.1606075018234571E-2</v>
      </c>
    </row>
    <row r="1181" spans="1:12" s="212" customFormat="1" ht="15.5" x14ac:dyDescent="0.35">
      <c r="A1181" s="198" t="s">
        <v>834</v>
      </c>
      <c r="B1181" s="197">
        <v>2045</v>
      </c>
      <c r="C1181" s="213" t="s">
        <v>4388</v>
      </c>
      <c r="D1181" s="239">
        <v>5.3640618577751788E-3</v>
      </c>
      <c r="E1181" s="226">
        <v>2.8864699246345348E-2</v>
      </c>
      <c r="F1181" s="226">
        <v>7.7719557424360574E-4</v>
      </c>
      <c r="G1181" s="227">
        <v>7.1508328865687589E-4</v>
      </c>
      <c r="H1181" s="226">
        <v>2.0000005732018801E-3</v>
      </c>
      <c r="I1181" s="255">
        <v>3.8776899033136024E-3</v>
      </c>
      <c r="J1181" s="256">
        <v>1.2336014836818518E-5</v>
      </c>
      <c r="K1181" s="257">
        <v>1.289379468748435E-5</v>
      </c>
      <c r="L1181" s="228">
        <v>3.1495357529835059E-2</v>
      </c>
    </row>
    <row r="1182" spans="1:12" s="212" customFormat="1" ht="15.5" x14ac:dyDescent="0.35">
      <c r="A1182" s="198" t="s">
        <v>834</v>
      </c>
      <c r="B1182" s="197">
        <v>2046</v>
      </c>
      <c r="C1182" s="213" t="s">
        <v>4389</v>
      </c>
      <c r="D1182" s="239">
        <v>5.1841462913874634E-3</v>
      </c>
      <c r="E1182" s="226">
        <v>2.7608382654624716E-2</v>
      </c>
      <c r="F1182" s="226">
        <v>7.5911012636011564E-4</v>
      </c>
      <c r="G1182" s="227">
        <v>6.9843263772952275E-4</v>
      </c>
      <c r="H1182" s="226">
        <v>2.0000005732018797E-3</v>
      </c>
      <c r="I1182" s="255">
        <v>3.8760697814375577E-3</v>
      </c>
      <c r="J1182" s="256">
        <v>1.1777812091159238E-5</v>
      </c>
      <c r="K1182" s="257">
        <v>1.2310352490654359E-5</v>
      </c>
      <c r="L1182" s="228">
        <v>3.1396889279515845E-2</v>
      </c>
    </row>
    <row r="1183" spans="1:12" s="212" customFormat="1" ht="15.5" x14ac:dyDescent="0.35">
      <c r="A1183" s="198" t="s">
        <v>834</v>
      </c>
      <c r="B1183" s="197">
        <v>2047</v>
      </c>
      <c r="C1183" s="213" t="s">
        <v>4390</v>
      </c>
      <c r="D1183" s="239">
        <v>5.0392757882061143E-3</v>
      </c>
      <c r="E1183" s="226">
        <v>2.6588718800013886E-2</v>
      </c>
      <c r="F1183" s="226">
        <v>7.4369905376276823E-4</v>
      </c>
      <c r="G1183" s="227">
        <v>6.8424473537963694E-4</v>
      </c>
      <c r="H1183" s="226">
        <v>2.0000005732018801E-3</v>
      </c>
      <c r="I1183" s="255">
        <v>3.8747044996237053E-3</v>
      </c>
      <c r="J1183" s="256">
        <v>1.1316091463400633E-5</v>
      </c>
      <c r="K1183" s="257">
        <v>1.1827754904963438E-5</v>
      </c>
      <c r="L1183" s="228">
        <v>3.1311682677185544E-2</v>
      </c>
    </row>
    <row r="1184" spans="1:12" s="212" customFormat="1" ht="15.5" x14ac:dyDescent="0.35">
      <c r="A1184" s="198" t="s">
        <v>834</v>
      </c>
      <c r="B1184" s="197">
        <v>2048</v>
      </c>
      <c r="C1184" s="213" t="s">
        <v>4391</v>
      </c>
      <c r="D1184" s="239">
        <v>4.9148173717298961E-3</v>
      </c>
      <c r="E1184" s="226">
        <v>2.5731070401007191E-2</v>
      </c>
      <c r="F1184" s="226">
        <v>7.3018723557322887E-4</v>
      </c>
      <c r="G1184" s="227">
        <v>6.718021635851053E-4</v>
      </c>
      <c r="H1184" s="226">
        <v>2.0000005732018797E-3</v>
      </c>
      <c r="I1184" s="255">
        <v>3.8734232720225915E-3</v>
      </c>
      <c r="J1184" s="256">
        <v>1.0829635340823264E-5</v>
      </c>
      <c r="K1184" s="257">
        <v>1.1319303395140179E-5</v>
      </c>
      <c r="L1184" s="228">
        <v>3.1236798250725367E-2</v>
      </c>
    </row>
    <row r="1185" spans="1:12" s="212" customFormat="1" ht="15.5" x14ac:dyDescent="0.35">
      <c r="A1185" s="198" t="s">
        <v>834</v>
      </c>
      <c r="B1185" s="197">
        <v>2049</v>
      </c>
      <c r="C1185" s="213" t="s">
        <v>4392</v>
      </c>
      <c r="D1185" s="239">
        <v>4.8890073744596932E-3</v>
      </c>
      <c r="E1185" s="226">
        <v>2.5638706266217379E-2</v>
      </c>
      <c r="F1185" s="226">
        <v>7.2247050316816427E-4</v>
      </c>
      <c r="G1185" s="227">
        <v>6.6469551275342824E-4</v>
      </c>
      <c r="H1185" s="226">
        <v>2.0000005732018797E-3</v>
      </c>
      <c r="I1185" s="255">
        <v>3.8721680681046582E-3</v>
      </c>
      <c r="J1185" s="256">
        <v>1.0537043176495539E-5</v>
      </c>
      <c r="K1185" s="257">
        <v>1.1013481511500082E-5</v>
      </c>
      <c r="L1185" s="228">
        <v>3.1170815404055575E-2</v>
      </c>
    </row>
    <row r="1186" spans="1:12" s="212" customFormat="1" ht="15.5" x14ac:dyDescent="0.35">
      <c r="A1186" s="198" t="s">
        <v>834</v>
      </c>
      <c r="B1186" s="197">
        <v>2050</v>
      </c>
      <c r="C1186" s="213" t="s">
        <v>4393</v>
      </c>
      <c r="D1186" s="239">
        <v>4.8679573291987481E-3</v>
      </c>
      <c r="E1186" s="226">
        <v>2.555538067946065E-2</v>
      </c>
      <c r="F1186" s="226">
        <v>7.1553451381402571E-4</v>
      </c>
      <c r="G1186" s="227">
        <v>6.5828956860563355E-4</v>
      </c>
      <c r="H1186" s="226">
        <v>2.0000005732018797E-3</v>
      </c>
      <c r="I1186" s="255">
        <v>3.8711064337723766E-3</v>
      </c>
      <c r="J1186" s="256">
        <v>9.8040899405403886E-6</v>
      </c>
      <c r="K1186" s="257">
        <v>1.0247387382646847E-5</v>
      </c>
      <c r="L1186" s="228">
        <v>3.1114136933998122E-2</v>
      </c>
    </row>
    <row r="1187" spans="1:12" s="212" customFormat="1" ht="15.5" x14ac:dyDescent="0.35">
      <c r="A1187" s="198" t="s">
        <v>835</v>
      </c>
      <c r="B1187" s="197">
        <v>2015</v>
      </c>
      <c r="C1187" s="213" t="s">
        <v>923</v>
      </c>
      <c r="D1187" s="239">
        <v>4.6234099768756601E-2</v>
      </c>
      <c r="E1187" s="226">
        <v>0.20418192842560764</v>
      </c>
      <c r="F1187" s="226">
        <v>1.7879610325582096E-3</v>
      </c>
      <c r="G1187" s="227">
        <v>1.6520271969035153E-3</v>
      </c>
      <c r="H1187" s="226">
        <v>2.0000005732018801E-3</v>
      </c>
      <c r="I1187" s="255">
        <v>2.4654222370263041E-3</v>
      </c>
      <c r="J1187" s="256">
        <v>1.2136634490883381E-4</v>
      </c>
      <c r="K1187" s="257">
        <v>1.2685399247043238E-4</v>
      </c>
      <c r="L1187" s="228">
        <v>4.4049732864006409E-2</v>
      </c>
    </row>
    <row r="1188" spans="1:12" s="212" customFormat="1" ht="15.5" x14ac:dyDescent="0.35">
      <c r="A1188" s="198" t="s">
        <v>835</v>
      </c>
      <c r="B1188" s="197">
        <v>2016</v>
      </c>
      <c r="C1188" s="213" t="s">
        <v>924</v>
      </c>
      <c r="D1188" s="239">
        <v>4.043723080320074E-2</v>
      </c>
      <c r="E1188" s="226">
        <v>0.18398788724940668</v>
      </c>
      <c r="F1188" s="226">
        <v>1.7566368259255829E-3</v>
      </c>
      <c r="G1188" s="227">
        <v>1.6219613130000858E-3</v>
      </c>
      <c r="H1188" s="226">
        <v>2.0000005732018801E-3</v>
      </c>
      <c r="I1188" s="255">
        <v>2.4610844013854519E-3</v>
      </c>
      <c r="J1188" s="256">
        <v>1.1122430562710874E-4</v>
      </c>
      <c r="K1188" s="257">
        <v>1.1625337517702015E-4</v>
      </c>
      <c r="L1188" s="228">
        <v>4.3122585115966124E-2</v>
      </c>
    </row>
    <row r="1189" spans="1:12" s="212" customFormat="1" ht="15.5" x14ac:dyDescent="0.35">
      <c r="A1189" s="198" t="s">
        <v>835</v>
      </c>
      <c r="B1189" s="197">
        <v>2017</v>
      </c>
      <c r="C1189" s="213" t="s">
        <v>4394</v>
      </c>
      <c r="D1189" s="239">
        <v>3.2862752565612621E-2</v>
      </c>
      <c r="E1189" s="226">
        <v>0.15508859531709285</v>
      </c>
      <c r="F1189" s="226">
        <v>1.6893512631009882E-3</v>
      </c>
      <c r="G1189" s="227">
        <v>1.5584135187061078E-3</v>
      </c>
      <c r="H1189" s="226">
        <v>2.0000005732018797E-3</v>
      </c>
      <c r="I1189" s="255">
        <v>2.4623943618110253E-3</v>
      </c>
      <c r="J1189" s="256">
        <v>9.0590289209598962E-5</v>
      </c>
      <c r="K1189" s="257">
        <v>9.4686380099202433E-5</v>
      </c>
      <c r="L1189" s="228">
        <v>4.2807749229271427E-2</v>
      </c>
    </row>
    <row r="1190" spans="1:12" s="212" customFormat="1" ht="15.5" x14ac:dyDescent="0.35">
      <c r="A1190" s="198" t="s">
        <v>835</v>
      </c>
      <c r="B1190" s="197">
        <v>2018</v>
      </c>
      <c r="C1190" s="213" t="s">
        <v>4395</v>
      </c>
      <c r="D1190" s="239">
        <v>2.7612677834897181E-2</v>
      </c>
      <c r="E1190" s="226">
        <v>0.13533026663388117</v>
      </c>
      <c r="F1190" s="226">
        <v>1.6739369410686505E-3</v>
      </c>
      <c r="G1190" s="227">
        <v>1.5431418426140207E-3</v>
      </c>
      <c r="H1190" s="226">
        <v>2.0000005732018792E-3</v>
      </c>
      <c r="I1190" s="255">
        <v>2.4666097519223246E-3</v>
      </c>
      <c r="J1190" s="256">
        <v>7.9478819779226815E-5</v>
      </c>
      <c r="K1190" s="257">
        <v>8.3072499327603943E-5</v>
      </c>
      <c r="L1190" s="228">
        <v>4.2295647851584607E-2</v>
      </c>
    </row>
    <row r="1191" spans="1:12" s="212" customFormat="1" ht="15.5" x14ac:dyDescent="0.35">
      <c r="A1191" s="198" t="s">
        <v>835</v>
      </c>
      <c r="B1191" s="197">
        <v>2019</v>
      </c>
      <c r="C1191" s="213" t="s">
        <v>4396</v>
      </c>
      <c r="D1191" s="239">
        <v>2.3127966044998966E-2</v>
      </c>
      <c r="E1191" s="226">
        <v>0.11730270657061659</v>
      </c>
      <c r="F1191" s="226">
        <v>1.6729233267413152E-3</v>
      </c>
      <c r="G1191" s="227">
        <v>1.5417544393935825E-3</v>
      </c>
      <c r="H1191" s="226">
        <v>2.0000005732018801E-3</v>
      </c>
      <c r="I1191" s="255">
        <v>2.483578044839378E-3</v>
      </c>
      <c r="J1191" s="256">
        <v>8.0781589263815163E-5</v>
      </c>
      <c r="K1191" s="257">
        <v>8.4434174267331236E-5</v>
      </c>
      <c r="L1191" s="228">
        <v>4.1859004600918806E-2</v>
      </c>
    </row>
    <row r="1192" spans="1:12" s="212" customFormat="1" ht="15.5" x14ac:dyDescent="0.35">
      <c r="A1192" s="198" t="s">
        <v>835</v>
      </c>
      <c r="B1192" s="197">
        <v>2020</v>
      </c>
      <c r="C1192" s="213" t="s">
        <v>4397</v>
      </c>
      <c r="D1192" s="239">
        <v>2.0486983767435109E-2</v>
      </c>
      <c r="E1192" s="226">
        <v>0.10549351992325647</v>
      </c>
      <c r="F1192" s="226">
        <v>1.6450434916127064E-3</v>
      </c>
      <c r="G1192" s="227">
        <v>1.5157429886223019E-3</v>
      </c>
      <c r="H1192" s="226">
        <v>2.0000005732018801E-3</v>
      </c>
      <c r="I1192" s="255">
        <v>2.4900258056985711E-3</v>
      </c>
      <c r="J1192" s="256">
        <v>7.4758372165545592E-5</v>
      </c>
      <c r="K1192" s="257">
        <v>7.8138614019508201E-5</v>
      </c>
      <c r="L1192" s="228">
        <v>4.146599804916927E-2</v>
      </c>
    </row>
    <row r="1193" spans="1:12" s="212" customFormat="1" ht="15.5" x14ac:dyDescent="0.35">
      <c r="A1193" s="198" t="s">
        <v>835</v>
      </c>
      <c r="B1193" s="197">
        <v>2021</v>
      </c>
      <c r="C1193" s="213" t="s">
        <v>4398</v>
      </c>
      <c r="D1193" s="239">
        <v>1.822937330678152E-2</v>
      </c>
      <c r="E1193" s="226">
        <v>9.436420691343296E-2</v>
      </c>
      <c r="F1193" s="226">
        <v>1.5819852245046559E-3</v>
      </c>
      <c r="G1193" s="227">
        <v>1.4574486179355641E-3</v>
      </c>
      <c r="H1193" s="226">
        <v>2.0000005732018801E-3</v>
      </c>
      <c r="I1193" s="255">
        <v>2.4941527091661858E-3</v>
      </c>
      <c r="J1193" s="256">
        <v>6.8654908167831245E-5</v>
      </c>
      <c r="K1193" s="257">
        <v>7.1759178463537583E-5</v>
      </c>
      <c r="L1193" s="228">
        <v>4.0657277269811352E-2</v>
      </c>
    </row>
    <row r="1194" spans="1:12" s="212" customFormat="1" ht="15.5" x14ac:dyDescent="0.35">
      <c r="A1194" s="198" t="s">
        <v>835</v>
      </c>
      <c r="B1194" s="197">
        <v>2022</v>
      </c>
      <c r="C1194" s="213" t="s">
        <v>4399</v>
      </c>
      <c r="D1194" s="239">
        <v>1.5849598907220645E-2</v>
      </c>
      <c r="E1194" s="226">
        <v>8.3489772840542209E-2</v>
      </c>
      <c r="F1194" s="226">
        <v>1.5097445500729504E-3</v>
      </c>
      <c r="G1194" s="227">
        <v>1.3906599617493469E-3</v>
      </c>
      <c r="H1194" s="226">
        <v>2.0000005732018801E-3</v>
      </c>
      <c r="I1194" s="255">
        <v>2.4954007857427344E-3</v>
      </c>
      <c r="J1194" s="256">
        <v>6.2806463540382627E-5</v>
      </c>
      <c r="K1194" s="257">
        <v>6.5646293122124366E-5</v>
      </c>
      <c r="L1194" s="228">
        <v>3.9898297732697624E-2</v>
      </c>
    </row>
    <row r="1195" spans="1:12" s="212" customFormat="1" ht="15.5" x14ac:dyDescent="0.35">
      <c r="A1195" s="198" t="s">
        <v>835</v>
      </c>
      <c r="B1195" s="197">
        <v>2023</v>
      </c>
      <c r="C1195" s="213" t="s">
        <v>4400</v>
      </c>
      <c r="D1195" s="239">
        <v>1.4175727483620662E-2</v>
      </c>
      <c r="E1195" s="226">
        <v>7.431498172511615E-2</v>
      </c>
      <c r="F1195" s="226">
        <v>1.4514875278322438E-3</v>
      </c>
      <c r="G1195" s="227">
        <v>1.3368136805600626E-3</v>
      </c>
      <c r="H1195" s="226">
        <v>2.0000005732018801E-3</v>
      </c>
      <c r="I1195" s="255">
        <v>2.5162280808816162E-3</v>
      </c>
      <c r="J1195" s="256">
        <v>5.6263092625096923E-5</v>
      </c>
      <c r="K1195" s="257">
        <v>5.8807060009827905E-5</v>
      </c>
      <c r="L1195" s="228">
        <v>3.9095543686537587E-2</v>
      </c>
    </row>
    <row r="1196" spans="1:12" s="212" customFormat="1" ht="15.5" x14ac:dyDescent="0.35">
      <c r="A1196" s="198" t="s">
        <v>835</v>
      </c>
      <c r="B1196" s="197">
        <v>2024</v>
      </c>
      <c r="C1196" s="213" t="s">
        <v>4401</v>
      </c>
      <c r="D1196" s="239">
        <v>1.2530477571902385E-2</v>
      </c>
      <c r="E1196" s="226">
        <v>6.6293140804532413E-2</v>
      </c>
      <c r="F1196" s="226">
        <v>1.3794653405669139E-3</v>
      </c>
      <c r="G1196" s="227">
        <v>1.2702760948058544E-3</v>
      </c>
      <c r="H1196" s="226">
        <v>2.0000005732018801E-3</v>
      </c>
      <c r="I1196" s="255">
        <v>2.5032094361886852E-3</v>
      </c>
      <c r="J1196" s="256">
        <v>4.8767354889040615E-5</v>
      </c>
      <c r="K1196" s="257">
        <v>5.0972398275190638E-5</v>
      </c>
      <c r="L1196" s="228">
        <v>3.8260945043693956E-2</v>
      </c>
    </row>
    <row r="1197" spans="1:12" s="212" customFormat="1" ht="15.5" x14ac:dyDescent="0.35">
      <c r="A1197" s="198" t="s">
        <v>835</v>
      </c>
      <c r="B1197" s="197">
        <v>2025</v>
      </c>
      <c r="C1197" s="213" t="s">
        <v>4402</v>
      </c>
      <c r="D1197" s="239">
        <v>1.1243933890395592E-2</v>
      </c>
      <c r="E1197" s="226">
        <v>5.9684242541099157E-2</v>
      </c>
      <c r="F1197" s="226">
        <v>1.3275831221550714E-3</v>
      </c>
      <c r="G1197" s="227">
        <v>1.2223537663947604E-3</v>
      </c>
      <c r="H1197" s="226">
        <v>2.0000005732018797E-3</v>
      </c>
      <c r="I1197" s="255">
        <v>2.5043514507580595E-3</v>
      </c>
      <c r="J1197" s="256">
        <v>4.3341262213149642E-5</v>
      </c>
      <c r="K1197" s="257">
        <v>4.5300961766425713E-5</v>
      </c>
      <c r="L1197" s="228">
        <v>3.7397599751652334E-2</v>
      </c>
    </row>
    <row r="1198" spans="1:12" s="212" customFormat="1" ht="15.5" x14ac:dyDescent="0.35">
      <c r="A1198" s="198" t="s">
        <v>835</v>
      </c>
      <c r="B1198" s="197">
        <v>2026</v>
      </c>
      <c r="C1198" s="213" t="s">
        <v>4403</v>
      </c>
      <c r="D1198" s="239">
        <v>1.0134205997959805E-2</v>
      </c>
      <c r="E1198" s="226">
        <v>5.4064599406811117E-2</v>
      </c>
      <c r="F1198" s="226">
        <v>1.2710232977450192E-3</v>
      </c>
      <c r="G1198" s="227">
        <v>1.1701256851101916E-3</v>
      </c>
      <c r="H1198" s="226">
        <v>2.0000005732018797E-3</v>
      </c>
      <c r="I1198" s="255">
        <v>2.5235321118072065E-3</v>
      </c>
      <c r="J1198" s="256">
        <v>3.763472016209623E-5</v>
      </c>
      <c r="K1198" s="257">
        <v>3.9336395206228817E-5</v>
      </c>
      <c r="L1198" s="228">
        <v>3.6553668201785211E-2</v>
      </c>
    </row>
    <row r="1199" spans="1:12" s="212" customFormat="1" ht="15.5" x14ac:dyDescent="0.35">
      <c r="A1199" s="198" t="s">
        <v>835</v>
      </c>
      <c r="B1199" s="197">
        <v>2027</v>
      </c>
      <c r="C1199" s="213" t="s">
        <v>4404</v>
      </c>
      <c r="D1199" s="239">
        <v>9.1970067836346005E-3</v>
      </c>
      <c r="E1199" s="226">
        <v>4.9241557818176171E-2</v>
      </c>
      <c r="F1199" s="226">
        <v>1.2066435197964837E-3</v>
      </c>
      <c r="G1199" s="227">
        <v>1.1106820585842776E-3</v>
      </c>
      <c r="H1199" s="226">
        <v>2.0000005732018801E-3</v>
      </c>
      <c r="I1199" s="255">
        <v>2.5014982962878341E-3</v>
      </c>
      <c r="J1199" s="256">
        <v>3.125751777010468E-5</v>
      </c>
      <c r="K1199" s="257">
        <v>3.2670844020488025E-5</v>
      </c>
      <c r="L1199" s="228">
        <v>3.5752059193910134E-2</v>
      </c>
    </row>
    <row r="1200" spans="1:12" s="212" customFormat="1" ht="15.5" x14ac:dyDescent="0.35">
      <c r="A1200" s="198" t="s">
        <v>835</v>
      </c>
      <c r="B1200" s="197">
        <v>2028</v>
      </c>
      <c r="C1200" s="213" t="s">
        <v>4405</v>
      </c>
      <c r="D1200" s="239">
        <v>8.4109046783553253E-3</v>
      </c>
      <c r="E1200" s="226">
        <v>4.5193997592185425E-2</v>
      </c>
      <c r="F1200" s="226">
        <v>1.1355903703110584E-3</v>
      </c>
      <c r="G1200" s="227">
        <v>1.045148465734579E-3</v>
      </c>
      <c r="H1200" s="226">
        <v>2.0000005732018801E-3</v>
      </c>
      <c r="I1200" s="255">
        <v>2.5025927314290637E-3</v>
      </c>
      <c r="J1200" s="256">
        <v>2.6051416302652685E-5</v>
      </c>
      <c r="K1200" s="257">
        <v>2.7229345746410912E-5</v>
      </c>
      <c r="L1200" s="228">
        <v>3.5005864954355502E-2</v>
      </c>
    </row>
    <row r="1201" spans="1:12" s="212" customFormat="1" ht="15.5" x14ac:dyDescent="0.35">
      <c r="A1201" s="198" t="s">
        <v>835</v>
      </c>
      <c r="B1201" s="197">
        <v>2029</v>
      </c>
      <c r="C1201" s="213" t="s">
        <v>4406</v>
      </c>
      <c r="D1201" s="239">
        <v>7.7327951852979035E-3</v>
      </c>
      <c r="E1201" s="226">
        <v>4.174725452018975E-2</v>
      </c>
      <c r="F1201" s="226">
        <v>1.067319872189417E-3</v>
      </c>
      <c r="G1201" s="227">
        <v>9.8222132413963584E-4</v>
      </c>
      <c r="H1201" s="226">
        <v>2.0000005732018797E-3</v>
      </c>
      <c r="I1201" s="255">
        <v>2.5037659267566842E-3</v>
      </c>
      <c r="J1201" s="256">
        <v>2.2074845375680505E-5</v>
      </c>
      <c r="K1201" s="257">
        <v>2.3072971927893191E-5</v>
      </c>
      <c r="L1201" s="228">
        <v>3.4316070534229595E-2</v>
      </c>
    </row>
    <row r="1202" spans="1:12" s="212" customFormat="1" ht="15.5" x14ac:dyDescent="0.35">
      <c r="A1202" s="198" t="s">
        <v>835</v>
      </c>
      <c r="B1202" s="197">
        <v>2030</v>
      </c>
      <c r="C1202" s="213" t="s">
        <v>4407</v>
      </c>
      <c r="D1202" s="239">
        <v>7.1630694993252723E-3</v>
      </c>
      <c r="E1202" s="226">
        <v>3.8846481033803386E-2</v>
      </c>
      <c r="F1202" s="226">
        <v>1.0027768781456336E-3</v>
      </c>
      <c r="G1202" s="227">
        <v>9.2273437484072013E-4</v>
      </c>
      <c r="H1202" s="226">
        <v>2.0000005732018801E-3</v>
      </c>
      <c r="I1202" s="255">
        <v>2.5049887262080018E-3</v>
      </c>
      <c r="J1202" s="256">
        <v>1.8429099365138997E-5</v>
      </c>
      <c r="K1202" s="257">
        <v>1.9262381460513292E-5</v>
      </c>
      <c r="L1202" s="228">
        <v>3.368330708353813E-2</v>
      </c>
    </row>
    <row r="1203" spans="1:12" s="212" customFormat="1" ht="15.5" x14ac:dyDescent="0.35">
      <c r="A1203" s="198" t="s">
        <v>835</v>
      </c>
      <c r="B1203" s="197">
        <v>2031</v>
      </c>
      <c r="C1203" s="213" t="s">
        <v>4408</v>
      </c>
      <c r="D1203" s="239">
        <v>6.6666270336495845E-3</v>
      </c>
      <c r="E1203" s="226">
        <v>3.633697859313622E-2</v>
      </c>
      <c r="F1203" s="226">
        <v>9.4301275151353295E-4</v>
      </c>
      <c r="G1203" s="227">
        <v>8.6770300746588929E-4</v>
      </c>
      <c r="H1203" s="226">
        <v>2.0000005732018805E-3</v>
      </c>
      <c r="I1203" s="255">
        <v>2.5061161301857876E-3</v>
      </c>
      <c r="J1203" s="256">
        <v>1.6364082315781071E-5</v>
      </c>
      <c r="K1203" s="257">
        <v>1.7103993503560852E-5</v>
      </c>
      <c r="L1203" s="228">
        <v>3.3072235979980651E-2</v>
      </c>
    </row>
    <row r="1204" spans="1:12" s="212" customFormat="1" ht="15.5" x14ac:dyDescent="0.35">
      <c r="A1204" s="198" t="s">
        <v>835</v>
      </c>
      <c r="B1204" s="197">
        <v>2032</v>
      </c>
      <c r="C1204" s="213" t="s">
        <v>4409</v>
      </c>
      <c r="D1204" s="239">
        <v>6.2305031576359591E-3</v>
      </c>
      <c r="E1204" s="226">
        <v>3.4155532207011924E-2</v>
      </c>
      <c r="F1204" s="226">
        <v>8.8678271541825905E-4</v>
      </c>
      <c r="G1204" s="227">
        <v>8.159235926712751E-4</v>
      </c>
      <c r="H1204" s="226">
        <v>2.0000005732018801E-3</v>
      </c>
      <c r="I1204" s="255">
        <v>2.515272385376164E-3</v>
      </c>
      <c r="J1204" s="256">
        <v>1.4362889735256625E-5</v>
      </c>
      <c r="K1204" s="257">
        <v>1.5012315874705644E-5</v>
      </c>
      <c r="L1204" s="228">
        <v>3.2547291246936283E-2</v>
      </c>
    </row>
    <row r="1205" spans="1:12" s="212" customFormat="1" ht="15.5" x14ac:dyDescent="0.35">
      <c r="A1205" s="198" t="s">
        <v>835</v>
      </c>
      <c r="B1205" s="197">
        <v>2033</v>
      </c>
      <c r="C1205" s="213" t="s">
        <v>4410</v>
      </c>
      <c r="D1205" s="239">
        <v>5.8473347001702621E-3</v>
      </c>
      <c r="E1205" s="226">
        <v>3.2260106858459744E-2</v>
      </c>
      <c r="F1205" s="226">
        <v>8.3519424804923516E-4</v>
      </c>
      <c r="G1205" s="227">
        <v>7.6844321876897749E-4</v>
      </c>
      <c r="H1205" s="226">
        <v>2.0000005732018801E-3</v>
      </c>
      <c r="I1205" s="255">
        <v>2.5040224236771965E-3</v>
      </c>
      <c r="J1205" s="256">
        <v>1.3164763766465569E-5</v>
      </c>
      <c r="K1205" s="257">
        <v>1.3760015966211113E-5</v>
      </c>
      <c r="L1205" s="228">
        <v>3.207239661729077E-2</v>
      </c>
    </row>
    <row r="1206" spans="1:12" s="212" customFormat="1" ht="15.5" x14ac:dyDescent="0.35">
      <c r="A1206" s="198" t="s">
        <v>835</v>
      </c>
      <c r="B1206" s="197">
        <v>2034</v>
      </c>
      <c r="C1206" s="213" t="s">
        <v>4411</v>
      </c>
      <c r="D1206" s="239">
        <v>5.4958666593887097E-3</v>
      </c>
      <c r="E1206" s="226">
        <v>3.0595613830187249E-2</v>
      </c>
      <c r="F1206" s="226">
        <v>7.863616793449842E-4</v>
      </c>
      <c r="G1206" s="227">
        <v>7.2349803154787937E-4</v>
      </c>
      <c r="H1206" s="226">
        <v>2.0000005732018792E-3</v>
      </c>
      <c r="I1206" s="255">
        <v>2.504741861582652E-3</v>
      </c>
      <c r="J1206" s="256">
        <v>1.1998452360626514E-5</v>
      </c>
      <c r="K1206" s="257">
        <v>1.2540969134030232E-5</v>
      </c>
      <c r="L1206" s="228">
        <v>3.1645104553431461E-2</v>
      </c>
    </row>
    <row r="1207" spans="1:12" s="212" customFormat="1" ht="15.5" x14ac:dyDescent="0.35">
      <c r="A1207" s="198" t="s">
        <v>835</v>
      </c>
      <c r="B1207" s="197">
        <v>2035</v>
      </c>
      <c r="C1207" s="213" t="s">
        <v>4412</v>
      </c>
      <c r="D1207" s="239">
        <v>5.184706450031106E-3</v>
      </c>
      <c r="E1207" s="226">
        <v>2.9169300527645738E-2</v>
      </c>
      <c r="F1207" s="226">
        <v>7.4140810642132286E-4</v>
      </c>
      <c r="G1207" s="227">
        <v>6.8212507510040648E-4</v>
      </c>
      <c r="H1207" s="226">
        <v>2.0000005732018749E-3</v>
      </c>
      <c r="I1207" s="255">
        <v>2.5053574052857639E-3</v>
      </c>
      <c r="J1207" s="256">
        <v>1.0976825817347957E-5</v>
      </c>
      <c r="K1207" s="257">
        <v>1.1473149171865263E-5</v>
      </c>
      <c r="L1207" s="228">
        <v>3.12650592910277E-2</v>
      </c>
    </row>
    <row r="1208" spans="1:12" s="212" customFormat="1" ht="15.5" x14ac:dyDescent="0.35">
      <c r="A1208" s="198" t="s">
        <v>835</v>
      </c>
      <c r="B1208" s="197">
        <v>2036</v>
      </c>
      <c r="C1208" s="213" t="s">
        <v>4413</v>
      </c>
      <c r="D1208" s="239">
        <v>4.911789613746758E-3</v>
      </c>
      <c r="E1208" s="226">
        <v>2.7947068977630152E-2</v>
      </c>
      <c r="F1208" s="226">
        <v>7.0185722178199095E-4</v>
      </c>
      <c r="G1208" s="227">
        <v>6.4572530581996179E-4</v>
      </c>
      <c r="H1208" s="226">
        <v>2.0000020434211706E-3</v>
      </c>
      <c r="I1208" s="255">
        <v>2.5264360362968557E-3</v>
      </c>
      <c r="J1208" s="256">
        <v>1.0099303581332539E-5</v>
      </c>
      <c r="K1208" s="257">
        <v>1.0555949274284489E-5</v>
      </c>
      <c r="L1208" s="228">
        <v>3.0930485702284214E-2</v>
      </c>
    </row>
    <row r="1209" spans="1:12" s="212" customFormat="1" ht="15.5" x14ac:dyDescent="0.35">
      <c r="A1209" s="198" t="s">
        <v>835</v>
      </c>
      <c r="B1209" s="197">
        <v>2037</v>
      </c>
      <c r="C1209" s="213" t="s">
        <v>4414</v>
      </c>
      <c r="D1209" s="239">
        <v>4.6776525502625864E-3</v>
      </c>
      <c r="E1209" s="226">
        <v>2.6894912200479914E-2</v>
      </c>
      <c r="F1209" s="226">
        <v>6.6673681997215053E-4</v>
      </c>
      <c r="G1209" s="227">
        <v>6.1340494978044397E-4</v>
      </c>
      <c r="H1209" s="226">
        <v>2.0000020442437838E-3</v>
      </c>
      <c r="I1209" s="255">
        <v>2.5268808851673982E-3</v>
      </c>
      <c r="J1209" s="256">
        <v>9.3693017981594016E-6</v>
      </c>
      <c r="K1209" s="257">
        <v>9.7929400498111837E-6</v>
      </c>
      <c r="L1209" s="228">
        <v>3.0639226309691354E-2</v>
      </c>
    </row>
    <row r="1210" spans="1:12" s="212" customFormat="1" ht="15.5" x14ac:dyDescent="0.35">
      <c r="A1210" s="198" t="s">
        <v>835</v>
      </c>
      <c r="B1210" s="197">
        <v>2038</v>
      </c>
      <c r="C1210" s="213" t="s">
        <v>4415</v>
      </c>
      <c r="D1210" s="239">
        <v>4.4832751600268088E-3</v>
      </c>
      <c r="E1210" s="226">
        <v>2.5941765666702879E-2</v>
      </c>
      <c r="F1210" s="226">
        <v>6.3815526127264952E-4</v>
      </c>
      <c r="G1210" s="227">
        <v>5.8710479721964671E-4</v>
      </c>
      <c r="H1210" s="226">
        <v>2.0000005732018801E-3</v>
      </c>
      <c r="I1210" s="255">
        <v>2.5636806035310433E-3</v>
      </c>
      <c r="J1210" s="256">
        <v>8.8440745873925591E-6</v>
      </c>
      <c r="K1210" s="257">
        <v>9.243964395234726E-6</v>
      </c>
      <c r="L1210" s="228">
        <v>3.0388513028446282E-2</v>
      </c>
    </row>
    <row r="1211" spans="1:12" s="212" customFormat="1" ht="15.5" x14ac:dyDescent="0.35">
      <c r="A1211" s="198" t="s">
        <v>835</v>
      </c>
      <c r="B1211" s="197">
        <v>2039</v>
      </c>
      <c r="C1211" s="213" t="s">
        <v>4416</v>
      </c>
      <c r="D1211" s="239">
        <v>4.2746196647532216E-3</v>
      </c>
      <c r="E1211" s="226">
        <v>2.5040023104507262E-2</v>
      </c>
      <c r="F1211" s="226">
        <v>6.1012740218986498E-4</v>
      </c>
      <c r="G1211" s="227">
        <v>5.6131415645310279E-4</v>
      </c>
      <c r="H1211" s="226">
        <v>2.0000005732018801E-3</v>
      </c>
      <c r="I1211" s="255">
        <v>2.5640129164659453E-3</v>
      </c>
      <c r="J1211" s="256">
        <v>8.3292530587349906E-6</v>
      </c>
      <c r="K1211" s="257">
        <v>8.7058649215379524E-6</v>
      </c>
      <c r="L1211" s="228">
        <v>3.0173691799351775E-2</v>
      </c>
    </row>
    <row r="1212" spans="1:12" s="212" customFormat="1" ht="15.5" x14ac:dyDescent="0.35">
      <c r="A1212" s="198" t="s">
        <v>835</v>
      </c>
      <c r="B1212" s="197">
        <v>2040</v>
      </c>
      <c r="C1212" s="213" t="s">
        <v>4417</v>
      </c>
      <c r="D1212" s="239">
        <v>4.0868904631391817E-3</v>
      </c>
      <c r="E1212" s="226">
        <v>2.4259847862257898E-2</v>
      </c>
      <c r="F1212" s="226">
        <v>5.8560260880790996E-4</v>
      </c>
      <c r="G1212" s="227">
        <v>5.3874853113890036E-4</v>
      </c>
      <c r="H1212" s="226">
        <v>2.0000005732018801E-3</v>
      </c>
      <c r="I1212" s="255">
        <v>2.5643269189479204E-3</v>
      </c>
      <c r="J1212" s="256">
        <v>7.9190400461753177E-6</v>
      </c>
      <c r="K1212" s="257">
        <v>8.2771038968436063E-6</v>
      </c>
      <c r="L1212" s="228">
        <v>2.9992978982820231E-2</v>
      </c>
    </row>
    <row r="1213" spans="1:12" s="212" customFormat="1" ht="15.5" x14ac:dyDescent="0.35">
      <c r="A1213" s="198" t="s">
        <v>835</v>
      </c>
      <c r="B1213" s="197">
        <v>2041</v>
      </c>
      <c r="C1213" s="213" t="s">
        <v>4418</v>
      </c>
      <c r="D1213" s="239">
        <v>3.939463902283444E-3</v>
      </c>
      <c r="E1213" s="226">
        <v>2.3609407047157565E-2</v>
      </c>
      <c r="F1213" s="226">
        <v>5.6656560835440471E-4</v>
      </c>
      <c r="G1213" s="227">
        <v>5.2123169425790869E-4</v>
      </c>
      <c r="H1213" s="226">
        <v>2.0000005732018723E-3</v>
      </c>
      <c r="I1213" s="255">
        <v>2.5646404543135186E-3</v>
      </c>
      <c r="J1213" s="256">
        <v>7.5849355155034105E-6</v>
      </c>
      <c r="K1213" s="257">
        <v>7.927892641861617E-6</v>
      </c>
      <c r="L1213" s="228">
        <v>2.9843246158741607E-2</v>
      </c>
    </row>
    <row r="1214" spans="1:12" s="212" customFormat="1" ht="15.5" x14ac:dyDescent="0.35">
      <c r="A1214" s="198" t="s">
        <v>835</v>
      </c>
      <c r="B1214" s="197">
        <v>2042</v>
      </c>
      <c r="C1214" s="213" t="s">
        <v>4419</v>
      </c>
      <c r="D1214" s="239">
        <v>3.8032701675605272E-3</v>
      </c>
      <c r="E1214" s="226">
        <v>2.2971182524452786E-2</v>
      </c>
      <c r="F1214" s="226">
        <v>5.502429790374679E-4</v>
      </c>
      <c r="G1214" s="227">
        <v>5.0621340422644901E-4</v>
      </c>
      <c r="H1214" s="226">
        <v>2.0000005732018797E-3</v>
      </c>
      <c r="I1214" s="255">
        <v>2.5648904634706861E-3</v>
      </c>
      <c r="J1214" s="256">
        <v>7.322252423292362E-6</v>
      </c>
      <c r="K1214" s="257">
        <v>7.6533321858597429E-6</v>
      </c>
      <c r="L1214" s="228">
        <v>2.9716861585464081E-2</v>
      </c>
    </row>
    <row r="1215" spans="1:12" s="212" customFormat="1" ht="15.5" x14ac:dyDescent="0.35">
      <c r="A1215" s="198" t="s">
        <v>835</v>
      </c>
      <c r="B1215" s="197">
        <v>2043</v>
      </c>
      <c r="C1215" s="213" t="s">
        <v>4420</v>
      </c>
      <c r="D1215" s="239">
        <v>3.6947573510851357E-3</v>
      </c>
      <c r="E1215" s="226">
        <v>2.2413905025795641E-2</v>
      </c>
      <c r="F1215" s="226">
        <v>5.3631969989459535E-4</v>
      </c>
      <c r="G1215" s="227">
        <v>4.93403050626816E-4</v>
      </c>
      <c r="H1215" s="226">
        <v>2.0000005732018801E-3</v>
      </c>
      <c r="I1215" s="255">
        <v>2.565130475322266E-3</v>
      </c>
      <c r="J1215" s="256">
        <v>7.1063449741160468E-6</v>
      </c>
      <c r="K1215" s="257">
        <v>7.4276623599067949E-6</v>
      </c>
      <c r="L1215" s="228">
        <v>2.9612925277717049E-2</v>
      </c>
    </row>
    <row r="1216" spans="1:12" s="212" customFormat="1" ht="15.5" x14ac:dyDescent="0.35">
      <c r="A1216" s="198" t="s">
        <v>835</v>
      </c>
      <c r="B1216" s="197">
        <v>2044</v>
      </c>
      <c r="C1216" s="213" t="s">
        <v>4421</v>
      </c>
      <c r="D1216" s="239">
        <v>3.6083349388711574E-3</v>
      </c>
      <c r="E1216" s="226">
        <v>2.187808797401123E-2</v>
      </c>
      <c r="F1216" s="226">
        <v>5.2441195089125714E-4</v>
      </c>
      <c r="G1216" s="227">
        <v>4.8244734929129868E-4</v>
      </c>
      <c r="H1216" s="226">
        <v>2.0000005732018805E-3</v>
      </c>
      <c r="I1216" s="255">
        <v>2.5653388874026617E-3</v>
      </c>
      <c r="J1216" s="256">
        <v>6.9275677338399129E-6</v>
      </c>
      <c r="K1216" s="257">
        <v>7.2408016061376203E-6</v>
      </c>
      <c r="L1216" s="228">
        <v>2.952669903947883E-2</v>
      </c>
    </row>
    <row r="1217" spans="1:12" s="212" customFormat="1" ht="15.5" x14ac:dyDescent="0.35">
      <c r="A1217" s="198" t="s">
        <v>835</v>
      </c>
      <c r="B1217" s="197">
        <v>2045</v>
      </c>
      <c r="C1217" s="213" t="s">
        <v>4422</v>
      </c>
      <c r="D1217" s="239">
        <v>3.5423233657855473E-3</v>
      </c>
      <c r="E1217" s="226">
        <v>2.1370608130181545E-2</v>
      </c>
      <c r="F1217" s="226">
        <v>5.142286629559893E-4</v>
      </c>
      <c r="G1217" s="227">
        <v>4.7307879517503003E-4</v>
      </c>
      <c r="H1217" s="226">
        <v>2.0000005732018801E-3</v>
      </c>
      <c r="I1217" s="255">
        <v>2.5655383095840585E-3</v>
      </c>
      <c r="J1217" s="256">
        <v>6.7890575909519029E-6</v>
      </c>
      <c r="K1217" s="257">
        <v>7.0960286492178683E-6</v>
      </c>
      <c r="L1217" s="228">
        <v>2.9452555501221264E-2</v>
      </c>
    </row>
    <row r="1218" spans="1:12" s="212" customFormat="1" ht="15.5" x14ac:dyDescent="0.35">
      <c r="A1218" s="198" t="s">
        <v>835</v>
      </c>
      <c r="B1218" s="197">
        <v>2046</v>
      </c>
      <c r="C1218" s="213" t="s">
        <v>4423</v>
      </c>
      <c r="D1218" s="239">
        <v>3.4803720907625999E-3</v>
      </c>
      <c r="E1218" s="226">
        <v>2.0891019644352447E-2</v>
      </c>
      <c r="F1218" s="226">
        <v>5.0567847951039143E-4</v>
      </c>
      <c r="G1218" s="227">
        <v>4.6521296302956896E-4</v>
      </c>
      <c r="H1218" s="226">
        <v>2.0000005732018792E-3</v>
      </c>
      <c r="I1218" s="255">
        <v>2.5657364910691379E-3</v>
      </c>
      <c r="J1218" s="256">
        <v>6.6798747249757731E-6</v>
      </c>
      <c r="K1218" s="257">
        <v>6.9819090185340944E-6</v>
      </c>
      <c r="L1218" s="228">
        <v>2.9389980311230284E-2</v>
      </c>
    </row>
    <row r="1219" spans="1:12" s="212" customFormat="1" ht="15.5" x14ac:dyDescent="0.35">
      <c r="A1219" s="198" t="s">
        <v>835</v>
      </c>
      <c r="B1219" s="197">
        <v>2047</v>
      </c>
      <c r="C1219" s="213" t="s">
        <v>4424</v>
      </c>
      <c r="D1219" s="239">
        <v>3.4232358699000814E-3</v>
      </c>
      <c r="E1219" s="226">
        <v>2.0445180416177523E-2</v>
      </c>
      <c r="F1219" s="226">
        <v>4.9848480178714394E-4</v>
      </c>
      <c r="G1219" s="227">
        <v>4.5859489632814424E-4</v>
      </c>
      <c r="H1219" s="226">
        <v>2.0000005732018775E-3</v>
      </c>
      <c r="I1219" s="255">
        <v>2.5659367210728039E-3</v>
      </c>
      <c r="J1219" s="256">
        <v>6.5837428654430907E-6</v>
      </c>
      <c r="K1219" s="257">
        <v>6.8814305028921406E-6</v>
      </c>
      <c r="L1219" s="228">
        <v>2.9336988209796036E-2</v>
      </c>
    </row>
    <row r="1220" spans="1:12" s="212" customFormat="1" ht="15.5" x14ac:dyDescent="0.35">
      <c r="A1220" s="198" t="s">
        <v>835</v>
      </c>
      <c r="B1220" s="197">
        <v>2048</v>
      </c>
      <c r="C1220" s="213" t="s">
        <v>4425</v>
      </c>
      <c r="D1220" s="239">
        <v>3.3737958323759023E-3</v>
      </c>
      <c r="E1220" s="226">
        <v>2.0059303910327116E-2</v>
      </c>
      <c r="F1220" s="226">
        <v>4.9238498345589865E-4</v>
      </c>
      <c r="G1220" s="227">
        <v>4.5298309945730921E-4</v>
      </c>
      <c r="H1220" s="226">
        <v>2.0000005732018801E-3</v>
      </c>
      <c r="I1220" s="255">
        <v>2.5661208300099066E-3</v>
      </c>
      <c r="J1220" s="256">
        <v>6.5006104840753948E-6</v>
      </c>
      <c r="K1220" s="257">
        <v>6.794539244133508E-6</v>
      </c>
      <c r="L1220" s="228">
        <v>2.9292587973654374E-2</v>
      </c>
    </row>
    <row r="1221" spans="1:12" s="212" customFormat="1" ht="15.5" x14ac:dyDescent="0.35">
      <c r="A1221" s="198" t="s">
        <v>835</v>
      </c>
      <c r="B1221" s="197">
        <v>2049</v>
      </c>
      <c r="C1221" s="213" t="s">
        <v>4426</v>
      </c>
      <c r="D1221" s="239">
        <v>3.3646245752240421E-3</v>
      </c>
      <c r="E1221" s="226">
        <v>2.0025735373376097E-2</v>
      </c>
      <c r="F1221" s="226">
        <v>4.8880347284180076E-4</v>
      </c>
      <c r="G1221" s="227">
        <v>4.4968754778738727E-4</v>
      </c>
      <c r="H1221" s="226">
        <v>2.0000005732018805E-3</v>
      </c>
      <c r="I1221" s="255">
        <v>2.5662884032088954E-3</v>
      </c>
      <c r="J1221" s="256">
        <v>6.4368353170453629E-6</v>
      </c>
      <c r="K1221" s="257">
        <v>6.7278804470484565E-6</v>
      </c>
      <c r="L1221" s="228">
        <v>2.9253945680845567E-2</v>
      </c>
    </row>
    <row r="1222" spans="1:12" s="212" customFormat="1" ht="15.5" x14ac:dyDescent="0.35">
      <c r="A1222" s="198" t="s">
        <v>835</v>
      </c>
      <c r="B1222" s="197">
        <v>2050</v>
      </c>
      <c r="C1222" s="213" t="s">
        <v>4427</v>
      </c>
      <c r="D1222" s="239">
        <v>3.3576452752135193E-3</v>
      </c>
      <c r="E1222" s="226">
        <v>1.9995299501288831E-2</v>
      </c>
      <c r="F1222" s="226">
        <v>4.8566957164682356E-4</v>
      </c>
      <c r="G1222" s="227">
        <v>4.4679504777942641E-4</v>
      </c>
      <c r="H1222" s="226">
        <v>2.0000005732018801E-3</v>
      </c>
      <c r="I1222" s="255">
        <v>2.5665133328264611E-3</v>
      </c>
      <c r="J1222" s="256">
        <v>6.154681062713808E-6</v>
      </c>
      <c r="K1222" s="257">
        <v>6.4329684293769972E-6</v>
      </c>
      <c r="L1222" s="228">
        <v>2.9223419094092713E-2</v>
      </c>
    </row>
    <row r="1223" spans="1:12" s="212" customFormat="1" ht="15.5" x14ac:dyDescent="0.35">
      <c r="A1223" s="198" t="s">
        <v>836</v>
      </c>
      <c r="B1223" s="197">
        <v>2015</v>
      </c>
      <c r="C1223" s="213" t="s">
        <v>925</v>
      </c>
      <c r="D1223" s="239">
        <v>5.0761540503468483E-2</v>
      </c>
      <c r="E1223" s="226">
        <v>0.22784511017240502</v>
      </c>
      <c r="F1223" s="226">
        <v>1.986775254244007E-3</v>
      </c>
      <c r="G1223" s="227">
        <v>1.8350170152725321E-3</v>
      </c>
      <c r="H1223" s="226">
        <v>2.0000005732018801E-3</v>
      </c>
      <c r="I1223" s="255">
        <v>3.066327916231204E-3</v>
      </c>
      <c r="J1223" s="256">
        <v>1.503455764665786E-4</v>
      </c>
      <c r="K1223" s="257">
        <v>1.5714353628578227E-4</v>
      </c>
      <c r="L1223" s="228">
        <v>4.7098523357339765E-2</v>
      </c>
    </row>
    <row r="1224" spans="1:12" s="212" customFormat="1" ht="15.5" x14ac:dyDescent="0.35">
      <c r="A1224" s="198" t="s">
        <v>836</v>
      </c>
      <c r="B1224" s="197">
        <v>2016</v>
      </c>
      <c r="C1224" s="213" t="s">
        <v>926</v>
      </c>
      <c r="D1224" s="239">
        <v>4.4173293397426525E-2</v>
      </c>
      <c r="E1224" s="226">
        <v>0.20226747753428384</v>
      </c>
      <c r="F1224" s="226">
        <v>1.8989602001002594E-3</v>
      </c>
      <c r="G1224" s="227">
        <v>1.7530123509837811E-3</v>
      </c>
      <c r="H1224" s="226">
        <v>2.0000005732018805E-3</v>
      </c>
      <c r="I1224" s="255">
        <v>3.058588688874079E-3</v>
      </c>
      <c r="J1224" s="256">
        <v>1.3445924904815641E-4</v>
      </c>
      <c r="K1224" s="257">
        <v>1.4053889963603283E-4</v>
      </c>
      <c r="L1224" s="228">
        <v>4.6232812413169365E-2</v>
      </c>
    </row>
    <row r="1225" spans="1:12" s="212" customFormat="1" ht="15.5" x14ac:dyDescent="0.35">
      <c r="A1225" s="198" t="s">
        <v>836</v>
      </c>
      <c r="B1225" s="197">
        <v>2017</v>
      </c>
      <c r="C1225" s="213" t="s">
        <v>4428</v>
      </c>
      <c r="D1225" s="239">
        <v>3.4897630727063512E-2</v>
      </c>
      <c r="E1225" s="226">
        <v>0.16627033076344627</v>
      </c>
      <c r="F1225" s="226">
        <v>1.770395928208384E-3</v>
      </c>
      <c r="G1225" s="227">
        <v>1.6330423611696804E-3</v>
      </c>
      <c r="H1225" s="226">
        <v>2.0000005732018801E-3</v>
      </c>
      <c r="I1225" s="255">
        <v>3.0534979678324531E-3</v>
      </c>
      <c r="J1225" s="256">
        <v>1.0911967262730915E-4</v>
      </c>
      <c r="K1225" s="257">
        <v>1.1405358001214025E-4</v>
      </c>
      <c r="L1225" s="228">
        <v>4.588050501278168E-2</v>
      </c>
    </row>
    <row r="1226" spans="1:12" s="212" customFormat="1" ht="15.5" x14ac:dyDescent="0.35">
      <c r="A1226" s="198" t="s">
        <v>836</v>
      </c>
      <c r="B1226" s="197">
        <v>2018</v>
      </c>
      <c r="C1226" s="213" t="s">
        <v>4429</v>
      </c>
      <c r="D1226" s="239">
        <v>2.9728219955171262E-2</v>
      </c>
      <c r="E1226" s="226">
        <v>0.1435221962918852</v>
      </c>
      <c r="F1226" s="226">
        <v>1.7455753217016994E-3</v>
      </c>
      <c r="G1226" s="227">
        <v>1.609425771521923E-3</v>
      </c>
      <c r="H1226" s="226">
        <v>2.0000005732018801E-3</v>
      </c>
      <c r="I1226" s="255">
        <v>3.0532822929113445E-3</v>
      </c>
      <c r="J1226" s="256">
        <v>9.694857703498061E-5</v>
      </c>
      <c r="K1226" s="257">
        <v>1.0133216148556326E-4</v>
      </c>
      <c r="L1226" s="228">
        <v>4.5359577083202082E-2</v>
      </c>
    </row>
    <row r="1227" spans="1:12" s="212" customFormat="1" ht="15.5" x14ac:dyDescent="0.35">
      <c r="A1227" s="198" t="s">
        <v>836</v>
      </c>
      <c r="B1227" s="197">
        <v>2019</v>
      </c>
      <c r="C1227" s="213" t="s">
        <v>4430</v>
      </c>
      <c r="D1227" s="239">
        <v>2.5055789152357226E-2</v>
      </c>
      <c r="E1227" s="226">
        <v>0.12294853160294071</v>
      </c>
      <c r="F1227" s="226">
        <v>1.7127131943977085E-3</v>
      </c>
      <c r="G1227" s="227">
        <v>1.5779883654896609E-3</v>
      </c>
      <c r="H1227" s="226">
        <v>2.0000005732018805E-3</v>
      </c>
      <c r="I1227" s="255">
        <v>3.0548752514266723E-3</v>
      </c>
      <c r="J1227" s="256">
        <v>7.3302967462857355E-5</v>
      </c>
      <c r="K1227" s="257">
        <v>7.6617402374427141E-5</v>
      </c>
      <c r="L1227" s="228">
        <v>4.4398873265413585E-2</v>
      </c>
    </row>
    <row r="1228" spans="1:12" s="212" customFormat="1" ht="15.5" x14ac:dyDescent="0.35">
      <c r="A1228" s="198" t="s">
        <v>836</v>
      </c>
      <c r="B1228" s="197">
        <v>2020</v>
      </c>
      <c r="C1228" s="213" t="s">
        <v>4431</v>
      </c>
      <c r="D1228" s="239">
        <v>2.1884729275234056E-2</v>
      </c>
      <c r="E1228" s="226">
        <v>0.10907386314031678</v>
      </c>
      <c r="F1228" s="226">
        <v>1.6866819073932751E-3</v>
      </c>
      <c r="G1228" s="227">
        <v>1.5536660321121038E-3</v>
      </c>
      <c r="H1228" s="226">
        <v>2.0000005732018797E-3</v>
      </c>
      <c r="I1228" s="255">
        <v>3.0619967970555782E-3</v>
      </c>
      <c r="J1228" s="256">
        <v>6.6872650631525727E-5</v>
      </c>
      <c r="K1228" s="257">
        <v>6.9896335150091026E-5</v>
      </c>
      <c r="L1228" s="228">
        <v>4.4070898944589869E-2</v>
      </c>
    </row>
    <row r="1229" spans="1:12" s="212" customFormat="1" ht="15.5" x14ac:dyDescent="0.35">
      <c r="A1229" s="198" t="s">
        <v>836</v>
      </c>
      <c r="B1229" s="197">
        <v>2021</v>
      </c>
      <c r="C1229" s="213" t="s">
        <v>4432</v>
      </c>
      <c r="D1229" s="239">
        <v>1.9259276451611764E-2</v>
      </c>
      <c r="E1229" s="226">
        <v>9.6504782506994874E-2</v>
      </c>
      <c r="F1229" s="226">
        <v>1.6381188405341204E-3</v>
      </c>
      <c r="G1229" s="227">
        <v>1.5087032975920312E-3</v>
      </c>
      <c r="H1229" s="226">
        <v>2.0000005732018801E-3</v>
      </c>
      <c r="I1229" s="255">
        <v>3.0652020196325876E-3</v>
      </c>
      <c r="J1229" s="256">
        <v>6.056461466489995E-5</v>
      </c>
      <c r="K1229" s="257">
        <v>6.3303077788549501E-5</v>
      </c>
      <c r="L1229" s="228">
        <v>4.3220143701280161E-2</v>
      </c>
    </row>
    <row r="1230" spans="1:12" s="212" customFormat="1" ht="15.5" x14ac:dyDescent="0.35">
      <c r="A1230" s="198" t="s">
        <v>836</v>
      </c>
      <c r="B1230" s="197">
        <v>2022</v>
      </c>
      <c r="C1230" s="213" t="s">
        <v>4433</v>
      </c>
      <c r="D1230" s="239">
        <v>1.6626328700784385E-2</v>
      </c>
      <c r="E1230" s="226">
        <v>8.4655824624969706E-2</v>
      </c>
      <c r="F1230" s="226">
        <v>1.5783633682222248E-3</v>
      </c>
      <c r="G1230" s="227">
        <v>1.4534160341940472E-3</v>
      </c>
      <c r="H1230" s="226">
        <v>2.0000005732018801E-3</v>
      </c>
      <c r="I1230" s="255">
        <v>3.0672457352798289E-3</v>
      </c>
      <c r="J1230" s="256">
        <v>5.4656431176132572E-5</v>
      </c>
      <c r="K1230" s="257">
        <v>5.7127752459595938E-5</v>
      </c>
      <c r="L1230" s="228">
        <v>4.247166649713574E-2</v>
      </c>
    </row>
    <row r="1231" spans="1:12" s="212" customFormat="1" ht="15.5" x14ac:dyDescent="0.35">
      <c r="A1231" s="198" t="s">
        <v>836</v>
      </c>
      <c r="B1231" s="197">
        <v>2023</v>
      </c>
      <c r="C1231" s="213" t="s">
        <v>4434</v>
      </c>
      <c r="D1231" s="239">
        <v>1.4660144297407755E-2</v>
      </c>
      <c r="E1231" s="226">
        <v>7.4701353813846141E-2</v>
      </c>
      <c r="F1231" s="226">
        <v>1.5216898841050334E-3</v>
      </c>
      <c r="G1231" s="227">
        <v>1.4010609349387393E-3</v>
      </c>
      <c r="H1231" s="226">
        <v>2.0000005732018805E-3</v>
      </c>
      <c r="I1231" s="255">
        <v>3.0687479360102447E-3</v>
      </c>
      <c r="J1231" s="256">
        <v>4.8752888635108888E-5</v>
      </c>
      <c r="K1231" s="257">
        <v>5.0957277921449269E-5</v>
      </c>
      <c r="L1231" s="228">
        <v>4.1678400449782757E-2</v>
      </c>
    </row>
    <row r="1232" spans="1:12" s="212" customFormat="1" ht="15.5" x14ac:dyDescent="0.35">
      <c r="A1232" s="198" t="s">
        <v>836</v>
      </c>
      <c r="B1232" s="197">
        <v>2024</v>
      </c>
      <c r="C1232" s="213" t="s">
        <v>4435</v>
      </c>
      <c r="D1232" s="239">
        <v>1.300142152828709E-2</v>
      </c>
      <c r="E1232" s="226">
        <v>6.6312564594513901E-2</v>
      </c>
      <c r="F1232" s="226">
        <v>1.469687072526694E-3</v>
      </c>
      <c r="G1232" s="227">
        <v>1.3530210572091485E-3</v>
      </c>
      <c r="H1232" s="226">
        <v>2.0000005732018805E-3</v>
      </c>
      <c r="I1232" s="255">
        <v>3.0383565499797678E-3</v>
      </c>
      <c r="J1232" s="256">
        <v>4.3248826053588206E-5</v>
      </c>
      <c r="K1232" s="257">
        <v>4.5204346053908181E-5</v>
      </c>
      <c r="L1232" s="228">
        <v>4.0850139926087797E-2</v>
      </c>
    </row>
    <row r="1233" spans="1:12" s="212" customFormat="1" ht="15.5" x14ac:dyDescent="0.35">
      <c r="A1233" s="198" t="s">
        <v>836</v>
      </c>
      <c r="B1233" s="197">
        <v>2025</v>
      </c>
      <c r="C1233" s="213" t="s">
        <v>4436</v>
      </c>
      <c r="D1233" s="239">
        <v>1.1538897860077262E-2</v>
      </c>
      <c r="E1233" s="226">
        <v>5.9072020003592733E-2</v>
      </c>
      <c r="F1233" s="226">
        <v>1.4203437504793229E-3</v>
      </c>
      <c r="G1233" s="227">
        <v>1.3074551032009833E-3</v>
      </c>
      <c r="H1233" s="226">
        <v>2.0000005749897503E-3</v>
      </c>
      <c r="I1233" s="255">
        <v>3.0357443639001634E-3</v>
      </c>
      <c r="J1233" s="256">
        <v>3.8510052356426441E-5</v>
      </c>
      <c r="K1233" s="257">
        <v>4.0251306038157589E-5</v>
      </c>
      <c r="L1233" s="228">
        <v>3.9997189262853075E-2</v>
      </c>
    </row>
    <row r="1234" spans="1:12" s="212" customFormat="1" ht="15.5" x14ac:dyDescent="0.35">
      <c r="A1234" s="198" t="s">
        <v>836</v>
      </c>
      <c r="B1234" s="197">
        <v>2026</v>
      </c>
      <c r="C1234" s="213" t="s">
        <v>4437</v>
      </c>
      <c r="D1234" s="239">
        <v>1.0358497381694625E-2</v>
      </c>
      <c r="E1234" s="226">
        <v>5.3174186038102852E-2</v>
      </c>
      <c r="F1234" s="226">
        <v>1.368425138610145E-3</v>
      </c>
      <c r="G1234" s="227">
        <v>1.2595526708318128E-3</v>
      </c>
      <c r="H1234" s="226">
        <v>2.0000005749897499E-3</v>
      </c>
      <c r="I1234" s="255">
        <v>3.0367892531864278E-3</v>
      </c>
      <c r="J1234" s="256">
        <v>3.4288815914224809E-5</v>
      </c>
      <c r="K1234" s="257">
        <v>3.5839204015498933E-5</v>
      </c>
      <c r="L1234" s="228">
        <v>3.915475605139436E-2</v>
      </c>
    </row>
    <row r="1235" spans="1:12" s="212" customFormat="1" ht="15.5" x14ac:dyDescent="0.35">
      <c r="A1235" s="198" t="s">
        <v>836</v>
      </c>
      <c r="B1235" s="197">
        <v>2027</v>
      </c>
      <c r="C1235" s="213" t="s">
        <v>4438</v>
      </c>
      <c r="D1235" s="239">
        <v>9.4119301485517219E-3</v>
      </c>
      <c r="E1235" s="226">
        <v>4.8269268318547082E-2</v>
      </c>
      <c r="F1235" s="226">
        <v>1.3127630891402052E-3</v>
      </c>
      <c r="G1235" s="227">
        <v>1.2081624409140674E-3</v>
      </c>
      <c r="H1235" s="226">
        <v>2.0000005732018801E-3</v>
      </c>
      <c r="I1235" s="255">
        <v>3.06657951138129E-3</v>
      </c>
      <c r="J1235" s="256">
        <v>2.8879753717155304E-5</v>
      </c>
      <c r="K1235" s="257">
        <v>3.0185568028235884E-5</v>
      </c>
      <c r="L1235" s="228">
        <v>3.8343657734347468E-2</v>
      </c>
    </row>
    <row r="1236" spans="1:12" s="212" customFormat="1" ht="15.5" x14ac:dyDescent="0.35">
      <c r="A1236" s="198" t="s">
        <v>836</v>
      </c>
      <c r="B1236" s="197">
        <v>2028</v>
      </c>
      <c r="C1236" s="213" t="s">
        <v>4439</v>
      </c>
      <c r="D1236" s="239">
        <v>8.5666222612461006E-3</v>
      </c>
      <c r="E1236" s="226">
        <v>4.4095091933948803E-2</v>
      </c>
      <c r="F1236" s="226">
        <v>1.2408980188273395E-3</v>
      </c>
      <c r="G1236" s="227">
        <v>1.1419328723431728E-3</v>
      </c>
      <c r="H1236" s="226">
        <v>2.0000005732018797E-3</v>
      </c>
      <c r="I1236" s="255">
        <v>3.1146587691500802E-3</v>
      </c>
      <c r="J1236" s="256">
        <v>2.4971182611389703E-5</v>
      </c>
      <c r="K1236" s="257">
        <v>2.6100268681095029E-5</v>
      </c>
      <c r="L1236" s="228">
        <v>3.7578966688571289E-2</v>
      </c>
    </row>
    <row r="1237" spans="1:12" s="212" customFormat="1" ht="15.5" x14ac:dyDescent="0.35">
      <c r="A1237" s="198" t="s">
        <v>836</v>
      </c>
      <c r="B1237" s="197">
        <v>2029</v>
      </c>
      <c r="C1237" s="213" t="s">
        <v>4440</v>
      </c>
      <c r="D1237" s="239">
        <v>7.8569124438573699E-3</v>
      </c>
      <c r="E1237" s="226">
        <v>4.0635656236822318E-2</v>
      </c>
      <c r="F1237" s="226">
        <v>1.1704047621992327E-3</v>
      </c>
      <c r="G1237" s="227">
        <v>1.0769874947172832E-3</v>
      </c>
      <c r="H1237" s="226">
        <v>2.0000005732018797E-3</v>
      </c>
      <c r="I1237" s="255">
        <v>3.1152796228977606E-3</v>
      </c>
      <c r="J1237" s="256">
        <v>2.1649295651757073E-5</v>
      </c>
      <c r="K1237" s="257">
        <v>2.2628180733802884E-5</v>
      </c>
      <c r="L1237" s="228">
        <v>3.6864215648023051E-2</v>
      </c>
    </row>
    <row r="1238" spans="1:12" s="212" customFormat="1" ht="15.5" x14ac:dyDescent="0.35">
      <c r="A1238" s="198" t="s">
        <v>836</v>
      </c>
      <c r="B1238" s="197">
        <v>2030</v>
      </c>
      <c r="C1238" s="213" t="s">
        <v>4441</v>
      </c>
      <c r="D1238" s="239">
        <v>7.2650325065945513E-3</v>
      </c>
      <c r="E1238" s="226">
        <v>3.7784564960620853E-2</v>
      </c>
      <c r="F1238" s="226">
        <v>1.1022764697175287E-3</v>
      </c>
      <c r="G1238" s="227">
        <v>1.0142429942432637E-3</v>
      </c>
      <c r="H1238" s="226">
        <v>2.0000005732018805E-3</v>
      </c>
      <c r="I1238" s="255">
        <v>3.1158657549640281E-3</v>
      </c>
      <c r="J1238" s="256">
        <v>1.9004461363565458E-5</v>
      </c>
      <c r="K1238" s="257">
        <v>1.9863758775377588E-5</v>
      </c>
      <c r="L1238" s="228">
        <v>3.6201597766192924E-2</v>
      </c>
    </row>
    <row r="1239" spans="1:12" s="212" customFormat="1" ht="15.5" x14ac:dyDescent="0.35">
      <c r="A1239" s="198" t="s">
        <v>836</v>
      </c>
      <c r="B1239" s="197">
        <v>2031</v>
      </c>
      <c r="C1239" s="213" t="s">
        <v>4442</v>
      </c>
      <c r="D1239" s="239">
        <v>6.7533319788002852E-3</v>
      </c>
      <c r="E1239" s="226">
        <v>3.5381195496115292E-2</v>
      </c>
      <c r="F1239" s="226">
        <v>1.0369653817894158E-3</v>
      </c>
      <c r="G1239" s="227">
        <v>9.5411267637837769E-4</v>
      </c>
      <c r="H1239" s="226">
        <v>2.0000005732018797E-3</v>
      </c>
      <c r="I1239" s="255">
        <v>3.1163183596625318E-3</v>
      </c>
      <c r="J1239" s="256">
        <v>1.6972184919721774E-5</v>
      </c>
      <c r="K1239" s="257">
        <v>1.7739591808836407E-5</v>
      </c>
      <c r="L1239" s="228">
        <v>3.5586714833100351E-2</v>
      </c>
    </row>
    <row r="1240" spans="1:12" s="212" customFormat="1" ht="15.5" x14ac:dyDescent="0.35">
      <c r="A1240" s="198" t="s">
        <v>836</v>
      </c>
      <c r="B1240" s="197">
        <v>2032</v>
      </c>
      <c r="C1240" s="213" t="s">
        <v>4443</v>
      </c>
      <c r="D1240" s="239">
        <v>6.3042818274563579E-3</v>
      </c>
      <c r="E1240" s="226">
        <v>3.3334165806845784E-2</v>
      </c>
      <c r="F1240" s="226">
        <v>9.7477313032394615E-4</v>
      </c>
      <c r="G1240" s="227">
        <v>8.9686545315051521E-4</v>
      </c>
      <c r="H1240" s="226">
        <v>2.0000005732018805E-3</v>
      </c>
      <c r="I1240" s="255">
        <v>3.1166104646671226E-3</v>
      </c>
      <c r="J1240" s="256">
        <v>1.5336173783542891E-5</v>
      </c>
      <c r="K1240" s="257">
        <v>1.6029607508771426E-5</v>
      </c>
      <c r="L1240" s="228">
        <v>3.5021231537814078E-2</v>
      </c>
    </row>
    <row r="1241" spans="1:12" s="212" customFormat="1" ht="15.5" x14ac:dyDescent="0.35">
      <c r="A1241" s="198" t="s">
        <v>836</v>
      </c>
      <c r="B1241" s="197">
        <v>2033</v>
      </c>
      <c r="C1241" s="213" t="s">
        <v>4444</v>
      </c>
      <c r="D1241" s="239">
        <v>5.9152138412635362E-3</v>
      </c>
      <c r="E1241" s="226">
        <v>3.1609123436669356E-2</v>
      </c>
      <c r="F1241" s="226">
        <v>9.1663622889998899E-4</v>
      </c>
      <c r="G1241" s="227">
        <v>8.4336266197284997E-4</v>
      </c>
      <c r="H1241" s="226">
        <v>2.0000005732018801E-3</v>
      </c>
      <c r="I1241" s="255">
        <v>3.1167496564043591E-3</v>
      </c>
      <c r="J1241" s="256">
        <v>1.4102786487595615E-5</v>
      </c>
      <c r="K1241" s="257">
        <v>1.4740451912376487E-5</v>
      </c>
      <c r="L1241" s="228">
        <v>3.4501177613001414E-2</v>
      </c>
    </row>
    <row r="1242" spans="1:12" s="212" customFormat="1" ht="15.5" x14ac:dyDescent="0.35">
      <c r="A1242" s="198" t="s">
        <v>836</v>
      </c>
      <c r="B1242" s="197">
        <v>2034</v>
      </c>
      <c r="C1242" s="213" t="s">
        <v>4445</v>
      </c>
      <c r="D1242" s="239">
        <v>5.5621952348596602E-3</v>
      </c>
      <c r="E1242" s="226">
        <v>3.0089397282840703E-2</v>
      </c>
      <c r="F1242" s="226">
        <v>8.6190157190668205E-4</v>
      </c>
      <c r="G1242" s="227">
        <v>7.9298405057488927E-4</v>
      </c>
      <c r="H1242" s="226">
        <v>2.0000005732018801E-3</v>
      </c>
      <c r="I1242" s="255">
        <v>3.1167967008298193E-3</v>
      </c>
      <c r="J1242" s="256">
        <v>1.2765238798291749E-5</v>
      </c>
      <c r="K1242" s="257">
        <v>1.3342426251842276E-5</v>
      </c>
      <c r="L1242" s="228">
        <v>3.4026128716105851E-2</v>
      </c>
    </row>
    <row r="1243" spans="1:12" s="212" customFormat="1" ht="15.5" x14ac:dyDescent="0.35">
      <c r="A1243" s="198" t="s">
        <v>836</v>
      </c>
      <c r="B1243" s="197">
        <v>2035</v>
      </c>
      <c r="C1243" s="213" t="s">
        <v>4446</v>
      </c>
      <c r="D1243" s="239">
        <v>5.2537581988033166E-3</v>
      </c>
      <c r="E1243" s="226">
        <v>2.8792237458723703E-2</v>
      </c>
      <c r="F1243" s="226">
        <v>8.1176183618488179E-4</v>
      </c>
      <c r="G1243" s="227">
        <v>7.4684087837553347E-4</v>
      </c>
      <c r="H1243" s="226">
        <v>2.0000005732018797E-3</v>
      </c>
      <c r="I1243" s="255">
        <v>3.11677627267489E-3</v>
      </c>
      <c r="J1243" s="256">
        <v>1.1699198318248822E-5</v>
      </c>
      <c r="K1243" s="257">
        <v>1.222818415177637E-5</v>
      </c>
      <c r="L1243" s="228">
        <v>3.3594994469663395E-2</v>
      </c>
    </row>
    <row r="1244" spans="1:12" s="212" customFormat="1" ht="15.5" x14ac:dyDescent="0.35">
      <c r="A1244" s="198" t="s">
        <v>836</v>
      </c>
      <c r="B1244" s="197">
        <v>2036</v>
      </c>
      <c r="C1244" s="213" t="s">
        <v>4447</v>
      </c>
      <c r="D1244" s="239">
        <v>4.9983119791663817E-3</v>
      </c>
      <c r="E1244" s="226">
        <v>2.7688593262233805E-2</v>
      </c>
      <c r="F1244" s="226">
        <v>7.6927497879570868E-4</v>
      </c>
      <c r="G1244" s="227">
        <v>7.0774126622024898E-4</v>
      </c>
      <c r="H1244" s="226">
        <v>2.0000005732018801E-3</v>
      </c>
      <c r="I1244" s="255">
        <v>3.1316809102651241E-3</v>
      </c>
      <c r="J1244" s="256">
        <v>1.0813352614851531E-5</v>
      </c>
      <c r="K1244" s="257">
        <v>1.1302284436553556E-5</v>
      </c>
      <c r="L1244" s="228">
        <v>3.3208284953056486E-2</v>
      </c>
    </row>
    <row r="1245" spans="1:12" s="212" customFormat="1" ht="15.5" x14ac:dyDescent="0.35">
      <c r="A1245" s="198" t="s">
        <v>836</v>
      </c>
      <c r="B1245" s="197">
        <v>2037</v>
      </c>
      <c r="C1245" s="213" t="s">
        <v>4448</v>
      </c>
      <c r="D1245" s="239">
        <v>4.7606701364477678E-3</v>
      </c>
      <c r="E1245" s="226">
        <v>2.6714489701711055E-2</v>
      </c>
      <c r="F1245" s="226">
        <v>7.2900024090168916E-4</v>
      </c>
      <c r="G1245" s="227">
        <v>6.7067704578869418E-4</v>
      </c>
      <c r="H1245" s="226">
        <v>2.0000005732018801E-3</v>
      </c>
      <c r="I1245" s="255">
        <v>3.1315667464386246E-3</v>
      </c>
      <c r="J1245" s="256">
        <v>9.9641957713830946E-6</v>
      </c>
      <c r="K1245" s="257">
        <v>1.0414732488701152E-5</v>
      </c>
      <c r="L1245" s="228">
        <v>3.2862986390822739E-2</v>
      </c>
    </row>
    <row r="1246" spans="1:12" s="212" customFormat="1" ht="15.5" x14ac:dyDescent="0.35">
      <c r="A1246" s="198" t="s">
        <v>836</v>
      </c>
      <c r="B1246" s="197">
        <v>2038</v>
      </c>
      <c r="C1246" s="213" t="s">
        <v>4449</v>
      </c>
      <c r="D1246" s="239">
        <v>4.55731922367438E-3</v>
      </c>
      <c r="E1246" s="226">
        <v>2.5885833522112212E-2</v>
      </c>
      <c r="F1246" s="226">
        <v>6.9350915189631262E-4</v>
      </c>
      <c r="G1246" s="227">
        <v>6.380199744906932E-4</v>
      </c>
      <c r="H1246" s="226">
        <v>2.0000005732018801E-3</v>
      </c>
      <c r="I1246" s="255">
        <v>3.1314374753737377E-3</v>
      </c>
      <c r="J1246" s="256">
        <v>9.3398826737592467E-6</v>
      </c>
      <c r="K1246" s="257">
        <v>9.7621907231511046E-6</v>
      </c>
      <c r="L1246" s="228">
        <v>3.2558490384121563E-2</v>
      </c>
    </row>
    <row r="1247" spans="1:12" s="212" customFormat="1" ht="15.5" x14ac:dyDescent="0.35">
      <c r="A1247" s="198" t="s">
        <v>836</v>
      </c>
      <c r="B1247" s="197">
        <v>2039</v>
      </c>
      <c r="C1247" s="213" t="s">
        <v>4450</v>
      </c>
      <c r="D1247" s="239">
        <v>4.3587241556963807E-3</v>
      </c>
      <c r="E1247" s="226">
        <v>2.5095751480745419E-2</v>
      </c>
      <c r="F1247" s="226">
        <v>6.6198511611849082E-4</v>
      </c>
      <c r="G1247" s="227">
        <v>6.0901366081819687E-4</v>
      </c>
      <c r="H1247" s="226">
        <v>2.0000005732018801E-3</v>
      </c>
      <c r="I1247" s="255">
        <v>3.1312835671422363E-3</v>
      </c>
      <c r="J1247" s="256">
        <v>8.7976635659904487E-6</v>
      </c>
      <c r="K1247" s="257">
        <v>9.1954548733906486E-6</v>
      </c>
      <c r="L1247" s="228">
        <v>3.2285952533382782E-2</v>
      </c>
    </row>
    <row r="1248" spans="1:12" s="212" customFormat="1" ht="15.5" x14ac:dyDescent="0.35">
      <c r="A1248" s="198" t="s">
        <v>836</v>
      </c>
      <c r="B1248" s="197">
        <v>2040</v>
      </c>
      <c r="C1248" s="213" t="s">
        <v>4451</v>
      </c>
      <c r="D1248" s="239">
        <v>4.1941455478415627E-3</v>
      </c>
      <c r="E1248" s="226">
        <v>2.4444630442464869E-2</v>
      </c>
      <c r="F1248" s="226">
        <v>6.3480174637532314E-4</v>
      </c>
      <c r="G1248" s="227">
        <v>5.8400137407784596E-4</v>
      </c>
      <c r="H1248" s="226">
        <v>2.0000005732018797E-3</v>
      </c>
      <c r="I1248" s="255">
        <v>3.1311808335434226E-3</v>
      </c>
      <c r="J1248" s="256">
        <v>8.331022542101185E-6</v>
      </c>
      <c r="K1248" s="257">
        <v>8.7077144130899788E-6</v>
      </c>
      <c r="L1248" s="228">
        <v>3.20487207520294E-2</v>
      </c>
    </row>
    <row r="1249" spans="1:12" s="212" customFormat="1" ht="15.5" x14ac:dyDescent="0.35">
      <c r="A1249" s="198" t="s">
        <v>836</v>
      </c>
      <c r="B1249" s="197">
        <v>2041</v>
      </c>
      <c r="C1249" s="213" t="s">
        <v>4452</v>
      </c>
      <c r="D1249" s="239">
        <v>4.0692457654442462E-3</v>
      </c>
      <c r="E1249" s="226">
        <v>2.3914963950719497E-2</v>
      </c>
      <c r="F1249" s="226">
        <v>6.1273971814679589E-4</v>
      </c>
      <c r="G1249" s="227">
        <v>5.637011647580271E-4</v>
      </c>
      <c r="H1249" s="226">
        <v>2.0000005732018801E-3</v>
      </c>
      <c r="I1249" s="255">
        <v>3.1311090044781843E-3</v>
      </c>
      <c r="J1249" s="256">
        <v>7.9463298054946055E-6</v>
      </c>
      <c r="K1249" s="257">
        <v>8.3056275779828006E-6</v>
      </c>
      <c r="L1249" s="228">
        <v>3.1843519595736017E-2</v>
      </c>
    </row>
    <row r="1250" spans="1:12" s="212" customFormat="1" ht="15.5" x14ac:dyDescent="0.35">
      <c r="A1250" s="198" t="s">
        <v>836</v>
      </c>
      <c r="B1250" s="197">
        <v>2042</v>
      </c>
      <c r="C1250" s="213" t="s">
        <v>4453</v>
      </c>
      <c r="D1250" s="239">
        <v>3.9614058076114346E-3</v>
      </c>
      <c r="E1250" s="226">
        <v>2.3424767424365143E-2</v>
      </c>
      <c r="F1250" s="226">
        <v>5.9393495380432064E-4</v>
      </c>
      <c r="G1250" s="227">
        <v>5.463986603001696E-4</v>
      </c>
      <c r="H1250" s="226">
        <v>2.0000005732018805E-3</v>
      </c>
      <c r="I1250" s="255">
        <v>3.131029252219736E-3</v>
      </c>
      <c r="J1250" s="256">
        <v>7.6327548578557939E-6</v>
      </c>
      <c r="K1250" s="257">
        <v>7.9778741626799849E-6</v>
      </c>
      <c r="L1250" s="228">
        <v>3.1660703382955867E-2</v>
      </c>
    </row>
    <row r="1251" spans="1:12" s="212" customFormat="1" ht="15.5" x14ac:dyDescent="0.35">
      <c r="A1251" s="198" t="s">
        <v>836</v>
      </c>
      <c r="B1251" s="197">
        <v>2043</v>
      </c>
      <c r="C1251" s="213" t="s">
        <v>4454</v>
      </c>
      <c r="D1251" s="239">
        <v>3.878099229401806E-3</v>
      </c>
      <c r="E1251" s="226">
        <v>2.3009340609738825E-2</v>
      </c>
      <c r="F1251" s="226">
        <v>5.7807314496353967E-4</v>
      </c>
      <c r="G1251" s="227">
        <v>5.3180433034261533E-4</v>
      </c>
      <c r="H1251" s="226">
        <v>2.0000005732018801E-3</v>
      </c>
      <c r="I1251" s="255">
        <v>3.130977343082676E-3</v>
      </c>
      <c r="J1251" s="256">
        <v>7.3765563038466723E-6</v>
      </c>
      <c r="K1251" s="257">
        <v>7.7100914469228108E-6</v>
      </c>
      <c r="L1251" s="228">
        <v>3.1502217592548724E-2</v>
      </c>
    </row>
    <row r="1252" spans="1:12" s="212" customFormat="1" ht="15.5" x14ac:dyDescent="0.35">
      <c r="A1252" s="198" t="s">
        <v>836</v>
      </c>
      <c r="B1252" s="197">
        <v>2044</v>
      </c>
      <c r="C1252" s="213" t="s">
        <v>4455</v>
      </c>
      <c r="D1252" s="239">
        <v>3.809029358446099E-3</v>
      </c>
      <c r="E1252" s="226">
        <v>2.2603169505258362E-2</v>
      </c>
      <c r="F1252" s="226">
        <v>5.6468384034220355E-4</v>
      </c>
      <c r="G1252" s="227">
        <v>5.194851315872143E-4</v>
      </c>
      <c r="H1252" s="226">
        <v>2.0000005732018801E-3</v>
      </c>
      <c r="I1252" s="255">
        <v>3.1309062527272711E-3</v>
      </c>
      <c r="J1252" s="256">
        <v>7.165396506443303E-6</v>
      </c>
      <c r="K1252" s="257">
        <v>7.4893839404885758E-6</v>
      </c>
      <c r="L1252" s="228">
        <v>3.1358784127372911E-2</v>
      </c>
    </row>
    <row r="1253" spans="1:12" s="212" customFormat="1" ht="15.5" x14ac:dyDescent="0.35">
      <c r="A1253" s="198" t="s">
        <v>836</v>
      </c>
      <c r="B1253" s="197">
        <v>2045</v>
      </c>
      <c r="C1253" s="213" t="s">
        <v>4456</v>
      </c>
      <c r="D1253" s="239">
        <v>3.7529695093115149E-3</v>
      </c>
      <c r="E1253" s="226">
        <v>2.2211760688860098E-2</v>
      </c>
      <c r="F1253" s="226">
        <v>5.5345753880458616E-4</v>
      </c>
      <c r="G1253" s="227">
        <v>5.0915666769224489E-4</v>
      </c>
      <c r="H1253" s="226">
        <v>2.0000005732018805E-3</v>
      </c>
      <c r="I1253" s="255">
        <v>3.1308380422248581E-3</v>
      </c>
      <c r="J1253" s="256">
        <v>7.0038574697216727E-6</v>
      </c>
      <c r="K1253" s="257">
        <v>7.3205408253452564E-6</v>
      </c>
      <c r="L1253" s="228">
        <v>3.1228067169789951E-2</v>
      </c>
    </row>
    <row r="1254" spans="1:12" s="212" customFormat="1" ht="15.5" x14ac:dyDescent="0.35">
      <c r="A1254" s="198" t="s">
        <v>836</v>
      </c>
      <c r="B1254" s="197">
        <v>2046</v>
      </c>
      <c r="C1254" s="213" t="s">
        <v>4457</v>
      </c>
      <c r="D1254" s="239">
        <v>3.7006489732664283E-3</v>
      </c>
      <c r="E1254" s="226">
        <v>2.1836518687428624E-2</v>
      </c>
      <c r="F1254" s="226">
        <v>5.4416612292599968E-4</v>
      </c>
      <c r="G1254" s="227">
        <v>5.0060857108358856E-4</v>
      </c>
      <c r="H1254" s="226">
        <v>2.0000005732018801E-3</v>
      </c>
      <c r="I1254" s="255">
        <v>3.1307752039647033E-3</v>
      </c>
      <c r="J1254" s="256">
        <v>6.8759746990907957E-6</v>
      </c>
      <c r="K1254" s="257">
        <v>7.186875763297838E-6</v>
      </c>
      <c r="L1254" s="228">
        <v>3.1113078534385739E-2</v>
      </c>
    </row>
    <row r="1255" spans="1:12" s="212" customFormat="1" ht="15.5" x14ac:dyDescent="0.35">
      <c r="A1255" s="198" t="s">
        <v>836</v>
      </c>
      <c r="B1255" s="197">
        <v>2047</v>
      </c>
      <c r="C1255" s="213" t="s">
        <v>4458</v>
      </c>
      <c r="D1255" s="239">
        <v>3.6542751913344741E-3</v>
      </c>
      <c r="E1255" s="226">
        <v>2.1497133260915638E-2</v>
      </c>
      <c r="F1255" s="226">
        <v>5.3655315293184031E-4</v>
      </c>
      <c r="G1255" s="227">
        <v>4.9360452644521937E-4</v>
      </c>
      <c r="H1255" s="226">
        <v>2.0000005732018797E-3</v>
      </c>
      <c r="I1255" s="255">
        <v>3.1307378024158974E-3</v>
      </c>
      <c r="J1255" s="256">
        <v>6.7681863304734965E-6</v>
      </c>
      <c r="K1255" s="257">
        <v>7.0742136829554746E-6</v>
      </c>
      <c r="L1255" s="228">
        <v>3.1011346048298701E-2</v>
      </c>
    </row>
    <row r="1256" spans="1:12" s="212" customFormat="1" ht="15.5" x14ac:dyDescent="0.35">
      <c r="A1256" s="198" t="s">
        <v>836</v>
      </c>
      <c r="B1256" s="197">
        <v>2048</v>
      </c>
      <c r="C1256" s="213" t="s">
        <v>4459</v>
      </c>
      <c r="D1256" s="239">
        <v>3.6171051697112618E-3</v>
      </c>
      <c r="E1256" s="226">
        <v>2.1228823776504625E-2</v>
      </c>
      <c r="F1256" s="226">
        <v>5.3037244449727784E-4</v>
      </c>
      <c r="G1256" s="227">
        <v>4.8791824958592625E-4</v>
      </c>
      <c r="H1256" s="226">
        <v>2.0000005732018801E-3</v>
      </c>
      <c r="I1256" s="255">
        <v>3.1307262676091726E-3</v>
      </c>
      <c r="J1256" s="256">
        <v>6.6823712840702463E-6</v>
      </c>
      <c r="K1256" s="257">
        <v>6.9845184609525049E-6</v>
      </c>
      <c r="L1256" s="228">
        <v>3.0922048797552469E-2</v>
      </c>
    </row>
    <row r="1257" spans="1:12" s="212" customFormat="1" ht="15.5" x14ac:dyDescent="0.35">
      <c r="A1257" s="198" t="s">
        <v>836</v>
      </c>
      <c r="B1257" s="197">
        <v>2049</v>
      </c>
      <c r="C1257" s="213" t="s">
        <v>4460</v>
      </c>
      <c r="D1257" s="239">
        <v>3.6082387327497647E-3</v>
      </c>
      <c r="E1257" s="226">
        <v>2.1198446339419134E-2</v>
      </c>
      <c r="F1257" s="226">
        <v>5.2632065580493481E-4</v>
      </c>
      <c r="G1257" s="227">
        <v>4.8419019270270439E-4</v>
      </c>
      <c r="H1257" s="226">
        <v>2.0000005732018801E-3</v>
      </c>
      <c r="I1257" s="255">
        <v>3.1307180307284187E-3</v>
      </c>
      <c r="J1257" s="256">
        <v>6.6159813299999793E-6</v>
      </c>
      <c r="K1257" s="257">
        <v>6.9151266477602128E-6</v>
      </c>
      <c r="L1257" s="228">
        <v>3.0841483193306103E-2</v>
      </c>
    </row>
    <row r="1258" spans="1:12" s="212" customFormat="1" ht="15.5" x14ac:dyDescent="0.35">
      <c r="A1258" s="198" t="s">
        <v>836</v>
      </c>
      <c r="B1258" s="197">
        <v>2050</v>
      </c>
      <c r="C1258" s="213" t="s">
        <v>4461</v>
      </c>
      <c r="D1258" s="239">
        <v>3.6014553476723188E-3</v>
      </c>
      <c r="E1258" s="226">
        <v>2.1174686261165428E-2</v>
      </c>
      <c r="F1258" s="226">
        <v>5.2302074817787525E-4</v>
      </c>
      <c r="G1258" s="227">
        <v>4.8115181754469245E-4</v>
      </c>
      <c r="H1258" s="226">
        <v>2.0000005732018801E-3</v>
      </c>
      <c r="I1258" s="255">
        <v>3.1307511834076625E-3</v>
      </c>
      <c r="J1258" s="256">
        <v>6.5073675809775398E-6</v>
      </c>
      <c r="K1258" s="257">
        <v>6.801601866973362E-6</v>
      </c>
      <c r="L1258" s="228">
        <v>3.0773928127740068E-2</v>
      </c>
    </row>
    <row r="1259" spans="1:12" s="212" customFormat="1" ht="15.5" x14ac:dyDescent="0.35">
      <c r="A1259" s="198" t="s">
        <v>837</v>
      </c>
      <c r="B1259" s="197">
        <v>2015</v>
      </c>
      <c r="C1259" s="213" t="s">
        <v>927</v>
      </c>
      <c r="D1259" s="239">
        <v>5.4015838436733972E-2</v>
      </c>
      <c r="E1259" s="226">
        <v>0.27411762733387085</v>
      </c>
      <c r="F1259" s="226">
        <v>2.0028333815889109E-3</v>
      </c>
      <c r="G1259" s="227">
        <v>1.8521832525807886E-3</v>
      </c>
      <c r="H1259" s="226">
        <v>2.0000005732018801E-3</v>
      </c>
      <c r="I1259" s="255">
        <v>2.9392854371571311E-3</v>
      </c>
      <c r="J1259" s="256">
        <v>1.9483655540329054E-4</v>
      </c>
      <c r="K1259" s="257">
        <v>2.0364619986421755E-4</v>
      </c>
      <c r="L1259" s="228">
        <v>4.5717066077716972E-2</v>
      </c>
    </row>
    <row r="1260" spans="1:12" s="212" customFormat="1" ht="15.5" x14ac:dyDescent="0.35">
      <c r="A1260" s="198" t="s">
        <v>837</v>
      </c>
      <c r="B1260" s="197">
        <v>2016</v>
      </c>
      <c r="C1260" s="213" t="s">
        <v>928</v>
      </c>
      <c r="D1260" s="239">
        <v>5.0544815057568533E-2</v>
      </c>
      <c r="E1260" s="226">
        <v>0.24884724822635088</v>
      </c>
      <c r="F1260" s="226">
        <v>2.0597183461379355E-3</v>
      </c>
      <c r="G1260" s="227">
        <v>1.903138304021709E-3</v>
      </c>
      <c r="H1260" s="226">
        <v>2.0000005732018801E-3</v>
      </c>
      <c r="I1260" s="255">
        <v>3.4210223749211554E-3</v>
      </c>
      <c r="J1260" s="256">
        <v>1.8229698297985271E-4</v>
      </c>
      <c r="K1260" s="257">
        <v>1.9053964361932056E-4</v>
      </c>
      <c r="L1260" s="228">
        <v>4.4847686560198476E-2</v>
      </c>
    </row>
    <row r="1261" spans="1:12" s="212" customFormat="1" ht="15.5" x14ac:dyDescent="0.35">
      <c r="A1261" s="198" t="s">
        <v>837</v>
      </c>
      <c r="B1261" s="197">
        <v>2017</v>
      </c>
      <c r="C1261" s="213" t="s">
        <v>4462</v>
      </c>
      <c r="D1261" s="239">
        <v>3.9722003525482275E-2</v>
      </c>
      <c r="E1261" s="226">
        <v>0.20260605947310564</v>
      </c>
      <c r="F1261" s="226">
        <v>1.8969609897183225E-3</v>
      </c>
      <c r="G1261" s="227">
        <v>1.7510365170714662E-3</v>
      </c>
      <c r="H1261" s="226">
        <v>2.0000005732018797E-3</v>
      </c>
      <c r="I1261" s="255">
        <v>3.414284081626885E-3</v>
      </c>
      <c r="J1261" s="256">
        <v>1.4327791148303968E-4</v>
      </c>
      <c r="K1261" s="257">
        <v>1.4975630285398673E-4</v>
      </c>
      <c r="L1261" s="228">
        <v>4.4533279197854207E-2</v>
      </c>
    </row>
    <row r="1262" spans="1:12" s="212" customFormat="1" ht="15.5" x14ac:dyDescent="0.35">
      <c r="A1262" s="198" t="s">
        <v>837</v>
      </c>
      <c r="B1262" s="197">
        <v>2018</v>
      </c>
      <c r="C1262" s="213" t="s">
        <v>4463</v>
      </c>
      <c r="D1262" s="239">
        <v>3.3186588242776371E-2</v>
      </c>
      <c r="E1262" s="226">
        <v>0.17492027276153829</v>
      </c>
      <c r="F1262" s="226">
        <v>1.8462393097057835E-3</v>
      </c>
      <c r="G1262" s="227">
        <v>1.7029372432349336E-3</v>
      </c>
      <c r="H1262" s="226">
        <v>2.0000005732018801E-3</v>
      </c>
      <c r="I1262" s="255">
        <v>3.4105257557935208E-3</v>
      </c>
      <c r="J1262" s="256">
        <v>1.2163800783131821E-4</v>
      </c>
      <c r="K1262" s="257">
        <v>1.2713793878478465E-4</v>
      </c>
      <c r="L1262" s="228">
        <v>4.3961544347552159E-2</v>
      </c>
    </row>
    <row r="1263" spans="1:12" s="212" customFormat="1" ht="15.5" x14ac:dyDescent="0.35">
      <c r="A1263" s="198" t="s">
        <v>837</v>
      </c>
      <c r="B1263" s="197">
        <v>2019</v>
      </c>
      <c r="C1263" s="213" t="s">
        <v>4464</v>
      </c>
      <c r="D1263" s="239">
        <v>2.7347803364167218E-2</v>
      </c>
      <c r="E1263" s="226">
        <v>0.14571203168310723</v>
      </c>
      <c r="F1263" s="226">
        <v>1.8209501866311712E-3</v>
      </c>
      <c r="G1263" s="227">
        <v>1.6791845283440161E-3</v>
      </c>
      <c r="H1263" s="226">
        <v>2.0000005732018801E-3</v>
      </c>
      <c r="I1263" s="255">
        <v>3.4093319207199337E-3</v>
      </c>
      <c r="J1263" s="256">
        <v>1.1833786112526685E-4</v>
      </c>
      <c r="K1263" s="257">
        <v>1.2368857408886981E-4</v>
      </c>
      <c r="L1263" s="228">
        <v>4.3213209495556341E-2</v>
      </c>
    </row>
    <row r="1264" spans="1:12" s="212" customFormat="1" ht="15.5" x14ac:dyDescent="0.35">
      <c r="A1264" s="198" t="s">
        <v>837</v>
      </c>
      <c r="B1264" s="197">
        <v>2020</v>
      </c>
      <c r="C1264" s="213" t="s">
        <v>4465</v>
      </c>
      <c r="D1264" s="239">
        <v>2.3635711646387073E-2</v>
      </c>
      <c r="E1264" s="226">
        <v>0.12778457509113783</v>
      </c>
      <c r="F1264" s="226">
        <v>1.7767097515967161E-3</v>
      </c>
      <c r="G1264" s="227">
        <v>1.6380778002738517E-3</v>
      </c>
      <c r="H1264" s="226">
        <v>2.000000573201881E-3</v>
      </c>
      <c r="I1264" s="255">
        <v>3.4141956595845689E-3</v>
      </c>
      <c r="J1264" s="256">
        <v>1.104477634422385E-4</v>
      </c>
      <c r="K1264" s="257">
        <v>1.1544172120040493E-4</v>
      </c>
      <c r="L1264" s="228">
        <v>4.2880901243111211E-2</v>
      </c>
    </row>
    <row r="1265" spans="1:12" s="212" customFormat="1" ht="15.5" x14ac:dyDescent="0.35">
      <c r="A1265" s="198" t="s">
        <v>837</v>
      </c>
      <c r="B1265" s="197">
        <v>2021</v>
      </c>
      <c r="C1265" s="213" t="s">
        <v>4466</v>
      </c>
      <c r="D1265" s="239">
        <v>2.0585448024950943E-2</v>
      </c>
      <c r="E1265" s="226">
        <v>0.11167250878421189</v>
      </c>
      <c r="F1265" s="226">
        <v>1.7063989115151728E-3</v>
      </c>
      <c r="G1265" s="227">
        <v>1.573069004005935E-3</v>
      </c>
      <c r="H1265" s="226">
        <v>2.0000005732018797E-3</v>
      </c>
      <c r="I1265" s="255">
        <v>3.4164772327585952E-3</v>
      </c>
      <c r="J1265" s="256">
        <v>1.0253524633759643E-4</v>
      </c>
      <c r="K1265" s="257">
        <v>1.0717143518356543E-4</v>
      </c>
      <c r="L1265" s="228">
        <v>4.2032602199462851E-2</v>
      </c>
    </row>
    <row r="1266" spans="1:12" s="212" customFormat="1" ht="15.5" x14ac:dyDescent="0.35">
      <c r="A1266" s="198" t="s">
        <v>837</v>
      </c>
      <c r="B1266" s="197">
        <v>2022</v>
      </c>
      <c r="C1266" s="213" t="s">
        <v>4467</v>
      </c>
      <c r="D1266" s="239">
        <v>1.7747579734710823E-2</v>
      </c>
      <c r="E1266" s="226">
        <v>9.6949894723979149E-2</v>
      </c>
      <c r="F1266" s="226">
        <v>1.6278547266248779E-3</v>
      </c>
      <c r="G1266" s="227">
        <v>1.5003856154647563E-3</v>
      </c>
      <c r="H1266" s="226">
        <v>2.0000005732018801E-3</v>
      </c>
      <c r="I1266" s="255">
        <v>3.4153632882744775E-3</v>
      </c>
      <c r="J1266" s="256">
        <v>9.2336550393229478E-5</v>
      </c>
      <c r="K1266" s="257">
        <v>9.6511599464637297E-5</v>
      </c>
      <c r="L1266" s="228">
        <v>4.1292644117961137E-2</v>
      </c>
    </row>
    <row r="1267" spans="1:12" s="212" customFormat="1" ht="15.5" x14ac:dyDescent="0.35">
      <c r="A1267" s="198" t="s">
        <v>837</v>
      </c>
      <c r="B1267" s="197">
        <v>2023</v>
      </c>
      <c r="C1267" s="213" t="s">
        <v>4468</v>
      </c>
      <c r="D1267" s="239">
        <v>1.5447944744761829E-2</v>
      </c>
      <c r="E1267" s="226">
        <v>8.4341590187747797E-2</v>
      </c>
      <c r="F1267" s="226">
        <v>1.5540331866859978E-3</v>
      </c>
      <c r="G1267" s="227">
        <v>1.4320981963265524E-3</v>
      </c>
      <c r="H1267" s="226">
        <v>2.0000005732018801E-3</v>
      </c>
      <c r="I1267" s="255">
        <v>3.4139335316328862E-3</v>
      </c>
      <c r="J1267" s="256">
        <v>8.2200417597271357E-5</v>
      </c>
      <c r="K1267" s="257">
        <v>8.5917155722069121E-5</v>
      </c>
      <c r="L1267" s="228">
        <v>4.0510709581156816E-2</v>
      </c>
    </row>
    <row r="1268" spans="1:12" s="212" customFormat="1" ht="15.5" x14ac:dyDescent="0.35">
      <c r="A1268" s="198" t="s">
        <v>837</v>
      </c>
      <c r="B1268" s="197">
        <v>2024</v>
      </c>
      <c r="C1268" s="213" t="s">
        <v>4469</v>
      </c>
      <c r="D1268" s="239">
        <v>1.348878209248356E-2</v>
      </c>
      <c r="E1268" s="226">
        <v>7.3659166681246932E-2</v>
      </c>
      <c r="F1268" s="226">
        <v>1.4850347879304159E-3</v>
      </c>
      <c r="G1268" s="227">
        <v>1.3682452244540386E-3</v>
      </c>
      <c r="H1268" s="226">
        <v>2.0000005732018801E-3</v>
      </c>
      <c r="I1268" s="255">
        <v>3.4128170247661434E-3</v>
      </c>
      <c r="J1268" s="256">
        <v>7.2057657086214885E-5</v>
      </c>
      <c r="K1268" s="257">
        <v>7.5315784588535884E-5</v>
      </c>
      <c r="L1268" s="228">
        <v>3.9695195913373067E-2</v>
      </c>
    </row>
    <row r="1269" spans="1:12" s="212" customFormat="1" ht="15.5" x14ac:dyDescent="0.35">
      <c r="A1269" s="198" t="s">
        <v>837</v>
      </c>
      <c r="B1269" s="197">
        <v>2025</v>
      </c>
      <c r="C1269" s="213" t="s">
        <v>4470</v>
      </c>
      <c r="D1269" s="239">
        <v>1.1866317353351009E-2</v>
      </c>
      <c r="E1269" s="226">
        <v>6.4793862275824204E-2</v>
      </c>
      <c r="F1269" s="226">
        <v>1.4259265336624923E-3</v>
      </c>
      <c r="G1269" s="227">
        <v>1.3136008613691542E-3</v>
      </c>
      <c r="H1269" s="226">
        <v>2.0000005732018801E-3</v>
      </c>
      <c r="I1269" s="255">
        <v>3.4119710146174949E-3</v>
      </c>
      <c r="J1269" s="256">
        <v>6.4511761506004677E-5</v>
      </c>
      <c r="K1269" s="257">
        <v>6.7428697094604228E-5</v>
      </c>
      <c r="L1269" s="228">
        <v>3.8852570302197874E-2</v>
      </c>
    </row>
    <row r="1270" spans="1:12" s="212" customFormat="1" ht="15.5" x14ac:dyDescent="0.35">
      <c r="A1270" s="198" t="s">
        <v>837</v>
      </c>
      <c r="B1270" s="197">
        <v>2026</v>
      </c>
      <c r="C1270" s="213" t="s">
        <v>4471</v>
      </c>
      <c r="D1270" s="239">
        <v>1.0527513642618813E-2</v>
      </c>
      <c r="E1270" s="226">
        <v>5.7507867404610669E-2</v>
      </c>
      <c r="F1270" s="226">
        <v>1.3672983481282518E-3</v>
      </c>
      <c r="G1270" s="227">
        <v>1.2594768561250374E-3</v>
      </c>
      <c r="H1270" s="226">
        <v>2.0000005732018801E-3</v>
      </c>
      <c r="I1270" s="255">
        <v>3.4112712497678522E-3</v>
      </c>
      <c r="J1270" s="256">
        <v>5.8937418008466127E-5</v>
      </c>
      <c r="K1270" s="257">
        <v>6.160230651989002E-5</v>
      </c>
      <c r="L1270" s="228">
        <v>3.8024272941302728E-2</v>
      </c>
    </row>
    <row r="1271" spans="1:12" s="212" customFormat="1" ht="15.5" x14ac:dyDescent="0.35">
      <c r="A1271" s="198" t="s">
        <v>837</v>
      </c>
      <c r="B1271" s="197">
        <v>2027</v>
      </c>
      <c r="C1271" s="213" t="s">
        <v>4472</v>
      </c>
      <c r="D1271" s="239">
        <v>9.4036766004554212E-3</v>
      </c>
      <c r="E1271" s="226">
        <v>5.1394128967770659E-2</v>
      </c>
      <c r="F1271" s="226">
        <v>1.2938973575609899E-3</v>
      </c>
      <c r="G1271" s="227">
        <v>1.191505064534902E-3</v>
      </c>
      <c r="H1271" s="226">
        <v>2.0000005732018805E-3</v>
      </c>
      <c r="I1271" s="255">
        <v>3.4105061305898291E-3</v>
      </c>
      <c r="J1271" s="256">
        <v>4.6562418942656532E-5</v>
      </c>
      <c r="K1271" s="257">
        <v>4.8667764909569488E-5</v>
      </c>
      <c r="L1271" s="228">
        <v>3.7231303444622672E-2</v>
      </c>
    </row>
    <row r="1272" spans="1:12" s="212" customFormat="1" ht="15.5" x14ac:dyDescent="0.35">
      <c r="A1272" s="198" t="s">
        <v>837</v>
      </c>
      <c r="B1272" s="197">
        <v>2028</v>
      </c>
      <c r="C1272" s="213" t="s">
        <v>4473</v>
      </c>
      <c r="D1272" s="239">
        <v>8.4931752964552531E-3</v>
      </c>
      <c r="E1272" s="226">
        <v>4.646449382491348E-2</v>
      </c>
      <c r="F1272" s="226">
        <v>1.2197167833105237E-3</v>
      </c>
      <c r="G1272" s="227">
        <v>1.1230287857403897E-3</v>
      </c>
      <c r="H1272" s="226">
        <v>2.0000005732018797E-3</v>
      </c>
      <c r="I1272" s="255">
        <v>3.4100431611021041E-3</v>
      </c>
      <c r="J1272" s="256">
        <v>3.9633284450006218E-5</v>
      </c>
      <c r="K1272" s="257">
        <v>4.1425325702740369E-5</v>
      </c>
      <c r="L1272" s="228">
        <v>3.648776254601413E-2</v>
      </c>
    </row>
    <row r="1273" spans="1:12" s="212" customFormat="1" ht="15.5" x14ac:dyDescent="0.35">
      <c r="A1273" s="198" t="s">
        <v>837</v>
      </c>
      <c r="B1273" s="197">
        <v>2029</v>
      </c>
      <c r="C1273" s="213" t="s">
        <v>4474</v>
      </c>
      <c r="D1273" s="239">
        <v>7.7382910640405068E-3</v>
      </c>
      <c r="E1273" s="226">
        <v>4.2424321760200515E-2</v>
      </c>
      <c r="F1273" s="226">
        <v>1.1485925321885217E-3</v>
      </c>
      <c r="G1273" s="227">
        <v>1.0574516715840488E-3</v>
      </c>
      <c r="H1273" s="226">
        <v>2.0000005732018805E-3</v>
      </c>
      <c r="I1273" s="255">
        <v>3.4097645462173864E-3</v>
      </c>
      <c r="J1273" s="256">
        <v>3.4988076533613544E-5</v>
      </c>
      <c r="K1273" s="257">
        <v>3.6570082097173241E-5</v>
      </c>
      <c r="L1273" s="228">
        <v>3.5795725275184057E-2</v>
      </c>
    </row>
    <row r="1274" spans="1:12" s="212" customFormat="1" ht="15.5" x14ac:dyDescent="0.35">
      <c r="A1274" s="198" t="s">
        <v>837</v>
      </c>
      <c r="B1274" s="197">
        <v>2030</v>
      </c>
      <c r="C1274" s="213" t="s">
        <v>4475</v>
      </c>
      <c r="D1274" s="239">
        <v>7.102757057961589E-3</v>
      </c>
      <c r="E1274" s="226">
        <v>3.9077874012303351E-2</v>
      </c>
      <c r="F1274" s="226">
        <v>1.0793558307793376E-3</v>
      </c>
      <c r="G1274" s="227">
        <v>9.9360023593332504E-4</v>
      </c>
      <c r="H1274" s="226">
        <v>2.0000005732018801E-3</v>
      </c>
      <c r="I1274" s="255">
        <v>3.4097484047323811E-3</v>
      </c>
      <c r="J1274" s="256">
        <v>3.0089966811790517E-5</v>
      </c>
      <c r="K1274" s="257">
        <v>3.1450501588769507E-5</v>
      </c>
      <c r="L1274" s="228">
        <v>3.5158315048147863E-2</v>
      </c>
    </row>
    <row r="1275" spans="1:12" s="212" customFormat="1" ht="15.5" x14ac:dyDescent="0.35">
      <c r="A1275" s="198" t="s">
        <v>837</v>
      </c>
      <c r="B1275" s="197">
        <v>2031</v>
      </c>
      <c r="C1275" s="213" t="s">
        <v>4476</v>
      </c>
      <c r="D1275" s="239">
        <v>6.574203451650028E-3</v>
      </c>
      <c r="E1275" s="226">
        <v>3.6352552956748274E-2</v>
      </c>
      <c r="F1275" s="226">
        <v>1.0141510587515833E-3</v>
      </c>
      <c r="G1275" s="227">
        <v>9.334753334221044E-4</v>
      </c>
      <c r="H1275" s="226">
        <v>2.0000005732018805E-3</v>
      </c>
      <c r="I1275" s="255">
        <v>3.4098087788996144E-3</v>
      </c>
      <c r="J1275" s="256">
        <v>2.5687788265052359E-5</v>
      </c>
      <c r="K1275" s="257">
        <v>2.6849276062525839E-5</v>
      </c>
      <c r="L1275" s="228">
        <v>3.4572811053108055E-2</v>
      </c>
    </row>
    <row r="1276" spans="1:12" s="212" customFormat="1" ht="15.5" x14ac:dyDescent="0.35">
      <c r="A1276" s="198" t="s">
        <v>837</v>
      </c>
      <c r="B1276" s="197">
        <v>2032</v>
      </c>
      <c r="C1276" s="213" t="s">
        <v>4477</v>
      </c>
      <c r="D1276" s="239">
        <v>6.1186421398805122E-3</v>
      </c>
      <c r="E1276" s="226">
        <v>3.4079015800691469E-2</v>
      </c>
      <c r="F1276" s="226">
        <v>9.5268228162495735E-4</v>
      </c>
      <c r="G1276" s="227">
        <v>8.7680734268894131E-4</v>
      </c>
      <c r="H1276" s="226">
        <v>2.0000005732018801E-3</v>
      </c>
      <c r="I1276" s="255">
        <v>3.4098508545098985E-3</v>
      </c>
      <c r="J1276" s="256">
        <v>2.184517761443463E-5</v>
      </c>
      <c r="K1276" s="257">
        <v>2.2832919609619378E-5</v>
      </c>
      <c r="L1276" s="228">
        <v>3.4037551139130942E-2</v>
      </c>
    </row>
    <row r="1277" spans="1:12" s="212" customFormat="1" ht="15.5" x14ac:dyDescent="0.35">
      <c r="A1277" s="198" t="s">
        <v>837</v>
      </c>
      <c r="B1277" s="197">
        <v>2033</v>
      </c>
      <c r="C1277" s="213" t="s">
        <v>4478</v>
      </c>
      <c r="D1277" s="239">
        <v>5.7246123823694213E-3</v>
      </c>
      <c r="E1277" s="226">
        <v>3.218185610426965E-2</v>
      </c>
      <c r="F1277" s="226">
        <v>8.9611327157176673E-4</v>
      </c>
      <c r="G1277" s="227">
        <v>8.2470561244435815E-4</v>
      </c>
      <c r="H1277" s="226">
        <v>2.0000005732018797E-3</v>
      </c>
      <c r="I1277" s="255">
        <v>3.4098729449292021E-3</v>
      </c>
      <c r="J1277" s="256">
        <v>1.9570868408322951E-5</v>
      </c>
      <c r="K1277" s="257">
        <v>2.0455776233304935E-5</v>
      </c>
      <c r="L1277" s="228">
        <v>3.3550742396481384E-2</v>
      </c>
    </row>
    <row r="1278" spans="1:12" s="212" customFormat="1" ht="15.5" x14ac:dyDescent="0.35">
      <c r="A1278" s="198" t="s">
        <v>837</v>
      </c>
      <c r="B1278" s="197">
        <v>2034</v>
      </c>
      <c r="C1278" s="213" t="s">
        <v>4479</v>
      </c>
      <c r="D1278" s="239">
        <v>5.3727560379992403E-3</v>
      </c>
      <c r="E1278" s="226">
        <v>3.0556075433043877E-2</v>
      </c>
      <c r="F1278" s="226">
        <v>8.4291035602661562E-4</v>
      </c>
      <c r="G1278" s="227">
        <v>7.7571000503534138E-4</v>
      </c>
      <c r="H1278" s="226">
        <v>2.0000005732018801E-3</v>
      </c>
      <c r="I1278" s="255">
        <v>3.409832898919541E-3</v>
      </c>
      <c r="J1278" s="256">
        <v>1.7582040909830731E-5</v>
      </c>
      <c r="K1278" s="257">
        <v>1.8377022780622234E-5</v>
      </c>
      <c r="L1278" s="228">
        <v>3.3109101027937446E-2</v>
      </c>
    </row>
    <row r="1279" spans="1:12" s="212" customFormat="1" ht="15.5" x14ac:dyDescent="0.35">
      <c r="A1279" s="198" t="s">
        <v>837</v>
      </c>
      <c r="B1279" s="197">
        <v>2035</v>
      </c>
      <c r="C1279" s="213" t="s">
        <v>4480</v>
      </c>
      <c r="D1279" s="239">
        <v>5.0681855968177612E-3</v>
      </c>
      <c r="E1279" s="226">
        <v>2.9200975669031331E-2</v>
      </c>
      <c r="F1279" s="226">
        <v>7.9370650803535763E-4</v>
      </c>
      <c r="G1279" s="227">
        <v>7.3040047231672195E-4</v>
      </c>
      <c r="H1279" s="226">
        <v>2.0000005732018805E-3</v>
      </c>
      <c r="I1279" s="255">
        <v>3.4097674479526365E-3</v>
      </c>
      <c r="J1279" s="256">
        <v>1.5826247854480833E-5</v>
      </c>
      <c r="K1279" s="257">
        <v>1.6541840554525709E-5</v>
      </c>
      <c r="L1279" s="228">
        <v>3.2711120209385443E-2</v>
      </c>
    </row>
    <row r="1280" spans="1:12" s="212" customFormat="1" ht="15.5" x14ac:dyDescent="0.35">
      <c r="A1280" s="198" t="s">
        <v>837</v>
      </c>
      <c r="B1280" s="197">
        <v>2036</v>
      </c>
      <c r="C1280" s="213" t="s">
        <v>4481</v>
      </c>
      <c r="D1280" s="239">
        <v>4.8791069588315049E-3</v>
      </c>
      <c r="E1280" s="226">
        <v>2.8122775892498831E-2</v>
      </c>
      <c r="F1280" s="226">
        <v>7.6150353259192647E-4</v>
      </c>
      <c r="G1280" s="227">
        <v>7.0073044564374564E-4</v>
      </c>
      <c r="H1280" s="226">
        <v>2.0000005732018801E-3</v>
      </c>
      <c r="I1280" s="255">
        <v>3.2844684118625389E-3</v>
      </c>
      <c r="J1280" s="256">
        <v>1.4271448373276756E-5</v>
      </c>
      <c r="K1280" s="257">
        <v>1.4916739940102123E-5</v>
      </c>
      <c r="L1280" s="228">
        <v>3.2396061354150456E-2</v>
      </c>
    </row>
    <row r="1281" spans="1:12" s="212" customFormat="1" ht="15.5" x14ac:dyDescent="0.35">
      <c r="A1281" s="198" t="s">
        <v>837</v>
      </c>
      <c r="B1281" s="197">
        <v>2037</v>
      </c>
      <c r="C1281" s="213" t="s">
        <v>4482</v>
      </c>
      <c r="D1281" s="239">
        <v>4.6509006970146972E-3</v>
      </c>
      <c r="E1281" s="226">
        <v>2.7156190564041349E-2</v>
      </c>
      <c r="F1281" s="226">
        <v>7.2190356126009914E-4</v>
      </c>
      <c r="G1281" s="227">
        <v>6.6426046959795998E-4</v>
      </c>
      <c r="H1281" s="226">
        <v>2.0000005732018801E-3</v>
      </c>
      <c r="I1281" s="255">
        <v>3.2843937120407194E-3</v>
      </c>
      <c r="J1281" s="256">
        <v>1.2750406750013499E-5</v>
      </c>
      <c r="K1281" s="257">
        <v>1.332692356415712E-5</v>
      </c>
      <c r="L1281" s="228">
        <v>3.2081509014073431E-2</v>
      </c>
    </row>
    <row r="1282" spans="1:12" s="212" customFormat="1" ht="15.5" x14ac:dyDescent="0.35">
      <c r="A1282" s="198" t="s">
        <v>837</v>
      </c>
      <c r="B1282" s="197">
        <v>2038</v>
      </c>
      <c r="C1282" s="213" t="s">
        <v>4483</v>
      </c>
      <c r="D1282" s="239">
        <v>4.4539953962001097E-3</v>
      </c>
      <c r="E1282" s="226">
        <v>2.6328600794684649E-2</v>
      </c>
      <c r="F1282" s="226">
        <v>6.8694812145910389E-4</v>
      </c>
      <c r="G1282" s="227">
        <v>6.3207811258600367E-4</v>
      </c>
      <c r="H1282" s="226">
        <v>2.0000005732018801E-3</v>
      </c>
      <c r="I1282" s="255">
        <v>3.2843722581865167E-3</v>
      </c>
      <c r="J1282" s="256">
        <v>1.1669366922998441E-5</v>
      </c>
      <c r="K1282" s="257">
        <v>1.219700391320763E-5</v>
      </c>
      <c r="L1282" s="228">
        <v>3.1806914456280137E-2</v>
      </c>
    </row>
    <row r="1283" spans="1:12" s="212" customFormat="1" ht="15.5" x14ac:dyDescent="0.35">
      <c r="A1283" s="198" t="s">
        <v>837</v>
      </c>
      <c r="B1283" s="197">
        <v>2039</v>
      </c>
      <c r="C1283" s="213" t="s">
        <v>4484</v>
      </c>
      <c r="D1283" s="239">
        <v>4.2662287903719523E-3</v>
      </c>
      <c r="E1283" s="226">
        <v>2.555835859519761E-2</v>
      </c>
      <c r="F1283" s="226">
        <v>6.5565133304796555E-4</v>
      </c>
      <c r="G1283" s="227">
        <v>6.03264440847489E-4</v>
      </c>
      <c r="H1283" s="226">
        <v>2.0000005732018801E-3</v>
      </c>
      <c r="I1283" s="255">
        <v>3.2843768095971839E-3</v>
      </c>
      <c r="J1283" s="256">
        <v>1.0708707630510244E-5</v>
      </c>
      <c r="K1283" s="257">
        <v>1.1192907870375605E-5</v>
      </c>
      <c r="L1283" s="228">
        <v>3.1565947178702321E-2</v>
      </c>
    </row>
    <row r="1284" spans="1:12" s="212" customFormat="1" ht="15.5" x14ac:dyDescent="0.35">
      <c r="A1284" s="198" t="s">
        <v>837</v>
      </c>
      <c r="B1284" s="197">
        <v>2040</v>
      </c>
      <c r="C1284" s="213" t="s">
        <v>4485</v>
      </c>
      <c r="D1284" s="239">
        <v>4.08899564407422E-3</v>
      </c>
      <c r="E1284" s="226">
        <v>2.4864455995142153E-2</v>
      </c>
      <c r="F1284" s="226">
        <v>6.2778397637321744E-4</v>
      </c>
      <c r="G1284" s="227">
        <v>5.7761167027314613E-4</v>
      </c>
      <c r="H1284" s="226">
        <v>2.0000005732018801E-3</v>
      </c>
      <c r="I1284" s="255">
        <v>3.2844357470997215E-3</v>
      </c>
      <c r="J1284" s="256">
        <v>9.9447810717588946E-6</v>
      </c>
      <c r="K1284" s="257">
        <v>1.0394439942511399E-5</v>
      </c>
      <c r="L1284" s="228">
        <v>3.1357153020558581E-2</v>
      </c>
    </row>
    <row r="1285" spans="1:12" s="212" customFormat="1" ht="15.5" x14ac:dyDescent="0.35">
      <c r="A1285" s="198" t="s">
        <v>837</v>
      </c>
      <c r="B1285" s="197">
        <v>2041</v>
      </c>
      <c r="C1285" s="213" t="s">
        <v>4486</v>
      </c>
      <c r="D1285" s="239">
        <v>3.9447557679233485E-3</v>
      </c>
      <c r="E1285" s="226">
        <v>2.4293438999815783E-2</v>
      </c>
      <c r="F1285" s="226">
        <v>6.055742994728494E-4</v>
      </c>
      <c r="G1285" s="227">
        <v>5.5716463898164697E-4</v>
      </c>
      <c r="H1285" s="226">
        <v>2.0000005732018801E-3</v>
      </c>
      <c r="I1285" s="255">
        <v>3.2845460112057678E-3</v>
      </c>
      <c r="J1285" s="256">
        <v>9.2761136825377849E-6</v>
      </c>
      <c r="K1285" s="257">
        <v>9.6955383811173191E-6</v>
      </c>
      <c r="L1285" s="228">
        <v>3.1178547434247538E-2</v>
      </c>
    </row>
    <row r="1286" spans="1:12" s="212" customFormat="1" ht="15.5" x14ac:dyDescent="0.35">
      <c r="A1286" s="198" t="s">
        <v>837</v>
      </c>
      <c r="B1286" s="197">
        <v>2042</v>
      </c>
      <c r="C1286" s="213" t="s">
        <v>4487</v>
      </c>
      <c r="D1286" s="239">
        <v>3.8217634811519028E-3</v>
      </c>
      <c r="E1286" s="226">
        <v>2.377735494333675E-2</v>
      </c>
      <c r="F1286" s="226">
        <v>5.8636173557830463E-4</v>
      </c>
      <c r="G1286" s="227">
        <v>5.3947533052180804E-4</v>
      </c>
      <c r="H1286" s="226">
        <v>2.0000005732018805E-3</v>
      </c>
      <c r="I1286" s="255">
        <v>3.2846940883197195E-3</v>
      </c>
      <c r="J1286" s="256">
        <v>8.6584706247291941E-6</v>
      </c>
      <c r="K1286" s="257">
        <v>9.049968244985102E-6</v>
      </c>
      <c r="L1286" s="228">
        <v>3.1023710393658761E-2</v>
      </c>
    </row>
    <row r="1287" spans="1:12" s="212" customFormat="1" ht="15.5" x14ac:dyDescent="0.35">
      <c r="A1287" s="198" t="s">
        <v>837</v>
      </c>
      <c r="B1287" s="197">
        <v>2043</v>
      </c>
      <c r="C1287" s="213" t="s">
        <v>4488</v>
      </c>
      <c r="D1287" s="239">
        <v>3.7246528814441284E-3</v>
      </c>
      <c r="E1287" s="226">
        <v>2.3336277262408792E-2</v>
      </c>
      <c r="F1287" s="226">
        <v>5.6995871786941427E-4</v>
      </c>
      <c r="G1287" s="227">
        <v>5.2437588835069953E-4</v>
      </c>
      <c r="H1287" s="226">
        <v>2.0000005732018801E-3</v>
      </c>
      <c r="I1287" s="255">
        <v>3.2848833342032199E-3</v>
      </c>
      <c r="J1287" s="256">
        <v>8.2100214369572773E-6</v>
      </c>
      <c r="K1287" s="257">
        <v>8.5812421749059187E-6</v>
      </c>
      <c r="L1287" s="228">
        <v>3.0891861999045658E-2</v>
      </c>
    </row>
    <row r="1288" spans="1:12" s="212" customFormat="1" ht="15.5" x14ac:dyDescent="0.35">
      <c r="A1288" s="198" t="s">
        <v>837</v>
      </c>
      <c r="B1288" s="197">
        <v>2044</v>
      </c>
      <c r="C1288" s="213" t="s">
        <v>4489</v>
      </c>
      <c r="D1288" s="239">
        <v>3.6543487684620323E-3</v>
      </c>
      <c r="E1288" s="226">
        <v>2.2966648352475808E-2</v>
      </c>
      <c r="F1288" s="226">
        <v>5.5606224288213136E-4</v>
      </c>
      <c r="G1288" s="227">
        <v>5.1158390394219488E-4</v>
      </c>
      <c r="H1288" s="226">
        <v>2.0000005732018805E-3</v>
      </c>
      <c r="I1288" s="255">
        <v>3.2851372247123807E-3</v>
      </c>
      <c r="J1288" s="256">
        <v>7.8330313930168035E-6</v>
      </c>
      <c r="K1288" s="257">
        <v>8.1872063140470128E-6</v>
      </c>
      <c r="L1288" s="228">
        <v>3.0777948856119029E-2</v>
      </c>
    </row>
    <row r="1289" spans="1:12" s="212" customFormat="1" ht="15.5" x14ac:dyDescent="0.35">
      <c r="A1289" s="198" t="s">
        <v>837</v>
      </c>
      <c r="B1289" s="197">
        <v>2045</v>
      </c>
      <c r="C1289" s="213" t="s">
        <v>4490</v>
      </c>
      <c r="D1289" s="239">
        <v>3.6087415246556648E-3</v>
      </c>
      <c r="E1289" s="226">
        <v>2.2657633310373015E-2</v>
      </c>
      <c r="F1289" s="226">
        <v>5.4438624204746616E-4</v>
      </c>
      <c r="G1289" s="227">
        <v>5.008376192163522E-4</v>
      </c>
      <c r="H1289" s="226">
        <v>2.0000005732018797E-3</v>
      </c>
      <c r="I1289" s="255">
        <v>3.2854344034332649E-3</v>
      </c>
      <c r="J1289" s="256">
        <v>7.5601318057611081E-6</v>
      </c>
      <c r="K1289" s="257">
        <v>7.9019674184295898E-6</v>
      </c>
      <c r="L1289" s="228">
        <v>3.0676818586806438E-2</v>
      </c>
    </row>
    <row r="1290" spans="1:12" s="212" customFormat="1" ht="15.5" x14ac:dyDescent="0.35">
      <c r="A1290" s="198" t="s">
        <v>837</v>
      </c>
      <c r="B1290" s="197">
        <v>2046</v>
      </c>
      <c r="C1290" s="213" t="s">
        <v>4491</v>
      </c>
      <c r="D1290" s="239">
        <v>3.5685230040422623E-3</v>
      </c>
      <c r="E1290" s="226">
        <v>2.2378730526516753E-2</v>
      </c>
      <c r="F1290" s="226">
        <v>5.3466507964567388E-4</v>
      </c>
      <c r="G1290" s="227">
        <v>4.9189144463809376E-4</v>
      </c>
      <c r="H1290" s="226">
        <v>2.0000005732018801E-3</v>
      </c>
      <c r="I1290" s="255">
        <v>3.2857454397868936E-3</v>
      </c>
      <c r="J1290" s="256">
        <v>7.3567437017414615E-6</v>
      </c>
      <c r="K1290" s="257">
        <v>7.689383006867521E-6</v>
      </c>
      <c r="L1290" s="228">
        <v>3.0588260253767516E-2</v>
      </c>
    </row>
    <row r="1291" spans="1:12" s="212" customFormat="1" ht="15.5" x14ac:dyDescent="0.35">
      <c r="A1291" s="198" t="s">
        <v>837</v>
      </c>
      <c r="B1291" s="197">
        <v>2047</v>
      </c>
      <c r="C1291" s="213" t="s">
        <v>4492</v>
      </c>
      <c r="D1291" s="239">
        <v>3.5368815391733153E-3</v>
      </c>
      <c r="E1291" s="226">
        <v>2.2158440496418685E-2</v>
      </c>
      <c r="F1291" s="226">
        <v>5.2671698738641112E-4</v>
      </c>
      <c r="G1291" s="227">
        <v>4.8457521458222731E-4</v>
      </c>
      <c r="H1291" s="226">
        <v>2.0000005732018801E-3</v>
      </c>
      <c r="I1291" s="255">
        <v>3.2860850821411895E-3</v>
      </c>
      <c r="J1291" s="256">
        <v>7.1449366914773846E-6</v>
      </c>
      <c r="K1291" s="257">
        <v>7.4679990234789919E-6</v>
      </c>
      <c r="L1291" s="228">
        <v>3.0514202755497679E-2</v>
      </c>
    </row>
    <row r="1292" spans="1:12" s="212" customFormat="1" ht="15.5" x14ac:dyDescent="0.35">
      <c r="A1292" s="198" t="s">
        <v>837</v>
      </c>
      <c r="B1292" s="197">
        <v>2048</v>
      </c>
      <c r="C1292" s="213" t="s">
        <v>4493</v>
      </c>
      <c r="D1292" s="239">
        <v>3.5127354717211729E-3</v>
      </c>
      <c r="E1292" s="226">
        <v>2.1992123311337802E-2</v>
      </c>
      <c r="F1292" s="226">
        <v>5.2021738609202544E-4</v>
      </c>
      <c r="G1292" s="227">
        <v>4.7859131874584563E-4</v>
      </c>
      <c r="H1292" s="226">
        <v>2.0000005732018801E-3</v>
      </c>
      <c r="I1292" s="255">
        <v>3.2864625269057005E-3</v>
      </c>
      <c r="J1292" s="256">
        <v>6.9459687005869604E-6</v>
      </c>
      <c r="K1292" s="257">
        <v>7.2600345829478936E-6</v>
      </c>
      <c r="L1292" s="228">
        <v>3.045103996953381E-2</v>
      </c>
    </row>
    <row r="1293" spans="1:12" s="212" customFormat="1" ht="15.5" x14ac:dyDescent="0.35">
      <c r="A1293" s="198" t="s">
        <v>837</v>
      </c>
      <c r="B1293" s="197">
        <v>2049</v>
      </c>
      <c r="C1293" s="213" t="s">
        <v>4494</v>
      </c>
      <c r="D1293" s="239">
        <v>3.5064187963127075E-3</v>
      </c>
      <c r="E1293" s="226">
        <v>2.1975940328599734E-2</v>
      </c>
      <c r="F1293" s="226">
        <v>5.1580490476540737E-4</v>
      </c>
      <c r="G1293" s="227">
        <v>4.7452971257272967E-4</v>
      </c>
      <c r="H1293" s="226">
        <v>2.0000005732018797E-3</v>
      </c>
      <c r="I1293" s="255">
        <v>3.2868372181111896E-3</v>
      </c>
      <c r="J1293" s="256">
        <v>6.8306673922448865E-6</v>
      </c>
      <c r="K1293" s="257">
        <v>7.1395198610845618E-6</v>
      </c>
      <c r="L1293" s="228">
        <v>3.039688603057792E-2</v>
      </c>
    </row>
    <row r="1294" spans="1:12" s="212" customFormat="1" ht="15.5" x14ac:dyDescent="0.35">
      <c r="A1294" s="198" t="s">
        <v>837</v>
      </c>
      <c r="B1294" s="197">
        <v>2050</v>
      </c>
      <c r="C1294" s="213" t="s">
        <v>4495</v>
      </c>
      <c r="D1294" s="239">
        <v>3.5015776979184466E-3</v>
      </c>
      <c r="E1294" s="226">
        <v>2.1962425230227962E-2</v>
      </c>
      <c r="F1294" s="226">
        <v>5.1220535892150868E-4</v>
      </c>
      <c r="G1294" s="227">
        <v>4.712129433640229E-4</v>
      </c>
      <c r="H1294" s="226">
        <v>2.0000005732018801E-3</v>
      </c>
      <c r="I1294" s="255">
        <v>3.2872209256131144E-3</v>
      </c>
      <c r="J1294" s="256">
        <v>6.6479376801458911E-6</v>
      </c>
      <c r="K1294" s="257">
        <v>6.9485279222555472E-6</v>
      </c>
      <c r="L1294" s="228">
        <v>3.0352704903812398E-2</v>
      </c>
    </row>
    <row r="1295" spans="1:12" s="212" customFormat="1" ht="15.5" x14ac:dyDescent="0.35">
      <c r="A1295" s="198" t="s">
        <v>838</v>
      </c>
      <c r="B1295" s="197">
        <v>2015</v>
      </c>
      <c r="C1295" s="213" t="s">
        <v>929</v>
      </c>
      <c r="D1295" s="239">
        <v>5.0417690674702038E-2</v>
      </c>
      <c r="E1295" s="226">
        <v>0.2253218719190129</v>
      </c>
      <c r="F1295" s="226">
        <v>1.8829578391608974E-3</v>
      </c>
      <c r="G1295" s="227">
        <v>1.7395140311178439E-3</v>
      </c>
      <c r="H1295" s="226">
        <v>2.0000005732018805E-3</v>
      </c>
      <c r="I1295" s="255">
        <v>2.4924981254621772E-3</v>
      </c>
      <c r="J1295" s="256">
        <v>1.1894337977501207E-4</v>
      </c>
      <c r="K1295" s="257">
        <v>1.2432147160500715E-4</v>
      </c>
      <c r="L1295" s="228">
        <v>4.6911365417017195E-2</v>
      </c>
    </row>
    <row r="1296" spans="1:12" s="212" customFormat="1" ht="15.5" x14ac:dyDescent="0.35">
      <c r="A1296" s="198" t="s">
        <v>838</v>
      </c>
      <c r="B1296" s="197">
        <v>2016</v>
      </c>
      <c r="C1296" s="213" t="s">
        <v>930</v>
      </c>
      <c r="D1296" s="239">
        <v>4.3691565062228405E-2</v>
      </c>
      <c r="E1296" s="226">
        <v>0.20199187287383719</v>
      </c>
      <c r="F1296" s="226">
        <v>1.82217481695864E-3</v>
      </c>
      <c r="G1296" s="227">
        <v>1.6821701468681428E-3</v>
      </c>
      <c r="H1296" s="226">
        <v>2.0000005732018805E-3</v>
      </c>
      <c r="I1296" s="255">
        <v>2.4885610958226031E-3</v>
      </c>
      <c r="J1296" s="256">
        <v>1.072706544068771E-4</v>
      </c>
      <c r="K1296" s="257">
        <v>1.1212095739267681E-4</v>
      </c>
      <c r="L1296" s="228">
        <v>4.599166136583209E-2</v>
      </c>
    </row>
    <row r="1297" spans="1:12" s="212" customFormat="1" ht="15.5" x14ac:dyDescent="0.35">
      <c r="A1297" s="198" t="s">
        <v>838</v>
      </c>
      <c r="B1297" s="197">
        <v>2017</v>
      </c>
      <c r="C1297" s="213" t="s">
        <v>4496</v>
      </c>
      <c r="D1297" s="239">
        <v>3.5571012380092588E-2</v>
      </c>
      <c r="E1297" s="226">
        <v>0.17096782142640055</v>
      </c>
      <c r="F1297" s="226">
        <v>1.7364247924325591E-3</v>
      </c>
      <c r="G1297" s="227">
        <v>1.6017123799443118E-3</v>
      </c>
      <c r="H1297" s="226">
        <v>2.0000005732018801E-3</v>
      </c>
      <c r="I1297" s="255">
        <v>2.4875743040802438E-3</v>
      </c>
      <c r="J1297" s="256">
        <v>8.9163138575775204E-5</v>
      </c>
      <c r="K1297" s="257">
        <v>9.3194700046604251E-5</v>
      </c>
      <c r="L1297" s="228">
        <v>4.5678646102214747E-2</v>
      </c>
    </row>
    <row r="1298" spans="1:12" s="212" customFormat="1" ht="15.5" x14ac:dyDescent="0.35">
      <c r="A1298" s="198" t="s">
        <v>838</v>
      </c>
      <c r="B1298" s="197">
        <v>2018</v>
      </c>
      <c r="C1298" s="213" t="s">
        <v>4497</v>
      </c>
      <c r="D1298" s="239">
        <v>2.9830215358430029E-2</v>
      </c>
      <c r="E1298" s="226">
        <v>0.14875772950058022</v>
      </c>
      <c r="F1298" s="226">
        <v>1.7071449000539574E-3</v>
      </c>
      <c r="G1298" s="227">
        <v>1.5737554500981864E-3</v>
      </c>
      <c r="H1298" s="226">
        <v>2.0000005732018797E-3</v>
      </c>
      <c r="I1298" s="255">
        <v>2.4846948033145689E-3</v>
      </c>
      <c r="J1298" s="256">
        <v>7.9827118311524741E-5</v>
      </c>
      <c r="K1298" s="257">
        <v>8.3436546373980651E-5</v>
      </c>
      <c r="L1298" s="228">
        <v>4.511233412379393E-2</v>
      </c>
    </row>
    <row r="1299" spans="1:12" s="212" customFormat="1" ht="15.5" x14ac:dyDescent="0.35">
      <c r="A1299" s="198" t="s">
        <v>838</v>
      </c>
      <c r="B1299" s="197">
        <v>2019</v>
      </c>
      <c r="C1299" s="213" t="s">
        <v>4498</v>
      </c>
      <c r="D1299" s="239">
        <v>2.4774474138745312E-2</v>
      </c>
      <c r="E1299" s="226">
        <v>0.12789236903938814</v>
      </c>
      <c r="F1299" s="226">
        <v>1.6906023305583984E-3</v>
      </c>
      <c r="G1299" s="227">
        <v>1.5579717256150143E-3</v>
      </c>
      <c r="H1299" s="226">
        <v>2.0000005732018801E-3</v>
      </c>
      <c r="I1299" s="255">
        <v>2.4897683953992887E-3</v>
      </c>
      <c r="J1299" s="256">
        <v>7.8661538438586155E-5</v>
      </c>
      <c r="K1299" s="257">
        <v>8.2218264151371584E-5</v>
      </c>
      <c r="L1299" s="228">
        <v>4.4388936807148997E-2</v>
      </c>
    </row>
    <row r="1300" spans="1:12" s="212" customFormat="1" ht="15.5" x14ac:dyDescent="0.35">
      <c r="A1300" s="198" t="s">
        <v>838</v>
      </c>
      <c r="B1300" s="197">
        <v>2020</v>
      </c>
      <c r="C1300" s="213" t="s">
        <v>4499</v>
      </c>
      <c r="D1300" s="239">
        <v>2.1837460889247914E-2</v>
      </c>
      <c r="E1300" s="226">
        <v>0.11449671365407192</v>
      </c>
      <c r="F1300" s="226">
        <v>1.6559034988492571E-3</v>
      </c>
      <c r="G1300" s="227">
        <v>1.5256773526980962E-3</v>
      </c>
      <c r="H1300" s="226">
        <v>2.0000005732018801E-3</v>
      </c>
      <c r="I1300" s="255">
        <v>2.4946556772333468E-3</v>
      </c>
      <c r="J1300" s="256">
        <v>7.2486242262838734E-5</v>
      </c>
      <c r="K1300" s="257">
        <v>7.5763748485028229E-5</v>
      </c>
      <c r="L1300" s="228">
        <v>4.4021631687857561E-2</v>
      </c>
    </row>
    <row r="1301" spans="1:12" s="212" customFormat="1" ht="15.5" x14ac:dyDescent="0.35">
      <c r="A1301" s="198" t="s">
        <v>838</v>
      </c>
      <c r="B1301" s="197">
        <v>2021</v>
      </c>
      <c r="C1301" s="213" t="s">
        <v>4500</v>
      </c>
      <c r="D1301" s="239">
        <v>1.9304512493372943E-2</v>
      </c>
      <c r="E1301" s="226">
        <v>0.10188798357117598</v>
      </c>
      <c r="F1301" s="226">
        <v>1.5893700017250956E-3</v>
      </c>
      <c r="G1301" s="227">
        <v>1.4641808463598095E-3</v>
      </c>
      <c r="H1301" s="226">
        <v>2.0000005732018805E-3</v>
      </c>
      <c r="I1301" s="255">
        <v>2.4973570625210595E-3</v>
      </c>
      <c r="J1301" s="256">
        <v>6.6403940728341275E-5</v>
      </c>
      <c r="K1301" s="257">
        <v>6.9406432264953886E-5</v>
      </c>
      <c r="L1301" s="228">
        <v>4.3186281001813306E-2</v>
      </c>
    </row>
    <row r="1302" spans="1:12" s="212" customFormat="1" ht="15.5" x14ac:dyDescent="0.35">
      <c r="A1302" s="198" t="s">
        <v>838</v>
      </c>
      <c r="B1302" s="197">
        <v>2022</v>
      </c>
      <c r="C1302" s="213" t="s">
        <v>4501</v>
      </c>
      <c r="D1302" s="239">
        <v>1.6628595597421632E-2</v>
      </c>
      <c r="E1302" s="226">
        <v>8.96389999670196E-2</v>
      </c>
      <c r="F1302" s="226">
        <v>1.5153559952903446E-3</v>
      </c>
      <c r="G1302" s="227">
        <v>1.3957392980000771E-3</v>
      </c>
      <c r="H1302" s="226">
        <v>2.0000005732018797E-3</v>
      </c>
      <c r="I1302" s="255">
        <v>2.4974833129539058E-3</v>
      </c>
      <c r="J1302" s="256">
        <v>6.0540949125354421E-5</v>
      </c>
      <c r="K1302" s="257">
        <v>6.3278342198319702E-5</v>
      </c>
      <c r="L1302" s="228">
        <v>4.2433861670742465E-2</v>
      </c>
    </row>
    <row r="1303" spans="1:12" s="212" customFormat="1" ht="15.5" x14ac:dyDescent="0.35">
      <c r="A1303" s="198" t="s">
        <v>838</v>
      </c>
      <c r="B1303" s="197">
        <v>2023</v>
      </c>
      <c r="C1303" s="213" t="s">
        <v>4502</v>
      </c>
      <c r="D1303" s="239">
        <v>1.4681174581525784E-2</v>
      </c>
      <c r="E1303" s="226">
        <v>7.9277562388133757E-2</v>
      </c>
      <c r="F1303" s="226">
        <v>1.4461236425795619E-3</v>
      </c>
      <c r="G1303" s="227">
        <v>1.3318015099875531E-3</v>
      </c>
      <c r="H1303" s="226">
        <v>2.0000005732018801E-3</v>
      </c>
      <c r="I1303" s="255">
        <v>2.5194522387879292E-3</v>
      </c>
      <c r="J1303" s="256">
        <v>5.4046075202002263E-5</v>
      </c>
      <c r="K1303" s="257">
        <v>5.6489798896729933E-5</v>
      </c>
      <c r="L1303" s="228">
        <v>4.1634614061874443E-2</v>
      </c>
    </row>
    <row r="1304" spans="1:12" s="212" customFormat="1" ht="15.5" x14ac:dyDescent="0.35">
      <c r="A1304" s="198" t="s">
        <v>838</v>
      </c>
      <c r="B1304" s="197">
        <v>2024</v>
      </c>
      <c r="C1304" s="213" t="s">
        <v>4503</v>
      </c>
      <c r="D1304" s="239">
        <v>1.2970189176454943E-2</v>
      </c>
      <c r="E1304" s="226">
        <v>7.0430077673182587E-2</v>
      </c>
      <c r="F1304" s="226">
        <v>1.3815180388598938E-3</v>
      </c>
      <c r="G1304" s="227">
        <v>1.2720947650176004E-3</v>
      </c>
      <c r="H1304" s="226">
        <v>2.0000005732018801E-3</v>
      </c>
      <c r="I1304" s="255">
        <v>2.4921976531227306E-3</v>
      </c>
      <c r="J1304" s="256">
        <v>4.6943147204679863E-5</v>
      </c>
      <c r="K1304" s="257">
        <v>4.9065708014144958E-5</v>
      </c>
      <c r="L1304" s="228">
        <v>4.0801521540236446E-2</v>
      </c>
    </row>
    <row r="1305" spans="1:12" s="212" customFormat="1" ht="15.5" x14ac:dyDescent="0.35">
      <c r="A1305" s="198" t="s">
        <v>838</v>
      </c>
      <c r="B1305" s="197">
        <v>2025</v>
      </c>
      <c r="C1305" s="213" t="s">
        <v>4504</v>
      </c>
      <c r="D1305" s="239">
        <v>1.1566975515130588E-2</v>
      </c>
      <c r="E1305" s="226">
        <v>6.3064569834877404E-2</v>
      </c>
      <c r="F1305" s="226">
        <v>1.3287464937288172E-3</v>
      </c>
      <c r="G1305" s="227">
        <v>1.2233586044009277E-3</v>
      </c>
      <c r="H1305" s="226">
        <v>2.0000005732018801E-3</v>
      </c>
      <c r="I1305" s="255">
        <v>2.4926570096061636E-3</v>
      </c>
      <c r="J1305" s="256">
        <v>4.1678880791308679E-5</v>
      </c>
      <c r="K1305" s="257">
        <v>4.3563414833397291E-5</v>
      </c>
      <c r="L1305" s="228">
        <v>3.9945482403671788E-2</v>
      </c>
    </row>
    <row r="1306" spans="1:12" s="212" customFormat="1" ht="15.5" x14ac:dyDescent="0.35">
      <c r="A1306" s="198" t="s">
        <v>838</v>
      </c>
      <c r="B1306" s="197">
        <v>2026</v>
      </c>
      <c r="C1306" s="213" t="s">
        <v>4505</v>
      </c>
      <c r="D1306" s="239">
        <v>1.0413580184623416E-2</v>
      </c>
      <c r="E1306" s="226">
        <v>5.6937794846832E-2</v>
      </c>
      <c r="F1306" s="226">
        <v>1.2755940089335237E-3</v>
      </c>
      <c r="G1306" s="227">
        <v>1.1742718259605983E-3</v>
      </c>
      <c r="H1306" s="226">
        <v>2.0000005732018801E-3</v>
      </c>
      <c r="I1306" s="255">
        <v>2.4962866597584878E-3</v>
      </c>
      <c r="J1306" s="256">
        <v>3.6185320244398911E-5</v>
      </c>
      <c r="K1306" s="257">
        <v>3.7821459855870094E-5</v>
      </c>
      <c r="L1306" s="228">
        <v>3.9104347048157614E-2</v>
      </c>
    </row>
    <row r="1307" spans="1:12" s="212" customFormat="1" ht="15.5" x14ac:dyDescent="0.35">
      <c r="A1307" s="198" t="s">
        <v>838</v>
      </c>
      <c r="B1307" s="197">
        <v>2027</v>
      </c>
      <c r="C1307" s="213" t="s">
        <v>4506</v>
      </c>
      <c r="D1307" s="239">
        <v>9.4456206464900959E-3</v>
      </c>
      <c r="E1307" s="226">
        <v>5.1715855588363835E-2</v>
      </c>
      <c r="F1307" s="226">
        <v>1.2147586443718758E-3</v>
      </c>
      <c r="G1307" s="227">
        <v>1.1180823581531545E-3</v>
      </c>
      <c r="H1307" s="226">
        <v>2.0000005732018801E-3</v>
      </c>
      <c r="I1307" s="255">
        <v>2.5002799673560384E-3</v>
      </c>
      <c r="J1307" s="256">
        <v>2.9685304956664181E-5</v>
      </c>
      <c r="K1307" s="257">
        <v>3.1027542720214689E-5</v>
      </c>
      <c r="L1307" s="228">
        <v>3.8298208222492372E-2</v>
      </c>
    </row>
    <row r="1308" spans="1:12" s="212" customFormat="1" ht="15.5" x14ac:dyDescent="0.35">
      <c r="A1308" s="198" t="s">
        <v>838</v>
      </c>
      <c r="B1308" s="197">
        <v>2028</v>
      </c>
      <c r="C1308" s="213" t="s">
        <v>4507</v>
      </c>
      <c r="D1308" s="239">
        <v>8.5968976185418558E-3</v>
      </c>
      <c r="E1308" s="226">
        <v>4.7265070424573841E-2</v>
      </c>
      <c r="F1308" s="226">
        <v>1.1439224587825618E-3</v>
      </c>
      <c r="G1308" s="227">
        <v>1.0527660061901325E-3</v>
      </c>
      <c r="H1308" s="226">
        <v>2.0000005732018797E-3</v>
      </c>
      <c r="I1308" s="255">
        <v>2.5010527059370355E-3</v>
      </c>
      <c r="J1308" s="256">
        <v>2.4934780607168828E-5</v>
      </c>
      <c r="K1308" s="257">
        <v>2.6062220739774704E-5</v>
      </c>
      <c r="L1308" s="228">
        <v>3.7539592765624907E-2</v>
      </c>
    </row>
    <row r="1309" spans="1:12" s="212" customFormat="1" ht="15.5" x14ac:dyDescent="0.35">
      <c r="A1309" s="198" t="s">
        <v>838</v>
      </c>
      <c r="B1309" s="197">
        <v>2029</v>
      </c>
      <c r="C1309" s="213" t="s">
        <v>4508</v>
      </c>
      <c r="D1309" s="239">
        <v>7.8662914253998587E-3</v>
      </c>
      <c r="E1309" s="226">
        <v>4.3478572645023486E-2</v>
      </c>
      <c r="F1309" s="226">
        <v>1.0750936508165216E-3</v>
      </c>
      <c r="G1309" s="227">
        <v>9.8931748939735161E-4</v>
      </c>
      <c r="H1309" s="226">
        <v>2.0000005732018801E-3</v>
      </c>
      <c r="I1309" s="255">
        <v>2.5019758861534471E-3</v>
      </c>
      <c r="J1309" s="256">
        <v>2.0752118489814298E-5</v>
      </c>
      <c r="K1309" s="257">
        <v>2.169043720176174E-5</v>
      </c>
      <c r="L1309" s="228">
        <v>3.6830543184122981E-2</v>
      </c>
    </row>
    <row r="1310" spans="1:12" s="212" customFormat="1" ht="15.5" x14ac:dyDescent="0.35">
      <c r="A1310" s="198" t="s">
        <v>838</v>
      </c>
      <c r="B1310" s="197">
        <v>2030</v>
      </c>
      <c r="C1310" s="213" t="s">
        <v>4509</v>
      </c>
      <c r="D1310" s="239">
        <v>7.2562898665125379E-3</v>
      </c>
      <c r="E1310" s="226">
        <v>4.0301181447407297E-2</v>
      </c>
      <c r="F1310" s="226">
        <v>1.0103535513897983E-3</v>
      </c>
      <c r="G1310" s="227">
        <v>9.2966211924242989E-4</v>
      </c>
      <c r="H1310" s="226">
        <v>2.0000005732018801E-3</v>
      </c>
      <c r="I1310" s="255">
        <v>2.5030083675326633E-3</v>
      </c>
      <c r="J1310" s="256">
        <v>1.7435153887039628E-5</v>
      </c>
      <c r="K1310" s="257">
        <v>1.8223494178462039E-5</v>
      </c>
      <c r="L1310" s="228">
        <v>3.6172027768920915E-2</v>
      </c>
    </row>
    <row r="1311" spans="1:12" s="212" customFormat="1" ht="15.5" x14ac:dyDescent="0.35">
      <c r="A1311" s="198" t="s">
        <v>838</v>
      </c>
      <c r="B1311" s="197">
        <v>2031</v>
      </c>
      <c r="C1311" s="213" t="s">
        <v>4510</v>
      </c>
      <c r="D1311" s="239">
        <v>6.726340971995752E-3</v>
      </c>
      <c r="E1311" s="226">
        <v>3.7562802828699955E-2</v>
      </c>
      <c r="F1311" s="226">
        <v>9.4976652141649342E-4</v>
      </c>
      <c r="G1311" s="227">
        <v>8.7386770856204873E-4</v>
      </c>
      <c r="H1311" s="226">
        <v>2.0000005732018801E-3</v>
      </c>
      <c r="I1311" s="255">
        <v>2.5039993664581852E-3</v>
      </c>
      <c r="J1311" s="256">
        <v>1.5205517069923656E-5</v>
      </c>
      <c r="K1311" s="257">
        <v>1.5893043078342914E-5</v>
      </c>
      <c r="L1311" s="228">
        <v>3.5573800612234086E-2</v>
      </c>
    </row>
    <row r="1312" spans="1:12" s="212" customFormat="1" ht="15.5" x14ac:dyDescent="0.35">
      <c r="A1312" s="198" t="s">
        <v>838</v>
      </c>
      <c r="B1312" s="197">
        <v>2032</v>
      </c>
      <c r="C1312" s="213" t="s">
        <v>4511</v>
      </c>
      <c r="D1312" s="239">
        <v>6.2738081561527171E-3</v>
      </c>
      <c r="E1312" s="226">
        <v>3.5215925207443925E-2</v>
      </c>
      <c r="F1312" s="226">
        <v>8.9422219133810125E-4</v>
      </c>
      <c r="G1312" s="227">
        <v>8.2272563155564053E-4</v>
      </c>
      <c r="H1312" s="226">
        <v>2.0000005732018801E-3</v>
      </c>
      <c r="I1312" s="255">
        <v>2.5127668047587406E-3</v>
      </c>
      <c r="J1312" s="256">
        <v>1.3380297579342836E-5</v>
      </c>
      <c r="K1312" s="257">
        <v>1.398529526168956E-5</v>
      </c>
      <c r="L1312" s="228">
        <v>3.501091784196729E-2</v>
      </c>
    </row>
    <row r="1313" spans="1:12" s="212" customFormat="1" ht="15.5" x14ac:dyDescent="0.35">
      <c r="A1313" s="198" t="s">
        <v>838</v>
      </c>
      <c r="B1313" s="197">
        <v>2033</v>
      </c>
      <c r="C1313" s="213" t="s">
        <v>4512</v>
      </c>
      <c r="D1313" s="239">
        <v>5.8989368061634854E-3</v>
      </c>
      <c r="E1313" s="226">
        <v>3.3205342078016113E-2</v>
      </c>
      <c r="F1313" s="226">
        <v>8.4589411551510532E-4</v>
      </c>
      <c r="G1313" s="227">
        <v>7.7824722023755544E-4</v>
      </c>
      <c r="H1313" s="226">
        <v>2.0000005732018801E-3</v>
      </c>
      <c r="I1313" s="255">
        <v>2.523427390254962E-3</v>
      </c>
      <c r="J1313" s="256">
        <v>1.2288757892583229E-5</v>
      </c>
      <c r="K1313" s="257">
        <v>1.2844400993930334E-5</v>
      </c>
      <c r="L1313" s="228">
        <v>3.4494527671148995E-2</v>
      </c>
    </row>
    <row r="1314" spans="1:12" s="212" customFormat="1" ht="15.5" x14ac:dyDescent="0.35">
      <c r="A1314" s="198" t="s">
        <v>838</v>
      </c>
      <c r="B1314" s="197">
        <v>2034</v>
      </c>
      <c r="C1314" s="213" t="s">
        <v>4513</v>
      </c>
      <c r="D1314" s="239">
        <v>5.5285923723899571E-3</v>
      </c>
      <c r="E1314" s="226">
        <v>3.1410268179877653E-2</v>
      </c>
      <c r="F1314" s="226">
        <v>7.960326386037246E-4</v>
      </c>
      <c r="G1314" s="227">
        <v>7.3236371135814837E-4</v>
      </c>
      <c r="H1314" s="226">
        <v>2.0000005732018805E-3</v>
      </c>
      <c r="I1314" s="255">
        <v>2.5241365933191253E-3</v>
      </c>
      <c r="J1314" s="256">
        <v>1.1320621259693048E-5</v>
      </c>
      <c r="K1314" s="257">
        <v>1.1832489518543503E-5</v>
      </c>
      <c r="L1314" s="228">
        <v>3.4021803964024593E-2</v>
      </c>
    </row>
    <row r="1315" spans="1:12" s="212" customFormat="1" ht="15.5" x14ac:dyDescent="0.35">
      <c r="A1315" s="198" t="s">
        <v>838</v>
      </c>
      <c r="B1315" s="197">
        <v>2035</v>
      </c>
      <c r="C1315" s="213" t="s">
        <v>4514</v>
      </c>
      <c r="D1315" s="239">
        <v>5.2049403604430833E-3</v>
      </c>
      <c r="E1315" s="226">
        <v>2.9892056244341145E-2</v>
      </c>
      <c r="F1315" s="226">
        <v>7.5006642436706381E-4</v>
      </c>
      <c r="G1315" s="227">
        <v>6.9006405329898632E-4</v>
      </c>
      <c r="H1315" s="226">
        <v>2.0000005732018801E-3</v>
      </c>
      <c r="I1315" s="255">
        <v>2.5247606647762597E-3</v>
      </c>
      <c r="J1315" s="256">
        <v>1.0411529958608601E-5</v>
      </c>
      <c r="K1315" s="257">
        <v>1.0882293142856957E-5</v>
      </c>
      <c r="L1315" s="228">
        <v>3.3594586981652373E-2</v>
      </c>
    </row>
    <row r="1316" spans="1:12" s="212" customFormat="1" ht="15.5" x14ac:dyDescent="0.35">
      <c r="A1316" s="198" t="s">
        <v>838</v>
      </c>
      <c r="B1316" s="197">
        <v>2036</v>
      </c>
      <c r="C1316" s="213" t="s">
        <v>4515</v>
      </c>
      <c r="D1316" s="239">
        <v>4.9251855774396711E-3</v>
      </c>
      <c r="E1316" s="226">
        <v>2.8573687876616103E-2</v>
      </c>
      <c r="F1316" s="226">
        <v>7.1061190668171668E-4</v>
      </c>
      <c r="G1316" s="227">
        <v>6.5375548853090844E-4</v>
      </c>
      <c r="H1316" s="226">
        <v>2.0000035965879472E-3</v>
      </c>
      <c r="I1316" s="255">
        <v>2.5363690464983209E-3</v>
      </c>
      <c r="J1316" s="256">
        <v>9.6007034052459993E-6</v>
      </c>
      <c r="K1316" s="257">
        <v>1.0034804610740832E-5</v>
      </c>
      <c r="L1316" s="228">
        <v>3.3210579287944214E-2</v>
      </c>
    </row>
    <row r="1317" spans="1:12" s="212" customFormat="1" ht="15.5" x14ac:dyDescent="0.35">
      <c r="A1317" s="198" t="s">
        <v>838</v>
      </c>
      <c r="B1317" s="197">
        <v>2037</v>
      </c>
      <c r="C1317" s="213" t="s">
        <v>4516</v>
      </c>
      <c r="D1317" s="239">
        <v>4.6769540996254117E-3</v>
      </c>
      <c r="E1317" s="226">
        <v>2.7438177696736607E-2</v>
      </c>
      <c r="F1317" s="226">
        <v>6.7431871808014572E-4</v>
      </c>
      <c r="G1317" s="227">
        <v>6.2035795666458813E-4</v>
      </c>
      <c r="H1317" s="226">
        <v>2.0000035966119168E-3</v>
      </c>
      <c r="I1317" s="255">
        <v>2.5368181171253478E-3</v>
      </c>
      <c r="J1317" s="256">
        <v>8.9004308834527474E-6</v>
      </c>
      <c r="K1317" s="257">
        <v>9.3028688729253649E-6</v>
      </c>
      <c r="L1317" s="228">
        <v>3.2870446400191718E-2</v>
      </c>
    </row>
    <row r="1318" spans="1:12" s="212" customFormat="1" ht="15.5" x14ac:dyDescent="0.35">
      <c r="A1318" s="198" t="s">
        <v>838</v>
      </c>
      <c r="B1318" s="197">
        <v>2038</v>
      </c>
      <c r="C1318" s="213" t="s">
        <v>4517</v>
      </c>
      <c r="D1318" s="239">
        <v>4.4070472434365269E-3</v>
      </c>
      <c r="E1318" s="226">
        <v>2.6346404389508256E-2</v>
      </c>
      <c r="F1318" s="226">
        <v>6.3563520642543703E-4</v>
      </c>
      <c r="G1318" s="227">
        <v>5.847684191209202E-4</v>
      </c>
      <c r="H1318" s="226">
        <v>2.0000005732018801E-3</v>
      </c>
      <c r="I1318" s="255">
        <v>2.5596205067804864E-3</v>
      </c>
      <c r="J1318" s="256">
        <v>8.3492268546318483E-6</v>
      </c>
      <c r="K1318" s="257">
        <v>8.7267418438528547E-6</v>
      </c>
      <c r="L1318" s="228">
        <v>3.2571447006698555E-2</v>
      </c>
    </row>
    <row r="1319" spans="1:12" s="212" customFormat="1" ht="15.5" x14ac:dyDescent="0.35">
      <c r="A1319" s="198" t="s">
        <v>838</v>
      </c>
      <c r="B1319" s="197">
        <v>2039</v>
      </c>
      <c r="C1319" s="213" t="s">
        <v>4518</v>
      </c>
      <c r="D1319" s="239">
        <v>4.1878356305340382E-3</v>
      </c>
      <c r="E1319" s="226">
        <v>2.5373235696438807E-2</v>
      </c>
      <c r="F1319" s="226">
        <v>6.0705779449107171E-4</v>
      </c>
      <c r="G1319" s="227">
        <v>5.5847424774152878E-4</v>
      </c>
      <c r="H1319" s="226">
        <v>2.0000005732018797E-3</v>
      </c>
      <c r="I1319" s="255">
        <v>2.5599392107358734E-3</v>
      </c>
      <c r="J1319" s="256">
        <v>7.8796522131136916E-6</v>
      </c>
      <c r="K1319" s="257">
        <v>8.2359351207518524E-6</v>
      </c>
      <c r="L1319" s="228">
        <v>3.2307237297589435E-2</v>
      </c>
    </row>
    <row r="1320" spans="1:12" s="212" customFormat="1" ht="15.5" x14ac:dyDescent="0.35">
      <c r="A1320" s="198" t="s">
        <v>838</v>
      </c>
      <c r="B1320" s="197">
        <v>2040</v>
      </c>
      <c r="C1320" s="213" t="s">
        <v>4519</v>
      </c>
      <c r="D1320" s="239">
        <v>3.99830727878751E-3</v>
      </c>
      <c r="E1320" s="226">
        <v>2.4554991400735218E-2</v>
      </c>
      <c r="F1320" s="226">
        <v>5.8220831977336151E-4</v>
      </c>
      <c r="G1320" s="227">
        <v>5.3561132467777313E-4</v>
      </c>
      <c r="H1320" s="226">
        <v>2.0000005732018801E-3</v>
      </c>
      <c r="I1320" s="255">
        <v>2.5602355309923093E-3</v>
      </c>
      <c r="J1320" s="256">
        <v>7.5011297235539379E-6</v>
      </c>
      <c r="K1320" s="257">
        <v>7.8402975238828766E-6</v>
      </c>
      <c r="L1320" s="228">
        <v>3.2077565411402095E-2</v>
      </c>
    </row>
    <row r="1321" spans="1:12" s="212" customFormat="1" ht="15.5" x14ac:dyDescent="0.35">
      <c r="A1321" s="198" t="s">
        <v>838</v>
      </c>
      <c r="B1321" s="197">
        <v>2041</v>
      </c>
      <c r="C1321" s="213" t="s">
        <v>4520</v>
      </c>
      <c r="D1321" s="239">
        <v>3.8549470945766435E-3</v>
      </c>
      <c r="E1321" s="226">
        <v>2.3886418726373031E-2</v>
      </c>
      <c r="F1321" s="226">
        <v>5.6288802243951541E-4</v>
      </c>
      <c r="G1321" s="227">
        <v>5.1783516888685233E-4</v>
      </c>
      <c r="H1321" s="226">
        <v>2.0000005732018805E-3</v>
      </c>
      <c r="I1321" s="255">
        <v>2.5605196621689042E-3</v>
      </c>
      <c r="J1321" s="256">
        <v>7.1968513894128314E-6</v>
      </c>
      <c r="K1321" s="257">
        <v>7.5222610736870095E-6</v>
      </c>
      <c r="L1321" s="228">
        <v>3.1880519222268491E-2</v>
      </c>
    </row>
    <row r="1322" spans="1:12" s="212" customFormat="1" ht="15.5" x14ac:dyDescent="0.35">
      <c r="A1322" s="198" t="s">
        <v>838</v>
      </c>
      <c r="B1322" s="197">
        <v>2042</v>
      </c>
      <c r="C1322" s="213" t="s">
        <v>4521</v>
      </c>
      <c r="D1322" s="239">
        <v>3.7256313674261048E-3</v>
      </c>
      <c r="E1322" s="226">
        <v>2.3242367329389502E-2</v>
      </c>
      <c r="F1322" s="226">
        <v>5.4638070488787361E-4</v>
      </c>
      <c r="G1322" s="227">
        <v>5.0264790636661105E-4</v>
      </c>
      <c r="H1322" s="226">
        <v>2.0000005732018801E-3</v>
      </c>
      <c r="I1322" s="255">
        <v>2.5607320335304939E-3</v>
      </c>
      <c r="J1322" s="256">
        <v>6.9557664401510249E-6</v>
      </c>
      <c r="K1322" s="257">
        <v>7.2702753328182139E-6</v>
      </c>
      <c r="L1322" s="228">
        <v>3.1707487609914341E-2</v>
      </c>
    </row>
    <row r="1323" spans="1:12" s="212" customFormat="1" ht="15.5" x14ac:dyDescent="0.35">
      <c r="A1323" s="198" t="s">
        <v>838</v>
      </c>
      <c r="B1323" s="197">
        <v>2043</v>
      </c>
      <c r="C1323" s="213" t="s">
        <v>4522</v>
      </c>
      <c r="D1323" s="239">
        <v>3.6235149025046756E-3</v>
      </c>
      <c r="E1323" s="226">
        <v>2.2687528045739588E-2</v>
      </c>
      <c r="F1323" s="226">
        <v>5.3235582103292988E-4</v>
      </c>
      <c r="G1323" s="227">
        <v>4.897447140418497E-4</v>
      </c>
      <c r="H1323" s="226">
        <v>2.0000005732018801E-3</v>
      </c>
      <c r="I1323" s="255">
        <v>2.5609320244359213E-3</v>
      </c>
      <c r="J1323" s="256">
        <v>6.7548234194351399E-6</v>
      </c>
      <c r="K1323" s="257">
        <v>7.0602465603770051E-6</v>
      </c>
      <c r="L1323" s="228">
        <v>3.1558915750533642E-2</v>
      </c>
    </row>
    <row r="1324" spans="1:12" s="212" customFormat="1" ht="15.5" x14ac:dyDescent="0.35">
      <c r="A1324" s="198" t="s">
        <v>838</v>
      </c>
      <c r="B1324" s="197">
        <v>2044</v>
      </c>
      <c r="C1324" s="213" t="s">
        <v>4523</v>
      </c>
      <c r="D1324" s="239">
        <v>3.5400320484821604E-3</v>
      </c>
      <c r="E1324" s="226">
        <v>2.2146091637011547E-2</v>
      </c>
      <c r="F1324" s="226">
        <v>5.2041267991086691E-4</v>
      </c>
      <c r="G1324" s="227">
        <v>4.7875701610712368E-4</v>
      </c>
      <c r="H1324" s="226">
        <v>2.0000005732018801E-3</v>
      </c>
      <c r="I1324" s="255">
        <v>2.5610819057199372E-3</v>
      </c>
      <c r="J1324" s="256">
        <v>6.5900376410392406E-6</v>
      </c>
      <c r="K1324" s="257">
        <v>6.8880099003080962E-6</v>
      </c>
      <c r="L1324" s="228">
        <v>3.1431038199176566E-2</v>
      </c>
    </row>
    <row r="1325" spans="1:12" s="212" customFormat="1" ht="15.5" x14ac:dyDescent="0.35">
      <c r="A1325" s="198" t="s">
        <v>838</v>
      </c>
      <c r="B1325" s="197">
        <v>2045</v>
      </c>
      <c r="C1325" s="213" t="s">
        <v>4524</v>
      </c>
      <c r="D1325" s="239">
        <v>3.4753210498029321E-3</v>
      </c>
      <c r="E1325" s="226">
        <v>2.1639669401405975E-2</v>
      </c>
      <c r="F1325" s="226">
        <v>5.1028286497203576E-4</v>
      </c>
      <c r="G1325" s="227">
        <v>4.6943809507211107E-4</v>
      </c>
      <c r="H1325" s="226">
        <v>2.0000005732018801E-3</v>
      </c>
      <c r="I1325" s="255">
        <v>2.5612109294436219E-3</v>
      </c>
      <c r="J1325" s="256">
        <v>6.4635038962969416E-6</v>
      </c>
      <c r="K1325" s="257">
        <v>6.7557548611137297E-6</v>
      </c>
      <c r="L1325" s="228">
        <v>3.1317438701249818E-2</v>
      </c>
    </row>
    <row r="1326" spans="1:12" s="212" customFormat="1" ht="15.5" x14ac:dyDescent="0.35">
      <c r="A1326" s="198" t="s">
        <v>838</v>
      </c>
      <c r="B1326" s="197">
        <v>2046</v>
      </c>
      <c r="C1326" s="213" t="s">
        <v>4525</v>
      </c>
      <c r="D1326" s="239">
        <v>3.4140017504629434E-3</v>
      </c>
      <c r="E1326" s="226">
        <v>2.1156868732563221E-2</v>
      </c>
      <c r="F1326" s="226">
        <v>5.0180315270524373E-4</v>
      </c>
      <c r="G1326" s="227">
        <v>4.6163727611098324E-4</v>
      </c>
      <c r="H1326" s="226">
        <v>2.0000005732018801E-3</v>
      </c>
      <c r="I1326" s="255">
        <v>2.5613227078823716E-3</v>
      </c>
      <c r="J1326" s="256">
        <v>6.359904209757689E-6</v>
      </c>
      <c r="K1326" s="257">
        <v>6.6474708564659694E-6</v>
      </c>
      <c r="L1326" s="228">
        <v>3.1218465536244019E-2</v>
      </c>
    </row>
    <row r="1327" spans="1:12" s="212" customFormat="1" ht="15.5" x14ac:dyDescent="0.35">
      <c r="A1327" s="198" t="s">
        <v>838</v>
      </c>
      <c r="B1327" s="197">
        <v>2047</v>
      </c>
      <c r="C1327" s="213" t="s">
        <v>4526</v>
      </c>
      <c r="D1327" s="239">
        <v>3.358253400523922E-3</v>
      </c>
      <c r="E1327" s="226">
        <v>2.071362908204348E-2</v>
      </c>
      <c r="F1327" s="226">
        <v>4.9473062527609368E-4</v>
      </c>
      <c r="G1327" s="227">
        <v>4.5513088638527582E-4</v>
      </c>
      <c r="H1327" s="226">
        <v>2.0000005732018801E-3</v>
      </c>
      <c r="I1327" s="255">
        <v>2.5614303405371032E-3</v>
      </c>
      <c r="J1327" s="256">
        <v>6.2710549829411183E-6</v>
      </c>
      <c r="K1327" s="257">
        <v>6.5546042618753738E-6</v>
      </c>
      <c r="L1327" s="228">
        <v>3.1133538498032971E-2</v>
      </c>
    </row>
    <row r="1328" spans="1:12" s="212" customFormat="1" ht="15.5" x14ac:dyDescent="0.35">
      <c r="A1328" s="198" t="s">
        <v>838</v>
      </c>
      <c r="B1328" s="197">
        <v>2048</v>
      </c>
      <c r="C1328" s="213" t="s">
        <v>4527</v>
      </c>
      <c r="D1328" s="239">
        <v>3.3109289550823091E-3</v>
      </c>
      <c r="E1328" s="226">
        <v>2.0341082785445417E-2</v>
      </c>
      <c r="F1328" s="226">
        <v>4.887895870135556E-4</v>
      </c>
      <c r="G1328" s="227">
        <v>4.4966533787340842E-4</v>
      </c>
      <c r="H1328" s="226">
        <v>2.0000005732018801E-3</v>
      </c>
      <c r="I1328" s="255">
        <v>2.5615221530666185E-3</v>
      </c>
      <c r="J1328" s="256">
        <v>6.1944915937319009E-6</v>
      </c>
      <c r="K1328" s="257">
        <v>6.4745790159511253E-6</v>
      </c>
      <c r="L1328" s="228">
        <v>3.1059824909041633E-2</v>
      </c>
    </row>
    <row r="1329" spans="1:12" s="212" customFormat="1" ht="15.5" x14ac:dyDescent="0.35">
      <c r="A1329" s="198" t="s">
        <v>838</v>
      </c>
      <c r="B1329" s="197">
        <v>2049</v>
      </c>
      <c r="C1329" s="213" t="s">
        <v>4528</v>
      </c>
      <c r="D1329" s="239">
        <v>3.3018005633168343E-3</v>
      </c>
      <c r="E1329" s="226">
        <v>2.0306267549776994E-2</v>
      </c>
      <c r="F1329" s="226">
        <v>4.85233341113649E-4</v>
      </c>
      <c r="G1329" s="227">
        <v>4.4639331450491702E-4</v>
      </c>
      <c r="H1329" s="226">
        <v>2.0000005732018801E-3</v>
      </c>
      <c r="I1329" s="255">
        <v>2.5616049940565479E-3</v>
      </c>
      <c r="J1329" s="256">
        <v>6.1383731857000566E-6</v>
      </c>
      <c r="K1329" s="257">
        <v>6.4159231825298389E-6</v>
      </c>
      <c r="L1329" s="228">
        <v>3.0995857033380619E-2</v>
      </c>
    </row>
    <row r="1330" spans="1:12" s="212" customFormat="1" ht="15.5" x14ac:dyDescent="0.35">
      <c r="A1330" s="198" t="s">
        <v>838</v>
      </c>
      <c r="B1330" s="197">
        <v>2050</v>
      </c>
      <c r="C1330" s="213" t="s">
        <v>4529</v>
      </c>
      <c r="D1330" s="239">
        <v>3.2947576684290393E-3</v>
      </c>
      <c r="E1330" s="226">
        <v>2.0274077799204461E-2</v>
      </c>
      <c r="F1330" s="226">
        <v>4.8212649348234807E-4</v>
      </c>
      <c r="G1330" s="227">
        <v>4.4352572004726769E-4</v>
      </c>
      <c r="H1330" s="226">
        <v>2.0000005732018801E-3</v>
      </c>
      <c r="I1330" s="255">
        <v>2.561736852079383E-3</v>
      </c>
      <c r="J1330" s="256">
        <v>5.8570093539309074E-6</v>
      </c>
      <c r="K1330" s="257">
        <v>6.121837326821575E-6</v>
      </c>
      <c r="L1330" s="228">
        <v>3.0942938794480439E-2</v>
      </c>
    </row>
    <row r="1331" spans="1:12" s="212" customFormat="1" ht="15.5" x14ac:dyDescent="0.35">
      <c r="A1331" s="198" t="s">
        <v>840</v>
      </c>
      <c r="B1331" s="197">
        <v>2015</v>
      </c>
      <c r="C1331" s="213" t="s">
        <v>931</v>
      </c>
      <c r="D1331" s="239">
        <v>5.213494164511432E-2</v>
      </c>
      <c r="E1331" s="226">
        <v>0.19927440975235669</v>
      </c>
      <c r="F1331" s="226">
        <v>2.2194476934217539E-3</v>
      </c>
      <c r="G1331" s="227">
        <v>2.0500715235163692E-3</v>
      </c>
      <c r="H1331" s="226">
        <v>2.0000163451307697E-3</v>
      </c>
      <c r="I1331" s="255">
        <v>2.8024548338153317E-3</v>
      </c>
      <c r="J1331" s="256">
        <v>1.6863826438507021E-4</v>
      </c>
      <c r="K1331" s="257">
        <v>1.76263338379348E-4</v>
      </c>
      <c r="L1331" s="228">
        <v>4.995099619872817E-2</v>
      </c>
    </row>
    <row r="1332" spans="1:12" s="212" customFormat="1" ht="15.5" x14ac:dyDescent="0.35">
      <c r="A1332" s="198" t="s">
        <v>840</v>
      </c>
      <c r="B1332" s="197">
        <v>2016</v>
      </c>
      <c r="C1332" s="213" t="s">
        <v>932</v>
      </c>
      <c r="D1332" s="239">
        <v>4.5379829031666347E-2</v>
      </c>
      <c r="E1332" s="226">
        <v>0.1774382973356835</v>
      </c>
      <c r="F1332" s="226">
        <v>2.1749051595146515E-3</v>
      </c>
      <c r="G1332" s="227">
        <v>2.0076604091205301E-3</v>
      </c>
      <c r="H1332" s="226">
        <v>2.0000163451307702E-3</v>
      </c>
      <c r="I1332" s="255">
        <v>2.7961654612719952E-3</v>
      </c>
      <c r="J1332" s="256">
        <v>1.5184550566346708E-4</v>
      </c>
      <c r="K1332" s="257">
        <v>1.5871128562511752E-4</v>
      </c>
      <c r="L1332" s="228">
        <v>4.88609783778415E-2</v>
      </c>
    </row>
    <row r="1333" spans="1:12" s="212" customFormat="1" ht="15.5" x14ac:dyDescent="0.35">
      <c r="A1333" s="198" t="s">
        <v>840</v>
      </c>
      <c r="B1333" s="197">
        <v>2017</v>
      </c>
      <c r="C1333" s="213" t="s">
        <v>4530</v>
      </c>
      <c r="D1333" s="239">
        <v>3.748032785859759E-2</v>
      </c>
      <c r="E1333" s="226">
        <v>0.15066390842507105</v>
      </c>
      <c r="F1333" s="226">
        <v>2.1190081636111428E-3</v>
      </c>
      <c r="G1333" s="227">
        <v>1.954505548062712E-3</v>
      </c>
      <c r="H1333" s="226">
        <v>2.0000163451307706E-3</v>
      </c>
      <c r="I1333" s="255">
        <v>2.800218124252558E-3</v>
      </c>
      <c r="J1333" s="256">
        <v>1.2445820413507067E-4</v>
      </c>
      <c r="K1333" s="257">
        <v>1.3008565185095738E-4</v>
      </c>
      <c r="L1333" s="228">
        <v>4.853184011030405E-2</v>
      </c>
    </row>
    <row r="1334" spans="1:12" s="212" customFormat="1" ht="15.5" x14ac:dyDescent="0.35">
      <c r="A1334" s="198" t="s">
        <v>840</v>
      </c>
      <c r="B1334" s="197">
        <v>2018</v>
      </c>
      <c r="C1334" s="213" t="s">
        <v>4531</v>
      </c>
      <c r="D1334" s="239">
        <v>3.2088732538994309E-2</v>
      </c>
      <c r="E1334" s="226">
        <v>0.13208393034938476</v>
      </c>
      <c r="F1334" s="226">
        <v>2.1188054300226114E-3</v>
      </c>
      <c r="G1334" s="227">
        <v>1.9532696506810621E-3</v>
      </c>
      <c r="H1334" s="226">
        <v>2.0000163451307702E-3</v>
      </c>
      <c r="I1334" s="255">
        <v>2.8034425384384529E-3</v>
      </c>
      <c r="J1334" s="256">
        <v>1.1048928892202462E-4</v>
      </c>
      <c r="K1334" s="257">
        <v>1.1548512427812007E-4</v>
      </c>
      <c r="L1334" s="228">
        <v>4.7910224511596974E-2</v>
      </c>
    </row>
    <row r="1335" spans="1:12" s="212" customFormat="1" ht="15.5" x14ac:dyDescent="0.35">
      <c r="A1335" s="198" t="s">
        <v>840</v>
      </c>
      <c r="B1335" s="197">
        <v>2019</v>
      </c>
      <c r="C1335" s="213" t="s">
        <v>4532</v>
      </c>
      <c r="D1335" s="239">
        <v>2.7252865156819784E-2</v>
      </c>
      <c r="E1335" s="226">
        <v>0.11465288729755306</v>
      </c>
      <c r="F1335" s="226">
        <v>2.1195137553718419E-3</v>
      </c>
      <c r="G1335" s="227">
        <v>1.9531134561819859E-3</v>
      </c>
      <c r="H1335" s="226">
        <v>2.0000163451307706E-3</v>
      </c>
      <c r="I1335" s="255">
        <v>2.8072910229662361E-3</v>
      </c>
      <c r="J1335" s="256">
        <v>1.0080733301198315E-4</v>
      </c>
      <c r="K1335" s="257">
        <v>1.0536539328486995E-4</v>
      </c>
      <c r="L1335" s="228">
        <v>4.7145619959407671E-2</v>
      </c>
    </row>
    <row r="1336" spans="1:12" s="212" customFormat="1" ht="15.5" x14ac:dyDescent="0.35">
      <c r="A1336" s="198" t="s">
        <v>840</v>
      </c>
      <c r="B1336" s="197">
        <v>2020</v>
      </c>
      <c r="C1336" s="213" t="s">
        <v>4533</v>
      </c>
      <c r="D1336" s="239">
        <v>2.426047987828836E-2</v>
      </c>
      <c r="E1336" s="226">
        <v>0.10296717267977985</v>
      </c>
      <c r="F1336" s="226">
        <v>2.0847877547299598E-3</v>
      </c>
      <c r="G1336" s="227">
        <v>1.9207480776911E-3</v>
      </c>
      <c r="H1336" s="226">
        <v>2.0000163451307702E-3</v>
      </c>
      <c r="I1336" s="255">
        <v>2.8155951783021315E-3</v>
      </c>
      <c r="J1336" s="256">
        <v>9.287523962293393E-5</v>
      </c>
      <c r="K1336" s="257">
        <v>9.7074645830911034E-5</v>
      </c>
      <c r="L1336" s="228">
        <v>4.6749310513947977E-2</v>
      </c>
    </row>
    <row r="1337" spans="1:12" s="212" customFormat="1" ht="15.5" x14ac:dyDescent="0.35">
      <c r="A1337" s="198" t="s">
        <v>840</v>
      </c>
      <c r="B1337" s="197">
        <v>2021</v>
      </c>
      <c r="C1337" s="213" t="s">
        <v>4534</v>
      </c>
      <c r="D1337" s="239">
        <v>2.1649407624907982E-2</v>
      </c>
      <c r="E1337" s="226">
        <v>9.1812728874924615E-2</v>
      </c>
      <c r="F1337" s="226">
        <v>2.0145434843759896E-3</v>
      </c>
      <c r="G1337" s="227">
        <v>1.8557647052340983E-3</v>
      </c>
      <c r="H1337" s="226">
        <v>2.00001565451992E-3</v>
      </c>
      <c r="I1337" s="255">
        <v>2.8389334608747091E-3</v>
      </c>
      <c r="J1337" s="256">
        <v>8.4686449365958298E-5</v>
      </c>
      <c r="K1337" s="257">
        <v>8.8515594815733413E-5</v>
      </c>
      <c r="L1337" s="228">
        <v>4.5822514909335636E-2</v>
      </c>
    </row>
    <row r="1338" spans="1:12" s="212" customFormat="1" ht="15.5" x14ac:dyDescent="0.35">
      <c r="A1338" s="198" t="s">
        <v>840</v>
      </c>
      <c r="B1338" s="197">
        <v>2022</v>
      </c>
      <c r="C1338" s="213" t="s">
        <v>4535</v>
      </c>
      <c r="D1338" s="239">
        <v>1.8965221078058616E-2</v>
      </c>
      <c r="E1338" s="226">
        <v>8.1184006495901934E-2</v>
      </c>
      <c r="F1338" s="226">
        <v>1.93256959240951E-3</v>
      </c>
      <c r="G1338" s="227">
        <v>1.7799495428975013E-3</v>
      </c>
      <c r="H1338" s="226">
        <v>2.00001565451992E-3</v>
      </c>
      <c r="I1338" s="255">
        <v>2.8400826821340062E-3</v>
      </c>
      <c r="J1338" s="256">
        <v>7.6307742356846161E-5</v>
      </c>
      <c r="K1338" s="257">
        <v>7.9758039855630953E-5</v>
      </c>
      <c r="L1338" s="228">
        <v>4.4970772912377999E-2</v>
      </c>
    </row>
    <row r="1339" spans="1:12" s="212" customFormat="1" ht="15.5" x14ac:dyDescent="0.35">
      <c r="A1339" s="198" t="s">
        <v>840</v>
      </c>
      <c r="B1339" s="197">
        <v>2023</v>
      </c>
      <c r="C1339" s="213" t="s">
        <v>4536</v>
      </c>
      <c r="D1339" s="239">
        <v>1.6908888753682752E-2</v>
      </c>
      <c r="E1339" s="226">
        <v>7.2249411752919754E-2</v>
      </c>
      <c r="F1339" s="226">
        <v>1.8584835895877339E-3</v>
      </c>
      <c r="G1339" s="227">
        <v>1.711470567449356E-3</v>
      </c>
      <c r="H1339" s="226">
        <v>2.00001565451992E-3</v>
      </c>
      <c r="I1339" s="255">
        <v>2.8408634461623426E-3</v>
      </c>
      <c r="J1339" s="256">
        <v>6.765192325325467E-5</v>
      </c>
      <c r="K1339" s="257">
        <v>7.0710843021803629E-5</v>
      </c>
      <c r="L1339" s="228">
        <v>4.4078709262099919E-2</v>
      </c>
    </row>
    <row r="1340" spans="1:12" s="212" customFormat="1" ht="15.5" x14ac:dyDescent="0.35">
      <c r="A1340" s="198" t="s">
        <v>840</v>
      </c>
      <c r="B1340" s="197">
        <v>2024</v>
      </c>
      <c r="C1340" s="213" t="s">
        <v>4537</v>
      </c>
      <c r="D1340" s="239">
        <v>1.5136141205561414E-2</v>
      </c>
      <c r="E1340" s="226">
        <v>6.4714063796627988E-2</v>
      </c>
      <c r="F1340" s="226">
        <v>1.7914793101044429E-3</v>
      </c>
      <c r="G1340" s="227">
        <v>1.6495210347001043E-3</v>
      </c>
      <c r="H1340" s="226">
        <v>2.00001565451992E-3</v>
      </c>
      <c r="I1340" s="255">
        <v>2.8416350897929265E-3</v>
      </c>
      <c r="J1340" s="256">
        <v>5.9395187283122593E-5</v>
      </c>
      <c r="K1340" s="257">
        <v>6.2080774089825228E-5</v>
      </c>
      <c r="L1340" s="228">
        <v>4.3155536920629414E-2</v>
      </c>
    </row>
    <row r="1341" spans="1:12" s="212" customFormat="1" ht="15.5" x14ac:dyDescent="0.35">
      <c r="A1341" s="198" t="s">
        <v>840</v>
      </c>
      <c r="B1341" s="197">
        <v>2025</v>
      </c>
      <c r="C1341" s="213" t="s">
        <v>4538</v>
      </c>
      <c r="D1341" s="239">
        <v>1.3629467804921773E-2</v>
      </c>
      <c r="E1341" s="226">
        <v>5.8434530812136842E-2</v>
      </c>
      <c r="F1341" s="226">
        <v>1.7320885473852666E-3</v>
      </c>
      <c r="G1341" s="227">
        <v>1.5946279922484986E-3</v>
      </c>
      <c r="H1341" s="226">
        <v>2.00001565451992E-3</v>
      </c>
      <c r="I1341" s="255">
        <v>2.8422539186370374E-3</v>
      </c>
      <c r="J1341" s="256">
        <v>5.2242617989384803E-5</v>
      </c>
      <c r="K1341" s="257">
        <v>5.4604797351680844E-5</v>
      </c>
      <c r="L1341" s="228">
        <v>4.2213374662745273E-2</v>
      </c>
    </row>
    <row r="1342" spans="1:12" s="212" customFormat="1" ht="15.5" x14ac:dyDescent="0.35">
      <c r="A1342" s="198" t="s">
        <v>840</v>
      </c>
      <c r="B1342" s="197">
        <v>2026</v>
      </c>
      <c r="C1342" s="213" t="s">
        <v>4539</v>
      </c>
      <c r="D1342" s="239">
        <v>1.2268212792986143E-2</v>
      </c>
      <c r="E1342" s="226">
        <v>5.3073663746467367E-2</v>
      </c>
      <c r="F1342" s="226">
        <v>1.6530153379667313E-3</v>
      </c>
      <c r="G1342" s="227">
        <v>1.5216290798070471E-3</v>
      </c>
      <c r="H1342" s="226">
        <v>2.00001551931785E-3</v>
      </c>
      <c r="I1342" s="255">
        <v>2.8037254405924744E-3</v>
      </c>
      <c r="J1342" s="256">
        <v>4.4713876732699586E-5</v>
      </c>
      <c r="K1342" s="257">
        <v>4.6735639823662773E-5</v>
      </c>
      <c r="L1342" s="228">
        <v>4.1296413359413447E-2</v>
      </c>
    </row>
    <row r="1343" spans="1:12" s="212" customFormat="1" ht="15.5" x14ac:dyDescent="0.35">
      <c r="A1343" s="198" t="s">
        <v>840</v>
      </c>
      <c r="B1343" s="197">
        <v>2027</v>
      </c>
      <c r="C1343" s="213" t="s">
        <v>4540</v>
      </c>
      <c r="D1343" s="239">
        <v>1.1269253895430651E-2</v>
      </c>
      <c r="E1343" s="226">
        <v>4.8667884190612944E-2</v>
      </c>
      <c r="F1343" s="226">
        <v>1.584056382477342E-3</v>
      </c>
      <c r="G1343" s="227">
        <v>1.45793142833322E-3</v>
      </c>
      <c r="H1343" s="226">
        <v>2.0000156317195698E-3</v>
      </c>
      <c r="I1343" s="255">
        <v>2.8583654384166991E-3</v>
      </c>
      <c r="J1343" s="256">
        <v>3.7216366521076887E-5</v>
      </c>
      <c r="K1343" s="257">
        <v>3.8899125469979351E-5</v>
      </c>
      <c r="L1343" s="228">
        <v>4.0430077744302899E-2</v>
      </c>
    </row>
    <row r="1344" spans="1:12" s="212" customFormat="1" ht="15.5" x14ac:dyDescent="0.35">
      <c r="A1344" s="198" t="s">
        <v>840</v>
      </c>
      <c r="B1344" s="197">
        <v>2028</v>
      </c>
      <c r="C1344" s="213" t="s">
        <v>4541</v>
      </c>
      <c r="D1344" s="239">
        <v>1.0330209676254113E-2</v>
      </c>
      <c r="E1344" s="226">
        <v>4.4857559777305572E-2</v>
      </c>
      <c r="F1344" s="226">
        <v>1.4894731193710535E-3</v>
      </c>
      <c r="G1344" s="227">
        <v>1.3707108621908238E-3</v>
      </c>
      <c r="H1344" s="226">
        <v>2.0000156317195694E-3</v>
      </c>
      <c r="I1344" s="255">
        <v>2.8580523596024006E-3</v>
      </c>
      <c r="J1344" s="256">
        <v>3.067816665119681E-5</v>
      </c>
      <c r="K1344" s="257">
        <v>3.2065297214815522E-5</v>
      </c>
      <c r="L1344" s="228">
        <v>3.9626174217717344E-2</v>
      </c>
    </row>
    <row r="1345" spans="1:12" s="212" customFormat="1" ht="15.5" x14ac:dyDescent="0.35">
      <c r="A1345" s="198" t="s">
        <v>840</v>
      </c>
      <c r="B1345" s="197">
        <v>2029</v>
      </c>
      <c r="C1345" s="213" t="s">
        <v>4542</v>
      </c>
      <c r="D1345" s="239">
        <v>9.5102139873590279E-3</v>
      </c>
      <c r="E1345" s="226">
        <v>4.1573840176461402E-2</v>
      </c>
      <c r="F1345" s="226">
        <v>1.3980841120394731E-3</v>
      </c>
      <c r="G1345" s="227">
        <v>1.2864910937818359E-3</v>
      </c>
      <c r="H1345" s="226">
        <v>2.0000156317195698E-3</v>
      </c>
      <c r="I1345" s="255">
        <v>2.857593212611764E-3</v>
      </c>
      <c r="J1345" s="256">
        <v>2.5777357816657831E-5</v>
      </c>
      <c r="K1345" s="257">
        <v>2.6942895551795882E-5</v>
      </c>
      <c r="L1345" s="228">
        <v>3.888424614437648E-2</v>
      </c>
    </row>
    <row r="1346" spans="1:12" s="212" customFormat="1" ht="15.5" x14ac:dyDescent="0.35">
      <c r="A1346" s="198" t="s">
        <v>840</v>
      </c>
      <c r="B1346" s="197">
        <v>2030</v>
      </c>
      <c r="C1346" s="213" t="s">
        <v>4543</v>
      </c>
      <c r="D1346" s="239">
        <v>8.8056873403223913E-3</v>
      </c>
      <c r="E1346" s="226">
        <v>3.87437268755184E-2</v>
      </c>
      <c r="F1346" s="226">
        <v>1.311249497283938E-3</v>
      </c>
      <c r="G1346" s="227">
        <v>1.2064903252808486E-3</v>
      </c>
      <c r="H1346" s="226">
        <v>2.0000156317195698E-3</v>
      </c>
      <c r="I1346" s="255">
        <v>2.8570321322684078E-3</v>
      </c>
      <c r="J1346" s="256">
        <v>2.1682548331575885E-5</v>
      </c>
      <c r="K1346" s="257">
        <v>2.2662936952246533E-5</v>
      </c>
      <c r="L1346" s="228">
        <v>3.8204023589640021E-2</v>
      </c>
    </row>
    <row r="1347" spans="1:12" s="212" customFormat="1" ht="15.5" x14ac:dyDescent="0.35">
      <c r="A1347" s="198" t="s">
        <v>840</v>
      </c>
      <c r="B1347" s="197">
        <v>2031</v>
      </c>
      <c r="C1347" s="213" t="s">
        <v>4544</v>
      </c>
      <c r="D1347" s="239">
        <v>8.0862187545190766E-3</v>
      </c>
      <c r="E1347" s="226">
        <v>3.6141174144015228E-2</v>
      </c>
      <c r="F1347" s="226">
        <v>1.2153080060624973E-3</v>
      </c>
      <c r="G1347" s="227">
        <v>1.1181611702218641E-3</v>
      </c>
      <c r="H1347" s="226">
        <v>2.0000164723328199E-3</v>
      </c>
      <c r="I1347" s="255">
        <v>2.8180609890820253E-3</v>
      </c>
      <c r="J1347" s="256">
        <v>1.8743972722960587E-5</v>
      </c>
      <c r="K1347" s="257">
        <v>1.9591491994345762E-5</v>
      </c>
      <c r="L1347" s="228">
        <v>3.7582776481135602E-2</v>
      </c>
    </row>
    <row r="1348" spans="1:12" s="212" customFormat="1" ht="15.5" x14ac:dyDescent="0.35">
      <c r="A1348" s="198" t="s">
        <v>840</v>
      </c>
      <c r="B1348" s="197">
        <v>2032</v>
      </c>
      <c r="C1348" s="213" t="s">
        <v>4545</v>
      </c>
      <c r="D1348" s="239">
        <v>7.541422667367105E-3</v>
      </c>
      <c r="E1348" s="226">
        <v>3.3981897612572774E-2</v>
      </c>
      <c r="F1348" s="226">
        <v>1.1390921835244441E-3</v>
      </c>
      <c r="G1348" s="227">
        <v>1.0479876619038726E-3</v>
      </c>
      <c r="H1348" s="226">
        <v>2.0000164723328199E-3</v>
      </c>
      <c r="I1348" s="255">
        <v>2.8171192000259688E-3</v>
      </c>
      <c r="J1348" s="256">
        <v>1.6283352520858939E-5</v>
      </c>
      <c r="K1348" s="257">
        <v>1.7019613465545511E-5</v>
      </c>
      <c r="L1348" s="228">
        <v>3.7016957359459937E-2</v>
      </c>
    </row>
    <row r="1349" spans="1:12" s="212" customFormat="1" ht="15.5" x14ac:dyDescent="0.35">
      <c r="A1349" s="198" t="s">
        <v>840</v>
      </c>
      <c r="B1349" s="197">
        <v>2033</v>
      </c>
      <c r="C1349" s="213" t="s">
        <v>4546</v>
      </c>
      <c r="D1349" s="239">
        <v>7.1524770979342206E-3</v>
      </c>
      <c r="E1349" s="226">
        <v>3.2205020019213514E-2</v>
      </c>
      <c r="F1349" s="226">
        <v>1.082079236779312E-3</v>
      </c>
      <c r="G1349" s="227">
        <v>9.95508914104405E-4</v>
      </c>
      <c r="H1349" s="226">
        <v>2.0000152007130503E-3</v>
      </c>
      <c r="I1349" s="255">
        <v>2.8827846398553954E-3</v>
      </c>
      <c r="J1349" s="256">
        <v>1.4808929073203382E-5</v>
      </c>
      <c r="K1349" s="257">
        <v>1.5478523132244121E-5</v>
      </c>
      <c r="L1349" s="228">
        <v>3.6501543209494211E-2</v>
      </c>
    </row>
    <row r="1350" spans="1:12" s="212" customFormat="1" ht="15.5" x14ac:dyDescent="0.35">
      <c r="A1350" s="198" t="s">
        <v>840</v>
      </c>
      <c r="B1350" s="197">
        <v>2034</v>
      </c>
      <c r="C1350" s="213" t="s">
        <v>4547</v>
      </c>
      <c r="D1350" s="239">
        <v>6.7146963532045863E-3</v>
      </c>
      <c r="E1350" s="226">
        <v>3.0569183644665422E-2</v>
      </c>
      <c r="F1350" s="226">
        <v>1.0155134401927768E-3</v>
      </c>
      <c r="G1350" s="227">
        <v>9.3424802177029167E-4</v>
      </c>
      <c r="H1350" s="226">
        <v>2.0000152007130494E-3</v>
      </c>
      <c r="I1350" s="255">
        <v>2.8815782702339226E-3</v>
      </c>
      <c r="J1350" s="256">
        <v>1.3369109659831502E-5</v>
      </c>
      <c r="K1350" s="257">
        <v>1.3973601474103586E-5</v>
      </c>
      <c r="L1350" s="228">
        <v>3.6035172335295712E-2</v>
      </c>
    </row>
    <row r="1351" spans="1:12" s="212" customFormat="1" ht="15.5" x14ac:dyDescent="0.35">
      <c r="A1351" s="198" t="s">
        <v>840</v>
      </c>
      <c r="B1351" s="197">
        <v>2035</v>
      </c>
      <c r="C1351" s="213" t="s">
        <v>4548</v>
      </c>
      <c r="D1351" s="239">
        <v>6.3347579744943896E-3</v>
      </c>
      <c r="E1351" s="226">
        <v>2.9188632786693289E-2</v>
      </c>
      <c r="F1351" s="226">
        <v>9.5481801174411162E-4</v>
      </c>
      <c r="G1351" s="227">
        <v>8.7839082029762187E-4</v>
      </c>
      <c r="H1351" s="226">
        <v>2.0000152007130503E-3</v>
      </c>
      <c r="I1351" s="255">
        <v>2.8803675395617325E-3</v>
      </c>
      <c r="J1351" s="256">
        <v>1.2085953495329388E-5</v>
      </c>
      <c r="K1351" s="257">
        <v>1.2632426681763838E-5</v>
      </c>
      <c r="L1351" s="228">
        <v>3.5617547771506809E-2</v>
      </c>
    </row>
    <row r="1352" spans="1:12" s="212" customFormat="1" ht="15.5" x14ac:dyDescent="0.35">
      <c r="A1352" s="198" t="s">
        <v>840</v>
      </c>
      <c r="B1352" s="197">
        <v>2036</v>
      </c>
      <c r="C1352" s="213" t="s">
        <v>4549</v>
      </c>
      <c r="D1352" s="239">
        <v>5.9988644922720829E-3</v>
      </c>
      <c r="E1352" s="226">
        <v>2.7976019266281998E-2</v>
      </c>
      <c r="F1352" s="226">
        <v>9.0151836912176616E-4</v>
      </c>
      <c r="G1352" s="227">
        <v>8.2934008011684656E-4</v>
      </c>
      <c r="H1352" s="226">
        <v>2.0000153913159106E-3</v>
      </c>
      <c r="I1352" s="255">
        <v>2.8769079003631731E-3</v>
      </c>
      <c r="J1352" s="256">
        <v>1.0964726446215328E-5</v>
      </c>
      <c r="K1352" s="257">
        <v>1.1460502720860199E-5</v>
      </c>
      <c r="L1352" s="228">
        <v>3.5248052938865668E-2</v>
      </c>
    </row>
    <row r="1353" spans="1:12" s="212" customFormat="1" ht="15.5" x14ac:dyDescent="0.35">
      <c r="A1353" s="198" t="s">
        <v>840</v>
      </c>
      <c r="B1353" s="197">
        <v>2037</v>
      </c>
      <c r="C1353" s="213" t="s">
        <v>4550</v>
      </c>
      <c r="D1353" s="239">
        <v>5.7127451453011062E-3</v>
      </c>
      <c r="E1353" s="226">
        <v>2.6951144540994239E-2</v>
      </c>
      <c r="F1353" s="226">
        <v>8.5468013822341592E-4</v>
      </c>
      <c r="G1353" s="227">
        <v>7.8623788574117351E-4</v>
      </c>
      <c r="H1353" s="226">
        <v>2.0000153913159097E-3</v>
      </c>
      <c r="I1353" s="255">
        <v>2.875817407928589E-3</v>
      </c>
      <c r="J1353" s="256">
        <v>1.0036406977803126E-5</v>
      </c>
      <c r="K1353" s="257">
        <v>1.0490208765443005E-5</v>
      </c>
      <c r="L1353" s="228">
        <v>3.4921638059823408E-2</v>
      </c>
    </row>
    <row r="1354" spans="1:12" s="212" customFormat="1" ht="15.5" x14ac:dyDescent="0.35">
      <c r="A1354" s="198" t="s">
        <v>840</v>
      </c>
      <c r="B1354" s="197">
        <v>2038</v>
      </c>
      <c r="C1354" s="213" t="s">
        <v>4551</v>
      </c>
      <c r="D1354" s="239">
        <v>5.4516966414585848E-3</v>
      </c>
      <c r="E1354" s="226">
        <v>2.6017736376506981E-2</v>
      </c>
      <c r="F1354" s="226">
        <v>8.1364068211486624E-4</v>
      </c>
      <c r="G1354" s="227">
        <v>7.4847675467094128E-4</v>
      </c>
      <c r="H1354" s="226">
        <v>2.0000153913159102E-3</v>
      </c>
      <c r="I1354" s="255">
        <v>2.8748435526633688E-3</v>
      </c>
      <c r="J1354" s="256">
        <v>9.3468772719061216E-6</v>
      </c>
      <c r="K1354" s="257">
        <v>9.7695015859880939E-6</v>
      </c>
      <c r="L1354" s="228">
        <v>3.4639055646842158E-2</v>
      </c>
    </row>
    <row r="1355" spans="1:12" s="212" customFormat="1" ht="15.5" x14ac:dyDescent="0.35">
      <c r="A1355" s="198" t="s">
        <v>840</v>
      </c>
      <c r="B1355" s="197">
        <v>2039</v>
      </c>
      <c r="C1355" s="213" t="s">
        <v>4552</v>
      </c>
      <c r="D1355" s="239">
        <v>5.2080318236336996E-3</v>
      </c>
      <c r="E1355" s="226">
        <v>2.5164179711318513E-2</v>
      </c>
      <c r="F1355" s="226">
        <v>7.7799164749029262E-4</v>
      </c>
      <c r="G1355" s="227">
        <v>7.1567573026590529E-4</v>
      </c>
      <c r="H1355" s="226">
        <v>2.0000153913159102E-3</v>
      </c>
      <c r="I1355" s="255">
        <v>2.8740232847894328E-3</v>
      </c>
      <c r="J1355" s="256">
        <v>8.7552121682256933E-6</v>
      </c>
      <c r="K1355" s="257">
        <v>9.1510840117942468E-6</v>
      </c>
      <c r="L1355" s="228">
        <v>3.4391922248788537E-2</v>
      </c>
    </row>
    <row r="1356" spans="1:12" s="212" customFormat="1" ht="15.5" x14ac:dyDescent="0.35">
      <c r="A1356" s="198" t="s">
        <v>840</v>
      </c>
      <c r="B1356" s="197">
        <v>2040</v>
      </c>
      <c r="C1356" s="213" t="s">
        <v>4553</v>
      </c>
      <c r="D1356" s="239">
        <v>4.9919245415515137E-3</v>
      </c>
      <c r="E1356" s="226">
        <v>2.4427940620665715E-2</v>
      </c>
      <c r="F1356" s="226">
        <v>7.4743150457006022E-4</v>
      </c>
      <c r="G1356" s="227">
        <v>6.8755762375891896E-4</v>
      </c>
      <c r="H1356" s="226">
        <v>2.0000153913159102E-3</v>
      </c>
      <c r="I1356" s="255">
        <v>2.8733451679335748E-3</v>
      </c>
      <c r="J1356" s="256">
        <v>8.2628677949039002E-6</v>
      </c>
      <c r="K1356" s="257">
        <v>8.6364780106566529E-6</v>
      </c>
      <c r="L1356" s="228">
        <v>3.4180078196261572E-2</v>
      </c>
    </row>
    <row r="1357" spans="1:12" s="212" customFormat="1" ht="15.5" x14ac:dyDescent="0.35">
      <c r="A1357" s="198" t="s">
        <v>840</v>
      </c>
      <c r="B1357" s="197">
        <v>2041</v>
      </c>
      <c r="C1357" s="213" t="s">
        <v>4554</v>
      </c>
      <c r="D1357" s="239">
        <v>4.7578537530186442E-3</v>
      </c>
      <c r="E1357" s="226">
        <v>2.3749307214882408E-2</v>
      </c>
      <c r="F1357" s="226">
        <v>7.1442572056534435E-4</v>
      </c>
      <c r="G1357" s="227">
        <v>6.5719199975647195E-4</v>
      </c>
      <c r="H1357" s="226">
        <v>2.0000156659200998E-3</v>
      </c>
      <c r="I1357" s="255">
        <v>2.8249724312431959E-3</v>
      </c>
      <c r="J1357" s="256">
        <v>7.8002749855814109E-6</v>
      </c>
      <c r="K1357" s="257">
        <v>8.1529688072218114E-6</v>
      </c>
      <c r="L1357" s="228">
        <v>3.4001746779300943E-2</v>
      </c>
    </row>
    <row r="1358" spans="1:12" s="212" customFormat="1" ht="15.5" x14ac:dyDescent="0.35">
      <c r="A1358" s="198" t="s">
        <v>840</v>
      </c>
      <c r="B1358" s="197">
        <v>2042</v>
      </c>
      <c r="C1358" s="213" t="s">
        <v>4555</v>
      </c>
      <c r="D1358" s="239">
        <v>4.6074331351831452E-3</v>
      </c>
      <c r="E1358" s="226">
        <v>2.3166682427568547E-2</v>
      </c>
      <c r="F1358" s="226">
        <v>6.9475897593940705E-4</v>
      </c>
      <c r="G1358" s="227">
        <v>6.3909688415132845E-4</v>
      </c>
      <c r="H1358" s="226">
        <v>2.0000156659200998E-3</v>
      </c>
      <c r="I1358" s="255">
        <v>2.8244782218831573E-3</v>
      </c>
      <c r="J1358" s="256">
        <v>7.4853630033663833E-6</v>
      </c>
      <c r="K1358" s="257">
        <v>7.8238179025722329E-6</v>
      </c>
      <c r="L1358" s="228">
        <v>3.3847343033818339E-2</v>
      </c>
    </row>
    <row r="1359" spans="1:12" s="212" customFormat="1" ht="15.5" x14ac:dyDescent="0.35">
      <c r="A1359" s="198" t="s">
        <v>840</v>
      </c>
      <c r="B1359" s="197">
        <v>2043</v>
      </c>
      <c r="C1359" s="213" t="s">
        <v>4556</v>
      </c>
      <c r="D1359" s="239">
        <v>4.4867366721010136E-3</v>
      </c>
      <c r="E1359" s="226">
        <v>2.265399356675081E-2</v>
      </c>
      <c r="F1359" s="226">
        <v>6.7826833686123096E-4</v>
      </c>
      <c r="G1359" s="227">
        <v>6.2392436891398951E-4</v>
      </c>
      <c r="H1359" s="226">
        <v>2.0000156659201003E-3</v>
      </c>
      <c r="I1359" s="255">
        <v>2.8240438016299083E-3</v>
      </c>
      <c r="J1359" s="256">
        <v>7.2291878471628402E-6</v>
      </c>
      <c r="K1359" s="257">
        <v>7.5560596425655845E-6</v>
      </c>
      <c r="L1359" s="228">
        <v>3.3715664807395386E-2</v>
      </c>
    </row>
    <row r="1360" spans="1:12" s="212" customFormat="1" ht="15.5" x14ac:dyDescent="0.35">
      <c r="A1360" s="198" t="s">
        <v>840</v>
      </c>
      <c r="B1360" s="197">
        <v>2044</v>
      </c>
      <c r="C1360" s="213" t="s">
        <v>4557</v>
      </c>
      <c r="D1360" s="239">
        <v>4.3949713659924925E-3</v>
      </c>
      <c r="E1360" s="226">
        <v>2.2187010449447923E-2</v>
      </c>
      <c r="F1360" s="226">
        <v>6.6449733495785443E-4</v>
      </c>
      <c r="G1360" s="227">
        <v>6.1125411894676323E-4</v>
      </c>
      <c r="H1360" s="226">
        <v>2.0000156659200998E-3</v>
      </c>
      <c r="I1360" s="255">
        <v>2.8236615586603006E-3</v>
      </c>
      <c r="J1360" s="256">
        <v>7.0155988015622829E-6</v>
      </c>
      <c r="K1360" s="257">
        <v>7.3328130481103E-6</v>
      </c>
      <c r="L1360" s="228">
        <v>3.3602756105782415E-2</v>
      </c>
    </row>
    <row r="1361" spans="1:12" s="212" customFormat="1" ht="15.5" x14ac:dyDescent="0.35">
      <c r="A1361" s="198" t="s">
        <v>840</v>
      </c>
      <c r="B1361" s="197">
        <v>2045</v>
      </c>
      <c r="C1361" s="213" t="s">
        <v>4558</v>
      </c>
      <c r="D1361" s="239">
        <v>4.3277286776323611E-3</v>
      </c>
      <c r="E1361" s="226">
        <v>2.1756367342961616E-2</v>
      </c>
      <c r="F1361" s="226">
        <v>6.5295281867934897E-4</v>
      </c>
      <c r="G1361" s="227">
        <v>6.0063300597575856E-4</v>
      </c>
      <c r="H1361" s="226">
        <v>2.0000156659200998E-3</v>
      </c>
      <c r="I1361" s="255">
        <v>2.8233138183204661E-3</v>
      </c>
      <c r="J1361" s="256">
        <v>6.8524590622433E-6</v>
      </c>
      <c r="K1361" s="257">
        <v>7.1622968537011895E-6</v>
      </c>
      <c r="L1361" s="228">
        <v>3.3503491499151786E-2</v>
      </c>
    </row>
    <row r="1362" spans="1:12" s="212" customFormat="1" ht="15.5" x14ac:dyDescent="0.35">
      <c r="A1362" s="198" t="s">
        <v>840</v>
      </c>
      <c r="B1362" s="197">
        <v>2046</v>
      </c>
      <c r="C1362" s="213" t="s">
        <v>4559</v>
      </c>
      <c r="D1362" s="239">
        <v>4.269235082288182E-3</v>
      </c>
      <c r="E1362" s="226">
        <v>2.1380534430495032E-2</v>
      </c>
      <c r="F1362" s="226">
        <v>6.4348925185421567E-4</v>
      </c>
      <c r="G1362" s="227">
        <v>5.9192651713764011E-4</v>
      </c>
      <c r="H1362" s="226">
        <v>2.0000156659200998E-3</v>
      </c>
      <c r="I1362" s="255">
        <v>2.8230394486963659E-3</v>
      </c>
      <c r="J1362" s="256">
        <v>6.721861176650189E-6</v>
      </c>
      <c r="K1362" s="257">
        <v>7.0257939112411039E-6</v>
      </c>
      <c r="L1362" s="228">
        <v>3.341671098817859E-2</v>
      </c>
    </row>
    <row r="1363" spans="1:12" s="212" customFormat="1" ht="15.5" x14ac:dyDescent="0.35">
      <c r="A1363" s="198" t="s">
        <v>840</v>
      </c>
      <c r="B1363" s="197">
        <v>2047</v>
      </c>
      <c r="C1363" s="213" t="s">
        <v>4560</v>
      </c>
      <c r="D1363" s="239">
        <v>4.216802622786989E-3</v>
      </c>
      <c r="E1363" s="226">
        <v>2.1040126903989688E-2</v>
      </c>
      <c r="F1363" s="226">
        <v>6.3568238228505923E-4</v>
      </c>
      <c r="G1363" s="227">
        <v>5.847439724993433E-4</v>
      </c>
      <c r="H1363" s="226">
        <v>2.0000156659200994E-3</v>
      </c>
      <c r="I1363" s="255">
        <v>2.8228135802418415E-3</v>
      </c>
      <c r="J1363" s="256">
        <v>6.6085162852719476E-6</v>
      </c>
      <c r="K1363" s="257">
        <v>6.9073240668352335E-6</v>
      </c>
      <c r="L1363" s="228">
        <v>3.3344422391770455E-2</v>
      </c>
    </row>
    <row r="1364" spans="1:12" s="212" customFormat="1" ht="15.5" x14ac:dyDescent="0.35">
      <c r="A1364" s="198" t="s">
        <v>840</v>
      </c>
      <c r="B1364" s="197">
        <v>2048</v>
      </c>
      <c r="C1364" s="213" t="s">
        <v>4561</v>
      </c>
      <c r="D1364" s="239">
        <v>4.1723870514788243E-3</v>
      </c>
      <c r="E1364" s="226">
        <v>2.0749471735236405E-2</v>
      </c>
      <c r="F1364" s="226">
        <v>6.2923316064868661E-4</v>
      </c>
      <c r="G1364" s="227">
        <v>5.7881035288778607E-4</v>
      </c>
      <c r="H1364" s="226">
        <v>2.0000156659201003E-3</v>
      </c>
      <c r="I1364" s="255">
        <v>2.822639949024259E-3</v>
      </c>
      <c r="J1364" s="256">
        <v>6.51102923582236E-6</v>
      </c>
      <c r="K1364" s="257">
        <v>6.8054290856019114E-6</v>
      </c>
      <c r="L1364" s="228">
        <v>3.3281559225755812E-2</v>
      </c>
    </row>
    <row r="1365" spans="1:12" s="212" customFormat="1" ht="15.5" x14ac:dyDescent="0.35">
      <c r="A1365" s="198" t="s">
        <v>840</v>
      </c>
      <c r="B1365" s="197">
        <v>2049</v>
      </c>
      <c r="C1365" s="213" t="s">
        <v>4562</v>
      </c>
      <c r="D1365" s="239">
        <v>4.1627769073982034E-3</v>
      </c>
      <c r="E1365" s="226">
        <v>2.0720994595061059E-2</v>
      </c>
      <c r="F1365" s="226">
        <v>6.252777917694982E-4</v>
      </c>
      <c r="G1365" s="227">
        <v>5.7517075722736356E-4</v>
      </c>
      <c r="H1365" s="226">
        <v>2.0000156659200998E-3</v>
      </c>
      <c r="I1365" s="255">
        <v>2.8224992596011418E-3</v>
      </c>
      <c r="J1365" s="256">
        <v>6.4396797840292318E-6</v>
      </c>
      <c r="K1365" s="257">
        <v>6.7308535282072133E-6</v>
      </c>
      <c r="L1365" s="228">
        <v>3.3226262413747876E-2</v>
      </c>
    </row>
    <row r="1366" spans="1:12" s="212" customFormat="1" ht="15.5" x14ac:dyDescent="0.35">
      <c r="A1366" s="198" t="s">
        <v>840</v>
      </c>
      <c r="B1366" s="197">
        <v>2050</v>
      </c>
      <c r="C1366" s="213" t="s">
        <v>4563</v>
      </c>
      <c r="D1366" s="239">
        <v>4.1555016387882305E-3</v>
      </c>
      <c r="E1366" s="226">
        <v>2.0697686379217404E-2</v>
      </c>
      <c r="F1366" s="226">
        <v>6.2197770983066409E-4</v>
      </c>
      <c r="G1366" s="227">
        <v>5.7212942678190712E-4</v>
      </c>
      <c r="H1366" s="226">
        <v>2.0000156659200994E-3</v>
      </c>
      <c r="I1366" s="255">
        <v>2.8224449997107043E-3</v>
      </c>
      <c r="J1366" s="256">
        <v>6.2593307121468518E-6</v>
      </c>
      <c r="K1366" s="257">
        <v>6.5423498715814595E-6</v>
      </c>
      <c r="L1366" s="228">
        <v>3.3180656510238812E-2</v>
      </c>
    </row>
    <row r="1367" spans="1:12" s="212" customFormat="1" ht="15.5" x14ac:dyDescent="0.35">
      <c r="A1367" s="198" t="s">
        <v>842</v>
      </c>
      <c r="B1367" s="197">
        <v>2015</v>
      </c>
      <c r="C1367" s="213" t="s">
        <v>933</v>
      </c>
      <c r="D1367" s="239">
        <v>4.2792496844300663E-2</v>
      </c>
      <c r="E1367" s="226">
        <v>0.16852715714169419</v>
      </c>
      <c r="F1367" s="226">
        <v>2.0431254029564219E-3</v>
      </c>
      <c r="G1367" s="227">
        <v>1.8885425378019475E-3</v>
      </c>
      <c r="H1367" s="226">
        <v>2.0000005732018801E-3</v>
      </c>
      <c r="I1367" s="255">
        <v>3.362153098988116E-3</v>
      </c>
      <c r="J1367" s="256">
        <v>2.0223291685514524E-4</v>
      </c>
      <c r="K1367" s="257">
        <v>2.1137699196005673E-4</v>
      </c>
      <c r="L1367" s="228">
        <v>4.4107932177601665E-2</v>
      </c>
    </row>
    <row r="1368" spans="1:12" s="212" customFormat="1" ht="15.5" x14ac:dyDescent="0.35">
      <c r="A1368" s="198" t="s">
        <v>842</v>
      </c>
      <c r="B1368" s="197">
        <v>2016</v>
      </c>
      <c r="C1368" s="213" t="s">
        <v>934</v>
      </c>
      <c r="D1368" s="239">
        <v>3.6217404834029618E-2</v>
      </c>
      <c r="E1368" s="226">
        <v>0.14656840012437419</v>
      </c>
      <c r="F1368" s="226">
        <v>1.9947577056487883E-3</v>
      </c>
      <c r="G1368" s="227">
        <v>1.842216490869172E-3</v>
      </c>
      <c r="H1368" s="226">
        <v>2.0000005732018805E-3</v>
      </c>
      <c r="I1368" s="255">
        <v>3.4181618803534619E-3</v>
      </c>
      <c r="J1368" s="256">
        <v>1.7263854528613376E-4</v>
      </c>
      <c r="K1368" s="257">
        <v>1.8044449423177371E-4</v>
      </c>
      <c r="L1368" s="228">
        <v>4.3063336986678934E-2</v>
      </c>
    </row>
    <row r="1369" spans="1:12" s="212" customFormat="1" ht="15.5" x14ac:dyDescent="0.35">
      <c r="A1369" s="198" t="s">
        <v>842</v>
      </c>
      <c r="B1369" s="197">
        <v>2017</v>
      </c>
      <c r="C1369" s="213" t="s">
        <v>4564</v>
      </c>
      <c r="D1369" s="239">
        <v>2.9582902647760805E-2</v>
      </c>
      <c r="E1369" s="226">
        <v>0.12375066415276853</v>
      </c>
      <c r="F1369" s="226">
        <v>1.9750680463580571E-3</v>
      </c>
      <c r="G1369" s="227">
        <v>1.822235300668649E-3</v>
      </c>
      <c r="H1369" s="226">
        <v>2.0000005732018801E-3</v>
      </c>
      <c r="I1369" s="255">
        <v>3.4271469177119644E-3</v>
      </c>
      <c r="J1369" s="256">
        <v>1.3972738027583307E-4</v>
      </c>
      <c r="K1369" s="257">
        <v>1.460452323808391E-4</v>
      </c>
      <c r="L1369" s="228">
        <v>4.2761278529636536E-2</v>
      </c>
    </row>
    <row r="1370" spans="1:12" s="212" customFormat="1" ht="15.5" x14ac:dyDescent="0.35">
      <c r="A1370" s="198" t="s">
        <v>842</v>
      </c>
      <c r="B1370" s="197">
        <v>2018</v>
      </c>
      <c r="C1370" s="213" t="s">
        <v>4565</v>
      </c>
      <c r="D1370" s="239">
        <v>2.5699500112530832E-2</v>
      </c>
      <c r="E1370" s="226">
        <v>0.10895014357333718</v>
      </c>
      <c r="F1370" s="226">
        <v>1.9980033830688023E-3</v>
      </c>
      <c r="G1370" s="227">
        <v>1.8422610969424235E-3</v>
      </c>
      <c r="H1370" s="226">
        <v>2.0000005732018801E-3</v>
      </c>
      <c r="I1370" s="255">
        <v>3.438997704113662E-3</v>
      </c>
      <c r="J1370" s="256">
        <v>1.1844945381753033E-4</v>
      </c>
      <c r="K1370" s="257">
        <v>1.238052125074924E-4</v>
      </c>
      <c r="L1370" s="228">
        <v>4.2246839252836239E-2</v>
      </c>
    </row>
    <row r="1371" spans="1:12" s="212" customFormat="1" ht="15.5" x14ac:dyDescent="0.35">
      <c r="A1371" s="198" t="s">
        <v>842</v>
      </c>
      <c r="B1371" s="197">
        <v>2019</v>
      </c>
      <c r="C1371" s="213" t="s">
        <v>4566</v>
      </c>
      <c r="D1371" s="239">
        <v>2.1785487606808818E-2</v>
      </c>
      <c r="E1371" s="226">
        <v>9.4917976796968617E-2</v>
      </c>
      <c r="F1371" s="226">
        <v>2.0124202883857727E-3</v>
      </c>
      <c r="G1371" s="227">
        <v>1.8544803914431387E-3</v>
      </c>
      <c r="H1371" s="226">
        <v>2.0000005732018801E-3</v>
      </c>
      <c r="I1371" s="255">
        <v>3.4506572441259835E-3</v>
      </c>
      <c r="J1371" s="256">
        <v>1.0035151482843604E-4</v>
      </c>
      <c r="K1371" s="257">
        <v>1.04888965025726E-4</v>
      </c>
      <c r="L1371" s="228">
        <v>4.1698766613981107E-2</v>
      </c>
    </row>
    <row r="1372" spans="1:12" s="212" customFormat="1" ht="15.5" x14ac:dyDescent="0.35">
      <c r="A1372" s="198" t="s">
        <v>842</v>
      </c>
      <c r="B1372" s="197">
        <v>2020</v>
      </c>
      <c r="C1372" s="213" t="s">
        <v>4567</v>
      </c>
      <c r="D1372" s="239">
        <v>1.921305680357949E-2</v>
      </c>
      <c r="E1372" s="226">
        <v>8.4512086143180218E-2</v>
      </c>
      <c r="F1372" s="226">
        <v>1.9870629066374638E-3</v>
      </c>
      <c r="G1372" s="227">
        <v>1.8307319206952481E-3</v>
      </c>
      <c r="H1372" s="226">
        <v>2.0000005732018805E-3</v>
      </c>
      <c r="I1372" s="255">
        <v>3.4679511361986105E-3</v>
      </c>
      <c r="J1372" s="256">
        <v>9.1481949837723069E-5</v>
      </c>
      <c r="K1372" s="257">
        <v>9.5618357664244662E-5</v>
      </c>
      <c r="L1372" s="228">
        <v>4.1411843562446225E-2</v>
      </c>
    </row>
    <row r="1373" spans="1:12" s="212" customFormat="1" ht="15.5" x14ac:dyDescent="0.35">
      <c r="A1373" s="198" t="s">
        <v>842</v>
      </c>
      <c r="B1373" s="197">
        <v>2021</v>
      </c>
      <c r="C1373" s="213" t="s">
        <v>4568</v>
      </c>
      <c r="D1373" s="239">
        <v>1.7934066525388065E-2</v>
      </c>
      <c r="E1373" s="226">
        <v>7.5865248440900604E-2</v>
      </c>
      <c r="F1373" s="226">
        <v>2.0228927239072554E-3</v>
      </c>
      <c r="G1373" s="227">
        <v>1.8634055582799926E-3</v>
      </c>
      <c r="H1373" s="226">
        <v>2.0000005732018801E-3</v>
      </c>
      <c r="I1373" s="255">
        <v>3.5525265622608896E-3</v>
      </c>
      <c r="J1373" s="256">
        <v>8.5719397910809009E-5</v>
      </c>
      <c r="K1373" s="257">
        <v>8.9595248710141144E-5</v>
      </c>
      <c r="L1373" s="228">
        <v>4.0632303399696763E-2</v>
      </c>
    </row>
    <row r="1374" spans="1:12" s="212" customFormat="1" ht="15.5" x14ac:dyDescent="0.35">
      <c r="A1374" s="198" t="s">
        <v>842</v>
      </c>
      <c r="B1374" s="197">
        <v>2022</v>
      </c>
      <c r="C1374" s="213" t="s">
        <v>4569</v>
      </c>
      <c r="D1374" s="239">
        <v>1.5737924675958102E-2</v>
      </c>
      <c r="E1374" s="226">
        <v>6.7026253606092628E-2</v>
      </c>
      <c r="F1374" s="226">
        <v>1.9363971730895256E-3</v>
      </c>
      <c r="G1374" s="227">
        <v>1.78345662779864E-3</v>
      </c>
      <c r="H1374" s="226">
        <v>2.0000005732018805E-3</v>
      </c>
      <c r="I1374" s="255">
        <v>3.5624141963085262E-3</v>
      </c>
      <c r="J1374" s="256">
        <v>7.6386147812009658E-5</v>
      </c>
      <c r="K1374" s="257">
        <v>7.9839990457558071E-5</v>
      </c>
      <c r="L1374" s="228">
        <v>3.9910929390276448E-2</v>
      </c>
    </row>
    <row r="1375" spans="1:12" s="212" customFormat="1" ht="15.5" x14ac:dyDescent="0.35">
      <c r="A1375" s="198" t="s">
        <v>842</v>
      </c>
      <c r="B1375" s="197">
        <v>2023</v>
      </c>
      <c r="C1375" s="213" t="s">
        <v>4570</v>
      </c>
      <c r="D1375" s="239">
        <v>1.3984337997076686E-2</v>
      </c>
      <c r="E1375" s="226">
        <v>5.9686197434655967E-2</v>
      </c>
      <c r="F1375" s="226">
        <v>1.8568679506925326E-3</v>
      </c>
      <c r="G1375" s="227">
        <v>1.7099470104868987E-3</v>
      </c>
      <c r="H1375" s="226">
        <v>2.0000005732018801E-3</v>
      </c>
      <c r="I1375" s="255">
        <v>3.5718009304477132E-3</v>
      </c>
      <c r="J1375" s="256">
        <v>6.6863453739495873E-5</v>
      </c>
      <c r="K1375" s="257">
        <v>6.9886722415414261E-5</v>
      </c>
      <c r="L1375" s="228">
        <v>3.9114866249937819E-2</v>
      </c>
    </row>
    <row r="1376" spans="1:12" s="212" customFormat="1" ht="15.5" x14ac:dyDescent="0.35">
      <c r="A1376" s="198" t="s">
        <v>842</v>
      </c>
      <c r="B1376" s="197">
        <v>2024</v>
      </c>
      <c r="C1376" s="213" t="s">
        <v>4571</v>
      </c>
      <c r="D1376" s="239">
        <v>1.2485421129275994E-2</v>
      </c>
      <c r="E1376" s="226">
        <v>5.3597592332244523E-2</v>
      </c>
      <c r="F1376" s="226">
        <v>1.7847994949205628E-3</v>
      </c>
      <c r="G1376" s="227">
        <v>1.6433503929397342E-3</v>
      </c>
      <c r="H1376" s="226">
        <v>2.0000005732018797E-3</v>
      </c>
      <c r="I1376" s="255">
        <v>3.5810782721061966E-3</v>
      </c>
      <c r="J1376" s="256">
        <v>5.8760960731599622E-5</v>
      </c>
      <c r="K1376" s="257">
        <v>6.1417870627981165E-5</v>
      </c>
      <c r="L1376" s="228">
        <v>3.8309920927186873E-2</v>
      </c>
    </row>
    <row r="1377" spans="1:12" s="212" customFormat="1" ht="15.5" x14ac:dyDescent="0.35">
      <c r="A1377" s="198" t="s">
        <v>842</v>
      </c>
      <c r="B1377" s="197">
        <v>2025</v>
      </c>
      <c r="C1377" s="213" t="s">
        <v>4572</v>
      </c>
      <c r="D1377" s="239">
        <v>1.1247325686955467E-2</v>
      </c>
      <c r="E1377" s="226">
        <v>4.8681269318263047E-2</v>
      </c>
      <c r="F1377" s="226">
        <v>1.7209413651079473E-3</v>
      </c>
      <c r="G1377" s="227">
        <v>1.5843764820993285E-3</v>
      </c>
      <c r="H1377" s="226">
        <v>2.0000005732018801E-3</v>
      </c>
      <c r="I1377" s="255">
        <v>3.5899699725621308E-3</v>
      </c>
      <c r="J1377" s="256">
        <v>5.2199293105649851E-5</v>
      </c>
      <c r="K1377" s="257">
        <v>5.4559513508954607E-5</v>
      </c>
      <c r="L1377" s="228">
        <v>3.7471552369371254E-2</v>
      </c>
    </row>
    <row r="1378" spans="1:12" s="212" customFormat="1" ht="15.5" x14ac:dyDescent="0.35">
      <c r="A1378" s="198" t="s">
        <v>842</v>
      </c>
      <c r="B1378" s="197">
        <v>2026</v>
      </c>
      <c r="C1378" s="213" t="s">
        <v>4573</v>
      </c>
      <c r="D1378" s="239">
        <v>1.0213416365140152E-2</v>
      </c>
      <c r="E1378" s="226">
        <v>4.465471497326088E-2</v>
      </c>
      <c r="F1378" s="226">
        <v>1.6474060584942393E-3</v>
      </c>
      <c r="G1378" s="227">
        <v>1.5165018324556619E-3</v>
      </c>
      <c r="H1378" s="226">
        <v>2.0000005732018801E-3</v>
      </c>
      <c r="I1378" s="255">
        <v>3.5978429168631886E-3</v>
      </c>
      <c r="J1378" s="256">
        <v>4.5495181327496418E-5</v>
      </c>
      <c r="K1378" s="257">
        <v>4.7552271545248792E-5</v>
      </c>
      <c r="L1378" s="228">
        <v>3.6691933240951477E-2</v>
      </c>
    </row>
    <row r="1379" spans="1:12" s="212" customFormat="1" ht="15.5" x14ac:dyDescent="0.35">
      <c r="A1379" s="198" t="s">
        <v>842</v>
      </c>
      <c r="B1379" s="197">
        <v>2027</v>
      </c>
      <c r="C1379" s="213" t="s">
        <v>4574</v>
      </c>
      <c r="D1379" s="239">
        <v>9.3319628236136123E-3</v>
      </c>
      <c r="E1379" s="226">
        <v>4.1251749294905382E-2</v>
      </c>
      <c r="F1379" s="226">
        <v>1.5577729997274482E-3</v>
      </c>
      <c r="G1379" s="227">
        <v>1.4337757419950053E-3</v>
      </c>
      <c r="H1379" s="226">
        <v>2.0000005732018797E-3</v>
      </c>
      <c r="I1379" s="255">
        <v>3.6048339555743753E-3</v>
      </c>
      <c r="J1379" s="256">
        <v>3.7496476989769847E-5</v>
      </c>
      <c r="K1379" s="257">
        <v>3.9191901291094801E-5</v>
      </c>
      <c r="L1379" s="228">
        <v>3.6025345519687044E-2</v>
      </c>
    </row>
    <row r="1380" spans="1:12" s="212" customFormat="1" ht="15.5" x14ac:dyDescent="0.35">
      <c r="A1380" s="198" t="s">
        <v>842</v>
      </c>
      <c r="B1380" s="197">
        <v>2028</v>
      </c>
      <c r="C1380" s="213" t="s">
        <v>4575</v>
      </c>
      <c r="D1380" s="239">
        <v>8.5814025689578757E-3</v>
      </c>
      <c r="E1380" s="226">
        <v>3.8403786127337303E-2</v>
      </c>
      <c r="F1380" s="226">
        <v>1.4565016694725588E-3</v>
      </c>
      <c r="G1380" s="227">
        <v>1.3403721162433071E-3</v>
      </c>
      <c r="H1380" s="226">
        <v>2.0000005732018805E-3</v>
      </c>
      <c r="I1380" s="255">
        <v>3.611193512896343E-3</v>
      </c>
      <c r="J1380" s="256">
        <v>3.0095180037912979E-5</v>
      </c>
      <c r="K1380" s="257">
        <v>3.1455950533843811E-5</v>
      </c>
      <c r="L1380" s="228">
        <v>3.535431005976146E-2</v>
      </c>
    </row>
    <row r="1381" spans="1:12" s="212" customFormat="1" ht="15.5" x14ac:dyDescent="0.35">
      <c r="A1381" s="198" t="s">
        <v>842</v>
      </c>
      <c r="B1381" s="197">
        <v>2029</v>
      </c>
      <c r="C1381" s="213" t="s">
        <v>4576</v>
      </c>
      <c r="D1381" s="239">
        <v>7.9445180299195627E-3</v>
      </c>
      <c r="E1381" s="226">
        <v>3.6004496674655266E-2</v>
      </c>
      <c r="F1381" s="226">
        <v>1.360779821928379E-3</v>
      </c>
      <c r="G1381" s="227">
        <v>1.2521537995405477E-3</v>
      </c>
      <c r="H1381" s="226">
        <v>2.0000005732018797E-3</v>
      </c>
      <c r="I1381" s="255">
        <v>3.6168889968732241E-3</v>
      </c>
      <c r="J1381" s="256">
        <v>2.4818073086999535E-5</v>
      </c>
      <c r="K1381" s="257">
        <v>2.5940236223425395E-5</v>
      </c>
      <c r="L1381" s="228">
        <v>3.4748321276039926E-2</v>
      </c>
    </row>
    <row r="1382" spans="1:12" s="212" customFormat="1" ht="15.5" x14ac:dyDescent="0.35">
      <c r="A1382" s="198" t="s">
        <v>842</v>
      </c>
      <c r="B1382" s="197">
        <v>2030</v>
      </c>
      <c r="C1382" s="213" t="s">
        <v>4577</v>
      </c>
      <c r="D1382" s="239">
        <v>7.4111885208363298E-3</v>
      </c>
      <c r="E1382" s="226">
        <v>3.4000732294978658E-2</v>
      </c>
      <c r="F1382" s="226">
        <v>1.2710077946639876E-3</v>
      </c>
      <c r="G1382" s="227">
        <v>1.1694269130034312E-3</v>
      </c>
      <c r="H1382" s="226">
        <v>2.0000005732018801E-3</v>
      </c>
      <c r="I1382" s="255">
        <v>3.6219240290268559E-3</v>
      </c>
      <c r="J1382" s="256">
        <v>2.0074552125791319E-5</v>
      </c>
      <c r="K1382" s="257">
        <v>2.0982234293413846E-5</v>
      </c>
      <c r="L1382" s="228">
        <v>3.4203050006582018E-2</v>
      </c>
    </row>
    <row r="1383" spans="1:12" s="212" customFormat="1" ht="15.5" x14ac:dyDescent="0.35">
      <c r="A1383" s="198" t="s">
        <v>842</v>
      </c>
      <c r="B1383" s="197">
        <v>2031</v>
      </c>
      <c r="C1383" s="213" t="s">
        <v>4578</v>
      </c>
      <c r="D1383" s="239">
        <v>7.0668222506500384E-3</v>
      </c>
      <c r="E1383" s="226">
        <v>3.2395316975625782E-2</v>
      </c>
      <c r="F1383" s="226">
        <v>1.2093388599616233E-3</v>
      </c>
      <c r="G1383" s="227">
        <v>1.1126410613724828E-3</v>
      </c>
      <c r="H1383" s="226">
        <v>2.0000005732018801E-3</v>
      </c>
      <c r="I1383" s="255">
        <v>3.6561408517095492E-3</v>
      </c>
      <c r="J1383" s="256">
        <v>1.7930394421244586E-5</v>
      </c>
      <c r="K1383" s="257">
        <v>1.8741127292026402E-5</v>
      </c>
      <c r="L1383" s="228">
        <v>3.3712323796972539E-2</v>
      </c>
    </row>
    <row r="1384" spans="1:12" s="212" customFormat="1" ht="15.5" x14ac:dyDescent="0.35">
      <c r="A1384" s="198" t="s">
        <v>842</v>
      </c>
      <c r="B1384" s="197">
        <v>2032</v>
      </c>
      <c r="C1384" s="213" t="s">
        <v>4579</v>
      </c>
      <c r="D1384" s="239">
        <v>6.6555794102468886E-3</v>
      </c>
      <c r="E1384" s="226">
        <v>3.0897790843210475E-2</v>
      </c>
      <c r="F1384" s="226">
        <v>1.1318981943317743E-3</v>
      </c>
      <c r="G1384" s="227">
        <v>1.0413500690189324E-3</v>
      </c>
      <c r="H1384" s="226">
        <v>2.0000005732018805E-3</v>
      </c>
      <c r="I1384" s="255">
        <v>3.6596586917853006E-3</v>
      </c>
      <c r="J1384" s="256">
        <v>1.5693422389007143E-5</v>
      </c>
      <c r="K1384" s="257">
        <v>1.640300931090756E-5</v>
      </c>
      <c r="L1384" s="228">
        <v>3.324202979739653E-2</v>
      </c>
    </row>
    <row r="1385" spans="1:12" s="212" customFormat="1" ht="15.5" x14ac:dyDescent="0.35">
      <c r="A1385" s="198" t="s">
        <v>842</v>
      </c>
      <c r="B1385" s="197">
        <v>2033</v>
      </c>
      <c r="C1385" s="213" t="s">
        <v>4580</v>
      </c>
      <c r="D1385" s="239">
        <v>6.3000267980934015E-3</v>
      </c>
      <c r="E1385" s="226">
        <v>2.9611660801087229E-2</v>
      </c>
      <c r="F1385" s="226">
        <v>1.0613588356022427E-3</v>
      </c>
      <c r="G1385" s="227">
        <v>9.764300970423952E-4</v>
      </c>
      <c r="H1385" s="226">
        <v>2.0000005732018801E-3</v>
      </c>
      <c r="I1385" s="255">
        <v>3.6624880501318104E-3</v>
      </c>
      <c r="J1385" s="256">
        <v>1.4111520865953749E-5</v>
      </c>
      <c r="K1385" s="257">
        <v>1.4749581220565755E-5</v>
      </c>
      <c r="L1385" s="228">
        <v>3.2846931324389012E-2</v>
      </c>
    </row>
    <row r="1386" spans="1:12" s="212" customFormat="1" ht="15.5" x14ac:dyDescent="0.35">
      <c r="A1386" s="198" t="s">
        <v>842</v>
      </c>
      <c r="B1386" s="197">
        <v>2034</v>
      </c>
      <c r="C1386" s="213" t="s">
        <v>4581</v>
      </c>
      <c r="D1386" s="239">
        <v>5.9884385526533402E-3</v>
      </c>
      <c r="E1386" s="226">
        <v>2.8508063547783055E-2</v>
      </c>
      <c r="F1386" s="226">
        <v>9.9726761873925973E-4</v>
      </c>
      <c r="G1386" s="227">
        <v>9.1745010432954879E-4</v>
      </c>
      <c r="H1386" s="226">
        <v>2.0000005732018805E-3</v>
      </c>
      <c r="I1386" s="255">
        <v>3.664728509335287E-3</v>
      </c>
      <c r="J1386" s="256">
        <v>1.2815810670254075E-5</v>
      </c>
      <c r="K1386" s="257">
        <v>1.3395284759445368E-5</v>
      </c>
      <c r="L1386" s="228">
        <v>3.2498087881863098E-2</v>
      </c>
    </row>
    <row r="1387" spans="1:12" s="212" customFormat="1" ht="15.5" x14ac:dyDescent="0.35">
      <c r="A1387" s="198" t="s">
        <v>842</v>
      </c>
      <c r="B1387" s="197">
        <v>2035</v>
      </c>
      <c r="C1387" s="213" t="s">
        <v>4582</v>
      </c>
      <c r="D1387" s="239">
        <v>5.7111318769080361E-3</v>
      </c>
      <c r="E1387" s="226">
        <v>2.7544365626086972E-2</v>
      </c>
      <c r="F1387" s="226">
        <v>9.3937413514890691E-4</v>
      </c>
      <c r="G1387" s="227">
        <v>8.6417840872202536E-4</v>
      </c>
      <c r="H1387" s="226">
        <v>2.0000005732018801E-3</v>
      </c>
      <c r="I1387" s="255">
        <v>3.6664920180390359E-3</v>
      </c>
      <c r="J1387" s="256">
        <v>1.1769315587144296E-5</v>
      </c>
      <c r="K1387" s="257">
        <v>1.2301471812430535E-5</v>
      </c>
      <c r="L1387" s="228">
        <v>3.2191522305313705E-2</v>
      </c>
    </row>
    <row r="1388" spans="1:12" s="212" customFormat="1" ht="15.5" x14ac:dyDescent="0.35">
      <c r="A1388" s="198" t="s">
        <v>842</v>
      </c>
      <c r="B1388" s="197">
        <v>2036</v>
      </c>
      <c r="C1388" s="213" t="s">
        <v>4583</v>
      </c>
      <c r="D1388" s="239">
        <v>5.4680695165280346E-3</v>
      </c>
      <c r="E1388" s="226">
        <v>2.6704008699816567E-2</v>
      </c>
      <c r="F1388" s="226">
        <v>8.8932528670879912E-4</v>
      </c>
      <c r="G1388" s="227">
        <v>8.1812663508771004E-4</v>
      </c>
      <c r="H1388" s="226">
        <v>2.0000005732018797E-3</v>
      </c>
      <c r="I1388" s="255">
        <v>3.6678594010247155E-3</v>
      </c>
      <c r="J1388" s="256">
        <v>1.0904262971219003E-5</v>
      </c>
      <c r="K1388" s="257">
        <v>1.1397305355827234E-5</v>
      </c>
      <c r="L1388" s="228">
        <v>3.1887936112810267E-2</v>
      </c>
    </row>
    <row r="1389" spans="1:12" s="212" customFormat="1" ht="15.5" x14ac:dyDescent="0.35">
      <c r="A1389" s="198" t="s">
        <v>842</v>
      </c>
      <c r="B1389" s="197">
        <v>2037</v>
      </c>
      <c r="C1389" s="213" t="s">
        <v>4584</v>
      </c>
      <c r="D1389" s="239">
        <v>5.2679935433552795E-3</v>
      </c>
      <c r="E1389" s="226">
        <v>2.6018422528793293E-2</v>
      </c>
      <c r="F1389" s="226">
        <v>8.4564630235545429E-4</v>
      </c>
      <c r="G1389" s="227">
        <v>7.7793478934059775E-4</v>
      </c>
      <c r="H1389" s="226">
        <v>2.0000005732018805E-3</v>
      </c>
      <c r="I1389" s="255">
        <v>3.6688933586699148E-3</v>
      </c>
      <c r="J1389" s="256">
        <v>1.0118080019611155E-5</v>
      </c>
      <c r="K1389" s="257">
        <v>1.0575574699782832E-5</v>
      </c>
      <c r="L1389" s="228">
        <v>3.1657635962664202E-2</v>
      </c>
    </row>
    <row r="1390" spans="1:12" s="212" customFormat="1" ht="15.5" x14ac:dyDescent="0.35">
      <c r="A1390" s="198" t="s">
        <v>842</v>
      </c>
      <c r="B1390" s="197">
        <v>2038</v>
      </c>
      <c r="C1390" s="213" t="s">
        <v>4585</v>
      </c>
      <c r="D1390" s="239">
        <v>5.0903583279741657E-3</v>
      </c>
      <c r="E1390" s="226">
        <v>2.5402631812741952E-2</v>
      </c>
      <c r="F1390" s="226">
        <v>8.0788006959294E-4</v>
      </c>
      <c r="G1390" s="227">
        <v>7.4318869653834392E-4</v>
      </c>
      <c r="H1390" s="226">
        <v>2.0000005732018801E-3</v>
      </c>
      <c r="I1390" s="255">
        <v>3.669652147205132E-3</v>
      </c>
      <c r="J1390" s="256">
        <v>9.5679195311344293E-6</v>
      </c>
      <c r="K1390" s="257">
        <v>1.0000538395318209E-5</v>
      </c>
      <c r="L1390" s="228">
        <v>3.137012087489003E-2</v>
      </c>
    </row>
    <row r="1391" spans="1:12" s="212" customFormat="1" ht="15.5" x14ac:dyDescent="0.35">
      <c r="A1391" s="198" t="s">
        <v>842</v>
      </c>
      <c r="B1391" s="197">
        <v>2039</v>
      </c>
      <c r="C1391" s="213" t="s">
        <v>4586</v>
      </c>
      <c r="D1391" s="239">
        <v>4.9301771990120291E-3</v>
      </c>
      <c r="E1391" s="226">
        <v>2.4857180773966429E-2</v>
      </c>
      <c r="F1391" s="226">
        <v>7.7556466002190569E-4</v>
      </c>
      <c r="G1391" s="227">
        <v>7.1345881766003098E-4</v>
      </c>
      <c r="H1391" s="226">
        <v>2.0000005732018801E-3</v>
      </c>
      <c r="I1391" s="255">
        <v>3.6702660725295572E-3</v>
      </c>
      <c r="J1391" s="256">
        <v>9.130255992529289E-6</v>
      </c>
      <c r="K1391" s="257">
        <v>9.5430856536005316E-6</v>
      </c>
      <c r="L1391" s="228">
        <v>3.1203703402191196E-2</v>
      </c>
    </row>
    <row r="1392" spans="1:12" s="212" customFormat="1" ht="15.5" x14ac:dyDescent="0.35">
      <c r="A1392" s="198" t="s">
        <v>842</v>
      </c>
      <c r="B1392" s="197">
        <v>2040</v>
      </c>
      <c r="C1392" s="213" t="s">
        <v>4587</v>
      </c>
      <c r="D1392" s="239">
        <v>4.7843619403387088E-3</v>
      </c>
      <c r="E1392" s="226">
        <v>2.4375427713064248E-2</v>
      </c>
      <c r="F1392" s="226">
        <v>7.4806069882731193E-4</v>
      </c>
      <c r="G1392" s="227">
        <v>6.8815509951713832E-4</v>
      </c>
      <c r="H1392" s="226">
        <v>2.000000573201881E-3</v>
      </c>
      <c r="I1392" s="255">
        <v>3.6707755851284507E-3</v>
      </c>
      <c r="J1392" s="256">
        <v>8.7493530818685069E-6</v>
      </c>
      <c r="K1392" s="257">
        <v>9.144960003551313E-6</v>
      </c>
      <c r="L1392" s="228">
        <v>3.1063611916948217E-2</v>
      </c>
    </row>
    <row r="1393" spans="1:12" s="212" customFormat="1" ht="15.5" x14ac:dyDescent="0.35">
      <c r="A1393" s="198" t="s">
        <v>842</v>
      </c>
      <c r="B1393" s="197">
        <v>2041</v>
      </c>
      <c r="C1393" s="213" t="s">
        <v>4588</v>
      </c>
      <c r="D1393" s="239">
        <v>4.6666715712059192E-3</v>
      </c>
      <c r="E1393" s="226">
        <v>2.3971723583511493E-2</v>
      </c>
      <c r="F1393" s="226">
        <v>7.2649855082126415E-4</v>
      </c>
      <c r="G1393" s="227">
        <v>6.6831715248905565E-4</v>
      </c>
      <c r="H1393" s="226">
        <v>2.0000005732018801E-3</v>
      </c>
      <c r="I1393" s="255">
        <v>3.671166722832834E-3</v>
      </c>
      <c r="J1393" s="256">
        <v>8.4324397204606132E-6</v>
      </c>
      <c r="K1393" s="257">
        <v>8.813717226222776E-6</v>
      </c>
      <c r="L1393" s="228">
        <v>3.0947731398979803E-2</v>
      </c>
    </row>
    <row r="1394" spans="1:12" s="212" customFormat="1" ht="15.5" x14ac:dyDescent="0.35">
      <c r="A1394" s="198" t="s">
        <v>842</v>
      </c>
      <c r="B1394" s="197">
        <v>2042</v>
      </c>
      <c r="C1394" s="213" t="s">
        <v>4589</v>
      </c>
      <c r="D1394" s="239">
        <v>4.5623177526268686E-3</v>
      </c>
      <c r="E1394" s="226">
        <v>2.3588418878416683E-2</v>
      </c>
      <c r="F1394" s="226">
        <v>7.0849996898986016E-4</v>
      </c>
      <c r="G1394" s="227">
        <v>6.5175872530356157E-4</v>
      </c>
      <c r="H1394" s="226">
        <v>2.0000005732018797E-3</v>
      </c>
      <c r="I1394" s="255">
        <v>3.6713830318600661E-3</v>
      </c>
      <c r="J1394" s="256">
        <v>8.1912981357494577E-6</v>
      </c>
      <c r="K1394" s="257">
        <v>8.5616722891009133E-6</v>
      </c>
      <c r="L1394" s="228">
        <v>3.08506797358052E-2</v>
      </c>
    </row>
    <row r="1395" spans="1:12" s="212" customFormat="1" ht="15.5" x14ac:dyDescent="0.35">
      <c r="A1395" s="198" t="s">
        <v>842</v>
      </c>
      <c r="B1395" s="197">
        <v>2043</v>
      </c>
      <c r="C1395" s="213" t="s">
        <v>4590</v>
      </c>
      <c r="D1395" s="239">
        <v>4.4797099368796296E-3</v>
      </c>
      <c r="E1395" s="226">
        <v>2.32521181632094E-2</v>
      </c>
      <c r="F1395" s="226">
        <v>6.9350268302092392E-4</v>
      </c>
      <c r="G1395" s="227">
        <v>6.3796145554911995E-4</v>
      </c>
      <c r="H1395" s="226">
        <v>2.0000005732018797E-3</v>
      </c>
      <c r="I1395" s="255">
        <v>3.6714858437189996E-3</v>
      </c>
      <c r="J1395" s="256">
        <v>7.9906225516449889E-6</v>
      </c>
      <c r="K1395" s="257">
        <v>8.351923045567945E-6</v>
      </c>
      <c r="L1395" s="228">
        <v>3.077068327466052E-2</v>
      </c>
    </row>
    <row r="1396" spans="1:12" s="212" customFormat="1" ht="15.5" x14ac:dyDescent="0.35">
      <c r="A1396" s="198" t="s">
        <v>842</v>
      </c>
      <c r="B1396" s="197">
        <v>2044</v>
      </c>
      <c r="C1396" s="213" t="s">
        <v>4591</v>
      </c>
      <c r="D1396" s="239">
        <v>4.4187785866561429E-3</v>
      </c>
      <c r="E1396" s="226">
        <v>2.2954583904039011E-2</v>
      </c>
      <c r="F1396" s="226">
        <v>6.8106820993313994E-4</v>
      </c>
      <c r="G1396" s="227">
        <v>6.2652176933548486E-4</v>
      </c>
      <c r="H1396" s="226">
        <v>2.0000005732018797E-3</v>
      </c>
      <c r="I1396" s="255">
        <v>3.6715075755610381E-3</v>
      </c>
      <c r="J1396" s="256">
        <v>7.820019110642232E-6</v>
      </c>
      <c r="K1396" s="257">
        <v>8.173605674004607E-6</v>
      </c>
      <c r="L1396" s="228">
        <v>3.0703951362506424E-2</v>
      </c>
    </row>
    <row r="1397" spans="1:12" s="212" customFormat="1" ht="15.5" x14ac:dyDescent="0.35">
      <c r="A1397" s="198" t="s">
        <v>842</v>
      </c>
      <c r="B1397" s="197">
        <v>2045</v>
      </c>
      <c r="C1397" s="213" t="s">
        <v>4592</v>
      </c>
      <c r="D1397" s="239">
        <v>4.375571868720657E-3</v>
      </c>
      <c r="E1397" s="226">
        <v>2.2682294109616558E-2</v>
      </c>
      <c r="F1397" s="226">
        <v>6.7073725522235456E-4</v>
      </c>
      <c r="G1397" s="227">
        <v>6.1701752581496468E-4</v>
      </c>
      <c r="H1397" s="226">
        <v>2.0000005732018797E-3</v>
      </c>
      <c r="I1397" s="255">
        <v>3.6714551607081878E-3</v>
      </c>
      <c r="J1397" s="256">
        <v>7.6836839883592501E-6</v>
      </c>
      <c r="K1397" s="257">
        <v>8.0311060824701125E-6</v>
      </c>
      <c r="L1397" s="228">
        <v>3.0646783302284934E-2</v>
      </c>
    </row>
    <row r="1398" spans="1:12" s="212" customFormat="1" ht="15.5" x14ac:dyDescent="0.35">
      <c r="A1398" s="198" t="s">
        <v>842</v>
      </c>
      <c r="B1398" s="197">
        <v>2046</v>
      </c>
      <c r="C1398" s="213" t="s">
        <v>4593</v>
      </c>
      <c r="D1398" s="239">
        <v>4.3393859267051079E-3</v>
      </c>
      <c r="E1398" s="226">
        <v>2.2451451976552371E-2</v>
      </c>
      <c r="F1398" s="226">
        <v>6.6228480267971367E-4</v>
      </c>
      <c r="G1398" s="227">
        <v>6.0924144115729998E-4</v>
      </c>
      <c r="H1398" s="226">
        <v>2.0000005732018805E-3</v>
      </c>
      <c r="I1398" s="255">
        <v>3.6713750044036256E-3</v>
      </c>
      <c r="J1398" s="256">
        <v>7.571614529325902E-6</v>
      </c>
      <c r="K1398" s="257">
        <v>7.9139693398001613E-6</v>
      </c>
      <c r="L1398" s="228">
        <v>3.0599011533510415E-2</v>
      </c>
    </row>
    <row r="1399" spans="1:12" s="212" customFormat="1" ht="15.5" x14ac:dyDescent="0.35">
      <c r="A1399" s="198" t="s">
        <v>842</v>
      </c>
      <c r="B1399" s="197">
        <v>2047</v>
      </c>
      <c r="C1399" s="213" t="s">
        <v>4594</v>
      </c>
      <c r="D1399" s="239">
        <v>4.3087008230024313E-3</v>
      </c>
      <c r="E1399" s="226">
        <v>2.22531778852261E-2</v>
      </c>
      <c r="F1399" s="226">
        <v>6.5539877227806828E-4</v>
      </c>
      <c r="G1399" s="227">
        <v>6.0290601712784803E-4</v>
      </c>
      <c r="H1399" s="226">
        <v>2.0000005732018801E-3</v>
      </c>
      <c r="I1399" s="255">
        <v>3.671294177411322E-3</v>
      </c>
      <c r="J1399" s="256">
        <v>7.4696390520350665E-6</v>
      </c>
      <c r="K1399" s="257">
        <v>7.8073829839357162E-6</v>
      </c>
      <c r="L1399" s="228">
        <v>3.0558789272179247E-2</v>
      </c>
    </row>
    <row r="1400" spans="1:12" s="212" customFormat="1" ht="15.5" x14ac:dyDescent="0.35">
      <c r="A1400" s="198" t="s">
        <v>842</v>
      </c>
      <c r="B1400" s="197">
        <v>2048</v>
      </c>
      <c r="C1400" s="213" t="s">
        <v>4595</v>
      </c>
      <c r="D1400" s="239">
        <v>4.2844005184347871E-3</v>
      </c>
      <c r="E1400" s="226">
        <v>2.2095693451598418E-2</v>
      </c>
      <c r="F1400" s="226">
        <v>6.4979191153687608E-4</v>
      </c>
      <c r="G1400" s="227">
        <v>5.9774742661636944E-4</v>
      </c>
      <c r="H1400" s="226">
        <v>2.0000005732018801E-3</v>
      </c>
      <c r="I1400" s="255">
        <v>3.6712231429252376E-3</v>
      </c>
      <c r="J1400" s="256">
        <v>7.3852247252356122E-6</v>
      </c>
      <c r="K1400" s="257">
        <v>7.7191518158614011E-6</v>
      </c>
      <c r="L1400" s="228">
        <v>3.0524275710538874E-2</v>
      </c>
    </row>
    <row r="1401" spans="1:12" s="212" customFormat="1" ht="15.5" x14ac:dyDescent="0.35">
      <c r="A1401" s="198" t="s">
        <v>842</v>
      </c>
      <c r="B1401" s="197">
        <v>2049</v>
      </c>
      <c r="C1401" s="213" t="s">
        <v>4596</v>
      </c>
      <c r="D1401" s="239">
        <v>4.2775025234946607E-3</v>
      </c>
      <c r="E1401" s="226">
        <v>2.207457651475141E-2</v>
      </c>
      <c r="F1401" s="226">
        <v>6.4593719323422156E-4</v>
      </c>
      <c r="G1401" s="227">
        <v>5.9420059740693135E-4</v>
      </c>
      <c r="H1401" s="226">
        <v>2.0000005732018801E-3</v>
      </c>
      <c r="I1401" s="255">
        <v>3.6711424676842161E-3</v>
      </c>
      <c r="J1401" s="256">
        <v>7.3195720082967473E-6</v>
      </c>
      <c r="K1401" s="257">
        <v>7.6505305743921686E-6</v>
      </c>
      <c r="L1401" s="228">
        <v>3.0494925169260192E-2</v>
      </c>
    </row>
    <row r="1402" spans="1:12" s="212" customFormat="1" ht="15.5" x14ac:dyDescent="0.35">
      <c r="A1402" s="198" t="s">
        <v>842</v>
      </c>
      <c r="B1402" s="197">
        <v>2050</v>
      </c>
      <c r="C1402" s="213" t="s">
        <v>4597</v>
      </c>
      <c r="D1402" s="239">
        <v>4.2720766876655093E-3</v>
      </c>
      <c r="E1402" s="226">
        <v>2.2057561870086229E-2</v>
      </c>
      <c r="F1402" s="226">
        <v>6.4280546709250474E-4</v>
      </c>
      <c r="G1402" s="227">
        <v>5.9131778225353718E-4</v>
      </c>
      <c r="H1402" s="226">
        <v>2.0000005732018805E-3</v>
      </c>
      <c r="I1402" s="255">
        <v>3.6711029814646768E-3</v>
      </c>
      <c r="J1402" s="256">
        <v>7.2346561243833739E-6</v>
      </c>
      <c r="K1402" s="257">
        <v>7.5617751710169076E-6</v>
      </c>
      <c r="L1402" s="228">
        <v>3.0471898473650925E-2</v>
      </c>
    </row>
    <row r="1403" spans="1:12" s="212" customFormat="1" ht="15.5" x14ac:dyDescent="0.35">
      <c r="A1403" s="198" t="s">
        <v>843</v>
      </c>
      <c r="B1403" s="197">
        <v>2015</v>
      </c>
      <c r="C1403" s="213" t="s">
        <v>935</v>
      </c>
      <c r="D1403" s="239">
        <v>5.569896337962929E-2</v>
      </c>
      <c r="E1403" s="226">
        <v>0.24490796050598615</v>
      </c>
      <c r="F1403" s="226">
        <v>2.0719098288389994E-3</v>
      </c>
      <c r="G1403" s="227">
        <v>1.9123068553118078E-3</v>
      </c>
      <c r="H1403" s="226">
        <v>2.0000005732018797E-3</v>
      </c>
      <c r="I1403" s="255">
        <v>3.2513303800930839E-3</v>
      </c>
      <c r="J1403" s="256">
        <v>1.1364718533775516E-4</v>
      </c>
      <c r="K1403" s="257">
        <v>1.1878580675681199E-4</v>
      </c>
      <c r="L1403" s="228">
        <v>4.5934417413918627E-2</v>
      </c>
    </row>
    <row r="1404" spans="1:12" s="212" customFormat="1" ht="15.5" x14ac:dyDescent="0.35">
      <c r="A1404" s="198" t="s">
        <v>843</v>
      </c>
      <c r="B1404" s="197">
        <v>2016</v>
      </c>
      <c r="C1404" s="213" t="s">
        <v>936</v>
      </c>
      <c r="D1404" s="239">
        <v>4.8431032652808376E-2</v>
      </c>
      <c r="E1404" s="226">
        <v>0.21878677795304821</v>
      </c>
      <c r="F1404" s="226">
        <v>1.9869496812292236E-3</v>
      </c>
      <c r="G1404" s="227">
        <v>1.832994901004803E-3</v>
      </c>
      <c r="H1404" s="226">
        <v>2.0000005732018801E-3</v>
      </c>
      <c r="I1404" s="255">
        <v>3.2412309451443195E-3</v>
      </c>
      <c r="J1404" s="256">
        <v>1.0380427466948447E-4</v>
      </c>
      <c r="K1404" s="257">
        <v>1.0849784334539161E-4</v>
      </c>
      <c r="L1404" s="228">
        <v>4.4873990733185688E-2</v>
      </c>
    </row>
    <row r="1405" spans="1:12" s="212" customFormat="1" ht="15.5" x14ac:dyDescent="0.35">
      <c r="A1405" s="198" t="s">
        <v>843</v>
      </c>
      <c r="B1405" s="197">
        <v>2017</v>
      </c>
      <c r="C1405" s="213" t="s">
        <v>4598</v>
      </c>
      <c r="D1405" s="239">
        <v>3.8243010016948097E-2</v>
      </c>
      <c r="E1405" s="226">
        <v>0.17967144320865888</v>
      </c>
      <c r="F1405" s="226">
        <v>1.8577746008597727E-3</v>
      </c>
      <c r="G1405" s="227">
        <v>1.7125982482253219E-3</v>
      </c>
      <c r="H1405" s="226">
        <v>2.0000005732018805E-3</v>
      </c>
      <c r="I1405" s="255">
        <v>3.2360175334760878E-3</v>
      </c>
      <c r="J1405" s="256">
        <v>8.4557203004810441E-5</v>
      </c>
      <c r="K1405" s="257">
        <v>8.838050450765682E-5</v>
      </c>
      <c r="L1405" s="228">
        <v>4.451531225912346E-2</v>
      </c>
    </row>
    <row r="1406" spans="1:12" s="212" customFormat="1" ht="15.5" x14ac:dyDescent="0.35">
      <c r="A1406" s="198" t="s">
        <v>843</v>
      </c>
      <c r="B1406" s="197">
        <v>2018</v>
      </c>
      <c r="C1406" s="213" t="s">
        <v>4599</v>
      </c>
      <c r="D1406" s="239">
        <v>3.2095973794414576E-2</v>
      </c>
      <c r="E1406" s="226">
        <v>0.15478527120669378</v>
      </c>
      <c r="F1406" s="226">
        <v>1.8212695481267045E-3</v>
      </c>
      <c r="G1406" s="227">
        <v>1.6782268995944709E-3</v>
      </c>
      <c r="H1406" s="226">
        <v>2.000000573201881E-3</v>
      </c>
      <c r="I1406" s="255">
        <v>3.2329018286573301E-3</v>
      </c>
      <c r="J1406" s="256">
        <v>7.5879468655985123E-5</v>
      </c>
      <c r="K1406" s="257">
        <v>7.931040151845348E-5</v>
      </c>
      <c r="L1406" s="228">
        <v>4.3948060153861712E-2</v>
      </c>
    </row>
    <row r="1407" spans="1:12" s="212" customFormat="1" ht="15.5" x14ac:dyDescent="0.35">
      <c r="A1407" s="198" t="s">
        <v>843</v>
      </c>
      <c r="B1407" s="197">
        <v>2019</v>
      </c>
      <c r="C1407" s="213" t="s">
        <v>4600</v>
      </c>
      <c r="D1407" s="239">
        <v>2.693517786927847E-2</v>
      </c>
      <c r="E1407" s="226">
        <v>0.1332702021790616</v>
      </c>
      <c r="F1407" s="226">
        <v>1.8046334750174071E-3</v>
      </c>
      <c r="G1407" s="227">
        <v>1.662411899056251E-3</v>
      </c>
      <c r="H1407" s="226">
        <v>2.0000005732018801E-3</v>
      </c>
      <c r="I1407" s="255">
        <v>3.2326887425775902E-3</v>
      </c>
      <c r="J1407" s="256">
        <v>7.2120125249944321E-5</v>
      </c>
      <c r="K1407" s="257">
        <v>7.5381077285430824E-5</v>
      </c>
      <c r="L1407" s="228">
        <v>4.3269602196761833E-2</v>
      </c>
    </row>
    <row r="1408" spans="1:12" s="212" customFormat="1" ht="15.5" x14ac:dyDescent="0.35">
      <c r="A1408" s="198" t="s">
        <v>843</v>
      </c>
      <c r="B1408" s="197">
        <v>2020</v>
      </c>
      <c r="C1408" s="213" t="s">
        <v>4601</v>
      </c>
      <c r="D1408" s="239">
        <v>2.344392179227818E-2</v>
      </c>
      <c r="E1408" s="226">
        <v>0.11752739860025507</v>
      </c>
      <c r="F1408" s="226">
        <v>1.7765727233840874E-3</v>
      </c>
      <c r="G1408" s="227">
        <v>1.6362653731387957E-3</v>
      </c>
      <c r="H1408" s="226">
        <v>2.0000005732018801E-3</v>
      </c>
      <c r="I1408" s="255">
        <v>3.247276696261655E-3</v>
      </c>
      <c r="J1408" s="256">
        <v>6.6651610414996391E-5</v>
      </c>
      <c r="K1408" s="257">
        <v>6.9665300475821611E-5</v>
      </c>
      <c r="L1408" s="228">
        <v>4.3038393388389225E-2</v>
      </c>
    </row>
    <row r="1409" spans="1:12" s="212" customFormat="1" ht="15.5" x14ac:dyDescent="0.35">
      <c r="A1409" s="198" t="s">
        <v>843</v>
      </c>
      <c r="B1409" s="197">
        <v>2021</v>
      </c>
      <c r="C1409" s="213" t="s">
        <v>4602</v>
      </c>
      <c r="D1409" s="239">
        <v>2.0738876322123307E-2</v>
      </c>
      <c r="E1409" s="226">
        <v>0.10346173474024625</v>
      </c>
      <c r="F1409" s="226">
        <v>1.7346107989461717E-3</v>
      </c>
      <c r="G1409" s="227">
        <v>1.5974271425427851E-3</v>
      </c>
      <c r="H1409" s="226">
        <v>2.0000005732018801E-3</v>
      </c>
      <c r="I1409" s="255">
        <v>3.2675896103065254E-3</v>
      </c>
      <c r="J1409" s="256">
        <v>6.1317922120818297E-5</v>
      </c>
      <c r="K1409" s="257">
        <v>6.4090446464872184E-5</v>
      </c>
      <c r="L1409" s="228">
        <v>4.2232809840289015E-2</v>
      </c>
    </row>
    <row r="1410" spans="1:12" s="212" customFormat="1" ht="15.5" x14ac:dyDescent="0.35">
      <c r="A1410" s="198" t="s">
        <v>843</v>
      </c>
      <c r="B1410" s="197">
        <v>2022</v>
      </c>
      <c r="C1410" s="213" t="s">
        <v>4603</v>
      </c>
      <c r="D1410" s="239">
        <v>1.7959997931883988E-2</v>
      </c>
      <c r="E1410" s="226">
        <v>9.0232614738772393E-2</v>
      </c>
      <c r="F1410" s="226">
        <v>1.6714848222780362E-3</v>
      </c>
      <c r="G1410" s="227">
        <v>1.5390842585215629E-3</v>
      </c>
      <c r="H1410" s="226">
        <v>2.0000005732018801E-3</v>
      </c>
      <c r="I1410" s="255">
        <v>3.2890305736607865E-3</v>
      </c>
      <c r="J1410" s="256">
        <v>5.5861124553473308E-5</v>
      </c>
      <c r="K1410" s="257">
        <v>5.8386916725712309E-5</v>
      </c>
      <c r="L1410" s="228">
        <v>4.1484194294120029E-2</v>
      </c>
    </row>
    <row r="1411" spans="1:12" s="212" customFormat="1" ht="15.5" x14ac:dyDescent="0.35">
      <c r="A1411" s="198" t="s">
        <v>843</v>
      </c>
      <c r="B1411" s="197">
        <v>2023</v>
      </c>
      <c r="C1411" s="213" t="s">
        <v>4604</v>
      </c>
      <c r="D1411" s="239">
        <v>1.5676718881686889E-2</v>
      </c>
      <c r="E1411" s="226">
        <v>7.8853032947452217E-2</v>
      </c>
      <c r="F1411" s="226">
        <v>1.6032143260348549E-3</v>
      </c>
      <c r="G1411" s="227">
        <v>1.4760406600835417E-3</v>
      </c>
      <c r="H1411" s="226">
        <v>2.0000005732018801E-3</v>
      </c>
      <c r="I1411" s="255">
        <v>3.2883200158925802E-3</v>
      </c>
      <c r="J1411" s="256">
        <v>4.9353566284428617E-5</v>
      </c>
      <c r="K1411" s="257">
        <v>5.1585115548603531E-5</v>
      </c>
      <c r="L1411" s="228">
        <v>4.0688830469954827E-2</v>
      </c>
    </row>
    <row r="1412" spans="1:12" s="212" customFormat="1" ht="15.5" x14ac:dyDescent="0.35">
      <c r="A1412" s="198" t="s">
        <v>843</v>
      </c>
      <c r="B1412" s="197">
        <v>2024</v>
      </c>
      <c r="C1412" s="213" t="s">
        <v>4605</v>
      </c>
      <c r="D1412" s="239">
        <v>1.3691446711615011E-2</v>
      </c>
      <c r="E1412" s="226">
        <v>6.9202724607660526E-2</v>
      </c>
      <c r="F1412" s="226">
        <v>1.5356695380815489E-3</v>
      </c>
      <c r="G1412" s="227">
        <v>1.4136582222092065E-3</v>
      </c>
      <c r="H1412" s="226">
        <v>2.0000005732018797E-3</v>
      </c>
      <c r="I1412" s="255">
        <v>3.3339995230055662E-3</v>
      </c>
      <c r="J1412" s="256">
        <v>4.2656083234397916E-5</v>
      </c>
      <c r="K1412" s="257">
        <v>4.4584802034691338E-5</v>
      </c>
      <c r="L1412" s="228">
        <v>3.990120049445222E-2</v>
      </c>
    </row>
    <row r="1413" spans="1:12" s="212" customFormat="1" ht="15.5" x14ac:dyDescent="0.35">
      <c r="A1413" s="198" t="s">
        <v>843</v>
      </c>
      <c r="B1413" s="197">
        <v>2025</v>
      </c>
      <c r="C1413" s="213" t="s">
        <v>4606</v>
      </c>
      <c r="D1413" s="239">
        <v>1.2082859415381283E-2</v>
      </c>
      <c r="E1413" s="226">
        <v>6.1182946500817556E-2</v>
      </c>
      <c r="F1413" s="226">
        <v>1.4820850376191653E-3</v>
      </c>
      <c r="G1413" s="227">
        <v>1.3642028352297223E-3</v>
      </c>
      <c r="H1413" s="226">
        <v>2.0000005732018801E-3</v>
      </c>
      <c r="I1413" s="255">
        <v>3.3337621887610316E-3</v>
      </c>
      <c r="J1413" s="256">
        <v>3.7976615188653142E-5</v>
      </c>
      <c r="K1413" s="257">
        <v>3.9693749208750006E-5</v>
      </c>
      <c r="L1413" s="228">
        <v>3.9032119360446628E-2</v>
      </c>
    </row>
    <row r="1414" spans="1:12" s="212" customFormat="1" ht="15.5" x14ac:dyDescent="0.35">
      <c r="A1414" s="198" t="s">
        <v>843</v>
      </c>
      <c r="B1414" s="197">
        <v>2026</v>
      </c>
      <c r="C1414" s="213" t="s">
        <v>4607</v>
      </c>
      <c r="D1414" s="239">
        <v>1.0746295517276724E-2</v>
      </c>
      <c r="E1414" s="226">
        <v>5.4553847622887466E-2</v>
      </c>
      <c r="F1414" s="226">
        <v>1.4253086743177207E-3</v>
      </c>
      <c r="G1414" s="227">
        <v>1.3118318701192085E-3</v>
      </c>
      <c r="H1414" s="226">
        <v>2.0000005732018801E-3</v>
      </c>
      <c r="I1414" s="255">
        <v>3.3337341607046224E-3</v>
      </c>
      <c r="J1414" s="256">
        <v>3.3699315135551095E-5</v>
      </c>
      <c r="K1414" s="257">
        <v>3.5223048627484558E-5</v>
      </c>
      <c r="L1414" s="228">
        <v>3.8183280293042396E-2</v>
      </c>
    </row>
    <row r="1415" spans="1:12" s="212" customFormat="1" ht="15.5" x14ac:dyDescent="0.35">
      <c r="A1415" s="198" t="s">
        <v>843</v>
      </c>
      <c r="B1415" s="197">
        <v>2027</v>
      </c>
      <c r="C1415" s="213" t="s">
        <v>4608</v>
      </c>
      <c r="D1415" s="239">
        <v>9.8199290411990041E-3</v>
      </c>
      <c r="E1415" s="226">
        <v>4.9258119463215649E-2</v>
      </c>
      <c r="F1415" s="226">
        <v>1.384681854312687E-3</v>
      </c>
      <c r="G1415" s="227">
        <v>1.2742605581875968E-3</v>
      </c>
      <c r="H1415" s="226">
        <v>2.0000005732018805E-3</v>
      </c>
      <c r="I1415" s="255">
        <v>3.3786061434119552E-3</v>
      </c>
      <c r="J1415" s="256">
        <v>2.8147451872379402E-5</v>
      </c>
      <c r="K1415" s="257">
        <v>2.9420154743580569E-5</v>
      </c>
      <c r="L1415" s="228">
        <v>3.7432120120565897E-2</v>
      </c>
    </row>
    <row r="1416" spans="1:12" s="212" customFormat="1" ht="15.5" x14ac:dyDescent="0.35">
      <c r="A1416" s="198" t="s">
        <v>843</v>
      </c>
      <c r="B1416" s="197">
        <v>2028</v>
      </c>
      <c r="C1416" s="213" t="s">
        <v>4609</v>
      </c>
      <c r="D1416" s="239">
        <v>8.8907468305614024E-3</v>
      </c>
      <c r="E1416" s="226">
        <v>4.4727896255278565E-2</v>
      </c>
      <c r="F1416" s="226">
        <v>1.3093912888077481E-3</v>
      </c>
      <c r="G1416" s="227">
        <v>1.2048514148538508E-3</v>
      </c>
      <c r="H1416" s="226">
        <v>2.0000005732018805E-3</v>
      </c>
      <c r="I1416" s="255">
        <v>3.3788956994103372E-3</v>
      </c>
      <c r="J1416" s="256">
        <v>2.3469985234688242E-5</v>
      </c>
      <c r="K1416" s="257">
        <v>2.4531193820483818E-5</v>
      </c>
      <c r="L1416" s="228">
        <v>3.6621312920161603E-2</v>
      </c>
    </row>
    <row r="1417" spans="1:12" s="212" customFormat="1" ht="15.5" x14ac:dyDescent="0.35">
      <c r="A1417" s="198" t="s">
        <v>843</v>
      </c>
      <c r="B1417" s="197">
        <v>2029</v>
      </c>
      <c r="C1417" s="213" t="s">
        <v>4610</v>
      </c>
      <c r="D1417" s="239">
        <v>8.1144100131188644E-3</v>
      </c>
      <c r="E1417" s="226">
        <v>4.1000267686551996E-2</v>
      </c>
      <c r="F1417" s="226">
        <v>1.2357076327898662E-3</v>
      </c>
      <c r="G1417" s="227">
        <v>1.1369877966891447E-3</v>
      </c>
      <c r="H1417" s="226">
        <v>2.0000005732018801E-3</v>
      </c>
      <c r="I1417" s="255">
        <v>3.3793592303010063E-3</v>
      </c>
      <c r="J1417" s="256">
        <v>2.0538570867971505E-5</v>
      </c>
      <c r="K1417" s="257">
        <v>2.1467233904062727E-5</v>
      </c>
      <c r="L1417" s="228">
        <v>3.5948708398509083E-2</v>
      </c>
    </row>
    <row r="1418" spans="1:12" s="212" customFormat="1" ht="15.5" x14ac:dyDescent="0.35">
      <c r="A1418" s="198" t="s">
        <v>843</v>
      </c>
      <c r="B1418" s="197">
        <v>2030</v>
      </c>
      <c r="C1418" s="213" t="s">
        <v>4611</v>
      </c>
      <c r="D1418" s="239">
        <v>7.4992329502106027E-3</v>
      </c>
      <c r="E1418" s="226">
        <v>3.8000679291294963E-2</v>
      </c>
      <c r="F1418" s="226">
        <v>1.1680021084003939E-3</v>
      </c>
      <c r="G1418" s="227">
        <v>1.0746299967355334E-3</v>
      </c>
      <c r="H1418" s="226">
        <v>2.0000005732018801E-3</v>
      </c>
      <c r="I1418" s="255">
        <v>3.4013280537659295E-3</v>
      </c>
      <c r="J1418" s="256">
        <v>1.78419145564491E-5</v>
      </c>
      <c r="K1418" s="257">
        <v>1.8648646760368475E-5</v>
      </c>
      <c r="L1418" s="228">
        <v>3.5337515153004928E-2</v>
      </c>
    </row>
    <row r="1419" spans="1:12" s="212" customFormat="1" ht="15.5" x14ac:dyDescent="0.35">
      <c r="A1419" s="198" t="s">
        <v>843</v>
      </c>
      <c r="B1419" s="197">
        <v>2031</v>
      </c>
      <c r="C1419" s="213" t="s">
        <v>4612</v>
      </c>
      <c r="D1419" s="239">
        <v>6.9190402708660444E-3</v>
      </c>
      <c r="E1419" s="226">
        <v>3.5372499810171106E-2</v>
      </c>
      <c r="F1419" s="226">
        <v>1.0940824906436636E-3</v>
      </c>
      <c r="G1419" s="227">
        <v>1.0065885316126952E-3</v>
      </c>
      <c r="H1419" s="226">
        <v>2.0000005732018801E-3</v>
      </c>
      <c r="I1419" s="255">
        <v>3.3996549870949728E-3</v>
      </c>
      <c r="J1419" s="256">
        <v>1.5914305831552608E-5</v>
      </c>
      <c r="K1419" s="257">
        <v>1.663388012256918E-5</v>
      </c>
      <c r="L1419" s="228">
        <v>3.4784545345693543E-2</v>
      </c>
    </row>
    <row r="1420" spans="1:12" s="212" customFormat="1" ht="15.5" x14ac:dyDescent="0.35">
      <c r="A1420" s="198" t="s">
        <v>843</v>
      </c>
      <c r="B1420" s="197">
        <v>2032</v>
      </c>
      <c r="C1420" s="213" t="s">
        <v>4613</v>
      </c>
      <c r="D1420" s="239">
        <v>6.5358934077970532E-3</v>
      </c>
      <c r="E1420" s="226">
        <v>3.3338189490597109E-2</v>
      </c>
      <c r="F1420" s="226">
        <v>1.0422230468648955E-3</v>
      </c>
      <c r="G1420" s="227">
        <v>9.5884891612671972E-4</v>
      </c>
      <c r="H1420" s="226">
        <v>2.0000005732018801E-3</v>
      </c>
      <c r="I1420" s="255">
        <v>3.471199396045625E-3</v>
      </c>
      <c r="J1420" s="256">
        <v>1.4457246758353746E-5</v>
      </c>
      <c r="K1420" s="257">
        <v>1.5110939303684154E-5</v>
      </c>
      <c r="L1420" s="228">
        <v>3.4287020752805764E-2</v>
      </c>
    </row>
    <row r="1421" spans="1:12" s="212" customFormat="1" ht="15.5" x14ac:dyDescent="0.35">
      <c r="A1421" s="198" t="s">
        <v>843</v>
      </c>
      <c r="B1421" s="197">
        <v>2033</v>
      </c>
      <c r="C1421" s="213" t="s">
        <v>4614</v>
      </c>
      <c r="D1421" s="239">
        <v>6.1256010418336533E-3</v>
      </c>
      <c r="E1421" s="226">
        <v>3.1492459139727078E-2</v>
      </c>
      <c r="F1421" s="226">
        <v>9.8033490654505628E-4</v>
      </c>
      <c r="G1421" s="227">
        <v>9.0189892524511993E-4</v>
      </c>
      <c r="H1421" s="226">
        <v>2.0000005732018805E-3</v>
      </c>
      <c r="I1421" s="255">
        <v>3.4715763892615567E-3</v>
      </c>
      <c r="J1421" s="256">
        <v>1.3273290938689881E-5</v>
      </c>
      <c r="K1421" s="257">
        <v>1.3873450255581228E-5</v>
      </c>
      <c r="L1421" s="228">
        <v>3.3843088176373798E-2</v>
      </c>
    </row>
    <row r="1422" spans="1:12" s="212" customFormat="1" ht="15.5" x14ac:dyDescent="0.35">
      <c r="A1422" s="198" t="s">
        <v>843</v>
      </c>
      <c r="B1422" s="197">
        <v>2034</v>
      </c>
      <c r="C1422" s="213" t="s">
        <v>4615</v>
      </c>
      <c r="D1422" s="239">
        <v>5.7655508728544427E-3</v>
      </c>
      <c r="E1422" s="226">
        <v>2.9930054417996094E-2</v>
      </c>
      <c r="F1422" s="226">
        <v>9.2217507485424727E-4</v>
      </c>
      <c r="G1422" s="227">
        <v>8.4838011784190087E-4</v>
      </c>
      <c r="H1422" s="226">
        <v>2.0000005732018801E-3</v>
      </c>
      <c r="I1422" s="255">
        <v>3.4718715842212448E-3</v>
      </c>
      <c r="J1422" s="256">
        <v>1.2169958439442687E-5</v>
      </c>
      <c r="K1422" s="257">
        <v>1.2720229956683527E-5</v>
      </c>
      <c r="L1422" s="228">
        <v>3.3449695210972449E-2</v>
      </c>
    </row>
    <row r="1423" spans="1:12" s="212" customFormat="1" ht="15.5" x14ac:dyDescent="0.35">
      <c r="A1423" s="198" t="s">
        <v>843</v>
      </c>
      <c r="B1423" s="197">
        <v>2035</v>
      </c>
      <c r="C1423" s="213" t="s">
        <v>4616</v>
      </c>
      <c r="D1423" s="239">
        <v>5.4556988920261068E-3</v>
      </c>
      <c r="E1423" s="226">
        <v>2.8623104349640827E-2</v>
      </c>
      <c r="F1423" s="226">
        <v>8.6847192229810074E-4</v>
      </c>
      <c r="G1423" s="227">
        <v>7.9896390806369821E-4</v>
      </c>
      <c r="H1423" s="226">
        <v>2.0000005732018801E-3</v>
      </c>
      <c r="I1423" s="255">
        <v>3.4721043198971402E-3</v>
      </c>
      <c r="J1423" s="256">
        <v>1.119099225960571E-5</v>
      </c>
      <c r="K1423" s="257">
        <v>1.1696999270292397E-5</v>
      </c>
      <c r="L1423" s="228">
        <v>3.3104641703113752E-2</v>
      </c>
    </row>
    <row r="1424" spans="1:12" s="212" customFormat="1" ht="15.5" x14ac:dyDescent="0.35">
      <c r="A1424" s="198" t="s">
        <v>843</v>
      </c>
      <c r="B1424" s="197">
        <v>2036</v>
      </c>
      <c r="C1424" s="213" t="s">
        <v>4617</v>
      </c>
      <c r="D1424" s="239">
        <v>5.1874120040846308E-3</v>
      </c>
      <c r="E1424" s="226">
        <v>2.7518068802725934E-2</v>
      </c>
      <c r="F1424" s="226">
        <v>8.2058946313781785E-4</v>
      </c>
      <c r="G1424" s="227">
        <v>7.5490503503656539E-4</v>
      </c>
      <c r="H1424" s="226">
        <v>2.0000005732018801E-3</v>
      </c>
      <c r="I1424" s="255">
        <v>3.4722421011323373E-3</v>
      </c>
      <c r="J1424" s="256">
        <v>1.0351236335705732E-5</v>
      </c>
      <c r="K1424" s="257">
        <v>1.0819273309875397E-5</v>
      </c>
      <c r="L1424" s="228">
        <v>3.2816913535796938E-2</v>
      </c>
    </row>
    <row r="1425" spans="1:12" s="212" customFormat="1" ht="15.5" x14ac:dyDescent="0.35">
      <c r="A1425" s="198" t="s">
        <v>843</v>
      </c>
      <c r="B1425" s="197">
        <v>2037</v>
      </c>
      <c r="C1425" s="213" t="s">
        <v>4618</v>
      </c>
      <c r="D1425" s="239">
        <v>4.9593988477533209E-3</v>
      </c>
      <c r="E1425" s="226">
        <v>2.6594412928459644E-2</v>
      </c>
      <c r="F1425" s="226">
        <v>7.7756031890562007E-4</v>
      </c>
      <c r="G1425" s="227">
        <v>7.1531289607461128E-4</v>
      </c>
      <c r="H1425" s="226">
        <v>2.0000005732018801E-3</v>
      </c>
      <c r="I1425" s="255">
        <v>3.4723355609519034E-3</v>
      </c>
      <c r="J1425" s="256">
        <v>9.6215887737434096E-6</v>
      </c>
      <c r="K1425" s="257">
        <v>1.0056634322924256E-5</v>
      </c>
      <c r="L1425" s="228">
        <v>3.2558446851347046E-2</v>
      </c>
    </row>
    <row r="1426" spans="1:12" s="212" customFormat="1" ht="15.5" x14ac:dyDescent="0.35">
      <c r="A1426" s="198" t="s">
        <v>843</v>
      </c>
      <c r="B1426" s="197">
        <v>2038</v>
      </c>
      <c r="C1426" s="213" t="s">
        <v>4619</v>
      </c>
      <c r="D1426" s="239">
        <v>4.6812334744825304E-3</v>
      </c>
      <c r="E1426" s="226">
        <v>2.5756648976525218E-2</v>
      </c>
      <c r="F1426" s="226">
        <v>7.272516618213649E-4</v>
      </c>
      <c r="G1426" s="227">
        <v>6.6903213290008857E-4</v>
      </c>
      <c r="H1426" s="226">
        <v>2.0000005732018805E-3</v>
      </c>
      <c r="I1426" s="255">
        <v>3.5114760553123666E-3</v>
      </c>
      <c r="J1426" s="256">
        <v>9.0104937673358074E-6</v>
      </c>
      <c r="K1426" s="257">
        <v>9.417908312020802E-6</v>
      </c>
      <c r="L1426" s="228">
        <v>3.2338288867832646E-2</v>
      </c>
    </row>
    <row r="1427" spans="1:12" s="212" customFormat="1" ht="15.5" x14ac:dyDescent="0.35">
      <c r="A1427" s="198" t="s">
        <v>843</v>
      </c>
      <c r="B1427" s="197">
        <v>2039</v>
      </c>
      <c r="C1427" s="213" t="s">
        <v>4620</v>
      </c>
      <c r="D1427" s="239">
        <v>4.4957556785525567E-3</v>
      </c>
      <c r="E1427" s="226">
        <v>2.5018444875213375E-2</v>
      </c>
      <c r="F1427" s="226">
        <v>6.9385673279818635E-4</v>
      </c>
      <c r="G1427" s="227">
        <v>6.3830653713018175E-4</v>
      </c>
      <c r="H1427" s="226">
        <v>2.0000005732018797E-3</v>
      </c>
      <c r="I1427" s="255">
        <v>3.5115612332285262E-3</v>
      </c>
      <c r="J1427" s="256">
        <v>8.4922765318396931E-6</v>
      </c>
      <c r="K1427" s="257">
        <v>8.8762595926905029E-6</v>
      </c>
      <c r="L1427" s="228">
        <v>3.2151059381760251E-2</v>
      </c>
    </row>
    <row r="1428" spans="1:12" s="212" customFormat="1" ht="15.5" x14ac:dyDescent="0.35">
      <c r="A1428" s="198" t="s">
        <v>843</v>
      </c>
      <c r="B1428" s="197">
        <v>2040</v>
      </c>
      <c r="C1428" s="213" t="s">
        <v>4621</v>
      </c>
      <c r="D1428" s="239">
        <v>4.3370053503839325E-3</v>
      </c>
      <c r="E1428" s="226">
        <v>2.440092071168672E-2</v>
      </c>
      <c r="F1428" s="226">
        <v>6.6488574218588473E-4</v>
      </c>
      <c r="G1428" s="227">
        <v>6.1165177731532696E-4</v>
      </c>
      <c r="H1428" s="226">
        <v>2.0000005732018797E-3</v>
      </c>
      <c r="I1428" s="255">
        <v>3.5116482414397996E-3</v>
      </c>
      <c r="J1428" s="256">
        <v>8.0558778540515934E-6</v>
      </c>
      <c r="K1428" s="257">
        <v>8.4201289031832738E-6</v>
      </c>
      <c r="L1428" s="228">
        <v>3.1993326523695173E-2</v>
      </c>
    </row>
    <row r="1429" spans="1:12" s="212" customFormat="1" ht="15.5" x14ac:dyDescent="0.35">
      <c r="A1429" s="198" t="s">
        <v>843</v>
      </c>
      <c r="B1429" s="197">
        <v>2041</v>
      </c>
      <c r="C1429" s="213" t="s">
        <v>4622</v>
      </c>
      <c r="D1429" s="239">
        <v>4.2138864508114117E-3</v>
      </c>
      <c r="E1429" s="226">
        <v>2.3893123352521434E-2</v>
      </c>
      <c r="F1429" s="226">
        <v>6.4136707287468057E-4</v>
      </c>
      <c r="G1429" s="227">
        <v>5.9001367470340579E-4</v>
      </c>
      <c r="H1429" s="226">
        <v>2.0000005732018805E-3</v>
      </c>
      <c r="I1429" s="255">
        <v>3.5117554159702137E-3</v>
      </c>
      <c r="J1429" s="256">
        <v>7.7080000315961498E-6</v>
      </c>
      <c r="K1429" s="257">
        <v>8.0565215892813692E-6</v>
      </c>
      <c r="L1429" s="228">
        <v>3.1862369687460423E-2</v>
      </c>
    </row>
    <row r="1430" spans="1:12" s="212" customFormat="1" ht="15.5" x14ac:dyDescent="0.35">
      <c r="A1430" s="198" t="s">
        <v>843</v>
      </c>
      <c r="B1430" s="197">
        <v>2042</v>
      </c>
      <c r="C1430" s="213" t="s">
        <v>4623</v>
      </c>
      <c r="D1430" s="239">
        <v>4.1041354946316508E-3</v>
      </c>
      <c r="E1430" s="226">
        <v>2.3415077583331455E-2</v>
      </c>
      <c r="F1430" s="226">
        <v>6.2131545887053629E-4</v>
      </c>
      <c r="G1430" s="227">
        <v>5.7156609905805638E-4</v>
      </c>
      <c r="H1430" s="226">
        <v>2.0000005732018801E-3</v>
      </c>
      <c r="I1430" s="255">
        <v>3.5118437216288983E-3</v>
      </c>
      <c r="J1430" s="256">
        <v>7.4293571023271368E-6</v>
      </c>
      <c r="K1430" s="257">
        <v>7.7652796632104712E-6</v>
      </c>
      <c r="L1430" s="228">
        <v>3.1752507867440653E-2</v>
      </c>
    </row>
    <row r="1431" spans="1:12" s="212" customFormat="1" ht="15.5" x14ac:dyDescent="0.35">
      <c r="A1431" s="198" t="s">
        <v>843</v>
      </c>
      <c r="B1431" s="197">
        <v>2043</v>
      </c>
      <c r="C1431" s="213" t="s">
        <v>4624</v>
      </c>
      <c r="D1431" s="239">
        <v>4.0187070829814861E-3</v>
      </c>
      <c r="E1431" s="226">
        <v>2.3015327868592013E-2</v>
      </c>
      <c r="F1431" s="226">
        <v>6.0445642336599901E-4</v>
      </c>
      <c r="G1431" s="227">
        <v>5.5605628037195621E-4</v>
      </c>
      <c r="H1431" s="226">
        <v>2.0000005732018801E-3</v>
      </c>
      <c r="I1431" s="255">
        <v>3.5119631263718443E-3</v>
      </c>
      <c r="J1431" s="256">
        <v>7.2097158739234583E-6</v>
      </c>
      <c r="K1431" s="257">
        <v>7.5357072331019048E-6</v>
      </c>
      <c r="L1431" s="228">
        <v>3.1661655436224768E-2</v>
      </c>
    </row>
    <row r="1432" spans="1:12" s="212" customFormat="1" ht="15.5" x14ac:dyDescent="0.35">
      <c r="A1432" s="198" t="s">
        <v>843</v>
      </c>
      <c r="B1432" s="197">
        <v>2044</v>
      </c>
      <c r="C1432" s="213" t="s">
        <v>4625</v>
      </c>
      <c r="D1432" s="239">
        <v>3.9503166141628314E-3</v>
      </c>
      <c r="E1432" s="226">
        <v>2.2638955499975438E-2</v>
      </c>
      <c r="F1432" s="226">
        <v>5.9032073189150029E-4</v>
      </c>
      <c r="G1432" s="227">
        <v>5.4305203388862772E-4</v>
      </c>
      <c r="H1432" s="226">
        <v>2.0000005732018801E-3</v>
      </c>
      <c r="I1432" s="255">
        <v>3.512092832666618E-3</v>
      </c>
      <c r="J1432" s="256">
        <v>7.0300586916922495E-6</v>
      </c>
      <c r="K1432" s="257">
        <v>7.3479267503071598E-6</v>
      </c>
      <c r="L1432" s="228">
        <v>3.1585261434223993E-2</v>
      </c>
    </row>
    <row r="1433" spans="1:12" s="212" customFormat="1" ht="15.5" x14ac:dyDescent="0.35">
      <c r="A1433" s="198" t="s">
        <v>843</v>
      </c>
      <c r="B1433" s="197">
        <v>2045</v>
      </c>
      <c r="C1433" s="213" t="s">
        <v>4626</v>
      </c>
      <c r="D1433" s="239">
        <v>3.8979678543771294E-3</v>
      </c>
      <c r="E1433" s="226">
        <v>2.2295438313506791E-2</v>
      </c>
      <c r="F1433" s="226">
        <v>5.785131026711948E-4</v>
      </c>
      <c r="G1433" s="227">
        <v>5.3218987691085672E-4</v>
      </c>
      <c r="H1433" s="226">
        <v>2.0000005732018801E-3</v>
      </c>
      <c r="I1433" s="255">
        <v>3.5122350376696732E-3</v>
      </c>
      <c r="J1433" s="256">
        <v>6.889469420314291E-6</v>
      </c>
      <c r="K1433" s="257">
        <v>7.2009806559331304E-6</v>
      </c>
      <c r="L1433" s="228">
        <v>3.1520093308141421E-2</v>
      </c>
    </row>
    <row r="1434" spans="1:12" s="212" customFormat="1" ht="15.5" x14ac:dyDescent="0.35">
      <c r="A1434" s="198" t="s">
        <v>843</v>
      </c>
      <c r="B1434" s="197">
        <v>2046</v>
      </c>
      <c r="C1434" s="213" t="s">
        <v>4627</v>
      </c>
      <c r="D1434" s="239">
        <v>3.849253850320475E-3</v>
      </c>
      <c r="E1434" s="226">
        <v>2.1966955933771262E-2</v>
      </c>
      <c r="F1434" s="226">
        <v>5.6874565807557521E-4</v>
      </c>
      <c r="G1434" s="227">
        <v>5.2320477948522429E-4</v>
      </c>
      <c r="H1434" s="226">
        <v>2.0000005732018805E-3</v>
      </c>
      <c r="I1434" s="255">
        <v>3.5123751815840831E-3</v>
      </c>
      <c r="J1434" s="256">
        <v>6.7792962478438169E-6</v>
      </c>
      <c r="K1434" s="257">
        <v>7.0858259414897493E-6</v>
      </c>
      <c r="L1434" s="228">
        <v>3.1464836353845962E-2</v>
      </c>
    </row>
    <row r="1435" spans="1:12" s="212" customFormat="1" ht="15.5" x14ac:dyDescent="0.35">
      <c r="A1435" s="198" t="s">
        <v>843</v>
      </c>
      <c r="B1435" s="197">
        <v>2047</v>
      </c>
      <c r="C1435" s="213" t="s">
        <v>4628</v>
      </c>
      <c r="D1435" s="239">
        <v>3.8069344142077815E-3</v>
      </c>
      <c r="E1435" s="226">
        <v>2.1674976716107425E-2</v>
      </c>
      <c r="F1435" s="226">
        <v>5.6074355269737012E-4</v>
      </c>
      <c r="G1435" s="227">
        <v>5.1584339444340664E-4</v>
      </c>
      <c r="H1435" s="226">
        <v>2.000000573201881E-3</v>
      </c>
      <c r="I1435" s="255">
        <v>3.5125336573124414E-3</v>
      </c>
      <c r="J1435" s="256">
        <v>6.6831912613617265E-6</v>
      </c>
      <c r="K1435" s="257">
        <v>6.9853755139785048E-6</v>
      </c>
      <c r="L1435" s="228">
        <v>3.1418490182949267E-2</v>
      </c>
    </row>
    <row r="1436" spans="1:12" s="212" customFormat="1" ht="15.5" x14ac:dyDescent="0.35">
      <c r="A1436" s="198" t="s">
        <v>843</v>
      </c>
      <c r="B1436" s="197">
        <v>2048</v>
      </c>
      <c r="C1436" s="213" t="s">
        <v>4629</v>
      </c>
      <c r="D1436" s="239">
        <v>3.7730138293110317E-3</v>
      </c>
      <c r="E1436" s="226">
        <v>2.1443853504548246E-2</v>
      </c>
      <c r="F1436" s="226">
        <v>5.5422869393811187E-4</v>
      </c>
      <c r="G1436" s="227">
        <v>5.0984999288508734E-4</v>
      </c>
      <c r="H1436" s="226">
        <v>2.0000005732018801E-3</v>
      </c>
      <c r="I1436" s="255">
        <v>3.5127193095525018E-3</v>
      </c>
      <c r="J1436" s="256">
        <v>6.600306956921751E-6</v>
      </c>
      <c r="K1436" s="257">
        <v>6.8987435490854089E-6</v>
      </c>
      <c r="L1436" s="228">
        <v>3.1379528105614084E-2</v>
      </c>
    </row>
    <row r="1437" spans="1:12" s="212" customFormat="1" ht="15.5" x14ac:dyDescent="0.35">
      <c r="A1437" s="198" t="s">
        <v>843</v>
      </c>
      <c r="B1437" s="197">
        <v>2049</v>
      </c>
      <c r="C1437" s="213" t="s">
        <v>4630</v>
      </c>
      <c r="D1437" s="239">
        <v>3.765302067816527E-3</v>
      </c>
      <c r="E1437" s="226">
        <v>2.142122214378802E-2</v>
      </c>
      <c r="F1437" s="226">
        <v>5.4986910494041641E-4</v>
      </c>
      <c r="G1437" s="227">
        <v>5.0583940279852924E-4</v>
      </c>
      <c r="H1437" s="226">
        <v>2.0000005732018797E-3</v>
      </c>
      <c r="I1437" s="255">
        <v>3.5129355971747307E-3</v>
      </c>
      <c r="J1437" s="256">
        <v>6.5461803616700237E-6</v>
      </c>
      <c r="K1437" s="257">
        <v>6.8421695893795902E-6</v>
      </c>
      <c r="L1437" s="228">
        <v>3.1346111423990478E-2</v>
      </c>
    </row>
    <row r="1438" spans="1:12" s="212" customFormat="1" ht="15.5" x14ac:dyDescent="0.35">
      <c r="A1438" s="198" t="s">
        <v>843</v>
      </c>
      <c r="B1438" s="197">
        <v>2050</v>
      </c>
      <c r="C1438" s="213" t="s">
        <v>4631</v>
      </c>
      <c r="D1438" s="239">
        <v>3.7595550956512698E-3</v>
      </c>
      <c r="E1438" s="226">
        <v>2.1403490890009456E-2</v>
      </c>
      <c r="F1438" s="226">
        <v>5.4634998889594377E-4</v>
      </c>
      <c r="G1438" s="227">
        <v>5.025989064396687E-4</v>
      </c>
      <c r="H1438" s="226">
        <v>2.0000005732018797E-3</v>
      </c>
      <c r="I1438" s="255">
        <v>3.5131842578981598E-3</v>
      </c>
      <c r="J1438" s="256">
        <v>6.4230103801502511E-6</v>
      </c>
      <c r="K1438" s="257">
        <v>6.7134304078542055E-6</v>
      </c>
      <c r="L1438" s="228">
        <v>3.1318471799156464E-2</v>
      </c>
    </row>
    <row r="1439" spans="1:12" s="212" customFormat="1" ht="15.5" x14ac:dyDescent="0.35">
      <c r="A1439" s="198" t="s">
        <v>844</v>
      </c>
      <c r="B1439" s="197">
        <v>2015</v>
      </c>
      <c r="C1439" s="213" t="s">
        <v>937</v>
      </c>
      <c r="D1439" s="239">
        <v>5.6515015028361239E-2</v>
      </c>
      <c r="E1439" s="226">
        <v>0.26328502996162301</v>
      </c>
      <c r="F1439" s="226">
        <v>2.1451257154754991E-3</v>
      </c>
      <c r="G1439" s="227">
        <v>1.9875146220756446E-3</v>
      </c>
      <c r="H1439" s="226">
        <v>2.0000005732018801E-3</v>
      </c>
      <c r="I1439" s="255">
        <v>2.3349161528773321E-3</v>
      </c>
      <c r="J1439" s="256">
        <v>2.748674385923484E-4</v>
      </c>
      <c r="K1439" s="257">
        <v>2.8729572445929937E-4</v>
      </c>
      <c r="L1439" s="228">
        <v>5.1396872790267237E-2</v>
      </c>
    </row>
    <row r="1440" spans="1:12" s="212" customFormat="1" ht="15.5" x14ac:dyDescent="0.35">
      <c r="A1440" s="198" t="s">
        <v>844</v>
      </c>
      <c r="B1440" s="197">
        <v>2016</v>
      </c>
      <c r="C1440" s="213" t="s">
        <v>938</v>
      </c>
      <c r="D1440" s="239">
        <v>4.8900484455233782E-2</v>
      </c>
      <c r="E1440" s="226">
        <v>0.2375145158714283</v>
      </c>
      <c r="F1440" s="226">
        <v>2.0383693299329117E-3</v>
      </c>
      <c r="G1440" s="227">
        <v>1.8871279003189565E-3</v>
      </c>
      <c r="H1440" s="226">
        <v>2.0000005770871398E-3</v>
      </c>
      <c r="I1440" s="255">
        <v>2.333409351431213E-3</v>
      </c>
      <c r="J1440" s="256">
        <v>2.5101267141553846E-4</v>
      </c>
      <c r="K1440" s="257">
        <v>2.6236235056471726E-4</v>
      </c>
      <c r="L1440" s="228">
        <v>5.0450954004873871E-2</v>
      </c>
    </row>
    <row r="1441" spans="1:12" s="212" customFormat="1" ht="15.5" x14ac:dyDescent="0.35">
      <c r="A1441" s="198" t="s">
        <v>844</v>
      </c>
      <c r="B1441" s="197">
        <v>2017</v>
      </c>
      <c r="C1441" s="213" t="s">
        <v>4632</v>
      </c>
      <c r="D1441" s="239">
        <v>3.9654809807434334E-2</v>
      </c>
      <c r="E1441" s="226">
        <v>0.19910799729023898</v>
      </c>
      <c r="F1441" s="226">
        <v>1.9000616929689036E-3</v>
      </c>
      <c r="G1441" s="227">
        <v>1.7573154735889501E-3</v>
      </c>
      <c r="H1441" s="226">
        <v>2.0000005770871398E-3</v>
      </c>
      <c r="I1441" s="255">
        <v>2.3366286919731341E-3</v>
      </c>
      <c r="J1441" s="256">
        <v>2.0947024832714328E-4</v>
      </c>
      <c r="K1441" s="257">
        <v>2.1894156344603641E-4</v>
      </c>
      <c r="L1441" s="228">
        <v>5.0039176231252119E-2</v>
      </c>
    </row>
    <row r="1442" spans="1:12" s="212" customFormat="1" ht="15.5" x14ac:dyDescent="0.35">
      <c r="A1442" s="198" t="s">
        <v>844</v>
      </c>
      <c r="B1442" s="197">
        <v>2018</v>
      </c>
      <c r="C1442" s="213" t="s">
        <v>4633</v>
      </c>
      <c r="D1442" s="239">
        <v>3.3299721491627382E-2</v>
      </c>
      <c r="E1442" s="226">
        <v>0.17431080778262961</v>
      </c>
      <c r="F1442" s="226">
        <v>1.8453372190341934E-3</v>
      </c>
      <c r="G1442" s="227">
        <v>1.7054940415384336E-3</v>
      </c>
      <c r="H1442" s="226">
        <v>2.0000005770871398E-3</v>
      </c>
      <c r="I1442" s="255">
        <v>2.3399137692009303E-3</v>
      </c>
      <c r="J1442" s="256">
        <v>1.9281624281532821E-4</v>
      </c>
      <c r="K1442" s="257">
        <v>2.01534537706032E-4</v>
      </c>
      <c r="L1442" s="228">
        <v>4.9407814298502904E-2</v>
      </c>
    </row>
    <row r="1443" spans="1:12" s="212" customFormat="1" ht="15.5" x14ac:dyDescent="0.35">
      <c r="A1443" s="198" t="s">
        <v>844</v>
      </c>
      <c r="B1443" s="197">
        <v>2019</v>
      </c>
      <c r="C1443" s="213" t="s">
        <v>4634</v>
      </c>
      <c r="D1443" s="239">
        <v>2.7262380875686384E-2</v>
      </c>
      <c r="E1443" s="226">
        <v>0.14606414092891087</v>
      </c>
      <c r="F1443" s="226">
        <v>1.7985012190384817E-3</v>
      </c>
      <c r="G1443" s="227">
        <v>1.6609316709249797E-3</v>
      </c>
      <c r="H1443" s="226">
        <v>2.0000005770871398E-3</v>
      </c>
      <c r="I1443" s="255">
        <v>2.3429368376112381E-3</v>
      </c>
      <c r="J1443" s="256">
        <v>1.7233119842412464E-4</v>
      </c>
      <c r="K1443" s="257">
        <v>1.8012325050849632E-4</v>
      </c>
      <c r="L1443" s="228">
        <v>4.8569324135288201E-2</v>
      </c>
    </row>
    <row r="1444" spans="1:12" s="212" customFormat="1" ht="15.5" x14ac:dyDescent="0.35">
      <c r="A1444" s="198" t="s">
        <v>844</v>
      </c>
      <c r="B1444" s="197">
        <v>2020</v>
      </c>
      <c r="C1444" s="213" t="s">
        <v>4635</v>
      </c>
      <c r="D1444" s="239">
        <v>2.3791508307321536E-2</v>
      </c>
      <c r="E1444" s="226">
        <v>0.13042478133857727</v>
      </c>
      <c r="F1444" s="226">
        <v>1.7513276571176721E-3</v>
      </c>
      <c r="G1444" s="227">
        <v>1.6168448838509522E-3</v>
      </c>
      <c r="H1444" s="226">
        <v>2.0000005770871403E-3</v>
      </c>
      <c r="I1444" s="255">
        <v>2.350923251862376E-3</v>
      </c>
      <c r="J1444" s="256">
        <v>1.5961216381874663E-4</v>
      </c>
      <c r="K1444" s="257">
        <v>1.6682911759814312E-4</v>
      </c>
      <c r="L1444" s="228">
        <v>4.8155734982449717E-2</v>
      </c>
    </row>
    <row r="1445" spans="1:12" s="212" customFormat="1" ht="15.5" x14ac:dyDescent="0.35">
      <c r="A1445" s="198" t="s">
        <v>844</v>
      </c>
      <c r="B1445" s="197">
        <v>2021</v>
      </c>
      <c r="C1445" s="213" t="s">
        <v>4636</v>
      </c>
      <c r="D1445" s="239">
        <v>2.0927677489502888E-2</v>
      </c>
      <c r="E1445" s="226">
        <v>0.11586011970496782</v>
      </c>
      <c r="F1445" s="226">
        <v>1.683045350616206E-3</v>
      </c>
      <c r="G1445" s="227">
        <v>1.5533871525967502E-3</v>
      </c>
      <c r="H1445" s="226">
        <v>2.0000005774974453E-3</v>
      </c>
      <c r="I1445" s="255">
        <v>2.3725689809099425E-3</v>
      </c>
      <c r="J1445" s="256">
        <v>1.4530974689873531E-4</v>
      </c>
      <c r="K1445" s="257">
        <v>1.5188000885104432E-4</v>
      </c>
      <c r="L1445" s="228">
        <v>4.7150825236840249E-2</v>
      </c>
    </row>
    <row r="1446" spans="1:12" s="212" customFormat="1" ht="15.5" x14ac:dyDescent="0.35">
      <c r="A1446" s="198" t="s">
        <v>844</v>
      </c>
      <c r="B1446" s="197">
        <v>2022</v>
      </c>
      <c r="C1446" s="213" t="s">
        <v>4637</v>
      </c>
      <c r="D1446" s="239">
        <v>1.8084356572346395E-2</v>
      </c>
      <c r="E1446" s="226">
        <v>0.10217469752274003</v>
      </c>
      <c r="F1446" s="226">
        <v>1.611395795850527E-3</v>
      </c>
      <c r="G1446" s="227">
        <v>1.4868785202694506E-3</v>
      </c>
      <c r="H1446" s="226">
        <v>2.0000005774974427E-3</v>
      </c>
      <c r="I1446" s="255">
        <v>2.3753008893684191E-3</v>
      </c>
      <c r="J1446" s="256">
        <v>1.331621940693035E-4</v>
      </c>
      <c r="K1446" s="257">
        <v>1.3918319758663268E-4</v>
      </c>
      <c r="L1446" s="228">
        <v>4.6226492392605609E-2</v>
      </c>
    </row>
    <row r="1447" spans="1:12" s="212" customFormat="1" ht="15.5" x14ac:dyDescent="0.35">
      <c r="A1447" s="198" t="s">
        <v>844</v>
      </c>
      <c r="B1447" s="197">
        <v>2023</v>
      </c>
      <c r="C1447" s="213" t="s">
        <v>4638</v>
      </c>
      <c r="D1447" s="239">
        <v>1.5984969059389807E-2</v>
      </c>
      <c r="E1447" s="226">
        <v>9.053494283256773E-2</v>
      </c>
      <c r="F1447" s="226">
        <v>1.5448766929026662E-3</v>
      </c>
      <c r="G1447" s="227">
        <v>1.4252427722469734E-3</v>
      </c>
      <c r="H1447" s="226">
        <v>2.0000005774974475E-3</v>
      </c>
      <c r="I1447" s="255">
        <v>2.3772728160884548E-3</v>
      </c>
      <c r="J1447" s="256">
        <v>1.2175126490362786E-4</v>
      </c>
      <c r="K1447" s="257">
        <v>1.2725631683933365E-4</v>
      </c>
      <c r="L1447" s="228">
        <v>4.5260172861622622E-2</v>
      </c>
    </row>
    <row r="1448" spans="1:12" s="212" customFormat="1" ht="15.5" x14ac:dyDescent="0.35">
      <c r="A1448" s="198" t="s">
        <v>844</v>
      </c>
      <c r="B1448" s="197">
        <v>2024</v>
      </c>
      <c r="C1448" s="213" t="s">
        <v>4639</v>
      </c>
      <c r="D1448" s="239">
        <v>1.4138958301584313E-2</v>
      </c>
      <c r="E1448" s="226">
        <v>8.0395240727593506E-2</v>
      </c>
      <c r="F1448" s="226">
        <v>1.4800541268773014E-3</v>
      </c>
      <c r="G1448" s="227">
        <v>1.3650903330972913E-3</v>
      </c>
      <c r="H1448" s="226">
        <v>2.0000005774974431E-3</v>
      </c>
      <c r="I1448" s="255">
        <v>2.37889730402314E-3</v>
      </c>
      <c r="J1448" s="256">
        <v>1.0847560241715837E-4</v>
      </c>
      <c r="K1448" s="257">
        <v>1.1338038780510537E-4</v>
      </c>
      <c r="L1448" s="228">
        <v>4.427297073276365E-2</v>
      </c>
    </row>
    <row r="1449" spans="1:12" s="212" customFormat="1" ht="15.5" x14ac:dyDescent="0.35">
      <c r="A1449" s="198" t="s">
        <v>844</v>
      </c>
      <c r="B1449" s="197">
        <v>2025</v>
      </c>
      <c r="C1449" s="213" t="s">
        <v>4640</v>
      </c>
      <c r="D1449" s="239">
        <v>1.2643144880355249E-2</v>
      </c>
      <c r="E1449" s="226">
        <v>7.2009840990931218E-2</v>
      </c>
      <c r="F1449" s="226">
        <v>1.4265104304441131E-3</v>
      </c>
      <c r="G1449" s="227">
        <v>1.3154518757250359E-3</v>
      </c>
      <c r="H1449" s="226">
        <v>2.0000005774974431E-3</v>
      </c>
      <c r="I1449" s="255">
        <v>2.3801580579965414E-3</v>
      </c>
      <c r="J1449" s="256">
        <v>9.8218749460413394E-5</v>
      </c>
      <c r="K1449" s="257">
        <v>1.0265976547176752E-4</v>
      </c>
      <c r="L1449" s="228">
        <v>4.3280233226416734E-2</v>
      </c>
    </row>
    <row r="1450" spans="1:12" s="212" customFormat="1" ht="15.5" x14ac:dyDescent="0.35">
      <c r="A1450" s="198" t="s">
        <v>844</v>
      </c>
      <c r="B1450" s="197">
        <v>2026</v>
      </c>
      <c r="C1450" s="213" t="s">
        <v>4641</v>
      </c>
      <c r="D1450" s="239">
        <v>1.1375066159630383E-2</v>
      </c>
      <c r="E1450" s="226">
        <v>6.4927129706702141E-2</v>
      </c>
      <c r="F1450" s="226">
        <v>1.3694183155480918E-3</v>
      </c>
      <c r="G1450" s="227">
        <v>1.2625162514556803E-3</v>
      </c>
      <c r="H1450" s="226">
        <v>2.000000577497447E-3</v>
      </c>
      <c r="I1450" s="255">
        <v>2.3809839507218673E-3</v>
      </c>
      <c r="J1450" s="256">
        <v>8.6913457582971933E-5</v>
      </c>
      <c r="K1450" s="257">
        <v>9.084329846211796E-5</v>
      </c>
      <c r="L1450" s="228">
        <v>4.2314318864447441E-2</v>
      </c>
    </row>
    <row r="1451" spans="1:12" s="212" customFormat="1" ht="15.5" x14ac:dyDescent="0.35">
      <c r="A1451" s="198" t="s">
        <v>844</v>
      </c>
      <c r="B1451" s="197">
        <v>2027</v>
      </c>
      <c r="C1451" s="213" t="s">
        <v>4642</v>
      </c>
      <c r="D1451" s="239">
        <v>1.0291600082156026E-2</v>
      </c>
      <c r="E1451" s="226">
        <v>5.8825269326407491E-2</v>
      </c>
      <c r="F1451" s="226">
        <v>1.2978452028426124E-3</v>
      </c>
      <c r="G1451" s="227">
        <v>1.1960305610246281E-3</v>
      </c>
      <c r="H1451" s="226">
        <v>2.0000005774974401E-3</v>
      </c>
      <c r="I1451" s="255">
        <v>2.3812406066135139E-3</v>
      </c>
      <c r="J1451" s="256">
        <v>6.9548365128319512E-5</v>
      </c>
      <c r="K1451" s="257">
        <v>7.2693033583122587E-5</v>
      </c>
      <c r="L1451" s="228">
        <v>4.1400944866908575E-2</v>
      </c>
    </row>
    <row r="1452" spans="1:12" s="212" customFormat="1" ht="15.5" x14ac:dyDescent="0.35">
      <c r="A1452" s="198" t="s">
        <v>844</v>
      </c>
      <c r="B1452" s="197">
        <v>2028</v>
      </c>
      <c r="C1452" s="213" t="s">
        <v>4643</v>
      </c>
      <c r="D1452" s="239">
        <v>9.3830449891686516E-3</v>
      </c>
      <c r="E1452" s="226">
        <v>5.3681930065285668E-2</v>
      </c>
      <c r="F1452" s="226">
        <v>1.2231920524984649E-3</v>
      </c>
      <c r="G1452" s="227">
        <v>1.1268876561757268E-3</v>
      </c>
      <c r="H1452" s="226">
        <v>2.0000005774974453E-3</v>
      </c>
      <c r="I1452" s="255">
        <v>2.3812568546246757E-3</v>
      </c>
      <c r="J1452" s="256">
        <v>5.6662026549019128E-5</v>
      </c>
      <c r="K1452" s="257">
        <v>5.922403195554675E-5</v>
      </c>
      <c r="L1452" s="228">
        <v>4.0549068101447268E-2</v>
      </c>
    </row>
    <row r="1453" spans="1:12" s="212" customFormat="1" ht="15.5" x14ac:dyDescent="0.35">
      <c r="A1453" s="198" t="s">
        <v>844</v>
      </c>
      <c r="B1453" s="197">
        <v>2029</v>
      </c>
      <c r="C1453" s="213" t="s">
        <v>4644</v>
      </c>
      <c r="D1453" s="239">
        <v>8.5816941545573122E-3</v>
      </c>
      <c r="E1453" s="226">
        <v>4.9249738511943739E-2</v>
      </c>
      <c r="F1453" s="226">
        <v>1.1515290924156156E-3</v>
      </c>
      <c r="G1453" s="227">
        <v>1.0606469523437496E-3</v>
      </c>
      <c r="H1453" s="226">
        <v>2.0000005774974449E-3</v>
      </c>
      <c r="I1453" s="255">
        <v>2.3809876823334235E-3</v>
      </c>
      <c r="J1453" s="256">
        <v>4.7698177251176101E-5</v>
      </c>
      <c r="K1453" s="257">
        <v>4.9854877168947545E-5</v>
      </c>
      <c r="L1453" s="228">
        <v>3.9757130926034459E-2</v>
      </c>
    </row>
    <row r="1454" spans="1:12" s="212" customFormat="1" ht="15.5" x14ac:dyDescent="0.35">
      <c r="A1454" s="198" t="s">
        <v>844</v>
      </c>
      <c r="B1454" s="197">
        <v>2030</v>
      </c>
      <c r="C1454" s="213" t="s">
        <v>4645</v>
      </c>
      <c r="D1454" s="239">
        <v>7.9033347210293869E-3</v>
      </c>
      <c r="E1454" s="226">
        <v>4.5464081671464818E-2</v>
      </c>
      <c r="F1454" s="226">
        <v>1.0812079190526383E-3</v>
      </c>
      <c r="G1454" s="227">
        <v>9.956459763069993E-4</v>
      </c>
      <c r="H1454" s="226">
        <v>2.0000005774974479E-3</v>
      </c>
      <c r="I1454" s="255">
        <v>2.3805601807548151E-3</v>
      </c>
      <c r="J1454" s="256">
        <v>3.8888434543462856E-5</v>
      </c>
      <c r="K1454" s="257">
        <v>4.0646796988645751E-5</v>
      </c>
      <c r="L1454" s="228">
        <v>3.902882812631072E-2</v>
      </c>
    </row>
    <row r="1455" spans="1:12" s="212" customFormat="1" ht="15.5" x14ac:dyDescent="0.35">
      <c r="A1455" s="198" t="s">
        <v>844</v>
      </c>
      <c r="B1455" s="197">
        <v>2031</v>
      </c>
      <c r="C1455" s="213" t="s">
        <v>4646</v>
      </c>
      <c r="D1455" s="239">
        <v>7.3118315152005996E-3</v>
      </c>
      <c r="E1455" s="226">
        <v>4.2197948437706301E-2</v>
      </c>
      <c r="F1455" s="226">
        <v>1.0171186703374449E-3</v>
      </c>
      <c r="G1455" s="227">
        <v>9.3654427244290004E-4</v>
      </c>
      <c r="H1455" s="226">
        <v>2.0000005774974427E-3</v>
      </c>
      <c r="I1455" s="255">
        <v>2.3798999459803565E-3</v>
      </c>
      <c r="J1455" s="256">
        <v>3.4422506544449232E-5</v>
      </c>
      <c r="K1455" s="257">
        <v>3.5978939542778694E-5</v>
      </c>
      <c r="L1455" s="228">
        <v>3.8357735722154472E-2</v>
      </c>
    </row>
    <row r="1456" spans="1:12" s="212" customFormat="1" ht="15.5" x14ac:dyDescent="0.35">
      <c r="A1456" s="198" t="s">
        <v>844</v>
      </c>
      <c r="B1456" s="197">
        <v>2032</v>
      </c>
      <c r="C1456" s="213" t="s">
        <v>4647</v>
      </c>
      <c r="D1456" s="239">
        <v>6.7873847764015173E-3</v>
      </c>
      <c r="E1456" s="226">
        <v>3.935882570305145E-2</v>
      </c>
      <c r="F1456" s="226">
        <v>9.5489949497719665E-4</v>
      </c>
      <c r="G1456" s="227">
        <v>8.7914641549840589E-4</v>
      </c>
      <c r="H1456" s="226">
        <v>2.0000005774974397E-3</v>
      </c>
      <c r="I1456" s="255">
        <v>2.3790504703272543E-3</v>
      </c>
      <c r="J1456" s="256">
        <v>2.9555773884162574E-5</v>
      </c>
      <c r="K1456" s="257">
        <v>3.089215482740019E-5</v>
      </c>
      <c r="L1456" s="228">
        <v>3.774533606495039E-2</v>
      </c>
    </row>
    <row r="1457" spans="1:12" s="212" customFormat="1" ht="15.5" x14ac:dyDescent="0.35">
      <c r="A1457" s="198" t="s">
        <v>844</v>
      </c>
      <c r="B1457" s="197">
        <v>2033</v>
      </c>
      <c r="C1457" s="213" t="s">
        <v>4648</v>
      </c>
      <c r="D1457" s="239">
        <v>6.3303149080938615E-3</v>
      </c>
      <c r="E1457" s="226">
        <v>3.6942207866090267E-2</v>
      </c>
      <c r="F1457" s="226">
        <v>8.9780090633329078E-4</v>
      </c>
      <c r="G1457" s="227">
        <v>8.265303785724347E-4</v>
      </c>
      <c r="H1457" s="226">
        <v>2.0000005774974462E-3</v>
      </c>
      <c r="I1457" s="255">
        <v>2.3780310271866311E-3</v>
      </c>
      <c r="J1457" s="256">
        <v>2.657877737547095E-5</v>
      </c>
      <c r="K1457" s="257">
        <v>2.778055174681191E-5</v>
      </c>
      <c r="L1457" s="228">
        <v>3.7181271612643785E-2</v>
      </c>
    </row>
    <row r="1458" spans="1:12" s="212" customFormat="1" ht="15.5" x14ac:dyDescent="0.35">
      <c r="A1458" s="198" t="s">
        <v>844</v>
      </c>
      <c r="B1458" s="197">
        <v>2034</v>
      </c>
      <c r="C1458" s="213" t="s">
        <v>4649</v>
      </c>
      <c r="D1458" s="239">
        <v>5.9118468717774698E-3</v>
      </c>
      <c r="E1458" s="226">
        <v>3.4822739480030188E-2</v>
      </c>
      <c r="F1458" s="226">
        <v>8.4323744294064265E-4</v>
      </c>
      <c r="G1458" s="227">
        <v>7.7623945257594674E-4</v>
      </c>
      <c r="H1458" s="226">
        <v>2.0000005774974405E-3</v>
      </c>
      <c r="I1458" s="255">
        <v>2.3768811603784917E-3</v>
      </c>
      <c r="J1458" s="256">
        <v>2.3451813467056403E-5</v>
      </c>
      <c r="K1458" s="257">
        <v>2.4512200406155712E-5</v>
      </c>
      <c r="L1458" s="228">
        <v>3.6669096669746847E-2</v>
      </c>
    </row>
    <row r="1459" spans="1:12" s="212" customFormat="1" ht="15.5" x14ac:dyDescent="0.35">
      <c r="A1459" s="198" t="s">
        <v>844</v>
      </c>
      <c r="B1459" s="197">
        <v>2035</v>
      </c>
      <c r="C1459" s="213" t="s">
        <v>4650</v>
      </c>
      <c r="D1459" s="239">
        <v>5.5342675978576963E-3</v>
      </c>
      <c r="E1459" s="226">
        <v>3.298484051251753E-2</v>
      </c>
      <c r="F1459" s="226">
        <v>7.922357337273989E-4</v>
      </c>
      <c r="G1459" s="227">
        <v>7.2924005885732497E-4</v>
      </c>
      <c r="H1459" s="226">
        <v>2.0000005774974492E-3</v>
      </c>
      <c r="I1459" s="255">
        <v>2.375671010269175E-3</v>
      </c>
      <c r="J1459" s="256">
        <v>2.0751686267444831E-5</v>
      </c>
      <c r="K1459" s="257">
        <v>2.1689985436214703E-5</v>
      </c>
      <c r="L1459" s="228">
        <v>3.6205489140224791E-2</v>
      </c>
    </row>
    <row r="1460" spans="1:12" s="212" customFormat="1" ht="15.5" x14ac:dyDescent="0.35">
      <c r="A1460" s="198" t="s">
        <v>844</v>
      </c>
      <c r="B1460" s="197">
        <v>2036</v>
      </c>
      <c r="C1460" s="213" t="s">
        <v>4651</v>
      </c>
      <c r="D1460" s="239">
        <v>5.1885653411575527E-3</v>
      </c>
      <c r="E1460" s="226">
        <v>3.1389843612978842E-2</v>
      </c>
      <c r="F1460" s="226">
        <v>7.4524958405490797E-4</v>
      </c>
      <c r="G1460" s="227">
        <v>6.8595341050198776E-4</v>
      </c>
      <c r="H1460" s="226">
        <v>2.0000005780675301E-3</v>
      </c>
      <c r="I1460" s="255">
        <v>2.3871115298284141E-3</v>
      </c>
      <c r="J1460" s="256">
        <v>1.8579923376090941E-5</v>
      </c>
      <c r="K1460" s="257">
        <v>1.9420025063968845E-5</v>
      </c>
      <c r="L1460" s="228">
        <v>3.5796510547442872E-2</v>
      </c>
    </row>
    <row r="1461" spans="1:12" s="212" customFormat="1" ht="15.5" x14ac:dyDescent="0.35">
      <c r="A1461" s="198" t="s">
        <v>844</v>
      </c>
      <c r="B1461" s="197">
        <v>2037</v>
      </c>
      <c r="C1461" s="213" t="s">
        <v>4652</v>
      </c>
      <c r="D1461" s="239">
        <v>4.9107575398004855E-3</v>
      </c>
      <c r="E1461" s="226">
        <v>3.0074040854556651E-2</v>
      </c>
      <c r="F1461" s="226">
        <v>7.0526159688153367E-4</v>
      </c>
      <c r="G1461" s="227">
        <v>6.4909660215106452E-4</v>
      </c>
      <c r="H1461" s="226">
        <v>2.0000005780675305E-3</v>
      </c>
      <c r="I1461" s="255">
        <v>2.3859373853637048E-3</v>
      </c>
      <c r="J1461" s="256">
        <v>1.628722247769537E-5</v>
      </c>
      <c r="K1461" s="257">
        <v>1.7023658404657417E-5</v>
      </c>
      <c r="L1461" s="228">
        <v>3.5431056396453539E-2</v>
      </c>
    </row>
    <row r="1462" spans="1:12" s="212" customFormat="1" ht="15.5" x14ac:dyDescent="0.35">
      <c r="A1462" s="198" t="s">
        <v>844</v>
      </c>
      <c r="B1462" s="197">
        <v>2038</v>
      </c>
      <c r="C1462" s="213" t="s">
        <v>4653</v>
      </c>
      <c r="D1462" s="239">
        <v>4.6591849741338754E-3</v>
      </c>
      <c r="E1462" s="226">
        <v>2.8895428677898384E-2</v>
      </c>
      <c r="F1462" s="226">
        <v>6.6977958653997914E-4</v>
      </c>
      <c r="G1462" s="227">
        <v>6.1641288693107805E-4</v>
      </c>
      <c r="H1462" s="226">
        <v>2.0000005780675301E-3</v>
      </c>
      <c r="I1462" s="255">
        <v>2.3848488860933586E-3</v>
      </c>
      <c r="J1462" s="256">
        <v>1.4764838564143718E-5</v>
      </c>
      <c r="K1462" s="257">
        <v>1.5432439046013525E-5</v>
      </c>
      <c r="L1462" s="228">
        <v>3.5110024013468723E-2</v>
      </c>
    </row>
    <row r="1463" spans="1:12" s="212" customFormat="1" ht="15.5" x14ac:dyDescent="0.35">
      <c r="A1463" s="198" t="s">
        <v>844</v>
      </c>
      <c r="B1463" s="197">
        <v>2039</v>
      </c>
      <c r="C1463" s="213" t="s">
        <v>4654</v>
      </c>
      <c r="D1463" s="239">
        <v>4.3983447747907543E-3</v>
      </c>
      <c r="E1463" s="226">
        <v>2.7721022233046087E-2</v>
      </c>
      <c r="F1463" s="226">
        <v>6.3743236029362399E-4</v>
      </c>
      <c r="G1463" s="227">
        <v>5.866176658327237E-4</v>
      </c>
      <c r="H1463" s="226">
        <v>2.0000005780675296E-3</v>
      </c>
      <c r="I1463" s="255">
        <v>2.3838135241931518E-3</v>
      </c>
      <c r="J1463" s="256">
        <v>1.3400960922975212E-5</v>
      </c>
      <c r="K1463" s="257">
        <v>1.4006892910028752E-5</v>
      </c>
      <c r="L1463" s="228">
        <v>3.4826959075852523E-2</v>
      </c>
    </row>
    <row r="1464" spans="1:12" s="212" customFormat="1" ht="15.5" x14ac:dyDescent="0.35">
      <c r="A1464" s="198" t="s">
        <v>844</v>
      </c>
      <c r="B1464" s="197">
        <v>2040</v>
      </c>
      <c r="C1464" s="213" t="s">
        <v>4655</v>
      </c>
      <c r="D1464" s="239">
        <v>4.1766045970280949E-3</v>
      </c>
      <c r="E1464" s="226">
        <v>2.6748258202141429E-2</v>
      </c>
      <c r="F1464" s="226">
        <v>6.090338379182717E-4</v>
      </c>
      <c r="G1464" s="227">
        <v>5.6046293827585129E-4</v>
      </c>
      <c r="H1464" s="226">
        <v>2.0000005780675301E-3</v>
      </c>
      <c r="I1464" s="255">
        <v>2.3829191314304918E-3</v>
      </c>
      <c r="J1464" s="256">
        <v>1.2288761074441726E-5</v>
      </c>
      <c r="K1464" s="257">
        <v>1.284440431965834E-5</v>
      </c>
      <c r="L1464" s="228">
        <v>3.458113470186687E-2</v>
      </c>
    </row>
    <row r="1465" spans="1:12" s="212" customFormat="1" ht="15.5" x14ac:dyDescent="0.35">
      <c r="A1465" s="198" t="s">
        <v>844</v>
      </c>
      <c r="B1465" s="197">
        <v>2041</v>
      </c>
      <c r="C1465" s="213" t="s">
        <v>4656</v>
      </c>
      <c r="D1465" s="239">
        <v>4.0100412553051128E-3</v>
      </c>
      <c r="E1465" s="226">
        <v>2.5961978654891738E-2</v>
      </c>
      <c r="F1465" s="226">
        <v>5.8699154527831841E-4</v>
      </c>
      <c r="G1465" s="227">
        <v>5.40159458619067E-4</v>
      </c>
      <c r="H1465" s="226">
        <v>2.0000005780675296E-3</v>
      </c>
      <c r="I1465" s="255">
        <v>2.382144167269657E-3</v>
      </c>
      <c r="J1465" s="256">
        <v>1.1354404489573058E-5</v>
      </c>
      <c r="K1465" s="257">
        <v>1.1867800276167825E-5</v>
      </c>
      <c r="L1465" s="228">
        <v>3.4369637571159545E-2</v>
      </c>
    </row>
    <row r="1466" spans="1:12" s="212" customFormat="1" ht="15.5" x14ac:dyDescent="0.35">
      <c r="A1466" s="198" t="s">
        <v>844</v>
      </c>
      <c r="B1466" s="197">
        <v>2042</v>
      </c>
      <c r="C1466" s="213" t="s">
        <v>4657</v>
      </c>
      <c r="D1466" s="239">
        <v>3.8629900621208373E-3</v>
      </c>
      <c r="E1466" s="226">
        <v>2.5216907949312351E-2</v>
      </c>
      <c r="F1466" s="226">
        <v>5.678821214434005E-4</v>
      </c>
      <c r="G1466" s="227">
        <v>5.2255765238876561E-4</v>
      </c>
      <c r="H1466" s="226">
        <v>2.0000005780675305E-3</v>
      </c>
      <c r="I1466" s="255">
        <v>2.3814496813123762E-3</v>
      </c>
      <c r="J1466" s="256">
        <v>1.0548601582940269E-5</v>
      </c>
      <c r="K1466" s="257">
        <v>1.1025562537794538E-5</v>
      </c>
      <c r="L1466" s="228">
        <v>3.418391944492221E-2</v>
      </c>
    </row>
    <row r="1467" spans="1:12" s="212" customFormat="1" ht="15.5" x14ac:dyDescent="0.35">
      <c r="A1467" s="198" t="s">
        <v>844</v>
      </c>
      <c r="B1467" s="197">
        <v>2043</v>
      </c>
      <c r="C1467" s="213" t="s">
        <v>4658</v>
      </c>
      <c r="D1467" s="239">
        <v>3.7424241169444774E-3</v>
      </c>
      <c r="E1467" s="226">
        <v>2.4553667433071961E-2</v>
      </c>
      <c r="F1467" s="226">
        <v>5.5141032889402585E-4</v>
      </c>
      <c r="G1467" s="227">
        <v>5.0738724490910698E-4</v>
      </c>
      <c r="H1467" s="226">
        <v>2.0000005780675301E-3</v>
      </c>
      <c r="I1467" s="255">
        <v>2.3808390225996882E-3</v>
      </c>
      <c r="J1467" s="256">
        <v>9.9017742727101411E-6</v>
      </c>
      <c r="K1467" s="257">
        <v>1.0349488566849502E-5</v>
      </c>
      <c r="L1467" s="228">
        <v>3.4021779481818941E-2</v>
      </c>
    </row>
    <row r="1468" spans="1:12" s="212" customFormat="1" ht="15.5" x14ac:dyDescent="0.35">
      <c r="A1468" s="198" t="s">
        <v>844</v>
      </c>
      <c r="B1468" s="197">
        <v>2044</v>
      </c>
      <c r="C1468" s="213" t="s">
        <v>4659</v>
      </c>
      <c r="D1468" s="239">
        <v>3.6438728096059546E-3</v>
      </c>
      <c r="E1468" s="226">
        <v>2.3903088622222485E-2</v>
      </c>
      <c r="F1468" s="226">
        <v>5.372325621714059E-4</v>
      </c>
      <c r="G1468" s="227">
        <v>4.9433099839769966E-4</v>
      </c>
      <c r="H1468" s="226">
        <v>2.0000005780675305E-3</v>
      </c>
      <c r="I1468" s="255">
        <v>2.3802780935795118E-3</v>
      </c>
      <c r="J1468" s="256">
        <v>9.3804228092166253E-6</v>
      </c>
      <c r="K1468" s="257">
        <v>9.8045639036396676E-6</v>
      </c>
      <c r="L1468" s="228">
        <v>3.3876522973411129E-2</v>
      </c>
    </row>
    <row r="1469" spans="1:12" s="212" customFormat="1" ht="15.5" x14ac:dyDescent="0.35">
      <c r="A1469" s="198" t="s">
        <v>844</v>
      </c>
      <c r="B1469" s="197">
        <v>2045</v>
      </c>
      <c r="C1469" s="213" t="s">
        <v>4660</v>
      </c>
      <c r="D1469" s="239">
        <v>3.5679602364917765E-3</v>
      </c>
      <c r="E1469" s="226">
        <v>2.3295259819039651E-2</v>
      </c>
      <c r="F1469" s="226">
        <v>5.2502369954832791E-4</v>
      </c>
      <c r="G1469" s="227">
        <v>4.8308861019127441E-4</v>
      </c>
      <c r="H1469" s="226">
        <v>2.0000005780675305E-3</v>
      </c>
      <c r="I1469" s="255">
        <v>2.3797793890362727E-3</v>
      </c>
      <c r="J1469" s="256">
        <v>8.9495077776563872E-6</v>
      </c>
      <c r="K1469" s="257">
        <v>9.3541648065094215E-6</v>
      </c>
      <c r="L1469" s="228">
        <v>3.3750615736125859E-2</v>
      </c>
    </row>
    <row r="1470" spans="1:12" s="212" customFormat="1" ht="15.5" x14ac:dyDescent="0.35">
      <c r="A1470" s="198" t="s">
        <v>844</v>
      </c>
      <c r="B1470" s="197">
        <v>2046</v>
      </c>
      <c r="C1470" s="213" t="s">
        <v>4661</v>
      </c>
      <c r="D1470" s="239">
        <v>3.4951205733600122E-3</v>
      </c>
      <c r="E1470" s="226">
        <v>2.2705020897902835E-2</v>
      </c>
      <c r="F1470" s="226">
        <v>5.1461011965608287E-4</v>
      </c>
      <c r="G1470" s="227">
        <v>4.7350059019216501E-4</v>
      </c>
      <c r="H1470" s="226">
        <v>2.0000005780675301E-3</v>
      </c>
      <c r="I1470" s="255">
        <v>2.3793211767972741E-3</v>
      </c>
      <c r="J1470" s="256">
        <v>8.6128364440385929E-6</v>
      </c>
      <c r="K1470" s="257">
        <v>9.0022706891423262E-6</v>
      </c>
      <c r="L1470" s="228">
        <v>3.363463456507227E-2</v>
      </c>
    </row>
    <row r="1471" spans="1:12" s="212" customFormat="1" ht="15.5" x14ac:dyDescent="0.35">
      <c r="A1471" s="198" t="s">
        <v>844</v>
      </c>
      <c r="B1471" s="197">
        <v>2047</v>
      </c>
      <c r="C1471" s="213" t="s">
        <v>4662</v>
      </c>
      <c r="D1471" s="239">
        <v>3.4287282974237473E-3</v>
      </c>
      <c r="E1471" s="226">
        <v>2.2160360882987274E-2</v>
      </c>
      <c r="F1471" s="226">
        <v>5.0574259145381648E-4</v>
      </c>
      <c r="G1471" s="227">
        <v>4.6533414288177046E-4</v>
      </c>
      <c r="H1471" s="226">
        <v>2.0000005780675305E-3</v>
      </c>
      <c r="I1471" s="255">
        <v>2.3789175344298141E-3</v>
      </c>
      <c r="J1471" s="256">
        <v>8.2770692737853628E-6</v>
      </c>
      <c r="K1471" s="257">
        <v>8.6513216173950109E-6</v>
      </c>
      <c r="L1471" s="228">
        <v>3.3537334310106817E-2</v>
      </c>
    </row>
    <row r="1472" spans="1:12" s="212" customFormat="1" ht="15.5" x14ac:dyDescent="0.35">
      <c r="A1472" s="198" t="s">
        <v>844</v>
      </c>
      <c r="B1472" s="197">
        <v>2048</v>
      </c>
      <c r="C1472" s="213" t="s">
        <v>4663</v>
      </c>
      <c r="D1472" s="239">
        <v>3.373073485423473E-3</v>
      </c>
      <c r="E1472" s="226">
        <v>2.1708067879453844E-2</v>
      </c>
      <c r="F1472" s="226">
        <v>4.982406899512816E-4</v>
      </c>
      <c r="G1472" s="227">
        <v>4.5842438756679498E-4</v>
      </c>
      <c r="H1472" s="226">
        <v>2.0000005780675305E-3</v>
      </c>
      <c r="I1472" s="255">
        <v>2.3785710262270404E-3</v>
      </c>
      <c r="J1472" s="256">
        <v>7.9682162913675853E-6</v>
      </c>
      <c r="K1472" s="257">
        <v>8.3285036736271153E-6</v>
      </c>
      <c r="L1472" s="228">
        <v>3.345050289632924E-2</v>
      </c>
    </row>
    <row r="1473" spans="1:12" s="212" customFormat="1" ht="15.5" x14ac:dyDescent="0.35">
      <c r="A1473" s="198" t="s">
        <v>844</v>
      </c>
      <c r="B1473" s="197">
        <v>2049</v>
      </c>
      <c r="C1473" s="213" t="s">
        <v>4664</v>
      </c>
      <c r="D1473" s="239">
        <v>3.3612204443990061E-3</v>
      </c>
      <c r="E1473" s="226">
        <v>2.1658176370382403E-2</v>
      </c>
      <c r="F1473" s="226">
        <v>4.9365476067149883E-4</v>
      </c>
      <c r="G1473" s="227">
        <v>4.5419974279687649E-4</v>
      </c>
      <c r="H1473" s="226">
        <v>2.0000005780675305E-3</v>
      </c>
      <c r="I1473" s="255">
        <v>2.3782687098159966E-3</v>
      </c>
      <c r="J1473" s="256">
        <v>7.7615560527175756E-6</v>
      </c>
      <c r="K1473" s="257">
        <v>8.1124991760265767E-6</v>
      </c>
      <c r="L1473" s="228">
        <v>3.3372072886310812E-2</v>
      </c>
    </row>
    <row r="1474" spans="1:12" s="212" customFormat="1" ht="15.5" x14ac:dyDescent="0.35">
      <c r="A1474" s="198" t="s">
        <v>844</v>
      </c>
      <c r="B1474" s="197">
        <v>2050</v>
      </c>
      <c r="C1474" s="213" t="s">
        <v>4665</v>
      </c>
      <c r="D1474" s="239">
        <v>3.3515494903803835E-3</v>
      </c>
      <c r="E1474" s="226">
        <v>2.1610012102786156E-2</v>
      </c>
      <c r="F1474" s="226">
        <v>4.896200991070499E-4</v>
      </c>
      <c r="G1474" s="227">
        <v>4.504718928355186E-4</v>
      </c>
      <c r="H1474" s="226">
        <v>2.0000005780675301E-3</v>
      </c>
      <c r="I1474" s="255">
        <v>2.3780384262318205E-3</v>
      </c>
      <c r="J1474" s="256">
        <v>7.2963033037378671E-6</v>
      </c>
      <c r="K1474" s="257">
        <v>7.6262097622664922E-6</v>
      </c>
      <c r="L1474" s="228">
        <v>3.3305599974212743E-2</v>
      </c>
    </row>
    <row r="1475" spans="1:12" s="212" customFormat="1" ht="15.5" x14ac:dyDescent="0.35">
      <c r="A1475" s="198" t="s">
        <v>845</v>
      </c>
      <c r="B1475" s="197">
        <v>2015</v>
      </c>
      <c r="C1475" s="213" t="s">
        <v>939</v>
      </c>
      <c r="D1475" s="239">
        <v>3.7202807103686716E-2</v>
      </c>
      <c r="E1475" s="226">
        <v>0.17607780559565928</v>
      </c>
      <c r="F1475" s="226">
        <v>1.7539332782883464E-3</v>
      </c>
      <c r="G1475" s="227">
        <v>1.6195245862373467E-3</v>
      </c>
      <c r="H1475" s="226">
        <v>2.0000005732018805E-3</v>
      </c>
      <c r="I1475" s="255">
        <v>2.6035531317442442E-3</v>
      </c>
      <c r="J1475" s="256">
        <v>1.3336997000974491E-4</v>
      </c>
      <c r="K1475" s="257">
        <v>1.3940036823310894E-4</v>
      </c>
      <c r="L1475" s="228">
        <v>4.5352471397755764E-2</v>
      </c>
    </row>
    <row r="1476" spans="1:12" s="212" customFormat="1" ht="15.5" x14ac:dyDescent="0.35">
      <c r="A1476" s="198" t="s">
        <v>845</v>
      </c>
      <c r="B1476" s="197">
        <v>2016</v>
      </c>
      <c r="C1476" s="213" t="s">
        <v>940</v>
      </c>
      <c r="D1476" s="239">
        <v>3.2169676018163534E-2</v>
      </c>
      <c r="E1476" s="226">
        <v>0.15499998335811155</v>
      </c>
      <c r="F1476" s="226">
        <v>1.7487752916554421E-3</v>
      </c>
      <c r="G1476" s="227">
        <v>1.6137019405565104E-3</v>
      </c>
      <c r="H1476" s="226">
        <v>2.0000005732018801E-3</v>
      </c>
      <c r="I1476" s="255">
        <v>2.5518015002209821E-3</v>
      </c>
      <c r="J1476" s="256">
        <v>1.181281903848947E-4</v>
      </c>
      <c r="K1476" s="257">
        <v>1.2346942296801805E-4</v>
      </c>
      <c r="L1476" s="228">
        <v>4.4260828231447273E-2</v>
      </c>
    </row>
    <row r="1477" spans="1:12" s="212" customFormat="1" ht="15.5" x14ac:dyDescent="0.35">
      <c r="A1477" s="198" t="s">
        <v>845</v>
      </c>
      <c r="B1477" s="197">
        <v>2017</v>
      </c>
      <c r="C1477" s="213" t="s">
        <v>4666</v>
      </c>
      <c r="D1477" s="239">
        <v>2.6151530551111472E-2</v>
      </c>
      <c r="E1477" s="226">
        <v>0.12916818608191247</v>
      </c>
      <c r="F1477" s="226">
        <v>1.7195306401641775E-3</v>
      </c>
      <c r="G1477" s="227">
        <v>1.5854721605613915E-3</v>
      </c>
      <c r="H1477" s="226">
        <v>2.0000005732018801E-3</v>
      </c>
      <c r="I1477" s="255">
        <v>2.5517616452142978E-3</v>
      </c>
      <c r="J1477" s="256">
        <v>9.5315516738106627E-5</v>
      </c>
      <c r="K1477" s="257">
        <v>9.962526144866252E-5</v>
      </c>
      <c r="L1477" s="228">
        <v>4.3934962260002867E-2</v>
      </c>
    </row>
    <row r="1478" spans="1:12" s="212" customFormat="1" ht="15.5" x14ac:dyDescent="0.35">
      <c r="A1478" s="198" t="s">
        <v>845</v>
      </c>
      <c r="B1478" s="197">
        <v>2018</v>
      </c>
      <c r="C1478" s="213" t="s">
        <v>4667</v>
      </c>
      <c r="D1478" s="239">
        <v>2.2189654696614911E-2</v>
      </c>
      <c r="E1478" s="226">
        <v>0.11201923602504328</v>
      </c>
      <c r="F1478" s="226">
        <v>1.7256913178875265E-3</v>
      </c>
      <c r="G1478" s="227">
        <v>1.5901310709238062E-3</v>
      </c>
      <c r="H1478" s="226">
        <v>2.0000005732018801E-3</v>
      </c>
      <c r="I1478" s="255">
        <v>2.5527256589826988E-3</v>
      </c>
      <c r="J1478" s="256">
        <v>7.7114188281349219E-5</v>
      </c>
      <c r="K1478" s="257">
        <v>8.0600949686289238E-5</v>
      </c>
      <c r="L1478" s="228">
        <v>4.3373333795425038E-2</v>
      </c>
    </row>
    <row r="1479" spans="1:12" s="212" customFormat="1" ht="15.5" x14ac:dyDescent="0.35">
      <c r="A1479" s="198" t="s">
        <v>845</v>
      </c>
      <c r="B1479" s="197">
        <v>2019</v>
      </c>
      <c r="C1479" s="213" t="s">
        <v>4668</v>
      </c>
      <c r="D1479" s="239">
        <v>1.8612716805062636E-2</v>
      </c>
      <c r="E1479" s="226">
        <v>9.5628908123876616E-2</v>
      </c>
      <c r="F1479" s="226">
        <v>1.7220319614634745E-3</v>
      </c>
      <c r="G1479" s="227">
        <v>1.5860388325908115E-3</v>
      </c>
      <c r="H1479" s="226">
        <v>2.0000005732018797E-3</v>
      </c>
      <c r="I1479" s="255">
        <v>2.554710886450341E-3</v>
      </c>
      <c r="J1479" s="256">
        <v>6.4184818366110196E-5</v>
      </c>
      <c r="K1479" s="257">
        <v>6.7086971036712424E-5</v>
      </c>
      <c r="L1479" s="228">
        <v>4.2771994339257283E-2</v>
      </c>
    </row>
    <row r="1480" spans="1:12" s="212" customFormat="1" ht="15.5" x14ac:dyDescent="0.35">
      <c r="A1480" s="198" t="s">
        <v>845</v>
      </c>
      <c r="B1480" s="197">
        <v>2020</v>
      </c>
      <c r="C1480" s="213" t="s">
        <v>4669</v>
      </c>
      <c r="D1480" s="239">
        <v>1.6164353500990533E-2</v>
      </c>
      <c r="E1480" s="226">
        <v>8.3978118193414969E-2</v>
      </c>
      <c r="F1480" s="226">
        <v>1.6623037830728977E-3</v>
      </c>
      <c r="G1480" s="227">
        <v>1.5307563019594942E-3</v>
      </c>
      <c r="H1480" s="226">
        <v>2.0000005732018801E-3</v>
      </c>
      <c r="I1480" s="255">
        <v>2.567178040432912E-3</v>
      </c>
      <c r="J1480" s="256">
        <v>5.682425155891115E-5</v>
      </c>
      <c r="K1480" s="257">
        <v>5.9393592060523409E-5</v>
      </c>
      <c r="L1480" s="228">
        <v>4.2480623389888443E-2</v>
      </c>
    </row>
    <row r="1481" spans="1:12" s="212" customFormat="1" ht="15.5" x14ac:dyDescent="0.35">
      <c r="A1481" s="198" t="s">
        <v>845</v>
      </c>
      <c r="B1481" s="197">
        <v>2021</v>
      </c>
      <c r="C1481" s="213" t="s">
        <v>4670</v>
      </c>
      <c r="D1481" s="239">
        <v>1.3744677433698777E-2</v>
      </c>
      <c r="E1481" s="226">
        <v>7.2222817219870408E-2</v>
      </c>
      <c r="F1481" s="226">
        <v>1.5280101309967276E-3</v>
      </c>
      <c r="G1481" s="227">
        <v>1.4069275118163355E-3</v>
      </c>
      <c r="H1481" s="226">
        <v>2.0000005732018801E-3</v>
      </c>
      <c r="I1481" s="255">
        <v>2.5352686184931901E-3</v>
      </c>
      <c r="J1481" s="256">
        <v>4.8636053367616736E-5</v>
      </c>
      <c r="K1481" s="257">
        <v>5.0835159881609888E-5</v>
      </c>
      <c r="L1481" s="228">
        <v>4.1690969375125154E-2</v>
      </c>
    </row>
    <row r="1482" spans="1:12" s="212" customFormat="1" ht="15.5" x14ac:dyDescent="0.35">
      <c r="A1482" s="198" t="s">
        <v>845</v>
      </c>
      <c r="B1482" s="197">
        <v>2022</v>
      </c>
      <c r="C1482" s="213" t="s">
        <v>4671</v>
      </c>
      <c r="D1482" s="239">
        <v>1.165176825245496E-2</v>
      </c>
      <c r="E1482" s="226">
        <v>6.1830299520124102E-2</v>
      </c>
      <c r="F1482" s="226">
        <v>1.4344635288230678E-3</v>
      </c>
      <c r="G1482" s="227">
        <v>1.3205683510844289E-3</v>
      </c>
      <c r="H1482" s="226">
        <v>2.0000005732018805E-3</v>
      </c>
      <c r="I1482" s="255">
        <v>2.5389094364071667E-3</v>
      </c>
      <c r="J1482" s="256">
        <v>4.1304574447960055E-5</v>
      </c>
      <c r="K1482" s="257">
        <v>4.3172184018162361E-5</v>
      </c>
      <c r="L1482" s="228">
        <v>4.0959658262211596E-2</v>
      </c>
    </row>
    <row r="1483" spans="1:12" s="212" customFormat="1" ht="15.5" x14ac:dyDescent="0.35">
      <c r="A1483" s="198" t="s">
        <v>845</v>
      </c>
      <c r="B1483" s="197">
        <v>2023</v>
      </c>
      <c r="C1483" s="213" t="s">
        <v>4672</v>
      </c>
      <c r="D1483" s="239">
        <v>1.0144283459089132E-2</v>
      </c>
      <c r="E1483" s="226">
        <v>5.3904914167904959E-2</v>
      </c>
      <c r="F1483" s="226">
        <v>1.363337734805318E-3</v>
      </c>
      <c r="G1483" s="227">
        <v>1.2549182007069711E-3</v>
      </c>
      <c r="H1483" s="226">
        <v>2.0000005732018801E-3</v>
      </c>
      <c r="I1483" s="255">
        <v>2.5454943434917846E-3</v>
      </c>
      <c r="J1483" s="256">
        <v>3.510406320669666E-5</v>
      </c>
      <c r="K1483" s="257">
        <v>3.6691313172930119E-5</v>
      </c>
      <c r="L1483" s="228">
        <v>4.0229307004979106E-2</v>
      </c>
    </row>
    <row r="1484" spans="1:12" s="212" customFormat="1" ht="15.5" x14ac:dyDescent="0.35">
      <c r="A1484" s="198" t="s">
        <v>845</v>
      </c>
      <c r="B1484" s="197">
        <v>2024</v>
      </c>
      <c r="C1484" s="213" t="s">
        <v>4673</v>
      </c>
      <c r="D1484" s="239">
        <v>8.9356988483630228E-3</v>
      </c>
      <c r="E1484" s="226">
        <v>4.7721855371650322E-2</v>
      </c>
      <c r="F1484" s="226">
        <v>1.3039430973540301E-3</v>
      </c>
      <c r="G1484" s="227">
        <v>1.2001060366138704E-3</v>
      </c>
      <c r="H1484" s="226">
        <v>2.0000005732018801E-3</v>
      </c>
      <c r="I1484" s="255">
        <v>2.5539191293377462E-3</v>
      </c>
      <c r="J1484" s="256">
        <v>3.0152087571118968E-5</v>
      </c>
      <c r="K1484" s="257">
        <v>3.1515431173178059E-5</v>
      </c>
      <c r="L1484" s="228">
        <v>3.9355683637451518E-2</v>
      </c>
    </row>
    <row r="1485" spans="1:12" s="212" customFormat="1" ht="15.5" x14ac:dyDescent="0.35">
      <c r="A1485" s="198" t="s">
        <v>845</v>
      </c>
      <c r="B1485" s="197">
        <v>2025</v>
      </c>
      <c r="C1485" s="213" t="s">
        <v>4674</v>
      </c>
      <c r="D1485" s="239">
        <v>7.9434845664903501E-3</v>
      </c>
      <c r="E1485" s="226">
        <v>4.2842787630977749E-2</v>
      </c>
      <c r="F1485" s="226">
        <v>1.2524194091074262E-3</v>
      </c>
      <c r="G1485" s="227">
        <v>1.1525648511236484E-3</v>
      </c>
      <c r="H1485" s="226">
        <v>2.0000005732018801E-3</v>
      </c>
      <c r="I1485" s="255">
        <v>2.5630435042336371E-3</v>
      </c>
      <c r="J1485" s="256">
        <v>2.5950359860254202E-5</v>
      </c>
      <c r="K1485" s="257">
        <v>2.7123719980118535E-5</v>
      </c>
      <c r="L1485" s="228">
        <v>3.850154915395234E-2</v>
      </c>
    </row>
    <row r="1486" spans="1:12" s="212" customFormat="1" ht="15.5" x14ac:dyDescent="0.35">
      <c r="A1486" s="198" t="s">
        <v>845</v>
      </c>
      <c r="B1486" s="197">
        <v>2026</v>
      </c>
      <c r="C1486" s="213" t="s">
        <v>4675</v>
      </c>
      <c r="D1486" s="239">
        <v>7.1544152954117531E-3</v>
      </c>
      <c r="E1486" s="226">
        <v>3.9001161281231246E-2</v>
      </c>
      <c r="F1486" s="226">
        <v>1.1923234664127807E-3</v>
      </c>
      <c r="G1486" s="227">
        <v>1.097177385193507E-3</v>
      </c>
      <c r="H1486" s="226">
        <v>2.0000005732018801E-3</v>
      </c>
      <c r="I1486" s="255">
        <v>2.5721324253191635E-3</v>
      </c>
      <c r="J1486" s="256">
        <v>2.2582306873310964E-5</v>
      </c>
      <c r="K1486" s="257">
        <v>2.3603378582619485E-5</v>
      </c>
      <c r="L1486" s="228">
        <v>3.7641357191044632E-2</v>
      </c>
    </row>
    <row r="1487" spans="1:12" s="212" customFormat="1" ht="15.5" x14ac:dyDescent="0.35">
      <c r="A1487" s="198" t="s">
        <v>845</v>
      </c>
      <c r="B1487" s="197">
        <v>2027</v>
      </c>
      <c r="C1487" s="213" t="s">
        <v>4676</v>
      </c>
      <c r="D1487" s="239">
        <v>6.5184974826934952E-3</v>
      </c>
      <c r="E1487" s="226">
        <v>3.5908767343250964E-2</v>
      </c>
      <c r="F1487" s="226">
        <v>1.1210152040214453E-3</v>
      </c>
      <c r="G1487" s="227">
        <v>1.0314578492935072E-3</v>
      </c>
      <c r="H1487" s="226">
        <v>2.0000005732018801E-3</v>
      </c>
      <c r="I1487" s="255">
        <v>2.5813916847483155E-3</v>
      </c>
      <c r="J1487" s="256">
        <v>1.8626680075838774E-5</v>
      </c>
      <c r="K1487" s="257">
        <v>1.9468895894199515E-5</v>
      </c>
      <c r="L1487" s="228">
        <v>3.6902191804468187E-2</v>
      </c>
    </row>
    <row r="1488" spans="1:12" s="212" customFormat="1" ht="15.5" x14ac:dyDescent="0.35">
      <c r="A1488" s="198" t="s">
        <v>845</v>
      </c>
      <c r="B1488" s="197">
        <v>2028</v>
      </c>
      <c r="C1488" s="213" t="s">
        <v>4677</v>
      </c>
      <c r="D1488" s="239">
        <v>5.98355258314613E-3</v>
      </c>
      <c r="E1488" s="226">
        <v>3.3372471536886189E-2</v>
      </c>
      <c r="F1488" s="226">
        <v>1.0449165301755191E-3</v>
      </c>
      <c r="G1488" s="227">
        <v>9.6139267852318494E-4</v>
      </c>
      <c r="H1488" s="226">
        <v>2.0000005732018797E-3</v>
      </c>
      <c r="I1488" s="255">
        <v>2.5906906056941755E-3</v>
      </c>
      <c r="J1488" s="256">
        <v>1.6182066125391236E-5</v>
      </c>
      <c r="K1488" s="257">
        <v>1.6913747348726479E-5</v>
      </c>
      <c r="L1488" s="228">
        <v>3.6201696333466919E-2</v>
      </c>
    </row>
    <row r="1489" spans="1:12" s="212" customFormat="1" ht="15.5" x14ac:dyDescent="0.35">
      <c r="A1489" s="198" t="s">
        <v>845</v>
      </c>
      <c r="B1489" s="197">
        <v>2029</v>
      </c>
      <c r="C1489" s="213" t="s">
        <v>4678</v>
      </c>
      <c r="D1489" s="239">
        <v>5.5466206338166584E-3</v>
      </c>
      <c r="E1489" s="226">
        <v>3.1289897255897071E-2</v>
      </c>
      <c r="F1489" s="226">
        <v>9.7772756993380963E-4</v>
      </c>
      <c r="G1489" s="227">
        <v>8.9953967462487688E-4</v>
      </c>
      <c r="H1489" s="226">
        <v>2.0000005732018801E-3</v>
      </c>
      <c r="I1489" s="255">
        <v>2.5997093719423935E-3</v>
      </c>
      <c r="J1489" s="256">
        <v>1.4251123112514311E-5</v>
      </c>
      <c r="K1489" s="257">
        <v>1.4895495661239978E-5</v>
      </c>
      <c r="L1489" s="228">
        <v>3.5567352331384888E-2</v>
      </c>
    </row>
    <row r="1490" spans="1:12" s="212" customFormat="1" ht="15.5" x14ac:dyDescent="0.35">
      <c r="A1490" s="198" t="s">
        <v>845</v>
      </c>
      <c r="B1490" s="197">
        <v>2030</v>
      </c>
      <c r="C1490" s="213" t="s">
        <v>4679</v>
      </c>
      <c r="D1490" s="239">
        <v>5.2019657710270705E-3</v>
      </c>
      <c r="E1490" s="226">
        <v>2.965125572877389E-2</v>
      </c>
      <c r="F1490" s="226">
        <v>9.1815734108138857E-4</v>
      </c>
      <c r="G1490" s="227">
        <v>8.4470771957470135E-4</v>
      </c>
      <c r="H1490" s="226">
        <v>2.0000005732018797E-3</v>
      </c>
      <c r="I1490" s="255">
        <v>2.6083912702623726E-3</v>
      </c>
      <c r="J1490" s="256">
        <v>1.2728429368735705E-5</v>
      </c>
      <c r="K1490" s="257">
        <v>1.330395246322112E-5</v>
      </c>
      <c r="L1490" s="228">
        <v>3.4996173777591892E-2</v>
      </c>
    </row>
    <row r="1491" spans="1:12" s="212" customFormat="1" ht="15.5" x14ac:dyDescent="0.35">
      <c r="A1491" s="198" t="s">
        <v>845</v>
      </c>
      <c r="B1491" s="197">
        <v>2031</v>
      </c>
      <c r="C1491" s="213" t="s">
        <v>4680</v>
      </c>
      <c r="D1491" s="239">
        <v>4.9745929474808021E-3</v>
      </c>
      <c r="E1491" s="226">
        <v>2.8339257824536185E-2</v>
      </c>
      <c r="F1491" s="226">
        <v>8.747186678493055E-4</v>
      </c>
      <c r="G1491" s="227">
        <v>8.0473420209553408E-4</v>
      </c>
      <c r="H1491" s="226">
        <v>2.0000005732018805E-3</v>
      </c>
      <c r="I1491" s="255">
        <v>2.6606705662444116E-3</v>
      </c>
      <c r="J1491" s="256">
        <v>1.1874773528820456E-5</v>
      </c>
      <c r="K1491" s="257">
        <v>1.241169809426663E-5</v>
      </c>
      <c r="L1491" s="228">
        <v>3.4482308363146287E-2</v>
      </c>
    </row>
    <row r="1492" spans="1:12" s="212" customFormat="1" ht="15.5" x14ac:dyDescent="0.35">
      <c r="A1492" s="198" t="s">
        <v>845</v>
      </c>
      <c r="B1492" s="197">
        <v>2032</v>
      </c>
      <c r="C1492" s="213" t="s">
        <v>4681</v>
      </c>
      <c r="D1492" s="239">
        <v>4.72577303037064E-3</v>
      </c>
      <c r="E1492" s="226">
        <v>2.7186255159072175E-2</v>
      </c>
      <c r="F1492" s="226">
        <v>8.2411026561292398E-4</v>
      </c>
      <c r="G1492" s="227">
        <v>7.5816813429036077E-4</v>
      </c>
      <c r="H1492" s="226">
        <v>2.0000005732018801E-3</v>
      </c>
      <c r="I1492" s="255">
        <v>2.6681609583672646E-3</v>
      </c>
      <c r="J1492" s="256">
        <v>1.1014722857952676E-5</v>
      </c>
      <c r="K1492" s="257">
        <v>1.151275974848051E-5</v>
      </c>
      <c r="L1492" s="228">
        <v>3.4015068532101039E-2</v>
      </c>
    </row>
    <row r="1493" spans="1:12" s="212" customFormat="1" ht="15.5" x14ac:dyDescent="0.35">
      <c r="A1493" s="198" t="s">
        <v>845</v>
      </c>
      <c r="B1493" s="197">
        <v>2033</v>
      </c>
      <c r="C1493" s="213" t="s">
        <v>4682</v>
      </c>
      <c r="D1493" s="239">
        <v>4.5143600620591228E-3</v>
      </c>
      <c r="E1493" s="226">
        <v>2.6216509001589387E-2</v>
      </c>
      <c r="F1493" s="226">
        <v>7.7794399242603113E-4</v>
      </c>
      <c r="G1493" s="227">
        <v>7.1569702096037965E-4</v>
      </c>
      <c r="H1493" s="226">
        <v>2.0000005732018801E-3</v>
      </c>
      <c r="I1493" s="255">
        <v>2.6749266370232013E-3</v>
      </c>
      <c r="J1493" s="256">
        <v>1.0426232902462105E-5</v>
      </c>
      <c r="K1493" s="257">
        <v>1.0897660888588138E-5</v>
      </c>
      <c r="L1493" s="228">
        <v>3.3624145831666293E-2</v>
      </c>
    </row>
    <row r="1494" spans="1:12" s="212" customFormat="1" ht="15.5" x14ac:dyDescent="0.35">
      <c r="A1494" s="198" t="s">
        <v>845</v>
      </c>
      <c r="B1494" s="197">
        <v>2034</v>
      </c>
      <c r="C1494" s="213" t="s">
        <v>4683</v>
      </c>
      <c r="D1494" s="239">
        <v>4.3320251524782407E-3</v>
      </c>
      <c r="E1494" s="226">
        <v>2.5393416019665618E-2</v>
      </c>
      <c r="F1494" s="226">
        <v>7.3575603167231772E-4</v>
      </c>
      <c r="G1494" s="227">
        <v>6.7688286786236126E-4</v>
      </c>
      <c r="H1494" s="226">
        <v>2.0000005732018797E-3</v>
      </c>
      <c r="I1494" s="255">
        <v>2.6809627236123435E-3</v>
      </c>
      <c r="J1494" s="256">
        <v>9.8133299651191613E-6</v>
      </c>
      <c r="K1494" s="257">
        <v>1.0257045200135066E-5</v>
      </c>
      <c r="L1494" s="228">
        <v>3.3254870774762225E-2</v>
      </c>
    </row>
    <row r="1495" spans="1:12" s="212" customFormat="1" ht="15.5" x14ac:dyDescent="0.35">
      <c r="A1495" s="198" t="s">
        <v>845</v>
      </c>
      <c r="B1495" s="197">
        <v>2035</v>
      </c>
      <c r="C1495" s="213" t="s">
        <v>4684</v>
      </c>
      <c r="D1495" s="239">
        <v>4.1761206077411718E-3</v>
      </c>
      <c r="E1495" s="226">
        <v>2.4706176508339981E-2</v>
      </c>
      <c r="F1495" s="226">
        <v>6.9773428020169441E-4</v>
      </c>
      <c r="G1495" s="227">
        <v>6.4190714402616073E-4</v>
      </c>
      <c r="H1495" s="226">
        <v>2.0000005732018805E-3</v>
      </c>
      <c r="I1495" s="255">
        <v>2.6862985755964877E-3</v>
      </c>
      <c r="J1495" s="256">
        <v>9.399427046704115E-6</v>
      </c>
      <c r="K1495" s="257">
        <v>9.8244274284163009E-6</v>
      </c>
      <c r="L1495" s="228">
        <v>3.2927517600206777E-2</v>
      </c>
    </row>
    <row r="1496" spans="1:12" s="212" customFormat="1" ht="15.5" x14ac:dyDescent="0.35">
      <c r="A1496" s="198" t="s">
        <v>845</v>
      </c>
      <c r="B1496" s="197">
        <v>2036</v>
      </c>
      <c r="C1496" s="213" t="s">
        <v>4685</v>
      </c>
      <c r="D1496" s="239">
        <v>4.0425945729998638E-3</v>
      </c>
      <c r="E1496" s="226">
        <v>2.4124387236347706E-2</v>
      </c>
      <c r="F1496" s="226">
        <v>6.642298379710438E-4</v>
      </c>
      <c r="G1496" s="227">
        <v>6.1108643381515291E-4</v>
      </c>
      <c r="H1496" s="226">
        <v>2.0000005732018801E-3</v>
      </c>
      <c r="I1496" s="255">
        <v>2.6909610996793758E-3</v>
      </c>
      <c r="J1496" s="256">
        <v>9.0243951168240894E-6</v>
      </c>
      <c r="K1496" s="257">
        <v>9.4324382188466306E-6</v>
      </c>
      <c r="L1496" s="228">
        <v>3.2619214965493144E-2</v>
      </c>
    </row>
    <row r="1497" spans="1:12" s="212" customFormat="1" ht="15.5" x14ac:dyDescent="0.35">
      <c r="A1497" s="198" t="s">
        <v>845</v>
      </c>
      <c r="B1497" s="197">
        <v>2037</v>
      </c>
      <c r="C1497" s="213" t="s">
        <v>4686</v>
      </c>
      <c r="D1497" s="239">
        <v>3.931961315363653E-3</v>
      </c>
      <c r="E1497" s="226">
        <v>2.3644609293894153E-2</v>
      </c>
      <c r="F1497" s="226">
        <v>6.3462645974051682E-4</v>
      </c>
      <c r="G1497" s="227">
        <v>5.8385504718375754E-4</v>
      </c>
      <c r="H1497" s="226">
        <v>2.0000005732018801E-3</v>
      </c>
      <c r="I1497" s="255">
        <v>2.6950038794861151E-3</v>
      </c>
      <c r="J1497" s="256">
        <v>8.7119671578617425E-6</v>
      </c>
      <c r="K1497" s="257">
        <v>9.1058836539585586E-6</v>
      </c>
      <c r="L1497" s="228">
        <v>3.2367980008340423E-2</v>
      </c>
    </row>
    <row r="1498" spans="1:12" s="212" customFormat="1" ht="15.5" x14ac:dyDescent="0.35">
      <c r="A1498" s="198" t="s">
        <v>845</v>
      </c>
      <c r="B1498" s="197">
        <v>2038</v>
      </c>
      <c r="C1498" s="213" t="s">
        <v>4687</v>
      </c>
      <c r="D1498" s="239">
        <v>3.8325264858543309E-3</v>
      </c>
      <c r="E1498" s="226">
        <v>2.3210080141098616E-2</v>
      </c>
      <c r="F1498" s="226">
        <v>6.0858040158087094E-4</v>
      </c>
      <c r="G1498" s="227">
        <v>5.5989741932401286E-4</v>
      </c>
      <c r="H1498" s="226">
        <v>2.0000005732018801E-3</v>
      </c>
      <c r="I1498" s="255">
        <v>2.6984775609464702E-3</v>
      </c>
      <c r="J1498" s="256">
        <v>8.474848764058015E-6</v>
      </c>
      <c r="K1498" s="257">
        <v>8.8580438185842919E-6</v>
      </c>
      <c r="L1498" s="228">
        <v>3.216931847056631E-2</v>
      </c>
    </row>
    <row r="1499" spans="1:12" s="212" customFormat="1" ht="15.5" x14ac:dyDescent="0.35">
      <c r="A1499" s="198" t="s">
        <v>845</v>
      </c>
      <c r="B1499" s="197">
        <v>2039</v>
      </c>
      <c r="C1499" s="213" t="s">
        <v>4688</v>
      </c>
      <c r="D1499" s="239">
        <v>3.7426503657716896E-3</v>
      </c>
      <c r="E1499" s="226">
        <v>2.282359178554319E-2</v>
      </c>
      <c r="F1499" s="226">
        <v>5.8587833835654674E-4</v>
      </c>
      <c r="G1499" s="227">
        <v>5.3901616824671703E-4</v>
      </c>
      <c r="H1499" s="226">
        <v>2.0000005732018801E-3</v>
      </c>
      <c r="I1499" s="255">
        <v>2.7014605797510065E-3</v>
      </c>
      <c r="J1499" s="256">
        <v>8.2812814584560028E-6</v>
      </c>
      <c r="K1499" s="257">
        <v>8.6557242583651268E-6</v>
      </c>
      <c r="L1499" s="228">
        <v>3.1982166297247122E-2</v>
      </c>
    </row>
    <row r="1500" spans="1:12" s="212" customFormat="1" ht="15.5" x14ac:dyDescent="0.35">
      <c r="A1500" s="198" t="s">
        <v>845</v>
      </c>
      <c r="B1500" s="197">
        <v>2040</v>
      </c>
      <c r="C1500" s="213" t="s">
        <v>4689</v>
      </c>
      <c r="D1500" s="239">
        <v>3.6644666432603273E-3</v>
      </c>
      <c r="E1500" s="226">
        <v>2.2496617887886653E-2</v>
      </c>
      <c r="F1500" s="226">
        <v>5.6639926129101778E-4</v>
      </c>
      <c r="G1500" s="227">
        <v>5.210996262349875E-4</v>
      </c>
      <c r="H1500" s="226">
        <v>2.0000005732018801E-3</v>
      </c>
      <c r="I1500" s="255">
        <v>2.7040320272060893E-3</v>
      </c>
      <c r="J1500" s="256">
        <v>8.1208806463689895E-6</v>
      </c>
      <c r="K1500" s="257">
        <v>8.4880708333236264E-6</v>
      </c>
      <c r="L1500" s="228">
        <v>3.1822703806383357E-2</v>
      </c>
    </row>
    <row r="1501" spans="1:12" s="212" customFormat="1" ht="15.5" x14ac:dyDescent="0.35">
      <c r="A1501" s="198" t="s">
        <v>845</v>
      </c>
      <c r="B1501" s="197">
        <v>2041</v>
      </c>
      <c r="C1501" s="213" t="s">
        <v>4690</v>
      </c>
      <c r="D1501" s="239">
        <v>3.6034477917794919E-3</v>
      </c>
      <c r="E1501" s="226">
        <v>2.222408270577857E-2</v>
      </c>
      <c r="F1501" s="226">
        <v>5.5059869130540638E-4</v>
      </c>
      <c r="G1501" s="227">
        <v>5.0656631218366625E-4</v>
      </c>
      <c r="H1501" s="226">
        <v>2.0000005732018801E-3</v>
      </c>
      <c r="I1501" s="255">
        <v>2.7062557019118688E-3</v>
      </c>
      <c r="J1501" s="256">
        <v>7.9855417507379733E-6</v>
      </c>
      <c r="K1501" s="257">
        <v>8.3466125133896443E-6</v>
      </c>
      <c r="L1501" s="228">
        <v>3.1689025806667645E-2</v>
      </c>
    </row>
    <row r="1502" spans="1:12" s="212" customFormat="1" ht="15.5" x14ac:dyDescent="0.35">
      <c r="A1502" s="198" t="s">
        <v>845</v>
      </c>
      <c r="B1502" s="197">
        <v>2042</v>
      </c>
      <c r="C1502" s="213" t="s">
        <v>4691</v>
      </c>
      <c r="D1502" s="239">
        <v>3.550395435354012E-3</v>
      </c>
      <c r="E1502" s="226">
        <v>2.1967266152877484E-2</v>
      </c>
      <c r="F1502" s="226">
        <v>5.3730876885713888E-4</v>
      </c>
      <c r="G1502" s="227">
        <v>4.943426697882503E-4</v>
      </c>
      <c r="H1502" s="226">
        <v>2.0000005732018805E-3</v>
      </c>
      <c r="I1502" s="255">
        <v>2.708163701475651E-3</v>
      </c>
      <c r="J1502" s="256">
        <v>7.8816153296828382E-6</v>
      </c>
      <c r="K1502" s="257">
        <v>8.237987000741053E-6</v>
      </c>
      <c r="L1502" s="228">
        <v>3.1575031884765112E-2</v>
      </c>
    </row>
    <row r="1503" spans="1:12" s="212" customFormat="1" ht="15.5" x14ac:dyDescent="0.35">
      <c r="A1503" s="198" t="s">
        <v>845</v>
      </c>
      <c r="B1503" s="197">
        <v>2043</v>
      </c>
      <c r="C1503" s="213" t="s">
        <v>4692</v>
      </c>
      <c r="D1503" s="239">
        <v>3.5087190004429569E-3</v>
      </c>
      <c r="E1503" s="226">
        <v>2.1743689527632087E-2</v>
      </c>
      <c r="F1503" s="226">
        <v>5.2614494863980341E-4</v>
      </c>
      <c r="G1503" s="227">
        <v>4.8407476417284379E-4</v>
      </c>
      <c r="H1503" s="226">
        <v>2.0000005732018805E-3</v>
      </c>
      <c r="I1503" s="255">
        <v>2.7098170094221993E-3</v>
      </c>
      <c r="J1503" s="256">
        <v>7.7998705114570191E-6</v>
      </c>
      <c r="K1503" s="257">
        <v>8.1525460445723216E-6</v>
      </c>
      <c r="L1503" s="228">
        <v>3.1479725709564324E-2</v>
      </c>
    </row>
    <row r="1504" spans="1:12" s="212" customFormat="1" ht="15.5" x14ac:dyDescent="0.35">
      <c r="A1504" s="198" t="s">
        <v>845</v>
      </c>
      <c r="B1504" s="197">
        <v>2044</v>
      </c>
      <c r="C1504" s="213" t="s">
        <v>4693</v>
      </c>
      <c r="D1504" s="239">
        <v>3.4758609922250338E-3</v>
      </c>
      <c r="E1504" s="226">
        <v>2.1532442478085966E-2</v>
      </c>
      <c r="F1504" s="226">
        <v>5.1680703965011564E-4</v>
      </c>
      <c r="G1504" s="227">
        <v>4.7548635045222297E-4</v>
      </c>
      <c r="H1504" s="226">
        <v>2.0000005732018801E-3</v>
      </c>
      <c r="I1504" s="255">
        <v>2.711266874973679E-3</v>
      </c>
      <c r="J1504" s="256">
        <v>7.7343955506124236E-6</v>
      </c>
      <c r="K1504" s="257">
        <v>8.0841105965391688E-6</v>
      </c>
      <c r="L1504" s="228">
        <v>3.139896861181192E-2</v>
      </c>
    </row>
    <row r="1505" spans="1:12" s="212" customFormat="1" ht="15.5" x14ac:dyDescent="0.35">
      <c r="A1505" s="198" t="s">
        <v>845</v>
      </c>
      <c r="B1505" s="197">
        <v>2045</v>
      </c>
      <c r="C1505" s="213" t="s">
        <v>4694</v>
      </c>
      <c r="D1505" s="239">
        <v>3.4520385193451469E-3</v>
      </c>
      <c r="E1505" s="226">
        <v>2.134071354301794E-2</v>
      </c>
      <c r="F1505" s="226">
        <v>5.0903760372291188E-4</v>
      </c>
      <c r="G1505" s="227">
        <v>4.683406866799414E-4</v>
      </c>
      <c r="H1505" s="226">
        <v>2.0000005732018801E-3</v>
      </c>
      <c r="I1505" s="255">
        <v>2.7125491833787708E-3</v>
      </c>
      <c r="J1505" s="256">
        <v>7.6842393794684599E-6</v>
      </c>
      <c r="K1505" s="257">
        <v>8.031686585900787E-6</v>
      </c>
      <c r="L1505" s="228">
        <v>3.1328626375001875E-2</v>
      </c>
    </row>
    <row r="1506" spans="1:12" s="212" customFormat="1" ht="15.5" x14ac:dyDescent="0.35">
      <c r="A1506" s="198" t="s">
        <v>845</v>
      </c>
      <c r="B1506" s="197">
        <v>2046</v>
      </c>
      <c r="C1506" s="213" t="s">
        <v>4695</v>
      </c>
      <c r="D1506" s="239">
        <v>3.4314623947852571E-3</v>
      </c>
      <c r="E1506" s="226">
        <v>2.1171092863378413E-2</v>
      </c>
      <c r="F1506" s="226">
        <v>5.0264339897337961E-4</v>
      </c>
      <c r="G1506" s="227">
        <v>4.624598981409064E-4</v>
      </c>
      <c r="H1506" s="226">
        <v>2.0000005732018801E-3</v>
      </c>
      <c r="I1506" s="255">
        <v>2.7137053384924358E-3</v>
      </c>
      <c r="J1506" s="256">
        <v>7.64437323375984E-6</v>
      </c>
      <c r="K1506" s="257">
        <v>7.9900178699866351E-6</v>
      </c>
      <c r="L1506" s="228">
        <v>3.1268665231855952E-2</v>
      </c>
    </row>
    <row r="1507" spans="1:12" s="212" customFormat="1" ht="15.5" x14ac:dyDescent="0.35">
      <c r="A1507" s="198" t="s">
        <v>845</v>
      </c>
      <c r="B1507" s="197">
        <v>2047</v>
      </c>
      <c r="C1507" s="213" t="s">
        <v>4696</v>
      </c>
      <c r="D1507" s="239">
        <v>3.413720659993646E-3</v>
      </c>
      <c r="E1507" s="226">
        <v>2.1021030766977609E-2</v>
      </c>
      <c r="F1507" s="226">
        <v>4.9739884414540388E-4</v>
      </c>
      <c r="G1507" s="227">
        <v>4.5763648430031137E-4</v>
      </c>
      <c r="H1507" s="226">
        <v>2.0000005732018805E-3</v>
      </c>
      <c r="I1507" s="255">
        <v>2.7147544228406225E-3</v>
      </c>
      <c r="J1507" s="256">
        <v>7.6125668715142739E-6</v>
      </c>
      <c r="K1507" s="257">
        <v>7.9567733651789557E-6</v>
      </c>
      <c r="L1507" s="228">
        <v>3.1217471006723781E-2</v>
      </c>
    </row>
    <row r="1508" spans="1:12" s="212" customFormat="1" ht="15.5" x14ac:dyDescent="0.35">
      <c r="A1508" s="198" t="s">
        <v>845</v>
      </c>
      <c r="B1508" s="197">
        <v>2048</v>
      </c>
      <c r="C1508" s="213" t="s">
        <v>4697</v>
      </c>
      <c r="D1508" s="239">
        <v>3.4000785028105284E-3</v>
      </c>
      <c r="E1508" s="226">
        <v>2.0904721859598133E-2</v>
      </c>
      <c r="F1508" s="226">
        <v>4.9311045995070551E-4</v>
      </c>
      <c r="G1508" s="227">
        <v>4.5369252447513347E-4</v>
      </c>
      <c r="H1508" s="226">
        <v>2.0000005732018805E-3</v>
      </c>
      <c r="I1508" s="255">
        <v>2.7157171413934702E-3</v>
      </c>
      <c r="J1508" s="256">
        <v>7.5882140924425268E-6</v>
      </c>
      <c r="K1508" s="257">
        <v>7.931319461501446E-6</v>
      </c>
      <c r="L1508" s="228">
        <v>3.1172675965343979E-2</v>
      </c>
    </row>
    <row r="1509" spans="1:12" s="212" customFormat="1" ht="15.5" x14ac:dyDescent="0.35">
      <c r="A1509" s="198" t="s">
        <v>845</v>
      </c>
      <c r="B1509" s="197">
        <v>2049</v>
      </c>
      <c r="C1509" s="213" t="s">
        <v>4698</v>
      </c>
      <c r="D1509" s="239">
        <v>3.3979371709172697E-3</v>
      </c>
      <c r="E1509" s="226">
        <v>2.0902328337252963E-2</v>
      </c>
      <c r="F1509" s="226">
        <v>4.8999115485438675E-4</v>
      </c>
      <c r="G1509" s="227">
        <v>4.5082377621081317E-4</v>
      </c>
      <c r="H1509" s="226">
        <v>2.0000005732018805E-3</v>
      </c>
      <c r="I1509" s="255">
        <v>2.7165929311688333E-3</v>
      </c>
      <c r="J1509" s="256">
        <v>7.5712140522631513E-6</v>
      </c>
      <c r="K1509" s="257">
        <v>7.9135507549417259E-6</v>
      </c>
      <c r="L1509" s="228">
        <v>3.1133519889582562E-2</v>
      </c>
    </row>
    <row r="1510" spans="1:12" s="212" customFormat="1" ht="15.5" x14ac:dyDescent="0.35">
      <c r="A1510" s="198" t="s">
        <v>845</v>
      </c>
      <c r="B1510" s="197">
        <v>2050</v>
      </c>
      <c r="C1510" s="213" t="s">
        <v>4699</v>
      </c>
      <c r="D1510" s="239">
        <v>3.3966070837701543E-3</v>
      </c>
      <c r="E1510" s="226">
        <v>2.0902343415186968E-2</v>
      </c>
      <c r="F1510" s="226">
        <v>4.8740464187651969E-4</v>
      </c>
      <c r="G1510" s="227">
        <v>4.4844433249268111E-4</v>
      </c>
      <c r="H1510" s="226">
        <v>2.0000005732018805E-3</v>
      </c>
      <c r="I1510" s="255">
        <v>2.7174180171784137E-3</v>
      </c>
      <c r="J1510" s="256">
        <v>7.5393757859563484E-6</v>
      </c>
      <c r="K1510" s="257">
        <v>7.8802729035127516E-6</v>
      </c>
      <c r="L1510" s="228">
        <v>3.1101815035734937E-2</v>
      </c>
    </row>
    <row r="1511" spans="1:12" s="212" customFormat="1" ht="15.5" x14ac:dyDescent="0.35">
      <c r="A1511" s="198" t="s">
        <v>846</v>
      </c>
      <c r="B1511" s="197">
        <v>2015</v>
      </c>
      <c r="C1511" s="213" t="s">
        <v>941</v>
      </c>
      <c r="D1511" s="239">
        <v>5.8699664559249874E-2</v>
      </c>
      <c r="E1511" s="226">
        <v>0.29440644008699013</v>
      </c>
      <c r="F1511" s="226">
        <v>2.1277992610181286E-3</v>
      </c>
      <c r="G1511" s="227">
        <v>1.9677867796969151E-3</v>
      </c>
      <c r="H1511" s="226">
        <v>2.0000005732018801E-3</v>
      </c>
      <c r="I1511" s="255">
        <v>2.684492886656386E-3</v>
      </c>
      <c r="J1511" s="256">
        <v>1.9600594833921363E-4</v>
      </c>
      <c r="K1511" s="257">
        <v>2.0486846755959893E-4</v>
      </c>
      <c r="L1511" s="228">
        <v>4.6251362063154618E-2</v>
      </c>
    </row>
    <row r="1512" spans="1:12" s="212" customFormat="1" ht="15.5" x14ac:dyDescent="0.35">
      <c r="A1512" s="198" t="s">
        <v>846</v>
      </c>
      <c r="B1512" s="197">
        <v>2016</v>
      </c>
      <c r="C1512" s="213" t="s">
        <v>942</v>
      </c>
      <c r="D1512" s="239">
        <v>5.13088033947703E-2</v>
      </c>
      <c r="E1512" s="226">
        <v>0.2669402732917241</v>
      </c>
      <c r="F1512" s="226">
        <v>2.0074460450048206E-3</v>
      </c>
      <c r="G1512" s="227">
        <v>1.8551254046120114E-3</v>
      </c>
      <c r="H1512" s="226">
        <v>2.0000005732018801E-3</v>
      </c>
      <c r="I1512" s="255">
        <v>2.6812421454481721E-3</v>
      </c>
      <c r="J1512" s="256">
        <v>1.7333523883671765E-4</v>
      </c>
      <c r="K1512" s="257">
        <v>1.811726891731831E-4</v>
      </c>
      <c r="L1512" s="228">
        <v>4.5196472157790157E-2</v>
      </c>
    </row>
    <row r="1513" spans="1:12" s="212" customFormat="1" ht="15.5" x14ac:dyDescent="0.35">
      <c r="A1513" s="198" t="s">
        <v>846</v>
      </c>
      <c r="B1513" s="197">
        <v>2017</v>
      </c>
      <c r="C1513" s="213" t="s">
        <v>4700</v>
      </c>
      <c r="D1513" s="239">
        <v>4.1910712920633433E-2</v>
      </c>
      <c r="E1513" s="226">
        <v>0.22700923837863771</v>
      </c>
      <c r="F1513" s="226">
        <v>1.863964128992215E-3</v>
      </c>
      <c r="G1513" s="227">
        <v>1.7213873519444593E-3</v>
      </c>
      <c r="H1513" s="226">
        <v>2.0000005732018797E-3</v>
      </c>
      <c r="I1513" s="255">
        <v>2.6824534838762373E-3</v>
      </c>
      <c r="J1513" s="256">
        <v>1.512119299071065E-4</v>
      </c>
      <c r="K1513" s="257">
        <v>1.5804906238450439E-4</v>
      </c>
      <c r="L1513" s="228">
        <v>4.4808387597369437E-2</v>
      </c>
    </row>
    <row r="1514" spans="1:12" s="212" customFormat="1" ht="15.5" x14ac:dyDescent="0.35">
      <c r="A1514" s="198" t="s">
        <v>846</v>
      </c>
      <c r="B1514" s="197">
        <v>2018</v>
      </c>
      <c r="C1514" s="213" t="s">
        <v>4701</v>
      </c>
      <c r="D1514" s="239">
        <v>3.5812713380451139E-2</v>
      </c>
      <c r="E1514" s="226">
        <v>0.2002601151240202</v>
      </c>
      <c r="F1514" s="226">
        <v>1.785867233582277E-3</v>
      </c>
      <c r="G1514" s="227">
        <v>1.6481924209813198E-3</v>
      </c>
      <c r="H1514" s="226">
        <v>2.0000005732018801E-3</v>
      </c>
      <c r="I1514" s="255">
        <v>2.6842999154773313E-3</v>
      </c>
      <c r="J1514" s="256">
        <v>1.3157248518913946E-4</v>
      </c>
      <c r="K1514" s="257">
        <v>1.3752160912513633E-4</v>
      </c>
      <c r="L1514" s="228">
        <v>4.4215812172829348E-2</v>
      </c>
    </row>
    <row r="1515" spans="1:12" s="212" customFormat="1" ht="15.5" x14ac:dyDescent="0.35">
      <c r="A1515" s="198" t="s">
        <v>846</v>
      </c>
      <c r="B1515" s="197">
        <v>2019</v>
      </c>
      <c r="C1515" s="213" t="s">
        <v>4702</v>
      </c>
      <c r="D1515" s="239">
        <v>2.9615722231864185E-2</v>
      </c>
      <c r="E1515" s="226">
        <v>0.16752545165495694</v>
      </c>
      <c r="F1515" s="226">
        <v>1.7281817920881105E-3</v>
      </c>
      <c r="G1515" s="227">
        <v>1.5942144286545529E-3</v>
      </c>
      <c r="H1515" s="226">
        <v>2.0000005732018805E-3</v>
      </c>
      <c r="I1515" s="255">
        <v>2.6858115574278406E-3</v>
      </c>
      <c r="J1515" s="256">
        <v>1.2128373042294007E-4</v>
      </c>
      <c r="K1515" s="257">
        <v>1.2676764252408254E-4</v>
      </c>
      <c r="L1515" s="228">
        <v>4.3510613511069635E-2</v>
      </c>
    </row>
    <row r="1516" spans="1:12" s="212" customFormat="1" ht="15.5" x14ac:dyDescent="0.35">
      <c r="A1516" s="198" t="s">
        <v>846</v>
      </c>
      <c r="B1516" s="197">
        <v>2020</v>
      </c>
      <c r="C1516" s="213" t="s">
        <v>4703</v>
      </c>
      <c r="D1516" s="239">
        <v>2.5871885944413239E-2</v>
      </c>
      <c r="E1516" s="226">
        <v>0.14937244828516621</v>
      </c>
      <c r="F1516" s="226">
        <v>1.6706796881831246E-3</v>
      </c>
      <c r="G1516" s="227">
        <v>1.5407876377687075E-3</v>
      </c>
      <c r="H1516" s="226">
        <v>2.0000005732018801E-3</v>
      </c>
      <c r="I1516" s="255">
        <v>2.6919482751011298E-3</v>
      </c>
      <c r="J1516" s="256">
        <v>1.1150078069509908E-4</v>
      </c>
      <c r="K1516" s="257">
        <v>1.1654235122074496E-4</v>
      </c>
      <c r="L1516" s="228">
        <v>4.3173587105046006E-2</v>
      </c>
    </row>
    <row r="1517" spans="1:12" s="212" customFormat="1" ht="15.5" x14ac:dyDescent="0.35">
      <c r="A1517" s="198" t="s">
        <v>846</v>
      </c>
      <c r="B1517" s="197">
        <v>2021</v>
      </c>
      <c r="C1517" s="213" t="s">
        <v>4704</v>
      </c>
      <c r="D1517" s="239">
        <v>2.2736029941795473E-2</v>
      </c>
      <c r="E1517" s="226">
        <v>0.13247896221568384</v>
      </c>
      <c r="F1517" s="226">
        <v>1.5965490282502999E-3</v>
      </c>
      <c r="G1517" s="227">
        <v>1.4721972483142634E-3</v>
      </c>
      <c r="H1517" s="226">
        <v>2.0000005732018801E-3</v>
      </c>
      <c r="I1517" s="255">
        <v>2.6959632864831228E-3</v>
      </c>
      <c r="J1517" s="256">
        <v>1.0247806843646695E-4</v>
      </c>
      <c r="K1517" s="257">
        <v>1.071116719514701E-4</v>
      </c>
      <c r="L1517" s="228">
        <v>4.2320037897791672E-2</v>
      </c>
    </row>
    <row r="1518" spans="1:12" s="212" customFormat="1" ht="15.5" x14ac:dyDescent="0.35">
      <c r="A1518" s="198" t="s">
        <v>846</v>
      </c>
      <c r="B1518" s="197">
        <v>2022</v>
      </c>
      <c r="C1518" s="213" t="s">
        <v>4705</v>
      </c>
      <c r="D1518" s="239">
        <v>1.9478135159346689E-2</v>
      </c>
      <c r="E1518" s="226">
        <v>0.11623347479506857</v>
      </c>
      <c r="F1518" s="226">
        <v>1.5207888174504547E-3</v>
      </c>
      <c r="G1518" s="227">
        <v>1.40205231253534E-3</v>
      </c>
      <c r="H1518" s="226">
        <v>2.0000005732018797E-3</v>
      </c>
      <c r="I1518" s="255">
        <v>2.6973267641796817E-3</v>
      </c>
      <c r="J1518" s="256">
        <v>9.4355764887733189E-5</v>
      </c>
      <c r="K1518" s="257">
        <v>9.8622113878450932E-5</v>
      </c>
      <c r="L1518" s="228">
        <v>4.1548041219883265E-2</v>
      </c>
    </row>
    <row r="1519" spans="1:12" s="212" customFormat="1" ht="15.5" x14ac:dyDescent="0.35">
      <c r="A1519" s="198" t="s">
        <v>846</v>
      </c>
      <c r="B1519" s="197">
        <v>2023</v>
      </c>
      <c r="C1519" s="213" t="s">
        <v>4706</v>
      </c>
      <c r="D1519" s="239">
        <v>1.7085871847819477E-2</v>
      </c>
      <c r="E1519" s="226">
        <v>0.10243214519849385</v>
      </c>
      <c r="F1519" s="226">
        <v>1.4501681734896848E-3</v>
      </c>
      <c r="G1519" s="227">
        <v>1.3367065424759316E-3</v>
      </c>
      <c r="H1519" s="226">
        <v>2.0000005732018801E-3</v>
      </c>
      <c r="I1519" s="255">
        <v>2.698298021460798E-3</v>
      </c>
      <c r="J1519" s="256">
        <v>8.4477068461108132E-5</v>
      </c>
      <c r="K1519" s="257">
        <v>8.8296746635480164E-5</v>
      </c>
      <c r="L1519" s="228">
        <v>4.0729873881959304E-2</v>
      </c>
    </row>
    <row r="1520" spans="1:12" s="212" customFormat="1" ht="15.5" x14ac:dyDescent="0.35">
      <c r="A1520" s="198" t="s">
        <v>846</v>
      </c>
      <c r="B1520" s="197">
        <v>2024</v>
      </c>
      <c r="C1520" s="213" t="s">
        <v>4707</v>
      </c>
      <c r="D1520" s="239">
        <v>1.5018940391609281E-2</v>
      </c>
      <c r="E1520" s="226">
        <v>9.0460120722003656E-2</v>
      </c>
      <c r="F1520" s="226">
        <v>1.3855069613946558E-3</v>
      </c>
      <c r="G1520" s="227">
        <v>1.276834071975427E-3</v>
      </c>
      <c r="H1520" s="226">
        <v>2.0000005732018801E-3</v>
      </c>
      <c r="I1520" s="255">
        <v>2.699284721602844E-3</v>
      </c>
      <c r="J1520" s="256">
        <v>7.4423515700872402E-5</v>
      </c>
      <c r="K1520" s="257">
        <v>7.7788616831406178E-5</v>
      </c>
      <c r="L1520" s="228">
        <v>3.9909337353549207E-2</v>
      </c>
    </row>
    <row r="1521" spans="1:12" s="212" customFormat="1" ht="15.5" x14ac:dyDescent="0.35">
      <c r="A1521" s="198" t="s">
        <v>846</v>
      </c>
      <c r="B1521" s="197">
        <v>2025</v>
      </c>
      <c r="C1521" s="213" t="s">
        <v>4708</v>
      </c>
      <c r="D1521" s="239">
        <v>1.3296246559487534E-2</v>
      </c>
      <c r="E1521" s="226">
        <v>8.0334748550548576E-2</v>
      </c>
      <c r="F1521" s="226">
        <v>1.3306175311612425E-3</v>
      </c>
      <c r="G1521" s="227">
        <v>1.2260221973592802E-3</v>
      </c>
      <c r="H1521" s="226">
        <v>2.0000005732018801E-3</v>
      </c>
      <c r="I1521" s="255">
        <v>2.700198274707113E-3</v>
      </c>
      <c r="J1521" s="256">
        <v>6.5883114914357468E-5</v>
      </c>
      <c r="K1521" s="257">
        <v>6.88620570187922E-5</v>
      </c>
      <c r="L1521" s="228">
        <v>3.9025842504934231E-2</v>
      </c>
    </row>
    <row r="1522" spans="1:12" s="212" customFormat="1" ht="15.5" x14ac:dyDescent="0.35">
      <c r="A1522" s="198" t="s">
        <v>846</v>
      </c>
      <c r="B1522" s="197">
        <v>2026</v>
      </c>
      <c r="C1522" s="213" t="s">
        <v>4709</v>
      </c>
      <c r="D1522" s="239">
        <v>1.1525594163216975E-2</v>
      </c>
      <c r="E1522" s="226">
        <v>7.1476448529306791E-2</v>
      </c>
      <c r="F1522" s="226">
        <v>1.24179154495299E-3</v>
      </c>
      <c r="G1522" s="227">
        <v>1.1439802880288648E-3</v>
      </c>
      <c r="H1522" s="226">
        <v>2.0000005732018797E-3</v>
      </c>
      <c r="I1522" s="255">
        <v>2.5182413151822029E-3</v>
      </c>
      <c r="J1522" s="256">
        <v>5.6422005004798201E-5</v>
      </c>
      <c r="K1522" s="257">
        <v>5.89731577021762E-5</v>
      </c>
      <c r="L1522" s="228">
        <v>3.8162318600218167E-2</v>
      </c>
    </row>
    <row r="1523" spans="1:12" s="212" customFormat="1" ht="15.5" x14ac:dyDescent="0.35">
      <c r="A1523" s="198" t="s">
        <v>846</v>
      </c>
      <c r="B1523" s="197">
        <v>2027</v>
      </c>
      <c r="C1523" s="213" t="s">
        <v>4710</v>
      </c>
      <c r="D1523" s="239">
        <v>1.0320419476671042E-2</v>
      </c>
      <c r="E1523" s="226">
        <v>6.4167561603214157E-2</v>
      </c>
      <c r="F1523" s="226">
        <v>1.1802012834327442E-3</v>
      </c>
      <c r="G1523" s="227">
        <v>1.0869486344628183E-3</v>
      </c>
      <c r="H1523" s="226">
        <v>2.0000005732018801E-3</v>
      </c>
      <c r="I1523" s="255">
        <v>2.5187050461039019E-3</v>
      </c>
      <c r="J1523" s="256">
        <v>4.6123879758151174E-5</v>
      </c>
      <c r="K1523" s="257">
        <v>4.8209396929129639E-5</v>
      </c>
      <c r="L1523" s="228">
        <v>3.7377454161023789E-2</v>
      </c>
    </row>
    <row r="1524" spans="1:12" s="212" customFormat="1" ht="15.5" x14ac:dyDescent="0.35">
      <c r="A1524" s="198" t="s">
        <v>846</v>
      </c>
      <c r="B1524" s="197">
        <v>2028</v>
      </c>
      <c r="C1524" s="213" t="s">
        <v>4711</v>
      </c>
      <c r="D1524" s="239">
        <v>9.3255377813242276E-3</v>
      </c>
      <c r="E1524" s="226">
        <v>5.8043827727230012E-2</v>
      </c>
      <c r="F1524" s="226">
        <v>1.1156940292297768E-3</v>
      </c>
      <c r="G1524" s="227">
        <v>1.027326353301532E-3</v>
      </c>
      <c r="H1524" s="226">
        <v>2.0000005732018797E-3</v>
      </c>
      <c r="I1524" s="255">
        <v>2.5191749532973732E-3</v>
      </c>
      <c r="J1524" s="256">
        <v>3.8161374789634477E-5</v>
      </c>
      <c r="K1524" s="257">
        <v>3.9886862819029105E-5</v>
      </c>
      <c r="L1524" s="228">
        <v>3.6567724765248603E-2</v>
      </c>
    </row>
    <row r="1525" spans="1:12" s="212" customFormat="1" ht="15.5" x14ac:dyDescent="0.35">
      <c r="A1525" s="198" t="s">
        <v>846</v>
      </c>
      <c r="B1525" s="197">
        <v>2029</v>
      </c>
      <c r="C1525" s="213" t="s">
        <v>4712</v>
      </c>
      <c r="D1525" s="239">
        <v>8.4605618436381421E-3</v>
      </c>
      <c r="E1525" s="226">
        <v>5.2802377224523155E-2</v>
      </c>
      <c r="F1525" s="226">
        <v>1.0528953422655615E-3</v>
      </c>
      <c r="G1525" s="227">
        <v>9.6935297591980963E-4</v>
      </c>
      <c r="H1525" s="226">
        <v>2.0000005732018801E-3</v>
      </c>
      <c r="I1525" s="255">
        <v>2.5195766645839954E-3</v>
      </c>
      <c r="J1525" s="256">
        <v>3.2199217009174649E-5</v>
      </c>
      <c r="K1525" s="257">
        <v>3.3655122720420213E-5</v>
      </c>
      <c r="L1525" s="228">
        <v>3.5873908834848596E-2</v>
      </c>
    </row>
    <row r="1526" spans="1:12" s="212" customFormat="1" ht="15.5" x14ac:dyDescent="0.35">
      <c r="A1526" s="198" t="s">
        <v>846</v>
      </c>
      <c r="B1526" s="197">
        <v>2030</v>
      </c>
      <c r="C1526" s="213" t="s">
        <v>4713</v>
      </c>
      <c r="D1526" s="239">
        <v>7.7418112184378012E-3</v>
      </c>
      <c r="E1526" s="226">
        <v>4.8378748691771244E-2</v>
      </c>
      <c r="F1526" s="226">
        <v>9.925191140933039E-4</v>
      </c>
      <c r="G1526" s="227">
        <v>9.1364785778590683E-4</v>
      </c>
      <c r="H1526" s="226">
        <v>2.0000005732018801E-3</v>
      </c>
      <c r="I1526" s="255">
        <v>2.5199766588734573E-3</v>
      </c>
      <c r="J1526" s="256">
        <v>2.7286720255552854E-5</v>
      </c>
      <c r="K1526" s="257">
        <v>2.8520504662481124E-5</v>
      </c>
      <c r="L1526" s="228">
        <v>3.5242502588551508E-2</v>
      </c>
    </row>
    <row r="1527" spans="1:12" s="212" customFormat="1" ht="15.5" x14ac:dyDescent="0.35">
      <c r="A1527" s="198" t="s">
        <v>846</v>
      </c>
      <c r="B1527" s="197">
        <v>2031</v>
      </c>
      <c r="C1527" s="213" t="s">
        <v>4714</v>
      </c>
      <c r="D1527" s="239">
        <v>7.1060490580426823E-3</v>
      </c>
      <c r="E1527" s="226">
        <v>4.4491387009606628E-2</v>
      </c>
      <c r="F1527" s="226">
        <v>9.3484553368024974E-4</v>
      </c>
      <c r="G1527" s="227">
        <v>8.6049910958694643E-4</v>
      </c>
      <c r="H1527" s="226">
        <v>2.0000005732018801E-3</v>
      </c>
      <c r="I1527" s="255">
        <v>2.5202314753970932E-3</v>
      </c>
      <c r="J1527" s="256">
        <v>2.4206354421672042E-5</v>
      </c>
      <c r="K1527" s="257">
        <v>2.5300858354513143E-5</v>
      </c>
      <c r="L1527" s="228">
        <v>3.4671234160103988E-2</v>
      </c>
    </row>
    <row r="1528" spans="1:12" s="212" customFormat="1" ht="15.5" x14ac:dyDescent="0.35">
      <c r="A1528" s="198" t="s">
        <v>846</v>
      </c>
      <c r="B1528" s="197">
        <v>2032</v>
      </c>
      <c r="C1528" s="213" t="s">
        <v>4715</v>
      </c>
      <c r="D1528" s="239">
        <v>6.5550699995277064E-3</v>
      </c>
      <c r="E1528" s="226">
        <v>4.1187760216520042E-2</v>
      </c>
      <c r="F1528" s="226">
        <v>8.7970585255181435E-4</v>
      </c>
      <c r="G1528" s="227">
        <v>8.0969306251013086E-4</v>
      </c>
      <c r="H1528" s="226">
        <v>2.0000005732018797E-3</v>
      </c>
      <c r="I1528" s="255">
        <v>2.5203694272311456E-3</v>
      </c>
      <c r="J1528" s="256">
        <v>2.1456412462381543E-5</v>
      </c>
      <c r="K1528" s="257">
        <v>2.242657622251025E-5</v>
      </c>
      <c r="L1528" s="228">
        <v>3.4155558084669337E-2</v>
      </c>
    </row>
    <row r="1529" spans="1:12" s="212" customFormat="1" ht="15.5" x14ac:dyDescent="0.35">
      <c r="A1529" s="198" t="s">
        <v>846</v>
      </c>
      <c r="B1529" s="197">
        <v>2033</v>
      </c>
      <c r="C1529" s="213" t="s">
        <v>4716</v>
      </c>
      <c r="D1529" s="239">
        <v>6.0774872041359273E-3</v>
      </c>
      <c r="E1529" s="226">
        <v>3.8380633993734287E-2</v>
      </c>
      <c r="F1529" s="226">
        <v>8.2783128261979487E-4</v>
      </c>
      <c r="G1529" s="227">
        <v>7.6191174624703226E-4</v>
      </c>
      <c r="H1529" s="226">
        <v>2.0000005732018801E-3</v>
      </c>
      <c r="I1529" s="255">
        <v>2.5203553732569741E-3</v>
      </c>
      <c r="J1529" s="256">
        <v>1.9286037452083459E-5</v>
      </c>
      <c r="K1529" s="257">
        <v>2.0158066485142962E-5</v>
      </c>
      <c r="L1529" s="228">
        <v>3.3693739870034121E-2</v>
      </c>
    </row>
    <row r="1530" spans="1:12" s="212" customFormat="1" ht="15.5" x14ac:dyDescent="0.35">
      <c r="A1530" s="198" t="s">
        <v>846</v>
      </c>
      <c r="B1530" s="197">
        <v>2034</v>
      </c>
      <c r="C1530" s="213" t="s">
        <v>4717</v>
      </c>
      <c r="D1530" s="239">
        <v>5.6424620245695044E-3</v>
      </c>
      <c r="E1530" s="226">
        <v>3.5935087824087039E-2</v>
      </c>
      <c r="F1530" s="226">
        <v>7.7828289565931488E-4</v>
      </c>
      <c r="G1530" s="227">
        <v>7.1628297209098361E-4</v>
      </c>
      <c r="H1530" s="226">
        <v>2.0000005732018801E-3</v>
      </c>
      <c r="I1530" s="255">
        <v>2.5201881363147438E-3</v>
      </c>
      <c r="J1530" s="256">
        <v>1.7467349312641181E-5</v>
      </c>
      <c r="K1530" s="257">
        <v>1.8257145338344188E-5</v>
      </c>
      <c r="L1530" s="228">
        <v>3.328245839200137E-2</v>
      </c>
    </row>
    <row r="1531" spans="1:12" s="212" customFormat="1" ht="15.5" x14ac:dyDescent="0.35">
      <c r="A1531" s="198" t="s">
        <v>846</v>
      </c>
      <c r="B1531" s="197">
        <v>2035</v>
      </c>
      <c r="C1531" s="213" t="s">
        <v>4718</v>
      </c>
      <c r="D1531" s="239">
        <v>5.2539052682481074E-3</v>
      </c>
      <c r="E1531" s="226">
        <v>3.3838972921744315E-2</v>
      </c>
      <c r="F1531" s="226">
        <v>7.3147804551776819E-4</v>
      </c>
      <c r="G1531" s="227">
        <v>6.7318146791231286E-4</v>
      </c>
      <c r="H1531" s="226">
        <v>2.0000005732018801E-3</v>
      </c>
      <c r="I1531" s="255">
        <v>2.519922705266226E-3</v>
      </c>
      <c r="J1531" s="256">
        <v>1.576901020346441E-5</v>
      </c>
      <c r="K1531" s="257">
        <v>1.6482014870918664E-5</v>
      </c>
      <c r="L1531" s="228">
        <v>3.2919836914444216E-2</v>
      </c>
    </row>
    <row r="1532" spans="1:12" s="212" customFormat="1" ht="15.5" x14ac:dyDescent="0.35">
      <c r="A1532" s="198" t="s">
        <v>846</v>
      </c>
      <c r="B1532" s="197">
        <v>2036</v>
      </c>
      <c r="C1532" s="213" t="s">
        <v>4719</v>
      </c>
      <c r="D1532" s="239">
        <v>4.9159351571338456E-3</v>
      </c>
      <c r="E1532" s="226">
        <v>3.2065200973368922E-2</v>
      </c>
      <c r="F1532" s="226">
        <v>6.9063137576538206E-4</v>
      </c>
      <c r="G1532" s="227">
        <v>6.3556720849070492E-4</v>
      </c>
      <c r="H1532" s="226">
        <v>2.0000005732018801E-3</v>
      </c>
      <c r="I1532" s="255">
        <v>2.5196025144348651E-3</v>
      </c>
      <c r="J1532" s="256">
        <v>1.4299551092215568E-5</v>
      </c>
      <c r="K1532" s="257">
        <v>1.4946113339287376E-5</v>
      </c>
      <c r="L1532" s="228">
        <v>3.2615108542438778E-2</v>
      </c>
    </row>
    <row r="1533" spans="1:12" s="212" customFormat="1" ht="15.5" x14ac:dyDescent="0.35">
      <c r="A1533" s="198" t="s">
        <v>846</v>
      </c>
      <c r="B1533" s="197">
        <v>2037</v>
      </c>
      <c r="C1533" s="213" t="s">
        <v>4720</v>
      </c>
      <c r="D1533" s="239">
        <v>4.6304348440196581E-3</v>
      </c>
      <c r="E1533" s="226">
        <v>3.0582879647673401E-2</v>
      </c>
      <c r="F1533" s="226">
        <v>6.5346116660541158E-4</v>
      </c>
      <c r="G1533" s="227">
        <v>6.0133747333522233E-4</v>
      </c>
      <c r="H1533" s="226">
        <v>2.0000005732018801E-3</v>
      </c>
      <c r="I1533" s="255">
        <v>2.5192565799821739E-3</v>
      </c>
      <c r="J1533" s="256">
        <v>1.2936718096076393E-5</v>
      </c>
      <c r="K1533" s="257">
        <v>1.3521659082544605E-5</v>
      </c>
      <c r="L1533" s="228">
        <v>3.2340227320865729E-2</v>
      </c>
    </row>
    <row r="1534" spans="1:12" s="212" customFormat="1" ht="15.5" x14ac:dyDescent="0.35">
      <c r="A1534" s="198" t="s">
        <v>846</v>
      </c>
      <c r="B1534" s="197">
        <v>2038</v>
      </c>
      <c r="C1534" s="213" t="s">
        <v>4721</v>
      </c>
      <c r="D1534" s="239">
        <v>4.3696840817754557E-3</v>
      </c>
      <c r="E1534" s="226">
        <v>2.9243073898937096E-2</v>
      </c>
      <c r="F1534" s="226">
        <v>6.197036070470618E-4</v>
      </c>
      <c r="G1534" s="227">
        <v>5.702566881067813E-4</v>
      </c>
      <c r="H1534" s="226">
        <v>2.0000005732018801E-3</v>
      </c>
      <c r="I1534" s="255">
        <v>2.5189077346287067E-3</v>
      </c>
      <c r="J1534" s="256">
        <v>1.1859916084453742E-5</v>
      </c>
      <c r="K1534" s="257">
        <v>1.2396168862194535E-5</v>
      </c>
      <c r="L1534" s="228">
        <v>3.2105167818118938E-2</v>
      </c>
    </row>
    <row r="1535" spans="1:12" s="212" customFormat="1" ht="15.5" x14ac:dyDescent="0.35">
      <c r="A1535" s="198" t="s">
        <v>846</v>
      </c>
      <c r="B1535" s="197">
        <v>2039</v>
      </c>
      <c r="C1535" s="213" t="s">
        <v>4722</v>
      </c>
      <c r="D1535" s="239">
        <v>4.1157736387385816E-3</v>
      </c>
      <c r="E1535" s="226">
        <v>2.7985896222245458E-2</v>
      </c>
      <c r="F1535" s="226">
        <v>5.8902818670565464E-4</v>
      </c>
      <c r="G1535" s="227">
        <v>5.4201531840144428E-4</v>
      </c>
      <c r="H1535" s="226">
        <v>2.0000005732018805E-3</v>
      </c>
      <c r="I1535" s="255">
        <v>2.5185604296706667E-3</v>
      </c>
      <c r="J1535" s="256">
        <v>1.0924332701803638E-5</v>
      </c>
      <c r="K1535" s="257">
        <v>1.1418282550570783E-5</v>
      </c>
      <c r="L1535" s="228">
        <v>3.1903398053060826E-2</v>
      </c>
    </row>
    <row r="1536" spans="1:12" s="212" customFormat="1" ht="15.5" x14ac:dyDescent="0.35">
      <c r="A1536" s="198" t="s">
        <v>846</v>
      </c>
      <c r="B1536" s="197">
        <v>2040</v>
      </c>
      <c r="C1536" s="213" t="s">
        <v>4723</v>
      </c>
      <c r="D1536" s="239">
        <v>3.8944740244555645E-3</v>
      </c>
      <c r="E1536" s="226">
        <v>2.6918306030975347E-2</v>
      </c>
      <c r="F1536" s="226">
        <v>5.6181865949247209E-4</v>
      </c>
      <c r="G1536" s="227">
        <v>5.1696634696445066E-4</v>
      </c>
      <c r="H1536" s="226">
        <v>2.0000005732018801E-3</v>
      </c>
      <c r="I1536" s="255">
        <v>2.5182586234497742E-3</v>
      </c>
      <c r="J1536" s="256">
        <v>1.01334376417289E-5</v>
      </c>
      <c r="K1536" s="257">
        <v>1.0591626725424305E-5</v>
      </c>
      <c r="L1536" s="228">
        <v>3.1733014411363593E-2</v>
      </c>
    </row>
    <row r="1537" spans="1:12" s="212" customFormat="1" ht="15.5" x14ac:dyDescent="0.35">
      <c r="A1537" s="198" t="s">
        <v>846</v>
      </c>
      <c r="B1537" s="197">
        <v>2041</v>
      </c>
      <c r="C1537" s="213" t="s">
        <v>4724</v>
      </c>
      <c r="D1537" s="239">
        <v>3.7243560059575776E-3</v>
      </c>
      <c r="E1537" s="226">
        <v>2.6044798261974852E-2</v>
      </c>
      <c r="F1537" s="226">
        <v>5.4048794403960656E-4</v>
      </c>
      <c r="G1537" s="227">
        <v>4.9732779860249033E-4</v>
      </c>
      <c r="H1537" s="226">
        <v>2.0000005732018797E-3</v>
      </c>
      <c r="I1537" s="255">
        <v>2.5180117839741414E-3</v>
      </c>
      <c r="J1537" s="256">
        <v>9.4727348462347505E-6</v>
      </c>
      <c r="K1537" s="257">
        <v>9.9010498813431768E-6</v>
      </c>
      <c r="L1537" s="228">
        <v>3.1590844322872721E-2</v>
      </c>
    </row>
    <row r="1538" spans="1:12" s="212" customFormat="1" ht="15.5" x14ac:dyDescent="0.35">
      <c r="A1538" s="198" t="s">
        <v>846</v>
      </c>
      <c r="B1538" s="197">
        <v>2042</v>
      </c>
      <c r="C1538" s="213" t="s">
        <v>4725</v>
      </c>
      <c r="D1538" s="239">
        <v>3.57385252291145E-3</v>
      </c>
      <c r="E1538" s="226">
        <v>2.5209522672884756E-2</v>
      </c>
      <c r="F1538" s="226">
        <v>5.2191076205604511E-4</v>
      </c>
      <c r="G1538" s="227">
        <v>4.8022592413673266E-4</v>
      </c>
      <c r="H1538" s="226">
        <v>2.0000005732018797E-3</v>
      </c>
      <c r="I1538" s="255">
        <v>2.5177656903613908E-3</v>
      </c>
      <c r="J1538" s="256">
        <v>8.9378315984387256E-6</v>
      </c>
      <c r="K1538" s="257">
        <v>9.3419606822797961E-6</v>
      </c>
      <c r="L1538" s="228">
        <v>3.1470992855571145E-2</v>
      </c>
    </row>
    <row r="1539" spans="1:12" s="212" customFormat="1" ht="15.5" x14ac:dyDescent="0.35">
      <c r="A1539" s="198" t="s">
        <v>846</v>
      </c>
      <c r="B1539" s="197">
        <v>2043</v>
      </c>
      <c r="C1539" s="213" t="s">
        <v>4726</v>
      </c>
      <c r="D1539" s="239">
        <v>3.4547998984444965E-3</v>
      </c>
      <c r="E1539" s="226">
        <v>2.4484176338049779E-2</v>
      </c>
      <c r="F1539" s="226">
        <v>5.0583604544417681E-4</v>
      </c>
      <c r="G1539" s="227">
        <v>4.6542870653614116E-4</v>
      </c>
      <c r="H1539" s="226">
        <v>2.0000005732018801E-3</v>
      </c>
      <c r="I1539" s="255">
        <v>2.5175496868352814E-3</v>
      </c>
      <c r="J1539" s="256">
        <v>8.4987202824173544E-6</v>
      </c>
      <c r="K1539" s="257">
        <v>8.8829947010755567E-6</v>
      </c>
      <c r="L1539" s="228">
        <v>3.1371663574908316E-2</v>
      </c>
    </row>
    <row r="1540" spans="1:12" s="212" customFormat="1" ht="15.5" x14ac:dyDescent="0.35">
      <c r="A1540" s="198" t="s">
        <v>846</v>
      </c>
      <c r="B1540" s="197">
        <v>2044</v>
      </c>
      <c r="C1540" s="213" t="s">
        <v>4727</v>
      </c>
      <c r="D1540" s="239">
        <v>3.3591444287116852E-3</v>
      </c>
      <c r="E1540" s="226">
        <v>2.3791372843302964E-2</v>
      </c>
      <c r="F1540" s="226">
        <v>4.9194956499705933E-4</v>
      </c>
      <c r="G1540" s="227">
        <v>4.5264692549007543E-4</v>
      </c>
      <c r="H1540" s="226">
        <v>2.0000005732018801E-3</v>
      </c>
      <c r="I1540" s="255">
        <v>2.5173388685671557E-3</v>
      </c>
      <c r="J1540" s="256">
        <v>8.1477486408802199E-6</v>
      </c>
      <c r="K1540" s="257">
        <v>8.5161536793217057E-6</v>
      </c>
      <c r="L1540" s="228">
        <v>3.1288089798694387E-2</v>
      </c>
    </row>
    <row r="1541" spans="1:12" s="212" customFormat="1" ht="15.5" x14ac:dyDescent="0.35">
      <c r="A1541" s="198" t="s">
        <v>846</v>
      </c>
      <c r="B1541" s="197">
        <v>2045</v>
      </c>
      <c r="C1541" s="213" t="s">
        <v>4728</v>
      </c>
      <c r="D1541" s="239">
        <v>3.2842297159266344E-3</v>
      </c>
      <c r="E1541" s="226">
        <v>2.3129240184515946E-2</v>
      </c>
      <c r="F1541" s="226">
        <v>4.7991393802537092E-4</v>
      </c>
      <c r="G1541" s="227">
        <v>4.4156952608832942E-4</v>
      </c>
      <c r="H1541" s="226">
        <v>2.0000005732018801E-3</v>
      </c>
      <c r="I1541" s="255">
        <v>2.5171211200203038E-3</v>
      </c>
      <c r="J1541" s="256">
        <v>7.8632555114437028E-6</v>
      </c>
      <c r="K1541" s="257">
        <v>8.2187970329916149E-6</v>
      </c>
      <c r="L1541" s="228">
        <v>3.1216747630842961E-2</v>
      </c>
    </row>
    <row r="1542" spans="1:12" s="212" customFormat="1" ht="15.5" x14ac:dyDescent="0.35">
      <c r="A1542" s="198" t="s">
        <v>846</v>
      </c>
      <c r="B1542" s="197">
        <v>2046</v>
      </c>
      <c r="C1542" s="213" t="s">
        <v>4729</v>
      </c>
      <c r="D1542" s="239">
        <v>3.2143208932841004E-3</v>
      </c>
      <c r="E1542" s="226">
        <v>2.2505035069579401E-2</v>
      </c>
      <c r="F1542" s="226">
        <v>4.6963577380465152E-4</v>
      </c>
      <c r="G1542" s="227">
        <v>4.3210975282316927E-4</v>
      </c>
      <c r="H1542" s="226">
        <v>2.0000005732018805E-3</v>
      </c>
      <c r="I1542" s="255">
        <v>2.5169150745648363E-3</v>
      </c>
      <c r="J1542" s="256">
        <v>7.6224965773749654E-6</v>
      </c>
      <c r="K1542" s="257">
        <v>7.967152048276244E-6</v>
      </c>
      <c r="L1542" s="228">
        <v>3.1156291423206039E-2</v>
      </c>
    </row>
    <row r="1543" spans="1:12" s="212" customFormat="1" ht="15.5" x14ac:dyDescent="0.35">
      <c r="A1543" s="198" t="s">
        <v>846</v>
      </c>
      <c r="B1543" s="197">
        <v>2047</v>
      </c>
      <c r="C1543" s="213" t="s">
        <v>4730</v>
      </c>
      <c r="D1543" s="239">
        <v>3.1520972228655337E-3</v>
      </c>
      <c r="E1543" s="226">
        <v>2.1942921421555774E-2</v>
      </c>
      <c r="F1543" s="226">
        <v>4.6093444084752995E-4</v>
      </c>
      <c r="G1543" s="227">
        <v>4.2410127864892232E-4</v>
      </c>
      <c r="H1543" s="226">
        <v>2.0000005732018805E-3</v>
      </c>
      <c r="I1543" s="255">
        <v>2.5167429593855994E-3</v>
      </c>
      <c r="J1543" s="256">
        <v>7.419233575725352E-6</v>
      </c>
      <c r="K1543" s="257">
        <v>7.7546983956582698E-6</v>
      </c>
      <c r="L1543" s="228">
        <v>3.1105775914743033E-2</v>
      </c>
    </row>
    <row r="1544" spans="1:12" s="212" customFormat="1" ht="15.5" x14ac:dyDescent="0.35">
      <c r="A1544" s="198" t="s">
        <v>846</v>
      </c>
      <c r="B1544" s="197">
        <v>2048</v>
      </c>
      <c r="C1544" s="213" t="s">
        <v>4731</v>
      </c>
      <c r="D1544" s="239">
        <v>3.0974199074699396E-3</v>
      </c>
      <c r="E1544" s="226">
        <v>2.1448873082761208E-2</v>
      </c>
      <c r="F1544" s="226">
        <v>4.535143997399727E-4</v>
      </c>
      <c r="G1544" s="227">
        <v>4.1727171561337833E-4</v>
      </c>
      <c r="H1544" s="226">
        <v>2.0000005732018801E-3</v>
      </c>
      <c r="I1544" s="255">
        <v>2.516579649680419E-3</v>
      </c>
      <c r="J1544" s="256">
        <v>7.236774457212368E-6</v>
      </c>
      <c r="K1544" s="257">
        <v>7.5639892854564668E-6</v>
      </c>
      <c r="L1544" s="228">
        <v>3.1063286535994845E-2</v>
      </c>
    </row>
    <row r="1545" spans="1:12" s="212" customFormat="1" ht="15.5" x14ac:dyDescent="0.35">
      <c r="A1545" s="198" t="s">
        <v>846</v>
      </c>
      <c r="B1545" s="197">
        <v>2049</v>
      </c>
      <c r="C1545" s="213" t="s">
        <v>4732</v>
      </c>
      <c r="D1545" s="239">
        <v>3.0866724021306273E-3</v>
      </c>
      <c r="E1545" s="226">
        <v>2.1402162807297856E-2</v>
      </c>
      <c r="F1545" s="226">
        <v>4.4891737901534175E-4</v>
      </c>
      <c r="G1545" s="227">
        <v>4.1303990538511375E-4</v>
      </c>
      <c r="H1545" s="226">
        <v>2.0000005732018801E-3</v>
      </c>
      <c r="I1545" s="255">
        <v>2.5164655429464845E-3</v>
      </c>
      <c r="J1545" s="256">
        <v>7.1079502614450983E-6</v>
      </c>
      <c r="K1545" s="257">
        <v>7.4293402312055072E-6</v>
      </c>
      <c r="L1545" s="228">
        <v>3.1027260907723082E-2</v>
      </c>
    </row>
    <row r="1546" spans="1:12" s="212" customFormat="1" ht="15.5" x14ac:dyDescent="0.35">
      <c r="A1546" s="198" t="s">
        <v>846</v>
      </c>
      <c r="B1546" s="197">
        <v>2050</v>
      </c>
      <c r="C1546" s="213" t="s">
        <v>4733</v>
      </c>
      <c r="D1546" s="239">
        <v>3.0784864252088621E-3</v>
      </c>
      <c r="E1546" s="226">
        <v>2.1364353151767386E-2</v>
      </c>
      <c r="F1546" s="226">
        <v>4.4505463154405898E-4</v>
      </c>
      <c r="G1546" s="227">
        <v>4.0947927955003072E-4</v>
      </c>
      <c r="H1546" s="226">
        <v>2.0000005732018801E-3</v>
      </c>
      <c r="I1546" s="255">
        <v>2.5164192502376745E-3</v>
      </c>
      <c r="J1546" s="256">
        <v>6.8776766852107776E-6</v>
      </c>
      <c r="K1546" s="257">
        <v>7.1886547056777142E-6</v>
      </c>
      <c r="L1546" s="228">
        <v>3.099774848644201E-2</v>
      </c>
    </row>
    <row r="1547" spans="1:12" s="212" customFormat="1" ht="15.5" x14ac:dyDescent="0.35">
      <c r="A1547" s="198" t="s">
        <v>847</v>
      </c>
      <c r="B1547" s="197">
        <v>2015</v>
      </c>
      <c r="C1547" s="213" t="s">
        <v>943</v>
      </c>
      <c r="D1547" s="239">
        <v>4.5502747641957303E-2</v>
      </c>
      <c r="E1547" s="226">
        <v>0.20850043541485266</v>
      </c>
      <c r="F1547" s="226">
        <v>1.816349044173139E-3</v>
      </c>
      <c r="G1547" s="227">
        <v>1.6773311186599189E-3</v>
      </c>
      <c r="H1547" s="226">
        <v>2.0000005732018801E-3</v>
      </c>
      <c r="I1547" s="255">
        <v>2.9721584214285235E-3</v>
      </c>
      <c r="J1547" s="256">
        <v>1.2250859158014889E-4</v>
      </c>
      <c r="K1547" s="257">
        <v>1.2804788646757957E-4</v>
      </c>
      <c r="L1547" s="228">
        <v>4.5971301161566565E-2</v>
      </c>
    </row>
    <row r="1548" spans="1:12" s="212" customFormat="1" ht="15.5" x14ac:dyDescent="0.35">
      <c r="A1548" s="198" t="s">
        <v>847</v>
      </c>
      <c r="B1548" s="197">
        <v>2016</v>
      </c>
      <c r="C1548" s="213" t="s">
        <v>944</v>
      </c>
      <c r="D1548" s="239">
        <v>3.8507091589200612E-2</v>
      </c>
      <c r="E1548" s="226">
        <v>0.18342250438426763</v>
      </c>
      <c r="F1548" s="226">
        <v>1.7275203856723851E-3</v>
      </c>
      <c r="G1548" s="227">
        <v>1.5943137373624486E-3</v>
      </c>
      <c r="H1548" s="226">
        <v>2.0000005732018805E-3</v>
      </c>
      <c r="I1548" s="255">
        <v>2.8935575701405768E-3</v>
      </c>
      <c r="J1548" s="256">
        <v>1.0821897514550394E-4</v>
      </c>
      <c r="K1548" s="257">
        <v>1.1311215698699373E-4</v>
      </c>
      <c r="L1548" s="228">
        <v>4.4897057566996634E-2</v>
      </c>
    </row>
    <row r="1549" spans="1:12" s="212" customFormat="1" ht="15.5" x14ac:dyDescent="0.35">
      <c r="A1549" s="198" t="s">
        <v>847</v>
      </c>
      <c r="B1549" s="197">
        <v>2017</v>
      </c>
      <c r="C1549" s="213" t="s">
        <v>4734</v>
      </c>
      <c r="D1549" s="239">
        <v>3.1532941167902041E-2</v>
      </c>
      <c r="E1549" s="226">
        <v>0.15475969674324255</v>
      </c>
      <c r="F1549" s="226">
        <v>1.665013834205526E-3</v>
      </c>
      <c r="G1549" s="227">
        <v>1.5355142352107044E-3</v>
      </c>
      <c r="H1549" s="226">
        <v>2.0000005732018801E-3</v>
      </c>
      <c r="I1549" s="255">
        <v>2.8936950893975288E-3</v>
      </c>
      <c r="J1549" s="256">
        <v>8.9619436859305902E-5</v>
      </c>
      <c r="K1549" s="257">
        <v>9.3671630113722367E-5</v>
      </c>
      <c r="L1549" s="228">
        <v>4.4469653708584217E-2</v>
      </c>
    </row>
    <row r="1550" spans="1:12" s="212" customFormat="1" ht="15.5" x14ac:dyDescent="0.35">
      <c r="A1550" s="198" t="s">
        <v>847</v>
      </c>
      <c r="B1550" s="197">
        <v>2018</v>
      </c>
      <c r="C1550" s="213" t="s">
        <v>4735</v>
      </c>
      <c r="D1550" s="239">
        <v>2.6487690290474319E-2</v>
      </c>
      <c r="E1550" s="226">
        <v>0.13383557344958977</v>
      </c>
      <c r="F1550" s="226">
        <v>1.6480400447555145E-3</v>
      </c>
      <c r="G1550" s="227">
        <v>1.5190233677106005E-3</v>
      </c>
      <c r="H1550" s="226">
        <v>2.0000005732018797E-3</v>
      </c>
      <c r="I1550" s="255">
        <v>2.894586444081605E-3</v>
      </c>
      <c r="J1550" s="256">
        <v>7.8506173730334626E-5</v>
      </c>
      <c r="K1550" s="257">
        <v>8.2055874540433885E-5</v>
      </c>
      <c r="L1550" s="228">
        <v>4.387399252765186E-2</v>
      </c>
    </row>
    <row r="1551" spans="1:12" s="212" customFormat="1" ht="15.5" x14ac:dyDescent="0.35">
      <c r="A1551" s="198" t="s">
        <v>847</v>
      </c>
      <c r="B1551" s="197">
        <v>2019</v>
      </c>
      <c r="C1551" s="213" t="s">
        <v>4736</v>
      </c>
      <c r="D1551" s="239">
        <v>2.2111672930400155E-2</v>
      </c>
      <c r="E1551" s="226">
        <v>0.11541148660805765</v>
      </c>
      <c r="F1551" s="226">
        <v>1.6350043040666935E-3</v>
      </c>
      <c r="G1551" s="227">
        <v>1.5062071359674774E-3</v>
      </c>
      <c r="H1551" s="226">
        <v>2.0000005732018805E-3</v>
      </c>
      <c r="I1551" s="255">
        <v>2.8979911845655741E-3</v>
      </c>
      <c r="J1551" s="256">
        <v>6.7390109379759959E-5</v>
      </c>
      <c r="K1551" s="257">
        <v>7.0437191086731335E-5</v>
      </c>
      <c r="L1551" s="228">
        <v>4.3203674323479525E-2</v>
      </c>
    </row>
    <row r="1552" spans="1:12" s="212" customFormat="1" ht="15.5" x14ac:dyDescent="0.35">
      <c r="A1552" s="198" t="s">
        <v>847</v>
      </c>
      <c r="B1552" s="197">
        <v>2020</v>
      </c>
      <c r="C1552" s="213" t="s">
        <v>4737</v>
      </c>
      <c r="D1552" s="239">
        <v>1.9276382952567495E-2</v>
      </c>
      <c r="E1552" s="226">
        <v>0.10194992443256798</v>
      </c>
      <c r="F1552" s="226">
        <v>1.603042439828589E-3</v>
      </c>
      <c r="G1552" s="227">
        <v>1.476501794046141E-3</v>
      </c>
      <c r="H1552" s="226">
        <v>2.0000005732018797E-3</v>
      </c>
      <c r="I1552" s="255">
        <v>2.905118833065243E-3</v>
      </c>
      <c r="J1552" s="256">
        <v>6.1704732678929074E-5</v>
      </c>
      <c r="K1552" s="257">
        <v>6.4494746879974177E-5</v>
      </c>
      <c r="L1552" s="228">
        <v>4.2889648886636308E-2</v>
      </c>
    </row>
    <row r="1553" spans="1:12" s="212" customFormat="1" ht="15.5" x14ac:dyDescent="0.35">
      <c r="A1553" s="198" t="s">
        <v>847</v>
      </c>
      <c r="B1553" s="197">
        <v>2021</v>
      </c>
      <c r="C1553" s="213" t="s">
        <v>4738</v>
      </c>
      <c r="D1553" s="239">
        <v>1.6917908174881469E-2</v>
      </c>
      <c r="E1553" s="226">
        <v>8.9557509666817137E-2</v>
      </c>
      <c r="F1553" s="226">
        <v>1.5448742048006319E-3</v>
      </c>
      <c r="G1553" s="227">
        <v>1.4227567625775539E-3</v>
      </c>
      <c r="H1553" s="226">
        <v>2.0000005732018805E-3</v>
      </c>
      <c r="I1553" s="255">
        <v>2.8704550239733399E-3</v>
      </c>
      <c r="J1553" s="256">
        <v>5.620226350287325E-5</v>
      </c>
      <c r="K1553" s="257">
        <v>5.874348046462264E-5</v>
      </c>
      <c r="L1553" s="228">
        <v>4.2074100493642609E-2</v>
      </c>
    </row>
    <row r="1554" spans="1:12" s="212" customFormat="1" ht="15.5" x14ac:dyDescent="0.35">
      <c r="A1554" s="198" t="s">
        <v>847</v>
      </c>
      <c r="B1554" s="197">
        <v>2022</v>
      </c>
      <c r="C1554" s="213" t="s">
        <v>4739</v>
      </c>
      <c r="D1554" s="239">
        <v>1.4630274348212572E-2</v>
      </c>
      <c r="E1554" s="226">
        <v>7.829108242399746E-2</v>
      </c>
      <c r="F1554" s="226">
        <v>1.478567749611594E-3</v>
      </c>
      <c r="G1554" s="227">
        <v>1.36149753401694E-3</v>
      </c>
      <c r="H1554" s="226">
        <v>2.0000005732018801E-3</v>
      </c>
      <c r="I1554" s="255">
        <v>2.872223087452796E-3</v>
      </c>
      <c r="J1554" s="256">
        <v>5.0596159522769893E-5</v>
      </c>
      <c r="K1554" s="257">
        <v>5.2883893339256798E-5</v>
      </c>
      <c r="L1554" s="228">
        <v>4.1344721073411028E-2</v>
      </c>
    </row>
    <row r="1555" spans="1:12" s="212" customFormat="1" ht="15.5" x14ac:dyDescent="0.35">
      <c r="A1555" s="198" t="s">
        <v>847</v>
      </c>
      <c r="B1555" s="197">
        <v>2023</v>
      </c>
      <c r="C1555" s="213" t="s">
        <v>4740</v>
      </c>
      <c r="D1555" s="239">
        <v>1.2863060460796197E-2</v>
      </c>
      <c r="E1555" s="226">
        <v>6.8954200283766726E-2</v>
      </c>
      <c r="F1555" s="226">
        <v>1.4181536336583527E-3</v>
      </c>
      <c r="G1555" s="227">
        <v>1.3057096234097472E-3</v>
      </c>
      <c r="H1555" s="226">
        <v>2.0000005732018792E-3</v>
      </c>
      <c r="I1555" s="255">
        <v>2.874125864150191E-3</v>
      </c>
      <c r="J1555" s="256">
        <v>4.4867311559166923E-5</v>
      </c>
      <c r="K1555" s="257">
        <v>4.689601229212603E-5</v>
      </c>
      <c r="L1555" s="228">
        <v>4.0569972552582011E-2</v>
      </c>
    </row>
    <row r="1556" spans="1:12" s="212" customFormat="1" ht="15.5" x14ac:dyDescent="0.35">
      <c r="A1556" s="198" t="s">
        <v>847</v>
      </c>
      <c r="B1556" s="197">
        <v>2024</v>
      </c>
      <c r="C1556" s="213" t="s">
        <v>4741</v>
      </c>
      <c r="D1556" s="239">
        <v>1.1372833934284916E-2</v>
      </c>
      <c r="E1556" s="226">
        <v>6.1202873274096431E-2</v>
      </c>
      <c r="F1556" s="226">
        <v>1.3627223084492145E-3</v>
      </c>
      <c r="G1556" s="227">
        <v>1.2544920779685908E-3</v>
      </c>
      <c r="H1556" s="226">
        <v>2.0000005732018792E-3</v>
      </c>
      <c r="I1556" s="255">
        <v>2.876375429028456E-3</v>
      </c>
      <c r="J1556" s="256">
        <v>3.8841128776633721E-5</v>
      </c>
      <c r="K1556" s="257">
        <v>4.0597352264956799E-5</v>
      </c>
      <c r="L1556" s="228">
        <v>3.9807172402342557E-2</v>
      </c>
    </row>
    <row r="1557" spans="1:12" s="212" customFormat="1" ht="15.5" x14ac:dyDescent="0.35">
      <c r="A1557" s="198" t="s">
        <v>847</v>
      </c>
      <c r="B1557" s="197">
        <v>2025</v>
      </c>
      <c r="C1557" s="213" t="s">
        <v>4742</v>
      </c>
      <c r="D1557" s="239">
        <v>1.0142726781062126E-2</v>
      </c>
      <c r="E1557" s="226">
        <v>5.4896055598755045E-2</v>
      </c>
      <c r="F1557" s="226">
        <v>1.3148737098578572E-3</v>
      </c>
      <c r="G1557" s="227">
        <v>1.2103132759259505E-3</v>
      </c>
      <c r="H1557" s="226">
        <v>2.0000005732018805E-3</v>
      </c>
      <c r="I1557" s="255">
        <v>2.8787477201397452E-3</v>
      </c>
      <c r="J1557" s="256">
        <v>3.4261844526893326E-5</v>
      </c>
      <c r="K1557" s="257">
        <v>3.5811013101716109E-5</v>
      </c>
      <c r="L1557" s="228">
        <v>3.8961115391213226E-2</v>
      </c>
    </row>
    <row r="1558" spans="1:12" s="212" customFormat="1" ht="15.5" x14ac:dyDescent="0.35">
      <c r="A1558" s="198" t="s">
        <v>847</v>
      </c>
      <c r="B1558" s="197">
        <v>2026</v>
      </c>
      <c r="C1558" s="213" t="s">
        <v>4743</v>
      </c>
      <c r="D1558" s="239">
        <v>9.1308387871891668E-3</v>
      </c>
      <c r="E1558" s="226">
        <v>4.9750945647125858E-2</v>
      </c>
      <c r="F1558" s="226">
        <v>1.2620763707810777E-3</v>
      </c>
      <c r="G1558" s="227">
        <v>1.1615795664328995E-3</v>
      </c>
      <c r="H1558" s="226">
        <v>2.0000005732018801E-3</v>
      </c>
      <c r="I1558" s="255">
        <v>2.8809868794960202E-3</v>
      </c>
      <c r="J1558" s="256">
        <v>2.9431203798813491E-5</v>
      </c>
      <c r="K1558" s="257">
        <v>3.0761952235563241E-5</v>
      </c>
      <c r="L1558" s="228">
        <v>3.8129979257483348E-2</v>
      </c>
    </row>
    <row r="1559" spans="1:12" s="212" customFormat="1" ht="15.5" x14ac:dyDescent="0.35">
      <c r="A1559" s="198" t="s">
        <v>847</v>
      </c>
      <c r="B1559" s="197">
        <v>2027</v>
      </c>
      <c r="C1559" s="213" t="s">
        <v>4744</v>
      </c>
      <c r="D1559" s="239">
        <v>8.2732157746710725E-3</v>
      </c>
      <c r="E1559" s="226">
        <v>4.5418285251256178E-2</v>
      </c>
      <c r="F1559" s="226">
        <v>1.1998020390114532E-3</v>
      </c>
      <c r="G1559" s="227">
        <v>1.1041201577472797E-3</v>
      </c>
      <c r="H1559" s="226">
        <v>2.0000005732018805E-3</v>
      </c>
      <c r="I1559" s="255">
        <v>2.8830308606322083E-3</v>
      </c>
      <c r="J1559" s="256">
        <v>2.4291609481408656E-5</v>
      </c>
      <c r="K1559" s="257">
        <v>2.5389968269737318E-5</v>
      </c>
      <c r="L1559" s="228">
        <v>3.7386719843106056E-2</v>
      </c>
    </row>
    <row r="1560" spans="1:12" s="212" customFormat="1" ht="15.5" x14ac:dyDescent="0.35">
      <c r="A1560" s="198" t="s">
        <v>847</v>
      </c>
      <c r="B1560" s="197">
        <v>2028</v>
      </c>
      <c r="C1560" s="213" t="s">
        <v>4745</v>
      </c>
      <c r="D1560" s="239">
        <v>7.5611983179959324E-3</v>
      </c>
      <c r="E1560" s="226">
        <v>4.1842302665178861E-2</v>
      </c>
      <c r="F1560" s="226">
        <v>1.1304287283242377E-3</v>
      </c>
      <c r="G1560" s="227">
        <v>1.0401667642231103E-3</v>
      </c>
      <c r="H1560" s="226">
        <v>2.0000005732018805E-3</v>
      </c>
      <c r="I1560" s="255">
        <v>2.8850784849146455E-3</v>
      </c>
      <c r="J1560" s="256">
        <v>2.0000470289853398E-5</v>
      </c>
      <c r="K1560" s="257">
        <v>2.0904802805588024E-5</v>
      </c>
      <c r="L1560" s="228">
        <v>3.6572134595123706E-2</v>
      </c>
    </row>
    <row r="1561" spans="1:12" s="212" customFormat="1" ht="15.5" x14ac:dyDescent="0.35">
      <c r="A1561" s="198" t="s">
        <v>847</v>
      </c>
      <c r="B1561" s="197">
        <v>2029</v>
      </c>
      <c r="C1561" s="213" t="s">
        <v>4746</v>
      </c>
      <c r="D1561" s="239">
        <v>6.9532896342717502E-3</v>
      </c>
      <c r="E1561" s="226">
        <v>3.8828145898139349E-2</v>
      </c>
      <c r="F1561" s="226">
        <v>1.0637651358736894E-3</v>
      </c>
      <c r="G1561" s="227">
        <v>9.7875904776137607E-4</v>
      </c>
      <c r="H1561" s="226">
        <v>2.0000005732018797E-3</v>
      </c>
      <c r="I1561" s="255">
        <v>2.8870523721247479E-3</v>
      </c>
      <c r="J1561" s="256">
        <v>1.7100172280986507E-5</v>
      </c>
      <c r="K1561" s="257">
        <v>1.7873366190642049E-5</v>
      </c>
      <c r="L1561" s="228">
        <v>3.5895063526152862E-2</v>
      </c>
    </row>
    <row r="1562" spans="1:12" s="212" customFormat="1" ht="15.5" x14ac:dyDescent="0.35">
      <c r="A1562" s="198" t="s">
        <v>847</v>
      </c>
      <c r="B1562" s="197">
        <v>2030</v>
      </c>
      <c r="C1562" s="213" t="s">
        <v>4747</v>
      </c>
      <c r="D1562" s="239">
        <v>6.4460372178354874E-3</v>
      </c>
      <c r="E1562" s="226">
        <v>3.6312730138615329E-2</v>
      </c>
      <c r="F1562" s="226">
        <v>1.0000358352038712E-3</v>
      </c>
      <c r="G1562" s="227">
        <v>9.2006244293456601E-4</v>
      </c>
      <c r="H1562" s="226">
        <v>2.0000005732018801E-3</v>
      </c>
      <c r="I1562" s="255">
        <v>2.8889318715345606E-3</v>
      </c>
      <c r="J1562" s="256">
        <v>1.4537083893905984E-5</v>
      </c>
      <c r="K1562" s="257">
        <v>1.5194386320234021E-5</v>
      </c>
      <c r="L1562" s="228">
        <v>3.5277003184552506E-2</v>
      </c>
    </row>
    <row r="1563" spans="1:12" s="212" customFormat="1" ht="15.5" x14ac:dyDescent="0.35">
      <c r="A1563" s="198" t="s">
        <v>847</v>
      </c>
      <c r="B1563" s="197">
        <v>2031</v>
      </c>
      <c r="C1563" s="213" t="s">
        <v>4748</v>
      </c>
      <c r="D1563" s="239">
        <v>6.0722238854115521E-3</v>
      </c>
      <c r="E1563" s="226">
        <v>3.4201638867617463E-2</v>
      </c>
      <c r="F1563" s="226">
        <v>9.5063603981954505E-4</v>
      </c>
      <c r="G1563" s="227">
        <v>8.745904862597271E-4</v>
      </c>
      <c r="H1563" s="226">
        <v>2.0000005732018797E-3</v>
      </c>
      <c r="I1563" s="255">
        <v>2.9545201782399909E-3</v>
      </c>
      <c r="J1563" s="256">
        <v>1.3236658675615056E-5</v>
      </c>
      <c r="K1563" s="257">
        <v>1.3835161644123419E-5</v>
      </c>
      <c r="L1563" s="228">
        <v>3.4716318198691178E-2</v>
      </c>
    </row>
    <row r="1564" spans="1:12" s="212" customFormat="1" ht="15.5" x14ac:dyDescent="0.35">
      <c r="A1564" s="198" t="s">
        <v>847</v>
      </c>
      <c r="B1564" s="197">
        <v>2032</v>
      </c>
      <c r="C1564" s="213" t="s">
        <v>4749</v>
      </c>
      <c r="D1564" s="239">
        <v>5.6833629261295272E-3</v>
      </c>
      <c r="E1564" s="226">
        <v>3.232511389881873E-2</v>
      </c>
      <c r="F1564" s="226">
        <v>8.9270007953576064E-4</v>
      </c>
      <c r="G1564" s="227">
        <v>8.2125464590467609E-4</v>
      </c>
      <c r="H1564" s="226">
        <v>2.0000005732018805E-3</v>
      </c>
      <c r="I1564" s="255">
        <v>2.9558679215694866E-3</v>
      </c>
      <c r="J1564" s="256">
        <v>1.1546242994220756E-5</v>
      </c>
      <c r="K1564" s="257">
        <v>1.2068312866724937E-5</v>
      </c>
      <c r="L1564" s="228">
        <v>3.420956880209932E-2</v>
      </c>
    </row>
    <row r="1565" spans="1:12" s="212" customFormat="1" ht="15.5" x14ac:dyDescent="0.35">
      <c r="A1565" s="198" t="s">
        <v>847</v>
      </c>
      <c r="B1565" s="197">
        <v>2033</v>
      </c>
      <c r="C1565" s="213" t="s">
        <v>4750</v>
      </c>
      <c r="D1565" s="239">
        <v>5.3464390520915703E-3</v>
      </c>
      <c r="E1565" s="226">
        <v>3.0713711710491833E-2</v>
      </c>
      <c r="F1565" s="226">
        <v>8.3910673220809141E-4</v>
      </c>
      <c r="G1565" s="227">
        <v>7.7194438550876304E-4</v>
      </c>
      <c r="H1565" s="226">
        <v>2.0000005732018797E-3</v>
      </c>
      <c r="I1565" s="255">
        <v>2.9569420286697308E-3</v>
      </c>
      <c r="J1565" s="256">
        <v>1.0695284008431944E-5</v>
      </c>
      <c r="K1565" s="257">
        <v>1.1178877291673342E-5</v>
      </c>
      <c r="L1565" s="228">
        <v>3.3755103962028875E-2</v>
      </c>
    </row>
    <row r="1566" spans="1:12" s="212" customFormat="1" ht="15.5" x14ac:dyDescent="0.35">
      <c r="A1566" s="198" t="s">
        <v>847</v>
      </c>
      <c r="B1566" s="197">
        <v>2034</v>
      </c>
      <c r="C1566" s="213" t="s">
        <v>4751</v>
      </c>
      <c r="D1566" s="239">
        <v>5.0437073682144708E-3</v>
      </c>
      <c r="E1566" s="226">
        <v>2.9299858756286372E-2</v>
      </c>
      <c r="F1566" s="226">
        <v>7.8897208162426223E-4</v>
      </c>
      <c r="G1566" s="227">
        <v>7.2581662675039952E-4</v>
      </c>
      <c r="H1566" s="226">
        <v>2.0000005732018801E-3</v>
      </c>
      <c r="I1566" s="255">
        <v>2.9577598724794146E-3</v>
      </c>
      <c r="J1566" s="256">
        <v>9.9048352335781371E-6</v>
      </c>
      <c r="K1566" s="257">
        <v>1.0352687930785127E-5</v>
      </c>
      <c r="L1566" s="228">
        <v>3.3349869203035939E-2</v>
      </c>
    </row>
    <row r="1567" spans="1:12" s="212" customFormat="1" ht="15.5" x14ac:dyDescent="0.35">
      <c r="A1567" s="198" t="s">
        <v>847</v>
      </c>
      <c r="B1567" s="197">
        <v>2035</v>
      </c>
      <c r="C1567" s="213" t="s">
        <v>4752</v>
      </c>
      <c r="D1567" s="239">
        <v>4.776467090519345E-3</v>
      </c>
      <c r="E1567" s="226">
        <v>2.8086856078392786E-2</v>
      </c>
      <c r="F1567" s="226">
        <v>7.4284698970508191E-4</v>
      </c>
      <c r="G1567" s="227">
        <v>6.8338007376269206E-4</v>
      </c>
      <c r="H1567" s="226">
        <v>2.0000005732018801E-3</v>
      </c>
      <c r="I1567" s="255">
        <v>2.9583867163032094E-3</v>
      </c>
      <c r="J1567" s="256">
        <v>9.2315385607209307E-6</v>
      </c>
      <c r="K1567" s="257">
        <v>9.6489477700910801E-6</v>
      </c>
      <c r="L1567" s="228">
        <v>3.2992376607317797E-2</v>
      </c>
    </row>
    <row r="1568" spans="1:12" s="212" customFormat="1" ht="15.5" x14ac:dyDescent="0.35">
      <c r="A1568" s="198" t="s">
        <v>847</v>
      </c>
      <c r="B1568" s="197">
        <v>2036</v>
      </c>
      <c r="C1568" s="213" t="s">
        <v>4753</v>
      </c>
      <c r="D1568" s="239">
        <v>4.5425782705435531E-3</v>
      </c>
      <c r="E1568" s="226">
        <v>2.7035710330765891E-2</v>
      </c>
      <c r="F1568" s="226">
        <v>7.0226372915082518E-4</v>
      </c>
      <c r="G1568" s="227">
        <v>6.4604067269096995E-4</v>
      </c>
      <c r="H1568" s="226">
        <v>2.0000005732018805E-3</v>
      </c>
      <c r="I1568" s="255">
        <v>2.9588507389434245E-3</v>
      </c>
      <c r="J1568" s="256">
        <v>8.6003984358328437E-6</v>
      </c>
      <c r="K1568" s="257">
        <v>8.9892702893983712E-6</v>
      </c>
      <c r="L1568" s="228">
        <v>3.2692165838053365E-2</v>
      </c>
    </row>
    <row r="1569" spans="1:12" s="212" customFormat="1" ht="15.5" x14ac:dyDescent="0.35">
      <c r="A1569" s="198" t="s">
        <v>847</v>
      </c>
      <c r="B1569" s="197">
        <v>2037</v>
      </c>
      <c r="C1569" s="213" t="s">
        <v>4754</v>
      </c>
      <c r="D1569" s="239">
        <v>4.3444487075248554E-3</v>
      </c>
      <c r="E1569" s="226">
        <v>2.6152853621065241E-2</v>
      </c>
      <c r="F1569" s="226">
        <v>6.661993243395831E-4</v>
      </c>
      <c r="G1569" s="227">
        <v>6.1285963318899082E-4</v>
      </c>
      <c r="H1569" s="226">
        <v>2.0000005732018805E-3</v>
      </c>
      <c r="I1569" s="255">
        <v>2.9591837021908903E-3</v>
      </c>
      <c r="J1569" s="256">
        <v>8.0575607707974099E-6</v>
      </c>
      <c r="K1569" s="257">
        <v>8.4218879139564843E-6</v>
      </c>
      <c r="L1569" s="228">
        <v>3.2420301509484627E-2</v>
      </c>
    </row>
    <row r="1570" spans="1:12" s="212" customFormat="1" ht="15.5" x14ac:dyDescent="0.35">
      <c r="A1570" s="198" t="s">
        <v>847</v>
      </c>
      <c r="B1570" s="197">
        <v>2038</v>
      </c>
      <c r="C1570" s="213" t="s">
        <v>4755</v>
      </c>
      <c r="D1570" s="239">
        <v>4.1668353882401629E-3</v>
      </c>
      <c r="E1570" s="226">
        <v>2.536200031136342E-2</v>
      </c>
      <c r="F1570" s="226">
        <v>6.3434122123245181E-4</v>
      </c>
      <c r="G1570" s="227">
        <v>5.835515576263421E-4</v>
      </c>
      <c r="H1570" s="226">
        <v>2.0000005732018801E-3</v>
      </c>
      <c r="I1570" s="255">
        <v>2.9594119935710764E-3</v>
      </c>
      <c r="J1570" s="256">
        <v>7.6539527952552685E-6</v>
      </c>
      <c r="K1570" s="257">
        <v>8.0000305767442104E-6</v>
      </c>
      <c r="L1570" s="228">
        <v>3.2187439923212137E-2</v>
      </c>
    </row>
    <row r="1571" spans="1:12" s="212" customFormat="1" ht="15.5" x14ac:dyDescent="0.35">
      <c r="A1571" s="198" t="s">
        <v>847</v>
      </c>
      <c r="B1571" s="197">
        <v>2039</v>
      </c>
      <c r="C1571" s="213" t="s">
        <v>4756</v>
      </c>
      <c r="D1571" s="239">
        <v>3.9994110012540112E-3</v>
      </c>
      <c r="E1571" s="226">
        <v>2.4632056260161656E-2</v>
      </c>
      <c r="F1571" s="226">
        <v>6.0641889933204965E-4</v>
      </c>
      <c r="G1571" s="227">
        <v>5.5786423903568701E-4</v>
      </c>
      <c r="H1571" s="226">
        <v>2.0000005732018801E-3</v>
      </c>
      <c r="I1571" s="255">
        <v>2.9595979412577736E-3</v>
      </c>
      <c r="J1571" s="256">
        <v>7.3004292416398412E-6</v>
      </c>
      <c r="K1571" s="257">
        <v>7.6305222567718167E-6</v>
      </c>
      <c r="L1571" s="228">
        <v>3.1987394485559935E-2</v>
      </c>
    </row>
    <row r="1572" spans="1:12" s="212" customFormat="1" ht="15.5" x14ac:dyDescent="0.35">
      <c r="A1572" s="198" t="s">
        <v>847</v>
      </c>
      <c r="B1572" s="197">
        <v>2040</v>
      </c>
      <c r="C1572" s="213" t="s">
        <v>4757</v>
      </c>
      <c r="D1572" s="239">
        <v>3.8450832448234033E-3</v>
      </c>
      <c r="E1572" s="226">
        <v>2.3985172324931955E-2</v>
      </c>
      <c r="F1572" s="226">
        <v>5.8222522658577642E-4</v>
      </c>
      <c r="G1572" s="227">
        <v>5.3560734226946517E-4</v>
      </c>
      <c r="H1572" s="226">
        <v>2.0000005732018797E-3</v>
      </c>
      <c r="I1572" s="255">
        <v>2.9597627045142741E-3</v>
      </c>
      <c r="J1572" s="256">
        <v>6.9999449483720809E-6</v>
      </c>
      <c r="K1572" s="257">
        <v>7.3164513971417941E-6</v>
      </c>
      <c r="L1572" s="228">
        <v>3.1818223540440865E-2</v>
      </c>
    </row>
    <row r="1573" spans="1:12" s="212" customFormat="1" ht="15.5" x14ac:dyDescent="0.35">
      <c r="A1573" s="198" t="s">
        <v>847</v>
      </c>
      <c r="B1573" s="197">
        <v>2041</v>
      </c>
      <c r="C1573" s="213" t="s">
        <v>4758</v>
      </c>
      <c r="D1573" s="239">
        <v>3.7199081954436696E-3</v>
      </c>
      <c r="E1573" s="226">
        <v>2.3431086424025676E-2</v>
      </c>
      <c r="F1573" s="226">
        <v>5.6328862253050968E-4</v>
      </c>
      <c r="G1573" s="227">
        <v>5.1818651216259479E-4</v>
      </c>
      <c r="H1573" s="226">
        <v>2.0000005732018801E-3</v>
      </c>
      <c r="I1573" s="255">
        <v>2.9599099549181178E-3</v>
      </c>
      <c r="J1573" s="256">
        <v>6.760699745527415E-6</v>
      </c>
      <c r="K1573" s="257">
        <v>7.0663885878593641E-6</v>
      </c>
      <c r="L1573" s="228">
        <v>3.1676692030247283E-2</v>
      </c>
    </row>
    <row r="1574" spans="1:12" s="212" customFormat="1" ht="15.5" x14ac:dyDescent="0.35">
      <c r="A1574" s="198" t="s">
        <v>847</v>
      </c>
      <c r="B1574" s="197">
        <v>2042</v>
      </c>
      <c r="C1574" s="213" t="s">
        <v>4759</v>
      </c>
      <c r="D1574" s="239">
        <v>3.6068856566717693E-3</v>
      </c>
      <c r="E1574" s="226">
        <v>2.2894401669025836E-2</v>
      </c>
      <c r="F1574" s="226">
        <v>5.4727979911686655E-4</v>
      </c>
      <c r="G1574" s="227">
        <v>5.0345955977929176E-4</v>
      </c>
      <c r="H1574" s="226">
        <v>2.0000005732018801E-3</v>
      </c>
      <c r="I1574" s="255">
        <v>2.9599808072580929E-3</v>
      </c>
      <c r="J1574" s="256">
        <v>6.5700006568953609E-6</v>
      </c>
      <c r="K1574" s="257">
        <v>6.8670669326540422E-6</v>
      </c>
      <c r="L1574" s="228">
        <v>3.1557517101990708E-2</v>
      </c>
    </row>
    <row r="1575" spans="1:12" s="212" customFormat="1" ht="15.5" x14ac:dyDescent="0.35">
      <c r="A1575" s="198" t="s">
        <v>847</v>
      </c>
      <c r="B1575" s="197">
        <v>2043</v>
      </c>
      <c r="C1575" s="213" t="s">
        <v>4760</v>
      </c>
      <c r="D1575" s="239">
        <v>3.5179309717492347E-3</v>
      </c>
      <c r="E1575" s="226">
        <v>2.2426687891593019E-2</v>
      </c>
      <c r="F1575" s="226">
        <v>5.3383958795396637E-4</v>
      </c>
      <c r="G1575" s="227">
        <v>4.9109567525907488E-4</v>
      </c>
      <c r="H1575" s="226">
        <v>2.0000005732018805E-3</v>
      </c>
      <c r="I1575" s="255">
        <v>2.9600270279943738E-3</v>
      </c>
      <c r="J1575" s="256">
        <v>6.4132752721000627E-6</v>
      </c>
      <c r="K1575" s="257">
        <v>6.7032551214168901E-6</v>
      </c>
      <c r="L1575" s="228">
        <v>3.1458663325974329E-2</v>
      </c>
    </row>
    <row r="1576" spans="1:12" s="212" customFormat="1" ht="15.5" x14ac:dyDescent="0.35">
      <c r="A1576" s="198" t="s">
        <v>847</v>
      </c>
      <c r="B1576" s="197">
        <v>2044</v>
      </c>
      <c r="C1576" s="213" t="s">
        <v>4761</v>
      </c>
      <c r="D1576" s="239">
        <v>3.4489223599771719E-3</v>
      </c>
      <c r="E1576" s="226">
        <v>2.1989453952208297E-2</v>
      </c>
      <c r="F1576" s="226">
        <v>5.2257235441950981E-4</v>
      </c>
      <c r="G1576" s="227">
        <v>4.8073070884669576E-4</v>
      </c>
      <c r="H1576" s="226">
        <v>2.0000005732018801E-3</v>
      </c>
      <c r="I1576" s="255">
        <v>2.9600490988470059E-3</v>
      </c>
      <c r="J1576" s="256">
        <v>6.2808137317956824E-6</v>
      </c>
      <c r="K1576" s="257">
        <v>6.5648042580493475E-6</v>
      </c>
      <c r="L1576" s="228">
        <v>3.1375685960300326E-2</v>
      </c>
    </row>
    <row r="1577" spans="1:12" s="212" customFormat="1" ht="15.5" x14ac:dyDescent="0.35">
      <c r="A1577" s="198" t="s">
        <v>847</v>
      </c>
      <c r="B1577" s="197">
        <v>2045</v>
      </c>
      <c r="C1577" s="213" t="s">
        <v>4762</v>
      </c>
      <c r="D1577" s="239">
        <v>3.3968815251022677E-3</v>
      </c>
      <c r="E1577" s="226">
        <v>2.1569803827071594E-2</v>
      </c>
      <c r="F1577" s="226">
        <v>5.1307362303789933E-4</v>
      </c>
      <c r="G1577" s="227">
        <v>4.7199308245838499E-4</v>
      </c>
      <c r="H1577" s="226">
        <v>2.0000005732018801E-3</v>
      </c>
      <c r="I1577" s="255">
        <v>2.9600464961587565E-3</v>
      </c>
      <c r="J1577" s="256">
        <v>6.1808850809558645E-6</v>
      </c>
      <c r="K1577" s="257">
        <v>6.4603572770453425E-6</v>
      </c>
      <c r="L1577" s="228">
        <v>3.1304575321729249E-2</v>
      </c>
    </row>
    <row r="1578" spans="1:12" s="212" customFormat="1" ht="15.5" x14ac:dyDescent="0.35">
      <c r="A1578" s="198" t="s">
        <v>847</v>
      </c>
      <c r="B1578" s="197">
        <v>2046</v>
      </c>
      <c r="C1578" s="213" t="s">
        <v>4763</v>
      </c>
      <c r="D1578" s="239">
        <v>3.351312096059903E-3</v>
      </c>
      <c r="E1578" s="226">
        <v>2.1199914172873299E-2</v>
      </c>
      <c r="F1578" s="226">
        <v>5.0523710789205669E-4</v>
      </c>
      <c r="G1578" s="227">
        <v>4.6478456867204195E-4</v>
      </c>
      <c r="H1578" s="226">
        <v>2.0000005732018801E-3</v>
      </c>
      <c r="I1578" s="255">
        <v>2.9600644119462992E-3</v>
      </c>
      <c r="J1578" s="256">
        <v>6.1006195122698869E-6</v>
      </c>
      <c r="K1578" s="257">
        <v>6.3764624555165704E-6</v>
      </c>
      <c r="L1578" s="228">
        <v>3.1244495094613994E-2</v>
      </c>
    </row>
    <row r="1579" spans="1:12" s="212" customFormat="1" ht="15.5" x14ac:dyDescent="0.35">
      <c r="A1579" s="198" t="s">
        <v>847</v>
      </c>
      <c r="B1579" s="197">
        <v>2047</v>
      </c>
      <c r="C1579" s="213" t="s">
        <v>4764</v>
      </c>
      <c r="D1579" s="239">
        <v>3.3142098769945892E-3</v>
      </c>
      <c r="E1579" s="226">
        <v>2.0897057241069012E-2</v>
      </c>
      <c r="F1579" s="226">
        <v>4.9886379563489954E-4</v>
      </c>
      <c r="G1579" s="227">
        <v>4.5892186723839058E-4</v>
      </c>
      <c r="H1579" s="226">
        <v>2.0000005732018801E-3</v>
      </c>
      <c r="I1579" s="255">
        <v>2.9601395093783755E-3</v>
      </c>
      <c r="J1579" s="256">
        <v>6.0319369550024455E-6</v>
      </c>
      <c r="K1579" s="257">
        <v>6.3046743777838355E-6</v>
      </c>
      <c r="L1579" s="228">
        <v>3.1194138256535369E-2</v>
      </c>
    </row>
    <row r="1580" spans="1:12" s="212" customFormat="1" ht="15.5" x14ac:dyDescent="0.35">
      <c r="A1580" s="198" t="s">
        <v>847</v>
      </c>
      <c r="B1580" s="197">
        <v>2048</v>
      </c>
      <c r="C1580" s="213" t="s">
        <v>4765</v>
      </c>
      <c r="D1580" s="239">
        <v>3.2852727292952723E-3</v>
      </c>
      <c r="E1580" s="226">
        <v>2.0660980485888124E-2</v>
      </c>
      <c r="F1580" s="226">
        <v>4.9366013798805668E-4</v>
      </c>
      <c r="G1580" s="227">
        <v>4.5413497362678642E-4</v>
      </c>
      <c r="H1580" s="226">
        <v>2.0000005732018805E-3</v>
      </c>
      <c r="I1580" s="255">
        <v>2.9602645793149916E-3</v>
      </c>
      <c r="J1580" s="256">
        <v>5.9723292686208686E-6</v>
      </c>
      <c r="K1580" s="257">
        <v>6.242371496329277E-6</v>
      </c>
      <c r="L1580" s="228">
        <v>3.1152006236636016E-2</v>
      </c>
    </row>
    <row r="1581" spans="1:12" s="212" customFormat="1" ht="15.5" x14ac:dyDescent="0.35">
      <c r="A1581" s="198" t="s">
        <v>847</v>
      </c>
      <c r="B1581" s="197">
        <v>2049</v>
      </c>
      <c r="C1581" s="213" t="s">
        <v>4766</v>
      </c>
      <c r="D1581" s="239">
        <v>3.2789511744531273E-3</v>
      </c>
      <c r="E1581" s="226">
        <v>2.0639757601768959E-2</v>
      </c>
      <c r="F1581" s="226">
        <v>4.9026166151365719E-4</v>
      </c>
      <c r="G1581" s="227">
        <v>4.5100856793977884E-4</v>
      </c>
      <c r="H1581" s="226">
        <v>2.0000005732018801E-3</v>
      </c>
      <c r="I1581" s="255">
        <v>2.9604097248469752E-3</v>
      </c>
      <c r="J1581" s="256">
        <v>5.9304428308056212E-6</v>
      </c>
      <c r="K1581" s="257">
        <v>6.1985911396643377E-6</v>
      </c>
      <c r="L1581" s="228">
        <v>3.1116355881100836E-2</v>
      </c>
    </row>
    <row r="1582" spans="1:12" s="212" customFormat="1" ht="15.5" x14ac:dyDescent="0.35">
      <c r="A1582" s="198" t="s">
        <v>847</v>
      </c>
      <c r="B1582" s="197">
        <v>2050</v>
      </c>
      <c r="C1582" s="213" t="s">
        <v>4767</v>
      </c>
      <c r="D1582" s="239">
        <v>3.2743475257800358E-3</v>
      </c>
      <c r="E1582" s="226">
        <v>2.0624871668851009E-2</v>
      </c>
      <c r="F1582" s="226">
        <v>4.8750397110584881E-4</v>
      </c>
      <c r="G1582" s="227">
        <v>4.4847047601333673E-4</v>
      </c>
      <c r="H1582" s="226">
        <v>2.0000005732018801E-3</v>
      </c>
      <c r="I1582" s="255">
        <v>2.9606238068539113E-3</v>
      </c>
      <c r="J1582" s="256">
        <v>5.8663461594047211E-6</v>
      </c>
      <c r="K1582" s="257">
        <v>6.1315963012074569E-6</v>
      </c>
      <c r="L1582" s="228">
        <v>3.1087410166963127E-2</v>
      </c>
    </row>
    <row r="1583" spans="1:12" s="212" customFormat="1" ht="15.5" x14ac:dyDescent="0.35">
      <c r="A1583" s="198" t="s">
        <v>848</v>
      </c>
      <c r="B1583" s="197">
        <v>2015</v>
      </c>
      <c r="C1583" s="213" t="s">
        <v>945</v>
      </c>
      <c r="D1583" s="239">
        <v>7.9177255507264246E-2</v>
      </c>
      <c r="E1583" s="226">
        <v>0.34323145125209797</v>
      </c>
      <c r="F1583" s="226">
        <v>2.9567588628509256E-3</v>
      </c>
      <c r="G1583" s="227">
        <v>2.741414778035748E-3</v>
      </c>
      <c r="H1583" s="226">
        <v>2.0000005732018801E-3</v>
      </c>
      <c r="I1583" s="255">
        <v>3.7107892621726E-3</v>
      </c>
      <c r="J1583" s="256">
        <v>4.4504002649543319E-4</v>
      </c>
      <c r="K1583" s="257">
        <v>4.6516276165768666E-4</v>
      </c>
      <c r="L1583" s="228">
        <v>4.7624251496857041E-2</v>
      </c>
    </row>
    <row r="1584" spans="1:12" s="212" customFormat="1" ht="15.5" x14ac:dyDescent="0.35">
      <c r="A1584" s="198" t="s">
        <v>848</v>
      </c>
      <c r="B1584" s="197">
        <v>2016</v>
      </c>
      <c r="C1584" s="213" t="s">
        <v>946</v>
      </c>
      <c r="D1584" s="239">
        <v>6.945704145476933E-2</v>
      </c>
      <c r="E1584" s="226">
        <v>0.30926643902718359</v>
      </c>
      <c r="F1584" s="226">
        <v>2.8078227526193971E-3</v>
      </c>
      <c r="G1584" s="227">
        <v>2.6011509959633721E-3</v>
      </c>
      <c r="H1584" s="226">
        <v>2.0000005732018801E-3</v>
      </c>
      <c r="I1584" s="255">
        <v>3.6917501845955313E-3</v>
      </c>
      <c r="J1584" s="256">
        <v>4.0580037026334049E-4</v>
      </c>
      <c r="K1584" s="257">
        <v>4.2414886229417482E-4</v>
      </c>
      <c r="L1584" s="228">
        <v>4.6532796420585137E-2</v>
      </c>
    </row>
    <row r="1585" spans="1:12" s="212" customFormat="1" ht="15.5" x14ac:dyDescent="0.35">
      <c r="A1585" s="198" t="s">
        <v>848</v>
      </c>
      <c r="B1585" s="197">
        <v>2017</v>
      </c>
      <c r="C1585" s="213" t="s">
        <v>4768</v>
      </c>
      <c r="D1585" s="239">
        <v>5.723091755387099E-2</v>
      </c>
      <c r="E1585" s="226">
        <v>0.26188473799353407</v>
      </c>
      <c r="F1585" s="226">
        <v>2.550115378019704E-3</v>
      </c>
      <c r="G1585" s="227">
        <v>2.3600222231655085E-3</v>
      </c>
      <c r="H1585" s="226">
        <v>2.0000005732018805E-3</v>
      </c>
      <c r="I1585" s="255">
        <v>3.693579243758975E-3</v>
      </c>
      <c r="J1585" s="256">
        <v>3.2615674665520048E-4</v>
      </c>
      <c r="K1585" s="257">
        <v>3.409041074398206E-4</v>
      </c>
      <c r="L1585" s="228">
        <v>4.6155580823747613E-2</v>
      </c>
    </row>
    <row r="1586" spans="1:12" s="212" customFormat="1" ht="15.5" x14ac:dyDescent="0.35">
      <c r="A1586" s="198" t="s">
        <v>848</v>
      </c>
      <c r="B1586" s="197">
        <v>2018</v>
      </c>
      <c r="C1586" s="213" t="s">
        <v>4769</v>
      </c>
      <c r="D1586" s="239">
        <v>4.7845815666827107E-2</v>
      </c>
      <c r="E1586" s="226">
        <v>0.22857177934378886</v>
      </c>
      <c r="F1586" s="226">
        <v>2.4062210982999099E-3</v>
      </c>
      <c r="G1586" s="227">
        <v>2.2251330270974842E-3</v>
      </c>
      <c r="H1586" s="226">
        <v>2.0000005732018801E-3</v>
      </c>
      <c r="I1586" s="255">
        <v>3.6953143612270404E-3</v>
      </c>
      <c r="J1586" s="256">
        <v>2.8815477908092368E-4</v>
      </c>
      <c r="K1586" s="257">
        <v>3.0118385952306839E-4</v>
      </c>
      <c r="L1586" s="228">
        <v>4.5557292908277217E-2</v>
      </c>
    </row>
    <row r="1587" spans="1:12" s="212" customFormat="1" ht="15.5" x14ac:dyDescent="0.35">
      <c r="A1587" s="198" t="s">
        <v>848</v>
      </c>
      <c r="B1587" s="197">
        <v>2019</v>
      </c>
      <c r="C1587" s="213" t="s">
        <v>4770</v>
      </c>
      <c r="D1587" s="239">
        <v>3.896883682991175E-2</v>
      </c>
      <c r="E1587" s="226">
        <v>0.18917836023375162</v>
      </c>
      <c r="F1587" s="226">
        <v>2.272312706079607E-3</v>
      </c>
      <c r="G1587" s="227">
        <v>2.0988951405821678E-3</v>
      </c>
      <c r="H1587" s="226">
        <v>2.0000005732018805E-3</v>
      </c>
      <c r="I1587" s="255">
        <v>3.698881635844112E-3</v>
      </c>
      <c r="J1587" s="256">
        <v>2.3012186959248755E-4</v>
      </c>
      <c r="K1587" s="257">
        <v>2.4052695938478716E-4</v>
      </c>
      <c r="L1587" s="228">
        <v>4.489650019652984E-2</v>
      </c>
    </row>
    <row r="1588" spans="1:12" s="212" customFormat="1" ht="15.5" x14ac:dyDescent="0.35">
      <c r="A1588" s="198" t="s">
        <v>848</v>
      </c>
      <c r="B1588" s="197">
        <v>2020</v>
      </c>
      <c r="C1588" s="213" t="s">
        <v>4771</v>
      </c>
      <c r="D1588" s="239">
        <v>3.4092219225058763E-2</v>
      </c>
      <c r="E1588" s="226">
        <v>0.16888411736567943</v>
      </c>
      <c r="F1588" s="226">
        <v>2.1893500292640977E-3</v>
      </c>
      <c r="G1588" s="227">
        <v>2.0216915716722173E-3</v>
      </c>
      <c r="H1588" s="226">
        <v>2.0000005732018801E-3</v>
      </c>
      <c r="I1588" s="255">
        <v>3.7062850991691782E-3</v>
      </c>
      <c r="J1588" s="256">
        <v>2.1261095583518876E-4</v>
      </c>
      <c r="K1588" s="257">
        <v>2.222242798109124E-4</v>
      </c>
      <c r="L1588" s="228">
        <v>4.4591997393322889E-2</v>
      </c>
    </row>
    <row r="1589" spans="1:12" s="212" customFormat="1" ht="15.5" x14ac:dyDescent="0.35">
      <c r="A1589" s="198" t="s">
        <v>848</v>
      </c>
      <c r="B1589" s="197">
        <v>2021</v>
      </c>
      <c r="C1589" s="213" t="s">
        <v>4772</v>
      </c>
      <c r="D1589" s="239">
        <v>3.0100486328049774E-2</v>
      </c>
      <c r="E1589" s="226">
        <v>0.15023062961687939</v>
      </c>
      <c r="F1589" s="226">
        <v>2.0896632746109554E-3</v>
      </c>
      <c r="G1589" s="227">
        <v>1.9292725752526245E-3</v>
      </c>
      <c r="H1589" s="226">
        <v>2.0000005732018797E-3</v>
      </c>
      <c r="I1589" s="255">
        <v>3.7107642792359257E-3</v>
      </c>
      <c r="J1589" s="256">
        <v>1.95494550061431E-4</v>
      </c>
      <c r="K1589" s="257">
        <v>2.0433394612099113E-4</v>
      </c>
      <c r="L1589" s="228">
        <v>4.3729454081350587E-2</v>
      </c>
    </row>
    <row r="1590" spans="1:12" s="212" customFormat="1" ht="15.5" x14ac:dyDescent="0.35">
      <c r="A1590" s="198" t="s">
        <v>848</v>
      </c>
      <c r="B1590" s="197">
        <v>2022</v>
      </c>
      <c r="C1590" s="213" t="s">
        <v>4773</v>
      </c>
      <c r="D1590" s="239">
        <v>2.5951967564927361E-2</v>
      </c>
      <c r="E1590" s="226">
        <v>0.13236118023463031</v>
      </c>
      <c r="F1590" s="226">
        <v>1.985643335253529E-3</v>
      </c>
      <c r="G1590" s="227">
        <v>1.8327409940746089E-3</v>
      </c>
      <c r="H1590" s="226">
        <v>2.0000005732018797E-3</v>
      </c>
      <c r="I1590" s="255">
        <v>3.7117509749953E-3</v>
      </c>
      <c r="J1590" s="256">
        <v>1.779113700431058E-4</v>
      </c>
      <c r="K1590" s="257">
        <v>1.8595573272644272E-4</v>
      </c>
      <c r="L1590" s="228">
        <v>4.2925268083438751E-2</v>
      </c>
    </row>
    <row r="1591" spans="1:12" s="212" customFormat="1" ht="15.5" x14ac:dyDescent="0.35">
      <c r="A1591" s="198" t="s">
        <v>848</v>
      </c>
      <c r="B1591" s="197">
        <v>2023</v>
      </c>
      <c r="C1591" s="213" t="s">
        <v>4774</v>
      </c>
      <c r="D1591" s="239">
        <v>2.2875103074293024E-2</v>
      </c>
      <c r="E1591" s="226">
        <v>0.11717070032302809</v>
      </c>
      <c r="F1591" s="226">
        <v>1.8886566881113011E-3</v>
      </c>
      <c r="G1591" s="227">
        <v>1.7427559471500868E-3</v>
      </c>
      <c r="H1591" s="226">
        <v>2.0000005732018797E-3</v>
      </c>
      <c r="I1591" s="255">
        <v>3.7122187217839488E-3</v>
      </c>
      <c r="J1591" s="256">
        <v>1.5805020698793595E-4</v>
      </c>
      <c r="K1591" s="257">
        <v>1.6519653601052413E-4</v>
      </c>
      <c r="L1591" s="228">
        <v>4.2194106384124921E-2</v>
      </c>
    </row>
    <row r="1592" spans="1:12" s="212" customFormat="1" ht="15.5" x14ac:dyDescent="0.35">
      <c r="A1592" s="198" t="s">
        <v>848</v>
      </c>
      <c r="B1592" s="197">
        <v>2024</v>
      </c>
      <c r="C1592" s="213" t="s">
        <v>4775</v>
      </c>
      <c r="D1592" s="239">
        <v>2.0224072923330196E-2</v>
      </c>
      <c r="E1592" s="226">
        <v>0.10404100497284884</v>
      </c>
      <c r="F1592" s="226">
        <v>1.8021704050525885E-3</v>
      </c>
      <c r="G1592" s="227">
        <v>1.6625584565051162E-3</v>
      </c>
      <c r="H1592" s="226">
        <v>2.0000005732018801E-3</v>
      </c>
      <c r="I1592" s="255">
        <v>3.7126640585436999E-3</v>
      </c>
      <c r="J1592" s="256">
        <v>1.4157637062352796E-4</v>
      </c>
      <c r="K1592" s="257">
        <v>1.4797782586728378E-4</v>
      </c>
      <c r="L1592" s="228">
        <v>4.117840756456629E-2</v>
      </c>
    </row>
    <row r="1593" spans="1:12" s="212" customFormat="1" ht="15.5" x14ac:dyDescent="0.35">
      <c r="A1593" s="198" t="s">
        <v>848</v>
      </c>
      <c r="B1593" s="197">
        <v>2025</v>
      </c>
      <c r="C1593" s="213" t="s">
        <v>4776</v>
      </c>
      <c r="D1593" s="239">
        <v>1.801938235502152E-2</v>
      </c>
      <c r="E1593" s="226">
        <v>9.2914084686084808E-2</v>
      </c>
      <c r="F1593" s="226">
        <v>1.7234235078917824E-3</v>
      </c>
      <c r="G1593" s="227">
        <v>1.5894223401294535E-3</v>
      </c>
      <c r="H1593" s="226">
        <v>2.0000005732018801E-3</v>
      </c>
      <c r="I1593" s="255">
        <v>3.7129441070526343E-3</v>
      </c>
      <c r="J1593" s="256">
        <v>1.2311426565102886E-4</v>
      </c>
      <c r="K1593" s="257">
        <v>1.2868094643230587E-4</v>
      </c>
      <c r="L1593" s="228">
        <v>4.0268141243501955E-2</v>
      </c>
    </row>
    <row r="1594" spans="1:12" s="212" customFormat="1" ht="15.5" x14ac:dyDescent="0.35">
      <c r="A1594" s="198" t="s">
        <v>848</v>
      </c>
      <c r="B1594" s="197">
        <v>2026</v>
      </c>
      <c r="C1594" s="213" t="s">
        <v>4777</v>
      </c>
      <c r="D1594" s="239">
        <v>1.6172275584810339E-2</v>
      </c>
      <c r="E1594" s="226">
        <v>8.3536976999763438E-2</v>
      </c>
      <c r="F1594" s="226">
        <v>1.6442612029738436E-3</v>
      </c>
      <c r="G1594" s="227">
        <v>1.5158564947253357E-3</v>
      </c>
      <c r="H1594" s="226">
        <v>2.0000005732018797E-3</v>
      </c>
      <c r="I1594" s="255">
        <v>3.7130503491334117E-3</v>
      </c>
      <c r="J1594" s="256">
        <v>1.0313927824749967E-4</v>
      </c>
      <c r="K1594" s="257">
        <v>1.078027787360828E-4</v>
      </c>
      <c r="L1594" s="228">
        <v>3.9413978122351034E-2</v>
      </c>
    </row>
    <row r="1595" spans="1:12" s="212" customFormat="1" ht="15.5" x14ac:dyDescent="0.35">
      <c r="A1595" s="198" t="s">
        <v>848</v>
      </c>
      <c r="B1595" s="197">
        <v>2027</v>
      </c>
      <c r="C1595" s="213" t="s">
        <v>4778</v>
      </c>
      <c r="D1595" s="239">
        <v>1.4591727766781477E-2</v>
      </c>
      <c r="E1595" s="226">
        <v>7.5469623739315636E-2</v>
      </c>
      <c r="F1595" s="226">
        <v>1.5564216586347423E-3</v>
      </c>
      <c r="G1595" s="227">
        <v>1.4342219228894457E-3</v>
      </c>
      <c r="H1595" s="226">
        <v>2.0000005732018797E-3</v>
      </c>
      <c r="I1595" s="255">
        <v>3.712742642973707E-3</v>
      </c>
      <c r="J1595" s="256">
        <v>8.083745933113404E-5</v>
      </c>
      <c r="K1595" s="257">
        <v>8.449257053117496E-5</v>
      </c>
      <c r="L1595" s="228">
        <v>3.866000819265019E-2</v>
      </c>
    </row>
    <row r="1596" spans="1:12" s="212" customFormat="1" ht="15.5" x14ac:dyDescent="0.35">
      <c r="A1596" s="198" t="s">
        <v>848</v>
      </c>
      <c r="B1596" s="197">
        <v>2028</v>
      </c>
      <c r="C1596" s="213" t="s">
        <v>4779</v>
      </c>
      <c r="D1596" s="239">
        <v>1.323634372478398E-2</v>
      </c>
      <c r="E1596" s="226">
        <v>6.8522667465034007E-2</v>
      </c>
      <c r="F1596" s="226">
        <v>1.4644091014484439E-3</v>
      </c>
      <c r="G1596" s="227">
        <v>1.348883097814022E-3</v>
      </c>
      <c r="H1596" s="226">
        <v>2.0000005732018801E-3</v>
      </c>
      <c r="I1596" s="255">
        <v>3.7123763452633317E-3</v>
      </c>
      <c r="J1596" s="256">
        <v>6.1930352605690385E-5</v>
      </c>
      <c r="K1596" s="257">
        <v>6.4730568338650188E-5</v>
      </c>
      <c r="L1596" s="228">
        <v>3.7927087508689637E-2</v>
      </c>
    </row>
    <row r="1597" spans="1:12" s="212" customFormat="1" ht="15.5" x14ac:dyDescent="0.35">
      <c r="A1597" s="198" t="s">
        <v>848</v>
      </c>
      <c r="B1597" s="197">
        <v>2029</v>
      </c>
      <c r="C1597" s="213" t="s">
        <v>4780</v>
      </c>
      <c r="D1597" s="239">
        <v>1.2032515997309836E-2</v>
      </c>
      <c r="E1597" s="226">
        <v>6.2481606431213303E-2</v>
      </c>
      <c r="F1597" s="226">
        <v>1.3785301779246307E-3</v>
      </c>
      <c r="G1597" s="227">
        <v>1.2694478085839482E-3</v>
      </c>
      <c r="H1597" s="226">
        <v>2.0000005732018797E-3</v>
      </c>
      <c r="I1597" s="255">
        <v>3.7118662820018042E-3</v>
      </c>
      <c r="J1597" s="256">
        <v>4.979600385273372E-5</v>
      </c>
      <c r="K1597" s="257">
        <v>5.2047558180459879E-5</v>
      </c>
      <c r="L1597" s="228">
        <v>3.7262687779408783E-2</v>
      </c>
    </row>
    <row r="1598" spans="1:12" s="212" customFormat="1" ht="15.5" x14ac:dyDescent="0.35">
      <c r="A1598" s="198" t="s">
        <v>848</v>
      </c>
      <c r="B1598" s="197">
        <v>2030</v>
      </c>
      <c r="C1598" s="213" t="s">
        <v>4781</v>
      </c>
      <c r="D1598" s="239">
        <v>1.1032739520730014E-2</v>
      </c>
      <c r="E1598" s="226">
        <v>5.741087890805277E-2</v>
      </c>
      <c r="F1598" s="226">
        <v>1.2953838310950669E-3</v>
      </c>
      <c r="G1598" s="227">
        <v>1.1925609967686841E-3</v>
      </c>
      <c r="H1598" s="226">
        <v>2.0000005732018797E-3</v>
      </c>
      <c r="I1598" s="255">
        <v>3.7113722081545241E-3</v>
      </c>
      <c r="J1598" s="256">
        <v>3.8584944619121281E-5</v>
      </c>
      <c r="K1598" s="257">
        <v>4.0329584596642043E-5</v>
      </c>
      <c r="L1598" s="228">
        <v>3.666401360725409E-2</v>
      </c>
    </row>
    <row r="1599" spans="1:12" s="212" customFormat="1" ht="15.5" x14ac:dyDescent="0.35">
      <c r="A1599" s="198" t="s">
        <v>848</v>
      </c>
      <c r="B1599" s="197">
        <v>2031</v>
      </c>
      <c r="C1599" s="213" t="s">
        <v>4782</v>
      </c>
      <c r="D1599" s="239">
        <v>1.0113790039800147E-2</v>
      </c>
      <c r="E1599" s="226">
        <v>5.2794607879313324E-2</v>
      </c>
      <c r="F1599" s="226">
        <v>1.2185770428700179E-3</v>
      </c>
      <c r="G1599" s="227">
        <v>1.1217643808907691E-3</v>
      </c>
      <c r="H1599" s="226">
        <v>2.0000005732018797E-3</v>
      </c>
      <c r="I1599" s="255">
        <v>3.7106191490491824E-3</v>
      </c>
      <c r="J1599" s="256">
        <v>3.407785246052605E-5</v>
      </c>
      <c r="K1599" s="257">
        <v>3.5618701730560362E-5</v>
      </c>
      <c r="L1599" s="228">
        <v>3.6125668220732661E-2</v>
      </c>
    </row>
    <row r="1600" spans="1:12" s="212" customFormat="1" ht="15.5" x14ac:dyDescent="0.35">
      <c r="A1600" s="198" t="s">
        <v>848</v>
      </c>
      <c r="B1600" s="197">
        <v>2032</v>
      </c>
      <c r="C1600" s="213" t="s">
        <v>4783</v>
      </c>
      <c r="D1600" s="239">
        <v>9.3153039298191753E-3</v>
      </c>
      <c r="E1600" s="226">
        <v>4.886235702865422E-2</v>
      </c>
      <c r="F1600" s="226">
        <v>1.1438867101872083E-3</v>
      </c>
      <c r="G1600" s="227">
        <v>1.052866197543863E-3</v>
      </c>
      <c r="H1600" s="226">
        <v>2.0000005732018801E-3</v>
      </c>
      <c r="I1600" s="255">
        <v>3.7097664316791518E-3</v>
      </c>
      <c r="J1600" s="256">
        <v>2.8349848869184765E-5</v>
      </c>
      <c r="K1600" s="257">
        <v>2.9631703234458101E-5</v>
      </c>
      <c r="L1600" s="228">
        <v>3.5656419707446596E-2</v>
      </c>
    </row>
    <row r="1601" spans="1:12" s="212" customFormat="1" ht="15.5" x14ac:dyDescent="0.35">
      <c r="A1601" s="198" t="s">
        <v>848</v>
      </c>
      <c r="B1601" s="197">
        <v>2033</v>
      </c>
      <c r="C1601" s="213" t="s">
        <v>4784</v>
      </c>
      <c r="D1601" s="239">
        <v>8.6387133228152582E-3</v>
      </c>
      <c r="E1601" s="226">
        <v>4.5611453247508364E-2</v>
      </c>
      <c r="F1601" s="226">
        <v>1.0763977553365947E-3</v>
      </c>
      <c r="G1601" s="227">
        <v>9.9070170561938809E-4</v>
      </c>
      <c r="H1601" s="226">
        <v>2.0000005732018797E-3</v>
      </c>
      <c r="I1601" s="255">
        <v>3.7088248324579267E-3</v>
      </c>
      <c r="J1601" s="256">
        <v>2.5503828114954248E-5</v>
      </c>
      <c r="K1601" s="257">
        <v>2.6656998050751345E-5</v>
      </c>
      <c r="L1601" s="228">
        <v>3.5219436687764109E-2</v>
      </c>
    </row>
    <row r="1602" spans="1:12" s="212" customFormat="1" ht="15.5" x14ac:dyDescent="0.35">
      <c r="A1602" s="198" t="s">
        <v>848</v>
      </c>
      <c r="B1602" s="197">
        <v>2034</v>
      </c>
      <c r="C1602" s="213" t="s">
        <v>4785</v>
      </c>
      <c r="D1602" s="239">
        <v>7.9874022049340708E-3</v>
      </c>
      <c r="E1602" s="226">
        <v>4.2652175559069708E-2</v>
      </c>
      <c r="F1602" s="226">
        <v>1.0103682281568209E-3</v>
      </c>
      <c r="G1602" s="227">
        <v>9.2989609178834704E-4</v>
      </c>
      <c r="H1602" s="226">
        <v>2.0000005732018801E-3</v>
      </c>
      <c r="I1602" s="255">
        <v>3.7076789157922565E-3</v>
      </c>
      <c r="J1602" s="256">
        <v>2.3093817867990476E-5</v>
      </c>
      <c r="K1602" s="257">
        <v>2.4138017834681955E-5</v>
      </c>
      <c r="L1602" s="228">
        <v>3.4829065902345309E-2</v>
      </c>
    </row>
    <row r="1603" spans="1:12" s="212" customFormat="1" ht="15.5" x14ac:dyDescent="0.35">
      <c r="A1603" s="198" t="s">
        <v>848</v>
      </c>
      <c r="B1603" s="197">
        <v>2035</v>
      </c>
      <c r="C1603" s="213" t="s">
        <v>4786</v>
      </c>
      <c r="D1603" s="239">
        <v>7.3906135150644927E-3</v>
      </c>
      <c r="E1603" s="226">
        <v>4.005286611981132E-2</v>
      </c>
      <c r="F1603" s="226">
        <v>9.4713947676389838E-4</v>
      </c>
      <c r="G1603" s="227">
        <v>8.7166054675911217E-4</v>
      </c>
      <c r="H1603" s="226">
        <v>2.0000005732018805E-3</v>
      </c>
      <c r="I1603" s="255">
        <v>3.7064785817931805E-3</v>
      </c>
      <c r="J1603" s="256">
        <v>2.0551857649237288E-5</v>
      </c>
      <c r="K1603" s="257">
        <v>2.1481121454618152E-5</v>
      </c>
      <c r="L1603" s="228">
        <v>3.4481993377566841E-2</v>
      </c>
    </row>
    <row r="1604" spans="1:12" s="212" customFormat="1" ht="15.5" x14ac:dyDescent="0.35">
      <c r="A1604" s="198" t="s">
        <v>848</v>
      </c>
      <c r="B1604" s="197">
        <v>2036</v>
      </c>
      <c r="C1604" s="213" t="s">
        <v>4787</v>
      </c>
      <c r="D1604" s="239">
        <v>6.8607908332695743E-3</v>
      </c>
      <c r="E1604" s="226">
        <v>3.7837157831921063E-2</v>
      </c>
      <c r="F1604" s="226">
        <v>8.9163106103329001E-4</v>
      </c>
      <c r="G1604" s="227">
        <v>8.2053022524282112E-4</v>
      </c>
      <c r="H1604" s="226">
        <v>2.0000005732018801E-3</v>
      </c>
      <c r="I1604" s="255">
        <v>3.6189955242803954E-3</v>
      </c>
      <c r="J1604" s="256">
        <v>1.8180825545792333E-5</v>
      </c>
      <c r="K1604" s="257">
        <v>1.9002881800754569E-5</v>
      </c>
      <c r="L1604" s="228">
        <v>3.4190249195998952E-2</v>
      </c>
    </row>
    <row r="1605" spans="1:12" s="212" customFormat="1" ht="15.5" x14ac:dyDescent="0.35">
      <c r="A1605" s="198" t="s">
        <v>848</v>
      </c>
      <c r="B1605" s="197">
        <v>2037</v>
      </c>
      <c r="C1605" s="213" t="s">
        <v>4788</v>
      </c>
      <c r="D1605" s="239">
        <v>6.4094648904268687E-3</v>
      </c>
      <c r="E1605" s="226">
        <v>3.5944596226560439E-2</v>
      </c>
      <c r="F1605" s="226">
        <v>8.4272711538237557E-4</v>
      </c>
      <c r="G1605" s="227">
        <v>7.7549525011758383E-4</v>
      </c>
      <c r="H1605" s="226">
        <v>2.0000005732018801E-3</v>
      </c>
      <c r="I1605" s="255">
        <v>3.6178526246948626E-3</v>
      </c>
      <c r="J1605" s="256">
        <v>1.6394451111744736E-5</v>
      </c>
      <c r="K1605" s="257">
        <v>1.7135735441718468E-5</v>
      </c>
      <c r="L1605" s="228">
        <v>3.3921363272998807E-2</v>
      </c>
    </row>
    <row r="1606" spans="1:12" s="212" customFormat="1" ht="15.5" x14ac:dyDescent="0.35">
      <c r="A1606" s="198" t="s">
        <v>848</v>
      </c>
      <c r="B1606" s="197">
        <v>2038</v>
      </c>
      <c r="C1606" s="213" t="s">
        <v>4789</v>
      </c>
      <c r="D1606" s="239">
        <v>5.9983603701543667E-3</v>
      </c>
      <c r="E1606" s="226">
        <v>3.4230087307523409E-2</v>
      </c>
      <c r="F1606" s="226">
        <v>7.9816983202519456E-4</v>
      </c>
      <c r="G1606" s="227">
        <v>7.3447185514640822E-4</v>
      </c>
      <c r="H1606" s="226">
        <v>2.0000005732018801E-3</v>
      </c>
      <c r="I1606" s="255">
        <v>3.6167994617420296E-3</v>
      </c>
      <c r="J1606" s="256">
        <v>1.499266388776427E-5</v>
      </c>
      <c r="K1606" s="257">
        <v>1.5670565619808302E-5</v>
      </c>
      <c r="L1606" s="228">
        <v>3.3879916459226826E-2</v>
      </c>
    </row>
    <row r="1607" spans="1:12" s="212" customFormat="1" ht="15.5" x14ac:dyDescent="0.35">
      <c r="A1607" s="198" t="s">
        <v>848</v>
      </c>
      <c r="B1607" s="197">
        <v>2039</v>
      </c>
      <c r="C1607" s="213" t="s">
        <v>4790</v>
      </c>
      <c r="D1607" s="239">
        <v>5.5932462198085E-3</v>
      </c>
      <c r="E1607" s="226">
        <v>3.2604456474938141E-2</v>
      </c>
      <c r="F1607" s="226">
        <v>7.572872471845603E-4</v>
      </c>
      <c r="G1607" s="227">
        <v>6.9683688086956484E-4</v>
      </c>
      <c r="H1607" s="226">
        <v>2.0000005732018805E-3</v>
      </c>
      <c r="I1607" s="255">
        <v>3.6158048586532807E-3</v>
      </c>
      <c r="J1607" s="256">
        <v>1.383908864365364E-5</v>
      </c>
      <c r="K1607" s="257">
        <v>1.4464830822073305E-5</v>
      </c>
      <c r="L1607" s="228">
        <v>3.3676312277001526E-2</v>
      </c>
    </row>
    <row r="1608" spans="1:12" s="212" customFormat="1" ht="15.5" x14ac:dyDescent="0.35">
      <c r="A1608" s="198" t="s">
        <v>848</v>
      </c>
      <c r="B1608" s="197">
        <v>2040</v>
      </c>
      <c r="C1608" s="213" t="s">
        <v>4791</v>
      </c>
      <c r="D1608" s="239">
        <v>5.2372058959670514E-3</v>
      </c>
      <c r="E1608" s="226">
        <v>3.1219769317492568E-2</v>
      </c>
      <c r="F1608" s="226">
        <v>7.2056717869351005E-4</v>
      </c>
      <c r="G1608" s="227">
        <v>6.6303546399827282E-4</v>
      </c>
      <c r="H1608" s="226">
        <v>2.0000005732018801E-3</v>
      </c>
      <c r="I1608" s="255">
        <v>3.6149649429507778E-3</v>
      </c>
      <c r="J1608" s="256">
        <v>1.2846622468743197E-5</v>
      </c>
      <c r="K1608" s="257">
        <v>1.3427489730736824E-5</v>
      </c>
      <c r="L1608" s="228">
        <v>3.3501567679326917E-2</v>
      </c>
    </row>
    <row r="1609" spans="1:12" s="212" customFormat="1" ht="15.5" x14ac:dyDescent="0.35">
      <c r="A1609" s="198" t="s">
        <v>848</v>
      </c>
      <c r="B1609" s="197">
        <v>2041</v>
      </c>
      <c r="C1609" s="213" t="s">
        <v>4792</v>
      </c>
      <c r="D1609" s="239">
        <v>4.9501314989043258E-3</v>
      </c>
      <c r="E1609" s="226">
        <v>3.0026156098205206E-2</v>
      </c>
      <c r="F1609" s="226">
        <v>6.9265330950919345E-4</v>
      </c>
      <c r="G1609" s="227">
        <v>6.3733544910204239E-4</v>
      </c>
      <c r="H1609" s="226">
        <v>2.0000005732018801E-3</v>
      </c>
      <c r="I1609" s="255">
        <v>3.6142311053911557E-3</v>
      </c>
      <c r="J1609" s="256">
        <v>1.1967771470025735E-5</v>
      </c>
      <c r="K1609" s="257">
        <v>1.2508900989700934E-5</v>
      </c>
      <c r="L1609" s="228">
        <v>3.3354309585216027E-2</v>
      </c>
    </row>
    <row r="1610" spans="1:12" s="212" customFormat="1" ht="15.5" x14ac:dyDescent="0.35">
      <c r="A1610" s="198" t="s">
        <v>848</v>
      </c>
      <c r="B1610" s="197">
        <v>2042</v>
      </c>
      <c r="C1610" s="213" t="s">
        <v>4793</v>
      </c>
      <c r="D1610" s="239">
        <v>4.6908596077029048E-3</v>
      </c>
      <c r="E1610" s="226">
        <v>2.8866354237675529E-2</v>
      </c>
      <c r="F1610" s="226">
        <v>6.6798279399165738E-4</v>
      </c>
      <c r="G1610" s="227">
        <v>6.1462400740864838E-4</v>
      </c>
      <c r="H1610" s="226">
        <v>2.0000005732018801E-3</v>
      </c>
      <c r="I1610" s="255">
        <v>3.6135438820407034E-3</v>
      </c>
      <c r="J1610" s="256">
        <v>1.1253929543011493E-5</v>
      </c>
      <c r="K1610" s="257">
        <v>1.1762782298373723E-5</v>
      </c>
      <c r="L1610" s="228">
        <v>3.3226840386641379E-2</v>
      </c>
    </row>
    <row r="1611" spans="1:12" s="212" customFormat="1" ht="15.5" x14ac:dyDescent="0.35">
      <c r="A1611" s="198" t="s">
        <v>848</v>
      </c>
      <c r="B1611" s="197">
        <v>2043</v>
      </c>
      <c r="C1611" s="213" t="s">
        <v>4794</v>
      </c>
      <c r="D1611" s="239">
        <v>4.4905294811516941E-3</v>
      </c>
      <c r="E1611" s="226">
        <v>2.7865205791481152E-2</v>
      </c>
      <c r="F1611" s="226">
        <v>6.4640155607599071E-4</v>
      </c>
      <c r="G1611" s="227">
        <v>5.9475657644697695E-4</v>
      </c>
      <c r="H1611" s="226">
        <v>2.0000005732018797E-3</v>
      </c>
      <c r="I1611" s="255">
        <v>3.6129524994778185E-3</v>
      </c>
      <c r="J1611" s="256">
        <v>1.0630789619202096E-5</v>
      </c>
      <c r="K1611" s="257">
        <v>1.1111466752352135E-5</v>
      </c>
      <c r="L1611" s="228">
        <v>3.3119439178673819E-2</v>
      </c>
    </row>
    <row r="1612" spans="1:12" s="212" customFormat="1" ht="15.5" x14ac:dyDescent="0.35">
      <c r="A1612" s="198" t="s">
        <v>848</v>
      </c>
      <c r="B1612" s="197">
        <v>2044</v>
      </c>
      <c r="C1612" s="213" t="s">
        <v>4795</v>
      </c>
      <c r="D1612" s="239">
        <v>4.3325491642818041E-3</v>
      </c>
      <c r="E1612" s="226">
        <v>2.6901643712245939E-2</v>
      </c>
      <c r="F1612" s="226">
        <v>6.2750352216203633E-4</v>
      </c>
      <c r="G1612" s="227">
        <v>5.7736050490684871E-4</v>
      </c>
      <c r="H1612" s="226">
        <v>2.0000005732018801E-3</v>
      </c>
      <c r="I1612" s="255">
        <v>3.6123900766942231E-3</v>
      </c>
      <c r="J1612" s="256">
        <v>1.0116789145154907E-5</v>
      </c>
      <c r="K1612" s="257">
        <v>1.0574225457711844E-5</v>
      </c>
      <c r="L1612" s="228">
        <v>3.3028103892690716E-2</v>
      </c>
    </row>
    <row r="1613" spans="1:12" s="212" customFormat="1" ht="15.5" x14ac:dyDescent="0.35">
      <c r="A1613" s="198" t="s">
        <v>848</v>
      </c>
      <c r="B1613" s="197">
        <v>2045</v>
      </c>
      <c r="C1613" s="213" t="s">
        <v>4796</v>
      </c>
      <c r="D1613" s="239">
        <v>4.2067001571164751E-3</v>
      </c>
      <c r="E1613" s="226">
        <v>2.5930333182450683E-2</v>
      </c>
      <c r="F1613" s="226">
        <v>6.1079563191240448E-4</v>
      </c>
      <c r="G1613" s="227">
        <v>5.6198237956370939E-4</v>
      </c>
      <c r="H1613" s="226">
        <v>2.0000005732018801E-3</v>
      </c>
      <c r="I1613" s="255">
        <v>3.6118158199282707E-3</v>
      </c>
      <c r="J1613" s="256">
        <v>9.7103254531150194E-6</v>
      </c>
      <c r="K1613" s="257">
        <v>1.0149383281173834E-5</v>
      </c>
      <c r="L1613" s="228">
        <v>3.2947075410318286E-2</v>
      </c>
    </row>
    <row r="1614" spans="1:12" s="212" customFormat="1" ht="15.5" x14ac:dyDescent="0.35">
      <c r="A1614" s="198" t="s">
        <v>848</v>
      </c>
      <c r="B1614" s="197">
        <v>2046</v>
      </c>
      <c r="C1614" s="213" t="s">
        <v>4797</v>
      </c>
      <c r="D1614" s="239">
        <v>4.0856422881175398E-3</v>
      </c>
      <c r="E1614" s="226">
        <v>2.4980255447558237E-2</v>
      </c>
      <c r="F1614" s="226">
        <v>5.9635003025453612E-4</v>
      </c>
      <c r="G1614" s="227">
        <v>5.486862667710066E-4</v>
      </c>
      <c r="H1614" s="226">
        <v>2.0000005732018801E-3</v>
      </c>
      <c r="I1614" s="255">
        <v>3.6112809932337311E-3</v>
      </c>
      <c r="J1614" s="256">
        <v>9.3531830125246517E-6</v>
      </c>
      <c r="K1614" s="257">
        <v>9.7760924442160895E-6</v>
      </c>
      <c r="L1614" s="228">
        <v>3.2876780551318055E-2</v>
      </c>
    </row>
    <row r="1615" spans="1:12" s="212" customFormat="1" ht="15.5" x14ac:dyDescent="0.35">
      <c r="A1615" s="198" t="s">
        <v>848</v>
      </c>
      <c r="B1615" s="197">
        <v>2047</v>
      </c>
      <c r="C1615" s="213" t="s">
        <v>4798</v>
      </c>
      <c r="D1615" s="239">
        <v>3.9852413995283831E-3</v>
      </c>
      <c r="E1615" s="226">
        <v>2.4189474646246881E-2</v>
      </c>
      <c r="F1615" s="226">
        <v>5.8414247342369527E-4</v>
      </c>
      <c r="G1615" s="227">
        <v>5.3744779525127383E-4</v>
      </c>
      <c r="H1615" s="226">
        <v>2.0000005732018801E-3</v>
      </c>
      <c r="I1615" s="255">
        <v>3.6109101833897567E-3</v>
      </c>
      <c r="J1615" s="256">
        <v>8.9919768805122995E-6</v>
      </c>
      <c r="K1615" s="257">
        <v>9.3985541737426147E-6</v>
      </c>
      <c r="L1615" s="228">
        <v>3.2817060278246345E-2</v>
      </c>
    </row>
    <row r="1616" spans="1:12" s="212" customFormat="1" ht="15.5" x14ac:dyDescent="0.35">
      <c r="A1616" s="198" t="s">
        <v>848</v>
      </c>
      <c r="B1616" s="197">
        <v>2048</v>
      </c>
      <c r="C1616" s="213" t="s">
        <v>4799</v>
      </c>
      <c r="D1616" s="239">
        <v>3.9048003780752885E-3</v>
      </c>
      <c r="E1616" s="226">
        <v>2.3558360839666444E-2</v>
      </c>
      <c r="F1616" s="226">
        <v>5.7378509786828547E-4</v>
      </c>
      <c r="G1616" s="227">
        <v>5.279102559587797E-4</v>
      </c>
      <c r="H1616" s="226">
        <v>2.0000005732018805E-3</v>
      </c>
      <c r="I1616" s="255">
        <v>3.6106747424529506E-3</v>
      </c>
      <c r="J1616" s="256">
        <v>8.624581260252657E-6</v>
      </c>
      <c r="K1616" s="257">
        <v>9.0145465538287375E-6</v>
      </c>
      <c r="L1616" s="228">
        <v>3.2764935657294186E-2</v>
      </c>
    </row>
    <row r="1617" spans="1:12" s="212" customFormat="1" ht="15.5" x14ac:dyDescent="0.35">
      <c r="A1617" s="198" t="s">
        <v>848</v>
      </c>
      <c r="B1617" s="197">
        <v>2049</v>
      </c>
      <c r="C1617" s="213" t="s">
        <v>4800</v>
      </c>
      <c r="D1617" s="239">
        <v>3.8889856166221251E-3</v>
      </c>
      <c r="E1617" s="226">
        <v>2.3498423239663856E-2</v>
      </c>
      <c r="F1617" s="226">
        <v>5.676811127278158E-4</v>
      </c>
      <c r="G1617" s="227">
        <v>5.2228939442352227E-4</v>
      </c>
      <c r="H1617" s="226">
        <v>2.0000005732018801E-3</v>
      </c>
      <c r="I1617" s="255">
        <v>3.6104873513571685E-3</v>
      </c>
      <c r="J1617" s="256">
        <v>8.4071303114860376E-6</v>
      </c>
      <c r="K1617" s="257">
        <v>8.7872634380832128E-6</v>
      </c>
      <c r="L1617" s="228">
        <v>3.2719862817783149E-2</v>
      </c>
    </row>
    <row r="1618" spans="1:12" s="212" customFormat="1" ht="15.5" x14ac:dyDescent="0.35">
      <c r="A1618" s="198" t="s">
        <v>848</v>
      </c>
      <c r="B1618" s="197">
        <v>2050</v>
      </c>
      <c r="C1618" s="213" t="s">
        <v>4801</v>
      </c>
      <c r="D1618" s="239">
        <v>3.8768012542543299E-3</v>
      </c>
      <c r="E1618" s="226">
        <v>2.3451087589171013E-2</v>
      </c>
      <c r="F1618" s="226">
        <v>5.6256322099455824E-4</v>
      </c>
      <c r="G1618" s="227">
        <v>5.1757194202293262E-4</v>
      </c>
      <c r="H1618" s="226">
        <v>2.0000005732018801E-3</v>
      </c>
      <c r="I1618" s="255">
        <v>3.6104211635363645E-3</v>
      </c>
      <c r="J1618" s="256">
        <v>8.1058212261498114E-6</v>
      </c>
      <c r="K1618" s="257">
        <v>8.4723304929473363E-6</v>
      </c>
      <c r="L1618" s="228">
        <v>3.268266001193517E-2</v>
      </c>
    </row>
    <row r="1619" spans="1:12" s="212" customFormat="1" ht="15.5" x14ac:dyDescent="0.35">
      <c r="A1619" s="198" t="s">
        <v>849</v>
      </c>
      <c r="B1619" s="197">
        <v>2015</v>
      </c>
      <c r="C1619" s="213" t="s">
        <v>947</v>
      </c>
      <c r="D1619" s="239">
        <v>6.2839756601511282E-2</v>
      </c>
      <c r="E1619" s="226">
        <v>0.28412539538953663</v>
      </c>
      <c r="F1619" s="226">
        <v>2.1926962593884782E-3</v>
      </c>
      <c r="G1619" s="227">
        <v>2.0297960765192948E-3</v>
      </c>
      <c r="H1619" s="226">
        <v>2.0000005732018797E-3</v>
      </c>
      <c r="I1619" s="255">
        <v>2.6139644300179929E-3</v>
      </c>
      <c r="J1619" s="256">
        <v>2.1968956341802831E-4</v>
      </c>
      <c r="K1619" s="257">
        <v>2.2962295061779232E-4</v>
      </c>
      <c r="L1619" s="228">
        <v>4.4832860285034498E-2</v>
      </c>
    </row>
    <row r="1620" spans="1:12" s="212" customFormat="1" ht="15.5" x14ac:dyDescent="0.35">
      <c r="A1620" s="198" t="s">
        <v>849</v>
      </c>
      <c r="B1620" s="197">
        <v>2016</v>
      </c>
      <c r="C1620" s="213" t="s">
        <v>948</v>
      </c>
      <c r="D1620" s="239">
        <v>5.4919923799935537E-2</v>
      </c>
      <c r="E1620" s="226">
        <v>0.256354316861721</v>
      </c>
      <c r="F1620" s="226">
        <v>2.0845876417462579E-3</v>
      </c>
      <c r="G1620" s="227">
        <v>1.9280918904396513E-3</v>
      </c>
      <c r="H1620" s="226">
        <v>2.0000005732018801E-3</v>
      </c>
      <c r="I1620" s="255">
        <v>2.5964854076904404E-3</v>
      </c>
      <c r="J1620" s="256">
        <v>1.9358327862703217E-4</v>
      </c>
      <c r="K1620" s="257">
        <v>2.0233625547346994E-4</v>
      </c>
      <c r="L1620" s="228">
        <v>4.4047589009248191E-2</v>
      </c>
    </row>
    <row r="1621" spans="1:12" s="212" customFormat="1" ht="15.5" x14ac:dyDescent="0.35">
      <c r="A1621" s="198" t="s">
        <v>849</v>
      </c>
      <c r="B1621" s="197">
        <v>2017</v>
      </c>
      <c r="C1621" s="213" t="s">
        <v>4802</v>
      </c>
      <c r="D1621" s="239">
        <v>4.3744200444722048E-2</v>
      </c>
      <c r="E1621" s="226">
        <v>0.21371673102679006</v>
      </c>
      <c r="F1621" s="226">
        <v>1.9248850394682324E-3</v>
      </c>
      <c r="G1621" s="227">
        <v>1.7787196460500368E-3</v>
      </c>
      <c r="H1621" s="226">
        <v>2.0000005732018801E-3</v>
      </c>
      <c r="I1621" s="255">
        <v>2.5963148672517524E-3</v>
      </c>
      <c r="J1621" s="256">
        <v>1.6462213999869968E-4</v>
      </c>
      <c r="K1621" s="257">
        <v>1.7206562266951374E-4</v>
      </c>
      <c r="L1621" s="228">
        <v>4.3723254991332838E-2</v>
      </c>
    </row>
    <row r="1622" spans="1:12" s="212" customFormat="1" ht="15.5" x14ac:dyDescent="0.35">
      <c r="A1622" s="198" t="s">
        <v>849</v>
      </c>
      <c r="B1622" s="197">
        <v>2018</v>
      </c>
      <c r="C1622" s="213" t="s">
        <v>4803</v>
      </c>
      <c r="D1622" s="239">
        <v>3.620237772357273E-2</v>
      </c>
      <c r="E1622" s="226">
        <v>0.18570092852365985</v>
      </c>
      <c r="F1622" s="226">
        <v>1.848944630802791E-3</v>
      </c>
      <c r="G1622" s="227">
        <v>1.7070953162371557E-3</v>
      </c>
      <c r="H1622" s="226">
        <v>2.0000005732018805E-3</v>
      </c>
      <c r="I1622" s="255">
        <v>2.5967317103986237E-3</v>
      </c>
      <c r="J1622" s="256">
        <v>1.4594102649901771E-4</v>
      </c>
      <c r="K1622" s="257">
        <v>1.5253983211358936E-4</v>
      </c>
      <c r="L1622" s="228">
        <v>4.3075638271696345E-2</v>
      </c>
    </row>
    <row r="1623" spans="1:12" s="212" customFormat="1" ht="15.5" x14ac:dyDescent="0.35">
      <c r="A1623" s="198" t="s">
        <v>849</v>
      </c>
      <c r="B1623" s="197">
        <v>2019</v>
      </c>
      <c r="C1623" s="213" t="s">
        <v>4804</v>
      </c>
      <c r="D1623" s="239">
        <v>2.937078567956012E-2</v>
      </c>
      <c r="E1623" s="226">
        <v>0.15408299078007853</v>
      </c>
      <c r="F1623" s="226">
        <v>1.7776121246068993E-3</v>
      </c>
      <c r="G1623" s="227">
        <v>1.6397942896271426E-3</v>
      </c>
      <c r="H1623" s="226">
        <v>2.0000005732018797E-3</v>
      </c>
      <c r="I1623" s="255">
        <v>2.5982321712494519E-3</v>
      </c>
      <c r="J1623" s="256">
        <v>1.2064871914798933E-4</v>
      </c>
      <c r="K1623" s="257">
        <v>1.2610391885709929E-4</v>
      </c>
      <c r="L1623" s="228">
        <v>4.2399787943318397E-2</v>
      </c>
    </row>
    <row r="1624" spans="1:12" s="212" customFormat="1" ht="15.5" x14ac:dyDescent="0.35">
      <c r="A1624" s="198" t="s">
        <v>849</v>
      </c>
      <c r="B1624" s="197">
        <v>2020</v>
      </c>
      <c r="C1624" s="213" t="s">
        <v>4805</v>
      </c>
      <c r="D1624" s="239">
        <v>2.542479934831357E-2</v>
      </c>
      <c r="E1624" s="226">
        <v>0.13657646681126043</v>
      </c>
      <c r="F1624" s="226">
        <v>1.7250197134834444E-3</v>
      </c>
      <c r="G1624" s="227">
        <v>1.5908395869369128E-3</v>
      </c>
      <c r="H1624" s="226">
        <v>2.0000005732018797E-3</v>
      </c>
      <c r="I1624" s="255">
        <v>2.6026301647303421E-3</v>
      </c>
      <c r="J1624" s="256">
        <v>1.1153216860962601E-4</v>
      </c>
      <c r="K1624" s="257">
        <v>1.1657515835748491E-4</v>
      </c>
      <c r="L1624" s="228">
        <v>4.2083376265119599E-2</v>
      </c>
    </row>
    <row r="1625" spans="1:12" s="212" customFormat="1" ht="15.5" x14ac:dyDescent="0.35">
      <c r="A1625" s="198" t="s">
        <v>849</v>
      </c>
      <c r="B1625" s="197">
        <v>2021</v>
      </c>
      <c r="C1625" s="213" t="s">
        <v>4806</v>
      </c>
      <c r="D1625" s="239">
        <v>2.2128023163958385E-2</v>
      </c>
      <c r="E1625" s="226">
        <v>0.12021402228459993</v>
      </c>
      <c r="F1625" s="226">
        <v>1.6478365841025263E-3</v>
      </c>
      <c r="G1625" s="227">
        <v>1.5193783719307404E-3</v>
      </c>
      <c r="H1625" s="226">
        <v>2.0000005732018801E-3</v>
      </c>
      <c r="I1625" s="255">
        <v>2.594132588930612E-3</v>
      </c>
      <c r="J1625" s="256">
        <v>1.0216569192932018E-4</v>
      </c>
      <c r="K1625" s="257">
        <v>1.067851711648204E-4</v>
      </c>
      <c r="L1625" s="228">
        <v>4.1177161167646303E-2</v>
      </c>
    </row>
    <row r="1626" spans="1:12" s="212" customFormat="1" ht="15.5" x14ac:dyDescent="0.35">
      <c r="A1626" s="198" t="s">
        <v>849</v>
      </c>
      <c r="B1626" s="197">
        <v>2022</v>
      </c>
      <c r="C1626" s="213" t="s">
        <v>4807</v>
      </c>
      <c r="D1626" s="239">
        <v>1.8783784560417249E-2</v>
      </c>
      <c r="E1626" s="226">
        <v>0.1046434851505412</v>
      </c>
      <c r="F1626" s="226">
        <v>1.5654286459774508E-3</v>
      </c>
      <c r="G1626" s="227">
        <v>1.4429943096924208E-3</v>
      </c>
      <c r="H1626" s="226">
        <v>2.0000005732018797E-3</v>
      </c>
      <c r="I1626" s="255">
        <v>2.5925626102922517E-3</v>
      </c>
      <c r="J1626" s="256">
        <v>9.1541342227466658E-5</v>
      </c>
      <c r="K1626" s="257">
        <v>9.5680435514302646E-5</v>
      </c>
      <c r="L1626" s="228">
        <v>4.0369110893139416E-2</v>
      </c>
    </row>
    <row r="1627" spans="1:12" s="212" customFormat="1" ht="15.5" x14ac:dyDescent="0.35">
      <c r="A1627" s="198" t="s">
        <v>849</v>
      </c>
      <c r="B1627" s="197">
        <v>2023</v>
      </c>
      <c r="C1627" s="213" t="s">
        <v>4808</v>
      </c>
      <c r="D1627" s="239">
        <v>1.640893135736839E-2</v>
      </c>
      <c r="E1627" s="226">
        <v>9.1685046587884761E-2</v>
      </c>
      <c r="F1627" s="226">
        <v>1.4919171231157994E-3</v>
      </c>
      <c r="G1627" s="227">
        <v>1.3750119418657828E-3</v>
      </c>
      <c r="H1627" s="226">
        <v>2.0000005732018801E-3</v>
      </c>
      <c r="I1627" s="255">
        <v>2.5906702432400906E-3</v>
      </c>
      <c r="J1627" s="256">
        <v>8.2332634415133556E-5</v>
      </c>
      <c r="K1627" s="257">
        <v>8.6055350797731577E-5</v>
      </c>
      <c r="L1627" s="228">
        <v>3.9520511346476044E-2</v>
      </c>
    </row>
    <row r="1628" spans="1:12" s="212" customFormat="1" ht="15.5" x14ac:dyDescent="0.35">
      <c r="A1628" s="198" t="s">
        <v>849</v>
      </c>
      <c r="B1628" s="197">
        <v>2024</v>
      </c>
      <c r="C1628" s="213" t="s">
        <v>4809</v>
      </c>
      <c r="D1628" s="239">
        <v>1.4380221219971481E-2</v>
      </c>
      <c r="E1628" s="226">
        <v>8.0683491201959029E-2</v>
      </c>
      <c r="F1628" s="226">
        <v>1.425183753399702E-3</v>
      </c>
      <c r="G1628" s="227">
        <v>1.3132632938441984E-3</v>
      </c>
      <c r="H1628" s="226">
        <v>2.0000005732018801E-3</v>
      </c>
      <c r="I1628" s="255">
        <v>2.5889567074926685E-3</v>
      </c>
      <c r="J1628" s="256">
        <v>7.3084564769949605E-5</v>
      </c>
      <c r="K1628" s="257">
        <v>7.6389124480893668E-5</v>
      </c>
      <c r="L1628" s="228">
        <v>3.864432784582409E-2</v>
      </c>
    </row>
    <row r="1629" spans="1:12" s="212" customFormat="1" ht="15.5" x14ac:dyDescent="0.35">
      <c r="A1629" s="198" t="s">
        <v>849</v>
      </c>
      <c r="B1629" s="197">
        <v>2025</v>
      </c>
      <c r="C1629" s="213" t="s">
        <v>4810</v>
      </c>
      <c r="D1629" s="239">
        <v>1.271492708932853E-2</v>
      </c>
      <c r="E1629" s="226">
        <v>7.1577483334982706E-2</v>
      </c>
      <c r="F1629" s="226">
        <v>1.3686920335700197E-3</v>
      </c>
      <c r="G1629" s="227">
        <v>1.2610049300475397E-3</v>
      </c>
      <c r="H1629" s="226">
        <v>2.0000005732018801E-3</v>
      </c>
      <c r="I1629" s="255">
        <v>2.5873892438142182E-3</v>
      </c>
      <c r="J1629" s="256">
        <v>6.5234903294976082E-5</v>
      </c>
      <c r="K1629" s="257">
        <v>6.8184536146378849E-5</v>
      </c>
      <c r="L1629" s="228">
        <v>3.7747636910129251E-2</v>
      </c>
    </row>
    <row r="1630" spans="1:12" s="212" customFormat="1" ht="15.5" x14ac:dyDescent="0.35">
      <c r="A1630" s="198" t="s">
        <v>849</v>
      </c>
      <c r="B1630" s="197">
        <v>2026</v>
      </c>
      <c r="C1630" s="213" t="s">
        <v>4811</v>
      </c>
      <c r="D1630" s="239">
        <v>1.1322697906548876E-2</v>
      </c>
      <c r="E1630" s="226">
        <v>6.4000579884553987E-2</v>
      </c>
      <c r="F1630" s="226">
        <v>1.3068500233884782E-3</v>
      </c>
      <c r="G1630" s="227">
        <v>1.2037489760626206E-3</v>
      </c>
      <c r="H1630" s="226">
        <v>2.0000005732018801E-3</v>
      </c>
      <c r="I1630" s="255">
        <v>2.5752676605292771E-3</v>
      </c>
      <c r="J1630" s="256">
        <v>5.5133443122066176E-5</v>
      </c>
      <c r="K1630" s="257">
        <v>5.7626332769015502E-5</v>
      </c>
      <c r="L1630" s="228">
        <v>3.6876791635902781E-2</v>
      </c>
    </row>
    <row r="1631" spans="1:12" s="212" customFormat="1" ht="15.5" x14ac:dyDescent="0.35">
      <c r="A1631" s="198" t="s">
        <v>849</v>
      </c>
      <c r="B1631" s="197">
        <v>2027</v>
      </c>
      <c r="C1631" s="213" t="s">
        <v>4812</v>
      </c>
      <c r="D1631" s="239">
        <v>1.0147276415526311E-2</v>
      </c>
      <c r="E1631" s="226">
        <v>5.7566452483825803E-2</v>
      </c>
      <c r="F1631" s="226">
        <v>1.2373925587442017E-3</v>
      </c>
      <c r="G1631" s="227">
        <v>1.1394702862404036E-3</v>
      </c>
      <c r="H1631" s="226">
        <v>2.0000005732018801E-3</v>
      </c>
      <c r="I1631" s="255">
        <v>2.5735724323344197E-3</v>
      </c>
      <c r="J1631" s="256">
        <v>4.449117711887802E-5</v>
      </c>
      <c r="K1631" s="257">
        <v>4.6502870721519188E-5</v>
      </c>
      <c r="L1631" s="228">
        <v>3.6055633636787238E-2</v>
      </c>
    </row>
    <row r="1632" spans="1:12" s="212" customFormat="1" ht="15.5" x14ac:dyDescent="0.35">
      <c r="A1632" s="198" t="s">
        <v>849</v>
      </c>
      <c r="B1632" s="197">
        <v>2028</v>
      </c>
      <c r="C1632" s="213" t="s">
        <v>4813</v>
      </c>
      <c r="D1632" s="239">
        <v>9.1678757353218093E-3</v>
      </c>
      <c r="E1632" s="226">
        <v>5.2200264812559793E-2</v>
      </c>
      <c r="F1632" s="226">
        <v>1.1638355309715339E-3</v>
      </c>
      <c r="G1632" s="227">
        <v>1.0715406525927515E-3</v>
      </c>
      <c r="H1632" s="226">
        <v>2.0000005732018801E-3</v>
      </c>
      <c r="I1632" s="255">
        <v>2.5720646793547628E-3</v>
      </c>
      <c r="J1632" s="256">
        <v>3.6877215731180769E-5</v>
      </c>
      <c r="K1632" s="257">
        <v>3.8544639786323572E-5</v>
      </c>
      <c r="L1632" s="228">
        <v>3.53010164955413E-2</v>
      </c>
    </row>
    <row r="1633" spans="1:12" s="212" customFormat="1" ht="15.5" x14ac:dyDescent="0.35">
      <c r="A1633" s="198" t="s">
        <v>849</v>
      </c>
      <c r="B1633" s="197">
        <v>2029</v>
      </c>
      <c r="C1633" s="213" t="s">
        <v>4814</v>
      </c>
      <c r="D1633" s="239">
        <v>8.3331637624426361E-3</v>
      </c>
      <c r="E1633" s="226">
        <v>4.7682451602217277E-2</v>
      </c>
      <c r="F1633" s="226">
        <v>1.092605010071896E-3</v>
      </c>
      <c r="G1633" s="227">
        <v>1.0058070521610069E-3</v>
      </c>
      <c r="H1633" s="226">
        <v>2.0000005732018801E-3</v>
      </c>
      <c r="I1633" s="255">
        <v>2.5706694088788494E-3</v>
      </c>
      <c r="J1633" s="256">
        <v>3.0723516921797214E-5</v>
      </c>
      <c r="K1633" s="257">
        <v>3.2112698023413701E-5</v>
      </c>
      <c r="L1633" s="228">
        <v>3.4611732745802135E-2</v>
      </c>
    </row>
    <row r="1634" spans="1:12" s="212" customFormat="1" ht="15.5" x14ac:dyDescent="0.35">
      <c r="A1634" s="198" t="s">
        <v>849</v>
      </c>
      <c r="B1634" s="197">
        <v>2030</v>
      </c>
      <c r="C1634" s="213" t="s">
        <v>4815</v>
      </c>
      <c r="D1634" s="239">
        <v>7.6401878386053827E-3</v>
      </c>
      <c r="E1634" s="226">
        <v>4.3909979851020922E-2</v>
      </c>
      <c r="F1634" s="226">
        <v>1.0249185574269331E-3</v>
      </c>
      <c r="G1634" s="227">
        <v>9.4336343078045982E-4</v>
      </c>
      <c r="H1634" s="226">
        <v>2.0000005732018801E-3</v>
      </c>
      <c r="I1634" s="255">
        <v>2.56943013005635E-3</v>
      </c>
      <c r="J1634" s="256">
        <v>2.5374150820020594E-5</v>
      </c>
      <c r="K1634" s="257">
        <v>2.6521457323975261E-5</v>
      </c>
      <c r="L1634" s="228">
        <v>3.3987760636609958E-2</v>
      </c>
    </row>
    <row r="1635" spans="1:12" s="212" customFormat="1" ht="15.5" x14ac:dyDescent="0.35">
      <c r="A1635" s="198" t="s">
        <v>849</v>
      </c>
      <c r="B1635" s="197">
        <v>2031</v>
      </c>
      <c r="C1635" s="213" t="s">
        <v>4816</v>
      </c>
      <c r="D1635" s="239">
        <v>7.0469549675626943E-3</v>
      </c>
      <c r="E1635" s="226">
        <v>4.0682057039238523E-2</v>
      </c>
      <c r="F1635" s="226">
        <v>9.6344574380282809E-4</v>
      </c>
      <c r="G1635" s="227">
        <v>8.8671646756612174E-4</v>
      </c>
      <c r="H1635" s="226">
        <v>2.0000005732018805E-3</v>
      </c>
      <c r="I1635" s="255">
        <v>2.5497906314749848E-3</v>
      </c>
      <c r="J1635" s="256">
        <v>2.2166476147940552E-5</v>
      </c>
      <c r="K1635" s="257">
        <v>2.3168745837069323E-5</v>
      </c>
      <c r="L1635" s="228">
        <v>3.3426900159542958E-2</v>
      </c>
    </row>
    <row r="1636" spans="1:12" s="212" customFormat="1" ht="15.5" x14ac:dyDescent="0.35">
      <c r="A1636" s="198" t="s">
        <v>849</v>
      </c>
      <c r="B1636" s="197">
        <v>2032</v>
      </c>
      <c r="C1636" s="213" t="s">
        <v>4817</v>
      </c>
      <c r="D1636" s="239">
        <v>6.5219968163688696E-3</v>
      </c>
      <c r="E1636" s="226">
        <v>3.7891211568008162E-2</v>
      </c>
      <c r="F1636" s="226">
        <v>9.0410242102402093E-4</v>
      </c>
      <c r="G1636" s="227">
        <v>8.3205457438368291E-4</v>
      </c>
      <c r="H1636" s="226">
        <v>2.0000005732018801E-3</v>
      </c>
      <c r="I1636" s="255">
        <v>2.5486037385023673E-3</v>
      </c>
      <c r="J1636" s="256">
        <v>1.9653868436325578E-5</v>
      </c>
      <c r="K1636" s="257">
        <v>2.054252915426667E-5</v>
      </c>
      <c r="L1636" s="228">
        <v>3.2922255551430926E-2</v>
      </c>
    </row>
    <row r="1637" spans="1:12" s="212" customFormat="1" ht="15.5" x14ac:dyDescent="0.35">
      <c r="A1637" s="198" t="s">
        <v>849</v>
      </c>
      <c r="B1637" s="197">
        <v>2033</v>
      </c>
      <c r="C1637" s="213" t="s">
        <v>4818</v>
      </c>
      <c r="D1637" s="239">
        <v>6.0676359012645613E-3</v>
      </c>
      <c r="E1637" s="226">
        <v>3.5503206760941958E-2</v>
      </c>
      <c r="F1637" s="226">
        <v>8.4899854320200075E-4</v>
      </c>
      <c r="G1637" s="227">
        <v>7.813146800913814E-4</v>
      </c>
      <c r="H1637" s="226">
        <v>2.0000005732018801E-3</v>
      </c>
      <c r="I1637" s="255">
        <v>2.5474344028509786E-3</v>
      </c>
      <c r="J1637" s="256">
        <v>1.7756865805040418E-5</v>
      </c>
      <c r="K1637" s="257">
        <v>1.8559752481819341E-5</v>
      </c>
      <c r="L1637" s="228">
        <v>3.2470695581018144E-2</v>
      </c>
    </row>
    <row r="1638" spans="1:12" s="212" customFormat="1" ht="15.5" x14ac:dyDescent="0.35">
      <c r="A1638" s="198" t="s">
        <v>849</v>
      </c>
      <c r="B1638" s="197">
        <v>2034</v>
      </c>
      <c r="C1638" s="213" t="s">
        <v>4819</v>
      </c>
      <c r="D1638" s="239">
        <v>5.6411202909488062E-3</v>
      </c>
      <c r="E1638" s="226">
        <v>3.3353863251267886E-2</v>
      </c>
      <c r="F1638" s="226">
        <v>7.9655062109996479E-4</v>
      </c>
      <c r="G1638" s="227">
        <v>7.3301985273879918E-4</v>
      </c>
      <c r="H1638" s="226">
        <v>2.0000005732018801E-3</v>
      </c>
      <c r="I1638" s="255">
        <v>2.5462897491558799E-3</v>
      </c>
      <c r="J1638" s="256">
        <v>1.5937211009605571E-5</v>
      </c>
      <c r="K1638" s="257">
        <v>1.6657820971133465E-5</v>
      </c>
      <c r="L1638" s="228">
        <v>3.2068051497198477E-2</v>
      </c>
    </row>
    <row r="1639" spans="1:12" s="212" customFormat="1" ht="15.5" x14ac:dyDescent="0.35">
      <c r="A1639" s="198" t="s">
        <v>849</v>
      </c>
      <c r="B1639" s="197">
        <v>2035</v>
      </c>
      <c r="C1639" s="213" t="s">
        <v>4820</v>
      </c>
      <c r="D1639" s="239">
        <v>5.2753195966637025E-3</v>
      </c>
      <c r="E1639" s="226">
        <v>3.1564726817293498E-2</v>
      </c>
      <c r="F1639" s="226">
        <v>7.4868078248817478E-4</v>
      </c>
      <c r="G1639" s="227">
        <v>6.8894681131560504E-4</v>
      </c>
      <c r="H1639" s="226">
        <v>2.0000005732018797E-3</v>
      </c>
      <c r="I1639" s="255">
        <v>2.5452263675566173E-3</v>
      </c>
      <c r="J1639" s="256">
        <v>1.4435991409733802E-5</v>
      </c>
      <c r="K1639" s="257">
        <v>1.5088722882518813E-5</v>
      </c>
      <c r="L1639" s="228">
        <v>3.1711761991518782E-2</v>
      </c>
    </row>
    <row r="1640" spans="1:12" s="212" customFormat="1" ht="15.5" x14ac:dyDescent="0.35">
      <c r="A1640" s="198" t="s">
        <v>849</v>
      </c>
      <c r="B1640" s="197">
        <v>2036</v>
      </c>
      <c r="C1640" s="213" t="s">
        <v>4821</v>
      </c>
      <c r="D1640" s="239">
        <v>4.9658292288754661E-3</v>
      </c>
      <c r="E1640" s="226">
        <v>3.0049517691243477E-2</v>
      </c>
      <c r="F1640" s="226">
        <v>7.0846746901529606E-4</v>
      </c>
      <c r="G1640" s="227">
        <v>6.5191561375066204E-4</v>
      </c>
      <c r="H1640" s="226">
        <v>2.0000005732018801E-3</v>
      </c>
      <c r="I1640" s="255">
        <v>2.5299435533548517E-3</v>
      </c>
      <c r="J1640" s="256">
        <v>1.2984860941710516E-5</v>
      </c>
      <c r="K1640" s="257">
        <v>1.3571978734027618E-5</v>
      </c>
      <c r="L1640" s="228">
        <v>3.1659530345984566E-2</v>
      </c>
    </row>
    <row r="1641" spans="1:12" s="212" customFormat="1" ht="15.5" x14ac:dyDescent="0.35">
      <c r="A1641" s="198" t="s">
        <v>849</v>
      </c>
      <c r="B1641" s="197">
        <v>2037</v>
      </c>
      <c r="C1641" s="213" t="s">
        <v>4822</v>
      </c>
      <c r="D1641" s="239">
        <v>4.6855879522424244E-3</v>
      </c>
      <c r="E1641" s="226">
        <v>2.8724293855963662E-2</v>
      </c>
      <c r="F1641" s="226">
        <v>6.7090198143071004E-4</v>
      </c>
      <c r="G1641" s="227">
        <v>6.1732107524078289E-4</v>
      </c>
      <c r="H1641" s="226">
        <v>2.0000005732018801E-3</v>
      </c>
      <c r="I1641" s="255">
        <v>2.5290422171466084E-3</v>
      </c>
      <c r="J1641" s="256">
        <v>1.1587137453494061E-5</v>
      </c>
      <c r="K1641" s="257">
        <v>1.2111056391980129E-5</v>
      </c>
      <c r="L1641" s="228">
        <v>3.1385082018673523E-2</v>
      </c>
    </row>
    <row r="1642" spans="1:12" s="212" customFormat="1" ht="15.5" x14ac:dyDescent="0.35">
      <c r="A1642" s="198" t="s">
        <v>849</v>
      </c>
      <c r="B1642" s="197">
        <v>2038</v>
      </c>
      <c r="C1642" s="213" t="s">
        <v>4823</v>
      </c>
      <c r="D1642" s="239">
        <v>4.4431319426586216E-3</v>
      </c>
      <c r="E1642" s="226">
        <v>2.7579845829153241E-2</v>
      </c>
      <c r="F1642" s="226">
        <v>6.3787876681528936E-4</v>
      </c>
      <c r="G1642" s="227">
        <v>5.8692109657842767E-4</v>
      </c>
      <c r="H1642" s="226">
        <v>2.0000005732018801E-3</v>
      </c>
      <c r="I1642" s="255">
        <v>2.5282354176236377E-3</v>
      </c>
      <c r="J1642" s="256">
        <v>1.0654151784652394E-5</v>
      </c>
      <c r="K1642" s="257">
        <v>1.1135885251256041E-5</v>
      </c>
      <c r="L1642" s="228">
        <v>3.1148960432262694E-2</v>
      </c>
    </row>
    <row r="1643" spans="1:12" s="212" customFormat="1" ht="15.5" x14ac:dyDescent="0.35">
      <c r="A1643" s="198" t="s">
        <v>849</v>
      </c>
      <c r="B1643" s="197">
        <v>2039</v>
      </c>
      <c r="C1643" s="213" t="s">
        <v>4824</v>
      </c>
      <c r="D1643" s="239">
        <v>4.1986671416896311E-3</v>
      </c>
      <c r="E1643" s="226">
        <v>2.6458575133309712E-2</v>
      </c>
      <c r="F1643" s="226">
        <v>6.0801053524527516E-4</v>
      </c>
      <c r="G1643" s="227">
        <v>5.5942014161216008E-4</v>
      </c>
      <c r="H1643" s="226">
        <v>2.0000005732018801E-3</v>
      </c>
      <c r="I1643" s="255">
        <v>2.5274823904435201E-3</v>
      </c>
      <c r="J1643" s="256">
        <v>9.6732549900963515E-6</v>
      </c>
      <c r="K1643" s="257">
        <v>1.0110636656315225E-5</v>
      </c>
      <c r="L1643" s="228">
        <v>3.0945231285818137E-2</v>
      </c>
    </row>
    <row r="1644" spans="1:12" s="212" customFormat="1" ht="15.5" x14ac:dyDescent="0.35">
      <c r="A1644" s="198" t="s">
        <v>849</v>
      </c>
      <c r="B1644" s="197">
        <v>2040</v>
      </c>
      <c r="C1644" s="213" t="s">
        <v>4825</v>
      </c>
      <c r="D1644" s="239">
        <v>3.9924209527331857E-3</v>
      </c>
      <c r="E1644" s="226">
        <v>2.5537890597513383E-2</v>
      </c>
      <c r="F1644" s="226">
        <v>5.8216817162360008E-4</v>
      </c>
      <c r="G1644" s="227">
        <v>5.3563191840315762E-4</v>
      </c>
      <c r="H1644" s="226">
        <v>2.0000005732018801E-3</v>
      </c>
      <c r="I1644" s="255">
        <v>2.526860097456268E-3</v>
      </c>
      <c r="J1644" s="256">
        <v>8.9771109373361782E-6</v>
      </c>
      <c r="K1644" s="257">
        <v>9.3830160585827165E-6</v>
      </c>
      <c r="L1644" s="228">
        <v>3.0771431959338923E-2</v>
      </c>
    </row>
    <row r="1645" spans="1:12" s="212" customFormat="1" ht="15.5" x14ac:dyDescent="0.35">
      <c r="A1645" s="198" t="s">
        <v>849</v>
      </c>
      <c r="B1645" s="197">
        <v>2041</v>
      </c>
      <c r="C1645" s="213" t="s">
        <v>4826</v>
      </c>
      <c r="D1645" s="239">
        <v>3.8436518569703601E-3</v>
      </c>
      <c r="E1645" s="226">
        <v>2.4819625602629371E-2</v>
      </c>
      <c r="F1645" s="226">
        <v>5.62264780727099E-4</v>
      </c>
      <c r="G1645" s="227">
        <v>5.1730922359460993E-4</v>
      </c>
      <c r="H1645" s="226">
        <v>2.0000005732018801E-3</v>
      </c>
      <c r="I1645" s="255">
        <v>2.5263528850923843E-3</v>
      </c>
      <c r="J1645" s="256">
        <v>8.4057575694718962E-6</v>
      </c>
      <c r="K1645" s="257">
        <v>8.7858286267666335E-6</v>
      </c>
      <c r="L1645" s="228">
        <v>3.0625411572426087E-2</v>
      </c>
    </row>
    <row r="1646" spans="1:12" s="212" customFormat="1" ht="15.5" x14ac:dyDescent="0.35">
      <c r="A1646" s="198" t="s">
        <v>849</v>
      </c>
      <c r="B1646" s="197">
        <v>2042</v>
      </c>
      <c r="C1646" s="213" t="s">
        <v>4827</v>
      </c>
      <c r="D1646" s="239">
        <v>3.7092173626844631E-3</v>
      </c>
      <c r="E1646" s="226">
        <v>2.4126419429319475E-2</v>
      </c>
      <c r="F1646" s="226">
        <v>5.4519962739703841E-4</v>
      </c>
      <c r="G1646" s="227">
        <v>5.01601370928415E-4</v>
      </c>
      <c r="H1646" s="226">
        <v>2.0000005732018801E-3</v>
      </c>
      <c r="I1646" s="255">
        <v>2.5258840597668962E-3</v>
      </c>
      <c r="J1646" s="256">
        <v>7.9675429283677777E-6</v>
      </c>
      <c r="K1646" s="257">
        <v>8.3277998641404487E-6</v>
      </c>
      <c r="L1646" s="228">
        <v>3.0502692176147539E-2</v>
      </c>
    </row>
    <row r="1647" spans="1:12" s="212" customFormat="1" ht="15.5" x14ac:dyDescent="0.35">
      <c r="A1647" s="198" t="s">
        <v>849</v>
      </c>
      <c r="B1647" s="197">
        <v>2043</v>
      </c>
      <c r="C1647" s="213" t="s">
        <v>4828</v>
      </c>
      <c r="D1647" s="239">
        <v>3.6015182744190462E-3</v>
      </c>
      <c r="E1647" s="226">
        <v>2.3516215731501044E-2</v>
      </c>
      <c r="F1647" s="226">
        <v>5.3067152733394574E-4</v>
      </c>
      <c r="G1647" s="227">
        <v>4.8822886778289351E-4</v>
      </c>
      <c r="H1647" s="226">
        <v>2.0000005732018805E-3</v>
      </c>
      <c r="I1647" s="255">
        <v>2.5254665563635816E-3</v>
      </c>
      <c r="J1647" s="256">
        <v>7.5966408640553962E-6</v>
      </c>
      <c r="K1647" s="257">
        <v>7.9401272543333849E-6</v>
      </c>
      <c r="L1647" s="228">
        <v>3.0400437050475786E-2</v>
      </c>
    </row>
    <row r="1648" spans="1:12" s="212" customFormat="1" ht="15.5" x14ac:dyDescent="0.35">
      <c r="A1648" s="198" t="s">
        <v>849</v>
      </c>
      <c r="B1648" s="197">
        <v>2044</v>
      </c>
      <c r="C1648" s="213" t="s">
        <v>4829</v>
      </c>
      <c r="D1648" s="239">
        <v>3.5145741063768456E-3</v>
      </c>
      <c r="E1648" s="226">
        <v>2.2933822032381625E-2</v>
      </c>
      <c r="F1648" s="226">
        <v>5.1831863718818983E-4</v>
      </c>
      <c r="G1648" s="227">
        <v>4.7685898234798099E-4</v>
      </c>
      <c r="H1648" s="226">
        <v>2.0000005732018801E-3</v>
      </c>
      <c r="I1648" s="255">
        <v>2.525079170246212E-3</v>
      </c>
      <c r="J1648" s="256">
        <v>7.2922761073841577E-6</v>
      </c>
      <c r="K1648" s="257">
        <v>7.6220004739641102E-6</v>
      </c>
      <c r="L1648" s="228">
        <v>3.0316409907384562E-2</v>
      </c>
    </row>
    <row r="1649" spans="1:12" s="212" customFormat="1" ht="15.5" x14ac:dyDescent="0.35">
      <c r="A1649" s="198" t="s">
        <v>849</v>
      </c>
      <c r="B1649" s="197">
        <v>2045</v>
      </c>
      <c r="C1649" s="213" t="s">
        <v>4830</v>
      </c>
      <c r="D1649" s="239">
        <v>3.4494356415447009E-3</v>
      </c>
      <c r="E1649" s="226">
        <v>2.2408152725234998E-2</v>
      </c>
      <c r="F1649" s="226">
        <v>5.0787107600260082E-4</v>
      </c>
      <c r="G1649" s="227">
        <v>4.672434747890238E-4</v>
      </c>
      <c r="H1649" s="226">
        <v>2.0000005732018801E-3</v>
      </c>
      <c r="I1649" s="255">
        <v>2.5247463305716352E-3</v>
      </c>
      <c r="J1649" s="256">
        <v>7.0520295198300563E-6</v>
      </c>
      <c r="K1649" s="257">
        <v>7.3708910017992254E-6</v>
      </c>
      <c r="L1649" s="228">
        <v>3.0246188028065561E-2</v>
      </c>
    </row>
    <row r="1650" spans="1:12" s="212" customFormat="1" ht="15.5" x14ac:dyDescent="0.35">
      <c r="A1650" s="198" t="s">
        <v>849</v>
      </c>
      <c r="B1650" s="197">
        <v>2046</v>
      </c>
      <c r="C1650" s="213" t="s">
        <v>4831</v>
      </c>
      <c r="D1650" s="239">
        <v>3.3903926995602044E-3</v>
      </c>
      <c r="E1650" s="226">
        <v>2.1926087679067195E-2</v>
      </c>
      <c r="F1650" s="226">
        <v>4.9915784139738999E-4</v>
      </c>
      <c r="G1650" s="227">
        <v>4.592248745045425E-4</v>
      </c>
      <c r="H1650" s="226">
        <v>2.0000005732018801E-3</v>
      </c>
      <c r="I1650" s="255">
        <v>2.5244514204528267E-3</v>
      </c>
      <c r="J1650" s="256">
        <v>6.869735605408939E-6</v>
      </c>
      <c r="K1650" s="257">
        <v>7.1803545654852543E-6</v>
      </c>
      <c r="L1650" s="228">
        <v>3.0187808450684018E-2</v>
      </c>
    </row>
    <row r="1651" spans="1:12" s="212" customFormat="1" ht="15.5" x14ac:dyDescent="0.35">
      <c r="A1651" s="198" t="s">
        <v>849</v>
      </c>
      <c r="B1651" s="197">
        <v>2047</v>
      </c>
      <c r="C1651" s="213" t="s">
        <v>4832</v>
      </c>
      <c r="D1651" s="239">
        <v>3.3390851859177386E-3</v>
      </c>
      <c r="E1651" s="226">
        <v>2.1503170629108372E-2</v>
      </c>
      <c r="F1651" s="226">
        <v>4.919251975354917E-4</v>
      </c>
      <c r="G1651" s="227">
        <v>4.5256793199688138E-4</v>
      </c>
      <c r="H1651" s="226">
        <v>2.0000005732018801E-3</v>
      </c>
      <c r="I1651" s="255">
        <v>2.5242078707075621E-3</v>
      </c>
      <c r="J1651" s="256">
        <v>6.6953785038100108E-6</v>
      </c>
      <c r="K1651" s="257">
        <v>6.9981138094502145E-6</v>
      </c>
      <c r="L1651" s="228">
        <v>3.014074439409414E-2</v>
      </c>
    </row>
    <row r="1652" spans="1:12" s="212" customFormat="1" ht="15.5" x14ac:dyDescent="0.35">
      <c r="A1652" s="198" t="s">
        <v>849</v>
      </c>
      <c r="B1652" s="197">
        <v>2048</v>
      </c>
      <c r="C1652" s="213" t="s">
        <v>4833</v>
      </c>
      <c r="D1652" s="239">
        <v>3.2975111230531015E-3</v>
      </c>
      <c r="E1652" s="226">
        <v>2.1163158745493214E-2</v>
      </c>
      <c r="F1652" s="226">
        <v>4.8592041934692907E-4</v>
      </c>
      <c r="G1652" s="227">
        <v>4.4704092347527379E-4</v>
      </c>
      <c r="H1652" s="226">
        <v>2.0000005732018797E-3</v>
      </c>
      <c r="I1652" s="255">
        <v>2.5239936033994927E-3</v>
      </c>
      <c r="J1652" s="256">
        <v>6.5455787120934738E-6</v>
      </c>
      <c r="K1652" s="257">
        <v>6.8415407358789844E-6</v>
      </c>
      <c r="L1652" s="228">
        <v>3.0103159846746268E-2</v>
      </c>
    </row>
    <row r="1653" spans="1:12" s="212" customFormat="1" ht="15.5" x14ac:dyDescent="0.35">
      <c r="A1653" s="198" t="s">
        <v>849</v>
      </c>
      <c r="B1653" s="197">
        <v>2049</v>
      </c>
      <c r="C1653" s="213" t="s">
        <v>4834</v>
      </c>
      <c r="D1653" s="239">
        <v>3.288120458829852E-3</v>
      </c>
      <c r="E1653" s="226">
        <v>2.112559513285393E-2</v>
      </c>
      <c r="F1653" s="226">
        <v>4.8217406044210849E-4</v>
      </c>
      <c r="G1653" s="227">
        <v>4.4359212307588334E-4</v>
      </c>
      <c r="H1653" s="226">
        <v>2.0000005732018801E-3</v>
      </c>
      <c r="I1653" s="255">
        <v>2.5237875747410763E-3</v>
      </c>
      <c r="J1653" s="256">
        <v>6.4387674168735625E-6</v>
      </c>
      <c r="K1653" s="257">
        <v>6.7298999078573324E-6</v>
      </c>
      <c r="L1653" s="228">
        <v>3.0071909053127135E-2</v>
      </c>
    </row>
    <row r="1654" spans="1:12" s="212" customFormat="1" ht="15.5" x14ac:dyDescent="0.35">
      <c r="A1654" s="198" t="s">
        <v>849</v>
      </c>
      <c r="B1654" s="197">
        <v>2050</v>
      </c>
      <c r="C1654" s="213" t="s">
        <v>4835</v>
      </c>
      <c r="D1654" s="239">
        <v>3.2806793260051433E-3</v>
      </c>
      <c r="E1654" s="226">
        <v>2.109282583634731E-2</v>
      </c>
      <c r="F1654" s="226">
        <v>4.7902807702329252E-4</v>
      </c>
      <c r="G1654" s="227">
        <v>4.406910617953915E-4</v>
      </c>
      <c r="H1654" s="226">
        <v>2.0000005732018801E-3</v>
      </c>
      <c r="I1654" s="255">
        <v>2.5236209376046062E-3</v>
      </c>
      <c r="J1654" s="256">
        <v>6.2220058343563947E-6</v>
      </c>
      <c r="K1654" s="257">
        <v>6.5033373284440104E-6</v>
      </c>
      <c r="L1654" s="228">
        <v>3.0047055865295845E-2</v>
      </c>
    </row>
    <row r="1655" spans="1:12" s="212" customFormat="1" ht="15.5" x14ac:dyDescent="0.35">
      <c r="A1655" s="198" t="s">
        <v>850</v>
      </c>
      <c r="B1655" s="197">
        <v>2015</v>
      </c>
      <c r="C1655" s="213" t="s">
        <v>949</v>
      </c>
      <c r="D1655" s="239">
        <v>0.10135014761333826</v>
      </c>
      <c r="E1655" s="226">
        <v>0.35126991355668219</v>
      </c>
      <c r="F1655" s="226">
        <v>3.4584250541384995E-3</v>
      </c>
      <c r="G1655" s="227">
        <v>3.1951548543952208E-3</v>
      </c>
      <c r="H1655" s="226">
        <v>2.0000005732018701E-3</v>
      </c>
      <c r="I1655" s="255">
        <v>3.6795588165501225E-3</v>
      </c>
      <c r="J1655" s="256">
        <v>2.0394570656906625E-4</v>
      </c>
      <c r="K1655" s="257">
        <v>2.1316722642444975E-4</v>
      </c>
      <c r="L1655" s="228">
        <v>4.4908073203910076E-2</v>
      </c>
    </row>
    <row r="1656" spans="1:12" s="212" customFormat="1" ht="15.5" x14ac:dyDescent="0.35">
      <c r="A1656" s="198" t="s">
        <v>850</v>
      </c>
      <c r="B1656" s="197">
        <v>2016</v>
      </c>
      <c r="C1656" s="213" t="s">
        <v>950</v>
      </c>
      <c r="D1656" s="239">
        <v>8.9267070881399721E-2</v>
      </c>
      <c r="E1656" s="226">
        <v>0.31791810750220756</v>
      </c>
      <c r="F1656" s="226">
        <v>3.3353868808163041E-3</v>
      </c>
      <c r="G1656" s="227">
        <v>3.0812506500538959E-3</v>
      </c>
      <c r="H1656" s="226">
        <v>2.0000005732018701E-3</v>
      </c>
      <c r="I1656" s="255">
        <v>3.6735870713130209E-3</v>
      </c>
      <c r="J1656" s="256">
        <v>2.2492524386049747E-4</v>
      </c>
      <c r="K1656" s="257">
        <v>2.3509536529688153E-4</v>
      </c>
      <c r="L1656" s="228">
        <v>4.3838917124245438E-2</v>
      </c>
    </row>
    <row r="1657" spans="1:12" s="212" customFormat="1" ht="15.5" x14ac:dyDescent="0.35">
      <c r="A1657" s="198" t="s">
        <v>850</v>
      </c>
      <c r="B1657" s="197">
        <v>2017</v>
      </c>
      <c r="C1657" s="213" t="s">
        <v>4836</v>
      </c>
      <c r="D1657" s="239">
        <v>7.2834009830615262E-2</v>
      </c>
      <c r="E1657" s="226">
        <v>0.27300829960322492</v>
      </c>
      <c r="F1657" s="226">
        <v>3.1319417055099569E-3</v>
      </c>
      <c r="G1657" s="227">
        <v>2.891295389854128E-3</v>
      </c>
      <c r="H1657" s="226">
        <v>2.0000005732018719E-3</v>
      </c>
      <c r="I1657" s="255">
        <v>3.6766521276473305E-3</v>
      </c>
      <c r="J1657" s="256">
        <v>2.0502033786245089E-4</v>
      </c>
      <c r="K1657" s="257">
        <v>2.1429044777631585E-4</v>
      </c>
      <c r="L1657" s="228">
        <v>4.349579066383652E-2</v>
      </c>
    </row>
    <row r="1658" spans="1:12" s="212" customFormat="1" ht="15.5" x14ac:dyDescent="0.35">
      <c r="A1658" s="198" t="s">
        <v>850</v>
      </c>
      <c r="B1658" s="197">
        <v>2018</v>
      </c>
      <c r="C1658" s="213" t="s">
        <v>4837</v>
      </c>
      <c r="D1658" s="239">
        <v>6.3341787146764944E-2</v>
      </c>
      <c r="E1658" s="226">
        <v>0.24248218183754444</v>
      </c>
      <c r="F1658" s="226">
        <v>3.0725064270413537E-3</v>
      </c>
      <c r="G1658" s="227">
        <v>2.8360359803960931E-3</v>
      </c>
      <c r="H1658" s="226">
        <v>2.0000005732018706E-3</v>
      </c>
      <c r="I1658" s="255">
        <v>3.6773683296906674E-3</v>
      </c>
      <c r="J1658" s="256">
        <v>2.1131513950476506E-4</v>
      </c>
      <c r="K1658" s="257">
        <v>2.208698724161264E-4</v>
      </c>
      <c r="L1658" s="228">
        <v>4.2941157389180071E-2</v>
      </c>
    </row>
    <row r="1659" spans="1:12" s="212" customFormat="1" ht="15.5" x14ac:dyDescent="0.35">
      <c r="A1659" s="198" t="s">
        <v>850</v>
      </c>
      <c r="B1659" s="197">
        <v>2019</v>
      </c>
      <c r="C1659" s="213" t="s">
        <v>4838</v>
      </c>
      <c r="D1659" s="239">
        <v>5.3810691957278986E-2</v>
      </c>
      <c r="E1659" s="226">
        <v>0.20898046517038268</v>
      </c>
      <c r="F1659" s="226">
        <v>2.9210800102163186E-3</v>
      </c>
      <c r="G1659" s="227">
        <v>2.6929428438654604E-3</v>
      </c>
      <c r="H1659" s="226">
        <v>2.0000005732018697E-3</v>
      </c>
      <c r="I1659" s="255">
        <v>3.6800307633034803E-3</v>
      </c>
      <c r="J1659" s="256">
        <v>1.3433118102534536E-4</v>
      </c>
      <c r="K1659" s="257">
        <v>1.4040504094552401E-4</v>
      </c>
      <c r="L1659" s="228">
        <v>4.2334244568479062E-2</v>
      </c>
    </row>
    <row r="1660" spans="1:12" s="212" customFormat="1" ht="15.5" x14ac:dyDescent="0.35">
      <c r="A1660" s="198" t="s">
        <v>850</v>
      </c>
      <c r="B1660" s="197">
        <v>2020</v>
      </c>
      <c r="C1660" s="213" t="s">
        <v>4839</v>
      </c>
      <c r="D1660" s="239">
        <v>4.6599665958854126E-2</v>
      </c>
      <c r="E1660" s="226">
        <v>0.18730621596680846</v>
      </c>
      <c r="F1660" s="226">
        <v>2.8159455490389287E-3</v>
      </c>
      <c r="G1660" s="227">
        <v>2.5953018963393061E-3</v>
      </c>
      <c r="H1660" s="226">
        <v>2.0000005732018749E-3</v>
      </c>
      <c r="I1660" s="255">
        <v>3.6880339298645194E-3</v>
      </c>
      <c r="J1660" s="256">
        <v>1.2463868771133286E-4</v>
      </c>
      <c r="K1660" s="257">
        <v>1.3027429609365412E-4</v>
      </c>
      <c r="L1660" s="228">
        <v>4.2023146721317843E-2</v>
      </c>
    </row>
    <row r="1661" spans="1:12" s="212" customFormat="1" ht="15.5" x14ac:dyDescent="0.35">
      <c r="A1661" s="198" t="s">
        <v>850</v>
      </c>
      <c r="B1661" s="197">
        <v>2021</v>
      </c>
      <c r="C1661" s="213" t="s">
        <v>4840</v>
      </c>
      <c r="D1661" s="239">
        <v>4.110532895472864E-2</v>
      </c>
      <c r="E1661" s="226">
        <v>0.16687900241968795</v>
      </c>
      <c r="F1661" s="226">
        <v>2.6778158554722682E-3</v>
      </c>
      <c r="G1661" s="227">
        <v>2.4676513852357621E-3</v>
      </c>
      <c r="H1661" s="226">
        <v>2.0000005732018701E-3</v>
      </c>
      <c r="I1661" s="255">
        <v>3.6919140653914081E-3</v>
      </c>
      <c r="J1661" s="256">
        <v>1.1489176133463162E-4</v>
      </c>
      <c r="K1661" s="257">
        <v>1.2008665695754341E-4</v>
      </c>
      <c r="L1661" s="228">
        <v>4.1224975860154819E-2</v>
      </c>
    </row>
    <row r="1662" spans="1:12" s="212" customFormat="1" ht="15.5" x14ac:dyDescent="0.35">
      <c r="A1662" s="198" t="s">
        <v>850</v>
      </c>
      <c r="B1662" s="197">
        <v>2022</v>
      </c>
      <c r="C1662" s="213" t="s">
        <v>4841</v>
      </c>
      <c r="D1662" s="239">
        <v>3.390143543460996E-2</v>
      </c>
      <c r="E1662" s="226">
        <v>0.14535511399551282</v>
      </c>
      <c r="F1662" s="226">
        <v>2.5242685379566537E-3</v>
      </c>
      <c r="G1662" s="227">
        <v>2.3254022583274591E-3</v>
      </c>
      <c r="H1662" s="226">
        <v>2.0000005732018701E-3</v>
      </c>
      <c r="I1662" s="255">
        <v>3.6908342062710697E-3</v>
      </c>
      <c r="J1662" s="256">
        <v>1.0505550078525265E-4</v>
      </c>
      <c r="K1662" s="257">
        <v>1.0980564435388164E-4</v>
      </c>
      <c r="L1662" s="228">
        <v>4.04958035572969E-2</v>
      </c>
    </row>
    <row r="1663" spans="1:12" s="212" customFormat="1" ht="15.5" x14ac:dyDescent="0.35">
      <c r="A1663" s="198" t="s">
        <v>850</v>
      </c>
      <c r="B1663" s="197">
        <v>2023</v>
      </c>
      <c r="C1663" s="213" t="s">
        <v>4842</v>
      </c>
      <c r="D1663" s="239">
        <v>2.9615827845507613E-2</v>
      </c>
      <c r="E1663" s="226">
        <v>0.12801048766087467</v>
      </c>
      <c r="F1663" s="226">
        <v>2.386400616513241E-3</v>
      </c>
      <c r="G1663" s="227">
        <v>2.1981300061030317E-3</v>
      </c>
      <c r="H1663" s="226">
        <v>2.0000005732018701E-3</v>
      </c>
      <c r="I1663" s="255">
        <v>3.6895659877962984E-3</v>
      </c>
      <c r="J1663" s="256">
        <v>9.500520439355471E-5</v>
      </c>
      <c r="K1663" s="257">
        <v>9.9300918156880604E-5</v>
      </c>
      <c r="L1663" s="228">
        <v>3.9694843255096673E-2</v>
      </c>
    </row>
    <row r="1664" spans="1:12" s="212" customFormat="1" ht="15.5" x14ac:dyDescent="0.35">
      <c r="A1664" s="198" t="s">
        <v>850</v>
      </c>
      <c r="B1664" s="197">
        <v>2024</v>
      </c>
      <c r="C1664" s="213" t="s">
        <v>4843</v>
      </c>
      <c r="D1664" s="239">
        <v>2.5688538500500156E-2</v>
      </c>
      <c r="E1664" s="226">
        <v>0.11256303009899825</v>
      </c>
      <c r="F1664" s="226">
        <v>2.2554939881514824E-3</v>
      </c>
      <c r="G1664" s="227">
        <v>2.0772258712464277E-3</v>
      </c>
      <c r="H1664" s="226">
        <v>2.0000005732018701E-3</v>
      </c>
      <c r="I1664" s="255">
        <v>3.6885060188519649E-3</v>
      </c>
      <c r="J1664" s="256">
        <v>8.4736667601475495E-5</v>
      </c>
      <c r="K1664" s="257">
        <v>8.8568083697020366E-5</v>
      </c>
      <c r="L1664" s="228">
        <v>3.8894632911033546E-2</v>
      </c>
    </row>
    <row r="1665" spans="1:12" s="212" customFormat="1" ht="15.5" x14ac:dyDescent="0.35">
      <c r="A1665" s="198" t="s">
        <v>850</v>
      </c>
      <c r="B1665" s="197">
        <v>2025</v>
      </c>
      <c r="C1665" s="213" t="s">
        <v>4844</v>
      </c>
      <c r="D1665" s="239">
        <v>2.2502359708049466E-2</v>
      </c>
      <c r="E1665" s="226">
        <v>9.9933361671395382E-2</v>
      </c>
      <c r="F1665" s="226">
        <v>2.1505310751320835E-3</v>
      </c>
      <c r="G1665" s="227">
        <v>1.9803118492357466E-3</v>
      </c>
      <c r="H1665" s="226">
        <v>2.0000005732018701E-3</v>
      </c>
      <c r="I1665" s="255">
        <v>3.6878076997467397E-3</v>
      </c>
      <c r="J1665" s="256">
        <v>7.6310392927934499E-5</v>
      </c>
      <c r="K1665" s="257">
        <v>7.9760810273782215E-5</v>
      </c>
      <c r="L1665" s="228">
        <v>3.8049057627943597E-2</v>
      </c>
    </row>
    <row r="1666" spans="1:12" s="212" customFormat="1" ht="15.5" x14ac:dyDescent="0.35">
      <c r="A1666" s="198" t="s">
        <v>850</v>
      </c>
      <c r="B1666" s="197">
        <v>2026</v>
      </c>
      <c r="C1666" s="213" t="s">
        <v>4845</v>
      </c>
      <c r="D1666" s="239">
        <v>2.0142960896133044E-2</v>
      </c>
      <c r="E1666" s="226">
        <v>8.9933269710996744E-2</v>
      </c>
      <c r="F1666" s="226">
        <v>2.0568139584075376E-3</v>
      </c>
      <c r="G1666" s="227">
        <v>1.8938178390225822E-3</v>
      </c>
      <c r="H1666" s="226">
        <v>2.0000005732018697E-3</v>
      </c>
      <c r="I1666" s="255">
        <v>3.6872694506751313E-3</v>
      </c>
      <c r="J1666" s="256">
        <v>6.8058852029770215E-5</v>
      </c>
      <c r="K1666" s="257">
        <v>7.1136171311873356E-5</v>
      </c>
      <c r="L1666" s="228">
        <v>3.7246014099200885E-2</v>
      </c>
    </row>
    <row r="1667" spans="1:12" s="212" customFormat="1" ht="15.5" x14ac:dyDescent="0.35">
      <c r="A1667" s="198" t="s">
        <v>850</v>
      </c>
      <c r="B1667" s="197">
        <v>2027</v>
      </c>
      <c r="C1667" s="213" t="s">
        <v>4846</v>
      </c>
      <c r="D1667" s="239">
        <v>1.812476125131262E-2</v>
      </c>
      <c r="E1667" s="226">
        <v>8.1287378470177585E-2</v>
      </c>
      <c r="F1667" s="226">
        <v>1.9516354866960057E-3</v>
      </c>
      <c r="G1667" s="227">
        <v>1.7967525136125754E-3</v>
      </c>
      <c r="H1667" s="226">
        <v>2.0000005732018706E-3</v>
      </c>
      <c r="I1667" s="255">
        <v>3.6865368273923042E-3</v>
      </c>
      <c r="J1667" s="256">
        <v>5.8920806235357357E-5</v>
      </c>
      <c r="K1667" s="257">
        <v>6.1584943636114762E-5</v>
      </c>
      <c r="L1667" s="228">
        <v>3.6519906077143213E-2</v>
      </c>
    </row>
    <row r="1668" spans="1:12" s="212" customFormat="1" ht="15.5" x14ac:dyDescent="0.35">
      <c r="A1668" s="198" t="s">
        <v>850</v>
      </c>
      <c r="B1668" s="197">
        <v>2028</v>
      </c>
      <c r="C1668" s="213" t="s">
        <v>4847</v>
      </c>
      <c r="D1668" s="239">
        <v>1.6415532426617394E-2</v>
      </c>
      <c r="E1668" s="226">
        <v>7.3873819329117033E-2</v>
      </c>
      <c r="F1668" s="226">
        <v>1.8306050864078183E-3</v>
      </c>
      <c r="G1668" s="227">
        <v>1.6849019471058449E-3</v>
      </c>
      <c r="H1668" s="226">
        <v>2.0000005732018701E-3</v>
      </c>
      <c r="I1668" s="255">
        <v>3.6859679280388182E-3</v>
      </c>
      <c r="J1668" s="256">
        <v>4.4353579086250015E-5</v>
      </c>
      <c r="K1668" s="257">
        <v>4.6359051116438015E-5</v>
      </c>
      <c r="L1668" s="228">
        <v>3.5820346746990465E-2</v>
      </c>
    </row>
    <row r="1669" spans="1:12" s="212" customFormat="1" ht="15.5" x14ac:dyDescent="0.35">
      <c r="A1669" s="198" t="s">
        <v>850</v>
      </c>
      <c r="B1669" s="197">
        <v>2029</v>
      </c>
      <c r="C1669" s="213" t="s">
        <v>4848</v>
      </c>
      <c r="D1669" s="239">
        <v>1.496780916679708E-2</v>
      </c>
      <c r="E1669" s="226">
        <v>6.7583489186521836E-2</v>
      </c>
      <c r="F1669" s="226">
        <v>1.7232121073840916E-3</v>
      </c>
      <c r="G1669" s="227">
        <v>1.5859454529392758E-3</v>
      </c>
      <c r="H1669" s="226">
        <v>2.0000005732018701E-3</v>
      </c>
      <c r="I1669" s="255">
        <v>3.6854389917989313E-3</v>
      </c>
      <c r="J1669" s="256">
        <v>3.8896739955040812E-5</v>
      </c>
      <c r="K1669" s="257">
        <v>4.0655477934080552E-5</v>
      </c>
      <c r="L1669" s="228">
        <v>3.5185353214653318E-2</v>
      </c>
    </row>
    <row r="1670" spans="1:12" s="212" customFormat="1" ht="15.5" x14ac:dyDescent="0.35">
      <c r="A1670" s="198" t="s">
        <v>850</v>
      </c>
      <c r="B1670" s="197">
        <v>2030</v>
      </c>
      <c r="C1670" s="213" t="s">
        <v>4849</v>
      </c>
      <c r="D1670" s="239">
        <v>1.3740612390944597E-2</v>
      </c>
      <c r="E1670" s="226">
        <v>6.2201130096647191E-2</v>
      </c>
      <c r="F1670" s="226">
        <v>1.6151594297582356E-3</v>
      </c>
      <c r="G1670" s="227">
        <v>1.486192762873357E-3</v>
      </c>
      <c r="H1670" s="226">
        <v>2.0000005732018701E-3</v>
      </c>
      <c r="I1670" s="255">
        <v>3.6850596963544763E-3</v>
      </c>
      <c r="J1670" s="256">
        <v>2.8573026893779683E-5</v>
      </c>
      <c r="K1670" s="257">
        <v>2.9864972378987382E-5</v>
      </c>
      <c r="L1670" s="228">
        <v>3.4612557360242227E-2</v>
      </c>
    </row>
    <row r="1671" spans="1:12" s="212" customFormat="1" ht="15.5" x14ac:dyDescent="0.35">
      <c r="A1671" s="198" t="s">
        <v>850</v>
      </c>
      <c r="B1671" s="197">
        <v>2031</v>
      </c>
      <c r="C1671" s="213" t="s">
        <v>4850</v>
      </c>
      <c r="D1671" s="239">
        <v>1.2639545680164734E-2</v>
      </c>
      <c r="E1671" s="226">
        <v>5.7404047559934737E-2</v>
      </c>
      <c r="F1671" s="226">
        <v>1.517631667296419E-3</v>
      </c>
      <c r="G1671" s="227">
        <v>1.3964005293988322E-3</v>
      </c>
      <c r="H1671" s="226">
        <v>2.0000005732018701E-3</v>
      </c>
      <c r="I1671" s="255">
        <v>3.68447948490888E-3</v>
      </c>
      <c r="J1671" s="256">
        <v>2.5517402325031109E-5</v>
      </c>
      <c r="K1671" s="257">
        <v>2.6671186026373165E-5</v>
      </c>
      <c r="L1671" s="228">
        <v>3.4096915245927409E-2</v>
      </c>
    </row>
    <row r="1672" spans="1:12" s="212" customFormat="1" ht="15.5" x14ac:dyDescent="0.35">
      <c r="A1672" s="198" t="s">
        <v>850</v>
      </c>
      <c r="B1672" s="197">
        <v>2032</v>
      </c>
      <c r="C1672" s="213" t="s">
        <v>4851</v>
      </c>
      <c r="D1672" s="239">
        <v>1.1695456938475204E-2</v>
      </c>
      <c r="E1672" s="226">
        <v>5.334402358031571E-2</v>
      </c>
      <c r="F1672" s="226">
        <v>1.4270920658001702E-3</v>
      </c>
      <c r="G1672" s="227">
        <v>1.313045385234263E-3</v>
      </c>
      <c r="H1672" s="226">
        <v>2.0000005732018706E-3</v>
      </c>
      <c r="I1672" s="255">
        <v>3.6837874566202655E-3</v>
      </c>
      <c r="J1672" s="256">
        <v>2.2762917117044044E-5</v>
      </c>
      <c r="K1672" s="257">
        <v>2.3792155220128043E-5</v>
      </c>
      <c r="L1672" s="228">
        <v>3.3644214127161572E-2</v>
      </c>
    </row>
    <row r="1673" spans="1:12" s="212" customFormat="1" ht="15.5" x14ac:dyDescent="0.35">
      <c r="A1673" s="198" t="s">
        <v>850</v>
      </c>
      <c r="B1673" s="197">
        <v>2033</v>
      </c>
      <c r="C1673" s="213" t="s">
        <v>4852</v>
      </c>
      <c r="D1673" s="239">
        <v>1.0844777355939193E-2</v>
      </c>
      <c r="E1673" s="226">
        <v>4.9796625706521429E-2</v>
      </c>
      <c r="F1673" s="226">
        <v>1.3411956299891991E-3</v>
      </c>
      <c r="G1673" s="227">
        <v>1.2339906331025035E-3</v>
      </c>
      <c r="H1673" s="226">
        <v>2.0000005732018706E-3</v>
      </c>
      <c r="I1673" s="255">
        <v>3.6829551697388297E-3</v>
      </c>
      <c r="J1673" s="256">
        <v>2.0808490416444347E-5</v>
      </c>
      <c r="K1673" s="257">
        <v>2.1749358016767285E-5</v>
      </c>
      <c r="L1673" s="228">
        <v>3.3276595122936875E-2</v>
      </c>
    </row>
    <row r="1674" spans="1:12" s="212" customFormat="1" ht="15.5" x14ac:dyDescent="0.35">
      <c r="A1674" s="198" t="s">
        <v>850</v>
      </c>
      <c r="B1674" s="197">
        <v>2034</v>
      </c>
      <c r="C1674" s="213" t="s">
        <v>4853</v>
      </c>
      <c r="D1674" s="239">
        <v>1.0029288915668082E-2</v>
      </c>
      <c r="E1674" s="226">
        <v>4.6529838711282988E-2</v>
      </c>
      <c r="F1674" s="226">
        <v>1.2589173490931257E-3</v>
      </c>
      <c r="G1674" s="227">
        <v>1.15827145039371E-3</v>
      </c>
      <c r="H1674" s="226">
        <v>2.0000005732018706E-3</v>
      </c>
      <c r="I1674" s="255">
        <v>3.6818737701182045E-3</v>
      </c>
      <c r="J1674" s="256">
        <v>1.9080164470555183E-5</v>
      </c>
      <c r="K1674" s="257">
        <v>1.9942884840937781E-5</v>
      </c>
      <c r="L1674" s="228">
        <v>3.2905335474818331E-2</v>
      </c>
    </row>
    <row r="1675" spans="1:12" s="212" customFormat="1" ht="15.5" x14ac:dyDescent="0.35">
      <c r="A1675" s="198" t="s">
        <v>850</v>
      </c>
      <c r="B1675" s="197">
        <v>2035</v>
      </c>
      <c r="C1675" s="213" t="s">
        <v>4854</v>
      </c>
      <c r="D1675" s="239">
        <v>9.2674434468710976E-3</v>
      </c>
      <c r="E1675" s="226">
        <v>4.3592174162899351E-2</v>
      </c>
      <c r="F1675" s="226">
        <v>1.1804489510117947E-3</v>
      </c>
      <c r="G1675" s="227">
        <v>1.0860621462017743E-3</v>
      </c>
      <c r="H1675" s="226">
        <v>2.0000005732018701E-3</v>
      </c>
      <c r="I1675" s="255">
        <v>3.6807272720994744E-3</v>
      </c>
      <c r="J1675" s="256">
        <v>1.7527182425511E-5</v>
      </c>
      <c r="K1675" s="257">
        <v>1.8319683839072481E-5</v>
      </c>
      <c r="L1675" s="228">
        <v>3.257665651327811E-2</v>
      </c>
    </row>
    <row r="1676" spans="1:12" s="212" customFormat="1" ht="15.5" x14ac:dyDescent="0.35">
      <c r="A1676" s="198" t="s">
        <v>850</v>
      </c>
      <c r="B1676" s="197">
        <v>2036</v>
      </c>
      <c r="C1676" s="213" t="s">
        <v>4855</v>
      </c>
      <c r="D1676" s="239">
        <v>8.6143762611300845E-3</v>
      </c>
      <c r="E1676" s="226">
        <v>4.1077225842952036E-2</v>
      </c>
      <c r="F1676" s="226">
        <v>1.1148319804500334E-3</v>
      </c>
      <c r="G1676" s="227">
        <v>1.0256770725812214E-3</v>
      </c>
      <c r="H1676" s="226">
        <v>2.0000005732018706E-3</v>
      </c>
      <c r="I1676" s="255">
        <v>3.6795642514246781E-3</v>
      </c>
      <c r="J1676" s="256">
        <v>1.617483622400685E-5</v>
      </c>
      <c r="K1676" s="257">
        <v>1.6906190543283727E-5</v>
      </c>
      <c r="L1676" s="228">
        <v>3.229467576247147E-2</v>
      </c>
    </row>
    <row r="1677" spans="1:12" s="212" customFormat="1" ht="15.5" x14ac:dyDescent="0.35">
      <c r="A1677" s="198" t="s">
        <v>850</v>
      </c>
      <c r="B1677" s="197">
        <v>2037</v>
      </c>
      <c r="C1677" s="213" t="s">
        <v>4856</v>
      </c>
      <c r="D1677" s="239">
        <v>8.0435295933514294E-3</v>
      </c>
      <c r="E1677" s="226">
        <v>3.8920930612598555E-2</v>
      </c>
      <c r="F1677" s="226">
        <v>1.0554943462574549E-3</v>
      </c>
      <c r="G1677" s="227">
        <v>9.7107072343410937E-4</v>
      </c>
      <c r="H1677" s="226">
        <v>2.0000005732018697E-3</v>
      </c>
      <c r="I1677" s="255">
        <v>3.6784327741973917E-3</v>
      </c>
      <c r="J1677" s="256">
        <v>1.4953549908491688E-5</v>
      </c>
      <c r="K1677" s="257">
        <v>1.5629683079958732E-5</v>
      </c>
      <c r="L1677" s="228">
        <v>3.2042082121453548E-2</v>
      </c>
    </row>
    <row r="1678" spans="1:12" s="212" customFormat="1" ht="15.5" x14ac:dyDescent="0.35">
      <c r="A1678" s="198" t="s">
        <v>850</v>
      </c>
      <c r="B1678" s="197">
        <v>2038</v>
      </c>
      <c r="C1678" s="213" t="s">
        <v>4857</v>
      </c>
      <c r="D1678" s="239">
        <v>7.5123511382049982E-3</v>
      </c>
      <c r="E1678" s="226">
        <v>3.6925299890412287E-2</v>
      </c>
      <c r="F1678" s="226">
        <v>1.0018817151900624E-3</v>
      </c>
      <c r="G1678" s="227">
        <v>9.2173912840211856E-4</v>
      </c>
      <c r="H1678" s="226">
        <v>2.0000005732018701E-3</v>
      </c>
      <c r="I1678" s="255">
        <v>3.6773302622313164E-3</v>
      </c>
      <c r="J1678" s="256">
        <v>1.4010093911184152E-5</v>
      </c>
      <c r="K1678" s="257">
        <v>1.4643568188976912E-5</v>
      </c>
      <c r="L1678" s="228">
        <v>3.1707790176568197E-2</v>
      </c>
    </row>
    <row r="1679" spans="1:12" s="212" customFormat="1" ht="15.5" x14ac:dyDescent="0.35">
      <c r="A1679" s="198" t="s">
        <v>850</v>
      </c>
      <c r="B1679" s="197">
        <v>2039</v>
      </c>
      <c r="C1679" s="213" t="s">
        <v>4858</v>
      </c>
      <c r="D1679" s="239">
        <v>6.948544951572419E-3</v>
      </c>
      <c r="E1679" s="226">
        <v>3.4886567909999763E-2</v>
      </c>
      <c r="F1679" s="226">
        <v>9.5231492594906981E-4</v>
      </c>
      <c r="G1679" s="227">
        <v>8.761318683022548E-4</v>
      </c>
      <c r="H1679" s="226">
        <v>2.0000005732018701E-3</v>
      </c>
      <c r="I1679" s="255">
        <v>3.6762097588324385E-3</v>
      </c>
      <c r="J1679" s="256">
        <v>1.3177839057182418E-5</v>
      </c>
      <c r="K1679" s="257">
        <v>1.377368246355346E-5</v>
      </c>
      <c r="L1679" s="228">
        <v>3.1520517995699264E-2</v>
      </c>
    </row>
    <row r="1680" spans="1:12" s="212" customFormat="1" ht="15.5" x14ac:dyDescent="0.35">
      <c r="A1680" s="198" t="s">
        <v>850</v>
      </c>
      <c r="B1680" s="197">
        <v>2040</v>
      </c>
      <c r="C1680" s="213" t="s">
        <v>4859</v>
      </c>
      <c r="D1680" s="239">
        <v>6.5113284935249972E-3</v>
      </c>
      <c r="E1680" s="226">
        <v>3.3323299802551637E-2</v>
      </c>
      <c r="F1680" s="226">
        <v>9.0943545601713703E-4</v>
      </c>
      <c r="G1680" s="227">
        <v>8.3667824985333679E-4</v>
      </c>
      <c r="H1680" s="226">
        <v>2.0000005732018727E-3</v>
      </c>
      <c r="I1680" s="255">
        <v>3.6752654515811662E-3</v>
      </c>
      <c r="J1680" s="256">
        <v>1.2471303724556432E-5</v>
      </c>
      <c r="K1680" s="257">
        <v>1.3035200738390206E-5</v>
      </c>
      <c r="L1680" s="228">
        <v>3.136136575464115E-2</v>
      </c>
    </row>
    <row r="1681" spans="1:12" s="212" customFormat="1" ht="15.5" x14ac:dyDescent="0.35">
      <c r="A1681" s="198" t="s">
        <v>850</v>
      </c>
      <c r="B1681" s="197">
        <v>2041</v>
      </c>
      <c r="C1681" s="213" t="s">
        <v>4860</v>
      </c>
      <c r="D1681" s="239">
        <v>6.1995769500729032E-3</v>
      </c>
      <c r="E1681" s="226">
        <v>3.2122428601567964E-2</v>
      </c>
      <c r="F1681" s="226">
        <v>8.7783364357670772E-4</v>
      </c>
      <c r="G1681" s="227">
        <v>8.0759843548760916E-4</v>
      </c>
      <c r="H1681" s="226">
        <v>2.0000005732018701E-3</v>
      </c>
      <c r="I1681" s="255">
        <v>3.6744923887070662E-3</v>
      </c>
      <c r="J1681" s="256">
        <v>1.1878063662422702E-5</v>
      </c>
      <c r="K1681" s="257">
        <v>1.2415136993110597E-5</v>
      </c>
      <c r="L1681" s="228">
        <v>3.122816357738422E-2</v>
      </c>
    </row>
    <row r="1682" spans="1:12" s="212" customFormat="1" ht="15.5" x14ac:dyDescent="0.35">
      <c r="A1682" s="198" t="s">
        <v>850</v>
      </c>
      <c r="B1682" s="197">
        <v>2042</v>
      </c>
      <c r="C1682" s="213" t="s">
        <v>4861</v>
      </c>
      <c r="D1682" s="239">
        <v>5.8845877232700681E-3</v>
      </c>
      <c r="E1682" s="226">
        <v>3.083447022502802E-2</v>
      </c>
      <c r="F1682" s="226">
        <v>8.4990849718383384E-4</v>
      </c>
      <c r="G1682" s="227">
        <v>7.8190324472667612E-4</v>
      </c>
      <c r="H1682" s="226">
        <v>2.0000005732018701E-3</v>
      </c>
      <c r="I1682" s="255">
        <v>3.6736615680542858E-3</v>
      </c>
      <c r="J1682" s="256">
        <v>1.1389150866719954E-5</v>
      </c>
      <c r="K1682" s="257">
        <v>1.1904117730304546E-5</v>
      </c>
      <c r="L1682" s="228">
        <v>3.1115023322872897E-2</v>
      </c>
    </row>
    <row r="1683" spans="1:12" s="212" customFormat="1" ht="15.5" x14ac:dyDescent="0.35">
      <c r="A1683" s="198" t="s">
        <v>850</v>
      </c>
      <c r="B1683" s="197">
        <v>2043</v>
      </c>
      <c r="C1683" s="213" t="s">
        <v>4862</v>
      </c>
      <c r="D1683" s="239">
        <v>5.6377428040375373E-3</v>
      </c>
      <c r="E1683" s="226">
        <v>2.9700969414824373E-2</v>
      </c>
      <c r="F1683" s="226">
        <v>8.2533877811328865E-4</v>
      </c>
      <c r="G1683" s="227">
        <v>7.5928282201340582E-4</v>
      </c>
      <c r="H1683" s="226">
        <v>2.0000005732018701E-3</v>
      </c>
      <c r="I1683" s="255">
        <v>3.6728731905362427E-3</v>
      </c>
      <c r="J1683" s="256">
        <v>1.063271371700052E-5</v>
      </c>
      <c r="K1683" s="257">
        <v>1.1113477849314952E-5</v>
      </c>
      <c r="L1683" s="228">
        <v>3.1020821167128749E-2</v>
      </c>
    </row>
    <row r="1684" spans="1:12" s="212" customFormat="1" ht="15.5" x14ac:dyDescent="0.35">
      <c r="A1684" s="198" t="s">
        <v>850</v>
      </c>
      <c r="B1684" s="197">
        <v>2044</v>
      </c>
      <c r="C1684" s="213" t="s">
        <v>4863</v>
      </c>
      <c r="D1684" s="239">
        <v>5.4444274873074634E-3</v>
      </c>
      <c r="E1684" s="226">
        <v>2.8647252697029835E-2</v>
      </c>
      <c r="F1684" s="226">
        <v>8.0434422371604268E-4</v>
      </c>
      <c r="G1684" s="227">
        <v>7.3996628565209843E-4</v>
      </c>
      <c r="H1684" s="226">
        <v>2.0000005732018701E-3</v>
      </c>
      <c r="I1684" s="255">
        <v>3.6720850662773485E-3</v>
      </c>
      <c r="J1684" s="256">
        <v>1.030371949368556E-5</v>
      </c>
      <c r="K1684" s="257">
        <v>1.0769607967111926E-5</v>
      </c>
      <c r="L1684" s="228">
        <v>3.094114936335729E-2</v>
      </c>
    </row>
    <row r="1685" spans="1:12" s="212" customFormat="1" ht="15.5" x14ac:dyDescent="0.35">
      <c r="A1685" s="198" t="s">
        <v>850</v>
      </c>
      <c r="B1685" s="197">
        <v>2045</v>
      </c>
      <c r="C1685" s="213" t="s">
        <v>4864</v>
      </c>
      <c r="D1685" s="239">
        <v>5.2979269440777479E-3</v>
      </c>
      <c r="E1685" s="226">
        <v>2.7652518736525175E-2</v>
      </c>
      <c r="F1685" s="226">
        <v>7.8603199786276472E-4</v>
      </c>
      <c r="G1685" s="227">
        <v>7.2311891141634064E-4</v>
      </c>
      <c r="H1685" s="226">
        <v>2.0000005732018697E-3</v>
      </c>
      <c r="I1685" s="255">
        <v>3.6713231733126149E-3</v>
      </c>
      <c r="J1685" s="256">
        <v>1.0048129548641757E-5</v>
      </c>
      <c r="K1685" s="257">
        <v>1.0502461378916846E-5</v>
      </c>
      <c r="L1685" s="228">
        <v>3.0871909016118811E-2</v>
      </c>
    </row>
    <row r="1686" spans="1:12" s="212" customFormat="1" ht="15.5" x14ac:dyDescent="0.35">
      <c r="A1686" s="198" t="s">
        <v>850</v>
      </c>
      <c r="B1686" s="197">
        <v>2046</v>
      </c>
      <c r="C1686" s="213" t="s">
        <v>4865</v>
      </c>
      <c r="D1686" s="239">
        <v>5.1826811865656281E-3</v>
      </c>
      <c r="E1686" s="226">
        <v>2.6878457418048066E-2</v>
      </c>
      <c r="F1686" s="226">
        <v>7.7084096873980318E-4</v>
      </c>
      <c r="G1686" s="227">
        <v>7.0914292385760452E-4</v>
      </c>
      <c r="H1686" s="226">
        <v>2.0000005732018701E-3</v>
      </c>
      <c r="I1686" s="255">
        <v>3.6707707903818978E-3</v>
      </c>
      <c r="J1686" s="256">
        <v>9.8326161014236608E-6</v>
      </c>
      <c r="K1686" s="257">
        <v>1.027720336994228E-5</v>
      </c>
      <c r="L1686" s="228">
        <v>3.0812825916617204E-2</v>
      </c>
    </row>
    <row r="1687" spans="1:12" s="212" customFormat="1" ht="15.5" x14ac:dyDescent="0.35">
      <c r="A1687" s="198" t="s">
        <v>850</v>
      </c>
      <c r="B1687" s="197">
        <v>2047</v>
      </c>
      <c r="C1687" s="213" t="s">
        <v>4866</v>
      </c>
      <c r="D1687" s="239">
        <v>5.0603125977245218E-3</v>
      </c>
      <c r="E1687" s="226">
        <v>2.6043668112613532E-2</v>
      </c>
      <c r="F1687" s="226">
        <v>7.5702108515583364E-4</v>
      </c>
      <c r="G1687" s="227">
        <v>6.9641174612535884E-4</v>
      </c>
      <c r="H1687" s="226">
        <v>2.0000005732018745E-3</v>
      </c>
      <c r="I1687" s="255">
        <v>3.6701872252938596E-3</v>
      </c>
      <c r="J1687" s="256">
        <v>9.2088195108006906E-6</v>
      </c>
      <c r="K1687" s="257">
        <v>9.6252014655477223E-6</v>
      </c>
      <c r="L1687" s="228">
        <v>3.0762645956376344E-2</v>
      </c>
    </row>
    <row r="1688" spans="1:12" s="212" customFormat="1" ht="15.5" x14ac:dyDescent="0.35">
      <c r="A1688" s="198" t="s">
        <v>850</v>
      </c>
      <c r="B1688" s="197">
        <v>2048</v>
      </c>
      <c r="C1688" s="213" t="s">
        <v>4867</v>
      </c>
      <c r="D1688" s="239">
        <v>4.9756702127985155E-3</v>
      </c>
      <c r="E1688" s="226">
        <v>2.5471649900692787E-2</v>
      </c>
      <c r="F1688" s="226">
        <v>7.4587973703003061E-4</v>
      </c>
      <c r="G1688" s="227">
        <v>6.8615397592875188E-4</v>
      </c>
      <c r="H1688" s="226">
        <v>2.0000005732018701E-3</v>
      </c>
      <c r="I1688" s="255">
        <v>3.6697644053748368E-3</v>
      </c>
      <c r="J1688" s="256">
        <v>8.8568985141507737E-6</v>
      </c>
      <c r="K1688" s="257">
        <v>9.257368163055597E-6</v>
      </c>
      <c r="L1688" s="228">
        <v>3.0719068626907792E-2</v>
      </c>
    </row>
    <row r="1689" spans="1:12" s="212" customFormat="1" ht="15.5" x14ac:dyDescent="0.35">
      <c r="A1689" s="198" t="s">
        <v>850</v>
      </c>
      <c r="B1689" s="197">
        <v>2049</v>
      </c>
      <c r="C1689" s="213" t="s">
        <v>4868</v>
      </c>
      <c r="D1689" s="239">
        <v>4.9573458295708644E-3</v>
      </c>
      <c r="E1689" s="226">
        <v>2.5408334606696014E-2</v>
      </c>
      <c r="F1689" s="226">
        <v>7.3922721049957368E-4</v>
      </c>
      <c r="G1689" s="227">
        <v>6.8002565166525898E-4</v>
      </c>
      <c r="H1689" s="226">
        <v>2.0000005732018697E-3</v>
      </c>
      <c r="I1689" s="255">
        <v>3.6693219206333891E-3</v>
      </c>
      <c r="J1689" s="256">
        <v>8.5599059875989995E-6</v>
      </c>
      <c r="K1689" s="257">
        <v>8.9469469523379754E-6</v>
      </c>
      <c r="L1689" s="228">
        <v>3.0681507246804185E-2</v>
      </c>
    </row>
    <row r="1690" spans="1:12" s="212" customFormat="1" ht="15.5" x14ac:dyDescent="0.35">
      <c r="A1690" s="198" t="s">
        <v>850</v>
      </c>
      <c r="B1690" s="197">
        <v>2050</v>
      </c>
      <c r="C1690" s="213" t="s">
        <v>4869</v>
      </c>
      <c r="D1690" s="239">
        <v>4.9430490444110908E-3</v>
      </c>
      <c r="E1690" s="226">
        <v>2.5361051742364076E-2</v>
      </c>
      <c r="F1690" s="226">
        <v>7.3386828147809446E-4</v>
      </c>
      <c r="G1690" s="227">
        <v>6.7509044495589216E-4</v>
      </c>
      <c r="H1690" s="226">
        <v>2.0000005732018701E-3</v>
      </c>
      <c r="I1690" s="255">
        <v>3.6690017764226457E-3</v>
      </c>
      <c r="J1690" s="256">
        <v>8.3579371252457284E-6</v>
      </c>
      <c r="K1690" s="257">
        <v>8.7358459542526258E-6</v>
      </c>
      <c r="L1690" s="228">
        <v>3.0651130828407588E-2</v>
      </c>
    </row>
    <row r="1691" spans="1:12" s="212" customFormat="1" ht="15.5" x14ac:dyDescent="0.35">
      <c r="A1691" s="198" t="s">
        <v>851</v>
      </c>
      <c r="B1691" s="197">
        <v>2015</v>
      </c>
      <c r="C1691" s="213" t="s">
        <v>951</v>
      </c>
      <c r="D1691" s="239">
        <v>9.662956960902605E-2</v>
      </c>
      <c r="E1691" s="226">
        <v>0.3588654966439247</v>
      </c>
      <c r="F1691" s="226">
        <v>3.3720452797261369E-3</v>
      </c>
      <c r="G1691" s="227">
        <v>3.1208437084712221E-3</v>
      </c>
      <c r="H1691" s="226">
        <v>2.0000005732018801E-3</v>
      </c>
      <c r="I1691" s="255">
        <v>3.1622215130086471E-3</v>
      </c>
      <c r="J1691" s="256">
        <v>3.3750930044008063E-4</v>
      </c>
      <c r="K1691" s="257">
        <v>3.527699733306419E-4</v>
      </c>
      <c r="L1691" s="228">
        <v>4.7024146076320772E-2</v>
      </c>
    </row>
    <row r="1692" spans="1:12" s="212" customFormat="1" ht="15.5" x14ac:dyDescent="0.35">
      <c r="A1692" s="198" t="s">
        <v>851</v>
      </c>
      <c r="B1692" s="197">
        <v>2016</v>
      </c>
      <c r="C1692" s="213" t="s">
        <v>952</v>
      </c>
      <c r="D1692" s="239">
        <v>8.5051451808035694E-2</v>
      </c>
      <c r="E1692" s="226">
        <v>0.32772096561658437</v>
      </c>
      <c r="F1692" s="226">
        <v>3.2211987682311746E-3</v>
      </c>
      <c r="G1692" s="227">
        <v>2.9798183072244377E-3</v>
      </c>
      <c r="H1692" s="226">
        <v>2.0000005732018801E-3</v>
      </c>
      <c r="I1692" s="255">
        <v>3.1571672972520561E-3</v>
      </c>
      <c r="J1692" s="256">
        <v>3.2325548752119111E-4</v>
      </c>
      <c r="K1692" s="257">
        <v>3.3787166624191819E-4</v>
      </c>
      <c r="L1692" s="228">
        <v>4.5952405243942722E-2</v>
      </c>
    </row>
    <row r="1693" spans="1:12" s="212" customFormat="1" ht="15.5" x14ac:dyDescent="0.35">
      <c r="A1693" s="198" t="s">
        <v>851</v>
      </c>
      <c r="B1693" s="197">
        <v>2017</v>
      </c>
      <c r="C1693" s="213" t="s">
        <v>4870</v>
      </c>
      <c r="D1693" s="239">
        <v>6.9107896968528745E-2</v>
      </c>
      <c r="E1693" s="226">
        <v>0.27838283665796698</v>
      </c>
      <c r="F1693" s="226">
        <v>2.9585162619129666E-3</v>
      </c>
      <c r="G1693" s="227">
        <v>2.7346695840806683E-3</v>
      </c>
      <c r="H1693" s="226">
        <v>2.0000005732018805E-3</v>
      </c>
      <c r="I1693" s="255">
        <v>3.1606512584402748E-3</v>
      </c>
      <c r="J1693" s="256">
        <v>2.7626501029422341E-4</v>
      </c>
      <c r="K1693" s="257">
        <v>2.887564881519011E-4</v>
      </c>
      <c r="L1693" s="228">
        <v>4.5638002249523184E-2</v>
      </c>
    </row>
    <row r="1694" spans="1:12" s="212" customFormat="1" ht="15.5" x14ac:dyDescent="0.35">
      <c r="A1694" s="198" t="s">
        <v>851</v>
      </c>
      <c r="B1694" s="197">
        <v>2018</v>
      </c>
      <c r="C1694" s="213" t="s">
        <v>4871</v>
      </c>
      <c r="D1694" s="239">
        <v>5.7903364931717945E-2</v>
      </c>
      <c r="E1694" s="226">
        <v>0.24339857385239053</v>
      </c>
      <c r="F1694" s="226">
        <v>2.8294958629800134E-3</v>
      </c>
      <c r="G1694" s="227">
        <v>2.6138425359416178E-3</v>
      </c>
      <c r="H1694" s="226">
        <v>2.0000005732018801E-3</v>
      </c>
      <c r="I1694" s="255">
        <v>3.1606266603435157E-3</v>
      </c>
      <c r="J1694" s="256">
        <v>2.5425864943786312E-4</v>
      </c>
      <c r="K1694" s="257">
        <v>2.6575509730939655E-4</v>
      </c>
      <c r="L1694" s="228">
        <v>4.512265415293059E-2</v>
      </c>
    </row>
    <row r="1695" spans="1:12" s="212" customFormat="1" ht="15.5" x14ac:dyDescent="0.35">
      <c r="A1695" s="198" t="s">
        <v>851</v>
      </c>
      <c r="B1695" s="197">
        <v>2019</v>
      </c>
      <c r="C1695" s="213" t="s">
        <v>4872</v>
      </c>
      <c r="D1695" s="239">
        <v>4.8584250725069798E-2</v>
      </c>
      <c r="E1695" s="226">
        <v>0.20857524607746303</v>
      </c>
      <c r="F1695" s="226">
        <v>2.700504422482557E-3</v>
      </c>
      <c r="G1695" s="227">
        <v>2.4923103475334878E-3</v>
      </c>
      <c r="H1695" s="226">
        <v>2.0000005732018801E-3</v>
      </c>
      <c r="I1695" s="255">
        <v>3.162003344596803E-3</v>
      </c>
      <c r="J1695" s="256">
        <v>2.0209795967323651E-4</v>
      </c>
      <c r="K1695" s="257">
        <v>2.1123593261324674E-4</v>
      </c>
      <c r="L1695" s="228">
        <v>4.4510180449181293E-2</v>
      </c>
    </row>
    <row r="1696" spans="1:12" s="212" customFormat="1" ht="15.5" x14ac:dyDescent="0.35">
      <c r="A1696" s="198" t="s">
        <v>851</v>
      </c>
      <c r="B1696" s="197">
        <v>2020</v>
      </c>
      <c r="C1696" s="213" t="s">
        <v>4873</v>
      </c>
      <c r="D1696" s="239">
        <v>4.2802991948707299E-2</v>
      </c>
      <c r="E1696" s="226">
        <v>0.18726053052541372</v>
      </c>
      <c r="F1696" s="226">
        <v>2.6057535493111874E-3</v>
      </c>
      <c r="G1696" s="227">
        <v>2.404177973547869E-3</v>
      </c>
      <c r="H1696" s="226">
        <v>2.0000005732018801E-3</v>
      </c>
      <c r="I1696" s="255">
        <v>3.1696573161595757E-3</v>
      </c>
      <c r="J1696" s="256">
        <v>1.8498350351297247E-4</v>
      </c>
      <c r="K1696" s="257">
        <v>1.9334763668968932E-4</v>
      </c>
      <c r="L1696" s="228">
        <v>4.4156329032944176E-2</v>
      </c>
    </row>
    <row r="1697" spans="1:12" s="212" customFormat="1" ht="15.5" x14ac:dyDescent="0.35">
      <c r="A1697" s="198" t="s">
        <v>851</v>
      </c>
      <c r="B1697" s="197">
        <v>2021</v>
      </c>
      <c r="C1697" s="213" t="s">
        <v>4874</v>
      </c>
      <c r="D1697" s="239">
        <v>3.7517932263288742E-2</v>
      </c>
      <c r="E1697" s="226">
        <v>0.16627382335824711</v>
      </c>
      <c r="F1697" s="226">
        <v>2.4728569686094854E-3</v>
      </c>
      <c r="G1697" s="227">
        <v>2.2810759129541056E-3</v>
      </c>
      <c r="H1697" s="226">
        <v>2.0000005732018797E-3</v>
      </c>
      <c r="I1697" s="255">
        <v>3.1734421300997698E-3</v>
      </c>
      <c r="J1697" s="256">
        <v>1.6838085336026696E-4</v>
      </c>
      <c r="K1697" s="257">
        <v>1.7599428837024723E-4</v>
      </c>
      <c r="L1697" s="228">
        <v>4.3326316194937438E-2</v>
      </c>
    </row>
    <row r="1698" spans="1:12" s="212" customFormat="1" ht="15.5" x14ac:dyDescent="0.35">
      <c r="A1698" s="198" t="s">
        <v>851</v>
      </c>
      <c r="B1698" s="197">
        <v>2022</v>
      </c>
      <c r="C1698" s="213" t="s">
        <v>4875</v>
      </c>
      <c r="D1698" s="239">
        <v>3.0917566697094702E-2</v>
      </c>
      <c r="E1698" s="226">
        <v>0.14478431545688042</v>
      </c>
      <c r="F1698" s="226">
        <v>2.3306615015084181E-3</v>
      </c>
      <c r="G1698" s="227">
        <v>2.1490345227365925E-3</v>
      </c>
      <c r="H1698" s="226">
        <v>2.0000005732018801E-3</v>
      </c>
      <c r="I1698" s="255">
        <v>3.1730688385957291E-3</v>
      </c>
      <c r="J1698" s="256">
        <v>1.5079217677043788E-4</v>
      </c>
      <c r="K1698" s="257">
        <v>1.5761032987362281E-4</v>
      </c>
      <c r="L1698" s="228">
        <v>4.2551256667126315E-2</v>
      </c>
    </row>
    <row r="1699" spans="1:12" s="212" customFormat="1" ht="15.5" x14ac:dyDescent="0.35">
      <c r="A1699" s="198" t="s">
        <v>851</v>
      </c>
      <c r="B1699" s="197">
        <v>2023</v>
      </c>
      <c r="C1699" s="213" t="s">
        <v>4876</v>
      </c>
      <c r="D1699" s="239">
        <v>2.701264639977061E-2</v>
      </c>
      <c r="E1699" s="226">
        <v>0.12743646757469534</v>
      </c>
      <c r="F1699" s="226">
        <v>2.2026714357619406E-3</v>
      </c>
      <c r="G1699" s="227">
        <v>2.0306054554682278E-3</v>
      </c>
      <c r="H1699" s="226">
        <v>2.0000005732018805E-3</v>
      </c>
      <c r="I1699" s="255">
        <v>3.1720990434021355E-3</v>
      </c>
      <c r="J1699" s="256">
        <v>1.3400153687691436E-4</v>
      </c>
      <c r="K1699" s="257">
        <v>1.40060491751475E-4</v>
      </c>
      <c r="L1699" s="228">
        <v>4.1729391457000525E-2</v>
      </c>
    </row>
    <row r="1700" spans="1:12" s="212" customFormat="1" ht="15.5" x14ac:dyDescent="0.35">
      <c r="A1700" s="198" t="s">
        <v>851</v>
      </c>
      <c r="B1700" s="197">
        <v>2024</v>
      </c>
      <c r="C1700" s="213" t="s">
        <v>4877</v>
      </c>
      <c r="D1700" s="239">
        <v>2.3658923454847547E-2</v>
      </c>
      <c r="E1700" s="226">
        <v>0.11254198236787077</v>
      </c>
      <c r="F1700" s="226">
        <v>2.0883111364504246E-3</v>
      </c>
      <c r="G1700" s="227">
        <v>1.9247332527318295E-3</v>
      </c>
      <c r="H1700" s="226">
        <v>2.0000005732018801E-3</v>
      </c>
      <c r="I1700" s="255">
        <v>3.1712599402145235E-3</v>
      </c>
      <c r="J1700" s="256">
        <v>1.1750320881020557E-4</v>
      </c>
      <c r="K1700" s="257">
        <v>1.2281618249983641E-4</v>
      </c>
      <c r="L1700" s="228">
        <v>4.0870753939401185E-2</v>
      </c>
    </row>
    <row r="1701" spans="1:12" s="212" customFormat="1" ht="15.5" x14ac:dyDescent="0.35">
      <c r="A1701" s="198" t="s">
        <v>851</v>
      </c>
      <c r="B1701" s="197">
        <v>2025</v>
      </c>
      <c r="C1701" s="213" t="s">
        <v>4878</v>
      </c>
      <c r="D1701" s="239">
        <v>2.0995760963593242E-2</v>
      </c>
      <c r="E1701" s="226">
        <v>0.10037194116987892</v>
      </c>
      <c r="F1701" s="226">
        <v>1.9955783929093279E-3</v>
      </c>
      <c r="G1701" s="227">
        <v>1.8388852555276804E-3</v>
      </c>
      <c r="H1701" s="226">
        <v>2.0000005732018805E-3</v>
      </c>
      <c r="I1701" s="255">
        <v>3.1705285619318458E-3</v>
      </c>
      <c r="J1701" s="256">
        <v>1.0318818288262514E-4</v>
      </c>
      <c r="K1701" s="257">
        <v>1.0785389462179732E-4</v>
      </c>
      <c r="L1701" s="228">
        <v>3.9977589395721547E-2</v>
      </c>
    </row>
    <row r="1702" spans="1:12" s="212" customFormat="1" ht="15.5" x14ac:dyDescent="0.35">
      <c r="A1702" s="198" t="s">
        <v>851</v>
      </c>
      <c r="B1702" s="197">
        <v>2026</v>
      </c>
      <c r="C1702" s="213" t="s">
        <v>4879</v>
      </c>
      <c r="D1702" s="239">
        <v>1.8759149666355363E-2</v>
      </c>
      <c r="E1702" s="226">
        <v>9.0146959896389475E-2</v>
      </c>
      <c r="F1702" s="226">
        <v>1.9036062637745755E-3</v>
      </c>
      <c r="G1702" s="227">
        <v>1.7537447841994326E-3</v>
      </c>
      <c r="H1702" s="226">
        <v>2.0000005732018805E-3</v>
      </c>
      <c r="I1702" s="255">
        <v>3.1696613009298924E-3</v>
      </c>
      <c r="J1702" s="256">
        <v>8.8501477002698488E-5</v>
      </c>
      <c r="K1702" s="257">
        <v>9.2503121073272669E-5</v>
      </c>
      <c r="L1702" s="228">
        <v>3.905779317527127E-2</v>
      </c>
    </row>
    <row r="1703" spans="1:12" s="212" customFormat="1" ht="15.5" x14ac:dyDescent="0.35">
      <c r="A1703" s="198" t="s">
        <v>851</v>
      </c>
      <c r="B1703" s="197">
        <v>2027</v>
      </c>
      <c r="C1703" s="213" t="s">
        <v>4880</v>
      </c>
      <c r="D1703" s="239">
        <v>1.6865575165200809E-2</v>
      </c>
      <c r="E1703" s="226">
        <v>8.1350102510540145E-2</v>
      </c>
      <c r="F1703" s="226">
        <v>1.7975895895158687E-3</v>
      </c>
      <c r="G1703" s="227">
        <v>1.6554862264718459E-3</v>
      </c>
      <c r="H1703" s="226">
        <v>2.0000005732018801E-3</v>
      </c>
      <c r="I1703" s="255">
        <v>3.1685064189644853E-3</v>
      </c>
      <c r="J1703" s="256">
        <v>6.8499901391067997E-5</v>
      </c>
      <c r="K1703" s="257">
        <v>7.1597162968161643E-5</v>
      </c>
      <c r="L1703" s="228">
        <v>3.8310524455793429E-2</v>
      </c>
    </row>
    <row r="1704" spans="1:12" s="212" customFormat="1" ht="15.5" x14ac:dyDescent="0.35">
      <c r="A1704" s="198" t="s">
        <v>851</v>
      </c>
      <c r="B1704" s="197">
        <v>2028</v>
      </c>
      <c r="C1704" s="213" t="s">
        <v>4881</v>
      </c>
      <c r="D1704" s="239">
        <v>1.5225382986761115E-2</v>
      </c>
      <c r="E1704" s="226">
        <v>7.3802555671208955E-2</v>
      </c>
      <c r="F1704" s="226">
        <v>1.6884905796646298E-3</v>
      </c>
      <c r="G1704" s="227">
        <v>1.554623892773406E-3</v>
      </c>
      <c r="H1704" s="226">
        <v>2.0000005732018797E-3</v>
      </c>
      <c r="I1704" s="255">
        <v>3.1673439717569102E-3</v>
      </c>
      <c r="J1704" s="256">
        <v>5.4388485660863808E-5</v>
      </c>
      <c r="K1704" s="257">
        <v>5.6847691637117214E-5</v>
      </c>
      <c r="L1704" s="228">
        <v>3.7568582977349593E-2</v>
      </c>
    </row>
    <row r="1705" spans="1:12" s="212" customFormat="1" ht="15.5" x14ac:dyDescent="0.35">
      <c r="A1705" s="198" t="s">
        <v>851</v>
      </c>
      <c r="B1705" s="197">
        <v>2029</v>
      </c>
      <c r="C1705" s="213" t="s">
        <v>4882</v>
      </c>
      <c r="D1705" s="239">
        <v>1.3797582290083462E-2</v>
      </c>
      <c r="E1705" s="226">
        <v>6.7260965546851043E-2</v>
      </c>
      <c r="F1705" s="226">
        <v>1.5862219189026556E-3</v>
      </c>
      <c r="G1705" s="227">
        <v>1.460251703465892E-3</v>
      </c>
      <c r="H1705" s="226">
        <v>2.0000005732018801E-3</v>
      </c>
      <c r="I1705" s="255">
        <v>3.1662237387099878E-3</v>
      </c>
      <c r="J1705" s="256">
        <v>4.5664006763819256E-5</v>
      </c>
      <c r="K1705" s="257">
        <v>4.7728730518650211E-5</v>
      </c>
      <c r="L1705" s="228">
        <v>3.6890091233328058E-2</v>
      </c>
    </row>
    <row r="1706" spans="1:12" s="212" customFormat="1" ht="15.5" x14ac:dyDescent="0.35">
      <c r="A1706" s="198" t="s">
        <v>851</v>
      </c>
      <c r="B1706" s="197">
        <v>2030</v>
      </c>
      <c r="C1706" s="213" t="s">
        <v>4883</v>
      </c>
      <c r="D1706" s="239">
        <v>1.2625670955492656E-2</v>
      </c>
      <c r="E1706" s="226">
        <v>6.1754581689053602E-2</v>
      </c>
      <c r="F1706" s="226">
        <v>1.4891203231943613E-3</v>
      </c>
      <c r="G1706" s="227">
        <v>1.3706589519931923E-3</v>
      </c>
      <c r="H1706" s="226">
        <v>2.0000005732018801E-3</v>
      </c>
      <c r="I1706" s="255">
        <v>3.1651687458707314E-3</v>
      </c>
      <c r="J1706" s="256">
        <v>3.7671307817446207E-5</v>
      </c>
      <c r="K1706" s="257">
        <v>3.9374637192998451E-5</v>
      </c>
      <c r="L1706" s="228">
        <v>3.6272859220005671E-2</v>
      </c>
    </row>
    <row r="1707" spans="1:12" s="212" customFormat="1" ht="15.5" x14ac:dyDescent="0.35">
      <c r="A1707" s="198" t="s">
        <v>851</v>
      </c>
      <c r="B1707" s="197">
        <v>2031</v>
      </c>
      <c r="C1707" s="213" t="s">
        <v>4884</v>
      </c>
      <c r="D1707" s="239">
        <v>1.157453078615962E-2</v>
      </c>
      <c r="E1707" s="226">
        <v>5.682706187312065E-2</v>
      </c>
      <c r="F1707" s="226">
        <v>1.3982204686650698E-3</v>
      </c>
      <c r="G1707" s="227">
        <v>1.2869060460208202E-3</v>
      </c>
      <c r="H1707" s="226">
        <v>2.0000005732018801E-3</v>
      </c>
      <c r="I1707" s="255">
        <v>3.1639838576158897E-3</v>
      </c>
      <c r="J1707" s="256">
        <v>3.3209493595055555E-5</v>
      </c>
      <c r="K1707" s="257">
        <v>3.4711079530478699E-5</v>
      </c>
      <c r="L1707" s="228">
        <v>3.5606510299516704E-2</v>
      </c>
    </row>
    <row r="1708" spans="1:12" s="212" customFormat="1" ht="15.5" x14ac:dyDescent="0.35">
      <c r="A1708" s="198" t="s">
        <v>851</v>
      </c>
      <c r="B1708" s="197">
        <v>2032</v>
      </c>
      <c r="C1708" s="213" t="s">
        <v>4885</v>
      </c>
      <c r="D1708" s="239">
        <v>1.0654785690424908E-2</v>
      </c>
      <c r="E1708" s="226">
        <v>5.2595175003291132E-2</v>
      </c>
      <c r="F1708" s="226">
        <v>1.3118007426938289E-3</v>
      </c>
      <c r="G1708" s="227">
        <v>1.2072621406979966E-3</v>
      </c>
      <c r="H1708" s="226">
        <v>2.0000005732018801E-3</v>
      </c>
      <c r="I1708" s="255">
        <v>3.1627226537029904E-3</v>
      </c>
      <c r="J1708" s="256">
        <v>2.8483012391673955E-5</v>
      </c>
      <c r="K1708" s="257">
        <v>2.9770887820529799E-5</v>
      </c>
      <c r="L1708" s="228">
        <v>3.5103525134694412E-2</v>
      </c>
    </row>
    <row r="1709" spans="1:12" s="212" customFormat="1" ht="15.5" x14ac:dyDescent="0.35">
      <c r="A1709" s="198" t="s">
        <v>851</v>
      </c>
      <c r="B1709" s="197">
        <v>2033</v>
      </c>
      <c r="C1709" s="213" t="s">
        <v>4886</v>
      </c>
      <c r="D1709" s="239">
        <v>9.8170630194946585E-3</v>
      </c>
      <c r="E1709" s="226">
        <v>4.8804030896544628E-2</v>
      </c>
      <c r="F1709" s="226">
        <v>1.2308469706182809E-3</v>
      </c>
      <c r="G1709" s="227">
        <v>1.132719449066438E-3</v>
      </c>
      <c r="H1709" s="226">
        <v>2.0000005732018801E-3</v>
      </c>
      <c r="I1709" s="255">
        <v>3.1613212371781165E-3</v>
      </c>
      <c r="J1709" s="256">
        <v>2.5693525144161507E-5</v>
      </c>
      <c r="K1709" s="257">
        <v>2.6855272337851255E-5</v>
      </c>
      <c r="L1709" s="228">
        <v>3.4735507429258863E-2</v>
      </c>
    </row>
    <row r="1710" spans="1:12" s="212" customFormat="1" ht="15.5" x14ac:dyDescent="0.35">
      <c r="A1710" s="198" t="s">
        <v>851</v>
      </c>
      <c r="B1710" s="197">
        <v>2034</v>
      </c>
      <c r="C1710" s="213" t="s">
        <v>4887</v>
      </c>
      <c r="D1710" s="239">
        <v>9.0564622609641127E-3</v>
      </c>
      <c r="E1710" s="226">
        <v>4.5492877850360144E-2</v>
      </c>
      <c r="F1710" s="226">
        <v>1.1541189321975273E-3</v>
      </c>
      <c r="G1710" s="227">
        <v>1.0620622738201904E-3</v>
      </c>
      <c r="H1710" s="226">
        <v>2.0000005732018801E-3</v>
      </c>
      <c r="I1710" s="255">
        <v>3.1598494555923179E-3</v>
      </c>
      <c r="J1710" s="256">
        <v>2.2906868108504123E-5</v>
      </c>
      <c r="K1710" s="257">
        <v>2.3942615036648874E-5</v>
      </c>
      <c r="L1710" s="228">
        <v>3.4333845836204947E-2</v>
      </c>
    </row>
    <row r="1711" spans="1:12" s="212" customFormat="1" ht="15.5" x14ac:dyDescent="0.35">
      <c r="A1711" s="198" t="s">
        <v>851</v>
      </c>
      <c r="B1711" s="197">
        <v>2035</v>
      </c>
      <c r="C1711" s="213" t="s">
        <v>4888</v>
      </c>
      <c r="D1711" s="239">
        <v>8.3867507422389388E-3</v>
      </c>
      <c r="E1711" s="226">
        <v>4.2680322746918409E-2</v>
      </c>
      <c r="F1711" s="226">
        <v>1.0831654444118635E-3</v>
      </c>
      <c r="G1711" s="227">
        <v>9.9672389703849809E-4</v>
      </c>
      <c r="H1711" s="226">
        <v>2.0000005732018801E-3</v>
      </c>
      <c r="I1711" s="255">
        <v>3.1583971975789019E-3</v>
      </c>
      <c r="J1711" s="256">
        <v>2.0359215788763332E-5</v>
      </c>
      <c r="K1711" s="257">
        <v>2.1279769184049171E-5</v>
      </c>
      <c r="L1711" s="228">
        <v>3.3980954331097789E-2</v>
      </c>
    </row>
    <row r="1712" spans="1:12" s="212" customFormat="1" ht="15.5" x14ac:dyDescent="0.35">
      <c r="A1712" s="198" t="s">
        <v>851</v>
      </c>
      <c r="B1712" s="197">
        <v>2036</v>
      </c>
      <c r="C1712" s="213" t="s">
        <v>4889</v>
      </c>
      <c r="D1712" s="239">
        <v>7.7945754367811241E-3</v>
      </c>
      <c r="E1712" s="226">
        <v>4.0218844453399849E-2</v>
      </c>
      <c r="F1712" s="226">
        <v>1.0223670165598706E-3</v>
      </c>
      <c r="G1712" s="227">
        <v>9.4073688569595371E-4</v>
      </c>
      <c r="H1712" s="226">
        <v>2.0000005732018805E-3</v>
      </c>
      <c r="I1712" s="255">
        <v>3.1569703670593684E-3</v>
      </c>
      <c r="J1712" s="256">
        <v>1.8175055188338886E-5</v>
      </c>
      <c r="K1712" s="257">
        <v>1.8996850533342651E-5</v>
      </c>
      <c r="L1712" s="228">
        <v>3.3662891614431222E-2</v>
      </c>
    </row>
    <row r="1713" spans="1:12" s="212" customFormat="1" ht="15.5" x14ac:dyDescent="0.35">
      <c r="A1713" s="198" t="s">
        <v>851</v>
      </c>
      <c r="B1713" s="197">
        <v>2037</v>
      </c>
      <c r="C1713" s="213" t="s">
        <v>4890</v>
      </c>
      <c r="D1713" s="239">
        <v>7.264001083794199E-3</v>
      </c>
      <c r="E1713" s="226">
        <v>3.8045790701375495E-2</v>
      </c>
      <c r="F1713" s="226">
        <v>9.6715788808744577E-4</v>
      </c>
      <c r="G1713" s="227">
        <v>8.8989919152162461E-4</v>
      </c>
      <c r="H1713" s="226">
        <v>2.0000005732018801E-3</v>
      </c>
      <c r="I1713" s="255">
        <v>3.1556005903345223E-3</v>
      </c>
      <c r="J1713" s="256">
        <v>1.6251725081241289E-5</v>
      </c>
      <c r="K1713" s="257">
        <v>1.6986555973453033E-5</v>
      </c>
      <c r="L1713" s="228">
        <v>3.3398035150926556E-2</v>
      </c>
    </row>
    <row r="1714" spans="1:12" s="212" customFormat="1" ht="15.5" x14ac:dyDescent="0.35">
      <c r="A1714" s="198" t="s">
        <v>851</v>
      </c>
      <c r="B1714" s="197">
        <v>2038</v>
      </c>
      <c r="C1714" s="213" t="s">
        <v>4891</v>
      </c>
      <c r="D1714" s="239">
        <v>6.7911124160547429E-3</v>
      </c>
      <c r="E1714" s="226">
        <v>3.6109486110993724E-2</v>
      </c>
      <c r="F1714" s="226">
        <v>9.1783290435484073E-4</v>
      </c>
      <c r="G1714" s="227">
        <v>8.4449872661887027E-4</v>
      </c>
      <c r="H1714" s="226">
        <v>2.0000005732018801E-3</v>
      </c>
      <c r="I1714" s="255">
        <v>3.1543200758180402E-3</v>
      </c>
      <c r="J1714" s="256">
        <v>1.5020730572038314E-5</v>
      </c>
      <c r="K1714" s="257">
        <v>1.5699901355001139E-5</v>
      </c>
      <c r="L1714" s="228">
        <v>3.3172353106237465E-2</v>
      </c>
    </row>
    <row r="1715" spans="1:12" s="212" customFormat="1" ht="15.5" x14ac:dyDescent="0.35">
      <c r="A1715" s="198" t="s">
        <v>851</v>
      </c>
      <c r="B1715" s="197">
        <v>2039</v>
      </c>
      <c r="C1715" s="213" t="s">
        <v>4892</v>
      </c>
      <c r="D1715" s="239">
        <v>6.3184140397885107E-3</v>
      </c>
      <c r="E1715" s="226">
        <v>3.4211537171377447E-2</v>
      </c>
      <c r="F1715" s="226">
        <v>8.7264606316174128E-4</v>
      </c>
      <c r="G1715" s="227">
        <v>8.0290278081692141E-4</v>
      </c>
      <c r="H1715" s="226">
        <v>2.0000005732018801E-3</v>
      </c>
      <c r="I1715" s="255">
        <v>3.1531171208798647E-3</v>
      </c>
      <c r="J1715" s="256">
        <v>1.3780747658617999E-5</v>
      </c>
      <c r="K1715" s="257">
        <v>1.4403851916578628E-5</v>
      </c>
      <c r="L1715" s="228">
        <v>3.2981543438816499E-2</v>
      </c>
    </row>
    <row r="1716" spans="1:12" s="212" customFormat="1" ht="15.5" x14ac:dyDescent="0.35">
      <c r="A1716" s="198" t="s">
        <v>851</v>
      </c>
      <c r="B1716" s="197">
        <v>2040</v>
      </c>
      <c r="C1716" s="213" t="s">
        <v>4893</v>
      </c>
      <c r="D1716" s="239">
        <v>5.9115336133415573E-3</v>
      </c>
      <c r="E1716" s="226">
        <v>3.2613982429524437E-2</v>
      </c>
      <c r="F1716" s="226">
        <v>8.3265746034368331E-4</v>
      </c>
      <c r="G1716" s="227">
        <v>7.6609514816487702E-4</v>
      </c>
      <c r="H1716" s="226">
        <v>2.0000005732018801E-3</v>
      </c>
      <c r="I1716" s="255">
        <v>3.1520451647181623E-3</v>
      </c>
      <c r="J1716" s="256">
        <v>1.2764691906800766E-5</v>
      </c>
      <c r="K1716" s="257">
        <v>1.334185463234487E-5</v>
      </c>
      <c r="L1716" s="228">
        <v>3.2821483870507519E-2</v>
      </c>
    </row>
    <row r="1717" spans="1:12" s="212" customFormat="1" ht="15.5" x14ac:dyDescent="0.35">
      <c r="A1717" s="198" t="s">
        <v>851</v>
      </c>
      <c r="B1717" s="197">
        <v>2041</v>
      </c>
      <c r="C1717" s="213" t="s">
        <v>4894</v>
      </c>
      <c r="D1717" s="239">
        <v>5.625376696203931E-3</v>
      </c>
      <c r="E1717" s="226">
        <v>3.138836652769901E-2</v>
      </c>
      <c r="F1717" s="226">
        <v>8.0293974182919412E-4</v>
      </c>
      <c r="G1717" s="227">
        <v>7.3874162920235483E-4</v>
      </c>
      <c r="H1717" s="226">
        <v>2.0000005732018797E-3</v>
      </c>
      <c r="I1717" s="255">
        <v>3.1511867668154495E-3</v>
      </c>
      <c r="J1717" s="256">
        <v>1.201593418660945E-5</v>
      </c>
      <c r="K1717" s="257">
        <v>1.2559241410609669E-5</v>
      </c>
      <c r="L1717" s="228">
        <v>3.2595371205426237E-2</v>
      </c>
    </row>
    <row r="1718" spans="1:12" s="212" customFormat="1" ht="15.5" x14ac:dyDescent="0.35">
      <c r="A1718" s="198" t="s">
        <v>851</v>
      </c>
      <c r="B1718" s="197">
        <v>2042</v>
      </c>
      <c r="C1718" s="213" t="s">
        <v>4895</v>
      </c>
      <c r="D1718" s="239">
        <v>5.3604208158302058E-3</v>
      </c>
      <c r="E1718" s="226">
        <v>3.0176219429256069E-2</v>
      </c>
      <c r="F1718" s="226">
        <v>7.7694729288560092E-4</v>
      </c>
      <c r="G1718" s="227">
        <v>7.1481850769743584E-4</v>
      </c>
      <c r="H1718" s="226">
        <v>2.0000005732018797E-3</v>
      </c>
      <c r="I1718" s="255">
        <v>3.1503235935241422E-3</v>
      </c>
      <c r="J1718" s="256">
        <v>1.1399343240832209E-5</v>
      </c>
      <c r="K1718" s="257">
        <v>1.1914770958346195E-5</v>
      </c>
      <c r="L1718" s="228">
        <v>3.2484896042764756E-2</v>
      </c>
    </row>
    <row r="1719" spans="1:12" s="212" customFormat="1" ht="15.5" x14ac:dyDescent="0.35">
      <c r="A1719" s="198" t="s">
        <v>851</v>
      </c>
      <c r="B1719" s="197">
        <v>2043</v>
      </c>
      <c r="C1719" s="213" t="s">
        <v>4896</v>
      </c>
      <c r="D1719" s="239">
        <v>5.150753603978612E-3</v>
      </c>
      <c r="E1719" s="226">
        <v>2.9119357371351233E-2</v>
      </c>
      <c r="F1719" s="226">
        <v>7.5442870813551119E-4</v>
      </c>
      <c r="G1719" s="227">
        <v>6.9409156107757631E-4</v>
      </c>
      <c r="H1719" s="226">
        <v>2.0000005732018797E-3</v>
      </c>
      <c r="I1719" s="255">
        <v>3.1495561808784558E-3</v>
      </c>
      <c r="J1719" s="256">
        <v>1.0836264495595857E-5</v>
      </c>
      <c r="K1719" s="257">
        <v>1.1326232290875164E-5</v>
      </c>
      <c r="L1719" s="228">
        <v>3.2393395396102267E-2</v>
      </c>
    </row>
    <row r="1720" spans="1:12" s="212" customFormat="1" ht="15.5" x14ac:dyDescent="0.35">
      <c r="A1720" s="198" t="s">
        <v>851</v>
      </c>
      <c r="B1720" s="197">
        <v>2044</v>
      </c>
      <c r="C1720" s="213" t="s">
        <v>4897</v>
      </c>
      <c r="D1720" s="239">
        <v>4.9853630104763017E-3</v>
      </c>
      <c r="E1720" s="226">
        <v>2.8132261555296682E-2</v>
      </c>
      <c r="F1720" s="226">
        <v>7.3495772888645321E-4</v>
      </c>
      <c r="G1720" s="227">
        <v>6.7616994538954379E-4</v>
      </c>
      <c r="H1720" s="226">
        <v>2.0000005732018801E-3</v>
      </c>
      <c r="I1720" s="255">
        <v>3.1488303040978615E-3</v>
      </c>
      <c r="J1720" s="256">
        <v>1.0354549596747172E-5</v>
      </c>
      <c r="K1720" s="257">
        <v>1.082273638187875E-5</v>
      </c>
      <c r="L1720" s="228">
        <v>3.2317186256765433E-2</v>
      </c>
    </row>
    <row r="1721" spans="1:12" s="212" customFormat="1" ht="15.5" x14ac:dyDescent="0.35">
      <c r="A1721" s="198" t="s">
        <v>851</v>
      </c>
      <c r="B1721" s="197">
        <v>2045</v>
      </c>
      <c r="C1721" s="213" t="s">
        <v>4898</v>
      </c>
      <c r="D1721" s="239">
        <v>4.8615580855109614E-3</v>
      </c>
      <c r="E1721" s="226">
        <v>2.72458897463662E-2</v>
      </c>
      <c r="F1721" s="226">
        <v>7.181654046297738E-4</v>
      </c>
      <c r="G1721" s="227">
        <v>6.6071413685566804E-4</v>
      </c>
      <c r="H1721" s="226">
        <v>2.0000005732018797E-3</v>
      </c>
      <c r="I1721" s="255">
        <v>3.148194151493343E-3</v>
      </c>
      <c r="J1721" s="256">
        <v>9.9468221901606021E-6</v>
      </c>
      <c r="K1721" s="257">
        <v>1.0396573351229893E-5</v>
      </c>
      <c r="L1721" s="228">
        <v>3.2251925341685833E-2</v>
      </c>
    </row>
    <row r="1722" spans="1:12" s="212" customFormat="1" ht="15.5" x14ac:dyDescent="0.35">
      <c r="A1722" s="198" t="s">
        <v>851</v>
      </c>
      <c r="B1722" s="197">
        <v>2046</v>
      </c>
      <c r="C1722" s="213" t="s">
        <v>4899</v>
      </c>
      <c r="D1722" s="239">
        <v>4.7403260198965519E-3</v>
      </c>
      <c r="E1722" s="226">
        <v>2.6370465788141166E-2</v>
      </c>
      <c r="F1722" s="226">
        <v>7.0360757489695022E-4</v>
      </c>
      <c r="G1722" s="227">
        <v>6.4731360190687043E-4</v>
      </c>
      <c r="H1722" s="226">
        <v>2.0000005732018801E-3</v>
      </c>
      <c r="I1722" s="255">
        <v>3.1475822052392179E-3</v>
      </c>
      <c r="J1722" s="256">
        <v>9.5580449198877682E-6</v>
      </c>
      <c r="K1722" s="257">
        <v>9.9902172979689329E-6</v>
      </c>
      <c r="L1722" s="228">
        <v>3.2197886598868859E-2</v>
      </c>
    </row>
    <row r="1723" spans="1:12" s="212" customFormat="1" ht="15.5" x14ac:dyDescent="0.35">
      <c r="A1723" s="198" t="s">
        <v>851</v>
      </c>
      <c r="B1723" s="197">
        <v>2047</v>
      </c>
      <c r="C1723" s="213" t="s">
        <v>4900</v>
      </c>
      <c r="D1723" s="239">
        <v>4.6403165667846741E-3</v>
      </c>
      <c r="E1723" s="226">
        <v>2.5642372793436681E-2</v>
      </c>
      <c r="F1723" s="226">
        <v>6.9132009712041408E-4</v>
      </c>
      <c r="G1723" s="227">
        <v>6.3600041420011513E-4</v>
      </c>
      <c r="H1723" s="226">
        <v>2.0000005732018801E-3</v>
      </c>
      <c r="I1723" s="255">
        <v>3.1470750080434613E-3</v>
      </c>
      <c r="J1723" s="256">
        <v>9.1652233680137905E-6</v>
      </c>
      <c r="K1723" s="257">
        <v>9.5796340986390351E-6</v>
      </c>
      <c r="L1723" s="228">
        <v>3.2152316705872555E-2</v>
      </c>
    </row>
    <row r="1724" spans="1:12" s="212" customFormat="1" ht="15.5" x14ac:dyDescent="0.35">
      <c r="A1724" s="198" t="s">
        <v>851</v>
      </c>
      <c r="B1724" s="197">
        <v>2048</v>
      </c>
      <c r="C1724" s="213" t="s">
        <v>4901</v>
      </c>
      <c r="D1724" s="239">
        <v>4.5544596612996924E-3</v>
      </c>
      <c r="E1724" s="226">
        <v>2.5022947860219361E-2</v>
      </c>
      <c r="F1724" s="226">
        <v>6.8069672355059623E-4</v>
      </c>
      <c r="G1724" s="227">
        <v>6.2621539788924668E-4</v>
      </c>
      <c r="H1724" s="226">
        <v>2.0000005732018801E-3</v>
      </c>
      <c r="I1724" s="255">
        <v>3.1466006702101342E-3</v>
      </c>
      <c r="J1724" s="256">
        <v>8.7233552385127859E-6</v>
      </c>
      <c r="K1724" s="257">
        <v>9.1177866530827796E-6</v>
      </c>
      <c r="L1724" s="228">
        <v>3.211361016348882E-2</v>
      </c>
    </row>
    <row r="1725" spans="1:12" s="212" customFormat="1" ht="15.5" x14ac:dyDescent="0.35">
      <c r="A1725" s="198" t="s">
        <v>851</v>
      </c>
      <c r="B1725" s="197">
        <v>2049</v>
      </c>
      <c r="C1725" s="213" t="s">
        <v>4902</v>
      </c>
      <c r="D1725" s="239">
        <v>4.5368191359673946E-3</v>
      </c>
      <c r="E1725" s="226">
        <v>2.4958619689791746E-2</v>
      </c>
      <c r="F1725" s="226">
        <v>6.7451009726341576E-4</v>
      </c>
      <c r="G1725" s="227">
        <v>6.2051994714940344E-4</v>
      </c>
      <c r="H1725" s="226">
        <v>2.0000005732018801E-3</v>
      </c>
      <c r="I1725" s="255">
        <v>3.1461466851851029E-3</v>
      </c>
      <c r="J1725" s="256">
        <v>8.541740439173201E-6</v>
      </c>
      <c r="K1725" s="257">
        <v>8.9279600384207797E-6</v>
      </c>
      <c r="L1725" s="228">
        <v>3.2080635833706281E-2</v>
      </c>
    </row>
    <row r="1726" spans="1:12" s="212" customFormat="1" ht="15.5" x14ac:dyDescent="0.35">
      <c r="A1726" s="198" t="s">
        <v>851</v>
      </c>
      <c r="B1726" s="197">
        <v>2050</v>
      </c>
      <c r="C1726" s="213" t="s">
        <v>4903</v>
      </c>
      <c r="D1726" s="239">
        <v>4.5229433788213395E-3</v>
      </c>
      <c r="E1726" s="226">
        <v>2.4905456371375926E-2</v>
      </c>
      <c r="F1726" s="226">
        <v>6.6924544888641118E-4</v>
      </c>
      <c r="G1726" s="227">
        <v>6.1566632315105156E-4</v>
      </c>
      <c r="H1726" s="226">
        <v>2.0000005732018797E-3</v>
      </c>
      <c r="I1726" s="255">
        <v>3.1458083800800893E-3</v>
      </c>
      <c r="J1726" s="256">
        <v>8.2087529645043744E-6</v>
      </c>
      <c r="K1726" s="257">
        <v>8.5799163477574583E-6</v>
      </c>
      <c r="L1726" s="228">
        <v>3.205418885095767E-2</v>
      </c>
    </row>
    <row r="1727" spans="1:12" s="212" customFormat="1" ht="15.5" x14ac:dyDescent="0.35">
      <c r="A1727" s="198" t="s">
        <v>852</v>
      </c>
      <c r="B1727" s="197">
        <v>2015</v>
      </c>
      <c r="C1727" s="213" t="s">
        <v>953</v>
      </c>
      <c r="D1727" s="239">
        <v>4.5625544169411301E-2</v>
      </c>
      <c r="E1727" s="226">
        <v>0.21684007381190648</v>
      </c>
      <c r="F1727" s="226">
        <v>1.7773561488271345E-3</v>
      </c>
      <c r="G1727" s="227">
        <v>1.6424871657080963E-3</v>
      </c>
      <c r="H1727" s="226">
        <v>2.0000005732018797E-3</v>
      </c>
      <c r="I1727" s="255">
        <v>2.0613529566557219E-3</v>
      </c>
      <c r="J1727" s="256">
        <v>1.3700357363685038E-4</v>
      </c>
      <c r="K1727" s="257">
        <v>1.431982672923546E-4</v>
      </c>
      <c r="L1727" s="228">
        <v>4.7024146076320772E-2</v>
      </c>
    </row>
    <row r="1728" spans="1:12" s="212" customFormat="1" ht="15.5" x14ac:dyDescent="0.35">
      <c r="A1728" s="198" t="s">
        <v>852</v>
      </c>
      <c r="B1728" s="197">
        <v>2016</v>
      </c>
      <c r="C1728" s="213" t="s">
        <v>954</v>
      </c>
      <c r="D1728" s="239">
        <v>3.9355058345525148E-2</v>
      </c>
      <c r="E1728" s="226">
        <v>0.19269080466611518</v>
      </c>
      <c r="F1728" s="226">
        <v>1.7161724396564742E-3</v>
      </c>
      <c r="G1728" s="227">
        <v>1.5850090900577181E-3</v>
      </c>
      <c r="H1728" s="226">
        <v>2.0000005732018801E-3</v>
      </c>
      <c r="I1728" s="255">
        <v>2.0154144809305889E-3</v>
      </c>
      <c r="J1728" s="256">
        <v>1.2719140762911443E-4</v>
      </c>
      <c r="K1728" s="257">
        <v>1.3294243867859048E-4</v>
      </c>
      <c r="L1728" s="228">
        <v>4.5952405243942722E-2</v>
      </c>
    </row>
    <row r="1729" spans="1:12" s="212" customFormat="1" ht="15.5" x14ac:dyDescent="0.35">
      <c r="A1729" s="198" t="s">
        <v>852</v>
      </c>
      <c r="B1729" s="197">
        <v>2017</v>
      </c>
      <c r="C1729" s="213" t="s">
        <v>4904</v>
      </c>
      <c r="D1729" s="239">
        <v>3.1535840466531836E-2</v>
      </c>
      <c r="E1729" s="226">
        <v>0.16045133848240328</v>
      </c>
      <c r="F1729" s="226">
        <v>1.6249377814615607E-3</v>
      </c>
      <c r="G1729" s="227">
        <v>1.4994157224809714E-3</v>
      </c>
      <c r="H1729" s="226">
        <v>2.0000005732018801E-3</v>
      </c>
      <c r="I1729" s="255">
        <v>2.0157867836837189E-3</v>
      </c>
      <c r="J1729" s="256">
        <v>1.0445423068213081E-4</v>
      </c>
      <c r="K1729" s="257">
        <v>1.0917718748479284E-4</v>
      </c>
      <c r="L1729" s="228">
        <v>4.5638002249523184E-2</v>
      </c>
    </row>
    <row r="1730" spans="1:12" s="212" customFormat="1" ht="15.5" x14ac:dyDescent="0.35">
      <c r="A1730" s="198" t="s">
        <v>852</v>
      </c>
      <c r="B1730" s="197">
        <v>2018</v>
      </c>
      <c r="C1730" s="213" t="s">
        <v>4905</v>
      </c>
      <c r="D1730" s="239">
        <v>2.6481309179920826E-2</v>
      </c>
      <c r="E1730" s="226">
        <v>0.13941742529632584</v>
      </c>
      <c r="F1730" s="226">
        <v>1.6042336653282181E-3</v>
      </c>
      <c r="G1730" s="227">
        <v>1.4794997397796369E-3</v>
      </c>
      <c r="H1730" s="226">
        <v>2.0000005732018801E-3</v>
      </c>
      <c r="I1730" s="255">
        <v>2.0170362384434423E-3</v>
      </c>
      <c r="J1730" s="256">
        <v>9.5531072434756968E-5</v>
      </c>
      <c r="K1730" s="257">
        <v>9.9850563617401002E-5</v>
      </c>
      <c r="L1730" s="228">
        <v>4.512265415293059E-2</v>
      </c>
    </row>
    <row r="1731" spans="1:12" s="212" customFormat="1" ht="15.5" x14ac:dyDescent="0.35">
      <c r="A1731" s="198" t="s">
        <v>852</v>
      </c>
      <c r="B1731" s="197">
        <v>2019</v>
      </c>
      <c r="C1731" s="213" t="s">
        <v>4906</v>
      </c>
      <c r="D1731" s="239">
        <v>2.2153771147475944E-2</v>
      </c>
      <c r="E1731" s="226">
        <v>0.12115454722299356</v>
      </c>
      <c r="F1731" s="226">
        <v>1.5852736375803508E-3</v>
      </c>
      <c r="G1731" s="227">
        <v>1.4610389015603429E-3</v>
      </c>
      <c r="H1731" s="226">
        <v>2.0000005732018797E-3</v>
      </c>
      <c r="I1731" s="255">
        <v>2.0194275397583763E-3</v>
      </c>
      <c r="J1731" s="256">
        <v>8.1076413878733756E-5</v>
      </c>
      <c r="K1731" s="257">
        <v>8.4742329543071877E-5</v>
      </c>
      <c r="L1731" s="228">
        <v>4.4510180449181293E-2</v>
      </c>
    </row>
    <row r="1732" spans="1:12" s="212" customFormat="1" ht="15.5" x14ac:dyDescent="0.35">
      <c r="A1732" s="198" t="s">
        <v>852</v>
      </c>
      <c r="B1732" s="197">
        <v>2020</v>
      </c>
      <c r="C1732" s="213" t="s">
        <v>4907</v>
      </c>
      <c r="D1732" s="239">
        <v>1.9440788520301972E-2</v>
      </c>
      <c r="E1732" s="226">
        <v>0.10783650700262376</v>
      </c>
      <c r="F1732" s="226">
        <v>1.5563326697958407E-3</v>
      </c>
      <c r="G1732" s="227">
        <v>1.4341041175306487E-3</v>
      </c>
      <c r="H1732" s="226">
        <v>2.0000005732018801E-3</v>
      </c>
      <c r="I1732" s="255">
        <v>2.0244436207635624E-3</v>
      </c>
      <c r="J1732" s="256">
        <v>7.5469339822060199E-5</v>
      </c>
      <c r="K1732" s="257">
        <v>7.8881728478578342E-5</v>
      </c>
      <c r="L1732" s="228">
        <v>4.4156329032944176E-2</v>
      </c>
    </row>
    <row r="1733" spans="1:12" s="212" customFormat="1" ht="15.5" x14ac:dyDescent="0.35">
      <c r="A1733" s="198" t="s">
        <v>852</v>
      </c>
      <c r="B1733" s="197">
        <v>2021</v>
      </c>
      <c r="C1733" s="213" t="s">
        <v>4908</v>
      </c>
      <c r="D1733" s="239">
        <v>1.7006027827228907E-2</v>
      </c>
      <c r="E1733" s="226">
        <v>9.5168800647246102E-2</v>
      </c>
      <c r="F1733" s="226">
        <v>1.489968650089725E-3</v>
      </c>
      <c r="G1733" s="227">
        <v>1.3727393162336861E-3</v>
      </c>
      <c r="H1733" s="226">
        <v>2.0000005732018801E-3</v>
      </c>
      <c r="I1733" s="255">
        <v>2.073965406803842E-3</v>
      </c>
      <c r="J1733" s="256">
        <v>6.8014085966610935E-5</v>
      </c>
      <c r="K1733" s="257">
        <v>7.1089381125984664E-5</v>
      </c>
      <c r="L1733" s="228">
        <v>4.3326316194937438E-2</v>
      </c>
    </row>
    <row r="1734" spans="1:12" s="212" customFormat="1" ht="15.5" x14ac:dyDescent="0.35">
      <c r="A1734" s="198" t="s">
        <v>852</v>
      </c>
      <c r="B1734" s="197">
        <v>2022</v>
      </c>
      <c r="C1734" s="213" t="s">
        <v>4909</v>
      </c>
      <c r="D1734" s="239">
        <v>1.4796452324431742E-2</v>
      </c>
      <c r="E1734" s="226">
        <v>8.3767191095484403E-2</v>
      </c>
      <c r="F1734" s="226">
        <v>1.4325115606589091E-3</v>
      </c>
      <c r="G1734" s="227">
        <v>1.3195893315368354E-3</v>
      </c>
      <c r="H1734" s="226">
        <v>2.0000005732018801E-3</v>
      </c>
      <c r="I1734" s="255">
        <v>2.0753241465798003E-3</v>
      </c>
      <c r="J1734" s="256">
        <v>6.1929378068921082E-5</v>
      </c>
      <c r="K1734" s="257">
        <v>6.4729549737652477E-5</v>
      </c>
      <c r="L1734" s="228">
        <v>4.2551256667126315E-2</v>
      </c>
    </row>
    <row r="1735" spans="1:12" s="212" customFormat="1" ht="15.5" x14ac:dyDescent="0.35">
      <c r="A1735" s="198" t="s">
        <v>852</v>
      </c>
      <c r="B1735" s="197">
        <v>2023</v>
      </c>
      <c r="C1735" s="213" t="s">
        <v>4910</v>
      </c>
      <c r="D1735" s="239">
        <v>1.3071304848928121E-2</v>
      </c>
      <c r="E1735" s="226">
        <v>7.4044713251764996E-2</v>
      </c>
      <c r="F1735" s="226">
        <v>1.3780771275987837E-3</v>
      </c>
      <c r="G1735" s="227">
        <v>1.2692561206511825E-3</v>
      </c>
      <c r="H1735" s="226">
        <v>2.0000005732018801E-3</v>
      </c>
      <c r="I1735" s="255">
        <v>2.0762056327657181E-3</v>
      </c>
      <c r="J1735" s="256">
        <v>5.5091055845851684E-5</v>
      </c>
      <c r="K1735" s="257">
        <v>5.7582028928261484E-5</v>
      </c>
      <c r="L1735" s="228">
        <v>4.1729391457000525E-2</v>
      </c>
    </row>
    <row r="1736" spans="1:12" s="212" customFormat="1" ht="15.5" x14ac:dyDescent="0.35">
      <c r="A1736" s="198" t="s">
        <v>852</v>
      </c>
      <c r="B1736" s="197">
        <v>2024</v>
      </c>
      <c r="C1736" s="213" t="s">
        <v>4911</v>
      </c>
      <c r="D1736" s="239">
        <v>1.1592918797689564E-2</v>
      </c>
      <c r="E1736" s="226">
        <v>6.5787535615949327E-2</v>
      </c>
      <c r="F1736" s="226">
        <v>1.3268011128001645E-3</v>
      </c>
      <c r="G1736" s="227">
        <v>1.2217961605435561E-3</v>
      </c>
      <c r="H1736" s="226">
        <v>2.0000005732018801E-3</v>
      </c>
      <c r="I1736" s="255">
        <v>2.0768965038611446E-3</v>
      </c>
      <c r="J1736" s="256">
        <v>4.7425415130667608E-5</v>
      </c>
      <c r="K1736" s="257">
        <v>4.9569781955713585E-5</v>
      </c>
      <c r="L1736" s="228">
        <v>4.0870753939401185E-2</v>
      </c>
    </row>
    <row r="1737" spans="1:12" s="212" customFormat="1" ht="15.5" x14ac:dyDescent="0.35">
      <c r="A1737" s="198" t="s">
        <v>852</v>
      </c>
      <c r="B1737" s="197">
        <v>2025</v>
      </c>
      <c r="C1737" s="213" t="s">
        <v>4912</v>
      </c>
      <c r="D1737" s="239">
        <v>1.0365340826389251E-2</v>
      </c>
      <c r="E1737" s="226">
        <v>5.8925666305158039E-2</v>
      </c>
      <c r="F1737" s="226">
        <v>1.2828366457694842E-3</v>
      </c>
      <c r="G1737" s="227">
        <v>1.1811502168762073E-3</v>
      </c>
      <c r="H1737" s="226">
        <v>2.0000005732018801E-3</v>
      </c>
      <c r="I1737" s="255">
        <v>2.0773467687420747E-3</v>
      </c>
      <c r="J1737" s="256">
        <v>4.1804392657020622E-5</v>
      </c>
      <c r="K1737" s="257">
        <v>4.3694601788726021E-5</v>
      </c>
      <c r="L1737" s="228">
        <v>3.9977589395721547E-2</v>
      </c>
    </row>
    <row r="1738" spans="1:12" s="212" customFormat="1" ht="15.5" x14ac:dyDescent="0.35">
      <c r="A1738" s="198" t="s">
        <v>852</v>
      </c>
      <c r="B1738" s="197">
        <v>2026</v>
      </c>
      <c r="C1738" s="213" t="s">
        <v>4913</v>
      </c>
      <c r="D1738" s="239">
        <v>9.3308250797147982E-3</v>
      </c>
      <c r="E1738" s="226">
        <v>5.3194641916734418E-2</v>
      </c>
      <c r="F1738" s="226">
        <v>1.2349311339542098E-3</v>
      </c>
      <c r="G1738" s="227">
        <v>1.1368851127307627E-3</v>
      </c>
      <c r="H1738" s="226">
        <v>2.0000005732018797E-3</v>
      </c>
      <c r="I1738" s="255">
        <v>2.0775024947686706E-3</v>
      </c>
      <c r="J1738" s="256">
        <v>3.622345073622943E-5</v>
      </c>
      <c r="K1738" s="257">
        <v>3.7861314439339796E-5</v>
      </c>
      <c r="L1738" s="228">
        <v>3.905779317527127E-2</v>
      </c>
    </row>
    <row r="1739" spans="1:12" s="212" customFormat="1" ht="15.5" x14ac:dyDescent="0.35">
      <c r="A1739" s="198" t="s">
        <v>852</v>
      </c>
      <c r="B1739" s="197">
        <v>2027</v>
      </c>
      <c r="C1739" s="213" t="s">
        <v>4914</v>
      </c>
      <c r="D1739" s="239">
        <v>8.4458943731109109E-3</v>
      </c>
      <c r="E1739" s="226">
        <v>4.8300528528672101E-2</v>
      </c>
      <c r="F1739" s="226">
        <v>1.1778076243133104E-3</v>
      </c>
      <c r="G1739" s="227">
        <v>1.0841214012404041E-3</v>
      </c>
      <c r="H1739" s="226">
        <v>2.0000005732018801E-3</v>
      </c>
      <c r="I1739" s="255">
        <v>2.0773559563779707E-3</v>
      </c>
      <c r="J1739" s="256">
        <v>3.0048267606654678E-5</v>
      </c>
      <c r="K1739" s="257">
        <v>3.1406916930614868E-5</v>
      </c>
      <c r="L1739" s="228">
        <v>3.8310524455793429E-2</v>
      </c>
    </row>
    <row r="1740" spans="1:12" s="212" customFormat="1" ht="15.5" x14ac:dyDescent="0.35">
      <c r="A1740" s="198" t="s">
        <v>852</v>
      </c>
      <c r="B1740" s="197">
        <v>2028</v>
      </c>
      <c r="C1740" s="213" t="s">
        <v>4915</v>
      </c>
      <c r="D1740" s="239">
        <v>7.7077001865557609E-3</v>
      </c>
      <c r="E1740" s="226">
        <v>4.4252654606441143E-2</v>
      </c>
      <c r="F1740" s="226">
        <v>1.1142117863788329E-3</v>
      </c>
      <c r="G1740" s="227">
        <v>1.0254531406992226E-3</v>
      </c>
      <c r="H1740" s="226">
        <v>2.0000005732018801E-3</v>
      </c>
      <c r="I1740" s="255">
        <v>2.0771107367472804E-3</v>
      </c>
      <c r="J1740" s="256">
        <v>2.5063135663793483E-5</v>
      </c>
      <c r="K1740" s="257">
        <v>2.6196379442492829E-5</v>
      </c>
      <c r="L1740" s="228">
        <v>3.7568582977349593E-2</v>
      </c>
    </row>
    <row r="1741" spans="1:12" s="212" customFormat="1" ht="15.5" x14ac:dyDescent="0.35">
      <c r="A1741" s="198" t="s">
        <v>852</v>
      </c>
      <c r="B1741" s="197">
        <v>2029</v>
      </c>
      <c r="C1741" s="213" t="s">
        <v>4916</v>
      </c>
      <c r="D1741" s="239">
        <v>7.0725821238450488E-3</v>
      </c>
      <c r="E1741" s="226">
        <v>4.0828376068325761E-2</v>
      </c>
      <c r="F1741" s="226">
        <v>1.0515954291873976E-3</v>
      </c>
      <c r="G1741" s="227">
        <v>9.6773809602499622E-4</v>
      </c>
      <c r="H1741" s="226">
        <v>2.0000005732018805E-3</v>
      </c>
      <c r="I1741" s="255">
        <v>2.0767754518572078E-3</v>
      </c>
      <c r="J1741" s="256">
        <v>2.1428506811608572E-5</v>
      </c>
      <c r="K1741" s="257">
        <v>2.2397408802038827E-5</v>
      </c>
      <c r="L1741" s="228">
        <v>3.6890091233328058E-2</v>
      </c>
    </row>
    <row r="1742" spans="1:12" s="212" customFormat="1" ht="15.5" x14ac:dyDescent="0.35">
      <c r="A1742" s="198" t="s">
        <v>852</v>
      </c>
      <c r="B1742" s="197">
        <v>2030</v>
      </c>
      <c r="C1742" s="213" t="s">
        <v>4917</v>
      </c>
      <c r="D1742" s="239">
        <v>6.5328133462597632E-3</v>
      </c>
      <c r="E1742" s="226">
        <v>3.7930361563692699E-2</v>
      </c>
      <c r="F1742" s="226">
        <v>9.8942719645178211E-4</v>
      </c>
      <c r="G1742" s="227">
        <v>9.10416923015975E-4</v>
      </c>
      <c r="H1742" s="226">
        <v>2.0000005732018801E-3</v>
      </c>
      <c r="I1742" s="255">
        <v>2.0763803206407575E-3</v>
      </c>
      <c r="J1742" s="256">
        <v>1.7327735976718343E-5</v>
      </c>
      <c r="K1742" s="257">
        <v>1.8111219306895936E-5</v>
      </c>
      <c r="L1742" s="228">
        <v>3.6272859220005671E-2</v>
      </c>
    </row>
    <row r="1743" spans="1:12" s="212" customFormat="1" ht="15.5" x14ac:dyDescent="0.35">
      <c r="A1743" s="198" t="s">
        <v>852</v>
      </c>
      <c r="B1743" s="197">
        <v>2031</v>
      </c>
      <c r="C1743" s="213" t="s">
        <v>4918</v>
      </c>
      <c r="D1743" s="239">
        <v>6.0641527531277066E-3</v>
      </c>
      <c r="E1743" s="226">
        <v>3.544784622281822E-2</v>
      </c>
      <c r="F1743" s="226">
        <v>9.3024805926663744E-4</v>
      </c>
      <c r="G1743" s="227">
        <v>8.5592582959143992E-4</v>
      </c>
      <c r="H1743" s="226">
        <v>2.0000005732018801E-3</v>
      </c>
      <c r="I1743" s="255">
        <v>2.1300258887271073E-3</v>
      </c>
      <c r="J1743" s="256">
        <v>1.5324258215011901E-5</v>
      </c>
      <c r="K1743" s="257">
        <v>1.6017153171106027E-5</v>
      </c>
      <c r="L1743" s="228">
        <v>3.5606510299516704E-2</v>
      </c>
    </row>
    <row r="1744" spans="1:12" s="212" customFormat="1" ht="15.5" x14ac:dyDescent="0.35">
      <c r="A1744" s="198" t="s">
        <v>852</v>
      </c>
      <c r="B1744" s="197">
        <v>2032</v>
      </c>
      <c r="C1744" s="213" t="s">
        <v>4919</v>
      </c>
      <c r="D1744" s="239">
        <v>5.6569577141166128E-3</v>
      </c>
      <c r="E1744" s="226">
        <v>3.3328263178995149E-2</v>
      </c>
      <c r="F1744" s="226">
        <v>8.738013936970628E-4</v>
      </c>
      <c r="G1744" s="227">
        <v>8.0393460201581108E-4</v>
      </c>
      <c r="H1744" s="226">
        <v>2.0000005732018801E-3</v>
      </c>
      <c r="I1744" s="255">
        <v>2.1293442047956349E-3</v>
      </c>
      <c r="J1744" s="256">
        <v>1.2998911506817656E-5</v>
      </c>
      <c r="K1744" s="257">
        <v>1.358666460334043E-5</v>
      </c>
      <c r="L1744" s="228">
        <v>3.5103525134694412E-2</v>
      </c>
    </row>
    <row r="1745" spans="1:12" s="212" customFormat="1" ht="15.5" x14ac:dyDescent="0.35">
      <c r="A1745" s="198" t="s">
        <v>852</v>
      </c>
      <c r="B1745" s="197">
        <v>2033</v>
      </c>
      <c r="C1745" s="213" t="s">
        <v>4920</v>
      </c>
      <c r="D1745" s="239">
        <v>5.2993275222256424E-3</v>
      </c>
      <c r="E1745" s="226">
        <v>3.1491069700215563E-2</v>
      </c>
      <c r="F1745" s="226">
        <v>8.2112983186258921E-4</v>
      </c>
      <c r="G1745" s="227">
        <v>7.5546128949345419E-4</v>
      </c>
      <c r="H1745" s="226">
        <v>2.0000005732018801E-3</v>
      </c>
      <c r="I1745" s="255">
        <v>2.1285622285264006E-3</v>
      </c>
      <c r="J1745" s="256">
        <v>1.1875902201009749E-5</v>
      </c>
      <c r="K1745" s="257">
        <v>1.2412877800003889E-5</v>
      </c>
      <c r="L1745" s="228">
        <v>3.4735507429258863E-2</v>
      </c>
    </row>
    <row r="1746" spans="1:12" s="212" customFormat="1" ht="15.5" x14ac:dyDescent="0.35">
      <c r="A1746" s="198" t="s">
        <v>852</v>
      </c>
      <c r="B1746" s="197">
        <v>2034</v>
      </c>
      <c r="C1746" s="213" t="s">
        <v>4921</v>
      </c>
      <c r="D1746" s="239">
        <v>4.9818377264841474E-3</v>
      </c>
      <c r="E1746" s="226">
        <v>2.9916714816157975E-2</v>
      </c>
      <c r="F1746" s="226">
        <v>7.7138976573167125E-4</v>
      </c>
      <c r="G1746" s="227">
        <v>7.0968275366471885E-4</v>
      </c>
      <c r="H1746" s="226">
        <v>2.0000005732018797E-3</v>
      </c>
      <c r="I1746" s="255">
        <v>2.1277351057890233E-3</v>
      </c>
      <c r="J1746" s="256">
        <v>1.0736841813940699E-5</v>
      </c>
      <c r="K1746" s="257">
        <v>1.1222314156737195E-5</v>
      </c>
      <c r="L1746" s="228">
        <v>3.4333845836204947E-2</v>
      </c>
    </row>
    <row r="1747" spans="1:12" s="212" customFormat="1" ht="15.5" x14ac:dyDescent="0.35">
      <c r="A1747" s="198" t="s">
        <v>852</v>
      </c>
      <c r="B1747" s="197">
        <v>2035</v>
      </c>
      <c r="C1747" s="213" t="s">
        <v>4922</v>
      </c>
      <c r="D1747" s="239">
        <v>4.7002826270589586E-3</v>
      </c>
      <c r="E1747" s="226">
        <v>2.8561006091326981E-2</v>
      </c>
      <c r="F1747" s="226">
        <v>7.2518956159618795E-4</v>
      </c>
      <c r="G1747" s="227">
        <v>6.671645664572312E-4</v>
      </c>
      <c r="H1747" s="226">
        <v>2.0000005732018801E-3</v>
      </c>
      <c r="I1747" s="255">
        <v>2.1269116126685118E-3</v>
      </c>
      <c r="J1747" s="256">
        <v>9.7408967108640756E-6</v>
      </c>
      <c r="K1747" s="257">
        <v>1.0181336835540366E-5</v>
      </c>
      <c r="L1747" s="228">
        <v>3.3980954331097789E-2</v>
      </c>
    </row>
    <row r="1748" spans="1:12" s="212" customFormat="1" ht="15.5" x14ac:dyDescent="0.35">
      <c r="A1748" s="198" t="s">
        <v>852</v>
      </c>
      <c r="B1748" s="197">
        <v>2036</v>
      </c>
      <c r="C1748" s="213" t="s">
        <v>4923</v>
      </c>
      <c r="D1748" s="239">
        <v>4.4528412910359895E-3</v>
      </c>
      <c r="E1748" s="226">
        <v>2.7396370369015169E-2</v>
      </c>
      <c r="F1748" s="226">
        <v>6.8432524513381034E-4</v>
      </c>
      <c r="G1748" s="227">
        <v>6.2955544955217268E-4</v>
      </c>
      <c r="H1748" s="226">
        <v>2.0000005732018801E-3</v>
      </c>
      <c r="I1748" s="255">
        <v>2.1261229546457863E-3</v>
      </c>
      <c r="J1748" s="256">
        <v>8.8198575157740155E-6</v>
      </c>
      <c r="K1748" s="257">
        <v>9.2186523350992332E-6</v>
      </c>
      <c r="L1748" s="228">
        <v>3.3662891614431222E-2</v>
      </c>
    </row>
    <row r="1749" spans="1:12" s="212" customFormat="1" ht="15.5" x14ac:dyDescent="0.35">
      <c r="A1749" s="198" t="s">
        <v>852</v>
      </c>
      <c r="B1749" s="197">
        <v>2037</v>
      </c>
      <c r="C1749" s="213" t="s">
        <v>4924</v>
      </c>
      <c r="D1749" s="239">
        <v>4.2370141932154349E-3</v>
      </c>
      <c r="E1749" s="226">
        <v>2.6390421145857074E-2</v>
      </c>
      <c r="F1749" s="226">
        <v>6.4765402678511222E-4</v>
      </c>
      <c r="G1749" s="227">
        <v>5.9580770621003312E-4</v>
      </c>
      <c r="H1749" s="226">
        <v>2.0000005732018801E-3</v>
      </c>
      <c r="I1749" s="255">
        <v>2.1253942663968278E-3</v>
      </c>
      <c r="J1749" s="256">
        <v>8.0521598448801284E-6</v>
      </c>
      <c r="K1749" s="257">
        <v>8.4162427821354791E-6</v>
      </c>
      <c r="L1749" s="228">
        <v>3.3398035150926556E-2</v>
      </c>
    </row>
    <row r="1750" spans="1:12" s="212" customFormat="1" ht="15.5" x14ac:dyDescent="0.35">
      <c r="A1750" s="198" t="s">
        <v>852</v>
      </c>
      <c r="B1750" s="197">
        <v>2038</v>
      </c>
      <c r="C1750" s="213" t="s">
        <v>4925</v>
      </c>
      <c r="D1750" s="239">
        <v>4.0430072358556687E-3</v>
      </c>
      <c r="E1750" s="226">
        <v>2.5494403944178068E-2</v>
      </c>
      <c r="F1750" s="226">
        <v>6.1512021175910117E-4</v>
      </c>
      <c r="G1750" s="227">
        <v>5.6587249651308741E-4</v>
      </c>
      <c r="H1750" s="226">
        <v>2.0000005732018801E-3</v>
      </c>
      <c r="I1750" s="255">
        <v>2.1247414250516392E-3</v>
      </c>
      <c r="J1750" s="256">
        <v>7.4986150969059977E-6</v>
      </c>
      <c r="K1750" s="257">
        <v>7.8376691969764088E-6</v>
      </c>
      <c r="L1750" s="228">
        <v>3.3172353106237465E-2</v>
      </c>
    </row>
    <row r="1751" spans="1:12" s="212" customFormat="1" ht="15.5" x14ac:dyDescent="0.35">
      <c r="A1751" s="198" t="s">
        <v>852</v>
      </c>
      <c r="B1751" s="197">
        <v>2039</v>
      </c>
      <c r="C1751" s="213" t="s">
        <v>4926</v>
      </c>
      <c r="D1751" s="239">
        <v>3.8608961543734996E-3</v>
      </c>
      <c r="E1751" s="226">
        <v>2.4677465202811576E-2</v>
      </c>
      <c r="F1751" s="226">
        <v>5.8640192785583628E-4</v>
      </c>
      <c r="G1751" s="227">
        <v>5.3944934344163093E-4</v>
      </c>
      <c r="H1751" s="226">
        <v>2.0000005732018801E-3</v>
      </c>
      <c r="I1751" s="255">
        <v>2.1241911285854887E-3</v>
      </c>
      <c r="J1751" s="256">
        <v>7.0430251371726645E-6</v>
      </c>
      <c r="K1751" s="257">
        <v>7.3614794809144388E-6</v>
      </c>
      <c r="L1751" s="228">
        <v>3.2981543438816499E-2</v>
      </c>
    </row>
    <row r="1752" spans="1:12" s="212" customFormat="1" ht="15.5" x14ac:dyDescent="0.35">
      <c r="A1752" s="198" t="s">
        <v>852</v>
      </c>
      <c r="B1752" s="197">
        <v>2040</v>
      </c>
      <c r="C1752" s="213" t="s">
        <v>4927</v>
      </c>
      <c r="D1752" s="239">
        <v>3.6958597148119676E-3</v>
      </c>
      <c r="E1752" s="226">
        <v>2.3959692558539008E-2</v>
      </c>
      <c r="F1752" s="226">
        <v>5.6139584689349502E-4</v>
      </c>
      <c r="G1752" s="227">
        <v>5.1644145656965922E-4</v>
      </c>
      <c r="H1752" s="226">
        <v>2.0000005732018797E-3</v>
      </c>
      <c r="I1752" s="255">
        <v>2.1237413326901221E-3</v>
      </c>
      <c r="J1752" s="256">
        <v>6.6396033782646894E-6</v>
      </c>
      <c r="K1752" s="257">
        <v>6.9398167802261878E-6</v>
      </c>
      <c r="L1752" s="228">
        <v>3.2821483870507519E-2</v>
      </c>
    </row>
    <row r="1753" spans="1:12" s="212" customFormat="1" ht="15.5" x14ac:dyDescent="0.35">
      <c r="A1753" s="198" t="s">
        <v>852</v>
      </c>
      <c r="B1753" s="197">
        <v>2041</v>
      </c>
      <c r="C1753" s="213" t="s">
        <v>4928</v>
      </c>
      <c r="D1753" s="239">
        <v>3.5621562111506628E-3</v>
      </c>
      <c r="E1753" s="226">
        <v>2.335776631347735E-2</v>
      </c>
      <c r="F1753" s="226">
        <v>5.4180716793830568E-4</v>
      </c>
      <c r="G1753" s="227">
        <v>4.9841852958038859E-4</v>
      </c>
      <c r="H1753" s="226">
        <v>2.0000005732018801E-3</v>
      </c>
      <c r="I1753" s="255">
        <v>2.1233847170319077E-3</v>
      </c>
      <c r="J1753" s="256">
        <v>6.3352171406358183E-6</v>
      </c>
      <c r="K1753" s="257">
        <v>6.6216675476256742E-6</v>
      </c>
      <c r="L1753" s="228">
        <v>3.2595371205426237E-2</v>
      </c>
    </row>
    <row r="1754" spans="1:12" s="212" customFormat="1" ht="15.5" x14ac:dyDescent="0.35">
      <c r="A1754" s="198" t="s">
        <v>852</v>
      </c>
      <c r="B1754" s="197">
        <v>2042</v>
      </c>
      <c r="C1754" s="213" t="s">
        <v>4929</v>
      </c>
      <c r="D1754" s="239">
        <v>3.4445106703725622E-3</v>
      </c>
      <c r="E1754" s="226">
        <v>2.2792872002957498E-2</v>
      </c>
      <c r="F1754" s="226">
        <v>5.2519372263273715E-4</v>
      </c>
      <c r="G1754" s="227">
        <v>4.8313312078721124E-4</v>
      </c>
      <c r="H1754" s="226">
        <v>2.0000005732018801E-3</v>
      </c>
      <c r="I1754" s="255">
        <v>2.1230771848009026E-3</v>
      </c>
      <c r="J1754" s="256">
        <v>6.0796127106817513E-6</v>
      </c>
      <c r="K1754" s="257">
        <v>6.3545058195769344E-6</v>
      </c>
      <c r="L1754" s="228">
        <v>3.2484896042764756E-2</v>
      </c>
    </row>
    <row r="1755" spans="1:12" s="212" customFormat="1" ht="15.5" x14ac:dyDescent="0.35">
      <c r="A1755" s="198" t="s">
        <v>852</v>
      </c>
      <c r="B1755" s="197">
        <v>2043</v>
      </c>
      <c r="C1755" s="213" t="s">
        <v>4930</v>
      </c>
      <c r="D1755" s="239">
        <v>3.3515047444308164E-3</v>
      </c>
      <c r="E1755" s="226">
        <v>2.2305546474780478E-2</v>
      </c>
      <c r="F1755" s="226">
        <v>5.1122224058689652E-4</v>
      </c>
      <c r="G1755" s="227">
        <v>4.7027881930614834E-4</v>
      </c>
      <c r="H1755" s="226">
        <v>2.0000005732018801E-3</v>
      </c>
      <c r="I1755" s="255">
        <v>2.1228257778591517E-3</v>
      </c>
      <c r="J1755" s="256">
        <v>5.8732761305770071E-6</v>
      </c>
      <c r="K1755" s="257">
        <v>6.1388396149248527E-6</v>
      </c>
      <c r="L1755" s="228">
        <v>3.2393395396102267E-2</v>
      </c>
    </row>
    <row r="1756" spans="1:12" s="212" customFormat="1" ht="15.5" x14ac:dyDescent="0.35">
      <c r="A1756" s="198" t="s">
        <v>852</v>
      </c>
      <c r="B1756" s="197">
        <v>2044</v>
      </c>
      <c r="C1756" s="213" t="s">
        <v>4931</v>
      </c>
      <c r="D1756" s="239">
        <v>3.2806863741893727E-3</v>
      </c>
      <c r="E1756" s="226">
        <v>2.1862432692803892E-2</v>
      </c>
      <c r="F1756" s="226">
        <v>4.9952982087387763E-4</v>
      </c>
      <c r="G1756" s="227">
        <v>4.5952133248731129E-4</v>
      </c>
      <c r="H1756" s="226">
        <v>2.0000005732018801E-3</v>
      </c>
      <c r="I1756" s="255">
        <v>2.1226175758999916E-3</v>
      </c>
      <c r="J1756" s="256">
        <v>5.7003296367735696E-6</v>
      </c>
      <c r="K1756" s="257">
        <v>5.9580732481103236E-6</v>
      </c>
      <c r="L1756" s="228">
        <v>3.2317186256765433E-2</v>
      </c>
    </row>
    <row r="1757" spans="1:12" s="212" customFormat="1" ht="15.5" x14ac:dyDescent="0.35">
      <c r="A1757" s="198" t="s">
        <v>852</v>
      </c>
      <c r="B1757" s="197">
        <v>2045</v>
      </c>
      <c r="C1757" s="213" t="s">
        <v>4932</v>
      </c>
      <c r="D1757" s="239">
        <v>3.2309861182466385E-3</v>
      </c>
      <c r="E1757" s="226">
        <v>2.1476796365940187E-2</v>
      </c>
      <c r="F1757" s="226">
        <v>4.8977389723917021E-4</v>
      </c>
      <c r="G1757" s="227">
        <v>4.5054589362773811E-4</v>
      </c>
      <c r="H1757" s="226">
        <v>2.0000005732018805E-3</v>
      </c>
      <c r="I1757" s="255">
        <v>2.1224597688656432E-3</v>
      </c>
      <c r="J1757" s="256">
        <v>5.5661712655423107E-6</v>
      </c>
      <c r="K1757" s="257">
        <v>5.8178488306509481E-6</v>
      </c>
      <c r="L1757" s="228">
        <v>3.2251925341685833E-2</v>
      </c>
    </row>
    <row r="1758" spans="1:12" s="212" customFormat="1" ht="15.5" x14ac:dyDescent="0.35">
      <c r="A1758" s="198" t="s">
        <v>852</v>
      </c>
      <c r="B1758" s="197">
        <v>2046</v>
      </c>
      <c r="C1758" s="213" t="s">
        <v>4933</v>
      </c>
      <c r="D1758" s="239">
        <v>3.1835641987525147E-3</v>
      </c>
      <c r="E1758" s="226">
        <v>2.1100268448572906E-2</v>
      </c>
      <c r="F1758" s="226">
        <v>4.8164479940839629E-4</v>
      </c>
      <c r="G1758" s="227">
        <v>4.430673897149044E-4</v>
      </c>
      <c r="H1758" s="226">
        <v>2.0000005732018801E-3</v>
      </c>
      <c r="I1758" s="255">
        <v>2.1223189147039634E-3</v>
      </c>
      <c r="J1758" s="256">
        <v>5.4609807445323614E-6</v>
      </c>
      <c r="K1758" s="257">
        <v>5.707902061056956E-6</v>
      </c>
      <c r="L1758" s="228">
        <v>3.2197886598868859E-2</v>
      </c>
    </row>
    <row r="1759" spans="1:12" s="212" customFormat="1" ht="15.5" x14ac:dyDescent="0.35">
      <c r="A1759" s="198" t="s">
        <v>852</v>
      </c>
      <c r="B1759" s="197">
        <v>2047</v>
      </c>
      <c r="C1759" s="213" t="s">
        <v>4934</v>
      </c>
      <c r="D1759" s="239">
        <v>3.1431681246753503E-3</v>
      </c>
      <c r="E1759" s="226">
        <v>2.0776084787794528E-2</v>
      </c>
      <c r="F1759" s="226">
        <v>4.7496936869522919E-4</v>
      </c>
      <c r="G1759" s="227">
        <v>4.3692565476356412E-4</v>
      </c>
      <c r="H1759" s="226">
        <v>2.0000005732018801E-3</v>
      </c>
      <c r="I1759" s="255">
        <v>2.1222217675805071E-3</v>
      </c>
      <c r="J1759" s="256">
        <v>5.3602997911491675E-6</v>
      </c>
      <c r="K1759" s="257">
        <v>5.602668761726885E-6</v>
      </c>
      <c r="L1759" s="228">
        <v>3.2152316705872555E-2</v>
      </c>
    </row>
    <row r="1760" spans="1:12" s="212" customFormat="1" ht="15.5" x14ac:dyDescent="0.35">
      <c r="A1760" s="198" t="s">
        <v>852</v>
      </c>
      <c r="B1760" s="197">
        <v>2048</v>
      </c>
      <c r="C1760" s="213" t="s">
        <v>4935</v>
      </c>
      <c r="D1760" s="239">
        <v>3.1102544849355741E-3</v>
      </c>
      <c r="E1760" s="226">
        <v>2.0512790080057085E-2</v>
      </c>
      <c r="F1760" s="226">
        <v>4.6946879694838474E-4</v>
      </c>
      <c r="G1760" s="227">
        <v>4.3186380530407152E-4</v>
      </c>
      <c r="H1760" s="226">
        <v>2.0000005732018801E-3</v>
      </c>
      <c r="I1760" s="255">
        <v>2.1221595507586394E-3</v>
      </c>
      <c r="J1760" s="256">
        <v>5.2505342813693844E-6</v>
      </c>
      <c r="K1760" s="257">
        <v>5.487940142672106E-6</v>
      </c>
      <c r="L1760" s="228">
        <v>3.211361016348882E-2</v>
      </c>
    </row>
    <row r="1761" spans="1:12" s="212" customFormat="1" ht="15.5" x14ac:dyDescent="0.35">
      <c r="A1761" s="198" t="s">
        <v>852</v>
      </c>
      <c r="B1761" s="197">
        <v>2049</v>
      </c>
      <c r="C1761" s="213" t="s">
        <v>4936</v>
      </c>
      <c r="D1761" s="239">
        <v>3.1026151371721829E-3</v>
      </c>
      <c r="E1761" s="226">
        <v>2.0484541185651937E-2</v>
      </c>
      <c r="F1761" s="226">
        <v>4.6602972384620148E-4</v>
      </c>
      <c r="G1761" s="227">
        <v>4.2869946673425405E-4</v>
      </c>
      <c r="H1761" s="226">
        <v>2.0000005732018805E-3</v>
      </c>
      <c r="I1761" s="255">
        <v>2.12211968485088E-3</v>
      </c>
      <c r="J1761" s="256">
        <v>5.1931001679081165E-6</v>
      </c>
      <c r="K1761" s="257">
        <v>5.4279091134602164E-6</v>
      </c>
      <c r="L1761" s="228">
        <v>3.2080635833706281E-2</v>
      </c>
    </row>
    <row r="1762" spans="1:12" s="212" customFormat="1" ht="15.5" x14ac:dyDescent="0.35">
      <c r="A1762" s="198" t="s">
        <v>852</v>
      </c>
      <c r="B1762" s="197">
        <v>2050</v>
      </c>
      <c r="C1762" s="213" t="s">
        <v>4937</v>
      </c>
      <c r="D1762" s="239">
        <v>3.096770947544221E-3</v>
      </c>
      <c r="E1762" s="226">
        <v>2.0461863949309607E-2</v>
      </c>
      <c r="F1762" s="226">
        <v>4.6323588059370624E-4</v>
      </c>
      <c r="G1762" s="227">
        <v>4.2612614077873359E-4</v>
      </c>
      <c r="H1762" s="226">
        <v>2.0000005732018801E-3</v>
      </c>
      <c r="I1762" s="255">
        <v>2.1221178760868192E-3</v>
      </c>
      <c r="J1762" s="256">
        <v>5.077856782014609E-6</v>
      </c>
      <c r="K1762" s="257">
        <v>5.3074549330415515E-6</v>
      </c>
      <c r="L1762" s="228">
        <v>3.205418885095767E-2</v>
      </c>
    </row>
    <row r="1763" spans="1:12" s="212" customFormat="1" ht="15.5" x14ac:dyDescent="0.35">
      <c r="A1763" s="198" t="s">
        <v>853</v>
      </c>
      <c r="B1763" s="197">
        <v>2015</v>
      </c>
      <c r="C1763" s="213" t="s">
        <v>955</v>
      </c>
      <c r="D1763" s="239">
        <v>6.2627657900645867E-2</v>
      </c>
      <c r="E1763" s="226">
        <v>0.27632962951269963</v>
      </c>
      <c r="F1763" s="226">
        <v>2.3996529903158952E-3</v>
      </c>
      <c r="G1763" s="227">
        <v>2.2227987064605578E-3</v>
      </c>
      <c r="H1763" s="226">
        <v>2.0000005732018797E-3</v>
      </c>
      <c r="I1763" s="255">
        <v>3.3669625780710088E-3</v>
      </c>
      <c r="J1763" s="256">
        <v>3.0762468880359532E-4</v>
      </c>
      <c r="K1763" s="257">
        <v>3.2153411216695525E-4</v>
      </c>
      <c r="L1763" s="228">
        <v>4.3494623778060321E-2</v>
      </c>
    </row>
    <row r="1764" spans="1:12" s="212" customFormat="1" ht="15.5" x14ac:dyDescent="0.35">
      <c r="A1764" s="198" t="s">
        <v>853</v>
      </c>
      <c r="B1764" s="197">
        <v>2016</v>
      </c>
      <c r="C1764" s="213" t="s">
        <v>956</v>
      </c>
      <c r="D1764" s="239">
        <v>5.4254850934760172E-2</v>
      </c>
      <c r="E1764" s="226">
        <v>0.24695974304282037</v>
      </c>
      <c r="F1764" s="226">
        <v>2.2634998416080653E-3</v>
      </c>
      <c r="G1764" s="227">
        <v>2.0951237970015689E-3</v>
      </c>
      <c r="H1764" s="226">
        <v>2.0000005732018801E-3</v>
      </c>
      <c r="I1764" s="255">
        <v>3.3792878498805244E-3</v>
      </c>
      <c r="J1764" s="256">
        <v>2.7636919572208209E-4</v>
      </c>
      <c r="K1764" s="257">
        <v>2.8886538438249135E-4</v>
      </c>
      <c r="L1764" s="228">
        <v>4.2524098603720924E-2</v>
      </c>
    </row>
    <row r="1765" spans="1:12" s="212" customFormat="1" ht="15.5" x14ac:dyDescent="0.35">
      <c r="A1765" s="198" t="s">
        <v>853</v>
      </c>
      <c r="B1765" s="197">
        <v>2017</v>
      </c>
      <c r="C1765" s="213" t="s">
        <v>4938</v>
      </c>
      <c r="D1765" s="239">
        <v>4.3953859780755195E-2</v>
      </c>
      <c r="E1765" s="226">
        <v>0.20806314012838983</v>
      </c>
      <c r="F1765" s="226">
        <v>2.088065131270933E-3</v>
      </c>
      <c r="G1765" s="227">
        <v>1.9306261456332496E-3</v>
      </c>
      <c r="H1765" s="226">
        <v>2.0000005732018801E-3</v>
      </c>
      <c r="I1765" s="255">
        <v>3.3778248045072587E-3</v>
      </c>
      <c r="J1765" s="256">
        <v>2.2369325267534041E-4</v>
      </c>
      <c r="K1765" s="257">
        <v>2.3380766893721174E-4</v>
      </c>
      <c r="L1765" s="228">
        <v>4.2173240072254842E-2</v>
      </c>
    </row>
    <row r="1766" spans="1:12" s="212" customFormat="1" ht="15.5" x14ac:dyDescent="0.35">
      <c r="A1766" s="198" t="s">
        <v>853</v>
      </c>
      <c r="B1766" s="197">
        <v>2018</v>
      </c>
      <c r="C1766" s="213" t="s">
        <v>4939</v>
      </c>
      <c r="D1766" s="239">
        <v>3.6625044036719581E-2</v>
      </c>
      <c r="E1766" s="226">
        <v>0.18017198050628422</v>
      </c>
      <c r="F1766" s="226">
        <v>2.0010575286166167E-3</v>
      </c>
      <c r="G1766" s="227">
        <v>1.8486961382469696E-3</v>
      </c>
      <c r="H1766" s="226">
        <v>2.0000005732018801E-3</v>
      </c>
      <c r="I1766" s="255">
        <v>3.3771328368594339E-3</v>
      </c>
      <c r="J1766" s="256">
        <v>1.9579550435236322E-4</v>
      </c>
      <c r="K1766" s="257">
        <v>2.046485082294945E-4</v>
      </c>
      <c r="L1766" s="228">
        <v>4.1691585816684945E-2</v>
      </c>
    </row>
    <row r="1767" spans="1:12" s="212" customFormat="1" ht="15.5" x14ac:dyDescent="0.35">
      <c r="A1767" s="198" t="s">
        <v>853</v>
      </c>
      <c r="B1767" s="197">
        <v>2019</v>
      </c>
      <c r="C1767" s="213" t="s">
        <v>4940</v>
      </c>
      <c r="D1767" s="239">
        <v>3.0696652330460938E-2</v>
      </c>
      <c r="E1767" s="226">
        <v>0.15561668996259517</v>
      </c>
      <c r="F1767" s="226">
        <v>1.9393160243700988E-3</v>
      </c>
      <c r="G1767" s="227">
        <v>1.7902739591451396E-3</v>
      </c>
      <c r="H1767" s="226">
        <v>2.0000005732018797E-3</v>
      </c>
      <c r="I1767" s="255">
        <v>3.378999389780481E-3</v>
      </c>
      <c r="J1767" s="256">
        <v>1.6870961272628655E-4</v>
      </c>
      <c r="K1767" s="257">
        <v>1.7633791277595038E-4</v>
      </c>
      <c r="L1767" s="228">
        <v>4.1145743159183915E-2</v>
      </c>
    </row>
    <row r="1768" spans="1:12" s="212" customFormat="1" ht="15.5" x14ac:dyDescent="0.35">
      <c r="A1768" s="198" t="s">
        <v>853</v>
      </c>
      <c r="B1768" s="197">
        <v>2020</v>
      </c>
      <c r="C1768" s="213" t="s">
        <v>4941</v>
      </c>
      <c r="D1768" s="239">
        <v>2.6779307094712809E-2</v>
      </c>
      <c r="E1768" s="226">
        <v>0.13801767789418251</v>
      </c>
      <c r="F1768" s="226">
        <v>1.8739448871743492E-3</v>
      </c>
      <c r="G1768" s="227">
        <v>1.7294143804314867E-3</v>
      </c>
      <c r="H1768" s="226">
        <v>2.0000005732018801E-3</v>
      </c>
      <c r="I1768" s="255">
        <v>3.3848174985375823E-3</v>
      </c>
      <c r="J1768" s="256">
        <v>1.5396074254077515E-4</v>
      </c>
      <c r="K1768" s="257">
        <v>1.6092216412779236E-4</v>
      </c>
      <c r="L1768" s="228">
        <v>4.0897100112297212E-2</v>
      </c>
    </row>
    <row r="1769" spans="1:12" s="212" customFormat="1" ht="15.5" x14ac:dyDescent="0.35">
      <c r="A1769" s="198" t="s">
        <v>853</v>
      </c>
      <c r="B1769" s="197">
        <v>2021</v>
      </c>
      <c r="C1769" s="213" t="s">
        <v>4942</v>
      </c>
      <c r="D1769" s="239">
        <v>2.3587679083144835E-2</v>
      </c>
      <c r="E1769" s="226">
        <v>0.12173387077695925</v>
      </c>
      <c r="F1769" s="226">
        <v>1.7963656149498288E-3</v>
      </c>
      <c r="G1769" s="227">
        <v>1.6574588658020784E-3</v>
      </c>
      <c r="H1769" s="226">
        <v>2.0000005732018797E-3</v>
      </c>
      <c r="I1769" s="255">
        <v>3.3755967218650111E-3</v>
      </c>
      <c r="J1769" s="256">
        <v>1.4032870878616198E-4</v>
      </c>
      <c r="K1769" s="257">
        <v>1.4667375029804952E-4</v>
      </c>
      <c r="L1769" s="228">
        <v>4.0156644468681918E-2</v>
      </c>
    </row>
    <row r="1770" spans="1:12" s="212" customFormat="1" ht="15.5" x14ac:dyDescent="0.35">
      <c r="A1770" s="198" t="s">
        <v>853</v>
      </c>
      <c r="B1770" s="197">
        <v>2022</v>
      </c>
      <c r="C1770" s="213" t="s">
        <v>4943</v>
      </c>
      <c r="D1770" s="239">
        <v>2.0068235726507892E-2</v>
      </c>
      <c r="E1770" s="226">
        <v>0.10603346390677745</v>
      </c>
      <c r="F1770" s="226">
        <v>1.7064647298742637E-3</v>
      </c>
      <c r="G1770" s="227">
        <v>1.5740737199267565E-3</v>
      </c>
      <c r="H1770" s="226">
        <v>2.0000005732018797E-3</v>
      </c>
      <c r="I1770" s="255">
        <v>3.3742038136896457E-3</v>
      </c>
      <c r="J1770" s="256">
        <v>1.2702873795034713E-4</v>
      </c>
      <c r="K1770" s="257">
        <v>1.3277241379878565E-4</v>
      </c>
      <c r="L1770" s="228">
        <v>3.9477781015071087E-2</v>
      </c>
    </row>
    <row r="1771" spans="1:12" s="212" customFormat="1" ht="15.5" x14ac:dyDescent="0.35">
      <c r="A1771" s="198" t="s">
        <v>853</v>
      </c>
      <c r="B1771" s="197">
        <v>2023</v>
      </c>
      <c r="C1771" s="213" t="s">
        <v>4944</v>
      </c>
      <c r="D1771" s="239">
        <v>1.7510171575661634E-2</v>
      </c>
      <c r="E1771" s="226">
        <v>9.2886688627471722E-2</v>
      </c>
      <c r="F1771" s="226">
        <v>1.6216266153537781E-3</v>
      </c>
      <c r="G1771" s="227">
        <v>1.495434875529429E-3</v>
      </c>
      <c r="H1771" s="226">
        <v>2.0000005732018805E-3</v>
      </c>
      <c r="I1771" s="255">
        <v>3.3723887712357949E-3</v>
      </c>
      <c r="J1771" s="256">
        <v>1.1188715083690504E-4</v>
      </c>
      <c r="K1771" s="257">
        <v>1.1694619130587144E-4</v>
      </c>
      <c r="L1771" s="228">
        <v>3.8757482038832086E-2</v>
      </c>
    </row>
    <row r="1772" spans="1:12" s="212" customFormat="1" ht="15.5" x14ac:dyDescent="0.35">
      <c r="A1772" s="198" t="s">
        <v>853</v>
      </c>
      <c r="B1772" s="197">
        <v>2024</v>
      </c>
      <c r="C1772" s="213" t="s">
        <v>4945</v>
      </c>
      <c r="D1772" s="239">
        <v>1.5328313107427785E-2</v>
      </c>
      <c r="E1772" s="226">
        <v>8.1747311712209503E-2</v>
      </c>
      <c r="F1772" s="226">
        <v>1.5449700771881024E-3</v>
      </c>
      <c r="G1772" s="227">
        <v>1.4243428396222199E-3</v>
      </c>
      <c r="H1772" s="226">
        <v>2.0000005732018801E-3</v>
      </c>
      <c r="I1772" s="255">
        <v>3.3706076809634495E-3</v>
      </c>
      <c r="J1772" s="256">
        <v>9.7265925126392103E-5</v>
      </c>
      <c r="K1772" s="257">
        <v>1.0166385864945727E-4</v>
      </c>
      <c r="L1772" s="228">
        <v>3.8002339028886507E-2</v>
      </c>
    </row>
    <row r="1773" spans="1:12" s="212" customFormat="1" ht="15.5" x14ac:dyDescent="0.35">
      <c r="A1773" s="198" t="s">
        <v>853</v>
      </c>
      <c r="B1773" s="197">
        <v>2025</v>
      </c>
      <c r="C1773" s="213" t="s">
        <v>4946</v>
      </c>
      <c r="D1773" s="239">
        <v>1.3598898379659562E-2</v>
      </c>
      <c r="E1773" s="226">
        <v>7.2769628409308673E-2</v>
      </c>
      <c r="F1773" s="226">
        <v>1.4824730937515811E-3</v>
      </c>
      <c r="G1773" s="227">
        <v>1.3663902885547869E-3</v>
      </c>
      <c r="H1773" s="226">
        <v>2.0000005732018805E-3</v>
      </c>
      <c r="I1773" s="255">
        <v>3.3688469119159529E-3</v>
      </c>
      <c r="J1773" s="256">
        <v>8.494767148226756E-5</v>
      </c>
      <c r="K1773" s="257">
        <v>8.8788628236986282E-5</v>
      </c>
      <c r="L1773" s="228">
        <v>3.7214828056212686E-2</v>
      </c>
    </row>
    <row r="1774" spans="1:12" s="212" customFormat="1" ht="15.5" x14ac:dyDescent="0.35">
      <c r="A1774" s="198" t="s">
        <v>853</v>
      </c>
      <c r="B1774" s="197">
        <v>2026</v>
      </c>
      <c r="C1774" s="213" t="s">
        <v>4947</v>
      </c>
      <c r="D1774" s="239">
        <v>1.2152234674644578E-2</v>
      </c>
      <c r="E1774" s="226">
        <v>6.5317085202347233E-2</v>
      </c>
      <c r="F1774" s="226">
        <v>1.4194101911070138E-3</v>
      </c>
      <c r="G1774" s="227">
        <v>1.3079755683183866E-3</v>
      </c>
      <c r="H1774" s="226">
        <v>2.0000005732018801E-3</v>
      </c>
      <c r="I1774" s="255">
        <v>3.3669156635522525E-3</v>
      </c>
      <c r="J1774" s="256">
        <v>7.3914319180227466E-5</v>
      </c>
      <c r="K1774" s="257">
        <v>7.7256396703623503E-5</v>
      </c>
      <c r="L1774" s="228">
        <v>3.6450488474124694E-2</v>
      </c>
    </row>
    <row r="1775" spans="1:12" s="212" customFormat="1" ht="15.5" x14ac:dyDescent="0.35">
      <c r="A1775" s="198" t="s">
        <v>853</v>
      </c>
      <c r="B1775" s="197">
        <v>2027</v>
      </c>
      <c r="C1775" s="213" t="s">
        <v>4948</v>
      </c>
      <c r="D1775" s="239">
        <v>1.0923568813685143E-2</v>
      </c>
      <c r="E1775" s="226">
        <v>5.8976608398518898E-2</v>
      </c>
      <c r="F1775" s="226">
        <v>1.3431258283024591E-3</v>
      </c>
      <c r="G1775" s="227">
        <v>1.2371852253751754E-3</v>
      </c>
      <c r="H1775" s="226">
        <v>2.0000005732018801E-3</v>
      </c>
      <c r="I1775" s="255">
        <v>3.3646957243878856E-3</v>
      </c>
      <c r="J1775" s="256">
        <v>5.7249494365863798E-5</v>
      </c>
      <c r="K1775" s="257">
        <v>5.9838062460219409E-5</v>
      </c>
      <c r="L1775" s="228">
        <v>3.5738138442227681E-2</v>
      </c>
    </row>
    <row r="1776" spans="1:12" s="212" customFormat="1" ht="15.5" x14ac:dyDescent="0.35">
      <c r="A1776" s="198" t="s">
        <v>853</v>
      </c>
      <c r="B1776" s="197">
        <v>2028</v>
      </c>
      <c r="C1776" s="213" t="s">
        <v>4949</v>
      </c>
      <c r="D1776" s="239">
        <v>9.8869619824101824E-3</v>
      </c>
      <c r="E1776" s="226">
        <v>5.3658374411533157E-2</v>
      </c>
      <c r="F1776" s="226">
        <v>1.2647219654398311E-3</v>
      </c>
      <c r="G1776" s="227">
        <v>1.1646590502224043E-3</v>
      </c>
      <c r="H1776" s="226">
        <v>2.0000005732018801E-3</v>
      </c>
      <c r="I1776" s="255">
        <v>3.3625152630518654E-3</v>
      </c>
      <c r="J1776" s="256">
        <v>4.6040942982240463E-5</v>
      </c>
      <c r="K1776" s="257">
        <v>4.8122710120238705E-5</v>
      </c>
      <c r="L1776" s="228">
        <v>3.5085066113043933E-2</v>
      </c>
    </row>
    <row r="1777" spans="1:12" s="212" customFormat="1" ht="15.5" x14ac:dyDescent="0.35">
      <c r="A1777" s="198" t="s">
        <v>853</v>
      </c>
      <c r="B1777" s="197">
        <v>2029</v>
      </c>
      <c r="C1777" s="213" t="s">
        <v>4950</v>
      </c>
      <c r="D1777" s="239">
        <v>8.9803679748777093E-3</v>
      </c>
      <c r="E1777" s="226">
        <v>4.9091610547452424E-2</v>
      </c>
      <c r="F1777" s="226">
        <v>1.1882938087620393E-3</v>
      </c>
      <c r="G1777" s="227">
        <v>1.0940301302401958E-3</v>
      </c>
      <c r="H1777" s="226">
        <v>2.0000005732018801E-3</v>
      </c>
      <c r="I1777" s="255">
        <v>3.3603296942071649E-3</v>
      </c>
      <c r="J1777" s="256">
        <v>3.6902728260471601E-5</v>
      </c>
      <c r="K1777" s="257">
        <v>3.857130587897883E-5</v>
      </c>
      <c r="L1777" s="228">
        <v>3.4488970784606311E-2</v>
      </c>
    </row>
    <row r="1778" spans="1:12" s="212" customFormat="1" ht="15.5" x14ac:dyDescent="0.35">
      <c r="A1778" s="198" t="s">
        <v>853</v>
      </c>
      <c r="B1778" s="197">
        <v>2030</v>
      </c>
      <c r="C1778" s="213" t="s">
        <v>4951</v>
      </c>
      <c r="D1778" s="239">
        <v>8.2268532095775247E-3</v>
      </c>
      <c r="E1778" s="226">
        <v>4.5276026548527096E-2</v>
      </c>
      <c r="F1778" s="226">
        <v>1.1161367204505347E-3</v>
      </c>
      <c r="G1778" s="227">
        <v>1.0274242641946773E-3</v>
      </c>
      <c r="H1778" s="226">
        <v>2.0000005732018805E-3</v>
      </c>
      <c r="I1778" s="255">
        <v>3.3581788141835221E-3</v>
      </c>
      <c r="J1778" s="256">
        <v>3.0227479583815068E-5</v>
      </c>
      <c r="K1778" s="257">
        <v>3.1594232078141097E-5</v>
      </c>
      <c r="L1778" s="228">
        <v>3.3948026652129891E-2</v>
      </c>
    </row>
    <row r="1779" spans="1:12" s="212" customFormat="1" ht="15.5" x14ac:dyDescent="0.35">
      <c r="A1779" s="198" t="s">
        <v>853</v>
      </c>
      <c r="B1779" s="197">
        <v>2031</v>
      </c>
      <c r="C1779" s="213" t="s">
        <v>4952</v>
      </c>
      <c r="D1779" s="239">
        <v>7.6264864381230908E-3</v>
      </c>
      <c r="E1779" s="226">
        <v>4.1980891090092516E-2</v>
      </c>
      <c r="F1779" s="226">
        <v>1.0575968348815752E-3</v>
      </c>
      <c r="G1779" s="227">
        <v>9.7346213139347078E-4</v>
      </c>
      <c r="H1779" s="226">
        <v>2.0000005732018805E-3</v>
      </c>
      <c r="I1779" s="255">
        <v>3.3811315818549825E-3</v>
      </c>
      <c r="J1779" s="256">
        <v>2.671467670846444E-5</v>
      </c>
      <c r="K1779" s="257">
        <v>2.792259584459899E-5</v>
      </c>
      <c r="L1779" s="228">
        <v>3.350634451339117E-2</v>
      </c>
    </row>
    <row r="1780" spans="1:12" s="212" customFormat="1" ht="15.5" x14ac:dyDescent="0.35">
      <c r="A1780" s="198" t="s">
        <v>853</v>
      </c>
      <c r="B1780" s="197">
        <v>2032</v>
      </c>
      <c r="C1780" s="213" t="s">
        <v>4953</v>
      </c>
      <c r="D1780" s="239">
        <v>7.0457698862478905E-3</v>
      </c>
      <c r="E1780" s="226">
        <v>3.9126612582963884E-2</v>
      </c>
      <c r="F1780" s="226">
        <v>9.9198601352763305E-4</v>
      </c>
      <c r="G1780" s="227">
        <v>9.1298052429323511E-4</v>
      </c>
      <c r="H1780" s="226">
        <v>2.0000005732018801E-3</v>
      </c>
      <c r="I1780" s="255">
        <v>3.3787726279573237E-3</v>
      </c>
      <c r="J1780" s="256">
        <v>2.27396427010327E-5</v>
      </c>
      <c r="K1780" s="257">
        <v>2.3767828438303371E-5</v>
      </c>
      <c r="L1780" s="228">
        <v>3.3063319286412228E-2</v>
      </c>
    </row>
    <row r="1781" spans="1:12" s="212" customFormat="1" ht="15.5" x14ac:dyDescent="0.35">
      <c r="A1781" s="198" t="s">
        <v>853</v>
      </c>
      <c r="B1781" s="197">
        <v>2033</v>
      </c>
      <c r="C1781" s="213" t="s">
        <v>4954</v>
      </c>
      <c r="D1781" s="239">
        <v>6.5385204018082116E-3</v>
      </c>
      <c r="E1781" s="226">
        <v>3.6666390653129703E-2</v>
      </c>
      <c r="F1781" s="226">
        <v>9.3100700883018764E-4</v>
      </c>
      <c r="G1781" s="227">
        <v>8.5682112622458375E-4</v>
      </c>
      <c r="H1781" s="226">
        <v>2.0000005732018801E-3</v>
      </c>
      <c r="I1781" s="255">
        <v>3.3763962688825545E-3</v>
      </c>
      <c r="J1781" s="256">
        <v>2.0392429892891573E-5</v>
      </c>
      <c r="K1781" s="257">
        <v>2.1314485082580657E-5</v>
      </c>
      <c r="L1781" s="228">
        <v>3.2666262055370647E-2</v>
      </c>
    </row>
    <row r="1782" spans="1:12" s="212" customFormat="1" ht="15.5" x14ac:dyDescent="0.35">
      <c r="A1782" s="198" t="s">
        <v>853</v>
      </c>
      <c r="B1782" s="197">
        <v>2034</v>
      </c>
      <c r="C1782" s="213" t="s">
        <v>4955</v>
      </c>
      <c r="D1782" s="239">
        <v>6.0728693705706304E-3</v>
      </c>
      <c r="E1782" s="226">
        <v>3.4487462313743174E-2</v>
      </c>
      <c r="F1782" s="226">
        <v>8.7268446858802036E-4</v>
      </c>
      <c r="G1782" s="227">
        <v>8.0310934140390643E-4</v>
      </c>
      <c r="H1782" s="226">
        <v>2.0000005732018801E-3</v>
      </c>
      <c r="I1782" s="255">
        <v>3.3740337582337703E-3</v>
      </c>
      <c r="J1782" s="256">
        <v>1.8175911730627727E-5</v>
      </c>
      <c r="K1782" s="257">
        <v>1.8997745804672934E-5</v>
      </c>
      <c r="L1782" s="228">
        <v>3.2312179067831424E-2</v>
      </c>
    </row>
    <row r="1783" spans="1:12" s="212" customFormat="1" ht="15.5" x14ac:dyDescent="0.35">
      <c r="A1783" s="198" t="s">
        <v>853</v>
      </c>
      <c r="B1783" s="197">
        <v>2035</v>
      </c>
      <c r="C1783" s="213" t="s">
        <v>4956</v>
      </c>
      <c r="D1783" s="239">
        <v>5.6566928369072263E-3</v>
      </c>
      <c r="E1783" s="226">
        <v>3.2597678555393222E-2</v>
      </c>
      <c r="F1783" s="226">
        <v>8.1805711662152848E-4</v>
      </c>
      <c r="G1783" s="227">
        <v>7.5280131106878444E-4</v>
      </c>
      <c r="H1783" s="226">
        <v>2.0000005732018801E-3</v>
      </c>
      <c r="I1783" s="255">
        <v>3.3717885673328718E-3</v>
      </c>
      <c r="J1783" s="256">
        <v>1.6117627941805008E-5</v>
      </c>
      <c r="K1783" s="257">
        <v>1.6846395556418679E-5</v>
      </c>
      <c r="L1783" s="228">
        <v>3.1999402671097105E-2</v>
      </c>
    </row>
    <row r="1784" spans="1:12" s="212" customFormat="1" ht="15.5" x14ac:dyDescent="0.35">
      <c r="A1784" s="198" t="s">
        <v>853</v>
      </c>
      <c r="B1784" s="197">
        <v>2036</v>
      </c>
      <c r="C1784" s="213" t="s">
        <v>4957</v>
      </c>
      <c r="D1784" s="239">
        <v>5.3011094840938779E-3</v>
      </c>
      <c r="E1784" s="226">
        <v>3.1016195830336081E-2</v>
      </c>
      <c r="F1784" s="226">
        <v>7.7074773293906058E-4</v>
      </c>
      <c r="G1784" s="227">
        <v>7.0923153626549506E-4</v>
      </c>
      <c r="H1784" s="226">
        <v>2.0000005732018801E-3</v>
      </c>
      <c r="I1784" s="255">
        <v>3.3697443830983708E-3</v>
      </c>
      <c r="J1784" s="256">
        <v>1.4307113902019198E-5</v>
      </c>
      <c r="K1784" s="257">
        <v>1.4954018105790821E-5</v>
      </c>
      <c r="L1784" s="228">
        <v>3.1725767717548252E-2</v>
      </c>
    </row>
    <row r="1785" spans="1:12" s="212" customFormat="1" ht="15.5" x14ac:dyDescent="0.35">
      <c r="A1785" s="198" t="s">
        <v>853</v>
      </c>
      <c r="B1785" s="197">
        <v>2037</v>
      </c>
      <c r="C1785" s="213" t="s">
        <v>4958</v>
      </c>
      <c r="D1785" s="239">
        <v>4.9971286287465878E-3</v>
      </c>
      <c r="E1785" s="226">
        <v>2.9680449312257554E-2</v>
      </c>
      <c r="F1785" s="226">
        <v>7.2817038816691505E-4</v>
      </c>
      <c r="G1785" s="227">
        <v>6.7001770559268787E-4</v>
      </c>
      <c r="H1785" s="226">
        <v>2.0000005732018797E-3</v>
      </c>
      <c r="I1785" s="255">
        <v>3.36792024410878E-3</v>
      </c>
      <c r="J1785" s="256">
        <v>1.2625158789238972E-5</v>
      </c>
      <c r="K1785" s="257">
        <v>1.3196012446375961E-5</v>
      </c>
      <c r="L1785" s="228">
        <v>3.1488842908729262E-2</v>
      </c>
    </row>
    <row r="1786" spans="1:12" s="212" customFormat="1" ht="15.5" x14ac:dyDescent="0.35">
      <c r="A1786" s="198" t="s">
        <v>853</v>
      </c>
      <c r="B1786" s="197">
        <v>2038</v>
      </c>
      <c r="C1786" s="213" t="s">
        <v>4959</v>
      </c>
      <c r="D1786" s="239">
        <v>4.7227515406523301E-3</v>
      </c>
      <c r="E1786" s="226">
        <v>2.8481551667413209E-2</v>
      </c>
      <c r="F1786" s="226">
        <v>6.9025798250101132E-4</v>
      </c>
      <c r="G1786" s="227">
        <v>6.3511348698782656E-4</v>
      </c>
      <c r="H1786" s="226">
        <v>2.0000005732018801E-3</v>
      </c>
      <c r="I1786" s="255">
        <v>3.3663205542128808E-3</v>
      </c>
      <c r="J1786" s="256">
        <v>1.1466079800543039E-5</v>
      </c>
      <c r="K1786" s="257">
        <v>1.1984525049148032E-5</v>
      </c>
      <c r="L1786" s="228">
        <v>3.1286050077671372E-2</v>
      </c>
    </row>
    <row r="1787" spans="1:12" s="212" customFormat="1" ht="15.5" x14ac:dyDescent="0.35">
      <c r="A1787" s="198" t="s">
        <v>853</v>
      </c>
      <c r="B1787" s="197">
        <v>2039</v>
      </c>
      <c r="C1787" s="213" t="s">
        <v>4960</v>
      </c>
      <c r="D1787" s="239">
        <v>4.4586243997661E-3</v>
      </c>
      <c r="E1787" s="226">
        <v>2.7358444728506293E-2</v>
      </c>
      <c r="F1787" s="226">
        <v>6.5635245354742446E-4</v>
      </c>
      <c r="G1787" s="227">
        <v>6.0390009428860426E-4</v>
      </c>
      <c r="H1787" s="226">
        <v>2.0000005732018805E-3</v>
      </c>
      <c r="I1787" s="255">
        <v>3.3649610280868454E-3</v>
      </c>
      <c r="J1787" s="256">
        <v>1.0477693401131645E-5</v>
      </c>
      <c r="K1787" s="257">
        <v>1.0951448202654958E-5</v>
      </c>
      <c r="L1787" s="228">
        <v>3.1113874009845666E-2</v>
      </c>
    </row>
    <row r="1788" spans="1:12" s="212" customFormat="1" ht="15.5" x14ac:dyDescent="0.35">
      <c r="A1788" s="198" t="s">
        <v>853</v>
      </c>
      <c r="B1788" s="197">
        <v>2040</v>
      </c>
      <c r="C1788" s="213" t="s">
        <v>4961</v>
      </c>
      <c r="D1788" s="239">
        <v>4.2270590416917135E-3</v>
      </c>
      <c r="E1788" s="226">
        <v>2.6405039236726668E-2</v>
      </c>
      <c r="F1788" s="226">
        <v>6.2672341658282806E-4</v>
      </c>
      <c r="G1788" s="227">
        <v>5.7662504143663753E-4</v>
      </c>
      <c r="H1788" s="226">
        <v>2.0000005732018797E-3</v>
      </c>
      <c r="I1788" s="255">
        <v>3.3638743117926115E-3</v>
      </c>
      <c r="J1788" s="256">
        <v>9.6500579973307716E-6</v>
      </c>
      <c r="K1788" s="257">
        <v>1.0086390798471908E-5</v>
      </c>
      <c r="L1788" s="228">
        <v>3.0969221721646331E-2</v>
      </c>
    </row>
    <row r="1789" spans="1:12" s="212" customFormat="1" ht="15.5" x14ac:dyDescent="0.35">
      <c r="A1789" s="198" t="s">
        <v>853</v>
      </c>
      <c r="B1789" s="197">
        <v>2041</v>
      </c>
      <c r="C1789" s="213" t="s">
        <v>4962</v>
      </c>
      <c r="D1789" s="239">
        <v>4.0468786187447528E-3</v>
      </c>
      <c r="E1789" s="226">
        <v>2.5619209206870244E-2</v>
      </c>
      <c r="F1789" s="226">
        <v>6.03785451228872E-4</v>
      </c>
      <c r="G1789" s="227">
        <v>5.5550692212584236E-4</v>
      </c>
      <c r="H1789" s="226">
        <v>2.0000005732018805E-3</v>
      </c>
      <c r="I1789" s="255">
        <v>3.3630396134262525E-3</v>
      </c>
      <c r="J1789" s="256">
        <v>8.9440815167010374E-6</v>
      </c>
      <c r="K1789" s="257">
        <v>9.3484931941123293E-6</v>
      </c>
      <c r="L1789" s="228">
        <v>3.0849397713921246E-2</v>
      </c>
    </row>
    <row r="1790" spans="1:12" s="212" customFormat="1" ht="15.5" x14ac:dyDescent="0.35">
      <c r="A1790" s="198" t="s">
        <v>853</v>
      </c>
      <c r="B1790" s="197">
        <v>2042</v>
      </c>
      <c r="C1790" s="213" t="s">
        <v>4963</v>
      </c>
      <c r="D1790" s="239">
        <v>3.8816099893049247E-3</v>
      </c>
      <c r="E1790" s="226">
        <v>2.4848034687371994E-2</v>
      </c>
      <c r="F1790" s="226">
        <v>5.8409020157803974E-4</v>
      </c>
      <c r="G1790" s="227">
        <v>5.3737726890818079E-4</v>
      </c>
      <c r="H1790" s="226">
        <v>2.0000005732018801E-3</v>
      </c>
      <c r="I1790" s="255">
        <v>3.3623154808957198E-3</v>
      </c>
      <c r="J1790" s="256">
        <v>8.4154200366241449E-6</v>
      </c>
      <c r="K1790" s="257">
        <v>8.7959279878069386E-6</v>
      </c>
      <c r="L1790" s="228">
        <v>3.0748982355267955E-2</v>
      </c>
    </row>
    <row r="1791" spans="1:12" s="212" customFormat="1" ht="15.5" x14ac:dyDescent="0.35">
      <c r="A1791" s="198" t="s">
        <v>853</v>
      </c>
      <c r="B1791" s="197">
        <v>2043</v>
      </c>
      <c r="C1791" s="213" t="s">
        <v>4964</v>
      </c>
      <c r="D1791" s="239">
        <v>3.7571850024039383E-3</v>
      </c>
      <c r="E1791" s="226">
        <v>2.4209426275918388E-2</v>
      </c>
      <c r="F1791" s="226">
        <v>5.6737027091322554E-4</v>
      </c>
      <c r="G1791" s="227">
        <v>5.219861402460974E-4</v>
      </c>
      <c r="H1791" s="226">
        <v>2.0000005732018801E-3</v>
      </c>
      <c r="I1791" s="255">
        <v>3.3617598155244979E-3</v>
      </c>
      <c r="J1791" s="256">
        <v>7.9593552364305301E-6</v>
      </c>
      <c r="K1791" s="257">
        <v>8.3192419611061662E-6</v>
      </c>
      <c r="L1791" s="228">
        <v>3.0666224008534824E-2</v>
      </c>
    </row>
    <row r="1792" spans="1:12" s="212" customFormat="1" ht="15.5" x14ac:dyDescent="0.35">
      <c r="A1792" s="198" t="s">
        <v>853</v>
      </c>
      <c r="B1792" s="197">
        <v>2044</v>
      </c>
      <c r="C1792" s="213" t="s">
        <v>4965</v>
      </c>
      <c r="D1792" s="239">
        <v>3.661330318078733E-3</v>
      </c>
      <c r="E1792" s="226">
        <v>2.3618557226155922E-2</v>
      </c>
      <c r="F1792" s="226">
        <v>5.5319441673873544E-4</v>
      </c>
      <c r="G1792" s="227">
        <v>5.0893683780232023E-4</v>
      </c>
      <c r="H1792" s="226">
        <v>2.0000005732018801E-3</v>
      </c>
      <c r="I1792" s="255">
        <v>3.361318576196563E-3</v>
      </c>
      <c r="J1792" s="256">
        <v>7.5710933003619034E-6</v>
      </c>
      <c r="K1792" s="257">
        <v>7.9134245431753207E-6</v>
      </c>
      <c r="L1792" s="228">
        <v>3.0597668684022947E-2</v>
      </c>
    </row>
    <row r="1793" spans="1:12" s="212" customFormat="1" ht="15.5" x14ac:dyDescent="0.35">
      <c r="A1793" s="198" t="s">
        <v>853</v>
      </c>
      <c r="B1793" s="197">
        <v>2045</v>
      </c>
      <c r="C1793" s="213" t="s">
        <v>4966</v>
      </c>
      <c r="D1793" s="239">
        <v>3.5928300405394247E-3</v>
      </c>
      <c r="E1793" s="226">
        <v>2.3087570958088003E-2</v>
      </c>
      <c r="F1793" s="226">
        <v>5.4122268151602607E-4</v>
      </c>
      <c r="G1793" s="227">
        <v>4.9791713224424437E-4</v>
      </c>
      <c r="H1793" s="226">
        <v>2.0000005732018801E-3</v>
      </c>
      <c r="I1793" s="255">
        <v>3.3609823274895465E-3</v>
      </c>
      <c r="J1793" s="256">
        <v>7.2595934067667316E-6</v>
      </c>
      <c r="K1793" s="257">
        <v>7.587840006652096E-6</v>
      </c>
      <c r="L1793" s="228">
        <v>3.0539545515303509E-2</v>
      </c>
    </row>
    <row r="1794" spans="1:12" s="212" customFormat="1" ht="15.5" x14ac:dyDescent="0.35">
      <c r="A1794" s="198" t="s">
        <v>853</v>
      </c>
      <c r="B1794" s="197">
        <v>2046</v>
      </c>
      <c r="C1794" s="213" t="s">
        <v>4967</v>
      </c>
      <c r="D1794" s="239">
        <v>3.5284987462345938E-3</v>
      </c>
      <c r="E1794" s="226">
        <v>2.2578317495385785E-2</v>
      </c>
      <c r="F1794" s="226">
        <v>5.3116918745623289E-4</v>
      </c>
      <c r="G1794" s="227">
        <v>4.8866408560671853E-4</v>
      </c>
      <c r="H1794" s="226">
        <v>2.0000005732018792E-3</v>
      </c>
      <c r="I1794" s="255">
        <v>3.3607197512700248E-3</v>
      </c>
      <c r="J1794" s="256">
        <v>7.0227024590124525E-6</v>
      </c>
      <c r="K1794" s="257">
        <v>7.3402379014283723E-6</v>
      </c>
      <c r="L1794" s="228">
        <v>3.0491248184552507E-2</v>
      </c>
    </row>
    <row r="1795" spans="1:12" s="212" customFormat="1" ht="15.5" x14ac:dyDescent="0.35">
      <c r="A1795" s="198" t="s">
        <v>853</v>
      </c>
      <c r="B1795" s="197">
        <v>2047</v>
      </c>
      <c r="C1795" s="213" t="s">
        <v>4968</v>
      </c>
      <c r="D1795" s="239">
        <v>3.4744152346875157E-3</v>
      </c>
      <c r="E1795" s="226">
        <v>2.2144768364762622E-2</v>
      </c>
      <c r="F1795" s="226">
        <v>5.2279320386288363E-4</v>
      </c>
      <c r="G1795" s="227">
        <v>4.8095246469003671E-4</v>
      </c>
      <c r="H1795" s="226">
        <v>2.0000005732018797E-3</v>
      </c>
      <c r="I1795" s="255">
        <v>3.3605609691139526E-3</v>
      </c>
      <c r="J1795" s="256">
        <v>6.7605764227423765E-6</v>
      </c>
      <c r="K1795" s="257">
        <v>7.0662596889652176E-6</v>
      </c>
      <c r="L1795" s="228">
        <v>3.0451730619050883E-2</v>
      </c>
    </row>
    <row r="1796" spans="1:12" s="212" customFormat="1" ht="15.5" x14ac:dyDescent="0.35">
      <c r="A1796" s="198" t="s">
        <v>853</v>
      </c>
      <c r="B1796" s="197">
        <v>2048</v>
      </c>
      <c r="C1796" s="213" t="s">
        <v>4969</v>
      </c>
      <c r="D1796" s="239">
        <v>3.4300234990614618E-3</v>
      </c>
      <c r="E1796" s="226">
        <v>2.1788851719272914E-2</v>
      </c>
      <c r="F1796" s="226">
        <v>5.1584470818482394E-4</v>
      </c>
      <c r="G1796" s="227">
        <v>4.7455524660196784E-4</v>
      </c>
      <c r="H1796" s="226">
        <v>2.0000005732018797E-3</v>
      </c>
      <c r="I1796" s="255">
        <v>3.3604731799475891E-3</v>
      </c>
      <c r="J1796" s="256">
        <v>6.5467112798535486E-6</v>
      </c>
      <c r="K1796" s="257">
        <v>6.8427245133274816E-6</v>
      </c>
      <c r="L1796" s="228">
        <v>3.0419189287942166E-2</v>
      </c>
    </row>
    <row r="1797" spans="1:12" s="212" customFormat="1" ht="15.5" x14ac:dyDescent="0.35">
      <c r="A1797" s="198" t="s">
        <v>853</v>
      </c>
      <c r="B1797" s="197">
        <v>2049</v>
      </c>
      <c r="C1797" s="213" t="s">
        <v>4970</v>
      </c>
      <c r="D1797" s="239">
        <v>3.4204711629687292E-3</v>
      </c>
      <c r="E1797" s="226">
        <v>2.175562294626009E-2</v>
      </c>
      <c r="F1797" s="226">
        <v>5.1147241830730829E-4</v>
      </c>
      <c r="G1797" s="227">
        <v>4.7052873162437106E-4</v>
      </c>
      <c r="H1797" s="226">
        <v>2.0000005732018801E-3</v>
      </c>
      <c r="I1797" s="255">
        <v>3.3604431372405734E-3</v>
      </c>
      <c r="J1797" s="256">
        <v>6.3835860238085327E-6</v>
      </c>
      <c r="K1797" s="257">
        <v>6.67222345706172E-6</v>
      </c>
      <c r="L1797" s="228">
        <v>3.0391980148324369E-2</v>
      </c>
    </row>
    <row r="1798" spans="1:12" s="212" customFormat="1" ht="15.5" x14ac:dyDescent="0.35">
      <c r="A1798" s="198" t="s">
        <v>853</v>
      </c>
      <c r="B1798" s="197">
        <v>2050</v>
      </c>
      <c r="C1798" s="213" t="s">
        <v>4971</v>
      </c>
      <c r="D1798" s="239">
        <v>3.41310516524502E-3</v>
      </c>
      <c r="E1798" s="226">
        <v>2.1727008205406326E-2</v>
      </c>
      <c r="F1798" s="226">
        <v>5.077768293764314E-4</v>
      </c>
      <c r="G1798" s="227">
        <v>4.6711901509768823E-4</v>
      </c>
      <c r="H1798" s="226">
        <v>2.0000005732018805E-3</v>
      </c>
      <c r="I1798" s="255">
        <v>3.3605090877736575E-3</v>
      </c>
      <c r="J1798" s="256">
        <v>6.0817879659748665E-6</v>
      </c>
      <c r="K1798" s="257">
        <v>6.356779430261845E-6</v>
      </c>
      <c r="L1798" s="228">
        <v>3.0370393565607123E-2</v>
      </c>
    </row>
    <row r="1799" spans="1:12" s="212" customFormat="1" ht="15.5" x14ac:dyDescent="0.35">
      <c r="A1799" s="198" t="s">
        <v>854</v>
      </c>
      <c r="B1799" s="197">
        <v>2015</v>
      </c>
      <c r="C1799" s="213" t="s">
        <v>957</v>
      </c>
      <c r="D1799" s="239">
        <v>5.2416461897002886E-2</v>
      </c>
      <c r="E1799" s="226">
        <v>0.2518842862543581</v>
      </c>
      <c r="F1799" s="226">
        <v>1.898065198101996E-3</v>
      </c>
      <c r="G1799" s="227">
        <v>1.7528297588836378E-3</v>
      </c>
      <c r="H1799" s="226">
        <v>2.0000005732018801E-3</v>
      </c>
      <c r="I1799" s="255">
        <v>3.499105183708238E-3</v>
      </c>
      <c r="J1799" s="256">
        <v>1.2311218499812143E-4</v>
      </c>
      <c r="K1799" s="257">
        <v>1.2867877170150667E-4</v>
      </c>
      <c r="L1799" s="228">
        <v>4.3831116957172268E-2</v>
      </c>
    </row>
    <row r="1800" spans="1:12" s="212" customFormat="1" ht="15.5" x14ac:dyDescent="0.35">
      <c r="A1800" s="198" t="s">
        <v>854</v>
      </c>
      <c r="B1800" s="197">
        <v>2016</v>
      </c>
      <c r="C1800" s="213" t="s">
        <v>958</v>
      </c>
      <c r="D1800" s="239">
        <v>4.6253941314925405E-2</v>
      </c>
      <c r="E1800" s="226">
        <v>0.22712219436336098</v>
      </c>
      <c r="F1800" s="226">
        <v>1.8181868770012432E-3</v>
      </c>
      <c r="G1800" s="227">
        <v>1.6783063925081749E-3</v>
      </c>
      <c r="H1800" s="226">
        <v>2.0000005732018801E-3</v>
      </c>
      <c r="I1800" s="255">
        <v>3.4922065565697632E-3</v>
      </c>
      <c r="J1800" s="256">
        <v>1.129370186412087E-4</v>
      </c>
      <c r="K1800" s="257">
        <v>1.1804352947356609E-4</v>
      </c>
      <c r="L1800" s="228">
        <v>4.2882616297603704E-2</v>
      </c>
    </row>
    <row r="1801" spans="1:12" s="212" customFormat="1" ht="15.5" x14ac:dyDescent="0.35">
      <c r="A1801" s="198" t="s">
        <v>854</v>
      </c>
      <c r="B1801" s="197">
        <v>2017</v>
      </c>
      <c r="C1801" s="213" t="s">
        <v>4972</v>
      </c>
      <c r="D1801" s="239">
        <v>3.6647461704871938E-2</v>
      </c>
      <c r="E1801" s="226">
        <v>0.18736980983731363</v>
      </c>
      <c r="F1801" s="226">
        <v>1.6738010520833302E-3</v>
      </c>
      <c r="G1801" s="227">
        <v>1.5437870764199748E-3</v>
      </c>
      <c r="H1801" s="226">
        <v>2.0000005732018801E-3</v>
      </c>
      <c r="I1801" s="255">
        <v>3.4876311829431903E-3</v>
      </c>
      <c r="J1801" s="256">
        <v>9.041250648314503E-5</v>
      </c>
      <c r="K1801" s="257">
        <v>9.450055882675735E-5</v>
      </c>
      <c r="L1801" s="228">
        <v>4.2561681561670311E-2</v>
      </c>
    </row>
    <row r="1802" spans="1:12" s="212" customFormat="1" ht="15.5" x14ac:dyDescent="0.35">
      <c r="A1802" s="198" t="s">
        <v>854</v>
      </c>
      <c r="B1802" s="197">
        <v>2018</v>
      </c>
      <c r="C1802" s="213" t="s">
        <v>4973</v>
      </c>
      <c r="D1802" s="239">
        <v>3.0677893486363923E-2</v>
      </c>
      <c r="E1802" s="226">
        <v>0.16160461191562894</v>
      </c>
      <c r="F1802" s="226">
        <v>1.6234676023969099E-3</v>
      </c>
      <c r="G1802" s="227">
        <v>1.4965850358888842E-3</v>
      </c>
      <c r="H1802" s="226">
        <v>2.0000005732018801E-3</v>
      </c>
      <c r="I1802" s="255">
        <v>3.4851336744439183E-3</v>
      </c>
      <c r="J1802" s="256">
        <v>7.9869688925458501E-5</v>
      </c>
      <c r="K1802" s="257">
        <v>8.3481041842172098E-5</v>
      </c>
      <c r="L1802" s="228">
        <v>4.2204111279125552E-2</v>
      </c>
    </row>
    <row r="1803" spans="1:12" s="212" customFormat="1" ht="15.5" x14ac:dyDescent="0.35">
      <c r="A1803" s="198" t="s">
        <v>854</v>
      </c>
      <c r="B1803" s="197">
        <v>2019</v>
      </c>
      <c r="C1803" s="213" t="s">
        <v>4974</v>
      </c>
      <c r="D1803" s="239">
        <v>2.5586935899351619E-2</v>
      </c>
      <c r="E1803" s="226">
        <v>0.13847992409420051</v>
      </c>
      <c r="F1803" s="226">
        <v>1.5976595997238389E-3</v>
      </c>
      <c r="G1803" s="227">
        <v>1.4722819720995946E-3</v>
      </c>
      <c r="H1803" s="226">
        <v>2.0000005732018805E-3</v>
      </c>
      <c r="I1803" s="255">
        <v>3.4842905891509278E-3</v>
      </c>
      <c r="J1803" s="256">
        <v>7.5577748078653139E-5</v>
      </c>
      <c r="K1803" s="257">
        <v>7.8995038475479704E-5</v>
      </c>
      <c r="L1803" s="228">
        <v>4.1681312260861733E-2</v>
      </c>
    </row>
    <row r="1804" spans="1:12" s="212" customFormat="1" ht="15.5" x14ac:dyDescent="0.35">
      <c r="A1804" s="198" t="s">
        <v>854</v>
      </c>
      <c r="B1804" s="197">
        <v>2020</v>
      </c>
      <c r="C1804" s="213" t="s">
        <v>4975</v>
      </c>
      <c r="D1804" s="239">
        <v>2.1963338645614155E-2</v>
      </c>
      <c r="E1804" s="226">
        <v>0.12205385275972308</v>
      </c>
      <c r="F1804" s="226">
        <v>1.5447923283771398E-3</v>
      </c>
      <c r="G1804" s="227">
        <v>1.4232842601489459E-3</v>
      </c>
      <c r="H1804" s="226">
        <v>2.0000005732018801E-3</v>
      </c>
      <c r="I1804" s="255">
        <v>3.4714395310005927E-3</v>
      </c>
      <c r="J1804" s="256">
        <v>6.9216726696692035E-5</v>
      </c>
      <c r="K1804" s="257">
        <v>7.234639993324066E-5</v>
      </c>
      <c r="L1804" s="228">
        <v>4.1520851676638625E-2</v>
      </c>
    </row>
    <row r="1805" spans="1:12" s="212" customFormat="1" ht="15.5" x14ac:dyDescent="0.35">
      <c r="A1805" s="198" t="s">
        <v>854</v>
      </c>
      <c r="B1805" s="197">
        <v>2021</v>
      </c>
      <c r="C1805" s="213" t="s">
        <v>4976</v>
      </c>
      <c r="D1805" s="239">
        <v>1.9321992981740754E-2</v>
      </c>
      <c r="E1805" s="226">
        <v>0.10754039231269491</v>
      </c>
      <c r="F1805" s="226">
        <v>1.4954355503140812E-3</v>
      </c>
      <c r="G1805" s="227">
        <v>1.3775871349968041E-3</v>
      </c>
      <c r="H1805" s="226">
        <v>2.0000005732018801E-3</v>
      </c>
      <c r="I1805" s="255">
        <v>3.5118498736428972E-3</v>
      </c>
      <c r="J1805" s="256">
        <v>6.2455343238885377E-5</v>
      </c>
      <c r="K1805" s="257">
        <v>6.5279296718666696E-5</v>
      </c>
      <c r="L1805" s="228">
        <v>4.1555687745450945E-2</v>
      </c>
    </row>
    <row r="1806" spans="1:12" s="212" customFormat="1" ht="15.5" x14ac:dyDescent="0.35">
      <c r="A1806" s="198" t="s">
        <v>854</v>
      </c>
      <c r="B1806" s="197">
        <v>2022</v>
      </c>
      <c r="C1806" s="213" t="s">
        <v>4977</v>
      </c>
      <c r="D1806" s="239">
        <v>1.6624353013170414E-2</v>
      </c>
      <c r="E1806" s="226">
        <v>9.3871374298191201E-2</v>
      </c>
      <c r="F1806" s="226">
        <v>1.438016630539446E-3</v>
      </c>
      <c r="G1806" s="227">
        <v>1.3244688650435536E-3</v>
      </c>
      <c r="H1806" s="226">
        <v>2.0000005732018805E-3</v>
      </c>
      <c r="I1806" s="255">
        <v>3.5130245991705292E-3</v>
      </c>
      <c r="J1806" s="256">
        <v>5.7039456360498403E-5</v>
      </c>
      <c r="K1806" s="257">
        <v>5.9618527468281114E-5</v>
      </c>
      <c r="L1806" s="228">
        <v>4.094686074676674E-2</v>
      </c>
    </row>
    <row r="1807" spans="1:12" s="212" customFormat="1" ht="15.5" x14ac:dyDescent="0.35">
      <c r="A1807" s="198" t="s">
        <v>854</v>
      </c>
      <c r="B1807" s="197">
        <v>2023</v>
      </c>
      <c r="C1807" s="213" t="s">
        <v>4978</v>
      </c>
      <c r="D1807" s="239">
        <v>1.4543130935359385E-2</v>
      </c>
      <c r="E1807" s="226">
        <v>8.2196494037453188E-2</v>
      </c>
      <c r="F1807" s="226">
        <v>1.3820933331323696E-3</v>
      </c>
      <c r="G1807" s="227">
        <v>1.2728091155917271E-3</v>
      </c>
      <c r="H1807" s="226">
        <v>2.0000005732018801E-3</v>
      </c>
      <c r="I1807" s="255">
        <v>3.5115078733371271E-3</v>
      </c>
      <c r="J1807" s="256">
        <v>5.1362514635174605E-5</v>
      </c>
      <c r="K1807" s="257">
        <v>5.3684899629194107E-5</v>
      </c>
      <c r="L1807" s="228">
        <v>4.0275414291055016E-2</v>
      </c>
    </row>
    <row r="1808" spans="1:12" s="212" customFormat="1" ht="15.5" x14ac:dyDescent="0.35">
      <c r="A1808" s="198" t="s">
        <v>854</v>
      </c>
      <c r="B1808" s="197">
        <v>2024</v>
      </c>
      <c r="C1808" s="213" t="s">
        <v>4979</v>
      </c>
      <c r="D1808" s="239">
        <v>1.2789611957358723E-2</v>
      </c>
      <c r="E1808" s="226">
        <v>7.2224810010159193E-2</v>
      </c>
      <c r="F1808" s="226">
        <v>1.3337214367731289E-3</v>
      </c>
      <c r="G1808" s="227">
        <v>1.2281047837331242E-3</v>
      </c>
      <c r="H1808" s="226">
        <v>2.0000005732018801E-3</v>
      </c>
      <c r="I1808" s="255">
        <v>3.5448537554817689E-3</v>
      </c>
      <c r="J1808" s="256">
        <v>4.5966155915663003E-5</v>
      </c>
      <c r="K1808" s="257">
        <v>4.804454151437335E-5</v>
      </c>
      <c r="L1808" s="228">
        <v>3.9553998530013144E-2</v>
      </c>
    </row>
    <row r="1809" spans="1:12" s="212" customFormat="1" ht="15.5" x14ac:dyDescent="0.35">
      <c r="A1809" s="198" t="s">
        <v>854</v>
      </c>
      <c r="B1809" s="197">
        <v>2025</v>
      </c>
      <c r="C1809" s="213" t="s">
        <v>4980</v>
      </c>
      <c r="D1809" s="239">
        <v>1.130196750032938E-2</v>
      </c>
      <c r="E1809" s="226">
        <v>6.3903005761199047E-2</v>
      </c>
      <c r="F1809" s="226">
        <v>1.2885106466721515E-3</v>
      </c>
      <c r="G1809" s="227">
        <v>1.1863356642925059E-3</v>
      </c>
      <c r="H1809" s="226">
        <v>2.0000005732018797E-3</v>
      </c>
      <c r="I1809" s="255">
        <v>3.5431034309412329E-3</v>
      </c>
      <c r="J1809" s="256">
        <v>4.0987740631315336E-5</v>
      </c>
      <c r="K1809" s="257">
        <v>4.284102438225812E-5</v>
      </c>
      <c r="L1809" s="228">
        <v>3.8787238903508617E-2</v>
      </c>
    </row>
    <row r="1810" spans="1:12" s="212" customFormat="1" ht="15.5" x14ac:dyDescent="0.35">
      <c r="A1810" s="198" t="s">
        <v>854</v>
      </c>
      <c r="B1810" s="197">
        <v>2026</v>
      </c>
      <c r="C1810" s="213" t="s">
        <v>4981</v>
      </c>
      <c r="D1810" s="239">
        <v>1.0059233150624534E-2</v>
      </c>
      <c r="E1810" s="226">
        <v>5.6995987731447338E-2</v>
      </c>
      <c r="F1810" s="226">
        <v>1.2410918649879467E-3</v>
      </c>
      <c r="G1810" s="227">
        <v>1.1425517494146463E-3</v>
      </c>
      <c r="H1810" s="226">
        <v>2.0000005732018801E-3</v>
      </c>
      <c r="I1810" s="255">
        <v>3.5413548252381005E-3</v>
      </c>
      <c r="J1810" s="256">
        <v>3.6276581801416929E-5</v>
      </c>
      <c r="K1810" s="257">
        <v>3.7916847855529424E-5</v>
      </c>
      <c r="L1810" s="228">
        <v>3.8037430775375407E-2</v>
      </c>
    </row>
    <row r="1811" spans="1:12" s="212" customFormat="1" ht="15.5" x14ac:dyDescent="0.35">
      <c r="A1811" s="198" t="s">
        <v>854</v>
      </c>
      <c r="B1811" s="197">
        <v>2027</v>
      </c>
      <c r="C1811" s="213" t="s">
        <v>4982</v>
      </c>
      <c r="D1811" s="239">
        <v>8.7586031130039346E-3</v>
      </c>
      <c r="E1811" s="226">
        <v>5.0893847057229068E-2</v>
      </c>
      <c r="F1811" s="226">
        <v>1.1525349031221578E-3</v>
      </c>
      <c r="G1811" s="227">
        <v>1.0608743858471483E-3</v>
      </c>
      <c r="H1811" s="226">
        <v>2.0000005732018797E-3</v>
      </c>
      <c r="I1811" s="255">
        <v>3.300873968388122E-3</v>
      </c>
      <c r="J1811" s="256">
        <v>2.9799796609040567E-5</v>
      </c>
      <c r="K1811" s="257">
        <v>3.1147211177062401E-5</v>
      </c>
      <c r="L1811" s="228">
        <v>3.7340868697006001E-2</v>
      </c>
    </row>
    <row r="1812" spans="1:12" s="212" customFormat="1" ht="15.5" x14ac:dyDescent="0.35">
      <c r="A1812" s="198" t="s">
        <v>854</v>
      </c>
      <c r="B1812" s="197">
        <v>2028</v>
      </c>
      <c r="C1812" s="213" t="s">
        <v>4983</v>
      </c>
      <c r="D1812" s="239">
        <v>7.9187745525267726E-3</v>
      </c>
      <c r="E1812" s="226">
        <v>4.6138238736378276E-2</v>
      </c>
      <c r="F1812" s="226">
        <v>1.0910785723741885E-3</v>
      </c>
      <c r="G1812" s="227">
        <v>1.0041485442174628E-3</v>
      </c>
      <c r="H1812" s="226">
        <v>2.0000005732018797E-3</v>
      </c>
      <c r="I1812" s="255">
        <v>3.2992423898000095E-3</v>
      </c>
      <c r="J1812" s="256">
        <v>2.4178700987829348E-5</v>
      </c>
      <c r="K1812" s="257">
        <v>2.527195455510239E-5</v>
      </c>
      <c r="L1812" s="228">
        <v>3.670610214171488E-2</v>
      </c>
    </row>
    <row r="1813" spans="1:12" s="212" customFormat="1" ht="15.5" x14ac:dyDescent="0.35">
      <c r="A1813" s="198" t="s">
        <v>854</v>
      </c>
      <c r="B1813" s="197">
        <v>2029</v>
      </c>
      <c r="C1813" s="213" t="s">
        <v>4984</v>
      </c>
      <c r="D1813" s="239">
        <v>7.2121770123142444E-3</v>
      </c>
      <c r="E1813" s="226">
        <v>4.2199494088407542E-2</v>
      </c>
      <c r="F1813" s="226">
        <v>1.031200125674981E-3</v>
      </c>
      <c r="G1813" s="227">
        <v>9.4896852392695684E-4</v>
      </c>
      <c r="H1813" s="226">
        <v>2.0000005732018805E-3</v>
      </c>
      <c r="I1813" s="255">
        <v>3.2977172817514233E-3</v>
      </c>
      <c r="J1813" s="256">
        <v>2.0996214111488037E-5</v>
      </c>
      <c r="K1813" s="257">
        <v>2.1945569744289281E-5</v>
      </c>
      <c r="L1813" s="228">
        <v>3.6131372390415702E-2</v>
      </c>
    </row>
    <row r="1814" spans="1:12" s="212" customFormat="1" ht="15.5" x14ac:dyDescent="0.35">
      <c r="A1814" s="198" t="s">
        <v>854</v>
      </c>
      <c r="B1814" s="197">
        <v>2030</v>
      </c>
      <c r="C1814" s="213" t="s">
        <v>4985</v>
      </c>
      <c r="D1814" s="239">
        <v>6.6014852216804342E-3</v>
      </c>
      <c r="E1814" s="226">
        <v>3.8905189811960297E-2</v>
      </c>
      <c r="F1814" s="226">
        <v>9.6926207819948338E-4</v>
      </c>
      <c r="G1814" s="227">
        <v>8.9190868814920858E-4</v>
      </c>
      <c r="H1814" s="226">
        <v>2.0000005732018797E-3</v>
      </c>
      <c r="I1814" s="255">
        <v>3.324709189392685E-3</v>
      </c>
      <c r="J1814" s="256">
        <v>1.8170769729855931E-5</v>
      </c>
      <c r="K1814" s="257">
        <v>1.8992371305443539E-5</v>
      </c>
      <c r="L1814" s="228">
        <v>3.5612735356727765E-2</v>
      </c>
    </row>
    <row r="1815" spans="1:12" s="212" customFormat="1" ht="15.5" x14ac:dyDescent="0.35">
      <c r="A1815" s="198" t="s">
        <v>854</v>
      </c>
      <c r="B1815" s="197">
        <v>2031</v>
      </c>
      <c r="C1815" s="213" t="s">
        <v>4986</v>
      </c>
      <c r="D1815" s="239">
        <v>6.1165697864544143E-3</v>
      </c>
      <c r="E1815" s="226">
        <v>3.614438039269588E-2</v>
      </c>
      <c r="F1815" s="226">
        <v>9.1630256729972892E-4</v>
      </c>
      <c r="G1815" s="227">
        <v>8.4313710197304219E-4</v>
      </c>
      <c r="H1815" s="226">
        <v>2.0000005732018801E-3</v>
      </c>
      <c r="I1815" s="255">
        <v>3.3220328185979931E-3</v>
      </c>
      <c r="J1815" s="256">
        <v>1.6187579550513292E-5</v>
      </c>
      <c r="K1815" s="257">
        <v>1.6919510066467099E-5</v>
      </c>
      <c r="L1815" s="228">
        <v>3.5321722981831713E-2</v>
      </c>
    </row>
    <row r="1816" spans="1:12" s="212" customFormat="1" ht="15.5" x14ac:dyDescent="0.35">
      <c r="A1816" s="198" t="s">
        <v>854</v>
      </c>
      <c r="B1816" s="197">
        <v>2032</v>
      </c>
      <c r="C1816" s="213" t="s">
        <v>4987</v>
      </c>
      <c r="D1816" s="239">
        <v>5.7852510482240722E-3</v>
      </c>
      <c r="E1816" s="226">
        <v>3.3928754633879024E-2</v>
      </c>
      <c r="F1816" s="226">
        <v>8.7839144180971117E-4</v>
      </c>
      <c r="G1816" s="227">
        <v>8.0822273365794986E-4</v>
      </c>
      <c r="H1816" s="226">
        <v>2.0000005732018801E-3</v>
      </c>
      <c r="I1816" s="255">
        <v>3.4378967926702178E-3</v>
      </c>
      <c r="J1816" s="256">
        <v>1.473779343162136E-5</v>
      </c>
      <c r="K1816" s="257">
        <v>1.5404171052609482E-5</v>
      </c>
      <c r="L1816" s="228">
        <v>3.4901913026051223E-2</v>
      </c>
    </row>
    <row r="1817" spans="1:12" s="212" customFormat="1" ht="15.5" x14ac:dyDescent="0.35">
      <c r="A1817" s="198" t="s">
        <v>854</v>
      </c>
      <c r="B1817" s="197">
        <v>2033</v>
      </c>
      <c r="C1817" s="213" t="s">
        <v>4988</v>
      </c>
      <c r="D1817" s="239">
        <v>5.3959736780966735E-3</v>
      </c>
      <c r="E1817" s="226">
        <v>3.1918664731932112E-2</v>
      </c>
      <c r="F1817" s="226">
        <v>8.2576453132922854E-4</v>
      </c>
      <c r="G1817" s="227">
        <v>7.5978426646816568E-4</v>
      </c>
      <c r="H1817" s="226">
        <v>2.0000005732018805E-3</v>
      </c>
      <c r="I1817" s="255">
        <v>3.4363981866907889E-3</v>
      </c>
      <c r="J1817" s="256">
        <v>1.3455403184456332E-5</v>
      </c>
      <c r="K1817" s="257">
        <v>1.4063796808990095E-5</v>
      </c>
      <c r="L1817" s="228">
        <v>3.4529085849961519E-2</v>
      </c>
    </row>
    <row r="1818" spans="1:12" s="212" customFormat="1" ht="15.5" x14ac:dyDescent="0.35">
      <c r="A1818" s="198" t="s">
        <v>854</v>
      </c>
      <c r="B1818" s="197">
        <v>2034</v>
      </c>
      <c r="C1818" s="213" t="s">
        <v>4989</v>
      </c>
      <c r="D1818" s="239">
        <v>5.0499521908297538E-3</v>
      </c>
      <c r="E1818" s="226">
        <v>3.0197218476690456E-2</v>
      </c>
      <c r="F1818" s="226">
        <v>7.7584086742058076E-4</v>
      </c>
      <c r="G1818" s="227">
        <v>7.138337765083371E-4</v>
      </c>
      <c r="H1818" s="226">
        <v>2.0000005732018801E-3</v>
      </c>
      <c r="I1818" s="255">
        <v>3.4349259823805859E-3</v>
      </c>
      <c r="J1818" s="256">
        <v>1.2235682635326343E-5</v>
      </c>
      <c r="K1818" s="257">
        <v>1.2788925909058228E-5</v>
      </c>
      <c r="L1818" s="228">
        <v>3.4199761498637189E-2</v>
      </c>
    </row>
    <row r="1819" spans="1:12" s="212" customFormat="1" ht="15.5" x14ac:dyDescent="0.35">
      <c r="A1819" s="198" t="s">
        <v>854</v>
      </c>
      <c r="B1819" s="197">
        <v>2035</v>
      </c>
      <c r="C1819" s="213" t="s">
        <v>4990</v>
      </c>
      <c r="D1819" s="239">
        <v>4.7470169114113914E-3</v>
      </c>
      <c r="E1819" s="226">
        <v>2.8726347455449722E-2</v>
      </c>
      <c r="F1819" s="226">
        <v>7.2933982795581368E-4</v>
      </c>
      <c r="G1819" s="227">
        <v>6.7103731412758373E-4</v>
      </c>
      <c r="H1819" s="226">
        <v>2.0000005732018801E-3</v>
      </c>
      <c r="I1819" s="255">
        <v>3.4335088114219063E-3</v>
      </c>
      <c r="J1819" s="256">
        <v>1.1196922601952104E-5</v>
      </c>
      <c r="K1819" s="257">
        <v>1.1703197756404205E-5</v>
      </c>
      <c r="L1819" s="228">
        <v>3.3911634749693859E-2</v>
      </c>
    </row>
    <row r="1820" spans="1:12" s="212" customFormat="1" ht="15.5" x14ac:dyDescent="0.35">
      <c r="A1820" s="198" t="s">
        <v>854</v>
      </c>
      <c r="B1820" s="197">
        <v>2036</v>
      </c>
      <c r="C1820" s="213" t="s">
        <v>4991</v>
      </c>
      <c r="D1820" s="239">
        <v>4.4888462190416081E-3</v>
      </c>
      <c r="E1820" s="226">
        <v>2.7500421254984111E-2</v>
      </c>
      <c r="F1820" s="226">
        <v>6.8806033140352376E-4</v>
      </c>
      <c r="G1820" s="227">
        <v>6.3304690982359836E-4</v>
      </c>
      <c r="H1820" s="226">
        <v>2.0000005732018805E-3</v>
      </c>
      <c r="I1820" s="255">
        <v>3.4321667372473027E-3</v>
      </c>
      <c r="J1820" s="256">
        <v>1.0287570643572002E-5</v>
      </c>
      <c r="K1820" s="257">
        <v>1.0752728937655685E-5</v>
      </c>
      <c r="L1820" s="228">
        <v>3.3661656138394197E-2</v>
      </c>
    </row>
    <row r="1821" spans="1:12" s="212" customFormat="1" ht="15.5" x14ac:dyDescent="0.35">
      <c r="A1821" s="198" t="s">
        <v>854</v>
      </c>
      <c r="B1821" s="197">
        <v>2037</v>
      </c>
      <c r="C1821" s="213" t="s">
        <v>4992</v>
      </c>
      <c r="D1821" s="239">
        <v>4.2686410268119122E-3</v>
      </c>
      <c r="E1821" s="226">
        <v>2.6467900327247947E-2</v>
      </c>
      <c r="F1821" s="226">
        <v>6.5075351970178389E-4</v>
      </c>
      <c r="G1821" s="227">
        <v>5.9871080750276162E-4</v>
      </c>
      <c r="H1821" s="226">
        <v>2.0000005732018797E-3</v>
      </c>
      <c r="I1821" s="255">
        <v>3.4309268694874108E-3</v>
      </c>
      <c r="J1821" s="256">
        <v>9.4183827110254957E-6</v>
      </c>
      <c r="K1821" s="257">
        <v>9.8442401837637631E-6</v>
      </c>
      <c r="L1821" s="228">
        <v>3.3447366335227803E-2</v>
      </c>
    </row>
    <row r="1822" spans="1:12" s="212" customFormat="1" ht="15.5" x14ac:dyDescent="0.35">
      <c r="A1822" s="198" t="s">
        <v>854</v>
      </c>
      <c r="B1822" s="197">
        <v>2038</v>
      </c>
      <c r="C1822" s="213" t="s">
        <v>4993</v>
      </c>
      <c r="D1822" s="239">
        <v>4.1018149608276515E-3</v>
      </c>
      <c r="E1822" s="226">
        <v>2.560064758489226E-2</v>
      </c>
      <c r="F1822" s="226">
        <v>6.2182306372861285E-4</v>
      </c>
      <c r="G1822" s="227">
        <v>5.720867157838858E-4</v>
      </c>
      <c r="H1822" s="226">
        <v>2.0000005732018801E-3</v>
      </c>
      <c r="I1822" s="255">
        <v>3.5162694363616571E-3</v>
      </c>
      <c r="J1822" s="256">
        <v>8.8125404548184713E-6</v>
      </c>
      <c r="K1822" s="257">
        <v>9.2110044291162488E-6</v>
      </c>
      <c r="L1822" s="228">
        <v>3.3265065775904316E-2</v>
      </c>
    </row>
    <row r="1823" spans="1:12" s="212" customFormat="1" ht="15.5" x14ac:dyDescent="0.35">
      <c r="A1823" s="198" t="s">
        <v>854</v>
      </c>
      <c r="B1823" s="197">
        <v>2039</v>
      </c>
      <c r="C1823" s="213" t="s">
        <v>4994</v>
      </c>
      <c r="D1823" s="239">
        <v>3.9121757096955605E-3</v>
      </c>
      <c r="E1823" s="226">
        <v>2.4744047714233844E-2</v>
      </c>
      <c r="F1823" s="226">
        <v>5.9200395110852063E-4</v>
      </c>
      <c r="G1823" s="227">
        <v>5.4464673430133E-4</v>
      </c>
      <c r="H1823" s="226">
        <v>2.0000005732018801E-3</v>
      </c>
      <c r="I1823" s="255">
        <v>3.5152580830668874E-3</v>
      </c>
      <c r="J1823" s="256">
        <v>8.2374254099518883E-6</v>
      </c>
      <c r="K1823" s="257">
        <v>8.6098852339560203E-6</v>
      </c>
      <c r="L1823" s="228">
        <v>3.3111842266646027E-2</v>
      </c>
    </row>
    <row r="1824" spans="1:12" s="212" customFormat="1" ht="15.5" x14ac:dyDescent="0.35">
      <c r="A1824" s="198" t="s">
        <v>854</v>
      </c>
      <c r="B1824" s="197">
        <v>2040</v>
      </c>
      <c r="C1824" s="213" t="s">
        <v>4995</v>
      </c>
      <c r="D1824" s="239">
        <v>3.7515096857979658E-3</v>
      </c>
      <c r="E1824" s="226">
        <v>2.4034422805901741E-2</v>
      </c>
      <c r="F1824" s="226">
        <v>5.6616440188481446E-4</v>
      </c>
      <c r="G1824" s="227">
        <v>5.2086929994832288E-4</v>
      </c>
      <c r="H1824" s="226">
        <v>2.0000005732018801E-3</v>
      </c>
      <c r="I1824" s="255">
        <v>3.5143963392633946E-3</v>
      </c>
      <c r="J1824" s="256">
        <v>7.751766891972312E-6</v>
      </c>
      <c r="K1824" s="257">
        <v>8.102267392871174E-6</v>
      </c>
      <c r="L1824" s="228">
        <v>3.2984055943543263E-2</v>
      </c>
    </row>
    <row r="1825" spans="1:12" s="212" customFormat="1" ht="15.5" x14ac:dyDescent="0.35">
      <c r="A1825" s="198" t="s">
        <v>854</v>
      </c>
      <c r="B1825" s="197">
        <v>2041</v>
      </c>
      <c r="C1825" s="213" t="s">
        <v>4996</v>
      </c>
      <c r="D1825" s="239">
        <v>3.6297639421261742E-3</v>
      </c>
      <c r="E1825" s="226">
        <v>2.3461736402644939E-2</v>
      </c>
      <c r="F1825" s="226">
        <v>5.4550000234313792E-4</v>
      </c>
      <c r="G1825" s="227">
        <v>5.0185373312612157E-4</v>
      </c>
      <c r="H1825" s="226">
        <v>2.0000005732018801E-3</v>
      </c>
      <c r="I1825" s="255">
        <v>3.5136901653293594E-3</v>
      </c>
      <c r="J1825" s="256">
        <v>7.3561537688611809E-6</v>
      </c>
      <c r="K1825" s="257">
        <v>7.6887663998401904E-6</v>
      </c>
      <c r="L1825" s="228">
        <v>3.2878606199479112E-2</v>
      </c>
    </row>
    <row r="1826" spans="1:12" s="212" customFormat="1" ht="15.5" x14ac:dyDescent="0.35">
      <c r="A1826" s="198" t="s">
        <v>854</v>
      </c>
      <c r="B1826" s="197">
        <v>2042</v>
      </c>
      <c r="C1826" s="213" t="s">
        <v>4997</v>
      </c>
      <c r="D1826" s="239">
        <v>3.5206697644523982E-3</v>
      </c>
      <c r="E1826" s="226">
        <v>2.292071101731687E-2</v>
      </c>
      <c r="F1826" s="226">
        <v>5.2794563946573073E-4</v>
      </c>
      <c r="G1826" s="227">
        <v>4.8570105802706428E-4</v>
      </c>
      <c r="H1826" s="226">
        <v>2.0000005732018805E-3</v>
      </c>
      <c r="I1826" s="255">
        <v>3.5130718857067805E-3</v>
      </c>
      <c r="J1826" s="256">
        <v>7.045950426608491E-6</v>
      </c>
      <c r="K1826" s="257">
        <v>7.3645370389577625E-6</v>
      </c>
      <c r="L1826" s="228">
        <v>3.2790716628134875E-2</v>
      </c>
    </row>
    <row r="1827" spans="1:12" s="212" customFormat="1" ht="15.5" x14ac:dyDescent="0.35">
      <c r="A1827" s="198" t="s">
        <v>854</v>
      </c>
      <c r="B1827" s="197">
        <v>2043</v>
      </c>
      <c r="C1827" s="213" t="s">
        <v>4998</v>
      </c>
      <c r="D1827" s="239">
        <v>3.4367641791529621E-3</v>
      </c>
      <c r="E1827" s="226">
        <v>2.2470886751214395E-2</v>
      </c>
      <c r="F1827" s="226">
        <v>5.1321786562577327E-4</v>
      </c>
      <c r="G1827" s="227">
        <v>4.721497306275494E-4</v>
      </c>
      <c r="H1827" s="226">
        <v>2.0000005732018801E-3</v>
      </c>
      <c r="I1827" s="255">
        <v>3.512573744305714E-3</v>
      </c>
      <c r="J1827" s="256">
        <v>6.7974318797392425E-6</v>
      </c>
      <c r="K1827" s="257">
        <v>7.1047815861838274E-6</v>
      </c>
      <c r="L1827" s="228">
        <v>3.2718241795099356E-2</v>
      </c>
    </row>
    <row r="1828" spans="1:12" s="212" customFormat="1" ht="15.5" x14ac:dyDescent="0.35">
      <c r="A1828" s="198" t="s">
        <v>854</v>
      </c>
      <c r="B1828" s="197">
        <v>2044</v>
      </c>
      <c r="C1828" s="213" t="s">
        <v>4999</v>
      </c>
      <c r="D1828" s="239">
        <v>3.3689669436882544E-3</v>
      </c>
      <c r="E1828" s="226">
        <v>2.2042372904145652E-2</v>
      </c>
      <c r="F1828" s="226">
        <v>5.0084961483478794E-4</v>
      </c>
      <c r="G1828" s="227">
        <v>4.6076942989263883E-4</v>
      </c>
      <c r="H1828" s="226">
        <v>2.0000005732018801E-3</v>
      </c>
      <c r="I1828" s="255">
        <v>3.5121509170867688E-3</v>
      </c>
      <c r="J1828" s="256">
        <v>6.5882409666672286E-6</v>
      </c>
      <c r="K1828" s="257">
        <v>6.8861319882936092E-6</v>
      </c>
      <c r="L1828" s="228">
        <v>3.2658367206377506E-2</v>
      </c>
    </row>
    <row r="1829" spans="1:12" s="212" customFormat="1" ht="15.5" x14ac:dyDescent="0.35">
      <c r="A1829" s="198" t="s">
        <v>854</v>
      </c>
      <c r="B1829" s="197">
        <v>2045</v>
      </c>
      <c r="C1829" s="213" t="s">
        <v>5000</v>
      </c>
      <c r="D1829" s="239">
        <v>3.318138222616996E-3</v>
      </c>
      <c r="E1829" s="226">
        <v>2.1657220749898301E-2</v>
      </c>
      <c r="F1829" s="226">
        <v>4.9052766580216258E-4</v>
      </c>
      <c r="G1829" s="227">
        <v>4.5127241277788372E-4</v>
      </c>
      <c r="H1829" s="226">
        <v>2.0000005732018801E-3</v>
      </c>
      <c r="I1829" s="255">
        <v>3.5118043284034788E-3</v>
      </c>
      <c r="J1829" s="256">
        <v>6.4248548898661414E-6</v>
      </c>
      <c r="K1829" s="257">
        <v>6.7153583181145467E-6</v>
      </c>
      <c r="L1829" s="228">
        <v>3.2607774656477816E-2</v>
      </c>
    </row>
    <row r="1830" spans="1:12" s="212" customFormat="1" ht="15.5" x14ac:dyDescent="0.35">
      <c r="A1830" s="198" t="s">
        <v>854</v>
      </c>
      <c r="B1830" s="197">
        <v>2046</v>
      </c>
      <c r="C1830" s="213" t="s">
        <v>5001</v>
      </c>
      <c r="D1830" s="239">
        <v>3.269776655822221E-3</v>
      </c>
      <c r="E1830" s="226">
        <v>2.127864811981266E-2</v>
      </c>
      <c r="F1830" s="226">
        <v>4.8198319980449869E-4</v>
      </c>
      <c r="G1830" s="227">
        <v>4.4341122241998174E-4</v>
      </c>
      <c r="H1830" s="226">
        <v>2.0000005732018801E-3</v>
      </c>
      <c r="I1830" s="255">
        <v>3.5114973120305322E-3</v>
      </c>
      <c r="J1830" s="256">
        <v>6.299882767654063E-6</v>
      </c>
      <c r="K1830" s="257">
        <v>6.5847355110916384E-6</v>
      </c>
      <c r="L1830" s="228">
        <v>3.2566132974295961E-2</v>
      </c>
    </row>
    <row r="1831" spans="1:12" s="212" customFormat="1" ht="15.5" x14ac:dyDescent="0.35">
      <c r="A1831" s="198" t="s">
        <v>854</v>
      </c>
      <c r="B1831" s="197">
        <v>2047</v>
      </c>
      <c r="C1831" s="213" t="s">
        <v>5002</v>
      </c>
      <c r="D1831" s="239">
        <v>3.2286951036208556E-3</v>
      </c>
      <c r="E1831" s="226">
        <v>2.0951664664853022E-2</v>
      </c>
      <c r="F1831" s="226">
        <v>4.7499204933915736E-4</v>
      </c>
      <c r="G1831" s="227">
        <v>4.3697900715734361E-4</v>
      </c>
      <c r="H1831" s="226">
        <v>2.0000005732018801E-3</v>
      </c>
      <c r="I1831" s="255">
        <v>3.511262384565751E-3</v>
      </c>
      <c r="J1831" s="256">
        <v>6.1943856072584691E-6</v>
      </c>
      <c r="K1831" s="257">
        <v>6.4744682372396666E-6</v>
      </c>
      <c r="L1831" s="228">
        <v>3.2531816080604944E-2</v>
      </c>
    </row>
    <row r="1832" spans="1:12" s="212" customFormat="1" ht="15.5" x14ac:dyDescent="0.35">
      <c r="A1832" s="198" t="s">
        <v>854</v>
      </c>
      <c r="B1832" s="197">
        <v>2048</v>
      </c>
      <c r="C1832" s="213" t="s">
        <v>5003</v>
      </c>
      <c r="D1832" s="239">
        <v>3.1949106766683603E-3</v>
      </c>
      <c r="E1832" s="226">
        <v>2.0683663196380458E-2</v>
      </c>
      <c r="F1832" s="226">
        <v>4.6927381353700011E-4</v>
      </c>
      <c r="G1832" s="227">
        <v>4.3171785786400604E-4</v>
      </c>
      <c r="H1832" s="226">
        <v>2.0000005732018801E-3</v>
      </c>
      <c r="I1832" s="255">
        <v>3.5110785471831408E-3</v>
      </c>
      <c r="J1832" s="256">
        <v>6.1060310046518654E-6</v>
      </c>
      <c r="K1832" s="257">
        <v>6.3821186315709398E-6</v>
      </c>
      <c r="L1832" s="228">
        <v>3.2503403316465319E-2</v>
      </c>
    </row>
    <row r="1833" spans="1:12" s="212" customFormat="1" ht="15.5" x14ac:dyDescent="0.35">
      <c r="A1833" s="198" t="s">
        <v>854</v>
      </c>
      <c r="B1833" s="197">
        <v>2049</v>
      </c>
      <c r="C1833" s="213" t="s">
        <v>5004</v>
      </c>
      <c r="D1833" s="239">
        <v>3.1870167931141538E-3</v>
      </c>
      <c r="E1833" s="226">
        <v>2.0654315655099037E-2</v>
      </c>
      <c r="F1833" s="226">
        <v>4.6554020703582953E-4</v>
      </c>
      <c r="G1833" s="227">
        <v>4.2828250349179084E-4</v>
      </c>
      <c r="H1833" s="226">
        <v>2.0000005732018805E-3</v>
      </c>
      <c r="I1833" s="255">
        <v>3.510947289650063E-3</v>
      </c>
      <c r="J1833" s="256">
        <v>6.0433813088500111E-6</v>
      </c>
      <c r="K1833" s="257">
        <v>6.3166361945288056E-6</v>
      </c>
      <c r="L1833" s="228">
        <v>3.2479453965010036E-2</v>
      </c>
    </row>
    <row r="1834" spans="1:12" s="212" customFormat="1" ht="15.5" x14ac:dyDescent="0.35">
      <c r="A1834" s="198" t="s">
        <v>854</v>
      </c>
      <c r="B1834" s="197">
        <v>2050</v>
      </c>
      <c r="C1834" s="213" t="s">
        <v>5005</v>
      </c>
      <c r="D1834" s="239">
        <v>3.1808266766680106E-3</v>
      </c>
      <c r="E1834" s="226">
        <v>2.0629339489717371E-2</v>
      </c>
      <c r="F1834" s="226">
        <v>4.6250436138190306E-4</v>
      </c>
      <c r="G1834" s="227">
        <v>4.2548571061366147E-4</v>
      </c>
      <c r="H1834" s="226">
        <v>2.0000005732018805E-3</v>
      </c>
      <c r="I1834" s="255">
        <v>3.5108568581279989E-3</v>
      </c>
      <c r="J1834" s="256">
        <v>5.9036364573909533E-6</v>
      </c>
      <c r="K1834" s="257">
        <v>6.1705727009953801E-6</v>
      </c>
      <c r="L1834" s="228">
        <v>3.2460125471699512E-2</v>
      </c>
    </row>
    <row r="1835" spans="1:12" s="212" customFormat="1" ht="15.5" x14ac:dyDescent="0.35">
      <c r="A1835" s="198" t="s">
        <v>855</v>
      </c>
      <c r="B1835" s="197">
        <v>2015</v>
      </c>
      <c r="C1835" s="213" t="s">
        <v>959</v>
      </c>
      <c r="D1835" s="239">
        <v>6.2628351342343236E-2</v>
      </c>
      <c r="E1835" s="226">
        <v>0.27471176141157927</v>
      </c>
      <c r="F1835" s="226">
        <v>2.2171719899380248E-3</v>
      </c>
      <c r="G1835" s="227">
        <v>2.0490502364816036E-3</v>
      </c>
      <c r="H1835" s="226">
        <v>2.0000005732018805E-3</v>
      </c>
      <c r="I1835" s="255">
        <v>3.1063849644157072E-3</v>
      </c>
      <c r="J1835" s="256">
        <v>1.6359762494159538E-4</v>
      </c>
      <c r="K1835" s="257">
        <v>1.7099478358774563E-4</v>
      </c>
      <c r="L1835" s="228">
        <v>4.6162067049961772E-2</v>
      </c>
    </row>
    <row r="1836" spans="1:12" s="212" customFormat="1" ht="15.5" x14ac:dyDescent="0.35">
      <c r="A1836" s="198" t="s">
        <v>855</v>
      </c>
      <c r="B1836" s="197">
        <v>2016</v>
      </c>
      <c r="C1836" s="213" t="s">
        <v>960</v>
      </c>
      <c r="D1836" s="239">
        <v>5.4754942088279891E-2</v>
      </c>
      <c r="E1836" s="226">
        <v>0.24713846572018855</v>
      </c>
      <c r="F1836" s="226">
        <v>2.1189776756548621E-3</v>
      </c>
      <c r="G1836" s="227">
        <v>1.9573264151550563E-3</v>
      </c>
      <c r="H1836" s="226">
        <v>2.0000005732018797E-3</v>
      </c>
      <c r="I1836" s="255">
        <v>3.0976002862270176E-3</v>
      </c>
      <c r="J1836" s="256">
        <v>1.5425669758245E-4</v>
      </c>
      <c r="K1836" s="257">
        <v>1.6123150094317026E-4</v>
      </c>
      <c r="L1836" s="228">
        <v>4.502582635421238E-2</v>
      </c>
    </row>
    <row r="1837" spans="1:12" s="212" customFormat="1" ht="15.5" x14ac:dyDescent="0.35">
      <c r="A1837" s="198" t="s">
        <v>855</v>
      </c>
      <c r="B1837" s="197">
        <v>2017</v>
      </c>
      <c r="C1837" s="213" t="s">
        <v>5006</v>
      </c>
      <c r="D1837" s="239">
        <v>4.3377220699872453E-2</v>
      </c>
      <c r="E1837" s="226">
        <v>0.20393832354993402</v>
      </c>
      <c r="F1837" s="226">
        <v>1.9467319966087341E-3</v>
      </c>
      <c r="G1837" s="227">
        <v>1.7964780432171929E-3</v>
      </c>
      <c r="H1837" s="226">
        <v>2.0000005732018801E-3</v>
      </c>
      <c r="I1837" s="255">
        <v>3.0926013252516342E-3</v>
      </c>
      <c r="J1837" s="256">
        <v>1.2090065446762813E-4</v>
      </c>
      <c r="K1837" s="257">
        <v>1.2636724557394538E-4</v>
      </c>
      <c r="L1837" s="228">
        <v>4.4660584928227873E-2</v>
      </c>
    </row>
    <row r="1838" spans="1:12" s="212" customFormat="1" ht="15.5" x14ac:dyDescent="0.35">
      <c r="A1838" s="198" t="s">
        <v>855</v>
      </c>
      <c r="B1838" s="197">
        <v>2018</v>
      </c>
      <c r="C1838" s="213" t="s">
        <v>5007</v>
      </c>
      <c r="D1838" s="239">
        <v>3.6264303934144593E-2</v>
      </c>
      <c r="E1838" s="226">
        <v>0.17720248627521043</v>
      </c>
      <c r="F1838" s="226">
        <v>1.8849406265998383E-3</v>
      </c>
      <c r="G1838" s="227">
        <v>1.7384131639891236E-3</v>
      </c>
      <c r="H1838" s="226">
        <v>2.0000005732018801E-3</v>
      </c>
      <c r="I1838" s="255">
        <v>3.0921988248896718E-3</v>
      </c>
      <c r="J1838" s="256">
        <v>1.0939673529897235E-4</v>
      </c>
      <c r="K1838" s="257">
        <v>1.1434317022836867E-4</v>
      </c>
      <c r="L1838" s="228">
        <v>4.4043065527580617E-2</v>
      </c>
    </row>
    <row r="1839" spans="1:12" s="212" customFormat="1" ht="15.5" x14ac:dyDescent="0.35">
      <c r="A1839" s="198" t="s">
        <v>855</v>
      </c>
      <c r="B1839" s="197">
        <v>2019</v>
      </c>
      <c r="C1839" s="213" t="s">
        <v>5008</v>
      </c>
      <c r="D1839" s="239">
        <v>2.9597614776851241E-2</v>
      </c>
      <c r="E1839" s="226">
        <v>0.14696640779288742</v>
      </c>
      <c r="F1839" s="226">
        <v>1.842758249726688E-3</v>
      </c>
      <c r="G1839" s="227">
        <v>1.6988042548623085E-3</v>
      </c>
      <c r="H1839" s="226">
        <v>2.0000005732018801E-3</v>
      </c>
      <c r="I1839" s="255">
        <v>3.0914325741193947E-3</v>
      </c>
      <c r="J1839" s="256">
        <v>1.0330545585289662E-4</v>
      </c>
      <c r="K1839" s="257">
        <v>1.0797647015539344E-4</v>
      </c>
      <c r="L1839" s="228">
        <v>4.3369982373500676E-2</v>
      </c>
    </row>
    <row r="1840" spans="1:12" s="212" customFormat="1" ht="15.5" x14ac:dyDescent="0.35">
      <c r="A1840" s="198" t="s">
        <v>855</v>
      </c>
      <c r="B1840" s="197">
        <v>2020</v>
      </c>
      <c r="C1840" s="213" t="s">
        <v>5009</v>
      </c>
      <c r="D1840" s="239">
        <v>2.5687741119193992E-2</v>
      </c>
      <c r="E1840" s="226">
        <v>0.12997972261132171</v>
      </c>
      <c r="F1840" s="226">
        <v>1.7973101915769727E-3</v>
      </c>
      <c r="G1840" s="227">
        <v>1.6565493544999077E-3</v>
      </c>
      <c r="H1840" s="226">
        <v>2.0000005732018797E-3</v>
      </c>
      <c r="I1840" s="255">
        <v>3.0962041878294941E-3</v>
      </c>
      <c r="J1840" s="256">
        <v>9.5805923234631033E-5</v>
      </c>
      <c r="K1840" s="257">
        <v>1.001378419508131E-4</v>
      </c>
      <c r="L1840" s="228">
        <v>4.299177056487942E-2</v>
      </c>
    </row>
    <row r="1841" spans="1:12" s="212" customFormat="1" ht="15.5" x14ac:dyDescent="0.35">
      <c r="A1841" s="198" t="s">
        <v>855</v>
      </c>
      <c r="B1841" s="197">
        <v>2021</v>
      </c>
      <c r="C1841" s="213" t="s">
        <v>5010</v>
      </c>
      <c r="D1841" s="239">
        <v>2.2470178953155843E-2</v>
      </c>
      <c r="E1841" s="226">
        <v>0.11434388296690065</v>
      </c>
      <c r="F1841" s="226">
        <v>1.7280930595802259E-3</v>
      </c>
      <c r="G1841" s="227">
        <v>1.5925444032639327E-3</v>
      </c>
      <c r="H1841" s="226">
        <v>2.0000005732018801E-3</v>
      </c>
      <c r="I1841" s="255">
        <v>3.0962916149178429E-3</v>
      </c>
      <c r="J1841" s="256">
        <v>8.8500647345678292E-5</v>
      </c>
      <c r="K1841" s="257">
        <v>9.2502253902843659E-5</v>
      </c>
      <c r="L1841" s="228">
        <v>4.2119364361730471E-2</v>
      </c>
    </row>
    <row r="1842" spans="1:12" s="212" customFormat="1" ht="15.5" x14ac:dyDescent="0.35">
      <c r="A1842" s="198" t="s">
        <v>855</v>
      </c>
      <c r="B1842" s="197">
        <v>2022</v>
      </c>
      <c r="C1842" s="213" t="s">
        <v>5011</v>
      </c>
      <c r="D1842" s="239">
        <v>1.9285066428732133E-2</v>
      </c>
      <c r="E1842" s="226">
        <v>9.9616439610980281E-2</v>
      </c>
      <c r="F1842" s="226">
        <v>1.6500666239954668E-3</v>
      </c>
      <c r="G1842" s="227">
        <v>1.5203813929835911E-3</v>
      </c>
      <c r="H1842" s="226">
        <v>2.0000005732018801E-3</v>
      </c>
      <c r="I1842" s="255">
        <v>3.0944654765963481E-3</v>
      </c>
      <c r="J1842" s="256">
        <v>8.0947779464106781E-5</v>
      </c>
      <c r="K1842" s="257">
        <v>8.4607878851022256E-5</v>
      </c>
      <c r="L1842" s="228">
        <v>4.1324691134460252E-2</v>
      </c>
    </row>
    <row r="1843" spans="1:12" s="212" customFormat="1" ht="15.5" x14ac:dyDescent="0.35">
      <c r="A1843" s="198" t="s">
        <v>855</v>
      </c>
      <c r="B1843" s="197">
        <v>2023</v>
      </c>
      <c r="C1843" s="213" t="s">
        <v>5012</v>
      </c>
      <c r="D1843" s="239">
        <v>1.684469613801565E-2</v>
      </c>
      <c r="E1843" s="226">
        <v>8.710858097806351E-2</v>
      </c>
      <c r="F1843" s="226">
        <v>1.5777534515221923E-3</v>
      </c>
      <c r="G1843" s="227">
        <v>1.4535877064497946E-3</v>
      </c>
      <c r="H1843" s="226">
        <v>2.0000005732018801E-3</v>
      </c>
      <c r="I1843" s="255">
        <v>3.092072493866593E-3</v>
      </c>
      <c r="J1843" s="256">
        <v>7.3687065909758446E-5</v>
      </c>
      <c r="K1843" s="257">
        <v>7.7018868048685571E-5</v>
      </c>
      <c r="L1843" s="228">
        <v>4.0486015780650773E-2</v>
      </c>
    </row>
    <row r="1844" spans="1:12" s="212" customFormat="1" ht="15.5" x14ac:dyDescent="0.35">
      <c r="A1844" s="198" t="s">
        <v>855</v>
      </c>
      <c r="B1844" s="197">
        <v>2024</v>
      </c>
      <c r="C1844" s="213" t="s">
        <v>5013</v>
      </c>
      <c r="D1844" s="239">
        <v>1.4738285302275448E-2</v>
      </c>
      <c r="E1844" s="226">
        <v>7.6424454379871429E-2</v>
      </c>
      <c r="F1844" s="226">
        <v>1.5119160688363954E-3</v>
      </c>
      <c r="G1844" s="227">
        <v>1.3927829965461494E-3</v>
      </c>
      <c r="H1844" s="226">
        <v>2.0000005732018801E-3</v>
      </c>
      <c r="I1844" s="255">
        <v>3.0578875832827303E-3</v>
      </c>
      <c r="J1844" s="256">
        <v>6.7357809275371596E-5</v>
      </c>
      <c r="K1844" s="257">
        <v>7.0403430514951972E-5</v>
      </c>
      <c r="L1844" s="228">
        <v>3.9580098112206988E-2</v>
      </c>
    </row>
    <row r="1845" spans="1:12" s="212" customFormat="1" ht="15.5" x14ac:dyDescent="0.35">
      <c r="A1845" s="198" t="s">
        <v>855</v>
      </c>
      <c r="B1845" s="197">
        <v>2025</v>
      </c>
      <c r="C1845" s="213" t="s">
        <v>5014</v>
      </c>
      <c r="D1845" s="239">
        <v>1.3001903128447066E-2</v>
      </c>
      <c r="E1845" s="226">
        <v>6.7525889810698847E-2</v>
      </c>
      <c r="F1845" s="226">
        <v>1.4540682869612239E-3</v>
      </c>
      <c r="G1845" s="227">
        <v>1.3393190436164131E-3</v>
      </c>
      <c r="H1845" s="226">
        <v>2.0000005749897499E-3</v>
      </c>
      <c r="I1845" s="255">
        <v>3.0519262751721884E-3</v>
      </c>
      <c r="J1845" s="256">
        <v>6.0467094139528051E-5</v>
      </c>
      <c r="K1845" s="257">
        <v>6.3201147817761171E-5</v>
      </c>
      <c r="L1845" s="228">
        <v>3.8684732783041499E-2</v>
      </c>
    </row>
    <row r="1846" spans="1:12" s="212" customFormat="1" ht="15.5" x14ac:dyDescent="0.35">
      <c r="A1846" s="198" t="s">
        <v>855</v>
      </c>
      <c r="B1846" s="197">
        <v>2026</v>
      </c>
      <c r="C1846" s="213" t="s">
        <v>5015</v>
      </c>
      <c r="D1846" s="239">
        <v>1.1559188263478848E-2</v>
      </c>
      <c r="E1846" s="226">
        <v>6.0181020545237052E-2</v>
      </c>
      <c r="F1846" s="226">
        <v>1.3954773553027772E-3</v>
      </c>
      <c r="G1846" s="227">
        <v>1.2852214834513061E-3</v>
      </c>
      <c r="H1846" s="226">
        <v>2.0000005749897503E-3</v>
      </c>
      <c r="I1846" s="255">
        <v>3.0499526610718274E-3</v>
      </c>
      <c r="J1846" s="256">
        <v>5.4699514847595315E-5</v>
      </c>
      <c r="K1846" s="257">
        <v>5.7172784183501325E-5</v>
      </c>
      <c r="L1846" s="228">
        <v>3.7811141562347293E-2</v>
      </c>
    </row>
    <row r="1847" spans="1:12" s="212" customFormat="1" ht="15.5" x14ac:dyDescent="0.35">
      <c r="A1847" s="198" t="s">
        <v>855</v>
      </c>
      <c r="B1847" s="197">
        <v>2027</v>
      </c>
      <c r="C1847" s="213" t="s">
        <v>5016</v>
      </c>
      <c r="D1847" s="239">
        <v>1.0391161042583809E-2</v>
      </c>
      <c r="E1847" s="226">
        <v>5.4055102787607466E-2</v>
      </c>
      <c r="F1847" s="226">
        <v>1.330369928254502E-3</v>
      </c>
      <c r="G1847" s="227">
        <v>1.2249369285818915E-3</v>
      </c>
      <c r="H1847" s="226">
        <v>2.0000005732018801E-3</v>
      </c>
      <c r="I1847" s="255">
        <v>3.0773205809102892E-3</v>
      </c>
      <c r="J1847" s="256">
        <v>4.3910704696909514E-5</v>
      </c>
      <c r="K1847" s="257">
        <v>4.58961519124375E-5</v>
      </c>
      <c r="L1847" s="228">
        <v>3.6996772029805385E-2</v>
      </c>
    </row>
    <row r="1848" spans="1:12" s="212" customFormat="1" ht="15.5" x14ac:dyDescent="0.35">
      <c r="A1848" s="198" t="s">
        <v>855</v>
      </c>
      <c r="B1848" s="197">
        <v>2028</v>
      </c>
      <c r="C1848" s="213" t="s">
        <v>5017</v>
      </c>
      <c r="D1848" s="239">
        <v>9.377060508678349E-3</v>
      </c>
      <c r="E1848" s="226">
        <v>4.8925017540397686E-2</v>
      </c>
      <c r="F1848" s="226">
        <v>1.2538858924124898E-3</v>
      </c>
      <c r="G1848" s="227">
        <v>1.1543846731272168E-3</v>
      </c>
      <c r="H1848" s="226">
        <v>2.0000005732018801E-3</v>
      </c>
      <c r="I1848" s="255">
        <v>3.1229924559234802E-3</v>
      </c>
      <c r="J1848" s="256">
        <v>3.8058781508324852E-5</v>
      </c>
      <c r="K1848" s="257">
        <v>3.9779630724789521E-5</v>
      </c>
      <c r="L1848" s="228">
        <v>3.6231173306647678E-2</v>
      </c>
    </row>
    <row r="1849" spans="1:12" s="212" customFormat="1" ht="15.5" x14ac:dyDescent="0.35">
      <c r="A1849" s="198" t="s">
        <v>855</v>
      </c>
      <c r="B1849" s="197">
        <v>2029</v>
      </c>
      <c r="C1849" s="213" t="s">
        <v>5018</v>
      </c>
      <c r="D1849" s="239">
        <v>8.5170418814401426E-3</v>
      </c>
      <c r="E1849" s="226">
        <v>4.4644559713757727E-2</v>
      </c>
      <c r="F1849" s="226">
        <v>1.1795369056401611E-3</v>
      </c>
      <c r="G1849" s="227">
        <v>1.0858227105026079E-3</v>
      </c>
      <c r="H1849" s="226">
        <v>2.0000005732018797E-3</v>
      </c>
      <c r="I1849" s="255">
        <v>3.121473086496658E-3</v>
      </c>
      <c r="J1849" s="256">
        <v>3.2904805355786402E-5</v>
      </c>
      <c r="K1849" s="257">
        <v>3.4392614641063813E-5</v>
      </c>
      <c r="L1849" s="228">
        <v>3.5526958309249831E-2</v>
      </c>
    </row>
    <row r="1850" spans="1:12" s="212" customFormat="1" ht="15.5" x14ac:dyDescent="0.35">
      <c r="A1850" s="198" t="s">
        <v>855</v>
      </c>
      <c r="B1850" s="197">
        <v>2030</v>
      </c>
      <c r="C1850" s="213" t="s">
        <v>5019</v>
      </c>
      <c r="D1850" s="239">
        <v>7.8128744521353179E-3</v>
      </c>
      <c r="E1850" s="226">
        <v>4.1140713754985861E-2</v>
      </c>
      <c r="F1850" s="226">
        <v>1.1074086521035906E-3</v>
      </c>
      <c r="G1850" s="227">
        <v>1.0192827198673387E-3</v>
      </c>
      <c r="H1850" s="226">
        <v>2.0000005732018801E-3</v>
      </c>
      <c r="I1850" s="255">
        <v>3.1201943341029022E-3</v>
      </c>
      <c r="J1850" s="256">
        <v>2.7239823557512596E-5</v>
      </c>
      <c r="K1850" s="257">
        <v>2.84714875038565E-5</v>
      </c>
      <c r="L1850" s="228">
        <v>3.4874308124851663E-2</v>
      </c>
    </row>
    <row r="1851" spans="1:12" s="212" customFormat="1" ht="15.5" x14ac:dyDescent="0.35">
      <c r="A1851" s="198" t="s">
        <v>855</v>
      </c>
      <c r="B1851" s="197">
        <v>2031</v>
      </c>
      <c r="C1851" s="213" t="s">
        <v>5020</v>
      </c>
      <c r="D1851" s="239">
        <v>7.2097868514843198E-3</v>
      </c>
      <c r="E1851" s="226">
        <v>3.8178365991061149E-2</v>
      </c>
      <c r="F1851" s="226">
        <v>1.0399867184764746E-3</v>
      </c>
      <c r="G1851" s="227">
        <v>9.5714435182694946E-4</v>
      </c>
      <c r="H1851" s="226">
        <v>2.0000005732018797E-3</v>
      </c>
      <c r="I1851" s="255">
        <v>3.1190044504084869E-3</v>
      </c>
      <c r="J1851" s="256">
        <v>2.3482687807023894E-5</v>
      </c>
      <c r="K1851" s="257">
        <v>2.4544470746773662E-5</v>
      </c>
      <c r="L1851" s="228">
        <v>3.4284851775890642E-2</v>
      </c>
    </row>
    <row r="1852" spans="1:12" s="212" customFormat="1" ht="15.5" x14ac:dyDescent="0.35">
      <c r="A1852" s="198" t="s">
        <v>855</v>
      </c>
      <c r="B1852" s="197">
        <v>2032</v>
      </c>
      <c r="C1852" s="213" t="s">
        <v>5021</v>
      </c>
      <c r="D1852" s="239">
        <v>6.6883181251800655E-3</v>
      </c>
      <c r="E1852" s="226">
        <v>3.5674658263275212E-2</v>
      </c>
      <c r="F1852" s="226">
        <v>9.77073625670655E-4</v>
      </c>
      <c r="G1852" s="227">
        <v>8.9920066847493693E-4</v>
      </c>
      <c r="H1852" s="226">
        <v>2.0000005732018805E-3</v>
      </c>
      <c r="I1852" s="255">
        <v>3.1178422177644194E-3</v>
      </c>
      <c r="J1852" s="256">
        <v>2.098244058636937E-5</v>
      </c>
      <c r="K1852" s="257">
        <v>2.1931173441483859E-5</v>
      </c>
      <c r="L1852" s="228">
        <v>3.3751473771310471E-2</v>
      </c>
    </row>
    <row r="1853" spans="1:12" s="212" customFormat="1" ht="15.5" x14ac:dyDescent="0.35">
      <c r="A1853" s="198" t="s">
        <v>855</v>
      </c>
      <c r="B1853" s="197">
        <v>2033</v>
      </c>
      <c r="C1853" s="213" t="s">
        <v>5022</v>
      </c>
      <c r="D1853" s="239">
        <v>6.2403390070479951E-3</v>
      </c>
      <c r="E1853" s="226">
        <v>3.3553975543906864E-2</v>
      </c>
      <c r="F1853" s="226">
        <v>9.1850683136399135E-4</v>
      </c>
      <c r="G1853" s="227">
        <v>8.4527505649085088E-4</v>
      </c>
      <c r="H1853" s="226">
        <v>2.0000005732018797E-3</v>
      </c>
      <c r="I1853" s="255">
        <v>3.1167233260630763E-3</v>
      </c>
      <c r="J1853" s="256">
        <v>1.9041965545510779E-5</v>
      </c>
      <c r="K1853" s="257">
        <v>1.9902958730008106E-5</v>
      </c>
      <c r="L1853" s="228">
        <v>3.3275476251918637E-2</v>
      </c>
    </row>
    <row r="1854" spans="1:12" s="212" customFormat="1" ht="15.5" x14ac:dyDescent="0.35">
      <c r="A1854" s="198" t="s">
        <v>855</v>
      </c>
      <c r="B1854" s="197">
        <v>2034</v>
      </c>
      <c r="C1854" s="213" t="s">
        <v>5023</v>
      </c>
      <c r="D1854" s="239">
        <v>5.8380780193303351E-3</v>
      </c>
      <c r="E1854" s="226">
        <v>3.1717644347492663E-2</v>
      </c>
      <c r="F1854" s="226">
        <v>8.6343165522892278E-4</v>
      </c>
      <c r="G1854" s="227">
        <v>7.9456504790606833E-4</v>
      </c>
      <c r="H1854" s="226">
        <v>2.0000005732018801E-3</v>
      </c>
      <c r="I1854" s="255">
        <v>3.1156862809288807E-3</v>
      </c>
      <c r="J1854" s="256">
        <v>1.7234678216136726E-5</v>
      </c>
      <c r="K1854" s="257">
        <v>1.8013953887318521E-5</v>
      </c>
      <c r="L1854" s="228">
        <v>3.2849295122148507E-2</v>
      </c>
    </row>
    <row r="1855" spans="1:12" s="212" customFormat="1" ht="15.5" x14ac:dyDescent="0.35">
      <c r="A1855" s="198" t="s">
        <v>855</v>
      </c>
      <c r="B1855" s="197">
        <v>2035</v>
      </c>
      <c r="C1855" s="213" t="s">
        <v>5024</v>
      </c>
      <c r="D1855" s="239">
        <v>5.4832306293123708E-3</v>
      </c>
      <c r="E1855" s="226">
        <v>3.0149273394805963E-2</v>
      </c>
      <c r="F1855" s="226">
        <v>8.1246774087881521E-4</v>
      </c>
      <c r="G1855" s="227">
        <v>7.4764194633424313E-4</v>
      </c>
      <c r="H1855" s="226">
        <v>2.0000005732018801E-3</v>
      </c>
      <c r="I1855" s="255">
        <v>3.1147193093708889E-3</v>
      </c>
      <c r="J1855" s="256">
        <v>1.560072409668609E-5</v>
      </c>
      <c r="K1855" s="257">
        <v>1.630611961315033E-5</v>
      </c>
      <c r="L1855" s="228">
        <v>3.2470490393867291E-2</v>
      </c>
    </row>
    <row r="1856" spans="1:12" s="212" customFormat="1" ht="15.5" x14ac:dyDescent="0.35">
      <c r="A1856" s="198" t="s">
        <v>855</v>
      </c>
      <c r="B1856" s="197">
        <v>2036</v>
      </c>
      <c r="C1856" s="213" t="s">
        <v>5025</v>
      </c>
      <c r="D1856" s="239">
        <v>5.1902566416036112E-3</v>
      </c>
      <c r="E1856" s="226">
        <v>2.8830232993620732E-2</v>
      </c>
      <c r="F1856" s="226">
        <v>7.699142961713559E-4</v>
      </c>
      <c r="G1856" s="227">
        <v>7.0845993204719522E-4</v>
      </c>
      <c r="H1856" s="226">
        <v>2.0000005732018801E-3</v>
      </c>
      <c r="I1856" s="255">
        <v>3.1287938093076738E-3</v>
      </c>
      <c r="J1856" s="256">
        <v>1.4171346835365428E-5</v>
      </c>
      <c r="K1856" s="257">
        <v>1.4812112254840419E-5</v>
      </c>
      <c r="L1856" s="228">
        <v>3.2136475957454003E-2</v>
      </c>
    </row>
    <row r="1857" spans="1:12" s="212" customFormat="1" ht="15.5" x14ac:dyDescent="0.35">
      <c r="A1857" s="198" t="s">
        <v>855</v>
      </c>
      <c r="B1857" s="197">
        <v>2037</v>
      </c>
      <c r="C1857" s="213" t="s">
        <v>5026</v>
      </c>
      <c r="D1857" s="239">
        <v>4.925592214308409E-3</v>
      </c>
      <c r="E1857" s="226">
        <v>2.7707926232206768E-2</v>
      </c>
      <c r="F1857" s="226">
        <v>7.2951116490649738E-4</v>
      </c>
      <c r="G1857" s="227">
        <v>6.7125528360754863E-4</v>
      </c>
      <c r="H1857" s="226">
        <v>2.0000005732018801E-3</v>
      </c>
      <c r="I1857" s="255">
        <v>3.1280158026737166E-3</v>
      </c>
      <c r="J1857" s="256">
        <v>1.2747924240760444E-5</v>
      </c>
      <c r="K1857" s="257">
        <v>1.3324328806851604E-5</v>
      </c>
      <c r="L1857" s="228">
        <v>3.1844948781631528E-2</v>
      </c>
    </row>
    <row r="1858" spans="1:12" s="212" customFormat="1" ht="15.5" x14ac:dyDescent="0.35">
      <c r="A1858" s="198" t="s">
        <v>855</v>
      </c>
      <c r="B1858" s="197">
        <v>2038</v>
      </c>
      <c r="C1858" s="213" t="s">
        <v>5027</v>
      </c>
      <c r="D1858" s="239">
        <v>4.6970854760095132E-3</v>
      </c>
      <c r="E1858" s="226">
        <v>2.6740098705739884E-2</v>
      </c>
      <c r="F1858" s="226">
        <v>6.9373259321149736E-4</v>
      </c>
      <c r="G1858" s="227">
        <v>6.3831480467499457E-4</v>
      </c>
      <c r="H1858" s="226">
        <v>2.0000005732018797E-3</v>
      </c>
      <c r="I1858" s="255">
        <v>3.1273732664199899E-3</v>
      </c>
      <c r="J1858" s="256">
        <v>1.1633967740583553E-5</v>
      </c>
      <c r="K1858" s="257">
        <v>1.2160004136845481E-5</v>
      </c>
      <c r="L1858" s="228">
        <v>3.1571800426610633E-2</v>
      </c>
    </row>
    <row r="1859" spans="1:12" s="212" customFormat="1" ht="15.5" x14ac:dyDescent="0.35">
      <c r="A1859" s="198" t="s">
        <v>855</v>
      </c>
      <c r="B1859" s="197">
        <v>2039</v>
      </c>
      <c r="C1859" s="213" t="s">
        <v>5028</v>
      </c>
      <c r="D1859" s="239">
        <v>4.4727631688806545E-3</v>
      </c>
      <c r="E1859" s="226">
        <v>2.5815595511218592E-2</v>
      </c>
      <c r="F1859" s="226">
        <v>6.6171711532030412E-4</v>
      </c>
      <c r="G1859" s="227">
        <v>6.0883882237646304E-4</v>
      </c>
      <c r="H1859" s="226">
        <v>2.0000005732018801E-3</v>
      </c>
      <c r="I1859" s="255">
        <v>3.1268108900226622E-3</v>
      </c>
      <c r="J1859" s="256">
        <v>1.0634756056148372E-5</v>
      </c>
      <c r="K1859" s="257">
        <v>1.1115612533976336E-5</v>
      </c>
      <c r="L1859" s="228">
        <v>3.1356094552751457E-2</v>
      </c>
    </row>
    <row r="1860" spans="1:12" s="212" customFormat="1" ht="15.5" x14ac:dyDescent="0.35">
      <c r="A1860" s="198" t="s">
        <v>855</v>
      </c>
      <c r="B1860" s="197">
        <v>2040</v>
      </c>
      <c r="C1860" s="213" t="s">
        <v>5029</v>
      </c>
      <c r="D1860" s="239">
        <v>4.2813519721462863E-3</v>
      </c>
      <c r="E1860" s="226">
        <v>2.504468516410915E-2</v>
      </c>
      <c r="F1860" s="226">
        <v>6.3389563745891312E-4</v>
      </c>
      <c r="G1860" s="227">
        <v>5.8322760290102757E-4</v>
      </c>
      <c r="H1860" s="226">
        <v>2.0000005732018801E-3</v>
      </c>
      <c r="I1860" s="255">
        <v>3.126382302351652E-3</v>
      </c>
      <c r="J1860" s="256">
        <v>9.8545889989735337E-6</v>
      </c>
      <c r="K1860" s="257">
        <v>1.0300169784416093E-5</v>
      </c>
      <c r="L1860" s="228">
        <v>3.1172968035168121E-2</v>
      </c>
    </row>
    <row r="1861" spans="1:12" s="212" customFormat="1" ht="15.5" x14ac:dyDescent="0.35">
      <c r="A1861" s="198" t="s">
        <v>855</v>
      </c>
      <c r="B1861" s="197">
        <v>2041</v>
      </c>
      <c r="C1861" s="213" t="s">
        <v>5030</v>
      </c>
      <c r="D1861" s="239">
        <v>4.1342694619380489E-3</v>
      </c>
      <c r="E1861" s="226">
        <v>2.4415671940925553E-2</v>
      </c>
      <c r="F1861" s="226">
        <v>6.1191192038122537E-4</v>
      </c>
      <c r="G1861" s="227">
        <v>5.6298856385171624E-4</v>
      </c>
      <c r="H1861" s="226">
        <v>2.0000005732018805E-3</v>
      </c>
      <c r="I1861" s="255">
        <v>3.126080600702714E-3</v>
      </c>
      <c r="J1861" s="256">
        <v>9.1918381662068323E-6</v>
      </c>
      <c r="K1861" s="257">
        <v>9.6074522999049283E-6</v>
      </c>
      <c r="L1861" s="228">
        <v>3.1019855228042317E-2</v>
      </c>
    </row>
    <row r="1862" spans="1:12" s="212" customFormat="1" ht="15.5" x14ac:dyDescent="0.35">
      <c r="A1862" s="198" t="s">
        <v>855</v>
      </c>
      <c r="B1862" s="197">
        <v>2042</v>
      </c>
      <c r="C1862" s="213" t="s">
        <v>5031</v>
      </c>
      <c r="D1862" s="239">
        <v>3.9983173397690136E-3</v>
      </c>
      <c r="E1862" s="226">
        <v>2.3800910861638075E-2</v>
      </c>
      <c r="F1862" s="226">
        <v>5.931134556699558E-4</v>
      </c>
      <c r="G1862" s="227">
        <v>5.4568316161246575E-4</v>
      </c>
      <c r="H1862" s="226">
        <v>2.0000005732018801E-3</v>
      </c>
      <c r="I1862" s="255">
        <v>3.1258270423191433E-3</v>
      </c>
      <c r="J1862" s="256">
        <v>8.6552288450018466E-6</v>
      </c>
      <c r="K1862" s="257">
        <v>9.0465798863636499E-6</v>
      </c>
      <c r="L1862" s="228">
        <v>3.0890892128634592E-2</v>
      </c>
    </row>
    <row r="1863" spans="1:12" s="212" customFormat="1" ht="15.5" x14ac:dyDescent="0.35">
      <c r="A1863" s="198" t="s">
        <v>855</v>
      </c>
      <c r="B1863" s="197">
        <v>2043</v>
      </c>
      <c r="C1863" s="213" t="s">
        <v>5032</v>
      </c>
      <c r="D1863" s="239">
        <v>3.8944685193633326E-3</v>
      </c>
      <c r="E1863" s="226">
        <v>2.3290964669697149E-2</v>
      </c>
      <c r="F1863" s="226">
        <v>5.7725783737283814E-4</v>
      </c>
      <c r="G1863" s="227">
        <v>5.3108762216745424E-4</v>
      </c>
      <c r="H1863" s="226">
        <v>2.0000005732018805E-3</v>
      </c>
      <c r="I1863" s="255">
        <v>3.1256789547878415E-3</v>
      </c>
      <c r="J1863" s="256">
        <v>8.2219010525560526E-6</v>
      </c>
      <c r="K1863" s="257">
        <v>8.5936589340070616E-6</v>
      </c>
      <c r="L1863" s="228">
        <v>3.0784187662146013E-2</v>
      </c>
    </row>
    <row r="1864" spans="1:12" s="212" customFormat="1" ht="15.5" x14ac:dyDescent="0.35">
      <c r="A1864" s="198" t="s">
        <v>855</v>
      </c>
      <c r="B1864" s="197">
        <v>2044</v>
      </c>
      <c r="C1864" s="213" t="s">
        <v>5033</v>
      </c>
      <c r="D1864" s="239">
        <v>3.812145944837675E-3</v>
      </c>
      <c r="E1864" s="226">
        <v>2.2808978943586914E-2</v>
      </c>
      <c r="F1864" s="226">
        <v>5.6385762186013182E-4</v>
      </c>
      <c r="G1864" s="227">
        <v>5.187521259936988E-4</v>
      </c>
      <c r="H1864" s="226">
        <v>2.0000005732018805E-3</v>
      </c>
      <c r="I1864" s="255">
        <v>3.1255600873623833E-3</v>
      </c>
      <c r="J1864" s="256">
        <v>7.8499405705809685E-6</v>
      </c>
      <c r="K1864" s="257">
        <v>8.2048800495872589E-6</v>
      </c>
      <c r="L1864" s="228">
        <v>3.0695116810952751E-2</v>
      </c>
    </row>
    <row r="1865" spans="1:12" s="212" customFormat="1" ht="15.5" x14ac:dyDescent="0.35">
      <c r="A1865" s="198" t="s">
        <v>855</v>
      </c>
      <c r="B1865" s="197">
        <v>2045</v>
      </c>
      <c r="C1865" s="213" t="s">
        <v>5034</v>
      </c>
      <c r="D1865" s="239">
        <v>3.753636240400848E-3</v>
      </c>
      <c r="E1865" s="226">
        <v>2.2391212348974537E-2</v>
      </c>
      <c r="F1865" s="226">
        <v>5.5269935594754089E-4</v>
      </c>
      <c r="G1865" s="227">
        <v>5.0848212876795798E-4</v>
      </c>
      <c r="H1865" s="226">
        <v>2.0000005732018801E-3</v>
      </c>
      <c r="I1865" s="255">
        <v>3.1255100789129922E-3</v>
      </c>
      <c r="J1865" s="256">
        <v>7.5834406726387105E-6</v>
      </c>
      <c r="K1865" s="257">
        <v>7.9263302088358438E-6</v>
      </c>
      <c r="L1865" s="228">
        <v>3.0619576485350568E-2</v>
      </c>
    </row>
    <row r="1866" spans="1:12" s="212" customFormat="1" ht="15.5" x14ac:dyDescent="0.35">
      <c r="A1866" s="198" t="s">
        <v>855</v>
      </c>
      <c r="B1866" s="197">
        <v>2046</v>
      </c>
      <c r="C1866" s="213" t="s">
        <v>5035</v>
      </c>
      <c r="D1866" s="239">
        <v>3.6972807966976491E-3</v>
      </c>
      <c r="E1866" s="226">
        <v>2.1977471129545151E-2</v>
      </c>
      <c r="F1866" s="226">
        <v>5.433710960680428E-4</v>
      </c>
      <c r="G1866" s="227">
        <v>4.9989643817610282E-4</v>
      </c>
      <c r="H1866" s="226">
        <v>2.0000005732018801E-3</v>
      </c>
      <c r="I1866" s="255">
        <v>3.1254626839435839E-3</v>
      </c>
      <c r="J1866" s="256">
        <v>7.3601520917368562E-6</v>
      </c>
      <c r="K1866" s="257">
        <v>7.6929455091340035E-6</v>
      </c>
      <c r="L1866" s="228">
        <v>3.0555601342794884E-2</v>
      </c>
    </row>
    <row r="1867" spans="1:12" s="212" customFormat="1" ht="15.5" x14ac:dyDescent="0.35">
      <c r="A1867" s="198" t="s">
        <v>855</v>
      </c>
      <c r="B1867" s="197">
        <v>2047</v>
      </c>
      <c r="C1867" s="213" t="s">
        <v>5036</v>
      </c>
      <c r="D1867" s="239">
        <v>3.6505272332231081E-3</v>
      </c>
      <c r="E1867" s="226">
        <v>2.163028669756642E-2</v>
      </c>
      <c r="F1867" s="226">
        <v>5.3570821610048633E-4</v>
      </c>
      <c r="G1867" s="227">
        <v>4.9284357688631885E-4</v>
      </c>
      <c r="H1867" s="226">
        <v>2.0000005732018797E-3</v>
      </c>
      <c r="I1867" s="255">
        <v>3.1254624223623455E-3</v>
      </c>
      <c r="J1867" s="256">
        <v>7.1772595780622124E-6</v>
      </c>
      <c r="K1867" s="257">
        <v>7.5017834075644902E-6</v>
      </c>
      <c r="L1867" s="228">
        <v>3.0502495418650542E-2</v>
      </c>
    </row>
    <row r="1868" spans="1:12" s="212" customFormat="1" ht="15.5" x14ac:dyDescent="0.35">
      <c r="A1868" s="198" t="s">
        <v>855</v>
      </c>
      <c r="B1868" s="197">
        <v>2048</v>
      </c>
      <c r="C1868" s="213" t="s">
        <v>5037</v>
      </c>
      <c r="D1868" s="239">
        <v>3.6122158325532366E-3</v>
      </c>
      <c r="E1868" s="226">
        <v>2.1346279169025244E-2</v>
      </c>
      <c r="F1868" s="226">
        <v>5.2939599582928307E-4</v>
      </c>
      <c r="G1868" s="227">
        <v>4.8703376765618162E-4</v>
      </c>
      <c r="H1868" s="226">
        <v>2.0000005732018801E-3</v>
      </c>
      <c r="I1868" s="255">
        <v>3.1254796314140708E-3</v>
      </c>
      <c r="J1868" s="256">
        <v>7.0244040035347262E-6</v>
      </c>
      <c r="K1868" s="257">
        <v>7.3420163822434598E-6</v>
      </c>
      <c r="L1868" s="228">
        <v>3.0457927672593803E-2</v>
      </c>
    </row>
    <row r="1869" spans="1:12" s="212" customFormat="1" ht="15.5" x14ac:dyDescent="0.35">
      <c r="A1869" s="198" t="s">
        <v>855</v>
      </c>
      <c r="B1869" s="197">
        <v>2049</v>
      </c>
      <c r="C1869" s="213" t="s">
        <v>5038</v>
      </c>
      <c r="D1869" s="239">
        <v>3.6037327286311963E-3</v>
      </c>
      <c r="E1869" s="226">
        <v>2.131849073654251E-2</v>
      </c>
      <c r="F1869" s="226">
        <v>5.2535784073616412E-4</v>
      </c>
      <c r="G1869" s="227">
        <v>4.8331628552765709E-4</v>
      </c>
      <c r="H1869" s="226">
        <v>2.0000005732018801E-3</v>
      </c>
      <c r="I1869" s="255">
        <v>3.1254988355538553E-3</v>
      </c>
      <c r="J1869" s="256">
        <v>6.9076882794623863E-6</v>
      </c>
      <c r="K1869" s="257">
        <v>7.2200232910469055E-6</v>
      </c>
      <c r="L1869" s="228">
        <v>3.042074151588053E-2</v>
      </c>
    </row>
    <row r="1870" spans="1:12" s="212" customFormat="1" ht="15.5" x14ac:dyDescent="0.35">
      <c r="A1870" s="198" t="s">
        <v>855</v>
      </c>
      <c r="B1870" s="197">
        <v>2050</v>
      </c>
      <c r="C1870" s="213" t="s">
        <v>5039</v>
      </c>
      <c r="D1870" s="239">
        <v>3.5972167465047936E-3</v>
      </c>
      <c r="E1870" s="226">
        <v>2.1295345090490064E-2</v>
      </c>
      <c r="F1870" s="226">
        <v>5.2203700429507465E-4</v>
      </c>
      <c r="G1870" s="227">
        <v>4.8025517453240509E-4</v>
      </c>
      <c r="H1870" s="226">
        <v>2.0000005732018805E-3</v>
      </c>
      <c r="I1870" s="255">
        <v>3.1255375437720455E-3</v>
      </c>
      <c r="J1870" s="256">
        <v>6.7094362388725524E-6</v>
      </c>
      <c r="K1870" s="257">
        <v>7.0128071729120217E-6</v>
      </c>
      <c r="L1870" s="228">
        <v>3.0390276142180178E-2</v>
      </c>
    </row>
    <row r="1871" spans="1:12" s="212" customFormat="1" ht="15.5" x14ac:dyDescent="0.35">
      <c r="A1871" s="198" t="s">
        <v>856</v>
      </c>
      <c r="B1871" s="197">
        <v>2015</v>
      </c>
      <c r="C1871" s="213" t="s">
        <v>961</v>
      </c>
      <c r="D1871" s="239">
        <v>6.9117712508175791E-2</v>
      </c>
      <c r="E1871" s="226">
        <v>0.29610149548540077</v>
      </c>
      <c r="F1871" s="226">
        <v>2.4841730777832869E-3</v>
      </c>
      <c r="G1871" s="227">
        <v>2.298579885813657E-3</v>
      </c>
      <c r="H1871" s="226">
        <v>2.0000005732018801E-3</v>
      </c>
      <c r="I1871" s="255">
        <v>2.7654421173670023E-3</v>
      </c>
      <c r="J1871" s="256">
        <v>2.4495415501866384E-4</v>
      </c>
      <c r="K1871" s="257">
        <v>2.5602989494064325E-4</v>
      </c>
      <c r="L1871" s="228">
        <v>4.5986248305294096E-2</v>
      </c>
    </row>
    <row r="1872" spans="1:12" s="212" customFormat="1" ht="15.5" x14ac:dyDescent="0.35">
      <c r="A1872" s="198" t="s">
        <v>856</v>
      </c>
      <c r="B1872" s="197">
        <v>2016</v>
      </c>
      <c r="C1872" s="213" t="s">
        <v>962</v>
      </c>
      <c r="D1872" s="239">
        <v>6.0354181421486498E-2</v>
      </c>
      <c r="E1872" s="226">
        <v>0.26720439439427701</v>
      </c>
      <c r="F1872" s="226">
        <v>2.370791366876489E-3</v>
      </c>
      <c r="G1872" s="227">
        <v>2.192822796870446E-3</v>
      </c>
      <c r="H1872" s="226">
        <v>2.0000005732018801E-3</v>
      </c>
      <c r="I1872" s="255">
        <v>2.7605618391191257E-3</v>
      </c>
      <c r="J1872" s="256">
        <v>2.3895406866993903E-4</v>
      </c>
      <c r="K1872" s="257">
        <v>2.4975851131221825E-4</v>
      </c>
      <c r="L1872" s="228">
        <v>4.4849476815405645E-2</v>
      </c>
    </row>
    <row r="1873" spans="1:12" s="212" customFormat="1" ht="15.5" x14ac:dyDescent="0.35">
      <c r="A1873" s="198" t="s">
        <v>856</v>
      </c>
      <c r="B1873" s="197">
        <v>2017</v>
      </c>
      <c r="C1873" s="213" t="s">
        <v>5040</v>
      </c>
      <c r="D1873" s="239">
        <v>4.8261083312523885E-2</v>
      </c>
      <c r="E1873" s="226">
        <v>0.22265802846621191</v>
      </c>
      <c r="F1873" s="226">
        <v>2.1719675515463103E-3</v>
      </c>
      <c r="G1873" s="227">
        <v>2.0067900486424586E-3</v>
      </c>
      <c r="H1873" s="226">
        <v>2.0000005732018805E-3</v>
      </c>
      <c r="I1873" s="255">
        <v>2.7605274382277705E-3</v>
      </c>
      <c r="J1873" s="256">
        <v>1.9020241926302072E-4</v>
      </c>
      <c r="K1873" s="257">
        <v>1.9880252865135941E-4</v>
      </c>
      <c r="L1873" s="228">
        <v>4.4410218884715684E-2</v>
      </c>
    </row>
    <row r="1874" spans="1:12" s="212" customFormat="1" ht="15.5" x14ac:dyDescent="0.35">
      <c r="A1874" s="198" t="s">
        <v>856</v>
      </c>
      <c r="B1874" s="197">
        <v>2018</v>
      </c>
      <c r="C1874" s="213" t="s">
        <v>5041</v>
      </c>
      <c r="D1874" s="239">
        <v>4.0223429783015456E-2</v>
      </c>
      <c r="E1874" s="226">
        <v>0.19335227204441144</v>
      </c>
      <c r="F1874" s="226">
        <v>2.093559795965377E-3</v>
      </c>
      <c r="G1874" s="227">
        <v>1.9327955977208697E-3</v>
      </c>
      <c r="H1874" s="226">
        <v>2.0000005732018797E-3</v>
      </c>
      <c r="I1874" s="255">
        <v>2.759697617002602E-3</v>
      </c>
      <c r="J1874" s="256">
        <v>1.6680387244972283E-4</v>
      </c>
      <c r="K1874" s="257">
        <v>1.7434600338067757E-4</v>
      </c>
      <c r="L1874" s="228">
        <v>4.3774032175808303E-2</v>
      </c>
    </row>
    <row r="1875" spans="1:12" s="212" customFormat="1" ht="15.5" x14ac:dyDescent="0.35">
      <c r="A1875" s="198" t="s">
        <v>856</v>
      </c>
      <c r="B1875" s="197">
        <v>2019</v>
      </c>
      <c r="C1875" s="213" t="s">
        <v>5042</v>
      </c>
      <c r="D1875" s="239">
        <v>3.2562249818169964E-2</v>
      </c>
      <c r="E1875" s="226">
        <v>0.16093215727944146</v>
      </c>
      <c r="F1875" s="226">
        <v>2.0260108943346757E-3</v>
      </c>
      <c r="G1875" s="227">
        <v>1.8693689524869378E-3</v>
      </c>
      <c r="H1875" s="226">
        <v>2.0000005732018801E-3</v>
      </c>
      <c r="I1875" s="255">
        <v>2.7616107324938913E-3</v>
      </c>
      <c r="J1875" s="256">
        <v>1.5313174464020031E-4</v>
      </c>
      <c r="K1875" s="257">
        <v>1.6005568262077735E-4</v>
      </c>
      <c r="L1875" s="228">
        <v>4.3122703422206116E-2</v>
      </c>
    </row>
    <row r="1876" spans="1:12" s="212" customFormat="1" ht="15.5" x14ac:dyDescent="0.35">
      <c r="A1876" s="198" t="s">
        <v>856</v>
      </c>
      <c r="B1876" s="197">
        <v>2020</v>
      </c>
      <c r="C1876" s="213" t="s">
        <v>5043</v>
      </c>
      <c r="D1876" s="239">
        <v>2.833937491004726E-2</v>
      </c>
      <c r="E1876" s="226">
        <v>0.14300459457162862</v>
      </c>
      <c r="F1876" s="226">
        <v>1.9665715741180459E-3</v>
      </c>
      <c r="G1876" s="227">
        <v>1.8140439426572348E-3</v>
      </c>
      <c r="H1876" s="226">
        <v>2.0000005732018801E-3</v>
      </c>
      <c r="I1876" s="255">
        <v>2.7659108957576151E-3</v>
      </c>
      <c r="J1876" s="256">
        <v>1.4146198610193728E-4</v>
      </c>
      <c r="K1876" s="257">
        <v>1.4785826938520078E-4</v>
      </c>
      <c r="L1876" s="228">
        <v>4.2810620377349888E-2</v>
      </c>
    </row>
    <row r="1877" spans="1:12" s="212" customFormat="1" ht="15.5" x14ac:dyDescent="0.35">
      <c r="A1877" s="198" t="s">
        <v>856</v>
      </c>
      <c r="B1877" s="197">
        <v>2021</v>
      </c>
      <c r="C1877" s="213" t="s">
        <v>5044</v>
      </c>
      <c r="D1877" s="239">
        <v>2.4872524787626249E-2</v>
      </c>
      <c r="E1877" s="226">
        <v>0.12629007700263847</v>
      </c>
      <c r="F1877" s="226">
        <v>1.8810683268135353E-3</v>
      </c>
      <c r="G1877" s="227">
        <v>1.7349001549066927E-3</v>
      </c>
      <c r="H1877" s="226">
        <v>2.0000005732018801E-3</v>
      </c>
      <c r="I1877" s="255">
        <v>2.7671272080622283E-3</v>
      </c>
      <c r="J1877" s="256">
        <v>1.3017639171465843E-4</v>
      </c>
      <c r="K1877" s="257">
        <v>1.3606239049881235E-4</v>
      </c>
      <c r="L1877" s="228">
        <v>4.2040798365008146E-2</v>
      </c>
    </row>
    <row r="1878" spans="1:12" s="212" customFormat="1" ht="15.5" x14ac:dyDescent="0.35">
      <c r="A1878" s="198" t="s">
        <v>856</v>
      </c>
      <c r="B1878" s="197">
        <v>2022</v>
      </c>
      <c r="C1878" s="213" t="s">
        <v>5045</v>
      </c>
      <c r="D1878" s="239">
        <v>2.1231819170722914E-2</v>
      </c>
      <c r="E1878" s="226">
        <v>0.11013287258413121</v>
      </c>
      <c r="F1878" s="226">
        <v>1.7869179184972145E-3</v>
      </c>
      <c r="G1878" s="227">
        <v>1.647656449329492E-3</v>
      </c>
      <c r="H1878" s="226">
        <v>2.0000005732018801E-3</v>
      </c>
      <c r="I1878" s="255">
        <v>2.7649844553363314E-3</v>
      </c>
      <c r="J1878" s="256">
        <v>1.1748442357273821E-4</v>
      </c>
      <c r="K1878" s="257">
        <v>1.2279654787728891E-4</v>
      </c>
      <c r="L1878" s="228">
        <v>4.1271986171346371E-2</v>
      </c>
    </row>
    <row r="1879" spans="1:12" s="212" customFormat="1" ht="15.5" x14ac:dyDescent="0.35">
      <c r="A1879" s="198" t="s">
        <v>856</v>
      </c>
      <c r="B1879" s="197">
        <v>2023</v>
      </c>
      <c r="C1879" s="213" t="s">
        <v>5046</v>
      </c>
      <c r="D1879" s="239">
        <v>1.8542953071889457E-2</v>
      </c>
      <c r="E1879" s="226">
        <v>9.6518247465246426E-2</v>
      </c>
      <c r="F1879" s="226">
        <v>1.6980268074091333E-3</v>
      </c>
      <c r="G1879" s="227">
        <v>1.5652837889671692E-3</v>
      </c>
      <c r="H1879" s="226">
        <v>2.0000005732018801E-3</v>
      </c>
      <c r="I1879" s="255">
        <v>2.7623699883765128E-3</v>
      </c>
      <c r="J1879" s="256">
        <v>1.0190668292667707E-4</v>
      </c>
      <c r="K1879" s="257">
        <v>1.0651445092441332E-4</v>
      </c>
      <c r="L1879" s="228">
        <v>4.0445730092622076E-2</v>
      </c>
    </row>
    <row r="1880" spans="1:12" s="212" customFormat="1" ht="15.5" x14ac:dyDescent="0.35">
      <c r="A1880" s="198" t="s">
        <v>856</v>
      </c>
      <c r="B1880" s="197">
        <v>2024</v>
      </c>
      <c r="C1880" s="213" t="s">
        <v>5047</v>
      </c>
      <c r="D1880" s="239">
        <v>1.624852232740703E-2</v>
      </c>
      <c r="E1880" s="226">
        <v>8.4919631358402289E-2</v>
      </c>
      <c r="F1880" s="226">
        <v>1.6186676012176562E-3</v>
      </c>
      <c r="G1880" s="227">
        <v>1.4917385682688257E-3</v>
      </c>
      <c r="H1880" s="226">
        <v>2.0000005732018801E-3</v>
      </c>
      <c r="I1880" s="255">
        <v>2.7598824441666106E-3</v>
      </c>
      <c r="J1880" s="256">
        <v>8.7828132697972185E-5</v>
      </c>
      <c r="K1880" s="257">
        <v>9.1799331127007724E-5</v>
      </c>
      <c r="L1880" s="228">
        <v>3.9522539653737448E-2</v>
      </c>
    </row>
    <row r="1881" spans="1:12" s="212" customFormat="1" ht="15.5" x14ac:dyDescent="0.35">
      <c r="A1881" s="198" t="s">
        <v>856</v>
      </c>
      <c r="B1881" s="197">
        <v>2025</v>
      </c>
      <c r="C1881" s="213" t="s">
        <v>5048</v>
      </c>
      <c r="D1881" s="239">
        <v>1.4367781477735642E-2</v>
      </c>
      <c r="E1881" s="226">
        <v>7.5323289912810232E-2</v>
      </c>
      <c r="F1881" s="226">
        <v>1.5538844478643421E-3</v>
      </c>
      <c r="G1881" s="227">
        <v>1.4318132985375335E-3</v>
      </c>
      <c r="H1881" s="226">
        <v>2.0000005732018797E-3</v>
      </c>
      <c r="I1881" s="255">
        <v>2.7575673345329927E-3</v>
      </c>
      <c r="J1881" s="256">
        <v>7.8849269987387878E-5</v>
      </c>
      <c r="K1881" s="257">
        <v>8.241448408776384E-5</v>
      </c>
      <c r="L1881" s="228">
        <v>3.864036243696603E-2</v>
      </c>
    </row>
    <row r="1882" spans="1:12" s="212" customFormat="1" ht="15.5" x14ac:dyDescent="0.35">
      <c r="A1882" s="198" t="s">
        <v>856</v>
      </c>
      <c r="B1882" s="197">
        <v>2026</v>
      </c>
      <c r="C1882" s="213" t="s">
        <v>5049</v>
      </c>
      <c r="D1882" s="239">
        <v>1.2773436877900071E-2</v>
      </c>
      <c r="E1882" s="226">
        <v>6.7247487511449877E-2</v>
      </c>
      <c r="F1882" s="226">
        <v>1.4833630296475727E-3</v>
      </c>
      <c r="G1882" s="227">
        <v>1.3664877738742336E-3</v>
      </c>
      <c r="H1882" s="226">
        <v>2.0000005732018805E-3</v>
      </c>
      <c r="I1882" s="255">
        <v>2.7552976528353178E-3</v>
      </c>
      <c r="J1882" s="256">
        <v>6.6470902129394033E-5</v>
      </c>
      <c r="K1882" s="257">
        <v>6.9476421363425648E-5</v>
      </c>
      <c r="L1882" s="228">
        <v>3.7779736186048941E-2</v>
      </c>
    </row>
    <row r="1883" spans="1:12" s="212" customFormat="1" ht="15.5" x14ac:dyDescent="0.35">
      <c r="A1883" s="198" t="s">
        <v>856</v>
      </c>
      <c r="B1883" s="197">
        <v>2027</v>
      </c>
      <c r="C1883" s="213" t="s">
        <v>5050</v>
      </c>
      <c r="D1883" s="239">
        <v>1.1450685344244328E-2</v>
      </c>
      <c r="E1883" s="226">
        <v>6.0459928080138906E-2</v>
      </c>
      <c r="F1883" s="226">
        <v>1.4060699629157762E-3</v>
      </c>
      <c r="G1883" s="227">
        <v>1.2949947454384356E-3</v>
      </c>
      <c r="H1883" s="226">
        <v>2.0000005732018801E-3</v>
      </c>
      <c r="I1883" s="255">
        <v>2.7529789298652331E-3</v>
      </c>
      <c r="J1883" s="256">
        <v>5.5573840875349078E-5</v>
      </c>
      <c r="K1883" s="257">
        <v>5.808664335446575E-5</v>
      </c>
      <c r="L1883" s="228">
        <v>3.7139256666975214E-2</v>
      </c>
    </row>
    <row r="1884" spans="1:12" s="212" customFormat="1" ht="15.5" x14ac:dyDescent="0.35">
      <c r="A1884" s="198" t="s">
        <v>856</v>
      </c>
      <c r="B1884" s="197">
        <v>2028</v>
      </c>
      <c r="C1884" s="213" t="s">
        <v>5051</v>
      </c>
      <c r="D1884" s="239">
        <v>1.0331474725770031E-2</v>
      </c>
      <c r="E1884" s="226">
        <v>5.4733277153140705E-2</v>
      </c>
      <c r="F1884" s="226">
        <v>1.3196603845134756E-3</v>
      </c>
      <c r="G1884" s="227">
        <v>1.2150856921355306E-3</v>
      </c>
      <c r="H1884" s="226">
        <v>2.0000005732018797E-3</v>
      </c>
      <c r="I1884" s="255">
        <v>2.7508942471507888E-3</v>
      </c>
      <c r="J1884" s="256">
        <v>4.3802748198781324E-5</v>
      </c>
      <c r="K1884" s="257">
        <v>4.5783314100513758E-5</v>
      </c>
      <c r="L1884" s="228">
        <v>3.6387429383737548E-2</v>
      </c>
    </row>
    <row r="1885" spans="1:12" s="212" customFormat="1" ht="15.5" x14ac:dyDescent="0.35">
      <c r="A1885" s="198" t="s">
        <v>856</v>
      </c>
      <c r="B1885" s="197">
        <v>2029</v>
      </c>
      <c r="C1885" s="213" t="s">
        <v>5052</v>
      </c>
      <c r="D1885" s="239">
        <v>9.3813935077688895E-3</v>
      </c>
      <c r="E1885" s="226">
        <v>4.9923791826238996E-2</v>
      </c>
      <c r="F1885" s="226">
        <v>1.2385898509568946E-3</v>
      </c>
      <c r="G1885" s="227">
        <v>1.1402483487374796E-3</v>
      </c>
      <c r="H1885" s="226">
        <v>2.0000005732018801E-3</v>
      </c>
      <c r="I1885" s="255">
        <v>2.7489891548380403E-3</v>
      </c>
      <c r="J1885" s="256">
        <v>3.6206277147427023E-5</v>
      </c>
      <c r="K1885" s="257">
        <v>3.7843364337058397E-5</v>
      </c>
      <c r="L1885" s="228">
        <v>3.569960432482349E-2</v>
      </c>
    </row>
    <row r="1886" spans="1:12" s="212" customFormat="1" ht="15.5" x14ac:dyDescent="0.35">
      <c r="A1886" s="198" t="s">
        <v>856</v>
      </c>
      <c r="B1886" s="197">
        <v>2030</v>
      </c>
      <c r="C1886" s="213" t="s">
        <v>5053</v>
      </c>
      <c r="D1886" s="239">
        <v>8.5939549874399432E-3</v>
      </c>
      <c r="E1886" s="226">
        <v>4.5933232246830477E-2</v>
      </c>
      <c r="F1886" s="226">
        <v>1.1626588896691736E-3</v>
      </c>
      <c r="G1886" s="227">
        <v>1.0702160976138581E-3</v>
      </c>
      <c r="H1886" s="226">
        <v>2.0000005732018797E-3</v>
      </c>
      <c r="I1886" s="255">
        <v>2.7473078943100987E-3</v>
      </c>
      <c r="J1886" s="256">
        <v>3.0648805915257071E-5</v>
      </c>
      <c r="K1886" s="257">
        <v>3.2034608916682998E-5</v>
      </c>
      <c r="L1886" s="228">
        <v>3.510682285002531E-2</v>
      </c>
    </row>
    <row r="1887" spans="1:12" s="212" customFormat="1" ht="15.5" x14ac:dyDescent="0.35">
      <c r="A1887" s="198" t="s">
        <v>856</v>
      </c>
      <c r="B1887" s="197">
        <v>2031</v>
      </c>
      <c r="C1887" s="213" t="s">
        <v>5054</v>
      </c>
      <c r="D1887" s="239">
        <v>7.8969993426221546E-3</v>
      </c>
      <c r="E1887" s="226">
        <v>4.2416267745302064E-2</v>
      </c>
      <c r="F1887" s="226">
        <v>1.0901497210334245E-3</v>
      </c>
      <c r="G1887" s="227">
        <v>1.0033799182516316E-3</v>
      </c>
      <c r="H1887" s="226">
        <v>2.0000005732018797E-3</v>
      </c>
      <c r="I1887" s="255">
        <v>2.7456824021004065E-3</v>
      </c>
      <c r="J1887" s="256">
        <v>2.6371007436270264E-5</v>
      </c>
      <c r="K1887" s="257">
        <v>2.7563387372926024E-5</v>
      </c>
      <c r="L1887" s="228">
        <v>3.4489419509047083E-2</v>
      </c>
    </row>
    <row r="1888" spans="1:12" s="212" customFormat="1" ht="15.5" x14ac:dyDescent="0.35">
      <c r="A1888" s="198" t="s">
        <v>856</v>
      </c>
      <c r="B1888" s="197">
        <v>2032</v>
      </c>
      <c r="C1888" s="213" t="s">
        <v>5055</v>
      </c>
      <c r="D1888" s="239">
        <v>7.2964607024127767E-3</v>
      </c>
      <c r="E1888" s="226">
        <v>3.945168676954091E-2</v>
      </c>
      <c r="F1888" s="226">
        <v>1.0220228427938911E-3</v>
      </c>
      <c r="G1888" s="227">
        <v>9.4059095295721557E-4</v>
      </c>
      <c r="H1888" s="226">
        <v>2.0000005732018805E-3</v>
      </c>
      <c r="I1888" s="255">
        <v>2.7441302295053488E-3</v>
      </c>
      <c r="J1888" s="256">
        <v>2.2551589204209766E-5</v>
      </c>
      <c r="K1888" s="257">
        <v>2.3571271996829152E-5</v>
      </c>
      <c r="L1888" s="228">
        <v>3.4059402675553643E-2</v>
      </c>
    </row>
    <row r="1889" spans="1:12" s="212" customFormat="1" ht="15.5" x14ac:dyDescent="0.35">
      <c r="A1889" s="198" t="s">
        <v>856</v>
      </c>
      <c r="B1889" s="197">
        <v>2033</v>
      </c>
      <c r="C1889" s="213" t="s">
        <v>5056</v>
      </c>
      <c r="D1889" s="239">
        <v>6.7756619189659889E-3</v>
      </c>
      <c r="E1889" s="226">
        <v>3.69197475972316E-2</v>
      </c>
      <c r="F1889" s="226">
        <v>9.5944525899623468E-4</v>
      </c>
      <c r="G1889" s="227">
        <v>8.8296248726536461E-4</v>
      </c>
      <c r="H1889" s="226">
        <v>2.0000005732018801E-3</v>
      </c>
      <c r="I1889" s="255">
        <v>2.7426370546283188E-3</v>
      </c>
      <c r="J1889" s="256">
        <v>2.0224057991738271E-5</v>
      </c>
      <c r="K1889" s="257">
        <v>2.113850015119647E-5</v>
      </c>
      <c r="L1889" s="228">
        <v>3.3600879851521347E-2</v>
      </c>
    </row>
    <row r="1890" spans="1:12" s="212" customFormat="1" ht="15.5" x14ac:dyDescent="0.35">
      <c r="A1890" s="198" t="s">
        <v>856</v>
      </c>
      <c r="B1890" s="197">
        <v>2034</v>
      </c>
      <c r="C1890" s="213" t="s">
        <v>5057</v>
      </c>
      <c r="D1890" s="239">
        <v>6.2970657833129372E-3</v>
      </c>
      <c r="E1890" s="226">
        <v>3.4685447280311039E-2</v>
      </c>
      <c r="F1890" s="226">
        <v>9.0026901358407514E-4</v>
      </c>
      <c r="G1890" s="227">
        <v>8.2847014042666811E-4</v>
      </c>
      <c r="H1890" s="226">
        <v>2.0000005732018797E-3</v>
      </c>
      <c r="I1890" s="255">
        <v>2.7412133464286277E-3</v>
      </c>
      <c r="J1890" s="256">
        <v>1.8120169442144173E-5</v>
      </c>
      <c r="K1890" s="257">
        <v>1.893948309725691E-5</v>
      </c>
      <c r="L1890" s="228">
        <v>3.3191926314752998E-2</v>
      </c>
    </row>
    <row r="1891" spans="1:12" s="212" customFormat="1" ht="15.5" x14ac:dyDescent="0.35">
      <c r="A1891" s="198" t="s">
        <v>856</v>
      </c>
      <c r="B1891" s="197">
        <v>2035</v>
      </c>
      <c r="C1891" s="213" t="s">
        <v>5058</v>
      </c>
      <c r="D1891" s="239">
        <v>5.8851596367774121E-3</v>
      </c>
      <c r="E1891" s="226">
        <v>3.2818135643789756E-2</v>
      </c>
      <c r="F1891" s="226">
        <v>8.4610638089519386E-4</v>
      </c>
      <c r="G1891" s="227">
        <v>7.7859857789937357E-4</v>
      </c>
      <c r="H1891" s="226">
        <v>2.0000005732018797E-3</v>
      </c>
      <c r="I1891" s="255">
        <v>2.739914582338852E-3</v>
      </c>
      <c r="J1891" s="256">
        <v>1.629738128440095E-5</v>
      </c>
      <c r="K1891" s="257">
        <v>1.7034276547523176E-5</v>
      </c>
      <c r="L1891" s="228">
        <v>3.2830097225865024E-2</v>
      </c>
    </row>
    <row r="1892" spans="1:12" s="212" customFormat="1" ht="15.5" x14ac:dyDescent="0.35">
      <c r="A1892" s="198" t="s">
        <v>856</v>
      </c>
      <c r="B1892" s="197">
        <v>2036</v>
      </c>
      <c r="C1892" s="213" t="s">
        <v>5059</v>
      </c>
      <c r="D1892" s="239">
        <v>5.5241359783748676E-3</v>
      </c>
      <c r="E1892" s="226">
        <v>3.1212385820237665E-2</v>
      </c>
      <c r="F1892" s="226">
        <v>7.9907482020010335E-4</v>
      </c>
      <c r="G1892" s="227">
        <v>7.3529213005140131E-4</v>
      </c>
      <c r="H1892" s="226">
        <v>2.0000005732018805E-3</v>
      </c>
      <c r="I1892" s="255">
        <v>2.7387322331715118E-3</v>
      </c>
      <c r="J1892" s="256">
        <v>1.4689084720641851E-5</v>
      </c>
      <c r="K1892" s="257">
        <v>1.5353259949861197E-5</v>
      </c>
      <c r="L1892" s="228">
        <v>3.251189628788792E-2</v>
      </c>
    </row>
    <row r="1893" spans="1:12" s="212" customFormat="1" ht="15.5" x14ac:dyDescent="0.35">
      <c r="A1893" s="198" t="s">
        <v>856</v>
      </c>
      <c r="B1893" s="197">
        <v>2037</v>
      </c>
      <c r="C1893" s="213" t="s">
        <v>5060</v>
      </c>
      <c r="D1893" s="239">
        <v>5.2116371512512961E-3</v>
      </c>
      <c r="E1893" s="226">
        <v>2.9839843620107893E-2</v>
      </c>
      <c r="F1893" s="226">
        <v>7.5632012083173361E-4</v>
      </c>
      <c r="G1893" s="227">
        <v>6.9590273229693184E-4</v>
      </c>
      <c r="H1893" s="226">
        <v>2.0000005732018805E-3</v>
      </c>
      <c r="I1893" s="255">
        <v>2.7376890591128099E-3</v>
      </c>
      <c r="J1893" s="256">
        <v>1.2686412051954869E-5</v>
      </c>
      <c r="K1893" s="257">
        <v>1.3260035309824561E-5</v>
      </c>
      <c r="L1893" s="228">
        <v>3.2235168224828074E-2</v>
      </c>
    </row>
    <row r="1894" spans="1:12" s="212" customFormat="1" ht="15.5" x14ac:dyDescent="0.35">
      <c r="A1894" s="198" t="s">
        <v>856</v>
      </c>
      <c r="B1894" s="197">
        <v>2038</v>
      </c>
      <c r="C1894" s="213" t="s">
        <v>5061</v>
      </c>
      <c r="D1894" s="239">
        <v>4.9352038798532137E-3</v>
      </c>
      <c r="E1894" s="226">
        <v>2.8633498357839432E-2</v>
      </c>
      <c r="F1894" s="226">
        <v>7.188783335429663E-4</v>
      </c>
      <c r="G1894" s="227">
        <v>6.6143260663840389E-4</v>
      </c>
      <c r="H1894" s="226">
        <v>2.0000005732018805E-3</v>
      </c>
      <c r="I1894" s="255">
        <v>2.7367808864627798E-3</v>
      </c>
      <c r="J1894" s="256">
        <v>1.1562667223843488E-5</v>
      </c>
      <c r="K1894" s="257">
        <v>1.2085479727129786E-5</v>
      </c>
      <c r="L1894" s="228">
        <v>3.1869869839690576E-2</v>
      </c>
    </row>
    <row r="1895" spans="1:12" s="212" customFormat="1" ht="15.5" x14ac:dyDescent="0.35">
      <c r="A1895" s="198" t="s">
        <v>856</v>
      </c>
      <c r="B1895" s="197">
        <v>2039</v>
      </c>
      <c r="C1895" s="213" t="s">
        <v>5062</v>
      </c>
      <c r="D1895" s="239">
        <v>4.6653352045960923E-3</v>
      </c>
      <c r="E1895" s="226">
        <v>2.7490148540230398E-2</v>
      </c>
      <c r="F1895" s="226">
        <v>6.8509225878618486E-4</v>
      </c>
      <c r="G1895" s="227">
        <v>6.3032204566612474E-4</v>
      </c>
      <c r="H1895" s="226">
        <v>2.0000005732018797E-3</v>
      </c>
      <c r="I1895" s="255">
        <v>2.7359777829413924E-3</v>
      </c>
      <c r="J1895" s="256">
        <v>1.0394571340067438E-5</v>
      </c>
      <c r="K1895" s="257">
        <v>1.0864567730838103E-5</v>
      </c>
      <c r="L1895" s="228">
        <v>3.1667533254364735E-2</v>
      </c>
    </row>
    <row r="1896" spans="1:12" s="212" customFormat="1" ht="15.5" x14ac:dyDescent="0.35">
      <c r="A1896" s="198" t="s">
        <v>856</v>
      </c>
      <c r="B1896" s="197">
        <v>2040</v>
      </c>
      <c r="C1896" s="213" t="s">
        <v>5063</v>
      </c>
      <c r="D1896" s="239">
        <v>4.4378503499326611E-3</v>
      </c>
      <c r="E1896" s="226">
        <v>2.6556525779983946E-2</v>
      </c>
      <c r="F1896" s="226">
        <v>6.5592181490420234E-4</v>
      </c>
      <c r="G1896" s="227">
        <v>6.0346999253103634E-4</v>
      </c>
      <c r="H1896" s="226">
        <v>2.0000005732018801E-3</v>
      </c>
      <c r="I1896" s="255">
        <v>2.7353400624904236E-3</v>
      </c>
      <c r="J1896" s="256">
        <v>9.6013354884044708E-6</v>
      </c>
      <c r="K1896" s="257">
        <v>1.0035465273894892E-5</v>
      </c>
      <c r="L1896" s="228">
        <v>3.1496242064548083E-2</v>
      </c>
    </row>
    <row r="1897" spans="1:12" s="212" customFormat="1" ht="15.5" x14ac:dyDescent="0.35">
      <c r="A1897" s="198" t="s">
        <v>856</v>
      </c>
      <c r="B1897" s="197">
        <v>2041</v>
      </c>
      <c r="C1897" s="213" t="s">
        <v>5064</v>
      </c>
      <c r="D1897" s="239">
        <v>4.2665327243300247E-3</v>
      </c>
      <c r="E1897" s="226">
        <v>2.580478359868494E-2</v>
      </c>
      <c r="F1897" s="226">
        <v>6.3330108988400341E-4</v>
      </c>
      <c r="G1897" s="227">
        <v>5.826450425327923E-4</v>
      </c>
      <c r="H1897" s="226">
        <v>2.0000005732018805E-3</v>
      </c>
      <c r="I1897" s="255">
        <v>2.7348451287464246E-3</v>
      </c>
      <c r="J1897" s="256">
        <v>8.9333063098951093E-6</v>
      </c>
      <c r="K1897" s="257">
        <v>9.3372307802689088E-6</v>
      </c>
      <c r="L1897" s="228">
        <v>3.1353602608037302E-2</v>
      </c>
    </row>
    <row r="1898" spans="1:12" s="212" customFormat="1" ht="15.5" x14ac:dyDescent="0.35">
      <c r="A1898" s="198" t="s">
        <v>856</v>
      </c>
      <c r="B1898" s="197">
        <v>2042</v>
      </c>
      <c r="C1898" s="213" t="s">
        <v>5065</v>
      </c>
      <c r="D1898" s="239">
        <v>4.1095259342732882E-3</v>
      </c>
      <c r="E1898" s="226">
        <v>2.5061572868862438E-2</v>
      </c>
      <c r="F1898" s="226">
        <v>6.1385526529362828E-4</v>
      </c>
      <c r="G1898" s="227">
        <v>5.6474546595579344E-4</v>
      </c>
      <c r="H1898" s="226">
        <v>2.0000005732018797E-3</v>
      </c>
      <c r="I1898" s="255">
        <v>2.7343848296427615E-3</v>
      </c>
      <c r="J1898" s="256">
        <v>8.4236245533374009E-6</v>
      </c>
      <c r="K1898" s="257">
        <v>8.8045034763589595E-6</v>
      </c>
      <c r="L1898" s="228">
        <v>3.1234161589247814E-2</v>
      </c>
    </row>
    <row r="1899" spans="1:12" s="212" customFormat="1" ht="15.5" x14ac:dyDescent="0.35">
      <c r="A1899" s="198" t="s">
        <v>856</v>
      </c>
      <c r="B1899" s="197">
        <v>2043</v>
      </c>
      <c r="C1899" s="213" t="s">
        <v>5066</v>
      </c>
      <c r="D1899" s="239">
        <v>3.9896781062367234E-3</v>
      </c>
      <c r="E1899" s="226">
        <v>2.4445304230017041E-2</v>
      </c>
      <c r="F1899" s="226">
        <v>5.9732215234116199E-4</v>
      </c>
      <c r="G1899" s="227">
        <v>5.4952676354295558E-4</v>
      </c>
      <c r="H1899" s="226">
        <v>2.0000005732018801E-3</v>
      </c>
      <c r="I1899" s="255">
        <v>2.7340255922070102E-3</v>
      </c>
      <c r="J1899" s="256">
        <v>7.984351603029254E-6</v>
      </c>
      <c r="K1899" s="257">
        <v>8.3453685524827478E-6</v>
      </c>
      <c r="L1899" s="228">
        <v>3.1136142065669566E-2</v>
      </c>
    </row>
    <row r="1900" spans="1:12" s="212" customFormat="1" ht="15.5" x14ac:dyDescent="0.35">
      <c r="A1900" s="198" t="s">
        <v>856</v>
      </c>
      <c r="B1900" s="197">
        <v>2044</v>
      </c>
      <c r="C1900" s="213" t="s">
        <v>5067</v>
      </c>
      <c r="D1900" s="239">
        <v>3.8975996210447424E-3</v>
      </c>
      <c r="E1900" s="226">
        <v>2.3882066055859422E-2</v>
      </c>
      <c r="F1900" s="226">
        <v>5.8333611073440781E-4</v>
      </c>
      <c r="G1900" s="227">
        <v>5.3665363788128967E-4</v>
      </c>
      <c r="H1900" s="226">
        <v>2.0000005732018801E-3</v>
      </c>
      <c r="I1900" s="255">
        <v>2.7337141773133688E-3</v>
      </c>
      <c r="J1900" s="256">
        <v>7.6384667428091617E-6</v>
      </c>
      <c r="K1900" s="257">
        <v>7.9838443137248203E-6</v>
      </c>
      <c r="L1900" s="228">
        <v>3.1055136668609346E-2</v>
      </c>
    </row>
    <row r="1901" spans="1:12" s="212" customFormat="1" ht="15.5" x14ac:dyDescent="0.35">
      <c r="A1901" s="198" t="s">
        <v>856</v>
      </c>
      <c r="B1901" s="197">
        <v>2045</v>
      </c>
      <c r="C1901" s="213" t="s">
        <v>5068</v>
      </c>
      <c r="D1901" s="239">
        <v>3.828617529256556E-3</v>
      </c>
      <c r="E1901" s="226">
        <v>2.3367602446681724E-2</v>
      </c>
      <c r="F1901" s="226">
        <v>5.7151905271687529E-4</v>
      </c>
      <c r="G1901" s="227">
        <v>5.2577737947741125E-4</v>
      </c>
      <c r="H1901" s="226">
        <v>2.0000005732018801E-3</v>
      </c>
      <c r="I1901" s="255">
        <v>2.7334578692232905E-3</v>
      </c>
      <c r="J1901" s="256">
        <v>7.3584628230702024E-6</v>
      </c>
      <c r="K1901" s="257">
        <v>7.6911798592342682E-6</v>
      </c>
      <c r="L1901" s="228">
        <v>3.0987413317215173E-2</v>
      </c>
    </row>
    <row r="1902" spans="1:12" s="212" customFormat="1" ht="15.5" x14ac:dyDescent="0.35">
      <c r="A1902" s="198" t="s">
        <v>856</v>
      </c>
      <c r="B1902" s="197">
        <v>2046</v>
      </c>
      <c r="C1902" s="213" t="s">
        <v>5069</v>
      </c>
      <c r="D1902" s="239">
        <v>3.7640832757367508E-3</v>
      </c>
      <c r="E1902" s="226">
        <v>2.2877535399090029E-2</v>
      </c>
      <c r="F1902" s="226">
        <v>5.6164314832433742E-4</v>
      </c>
      <c r="G1902" s="227">
        <v>5.1668835113199236E-4</v>
      </c>
      <c r="H1902" s="226">
        <v>2.0000005732018805E-3</v>
      </c>
      <c r="I1902" s="255">
        <v>2.7332344649424987E-3</v>
      </c>
      <c r="J1902" s="256">
        <v>7.140337134422098E-6</v>
      </c>
      <c r="K1902" s="257">
        <v>7.4631914948638963E-6</v>
      </c>
      <c r="L1902" s="228">
        <v>3.093090579336235E-2</v>
      </c>
    </row>
    <row r="1903" spans="1:12" s="212" customFormat="1" ht="15.5" x14ac:dyDescent="0.35">
      <c r="A1903" s="198" t="s">
        <v>856</v>
      </c>
      <c r="B1903" s="197">
        <v>2047</v>
      </c>
      <c r="C1903" s="213" t="s">
        <v>5070</v>
      </c>
      <c r="D1903" s="239">
        <v>3.70622628447771E-3</v>
      </c>
      <c r="E1903" s="226">
        <v>2.2432373803556879E-2</v>
      </c>
      <c r="F1903" s="226">
        <v>5.5340362096191844E-4</v>
      </c>
      <c r="G1903" s="227">
        <v>5.0910440901484947E-4</v>
      </c>
      <c r="H1903" s="226">
        <v>2.0000005732018797E-3</v>
      </c>
      <c r="I1903" s="255">
        <v>2.7330509915014425E-3</v>
      </c>
      <c r="J1903" s="256">
        <v>6.9349916192250802E-6</v>
      </c>
      <c r="K1903" s="257">
        <v>7.2485611666768982E-6</v>
      </c>
      <c r="L1903" s="228">
        <v>3.0884410275718869E-2</v>
      </c>
    </row>
    <row r="1904" spans="1:12" s="212" customFormat="1" ht="15.5" x14ac:dyDescent="0.35">
      <c r="A1904" s="198" t="s">
        <v>856</v>
      </c>
      <c r="B1904" s="197">
        <v>2048</v>
      </c>
      <c r="C1904" s="213" t="s">
        <v>5071</v>
      </c>
      <c r="D1904" s="239">
        <v>3.6591554777359028E-3</v>
      </c>
      <c r="E1904" s="226">
        <v>2.2074642210303301E-2</v>
      </c>
      <c r="F1904" s="226">
        <v>5.465942516431324E-4</v>
      </c>
      <c r="G1904" s="227">
        <v>5.0283687227215392E-4</v>
      </c>
      <c r="H1904" s="226">
        <v>2.0000005732018797E-3</v>
      </c>
      <c r="I1904" s="255">
        <v>2.7329079903693973E-3</v>
      </c>
      <c r="J1904" s="256">
        <v>6.7662923860214994E-6</v>
      </c>
      <c r="K1904" s="257">
        <v>7.0722341027395987E-6</v>
      </c>
      <c r="L1904" s="228">
        <v>3.0846288477684496E-2</v>
      </c>
    </row>
    <row r="1905" spans="1:12" s="212" customFormat="1" ht="15.5" x14ac:dyDescent="0.35">
      <c r="A1905" s="198" t="s">
        <v>856</v>
      </c>
      <c r="B1905" s="197">
        <v>2049</v>
      </c>
      <c r="C1905" s="213" t="s">
        <v>5072</v>
      </c>
      <c r="D1905" s="239">
        <v>3.6489811168020233E-3</v>
      </c>
      <c r="E1905" s="226">
        <v>2.2038135703572163E-2</v>
      </c>
      <c r="F1905" s="226">
        <v>5.4234280600896901E-4</v>
      </c>
      <c r="G1905" s="227">
        <v>4.9892235151665699E-4</v>
      </c>
      <c r="H1905" s="226">
        <v>2.0000005732018801E-3</v>
      </c>
      <c r="I1905" s="255">
        <v>2.7327921302147547E-3</v>
      </c>
      <c r="J1905" s="256">
        <v>6.6258143575853163E-6</v>
      </c>
      <c r="K1905" s="257">
        <v>6.9254042812195725E-6</v>
      </c>
      <c r="L1905" s="228">
        <v>3.0815521334515181E-2</v>
      </c>
    </row>
    <row r="1906" spans="1:12" s="212" customFormat="1" ht="15.5" x14ac:dyDescent="0.35">
      <c r="A1906" s="198" t="s">
        <v>856</v>
      </c>
      <c r="B1906" s="197">
        <v>2050</v>
      </c>
      <c r="C1906" s="213" t="s">
        <v>5073</v>
      </c>
      <c r="D1906" s="239">
        <v>3.6409602575178989E-3</v>
      </c>
      <c r="E1906" s="226">
        <v>2.2006292499159731E-2</v>
      </c>
      <c r="F1906" s="226">
        <v>5.3877592817915367E-4</v>
      </c>
      <c r="G1906" s="227">
        <v>4.9563259975252171E-4</v>
      </c>
      <c r="H1906" s="226">
        <v>2.0000005732018801E-3</v>
      </c>
      <c r="I1906" s="255">
        <v>2.7327157582172318E-3</v>
      </c>
      <c r="J1906" s="256">
        <v>6.365585519876714E-6</v>
      </c>
      <c r="K1906" s="257">
        <v>6.6534090502181551E-6</v>
      </c>
      <c r="L1906" s="228">
        <v>3.0791021575681209E-2</v>
      </c>
    </row>
    <row r="1907" spans="1:12" s="212" customFormat="1" ht="15.5" x14ac:dyDescent="0.35">
      <c r="A1907" s="198" t="s">
        <v>857</v>
      </c>
      <c r="B1907" s="197">
        <v>2015</v>
      </c>
      <c r="C1907" s="213" t="s">
        <v>963</v>
      </c>
      <c r="D1907" s="239">
        <v>0.11642492644164153</v>
      </c>
      <c r="E1907" s="226">
        <v>0.374862368980316</v>
      </c>
      <c r="F1907" s="226">
        <v>4.134172968595147E-3</v>
      </c>
      <c r="G1907" s="227">
        <v>3.8258963339262279E-3</v>
      </c>
      <c r="H1907" s="226">
        <v>2.0000005732018805E-3</v>
      </c>
      <c r="I1907" s="255">
        <v>3.5614052028923675E-3</v>
      </c>
      <c r="J1907" s="256">
        <v>4.0768742792343155E-4</v>
      </c>
      <c r="K1907" s="257">
        <v>4.2612124432796119E-4</v>
      </c>
      <c r="L1907" s="228">
        <v>4.5836571759168374E-2</v>
      </c>
    </row>
    <row r="1908" spans="1:12" s="212" customFormat="1" ht="15.5" x14ac:dyDescent="0.35">
      <c r="A1908" s="198" t="s">
        <v>857</v>
      </c>
      <c r="B1908" s="197">
        <v>2016</v>
      </c>
      <c r="C1908" s="213" t="s">
        <v>964</v>
      </c>
      <c r="D1908" s="239">
        <v>0.10179961949285334</v>
      </c>
      <c r="E1908" s="226">
        <v>0.34147644984704284</v>
      </c>
      <c r="F1908" s="226">
        <v>3.8710219473649917E-3</v>
      </c>
      <c r="G1908" s="227">
        <v>3.5783834888285194E-3</v>
      </c>
      <c r="H1908" s="226">
        <v>2.0000005732018801E-3</v>
      </c>
      <c r="I1908" s="255">
        <v>3.5551146784387143E-3</v>
      </c>
      <c r="J1908" s="256">
        <v>3.2626666708802699E-4</v>
      </c>
      <c r="K1908" s="257">
        <v>3.4101899798685408E-4</v>
      </c>
      <c r="L1908" s="228">
        <v>4.4771290620998695E-2</v>
      </c>
    </row>
    <row r="1909" spans="1:12" s="212" customFormat="1" ht="15.5" x14ac:dyDescent="0.35">
      <c r="A1909" s="198" t="s">
        <v>857</v>
      </c>
      <c r="B1909" s="197">
        <v>2017</v>
      </c>
      <c r="C1909" s="213" t="s">
        <v>5074</v>
      </c>
      <c r="D1909" s="239">
        <v>8.2496575699622113E-2</v>
      </c>
      <c r="E1909" s="226">
        <v>0.28935124709898785</v>
      </c>
      <c r="F1909" s="226">
        <v>3.5417673297695957E-3</v>
      </c>
      <c r="G1909" s="227">
        <v>3.2713598172268454E-3</v>
      </c>
      <c r="H1909" s="226">
        <v>2.0000005732018801E-3</v>
      </c>
      <c r="I1909" s="255">
        <v>3.5581978542432047E-3</v>
      </c>
      <c r="J1909" s="256">
        <v>2.7346566035154224E-4</v>
      </c>
      <c r="K1909" s="257">
        <v>2.858305640267436E-4</v>
      </c>
      <c r="L1909" s="228">
        <v>4.4540465545460484E-2</v>
      </c>
    </row>
    <row r="1910" spans="1:12" s="212" customFormat="1" ht="15.5" x14ac:dyDescent="0.35">
      <c r="A1910" s="198" t="s">
        <v>857</v>
      </c>
      <c r="B1910" s="197">
        <v>2018</v>
      </c>
      <c r="C1910" s="213" t="s">
        <v>5075</v>
      </c>
      <c r="D1910" s="239">
        <v>6.9452752662208919E-2</v>
      </c>
      <c r="E1910" s="226">
        <v>0.25429374608797933</v>
      </c>
      <c r="F1910" s="226">
        <v>3.3960079740193725E-3</v>
      </c>
      <c r="G1910" s="227">
        <v>3.1349151106529879E-3</v>
      </c>
      <c r="H1910" s="226">
        <v>2.0000005732018801E-3</v>
      </c>
      <c r="I1910" s="255">
        <v>3.5574702237193574E-3</v>
      </c>
      <c r="J1910" s="256">
        <v>2.5308705667298525E-4</v>
      </c>
      <c r="K1910" s="257">
        <v>2.6453053031855683E-4</v>
      </c>
      <c r="L1910" s="228">
        <v>4.4032113437064681E-2</v>
      </c>
    </row>
    <row r="1911" spans="1:12" s="212" customFormat="1" ht="15.5" x14ac:dyDescent="0.35">
      <c r="A1911" s="198" t="s">
        <v>857</v>
      </c>
      <c r="B1911" s="197">
        <v>2019</v>
      </c>
      <c r="C1911" s="213" t="s">
        <v>5076</v>
      </c>
      <c r="D1911" s="239">
        <v>5.8121568211677146E-2</v>
      </c>
      <c r="E1911" s="226">
        <v>0.21841085093319332</v>
      </c>
      <c r="F1911" s="226">
        <v>3.2724285723475396E-3</v>
      </c>
      <c r="G1911" s="227">
        <v>3.0191821913980485E-3</v>
      </c>
      <c r="H1911" s="226">
        <v>2.0000005732018805E-3</v>
      </c>
      <c r="I1911" s="255">
        <v>3.5583791372778696E-3</v>
      </c>
      <c r="J1911" s="256">
        <v>2.2995037017223025E-4</v>
      </c>
      <c r="K1911" s="257">
        <v>2.403477055217631E-4</v>
      </c>
      <c r="L1911" s="228">
        <v>4.3325385161751856E-2</v>
      </c>
    </row>
    <row r="1912" spans="1:12" s="212" customFormat="1" ht="15.5" x14ac:dyDescent="0.35">
      <c r="A1912" s="198" t="s">
        <v>857</v>
      </c>
      <c r="B1912" s="197">
        <v>2020</v>
      </c>
      <c r="C1912" s="213" t="s">
        <v>5077</v>
      </c>
      <c r="D1912" s="239">
        <v>5.1401163233287701E-2</v>
      </c>
      <c r="E1912" s="226">
        <v>0.19680837931719569</v>
      </c>
      <c r="F1912" s="226">
        <v>3.1566740113095925E-3</v>
      </c>
      <c r="G1912" s="227">
        <v>2.9118188404337916E-3</v>
      </c>
      <c r="H1912" s="226">
        <v>2.0000005732018805E-3</v>
      </c>
      <c r="I1912" s="255">
        <v>3.5667748344482648E-3</v>
      </c>
      <c r="J1912" s="256">
        <v>2.1551687346406108E-4</v>
      </c>
      <c r="K1912" s="257">
        <v>2.2526159014014369E-4</v>
      </c>
      <c r="L1912" s="228">
        <v>4.3001596666525511E-2</v>
      </c>
    </row>
    <row r="1913" spans="1:12" s="212" customFormat="1" ht="15.5" x14ac:dyDescent="0.35">
      <c r="A1913" s="198" t="s">
        <v>857</v>
      </c>
      <c r="B1913" s="197">
        <v>2021</v>
      </c>
      <c r="C1913" s="213" t="s">
        <v>5078</v>
      </c>
      <c r="D1913" s="239">
        <v>4.4880907754093403E-2</v>
      </c>
      <c r="E1913" s="226">
        <v>0.17493804405474425</v>
      </c>
      <c r="F1913" s="226">
        <v>2.9860257384180466E-3</v>
      </c>
      <c r="G1913" s="227">
        <v>2.7538782006317412E-3</v>
      </c>
      <c r="H1913" s="226">
        <v>2.0000005732018797E-3</v>
      </c>
      <c r="I1913" s="255">
        <v>3.5704208511782433E-3</v>
      </c>
      <c r="J1913" s="256">
        <v>1.9777258855721799E-4</v>
      </c>
      <c r="K1913" s="257">
        <v>2.0671498740891148E-4</v>
      </c>
      <c r="L1913" s="228">
        <v>4.2198930356792508E-2</v>
      </c>
    </row>
    <row r="1914" spans="1:12" s="212" customFormat="1" ht="15.5" x14ac:dyDescent="0.35">
      <c r="A1914" s="198" t="s">
        <v>857</v>
      </c>
      <c r="B1914" s="197">
        <v>2022</v>
      </c>
      <c r="C1914" s="213" t="s">
        <v>5079</v>
      </c>
      <c r="D1914" s="239">
        <v>3.841821666332252E-2</v>
      </c>
      <c r="E1914" s="226">
        <v>0.1541280772269239</v>
      </c>
      <c r="F1914" s="226">
        <v>2.8242516848647741E-3</v>
      </c>
      <c r="G1914" s="227">
        <v>2.6041389562456146E-3</v>
      </c>
      <c r="H1914" s="226">
        <v>2.0000005732018801E-3</v>
      </c>
      <c r="I1914" s="255">
        <v>3.569538848657934E-3</v>
      </c>
      <c r="J1914" s="256">
        <v>1.8290171550256458E-4</v>
      </c>
      <c r="K1914" s="257">
        <v>1.9117171946324849E-4</v>
      </c>
      <c r="L1914" s="228">
        <v>4.1480752827569939E-2</v>
      </c>
    </row>
    <row r="1915" spans="1:12" s="212" customFormat="1" ht="15.5" x14ac:dyDescent="0.35">
      <c r="A1915" s="198" t="s">
        <v>857</v>
      </c>
      <c r="B1915" s="197">
        <v>2023</v>
      </c>
      <c r="C1915" s="213" t="s">
        <v>5080</v>
      </c>
      <c r="D1915" s="239">
        <v>3.3751615716187372E-2</v>
      </c>
      <c r="E1915" s="226">
        <v>0.13633239166671468</v>
      </c>
      <c r="F1915" s="226">
        <v>2.6747315856324181E-3</v>
      </c>
      <c r="G1915" s="227">
        <v>2.4659781266762769E-3</v>
      </c>
      <c r="H1915" s="226">
        <v>2.0000005732018801E-3</v>
      </c>
      <c r="I1915" s="255">
        <v>3.5682221238770009E-3</v>
      </c>
      <c r="J1915" s="256">
        <v>1.6782828400926437E-4</v>
      </c>
      <c r="K1915" s="257">
        <v>1.7541673428518248E-4</v>
      </c>
      <c r="L1915" s="228">
        <v>4.0713585934223161E-2</v>
      </c>
    </row>
    <row r="1916" spans="1:12" s="212" customFormat="1" ht="15.5" x14ac:dyDescent="0.35">
      <c r="A1916" s="198" t="s">
        <v>857</v>
      </c>
      <c r="B1916" s="197">
        <v>2024</v>
      </c>
      <c r="C1916" s="213" t="s">
        <v>5081</v>
      </c>
      <c r="D1916" s="239">
        <v>2.9713730063714038E-2</v>
      </c>
      <c r="E1916" s="226">
        <v>0.12090586101280998</v>
      </c>
      <c r="F1916" s="226">
        <v>2.5331472490600269E-3</v>
      </c>
      <c r="G1916" s="227">
        <v>2.3348558966124477E-3</v>
      </c>
      <c r="H1916" s="226">
        <v>2.0000005732018801E-3</v>
      </c>
      <c r="I1916" s="255">
        <v>3.5671357432895514E-3</v>
      </c>
      <c r="J1916" s="256">
        <v>1.4583881318599963E-4</v>
      </c>
      <c r="K1916" s="257">
        <v>1.5243299716812171E-4</v>
      </c>
      <c r="L1916" s="228">
        <v>3.990785217695577E-2</v>
      </c>
    </row>
    <row r="1917" spans="1:12" s="212" customFormat="1" ht="15.5" x14ac:dyDescent="0.35">
      <c r="A1917" s="198" t="s">
        <v>857</v>
      </c>
      <c r="B1917" s="197">
        <v>2025</v>
      </c>
      <c r="C1917" s="213" t="s">
        <v>5082</v>
      </c>
      <c r="D1917" s="239">
        <v>2.6362981127038401E-2</v>
      </c>
      <c r="E1917" s="226">
        <v>0.10791848582462804</v>
      </c>
      <c r="F1917" s="226">
        <v>2.4198379543126989E-3</v>
      </c>
      <c r="G1917" s="227">
        <v>2.2301365070900719E-3</v>
      </c>
      <c r="H1917" s="226">
        <v>2.0000005732018801E-3</v>
      </c>
      <c r="I1917" s="255">
        <v>3.5662460078720501E-3</v>
      </c>
      <c r="J1917" s="256">
        <v>1.3296901297177736E-4</v>
      </c>
      <c r="K1917" s="257">
        <v>1.3898128169710479E-4</v>
      </c>
      <c r="L1917" s="228">
        <v>3.9069980104087486E-2</v>
      </c>
    </row>
    <row r="1918" spans="1:12" s="212" customFormat="1" ht="15.5" x14ac:dyDescent="0.35">
      <c r="A1918" s="198" t="s">
        <v>857</v>
      </c>
      <c r="B1918" s="197">
        <v>2026</v>
      </c>
      <c r="C1918" s="213" t="s">
        <v>5083</v>
      </c>
      <c r="D1918" s="239">
        <v>2.3502366562073624E-2</v>
      </c>
      <c r="E1918" s="226">
        <v>9.6840810504951857E-2</v>
      </c>
      <c r="F1918" s="226">
        <v>2.3032540761053428E-3</v>
      </c>
      <c r="G1918" s="227">
        <v>2.122189912009262E-3</v>
      </c>
      <c r="H1918" s="226">
        <v>2.0000005732018805E-3</v>
      </c>
      <c r="I1918" s="255">
        <v>3.5651383770314896E-3</v>
      </c>
      <c r="J1918" s="256">
        <v>1.1375469790842077E-4</v>
      </c>
      <c r="K1918" s="257">
        <v>1.1889818056884347E-4</v>
      </c>
      <c r="L1918" s="228">
        <v>3.8243867296998808E-2</v>
      </c>
    </row>
    <row r="1919" spans="1:12" s="212" customFormat="1" ht="15.5" x14ac:dyDescent="0.35">
      <c r="A1919" s="198" t="s">
        <v>857</v>
      </c>
      <c r="B1919" s="197">
        <v>2027</v>
      </c>
      <c r="C1919" s="213" t="s">
        <v>5084</v>
      </c>
      <c r="D1919" s="239">
        <v>2.1106563422014765E-2</v>
      </c>
      <c r="E1919" s="226">
        <v>8.7288792672614607E-2</v>
      </c>
      <c r="F1919" s="226">
        <v>2.1684858891771108E-3</v>
      </c>
      <c r="G1919" s="227">
        <v>1.9971914420643159E-3</v>
      </c>
      <c r="H1919" s="226">
        <v>2.0000005732018801E-3</v>
      </c>
      <c r="I1919" s="255">
        <v>3.5638278927367885E-3</v>
      </c>
      <c r="J1919" s="256">
        <v>8.5946224570512353E-5</v>
      </c>
      <c r="K1919" s="257">
        <v>8.9832331464867818E-5</v>
      </c>
      <c r="L1919" s="228">
        <v>3.7451390716223089E-2</v>
      </c>
    </row>
    <row r="1920" spans="1:12" s="212" customFormat="1" ht="15.5" x14ac:dyDescent="0.35">
      <c r="A1920" s="198" t="s">
        <v>857</v>
      </c>
      <c r="B1920" s="197">
        <v>2028</v>
      </c>
      <c r="C1920" s="213" t="s">
        <v>5085</v>
      </c>
      <c r="D1920" s="239">
        <v>1.9053851645980089E-2</v>
      </c>
      <c r="E1920" s="226">
        <v>7.9037858149224552E-2</v>
      </c>
      <c r="F1920" s="226">
        <v>2.0316877581371359E-3</v>
      </c>
      <c r="G1920" s="227">
        <v>1.8706639624332835E-3</v>
      </c>
      <c r="H1920" s="226">
        <v>2.0000005732018805E-3</v>
      </c>
      <c r="I1920" s="255">
        <v>3.5625969175136179E-3</v>
      </c>
      <c r="J1920" s="256">
        <v>6.678316761833184E-5</v>
      </c>
      <c r="K1920" s="257">
        <v>6.9802806112115502E-5</v>
      </c>
      <c r="L1920" s="228">
        <v>3.6707956336027039E-2</v>
      </c>
    </row>
    <row r="1921" spans="1:12" s="212" customFormat="1" ht="15.5" x14ac:dyDescent="0.35">
      <c r="A1921" s="198" t="s">
        <v>857</v>
      </c>
      <c r="B1921" s="197">
        <v>2029</v>
      </c>
      <c r="C1921" s="213" t="s">
        <v>5086</v>
      </c>
      <c r="D1921" s="239">
        <v>1.7232798464660488E-2</v>
      </c>
      <c r="E1921" s="226">
        <v>7.1776659044718555E-2</v>
      </c>
      <c r="F1921" s="226">
        <v>1.9012080711182909E-3</v>
      </c>
      <c r="G1921" s="227">
        <v>1.7501109080589816E-3</v>
      </c>
      <c r="H1921" s="226">
        <v>2.0000005732018797E-3</v>
      </c>
      <c r="I1921" s="255">
        <v>3.5614324201937984E-3</v>
      </c>
      <c r="J1921" s="256">
        <v>5.1851041344181024E-5</v>
      </c>
      <c r="K1921" s="257">
        <v>5.4195515348176682E-5</v>
      </c>
      <c r="L1921" s="228">
        <v>3.6015130182421827E-2</v>
      </c>
    </row>
    <row r="1922" spans="1:12" s="212" customFormat="1" ht="15.5" x14ac:dyDescent="0.35">
      <c r="A1922" s="198" t="s">
        <v>857</v>
      </c>
      <c r="B1922" s="197">
        <v>2030</v>
      </c>
      <c r="C1922" s="213" t="s">
        <v>5087</v>
      </c>
      <c r="D1922" s="239">
        <v>1.5749902667530725E-2</v>
      </c>
      <c r="E1922" s="226">
        <v>6.5725724891844584E-2</v>
      </c>
      <c r="F1922" s="226">
        <v>1.7835727050526811E-3</v>
      </c>
      <c r="G1922" s="227">
        <v>1.6415744609267378E-3</v>
      </c>
      <c r="H1922" s="226">
        <v>2.0000005732018805E-3</v>
      </c>
      <c r="I1922" s="255">
        <v>3.5603580336690363E-3</v>
      </c>
      <c r="J1922" s="256">
        <v>4.2224690392934378E-5</v>
      </c>
      <c r="K1922" s="257">
        <v>4.413390352321428E-5</v>
      </c>
      <c r="L1922" s="228">
        <v>3.5375978112507374E-2</v>
      </c>
    </row>
    <row r="1923" spans="1:12" s="212" customFormat="1" ht="15.5" x14ac:dyDescent="0.35">
      <c r="A1923" s="198" t="s">
        <v>857</v>
      </c>
      <c r="B1923" s="197">
        <v>2031</v>
      </c>
      <c r="C1923" s="213" t="s">
        <v>5088</v>
      </c>
      <c r="D1923" s="239">
        <v>1.4364499129687626E-2</v>
      </c>
      <c r="E1923" s="226">
        <v>6.0026191488870333E-2</v>
      </c>
      <c r="F1923" s="226">
        <v>1.6710167377163908E-3</v>
      </c>
      <c r="G1923" s="227">
        <v>1.5378704325692022E-3</v>
      </c>
      <c r="H1923" s="226">
        <v>2.0000005732018801E-3</v>
      </c>
      <c r="I1923" s="255">
        <v>3.5590305942354971E-3</v>
      </c>
      <c r="J1923" s="256">
        <v>3.6758688238957351E-5</v>
      </c>
      <c r="K1923" s="257">
        <v>3.8420753006859735E-5</v>
      </c>
      <c r="L1923" s="228">
        <v>3.4789657053960532E-2</v>
      </c>
    </row>
    <row r="1924" spans="1:12" s="212" customFormat="1" ht="15.5" x14ac:dyDescent="0.35">
      <c r="A1924" s="198" t="s">
        <v>857</v>
      </c>
      <c r="B1924" s="197">
        <v>2032</v>
      </c>
      <c r="C1924" s="213" t="s">
        <v>5089</v>
      </c>
      <c r="D1924" s="239">
        <v>1.3154070501627471E-2</v>
      </c>
      <c r="E1924" s="226">
        <v>5.5178316841124952E-2</v>
      </c>
      <c r="F1924" s="226">
        <v>1.5659389956978072E-3</v>
      </c>
      <c r="G1924" s="227">
        <v>1.4410991376978236E-3</v>
      </c>
      <c r="H1924" s="226">
        <v>2.0000005732018805E-3</v>
      </c>
      <c r="I1924" s="255">
        <v>3.5576821486022533E-3</v>
      </c>
      <c r="J1924" s="256">
        <v>3.2750005463503859E-5</v>
      </c>
      <c r="K1924" s="257">
        <v>3.4230815384566652E-5</v>
      </c>
      <c r="L1924" s="228">
        <v>3.4253465661377901E-2</v>
      </c>
    </row>
    <row r="1925" spans="1:12" s="212" customFormat="1" ht="15.5" x14ac:dyDescent="0.35">
      <c r="A1925" s="198" t="s">
        <v>857</v>
      </c>
      <c r="B1925" s="197">
        <v>2033</v>
      </c>
      <c r="C1925" s="213" t="s">
        <v>5090</v>
      </c>
      <c r="D1925" s="239">
        <v>1.2084110249318054E-2</v>
      </c>
      <c r="E1925" s="226">
        <v>5.0987036414042529E-2</v>
      </c>
      <c r="F1925" s="226">
        <v>1.4678042835103307E-3</v>
      </c>
      <c r="G1925" s="227">
        <v>1.3507504378689336E-3</v>
      </c>
      <c r="H1925" s="226">
        <v>2.0000005732018797E-3</v>
      </c>
      <c r="I1925" s="255">
        <v>3.5562141449963581E-3</v>
      </c>
      <c r="J1925" s="256">
        <v>2.9735484491849122E-5</v>
      </c>
      <c r="K1925" s="257">
        <v>3.1079991151312369E-5</v>
      </c>
      <c r="L1925" s="228">
        <v>3.3767361312605729E-2</v>
      </c>
    </row>
    <row r="1926" spans="1:12" s="212" customFormat="1" ht="15.5" x14ac:dyDescent="0.35">
      <c r="A1926" s="198" t="s">
        <v>857</v>
      </c>
      <c r="B1926" s="197">
        <v>2034</v>
      </c>
      <c r="C1926" s="213" t="s">
        <v>5091</v>
      </c>
      <c r="D1926" s="239">
        <v>1.1135868901915915E-2</v>
      </c>
      <c r="E1926" s="226">
        <v>4.7409687528766682E-2</v>
      </c>
      <c r="F1926" s="226">
        <v>1.3749945982172549E-3</v>
      </c>
      <c r="G1926" s="227">
        <v>1.2652714452656786E-3</v>
      </c>
      <c r="H1926" s="226">
        <v>2.0000005732018801E-3</v>
      </c>
      <c r="I1926" s="255">
        <v>3.5546543404782784E-3</v>
      </c>
      <c r="J1926" s="256">
        <v>2.6041895448302404E-5</v>
      </c>
      <c r="K1926" s="257">
        <v>2.7219394401275017E-5</v>
      </c>
      <c r="L1926" s="228">
        <v>3.3328686204201666E-2</v>
      </c>
    </row>
    <row r="1927" spans="1:12" s="212" customFormat="1" ht="15.5" x14ac:dyDescent="0.35">
      <c r="A1927" s="198" t="s">
        <v>857</v>
      </c>
      <c r="B1927" s="197">
        <v>2035</v>
      </c>
      <c r="C1927" s="213" t="s">
        <v>5092</v>
      </c>
      <c r="D1927" s="239">
        <v>1.0302557864709192E-2</v>
      </c>
      <c r="E1927" s="226">
        <v>4.4411338204791678E-2</v>
      </c>
      <c r="F1927" s="226">
        <v>1.2896840977254334E-3</v>
      </c>
      <c r="G1927" s="227">
        <v>1.1867388796635526E-3</v>
      </c>
      <c r="H1927" s="226">
        <v>2.0000005732018805E-3</v>
      </c>
      <c r="I1927" s="255">
        <v>3.5531461150078575E-3</v>
      </c>
      <c r="J1927" s="256">
        <v>2.3662464968771064E-5</v>
      </c>
      <c r="K1927" s="257">
        <v>2.4732376634025691E-5</v>
      </c>
      <c r="L1927" s="228">
        <v>3.2935567908696214E-2</v>
      </c>
    </row>
    <row r="1928" spans="1:12" s="212" customFormat="1" ht="15.5" x14ac:dyDescent="0.35">
      <c r="A1928" s="198" t="s">
        <v>857</v>
      </c>
      <c r="B1928" s="197">
        <v>2036</v>
      </c>
      <c r="C1928" s="213" t="s">
        <v>5093</v>
      </c>
      <c r="D1928" s="239">
        <v>9.5136334923298354E-3</v>
      </c>
      <c r="E1928" s="226">
        <v>4.1599107666074976E-2</v>
      </c>
      <c r="F1928" s="226">
        <v>1.215470121494333E-3</v>
      </c>
      <c r="G1928" s="227">
        <v>1.1184157700100126E-3</v>
      </c>
      <c r="H1928" s="226">
        <v>2.0000005732018797E-3</v>
      </c>
      <c r="I1928" s="255">
        <v>3.551583594950415E-3</v>
      </c>
      <c r="J1928" s="256">
        <v>2.1452721520909473E-5</v>
      </c>
      <c r="K1928" s="257">
        <v>2.2422718393043115E-5</v>
      </c>
      <c r="L1928" s="228">
        <v>3.2542642132618108E-2</v>
      </c>
    </row>
    <row r="1929" spans="1:12" s="212" customFormat="1" ht="15.5" x14ac:dyDescent="0.35">
      <c r="A1929" s="198" t="s">
        <v>857</v>
      </c>
      <c r="B1929" s="197">
        <v>2037</v>
      </c>
      <c r="C1929" s="213" t="s">
        <v>5094</v>
      </c>
      <c r="D1929" s="239">
        <v>8.8939008937258084E-3</v>
      </c>
      <c r="E1929" s="226">
        <v>3.9415787678988269E-2</v>
      </c>
      <c r="F1929" s="226">
        <v>1.1503025171185786E-3</v>
      </c>
      <c r="G1929" s="227">
        <v>1.058421394015286E-3</v>
      </c>
      <c r="H1929" s="226">
        <v>2.0000005732018797E-3</v>
      </c>
      <c r="I1929" s="255">
        <v>3.5501206096038335E-3</v>
      </c>
      <c r="J1929" s="256">
        <v>1.9523467260209219E-5</v>
      </c>
      <c r="K1929" s="257">
        <v>2.0406231815612995E-5</v>
      </c>
      <c r="L1929" s="228">
        <v>3.2238492113848688E-2</v>
      </c>
    </row>
    <row r="1930" spans="1:12" s="212" customFormat="1" ht="15.5" x14ac:dyDescent="0.35">
      <c r="A1930" s="198" t="s">
        <v>857</v>
      </c>
      <c r="B1930" s="197">
        <v>2038</v>
      </c>
      <c r="C1930" s="213" t="s">
        <v>5095</v>
      </c>
      <c r="D1930" s="239">
        <v>8.3008961265849824E-3</v>
      </c>
      <c r="E1930" s="226">
        <v>3.7329941427671168E-2</v>
      </c>
      <c r="F1930" s="226">
        <v>1.0903166231950368E-3</v>
      </c>
      <c r="G1930" s="227">
        <v>1.0031865031053459E-3</v>
      </c>
      <c r="H1930" s="226">
        <v>2.0000005732018801E-3</v>
      </c>
      <c r="I1930" s="255">
        <v>3.5487158243441967E-3</v>
      </c>
      <c r="J1930" s="256">
        <v>1.7468287866750727E-5</v>
      </c>
      <c r="K1930" s="257">
        <v>1.8258126329705821E-5</v>
      </c>
      <c r="L1930" s="228">
        <v>3.1975011088239989E-2</v>
      </c>
    </row>
    <row r="1931" spans="1:12" s="212" customFormat="1" ht="15.5" x14ac:dyDescent="0.35">
      <c r="A1931" s="198" t="s">
        <v>857</v>
      </c>
      <c r="B1931" s="197">
        <v>2039</v>
      </c>
      <c r="C1931" s="213" t="s">
        <v>5096</v>
      </c>
      <c r="D1931" s="239">
        <v>7.7297470917548992E-3</v>
      </c>
      <c r="E1931" s="226">
        <v>3.5378190831896736E-2</v>
      </c>
      <c r="F1931" s="226">
        <v>1.0363911801590199E-3</v>
      </c>
      <c r="G1931" s="227">
        <v>9.5354066405455484E-4</v>
      </c>
      <c r="H1931" s="226">
        <v>2.0000005732018797E-3</v>
      </c>
      <c r="I1931" s="255">
        <v>3.5473956118425437E-3</v>
      </c>
      <c r="J1931" s="256">
        <v>1.5841490035876684E-5</v>
      </c>
      <c r="K1931" s="257">
        <v>1.6557771919728086E-5</v>
      </c>
      <c r="L1931" s="228">
        <v>3.1745244721807939E-2</v>
      </c>
    </row>
    <row r="1932" spans="1:12" s="212" customFormat="1" ht="15.5" x14ac:dyDescent="0.35">
      <c r="A1932" s="198" t="s">
        <v>857</v>
      </c>
      <c r="B1932" s="197">
        <v>2040</v>
      </c>
      <c r="C1932" s="213" t="s">
        <v>5097</v>
      </c>
      <c r="D1932" s="239">
        <v>7.2110621391469057E-3</v>
      </c>
      <c r="E1932" s="226">
        <v>3.3680946227690994E-2</v>
      </c>
      <c r="F1932" s="226">
        <v>9.88395948958638E-4</v>
      </c>
      <c r="G1932" s="227">
        <v>9.0936736415094042E-4</v>
      </c>
      <c r="H1932" s="226">
        <v>2.0000005732018797E-3</v>
      </c>
      <c r="I1932" s="255">
        <v>3.5461831212862823E-3</v>
      </c>
      <c r="J1932" s="256">
        <v>1.4726160269847054E-5</v>
      </c>
      <c r="K1932" s="257">
        <v>1.539201189088115E-5</v>
      </c>
      <c r="L1932" s="228">
        <v>3.15485775205821E-2</v>
      </c>
    </row>
    <row r="1933" spans="1:12" s="212" customFormat="1" ht="15.5" x14ac:dyDescent="0.35">
      <c r="A1933" s="198" t="s">
        <v>857</v>
      </c>
      <c r="B1933" s="197">
        <v>2041</v>
      </c>
      <c r="C1933" s="213" t="s">
        <v>5098</v>
      </c>
      <c r="D1933" s="239">
        <v>6.8302274457219189E-3</v>
      </c>
      <c r="E1933" s="226">
        <v>3.2366601190071356E-2</v>
      </c>
      <c r="F1933" s="226">
        <v>9.533683026564959E-4</v>
      </c>
      <c r="G1933" s="227">
        <v>8.7712417298318622E-4</v>
      </c>
      <c r="H1933" s="226">
        <v>2.0000005732018801E-3</v>
      </c>
      <c r="I1933" s="255">
        <v>3.5452389821525212E-3</v>
      </c>
      <c r="J1933" s="256">
        <v>1.3787744853778557E-5</v>
      </c>
      <c r="K1933" s="257">
        <v>1.4411165493854778E-5</v>
      </c>
      <c r="L1933" s="228">
        <v>3.1381984463051717E-2</v>
      </c>
    </row>
    <row r="1934" spans="1:12" s="212" customFormat="1" ht="15.5" x14ac:dyDescent="0.35">
      <c r="A1934" s="198" t="s">
        <v>857</v>
      </c>
      <c r="B1934" s="197">
        <v>2042</v>
      </c>
      <c r="C1934" s="213" t="s">
        <v>5099</v>
      </c>
      <c r="D1934" s="239">
        <v>6.4607572916863757E-3</v>
      </c>
      <c r="E1934" s="226">
        <v>3.0990406996627997E-2</v>
      </c>
      <c r="F1934" s="226">
        <v>9.2244053164492151E-4</v>
      </c>
      <c r="G1934" s="227">
        <v>8.486570908104187E-4</v>
      </c>
      <c r="H1934" s="226">
        <v>2.0000005732018801E-3</v>
      </c>
      <c r="I1934" s="255">
        <v>3.5441981556619947E-3</v>
      </c>
      <c r="J1934" s="256">
        <v>1.3014230089414802E-5</v>
      </c>
      <c r="K1934" s="257">
        <v>1.3602675824267417E-5</v>
      </c>
      <c r="L1934" s="228">
        <v>3.1239971603756137E-2</v>
      </c>
    </row>
    <row r="1935" spans="1:12" s="212" customFormat="1" ht="15.5" x14ac:dyDescent="0.35">
      <c r="A1935" s="198" t="s">
        <v>857</v>
      </c>
      <c r="B1935" s="197">
        <v>2043</v>
      </c>
      <c r="C1935" s="213" t="s">
        <v>5100</v>
      </c>
      <c r="D1935" s="239">
        <v>6.1833993547441672E-3</v>
      </c>
      <c r="E1935" s="226">
        <v>2.9860937835294244E-2</v>
      </c>
      <c r="F1935" s="226">
        <v>8.9565888796203606E-4</v>
      </c>
      <c r="G1935" s="227">
        <v>8.2400386511338568E-4</v>
      </c>
      <c r="H1935" s="226">
        <v>2.0000005732018801E-3</v>
      </c>
      <c r="I1935" s="255">
        <v>3.5432798355346435E-3</v>
      </c>
      <c r="J1935" s="256">
        <v>1.2282946348814269E-5</v>
      </c>
      <c r="K1935" s="257">
        <v>1.283832667794048E-5</v>
      </c>
      <c r="L1935" s="228">
        <v>3.111971609173254E-2</v>
      </c>
    </row>
    <row r="1936" spans="1:12" s="212" customFormat="1" ht="15.5" x14ac:dyDescent="0.35">
      <c r="A1936" s="198" t="s">
        <v>857</v>
      </c>
      <c r="B1936" s="197">
        <v>2044</v>
      </c>
      <c r="C1936" s="213" t="s">
        <v>5101</v>
      </c>
      <c r="D1936" s="239">
        <v>5.9770028237531199E-3</v>
      </c>
      <c r="E1936" s="226">
        <v>2.8844429741874997E-2</v>
      </c>
      <c r="F1936" s="226">
        <v>8.7263752985816071E-4</v>
      </c>
      <c r="G1936" s="227">
        <v>8.0281579024937388E-4</v>
      </c>
      <c r="H1936" s="226">
        <v>2.0000005732018801E-3</v>
      </c>
      <c r="I1936" s="255">
        <v>3.5424482348218244E-3</v>
      </c>
      <c r="J1936" s="256">
        <v>1.1749467472505522E-5</v>
      </c>
      <c r="K1936" s="257">
        <v>1.228072625412248E-5</v>
      </c>
      <c r="L1936" s="228">
        <v>3.1016547734893204E-2</v>
      </c>
    </row>
    <row r="1937" spans="1:12" s="212" customFormat="1" ht="15.5" x14ac:dyDescent="0.35">
      <c r="A1937" s="198" t="s">
        <v>857</v>
      </c>
      <c r="B1937" s="197">
        <v>2045</v>
      </c>
      <c r="C1937" s="213" t="s">
        <v>5102</v>
      </c>
      <c r="D1937" s="239">
        <v>5.8243185122473715E-3</v>
      </c>
      <c r="E1937" s="226">
        <v>2.7883873830100415E-2</v>
      </c>
      <c r="F1937" s="226">
        <v>8.524722485220525E-4</v>
      </c>
      <c r="G1937" s="227">
        <v>7.8425499168431622E-4</v>
      </c>
      <c r="H1937" s="226">
        <v>2.0000005732018805E-3</v>
      </c>
      <c r="I1937" s="255">
        <v>3.5416378450515156E-3</v>
      </c>
      <c r="J1937" s="256">
        <v>1.1247278298009801E-5</v>
      </c>
      <c r="K1937" s="257">
        <v>1.175583031358752E-5</v>
      </c>
      <c r="L1937" s="228">
        <v>3.0926395355953512E-2</v>
      </c>
    </row>
    <row r="1938" spans="1:12" s="212" customFormat="1" ht="15.5" x14ac:dyDescent="0.35">
      <c r="A1938" s="198" t="s">
        <v>857</v>
      </c>
      <c r="B1938" s="197">
        <v>2046</v>
      </c>
      <c r="C1938" s="213" t="s">
        <v>5103</v>
      </c>
      <c r="D1938" s="239">
        <v>5.6825396610443758E-3</v>
      </c>
      <c r="E1938" s="226">
        <v>2.699020927984911E-2</v>
      </c>
      <c r="F1938" s="226">
        <v>8.3525605334391255E-4</v>
      </c>
      <c r="G1938" s="227">
        <v>7.6840897562213575E-4</v>
      </c>
      <c r="H1938" s="226">
        <v>2.0000005732018801E-3</v>
      </c>
      <c r="I1938" s="255">
        <v>3.5409146803592148E-3</v>
      </c>
      <c r="J1938" s="256">
        <v>1.0827388998856762E-5</v>
      </c>
      <c r="K1938" s="257">
        <v>1.1316955483557944E-5</v>
      </c>
      <c r="L1938" s="228">
        <v>3.0848493326831074E-2</v>
      </c>
    </row>
    <row r="1939" spans="1:12" s="212" customFormat="1" ht="15.5" x14ac:dyDescent="0.35">
      <c r="A1939" s="198" t="s">
        <v>857</v>
      </c>
      <c r="B1939" s="197">
        <v>2047</v>
      </c>
      <c r="C1939" s="213" t="s">
        <v>5104</v>
      </c>
      <c r="D1939" s="239">
        <v>5.5560078626660835E-3</v>
      </c>
      <c r="E1939" s="226">
        <v>2.618484349699645E-2</v>
      </c>
      <c r="F1939" s="226">
        <v>8.2055881652103849E-4</v>
      </c>
      <c r="G1939" s="227">
        <v>7.5487751604911039E-4</v>
      </c>
      <c r="H1939" s="226">
        <v>2.0000005732018801E-3</v>
      </c>
      <c r="I1939" s="255">
        <v>3.5402546293039805E-3</v>
      </c>
      <c r="J1939" s="256">
        <v>1.0368161305266066E-5</v>
      </c>
      <c r="K1939" s="257">
        <v>1.0836963551455806E-5</v>
      </c>
      <c r="L1939" s="228">
        <v>3.0781427690260633E-2</v>
      </c>
    </row>
    <row r="1940" spans="1:12" s="212" customFormat="1" ht="15.5" x14ac:dyDescent="0.35">
      <c r="A1940" s="198" t="s">
        <v>857</v>
      </c>
      <c r="B1940" s="197">
        <v>2048</v>
      </c>
      <c r="C1940" s="213" t="s">
        <v>5105</v>
      </c>
      <c r="D1940" s="239">
        <v>5.4576608382871893E-3</v>
      </c>
      <c r="E1940" s="226">
        <v>2.5560940472432292E-2</v>
      </c>
      <c r="F1940" s="226">
        <v>8.0808346553927642E-4</v>
      </c>
      <c r="G1940" s="227">
        <v>7.4338594350201463E-4</v>
      </c>
      <c r="H1940" s="226">
        <v>2.0000005732018801E-3</v>
      </c>
      <c r="I1940" s="255">
        <v>3.5397515760281144E-3</v>
      </c>
      <c r="J1940" s="256">
        <v>9.830525914930973E-6</v>
      </c>
      <c r="K1940" s="257">
        <v>1.0275018674491489E-5</v>
      </c>
      <c r="L1940" s="228">
        <v>3.0723657298146988E-2</v>
      </c>
    </row>
    <row r="1941" spans="1:12" s="212" customFormat="1" ht="15.5" x14ac:dyDescent="0.35">
      <c r="A1941" s="198" t="s">
        <v>857</v>
      </c>
      <c r="B1941" s="197">
        <v>2049</v>
      </c>
      <c r="C1941" s="213" t="s">
        <v>5106</v>
      </c>
      <c r="D1941" s="239">
        <v>5.437367219087089E-3</v>
      </c>
      <c r="E1941" s="226">
        <v>2.5501019871444482E-2</v>
      </c>
      <c r="F1941" s="226">
        <v>8.0100964183451781E-4</v>
      </c>
      <c r="G1941" s="227">
        <v>7.3687432800257139E-4</v>
      </c>
      <c r="H1941" s="226">
        <v>2.0000005732018801E-3</v>
      </c>
      <c r="I1941" s="255">
        <v>3.5392612946959058E-3</v>
      </c>
      <c r="J1941" s="256">
        <v>9.6381448908786765E-6</v>
      </c>
      <c r="K1941" s="257">
        <v>1.0073939034209686E-5</v>
      </c>
      <c r="L1941" s="228">
        <v>3.0674012581761213E-2</v>
      </c>
    </row>
    <row r="1942" spans="1:12" s="212" customFormat="1" ht="15.5" x14ac:dyDescent="0.35">
      <c r="A1942" s="198" t="s">
        <v>857</v>
      </c>
      <c r="B1942" s="197">
        <v>2050</v>
      </c>
      <c r="C1942" s="213" t="s">
        <v>5107</v>
      </c>
      <c r="D1942" s="239">
        <v>5.4213233580419871E-3</v>
      </c>
      <c r="E1942" s="226">
        <v>2.5446687267335032E-2</v>
      </c>
      <c r="F1942" s="226">
        <v>7.9474546250707227E-4</v>
      </c>
      <c r="G1942" s="227">
        <v>7.3109052812880143E-4</v>
      </c>
      <c r="H1942" s="226">
        <v>2.0000005732018801E-3</v>
      </c>
      <c r="I1942" s="255">
        <v>3.5389225333774857E-3</v>
      </c>
      <c r="J1942" s="256">
        <v>9.0191399500206829E-6</v>
      </c>
      <c r="K1942" s="257">
        <v>9.4269454367198293E-6</v>
      </c>
      <c r="L1942" s="228">
        <v>3.0632878463373335E-2</v>
      </c>
    </row>
    <row r="1943" spans="1:12" s="212" customFormat="1" ht="15.5" x14ac:dyDescent="0.35">
      <c r="A1943" s="198" t="s">
        <v>858</v>
      </c>
      <c r="B1943" s="197">
        <v>2015</v>
      </c>
      <c r="C1943" s="213" t="s">
        <v>965</v>
      </c>
      <c r="D1943" s="239">
        <v>5.9646102510963417E-2</v>
      </c>
      <c r="E1943" s="226">
        <v>0.28092796503247514</v>
      </c>
      <c r="F1943" s="226">
        <v>1.9973221278097924E-3</v>
      </c>
      <c r="G1943" s="227">
        <v>1.8459387011309167E-3</v>
      </c>
      <c r="H1943" s="226">
        <v>2.0000005732018801E-3</v>
      </c>
      <c r="I1943" s="255">
        <v>2.9320517396104E-3</v>
      </c>
      <c r="J1943" s="256">
        <v>1.2602961340230104E-4</v>
      </c>
      <c r="K1943" s="257">
        <v>1.3172811327222611E-4</v>
      </c>
      <c r="L1943" s="228">
        <v>4.2499981248071472E-2</v>
      </c>
    </row>
    <row r="1944" spans="1:12" s="212" customFormat="1" ht="15.5" x14ac:dyDescent="0.35">
      <c r="A1944" s="198" t="s">
        <v>858</v>
      </c>
      <c r="B1944" s="197">
        <v>2016</v>
      </c>
      <c r="C1944" s="213" t="s">
        <v>966</v>
      </c>
      <c r="D1944" s="239">
        <v>5.3261369022967228E-2</v>
      </c>
      <c r="E1944" s="226">
        <v>0.25786744641674214</v>
      </c>
      <c r="F1944" s="226">
        <v>1.9288273598216648E-3</v>
      </c>
      <c r="G1944" s="227">
        <v>1.7818570259194304E-3</v>
      </c>
      <c r="H1944" s="226">
        <v>2.0000005732018801E-3</v>
      </c>
      <c r="I1944" s="255">
        <v>2.9297473762662698E-3</v>
      </c>
      <c r="J1944" s="256">
        <v>1.2333473038583434E-4</v>
      </c>
      <c r="K1944" s="257">
        <v>1.289113796041213E-4</v>
      </c>
      <c r="L1944" s="228">
        <v>4.1572195987278883E-2</v>
      </c>
    </row>
    <row r="1945" spans="1:12" s="212" customFormat="1" ht="15.5" x14ac:dyDescent="0.35">
      <c r="A1945" s="198" t="s">
        <v>858</v>
      </c>
      <c r="B1945" s="197">
        <v>2017</v>
      </c>
      <c r="C1945" s="213" t="s">
        <v>5108</v>
      </c>
      <c r="D1945" s="239">
        <v>4.1989555248238879E-2</v>
      </c>
      <c r="E1945" s="226">
        <v>0.21241031500836666</v>
      </c>
      <c r="F1945" s="226">
        <v>1.7500444409932253E-3</v>
      </c>
      <c r="G1945" s="227">
        <v>1.6151767797231791E-3</v>
      </c>
      <c r="H1945" s="226">
        <v>2.0000005732018801E-3</v>
      </c>
      <c r="I1945" s="255">
        <v>2.9229638602360189E-3</v>
      </c>
      <c r="J1945" s="256">
        <v>9.8447193852568561E-5</v>
      </c>
      <c r="K1945" s="257">
        <v>1.02898539105629E-4</v>
      </c>
      <c r="L1945" s="228">
        <v>4.1264599946048822E-2</v>
      </c>
    </row>
    <row r="1946" spans="1:12" s="212" customFormat="1" ht="15.5" x14ac:dyDescent="0.35">
      <c r="A1946" s="198" t="s">
        <v>858</v>
      </c>
      <c r="B1946" s="197">
        <v>2018</v>
      </c>
      <c r="C1946" s="213" t="s">
        <v>5109</v>
      </c>
      <c r="D1946" s="239">
        <v>3.5396845460470061E-2</v>
      </c>
      <c r="E1946" s="226">
        <v>0.18608310150108584</v>
      </c>
      <c r="F1946" s="226">
        <v>1.6923761032616379E-3</v>
      </c>
      <c r="G1946" s="227">
        <v>1.5609643212295314E-3</v>
      </c>
      <c r="H1946" s="226">
        <v>2.0000005732018797E-3</v>
      </c>
      <c r="I1946" s="255">
        <v>2.9214947380454661E-3</v>
      </c>
      <c r="J1946" s="256">
        <v>8.9723087955476691E-5</v>
      </c>
      <c r="K1946" s="257">
        <v>9.3779967852517096E-5</v>
      </c>
      <c r="L1946" s="228">
        <v>4.0857469068137801E-2</v>
      </c>
    </row>
    <row r="1947" spans="1:12" s="212" customFormat="1" ht="15.5" x14ac:dyDescent="0.35">
      <c r="A1947" s="198" t="s">
        <v>858</v>
      </c>
      <c r="B1947" s="197">
        <v>2019</v>
      </c>
      <c r="C1947" s="213" t="s">
        <v>5110</v>
      </c>
      <c r="D1947" s="239">
        <v>2.9097219797869032E-2</v>
      </c>
      <c r="E1947" s="226">
        <v>0.15955440602132334</v>
      </c>
      <c r="F1947" s="226">
        <v>1.6362023789690476E-3</v>
      </c>
      <c r="G1947" s="227">
        <v>1.5080591293484241E-3</v>
      </c>
      <c r="H1947" s="226">
        <v>2.0000005732018801E-3</v>
      </c>
      <c r="I1947" s="255">
        <v>2.9199320518650995E-3</v>
      </c>
      <c r="J1947" s="256">
        <v>7.6764100181858549E-5</v>
      </c>
      <c r="K1947" s="257">
        <v>8.0235032156432607E-5</v>
      </c>
      <c r="L1947" s="228">
        <v>4.0363765142453607E-2</v>
      </c>
    </row>
    <row r="1948" spans="1:12" s="212" customFormat="1" ht="15.5" x14ac:dyDescent="0.35">
      <c r="A1948" s="198" t="s">
        <v>858</v>
      </c>
      <c r="B1948" s="197">
        <v>2020</v>
      </c>
      <c r="C1948" s="213" t="s">
        <v>5111</v>
      </c>
      <c r="D1948" s="239">
        <v>2.5174794880318065E-2</v>
      </c>
      <c r="E1948" s="226">
        <v>0.14182925688552458</v>
      </c>
      <c r="F1948" s="226">
        <v>1.5877761868479123E-3</v>
      </c>
      <c r="G1948" s="227">
        <v>1.4630358261480945E-3</v>
      </c>
      <c r="H1948" s="226">
        <v>2.0000005732018801E-3</v>
      </c>
      <c r="I1948" s="255">
        <v>2.9233817237621501E-3</v>
      </c>
      <c r="J1948" s="256">
        <v>7.0732418227446341E-5</v>
      </c>
      <c r="K1948" s="257">
        <v>7.3930624309234103E-5</v>
      </c>
      <c r="L1948" s="228">
        <v>4.0334397481700396E-2</v>
      </c>
    </row>
    <row r="1949" spans="1:12" s="212" customFormat="1" ht="15.5" x14ac:dyDescent="0.35">
      <c r="A1949" s="198" t="s">
        <v>858</v>
      </c>
      <c r="B1949" s="197">
        <v>2021</v>
      </c>
      <c r="C1949" s="213" t="s">
        <v>5112</v>
      </c>
      <c r="D1949" s="239">
        <v>2.2057570374878765E-2</v>
      </c>
      <c r="E1949" s="226">
        <v>0.12554400627215093</v>
      </c>
      <c r="F1949" s="226">
        <v>1.5236822656104745E-3</v>
      </c>
      <c r="G1949" s="227">
        <v>1.4037826778603563E-3</v>
      </c>
      <c r="H1949" s="226">
        <v>2.0000005732018801E-3</v>
      </c>
      <c r="I1949" s="255">
        <v>2.9309907756584369E-3</v>
      </c>
      <c r="J1949" s="256">
        <v>6.537628055144566E-5</v>
      </c>
      <c r="K1949" s="257">
        <v>6.8332305855033705E-5</v>
      </c>
      <c r="L1949" s="228">
        <v>3.951590359270072E-2</v>
      </c>
    </row>
    <row r="1950" spans="1:12" s="212" customFormat="1" ht="15.5" x14ac:dyDescent="0.35">
      <c r="A1950" s="198" t="s">
        <v>858</v>
      </c>
      <c r="B1950" s="197">
        <v>2022</v>
      </c>
      <c r="C1950" s="213" t="s">
        <v>5113</v>
      </c>
      <c r="D1950" s="239">
        <v>1.8867682913309695E-2</v>
      </c>
      <c r="E1950" s="226">
        <v>0.10999179530318744</v>
      </c>
      <c r="F1950" s="226">
        <v>1.4553873200369954E-3</v>
      </c>
      <c r="G1950" s="227">
        <v>1.3405666592341552E-3</v>
      </c>
      <c r="H1950" s="226">
        <v>2.0000005732018801E-3</v>
      </c>
      <c r="I1950" s="255">
        <v>2.9286496118211664E-3</v>
      </c>
      <c r="J1950" s="256">
        <v>5.9387701980962602E-5</v>
      </c>
      <c r="K1950" s="257">
        <v>6.2072950335517255E-5</v>
      </c>
      <c r="L1950" s="228">
        <v>3.8895865207257671E-2</v>
      </c>
    </row>
    <row r="1951" spans="1:12" s="212" customFormat="1" ht="15.5" x14ac:dyDescent="0.35">
      <c r="A1951" s="198" t="s">
        <v>858</v>
      </c>
      <c r="B1951" s="197">
        <v>2023</v>
      </c>
      <c r="C1951" s="213" t="s">
        <v>5114</v>
      </c>
      <c r="D1951" s="239">
        <v>1.6545549737179983E-2</v>
      </c>
      <c r="E1951" s="226">
        <v>9.6795644805977604E-2</v>
      </c>
      <c r="F1951" s="226">
        <v>1.3939277434841778E-3</v>
      </c>
      <c r="G1951" s="227">
        <v>1.2838147726201188E-3</v>
      </c>
      <c r="H1951" s="226">
        <v>2.0000005732018801E-3</v>
      </c>
      <c r="I1951" s="255">
        <v>2.9273780815909944E-3</v>
      </c>
      <c r="J1951" s="256">
        <v>5.4041843978979267E-5</v>
      </c>
      <c r="K1951" s="257">
        <v>5.6485376356577731E-5</v>
      </c>
      <c r="L1951" s="228">
        <v>3.8262946527817913E-2</v>
      </c>
    </row>
    <row r="1952" spans="1:12" s="212" customFormat="1" ht="15.5" x14ac:dyDescent="0.35">
      <c r="A1952" s="198" t="s">
        <v>858</v>
      </c>
      <c r="B1952" s="197">
        <v>2024</v>
      </c>
      <c r="C1952" s="213" t="s">
        <v>5115</v>
      </c>
      <c r="D1952" s="239">
        <v>1.45179425897125E-2</v>
      </c>
      <c r="E1952" s="226">
        <v>8.5334475914066552E-2</v>
      </c>
      <c r="F1952" s="226">
        <v>1.3358842816584102E-3</v>
      </c>
      <c r="G1952" s="227">
        <v>1.2301608115699008E-3</v>
      </c>
      <c r="H1952" s="226">
        <v>2.0000005732018805E-3</v>
      </c>
      <c r="I1952" s="255">
        <v>2.9223746607481538E-3</v>
      </c>
      <c r="J1952" s="256">
        <v>4.7528448143632788E-5</v>
      </c>
      <c r="K1952" s="257">
        <v>4.9677473664322831E-5</v>
      </c>
      <c r="L1952" s="228">
        <v>3.7604310019758426E-2</v>
      </c>
    </row>
    <row r="1953" spans="1:12" s="212" customFormat="1" ht="15.5" x14ac:dyDescent="0.35">
      <c r="A1953" s="198" t="s">
        <v>858</v>
      </c>
      <c r="B1953" s="197">
        <v>2025</v>
      </c>
      <c r="C1953" s="213" t="s">
        <v>5116</v>
      </c>
      <c r="D1953" s="239">
        <v>1.2851340789118386E-2</v>
      </c>
      <c r="E1953" s="226">
        <v>7.574524933862864E-2</v>
      </c>
      <c r="F1953" s="226">
        <v>1.2885060499675709E-3</v>
      </c>
      <c r="G1953" s="227">
        <v>1.1863891190599123E-3</v>
      </c>
      <c r="H1953" s="226">
        <v>2.0000005732018801E-3</v>
      </c>
      <c r="I1953" s="255">
        <v>2.9209175079608798E-3</v>
      </c>
      <c r="J1953" s="256">
        <v>4.2451572494840309E-5</v>
      </c>
      <c r="K1953" s="257">
        <v>4.4371044226993994E-5</v>
      </c>
      <c r="L1953" s="228">
        <v>3.6910363785546643E-2</v>
      </c>
    </row>
    <row r="1954" spans="1:12" s="212" customFormat="1" ht="15.5" x14ac:dyDescent="0.35">
      <c r="A1954" s="198" t="s">
        <v>858</v>
      </c>
      <c r="B1954" s="197">
        <v>2026</v>
      </c>
      <c r="C1954" s="213" t="s">
        <v>5117</v>
      </c>
      <c r="D1954" s="239">
        <v>1.1463647371838347E-2</v>
      </c>
      <c r="E1954" s="226">
        <v>6.7716613130962916E-2</v>
      </c>
      <c r="F1954" s="226">
        <v>1.2404895806310363E-3</v>
      </c>
      <c r="G1954" s="227">
        <v>1.1420558665972838E-3</v>
      </c>
      <c r="H1954" s="226">
        <v>2.0000005732018801E-3</v>
      </c>
      <c r="I1954" s="255">
        <v>2.9194696874012081E-3</v>
      </c>
      <c r="J1954" s="256">
        <v>3.7754755009866684E-5</v>
      </c>
      <c r="K1954" s="257">
        <v>3.9461857497168738E-5</v>
      </c>
      <c r="L1954" s="228">
        <v>3.6267602166650925E-2</v>
      </c>
    </row>
    <row r="1955" spans="1:12" s="212" customFormat="1" ht="15.5" x14ac:dyDescent="0.35">
      <c r="A1955" s="198" t="s">
        <v>858</v>
      </c>
      <c r="B1955" s="197">
        <v>2027</v>
      </c>
      <c r="C1955" s="213" t="s">
        <v>5118</v>
      </c>
      <c r="D1955" s="239">
        <v>1.0263574425936213E-2</v>
      </c>
      <c r="E1955" s="226">
        <v>6.0828699377724366E-2</v>
      </c>
      <c r="F1955" s="226">
        <v>1.1814169079223463E-3</v>
      </c>
      <c r="G1955" s="227">
        <v>1.0874742595208895E-3</v>
      </c>
      <c r="H1955" s="226">
        <v>2.0000005732018805E-3</v>
      </c>
      <c r="I1955" s="255">
        <v>2.8883060533269628E-3</v>
      </c>
      <c r="J1955" s="256">
        <v>3.0927443827447102E-5</v>
      </c>
      <c r="K1955" s="257">
        <v>3.2325845598824841E-5</v>
      </c>
      <c r="L1955" s="228">
        <v>3.5710095058153951E-2</v>
      </c>
    </row>
    <row r="1956" spans="1:12" s="212" customFormat="1" ht="15.5" x14ac:dyDescent="0.35">
      <c r="A1956" s="198" t="s">
        <v>858</v>
      </c>
      <c r="B1956" s="197">
        <v>2028</v>
      </c>
      <c r="C1956" s="213" t="s">
        <v>5119</v>
      </c>
      <c r="D1956" s="239">
        <v>9.2863667219726474E-3</v>
      </c>
      <c r="E1956" s="226">
        <v>5.5111270223979637E-2</v>
      </c>
      <c r="F1956" s="226">
        <v>1.1197439508180747E-3</v>
      </c>
      <c r="G1956" s="227">
        <v>1.0305728567369487E-3</v>
      </c>
      <c r="H1956" s="226">
        <v>2.0000005732018801E-3</v>
      </c>
      <c r="I1956" s="255">
        <v>2.886816672190293E-3</v>
      </c>
      <c r="J1956" s="256">
        <v>2.5912535144663221E-5</v>
      </c>
      <c r="K1956" s="257">
        <v>2.7084184998733187E-5</v>
      </c>
      <c r="L1956" s="228">
        <v>3.5221534353871209E-2</v>
      </c>
    </row>
    <row r="1957" spans="1:12" s="212" customFormat="1" ht="15.5" x14ac:dyDescent="0.35">
      <c r="A1957" s="198" t="s">
        <v>858</v>
      </c>
      <c r="B1957" s="197">
        <v>2029</v>
      </c>
      <c r="C1957" s="213" t="s">
        <v>5120</v>
      </c>
      <c r="D1957" s="239">
        <v>8.4427367142766458E-3</v>
      </c>
      <c r="E1957" s="226">
        <v>5.0231471276677278E-2</v>
      </c>
      <c r="F1957" s="226">
        <v>1.0580956027237613E-3</v>
      </c>
      <c r="G1957" s="227">
        <v>9.7373517345566789E-4</v>
      </c>
      <c r="H1957" s="226">
        <v>2.0000005732018805E-3</v>
      </c>
      <c r="I1957" s="255">
        <v>2.8853800959127676E-3</v>
      </c>
      <c r="J1957" s="256">
        <v>2.1952282453146991E-5</v>
      </c>
      <c r="K1957" s="257">
        <v>2.294486725386763E-5</v>
      </c>
      <c r="L1957" s="228">
        <v>3.4787963757478661E-2</v>
      </c>
    </row>
    <row r="1958" spans="1:12" s="212" customFormat="1" ht="15.5" x14ac:dyDescent="0.35">
      <c r="A1958" s="198" t="s">
        <v>858</v>
      </c>
      <c r="B1958" s="197">
        <v>2030</v>
      </c>
      <c r="C1958" s="213" t="s">
        <v>5121</v>
      </c>
      <c r="D1958" s="239">
        <v>7.7454859370754787E-3</v>
      </c>
      <c r="E1958" s="226">
        <v>4.6158814935465309E-2</v>
      </c>
      <c r="F1958" s="226">
        <v>9.9972726051960909E-4</v>
      </c>
      <c r="G1958" s="227">
        <v>9.1995724883677541E-4</v>
      </c>
      <c r="H1958" s="226">
        <v>2.0000005732018797E-3</v>
      </c>
      <c r="I1958" s="255">
        <v>2.8759744584771945E-3</v>
      </c>
      <c r="J1958" s="256">
        <v>1.9119110958869593E-5</v>
      </c>
      <c r="K1958" s="257">
        <v>1.9983592316631305E-5</v>
      </c>
      <c r="L1958" s="228">
        <v>3.440432779781747E-2</v>
      </c>
    </row>
    <row r="1959" spans="1:12" s="212" customFormat="1" ht="15.5" x14ac:dyDescent="0.35">
      <c r="A1959" s="198" t="s">
        <v>858</v>
      </c>
      <c r="B1959" s="197">
        <v>2031</v>
      </c>
      <c r="C1959" s="213" t="s">
        <v>5122</v>
      </c>
      <c r="D1959" s="239">
        <v>7.133702618783596E-3</v>
      </c>
      <c r="E1959" s="226">
        <v>4.2561941927089141E-2</v>
      </c>
      <c r="F1959" s="226">
        <v>9.4327830295723371E-4</v>
      </c>
      <c r="G1959" s="227">
        <v>8.6798506476963664E-4</v>
      </c>
      <c r="H1959" s="226">
        <v>2.0000005732018801E-3</v>
      </c>
      <c r="I1959" s="255">
        <v>2.8723409168978507E-3</v>
      </c>
      <c r="J1959" s="256">
        <v>1.7336612099885627E-5</v>
      </c>
      <c r="K1959" s="257">
        <v>1.8120496768965647E-5</v>
      </c>
      <c r="L1959" s="228">
        <v>3.4128839286315563E-2</v>
      </c>
    </row>
    <row r="1960" spans="1:12" s="212" customFormat="1" ht="15.5" x14ac:dyDescent="0.35">
      <c r="A1960" s="198" t="s">
        <v>858</v>
      </c>
      <c r="B1960" s="197">
        <v>2032</v>
      </c>
      <c r="C1960" s="213" t="s">
        <v>5123</v>
      </c>
      <c r="D1960" s="239">
        <v>6.5784887506536369E-3</v>
      </c>
      <c r="E1960" s="226">
        <v>3.9466398158358784E-2</v>
      </c>
      <c r="F1960" s="226">
        <v>8.8542038367964311E-4</v>
      </c>
      <c r="G1960" s="227">
        <v>8.14717446151036E-4</v>
      </c>
      <c r="H1960" s="226">
        <v>2.0000005732018805E-3</v>
      </c>
      <c r="I1960" s="255">
        <v>2.8637507227095636E-3</v>
      </c>
      <c r="J1960" s="256">
        <v>1.5555492426367361E-5</v>
      </c>
      <c r="K1960" s="257">
        <v>1.6258842767412364E-5</v>
      </c>
      <c r="L1960" s="228">
        <v>3.3823194238446458E-2</v>
      </c>
    </row>
    <row r="1961" spans="1:12" s="212" customFormat="1" ht="15.5" x14ac:dyDescent="0.35">
      <c r="A1961" s="198" t="s">
        <v>858</v>
      </c>
      <c r="B1961" s="197">
        <v>2033</v>
      </c>
      <c r="C1961" s="213" t="s">
        <v>5124</v>
      </c>
      <c r="D1961" s="239">
        <v>6.0965286516536056E-3</v>
      </c>
      <c r="E1961" s="226">
        <v>3.676906031429053E-2</v>
      </c>
      <c r="F1961" s="226">
        <v>8.3197687815609353E-4</v>
      </c>
      <c r="G1961" s="227">
        <v>7.6552801342120687E-4</v>
      </c>
      <c r="H1961" s="226">
        <v>2.0000005732018805E-3</v>
      </c>
      <c r="I1961" s="255">
        <v>2.8623702905545266E-3</v>
      </c>
      <c r="J1961" s="256">
        <v>1.4269597799067794E-5</v>
      </c>
      <c r="K1961" s="257">
        <v>1.4914805691139207E-5</v>
      </c>
      <c r="L1961" s="228">
        <v>3.3551634593553217E-2</v>
      </c>
    </row>
    <row r="1962" spans="1:12" s="212" customFormat="1" ht="15.5" x14ac:dyDescent="0.35">
      <c r="A1962" s="198" t="s">
        <v>858</v>
      </c>
      <c r="B1962" s="197">
        <v>2034</v>
      </c>
      <c r="C1962" s="213" t="s">
        <v>5125</v>
      </c>
      <c r="D1962" s="239">
        <v>5.6621795956299809E-3</v>
      </c>
      <c r="E1962" s="226">
        <v>3.4437541094444732E-2</v>
      </c>
      <c r="F1962" s="226">
        <v>7.8085165037406054E-4</v>
      </c>
      <c r="G1962" s="227">
        <v>7.1847414916278551E-4</v>
      </c>
      <c r="H1962" s="226">
        <v>2.0000005732018801E-3</v>
      </c>
      <c r="I1962" s="255">
        <v>2.8610041149001648E-3</v>
      </c>
      <c r="J1962" s="256">
        <v>1.3086305004948132E-5</v>
      </c>
      <c r="K1962" s="257">
        <v>1.3678009647653472E-5</v>
      </c>
      <c r="L1962" s="228">
        <v>3.3310957668919887E-2</v>
      </c>
    </row>
    <row r="1963" spans="1:12" s="212" customFormat="1" ht="15.5" x14ac:dyDescent="0.35">
      <c r="A1963" s="198" t="s">
        <v>858</v>
      </c>
      <c r="B1963" s="197">
        <v>2035</v>
      </c>
      <c r="C1963" s="213" t="s">
        <v>5126</v>
      </c>
      <c r="D1963" s="239">
        <v>5.2801005704683959E-3</v>
      </c>
      <c r="E1963" s="226">
        <v>3.2455388097279478E-2</v>
      </c>
      <c r="F1963" s="226">
        <v>7.3293082229997368E-4</v>
      </c>
      <c r="G1963" s="227">
        <v>6.7436720895671677E-4</v>
      </c>
      <c r="H1963" s="226">
        <v>2.0000005732018797E-3</v>
      </c>
      <c r="I1963" s="255">
        <v>2.8596865860831141E-3</v>
      </c>
      <c r="J1963" s="256">
        <v>1.1918329462263828E-5</v>
      </c>
      <c r="K1963" s="257">
        <v>1.2457223433743676E-5</v>
      </c>
      <c r="L1963" s="228">
        <v>3.3099192413768179E-2</v>
      </c>
    </row>
    <row r="1964" spans="1:12" s="212" customFormat="1" ht="15.5" x14ac:dyDescent="0.35">
      <c r="A1964" s="198" t="s">
        <v>858</v>
      </c>
      <c r="B1964" s="197">
        <v>2036</v>
      </c>
      <c r="C1964" s="213" t="s">
        <v>5127</v>
      </c>
      <c r="D1964" s="239">
        <v>4.9481927317461078E-3</v>
      </c>
      <c r="E1964" s="226">
        <v>3.077517543171919E-2</v>
      </c>
      <c r="F1964" s="226">
        <v>6.907465703177982E-4</v>
      </c>
      <c r="G1964" s="227">
        <v>6.355416918426384E-4</v>
      </c>
      <c r="H1964" s="226">
        <v>2.0000005732018801E-3</v>
      </c>
      <c r="I1964" s="255">
        <v>2.858426149408887E-3</v>
      </c>
      <c r="J1964" s="256">
        <v>1.092624260371301E-5</v>
      </c>
      <c r="K1964" s="257">
        <v>1.1420278809769435E-5</v>
      </c>
      <c r="L1964" s="228">
        <v>3.2913474793884769E-2</v>
      </c>
    </row>
    <row r="1965" spans="1:12" s="212" customFormat="1" ht="15.5" x14ac:dyDescent="0.35">
      <c r="A1965" s="198" t="s">
        <v>858</v>
      </c>
      <c r="B1965" s="197">
        <v>2037</v>
      </c>
      <c r="C1965" s="213" t="s">
        <v>5128</v>
      </c>
      <c r="D1965" s="239">
        <v>4.6525368351667895E-3</v>
      </c>
      <c r="E1965" s="226">
        <v>2.9313498044097292E-2</v>
      </c>
      <c r="F1965" s="226">
        <v>6.5238035299094066E-4</v>
      </c>
      <c r="G1965" s="227">
        <v>6.0023199323891397E-4</v>
      </c>
      <c r="H1965" s="226">
        <v>2.0000005732018805E-3</v>
      </c>
      <c r="I1965" s="255">
        <v>2.8572521203763953E-3</v>
      </c>
      <c r="J1965" s="256">
        <v>1.0069581566782765E-5</v>
      </c>
      <c r="K1965" s="257">
        <v>1.052488336212625E-5</v>
      </c>
      <c r="L1965" s="228">
        <v>3.2752532814556118E-2</v>
      </c>
    </row>
    <row r="1966" spans="1:12" s="212" customFormat="1" ht="15.5" x14ac:dyDescent="0.35">
      <c r="A1966" s="198" t="s">
        <v>858</v>
      </c>
      <c r="B1966" s="197">
        <v>2038</v>
      </c>
      <c r="C1966" s="213" t="s">
        <v>5129</v>
      </c>
      <c r="D1966" s="239">
        <v>4.3890726614901378E-3</v>
      </c>
      <c r="E1966" s="226">
        <v>2.8026903134518853E-2</v>
      </c>
      <c r="F1966" s="226">
        <v>6.1742479932039372E-4</v>
      </c>
      <c r="G1966" s="227">
        <v>5.6806156828822553E-4</v>
      </c>
      <c r="H1966" s="226">
        <v>2.0000005732018801E-3</v>
      </c>
      <c r="I1966" s="255">
        <v>2.8205721037315467E-3</v>
      </c>
      <c r="J1966" s="256">
        <v>9.2974707149334089E-6</v>
      </c>
      <c r="K1966" s="257">
        <v>9.7178610837474254E-6</v>
      </c>
      <c r="L1966" s="228">
        <v>3.2614267212549432E-2</v>
      </c>
    </row>
    <row r="1967" spans="1:12" s="212" customFormat="1" ht="15.5" x14ac:dyDescent="0.35">
      <c r="A1967" s="198" t="s">
        <v>858</v>
      </c>
      <c r="B1967" s="197">
        <v>2039</v>
      </c>
      <c r="C1967" s="213" t="s">
        <v>5130</v>
      </c>
      <c r="D1967" s="239">
        <v>4.1280008436861484E-3</v>
      </c>
      <c r="E1967" s="226">
        <v>2.6776640387553664E-2</v>
      </c>
      <c r="F1967" s="226">
        <v>5.8641221871402402E-4</v>
      </c>
      <c r="G1967" s="227">
        <v>5.3952173035284575E-4</v>
      </c>
      <c r="H1967" s="226">
        <v>2.0000005732018805E-3</v>
      </c>
      <c r="I1967" s="255">
        <v>2.8196437846458051E-3</v>
      </c>
      <c r="J1967" s="256">
        <v>8.6580202271066065E-6</v>
      </c>
      <c r="K1967" s="257">
        <v>9.0494974823806222E-6</v>
      </c>
      <c r="L1967" s="228">
        <v>3.2496220474418032E-2</v>
      </c>
    </row>
    <row r="1968" spans="1:12" s="212" customFormat="1" ht="15.5" x14ac:dyDescent="0.35">
      <c r="A1968" s="198" t="s">
        <v>858</v>
      </c>
      <c r="B1968" s="197">
        <v>2040</v>
      </c>
      <c r="C1968" s="213" t="s">
        <v>5131</v>
      </c>
      <c r="D1968" s="239">
        <v>3.9078410640386628E-3</v>
      </c>
      <c r="E1968" s="226">
        <v>2.5748175452230175E-2</v>
      </c>
      <c r="F1968" s="226">
        <v>5.5932425155796677E-4</v>
      </c>
      <c r="G1968" s="227">
        <v>5.1459389177801866E-4</v>
      </c>
      <c r="H1968" s="226">
        <v>2.0000005732018801E-3</v>
      </c>
      <c r="I1968" s="255">
        <v>2.8188524127949624E-3</v>
      </c>
      <c r="J1968" s="256">
        <v>8.1074276980024911E-6</v>
      </c>
      <c r="K1968" s="257">
        <v>8.4740096023285814E-6</v>
      </c>
      <c r="L1968" s="228">
        <v>3.2397045581227364E-2</v>
      </c>
    </row>
    <row r="1969" spans="1:12" s="212" customFormat="1" ht="15.5" x14ac:dyDescent="0.35">
      <c r="A1969" s="198" t="s">
        <v>858</v>
      </c>
      <c r="B1969" s="197">
        <v>2041</v>
      </c>
      <c r="C1969" s="213" t="s">
        <v>5132</v>
      </c>
      <c r="D1969" s="239">
        <v>3.7482845916174878E-3</v>
      </c>
      <c r="E1969" s="226">
        <v>2.4926966111078461E-2</v>
      </c>
      <c r="F1969" s="226">
        <v>5.381740034288775E-4</v>
      </c>
      <c r="G1969" s="227">
        <v>4.9512921810763327E-4</v>
      </c>
      <c r="H1969" s="226">
        <v>2.0000005732018801E-3</v>
      </c>
      <c r="I1969" s="255">
        <v>2.818211725905473E-3</v>
      </c>
      <c r="J1969" s="256">
        <v>7.650550968202673E-6</v>
      </c>
      <c r="K1969" s="257">
        <v>7.9964749341676951E-6</v>
      </c>
      <c r="L1969" s="228">
        <v>3.2315105350625442E-2</v>
      </c>
    </row>
    <row r="1970" spans="1:12" s="212" customFormat="1" ht="15.5" x14ac:dyDescent="0.35">
      <c r="A1970" s="198" t="s">
        <v>858</v>
      </c>
      <c r="B1970" s="197">
        <v>2042</v>
      </c>
      <c r="C1970" s="213" t="s">
        <v>5133</v>
      </c>
      <c r="D1970" s="239">
        <v>3.6021043457698642E-3</v>
      </c>
      <c r="E1970" s="226">
        <v>2.412055774325755E-2</v>
      </c>
      <c r="F1970" s="226">
        <v>5.1993889614013178E-4</v>
      </c>
      <c r="G1970" s="227">
        <v>4.7834819600056877E-4</v>
      </c>
      <c r="H1970" s="226">
        <v>2.0000005732018797E-3</v>
      </c>
      <c r="I1970" s="255">
        <v>2.8176426061762329E-3</v>
      </c>
      <c r="J1970" s="256">
        <v>7.2780408757949732E-6</v>
      </c>
      <c r="K1970" s="257">
        <v>7.6071215883703486E-6</v>
      </c>
      <c r="L1970" s="228">
        <v>3.2247338764542437E-2</v>
      </c>
    </row>
    <row r="1971" spans="1:12" s="212" customFormat="1" ht="15.5" x14ac:dyDescent="0.35">
      <c r="A1971" s="198" t="s">
        <v>858</v>
      </c>
      <c r="B1971" s="197">
        <v>2043</v>
      </c>
      <c r="C1971" s="213" t="s">
        <v>5134</v>
      </c>
      <c r="D1971" s="239">
        <v>3.4914642775160263E-3</v>
      </c>
      <c r="E1971" s="226">
        <v>2.3462777631062828E-2</v>
      </c>
      <c r="F1971" s="226">
        <v>5.0451436614758454E-4</v>
      </c>
      <c r="G1971" s="227">
        <v>4.6415452552746512E-4</v>
      </c>
      <c r="H1971" s="226">
        <v>2.0000005732018801E-3</v>
      </c>
      <c r="I1971" s="255">
        <v>2.8172075430995349E-3</v>
      </c>
      <c r="J1971" s="256">
        <v>6.985852281460572E-6</v>
      </c>
      <c r="K1971" s="257">
        <v>7.3017215223678417E-6</v>
      </c>
      <c r="L1971" s="228">
        <v>3.2192016828893569E-2</v>
      </c>
    </row>
    <row r="1972" spans="1:12" s="212" customFormat="1" ht="15.5" x14ac:dyDescent="0.35">
      <c r="A1972" s="198" t="s">
        <v>858</v>
      </c>
      <c r="B1972" s="197">
        <v>2044</v>
      </c>
      <c r="C1972" s="213" t="s">
        <v>5135</v>
      </c>
      <c r="D1972" s="239">
        <v>3.3994225137604825E-3</v>
      </c>
      <c r="E1972" s="226">
        <v>2.2814667744991704E-2</v>
      </c>
      <c r="F1972" s="226">
        <v>4.9137106250151297E-4</v>
      </c>
      <c r="G1972" s="227">
        <v>4.5206014999255365E-4</v>
      </c>
      <c r="H1972" s="226">
        <v>2.0000005732018797E-3</v>
      </c>
      <c r="I1972" s="255">
        <v>2.8168386918579059E-3</v>
      </c>
      <c r="J1972" s="256">
        <v>6.7396438435496089E-6</v>
      </c>
      <c r="K1972" s="257">
        <v>7.0443806314283077E-6</v>
      </c>
      <c r="L1972" s="228">
        <v>3.2146847350653866E-2</v>
      </c>
    </row>
    <row r="1973" spans="1:12" s="212" customFormat="1" ht="15.5" x14ac:dyDescent="0.35">
      <c r="A1973" s="198" t="s">
        <v>858</v>
      </c>
      <c r="B1973" s="197">
        <v>2045</v>
      </c>
      <c r="C1973" s="213" t="s">
        <v>5136</v>
      </c>
      <c r="D1973" s="239">
        <v>3.3263962900601024E-3</v>
      </c>
      <c r="E1973" s="226">
        <v>2.2213462196780741E-2</v>
      </c>
      <c r="F1973" s="226">
        <v>4.802271515219797E-4</v>
      </c>
      <c r="G1973" s="227">
        <v>4.4180596594276856E-4</v>
      </c>
      <c r="H1973" s="226">
        <v>2.0000005732018801E-3</v>
      </c>
      <c r="I1973" s="255">
        <v>2.8165439208817267E-3</v>
      </c>
      <c r="J1973" s="256">
        <v>6.5402423075880305E-6</v>
      </c>
      <c r="K1973" s="257">
        <v>6.8359630428417414E-6</v>
      </c>
      <c r="L1973" s="228">
        <v>3.2109677278173439E-2</v>
      </c>
    </row>
    <row r="1974" spans="1:12" s="212" customFormat="1" ht="15.5" x14ac:dyDescent="0.35">
      <c r="A1974" s="198" t="s">
        <v>858</v>
      </c>
      <c r="B1974" s="197">
        <v>2046</v>
      </c>
      <c r="C1974" s="213" t="s">
        <v>5137</v>
      </c>
      <c r="D1974" s="239">
        <v>3.255310350502842E-3</v>
      </c>
      <c r="E1974" s="226">
        <v>2.162052833555534E-2</v>
      </c>
      <c r="F1974" s="226">
        <v>4.7087218197739263E-4</v>
      </c>
      <c r="G1974" s="227">
        <v>4.331985464536223E-4</v>
      </c>
      <c r="H1974" s="226">
        <v>2.0000005732018805E-3</v>
      </c>
      <c r="I1974" s="255">
        <v>2.8162946190133935E-3</v>
      </c>
      <c r="J1974" s="256">
        <v>6.3895780915193439E-6</v>
      </c>
      <c r="K1974" s="257">
        <v>6.6784864594849863E-6</v>
      </c>
      <c r="L1974" s="228">
        <v>3.2079985001061496E-2</v>
      </c>
    </row>
    <row r="1975" spans="1:12" s="212" customFormat="1" ht="15.5" x14ac:dyDescent="0.35">
      <c r="A1975" s="198" t="s">
        <v>858</v>
      </c>
      <c r="B1975" s="197">
        <v>2047</v>
      </c>
      <c r="C1975" s="213" t="s">
        <v>5138</v>
      </c>
      <c r="D1975" s="239">
        <v>3.1939239735852098E-3</v>
      </c>
      <c r="E1975" s="226">
        <v>2.1102311513855075E-2</v>
      </c>
      <c r="F1975" s="226">
        <v>4.6311541471811082E-4</v>
      </c>
      <c r="G1975" s="227">
        <v>4.2606131676743155E-4</v>
      </c>
      <c r="H1975" s="226">
        <v>2.0000005732018801E-3</v>
      </c>
      <c r="I1975" s="255">
        <v>2.8161245049934678E-3</v>
      </c>
      <c r="J1975" s="256">
        <v>6.2569257833350678E-6</v>
      </c>
      <c r="K1975" s="257">
        <v>6.5398362025605201E-6</v>
      </c>
      <c r="L1975" s="228">
        <v>3.2055955763942726E-2</v>
      </c>
    </row>
    <row r="1976" spans="1:12" s="212" customFormat="1" ht="15.5" x14ac:dyDescent="0.35">
      <c r="A1976" s="198" t="s">
        <v>858</v>
      </c>
      <c r="B1976" s="197">
        <v>2048</v>
      </c>
      <c r="C1976" s="213" t="s">
        <v>5139</v>
      </c>
      <c r="D1976" s="239">
        <v>3.1443494594410107E-3</v>
      </c>
      <c r="E1976" s="226">
        <v>2.0690351300959593E-2</v>
      </c>
      <c r="F1976" s="226">
        <v>4.5670021057798706E-4</v>
      </c>
      <c r="G1976" s="227">
        <v>4.2015874584667176E-4</v>
      </c>
      <c r="H1976" s="226">
        <v>2.0000005732018801E-3</v>
      </c>
      <c r="I1976" s="255">
        <v>2.8160225642032775E-3</v>
      </c>
      <c r="J1976" s="256">
        <v>6.1535577165924099E-6</v>
      </c>
      <c r="K1976" s="257">
        <v>6.4317942905287546E-6</v>
      </c>
      <c r="L1976" s="228">
        <v>3.2036764467653904E-2</v>
      </c>
    </row>
    <row r="1977" spans="1:12" s="212" customFormat="1" ht="15.5" x14ac:dyDescent="0.35">
      <c r="A1977" s="198" t="s">
        <v>858</v>
      </c>
      <c r="B1977" s="197">
        <v>2049</v>
      </c>
      <c r="C1977" s="213" t="s">
        <v>5140</v>
      </c>
      <c r="D1977" s="239">
        <v>3.1342253507649106E-3</v>
      </c>
      <c r="E1977" s="226">
        <v>2.0649329956455326E-2</v>
      </c>
      <c r="F1977" s="226">
        <v>4.5276510886507846E-4</v>
      </c>
      <c r="G1977" s="227">
        <v>4.1653753478769793E-4</v>
      </c>
      <c r="H1977" s="226">
        <v>2.0000005732018801E-3</v>
      </c>
      <c r="I1977" s="255">
        <v>2.8159664846309751E-3</v>
      </c>
      <c r="J1977" s="256">
        <v>6.0757839481113409E-6</v>
      </c>
      <c r="K1977" s="257">
        <v>6.3505039373529669E-6</v>
      </c>
      <c r="L1977" s="228">
        <v>3.2021156338651997E-2</v>
      </c>
    </row>
    <row r="1978" spans="1:12" s="212" customFormat="1" ht="15.5" x14ac:dyDescent="0.35">
      <c r="A1978" s="198" t="s">
        <v>858</v>
      </c>
      <c r="B1978" s="197">
        <v>2050</v>
      </c>
      <c r="C1978" s="213" t="s">
        <v>5141</v>
      </c>
      <c r="D1978" s="239">
        <v>3.1263818189599907E-3</v>
      </c>
      <c r="E1978" s="226">
        <v>2.0613156708086052E-2</v>
      </c>
      <c r="F1978" s="226">
        <v>4.494191342946526E-4</v>
      </c>
      <c r="G1978" s="227">
        <v>4.1345087665590303E-4</v>
      </c>
      <c r="H1978" s="226">
        <v>2.0000005732018797E-3</v>
      </c>
      <c r="I1978" s="255">
        <v>2.8159790781436297E-3</v>
      </c>
      <c r="J1978" s="256">
        <v>5.8150736130161499E-6</v>
      </c>
      <c r="K1978" s="257">
        <v>6.0780054377897576E-6</v>
      </c>
      <c r="L1978" s="228">
        <v>3.2009420384004443E-2</v>
      </c>
    </row>
    <row r="1979" spans="1:12" s="212" customFormat="1" ht="15.5" x14ac:dyDescent="0.35">
      <c r="A1979" s="198" t="s">
        <v>859</v>
      </c>
      <c r="B1979" s="197">
        <v>2015</v>
      </c>
      <c r="C1979" s="213" t="s">
        <v>967</v>
      </c>
      <c r="D1979" s="239">
        <v>0.1072628735483156</v>
      </c>
      <c r="E1979" s="226">
        <v>0.41878897070994076</v>
      </c>
      <c r="F1979" s="226">
        <v>3.4800395171871905E-3</v>
      </c>
      <c r="G1979" s="227">
        <v>3.2180151380672042E-3</v>
      </c>
      <c r="H1979" s="226">
        <v>2.0000005732018801E-3</v>
      </c>
      <c r="I1979" s="255">
        <v>3.4977873646098168E-3</v>
      </c>
      <c r="J1979" s="256">
        <v>2.6161969462602737E-4</v>
      </c>
      <c r="K1979" s="257">
        <v>2.7344897629681512E-4</v>
      </c>
      <c r="L1979" s="228">
        <v>4.427327778159431E-2</v>
      </c>
    </row>
    <row r="1980" spans="1:12" s="212" customFormat="1" ht="15.5" x14ac:dyDescent="0.35">
      <c r="A1980" s="198" t="s">
        <v>859</v>
      </c>
      <c r="B1980" s="197">
        <v>2016</v>
      </c>
      <c r="C1980" s="213" t="s">
        <v>968</v>
      </c>
      <c r="D1980" s="239">
        <v>9.8021961888838799E-2</v>
      </c>
      <c r="E1980" s="226">
        <v>0.39461414020709229</v>
      </c>
      <c r="F1980" s="226">
        <v>3.3172446507727452E-3</v>
      </c>
      <c r="G1980" s="227">
        <v>3.0662923208484979E-3</v>
      </c>
      <c r="H1980" s="226">
        <v>2.0000005732018801E-3</v>
      </c>
      <c r="I1980" s="255">
        <v>3.5028867703269149E-3</v>
      </c>
      <c r="J1980" s="256">
        <v>2.4949885904111663E-4</v>
      </c>
      <c r="K1980" s="257">
        <v>2.6078009031216601E-4</v>
      </c>
      <c r="L1980" s="228">
        <v>4.3297314254360994E-2</v>
      </c>
    </row>
    <row r="1981" spans="1:12" s="212" customFormat="1" ht="15.5" x14ac:dyDescent="0.35">
      <c r="A1981" s="198" t="s">
        <v>859</v>
      </c>
      <c r="B1981" s="197">
        <v>2017</v>
      </c>
      <c r="C1981" s="213" t="s">
        <v>5142</v>
      </c>
      <c r="D1981" s="239">
        <v>7.9741587914736428E-2</v>
      </c>
      <c r="E1981" s="226">
        <v>0.33416666068712619</v>
      </c>
      <c r="F1981" s="226">
        <v>2.9689591961367715E-3</v>
      </c>
      <c r="G1981" s="227">
        <v>2.7425394295502235E-3</v>
      </c>
      <c r="H1981" s="226">
        <v>2.0000005732018797E-3</v>
      </c>
      <c r="I1981" s="255">
        <v>3.4986157251801456E-3</v>
      </c>
      <c r="J1981" s="256">
        <v>2.1477310718107223E-4</v>
      </c>
      <c r="K1981" s="257">
        <v>2.2448419404625216E-4</v>
      </c>
      <c r="L1981" s="228">
        <v>4.3069042459849501E-2</v>
      </c>
    </row>
    <row r="1982" spans="1:12" s="212" customFormat="1" ht="15.5" x14ac:dyDescent="0.35">
      <c r="A1982" s="198" t="s">
        <v>859</v>
      </c>
      <c r="B1982" s="197">
        <v>2018</v>
      </c>
      <c r="C1982" s="213" t="s">
        <v>5143</v>
      </c>
      <c r="D1982" s="239">
        <v>6.9292171540759312E-2</v>
      </c>
      <c r="E1982" s="226">
        <v>0.29898446090704411</v>
      </c>
      <c r="F1982" s="226">
        <v>2.793446260291735E-3</v>
      </c>
      <c r="G1982" s="227">
        <v>2.5788643679250591E-3</v>
      </c>
      <c r="H1982" s="226">
        <v>2.0000005732018801E-3</v>
      </c>
      <c r="I1982" s="255">
        <v>3.5012646758437599E-3</v>
      </c>
      <c r="J1982" s="256">
        <v>1.8696472735819499E-4</v>
      </c>
      <c r="K1982" s="257">
        <v>1.9541844268564248E-4</v>
      </c>
      <c r="L1982" s="228">
        <v>4.2577872261278113E-2</v>
      </c>
    </row>
    <row r="1983" spans="1:12" s="212" customFormat="1" ht="15.5" x14ac:dyDescent="0.35">
      <c r="A1983" s="198" t="s">
        <v>859</v>
      </c>
      <c r="B1983" s="197">
        <v>2019</v>
      </c>
      <c r="C1983" s="213" t="s">
        <v>5144</v>
      </c>
      <c r="D1983" s="239">
        <v>5.9040129623519913E-2</v>
      </c>
      <c r="E1983" s="226">
        <v>0.2606143618356731</v>
      </c>
      <c r="F1983" s="226">
        <v>2.6576259197695542E-3</v>
      </c>
      <c r="G1983" s="227">
        <v>2.4521963075229236E-3</v>
      </c>
      <c r="H1983" s="226">
        <v>2.0000005732018801E-3</v>
      </c>
      <c r="I1983" s="255">
        <v>3.5007075146459925E-3</v>
      </c>
      <c r="J1983" s="256">
        <v>1.6806188856327147E-4</v>
      </c>
      <c r="K1983" s="257">
        <v>1.7566090140051736E-4</v>
      </c>
      <c r="L1983" s="228">
        <v>4.1834424825048497E-2</v>
      </c>
    </row>
    <row r="1984" spans="1:12" s="212" customFormat="1" ht="15.5" x14ac:dyDescent="0.35">
      <c r="A1984" s="198" t="s">
        <v>859</v>
      </c>
      <c r="B1984" s="197">
        <v>2020</v>
      </c>
      <c r="C1984" s="213" t="s">
        <v>5145</v>
      </c>
      <c r="D1984" s="239">
        <v>5.2189907068138017E-2</v>
      </c>
      <c r="E1984" s="226">
        <v>0.23574090655352098</v>
      </c>
      <c r="F1984" s="226">
        <v>2.538122652837167E-3</v>
      </c>
      <c r="G1984" s="227">
        <v>2.3412539868581527E-3</v>
      </c>
      <c r="H1984" s="226">
        <v>2.0000005732018801E-3</v>
      </c>
      <c r="I1984" s="255">
        <v>3.5065960276439915E-3</v>
      </c>
      <c r="J1984" s="256">
        <v>1.543388306604423E-4</v>
      </c>
      <c r="K1984" s="257">
        <v>1.6131734771448951E-4</v>
      </c>
      <c r="L1984" s="228">
        <v>4.1551213385662859E-2</v>
      </c>
    </row>
    <row r="1985" spans="1:12" s="212" customFormat="1" ht="15.5" x14ac:dyDescent="0.35">
      <c r="A1985" s="198" t="s">
        <v>859</v>
      </c>
      <c r="B1985" s="197">
        <v>2021</v>
      </c>
      <c r="C1985" s="213" t="s">
        <v>5146</v>
      </c>
      <c r="D1985" s="239">
        <v>4.5689592053606017E-2</v>
      </c>
      <c r="E1985" s="226">
        <v>0.21065794109922417</v>
      </c>
      <c r="F1985" s="226">
        <v>2.396196870862431E-3</v>
      </c>
      <c r="G1985" s="227">
        <v>2.2098418112476721E-3</v>
      </c>
      <c r="H1985" s="226">
        <v>2.0000005732018801E-3</v>
      </c>
      <c r="I1985" s="255">
        <v>3.5087921569654629E-3</v>
      </c>
      <c r="J1985" s="256">
        <v>1.4197843940064734E-4</v>
      </c>
      <c r="K1985" s="257">
        <v>1.4839807441035025E-4</v>
      </c>
      <c r="L1985" s="228">
        <v>4.073925587414419E-2</v>
      </c>
    </row>
    <row r="1986" spans="1:12" s="212" customFormat="1" ht="15.5" x14ac:dyDescent="0.35">
      <c r="A1986" s="198" t="s">
        <v>859</v>
      </c>
      <c r="B1986" s="197">
        <v>2022</v>
      </c>
      <c r="C1986" s="213" t="s">
        <v>5147</v>
      </c>
      <c r="D1986" s="239">
        <v>3.8081353561354142E-2</v>
      </c>
      <c r="E1986" s="226">
        <v>0.18516535804318082</v>
      </c>
      <c r="F1986" s="226">
        <v>2.2515262776144009E-3</v>
      </c>
      <c r="G1986" s="227">
        <v>2.0755614046026384E-3</v>
      </c>
      <c r="H1986" s="226">
        <v>2.0000005732018805E-3</v>
      </c>
      <c r="I1986" s="255">
        <v>3.506373225856345E-3</v>
      </c>
      <c r="J1986" s="256">
        <v>1.2941368846783549E-4</v>
      </c>
      <c r="K1986" s="257">
        <v>1.3526520119561353E-4</v>
      </c>
      <c r="L1986" s="228">
        <v>4.0039328605597078E-2</v>
      </c>
    </row>
    <row r="1987" spans="1:12" s="212" customFormat="1" ht="15.5" x14ac:dyDescent="0.35">
      <c r="A1987" s="198" t="s">
        <v>859</v>
      </c>
      <c r="B1987" s="197">
        <v>2023</v>
      </c>
      <c r="C1987" s="213" t="s">
        <v>5148</v>
      </c>
      <c r="D1987" s="239">
        <v>3.324679256534907E-2</v>
      </c>
      <c r="E1987" s="226">
        <v>0.16359725578006509</v>
      </c>
      <c r="F1987" s="226">
        <v>2.111531332137412E-3</v>
      </c>
      <c r="G1987" s="227">
        <v>1.9462841496418457E-3</v>
      </c>
      <c r="H1987" s="226">
        <v>2.0000005732018797E-3</v>
      </c>
      <c r="I1987" s="255">
        <v>3.5023923553878199E-3</v>
      </c>
      <c r="J1987" s="256">
        <v>1.1922500352391269E-4</v>
      </c>
      <c r="K1987" s="257">
        <v>1.2461582913014606E-4</v>
      </c>
      <c r="L1987" s="228">
        <v>3.9297855734055601E-2</v>
      </c>
    </row>
    <row r="1988" spans="1:12" s="212" customFormat="1" ht="15.5" x14ac:dyDescent="0.35">
      <c r="A1988" s="198" t="s">
        <v>859</v>
      </c>
      <c r="B1988" s="197">
        <v>2024</v>
      </c>
      <c r="C1988" s="213" t="s">
        <v>5149</v>
      </c>
      <c r="D1988" s="239">
        <v>2.9117442057895203E-2</v>
      </c>
      <c r="E1988" s="226">
        <v>0.14481312272597457</v>
      </c>
      <c r="F1988" s="226">
        <v>1.9871401037028849E-3</v>
      </c>
      <c r="G1988" s="227">
        <v>1.8313432950575245E-3</v>
      </c>
      <c r="H1988" s="226">
        <v>2.0000005732018801E-3</v>
      </c>
      <c r="I1988" s="255">
        <v>3.4979658654422791E-3</v>
      </c>
      <c r="J1988" s="256">
        <v>1.0786672264592696E-4</v>
      </c>
      <c r="K1988" s="257">
        <v>1.1274397719248306E-4</v>
      </c>
      <c r="L1988" s="228">
        <v>3.8522958280398305E-2</v>
      </c>
    </row>
    <row r="1989" spans="1:12" s="212" customFormat="1" ht="15.5" x14ac:dyDescent="0.35">
      <c r="A1989" s="198" t="s">
        <v>859</v>
      </c>
      <c r="B1989" s="197">
        <v>2025</v>
      </c>
      <c r="C1989" s="213" t="s">
        <v>5150</v>
      </c>
      <c r="D1989" s="239">
        <v>2.589345354959063E-2</v>
      </c>
      <c r="E1989" s="226">
        <v>0.12941884853087185</v>
      </c>
      <c r="F1989" s="226">
        <v>1.8909943736393471E-3</v>
      </c>
      <c r="G1989" s="227">
        <v>1.7425168066252711E-3</v>
      </c>
      <c r="H1989" s="226">
        <v>2.0000005732018801E-3</v>
      </c>
      <c r="I1989" s="255">
        <v>3.4933035780086484E-3</v>
      </c>
      <c r="J1989" s="256">
        <v>9.7861249833750439E-5</v>
      </c>
      <c r="K1989" s="257">
        <v>1.02286101298368E-4</v>
      </c>
      <c r="L1989" s="228">
        <v>3.7719255085191826E-2</v>
      </c>
    </row>
    <row r="1990" spans="1:12" s="212" customFormat="1" ht="15.5" x14ac:dyDescent="0.35">
      <c r="A1990" s="198" t="s">
        <v>859</v>
      </c>
      <c r="B1990" s="197">
        <v>2026</v>
      </c>
      <c r="C1990" s="213" t="s">
        <v>5151</v>
      </c>
      <c r="D1990" s="239">
        <v>2.3170654346516897E-2</v>
      </c>
      <c r="E1990" s="226">
        <v>0.11625686900188179</v>
      </c>
      <c r="F1990" s="226">
        <v>1.8039244629477265E-3</v>
      </c>
      <c r="G1990" s="227">
        <v>1.6620935652655899E-3</v>
      </c>
      <c r="H1990" s="226">
        <v>2.0000005732018805E-3</v>
      </c>
      <c r="I1990" s="255">
        <v>3.4883698541566402E-3</v>
      </c>
      <c r="J1990" s="256">
        <v>8.8555586451649607E-5</v>
      </c>
      <c r="K1990" s="257">
        <v>9.2559677111398003E-5</v>
      </c>
      <c r="L1990" s="228">
        <v>3.6855057819071217E-2</v>
      </c>
    </row>
    <row r="1991" spans="1:12" s="212" customFormat="1" ht="15.5" x14ac:dyDescent="0.35">
      <c r="A1991" s="198" t="s">
        <v>859</v>
      </c>
      <c r="B1991" s="197">
        <v>2027</v>
      </c>
      <c r="C1991" s="213" t="s">
        <v>5152</v>
      </c>
      <c r="D1991" s="239">
        <v>2.0828166959820069E-2</v>
      </c>
      <c r="E1991" s="226">
        <v>0.10475708715139734</v>
      </c>
      <c r="F1991" s="226">
        <v>1.7098473597473645E-3</v>
      </c>
      <c r="G1991" s="227">
        <v>1.5751015584202629E-3</v>
      </c>
      <c r="H1991" s="226">
        <v>2.0000005732018801E-3</v>
      </c>
      <c r="I1991" s="255">
        <v>3.4828570636633196E-3</v>
      </c>
      <c r="J1991" s="256">
        <v>7.5970434194501201E-5</v>
      </c>
      <c r="K1991" s="257">
        <v>7.9405480114967669E-5</v>
      </c>
      <c r="L1991" s="228">
        <v>3.6098466902719929E-2</v>
      </c>
    </row>
    <row r="1992" spans="1:12" s="212" customFormat="1" ht="15.5" x14ac:dyDescent="0.35">
      <c r="A1992" s="198" t="s">
        <v>859</v>
      </c>
      <c r="B1992" s="197">
        <v>2028</v>
      </c>
      <c r="C1992" s="213" t="s">
        <v>5153</v>
      </c>
      <c r="D1992" s="239">
        <v>1.8737340099612518E-2</v>
      </c>
      <c r="E1992" s="226">
        <v>9.4521716254802227E-2</v>
      </c>
      <c r="F1992" s="226">
        <v>1.603382822999501E-3</v>
      </c>
      <c r="G1992" s="227">
        <v>1.4764807552214399E-3</v>
      </c>
      <c r="H1992" s="226">
        <v>2.0000005732018801E-3</v>
      </c>
      <c r="I1992" s="255">
        <v>3.4772534183004095E-3</v>
      </c>
      <c r="J1992" s="256">
        <v>5.7219466398660302E-5</v>
      </c>
      <c r="K1992" s="257">
        <v>5.9806676761586011E-5</v>
      </c>
      <c r="L1992" s="228">
        <v>3.5390061665403261E-2</v>
      </c>
    </row>
    <row r="1993" spans="1:12" s="212" customFormat="1" ht="15.5" x14ac:dyDescent="0.35">
      <c r="A1993" s="198" t="s">
        <v>859</v>
      </c>
      <c r="B1993" s="197">
        <v>2029</v>
      </c>
      <c r="C1993" s="213" t="s">
        <v>5154</v>
      </c>
      <c r="D1993" s="239">
        <v>1.6777287325638063E-2</v>
      </c>
      <c r="E1993" s="226">
        <v>8.5236474650700125E-2</v>
      </c>
      <c r="F1993" s="226">
        <v>1.5028651851169668E-3</v>
      </c>
      <c r="G1993" s="227">
        <v>1.3836132103193441E-3</v>
      </c>
      <c r="H1993" s="226">
        <v>2.0000005732018801E-3</v>
      </c>
      <c r="I1993" s="255">
        <v>3.4716655655012466E-3</v>
      </c>
      <c r="J1993" s="256">
        <v>4.5790964627187373E-5</v>
      </c>
      <c r="K1993" s="257">
        <v>4.7861428853232726E-5</v>
      </c>
      <c r="L1993" s="228">
        <v>3.4730936625722172E-2</v>
      </c>
    </row>
    <row r="1994" spans="1:12" s="212" customFormat="1" ht="15.5" x14ac:dyDescent="0.35">
      <c r="A1994" s="198" t="s">
        <v>859</v>
      </c>
      <c r="B1994" s="197">
        <v>2030</v>
      </c>
      <c r="C1994" s="213" t="s">
        <v>5155</v>
      </c>
      <c r="D1994" s="239">
        <v>1.5221431678015859E-2</v>
      </c>
      <c r="E1994" s="226">
        <v>7.7526929840170747E-2</v>
      </c>
      <c r="F1994" s="226">
        <v>1.4123905456538809E-3</v>
      </c>
      <c r="G1994" s="227">
        <v>1.3001496949947347E-3</v>
      </c>
      <c r="H1994" s="226">
        <v>2.0000005732018801E-3</v>
      </c>
      <c r="I1994" s="255">
        <v>3.4663615741377506E-3</v>
      </c>
      <c r="J1994" s="256">
        <v>3.8722081045501798E-5</v>
      </c>
      <c r="K1994" s="257">
        <v>4.0472921723689657E-5</v>
      </c>
      <c r="L1994" s="228">
        <v>3.4123557904654711E-2</v>
      </c>
    </row>
    <row r="1995" spans="1:12" s="212" customFormat="1" ht="15.5" x14ac:dyDescent="0.35">
      <c r="A1995" s="198" t="s">
        <v>859</v>
      </c>
      <c r="B1995" s="197">
        <v>2031</v>
      </c>
      <c r="C1995" s="213" t="s">
        <v>5156</v>
      </c>
      <c r="D1995" s="239">
        <v>1.3816919243837229E-2</v>
      </c>
      <c r="E1995" s="226">
        <v>7.0591540169057804E-2</v>
      </c>
      <c r="F1995" s="226">
        <v>1.3274071529639465E-3</v>
      </c>
      <c r="G1995" s="227">
        <v>1.2218726566546228E-3</v>
      </c>
      <c r="H1995" s="226">
        <v>2.0000005732018801E-3</v>
      </c>
      <c r="I1995" s="255">
        <v>3.461135615049276E-3</v>
      </c>
      <c r="J1995" s="256">
        <v>3.518164047993903E-5</v>
      </c>
      <c r="K1995" s="257">
        <v>3.6772398146224411E-5</v>
      </c>
      <c r="L1995" s="228">
        <v>3.3565095619016175E-2</v>
      </c>
    </row>
    <row r="1996" spans="1:12" s="212" customFormat="1" ht="15.5" x14ac:dyDescent="0.35">
      <c r="A1996" s="198" t="s">
        <v>859</v>
      </c>
      <c r="B1996" s="197">
        <v>2032</v>
      </c>
      <c r="C1996" s="213" t="s">
        <v>5157</v>
      </c>
      <c r="D1996" s="239">
        <v>1.2559988079169335E-2</v>
      </c>
      <c r="E1996" s="226">
        <v>6.4525454184122158E-2</v>
      </c>
      <c r="F1996" s="226">
        <v>1.2455356725990234E-3</v>
      </c>
      <c r="G1996" s="227">
        <v>1.1464434994375914E-3</v>
      </c>
      <c r="H1996" s="226">
        <v>2.0000005732018797E-3</v>
      </c>
      <c r="I1996" s="255">
        <v>3.456133169715873E-3</v>
      </c>
      <c r="J1996" s="256">
        <v>3.1297093080684892E-5</v>
      </c>
      <c r="K1996" s="257">
        <v>3.2712208750999757E-5</v>
      </c>
      <c r="L1996" s="228">
        <v>3.3054100307005639E-2</v>
      </c>
    </row>
    <row r="1997" spans="1:12" s="212" customFormat="1" ht="15.5" x14ac:dyDescent="0.35">
      <c r="A1997" s="198" t="s">
        <v>859</v>
      </c>
      <c r="B1997" s="197">
        <v>2033</v>
      </c>
      <c r="C1997" s="213" t="s">
        <v>5158</v>
      </c>
      <c r="D1997" s="239">
        <v>1.1496990106041115E-2</v>
      </c>
      <c r="E1997" s="226">
        <v>5.9440956449457565E-2</v>
      </c>
      <c r="F1997" s="226">
        <v>1.1695405190738082E-3</v>
      </c>
      <c r="G1997" s="227">
        <v>1.0764257516705663E-3</v>
      </c>
      <c r="H1997" s="226">
        <v>2.0000005732018801E-3</v>
      </c>
      <c r="I1997" s="255">
        <v>3.4513802410452545E-3</v>
      </c>
      <c r="J1997" s="256">
        <v>2.762669396809287E-5</v>
      </c>
      <c r="K1997" s="257">
        <v>2.8875850477691202E-5</v>
      </c>
      <c r="L1997" s="228">
        <v>3.2589291777790005E-2</v>
      </c>
    </row>
    <row r="1998" spans="1:12" s="212" customFormat="1" ht="15.5" x14ac:dyDescent="0.35">
      <c r="A1998" s="198" t="s">
        <v>859</v>
      </c>
      <c r="B1998" s="197">
        <v>2034</v>
      </c>
      <c r="C1998" s="213" t="s">
        <v>5159</v>
      </c>
      <c r="D1998" s="239">
        <v>1.0474219730343178E-2</v>
      </c>
      <c r="E1998" s="226">
        <v>5.4768038265130166E-2</v>
      </c>
      <c r="F1998" s="226">
        <v>1.0954523870543838E-3</v>
      </c>
      <c r="G1998" s="227">
        <v>1.0082110830179343E-3</v>
      </c>
      <c r="H1998" s="226">
        <v>2.0000005732018801E-3</v>
      </c>
      <c r="I1998" s="255">
        <v>3.446814863789705E-3</v>
      </c>
      <c r="J1998" s="256">
        <v>2.5230411230475129E-5</v>
      </c>
      <c r="K1998" s="257">
        <v>2.6371218468025526E-5</v>
      </c>
      <c r="L1998" s="228">
        <v>3.2167911536994498E-2</v>
      </c>
    </row>
    <row r="1999" spans="1:12" s="212" customFormat="1" ht="15.5" x14ac:dyDescent="0.35">
      <c r="A1999" s="198" t="s">
        <v>859</v>
      </c>
      <c r="B1999" s="197">
        <v>2035</v>
      </c>
      <c r="C1999" s="213" t="s">
        <v>5160</v>
      </c>
      <c r="D1999" s="239">
        <v>9.5774734289901225E-3</v>
      </c>
      <c r="E1999" s="226">
        <v>5.0771142075389013E-2</v>
      </c>
      <c r="F1999" s="226">
        <v>1.0265801218848555E-3</v>
      </c>
      <c r="G1999" s="227">
        <v>9.448014100380648E-4</v>
      </c>
      <c r="H1999" s="226">
        <v>2.0000005732018801E-3</v>
      </c>
      <c r="I1999" s="255">
        <v>3.4426711549326366E-3</v>
      </c>
      <c r="J1999" s="256">
        <v>2.3070215716647789E-5</v>
      </c>
      <c r="K1999" s="257">
        <v>2.4113348498788537E-5</v>
      </c>
      <c r="L1999" s="228">
        <v>3.1788558530299965E-2</v>
      </c>
    </row>
    <row r="2000" spans="1:12" s="212" customFormat="1" ht="15.5" x14ac:dyDescent="0.35">
      <c r="A2000" s="198" t="s">
        <v>859</v>
      </c>
      <c r="B2000" s="197">
        <v>2036</v>
      </c>
      <c r="C2000" s="213" t="s">
        <v>5161</v>
      </c>
      <c r="D2000" s="239">
        <v>8.821272245317778E-3</v>
      </c>
      <c r="E2000" s="226">
        <v>4.7443531726920618E-2</v>
      </c>
      <c r="F2000" s="226">
        <v>9.6951244121102936E-4</v>
      </c>
      <c r="G2000" s="227">
        <v>8.9225515049230579E-4</v>
      </c>
      <c r="H2000" s="226">
        <v>2.0000005732018801E-3</v>
      </c>
      <c r="I2000" s="255">
        <v>3.4389690308214982E-3</v>
      </c>
      <c r="J2000" s="256">
        <v>2.1154707760936136E-5</v>
      </c>
      <c r="K2000" s="257">
        <v>2.2111229773260273E-5</v>
      </c>
      <c r="L2000" s="228">
        <v>3.1450833602123363E-2</v>
      </c>
    </row>
    <row r="2001" spans="1:12" s="212" customFormat="1" ht="15.5" x14ac:dyDescent="0.35">
      <c r="A2001" s="198" t="s">
        <v>859</v>
      </c>
      <c r="B2001" s="197">
        <v>2037</v>
      </c>
      <c r="C2001" s="213" t="s">
        <v>5162</v>
      </c>
      <c r="D2001" s="239">
        <v>8.0551391732143918E-3</v>
      </c>
      <c r="E2001" s="226">
        <v>4.414911471914381E-2</v>
      </c>
      <c r="F2001" s="226">
        <v>9.1474819987905586E-4</v>
      </c>
      <c r="G2001" s="227">
        <v>8.4180490181029238E-4</v>
      </c>
      <c r="H2001" s="226">
        <v>2.0000005732018801E-3</v>
      </c>
      <c r="I2001" s="255">
        <v>3.435532360262992E-3</v>
      </c>
      <c r="J2001" s="256">
        <v>1.8676700593009728E-5</v>
      </c>
      <c r="K2001" s="257">
        <v>1.9521178117194193E-5</v>
      </c>
      <c r="L2001" s="228">
        <v>3.11536633500182E-2</v>
      </c>
    </row>
    <row r="2002" spans="1:12" s="212" customFormat="1" ht="15.5" x14ac:dyDescent="0.35">
      <c r="A2002" s="198" t="s">
        <v>859</v>
      </c>
      <c r="B2002" s="197">
        <v>2038</v>
      </c>
      <c r="C2002" s="213" t="s">
        <v>5163</v>
      </c>
      <c r="D2002" s="239">
        <v>7.4371904475471059E-3</v>
      </c>
      <c r="E2002" s="226">
        <v>4.1469434479661137E-2</v>
      </c>
      <c r="F2002" s="226">
        <v>8.667697930512284E-4</v>
      </c>
      <c r="G2002" s="227">
        <v>7.976350327753394E-4</v>
      </c>
      <c r="H2002" s="226">
        <v>2.0000005732018801E-3</v>
      </c>
      <c r="I2002" s="255">
        <v>3.4325811105042395E-3</v>
      </c>
      <c r="J2002" s="256">
        <v>1.7252396661374537E-5</v>
      </c>
      <c r="K2002" s="257">
        <v>1.8032473482025529E-5</v>
      </c>
      <c r="L2002" s="228">
        <v>3.0894412688172099E-2</v>
      </c>
    </row>
    <row r="2003" spans="1:12" s="212" customFormat="1" ht="15.5" x14ac:dyDescent="0.35">
      <c r="A2003" s="198" t="s">
        <v>859</v>
      </c>
      <c r="B2003" s="197">
        <v>2039</v>
      </c>
      <c r="C2003" s="213" t="s">
        <v>5164</v>
      </c>
      <c r="D2003" s="239">
        <v>6.7835359040570309E-3</v>
      </c>
      <c r="E2003" s="226">
        <v>3.8702707940526174E-2</v>
      </c>
      <c r="F2003" s="226">
        <v>8.2120145876490337E-4</v>
      </c>
      <c r="G2003" s="227">
        <v>7.5567716145944971E-4</v>
      </c>
      <c r="H2003" s="226">
        <v>2.0000005732018805E-3</v>
      </c>
      <c r="I2003" s="255">
        <v>3.4298318205117071E-3</v>
      </c>
      <c r="J2003" s="256">
        <v>1.5726072005002334E-5</v>
      </c>
      <c r="K2003" s="257">
        <v>1.6437135197657559E-5</v>
      </c>
      <c r="L2003" s="228">
        <v>3.0668012048576443E-2</v>
      </c>
    </row>
    <row r="2004" spans="1:12" s="212" customFormat="1" ht="15.5" x14ac:dyDescent="0.35">
      <c r="A2004" s="198" t="s">
        <v>859</v>
      </c>
      <c r="B2004" s="197">
        <v>2040</v>
      </c>
      <c r="C2004" s="213" t="s">
        <v>5165</v>
      </c>
      <c r="D2004" s="239">
        <v>6.2153376007825414E-3</v>
      </c>
      <c r="E2004" s="226">
        <v>3.6333455628796703E-2</v>
      </c>
      <c r="F2004" s="226">
        <v>7.7950912080006326E-4</v>
      </c>
      <c r="G2004" s="227">
        <v>7.1728957104163929E-4</v>
      </c>
      <c r="H2004" s="226">
        <v>2.0000005732018801E-3</v>
      </c>
      <c r="I2004" s="255">
        <v>3.4274324324905969E-3</v>
      </c>
      <c r="J2004" s="256">
        <v>1.4365170322674242E-5</v>
      </c>
      <c r="K2004" s="257">
        <v>1.5014699580166341E-5</v>
      </c>
      <c r="L2004" s="228">
        <v>3.0472656324649468E-2</v>
      </c>
    </row>
    <row r="2005" spans="1:12" s="212" customFormat="1" ht="15.5" x14ac:dyDescent="0.35">
      <c r="A2005" s="198" t="s">
        <v>859</v>
      </c>
      <c r="B2005" s="197">
        <v>2041</v>
      </c>
      <c r="C2005" s="213" t="s">
        <v>5166</v>
      </c>
      <c r="D2005" s="239">
        <v>5.8230334123651204E-3</v>
      </c>
      <c r="E2005" s="226">
        <v>3.4458158159445959E-2</v>
      </c>
      <c r="F2005" s="226">
        <v>7.4971210356514586E-4</v>
      </c>
      <c r="G2005" s="227">
        <v>6.8985271984374431E-4</v>
      </c>
      <c r="H2005" s="226">
        <v>2.0000005732018801E-3</v>
      </c>
      <c r="I2005" s="255">
        <v>3.4254014219408505E-3</v>
      </c>
      <c r="J2005" s="256">
        <v>1.3348978798523318E-5</v>
      </c>
      <c r="K2005" s="257">
        <v>1.3952560384576431E-5</v>
      </c>
      <c r="L2005" s="228">
        <v>3.0306768972246868E-2</v>
      </c>
    </row>
    <row r="2006" spans="1:12" s="212" customFormat="1" ht="15.5" x14ac:dyDescent="0.35">
      <c r="A2006" s="198" t="s">
        <v>859</v>
      </c>
      <c r="B2006" s="197">
        <v>2042</v>
      </c>
      <c r="C2006" s="213" t="s">
        <v>5167</v>
      </c>
      <c r="D2006" s="239">
        <v>5.4712708645630794E-3</v>
      </c>
      <c r="E2006" s="226">
        <v>3.2674707012164121E-2</v>
      </c>
      <c r="F2006" s="226">
        <v>7.2309383277983528E-4</v>
      </c>
      <c r="G2006" s="227">
        <v>6.6534810432189364E-4</v>
      </c>
      <c r="H2006" s="226">
        <v>2.0000005732018797E-3</v>
      </c>
      <c r="I2006" s="255">
        <v>3.4235086821404991E-3</v>
      </c>
      <c r="J2006" s="256">
        <v>1.2576497540593575E-5</v>
      </c>
      <c r="K2006" s="257">
        <v>1.3145150951997908E-5</v>
      </c>
      <c r="L2006" s="228">
        <v>3.0163982797502077E-2</v>
      </c>
    </row>
    <row r="2007" spans="1:12" s="212" customFormat="1" ht="15.5" x14ac:dyDescent="0.35">
      <c r="A2007" s="198" t="s">
        <v>859</v>
      </c>
      <c r="B2007" s="197">
        <v>2043</v>
      </c>
      <c r="C2007" s="213" t="s">
        <v>5168</v>
      </c>
      <c r="D2007" s="239">
        <v>5.1913175320866247E-3</v>
      </c>
      <c r="E2007" s="226">
        <v>3.1113152473970059E-2</v>
      </c>
      <c r="F2007" s="226">
        <v>6.9951492911525255E-4</v>
      </c>
      <c r="G2007" s="227">
        <v>6.4363861951364284E-4</v>
      </c>
      <c r="H2007" s="226">
        <v>2.0000005732018801E-3</v>
      </c>
      <c r="I2007" s="255">
        <v>3.421823343011499E-3</v>
      </c>
      <c r="J2007" s="256">
        <v>1.1817999787138358E-5</v>
      </c>
      <c r="K2007" s="257">
        <v>1.2352357295915386E-5</v>
      </c>
      <c r="L2007" s="228">
        <v>3.0042943295276063E-2</v>
      </c>
    </row>
    <row r="2008" spans="1:12" s="212" customFormat="1" ht="15.5" x14ac:dyDescent="0.35">
      <c r="A2008" s="198" t="s">
        <v>859</v>
      </c>
      <c r="B2008" s="197">
        <v>2044</v>
      </c>
      <c r="C2008" s="213" t="s">
        <v>5169</v>
      </c>
      <c r="D2008" s="239">
        <v>4.9244883086076155E-3</v>
      </c>
      <c r="E2008" s="226">
        <v>2.9368816507639551E-2</v>
      </c>
      <c r="F2008" s="226">
        <v>6.779159073207311E-4</v>
      </c>
      <c r="G2008" s="227">
        <v>6.2375502349492533E-4</v>
      </c>
      <c r="H2008" s="226">
        <v>2.0000005732018801E-3</v>
      </c>
      <c r="I2008" s="255">
        <v>3.4200185161647532E-3</v>
      </c>
      <c r="J2008" s="256">
        <v>1.1199648091172636E-5</v>
      </c>
      <c r="K2008" s="257">
        <v>1.17060464801531E-5</v>
      </c>
      <c r="L2008" s="228">
        <v>2.993928958093079E-2</v>
      </c>
    </row>
    <row r="2009" spans="1:12" s="212" customFormat="1" ht="15.5" x14ac:dyDescent="0.35">
      <c r="A2009" s="198" t="s">
        <v>859</v>
      </c>
      <c r="B2009" s="197">
        <v>2045</v>
      </c>
      <c r="C2009" s="213" t="s">
        <v>5170</v>
      </c>
      <c r="D2009" s="239">
        <v>4.72757856089782E-3</v>
      </c>
      <c r="E2009" s="226">
        <v>2.7889302103541142E-2</v>
      </c>
      <c r="F2009" s="226">
        <v>6.5920070482735542E-4</v>
      </c>
      <c r="G2009" s="227">
        <v>6.0652799363640616E-4</v>
      </c>
      <c r="H2009" s="226">
        <v>2.0000005732018801E-3</v>
      </c>
      <c r="I2009" s="255">
        <v>3.4185265997505065E-3</v>
      </c>
      <c r="J2009" s="256">
        <v>1.0709643260911639E-5</v>
      </c>
      <c r="K2009" s="257">
        <v>1.1193885805831954E-5</v>
      </c>
      <c r="L2009" s="228">
        <v>2.9847759531413338E-2</v>
      </c>
    </row>
    <row r="2010" spans="1:12" s="212" customFormat="1" ht="15.5" x14ac:dyDescent="0.35">
      <c r="A2010" s="198" t="s">
        <v>859</v>
      </c>
      <c r="B2010" s="197">
        <v>2046</v>
      </c>
      <c r="C2010" s="213" t="s">
        <v>5171</v>
      </c>
      <c r="D2010" s="239">
        <v>4.528011049108026E-3</v>
      </c>
      <c r="E2010" s="226">
        <v>2.6358917774310965E-2</v>
      </c>
      <c r="F2010" s="226">
        <v>6.4237219913564048E-4</v>
      </c>
      <c r="G2010" s="227">
        <v>5.9104043370761608E-4</v>
      </c>
      <c r="H2010" s="226">
        <v>2.0000005732018801E-3</v>
      </c>
      <c r="I2010" s="255">
        <v>3.4170100443871782E-3</v>
      </c>
      <c r="J2010" s="256">
        <v>1.0340827232433523E-5</v>
      </c>
      <c r="K2010" s="257">
        <v>1.0808393553142917E-5</v>
      </c>
      <c r="L2010" s="228">
        <v>2.9768915744407605E-2</v>
      </c>
    </row>
    <row r="2011" spans="1:12" s="212" customFormat="1" ht="15.5" x14ac:dyDescent="0.35">
      <c r="A2011" s="198" t="s">
        <v>859</v>
      </c>
      <c r="B2011" s="197">
        <v>2047</v>
      </c>
      <c r="C2011" s="213" t="s">
        <v>5172</v>
      </c>
      <c r="D2011" s="239">
        <v>4.3580833973208442E-3</v>
      </c>
      <c r="E2011" s="226">
        <v>2.5065812727875662E-2</v>
      </c>
      <c r="F2011" s="226">
        <v>6.2780545917289475E-4</v>
      </c>
      <c r="G2011" s="227">
        <v>5.7763095717319897E-4</v>
      </c>
      <c r="H2011" s="226">
        <v>2.0000005732018797E-3</v>
      </c>
      <c r="I2011" s="255">
        <v>3.4156716472298568E-3</v>
      </c>
      <c r="J2011" s="256">
        <v>9.9328276084307825E-6</v>
      </c>
      <c r="K2011" s="257">
        <v>1.038194599661431E-5</v>
      </c>
      <c r="L2011" s="228">
        <v>2.9701655796201612E-2</v>
      </c>
    </row>
    <row r="2012" spans="1:12" s="212" customFormat="1" ht="15.5" x14ac:dyDescent="0.35">
      <c r="A2012" s="198" t="s">
        <v>859</v>
      </c>
      <c r="B2012" s="197">
        <v>2048</v>
      </c>
      <c r="C2012" s="213" t="s">
        <v>5173</v>
      </c>
      <c r="D2012" s="239">
        <v>4.2143131252490775E-3</v>
      </c>
      <c r="E2012" s="226">
        <v>2.3996788088401368E-2</v>
      </c>
      <c r="F2012" s="226">
        <v>6.1500905057450424E-4</v>
      </c>
      <c r="G2012" s="227">
        <v>5.6585056963331904E-4</v>
      </c>
      <c r="H2012" s="226">
        <v>2.0000005732018801E-3</v>
      </c>
      <c r="I2012" s="255">
        <v>3.4144079134843558E-3</v>
      </c>
      <c r="J2012" s="256">
        <v>9.559082461728253E-6</v>
      </c>
      <c r="K2012" s="257">
        <v>9.9913017528474115E-6</v>
      </c>
      <c r="L2012" s="228">
        <v>2.9642435750292188E-2</v>
      </c>
    </row>
    <row r="2013" spans="1:12" s="212" customFormat="1" ht="15.5" x14ac:dyDescent="0.35">
      <c r="A2013" s="198" t="s">
        <v>859</v>
      </c>
      <c r="B2013" s="197">
        <v>2049</v>
      </c>
      <c r="C2013" s="213" t="s">
        <v>5174</v>
      </c>
      <c r="D2013" s="239">
        <v>4.1885683083232091E-3</v>
      </c>
      <c r="E2013" s="226">
        <v>2.3893552644216071E-2</v>
      </c>
      <c r="F2013" s="226">
        <v>6.0816066091726184E-4</v>
      </c>
      <c r="G2013" s="227">
        <v>5.5954470085227892E-4</v>
      </c>
      <c r="H2013" s="226">
        <v>2.000000573201881E-3</v>
      </c>
      <c r="I2013" s="255">
        <v>3.4133150397212164E-3</v>
      </c>
      <c r="J2013" s="256">
        <v>9.3273930700508418E-6</v>
      </c>
      <c r="K2013" s="257">
        <v>9.7491363949848105E-6</v>
      </c>
      <c r="L2013" s="228">
        <v>2.9592898569528892E-2</v>
      </c>
    </row>
    <row r="2014" spans="1:12" s="212" customFormat="1" ht="15.5" x14ac:dyDescent="0.35">
      <c r="A2014" s="198" t="s">
        <v>859</v>
      </c>
      <c r="B2014" s="197">
        <v>2050</v>
      </c>
      <c r="C2014" s="213" t="s">
        <v>5175</v>
      </c>
      <c r="D2014" s="239">
        <v>4.1670794419515966E-3</v>
      </c>
      <c r="E2014" s="226">
        <v>2.3796260664423443E-2</v>
      </c>
      <c r="F2014" s="226">
        <v>6.0194476048385805E-4</v>
      </c>
      <c r="G2014" s="227">
        <v>5.5380151608166246E-4</v>
      </c>
      <c r="H2014" s="226">
        <v>2.0000005732018797E-3</v>
      </c>
      <c r="I2014" s="255">
        <v>3.4123069794119356E-3</v>
      </c>
      <c r="J2014" s="256">
        <v>8.6114867044231282E-6</v>
      </c>
      <c r="K2014" s="257">
        <v>9.0008599202908499E-6</v>
      </c>
      <c r="L2014" s="228">
        <v>2.9553016703373503E-2</v>
      </c>
    </row>
    <row r="2015" spans="1:12" s="212" customFormat="1" ht="15.5" x14ac:dyDescent="0.35">
      <c r="A2015" s="198" t="s">
        <v>860</v>
      </c>
      <c r="B2015" s="197">
        <v>2015</v>
      </c>
      <c r="C2015" s="213" t="s">
        <v>969</v>
      </c>
      <c r="D2015" s="239">
        <v>4.5928037638878254E-2</v>
      </c>
      <c r="E2015" s="226">
        <v>0.21209653872968878</v>
      </c>
      <c r="F2015" s="226">
        <v>1.8731863476819605E-3</v>
      </c>
      <c r="G2015" s="227">
        <v>1.7313211020053409E-3</v>
      </c>
      <c r="H2015" s="226">
        <v>2.0000005732018797E-3</v>
      </c>
      <c r="I2015" s="255">
        <v>2.6838148092862679E-3</v>
      </c>
      <c r="J2015" s="256">
        <v>1.5981958519656285E-4</v>
      </c>
      <c r="K2015" s="257">
        <v>1.6704591765024529E-4</v>
      </c>
      <c r="L2015" s="228">
        <v>4.3077149622949791E-2</v>
      </c>
    </row>
    <row r="2016" spans="1:12" s="212" customFormat="1" ht="15.5" x14ac:dyDescent="0.35">
      <c r="A2016" s="198" t="s">
        <v>860</v>
      </c>
      <c r="B2016" s="197">
        <v>2016</v>
      </c>
      <c r="C2016" s="213" t="s">
        <v>970</v>
      </c>
      <c r="D2016" s="239">
        <v>4.0362728740032522E-2</v>
      </c>
      <c r="E2016" s="226">
        <v>0.19185484500457861</v>
      </c>
      <c r="F2016" s="226">
        <v>1.8310091237422237E-3</v>
      </c>
      <c r="G2016" s="227">
        <v>1.6911903487254602E-3</v>
      </c>
      <c r="H2016" s="226">
        <v>2.0000005732018805E-3</v>
      </c>
      <c r="I2016" s="255">
        <v>2.6788784200402825E-3</v>
      </c>
      <c r="J2016" s="256">
        <v>1.4563742579240768E-4</v>
      </c>
      <c r="K2016" s="257">
        <v>1.5222250393023441E-4</v>
      </c>
      <c r="L2016" s="228">
        <v>4.204276730266189E-2</v>
      </c>
    </row>
    <row r="2017" spans="1:12" s="212" customFormat="1" ht="15.5" x14ac:dyDescent="0.35">
      <c r="A2017" s="198" t="s">
        <v>860</v>
      </c>
      <c r="B2017" s="197">
        <v>2017</v>
      </c>
      <c r="C2017" s="213" t="s">
        <v>5176</v>
      </c>
      <c r="D2017" s="239">
        <v>3.3316196664747381E-2</v>
      </c>
      <c r="E2017" s="226">
        <v>0.16279892164546092</v>
      </c>
      <c r="F2017" s="226">
        <v>1.7641572938678336E-3</v>
      </c>
      <c r="G2017" s="227">
        <v>1.6281474242798414E-3</v>
      </c>
      <c r="H2017" s="226">
        <v>2.0000005732018797E-3</v>
      </c>
      <c r="I2017" s="255">
        <v>2.6796209213645391E-3</v>
      </c>
      <c r="J2017" s="256">
        <v>1.2197265958256183E-4</v>
      </c>
      <c r="K2017" s="257">
        <v>1.274877220032244E-4</v>
      </c>
      <c r="L2017" s="228">
        <v>4.1684350767288735E-2</v>
      </c>
    </row>
    <row r="2018" spans="1:12" s="212" customFormat="1" ht="15.5" x14ac:dyDescent="0.35">
      <c r="A2018" s="198" t="s">
        <v>860</v>
      </c>
      <c r="B2018" s="197">
        <v>2018</v>
      </c>
      <c r="C2018" s="213" t="s">
        <v>5177</v>
      </c>
      <c r="D2018" s="239">
        <v>2.8510476436234344E-2</v>
      </c>
      <c r="E2018" s="226">
        <v>0.14370039862633124</v>
      </c>
      <c r="F2018" s="226">
        <v>1.7445070363403337E-3</v>
      </c>
      <c r="G2018" s="227">
        <v>1.6091281937296298E-3</v>
      </c>
      <c r="H2018" s="226">
        <v>2.0000005732018801E-3</v>
      </c>
      <c r="I2018" s="255">
        <v>2.6639366851132149E-3</v>
      </c>
      <c r="J2018" s="256">
        <v>1.1018261850937797E-4</v>
      </c>
      <c r="K2018" s="257">
        <v>1.1516458759024348E-4</v>
      </c>
      <c r="L2018" s="228">
        <v>4.1191533758503589E-2</v>
      </c>
    </row>
    <row r="2019" spans="1:12" s="212" customFormat="1" ht="15.5" x14ac:dyDescent="0.35">
      <c r="A2019" s="198" t="s">
        <v>860</v>
      </c>
      <c r="B2019" s="197">
        <v>2019</v>
      </c>
      <c r="C2019" s="213" t="s">
        <v>5178</v>
      </c>
      <c r="D2019" s="239">
        <v>2.4330812024086535E-2</v>
      </c>
      <c r="E2019" s="226">
        <v>0.12589514842637831</v>
      </c>
      <c r="F2019" s="226">
        <v>1.7398608520293837E-3</v>
      </c>
      <c r="G2019" s="227">
        <v>1.6041030680652747E-3</v>
      </c>
      <c r="H2019" s="226">
        <v>2.0000005732018797E-3</v>
      </c>
      <c r="I2019" s="255">
        <v>2.680639265762899E-3</v>
      </c>
      <c r="J2019" s="256">
        <v>1.0163658963176446E-4</v>
      </c>
      <c r="K2019" s="257">
        <v>1.0623214520922615E-4</v>
      </c>
      <c r="L2019" s="228">
        <v>4.0661542883096605E-2</v>
      </c>
    </row>
    <row r="2020" spans="1:12" s="212" customFormat="1" ht="15.5" x14ac:dyDescent="0.35">
      <c r="A2020" s="198" t="s">
        <v>860</v>
      </c>
      <c r="B2020" s="197">
        <v>2020</v>
      </c>
      <c r="C2020" s="213" t="s">
        <v>5179</v>
      </c>
      <c r="D2020" s="239">
        <v>2.1556181528708026E-2</v>
      </c>
      <c r="E2020" s="226">
        <v>0.11313557827396399</v>
      </c>
      <c r="F2020" s="226">
        <v>1.7012578017948864E-3</v>
      </c>
      <c r="G2020" s="227">
        <v>1.5681635517958506E-3</v>
      </c>
      <c r="H2020" s="226">
        <v>2.0000005732018797E-3</v>
      </c>
      <c r="I2020" s="255">
        <v>2.6877110930136707E-3</v>
      </c>
      <c r="J2020" s="256">
        <v>9.3933770569050608E-5</v>
      </c>
      <c r="K2020" s="257">
        <v>9.8181038849249393E-5</v>
      </c>
      <c r="L2020" s="228">
        <v>4.0392445954378776E-2</v>
      </c>
    </row>
    <row r="2021" spans="1:12" s="212" customFormat="1" ht="15.5" x14ac:dyDescent="0.35">
      <c r="A2021" s="198" t="s">
        <v>860</v>
      </c>
      <c r="B2021" s="197">
        <v>2021</v>
      </c>
      <c r="C2021" s="213" t="s">
        <v>5180</v>
      </c>
      <c r="D2021" s="239">
        <v>1.9166458660614991E-2</v>
      </c>
      <c r="E2021" s="226">
        <v>0.1009438317255269</v>
      </c>
      <c r="F2021" s="226">
        <v>1.6314901789905708E-3</v>
      </c>
      <c r="G2021" s="227">
        <v>1.5036428214103279E-3</v>
      </c>
      <c r="H2021" s="226">
        <v>2.0000005732018805E-3</v>
      </c>
      <c r="I2021" s="255">
        <v>2.6913504988218691E-3</v>
      </c>
      <c r="J2021" s="256">
        <v>8.6152240075665929E-5</v>
      </c>
      <c r="K2021" s="257">
        <v>9.0047662076984085E-5</v>
      </c>
      <c r="L2021" s="228">
        <v>3.9781780513655544E-2</v>
      </c>
    </row>
    <row r="2022" spans="1:12" s="212" customFormat="1" ht="15.5" x14ac:dyDescent="0.35">
      <c r="A2022" s="198" t="s">
        <v>860</v>
      </c>
      <c r="B2022" s="197">
        <v>2022</v>
      </c>
      <c r="C2022" s="213" t="s">
        <v>5181</v>
      </c>
      <c r="D2022" s="239">
        <v>1.6642189670293819E-2</v>
      </c>
      <c r="E2022" s="226">
        <v>8.9081930694228276E-2</v>
      </c>
      <c r="F2022" s="226">
        <v>1.5567764973930952E-3</v>
      </c>
      <c r="G2022" s="227">
        <v>1.4345119606971077E-3</v>
      </c>
      <c r="H2022" s="226">
        <v>2.0000005732018797E-3</v>
      </c>
      <c r="I2022" s="255">
        <v>2.6915467844990139E-3</v>
      </c>
      <c r="J2022" s="256">
        <v>7.8437601387663038E-5</v>
      </c>
      <c r="K2022" s="257">
        <v>8.1984201660711804E-5</v>
      </c>
      <c r="L2022" s="228">
        <v>3.9105718403059708E-2</v>
      </c>
    </row>
    <row r="2023" spans="1:12" s="212" customFormat="1" ht="15.5" x14ac:dyDescent="0.35">
      <c r="A2023" s="198" t="s">
        <v>860</v>
      </c>
      <c r="B2023" s="197">
        <v>2023</v>
      </c>
      <c r="C2023" s="213" t="s">
        <v>5182</v>
      </c>
      <c r="D2023" s="239">
        <v>1.4765309085937345E-2</v>
      </c>
      <c r="E2023" s="226">
        <v>7.9060656304645441E-2</v>
      </c>
      <c r="F2023" s="226">
        <v>1.4897774130894169E-3</v>
      </c>
      <c r="G2023" s="227">
        <v>1.3725753250935233E-3</v>
      </c>
      <c r="H2023" s="226">
        <v>2.0000005732018805E-3</v>
      </c>
      <c r="I2023" s="255">
        <v>2.6905100523508065E-3</v>
      </c>
      <c r="J2023" s="256">
        <v>7.0546206624544919E-5</v>
      </c>
      <c r="K2023" s="257">
        <v>7.3735993043951267E-5</v>
      </c>
      <c r="L2023" s="228">
        <v>3.8386685129273658E-2</v>
      </c>
    </row>
    <row r="2024" spans="1:12" s="212" customFormat="1" ht="15.5" x14ac:dyDescent="0.35">
      <c r="A2024" s="198" t="s">
        <v>860</v>
      </c>
      <c r="B2024" s="197">
        <v>2024</v>
      </c>
      <c r="C2024" s="213" t="s">
        <v>5183</v>
      </c>
      <c r="D2024" s="239">
        <v>1.3112147335409476E-2</v>
      </c>
      <c r="E2024" s="226">
        <v>7.0479389783069946E-2</v>
      </c>
      <c r="F2024" s="226">
        <v>1.4257507362544285E-3</v>
      </c>
      <c r="G2024" s="227">
        <v>1.3133389738851724E-3</v>
      </c>
      <c r="H2024" s="226">
        <v>2.0000005732018801E-3</v>
      </c>
      <c r="I2024" s="255">
        <v>2.6810727953135269E-3</v>
      </c>
      <c r="J2024" s="256">
        <v>6.1737746963974109E-5</v>
      </c>
      <c r="K2024" s="257">
        <v>6.4529253924490204E-5</v>
      </c>
      <c r="L2024" s="228">
        <v>3.7634192809042996E-2</v>
      </c>
    </row>
    <row r="2025" spans="1:12" s="212" customFormat="1" ht="15.5" x14ac:dyDescent="0.35">
      <c r="A2025" s="198" t="s">
        <v>860</v>
      </c>
      <c r="B2025" s="197">
        <v>2025</v>
      </c>
      <c r="C2025" s="213" t="s">
        <v>5184</v>
      </c>
      <c r="D2025" s="239">
        <v>1.1754699018128546E-2</v>
      </c>
      <c r="E2025" s="226">
        <v>6.3379955878628935E-2</v>
      </c>
      <c r="F2025" s="226">
        <v>1.3738227819947053E-3</v>
      </c>
      <c r="G2025" s="227">
        <v>1.265306848161705E-3</v>
      </c>
      <c r="H2025" s="226">
        <v>2.0000005732018801E-3</v>
      </c>
      <c r="I2025" s="255">
        <v>2.6807357744285652E-3</v>
      </c>
      <c r="J2025" s="256">
        <v>5.45690555472451E-5</v>
      </c>
      <c r="K2025" s="257">
        <v>5.7036426092493829E-5</v>
      </c>
      <c r="L2025" s="228">
        <v>3.6851619028261604E-2</v>
      </c>
    </row>
    <row r="2026" spans="1:12" s="212" customFormat="1" ht="15.5" x14ac:dyDescent="0.35">
      <c r="A2026" s="198" t="s">
        <v>860</v>
      </c>
      <c r="B2026" s="197">
        <v>2026</v>
      </c>
      <c r="C2026" s="213" t="s">
        <v>5185</v>
      </c>
      <c r="D2026" s="239">
        <v>1.0583761077080936E-2</v>
      </c>
      <c r="E2026" s="226">
        <v>5.737122786355723E-2</v>
      </c>
      <c r="F2026" s="226">
        <v>1.3156785482602909E-3</v>
      </c>
      <c r="G2026" s="227">
        <v>1.2115547189042409E-3</v>
      </c>
      <c r="H2026" s="226">
        <v>2.0000005732018797E-3</v>
      </c>
      <c r="I2026" s="255">
        <v>2.6789912235372238E-3</v>
      </c>
      <c r="J2026" s="256">
        <v>4.7134387660321507E-5</v>
      </c>
      <c r="K2026" s="257">
        <v>4.9265595514573719E-5</v>
      </c>
      <c r="L2026" s="228">
        <v>3.609147561306679E-2</v>
      </c>
    </row>
    <row r="2027" spans="1:12" s="212" customFormat="1" ht="15.5" x14ac:dyDescent="0.35">
      <c r="A2027" s="198" t="s">
        <v>860</v>
      </c>
      <c r="B2027" s="197">
        <v>2027</v>
      </c>
      <c r="C2027" s="213" t="s">
        <v>5186</v>
      </c>
      <c r="D2027" s="239">
        <v>9.6120093083653189E-3</v>
      </c>
      <c r="E2027" s="226">
        <v>5.2283672791730983E-2</v>
      </c>
      <c r="F2027" s="226">
        <v>1.2513002616849421E-3</v>
      </c>
      <c r="G2027" s="227">
        <v>1.1520306863867925E-3</v>
      </c>
      <c r="H2027" s="226">
        <v>2.0000005732018797E-3</v>
      </c>
      <c r="I2027" s="255">
        <v>2.65366050477824E-3</v>
      </c>
      <c r="J2027" s="256">
        <v>3.8659488530324237E-5</v>
      </c>
      <c r="K2027" s="257">
        <v>4.0407499052725869E-5</v>
      </c>
      <c r="L2027" s="228">
        <v>3.5381851304771963E-2</v>
      </c>
    </row>
    <row r="2028" spans="1:12" s="212" customFormat="1" ht="15.5" x14ac:dyDescent="0.35">
      <c r="A2028" s="198" t="s">
        <v>860</v>
      </c>
      <c r="B2028" s="197">
        <v>2028</v>
      </c>
      <c r="C2028" s="213" t="s">
        <v>5187</v>
      </c>
      <c r="D2028" s="239">
        <v>8.7686460932765563E-3</v>
      </c>
      <c r="E2028" s="226">
        <v>4.7909920401419344E-2</v>
      </c>
      <c r="F2028" s="226">
        <v>1.1759894029293324E-3</v>
      </c>
      <c r="G2028" s="227">
        <v>1.0825138593352065E-3</v>
      </c>
      <c r="H2028" s="226">
        <v>2.0000005732018801E-3</v>
      </c>
      <c r="I2028" s="255">
        <v>2.652744841059468E-3</v>
      </c>
      <c r="J2028" s="256">
        <v>3.1697158935870722E-5</v>
      </c>
      <c r="K2028" s="257">
        <v>3.3130363808891104E-5</v>
      </c>
      <c r="L2028" s="228">
        <v>3.473155738729345E-2</v>
      </c>
    </row>
    <row r="2029" spans="1:12" s="212" customFormat="1" ht="15.5" x14ac:dyDescent="0.35">
      <c r="A2029" s="198" t="s">
        <v>860</v>
      </c>
      <c r="B2029" s="197">
        <v>2029</v>
      </c>
      <c r="C2029" s="213" t="s">
        <v>5188</v>
      </c>
      <c r="D2029" s="239">
        <v>8.0230290632080283E-3</v>
      </c>
      <c r="E2029" s="226">
        <v>4.4111078335169383E-2</v>
      </c>
      <c r="F2029" s="226">
        <v>1.1038554581488096E-3</v>
      </c>
      <c r="G2029" s="227">
        <v>1.0159877225512724E-3</v>
      </c>
      <c r="H2029" s="226">
        <v>2.0000005732018801E-3</v>
      </c>
      <c r="I2029" s="255">
        <v>2.6517688895430834E-3</v>
      </c>
      <c r="J2029" s="256">
        <v>2.6522047085289946E-5</v>
      </c>
      <c r="K2029" s="257">
        <v>2.7721256364645869E-5</v>
      </c>
      <c r="L2029" s="228">
        <v>3.4139147391536159E-2</v>
      </c>
    </row>
    <row r="2030" spans="1:12" s="212" customFormat="1" ht="15.5" x14ac:dyDescent="0.35">
      <c r="A2030" s="198" t="s">
        <v>860</v>
      </c>
      <c r="B2030" s="197">
        <v>2030</v>
      </c>
      <c r="C2030" s="213" t="s">
        <v>5189</v>
      </c>
      <c r="D2030" s="239">
        <v>7.396241774519887E-3</v>
      </c>
      <c r="E2030" s="226">
        <v>4.0886399518565458E-2</v>
      </c>
      <c r="F2030" s="226">
        <v>1.035939814111991E-3</v>
      </c>
      <c r="G2030" s="227">
        <v>9.5337208754171148E-4</v>
      </c>
      <c r="H2030" s="226">
        <v>2.0000005732018797E-3</v>
      </c>
      <c r="I2030" s="255">
        <v>2.650811418809088E-3</v>
      </c>
      <c r="J2030" s="256">
        <v>2.2166432052864894E-5</v>
      </c>
      <c r="K2030" s="257">
        <v>2.3168699748210001E-5</v>
      </c>
      <c r="L2030" s="228">
        <v>3.360196304731769E-2</v>
      </c>
    </row>
    <row r="2031" spans="1:12" s="212" customFormat="1" ht="15.5" x14ac:dyDescent="0.35">
      <c r="A2031" s="198" t="s">
        <v>860</v>
      </c>
      <c r="B2031" s="197">
        <v>2031</v>
      </c>
      <c r="C2031" s="213" t="s">
        <v>5190</v>
      </c>
      <c r="D2031" s="239">
        <v>6.8371880603495735E-3</v>
      </c>
      <c r="E2031" s="226">
        <v>3.8023382952698602E-2</v>
      </c>
      <c r="F2031" s="226">
        <v>9.724468091786842E-4</v>
      </c>
      <c r="G2031" s="227">
        <v>8.9489152096281247E-4</v>
      </c>
      <c r="H2031" s="226">
        <v>2.0000005732018801E-3</v>
      </c>
      <c r="I2031" s="255">
        <v>2.6497173683134221E-3</v>
      </c>
      <c r="J2031" s="256">
        <v>1.9571853187160904E-5</v>
      </c>
      <c r="K2031" s="257">
        <v>2.0456805539472049E-5</v>
      </c>
      <c r="L2031" s="228">
        <v>3.3159610525097673E-2</v>
      </c>
    </row>
    <row r="2032" spans="1:12" s="212" customFormat="1" ht="15.5" x14ac:dyDescent="0.35">
      <c r="A2032" s="198" t="s">
        <v>860</v>
      </c>
      <c r="B2032" s="197">
        <v>2032</v>
      </c>
      <c r="C2032" s="213" t="s">
        <v>5191</v>
      </c>
      <c r="D2032" s="239">
        <v>6.3528818857936376E-3</v>
      </c>
      <c r="E2032" s="226">
        <v>3.5558054700574E-2</v>
      </c>
      <c r="F2032" s="226">
        <v>9.1287015075599155E-4</v>
      </c>
      <c r="G2032" s="227">
        <v>8.4000932180936677E-4</v>
      </c>
      <c r="H2032" s="226">
        <v>2.0000005732018801E-3</v>
      </c>
      <c r="I2032" s="255">
        <v>2.6486421782740844E-3</v>
      </c>
      <c r="J2032" s="256">
        <v>1.6911349306211104E-5</v>
      </c>
      <c r="K2032" s="257">
        <v>1.7676005478836855E-5</v>
      </c>
      <c r="L2032" s="228">
        <v>3.2720108372267694E-2</v>
      </c>
    </row>
    <row r="2033" spans="1:12" s="212" customFormat="1" ht="15.5" x14ac:dyDescent="0.35">
      <c r="A2033" s="198" t="s">
        <v>860</v>
      </c>
      <c r="B2033" s="197">
        <v>2033</v>
      </c>
      <c r="C2033" s="213" t="s">
        <v>5192</v>
      </c>
      <c r="D2033" s="239">
        <v>5.8989996712027317E-3</v>
      </c>
      <c r="E2033" s="226">
        <v>3.3370975422920425E-2</v>
      </c>
      <c r="F2033" s="226">
        <v>8.5371958124456926E-4</v>
      </c>
      <c r="G2033" s="227">
        <v>7.8555442931265644E-4</v>
      </c>
      <c r="H2033" s="226">
        <v>2.0000005732018805E-3</v>
      </c>
      <c r="I2033" s="255">
        <v>2.6265955837631787E-3</v>
      </c>
      <c r="J2033" s="256">
        <v>1.516283237873523E-5</v>
      </c>
      <c r="K2033" s="257">
        <v>1.5848428374829473E-5</v>
      </c>
      <c r="L2033" s="228">
        <v>3.2326120488489637E-2</v>
      </c>
    </row>
    <row r="2034" spans="1:12" s="212" customFormat="1" ht="15.5" x14ac:dyDescent="0.35">
      <c r="A2034" s="198" t="s">
        <v>860</v>
      </c>
      <c r="B2034" s="197">
        <v>2034</v>
      </c>
      <c r="C2034" s="213" t="s">
        <v>5193</v>
      </c>
      <c r="D2034" s="239">
        <v>5.515231799637671E-3</v>
      </c>
      <c r="E2034" s="226">
        <v>3.1522005189911766E-2</v>
      </c>
      <c r="F2034" s="226">
        <v>8.0180130679857286E-4</v>
      </c>
      <c r="G2034" s="227">
        <v>7.3775734183683251E-4</v>
      </c>
      <c r="H2034" s="226">
        <v>2.0000005732018801E-3</v>
      </c>
      <c r="I2034" s="255">
        <v>2.6253120712245166E-3</v>
      </c>
      <c r="J2034" s="256">
        <v>1.3619040404214003E-5</v>
      </c>
      <c r="K2034" s="257">
        <v>1.4234832977695817E-5</v>
      </c>
      <c r="L2034" s="228">
        <v>3.1974341707851073E-2</v>
      </c>
    </row>
    <row r="2035" spans="1:12" s="212" customFormat="1" ht="15.5" x14ac:dyDescent="0.35">
      <c r="A2035" s="198" t="s">
        <v>860</v>
      </c>
      <c r="B2035" s="197">
        <v>2035</v>
      </c>
      <c r="C2035" s="213" t="s">
        <v>5194</v>
      </c>
      <c r="D2035" s="239">
        <v>5.1723119698281724E-3</v>
      </c>
      <c r="E2035" s="226">
        <v>2.9918667230312453E-2</v>
      </c>
      <c r="F2035" s="226">
        <v>7.5386444379363111E-4</v>
      </c>
      <c r="G2035" s="227">
        <v>6.9363175162393583E-4</v>
      </c>
      <c r="H2035" s="226">
        <v>2.0000005732018797E-3</v>
      </c>
      <c r="I2035" s="255">
        <v>2.6240400654514049E-3</v>
      </c>
      <c r="J2035" s="256">
        <v>1.2350803263781141E-5</v>
      </c>
      <c r="K2035" s="257">
        <v>1.2909251781491524E-5</v>
      </c>
      <c r="L2035" s="228">
        <v>3.1663141886693474E-2</v>
      </c>
    </row>
    <row r="2036" spans="1:12" s="212" customFormat="1" ht="15.5" x14ac:dyDescent="0.35">
      <c r="A2036" s="198" t="s">
        <v>860</v>
      </c>
      <c r="B2036" s="197">
        <v>2036</v>
      </c>
      <c r="C2036" s="213" t="s">
        <v>5195</v>
      </c>
      <c r="D2036" s="239">
        <v>4.8746321640272825E-3</v>
      </c>
      <c r="E2036" s="226">
        <v>2.8543151552439274E-2</v>
      </c>
      <c r="F2036" s="226">
        <v>7.1211563549699252E-4</v>
      </c>
      <c r="G2036" s="227">
        <v>6.551986818840481E-4</v>
      </c>
      <c r="H2036" s="226">
        <v>1.9999904732499901E-3</v>
      </c>
      <c r="I2036" s="255">
        <v>2.6317920826785103E-3</v>
      </c>
      <c r="J2036" s="256">
        <v>1.1155265765462853E-5</v>
      </c>
      <c r="K2036" s="257">
        <v>1.1659657382618389E-5</v>
      </c>
      <c r="L2036" s="228">
        <v>3.13902431449542E-2</v>
      </c>
    </row>
    <row r="2037" spans="1:12" s="212" customFormat="1" ht="15.5" x14ac:dyDescent="0.35">
      <c r="A2037" s="198" t="s">
        <v>860</v>
      </c>
      <c r="B2037" s="197">
        <v>2037</v>
      </c>
      <c r="C2037" s="213" t="s">
        <v>5196</v>
      </c>
      <c r="D2037" s="239">
        <v>4.6212615749393797E-3</v>
      </c>
      <c r="E2037" s="226">
        <v>2.7381071676915839E-2</v>
      </c>
      <c r="F2037" s="226">
        <v>6.7494473126992419E-4</v>
      </c>
      <c r="G2037" s="227">
        <v>6.2097925654023265E-4</v>
      </c>
      <c r="H2037" s="226">
        <v>1.9999904732499905E-3</v>
      </c>
      <c r="I2037" s="255">
        <v>2.6307132844929069E-3</v>
      </c>
      <c r="J2037" s="256">
        <v>1.0073441320378264E-5</v>
      </c>
      <c r="K2037" s="257">
        <v>1.0528917636651939E-5</v>
      </c>
      <c r="L2037" s="228">
        <v>3.1153627120945507E-2</v>
      </c>
    </row>
    <row r="2038" spans="1:12" s="212" customFormat="1" ht="15.5" x14ac:dyDescent="0.35">
      <c r="A2038" s="198" t="s">
        <v>860</v>
      </c>
      <c r="B2038" s="197">
        <v>2038</v>
      </c>
      <c r="C2038" s="213" t="s">
        <v>5197</v>
      </c>
      <c r="D2038" s="239">
        <v>4.4202489664498133E-3</v>
      </c>
      <c r="E2038" s="226">
        <v>2.6396934669380076E-2</v>
      </c>
      <c r="F2038" s="226">
        <v>6.4678274783325055E-4</v>
      </c>
      <c r="G2038" s="227">
        <v>5.950541004850488E-4</v>
      </c>
      <c r="H2038" s="226">
        <v>2.0000005732018801E-3</v>
      </c>
      <c r="I2038" s="255">
        <v>2.5580585108056077E-3</v>
      </c>
      <c r="J2038" s="256">
        <v>9.2713489730619361E-6</v>
      </c>
      <c r="K2038" s="257">
        <v>9.6905582326220425E-6</v>
      </c>
      <c r="L2038" s="228">
        <v>3.095061690610295E-2</v>
      </c>
    </row>
    <row r="2039" spans="1:12" s="212" customFormat="1" ht="15.5" x14ac:dyDescent="0.35">
      <c r="A2039" s="198" t="s">
        <v>860</v>
      </c>
      <c r="B2039" s="197">
        <v>2039</v>
      </c>
      <c r="C2039" s="213" t="s">
        <v>5198</v>
      </c>
      <c r="D2039" s="239">
        <v>4.1899748701081053E-3</v>
      </c>
      <c r="E2039" s="226">
        <v>2.5372323498901544E-2</v>
      </c>
      <c r="F2039" s="226">
        <v>6.1749762375181393E-4</v>
      </c>
      <c r="G2039" s="227">
        <v>5.6810143175163726E-4</v>
      </c>
      <c r="H2039" s="226">
        <v>2.0000005732018805E-3</v>
      </c>
      <c r="I2039" s="255">
        <v>2.5572637787696275E-3</v>
      </c>
      <c r="J2039" s="256">
        <v>8.6020416632291953E-6</v>
      </c>
      <c r="K2039" s="257">
        <v>8.9909878162458664E-6</v>
      </c>
      <c r="L2039" s="228">
        <v>3.0778077427375219E-2</v>
      </c>
    </row>
    <row r="2040" spans="1:12" s="212" customFormat="1" ht="15.5" x14ac:dyDescent="0.35">
      <c r="A2040" s="198" t="s">
        <v>860</v>
      </c>
      <c r="B2040" s="197">
        <v>2040</v>
      </c>
      <c r="C2040" s="213" t="s">
        <v>5199</v>
      </c>
      <c r="D2040" s="239">
        <v>3.9889215202642539E-3</v>
      </c>
      <c r="E2040" s="226">
        <v>2.4511971550901113E-2</v>
      </c>
      <c r="F2040" s="226">
        <v>5.921856302726359E-4</v>
      </c>
      <c r="G2040" s="227">
        <v>5.448064132172884E-4</v>
      </c>
      <c r="H2040" s="226">
        <v>2.0000005732018801E-3</v>
      </c>
      <c r="I2040" s="255">
        <v>2.5566173627302653E-3</v>
      </c>
      <c r="J2040" s="256">
        <v>8.0483128320417567E-6</v>
      </c>
      <c r="K2040" s="257">
        <v>8.4122218244474402E-6</v>
      </c>
      <c r="L2040" s="228">
        <v>3.063260831389204E-2</v>
      </c>
    </row>
    <row r="2041" spans="1:12" s="212" customFormat="1" ht="15.5" x14ac:dyDescent="0.35">
      <c r="A2041" s="198" t="s">
        <v>860</v>
      </c>
      <c r="B2041" s="197">
        <v>2041</v>
      </c>
      <c r="C2041" s="213" t="s">
        <v>5200</v>
      </c>
      <c r="D2041" s="239">
        <v>3.8342057363842932E-3</v>
      </c>
      <c r="E2041" s="226">
        <v>2.3807915650356788E-2</v>
      </c>
      <c r="F2041" s="226">
        <v>5.7278075550540731E-4</v>
      </c>
      <c r="G2041" s="227">
        <v>5.2694667804708737E-4</v>
      </c>
      <c r="H2041" s="226">
        <v>2.0000005732018805E-3</v>
      </c>
      <c r="I2041" s="255">
        <v>2.5561183268018764E-3</v>
      </c>
      <c r="J2041" s="256">
        <v>7.5948270351818288E-6</v>
      </c>
      <c r="K2041" s="257">
        <v>7.9382314121669041E-6</v>
      </c>
      <c r="L2041" s="228">
        <v>3.0511771983668671E-2</v>
      </c>
    </row>
    <row r="2042" spans="1:12" s="212" customFormat="1" ht="15.5" x14ac:dyDescent="0.35">
      <c r="A2042" s="198" t="s">
        <v>860</v>
      </c>
      <c r="B2042" s="197">
        <v>2042</v>
      </c>
      <c r="C2042" s="213" t="s">
        <v>5201</v>
      </c>
      <c r="D2042" s="239">
        <v>3.6963162459376555E-3</v>
      </c>
      <c r="E2042" s="226">
        <v>2.313411262355727E-2</v>
      </c>
      <c r="F2042" s="226">
        <v>5.5626898906175346E-4</v>
      </c>
      <c r="G2042" s="227">
        <v>5.1175081696279868E-4</v>
      </c>
      <c r="H2042" s="226">
        <v>2.0000005732018801E-3</v>
      </c>
      <c r="I2042" s="255">
        <v>2.555671429552161E-3</v>
      </c>
      <c r="J2042" s="256">
        <v>7.2380429130541882E-6</v>
      </c>
      <c r="K2042" s="257">
        <v>7.5653150952427652E-6</v>
      </c>
      <c r="L2042" s="228">
        <v>3.0410211202959312E-2</v>
      </c>
    </row>
    <row r="2043" spans="1:12" s="212" customFormat="1" ht="15.5" x14ac:dyDescent="0.35">
      <c r="A2043" s="198" t="s">
        <v>860</v>
      </c>
      <c r="B2043" s="197">
        <v>2043</v>
      </c>
      <c r="C2043" s="213" t="s">
        <v>5202</v>
      </c>
      <c r="D2043" s="239">
        <v>3.5891865697432429E-3</v>
      </c>
      <c r="E2043" s="226">
        <v>2.2561259513867195E-2</v>
      </c>
      <c r="F2043" s="226">
        <v>5.4232095141926498E-4</v>
      </c>
      <c r="G2043" s="227">
        <v>4.9891439892175776E-4</v>
      </c>
      <c r="H2043" s="226">
        <v>2.0000005732018801E-3</v>
      </c>
      <c r="I2043" s="255">
        <v>2.5553118834970023E-3</v>
      </c>
      <c r="J2043" s="256">
        <v>6.9374416323880674E-6</v>
      </c>
      <c r="K2043" s="257">
        <v>7.251121958563344E-6</v>
      </c>
      <c r="L2043" s="228">
        <v>3.0326453786062937E-2</v>
      </c>
    </row>
    <row r="2044" spans="1:12" s="212" customFormat="1" ht="15.5" x14ac:dyDescent="0.35">
      <c r="A2044" s="198" t="s">
        <v>860</v>
      </c>
      <c r="B2044" s="197">
        <v>2044</v>
      </c>
      <c r="C2044" s="213" t="s">
        <v>5203</v>
      </c>
      <c r="D2044" s="239">
        <v>3.5047655928394672E-3</v>
      </c>
      <c r="E2044" s="226">
        <v>2.2021312044574182E-2</v>
      </c>
      <c r="F2044" s="226">
        <v>5.3052560383514704E-4</v>
      </c>
      <c r="G2044" s="227">
        <v>4.8805947434817483E-4</v>
      </c>
      <c r="H2044" s="226">
        <v>2.0000005732018801E-3</v>
      </c>
      <c r="I2044" s="255">
        <v>2.5550115784309189E-3</v>
      </c>
      <c r="J2044" s="256">
        <v>6.6926478522395736E-6</v>
      </c>
      <c r="K2044" s="257">
        <v>6.9952596899328428E-6</v>
      </c>
      <c r="L2044" s="228">
        <v>3.0256843627319625E-2</v>
      </c>
    </row>
    <row r="2045" spans="1:12" s="212" customFormat="1" ht="15.5" x14ac:dyDescent="0.35">
      <c r="A2045" s="198" t="s">
        <v>860</v>
      </c>
      <c r="B2045" s="197">
        <v>2045</v>
      </c>
      <c r="C2045" s="213" t="s">
        <v>5204</v>
      </c>
      <c r="D2045" s="239">
        <v>3.4414668460168506E-3</v>
      </c>
      <c r="E2045" s="226">
        <v>2.1522583731535903E-2</v>
      </c>
      <c r="F2045" s="226">
        <v>5.2052712651931088E-4</v>
      </c>
      <c r="G2045" s="227">
        <v>4.7885856035334264E-4</v>
      </c>
      <c r="H2045" s="226">
        <v>2.0000005732018801E-3</v>
      </c>
      <c r="I2045" s="255">
        <v>2.5547611767519685E-3</v>
      </c>
      <c r="J2045" s="256">
        <v>6.4954556578267231E-6</v>
      </c>
      <c r="K2045" s="257">
        <v>6.7891513395160547E-6</v>
      </c>
      <c r="L2045" s="228">
        <v>3.0197241286494012E-2</v>
      </c>
    </row>
    <row r="2046" spans="1:12" s="212" customFormat="1" ht="15.5" x14ac:dyDescent="0.35">
      <c r="A2046" s="198" t="s">
        <v>860</v>
      </c>
      <c r="B2046" s="197">
        <v>2046</v>
      </c>
      <c r="C2046" s="213" t="s">
        <v>5205</v>
      </c>
      <c r="D2046" s="239">
        <v>3.3832875013593668E-3</v>
      </c>
      <c r="E2046" s="226">
        <v>2.1062765219276018E-2</v>
      </c>
      <c r="F2046" s="226">
        <v>5.1222326520014279E-4</v>
      </c>
      <c r="G2046" s="227">
        <v>4.7121732712416821E-4</v>
      </c>
      <c r="H2046" s="226">
        <v>2.0000005732018797E-3</v>
      </c>
      <c r="I2046" s="255">
        <v>2.55457597159487E-3</v>
      </c>
      <c r="J2046" s="256">
        <v>6.3378886137507304E-6</v>
      </c>
      <c r="K2046" s="257">
        <v>6.6244598129003386E-6</v>
      </c>
      <c r="L2046" s="228">
        <v>3.0148053931629275E-2</v>
      </c>
    </row>
    <row r="2047" spans="1:12" s="212" customFormat="1" ht="15.5" x14ac:dyDescent="0.35">
      <c r="A2047" s="198" t="s">
        <v>860</v>
      </c>
      <c r="B2047" s="197">
        <v>2047</v>
      </c>
      <c r="C2047" s="213" t="s">
        <v>5206</v>
      </c>
      <c r="D2047" s="239">
        <v>3.3296450695998415E-3</v>
      </c>
      <c r="E2047" s="226">
        <v>2.0634827260270095E-2</v>
      </c>
      <c r="F2047" s="226">
        <v>5.0527692578526391E-4</v>
      </c>
      <c r="G2047" s="227">
        <v>4.6482507362223156E-4</v>
      </c>
      <c r="H2047" s="226">
        <v>2.0000005732018801E-3</v>
      </c>
      <c r="I2047" s="255">
        <v>2.554443147031482E-3</v>
      </c>
      <c r="J2047" s="256">
        <v>6.2005574011810206E-6</v>
      </c>
      <c r="K2047" s="257">
        <v>6.480919092296461E-6</v>
      </c>
      <c r="L2047" s="228">
        <v>3.0108386001819639E-2</v>
      </c>
    </row>
    <row r="2048" spans="1:12" s="212" customFormat="1" ht="15.5" x14ac:dyDescent="0.35">
      <c r="A2048" s="198" t="s">
        <v>860</v>
      </c>
      <c r="B2048" s="197">
        <v>2048</v>
      </c>
      <c r="C2048" s="213" t="s">
        <v>5207</v>
      </c>
      <c r="D2048" s="239">
        <v>3.283521454477553E-3</v>
      </c>
      <c r="E2048" s="226">
        <v>2.0267643474728453E-2</v>
      </c>
      <c r="F2048" s="226">
        <v>4.9945798663149582E-4</v>
      </c>
      <c r="G2048" s="227">
        <v>4.5947018984025801E-4</v>
      </c>
      <c r="H2048" s="226">
        <v>2.0000005732018801E-3</v>
      </c>
      <c r="I2048" s="255">
        <v>2.5543554158890826E-3</v>
      </c>
      <c r="J2048" s="256">
        <v>6.0829063425251936E-6</v>
      </c>
      <c r="K2048" s="257">
        <v>6.3579483748370694E-6</v>
      </c>
      <c r="L2048" s="228">
        <v>3.0076062353625161E-2</v>
      </c>
    </row>
    <row r="2049" spans="1:12" s="212" customFormat="1" ht="15.5" x14ac:dyDescent="0.35">
      <c r="A2049" s="198" t="s">
        <v>860</v>
      </c>
      <c r="B2049" s="197">
        <v>2049</v>
      </c>
      <c r="C2049" s="213" t="s">
        <v>5208</v>
      </c>
      <c r="D2049" s="239">
        <v>3.2748479465372587E-3</v>
      </c>
      <c r="E2049" s="226">
        <v>2.0236169330261556E-2</v>
      </c>
      <c r="F2049" s="226">
        <v>4.9601336212706521E-4</v>
      </c>
      <c r="G2049" s="227">
        <v>4.5629967873559048E-4</v>
      </c>
      <c r="H2049" s="226">
        <v>2.0000005732018801E-3</v>
      </c>
      <c r="I2049" s="255">
        <v>2.5543295270405771E-3</v>
      </c>
      <c r="J2049" s="256">
        <v>5.9980557336526622E-6</v>
      </c>
      <c r="K2049" s="257">
        <v>6.2692611979503134E-6</v>
      </c>
      <c r="L2049" s="228">
        <v>3.004898366314631E-2</v>
      </c>
    </row>
    <row r="2050" spans="1:12" s="212" customFormat="1" ht="15.5" x14ac:dyDescent="0.35">
      <c r="A2050" s="198" t="s">
        <v>860</v>
      </c>
      <c r="B2050" s="197">
        <v>2050</v>
      </c>
      <c r="C2050" s="213" t="s">
        <v>5209</v>
      </c>
      <c r="D2050" s="239">
        <v>3.2683164560424836E-3</v>
      </c>
      <c r="E2050" s="226">
        <v>2.0209023614718057E-2</v>
      </c>
      <c r="F2050" s="226">
        <v>4.9304475947577057E-4</v>
      </c>
      <c r="G2050" s="227">
        <v>4.5356018602008214E-4</v>
      </c>
      <c r="H2050" s="226">
        <v>2.0000005732018801E-3</v>
      </c>
      <c r="I2050" s="255">
        <v>2.5543876661698302E-3</v>
      </c>
      <c r="J2050" s="256">
        <v>5.7421157471244801E-6</v>
      </c>
      <c r="K2050" s="257">
        <v>6.0017487409481939E-6</v>
      </c>
      <c r="L2050" s="228">
        <v>3.0027509038145824E-2</v>
      </c>
    </row>
    <row r="2051" spans="1:12" s="212" customFormat="1" ht="15.5" x14ac:dyDescent="0.35">
      <c r="A2051" s="198" t="s">
        <v>861</v>
      </c>
      <c r="B2051" s="197">
        <v>2015</v>
      </c>
      <c r="C2051" s="213" t="s">
        <v>971</v>
      </c>
      <c r="D2051" s="239">
        <v>4.7873501260370897E-2</v>
      </c>
      <c r="E2051" s="226">
        <v>0.20913989739784952</v>
      </c>
      <c r="F2051" s="226">
        <v>1.9157948586614659E-3</v>
      </c>
      <c r="G2051" s="227">
        <v>1.7710355192582352E-3</v>
      </c>
      <c r="H2051" s="226">
        <v>2.0000005732018801E-3</v>
      </c>
      <c r="I2051" s="255">
        <v>3.0490932609053916E-3</v>
      </c>
      <c r="J2051" s="256">
        <v>1.7332673031582795E-4</v>
      </c>
      <c r="K2051" s="257">
        <v>1.8116379593473462E-4</v>
      </c>
      <c r="L2051" s="228">
        <v>4.558440808812169E-2</v>
      </c>
    </row>
    <row r="2052" spans="1:12" s="212" customFormat="1" ht="15.5" x14ac:dyDescent="0.35">
      <c r="A2052" s="198" t="s">
        <v>861</v>
      </c>
      <c r="B2052" s="197">
        <v>2016</v>
      </c>
      <c r="C2052" s="213" t="s">
        <v>972</v>
      </c>
      <c r="D2052" s="239">
        <v>4.1594402511714298E-2</v>
      </c>
      <c r="E2052" s="226">
        <v>0.18674624764269496</v>
      </c>
      <c r="F2052" s="226">
        <v>1.8627544810602469E-3</v>
      </c>
      <c r="G2052" s="227">
        <v>1.7209550309885743E-3</v>
      </c>
      <c r="H2052" s="226">
        <v>2.0000005732018805E-3</v>
      </c>
      <c r="I2052" s="255">
        <v>3.0448385644468549E-3</v>
      </c>
      <c r="J2052" s="256">
        <v>1.5940183845861118E-4</v>
      </c>
      <c r="K2052" s="257">
        <v>1.6660928225852739E-4</v>
      </c>
      <c r="L2052" s="228">
        <v>4.5159710017506398E-2</v>
      </c>
    </row>
    <row r="2053" spans="1:12" s="212" customFormat="1" ht="15.5" x14ac:dyDescent="0.35">
      <c r="A2053" s="198" t="s">
        <v>861</v>
      </c>
      <c r="B2053" s="197">
        <v>2017</v>
      </c>
      <c r="C2053" s="213" t="s">
        <v>5210</v>
      </c>
      <c r="D2053" s="239">
        <v>3.3203501498798485E-2</v>
      </c>
      <c r="E2053" s="226">
        <v>0.15445812417608254</v>
      </c>
      <c r="F2053" s="226">
        <v>1.7599157183941999E-3</v>
      </c>
      <c r="G2053" s="227">
        <v>1.6244402246677751E-3</v>
      </c>
      <c r="H2053" s="226">
        <v>2.0000005732018801E-3</v>
      </c>
      <c r="I2053" s="255">
        <v>3.0420305765134934E-3</v>
      </c>
      <c r="J2053" s="256">
        <v>1.2929703526882107E-4</v>
      </c>
      <c r="K2053" s="257">
        <v>1.3514327345658038E-4</v>
      </c>
      <c r="L2053" s="228">
        <v>4.4859342657817138E-2</v>
      </c>
    </row>
    <row r="2054" spans="1:12" s="212" customFormat="1" ht="15.5" x14ac:dyDescent="0.35">
      <c r="A2054" s="198" t="s">
        <v>861</v>
      </c>
      <c r="B2054" s="197">
        <v>2018</v>
      </c>
      <c r="C2054" s="213" t="s">
        <v>5211</v>
      </c>
      <c r="D2054" s="239">
        <v>2.809511725089028E-2</v>
      </c>
      <c r="E2054" s="226">
        <v>0.13424330297799955</v>
      </c>
      <c r="F2054" s="226">
        <v>1.7387244930190935E-3</v>
      </c>
      <c r="G2054" s="227">
        <v>1.6038248130071718E-3</v>
      </c>
      <c r="H2054" s="226">
        <v>2.0000005732018805E-3</v>
      </c>
      <c r="I2054" s="255">
        <v>3.0449872916361287E-3</v>
      </c>
      <c r="J2054" s="256">
        <v>1.1256574685831165E-4</v>
      </c>
      <c r="K2054" s="257">
        <v>1.1765547042814049E-4</v>
      </c>
      <c r="L2054" s="228">
        <v>4.4306301430158346E-2</v>
      </c>
    </row>
    <row r="2055" spans="1:12" s="212" customFormat="1" ht="15.5" x14ac:dyDescent="0.35">
      <c r="A2055" s="198" t="s">
        <v>861</v>
      </c>
      <c r="B2055" s="197">
        <v>2019</v>
      </c>
      <c r="C2055" s="213" t="s">
        <v>5212</v>
      </c>
      <c r="D2055" s="239">
        <v>2.3361150531574629E-2</v>
      </c>
      <c r="E2055" s="226">
        <v>0.11460731326054852</v>
      </c>
      <c r="F2055" s="226">
        <v>1.7314606804325805E-3</v>
      </c>
      <c r="G2055" s="227">
        <v>1.596227455801464E-3</v>
      </c>
      <c r="H2055" s="226">
        <v>2.0000005732018801E-3</v>
      </c>
      <c r="I2055" s="255">
        <v>3.0460025461839196E-3</v>
      </c>
      <c r="J2055" s="256">
        <v>9.9827213352426754E-5</v>
      </c>
      <c r="K2055" s="257">
        <v>1.0434095696352469E-4</v>
      </c>
      <c r="L2055" s="228">
        <v>4.3495865427421961E-2</v>
      </c>
    </row>
    <row r="2056" spans="1:12" s="212" customFormat="1" ht="15.5" x14ac:dyDescent="0.35">
      <c r="A2056" s="198" t="s">
        <v>861</v>
      </c>
      <c r="B2056" s="197">
        <v>2020</v>
      </c>
      <c r="C2056" s="213" t="s">
        <v>5213</v>
      </c>
      <c r="D2056" s="239">
        <v>2.0414455920630851E-2</v>
      </c>
      <c r="E2056" s="226">
        <v>0.10214023282763246</v>
      </c>
      <c r="F2056" s="226">
        <v>1.7069137277817251E-3</v>
      </c>
      <c r="G2056" s="227">
        <v>1.5732283526963221E-3</v>
      </c>
      <c r="H2056" s="226">
        <v>2.0000005732018797E-3</v>
      </c>
      <c r="I2056" s="255">
        <v>3.0565306210096838E-3</v>
      </c>
      <c r="J2056" s="256">
        <v>9.2471184740965258E-5</v>
      </c>
      <c r="K2056" s="257">
        <v>9.6652321380146829E-5</v>
      </c>
      <c r="L2056" s="228">
        <v>4.312673339210437E-2</v>
      </c>
    </row>
    <row r="2057" spans="1:12" s="212" customFormat="1" ht="15.5" x14ac:dyDescent="0.35">
      <c r="A2057" s="198" t="s">
        <v>861</v>
      </c>
      <c r="B2057" s="197">
        <v>2021</v>
      </c>
      <c r="C2057" s="213" t="s">
        <v>5214</v>
      </c>
      <c r="D2057" s="239">
        <v>1.8027959112977412E-2</v>
      </c>
      <c r="E2057" s="226">
        <v>9.080553023025871E-2</v>
      </c>
      <c r="F2057" s="226">
        <v>1.6543288602720754E-3</v>
      </c>
      <c r="G2057" s="227">
        <v>1.5244811790778687E-3</v>
      </c>
      <c r="H2057" s="226">
        <v>2.0000005732018801E-3</v>
      </c>
      <c r="I2057" s="255">
        <v>3.0625412676082452E-3</v>
      </c>
      <c r="J2057" s="256">
        <v>8.3962751687210977E-5</v>
      </c>
      <c r="K2057" s="257">
        <v>8.7759174739314135E-5</v>
      </c>
      <c r="L2057" s="228">
        <v>4.2284774207517105E-2</v>
      </c>
    </row>
    <row r="2058" spans="1:12" s="212" customFormat="1" ht="15.5" x14ac:dyDescent="0.35">
      <c r="A2058" s="198" t="s">
        <v>861</v>
      </c>
      <c r="B2058" s="197">
        <v>2022</v>
      </c>
      <c r="C2058" s="213" t="s">
        <v>5215</v>
      </c>
      <c r="D2058" s="239">
        <v>1.5759807183511269E-2</v>
      </c>
      <c r="E2058" s="226">
        <v>8.0264880139802319E-2</v>
      </c>
      <c r="F2058" s="226">
        <v>1.5922947110750113E-3</v>
      </c>
      <c r="G2058" s="227">
        <v>1.4671073871189086E-3</v>
      </c>
      <c r="H2058" s="226">
        <v>2.0000005732018801E-3</v>
      </c>
      <c r="I2058" s="255">
        <v>3.0666547819611298E-3</v>
      </c>
      <c r="J2058" s="256">
        <v>7.7319298925190681E-5</v>
      </c>
      <c r="K2058" s="257">
        <v>8.0815334523280405E-5</v>
      </c>
      <c r="L2058" s="228">
        <v>4.1557800621944058E-2</v>
      </c>
    </row>
    <row r="2059" spans="1:12" s="212" customFormat="1" ht="15.5" x14ac:dyDescent="0.35">
      <c r="A2059" s="198" t="s">
        <v>861</v>
      </c>
      <c r="B2059" s="197">
        <v>2023</v>
      </c>
      <c r="C2059" s="213" t="s">
        <v>5216</v>
      </c>
      <c r="D2059" s="239">
        <v>1.3972524960181875E-2</v>
      </c>
      <c r="E2059" s="226">
        <v>7.1235528157168493E-2</v>
      </c>
      <c r="F2059" s="226">
        <v>1.5326037322131768E-3</v>
      </c>
      <c r="G2059" s="227">
        <v>1.4119467277427893E-3</v>
      </c>
      <c r="H2059" s="226">
        <v>2.0000005732018801E-3</v>
      </c>
      <c r="I2059" s="255">
        <v>3.0696486758050217E-3</v>
      </c>
      <c r="J2059" s="256">
        <v>7.0569085229181644E-5</v>
      </c>
      <c r="K2059" s="257">
        <v>7.3759906117567327E-5</v>
      </c>
      <c r="L2059" s="228">
        <v>4.0793641743060244E-2</v>
      </c>
    </row>
    <row r="2060" spans="1:12" s="212" customFormat="1" ht="15.5" x14ac:dyDescent="0.35">
      <c r="A2060" s="198" t="s">
        <v>861</v>
      </c>
      <c r="B2060" s="197">
        <v>2024</v>
      </c>
      <c r="C2060" s="213" t="s">
        <v>5217</v>
      </c>
      <c r="D2060" s="239">
        <v>1.2412088608775997E-2</v>
      </c>
      <c r="E2060" s="226">
        <v>6.3475393105461395E-2</v>
      </c>
      <c r="F2060" s="226">
        <v>1.4754005633435998E-3</v>
      </c>
      <c r="G2060" s="227">
        <v>1.3590341165867525E-3</v>
      </c>
      <c r="H2060" s="226">
        <v>2.0000005732018805E-3</v>
      </c>
      <c r="I2060" s="255">
        <v>3.0402888759252572E-3</v>
      </c>
      <c r="J2060" s="256">
        <v>6.2866047480865693E-5</v>
      </c>
      <c r="K2060" s="257">
        <v>6.5708571183996397E-5</v>
      </c>
      <c r="L2060" s="228">
        <v>3.9998276535603686E-2</v>
      </c>
    </row>
    <row r="2061" spans="1:12" s="212" customFormat="1" ht="15.5" x14ac:dyDescent="0.35">
      <c r="A2061" s="198" t="s">
        <v>861</v>
      </c>
      <c r="B2061" s="197">
        <v>2025</v>
      </c>
      <c r="C2061" s="213" t="s">
        <v>5218</v>
      </c>
      <c r="D2061" s="239">
        <v>1.1083730381702607E-2</v>
      </c>
      <c r="E2061" s="226">
        <v>5.6905788050595811E-2</v>
      </c>
      <c r="F2061" s="226">
        <v>1.4235393152375656E-3</v>
      </c>
      <c r="G2061" s="227">
        <v>1.311056228563597E-3</v>
      </c>
      <c r="H2061" s="226">
        <v>2.000000574989752E-3</v>
      </c>
      <c r="I2061" s="255">
        <v>3.0383127836765586E-3</v>
      </c>
      <c r="J2061" s="256">
        <v>5.5526371121703847E-5</v>
      </c>
      <c r="K2061" s="257">
        <v>5.8037027229204643E-5</v>
      </c>
      <c r="L2061" s="228">
        <v>3.9175040739149555E-2</v>
      </c>
    </row>
    <row r="2062" spans="1:12" s="212" customFormat="1" ht="15.5" x14ac:dyDescent="0.35">
      <c r="A2062" s="198" t="s">
        <v>861</v>
      </c>
      <c r="B2062" s="197">
        <v>2026</v>
      </c>
      <c r="C2062" s="213" t="s">
        <v>5219</v>
      </c>
      <c r="D2062" s="239">
        <v>9.9731703526320346E-3</v>
      </c>
      <c r="E2062" s="226">
        <v>5.1459222456895687E-2</v>
      </c>
      <c r="F2062" s="226">
        <v>1.3703756833643487E-3</v>
      </c>
      <c r="G2062" s="227">
        <v>1.2619733178752001E-3</v>
      </c>
      <c r="H2062" s="226">
        <v>2.0000005749897499E-3</v>
      </c>
      <c r="I2062" s="255">
        <v>3.0396221171900151E-3</v>
      </c>
      <c r="J2062" s="256">
        <v>5.038904687667986E-5</v>
      </c>
      <c r="K2062" s="257">
        <v>5.2667415978359379E-5</v>
      </c>
      <c r="L2062" s="228">
        <v>3.8365031490829767E-2</v>
      </c>
    </row>
    <row r="2063" spans="1:12" s="212" customFormat="1" ht="15.5" x14ac:dyDescent="0.35">
      <c r="A2063" s="198" t="s">
        <v>861</v>
      </c>
      <c r="B2063" s="197">
        <v>2027</v>
      </c>
      <c r="C2063" s="213" t="s">
        <v>5220</v>
      </c>
      <c r="D2063" s="239">
        <v>9.0854209841873083E-3</v>
      </c>
      <c r="E2063" s="226">
        <v>4.6916023900264087E-2</v>
      </c>
      <c r="F2063" s="226">
        <v>1.3107494153753324E-3</v>
      </c>
      <c r="G2063" s="227">
        <v>1.2067969598666976E-3</v>
      </c>
      <c r="H2063" s="226">
        <v>2.0000005732018801E-3</v>
      </c>
      <c r="I2063" s="255">
        <v>3.0694829758445893E-3</v>
      </c>
      <c r="J2063" s="256">
        <v>4.1353619841560107E-5</v>
      </c>
      <c r="K2063" s="257">
        <v>4.3223447026825254E-5</v>
      </c>
      <c r="L2063" s="228">
        <v>3.7588243644082427E-2</v>
      </c>
    </row>
    <row r="2064" spans="1:12" s="212" customFormat="1" ht="15.5" x14ac:dyDescent="0.35">
      <c r="A2064" s="198" t="s">
        <v>861</v>
      </c>
      <c r="B2064" s="197">
        <v>2028</v>
      </c>
      <c r="C2064" s="213" t="s">
        <v>5221</v>
      </c>
      <c r="D2064" s="239">
        <v>8.2944538467838395E-3</v>
      </c>
      <c r="E2064" s="226">
        <v>4.3039146931194518E-2</v>
      </c>
      <c r="F2064" s="226">
        <v>1.2349018273107785E-3</v>
      </c>
      <c r="G2064" s="227">
        <v>1.1367722242798702E-3</v>
      </c>
      <c r="H2064" s="226">
        <v>2.0000005732018805E-3</v>
      </c>
      <c r="I2064" s="255">
        <v>3.1172771353515784E-3</v>
      </c>
      <c r="J2064" s="256">
        <v>3.4021560114903059E-5</v>
      </c>
      <c r="K2064" s="257">
        <v>3.5559864094861828E-5</v>
      </c>
      <c r="L2064" s="228">
        <v>3.685588086365469E-2</v>
      </c>
    </row>
    <row r="2065" spans="1:12" s="212" customFormat="1" ht="15.5" x14ac:dyDescent="0.35">
      <c r="A2065" s="198" t="s">
        <v>861</v>
      </c>
      <c r="B2065" s="197">
        <v>2029</v>
      </c>
      <c r="C2065" s="213" t="s">
        <v>5222</v>
      </c>
      <c r="D2065" s="239">
        <v>7.6239461046592712E-3</v>
      </c>
      <c r="E2065" s="226">
        <v>3.978886176078078E-2</v>
      </c>
      <c r="F2065" s="226">
        <v>1.1611980186513396E-3</v>
      </c>
      <c r="G2065" s="227">
        <v>1.0687759873722741E-3</v>
      </c>
      <c r="H2065" s="226">
        <v>2.0000005732018801E-3</v>
      </c>
      <c r="I2065" s="255">
        <v>3.1173964912375889E-3</v>
      </c>
      <c r="J2065" s="256">
        <v>2.8161995768195422E-5</v>
      </c>
      <c r="K2065" s="257">
        <v>2.9435356249827817E-5</v>
      </c>
      <c r="L2065" s="228">
        <v>3.6171726359133134E-2</v>
      </c>
    </row>
    <row r="2066" spans="1:12" s="212" customFormat="1" ht="15.5" x14ac:dyDescent="0.35">
      <c r="A2066" s="198" t="s">
        <v>861</v>
      </c>
      <c r="B2066" s="197">
        <v>2030</v>
      </c>
      <c r="C2066" s="213" t="s">
        <v>5223</v>
      </c>
      <c r="D2066" s="239">
        <v>7.059880583701929E-3</v>
      </c>
      <c r="E2066" s="226">
        <v>3.7062144975854673E-2</v>
      </c>
      <c r="F2066" s="226">
        <v>1.0912908682139549E-3</v>
      </c>
      <c r="G2066" s="227">
        <v>1.004347986369922E-3</v>
      </c>
      <c r="H2066" s="226">
        <v>2.0000005732018801E-3</v>
      </c>
      <c r="I2066" s="255">
        <v>3.1172862602556676E-3</v>
      </c>
      <c r="J2066" s="256">
        <v>2.4287624278146843E-5</v>
      </c>
      <c r="K2066" s="257">
        <v>2.5385802873268077E-5</v>
      </c>
      <c r="L2066" s="228">
        <v>3.5539749174671745E-2</v>
      </c>
    </row>
    <row r="2067" spans="1:12" s="212" customFormat="1" ht="15.5" x14ac:dyDescent="0.35">
      <c r="A2067" s="198" t="s">
        <v>861</v>
      </c>
      <c r="B2067" s="197">
        <v>2031</v>
      </c>
      <c r="C2067" s="213" t="s">
        <v>5224</v>
      </c>
      <c r="D2067" s="239">
        <v>6.5710026152132478E-3</v>
      </c>
      <c r="E2067" s="226">
        <v>3.4733860809123808E-2</v>
      </c>
      <c r="F2067" s="226">
        <v>1.0253854926714886E-3</v>
      </c>
      <c r="G2067" s="227">
        <v>9.436636057421554E-4</v>
      </c>
      <c r="H2067" s="226">
        <v>2.0000005732018801E-3</v>
      </c>
      <c r="I2067" s="255">
        <v>3.1168835958561756E-3</v>
      </c>
      <c r="J2067" s="256">
        <v>2.2059334607323545E-5</v>
      </c>
      <c r="K2067" s="257">
        <v>2.3056759831419139E-5</v>
      </c>
      <c r="L2067" s="228">
        <v>3.4954555189733151E-2</v>
      </c>
    </row>
    <row r="2068" spans="1:12" s="212" customFormat="1" ht="15.5" x14ac:dyDescent="0.35">
      <c r="A2068" s="198" t="s">
        <v>861</v>
      </c>
      <c r="B2068" s="197">
        <v>2032</v>
      </c>
      <c r="C2068" s="213" t="s">
        <v>5225</v>
      </c>
      <c r="D2068" s="239">
        <v>6.1456310870102743E-3</v>
      </c>
      <c r="E2068" s="226">
        <v>3.2751576090781387E-2</v>
      </c>
      <c r="F2068" s="226">
        <v>9.6193685319174722E-4</v>
      </c>
      <c r="G2068" s="227">
        <v>8.8520896655535112E-4</v>
      </c>
      <c r="H2068" s="226">
        <v>2.0000005732018801E-3</v>
      </c>
      <c r="I2068" s="255">
        <v>3.116210139604315E-3</v>
      </c>
      <c r="J2068" s="256">
        <v>1.9083238567903812E-5</v>
      </c>
      <c r="K2068" s="257">
        <v>1.9946097935327418E-5</v>
      </c>
      <c r="L2068" s="228">
        <v>3.441859157879238E-2</v>
      </c>
    </row>
    <row r="2069" spans="1:12" s="212" customFormat="1" ht="15.5" x14ac:dyDescent="0.35">
      <c r="A2069" s="198" t="s">
        <v>861</v>
      </c>
      <c r="B2069" s="197">
        <v>2033</v>
      </c>
      <c r="C2069" s="213" t="s">
        <v>5226</v>
      </c>
      <c r="D2069" s="239">
        <v>5.7835346386481594E-3</v>
      </c>
      <c r="E2069" s="226">
        <v>3.1089890949691484E-2</v>
      </c>
      <c r="F2069" s="226">
        <v>9.0384777643613581E-4</v>
      </c>
      <c r="G2069" s="227">
        <v>8.3172829698503347E-4</v>
      </c>
      <c r="H2069" s="226">
        <v>2.0000005732018801E-3</v>
      </c>
      <c r="I2069" s="255">
        <v>3.1153167776998831E-3</v>
      </c>
      <c r="J2069" s="256">
        <v>1.7289024804819375E-5</v>
      </c>
      <c r="K2069" s="257">
        <v>1.8070757787581957E-5</v>
      </c>
      <c r="L2069" s="228">
        <v>3.3931419065452814E-2</v>
      </c>
    </row>
    <row r="2070" spans="1:12" s="212" customFormat="1" ht="15.5" x14ac:dyDescent="0.35">
      <c r="A2070" s="198" t="s">
        <v>861</v>
      </c>
      <c r="B2070" s="197">
        <v>2034</v>
      </c>
      <c r="C2070" s="213" t="s">
        <v>5227</v>
      </c>
      <c r="D2070" s="239">
        <v>5.4572866457500684E-3</v>
      </c>
      <c r="E2070" s="226">
        <v>2.9634975995448523E-2</v>
      </c>
      <c r="F2070" s="226">
        <v>8.4976852839619397E-4</v>
      </c>
      <c r="G2070" s="227">
        <v>7.8194183180233402E-4</v>
      </c>
      <c r="H2070" s="226">
        <v>2.0000005732018797E-3</v>
      </c>
      <c r="I2070" s="255">
        <v>3.1143285328126941E-3</v>
      </c>
      <c r="J2070" s="256">
        <v>1.5682551241434586E-5</v>
      </c>
      <c r="K2070" s="257">
        <v>1.6391646618281773E-5</v>
      </c>
      <c r="L2070" s="228">
        <v>3.3487483794417565E-2</v>
      </c>
    </row>
    <row r="2071" spans="1:12" s="212" customFormat="1" ht="15.5" x14ac:dyDescent="0.35">
      <c r="A2071" s="198" t="s">
        <v>861</v>
      </c>
      <c r="B2071" s="197">
        <v>2035</v>
      </c>
      <c r="C2071" s="213" t="s">
        <v>5228</v>
      </c>
      <c r="D2071" s="239">
        <v>5.1668959596112276E-3</v>
      </c>
      <c r="E2071" s="226">
        <v>2.8377705413544622E-2</v>
      </c>
      <c r="F2071" s="226">
        <v>7.9999184555621695E-4</v>
      </c>
      <c r="G2071" s="227">
        <v>7.3611524240270617E-4</v>
      </c>
      <c r="H2071" s="226">
        <v>2.0000005732018797E-3</v>
      </c>
      <c r="I2071" s="255">
        <v>3.1132528428280022E-3</v>
      </c>
      <c r="J2071" s="256">
        <v>1.4174271189670968E-5</v>
      </c>
      <c r="K2071" s="257">
        <v>1.4815168835471008E-5</v>
      </c>
      <c r="L2071" s="228">
        <v>3.3086556612657116E-2</v>
      </c>
    </row>
    <row r="2072" spans="1:12" s="212" customFormat="1" ht="15.5" x14ac:dyDescent="0.35">
      <c r="A2072" s="198" t="s">
        <v>861</v>
      </c>
      <c r="B2072" s="197">
        <v>2036</v>
      </c>
      <c r="C2072" s="213" t="s">
        <v>5229</v>
      </c>
      <c r="D2072" s="239">
        <v>4.9244143425518751E-3</v>
      </c>
      <c r="E2072" s="226">
        <v>2.730753531993067E-2</v>
      </c>
      <c r="F2072" s="226">
        <v>7.5826815923490725E-4</v>
      </c>
      <c r="G2072" s="227">
        <v>6.9769998502591454E-4</v>
      </c>
      <c r="H2072" s="226">
        <v>2.0000005732018801E-3</v>
      </c>
      <c r="I2072" s="255">
        <v>3.127102780384828E-3</v>
      </c>
      <c r="J2072" s="256">
        <v>1.2843056683344728E-5</v>
      </c>
      <c r="K2072" s="257">
        <v>1.3423762716345592E-5</v>
      </c>
      <c r="L2072" s="228">
        <v>3.2789439082563744E-2</v>
      </c>
    </row>
    <row r="2073" spans="1:12" s="212" customFormat="1" ht="15.5" x14ac:dyDescent="0.35">
      <c r="A2073" s="198" t="s">
        <v>861</v>
      </c>
      <c r="B2073" s="197">
        <v>2037</v>
      </c>
      <c r="C2073" s="213" t="s">
        <v>5230</v>
      </c>
      <c r="D2073" s="239">
        <v>4.7009377480217883E-3</v>
      </c>
      <c r="E2073" s="226">
        <v>2.6376995920213302E-2</v>
      </c>
      <c r="F2073" s="226">
        <v>7.1921863869349976E-4</v>
      </c>
      <c r="G2073" s="227">
        <v>6.6175347987970255E-4</v>
      </c>
      <c r="H2073" s="226">
        <v>2.0000005732018801E-3</v>
      </c>
      <c r="I2073" s="255">
        <v>3.126027179156686E-3</v>
      </c>
      <c r="J2073" s="256">
        <v>1.1767354829559477E-5</v>
      </c>
      <c r="K2073" s="257">
        <v>1.2299422398088463E-5</v>
      </c>
      <c r="L2073" s="228">
        <v>3.2473005167579241E-2</v>
      </c>
    </row>
    <row r="2074" spans="1:12" s="212" customFormat="1" ht="15.5" x14ac:dyDescent="0.35">
      <c r="A2074" s="198" t="s">
        <v>861</v>
      </c>
      <c r="B2074" s="197">
        <v>2038</v>
      </c>
      <c r="C2074" s="213" t="s">
        <v>5231</v>
      </c>
      <c r="D2074" s="239">
        <v>4.5043011188567938E-3</v>
      </c>
      <c r="E2074" s="226">
        <v>2.5559540105405596E-2</v>
      </c>
      <c r="F2074" s="226">
        <v>6.8470614345413473E-4</v>
      </c>
      <c r="G2074" s="227">
        <v>6.2998514434191104E-4</v>
      </c>
      <c r="H2074" s="226">
        <v>2.0000005732018801E-3</v>
      </c>
      <c r="I2074" s="255">
        <v>3.1250028758370695E-3</v>
      </c>
      <c r="J2074" s="256">
        <v>1.0859564552729181E-5</v>
      </c>
      <c r="K2074" s="257">
        <v>1.1350585873199591E-5</v>
      </c>
      <c r="L2074" s="228">
        <v>3.2196876588269432E-2</v>
      </c>
    </row>
    <row r="2075" spans="1:12" s="212" customFormat="1" ht="15.5" x14ac:dyDescent="0.35">
      <c r="A2075" s="198" t="s">
        <v>861</v>
      </c>
      <c r="B2075" s="197">
        <v>2039</v>
      </c>
      <c r="C2075" s="213" t="s">
        <v>5232</v>
      </c>
      <c r="D2075" s="239">
        <v>4.3198548910000131E-3</v>
      </c>
      <c r="E2075" s="226">
        <v>2.4814456926709368E-2</v>
      </c>
      <c r="F2075" s="226">
        <v>6.5425119182585556E-4</v>
      </c>
      <c r="G2075" s="227">
        <v>6.0195223969517603E-4</v>
      </c>
      <c r="H2075" s="226">
        <v>2.0000005732018805E-3</v>
      </c>
      <c r="I2075" s="255">
        <v>3.1240310854514551E-3</v>
      </c>
      <c r="J2075" s="256">
        <v>1.007161440889366E-5</v>
      </c>
      <c r="K2075" s="257">
        <v>1.0527008120336812E-5</v>
      </c>
      <c r="L2075" s="228">
        <v>3.1954298710095669E-2</v>
      </c>
    </row>
    <row r="2076" spans="1:12" s="212" customFormat="1" ht="15.5" x14ac:dyDescent="0.35">
      <c r="A2076" s="198" t="s">
        <v>861</v>
      </c>
      <c r="B2076" s="197">
        <v>2040</v>
      </c>
      <c r="C2076" s="213" t="s">
        <v>5233</v>
      </c>
      <c r="D2076" s="239">
        <v>4.1550999967274243E-3</v>
      </c>
      <c r="E2076" s="226">
        <v>2.4166073325361758E-2</v>
      </c>
      <c r="F2076" s="226">
        <v>6.2771205185216687E-4</v>
      </c>
      <c r="G2076" s="227">
        <v>5.7752444323463025E-4</v>
      </c>
      <c r="H2076" s="226">
        <v>2.0000005732018801E-3</v>
      </c>
      <c r="I2076" s="255">
        <v>3.1231767917428419E-3</v>
      </c>
      <c r="J2076" s="256">
        <v>9.4033657382016003E-6</v>
      </c>
      <c r="K2076" s="257">
        <v>9.8285442100655985E-6</v>
      </c>
      <c r="L2076" s="228">
        <v>3.1744257405502109E-2</v>
      </c>
    </row>
    <row r="2077" spans="1:12" s="212" customFormat="1" ht="15.5" x14ac:dyDescent="0.35">
      <c r="A2077" s="198" t="s">
        <v>861</v>
      </c>
      <c r="B2077" s="197">
        <v>2041</v>
      </c>
      <c r="C2077" s="213" t="s">
        <v>5234</v>
      </c>
      <c r="D2077" s="239">
        <v>4.0250952588856536E-3</v>
      </c>
      <c r="E2077" s="226">
        <v>2.3634896931714295E-2</v>
      </c>
      <c r="F2077" s="226">
        <v>6.0674630362133383E-4</v>
      </c>
      <c r="G2077" s="227">
        <v>5.5822624512938813E-4</v>
      </c>
      <c r="H2077" s="226">
        <v>2.0000005732018797E-3</v>
      </c>
      <c r="I2077" s="255">
        <v>3.1224404964651257E-3</v>
      </c>
      <c r="J2077" s="256">
        <v>8.8652506206213635E-6</v>
      </c>
      <c r="K2077" s="257">
        <v>9.2660979147188497E-6</v>
      </c>
      <c r="L2077" s="228">
        <v>3.1564098523110283E-2</v>
      </c>
    </row>
    <row r="2078" spans="1:12" s="212" customFormat="1" ht="15.5" x14ac:dyDescent="0.35">
      <c r="A2078" s="198" t="s">
        <v>861</v>
      </c>
      <c r="B2078" s="197">
        <v>2042</v>
      </c>
      <c r="C2078" s="213" t="s">
        <v>5235</v>
      </c>
      <c r="D2078" s="239">
        <v>3.9080344866740105E-3</v>
      </c>
      <c r="E2078" s="226">
        <v>2.3119283583184734E-2</v>
      </c>
      <c r="F2078" s="226">
        <v>5.8889954728332959E-4</v>
      </c>
      <c r="G2078" s="227">
        <v>5.417982983936013E-4</v>
      </c>
      <c r="H2078" s="226">
        <v>2.0000005732018797E-3</v>
      </c>
      <c r="I2078" s="255">
        <v>3.1217543723692934E-3</v>
      </c>
      <c r="J2078" s="256">
        <v>8.3901045411675937E-6</v>
      </c>
      <c r="K2078" s="257">
        <v>8.7694678379817016E-6</v>
      </c>
      <c r="L2078" s="228">
        <v>3.1407460352857033E-2</v>
      </c>
    </row>
    <row r="2079" spans="1:12" s="212" customFormat="1" ht="15.5" x14ac:dyDescent="0.35">
      <c r="A2079" s="198" t="s">
        <v>861</v>
      </c>
      <c r="B2079" s="197">
        <v>2043</v>
      </c>
      <c r="C2079" s="213" t="s">
        <v>5236</v>
      </c>
      <c r="D2079" s="239">
        <v>3.8189396045684807E-3</v>
      </c>
      <c r="E2079" s="226">
        <v>2.2689499254036821E-2</v>
      </c>
      <c r="F2079" s="226">
        <v>5.7390809014460124E-4</v>
      </c>
      <c r="G2079" s="227">
        <v>5.2799854509269332E-4</v>
      </c>
      <c r="H2079" s="226">
        <v>2.0000005732018797E-3</v>
      </c>
      <c r="I2079" s="255">
        <v>3.1211811037474687E-3</v>
      </c>
      <c r="J2079" s="256">
        <v>7.9881362832786199E-6</v>
      </c>
      <c r="K2079" s="257">
        <v>8.3493243591787178E-6</v>
      </c>
      <c r="L2079" s="228">
        <v>3.1273791221601017E-2</v>
      </c>
    </row>
    <row r="2080" spans="1:12" s="212" customFormat="1" ht="15.5" x14ac:dyDescent="0.35">
      <c r="A2080" s="198" t="s">
        <v>861</v>
      </c>
      <c r="B2080" s="197">
        <v>2044</v>
      </c>
      <c r="C2080" s="213" t="s">
        <v>5237</v>
      </c>
      <c r="D2080" s="239">
        <v>3.7460404405326095E-3</v>
      </c>
      <c r="E2080" s="226">
        <v>2.2272877929572228E-2</v>
      </c>
      <c r="F2080" s="226">
        <v>5.6127271382156601E-4</v>
      </c>
      <c r="G2080" s="227">
        <v>5.1636858436226844E-4</v>
      </c>
      <c r="H2080" s="226">
        <v>2.0000005732018797E-3</v>
      </c>
      <c r="I2080" s="255">
        <v>3.1206480891131042E-3</v>
      </c>
      <c r="J2080" s="256">
        <v>7.6750534103839937E-6</v>
      </c>
      <c r="K2080" s="257">
        <v>8.0220852680564456E-6</v>
      </c>
      <c r="L2080" s="228">
        <v>3.1157936540545033E-2</v>
      </c>
    </row>
    <row r="2081" spans="1:12" s="212" customFormat="1" ht="15.5" x14ac:dyDescent="0.35">
      <c r="A2081" s="198" t="s">
        <v>861</v>
      </c>
      <c r="B2081" s="197">
        <v>2045</v>
      </c>
      <c r="C2081" s="213" t="s">
        <v>5238</v>
      </c>
      <c r="D2081" s="239">
        <v>3.6919279958783141E-3</v>
      </c>
      <c r="E2081" s="226">
        <v>2.1895134814135093E-2</v>
      </c>
      <c r="F2081" s="226">
        <v>5.5068387720715831E-4</v>
      </c>
      <c r="G2081" s="227">
        <v>5.0662280893892309E-4</v>
      </c>
      <c r="H2081" s="226">
        <v>2.0000005732018801E-3</v>
      </c>
      <c r="I2081" s="255">
        <v>3.120196044060677E-3</v>
      </c>
      <c r="J2081" s="256">
        <v>7.4253023270270953E-6</v>
      </c>
      <c r="K2081" s="257">
        <v>7.7610415489641736E-6</v>
      </c>
      <c r="L2081" s="228">
        <v>3.1052400063546679E-2</v>
      </c>
    </row>
    <row r="2082" spans="1:12" s="212" customFormat="1" ht="15.5" x14ac:dyDescent="0.35">
      <c r="A2082" s="198" t="s">
        <v>861</v>
      </c>
      <c r="B2082" s="197">
        <v>2046</v>
      </c>
      <c r="C2082" s="213" t="s">
        <v>5239</v>
      </c>
      <c r="D2082" s="239">
        <v>3.6403377883001981E-3</v>
      </c>
      <c r="E2082" s="226">
        <v>2.1524176618079201E-2</v>
      </c>
      <c r="F2082" s="226">
        <v>5.4184436505747067E-4</v>
      </c>
      <c r="G2082" s="227">
        <v>4.9848765802637529E-4</v>
      </c>
      <c r="H2082" s="226">
        <v>2.0000005732018801E-3</v>
      </c>
      <c r="I2082" s="255">
        <v>3.1198022923633775E-3</v>
      </c>
      <c r="J2082" s="256">
        <v>7.2316363768751131E-6</v>
      </c>
      <c r="K2082" s="257">
        <v>7.5586188839262415E-6</v>
      </c>
      <c r="L2082" s="228">
        <v>3.0959888337998179E-2</v>
      </c>
    </row>
    <row r="2083" spans="1:12" s="212" customFormat="1" ht="15.5" x14ac:dyDescent="0.35">
      <c r="A2083" s="198" t="s">
        <v>861</v>
      </c>
      <c r="B2083" s="197">
        <v>2047</v>
      </c>
      <c r="C2083" s="213" t="s">
        <v>5240</v>
      </c>
      <c r="D2083" s="239">
        <v>3.5958648921702737E-3</v>
      </c>
      <c r="E2083" s="226">
        <v>2.1198579022738487E-2</v>
      </c>
      <c r="F2083" s="226">
        <v>5.3453020893399594E-4</v>
      </c>
      <c r="G2083" s="227">
        <v>4.9175496226296729E-4</v>
      </c>
      <c r="H2083" s="226">
        <v>2.0000005732018805E-3</v>
      </c>
      <c r="I2083" s="255">
        <v>3.1194939095786443E-3</v>
      </c>
      <c r="J2083" s="256">
        <v>7.0365995864353187E-6</v>
      </c>
      <c r="K2083" s="257">
        <v>7.3547633952857141E-6</v>
      </c>
      <c r="L2083" s="228">
        <v>3.08822578944981E-2</v>
      </c>
    </row>
    <row r="2084" spans="1:12" s="212" customFormat="1" ht="15.5" x14ac:dyDescent="0.35">
      <c r="A2084" s="198" t="s">
        <v>861</v>
      </c>
      <c r="B2084" s="197">
        <v>2048</v>
      </c>
      <c r="C2084" s="213" t="s">
        <v>5241</v>
      </c>
      <c r="D2084" s="239">
        <v>3.5594695679444393E-3</v>
      </c>
      <c r="E2084" s="226">
        <v>2.0932904137068713E-2</v>
      </c>
      <c r="F2084" s="226">
        <v>5.285025545031021E-4</v>
      </c>
      <c r="G2084" s="227">
        <v>4.862064314960896E-4</v>
      </c>
      <c r="H2084" s="226">
        <v>2.0000005732018797E-3</v>
      </c>
      <c r="I2084" s="255">
        <v>3.119257287147932E-3</v>
      </c>
      <c r="J2084" s="256">
        <v>6.874265172741041E-6</v>
      </c>
      <c r="K2084" s="257">
        <v>7.185088939752448E-6</v>
      </c>
      <c r="L2084" s="228">
        <v>3.0816296410228011E-2</v>
      </c>
    </row>
    <row r="2085" spans="1:12" s="212" customFormat="1" ht="15.5" x14ac:dyDescent="0.35">
      <c r="A2085" s="198" t="s">
        <v>861</v>
      </c>
      <c r="B2085" s="197">
        <v>2049</v>
      </c>
      <c r="C2085" s="213" t="s">
        <v>5242</v>
      </c>
      <c r="D2085" s="239">
        <v>3.5508846112852748E-3</v>
      </c>
      <c r="E2085" s="226">
        <v>2.0902379243501763E-2</v>
      </c>
      <c r="F2085" s="226">
        <v>5.2465528104135085E-4</v>
      </c>
      <c r="G2085" s="227">
        <v>4.8266467125661057E-4</v>
      </c>
      <c r="H2085" s="226">
        <v>2.0000005732018801E-3</v>
      </c>
      <c r="I2085" s="255">
        <v>3.1190856693607077E-3</v>
      </c>
      <c r="J2085" s="256">
        <v>6.7630232486740848E-6</v>
      </c>
      <c r="K2085" s="257">
        <v>7.0688171495079193E-6</v>
      </c>
      <c r="L2085" s="228">
        <v>3.0759431644024733E-2</v>
      </c>
    </row>
    <row r="2086" spans="1:12" s="212" customFormat="1" ht="15.5" x14ac:dyDescent="0.35">
      <c r="A2086" s="198" t="s">
        <v>861</v>
      </c>
      <c r="B2086" s="197">
        <v>2050</v>
      </c>
      <c r="C2086" s="213" t="s">
        <v>5243</v>
      </c>
      <c r="D2086" s="239">
        <v>3.5442479696254519E-3</v>
      </c>
      <c r="E2086" s="226">
        <v>2.0877435991043122E-2</v>
      </c>
      <c r="F2086" s="226">
        <v>5.2150189840160296E-4</v>
      </c>
      <c r="G2086" s="227">
        <v>4.7975856017714279E-4</v>
      </c>
      <c r="H2086" s="226">
        <v>2.0000005732018801E-3</v>
      </c>
      <c r="I2086" s="255">
        <v>3.1189916853295772E-3</v>
      </c>
      <c r="J2086" s="256">
        <v>6.5912663451101957E-6</v>
      </c>
      <c r="K2086" s="257">
        <v>6.8892941609248569E-6</v>
      </c>
      <c r="L2086" s="228">
        <v>3.071246490619747E-2</v>
      </c>
    </row>
    <row r="2087" spans="1:12" s="212" customFormat="1" ht="15.5" x14ac:dyDescent="0.35">
      <c r="A2087" s="198" t="s">
        <v>862</v>
      </c>
      <c r="B2087" s="197">
        <v>2015</v>
      </c>
      <c r="C2087" s="213" t="s">
        <v>973</v>
      </c>
      <c r="D2087" s="239">
        <v>6.770983379437967E-2</v>
      </c>
      <c r="E2087" s="226">
        <v>0.31927375085367382</v>
      </c>
      <c r="F2087" s="226">
        <v>2.30552029877898E-3</v>
      </c>
      <c r="G2087" s="227">
        <v>2.1315704616498331E-3</v>
      </c>
      <c r="H2087" s="226">
        <v>2.0000005732019898E-3</v>
      </c>
      <c r="I2087" s="255">
        <v>2.7818956121820745E-3</v>
      </c>
      <c r="J2087" s="256">
        <v>1.936321064130695E-4</v>
      </c>
      <c r="K2087" s="257">
        <v>2.0238729103532198E-4</v>
      </c>
      <c r="L2087" s="228">
        <v>4.6574533774259519E-2</v>
      </c>
    </row>
    <row r="2088" spans="1:12" s="212" customFormat="1" ht="15.5" x14ac:dyDescent="0.35">
      <c r="A2088" s="198" t="s">
        <v>862</v>
      </c>
      <c r="B2088" s="197">
        <v>2016</v>
      </c>
      <c r="C2088" s="213" t="s">
        <v>974</v>
      </c>
      <c r="D2088" s="239">
        <v>5.9121994368744241E-2</v>
      </c>
      <c r="E2088" s="226">
        <v>0.28981837815380512</v>
      </c>
      <c r="F2088" s="226">
        <v>2.1560187832371526E-3</v>
      </c>
      <c r="G2088" s="227">
        <v>1.9920180637441783E-3</v>
      </c>
      <c r="H2088" s="226">
        <v>2.0000005732019898E-3</v>
      </c>
      <c r="I2088" s="255">
        <v>2.7778018896806164E-3</v>
      </c>
      <c r="J2088" s="256">
        <v>1.7307483728448537E-4</v>
      </c>
      <c r="K2088" s="257">
        <v>1.8090051341827375E-4</v>
      </c>
      <c r="L2088" s="228">
        <v>4.5589434597098168E-2</v>
      </c>
    </row>
    <row r="2089" spans="1:12" s="212" customFormat="1" ht="15.5" x14ac:dyDescent="0.35">
      <c r="A2089" s="198" t="s">
        <v>862</v>
      </c>
      <c r="B2089" s="197">
        <v>2017</v>
      </c>
      <c r="C2089" s="213" t="s">
        <v>5244</v>
      </c>
      <c r="D2089" s="239">
        <v>4.7082690413649243E-2</v>
      </c>
      <c r="E2089" s="226">
        <v>0.23952775712013941</v>
      </c>
      <c r="F2089" s="226">
        <v>1.9618891871082838E-3</v>
      </c>
      <c r="G2089" s="227">
        <v>1.8118991039023085E-3</v>
      </c>
      <c r="H2089" s="226">
        <v>2.0000005732019898E-3</v>
      </c>
      <c r="I2089" s="255">
        <v>2.7742180169542936E-3</v>
      </c>
      <c r="J2089" s="256">
        <v>1.5825417910935715E-4</v>
      </c>
      <c r="K2089" s="257">
        <v>1.6540973084616317E-4</v>
      </c>
      <c r="L2089" s="228">
        <v>4.5236649063397E-2</v>
      </c>
    </row>
    <row r="2090" spans="1:12" s="212" customFormat="1" ht="15.5" x14ac:dyDescent="0.35">
      <c r="A2090" s="198" t="s">
        <v>862</v>
      </c>
      <c r="B2090" s="197">
        <v>2018</v>
      </c>
      <c r="C2090" s="213" t="s">
        <v>5245</v>
      </c>
      <c r="D2090" s="239">
        <v>3.8489351597947988E-2</v>
      </c>
      <c r="E2090" s="226">
        <v>0.20386154511475768</v>
      </c>
      <c r="F2090" s="226">
        <v>1.8352778478870765E-3</v>
      </c>
      <c r="G2090" s="227">
        <v>1.6937293941692592E-3</v>
      </c>
      <c r="H2090" s="226">
        <v>2.0000005732019898E-3</v>
      </c>
      <c r="I2090" s="255">
        <v>2.7698223262721659E-3</v>
      </c>
      <c r="J2090" s="256">
        <v>1.3479440571863646E-4</v>
      </c>
      <c r="K2090" s="257">
        <v>1.4088921060391658E-4</v>
      </c>
      <c r="L2090" s="228">
        <v>4.4642022668259396E-2</v>
      </c>
    </row>
    <row r="2091" spans="1:12" s="212" customFormat="1" ht="15.5" x14ac:dyDescent="0.35">
      <c r="A2091" s="198" t="s">
        <v>862</v>
      </c>
      <c r="B2091" s="197">
        <v>2019</v>
      </c>
      <c r="C2091" s="213" t="s">
        <v>5246</v>
      </c>
      <c r="D2091" s="239">
        <v>3.1996555938389633E-2</v>
      </c>
      <c r="E2091" s="226">
        <v>0.16900033850780638</v>
      </c>
      <c r="F2091" s="226">
        <v>1.7693484965965564E-3</v>
      </c>
      <c r="G2091" s="227">
        <v>1.632406001474896E-3</v>
      </c>
      <c r="H2091" s="226">
        <v>2.0000005732019898E-3</v>
      </c>
      <c r="I2091" s="255">
        <v>2.7689557077005262E-3</v>
      </c>
      <c r="J2091" s="256">
        <v>1.2765754083598349E-4</v>
      </c>
      <c r="K2091" s="257">
        <v>1.3342964836063898E-4</v>
      </c>
      <c r="L2091" s="228">
        <v>4.3891620555335693E-2</v>
      </c>
    </row>
    <row r="2092" spans="1:12" s="212" customFormat="1" ht="15.5" x14ac:dyDescent="0.35">
      <c r="A2092" s="198" t="s">
        <v>862</v>
      </c>
      <c r="B2092" s="197">
        <v>2020</v>
      </c>
      <c r="C2092" s="213" t="s">
        <v>5247</v>
      </c>
      <c r="D2092" s="239">
        <v>2.7950115685251912E-2</v>
      </c>
      <c r="E2092" s="226">
        <v>0.14971066056364304</v>
      </c>
      <c r="F2092" s="226">
        <v>1.7143844372718791E-3</v>
      </c>
      <c r="G2092" s="227">
        <v>1.5813670217403489E-3</v>
      </c>
      <c r="H2092" s="226">
        <v>2.0000005732019898E-3</v>
      </c>
      <c r="I2092" s="255">
        <v>2.7700232341195184E-3</v>
      </c>
      <c r="J2092" s="256">
        <v>1.1869490608978653E-4</v>
      </c>
      <c r="K2092" s="257">
        <v>1.2406176304232165E-4</v>
      </c>
      <c r="L2092" s="228">
        <v>4.3455362229694684E-2</v>
      </c>
    </row>
    <row r="2093" spans="1:12" s="212" customFormat="1" ht="15.5" x14ac:dyDescent="0.35">
      <c r="A2093" s="198" t="s">
        <v>862</v>
      </c>
      <c r="B2093" s="197">
        <v>2021</v>
      </c>
      <c r="C2093" s="213" t="s">
        <v>5248</v>
      </c>
      <c r="D2093" s="239">
        <v>2.4756374719177462E-2</v>
      </c>
      <c r="E2093" s="226">
        <v>0.13220592721060004</v>
      </c>
      <c r="F2093" s="226">
        <v>1.670008745538435E-3</v>
      </c>
      <c r="G2093" s="227">
        <v>1.5401707168592135E-3</v>
      </c>
      <c r="H2093" s="226">
        <v>2.0000005732025406E-3</v>
      </c>
      <c r="I2093" s="255">
        <v>2.8254701307803987E-3</v>
      </c>
      <c r="J2093" s="256">
        <v>1.1128708566704255E-4</v>
      </c>
      <c r="K2093" s="257">
        <v>1.1631899385177759E-4</v>
      </c>
      <c r="L2093" s="228">
        <v>4.2542019901344048E-2</v>
      </c>
    </row>
    <row r="2094" spans="1:12" s="212" customFormat="1" ht="15.5" x14ac:dyDescent="0.35">
      <c r="A2094" s="198" t="s">
        <v>862</v>
      </c>
      <c r="B2094" s="197">
        <v>2022</v>
      </c>
      <c r="C2094" s="213" t="s">
        <v>5249</v>
      </c>
      <c r="D2094" s="239">
        <v>2.0827071741144121E-2</v>
      </c>
      <c r="E2094" s="226">
        <v>0.11471415248360807</v>
      </c>
      <c r="F2094" s="226">
        <v>1.5896980727262994E-3</v>
      </c>
      <c r="G2094" s="227">
        <v>1.4657500213715092E-3</v>
      </c>
      <c r="H2094" s="226">
        <v>2.0000005732025406E-3</v>
      </c>
      <c r="I2094" s="255">
        <v>2.8217209442812606E-3</v>
      </c>
      <c r="J2094" s="256">
        <v>1.0270093379530421E-4</v>
      </c>
      <c r="K2094" s="257">
        <v>1.0734461429288369E-4</v>
      </c>
      <c r="L2094" s="228">
        <v>4.1701250676545322E-2</v>
      </c>
    </row>
    <row r="2095" spans="1:12" s="212" customFormat="1" ht="15.5" x14ac:dyDescent="0.35">
      <c r="A2095" s="198" t="s">
        <v>862</v>
      </c>
      <c r="B2095" s="197">
        <v>2023</v>
      </c>
      <c r="C2095" s="213" t="s">
        <v>5250</v>
      </c>
      <c r="D2095" s="239">
        <v>1.7986110025416665E-2</v>
      </c>
      <c r="E2095" s="226">
        <v>9.9743062545415706E-2</v>
      </c>
      <c r="F2095" s="226">
        <v>1.5106462391815188E-3</v>
      </c>
      <c r="G2095" s="227">
        <v>1.3926389110844916E-3</v>
      </c>
      <c r="H2095" s="226">
        <v>2.0000005732025402E-3</v>
      </c>
      <c r="I2095" s="255">
        <v>2.8172176521496389E-3</v>
      </c>
      <c r="J2095" s="256">
        <v>9.2895051150776957E-5</v>
      </c>
      <c r="K2095" s="257">
        <v>9.7095353148130792E-5</v>
      </c>
      <c r="L2095" s="228">
        <v>4.0820822066987707E-2</v>
      </c>
    </row>
    <row r="2096" spans="1:12" s="212" customFormat="1" ht="15.5" x14ac:dyDescent="0.35">
      <c r="A2096" s="198" t="s">
        <v>862</v>
      </c>
      <c r="B2096" s="197">
        <v>2024</v>
      </c>
      <c r="C2096" s="213" t="s">
        <v>5251</v>
      </c>
      <c r="D2096" s="239">
        <v>1.5601298217322165E-2</v>
      </c>
      <c r="E2096" s="226">
        <v>8.7059256840641877E-2</v>
      </c>
      <c r="F2096" s="226">
        <v>1.4406861867187946E-3</v>
      </c>
      <c r="G2096" s="227">
        <v>1.3278853355398672E-3</v>
      </c>
      <c r="H2096" s="226">
        <v>2.0000005732025402E-3</v>
      </c>
      <c r="I2096" s="255">
        <v>2.812721910137617E-3</v>
      </c>
      <c r="J2096" s="256">
        <v>8.2674814950361509E-5</v>
      </c>
      <c r="K2096" s="257">
        <v>8.6413003218359011E-5</v>
      </c>
      <c r="L2096" s="228">
        <v>3.9913225063925514E-2</v>
      </c>
    </row>
    <row r="2097" spans="1:12" s="212" customFormat="1" ht="15.5" x14ac:dyDescent="0.35">
      <c r="A2097" s="198" t="s">
        <v>862</v>
      </c>
      <c r="B2097" s="197">
        <v>2025</v>
      </c>
      <c r="C2097" s="213" t="s">
        <v>5252</v>
      </c>
      <c r="D2097" s="239">
        <v>1.3681408561898855E-2</v>
      </c>
      <c r="E2097" s="226">
        <v>7.6576109116952992E-2</v>
      </c>
      <c r="F2097" s="226">
        <v>1.3827810919208306E-3</v>
      </c>
      <c r="G2097" s="227">
        <v>1.2742584163733394E-3</v>
      </c>
      <c r="H2097" s="226">
        <v>2.0000005732025402E-3</v>
      </c>
      <c r="I2097" s="255">
        <v>2.8083886669790278E-3</v>
      </c>
      <c r="J2097" s="256">
        <v>7.2917323499598698E-5</v>
      </c>
      <c r="K2097" s="257">
        <v>7.6214321302419714E-5</v>
      </c>
      <c r="L2097" s="228">
        <v>3.8984709664786718E-2</v>
      </c>
    </row>
    <row r="2098" spans="1:12" s="212" customFormat="1" ht="15.5" x14ac:dyDescent="0.35">
      <c r="A2098" s="198" t="s">
        <v>862</v>
      </c>
      <c r="B2098" s="197">
        <v>2026</v>
      </c>
      <c r="C2098" s="213" t="s">
        <v>5253</v>
      </c>
      <c r="D2098" s="239">
        <v>1.2071596622528824E-2</v>
      </c>
      <c r="E2098" s="226">
        <v>6.7773063535846348E-2</v>
      </c>
      <c r="F2098" s="226">
        <v>1.3249567873726525E-3</v>
      </c>
      <c r="G2098" s="227">
        <v>1.2207404384782163E-3</v>
      </c>
      <c r="H2098" s="226">
        <v>2.0000005732025402E-3</v>
      </c>
      <c r="I2098" s="255">
        <v>2.8042675057876909E-3</v>
      </c>
      <c r="J2098" s="256">
        <v>6.3936893869944309E-5</v>
      </c>
      <c r="K2098" s="257">
        <v>6.6827836494978633E-5</v>
      </c>
      <c r="L2098" s="228">
        <v>3.8086795542234451E-2</v>
      </c>
    </row>
    <row r="2099" spans="1:12" s="212" customFormat="1" ht="15.5" x14ac:dyDescent="0.35">
      <c r="A2099" s="198" t="s">
        <v>862</v>
      </c>
      <c r="B2099" s="197">
        <v>2027</v>
      </c>
      <c r="C2099" s="213" t="s">
        <v>5254</v>
      </c>
      <c r="D2099" s="239">
        <v>1.0717252438714287E-2</v>
      </c>
      <c r="E2099" s="226">
        <v>6.0316102692828902E-2</v>
      </c>
      <c r="F2099" s="226">
        <v>1.257254232518012E-3</v>
      </c>
      <c r="G2099" s="227">
        <v>1.1579840700585411E-3</v>
      </c>
      <c r="H2099" s="226">
        <v>2.0000005732025402E-3</v>
      </c>
      <c r="I2099" s="255">
        <v>2.8001871804333458E-3</v>
      </c>
      <c r="J2099" s="256">
        <v>5.0951376770754251E-5</v>
      </c>
      <c r="K2099" s="257">
        <v>5.3255171934941976E-5</v>
      </c>
      <c r="L2099" s="228">
        <v>3.7240833514079474E-2</v>
      </c>
    </row>
    <row r="2100" spans="1:12" s="212" customFormat="1" ht="15.5" x14ac:dyDescent="0.35">
      <c r="A2100" s="198" t="s">
        <v>862</v>
      </c>
      <c r="B2100" s="197">
        <v>2028</v>
      </c>
      <c r="C2100" s="213" t="s">
        <v>5255</v>
      </c>
      <c r="D2100" s="239">
        <v>9.7074846874085144E-3</v>
      </c>
      <c r="E2100" s="226">
        <v>5.4166003362883589E-2</v>
      </c>
      <c r="F2100" s="226">
        <v>1.2000054827990213E-3</v>
      </c>
      <c r="G2100" s="227">
        <v>1.1049638470630903E-3</v>
      </c>
      <c r="H2100" s="226">
        <v>2.0000005732013198E-3</v>
      </c>
      <c r="I2100" s="255">
        <v>2.8982684440632235E-3</v>
      </c>
      <c r="J2100" s="256">
        <v>4.1144326671958917E-5</v>
      </c>
      <c r="K2100" s="257">
        <v>4.3004690548819248E-5</v>
      </c>
      <c r="L2100" s="228">
        <v>3.6463455921836682E-2</v>
      </c>
    </row>
    <row r="2101" spans="1:12" s="212" customFormat="1" ht="15.5" x14ac:dyDescent="0.35">
      <c r="A2101" s="198" t="s">
        <v>862</v>
      </c>
      <c r="B2101" s="197">
        <v>2029</v>
      </c>
      <c r="C2101" s="213" t="s">
        <v>5256</v>
      </c>
      <c r="D2101" s="239">
        <v>8.7587403450131614E-3</v>
      </c>
      <c r="E2101" s="226">
        <v>4.9019911085229496E-2</v>
      </c>
      <c r="F2101" s="226">
        <v>1.1290873826980909E-3</v>
      </c>
      <c r="G2101" s="227">
        <v>1.0394345419832594E-3</v>
      </c>
      <c r="H2101" s="226">
        <v>2.0000005732013198E-3</v>
      </c>
      <c r="I2101" s="255">
        <v>2.8948115734986025E-3</v>
      </c>
      <c r="J2101" s="256">
        <v>3.2861317677880857E-5</v>
      </c>
      <c r="K2101" s="257">
        <v>3.4347160643337108E-5</v>
      </c>
      <c r="L2101" s="228">
        <v>3.5752294949438795E-2</v>
      </c>
    </row>
    <row r="2102" spans="1:12" s="212" customFormat="1" ht="15.5" x14ac:dyDescent="0.35">
      <c r="A2102" s="198" t="s">
        <v>862</v>
      </c>
      <c r="B2102" s="197">
        <v>2030</v>
      </c>
      <c r="C2102" s="213" t="s">
        <v>5257</v>
      </c>
      <c r="D2102" s="239">
        <v>7.9749441458705529E-3</v>
      </c>
      <c r="E2102" s="226">
        <v>4.4782588584336702E-2</v>
      </c>
      <c r="F2102" s="226">
        <v>1.0642918543030283E-3</v>
      </c>
      <c r="G2102" s="227">
        <v>9.797145725469426E-4</v>
      </c>
      <c r="H2102" s="226">
        <v>2.0000005732013198E-3</v>
      </c>
      <c r="I2102" s="255">
        <v>2.8917514929388782E-3</v>
      </c>
      <c r="J2102" s="256">
        <v>2.9194420168559039E-5</v>
      </c>
      <c r="K2102" s="257">
        <v>3.0514462300260434E-5</v>
      </c>
      <c r="L2102" s="228">
        <v>3.5107431112582188E-2</v>
      </c>
    </row>
    <row r="2103" spans="1:12" s="212" customFormat="1" ht="15.5" x14ac:dyDescent="0.35">
      <c r="A2103" s="198" t="s">
        <v>862</v>
      </c>
      <c r="B2103" s="197">
        <v>2031</v>
      </c>
      <c r="C2103" s="213" t="s">
        <v>5258</v>
      </c>
      <c r="D2103" s="239">
        <v>7.2752396512330286E-3</v>
      </c>
      <c r="E2103" s="226">
        <v>4.1097371222836729E-2</v>
      </c>
      <c r="F2103" s="226">
        <v>1.0000159573863004E-3</v>
      </c>
      <c r="G2103" s="227">
        <v>9.2046372664923671E-4</v>
      </c>
      <c r="H2103" s="226">
        <v>2.0000005732013202E-3</v>
      </c>
      <c r="I2103" s="255">
        <v>2.888894673799239E-3</v>
      </c>
      <c r="J2103" s="256">
        <v>2.5305300213956145E-5</v>
      </c>
      <c r="K2103" s="257">
        <v>2.6449493599024599E-5</v>
      </c>
      <c r="L2103" s="228">
        <v>3.455746629224473E-2</v>
      </c>
    </row>
    <row r="2104" spans="1:12" s="212" customFormat="1" ht="15.5" x14ac:dyDescent="0.35">
      <c r="A2104" s="198" t="s">
        <v>862</v>
      </c>
      <c r="B2104" s="197">
        <v>2032</v>
      </c>
      <c r="C2104" s="213" t="s">
        <v>5259</v>
      </c>
      <c r="D2104" s="239">
        <v>6.7008279707380563E-3</v>
      </c>
      <c r="E2104" s="226">
        <v>3.8121616994610731E-2</v>
      </c>
      <c r="F2104" s="226">
        <v>9.4013894684201265E-4</v>
      </c>
      <c r="G2104" s="227">
        <v>8.6528092524921314E-4</v>
      </c>
      <c r="H2104" s="226">
        <v>2.0000005732013194E-3</v>
      </c>
      <c r="I2104" s="255">
        <v>2.886289948594968E-3</v>
      </c>
      <c r="J2104" s="256">
        <v>2.2017543865782311E-5</v>
      </c>
      <c r="K2104" s="257">
        <v>2.3013079497989095E-5</v>
      </c>
      <c r="L2104" s="228">
        <v>3.4031123770760313E-2</v>
      </c>
    </row>
    <row r="2105" spans="1:12" s="212" customFormat="1" ht="15.5" x14ac:dyDescent="0.35">
      <c r="A2105" s="198" t="s">
        <v>862</v>
      </c>
      <c r="B2105" s="197">
        <v>2033</v>
      </c>
      <c r="C2105" s="213" t="s">
        <v>5260</v>
      </c>
      <c r="D2105" s="239">
        <v>6.2010433771452012E-3</v>
      </c>
      <c r="E2105" s="226">
        <v>3.5581682729069947E-2</v>
      </c>
      <c r="F2105" s="226">
        <v>8.8393966789486868E-4</v>
      </c>
      <c r="G2105" s="227">
        <v>8.1352452652407145E-4</v>
      </c>
      <c r="H2105" s="226">
        <v>2.0000005732013198E-3</v>
      </c>
      <c r="I2105" s="255">
        <v>2.8838680115469851E-3</v>
      </c>
      <c r="J2105" s="256">
        <v>1.9881248490421018E-5</v>
      </c>
      <c r="K2105" s="257">
        <v>2.0780190325424289E-5</v>
      </c>
      <c r="L2105" s="228">
        <v>3.3560052817132639E-2</v>
      </c>
    </row>
    <row r="2106" spans="1:12" s="212" customFormat="1" ht="15.5" x14ac:dyDescent="0.35">
      <c r="A2106" s="198" t="s">
        <v>862</v>
      </c>
      <c r="B2106" s="197">
        <v>2034</v>
      </c>
      <c r="C2106" s="213" t="s">
        <v>5261</v>
      </c>
      <c r="D2106" s="239">
        <v>5.7551968261456898E-3</v>
      </c>
      <c r="E2106" s="226">
        <v>3.3387709057428903E-2</v>
      </c>
      <c r="F2106" s="226">
        <v>8.3011364263164901E-4</v>
      </c>
      <c r="G2106" s="227">
        <v>7.6393769245595208E-4</v>
      </c>
      <c r="H2106" s="226">
        <v>2.0000005732013194E-3</v>
      </c>
      <c r="I2106" s="255">
        <v>2.8816407525511594E-3</v>
      </c>
      <c r="J2106" s="256">
        <v>1.7422736056205227E-5</v>
      </c>
      <c r="K2106" s="257">
        <v>1.8210514868420596E-5</v>
      </c>
      <c r="L2106" s="228">
        <v>3.3138781006040063E-2</v>
      </c>
    </row>
    <row r="2107" spans="1:12" s="212" customFormat="1" ht="15.5" x14ac:dyDescent="0.35">
      <c r="A2107" s="198" t="s">
        <v>862</v>
      </c>
      <c r="B2107" s="197">
        <v>2035</v>
      </c>
      <c r="C2107" s="213" t="s">
        <v>5262</v>
      </c>
      <c r="D2107" s="239">
        <v>5.3814467419177172E-3</v>
      </c>
      <c r="E2107" s="226">
        <v>3.1579553549749464E-2</v>
      </c>
      <c r="F2107" s="226">
        <v>7.8106585970554141E-4</v>
      </c>
      <c r="G2107" s="227">
        <v>7.1877357834597704E-4</v>
      </c>
      <c r="H2107" s="226">
        <v>2.0000005732013194E-3</v>
      </c>
      <c r="I2107" s="255">
        <v>2.8796390097926626E-3</v>
      </c>
      <c r="J2107" s="256">
        <v>1.5716285924782914E-5</v>
      </c>
      <c r="K2107" s="257">
        <v>1.6426906634315696E-5</v>
      </c>
      <c r="L2107" s="228">
        <v>3.2767402034115142E-2</v>
      </c>
    </row>
    <row r="2108" spans="1:12" s="212" customFormat="1" ht="15.5" x14ac:dyDescent="0.35">
      <c r="A2108" s="198" t="s">
        <v>862</v>
      </c>
      <c r="B2108" s="197">
        <v>2036</v>
      </c>
      <c r="C2108" s="213" t="s">
        <v>5263</v>
      </c>
      <c r="D2108" s="239">
        <v>5.0380047330925411E-3</v>
      </c>
      <c r="E2108" s="226">
        <v>2.9963911162710605E-2</v>
      </c>
      <c r="F2108" s="226">
        <v>7.3694453648596699E-4</v>
      </c>
      <c r="G2108" s="227">
        <v>6.7814859103478562E-4</v>
      </c>
      <c r="H2108" s="226">
        <v>2.0000005732013198E-3</v>
      </c>
      <c r="I2108" s="255">
        <v>2.8778054231944688E-3</v>
      </c>
      <c r="J2108" s="256">
        <v>1.4251834068279528E-5</v>
      </c>
      <c r="K2108" s="257">
        <v>1.4896238763270098E-5</v>
      </c>
      <c r="L2108" s="228">
        <v>3.2480741170474531E-2</v>
      </c>
    </row>
    <row r="2109" spans="1:12" s="212" customFormat="1" ht="15.5" x14ac:dyDescent="0.35">
      <c r="A2109" s="198" t="s">
        <v>862</v>
      </c>
      <c r="B2109" s="197">
        <v>2037</v>
      </c>
      <c r="C2109" s="213" t="s">
        <v>5264</v>
      </c>
      <c r="D2109" s="239">
        <v>4.7347112314642583E-3</v>
      </c>
      <c r="E2109" s="226">
        <v>2.8557484950247191E-2</v>
      </c>
      <c r="F2109" s="226">
        <v>6.9647609675916006E-4</v>
      </c>
      <c r="G2109" s="227">
        <v>6.4087406747795675E-4</v>
      </c>
      <c r="H2109" s="226">
        <v>2.0000005732013198E-3</v>
      </c>
      <c r="I2109" s="255">
        <v>2.8761876003858618E-3</v>
      </c>
      <c r="J2109" s="256">
        <v>1.257621247932495E-5</v>
      </c>
      <c r="K2109" s="257">
        <v>1.3144853001523677E-5</v>
      </c>
      <c r="L2109" s="228">
        <v>3.2197318351182738E-2</v>
      </c>
    </row>
    <row r="2110" spans="1:12" s="212" customFormat="1" ht="15.5" x14ac:dyDescent="0.35">
      <c r="A2110" s="198" t="s">
        <v>862</v>
      </c>
      <c r="B2110" s="197">
        <v>2038</v>
      </c>
      <c r="C2110" s="213" t="s">
        <v>5265</v>
      </c>
      <c r="D2110" s="239">
        <v>4.487995878756151E-3</v>
      </c>
      <c r="E2110" s="226">
        <v>2.7423922132504736E-2</v>
      </c>
      <c r="F2110" s="226">
        <v>6.6084565251831821E-4</v>
      </c>
      <c r="G2110" s="227">
        <v>6.0807007585544958E-4</v>
      </c>
      <c r="H2110" s="226">
        <v>2.0000005732013198E-3</v>
      </c>
      <c r="I2110" s="255">
        <v>2.8748083215122274E-3</v>
      </c>
      <c r="J2110" s="256">
        <v>1.146968827880595E-5</v>
      </c>
      <c r="K2110" s="257">
        <v>1.1988296686785604E-5</v>
      </c>
      <c r="L2110" s="228">
        <v>3.1954916092465334E-2</v>
      </c>
    </row>
    <row r="2111" spans="1:12" s="212" customFormat="1" ht="15.5" x14ac:dyDescent="0.35">
      <c r="A2111" s="198" t="s">
        <v>862</v>
      </c>
      <c r="B2111" s="197">
        <v>2039</v>
      </c>
      <c r="C2111" s="213" t="s">
        <v>5266</v>
      </c>
      <c r="D2111" s="239">
        <v>4.2234329369971266E-3</v>
      </c>
      <c r="E2111" s="226">
        <v>2.6255864474600186E-2</v>
      </c>
      <c r="F2111" s="226">
        <v>6.2797482453963991E-4</v>
      </c>
      <c r="G2111" s="227">
        <v>5.7779607511751734E-4</v>
      </c>
      <c r="H2111" s="226">
        <v>2.0000005732013198E-3</v>
      </c>
      <c r="I2111" s="255">
        <v>2.8735221916032128E-3</v>
      </c>
      <c r="J2111" s="256">
        <v>1.0173896627612657E-5</v>
      </c>
      <c r="K2111" s="257">
        <v>1.0633915087115654E-5</v>
      </c>
      <c r="L2111" s="228">
        <v>3.1745431584295748E-2</v>
      </c>
    </row>
    <row r="2112" spans="1:12" s="212" customFormat="1" ht="15.5" x14ac:dyDescent="0.35">
      <c r="A2112" s="198" t="s">
        <v>862</v>
      </c>
      <c r="B2112" s="197">
        <v>2040</v>
      </c>
      <c r="C2112" s="213" t="s">
        <v>5267</v>
      </c>
      <c r="D2112" s="239">
        <v>4.0134384657591277E-3</v>
      </c>
      <c r="E2112" s="226">
        <v>2.5331883708822105E-2</v>
      </c>
      <c r="F2112" s="226">
        <v>5.9974768606044682E-4</v>
      </c>
      <c r="G2112" s="227">
        <v>5.5181063452798247E-4</v>
      </c>
      <c r="H2112" s="226">
        <v>2.0000005732013198E-3</v>
      </c>
      <c r="I2112" s="255">
        <v>2.8724480279310395E-3</v>
      </c>
      <c r="J2112" s="256">
        <v>9.3621315383490771E-6</v>
      </c>
      <c r="K2112" s="257">
        <v>9.7854455826698149E-6</v>
      </c>
      <c r="L2112" s="228">
        <v>3.1568324939882993E-2</v>
      </c>
    </row>
    <row r="2113" spans="1:12" s="212" customFormat="1" ht="15.5" x14ac:dyDescent="0.35">
      <c r="A2113" s="198" t="s">
        <v>862</v>
      </c>
      <c r="B2113" s="197">
        <v>2041</v>
      </c>
      <c r="C2113" s="213" t="s">
        <v>5268</v>
      </c>
      <c r="D2113" s="239">
        <v>3.8686019043595878E-3</v>
      </c>
      <c r="E2113" s="226">
        <v>2.4616183964197354E-2</v>
      </c>
      <c r="F2113" s="226">
        <v>5.7730782588896377E-4</v>
      </c>
      <c r="G2113" s="227">
        <v>5.3114989783840949E-4</v>
      </c>
      <c r="H2113" s="226">
        <v>2.0000005732013198E-3</v>
      </c>
      <c r="I2113" s="255">
        <v>2.8715577133735415E-3</v>
      </c>
      <c r="J2113" s="256">
        <v>8.6405836278423555E-6</v>
      </c>
      <c r="K2113" s="257">
        <v>9.0312724774714012E-6</v>
      </c>
      <c r="L2113" s="228">
        <v>3.1420363878434096E-2</v>
      </c>
    </row>
    <row r="2114" spans="1:12" s="212" customFormat="1" ht="15.5" x14ac:dyDescent="0.35">
      <c r="A2114" s="198" t="s">
        <v>862</v>
      </c>
      <c r="B2114" s="197">
        <v>2042</v>
      </c>
      <c r="C2114" s="213" t="s">
        <v>5269</v>
      </c>
      <c r="D2114" s="239">
        <v>3.7474901924840457E-3</v>
      </c>
      <c r="E2114" s="226">
        <v>2.3993124986071635E-2</v>
      </c>
      <c r="F2114" s="226">
        <v>5.5816576074586117E-4</v>
      </c>
      <c r="G2114" s="227">
        <v>5.135263520137628E-4</v>
      </c>
      <c r="H2114" s="226">
        <v>2.0000005732013198E-3</v>
      </c>
      <c r="I2114" s="255">
        <v>2.8708048638616951E-3</v>
      </c>
      <c r="J2114" s="256">
        <v>8.0471080786328161E-6</v>
      </c>
      <c r="K2114" s="257">
        <v>8.4109625974353438E-6</v>
      </c>
      <c r="L2114" s="228">
        <v>3.1294940128825791E-2</v>
      </c>
    </row>
    <row r="2115" spans="1:12" s="212" customFormat="1" ht="15.5" x14ac:dyDescent="0.35">
      <c r="A2115" s="198" t="s">
        <v>862</v>
      </c>
      <c r="B2115" s="197">
        <v>2043</v>
      </c>
      <c r="C2115" s="213" t="s">
        <v>5270</v>
      </c>
      <c r="D2115" s="239">
        <v>3.650702163750338E-3</v>
      </c>
      <c r="E2115" s="226">
        <v>2.3448382074327163E-2</v>
      </c>
      <c r="F2115" s="226">
        <v>5.4199943112543671E-4</v>
      </c>
      <c r="G2115" s="227">
        <v>4.986447350983494E-4</v>
      </c>
      <c r="H2115" s="226">
        <v>2.0000005732013198E-3</v>
      </c>
      <c r="I2115" s="255">
        <v>2.8701669462402458E-3</v>
      </c>
      <c r="J2115" s="256">
        <v>7.6037738926228891E-6</v>
      </c>
      <c r="K2115" s="257">
        <v>7.9475828068003517E-6</v>
      </c>
      <c r="L2115" s="228">
        <v>3.1189673048932678E-2</v>
      </c>
    </row>
    <row r="2116" spans="1:12" s="212" customFormat="1" ht="15.5" x14ac:dyDescent="0.35">
      <c r="A2116" s="198" t="s">
        <v>862</v>
      </c>
      <c r="B2116" s="197">
        <v>2044</v>
      </c>
      <c r="C2116" s="213" t="s">
        <v>5271</v>
      </c>
      <c r="D2116" s="239">
        <v>3.5639448763559868E-3</v>
      </c>
      <c r="E2116" s="226">
        <v>2.2883401697042168E-2</v>
      </c>
      <c r="F2116" s="226">
        <v>5.28197289811267E-4</v>
      </c>
      <c r="G2116" s="227">
        <v>4.8594040398824441E-4</v>
      </c>
      <c r="H2116" s="226">
        <v>2.0000005732013198E-3</v>
      </c>
      <c r="I2116" s="255">
        <v>2.8695611598674757E-3</v>
      </c>
      <c r="J2116" s="256">
        <v>7.2503182556894167E-6</v>
      </c>
      <c r="K2116" s="257">
        <v>7.5781454744009328E-6</v>
      </c>
      <c r="L2116" s="228">
        <v>3.1100705330212568E-2</v>
      </c>
    </row>
    <row r="2117" spans="1:12" s="212" customFormat="1" ht="15.5" x14ac:dyDescent="0.35">
      <c r="A2117" s="198" t="s">
        <v>862</v>
      </c>
      <c r="B2117" s="197">
        <v>2045</v>
      </c>
      <c r="C2117" s="213" t="s">
        <v>5272</v>
      </c>
      <c r="D2117" s="239">
        <v>3.4931242639022514E-3</v>
      </c>
      <c r="E2117" s="226">
        <v>2.2363427289123088E-2</v>
      </c>
      <c r="F2117" s="226">
        <v>5.1660257073134935E-4</v>
      </c>
      <c r="G2117" s="227">
        <v>4.7526865927891102E-4</v>
      </c>
      <c r="H2117" s="226">
        <v>2.0000005732013198E-3</v>
      </c>
      <c r="I2117" s="255">
        <v>2.8690591182479663E-3</v>
      </c>
      <c r="J2117" s="256">
        <v>6.9723996173072698E-6</v>
      </c>
      <c r="K2117" s="257">
        <v>7.2876605884368296E-6</v>
      </c>
      <c r="L2117" s="228">
        <v>3.1024198893152371E-2</v>
      </c>
    </row>
    <row r="2118" spans="1:12" s="212" customFormat="1" ht="15.5" x14ac:dyDescent="0.35">
      <c r="A2118" s="198" t="s">
        <v>862</v>
      </c>
      <c r="B2118" s="197">
        <v>2046</v>
      </c>
      <c r="C2118" s="213" t="s">
        <v>5273</v>
      </c>
      <c r="D2118" s="239">
        <v>3.4269238314073467E-3</v>
      </c>
      <c r="E2118" s="226">
        <v>2.186445816775149E-2</v>
      </c>
      <c r="F2118" s="226">
        <v>5.0694563194784786E-4</v>
      </c>
      <c r="G2118" s="227">
        <v>4.6638047026821469E-4</v>
      </c>
      <c r="H2118" s="226">
        <v>2.0000005732013198E-3</v>
      </c>
      <c r="I2118" s="255">
        <v>2.8686163756043528E-3</v>
      </c>
      <c r="J2118" s="256">
        <v>6.7416603779235521E-6</v>
      </c>
      <c r="K2118" s="257">
        <v>7.0464883445383939E-6</v>
      </c>
      <c r="L2118" s="228">
        <v>3.0958906568184459E-2</v>
      </c>
    </row>
    <row r="2119" spans="1:12" s="212" customFormat="1" ht="15.5" x14ac:dyDescent="0.35">
      <c r="A2119" s="198" t="s">
        <v>862</v>
      </c>
      <c r="B2119" s="197">
        <v>2047</v>
      </c>
      <c r="C2119" s="213" t="s">
        <v>5274</v>
      </c>
      <c r="D2119" s="239">
        <v>3.3732437804832398E-3</v>
      </c>
      <c r="E2119" s="226">
        <v>2.145926597356506E-2</v>
      </c>
      <c r="F2119" s="226">
        <v>4.9912645374374724E-4</v>
      </c>
      <c r="G2119" s="227">
        <v>4.5918335575959176E-4</v>
      </c>
      <c r="H2119" s="226">
        <v>2.0000005732013198E-3</v>
      </c>
      <c r="I2119" s="255">
        <v>2.868274301607545E-3</v>
      </c>
      <c r="J2119" s="256">
        <v>6.5448376864379661E-6</v>
      </c>
      <c r="K2119" s="257">
        <v>6.8407662043315766E-6</v>
      </c>
      <c r="L2119" s="228">
        <v>3.0904356488351815E-2</v>
      </c>
    </row>
    <row r="2120" spans="1:12" s="212" customFormat="1" ht="15.5" x14ac:dyDescent="0.35">
      <c r="A2120" s="198" t="s">
        <v>862</v>
      </c>
      <c r="B2120" s="197">
        <v>2048</v>
      </c>
      <c r="C2120" s="213" t="s">
        <v>5275</v>
      </c>
      <c r="D2120" s="239">
        <v>3.3299301093602054E-3</v>
      </c>
      <c r="E2120" s="226">
        <v>2.1142116377851208E-2</v>
      </c>
      <c r="F2120" s="226">
        <v>4.9276556802110741E-4</v>
      </c>
      <c r="G2120" s="227">
        <v>4.5332837417455882E-4</v>
      </c>
      <c r="H2120" s="226">
        <v>2.0000005732013198E-3</v>
      </c>
      <c r="I2120" s="255">
        <v>2.8679716556616309E-3</v>
      </c>
      <c r="J2120" s="256">
        <v>6.3810417306271406E-6</v>
      </c>
      <c r="K2120" s="257">
        <v>6.6695641222327872E-6</v>
      </c>
      <c r="L2120" s="228">
        <v>3.0857556106461737E-2</v>
      </c>
    </row>
    <row r="2121" spans="1:12" s="212" customFormat="1" ht="15.5" x14ac:dyDescent="0.35">
      <c r="A2121" s="198" t="s">
        <v>862</v>
      </c>
      <c r="B2121" s="197">
        <v>2049</v>
      </c>
      <c r="C2121" s="213" t="s">
        <v>5276</v>
      </c>
      <c r="D2121" s="239">
        <v>3.3196710246925741E-3</v>
      </c>
      <c r="E2121" s="226">
        <v>2.110340004899753E-2</v>
      </c>
      <c r="F2121" s="226">
        <v>4.8867503636973474E-4</v>
      </c>
      <c r="G2121" s="227">
        <v>4.4956222507117852E-4</v>
      </c>
      <c r="H2121" s="226">
        <v>2.0000005732013202E-3</v>
      </c>
      <c r="I2121" s="255">
        <v>2.8677114284983009E-3</v>
      </c>
      <c r="J2121" s="256">
        <v>6.2512709395523175E-6</v>
      </c>
      <c r="K2121" s="257">
        <v>6.5339256718349169E-6</v>
      </c>
      <c r="L2121" s="228">
        <v>3.081732795428338E-2</v>
      </c>
    </row>
    <row r="2122" spans="1:12" s="212" customFormat="1" ht="15.5" x14ac:dyDescent="0.35">
      <c r="A2122" s="198" t="s">
        <v>862</v>
      </c>
      <c r="B2122" s="197">
        <v>2050</v>
      </c>
      <c r="C2122" s="213" t="s">
        <v>5277</v>
      </c>
      <c r="D2122" s="239">
        <v>3.3115876931016325E-3</v>
      </c>
      <c r="E2122" s="226">
        <v>2.107126181691504E-2</v>
      </c>
      <c r="F2122" s="226">
        <v>4.8536452727849518E-4</v>
      </c>
      <c r="G2122" s="227">
        <v>4.4651124240363115E-4</v>
      </c>
      <c r="H2122" s="226">
        <v>2.0000005732013202E-3</v>
      </c>
      <c r="I2122" s="255">
        <v>2.8674877978279185E-3</v>
      </c>
      <c r="J2122" s="256">
        <v>6.0692577103579483E-6</v>
      </c>
      <c r="K2122" s="257">
        <v>6.343682612088138E-6</v>
      </c>
      <c r="L2122" s="228">
        <v>3.0783568688964098E-2</v>
      </c>
    </row>
    <row r="2123" spans="1:12" s="212" customFormat="1" ht="15.5" x14ac:dyDescent="0.35">
      <c r="A2123" s="198" t="s">
        <v>788</v>
      </c>
      <c r="B2123" s="197">
        <v>2015</v>
      </c>
      <c r="C2123" s="213" t="s">
        <v>5278</v>
      </c>
      <c r="D2123" s="239">
        <v>6.6938325362554077E-2</v>
      </c>
      <c r="E2123" s="226">
        <v>0.28689326957955225</v>
      </c>
      <c r="F2123" s="226">
        <v>2.4621343063195066E-3</v>
      </c>
      <c r="G2123" s="227">
        <v>2.2778315421508066E-3</v>
      </c>
      <c r="H2123" s="226">
        <v>2.0000005732018801E-3</v>
      </c>
      <c r="I2123" s="255">
        <v>2.5297784346629245E-3</v>
      </c>
      <c r="J2123" s="256">
        <v>2.3454817919273761E-4</v>
      </c>
      <c r="K2123" s="257">
        <v>2.4515340706370269E-4</v>
      </c>
      <c r="L2123" s="228">
        <v>5.0297181550343836E-2</v>
      </c>
    </row>
    <row r="2124" spans="1:12" s="212" customFormat="1" ht="15.5" x14ac:dyDescent="0.35">
      <c r="A2124" s="198" t="s">
        <v>788</v>
      </c>
      <c r="B2124" s="197">
        <v>2016</v>
      </c>
      <c r="C2124" s="213" t="s">
        <v>5279</v>
      </c>
      <c r="D2124" s="239">
        <v>5.8510372749612932E-2</v>
      </c>
      <c r="E2124" s="226">
        <v>0.25941130541816615</v>
      </c>
      <c r="F2124" s="226">
        <v>2.3584392200888E-3</v>
      </c>
      <c r="G2124" s="227">
        <v>2.1804487744388843E-3</v>
      </c>
      <c r="H2124" s="226">
        <v>2.0000005732018801E-3</v>
      </c>
      <c r="I2124" s="255">
        <v>2.5246915622023796E-3</v>
      </c>
      <c r="J2124" s="256">
        <v>2.1422902951061468E-4</v>
      </c>
      <c r="K2124" s="257">
        <v>2.2391551559784525E-4</v>
      </c>
      <c r="L2124" s="228">
        <v>4.9233803398811414E-2</v>
      </c>
    </row>
    <row r="2125" spans="1:12" s="212" customFormat="1" ht="15.5" x14ac:dyDescent="0.35">
      <c r="A2125" s="198" t="s">
        <v>788</v>
      </c>
      <c r="B2125" s="197">
        <v>2017</v>
      </c>
      <c r="C2125" s="213" t="s">
        <v>5280</v>
      </c>
      <c r="D2125" s="239">
        <v>4.7555856210683096E-2</v>
      </c>
      <c r="E2125" s="226">
        <v>0.21970276370469835</v>
      </c>
      <c r="F2125" s="226">
        <v>2.2149221797685293E-3</v>
      </c>
      <c r="G2125" s="227">
        <v>2.0463522312854014E-3</v>
      </c>
      <c r="H2125" s="226">
        <v>2.0000005732018801E-3</v>
      </c>
      <c r="I2125" s="255">
        <v>2.5261684614076665E-3</v>
      </c>
      <c r="J2125" s="256">
        <v>1.919305264114419E-4</v>
      </c>
      <c r="K2125" s="257">
        <v>2.0060877313666993E-4</v>
      </c>
      <c r="L2125" s="228">
        <v>4.8848052393251587E-2</v>
      </c>
    </row>
    <row r="2126" spans="1:12" s="212" customFormat="1" ht="15.5" x14ac:dyDescent="0.35">
      <c r="A2126" s="198" t="s">
        <v>788</v>
      </c>
      <c r="B2126" s="197">
        <v>2018</v>
      </c>
      <c r="C2126" s="213" t="s">
        <v>5281</v>
      </c>
      <c r="D2126" s="239">
        <v>4.0430991275636319E-2</v>
      </c>
      <c r="E2126" s="226">
        <v>0.19261933385315252</v>
      </c>
      <c r="F2126" s="226">
        <v>2.1523355730950701E-3</v>
      </c>
      <c r="G2126" s="227">
        <v>1.9872244073130575E-3</v>
      </c>
      <c r="H2126" s="226">
        <v>2.0000005732018801E-3</v>
      </c>
      <c r="I2126" s="255">
        <v>2.5272398903041574E-3</v>
      </c>
      <c r="J2126" s="256">
        <v>1.7113423072302118E-4</v>
      </c>
      <c r="K2126" s="257">
        <v>1.7887216123941446E-4</v>
      </c>
      <c r="L2126" s="228">
        <v>4.825427983722106E-2</v>
      </c>
    </row>
    <row r="2127" spans="1:12" s="212" customFormat="1" ht="15.5" x14ac:dyDescent="0.35">
      <c r="A2127" s="198" t="s">
        <v>788</v>
      </c>
      <c r="B2127" s="197">
        <v>2019</v>
      </c>
      <c r="C2127" s="213" t="s">
        <v>5282</v>
      </c>
      <c r="D2127" s="239">
        <v>3.4048671230438192E-2</v>
      </c>
      <c r="E2127" s="226">
        <v>0.16616799734592849</v>
      </c>
      <c r="F2127" s="226">
        <v>2.0648841823223945E-3</v>
      </c>
      <c r="G2127" s="227">
        <v>1.9042073601720053E-3</v>
      </c>
      <c r="H2127" s="226">
        <v>2.0000005732018797E-3</v>
      </c>
      <c r="I2127" s="255">
        <v>2.5292988096465253E-3</v>
      </c>
      <c r="J2127" s="256">
        <v>1.206774400606875E-4</v>
      </c>
      <c r="K2127" s="257">
        <v>1.2613393840202227E-4</v>
      </c>
      <c r="L2127" s="228">
        <v>4.7505716329871737E-2</v>
      </c>
    </row>
    <row r="2128" spans="1:12" s="212" customFormat="1" ht="15.5" x14ac:dyDescent="0.35">
      <c r="A2128" s="198" t="s">
        <v>788</v>
      </c>
      <c r="B2128" s="197">
        <v>2020</v>
      </c>
      <c r="C2128" s="213" t="s">
        <v>5283</v>
      </c>
      <c r="D2128" s="239">
        <v>3.0076018497417246E-2</v>
      </c>
      <c r="E2128" s="226">
        <v>0.14891371159685704</v>
      </c>
      <c r="F2128" s="226">
        <v>2.0033038702664289E-3</v>
      </c>
      <c r="G2128" s="227">
        <v>1.847028786344196E-3</v>
      </c>
      <c r="H2128" s="226">
        <v>2.0000005732018805E-3</v>
      </c>
      <c r="I2128" s="255">
        <v>2.5365627956575182E-3</v>
      </c>
      <c r="J2128" s="256">
        <v>1.1182494628227104E-4</v>
      </c>
      <c r="K2128" s="257">
        <v>1.1688117413730524E-4</v>
      </c>
      <c r="L2128" s="228">
        <v>4.7076449863517653E-2</v>
      </c>
    </row>
    <row r="2129" spans="1:12" s="212" customFormat="1" ht="15.5" x14ac:dyDescent="0.35">
      <c r="A2129" s="198" t="s">
        <v>788</v>
      </c>
      <c r="B2129" s="197">
        <v>2021</v>
      </c>
      <c r="C2129" s="213" t="s">
        <v>5284</v>
      </c>
      <c r="D2129" s="239">
        <v>2.6136750465903334E-2</v>
      </c>
      <c r="E2129" s="226">
        <v>0.13176099523547011</v>
      </c>
      <c r="F2129" s="226">
        <v>1.9034205857414266E-3</v>
      </c>
      <c r="G2129" s="227">
        <v>1.7545672892952044E-3</v>
      </c>
      <c r="H2129" s="226">
        <v>2.0000005732018801E-3</v>
      </c>
      <c r="I2129" s="255">
        <v>2.5394705676199674E-3</v>
      </c>
      <c r="J2129" s="256">
        <v>1.01745451955359E-4</v>
      </c>
      <c r="K2129" s="257">
        <v>1.0634592980402393E-4</v>
      </c>
      <c r="L2129" s="228">
        <v>4.6162673275708374E-2</v>
      </c>
    </row>
    <row r="2130" spans="1:12" s="212" customFormat="1" ht="15.5" x14ac:dyDescent="0.35">
      <c r="A2130" s="198" t="s">
        <v>788</v>
      </c>
      <c r="B2130" s="197">
        <v>2022</v>
      </c>
      <c r="C2130" s="213" t="s">
        <v>5285</v>
      </c>
      <c r="D2130" s="239">
        <v>2.1876427178092798E-2</v>
      </c>
      <c r="E2130" s="226">
        <v>0.11495269435151251</v>
      </c>
      <c r="F2130" s="226">
        <v>1.7991142310430548E-3</v>
      </c>
      <c r="G2130" s="227">
        <v>1.6578973476776956E-3</v>
      </c>
      <c r="H2130" s="226">
        <v>2.0000005732018801E-3</v>
      </c>
      <c r="I2130" s="255">
        <v>2.5390061638140633E-3</v>
      </c>
      <c r="J2130" s="256">
        <v>9.1168359062463049E-5</v>
      </c>
      <c r="K2130" s="257">
        <v>9.5290587705665916E-5</v>
      </c>
      <c r="L2130" s="228">
        <v>4.5305478774331623E-2</v>
      </c>
    </row>
    <row r="2131" spans="1:12" s="212" customFormat="1" ht="15.5" x14ac:dyDescent="0.35">
      <c r="A2131" s="198" t="s">
        <v>788</v>
      </c>
      <c r="B2131" s="197">
        <v>2023</v>
      </c>
      <c r="C2131" s="213" t="s">
        <v>5286</v>
      </c>
      <c r="D2131" s="239">
        <v>1.9193201863273706E-2</v>
      </c>
      <c r="E2131" s="226">
        <v>0.10142445687493534</v>
      </c>
      <c r="F2131" s="226">
        <v>1.7088479244336137E-3</v>
      </c>
      <c r="G2131" s="227">
        <v>1.5744902132242757E-3</v>
      </c>
      <c r="H2131" s="226">
        <v>2.0000005732018797E-3</v>
      </c>
      <c r="I2131" s="255">
        <v>2.5384051629057372E-3</v>
      </c>
      <c r="J2131" s="256">
        <v>8.1975633373862405E-5</v>
      </c>
      <c r="K2131" s="257">
        <v>8.5682207753542963E-5</v>
      </c>
      <c r="L2131" s="228">
        <v>4.4409856635879139E-2</v>
      </c>
    </row>
    <row r="2132" spans="1:12" s="212" customFormat="1" ht="15.5" x14ac:dyDescent="0.35">
      <c r="A2132" s="198" t="s">
        <v>788</v>
      </c>
      <c r="B2132" s="197">
        <v>2024</v>
      </c>
      <c r="C2132" s="213" t="s">
        <v>5287</v>
      </c>
      <c r="D2132" s="239">
        <v>1.681568380701326E-2</v>
      </c>
      <c r="E2132" s="226">
        <v>8.9662990527469441E-2</v>
      </c>
      <c r="F2132" s="226">
        <v>1.6228775138464216E-3</v>
      </c>
      <c r="G2132" s="227">
        <v>1.4949182629710271E-3</v>
      </c>
      <c r="H2132" s="226">
        <v>2.0000005732018801E-3</v>
      </c>
      <c r="I2132" s="255">
        <v>2.5380234355379277E-3</v>
      </c>
      <c r="J2132" s="256">
        <v>6.994122096603292E-5</v>
      </c>
      <c r="K2132" s="257">
        <v>7.3103652618545422E-5</v>
      </c>
      <c r="L2132" s="228">
        <v>4.3474644816551791E-2</v>
      </c>
    </row>
    <row r="2133" spans="1:12" s="212" customFormat="1" ht="15.5" x14ac:dyDescent="0.35">
      <c r="A2133" s="198" t="s">
        <v>788</v>
      </c>
      <c r="B2133" s="197">
        <v>2025</v>
      </c>
      <c r="C2133" s="213" t="s">
        <v>5288</v>
      </c>
      <c r="D2133" s="239">
        <v>1.4950356469675685E-2</v>
      </c>
      <c r="E2133" s="226">
        <v>8.0138967463752014E-2</v>
      </c>
      <c r="F2133" s="226">
        <v>1.5551309829089763E-3</v>
      </c>
      <c r="G2133" s="227">
        <v>1.4322790642053596E-3</v>
      </c>
      <c r="H2133" s="226">
        <v>2.0000005732018801E-3</v>
      </c>
      <c r="I2133" s="255">
        <v>2.5378618393664875E-3</v>
      </c>
      <c r="J2133" s="256">
        <v>6.1382105266806925E-5</v>
      </c>
      <c r="K2133" s="257">
        <v>6.41575316879139E-5</v>
      </c>
      <c r="L2133" s="228">
        <v>4.2519898246324406E-2</v>
      </c>
    </row>
    <row r="2134" spans="1:12" s="212" customFormat="1" ht="15.5" x14ac:dyDescent="0.35">
      <c r="A2134" s="198" t="s">
        <v>788</v>
      </c>
      <c r="B2134" s="197">
        <v>2026</v>
      </c>
      <c r="C2134" s="213" t="s">
        <v>5289</v>
      </c>
      <c r="D2134" s="239">
        <v>1.3392704464575404E-2</v>
      </c>
      <c r="E2134" s="226">
        <v>7.2161880069698994E-2</v>
      </c>
      <c r="F2134" s="226">
        <v>1.486594435099449E-3</v>
      </c>
      <c r="G2134" s="227">
        <v>1.36894184574181E-3</v>
      </c>
      <c r="H2134" s="226">
        <v>2.0000005732018801E-3</v>
      </c>
      <c r="I2134" s="255">
        <v>2.537551144488919E-3</v>
      </c>
      <c r="J2134" s="256">
        <v>5.3198614470439884E-5</v>
      </c>
      <c r="K2134" s="257">
        <v>5.5604019751437707E-5</v>
      </c>
      <c r="L2134" s="228">
        <v>4.1605129682150299E-2</v>
      </c>
    </row>
    <row r="2135" spans="1:12" s="212" customFormat="1" ht="15.5" x14ac:dyDescent="0.35">
      <c r="A2135" s="198" t="s">
        <v>788</v>
      </c>
      <c r="B2135" s="197">
        <v>2027</v>
      </c>
      <c r="C2135" s="213" t="s">
        <v>5290</v>
      </c>
      <c r="D2135" s="239">
        <v>1.206729773950318E-2</v>
      </c>
      <c r="E2135" s="226">
        <v>6.5304256102936664E-2</v>
      </c>
      <c r="F2135" s="226">
        <v>1.4082972453009445E-3</v>
      </c>
      <c r="G2135" s="227">
        <v>1.2965935988303045E-3</v>
      </c>
      <c r="H2135" s="226">
        <v>2.0000005732018801E-3</v>
      </c>
      <c r="I2135" s="255">
        <v>2.5369488982999828E-3</v>
      </c>
      <c r="J2135" s="256">
        <v>4.4048752423670166E-5</v>
      </c>
      <c r="K2135" s="257">
        <v>4.6040441544824568E-5</v>
      </c>
      <c r="L2135" s="228">
        <v>4.0747261707190077E-2</v>
      </c>
    </row>
    <row r="2136" spans="1:12" s="212" customFormat="1" ht="15.5" x14ac:dyDescent="0.35">
      <c r="A2136" s="198" t="s">
        <v>788</v>
      </c>
      <c r="B2136" s="197">
        <v>2028</v>
      </c>
      <c r="C2136" s="213" t="s">
        <v>5291</v>
      </c>
      <c r="D2136" s="239">
        <v>1.0941829377495408E-2</v>
      </c>
      <c r="E2136" s="226">
        <v>5.9445802308418734E-2</v>
      </c>
      <c r="F2136" s="226">
        <v>1.322550510191876E-3</v>
      </c>
      <c r="G2136" s="227">
        <v>1.2174140086868863E-3</v>
      </c>
      <c r="H2136" s="226">
        <v>2.0000005732018801E-3</v>
      </c>
      <c r="I2136" s="255">
        <v>2.5365803734057318E-3</v>
      </c>
      <c r="J2136" s="256">
        <v>3.5357597455885804E-5</v>
      </c>
      <c r="K2136" s="257">
        <v>3.6956311115825969E-5</v>
      </c>
      <c r="L2136" s="228">
        <v>3.9959593227192204E-2</v>
      </c>
    </row>
    <row r="2137" spans="1:12" s="212" customFormat="1" ht="15.5" x14ac:dyDescent="0.35">
      <c r="A2137" s="198" t="s">
        <v>788</v>
      </c>
      <c r="B2137" s="197">
        <v>2029</v>
      </c>
      <c r="C2137" s="213" t="s">
        <v>5292</v>
      </c>
      <c r="D2137" s="239">
        <v>9.9396234380516903E-3</v>
      </c>
      <c r="E2137" s="226">
        <v>5.4316364754293002E-2</v>
      </c>
      <c r="F2137" s="226">
        <v>1.2417507334154827E-3</v>
      </c>
      <c r="G2137" s="227">
        <v>1.1429193965022926E-3</v>
      </c>
      <c r="H2137" s="226">
        <v>2.0000005732018801E-3</v>
      </c>
      <c r="I2137" s="255">
        <v>2.5362431034901189E-3</v>
      </c>
      <c r="J2137" s="256">
        <v>3.0168042107420618E-5</v>
      </c>
      <c r="K2137" s="257">
        <v>3.1532107102813999E-5</v>
      </c>
      <c r="L2137" s="228">
        <v>3.9237221206570194E-2</v>
      </c>
    </row>
    <row r="2138" spans="1:12" s="212" customFormat="1" ht="15.5" x14ac:dyDescent="0.35">
      <c r="A2138" s="198" t="s">
        <v>788</v>
      </c>
      <c r="B2138" s="197">
        <v>2030</v>
      </c>
      <c r="C2138" s="213" t="s">
        <v>5293</v>
      </c>
      <c r="D2138" s="239">
        <v>9.1141188747415388E-3</v>
      </c>
      <c r="E2138" s="226">
        <v>5.0019009495592584E-2</v>
      </c>
      <c r="F2138" s="226">
        <v>1.1645185771261665E-3</v>
      </c>
      <c r="G2138" s="227">
        <v>1.0716802643110047E-3</v>
      </c>
      <c r="H2138" s="226">
        <v>2.0000005732018797E-3</v>
      </c>
      <c r="I2138" s="255">
        <v>2.5358924629312186E-3</v>
      </c>
      <c r="J2138" s="256">
        <v>2.434158930774784E-5</v>
      </c>
      <c r="K2138" s="257">
        <v>2.5442207962041384E-5</v>
      </c>
      <c r="L2138" s="228">
        <v>3.8580397120584226E-2</v>
      </c>
    </row>
    <row r="2139" spans="1:12" s="212" customFormat="1" ht="15.5" x14ac:dyDescent="0.35">
      <c r="A2139" s="198" t="s">
        <v>788</v>
      </c>
      <c r="B2139" s="197">
        <v>2031</v>
      </c>
      <c r="C2139" s="213" t="s">
        <v>5294</v>
      </c>
      <c r="D2139" s="239">
        <v>8.395871495333081E-3</v>
      </c>
      <c r="E2139" s="226">
        <v>4.6297324334405469E-2</v>
      </c>
      <c r="F2139" s="226">
        <v>1.0941102355493859E-3</v>
      </c>
      <c r="G2139" s="227">
        <v>1.0068417973872622E-3</v>
      </c>
      <c r="H2139" s="226">
        <v>2.0000005732018801E-3</v>
      </c>
      <c r="I2139" s="255">
        <v>2.5354355438385831E-3</v>
      </c>
      <c r="J2139" s="256">
        <v>2.1759751667194748E-5</v>
      </c>
      <c r="K2139" s="257">
        <v>2.2743631080117304E-5</v>
      </c>
      <c r="L2139" s="228">
        <v>3.7979224865422989E-2</v>
      </c>
    </row>
    <row r="2140" spans="1:12" s="212" customFormat="1" ht="15.5" x14ac:dyDescent="0.35">
      <c r="A2140" s="198" t="s">
        <v>788</v>
      </c>
      <c r="B2140" s="197">
        <v>2032</v>
      </c>
      <c r="C2140" s="213" t="s">
        <v>5295</v>
      </c>
      <c r="D2140" s="239">
        <v>7.7580555307525754E-3</v>
      </c>
      <c r="E2140" s="226">
        <v>4.3048249580483831E-2</v>
      </c>
      <c r="F2140" s="226">
        <v>1.0270959951195072E-3</v>
      </c>
      <c r="G2140" s="227">
        <v>9.4511808406189904E-4</v>
      </c>
      <c r="H2140" s="226">
        <v>2.0000005732018801E-3</v>
      </c>
      <c r="I2140" s="255">
        <v>2.5347518551502414E-3</v>
      </c>
      <c r="J2140" s="256">
        <v>1.9023995173246619E-5</v>
      </c>
      <c r="K2140" s="257">
        <v>1.9884175817252506E-5</v>
      </c>
      <c r="L2140" s="228">
        <v>3.7434713015062453E-2</v>
      </c>
    </row>
    <row r="2141" spans="1:12" s="212" customFormat="1" ht="15.5" x14ac:dyDescent="0.35">
      <c r="A2141" s="198" t="s">
        <v>788</v>
      </c>
      <c r="B2141" s="197">
        <v>2033</v>
      </c>
      <c r="C2141" s="213" t="s">
        <v>5296</v>
      </c>
      <c r="D2141" s="239">
        <v>7.1921659865027149E-3</v>
      </c>
      <c r="E2141" s="226">
        <v>4.022247477726467E-2</v>
      </c>
      <c r="F2141" s="226">
        <v>9.6479298875011977E-4</v>
      </c>
      <c r="G2141" s="227">
        <v>8.8776817556079207E-4</v>
      </c>
      <c r="H2141" s="226">
        <v>2.0000005732018801E-3</v>
      </c>
      <c r="I2141" s="255">
        <v>2.5339789591311054E-3</v>
      </c>
      <c r="J2141" s="256">
        <v>1.7366162561440179E-5</v>
      </c>
      <c r="K2141" s="257">
        <v>1.8151383371263449E-5</v>
      </c>
      <c r="L2141" s="228">
        <v>3.6943113348261981E-2</v>
      </c>
    </row>
    <row r="2142" spans="1:12" s="212" customFormat="1" ht="15.5" x14ac:dyDescent="0.35">
      <c r="A2142" s="198" t="s">
        <v>788</v>
      </c>
      <c r="B2142" s="197">
        <v>2034</v>
      </c>
      <c r="C2142" s="213" t="s">
        <v>5297</v>
      </c>
      <c r="D2142" s="239">
        <v>6.6725048679959539E-3</v>
      </c>
      <c r="E2142" s="226">
        <v>3.7729793630719363E-2</v>
      </c>
      <c r="F2142" s="226">
        <v>9.0590954787230253E-4</v>
      </c>
      <c r="G2142" s="227">
        <v>8.335671978620526E-4</v>
      </c>
      <c r="H2142" s="226">
        <v>2.0000005732018801E-3</v>
      </c>
      <c r="I2142" s="255">
        <v>2.5331377361373251E-3</v>
      </c>
      <c r="J2142" s="256">
        <v>1.5830665860593957E-5</v>
      </c>
      <c r="K2142" s="257">
        <v>1.6546458323270646E-5</v>
      </c>
      <c r="L2142" s="228">
        <v>3.6498481060008914E-2</v>
      </c>
    </row>
    <row r="2143" spans="1:12" s="212" customFormat="1" ht="15.5" x14ac:dyDescent="0.35">
      <c r="A2143" s="198" t="s">
        <v>788</v>
      </c>
      <c r="B2143" s="197">
        <v>2035</v>
      </c>
      <c r="C2143" s="213" t="s">
        <v>5298</v>
      </c>
      <c r="D2143" s="239">
        <v>6.2349522791460554E-3</v>
      </c>
      <c r="E2143" s="226">
        <v>3.5682234018417053E-2</v>
      </c>
      <c r="F2143" s="226">
        <v>8.5250349607549514E-4</v>
      </c>
      <c r="G2143" s="227">
        <v>7.8440984270676788E-4</v>
      </c>
      <c r="H2143" s="226">
        <v>2.0000005732018797E-3</v>
      </c>
      <c r="I2143" s="255">
        <v>2.532223676767969E-3</v>
      </c>
      <c r="J2143" s="256">
        <v>1.4484207302720683E-5</v>
      </c>
      <c r="K2143" s="257">
        <v>1.5139118884231702E-5</v>
      </c>
      <c r="L2143" s="228">
        <v>3.6098880043829572E-2</v>
      </c>
    </row>
    <row r="2144" spans="1:12" s="212" customFormat="1" ht="15.5" x14ac:dyDescent="0.35">
      <c r="A2144" s="198" t="s">
        <v>788</v>
      </c>
      <c r="B2144" s="197">
        <v>2036</v>
      </c>
      <c r="C2144" s="213" t="s">
        <v>5299</v>
      </c>
      <c r="D2144" s="239">
        <v>5.8473931284773687E-3</v>
      </c>
      <c r="E2144" s="226">
        <v>3.3895117901987945E-2</v>
      </c>
      <c r="F2144" s="226">
        <v>8.0615465799457268E-4</v>
      </c>
      <c r="G2144" s="227">
        <v>7.4174765977083309E-4</v>
      </c>
      <c r="H2144" s="226">
        <v>2.0000005732018797E-3</v>
      </c>
      <c r="I2144" s="255">
        <v>2.531237488885224E-3</v>
      </c>
      <c r="J2144" s="256">
        <v>1.3300075299464556E-5</v>
      </c>
      <c r="K2144" s="257">
        <v>1.3901445686296289E-5</v>
      </c>
      <c r="L2144" s="228">
        <v>3.5746259926456678E-2</v>
      </c>
    </row>
    <row r="2145" spans="1:12" s="212" customFormat="1" ht="15.5" x14ac:dyDescent="0.35">
      <c r="A2145" s="198" t="s">
        <v>788</v>
      </c>
      <c r="B2145" s="197">
        <v>2037</v>
      </c>
      <c r="C2145" s="213" t="s">
        <v>5300</v>
      </c>
      <c r="D2145" s="239">
        <v>5.5076413286055548E-3</v>
      </c>
      <c r="E2145" s="226">
        <v>3.2339612222940385E-2</v>
      </c>
      <c r="F2145" s="226">
        <v>7.6423966605694039E-4</v>
      </c>
      <c r="G2145" s="227">
        <v>7.0315864572700751E-4</v>
      </c>
      <c r="H2145" s="226">
        <v>2.0000005732018805E-3</v>
      </c>
      <c r="I2145" s="255">
        <v>2.5303797873871209E-3</v>
      </c>
      <c r="J2145" s="256">
        <v>1.2023830702886324E-5</v>
      </c>
      <c r="K2145" s="257">
        <v>1.2567494972312317E-5</v>
      </c>
      <c r="L2145" s="228">
        <v>3.5436250235444125E-2</v>
      </c>
    </row>
    <row r="2146" spans="1:12" s="212" customFormat="1" ht="15.5" x14ac:dyDescent="0.35">
      <c r="A2146" s="198" t="s">
        <v>788</v>
      </c>
      <c r="B2146" s="197">
        <v>2038</v>
      </c>
      <c r="C2146" s="213" t="s">
        <v>5301</v>
      </c>
      <c r="D2146" s="239">
        <v>5.2012270771094856E-3</v>
      </c>
      <c r="E2146" s="226">
        <v>3.0943231669604603E-2</v>
      </c>
      <c r="F2146" s="226">
        <v>7.2699240402752734E-4</v>
      </c>
      <c r="G2146" s="227">
        <v>6.688797095512237E-4</v>
      </c>
      <c r="H2146" s="226">
        <v>2.0000005732018801E-3</v>
      </c>
      <c r="I2146" s="255">
        <v>2.5293474198058497E-3</v>
      </c>
      <c r="J2146" s="256">
        <v>1.1216558624245996E-5</v>
      </c>
      <c r="K2146" s="257">
        <v>1.1723721632492661E-5</v>
      </c>
      <c r="L2146" s="228">
        <v>3.5168396248961599E-2</v>
      </c>
    </row>
    <row r="2147" spans="1:12" s="212" customFormat="1" ht="15.5" x14ac:dyDescent="0.35">
      <c r="A2147" s="198" t="s">
        <v>788</v>
      </c>
      <c r="B2147" s="197">
        <v>2039</v>
      </c>
      <c r="C2147" s="213" t="s">
        <v>5302</v>
      </c>
      <c r="D2147" s="239">
        <v>4.903014489882087E-3</v>
      </c>
      <c r="E2147" s="226">
        <v>2.9617163344379305E-2</v>
      </c>
      <c r="F2147" s="226">
        <v>6.9348102127596626E-4</v>
      </c>
      <c r="G2147" s="227">
        <v>6.380378561722822E-4</v>
      </c>
      <c r="H2147" s="226">
        <v>2.0000005732018801E-3</v>
      </c>
      <c r="I2147" s="255">
        <v>2.5284110727917877E-3</v>
      </c>
      <c r="J2147" s="256">
        <v>1.0462663063647654E-5</v>
      </c>
      <c r="K2147" s="257">
        <v>1.0935738260006062E-5</v>
      </c>
      <c r="L2147" s="228">
        <v>3.4931049545740785E-2</v>
      </c>
    </row>
    <row r="2148" spans="1:12" s="212" customFormat="1" ht="15.5" x14ac:dyDescent="0.35">
      <c r="A2148" s="198" t="s">
        <v>788</v>
      </c>
      <c r="B2148" s="197">
        <v>2040</v>
      </c>
      <c r="C2148" s="213" t="s">
        <v>5303</v>
      </c>
      <c r="D2148" s="239">
        <v>4.6403878440975186E-3</v>
      </c>
      <c r="E2148" s="226">
        <v>2.8482362692261728E-2</v>
      </c>
      <c r="F2148" s="226">
        <v>6.6398751584003106E-4</v>
      </c>
      <c r="G2148" s="227">
        <v>6.1089507788963287E-4</v>
      </c>
      <c r="H2148" s="226">
        <v>2.0000005732018805E-3</v>
      </c>
      <c r="I2148" s="255">
        <v>2.5275775880166328E-3</v>
      </c>
      <c r="J2148" s="256">
        <v>9.8315822555588848E-6</v>
      </c>
      <c r="K2148" s="257">
        <v>1.027612277815514E-5</v>
      </c>
      <c r="L2148" s="228">
        <v>3.4729126414188773E-2</v>
      </c>
    </row>
    <row r="2149" spans="1:12" s="212" customFormat="1" ht="15.5" x14ac:dyDescent="0.35">
      <c r="A2149" s="198" t="s">
        <v>788</v>
      </c>
      <c r="B2149" s="197">
        <v>2041</v>
      </c>
      <c r="C2149" s="213" t="s">
        <v>5304</v>
      </c>
      <c r="D2149" s="239">
        <v>4.4376408946995892E-3</v>
      </c>
      <c r="E2149" s="226">
        <v>2.7535021382120987E-2</v>
      </c>
      <c r="F2149" s="226">
        <v>6.4144053662740686E-4</v>
      </c>
      <c r="G2149" s="227">
        <v>5.9014440779339217E-4</v>
      </c>
      <c r="H2149" s="226">
        <v>2.0000005732018801E-3</v>
      </c>
      <c r="I2149" s="255">
        <v>2.5268744696982752E-3</v>
      </c>
      <c r="J2149" s="256">
        <v>9.3296946822802686E-6</v>
      </c>
      <c r="K2149" s="257">
        <v>9.7515420759059729E-6</v>
      </c>
      <c r="L2149" s="228">
        <v>3.4561655303634052E-2</v>
      </c>
    </row>
    <row r="2150" spans="1:12" s="212" customFormat="1" ht="15.5" x14ac:dyDescent="0.35">
      <c r="A2150" s="198" t="s">
        <v>788</v>
      </c>
      <c r="B2150" s="197">
        <v>2042</v>
      </c>
      <c r="C2150" s="213" t="s">
        <v>5305</v>
      </c>
      <c r="D2150" s="239">
        <v>4.2561047879059932E-3</v>
      </c>
      <c r="E2150" s="226">
        <v>2.6620504101642121E-2</v>
      </c>
      <c r="F2150" s="226">
        <v>6.2186821156304999E-4</v>
      </c>
      <c r="G2150" s="227">
        <v>5.7213098143604182E-4</v>
      </c>
      <c r="H2150" s="226">
        <v>2.0000005732018801E-3</v>
      </c>
      <c r="I2150" s="255">
        <v>2.5261847649319055E-3</v>
      </c>
      <c r="J2150" s="256">
        <v>8.8832201758083862E-6</v>
      </c>
      <c r="K2150" s="257">
        <v>9.2848799734527085E-6</v>
      </c>
      <c r="L2150" s="228">
        <v>3.4413535233300555E-2</v>
      </c>
    </row>
    <row r="2151" spans="1:12" s="212" customFormat="1" ht="15.5" x14ac:dyDescent="0.35">
      <c r="A2151" s="198" t="s">
        <v>788</v>
      </c>
      <c r="B2151" s="197">
        <v>2043</v>
      </c>
      <c r="C2151" s="213" t="s">
        <v>5306</v>
      </c>
      <c r="D2151" s="239">
        <v>4.1135275956149069E-3</v>
      </c>
      <c r="E2151" s="226">
        <v>2.5834465289306364E-2</v>
      </c>
      <c r="F2151" s="226">
        <v>6.0504246828161669E-4</v>
      </c>
      <c r="G2151" s="227">
        <v>5.5664463588238464E-4</v>
      </c>
      <c r="H2151" s="226">
        <v>2.0000005732018801E-3</v>
      </c>
      <c r="I2151" s="255">
        <v>2.5254621809758918E-3</v>
      </c>
      <c r="J2151" s="256">
        <v>8.480383063044616E-6</v>
      </c>
      <c r="K2151" s="257">
        <v>8.8638283540129883E-6</v>
      </c>
      <c r="L2151" s="228">
        <v>3.4288454935781462E-2</v>
      </c>
    </row>
    <row r="2152" spans="1:12" s="212" customFormat="1" ht="15.5" x14ac:dyDescent="0.35">
      <c r="A2152" s="198" t="s">
        <v>788</v>
      </c>
      <c r="B2152" s="197">
        <v>2044</v>
      </c>
      <c r="C2152" s="213" t="s">
        <v>5307</v>
      </c>
      <c r="D2152" s="239">
        <v>3.9976630913111716E-3</v>
      </c>
      <c r="E2152" s="226">
        <v>2.5076335993937958E-2</v>
      </c>
      <c r="F2152" s="226">
        <v>5.9052770891456711E-4</v>
      </c>
      <c r="G2152" s="227">
        <v>5.4328653681146521E-4</v>
      </c>
      <c r="H2152" s="226">
        <v>2.0000005732018801E-3</v>
      </c>
      <c r="I2152" s="255">
        <v>2.5248372799916066E-3</v>
      </c>
      <c r="J2152" s="256">
        <v>8.1643485411316456E-6</v>
      </c>
      <c r="K2152" s="257">
        <v>8.5335041534015426E-6</v>
      </c>
      <c r="L2152" s="228">
        <v>3.4180548422872645E-2</v>
      </c>
    </row>
    <row r="2153" spans="1:12" s="212" customFormat="1" ht="15.5" x14ac:dyDescent="0.35">
      <c r="A2153" s="198" t="s">
        <v>788</v>
      </c>
      <c r="B2153" s="197">
        <v>2045</v>
      </c>
      <c r="C2153" s="213" t="s">
        <v>5308</v>
      </c>
      <c r="D2153" s="239">
        <v>3.9123664025990587E-3</v>
      </c>
      <c r="E2153" s="226">
        <v>2.4394773655278677E-2</v>
      </c>
      <c r="F2153" s="226">
        <v>5.7804095519056417E-4</v>
      </c>
      <c r="G2153" s="227">
        <v>5.3179334392918854E-4</v>
      </c>
      <c r="H2153" s="226">
        <v>2.0000005732018805E-3</v>
      </c>
      <c r="I2153" s="255">
        <v>2.5240644298472818E-3</v>
      </c>
      <c r="J2153" s="256">
        <v>7.8542134593468472E-6</v>
      </c>
      <c r="K2153" s="257">
        <v>8.2093461394224501E-6</v>
      </c>
      <c r="L2153" s="228">
        <v>3.4084187252805473E-2</v>
      </c>
    </row>
    <row r="2154" spans="1:12" s="212" customFormat="1" ht="15.5" x14ac:dyDescent="0.35">
      <c r="A2154" s="198" t="s">
        <v>788</v>
      </c>
      <c r="B2154" s="197">
        <v>2046</v>
      </c>
      <c r="C2154" s="213" t="s">
        <v>5309</v>
      </c>
      <c r="D2154" s="239">
        <v>3.8301122798266043E-3</v>
      </c>
      <c r="E2154" s="226">
        <v>2.3732763341593185E-2</v>
      </c>
      <c r="F2154" s="226">
        <v>5.6735141199227613E-4</v>
      </c>
      <c r="G2154" s="227">
        <v>5.2195465753783563E-4</v>
      </c>
      <c r="H2154" s="226">
        <v>2.0000005732018801E-3</v>
      </c>
      <c r="I2154" s="255">
        <v>2.5233559705660278E-3</v>
      </c>
      <c r="J2154" s="256">
        <v>7.5963782315019781E-6</v>
      </c>
      <c r="K2154" s="257">
        <v>7.9398527467013156E-6</v>
      </c>
      <c r="L2154" s="228">
        <v>3.4005793236387485E-2</v>
      </c>
    </row>
    <row r="2155" spans="1:12" s="212" customFormat="1" ht="15.5" x14ac:dyDescent="0.35">
      <c r="A2155" s="198" t="s">
        <v>788</v>
      </c>
      <c r="B2155" s="197">
        <v>2047</v>
      </c>
      <c r="C2155" s="213" t="s">
        <v>5310</v>
      </c>
      <c r="D2155" s="239">
        <v>3.7580315512753537E-3</v>
      </c>
      <c r="E2155" s="226">
        <v>2.3149171420997382E-2</v>
      </c>
      <c r="F2155" s="226">
        <v>5.5831674642190486E-4</v>
      </c>
      <c r="G2155" s="227">
        <v>5.1363768291942181E-4</v>
      </c>
      <c r="H2155" s="226">
        <v>2.0000005732018801E-3</v>
      </c>
      <c r="I2155" s="255">
        <v>2.5227789328223105E-3</v>
      </c>
      <c r="J2155" s="256">
        <v>7.3414401247016414E-6</v>
      </c>
      <c r="K2155" s="257">
        <v>7.6733874699825847E-6</v>
      </c>
      <c r="L2155" s="228">
        <v>3.3933222510232286E-2</v>
      </c>
    </row>
    <row r="2156" spans="1:12" s="212" customFormat="1" ht="15.5" x14ac:dyDescent="0.35">
      <c r="A2156" s="198" t="s">
        <v>788</v>
      </c>
      <c r="B2156" s="197">
        <v>2048</v>
      </c>
      <c r="C2156" s="213" t="s">
        <v>5311</v>
      </c>
      <c r="D2156" s="239">
        <v>3.6998421035590668E-3</v>
      </c>
      <c r="E2156" s="226">
        <v>2.2683712399863203E-2</v>
      </c>
      <c r="F2156" s="226">
        <v>5.5072782179708079E-4</v>
      </c>
      <c r="G2156" s="227">
        <v>5.0665192389290749E-4</v>
      </c>
      <c r="H2156" s="226">
        <v>2.0000005732018797E-3</v>
      </c>
      <c r="I2156" s="255">
        <v>2.5223384606800352E-3</v>
      </c>
      <c r="J2156" s="256">
        <v>7.13552711915718E-6</v>
      </c>
      <c r="K2156" s="257">
        <v>7.458163992052831E-6</v>
      </c>
      <c r="L2156" s="228">
        <v>3.3874690618251442E-2</v>
      </c>
    </row>
    <row r="2157" spans="1:12" s="212" customFormat="1" ht="15.5" x14ac:dyDescent="0.35">
      <c r="A2157" s="198" t="s">
        <v>788</v>
      </c>
      <c r="B2157" s="197">
        <v>2049</v>
      </c>
      <c r="C2157" s="213" t="s">
        <v>5312</v>
      </c>
      <c r="D2157" s="239">
        <v>3.6879580218227839E-3</v>
      </c>
      <c r="E2157" s="226">
        <v>2.2637570158939711E-2</v>
      </c>
      <c r="F2157" s="226">
        <v>5.4622667187015166E-4</v>
      </c>
      <c r="G2157" s="227">
        <v>5.0250874867211663E-4</v>
      </c>
      <c r="H2157" s="226">
        <v>2.0000005732018801E-3</v>
      </c>
      <c r="I2157" s="255">
        <v>2.5217818203144646E-3</v>
      </c>
      <c r="J2157" s="256">
        <v>7.0191595985876832E-6</v>
      </c>
      <c r="K2157" s="257">
        <v>7.3365348485763849E-6</v>
      </c>
      <c r="L2157" s="228">
        <v>3.3823320747115984E-2</v>
      </c>
    </row>
    <row r="2158" spans="1:12" s="212" customFormat="1" ht="15.5" x14ac:dyDescent="0.35">
      <c r="A2158" s="198" t="s">
        <v>788</v>
      </c>
      <c r="B2158" s="197">
        <v>2050</v>
      </c>
      <c r="C2158" s="213" t="s">
        <v>5313</v>
      </c>
      <c r="D2158" s="239">
        <v>3.6790295707865104E-3</v>
      </c>
      <c r="E2158" s="226">
        <v>2.2602236174599506E-2</v>
      </c>
      <c r="F2158" s="226">
        <v>5.4238354333207108E-4</v>
      </c>
      <c r="G2158" s="227">
        <v>4.989650128238715E-4</v>
      </c>
      <c r="H2158" s="226">
        <v>2.0000005732018801E-3</v>
      </c>
      <c r="I2158" s="255">
        <v>2.5214246491386408E-3</v>
      </c>
      <c r="J2158" s="256">
        <v>6.7593990263010369E-6</v>
      </c>
      <c r="K2158" s="257">
        <v>7.0650290558814201E-6</v>
      </c>
      <c r="L2158" s="228">
        <v>3.3780008120648145E-2</v>
      </c>
    </row>
    <row r="2159" spans="1:12" s="212" customFormat="1" ht="15.5" x14ac:dyDescent="0.35">
      <c r="A2159" s="198" t="s">
        <v>791</v>
      </c>
      <c r="B2159" s="197">
        <v>2015</v>
      </c>
      <c r="C2159" s="213" t="s">
        <v>5314</v>
      </c>
      <c r="D2159" s="239">
        <v>0.1096632859529864</v>
      </c>
      <c r="E2159" s="226">
        <v>0.42645984922140862</v>
      </c>
      <c r="F2159" s="226">
        <v>3.6753152702253306E-3</v>
      </c>
      <c r="G2159" s="227">
        <v>3.403531267060837E-3</v>
      </c>
      <c r="H2159" s="226">
        <v>2.0000005732018801E-3</v>
      </c>
      <c r="I2159" s="255">
        <v>2.9723420288728735E-3</v>
      </c>
      <c r="J2159" s="256">
        <v>3.8650808673053902E-4</v>
      </c>
      <c r="K2159" s="257">
        <v>4.0398426730826051E-4</v>
      </c>
      <c r="L2159" s="228">
        <v>4.9909111530509913E-2</v>
      </c>
    </row>
    <row r="2160" spans="1:12" s="212" customFormat="1" ht="15.5" x14ac:dyDescent="0.35">
      <c r="A2160" s="198" t="s">
        <v>791</v>
      </c>
      <c r="B2160" s="197">
        <v>2016</v>
      </c>
      <c r="C2160" s="213" t="s">
        <v>5315</v>
      </c>
      <c r="D2160" s="239">
        <v>9.7010936686292765E-2</v>
      </c>
      <c r="E2160" s="226">
        <v>0.39500995157622937</v>
      </c>
      <c r="F2160" s="226">
        <v>3.4290949493870262E-3</v>
      </c>
      <c r="G2160" s="227">
        <v>3.1739289833813368E-3</v>
      </c>
      <c r="H2160" s="226">
        <v>2.0000005732018801E-3</v>
      </c>
      <c r="I2160" s="255">
        <v>2.9726957514479265E-3</v>
      </c>
      <c r="J2160" s="256">
        <v>3.6975914811608059E-4</v>
      </c>
      <c r="K2160" s="257">
        <v>3.8647801601197082E-4</v>
      </c>
      <c r="L2160" s="228">
        <v>4.8846129997679892E-2</v>
      </c>
    </row>
    <row r="2161" spans="1:12" s="212" customFormat="1" ht="15.5" x14ac:dyDescent="0.35">
      <c r="A2161" s="198" t="s">
        <v>791</v>
      </c>
      <c r="B2161" s="197">
        <v>2017</v>
      </c>
      <c r="C2161" s="213" t="s">
        <v>5316</v>
      </c>
      <c r="D2161" s="239">
        <v>7.9245449680097862E-2</v>
      </c>
      <c r="E2161" s="226">
        <v>0.33935263176334041</v>
      </c>
      <c r="F2161" s="226">
        <v>3.0992696532617841E-3</v>
      </c>
      <c r="G2161" s="227">
        <v>2.8677377104675893E-3</v>
      </c>
      <c r="H2161" s="226">
        <v>2.0000005732018801E-3</v>
      </c>
      <c r="I2161" s="255">
        <v>2.9708799565921749E-3</v>
      </c>
      <c r="J2161" s="256">
        <v>3.5598277800432819E-4</v>
      </c>
      <c r="K2161" s="257">
        <v>3.7207873957550194E-4</v>
      </c>
      <c r="L2161" s="228">
        <v>4.8527113716283446E-2</v>
      </c>
    </row>
    <row r="2162" spans="1:12" s="212" customFormat="1" ht="15.5" x14ac:dyDescent="0.35">
      <c r="A2162" s="198" t="s">
        <v>791</v>
      </c>
      <c r="B2162" s="197">
        <v>2018</v>
      </c>
      <c r="C2162" s="213" t="s">
        <v>5317</v>
      </c>
      <c r="D2162" s="239">
        <v>6.679760102023985E-2</v>
      </c>
      <c r="E2162" s="226">
        <v>0.30003244265726564</v>
      </c>
      <c r="F2162" s="226">
        <v>2.8691546876952437E-3</v>
      </c>
      <c r="G2162" s="227">
        <v>2.6531828662128254E-3</v>
      </c>
      <c r="H2162" s="226">
        <v>2.0000005732018797E-3</v>
      </c>
      <c r="I2162" s="255">
        <v>2.9694765951469386E-3</v>
      </c>
      <c r="J2162" s="256">
        <v>3.2367006973765621E-4</v>
      </c>
      <c r="K2162" s="257">
        <v>3.3830499402653078E-4</v>
      </c>
      <c r="L2162" s="228">
        <v>4.7898061483700183E-2</v>
      </c>
    </row>
    <row r="2163" spans="1:12" s="212" customFormat="1" ht="15.5" x14ac:dyDescent="0.35">
      <c r="A2163" s="198" t="s">
        <v>791</v>
      </c>
      <c r="B2163" s="197">
        <v>2019</v>
      </c>
      <c r="C2163" s="213" t="s">
        <v>5318</v>
      </c>
      <c r="D2163" s="239">
        <v>5.6284743495360966E-2</v>
      </c>
      <c r="E2163" s="226">
        <v>0.26026981966305818</v>
      </c>
      <c r="F2163" s="226">
        <v>2.6666152496253922E-3</v>
      </c>
      <c r="G2163" s="227">
        <v>2.4638087424898665E-3</v>
      </c>
      <c r="H2163" s="226">
        <v>2.0000005732018801E-3</v>
      </c>
      <c r="I2163" s="255">
        <v>2.9684813369710429E-3</v>
      </c>
      <c r="J2163" s="256">
        <v>2.7112605020568472E-4</v>
      </c>
      <c r="K2163" s="257">
        <v>2.8338516709195685E-4</v>
      </c>
      <c r="L2163" s="228">
        <v>4.712022147087544E-2</v>
      </c>
    </row>
    <row r="2164" spans="1:12" s="212" customFormat="1" ht="15.5" x14ac:dyDescent="0.35">
      <c r="A2164" s="198" t="s">
        <v>791</v>
      </c>
      <c r="B2164" s="197">
        <v>2020</v>
      </c>
      <c r="C2164" s="213" t="s">
        <v>5319</v>
      </c>
      <c r="D2164" s="239">
        <v>5.0088905337904936E-2</v>
      </c>
      <c r="E2164" s="226">
        <v>0.23496758052281627</v>
      </c>
      <c r="F2164" s="226">
        <v>2.5339041045166059E-3</v>
      </c>
      <c r="G2164" s="227">
        <v>2.340618407537414E-3</v>
      </c>
      <c r="H2164" s="226">
        <v>2.0000005732018801E-3</v>
      </c>
      <c r="I2164" s="255">
        <v>2.9718741072696868E-3</v>
      </c>
      <c r="J2164" s="256">
        <v>2.491330889137395E-4</v>
      </c>
      <c r="K2164" s="257">
        <v>2.6039778168270971E-4</v>
      </c>
      <c r="L2164" s="228">
        <v>4.6709733799150839E-2</v>
      </c>
    </row>
    <row r="2165" spans="1:12" s="212" customFormat="1" ht="15.5" x14ac:dyDescent="0.35">
      <c r="A2165" s="198" t="s">
        <v>791</v>
      </c>
      <c r="B2165" s="197">
        <v>2021</v>
      </c>
      <c r="C2165" s="213" t="s">
        <v>5320</v>
      </c>
      <c r="D2165" s="239">
        <v>4.4039375177123675E-2</v>
      </c>
      <c r="E2165" s="226">
        <v>0.20945563588588623</v>
      </c>
      <c r="F2165" s="226">
        <v>2.3720684409394518E-3</v>
      </c>
      <c r="G2165" s="227">
        <v>2.1905099354728678E-3</v>
      </c>
      <c r="H2165" s="226">
        <v>2.0000005732018801E-3</v>
      </c>
      <c r="I2165" s="255">
        <v>2.9731855474765998E-3</v>
      </c>
      <c r="J2165" s="256">
        <v>2.2368061632912874E-4</v>
      </c>
      <c r="K2165" s="257">
        <v>2.3379446123149774E-4</v>
      </c>
      <c r="L2165" s="228">
        <v>4.5788936609795799E-2</v>
      </c>
    </row>
    <row r="2166" spans="1:12" s="212" customFormat="1" ht="15.5" x14ac:dyDescent="0.35">
      <c r="A2166" s="198" t="s">
        <v>791</v>
      </c>
      <c r="B2166" s="197">
        <v>2022</v>
      </c>
      <c r="C2166" s="213" t="s">
        <v>5321</v>
      </c>
      <c r="D2166" s="239">
        <v>3.7601746632528792E-2</v>
      </c>
      <c r="E2166" s="226">
        <v>0.18443224492316787</v>
      </c>
      <c r="F2166" s="226">
        <v>2.2077069185020303E-3</v>
      </c>
      <c r="G2166" s="227">
        <v>2.0379365974910004E-3</v>
      </c>
      <c r="H2166" s="226">
        <v>2.0000005732018801E-3</v>
      </c>
      <c r="I2166" s="255">
        <v>2.9717400032287099E-3</v>
      </c>
      <c r="J2166" s="256">
        <v>1.9895767336629543E-4</v>
      </c>
      <c r="K2166" s="257">
        <v>2.0795365649431923E-4</v>
      </c>
      <c r="L2166" s="228">
        <v>4.4938678390421302E-2</v>
      </c>
    </row>
    <row r="2167" spans="1:12" s="212" customFormat="1" ht="15.5" x14ac:dyDescent="0.35">
      <c r="A2167" s="198" t="s">
        <v>791</v>
      </c>
      <c r="B2167" s="197">
        <v>2023</v>
      </c>
      <c r="C2167" s="213" t="s">
        <v>5322</v>
      </c>
      <c r="D2167" s="239">
        <v>3.2954130433742297E-2</v>
      </c>
      <c r="E2167" s="226">
        <v>0.16292988409483586</v>
      </c>
      <c r="F2167" s="226">
        <v>2.0620418817355246E-3</v>
      </c>
      <c r="G2167" s="227">
        <v>1.9031104615095343E-3</v>
      </c>
      <c r="H2167" s="226">
        <v>2.0000005732018805E-3</v>
      </c>
      <c r="I2167" s="255">
        <v>2.9695014197879911E-3</v>
      </c>
      <c r="J2167" s="256">
        <v>1.7887187142057089E-4</v>
      </c>
      <c r="K2167" s="257">
        <v>1.8695966371403514E-4</v>
      </c>
      <c r="L2167" s="228">
        <v>4.4046591611898035E-2</v>
      </c>
    </row>
    <row r="2168" spans="1:12" s="212" customFormat="1" ht="15.5" x14ac:dyDescent="0.35">
      <c r="A2168" s="198" t="s">
        <v>791</v>
      </c>
      <c r="B2168" s="197">
        <v>2024</v>
      </c>
      <c r="C2168" s="213" t="s">
        <v>5323</v>
      </c>
      <c r="D2168" s="239">
        <v>2.8663013620120401E-2</v>
      </c>
      <c r="E2168" s="226">
        <v>0.14336163564730339</v>
      </c>
      <c r="F2168" s="226">
        <v>1.9234570700406937E-3</v>
      </c>
      <c r="G2168" s="227">
        <v>1.7748312508037466E-3</v>
      </c>
      <c r="H2168" s="226">
        <v>2.0000005732018797E-3</v>
      </c>
      <c r="I2168" s="255">
        <v>2.9672026473361668E-3</v>
      </c>
      <c r="J2168" s="256">
        <v>1.6048879799808555E-4</v>
      </c>
      <c r="K2168" s="257">
        <v>1.6774538928506522E-4</v>
      </c>
      <c r="L2168" s="228">
        <v>4.3123884671941719E-2</v>
      </c>
    </row>
    <row r="2169" spans="1:12" s="212" customFormat="1" ht="15.5" x14ac:dyDescent="0.35">
      <c r="A2169" s="198" t="s">
        <v>791</v>
      </c>
      <c r="B2169" s="197">
        <v>2025</v>
      </c>
      <c r="C2169" s="213" t="s">
        <v>5324</v>
      </c>
      <c r="D2169" s="239">
        <v>2.5348110241455207E-2</v>
      </c>
      <c r="E2169" s="226">
        <v>0.12733254715188086</v>
      </c>
      <c r="F2169" s="226">
        <v>1.8154833440397495E-3</v>
      </c>
      <c r="G2169" s="227">
        <v>1.6747766117238192E-3</v>
      </c>
      <c r="H2169" s="226">
        <v>2.0000005732018801E-3</v>
      </c>
      <c r="I2169" s="255">
        <v>2.9649522293605604E-3</v>
      </c>
      <c r="J2169" s="256">
        <v>1.412825050721575E-4</v>
      </c>
      <c r="K2169" s="257">
        <v>1.4767067301968943E-4</v>
      </c>
      <c r="L2169" s="228">
        <v>4.2180719410392697E-2</v>
      </c>
    </row>
    <row r="2170" spans="1:12" s="212" customFormat="1" ht="15.5" x14ac:dyDescent="0.35">
      <c r="A2170" s="198" t="s">
        <v>791</v>
      </c>
      <c r="B2170" s="197">
        <v>2026</v>
      </c>
      <c r="C2170" s="213" t="s">
        <v>5325</v>
      </c>
      <c r="D2170" s="239">
        <v>2.2601764189453696E-2</v>
      </c>
      <c r="E2170" s="226">
        <v>0.1137859534783337</v>
      </c>
      <c r="F2170" s="226">
        <v>1.7211030897900886E-3</v>
      </c>
      <c r="G2170" s="227">
        <v>1.5871731006598141E-3</v>
      </c>
      <c r="H2170" s="226">
        <v>2.0000005732018801E-3</v>
      </c>
      <c r="I2170" s="255">
        <v>2.9628435134825561E-3</v>
      </c>
      <c r="J2170" s="256">
        <v>1.2015006610874868E-4</v>
      </c>
      <c r="K2170" s="257">
        <v>1.25582718940164E-4</v>
      </c>
      <c r="L2170" s="228">
        <v>4.1262850064668156E-2</v>
      </c>
    </row>
    <row r="2171" spans="1:12" s="212" customFormat="1" ht="15.5" x14ac:dyDescent="0.35">
      <c r="A2171" s="198" t="s">
        <v>791</v>
      </c>
      <c r="B2171" s="197">
        <v>2027</v>
      </c>
      <c r="C2171" s="213" t="s">
        <v>5326</v>
      </c>
      <c r="D2171" s="239">
        <v>2.0173725482689767E-2</v>
      </c>
      <c r="E2171" s="226">
        <v>0.1017793920481414</v>
      </c>
      <c r="F2171" s="226">
        <v>1.6230559989862756E-3</v>
      </c>
      <c r="G2171" s="227">
        <v>1.4961557277550304E-3</v>
      </c>
      <c r="H2171" s="226">
        <v>2.0000005732018801E-3</v>
      </c>
      <c r="I2171" s="255">
        <v>2.9605818208123975E-3</v>
      </c>
      <c r="J2171" s="256">
        <v>9.7930361752408268E-5</v>
      </c>
      <c r="K2171" s="257">
        <v>1.0235833815130771E-4</v>
      </c>
      <c r="L2171" s="228">
        <v>4.0396774364499212E-2</v>
      </c>
    </row>
    <row r="2172" spans="1:12" s="212" customFormat="1" ht="15.5" x14ac:dyDescent="0.35">
      <c r="A2172" s="198" t="s">
        <v>791</v>
      </c>
      <c r="B2172" s="197">
        <v>2028</v>
      </c>
      <c r="C2172" s="213" t="s">
        <v>5327</v>
      </c>
      <c r="D2172" s="239">
        <v>1.8109016095130867E-2</v>
      </c>
      <c r="E2172" s="226">
        <v>9.1452809837945986E-2</v>
      </c>
      <c r="F2172" s="226">
        <v>1.5225714562775174E-3</v>
      </c>
      <c r="G2172" s="227">
        <v>1.402907777240884E-3</v>
      </c>
      <c r="H2172" s="226">
        <v>2.0000005732018801E-3</v>
      </c>
      <c r="I2172" s="255">
        <v>2.9584714032368938E-3</v>
      </c>
      <c r="J2172" s="256">
        <v>7.5957580733032536E-5</v>
      </c>
      <c r="K2172" s="257">
        <v>7.9392045477007686E-5</v>
      </c>
      <c r="L2172" s="228">
        <v>3.959359345751149E-2</v>
      </c>
    </row>
    <row r="2173" spans="1:12" s="212" customFormat="1" ht="15.5" x14ac:dyDescent="0.35">
      <c r="A2173" s="198" t="s">
        <v>791</v>
      </c>
      <c r="B2173" s="197">
        <v>2029</v>
      </c>
      <c r="C2173" s="213" t="s">
        <v>5328</v>
      </c>
      <c r="D2173" s="239">
        <v>1.6256396563422489E-2</v>
      </c>
      <c r="E2173" s="226">
        <v>8.2295046153182574E-2</v>
      </c>
      <c r="F2173" s="226">
        <v>1.4322639667915149E-3</v>
      </c>
      <c r="G2173" s="227">
        <v>1.3194318424167304E-3</v>
      </c>
      <c r="H2173" s="226">
        <v>2.0000005732018801E-3</v>
      </c>
      <c r="I2173" s="255">
        <v>2.9565258945677764E-3</v>
      </c>
      <c r="J2173" s="256">
        <v>6.4625465901566498E-5</v>
      </c>
      <c r="K2173" s="257">
        <v>6.7547542698377647E-5</v>
      </c>
      <c r="L2173" s="228">
        <v>3.8854585581016274E-2</v>
      </c>
    </row>
    <row r="2174" spans="1:12" s="212" customFormat="1" ht="15.5" x14ac:dyDescent="0.35">
      <c r="A2174" s="198" t="s">
        <v>791</v>
      </c>
      <c r="B2174" s="197">
        <v>2030</v>
      </c>
      <c r="C2174" s="213" t="s">
        <v>5329</v>
      </c>
      <c r="D2174" s="239">
        <v>1.4665432216278465E-2</v>
      </c>
      <c r="E2174" s="226">
        <v>7.436876764565449E-2</v>
      </c>
      <c r="F2174" s="226">
        <v>1.3426362679945171E-3</v>
      </c>
      <c r="G2174" s="227">
        <v>1.2365459656931634E-3</v>
      </c>
      <c r="H2174" s="226">
        <v>2.0000005732018801E-3</v>
      </c>
      <c r="I2174" s="255">
        <v>2.9547468716681828E-3</v>
      </c>
      <c r="J2174" s="256">
        <v>5.2395461792062904E-5</v>
      </c>
      <c r="K2174" s="257">
        <v>5.4764552072881611E-5</v>
      </c>
      <c r="L2174" s="228">
        <v>3.817848191559664E-2</v>
      </c>
    </row>
    <row r="2175" spans="1:12" s="212" customFormat="1" ht="15.5" x14ac:dyDescent="0.35">
      <c r="A2175" s="198" t="s">
        <v>791</v>
      </c>
      <c r="B2175" s="197">
        <v>2031</v>
      </c>
      <c r="C2175" s="213" t="s">
        <v>5330</v>
      </c>
      <c r="D2175" s="239">
        <v>1.3228003394905073E-2</v>
      </c>
      <c r="E2175" s="226">
        <v>6.7291254016413921E-2</v>
      </c>
      <c r="F2175" s="226">
        <v>1.2600742813376035E-3</v>
      </c>
      <c r="G2175" s="227">
        <v>1.16038895384182E-3</v>
      </c>
      <c r="H2175" s="226">
        <v>2.0000005732018801E-3</v>
      </c>
      <c r="I2175" s="255">
        <v>2.9529780624245393E-3</v>
      </c>
      <c r="J2175" s="256">
        <v>4.6125063901454965E-5</v>
      </c>
      <c r="K2175" s="257">
        <v>4.8210634614138997E-5</v>
      </c>
      <c r="L2175" s="228">
        <v>3.7561108866837445E-2</v>
      </c>
    </row>
    <row r="2176" spans="1:12" s="212" customFormat="1" ht="15.5" x14ac:dyDescent="0.35">
      <c r="A2176" s="198" t="s">
        <v>791</v>
      </c>
      <c r="B2176" s="197">
        <v>2032</v>
      </c>
      <c r="C2176" s="213" t="s">
        <v>5331</v>
      </c>
      <c r="D2176" s="239">
        <v>1.1961877048946874E-2</v>
      </c>
      <c r="E2176" s="226">
        <v>6.1181506163447939E-2</v>
      </c>
      <c r="F2176" s="226">
        <v>1.1807481093634488E-3</v>
      </c>
      <c r="G2176" s="227">
        <v>1.0871947796440677E-3</v>
      </c>
      <c r="H2176" s="226">
        <v>2.0000005732018801E-3</v>
      </c>
      <c r="I2176" s="255">
        <v>2.9512529085476157E-3</v>
      </c>
      <c r="J2176" s="256">
        <v>3.9537068674057053E-5</v>
      </c>
      <c r="K2176" s="257">
        <v>4.1324759476353998E-5</v>
      </c>
      <c r="L2176" s="228">
        <v>3.6999789170442818E-2</v>
      </c>
    </row>
    <row r="2177" spans="1:12" s="212" customFormat="1" ht="15.5" x14ac:dyDescent="0.35">
      <c r="A2177" s="198" t="s">
        <v>791</v>
      </c>
      <c r="B2177" s="197">
        <v>2033</v>
      </c>
      <c r="C2177" s="213" t="s">
        <v>5332</v>
      </c>
      <c r="D2177" s="239">
        <v>1.0887362415698078E-2</v>
      </c>
      <c r="E2177" s="226">
        <v>5.6015171377919018E-2</v>
      </c>
      <c r="F2177" s="226">
        <v>1.1096355528086629E-3</v>
      </c>
      <c r="G2177" s="227">
        <v>1.0216723414156787E-3</v>
      </c>
      <c r="H2177" s="226">
        <v>2.0000005732018801E-3</v>
      </c>
      <c r="I2177" s="255">
        <v>2.9495290537577944E-3</v>
      </c>
      <c r="J2177" s="256">
        <v>3.6019169983201202E-5</v>
      </c>
      <c r="K2177" s="257">
        <v>3.7647797017141982E-5</v>
      </c>
      <c r="L2177" s="228">
        <v>3.6489471279483592E-2</v>
      </c>
    </row>
    <row r="2178" spans="1:12" s="212" customFormat="1" ht="15.5" x14ac:dyDescent="0.35">
      <c r="A2178" s="198" t="s">
        <v>791</v>
      </c>
      <c r="B2178" s="197">
        <v>2034</v>
      </c>
      <c r="C2178" s="213" t="s">
        <v>5333</v>
      </c>
      <c r="D2178" s="239">
        <v>9.9243571117652741E-3</v>
      </c>
      <c r="E2178" s="226">
        <v>5.1558555802780535E-2</v>
      </c>
      <c r="F2178" s="226">
        <v>1.0412128834907915E-3</v>
      </c>
      <c r="G2178" s="227">
        <v>9.5863585974516677E-4</v>
      </c>
      <c r="H2178" s="226">
        <v>2.0000005732018801E-3</v>
      </c>
      <c r="I2178" s="255">
        <v>2.9478242176489084E-3</v>
      </c>
      <c r="J2178" s="256">
        <v>3.2827339008423719E-5</v>
      </c>
      <c r="K2178" s="257">
        <v>3.4311645609225251E-5</v>
      </c>
      <c r="L2178" s="228">
        <v>3.602897489076104E-2</v>
      </c>
    </row>
    <row r="2179" spans="1:12" s="212" customFormat="1" ht="15.5" x14ac:dyDescent="0.35">
      <c r="A2179" s="198" t="s">
        <v>791</v>
      </c>
      <c r="B2179" s="197">
        <v>2035</v>
      </c>
      <c r="C2179" s="213" t="s">
        <v>5334</v>
      </c>
      <c r="D2179" s="239">
        <v>9.0354079926085479E-3</v>
      </c>
      <c r="E2179" s="226">
        <v>4.7600601372185504E-2</v>
      </c>
      <c r="F2179" s="226">
        <v>9.7289469141652589E-4</v>
      </c>
      <c r="G2179" s="227">
        <v>8.9565154804771032E-4</v>
      </c>
      <c r="H2179" s="226">
        <v>2.0000005732018801E-3</v>
      </c>
      <c r="I2179" s="255">
        <v>2.9461274171739397E-3</v>
      </c>
      <c r="J2179" s="256">
        <v>2.8508974140109468E-5</v>
      </c>
      <c r="K2179" s="257">
        <v>2.979802344402608E-5</v>
      </c>
      <c r="L2179" s="228">
        <v>3.5617500269685236E-2</v>
      </c>
    </row>
    <row r="2180" spans="1:12" s="212" customFormat="1" ht="15.5" x14ac:dyDescent="0.35">
      <c r="A2180" s="198" t="s">
        <v>791</v>
      </c>
      <c r="B2180" s="197">
        <v>2036</v>
      </c>
      <c r="C2180" s="213" t="s">
        <v>5335</v>
      </c>
      <c r="D2180" s="239">
        <v>8.242795120079905E-3</v>
      </c>
      <c r="E2180" s="226">
        <v>4.4111442684213027E-2</v>
      </c>
      <c r="F2180" s="226">
        <v>9.148605994754197E-4</v>
      </c>
      <c r="G2180" s="227">
        <v>8.4213528408959163E-4</v>
      </c>
      <c r="H2180" s="226">
        <v>2.0000005732018801E-3</v>
      </c>
      <c r="I2180" s="255">
        <v>2.9444615953977274E-3</v>
      </c>
      <c r="J2180" s="256">
        <v>2.4503658097637182E-5</v>
      </c>
      <c r="K2180" s="257">
        <v>2.5611604783439914E-5</v>
      </c>
      <c r="L2180" s="228">
        <v>3.5252388534200638E-2</v>
      </c>
    </row>
    <row r="2181" spans="1:12" s="212" customFormat="1" ht="15.5" x14ac:dyDescent="0.35">
      <c r="A2181" s="198" t="s">
        <v>791</v>
      </c>
      <c r="B2181" s="197">
        <v>2037</v>
      </c>
      <c r="C2181" s="213" t="s">
        <v>5336</v>
      </c>
      <c r="D2181" s="239">
        <v>7.5762473074833863E-3</v>
      </c>
      <c r="E2181" s="226">
        <v>4.1196564941546651E-2</v>
      </c>
      <c r="F2181" s="226">
        <v>8.6331217853052877E-4</v>
      </c>
      <c r="G2181" s="227">
        <v>7.9463941510476315E-4</v>
      </c>
      <c r="H2181" s="226">
        <v>2.0000005732018801E-3</v>
      </c>
      <c r="I2181" s="255">
        <v>2.9428463573282549E-3</v>
      </c>
      <c r="J2181" s="256">
        <v>2.1962810491363413E-5</v>
      </c>
      <c r="K2181" s="257">
        <v>2.2955871323254734E-5</v>
      </c>
      <c r="L2181" s="228">
        <v>3.493042918984085E-2</v>
      </c>
    </row>
    <row r="2182" spans="1:12" s="212" customFormat="1" ht="15.5" x14ac:dyDescent="0.35">
      <c r="A2182" s="198" t="s">
        <v>791</v>
      </c>
      <c r="B2182" s="197">
        <v>2038</v>
      </c>
      <c r="C2182" s="213" t="s">
        <v>5337</v>
      </c>
      <c r="D2182" s="239">
        <v>6.9448216091534268E-3</v>
      </c>
      <c r="E2182" s="226">
        <v>3.8471827936763903E-2</v>
      </c>
      <c r="F2182" s="226">
        <v>8.1517126407382992E-4</v>
      </c>
      <c r="G2182" s="227">
        <v>7.5030246290505218E-4</v>
      </c>
      <c r="H2182" s="226">
        <v>2.0000005732018801E-3</v>
      </c>
      <c r="I2182" s="255">
        <v>2.9413249593589091E-3</v>
      </c>
      <c r="J2182" s="256">
        <v>2.0085167324031965E-5</v>
      </c>
      <c r="K2182" s="257">
        <v>2.0993329463814693E-5</v>
      </c>
      <c r="L2182" s="228">
        <v>3.4651671249159445E-2</v>
      </c>
    </row>
    <row r="2183" spans="1:12" s="212" customFormat="1" ht="15.5" x14ac:dyDescent="0.35">
      <c r="A2183" s="198" t="s">
        <v>791</v>
      </c>
      <c r="B2183" s="197">
        <v>2039</v>
      </c>
      <c r="C2183" s="213" t="s">
        <v>5338</v>
      </c>
      <c r="D2183" s="239">
        <v>6.3193130172065175E-3</v>
      </c>
      <c r="E2183" s="226">
        <v>3.5817668542767842E-2</v>
      </c>
      <c r="F2183" s="226">
        <v>7.694411461211519E-4</v>
      </c>
      <c r="G2183" s="227">
        <v>7.0817696465857874E-4</v>
      </c>
      <c r="H2183" s="226">
        <v>2.0000005732018801E-3</v>
      </c>
      <c r="I2183" s="255">
        <v>2.9398138312311728E-3</v>
      </c>
      <c r="J2183" s="256">
        <v>1.807446304463886E-5</v>
      </c>
      <c r="K2183" s="257">
        <v>1.8891710059275499E-5</v>
      </c>
      <c r="L2183" s="228">
        <v>3.440828671260595E-2</v>
      </c>
    </row>
    <row r="2184" spans="1:12" s="212" customFormat="1" ht="15.5" x14ac:dyDescent="0.35">
      <c r="A2184" s="198" t="s">
        <v>791</v>
      </c>
      <c r="B2184" s="197">
        <v>2040</v>
      </c>
      <c r="C2184" s="213" t="s">
        <v>5339</v>
      </c>
      <c r="D2184" s="239">
        <v>5.74511012648821E-3</v>
      </c>
      <c r="E2184" s="226">
        <v>3.3492896322353312E-2</v>
      </c>
      <c r="F2184" s="226">
        <v>7.2698587624686075E-4</v>
      </c>
      <c r="G2184" s="227">
        <v>6.6907932783980581E-4</v>
      </c>
      <c r="H2184" s="226">
        <v>2.0000005732018801E-3</v>
      </c>
      <c r="I2184" s="255">
        <v>2.9384919654633162E-3</v>
      </c>
      <c r="J2184" s="256">
        <v>1.6493899112102014E-5</v>
      </c>
      <c r="K2184" s="257">
        <v>1.7239680039357957E-5</v>
      </c>
      <c r="L2184" s="228">
        <v>3.4198535371129497E-2</v>
      </c>
    </row>
    <row r="2185" spans="1:12" s="212" customFormat="1" ht="15.5" x14ac:dyDescent="0.35">
      <c r="A2185" s="198" t="s">
        <v>791</v>
      </c>
      <c r="B2185" s="197">
        <v>2041</v>
      </c>
      <c r="C2185" s="213" t="s">
        <v>5340</v>
      </c>
      <c r="D2185" s="239">
        <v>5.3198719506980163E-3</v>
      </c>
      <c r="E2185" s="226">
        <v>3.1646199204978992E-2</v>
      </c>
      <c r="F2185" s="226">
        <v>6.9679626582206809E-4</v>
      </c>
      <c r="G2185" s="227">
        <v>6.4127137622660413E-4</v>
      </c>
      <c r="H2185" s="226">
        <v>2.0000005732018801E-3</v>
      </c>
      <c r="I2185" s="255">
        <v>2.9372870012770507E-3</v>
      </c>
      <c r="J2185" s="256">
        <v>1.5217832779158301E-5</v>
      </c>
      <c r="K2185" s="257">
        <v>1.5905915649298998E-5</v>
      </c>
      <c r="L2185" s="228">
        <v>3.4022563907358562E-2</v>
      </c>
    </row>
    <row r="2186" spans="1:12" s="212" customFormat="1" ht="15.5" x14ac:dyDescent="0.35">
      <c r="A2186" s="198" t="s">
        <v>791</v>
      </c>
      <c r="B2186" s="197">
        <v>2042</v>
      </c>
      <c r="C2186" s="213" t="s">
        <v>5341</v>
      </c>
      <c r="D2186" s="239">
        <v>4.9139873974650364E-3</v>
      </c>
      <c r="E2186" s="226">
        <v>2.9794698947174788E-2</v>
      </c>
      <c r="F2186" s="226">
        <v>6.6934687659066965E-4</v>
      </c>
      <c r="G2186" s="227">
        <v>6.1598863456530941E-4</v>
      </c>
      <c r="H2186" s="226">
        <v>2.0000005732018801E-3</v>
      </c>
      <c r="I2186" s="255">
        <v>2.9361123642936229E-3</v>
      </c>
      <c r="J2186" s="256">
        <v>1.4087487574926387E-5</v>
      </c>
      <c r="K2186" s="257">
        <v>1.4724461250764283E-5</v>
      </c>
      <c r="L2186" s="228">
        <v>3.3869238243465265E-2</v>
      </c>
    </row>
    <row r="2187" spans="1:12" s="212" customFormat="1" ht="15.5" x14ac:dyDescent="0.35">
      <c r="A2187" s="198" t="s">
        <v>791</v>
      </c>
      <c r="B2187" s="197">
        <v>2043</v>
      </c>
      <c r="C2187" s="213" t="s">
        <v>5342</v>
      </c>
      <c r="D2187" s="239">
        <v>4.6068684691456295E-3</v>
      </c>
      <c r="E2187" s="226">
        <v>2.8248313242659539E-2</v>
      </c>
      <c r="F2187" s="226">
        <v>6.448411702814086E-4</v>
      </c>
      <c r="G2187" s="227">
        <v>5.934124670806827E-4</v>
      </c>
      <c r="H2187" s="226">
        <v>2.0000005732018797E-3</v>
      </c>
      <c r="I2187" s="255">
        <v>2.935038479078739E-3</v>
      </c>
      <c r="J2187" s="256">
        <v>1.2956279734082673E-5</v>
      </c>
      <c r="K2187" s="257">
        <v>1.3542105211018054E-5</v>
      </c>
      <c r="L2187" s="228">
        <v>3.3738790201211309E-2</v>
      </c>
    </row>
    <row r="2188" spans="1:12" s="212" customFormat="1" ht="15.5" x14ac:dyDescent="0.35">
      <c r="A2188" s="198" t="s">
        <v>791</v>
      </c>
      <c r="B2188" s="197">
        <v>2044</v>
      </c>
      <c r="C2188" s="213" t="s">
        <v>5343</v>
      </c>
      <c r="D2188" s="239">
        <v>4.3806305834777192E-3</v>
      </c>
      <c r="E2188" s="226">
        <v>2.6880160697576181E-2</v>
      </c>
      <c r="F2188" s="226">
        <v>6.2324558194345688E-4</v>
      </c>
      <c r="G2188" s="227">
        <v>5.7352241481002154E-4</v>
      </c>
      <c r="H2188" s="226">
        <v>2.0000005732018801E-3</v>
      </c>
      <c r="I2188" s="255">
        <v>2.9340212404868073E-3</v>
      </c>
      <c r="J2188" s="256">
        <v>1.2091201140758449E-5</v>
      </c>
      <c r="K2188" s="257">
        <v>1.263791160243312E-5</v>
      </c>
      <c r="L2188" s="228">
        <v>3.3626182739038488E-2</v>
      </c>
    </row>
    <row r="2189" spans="1:12" s="212" customFormat="1" ht="15.5" x14ac:dyDescent="0.35">
      <c r="A2189" s="198" t="s">
        <v>791</v>
      </c>
      <c r="B2189" s="197">
        <v>2045</v>
      </c>
      <c r="C2189" s="213" t="s">
        <v>5344</v>
      </c>
      <c r="D2189" s="239">
        <v>4.220989228507931E-3</v>
      </c>
      <c r="E2189" s="226">
        <v>2.565896813853253E-2</v>
      </c>
      <c r="F2189" s="226">
        <v>6.0408024427769541E-4</v>
      </c>
      <c r="G2189" s="227">
        <v>5.5587331821314227E-4</v>
      </c>
      <c r="H2189" s="226">
        <v>2.0000005732018801E-3</v>
      </c>
      <c r="I2189" s="255">
        <v>2.9330891441338141E-3</v>
      </c>
      <c r="J2189" s="256">
        <v>1.1391148573795526E-5</v>
      </c>
      <c r="K2189" s="257">
        <v>1.1906205764829399E-5</v>
      </c>
      <c r="L2189" s="228">
        <v>3.352739209908525E-2</v>
      </c>
    </row>
    <row r="2190" spans="1:12" s="212" customFormat="1" ht="15.5" x14ac:dyDescent="0.35">
      <c r="A2190" s="198" t="s">
        <v>791</v>
      </c>
      <c r="B2190" s="197">
        <v>2046</v>
      </c>
      <c r="C2190" s="213" t="s">
        <v>5345</v>
      </c>
      <c r="D2190" s="239">
        <v>4.0780016388269969E-3</v>
      </c>
      <c r="E2190" s="226">
        <v>2.4563609079855529E-2</v>
      </c>
      <c r="F2190" s="226">
        <v>5.8722422792546768E-4</v>
      </c>
      <c r="G2190" s="227">
        <v>5.4034834539329422E-4</v>
      </c>
      <c r="H2190" s="226">
        <v>2.0000005732018805E-3</v>
      </c>
      <c r="I2190" s="255">
        <v>2.9322529855699995E-3</v>
      </c>
      <c r="J2190" s="256">
        <v>1.0711322253028551E-5</v>
      </c>
      <c r="K2190" s="257">
        <v>1.1195640714521971E-5</v>
      </c>
      <c r="L2190" s="228">
        <v>3.3440423765468581E-2</v>
      </c>
    </row>
    <row r="2191" spans="1:12" s="212" customFormat="1" ht="15.5" x14ac:dyDescent="0.35">
      <c r="A2191" s="198" t="s">
        <v>791</v>
      </c>
      <c r="B2191" s="197">
        <v>2047</v>
      </c>
      <c r="C2191" s="213" t="s">
        <v>5346</v>
      </c>
      <c r="D2191" s="239">
        <v>3.9598355531469771E-3</v>
      </c>
      <c r="E2191" s="226">
        <v>2.3649351464574607E-2</v>
      </c>
      <c r="F2191" s="226">
        <v>5.7258827956982504E-4</v>
      </c>
      <c r="G2191" s="227">
        <v>5.2685757140190554E-4</v>
      </c>
      <c r="H2191" s="226">
        <v>2.0000005732018801E-3</v>
      </c>
      <c r="I2191" s="255">
        <v>2.9315007901843638E-3</v>
      </c>
      <c r="J2191" s="256">
        <v>9.8499963348787884E-6</v>
      </c>
      <c r="K2191" s="257">
        <v>1.0295369460430622E-5</v>
      </c>
      <c r="L2191" s="228">
        <v>3.3367666380340638E-2</v>
      </c>
    </row>
    <row r="2192" spans="1:12" s="212" customFormat="1" ht="15.5" x14ac:dyDescent="0.35">
      <c r="A2192" s="198" t="s">
        <v>791</v>
      </c>
      <c r="B2192" s="197">
        <v>2048</v>
      </c>
      <c r="C2192" s="213" t="s">
        <v>5347</v>
      </c>
      <c r="D2192" s="239">
        <v>3.8621444850587836E-3</v>
      </c>
      <c r="E2192" s="226">
        <v>2.2903076222037536E-2</v>
      </c>
      <c r="F2192" s="226">
        <v>5.5985170938848078E-4</v>
      </c>
      <c r="G2192" s="227">
        <v>5.1511796474507901E-4</v>
      </c>
      <c r="H2192" s="226">
        <v>2.0000005732018805E-3</v>
      </c>
      <c r="I2192" s="255">
        <v>2.9308180115259134E-3</v>
      </c>
      <c r="J2192" s="256">
        <v>9.1108178438506368E-6</v>
      </c>
      <c r="K2192" s="257">
        <v>9.5227685980941472E-6</v>
      </c>
      <c r="L2192" s="228">
        <v>3.3303609162678056E-2</v>
      </c>
    </row>
    <row r="2193" spans="1:12" s="212" customFormat="1" ht="15.5" x14ac:dyDescent="0.35">
      <c r="A2193" s="198" t="s">
        <v>791</v>
      </c>
      <c r="B2193" s="197">
        <v>2049</v>
      </c>
      <c r="C2193" s="213" t="s">
        <v>5348</v>
      </c>
      <c r="D2193" s="239">
        <v>3.8401046447358658E-3</v>
      </c>
      <c r="E2193" s="226">
        <v>2.2815397583452319E-2</v>
      </c>
      <c r="F2193" s="226">
        <v>5.5242933960089992E-4</v>
      </c>
      <c r="G2193" s="227">
        <v>5.0827716835822375E-4</v>
      </c>
      <c r="H2193" s="226">
        <v>2.0000005732018801E-3</v>
      </c>
      <c r="I2193" s="255">
        <v>2.930167702442523E-3</v>
      </c>
      <c r="J2193" s="256">
        <v>8.6950028272979853E-6</v>
      </c>
      <c r="K2193" s="257">
        <v>9.0881522716447935E-6</v>
      </c>
      <c r="L2193" s="228">
        <v>3.3247106188878488E-2</v>
      </c>
    </row>
    <row r="2194" spans="1:12" s="212" customFormat="1" ht="15.5" x14ac:dyDescent="0.35">
      <c r="A2194" s="198" t="s">
        <v>791</v>
      </c>
      <c r="B2194" s="197">
        <v>2050</v>
      </c>
      <c r="C2194" s="213" t="s">
        <v>5349</v>
      </c>
      <c r="D2194" s="239">
        <v>3.8219287086541588E-3</v>
      </c>
      <c r="E2194" s="226">
        <v>2.2737159185015964E-2</v>
      </c>
      <c r="F2194" s="226">
        <v>5.4596713863703475E-4</v>
      </c>
      <c r="G2194" s="227">
        <v>5.0231131202441615E-4</v>
      </c>
      <c r="H2194" s="226">
        <v>2.0000005732018801E-3</v>
      </c>
      <c r="I2194" s="255">
        <v>2.9296075429405067E-3</v>
      </c>
      <c r="J2194" s="256">
        <v>8.0764374106922871E-6</v>
      </c>
      <c r="K2194" s="257">
        <v>8.4416180717435583E-6</v>
      </c>
      <c r="L2194" s="228">
        <v>3.3200220788504133E-2</v>
      </c>
    </row>
    <row r="2195" spans="1:12" s="212" customFormat="1" ht="15.5" x14ac:dyDescent="0.35">
      <c r="A2195" s="198" t="s">
        <v>793</v>
      </c>
      <c r="B2195" s="197">
        <v>2015</v>
      </c>
      <c r="C2195" s="213" t="s">
        <v>5350</v>
      </c>
      <c r="D2195" s="239">
        <v>8.9378969909258935E-2</v>
      </c>
      <c r="E2195" s="226">
        <v>0.41229761735787485</v>
      </c>
      <c r="F2195" s="226">
        <v>2.7829333719257944E-3</v>
      </c>
      <c r="G2195" s="227">
        <v>2.5787565320292329E-3</v>
      </c>
      <c r="H2195" s="226">
        <v>1.9999951348151097E-3</v>
      </c>
      <c r="I2195" s="255">
        <v>3.8980595690006801E-3</v>
      </c>
      <c r="J2195" s="256">
        <v>3.6040118046020965E-4</v>
      </c>
      <c r="K2195" s="257">
        <v>3.7669692258406816E-4</v>
      </c>
      <c r="L2195" s="228">
        <v>4.4608941744494507E-2</v>
      </c>
    </row>
    <row r="2196" spans="1:12" s="212" customFormat="1" ht="15.5" x14ac:dyDescent="0.35">
      <c r="A2196" s="198" t="s">
        <v>793</v>
      </c>
      <c r="B2196" s="197">
        <v>2016</v>
      </c>
      <c r="C2196" s="213" t="s">
        <v>5351</v>
      </c>
      <c r="D2196" s="239">
        <v>7.5933813545413509E-2</v>
      </c>
      <c r="E2196" s="226">
        <v>0.37558412302576838</v>
      </c>
      <c r="F2196" s="226">
        <v>2.4617258104059625E-3</v>
      </c>
      <c r="G2196" s="227">
        <v>2.2759189521318712E-3</v>
      </c>
      <c r="H2196" s="226">
        <v>1.9999951348151101E-3</v>
      </c>
      <c r="I2196" s="255">
        <v>3.8991715683702488E-3</v>
      </c>
      <c r="J2196" s="256">
        <v>2.1591697721965014E-4</v>
      </c>
      <c r="K2196" s="257">
        <v>2.2567978481212661E-4</v>
      </c>
      <c r="L2196" s="228">
        <v>4.366475308678465E-2</v>
      </c>
    </row>
    <row r="2197" spans="1:12" s="212" customFormat="1" ht="15.5" x14ac:dyDescent="0.35">
      <c r="A2197" s="198" t="s">
        <v>793</v>
      </c>
      <c r="B2197" s="197">
        <v>2017</v>
      </c>
      <c r="C2197" s="213" t="s">
        <v>5352</v>
      </c>
      <c r="D2197" s="239">
        <v>6.0605241917926753E-2</v>
      </c>
      <c r="E2197" s="226">
        <v>0.31562507113609906</v>
      </c>
      <c r="F2197" s="226">
        <v>2.2729872508632548E-3</v>
      </c>
      <c r="G2197" s="227">
        <v>2.1015447398186034E-3</v>
      </c>
      <c r="H2197" s="226">
        <v>1.9999951348151101E-3</v>
      </c>
      <c r="I2197" s="255">
        <v>3.8883930185658337E-3</v>
      </c>
      <c r="J2197" s="256">
        <v>2.3070787715239886E-4</v>
      </c>
      <c r="K2197" s="257">
        <v>2.4113946360618753E-4</v>
      </c>
      <c r="L2197" s="228">
        <v>4.3306474757169026E-2</v>
      </c>
    </row>
    <row r="2198" spans="1:12" s="212" customFormat="1" ht="15.5" x14ac:dyDescent="0.35">
      <c r="A2198" s="198" t="s">
        <v>793</v>
      </c>
      <c r="B2198" s="197">
        <v>2018</v>
      </c>
      <c r="C2198" s="213" t="s">
        <v>5353</v>
      </c>
      <c r="D2198" s="239">
        <v>5.1396180360801173E-2</v>
      </c>
      <c r="E2198" s="226">
        <v>0.27563494659107451</v>
      </c>
      <c r="F2198" s="226">
        <v>2.1250218579081702E-3</v>
      </c>
      <c r="G2198" s="227">
        <v>1.963535956886797E-3</v>
      </c>
      <c r="H2198" s="226">
        <v>1.9999951348151101E-3</v>
      </c>
      <c r="I2198" s="255">
        <v>3.8880436785317697E-3</v>
      </c>
      <c r="J2198" s="256">
        <v>1.9915942436361651E-4</v>
      </c>
      <c r="K2198" s="257">
        <v>2.0816452977648244E-4</v>
      </c>
      <c r="L2198" s="228">
        <v>4.2779818522570352E-2</v>
      </c>
    </row>
    <row r="2199" spans="1:12" s="212" customFormat="1" ht="15.5" x14ac:dyDescent="0.35">
      <c r="A2199" s="198" t="s">
        <v>793</v>
      </c>
      <c r="B2199" s="197">
        <v>2019</v>
      </c>
      <c r="C2199" s="213" t="s">
        <v>5354</v>
      </c>
      <c r="D2199" s="239">
        <v>4.0522294766047615E-2</v>
      </c>
      <c r="E2199" s="226">
        <v>0.23196511124602079</v>
      </c>
      <c r="F2199" s="226">
        <v>1.9464643218398553E-3</v>
      </c>
      <c r="G2199" s="227">
        <v>1.7953003132149688E-3</v>
      </c>
      <c r="H2199" s="226">
        <v>1.9999951348151101E-3</v>
      </c>
      <c r="I2199" s="255">
        <v>3.8853111647159069E-3</v>
      </c>
      <c r="J2199" s="256">
        <v>1.226833977595282E-4</v>
      </c>
      <c r="K2199" s="257">
        <v>1.2823059660669919E-4</v>
      </c>
      <c r="L2199" s="228">
        <v>4.218209361923296E-2</v>
      </c>
    </row>
    <row r="2200" spans="1:12" s="212" customFormat="1" ht="15.5" x14ac:dyDescent="0.35">
      <c r="A2200" s="198" t="s">
        <v>793</v>
      </c>
      <c r="B2200" s="197">
        <v>2020</v>
      </c>
      <c r="C2200" s="213" t="s">
        <v>5355</v>
      </c>
      <c r="D2200" s="239">
        <v>3.5834031775768022E-2</v>
      </c>
      <c r="E2200" s="226">
        <v>0.20913043779203588</v>
      </c>
      <c r="F2200" s="226">
        <v>1.8721268270878299E-3</v>
      </c>
      <c r="G2200" s="227">
        <v>1.7264327657618116E-3</v>
      </c>
      <c r="H2200" s="226">
        <v>1.9999951348151097E-3</v>
      </c>
      <c r="I2200" s="255">
        <v>3.8935447050719952E-3</v>
      </c>
      <c r="J2200" s="256">
        <v>1.1413844787938446E-4</v>
      </c>
      <c r="K2200" s="257">
        <v>1.19299282010629E-4</v>
      </c>
      <c r="L2200" s="228">
        <v>4.1849959172908145E-2</v>
      </c>
    </row>
    <row r="2201" spans="1:12" s="212" customFormat="1" ht="15.5" x14ac:dyDescent="0.35">
      <c r="A2201" s="198" t="s">
        <v>793</v>
      </c>
      <c r="B2201" s="197">
        <v>2021</v>
      </c>
      <c r="C2201" s="213" t="s">
        <v>5356</v>
      </c>
      <c r="D2201" s="239">
        <v>3.0940216341714642E-2</v>
      </c>
      <c r="E2201" s="226">
        <v>0.18635597402111601</v>
      </c>
      <c r="F2201" s="226">
        <v>1.7652182841614483E-3</v>
      </c>
      <c r="G2201" s="227">
        <v>1.6274966920481182E-3</v>
      </c>
      <c r="H2201" s="226">
        <v>1.99996360987444E-3</v>
      </c>
      <c r="I2201" s="255">
        <v>3.8573440077569361E-3</v>
      </c>
      <c r="J2201" s="256">
        <v>1.0341887660482553E-4</v>
      </c>
      <c r="K2201" s="257">
        <v>1.0809501929042753E-4</v>
      </c>
      <c r="L2201" s="228">
        <v>4.0889475551767661E-2</v>
      </c>
    </row>
    <row r="2202" spans="1:12" s="212" customFormat="1" ht="15.5" x14ac:dyDescent="0.35">
      <c r="A2202" s="198" t="s">
        <v>793</v>
      </c>
      <c r="B2202" s="197">
        <v>2022</v>
      </c>
      <c r="C2202" s="213" t="s">
        <v>5357</v>
      </c>
      <c r="D2202" s="239">
        <v>2.6294968533947763E-2</v>
      </c>
      <c r="E2202" s="226">
        <v>0.16507304880939697</v>
      </c>
      <c r="F2202" s="226">
        <v>1.6728634999567159E-3</v>
      </c>
      <c r="G2202" s="227">
        <v>1.5421343245636324E-3</v>
      </c>
      <c r="H2202" s="226">
        <v>1.99996360987444E-3</v>
      </c>
      <c r="I2202" s="255">
        <v>3.8542368521115771E-3</v>
      </c>
      <c r="J2202" s="256">
        <v>9.8245119891983432E-5</v>
      </c>
      <c r="K2202" s="257">
        <v>1.0268732825723611E-4</v>
      </c>
      <c r="L2202" s="228">
        <v>4.0184399908534167E-2</v>
      </c>
    </row>
    <row r="2203" spans="1:12" s="212" customFormat="1" ht="15.5" x14ac:dyDescent="0.35">
      <c r="A2203" s="198" t="s">
        <v>793</v>
      </c>
      <c r="B2203" s="197">
        <v>2023</v>
      </c>
      <c r="C2203" s="213" t="s">
        <v>5358</v>
      </c>
      <c r="D2203" s="239">
        <v>2.2946747282048856E-2</v>
      </c>
      <c r="E2203" s="226">
        <v>0.1462572447674641</v>
      </c>
      <c r="F2203" s="226">
        <v>1.5846602867846296E-3</v>
      </c>
      <c r="G2203" s="227">
        <v>1.4607576321726968E-3</v>
      </c>
      <c r="H2203" s="226">
        <v>1.99996360987444E-3</v>
      </c>
      <c r="I2203" s="255">
        <v>3.8491777225381717E-3</v>
      </c>
      <c r="J2203" s="256">
        <v>9.2726643349303565E-5</v>
      </c>
      <c r="K2203" s="257">
        <v>9.6919330693173228E-5</v>
      </c>
      <c r="L2203" s="228">
        <v>3.9430946399513514E-2</v>
      </c>
    </row>
    <row r="2204" spans="1:12" s="212" customFormat="1" ht="15.5" x14ac:dyDescent="0.35">
      <c r="A2204" s="198" t="s">
        <v>793</v>
      </c>
      <c r="B2204" s="197">
        <v>2024</v>
      </c>
      <c r="C2204" s="213" t="s">
        <v>5359</v>
      </c>
      <c r="D2204" s="239">
        <v>1.9702368839549372E-2</v>
      </c>
      <c r="E2204" s="226">
        <v>0.12931233494626301</v>
      </c>
      <c r="F2204" s="226">
        <v>1.4947243587808132E-3</v>
      </c>
      <c r="G2204" s="227">
        <v>1.3777552680376323E-3</v>
      </c>
      <c r="H2204" s="226">
        <v>1.9999636098744396E-3</v>
      </c>
      <c r="I2204" s="255">
        <v>3.8431791581695607E-3</v>
      </c>
      <c r="J2204" s="256">
        <v>8.7213029258307603E-5</v>
      </c>
      <c r="K2204" s="257">
        <v>9.1156415439282658E-5</v>
      </c>
      <c r="L2204" s="228">
        <v>3.8638567966261479E-2</v>
      </c>
    </row>
    <row r="2205" spans="1:12" s="212" customFormat="1" ht="15.5" x14ac:dyDescent="0.35">
      <c r="A2205" s="198" t="s">
        <v>793</v>
      </c>
      <c r="B2205" s="197">
        <v>2025</v>
      </c>
      <c r="C2205" s="213" t="s">
        <v>5360</v>
      </c>
      <c r="D2205" s="239">
        <v>1.743979457579091E-2</v>
      </c>
      <c r="E2205" s="226">
        <v>0.11514696997630326</v>
      </c>
      <c r="F2205" s="226">
        <v>1.4214514459641395E-3</v>
      </c>
      <c r="G2205" s="227">
        <v>1.3099259950602356E-3</v>
      </c>
      <c r="H2205" s="226">
        <v>1.9999636098744396E-3</v>
      </c>
      <c r="I2205" s="255">
        <v>3.836326973775932E-3</v>
      </c>
      <c r="J2205" s="256">
        <v>7.5756973271157079E-5</v>
      </c>
      <c r="K2205" s="257">
        <v>7.9182367435888737E-5</v>
      </c>
      <c r="L2205" s="228">
        <v>3.7810743363929131E-2</v>
      </c>
    </row>
    <row r="2206" spans="1:12" s="212" customFormat="1" ht="15.5" x14ac:dyDescent="0.35">
      <c r="A2206" s="198" t="s">
        <v>793</v>
      </c>
      <c r="B2206" s="197">
        <v>2026</v>
      </c>
      <c r="C2206" s="213" t="s">
        <v>5361</v>
      </c>
      <c r="D2206" s="239">
        <v>1.5559190672163095E-2</v>
      </c>
      <c r="E2206" s="226">
        <v>0.1030908727840122</v>
      </c>
      <c r="F2206" s="226">
        <v>1.351280671377913E-3</v>
      </c>
      <c r="G2206" s="227">
        <v>1.2448646299677878E-3</v>
      </c>
      <c r="H2206" s="226">
        <v>1.99996360987444E-3</v>
      </c>
      <c r="I2206" s="255">
        <v>3.8286644557472584E-3</v>
      </c>
      <c r="J2206" s="256">
        <v>6.1885913204293673E-5</v>
      </c>
      <c r="K2206" s="257">
        <v>6.4684119584719195E-5</v>
      </c>
      <c r="L2206" s="228">
        <v>3.6995006452725562E-2</v>
      </c>
    </row>
    <row r="2207" spans="1:12" s="212" customFormat="1" ht="15.5" x14ac:dyDescent="0.35">
      <c r="A2207" s="198" t="s">
        <v>793</v>
      </c>
      <c r="B2207" s="197">
        <v>2027</v>
      </c>
      <c r="C2207" s="213" t="s">
        <v>5362</v>
      </c>
      <c r="D2207" s="239">
        <v>1.3878057190159035E-2</v>
      </c>
      <c r="E2207" s="226">
        <v>9.2436172677739681E-2</v>
      </c>
      <c r="F2207" s="226">
        <v>1.2839101021173401E-3</v>
      </c>
      <c r="G2207" s="227">
        <v>1.1827367373611665E-3</v>
      </c>
      <c r="H2207" s="226">
        <v>1.9999636098744396E-3</v>
      </c>
      <c r="I2207" s="255">
        <v>3.8200537970483118E-3</v>
      </c>
      <c r="J2207" s="256">
        <v>5.7202947433134353E-5</v>
      </c>
      <c r="K2207" s="257">
        <v>5.9789410881740896E-5</v>
      </c>
      <c r="L2207" s="228">
        <v>3.6218136977925211E-2</v>
      </c>
    </row>
    <row r="2208" spans="1:12" s="212" customFormat="1" ht="15.5" x14ac:dyDescent="0.35">
      <c r="A2208" s="198" t="s">
        <v>793</v>
      </c>
      <c r="B2208" s="197">
        <v>2028</v>
      </c>
      <c r="C2208" s="213" t="s">
        <v>5363</v>
      </c>
      <c r="D2208" s="239">
        <v>1.2415776978700884E-2</v>
      </c>
      <c r="E2208" s="226">
        <v>8.3173494150036414E-2</v>
      </c>
      <c r="F2208" s="226">
        <v>1.2089840257408003E-3</v>
      </c>
      <c r="G2208" s="227">
        <v>1.1135949510132871E-3</v>
      </c>
      <c r="H2208" s="226">
        <v>1.9999636098744396E-3</v>
      </c>
      <c r="I2208" s="255">
        <v>3.8112102993267736E-3</v>
      </c>
      <c r="J2208" s="256">
        <v>5.0785944926574889E-5</v>
      </c>
      <c r="K2208" s="257">
        <v>5.3082259996861664E-5</v>
      </c>
      <c r="L2208" s="228">
        <v>3.5494733750673732E-2</v>
      </c>
    </row>
    <row r="2209" spans="1:12" s="212" customFormat="1" ht="15.5" x14ac:dyDescent="0.35">
      <c r="A2209" s="198" t="s">
        <v>793</v>
      </c>
      <c r="B2209" s="197">
        <v>2029</v>
      </c>
      <c r="C2209" s="213" t="s">
        <v>5364</v>
      </c>
      <c r="D2209" s="239">
        <v>1.1121534852305021E-2</v>
      </c>
      <c r="E2209" s="226">
        <v>7.5159650742736173E-2</v>
      </c>
      <c r="F2209" s="226">
        <v>1.1349884725103394E-3</v>
      </c>
      <c r="G2209" s="227">
        <v>1.0452775431769499E-3</v>
      </c>
      <c r="H2209" s="226">
        <v>1.9999636098744404E-3</v>
      </c>
      <c r="I2209" s="255">
        <v>3.8022168671501392E-3</v>
      </c>
      <c r="J2209" s="256">
        <v>4.3568098655297121E-5</v>
      </c>
      <c r="K2209" s="257">
        <v>4.5538054745915121E-5</v>
      </c>
      <c r="L2209" s="228">
        <v>3.4826818227889522E-2</v>
      </c>
    </row>
    <row r="2210" spans="1:12" s="212" customFormat="1" ht="15.5" x14ac:dyDescent="0.35">
      <c r="A2210" s="198" t="s">
        <v>793</v>
      </c>
      <c r="B2210" s="197">
        <v>2030</v>
      </c>
      <c r="C2210" s="213" t="s">
        <v>5365</v>
      </c>
      <c r="D2210" s="239">
        <v>1.0027391030595387E-2</v>
      </c>
      <c r="E2210" s="226">
        <v>6.8105065039800336E-2</v>
      </c>
      <c r="F2210" s="226">
        <v>1.0618270517998138E-3</v>
      </c>
      <c r="G2210" s="227">
        <v>9.7777433511984512E-4</v>
      </c>
      <c r="H2210" s="226">
        <v>1.99996360987444E-3</v>
      </c>
      <c r="I2210" s="255">
        <v>3.7934289534762708E-3</v>
      </c>
      <c r="J2210" s="256">
        <v>3.75628354110166E-5</v>
      </c>
      <c r="K2210" s="257">
        <v>3.9261260145689254E-5</v>
      </c>
      <c r="L2210" s="228">
        <v>3.4215309340581389E-2</v>
      </c>
    </row>
    <row r="2211" spans="1:12" s="212" customFormat="1" ht="15.5" x14ac:dyDescent="0.35">
      <c r="A2211" s="198" t="s">
        <v>793</v>
      </c>
      <c r="B2211" s="197">
        <v>2031</v>
      </c>
      <c r="C2211" s="213" t="s">
        <v>5366</v>
      </c>
      <c r="D2211" s="239">
        <v>9.0731556331013451E-3</v>
      </c>
      <c r="E2211" s="226">
        <v>6.1957399286658096E-2</v>
      </c>
      <c r="F2211" s="226">
        <v>9.9415731361602276E-4</v>
      </c>
      <c r="G2211" s="227">
        <v>9.1539452308978539E-4</v>
      </c>
      <c r="H2211" s="226">
        <v>1.99996360987444E-3</v>
      </c>
      <c r="I2211" s="255">
        <v>3.7848317582739482E-3</v>
      </c>
      <c r="J2211" s="256">
        <v>3.3456730340251288E-5</v>
      </c>
      <c r="K2211" s="257">
        <v>3.4969495224195355E-5</v>
      </c>
      <c r="L2211" s="228">
        <v>3.3591623985269839E-2</v>
      </c>
    </row>
    <row r="2212" spans="1:12" s="212" customFormat="1" ht="15.5" x14ac:dyDescent="0.35">
      <c r="A2212" s="198" t="s">
        <v>793</v>
      </c>
      <c r="B2212" s="197">
        <v>2032</v>
      </c>
      <c r="C2212" s="213" t="s">
        <v>5367</v>
      </c>
      <c r="D2212" s="239">
        <v>8.2692879096858667E-3</v>
      </c>
      <c r="E2212" s="226">
        <v>5.6790615499949557E-2</v>
      </c>
      <c r="F2212" s="226">
        <v>9.3093008147839213E-4</v>
      </c>
      <c r="G2212" s="227">
        <v>8.5708112032314456E-4</v>
      </c>
      <c r="H2212" s="226">
        <v>1.9999636098744404E-3</v>
      </c>
      <c r="I2212" s="255">
        <v>3.7765847911469838E-3</v>
      </c>
      <c r="J2212" s="256">
        <v>2.8880663483799631E-5</v>
      </c>
      <c r="K2212" s="257">
        <v>3.0186518930490879E-5</v>
      </c>
      <c r="L2212" s="228">
        <v>3.3086981628884959E-2</v>
      </c>
    </row>
    <row r="2213" spans="1:12" s="212" customFormat="1" ht="15.5" x14ac:dyDescent="0.35">
      <c r="A2213" s="198" t="s">
        <v>793</v>
      </c>
      <c r="B2213" s="197">
        <v>2033</v>
      </c>
      <c r="C2213" s="213" t="s">
        <v>5368</v>
      </c>
      <c r="D2213" s="239">
        <v>7.5426593308040926E-3</v>
      </c>
      <c r="E2213" s="226">
        <v>5.224561079769325E-2</v>
      </c>
      <c r="F2213" s="226">
        <v>8.716245241111644E-4</v>
      </c>
      <c r="G2213" s="227">
        <v>8.0244628974551985E-4</v>
      </c>
      <c r="H2213" s="226">
        <v>1.9999636098744396E-3</v>
      </c>
      <c r="I2213" s="255">
        <v>3.7686947835894658E-3</v>
      </c>
      <c r="J2213" s="256">
        <v>2.6171425064132994E-5</v>
      </c>
      <c r="K2213" s="257">
        <v>2.7354780771554363E-5</v>
      </c>
      <c r="L2213" s="228">
        <v>3.2632609141242289E-2</v>
      </c>
    </row>
    <row r="2214" spans="1:12" s="212" customFormat="1" ht="15.5" x14ac:dyDescent="0.35">
      <c r="A2214" s="198" t="s">
        <v>793</v>
      </c>
      <c r="B2214" s="197">
        <v>2034</v>
      </c>
      <c r="C2214" s="213" t="s">
        <v>5369</v>
      </c>
      <c r="D2214" s="239">
        <v>6.8815794079073629E-3</v>
      </c>
      <c r="E2214" s="226">
        <v>4.8278870414261564E-2</v>
      </c>
      <c r="F2214" s="226">
        <v>8.1425704538495652E-4</v>
      </c>
      <c r="G2214" s="227">
        <v>7.4957299756877205E-4</v>
      </c>
      <c r="H2214" s="226">
        <v>1.99996360987444E-3</v>
      </c>
      <c r="I2214" s="255">
        <v>3.7614449021198732E-3</v>
      </c>
      <c r="J2214" s="256">
        <v>2.2937241519213287E-5</v>
      </c>
      <c r="K2214" s="257">
        <v>2.3974361798210299E-5</v>
      </c>
      <c r="L2214" s="228">
        <v>3.2226587999530217E-2</v>
      </c>
    </row>
    <row r="2215" spans="1:12" s="212" customFormat="1" ht="15.5" x14ac:dyDescent="0.35">
      <c r="A2215" s="198" t="s">
        <v>793</v>
      </c>
      <c r="B2215" s="197">
        <v>2035</v>
      </c>
      <c r="C2215" s="213" t="s">
        <v>5370</v>
      </c>
      <c r="D2215" s="239">
        <v>6.2959728962759878E-3</v>
      </c>
      <c r="E2215" s="226">
        <v>4.4821461269710906E-2</v>
      </c>
      <c r="F2215" s="226">
        <v>7.6081786673276998E-4</v>
      </c>
      <c r="G2215" s="227">
        <v>7.0032725606186013E-4</v>
      </c>
      <c r="H2215" s="226">
        <v>1.99996360987444E-3</v>
      </c>
      <c r="I2215" s="255">
        <v>3.7547741999308078E-3</v>
      </c>
      <c r="J2215" s="256">
        <v>2.0104048849323542E-5</v>
      </c>
      <c r="K2215" s="257">
        <v>2.1013064727894425E-5</v>
      </c>
      <c r="L2215" s="228">
        <v>3.1867036499233399E-2</v>
      </c>
    </row>
    <row r="2216" spans="1:12" s="212" customFormat="1" ht="15.5" x14ac:dyDescent="0.35">
      <c r="A2216" s="198" t="s">
        <v>793</v>
      </c>
      <c r="B2216" s="197">
        <v>2036</v>
      </c>
      <c r="C2216" s="213" t="s">
        <v>5371</v>
      </c>
      <c r="D2216" s="239">
        <v>5.8049125376713005E-3</v>
      </c>
      <c r="E2216" s="226">
        <v>4.1956921068416614E-2</v>
      </c>
      <c r="F2216" s="226">
        <v>7.1725800489671739E-4</v>
      </c>
      <c r="G2216" s="227">
        <v>6.6020033809630031E-4</v>
      </c>
      <c r="H2216" s="226">
        <v>1.9999636098744404E-3</v>
      </c>
      <c r="I2216" s="255">
        <v>3.7488333224075421E-3</v>
      </c>
      <c r="J2216" s="256">
        <v>1.817316137095827E-5</v>
      </c>
      <c r="K2216" s="257">
        <v>1.8994871085943758E-5</v>
      </c>
      <c r="L2216" s="228">
        <v>3.1551958348987427E-2</v>
      </c>
    </row>
    <row r="2217" spans="1:12" s="212" customFormat="1" ht="15.5" x14ac:dyDescent="0.35">
      <c r="A2217" s="198" t="s">
        <v>793</v>
      </c>
      <c r="B2217" s="197">
        <v>2037</v>
      </c>
      <c r="C2217" s="213" t="s">
        <v>5372</v>
      </c>
      <c r="D2217" s="239">
        <v>5.3683978129383013E-3</v>
      </c>
      <c r="E2217" s="226">
        <v>3.944665994341294E-2</v>
      </c>
      <c r="F2217" s="226">
        <v>6.7768387317082633E-4</v>
      </c>
      <c r="G2217" s="227">
        <v>6.2374722986520512E-4</v>
      </c>
      <c r="H2217" s="226">
        <v>1.99996360987444E-3</v>
      </c>
      <c r="I2217" s="255">
        <v>3.7435335186019152E-3</v>
      </c>
      <c r="J2217" s="256">
        <v>1.6475265506663771E-5</v>
      </c>
      <c r="K2217" s="257">
        <v>1.7220203904967192E-5</v>
      </c>
      <c r="L2217" s="228">
        <v>3.1278537574768249E-2</v>
      </c>
    </row>
    <row r="2218" spans="1:12" s="212" customFormat="1" ht="15.5" x14ac:dyDescent="0.35">
      <c r="A2218" s="198" t="s">
        <v>793</v>
      </c>
      <c r="B2218" s="197">
        <v>2038</v>
      </c>
      <c r="C2218" s="213" t="s">
        <v>5373</v>
      </c>
      <c r="D2218" s="239">
        <v>4.9715553397057521E-3</v>
      </c>
      <c r="E2218" s="226">
        <v>3.7155640670999489E-2</v>
      </c>
      <c r="F2218" s="226">
        <v>6.4172829709641089E-4</v>
      </c>
      <c r="G2218" s="227">
        <v>5.9063049524123753E-4</v>
      </c>
      <c r="H2218" s="226">
        <v>1.99996360987444E-3</v>
      </c>
      <c r="I2218" s="255">
        <v>3.7388433598216373E-3</v>
      </c>
      <c r="J2218" s="256">
        <v>1.5014653393945332E-5</v>
      </c>
      <c r="K2218" s="257">
        <v>1.56935493938819E-5</v>
      </c>
      <c r="L2218" s="228">
        <v>3.1044186751893254E-2</v>
      </c>
    </row>
    <row r="2219" spans="1:12" s="212" customFormat="1" ht="15.5" x14ac:dyDescent="0.35">
      <c r="A2219" s="198" t="s">
        <v>793</v>
      </c>
      <c r="B2219" s="197">
        <v>2039</v>
      </c>
      <c r="C2219" s="213" t="s">
        <v>5374</v>
      </c>
      <c r="D2219" s="239">
        <v>4.6206755748120203E-3</v>
      </c>
      <c r="E2219" s="226">
        <v>3.5127819377771187E-2</v>
      </c>
      <c r="F2219" s="226">
        <v>6.0982030846824754E-4</v>
      </c>
      <c r="G2219" s="227">
        <v>5.6124375808671765E-4</v>
      </c>
      <c r="H2219" s="226">
        <v>1.9999636098744404E-3</v>
      </c>
      <c r="I2219" s="255">
        <v>3.7347688418528442E-3</v>
      </c>
      <c r="J2219" s="256">
        <v>1.3769380135358822E-5</v>
      </c>
      <c r="K2219" s="257">
        <v>1.4391970404360331E-5</v>
      </c>
      <c r="L2219" s="228">
        <v>3.0844794919580216E-2</v>
      </c>
    </row>
    <row r="2220" spans="1:12" s="212" customFormat="1" ht="15.5" x14ac:dyDescent="0.35">
      <c r="A2220" s="198" t="s">
        <v>793</v>
      </c>
      <c r="B2220" s="197">
        <v>2040</v>
      </c>
      <c r="C2220" s="213" t="s">
        <v>5375</v>
      </c>
      <c r="D2220" s="239">
        <v>4.2813699364207553E-3</v>
      </c>
      <c r="E2220" s="226">
        <v>3.3274764561348431E-2</v>
      </c>
      <c r="F2220" s="226">
        <v>5.8018718028880094E-4</v>
      </c>
      <c r="G2220" s="227">
        <v>5.339499736110333E-4</v>
      </c>
      <c r="H2220" s="226">
        <v>1.99996360987444E-3</v>
      </c>
      <c r="I2220" s="255">
        <v>3.731273524656133E-3</v>
      </c>
      <c r="J2220" s="256">
        <v>1.2557535305693373E-5</v>
      </c>
      <c r="K2220" s="257">
        <v>1.3125331328979204E-5</v>
      </c>
      <c r="L2220" s="228">
        <v>3.0676837655304042E-2</v>
      </c>
    </row>
    <row r="2221" spans="1:12" s="212" customFormat="1" ht="15.5" x14ac:dyDescent="0.35">
      <c r="A2221" s="198" t="s">
        <v>793</v>
      </c>
      <c r="B2221" s="197">
        <v>2041</v>
      </c>
      <c r="C2221" s="213" t="s">
        <v>5376</v>
      </c>
      <c r="D2221" s="239">
        <v>4.0082406352196873E-3</v>
      </c>
      <c r="E2221" s="226">
        <v>3.1717487481735411E-2</v>
      </c>
      <c r="F2221" s="226">
        <v>5.5860582439437492E-4</v>
      </c>
      <c r="G2221" s="227">
        <v>5.1407144647471132E-4</v>
      </c>
      <c r="H2221" s="226">
        <v>1.9999636098744404E-3</v>
      </c>
      <c r="I2221" s="255">
        <v>3.7283397713159289E-3</v>
      </c>
      <c r="J2221" s="256">
        <v>1.1652391079556186E-5</v>
      </c>
      <c r="K2221" s="257">
        <v>1.2179260497454103E-5</v>
      </c>
      <c r="L2221" s="228">
        <v>3.0537689830256325E-2</v>
      </c>
    </row>
    <row r="2222" spans="1:12" s="212" customFormat="1" ht="15.5" x14ac:dyDescent="0.35">
      <c r="A2222" s="198" t="s">
        <v>793</v>
      </c>
      <c r="B2222" s="197">
        <v>2042</v>
      </c>
      <c r="C2222" s="213" t="s">
        <v>5377</v>
      </c>
      <c r="D2222" s="239">
        <v>3.7690756175346109E-3</v>
      </c>
      <c r="E2222" s="226">
        <v>3.0270199329130981E-2</v>
      </c>
      <c r="F2222" s="226">
        <v>5.3965403519454377E-4</v>
      </c>
      <c r="G2222" s="227">
        <v>4.9661648287392419E-4</v>
      </c>
      <c r="H2222" s="226">
        <v>1.99996360987444E-3</v>
      </c>
      <c r="I2222" s="255">
        <v>3.7257971195386011E-3</v>
      </c>
      <c r="J2222" s="256">
        <v>1.0895439840720349E-5</v>
      </c>
      <c r="K2222" s="257">
        <v>1.1388083282519461E-5</v>
      </c>
      <c r="L2222" s="228">
        <v>3.0421298365782667E-2</v>
      </c>
    </row>
    <row r="2223" spans="1:12" s="212" customFormat="1" ht="15.5" x14ac:dyDescent="0.35">
      <c r="A2223" s="198" t="s">
        <v>793</v>
      </c>
      <c r="B2223" s="197">
        <v>2043</v>
      </c>
      <c r="C2223" s="213" t="s">
        <v>5378</v>
      </c>
      <c r="D2223" s="239">
        <v>3.5724591457567552E-3</v>
      </c>
      <c r="E2223" s="226">
        <v>2.897003574118304E-2</v>
      </c>
      <c r="F2223" s="226">
        <v>5.2295292022548926E-4</v>
      </c>
      <c r="G2223" s="227">
        <v>4.812316382413931E-4</v>
      </c>
      <c r="H2223" s="226">
        <v>1.99996360987444E-3</v>
      </c>
      <c r="I2223" s="255">
        <v>3.723658449061674E-3</v>
      </c>
      <c r="J2223" s="256">
        <v>1.015663643340615E-5</v>
      </c>
      <c r="K2223" s="257">
        <v>1.0615874463518101E-5</v>
      </c>
      <c r="L2223" s="228">
        <v>3.0325271404892454E-2</v>
      </c>
    </row>
    <row r="2224" spans="1:12" s="212" customFormat="1" ht="15.5" x14ac:dyDescent="0.35">
      <c r="A2224" s="198" t="s">
        <v>793</v>
      </c>
      <c r="B2224" s="197">
        <v>2044</v>
      </c>
      <c r="C2224" s="213" t="s">
        <v>5379</v>
      </c>
      <c r="D2224" s="239">
        <v>3.41862369744012E-3</v>
      </c>
      <c r="E2224" s="226">
        <v>2.7741747883399909E-2</v>
      </c>
      <c r="F2224" s="226">
        <v>5.0834574255967716E-4</v>
      </c>
      <c r="G2224" s="227">
        <v>4.6777863045564658E-4</v>
      </c>
      <c r="H2224" s="226">
        <v>1.99996360987444E-3</v>
      </c>
      <c r="I2224" s="255">
        <v>3.7217635358608048E-3</v>
      </c>
      <c r="J2224" s="256">
        <v>9.5856540594145632E-6</v>
      </c>
      <c r="K2224" s="257">
        <v>1.0019074800271381E-5</v>
      </c>
      <c r="L2224" s="228">
        <v>3.0245516253469631E-2</v>
      </c>
    </row>
    <row r="2225" spans="1:12" s="212" customFormat="1" ht="15.5" x14ac:dyDescent="0.35">
      <c r="A2225" s="198" t="s">
        <v>793</v>
      </c>
      <c r="B2225" s="197">
        <v>2045</v>
      </c>
      <c r="C2225" s="213" t="s">
        <v>5380</v>
      </c>
      <c r="D2225" s="239">
        <v>3.3147614214490534E-3</v>
      </c>
      <c r="E2225" s="226">
        <v>2.6691793295442221E-2</v>
      </c>
      <c r="F2225" s="226">
        <v>4.9579671392451386E-4</v>
      </c>
      <c r="G2225" s="227">
        <v>4.5622156144195237E-4</v>
      </c>
      <c r="H2225" s="226">
        <v>1.9999636098744396E-3</v>
      </c>
      <c r="I2225" s="255">
        <v>3.7201942121838807E-3</v>
      </c>
      <c r="J2225" s="256">
        <v>9.1056996341586095E-6</v>
      </c>
      <c r="K2225" s="257">
        <v>9.5174189656715775E-6</v>
      </c>
      <c r="L2225" s="228">
        <v>3.0178643439674396E-2</v>
      </c>
    </row>
    <row r="2226" spans="1:12" s="212" customFormat="1" ht="15.5" x14ac:dyDescent="0.35">
      <c r="A2226" s="198" t="s">
        <v>793</v>
      </c>
      <c r="B2226" s="197">
        <v>2046</v>
      </c>
      <c r="C2226" s="213" t="s">
        <v>5381</v>
      </c>
      <c r="D2226" s="239">
        <v>3.222359695565944E-3</v>
      </c>
      <c r="E2226" s="226">
        <v>2.5738360550702926E-2</v>
      </c>
      <c r="F2226" s="226">
        <v>4.8486828362111315E-4</v>
      </c>
      <c r="G2226" s="227">
        <v>4.4615668652769885E-4</v>
      </c>
      <c r="H2226" s="226">
        <v>1.99996360987444E-3</v>
      </c>
      <c r="I2226" s="255">
        <v>3.7188765952216964E-3</v>
      </c>
      <c r="J2226" s="256">
        <v>8.6799956791312672E-6</v>
      </c>
      <c r="K2226" s="257">
        <v>9.0724665668312078E-6</v>
      </c>
      <c r="L2226" s="228">
        <v>3.0121768580430298E-2</v>
      </c>
    </row>
    <row r="2227" spans="1:12" s="212" customFormat="1" ht="15.5" x14ac:dyDescent="0.35">
      <c r="A2227" s="198" t="s">
        <v>793</v>
      </c>
      <c r="B2227" s="197">
        <v>2047</v>
      </c>
      <c r="C2227" s="213" t="s">
        <v>5382</v>
      </c>
      <c r="D2227" s="239">
        <v>3.1387512381902765E-3</v>
      </c>
      <c r="E2227" s="226">
        <v>2.4873189812370574E-2</v>
      </c>
      <c r="F2227" s="226">
        <v>4.755023149649945E-4</v>
      </c>
      <c r="G2227" s="227">
        <v>4.3752991154669981E-4</v>
      </c>
      <c r="H2227" s="226">
        <v>1.9999636098744396E-3</v>
      </c>
      <c r="I2227" s="255">
        <v>3.7177714283706414E-3</v>
      </c>
      <c r="J2227" s="256">
        <v>8.2921257764247499E-6</v>
      </c>
      <c r="K2227" s="257">
        <v>8.667058908271502E-6</v>
      </c>
      <c r="L2227" s="228">
        <v>3.0074856975530785E-2</v>
      </c>
    </row>
    <row r="2228" spans="1:12" s="212" customFormat="1" ht="15.5" x14ac:dyDescent="0.35">
      <c r="A2228" s="198" t="s">
        <v>793</v>
      </c>
      <c r="B2228" s="197">
        <v>2048</v>
      </c>
      <c r="C2228" s="213" t="s">
        <v>5383</v>
      </c>
      <c r="D2228" s="239">
        <v>3.0699777737868551E-3</v>
      </c>
      <c r="E2228" s="226">
        <v>2.4169257336144303E-2</v>
      </c>
      <c r="F2228" s="226">
        <v>4.6749824305201851E-4</v>
      </c>
      <c r="G2228" s="227">
        <v>4.3015642299853882E-4</v>
      </c>
      <c r="H2228" s="226">
        <v>1.99996360987444E-3</v>
      </c>
      <c r="I2228" s="255">
        <v>3.7168528816487372E-3</v>
      </c>
      <c r="J2228" s="256">
        <v>7.9317858995765251E-6</v>
      </c>
      <c r="K2228" s="257">
        <v>8.2904260611767367E-6</v>
      </c>
      <c r="L2228" s="228">
        <v>3.0035685901037352E-2</v>
      </c>
    </row>
    <row r="2229" spans="1:12" s="212" customFormat="1" ht="15.5" x14ac:dyDescent="0.35">
      <c r="A2229" s="198" t="s">
        <v>793</v>
      </c>
      <c r="B2229" s="197">
        <v>2049</v>
      </c>
      <c r="C2229" s="213" t="s">
        <v>5384</v>
      </c>
      <c r="D2229" s="239">
        <v>3.0573293680741559E-3</v>
      </c>
      <c r="E2229" s="226">
        <v>2.4108529730627298E-2</v>
      </c>
      <c r="F2229" s="226">
        <v>4.6308133685085608E-4</v>
      </c>
      <c r="G2229" s="227">
        <v>4.2608781387374196E-4</v>
      </c>
      <c r="H2229" s="226">
        <v>1.99996360987444E-3</v>
      </c>
      <c r="I2229" s="255">
        <v>3.7161204700168313E-3</v>
      </c>
      <c r="J2229" s="256">
        <v>7.74117076759747E-6</v>
      </c>
      <c r="K2229" s="257">
        <v>8.0911921587717142E-6</v>
      </c>
      <c r="L2229" s="228">
        <v>3.0002646559212514E-2</v>
      </c>
    </row>
    <row r="2230" spans="1:12" s="212" customFormat="1" ht="15.5" x14ac:dyDescent="0.35">
      <c r="A2230" s="198" t="s">
        <v>793</v>
      </c>
      <c r="B2230" s="197">
        <v>2050</v>
      </c>
      <c r="C2230" s="213" t="s">
        <v>5385</v>
      </c>
      <c r="D2230" s="239">
        <v>3.0472845687168986E-3</v>
      </c>
      <c r="E2230" s="226">
        <v>2.4056833886648876E-2</v>
      </c>
      <c r="F2230" s="226">
        <v>4.5926414921921606E-4</v>
      </c>
      <c r="G2230" s="227">
        <v>4.2256422390515321E-4</v>
      </c>
      <c r="H2230" s="226">
        <v>1.9999636098744404E-3</v>
      </c>
      <c r="I2230" s="255">
        <v>3.7155811591581449E-3</v>
      </c>
      <c r="J2230" s="256">
        <v>7.3862984626405098E-6</v>
      </c>
      <c r="K2230" s="257">
        <v>7.7202741029071137E-6</v>
      </c>
      <c r="L2230" s="228">
        <v>2.9975880045199452E-2</v>
      </c>
    </row>
    <row r="2231" spans="1:12" s="212" customFormat="1" ht="15.5" x14ac:dyDescent="0.35">
      <c r="A2231" s="198" t="s">
        <v>795</v>
      </c>
      <c r="B2231" s="197">
        <v>2015</v>
      </c>
      <c r="C2231" s="213" t="s">
        <v>5386</v>
      </c>
      <c r="D2231" s="239">
        <v>5.5997667378666266E-2</v>
      </c>
      <c r="E2231" s="226">
        <v>0.2513055721807802</v>
      </c>
      <c r="F2231" s="226">
        <v>2.0064280252597233E-3</v>
      </c>
      <c r="G2231" s="227">
        <v>1.8556873116974877E-3</v>
      </c>
      <c r="H2231" s="226">
        <v>2.0000005732018801E-3</v>
      </c>
      <c r="I2231" s="255">
        <v>2.1524066595481465E-3</v>
      </c>
      <c r="J2231" s="256">
        <v>1.6174679654046295E-4</v>
      </c>
      <c r="K2231" s="257">
        <v>1.6906026893924298E-4</v>
      </c>
      <c r="L2231" s="228">
        <v>4.4626107176828203E-2</v>
      </c>
    </row>
    <row r="2232" spans="1:12" s="212" customFormat="1" ht="15.5" x14ac:dyDescent="0.35">
      <c r="A2232" s="198" t="s">
        <v>795</v>
      </c>
      <c r="B2232" s="197">
        <v>2016</v>
      </c>
      <c r="C2232" s="213" t="s">
        <v>5387</v>
      </c>
      <c r="D2232" s="239">
        <v>4.8686961325159185E-2</v>
      </c>
      <c r="E2232" s="226">
        <v>0.22697112506073147</v>
      </c>
      <c r="F2232" s="226">
        <v>1.9252978978540579E-3</v>
      </c>
      <c r="G2232" s="227">
        <v>1.7792227495008112E-3</v>
      </c>
      <c r="H2232" s="226">
        <v>2.0000005732018801E-3</v>
      </c>
      <c r="I2232" s="255">
        <v>2.1497337898682507E-3</v>
      </c>
      <c r="J2232" s="256">
        <v>1.4544094886717035E-4</v>
      </c>
      <c r="K2232" s="257">
        <v>1.520171431902918E-4</v>
      </c>
      <c r="L2232" s="228">
        <v>4.3659362883213843E-2</v>
      </c>
    </row>
    <row r="2233" spans="1:12" s="212" customFormat="1" ht="15.5" x14ac:dyDescent="0.35">
      <c r="A2233" s="198" t="s">
        <v>795</v>
      </c>
      <c r="B2233" s="197">
        <v>2017</v>
      </c>
      <c r="C2233" s="213" t="s">
        <v>5388</v>
      </c>
      <c r="D2233" s="239">
        <v>3.9618703174156958E-2</v>
      </c>
      <c r="E2233" s="226">
        <v>0.19277923521636414</v>
      </c>
      <c r="F2233" s="226">
        <v>1.8135024509537728E-3</v>
      </c>
      <c r="G2233" s="227">
        <v>1.6743440703468934E-3</v>
      </c>
      <c r="H2233" s="226">
        <v>2.0000005732018801E-3</v>
      </c>
      <c r="I2233" s="255">
        <v>2.1505882229425504E-3</v>
      </c>
      <c r="J2233" s="256">
        <v>1.2138822367132886E-4</v>
      </c>
      <c r="K2233" s="257">
        <v>1.2687686049348142E-4</v>
      </c>
      <c r="L2233" s="228">
        <v>4.3349940435075222E-2</v>
      </c>
    </row>
    <row r="2234" spans="1:12" s="212" customFormat="1" ht="15.5" x14ac:dyDescent="0.35">
      <c r="A2234" s="198" t="s">
        <v>795</v>
      </c>
      <c r="B2234" s="197">
        <v>2018</v>
      </c>
      <c r="C2234" s="213" t="s">
        <v>5389</v>
      </c>
      <c r="D2234" s="239">
        <v>3.3085075428702496E-2</v>
      </c>
      <c r="E2234" s="226">
        <v>0.16827772417623829</v>
      </c>
      <c r="F2234" s="226">
        <v>1.7603934828689439E-3</v>
      </c>
      <c r="G2234" s="227">
        <v>1.6241043837195912E-3</v>
      </c>
      <c r="H2234" s="226">
        <v>2.0000005732018797E-3</v>
      </c>
      <c r="I2234" s="255">
        <v>2.1484161513863512E-3</v>
      </c>
      <c r="J2234" s="256">
        <v>1.0785710621787917E-4</v>
      </c>
      <c r="K2234" s="257">
        <v>1.1273392595223122E-4</v>
      </c>
      <c r="L2234" s="228">
        <v>4.2813156289218661E-2</v>
      </c>
    </row>
    <row r="2235" spans="1:12" s="212" customFormat="1" ht="15.5" x14ac:dyDescent="0.35">
      <c r="A2235" s="198" t="s">
        <v>795</v>
      </c>
      <c r="B2235" s="197">
        <v>2019</v>
      </c>
      <c r="C2235" s="213" t="s">
        <v>5390</v>
      </c>
      <c r="D2235" s="239">
        <v>2.7344885813277334E-2</v>
      </c>
      <c r="E2235" s="226">
        <v>0.1444765852564556</v>
      </c>
      <c r="F2235" s="226">
        <v>1.7239831241672565E-3</v>
      </c>
      <c r="G2235" s="227">
        <v>1.5897644211227593E-3</v>
      </c>
      <c r="H2235" s="226">
        <v>2.0000005732018801E-3</v>
      </c>
      <c r="I2235" s="255">
        <v>2.1527359278229346E-3</v>
      </c>
      <c r="J2235" s="256">
        <v>1.0288592853163793E-4</v>
      </c>
      <c r="K2235" s="257">
        <v>1.0753797367029201E-4</v>
      </c>
      <c r="L2235" s="228">
        <v>4.2185198644824375E-2</v>
      </c>
    </row>
    <row r="2236" spans="1:12" s="212" customFormat="1" ht="15.5" x14ac:dyDescent="0.35">
      <c r="A2236" s="198" t="s">
        <v>795</v>
      </c>
      <c r="B2236" s="197">
        <v>2020</v>
      </c>
      <c r="C2236" s="213" t="s">
        <v>5391</v>
      </c>
      <c r="D2236" s="239">
        <v>2.4058447411719839E-2</v>
      </c>
      <c r="E2236" s="226">
        <v>0.12957845814482022</v>
      </c>
      <c r="F2236" s="226">
        <v>1.6776281147109502E-3</v>
      </c>
      <c r="G2236" s="227">
        <v>1.5466265099123618E-3</v>
      </c>
      <c r="H2236" s="226">
        <v>2.0000005732018805E-3</v>
      </c>
      <c r="I2236" s="255">
        <v>2.1611479363948236E-3</v>
      </c>
      <c r="J2236" s="256">
        <v>9.474633943984085E-5</v>
      </c>
      <c r="K2236" s="257">
        <v>9.9030348478655958E-5</v>
      </c>
      <c r="L2236" s="228">
        <v>4.1763477536987018E-2</v>
      </c>
    </row>
    <row r="2237" spans="1:12" s="212" customFormat="1" ht="15.5" x14ac:dyDescent="0.35">
      <c r="A2237" s="198" t="s">
        <v>795</v>
      </c>
      <c r="B2237" s="197">
        <v>2021</v>
      </c>
      <c r="C2237" s="213" t="s">
        <v>5392</v>
      </c>
      <c r="D2237" s="239">
        <v>2.124876897371027E-2</v>
      </c>
      <c r="E2237" s="226">
        <v>0.11539550985293251</v>
      </c>
      <c r="F2237" s="226">
        <v>1.605606101709628E-3</v>
      </c>
      <c r="G2237" s="227">
        <v>1.4799930618909208E-3</v>
      </c>
      <c r="H2237" s="226">
        <v>2.0000005732018797E-3</v>
      </c>
      <c r="I2237" s="255">
        <v>2.1637025933636481E-3</v>
      </c>
      <c r="J2237" s="256">
        <v>8.6910608326369902E-5</v>
      </c>
      <c r="K2237" s="257">
        <v>9.0840320374775663E-5</v>
      </c>
      <c r="L2237" s="228">
        <v>4.0958504861801436E-2</v>
      </c>
    </row>
    <row r="2238" spans="1:12" s="212" customFormat="1" ht="15.5" x14ac:dyDescent="0.35">
      <c r="A2238" s="198" t="s">
        <v>795</v>
      </c>
      <c r="B2238" s="197">
        <v>2022</v>
      </c>
      <c r="C2238" s="213" t="s">
        <v>5393</v>
      </c>
      <c r="D2238" s="239">
        <v>1.8116195538013798E-2</v>
      </c>
      <c r="E2238" s="226">
        <v>0.10131755421639367</v>
      </c>
      <c r="F2238" s="226">
        <v>1.5272490382897473E-3</v>
      </c>
      <c r="G2238" s="227">
        <v>1.4074254632372766E-3</v>
      </c>
      <c r="H2238" s="226">
        <v>2.0000005732018801E-3</v>
      </c>
      <c r="I2238" s="255">
        <v>2.1648694676417251E-3</v>
      </c>
      <c r="J2238" s="256">
        <v>7.935954308505506E-5</v>
      </c>
      <c r="K2238" s="257">
        <v>8.2947829470604267E-5</v>
      </c>
      <c r="L2238" s="228">
        <v>4.0174801769117294E-2</v>
      </c>
    </row>
    <row r="2239" spans="1:12" s="212" customFormat="1" ht="15.5" x14ac:dyDescent="0.35">
      <c r="A2239" s="198" t="s">
        <v>795</v>
      </c>
      <c r="B2239" s="197">
        <v>2023</v>
      </c>
      <c r="C2239" s="213" t="s">
        <v>5394</v>
      </c>
      <c r="D2239" s="239">
        <v>1.5912513745439814E-2</v>
      </c>
      <c r="E2239" s="226">
        <v>8.9480714902445677E-2</v>
      </c>
      <c r="F2239" s="226">
        <v>1.450965515321475E-3</v>
      </c>
      <c r="G2239" s="227">
        <v>1.3369228858847899E-3</v>
      </c>
      <c r="H2239" s="226">
        <v>2.0000005732018797E-3</v>
      </c>
      <c r="I2239" s="255">
        <v>2.1890140588106985E-3</v>
      </c>
      <c r="J2239" s="256">
        <v>7.0959576873601835E-5</v>
      </c>
      <c r="K2239" s="257">
        <v>7.4168054061367252E-5</v>
      </c>
      <c r="L2239" s="228">
        <v>3.9356063864813093E-2</v>
      </c>
    </row>
    <row r="2240" spans="1:12" s="212" customFormat="1" ht="15.5" x14ac:dyDescent="0.35">
      <c r="A2240" s="198" t="s">
        <v>795</v>
      </c>
      <c r="B2240" s="197">
        <v>2024</v>
      </c>
      <c r="C2240" s="213" t="s">
        <v>5395</v>
      </c>
      <c r="D2240" s="239">
        <v>1.4032713305890418E-2</v>
      </c>
      <c r="E2240" s="226">
        <v>7.9314775027051004E-2</v>
      </c>
      <c r="F2240" s="226">
        <v>1.3850146325207144E-3</v>
      </c>
      <c r="G2240" s="227">
        <v>1.2758738942271954E-3</v>
      </c>
      <c r="H2240" s="226">
        <v>2.0000005732018801E-3</v>
      </c>
      <c r="I2240" s="255">
        <v>2.1923805558481703E-3</v>
      </c>
      <c r="J2240" s="256">
        <v>6.1364947334532899E-5</v>
      </c>
      <c r="K2240" s="257">
        <v>6.4139597950079645E-5</v>
      </c>
      <c r="L2240" s="228">
        <v>3.8511582904456269E-2</v>
      </c>
    </row>
    <row r="2241" spans="1:12" s="212" customFormat="1" ht="15.5" x14ac:dyDescent="0.35">
      <c r="A2241" s="198" t="s">
        <v>795</v>
      </c>
      <c r="B2241" s="197">
        <v>2025</v>
      </c>
      <c r="C2241" s="213" t="s">
        <v>5396</v>
      </c>
      <c r="D2241" s="239">
        <v>1.249382869361018E-2</v>
      </c>
      <c r="E2241" s="226">
        <v>7.0916031054930051E-2</v>
      </c>
      <c r="F2241" s="226">
        <v>1.3312535533401481E-3</v>
      </c>
      <c r="G2241" s="227">
        <v>1.2261626992222559E-3</v>
      </c>
      <c r="H2241" s="226">
        <v>2.0000005732018801E-3</v>
      </c>
      <c r="I2241" s="255">
        <v>2.1917982184573577E-3</v>
      </c>
      <c r="J2241" s="256">
        <v>5.44704136387446E-5</v>
      </c>
      <c r="K2241" s="257">
        <v>5.6933324034607806E-5</v>
      </c>
      <c r="L2241" s="228">
        <v>3.7650216191332221E-2</v>
      </c>
    </row>
    <row r="2242" spans="1:12" s="212" customFormat="1" ht="15.5" x14ac:dyDescent="0.35">
      <c r="A2242" s="198" t="s">
        <v>795</v>
      </c>
      <c r="B2242" s="197">
        <v>2026</v>
      </c>
      <c r="C2242" s="213" t="s">
        <v>5397</v>
      </c>
      <c r="D2242" s="239">
        <v>1.1205840797666521E-2</v>
      </c>
      <c r="E2242" s="226">
        <v>6.3861592585449115E-2</v>
      </c>
      <c r="F2242" s="226">
        <v>1.2766217767123502E-3</v>
      </c>
      <c r="G2242" s="227">
        <v>1.1756452808151599E-3</v>
      </c>
      <c r="H2242" s="226">
        <v>2.0000005732018805E-3</v>
      </c>
      <c r="I2242" s="255">
        <v>2.1923058452855276E-3</v>
      </c>
      <c r="J2242" s="256">
        <v>4.7178561669022925E-5</v>
      </c>
      <c r="K2242" s="257">
        <v>4.9311766875929318E-5</v>
      </c>
      <c r="L2242" s="228">
        <v>3.6812783988328247E-2</v>
      </c>
    </row>
    <row r="2243" spans="1:12" s="212" customFormat="1" ht="15.5" x14ac:dyDescent="0.35">
      <c r="A2243" s="198" t="s">
        <v>795</v>
      </c>
      <c r="B2243" s="197">
        <v>2027</v>
      </c>
      <c r="C2243" s="213" t="s">
        <v>5398</v>
      </c>
      <c r="D2243" s="239">
        <v>1.0166478344259513E-2</v>
      </c>
      <c r="E2243" s="226">
        <v>5.7860236770943013E-2</v>
      </c>
      <c r="F2243" s="226">
        <v>1.2190514395876563E-3</v>
      </c>
      <c r="G2243" s="227">
        <v>1.1223710021739468E-3</v>
      </c>
      <c r="H2243" s="226">
        <v>2.0000005732018805E-3</v>
      </c>
      <c r="I2243" s="255">
        <v>2.1869803010571469E-3</v>
      </c>
      <c r="J2243" s="256">
        <v>3.845204265341495E-5</v>
      </c>
      <c r="K2243" s="257">
        <v>4.0190673393790172E-5</v>
      </c>
      <c r="L2243" s="228">
        <v>3.6020963297085359E-2</v>
      </c>
    </row>
    <row r="2244" spans="1:12" s="212" customFormat="1" ht="15.5" x14ac:dyDescent="0.35">
      <c r="A2244" s="198" t="s">
        <v>795</v>
      </c>
      <c r="B2244" s="197">
        <v>2028</v>
      </c>
      <c r="C2244" s="213" t="s">
        <v>5399</v>
      </c>
      <c r="D2244" s="239">
        <v>9.235503638966705E-3</v>
      </c>
      <c r="E2244" s="226">
        <v>5.2726723747003088E-2</v>
      </c>
      <c r="F2244" s="226">
        <v>1.149359946771449E-3</v>
      </c>
      <c r="G2244" s="227">
        <v>1.0580474417658903E-3</v>
      </c>
      <c r="H2244" s="226">
        <v>2.0000005732018801E-3</v>
      </c>
      <c r="I2244" s="255">
        <v>2.1861719155119768E-3</v>
      </c>
      <c r="J2244" s="256">
        <v>3.2169003038064005E-5</v>
      </c>
      <c r="K2244" s="257">
        <v>3.3623542607608401E-5</v>
      </c>
      <c r="L2244" s="228">
        <v>3.5285509903585588E-2</v>
      </c>
    </row>
    <row r="2245" spans="1:12" s="212" customFormat="1" ht="15.5" x14ac:dyDescent="0.35">
      <c r="A2245" s="198" t="s">
        <v>795</v>
      </c>
      <c r="B2245" s="197">
        <v>2029</v>
      </c>
      <c r="C2245" s="213" t="s">
        <v>5400</v>
      </c>
      <c r="D2245" s="239">
        <v>8.4236896190502467E-3</v>
      </c>
      <c r="E2245" s="226">
        <v>4.8311403917475342E-2</v>
      </c>
      <c r="F2245" s="226">
        <v>1.0806146489049024E-3</v>
      </c>
      <c r="G2245" s="227">
        <v>9.9459806847564049E-4</v>
      </c>
      <c r="H2245" s="226">
        <v>2.0000005732018801E-3</v>
      </c>
      <c r="I2245" s="255">
        <v>2.1854276071197267E-3</v>
      </c>
      <c r="J2245" s="256">
        <v>2.599365025462499E-5</v>
      </c>
      <c r="K2245" s="257">
        <v>2.716896777402445E-5</v>
      </c>
      <c r="L2245" s="228">
        <v>3.4606604743180669E-2</v>
      </c>
    </row>
    <row r="2246" spans="1:12" s="212" customFormat="1" ht="15.5" x14ac:dyDescent="0.35">
      <c r="A2246" s="198" t="s">
        <v>795</v>
      </c>
      <c r="B2246" s="197">
        <v>2030</v>
      </c>
      <c r="C2246" s="213" t="s">
        <v>5401</v>
      </c>
      <c r="D2246" s="239">
        <v>7.7477216877378787E-3</v>
      </c>
      <c r="E2246" s="226">
        <v>4.4591019404482811E-2</v>
      </c>
      <c r="F2246" s="226">
        <v>1.0165336733653004E-3</v>
      </c>
      <c r="G2246" s="227">
        <v>9.3551491094151008E-4</v>
      </c>
      <c r="H2246" s="226">
        <v>2.0000005732018797E-3</v>
      </c>
      <c r="I2246" s="255">
        <v>2.1847580503643019E-3</v>
      </c>
      <c r="J2246" s="256">
        <v>2.1808488273124378E-5</v>
      </c>
      <c r="K2246" s="257">
        <v>2.2794571339101608E-5</v>
      </c>
      <c r="L2246" s="228">
        <v>3.3984179971780167E-2</v>
      </c>
    </row>
    <row r="2247" spans="1:12" s="212" customFormat="1" ht="15.5" x14ac:dyDescent="0.35">
      <c r="A2247" s="198" t="s">
        <v>795</v>
      </c>
      <c r="B2247" s="197">
        <v>2031</v>
      </c>
      <c r="C2247" s="213" t="s">
        <v>5402</v>
      </c>
      <c r="D2247" s="239">
        <v>7.1578620666503294E-3</v>
      </c>
      <c r="E2247" s="226">
        <v>4.1363040942518997E-2</v>
      </c>
      <c r="F2247" s="226">
        <v>9.5600434817430698E-4</v>
      </c>
      <c r="G2247" s="227">
        <v>8.7973918261906629E-4</v>
      </c>
      <c r="H2247" s="226">
        <v>2.0000005732018801E-3</v>
      </c>
      <c r="I2247" s="255">
        <v>2.1840245567185381E-3</v>
      </c>
      <c r="J2247" s="256">
        <v>1.869659977416722E-5</v>
      </c>
      <c r="K2247" s="257">
        <v>1.9541977051022341E-5</v>
      </c>
      <c r="L2247" s="228">
        <v>3.3485961874857695E-2</v>
      </c>
    </row>
    <row r="2248" spans="1:12" s="212" customFormat="1" ht="15.5" x14ac:dyDescent="0.35">
      <c r="A2248" s="198" t="s">
        <v>795</v>
      </c>
      <c r="B2248" s="197">
        <v>2032</v>
      </c>
      <c r="C2248" s="213" t="s">
        <v>5403</v>
      </c>
      <c r="D2248" s="239">
        <v>6.6465718312137762E-3</v>
      </c>
      <c r="E2248" s="226">
        <v>3.8582573757976191E-2</v>
      </c>
      <c r="F2248" s="226">
        <v>8.9946726640134091E-4</v>
      </c>
      <c r="G2248" s="227">
        <v>8.2765970938368874E-4</v>
      </c>
      <c r="H2248" s="226">
        <v>2.0000005732018805E-3</v>
      </c>
      <c r="I2248" s="255">
        <v>2.184250569748393E-3</v>
      </c>
      <c r="J2248" s="256">
        <v>1.6240069249740477E-5</v>
      </c>
      <c r="K2248" s="257">
        <v>1.6974373116973757E-5</v>
      </c>
      <c r="L2248" s="228">
        <v>3.296602717710715E-2</v>
      </c>
    </row>
    <row r="2249" spans="1:12" s="212" customFormat="1" ht="15.5" x14ac:dyDescent="0.35">
      <c r="A2249" s="198" t="s">
        <v>795</v>
      </c>
      <c r="B2249" s="197">
        <v>2033</v>
      </c>
      <c r="C2249" s="213" t="s">
        <v>5404</v>
      </c>
      <c r="D2249" s="239">
        <v>6.2169727129510414E-3</v>
      </c>
      <c r="E2249" s="226">
        <v>3.6171516895661712E-2</v>
      </c>
      <c r="F2249" s="226">
        <v>8.4987602777260004E-4</v>
      </c>
      <c r="G2249" s="227">
        <v>7.8200628752317315E-4</v>
      </c>
      <c r="H2249" s="226">
        <v>2.0000005732018797E-3</v>
      </c>
      <c r="I2249" s="255">
        <v>2.1990195986490739E-3</v>
      </c>
      <c r="J2249" s="256">
        <v>1.4800019079405157E-5</v>
      </c>
      <c r="K2249" s="257">
        <v>1.5469210268063859E-5</v>
      </c>
      <c r="L2249" s="228">
        <v>3.2495702129351406E-2</v>
      </c>
    </row>
    <row r="2250" spans="1:12" s="212" customFormat="1" ht="15.5" x14ac:dyDescent="0.35">
      <c r="A2250" s="198" t="s">
        <v>795</v>
      </c>
      <c r="B2250" s="197">
        <v>2034</v>
      </c>
      <c r="C2250" s="213" t="s">
        <v>5405</v>
      </c>
      <c r="D2250" s="239">
        <v>5.7961525262180489E-3</v>
      </c>
      <c r="E2250" s="226">
        <v>3.4033783141668036E-2</v>
      </c>
      <c r="F2250" s="226">
        <v>7.9896324825329767E-4</v>
      </c>
      <c r="G2250" s="227">
        <v>7.3514111279796251E-4</v>
      </c>
      <c r="H2250" s="226">
        <v>2.0000005732018801E-3</v>
      </c>
      <c r="I2250" s="255">
        <v>2.1980073925142616E-3</v>
      </c>
      <c r="J2250" s="256">
        <v>1.3446081720905587E-5</v>
      </c>
      <c r="K2250" s="257">
        <v>1.405405387022099E-5</v>
      </c>
      <c r="L2250" s="228">
        <v>3.207134511341006E-2</v>
      </c>
    </row>
    <row r="2251" spans="1:12" s="212" customFormat="1" ht="15.5" x14ac:dyDescent="0.35">
      <c r="A2251" s="198" t="s">
        <v>795</v>
      </c>
      <c r="B2251" s="197">
        <v>2035</v>
      </c>
      <c r="C2251" s="213" t="s">
        <v>5406</v>
      </c>
      <c r="D2251" s="239">
        <v>5.4285769684097014E-3</v>
      </c>
      <c r="E2251" s="226">
        <v>3.2232014672689734E-2</v>
      </c>
      <c r="F2251" s="226">
        <v>7.5175670710213999E-4</v>
      </c>
      <c r="G2251" s="227">
        <v>6.9168928975306236E-4</v>
      </c>
      <c r="H2251" s="226">
        <v>2.0000005732018801E-3</v>
      </c>
      <c r="I2251" s="255">
        <v>2.1969852169276905E-3</v>
      </c>
      <c r="J2251" s="256">
        <v>1.2235930176168778E-5</v>
      </c>
      <c r="K2251" s="257">
        <v>1.2789184642599108E-5</v>
      </c>
      <c r="L2251" s="228">
        <v>3.1692902289393809E-2</v>
      </c>
    </row>
    <row r="2252" spans="1:12" s="212" customFormat="1" ht="15.5" x14ac:dyDescent="0.35">
      <c r="A2252" s="198" t="s">
        <v>795</v>
      </c>
      <c r="B2252" s="197">
        <v>2036</v>
      </c>
      <c r="C2252" s="213" t="s">
        <v>5407</v>
      </c>
      <c r="D2252" s="239">
        <v>5.106857178742116E-3</v>
      </c>
      <c r="E2252" s="226">
        <v>3.0652428136053643E-2</v>
      </c>
      <c r="F2252" s="226">
        <v>7.1089049798910128E-4</v>
      </c>
      <c r="G2252" s="227">
        <v>6.5407119122453685E-4</v>
      </c>
      <c r="H2252" s="226">
        <v>2.0000023555094217E-3</v>
      </c>
      <c r="I2252" s="255">
        <v>2.206283188702782E-3</v>
      </c>
      <c r="J2252" s="256">
        <v>1.1129037098286479E-5</v>
      </c>
      <c r="K2252" s="257">
        <v>1.1632242771500275E-5</v>
      </c>
      <c r="L2252" s="228">
        <v>3.1359694547839281E-2</v>
      </c>
    </row>
    <row r="2253" spans="1:12" s="212" customFormat="1" ht="15.5" x14ac:dyDescent="0.35">
      <c r="A2253" s="198" t="s">
        <v>795</v>
      </c>
      <c r="B2253" s="197">
        <v>2037</v>
      </c>
      <c r="C2253" s="213" t="s">
        <v>5408</v>
      </c>
      <c r="D2253" s="239">
        <v>4.8197166785513418E-3</v>
      </c>
      <c r="E2253" s="226">
        <v>2.9285645350367637E-2</v>
      </c>
      <c r="F2253" s="226">
        <v>6.732450880296755E-4</v>
      </c>
      <c r="G2253" s="227">
        <v>6.1941937845546192E-4</v>
      </c>
      <c r="H2253" s="226">
        <v>2.000002457960906E-3</v>
      </c>
      <c r="I2253" s="255">
        <v>2.2052558575109127E-3</v>
      </c>
      <c r="J2253" s="256">
        <v>1.014738700202985E-5</v>
      </c>
      <c r="K2253" s="257">
        <v>1.0606206813898701E-5</v>
      </c>
      <c r="L2253" s="228">
        <v>3.1069006001369279E-2</v>
      </c>
    </row>
    <row r="2254" spans="1:12" s="212" customFormat="1" ht="15.5" x14ac:dyDescent="0.35">
      <c r="A2254" s="198" t="s">
        <v>795</v>
      </c>
      <c r="B2254" s="197">
        <v>2038</v>
      </c>
      <c r="C2254" s="213" t="s">
        <v>5409</v>
      </c>
      <c r="D2254" s="239">
        <v>4.5107731573219506E-3</v>
      </c>
      <c r="E2254" s="226">
        <v>2.7967876517521129E-2</v>
      </c>
      <c r="F2254" s="226">
        <v>6.3252616838850833E-4</v>
      </c>
      <c r="G2254" s="227">
        <v>5.8195064387594434E-4</v>
      </c>
      <c r="H2254" s="226">
        <v>2.0000005732018801E-3</v>
      </c>
      <c r="I2254" s="255">
        <v>2.2578077649760939E-3</v>
      </c>
      <c r="J2254" s="256">
        <v>9.3981861517646932E-6</v>
      </c>
      <c r="K2254" s="257">
        <v>9.8231304257140985E-6</v>
      </c>
      <c r="L2254" s="228">
        <v>3.0818864392733306E-2</v>
      </c>
    </row>
    <row r="2255" spans="1:12" s="212" customFormat="1" ht="15.5" x14ac:dyDescent="0.35">
      <c r="A2255" s="198" t="s">
        <v>795</v>
      </c>
      <c r="B2255" s="197">
        <v>2039</v>
      </c>
      <c r="C2255" s="213" t="s">
        <v>5410</v>
      </c>
      <c r="D2255" s="239">
        <v>4.2538678796649743E-3</v>
      </c>
      <c r="E2255" s="226">
        <v>2.6787235957639235E-2</v>
      </c>
      <c r="F2255" s="226">
        <v>6.0236622255481346E-4</v>
      </c>
      <c r="G2255" s="227">
        <v>5.5419275080169068E-4</v>
      </c>
      <c r="H2255" s="226">
        <v>2.0000005732018805E-3</v>
      </c>
      <c r="I2255" s="255">
        <v>2.2567787795432612E-3</v>
      </c>
      <c r="J2255" s="256">
        <v>8.7068570639041063E-6</v>
      </c>
      <c r="K2255" s="257">
        <v>9.1005425042278531E-6</v>
      </c>
      <c r="L2255" s="228">
        <v>3.0603722310486459E-2</v>
      </c>
    </row>
    <row r="2256" spans="1:12" s="212" customFormat="1" ht="15.5" x14ac:dyDescent="0.35">
      <c r="A2256" s="198" t="s">
        <v>795</v>
      </c>
      <c r="B2256" s="197">
        <v>2040</v>
      </c>
      <c r="C2256" s="213" t="s">
        <v>5411</v>
      </c>
      <c r="D2256" s="239">
        <v>4.0281276894684253E-3</v>
      </c>
      <c r="E2256" s="226">
        <v>2.5782442607608383E-2</v>
      </c>
      <c r="F2256" s="226">
        <v>5.7592923074204026E-4</v>
      </c>
      <c r="G2256" s="227">
        <v>5.2986450010077926E-4</v>
      </c>
      <c r="H2256" s="226">
        <v>2.0000005732018801E-3</v>
      </c>
      <c r="I2256" s="255">
        <v>2.2558183782082257E-3</v>
      </c>
      <c r="J2256" s="256">
        <v>8.1829585387057254E-6</v>
      </c>
      <c r="K2256" s="257">
        <v>8.5529556124852817E-6</v>
      </c>
      <c r="L2256" s="228">
        <v>3.0421699388931158E-2</v>
      </c>
    </row>
    <row r="2257" spans="1:12" s="212" customFormat="1" ht="15.5" x14ac:dyDescent="0.35">
      <c r="A2257" s="198" t="s">
        <v>795</v>
      </c>
      <c r="B2257" s="197">
        <v>2041</v>
      </c>
      <c r="C2257" s="213" t="s">
        <v>5412</v>
      </c>
      <c r="D2257" s="239">
        <v>3.8606676296601395E-3</v>
      </c>
      <c r="E2257" s="226">
        <v>2.4976206381799131E-2</v>
      </c>
      <c r="F2257" s="226">
        <v>5.5567524257289075E-4</v>
      </c>
      <c r="G2257" s="227">
        <v>5.1122452123539925E-4</v>
      </c>
      <c r="H2257" s="226">
        <v>2.0000005732018801E-3</v>
      </c>
      <c r="I2257" s="255">
        <v>2.2549381010750131E-3</v>
      </c>
      <c r="J2257" s="256">
        <v>7.7419136824176184E-6</v>
      </c>
      <c r="K2257" s="257">
        <v>8.091968664903356E-6</v>
      </c>
      <c r="L2257" s="228">
        <v>3.0269947191174758E-2</v>
      </c>
    </row>
    <row r="2258" spans="1:12" s="212" customFormat="1" ht="15.5" x14ac:dyDescent="0.35">
      <c r="A2258" s="198" t="s">
        <v>795</v>
      </c>
      <c r="B2258" s="197">
        <v>2042</v>
      </c>
      <c r="C2258" s="213" t="s">
        <v>5413</v>
      </c>
      <c r="D2258" s="239">
        <v>3.7086849237903748E-3</v>
      </c>
      <c r="E2258" s="226">
        <v>2.4189774747913898E-2</v>
      </c>
      <c r="F2258" s="226">
        <v>5.3825251200160314E-4</v>
      </c>
      <c r="G2258" s="227">
        <v>4.9519118797707344E-4</v>
      </c>
      <c r="H2258" s="226">
        <v>2.0000005732018801E-3</v>
      </c>
      <c r="I2258" s="255">
        <v>2.2540437183679782E-3</v>
      </c>
      <c r="J2258" s="256">
        <v>7.3883560968018364E-6</v>
      </c>
      <c r="K2258" s="257">
        <v>7.7224247741546016E-6</v>
      </c>
      <c r="L2258" s="228">
        <v>3.0141519220747606E-2</v>
      </c>
    </row>
    <row r="2259" spans="1:12" s="212" customFormat="1" ht="15.5" x14ac:dyDescent="0.35">
      <c r="A2259" s="198" t="s">
        <v>795</v>
      </c>
      <c r="B2259" s="197">
        <v>2043</v>
      </c>
      <c r="C2259" s="213" t="s">
        <v>5414</v>
      </c>
      <c r="D2259" s="239">
        <v>3.5895299429778895E-3</v>
      </c>
      <c r="E2259" s="226">
        <v>2.3516934089289405E-2</v>
      </c>
      <c r="F2259" s="226">
        <v>5.2339420574954668E-4</v>
      </c>
      <c r="G2259" s="227">
        <v>4.8151809991431023E-4</v>
      </c>
      <c r="H2259" s="226">
        <v>2.0000005732018797E-3</v>
      </c>
      <c r="I2259" s="255">
        <v>2.2531998962071345E-3</v>
      </c>
      <c r="J2259" s="256">
        <v>7.0951558171758478E-6</v>
      </c>
      <c r="K2259" s="257">
        <v>7.4159672789408858E-6</v>
      </c>
      <c r="L2259" s="228">
        <v>3.00349313927528E-2</v>
      </c>
    </row>
    <row r="2260" spans="1:12" s="212" customFormat="1" ht="15.5" x14ac:dyDescent="0.35">
      <c r="A2260" s="198" t="s">
        <v>795</v>
      </c>
      <c r="B2260" s="197">
        <v>2044</v>
      </c>
      <c r="C2260" s="213" t="s">
        <v>5415</v>
      </c>
      <c r="D2260" s="239">
        <v>3.4929021380688974E-3</v>
      </c>
      <c r="E2260" s="226">
        <v>2.2866786262167225E-2</v>
      </c>
      <c r="F2260" s="226">
        <v>5.1068463372021635E-4</v>
      </c>
      <c r="G2260" s="227">
        <v>4.6982290581440742E-4</v>
      </c>
      <c r="H2260" s="226">
        <v>2.0000005732018797E-3</v>
      </c>
      <c r="I2260" s="255">
        <v>2.2523742038821049E-3</v>
      </c>
      <c r="J2260" s="256">
        <v>6.8587316591070021E-6</v>
      </c>
      <c r="K2260" s="257">
        <v>7.1688530695608519E-6</v>
      </c>
      <c r="L2260" s="228">
        <v>2.9945899124734235E-2</v>
      </c>
    </row>
    <row r="2261" spans="1:12" s="212" customFormat="1" ht="15.5" x14ac:dyDescent="0.35">
      <c r="A2261" s="198" t="s">
        <v>795</v>
      </c>
      <c r="B2261" s="197">
        <v>2045</v>
      </c>
      <c r="C2261" s="213" t="s">
        <v>5416</v>
      </c>
      <c r="D2261" s="239">
        <v>3.4183814756260883E-3</v>
      </c>
      <c r="E2261" s="226">
        <v>2.2262454696168426E-2</v>
      </c>
      <c r="F2261" s="226">
        <v>4.9983549178578626E-4</v>
      </c>
      <c r="G2261" s="227">
        <v>4.5984016211749384E-4</v>
      </c>
      <c r="H2261" s="226">
        <v>2.0000005732018797E-3</v>
      </c>
      <c r="I2261" s="255">
        <v>2.2515396374841105E-3</v>
      </c>
      <c r="J2261" s="256">
        <v>6.6698811070348762E-6</v>
      </c>
      <c r="K2261" s="257">
        <v>6.971463533535932E-6</v>
      </c>
      <c r="L2261" s="228">
        <v>2.986998555029426E-2</v>
      </c>
    </row>
    <row r="2262" spans="1:12" s="212" customFormat="1" ht="15.5" x14ac:dyDescent="0.35">
      <c r="A2262" s="198" t="s">
        <v>795</v>
      </c>
      <c r="B2262" s="197">
        <v>2046</v>
      </c>
      <c r="C2262" s="213" t="s">
        <v>5417</v>
      </c>
      <c r="D2262" s="239">
        <v>3.3474550394648962E-3</v>
      </c>
      <c r="E2262" s="226">
        <v>2.1684226140424895E-2</v>
      </c>
      <c r="F2262" s="226">
        <v>4.9069372418821444E-4</v>
      </c>
      <c r="G2262" s="227">
        <v>4.5142871892187307E-4</v>
      </c>
      <c r="H2262" s="226">
        <v>2.0000005732018805E-3</v>
      </c>
      <c r="I2262" s="255">
        <v>2.2507053976476669E-3</v>
      </c>
      <c r="J2262" s="256">
        <v>6.5178046007364209E-6</v>
      </c>
      <c r="K2262" s="257">
        <v>6.8125108024521585E-6</v>
      </c>
      <c r="L2262" s="228">
        <v>2.9805413812849409E-2</v>
      </c>
    </row>
    <row r="2263" spans="1:12" s="212" customFormat="1" ht="15.5" x14ac:dyDescent="0.35">
      <c r="A2263" s="198" t="s">
        <v>795</v>
      </c>
      <c r="B2263" s="197">
        <v>2047</v>
      </c>
      <c r="C2263" s="213" t="s">
        <v>5418</v>
      </c>
      <c r="D2263" s="239">
        <v>3.2842913837712994E-3</v>
      </c>
      <c r="E2263" s="226">
        <v>2.1166238466729107E-2</v>
      </c>
      <c r="F2263" s="226">
        <v>4.8305287114545681E-4</v>
      </c>
      <c r="G2263" s="227">
        <v>4.4439801464714649E-4</v>
      </c>
      <c r="H2263" s="226">
        <v>2.0000005732018805E-3</v>
      </c>
      <c r="I2263" s="255">
        <v>2.2499086320628158E-3</v>
      </c>
      <c r="J2263" s="256">
        <v>6.3837809378533327E-6</v>
      </c>
      <c r="K2263" s="257">
        <v>6.672427184254703E-6</v>
      </c>
      <c r="L2263" s="228">
        <v>2.9751777364647965E-2</v>
      </c>
    </row>
    <row r="2264" spans="1:12" s="212" customFormat="1" ht="15.5" x14ac:dyDescent="0.35">
      <c r="A2264" s="198" t="s">
        <v>795</v>
      </c>
      <c r="B2264" s="197">
        <v>2048</v>
      </c>
      <c r="C2264" s="213" t="s">
        <v>5419</v>
      </c>
      <c r="D2264" s="239">
        <v>3.2304419615804005E-3</v>
      </c>
      <c r="E2264" s="226">
        <v>2.0730101521634858E-2</v>
      </c>
      <c r="F2264" s="226">
        <v>4.7662408836162025E-4</v>
      </c>
      <c r="G2264" s="227">
        <v>4.3848238429372262E-4</v>
      </c>
      <c r="H2264" s="226">
        <v>2.0000005732018801E-3</v>
      </c>
      <c r="I2264" s="255">
        <v>2.2491236110190101E-3</v>
      </c>
      <c r="J2264" s="256">
        <v>6.2656713758015261E-6</v>
      </c>
      <c r="K2264" s="257">
        <v>6.5489772319103245E-6</v>
      </c>
      <c r="L2264" s="228">
        <v>2.9706710365988691E-2</v>
      </c>
    </row>
    <row r="2265" spans="1:12" s="212" customFormat="1" ht="15.5" x14ac:dyDescent="0.35">
      <c r="A2265" s="198" t="s">
        <v>795</v>
      </c>
      <c r="B2265" s="197">
        <v>2049</v>
      </c>
      <c r="C2265" s="213" t="s">
        <v>5420</v>
      </c>
      <c r="D2265" s="239">
        <v>3.2198341010906805E-3</v>
      </c>
      <c r="E2265" s="226">
        <v>2.0687478956523012E-2</v>
      </c>
      <c r="F2265" s="226">
        <v>4.7284625373928004E-4</v>
      </c>
      <c r="G2265" s="227">
        <v>4.3500548850158204E-4</v>
      </c>
      <c r="H2265" s="226">
        <v>2.0000005732018801E-3</v>
      </c>
      <c r="I2265" s="255">
        <v>2.2483623010311534E-3</v>
      </c>
      <c r="J2265" s="256">
        <v>6.180556829569814E-6</v>
      </c>
      <c r="K2265" s="257">
        <v>6.4600141835881969E-6</v>
      </c>
      <c r="L2265" s="228">
        <v>2.9668778408642897E-2</v>
      </c>
    </row>
    <row r="2266" spans="1:12" s="212" customFormat="1" ht="15.5" x14ac:dyDescent="0.35">
      <c r="A2266" s="198" t="s">
        <v>795</v>
      </c>
      <c r="B2266" s="197">
        <v>2050</v>
      </c>
      <c r="C2266" s="213" t="s">
        <v>5421</v>
      </c>
      <c r="D2266" s="239">
        <v>3.2114630365985045E-3</v>
      </c>
      <c r="E2266" s="226">
        <v>2.0646907063331339E-2</v>
      </c>
      <c r="F2266" s="226">
        <v>4.6950911974803978E-4</v>
      </c>
      <c r="G2266" s="227">
        <v>4.3192312529432051E-4</v>
      </c>
      <c r="H2266" s="226">
        <v>2.0000005732018801E-3</v>
      </c>
      <c r="I2266" s="255">
        <v>2.2476616844774588E-3</v>
      </c>
      <c r="J2266" s="256">
        <v>5.8214538067511179E-6</v>
      </c>
      <c r="K2266" s="257">
        <v>6.0846741155737248E-6</v>
      </c>
      <c r="L2266" s="228">
        <v>2.963837957170664E-2</v>
      </c>
    </row>
    <row r="2267" spans="1:12" s="212" customFormat="1" ht="15.5" x14ac:dyDescent="0.35">
      <c r="A2267" s="198" t="s">
        <v>797</v>
      </c>
      <c r="B2267" s="197">
        <v>2015</v>
      </c>
      <c r="C2267" s="213" t="s">
        <v>5422</v>
      </c>
      <c r="D2267" s="239">
        <v>7.8528003096842491E-2</v>
      </c>
      <c r="E2267" s="226">
        <v>0.3327987353547831</v>
      </c>
      <c r="F2267" s="226">
        <v>2.7472057137394746E-3</v>
      </c>
      <c r="G2267" s="227">
        <v>2.5427889382996513E-3</v>
      </c>
      <c r="H2267" s="226">
        <v>2.0000005732018801E-3</v>
      </c>
      <c r="I2267" s="255">
        <v>3.2061111554207928E-3</v>
      </c>
      <c r="J2267" s="256">
        <v>2.7961230448367037E-4</v>
      </c>
      <c r="K2267" s="257">
        <v>2.922551321311972E-4</v>
      </c>
      <c r="L2267" s="228">
        <v>4.4595311208143605E-2</v>
      </c>
    </row>
    <row r="2268" spans="1:12" s="212" customFormat="1" ht="15.5" x14ac:dyDescent="0.35">
      <c r="A2268" s="198" t="s">
        <v>797</v>
      </c>
      <c r="B2268" s="197">
        <v>2016</v>
      </c>
      <c r="C2268" s="213" t="s">
        <v>5423</v>
      </c>
      <c r="D2268" s="239">
        <v>6.9846501136108796E-2</v>
      </c>
      <c r="E2268" s="226">
        <v>0.30577959143474093</v>
      </c>
      <c r="F2268" s="226">
        <v>2.6217683285421488E-3</v>
      </c>
      <c r="G2268" s="227">
        <v>2.4255248101297008E-3</v>
      </c>
      <c r="H2268" s="226">
        <v>2.0000005732018801E-3</v>
      </c>
      <c r="I2268" s="255">
        <v>3.2051388175950448E-3</v>
      </c>
      <c r="J2268" s="256">
        <v>2.6629395710576375E-4</v>
      </c>
      <c r="K2268" s="257">
        <v>2.7833458818415279E-4</v>
      </c>
      <c r="L2268" s="228">
        <v>4.3571565276563008E-2</v>
      </c>
    </row>
    <row r="2269" spans="1:12" s="212" customFormat="1" ht="15.5" x14ac:dyDescent="0.35">
      <c r="A2269" s="198" t="s">
        <v>797</v>
      </c>
      <c r="B2269" s="197">
        <v>2017</v>
      </c>
      <c r="C2269" s="213" t="s">
        <v>5424</v>
      </c>
      <c r="D2269" s="239">
        <v>5.6636710421554715E-2</v>
      </c>
      <c r="E2269" s="226">
        <v>0.25850477883190104</v>
      </c>
      <c r="F2269" s="226">
        <v>2.4032648797534559E-3</v>
      </c>
      <c r="G2269" s="227">
        <v>2.221605272099132E-3</v>
      </c>
      <c r="H2269" s="226">
        <v>2.0000005732018779E-3</v>
      </c>
      <c r="I2269" s="255">
        <v>3.2021223948200889E-3</v>
      </c>
      <c r="J2269" s="256">
        <v>2.294475188150841E-4</v>
      </c>
      <c r="K2269" s="257">
        <v>2.3982211745761663E-4</v>
      </c>
      <c r="L2269" s="228">
        <v>4.3313045385380687E-2</v>
      </c>
    </row>
    <row r="2270" spans="1:12" s="212" customFormat="1" ht="15.5" x14ac:dyDescent="0.35">
      <c r="A2270" s="198" t="s">
        <v>797</v>
      </c>
      <c r="B2270" s="197">
        <v>2018</v>
      </c>
      <c r="C2270" s="213" t="s">
        <v>5425</v>
      </c>
      <c r="D2270" s="239">
        <v>4.7753722035374827E-2</v>
      </c>
      <c r="E2270" s="226">
        <v>0.22694881985299162</v>
      </c>
      <c r="F2270" s="226">
        <v>2.2910212951837744E-3</v>
      </c>
      <c r="G2270" s="227">
        <v>2.1164016710365804E-3</v>
      </c>
      <c r="H2270" s="226">
        <v>2.0000005732018792E-3</v>
      </c>
      <c r="I2270" s="255">
        <v>3.203462910621231E-3</v>
      </c>
      <c r="J2270" s="256">
        <v>2.070345835131062E-4</v>
      </c>
      <c r="K2270" s="257">
        <v>2.1639576867721084E-4</v>
      </c>
      <c r="L2270" s="228">
        <v>4.2818215733688887E-2</v>
      </c>
    </row>
    <row r="2271" spans="1:12" s="212" customFormat="1" ht="15.5" x14ac:dyDescent="0.35">
      <c r="A2271" s="198" t="s">
        <v>797</v>
      </c>
      <c r="B2271" s="197">
        <v>2019</v>
      </c>
      <c r="C2271" s="213" t="s">
        <v>5426</v>
      </c>
      <c r="D2271" s="239">
        <v>3.9912352247335657E-2</v>
      </c>
      <c r="E2271" s="226">
        <v>0.19298015699368287</v>
      </c>
      <c r="F2271" s="226">
        <v>2.178530153664671E-3</v>
      </c>
      <c r="G2271" s="227">
        <v>2.010462527667047E-3</v>
      </c>
      <c r="H2271" s="226">
        <v>2.0000005732018805E-3</v>
      </c>
      <c r="I2271" s="255">
        <v>3.204959425811543E-3</v>
      </c>
      <c r="J2271" s="256">
        <v>1.6293874653875646E-4</v>
      </c>
      <c r="K2271" s="257">
        <v>1.7030611362725949E-4</v>
      </c>
      <c r="L2271" s="228">
        <v>4.2197854029000614E-2</v>
      </c>
    </row>
    <row r="2272" spans="1:12" s="212" customFormat="1" ht="15.5" x14ac:dyDescent="0.35">
      <c r="A2272" s="198" t="s">
        <v>797</v>
      </c>
      <c r="B2272" s="197">
        <v>2020</v>
      </c>
      <c r="C2272" s="213" t="s">
        <v>5427</v>
      </c>
      <c r="D2272" s="239">
        <v>3.5372210756707947E-2</v>
      </c>
      <c r="E2272" s="226">
        <v>0.17472921989846488</v>
      </c>
      <c r="F2272" s="226">
        <v>2.1104524062175471E-3</v>
      </c>
      <c r="G2272" s="227">
        <v>1.9470592618261624E-3</v>
      </c>
      <c r="H2272" s="226">
        <v>2.0000005732018801E-3</v>
      </c>
      <c r="I2272" s="255">
        <v>3.2172899437165705E-3</v>
      </c>
      <c r="J2272" s="256">
        <v>1.5028123598343065E-4</v>
      </c>
      <c r="K2272" s="257">
        <v>1.5707628661149357E-4</v>
      </c>
      <c r="L2272" s="228">
        <v>4.1861921043500422E-2</v>
      </c>
    </row>
    <row r="2273" spans="1:12" s="212" customFormat="1" ht="15.5" x14ac:dyDescent="0.35">
      <c r="A2273" s="198" t="s">
        <v>797</v>
      </c>
      <c r="B2273" s="197">
        <v>2021</v>
      </c>
      <c r="C2273" s="213" t="s">
        <v>5428</v>
      </c>
      <c r="D2273" s="239">
        <v>3.1140756995322986E-2</v>
      </c>
      <c r="E2273" s="226">
        <v>0.15592372626597323</v>
      </c>
      <c r="F2273" s="226">
        <v>2.008864418388235E-3</v>
      </c>
      <c r="G2273" s="227">
        <v>1.8529444929201153E-3</v>
      </c>
      <c r="H2273" s="226">
        <v>2.0000005732018801E-3</v>
      </c>
      <c r="I2273" s="255">
        <v>3.2205178111324446E-3</v>
      </c>
      <c r="J2273" s="256">
        <v>1.3736666631482489E-4</v>
      </c>
      <c r="K2273" s="257">
        <v>1.4357777741002753E-4</v>
      </c>
      <c r="L2273" s="228">
        <v>4.1038178144780918E-2</v>
      </c>
    </row>
    <row r="2274" spans="1:12" s="212" customFormat="1" ht="15.5" x14ac:dyDescent="0.35">
      <c r="A2274" s="198" t="s">
        <v>797</v>
      </c>
      <c r="B2274" s="197">
        <v>2022</v>
      </c>
      <c r="C2274" s="213" t="s">
        <v>5429</v>
      </c>
      <c r="D2274" s="239">
        <v>2.6421277414730791E-2</v>
      </c>
      <c r="E2274" s="226">
        <v>0.13729870897139118</v>
      </c>
      <c r="F2274" s="226">
        <v>1.8995699013937472E-3</v>
      </c>
      <c r="G2274" s="227">
        <v>1.7515652355239227E-3</v>
      </c>
      <c r="H2274" s="226">
        <v>2.0000005732018771E-3</v>
      </c>
      <c r="I2274" s="255">
        <v>3.2201124249907442E-3</v>
      </c>
      <c r="J2274" s="256">
        <v>1.2397883043431624E-4</v>
      </c>
      <c r="K2274" s="257">
        <v>1.2958460299864404E-4</v>
      </c>
      <c r="L2274" s="228">
        <v>4.030504904840089E-2</v>
      </c>
    </row>
    <row r="2275" spans="1:12" s="212" customFormat="1" ht="15.5" x14ac:dyDescent="0.35">
      <c r="A2275" s="198" t="s">
        <v>797</v>
      </c>
      <c r="B2275" s="197">
        <v>2023</v>
      </c>
      <c r="C2275" s="213" t="s">
        <v>5430</v>
      </c>
      <c r="D2275" s="239">
        <v>2.3227432188927283E-2</v>
      </c>
      <c r="E2275" s="226">
        <v>0.12160824548233956</v>
      </c>
      <c r="F2275" s="226">
        <v>1.797670169439519E-3</v>
      </c>
      <c r="G2275" s="227">
        <v>1.6572947352205397E-3</v>
      </c>
      <c r="H2275" s="226">
        <v>2.0000005732018801E-3</v>
      </c>
      <c r="I2275" s="255">
        <v>3.2185938784047058E-3</v>
      </c>
      <c r="J2275" s="256">
        <v>1.1090835293699054E-4</v>
      </c>
      <c r="K2275" s="257">
        <v>1.1592313650827405E-4</v>
      </c>
      <c r="L2275" s="228">
        <v>3.9531080149504245E-2</v>
      </c>
    </row>
    <row r="2276" spans="1:12" s="212" customFormat="1" ht="15.5" x14ac:dyDescent="0.35">
      <c r="A2276" s="198" t="s">
        <v>797</v>
      </c>
      <c r="B2276" s="197">
        <v>2024</v>
      </c>
      <c r="C2276" s="213" t="s">
        <v>5431</v>
      </c>
      <c r="D2276" s="239">
        <v>2.0432225887757144E-2</v>
      </c>
      <c r="E2276" s="226">
        <v>0.10789017221771315</v>
      </c>
      <c r="F2276" s="226">
        <v>1.7025576344155578E-3</v>
      </c>
      <c r="G2276" s="227">
        <v>1.5692253035771986E-3</v>
      </c>
      <c r="H2276" s="226">
        <v>2.0000005732018784E-3</v>
      </c>
      <c r="I2276" s="255">
        <v>3.2033175476859051E-3</v>
      </c>
      <c r="J2276" s="256">
        <v>9.665630272849153E-5</v>
      </c>
      <c r="K2276" s="257">
        <v>1.0102667183188292E-4</v>
      </c>
      <c r="L2276" s="228">
        <v>3.8714512993306943E-2</v>
      </c>
    </row>
    <row r="2277" spans="1:12" s="212" customFormat="1" ht="15.5" x14ac:dyDescent="0.35">
      <c r="A2277" s="198" t="s">
        <v>797</v>
      </c>
      <c r="B2277" s="197">
        <v>2025</v>
      </c>
      <c r="C2277" s="213" t="s">
        <v>5432</v>
      </c>
      <c r="D2277" s="239">
        <v>1.8177963929118874E-2</v>
      </c>
      <c r="E2277" s="226">
        <v>9.6474886971388132E-2</v>
      </c>
      <c r="F2277" s="226">
        <v>1.625883810398643E-3</v>
      </c>
      <c r="G2277" s="227">
        <v>1.4982877542033713E-3</v>
      </c>
      <c r="H2277" s="226">
        <v>2.0000005739571579E-3</v>
      </c>
      <c r="I2277" s="255">
        <v>3.1994550167062344E-3</v>
      </c>
      <c r="J2277" s="256">
        <v>8.5858149057254743E-5</v>
      </c>
      <c r="K2277" s="257">
        <v>8.9740273567730011E-5</v>
      </c>
      <c r="L2277" s="228">
        <v>3.7874499905685644E-2</v>
      </c>
    </row>
    <row r="2278" spans="1:12" s="212" customFormat="1" ht="15.5" x14ac:dyDescent="0.35">
      <c r="A2278" s="198" t="s">
        <v>797</v>
      </c>
      <c r="B2278" s="197">
        <v>2026</v>
      </c>
      <c r="C2278" s="213" t="s">
        <v>5433</v>
      </c>
      <c r="D2278" s="239">
        <v>1.6257588678963767E-2</v>
      </c>
      <c r="E2278" s="226">
        <v>8.6732551567047289E-2</v>
      </c>
      <c r="F2278" s="226">
        <v>1.5511390818062508E-3</v>
      </c>
      <c r="G2278" s="227">
        <v>1.4291595114032426E-3</v>
      </c>
      <c r="H2278" s="226">
        <v>2.0000005739611057E-3</v>
      </c>
      <c r="I2278" s="255">
        <v>3.1968692193906742E-3</v>
      </c>
      <c r="J2278" s="256">
        <v>7.5553236709304203E-5</v>
      </c>
      <c r="K2278" s="257">
        <v>7.8969418810776514E-5</v>
      </c>
      <c r="L2278" s="228">
        <v>3.7032027320772314E-2</v>
      </c>
    </row>
    <row r="2279" spans="1:12" s="212" customFormat="1" ht="15.5" x14ac:dyDescent="0.35">
      <c r="A2279" s="198" t="s">
        <v>797</v>
      </c>
      <c r="B2279" s="197">
        <v>2027</v>
      </c>
      <c r="C2279" s="213" t="s">
        <v>5434</v>
      </c>
      <c r="D2279" s="239">
        <v>1.4625207917453599E-2</v>
      </c>
      <c r="E2279" s="226">
        <v>7.8277122616788763E-2</v>
      </c>
      <c r="F2279" s="226">
        <v>1.469820653119536E-3</v>
      </c>
      <c r="G2279" s="227">
        <v>1.3538704842340275E-3</v>
      </c>
      <c r="H2279" s="226">
        <v>2.0000005732018797E-3</v>
      </c>
      <c r="I2279" s="255">
        <v>3.2065680958863921E-3</v>
      </c>
      <c r="J2279" s="256">
        <v>6.2229725139112442E-5</v>
      </c>
      <c r="K2279" s="257">
        <v>6.5043477169587704E-5</v>
      </c>
      <c r="L2279" s="228">
        <v>3.6285653412620779E-2</v>
      </c>
    </row>
    <row r="2280" spans="1:12" s="212" customFormat="1" ht="15.5" x14ac:dyDescent="0.35">
      <c r="A2280" s="198" t="s">
        <v>797</v>
      </c>
      <c r="B2280" s="197">
        <v>2028</v>
      </c>
      <c r="C2280" s="213" t="s">
        <v>5435</v>
      </c>
      <c r="D2280" s="239">
        <v>1.3187857771895394E-2</v>
      </c>
      <c r="E2280" s="226">
        <v>7.0870558725520089E-2</v>
      </c>
      <c r="F2280" s="226">
        <v>1.380073315317991E-3</v>
      </c>
      <c r="G2280" s="227">
        <v>1.2709133794650935E-3</v>
      </c>
      <c r="H2280" s="226">
        <v>2.0000005732018801E-3</v>
      </c>
      <c r="I2280" s="255">
        <v>3.2238142386076885E-3</v>
      </c>
      <c r="J2280" s="256">
        <v>5.0994914687369026E-5</v>
      </c>
      <c r="K2280" s="257">
        <v>5.330067844294935E-5</v>
      </c>
      <c r="L2280" s="228">
        <v>3.556709457333606E-2</v>
      </c>
    </row>
    <row r="2281" spans="1:12" s="212" customFormat="1" ht="15.5" x14ac:dyDescent="0.35">
      <c r="A2281" s="198" t="s">
        <v>797</v>
      </c>
      <c r="B2281" s="197">
        <v>2029</v>
      </c>
      <c r="C2281" s="213" t="s">
        <v>5436</v>
      </c>
      <c r="D2281" s="239">
        <v>1.192159316653247E-2</v>
      </c>
      <c r="E2281" s="226">
        <v>6.4428853911256356E-2</v>
      </c>
      <c r="F2281" s="226">
        <v>1.2953998116627234E-3</v>
      </c>
      <c r="G2281" s="227">
        <v>1.1927533235497833E-3</v>
      </c>
      <c r="H2281" s="226">
        <v>2.0000005732018801E-3</v>
      </c>
      <c r="I2281" s="255">
        <v>3.2207891650240399E-3</v>
      </c>
      <c r="J2281" s="256">
        <v>4.3143983260215229E-5</v>
      </c>
      <c r="K2281" s="257">
        <v>4.5094762734651973E-5</v>
      </c>
      <c r="L2281" s="228">
        <v>3.4904117886822836E-2</v>
      </c>
    </row>
    <row r="2282" spans="1:12" s="212" customFormat="1" ht="15.5" x14ac:dyDescent="0.35">
      <c r="A2282" s="198" t="s">
        <v>797</v>
      </c>
      <c r="B2282" s="197">
        <v>2030</v>
      </c>
      <c r="C2282" s="213" t="s">
        <v>5437</v>
      </c>
      <c r="D2282" s="239">
        <v>1.0858317020585907E-2</v>
      </c>
      <c r="E2282" s="226">
        <v>5.8921691746740099E-2</v>
      </c>
      <c r="F2282" s="226">
        <v>1.2152942246866278E-3</v>
      </c>
      <c r="G2282" s="227">
        <v>1.1188439050983836E-3</v>
      </c>
      <c r="H2282" s="226">
        <v>2.0000005732018784E-3</v>
      </c>
      <c r="I2282" s="255">
        <v>3.2178092445239006E-3</v>
      </c>
      <c r="J2282" s="256">
        <v>3.6591895813971338E-5</v>
      </c>
      <c r="K2282" s="257">
        <v>3.824641896854625E-5</v>
      </c>
      <c r="L2282" s="228">
        <v>3.4297685961169576E-2</v>
      </c>
    </row>
    <row r="2283" spans="1:12" s="212" customFormat="1" ht="15.5" x14ac:dyDescent="0.35">
      <c r="A2283" s="198" t="s">
        <v>797</v>
      </c>
      <c r="B2283" s="197">
        <v>2031</v>
      </c>
      <c r="C2283" s="213" t="s">
        <v>5438</v>
      </c>
      <c r="D2283" s="239">
        <v>9.9124814870619766E-3</v>
      </c>
      <c r="E2283" s="226">
        <v>5.4062588557039611E-2</v>
      </c>
      <c r="F2283" s="226">
        <v>1.1407405281095892E-3</v>
      </c>
      <c r="G2283" s="227">
        <v>1.0501440351364866E-3</v>
      </c>
      <c r="H2283" s="226">
        <v>2.0000005732018801E-3</v>
      </c>
      <c r="I2283" s="255">
        <v>3.2147208037190344E-3</v>
      </c>
      <c r="J2283" s="256">
        <v>3.2729297046063932E-5</v>
      </c>
      <c r="K2283" s="257">
        <v>3.4209170624382249E-5</v>
      </c>
      <c r="L2283" s="228">
        <v>3.3743808816575259E-2</v>
      </c>
    </row>
    <row r="2284" spans="1:12" s="212" customFormat="1" ht="15.5" x14ac:dyDescent="0.35">
      <c r="A2284" s="198" t="s">
        <v>797</v>
      </c>
      <c r="B2284" s="197">
        <v>2032</v>
      </c>
      <c r="C2284" s="213" t="s">
        <v>5439</v>
      </c>
      <c r="D2284" s="239">
        <v>9.0919490292339141E-3</v>
      </c>
      <c r="E2284" s="226">
        <v>4.9919997050772734E-2</v>
      </c>
      <c r="F2284" s="226">
        <v>1.0706708468985384E-3</v>
      </c>
      <c r="G2284" s="227">
        <v>9.8556492091875334E-4</v>
      </c>
      <c r="H2284" s="226">
        <v>2.0000005732018797E-3</v>
      </c>
      <c r="I2284" s="255">
        <v>3.2116606045070766E-3</v>
      </c>
      <c r="J2284" s="256">
        <v>2.881200858472787E-5</v>
      </c>
      <c r="K2284" s="257">
        <v>3.0114759761534722E-5</v>
      </c>
      <c r="L2284" s="228">
        <v>3.3245220600377982E-2</v>
      </c>
    </row>
    <row r="2285" spans="1:12" s="212" customFormat="1" ht="15.5" x14ac:dyDescent="0.35">
      <c r="A2285" s="198" t="s">
        <v>797</v>
      </c>
      <c r="B2285" s="197">
        <v>2033</v>
      </c>
      <c r="C2285" s="213" t="s">
        <v>5440</v>
      </c>
      <c r="D2285" s="239">
        <v>8.3616326393802405E-3</v>
      </c>
      <c r="E2285" s="226">
        <v>4.6285422988242286E-2</v>
      </c>
      <c r="F2285" s="226">
        <v>1.0053270510178044E-3</v>
      </c>
      <c r="G2285" s="227">
        <v>9.2537627268865139E-4</v>
      </c>
      <c r="H2285" s="226">
        <v>2.0000005732018805E-3</v>
      </c>
      <c r="I2285" s="255">
        <v>3.2085596713512946E-3</v>
      </c>
      <c r="J2285" s="256">
        <v>2.6054513267895554E-5</v>
      </c>
      <c r="K2285" s="257">
        <v>2.7232582742679452E-5</v>
      </c>
      <c r="L2285" s="228">
        <v>3.2780319851076954E-2</v>
      </c>
    </row>
    <row r="2286" spans="1:12" s="212" customFormat="1" ht="15.5" x14ac:dyDescent="0.35">
      <c r="A2286" s="198" t="s">
        <v>797</v>
      </c>
      <c r="B2286" s="197">
        <v>2034</v>
      </c>
      <c r="C2286" s="213" t="s">
        <v>5441</v>
      </c>
      <c r="D2286" s="239">
        <v>7.6919710623237223E-3</v>
      </c>
      <c r="E2286" s="226">
        <v>4.3081443869350297E-2</v>
      </c>
      <c r="F2286" s="226">
        <v>9.4339771167504822E-4</v>
      </c>
      <c r="G2286" s="227">
        <v>8.6833694409963467E-4</v>
      </c>
      <c r="H2286" s="226">
        <v>2.0000005732018805E-3</v>
      </c>
      <c r="I2286" s="255">
        <v>3.2055129315895106E-3</v>
      </c>
      <c r="J2286" s="256">
        <v>2.3549896933013871E-5</v>
      </c>
      <c r="K2286" s="257">
        <v>2.4614718771204836E-5</v>
      </c>
      <c r="L2286" s="228">
        <v>3.2371056269100133E-2</v>
      </c>
    </row>
    <row r="2287" spans="1:12" s="212" customFormat="1" ht="15.5" x14ac:dyDescent="0.35">
      <c r="A2287" s="198" t="s">
        <v>797</v>
      </c>
      <c r="B2287" s="197">
        <v>2035</v>
      </c>
      <c r="C2287" s="213" t="s">
        <v>5442</v>
      </c>
      <c r="D2287" s="239">
        <v>7.0999719701988527E-3</v>
      </c>
      <c r="E2287" s="226">
        <v>4.0328421076249218E-2</v>
      </c>
      <c r="F2287" s="226">
        <v>8.8604850285221067E-4</v>
      </c>
      <c r="G2287" s="227">
        <v>8.1552035501819184E-4</v>
      </c>
      <c r="H2287" s="226">
        <v>2.0000005732018805E-3</v>
      </c>
      <c r="I2287" s="255">
        <v>3.2025737209245525E-3</v>
      </c>
      <c r="J2287" s="256">
        <v>2.133988310390652E-5</v>
      </c>
      <c r="K2287" s="257">
        <v>2.2304777923536378E-5</v>
      </c>
      <c r="L2287" s="228">
        <v>3.2005666359259874E-2</v>
      </c>
    </row>
    <row r="2288" spans="1:12" s="212" customFormat="1" ht="15.5" x14ac:dyDescent="0.35">
      <c r="A2288" s="198" t="s">
        <v>797</v>
      </c>
      <c r="B2288" s="197">
        <v>2036</v>
      </c>
      <c r="C2288" s="213" t="s">
        <v>5443</v>
      </c>
      <c r="D2288" s="239">
        <v>6.6001048225938254E-3</v>
      </c>
      <c r="E2288" s="226">
        <v>3.7995804145863517E-2</v>
      </c>
      <c r="F2288" s="226">
        <v>8.3819430399422953E-4</v>
      </c>
      <c r="G2288" s="227">
        <v>7.7144005020686078E-4</v>
      </c>
      <c r="H2288" s="226">
        <v>2.0000005732018762E-3</v>
      </c>
      <c r="I2288" s="255">
        <v>3.2066065709819651E-3</v>
      </c>
      <c r="J2288" s="256">
        <v>1.9283171484461432E-5</v>
      </c>
      <c r="K2288" s="257">
        <v>2.0155070931182625E-5</v>
      </c>
      <c r="L2288" s="228">
        <v>3.1669558759320524E-2</v>
      </c>
    </row>
    <row r="2289" spans="1:12" s="212" customFormat="1" ht="15.5" x14ac:dyDescent="0.35">
      <c r="A2289" s="198" t="s">
        <v>797</v>
      </c>
      <c r="B2289" s="197">
        <v>2037</v>
      </c>
      <c r="C2289" s="213" t="s">
        <v>5444</v>
      </c>
      <c r="D2289" s="239">
        <v>6.1438218755381375E-3</v>
      </c>
      <c r="E2289" s="226">
        <v>3.5908899840333415E-2</v>
      </c>
      <c r="F2289" s="226">
        <v>7.9354866774886709E-4</v>
      </c>
      <c r="G2289" s="227">
        <v>7.3030940487439633E-4</v>
      </c>
      <c r="H2289" s="226">
        <v>2.0000005732018771E-3</v>
      </c>
      <c r="I2289" s="255">
        <v>3.204105904802921E-3</v>
      </c>
      <c r="J2289" s="256">
        <v>1.7213745028155017E-5</v>
      </c>
      <c r="K2289" s="257">
        <v>1.7992074193465932E-5</v>
      </c>
      <c r="L2289" s="228">
        <v>3.1388424421192308E-2</v>
      </c>
    </row>
    <row r="2290" spans="1:12" s="212" customFormat="1" ht="15.5" x14ac:dyDescent="0.35">
      <c r="A2290" s="198" t="s">
        <v>797</v>
      </c>
      <c r="B2290" s="197">
        <v>2038</v>
      </c>
      <c r="C2290" s="213" t="s">
        <v>5445</v>
      </c>
      <c r="D2290" s="239">
        <v>5.740704943534969E-3</v>
      </c>
      <c r="E2290" s="226">
        <v>3.4057976450346965E-2</v>
      </c>
      <c r="F2290" s="226">
        <v>7.5371741928339543E-4</v>
      </c>
      <c r="G2290" s="227">
        <v>6.9363033240760555E-4</v>
      </c>
      <c r="H2290" s="226">
        <v>2.0000005732018797E-3</v>
      </c>
      <c r="I2290" s="255">
        <v>3.2018086731157949E-3</v>
      </c>
      <c r="J2290" s="256">
        <v>1.5783927848141375E-5</v>
      </c>
      <c r="K2290" s="257">
        <v>1.649760702529184E-5</v>
      </c>
      <c r="L2290" s="228">
        <v>3.1200614791351403E-2</v>
      </c>
    </row>
    <row r="2291" spans="1:12" s="212" customFormat="1" ht="15.5" x14ac:dyDescent="0.35">
      <c r="A2291" s="198" t="s">
        <v>797</v>
      </c>
      <c r="B2291" s="197">
        <v>2039</v>
      </c>
      <c r="C2291" s="213" t="s">
        <v>5446</v>
      </c>
      <c r="D2291" s="239">
        <v>5.3350242615165756E-3</v>
      </c>
      <c r="E2291" s="226">
        <v>3.2236190108747925E-2</v>
      </c>
      <c r="F2291" s="226">
        <v>7.1704651630366426E-4</v>
      </c>
      <c r="G2291" s="227">
        <v>6.5985813205180919E-4</v>
      </c>
      <c r="H2291" s="226">
        <v>2.0000005732018779E-3</v>
      </c>
      <c r="I2291" s="255">
        <v>3.1996714142792219E-3</v>
      </c>
      <c r="J2291" s="256">
        <v>1.4381087475804976E-5</v>
      </c>
      <c r="K2291" s="257">
        <v>1.5031336436330354E-5</v>
      </c>
      <c r="L2291" s="228">
        <v>3.0989862410734956E-2</v>
      </c>
    </row>
    <row r="2292" spans="1:12" s="212" customFormat="1" ht="15.5" x14ac:dyDescent="0.35">
      <c r="A2292" s="198" t="s">
        <v>797</v>
      </c>
      <c r="B2292" s="197">
        <v>2040</v>
      </c>
      <c r="C2292" s="213" t="s">
        <v>5447</v>
      </c>
      <c r="D2292" s="239">
        <v>4.9888862533446921E-3</v>
      </c>
      <c r="E2292" s="226">
        <v>3.0716451063352419E-2</v>
      </c>
      <c r="F2292" s="226">
        <v>6.8456452815114817E-4</v>
      </c>
      <c r="G2292" s="227">
        <v>6.2995010193384992E-4</v>
      </c>
      <c r="H2292" s="226">
        <v>2.0000005732018805E-3</v>
      </c>
      <c r="I2292" s="255">
        <v>3.1977529315836118E-3</v>
      </c>
      <c r="J2292" s="256">
        <v>1.3302085617797898E-5</v>
      </c>
      <c r="K2292" s="257">
        <v>1.3903546902304001E-5</v>
      </c>
      <c r="L2292" s="228">
        <v>3.0810053226221667E-2</v>
      </c>
    </row>
    <row r="2293" spans="1:12" s="212" customFormat="1" ht="15.5" x14ac:dyDescent="0.35">
      <c r="A2293" s="198" t="s">
        <v>797</v>
      </c>
      <c r="B2293" s="197">
        <v>2041</v>
      </c>
      <c r="C2293" s="213" t="s">
        <v>5448</v>
      </c>
      <c r="D2293" s="239">
        <v>4.7317642240406752E-3</v>
      </c>
      <c r="E2293" s="226">
        <v>2.9475523770850567E-2</v>
      </c>
      <c r="F2293" s="226">
        <v>6.5998999727100497E-4</v>
      </c>
      <c r="G2293" s="227">
        <v>6.0731791600125446E-4</v>
      </c>
      <c r="H2293" s="226">
        <v>2.0000005732018766E-3</v>
      </c>
      <c r="I2293" s="255">
        <v>3.1960575214409225E-3</v>
      </c>
      <c r="J2293" s="256">
        <v>1.2357291254173471E-5</v>
      </c>
      <c r="K2293" s="257">
        <v>1.2916033130019378E-5</v>
      </c>
      <c r="L2293" s="228">
        <v>3.065890537417873E-2</v>
      </c>
    </row>
    <row r="2294" spans="1:12" s="212" customFormat="1" ht="15.5" x14ac:dyDescent="0.35">
      <c r="A2294" s="198" t="s">
        <v>797</v>
      </c>
      <c r="B2294" s="197">
        <v>2042</v>
      </c>
      <c r="C2294" s="213" t="s">
        <v>5449</v>
      </c>
      <c r="D2294" s="239">
        <v>4.4973345079442175E-3</v>
      </c>
      <c r="E2294" s="226">
        <v>2.8277295345792808E-2</v>
      </c>
      <c r="F2294" s="226">
        <v>6.3830726225767745E-4</v>
      </c>
      <c r="G2294" s="227">
        <v>5.8735131814973492E-4</v>
      </c>
      <c r="H2294" s="226">
        <v>2.0000005732018784E-3</v>
      </c>
      <c r="I2294" s="255">
        <v>3.1944772428659971E-3</v>
      </c>
      <c r="J2294" s="256">
        <v>1.1584160973233112E-5</v>
      </c>
      <c r="K2294" s="257">
        <v>1.2107945328489705E-5</v>
      </c>
      <c r="L2294" s="228">
        <v>3.053006805417937E-2</v>
      </c>
    </row>
    <row r="2295" spans="1:12" s="212" customFormat="1" ht="15.5" x14ac:dyDescent="0.35">
      <c r="A2295" s="198" t="s">
        <v>797</v>
      </c>
      <c r="B2295" s="197">
        <v>2043</v>
      </c>
      <c r="C2295" s="213" t="s">
        <v>5450</v>
      </c>
      <c r="D2295" s="239">
        <v>4.3139806677848745E-3</v>
      </c>
      <c r="E2295" s="226">
        <v>2.7247666262101563E-2</v>
      </c>
      <c r="F2295" s="226">
        <v>6.1931292973815117E-4</v>
      </c>
      <c r="G2295" s="227">
        <v>5.6985927237795876E-4</v>
      </c>
      <c r="H2295" s="226">
        <v>2.0000005732018797E-3</v>
      </c>
      <c r="I2295" s="255">
        <v>3.1930159681659489E-3</v>
      </c>
      <c r="J2295" s="256">
        <v>1.0879434865045185E-5</v>
      </c>
      <c r="K2295" s="257">
        <v>1.1371354632865327E-5</v>
      </c>
      <c r="L2295" s="228">
        <v>3.0421829551998306E-2</v>
      </c>
    </row>
    <row r="2296" spans="1:12" s="212" customFormat="1" ht="15.5" x14ac:dyDescent="0.35">
      <c r="A2296" s="198" t="s">
        <v>797</v>
      </c>
      <c r="B2296" s="197">
        <v>2044</v>
      </c>
      <c r="C2296" s="213" t="s">
        <v>5451</v>
      </c>
      <c r="D2296" s="239">
        <v>4.1585202540231582E-3</v>
      </c>
      <c r="E2296" s="226">
        <v>2.621790381409753E-2</v>
      </c>
      <c r="F2296" s="226">
        <v>6.0253499042292841E-4</v>
      </c>
      <c r="G2296" s="227">
        <v>5.5441039867321095E-4</v>
      </c>
      <c r="H2296" s="226">
        <v>2.0000005732018805E-3</v>
      </c>
      <c r="I2296" s="255">
        <v>3.1916348882545741E-3</v>
      </c>
      <c r="J2296" s="256">
        <v>1.0310230821101918E-5</v>
      </c>
      <c r="K2296" s="257">
        <v>1.0776413707860448E-5</v>
      </c>
      <c r="L2296" s="228">
        <v>3.0329921048452627E-2</v>
      </c>
    </row>
    <row r="2297" spans="1:12" s="212" customFormat="1" ht="15.5" x14ac:dyDescent="0.35">
      <c r="A2297" s="198" t="s">
        <v>797</v>
      </c>
      <c r="B2297" s="197">
        <v>2045</v>
      </c>
      <c r="C2297" s="213" t="s">
        <v>5452</v>
      </c>
      <c r="D2297" s="239">
        <v>4.0426241243975477E-3</v>
      </c>
      <c r="E2297" s="226">
        <v>2.5293127201759243E-2</v>
      </c>
      <c r="F2297" s="226">
        <v>5.8792919589631865E-4</v>
      </c>
      <c r="G2297" s="227">
        <v>5.4096264930687474E-4</v>
      </c>
      <c r="H2297" s="226">
        <v>2.0000005732018801E-3</v>
      </c>
      <c r="I2297" s="255">
        <v>3.190411266796572E-3</v>
      </c>
      <c r="J2297" s="256">
        <v>9.8415682650229736E-6</v>
      </c>
      <c r="K2297" s="257">
        <v>1.0286560310654942E-5</v>
      </c>
      <c r="L2297" s="228">
        <v>3.0249604868869455E-2</v>
      </c>
    </row>
    <row r="2298" spans="1:12" s="212" customFormat="1" ht="15.5" x14ac:dyDescent="0.35">
      <c r="A2298" s="198" t="s">
        <v>797</v>
      </c>
      <c r="B2298" s="197">
        <v>2046</v>
      </c>
      <c r="C2298" s="213" t="s">
        <v>5453</v>
      </c>
      <c r="D2298" s="239">
        <v>3.932437779970226E-3</v>
      </c>
      <c r="E2298" s="226">
        <v>2.4403618262987464E-2</v>
      </c>
      <c r="F2298" s="226">
        <v>5.7521010082877105E-4</v>
      </c>
      <c r="G2298" s="227">
        <v>5.2925317940575841E-4</v>
      </c>
      <c r="H2298" s="226">
        <v>2.0000005732018801E-3</v>
      </c>
      <c r="I2298" s="255">
        <v>3.189276544485017E-3</v>
      </c>
      <c r="J2298" s="256">
        <v>9.4634779819624316E-6</v>
      </c>
      <c r="K2298" s="257">
        <v>9.8913744627451448E-6</v>
      </c>
      <c r="L2298" s="228">
        <v>3.0180853997134847E-2</v>
      </c>
    </row>
    <row r="2299" spans="1:12" s="212" customFormat="1" ht="15.5" x14ac:dyDescent="0.35">
      <c r="A2299" s="198" t="s">
        <v>797</v>
      </c>
      <c r="B2299" s="197">
        <v>2047</v>
      </c>
      <c r="C2299" s="213" t="s">
        <v>5454</v>
      </c>
      <c r="D2299" s="239">
        <v>3.8373187368825369E-3</v>
      </c>
      <c r="E2299" s="226">
        <v>2.3635684355725994E-2</v>
      </c>
      <c r="F2299" s="226">
        <v>5.6429522451725595E-4</v>
      </c>
      <c r="G2299" s="227">
        <v>5.1920378554375123E-4</v>
      </c>
      <c r="H2299" s="226">
        <v>2.0000005732018753E-3</v>
      </c>
      <c r="I2299" s="255">
        <v>3.188252235009118E-3</v>
      </c>
      <c r="J2299" s="256">
        <v>9.115249245495196E-6</v>
      </c>
      <c r="K2299" s="257">
        <v>9.5274003680570249E-6</v>
      </c>
      <c r="L2299" s="228">
        <v>3.0122117731912035E-2</v>
      </c>
    </row>
    <row r="2300" spans="1:12" s="212" customFormat="1" ht="15.5" x14ac:dyDescent="0.35">
      <c r="A2300" s="198" t="s">
        <v>797</v>
      </c>
      <c r="B2300" s="197">
        <v>2048</v>
      </c>
      <c r="C2300" s="213" t="s">
        <v>5455</v>
      </c>
      <c r="D2300" s="239">
        <v>3.7589560111505231E-3</v>
      </c>
      <c r="E2300" s="226">
        <v>2.3008027004143009E-2</v>
      </c>
      <c r="F2300" s="226">
        <v>5.5483393520299623E-4</v>
      </c>
      <c r="G2300" s="227">
        <v>5.1048938667734231E-4</v>
      </c>
      <c r="H2300" s="226">
        <v>2.0000005732018723E-3</v>
      </c>
      <c r="I2300" s="255">
        <v>3.1873173590454724E-3</v>
      </c>
      <c r="J2300" s="256">
        <v>8.7278911428961255E-6</v>
      </c>
      <c r="K2300" s="257">
        <v>9.122527650934537E-6</v>
      </c>
      <c r="L2300" s="228">
        <v>3.007089795007984E-2</v>
      </c>
    </row>
    <row r="2301" spans="1:12" s="212" customFormat="1" ht="15.5" x14ac:dyDescent="0.35">
      <c r="A2301" s="198" t="s">
        <v>797</v>
      </c>
      <c r="B2301" s="197">
        <v>2049</v>
      </c>
      <c r="C2301" s="213" t="s">
        <v>5456</v>
      </c>
      <c r="D2301" s="239">
        <v>3.7423675508149682E-3</v>
      </c>
      <c r="E2301" s="226">
        <v>2.2944855807623801E-2</v>
      </c>
      <c r="F2301" s="226">
        <v>5.491893963068137E-4</v>
      </c>
      <c r="G2301" s="227">
        <v>5.0529144944184046E-4</v>
      </c>
      <c r="H2301" s="226">
        <v>2.0000005732018797E-3</v>
      </c>
      <c r="I2301" s="255">
        <v>3.186428125641308E-3</v>
      </c>
      <c r="J2301" s="256">
        <v>8.5227708446894616E-6</v>
      </c>
      <c r="K2301" s="257">
        <v>8.90813272305082E-6</v>
      </c>
      <c r="L2301" s="228">
        <v>3.002763669044008E-2</v>
      </c>
    </row>
    <row r="2302" spans="1:12" s="212" customFormat="1" ht="15.5" x14ac:dyDescent="0.35">
      <c r="A2302" s="198" t="s">
        <v>797</v>
      </c>
      <c r="B2302" s="197">
        <v>2050</v>
      </c>
      <c r="C2302" s="213" t="s">
        <v>5457</v>
      </c>
      <c r="D2302" s="239">
        <v>3.7287874428694567E-3</v>
      </c>
      <c r="E2302" s="226">
        <v>2.2889983320768751E-2</v>
      </c>
      <c r="F2302" s="226">
        <v>5.4428905488527004E-4</v>
      </c>
      <c r="G2302" s="227">
        <v>5.0077163943483419E-4</v>
      </c>
      <c r="H2302" s="226">
        <v>2.0000005732018775E-3</v>
      </c>
      <c r="I2302" s="255">
        <v>3.1856377671038924E-3</v>
      </c>
      <c r="J2302" s="256">
        <v>8.1601960585922634E-6</v>
      </c>
      <c r="K2302" s="257">
        <v>8.5291639140280747E-6</v>
      </c>
      <c r="L2302" s="228">
        <v>2.9992493467174107E-2</v>
      </c>
    </row>
    <row r="2303" spans="1:12" s="212" customFormat="1" ht="15.5" x14ac:dyDescent="0.35">
      <c r="A2303" s="198" t="s">
        <v>799</v>
      </c>
      <c r="B2303" s="197">
        <v>2015</v>
      </c>
      <c r="C2303" s="213" t="s">
        <v>5458</v>
      </c>
      <c r="D2303" s="239">
        <v>6.8295132990051077E-2</v>
      </c>
      <c r="E2303" s="226">
        <v>0.31649177158131975</v>
      </c>
      <c r="F2303" s="226">
        <v>2.5041763370753532E-3</v>
      </c>
      <c r="G2303" s="227">
        <v>2.3189909344243798E-3</v>
      </c>
      <c r="H2303" s="226">
        <v>2.0000005732018801E-3</v>
      </c>
      <c r="I2303" s="255">
        <v>2.9274205740520251E-3</v>
      </c>
      <c r="J2303" s="256">
        <v>3.0716839855316386E-4</v>
      </c>
      <c r="K2303" s="257">
        <v>3.2105719049615626E-4</v>
      </c>
      <c r="L2303" s="228">
        <v>4.4880796675441099E-2</v>
      </c>
    </row>
    <row r="2304" spans="1:12" s="212" customFormat="1" ht="15.5" x14ac:dyDescent="0.35">
      <c r="A2304" s="198" t="s">
        <v>799</v>
      </c>
      <c r="B2304" s="197">
        <v>2016</v>
      </c>
      <c r="C2304" s="213" t="s">
        <v>5459</v>
      </c>
      <c r="D2304" s="239">
        <v>5.984868744322315E-2</v>
      </c>
      <c r="E2304" s="226">
        <v>0.2852478631537726</v>
      </c>
      <c r="F2304" s="226">
        <v>2.3661438979945271E-3</v>
      </c>
      <c r="G2304" s="227">
        <v>2.1888357717228866E-3</v>
      </c>
      <c r="H2304" s="226">
        <v>2.0000005732018797E-3</v>
      </c>
      <c r="I2304" s="255">
        <v>3.0146015371050384E-3</v>
      </c>
      <c r="J2304" s="256">
        <v>2.6176680696361743E-4</v>
      </c>
      <c r="K2304" s="257">
        <v>2.7360274040150954E-4</v>
      </c>
      <c r="L2304" s="228">
        <v>4.3838736537588449E-2</v>
      </c>
    </row>
    <row r="2305" spans="1:12" s="212" customFormat="1" ht="15.5" x14ac:dyDescent="0.35">
      <c r="A2305" s="198" t="s">
        <v>799</v>
      </c>
      <c r="B2305" s="197">
        <v>2017</v>
      </c>
      <c r="C2305" s="213" t="s">
        <v>5460</v>
      </c>
      <c r="D2305" s="239">
        <v>4.8638708961439237E-2</v>
      </c>
      <c r="E2305" s="226">
        <v>0.23978412610947253</v>
      </c>
      <c r="F2305" s="226">
        <v>2.1787112140502396E-3</v>
      </c>
      <c r="G2305" s="227">
        <v>2.0142946990447212E-3</v>
      </c>
      <c r="H2305" s="226">
        <v>2.0000005732018801E-3</v>
      </c>
      <c r="I2305" s="255">
        <v>3.0126135481907241E-3</v>
      </c>
      <c r="J2305" s="256">
        <v>2.3204280624125939E-4</v>
      </c>
      <c r="K2305" s="257">
        <v>2.4253475226478668E-4</v>
      </c>
      <c r="L2305" s="228">
        <v>4.3503774678225228E-2</v>
      </c>
    </row>
    <row r="2306" spans="1:12" s="212" customFormat="1" ht="15.5" x14ac:dyDescent="0.35">
      <c r="A2306" s="198" t="s">
        <v>799</v>
      </c>
      <c r="B2306" s="197">
        <v>2018</v>
      </c>
      <c r="C2306" s="213" t="s">
        <v>5461</v>
      </c>
      <c r="D2306" s="239">
        <v>4.0947477191370756E-2</v>
      </c>
      <c r="E2306" s="226">
        <v>0.20961988546727728</v>
      </c>
      <c r="F2306" s="226">
        <v>2.0765530235368665E-3</v>
      </c>
      <c r="G2306" s="227">
        <v>1.9183393542065504E-3</v>
      </c>
      <c r="H2306" s="226">
        <v>2.0000005732018805E-3</v>
      </c>
      <c r="I2306" s="255">
        <v>3.01163217599174E-3</v>
      </c>
      <c r="J2306" s="256">
        <v>2.0169015617363341E-4</v>
      </c>
      <c r="K2306" s="257">
        <v>2.1080969004899216E-4</v>
      </c>
      <c r="L2306" s="228">
        <v>4.2955962806340731E-2</v>
      </c>
    </row>
    <row r="2307" spans="1:12" s="212" customFormat="1" ht="15.5" x14ac:dyDescent="0.35">
      <c r="A2307" s="198" t="s">
        <v>799</v>
      </c>
      <c r="B2307" s="197">
        <v>2019</v>
      </c>
      <c r="C2307" s="213" t="s">
        <v>5462</v>
      </c>
      <c r="D2307" s="239">
        <v>3.3683151743782391E-2</v>
      </c>
      <c r="E2307" s="226">
        <v>0.17570417776401498</v>
      </c>
      <c r="F2307" s="226">
        <v>1.980787695355638E-3</v>
      </c>
      <c r="G2307" s="227">
        <v>1.8280488558068892E-3</v>
      </c>
      <c r="H2307" s="226">
        <v>2.0000005732018801E-3</v>
      </c>
      <c r="I2307" s="255">
        <v>3.0127277009129733E-3</v>
      </c>
      <c r="J2307" s="256">
        <v>1.6149124458987766E-4</v>
      </c>
      <c r="K2307" s="257">
        <v>1.6879316206344744E-4</v>
      </c>
      <c r="L2307" s="228">
        <v>4.2399022555575275E-2</v>
      </c>
    </row>
    <row r="2308" spans="1:12" s="212" customFormat="1" ht="15.5" x14ac:dyDescent="0.35">
      <c r="A2308" s="198" t="s">
        <v>799</v>
      </c>
      <c r="B2308" s="197">
        <v>2020</v>
      </c>
      <c r="C2308" s="213" t="s">
        <v>5463</v>
      </c>
      <c r="D2308" s="239">
        <v>2.9550446981038279E-2</v>
      </c>
      <c r="E2308" s="226">
        <v>0.15694677683558564</v>
      </c>
      <c r="F2308" s="226">
        <v>1.9193928212266258E-3</v>
      </c>
      <c r="G2308" s="227">
        <v>1.7709957824553072E-3</v>
      </c>
      <c r="H2308" s="226">
        <v>2.0000005732018801E-3</v>
      </c>
      <c r="I2308" s="255">
        <v>3.0211943167370017E-3</v>
      </c>
      <c r="J2308" s="256">
        <v>1.5072954719427915E-4</v>
      </c>
      <c r="K2308" s="257">
        <v>1.5754486846594474E-4</v>
      </c>
      <c r="L2308" s="228">
        <v>4.2128081282708986E-2</v>
      </c>
    </row>
    <row r="2309" spans="1:12" s="212" customFormat="1" ht="15.5" x14ac:dyDescent="0.35">
      <c r="A2309" s="198" t="s">
        <v>799</v>
      </c>
      <c r="B2309" s="197">
        <v>2021</v>
      </c>
      <c r="C2309" s="213" t="s">
        <v>5464</v>
      </c>
      <c r="D2309" s="239">
        <v>2.604757281518514E-2</v>
      </c>
      <c r="E2309" s="226">
        <v>0.13941067583100353</v>
      </c>
      <c r="F2309" s="226">
        <v>1.8370003382271716E-3</v>
      </c>
      <c r="G2309" s="227">
        <v>1.6947364944982749E-3</v>
      </c>
      <c r="H2309" s="226">
        <v>2.0000005732018779E-3</v>
      </c>
      <c r="I2309" s="255">
        <v>3.0241820713165835E-3</v>
      </c>
      <c r="J2309" s="256">
        <v>1.3993231214615742E-4</v>
      </c>
      <c r="K2309" s="257">
        <v>1.4625943036096785E-4</v>
      </c>
      <c r="L2309" s="228">
        <v>4.1360309772434781E-2</v>
      </c>
    </row>
    <row r="2310" spans="1:12" s="212" customFormat="1" ht="15.5" x14ac:dyDescent="0.35">
      <c r="A2310" s="198" t="s">
        <v>799</v>
      </c>
      <c r="B2310" s="197">
        <v>2022</v>
      </c>
      <c r="C2310" s="213" t="s">
        <v>5465</v>
      </c>
      <c r="D2310" s="239">
        <v>2.2500428850431627E-2</v>
      </c>
      <c r="E2310" s="226">
        <v>0.12272681920915565</v>
      </c>
      <c r="F2310" s="226">
        <v>1.7485618296559254E-3</v>
      </c>
      <c r="G2310" s="227">
        <v>1.6127777960359909E-3</v>
      </c>
      <c r="H2310" s="226">
        <v>2.0000005732018805E-3</v>
      </c>
      <c r="I2310" s="255">
        <v>3.0243090339653867E-3</v>
      </c>
      <c r="J2310" s="256">
        <v>1.2748301771608219E-4</v>
      </c>
      <c r="K2310" s="257">
        <v>1.3324723407969049E-4</v>
      </c>
      <c r="L2310" s="228">
        <v>4.0641636635359087E-2</v>
      </c>
    </row>
    <row r="2311" spans="1:12" s="212" customFormat="1" ht="15.5" x14ac:dyDescent="0.35">
      <c r="A2311" s="198" t="s">
        <v>799</v>
      </c>
      <c r="B2311" s="197">
        <v>2023</v>
      </c>
      <c r="C2311" s="213" t="s">
        <v>5466</v>
      </c>
      <c r="D2311" s="239">
        <v>1.97993811581877E-2</v>
      </c>
      <c r="E2311" s="226">
        <v>0.10840985970964748</v>
      </c>
      <c r="F2311" s="226">
        <v>1.6673505350271363E-3</v>
      </c>
      <c r="G2311" s="227">
        <v>1.537599898961706E-3</v>
      </c>
      <c r="H2311" s="226">
        <v>2.0000005732018805E-3</v>
      </c>
      <c r="I2311" s="255">
        <v>3.0240599808724999E-3</v>
      </c>
      <c r="J2311" s="256">
        <v>1.1524455901730027E-4</v>
      </c>
      <c r="K2311" s="257">
        <v>1.2045540658590584E-4</v>
      </c>
      <c r="L2311" s="228">
        <v>3.9862642066517864E-2</v>
      </c>
    </row>
    <row r="2312" spans="1:12" s="212" customFormat="1" ht="15.5" x14ac:dyDescent="0.35">
      <c r="A2312" s="198" t="s">
        <v>799</v>
      </c>
      <c r="B2312" s="197">
        <v>2024</v>
      </c>
      <c r="C2312" s="213" t="s">
        <v>5467</v>
      </c>
      <c r="D2312" s="239">
        <v>1.7448025212663355E-2</v>
      </c>
      <c r="E2312" s="226">
        <v>9.595316672329246E-2</v>
      </c>
      <c r="F2312" s="226">
        <v>1.5893274507642447E-3</v>
      </c>
      <c r="G2312" s="227">
        <v>1.4652533212503559E-3</v>
      </c>
      <c r="H2312" s="226">
        <v>2.0000005732018801E-3</v>
      </c>
      <c r="I2312" s="255">
        <v>3.0237862853754217E-3</v>
      </c>
      <c r="J2312" s="256">
        <v>1.0049931361129736E-4</v>
      </c>
      <c r="K2312" s="257">
        <v>1.0504344661370091E-4</v>
      </c>
      <c r="L2312" s="228">
        <v>3.9027473409288777E-2</v>
      </c>
    </row>
    <row r="2313" spans="1:12" s="212" customFormat="1" ht="15.5" x14ac:dyDescent="0.35">
      <c r="A2313" s="198" t="s">
        <v>799</v>
      </c>
      <c r="B2313" s="197">
        <v>2025</v>
      </c>
      <c r="C2313" s="213" t="s">
        <v>5468</v>
      </c>
      <c r="D2313" s="239">
        <v>1.5517626898514048E-2</v>
      </c>
      <c r="E2313" s="226">
        <v>8.5492036425353329E-2</v>
      </c>
      <c r="F2313" s="226">
        <v>1.5251318941439437E-3</v>
      </c>
      <c r="G2313" s="227">
        <v>1.4057856344970858E-3</v>
      </c>
      <c r="H2313" s="226">
        <v>2.0000005732018801E-3</v>
      </c>
      <c r="I2313" s="255">
        <v>3.0235080170111631E-3</v>
      </c>
      <c r="J2313" s="256">
        <v>8.9369411451152355E-5</v>
      </c>
      <c r="K2313" s="257">
        <v>9.3410299666083616E-5</v>
      </c>
      <c r="L2313" s="228">
        <v>3.8203626000912684E-2</v>
      </c>
    </row>
    <row r="2314" spans="1:12" s="212" customFormat="1" ht="15.5" x14ac:dyDescent="0.35">
      <c r="A2314" s="198" t="s">
        <v>799</v>
      </c>
      <c r="B2314" s="197">
        <v>2026</v>
      </c>
      <c r="C2314" s="213" t="s">
        <v>5469</v>
      </c>
      <c r="D2314" s="239">
        <v>1.389247438116631E-2</v>
      </c>
      <c r="E2314" s="226">
        <v>7.6652211572077536E-2</v>
      </c>
      <c r="F2314" s="226">
        <v>1.4588925425906738E-3</v>
      </c>
      <c r="G2314" s="227">
        <v>1.3443506650616078E-3</v>
      </c>
      <c r="H2314" s="226">
        <v>2.0000005732018805E-3</v>
      </c>
      <c r="I2314" s="255">
        <v>3.0231688961179413E-3</v>
      </c>
      <c r="J2314" s="256">
        <v>7.5778935578465684E-5</v>
      </c>
      <c r="K2314" s="257">
        <v>7.920532278127748E-5</v>
      </c>
      <c r="L2314" s="228">
        <v>3.741434656219074E-2</v>
      </c>
    </row>
    <row r="2315" spans="1:12" s="212" customFormat="1" ht="15.5" x14ac:dyDescent="0.35">
      <c r="A2315" s="198" t="s">
        <v>799</v>
      </c>
      <c r="B2315" s="197">
        <v>2027</v>
      </c>
      <c r="C2315" s="213" t="s">
        <v>5470</v>
      </c>
      <c r="D2315" s="239">
        <v>1.2512567301826885E-2</v>
      </c>
      <c r="E2315" s="226">
        <v>6.9089624531504107E-2</v>
      </c>
      <c r="F2315" s="226">
        <v>1.3856467549300479E-3</v>
      </c>
      <c r="G2315" s="227">
        <v>1.2764354457782134E-3</v>
      </c>
      <c r="H2315" s="226">
        <v>2.0000005732018801E-3</v>
      </c>
      <c r="I2315" s="255">
        <v>3.0224594950465596E-3</v>
      </c>
      <c r="J2315" s="256">
        <v>6.1196788943315667E-5</v>
      </c>
      <c r="K2315" s="257">
        <v>6.3963836182603516E-5</v>
      </c>
      <c r="L2315" s="228">
        <v>3.6710020637451136E-2</v>
      </c>
    </row>
    <row r="2316" spans="1:12" s="212" customFormat="1" ht="15.5" x14ac:dyDescent="0.35">
      <c r="A2316" s="198" t="s">
        <v>799</v>
      </c>
      <c r="B2316" s="197">
        <v>2028</v>
      </c>
      <c r="C2316" s="213" t="s">
        <v>5471</v>
      </c>
      <c r="D2316" s="239">
        <v>1.1343023090831402E-2</v>
      </c>
      <c r="E2316" s="226">
        <v>6.2665986870602791E-2</v>
      </c>
      <c r="F2316" s="226">
        <v>1.3062535950665586E-3</v>
      </c>
      <c r="G2316" s="227">
        <v>1.2028915294615993E-3</v>
      </c>
      <c r="H2316" s="226">
        <v>2.0000005732018801E-3</v>
      </c>
      <c r="I2316" s="255">
        <v>3.0218307001594396E-3</v>
      </c>
      <c r="J2316" s="256">
        <v>4.7213311491025414E-5</v>
      </c>
      <c r="K2316" s="257">
        <v>4.9348087930682628E-5</v>
      </c>
      <c r="L2316" s="228">
        <v>3.6059640169701958E-2</v>
      </c>
    </row>
    <row r="2317" spans="1:12" s="212" customFormat="1" ht="15.5" x14ac:dyDescent="0.35">
      <c r="A2317" s="198" t="s">
        <v>799</v>
      </c>
      <c r="B2317" s="197">
        <v>2029</v>
      </c>
      <c r="C2317" s="213" t="s">
        <v>5472</v>
      </c>
      <c r="D2317" s="239">
        <v>1.0318403653266951E-2</v>
      </c>
      <c r="E2317" s="226">
        <v>5.7127443845363175E-2</v>
      </c>
      <c r="F2317" s="226">
        <v>1.2311539351904141E-3</v>
      </c>
      <c r="G2317" s="227">
        <v>1.1334855578119232E-3</v>
      </c>
      <c r="H2317" s="226">
        <v>2.0000005732018805E-3</v>
      </c>
      <c r="I2317" s="255">
        <v>3.021074943052511E-3</v>
      </c>
      <c r="J2317" s="256">
        <v>3.8112172113532435E-5</v>
      </c>
      <c r="K2317" s="257">
        <v>3.9835435416247275E-5</v>
      </c>
      <c r="L2317" s="228">
        <v>3.5471309772603044E-2</v>
      </c>
    </row>
    <row r="2318" spans="1:12" s="212" customFormat="1" ht="15.5" x14ac:dyDescent="0.35">
      <c r="A2318" s="198" t="s">
        <v>799</v>
      </c>
      <c r="B2318" s="197">
        <v>2030</v>
      </c>
      <c r="C2318" s="213" t="s">
        <v>5473</v>
      </c>
      <c r="D2318" s="239">
        <v>9.4581574465194811E-3</v>
      </c>
      <c r="E2318" s="226">
        <v>5.2453038991683243E-2</v>
      </c>
      <c r="F2318" s="226">
        <v>1.1593970419122249E-3</v>
      </c>
      <c r="G2318" s="227">
        <v>1.0672242784212282E-3</v>
      </c>
      <c r="H2318" s="226">
        <v>2.0000005732018805E-3</v>
      </c>
      <c r="I2318" s="255">
        <v>3.0203951168577838E-3</v>
      </c>
      <c r="J2318" s="256">
        <v>3.0836918744955955E-5</v>
      </c>
      <c r="K2318" s="257">
        <v>3.2231227373802488E-5</v>
      </c>
      <c r="L2318" s="228">
        <v>3.4940377823178798E-2</v>
      </c>
    </row>
    <row r="2319" spans="1:12" s="212" customFormat="1" ht="15.5" x14ac:dyDescent="0.35">
      <c r="A2319" s="198" t="s">
        <v>799</v>
      </c>
      <c r="B2319" s="197">
        <v>2031</v>
      </c>
      <c r="C2319" s="213" t="s">
        <v>5474</v>
      </c>
      <c r="D2319" s="239">
        <v>8.6974753182147754E-3</v>
      </c>
      <c r="E2319" s="226">
        <v>4.8363637278567913E-2</v>
      </c>
      <c r="F2319" s="226">
        <v>1.0925532936012271E-3</v>
      </c>
      <c r="G2319" s="227">
        <v>1.0056250924512461E-3</v>
      </c>
      <c r="H2319" s="226">
        <v>2.0000005732018801E-3</v>
      </c>
      <c r="I2319" s="255">
        <v>3.0195674144122635E-3</v>
      </c>
      <c r="J2319" s="256">
        <v>2.7273865572400726E-5</v>
      </c>
      <c r="K2319" s="257">
        <v>2.8507068747598651E-5</v>
      </c>
      <c r="L2319" s="228">
        <v>3.4460790160213424E-2</v>
      </c>
    </row>
    <row r="2320" spans="1:12" s="212" customFormat="1" ht="15.5" x14ac:dyDescent="0.35">
      <c r="A2320" s="198" t="s">
        <v>799</v>
      </c>
      <c r="B2320" s="197">
        <v>2032</v>
      </c>
      <c r="C2320" s="213" t="s">
        <v>5475</v>
      </c>
      <c r="D2320" s="239">
        <v>8.0397505016719488E-3</v>
      </c>
      <c r="E2320" s="226">
        <v>4.4900427655705573E-2</v>
      </c>
      <c r="F2320" s="226">
        <v>1.0282093838265827E-3</v>
      </c>
      <c r="G2320" s="227">
        <v>9.4630907936761046E-4</v>
      </c>
      <c r="H2320" s="226">
        <v>2.0000005732018801E-3</v>
      </c>
      <c r="I2320" s="255">
        <v>3.0185675620587544E-3</v>
      </c>
      <c r="J2320" s="256">
        <v>2.3317197373039608E-5</v>
      </c>
      <c r="K2320" s="257">
        <v>2.4371497569717525E-5</v>
      </c>
      <c r="L2320" s="228">
        <v>3.4028393716108565E-2</v>
      </c>
    </row>
    <row r="2321" spans="1:12" s="212" customFormat="1" ht="15.5" x14ac:dyDescent="0.35">
      <c r="A2321" s="198" t="s">
        <v>799</v>
      </c>
      <c r="B2321" s="197">
        <v>2033</v>
      </c>
      <c r="C2321" s="213" t="s">
        <v>5476</v>
      </c>
      <c r="D2321" s="239">
        <v>7.4652471427077106E-3</v>
      </c>
      <c r="E2321" s="226">
        <v>4.194048419719118E-2</v>
      </c>
      <c r="F2321" s="226">
        <v>9.6821472469961077E-4</v>
      </c>
      <c r="G2321" s="227">
        <v>8.9105373721941566E-4</v>
      </c>
      <c r="H2321" s="226">
        <v>2.0000005732018797E-3</v>
      </c>
      <c r="I2321" s="255">
        <v>3.0174849954991267E-3</v>
      </c>
      <c r="J2321" s="256">
        <v>2.0943972707080307E-5</v>
      </c>
      <c r="K2321" s="257">
        <v>2.1890966215392054E-5</v>
      </c>
      <c r="L2321" s="228">
        <v>3.3635037962123408E-2</v>
      </c>
    </row>
    <row r="2322" spans="1:12" s="212" customFormat="1" ht="15.5" x14ac:dyDescent="0.35">
      <c r="A2322" s="198" t="s">
        <v>799</v>
      </c>
      <c r="B2322" s="197">
        <v>2034</v>
      </c>
      <c r="C2322" s="213" t="s">
        <v>5477</v>
      </c>
      <c r="D2322" s="239">
        <v>6.9317896062493917E-3</v>
      </c>
      <c r="E2322" s="226">
        <v>3.9326529056086447E-2</v>
      </c>
      <c r="F2322" s="226">
        <v>9.102504928058734E-4</v>
      </c>
      <c r="G2322" s="227">
        <v>8.3767658859393356E-4</v>
      </c>
      <c r="H2322" s="226">
        <v>2.0000005732018797E-3</v>
      </c>
      <c r="I2322" s="255">
        <v>3.0161334036936322E-3</v>
      </c>
      <c r="J2322" s="256">
        <v>1.8860527254666585E-5</v>
      </c>
      <c r="K2322" s="257">
        <v>1.9713316604772444E-5</v>
      </c>
      <c r="L2322" s="228">
        <v>3.3287004402358204E-2</v>
      </c>
    </row>
    <row r="2323" spans="1:12" s="212" customFormat="1" ht="15.5" x14ac:dyDescent="0.35">
      <c r="A2323" s="198" t="s">
        <v>799</v>
      </c>
      <c r="B2323" s="197">
        <v>2035</v>
      </c>
      <c r="C2323" s="213" t="s">
        <v>5478</v>
      </c>
      <c r="D2323" s="239">
        <v>6.4499299213002115E-3</v>
      </c>
      <c r="E2323" s="226">
        <v>3.7071539080677118E-2</v>
      </c>
      <c r="F2323" s="226">
        <v>8.5526918141973489E-4</v>
      </c>
      <c r="G2323" s="227">
        <v>7.8704713029060407E-4</v>
      </c>
      <c r="H2323" s="226">
        <v>2.0000005732018801E-3</v>
      </c>
      <c r="I2323" s="255">
        <v>3.014752430489914E-3</v>
      </c>
      <c r="J2323" s="256">
        <v>1.6905538021241811E-5</v>
      </c>
      <c r="K2323" s="257">
        <v>1.7669931433348439E-5</v>
      </c>
      <c r="L2323" s="228">
        <v>3.2978748306858797E-2</v>
      </c>
    </row>
    <row r="2324" spans="1:12" s="212" customFormat="1" ht="15.5" x14ac:dyDescent="0.35">
      <c r="A2324" s="198" t="s">
        <v>799</v>
      </c>
      <c r="B2324" s="197">
        <v>2036</v>
      </c>
      <c r="C2324" s="213" t="s">
        <v>5479</v>
      </c>
      <c r="D2324" s="239">
        <v>6.0158775914043025E-3</v>
      </c>
      <c r="E2324" s="226">
        <v>3.5088750533227901E-2</v>
      </c>
      <c r="F2324" s="226">
        <v>8.0704865269903034E-4</v>
      </c>
      <c r="G2324" s="227">
        <v>7.426405950650332E-4</v>
      </c>
      <c r="H2324" s="226">
        <v>2.0000005732018797E-3</v>
      </c>
      <c r="I2324" s="255">
        <v>2.9679482485046181E-3</v>
      </c>
      <c r="J2324" s="256">
        <v>1.5120787162038276E-5</v>
      </c>
      <c r="K2324" s="257">
        <v>1.580448206000636E-5</v>
      </c>
      <c r="L2324" s="228">
        <v>3.2714625859134358E-2</v>
      </c>
    </row>
    <row r="2325" spans="1:12" s="212" customFormat="1" ht="15.5" x14ac:dyDescent="0.35">
      <c r="A2325" s="198" t="s">
        <v>799</v>
      </c>
      <c r="B2325" s="197">
        <v>2037</v>
      </c>
      <c r="C2325" s="213" t="s">
        <v>5480</v>
      </c>
      <c r="D2325" s="239">
        <v>5.6412401036540815E-3</v>
      </c>
      <c r="E2325" s="226">
        <v>3.3397691291154954E-2</v>
      </c>
      <c r="F2325" s="226">
        <v>7.633797728230986E-4</v>
      </c>
      <c r="G2325" s="227">
        <v>7.0243336333745249E-4</v>
      </c>
      <c r="H2325" s="226">
        <v>2.0000005732018797E-3</v>
      </c>
      <c r="I2325" s="255">
        <v>2.9664420037833028E-3</v>
      </c>
      <c r="J2325" s="256">
        <v>1.3701266029816426E-5</v>
      </c>
      <c r="K2325" s="257">
        <v>1.4320776481217172E-5</v>
      </c>
      <c r="L2325" s="228">
        <v>3.2477711799206922E-2</v>
      </c>
    </row>
    <row r="2326" spans="1:12" s="212" customFormat="1" ht="15.5" x14ac:dyDescent="0.35">
      <c r="A2326" s="198" t="s">
        <v>799</v>
      </c>
      <c r="B2326" s="197">
        <v>2038</v>
      </c>
      <c r="C2326" s="213" t="s">
        <v>5481</v>
      </c>
      <c r="D2326" s="239">
        <v>5.3009038243291267E-3</v>
      </c>
      <c r="E2326" s="226">
        <v>3.1873583962733938E-2</v>
      </c>
      <c r="F2326" s="226">
        <v>7.2364020755232646E-4</v>
      </c>
      <c r="G2326" s="227">
        <v>6.6585078579911312E-4</v>
      </c>
      <c r="H2326" s="226">
        <v>2.0000005732018801E-3</v>
      </c>
      <c r="I2326" s="255">
        <v>2.964936287253066E-3</v>
      </c>
      <c r="J2326" s="256">
        <v>1.2584454913718567E-5</v>
      </c>
      <c r="K2326" s="257">
        <v>1.315346812222529E-5</v>
      </c>
      <c r="L2326" s="228">
        <v>3.2275531602873699E-2</v>
      </c>
    </row>
    <row r="2327" spans="1:12" s="212" customFormat="1" ht="15.5" x14ac:dyDescent="0.35">
      <c r="A2327" s="198" t="s">
        <v>799</v>
      </c>
      <c r="B2327" s="197">
        <v>2039</v>
      </c>
      <c r="C2327" s="213" t="s">
        <v>5482</v>
      </c>
      <c r="D2327" s="239">
        <v>4.9662300232780178E-3</v>
      </c>
      <c r="E2327" s="226">
        <v>3.0425632084101394E-2</v>
      </c>
      <c r="F2327" s="226">
        <v>6.8719993197695545E-4</v>
      </c>
      <c r="G2327" s="227">
        <v>6.3230505182701154E-4</v>
      </c>
      <c r="H2327" s="226">
        <v>2.0000005732018801E-3</v>
      </c>
      <c r="I2327" s="255">
        <v>2.9634515830873624E-3</v>
      </c>
      <c r="J2327" s="256">
        <v>1.1551530765101912E-5</v>
      </c>
      <c r="K2327" s="257">
        <v>1.2073839727141227E-5</v>
      </c>
      <c r="L2327" s="228">
        <v>3.2099611063045909E-2</v>
      </c>
    </row>
    <row r="2328" spans="1:12" s="212" customFormat="1" ht="15.5" x14ac:dyDescent="0.35">
      <c r="A2328" s="198" t="s">
        <v>799</v>
      </c>
      <c r="B2328" s="197">
        <v>2040</v>
      </c>
      <c r="C2328" s="213" t="s">
        <v>5483</v>
      </c>
      <c r="D2328" s="239">
        <v>4.6668149256788782E-3</v>
      </c>
      <c r="E2328" s="226">
        <v>2.917736985007437E-2</v>
      </c>
      <c r="F2328" s="226">
        <v>6.5448242026370541E-4</v>
      </c>
      <c r="G2328" s="227">
        <v>6.0219106328054071E-4</v>
      </c>
      <c r="H2328" s="226">
        <v>2.0000005732018784E-3</v>
      </c>
      <c r="I2328" s="255">
        <v>2.9620177097792384E-3</v>
      </c>
      <c r="J2328" s="256">
        <v>1.0744500433236695E-5</v>
      </c>
      <c r="K2328" s="257">
        <v>1.123031906481312E-5</v>
      </c>
      <c r="L2328" s="228">
        <v>3.1949799034934979E-2</v>
      </c>
    </row>
    <row r="2329" spans="1:12" s="212" customFormat="1" ht="15.5" x14ac:dyDescent="0.35">
      <c r="A2329" s="198" t="s">
        <v>799</v>
      </c>
      <c r="B2329" s="197">
        <v>2041</v>
      </c>
      <c r="C2329" s="213" t="s">
        <v>5484</v>
      </c>
      <c r="D2329" s="239">
        <v>4.4286526844730788E-3</v>
      </c>
      <c r="E2329" s="226">
        <v>2.8116314620528562E-2</v>
      </c>
      <c r="F2329" s="226">
        <v>6.2936860850015613E-4</v>
      </c>
      <c r="G2329" s="227">
        <v>5.7907293987788486E-4</v>
      </c>
      <c r="H2329" s="226">
        <v>2.0000005732018801E-3</v>
      </c>
      <c r="I2329" s="255">
        <v>2.9606748531161267E-3</v>
      </c>
      <c r="J2329" s="256">
        <v>1.0054086596012649E-5</v>
      </c>
      <c r="K2329" s="257">
        <v>1.0508687777535838E-5</v>
      </c>
      <c r="L2329" s="228">
        <v>3.1824631501916403E-2</v>
      </c>
    </row>
    <row r="2330" spans="1:12" s="212" customFormat="1" ht="15.5" x14ac:dyDescent="0.35">
      <c r="A2330" s="198" t="s">
        <v>799</v>
      </c>
      <c r="B2330" s="197">
        <v>2042</v>
      </c>
      <c r="C2330" s="213" t="s">
        <v>5485</v>
      </c>
      <c r="D2330" s="239">
        <v>4.2154342326340228E-3</v>
      </c>
      <c r="E2330" s="226">
        <v>2.7086439539581647E-2</v>
      </c>
      <c r="F2330" s="226">
        <v>6.0722887719926474E-4</v>
      </c>
      <c r="G2330" s="227">
        <v>5.586934964529421E-4</v>
      </c>
      <c r="H2330" s="226">
        <v>2.0000005732018801E-3</v>
      </c>
      <c r="I2330" s="255">
        <v>2.9592921481902813E-3</v>
      </c>
      <c r="J2330" s="256">
        <v>9.4694856411806497E-6</v>
      </c>
      <c r="K2330" s="257">
        <v>9.8976537616546281E-6</v>
      </c>
      <c r="L2330" s="228">
        <v>3.1717951778687359E-2</v>
      </c>
    </row>
    <row r="2331" spans="1:12" s="212" customFormat="1" ht="15.5" x14ac:dyDescent="0.35">
      <c r="A2331" s="198" t="s">
        <v>799</v>
      </c>
      <c r="B2331" s="197">
        <v>2043</v>
      </c>
      <c r="C2331" s="213" t="s">
        <v>5486</v>
      </c>
      <c r="D2331" s="239">
        <v>4.0482140340777073E-3</v>
      </c>
      <c r="E2331" s="226">
        <v>2.6194108673583516E-2</v>
      </c>
      <c r="F2331" s="226">
        <v>5.8793910592851736E-4</v>
      </c>
      <c r="G2331" s="227">
        <v>5.4093818165606544E-4</v>
      </c>
      <c r="H2331" s="226">
        <v>2.0000005732018797E-3</v>
      </c>
      <c r="I2331" s="255">
        <v>2.9579692878437674E-3</v>
      </c>
      <c r="J2331" s="256">
        <v>8.9797334493863151E-6</v>
      </c>
      <c r="K2331" s="257">
        <v>9.3857571489905322E-6</v>
      </c>
      <c r="L2331" s="228">
        <v>3.1628907892984726E-2</v>
      </c>
    </row>
    <row r="2332" spans="1:12" s="212" customFormat="1" ht="15.5" x14ac:dyDescent="0.35">
      <c r="A2332" s="198" t="s">
        <v>799</v>
      </c>
      <c r="B2332" s="197">
        <v>2044</v>
      </c>
      <c r="C2332" s="213" t="s">
        <v>5487</v>
      </c>
      <c r="D2332" s="239">
        <v>3.9135572342130793E-3</v>
      </c>
      <c r="E2332" s="226">
        <v>2.5324562197104921E-2</v>
      </c>
      <c r="F2332" s="226">
        <v>5.710939358800146E-4</v>
      </c>
      <c r="G2332" s="227">
        <v>5.2543408807886123E-4</v>
      </c>
      <c r="H2332" s="226">
        <v>2.0000005732018801E-3</v>
      </c>
      <c r="I2332" s="255">
        <v>2.9566541065526824E-3</v>
      </c>
      <c r="J2332" s="256">
        <v>8.5798266051733345E-6</v>
      </c>
      <c r="K2332" s="257">
        <v>8.9677682918425591E-6</v>
      </c>
      <c r="L2332" s="228">
        <v>3.1553232033172625E-2</v>
      </c>
    </row>
    <row r="2333" spans="1:12" s="212" customFormat="1" ht="15.5" x14ac:dyDescent="0.35">
      <c r="A2333" s="198" t="s">
        <v>799</v>
      </c>
      <c r="B2333" s="197">
        <v>2045</v>
      </c>
      <c r="C2333" s="213" t="s">
        <v>5488</v>
      </c>
      <c r="D2333" s="239">
        <v>3.8104642815712767E-3</v>
      </c>
      <c r="E2333" s="226">
        <v>2.4504316099464331E-2</v>
      </c>
      <c r="F2333" s="226">
        <v>5.5639391692875837E-4</v>
      </c>
      <c r="G2333" s="227">
        <v>5.1190582901342453E-4</v>
      </c>
      <c r="H2333" s="226">
        <v>2.0000005732018801E-3</v>
      </c>
      <c r="I2333" s="255">
        <v>2.9553934659999059E-3</v>
      </c>
      <c r="J2333" s="256">
        <v>8.2683953044919815E-6</v>
      </c>
      <c r="K2333" s="257">
        <v>8.6422554497003445E-6</v>
      </c>
      <c r="L2333" s="228">
        <v>3.1486935277689698E-2</v>
      </c>
    </row>
    <row r="2334" spans="1:12" s="212" customFormat="1" ht="15.5" x14ac:dyDescent="0.35">
      <c r="A2334" s="198" t="s">
        <v>799</v>
      </c>
      <c r="B2334" s="197">
        <v>2046</v>
      </c>
      <c r="C2334" s="213" t="s">
        <v>5489</v>
      </c>
      <c r="D2334" s="239">
        <v>3.710144735672675E-3</v>
      </c>
      <c r="E2334" s="226">
        <v>2.3694285028610037E-2</v>
      </c>
      <c r="F2334" s="226">
        <v>5.4370617897124074E-4</v>
      </c>
      <c r="G2334" s="227">
        <v>5.0022997746970634E-4</v>
      </c>
      <c r="H2334" s="226">
        <v>2.0000005732018801E-3</v>
      </c>
      <c r="I2334" s="255">
        <v>2.9541566658570556E-3</v>
      </c>
      <c r="J2334" s="256">
        <v>8.013156648047472E-6</v>
      </c>
      <c r="K2334" s="257">
        <v>8.3754760338161801E-6</v>
      </c>
      <c r="L2334" s="228">
        <v>3.1430597112218905E-2</v>
      </c>
    </row>
    <row r="2335" spans="1:12" s="212" customFormat="1" ht="15.5" x14ac:dyDescent="0.35">
      <c r="A2335" s="198" t="s">
        <v>799</v>
      </c>
      <c r="B2335" s="197">
        <v>2047</v>
      </c>
      <c r="C2335" s="213" t="s">
        <v>5490</v>
      </c>
      <c r="D2335" s="239">
        <v>3.6261069473038669E-3</v>
      </c>
      <c r="E2335" s="226">
        <v>2.3013066365939052E-2</v>
      </c>
      <c r="F2335" s="226">
        <v>5.330259401429984E-4</v>
      </c>
      <c r="G2335" s="227">
        <v>4.9039985795052083E-4</v>
      </c>
      <c r="H2335" s="226">
        <v>2.0000005732018797E-3</v>
      </c>
      <c r="I2335" s="255">
        <v>2.9531481537927733E-3</v>
      </c>
      <c r="J2335" s="256">
        <v>7.7556254881334281E-6</v>
      </c>
      <c r="K2335" s="257">
        <v>8.1063004576284358E-6</v>
      </c>
      <c r="L2335" s="228">
        <v>3.1382252457380092E-2</v>
      </c>
    </row>
    <row r="2336" spans="1:12" s="212" customFormat="1" ht="15.5" x14ac:dyDescent="0.35">
      <c r="A2336" s="198" t="s">
        <v>799</v>
      </c>
      <c r="B2336" s="197">
        <v>2048</v>
      </c>
      <c r="C2336" s="213" t="s">
        <v>5491</v>
      </c>
      <c r="D2336" s="239">
        <v>3.5574636191621281E-3</v>
      </c>
      <c r="E2336" s="226">
        <v>2.2462643957912344E-2</v>
      </c>
      <c r="F2336" s="226">
        <v>5.2397299437818964E-4</v>
      </c>
      <c r="G2336" s="227">
        <v>4.8206597131611581E-4</v>
      </c>
      <c r="H2336" s="226">
        <v>2.0000005732018805E-3</v>
      </c>
      <c r="I2336" s="255">
        <v>2.9522314639455587E-3</v>
      </c>
      <c r="J2336" s="256">
        <v>7.4980168395479014E-6</v>
      </c>
      <c r="K2336" s="257">
        <v>7.8370438890752995E-6</v>
      </c>
      <c r="L2336" s="228">
        <v>3.1340133031057357E-2</v>
      </c>
    </row>
    <row r="2337" spans="1:12" s="212" customFormat="1" ht="15.5" x14ac:dyDescent="0.35">
      <c r="A2337" s="198" t="s">
        <v>799</v>
      </c>
      <c r="B2337" s="197">
        <v>2049</v>
      </c>
      <c r="C2337" s="213" t="s">
        <v>5492</v>
      </c>
      <c r="D2337" s="239">
        <v>3.5435128367640877E-3</v>
      </c>
      <c r="E2337" s="226">
        <v>2.2408751455739805E-2</v>
      </c>
      <c r="F2337" s="226">
        <v>5.1852872636962296E-4</v>
      </c>
      <c r="G2337" s="227">
        <v>4.7705438525770923E-4</v>
      </c>
      <c r="H2337" s="226">
        <v>2.0000005732018801E-3</v>
      </c>
      <c r="I2337" s="255">
        <v>2.9513224026099937E-3</v>
      </c>
      <c r="J2337" s="256">
        <v>7.3496040777285798E-6</v>
      </c>
      <c r="K2337" s="257">
        <v>7.6819205607383892E-6</v>
      </c>
      <c r="L2337" s="228">
        <v>3.1303681168075137E-2</v>
      </c>
    </row>
    <row r="2338" spans="1:12" s="212" customFormat="1" ht="15.5" x14ac:dyDescent="0.35">
      <c r="A2338" s="198" t="s">
        <v>799</v>
      </c>
      <c r="B2338" s="197">
        <v>2050</v>
      </c>
      <c r="C2338" s="213" t="s">
        <v>5493</v>
      </c>
      <c r="D2338" s="239">
        <v>3.5328507713918121E-3</v>
      </c>
      <c r="E2338" s="226">
        <v>2.236674731968628E-2</v>
      </c>
      <c r="F2338" s="226">
        <v>5.1398392742478571E-4</v>
      </c>
      <c r="G2338" s="227">
        <v>4.7286659747965929E-4</v>
      </c>
      <c r="H2338" s="226">
        <v>2.0000005732018775E-3</v>
      </c>
      <c r="I2338" s="255">
        <v>2.9505533555274181E-3</v>
      </c>
      <c r="J2338" s="256">
        <v>7.1182836220202849E-6</v>
      </c>
      <c r="K2338" s="257">
        <v>7.4401408204922892E-6</v>
      </c>
      <c r="L2338" s="228">
        <v>3.1274556034802677E-2</v>
      </c>
    </row>
    <row r="2339" spans="1:12" s="212" customFormat="1" ht="15.5" x14ac:dyDescent="0.35">
      <c r="A2339" s="198" t="s">
        <v>801</v>
      </c>
      <c r="B2339" s="197">
        <v>2015</v>
      </c>
      <c r="C2339" s="213" t="s">
        <v>5494</v>
      </c>
      <c r="D2339" s="239">
        <v>8.4409808991108587E-2</v>
      </c>
      <c r="E2339" s="226">
        <v>0.35805916908473451</v>
      </c>
      <c r="F2339" s="226">
        <v>3.1701363183716516E-3</v>
      </c>
      <c r="G2339" s="227">
        <v>2.9392635013409545E-3</v>
      </c>
      <c r="H2339" s="226">
        <v>2.0000005732018801E-3</v>
      </c>
      <c r="I2339" s="255">
        <v>3.0275888611850576E-3</v>
      </c>
      <c r="J2339" s="256">
        <v>4.729741816461136E-4</v>
      </c>
      <c r="K2339" s="257">
        <v>4.9435997534830363E-4</v>
      </c>
      <c r="L2339" s="228">
        <v>4.4940781291524116E-2</v>
      </c>
    </row>
    <row r="2340" spans="1:12" s="212" customFormat="1" ht="15.5" x14ac:dyDescent="0.35">
      <c r="A2340" s="198" t="s">
        <v>801</v>
      </c>
      <c r="B2340" s="197">
        <v>2016</v>
      </c>
      <c r="C2340" s="213" t="s">
        <v>5495</v>
      </c>
      <c r="D2340" s="239">
        <v>7.4208414979244491E-2</v>
      </c>
      <c r="E2340" s="226">
        <v>0.32651837434012931</v>
      </c>
      <c r="F2340" s="226">
        <v>2.9570906696151163E-3</v>
      </c>
      <c r="G2340" s="227">
        <v>2.7398085618005534E-3</v>
      </c>
      <c r="H2340" s="226">
        <v>2.0000005732018797E-3</v>
      </c>
      <c r="I2340" s="255">
        <v>3.0275464021991354E-3</v>
      </c>
      <c r="J2340" s="256">
        <v>4.2343434141431477E-4</v>
      </c>
      <c r="K2340" s="257">
        <v>4.4258016337100849E-4</v>
      </c>
      <c r="L2340" s="228">
        <v>4.3851197964598312E-2</v>
      </c>
    </row>
    <row r="2341" spans="1:12" s="212" customFormat="1" ht="15.5" x14ac:dyDescent="0.35">
      <c r="A2341" s="198" t="s">
        <v>801</v>
      </c>
      <c r="B2341" s="197">
        <v>2017</v>
      </c>
      <c r="C2341" s="213" t="s">
        <v>5496</v>
      </c>
      <c r="D2341" s="239">
        <v>6.0783446174048808E-2</v>
      </c>
      <c r="E2341" s="226">
        <v>0.2783217756799547</v>
      </c>
      <c r="F2341" s="226">
        <v>2.6876084295562189E-3</v>
      </c>
      <c r="G2341" s="227">
        <v>2.4881791351266014E-3</v>
      </c>
      <c r="H2341" s="226">
        <v>2.0000005732018788E-3</v>
      </c>
      <c r="I2341" s="255">
        <v>3.0262511670328947E-3</v>
      </c>
      <c r="J2341" s="256">
        <v>3.6379079451485832E-4</v>
      </c>
      <c r="K2341" s="257">
        <v>3.8023979994507865E-4</v>
      </c>
      <c r="L2341" s="228">
        <v>4.3522682218811559E-2</v>
      </c>
    </row>
    <row r="2342" spans="1:12" s="212" customFormat="1" ht="15.5" x14ac:dyDescent="0.35">
      <c r="A2342" s="198" t="s">
        <v>801</v>
      </c>
      <c r="B2342" s="197">
        <v>2018</v>
      </c>
      <c r="C2342" s="213" t="s">
        <v>5497</v>
      </c>
      <c r="D2342" s="239">
        <v>5.1534971328901065E-2</v>
      </c>
      <c r="E2342" s="226">
        <v>0.24492707777400993</v>
      </c>
      <c r="F2342" s="226">
        <v>2.5339078312735766E-3</v>
      </c>
      <c r="G2342" s="227">
        <v>2.3443290406144376E-3</v>
      </c>
      <c r="H2342" s="226">
        <v>2.0000005732018792E-3</v>
      </c>
      <c r="I2342" s="255">
        <v>3.0263231841360753E-3</v>
      </c>
      <c r="J2342" s="256">
        <v>3.2645897019009006E-4</v>
      </c>
      <c r="K2342" s="257">
        <v>3.4121999618186077E-4</v>
      </c>
      <c r="L2342" s="228">
        <v>4.2907954309233449E-2</v>
      </c>
    </row>
    <row r="2343" spans="1:12" s="212" customFormat="1" ht="15.5" x14ac:dyDescent="0.35">
      <c r="A2343" s="198" t="s">
        <v>801</v>
      </c>
      <c r="B2343" s="197">
        <v>2019</v>
      </c>
      <c r="C2343" s="213" t="s">
        <v>5498</v>
      </c>
      <c r="D2343" s="239">
        <v>4.3193823534648818E-2</v>
      </c>
      <c r="E2343" s="226">
        <v>0.21020773472688298</v>
      </c>
      <c r="F2343" s="226">
        <v>2.3842383600379911E-3</v>
      </c>
      <c r="G2343" s="227">
        <v>2.2035608389223082E-3</v>
      </c>
      <c r="H2343" s="226">
        <v>2.0000005732018805E-3</v>
      </c>
      <c r="I2343" s="255">
        <v>3.0268560528551648E-3</v>
      </c>
      <c r="J2343" s="256">
        <v>2.675229852700909E-4</v>
      </c>
      <c r="K2343" s="257">
        <v>2.7961918754833905E-4</v>
      </c>
      <c r="L2343" s="228">
        <v>4.2255548406367097E-2</v>
      </c>
    </row>
    <row r="2344" spans="1:12" s="212" customFormat="1" ht="15.5" x14ac:dyDescent="0.35">
      <c r="A2344" s="198" t="s">
        <v>801</v>
      </c>
      <c r="B2344" s="197">
        <v>2020</v>
      </c>
      <c r="C2344" s="213" t="s">
        <v>5499</v>
      </c>
      <c r="D2344" s="239">
        <v>3.8093551537468448E-2</v>
      </c>
      <c r="E2344" s="226">
        <v>0.18891912488129872</v>
      </c>
      <c r="F2344" s="226">
        <v>2.2832587537179906E-3</v>
      </c>
      <c r="G2344" s="227">
        <v>2.1096459679172835E-3</v>
      </c>
      <c r="H2344" s="226">
        <v>2.0000005732018801E-3</v>
      </c>
      <c r="I2344" s="255">
        <v>3.0325273691494924E-3</v>
      </c>
      <c r="J2344" s="256">
        <v>2.4671772655827191E-4</v>
      </c>
      <c r="K2344" s="257">
        <v>2.578732073595399E-4</v>
      </c>
      <c r="L2344" s="228">
        <v>4.173942414564108E-2</v>
      </c>
    </row>
    <row r="2345" spans="1:12" s="212" customFormat="1" ht="15.5" x14ac:dyDescent="0.35">
      <c r="A2345" s="198" t="s">
        <v>801</v>
      </c>
      <c r="B2345" s="197">
        <v>2021</v>
      </c>
      <c r="C2345" s="213" t="s">
        <v>5500</v>
      </c>
      <c r="D2345" s="239">
        <v>3.3475135780741981E-2</v>
      </c>
      <c r="E2345" s="226">
        <v>0.16809726773898032</v>
      </c>
      <c r="F2345" s="226">
        <v>2.1583391050577425E-3</v>
      </c>
      <c r="G2345" s="227">
        <v>1.9937299307525385E-3</v>
      </c>
      <c r="H2345" s="226">
        <v>2.0000005732018797E-3</v>
      </c>
      <c r="I2345" s="255">
        <v>3.0340246847450295E-3</v>
      </c>
      <c r="J2345" s="256">
        <v>2.2474720148324667E-4</v>
      </c>
      <c r="K2345" s="257">
        <v>2.3490927263338329E-4</v>
      </c>
      <c r="L2345" s="228">
        <v>4.0844421292941531E-2</v>
      </c>
    </row>
    <row r="2346" spans="1:12" s="212" customFormat="1" ht="15.5" x14ac:dyDescent="0.35">
      <c r="A2346" s="198" t="s">
        <v>801</v>
      </c>
      <c r="B2346" s="197">
        <v>2022</v>
      </c>
      <c r="C2346" s="213" t="s">
        <v>5501</v>
      </c>
      <c r="D2346" s="239">
        <v>2.8730821159523842E-2</v>
      </c>
      <c r="E2346" s="226">
        <v>0.14811974710563003</v>
      </c>
      <c r="F2346" s="226">
        <v>2.032885085360221E-3</v>
      </c>
      <c r="G2346" s="227">
        <v>1.8772290973563227E-3</v>
      </c>
      <c r="H2346" s="226">
        <v>2.0000005732018797E-3</v>
      </c>
      <c r="I2346" s="255">
        <v>3.0340642470206187E-3</v>
      </c>
      <c r="J2346" s="256">
        <v>2.0281788308690925E-4</v>
      </c>
      <c r="K2346" s="257">
        <v>2.1198840776907212E-4</v>
      </c>
      <c r="L2346" s="228">
        <v>4.0072075454840282E-2</v>
      </c>
    </row>
    <row r="2347" spans="1:12" s="212" customFormat="1" ht="15.5" x14ac:dyDescent="0.35">
      <c r="A2347" s="198" t="s">
        <v>801</v>
      </c>
      <c r="B2347" s="197">
        <v>2023</v>
      </c>
      <c r="C2347" s="213" t="s">
        <v>5502</v>
      </c>
      <c r="D2347" s="239">
        <v>2.5209221314440474E-2</v>
      </c>
      <c r="E2347" s="226">
        <v>0.13089095506697387</v>
      </c>
      <c r="F2347" s="226">
        <v>1.9139113340403814E-3</v>
      </c>
      <c r="G2347" s="227">
        <v>1.7668370134221571E-3</v>
      </c>
      <c r="H2347" s="226">
        <v>2.0000005732018805E-3</v>
      </c>
      <c r="I2347" s="255">
        <v>3.03336930085413E-3</v>
      </c>
      <c r="J2347" s="256">
        <v>1.790007386959797E-4</v>
      </c>
      <c r="K2347" s="257">
        <v>1.8709435779579796E-4</v>
      </c>
      <c r="L2347" s="228">
        <v>3.9244633020814039E-2</v>
      </c>
    </row>
    <row r="2348" spans="1:12" s="212" customFormat="1" ht="15.5" x14ac:dyDescent="0.35">
      <c r="A2348" s="198" t="s">
        <v>801</v>
      </c>
      <c r="B2348" s="197">
        <v>2024</v>
      </c>
      <c r="C2348" s="213" t="s">
        <v>5503</v>
      </c>
      <c r="D2348" s="239">
        <v>2.2132561307701578E-2</v>
      </c>
      <c r="E2348" s="226">
        <v>0.1158266267207564</v>
      </c>
      <c r="F2348" s="226">
        <v>1.8047866273434956E-3</v>
      </c>
      <c r="G2348" s="227">
        <v>1.6655165906695206E-3</v>
      </c>
      <c r="H2348" s="226">
        <v>2.0000005732018797E-3</v>
      </c>
      <c r="I2348" s="255">
        <v>3.0325830306128249E-3</v>
      </c>
      <c r="J2348" s="256">
        <v>1.5553647876052822E-4</v>
      </c>
      <c r="K2348" s="257">
        <v>1.6256914814717684E-4</v>
      </c>
      <c r="L2348" s="228">
        <v>3.8356026294046747E-2</v>
      </c>
    </row>
    <row r="2349" spans="1:12" s="212" customFormat="1" ht="15.5" x14ac:dyDescent="0.35">
      <c r="A2349" s="198" t="s">
        <v>801</v>
      </c>
      <c r="B2349" s="197">
        <v>2025</v>
      </c>
      <c r="C2349" s="213" t="s">
        <v>5504</v>
      </c>
      <c r="D2349" s="239">
        <v>1.9670003891164474E-2</v>
      </c>
      <c r="E2349" s="226">
        <v>0.10337568962566718</v>
      </c>
      <c r="F2349" s="226">
        <v>1.7210511265002119E-3</v>
      </c>
      <c r="G2349" s="227">
        <v>1.5878702666315735E-3</v>
      </c>
      <c r="H2349" s="226">
        <v>2.0000005732018753E-3</v>
      </c>
      <c r="I2349" s="255">
        <v>3.0317653773769878E-3</v>
      </c>
      <c r="J2349" s="256">
        <v>1.3923756361796134E-4</v>
      </c>
      <c r="K2349" s="257">
        <v>1.4553326838722788E-4</v>
      </c>
      <c r="L2349" s="228">
        <v>3.7474386963931725E-2</v>
      </c>
    </row>
    <row r="2350" spans="1:12" s="212" customFormat="1" ht="15.5" x14ac:dyDescent="0.35">
      <c r="A2350" s="198" t="s">
        <v>801</v>
      </c>
      <c r="B2350" s="197">
        <v>2026</v>
      </c>
      <c r="C2350" s="213" t="s">
        <v>5505</v>
      </c>
      <c r="D2350" s="239">
        <v>1.7564803499604154E-2</v>
      </c>
      <c r="E2350" s="226">
        <v>9.2735408839229955E-2</v>
      </c>
      <c r="F2350" s="226">
        <v>1.636423757652009E-3</v>
      </c>
      <c r="G2350" s="227">
        <v>1.509229650008885E-3</v>
      </c>
      <c r="H2350" s="226">
        <v>2.0000005732018784E-3</v>
      </c>
      <c r="I2350" s="255">
        <v>3.0309005307508361E-3</v>
      </c>
      <c r="J2350" s="256">
        <v>1.1800690948642421E-4</v>
      </c>
      <c r="K2350" s="257">
        <v>1.2334265828549502E-4</v>
      </c>
      <c r="L2350" s="228">
        <v>3.6610859902165588E-2</v>
      </c>
    </row>
    <row r="2351" spans="1:12" s="212" customFormat="1" ht="15.5" x14ac:dyDescent="0.35">
      <c r="A2351" s="198" t="s">
        <v>801</v>
      </c>
      <c r="B2351" s="197">
        <v>2027</v>
      </c>
      <c r="C2351" s="213" t="s">
        <v>5506</v>
      </c>
      <c r="D2351" s="239">
        <v>1.5776349356217152E-2</v>
      </c>
      <c r="E2351" s="226">
        <v>8.352873475185453E-2</v>
      </c>
      <c r="F2351" s="226">
        <v>1.5428925938387147E-3</v>
      </c>
      <c r="G2351" s="227">
        <v>1.4222421779074624E-3</v>
      </c>
      <c r="H2351" s="226">
        <v>2.0000005732018771E-3</v>
      </c>
      <c r="I2351" s="255">
        <v>3.0297148697329746E-3</v>
      </c>
      <c r="J2351" s="256">
        <v>9.2636658910502954E-5</v>
      </c>
      <c r="K2351" s="257">
        <v>9.682527755735001E-5</v>
      </c>
      <c r="L2351" s="228">
        <v>3.5759240888069602E-2</v>
      </c>
    </row>
    <row r="2352" spans="1:12" s="212" customFormat="1" ht="15.5" x14ac:dyDescent="0.35">
      <c r="A2352" s="198" t="s">
        <v>801</v>
      </c>
      <c r="B2352" s="197">
        <v>2028</v>
      </c>
      <c r="C2352" s="213" t="s">
        <v>5507</v>
      </c>
      <c r="D2352" s="239">
        <v>1.4235206485148524E-2</v>
      </c>
      <c r="E2352" s="226">
        <v>7.554567762828783E-2</v>
      </c>
      <c r="F2352" s="226">
        <v>1.4506391329857683E-3</v>
      </c>
      <c r="G2352" s="227">
        <v>1.336736252712126E-3</v>
      </c>
      <c r="H2352" s="226">
        <v>2.0000005732018801E-3</v>
      </c>
      <c r="I2352" s="255">
        <v>3.0285406014983122E-3</v>
      </c>
      <c r="J2352" s="256">
        <v>7.5125802162410304E-5</v>
      </c>
      <c r="K2352" s="257">
        <v>7.8522657570384785E-5</v>
      </c>
      <c r="L2352" s="228">
        <v>3.4995203082542219E-2</v>
      </c>
    </row>
    <row r="2353" spans="1:12" s="212" customFormat="1" ht="15.5" x14ac:dyDescent="0.35">
      <c r="A2353" s="198" t="s">
        <v>801</v>
      </c>
      <c r="B2353" s="197">
        <v>2029</v>
      </c>
      <c r="C2353" s="213" t="s">
        <v>5508</v>
      </c>
      <c r="D2353" s="239">
        <v>1.2867936277915803E-2</v>
      </c>
      <c r="E2353" s="226">
        <v>6.8552778312446355E-2</v>
      </c>
      <c r="F2353" s="226">
        <v>1.3619124411127863E-3</v>
      </c>
      <c r="G2353" s="227">
        <v>1.254605968821237E-3</v>
      </c>
      <c r="H2353" s="226">
        <v>2.0000005732018801E-3</v>
      </c>
      <c r="I2353" s="255">
        <v>3.0273017532008299E-3</v>
      </c>
      <c r="J2353" s="256">
        <v>6.1026075120199024E-5</v>
      </c>
      <c r="K2353" s="257">
        <v>6.3785403437936799E-5</v>
      </c>
      <c r="L2353" s="228">
        <v>3.4289792330316066E-2</v>
      </c>
    </row>
    <row r="2354" spans="1:12" s="212" customFormat="1" ht="15.5" x14ac:dyDescent="0.35">
      <c r="A2354" s="198" t="s">
        <v>801</v>
      </c>
      <c r="B2354" s="197">
        <v>2030</v>
      </c>
      <c r="C2354" s="213" t="s">
        <v>5509</v>
      </c>
      <c r="D2354" s="239">
        <v>1.170868992291979E-2</v>
      </c>
      <c r="E2354" s="226">
        <v>6.2537932670612764E-2</v>
      </c>
      <c r="F2354" s="226">
        <v>1.2776925726483875E-3</v>
      </c>
      <c r="G2354" s="227">
        <v>1.1767155719628769E-3</v>
      </c>
      <c r="H2354" s="226">
        <v>2.0000005732018779E-3</v>
      </c>
      <c r="I2354" s="255">
        <v>3.0260372245742616E-3</v>
      </c>
      <c r="J2354" s="256">
        <v>4.9390983323143356E-5</v>
      </c>
      <c r="K2354" s="257">
        <v>5.1624224419773298E-5</v>
      </c>
      <c r="L2354" s="228">
        <v>3.3578586241899959E-2</v>
      </c>
    </row>
    <row r="2355" spans="1:12" s="212" customFormat="1" ht="15.5" x14ac:dyDescent="0.35">
      <c r="A2355" s="198" t="s">
        <v>801</v>
      </c>
      <c r="B2355" s="197">
        <v>2031</v>
      </c>
      <c r="C2355" s="213" t="s">
        <v>5510</v>
      </c>
      <c r="D2355" s="239">
        <v>1.0687130200117134E-2</v>
      </c>
      <c r="E2355" s="226">
        <v>5.7182788364315347E-2</v>
      </c>
      <c r="F2355" s="226">
        <v>1.2017659756051199E-3</v>
      </c>
      <c r="G2355" s="227">
        <v>1.1066473687038011E-3</v>
      </c>
      <c r="H2355" s="226">
        <v>2.0000005732018753E-3</v>
      </c>
      <c r="I2355" s="255">
        <v>3.0288254103665994E-3</v>
      </c>
      <c r="J2355" s="256">
        <v>4.2807794655924429E-5</v>
      </c>
      <c r="K2355" s="257">
        <v>4.47433731734899E-5</v>
      </c>
      <c r="L2355" s="228">
        <v>3.3031672308698308E-2</v>
      </c>
    </row>
    <row r="2356" spans="1:12" s="212" customFormat="1" ht="15.5" x14ac:dyDescent="0.35">
      <c r="A2356" s="198" t="s">
        <v>801</v>
      </c>
      <c r="B2356" s="197">
        <v>2032</v>
      </c>
      <c r="C2356" s="213" t="s">
        <v>5511</v>
      </c>
      <c r="D2356" s="239">
        <v>9.7761946286485171E-3</v>
      </c>
      <c r="E2356" s="226">
        <v>5.2543170116921403E-2</v>
      </c>
      <c r="F2356" s="226">
        <v>1.1284098667549898E-3</v>
      </c>
      <c r="G2356" s="227">
        <v>1.0389852086111913E-3</v>
      </c>
      <c r="H2356" s="226">
        <v>2.0000005732018801E-3</v>
      </c>
      <c r="I2356" s="255">
        <v>3.0272507909549942E-3</v>
      </c>
      <c r="J2356" s="256">
        <v>3.7317291267866856E-5</v>
      </c>
      <c r="K2356" s="257">
        <v>3.9004613585972261E-5</v>
      </c>
      <c r="L2356" s="228">
        <v>3.2568455142933467E-2</v>
      </c>
    </row>
    <row r="2357" spans="1:12" s="212" customFormat="1" ht="15.5" x14ac:dyDescent="0.35">
      <c r="A2357" s="198" t="s">
        <v>801</v>
      </c>
      <c r="B2357" s="197">
        <v>2033</v>
      </c>
      <c r="C2357" s="213" t="s">
        <v>5512</v>
      </c>
      <c r="D2357" s="239">
        <v>8.9746725270708465E-3</v>
      </c>
      <c r="E2357" s="226">
        <v>4.8532977024787184E-2</v>
      </c>
      <c r="F2357" s="226">
        <v>1.0600260653277358E-3</v>
      </c>
      <c r="G2357" s="227">
        <v>9.759699816058935E-4</v>
      </c>
      <c r="H2357" s="226">
        <v>2.0000005732018801E-3</v>
      </c>
      <c r="I2357" s="255">
        <v>3.0255825426278105E-3</v>
      </c>
      <c r="J2357" s="256">
        <v>3.3753749360338979E-5</v>
      </c>
      <c r="K2357" s="257">
        <v>3.5279944126368982E-5</v>
      </c>
      <c r="L2357" s="228">
        <v>3.2087069116185495E-2</v>
      </c>
    </row>
    <row r="2358" spans="1:12" s="212" customFormat="1" ht="15.5" x14ac:dyDescent="0.35">
      <c r="A2358" s="198" t="s">
        <v>801</v>
      </c>
      <c r="B2358" s="197">
        <v>2034</v>
      </c>
      <c r="C2358" s="213" t="s">
        <v>5513</v>
      </c>
      <c r="D2358" s="239">
        <v>8.2331262041281765E-3</v>
      </c>
      <c r="E2358" s="226">
        <v>4.4966783538211472E-2</v>
      </c>
      <c r="F2358" s="226">
        <v>9.9349545635906756E-4</v>
      </c>
      <c r="G2358" s="227">
        <v>9.1466275204975798E-4</v>
      </c>
      <c r="H2358" s="226">
        <v>2.0000005732018805E-3</v>
      </c>
      <c r="I2358" s="255">
        <v>3.0238043959992774E-3</v>
      </c>
      <c r="J2358" s="256">
        <v>3.0294290897465304E-5</v>
      </c>
      <c r="K2358" s="257">
        <v>3.1664064302923738E-5</v>
      </c>
      <c r="L2358" s="228">
        <v>3.1656169618195035E-2</v>
      </c>
    </row>
    <row r="2359" spans="1:12" s="212" customFormat="1" ht="15.5" x14ac:dyDescent="0.35">
      <c r="A2359" s="198" t="s">
        <v>801</v>
      </c>
      <c r="B2359" s="197">
        <v>2035</v>
      </c>
      <c r="C2359" s="213" t="s">
        <v>5514</v>
      </c>
      <c r="D2359" s="239">
        <v>7.5794197905681912E-3</v>
      </c>
      <c r="E2359" s="226">
        <v>4.1953631421488204E-2</v>
      </c>
      <c r="F2359" s="226">
        <v>9.310936729696207E-4</v>
      </c>
      <c r="G2359" s="227">
        <v>8.5716583897562499E-4</v>
      </c>
      <c r="H2359" s="226">
        <v>2.0000005732018775E-3</v>
      </c>
      <c r="I2359" s="255">
        <v>3.0220841131429793E-3</v>
      </c>
      <c r="J2359" s="256">
        <v>2.7194502230424333E-5</v>
      </c>
      <c r="K2359" s="257">
        <v>2.8424116947467678E-5</v>
      </c>
      <c r="L2359" s="228">
        <v>3.1273440035699367E-2</v>
      </c>
    </row>
    <row r="2360" spans="1:12" s="212" customFormat="1" ht="15.5" x14ac:dyDescent="0.35">
      <c r="A2360" s="198" t="s">
        <v>801</v>
      </c>
      <c r="B2360" s="197">
        <v>2036</v>
      </c>
      <c r="C2360" s="213" t="s">
        <v>5515</v>
      </c>
      <c r="D2360" s="239">
        <v>6.9889988719192076E-3</v>
      </c>
      <c r="E2360" s="226">
        <v>3.9279530877823009E-2</v>
      </c>
      <c r="F2360" s="226">
        <v>8.7707267219420721E-4</v>
      </c>
      <c r="G2360" s="227">
        <v>8.0737821496500498E-4</v>
      </c>
      <c r="H2360" s="226">
        <v>2.0000005732018801E-3</v>
      </c>
      <c r="I2360" s="255">
        <v>3.0204119616150903E-3</v>
      </c>
      <c r="J2360" s="256">
        <v>2.4183742104616929E-5</v>
      </c>
      <c r="K2360" s="257">
        <v>2.5277223608821494E-5</v>
      </c>
      <c r="L2360" s="228">
        <v>3.093682060477548E-2</v>
      </c>
    </row>
    <row r="2361" spans="1:12" s="212" customFormat="1" ht="15.5" x14ac:dyDescent="0.35">
      <c r="A2361" s="198" t="s">
        <v>801</v>
      </c>
      <c r="B2361" s="197">
        <v>2037</v>
      </c>
      <c r="C2361" s="213" t="s">
        <v>5516</v>
      </c>
      <c r="D2361" s="239">
        <v>6.4969052032166673E-3</v>
      </c>
      <c r="E2361" s="226">
        <v>3.7074657282383155E-2</v>
      </c>
      <c r="F2361" s="226">
        <v>8.2841428143811768E-4</v>
      </c>
      <c r="G2361" s="227">
        <v>7.6253183672436947E-4</v>
      </c>
      <c r="H2361" s="226">
        <v>2.0000005732018801E-3</v>
      </c>
      <c r="I2361" s="255">
        <v>3.0189254651217857E-3</v>
      </c>
      <c r="J2361" s="256">
        <v>2.1443080289509461E-5</v>
      </c>
      <c r="K2361" s="257">
        <v>2.2412641227941518E-5</v>
      </c>
      <c r="L2361" s="228">
        <v>3.064337361615151E-2</v>
      </c>
    </row>
    <row r="2362" spans="1:12" s="212" customFormat="1" ht="15.5" x14ac:dyDescent="0.35">
      <c r="A2362" s="198" t="s">
        <v>801</v>
      </c>
      <c r="B2362" s="197">
        <v>2038</v>
      </c>
      <c r="C2362" s="213" t="s">
        <v>5517</v>
      </c>
      <c r="D2362" s="239">
        <v>6.0405096325875096E-3</v>
      </c>
      <c r="E2362" s="226">
        <v>3.5026309628122129E-2</v>
      </c>
      <c r="F2362" s="226">
        <v>7.8388441162022737E-4</v>
      </c>
      <c r="G2362" s="227">
        <v>7.2150668855521871E-4</v>
      </c>
      <c r="H2362" s="226">
        <v>2.0000005732018779E-3</v>
      </c>
      <c r="I2362" s="255">
        <v>3.0174741434217519E-3</v>
      </c>
      <c r="J2362" s="256">
        <v>1.9349379609016568E-5</v>
      </c>
      <c r="K2362" s="257">
        <v>2.0224272693335941E-5</v>
      </c>
      <c r="L2362" s="228">
        <v>3.0368905114314511E-2</v>
      </c>
    </row>
    <row r="2363" spans="1:12" s="212" customFormat="1" ht="15.5" x14ac:dyDescent="0.35">
      <c r="A2363" s="198" t="s">
        <v>801</v>
      </c>
      <c r="B2363" s="197">
        <v>2039</v>
      </c>
      <c r="C2363" s="213" t="s">
        <v>5518</v>
      </c>
      <c r="D2363" s="239">
        <v>5.5905577390250464E-3</v>
      </c>
      <c r="E2363" s="226">
        <v>3.3060294425187785E-2</v>
      </c>
      <c r="F2363" s="226">
        <v>7.4263486391499644E-4</v>
      </c>
      <c r="G2363" s="227">
        <v>6.835025588878711E-4</v>
      </c>
      <c r="H2363" s="226">
        <v>2.0000005732018797E-3</v>
      </c>
      <c r="I2363" s="255">
        <v>3.0161244705419628E-3</v>
      </c>
      <c r="J2363" s="256">
        <v>1.7381013758237474E-5</v>
      </c>
      <c r="K2363" s="257">
        <v>1.8166906073278721E-5</v>
      </c>
      <c r="L2363" s="228">
        <v>3.015274623825942E-2</v>
      </c>
    </row>
    <row r="2364" spans="1:12" s="212" customFormat="1" ht="15.5" x14ac:dyDescent="0.35">
      <c r="A2364" s="198" t="s">
        <v>801</v>
      </c>
      <c r="B2364" s="197">
        <v>2040</v>
      </c>
      <c r="C2364" s="213" t="s">
        <v>5519</v>
      </c>
      <c r="D2364" s="239">
        <v>5.1915442020819772E-3</v>
      </c>
      <c r="E2364" s="226">
        <v>3.1382487214756415E-2</v>
      </c>
      <c r="F2364" s="226">
        <v>7.0574216330196796E-4</v>
      </c>
      <c r="G2364" s="227">
        <v>6.495215203158269E-4</v>
      </c>
      <c r="H2364" s="226">
        <v>2.0000005732018775E-3</v>
      </c>
      <c r="I2364" s="255">
        <v>3.014910898915233E-3</v>
      </c>
      <c r="J2364" s="256">
        <v>1.5852323330705885E-5</v>
      </c>
      <c r="K2364" s="257">
        <v>1.6569095048077424E-5</v>
      </c>
      <c r="L2364" s="228">
        <v>2.9969891798073175E-2</v>
      </c>
    </row>
    <row r="2365" spans="1:12" s="212" customFormat="1" ht="15.5" x14ac:dyDescent="0.35">
      <c r="A2365" s="198" t="s">
        <v>801</v>
      </c>
      <c r="B2365" s="197">
        <v>2041</v>
      </c>
      <c r="C2365" s="213" t="s">
        <v>5520</v>
      </c>
      <c r="D2365" s="239">
        <v>4.8746892587925019E-3</v>
      </c>
      <c r="E2365" s="226">
        <v>2.998020208100223E-2</v>
      </c>
      <c r="F2365" s="226">
        <v>6.7819816833186101E-4</v>
      </c>
      <c r="G2365" s="227">
        <v>6.2414387420555134E-4</v>
      </c>
      <c r="H2365" s="226">
        <v>2.0000005732018801E-3</v>
      </c>
      <c r="I2365" s="255">
        <v>3.0138508426690983E-3</v>
      </c>
      <c r="J2365" s="256">
        <v>1.4518759934650644E-5</v>
      </c>
      <c r="K2365" s="257">
        <v>1.5175233832852517E-5</v>
      </c>
      <c r="L2365" s="228">
        <v>2.9817625475789637E-2</v>
      </c>
    </row>
    <row r="2366" spans="1:12" s="212" customFormat="1" ht="15.5" x14ac:dyDescent="0.35">
      <c r="A2366" s="198" t="s">
        <v>801</v>
      </c>
      <c r="B2366" s="197">
        <v>2042</v>
      </c>
      <c r="C2366" s="213" t="s">
        <v>5521</v>
      </c>
      <c r="D2366" s="239">
        <v>4.5850661116127048E-3</v>
      </c>
      <c r="E2366" s="226">
        <v>2.8611021690294669E-2</v>
      </c>
      <c r="F2366" s="226">
        <v>6.538293260037447E-4</v>
      </c>
      <c r="G2366" s="227">
        <v>6.0169576496751464E-4</v>
      </c>
      <c r="H2366" s="226">
        <v>2.0000005732018805E-3</v>
      </c>
      <c r="I2366" s="255">
        <v>3.0128013452064414E-3</v>
      </c>
      <c r="J2366" s="256">
        <v>1.3444449027699431E-5</v>
      </c>
      <c r="K2366" s="257">
        <v>1.4052347353873028E-5</v>
      </c>
      <c r="L2366" s="228">
        <v>2.9689941685058847E-2</v>
      </c>
    </row>
    <row r="2367" spans="1:12" s="212" customFormat="1" ht="15.5" x14ac:dyDescent="0.35">
      <c r="A2367" s="198" t="s">
        <v>801</v>
      </c>
      <c r="B2367" s="197">
        <v>2043</v>
      </c>
      <c r="C2367" s="213" t="s">
        <v>5522</v>
      </c>
      <c r="D2367" s="239">
        <v>4.3610398735291871E-3</v>
      </c>
      <c r="E2367" s="226">
        <v>2.7443538557200109E-2</v>
      </c>
      <c r="F2367" s="226">
        <v>6.3238945869307671E-4</v>
      </c>
      <c r="G2367" s="227">
        <v>5.8194334664188872E-4</v>
      </c>
      <c r="H2367" s="226">
        <v>2.0000005732018805E-3</v>
      </c>
      <c r="I2367" s="255">
        <v>3.0118604454958415E-3</v>
      </c>
      <c r="J2367" s="256">
        <v>1.2437035150163568E-5</v>
      </c>
      <c r="K2367" s="257">
        <v>1.2999382691127863E-5</v>
      </c>
      <c r="L2367" s="228">
        <v>2.9584808779399251E-2</v>
      </c>
    </row>
    <row r="2368" spans="1:12" s="212" customFormat="1" ht="15.5" x14ac:dyDescent="0.35">
      <c r="A2368" s="198" t="s">
        <v>801</v>
      </c>
      <c r="B2368" s="197">
        <v>2044</v>
      </c>
      <c r="C2368" s="213" t="s">
        <v>5523</v>
      </c>
      <c r="D2368" s="239">
        <v>4.1963275524400847E-3</v>
      </c>
      <c r="E2368" s="226">
        <v>2.6403399226641786E-2</v>
      </c>
      <c r="F2368" s="226">
        <v>6.1374293404318288E-4</v>
      </c>
      <c r="G2368" s="227">
        <v>5.647657423457251E-4</v>
      </c>
      <c r="H2368" s="226">
        <v>2.0000005732018801E-3</v>
      </c>
      <c r="I2368" s="255">
        <v>3.0110595335242217E-3</v>
      </c>
      <c r="J2368" s="256">
        <v>1.1594869944348817E-5</v>
      </c>
      <c r="K2368" s="257">
        <v>1.2119138511758917E-5</v>
      </c>
      <c r="L2368" s="228">
        <v>2.9497462963250856E-2</v>
      </c>
    </row>
    <row r="2369" spans="1:12" s="212" customFormat="1" ht="15.5" x14ac:dyDescent="0.35">
      <c r="A2369" s="198" t="s">
        <v>801</v>
      </c>
      <c r="B2369" s="197">
        <v>2045</v>
      </c>
      <c r="C2369" s="213" t="s">
        <v>5524</v>
      </c>
      <c r="D2369" s="239">
        <v>4.0794457458043542E-3</v>
      </c>
      <c r="E2369" s="226">
        <v>2.545780312070901E-2</v>
      </c>
      <c r="F2369" s="226">
        <v>5.9743830564187915E-4</v>
      </c>
      <c r="G2369" s="227">
        <v>5.4974719493623789E-4</v>
      </c>
      <c r="H2369" s="226">
        <v>2.0000005732018801E-3</v>
      </c>
      <c r="I2369" s="255">
        <v>3.0103397143110187E-3</v>
      </c>
      <c r="J2369" s="256">
        <v>1.0900787557769275E-5</v>
      </c>
      <c r="K2369" s="257">
        <v>1.1393672799603216E-5</v>
      </c>
      <c r="L2369" s="228">
        <v>2.9424361126668564E-2</v>
      </c>
    </row>
    <row r="2370" spans="1:12" s="212" customFormat="1" ht="15.5" x14ac:dyDescent="0.35">
      <c r="A2370" s="198" t="s">
        <v>801</v>
      </c>
      <c r="B2370" s="197">
        <v>2046</v>
      </c>
      <c r="C2370" s="213" t="s">
        <v>5525</v>
      </c>
      <c r="D2370" s="239">
        <v>3.9711483735544633E-3</v>
      </c>
      <c r="E2370" s="226">
        <v>2.4572973497431889E-2</v>
      </c>
      <c r="F2370" s="226">
        <v>5.8335802311196424E-4</v>
      </c>
      <c r="G2370" s="227">
        <v>5.3677820211835321E-4</v>
      </c>
      <c r="H2370" s="226">
        <v>2.0000005732018797E-3</v>
      </c>
      <c r="I2370" s="255">
        <v>3.0096940146571373E-3</v>
      </c>
      <c r="J2370" s="256">
        <v>1.0318367103809975E-5</v>
      </c>
      <c r="K2370" s="257">
        <v>1.0784917877168381E-5</v>
      </c>
      <c r="L2370" s="228">
        <v>2.9362693070835475E-2</v>
      </c>
    </row>
    <row r="2371" spans="1:12" s="212" customFormat="1" ht="15.5" x14ac:dyDescent="0.35">
      <c r="A2371" s="198" t="s">
        <v>801</v>
      </c>
      <c r="B2371" s="197">
        <v>2047</v>
      </c>
      <c r="C2371" s="213" t="s">
        <v>5526</v>
      </c>
      <c r="D2371" s="239">
        <v>3.8768888459291867E-3</v>
      </c>
      <c r="E2371" s="226">
        <v>2.3795934306833109E-2</v>
      </c>
      <c r="F2371" s="226">
        <v>5.711646947059246E-4</v>
      </c>
      <c r="G2371" s="227">
        <v>5.2554247019759033E-4</v>
      </c>
      <c r="H2371" s="226">
        <v>2.0000005732018753E-3</v>
      </c>
      <c r="I2371" s="255">
        <v>3.0091364219589937E-3</v>
      </c>
      <c r="J2371" s="256">
        <v>9.6917053753905885E-6</v>
      </c>
      <c r="K2371" s="257">
        <v>1.0129921286160085E-5</v>
      </c>
      <c r="L2371" s="228">
        <v>2.9311875215270563E-2</v>
      </c>
    </row>
    <row r="2372" spans="1:12" s="212" customFormat="1" ht="15.5" x14ac:dyDescent="0.35">
      <c r="A2372" s="198" t="s">
        <v>801</v>
      </c>
      <c r="B2372" s="197">
        <v>2048</v>
      </c>
      <c r="C2372" s="213" t="s">
        <v>5527</v>
      </c>
      <c r="D2372" s="239">
        <v>3.7970306583187336E-3</v>
      </c>
      <c r="E2372" s="226">
        <v>2.312775491441503E-2</v>
      </c>
      <c r="F2372" s="226">
        <v>5.6064942282254291E-4</v>
      </c>
      <c r="G2372" s="227">
        <v>5.1585079911940367E-4</v>
      </c>
      <c r="H2372" s="226">
        <v>2.0000005732018771E-3</v>
      </c>
      <c r="I2372" s="255">
        <v>3.0086586182552764E-3</v>
      </c>
      <c r="J2372" s="256">
        <v>9.0945540916078958E-6</v>
      </c>
      <c r="K2372" s="257">
        <v>9.5057694711443264E-6</v>
      </c>
      <c r="L2372" s="228">
        <v>2.9269407329921865E-2</v>
      </c>
    </row>
    <row r="2373" spans="1:12" s="212" customFormat="1" ht="15.5" x14ac:dyDescent="0.35">
      <c r="A2373" s="198" t="s">
        <v>801</v>
      </c>
      <c r="B2373" s="197">
        <v>2049</v>
      </c>
      <c r="C2373" s="213" t="s">
        <v>5528</v>
      </c>
      <c r="D2373" s="239">
        <v>3.7806796438884581E-3</v>
      </c>
      <c r="E2373" s="226">
        <v>2.3061377364833741E-2</v>
      </c>
      <c r="F2373" s="226">
        <v>5.5448833629954605E-4</v>
      </c>
      <c r="G2373" s="227">
        <v>5.1017121122740874E-4</v>
      </c>
      <c r="H2373" s="226">
        <v>2.0000005732018797E-3</v>
      </c>
      <c r="I2373" s="255">
        <v>3.0082251887446447E-3</v>
      </c>
      <c r="J2373" s="256">
        <v>8.7173679140934506E-6</v>
      </c>
      <c r="K2373" s="257">
        <v>9.111528608421539E-6</v>
      </c>
      <c r="L2373" s="228">
        <v>2.923455362009289E-2</v>
      </c>
    </row>
    <row r="2374" spans="1:12" s="212" customFormat="1" ht="15.5" x14ac:dyDescent="0.35">
      <c r="A2374" s="198" t="s">
        <v>801</v>
      </c>
      <c r="B2374" s="197">
        <v>2050</v>
      </c>
      <c r="C2374" s="213" t="s">
        <v>5529</v>
      </c>
      <c r="D2374" s="239">
        <v>3.7677343782035462E-3</v>
      </c>
      <c r="E2374" s="226">
        <v>2.3001688492328105E-2</v>
      </c>
      <c r="F2374" s="226">
        <v>5.4918913593363984E-4</v>
      </c>
      <c r="G2374" s="227">
        <v>5.0527647799569276E-4</v>
      </c>
      <c r="H2374" s="226">
        <v>2.0000005732018779E-3</v>
      </c>
      <c r="I2374" s="255">
        <v>3.0079871927071763E-3</v>
      </c>
      <c r="J2374" s="256">
        <v>8.1446662064067085E-6</v>
      </c>
      <c r="K2374" s="257">
        <v>8.5129318708394038E-6</v>
      </c>
      <c r="L2374" s="228">
        <v>2.9205919744779291E-2</v>
      </c>
    </row>
    <row r="2375" spans="1:12" s="212" customFormat="1" ht="15.5" x14ac:dyDescent="0.35">
      <c r="A2375" s="198" t="s">
        <v>803</v>
      </c>
      <c r="B2375" s="197">
        <v>2015</v>
      </c>
      <c r="C2375" s="213" t="s">
        <v>5530</v>
      </c>
      <c r="D2375" s="239">
        <v>9.6041044254819283E-2</v>
      </c>
      <c r="E2375" s="226">
        <v>0.3523146246927305</v>
      </c>
      <c r="F2375" s="226">
        <v>3.3092632141803638E-3</v>
      </c>
      <c r="G2375" s="227">
        <v>3.0622435576521225E-3</v>
      </c>
      <c r="H2375" s="226">
        <v>2.0000005732018797E-3</v>
      </c>
      <c r="I2375" s="255">
        <v>3.2591404199244283E-3</v>
      </c>
      <c r="J2375" s="256">
        <v>3.0912260035087253E-4</v>
      </c>
      <c r="K2375" s="257">
        <v>3.2309975262751546E-4</v>
      </c>
      <c r="L2375" s="228">
        <v>4.745143389925998E-2</v>
      </c>
    </row>
    <row r="2376" spans="1:12" s="212" customFormat="1" ht="15.5" x14ac:dyDescent="0.35">
      <c r="A2376" s="198" t="s">
        <v>803</v>
      </c>
      <c r="B2376" s="197">
        <v>2016</v>
      </c>
      <c r="C2376" s="213" t="s">
        <v>5531</v>
      </c>
      <c r="D2376" s="239">
        <v>8.5328074769836393E-2</v>
      </c>
      <c r="E2376" s="226">
        <v>0.32350480989170399</v>
      </c>
      <c r="F2376" s="226">
        <v>3.1774607718229159E-3</v>
      </c>
      <c r="G2376" s="227">
        <v>2.9388596498449268E-3</v>
      </c>
      <c r="H2376" s="226">
        <v>2.0000005732018797E-3</v>
      </c>
      <c r="I2376" s="255">
        <v>3.2526929942855512E-3</v>
      </c>
      <c r="J2376" s="256">
        <v>2.9531032692522584E-4</v>
      </c>
      <c r="K2376" s="257">
        <v>3.0866294948861709E-4</v>
      </c>
      <c r="L2376" s="228">
        <v>4.6300591847514415E-2</v>
      </c>
    </row>
    <row r="2377" spans="1:12" s="212" customFormat="1" ht="15.5" x14ac:dyDescent="0.35">
      <c r="A2377" s="198" t="s">
        <v>803</v>
      </c>
      <c r="B2377" s="197">
        <v>2017</v>
      </c>
      <c r="C2377" s="213" t="s">
        <v>5532</v>
      </c>
      <c r="D2377" s="239">
        <v>6.8910389623099214E-2</v>
      </c>
      <c r="E2377" s="226">
        <v>0.27400587281343536</v>
      </c>
      <c r="F2377" s="226">
        <v>2.9200467308157256E-3</v>
      </c>
      <c r="G2377" s="227">
        <v>2.698379105358248E-3</v>
      </c>
      <c r="H2377" s="226">
        <v>2.0000005732018784E-3</v>
      </c>
      <c r="I2377" s="255">
        <v>3.255753033710247E-3</v>
      </c>
      <c r="J2377" s="256">
        <v>2.488849980682564E-4</v>
      </c>
      <c r="K2377" s="257">
        <v>2.6013847327008066E-4</v>
      </c>
      <c r="L2377" s="228">
        <v>4.59311401220662E-2</v>
      </c>
    </row>
    <row r="2378" spans="1:12" s="212" customFormat="1" ht="15.5" x14ac:dyDescent="0.35">
      <c r="A2378" s="198" t="s">
        <v>803</v>
      </c>
      <c r="B2378" s="197">
        <v>2018</v>
      </c>
      <c r="C2378" s="213" t="s">
        <v>5533</v>
      </c>
      <c r="D2378" s="239">
        <v>5.7823481613769365E-2</v>
      </c>
      <c r="E2378" s="226">
        <v>0.24032878915221992</v>
      </c>
      <c r="F2378" s="226">
        <v>2.7992280995016673E-3</v>
      </c>
      <c r="G2378" s="227">
        <v>2.5850686822759769E-3</v>
      </c>
      <c r="H2378" s="226">
        <v>2.0000005732018801E-3</v>
      </c>
      <c r="I2378" s="255">
        <v>3.2562276450002559E-3</v>
      </c>
      <c r="J2378" s="256">
        <v>2.2748468662900354E-4</v>
      </c>
      <c r="K2378" s="257">
        <v>2.3777053471002088E-4</v>
      </c>
      <c r="L2378" s="228">
        <v>4.531243081795619E-2</v>
      </c>
    </row>
    <row r="2379" spans="1:12" s="212" customFormat="1" ht="15.5" x14ac:dyDescent="0.35">
      <c r="A2379" s="198" t="s">
        <v>803</v>
      </c>
      <c r="B2379" s="197">
        <v>2019</v>
      </c>
      <c r="C2379" s="213" t="s">
        <v>5534</v>
      </c>
      <c r="D2379" s="239">
        <v>4.8786547112311715E-2</v>
      </c>
      <c r="E2379" s="226">
        <v>0.20656793308287019</v>
      </c>
      <c r="F2379" s="226">
        <v>2.6817828341559138E-3</v>
      </c>
      <c r="G2379" s="227">
        <v>2.4744127755869831E-3</v>
      </c>
      <c r="H2379" s="226">
        <v>2.0000005732018797E-3</v>
      </c>
      <c r="I2379" s="255">
        <v>3.2581600987038953E-3</v>
      </c>
      <c r="J2379" s="256">
        <v>1.8157865771846634E-4</v>
      </c>
      <c r="K2379" s="257">
        <v>1.8978883887713524E-4</v>
      </c>
      <c r="L2379" s="228">
        <v>4.4551396991436606E-2</v>
      </c>
    </row>
    <row r="2380" spans="1:12" s="212" customFormat="1" ht="15.5" x14ac:dyDescent="0.35">
      <c r="A2380" s="198" t="s">
        <v>803</v>
      </c>
      <c r="B2380" s="197">
        <v>2020</v>
      </c>
      <c r="C2380" s="213" t="s">
        <v>5535</v>
      </c>
      <c r="D2380" s="239">
        <v>4.2932250914330394E-2</v>
      </c>
      <c r="E2380" s="226">
        <v>0.18545744223627916</v>
      </c>
      <c r="F2380" s="226">
        <v>2.5887314368525454E-3</v>
      </c>
      <c r="G2380" s="227">
        <v>2.3879145926093723E-3</v>
      </c>
      <c r="H2380" s="226">
        <v>2.0000005732018801E-3</v>
      </c>
      <c r="I2380" s="255">
        <v>3.2663170308395565E-3</v>
      </c>
      <c r="J2380" s="256">
        <v>1.6723383259335768E-4</v>
      </c>
      <c r="K2380" s="257">
        <v>1.747954044140881E-4</v>
      </c>
      <c r="L2380" s="228">
        <v>4.4216977506440873E-2</v>
      </c>
    </row>
    <row r="2381" spans="1:12" s="212" customFormat="1" ht="15.5" x14ac:dyDescent="0.35">
      <c r="A2381" s="198" t="s">
        <v>803</v>
      </c>
      <c r="B2381" s="197">
        <v>2021</v>
      </c>
      <c r="C2381" s="213" t="s">
        <v>5536</v>
      </c>
      <c r="D2381" s="239">
        <v>3.7320900874700941E-2</v>
      </c>
      <c r="E2381" s="226">
        <v>0.16434637795559628</v>
      </c>
      <c r="F2381" s="226">
        <v>2.4562459502394289E-3</v>
      </c>
      <c r="G2381" s="227">
        <v>2.2651950927700254E-3</v>
      </c>
      <c r="H2381" s="226">
        <v>2.0000005732018801E-3</v>
      </c>
      <c r="I2381" s="255">
        <v>3.2709332486429588E-3</v>
      </c>
      <c r="J2381" s="256">
        <v>1.5281630185137268E-4</v>
      </c>
      <c r="K2381" s="257">
        <v>1.5972597690879525E-4</v>
      </c>
      <c r="L2381" s="228">
        <v>4.3258515844733919E-2</v>
      </c>
    </row>
    <row r="2382" spans="1:12" s="212" customFormat="1" ht="15.5" x14ac:dyDescent="0.35">
      <c r="A2382" s="198" t="s">
        <v>803</v>
      </c>
      <c r="B2382" s="197">
        <v>2022</v>
      </c>
      <c r="C2382" s="213" t="s">
        <v>5537</v>
      </c>
      <c r="D2382" s="239">
        <v>3.079615758370699E-2</v>
      </c>
      <c r="E2382" s="226">
        <v>0.14319470535963877</v>
      </c>
      <c r="F2382" s="226">
        <v>2.316925128943124E-3</v>
      </c>
      <c r="G2382" s="227">
        <v>2.1359091368180669E-3</v>
      </c>
      <c r="H2382" s="226">
        <v>2.0000005732018801E-3</v>
      </c>
      <c r="I2382" s="255">
        <v>3.2712063669526874E-3</v>
      </c>
      <c r="J2382" s="256">
        <v>1.3793179051212231E-4</v>
      </c>
      <c r="K2382" s="257">
        <v>1.4416845401582474E-4</v>
      </c>
      <c r="L2382" s="228">
        <v>4.2384223201146806E-2</v>
      </c>
    </row>
    <row r="2383" spans="1:12" s="212" customFormat="1" ht="15.5" x14ac:dyDescent="0.35">
      <c r="A2383" s="198" t="s">
        <v>803</v>
      </c>
      <c r="B2383" s="197">
        <v>2023</v>
      </c>
      <c r="C2383" s="213" t="s">
        <v>5538</v>
      </c>
      <c r="D2383" s="239">
        <v>2.693338860668465E-2</v>
      </c>
      <c r="E2383" s="226">
        <v>0.12614461197125004</v>
      </c>
      <c r="F2383" s="226">
        <v>2.191608084746592E-3</v>
      </c>
      <c r="G2383" s="227">
        <v>2.0200076983026096E-3</v>
      </c>
      <c r="H2383" s="226">
        <v>2.0000005732018801E-3</v>
      </c>
      <c r="I2383" s="255">
        <v>3.2707590835934653E-3</v>
      </c>
      <c r="J2383" s="256">
        <v>1.2292339991511149E-4</v>
      </c>
      <c r="K2383" s="257">
        <v>1.2848145059476425E-4</v>
      </c>
      <c r="L2383" s="228">
        <v>4.146626914452408E-2</v>
      </c>
    </row>
    <row r="2384" spans="1:12" s="212" customFormat="1" ht="15.5" x14ac:dyDescent="0.35">
      <c r="A2384" s="198" t="s">
        <v>803</v>
      </c>
      <c r="B2384" s="197">
        <v>2024</v>
      </c>
      <c r="C2384" s="213" t="s">
        <v>5539</v>
      </c>
      <c r="D2384" s="239">
        <v>2.358070995228986E-2</v>
      </c>
      <c r="E2384" s="226">
        <v>0.11143738138270445</v>
      </c>
      <c r="F2384" s="226">
        <v>2.0769875094474883E-3</v>
      </c>
      <c r="G2384" s="227">
        <v>1.9139068604360778E-3</v>
      </c>
      <c r="H2384" s="226">
        <v>2.0000005732018797E-3</v>
      </c>
      <c r="I2384" s="255">
        <v>3.2703050515962735E-3</v>
      </c>
      <c r="J2384" s="256">
        <v>1.0682968924857917E-4</v>
      </c>
      <c r="K2384" s="257">
        <v>1.11660053746675E-4</v>
      </c>
      <c r="L2384" s="228">
        <v>4.0567996056365747E-2</v>
      </c>
    </row>
    <row r="2385" spans="1:12" s="212" customFormat="1" ht="15.5" x14ac:dyDescent="0.35">
      <c r="A2385" s="198" t="s">
        <v>803</v>
      </c>
      <c r="B2385" s="197">
        <v>2025</v>
      </c>
      <c r="C2385" s="213" t="s">
        <v>5540</v>
      </c>
      <c r="D2385" s="239">
        <v>2.094273487269355E-2</v>
      </c>
      <c r="E2385" s="226">
        <v>9.9473296830526331E-2</v>
      </c>
      <c r="F2385" s="226">
        <v>1.9863263926277216E-3</v>
      </c>
      <c r="G2385" s="227">
        <v>1.8300293975024771E-3</v>
      </c>
      <c r="H2385" s="226">
        <v>2.0000005732018801E-3</v>
      </c>
      <c r="I2385" s="255">
        <v>3.2699021108421413E-3</v>
      </c>
      <c r="J2385" s="256">
        <v>9.4229083881692887E-5</v>
      </c>
      <c r="K2385" s="257">
        <v>9.8489704919456071E-5</v>
      </c>
      <c r="L2385" s="228">
        <v>3.9600792685493449E-2</v>
      </c>
    </row>
    <row r="2386" spans="1:12" s="212" customFormat="1" ht="15.5" x14ac:dyDescent="0.35">
      <c r="A2386" s="198" t="s">
        <v>803</v>
      </c>
      <c r="B2386" s="197">
        <v>2026</v>
      </c>
      <c r="C2386" s="213" t="s">
        <v>5541</v>
      </c>
      <c r="D2386" s="239">
        <v>1.874211623527914E-2</v>
      </c>
      <c r="E2386" s="226">
        <v>8.9469556492541152E-2</v>
      </c>
      <c r="F2386" s="226">
        <v>1.8977470476670398E-3</v>
      </c>
      <c r="G2386" s="227">
        <v>1.7481020514081057E-3</v>
      </c>
      <c r="H2386" s="226">
        <v>2.0000005732018801E-3</v>
      </c>
      <c r="I2386" s="255">
        <v>3.2692545163655762E-3</v>
      </c>
      <c r="J2386" s="256">
        <v>8.1942469640219803E-5</v>
      </c>
      <c r="K2386" s="257">
        <v>8.5647544503026924E-5</v>
      </c>
      <c r="L2386" s="228">
        <v>3.8663474277076629E-2</v>
      </c>
    </row>
    <row r="2387" spans="1:12" s="212" customFormat="1" ht="15.5" x14ac:dyDescent="0.35">
      <c r="A2387" s="198" t="s">
        <v>803</v>
      </c>
      <c r="B2387" s="197">
        <v>2027</v>
      </c>
      <c r="C2387" s="213" t="s">
        <v>5542</v>
      </c>
      <c r="D2387" s="239">
        <v>1.6870291356497202E-2</v>
      </c>
      <c r="E2387" s="226">
        <v>8.0845157415175742E-2</v>
      </c>
      <c r="F2387" s="226">
        <v>1.7951750320634994E-3</v>
      </c>
      <c r="G2387" s="227">
        <v>1.6531164736713236E-3</v>
      </c>
      <c r="H2387" s="226">
        <v>2.0000005732018801E-3</v>
      </c>
      <c r="I2387" s="255">
        <v>3.2681803772913543E-3</v>
      </c>
      <c r="J2387" s="256">
        <v>6.4658902426395414E-5</v>
      </c>
      <c r="K2387" s="257">
        <v>6.7582491074486811E-5</v>
      </c>
      <c r="L2387" s="228">
        <v>3.7830609021042953E-2</v>
      </c>
    </row>
    <row r="2388" spans="1:12" s="212" customFormat="1" ht="15.5" x14ac:dyDescent="0.35">
      <c r="A2388" s="198" t="s">
        <v>803</v>
      </c>
      <c r="B2388" s="197">
        <v>2028</v>
      </c>
      <c r="C2388" s="213" t="s">
        <v>5543</v>
      </c>
      <c r="D2388" s="239">
        <v>1.5263564082558495E-2</v>
      </c>
      <c r="E2388" s="226">
        <v>7.3468561859025422E-2</v>
      </c>
      <c r="F2388" s="226">
        <v>1.6887566257461778E-3</v>
      </c>
      <c r="G2388" s="227">
        <v>1.5547912908154787E-3</v>
      </c>
      <c r="H2388" s="226">
        <v>2.0000005732018792E-3</v>
      </c>
      <c r="I2388" s="255">
        <v>3.2670479352281952E-3</v>
      </c>
      <c r="J2388" s="256">
        <v>5.2406560164765809E-5</v>
      </c>
      <c r="K2388" s="257">
        <v>5.4776152264750002E-5</v>
      </c>
      <c r="L2388" s="228">
        <v>3.6941838990705404E-2</v>
      </c>
    </row>
    <row r="2389" spans="1:12" s="212" customFormat="1" ht="15.5" x14ac:dyDescent="0.35">
      <c r="A2389" s="198" t="s">
        <v>803</v>
      </c>
      <c r="B2389" s="197">
        <v>2029</v>
      </c>
      <c r="C2389" s="213" t="s">
        <v>5544</v>
      </c>
      <c r="D2389" s="239">
        <v>1.3841339312206401E-2</v>
      </c>
      <c r="E2389" s="226">
        <v>6.703279830929211E-2</v>
      </c>
      <c r="F2389" s="226">
        <v>1.5874990749282125E-3</v>
      </c>
      <c r="G2389" s="227">
        <v>1.4613693068969327E-3</v>
      </c>
      <c r="H2389" s="226">
        <v>2.0000005732018797E-3</v>
      </c>
      <c r="I2389" s="255">
        <v>3.2658660817067495E-3</v>
      </c>
      <c r="J2389" s="256">
        <v>4.4208919184253506E-5</v>
      </c>
      <c r="K2389" s="257">
        <v>4.6207850335591952E-5</v>
      </c>
      <c r="L2389" s="228">
        <v>3.6202920668232025E-2</v>
      </c>
    </row>
    <row r="2390" spans="1:12" s="212" customFormat="1" ht="15.5" x14ac:dyDescent="0.35">
      <c r="A2390" s="198" t="s">
        <v>803</v>
      </c>
      <c r="B2390" s="197">
        <v>2030</v>
      </c>
      <c r="C2390" s="213" t="s">
        <v>5545</v>
      </c>
      <c r="D2390" s="239">
        <v>1.2672481138719665E-2</v>
      </c>
      <c r="E2390" s="226">
        <v>6.1582467930032136E-2</v>
      </c>
      <c r="F2390" s="226">
        <v>1.4909353100042671E-3</v>
      </c>
      <c r="G2390" s="227">
        <v>1.3722870961378711E-3</v>
      </c>
      <c r="H2390" s="226">
        <v>2.0000005732018801E-3</v>
      </c>
      <c r="I2390" s="255">
        <v>3.2646767844942384E-3</v>
      </c>
      <c r="J2390" s="256">
        <v>3.6627513333422943E-5</v>
      </c>
      <c r="K2390" s="257">
        <v>3.8283646954177187E-5</v>
      </c>
      <c r="L2390" s="228">
        <v>3.5534723703315133E-2</v>
      </c>
    </row>
    <row r="2391" spans="1:12" s="212" customFormat="1" ht="15.5" x14ac:dyDescent="0.35">
      <c r="A2391" s="198" t="s">
        <v>803</v>
      </c>
      <c r="B2391" s="197">
        <v>2031</v>
      </c>
      <c r="C2391" s="213" t="s">
        <v>5546</v>
      </c>
      <c r="D2391" s="239">
        <v>1.1632340841833896E-2</v>
      </c>
      <c r="E2391" s="226">
        <v>5.674333591446383E-2</v>
      </c>
      <c r="F2391" s="226">
        <v>1.40089219109474E-3</v>
      </c>
      <c r="G2391" s="227">
        <v>1.2893395692472633E-3</v>
      </c>
      <c r="H2391" s="226">
        <v>2.0000005732018801E-3</v>
      </c>
      <c r="I2391" s="255">
        <v>3.2633280741366823E-3</v>
      </c>
      <c r="J2391" s="256">
        <v>3.2618496940315197E-5</v>
      </c>
      <c r="K2391" s="257">
        <v>3.409336062951973E-5</v>
      </c>
      <c r="L2391" s="228">
        <v>3.4933085466786688E-2</v>
      </c>
    </row>
    <row r="2392" spans="1:12" s="212" customFormat="1" ht="15.5" x14ac:dyDescent="0.35">
      <c r="A2392" s="198" t="s">
        <v>803</v>
      </c>
      <c r="B2392" s="197">
        <v>2032</v>
      </c>
      <c r="C2392" s="213" t="s">
        <v>5547</v>
      </c>
      <c r="D2392" s="239">
        <v>1.0721669404016894E-2</v>
      </c>
      <c r="E2392" s="226">
        <v>5.2583411099826664E-2</v>
      </c>
      <c r="F2392" s="226">
        <v>1.3154651855797333E-3</v>
      </c>
      <c r="G2392" s="227">
        <v>1.2106332271233265E-3</v>
      </c>
      <c r="H2392" s="226">
        <v>2.0000005732018801E-3</v>
      </c>
      <c r="I2392" s="255">
        <v>3.2618453471070954E-3</v>
      </c>
      <c r="J2392" s="256">
        <v>2.8528349306515968E-5</v>
      </c>
      <c r="K2392" s="257">
        <v>2.9818274669481419E-5</v>
      </c>
      <c r="L2392" s="228">
        <v>3.4392122864533928E-2</v>
      </c>
    </row>
    <row r="2393" spans="1:12" s="212" customFormat="1" ht="15.5" x14ac:dyDescent="0.35">
      <c r="A2393" s="198" t="s">
        <v>803</v>
      </c>
      <c r="B2393" s="197">
        <v>2033</v>
      </c>
      <c r="C2393" s="213" t="s">
        <v>5548</v>
      </c>
      <c r="D2393" s="239">
        <v>9.8856324501492218E-3</v>
      </c>
      <c r="E2393" s="226">
        <v>4.8837812528329957E-2</v>
      </c>
      <c r="F2393" s="226">
        <v>1.2346549039452526E-3</v>
      </c>
      <c r="G2393" s="227">
        <v>1.136228135702363E-3</v>
      </c>
      <c r="H2393" s="226">
        <v>2.0000005732018805E-3</v>
      </c>
      <c r="I2393" s="255">
        <v>3.2601824677150949E-3</v>
      </c>
      <c r="J2393" s="256">
        <v>2.588428374822738E-5</v>
      </c>
      <c r="K2393" s="257">
        <v>2.705465619951422E-5</v>
      </c>
      <c r="L2393" s="228">
        <v>3.3908764500142984E-2</v>
      </c>
    </row>
    <row r="2394" spans="1:12" s="212" customFormat="1" ht="15.5" x14ac:dyDescent="0.35">
      <c r="A2394" s="198" t="s">
        <v>803</v>
      </c>
      <c r="B2394" s="197">
        <v>2034</v>
      </c>
      <c r="C2394" s="213" t="s">
        <v>5549</v>
      </c>
      <c r="D2394" s="239">
        <v>9.1133747277536859E-3</v>
      </c>
      <c r="E2394" s="226">
        <v>4.5519358734506771E-2</v>
      </c>
      <c r="F2394" s="226">
        <v>1.1575717065118278E-3</v>
      </c>
      <c r="G2394" s="227">
        <v>1.0652523579658597E-3</v>
      </c>
      <c r="H2394" s="226">
        <v>2.0000005732018801E-3</v>
      </c>
      <c r="I2394" s="255">
        <v>3.2583851093370363E-3</v>
      </c>
      <c r="J2394" s="256">
        <v>2.3301746983818272E-5</v>
      </c>
      <c r="K2394" s="257">
        <v>2.4355348582455699E-5</v>
      </c>
      <c r="L2394" s="228">
        <v>3.3479533625371503E-2</v>
      </c>
    </row>
    <row r="2395" spans="1:12" s="212" customFormat="1" ht="15.5" x14ac:dyDescent="0.35">
      <c r="A2395" s="198" t="s">
        <v>803</v>
      </c>
      <c r="B2395" s="197">
        <v>2035</v>
      </c>
      <c r="C2395" s="213" t="s">
        <v>5550</v>
      </c>
      <c r="D2395" s="239">
        <v>8.4284880841681599E-3</v>
      </c>
      <c r="E2395" s="226">
        <v>4.2672129838792636E-2</v>
      </c>
      <c r="F2395" s="226">
        <v>1.0853084283619077E-3</v>
      </c>
      <c r="G2395" s="227">
        <v>9.9868704331799118E-4</v>
      </c>
      <c r="H2395" s="226">
        <v>2.0000005732018801E-3</v>
      </c>
      <c r="I2395" s="255">
        <v>3.2566168998936452E-3</v>
      </c>
      <c r="J2395" s="256">
        <v>2.0173183323415457E-5</v>
      </c>
      <c r="K2395" s="257">
        <v>2.108532515612508E-5</v>
      </c>
      <c r="L2395" s="228">
        <v>3.310004324612071E-2</v>
      </c>
    </row>
    <row r="2396" spans="1:12" s="212" customFormat="1" ht="15.5" x14ac:dyDescent="0.35">
      <c r="A2396" s="198" t="s">
        <v>803</v>
      </c>
      <c r="B2396" s="197">
        <v>2036</v>
      </c>
      <c r="C2396" s="213" t="s">
        <v>5551</v>
      </c>
      <c r="D2396" s="239">
        <v>7.8368688369387304E-3</v>
      </c>
      <c r="E2396" s="226">
        <v>4.0239540225312606E-2</v>
      </c>
      <c r="F2396" s="226">
        <v>1.0245608901265086E-3</v>
      </c>
      <c r="G2396" s="227">
        <v>9.4275350554245702E-4</v>
      </c>
      <c r="H2396" s="226">
        <v>2.0000005732018805E-3</v>
      </c>
      <c r="I2396" s="255">
        <v>3.2549123517656669E-3</v>
      </c>
      <c r="J2396" s="256">
        <v>1.8160530691553625E-5</v>
      </c>
      <c r="K2396" s="257">
        <v>1.898166930326425E-5</v>
      </c>
      <c r="L2396" s="228">
        <v>3.2780898780447376E-2</v>
      </c>
    </row>
    <row r="2397" spans="1:12" s="212" customFormat="1" ht="15.5" x14ac:dyDescent="0.35">
      <c r="A2397" s="198" t="s">
        <v>803</v>
      </c>
      <c r="B2397" s="197">
        <v>2037</v>
      </c>
      <c r="C2397" s="213" t="s">
        <v>5552</v>
      </c>
      <c r="D2397" s="239">
        <v>7.2998025397837518E-3</v>
      </c>
      <c r="E2397" s="226">
        <v>3.8064707736411685E-2</v>
      </c>
      <c r="F2397" s="226">
        <v>9.6903548646043122E-4</v>
      </c>
      <c r="G2397" s="227">
        <v>8.9162339135296991E-4</v>
      </c>
      <c r="H2397" s="226">
        <v>2.0000005732018805E-3</v>
      </c>
      <c r="I2397" s="255">
        <v>3.2532883044004185E-3</v>
      </c>
      <c r="J2397" s="256">
        <v>1.6195708540873732E-5</v>
      </c>
      <c r="K2397" s="257">
        <v>1.6928006613699786E-5</v>
      </c>
      <c r="L2397" s="228">
        <v>3.2492859014412193E-2</v>
      </c>
    </row>
    <row r="2398" spans="1:12" s="212" customFormat="1" ht="15.5" x14ac:dyDescent="0.35">
      <c r="A2398" s="198" t="s">
        <v>803</v>
      </c>
      <c r="B2398" s="197">
        <v>2038</v>
      </c>
      <c r="C2398" s="213" t="s">
        <v>5553</v>
      </c>
      <c r="D2398" s="239">
        <v>6.8196159347372384E-3</v>
      </c>
      <c r="E2398" s="226">
        <v>3.6118944326355519E-2</v>
      </c>
      <c r="F2398" s="226">
        <v>9.1938206871815405E-4</v>
      </c>
      <c r="G2398" s="227">
        <v>8.4591847467715281E-4</v>
      </c>
      <c r="H2398" s="226">
        <v>2.0000005732018805E-3</v>
      </c>
      <c r="I2398" s="255">
        <v>3.2517461329848629E-3</v>
      </c>
      <c r="J2398" s="256">
        <v>1.4901350515418807E-5</v>
      </c>
      <c r="K2398" s="257">
        <v>1.5575123461962458E-5</v>
      </c>
      <c r="L2398" s="228">
        <v>3.2247248386475726E-2</v>
      </c>
    </row>
    <row r="2399" spans="1:12" s="212" customFormat="1" ht="15.5" x14ac:dyDescent="0.35">
      <c r="A2399" s="198" t="s">
        <v>803</v>
      </c>
      <c r="B2399" s="197">
        <v>2039</v>
      </c>
      <c r="C2399" s="213" t="s">
        <v>5554</v>
      </c>
      <c r="D2399" s="239">
        <v>6.336599180032142E-3</v>
      </c>
      <c r="E2399" s="226">
        <v>3.4199078927879316E-2</v>
      </c>
      <c r="F2399" s="226">
        <v>8.7387018084352712E-4</v>
      </c>
      <c r="G2399" s="227">
        <v>8.0402349078652943E-4</v>
      </c>
      <c r="H2399" s="226">
        <v>2.0000005732018805E-3</v>
      </c>
      <c r="I2399" s="255">
        <v>3.2502771915195535E-3</v>
      </c>
      <c r="J2399" s="256">
        <v>1.3657013113529378E-5</v>
      </c>
      <c r="K2399" s="257">
        <v>1.4274522644425042E-5</v>
      </c>
      <c r="L2399" s="228">
        <v>3.2035793441586573E-2</v>
      </c>
    </row>
    <row r="2400" spans="1:12" s="212" customFormat="1" ht="15.5" x14ac:dyDescent="0.35">
      <c r="A2400" s="198" t="s">
        <v>803</v>
      </c>
      <c r="B2400" s="197">
        <v>2040</v>
      </c>
      <c r="C2400" s="213" t="s">
        <v>5555</v>
      </c>
      <c r="D2400" s="239">
        <v>5.9318873274610707E-3</v>
      </c>
      <c r="E2400" s="226">
        <v>3.2619553894103467E-2</v>
      </c>
      <c r="F2400" s="226">
        <v>8.3392058803905087E-4</v>
      </c>
      <c r="G2400" s="227">
        <v>7.6725347069928832E-4</v>
      </c>
      <c r="H2400" s="226">
        <v>2.0000005732018801E-3</v>
      </c>
      <c r="I2400" s="255">
        <v>3.2490271474806213E-3</v>
      </c>
      <c r="J2400" s="256">
        <v>1.2685725552365819E-5</v>
      </c>
      <c r="K2400" s="257">
        <v>1.3259317769770378E-5</v>
      </c>
      <c r="L2400" s="228">
        <v>3.1857165433655431E-2</v>
      </c>
    </row>
    <row r="2401" spans="1:12" s="212" customFormat="1" ht="15.5" x14ac:dyDescent="0.35">
      <c r="A2401" s="198" t="s">
        <v>803</v>
      </c>
      <c r="B2401" s="197">
        <v>2041</v>
      </c>
      <c r="C2401" s="213" t="s">
        <v>5556</v>
      </c>
      <c r="D2401" s="239">
        <v>5.6428250422089037E-3</v>
      </c>
      <c r="E2401" s="226">
        <v>3.1374567121908267E-2</v>
      </c>
      <c r="F2401" s="226">
        <v>8.0406602584718679E-4</v>
      </c>
      <c r="G2401" s="227">
        <v>7.397735940945626E-4</v>
      </c>
      <c r="H2401" s="226">
        <v>2.0000005732018805E-3</v>
      </c>
      <c r="I2401" s="255">
        <v>3.2479494898924473E-3</v>
      </c>
      <c r="J2401" s="256">
        <v>1.1923238553344653E-5</v>
      </c>
      <c r="K2401" s="257">
        <v>1.2462354492139417E-5</v>
      </c>
      <c r="L2401" s="228">
        <v>3.1708180624453235E-2</v>
      </c>
    </row>
    <row r="2402" spans="1:12" s="212" customFormat="1" ht="15.5" x14ac:dyDescent="0.35">
      <c r="A2402" s="198" t="s">
        <v>803</v>
      </c>
      <c r="B2402" s="197">
        <v>2042</v>
      </c>
      <c r="C2402" s="213" t="s">
        <v>5557</v>
      </c>
      <c r="D2402" s="239">
        <v>5.3789229442644118E-3</v>
      </c>
      <c r="E2402" s="226">
        <v>3.0166686515524985E-2</v>
      </c>
      <c r="F2402" s="226">
        <v>7.7800232473166861E-4</v>
      </c>
      <c r="G2402" s="227">
        <v>7.1578384850100557E-4</v>
      </c>
      <c r="H2402" s="226">
        <v>2.0000005732018801E-3</v>
      </c>
      <c r="I2402" s="255">
        <v>3.2469493093310307E-3</v>
      </c>
      <c r="J2402" s="256">
        <v>1.1278150050559562E-5</v>
      </c>
      <c r="K2402" s="257">
        <v>1.1788097949796226E-5</v>
      </c>
      <c r="L2402" s="228">
        <v>3.158218656261845E-2</v>
      </c>
    </row>
    <row r="2403" spans="1:12" s="212" customFormat="1" ht="15.5" x14ac:dyDescent="0.35">
      <c r="A2403" s="198" t="s">
        <v>803</v>
      </c>
      <c r="B2403" s="197">
        <v>2043</v>
      </c>
      <c r="C2403" s="213" t="s">
        <v>5558</v>
      </c>
      <c r="D2403" s="239">
        <v>5.1671808771167034E-3</v>
      </c>
      <c r="E2403" s="226">
        <v>2.9093295334337903E-2</v>
      </c>
      <c r="F2403" s="226">
        <v>7.5538363159763301E-4</v>
      </c>
      <c r="G2403" s="227">
        <v>6.9496470831908823E-4</v>
      </c>
      <c r="H2403" s="226">
        <v>2.0000005732018805E-3</v>
      </c>
      <c r="I2403" s="255">
        <v>3.2459779460636481E-3</v>
      </c>
      <c r="J2403" s="256">
        <v>1.0711283127290987E-5</v>
      </c>
      <c r="K2403" s="257">
        <v>1.1195599819692135E-5</v>
      </c>
      <c r="L2403" s="228">
        <v>3.1478310858201547E-2</v>
      </c>
    </row>
    <row r="2404" spans="1:12" s="212" customFormat="1" ht="15.5" x14ac:dyDescent="0.35">
      <c r="A2404" s="198" t="s">
        <v>803</v>
      </c>
      <c r="B2404" s="197">
        <v>2044</v>
      </c>
      <c r="C2404" s="213" t="s">
        <v>5559</v>
      </c>
      <c r="D2404" s="239">
        <v>5.0001734931905024E-3</v>
      </c>
      <c r="E2404" s="226">
        <v>2.8098913702255174E-2</v>
      </c>
      <c r="F2404" s="226">
        <v>7.3587687360494218E-4</v>
      </c>
      <c r="G2404" s="227">
        <v>6.7701043576836901E-4</v>
      </c>
      <c r="H2404" s="226">
        <v>2.0000005732018805E-3</v>
      </c>
      <c r="I2404" s="255">
        <v>3.2451064441262646E-3</v>
      </c>
      <c r="J2404" s="256">
        <v>1.0235737470565205E-5</v>
      </c>
      <c r="K2404" s="257">
        <v>1.0698552098571826E-5</v>
      </c>
      <c r="L2404" s="228">
        <v>3.1390722260796103E-2</v>
      </c>
    </row>
    <row r="2405" spans="1:12" s="212" customFormat="1" ht="15.5" x14ac:dyDescent="0.35">
      <c r="A2405" s="198" t="s">
        <v>803</v>
      </c>
      <c r="B2405" s="197">
        <v>2045</v>
      </c>
      <c r="C2405" s="213" t="s">
        <v>5560</v>
      </c>
      <c r="D2405" s="239">
        <v>4.8734427866594689E-3</v>
      </c>
      <c r="E2405" s="226">
        <v>2.7197237760486478E-2</v>
      </c>
      <c r="F2405" s="226">
        <v>7.1902711413401519E-4</v>
      </c>
      <c r="G2405" s="227">
        <v>6.6150227288297979E-4</v>
      </c>
      <c r="H2405" s="226">
        <v>2.0000005732018801E-3</v>
      </c>
      <c r="I2405" s="255">
        <v>3.2443326310256275E-3</v>
      </c>
      <c r="J2405" s="256">
        <v>9.8396931836418176E-6</v>
      </c>
      <c r="K2405" s="257">
        <v>1.0284600446414274E-5</v>
      </c>
      <c r="L2405" s="228">
        <v>3.1316753546443733E-2</v>
      </c>
    </row>
    <row r="2406" spans="1:12" s="212" customFormat="1" ht="15.5" x14ac:dyDescent="0.35">
      <c r="A2406" s="198" t="s">
        <v>803</v>
      </c>
      <c r="B2406" s="197">
        <v>2046</v>
      </c>
      <c r="C2406" s="213" t="s">
        <v>5561</v>
      </c>
      <c r="D2406" s="239">
        <v>4.7512456692782893E-3</v>
      </c>
      <c r="E2406" s="226">
        <v>2.6319638702134648E-2</v>
      </c>
      <c r="F2406" s="226">
        <v>7.0450134462400518E-4</v>
      </c>
      <c r="G2406" s="227">
        <v>6.4813244468621574E-4</v>
      </c>
      <c r="H2406" s="226">
        <v>2.0000005732018801E-3</v>
      </c>
      <c r="I2406" s="255">
        <v>3.2436299595570324E-3</v>
      </c>
      <c r="J2406" s="256">
        <v>9.4824474849477527E-6</v>
      </c>
      <c r="K2406" s="257">
        <v>9.9112016824795486E-6</v>
      </c>
      <c r="L2406" s="228">
        <v>3.1253547504014857E-2</v>
      </c>
    </row>
    <row r="2407" spans="1:12" s="212" customFormat="1" ht="15.5" x14ac:dyDescent="0.35">
      <c r="A2407" s="198" t="s">
        <v>803</v>
      </c>
      <c r="B2407" s="197">
        <v>2047</v>
      </c>
      <c r="C2407" s="213" t="s">
        <v>5562</v>
      </c>
      <c r="D2407" s="239">
        <v>4.650044781785944E-3</v>
      </c>
      <c r="E2407" s="226">
        <v>2.5587935704102251E-2</v>
      </c>
      <c r="F2407" s="226">
        <v>6.9227277032029102E-4</v>
      </c>
      <c r="G2407" s="227">
        <v>6.3687557711255411E-4</v>
      </c>
      <c r="H2407" s="226">
        <v>2.0000005732018801E-3</v>
      </c>
      <c r="I2407" s="255">
        <v>3.2430332722166739E-3</v>
      </c>
      <c r="J2407" s="256">
        <v>9.1450778033037705E-6</v>
      </c>
      <c r="K2407" s="257">
        <v>9.558577640887436E-6</v>
      </c>
      <c r="L2407" s="228">
        <v>3.1201683037866228E-2</v>
      </c>
    </row>
    <row r="2408" spans="1:12" s="212" customFormat="1" ht="15.5" x14ac:dyDescent="0.35">
      <c r="A2408" s="198" t="s">
        <v>803</v>
      </c>
      <c r="B2408" s="197">
        <v>2048</v>
      </c>
      <c r="C2408" s="213" t="s">
        <v>5563</v>
      </c>
      <c r="D2408" s="239">
        <v>4.5656286903639322E-3</v>
      </c>
      <c r="E2408" s="226">
        <v>2.498367550316687E-2</v>
      </c>
      <c r="F2408" s="226">
        <v>6.8177447756381543E-4</v>
      </c>
      <c r="G2408" s="227">
        <v>6.2720821193164474E-4</v>
      </c>
      <c r="H2408" s="226">
        <v>2.0000005732018805E-3</v>
      </c>
      <c r="I2408" s="255">
        <v>3.242502836171847E-3</v>
      </c>
      <c r="J2408" s="256">
        <v>8.7710675865412165E-6</v>
      </c>
      <c r="K2408" s="257">
        <v>9.1676563417686259E-6</v>
      </c>
      <c r="L2408" s="228">
        <v>3.115789569366037E-2</v>
      </c>
    </row>
    <row r="2409" spans="1:12" s="212" customFormat="1" ht="15.5" x14ac:dyDescent="0.35">
      <c r="A2409" s="198" t="s">
        <v>803</v>
      </c>
      <c r="B2409" s="197">
        <v>2049</v>
      </c>
      <c r="C2409" s="213" t="s">
        <v>5564</v>
      </c>
      <c r="D2409" s="239">
        <v>4.5481230444287014E-3</v>
      </c>
      <c r="E2409" s="226">
        <v>2.4920016730430861E-2</v>
      </c>
      <c r="F2409" s="226">
        <v>6.7560722541064354E-4</v>
      </c>
      <c r="G2409" s="227">
        <v>6.2153060331426944E-4</v>
      </c>
      <c r="H2409" s="226">
        <v>2.0000005732018805E-3</v>
      </c>
      <c r="I2409" s="255">
        <v>3.2419779273852338E-3</v>
      </c>
      <c r="J2409" s="256">
        <v>8.5901796689299184E-6</v>
      </c>
      <c r="K2409" s="257">
        <v>8.9785894752012118E-6</v>
      </c>
      <c r="L2409" s="228">
        <v>3.1120668758844137E-2</v>
      </c>
    </row>
    <row r="2410" spans="1:12" s="212" customFormat="1" ht="15.5" x14ac:dyDescent="0.35">
      <c r="A2410" s="198" t="s">
        <v>803</v>
      </c>
      <c r="B2410" s="197">
        <v>2050</v>
      </c>
      <c r="C2410" s="213" t="s">
        <v>5565</v>
      </c>
      <c r="D2410" s="239">
        <v>4.5344616426839469E-3</v>
      </c>
      <c r="E2410" s="226">
        <v>2.4868407594956256E-2</v>
      </c>
      <c r="F2410" s="226">
        <v>6.7042833083464585E-4</v>
      </c>
      <c r="G2410" s="227">
        <v>6.1675726547731407E-4</v>
      </c>
      <c r="H2410" s="226">
        <v>2.0000005732018801E-3</v>
      </c>
      <c r="I2410" s="255">
        <v>3.2415616270189897E-3</v>
      </c>
      <c r="J2410" s="256">
        <v>8.2941172643460272E-6</v>
      </c>
      <c r="K2410" s="257">
        <v>8.669140442439492E-6</v>
      </c>
      <c r="L2410" s="228">
        <v>3.1089807185265505E-2</v>
      </c>
    </row>
    <row r="2411" spans="1:12" s="212" customFormat="1" ht="15.5" x14ac:dyDescent="0.35">
      <c r="A2411" s="198" t="s">
        <v>805</v>
      </c>
      <c r="B2411" s="197">
        <v>2015</v>
      </c>
      <c r="C2411" s="213" t="s">
        <v>5566</v>
      </c>
      <c r="D2411" s="239">
        <v>5.4760162687468514E-2</v>
      </c>
      <c r="E2411" s="226">
        <v>0.24291389605600161</v>
      </c>
      <c r="F2411" s="226">
        <v>2.06348380300184E-3</v>
      </c>
      <c r="G2411" s="227">
        <v>1.9075375210394251E-3</v>
      </c>
      <c r="H2411" s="226">
        <v>2.0000005732019465E-3</v>
      </c>
      <c r="I2411" s="255">
        <v>2.9333984795073789E-3</v>
      </c>
      <c r="J2411" s="256">
        <v>1.7597317817229517E-4</v>
      </c>
      <c r="K2411" s="257">
        <v>1.8392990441983288E-4</v>
      </c>
      <c r="L2411" s="228">
        <v>4.7328506055895239E-2</v>
      </c>
    </row>
    <row r="2412" spans="1:12" s="212" customFormat="1" ht="15.5" x14ac:dyDescent="0.35">
      <c r="A2412" s="198" t="s">
        <v>805</v>
      </c>
      <c r="B2412" s="197">
        <v>2016</v>
      </c>
      <c r="C2412" s="213" t="s">
        <v>5567</v>
      </c>
      <c r="D2412" s="239">
        <v>4.7669704380340613E-2</v>
      </c>
      <c r="E2412" s="226">
        <v>0.21708951780142191</v>
      </c>
      <c r="F2412" s="226">
        <v>1.9746604675811271E-3</v>
      </c>
      <c r="G2412" s="227">
        <v>1.824326878299315E-3</v>
      </c>
      <c r="H2412" s="226">
        <v>2.0000005732019391E-3</v>
      </c>
      <c r="I2412" s="255">
        <v>2.9246072221922109E-3</v>
      </c>
      <c r="J2412" s="256">
        <v>1.5954967130425848E-4</v>
      </c>
      <c r="K2412" s="257">
        <v>1.6676379944945645E-4</v>
      </c>
      <c r="L2412" s="228">
        <v>4.6280294477909177E-2</v>
      </c>
    </row>
    <row r="2413" spans="1:12" s="212" customFormat="1" ht="15.5" x14ac:dyDescent="0.35">
      <c r="A2413" s="198" t="s">
        <v>805</v>
      </c>
      <c r="B2413" s="197">
        <v>2017</v>
      </c>
      <c r="C2413" s="213" t="s">
        <v>5568</v>
      </c>
      <c r="D2413" s="239">
        <v>3.7862267786008395E-2</v>
      </c>
      <c r="E2413" s="226">
        <v>0.17953520752984012</v>
      </c>
      <c r="F2413" s="226">
        <v>1.8401033215789263E-3</v>
      </c>
      <c r="G2413" s="227">
        <v>1.6985341136840648E-3</v>
      </c>
      <c r="H2413" s="226">
        <v>2.0000005732019465E-3</v>
      </c>
      <c r="I2413" s="255">
        <v>2.9219646253684684E-3</v>
      </c>
      <c r="J2413" s="256">
        <v>1.3158215484821687E-4</v>
      </c>
      <c r="K2413" s="257">
        <v>1.3753171600328849E-4</v>
      </c>
      <c r="L2413" s="228">
        <v>4.5955442488405468E-2</v>
      </c>
    </row>
    <row r="2414" spans="1:12" s="212" customFormat="1" ht="15.5" x14ac:dyDescent="0.35">
      <c r="A2414" s="198" t="s">
        <v>805</v>
      </c>
      <c r="B2414" s="197">
        <v>2018</v>
      </c>
      <c r="C2414" s="213" t="s">
        <v>5569</v>
      </c>
      <c r="D2414" s="239">
        <v>3.1797377517523713E-2</v>
      </c>
      <c r="E2414" s="226">
        <v>0.15508067158016292</v>
      </c>
      <c r="F2414" s="226">
        <v>1.7981035613554421E-3</v>
      </c>
      <c r="G2414" s="227">
        <v>1.6587331446757409E-3</v>
      </c>
      <c r="H2414" s="226">
        <v>2.0000005732019469E-3</v>
      </c>
      <c r="I2414" s="255">
        <v>2.9228060792768269E-3</v>
      </c>
      <c r="J2414" s="256">
        <v>1.1644793751555822E-4</v>
      </c>
      <c r="K2414" s="257">
        <v>1.2171319651994203E-4</v>
      </c>
      <c r="L2414" s="228">
        <v>4.5332157222025896E-2</v>
      </c>
    </row>
    <row r="2415" spans="1:12" s="212" customFormat="1" ht="15.5" x14ac:dyDescent="0.35">
      <c r="A2415" s="198" t="s">
        <v>805</v>
      </c>
      <c r="B2415" s="197">
        <v>2019</v>
      </c>
      <c r="C2415" s="213" t="s">
        <v>5570</v>
      </c>
      <c r="D2415" s="239">
        <v>2.6192675734382807E-2</v>
      </c>
      <c r="E2415" s="226">
        <v>0.13050545302573838</v>
      </c>
      <c r="F2415" s="226">
        <v>1.756200695854415E-3</v>
      </c>
      <c r="G2415" s="227">
        <v>1.6189124906361406E-3</v>
      </c>
      <c r="H2415" s="226">
        <v>2.0000005732019417E-3</v>
      </c>
      <c r="I2415" s="255">
        <v>2.9235756063469426E-3</v>
      </c>
      <c r="J2415" s="256">
        <v>9.5546238144191456E-5</v>
      </c>
      <c r="K2415" s="257">
        <v>9.9866415052919397E-5</v>
      </c>
      <c r="L2415" s="228">
        <v>4.4612903105786007E-2</v>
      </c>
    </row>
    <row r="2416" spans="1:12" s="212" customFormat="1" ht="15.5" x14ac:dyDescent="0.35">
      <c r="A2416" s="198" t="s">
        <v>805</v>
      </c>
      <c r="B2416" s="197">
        <v>2020</v>
      </c>
      <c r="C2416" s="213" t="s">
        <v>5571</v>
      </c>
      <c r="D2416" s="239">
        <v>2.2841075361365013E-2</v>
      </c>
      <c r="E2416" s="226">
        <v>0.11590991436880378</v>
      </c>
      <c r="F2416" s="226">
        <v>1.721788950727975E-3</v>
      </c>
      <c r="G2416" s="227">
        <v>1.5868182709548912E-3</v>
      </c>
      <c r="H2416" s="226">
        <v>2.0000005732019404E-3</v>
      </c>
      <c r="I2416" s="255">
        <v>2.9282391528537175E-3</v>
      </c>
      <c r="J2416" s="256">
        <v>8.8117604338256803E-5</v>
      </c>
      <c r="K2416" s="257">
        <v>9.2101891390354722E-5</v>
      </c>
      <c r="L2416" s="228">
        <v>4.4189964619281111E-2</v>
      </c>
    </row>
    <row r="2417" spans="1:12" s="212" customFormat="1" ht="15.5" x14ac:dyDescent="0.35">
      <c r="A2417" s="198" t="s">
        <v>805</v>
      </c>
      <c r="B2417" s="197">
        <v>2021</v>
      </c>
      <c r="C2417" s="213" t="s">
        <v>5572</v>
      </c>
      <c r="D2417" s="239">
        <v>2.0056195292031009E-2</v>
      </c>
      <c r="E2417" s="226">
        <v>0.10243559718810842</v>
      </c>
      <c r="F2417" s="226">
        <v>1.662386384304694E-3</v>
      </c>
      <c r="G2417" s="227">
        <v>1.5318161143312735E-3</v>
      </c>
      <c r="H2417" s="226">
        <v>2.0000005732018025E-3</v>
      </c>
      <c r="I2417" s="255">
        <v>2.9310508091924549E-3</v>
      </c>
      <c r="J2417" s="256">
        <v>8.0324023482519178E-5</v>
      </c>
      <c r="K2417" s="257">
        <v>8.3955919391823515E-5</v>
      </c>
      <c r="L2417" s="228">
        <v>4.323736340123964E-2</v>
      </c>
    </row>
    <row r="2418" spans="1:12" s="212" customFormat="1" ht="15.5" x14ac:dyDescent="0.35">
      <c r="A2418" s="198" t="s">
        <v>805</v>
      </c>
      <c r="B2418" s="197">
        <v>2022</v>
      </c>
      <c r="C2418" s="213" t="s">
        <v>5573</v>
      </c>
      <c r="D2418" s="239">
        <v>1.7248598167230726E-2</v>
      </c>
      <c r="E2418" s="226">
        <v>8.9690493856673187E-2</v>
      </c>
      <c r="F2418" s="226">
        <v>1.5939519387159751E-3</v>
      </c>
      <c r="G2418" s="227">
        <v>1.4684621596626581E-3</v>
      </c>
      <c r="H2418" s="226">
        <v>2.0000005732018025E-3</v>
      </c>
      <c r="I2418" s="255">
        <v>2.9326649631398541E-3</v>
      </c>
      <c r="J2418" s="256">
        <v>7.2703816608561979E-5</v>
      </c>
      <c r="K2418" s="257">
        <v>7.5991160577193115E-5</v>
      </c>
      <c r="L2418" s="228">
        <v>4.2371353434913987E-2</v>
      </c>
    </row>
    <row r="2419" spans="1:12" s="212" customFormat="1" ht="15.5" x14ac:dyDescent="0.35">
      <c r="A2419" s="198" t="s">
        <v>805</v>
      </c>
      <c r="B2419" s="197">
        <v>2023</v>
      </c>
      <c r="C2419" s="213" t="s">
        <v>5574</v>
      </c>
      <c r="D2419" s="239">
        <v>1.5166513072783168E-2</v>
      </c>
      <c r="E2419" s="226">
        <v>7.8980147701433009E-2</v>
      </c>
      <c r="F2419" s="226">
        <v>1.5297984394816292E-3</v>
      </c>
      <c r="G2419" s="227">
        <v>1.4091566551284497E-3</v>
      </c>
      <c r="H2419" s="226">
        <v>2.0000005732018029E-3</v>
      </c>
      <c r="I2419" s="255">
        <v>2.9336706769589526E-3</v>
      </c>
      <c r="J2419" s="256">
        <v>6.50636504044829E-5</v>
      </c>
      <c r="K2419" s="257">
        <v>6.8005539960100975E-5</v>
      </c>
      <c r="L2419" s="228">
        <v>4.1463219932298581E-2</v>
      </c>
    </row>
    <row r="2420" spans="1:12" s="212" customFormat="1" ht="15.5" x14ac:dyDescent="0.35">
      <c r="A2420" s="198" t="s">
        <v>805</v>
      </c>
      <c r="B2420" s="197">
        <v>2024</v>
      </c>
      <c r="C2420" s="213" t="s">
        <v>5575</v>
      </c>
      <c r="D2420" s="239">
        <v>1.3389914007856454E-2</v>
      </c>
      <c r="E2420" s="226">
        <v>6.9894100343775634E-2</v>
      </c>
      <c r="F2420" s="226">
        <v>1.4708358490686144E-3</v>
      </c>
      <c r="G2420" s="227">
        <v>1.354635523308262E-3</v>
      </c>
      <c r="H2420" s="226">
        <v>2.0000005732018025E-3</v>
      </c>
      <c r="I2420" s="255">
        <v>2.9131290153729347E-3</v>
      </c>
      <c r="J2420" s="256">
        <v>5.7640081629258004E-5</v>
      </c>
      <c r="K2420" s="257">
        <v>6.0246310346458919E-5</v>
      </c>
      <c r="L2420" s="228">
        <v>4.052792389524313E-2</v>
      </c>
    </row>
    <row r="2421" spans="1:12" s="212" customFormat="1" ht="15.5" x14ac:dyDescent="0.35">
      <c r="A2421" s="198" t="s">
        <v>805</v>
      </c>
      <c r="B2421" s="197">
        <v>2025</v>
      </c>
      <c r="C2421" s="213" t="s">
        <v>5576</v>
      </c>
      <c r="D2421" s="239">
        <v>1.1881247615774146E-2</v>
      </c>
      <c r="E2421" s="226">
        <v>6.2222627158350668E-2</v>
      </c>
      <c r="F2421" s="226">
        <v>1.4179699016094495E-3</v>
      </c>
      <c r="G2421" s="227">
        <v>1.3057718246470824E-3</v>
      </c>
      <c r="H2421" s="226">
        <v>2.0000005744057136E-3</v>
      </c>
      <c r="I2421" s="255">
        <v>2.9111647280481408E-3</v>
      </c>
      <c r="J2421" s="256">
        <v>5.1325573041890477E-5</v>
      </c>
      <c r="K2421" s="257">
        <v>5.3646287700987506E-5</v>
      </c>
      <c r="L2421" s="228">
        <v>3.9572998479710714E-2</v>
      </c>
    </row>
    <row r="2422" spans="1:12" s="212" customFormat="1" ht="15.5" x14ac:dyDescent="0.35">
      <c r="A2422" s="198" t="s">
        <v>805</v>
      </c>
      <c r="B2422" s="197">
        <v>2026</v>
      </c>
      <c r="C2422" s="213" t="s">
        <v>5577</v>
      </c>
      <c r="D2422" s="239">
        <v>1.0635810967793417E-2</v>
      </c>
      <c r="E2422" s="226">
        <v>5.5888712560412834E-2</v>
      </c>
      <c r="F2422" s="226">
        <v>1.3617226174298949E-3</v>
      </c>
      <c r="G2422" s="227">
        <v>1.2538055637365739E-3</v>
      </c>
      <c r="H2422" s="226">
        <v>2.0000005744064769E-3</v>
      </c>
      <c r="I2422" s="255">
        <v>2.9106803657571738E-3</v>
      </c>
      <c r="J2422" s="256">
        <v>4.4955537809445577E-5</v>
      </c>
      <c r="K2422" s="257">
        <v>4.6988227741944116E-5</v>
      </c>
      <c r="L2422" s="228">
        <v>3.8647210444655626E-2</v>
      </c>
    </row>
    <row r="2423" spans="1:12" s="212" customFormat="1" ht="15.5" x14ac:dyDescent="0.35">
      <c r="A2423" s="198" t="s">
        <v>805</v>
      </c>
      <c r="B2423" s="197">
        <v>2027</v>
      </c>
      <c r="C2423" s="213" t="s">
        <v>5578</v>
      </c>
      <c r="D2423" s="239">
        <v>9.6181593742618397E-3</v>
      </c>
      <c r="E2423" s="226">
        <v>5.0581294935726356E-2</v>
      </c>
      <c r="F2423" s="226">
        <v>1.2995294566262908E-3</v>
      </c>
      <c r="G2423" s="227">
        <v>1.1963110096086897E-3</v>
      </c>
      <c r="H2423" s="226">
        <v>2.0000005732017994E-3</v>
      </c>
      <c r="I2423" s="255">
        <v>2.9305314071308214E-3</v>
      </c>
      <c r="J2423" s="256">
        <v>3.7000441056342935E-5</v>
      </c>
      <c r="K2423" s="257">
        <v>3.8673436813885275E-5</v>
      </c>
      <c r="L2423" s="228">
        <v>3.7777435607693928E-2</v>
      </c>
    </row>
    <row r="2424" spans="1:12" s="212" customFormat="1" ht="15.5" x14ac:dyDescent="0.35">
      <c r="A2424" s="198" t="s">
        <v>805</v>
      </c>
      <c r="B2424" s="197">
        <v>2028</v>
      </c>
      <c r="C2424" s="213" t="s">
        <v>5579</v>
      </c>
      <c r="D2424" s="239">
        <v>8.7363011870859267E-3</v>
      </c>
      <c r="E2424" s="226">
        <v>4.6099527145039752E-2</v>
      </c>
      <c r="F2424" s="226">
        <v>1.2251723808408357E-3</v>
      </c>
      <c r="G2424" s="227">
        <v>1.1277040716057374E-3</v>
      </c>
      <c r="H2424" s="226">
        <v>2.0000005732017704E-3</v>
      </c>
      <c r="I2424" s="255">
        <v>2.9651067381056147E-3</v>
      </c>
      <c r="J2424" s="256">
        <v>3.0883039277538994E-5</v>
      </c>
      <c r="K2424" s="257">
        <v>3.2279433272212217E-5</v>
      </c>
      <c r="L2424" s="228">
        <v>3.6977112751301104E-2</v>
      </c>
    </row>
    <row r="2425" spans="1:12" s="212" customFormat="1" ht="15.5" x14ac:dyDescent="0.35">
      <c r="A2425" s="198" t="s">
        <v>805</v>
      </c>
      <c r="B2425" s="197">
        <v>2029</v>
      </c>
      <c r="C2425" s="213" t="s">
        <v>5580</v>
      </c>
      <c r="D2425" s="239">
        <v>7.9878221136502701E-3</v>
      </c>
      <c r="E2425" s="226">
        <v>4.2355497224024347E-2</v>
      </c>
      <c r="F2425" s="226">
        <v>1.1528321510597039E-3</v>
      </c>
      <c r="G2425" s="227">
        <v>1.0610068197996661E-3</v>
      </c>
      <c r="H2425" s="226">
        <v>2.0000005732017682E-3</v>
      </c>
      <c r="I2425" s="255">
        <v>2.9652033891362888E-3</v>
      </c>
      <c r="J2425" s="256">
        <v>2.6184186502023964E-5</v>
      </c>
      <c r="K2425" s="257">
        <v>2.7368119225038712E-5</v>
      </c>
      <c r="L2425" s="228">
        <v>3.6245796808902962E-2</v>
      </c>
    </row>
    <row r="2426" spans="1:12" s="212" customFormat="1" ht="15.5" x14ac:dyDescent="0.35">
      <c r="A2426" s="198" t="s">
        <v>805</v>
      </c>
      <c r="B2426" s="197">
        <v>2030</v>
      </c>
      <c r="C2426" s="213" t="s">
        <v>5581</v>
      </c>
      <c r="D2426" s="239">
        <v>7.3647891564618357E-3</v>
      </c>
      <c r="E2426" s="226">
        <v>3.9249722329333193E-2</v>
      </c>
      <c r="F2426" s="226">
        <v>1.0835462680793787E-3</v>
      </c>
      <c r="G2426" s="227">
        <v>9.9715115736491748E-4</v>
      </c>
      <c r="H2426" s="226">
        <v>2.0000005732017721E-3</v>
      </c>
      <c r="I2426" s="255">
        <v>2.9653399644983427E-3</v>
      </c>
      <c r="J2426" s="256">
        <v>2.2338202896727846E-5</v>
      </c>
      <c r="K2426" s="257">
        <v>2.3348237307410627E-5</v>
      </c>
      <c r="L2426" s="228">
        <v>3.5582139146808689E-2</v>
      </c>
    </row>
    <row r="2427" spans="1:12" s="212" customFormat="1" ht="15.5" x14ac:dyDescent="0.35">
      <c r="A2427" s="198" t="s">
        <v>805</v>
      </c>
      <c r="B2427" s="197">
        <v>2031</v>
      </c>
      <c r="C2427" s="213" t="s">
        <v>5582</v>
      </c>
      <c r="D2427" s="239">
        <v>6.8246254281030504E-3</v>
      </c>
      <c r="E2427" s="226">
        <v>3.660101326884585E-2</v>
      </c>
      <c r="F2427" s="226">
        <v>1.0180251467103152E-3</v>
      </c>
      <c r="G2427" s="227">
        <v>9.3680678896296266E-4</v>
      </c>
      <c r="H2427" s="226">
        <v>2.0000005732017847E-3</v>
      </c>
      <c r="I2427" s="255">
        <v>2.9652002518698092E-3</v>
      </c>
      <c r="J2427" s="256">
        <v>1.9768683176204442E-5</v>
      </c>
      <c r="K2427" s="257">
        <v>2.0662535307200012E-5</v>
      </c>
      <c r="L2427" s="228">
        <v>3.4981276481996157E-2</v>
      </c>
    </row>
    <row r="2428" spans="1:12" s="212" customFormat="1" ht="15.5" x14ac:dyDescent="0.35">
      <c r="A2428" s="198" t="s">
        <v>805</v>
      </c>
      <c r="B2428" s="197">
        <v>2032</v>
      </c>
      <c r="C2428" s="213" t="s">
        <v>5583</v>
      </c>
      <c r="D2428" s="239">
        <v>6.355056388261518E-3</v>
      </c>
      <c r="E2428" s="226">
        <v>3.4357309892230931E-2</v>
      </c>
      <c r="F2428" s="226">
        <v>9.559487209590998E-4</v>
      </c>
      <c r="G2428" s="227">
        <v>8.7964272725747942E-4</v>
      </c>
      <c r="H2428" s="226">
        <v>2.0000005732017847E-3</v>
      </c>
      <c r="I2428" s="255">
        <v>2.965109711544356E-3</v>
      </c>
      <c r="J2428" s="256">
        <v>1.7533744259985763E-5</v>
      </c>
      <c r="K2428" s="257">
        <v>1.8326542370584459E-5</v>
      </c>
      <c r="L2428" s="228">
        <v>3.4440500664581403E-2</v>
      </c>
    </row>
    <row r="2429" spans="1:12" s="212" customFormat="1" ht="15.5" x14ac:dyDescent="0.35">
      <c r="A2429" s="198" t="s">
        <v>805</v>
      </c>
      <c r="B2429" s="197">
        <v>2033</v>
      </c>
      <c r="C2429" s="213" t="s">
        <v>5584</v>
      </c>
      <c r="D2429" s="239">
        <v>5.9488380745053773E-3</v>
      </c>
      <c r="E2429" s="226">
        <v>3.2455135284289276E-2</v>
      </c>
      <c r="F2429" s="226">
        <v>8.9833163637862573E-4</v>
      </c>
      <c r="G2429" s="227">
        <v>8.2660536963921204E-4</v>
      </c>
      <c r="H2429" s="226">
        <v>2.0000005732017851E-3</v>
      </c>
      <c r="I2429" s="255">
        <v>2.9649244476746368E-3</v>
      </c>
      <c r="J2429" s="256">
        <v>1.5979055179269632E-5</v>
      </c>
      <c r="K2429" s="257">
        <v>1.6701557148469008E-5</v>
      </c>
      <c r="L2429" s="228">
        <v>3.3956101984840836E-2</v>
      </c>
    </row>
    <row r="2430" spans="1:12" s="212" customFormat="1" ht="15.5" x14ac:dyDescent="0.35">
      <c r="A2430" s="198" t="s">
        <v>805</v>
      </c>
      <c r="B2430" s="197">
        <v>2034</v>
      </c>
      <c r="C2430" s="213" t="s">
        <v>5585</v>
      </c>
      <c r="D2430" s="239">
        <v>5.5796886295790193E-3</v>
      </c>
      <c r="E2430" s="226">
        <v>3.0782573293359657E-2</v>
      </c>
      <c r="F2430" s="226">
        <v>8.4418281661274234E-4</v>
      </c>
      <c r="G2430" s="227">
        <v>7.7675726787582687E-4</v>
      </c>
      <c r="H2430" s="226">
        <v>2.0000005732017851E-3</v>
      </c>
      <c r="I2430" s="255">
        <v>2.9646944372756275E-3</v>
      </c>
      <c r="J2430" s="256">
        <v>1.4432434832907078E-5</v>
      </c>
      <c r="K2430" s="257">
        <v>1.5085005493070055E-5</v>
      </c>
      <c r="L2430" s="228">
        <v>3.3524271122306E-2</v>
      </c>
    </row>
    <row r="2431" spans="1:12" s="212" customFormat="1" ht="15.5" x14ac:dyDescent="0.35">
      <c r="A2431" s="198" t="s">
        <v>805</v>
      </c>
      <c r="B2431" s="197">
        <v>2035</v>
      </c>
      <c r="C2431" s="213" t="s">
        <v>5586</v>
      </c>
      <c r="D2431" s="239">
        <v>5.2575105153942229E-3</v>
      </c>
      <c r="E2431" s="226">
        <v>2.9362397552036033E-2</v>
      </c>
      <c r="F2431" s="226">
        <v>7.9456950520661229E-4</v>
      </c>
      <c r="G2431" s="227">
        <v>7.310887982793419E-4</v>
      </c>
      <c r="H2431" s="226">
        <v>2.0000005732017899E-3</v>
      </c>
      <c r="I2431" s="255">
        <v>2.9644641737448566E-3</v>
      </c>
      <c r="J2431" s="256">
        <v>1.3127060773512114E-5</v>
      </c>
      <c r="K2431" s="257">
        <v>1.3720608211220878E-5</v>
      </c>
      <c r="L2431" s="228">
        <v>3.3143757299575444E-2</v>
      </c>
    </row>
    <row r="2432" spans="1:12" s="212" customFormat="1" ht="15.5" x14ac:dyDescent="0.35">
      <c r="A2432" s="198" t="s">
        <v>805</v>
      </c>
      <c r="B2432" s="197">
        <v>2036</v>
      </c>
      <c r="C2432" s="213" t="s">
        <v>5587</v>
      </c>
      <c r="D2432" s="239">
        <v>4.986513138299363E-3</v>
      </c>
      <c r="E2432" s="226">
        <v>2.8154637178354751E-2</v>
      </c>
      <c r="F2432" s="226">
        <v>7.5243495652339398E-4</v>
      </c>
      <c r="G2432" s="227">
        <v>6.9230341317231842E-4</v>
      </c>
      <c r="H2432" s="226">
        <v>2.000000573201917E-3</v>
      </c>
      <c r="I2432" s="255">
        <v>2.972740825924732E-3</v>
      </c>
      <c r="J2432" s="256">
        <v>1.1992059869760067E-5</v>
      </c>
      <c r="K2432" s="257">
        <v>1.2534287603093065E-5</v>
      </c>
      <c r="L2432" s="228">
        <v>3.281036506255789E-2</v>
      </c>
    </row>
    <row r="2433" spans="1:12" s="212" customFormat="1" ht="15.5" x14ac:dyDescent="0.35">
      <c r="A2433" s="198" t="s">
        <v>805</v>
      </c>
      <c r="B2433" s="197">
        <v>2037</v>
      </c>
      <c r="C2433" s="213" t="s">
        <v>5588</v>
      </c>
      <c r="D2433" s="239">
        <v>4.7411338992293601E-3</v>
      </c>
      <c r="E2433" s="226">
        <v>2.7104948868237805E-2</v>
      </c>
      <c r="F2433" s="226">
        <v>7.1312561928463648E-4</v>
      </c>
      <c r="G2433" s="227">
        <v>6.5611684794509119E-4</v>
      </c>
      <c r="H2433" s="226">
        <v>2.0000005732019174E-3</v>
      </c>
      <c r="I2433" s="255">
        <v>2.9725589384247122E-3</v>
      </c>
      <c r="J2433" s="256">
        <v>1.0886375155586859E-5</v>
      </c>
      <c r="K2433" s="257">
        <v>1.137860873254821E-5</v>
      </c>
      <c r="L2433" s="228">
        <v>3.252109029128622E-2</v>
      </c>
    </row>
    <row r="2434" spans="1:12" s="212" customFormat="1" ht="15.5" x14ac:dyDescent="0.35">
      <c r="A2434" s="198" t="s">
        <v>805</v>
      </c>
      <c r="B2434" s="197">
        <v>2038</v>
      </c>
      <c r="C2434" s="213" t="s">
        <v>5589</v>
      </c>
      <c r="D2434" s="239">
        <v>4.5290005863718244E-3</v>
      </c>
      <c r="E2434" s="226">
        <v>2.6202186729554065E-2</v>
      </c>
      <c r="F2434" s="226">
        <v>6.7853060075186177E-4</v>
      </c>
      <c r="G2434" s="227">
        <v>6.2427748436636018E-4</v>
      </c>
      <c r="H2434" s="226">
        <v>2.00000057320192E-3</v>
      </c>
      <c r="I2434" s="255">
        <v>2.972413024171562E-3</v>
      </c>
      <c r="J2434" s="256">
        <v>1.0103038773946534E-5</v>
      </c>
      <c r="K2434" s="257">
        <v>1.0559853355733814E-5</v>
      </c>
      <c r="L2434" s="228">
        <v>3.2273367291152016E-2</v>
      </c>
    </row>
    <row r="2435" spans="1:12" s="212" customFormat="1" ht="15.5" x14ac:dyDescent="0.35">
      <c r="A2435" s="198" t="s">
        <v>805</v>
      </c>
      <c r="B2435" s="197">
        <v>2039</v>
      </c>
      <c r="C2435" s="213" t="s">
        <v>5590</v>
      </c>
      <c r="D2435" s="239">
        <v>4.32203842084594E-3</v>
      </c>
      <c r="E2435" s="226">
        <v>2.5343647590176811E-2</v>
      </c>
      <c r="F2435" s="226">
        <v>6.4774297054138606E-4</v>
      </c>
      <c r="G2435" s="227">
        <v>5.9594140883976467E-4</v>
      </c>
      <c r="H2435" s="226">
        <v>2.00000057320192E-3</v>
      </c>
      <c r="I2435" s="255">
        <v>2.9723054289366876E-3</v>
      </c>
      <c r="J2435" s="256">
        <v>9.3847651259359146E-6</v>
      </c>
      <c r="K2435" s="257">
        <v>9.8091025606522609E-6</v>
      </c>
      <c r="L2435" s="228">
        <v>3.2060682788608276E-2</v>
      </c>
    </row>
    <row r="2436" spans="1:12" s="212" customFormat="1" ht="15.5" x14ac:dyDescent="0.35">
      <c r="A2436" s="198" t="s">
        <v>805</v>
      </c>
      <c r="B2436" s="197">
        <v>2040</v>
      </c>
      <c r="C2436" s="213" t="s">
        <v>5591</v>
      </c>
      <c r="D2436" s="239">
        <v>4.1475010242725688E-3</v>
      </c>
      <c r="E2436" s="226">
        <v>2.4631945680605137E-2</v>
      </c>
      <c r="F2436" s="226">
        <v>6.2113783316114035E-4</v>
      </c>
      <c r="G2436" s="227">
        <v>5.7145653048333404E-4</v>
      </c>
      <c r="H2436" s="226">
        <v>2.0000005732019204E-3</v>
      </c>
      <c r="I2436" s="255">
        <v>2.9722904862885561E-3</v>
      </c>
      <c r="J2436" s="256">
        <v>8.8089193791747375E-6</v>
      </c>
      <c r="K2436" s="257">
        <v>9.20721962450021E-6</v>
      </c>
      <c r="L2436" s="228">
        <v>3.1880950586570839E-2</v>
      </c>
    </row>
    <row r="2437" spans="1:12" s="212" customFormat="1" ht="15.5" x14ac:dyDescent="0.35">
      <c r="A2437" s="198" t="s">
        <v>805</v>
      </c>
      <c r="B2437" s="197">
        <v>2041</v>
      </c>
      <c r="C2437" s="213" t="s">
        <v>5592</v>
      </c>
      <c r="D2437" s="239">
        <v>4.0144649260134349E-3</v>
      </c>
      <c r="E2437" s="226">
        <v>2.4053382692987939E-2</v>
      </c>
      <c r="F2437" s="226">
        <v>5.9994172420873182E-4</v>
      </c>
      <c r="G2437" s="227">
        <v>5.5194899225895775E-4</v>
      </c>
      <c r="H2437" s="226">
        <v>2.00000057320192E-3</v>
      </c>
      <c r="I2437" s="255">
        <v>2.9723398113017975E-3</v>
      </c>
      <c r="J2437" s="256">
        <v>8.33414818313028E-6</v>
      </c>
      <c r="K2437" s="257">
        <v>8.7109813817365902E-6</v>
      </c>
      <c r="L2437" s="228">
        <v>3.1731214844727726E-2</v>
      </c>
    </row>
    <row r="2438" spans="1:12" s="212" customFormat="1" ht="15.5" x14ac:dyDescent="0.35">
      <c r="A2438" s="198" t="s">
        <v>805</v>
      </c>
      <c r="B2438" s="197">
        <v>2042</v>
      </c>
      <c r="C2438" s="213" t="s">
        <v>5593</v>
      </c>
      <c r="D2438" s="239">
        <v>3.8970866495666302E-3</v>
      </c>
      <c r="E2438" s="226">
        <v>2.3507609004946629E-2</v>
      </c>
      <c r="F2438" s="226">
        <v>5.818593104272167E-4</v>
      </c>
      <c r="G2438" s="227">
        <v>5.353078909382102E-4</v>
      </c>
      <c r="H2438" s="226">
        <v>2.0000005732019196E-3</v>
      </c>
      <c r="I2438" s="255">
        <v>2.9724165065267366E-3</v>
      </c>
      <c r="J2438" s="256">
        <v>7.9494403953480829E-6</v>
      </c>
      <c r="K2438" s="257">
        <v>8.3088788149064216E-6</v>
      </c>
      <c r="L2438" s="228">
        <v>3.160385339192559E-2</v>
      </c>
    </row>
    <row r="2439" spans="1:12" s="212" customFormat="1" ht="15.5" x14ac:dyDescent="0.35">
      <c r="A2439" s="198" t="s">
        <v>805</v>
      </c>
      <c r="B2439" s="197">
        <v>2043</v>
      </c>
      <c r="C2439" s="213" t="s">
        <v>5594</v>
      </c>
      <c r="D2439" s="239">
        <v>3.8060741400018235E-3</v>
      </c>
      <c r="E2439" s="226">
        <v>2.3044693528953514E-2</v>
      </c>
      <c r="F2439" s="226">
        <v>5.6659039419577613E-4</v>
      </c>
      <c r="G2439" s="227">
        <v>5.2125633394672661E-4</v>
      </c>
      <c r="H2439" s="226">
        <v>2.00000057320192E-3</v>
      </c>
      <c r="I2439" s="255">
        <v>2.972545495922609E-3</v>
      </c>
      <c r="J2439" s="256">
        <v>7.6324171947240093E-6</v>
      </c>
      <c r="K2439" s="257">
        <v>7.9775212319197337E-6</v>
      </c>
      <c r="L2439" s="228">
        <v>3.149809830108314E-2</v>
      </c>
    </row>
    <row r="2440" spans="1:12" s="212" customFormat="1" ht="15.5" x14ac:dyDescent="0.35">
      <c r="A2440" s="198" t="s">
        <v>805</v>
      </c>
      <c r="B2440" s="197">
        <v>2044</v>
      </c>
      <c r="C2440" s="213" t="s">
        <v>5595</v>
      </c>
      <c r="D2440" s="239">
        <v>3.7320390897897914E-3</v>
      </c>
      <c r="E2440" s="226">
        <v>2.2598803781970996E-2</v>
      </c>
      <c r="F2440" s="226">
        <v>5.536803589596519E-4</v>
      </c>
      <c r="G2440" s="227">
        <v>5.0937593397874304E-4</v>
      </c>
      <c r="H2440" s="226">
        <v>2.0000005732019204E-3</v>
      </c>
      <c r="I2440" s="255">
        <v>2.9726858033748138E-3</v>
      </c>
      <c r="J2440" s="256">
        <v>7.3732188150105771E-6</v>
      </c>
      <c r="K2440" s="257">
        <v>7.7066030516514405E-6</v>
      </c>
      <c r="L2440" s="228">
        <v>3.140911154096352E-2</v>
      </c>
    </row>
    <row r="2441" spans="1:12" s="212" customFormat="1" ht="15.5" x14ac:dyDescent="0.35">
      <c r="A2441" s="198" t="s">
        <v>805</v>
      </c>
      <c r="B2441" s="197">
        <v>2045</v>
      </c>
      <c r="C2441" s="213" t="s">
        <v>5596</v>
      </c>
      <c r="D2441" s="239">
        <v>3.6748794021655147E-3</v>
      </c>
      <c r="E2441" s="226">
        <v>2.2185094690413146E-2</v>
      </c>
      <c r="F2441" s="226">
        <v>5.4283377545591503E-4</v>
      </c>
      <c r="G2441" s="227">
        <v>4.9939501049543495E-4</v>
      </c>
      <c r="H2441" s="226">
        <v>2.0000005732019196E-3</v>
      </c>
      <c r="I2441" s="255">
        <v>2.972888153849071E-3</v>
      </c>
      <c r="J2441" s="256">
        <v>7.1707099017984057E-6</v>
      </c>
      <c r="K2441" s="257">
        <v>7.4949375840037921E-6</v>
      </c>
      <c r="L2441" s="228">
        <v>3.1332953504894838E-2</v>
      </c>
    </row>
    <row r="2442" spans="1:12" s="212" customFormat="1" ht="15.5" x14ac:dyDescent="0.35">
      <c r="A2442" s="198" t="s">
        <v>805</v>
      </c>
      <c r="B2442" s="197">
        <v>2046</v>
      </c>
      <c r="C2442" s="213" t="s">
        <v>5597</v>
      </c>
      <c r="D2442" s="239">
        <v>3.6215007767584633E-3</v>
      </c>
      <c r="E2442" s="226">
        <v>2.1789943799713492E-2</v>
      </c>
      <c r="F2442" s="226">
        <v>5.3381019612491472E-4</v>
      </c>
      <c r="G2442" s="227">
        <v>4.9109190452741437E-4</v>
      </c>
      <c r="H2442" s="226">
        <v>2.00000057320192E-3</v>
      </c>
      <c r="I2442" s="255">
        <v>2.9730639371803752E-3</v>
      </c>
      <c r="J2442" s="256">
        <v>7.0100990949742957E-6</v>
      </c>
      <c r="K2442" s="257">
        <v>7.3270646691950117E-6</v>
      </c>
      <c r="L2442" s="228">
        <v>3.1267796319304098E-2</v>
      </c>
    </row>
    <row r="2443" spans="1:12" s="212" customFormat="1" ht="15.5" x14ac:dyDescent="0.35">
      <c r="A2443" s="198" t="s">
        <v>805</v>
      </c>
      <c r="B2443" s="197">
        <v>2047</v>
      </c>
      <c r="C2443" s="213" t="s">
        <v>5598</v>
      </c>
      <c r="D2443" s="239">
        <v>3.5746891713690815E-3</v>
      </c>
      <c r="E2443" s="226">
        <v>2.143786122029185E-2</v>
      </c>
      <c r="F2443" s="226">
        <v>5.2637404611928377E-4</v>
      </c>
      <c r="G2443" s="227">
        <v>4.8424897026482611E-4</v>
      </c>
      <c r="H2443" s="226">
        <v>2.00000057320192E-3</v>
      </c>
      <c r="I2443" s="255">
        <v>2.9732899236537456E-3</v>
      </c>
      <c r="J2443" s="256">
        <v>6.8646061968009361E-6</v>
      </c>
      <c r="K2443" s="257">
        <v>7.1749932277814252E-6</v>
      </c>
      <c r="L2443" s="228">
        <v>3.1212731736055464E-2</v>
      </c>
    </row>
    <row r="2444" spans="1:12" s="212" customFormat="1" ht="15.5" x14ac:dyDescent="0.35">
      <c r="A2444" s="198" t="s">
        <v>805</v>
      </c>
      <c r="B2444" s="197">
        <v>2048</v>
      </c>
      <c r="C2444" s="213" t="s">
        <v>5599</v>
      </c>
      <c r="D2444" s="239">
        <v>3.5368807823095792E-3</v>
      </c>
      <c r="E2444" s="226">
        <v>2.1156575576077669E-2</v>
      </c>
      <c r="F2444" s="226">
        <v>5.202827992096601E-4</v>
      </c>
      <c r="G2444" s="227">
        <v>4.7864355071570801E-4</v>
      </c>
      <c r="H2444" s="226">
        <v>2.00000057320192E-3</v>
      </c>
      <c r="I2444" s="255">
        <v>2.9735114637725849E-3</v>
      </c>
      <c r="J2444" s="256">
        <v>6.7428785068164712E-6</v>
      </c>
      <c r="K2444" s="257">
        <v>7.0477615518144879E-6</v>
      </c>
      <c r="L2444" s="228">
        <v>3.1165966385177095E-2</v>
      </c>
    </row>
    <row r="2445" spans="1:12" s="212" customFormat="1" ht="15.5" x14ac:dyDescent="0.35">
      <c r="A2445" s="198" t="s">
        <v>805</v>
      </c>
      <c r="B2445" s="197">
        <v>2049</v>
      </c>
      <c r="C2445" s="213" t="s">
        <v>5600</v>
      </c>
      <c r="D2445" s="239">
        <v>3.5281417894233438E-3</v>
      </c>
      <c r="E2445" s="226">
        <v>2.1125536241566312E-2</v>
      </c>
      <c r="F2445" s="226">
        <v>5.1636413994649532E-4</v>
      </c>
      <c r="G2445" s="227">
        <v>4.7503708824948225E-4</v>
      </c>
      <c r="H2445" s="226">
        <v>2.0000005732019196E-3</v>
      </c>
      <c r="I2445" s="255">
        <v>2.9737381410693815E-3</v>
      </c>
      <c r="J2445" s="256">
        <v>6.6556179413885967E-6</v>
      </c>
      <c r="K2445" s="257">
        <v>6.9565554508309948E-6</v>
      </c>
      <c r="L2445" s="228">
        <v>3.1126276591580383E-2</v>
      </c>
    </row>
    <row r="2446" spans="1:12" s="212" customFormat="1" ht="15.5" x14ac:dyDescent="0.35">
      <c r="A2446" s="198" t="s">
        <v>805</v>
      </c>
      <c r="B2446" s="197">
        <v>2050</v>
      </c>
      <c r="C2446" s="213" t="s">
        <v>5601</v>
      </c>
      <c r="D2446" s="239">
        <v>3.5213810460167465E-3</v>
      </c>
      <c r="E2446" s="226">
        <v>2.1100304558231215E-2</v>
      </c>
      <c r="F2446" s="226">
        <v>5.1314395235652283E-4</v>
      </c>
      <c r="G2446" s="227">
        <v>4.7207040989460193E-4</v>
      </c>
      <c r="H2446" s="226">
        <v>2.00000057320192E-3</v>
      </c>
      <c r="I2446" s="255">
        <v>2.9739612557541655E-3</v>
      </c>
      <c r="J2446" s="256">
        <v>6.5058668684996956E-6</v>
      </c>
      <c r="K2446" s="257">
        <v>6.8000332989366037E-6</v>
      </c>
      <c r="L2446" s="228">
        <v>3.109316573344344E-2</v>
      </c>
    </row>
    <row r="2447" spans="1:12" s="212" customFormat="1" ht="15.5" x14ac:dyDescent="0.35">
      <c r="A2447" s="198" t="s">
        <v>807</v>
      </c>
      <c r="B2447" s="197">
        <v>2015</v>
      </c>
      <c r="C2447" s="213" t="s">
        <v>5602</v>
      </c>
      <c r="D2447" s="239">
        <v>5.5677818783402062E-2</v>
      </c>
      <c r="E2447" s="226">
        <v>0.23940078371839765</v>
      </c>
      <c r="F2447" s="226">
        <v>1.9914750511948868E-3</v>
      </c>
      <c r="G2447" s="227">
        <v>1.8416708757396695E-3</v>
      </c>
      <c r="H2447" s="226">
        <v>2.0000005732018801E-3</v>
      </c>
      <c r="I2447" s="255">
        <v>2.1066926932631689E-3</v>
      </c>
      <c r="J2447" s="256">
        <v>1.5157412731273728E-4</v>
      </c>
      <c r="K2447" s="257">
        <v>1.5842763674959101E-4</v>
      </c>
      <c r="L2447" s="228">
        <v>5.2927103170413443E-2</v>
      </c>
    </row>
    <row r="2448" spans="1:12" s="212" customFormat="1" ht="15.5" x14ac:dyDescent="0.35">
      <c r="A2448" s="198" t="s">
        <v>807</v>
      </c>
      <c r="B2448" s="197">
        <v>2016</v>
      </c>
      <c r="C2448" s="213" t="s">
        <v>5603</v>
      </c>
      <c r="D2448" s="239">
        <v>4.9443289232690486E-2</v>
      </c>
      <c r="E2448" s="226">
        <v>0.21915516317909131</v>
      </c>
      <c r="F2448" s="226">
        <v>1.9407034674334917E-3</v>
      </c>
      <c r="G2448" s="227">
        <v>1.7932133640355891E-3</v>
      </c>
      <c r="H2448" s="226">
        <v>2.0000005732018805E-3</v>
      </c>
      <c r="I2448" s="255">
        <v>2.1023466644214893E-3</v>
      </c>
      <c r="J2448" s="256">
        <v>1.3479702570367671E-4</v>
      </c>
      <c r="K2448" s="257">
        <v>1.4089194905305465E-4</v>
      </c>
      <c r="L2448" s="228">
        <v>5.1820028552683646E-2</v>
      </c>
    </row>
    <row r="2449" spans="1:12" s="212" customFormat="1" ht="15.5" x14ac:dyDescent="0.35">
      <c r="A2449" s="198" t="s">
        <v>807</v>
      </c>
      <c r="B2449" s="197">
        <v>2017</v>
      </c>
      <c r="C2449" s="213" t="s">
        <v>5604</v>
      </c>
      <c r="D2449" s="239">
        <v>4.0217402057795698E-2</v>
      </c>
      <c r="E2449" s="226">
        <v>0.18604140013472156</v>
      </c>
      <c r="F2449" s="226">
        <v>1.8360941546119362E-3</v>
      </c>
      <c r="G2449" s="227">
        <v>1.6948356139322709E-3</v>
      </c>
      <c r="H2449" s="226">
        <v>2.0000005732018805E-3</v>
      </c>
      <c r="I2449" s="255">
        <v>2.1036254454082403E-3</v>
      </c>
      <c r="J2449" s="256">
        <v>1.1077725123882799E-4</v>
      </c>
      <c r="K2449" s="257">
        <v>1.1578610697307575E-4</v>
      </c>
      <c r="L2449" s="228">
        <v>5.1424907844754737E-2</v>
      </c>
    </row>
    <row r="2450" spans="1:12" s="212" customFormat="1" ht="15.5" x14ac:dyDescent="0.35">
      <c r="A2450" s="198" t="s">
        <v>807</v>
      </c>
      <c r="B2450" s="197">
        <v>2018</v>
      </c>
      <c r="C2450" s="213" t="s">
        <v>5605</v>
      </c>
      <c r="D2450" s="239">
        <v>3.4117649854238312E-2</v>
      </c>
      <c r="E2450" s="226">
        <v>0.16322816400669254</v>
      </c>
      <c r="F2450" s="226">
        <v>1.7977979243774267E-3</v>
      </c>
      <c r="G2450" s="227">
        <v>1.6581769601627812E-3</v>
      </c>
      <c r="H2450" s="226">
        <v>2.0000005732018805E-3</v>
      </c>
      <c r="I2450" s="255">
        <v>2.118158553506228E-3</v>
      </c>
      <c r="J2450" s="256">
        <v>9.5291838247765409E-5</v>
      </c>
      <c r="K2450" s="257">
        <v>9.9600512322059798E-5</v>
      </c>
      <c r="L2450" s="228">
        <v>5.0746305528409724E-2</v>
      </c>
    </row>
    <row r="2451" spans="1:12" s="212" customFormat="1" ht="15.5" x14ac:dyDescent="0.35">
      <c r="A2451" s="198" t="s">
        <v>807</v>
      </c>
      <c r="B2451" s="197">
        <v>2019</v>
      </c>
      <c r="C2451" s="213" t="s">
        <v>5606</v>
      </c>
      <c r="D2451" s="239">
        <v>2.8954636996666214E-2</v>
      </c>
      <c r="E2451" s="226">
        <v>0.14178694321218574</v>
      </c>
      <c r="F2451" s="226">
        <v>1.7687248364107718E-3</v>
      </c>
      <c r="G2451" s="227">
        <v>1.6302199056825867E-3</v>
      </c>
      <c r="H2451" s="226">
        <v>2.0000005732018797E-3</v>
      </c>
      <c r="I2451" s="255">
        <v>2.206527237666631E-3</v>
      </c>
      <c r="J2451" s="256">
        <v>8.1082242174393055E-5</v>
      </c>
      <c r="K2451" s="257">
        <v>8.4748421368398434E-5</v>
      </c>
      <c r="L2451" s="228">
        <v>4.9897272704395097E-2</v>
      </c>
    </row>
    <row r="2452" spans="1:12" s="212" customFormat="1" ht="15.5" x14ac:dyDescent="0.35">
      <c r="A2452" s="198" t="s">
        <v>807</v>
      </c>
      <c r="B2452" s="197">
        <v>2020</v>
      </c>
      <c r="C2452" s="213" t="s">
        <v>5607</v>
      </c>
      <c r="D2452" s="239">
        <v>2.5675026960509918E-2</v>
      </c>
      <c r="E2452" s="226">
        <v>0.12775499520381775</v>
      </c>
      <c r="F2452" s="226">
        <v>1.7252472924758984E-3</v>
      </c>
      <c r="G2452" s="227">
        <v>1.5898412747197277E-3</v>
      </c>
      <c r="H2452" s="226">
        <v>2.0000005732018801E-3</v>
      </c>
      <c r="I2452" s="255">
        <v>2.2115396410173948E-3</v>
      </c>
      <c r="J2452" s="256">
        <v>7.5773659026155243E-5</v>
      </c>
      <c r="K2452" s="257">
        <v>7.9199807646685924E-5</v>
      </c>
      <c r="L2452" s="228">
        <v>4.9455126039403878E-2</v>
      </c>
    </row>
    <row r="2453" spans="1:12" s="212" customFormat="1" ht="15.5" x14ac:dyDescent="0.35">
      <c r="A2453" s="198" t="s">
        <v>807</v>
      </c>
      <c r="B2453" s="197">
        <v>2021</v>
      </c>
      <c r="C2453" s="213" t="s">
        <v>5608</v>
      </c>
      <c r="D2453" s="239">
        <v>2.2610979734074891E-2</v>
      </c>
      <c r="E2453" s="226">
        <v>0.11373485717633328</v>
      </c>
      <c r="F2453" s="226">
        <v>1.6414241644120578E-3</v>
      </c>
      <c r="G2453" s="227">
        <v>1.5123601644135704E-3</v>
      </c>
      <c r="H2453" s="226">
        <v>2.0000005732018801E-3</v>
      </c>
      <c r="I2453" s="255">
        <v>2.2147342740014573E-3</v>
      </c>
      <c r="J2453" s="256">
        <v>6.9464932017307052E-5</v>
      </c>
      <c r="K2453" s="257">
        <v>7.2605827997059087E-5</v>
      </c>
      <c r="L2453" s="228">
        <v>4.8502516897317945E-2</v>
      </c>
    </row>
    <row r="2454" spans="1:12" s="212" customFormat="1" ht="15.5" x14ac:dyDescent="0.35">
      <c r="A2454" s="198" t="s">
        <v>807</v>
      </c>
      <c r="B2454" s="197">
        <v>2022</v>
      </c>
      <c r="C2454" s="213" t="s">
        <v>5609</v>
      </c>
      <c r="D2454" s="239">
        <v>1.9190318764312257E-2</v>
      </c>
      <c r="E2454" s="226">
        <v>9.966803757779269E-2</v>
      </c>
      <c r="F2454" s="226">
        <v>1.5518152786211609E-3</v>
      </c>
      <c r="G2454" s="227">
        <v>1.4294347430488491E-3</v>
      </c>
      <c r="H2454" s="226">
        <v>2.0000005732018797E-3</v>
      </c>
      <c r="I2454" s="255">
        <v>2.2150110338675835E-3</v>
      </c>
      <c r="J2454" s="256">
        <v>6.3399579660778247E-5</v>
      </c>
      <c r="K2454" s="257">
        <v>6.6266227321570549E-5</v>
      </c>
      <c r="L2454" s="228">
        <v>4.7618927002583938E-2</v>
      </c>
    </row>
    <row r="2455" spans="1:12" s="212" customFormat="1" ht="15.5" x14ac:dyDescent="0.35">
      <c r="A2455" s="198" t="s">
        <v>807</v>
      </c>
      <c r="B2455" s="197">
        <v>2023</v>
      </c>
      <c r="C2455" s="213" t="s">
        <v>5610</v>
      </c>
      <c r="D2455" s="239">
        <v>1.703062116278635E-2</v>
      </c>
      <c r="E2455" s="226">
        <v>8.8125706157910669E-2</v>
      </c>
      <c r="F2455" s="226">
        <v>1.4882923509129541E-3</v>
      </c>
      <c r="G2455" s="227">
        <v>1.3707185840576845E-3</v>
      </c>
      <c r="H2455" s="226">
        <v>2.0000005732018797E-3</v>
      </c>
      <c r="I2455" s="255">
        <v>2.2297304115827714E-3</v>
      </c>
      <c r="J2455" s="256">
        <v>5.6929579847781027E-5</v>
      </c>
      <c r="K2455" s="257">
        <v>5.9503682827228533E-5</v>
      </c>
      <c r="L2455" s="228">
        <v>4.6686346920632629E-2</v>
      </c>
    </row>
    <row r="2456" spans="1:12" s="212" customFormat="1" ht="15.5" x14ac:dyDescent="0.35">
      <c r="A2456" s="198" t="s">
        <v>807</v>
      </c>
      <c r="B2456" s="197">
        <v>2024</v>
      </c>
      <c r="C2456" s="213" t="s">
        <v>5611</v>
      </c>
      <c r="D2456" s="239">
        <v>1.4808189689337522E-2</v>
      </c>
      <c r="E2456" s="226">
        <v>7.7932087020495561E-2</v>
      </c>
      <c r="F2456" s="226">
        <v>1.3950159897322643E-3</v>
      </c>
      <c r="G2456" s="227">
        <v>1.2845706918318219E-3</v>
      </c>
      <c r="H2456" s="226">
        <v>2.0000005732018801E-3</v>
      </c>
      <c r="I2456" s="255">
        <v>2.2179587370754371E-3</v>
      </c>
      <c r="J2456" s="256">
        <v>4.8352138878269284E-5</v>
      </c>
      <c r="K2456" s="257">
        <v>5.0538408038906079E-5</v>
      </c>
      <c r="L2456" s="228">
        <v>4.5718604563729927E-2</v>
      </c>
    </row>
    <row r="2457" spans="1:12" s="212" customFormat="1" ht="15.5" x14ac:dyDescent="0.35">
      <c r="A2457" s="198" t="s">
        <v>807</v>
      </c>
      <c r="B2457" s="197">
        <v>2025</v>
      </c>
      <c r="C2457" s="213" t="s">
        <v>5612</v>
      </c>
      <c r="D2457" s="239">
        <v>1.3171547887309008E-2</v>
      </c>
      <c r="E2457" s="226">
        <v>6.9745749214650765E-2</v>
      </c>
      <c r="F2457" s="226">
        <v>1.3370801513164043E-3</v>
      </c>
      <c r="G2457" s="227">
        <v>1.231088080168486E-3</v>
      </c>
      <c r="H2457" s="226">
        <v>2.0000005732018805E-3</v>
      </c>
      <c r="I2457" s="255">
        <v>2.2187787671576796E-3</v>
      </c>
      <c r="J2457" s="256">
        <v>4.3386409108066476E-5</v>
      </c>
      <c r="K2457" s="257">
        <v>4.5348150003594256E-5</v>
      </c>
      <c r="L2457" s="228">
        <v>4.4722228982563131E-2</v>
      </c>
    </row>
    <row r="2458" spans="1:12" s="212" customFormat="1" ht="15.5" x14ac:dyDescent="0.35">
      <c r="A2458" s="198" t="s">
        <v>807</v>
      </c>
      <c r="B2458" s="197">
        <v>2026</v>
      </c>
      <c r="C2458" s="213" t="s">
        <v>5613</v>
      </c>
      <c r="D2458" s="239">
        <v>1.1821823021332304E-2</v>
      </c>
      <c r="E2458" s="226">
        <v>6.2891387099185528E-2</v>
      </c>
      <c r="F2458" s="226">
        <v>1.2795505841046901E-3</v>
      </c>
      <c r="G2458" s="227">
        <v>1.1779443381597318E-3</v>
      </c>
      <c r="H2458" s="226">
        <v>2.0000005732018801E-3</v>
      </c>
      <c r="I2458" s="255">
        <v>2.2177051093405799E-3</v>
      </c>
      <c r="J2458" s="256">
        <v>3.7070340348360608E-5</v>
      </c>
      <c r="K2458" s="257">
        <v>3.8746496641714446E-5</v>
      </c>
      <c r="L2458" s="228">
        <v>4.375250138223713E-2</v>
      </c>
    </row>
    <row r="2459" spans="1:12" s="212" customFormat="1" ht="15.5" x14ac:dyDescent="0.35">
      <c r="A2459" s="198" t="s">
        <v>807</v>
      </c>
      <c r="B2459" s="197">
        <v>2027</v>
      </c>
      <c r="C2459" s="213" t="s">
        <v>5614</v>
      </c>
      <c r="D2459" s="239">
        <v>1.0662045133040868E-2</v>
      </c>
      <c r="E2459" s="226">
        <v>5.7027949077268707E-2</v>
      </c>
      <c r="F2459" s="226">
        <v>1.2112001577254978E-3</v>
      </c>
      <c r="G2459" s="227">
        <v>1.1148096896816434E-3</v>
      </c>
      <c r="H2459" s="226">
        <v>2.0000005732018797E-3</v>
      </c>
      <c r="I2459" s="255">
        <v>2.1666365930880036E-3</v>
      </c>
      <c r="J2459" s="256">
        <v>2.9665507809765075E-5</v>
      </c>
      <c r="K2459" s="257">
        <v>3.1006850434181397E-5</v>
      </c>
      <c r="L2459" s="228">
        <v>4.2841073125804943E-2</v>
      </c>
    </row>
    <row r="2460" spans="1:12" s="212" customFormat="1" ht="15.5" x14ac:dyDescent="0.35">
      <c r="A2460" s="198" t="s">
        <v>807</v>
      </c>
      <c r="B2460" s="197">
        <v>2028</v>
      </c>
      <c r="C2460" s="213" t="s">
        <v>5615</v>
      </c>
      <c r="D2460" s="239">
        <v>9.7000277239103708E-3</v>
      </c>
      <c r="E2460" s="226">
        <v>5.2038144891369625E-2</v>
      </c>
      <c r="F2460" s="226">
        <v>1.1373771867856609E-3</v>
      </c>
      <c r="G2460" s="227">
        <v>1.0467078774214881E-3</v>
      </c>
      <c r="H2460" s="226">
        <v>2.0000005732018797E-3</v>
      </c>
      <c r="I2460" s="255">
        <v>2.1679116219999023E-3</v>
      </c>
      <c r="J2460" s="256">
        <v>2.3908347763852182E-5</v>
      </c>
      <c r="K2460" s="257">
        <v>2.498937715801165E-5</v>
      </c>
      <c r="L2460" s="228">
        <v>4.1997221637386062E-2</v>
      </c>
    </row>
    <row r="2461" spans="1:12" s="212" customFormat="1" ht="15.5" x14ac:dyDescent="0.35">
      <c r="A2461" s="198" t="s">
        <v>807</v>
      </c>
      <c r="B2461" s="197">
        <v>2029</v>
      </c>
      <c r="C2461" s="213" t="s">
        <v>5616</v>
      </c>
      <c r="D2461" s="239">
        <v>8.8395841792384688E-3</v>
      </c>
      <c r="E2461" s="226">
        <v>4.765122159092354E-2</v>
      </c>
      <c r="F2461" s="226">
        <v>1.0667093509061289E-3</v>
      </c>
      <c r="G2461" s="227">
        <v>9.8156734606960139E-4</v>
      </c>
      <c r="H2461" s="226">
        <v>2.0000005732018801E-3</v>
      </c>
      <c r="I2461" s="255">
        <v>2.1692970334977624E-3</v>
      </c>
      <c r="J2461" s="256">
        <v>1.969754921377698E-5</v>
      </c>
      <c r="K2461" s="257">
        <v>2.058818498264384E-5</v>
      </c>
      <c r="L2461" s="228">
        <v>4.1220092842195209E-2</v>
      </c>
    </row>
    <row r="2462" spans="1:12" s="212" customFormat="1" ht="15.5" x14ac:dyDescent="0.35">
      <c r="A2462" s="198" t="s">
        <v>807</v>
      </c>
      <c r="B2462" s="197">
        <v>2030</v>
      </c>
      <c r="C2462" s="213" t="s">
        <v>5617</v>
      </c>
      <c r="D2462" s="239">
        <v>8.1332485556192807E-3</v>
      </c>
      <c r="E2462" s="226">
        <v>4.3955572599772043E-2</v>
      </c>
      <c r="F2462" s="226">
        <v>1.0005970090968799E-3</v>
      </c>
      <c r="G2462" s="227">
        <v>9.2062702314994218E-4</v>
      </c>
      <c r="H2462" s="226">
        <v>2.0000005732018801E-3</v>
      </c>
      <c r="I2462" s="255">
        <v>2.1707859934076159E-3</v>
      </c>
      <c r="J2462" s="256">
        <v>1.578446461120205E-5</v>
      </c>
      <c r="K2462" s="257">
        <v>1.649816805839625E-5</v>
      </c>
      <c r="L2462" s="228">
        <v>4.0508962102728599E-2</v>
      </c>
    </row>
    <row r="2463" spans="1:12" s="212" customFormat="1" ht="15.5" x14ac:dyDescent="0.35">
      <c r="A2463" s="198" t="s">
        <v>807</v>
      </c>
      <c r="B2463" s="197">
        <v>2031</v>
      </c>
      <c r="C2463" s="213" t="s">
        <v>5618</v>
      </c>
      <c r="D2463" s="239">
        <v>7.5195955016702431E-3</v>
      </c>
      <c r="E2463" s="226">
        <v>4.0752641621374368E-2</v>
      </c>
      <c r="F2463" s="226">
        <v>9.4080275001430134E-4</v>
      </c>
      <c r="G2463" s="227">
        <v>8.6559324615542005E-4</v>
      </c>
      <c r="H2463" s="226">
        <v>2.0000005732018801E-3</v>
      </c>
      <c r="I2463" s="255">
        <v>2.1722628486812038E-3</v>
      </c>
      <c r="J2463" s="256">
        <v>1.4368682460349668E-5</v>
      </c>
      <c r="K2463" s="257">
        <v>1.5018370521122595E-5</v>
      </c>
      <c r="L2463" s="228">
        <v>3.9855850479164678E-2</v>
      </c>
    </row>
    <row r="2464" spans="1:12" s="212" customFormat="1" ht="15.5" x14ac:dyDescent="0.35">
      <c r="A2464" s="198" t="s">
        <v>807</v>
      </c>
      <c r="B2464" s="197">
        <v>2032</v>
      </c>
      <c r="C2464" s="213" t="s">
        <v>5619</v>
      </c>
      <c r="D2464" s="239">
        <v>6.9934934657334856E-3</v>
      </c>
      <c r="E2464" s="226">
        <v>3.7988523514095665E-2</v>
      </c>
      <c r="F2464" s="226">
        <v>8.8608440311938226E-4</v>
      </c>
      <c r="G2464" s="227">
        <v>8.1521088089332283E-4</v>
      </c>
      <c r="H2464" s="226">
        <v>2.0000005732018801E-3</v>
      </c>
      <c r="I2464" s="255">
        <v>2.1820072038048364E-3</v>
      </c>
      <c r="J2464" s="256">
        <v>1.2549897208473939E-5</v>
      </c>
      <c r="K2464" s="257">
        <v>1.3117347870897066E-5</v>
      </c>
      <c r="L2464" s="228">
        <v>3.9261560418656513E-2</v>
      </c>
    </row>
    <row r="2465" spans="1:12" s="212" customFormat="1" ht="15.5" x14ac:dyDescent="0.35">
      <c r="A2465" s="198" t="s">
        <v>807</v>
      </c>
      <c r="B2465" s="197">
        <v>2033</v>
      </c>
      <c r="C2465" s="213" t="s">
        <v>5620</v>
      </c>
      <c r="D2465" s="239">
        <v>6.5406323472133278E-3</v>
      </c>
      <c r="E2465" s="226">
        <v>3.5625663368160893E-2</v>
      </c>
      <c r="F2465" s="226">
        <v>8.3638501129988836E-4</v>
      </c>
      <c r="G2465" s="227">
        <v>7.6948024223990393E-4</v>
      </c>
      <c r="H2465" s="226">
        <v>2.0000005732018801E-3</v>
      </c>
      <c r="I2465" s="255">
        <v>2.2064034794665485E-3</v>
      </c>
      <c r="J2465" s="256">
        <v>1.1680289426488333E-5</v>
      </c>
      <c r="K2465" s="257">
        <v>1.2208420283837433E-5</v>
      </c>
      <c r="L2465" s="228">
        <v>3.8722025738574646E-2</v>
      </c>
    </row>
    <row r="2466" spans="1:12" s="212" customFormat="1" ht="15.5" x14ac:dyDescent="0.35">
      <c r="A2466" s="198" t="s">
        <v>807</v>
      </c>
      <c r="B2466" s="197">
        <v>2034</v>
      </c>
      <c r="C2466" s="213" t="s">
        <v>5621</v>
      </c>
      <c r="D2466" s="239">
        <v>6.1015721033476009E-3</v>
      </c>
      <c r="E2466" s="226">
        <v>3.3506361398761404E-2</v>
      </c>
      <c r="F2466" s="226">
        <v>7.8689960533475311E-4</v>
      </c>
      <c r="G2466" s="227">
        <v>7.239494723424143E-4</v>
      </c>
      <c r="H2466" s="226">
        <v>2.0000005732018801E-3</v>
      </c>
      <c r="I2466" s="255">
        <v>2.2074850198967686E-3</v>
      </c>
      <c r="J2466" s="256">
        <v>1.0890672196841637E-5</v>
      </c>
      <c r="K2466" s="257">
        <v>1.1383100066940695E-5</v>
      </c>
      <c r="L2466" s="228">
        <v>3.8236023426515504E-2</v>
      </c>
    </row>
    <row r="2467" spans="1:12" s="212" customFormat="1" ht="15.5" x14ac:dyDescent="0.35">
      <c r="A2467" s="198" t="s">
        <v>807</v>
      </c>
      <c r="B2467" s="197">
        <v>2035</v>
      </c>
      <c r="C2467" s="213" t="s">
        <v>5622</v>
      </c>
      <c r="D2467" s="239">
        <v>5.7133028417948664E-3</v>
      </c>
      <c r="E2467" s="226">
        <v>3.1694819923349736E-2</v>
      </c>
      <c r="F2467" s="226">
        <v>7.4119156568297267E-4</v>
      </c>
      <c r="G2467" s="227">
        <v>6.818929427742646E-4</v>
      </c>
      <c r="H2467" s="226">
        <v>2.0000005732018801E-3</v>
      </c>
      <c r="I2467" s="255">
        <v>2.2084985791577345E-3</v>
      </c>
      <c r="J2467" s="256">
        <v>1.0129067203973564E-5</v>
      </c>
      <c r="K2467" s="257">
        <v>1.0587058675867205E-5</v>
      </c>
      <c r="L2467" s="228">
        <v>3.7801833000884133E-2</v>
      </c>
    </row>
    <row r="2468" spans="1:12" s="212" customFormat="1" ht="15.5" x14ac:dyDescent="0.35">
      <c r="A2468" s="198" t="s">
        <v>807</v>
      </c>
      <c r="B2468" s="197">
        <v>2036</v>
      </c>
      <c r="C2468" s="213" t="s">
        <v>5623</v>
      </c>
      <c r="D2468" s="239">
        <v>5.3907891848758984E-3</v>
      </c>
      <c r="E2468" s="226">
        <v>3.0169548905210973E-2</v>
      </c>
      <c r="F2468" s="226">
        <v>7.0356528995183399E-4</v>
      </c>
      <c r="G2468" s="227">
        <v>6.4726989559401454E-4</v>
      </c>
      <c r="H2468" s="226">
        <v>1.9999656717960049E-3</v>
      </c>
      <c r="I2468" s="255">
        <v>2.2194749522294658E-3</v>
      </c>
      <c r="J2468" s="256">
        <v>9.4341611703780823E-6</v>
      </c>
      <c r="K2468" s="257">
        <v>9.8607320750323972E-6</v>
      </c>
      <c r="L2468" s="228">
        <v>3.7414106021623691E-2</v>
      </c>
    </row>
    <row r="2469" spans="1:12" s="212" customFormat="1" ht="15.5" x14ac:dyDescent="0.35">
      <c r="A2469" s="198" t="s">
        <v>807</v>
      </c>
      <c r="B2469" s="197">
        <v>2037</v>
      </c>
      <c r="C2469" s="213" t="s">
        <v>5624</v>
      </c>
      <c r="D2469" s="239">
        <v>5.0979428720874312E-3</v>
      </c>
      <c r="E2469" s="226">
        <v>2.8837669645163874E-2</v>
      </c>
      <c r="F2469" s="226">
        <v>6.6802629147126591E-4</v>
      </c>
      <c r="G2469" s="227">
        <v>6.1456944105743876E-4</v>
      </c>
      <c r="H2469" s="226">
        <v>1.9999656859333147E-3</v>
      </c>
      <c r="I2469" s="255">
        <v>2.2202626637685581E-3</v>
      </c>
      <c r="J2469" s="256">
        <v>8.8269863215377306E-6</v>
      </c>
      <c r="K2469" s="257">
        <v>9.2261034738259866E-6</v>
      </c>
      <c r="L2469" s="228">
        <v>3.7075827891852688E-2</v>
      </c>
    </row>
    <row r="2470" spans="1:12" s="212" customFormat="1" ht="15.5" x14ac:dyDescent="0.35">
      <c r="A2470" s="198" t="s">
        <v>807</v>
      </c>
      <c r="B2470" s="197">
        <v>2038</v>
      </c>
      <c r="C2470" s="213" t="s">
        <v>5625</v>
      </c>
      <c r="D2470" s="239">
        <v>4.9424947772624692E-3</v>
      </c>
      <c r="E2470" s="226">
        <v>2.7746605519584553E-2</v>
      </c>
      <c r="F2470" s="226">
        <v>6.5054754742480678E-4</v>
      </c>
      <c r="G2470" s="227">
        <v>5.9848542222233072E-4</v>
      </c>
      <c r="H2470" s="226">
        <v>2.0000005732018797E-3</v>
      </c>
      <c r="I2470" s="255">
        <v>2.2691236943551837E-3</v>
      </c>
      <c r="J2470" s="256">
        <v>8.4943908977148643E-6</v>
      </c>
      <c r="K2470" s="257">
        <v>8.878469560808168E-6</v>
      </c>
      <c r="L2470" s="228">
        <v>3.6781124013540063E-2</v>
      </c>
    </row>
    <row r="2471" spans="1:12" s="212" customFormat="1" ht="15.5" x14ac:dyDescent="0.35">
      <c r="A2471" s="198" t="s">
        <v>807</v>
      </c>
      <c r="B2471" s="197">
        <v>2039</v>
      </c>
      <c r="C2471" s="213" t="s">
        <v>5626</v>
      </c>
      <c r="D2471" s="239">
        <v>4.6717401610938264E-3</v>
      </c>
      <c r="E2471" s="226">
        <v>2.659141584787748E-2</v>
      </c>
      <c r="F2471" s="226">
        <v>6.2118408635296286E-4</v>
      </c>
      <c r="G2471" s="227">
        <v>5.7147122471158521E-4</v>
      </c>
      <c r="H2471" s="226">
        <v>2.0000005732018801E-3</v>
      </c>
      <c r="I2471" s="255">
        <v>2.2697644337825976E-3</v>
      </c>
      <c r="J2471" s="256">
        <v>8.0945502152657429E-6</v>
      </c>
      <c r="K2471" s="257">
        <v>8.4605498569654542E-6</v>
      </c>
      <c r="L2471" s="228">
        <v>3.6524731729464327E-2</v>
      </c>
    </row>
    <row r="2472" spans="1:12" s="212" customFormat="1" ht="15.5" x14ac:dyDescent="0.35">
      <c r="A2472" s="198" t="s">
        <v>807</v>
      </c>
      <c r="B2472" s="197">
        <v>2040</v>
      </c>
      <c r="C2472" s="213" t="s">
        <v>5627</v>
      </c>
      <c r="D2472" s="239">
        <v>4.4279324408665801E-3</v>
      </c>
      <c r="E2472" s="226">
        <v>2.5592478250593475E-2</v>
      </c>
      <c r="F2472" s="226">
        <v>5.9523295901506203E-4</v>
      </c>
      <c r="G2472" s="227">
        <v>5.4759766846157671E-4</v>
      </c>
      <c r="H2472" s="226">
        <v>2.0000005732018801E-3</v>
      </c>
      <c r="I2472" s="255">
        <v>2.2703461269912026E-3</v>
      </c>
      <c r="J2472" s="256">
        <v>7.7749487668183295E-6</v>
      </c>
      <c r="K2472" s="257">
        <v>8.1264974492296827E-6</v>
      </c>
      <c r="L2472" s="228">
        <v>3.6303067426756597E-2</v>
      </c>
    </row>
    <row r="2473" spans="1:12" s="212" customFormat="1" ht="15.5" x14ac:dyDescent="0.35">
      <c r="A2473" s="198" t="s">
        <v>807</v>
      </c>
      <c r="B2473" s="197">
        <v>2041</v>
      </c>
      <c r="C2473" s="213" t="s">
        <v>5628</v>
      </c>
      <c r="D2473" s="239">
        <v>4.2408718754263974E-3</v>
      </c>
      <c r="E2473" s="226">
        <v>2.4768561495496312E-2</v>
      </c>
      <c r="F2473" s="226">
        <v>5.7556949064396551E-4</v>
      </c>
      <c r="G2473" s="227">
        <v>5.295071043355038E-4</v>
      </c>
      <c r="H2473" s="226">
        <v>2.0000005732018797E-3</v>
      </c>
      <c r="I2473" s="255">
        <v>2.2708888703085561E-3</v>
      </c>
      <c r="J2473" s="256">
        <v>7.4995380739431139E-6</v>
      </c>
      <c r="K2473" s="257">
        <v>7.8386339069394999E-6</v>
      </c>
      <c r="L2473" s="228">
        <v>3.6118286613629404E-2</v>
      </c>
    </row>
    <row r="2474" spans="1:12" s="212" customFormat="1" ht="15.5" x14ac:dyDescent="0.35">
      <c r="A2474" s="198" t="s">
        <v>807</v>
      </c>
      <c r="B2474" s="197">
        <v>2042</v>
      </c>
      <c r="C2474" s="213" t="s">
        <v>5629</v>
      </c>
      <c r="D2474" s="239">
        <v>4.0623802363577962E-3</v>
      </c>
      <c r="E2474" s="226">
        <v>2.3930765079263366E-2</v>
      </c>
      <c r="F2474" s="226">
        <v>5.5849391384233825E-4</v>
      </c>
      <c r="G2474" s="227">
        <v>5.1379813198691292E-4</v>
      </c>
      <c r="H2474" s="226">
        <v>2.0000005732018801E-3</v>
      </c>
      <c r="I2474" s="255">
        <v>2.2713036611841648E-3</v>
      </c>
      <c r="J2474" s="256">
        <v>7.2785639624828727E-6</v>
      </c>
      <c r="K2474" s="257">
        <v>7.6076683267171249E-6</v>
      </c>
      <c r="L2474" s="228">
        <v>3.5955449564257974E-2</v>
      </c>
    </row>
    <row r="2475" spans="1:12" s="212" customFormat="1" ht="15.5" x14ac:dyDescent="0.35">
      <c r="A2475" s="198" t="s">
        <v>807</v>
      </c>
      <c r="B2475" s="197">
        <v>2043</v>
      </c>
      <c r="C2475" s="213" t="s">
        <v>5630</v>
      </c>
      <c r="D2475" s="239">
        <v>3.9232329103972684E-3</v>
      </c>
      <c r="E2475" s="226">
        <v>2.3215021217403511E-2</v>
      </c>
      <c r="F2475" s="226">
        <v>5.4380148846806949E-4</v>
      </c>
      <c r="G2475" s="227">
        <v>5.002819700870866E-4</v>
      </c>
      <c r="H2475" s="226">
        <v>2.0000005732018805E-3</v>
      </c>
      <c r="I2475" s="255">
        <v>2.2716566552852479E-3</v>
      </c>
      <c r="J2475" s="256">
        <v>7.0984153832028238E-6</v>
      </c>
      <c r="K2475" s="257">
        <v>7.4193742280794929E-6</v>
      </c>
      <c r="L2475" s="228">
        <v>3.5818871799718717E-2</v>
      </c>
    </row>
    <row r="2476" spans="1:12" s="212" customFormat="1" ht="15.5" x14ac:dyDescent="0.35">
      <c r="A2476" s="198" t="s">
        <v>807</v>
      </c>
      <c r="B2476" s="197">
        <v>2044</v>
      </c>
      <c r="C2476" s="213" t="s">
        <v>5631</v>
      </c>
      <c r="D2476" s="239">
        <v>3.816573294414496E-3</v>
      </c>
      <c r="E2476" s="226">
        <v>2.2552932704326206E-2</v>
      </c>
      <c r="F2476" s="226">
        <v>5.3114819411739886E-4</v>
      </c>
      <c r="G2476" s="227">
        <v>4.8864189126510084E-4</v>
      </c>
      <c r="H2476" s="226">
        <v>2.0000005732018801E-3</v>
      </c>
      <c r="I2476" s="255">
        <v>2.2719899480112553E-3</v>
      </c>
      <c r="J2476" s="256">
        <v>6.9484845861345082E-6</v>
      </c>
      <c r="K2476" s="257">
        <v>7.2626642256758367E-6</v>
      </c>
      <c r="L2476" s="228">
        <v>3.5701154527886948E-2</v>
      </c>
    </row>
    <row r="2477" spans="1:12" s="212" customFormat="1" ht="15.5" x14ac:dyDescent="0.35">
      <c r="A2477" s="198" t="s">
        <v>807</v>
      </c>
      <c r="B2477" s="197">
        <v>2045</v>
      </c>
      <c r="C2477" s="213" t="s">
        <v>5632</v>
      </c>
      <c r="D2477" s="239">
        <v>3.7357099795848705E-3</v>
      </c>
      <c r="E2477" s="226">
        <v>2.1924461576410023E-2</v>
      </c>
      <c r="F2477" s="226">
        <v>5.2019619827160454E-4</v>
      </c>
      <c r="G2477" s="227">
        <v>4.7856730828816957E-4</v>
      </c>
      <c r="H2477" s="226">
        <v>2.0000005732018797E-3</v>
      </c>
      <c r="I2477" s="255">
        <v>2.2722532209725091E-3</v>
      </c>
      <c r="J2477" s="256">
        <v>6.8297288376877877E-6</v>
      </c>
      <c r="K2477" s="257">
        <v>7.1385388692551786E-6</v>
      </c>
      <c r="L2477" s="228">
        <v>3.5596361633258515E-2</v>
      </c>
    </row>
    <row r="2478" spans="1:12" s="212" customFormat="1" ht="15.5" x14ac:dyDescent="0.35">
      <c r="A2478" s="198" t="s">
        <v>807</v>
      </c>
      <c r="B2478" s="197">
        <v>2046</v>
      </c>
      <c r="C2478" s="213" t="s">
        <v>5633</v>
      </c>
      <c r="D2478" s="239">
        <v>3.658266567511107E-3</v>
      </c>
      <c r="E2478" s="226">
        <v>2.1317987596939741E-2</v>
      </c>
      <c r="F2478" s="226">
        <v>5.1087368737461622E-4</v>
      </c>
      <c r="G2478" s="227">
        <v>4.6999199949043476E-4</v>
      </c>
      <c r="H2478" s="226">
        <v>2.0000005732018797E-3</v>
      </c>
      <c r="I2478" s="255">
        <v>2.2724970868787673E-3</v>
      </c>
      <c r="J2478" s="256">
        <v>6.7372267376349871E-6</v>
      </c>
      <c r="K2478" s="257">
        <v>7.0418542347099577E-6</v>
      </c>
      <c r="L2478" s="228">
        <v>3.5504759774114603E-2</v>
      </c>
    </row>
    <row r="2479" spans="1:12" s="212" customFormat="1" ht="15.5" x14ac:dyDescent="0.35">
      <c r="A2479" s="198" t="s">
        <v>807</v>
      </c>
      <c r="B2479" s="197">
        <v>2047</v>
      </c>
      <c r="C2479" s="213" t="s">
        <v>5634</v>
      </c>
      <c r="D2479" s="239">
        <v>3.5898654815185874E-3</v>
      </c>
      <c r="E2479" s="226">
        <v>2.0782288595764618E-2</v>
      </c>
      <c r="F2479" s="226">
        <v>5.0303861214942493E-4</v>
      </c>
      <c r="G2479" s="227">
        <v>4.6278445712239906E-4</v>
      </c>
      <c r="H2479" s="226">
        <v>2.0000005732018797E-3</v>
      </c>
      <c r="I2479" s="255">
        <v>2.272722795811834E-3</v>
      </c>
      <c r="J2479" s="256">
        <v>6.6479131814398504E-6</v>
      </c>
      <c r="K2479" s="257">
        <v>6.9485023158267208E-6</v>
      </c>
      <c r="L2479" s="228">
        <v>3.5426195743973099E-2</v>
      </c>
    </row>
    <row r="2480" spans="1:12" s="212" customFormat="1" ht="15.5" x14ac:dyDescent="0.35">
      <c r="A2480" s="198" t="s">
        <v>807</v>
      </c>
      <c r="B2480" s="197">
        <v>2048</v>
      </c>
      <c r="C2480" s="213" t="s">
        <v>5635</v>
      </c>
      <c r="D2480" s="239">
        <v>3.5317281417443437E-3</v>
      </c>
      <c r="E2480" s="226">
        <v>2.0327033816128857E-2</v>
      </c>
      <c r="F2480" s="226">
        <v>4.9638192801804626E-4</v>
      </c>
      <c r="G2480" s="227">
        <v>4.5666089034882392E-4</v>
      </c>
      <c r="H2480" s="226">
        <v>2.0000005732018801E-3</v>
      </c>
      <c r="I2480" s="255">
        <v>2.2729331745887861E-3</v>
      </c>
      <c r="J2480" s="256">
        <v>6.5711367235738673E-6</v>
      </c>
      <c r="K2480" s="257">
        <v>6.8682543672265213E-6</v>
      </c>
      <c r="L2480" s="228">
        <v>3.5359371682362861E-2</v>
      </c>
    </row>
    <row r="2481" spans="1:12" s="212" customFormat="1" ht="15.5" x14ac:dyDescent="0.35">
      <c r="A2481" s="198" t="s">
        <v>807</v>
      </c>
      <c r="B2481" s="197">
        <v>2049</v>
      </c>
      <c r="C2481" s="213" t="s">
        <v>5636</v>
      </c>
      <c r="D2481" s="239">
        <v>3.5215523940376799E-3</v>
      </c>
      <c r="E2481" s="226">
        <v>2.029000327449865E-2</v>
      </c>
      <c r="F2481" s="226">
        <v>4.9256647754401437E-4</v>
      </c>
      <c r="G2481" s="227">
        <v>4.531506241251393E-4</v>
      </c>
      <c r="H2481" s="226">
        <v>2.0000005732018801E-3</v>
      </c>
      <c r="I2481" s="255">
        <v>2.2731088714937489E-3</v>
      </c>
      <c r="J2481" s="256">
        <v>6.5172302356638753E-6</v>
      </c>
      <c r="K2481" s="257">
        <v>6.8119104671397434E-6</v>
      </c>
      <c r="L2481" s="228">
        <v>3.5300120615312409E-2</v>
      </c>
    </row>
    <row r="2482" spans="1:12" s="212" customFormat="1" ht="15.5" x14ac:dyDescent="0.35">
      <c r="A2482" s="198" t="s">
        <v>807</v>
      </c>
      <c r="B2482" s="197">
        <v>2050</v>
      </c>
      <c r="C2482" s="213" t="s">
        <v>5637</v>
      </c>
      <c r="D2482" s="239">
        <v>3.5138362174945929E-3</v>
      </c>
      <c r="E2482" s="226">
        <v>2.026018179731166E-2</v>
      </c>
      <c r="F2482" s="226">
        <v>4.8934767210719401E-4</v>
      </c>
      <c r="G2482" s="227">
        <v>4.5018477945117262E-4</v>
      </c>
      <c r="H2482" s="226">
        <v>2.0000005732018801E-3</v>
      </c>
      <c r="I2482" s="255">
        <v>2.2733454583952605E-3</v>
      </c>
      <c r="J2482" s="256">
        <v>6.35625930477934E-6</v>
      </c>
      <c r="K2482" s="257">
        <v>6.6436611450585414E-6</v>
      </c>
      <c r="L2482" s="228">
        <v>3.5250114809144681E-2</v>
      </c>
    </row>
    <row r="2483" spans="1:12" s="212" customFormat="1" ht="15.5" x14ac:dyDescent="0.35">
      <c r="A2483" s="198" t="s">
        <v>809</v>
      </c>
      <c r="B2483" s="197">
        <v>2015</v>
      </c>
      <c r="C2483" s="213" t="s">
        <v>5638</v>
      </c>
      <c r="D2483" s="239">
        <v>5.213494164511432E-2</v>
      </c>
      <c r="E2483" s="226">
        <v>0.19927440975235669</v>
      </c>
      <c r="F2483" s="226">
        <v>2.2194476934217539E-3</v>
      </c>
      <c r="G2483" s="227">
        <v>2.0500715235163692E-3</v>
      </c>
      <c r="H2483" s="226">
        <v>2.0000163451307697E-3</v>
      </c>
      <c r="I2483" s="255">
        <v>2.8024548338153317E-3</v>
      </c>
      <c r="J2483" s="256">
        <v>1.6863826438507021E-4</v>
      </c>
      <c r="K2483" s="257">
        <v>1.76263338379348E-4</v>
      </c>
      <c r="L2483" s="228">
        <v>4.5944710543470511E-2</v>
      </c>
    </row>
    <row r="2484" spans="1:12" s="212" customFormat="1" ht="15.5" x14ac:dyDescent="0.35">
      <c r="A2484" s="198" t="s">
        <v>809</v>
      </c>
      <c r="B2484" s="197">
        <v>2016</v>
      </c>
      <c r="C2484" s="213" t="s">
        <v>5639</v>
      </c>
      <c r="D2484" s="239">
        <v>4.5379829031666347E-2</v>
      </c>
      <c r="E2484" s="226">
        <v>0.1774382973356835</v>
      </c>
      <c r="F2484" s="226">
        <v>2.1749051595146515E-3</v>
      </c>
      <c r="G2484" s="227">
        <v>2.0076604091205301E-3</v>
      </c>
      <c r="H2484" s="226">
        <v>2.0000163451307702E-3</v>
      </c>
      <c r="I2484" s="255">
        <v>2.7961654612719952E-3</v>
      </c>
      <c r="J2484" s="256">
        <v>1.5184550566346708E-4</v>
      </c>
      <c r="K2484" s="257">
        <v>1.5871128562511752E-4</v>
      </c>
      <c r="L2484" s="228">
        <v>4.4866780343506586E-2</v>
      </c>
    </row>
    <row r="2485" spans="1:12" s="212" customFormat="1" ht="15.5" x14ac:dyDescent="0.35">
      <c r="A2485" s="198" t="s">
        <v>809</v>
      </c>
      <c r="B2485" s="197">
        <v>2017</v>
      </c>
      <c r="C2485" s="213" t="s">
        <v>5640</v>
      </c>
      <c r="D2485" s="239">
        <v>3.748032785859759E-2</v>
      </c>
      <c r="E2485" s="226">
        <v>0.15066390842507105</v>
      </c>
      <c r="F2485" s="226">
        <v>2.1190081636111428E-3</v>
      </c>
      <c r="G2485" s="227">
        <v>1.954505548062712E-3</v>
      </c>
      <c r="H2485" s="226">
        <v>2.0000163451307706E-3</v>
      </c>
      <c r="I2485" s="255">
        <v>2.800218124252558E-3</v>
      </c>
      <c r="J2485" s="256">
        <v>1.2445820413507067E-4</v>
      </c>
      <c r="K2485" s="257">
        <v>1.3008565185095738E-4</v>
      </c>
      <c r="L2485" s="228">
        <v>4.4498051315880319E-2</v>
      </c>
    </row>
    <row r="2486" spans="1:12" s="212" customFormat="1" ht="15.5" x14ac:dyDescent="0.35">
      <c r="A2486" s="198" t="s">
        <v>809</v>
      </c>
      <c r="B2486" s="197">
        <v>2018</v>
      </c>
      <c r="C2486" s="213" t="s">
        <v>5641</v>
      </c>
      <c r="D2486" s="239">
        <v>3.2088732538994309E-2</v>
      </c>
      <c r="E2486" s="226">
        <v>0.13208393034938476</v>
      </c>
      <c r="F2486" s="226">
        <v>2.1188054300226114E-3</v>
      </c>
      <c r="G2486" s="227">
        <v>1.9532696506810621E-3</v>
      </c>
      <c r="H2486" s="226">
        <v>2.0000163451307702E-3</v>
      </c>
      <c r="I2486" s="255">
        <v>2.8034425384384529E-3</v>
      </c>
      <c r="J2486" s="256">
        <v>1.1048928892202462E-4</v>
      </c>
      <c r="K2486" s="257">
        <v>1.1548512427812007E-4</v>
      </c>
      <c r="L2486" s="228">
        <v>4.3891359276089677E-2</v>
      </c>
    </row>
    <row r="2487" spans="1:12" s="212" customFormat="1" ht="15.5" x14ac:dyDescent="0.35">
      <c r="A2487" s="198" t="s">
        <v>809</v>
      </c>
      <c r="B2487" s="197">
        <v>2019</v>
      </c>
      <c r="C2487" s="213" t="s">
        <v>5642</v>
      </c>
      <c r="D2487" s="239">
        <v>2.7252865156819784E-2</v>
      </c>
      <c r="E2487" s="226">
        <v>0.11465288729755306</v>
      </c>
      <c r="F2487" s="226">
        <v>2.1195137553718419E-3</v>
      </c>
      <c r="G2487" s="227">
        <v>1.9531134561819859E-3</v>
      </c>
      <c r="H2487" s="226">
        <v>2.0000163451307706E-3</v>
      </c>
      <c r="I2487" s="255">
        <v>2.8072910229662361E-3</v>
      </c>
      <c r="J2487" s="256">
        <v>1.0080733301198315E-4</v>
      </c>
      <c r="K2487" s="257">
        <v>1.0536539328486995E-4</v>
      </c>
      <c r="L2487" s="228">
        <v>4.3207772060517936E-2</v>
      </c>
    </row>
    <row r="2488" spans="1:12" s="212" customFormat="1" ht="15.5" x14ac:dyDescent="0.35">
      <c r="A2488" s="198" t="s">
        <v>809</v>
      </c>
      <c r="B2488" s="197">
        <v>2020</v>
      </c>
      <c r="C2488" s="213" t="s">
        <v>5643</v>
      </c>
      <c r="D2488" s="239">
        <v>2.426047987828836E-2</v>
      </c>
      <c r="E2488" s="226">
        <v>0.10296717267977985</v>
      </c>
      <c r="F2488" s="226">
        <v>2.0847877547299598E-3</v>
      </c>
      <c r="G2488" s="227">
        <v>1.9207480776911E-3</v>
      </c>
      <c r="H2488" s="226">
        <v>2.0000163451307702E-3</v>
      </c>
      <c r="I2488" s="255">
        <v>2.8155951783021315E-3</v>
      </c>
      <c r="J2488" s="256">
        <v>9.287523962293393E-5</v>
      </c>
      <c r="K2488" s="257">
        <v>9.7074645830911034E-5</v>
      </c>
      <c r="L2488" s="228">
        <v>4.2817818404990209E-2</v>
      </c>
    </row>
    <row r="2489" spans="1:12" s="212" customFormat="1" ht="15.5" x14ac:dyDescent="0.35">
      <c r="A2489" s="198" t="s">
        <v>809</v>
      </c>
      <c r="B2489" s="197">
        <v>2021</v>
      </c>
      <c r="C2489" s="213" t="s">
        <v>5644</v>
      </c>
      <c r="D2489" s="239">
        <v>2.1649407624907982E-2</v>
      </c>
      <c r="E2489" s="226">
        <v>9.1812728874924615E-2</v>
      </c>
      <c r="F2489" s="226">
        <v>2.0145434843759896E-3</v>
      </c>
      <c r="G2489" s="227">
        <v>1.8557647052340983E-3</v>
      </c>
      <c r="H2489" s="226">
        <v>2.00001565451992E-3</v>
      </c>
      <c r="I2489" s="255">
        <v>2.8389334608747091E-3</v>
      </c>
      <c r="J2489" s="256">
        <v>8.4686449365958298E-5</v>
      </c>
      <c r="K2489" s="257">
        <v>8.8515594815733413E-5</v>
      </c>
      <c r="L2489" s="228">
        <v>4.1899055908296214E-2</v>
      </c>
    </row>
    <row r="2490" spans="1:12" s="212" customFormat="1" ht="15.5" x14ac:dyDescent="0.35">
      <c r="A2490" s="198" t="s">
        <v>809</v>
      </c>
      <c r="B2490" s="197">
        <v>2022</v>
      </c>
      <c r="C2490" s="213" t="s">
        <v>5645</v>
      </c>
      <c r="D2490" s="239">
        <v>1.8965221078058616E-2</v>
      </c>
      <c r="E2490" s="226">
        <v>8.1184006495901934E-2</v>
      </c>
      <c r="F2490" s="226">
        <v>1.93256959240951E-3</v>
      </c>
      <c r="G2490" s="227">
        <v>1.7799495428975013E-3</v>
      </c>
      <c r="H2490" s="226">
        <v>2.00001565451992E-3</v>
      </c>
      <c r="I2490" s="255">
        <v>2.8400826821340062E-3</v>
      </c>
      <c r="J2490" s="256">
        <v>7.6307742356846161E-5</v>
      </c>
      <c r="K2490" s="257">
        <v>7.9758039855630953E-5</v>
      </c>
      <c r="L2490" s="228">
        <v>4.10860122300633E-2</v>
      </c>
    </row>
    <row r="2491" spans="1:12" s="212" customFormat="1" ht="15.5" x14ac:dyDescent="0.35">
      <c r="A2491" s="198" t="s">
        <v>809</v>
      </c>
      <c r="B2491" s="197">
        <v>2023</v>
      </c>
      <c r="C2491" s="213" t="s">
        <v>5646</v>
      </c>
      <c r="D2491" s="239">
        <v>1.6908888753682752E-2</v>
      </c>
      <c r="E2491" s="226">
        <v>7.2249411752919754E-2</v>
      </c>
      <c r="F2491" s="226">
        <v>1.8584835895877339E-3</v>
      </c>
      <c r="G2491" s="227">
        <v>1.711470567449356E-3</v>
      </c>
      <c r="H2491" s="226">
        <v>2.00001565451992E-3</v>
      </c>
      <c r="I2491" s="255">
        <v>2.8408634461623426E-3</v>
      </c>
      <c r="J2491" s="256">
        <v>6.765192325325467E-5</v>
      </c>
      <c r="K2491" s="257">
        <v>7.0710843021803629E-5</v>
      </c>
      <c r="L2491" s="228">
        <v>4.0237297115205878E-2</v>
      </c>
    </row>
    <row r="2492" spans="1:12" s="212" customFormat="1" ht="15.5" x14ac:dyDescent="0.35">
      <c r="A2492" s="198" t="s">
        <v>809</v>
      </c>
      <c r="B2492" s="197">
        <v>2024</v>
      </c>
      <c r="C2492" s="213" t="s">
        <v>5647</v>
      </c>
      <c r="D2492" s="239">
        <v>1.5136141205561414E-2</v>
      </c>
      <c r="E2492" s="226">
        <v>6.4714063796627988E-2</v>
      </c>
      <c r="F2492" s="226">
        <v>1.7914793101044429E-3</v>
      </c>
      <c r="G2492" s="227">
        <v>1.6495210347001043E-3</v>
      </c>
      <c r="H2492" s="226">
        <v>2.00001565451992E-3</v>
      </c>
      <c r="I2492" s="255">
        <v>2.8416350897929265E-3</v>
      </c>
      <c r="J2492" s="256">
        <v>5.9395187283122593E-5</v>
      </c>
      <c r="K2492" s="257">
        <v>6.2080774089825228E-5</v>
      </c>
      <c r="L2492" s="228">
        <v>3.935669851518829E-2</v>
      </c>
    </row>
    <row r="2493" spans="1:12" s="212" customFormat="1" ht="15.5" x14ac:dyDescent="0.35">
      <c r="A2493" s="198" t="s">
        <v>809</v>
      </c>
      <c r="B2493" s="197">
        <v>2025</v>
      </c>
      <c r="C2493" s="213" t="s">
        <v>5648</v>
      </c>
      <c r="D2493" s="239">
        <v>1.3629467804921773E-2</v>
      </c>
      <c r="E2493" s="226">
        <v>5.8434530812136842E-2</v>
      </c>
      <c r="F2493" s="226">
        <v>1.7320885473852666E-3</v>
      </c>
      <c r="G2493" s="227">
        <v>1.5946279922484986E-3</v>
      </c>
      <c r="H2493" s="226">
        <v>2.00001565451992E-3</v>
      </c>
      <c r="I2493" s="255">
        <v>2.8422539186370374E-3</v>
      </c>
      <c r="J2493" s="256">
        <v>5.2242617989384803E-5</v>
      </c>
      <c r="K2493" s="257">
        <v>5.4604797351680844E-5</v>
      </c>
      <c r="L2493" s="228">
        <v>3.8457926980948305E-2</v>
      </c>
    </row>
    <row r="2494" spans="1:12" s="212" customFormat="1" ht="15.5" x14ac:dyDescent="0.35">
      <c r="A2494" s="198" t="s">
        <v>809</v>
      </c>
      <c r="B2494" s="197">
        <v>2026</v>
      </c>
      <c r="C2494" s="213" t="s">
        <v>5649</v>
      </c>
      <c r="D2494" s="239">
        <v>1.2268212792986143E-2</v>
      </c>
      <c r="E2494" s="226">
        <v>5.3073663746467367E-2</v>
      </c>
      <c r="F2494" s="226">
        <v>1.6530153379667313E-3</v>
      </c>
      <c r="G2494" s="227">
        <v>1.5216290798070471E-3</v>
      </c>
      <c r="H2494" s="226">
        <v>2.00001551931785E-3</v>
      </c>
      <c r="I2494" s="255">
        <v>2.8037254405924744E-3</v>
      </c>
      <c r="J2494" s="256">
        <v>4.4713876732699586E-5</v>
      </c>
      <c r="K2494" s="257">
        <v>4.6735639823662773E-5</v>
      </c>
      <c r="L2494" s="228">
        <v>3.7579847353780831E-2</v>
      </c>
    </row>
    <row r="2495" spans="1:12" s="212" customFormat="1" ht="15.5" x14ac:dyDescent="0.35">
      <c r="A2495" s="198" t="s">
        <v>809</v>
      </c>
      <c r="B2495" s="197">
        <v>2027</v>
      </c>
      <c r="C2495" s="213" t="s">
        <v>5650</v>
      </c>
      <c r="D2495" s="239">
        <v>1.1269253895430651E-2</v>
      </c>
      <c r="E2495" s="226">
        <v>4.8667884190612944E-2</v>
      </c>
      <c r="F2495" s="226">
        <v>1.584056382477342E-3</v>
      </c>
      <c r="G2495" s="227">
        <v>1.45793142833322E-3</v>
      </c>
      <c r="H2495" s="226">
        <v>2.0000156317195698E-3</v>
      </c>
      <c r="I2495" s="255">
        <v>2.8583654384166991E-3</v>
      </c>
      <c r="J2495" s="256">
        <v>3.7216366521076887E-5</v>
      </c>
      <c r="K2495" s="257">
        <v>3.8899125469979351E-5</v>
      </c>
      <c r="L2495" s="228">
        <v>3.6758023075748207E-2</v>
      </c>
    </row>
    <row r="2496" spans="1:12" s="212" customFormat="1" ht="15.5" x14ac:dyDescent="0.35">
      <c r="A2496" s="198" t="s">
        <v>809</v>
      </c>
      <c r="B2496" s="197">
        <v>2028</v>
      </c>
      <c r="C2496" s="213" t="s">
        <v>5651</v>
      </c>
      <c r="D2496" s="239">
        <v>1.0330209676254113E-2</v>
      </c>
      <c r="E2496" s="226">
        <v>4.4857559777305572E-2</v>
      </c>
      <c r="F2496" s="226">
        <v>1.4894731193710535E-3</v>
      </c>
      <c r="G2496" s="227">
        <v>1.3707108621908238E-3</v>
      </c>
      <c r="H2496" s="226">
        <v>2.0000156317195694E-3</v>
      </c>
      <c r="I2496" s="255">
        <v>2.8580523596024006E-3</v>
      </c>
      <c r="J2496" s="256">
        <v>3.067816665119681E-5</v>
      </c>
      <c r="K2496" s="257">
        <v>3.2065297214815522E-5</v>
      </c>
      <c r="L2496" s="228">
        <v>3.597783003561697E-2</v>
      </c>
    </row>
    <row r="2497" spans="1:12" s="212" customFormat="1" ht="15.5" x14ac:dyDescent="0.35">
      <c r="A2497" s="198" t="s">
        <v>809</v>
      </c>
      <c r="B2497" s="197">
        <v>2029</v>
      </c>
      <c r="C2497" s="213" t="s">
        <v>5652</v>
      </c>
      <c r="D2497" s="239">
        <v>9.5102139873590279E-3</v>
      </c>
      <c r="E2497" s="226">
        <v>4.1573840176461402E-2</v>
      </c>
      <c r="F2497" s="226">
        <v>1.3980841120394731E-3</v>
      </c>
      <c r="G2497" s="227">
        <v>1.2864910937818359E-3</v>
      </c>
      <c r="H2497" s="226">
        <v>2.0000156317195698E-3</v>
      </c>
      <c r="I2497" s="255">
        <v>2.857593212611764E-3</v>
      </c>
      <c r="J2497" s="256">
        <v>2.5777357816657831E-5</v>
      </c>
      <c r="K2497" s="257">
        <v>2.6942895551795882E-5</v>
      </c>
      <c r="L2497" s="228">
        <v>3.5253431340798239E-2</v>
      </c>
    </row>
    <row r="2498" spans="1:12" s="212" customFormat="1" ht="15.5" x14ac:dyDescent="0.35">
      <c r="A2498" s="198" t="s">
        <v>809</v>
      </c>
      <c r="B2498" s="197">
        <v>2030</v>
      </c>
      <c r="C2498" s="213" t="s">
        <v>5653</v>
      </c>
      <c r="D2498" s="239">
        <v>8.8056873403223913E-3</v>
      </c>
      <c r="E2498" s="226">
        <v>3.87437268755184E-2</v>
      </c>
      <c r="F2498" s="226">
        <v>1.311249497283938E-3</v>
      </c>
      <c r="G2498" s="227">
        <v>1.2064903252808486E-3</v>
      </c>
      <c r="H2498" s="226">
        <v>2.0000156317195698E-3</v>
      </c>
      <c r="I2498" s="255">
        <v>2.8570321322684078E-3</v>
      </c>
      <c r="J2498" s="256">
        <v>2.1682548331575885E-5</v>
      </c>
      <c r="K2498" s="257">
        <v>2.2662936952246533E-5</v>
      </c>
      <c r="L2498" s="228">
        <v>3.4596733183341513E-2</v>
      </c>
    </row>
    <row r="2499" spans="1:12" s="212" customFormat="1" ht="15.5" x14ac:dyDescent="0.35">
      <c r="A2499" s="198" t="s">
        <v>809</v>
      </c>
      <c r="B2499" s="197">
        <v>2031</v>
      </c>
      <c r="C2499" s="213" t="s">
        <v>5654</v>
      </c>
      <c r="D2499" s="239">
        <v>8.0862187545190766E-3</v>
      </c>
      <c r="E2499" s="226">
        <v>3.6141174144015228E-2</v>
      </c>
      <c r="F2499" s="226">
        <v>1.2153080060624973E-3</v>
      </c>
      <c r="G2499" s="227">
        <v>1.1181611702218641E-3</v>
      </c>
      <c r="H2499" s="226">
        <v>2.0000164723328199E-3</v>
      </c>
      <c r="I2499" s="255">
        <v>2.8180609890820253E-3</v>
      </c>
      <c r="J2499" s="256">
        <v>1.8743972722960587E-5</v>
      </c>
      <c r="K2499" s="257">
        <v>1.9591491994345762E-5</v>
      </c>
      <c r="L2499" s="228">
        <v>3.4002277447353534E-2</v>
      </c>
    </row>
    <row r="2500" spans="1:12" s="212" customFormat="1" ht="15.5" x14ac:dyDescent="0.35">
      <c r="A2500" s="198" t="s">
        <v>809</v>
      </c>
      <c r="B2500" s="197">
        <v>2032</v>
      </c>
      <c r="C2500" s="213" t="s">
        <v>5655</v>
      </c>
      <c r="D2500" s="239">
        <v>7.541422667367105E-3</v>
      </c>
      <c r="E2500" s="226">
        <v>3.3981897612572774E-2</v>
      </c>
      <c r="F2500" s="226">
        <v>1.1390921835244441E-3</v>
      </c>
      <c r="G2500" s="227">
        <v>1.0479876619038726E-3</v>
      </c>
      <c r="H2500" s="226">
        <v>2.0000164723328199E-3</v>
      </c>
      <c r="I2500" s="255">
        <v>2.8171192000259688E-3</v>
      </c>
      <c r="J2500" s="256">
        <v>1.6283352520858939E-5</v>
      </c>
      <c r="K2500" s="257">
        <v>1.7019613465545511E-5</v>
      </c>
      <c r="L2500" s="228">
        <v>3.3430032140606254E-2</v>
      </c>
    </row>
    <row r="2501" spans="1:12" s="212" customFormat="1" ht="15.5" x14ac:dyDescent="0.35">
      <c r="A2501" s="198" t="s">
        <v>809</v>
      </c>
      <c r="B2501" s="197">
        <v>2033</v>
      </c>
      <c r="C2501" s="213" t="s">
        <v>5656</v>
      </c>
      <c r="D2501" s="239">
        <v>7.1524770979342206E-3</v>
      </c>
      <c r="E2501" s="226">
        <v>3.2205020019213514E-2</v>
      </c>
      <c r="F2501" s="226">
        <v>1.082079236779312E-3</v>
      </c>
      <c r="G2501" s="227">
        <v>9.95508914104405E-4</v>
      </c>
      <c r="H2501" s="226">
        <v>2.0000152007130503E-3</v>
      </c>
      <c r="I2501" s="255">
        <v>2.8827846398553954E-3</v>
      </c>
      <c r="J2501" s="256">
        <v>1.4808929073203382E-5</v>
      </c>
      <c r="K2501" s="257">
        <v>1.5478523132244121E-5</v>
      </c>
      <c r="L2501" s="228">
        <v>3.2922033862908234E-2</v>
      </c>
    </row>
    <row r="2502" spans="1:12" s="212" customFormat="1" ht="15.5" x14ac:dyDescent="0.35">
      <c r="A2502" s="198" t="s">
        <v>809</v>
      </c>
      <c r="B2502" s="197">
        <v>2034</v>
      </c>
      <c r="C2502" s="213" t="s">
        <v>5657</v>
      </c>
      <c r="D2502" s="239">
        <v>6.7146963532045863E-3</v>
      </c>
      <c r="E2502" s="226">
        <v>3.0569183644665422E-2</v>
      </c>
      <c r="F2502" s="226">
        <v>1.0155134401927768E-3</v>
      </c>
      <c r="G2502" s="227">
        <v>9.3424802177029167E-4</v>
      </c>
      <c r="H2502" s="226">
        <v>2.0000152007130494E-3</v>
      </c>
      <c r="I2502" s="255">
        <v>2.8815782702339226E-3</v>
      </c>
      <c r="J2502" s="256">
        <v>1.3369109659831502E-5</v>
      </c>
      <c r="K2502" s="257">
        <v>1.3973601474103586E-5</v>
      </c>
      <c r="L2502" s="228">
        <v>3.246327166313058E-2</v>
      </c>
    </row>
    <row r="2503" spans="1:12" s="212" customFormat="1" ht="15.5" x14ac:dyDescent="0.35">
      <c r="A2503" s="198" t="s">
        <v>809</v>
      </c>
      <c r="B2503" s="197">
        <v>2035</v>
      </c>
      <c r="C2503" s="213" t="s">
        <v>5658</v>
      </c>
      <c r="D2503" s="239">
        <v>6.3347579744943896E-3</v>
      </c>
      <c r="E2503" s="226">
        <v>2.9188632786693289E-2</v>
      </c>
      <c r="F2503" s="226">
        <v>9.5481801174411162E-4</v>
      </c>
      <c r="G2503" s="227">
        <v>8.7839082029762187E-4</v>
      </c>
      <c r="H2503" s="226">
        <v>2.0000152007130503E-3</v>
      </c>
      <c r="I2503" s="255">
        <v>2.8803675395617325E-3</v>
      </c>
      <c r="J2503" s="256">
        <v>1.2085953495329388E-5</v>
      </c>
      <c r="K2503" s="257">
        <v>1.2632426681763838E-5</v>
      </c>
      <c r="L2503" s="228">
        <v>3.2052566749347887E-2</v>
      </c>
    </row>
    <row r="2504" spans="1:12" s="212" customFormat="1" ht="15.5" x14ac:dyDescent="0.35">
      <c r="A2504" s="198" t="s">
        <v>809</v>
      </c>
      <c r="B2504" s="197">
        <v>2036</v>
      </c>
      <c r="C2504" s="213" t="s">
        <v>5659</v>
      </c>
      <c r="D2504" s="239">
        <v>5.9988644922720829E-3</v>
      </c>
      <c r="E2504" s="226">
        <v>2.7976019266281998E-2</v>
      </c>
      <c r="F2504" s="226">
        <v>9.0151836912176616E-4</v>
      </c>
      <c r="G2504" s="227">
        <v>8.2934008011684656E-4</v>
      </c>
      <c r="H2504" s="226">
        <v>2.0000153913159106E-3</v>
      </c>
      <c r="I2504" s="255">
        <v>2.8769079003631731E-3</v>
      </c>
      <c r="J2504" s="256">
        <v>1.0964726446215328E-5</v>
      </c>
      <c r="K2504" s="257">
        <v>1.1460502720860199E-5</v>
      </c>
      <c r="L2504" s="228">
        <v>3.1688314014270587E-2</v>
      </c>
    </row>
    <row r="2505" spans="1:12" s="212" customFormat="1" ht="15.5" x14ac:dyDescent="0.35">
      <c r="A2505" s="198" t="s">
        <v>809</v>
      </c>
      <c r="B2505" s="197">
        <v>2037</v>
      </c>
      <c r="C2505" s="213" t="s">
        <v>5660</v>
      </c>
      <c r="D2505" s="239">
        <v>5.7127451453011062E-3</v>
      </c>
      <c r="E2505" s="226">
        <v>2.6951144540994239E-2</v>
      </c>
      <c r="F2505" s="226">
        <v>8.5468013822341592E-4</v>
      </c>
      <c r="G2505" s="227">
        <v>7.8623788574117351E-4</v>
      </c>
      <c r="H2505" s="226">
        <v>2.0000153913159097E-3</v>
      </c>
      <c r="I2505" s="255">
        <v>2.875817407928589E-3</v>
      </c>
      <c r="J2505" s="256">
        <v>1.0036406977803126E-5</v>
      </c>
      <c r="K2505" s="257">
        <v>1.0490208765443005E-5</v>
      </c>
      <c r="L2505" s="228">
        <v>3.1367725803995543E-2</v>
      </c>
    </row>
    <row r="2506" spans="1:12" s="212" customFormat="1" ht="15.5" x14ac:dyDescent="0.35">
      <c r="A2506" s="198" t="s">
        <v>809</v>
      </c>
      <c r="B2506" s="197">
        <v>2038</v>
      </c>
      <c r="C2506" s="213" t="s">
        <v>5661</v>
      </c>
      <c r="D2506" s="239">
        <v>5.4516966414585848E-3</v>
      </c>
      <c r="E2506" s="226">
        <v>2.6017736376506981E-2</v>
      </c>
      <c r="F2506" s="226">
        <v>8.1364068211486624E-4</v>
      </c>
      <c r="G2506" s="227">
        <v>7.4847675467094128E-4</v>
      </c>
      <c r="H2506" s="226">
        <v>2.0000153913159102E-3</v>
      </c>
      <c r="I2506" s="255">
        <v>2.8748435526633688E-3</v>
      </c>
      <c r="J2506" s="256">
        <v>9.3468772719061216E-6</v>
      </c>
      <c r="K2506" s="257">
        <v>9.7695015859880939E-6</v>
      </c>
      <c r="L2506" s="228">
        <v>3.1117651962986565E-2</v>
      </c>
    </row>
    <row r="2507" spans="1:12" s="212" customFormat="1" ht="15.5" x14ac:dyDescent="0.35">
      <c r="A2507" s="198" t="s">
        <v>809</v>
      </c>
      <c r="B2507" s="197">
        <v>2039</v>
      </c>
      <c r="C2507" s="213" t="s">
        <v>5662</v>
      </c>
      <c r="D2507" s="239">
        <v>5.2080318236336996E-3</v>
      </c>
      <c r="E2507" s="226">
        <v>2.5164179711318513E-2</v>
      </c>
      <c r="F2507" s="226">
        <v>7.7799164749029262E-4</v>
      </c>
      <c r="G2507" s="227">
        <v>7.1567573026590529E-4</v>
      </c>
      <c r="H2507" s="226">
        <v>2.0000153913159102E-3</v>
      </c>
      <c r="I2507" s="255">
        <v>2.8740232847894328E-3</v>
      </c>
      <c r="J2507" s="256">
        <v>8.7552121682256933E-6</v>
      </c>
      <c r="K2507" s="257">
        <v>9.1510840117942468E-6</v>
      </c>
      <c r="L2507" s="228">
        <v>3.0877951715062611E-2</v>
      </c>
    </row>
    <row r="2508" spans="1:12" s="212" customFormat="1" ht="15.5" x14ac:dyDescent="0.35">
      <c r="A2508" s="198" t="s">
        <v>809</v>
      </c>
      <c r="B2508" s="197">
        <v>2040</v>
      </c>
      <c r="C2508" s="213" t="s">
        <v>5663</v>
      </c>
      <c r="D2508" s="239">
        <v>4.9919245415515137E-3</v>
      </c>
      <c r="E2508" s="226">
        <v>2.4427940620665715E-2</v>
      </c>
      <c r="F2508" s="226">
        <v>7.4743150457006022E-4</v>
      </c>
      <c r="G2508" s="227">
        <v>6.8755762375891896E-4</v>
      </c>
      <c r="H2508" s="226">
        <v>2.0000153913159102E-3</v>
      </c>
      <c r="I2508" s="255">
        <v>2.8733451679335748E-3</v>
      </c>
      <c r="J2508" s="256">
        <v>8.2628677949039002E-6</v>
      </c>
      <c r="K2508" s="257">
        <v>8.6364780106566529E-6</v>
      </c>
      <c r="L2508" s="228">
        <v>3.06734992387412E-2</v>
      </c>
    </row>
    <row r="2509" spans="1:12" s="212" customFormat="1" ht="15.5" x14ac:dyDescent="0.35">
      <c r="A2509" s="198" t="s">
        <v>809</v>
      </c>
      <c r="B2509" s="197">
        <v>2041</v>
      </c>
      <c r="C2509" s="213" t="s">
        <v>5664</v>
      </c>
      <c r="D2509" s="239">
        <v>4.7578537530186442E-3</v>
      </c>
      <c r="E2509" s="226">
        <v>2.3749307214882408E-2</v>
      </c>
      <c r="F2509" s="226">
        <v>7.1442572056534435E-4</v>
      </c>
      <c r="G2509" s="227">
        <v>6.5719199975647195E-4</v>
      </c>
      <c r="H2509" s="226">
        <v>2.0000156659200998E-3</v>
      </c>
      <c r="I2509" s="255">
        <v>2.8249724312431959E-3</v>
      </c>
      <c r="J2509" s="256">
        <v>7.8002749855814109E-6</v>
      </c>
      <c r="K2509" s="257">
        <v>8.1529688072218114E-6</v>
      </c>
      <c r="L2509" s="228">
        <v>3.0501910705886853E-2</v>
      </c>
    </row>
    <row r="2510" spans="1:12" s="212" customFormat="1" ht="15.5" x14ac:dyDescent="0.35">
      <c r="A2510" s="198" t="s">
        <v>809</v>
      </c>
      <c r="B2510" s="197">
        <v>2042</v>
      </c>
      <c r="C2510" s="213" t="s">
        <v>5665</v>
      </c>
      <c r="D2510" s="239">
        <v>4.6074331351831452E-3</v>
      </c>
      <c r="E2510" s="226">
        <v>2.3166682427568547E-2</v>
      </c>
      <c r="F2510" s="226">
        <v>6.9475897593940705E-4</v>
      </c>
      <c r="G2510" s="227">
        <v>6.3909688415132845E-4</v>
      </c>
      <c r="H2510" s="226">
        <v>2.0000156659200998E-3</v>
      </c>
      <c r="I2510" s="255">
        <v>2.8244782218831573E-3</v>
      </c>
      <c r="J2510" s="256">
        <v>7.4853630033663833E-6</v>
      </c>
      <c r="K2510" s="257">
        <v>7.8238179025722329E-6</v>
      </c>
      <c r="L2510" s="228">
        <v>3.0356222742740503E-2</v>
      </c>
    </row>
    <row r="2511" spans="1:12" s="212" customFormat="1" ht="15.5" x14ac:dyDescent="0.35">
      <c r="A2511" s="198" t="s">
        <v>809</v>
      </c>
      <c r="B2511" s="197">
        <v>2043</v>
      </c>
      <c r="C2511" s="213" t="s">
        <v>5666</v>
      </c>
      <c r="D2511" s="239">
        <v>4.4867366721010136E-3</v>
      </c>
      <c r="E2511" s="226">
        <v>2.265399356675081E-2</v>
      </c>
      <c r="F2511" s="226">
        <v>6.7826833686123096E-4</v>
      </c>
      <c r="G2511" s="227">
        <v>6.2392436891398951E-4</v>
      </c>
      <c r="H2511" s="226">
        <v>2.0000156659201003E-3</v>
      </c>
      <c r="I2511" s="255">
        <v>2.8240438016299083E-3</v>
      </c>
      <c r="J2511" s="256">
        <v>7.2291878471628402E-6</v>
      </c>
      <c r="K2511" s="257">
        <v>7.5560596425655845E-6</v>
      </c>
      <c r="L2511" s="228">
        <v>3.0235494815681267E-2</v>
      </c>
    </row>
    <row r="2512" spans="1:12" s="212" customFormat="1" ht="15.5" x14ac:dyDescent="0.35">
      <c r="A2512" s="198" t="s">
        <v>809</v>
      </c>
      <c r="B2512" s="197">
        <v>2044</v>
      </c>
      <c r="C2512" s="213" t="s">
        <v>5667</v>
      </c>
      <c r="D2512" s="239">
        <v>4.3949713659924925E-3</v>
      </c>
      <c r="E2512" s="226">
        <v>2.2187010449447923E-2</v>
      </c>
      <c r="F2512" s="226">
        <v>6.6449733495785443E-4</v>
      </c>
      <c r="G2512" s="227">
        <v>6.1125411894676323E-4</v>
      </c>
      <c r="H2512" s="226">
        <v>2.0000156659200998E-3</v>
      </c>
      <c r="I2512" s="255">
        <v>2.8236615586603006E-3</v>
      </c>
      <c r="J2512" s="256">
        <v>7.0155988015622829E-6</v>
      </c>
      <c r="K2512" s="257">
        <v>7.3328130481103E-6</v>
      </c>
      <c r="L2512" s="228">
        <v>3.013347822223111E-2</v>
      </c>
    </row>
    <row r="2513" spans="1:12" s="212" customFormat="1" ht="15.5" x14ac:dyDescent="0.35">
      <c r="A2513" s="198" t="s">
        <v>809</v>
      </c>
      <c r="B2513" s="197">
        <v>2045</v>
      </c>
      <c r="C2513" s="213" t="s">
        <v>5668</v>
      </c>
      <c r="D2513" s="239">
        <v>4.3277286776323611E-3</v>
      </c>
      <c r="E2513" s="226">
        <v>2.1756367342961616E-2</v>
      </c>
      <c r="F2513" s="226">
        <v>6.5295281867934897E-4</v>
      </c>
      <c r="G2513" s="227">
        <v>6.0063300597575856E-4</v>
      </c>
      <c r="H2513" s="226">
        <v>2.0000156659200998E-3</v>
      </c>
      <c r="I2513" s="255">
        <v>2.8233138183204661E-3</v>
      </c>
      <c r="J2513" s="256">
        <v>6.8524590622433E-6</v>
      </c>
      <c r="K2513" s="257">
        <v>7.1622968537011895E-6</v>
      </c>
      <c r="L2513" s="228">
        <v>3.0046001217637001E-2</v>
      </c>
    </row>
    <row r="2514" spans="1:12" s="212" customFormat="1" ht="15.5" x14ac:dyDescent="0.35">
      <c r="A2514" s="198" t="s">
        <v>809</v>
      </c>
      <c r="B2514" s="197">
        <v>2046</v>
      </c>
      <c r="C2514" s="213" t="s">
        <v>5669</v>
      </c>
      <c r="D2514" s="239">
        <v>4.269235082288182E-3</v>
      </c>
      <c r="E2514" s="226">
        <v>2.1380534430495032E-2</v>
      </c>
      <c r="F2514" s="226">
        <v>6.4348925185421567E-4</v>
      </c>
      <c r="G2514" s="227">
        <v>5.9192651713764011E-4</v>
      </c>
      <c r="H2514" s="226">
        <v>2.0000156659200998E-3</v>
      </c>
      <c r="I2514" s="255">
        <v>2.8230394486963659E-3</v>
      </c>
      <c r="J2514" s="256">
        <v>6.721861176650189E-6</v>
      </c>
      <c r="K2514" s="257">
        <v>7.0257939112411039E-6</v>
      </c>
      <c r="L2514" s="228">
        <v>2.9970737070700623E-2</v>
      </c>
    </row>
    <row r="2515" spans="1:12" s="212" customFormat="1" ht="15.5" x14ac:dyDescent="0.35">
      <c r="A2515" s="198" t="s">
        <v>809</v>
      </c>
      <c r="B2515" s="197">
        <v>2047</v>
      </c>
      <c r="C2515" s="213" t="s">
        <v>5670</v>
      </c>
      <c r="D2515" s="239">
        <v>4.216802622786989E-3</v>
      </c>
      <c r="E2515" s="226">
        <v>2.1040126903989688E-2</v>
      </c>
      <c r="F2515" s="226">
        <v>6.3568238228505923E-4</v>
      </c>
      <c r="G2515" s="227">
        <v>5.847439724993433E-4</v>
      </c>
      <c r="H2515" s="226">
        <v>2.0000156659200994E-3</v>
      </c>
      <c r="I2515" s="255">
        <v>2.8228135802418415E-3</v>
      </c>
      <c r="J2515" s="256">
        <v>6.6085162852719476E-6</v>
      </c>
      <c r="K2515" s="257">
        <v>6.9073240668352335E-6</v>
      </c>
      <c r="L2515" s="228">
        <v>2.990796307373686E-2</v>
      </c>
    </row>
    <row r="2516" spans="1:12" s="212" customFormat="1" ht="15.5" x14ac:dyDescent="0.35">
      <c r="A2516" s="198" t="s">
        <v>809</v>
      </c>
      <c r="B2516" s="197">
        <v>2048</v>
      </c>
      <c r="C2516" s="213" t="s">
        <v>5671</v>
      </c>
      <c r="D2516" s="239">
        <v>4.1723870514788243E-3</v>
      </c>
      <c r="E2516" s="226">
        <v>2.0749471735236405E-2</v>
      </c>
      <c r="F2516" s="226">
        <v>6.2923316064868661E-4</v>
      </c>
      <c r="G2516" s="227">
        <v>5.7881035288778607E-4</v>
      </c>
      <c r="H2516" s="226">
        <v>2.0000156659201003E-3</v>
      </c>
      <c r="I2516" s="255">
        <v>2.822639949024259E-3</v>
      </c>
      <c r="J2516" s="256">
        <v>6.51102923582236E-6</v>
      </c>
      <c r="K2516" s="257">
        <v>6.8054290856019114E-6</v>
      </c>
      <c r="L2516" s="228">
        <v>2.9855028595974251E-2</v>
      </c>
    </row>
    <row r="2517" spans="1:12" s="212" customFormat="1" ht="15.5" x14ac:dyDescent="0.35">
      <c r="A2517" s="198" t="s">
        <v>809</v>
      </c>
      <c r="B2517" s="197">
        <v>2049</v>
      </c>
      <c r="C2517" s="213" t="s">
        <v>5672</v>
      </c>
      <c r="D2517" s="239">
        <v>4.1627769073982034E-3</v>
      </c>
      <c r="E2517" s="226">
        <v>2.0720994595061059E-2</v>
      </c>
      <c r="F2517" s="226">
        <v>6.252777917694982E-4</v>
      </c>
      <c r="G2517" s="227">
        <v>5.7517075722736356E-4</v>
      </c>
      <c r="H2517" s="226">
        <v>2.0000156659200998E-3</v>
      </c>
      <c r="I2517" s="255">
        <v>2.8224992596011418E-3</v>
      </c>
      <c r="J2517" s="256">
        <v>6.4396797840292318E-6</v>
      </c>
      <c r="K2517" s="257">
        <v>6.7308535282072133E-6</v>
      </c>
      <c r="L2517" s="228">
        <v>2.981026869693254E-2</v>
      </c>
    </row>
    <row r="2518" spans="1:12" s="212" customFormat="1" ht="15.5" x14ac:dyDescent="0.35">
      <c r="A2518" s="198" t="s">
        <v>809</v>
      </c>
      <c r="B2518" s="197">
        <v>2050</v>
      </c>
      <c r="C2518" s="213" t="s">
        <v>5673</v>
      </c>
      <c r="D2518" s="239">
        <v>4.1555016387882305E-3</v>
      </c>
      <c r="E2518" s="226">
        <v>2.0697686379217404E-2</v>
      </c>
      <c r="F2518" s="226">
        <v>6.2197770983066409E-4</v>
      </c>
      <c r="G2518" s="227">
        <v>5.7212942678190712E-4</v>
      </c>
      <c r="H2518" s="226">
        <v>2.0000156659200994E-3</v>
      </c>
      <c r="I2518" s="255">
        <v>2.8224449997107043E-3</v>
      </c>
      <c r="J2518" s="256">
        <v>6.2593307121468518E-6</v>
      </c>
      <c r="K2518" s="257">
        <v>6.5423498715814595E-6</v>
      </c>
      <c r="L2518" s="228">
        <v>2.9773528519133566E-2</v>
      </c>
    </row>
    <row r="2519" spans="1:12" s="212" customFormat="1" ht="15.5" x14ac:dyDescent="0.35">
      <c r="A2519" s="198" t="s">
        <v>811</v>
      </c>
      <c r="B2519" s="197">
        <v>2015</v>
      </c>
      <c r="C2519" s="213" t="s">
        <v>5674</v>
      </c>
      <c r="D2519" s="239">
        <v>4.5440995142196711E-2</v>
      </c>
      <c r="E2519" s="226">
        <v>0.20879654306857456</v>
      </c>
      <c r="F2519" s="226">
        <v>1.8750694380201675E-3</v>
      </c>
      <c r="G2519" s="227">
        <v>1.7329553379818881E-3</v>
      </c>
      <c r="H2519" s="226">
        <v>2.0000005732018805E-3</v>
      </c>
      <c r="I2519" s="255">
        <v>2.81941409624001E-3</v>
      </c>
      <c r="J2519" s="256">
        <v>1.6232941284084567E-4</v>
      </c>
      <c r="K2519" s="257">
        <v>1.6966922856340809E-4</v>
      </c>
      <c r="L2519" s="228">
        <v>4.9656083373816114E-2</v>
      </c>
    </row>
    <row r="2520" spans="1:12" s="212" customFormat="1" ht="15.5" x14ac:dyDescent="0.35">
      <c r="A2520" s="198" t="s">
        <v>811</v>
      </c>
      <c r="B2520" s="197">
        <v>2016</v>
      </c>
      <c r="C2520" s="213" t="s">
        <v>5675</v>
      </c>
      <c r="D2520" s="239">
        <v>3.867058695479076E-2</v>
      </c>
      <c r="E2520" s="226">
        <v>0.1836707441236364</v>
      </c>
      <c r="F2520" s="226">
        <v>1.7977654732864677E-3</v>
      </c>
      <c r="G2520" s="227">
        <v>1.6603035688100838E-3</v>
      </c>
      <c r="H2520" s="226">
        <v>2.0000005732018801E-3</v>
      </c>
      <c r="I2520" s="255">
        <v>2.7796396982038133E-3</v>
      </c>
      <c r="J2520" s="256">
        <v>1.4288409756481988E-4</v>
      </c>
      <c r="K2520" s="257">
        <v>1.4934468241790876E-4</v>
      </c>
      <c r="L2520" s="228">
        <v>4.8851451772072452E-2</v>
      </c>
    </row>
    <row r="2521" spans="1:12" s="212" customFormat="1" ht="15.5" x14ac:dyDescent="0.35">
      <c r="A2521" s="198" t="s">
        <v>811</v>
      </c>
      <c r="B2521" s="197">
        <v>2017</v>
      </c>
      <c r="C2521" s="213" t="s">
        <v>5676</v>
      </c>
      <c r="D2521" s="239">
        <v>3.1483512289156926E-2</v>
      </c>
      <c r="E2521" s="226">
        <v>0.15423075226131794</v>
      </c>
      <c r="F2521" s="226">
        <v>1.7268926774858899E-3</v>
      </c>
      <c r="G2521" s="227">
        <v>1.5934812975955642E-3</v>
      </c>
      <c r="H2521" s="226">
        <v>2.0000005732018801E-3</v>
      </c>
      <c r="I2521" s="255">
        <v>2.7790328394493901E-3</v>
      </c>
      <c r="J2521" s="256">
        <v>1.167666606420456E-4</v>
      </c>
      <c r="K2521" s="257">
        <v>1.2204633089189609E-4</v>
      </c>
      <c r="L2521" s="228">
        <v>4.847851121592462E-2</v>
      </c>
    </row>
    <row r="2522" spans="1:12" s="212" customFormat="1" ht="15.5" x14ac:dyDescent="0.35">
      <c r="A2522" s="198" t="s">
        <v>811</v>
      </c>
      <c r="B2522" s="197">
        <v>2018</v>
      </c>
      <c r="C2522" s="213" t="s">
        <v>5677</v>
      </c>
      <c r="D2522" s="239">
        <v>2.6487938718779049E-2</v>
      </c>
      <c r="E2522" s="226">
        <v>0.13359926615317264</v>
      </c>
      <c r="F2522" s="226">
        <v>1.7086326917537592E-3</v>
      </c>
      <c r="G2522" s="227">
        <v>1.5756477815481746E-3</v>
      </c>
      <c r="H2522" s="226">
        <v>2.0000005732018797E-3</v>
      </c>
      <c r="I2522" s="255">
        <v>2.7797932186784538E-3</v>
      </c>
      <c r="J2522" s="256">
        <v>1.0171456279839801E-4</v>
      </c>
      <c r="K2522" s="257">
        <v>1.0631364397645391E-4</v>
      </c>
      <c r="L2522" s="228">
        <v>4.7957098497454616E-2</v>
      </c>
    </row>
    <row r="2523" spans="1:12" s="212" customFormat="1" ht="15.5" x14ac:dyDescent="0.35">
      <c r="A2523" s="198" t="s">
        <v>811</v>
      </c>
      <c r="B2523" s="197">
        <v>2019</v>
      </c>
      <c r="C2523" s="213" t="s">
        <v>5678</v>
      </c>
      <c r="D2523" s="239">
        <v>2.2091596238885538E-2</v>
      </c>
      <c r="E2523" s="226">
        <v>0.11489375859873233</v>
      </c>
      <c r="F2523" s="226">
        <v>1.6927363656782234E-3</v>
      </c>
      <c r="G2523" s="227">
        <v>1.5600986852667615E-3</v>
      </c>
      <c r="H2523" s="226">
        <v>2.0000005732018775E-3</v>
      </c>
      <c r="I2523" s="255">
        <v>2.7777109389260498E-3</v>
      </c>
      <c r="J2523" s="256">
        <v>8.7684824296323591E-5</v>
      </c>
      <c r="K2523" s="257">
        <v>9.164954295535814E-5</v>
      </c>
      <c r="L2523" s="228">
        <v>4.7131246495431288E-2</v>
      </c>
    </row>
    <row r="2524" spans="1:12" s="212" customFormat="1" ht="15.5" x14ac:dyDescent="0.35">
      <c r="A2524" s="198" t="s">
        <v>811</v>
      </c>
      <c r="B2524" s="197">
        <v>2020</v>
      </c>
      <c r="C2524" s="213" t="s">
        <v>5679</v>
      </c>
      <c r="D2524" s="239">
        <v>1.93210801364334E-2</v>
      </c>
      <c r="E2524" s="226">
        <v>0.10182261495564883</v>
      </c>
      <c r="F2524" s="226">
        <v>1.656185254635319E-3</v>
      </c>
      <c r="G2524" s="227">
        <v>1.5261004616024113E-3</v>
      </c>
      <c r="H2524" s="226">
        <v>2.0000005732018788E-3</v>
      </c>
      <c r="I2524" s="255">
        <v>2.7870912841064114E-3</v>
      </c>
      <c r="J2524" s="256">
        <v>8.0266457276435596E-5</v>
      </c>
      <c r="K2524" s="257">
        <v>8.3895750297346844E-5</v>
      </c>
      <c r="L2524" s="228">
        <v>4.6659526846018477E-2</v>
      </c>
    </row>
    <row r="2525" spans="1:12" s="212" customFormat="1" ht="15.5" x14ac:dyDescent="0.35">
      <c r="A2525" s="198" t="s">
        <v>811</v>
      </c>
      <c r="B2525" s="197">
        <v>2021</v>
      </c>
      <c r="C2525" s="213" t="s">
        <v>5680</v>
      </c>
      <c r="D2525" s="239">
        <v>1.6934147109693883E-2</v>
      </c>
      <c r="E2525" s="226">
        <v>8.9529124519440062E-2</v>
      </c>
      <c r="F2525" s="226">
        <v>1.5865893183367884E-3</v>
      </c>
      <c r="G2525" s="227">
        <v>1.4617631897756442E-3</v>
      </c>
      <c r="H2525" s="226">
        <v>2.0000005732018788E-3</v>
      </c>
      <c r="I2525" s="255">
        <v>2.7749210587623327E-3</v>
      </c>
      <c r="J2525" s="256">
        <v>7.2629512803672083E-5</v>
      </c>
      <c r="K2525" s="257">
        <v>7.5913497083964231E-5</v>
      </c>
      <c r="L2525" s="228">
        <v>4.5680265990133438E-2</v>
      </c>
    </row>
    <row r="2526" spans="1:12" s="212" customFormat="1" ht="15.5" x14ac:dyDescent="0.35">
      <c r="A2526" s="198" t="s">
        <v>811</v>
      </c>
      <c r="B2526" s="197">
        <v>2022</v>
      </c>
      <c r="C2526" s="213" t="s">
        <v>5681</v>
      </c>
      <c r="D2526" s="239">
        <v>1.4621832817393494E-2</v>
      </c>
      <c r="E2526" s="226">
        <v>7.827216166111238E-2</v>
      </c>
      <c r="F2526" s="226">
        <v>1.5153932801930095E-3</v>
      </c>
      <c r="G2526" s="227">
        <v>1.3959189072488486E-3</v>
      </c>
      <c r="H2526" s="226">
        <v>2.0000005732018792E-3</v>
      </c>
      <c r="I2526" s="255">
        <v>2.7770758565881229E-3</v>
      </c>
      <c r="J2526" s="256">
        <v>6.5015354669648549E-5</v>
      </c>
      <c r="K2526" s="257">
        <v>6.7955060506446623E-5</v>
      </c>
      <c r="L2526" s="228">
        <v>4.480252817844084E-2</v>
      </c>
    </row>
    <row r="2527" spans="1:12" s="212" customFormat="1" ht="15.5" x14ac:dyDescent="0.35">
      <c r="A2527" s="198" t="s">
        <v>811</v>
      </c>
      <c r="B2527" s="197">
        <v>2023</v>
      </c>
      <c r="C2527" s="213" t="s">
        <v>5682</v>
      </c>
      <c r="D2527" s="239">
        <v>1.2865940474859066E-2</v>
      </c>
      <c r="E2527" s="226">
        <v>6.8973346180889766E-2</v>
      </c>
      <c r="F2527" s="226">
        <v>1.4519317655596008E-3</v>
      </c>
      <c r="G2527" s="227">
        <v>1.3372598072928809E-3</v>
      </c>
      <c r="H2527" s="226">
        <v>2.0000005732018801E-3</v>
      </c>
      <c r="I2527" s="255">
        <v>2.779427108346734E-3</v>
      </c>
      <c r="J2527" s="256">
        <v>5.7519720358397427E-5</v>
      </c>
      <c r="K2527" s="257">
        <v>6.0120506873025235E-5</v>
      </c>
      <c r="L2527" s="228">
        <v>4.387375265459538E-2</v>
      </c>
    </row>
    <row r="2528" spans="1:12" s="212" customFormat="1" ht="15.5" x14ac:dyDescent="0.35">
      <c r="A2528" s="198" t="s">
        <v>811</v>
      </c>
      <c r="B2528" s="197">
        <v>2024</v>
      </c>
      <c r="C2528" s="213" t="s">
        <v>5683</v>
      </c>
      <c r="D2528" s="239">
        <v>1.1379008305530007E-2</v>
      </c>
      <c r="E2528" s="226">
        <v>6.1227902662202481E-2</v>
      </c>
      <c r="F2528" s="226">
        <v>1.3936691009373643E-3</v>
      </c>
      <c r="G2528" s="227">
        <v>1.283364809801986E-3</v>
      </c>
      <c r="H2528" s="226">
        <v>2.0000005732018784E-3</v>
      </c>
      <c r="I2528" s="255">
        <v>2.7820974312759679E-3</v>
      </c>
      <c r="J2528" s="256">
        <v>4.9596631400069623E-5</v>
      </c>
      <c r="K2528" s="257">
        <v>5.1839170990188415E-5</v>
      </c>
      <c r="L2528" s="228">
        <v>4.2917096774146228E-2</v>
      </c>
    </row>
    <row r="2529" spans="1:12" s="212" customFormat="1" ht="15.5" x14ac:dyDescent="0.35">
      <c r="A2529" s="198" t="s">
        <v>811</v>
      </c>
      <c r="B2529" s="197">
        <v>2025</v>
      </c>
      <c r="C2529" s="213" t="s">
        <v>5684</v>
      </c>
      <c r="D2529" s="239">
        <v>1.0153958596674456E-2</v>
      </c>
      <c r="E2529" s="226">
        <v>5.4914865180371836E-2</v>
      </c>
      <c r="F2529" s="226">
        <v>1.3434499872984002E-3</v>
      </c>
      <c r="G2529" s="227">
        <v>1.2369431945729694E-3</v>
      </c>
      <c r="H2529" s="226">
        <v>2.0000005732018797E-3</v>
      </c>
      <c r="I2529" s="255">
        <v>2.7847985591943421E-3</v>
      </c>
      <c r="J2529" s="256">
        <v>4.3373943729568037E-5</v>
      </c>
      <c r="K2529" s="257">
        <v>4.5335120995994405E-5</v>
      </c>
      <c r="L2529" s="228">
        <v>4.19486153325727E-2</v>
      </c>
    </row>
    <row r="2530" spans="1:12" s="212" customFormat="1" ht="15.5" x14ac:dyDescent="0.35">
      <c r="A2530" s="198" t="s">
        <v>811</v>
      </c>
      <c r="B2530" s="197">
        <v>2026</v>
      </c>
      <c r="C2530" s="213" t="s">
        <v>5685</v>
      </c>
      <c r="D2530" s="239">
        <v>9.1405191535240543E-3</v>
      </c>
      <c r="E2530" s="226">
        <v>4.9737365227596447E-2</v>
      </c>
      <c r="F2530" s="226">
        <v>1.2880659985281099E-3</v>
      </c>
      <c r="G2530" s="227">
        <v>1.1857898789275243E-3</v>
      </c>
      <c r="H2530" s="226">
        <v>2.0000005732018779E-3</v>
      </c>
      <c r="I2530" s="255">
        <v>2.7872221967632457E-3</v>
      </c>
      <c r="J2530" s="256">
        <v>3.7485847530646966E-5</v>
      </c>
      <c r="K2530" s="257">
        <v>3.9180791214998102E-5</v>
      </c>
      <c r="L2530" s="228">
        <v>4.0996949981306999E-2</v>
      </c>
    </row>
    <row r="2531" spans="1:12" s="212" customFormat="1" ht="15.5" x14ac:dyDescent="0.35">
      <c r="A2531" s="198" t="s">
        <v>811</v>
      </c>
      <c r="B2531" s="197">
        <v>2027</v>
      </c>
      <c r="C2531" s="213" t="s">
        <v>5686</v>
      </c>
      <c r="D2531" s="239">
        <v>8.2827488225707176E-3</v>
      </c>
      <c r="E2531" s="226">
        <v>4.5370115603051916E-2</v>
      </c>
      <c r="F2531" s="226">
        <v>1.2218979774283492E-3</v>
      </c>
      <c r="G2531" s="227">
        <v>1.1246794541165609E-3</v>
      </c>
      <c r="H2531" s="226">
        <v>2.0000005732018784E-3</v>
      </c>
      <c r="I2531" s="255">
        <v>2.7893925020746079E-3</v>
      </c>
      <c r="J2531" s="256">
        <v>3.052566267979458E-5</v>
      </c>
      <c r="K2531" s="257">
        <v>3.1905897690552969E-5</v>
      </c>
      <c r="L2531" s="228">
        <v>4.0078439364418149E-2</v>
      </c>
    </row>
    <row r="2532" spans="1:12" s="212" customFormat="1" ht="15.5" x14ac:dyDescent="0.35">
      <c r="A2532" s="198" t="s">
        <v>811</v>
      </c>
      <c r="B2532" s="197">
        <v>2028</v>
      </c>
      <c r="C2532" s="213" t="s">
        <v>5687</v>
      </c>
      <c r="D2532" s="239">
        <v>7.5665774892875355E-3</v>
      </c>
      <c r="E2532" s="226">
        <v>4.1751807056375323E-2</v>
      </c>
      <c r="F2532" s="226">
        <v>1.1487798694751533E-3</v>
      </c>
      <c r="G2532" s="227">
        <v>1.0572252842591195E-3</v>
      </c>
      <c r="H2532" s="226">
        <v>2.0000005732018771E-3</v>
      </c>
      <c r="I2532" s="255">
        <v>2.7914984995168627E-3</v>
      </c>
      <c r="J2532" s="256">
        <v>2.4756873740939841E-5</v>
      </c>
      <c r="K2532" s="257">
        <v>2.5876269714504949E-5</v>
      </c>
      <c r="L2532" s="228">
        <v>3.9209491362569203E-2</v>
      </c>
    </row>
    <row r="2533" spans="1:12" s="212" customFormat="1" ht="15.5" x14ac:dyDescent="0.35">
      <c r="A2533" s="198" t="s">
        <v>811</v>
      </c>
      <c r="B2533" s="197">
        <v>2029</v>
      </c>
      <c r="C2533" s="213" t="s">
        <v>5688</v>
      </c>
      <c r="D2533" s="239">
        <v>6.9539661043259322E-3</v>
      </c>
      <c r="E2533" s="226">
        <v>3.8696561996555016E-2</v>
      </c>
      <c r="F2533" s="226">
        <v>1.0791656544746728E-3</v>
      </c>
      <c r="G2533" s="227">
        <v>9.9305671044336969E-4</v>
      </c>
      <c r="H2533" s="226">
        <v>2.0000005732018797E-3</v>
      </c>
      <c r="I2533" s="255">
        <v>2.7934479272846342E-3</v>
      </c>
      <c r="J2533" s="256">
        <v>2.062800010378552E-5</v>
      </c>
      <c r="K2533" s="257">
        <v>2.1560706733083924E-5</v>
      </c>
      <c r="L2533" s="228">
        <v>3.8391543663743533E-2</v>
      </c>
    </row>
    <row r="2534" spans="1:12" s="212" customFormat="1" ht="15.5" x14ac:dyDescent="0.35">
      <c r="A2534" s="198" t="s">
        <v>811</v>
      </c>
      <c r="B2534" s="197">
        <v>2030</v>
      </c>
      <c r="C2534" s="213" t="s">
        <v>5689</v>
      </c>
      <c r="D2534" s="239">
        <v>6.4462563989676185E-3</v>
      </c>
      <c r="E2534" s="226">
        <v>3.6163136300731417E-2</v>
      </c>
      <c r="F2534" s="226">
        <v>1.0133945729006704E-3</v>
      </c>
      <c r="G2534" s="227">
        <v>9.3244848447339944E-4</v>
      </c>
      <c r="H2534" s="226">
        <v>2.0000005732018788E-3</v>
      </c>
      <c r="I2534" s="255">
        <v>2.7952538489374821E-3</v>
      </c>
      <c r="J2534" s="256">
        <v>1.718512622463473E-5</v>
      </c>
      <c r="K2534" s="257">
        <v>1.7962161374644481E-5</v>
      </c>
      <c r="L2534" s="228">
        <v>3.7636994548955194E-2</v>
      </c>
    </row>
    <row r="2535" spans="1:12" s="212" customFormat="1" ht="15.5" x14ac:dyDescent="0.35">
      <c r="A2535" s="198" t="s">
        <v>811</v>
      </c>
      <c r="B2535" s="197">
        <v>2031</v>
      </c>
      <c r="C2535" s="213" t="s">
        <v>5690</v>
      </c>
      <c r="D2535" s="239">
        <v>6.0708142763872749E-3</v>
      </c>
      <c r="E2535" s="226">
        <v>3.4036862577738344E-2</v>
      </c>
      <c r="F2535" s="226">
        <v>9.626253430810056E-4</v>
      </c>
      <c r="G2535" s="227">
        <v>8.8570013201058108E-4</v>
      </c>
      <c r="H2535" s="226">
        <v>2.0000005732018784E-3</v>
      </c>
      <c r="I2535" s="255">
        <v>2.8572706976532831E-3</v>
      </c>
      <c r="J2535" s="256">
        <v>1.5441936564473012E-5</v>
      </c>
      <c r="K2535" s="257">
        <v>1.6140152413339831E-5</v>
      </c>
      <c r="L2535" s="228">
        <v>3.6939969715827997E-2</v>
      </c>
    </row>
    <row r="2536" spans="1:12" s="212" customFormat="1" ht="15.5" x14ac:dyDescent="0.35">
      <c r="A2536" s="198" t="s">
        <v>811</v>
      </c>
      <c r="B2536" s="197">
        <v>2032</v>
      </c>
      <c r="C2536" s="213" t="s">
        <v>5691</v>
      </c>
      <c r="D2536" s="239">
        <v>5.6825680247812203E-3</v>
      </c>
      <c r="E2536" s="226">
        <v>3.2158262252012855E-2</v>
      </c>
      <c r="F2536" s="226">
        <v>9.0370524928053131E-4</v>
      </c>
      <c r="G2536" s="227">
        <v>8.3144964212029612E-4</v>
      </c>
      <c r="H2536" s="226">
        <v>2.0000005732018749E-3</v>
      </c>
      <c r="I2536" s="255">
        <v>2.8585153396719801E-3</v>
      </c>
      <c r="J2536" s="256">
        <v>1.350063861462661E-5</v>
      </c>
      <c r="K2536" s="257">
        <v>1.4111077584583456E-5</v>
      </c>
      <c r="L2536" s="228">
        <v>3.6300263315754568E-2</v>
      </c>
    </row>
    <row r="2537" spans="1:12" s="212" customFormat="1" ht="15.5" x14ac:dyDescent="0.35">
      <c r="A2537" s="198" t="s">
        <v>811</v>
      </c>
      <c r="B2537" s="197">
        <v>2033</v>
      </c>
      <c r="C2537" s="213" t="s">
        <v>5692</v>
      </c>
      <c r="D2537" s="239">
        <v>5.3460710401585241E-3</v>
      </c>
      <c r="E2537" s="226">
        <v>3.0549495762499962E-2</v>
      </c>
      <c r="F2537" s="226">
        <v>8.4926807403907481E-4</v>
      </c>
      <c r="G2537" s="227">
        <v>7.8135222924820345E-4</v>
      </c>
      <c r="H2537" s="226">
        <v>2.0000005732018749E-3</v>
      </c>
      <c r="I2537" s="255">
        <v>2.8594858430817213E-3</v>
      </c>
      <c r="J2537" s="256">
        <v>1.2360074246006936E-5</v>
      </c>
      <c r="K2537" s="257">
        <v>1.2918941956394206E-5</v>
      </c>
      <c r="L2537" s="228">
        <v>3.5719379641939386E-2</v>
      </c>
    </row>
    <row r="2538" spans="1:12" s="212" customFormat="1" ht="15.5" x14ac:dyDescent="0.35">
      <c r="A2538" s="198" t="s">
        <v>811</v>
      </c>
      <c r="B2538" s="197">
        <v>2034</v>
      </c>
      <c r="C2538" s="213" t="s">
        <v>5693</v>
      </c>
      <c r="D2538" s="239">
        <v>5.0462196427994771E-3</v>
      </c>
      <c r="E2538" s="226">
        <v>2.9152810889007487E-2</v>
      </c>
      <c r="F2538" s="226">
        <v>7.9856258682721611E-4</v>
      </c>
      <c r="G2538" s="227">
        <v>7.3468979616994243E-4</v>
      </c>
      <c r="H2538" s="226">
        <v>2.0000005732018797E-3</v>
      </c>
      <c r="I2538" s="255">
        <v>2.8602156881197605E-3</v>
      </c>
      <c r="J2538" s="256">
        <v>1.1317818787760122E-5</v>
      </c>
      <c r="K2538" s="257">
        <v>1.182956033126557E-5</v>
      </c>
      <c r="L2538" s="228">
        <v>3.5188165588978013E-2</v>
      </c>
    </row>
    <row r="2539" spans="1:12" s="212" customFormat="1" ht="15.5" x14ac:dyDescent="0.35">
      <c r="A2539" s="198" t="s">
        <v>811</v>
      </c>
      <c r="B2539" s="197">
        <v>2035</v>
      </c>
      <c r="C2539" s="213" t="s">
        <v>5694</v>
      </c>
      <c r="D2539" s="239">
        <v>4.7812930126367717E-3</v>
      </c>
      <c r="E2539" s="226">
        <v>2.7950730431269614E-2</v>
      </c>
      <c r="F2539" s="226">
        <v>7.5195512224208538E-4</v>
      </c>
      <c r="G2539" s="227">
        <v>6.9180042830215016E-4</v>
      </c>
      <c r="H2539" s="226">
        <v>2.0000005732018775E-3</v>
      </c>
      <c r="I2539" s="255">
        <v>2.860771710071913E-3</v>
      </c>
      <c r="J2539" s="256">
        <v>1.0406063834772956E-5</v>
      </c>
      <c r="K2539" s="257">
        <v>1.0876579865157038E-5</v>
      </c>
      <c r="L2539" s="228">
        <v>3.4712378609000866E-2</v>
      </c>
    </row>
    <row r="2540" spans="1:12" s="212" customFormat="1" ht="15.5" x14ac:dyDescent="0.35">
      <c r="A2540" s="198" t="s">
        <v>811</v>
      </c>
      <c r="B2540" s="197">
        <v>2036</v>
      </c>
      <c r="C2540" s="213" t="s">
        <v>5695</v>
      </c>
      <c r="D2540" s="239">
        <v>4.5508575804015091E-3</v>
      </c>
      <c r="E2540" s="226">
        <v>2.6920067272838979E-2</v>
      </c>
      <c r="F2540" s="226">
        <v>7.110620577066636E-4</v>
      </c>
      <c r="G2540" s="227">
        <v>6.5416925614121394E-4</v>
      </c>
      <c r="H2540" s="226">
        <v>2.0000005732018758E-3</v>
      </c>
      <c r="I2540" s="255">
        <v>2.8612177345174361E-3</v>
      </c>
      <c r="J2540" s="256">
        <v>9.5973761140869388E-6</v>
      </c>
      <c r="K2540" s="257">
        <v>1.0031326874240187E-5</v>
      </c>
      <c r="L2540" s="228">
        <v>3.4289824883205526E-2</v>
      </c>
    </row>
    <row r="2541" spans="1:12" s="212" customFormat="1" ht="15.5" x14ac:dyDescent="0.35">
      <c r="A2541" s="198" t="s">
        <v>811</v>
      </c>
      <c r="B2541" s="197">
        <v>2037</v>
      </c>
      <c r="C2541" s="213" t="s">
        <v>5696</v>
      </c>
      <c r="D2541" s="239">
        <v>4.3555220175498562E-3</v>
      </c>
      <c r="E2541" s="226">
        <v>2.6053115735245994E-2</v>
      </c>
      <c r="F2541" s="226">
        <v>6.7473102891921005E-4</v>
      </c>
      <c r="G2541" s="227">
        <v>6.2073601132135215E-4</v>
      </c>
      <c r="H2541" s="226">
        <v>2.0000005732018775E-3</v>
      </c>
      <c r="I2541" s="255">
        <v>2.8615733919837532E-3</v>
      </c>
      <c r="J2541" s="256">
        <v>8.8734836854110302E-6</v>
      </c>
      <c r="K2541" s="257">
        <v>9.2747032421646217E-6</v>
      </c>
      <c r="L2541" s="228">
        <v>3.3907499271985428E-2</v>
      </c>
    </row>
    <row r="2542" spans="1:12" s="212" customFormat="1" ht="15.5" x14ac:dyDescent="0.35">
      <c r="A2542" s="198" t="s">
        <v>811</v>
      </c>
      <c r="B2542" s="197">
        <v>2038</v>
      </c>
      <c r="C2542" s="213" t="s">
        <v>5697</v>
      </c>
      <c r="D2542" s="239">
        <v>4.1811158565496359E-3</v>
      </c>
      <c r="E2542" s="226">
        <v>2.5279417711135524E-2</v>
      </c>
      <c r="F2542" s="226">
        <v>6.4275132797739036E-4</v>
      </c>
      <c r="G2542" s="227">
        <v>5.9131166238016381E-4</v>
      </c>
      <c r="H2542" s="226">
        <v>2.0000005732018771E-3</v>
      </c>
      <c r="I2542" s="255">
        <v>2.8618709546808321E-3</v>
      </c>
      <c r="J2542" s="256">
        <v>8.3551855490973292E-6</v>
      </c>
      <c r="K2542" s="257">
        <v>8.7329699640407295E-6</v>
      </c>
      <c r="L2542" s="228">
        <v>3.3579630892403275E-2</v>
      </c>
    </row>
    <row r="2543" spans="1:12" s="212" customFormat="1" ht="15.5" x14ac:dyDescent="0.35">
      <c r="A2543" s="198" t="s">
        <v>811</v>
      </c>
      <c r="B2543" s="197">
        <v>2039</v>
      </c>
      <c r="C2543" s="213" t="s">
        <v>5698</v>
      </c>
      <c r="D2543" s="239">
        <v>4.017710003636492E-3</v>
      </c>
      <c r="E2543" s="226">
        <v>2.4570704866230104E-2</v>
      </c>
      <c r="F2543" s="226">
        <v>6.1475644207506703E-4</v>
      </c>
      <c r="G2543" s="227">
        <v>5.6555433172721028E-4</v>
      </c>
      <c r="H2543" s="226">
        <v>2.0000005732018766E-3</v>
      </c>
      <c r="I2543" s="255">
        <v>2.8621567458673256E-3</v>
      </c>
      <c r="J2543" s="256">
        <v>7.9171676833439902E-6</v>
      </c>
      <c r="K2543" s="257">
        <v>8.2751468740735328E-6</v>
      </c>
      <c r="L2543" s="228">
        <v>3.3285834632341096E-2</v>
      </c>
    </row>
    <row r="2544" spans="1:12" s="212" customFormat="1" ht="15.5" x14ac:dyDescent="0.35">
      <c r="A2544" s="198" t="s">
        <v>811</v>
      </c>
      <c r="B2544" s="197">
        <v>2040</v>
      </c>
      <c r="C2544" s="213" t="s">
        <v>5699</v>
      </c>
      <c r="D2544" s="239">
        <v>3.8711998997622878E-3</v>
      </c>
      <c r="E2544" s="226">
        <v>2.3956589586987979E-2</v>
      </c>
      <c r="F2544" s="226">
        <v>5.9060409539015151E-4</v>
      </c>
      <c r="G2544" s="227">
        <v>5.4333265408164171E-4</v>
      </c>
      <c r="H2544" s="226">
        <v>2.0000005732018797E-3</v>
      </c>
      <c r="I2544" s="255">
        <v>2.8624544155432113E-3</v>
      </c>
      <c r="J2544" s="256">
        <v>7.5453676177950069E-6</v>
      </c>
      <c r="K2544" s="257">
        <v>7.8865356593987684E-6</v>
      </c>
      <c r="L2544" s="228">
        <v>3.3028581571056703E-2</v>
      </c>
    </row>
    <row r="2545" spans="1:12" s="212" customFormat="1" ht="15.5" x14ac:dyDescent="0.35">
      <c r="A2545" s="198" t="s">
        <v>811</v>
      </c>
      <c r="B2545" s="197">
        <v>2041</v>
      </c>
      <c r="C2545" s="213" t="s">
        <v>5700</v>
      </c>
      <c r="D2545" s="239">
        <v>3.7541442643202676E-3</v>
      </c>
      <c r="E2545" s="226">
        <v>2.3437754962175671E-2</v>
      </c>
      <c r="F2545" s="226">
        <v>5.7160353349598118E-4</v>
      </c>
      <c r="G2545" s="227">
        <v>5.2585079432196076E-4</v>
      </c>
      <c r="H2545" s="226">
        <v>2.0000005732018801E-3</v>
      </c>
      <c r="I2545" s="255">
        <v>2.8627837099854665E-3</v>
      </c>
      <c r="J2545" s="256">
        <v>7.2490737251622967E-6</v>
      </c>
      <c r="K2545" s="257">
        <v>7.5768446717259038E-6</v>
      </c>
      <c r="L2545" s="228">
        <v>3.2807380657453249E-2</v>
      </c>
    </row>
    <row r="2546" spans="1:12" s="212" customFormat="1" ht="15.5" x14ac:dyDescent="0.35">
      <c r="A2546" s="198" t="s">
        <v>811</v>
      </c>
      <c r="B2546" s="197">
        <v>2042</v>
      </c>
      <c r="C2546" s="213" t="s">
        <v>5701</v>
      </c>
      <c r="D2546" s="239">
        <v>3.6486229020540918E-3</v>
      </c>
      <c r="E2546" s="226">
        <v>2.2938091440176795E-2</v>
      </c>
      <c r="F2546" s="226">
        <v>5.5554028508336445E-4</v>
      </c>
      <c r="G2546" s="227">
        <v>5.1107194035007275E-4</v>
      </c>
      <c r="H2546" s="226">
        <v>2.0000005732018801E-3</v>
      </c>
      <c r="I2546" s="255">
        <v>2.8630408193286556E-3</v>
      </c>
      <c r="J2546" s="256">
        <v>7.0106417331411902E-6</v>
      </c>
      <c r="K2546" s="257">
        <v>7.3276318430518837E-6</v>
      </c>
      <c r="L2546" s="228">
        <v>3.2610956559841982E-2</v>
      </c>
    </row>
    <row r="2547" spans="1:12" s="212" customFormat="1" ht="15.5" x14ac:dyDescent="0.35">
      <c r="A2547" s="198" t="s">
        <v>811</v>
      </c>
      <c r="B2547" s="197">
        <v>2043</v>
      </c>
      <c r="C2547" s="213" t="s">
        <v>5702</v>
      </c>
      <c r="D2547" s="239">
        <v>3.5658603073674623E-3</v>
      </c>
      <c r="E2547" s="226">
        <v>2.2504982633322373E-2</v>
      </c>
      <c r="F2547" s="226">
        <v>5.4205671177846978E-4</v>
      </c>
      <c r="G2547" s="227">
        <v>4.9866669487234937E-4</v>
      </c>
      <c r="H2547" s="226">
        <v>2.0000005732018779E-3</v>
      </c>
      <c r="I2547" s="255">
        <v>2.8632902597372878E-3</v>
      </c>
      <c r="J2547" s="256">
        <v>6.8156473891368088E-6</v>
      </c>
      <c r="K2547" s="257">
        <v>7.1238207200862145E-6</v>
      </c>
      <c r="L2547" s="228">
        <v>3.2439965143435293E-2</v>
      </c>
    </row>
    <row r="2548" spans="1:12" s="212" customFormat="1" ht="15.5" x14ac:dyDescent="0.35">
      <c r="A2548" s="198" t="s">
        <v>811</v>
      </c>
      <c r="B2548" s="197">
        <v>2044</v>
      </c>
      <c r="C2548" s="213" t="s">
        <v>5703</v>
      </c>
      <c r="D2548" s="239">
        <v>3.501630745092466E-3</v>
      </c>
      <c r="E2548" s="226">
        <v>2.2102345123763384E-2</v>
      </c>
      <c r="F2548" s="226">
        <v>5.3076952025757601E-4</v>
      </c>
      <c r="G2548" s="227">
        <v>4.8828228440253216E-4</v>
      </c>
      <c r="H2548" s="226">
        <v>2.0000005732018797E-3</v>
      </c>
      <c r="I2548" s="255">
        <v>2.8635107484407982E-3</v>
      </c>
      <c r="J2548" s="256">
        <v>6.6551225784426632E-6</v>
      </c>
      <c r="K2548" s="257">
        <v>6.9560376897707794E-6</v>
      </c>
      <c r="L2548" s="228">
        <v>3.228118783122657E-2</v>
      </c>
    </row>
    <row r="2549" spans="1:12" s="212" customFormat="1" ht="15.5" x14ac:dyDescent="0.35">
      <c r="A2549" s="198" t="s">
        <v>811</v>
      </c>
      <c r="B2549" s="197">
        <v>2045</v>
      </c>
      <c r="C2549" s="213" t="s">
        <v>5704</v>
      </c>
      <c r="D2549" s="239">
        <v>3.4539510234578869E-3</v>
      </c>
      <c r="E2549" s="226">
        <v>2.1726906579109771E-2</v>
      </c>
      <c r="F2549" s="226">
        <v>5.2130456468651835E-4</v>
      </c>
      <c r="G2549" s="227">
        <v>4.7957474127344608E-4</v>
      </c>
      <c r="H2549" s="226">
        <v>2.0000005732018801E-3</v>
      </c>
      <c r="I2549" s="255">
        <v>2.8637222023989318E-3</v>
      </c>
      <c r="J2549" s="256">
        <v>6.5302380716404589E-6</v>
      </c>
      <c r="K2549" s="257">
        <v>6.8255064597377623E-6</v>
      </c>
      <c r="L2549" s="228">
        <v>3.2139183388677356E-2</v>
      </c>
    </row>
    <row r="2550" spans="1:12" s="212" customFormat="1" ht="15.5" x14ac:dyDescent="0.35">
      <c r="A2550" s="198" t="s">
        <v>811</v>
      </c>
      <c r="B2550" s="197">
        <v>2046</v>
      </c>
      <c r="C2550" s="213" t="s">
        <v>5705</v>
      </c>
      <c r="D2550" s="239">
        <v>3.4111772586283536E-3</v>
      </c>
      <c r="E2550" s="226">
        <v>2.1385304803073348E-2</v>
      </c>
      <c r="F2550" s="226">
        <v>5.1348176509283629E-4</v>
      </c>
      <c r="G2550" s="227">
        <v>4.7237804905788825E-4</v>
      </c>
      <c r="H2550" s="226">
        <v>2.0000005732018779E-3</v>
      </c>
      <c r="I2550" s="255">
        <v>2.8639270760696771E-3</v>
      </c>
      <c r="J2550" s="256">
        <v>6.4297128787189573E-6</v>
      </c>
      <c r="K2550" s="257">
        <v>6.7204359636663026E-6</v>
      </c>
      <c r="L2550" s="228">
        <v>3.2007413942500153E-2</v>
      </c>
    </row>
    <row r="2551" spans="1:12" s="212" customFormat="1" ht="15.5" x14ac:dyDescent="0.35">
      <c r="A2551" s="198" t="s">
        <v>811</v>
      </c>
      <c r="B2551" s="197">
        <v>2047</v>
      </c>
      <c r="C2551" s="213" t="s">
        <v>5706</v>
      </c>
      <c r="D2551" s="239">
        <v>3.3749325011875322E-3</v>
      </c>
      <c r="E2551" s="226">
        <v>2.1092469624012466E-2</v>
      </c>
      <c r="F2551" s="226">
        <v>5.0708229095840977E-4</v>
      </c>
      <c r="G2551" s="227">
        <v>4.6649049356769687E-4</v>
      </c>
      <c r="H2551" s="226">
        <v>2.0000005732018801E-3</v>
      </c>
      <c r="I2551" s="255">
        <v>2.8641700465468745E-3</v>
      </c>
      <c r="J2551" s="256">
        <v>6.3405190999447336E-6</v>
      </c>
      <c r="K2551" s="257">
        <v>6.6272092380074265E-6</v>
      </c>
      <c r="L2551" s="228">
        <v>3.189378577832943E-2</v>
      </c>
    </row>
    <row r="2552" spans="1:12" s="212" customFormat="1" ht="15.5" x14ac:dyDescent="0.35">
      <c r="A2552" s="198" t="s">
        <v>811</v>
      </c>
      <c r="B2552" s="197">
        <v>2048</v>
      </c>
      <c r="C2552" s="213" t="s">
        <v>5707</v>
      </c>
      <c r="D2552" s="239">
        <v>3.3461621246619858E-3</v>
      </c>
      <c r="E2552" s="226">
        <v>2.0859650223050981E-2</v>
      </c>
      <c r="F2552" s="226">
        <v>5.018442007188828E-4</v>
      </c>
      <c r="G2552" s="227">
        <v>4.6167116833835994E-4</v>
      </c>
      <c r="H2552" s="226">
        <v>2.0000005732018801E-3</v>
      </c>
      <c r="I2552" s="255">
        <v>2.8644340655364889E-3</v>
      </c>
      <c r="J2552" s="256">
        <v>6.2610946053592884E-6</v>
      </c>
      <c r="K2552" s="257">
        <v>6.5441935202177961E-6</v>
      </c>
      <c r="L2552" s="228">
        <v>3.1791105570504651E-2</v>
      </c>
    </row>
    <row r="2553" spans="1:12" s="212" customFormat="1" ht="15.5" x14ac:dyDescent="0.35">
      <c r="A2553" s="198" t="s">
        <v>811</v>
      </c>
      <c r="B2553" s="197">
        <v>2049</v>
      </c>
      <c r="C2553" s="213" t="s">
        <v>5708</v>
      </c>
      <c r="D2553" s="239">
        <v>3.3399728156368407E-3</v>
      </c>
      <c r="E2553" s="226">
        <v>2.0837751246955191E-2</v>
      </c>
      <c r="F2553" s="226">
        <v>4.9843386393494133E-4</v>
      </c>
      <c r="G2553" s="227">
        <v>4.5853336217184011E-4</v>
      </c>
      <c r="H2553" s="226">
        <v>2.0000005732018792E-3</v>
      </c>
      <c r="I2553" s="255">
        <v>2.8646966298382106E-3</v>
      </c>
      <c r="J2553" s="256">
        <v>6.2064944567677312E-6</v>
      </c>
      <c r="K2553" s="257">
        <v>6.487124595191518E-6</v>
      </c>
      <c r="L2553" s="228">
        <v>3.1703419252666162E-2</v>
      </c>
    </row>
    <row r="2554" spans="1:12" s="212" customFormat="1" ht="15.5" x14ac:dyDescent="0.35">
      <c r="A2554" s="198" t="s">
        <v>811</v>
      </c>
      <c r="B2554" s="197">
        <v>2050</v>
      </c>
      <c r="C2554" s="213" t="s">
        <v>5709</v>
      </c>
      <c r="D2554" s="239">
        <v>3.3354292402094153E-3</v>
      </c>
      <c r="E2554" s="226">
        <v>2.0821264259590872E-2</v>
      </c>
      <c r="F2554" s="226">
        <v>4.9565514889350723E-4</v>
      </c>
      <c r="G2554" s="227">
        <v>4.5597477553968601E-4</v>
      </c>
      <c r="H2554" s="226">
        <v>2.0000005732018805E-3</v>
      </c>
      <c r="I2554" s="255">
        <v>2.8649964488533263E-3</v>
      </c>
      <c r="J2554" s="256">
        <v>6.1125403567439437E-6</v>
      </c>
      <c r="K2554" s="257">
        <v>6.3889223076797859E-6</v>
      </c>
      <c r="L2554" s="228">
        <v>3.1626298568079816E-2</v>
      </c>
    </row>
    <row r="2555" spans="1:12" s="212" customFormat="1" ht="15.5" x14ac:dyDescent="0.35">
      <c r="A2555" s="198" t="s">
        <v>813</v>
      </c>
      <c r="B2555" s="197">
        <v>2015</v>
      </c>
      <c r="C2555" s="213" t="s">
        <v>5710</v>
      </c>
      <c r="D2555" s="239">
        <v>5.3423927695341503E-2</v>
      </c>
      <c r="E2555" s="226">
        <v>0.24889490059824376</v>
      </c>
      <c r="F2555" s="226">
        <v>1.9055402097105164E-3</v>
      </c>
      <c r="G2555" s="227">
        <v>1.7603757999236421E-3</v>
      </c>
      <c r="H2555" s="226">
        <v>2.0000006074183231E-3</v>
      </c>
      <c r="I2555" s="255">
        <v>2.647881610486286E-3</v>
      </c>
      <c r="J2555" s="256">
        <v>1.2115835725036028E-4</v>
      </c>
      <c r="K2555" s="257">
        <v>1.2663660053297392E-4</v>
      </c>
      <c r="L2555" s="228">
        <v>4.4181384719906881E-2</v>
      </c>
    </row>
    <row r="2556" spans="1:12" s="212" customFormat="1" ht="15.5" x14ac:dyDescent="0.35">
      <c r="A2556" s="198" t="s">
        <v>813</v>
      </c>
      <c r="B2556" s="197">
        <v>2016</v>
      </c>
      <c r="C2556" s="213" t="s">
        <v>5711</v>
      </c>
      <c r="D2556" s="239">
        <v>4.7114849429318581E-2</v>
      </c>
      <c r="E2556" s="226">
        <v>0.22589227638729978</v>
      </c>
      <c r="F2556" s="226">
        <v>1.8386260561882427E-3</v>
      </c>
      <c r="G2556" s="227">
        <v>1.697525110913659E-3</v>
      </c>
      <c r="H2556" s="226">
        <v>2.0000006075156264E-3</v>
      </c>
      <c r="I2556" s="255">
        <v>2.6465963682834773E-3</v>
      </c>
      <c r="J2556" s="256">
        <v>1.102348386893677E-4</v>
      </c>
      <c r="K2556" s="257">
        <v>1.1521916893504904E-4</v>
      </c>
      <c r="L2556" s="228">
        <v>4.3153545597735696E-2</v>
      </c>
    </row>
    <row r="2557" spans="1:12" s="212" customFormat="1" ht="15.5" x14ac:dyDescent="0.35">
      <c r="A2557" s="198" t="s">
        <v>813</v>
      </c>
      <c r="B2557" s="197">
        <v>2017</v>
      </c>
      <c r="C2557" s="213" t="s">
        <v>5712</v>
      </c>
      <c r="D2557" s="239">
        <v>3.7274214623550357E-2</v>
      </c>
      <c r="E2557" s="226">
        <v>0.18651622337725837</v>
      </c>
      <c r="F2557" s="226">
        <v>1.7070545852263157E-3</v>
      </c>
      <c r="G2557" s="227">
        <v>1.5747643796110288E-3</v>
      </c>
      <c r="H2557" s="226">
        <v>2.0000006074993612E-3</v>
      </c>
      <c r="I2557" s="255">
        <v>2.6451606165867592E-3</v>
      </c>
      <c r="J2557" s="256">
        <v>9.1718015362456456E-5</v>
      </c>
      <c r="K2557" s="257">
        <v>9.5865097024481417E-5</v>
      </c>
      <c r="L2557" s="228">
        <v>4.2865985893778581E-2</v>
      </c>
    </row>
    <row r="2558" spans="1:12" s="212" customFormat="1" ht="15.5" x14ac:dyDescent="0.35">
      <c r="A2558" s="198" t="s">
        <v>813</v>
      </c>
      <c r="B2558" s="197">
        <v>2018</v>
      </c>
      <c r="C2558" s="213" t="s">
        <v>5713</v>
      </c>
      <c r="D2558" s="239">
        <v>3.1332130540090389E-2</v>
      </c>
      <c r="E2558" s="226">
        <v>0.16218902158452958</v>
      </c>
      <c r="F2558" s="226">
        <v>1.6664033609889736E-3</v>
      </c>
      <c r="G2558" s="227">
        <v>1.5363392402187983E-3</v>
      </c>
      <c r="H2558" s="226">
        <v>2.0000006075278449E-3</v>
      </c>
      <c r="I2558" s="255">
        <v>2.6455911092444894E-3</v>
      </c>
      <c r="J2558" s="256">
        <v>8.1328456081726982E-5</v>
      </c>
      <c r="K2558" s="257">
        <v>8.5005767976063795E-5</v>
      </c>
      <c r="L2558" s="228">
        <v>4.2375179240904691E-2</v>
      </c>
    </row>
    <row r="2559" spans="1:12" s="212" customFormat="1" ht="15.5" x14ac:dyDescent="0.35">
      <c r="A2559" s="198" t="s">
        <v>813</v>
      </c>
      <c r="B2559" s="197">
        <v>2019</v>
      </c>
      <c r="C2559" s="213" t="s">
        <v>5714</v>
      </c>
      <c r="D2559" s="239">
        <v>2.5987591080504666E-2</v>
      </c>
      <c r="E2559" s="226">
        <v>0.13919494687943876</v>
      </c>
      <c r="F2559" s="226">
        <v>1.6403793007521122E-3</v>
      </c>
      <c r="G2559" s="227">
        <v>1.5116954526647592E-3</v>
      </c>
      <c r="H2559" s="226">
        <v>2.0000006075759657E-3</v>
      </c>
      <c r="I2559" s="255">
        <v>2.6460538099762169E-3</v>
      </c>
      <c r="J2559" s="256">
        <v>7.6801282034097938E-5</v>
      </c>
      <c r="K2559" s="257">
        <v>8.0273895207038241E-5</v>
      </c>
      <c r="L2559" s="228">
        <v>4.186506444914645E-2</v>
      </c>
    </row>
    <row r="2560" spans="1:12" s="212" customFormat="1" ht="15.5" x14ac:dyDescent="0.35">
      <c r="A2560" s="198" t="s">
        <v>813</v>
      </c>
      <c r="B2560" s="197">
        <v>2020</v>
      </c>
      <c r="C2560" s="213" t="s">
        <v>5715</v>
      </c>
      <c r="D2560" s="239">
        <v>2.2516971013019561E-2</v>
      </c>
      <c r="E2560" s="226">
        <v>0.12317060355938944</v>
      </c>
      <c r="F2560" s="226">
        <v>1.5995972000832129E-3</v>
      </c>
      <c r="G2560" s="227">
        <v>1.4737896520585221E-3</v>
      </c>
      <c r="H2560" s="226">
        <v>2.0000006075131136E-3</v>
      </c>
      <c r="I2560" s="255">
        <v>2.6456457175822248E-3</v>
      </c>
      <c r="J2560" s="256">
        <v>7.0681150524539186E-5</v>
      </c>
      <c r="K2560" s="257">
        <v>7.3877038508298612E-5</v>
      </c>
      <c r="L2560" s="228">
        <v>4.1491678824565677E-2</v>
      </c>
    </row>
    <row r="2561" spans="1:12" s="212" customFormat="1" ht="15.5" x14ac:dyDescent="0.35">
      <c r="A2561" s="198" t="s">
        <v>813</v>
      </c>
      <c r="B2561" s="197">
        <v>2021</v>
      </c>
      <c r="C2561" s="213" t="s">
        <v>5716</v>
      </c>
      <c r="D2561" s="239">
        <v>1.9789382423564005E-2</v>
      </c>
      <c r="E2561" s="226">
        <v>0.10866649213225718</v>
      </c>
      <c r="F2561" s="226">
        <v>1.5450451583789108E-3</v>
      </c>
      <c r="G2561" s="227">
        <v>1.4233284637357225E-3</v>
      </c>
      <c r="H2561" s="226">
        <v>2.0000006070114403E-3</v>
      </c>
      <c r="I2561" s="255">
        <v>2.6620622584973149E-3</v>
      </c>
      <c r="J2561" s="256">
        <v>6.4823225390422335E-5</v>
      </c>
      <c r="K2561" s="257">
        <v>6.7754243993774826E-5</v>
      </c>
      <c r="L2561" s="228">
        <v>4.0650168696749811E-2</v>
      </c>
    </row>
    <row r="2562" spans="1:12" s="212" customFormat="1" ht="15.5" x14ac:dyDescent="0.35">
      <c r="A2562" s="198" t="s">
        <v>813</v>
      </c>
      <c r="B2562" s="197">
        <v>2022</v>
      </c>
      <c r="C2562" s="213" t="s">
        <v>5717</v>
      </c>
      <c r="D2562" s="239">
        <v>1.7000566637074634E-2</v>
      </c>
      <c r="E2562" s="226">
        <v>9.4925465825910743E-2</v>
      </c>
      <c r="F2562" s="226">
        <v>1.4808295382382473E-3</v>
      </c>
      <c r="G2562" s="227">
        <v>1.3639271536211289E-3</v>
      </c>
      <c r="H2562" s="226">
        <v>2.000000606006976E-3</v>
      </c>
      <c r="I2562" s="255">
        <v>2.6701660661541766E-3</v>
      </c>
      <c r="J2562" s="256">
        <v>5.9108306934282742E-5</v>
      </c>
      <c r="K2562" s="257">
        <v>6.1780922284623531E-5</v>
      </c>
      <c r="L2562" s="228">
        <v>3.9890529967036924E-2</v>
      </c>
    </row>
    <row r="2563" spans="1:12" s="212" customFormat="1" ht="15.5" x14ac:dyDescent="0.35">
      <c r="A2563" s="198" t="s">
        <v>813</v>
      </c>
      <c r="B2563" s="197">
        <v>2023</v>
      </c>
      <c r="C2563" s="213" t="s">
        <v>5718</v>
      </c>
      <c r="D2563" s="239">
        <v>1.4885714226032722E-2</v>
      </c>
      <c r="E2563" s="226">
        <v>8.3262974454203165E-2</v>
      </c>
      <c r="F2563" s="226">
        <v>1.4189519511329702E-3</v>
      </c>
      <c r="G2563" s="227">
        <v>1.3067766578562622E-3</v>
      </c>
      <c r="H2563" s="226">
        <v>2.0000006059548467E-3</v>
      </c>
      <c r="I2563" s="255">
        <v>2.6698716274827076E-3</v>
      </c>
      <c r="J2563" s="256">
        <v>5.3152733783735104E-5</v>
      </c>
      <c r="K2563" s="257">
        <v>5.5556064543672661E-5</v>
      </c>
      <c r="L2563" s="228">
        <v>3.9094056245972238E-2</v>
      </c>
    </row>
    <row r="2564" spans="1:12" s="212" customFormat="1" ht="15.5" x14ac:dyDescent="0.35">
      <c r="A2564" s="198" t="s">
        <v>813</v>
      </c>
      <c r="B2564" s="197">
        <v>2024</v>
      </c>
      <c r="C2564" s="213" t="s">
        <v>5719</v>
      </c>
      <c r="D2564" s="239">
        <v>1.3043844183665453E-2</v>
      </c>
      <c r="E2564" s="226">
        <v>7.3250960033044044E-2</v>
      </c>
      <c r="F2564" s="226">
        <v>1.3590315650389745E-3</v>
      </c>
      <c r="G2564" s="227">
        <v>1.2513924432901364E-3</v>
      </c>
      <c r="H2564" s="226">
        <v>2.0000006044350082E-3</v>
      </c>
      <c r="I2564" s="255">
        <v>2.6864499774937969E-3</v>
      </c>
      <c r="J2564" s="256">
        <v>4.6303858340420387E-5</v>
      </c>
      <c r="K2564" s="257">
        <v>4.8397513344245914E-5</v>
      </c>
      <c r="L2564" s="228">
        <v>3.8247859868384269E-2</v>
      </c>
    </row>
    <row r="2565" spans="1:12" s="212" customFormat="1" ht="15.5" x14ac:dyDescent="0.35">
      <c r="A2565" s="198" t="s">
        <v>813</v>
      </c>
      <c r="B2565" s="197">
        <v>2025</v>
      </c>
      <c r="C2565" s="213" t="s">
        <v>5720</v>
      </c>
      <c r="D2565" s="239">
        <v>1.1537777723373804E-2</v>
      </c>
      <c r="E2565" s="226">
        <v>6.4931462544409554E-2</v>
      </c>
      <c r="F2565" s="226">
        <v>1.3104163340678973E-3</v>
      </c>
      <c r="G2565" s="227">
        <v>1.206492563917807E-3</v>
      </c>
      <c r="H2565" s="226">
        <v>2.0000006043868895E-3</v>
      </c>
      <c r="I2565" s="255">
        <v>2.6862731096373815E-3</v>
      </c>
      <c r="J2565" s="256">
        <v>4.1374759188386053E-5</v>
      </c>
      <c r="K2565" s="257">
        <v>4.3245542201110233E-5</v>
      </c>
      <c r="L2565" s="228">
        <v>3.7385020079694187E-2</v>
      </c>
    </row>
    <row r="2566" spans="1:12" s="212" customFormat="1" ht="15.5" x14ac:dyDescent="0.35">
      <c r="A2566" s="198" t="s">
        <v>813</v>
      </c>
      <c r="B2566" s="197">
        <v>2026</v>
      </c>
      <c r="C2566" s="213" t="s">
        <v>5721</v>
      </c>
      <c r="D2566" s="239">
        <v>1.0284729093987546E-2</v>
      </c>
      <c r="E2566" s="226">
        <v>5.8015637728842891E-2</v>
      </c>
      <c r="F2566" s="226">
        <v>1.259476057168677E-3</v>
      </c>
      <c r="G2566" s="227">
        <v>1.1594581087468975E-3</v>
      </c>
      <c r="H2566" s="226">
        <v>2.0000006043440727E-3</v>
      </c>
      <c r="I2566" s="255">
        <v>2.6860882076497113E-3</v>
      </c>
      <c r="J2566" s="256">
        <v>3.6344387707362339E-5</v>
      </c>
      <c r="K2566" s="257">
        <v>3.7987719643657397E-5</v>
      </c>
      <c r="L2566" s="228">
        <v>3.6545383835876417E-2</v>
      </c>
    </row>
    <row r="2567" spans="1:12" s="212" customFormat="1" ht="15.5" x14ac:dyDescent="0.35">
      <c r="A2567" s="198" t="s">
        <v>813</v>
      </c>
      <c r="B2567" s="197">
        <v>2027</v>
      </c>
      <c r="C2567" s="213" t="s">
        <v>5722</v>
      </c>
      <c r="D2567" s="239">
        <v>9.2226663266830253E-3</v>
      </c>
      <c r="E2567" s="226">
        <v>5.2168363311440966E-2</v>
      </c>
      <c r="F2567" s="226">
        <v>1.1992242816875507E-3</v>
      </c>
      <c r="G2567" s="227">
        <v>1.1038062837498319E-3</v>
      </c>
      <c r="H2567" s="226">
        <v>2.0000006032731446E-3</v>
      </c>
      <c r="I2567" s="255">
        <v>2.6663846488360885E-3</v>
      </c>
      <c r="J2567" s="256">
        <v>2.9870062097632605E-5</v>
      </c>
      <c r="K2567" s="257">
        <v>3.1220653759250087E-5</v>
      </c>
      <c r="L2567" s="228">
        <v>3.5825750675366204E-2</v>
      </c>
    </row>
    <row r="2568" spans="1:12" s="212" customFormat="1" ht="15.5" x14ac:dyDescent="0.35">
      <c r="A2568" s="198" t="s">
        <v>813</v>
      </c>
      <c r="B2568" s="197">
        <v>2028</v>
      </c>
      <c r="C2568" s="213" t="s">
        <v>5723</v>
      </c>
      <c r="D2568" s="239">
        <v>8.352278397733311E-3</v>
      </c>
      <c r="E2568" s="226">
        <v>4.7350518249239665E-2</v>
      </c>
      <c r="F2568" s="226">
        <v>1.1335478123516457E-3</v>
      </c>
      <c r="G2568" s="227">
        <v>1.0432121960600011E-3</v>
      </c>
      <c r="H2568" s="226">
        <v>2.0000006032325135E-3</v>
      </c>
      <c r="I2568" s="255">
        <v>2.6663420126645907E-3</v>
      </c>
      <c r="J2568" s="256">
        <v>2.4557352227254164E-5</v>
      </c>
      <c r="K2568" s="257">
        <v>2.5667726723333993E-5</v>
      </c>
      <c r="L2568" s="228">
        <v>3.5112281891522351E-2</v>
      </c>
    </row>
    <row r="2569" spans="1:12" s="212" customFormat="1" ht="15.5" x14ac:dyDescent="0.35">
      <c r="A2569" s="198" t="s">
        <v>813</v>
      </c>
      <c r="B2569" s="197">
        <v>2029</v>
      </c>
      <c r="C2569" s="213" t="s">
        <v>5724</v>
      </c>
      <c r="D2569" s="239">
        <v>7.6108303874098757E-3</v>
      </c>
      <c r="E2569" s="226">
        <v>4.3305345282153532E-2</v>
      </c>
      <c r="F2569" s="226">
        <v>1.0691703981053136E-3</v>
      </c>
      <c r="G2569" s="227">
        <v>9.8387470258030365E-4</v>
      </c>
      <c r="H2569" s="226">
        <v>2.0000006031976238E-3</v>
      </c>
      <c r="I2569" s="255">
        <v>2.6663420780205127E-3</v>
      </c>
      <c r="J2569" s="256">
        <v>2.0840033142397162E-5</v>
      </c>
      <c r="K2569" s="257">
        <v>2.1782326964818917E-5</v>
      </c>
      <c r="L2569" s="228">
        <v>3.4460598564403651E-2</v>
      </c>
    </row>
    <row r="2570" spans="1:12" s="212" customFormat="1" ht="15.5" x14ac:dyDescent="0.35">
      <c r="A2570" s="198" t="s">
        <v>813</v>
      </c>
      <c r="B2570" s="197">
        <v>2030</v>
      </c>
      <c r="C2570" s="213" t="s">
        <v>5725</v>
      </c>
      <c r="D2570" s="239">
        <v>6.9927265303289131E-3</v>
      </c>
      <c r="E2570" s="226">
        <v>3.9957197835141622E-2</v>
      </c>
      <c r="F2570" s="226">
        <v>1.0065342715479221E-3</v>
      </c>
      <c r="G2570" s="227">
        <v>9.2616976950024013E-4</v>
      </c>
      <c r="H2570" s="226">
        <v>2.0000006029527004E-3</v>
      </c>
      <c r="I2570" s="255">
        <v>2.6711774009358464E-3</v>
      </c>
      <c r="J2570" s="256">
        <v>1.7931449239302921E-5</v>
      </c>
      <c r="K2570" s="257">
        <v>1.8742229804276649E-5</v>
      </c>
      <c r="L2570" s="228">
        <v>3.3869656021575795E-2</v>
      </c>
    </row>
    <row r="2571" spans="1:12" s="212" customFormat="1" ht="15.5" x14ac:dyDescent="0.35">
      <c r="A2571" s="198" t="s">
        <v>813</v>
      </c>
      <c r="B2571" s="197">
        <v>2031</v>
      </c>
      <c r="C2571" s="213" t="s">
        <v>5726</v>
      </c>
      <c r="D2571" s="239">
        <v>6.4592612735995519E-3</v>
      </c>
      <c r="E2571" s="226">
        <v>3.7077678880789666E-2</v>
      </c>
      <c r="F2571" s="226">
        <v>9.4664960626398426E-4</v>
      </c>
      <c r="G2571" s="227">
        <v>8.7103319521790966E-4</v>
      </c>
      <c r="H2571" s="226">
        <v>2.0000006026118684E-3</v>
      </c>
      <c r="I2571" s="255">
        <v>2.6698639493108467E-3</v>
      </c>
      <c r="J2571" s="256">
        <v>1.6010773024241584E-5</v>
      </c>
      <c r="K2571" s="257">
        <v>1.6734709133644712E-5</v>
      </c>
      <c r="L2571" s="228">
        <v>3.3333566664174273E-2</v>
      </c>
    </row>
    <row r="2572" spans="1:12" s="212" customFormat="1" ht="15.5" x14ac:dyDescent="0.35">
      <c r="A2572" s="198" t="s">
        <v>813</v>
      </c>
      <c r="B2572" s="197">
        <v>2032</v>
      </c>
      <c r="C2572" s="213" t="s">
        <v>5727</v>
      </c>
      <c r="D2572" s="239">
        <v>6.0188892859158608E-3</v>
      </c>
      <c r="E2572" s="226">
        <v>3.4671074321530132E-2</v>
      </c>
      <c r="F2572" s="226">
        <v>8.9275659531259303E-4</v>
      </c>
      <c r="G2572" s="227">
        <v>8.2141645043842576E-4</v>
      </c>
      <c r="H2572" s="226">
        <v>2.0000006007645814E-3</v>
      </c>
      <c r="I2572" s="255">
        <v>2.7003392089889155E-3</v>
      </c>
      <c r="J2572" s="256">
        <v>1.4365346347171631E-5</v>
      </c>
      <c r="K2572" s="257">
        <v>1.5014883563710439E-5</v>
      </c>
      <c r="L2572" s="228">
        <v>3.2860015248889159E-2</v>
      </c>
    </row>
    <row r="2573" spans="1:12" s="212" customFormat="1" ht="15.5" x14ac:dyDescent="0.35">
      <c r="A2573" s="198" t="s">
        <v>813</v>
      </c>
      <c r="B2573" s="197">
        <v>2033</v>
      </c>
      <c r="C2573" s="213" t="s">
        <v>5728</v>
      </c>
      <c r="D2573" s="239">
        <v>5.6199927996618696E-3</v>
      </c>
      <c r="E2573" s="226">
        <v>3.2592361791411215E-2</v>
      </c>
      <c r="F2573" s="226">
        <v>8.3945543508233194E-4</v>
      </c>
      <c r="G2573" s="227">
        <v>7.7236181427192067E-4</v>
      </c>
      <c r="H2573" s="226">
        <v>2.0000006007321962E-3</v>
      </c>
      <c r="I2573" s="255">
        <v>2.7003505655752457E-3</v>
      </c>
      <c r="J2573" s="256">
        <v>1.3179940218280001E-5</v>
      </c>
      <c r="K2573" s="257">
        <v>1.3775878629832091E-5</v>
      </c>
      <c r="L2573" s="228">
        <v>3.2405003027077751E-2</v>
      </c>
    </row>
    <row r="2574" spans="1:12" s="212" customFormat="1" ht="15.5" x14ac:dyDescent="0.35">
      <c r="A2574" s="198" t="s">
        <v>813</v>
      </c>
      <c r="B2574" s="197">
        <v>2034</v>
      </c>
      <c r="C2574" s="213" t="s">
        <v>5729</v>
      </c>
      <c r="D2574" s="239">
        <v>5.2658359148406121E-3</v>
      </c>
      <c r="E2574" s="226">
        <v>3.0816408092280249E-2</v>
      </c>
      <c r="F2574" s="226">
        <v>7.8917331198232723E-4</v>
      </c>
      <c r="G2574" s="227">
        <v>7.2608679667818103E-4</v>
      </c>
      <c r="H2574" s="226">
        <v>2.0000006007029362E-3</v>
      </c>
      <c r="I2574" s="255">
        <v>2.700274484344348E-3</v>
      </c>
      <c r="J2574" s="256">
        <v>1.2090147484167465E-5</v>
      </c>
      <c r="K2574" s="257">
        <v>1.2636810304166609E-5</v>
      </c>
      <c r="L2574" s="228">
        <v>3.2017103322069175E-2</v>
      </c>
    </row>
    <row r="2575" spans="1:12" s="212" customFormat="1" ht="15.5" x14ac:dyDescent="0.35">
      <c r="A2575" s="198" t="s">
        <v>813</v>
      </c>
      <c r="B2575" s="197">
        <v>2035</v>
      </c>
      <c r="C2575" s="213" t="s">
        <v>5730</v>
      </c>
      <c r="D2575" s="239">
        <v>4.9554484596642176E-3</v>
      </c>
      <c r="E2575" s="226">
        <v>2.9305145941417029E-2</v>
      </c>
      <c r="F2575" s="226">
        <v>7.4243987808913039E-4</v>
      </c>
      <c r="G2575" s="227">
        <v>6.8307762751728773E-4</v>
      </c>
      <c r="H2575" s="226">
        <v>2.0000006006735565E-3</v>
      </c>
      <c r="I2575" s="255">
        <v>2.700192432989185E-3</v>
      </c>
      <c r="J2575" s="256">
        <v>1.1076316785649421E-5</v>
      </c>
      <c r="K2575" s="257">
        <v>1.1577138680268693E-5</v>
      </c>
      <c r="L2575" s="228">
        <v>3.1673481742204065E-2</v>
      </c>
    </row>
    <row r="2576" spans="1:12" s="212" customFormat="1" ht="15.5" x14ac:dyDescent="0.35">
      <c r="A2576" s="198" t="s">
        <v>813</v>
      </c>
      <c r="B2576" s="197">
        <v>2036</v>
      </c>
      <c r="C2576" s="213" t="s">
        <v>5731</v>
      </c>
      <c r="D2576" s="239">
        <v>4.6843332891903953E-3</v>
      </c>
      <c r="E2576" s="226">
        <v>2.8016085569033979E-2</v>
      </c>
      <c r="F2576" s="226">
        <v>7.0108406989396923E-4</v>
      </c>
      <c r="G2576" s="227">
        <v>6.4501847418675488E-4</v>
      </c>
      <c r="H2576" s="226">
        <v>2.0000006006459341E-3</v>
      </c>
      <c r="I2576" s="255">
        <v>2.7000962948068429E-3</v>
      </c>
      <c r="J2576" s="256">
        <v>1.0203325396385933E-5</v>
      </c>
      <c r="K2576" s="257">
        <v>1.0664674494224614E-5</v>
      </c>
      <c r="L2576" s="228">
        <v>3.1366318390130196E-2</v>
      </c>
    </row>
    <row r="2577" spans="1:12" s="212" customFormat="1" ht="15.5" x14ac:dyDescent="0.35">
      <c r="A2577" s="198" t="s">
        <v>813</v>
      </c>
      <c r="B2577" s="197">
        <v>2037</v>
      </c>
      <c r="C2577" s="213" t="s">
        <v>5732</v>
      </c>
      <c r="D2577" s="239">
        <v>4.4519681482131247E-3</v>
      </c>
      <c r="E2577" s="226">
        <v>2.6929287575006487E-2</v>
      </c>
      <c r="F2577" s="226">
        <v>6.6381874125346241E-4</v>
      </c>
      <c r="G2577" s="227">
        <v>6.1072268721426408E-4</v>
      </c>
      <c r="H2577" s="226">
        <v>2.0000006006147719E-3</v>
      </c>
      <c r="I2577" s="255">
        <v>2.7000457276366821E-3</v>
      </c>
      <c r="J2577" s="256">
        <v>9.3899137627519139E-6</v>
      </c>
      <c r="K2577" s="257">
        <v>9.8144839959783708E-6</v>
      </c>
      <c r="L2577" s="228">
        <v>3.1106123902856563E-2</v>
      </c>
    </row>
    <row r="2578" spans="1:12" s="212" customFormat="1" ht="15.5" x14ac:dyDescent="0.35">
      <c r="A2578" s="198" t="s">
        <v>813</v>
      </c>
      <c r="B2578" s="197">
        <v>2038</v>
      </c>
      <c r="C2578" s="213" t="s">
        <v>5733</v>
      </c>
      <c r="D2578" s="239">
        <v>4.2463792834468014E-3</v>
      </c>
      <c r="E2578" s="226">
        <v>2.5989011168782029E-2</v>
      </c>
      <c r="F2578" s="226">
        <v>6.3044749709950513E-4</v>
      </c>
      <c r="G2578" s="227">
        <v>5.8001565951519367E-4</v>
      </c>
      <c r="H2578" s="226">
        <v>2.0000005993779258E-3</v>
      </c>
      <c r="I2578" s="255">
        <v>2.7372380717152521E-3</v>
      </c>
      <c r="J2578" s="256">
        <v>8.7893285709547967E-6</v>
      </c>
      <c r="K2578" s="257">
        <v>9.1867430068654839E-6</v>
      </c>
      <c r="L2578" s="228">
        <v>3.099936856652518E-2</v>
      </c>
    </row>
    <row r="2579" spans="1:12" s="212" customFormat="1" ht="15.5" x14ac:dyDescent="0.35">
      <c r="A2579" s="198" t="s">
        <v>813</v>
      </c>
      <c r="B2579" s="197">
        <v>2039</v>
      </c>
      <c r="C2579" s="213" t="s">
        <v>5734</v>
      </c>
      <c r="D2579" s="239">
        <v>4.044891336260216E-3</v>
      </c>
      <c r="E2579" s="226">
        <v>2.5078765513055913E-2</v>
      </c>
      <c r="F2579" s="226">
        <v>6.0077058205781778E-4</v>
      </c>
      <c r="G2579" s="227">
        <v>5.5270772867955348E-4</v>
      </c>
      <c r="H2579" s="226">
        <v>2.0000005993513442E-3</v>
      </c>
      <c r="I2579" s="255">
        <v>2.7373204616015544E-3</v>
      </c>
      <c r="J2579" s="256">
        <v>8.2477126602449641E-6</v>
      </c>
      <c r="K2579" s="257">
        <v>8.6206376280583468E-6</v>
      </c>
      <c r="L2579" s="228">
        <v>3.0807877481290151E-2</v>
      </c>
    </row>
    <row r="2580" spans="1:12" s="212" customFormat="1" ht="15.5" x14ac:dyDescent="0.35">
      <c r="A2580" s="198" t="s">
        <v>813</v>
      </c>
      <c r="B2580" s="197">
        <v>2040</v>
      </c>
      <c r="C2580" s="213" t="s">
        <v>5735</v>
      </c>
      <c r="D2580" s="239">
        <v>3.8729281972394274E-3</v>
      </c>
      <c r="E2580" s="226">
        <v>2.4321648616074349E-2</v>
      </c>
      <c r="F2580" s="226">
        <v>5.7495392785183498E-4</v>
      </c>
      <c r="G2580" s="227">
        <v>5.2895240032221089E-4</v>
      </c>
      <c r="H2580" s="226">
        <v>2.0000005993280126E-3</v>
      </c>
      <c r="I2580" s="255">
        <v>2.7374560825903652E-3</v>
      </c>
      <c r="J2580" s="256">
        <v>7.7891279161248778E-6</v>
      </c>
      <c r="K2580" s="257">
        <v>8.1413177167488353E-6</v>
      </c>
      <c r="L2580" s="228">
        <v>3.0646315359362526E-2</v>
      </c>
    </row>
    <row r="2581" spans="1:12" s="212" customFormat="1" ht="15.5" x14ac:dyDescent="0.35">
      <c r="A2581" s="198" t="s">
        <v>813</v>
      </c>
      <c r="B2581" s="197">
        <v>2041</v>
      </c>
      <c r="C2581" s="213" t="s">
        <v>5736</v>
      </c>
      <c r="D2581" s="239">
        <v>3.7428878434522415E-3</v>
      </c>
      <c r="E2581" s="226">
        <v>2.3706895609477464E-2</v>
      </c>
      <c r="F2581" s="226">
        <v>5.5444365478857075E-4</v>
      </c>
      <c r="G2581" s="227">
        <v>5.1007925353782407E-4</v>
      </c>
      <c r="H2581" s="226">
        <v>2.0000005993049005E-3</v>
      </c>
      <c r="I2581" s="255">
        <v>2.7376894145657621E-3</v>
      </c>
      <c r="J2581" s="256">
        <v>7.4116456470888872E-6</v>
      </c>
      <c r="K2581" s="257">
        <v>7.7467673745597817E-6</v>
      </c>
      <c r="L2581" s="228">
        <v>3.0512207429166986E-2</v>
      </c>
    </row>
    <row r="2582" spans="1:12" s="212" customFormat="1" ht="15.5" x14ac:dyDescent="0.35">
      <c r="A2582" s="198" t="s">
        <v>813</v>
      </c>
      <c r="B2582" s="197">
        <v>2042</v>
      </c>
      <c r="C2582" s="213" t="s">
        <v>5737</v>
      </c>
      <c r="D2582" s="239">
        <v>3.6263890462786951E-3</v>
      </c>
      <c r="E2582" s="226">
        <v>2.3121776063838445E-2</v>
      </c>
      <c r="F2582" s="226">
        <v>5.3692418262554114E-4</v>
      </c>
      <c r="G2582" s="227">
        <v>4.9395903253465745E-4</v>
      </c>
      <c r="H2582" s="226">
        <v>2.0000005992815801E-3</v>
      </c>
      <c r="I2582" s="255">
        <v>2.7379912473027073E-3</v>
      </c>
      <c r="J2582" s="256">
        <v>7.1110250669298612E-6</v>
      </c>
      <c r="K2582" s="257">
        <v>7.4325540657500345E-6</v>
      </c>
      <c r="L2582" s="228">
        <v>3.0399040417908297E-2</v>
      </c>
    </row>
    <row r="2583" spans="1:12" s="212" customFormat="1" ht="15.5" x14ac:dyDescent="0.35">
      <c r="A2583" s="198" t="s">
        <v>813</v>
      </c>
      <c r="B2583" s="197">
        <v>2043</v>
      </c>
      <c r="C2583" s="213" t="s">
        <v>5738</v>
      </c>
      <c r="D2583" s="239">
        <v>3.5361519883314596E-3</v>
      </c>
      <c r="E2583" s="226">
        <v>2.2632420215169403E-2</v>
      </c>
      <c r="F2583" s="226">
        <v>5.2214898336124438E-4</v>
      </c>
      <c r="G2583" s="227">
        <v>4.803643186867281E-4</v>
      </c>
      <c r="H2583" s="226">
        <v>2.0000005992594745E-3</v>
      </c>
      <c r="I2583" s="255">
        <v>2.7383620559947009E-3</v>
      </c>
      <c r="J2583" s="256">
        <v>6.8681395407145411E-6</v>
      </c>
      <c r="K2583" s="257">
        <v>7.1786863338278212E-6</v>
      </c>
      <c r="L2583" s="228">
        <v>3.0305320394654049E-2</v>
      </c>
    </row>
    <row r="2584" spans="1:12" s="212" customFormat="1" ht="15.5" x14ac:dyDescent="0.35">
      <c r="A2584" s="198" t="s">
        <v>813</v>
      </c>
      <c r="B2584" s="197">
        <v>2044</v>
      </c>
      <c r="C2584" s="213" t="s">
        <v>5739</v>
      </c>
      <c r="D2584" s="239">
        <v>3.4637658235766467E-3</v>
      </c>
      <c r="E2584" s="226">
        <v>2.2167786602768358E-2</v>
      </c>
      <c r="F2584" s="226">
        <v>5.0968867930810315E-4</v>
      </c>
      <c r="G2584" s="227">
        <v>4.6889958969590983E-4</v>
      </c>
      <c r="H2584" s="226">
        <v>2.0000005992365597E-3</v>
      </c>
      <c r="I2584" s="255">
        <v>2.73878449056066E-3</v>
      </c>
      <c r="J2584" s="256">
        <v>6.6643722705965387E-6</v>
      </c>
      <c r="K2584" s="257">
        <v>6.9657056119589364E-6</v>
      </c>
      <c r="L2584" s="228">
        <v>3.0226866250263121E-2</v>
      </c>
    </row>
    <row r="2585" spans="1:12" s="212" customFormat="1" ht="15.5" x14ac:dyDescent="0.35">
      <c r="A2585" s="198" t="s">
        <v>813</v>
      </c>
      <c r="B2585" s="197">
        <v>2045</v>
      </c>
      <c r="C2585" s="213" t="s">
        <v>5740</v>
      </c>
      <c r="D2585" s="239">
        <v>3.4079780287518662E-3</v>
      </c>
      <c r="E2585" s="226">
        <v>2.1738236697231735E-2</v>
      </c>
      <c r="F2585" s="226">
        <v>4.9920394288287479E-4</v>
      </c>
      <c r="G2585" s="227">
        <v>4.5925310802304365E-4</v>
      </c>
      <c r="H2585" s="226">
        <v>2.0000005992172137E-3</v>
      </c>
      <c r="I2585" s="255">
        <v>2.7392318544087173E-3</v>
      </c>
      <c r="J2585" s="256">
        <v>6.5064385756684089E-6</v>
      </c>
      <c r="K2585" s="257">
        <v>6.8006308561665596E-6</v>
      </c>
      <c r="L2585" s="228">
        <v>3.0159120559415664E-2</v>
      </c>
    </row>
    <row r="2586" spans="1:12" s="212" customFormat="1" ht="15.5" x14ac:dyDescent="0.35">
      <c r="A2586" s="198" t="s">
        <v>813</v>
      </c>
      <c r="B2586" s="197">
        <v>2046</v>
      </c>
      <c r="C2586" s="213" t="s">
        <v>5741</v>
      </c>
      <c r="D2586" s="239">
        <v>3.3550692443605635E-3</v>
      </c>
      <c r="E2586" s="226">
        <v>2.1322936904806605E-2</v>
      </c>
      <c r="F2586" s="226">
        <v>4.904728504759202E-4</v>
      </c>
      <c r="G2586" s="227">
        <v>4.5122047435179992E-4</v>
      </c>
      <c r="H2586" s="226">
        <v>2.0000005991949689E-3</v>
      </c>
      <c r="I2586" s="255">
        <v>2.7397320541094916E-3</v>
      </c>
      <c r="J2586" s="256">
        <v>6.3853876507005917E-6</v>
      </c>
      <c r="K2586" s="257">
        <v>6.6741065455272176E-6</v>
      </c>
      <c r="L2586" s="228">
        <v>3.0102043019235084E-2</v>
      </c>
    </row>
    <row r="2587" spans="1:12" s="212" customFormat="1" ht="15.5" x14ac:dyDescent="0.35">
      <c r="A2587" s="198" t="s">
        <v>813</v>
      </c>
      <c r="B2587" s="197">
        <v>2047</v>
      </c>
      <c r="C2587" s="213" t="s">
        <v>5742</v>
      </c>
      <c r="D2587" s="239">
        <v>3.3092086265429539E-3</v>
      </c>
      <c r="E2587" s="226">
        <v>2.0957359605201963E-2</v>
      </c>
      <c r="F2587" s="226">
        <v>4.8327499603622074E-4</v>
      </c>
      <c r="G2587" s="227">
        <v>4.4459822933925314E-4</v>
      </c>
      <c r="H2587" s="226">
        <v>2.0000005991722973E-3</v>
      </c>
      <c r="I2587" s="255">
        <v>2.7403008733126238E-3</v>
      </c>
      <c r="J2587" s="256">
        <v>6.2805815199646859E-6</v>
      </c>
      <c r="K2587" s="257">
        <v>6.5645615466297604E-6</v>
      </c>
      <c r="L2587" s="228">
        <v>3.0053521745632059E-2</v>
      </c>
    </row>
    <row r="2588" spans="1:12" s="212" customFormat="1" ht="15.5" x14ac:dyDescent="0.35">
      <c r="A2588" s="198" t="s">
        <v>813</v>
      </c>
      <c r="B2588" s="197">
        <v>2048</v>
      </c>
      <c r="C2588" s="213" t="s">
        <v>5743</v>
      </c>
      <c r="D2588" s="239">
        <v>3.2716544303113609E-3</v>
      </c>
      <c r="E2588" s="226">
        <v>2.0661013883359728E-2</v>
      </c>
      <c r="F2588" s="226">
        <v>4.7734687838857116E-4</v>
      </c>
      <c r="G2588" s="227">
        <v>4.3914409870607493E-4</v>
      </c>
      <c r="H2588" s="226">
        <v>2.0000005991508748E-3</v>
      </c>
      <c r="I2588" s="255">
        <v>2.7408935664673829E-3</v>
      </c>
      <c r="J2588" s="256">
        <v>6.1921568448536401E-6</v>
      </c>
      <c r="K2588" s="257">
        <v>6.4721387000888856E-6</v>
      </c>
      <c r="L2588" s="228">
        <v>3.0011505305021786E-2</v>
      </c>
    </row>
    <row r="2589" spans="1:12" s="212" customFormat="1" ht="15.5" x14ac:dyDescent="0.35">
      <c r="A2589" s="198" t="s">
        <v>813</v>
      </c>
      <c r="B2589" s="197">
        <v>2049</v>
      </c>
      <c r="C2589" s="213" t="s">
        <v>5744</v>
      </c>
      <c r="D2589" s="239">
        <v>3.2636769076371131E-3</v>
      </c>
      <c r="E2589" s="226">
        <v>2.0631293888852823E-2</v>
      </c>
      <c r="F2589" s="226">
        <v>4.7355280112317287E-4</v>
      </c>
      <c r="G2589" s="227">
        <v>4.3565318325545469E-4</v>
      </c>
      <c r="H2589" s="226">
        <v>2.0000005991270822E-3</v>
      </c>
      <c r="I2589" s="255">
        <v>2.7415821754115189E-3</v>
      </c>
      <c r="J2589" s="256">
        <v>6.1305224017099816E-6</v>
      </c>
      <c r="K2589" s="257">
        <v>6.4077174209250436E-6</v>
      </c>
      <c r="L2589" s="228">
        <v>2.9976414311376327E-2</v>
      </c>
    </row>
    <row r="2590" spans="1:12" s="212" customFormat="1" ht="15.5" x14ac:dyDescent="0.35">
      <c r="A2590" s="198" t="s">
        <v>813</v>
      </c>
      <c r="B2590" s="197">
        <v>2050</v>
      </c>
      <c r="C2590" s="213" t="s">
        <v>5745</v>
      </c>
      <c r="D2590" s="239">
        <v>3.2575342260193281E-3</v>
      </c>
      <c r="E2590" s="226">
        <v>2.0605872356467766E-2</v>
      </c>
      <c r="F2590" s="226">
        <v>4.7041763983812697E-4</v>
      </c>
      <c r="G2590" s="227">
        <v>4.3276385379313717E-4</v>
      </c>
      <c r="H2590" s="226">
        <v>2.0000005991035043E-3</v>
      </c>
      <c r="I2590" s="255">
        <v>2.7422973074000215E-3</v>
      </c>
      <c r="J2590" s="256">
        <v>5.959477819886223E-6</v>
      </c>
      <c r="K2590" s="257">
        <v>6.2289389621103026E-6</v>
      </c>
      <c r="L2590" s="228">
        <v>2.9948301107883449E-2</v>
      </c>
    </row>
    <row r="2591" spans="1:12" s="212" customFormat="1" ht="15.5" x14ac:dyDescent="0.35">
      <c r="A2591" s="198" t="s">
        <v>815</v>
      </c>
      <c r="B2591" s="197">
        <v>2015</v>
      </c>
      <c r="C2591" s="213" t="s">
        <v>5746</v>
      </c>
      <c r="D2591" s="239">
        <v>5.1846416384960889E-2</v>
      </c>
      <c r="E2591" s="226">
        <v>0.24623117504445374</v>
      </c>
      <c r="F2591" s="226">
        <v>2.0054913407370196E-3</v>
      </c>
      <c r="G2591" s="227">
        <v>1.8550513791853855E-3</v>
      </c>
      <c r="H2591" s="226">
        <v>2.0000005732018801E-3</v>
      </c>
      <c r="I2591" s="255">
        <v>2.6019448491649451E-3</v>
      </c>
      <c r="J2591" s="256">
        <v>1.9659025473793418E-4</v>
      </c>
      <c r="K2591" s="257">
        <v>2.0547919370084803E-4</v>
      </c>
      <c r="L2591" s="228">
        <v>4.5610960360180954E-2</v>
      </c>
    </row>
    <row r="2592" spans="1:12" s="212" customFormat="1" ht="15.5" x14ac:dyDescent="0.35">
      <c r="A2592" s="198" t="s">
        <v>815</v>
      </c>
      <c r="B2592" s="197">
        <v>2016</v>
      </c>
      <c r="C2592" s="213" t="s">
        <v>5747</v>
      </c>
      <c r="D2592" s="239">
        <v>4.5310672629393985E-2</v>
      </c>
      <c r="E2592" s="226">
        <v>0.22276953432918789</v>
      </c>
      <c r="F2592" s="226">
        <v>1.9271167936362199E-3</v>
      </c>
      <c r="G2592" s="227">
        <v>1.7812549035243405E-3</v>
      </c>
      <c r="H2592" s="226">
        <v>2.0000005741128857E-3</v>
      </c>
      <c r="I2592" s="255">
        <v>2.5985096635392792E-3</v>
      </c>
      <c r="J2592" s="256">
        <v>1.7780020386929898E-4</v>
      </c>
      <c r="K2592" s="257">
        <v>1.858395401115493E-4</v>
      </c>
      <c r="L2592" s="228">
        <v>4.4631823746709633E-2</v>
      </c>
    </row>
    <row r="2593" spans="1:12" s="212" customFormat="1" ht="15.5" x14ac:dyDescent="0.35">
      <c r="A2593" s="198" t="s">
        <v>815</v>
      </c>
      <c r="B2593" s="197">
        <v>2017</v>
      </c>
      <c r="C2593" s="213" t="s">
        <v>5748</v>
      </c>
      <c r="D2593" s="239">
        <v>3.7117592560702559E-2</v>
      </c>
      <c r="E2593" s="226">
        <v>0.18861106152292501</v>
      </c>
      <c r="F2593" s="226">
        <v>1.8228982384795645E-3</v>
      </c>
      <c r="G2593" s="227">
        <v>1.6835402271929934E-3</v>
      </c>
      <c r="H2593" s="226">
        <v>2.0000005741122066E-3</v>
      </c>
      <c r="I2593" s="255">
        <v>2.6000202570985163E-3</v>
      </c>
      <c r="J2593" s="256">
        <v>1.5035363868649444E-4</v>
      </c>
      <c r="K2593" s="257">
        <v>1.5715196304350745E-4</v>
      </c>
      <c r="L2593" s="228">
        <v>4.4251561171663789E-2</v>
      </c>
    </row>
    <row r="2594" spans="1:12" s="212" customFormat="1" ht="15.5" x14ac:dyDescent="0.35">
      <c r="A2594" s="198" t="s">
        <v>815</v>
      </c>
      <c r="B2594" s="197">
        <v>2018</v>
      </c>
      <c r="C2594" s="213" t="s">
        <v>5749</v>
      </c>
      <c r="D2594" s="239">
        <v>3.1601806422166777E-2</v>
      </c>
      <c r="E2594" s="226">
        <v>0.16612433288051864</v>
      </c>
      <c r="F2594" s="226">
        <v>1.7792927928208324E-3</v>
      </c>
      <c r="G2594" s="227">
        <v>1.6422484942736767E-3</v>
      </c>
      <c r="H2594" s="226">
        <v>2.0000005741125939E-3</v>
      </c>
      <c r="I2594" s="255">
        <v>2.5934749437755062E-3</v>
      </c>
      <c r="J2594" s="256">
        <v>1.3531895713510302E-4</v>
      </c>
      <c r="K2594" s="257">
        <v>1.414374799077732E-4</v>
      </c>
      <c r="L2594" s="228">
        <v>4.3705927474413854E-2</v>
      </c>
    </row>
    <row r="2595" spans="1:12" s="212" customFormat="1" ht="15.5" x14ac:dyDescent="0.35">
      <c r="A2595" s="198" t="s">
        <v>815</v>
      </c>
      <c r="B2595" s="197">
        <v>2019</v>
      </c>
      <c r="C2595" s="213" t="s">
        <v>5750</v>
      </c>
      <c r="D2595" s="239">
        <v>2.6443646740088009E-2</v>
      </c>
      <c r="E2595" s="226">
        <v>0.14185555163571514</v>
      </c>
      <c r="F2595" s="226">
        <v>1.7504007310091515E-3</v>
      </c>
      <c r="G2595" s="227">
        <v>1.6147036215459281E-3</v>
      </c>
      <c r="H2595" s="226">
        <v>2.0000005741093087E-3</v>
      </c>
      <c r="I2595" s="255">
        <v>2.6031639295118541E-3</v>
      </c>
      <c r="J2595" s="256">
        <v>1.2345712561555696E-4</v>
      </c>
      <c r="K2595" s="257">
        <v>1.2903930900301131E-4</v>
      </c>
      <c r="L2595" s="228">
        <v>4.3058968431634287E-2</v>
      </c>
    </row>
    <row r="2596" spans="1:12" s="212" customFormat="1" ht="15.5" x14ac:dyDescent="0.35">
      <c r="A2596" s="198" t="s">
        <v>815</v>
      </c>
      <c r="B2596" s="197">
        <v>2020</v>
      </c>
      <c r="C2596" s="213" t="s">
        <v>5751</v>
      </c>
      <c r="D2596" s="239">
        <v>2.3230700592287948E-2</v>
      </c>
      <c r="E2596" s="226">
        <v>0.12684840119117646</v>
      </c>
      <c r="F2596" s="226">
        <v>1.7048619692043734E-3</v>
      </c>
      <c r="G2596" s="227">
        <v>1.5722950314232243E-3</v>
      </c>
      <c r="H2596" s="226">
        <v>2.0000005741137492E-3</v>
      </c>
      <c r="I2596" s="255">
        <v>2.6097955052288685E-3</v>
      </c>
      <c r="J2596" s="256">
        <v>1.1402916551048069E-4</v>
      </c>
      <c r="K2596" s="257">
        <v>1.1918505837793669E-4</v>
      </c>
      <c r="L2596" s="228">
        <v>4.2752438461167337E-2</v>
      </c>
    </row>
    <row r="2597" spans="1:12" s="212" customFormat="1" ht="15.5" x14ac:dyDescent="0.35">
      <c r="A2597" s="198" t="s">
        <v>815</v>
      </c>
      <c r="B2597" s="197">
        <v>2021</v>
      </c>
      <c r="C2597" s="213" t="s">
        <v>5752</v>
      </c>
      <c r="D2597" s="239">
        <v>2.053600236819858E-2</v>
      </c>
      <c r="E2597" s="226">
        <v>0.11289176217757524</v>
      </c>
      <c r="F2597" s="226">
        <v>1.6342602171652396E-3</v>
      </c>
      <c r="G2597" s="227">
        <v>1.5069226902377842E-3</v>
      </c>
      <c r="H2597" s="226">
        <v>2.0000005742119038E-3</v>
      </c>
      <c r="I2597" s="255">
        <v>2.6176291755634256E-3</v>
      </c>
      <c r="J2597" s="256">
        <v>1.0443184159696344E-4</v>
      </c>
      <c r="K2597" s="257">
        <v>1.0915378606454432E-4</v>
      </c>
      <c r="L2597" s="228">
        <v>4.1994766603529625E-2</v>
      </c>
    </row>
    <row r="2598" spans="1:12" s="212" customFormat="1" ht="15.5" x14ac:dyDescent="0.35">
      <c r="A2598" s="198" t="s">
        <v>815</v>
      </c>
      <c r="B2598" s="197">
        <v>2022</v>
      </c>
      <c r="C2598" s="213" t="s">
        <v>5753</v>
      </c>
      <c r="D2598" s="239">
        <v>1.7744633753429405E-2</v>
      </c>
      <c r="E2598" s="226">
        <v>9.9468511816196384E-2</v>
      </c>
      <c r="F2598" s="226">
        <v>1.5599592495623862E-3</v>
      </c>
      <c r="G2598" s="227">
        <v>1.4381131704920918E-3</v>
      </c>
      <c r="H2598" s="226">
        <v>2.0000005742134776E-3</v>
      </c>
      <c r="I2598" s="255">
        <v>2.6186260666257078E-3</v>
      </c>
      <c r="J2598" s="256">
        <v>9.5606845636759272E-5</v>
      </c>
      <c r="K2598" s="257">
        <v>9.9929762947359354E-5</v>
      </c>
      <c r="L2598" s="228">
        <v>4.1281680036596283E-2</v>
      </c>
    </row>
    <row r="2599" spans="1:12" s="212" customFormat="1" ht="15.5" x14ac:dyDescent="0.35">
      <c r="A2599" s="198" t="s">
        <v>815</v>
      </c>
      <c r="B2599" s="197">
        <v>2023</v>
      </c>
      <c r="C2599" s="213" t="s">
        <v>5754</v>
      </c>
      <c r="D2599" s="239">
        <v>1.5680105784687287E-2</v>
      </c>
      <c r="E2599" s="226">
        <v>8.8083100818358129E-2</v>
      </c>
      <c r="F2599" s="226">
        <v>1.4920670605670702E-3</v>
      </c>
      <c r="G2599" s="227">
        <v>1.3753023531210243E-3</v>
      </c>
      <c r="H2599" s="226">
        <v>2.0000005742149304E-3</v>
      </c>
      <c r="I2599" s="255">
        <v>2.6187419022999352E-3</v>
      </c>
      <c r="J2599" s="256">
        <v>8.638721114825891E-5</v>
      </c>
      <c r="K2599" s="257">
        <v>9.0293257498810914E-5</v>
      </c>
      <c r="L2599" s="228">
        <v>4.0508414912738627E-2</v>
      </c>
    </row>
    <row r="2600" spans="1:12" s="212" customFormat="1" ht="15.5" x14ac:dyDescent="0.35">
      <c r="A2600" s="198" t="s">
        <v>815</v>
      </c>
      <c r="B2600" s="197">
        <v>2024</v>
      </c>
      <c r="C2600" s="213" t="s">
        <v>5755</v>
      </c>
      <c r="D2600" s="239">
        <v>1.3872412538579194E-2</v>
      </c>
      <c r="E2600" s="226">
        <v>7.8246755414765889E-2</v>
      </c>
      <c r="F2600" s="226">
        <v>1.4276435850334758E-3</v>
      </c>
      <c r="G2600" s="227">
        <v>1.3156446095748209E-3</v>
      </c>
      <c r="H2600" s="226">
        <v>2.0000005742161131E-3</v>
      </c>
      <c r="I2600" s="255">
        <v>2.6146710402803128E-3</v>
      </c>
      <c r="J2600" s="256">
        <v>7.6218189936946563E-5</v>
      </c>
      <c r="K2600" s="257">
        <v>7.9664438272686523E-5</v>
      </c>
      <c r="L2600" s="228">
        <v>3.9736233535257626E-2</v>
      </c>
    </row>
    <row r="2601" spans="1:12" s="212" customFormat="1" ht="15.5" x14ac:dyDescent="0.35">
      <c r="A2601" s="198" t="s">
        <v>815</v>
      </c>
      <c r="B2601" s="197">
        <v>2025</v>
      </c>
      <c r="C2601" s="213" t="s">
        <v>5756</v>
      </c>
      <c r="D2601" s="239">
        <v>1.2385275691130942E-2</v>
      </c>
      <c r="E2601" s="226">
        <v>7.0045501753899328E-2</v>
      </c>
      <c r="F2601" s="226">
        <v>1.3744899537946912E-3</v>
      </c>
      <c r="G2601" s="227">
        <v>1.2664426064657307E-3</v>
      </c>
      <c r="H2601" s="226">
        <v>2.0000005742172684E-3</v>
      </c>
      <c r="I2601" s="255">
        <v>2.6149943989213064E-3</v>
      </c>
      <c r="J2601" s="256">
        <v>6.797374767713343E-5</v>
      </c>
      <c r="K2601" s="257">
        <v>7.1047218918055422E-5</v>
      </c>
      <c r="L2601" s="228">
        <v>3.8875165892871072E-2</v>
      </c>
    </row>
    <row r="2602" spans="1:12" s="212" customFormat="1" ht="15.5" x14ac:dyDescent="0.35">
      <c r="A2602" s="198" t="s">
        <v>815</v>
      </c>
      <c r="B2602" s="197">
        <v>2026</v>
      </c>
      <c r="C2602" s="213" t="s">
        <v>5757</v>
      </c>
      <c r="D2602" s="239">
        <v>1.1028968797582063E-2</v>
      </c>
      <c r="E2602" s="226">
        <v>6.3022754865191405E-2</v>
      </c>
      <c r="F2602" s="226">
        <v>1.3081509463102846E-3</v>
      </c>
      <c r="G2602" s="227">
        <v>1.2050991545066881E-3</v>
      </c>
      <c r="H2602" s="226">
        <v>2.0000005742180828E-3</v>
      </c>
      <c r="I2602" s="255">
        <v>2.5644552917100756E-3</v>
      </c>
      <c r="J2602" s="256">
        <v>5.908920540437602E-5</v>
      </c>
      <c r="K2602" s="257">
        <v>6.1760957068296337E-5</v>
      </c>
      <c r="L2602" s="228">
        <v>3.8027219337862773E-2</v>
      </c>
    </row>
    <row r="2603" spans="1:12" s="212" customFormat="1" ht="15.5" x14ac:dyDescent="0.35">
      <c r="A2603" s="198" t="s">
        <v>815</v>
      </c>
      <c r="B2603" s="197">
        <v>2027</v>
      </c>
      <c r="C2603" s="213" t="s">
        <v>5758</v>
      </c>
      <c r="D2603" s="239">
        <v>9.9678018968809862E-3</v>
      </c>
      <c r="E2603" s="226">
        <v>5.7101911653525218E-2</v>
      </c>
      <c r="F2603" s="226">
        <v>1.2427590372284492E-3</v>
      </c>
      <c r="G2603" s="227">
        <v>1.1445422953935461E-3</v>
      </c>
      <c r="H2603" s="226">
        <v>2.0000005742188591E-3</v>
      </c>
      <c r="I2603" s="255">
        <v>2.5520356075216031E-3</v>
      </c>
      <c r="J2603" s="256">
        <v>4.8026087952801621E-5</v>
      </c>
      <c r="K2603" s="257">
        <v>5.0197614537418383E-5</v>
      </c>
      <c r="L2603" s="228">
        <v>3.7270219287370017E-2</v>
      </c>
    </row>
    <row r="2604" spans="1:12" s="212" customFormat="1" ht="15.5" x14ac:dyDescent="0.35">
      <c r="A2604" s="198" t="s">
        <v>815</v>
      </c>
      <c r="B2604" s="197">
        <v>2028</v>
      </c>
      <c r="C2604" s="213" t="s">
        <v>5759</v>
      </c>
      <c r="D2604" s="239">
        <v>9.068082064891389E-3</v>
      </c>
      <c r="E2604" s="226">
        <v>5.2077430071053837E-2</v>
      </c>
      <c r="F2604" s="226">
        <v>1.1705138413652988E-3</v>
      </c>
      <c r="G2604" s="227">
        <v>1.0777793341921881E-3</v>
      </c>
      <c r="H2604" s="226">
        <v>2.0000005742196268E-3</v>
      </c>
      <c r="I2604" s="255">
        <v>2.5515164543516329E-3</v>
      </c>
      <c r="J2604" s="256">
        <v>3.9398120945104732E-5</v>
      </c>
      <c r="K2604" s="257">
        <v>4.11795291476698E-5</v>
      </c>
      <c r="L2604" s="228">
        <v>3.6444512696521748E-2</v>
      </c>
    </row>
    <row r="2605" spans="1:12" s="212" customFormat="1" ht="15.5" x14ac:dyDescent="0.35">
      <c r="A2605" s="198" t="s">
        <v>815</v>
      </c>
      <c r="B2605" s="197">
        <v>2029</v>
      </c>
      <c r="C2605" s="213" t="s">
        <v>5760</v>
      </c>
      <c r="D2605" s="239">
        <v>8.2768656806689062E-3</v>
      </c>
      <c r="E2605" s="226">
        <v>4.774080342349199E-2</v>
      </c>
      <c r="F2605" s="226">
        <v>1.1010167392604333E-3</v>
      </c>
      <c r="G2605" s="227">
        <v>1.0136345909953094E-3</v>
      </c>
      <c r="H2605" s="226">
        <v>2.0000005742201593E-3</v>
      </c>
      <c r="I2605" s="255">
        <v>2.5508995364507707E-3</v>
      </c>
      <c r="J2605" s="256">
        <v>3.3117189172204575E-5</v>
      </c>
      <c r="K2605" s="257">
        <v>3.4614601511221167E-5</v>
      </c>
      <c r="L2605" s="228">
        <v>3.5758186501475185E-2</v>
      </c>
    </row>
    <row r="2606" spans="1:12" s="212" customFormat="1" ht="15.5" x14ac:dyDescent="0.35">
      <c r="A2606" s="198" t="s">
        <v>815</v>
      </c>
      <c r="B2606" s="197">
        <v>2030</v>
      </c>
      <c r="C2606" s="213" t="s">
        <v>5761</v>
      </c>
      <c r="D2606" s="239">
        <v>7.6128165922308647E-3</v>
      </c>
      <c r="E2606" s="226">
        <v>4.4060064400446443E-2</v>
      </c>
      <c r="F2606" s="226">
        <v>1.0345764726187633E-3</v>
      </c>
      <c r="G2606" s="227">
        <v>9.5232867465128927E-4</v>
      </c>
      <c r="H2606" s="226">
        <v>2.0000005742207149E-3</v>
      </c>
      <c r="I2606" s="255">
        <v>2.5502522417571176E-3</v>
      </c>
      <c r="J2606" s="256">
        <v>2.7559496709326828E-5</v>
      </c>
      <c r="K2606" s="257">
        <v>2.8805614857067163E-5</v>
      </c>
      <c r="L2606" s="228">
        <v>3.5131741953996376E-2</v>
      </c>
    </row>
    <row r="2607" spans="1:12" s="212" customFormat="1" ht="15.5" x14ac:dyDescent="0.35">
      <c r="A2607" s="198" t="s">
        <v>815</v>
      </c>
      <c r="B2607" s="197">
        <v>2031</v>
      </c>
      <c r="C2607" s="213" t="s">
        <v>5762</v>
      </c>
      <c r="D2607" s="239">
        <v>7.0250382841469351E-3</v>
      </c>
      <c r="E2607" s="226">
        <v>4.0823938941028273E-2</v>
      </c>
      <c r="F2607" s="226">
        <v>9.725214993636591E-4</v>
      </c>
      <c r="G2607" s="227">
        <v>8.951480058805877E-4</v>
      </c>
      <c r="H2607" s="226">
        <v>2.0000005742209642E-3</v>
      </c>
      <c r="I2607" s="255">
        <v>2.5494667584647864E-3</v>
      </c>
      <c r="J2607" s="256">
        <v>2.4392084347068744E-5</v>
      </c>
      <c r="K2607" s="257">
        <v>2.5494986162971982E-5</v>
      </c>
      <c r="L2607" s="228">
        <v>3.4562965740217985E-2</v>
      </c>
    </row>
    <row r="2608" spans="1:12" s="212" customFormat="1" ht="15.5" x14ac:dyDescent="0.35">
      <c r="A2608" s="198" t="s">
        <v>815</v>
      </c>
      <c r="B2608" s="197">
        <v>2032</v>
      </c>
      <c r="C2608" s="213" t="s">
        <v>5763</v>
      </c>
      <c r="D2608" s="239">
        <v>6.5128113946238348E-3</v>
      </c>
      <c r="E2608" s="226">
        <v>3.8042166817794057E-2</v>
      </c>
      <c r="F2608" s="226">
        <v>9.1352278078343882E-4</v>
      </c>
      <c r="G2608" s="227">
        <v>8.4077606754807662E-4</v>
      </c>
      <c r="H2608" s="226">
        <v>2.0000005742211893E-3</v>
      </c>
      <c r="I2608" s="255">
        <v>2.5486188782639333E-3</v>
      </c>
      <c r="J2608" s="256">
        <v>2.1189178692825863E-5</v>
      </c>
      <c r="K2608" s="257">
        <v>2.2147259327727566E-5</v>
      </c>
      <c r="L2608" s="228">
        <v>3.4048662009718109E-2</v>
      </c>
    </row>
    <row r="2609" spans="1:12" s="212" customFormat="1" ht="15.5" x14ac:dyDescent="0.35">
      <c r="A2609" s="198" t="s">
        <v>815</v>
      </c>
      <c r="B2609" s="197">
        <v>2033</v>
      </c>
      <c r="C2609" s="213" t="s">
        <v>5764</v>
      </c>
      <c r="D2609" s="239">
        <v>6.0517343685994873E-3</v>
      </c>
      <c r="E2609" s="226">
        <v>3.5632484157468731E-2</v>
      </c>
      <c r="F2609" s="226">
        <v>8.5687324663816797E-4</v>
      </c>
      <c r="G2609" s="227">
        <v>7.8860500823330711E-4</v>
      </c>
      <c r="H2609" s="226">
        <v>2.0000005742212548E-3</v>
      </c>
      <c r="I2609" s="255">
        <v>2.5376217215380245E-3</v>
      </c>
      <c r="J2609" s="256">
        <v>1.903575020909373E-5</v>
      </c>
      <c r="K2609" s="257">
        <v>1.9896462363658442E-5</v>
      </c>
      <c r="L2609" s="228">
        <v>3.3587193384285403E-2</v>
      </c>
    </row>
    <row r="2610" spans="1:12" s="212" customFormat="1" ht="15.5" x14ac:dyDescent="0.35">
      <c r="A2610" s="198" t="s">
        <v>815</v>
      </c>
      <c r="B2610" s="197">
        <v>2034</v>
      </c>
      <c r="C2610" s="213" t="s">
        <v>5765</v>
      </c>
      <c r="D2610" s="239">
        <v>5.6454045406564698E-3</v>
      </c>
      <c r="E2610" s="226">
        <v>3.3556191770633209E-2</v>
      </c>
      <c r="F2610" s="226">
        <v>8.0496598102792972E-4</v>
      </c>
      <c r="G2610" s="227">
        <v>7.4080055013375789E-4</v>
      </c>
      <c r="H2610" s="226">
        <v>2.0000005742210948E-3</v>
      </c>
      <c r="I2610" s="255">
        <v>2.536565959675875E-3</v>
      </c>
      <c r="J2610" s="256">
        <v>1.704299641683592E-5</v>
      </c>
      <c r="K2610" s="257">
        <v>1.7813605087628725E-5</v>
      </c>
      <c r="L2610" s="228">
        <v>3.3176265665419993E-2</v>
      </c>
    </row>
    <row r="2611" spans="1:12" s="212" customFormat="1" ht="15.5" x14ac:dyDescent="0.35">
      <c r="A2611" s="198" t="s">
        <v>815</v>
      </c>
      <c r="B2611" s="197">
        <v>2035</v>
      </c>
      <c r="C2611" s="213" t="s">
        <v>5766</v>
      </c>
      <c r="D2611" s="239">
        <v>5.2814115851177726E-3</v>
      </c>
      <c r="E2611" s="226">
        <v>3.1762076963413939E-2</v>
      </c>
      <c r="F2611" s="226">
        <v>7.5659533116796619E-4</v>
      </c>
      <c r="G2611" s="227">
        <v>6.9625827052860901E-4</v>
      </c>
      <c r="H2611" s="226">
        <v>2.0000005742209881E-3</v>
      </c>
      <c r="I2611" s="255">
        <v>2.5354767665547034E-3</v>
      </c>
      <c r="J2611" s="256">
        <v>1.5316928772423177E-5</v>
      </c>
      <c r="K2611" s="257">
        <v>1.600949232364734E-5</v>
      </c>
      <c r="L2611" s="228">
        <v>3.2812260224614066E-2</v>
      </c>
    </row>
    <row r="2612" spans="1:12" s="212" customFormat="1" ht="15.5" x14ac:dyDescent="0.35">
      <c r="A2612" s="198" t="s">
        <v>815</v>
      </c>
      <c r="B2612" s="197">
        <v>2036</v>
      </c>
      <c r="C2612" s="213" t="s">
        <v>5767</v>
      </c>
      <c r="D2612" s="239">
        <v>4.9609184670487243E-3</v>
      </c>
      <c r="E2612" s="226">
        <v>3.0225214654949633E-2</v>
      </c>
      <c r="F2612" s="226">
        <v>7.1383600326451781E-4</v>
      </c>
      <c r="G2612" s="227">
        <v>6.5688414621183305E-4</v>
      </c>
      <c r="H2612" s="226">
        <v>1.9999957574261176E-3</v>
      </c>
      <c r="I2612" s="255">
        <v>2.5416750235380892E-3</v>
      </c>
      <c r="J2612" s="256">
        <v>1.3815482113076816E-5</v>
      </c>
      <c r="K2612" s="257">
        <v>1.4440156908936218E-5</v>
      </c>
      <c r="L2612" s="228">
        <v>3.2506732925166766E-2</v>
      </c>
    </row>
    <row r="2613" spans="1:12" s="212" customFormat="1" ht="15.5" x14ac:dyDescent="0.35">
      <c r="A2613" s="198" t="s">
        <v>815</v>
      </c>
      <c r="B2613" s="197">
        <v>2037</v>
      </c>
      <c r="C2613" s="213" t="s">
        <v>5768</v>
      </c>
      <c r="D2613" s="239">
        <v>4.6925778570772137E-3</v>
      </c>
      <c r="E2613" s="226">
        <v>2.893886338765447E-2</v>
      </c>
      <c r="F2613" s="226">
        <v>6.7597197951547961E-4</v>
      </c>
      <c r="G2613" s="227">
        <v>6.2201323055645341E-4</v>
      </c>
      <c r="H2613" s="226">
        <v>1.999995769200724E-3</v>
      </c>
      <c r="I2613" s="255">
        <v>2.5406529223551294E-3</v>
      </c>
      <c r="J2613" s="256">
        <v>1.2369400740001592E-5</v>
      </c>
      <c r="K2613" s="257">
        <v>1.2928690153061598E-5</v>
      </c>
      <c r="L2613" s="228">
        <v>3.2230963898212887E-2</v>
      </c>
    </row>
    <row r="2614" spans="1:12" s="212" customFormat="1" ht="15.5" x14ac:dyDescent="0.35">
      <c r="A2614" s="198" t="s">
        <v>815</v>
      </c>
      <c r="B2614" s="197">
        <v>2038</v>
      </c>
      <c r="C2614" s="213" t="s">
        <v>5769</v>
      </c>
      <c r="D2614" s="239">
        <v>4.4623704886913099E-3</v>
      </c>
      <c r="E2614" s="226">
        <v>2.7809888749935393E-2</v>
      </c>
      <c r="F2614" s="226">
        <v>6.4443612131767647E-4</v>
      </c>
      <c r="G2614" s="227">
        <v>5.9297631271771625E-4</v>
      </c>
      <c r="H2614" s="226">
        <v>2.0000005743563525E-3</v>
      </c>
      <c r="I2614" s="255">
        <v>2.5056795574629202E-3</v>
      </c>
      <c r="J2614" s="256">
        <v>1.1320702349507309E-5</v>
      </c>
      <c r="K2614" s="257">
        <v>1.1832574274879355E-5</v>
      </c>
      <c r="L2614" s="228">
        <v>3.1994838197212334E-2</v>
      </c>
    </row>
    <row r="2615" spans="1:12" s="212" customFormat="1" ht="15.5" x14ac:dyDescent="0.35">
      <c r="A2615" s="198" t="s">
        <v>815</v>
      </c>
      <c r="B2615" s="197">
        <v>2039</v>
      </c>
      <c r="C2615" s="213" t="s">
        <v>5770</v>
      </c>
      <c r="D2615" s="239">
        <v>4.2179562207657478E-3</v>
      </c>
      <c r="E2615" s="226">
        <v>2.6685858367239058E-2</v>
      </c>
      <c r="F2615" s="226">
        <v>6.1399168310369192E-4</v>
      </c>
      <c r="G2615" s="227">
        <v>5.6494840013268351E-4</v>
      </c>
      <c r="H2615" s="226">
        <v>2.0000005743565667E-3</v>
      </c>
      <c r="I2615" s="255">
        <v>2.5049039635630325E-3</v>
      </c>
      <c r="J2615" s="256">
        <v>1.0412775560666298E-5</v>
      </c>
      <c r="K2615" s="257">
        <v>1.0883595065512401E-5</v>
      </c>
      <c r="L2615" s="228">
        <v>3.1792725575001332E-2</v>
      </c>
    </row>
    <row r="2616" spans="1:12" s="212" customFormat="1" ht="15.5" x14ac:dyDescent="0.35">
      <c r="A2616" s="198" t="s">
        <v>815</v>
      </c>
      <c r="B2616" s="197">
        <v>2040</v>
      </c>
      <c r="C2616" s="213" t="s">
        <v>5771</v>
      </c>
      <c r="D2616" s="239">
        <v>4.0060372462163707E-3</v>
      </c>
      <c r="E2616" s="226">
        <v>2.574192236966881E-2</v>
      </c>
      <c r="F2616" s="226">
        <v>5.8736315940045749E-4</v>
      </c>
      <c r="G2616" s="227">
        <v>5.4043515313017241E-4</v>
      </c>
      <c r="H2616" s="226">
        <v>2.0000005743569392E-3</v>
      </c>
      <c r="I2616" s="255">
        <v>2.5042392351642085E-3</v>
      </c>
      <c r="J2616" s="256">
        <v>9.660716280551838E-6</v>
      </c>
      <c r="K2616" s="257">
        <v>1.0097531001964794E-5</v>
      </c>
      <c r="L2616" s="228">
        <v>3.1622143135379616E-2</v>
      </c>
    </row>
    <row r="2617" spans="1:12" s="212" customFormat="1" ht="15.5" x14ac:dyDescent="0.35">
      <c r="A2617" s="198" t="s">
        <v>815</v>
      </c>
      <c r="B2617" s="197">
        <v>2041</v>
      </c>
      <c r="C2617" s="213" t="s">
        <v>5772</v>
      </c>
      <c r="D2617" s="239">
        <v>3.8439335833271035E-3</v>
      </c>
      <c r="E2617" s="226">
        <v>2.4972153681579561E-2</v>
      </c>
      <c r="F2617" s="226">
        <v>5.667366497904392E-4</v>
      </c>
      <c r="G2617" s="227">
        <v>5.214454887742299E-4</v>
      </c>
      <c r="H2617" s="226">
        <v>2.0000005743577715E-3</v>
      </c>
      <c r="I2617" s="255">
        <v>2.5036727509933536E-3</v>
      </c>
      <c r="J2617" s="256">
        <v>9.0357584808276589E-6</v>
      </c>
      <c r="K2617" s="257">
        <v>9.444315383746269E-6</v>
      </c>
      <c r="L2617" s="228">
        <v>3.1480214224303395E-2</v>
      </c>
    </row>
    <row r="2618" spans="1:12" s="212" customFormat="1" ht="15.5" x14ac:dyDescent="0.35">
      <c r="A2618" s="198" t="s">
        <v>815</v>
      </c>
      <c r="B2618" s="197">
        <v>2042</v>
      </c>
      <c r="C2618" s="213" t="s">
        <v>5773</v>
      </c>
      <c r="D2618" s="239">
        <v>3.7000605828360657E-3</v>
      </c>
      <c r="E2618" s="226">
        <v>2.4237109405010941E-2</v>
      </c>
      <c r="F2618" s="226">
        <v>5.4896499903684271E-4</v>
      </c>
      <c r="G2618" s="227">
        <v>5.0508512710357068E-4</v>
      </c>
      <c r="H2618" s="226">
        <v>2.000000574358396E-3</v>
      </c>
      <c r="I2618" s="255">
        <v>2.5031570785098672E-3</v>
      </c>
      <c r="J2618" s="256">
        <v>8.5228393290659616E-6</v>
      </c>
      <c r="K2618" s="257">
        <v>8.9082043039869329E-6</v>
      </c>
      <c r="L2618" s="228">
        <v>3.1360424843152948E-2</v>
      </c>
    </row>
    <row r="2619" spans="1:12" s="212" customFormat="1" ht="15.5" x14ac:dyDescent="0.35">
      <c r="A2619" s="198" t="s">
        <v>815</v>
      </c>
      <c r="B2619" s="197">
        <v>2043</v>
      </c>
      <c r="C2619" s="213" t="s">
        <v>5774</v>
      </c>
      <c r="D2619" s="239">
        <v>3.5860994144103855E-3</v>
      </c>
      <c r="E2619" s="226">
        <v>2.3600791407876812E-2</v>
      </c>
      <c r="F2619" s="226">
        <v>5.3374995372010617E-4</v>
      </c>
      <c r="G2619" s="227">
        <v>4.9107904767965119E-4</v>
      </c>
      <c r="H2619" s="226">
        <v>2.0000005743591024E-3</v>
      </c>
      <c r="I2619" s="255">
        <v>2.5027074079509433E-3</v>
      </c>
      <c r="J2619" s="256">
        <v>8.1017491083900914E-6</v>
      </c>
      <c r="K2619" s="257">
        <v>8.4680742520922686E-6</v>
      </c>
      <c r="L2619" s="228">
        <v>3.1261700726226575E-2</v>
      </c>
    </row>
    <row r="2620" spans="1:12" s="212" customFormat="1" ht="15.5" x14ac:dyDescent="0.35">
      <c r="A2620" s="198" t="s">
        <v>815</v>
      </c>
      <c r="B2620" s="197">
        <v>2044</v>
      </c>
      <c r="C2620" s="213" t="s">
        <v>5775</v>
      </c>
      <c r="D2620" s="239">
        <v>3.4948609581457834E-3</v>
      </c>
      <c r="E2620" s="226">
        <v>2.2992360107131609E-2</v>
      </c>
      <c r="F2620" s="226">
        <v>5.2072459312403792E-4</v>
      </c>
      <c r="G2620" s="227">
        <v>4.7908949304385252E-4</v>
      </c>
      <c r="H2620" s="226">
        <v>2.0000005743603987E-3</v>
      </c>
      <c r="I2620" s="255">
        <v>2.5022762603500179E-3</v>
      </c>
      <c r="J2620" s="256">
        <v>7.7625449138399462E-6</v>
      </c>
      <c r="K2620" s="257">
        <v>8.1135327490609072E-6</v>
      </c>
      <c r="L2620" s="228">
        <v>3.1178673919415353E-2</v>
      </c>
    </row>
    <row r="2621" spans="1:12" s="212" customFormat="1" ht="15.5" x14ac:dyDescent="0.35">
      <c r="A2621" s="198" t="s">
        <v>815</v>
      </c>
      <c r="B2621" s="197">
        <v>2045</v>
      </c>
      <c r="C2621" s="213" t="s">
        <v>5776</v>
      </c>
      <c r="D2621" s="239">
        <v>3.4249521925563994E-3</v>
      </c>
      <c r="E2621" s="226">
        <v>2.2421973815777149E-2</v>
      </c>
      <c r="F2621" s="226">
        <v>5.0954532931665817E-4</v>
      </c>
      <c r="G2621" s="227">
        <v>4.6879981218861117E-4</v>
      </c>
      <c r="H2621" s="226">
        <v>2.0000005743616945E-3</v>
      </c>
      <c r="I2621" s="255">
        <v>2.5018799398501728E-3</v>
      </c>
      <c r="J2621" s="256">
        <v>7.4863732357577832E-6</v>
      </c>
      <c r="K2621" s="257">
        <v>7.8248738131895321E-6</v>
      </c>
      <c r="L2621" s="228">
        <v>3.1108016362266514E-2</v>
      </c>
    </row>
    <row r="2622" spans="1:12" s="212" customFormat="1" ht="15.5" x14ac:dyDescent="0.35">
      <c r="A2622" s="198" t="s">
        <v>815</v>
      </c>
      <c r="B2622" s="197">
        <v>2046</v>
      </c>
      <c r="C2622" s="213" t="s">
        <v>5777</v>
      </c>
      <c r="D2622" s="239">
        <v>3.3595994544784492E-3</v>
      </c>
      <c r="E2622" s="226">
        <v>2.1884658279331729E-2</v>
      </c>
      <c r="F2622" s="226">
        <v>5.0009592907711677E-4</v>
      </c>
      <c r="G2622" s="227">
        <v>4.6010276377537427E-4</v>
      </c>
      <c r="H2622" s="226">
        <v>2.0000005743629899E-3</v>
      </c>
      <c r="I2622" s="255">
        <v>2.5015260438304965E-3</v>
      </c>
      <c r="J2622" s="256">
        <v>7.2637588365195336E-6</v>
      </c>
      <c r="K2622" s="257">
        <v>7.5921937786544634E-6</v>
      </c>
      <c r="L2622" s="228">
        <v>3.1048314978160761E-2</v>
      </c>
    </row>
    <row r="2623" spans="1:12" s="212" customFormat="1" ht="15.5" x14ac:dyDescent="0.35">
      <c r="A2623" s="198" t="s">
        <v>815</v>
      </c>
      <c r="B2623" s="197">
        <v>2047</v>
      </c>
      <c r="C2623" s="213" t="s">
        <v>5778</v>
      </c>
      <c r="D2623" s="239">
        <v>3.30015233804455E-3</v>
      </c>
      <c r="E2623" s="226">
        <v>2.1391216900641892E-2</v>
      </c>
      <c r="F2623" s="226">
        <v>4.9210784030634858E-4</v>
      </c>
      <c r="G2623" s="227">
        <v>4.5275014434582319E-4</v>
      </c>
      <c r="H2623" s="226">
        <v>2.0000005743648266E-3</v>
      </c>
      <c r="I2623" s="255">
        <v>2.5011993539151289E-3</v>
      </c>
      <c r="J2623" s="256">
        <v>7.0618572116465775E-6</v>
      </c>
      <c r="K2623" s="257">
        <v>7.3811630582299688E-6</v>
      </c>
      <c r="L2623" s="228">
        <v>3.0998861072365609E-2</v>
      </c>
    </row>
    <row r="2624" spans="1:12" s="212" customFormat="1" ht="15.5" x14ac:dyDescent="0.35">
      <c r="A2624" s="198" t="s">
        <v>815</v>
      </c>
      <c r="B2624" s="197">
        <v>2048</v>
      </c>
      <c r="C2624" s="213" t="s">
        <v>5779</v>
      </c>
      <c r="D2624" s="239">
        <v>3.2489535809684749E-3</v>
      </c>
      <c r="E2624" s="226">
        <v>2.0967869249433051E-2</v>
      </c>
      <c r="F2624" s="226">
        <v>4.8534114713949495E-4</v>
      </c>
      <c r="G2624" s="227">
        <v>4.4652138792821978E-4</v>
      </c>
      <c r="H2624" s="226">
        <v>2.0000005743664746E-3</v>
      </c>
      <c r="I2624" s="255">
        <v>2.5009136909768651E-3</v>
      </c>
      <c r="J2624" s="256">
        <v>6.881382118721548E-6</v>
      </c>
      <c r="K2624" s="257">
        <v>7.1925276824492379E-6</v>
      </c>
      <c r="L2624" s="228">
        <v>3.0957528328284783E-2</v>
      </c>
    </row>
    <row r="2625" spans="1:12" s="212" customFormat="1" ht="15.5" x14ac:dyDescent="0.35">
      <c r="A2625" s="198" t="s">
        <v>815</v>
      </c>
      <c r="B2625" s="197">
        <v>2049</v>
      </c>
      <c r="C2625" s="213" t="s">
        <v>5780</v>
      </c>
      <c r="D2625" s="239">
        <v>3.2386390702806573E-3</v>
      </c>
      <c r="E2625" s="226">
        <v>2.0929669782954272E-2</v>
      </c>
      <c r="F2625" s="226">
        <v>4.8120417176224293E-4</v>
      </c>
      <c r="G2625" s="227">
        <v>4.4271272387531613E-4</v>
      </c>
      <c r="H2625" s="226">
        <v>2.0000005743681707E-3</v>
      </c>
      <c r="I2625" s="255">
        <v>2.5006761658032928E-3</v>
      </c>
      <c r="J2625" s="256">
        <v>6.7564452130230577E-6</v>
      </c>
      <c r="K2625" s="257">
        <v>7.0619416842743609E-6</v>
      </c>
      <c r="L2625" s="228">
        <v>3.0922749868167766E-2</v>
      </c>
    </row>
    <row r="2626" spans="1:12" s="212" customFormat="1" ht="15.5" x14ac:dyDescent="0.35">
      <c r="A2626" s="198" t="s">
        <v>815</v>
      </c>
      <c r="B2626" s="197">
        <v>2050</v>
      </c>
      <c r="C2626" s="213" t="s">
        <v>5781</v>
      </c>
      <c r="D2626" s="239">
        <v>3.2306049623388711E-3</v>
      </c>
      <c r="E2626" s="226">
        <v>2.0896416159326615E-2</v>
      </c>
      <c r="F2626" s="226">
        <v>4.7763832760788484E-4</v>
      </c>
      <c r="G2626" s="227">
        <v>4.3942252209283844E-4</v>
      </c>
      <c r="H2626" s="226">
        <v>2.0000005743697961E-3</v>
      </c>
      <c r="I2626" s="255">
        <v>2.5005193212575875E-3</v>
      </c>
      <c r="J2626" s="256">
        <v>6.4602733172671282E-6</v>
      </c>
      <c r="K2626" s="257">
        <v>6.7523782096356787E-6</v>
      </c>
      <c r="L2626" s="228">
        <v>3.0894353793177218E-2</v>
      </c>
    </row>
    <row r="2627" spans="1:12" s="212" customFormat="1" ht="15.5" x14ac:dyDescent="0.35">
      <c r="A2627" s="198" t="s">
        <v>817</v>
      </c>
      <c r="B2627" s="197">
        <v>2015</v>
      </c>
      <c r="C2627" s="213" t="s">
        <v>5782</v>
      </c>
      <c r="D2627" s="239">
        <v>5.3069841942874806E-2</v>
      </c>
      <c r="E2627" s="226">
        <v>0.20888578226950383</v>
      </c>
      <c r="F2627" s="226">
        <v>2.1352716740303517E-3</v>
      </c>
      <c r="G2627" s="227">
        <v>1.9722043651469639E-3</v>
      </c>
      <c r="H2627" s="226">
        <v>2.0000005732018801E-3</v>
      </c>
      <c r="I2627" s="255">
        <v>3.1913446726148259E-3</v>
      </c>
      <c r="J2627" s="256">
        <v>1.3892231564381047E-4</v>
      </c>
      <c r="K2627" s="257">
        <v>1.4520376629857762E-4</v>
      </c>
      <c r="L2627" s="228">
        <v>4.6495421345424219E-2</v>
      </c>
    </row>
    <row r="2628" spans="1:12" s="212" customFormat="1" ht="15.5" x14ac:dyDescent="0.35">
      <c r="A2628" s="198" t="s">
        <v>817</v>
      </c>
      <c r="B2628" s="197">
        <v>2016</v>
      </c>
      <c r="C2628" s="213" t="s">
        <v>5783</v>
      </c>
      <c r="D2628" s="239">
        <v>4.5904847900327499E-2</v>
      </c>
      <c r="E2628" s="226">
        <v>0.18610840798515194</v>
      </c>
      <c r="F2628" s="226">
        <v>2.0787349187271782E-3</v>
      </c>
      <c r="G2628" s="227">
        <v>1.9185641783980073E-3</v>
      </c>
      <c r="H2628" s="226">
        <v>2.0000005732018801E-3</v>
      </c>
      <c r="I2628" s="255">
        <v>3.1836133831567161E-3</v>
      </c>
      <c r="J2628" s="256">
        <v>1.2154243123434517E-4</v>
      </c>
      <c r="K2628" s="257">
        <v>1.2703804063821149E-4</v>
      </c>
      <c r="L2628" s="228">
        <v>4.5536219049727406E-2</v>
      </c>
    </row>
    <row r="2629" spans="1:12" s="212" customFormat="1" ht="15.5" x14ac:dyDescent="0.35">
      <c r="A2629" s="198" t="s">
        <v>817</v>
      </c>
      <c r="B2629" s="197">
        <v>2017</v>
      </c>
      <c r="C2629" s="213" t="s">
        <v>5784</v>
      </c>
      <c r="D2629" s="239">
        <v>3.7889550651063392E-2</v>
      </c>
      <c r="E2629" s="226">
        <v>0.15863067542565942</v>
      </c>
      <c r="F2629" s="226">
        <v>2.009999369930997E-3</v>
      </c>
      <c r="G2629" s="227">
        <v>1.8537983375836572E-3</v>
      </c>
      <c r="H2629" s="226">
        <v>2.0000005732018801E-3</v>
      </c>
      <c r="I2629" s="255">
        <v>3.1837154852754918E-3</v>
      </c>
      <c r="J2629" s="256">
        <v>1.0225232991411519E-4</v>
      </c>
      <c r="K2629" s="257">
        <v>1.0687572653483735E-4</v>
      </c>
      <c r="L2629" s="228">
        <v>4.5152843454217891E-2</v>
      </c>
    </row>
    <row r="2630" spans="1:12" s="212" customFormat="1" ht="15.5" x14ac:dyDescent="0.35">
      <c r="A2630" s="198" t="s">
        <v>817</v>
      </c>
      <c r="B2630" s="197">
        <v>2018</v>
      </c>
      <c r="C2630" s="213" t="s">
        <v>5785</v>
      </c>
      <c r="D2630" s="239">
        <v>3.1967764535535521E-2</v>
      </c>
      <c r="E2630" s="226">
        <v>0.13882906655152177</v>
      </c>
      <c r="F2630" s="226">
        <v>1.9805099614595952E-3</v>
      </c>
      <c r="G2630" s="227">
        <v>1.8255180846836372E-3</v>
      </c>
      <c r="H2630" s="226">
        <v>2.0000005732018797E-3</v>
      </c>
      <c r="I2630" s="255">
        <v>3.1787857898695083E-3</v>
      </c>
      <c r="J2630" s="256">
        <v>8.9249111183390428E-5</v>
      </c>
      <c r="K2630" s="257">
        <v>9.3284559954037982E-5</v>
      </c>
      <c r="L2630" s="228">
        <v>4.4472030544819997E-2</v>
      </c>
    </row>
    <row r="2631" spans="1:12" s="212" customFormat="1" ht="15.5" x14ac:dyDescent="0.35">
      <c r="A2631" s="198" t="s">
        <v>817</v>
      </c>
      <c r="B2631" s="197">
        <v>2019</v>
      </c>
      <c r="C2631" s="213" t="s">
        <v>5786</v>
      </c>
      <c r="D2631" s="239">
        <v>2.6852538609339768E-2</v>
      </c>
      <c r="E2631" s="226">
        <v>0.12070138967471007</v>
      </c>
      <c r="F2631" s="226">
        <v>1.9564874103919355E-3</v>
      </c>
      <c r="G2631" s="227">
        <v>1.8025812551266242E-3</v>
      </c>
      <c r="H2631" s="226">
        <v>2.0000005732018745E-3</v>
      </c>
      <c r="I2631" s="255">
        <v>3.1699152562211274E-3</v>
      </c>
      <c r="J2631" s="256">
        <v>8.1056150781534574E-5</v>
      </c>
      <c r="K2631" s="257">
        <v>8.4721150238533329E-5</v>
      </c>
      <c r="L2631" s="228">
        <v>4.3687134181209383E-2</v>
      </c>
    </row>
    <row r="2632" spans="1:12" s="212" customFormat="1" ht="15.5" x14ac:dyDescent="0.35">
      <c r="A2632" s="198" t="s">
        <v>817</v>
      </c>
      <c r="B2632" s="197">
        <v>2020</v>
      </c>
      <c r="C2632" s="213" t="s">
        <v>5787</v>
      </c>
      <c r="D2632" s="239">
        <v>2.3869070696890895E-2</v>
      </c>
      <c r="E2632" s="226">
        <v>0.10865951496219087</v>
      </c>
      <c r="F2632" s="226">
        <v>1.9089922401169413E-3</v>
      </c>
      <c r="G2632" s="227">
        <v>1.758512967417141E-3</v>
      </c>
      <c r="H2632" s="226">
        <v>2.0000005732018732E-3</v>
      </c>
      <c r="I2632" s="255">
        <v>3.1829022712813785E-3</v>
      </c>
      <c r="J2632" s="256">
        <v>7.4751315550342884E-5</v>
      </c>
      <c r="K2632" s="257">
        <v>7.8131238335479595E-5</v>
      </c>
      <c r="L2632" s="228">
        <v>4.3260406282893252E-2</v>
      </c>
    </row>
    <row r="2633" spans="1:12" s="212" customFormat="1" ht="15.5" x14ac:dyDescent="0.35">
      <c r="A2633" s="198" t="s">
        <v>817</v>
      </c>
      <c r="B2633" s="197">
        <v>2021</v>
      </c>
      <c r="C2633" s="213" t="s">
        <v>5788</v>
      </c>
      <c r="D2633" s="239">
        <v>2.1074265368418214E-2</v>
      </c>
      <c r="E2633" s="226">
        <v>9.6665976700023887E-2</v>
      </c>
      <c r="F2633" s="226">
        <v>1.8157803252915592E-3</v>
      </c>
      <c r="G2633" s="227">
        <v>1.6724434893583492E-3</v>
      </c>
      <c r="H2633" s="226">
        <v>2.0000005732018779E-3</v>
      </c>
      <c r="I2633" s="255">
        <v>3.1876568821123056E-3</v>
      </c>
      <c r="J2633" s="256">
        <v>6.8078850149102423E-5</v>
      </c>
      <c r="K2633" s="257">
        <v>7.1157073657421521E-5</v>
      </c>
      <c r="L2633" s="228">
        <v>4.2453045509347781E-2</v>
      </c>
    </row>
    <row r="2634" spans="1:12" s="212" customFormat="1" ht="15.5" x14ac:dyDescent="0.35">
      <c r="A2634" s="198" t="s">
        <v>817</v>
      </c>
      <c r="B2634" s="197">
        <v>2022</v>
      </c>
      <c r="C2634" s="213" t="s">
        <v>5789</v>
      </c>
      <c r="D2634" s="239">
        <v>1.8160861558605697E-2</v>
      </c>
      <c r="E2634" s="226">
        <v>8.4974693153433617E-2</v>
      </c>
      <c r="F2634" s="226">
        <v>1.7220533374419182E-3</v>
      </c>
      <c r="G2634" s="227">
        <v>1.5858463275089719E-3</v>
      </c>
      <c r="H2634" s="226">
        <v>2.0000005732018775E-3</v>
      </c>
      <c r="I2634" s="255">
        <v>3.1884092552081399E-3</v>
      </c>
      <c r="J2634" s="256">
        <v>6.1730273518871228E-5</v>
      </c>
      <c r="K2634" s="257">
        <v>6.452144256336283E-5</v>
      </c>
      <c r="L2634" s="228">
        <v>4.1586803818234534E-2</v>
      </c>
    </row>
    <row r="2635" spans="1:12" s="212" customFormat="1" ht="15.5" x14ac:dyDescent="0.35">
      <c r="A2635" s="198" t="s">
        <v>817</v>
      </c>
      <c r="B2635" s="197">
        <v>2023</v>
      </c>
      <c r="C2635" s="213" t="s">
        <v>5790</v>
      </c>
      <c r="D2635" s="239">
        <v>1.6031758285152943E-2</v>
      </c>
      <c r="E2635" s="226">
        <v>7.5257274360099033E-2</v>
      </c>
      <c r="F2635" s="226">
        <v>1.6397363356343215E-3</v>
      </c>
      <c r="G2635" s="227">
        <v>1.5098611764947402E-3</v>
      </c>
      <c r="H2635" s="226">
        <v>2.0000005732018801E-3</v>
      </c>
      <c r="I2635" s="255">
        <v>3.1936711694831141E-3</v>
      </c>
      <c r="J2635" s="256">
        <v>5.4946392319836467E-5</v>
      </c>
      <c r="K2635" s="257">
        <v>5.7430824359534713E-5</v>
      </c>
      <c r="L2635" s="228">
        <v>4.0672582153056303E-2</v>
      </c>
    </row>
    <row r="2636" spans="1:12" s="212" customFormat="1" ht="15.5" x14ac:dyDescent="0.35">
      <c r="A2636" s="198" t="s">
        <v>817</v>
      </c>
      <c r="B2636" s="197">
        <v>2024</v>
      </c>
      <c r="C2636" s="213" t="s">
        <v>5791</v>
      </c>
      <c r="D2636" s="239">
        <v>1.4155525360745462E-2</v>
      </c>
      <c r="E2636" s="226">
        <v>6.7016747191973591E-2</v>
      </c>
      <c r="F2636" s="226">
        <v>1.5620077389357731E-3</v>
      </c>
      <c r="G2636" s="227">
        <v>1.4380611774225881E-3</v>
      </c>
      <c r="H2636" s="226">
        <v>2.0000005732018801E-3</v>
      </c>
      <c r="I2636" s="255">
        <v>3.1793080315249541E-3</v>
      </c>
      <c r="J2636" s="256">
        <v>4.7256024996570653E-5</v>
      </c>
      <c r="K2636" s="257">
        <v>4.9392732751410347E-5</v>
      </c>
      <c r="L2636" s="228">
        <v>3.9731362886974188E-2</v>
      </c>
    </row>
    <row r="2637" spans="1:12" s="212" customFormat="1" ht="15.5" x14ac:dyDescent="0.35">
      <c r="A2637" s="198" t="s">
        <v>817</v>
      </c>
      <c r="B2637" s="197">
        <v>2025</v>
      </c>
      <c r="C2637" s="213" t="s">
        <v>5792</v>
      </c>
      <c r="D2637" s="239">
        <v>1.267264080861853E-2</v>
      </c>
      <c r="E2637" s="226">
        <v>6.0307912259349609E-2</v>
      </c>
      <c r="F2637" s="226">
        <v>1.5038685477972462E-3</v>
      </c>
      <c r="G2637" s="227">
        <v>1.3843679642840444E-3</v>
      </c>
      <c r="H2637" s="226">
        <v>2.0000005732018805E-3</v>
      </c>
      <c r="I2637" s="255">
        <v>3.1817543188100896E-3</v>
      </c>
      <c r="J2637" s="256">
        <v>4.143783983397926E-5</v>
      </c>
      <c r="K2637" s="257">
        <v>4.331147507358087E-5</v>
      </c>
      <c r="L2637" s="228">
        <v>3.8771935351408431E-2</v>
      </c>
    </row>
    <row r="2638" spans="1:12" s="212" customFormat="1" ht="15.5" x14ac:dyDescent="0.35">
      <c r="A2638" s="198" t="s">
        <v>817</v>
      </c>
      <c r="B2638" s="197">
        <v>2026</v>
      </c>
      <c r="C2638" s="213" t="s">
        <v>5793</v>
      </c>
      <c r="D2638" s="239">
        <v>1.1427045751300194E-2</v>
      </c>
      <c r="E2638" s="226">
        <v>5.4707194495883356E-2</v>
      </c>
      <c r="F2638" s="226">
        <v>1.4402855369706189E-3</v>
      </c>
      <c r="G2638" s="227">
        <v>1.3256758506332621E-3</v>
      </c>
      <c r="H2638" s="226">
        <v>2.0000005732018801E-3</v>
      </c>
      <c r="I2638" s="255">
        <v>3.1855845067654894E-3</v>
      </c>
      <c r="J2638" s="256">
        <v>3.5570416967617938E-5</v>
      </c>
      <c r="K2638" s="257">
        <v>3.717875338150602E-5</v>
      </c>
      <c r="L2638" s="228">
        <v>3.7833843019113744E-2</v>
      </c>
    </row>
    <row r="2639" spans="1:12" s="212" customFormat="1" ht="15.5" x14ac:dyDescent="0.35">
      <c r="A2639" s="198" t="s">
        <v>817</v>
      </c>
      <c r="B2639" s="197">
        <v>2027</v>
      </c>
      <c r="C2639" s="213" t="s">
        <v>5794</v>
      </c>
      <c r="D2639" s="239">
        <v>1.0371855655466878E-2</v>
      </c>
      <c r="E2639" s="226">
        <v>4.9941389894243383E-2</v>
      </c>
      <c r="F2639" s="226">
        <v>1.364962155022892E-3</v>
      </c>
      <c r="G2639" s="227">
        <v>1.256156237317919E-3</v>
      </c>
      <c r="H2639" s="226">
        <v>2.0000005732018801E-3</v>
      </c>
      <c r="I2639" s="255">
        <v>3.1788793296816048E-3</v>
      </c>
      <c r="J2639" s="256">
        <v>2.8845930129422294E-5</v>
      </c>
      <c r="K2639" s="257">
        <v>3.0150215087955568E-5</v>
      </c>
      <c r="L2639" s="228">
        <v>3.6941514566477325E-2</v>
      </c>
    </row>
    <row r="2640" spans="1:12" s="212" customFormat="1" ht="15.5" x14ac:dyDescent="0.35">
      <c r="A2640" s="198" t="s">
        <v>817</v>
      </c>
      <c r="B2640" s="197">
        <v>2028</v>
      </c>
      <c r="C2640" s="213" t="s">
        <v>5795</v>
      </c>
      <c r="D2640" s="239">
        <v>9.4868899688775824E-3</v>
      </c>
      <c r="E2640" s="226">
        <v>4.5923161785833944E-2</v>
      </c>
      <c r="F2640" s="226">
        <v>1.2810323238350476E-3</v>
      </c>
      <c r="G2640" s="227">
        <v>1.1787726018149534E-3</v>
      </c>
      <c r="H2640" s="226">
        <v>2.0000005732018801E-3</v>
      </c>
      <c r="I2640" s="255">
        <v>3.1813846018147233E-3</v>
      </c>
      <c r="J2640" s="256">
        <v>2.3372673262062822E-5</v>
      </c>
      <c r="K2640" s="257">
        <v>2.4429481832271757E-5</v>
      </c>
      <c r="L2640" s="228">
        <v>3.6104731841279152E-2</v>
      </c>
    </row>
    <row r="2641" spans="1:12" s="212" customFormat="1" ht="15.5" x14ac:dyDescent="0.35">
      <c r="A2641" s="198" t="s">
        <v>817</v>
      </c>
      <c r="B2641" s="197">
        <v>2029</v>
      </c>
      <c r="C2641" s="213" t="s">
        <v>5796</v>
      </c>
      <c r="D2641" s="239">
        <v>8.7175018914916781E-3</v>
      </c>
      <c r="E2641" s="226">
        <v>4.2467904566016221E-2</v>
      </c>
      <c r="F2641" s="226">
        <v>1.2023284224352013E-3</v>
      </c>
      <c r="G2641" s="227">
        <v>1.1062564068553466E-3</v>
      </c>
      <c r="H2641" s="226">
        <v>2.0000005732018801E-3</v>
      </c>
      <c r="I2641" s="255">
        <v>3.1838708599343825E-3</v>
      </c>
      <c r="J2641" s="256">
        <v>1.9500710230105088E-5</v>
      </c>
      <c r="K2641" s="257">
        <v>2.0382445813590382E-5</v>
      </c>
      <c r="L2641" s="228">
        <v>3.5344540630414284E-2</v>
      </c>
    </row>
    <row r="2642" spans="1:12" s="212" customFormat="1" ht="15.5" x14ac:dyDescent="0.35">
      <c r="A2642" s="198" t="s">
        <v>817</v>
      </c>
      <c r="B2642" s="197">
        <v>2030</v>
      </c>
      <c r="C2642" s="213" t="s">
        <v>5797</v>
      </c>
      <c r="D2642" s="239">
        <v>8.0708007531969401E-3</v>
      </c>
      <c r="E2642" s="226">
        <v>3.9542834423523632E-2</v>
      </c>
      <c r="F2642" s="226">
        <v>1.129090515101611E-3</v>
      </c>
      <c r="G2642" s="227">
        <v>1.0387860930084658E-3</v>
      </c>
      <c r="H2642" s="226">
        <v>2.0000005732018801E-3</v>
      </c>
      <c r="I2642" s="255">
        <v>3.1863261981933482E-3</v>
      </c>
      <c r="J2642" s="256">
        <v>1.6144657156782509E-5</v>
      </c>
      <c r="K2642" s="257">
        <v>1.6874646912557121E-5</v>
      </c>
      <c r="L2642" s="228">
        <v>3.4653031193926258E-2</v>
      </c>
    </row>
    <row r="2643" spans="1:12" s="212" customFormat="1" ht="15.5" x14ac:dyDescent="0.35">
      <c r="A2643" s="198" t="s">
        <v>817</v>
      </c>
      <c r="B2643" s="197">
        <v>2031</v>
      </c>
      <c r="C2643" s="213" t="s">
        <v>5798</v>
      </c>
      <c r="D2643" s="239">
        <v>7.4983264431985781E-3</v>
      </c>
      <c r="E2643" s="226">
        <v>3.696663655012998E-2</v>
      </c>
      <c r="F2643" s="226">
        <v>1.0612626620566069E-3</v>
      </c>
      <c r="G2643" s="227">
        <v>9.7635150629431147E-4</v>
      </c>
      <c r="H2643" s="226">
        <v>2.0000005732018801E-3</v>
      </c>
      <c r="I2643" s="255">
        <v>3.1885015250975447E-3</v>
      </c>
      <c r="J2643" s="256">
        <v>1.4363999099404337E-5</v>
      </c>
      <c r="K2643" s="257">
        <v>1.5013475399377391E-5</v>
      </c>
      <c r="L2643" s="228">
        <v>3.4024453210826505E-2</v>
      </c>
    </row>
    <row r="2644" spans="1:12" s="212" customFormat="1" ht="15.5" x14ac:dyDescent="0.35">
      <c r="A2644" s="198" t="s">
        <v>817</v>
      </c>
      <c r="B2644" s="197">
        <v>2032</v>
      </c>
      <c r="C2644" s="213" t="s">
        <v>5799</v>
      </c>
      <c r="D2644" s="239">
        <v>7.0031472213706427E-3</v>
      </c>
      <c r="E2644" s="226">
        <v>3.4764928892869543E-2</v>
      </c>
      <c r="F2644" s="226">
        <v>9.9798426840386764E-4</v>
      </c>
      <c r="G2644" s="227">
        <v>9.1810388081542036E-4</v>
      </c>
      <c r="H2644" s="226">
        <v>2.0000005732018797E-3</v>
      </c>
      <c r="I2644" s="255">
        <v>3.1927468356620233E-3</v>
      </c>
      <c r="J2644" s="256">
        <v>1.268346859801238E-5</v>
      </c>
      <c r="K2644" s="257">
        <v>1.325695876595615E-5</v>
      </c>
      <c r="L2644" s="228">
        <v>3.3458629148305254E-2</v>
      </c>
    </row>
    <row r="2645" spans="1:12" s="212" customFormat="1" ht="15.5" x14ac:dyDescent="0.35">
      <c r="A2645" s="198" t="s">
        <v>817</v>
      </c>
      <c r="B2645" s="197">
        <v>2033</v>
      </c>
      <c r="C2645" s="213" t="s">
        <v>5800</v>
      </c>
      <c r="D2645" s="239">
        <v>6.5545428993907511E-3</v>
      </c>
      <c r="E2645" s="226">
        <v>3.2840636011624562E-2</v>
      </c>
      <c r="F2645" s="226">
        <v>9.3791997508453054E-4</v>
      </c>
      <c r="G2645" s="227">
        <v>8.6284214331794134E-4</v>
      </c>
      <c r="H2645" s="226">
        <v>2.0000005732018805E-3</v>
      </c>
      <c r="I2645" s="255">
        <v>3.1909300086969657E-3</v>
      </c>
      <c r="J2645" s="256">
        <v>1.1789362827539657E-5</v>
      </c>
      <c r="K2645" s="257">
        <v>1.2322425500078265E-5</v>
      </c>
      <c r="L2645" s="228">
        <v>3.2949871726086405E-2</v>
      </c>
    </row>
    <row r="2646" spans="1:12" s="212" customFormat="1" ht="15.5" x14ac:dyDescent="0.35">
      <c r="A2646" s="198" t="s">
        <v>817</v>
      </c>
      <c r="B2646" s="197">
        <v>2034</v>
      </c>
      <c r="C2646" s="213" t="s">
        <v>5801</v>
      </c>
      <c r="D2646" s="239">
        <v>6.1491237039113106E-3</v>
      </c>
      <c r="E2646" s="226">
        <v>3.1139369129504893E-2</v>
      </c>
      <c r="F2646" s="226">
        <v>8.8231350447237861E-4</v>
      </c>
      <c r="G2646" s="227">
        <v>8.1168127783418347E-4</v>
      </c>
      <c r="H2646" s="226">
        <v>2.0000005732018805E-3</v>
      </c>
      <c r="I2646" s="255">
        <v>3.1921488605740501E-3</v>
      </c>
      <c r="J2646" s="256">
        <v>1.0948348240035037E-5</v>
      </c>
      <c r="K2646" s="257">
        <v>1.1443383964873626E-5</v>
      </c>
      <c r="L2646" s="228">
        <v>3.2495064142900043E-2</v>
      </c>
    </row>
    <row r="2647" spans="1:12" s="212" customFormat="1" ht="15.5" x14ac:dyDescent="0.35">
      <c r="A2647" s="198" t="s">
        <v>817</v>
      </c>
      <c r="B2647" s="197">
        <v>2035</v>
      </c>
      <c r="C2647" s="213" t="s">
        <v>5802</v>
      </c>
      <c r="D2647" s="239">
        <v>5.7962520414323255E-3</v>
      </c>
      <c r="E2647" s="226">
        <v>2.970517406745082E-2</v>
      </c>
      <c r="F2647" s="226">
        <v>8.3117307581012916E-4</v>
      </c>
      <c r="G2647" s="227">
        <v>7.6463035090299392E-4</v>
      </c>
      <c r="H2647" s="226">
        <v>2.0000005732018797E-3</v>
      </c>
      <c r="I2647" s="255">
        <v>3.1931058814818236E-3</v>
      </c>
      <c r="J2647" s="256">
        <v>1.0199160392852888E-5</v>
      </c>
      <c r="K2647" s="257">
        <v>1.0660321167713761E-5</v>
      </c>
      <c r="L2647" s="228">
        <v>3.2093652112228921E-2</v>
      </c>
    </row>
    <row r="2648" spans="1:12" s="212" customFormat="1" ht="15.5" x14ac:dyDescent="0.35">
      <c r="A2648" s="198" t="s">
        <v>817</v>
      </c>
      <c r="B2648" s="197">
        <v>2036</v>
      </c>
      <c r="C2648" s="213" t="s">
        <v>5803</v>
      </c>
      <c r="D2648" s="239">
        <v>5.4874996187293046E-3</v>
      </c>
      <c r="E2648" s="226">
        <v>2.8446898184823263E-2</v>
      </c>
      <c r="F2648" s="226">
        <v>7.8720281184316233E-4</v>
      </c>
      <c r="G2648" s="227">
        <v>7.2417600232600418E-4</v>
      </c>
      <c r="H2648" s="226">
        <v>1.9999427699220495E-3</v>
      </c>
      <c r="I2648" s="255">
        <v>3.1989907180758961E-3</v>
      </c>
      <c r="J2648" s="256">
        <v>9.5494669412139995E-6</v>
      </c>
      <c r="K2648" s="257">
        <v>9.9812514611637506E-6</v>
      </c>
      <c r="L2648" s="228">
        <v>3.1739675319999085E-2</v>
      </c>
    </row>
    <row r="2649" spans="1:12" s="212" customFormat="1" ht="15.5" x14ac:dyDescent="0.35">
      <c r="A2649" s="198" t="s">
        <v>817</v>
      </c>
      <c r="B2649" s="197">
        <v>2037</v>
      </c>
      <c r="C2649" s="213" t="s">
        <v>5804</v>
      </c>
      <c r="D2649" s="239">
        <v>5.2193204094036797E-3</v>
      </c>
      <c r="E2649" s="226">
        <v>2.7375365249149661E-2</v>
      </c>
      <c r="F2649" s="226">
        <v>7.4729086467483559E-4</v>
      </c>
      <c r="G2649" s="227">
        <v>6.8745598925955569E-4</v>
      </c>
      <c r="H2649" s="226">
        <v>1.9999429773212567E-3</v>
      </c>
      <c r="I2649" s="255">
        <v>3.1994837055172249E-3</v>
      </c>
      <c r="J2649" s="256">
        <v>8.9732541567712094E-6</v>
      </c>
      <c r="K2649" s="257">
        <v>9.3789848915147883E-6</v>
      </c>
      <c r="L2649" s="228">
        <v>3.1431548598926405E-2</v>
      </c>
    </row>
    <row r="2650" spans="1:12" s="212" customFormat="1" ht="15.5" x14ac:dyDescent="0.35">
      <c r="A2650" s="198" t="s">
        <v>817</v>
      </c>
      <c r="B2650" s="197">
        <v>2038</v>
      </c>
      <c r="C2650" s="213" t="s">
        <v>5805</v>
      </c>
      <c r="D2650" s="239">
        <v>4.977099236476404E-3</v>
      </c>
      <c r="E2650" s="226">
        <v>2.6396917776047555E-2</v>
      </c>
      <c r="F2650" s="226">
        <v>7.1237792332491711E-4</v>
      </c>
      <c r="G2650" s="227">
        <v>6.5533965282749498E-4</v>
      </c>
      <c r="H2650" s="226">
        <v>2.0000005732018801E-3</v>
      </c>
      <c r="I2650" s="255">
        <v>3.2060651442079508E-3</v>
      </c>
      <c r="J2650" s="256">
        <v>8.5837655804623664E-6</v>
      </c>
      <c r="K2650" s="257">
        <v>8.9718853701152411E-6</v>
      </c>
      <c r="L2650" s="228">
        <v>3.1168414384779082E-2</v>
      </c>
    </row>
    <row r="2651" spans="1:12" s="212" customFormat="1" ht="15.5" x14ac:dyDescent="0.35">
      <c r="A2651" s="198" t="s">
        <v>817</v>
      </c>
      <c r="B2651" s="197">
        <v>2039</v>
      </c>
      <c r="C2651" s="213" t="s">
        <v>5806</v>
      </c>
      <c r="D2651" s="239">
        <v>4.7351823322143612E-3</v>
      </c>
      <c r="E2651" s="226">
        <v>2.5462367336350829E-2</v>
      </c>
      <c r="F2651" s="226">
        <v>6.8088965555090106E-4</v>
      </c>
      <c r="G2651" s="227">
        <v>6.2637364871019521E-4</v>
      </c>
      <c r="H2651" s="226">
        <v>2.0000005732018801E-3</v>
      </c>
      <c r="I2651" s="255">
        <v>3.20621739902998E-3</v>
      </c>
      <c r="J2651" s="256">
        <v>8.2320405407874969E-6</v>
      </c>
      <c r="K2651" s="257">
        <v>8.604256884903014E-6</v>
      </c>
      <c r="L2651" s="228">
        <v>3.0939818693823055E-2</v>
      </c>
    </row>
    <row r="2652" spans="1:12" s="212" customFormat="1" ht="15.5" x14ac:dyDescent="0.35">
      <c r="A2652" s="198" t="s">
        <v>817</v>
      </c>
      <c r="B2652" s="197">
        <v>2040</v>
      </c>
      <c r="C2652" s="213" t="s">
        <v>5807</v>
      </c>
      <c r="D2652" s="239">
        <v>4.5176230115997187E-3</v>
      </c>
      <c r="E2652" s="226">
        <v>2.4656478681048248E-2</v>
      </c>
      <c r="F2652" s="226">
        <v>6.5341095215092548E-4</v>
      </c>
      <c r="G2652" s="227">
        <v>6.0109644862509234E-4</v>
      </c>
      <c r="H2652" s="226">
        <v>2.0000005732018745E-3</v>
      </c>
      <c r="I2652" s="255">
        <v>3.2062689270874289E-3</v>
      </c>
      <c r="J2652" s="256">
        <v>7.9356911500292027E-6</v>
      </c>
      <c r="K2652" s="257">
        <v>8.2945078897255634E-6</v>
      </c>
      <c r="L2652" s="228">
        <v>3.0746825239488164E-2</v>
      </c>
    </row>
    <row r="2653" spans="1:12" s="212" customFormat="1" ht="15.5" x14ac:dyDescent="0.35">
      <c r="A2653" s="198" t="s">
        <v>817</v>
      </c>
      <c r="B2653" s="197">
        <v>2041</v>
      </c>
      <c r="C2653" s="213" t="s">
        <v>5808</v>
      </c>
      <c r="D2653" s="239">
        <v>4.3502245481084421E-3</v>
      </c>
      <c r="E2653" s="226">
        <v>2.3996830685698176E-2</v>
      </c>
      <c r="F2653" s="226">
        <v>6.3240656451330065E-4</v>
      </c>
      <c r="G2653" s="227">
        <v>5.8177460426194166E-4</v>
      </c>
      <c r="H2653" s="226">
        <v>2.0000005732018758E-3</v>
      </c>
      <c r="I2653" s="255">
        <v>3.2062563018749402E-3</v>
      </c>
      <c r="J2653" s="256">
        <v>7.7025137780279531E-6</v>
      </c>
      <c r="K2653" s="257">
        <v>8.0507872716717015E-6</v>
      </c>
      <c r="L2653" s="228">
        <v>3.0585718850536663E-2</v>
      </c>
    </row>
    <row r="2654" spans="1:12" s="212" customFormat="1" ht="15.5" x14ac:dyDescent="0.35">
      <c r="A2654" s="198" t="s">
        <v>817</v>
      </c>
      <c r="B2654" s="197">
        <v>2042</v>
      </c>
      <c r="C2654" s="213" t="s">
        <v>5809</v>
      </c>
      <c r="D2654" s="239">
        <v>4.1972755163835274E-3</v>
      </c>
      <c r="E2654" s="226">
        <v>2.3345230408008764E-2</v>
      </c>
      <c r="F2654" s="226">
        <v>6.1438910541325041E-4</v>
      </c>
      <c r="G2654" s="227">
        <v>5.6520084350640402E-4</v>
      </c>
      <c r="H2654" s="226">
        <v>2.0000005732018801E-3</v>
      </c>
      <c r="I2654" s="255">
        <v>3.20608438430306E-3</v>
      </c>
      <c r="J2654" s="256">
        <v>7.5133032127839433E-6</v>
      </c>
      <c r="K2654" s="257">
        <v>7.8530214442768005E-6</v>
      </c>
      <c r="L2654" s="228">
        <v>3.0450531313004094E-2</v>
      </c>
    </row>
    <row r="2655" spans="1:12" s="212" customFormat="1" ht="15.5" x14ac:dyDescent="0.35">
      <c r="A2655" s="198" t="s">
        <v>817</v>
      </c>
      <c r="B2655" s="197">
        <v>2043</v>
      </c>
      <c r="C2655" s="213" t="s">
        <v>5810</v>
      </c>
      <c r="D2655" s="239">
        <v>4.0768849153655909E-3</v>
      </c>
      <c r="E2655" s="226">
        <v>2.2781149401316089E-2</v>
      </c>
      <c r="F2655" s="226">
        <v>5.9908236431534994E-4</v>
      </c>
      <c r="G2655" s="227">
        <v>5.5112083655729793E-4</v>
      </c>
      <c r="H2655" s="226">
        <v>2.0000005732018797E-3</v>
      </c>
      <c r="I2655" s="255">
        <v>3.2058445984663145E-3</v>
      </c>
      <c r="J2655" s="256">
        <v>7.3587067159186388E-6</v>
      </c>
      <c r="K2655" s="257">
        <v>7.6914347798350303E-6</v>
      </c>
      <c r="L2655" s="228">
        <v>3.0338460659370705E-2</v>
      </c>
    </row>
    <row r="2656" spans="1:12" s="212" customFormat="1" ht="15.5" x14ac:dyDescent="0.35">
      <c r="A2656" s="198" t="s">
        <v>817</v>
      </c>
      <c r="B2656" s="197">
        <v>2044</v>
      </c>
      <c r="C2656" s="213" t="s">
        <v>5811</v>
      </c>
      <c r="D2656" s="239">
        <v>3.9801870479067606E-3</v>
      </c>
      <c r="E2656" s="226">
        <v>2.2230226658280946E-2</v>
      </c>
      <c r="F2656" s="226">
        <v>5.8602345124485211E-4</v>
      </c>
      <c r="G2656" s="227">
        <v>5.3910863470534758E-4</v>
      </c>
      <c r="H2656" s="226">
        <v>2.0000005732018771E-3</v>
      </c>
      <c r="I2656" s="255">
        <v>3.205503911352462E-3</v>
      </c>
      <c r="J2656" s="256">
        <v>7.230037452463688E-6</v>
      </c>
      <c r="K2656" s="257">
        <v>7.556947663248064E-6</v>
      </c>
      <c r="L2656" s="228">
        <v>3.0243229006554306E-2</v>
      </c>
    </row>
    <row r="2657" spans="1:12" s="212" customFormat="1" ht="15.5" x14ac:dyDescent="0.35">
      <c r="A2657" s="198" t="s">
        <v>817</v>
      </c>
      <c r="B2657" s="197">
        <v>2045</v>
      </c>
      <c r="C2657" s="213" t="s">
        <v>5812</v>
      </c>
      <c r="D2657" s="239">
        <v>3.9073815481982018E-3</v>
      </c>
      <c r="E2657" s="226">
        <v>2.1708420385457894E-2</v>
      </c>
      <c r="F2657" s="226">
        <v>5.7488807745244817E-4</v>
      </c>
      <c r="G2657" s="227">
        <v>5.2886633478995315E-4</v>
      </c>
      <c r="H2657" s="226">
        <v>2.0000005732018805E-3</v>
      </c>
      <c r="I2657" s="255">
        <v>3.2050893137444488E-3</v>
      </c>
      <c r="J2657" s="256">
        <v>7.1341833643350723E-6</v>
      </c>
      <c r="K2657" s="257">
        <v>7.4567594786004761E-6</v>
      </c>
      <c r="L2657" s="228">
        <v>3.0162320977510135E-2</v>
      </c>
    </row>
    <row r="2658" spans="1:12" s="212" customFormat="1" ht="15.5" x14ac:dyDescent="0.35">
      <c r="A2658" s="198" t="s">
        <v>817</v>
      </c>
      <c r="B2658" s="197">
        <v>2046</v>
      </c>
      <c r="C2658" s="213" t="s">
        <v>5813</v>
      </c>
      <c r="D2658" s="239">
        <v>3.8401144822601831E-3</v>
      </c>
      <c r="E2658" s="226">
        <v>2.1225945484073552E-2</v>
      </c>
      <c r="F2658" s="226">
        <v>5.6558491666109864E-4</v>
      </c>
      <c r="G2658" s="227">
        <v>5.2030949103285093E-4</v>
      </c>
      <c r="H2658" s="226">
        <v>2.0000005732018801E-3</v>
      </c>
      <c r="I2658" s="255">
        <v>3.204639252898064E-3</v>
      </c>
      <c r="J2658" s="256">
        <v>7.0589626588343312E-6</v>
      </c>
      <c r="K2658" s="257">
        <v>7.3781376265839492E-6</v>
      </c>
      <c r="L2658" s="228">
        <v>3.0093981951020633E-2</v>
      </c>
    </row>
    <row r="2659" spans="1:12" s="212" customFormat="1" ht="15.5" x14ac:dyDescent="0.35">
      <c r="A2659" s="198" t="s">
        <v>817</v>
      </c>
      <c r="B2659" s="197">
        <v>2047</v>
      </c>
      <c r="C2659" s="213" t="s">
        <v>5814</v>
      </c>
      <c r="D2659" s="239">
        <v>3.7783352244998292E-3</v>
      </c>
      <c r="E2659" s="226">
        <v>2.0779004978533119E-2</v>
      </c>
      <c r="F2659" s="226">
        <v>5.5779016234661549E-4</v>
      </c>
      <c r="G2659" s="227">
        <v>5.1314002790817798E-4</v>
      </c>
      <c r="H2659" s="226">
        <v>2.0000005732018797E-3</v>
      </c>
      <c r="I2659" s="255">
        <v>3.2041660324750028E-3</v>
      </c>
      <c r="J2659" s="256">
        <v>6.9954596825784713E-6</v>
      </c>
      <c r="K2659" s="257">
        <v>7.3117633275320685E-6</v>
      </c>
      <c r="L2659" s="228">
        <v>3.0038046971092223E-2</v>
      </c>
    </row>
    <row r="2660" spans="1:12" s="212" customFormat="1" ht="15.5" x14ac:dyDescent="0.35">
      <c r="A2660" s="198" t="s">
        <v>817</v>
      </c>
      <c r="B2660" s="197">
        <v>2048</v>
      </c>
      <c r="C2660" s="213" t="s">
        <v>5815</v>
      </c>
      <c r="D2660" s="239">
        <v>3.7250017829760056E-3</v>
      </c>
      <c r="E2660" s="226">
        <v>2.0395367125884637E-2</v>
      </c>
      <c r="F2660" s="226">
        <v>5.5121949905707728E-4</v>
      </c>
      <c r="G2660" s="227">
        <v>5.0709647741051071E-4</v>
      </c>
      <c r="H2660" s="226">
        <v>2.0000005732018801E-3</v>
      </c>
      <c r="I2660" s="255">
        <v>3.2036666511118463E-3</v>
      </c>
      <c r="J2660" s="256">
        <v>6.9423798120840086E-6</v>
      </c>
      <c r="K2660" s="257">
        <v>7.256283420832286E-6</v>
      </c>
      <c r="L2660" s="228">
        <v>2.9990787272573937E-2</v>
      </c>
    </row>
    <row r="2661" spans="1:12" s="212" customFormat="1" ht="15.5" x14ac:dyDescent="0.35">
      <c r="A2661" s="198" t="s">
        <v>817</v>
      </c>
      <c r="B2661" s="197">
        <v>2049</v>
      </c>
      <c r="C2661" s="213" t="s">
        <v>5816</v>
      </c>
      <c r="D2661" s="239">
        <v>3.714971611922436E-3</v>
      </c>
      <c r="E2661" s="226">
        <v>2.0363343629295504E-2</v>
      </c>
      <c r="F2661" s="226">
        <v>5.4733659121554575E-4</v>
      </c>
      <c r="G2661" s="227">
        <v>5.0352471610366355E-4</v>
      </c>
      <c r="H2661" s="226">
        <v>2.0000005732018797E-3</v>
      </c>
      <c r="I2661" s="255">
        <v>3.2031423041472018E-3</v>
      </c>
      <c r="J2661" s="256">
        <v>6.9020625743948532E-6</v>
      </c>
      <c r="K2661" s="257">
        <v>7.2141432165599169E-6</v>
      </c>
      <c r="L2661" s="228">
        <v>2.9951455384951628E-2</v>
      </c>
    </row>
    <row r="2662" spans="1:12" s="212" customFormat="1" ht="16" thickBot="1" x14ac:dyDescent="0.4">
      <c r="A2662" s="214" t="s">
        <v>817</v>
      </c>
      <c r="B2662" s="215">
        <v>2050</v>
      </c>
      <c r="C2662" s="216" t="s">
        <v>5817</v>
      </c>
      <c r="D2662" s="242">
        <v>3.7074651849944894E-3</v>
      </c>
      <c r="E2662" s="231">
        <v>2.0337901512258068E-2</v>
      </c>
      <c r="F2662" s="231">
        <v>5.4403103843466034E-4</v>
      </c>
      <c r="G2662" s="232">
        <v>5.0047861667116493E-4</v>
      </c>
      <c r="H2662" s="231">
        <v>2.0000005732018805E-3</v>
      </c>
      <c r="I2662" s="258">
        <v>3.202687064476194E-3</v>
      </c>
      <c r="J2662" s="259">
        <v>6.7284186108977874E-6</v>
      </c>
      <c r="K2662" s="260">
        <v>7.0326478435671879E-6</v>
      </c>
      <c r="L2662" s="233">
        <v>2.9918840159061304E-2</v>
      </c>
    </row>
  </sheetData>
  <hyperlinks>
    <hyperlink ref="A25" r:id="rId1" tooltip="EMFAC2021 Database" xr:uid="{1697FCDD-96DC-4BA9-993C-85457E0D9EAF}"/>
  </hyperlinks>
  <pageMargins left="0.7" right="0.7" top="0.75" bottom="0.75" header="0.3" footer="0.3"/>
  <pageSetup scale="59" orientation="portrait" r:id="rId2"/>
  <headerFooter>
    <oddFooter>&amp;L&amp;"Avenir LT Std 55 Roman,Regular"&amp;12December 30, 2020&amp;C&amp;"Avenir LT Std 55 Roman,Regular"&amp;12&amp;P of &amp;N&amp;R&amp;"Avenir LT Std 55 Roman,Regular"&amp;12&amp;A</oddFooter>
  </headerFooter>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theme="1"/>
  </sheetPr>
  <dimension ref="A1:V2316"/>
  <sheetViews>
    <sheetView showGridLines="0" zoomScaleNormal="100" zoomScalePageLayoutView="70" workbookViewId="0">
      <selection activeCell="D69" sqref="D69"/>
    </sheetView>
  </sheetViews>
  <sheetFormatPr defaultColWidth="9.08984375" defaultRowHeight="14" x14ac:dyDescent="0.3"/>
  <cols>
    <col min="1" max="3" width="12.453125" style="186" customWidth="1"/>
    <col min="4" max="4" width="21" style="186" customWidth="1"/>
    <col min="5" max="15" width="16.453125" style="186" customWidth="1"/>
    <col min="16" max="16" width="13.453125" style="186" bestFit="1" customWidth="1"/>
    <col min="17" max="22" width="16.453125" style="186" customWidth="1"/>
    <col min="23" max="16384" width="9.08984375" style="186"/>
  </cols>
  <sheetData>
    <row r="1" spans="1:22" ht="15" customHeight="1" x14ac:dyDescent="0.3">
      <c r="A1" s="168"/>
      <c r="B1" s="168"/>
      <c r="C1" s="168"/>
      <c r="D1" s="168"/>
      <c r="E1" s="168"/>
      <c r="F1" s="168"/>
      <c r="G1" s="168"/>
      <c r="H1" s="168"/>
      <c r="I1" s="168"/>
      <c r="J1" s="168"/>
      <c r="K1" s="168"/>
      <c r="L1" s="168"/>
      <c r="M1" s="168"/>
      <c r="N1" s="168"/>
      <c r="O1" s="168"/>
      <c r="P1" s="168"/>
      <c r="Q1" s="168"/>
      <c r="R1" s="168"/>
      <c r="S1" s="168"/>
      <c r="T1" s="168"/>
      <c r="U1" s="168"/>
      <c r="V1" s="168"/>
    </row>
    <row r="2" spans="1:22" ht="15" customHeight="1" x14ac:dyDescent="0.35">
      <c r="A2" s="261"/>
      <c r="B2" s="261"/>
      <c r="C2" s="261"/>
      <c r="D2" s="261"/>
      <c r="E2" s="261"/>
      <c r="F2" s="117"/>
      <c r="G2" s="117"/>
      <c r="H2" s="117"/>
      <c r="I2" s="117"/>
      <c r="J2" s="117"/>
      <c r="K2" s="117"/>
    </row>
    <row r="3" spans="1:22" ht="20.5" x14ac:dyDescent="0.3">
      <c r="A3" s="168"/>
      <c r="B3" s="168"/>
      <c r="C3" s="168"/>
      <c r="D3" s="168"/>
      <c r="E3" s="168"/>
      <c r="F3" s="168"/>
      <c r="G3" s="168"/>
      <c r="H3" s="168"/>
      <c r="I3" s="168"/>
      <c r="J3" s="168"/>
      <c r="K3" s="168"/>
      <c r="L3" s="168"/>
      <c r="M3" s="168"/>
      <c r="N3" s="168"/>
      <c r="O3" s="168"/>
      <c r="P3" s="168"/>
      <c r="Q3" s="168"/>
      <c r="R3" s="168"/>
      <c r="S3" s="168"/>
      <c r="T3" s="168"/>
      <c r="U3" s="168"/>
      <c r="V3" s="168"/>
    </row>
    <row r="4" spans="1:22" ht="20.5" x14ac:dyDescent="0.3">
      <c r="A4" s="170"/>
      <c r="B4" s="170"/>
      <c r="C4" s="170"/>
      <c r="D4" s="170"/>
      <c r="E4" s="170"/>
      <c r="F4" s="170"/>
      <c r="G4" s="170"/>
      <c r="H4" s="170"/>
      <c r="I4" s="170"/>
      <c r="J4" s="170"/>
      <c r="K4" s="170"/>
      <c r="L4" s="170"/>
      <c r="M4" s="170"/>
      <c r="N4" s="170"/>
      <c r="O4" s="170"/>
      <c r="P4" s="170"/>
      <c r="Q4" s="170"/>
      <c r="R4" s="170"/>
      <c r="S4" s="170"/>
      <c r="T4" s="170"/>
      <c r="U4" s="170"/>
      <c r="V4" s="170"/>
    </row>
    <row r="5" spans="1:22" ht="15" customHeight="1" x14ac:dyDescent="0.35">
      <c r="A5" s="261"/>
      <c r="B5" s="261"/>
      <c r="C5" s="261"/>
      <c r="D5" s="261"/>
      <c r="E5" s="261"/>
      <c r="F5" s="117"/>
      <c r="G5" s="117"/>
      <c r="H5" s="117"/>
      <c r="I5" s="117"/>
      <c r="J5" s="117"/>
      <c r="K5" s="117"/>
    </row>
    <row r="6" spans="1:22" ht="15" customHeight="1" x14ac:dyDescent="0.3">
      <c r="A6" s="168"/>
      <c r="B6" s="168"/>
      <c r="C6" s="168"/>
      <c r="D6" s="168"/>
      <c r="E6" s="168"/>
      <c r="F6" s="168"/>
      <c r="G6" s="168"/>
      <c r="H6" s="168"/>
      <c r="I6" s="168"/>
      <c r="J6" s="168"/>
      <c r="K6" s="168"/>
      <c r="L6" s="168"/>
      <c r="M6" s="168"/>
      <c r="N6" s="168"/>
      <c r="O6" s="168"/>
      <c r="P6" s="168"/>
      <c r="Q6" s="168"/>
      <c r="R6" s="168"/>
      <c r="S6" s="168"/>
      <c r="T6" s="168"/>
      <c r="U6" s="168"/>
      <c r="V6" s="168"/>
    </row>
    <row r="7" spans="1:22" ht="15" customHeight="1" x14ac:dyDescent="0.3">
      <c r="A7" s="171"/>
      <c r="B7" s="171"/>
      <c r="C7" s="171"/>
      <c r="D7" s="171"/>
      <c r="E7" s="171"/>
      <c r="F7" s="171"/>
      <c r="G7" s="171"/>
      <c r="H7" s="171"/>
      <c r="I7" s="171"/>
      <c r="J7" s="171"/>
      <c r="K7" s="171"/>
    </row>
    <row r="8" spans="1:22" ht="15" customHeight="1" x14ac:dyDescent="0.3">
      <c r="A8" s="171"/>
      <c r="B8" s="171"/>
      <c r="C8" s="171"/>
      <c r="D8" s="171"/>
      <c r="E8" s="171"/>
      <c r="F8" s="171"/>
      <c r="G8" s="171"/>
      <c r="H8" s="171"/>
      <c r="I8" s="171"/>
      <c r="J8" s="171"/>
      <c r="K8" s="171"/>
    </row>
    <row r="9" spans="1:22" ht="15" customHeight="1" x14ac:dyDescent="0.3">
      <c r="A9" s="172"/>
      <c r="B9" s="171"/>
      <c r="C9" s="171"/>
      <c r="D9" s="171"/>
      <c r="E9" s="171"/>
      <c r="F9" s="171"/>
      <c r="G9" s="171"/>
      <c r="H9" s="171"/>
      <c r="I9" s="171"/>
      <c r="J9" s="171"/>
      <c r="K9" s="171"/>
    </row>
    <row r="10" spans="1:22" ht="15" customHeight="1" thickBot="1" x14ac:dyDescent="0.35">
      <c r="A10" s="171"/>
      <c r="B10" s="171"/>
      <c r="C10" s="171"/>
      <c r="D10" s="171"/>
      <c r="E10" s="171"/>
      <c r="F10" s="171"/>
      <c r="G10" s="171"/>
      <c r="H10" s="171"/>
      <c r="I10" s="171"/>
      <c r="J10" s="171"/>
      <c r="K10" s="171"/>
    </row>
    <row r="11" spans="1:22" ht="15.5" x14ac:dyDescent="0.35">
      <c r="A11" s="656" t="s">
        <v>5818</v>
      </c>
      <c r="B11" s="657"/>
      <c r="C11" s="657"/>
      <c r="D11" s="657"/>
      <c r="E11" s="657"/>
      <c r="F11" s="657"/>
      <c r="G11" s="657"/>
      <c r="H11" s="657"/>
      <c r="I11" s="657"/>
      <c r="J11" s="657"/>
      <c r="K11" s="657"/>
      <c r="L11" s="657"/>
      <c r="M11" s="657"/>
      <c r="N11" s="657"/>
      <c r="O11" s="657"/>
      <c r="P11" s="657"/>
      <c r="Q11" s="657"/>
      <c r="R11" s="657"/>
      <c r="S11" s="657"/>
      <c r="T11" s="657"/>
      <c r="U11" s="657"/>
      <c r="V11" s="658"/>
    </row>
    <row r="12" spans="1:22" ht="15.5" x14ac:dyDescent="0.35">
      <c r="A12" s="542" t="s">
        <v>748</v>
      </c>
      <c r="B12" s="543"/>
      <c r="C12" s="543"/>
      <c r="D12" s="543"/>
      <c r="E12" s="543"/>
      <c r="F12" s="543"/>
      <c r="G12" s="543"/>
      <c r="H12" s="543"/>
      <c r="I12" s="543"/>
      <c r="J12" s="543"/>
      <c r="K12" s="543"/>
      <c r="L12" s="543"/>
      <c r="M12" s="543"/>
      <c r="N12" s="543"/>
      <c r="O12" s="543"/>
      <c r="P12" s="543"/>
      <c r="Q12" s="543"/>
      <c r="R12" s="543"/>
      <c r="S12" s="543"/>
      <c r="T12" s="543"/>
      <c r="U12" s="543"/>
      <c r="V12" s="544"/>
    </row>
    <row r="13" spans="1:22" ht="15.5" x14ac:dyDescent="0.35">
      <c r="A13" s="174" t="s">
        <v>976</v>
      </c>
      <c r="B13" s="175"/>
      <c r="C13" s="175"/>
      <c r="D13" s="175"/>
      <c r="E13" s="175"/>
      <c r="F13" s="175"/>
      <c r="G13" s="175"/>
      <c r="H13" s="175"/>
      <c r="I13" s="175"/>
      <c r="J13" s="175"/>
      <c r="K13" s="175"/>
      <c r="V13" s="203"/>
    </row>
    <row r="14" spans="1:22" ht="15.5" x14ac:dyDescent="0.35">
      <c r="A14" s="177" t="s">
        <v>977</v>
      </c>
      <c r="B14" s="175"/>
      <c r="C14" s="175"/>
      <c r="D14" s="175"/>
      <c r="E14" s="175"/>
      <c r="F14" s="175"/>
      <c r="G14" s="175"/>
      <c r="H14" s="175"/>
      <c r="I14" s="175"/>
      <c r="J14" s="175"/>
      <c r="K14" s="175"/>
      <c r="V14" s="203"/>
    </row>
    <row r="15" spans="1:22" ht="15.5" x14ac:dyDescent="0.35">
      <c r="A15" s="177" t="s">
        <v>978</v>
      </c>
      <c r="B15" s="175"/>
      <c r="C15" s="175"/>
      <c r="D15" s="175"/>
      <c r="E15" s="175"/>
      <c r="F15" s="175"/>
      <c r="G15" s="175"/>
      <c r="H15" s="175"/>
      <c r="I15" s="175"/>
      <c r="J15" s="175"/>
      <c r="K15" s="175"/>
      <c r="V15" s="203"/>
    </row>
    <row r="16" spans="1:22" ht="15.75" customHeight="1" x14ac:dyDescent="0.35">
      <c r="A16" s="177" t="s">
        <v>979</v>
      </c>
      <c r="B16" s="178"/>
      <c r="C16" s="178"/>
      <c r="D16" s="178"/>
      <c r="E16" s="178"/>
      <c r="F16" s="178"/>
      <c r="G16" s="178"/>
      <c r="H16" s="178"/>
      <c r="I16" s="178"/>
      <c r="J16" s="178"/>
      <c r="K16" s="178"/>
      <c r="L16" s="178"/>
      <c r="M16" s="178"/>
      <c r="N16" s="178"/>
      <c r="O16" s="178"/>
      <c r="P16" s="178"/>
      <c r="Q16" s="178"/>
      <c r="R16" s="178"/>
      <c r="S16" s="178"/>
      <c r="T16" s="178"/>
      <c r="U16" s="178"/>
      <c r="V16" s="655"/>
    </row>
    <row r="17" spans="1:22" ht="15.5" x14ac:dyDescent="0.35">
      <c r="A17" s="177" t="s">
        <v>980</v>
      </c>
      <c r="B17" s="175"/>
      <c r="C17" s="175"/>
      <c r="D17" s="175"/>
      <c r="E17" s="175"/>
      <c r="F17" s="175"/>
      <c r="G17" s="175"/>
      <c r="H17" s="175"/>
      <c r="I17" s="175"/>
      <c r="J17" s="175"/>
      <c r="K17" s="175"/>
      <c r="V17" s="203"/>
    </row>
    <row r="18" spans="1:22" ht="15.5" x14ac:dyDescent="0.35">
      <c r="A18" s="1171" t="s">
        <v>981</v>
      </c>
      <c r="B18" s="175"/>
      <c r="C18" s="175"/>
      <c r="D18" s="175"/>
      <c r="E18" s="175"/>
      <c r="F18" s="175"/>
      <c r="G18" s="175"/>
      <c r="H18" s="175"/>
      <c r="I18" s="175"/>
      <c r="J18" s="175"/>
      <c r="K18" s="175"/>
      <c r="V18" s="203"/>
    </row>
    <row r="19" spans="1:22" ht="15.5" x14ac:dyDescent="0.35">
      <c r="A19" s="96" t="s">
        <v>982</v>
      </c>
      <c r="B19" s="175"/>
      <c r="C19" s="175"/>
      <c r="D19" s="175"/>
      <c r="E19" s="175"/>
      <c r="F19" s="175"/>
      <c r="G19" s="175"/>
      <c r="H19" s="175"/>
      <c r="I19" s="175"/>
      <c r="J19" s="175"/>
      <c r="K19" s="175"/>
      <c r="V19" s="203"/>
    </row>
    <row r="20" spans="1:22" ht="15.5" x14ac:dyDescent="0.35">
      <c r="A20" s="177" t="s">
        <v>983</v>
      </c>
      <c r="B20" s="175"/>
      <c r="C20" s="175"/>
      <c r="D20" s="175"/>
      <c r="E20" s="175"/>
      <c r="F20" s="175"/>
      <c r="G20" s="175"/>
      <c r="H20" s="175"/>
      <c r="I20" s="175"/>
      <c r="J20" s="175"/>
      <c r="K20" s="175"/>
      <c r="V20" s="203"/>
    </row>
    <row r="21" spans="1:22" ht="15.5" x14ac:dyDescent="0.35">
      <c r="A21" s="177" t="s">
        <v>984</v>
      </c>
      <c r="B21" s="175"/>
      <c r="C21" s="175"/>
      <c r="D21" s="175"/>
      <c r="E21" s="175"/>
      <c r="F21" s="175"/>
      <c r="G21" s="175"/>
      <c r="H21" s="175"/>
      <c r="I21" s="175"/>
      <c r="J21" s="175"/>
      <c r="K21" s="175"/>
      <c r="V21" s="203"/>
    </row>
    <row r="22" spans="1:22" ht="15.5" x14ac:dyDescent="0.35">
      <c r="A22" s="177" t="s">
        <v>5819</v>
      </c>
      <c r="B22" s="175"/>
      <c r="C22" s="175"/>
      <c r="D22" s="175"/>
      <c r="E22" s="175"/>
      <c r="F22" s="175"/>
      <c r="G22" s="175"/>
      <c r="H22" s="175"/>
      <c r="I22" s="175"/>
      <c r="J22" s="175"/>
      <c r="K22" s="175"/>
      <c r="V22" s="203"/>
    </row>
    <row r="23" spans="1:22" ht="15.5" x14ac:dyDescent="0.3">
      <c r="A23" s="179" t="s">
        <v>767</v>
      </c>
      <c r="B23" s="180"/>
      <c r="C23" s="180"/>
      <c r="D23" s="180"/>
      <c r="E23" s="180"/>
      <c r="F23" s="180"/>
      <c r="G23" s="180"/>
      <c r="H23" s="180"/>
      <c r="I23" s="180"/>
      <c r="J23" s="180"/>
      <c r="K23" s="180"/>
      <c r="V23" s="203"/>
    </row>
    <row r="24" spans="1:22" ht="16" thickBot="1" x14ac:dyDescent="0.4">
      <c r="A24" s="182" t="s">
        <v>768</v>
      </c>
      <c r="B24" s="183"/>
      <c r="C24" s="183"/>
      <c r="D24" s="183"/>
      <c r="E24" s="183"/>
      <c r="F24" s="183"/>
      <c r="G24" s="183"/>
      <c r="H24" s="183"/>
      <c r="I24" s="183"/>
      <c r="J24" s="183"/>
      <c r="K24" s="183"/>
      <c r="L24" s="204"/>
      <c r="M24" s="204"/>
      <c r="N24" s="204"/>
      <c r="O24" s="204"/>
      <c r="P24" s="204"/>
      <c r="Q24" s="204"/>
      <c r="R24" s="204"/>
      <c r="S24" s="204"/>
      <c r="T24" s="204"/>
      <c r="U24" s="204"/>
      <c r="V24" s="205"/>
    </row>
    <row r="25" spans="1:22" ht="15.5" x14ac:dyDescent="0.35">
      <c r="A25" s="185"/>
      <c r="B25" s="175"/>
      <c r="C25" s="175"/>
      <c r="D25" s="175"/>
      <c r="E25" s="175"/>
      <c r="F25" s="175"/>
      <c r="G25" s="175"/>
      <c r="H25" s="175"/>
      <c r="I25" s="175"/>
      <c r="J25" s="175"/>
      <c r="K25" s="175"/>
    </row>
    <row r="26" spans="1:22" ht="17.5" x14ac:dyDescent="0.3">
      <c r="A26" s="541" t="s">
        <v>5820</v>
      </c>
      <c r="B26" s="541"/>
      <c r="C26" s="541"/>
      <c r="D26" s="541"/>
      <c r="E26" s="541"/>
      <c r="F26" s="541"/>
      <c r="G26" s="541"/>
      <c r="H26" s="541"/>
      <c r="I26" s="541"/>
      <c r="J26" s="541"/>
      <c r="K26" s="541"/>
      <c r="L26" s="541"/>
      <c r="M26" s="541"/>
      <c r="N26" s="541"/>
      <c r="O26" s="541"/>
      <c r="P26" s="541"/>
      <c r="Q26" s="541"/>
      <c r="R26" s="541"/>
      <c r="S26" s="541"/>
      <c r="T26" s="541"/>
      <c r="U26" s="541"/>
      <c r="V26" s="541"/>
    </row>
    <row r="27" spans="1:22" ht="14.5" thickBot="1" x14ac:dyDescent="0.35"/>
    <row r="28" spans="1:22" s="212" customFormat="1" ht="46.5" x14ac:dyDescent="0.45">
      <c r="A28" s="561" t="s">
        <v>3293</v>
      </c>
      <c r="B28" s="562" t="s">
        <v>5821</v>
      </c>
      <c r="C28" s="562" t="s">
        <v>119</v>
      </c>
      <c r="D28" s="563" t="s">
        <v>988</v>
      </c>
      <c r="E28" s="666" t="s">
        <v>5822</v>
      </c>
      <c r="F28" s="667" t="s">
        <v>5822</v>
      </c>
      <c r="G28" s="667" t="s">
        <v>5822</v>
      </c>
      <c r="H28" s="666" t="s">
        <v>5823</v>
      </c>
      <c r="I28" s="667" t="s">
        <v>5824</v>
      </c>
      <c r="J28" s="667" t="s">
        <v>5824</v>
      </c>
      <c r="K28" s="666" t="s">
        <v>5825</v>
      </c>
      <c r="L28" s="667" t="s">
        <v>5826</v>
      </c>
      <c r="M28" s="667" t="s">
        <v>5826</v>
      </c>
      <c r="N28" s="666" t="s">
        <v>5827</v>
      </c>
      <c r="O28" s="668" t="s">
        <v>5828</v>
      </c>
      <c r="P28" s="668" t="s">
        <v>5828</v>
      </c>
      <c r="Q28" s="667" t="s">
        <v>5828</v>
      </c>
      <c r="R28" s="666" t="s">
        <v>5829</v>
      </c>
      <c r="S28" s="668" t="s">
        <v>5830</v>
      </c>
      <c r="T28" s="668" t="s">
        <v>5830</v>
      </c>
      <c r="U28" s="669" t="s">
        <v>5830</v>
      </c>
      <c r="V28" s="659" t="s">
        <v>5831</v>
      </c>
    </row>
    <row r="29" spans="1:22" s="212" customFormat="1" ht="15" customHeight="1" thickBot="1" x14ac:dyDescent="0.4">
      <c r="A29" s="660"/>
      <c r="B29" s="661"/>
      <c r="C29" s="661"/>
      <c r="D29" s="662"/>
      <c r="E29" s="1312" t="s">
        <v>739</v>
      </c>
      <c r="F29" s="1319" t="s">
        <v>992</v>
      </c>
      <c r="G29" s="1313" t="s">
        <v>993</v>
      </c>
      <c r="H29" s="1312" t="s">
        <v>739</v>
      </c>
      <c r="I29" s="1314" t="s">
        <v>992</v>
      </c>
      <c r="J29" s="1315" t="s">
        <v>993</v>
      </c>
      <c r="K29" s="1312" t="s">
        <v>739</v>
      </c>
      <c r="L29" s="1316" t="s">
        <v>992</v>
      </c>
      <c r="M29" s="1317" t="s">
        <v>993</v>
      </c>
      <c r="N29" s="1312" t="s">
        <v>739</v>
      </c>
      <c r="O29" s="1318" t="s">
        <v>992</v>
      </c>
      <c r="P29" s="1318" t="s">
        <v>993</v>
      </c>
      <c r="Q29" s="1319" t="s">
        <v>5832</v>
      </c>
      <c r="R29" s="1312" t="s">
        <v>739</v>
      </c>
      <c r="S29" s="1319" t="s">
        <v>992</v>
      </c>
      <c r="T29" s="1313" t="s">
        <v>993</v>
      </c>
      <c r="U29" s="1320" t="s">
        <v>5832</v>
      </c>
      <c r="V29" s="1321" t="s">
        <v>739</v>
      </c>
    </row>
    <row r="30" spans="1:22" s="212" customFormat="1" ht="15.5" x14ac:dyDescent="0.35">
      <c r="A30" s="194">
        <v>2015</v>
      </c>
      <c r="B30" s="195" t="s">
        <v>5833</v>
      </c>
      <c r="C30" s="195">
        <v>1971</v>
      </c>
      <c r="D30" s="234" t="str">
        <f>CONCATENATE(A30,"_",C30)</f>
        <v>2015_1971</v>
      </c>
      <c r="E30" s="1220">
        <v>0.24855116447681599</v>
      </c>
      <c r="F30" s="1309">
        <v>3.0704165111889599</v>
      </c>
      <c r="G30" s="1310">
        <v>0.58654675365231701</v>
      </c>
      <c r="H30" s="1325">
        <v>22.508806147725299</v>
      </c>
      <c r="I30" s="1309">
        <v>13.077591048057499</v>
      </c>
      <c r="J30" s="1310">
        <v>8.2070814217501393</v>
      </c>
      <c r="K30" s="1325">
        <v>2.80478097588438E-2</v>
      </c>
      <c r="L30" s="1309">
        <v>2.93848535954564E-3</v>
      </c>
      <c r="M30" s="1310">
        <v>1.38784834717535E-2</v>
      </c>
      <c r="N30" s="1325">
        <v>9.0000025837844201E-3</v>
      </c>
      <c r="O30" s="1309">
        <v>3.0000008598028201E-3</v>
      </c>
      <c r="P30" s="1309">
        <v>3.0000008610028199E-3</v>
      </c>
      <c r="Q30" s="1310">
        <v>9.0000025837844201E-3</v>
      </c>
      <c r="R30" s="1325">
        <v>3.8500011034136201E-2</v>
      </c>
      <c r="S30" s="1309">
        <v>3.8500011034136201E-2</v>
      </c>
      <c r="T30" s="1309">
        <v>3.8500011034136201E-2</v>
      </c>
      <c r="U30" s="1310">
        <v>1.9250005517068101E-2</v>
      </c>
      <c r="V30" s="1323">
        <v>2.9316007255826199E-2</v>
      </c>
    </row>
    <row r="31" spans="1:22" s="212" customFormat="1" ht="15.5" x14ac:dyDescent="0.35">
      <c r="A31" s="194">
        <v>2015</v>
      </c>
      <c r="B31" s="195" t="s">
        <v>5833</v>
      </c>
      <c r="C31" s="197">
        <v>1972</v>
      </c>
      <c r="D31" s="234" t="s">
        <v>996</v>
      </c>
      <c r="E31" s="1226">
        <v>0.24855116447681599</v>
      </c>
      <c r="F31" s="1257">
        <v>3.0704165111889599</v>
      </c>
      <c r="G31" s="1280">
        <v>0.58654675365231701</v>
      </c>
      <c r="H31" s="1271">
        <v>22.508806147725299</v>
      </c>
      <c r="I31" s="1257">
        <v>13.077591048057499</v>
      </c>
      <c r="J31" s="1280">
        <v>8.2070814217501393</v>
      </c>
      <c r="K31" s="1271">
        <v>2.80478097588438E-2</v>
      </c>
      <c r="L31" s="1257">
        <v>2.93848535954564E-3</v>
      </c>
      <c r="M31" s="1280">
        <v>1.38784834717535E-2</v>
      </c>
      <c r="N31" s="1271">
        <v>9.0000025837844201E-3</v>
      </c>
      <c r="O31" s="1257">
        <v>3.0000008598028201E-3</v>
      </c>
      <c r="P31" s="1257">
        <v>3.0000008610028199E-3</v>
      </c>
      <c r="Q31" s="1280">
        <v>9.0000025837844201E-3</v>
      </c>
      <c r="R31" s="1271">
        <v>3.8500011034136201E-2</v>
      </c>
      <c r="S31" s="1257">
        <v>3.8500011034136201E-2</v>
      </c>
      <c r="T31" s="1257">
        <v>3.8500011034136201E-2</v>
      </c>
      <c r="U31" s="1280">
        <v>1.9250005517068101E-2</v>
      </c>
      <c r="V31" s="1293">
        <v>2.9316007255826199E-2</v>
      </c>
    </row>
    <row r="32" spans="1:22" s="212" customFormat="1" ht="15.5" x14ac:dyDescent="0.35">
      <c r="A32" s="194">
        <v>2015</v>
      </c>
      <c r="B32" s="195" t="s">
        <v>5833</v>
      </c>
      <c r="C32" s="197">
        <v>1973</v>
      </c>
      <c r="D32" s="234" t="s">
        <v>997</v>
      </c>
      <c r="E32" s="1226">
        <v>0.24855116447681599</v>
      </c>
      <c r="F32" s="1257">
        <v>3.0704165111889599</v>
      </c>
      <c r="G32" s="1280">
        <v>0.58654675365231701</v>
      </c>
      <c r="H32" s="1271">
        <v>22.508806147725299</v>
      </c>
      <c r="I32" s="1257">
        <v>13.077591048057499</v>
      </c>
      <c r="J32" s="1280">
        <v>8.2070814217501393</v>
      </c>
      <c r="K32" s="1271">
        <v>2.80478097588438E-2</v>
      </c>
      <c r="L32" s="1257">
        <v>2.93848535954564E-3</v>
      </c>
      <c r="M32" s="1280">
        <v>1.38784834717535E-2</v>
      </c>
      <c r="N32" s="1271">
        <v>9.0000025837844201E-3</v>
      </c>
      <c r="O32" s="1257">
        <v>3.0000008598028201E-3</v>
      </c>
      <c r="P32" s="1257">
        <v>3.0000008610028199E-3</v>
      </c>
      <c r="Q32" s="1280">
        <v>9.0000025837844201E-3</v>
      </c>
      <c r="R32" s="1271">
        <v>3.8500011034136201E-2</v>
      </c>
      <c r="S32" s="1257">
        <v>3.8500011034136201E-2</v>
      </c>
      <c r="T32" s="1257">
        <v>3.8500011034136201E-2</v>
      </c>
      <c r="U32" s="1280">
        <v>1.9250005517068101E-2</v>
      </c>
      <c r="V32" s="1293">
        <v>2.9316007255826199E-2</v>
      </c>
    </row>
    <row r="33" spans="1:22" s="212" customFormat="1" ht="15.5" x14ac:dyDescent="0.35">
      <c r="A33" s="194">
        <v>2015</v>
      </c>
      <c r="B33" s="195" t="s">
        <v>5833</v>
      </c>
      <c r="C33" s="197">
        <v>1974</v>
      </c>
      <c r="D33" s="234" t="s">
        <v>998</v>
      </c>
      <c r="E33" s="1226">
        <v>0.24855116447681599</v>
      </c>
      <c r="F33" s="1257">
        <v>3.0704165111889599</v>
      </c>
      <c r="G33" s="1280">
        <v>0.58654675365231701</v>
      </c>
      <c r="H33" s="1271">
        <v>22.508806147725299</v>
      </c>
      <c r="I33" s="1257">
        <v>13.077591048057499</v>
      </c>
      <c r="J33" s="1280">
        <v>8.2070814217501393</v>
      </c>
      <c r="K33" s="1271">
        <v>2.80478097588438E-2</v>
      </c>
      <c r="L33" s="1257">
        <v>2.93848535954564E-3</v>
      </c>
      <c r="M33" s="1280">
        <v>1.38784834717535E-2</v>
      </c>
      <c r="N33" s="1271">
        <v>9.0000025837844201E-3</v>
      </c>
      <c r="O33" s="1257">
        <v>3.0000008598028201E-3</v>
      </c>
      <c r="P33" s="1257">
        <v>3.0000008610028199E-3</v>
      </c>
      <c r="Q33" s="1280">
        <v>9.0000025837844201E-3</v>
      </c>
      <c r="R33" s="1271">
        <v>3.8500011034136201E-2</v>
      </c>
      <c r="S33" s="1257">
        <v>3.8500011034136201E-2</v>
      </c>
      <c r="T33" s="1257">
        <v>3.8500011034136201E-2</v>
      </c>
      <c r="U33" s="1280">
        <v>1.9250005517068101E-2</v>
      </c>
      <c r="V33" s="1293">
        <v>2.9316007255826199E-2</v>
      </c>
    </row>
    <row r="34" spans="1:22" s="212" customFormat="1" ht="15.5" x14ac:dyDescent="0.35">
      <c r="A34" s="194">
        <v>2015</v>
      </c>
      <c r="B34" s="195" t="s">
        <v>5833</v>
      </c>
      <c r="C34" s="197">
        <v>1975</v>
      </c>
      <c r="D34" s="234" t="s">
        <v>999</v>
      </c>
      <c r="E34" s="1226">
        <v>0.24855116447681599</v>
      </c>
      <c r="F34" s="1257">
        <v>3.0704165111889599</v>
      </c>
      <c r="G34" s="1280">
        <v>0.58654675365231701</v>
      </c>
      <c r="H34" s="1271">
        <v>22.508806147725299</v>
      </c>
      <c r="I34" s="1257">
        <v>13.077591048057499</v>
      </c>
      <c r="J34" s="1280">
        <v>8.2070814217501393</v>
      </c>
      <c r="K34" s="1271">
        <v>2.80478097588438E-2</v>
      </c>
      <c r="L34" s="1257">
        <v>2.93848535954564E-3</v>
      </c>
      <c r="M34" s="1280">
        <v>1.38784834717535E-2</v>
      </c>
      <c r="N34" s="1271">
        <v>9.0000025837844201E-3</v>
      </c>
      <c r="O34" s="1257">
        <v>3.0000008598028201E-3</v>
      </c>
      <c r="P34" s="1257">
        <v>3.0000008610028199E-3</v>
      </c>
      <c r="Q34" s="1280">
        <v>9.0000025837844201E-3</v>
      </c>
      <c r="R34" s="1271">
        <v>3.8500011034136201E-2</v>
      </c>
      <c r="S34" s="1257">
        <v>3.8500011034136201E-2</v>
      </c>
      <c r="T34" s="1257">
        <v>3.8500011034136201E-2</v>
      </c>
      <c r="U34" s="1280">
        <v>1.9250005517068101E-2</v>
      </c>
      <c r="V34" s="1293">
        <v>2.9316007255826199E-2</v>
      </c>
    </row>
    <row r="35" spans="1:22" s="212" customFormat="1" ht="15.5" x14ac:dyDescent="0.35">
      <c r="A35" s="194">
        <v>2015</v>
      </c>
      <c r="B35" s="195" t="s">
        <v>5833</v>
      </c>
      <c r="C35" s="197">
        <v>1976</v>
      </c>
      <c r="D35" s="234" t="s">
        <v>1000</v>
      </c>
      <c r="E35" s="1226">
        <v>0.24855116447681599</v>
      </c>
      <c r="F35" s="1257">
        <v>3.0704165111889599</v>
      </c>
      <c r="G35" s="1280">
        <v>0.58654675365231701</v>
      </c>
      <c r="H35" s="1271">
        <v>22.508806147725299</v>
      </c>
      <c r="I35" s="1257">
        <v>13.077591048057499</v>
      </c>
      <c r="J35" s="1280">
        <v>8.2070814217501393</v>
      </c>
      <c r="K35" s="1271">
        <v>2.80478097588438E-2</v>
      </c>
      <c r="L35" s="1257">
        <v>2.93848535954564E-3</v>
      </c>
      <c r="M35" s="1280">
        <v>1.38784834717535E-2</v>
      </c>
      <c r="N35" s="1271">
        <v>9.0000025837844201E-3</v>
      </c>
      <c r="O35" s="1257">
        <v>3.0000008598028201E-3</v>
      </c>
      <c r="P35" s="1257">
        <v>3.0000008610028199E-3</v>
      </c>
      <c r="Q35" s="1280">
        <v>9.0000025837844201E-3</v>
      </c>
      <c r="R35" s="1271">
        <v>3.8500011034136201E-2</v>
      </c>
      <c r="S35" s="1257">
        <v>3.8500011034136201E-2</v>
      </c>
      <c r="T35" s="1257">
        <v>3.8500011034136201E-2</v>
      </c>
      <c r="U35" s="1280">
        <v>1.9250005517068101E-2</v>
      </c>
      <c r="V35" s="1293">
        <v>2.9316007255826199E-2</v>
      </c>
    </row>
    <row r="36" spans="1:22" s="212" customFormat="1" ht="15.5" x14ac:dyDescent="0.35">
      <c r="A36" s="194">
        <v>2015</v>
      </c>
      <c r="B36" s="195" t="s">
        <v>5833</v>
      </c>
      <c r="C36" s="197">
        <v>1977</v>
      </c>
      <c r="D36" s="234" t="s">
        <v>1001</v>
      </c>
      <c r="E36" s="1226">
        <v>0.24855116447681599</v>
      </c>
      <c r="F36" s="1257">
        <v>3.0704165111889599</v>
      </c>
      <c r="G36" s="1280">
        <v>0.58654675365231701</v>
      </c>
      <c r="H36" s="1271">
        <v>22.508806147725299</v>
      </c>
      <c r="I36" s="1257">
        <v>13.077591048057499</v>
      </c>
      <c r="J36" s="1280">
        <v>8.2070814217501393</v>
      </c>
      <c r="K36" s="1271">
        <v>2.80478097588438E-2</v>
      </c>
      <c r="L36" s="1257">
        <v>2.93848535954564E-3</v>
      </c>
      <c r="M36" s="1280">
        <v>1.38784834717535E-2</v>
      </c>
      <c r="N36" s="1271">
        <v>9.0000025837844201E-3</v>
      </c>
      <c r="O36" s="1257">
        <v>3.0000008598028201E-3</v>
      </c>
      <c r="P36" s="1257">
        <v>3.0000008610028199E-3</v>
      </c>
      <c r="Q36" s="1280">
        <v>9.0000025837844201E-3</v>
      </c>
      <c r="R36" s="1271">
        <v>3.8500011034136201E-2</v>
      </c>
      <c r="S36" s="1257">
        <v>3.8500011034136201E-2</v>
      </c>
      <c r="T36" s="1257">
        <v>3.8500011034136201E-2</v>
      </c>
      <c r="U36" s="1280">
        <v>1.9250005517068101E-2</v>
      </c>
      <c r="V36" s="1293">
        <v>2.9316007255826199E-2</v>
      </c>
    </row>
    <row r="37" spans="1:22" s="212" customFormat="1" ht="15.5" x14ac:dyDescent="0.35">
      <c r="A37" s="194">
        <v>2015</v>
      </c>
      <c r="B37" s="195" t="s">
        <v>5833</v>
      </c>
      <c r="C37" s="197">
        <v>1978</v>
      </c>
      <c r="D37" s="234" t="s">
        <v>1002</v>
      </c>
      <c r="E37" s="1226">
        <v>0.24855116447681599</v>
      </c>
      <c r="F37" s="1257">
        <v>3.0704165111889599</v>
      </c>
      <c r="G37" s="1280">
        <v>0.58654675365231701</v>
      </c>
      <c r="H37" s="1271">
        <v>22.508806147725299</v>
      </c>
      <c r="I37" s="1257">
        <v>13.077591048057499</v>
      </c>
      <c r="J37" s="1280">
        <v>8.2070814217501393</v>
      </c>
      <c r="K37" s="1271">
        <v>2.80478097588438E-2</v>
      </c>
      <c r="L37" s="1257">
        <v>2.93848535954564E-3</v>
      </c>
      <c r="M37" s="1280">
        <v>1.38784834717535E-2</v>
      </c>
      <c r="N37" s="1271">
        <v>9.0000025837844201E-3</v>
      </c>
      <c r="O37" s="1257">
        <v>3.0000008598028201E-3</v>
      </c>
      <c r="P37" s="1257">
        <v>3.0000008610028199E-3</v>
      </c>
      <c r="Q37" s="1280">
        <v>9.0000025837844201E-3</v>
      </c>
      <c r="R37" s="1271">
        <v>3.8500011034136201E-2</v>
      </c>
      <c r="S37" s="1257">
        <v>3.8500011034136201E-2</v>
      </c>
      <c r="T37" s="1257">
        <v>3.8500011034136201E-2</v>
      </c>
      <c r="U37" s="1280">
        <v>1.9250005517068101E-2</v>
      </c>
      <c r="V37" s="1293">
        <v>2.9316007255826199E-2</v>
      </c>
    </row>
    <row r="38" spans="1:22" s="212" customFormat="1" ht="15.5" x14ac:dyDescent="0.35">
      <c r="A38" s="194">
        <v>2015</v>
      </c>
      <c r="B38" s="195" t="s">
        <v>5833</v>
      </c>
      <c r="C38" s="197">
        <v>1979</v>
      </c>
      <c r="D38" s="234" t="s">
        <v>1003</v>
      </c>
      <c r="E38" s="1226">
        <v>0.24855116447681599</v>
      </c>
      <c r="F38" s="1257">
        <v>3.0704165111889599</v>
      </c>
      <c r="G38" s="1280">
        <v>0.58654675365231701</v>
      </c>
      <c r="H38" s="1271">
        <v>22.508806147725299</v>
      </c>
      <c r="I38" s="1257">
        <v>13.077591048057499</v>
      </c>
      <c r="J38" s="1280">
        <v>8.2070814217501393</v>
      </c>
      <c r="K38" s="1271">
        <v>2.80478097588438E-2</v>
      </c>
      <c r="L38" s="1257">
        <v>2.93848535954564E-3</v>
      </c>
      <c r="M38" s="1280">
        <v>1.38784834717535E-2</v>
      </c>
      <c r="N38" s="1271">
        <v>9.0000025837844201E-3</v>
      </c>
      <c r="O38" s="1257">
        <v>3.0000008598028201E-3</v>
      </c>
      <c r="P38" s="1257">
        <v>3.0000008610028199E-3</v>
      </c>
      <c r="Q38" s="1280">
        <v>9.0000025837844201E-3</v>
      </c>
      <c r="R38" s="1271">
        <v>3.8500011034136201E-2</v>
      </c>
      <c r="S38" s="1257">
        <v>3.8500011034136201E-2</v>
      </c>
      <c r="T38" s="1257">
        <v>3.8500011034136201E-2</v>
      </c>
      <c r="U38" s="1280">
        <v>1.9250005517068101E-2</v>
      </c>
      <c r="V38" s="1293">
        <v>2.9316007255826199E-2</v>
      </c>
    </row>
    <row r="39" spans="1:22" s="212" customFormat="1" ht="15.5" x14ac:dyDescent="0.35">
      <c r="A39" s="194">
        <v>2015</v>
      </c>
      <c r="B39" s="195" t="s">
        <v>5833</v>
      </c>
      <c r="C39" s="197">
        <v>1980</v>
      </c>
      <c r="D39" s="234" t="s">
        <v>1004</v>
      </c>
      <c r="E39" s="1226">
        <v>0.24855116447681599</v>
      </c>
      <c r="F39" s="1257">
        <v>3.0704165111889599</v>
      </c>
      <c r="G39" s="1280">
        <v>0.58654675365231701</v>
      </c>
      <c r="H39" s="1271">
        <v>22.508806147725299</v>
      </c>
      <c r="I39" s="1257">
        <v>13.077591048057499</v>
      </c>
      <c r="J39" s="1280">
        <v>8.2070814217501393</v>
      </c>
      <c r="K39" s="1271">
        <v>2.80478097588438E-2</v>
      </c>
      <c r="L39" s="1257">
        <v>2.93848535954564E-3</v>
      </c>
      <c r="M39" s="1280">
        <v>1.38784834717535E-2</v>
      </c>
      <c r="N39" s="1271">
        <v>9.0000025837844201E-3</v>
      </c>
      <c r="O39" s="1257">
        <v>3.0000008598028201E-3</v>
      </c>
      <c r="P39" s="1257">
        <v>3.0000008610028199E-3</v>
      </c>
      <c r="Q39" s="1280">
        <v>9.0000025837844201E-3</v>
      </c>
      <c r="R39" s="1271">
        <v>3.8500011034136201E-2</v>
      </c>
      <c r="S39" s="1257">
        <v>3.8500011034136201E-2</v>
      </c>
      <c r="T39" s="1257">
        <v>3.8500011034136201E-2</v>
      </c>
      <c r="U39" s="1280">
        <v>1.9250005517068101E-2</v>
      </c>
      <c r="V39" s="1293">
        <v>2.9316007255826199E-2</v>
      </c>
    </row>
    <row r="40" spans="1:22" s="212" customFormat="1" ht="15.5" x14ac:dyDescent="0.35">
      <c r="A40" s="194">
        <v>2015</v>
      </c>
      <c r="B40" s="195" t="s">
        <v>5833</v>
      </c>
      <c r="C40" s="197">
        <v>1981</v>
      </c>
      <c r="D40" s="234" t="s">
        <v>1005</v>
      </c>
      <c r="E40" s="1226">
        <v>0.24855116447681599</v>
      </c>
      <c r="F40" s="1257">
        <v>3.0704165111889599</v>
      </c>
      <c r="G40" s="1280">
        <v>0.58654675365231701</v>
      </c>
      <c r="H40" s="1271">
        <v>22.508806147725299</v>
      </c>
      <c r="I40" s="1257">
        <v>13.077591048057499</v>
      </c>
      <c r="J40" s="1280">
        <v>8.2070814217501393</v>
      </c>
      <c r="K40" s="1271">
        <v>2.80478097588438E-2</v>
      </c>
      <c r="L40" s="1257">
        <v>2.93848535954564E-3</v>
      </c>
      <c r="M40" s="1280">
        <v>1.38784834717535E-2</v>
      </c>
      <c r="N40" s="1271">
        <v>9.0000025837844201E-3</v>
      </c>
      <c r="O40" s="1257">
        <v>3.0000008598028201E-3</v>
      </c>
      <c r="P40" s="1257">
        <v>3.0000008610028199E-3</v>
      </c>
      <c r="Q40" s="1280">
        <v>9.0000025837844201E-3</v>
      </c>
      <c r="R40" s="1271">
        <v>3.8500011034136201E-2</v>
      </c>
      <c r="S40" s="1257">
        <v>3.8500011034136201E-2</v>
      </c>
      <c r="T40" s="1257">
        <v>3.8500011034136201E-2</v>
      </c>
      <c r="U40" s="1280">
        <v>1.9250005517068101E-2</v>
      </c>
      <c r="V40" s="1293">
        <v>2.9316007255826199E-2</v>
      </c>
    </row>
    <row r="41" spans="1:22" s="212" customFormat="1" ht="15.5" x14ac:dyDescent="0.35">
      <c r="A41" s="194">
        <v>2015</v>
      </c>
      <c r="B41" s="195" t="s">
        <v>5833</v>
      </c>
      <c r="C41" s="197">
        <v>1982</v>
      </c>
      <c r="D41" s="234" t="s">
        <v>1006</v>
      </c>
      <c r="E41" s="1226">
        <v>0.24855116447681599</v>
      </c>
      <c r="F41" s="1257">
        <v>3.0704165111889599</v>
      </c>
      <c r="G41" s="1280">
        <v>0.58654675365231701</v>
      </c>
      <c r="H41" s="1271">
        <v>22.508806147725299</v>
      </c>
      <c r="I41" s="1257">
        <v>13.077591048057499</v>
      </c>
      <c r="J41" s="1280">
        <v>8.2070814217501393</v>
      </c>
      <c r="K41" s="1271">
        <v>2.80478097588438E-2</v>
      </c>
      <c r="L41" s="1257">
        <v>2.93848535954564E-3</v>
      </c>
      <c r="M41" s="1280">
        <v>1.38784834717535E-2</v>
      </c>
      <c r="N41" s="1271">
        <v>9.0000025837844201E-3</v>
      </c>
      <c r="O41" s="1257">
        <v>3.0000008598028201E-3</v>
      </c>
      <c r="P41" s="1257">
        <v>3.0000008610028199E-3</v>
      </c>
      <c r="Q41" s="1280">
        <v>9.0000025837844201E-3</v>
      </c>
      <c r="R41" s="1271">
        <v>3.8500011034136201E-2</v>
      </c>
      <c r="S41" s="1257">
        <v>3.8500011034136201E-2</v>
      </c>
      <c r="T41" s="1257">
        <v>3.8500011034136201E-2</v>
      </c>
      <c r="U41" s="1280">
        <v>1.9250005517068101E-2</v>
      </c>
      <c r="V41" s="1293">
        <v>2.9316007255826199E-2</v>
      </c>
    </row>
    <row r="42" spans="1:22" s="212" customFormat="1" ht="15.5" x14ac:dyDescent="0.35">
      <c r="A42" s="194">
        <v>2015</v>
      </c>
      <c r="B42" s="195" t="s">
        <v>5833</v>
      </c>
      <c r="C42" s="197">
        <v>1983</v>
      </c>
      <c r="D42" s="234" t="s">
        <v>1007</v>
      </c>
      <c r="E42" s="1226">
        <v>0.24855116447681599</v>
      </c>
      <c r="F42" s="1257">
        <v>3.0704165111889599</v>
      </c>
      <c r="G42" s="1280">
        <v>0.58654675365231701</v>
      </c>
      <c r="H42" s="1271">
        <v>22.508806147725299</v>
      </c>
      <c r="I42" s="1257">
        <v>13.077591048057499</v>
      </c>
      <c r="J42" s="1280">
        <v>8.2070814217501393</v>
      </c>
      <c r="K42" s="1271">
        <v>2.80478097588438E-2</v>
      </c>
      <c r="L42" s="1257">
        <v>2.93848535954564E-3</v>
      </c>
      <c r="M42" s="1280">
        <v>1.38784834717535E-2</v>
      </c>
      <c r="N42" s="1271">
        <v>9.0000025837844201E-3</v>
      </c>
      <c r="O42" s="1257">
        <v>3.0000008598028201E-3</v>
      </c>
      <c r="P42" s="1257">
        <v>3.0000008610028199E-3</v>
      </c>
      <c r="Q42" s="1280">
        <v>9.0000025837844201E-3</v>
      </c>
      <c r="R42" s="1271">
        <v>3.8500011034136201E-2</v>
      </c>
      <c r="S42" s="1257">
        <v>3.8500011034136201E-2</v>
      </c>
      <c r="T42" s="1257">
        <v>3.8500011034136201E-2</v>
      </c>
      <c r="U42" s="1280">
        <v>1.9250005517068101E-2</v>
      </c>
      <c r="V42" s="1293">
        <v>2.9316007255826199E-2</v>
      </c>
    </row>
    <row r="43" spans="1:22" s="212" customFormat="1" ht="15.5" x14ac:dyDescent="0.35">
      <c r="A43" s="194">
        <v>2015</v>
      </c>
      <c r="B43" s="195" t="s">
        <v>5833</v>
      </c>
      <c r="C43" s="197">
        <v>1984</v>
      </c>
      <c r="D43" s="234" t="s">
        <v>1008</v>
      </c>
      <c r="E43" s="1226">
        <v>0.24855116447681599</v>
      </c>
      <c r="F43" s="1257">
        <v>3.0704165111889599</v>
      </c>
      <c r="G43" s="1280">
        <v>0.58654675365231701</v>
      </c>
      <c r="H43" s="1271">
        <v>22.508806147725299</v>
      </c>
      <c r="I43" s="1257">
        <v>13.077591048057499</v>
      </c>
      <c r="J43" s="1280">
        <v>8.2070814217501393</v>
      </c>
      <c r="K43" s="1271">
        <v>2.80478097588438E-2</v>
      </c>
      <c r="L43" s="1257">
        <v>2.93848535954564E-3</v>
      </c>
      <c r="M43" s="1280">
        <v>1.38784834717535E-2</v>
      </c>
      <c r="N43" s="1271">
        <v>9.0000025837844201E-3</v>
      </c>
      <c r="O43" s="1257">
        <v>3.0000008598028201E-3</v>
      </c>
      <c r="P43" s="1257">
        <v>3.0000008610028199E-3</v>
      </c>
      <c r="Q43" s="1280">
        <v>9.0000025837844201E-3</v>
      </c>
      <c r="R43" s="1271">
        <v>3.8500011034136201E-2</v>
      </c>
      <c r="S43" s="1257">
        <v>3.8500011034136201E-2</v>
      </c>
      <c r="T43" s="1257">
        <v>3.8500011034136201E-2</v>
      </c>
      <c r="U43" s="1280">
        <v>1.9250005517068101E-2</v>
      </c>
      <c r="V43" s="1293">
        <v>2.9316007255826199E-2</v>
      </c>
    </row>
    <row r="44" spans="1:22" s="212" customFormat="1" ht="15.5" x14ac:dyDescent="0.35">
      <c r="A44" s="194">
        <v>2015</v>
      </c>
      <c r="B44" s="195" t="s">
        <v>5833</v>
      </c>
      <c r="C44" s="197">
        <v>1985</v>
      </c>
      <c r="D44" s="234" t="s">
        <v>1009</v>
      </c>
      <c r="E44" s="1226">
        <v>0.24855116447681599</v>
      </c>
      <c r="F44" s="1257">
        <v>3.0704165111889599</v>
      </c>
      <c r="G44" s="1280">
        <v>0.58654675365231701</v>
      </c>
      <c r="H44" s="1271">
        <v>22.508806147725299</v>
      </c>
      <c r="I44" s="1257">
        <v>13.077591048057499</v>
      </c>
      <c r="J44" s="1280">
        <v>8.2070814217501393</v>
      </c>
      <c r="K44" s="1271">
        <v>2.80478097588438E-2</v>
      </c>
      <c r="L44" s="1257">
        <v>2.93848535954564E-3</v>
      </c>
      <c r="M44" s="1280">
        <v>1.38784834717535E-2</v>
      </c>
      <c r="N44" s="1271">
        <v>9.0000025837844201E-3</v>
      </c>
      <c r="O44" s="1257">
        <v>3.0000008598028201E-3</v>
      </c>
      <c r="P44" s="1257">
        <v>3.0000008610028199E-3</v>
      </c>
      <c r="Q44" s="1280">
        <v>9.0000025837844201E-3</v>
      </c>
      <c r="R44" s="1271">
        <v>3.8500011034136201E-2</v>
      </c>
      <c r="S44" s="1257">
        <v>3.8500011034136201E-2</v>
      </c>
      <c r="T44" s="1257">
        <v>3.8500011034136201E-2</v>
      </c>
      <c r="U44" s="1280">
        <v>1.9250005517068101E-2</v>
      </c>
      <c r="V44" s="1293">
        <v>2.9316007255826199E-2</v>
      </c>
    </row>
    <row r="45" spans="1:22" s="212" customFormat="1" ht="15.5" x14ac:dyDescent="0.35">
      <c r="A45" s="194">
        <v>2015</v>
      </c>
      <c r="B45" s="195" t="s">
        <v>5833</v>
      </c>
      <c r="C45" s="197">
        <v>1986</v>
      </c>
      <c r="D45" s="234" t="s">
        <v>1010</v>
      </c>
      <c r="E45" s="1226">
        <v>0.24855116447681599</v>
      </c>
      <c r="F45" s="1257">
        <v>3.0704165111889599</v>
      </c>
      <c r="G45" s="1280">
        <v>0.58654675365231701</v>
      </c>
      <c r="H45" s="1271">
        <v>22.508806147725299</v>
      </c>
      <c r="I45" s="1257">
        <v>13.077591048057499</v>
      </c>
      <c r="J45" s="1280">
        <v>8.2070814217501393</v>
      </c>
      <c r="K45" s="1271">
        <v>2.80478097588438E-2</v>
      </c>
      <c r="L45" s="1257">
        <v>2.93848535954564E-3</v>
      </c>
      <c r="M45" s="1280">
        <v>1.38784834717535E-2</v>
      </c>
      <c r="N45" s="1271">
        <v>9.0000025837844201E-3</v>
      </c>
      <c r="O45" s="1257">
        <v>3.0000008598028201E-3</v>
      </c>
      <c r="P45" s="1257">
        <v>3.0000008610028199E-3</v>
      </c>
      <c r="Q45" s="1280">
        <v>9.0000025837844201E-3</v>
      </c>
      <c r="R45" s="1271">
        <v>3.8500011034136201E-2</v>
      </c>
      <c r="S45" s="1257">
        <v>3.8500011034136201E-2</v>
      </c>
      <c r="T45" s="1257">
        <v>3.8500011034136201E-2</v>
      </c>
      <c r="U45" s="1280">
        <v>1.9250005517068101E-2</v>
      </c>
      <c r="V45" s="1293">
        <v>2.9316007255826199E-2</v>
      </c>
    </row>
    <row r="46" spans="1:22" s="212" customFormat="1" ht="15.5" x14ac:dyDescent="0.35">
      <c r="A46" s="194">
        <v>2015</v>
      </c>
      <c r="B46" s="195" t="s">
        <v>5833</v>
      </c>
      <c r="C46" s="197">
        <v>1987</v>
      </c>
      <c r="D46" s="234" t="s">
        <v>1011</v>
      </c>
      <c r="E46" s="1226">
        <v>0.24855116447681599</v>
      </c>
      <c r="F46" s="1257">
        <v>3.0704165111889599</v>
      </c>
      <c r="G46" s="1280">
        <v>0.58654675365231701</v>
      </c>
      <c r="H46" s="1271">
        <v>22.508806147725299</v>
      </c>
      <c r="I46" s="1257">
        <v>13.077591048057499</v>
      </c>
      <c r="J46" s="1280">
        <v>8.2070814217501393</v>
      </c>
      <c r="K46" s="1271">
        <v>2.80478097588438E-2</v>
      </c>
      <c r="L46" s="1257">
        <v>2.93848535954564E-3</v>
      </c>
      <c r="M46" s="1280">
        <v>1.38784834717535E-2</v>
      </c>
      <c r="N46" s="1271">
        <v>9.0000025837844201E-3</v>
      </c>
      <c r="O46" s="1257">
        <v>3.0000008598028201E-3</v>
      </c>
      <c r="P46" s="1257">
        <v>3.0000008610028199E-3</v>
      </c>
      <c r="Q46" s="1280">
        <v>9.0000025837844201E-3</v>
      </c>
      <c r="R46" s="1271">
        <v>3.8500011034136201E-2</v>
      </c>
      <c r="S46" s="1257">
        <v>3.8500011034136201E-2</v>
      </c>
      <c r="T46" s="1257">
        <v>3.8500011034136201E-2</v>
      </c>
      <c r="U46" s="1280">
        <v>1.9250005517068101E-2</v>
      </c>
      <c r="V46" s="1293">
        <v>2.9316007255826199E-2</v>
      </c>
    </row>
    <row r="47" spans="1:22" s="212" customFormat="1" ht="15.5" x14ac:dyDescent="0.35">
      <c r="A47" s="194">
        <v>2015</v>
      </c>
      <c r="B47" s="195" t="s">
        <v>5833</v>
      </c>
      <c r="C47" s="197">
        <v>1988</v>
      </c>
      <c r="D47" s="234" t="s">
        <v>1012</v>
      </c>
      <c r="E47" s="1231">
        <v>0.24855116447681599</v>
      </c>
      <c r="F47" s="1257">
        <v>3.0704165111889599</v>
      </c>
      <c r="G47" s="1280">
        <v>0.58654675365231701</v>
      </c>
      <c r="H47" s="1303">
        <v>22.508806147725299</v>
      </c>
      <c r="I47" s="1257">
        <v>13.077591048057499</v>
      </c>
      <c r="J47" s="1280">
        <v>8.2070814217501393</v>
      </c>
      <c r="K47" s="1303">
        <v>2.80478097588438E-2</v>
      </c>
      <c r="L47" s="1257">
        <v>2.93848535954564E-3</v>
      </c>
      <c r="M47" s="1280">
        <v>1.38784834717535E-2</v>
      </c>
      <c r="N47" s="1303">
        <v>9.0000025837844201E-3</v>
      </c>
      <c r="O47" s="1257">
        <v>3.0000008598028201E-3</v>
      </c>
      <c r="P47" s="1257">
        <v>3.0000008610028199E-3</v>
      </c>
      <c r="Q47" s="1280">
        <v>9.0000025837844201E-3</v>
      </c>
      <c r="R47" s="1303">
        <v>3.8500011034136201E-2</v>
      </c>
      <c r="S47" s="1257">
        <v>3.8500011034136201E-2</v>
      </c>
      <c r="T47" s="1257">
        <v>3.8500011034136201E-2</v>
      </c>
      <c r="U47" s="1280">
        <v>1.9250005517068101E-2</v>
      </c>
      <c r="V47" s="1294">
        <v>2.9316007255826199E-2</v>
      </c>
    </row>
    <row r="48" spans="1:22" s="212" customFormat="1" ht="15.5" x14ac:dyDescent="0.35">
      <c r="A48" s="194">
        <v>2015</v>
      </c>
      <c r="B48" s="195" t="s">
        <v>5833</v>
      </c>
      <c r="C48" s="197">
        <v>1989</v>
      </c>
      <c r="D48" s="234" t="s">
        <v>1013</v>
      </c>
      <c r="E48" s="1226">
        <v>0.16509242413157821</v>
      </c>
      <c r="F48" s="1257">
        <v>3.0704165111889599</v>
      </c>
      <c r="G48" s="1280">
        <v>0.58654675365231701</v>
      </c>
      <c r="H48" s="1289">
        <v>18.304912345911397</v>
      </c>
      <c r="I48" s="1257">
        <v>13.077591048057499</v>
      </c>
      <c r="J48" s="1280">
        <v>8.2070814217501393</v>
      </c>
      <c r="K48" s="1289">
        <v>1.8449691676108274E-2</v>
      </c>
      <c r="L48" s="1257">
        <v>2.93848535954564E-3</v>
      </c>
      <c r="M48" s="1280">
        <v>1.38784834717535E-2</v>
      </c>
      <c r="N48" s="1289">
        <v>6.000001721834505E-3</v>
      </c>
      <c r="O48" s="1257">
        <v>3.0000008598028201E-3</v>
      </c>
      <c r="P48" s="1257">
        <v>3.0000008610028199E-3</v>
      </c>
      <c r="Q48" s="1280">
        <v>6.000001721834505E-3</v>
      </c>
      <c r="R48" s="1289">
        <v>3.8500011034136201E-2</v>
      </c>
      <c r="S48" s="1257">
        <v>3.8500011034136201E-2</v>
      </c>
      <c r="T48" s="1257">
        <v>3.8500011034136201E-2</v>
      </c>
      <c r="U48" s="1280">
        <v>1.9250005517068101E-2</v>
      </c>
      <c r="V48" s="1293">
        <v>1.9283904864407585E-2</v>
      </c>
    </row>
    <row r="49" spans="1:22" s="212" customFormat="1" ht="15.5" x14ac:dyDescent="0.35">
      <c r="A49" s="194">
        <v>2015</v>
      </c>
      <c r="B49" s="195" t="s">
        <v>5833</v>
      </c>
      <c r="C49" s="197">
        <v>1990</v>
      </c>
      <c r="D49" s="234" t="s">
        <v>1014</v>
      </c>
      <c r="E49" s="1231">
        <v>8.1633683786340394E-2</v>
      </c>
      <c r="F49" s="1257">
        <v>3.0704165111889599</v>
      </c>
      <c r="G49" s="1280">
        <v>0.58654675365231701</v>
      </c>
      <c r="H49" s="1303">
        <v>14.101018544097499</v>
      </c>
      <c r="I49" s="1257">
        <v>13.077591048057499</v>
      </c>
      <c r="J49" s="1280">
        <v>8.2070814217501393</v>
      </c>
      <c r="K49" s="1303">
        <v>8.85157359337275E-3</v>
      </c>
      <c r="L49" s="1257">
        <v>2.93848535954564E-3</v>
      </c>
      <c r="M49" s="1280">
        <v>1.38784834717535E-2</v>
      </c>
      <c r="N49" s="1303">
        <v>3.0000008598845898E-3</v>
      </c>
      <c r="O49" s="1257">
        <v>3.0000008598028201E-3</v>
      </c>
      <c r="P49" s="1257">
        <v>3.0000008610028199E-3</v>
      </c>
      <c r="Q49" s="1280">
        <v>3.0000008598845898E-3</v>
      </c>
      <c r="R49" s="1303">
        <v>3.8500011034136201E-2</v>
      </c>
      <c r="S49" s="1257">
        <v>3.8500011034136201E-2</v>
      </c>
      <c r="T49" s="1257">
        <v>3.8500011034136201E-2</v>
      </c>
      <c r="U49" s="1280">
        <v>1.9250005517068101E-2</v>
      </c>
      <c r="V49" s="1294">
        <v>9.2518024729889708E-3</v>
      </c>
    </row>
    <row r="50" spans="1:22" s="212" customFormat="1" ht="15.5" x14ac:dyDescent="0.35">
      <c r="A50" s="194">
        <v>2015</v>
      </c>
      <c r="B50" s="195" t="s">
        <v>5833</v>
      </c>
      <c r="C50" s="197">
        <v>1991</v>
      </c>
      <c r="D50" s="234" t="s">
        <v>1015</v>
      </c>
      <c r="E50" s="1226">
        <v>0.16619392311606021</v>
      </c>
      <c r="F50" s="1257">
        <v>3.0704165111889599</v>
      </c>
      <c r="G50" s="1280">
        <v>0.58654675365231701</v>
      </c>
      <c r="H50" s="1289">
        <v>18.293765374612001</v>
      </c>
      <c r="I50" s="1257">
        <v>13.077591048057499</v>
      </c>
      <c r="J50" s="1280">
        <v>8.2070814217501393</v>
      </c>
      <c r="K50" s="1289">
        <v>1.8522081334512674E-2</v>
      </c>
      <c r="L50" s="1257">
        <v>2.93848535954564E-3</v>
      </c>
      <c r="M50" s="1280">
        <v>1.38784834717535E-2</v>
      </c>
      <c r="N50" s="1289">
        <v>6.0000017215259497E-3</v>
      </c>
      <c r="O50" s="1257">
        <v>3.0000008598028201E-3</v>
      </c>
      <c r="P50" s="1257">
        <v>3.0000008610028199E-3</v>
      </c>
      <c r="Q50" s="1280">
        <v>6.0000017215259497E-3</v>
      </c>
      <c r="R50" s="1289">
        <v>3.8500011034136201E-2</v>
      </c>
      <c r="S50" s="1257">
        <v>3.8500011034136201E-2</v>
      </c>
      <c r="T50" s="1257">
        <v>3.8500011034136201E-2</v>
      </c>
      <c r="U50" s="1280">
        <v>1.9250005517068101E-2</v>
      </c>
      <c r="V50" s="1293">
        <v>1.9359567661940736E-2</v>
      </c>
    </row>
    <row r="51" spans="1:22" s="212" customFormat="1" ht="15.5" x14ac:dyDescent="0.35">
      <c r="A51" s="194">
        <v>2015</v>
      </c>
      <c r="B51" s="195" t="s">
        <v>5833</v>
      </c>
      <c r="C51" s="197">
        <v>1992</v>
      </c>
      <c r="D51" s="234" t="s">
        <v>1016</v>
      </c>
      <c r="E51" s="1231">
        <v>0.25075416244578003</v>
      </c>
      <c r="F51" s="1257">
        <v>3.0704165111889599</v>
      </c>
      <c r="G51" s="1280">
        <v>0.58654675365231701</v>
      </c>
      <c r="H51" s="1303">
        <v>22.486512205126498</v>
      </c>
      <c r="I51" s="1257">
        <v>13.077591048057499</v>
      </c>
      <c r="J51" s="1280">
        <v>8.2070814217501393</v>
      </c>
      <c r="K51" s="1303">
        <v>2.8192589075652599E-2</v>
      </c>
      <c r="L51" s="1257">
        <v>2.93848535954564E-3</v>
      </c>
      <c r="M51" s="1280">
        <v>1.38784834717535E-2</v>
      </c>
      <c r="N51" s="1303">
        <v>9.0000025831673096E-3</v>
      </c>
      <c r="O51" s="1257">
        <v>3.0000008598028201E-3</v>
      </c>
      <c r="P51" s="1257">
        <v>3.0000008610028199E-3</v>
      </c>
      <c r="Q51" s="1280">
        <v>9.0000025831673096E-3</v>
      </c>
      <c r="R51" s="1303">
        <v>3.8500011034136201E-2</v>
      </c>
      <c r="S51" s="1257">
        <v>3.8500011034136201E-2</v>
      </c>
      <c r="T51" s="1257">
        <v>3.8500011034136201E-2</v>
      </c>
      <c r="U51" s="1280">
        <v>1.9250005517068101E-2</v>
      </c>
      <c r="V51" s="1294">
        <v>2.9467332850892501E-2</v>
      </c>
    </row>
    <row r="52" spans="1:22" s="212" customFormat="1" ht="15.5" x14ac:dyDescent="0.35">
      <c r="A52" s="194">
        <v>2015</v>
      </c>
      <c r="B52" s="195" t="s">
        <v>5833</v>
      </c>
      <c r="C52" s="197">
        <v>1993</v>
      </c>
      <c r="D52" s="234" t="s">
        <v>1017</v>
      </c>
      <c r="E52" s="1231">
        <v>0.157178944290748</v>
      </c>
      <c r="F52" s="1257">
        <v>3.0704165111889599</v>
      </c>
      <c r="G52" s="1280">
        <v>0.58654675365231701</v>
      </c>
      <c r="H52" s="1303">
        <v>15.2011810803661</v>
      </c>
      <c r="I52" s="1257">
        <v>13.077591048057499</v>
      </c>
      <c r="J52" s="1280">
        <v>8.2070814217501393</v>
      </c>
      <c r="K52" s="1303">
        <v>1.55228096881471E-2</v>
      </c>
      <c r="L52" s="1257">
        <v>2.93848535954564E-3</v>
      </c>
      <c r="M52" s="1280">
        <v>1.38784834717535E-2</v>
      </c>
      <c r="N52" s="1303">
        <v>3.0000008612614702E-3</v>
      </c>
      <c r="O52" s="1257">
        <v>3.0000008598028201E-3</v>
      </c>
      <c r="P52" s="1257">
        <v>3.0000008610028199E-3</v>
      </c>
      <c r="Q52" s="1280">
        <v>3.0000008612614702E-3</v>
      </c>
      <c r="R52" s="1303">
        <v>3.8500011034136201E-2</v>
      </c>
      <c r="S52" s="1257">
        <v>3.8500011034136201E-2</v>
      </c>
      <c r="T52" s="1257">
        <v>3.8500011034136201E-2</v>
      </c>
      <c r="U52" s="1280">
        <v>1.9250005517068101E-2</v>
      </c>
      <c r="V52" s="1294">
        <v>1.6224682260797301E-2</v>
      </c>
    </row>
    <row r="53" spans="1:22" s="212" customFormat="1" ht="15.5" x14ac:dyDescent="0.35">
      <c r="A53" s="194">
        <v>2015</v>
      </c>
      <c r="B53" s="195" t="s">
        <v>5833</v>
      </c>
      <c r="C53" s="197">
        <v>1994</v>
      </c>
      <c r="D53" s="234" t="s">
        <v>1018</v>
      </c>
      <c r="E53" s="1226">
        <v>0.11940631403854415</v>
      </c>
      <c r="F53" s="1288">
        <v>3.0704165111889599</v>
      </c>
      <c r="G53" s="1306">
        <v>0.58654675365231701</v>
      </c>
      <c r="H53" s="1289">
        <v>14.651099812231799</v>
      </c>
      <c r="I53" s="1288">
        <v>13.077591048057499</v>
      </c>
      <c r="J53" s="1306">
        <v>8.2070814217501393</v>
      </c>
      <c r="K53" s="1289">
        <v>1.2187191640759921E-2</v>
      </c>
      <c r="L53" s="1288">
        <v>2.93848535954564E-3</v>
      </c>
      <c r="M53" s="1306">
        <v>1.38784834717535E-2</v>
      </c>
      <c r="N53" s="1289">
        <v>3.00000086057303E-3</v>
      </c>
      <c r="O53" s="1288">
        <v>3.0000008598028201E-3</v>
      </c>
      <c r="P53" s="1288">
        <v>3.0000008610028199E-3</v>
      </c>
      <c r="Q53" s="1280">
        <v>3.00000086057303E-3</v>
      </c>
      <c r="R53" s="1289">
        <v>3.8500011034136201E-2</v>
      </c>
      <c r="S53" s="1288">
        <v>3.8500011034136201E-2</v>
      </c>
      <c r="T53" s="1288">
        <v>3.8500011034136201E-2</v>
      </c>
      <c r="U53" s="1280">
        <v>1.9250005517068101E-2</v>
      </c>
      <c r="V53" s="1293">
        <v>1.2738242366893131E-2</v>
      </c>
    </row>
    <row r="54" spans="1:22" s="212" customFormat="1" ht="15.5" x14ac:dyDescent="0.35">
      <c r="A54" s="194">
        <v>2015</v>
      </c>
      <c r="B54" s="195" t="s">
        <v>5833</v>
      </c>
      <c r="C54" s="197">
        <v>1995</v>
      </c>
      <c r="D54" s="234" t="s">
        <v>1019</v>
      </c>
      <c r="E54" s="1231">
        <v>8.1633683786340297E-2</v>
      </c>
      <c r="F54" s="1257">
        <v>2.3920901470628748</v>
      </c>
      <c r="G54" s="1280">
        <v>0.74910442302323643</v>
      </c>
      <c r="H54" s="1303">
        <v>14.101018544097499</v>
      </c>
      <c r="I54" s="1257">
        <v>11.9603924755439</v>
      </c>
      <c r="J54" s="1280">
        <v>9.9965966778975694</v>
      </c>
      <c r="K54" s="1303">
        <v>8.8515735933727396E-3</v>
      </c>
      <c r="L54" s="1257">
        <v>2.3394478979878548E-3</v>
      </c>
      <c r="M54" s="1280">
        <v>1.6755223973180251E-2</v>
      </c>
      <c r="N54" s="1303">
        <v>3.0000008598845898E-3</v>
      </c>
      <c r="O54" s="1257">
        <v>3.0000008598028201E-3</v>
      </c>
      <c r="P54" s="1257">
        <v>5.7994866306541448E-3</v>
      </c>
      <c r="Q54" s="1280">
        <v>3.0000008598845898E-3</v>
      </c>
      <c r="R54" s="1303">
        <v>3.8500011034136201E-2</v>
      </c>
      <c r="S54" s="1257">
        <v>3.8500011034136201E-2</v>
      </c>
      <c r="T54" s="1257">
        <v>3.8500011034136201E-2</v>
      </c>
      <c r="U54" s="1280">
        <v>1.9250005517068101E-2</v>
      </c>
      <c r="V54" s="1294">
        <v>9.2518024729889604E-3</v>
      </c>
    </row>
    <row r="55" spans="1:22" s="212" customFormat="1" ht="15.5" x14ac:dyDescent="0.35">
      <c r="A55" s="194">
        <v>2015</v>
      </c>
      <c r="B55" s="195" t="s">
        <v>5833</v>
      </c>
      <c r="C55" s="197">
        <v>1996</v>
      </c>
      <c r="D55" s="234" t="s">
        <v>1020</v>
      </c>
      <c r="E55" s="1231">
        <v>0.14589009123843999</v>
      </c>
      <c r="F55" s="1257">
        <v>2.3920901470628748</v>
      </c>
      <c r="G55" s="1306">
        <v>0.91166209239415597</v>
      </c>
      <c r="H55" s="1303">
        <v>21.031078515483799</v>
      </c>
      <c r="I55" s="1257">
        <v>11.9603924755439</v>
      </c>
      <c r="J55" s="1306">
        <v>11.786111934045</v>
      </c>
      <c r="K55" s="1303">
        <v>1.7645799671248501E-2</v>
      </c>
      <c r="L55" s="1257">
        <v>2.3394478979878548E-3</v>
      </c>
      <c r="M55" s="1306">
        <v>1.9631964474607001E-2</v>
      </c>
      <c r="N55" s="1303">
        <v>9.0000025803523807E-3</v>
      </c>
      <c r="O55" s="1257">
        <v>3.0000008598028201E-3</v>
      </c>
      <c r="P55" s="1288">
        <v>8.5989724003054692E-3</v>
      </c>
      <c r="Q55" s="1280">
        <v>9.0000025803523807E-3</v>
      </c>
      <c r="R55" s="1303">
        <v>3.8500011034136201E-2</v>
      </c>
      <c r="S55" s="1257">
        <v>3.8500011034136201E-2</v>
      </c>
      <c r="T55" s="1288">
        <v>3.8500011034136201E-2</v>
      </c>
      <c r="U55" s="1280">
        <v>1.9250005517068101E-2</v>
      </c>
      <c r="V55" s="1294">
        <v>1.8443664430306001E-2</v>
      </c>
    </row>
    <row r="56" spans="1:22" s="212" customFormat="1" ht="15.5" x14ac:dyDescent="0.35">
      <c r="A56" s="194">
        <v>2015</v>
      </c>
      <c r="B56" s="195" t="s">
        <v>5833</v>
      </c>
      <c r="C56" s="197">
        <v>1997</v>
      </c>
      <c r="D56" s="234" t="s">
        <v>1021</v>
      </c>
      <c r="E56" s="1231">
        <v>0.132620361684673</v>
      </c>
      <c r="F56" s="1288">
        <v>1.71376378293679</v>
      </c>
      <c r="G56" s="1306">
        <v>0.78885563075047804</v>
      </c>
      <c r="H56" s="1303">
        <v>19.948851923961801</v>
      </c>
      <c r="I56" s="1288">
        <v>10.843193903030301</v>
      </c>
      <c r="J56" s="1306">
        <v>10.3084391348349</v>
      </c>
      <c r="K56" s="1303">
        <v>1.5962666941643E-2</v>
      </c>
      <c r="L56" s="1288">
        <v>1.74041043643007E-3</v>
      </c>
      <c r="M56" s="1306">
        <v>1.6685589809334701E-2</v>
      </c>
      <c r="N56" s="1303">
        <v>8.1076112154708294E-3</v>
      </c>
      <c r="O56" s="1288">
        <v>3.0000008598028201E-3</v>
      </c>
      <c r="P56" s="1288">
        <v>6.2518791077505499E-3</v>
      </c>
      <c r="Q56" s="1280">
        <v>8.1076112154708294E-3</v>
      </c>
      <c r="R56" s="1303">
        <v>3.8500011034136201E-2</v>
      </c>
      <c r="S56" s="1288">
        <v>3.8500011034136201E-2</v>
      </c>
      <c r="T56" s="1288">
        <v>3.8500011034136201E-2</v>
      </c>
      <c r="U56" s="1280">
        <v>1.9250005517068101E-2</v>
      </c>
      <c r="V56" s="1294">
        <v>1.66844279074586E-2</v>
      </c>
    </row>
    <row r="57" spans="1:22" s="212" customFormat="1" ht="15.5" x14ac:dyDescent="0.35">
      <c r="A57" s="194">
        <v>2015</v>
      </c>
      <c r="B57" s="195" t="s">
        <v>5833</v>
      </c>
      <c r="C57" s="197">
        <v>1998</v>
      </c>
      <c r="D57" s="234" t="s">
        <v>1022</v>
      </c>
      <c r="E57" s="1231">
        <v>0.144084917901867</v>
      </c>
      <c r="F57" s="1288">
        <v>3.5701379448668899E-2</v>
      </c>
      <c r="G57" s="1306">
        <v>0.45484180524315199</v>
      </c>
      <c r="H57" s="1303">
        <v>20.077880125500599</v>
      </c>
      <c r="I57" s="1288">
        <v>0.93462012559784202</v>
      </c>
      <c r="J57" s="1306">
        <v>7.1516033970721899</v>
      </c>
      <c r="K57" s="1303">
        <v>1.7101623935045999E-2</v>
      </c>
      <c r="L57" s="1288">
        <v>1.77607364631876E-3</v>
      </c>
      <c r="M57" s="1306">
        <v>1.2712606610810201E-2</v>
      </c>
      <c r="N57" s="1303">
        <v>8.0788437157954009E-3</v>
      </c>
      <c r="O57" s="1288">
        <v>3.0000008598028201E-3</v>
      </c>
      <c r="P57" s="1288">
        <v>3.0000008598724602E-3</v>
      </c>
      <c r="Q57" s="1280">
        <v>8.0788437157954009E-3</v>
      </c>
      <c r="R57" s="1303">
        <v>3.8500011034136201E-2</v>
      </c>
      <c r="S57" s="1288">
        <v>3.8500011034136201E-2</v>
      </c>
      <c r="T57" s="1288">
        <v>3.8500011034136201E-2</v>
      </c>
      <c r="U57" s="1280">
        <v>1.9250005517068101E-2</v>
      </c>
      <c r="V57" s="1294">
        <v>1.78748834820565E-2</v>
      </c>
    </row>
    <row r="58" spans="1:22" s="212" customFormat="1" ht="15.5" x14ac:dyDescent="0.35">
      <c r="A58" s="194">
        <v>2015</v>
      </c>
      <c r="B58" s="195" t="s">
        <v>5833</v>
      </c>
      <c r="C58" s="197">
        <v>1999</v>
      </c>
      <c r="D58" s="234" t="s">
        <v>1023</v>
      </c>
      <c r="E58" s="1231">
        <v>0.128653142219089</v>
      </c>
      <c r="F58" s="1288">
        <v>3.49957956982151E-2</v>
      </c>
      <c r="G58" s="1306">
        <v>0.93747047787523796</v>
      </c>
      <c r="H58" s="1303">
        <v>20.675286492113401</v>
      </c>
      <c r="I58" s="1288">
        <v>0.52609049210626002</v>
      </c>
      <c r="J58" s="1306">
        <v>12.0539793298299</v>
      </c>
      <c r="K58" s="1303">
        <v>1.5884090256260801E-2</v>
      </c>
      <c r="L58" s="1288">
        <v>2.9226389020653699E-3</v>
      </c>
      <c r="M58" s="1306">
        <v>2.0029240874186199E-2</v>
      </c>
      <c r="N58" s="1303">
        <v>8.8960162157323708E-3</v>
      </c>
      <c r="O58" s="1288">
        <v>2.1706127820441002E-3</v>
      </c>
      <c r="P58" s="1288">
        <v>9.0000025796510199E-3</v>
      </c>
      <c r="Q58" s="1280">
        <v>8.8960162157323708E-3</v>
      </c>
      <c r="R58" s="1303">
        <v>3.8492321861818099E-2</v>
      </c>
      <c r="S58" s="1288">
        <v>3.2984580317040699E-2</v>
      </c>
      <c r="T58" s="1288">
        <v>3.8500011034136201E-2</v>
      </c>
      <c r="U58" s="1280">
        <v>1.924616093090905E-2</v>
      </c>
      <c r="V58" s="1294">
        <v>1.66022983330423E-2</v>
      </c>
    </row>
    <row r="59" spans="1:22" s="212" customFormat="1" ht="15.5" x14ac:dyDescent="0.35">
      <c r="A59" s="194">
        <v>2015</v>
      </c>
      <c r="B59" s="195" t="s">
        <v>5833</v>
      </c>
      <c r="C59" s="197">
        <v>2000</v>
      </c>
      <c r="D59" s="234" t="s">
        <v>1024</v>
      </c>
      <c r="E59" s="1231">
        <v>0.170994932996133</v>
      </c>
      <c r="F59" s="1288">
        <v>1.9089116680099601E-2</v>
      </c>
      <c r="G59" s="1306">
        <v>1.4594671449026999</v>
      </c>
      <c r="H59" s="1303">
        <v>21.314322149130899</v>
      </c>
      <c r="I59" s="1288">
        <v>0.41833879081905301</v>
      </c>
      <c r="J59" s="1306">
        <v>15.2885284134797</v>
      </c>
      <c r="K59" s="1303">
        <v>2.0156190725976301E-2</v>
      </c>
      <c r="L59" s="1288">
        <v>1.59145935759866E-3</v>
      </c>
      <c r="M59" s="1306">
        <v>1.9380257669397299E-2</v>
      </c>
      <c r="N59" s="1303">
        <v>8.93477794928519E-3</v>
      </c>
      <c r="O59" s="1288">
        <v>2.1679382400936601E-3</v>
      </c>
      <c r="P59" s="1288">
        <v>8.7311852813193504E-3</v>
      </c>
      <c r="Q59" s="1280">
        <v>8.93477794928519E-3</v>
      </c>
      <c r="R59" s="1303">
        <v>3.8500011034136201E-2</v>
      </c>
      <c r="S59" s="1288">
        <v>3.2966794613070297E-2</v>
      </c>
      <c r="T59" s="1288">
        <v>3.8500011034136201E-2</v>
      </c>
      <c r="U59" s="1280">
        <v>1.9250005517068101E-2</v>
      </c>
      <c r="V59" s="1294">
        <v>2.10675642288333E-2</v>
      </c>
    </row>
    <row r="60" spans="1:22" s="212" customFormat="1" ht="15.5" x14ac:dyDescent="0.35">
      <c r="A60" s="194">
        <v>2015</v>
      </c>
      <c r="B60" s="195" t="s">
        <v>5833</v>
      </c>
      <c r="C60" s="197">
        <v>2001</v>
      </c>
      <c r="D60" s="234" t="s">
        <v>1025</v>
      </c>
      <c r="E60" s="1231">
        <v>0.13902122301592701</v>
      </c>
      <c r="F60" s="1288">
        <v>3.4070835796664499E-2</v>
      </c>
      <c r="G60" s="1306">
        <v>1.4611303048436901</v>
      </c>
      <c r="H60" s="1303">
        <v>20.481289548873999</v>
      </c>
      <c r="I60" s="1288">
        <v>0.85568117097446295</v>
      </c>
      <c r="J60" s="1306">
        <v>15.339797973884099</v>
      </c>
      <c r="K60" s="1303">
        <v>1.6776362398871401E-2</v>
      </c>
      <c r="L60" s="1288">
        <v>1.74104024029789E-3</v>
      </c>
      <c r="M60" s="1306">
        <v>1.9697849587492499E-2</v>
      </c>
      <c r="N60" s="1303">
        <v>8.5490069148090892E-3</v>
      </c>
      <c r="O60" s="1288">
        <v>3.0000008598028201E-3</v>
      </c>
      <c r="P60" s="1288">
        <v>8.9239223662758195E-3</v>
      </c>
      <c r="Q60" s="1280">
        <v>8.5490069148090892E-3</v>
      </c>
      <c r="R60" s="1303">
        <v>3.8500011034136201E-2</v>
      </c>
      <c r="S60" s="1288">
        <v>3.8500011034136201E-2</v>
      </c>
      <c r="T60" s="1288">
        <v>3.8500011034136097E-2</v>
      </c>
      <c r="U60" s="1280">
        <v>1.9250005517068101E-2</v>
      </c>
      <c r="V60" s="1294">
        <v>1.7534915062542799E-2</v>
      </c>
    </row>
    <row r="61" spans="1:22" s="212" customFormat="1" ht="15.5" x14ac:dyDescent="0.35">
      <c r="A61" s="194">
        <v>2015</v>
      </c>
      <c r="B61" s="195" t="s">
        <v>5833</v>
      </c>
      <c r="C61" s="197">
        <v>2002</v>
      </c>
      <c r="D61" s="234" t="s">
        <v>1026</v>
      </c>
      <c r="E61" s="1231">
        <v>0.139585496372295</v>
      </c>
      <c r="F61" s="1288">
        <v>3.3960901513490203E-2</v>
      </c>
      <c r="G61" s="1306">
        <v>0.97008200329260696</v>
      </c>
      <c r="H61" s="1303">
        <v>20.218298540252398</v>
      </c>
      <c r="I61" s="1288">
        <v>0.61644759381519698</v>
      </c>
      <c r="J61" s="1306">
        <v>11.902045864183799</v>
      </c>
      <c r="K61" s="1303">
        <v>1.6957668498487299E-2</v>
      </c>
      <c r="L61" s="1288">
        <v>2.39055126762317E-3</v>
      </c>
      <c r="M61" s="1306">
        <v>1.83809064408945E-2</v>
      </c>
      <c r="N61" s="1303">
        <v>8.3543466955955104E-3</v>
      </c>
      <c r="O61" s="1288">
        <v>2.60921580187165E-3</v>
      </c>
      <c r="P61" s="1288">
        <v>7.58812844719491E-3</v>
      </c>
      <c r="Q61" s="1306">
        <v>3.0000008598802599E-3</v>
      </c>
      <c r="R61" s="1303">
        <v>3.8454207227772701E-2</v>
      </c>
      <c r="S61" s="1288">
        <v>3.5901290398893899E-2</v>
      </c>
      <c r="T61" s="1288">
        <v>3.8487571128780103E-2</v>
      </c>
      <c r="U61" s="1306">
        <v>1.9250005517068101E-2</v>
      </c>
      <c r="V61" s="1294">
        <v>1.7724419019449399E-2</v>
      </c>
    </row>
    <row r="62" spans="1:22" s="212" customFormat="1" ht="15.5" x14ac:dyDescent="0.35">
      <c r="A62" s="194">
        <v>2015</v>
      </c>
      <c r="B62" s="195" t="s">
        <v>5833</v>
      </c>
      <c r="C62" s="197">
        <v>2003</v>
      </c>
      <c r="D62" s="234" t="s">
        <v>1027</v>
      </c>
      <c r="E62" s="1231">
        <v>5.9907322634223603E-2</v>
      </c>
      <c r="F62" s="1288">
        <v>4.15749768224625E-2</v>
      </c>
      <c r="G62" s="1306">
        <v>1.1302045326034</v>
      </c>
      <c r="H62" s="1303">
        <v>7.2014161721503198</v>
      </c>
      <c r="I62" s="1288">
        <v>0.78572252100700601</v>
      </c>
      <c r="J62" s="1306">
        <v>10.0864030493171</v>
      </c>
      <c r="K62" s="1303">
        <v>1.0970454399534001E-2</v>
      </c>
      <c r="L62" s="1288">
        <v>2.4015445551761401E-3</v>
      </c>
      <c r="M62" s="1306">
        <v>9.0865865794773504E-3</v>
      </c>
      <c r="N62" s="1303">
        <v>8.1719595247597906E-3</v>
      </c>
      <c r="O62" s="1288">
        <v>2.95538854965386E-3</v>
      </c>
      <c r="P62" s="1288">
        <v>6.0832177127772497E-3</v>
      </c>
      <c r="Q62" s="1306">
        <v>3.0000008598899701E-3</v>
      </c>
      <c r="R62" s="1303">
        <v>3.8500011034136201E-2</v>
      </c>
      <c r="S62" s="1288">
        <v>3.8203339171645603E-2</v>
      </c>
      <c r="T62" s="1288">
        <v>3.8484495084289999E-2</v>
      </c>
      <c r="U62" s="1306">
        <v>1.9250005517068101E-2</v>
      </c>
      <c r="V62" s="1294">
        <v>1.1466489666810501E-2</v>
      </c>
    </row>
    <row r="63" spans="1:22" s="212" customFormat="1" ht="15.5" x14ac:dyDescent="0.35">
      <c r="A63" s="194">
        <v>2015</v>
      </c>
      <c r="B63" s="195" t="s">
        <v>5833</v>
      </c>
      <c r="C63" s="197">
        <v>2004</v>
      </c>
      <c r="D63" s="234" t="s">
        <v>1028</v>
      </c>
      <c r="E63" s="1231">
        <v>8.7383516719271401E-2</v>
      </c>
      <c r="F63" s="1288">
        <v>1.44101277636651E-2</v>
      </c>
      <c r="G63" s="1306">
        <v>2.0629669964199899</v>
      </c>
      <c r="H63" s="1303">
        <v>8.3646281531770796</v>
      </c>
      <c r="I63" s="1288">
        <v>0.327055692320111</v>
      </c>
      <c r="J63" s="1306">
        <v>13.4900510854673</v>
      </c>
      <c r="K63" s="1303">
        <v>1.23092585278204E-2</v>
      </c>
      <c r="L63" s="1288">
        <v>1.3561193431010801E-4</v>
      </c>
      <c r="M63" s="1306">
        <v>1.1779075186086001E-2</v>
      </c>
      <c r="N63" s="1303">
        <v>7.8146890617869207E-3</v>
      </c>
      <c r="O63" s="1288">
        <v>2.79712670283322E-3</v>
      </c>
      <c r="P63" s="1288">
        <v>8.6059908381578201E-3</v>
      </c>
      <c r="Q63" s="1306">
        <v>9.0000025805512095E-3</v>
      </c>
      <c r="R63" s="1303">
        <v>3.8432094291713403E-2</v>
      </c>
      <c r="S63" s="1288">
        <v>3.7150897890288297E-2</v>
      </c>
      <c r="T63" s="1288">
        <v>3.8498820368940097E-2</v>
      </c>
      <c r="U63" s="1306">
        <v>1.9250005517068101E-2</v>
      </c>
      <c r="V63" s="1294">
        <v>1.28658285769227E-2</v>
      </c>
    </row>
    <row r="64" spans="1:22" s="212" customFormat="1" ht="15.5" x14ac:dyDescent="0.35">
      <c r="A64" s="194">
        <v>2015</v>
      </c>
      <c r="B64" s="195" t="s">
        <v>5833</v>
      </c>
      <c r="C64" s="197">
        <v>2005</v>
      </c>
      <c r="D64" s="234" t="s">
        <v>1029</v>
      </c>
      <c r="E64" s="1231">
        <v>4.2959179706912397E-2</v>
      </c>
      <c r="F64" s="1288">
        <v>2.10659095695763E-2</v>
      </c>
      <c r="G64" s="1306">
        <v>1.90563919760107</v>
      </c>
      <c r="H64" s="1303">
        <v>5.0807731049642699</v>
      </c>
      <c r="I64" s="1288">
        <v>0.37538688191583303</v>
      </c>
      <c r="J64" s="1306">
        <v>13.299107381307801</v>
      </c>
      <c r="K64" s="1303">
        <v>7.3456774848398004E-3</v>
      </c>
      <c r="L64" s="1288">
        <v>1.89650075017426E-4</v>
      </c>
      <c r="M64" s="1306">
        <v>1.1504578509382701E-2</v>
      </c>
      <c r="N64" s="1303">
        <v>3.0000008598494799E-3</v>
      </c>
      <c r="O64" s="1288">
        <v>2.9457598058740902E-3</v>
      </c>
      <c r="P64" s="1288">
        <v>8.8027006452776804E-3</v>
      </c>
      <c r="Q64" s="1280">
        <v>9.0000025817785247E-3</v>
      </c>
      <c r="R64" s="1303">
        <v>3.8470871716179501E-2</v>
      </c>
      <c r="S64" s="1288">
        <v>3.8139308025510098E-2</v>
      </c>
      <c r="T64" s="1288">
        <v>3.8500011034136201E-2</v>
      </c>
      <c r="U64" s="1280">
        <v>1.9250005517068101E-2</v>
      </c>
      <c r="V64" s="1294">
        <v>7.67781642474317E-3</v>
      </c>
    </row>
    <row r="65" spans="1:22" s="212" customFormat="1" ht="15.5" x14ac:dyDescent="0.35">
      <c r="A65" s="194">
        <v>2015</v>
      </c>
      <c r="B65" s="195" t="s">
        <v>5833</v>
      </c>
      <c r="C65" s="197">
        <v>2006</v>
      </c>
      <c r="D65" s="234" t="s">
        <v>1030</v>
      </c>
      <c r="E65" s="1231">
        <v>5.3616804529564001E-2</v>
      </c>
      <c r="F65" s="1288">
        <v>1.08239435535941E-2</v>
      </c>
      <c r="G65" s="1306">
        <v>1.7062522343518001</v>
      </c>
      <c r="H65" s="1303">
        <v>5.7079926605623399</v>
      </c>
      <c r="I65" s="1288">
        <v>0.21168168414341801</v>
      </c>
      <c r="J65" s="1306">
        <v>12.050623360403099</v>
      </c>
      <c r="K65" s="1303">
        <v>9.9660342688873797E-3</v>
      </c>
      <c r="L65" s="1288">
        <v>1.10379655345294E-4</v>
      </c>
      <c r="M65" s="1306">
        <v>1.22558429734519E-2</v>
      </c>
      <c r="N65" s="1303">
        <v>4.4848222118434597E-3</v>
      </c>
      <c r="O65" s="1288">
        <v>2.2721017315619602E-3</v>
      </c>
      <c r="P65" s="1288">
        <v>7.46523718119174E-3</v>
      </c>
      <c r="Q65" s="1280">
        <v>9.0000025817785247E-3</v>
      </c>
      <c r="R65" s="1303">
        <v>3.8417636387357602E-2</v>
      </c>
      <c r="S65" s="1288">
        <v>3.3659481831334499E-2</v>
      </c>
      <c r="T65" s="1288">
        <v>3.8390275152547802E-2</v>
      </c>
      <c r="U65" s="1280">
        <v>1.9250005517068101E-2</v>
      </c>
      <c r="V65" s="1294">
        <v>1.0416654114904301E-2</v>
      </c>
    </row>
    <row r="66" spans="1:22" s="212" customFormat="1" ht="15.5" x14ac:dyDescent="0.35">
      <c r="A66" s="194">
        <v>2015</v>
      </c>
      <c r="B66" s="195" t="s">
        <v>5833</v>
      </c>
      <c r="C66" s="197">
        <v>2007</v>
      </c>
      <c r="D66" s="234" t="s">
        <v>1031</v>
      </c>
      <c r="E66" s="1231">
        <v>0.213251447991129</v>
      </c>
      <c r="F66" s="1288">
        <v>1.6381712821778499E-2</v>
      </c>
      <c r="G66" s="1306">
        <v>2.8873965840059499E-2</v>
      </c>
      <c r="H66" s="1303">
        <v>4.7353575009936097</v>
      </c>
      <c r="I66" s="1288">
        <v>0.285161806939421</v>
      </c>
      <c r="J66" s="1306">
        <v>0.92718142308913598</v>
      </c>
      <c r="K66" s="1303">
        <v>7.7590955995715596E-3</v>
      </c>
      <c r="L66" s="1288">
        <v>1.55887528158608E-4</v>
      </c>
      <c r="M66" s="1306">
        <v>4.3748167529011298E-4</v>
      </c>
      <c r="N66" s="1303">
        <v>6.4974295566722698E-3</v>
      </c>
      <c r="O66" s="1288">
        <v>2.7305701682907202E-3</v>
      </c>
      <c r="P66" s="1288">
        <v>8.6272778418512198E-3</v>
      </c>
      <c r="Q66" s="1280">
        <v>9.0000025817785247E-3</v>
      </c>
      <c r="R66" s="1303">
        <v>3.8489831942217299E-2</v>
      </c>
      <c r="S66" s="1288">
        <v>3.6708296935580698E-2</v>
      </c>
      <c r="T66" s="1288">
        <v>3.8487430839257299E-2</v>
      </c>
      <c r="U66" s="1280">
        <v>1.9250005517068101E-2</v>
      </c>
      <c r="V66" s="1294">
        <v>8.1099274721073908E-3</v>
      </c>
    </row>
    <row r="67" spans="1:22" s="212" customFormat="1" ht="15.5" x14ac:dyDescent="0.35">
      <c r="A67" s="194">
        <v>2015</v>
      </c>
      <c r="B67" s="195" t="s">
        <v>5833</v>
      </c>
      <c r="C67" s="197">
        <v>2008</v>
      </c>
      <c r="D67" s="234" t="s">
        <v>1032</v>
      </c>
      <c r="E67" s="1231">
        <v>0.24661421691944599</v>
      </c>
      <c r="F67" s="1288">
        <v>1.5623337846434601E-2</v>
      </c>
      <c r="G67" s="1306">
        <v>2.8403458179441399E-2</v>
      </c>
      <c r="H67" s="1303">
        <v>4.9394206275118799</v>
      </c>
      <c r="I67" s="1288">
        <v>0.25188104887595397</v>
      </c>
      <c r="J67" s="1306">
        <v>0.79309550959822706</v>
      </c>
      <c r="K67" s="1303">
        <v>1.4789615162812599E-2</v>
      </c>
      <c r="L67" s="1288">
        <v>1.72079995008569E-4</v>
      </c>
      <c r="M67" s="1306">
        <v>1.56216234683822E-3</v>
      </c>
      <c r="N67" s="1303">
        <v>7.1416207760444002E-3</v>
      </c>
      <c r="O67" s="1288">
        <v>2.7558203348685998E-3</v>
      </c>
      <c r="P67" s="1288">
        <v>8.4111125578774908E-3</v>
      </c>
      <c r="Q67" s="1306">
        <v>9.0000025830058398E-3</v>
      </c>
      <c r="R67" s="1303">
        <v>3.7948331637511899E-2</v>
      </c>
      <c r="S67" s="1288">
        <v>3.6876210543323601E-2</v>
      </c>
      <c r="T67" s="1288">
        <v>3.8352378302805502E-2</v>
      </c>
      <c r="U67" s="1306">
        <v>1.9250005517068101E-2</v>
      </c>
      <c r="V67" s="1294">
        <v>1.5458335932529601E-2</v>
      </c>
    </row>
    <row r="68" spans="1:22" s="212" customFormat="1" ht="15.5" x14ac:dyDescent="0.35">
      <c r="A68" s="194">
        <v>2015</v>
      </c>
      <c r="B68" s="195" t="s">
        <v>5833</v>
      </c>
      <c r="C68" s="197">
        <v>2009</v>
      </c>
      <c r="D68" s="234" t="s">
        <v>1033</v>
      </c>
      <c r="E68" s="1231">
        <v>0.22943026498199701</v>
      </c>
      <c r="F68" s="1288">
        <v>1.2376679677647299E-2</v>
      </c>
      <c r="G68" s="1306">
        <v>2.4297197954558598E-2</v>
      </c>
      <c r="H68" s="1303">
        <v>4.9005787992425196</v>
      </c>
      <c r="I68" s="1288">
        <v>0.190642353026519</v>
      </c>
      <c r="J68" s="1306">
        <v>0.60388742465603595</v>
      </c>
      <c r="K68" s="1303">
        <v>8.7416069350863095E-3</v>
      </c>
      <c r="L68" s="1288">
        <v>1.7323780026536501E-4</v>
      </c>
      <c r="M68" s="1306">
        <v>1.9031651244950799E-3</v>
      </c>
      <c r="N68" s="1303">
        <v>6.8798869126690003E-3</v>
      </c>
      <c r="O68" s="1288">
        <v>2.6306168880331098E-3</v>
      </c>
      <c r="P68" s="1288">
        <v>6.6191086586298697E-3</v>
      </c>
      <c r="Q68" s="1280">
        <v>8.9870410485194153E-3</v>
      </c>
      <c r="R68" s="1303">
        <v>3.8425555201252702E-2</v>
      </c>
      <c r="S68" s="1288">
        <v>3.6043607621867597E-2</v>
      </c>
      <c r="T68" s="1288">
        <v>3.8264089920962897E-2</v>
      </c>
      <c r="U68" s="1280">
        <v>1.9250005517068101E-2</v>
      </c>
      <c r="V68" s="1294">
        <v>9.1368636103846407E-3</v>
      </c>
    </row>
    <row r="69" spans="1:22" s="212" customFormat="1" ht="15.5" x14ac:dyDescent="0.35">
      <c r="A69" s="194">
        <v>2015</v>
      </c>
      <c r="B69" s="195" t="s">
        <v>5833</v>
      </c>
      <c r="C69" s="197">
        <v>2010</v>
      </c>
      <c r="D69" s="234" t="s">
        <v>1034</v>
      </c>
      <c r="E69" s="1231">
        <v>7.6009773211540302E-2</v>
      </c>
      <c r="F69" s="1288">
        <v>1.5850697176193199E-2</v>
      </c>
      <c r="G69" s="1306">
        <v>2.478383051224E-2</v>
      </c>
      <c r="H69" s="1303">
        <v>0.44679938377879302</v>
      </c>
      <c r="I69" s="1288">
        <v>0.21604243211499699</v>
      </c>
      <c r="J69" s="1306">
        <v>0.74458212188856399</v>
      </c>
      <c r="K69" s="1303">
        <v>8.1086170823205395E-3</v>
      </c>
      <c r="L69" s="1288">
        <v>2.35710413020015E-4</v>
      </c>
      <c r="M69" s="1306">
        <v>4.7914935410085801E-4</v>
      </c>
      <c r="N69" s="1303">
        <v>8.5443337336202092E-3</v>
      </c>
      <c r="O69" s="1288">
        <v>2.8189466415571999E-3</v>
      </c>
      <c r="P69" s="1288">
        <v>8.1427952124505203E-3</v>
      </c>
      <c r="Q69" s="1306">
        <v>8.9740795140329892E-3</v>
      </c>
      <c r="R69" s="1303">
        <v>3.8069933252061601E-2</v>
      </c>
      <c r="S69" s="1288">
        <v>3.7296000482802801E-2</v>
      </c>
      <c r="T69" s="1288">
        <v>3.83449226245225E-2</v>
      </c>
      <c r="U69" s="1306">
        <v>1.9250005517068101E-2</v>
      </c>
      <c r="V69" s="1294">
        <v>8.4752527653276701E-3</v>
      </c>
    </row>
    <row r="70" spans="1:22" s="212" customFormat="1" ht="15.5" x14ac:dyDescent="0.35">
      <c r="A70" s="194">
        <v>2015</v>
      </c>
      <c r="B70" s="195" t="s">
        <v>5833</v>
      </c>
      <c r="C70" s="197">
        <v>2011</v>
      </c>
      <c r="D70" s="234" t="s">
        <v>999</v>
      </c>
      <c r="E70" s="1231">
        <v>6.1518315227685999E-2</v>
      </c>
      <c r="F70" s="1288">
        <v>1.1811302651766701E-2</v>
      </c>
      <c r="G70" s="1306">
        <v>2.28715483587432E-2</v>
      </c>
      <c r="H70" s="1303">
        <v>0.33239047496169599</v>
      </c>
      <c r="I70" s="1288">
        <v>0.156244987737472</v>
      </c>
      <c r="J70" s="1306">
        <v>0.63730033998610103</v>
      </c>
      <c r="K70" s="1303">
        <v>6.0225907666004996E-3</v>
      </c>
      <c r="L70" s="1288">
        <v>2.6279010993357201E-4</v>
      </c>
      <c r="M70" s="1306">
        <v>5.5875404623672296E-4</v>
      </c>
      <c r="N70" s="1303">
        <v>7.1137979765359396E-3</v>
      </c>
      <c r="O70" s="1288">
        <v>2.6174623258169798E-3</v>
      </c>
      <c r="P70" s="1288">
        <v>7.5923971492721396E-3</v>
      </c>
      <c r="Q70" s="1280">
        <v>7.0577495098574049E-3</v>
      </c>
      <c r="R70" s="1303">
        <v>3.8413112715274297E-2</v>
      </c>
      <c r="S70" s="1288">
        <v>3.59561297831303E-2</v>
      </c>
      <c r="T70" s="1288">
        <v>3.8251425134130802E-2</v>
      </c>
      <c r="U70" s="1280">
        <v>1.9250005517068101E-2</v>
      </c>
      <c r="V70" s="1294">
        <v>6.2949055962154598E-3</v>
      </c>
    </row>
    <row r="71" spans="1:22" s="212" customFormat="1" ht="15.5" x14ac:dyDescent="0.35">
      <c r="A71" s="194">
        <v>2015</v>
      </c>
      <c r="B71" s="195" t="s">
        <v>5833</v>
      </c>
      <c r="C71" s="197">
        <v>2012</v>
      </c>
      <c r="D71" s="234" t="s">
        <v>1000</v>
      </c>
      <c r="E71" s="1231">
        <v>7.7532405791450307E-2</v>
      </c>
      <c r="F71" s="1288">
        <v>1.1023459762938901E-2</v>
      </c>
      <c r="G71" s="1306">
        <v>2.4222022977378299E-2</v>
      </c>
      <c r="H71" s="1303">
        <v>0.48728689579196999</v>
      </c>
      <c r="I71" s="1288">
        <v>0.120474496773627</v>
      </c>
      <c r="J71" s="1306">
        <v>0.74454281343251005</v>
      </c>
      <c r="K71" s="1303">
        <v>6.8136519918308497E-3</v>
      </c>
      <c r="L71" s="1288">
        <v>3.6488772802789599E-4</v>
      </c>
      <c r="M71" s="1306">
        <v>3.7711146599282399E-4</v>
      </c>
      <c r="N71" s="1303">
        <v>8.4640653818421098E-3</v>
      </c>
      <c r="O71" s="1288">
        <v>2.5299061281483198E-3</v>
      </c>
      <c r="P71" s="1288">
        <v>7.9885809253934202E-3</v>
      </c>
      <c r="Q71" s="1306">
        <v>5.1414195056818197E-3</v>
      </c>
      <c r="R71" s="1303">
        <v>3.8500011034136201E-2</v>
      </c>
      <c r="S71" s="1288">
        <v>3.5373881068633699E-2</v>
      </c>
      <c r="T71" s="1288">
        <v>3.8334326355824497E-2</v>
      </c>
      <c r="U71" s="1306">
        <v>1.9250005517068101E-2</v>
      </c>
      <c r="V71" s="1294">
        <v>7.1217350997685299E-3</v>
      </c>
    </row>
    <row r="72" spans="1:22" s="212" customFormat="1" ht="15.5" x14ac:dyDescent="0.35">
      <c r="A72" s="194">
        <v>2015</v>
      </c>
      <c r="B72" s="195" t="s">
        <v>5833</v>
      </c>
      <c r="C72" s="197">
        <v>2013</v>
      </c>
      <c r="D72" s="234" t="s">
        <v>1001</v>
      </c>
      <c r="E72" s="1231">
        <v>7.1620285463211905E-2</v>
      </c>
      <c r="F72" s="1288">
        <v>9.5479846333694305E-3</v>
      </c>
      <c r="G72" s="1306">
        <v>2.27585613463323E-2</v>
      </c>
      <c r="H72" s="1303">
        <v>0.40727000573649103</v>
      </c>
      <c r="I72" s="1288">
        <v>9.8297964762614903E-2</v>
      </c>
      <c r="J72" s="1306">
        <v>0.68223644842728304</v>
      </c>
      <c r="K72" s="1303">
        <v>7.21759076156267E-3</v>
      </c>
      <c r="L72" s="1288">
        <v>5.4698861168388799E-4</v>
      </c>
      <c r="M72" s="1306">
        <v>3.56289659950663E-4</v>
      </c>
      <c r="N72" s="1303">
        <v>8.5445232523368303E-3</v>
      </c>
      <c r="O72" s="1288">
        <v>2.3763429867463999E-3</v>
      </c>
      <c r="P72" s="1288">
        <v>7.71010914404996E-3</v>
      </c>
      <c r="Q72" s="1306">
        <v>3.00000086123158E-3</v>
      </c>
      <c r="R72" s="1303">
        <v>3.8500011034136201E-2</v>
      </c>
      <c r="S72" s="1288">
        <v>3.4352686178310998E-2</v>
      </c>
      <c r="T72" s="1288">
        <v>3.8320760039914803E-2</v>
      </c>
      <c r="U72" s="1306">
        <v>1.9250005517068101E-2</v>
      </c>
      <c r="V72" s="1294">
        <v>7.54393818821587E-3</v>
      </c>
    </row>
    <row r="73" spans="1:22" s="212" customFormat="1" ht="15.5" x14ac:dyDescent="0.35">
      <c r="A73" s="194">
        <v>2015</v>
      </c>
      <c r="B73" s="195" t="s">
        <v>5833</v>
      </c>
      <c r="C73" s="197">
        <v>2014</v>
      </c>
      <c r="D73" s="234" t="s">
        <v>1002</v>
      </c>
      <c r="E73" s="1231">
        <v>6.6662063567944199E-2</v>
      </c>
      <c r="F73" s="1288">
        <v>1.09033604878488E-2</v>
      </c>
      <c r="G73" s="1306">
        <v>2.7171158238727199E-2</v>
      </c>
      <c r="H73" s="1303">
        <v>0.37770373618133701</v>
      </c>
      <c r="I73" s="1288">
        <v>7.2745568671854097E-2</v>
      </c>
      <c r="J73" s="1306">
        <v>0.85852701518182695</v>
      </c>
      <c r="K73" s="1303">
        <v>6.4519084645360096E-3</v>
      </c>
      <c r="L73" s="1288">
        <v>7.4797539936589095E-4</v>
      </c>
      <c r="M73" s="1306">
        <v>3.0924833379510498E-4</v>
      </c>
      <c r="N73" s="1303">
        <v>7.7421107009969497E-3</v>
      </c>
      <c r="O73" s="1288">
        <v>2.2442948823738602E-3</v>
      </c>
      <c r="P73" s="1288">
        <v>8.4975871292692004E-3</v>
      </c>
      <c r="Q73" s="1306">
        <v>9.0000025830028196E-3</v>
      </c>
      <c r="R73" s="1303">
        <v>3.8500011034136201E-2</v>
      </c>
      <c r="S73" s="1288">
        <v>3.3474566284233599E-2</v>
      </c>
      <c r="T73" s="1288">
        <v>3.8446886064226603E-2</v>
      </c>
      <c r="U73" s="1306">
        <v>1.9250005517068101E-2</v>
      </c>
      <c r="V73" s="1294">
        <v>6.7436351353825398E-3</v>
      </c>
    </row>
    <row r="74" spans="1:22" s="212" customFormat="1" ht="15.5" x14ac:dyDescent="0.35">
      <c r="A74" s="194">
        <v>2015</v>
      </c>
      <c r="B74" s="195" t="s">
        <v>5833</v>
      </c>
      <c r="C74" s="197">
        <v>2015</v>
      </c>
      <c r="D74" s="234" t="s">
        <v>1003</v>
      </c>
      <c r="E74" s="1231">
        <v>6.0609803338754202E-2</v>
      </c>
      <c r="F74" s="1288">
        <v>1.28230612434735E-2</v>
      </c>
      <c r="G74" s="1306">
        <v>1.4360524963258899E-2</v>
      </c>
      <c r="H74" s="1303">
        <v>0.32466844088136099</v>
      </c>
      <c r="I74" s="1288">
        <v>0.114151541825612</v>
      </c>
      <c r="J74" s="1306">
        <v>0.36186065544791401</v>
      </c>
      <c r="K74" s="1303">
        <v>5.8750391333376902E-3</v>
      </c>
      <c r="L74" s="1288">
        <v>9.7393570421884903E-4</v>
      </c>
      <c r="M74" s="1306">
        <v>1.1355801407355801E-4</v>
      </c>
      <c r="N74" s="1303">
        <v>7.1195171363895304E-3</v>
      </c>
      <c r="O74" s="1288">
        <v>2.8862314826820401E-3</v>
      </c>
      <c r="P74" s="1288">
        <v>4.0586006670487304E-3</v>
      </c>
      <c r="Q74" s="1280">
        <v>9.0000025830028196E-3</v>
      </c>
      <c r="R74" s="1303">
        <v>3.8500011034136201E-2</v>
      </c>
      <c r="S74" s="1288">
        <v>3.7743444676283003E-2</v>
      </c>
      <c r="T74" s="1288">
        <v>3.8500011034136201E-2</v>
      </c>
      <c r="U74" s="1280">
        <v>1.9250005517068101E-2</v>
      </c>
      <c r="V74" s="1294">
        <v>6.1406823328471697E-3</v>
      </c>
    </row>
    <row r="75" spans="1:22" s="212" customFormat="1" ht="15.5" x14ac:dyDescent="0.35">
      <c r="A75" s="194">
        <v>2015</v>
      </c>
      <c r="B75" s="195" t="s">
        <v>5833</v>
      </c>
      <c r="C75" s="197">
        <v>2016</v>
      </c>
      <c r="D75" s="234" t="s">
        <v>1004</v>
      </c>
      <c r="E75" s="1226">
        <v>6.0609803338754202E-2</v>
      </c>
      <c r="F75" s="1257">
        <v>1.28230612434735E-2</v>
      </c>
      <c r="G75" s="1280">
        <v>1.4360524963258899E-2</v>
      </c>
      <c r="H75" s="1271">
        <v>0.32466844088136099</v>
      </c>
      <c r="I75" s="1257">
        <v>0.114151541825612</v>
      </c>
      <c r="J75" s="1280">
        <v>0.36186065544791401</v>
      </c>
      <c r="K75" s="1271">
        <v>5.8750391333376902E-3</v>
      </c>
      <c r="L75" s="1257">
        <v>9.7393570421884903E-4</v>
      </c>
      <c r="M75" s="1280">
        <v>1.1355801407355801E-4</v>
      </c>
      <c r="N75" s="1271">
        <v>7.1195171363895304E-3</v>
      </c>
      <c r="O75" s="1257">
        <v>2.8862314826820401E-3</v>
      </c>
      <c r="P75" s="1257">
        <v>4.0586006670487304E-3</v>
      </c>
      <c r="Q75" s="1280">
        <v>9.0000025830028196E-3</v>
      </c>
      <c r="R75" s="1271">
        <v>3.8500011034136201E-2</v>
      </c>
      <c r="S75" s="1257">
        <v>3.7743444676283003E-2</v>
      </c>
      <c r="T75" s="1257">
        <v>3.8500011034136201E-2</v>
      </c>
      <c r="U75" s="1280">
        <v>1.9250005517068101E-2</v>
      </c>
      <c r="V75" s="1293">
        <v>6.1406823328471697E-3</v>
      </c>
    </row>
    <row r="76" spans="1:22" s="212" customFormat="1" ht="15.5" x14ac:dyDescent="0.35">
      <c r="A76" s="194">
        <v>2016</v>
      </c>
      <c r="B76" s="195" t="s">
        <v>5833</v>
      </c>
      <c r="C76" s="197">
        <v>1971</v>
      </c>
      <c r="D76" s="234" t="s">
        <v>1005</v>
      </c>
      <c r="E76" s="1226">
        <v>0.25213015974242198</v>
      </c>
      <c r="F76" s="1257">
        <v>1.75306430623558</v>
      </c>
      <c r="G76" s="1280">
        <v>0.69517463233556498</v>
      </c>
      <c r="H76" s="1271">
        <v>22.505720923537201</v>
      </c>
      <c r="I76" s="1257">
        <v>11.066730655776</v>
      </c>
      <c r="J76" s="1280">
        <v>9.0740166190221991</v>
      </c>
      <c r="K76" s="1271">
        <v>2.8323042270187799E-2</v>
      </c>
      <c r="L76" s="1257">
        <v>1.74041043643007E-3</v>
      </c>
      <c r="M76" s="1280">
        <v>1.2891297755421201E-2</v>
      </c>
      <c r="N76" s="1271">
        <v>9.0000025830593907E-3</v>
      </c>
      <c r="O76" s="1257">
        <v>3.0000008598028201E-3</v>
      </c>
      <c r="P76" s="1257">
        <v>3.0000008611098601E-3</v>
      </c>
      <c r="Q76" s="1280">
        <v>8.7453081118563092E-3</v>
      </c>
      <c r="R76" s="1271">
        <v>3.8500011034136201E-2</v>
      </c>
      <c r="S76" s="1257">
        <v>3.8500011034136201E-2</v>
      </c>
      <c r="T76" s="1257">
        <v>3.8500011034136201E-2</v>
      </c>
      <c r="U76" s="1280">
        <v>1.9250005517068101E-2</v>
      </c>
      <c r="V76" s="1293">
        <v>2.9603684560007001E-2</v>
      </c>
    </row>
    <row r="77" spans="1:22" s="212" customFormat="1" ht="15.5" x14ac:dyDescent="0.35">
      <c r="A77" s="194">
        <v>2016</v>
      </c>
      <c r="B77" s="195" t="s">
        <v>5833</v>
      </c>
      <c r="C77" s="197">
        <v>1972</v>
      </c>
      <c r="D77" s="234" t="s">
        <v>1006</v>
      </c>
      <c r="E77" s="1226">
        <v>0.25213015974242198</v>
      </c>
      <c r="F77" s="1257">
        <v>1.75306430623558</v>
      </c>
      <c r="G77" s="1280">
        <v>0.69517463233556498</v>
      </c>
      <c r="H77" s="1271">
        <v>22.505720923537201</v>
      </c>
      <c r="I77" s="1257">
        <v>11.066730655776</v>
      </c>
      <c r="J77" s="1280">
        <v>9.0740166190221991</v>
      </c>
      <c r="K77" s="1271">
        <v>2.8323042270187799E-2</v>
      </c>
      <c r="L77" s="1257">
        <v>1.74041043643007E-3</v>
      </c>
      <c r="M77" s="1280">
        <v>1.2891297755421201E-2</v>
      </c>
      <c r="N77" s="1271">
        <v>9.0000025830593907E-3</v>
      </c>
      <c r="O77" s="1257">
        <v>3.0000008598028201E-3</v>
      </c>
      <c r="P77" s="1257">
        <v>3.0000008611098601E-3</v>
      </c>
      <c r="Q77" s="1280">
        <v>8.7453081118563092E-3</v>
      </c>
      <c r="R77" s="1271">
        <v>3.8500011034136201E-2</v>
      </c>
      <c r="S77" s="1257">
        <v>3.8500011034136201E-2</v>
      </c>
      <c r="T77" s="1257">
        <v>3.8500011034136201E-2</v>
      </c>
      <c r="U77" s="1280">
        <v>1.9250005517068101E-2</v>
      </c>
      <c r="V77" s="1293">
        <v>2.9603684560007001E-2</v>
      </c>
    </row>
    <row r="78" spans="1:22" s="212" customFormat="1" ht="15.5" x14ac:dyDescent="0.35">
      <c r="A78" s="194">
        <v>2016</v>
      </c>
      <c r="B78" s="195" t="s">
        <v>5833</v>
      </c>
      <c r="C78" s="197">
        <v>1973</v>
      </c>
      <c r="D78" s="234" t="s">
        <v>1007</v>
      </c>
      <c r="E78" s="1226">
        <v>0.25213015974242198</v>
      </c>
      <c r="F78" s="1257">
        <v>1.75306430623558</v>
      </c>
      <c r="G78" s="1280">
        <v>0.69517463233556498</v>
      </c>
      <c r="H78" s="1271">
        <v>22.505720923537201</v>
      </c>
      <c r="I78" s="1257">
        <v>11.066730655776</v>
      </c>
      <c r="J78" s="1280">
        <v>9.0740166190221991</v>
      </c>
      <c r="K78" s="1271">
        <v>2.8323042270187799E-2</v>
      </c>
      <c r="L78" s="1257">
        <v>1.74041043643007E-3</v>
      </c>
      <c r="M78" s="1280">
        <v>1.2891297755421201E-2</v>
      </c>
      <c r="N78" s="1271">
        <v>9.0000025830593907E-3</v>
      </c>
      <c r="O78" s="1257">
        <v>3.0000008598028201E-3</v>
      </c>
      <c r="P78" s="1257">
        <v>3.0000008611098601E-3</v>
      </c>
      <c r="Q78" s="1280">
        <v>8.7453081118563092E-3</v>
      </c>
      <c r="R78" s="1271">
        <v>3.8500011034136201E-2</v>
      </c>
      <c r="S78" s="1257">
        <v>3.8500011034136201E-2</v>
      </c>
      <c r="T78" s="1257">
        <v>3.8500011034136201E-2</v>
      </c>
      <c r="U78" s="1280">
        <v>1.9250005517068101E-2</v>
      </c>
      <c r="V78" s="1293">
        <v>2.9603684560007001E-2</v>
      </c>
    </row>
    <row r="79" spans="1:22" s="212" customFormat="1" ht="15.5" x14ac:dyDescent="0.35">
      <c r="A79" s="194">
        <v>2016</v>
      </c>
      <c r="B79" s="195" t="s">
        <v>5833</v>
      </c>
      <c r="C79" s="197">
        <v>1974</v>
      </c>
      <c r="D79" s="234" t="s">
        <v>1008</v>
      </c>
      <c r="E79" s="1226">
        <v>0.25213015974242198</v>
      </c>
      <c r="F79" s="1257">
        <v>1.75306430623558</v>
      </c>
      <c r="G79" s="1280">
        <v>0.69517463233556498</v>
      </c>
      <c r="H79" s="1271">
        <v>22.505720923537201</v>
      </c>
      <c r="I79" s="1257">
        <v>11.066730655776</v>
      </c>
      <c r="J79" s="1280">
        <v>9.0740166190221991</v>
      </c>
      <c r="K79" s="1271">
        <v>2.8323042270187799E-2</v>
      </c>
      <c r="L79" s="1257">
        <v>1.74041043643007E-3</v>
      </c>
      <c r="M79" s="1280">
        <v>1.2891297755421201E-2</v>
      </c>
      <c r="N79" s="1271">
        <v>9.0000025830593907E-3</v>
      </c>
      <c r="O79" s="1257">
        <v>3.0000008598028201E-3</v>
      </c>
      <c r="P79" s="1257">
        <v>3.0000008611098601E-3</v>
      </c>
      <c r="Q79" s="1280">
        <v>8.7453081118563092E-3</v>
      </c>
      <c r="R79" s="1271">
        <v>3.8500011034136201E-2</v>
      </c>
      <c r="S79" s="1257">
        <v>3.8500011034136201E-2</v>
      </c>
      <c r="T79" s="1257">
        <v>3.8500011034136201E-2</v>
      </c>
      <c r="U79" s="1280">
        <v>1.9250005517068101E-2</v>
      </c>
      <c r="V79" s="1293">
        <v>2.9603684560007001E-2</v>
      </c>
    </row>
    <row r="80" spans="1:22" s="212" customFormat="1" ht="15.5" x14ac:dyDescent="0.35">
      <c r="A80" s="194">
        <v>2016</v>
      </c>
      <c r="B80" s="195" t="s">
        <v>5833</v>
      </c>
      <c r="C80" s="197">
        <v>1975</v>
      </c>
      <c r="D80" s="234" t="s">
        <v>1009</v>
      </c>
      <c r="E80" s="1226">
        <v>0.25213015974242198</v>
      </c>
      <c r="F80" s="1257">
        <v>1.75306430623558</v>
      </c>
      <c r="G80" s="1280">
        <v>0.69517463233556498</v>
      </c>
      <c r="H80" s="1271">
        <v>22.505720923537201</v>
      </c>
      <c r="I80" s="1257">
        <v>11.066730655776</v>
      </c>
      <c r="J80" s="1280">
        <v>9.0740166190221991</v>
      </c>
      <c r="K80" s="1271">
        <v>2.8323042270187799E-2</v>
      </c>
      <c r="L80" s="1257">
        <v>1.74041043643007E-3</v>
      </c>
      <c r="M80" s="1280">
        <v>1.2891297755421201E-2</v>
      </c>
      <c r="N80" s="1271">
        <v>9.0000025830593907E-3</v>
      </c>
      <c r="O80" s="1257">
        <v>3.0000008598028201E-3</v>
      </c>
      <c r="P80" s="1257">
        <v>3.0000008611098601E-3</v>
      </c>
      <c r="Q80" s="1280">
        <v>8.7453081118563092E-3</v>
      </c>
      <c r="R80" s="1271">
        <v>3.8500011034136201E-2</v>
      </c>
      <c r="S80" s="1257">
        <v>3.8500011034136201E-2</v>
      </c>
      <c r="T80" s="1257">
        <v>3.8500011034136201E-2</v>
      </c>
      <c r="U80" s="1280">
        <v>1.9250005517068101E-2</v>
      </c>
      <c r="V80" s="1293">
        <v>2.9603684560007001E-2</v>
      </c>
    </row>
    <row r="81" spans="1:22" s="212" customFormat="1" ht="15.5" x14ac:dyDescent="0.35">
      <c r="A81" s="194">
        <v>2016</v>
      </c>
      <c r="B81" s="195" t="s">
        <v>5833</v>
      </c>
      <c r="C81" s="197">
        <v>1976</v>
      </c>
      <c r="D81" s="234" t="s">
        <v>1010</v>
      </c>
      <c r="E81" s="1226">
        <v>0.25213015974242198</v>
      </c>
      <c r="F81" s="1257">
        <v>1.75306430623558</v>
      </c>
      <c r="G81" s="1280">
        <v>0.69517463233556498</v>
      </c>
      <c r="H81" s="1271">
        <v>22.505720923537201</v>
      </c>
      <c r="I81" s="1257">
        <v>11.066730655776</v>
      </c>
      <c r="J81" s="1280">
        <v>9.0740166190221991</v>
      </c>
      <c r="K81" s="1271">
        <v>2.8323042270187799E-2</v>
      </c>
      <c r="L81" s="1257">
        <v>1.74041043643007E-3</v>
      </c>
      <c r="M81" s="1280">
        <v>1.2891297755421201E-2</v>
      </c>
      <c r="N81" s="1271">
        <v>9.0000025830593907E-3</v>
      </c>
      <c r="O81" s="1257">
        <v>3.0000008598028201E-3</v>
      </c>
      <c r="P81" s="1257">
        <v>3.0000008611098601E-3</v>
      </c>
      <c r="Q81" s="1280">
        <v>8.7453081118563092E-3</v>
      </c>
      <c r="R81" s="1271">
        <v>3.8500011034136201E-2</v>
      </c>
      <c r="S81" s="1257">
        <v>3.8500011034136201E-2</v>
      </c>
      <c r="T81" s="1257">
        <v>3.8500011034136201E-2</v>
      </c>
      <c r="U81" s="1280">
        <v>1.9250005517068101E-2</v>
      </c>
      <c r="V81" s="1293">
        <v>2.9603684560007001E-2</v>
      </c>
    </row>
    <row r="82" spans="1:22" s="212" customFormat="1" ht="15.5" x14ac:dyDescent="0.35">
      <c r="A82" s="194">
        <v>2016</v>
      </c>
      <c r="B82" s="195" t="s">
        <v>5833</v>
      </c>
      <c r="C82" s="197">
        <v>1977</v>
      </c>
      <c r="D82" s="234" t="s">
        <v>1011</v>
      </c>
      <c r="E82" s="1226">
        <v>0.25213015974242198</v>
      </c>
      <c r="F82" s="1257">
        <v>1.75306430623558</v>
      </c>
      <c r="G82" s="1280">
        <v>0.69517463233556498</v>
      </c>
      <c r="H82" s="1271">
        <v>22.505720923537201</v>
      </c>
      <c r="I82" s="1257">
        <v>11.066730655776</v>
      </c>
      <c r="J82" s="1280">
        <v>9.0740166190221991</v>
      </c>
      <c r="K82" s="1271">
        <v>2.8323042270187799E-2</v>
      </c>
      <c r="L82" s="1257">
        <v>1.74041043643007E-3</v>
      </c>
      <c r="M82" s="1280">
        <v>1.2891297755421201E-2</v>
      </c>
      <c r="N82" s="1271">
        <v>9.0000025830593907E-3</v>
      </c>
      <c r="O82" s="1257">
        <v>3.0000008598028201E-3</v>
      </c>
      <c r="P82" s="1257">
        <v>3.0000008611098601E-3</v>
      </c>
      <c r="Q82" s="1280">
        <v>8.7453081118563092E-3</v>
      </c>
      <c r="R82" s="1271">
        <v>3.8500011034136201E-2</v>
      </c>
      <c r="S82" s="1257">
        <v>3.8500011034136201E-2</v>
      </c>
      <c r="T82" s="1257">
        <v>3.8500011034136201E-2</v>
      </c>
      <c r="U82" s="1280">
        <v>1.9250005517068101E-2</v>
      </c>
      <c r="V82" s="1293">
        <v>2.9603684560007001E-2</v>
      </c>
    </row>
    <row r="83" spans="1:22" s="212" customFormat="1" ht="15.5" x14ac:dyDescent="0.35">
      <c r="A83" s="194">
        <v>2016</v>
      </c>
      <c r="B83" s="195" t="s">
        <v>5833</v>
      </c>
      <c r="C83" s="197">
        <v>1978</v>
      </c>
      <c r="D83" s="234" t="s">
        <v>1012</v>
      </c>
      <c r="E83" s="1226">
        <v>0.25213015974242198</v>
      </c>
      <c r="F83" s="1257">
        <v>1.75306430623558</v>
      </c>
      <c r="G83" s="1280">
        <v>0.69517463233556498</v>
      </c>
      <c r="H83" s="1271">
        <v>22.505720923537201</v>
      </c>
      <c r="I83" s="1257">
        <v>11.066730655776</v>
      </c>
      <c r="J83" s="1280">
        <v>9.0740166190221991</v>
      </c>
      <c r="K83" s="1271">
        <v>2.8323042270187799E-2</v>
      </c>
      <c r="L83" s="1257">
        <v>1.74041043643007E-3</v>
      </c>
      <c r="M83" s="1280">
        <v>1.2891297755421201E-2</v>
      </c>
      <c r="N83" s="1271">
        <v>9.0000025830593907E-3</v>
      </c>
      <c r="O83" s="1257">
        <v>3.0000008598028201E-3</v>
      </c>
      <c r="P83" s="1257">
        <v>3.0000008611098601E-3</v>
      </c>
      <c r="Q83" s="1280">
        <v>8.7453081118563092E-3</v>
      </c>
      <c r="R83" s="1271">
        <v>3.8500011034136201E-2</v>
      </c>
      <c r="S83" s="1257">
        <v>3.8500011034136201E-2</v>
      </c>
      <c r="T83" s="1257">
        <v>3.8500011034136201E-2</v>
      </c>
      <c r="U83" s="1280">
        <v>1.9250005517068101E-2</v>
      </c>
      <c r="V83" s="1293">
        <v>2.9603684560007001E-2</v>
      </c>
    </row>
    <row r="84" spans="1:22" s="212" customFormat="1" ht="15.5" x14ac:dyDescent="0.35">
      <c r="A84" s="194">
        <v>2016</v>
      </c>
      <c r="B84" s="195" t="s">
        <v>5833</v>
      </c>
      <c r="C84" s="197">
        <v>1979</v>
      </c>
      <c r="D84" s="234" t="s">
        <v>1013</v>
      </c>
      <c r="E84" s="1226">
        <v>0.25213015974242198</v>
      </c>
      <c r="F84" s="1257">
        <v>1.75306430623558</v>
      </c>
      <c r="G84" s="1280">
        <v>0.69517463233556498</v>
      </c>
      <c r="H84" s="1271">
        <v>22.505720923537201</v>
      </c>
      <c r="I84" s="1257">
        <v>11.066730655776</v>
      </c>
      <c r="J84" s="1280">
        <v>9.0740166190221991</v>
      </c>
      <c r="K84" s="1271">
        <v>2.8323042270187799E-2</v>
      </c>
      <c r="L84" s="1257">
        <v>1.74041043643007E-3</v>
      </c>
      <c r="M84" s="1280">
        <v>1.2891297755421201E-2</v>
      </c>
      <c r="N84" s="1271">
        <v>9.0000025830593907E-3</v>
      </c>
      <c r="O84" s="1257">
        <v>3.0000008598028201E-3</v>
      </c>
      <c r="P84" s="1257">
        <v>3.0000008611098601E-3</v>
      </c>
      <c r="Q84" s="1280">
        <v>8.7453081118563092E-3</v>
      </c>
      <c r="R84" s="1271">
        <v>3.8500011034136201E-2</v>
      </c>
      <c r="S84" s="1257">
        <v>3.8500011034136201E-2</v>
      </c>
      <c r="T84" s="1257">
        <v>3.8500011034136201E-2</v>
      </c>
      <c r="U84" s="1280">
        <v>1.9250005517068101E-2</v>
      </c>
      <c r="V84" s="1293">
        <v>2.9603684560007001E-2</v>
      </c>
    </row>
    <row r="85" spans="1:22" s="212" customFormat="1" ht="15.5" x14ac:dyDescent="0.35">
      <c r="A85" s="194">
        <v>2016</v>
      </c>
      <c r="B85" s="195" t="s">
        <v>5833</v>
      </c>
      <c r="C85" s="197">
        <v>1980</v>
      </c>
      <c r="D85" s="234" t="s">
        <v>1014</v>
      </c>
      <c r="E85" s="1226">
        <v>0.25213015974242198</v>
      </c>
      <c r="F85" s="1257">
        <v>1.75306430623558</v>
      </c>
      <c r="G85" s="1280">
        <v>0.69517463233556498</v>
      </c>
      <c r="H85" s="1271">
        <v>22.505720923537201</v>
      </c>
      <c r="I85" s="1257">
        <v>11.066730655776</v>
      </c>
      <c r="J85" s="1280">
        <v>9.0740166190221991</v>
      </c>
      <c r="K85" s="1271">
        <v>2.8323042270187799E-2</v>
      </c>
      <c r="L85" s="1257">
        <v>1.74041043643007E-3</v>
      </c>
      <c r="M85" s="1280">
        <v>1.2891297755421201E-2</v>
      </c>
      <c r="N85" s="1271">
        <v>9.0000025830593907E-3</v>
      </c>
      <c r="O85" s="1257">
        <v>3.0000008598028201E-3</v>
      </c>
      <c r="P85" s="1257">
        <v>3.0000008611098601E-3</v>
      </c>
      <c r="Q85" s="1280">
        <v>8.7453081118563092E-3</v>
      </c>
      <c r="R85" s="1271">
        <v>3.8500011034136201E-2</v>
      </c>
      <c r="S85" s="1257">
        <v>3.8500011034136201E-2</v>
      </c>
      <c r="T85" s="1257">
        <v>3.8500011034136201E-2</v>
      </c>
      <c r="U85" s="1280">
        <v>1.9250005517068101E-2</v>
      </c>
      <c r="V85" s="1293">
        <v>2.9603684560007001E-2</v>
      </c>
    </row>
    <row r="86" spans="1:22" s="212" customFormat="1" ht="15.5" x14ac:dyDescent="0.35">
      <c r="A86" s="194">
        <v>2016</v>
      </c>
      <c r="B86" s="195" t="s">
        <v>5833</v>
      </c>
      <c r="C86" s="197">
        <v>1981</v>
      </c>
      <c r="D86" s="234" t="s">
        <v>1015</v>
      </c>
      <c r="E86" s="1226">
        <v>0.25213015974242198</v>
      </c>
      <c r="F86" s="1257">
        <v>1.75306430623558</v>
      </c>
      <c r="G86" s="1280">
        <v>0.69517463233556498</v>
      </c>
      <c r="H86" s="1271">
        <v>22.505720923537201</v>
      </c>
      <c r="I86" s="1257">
        <v>11.066730655776</v>
      </c>
      <c r="J86" s="1280">
        <v>9.0740166190221991</v>
      </c>
      <c r="K86" s="1271">
        <v>2.8323042270187799E-2</v>
      </c>
      <c r="L86" s="1257">
        <v>1.74041043643007E-3</v>
      </c>
      <c r="M86" s="1280">
        <v>1.2891297755421201E-2</v>
      </c>
      <c r="N86" s="1271">
        <v>9.0000025830593907E-3</v>
      </c>
      <c r="O86" s="1257">
        <v>3.0000008598028201E-3</v>
      </c>
      <c r="P86" s="1257">
        <v>3.0000008611098601E-3</v>
      </c>
      <c r="Q86" s="1280">
        <v>8.7453081118563092E-3</v>
      </c>
      <c r="R86" s="1271">
        <v>3.8500011034136201E-2</v>
      </c>
      <c r="S86" s="1257">
        <v>3.8500011034136201E-2</v>
      </c>
      <c r="T86" s="1257">
        <v>3.8500011034136201E-2</v>
      </c>
      <c r="U86" s="1280">
        <v>1.9250005517068101E-2</v>
      </c>
      <c r="V86" s="1293">
        <v>2.9603684560007001E-2</v>
      </c>
    </row>
    <row r="87" spans="1:22" s="212" customFormat="1" ht="15.5" x14ac:dyDescent="0.35">
      <c r="A87" s="194">
        <v>2016</v>
      </c>
      <c r="B87" s="195" t="s">
        <v>5833</v>
      </c>
      <c r="C87" s="197">
        <v>1982</v>
      </c>
      <c r="D87" s="234" t="s">
        <v>1016</v>
      </c>
      <c r="E87" s="1226">
        <v>0.25213015974242198</v>
      </c>
      <c r="F87" s="1257">
        <v>1.75306430623558</v>
      </c>
      <c r="G87" s="1280">
        <v>0.69517463233556498</v>
      </c>
      <c r="H87" s="1271">
        <v>22.505720923537201</v>
      </c>
      <c r="I87" s="1257">
        <v>11.066730655776</v>
      </c>
      <c r="J87" s="1280">
        <v>9.0740166190221991</v>
      </c>
      <c r="K87" s="1271">
        <v>2.8323042270187799E-2</v>
      </c>
      <c r="L87" s="1257">
        <v>1.74041043643007E-3</v>
      </c>
      <c r="M87" s="1280">
        <v>1.2891297755421201E-2</v>
      </c>
      <c r="N87" s="1271">
        <v>9.0000025830593907E-3</v>
      </c>
      <c r="O87" s="1257">
        <v>3.0000008598028201E-3</v>
      </c>
      <c r="P87" s="1257">
        <v>3.0000008611098601E-3</v>
      </c>
      <c r="Q87" s="1280">
        <v>8.7453081118563092E-3</v>
      </c>
      <c r="R87" s="1271">
        <v>3.8500011034136201E-2</v>
      </c>
      <c r="S87" s="1257">
        <v>3.8500011034136201E-2</v>
      </c>
      <c r="T87" s="1257">
        <v>3.8500011034136201E-2</v>
      </c>
      <c r="U87" s="1280">
        <v>1.9250005517068101E-2</v>
      </c>
      <c r="V87" s="1293">
        <v>2.9603684560007001E-2</v>
      </c>
    </row>
    <row r="88" spans="1:22" s="212" customFormat="1" ht="15.5" x14ac:dyDescent="0.35">
      <c r="A88" s="194">
        <v>2016</v>
      </c>
      <c r="B88" s="195" t="s">
        <v>5833</v>
      </c>
      <c r="C88" s="197">
        <v>1983</v>
      </c>
      <c r="D88" s="234" t="s">
        <v>1017</v>
      </c>
      <c r="E88" s="1226">
        <v>0.25213015974242198</v>
      </c>
      <c r="F88" s="1257">
        <v>1.75306430623558</v>
      </c>
      <c r="G88" s="1280">
        <v>0.69517463233556498</v>
      </c>
      <c r="H88" s="1271">
        <v>22.505720923537201</v>
      </c>
      <c r="I88" s="1257">
        <v>11.066730655776</v>
      </c>
      <c r="J88" s="1280">
        <v>9.0740166190221991</v>
      </c>
      <c r="K88" s="1271">
        <v>2.8323042270187799E-2</v>
      </c>
      <c r="L88" s="1257">
        <v>1.74041043643007E-3</v>
      </c>
      <c r="M88" s="1280">
        <v>1.2891297755421201E-2</v>
      </c>
      <c r="N88" s="1271">
        <v>9.0000025830593907E-3</v>
      </c>
      <c r="O88" s="1257">
        <v>3.0000008598028201E-3</v>
      </c>
      <c r="P88" s="1257">
        <v>3.0000008611098601E-3</v>
      </c>
      <c r="Q88" s="1280">
        <v>8.7453081118563092E-3</v>
      </c>
      <c r="R88" s="1271">
        <v>3.8500011034136201E-2</v>
      </c>
      <c r="S88" s="1257">
        <v>3.8500011034136201E-2</v>
      </c>
      <c r="T88" s="1257">
        <v>3.8500011034136201E-2</v>
      </c>
      <c r="U88" s="1280">
        <v>1.9250005517068101E-2</v>
      </c>
      <c r="V88" s="1293">
        <v>2.9603684560007001E-2</v>
      </c>
    </row>
    <row r="89" spans="1:22" s="212" customFormat="1" ht="15.5" x14ac:dyDescent="0.35">
      <c r="A89" s="194">
        <v>2016</v>
      </c>
      <c r="B89" s="195" t="s">
        <v>5833</v>
      </c>
      <c r="C89" s="197">
        <v>1984</v>
      </c>
      <c r="D89" s="234" t="s">
        <v>1018</v>
      </c>
      <c r="E89" s="1226">
        <v>0.25213015974242198</v>
      </c>
      <c r="F89" s="1257">
        <v>1.75306430623558</v>
      </c>
      <c r="G89" s="1280">
        <v>0.69517463233556498</v>
      </c>
      <c r="H89" s="1271">
        <v>22.505720923537201</v>
      </c>
      <c r="I89" s="1257">
        <v>11.066730655776</v>
      </c>
      <c r="J89" s="1280">
        <v>9.0740166190221991</v>
      </c>
      <c r="K89" s="1271">
        <v>2.8323042270187799E-2</v>
      </c>
      <c r="L89" s="1257">
        <v>1.74041043643007E-3</v>
      </c>
      <c r="M89" s="1280">
        <v>1.2891297755421201E-2</v>
      </c>
      <c r="N89" s="1271">
        <v>9.0000025830593907E-3</v>
      </c>
      <c r="O89" s="1257">
        <v>3.0000008598028201E-3</v>
      </c>
      <c r="P89" s="1257">
        <v>3.0000008611098601E-3</v>
      </c>
      <c r="Q89" s="1280">
        <v>8.7453081118563092E-3</v>
      </c>
      <c r="R89" s="1271">
        <v>3.8500011034136201E-2</v>
      </c>
      <c r="S89" s="1257">
        <v>3.8500011034136201E-2</v>
      </c>
      <c r="T89" s="1257">
        <v>3.8500011034136201E-2</v>
      </c>
      <c r="U89" s="1280">
        <v>1.9250005517068101E-2</v>
      </c>
      <c r="V89" s="1293">
        <v>2.9603684560007001E-2</v>
      </c>
    </row>
    <row r="90" spans="1:22" s="212" customFormat="1" ht="15.5" x14ac:dyDescent="0.35">
      <c r="A90" s="194">
        <v>2016</v>
      </c>
      <c r="B90" s="195" t="s">
        <v>5833</v>
      </c>
      <c r="C90" s="197">
        <v>1985</v>
      </c>
      <c r="D90" s="234" t="s">
        <v>1019</v>
      </c>
      <c r="E90" s="1226">
        <v>0.25213015974242198</v>
      </c>
      <c r="F90" s="1257">
        <v>1.75306430623558</v>
      </c>
      <c r="G90" s="1280">
        <v>0.69517463233556498</v>
      </c>
      <c r="H90" s="1271">
        <v>22.505720923537201</v>
      </c>
      <c r="I90" s="1257">
        <v>11.066730655776</v>
      </c>
      <c r="J90" s="1280">
        <v>9.0740166190221991</v>
      </c>
      <c r="K90" s="1271">
        <v>2.8323042270187799E-2</v>
      </c>
      <c r="L90" s="1257">
        <v>1.74041043643007E-3</v>
      </c>
      <c r="M90" s="1280">
        <v>1.2891297755421201E-2</v>
      </c>
      <c r="N90" s="1271">
        <v>9.0000025830593907E-3</v>
      </c>
      <c r="O90" s="1257">
        <v>3.0000008598028201E-3</v>
      </c>
      <c r="P90" s="1257">
        <v>3.0000008611098601E-3</v>
      </c>
      <c r="Q90" s="1280">
        <v>8.7453081118563092E-3</v>
      </c>
      <c r="R90" s="1271">
        <v>3.8500011034136201E-2</v>
      </c>
      <c r="S90" s="1257">
        <v>3.8500011034136201E-2</v>
      </c>
      <c r="T90" s="1257">
        <v>3.8500011034136201E-2</v>
      </c>
      <c r="U90" s="1280">
        <v>1.9250005517068101E-2</v>
      </c>
      <c r="V90" s="1293">
        <v>2.9603684560007001E-2</v>
      </c>
    </row>
    <row r="91" spans="1:22" s="212" customFormat="1" ht="15.5" x14ac:dyDescent="0.35">
      <c r="A91" s="194">
        <v>2016</v>
      </c>
      <c r="B91" s="195" t="s">
        <v>5833</v>
      </c>
      <c r="C91" s="197">
        <v>1986</v>
      </c>
      <c r="D91" s="234" t="s">
        <v>1020</v>
      </c>
      <c r="E91" s="1226">
        <v>0.25213015974242198</v>
      </c>
      <c r="F91" s="1257">
        <v>1.75306430623558</v>
      </c>
      <c r="G91" s="1280">
        <v>0.69517463233556498</v>
      </c>
      <c r="H91" s="1271">
        <v>22.505720923537201</v>
      </c>
      <c r="I91" s="1257">
        <v>11.066730655776</v>
      </c>
      <c r="J91" s="1280">
        <v>9.0740166190221991</v>
      </c>
      <c r="K91" s="1271">
        <v>2.8323042270187799E-2</v>
      </c>
      <c r="L91" s="1257">
        <v>1.74041043643007E-3</v>
      </c>
      <c r="M91" s="1280">
        <v>1.2891297755421201E-2</v>
      </c>
      <c r="N91" s="1271">
        <v>9.0000025830593907E-3</v>
      </c>
      <c r="O91" s="1257">
        <v>3.0000008598028201E-3</v>
      </c>
      <c r="P91" s="1257">
        <v>3.0000008611098601E-3</v>
      </c>
      <c r="Q91" s="1280">
        <v>8.7453081118563092E-3</v>
      </c>
      <c r="R91" s="1271">
        <v>3.8500011034136201E-2</v>
      </c>
      <c r="S91" s="1257">
        <v>3.8500011034136201E-2</v>
      </c>
      <c r="T91" s="1257">
        <v>3.8500011034136201E-2</v>
      </c>
      <c r="U91" s="1280">
        <v>1.9250005517068101E-2</v>
      </c>
      <c r="V91" s="1293">
        <v>2.9603684560007001E-2</v>
      </c>
    </row>
    <row r="92" spans="1:22" s="212" customFormat="1" ht="15.5" x14ac:dyDescent="0.35">
      <c r="A92" s="194">
        <v>2016</v>
      </c>
      <c r="B92" s="195" t="s">
        <v>5833</v>
      </c>
      <c r="C92" s="197">
        <v>1987</v>
      </c>
      <c r="D92" s="234" t="s">
        <v>1021</v>
      </c>
      <c r="E92" s="1226">
        <v>0.25213015974242198</v>
      </c>
      <c r="F92" s="1257">
        <v>1.75306430623558</v>
      </c>
      <c r="G92" s="1280">
        <v>0.69517463233556498</v>
      </c>
      <c r="H92" s="1271">
        <v>22.505720923537201</v>
      </c>
      <c r="I92" s="1257">
        <v>11.066730655776</v>
      </c>
      <c r="J92" s="1280">
        <v>9.0740166190221991</v>
      </c>
      <c r="K92" s="1271">
        <v>2.8323042270187799E-2</v>
      </c>
      <c r="L92" s="1257">
        <v>1.74041043643007E-3</v>
      </c>
      <c r="M92" s="1280">
        <v>1.2891297755421201E-2</v>
      </c>
      <c r="N92" s="1271">
        <v>9.0000025830593907E-3</v>
      </c>
      <c r="O92" s="1257">
        <v>3.0000008598028201E-3</v>
      </c>
      <c r="P92" s="1257">
        <v>3.0000008611098601E-3</v>
      </c>
      <c r="Q92" s="1280">
        <v>8.7453081118563092E-3</v>
      </c>
      <c r="R92" s="1271">
        <v>3.8500011034136201E-2</v>
      </c>
      <c r="S92" s="1257">
        <v>3.8500011034136201E-2</v>
      </c>
      <c r="T92" s="1257">
        <v>3.8500011034136201E-2</v>
      </c>
      <c r="U92" s="1280">
        <v>1.9250005517068101E-2</v>
      </c>
      <c r="V92" s="1293">
        <v>2.9603684560007001E-2</v>
      </c>
    </row>
    <row r="93" spans="1:22" s="212" customFormat="1" ht="15.5" x14ac:dyDescent="0.35">
      <c r="A93" s="198">
        <v>2016</v>
      </c>
      <c r="B93" s="197" t="s">
        <v>5833</v>
      </c>
      <c r="C93" s="197">
        <v>1988</v>
      </c>
      <c r="D93" s="225" t="str">
        <f t="shared" ref="D93:D286" si="0">CONCATENATE(A93,"_",C93)</f>
        <v>2016_1988</v>
      </c>
      <c r="E93" s="1226">
        <v>0.25213015974242198</v>
      </c>
      <c r="F93" s="1257">
        <v>1.75306430623558</v>
      </c>
      <c r="G93" s="1280">
        <v>0.69517463233556498</v>
      </c>
      <c r="H93" s="1271">
        <v>22.505720923537201</v>
      </c>
      <c r="I93" s="1257">
        <v>11.066730655776</v>
      </c>
      <c r="J93" s="1280">
        <v>9.0740166190221991</v>
      </c>
      <c r="K93" s="1271">
        <v>2.8323042270187799E-2</v>
      </c>
      <c r="L93" s="1257">
        <v>1.74041043643007E-3</v>
      </c>
      <c r="M93" s="1280">
        <v>1.2891297755421201E-2</v>
      </c>
      <c r="N93" s="1271">
        <v>9.0000025830593907E-3</v>
      </c>
      <c r="O93" s="1257">
        <v>3.0000008598028201E-3</v>
      </c>
      <c r="P93" s="1257">
        <v>3.0000008611098601E-3</v>
      </c>
      <c r="Q93" s="1280">
        <v>8.7453081118563092E-3</v>
      </c>
      <c r="R93" s="1271">
        <v>3.8500011034136201E-2</v>
      </c>
      <c r="S93" s="1257">
        <v>3.8500011034136201E-2</v>
      </c>
      <c r="T93" s="1257">
        <v>3.8500011034136201E-2</v>
      </c>
      <c r="U93" s="1280">
        <v>1.9250005517068101E-2</v>
      </c>
      <c r="V93" s="1293">
        <v>2.9603684560007001E-2</v>
      </c>
    </row>
    <row r="94" spans="1:22" s="212" customFormat="1" ht="15.5" x14ac:dyDescent="0.35">
      <c r="A94" s="198">
        <v>2016</v>
      </c>
      <c r="B94" s="197" t="s">
        <v>5833</v>
      </c>
      <c r="C94" s="197">
        <v>1989</v>
      </c>
      <c r="D94" s="225" t="str">
        <f t="shared" si="0"/>
        <v>2016_1989</v>
      </c>
      <c r="E94" s="1226">
        <v>0.25213015974242198</v>
      </c>
      <c r="F94" s="1257">
        <v>1.75306430623558</v>
      </c>
      <c r="G94" s="1280">
        <v>0.69517463233556498</v>
      </c>
      <c r="H94" s="1271">
        <v>22.505720923537201</v>
      </c>
      <c r="I94" s="1257">
        <v>11.066730655776</v>
      </c>
      <c r="J94" s="1280">
        <v>9.0740166190221991</v>
      </c>
      <c r="K94" s="1271">
        <v>2.8323042270187799E-2</v>
      </c>
      <c r="L94" s="1257">
        <v>1.74041043643007E-3</v>
      </c>
      <c r="M94" s="1280">
        <v>1.2891297755421201E-2</v>
      </c>
      <c r="N94" s="1271">
        <v>9.0000025830593907E-3</v>
      </c>
      <c r="O94" s="1257">
        <v>3.0000008598028201E-3</v>
      </c>
      <c r="P94" s="1257">
        <v>3.0000008611098601E-3</v>
      </c>
      <c r="Q94" s="1280">
        <v>8.7453081118563092E-3</v>
      </c>
      <c r="R94" s="1271">
        <v>3.8500011034136201E-2</v>
      </c>
      <c r="S94" s="1257">
        <v>3.8500011034136201E-2</v>
      </c>
      <c r="T94" s="1257">
        <v>3.8500011034136201E-2</v>
      </c>
      <c r="U94" s="1280">
        <v>1.9250005517068101E-2</v>
      </c>
      <c r="V94" s="1293">
        <v>2.9603684560007001E-2</v>
      </c>
    </row>
    <row r="95" spans="1:22" s="212" customFormat="1" ht="15.5" x14ac:dyDescent="0.35">
      <c r="A95" s="198">
        <v>2016</v>
      </c>
      <c r="B95" s="197" t="s">
        <v>5833</v>
      </c>
      <c r="C95" s="197">
        <v>1990</v>
      </c>
      <c r="D95" s="225" t="str">
        <f t="shared" si="0"/>
        <v>2016_1990</v>
      </c>
      <c r="E95" s="1226">
        <v>0.25213015974242198</v>
      </c>
      <c r="F95" s="1257">
        <v>1.75306430623558</v>
      </c>
      <c r="G95" s="1280">
        <v>0.69517463233556498</v>
      </c>
      <c r="H95" s="1271">
        <v>22.505720923537201</v>
      </c>
      <c r="I95" s="1257">
        <v>11.066730655776</v>
      </c>
      <c r="J95" s="1280">
        <v>9.0740166190221991</v>
      </c>
      <c r="K95" s="1271">
        <v>2.8323042270187799E-2</v>
      </c>
      <c r="L95" s="1257">
        <v>1.74041043643007E-3</v>
      </c>
      <c r="M95" s="1280">
        <v>1.2891297755421201E-2</v>
      </c>
      <c r="N95" s="1271">
        <v>9.0000025830593907E-3</v>
      </c>
      <c r="O95" s="1257">
        <v>3.0000008598028201E-3</v>
      </c>
      <c r="P95" s="1257">
        <v>3.0000008611098601E-3</v>
      </c>
      <c r="Q95" s="1280">
        <v>8.7453081118563092E-3</v>
      </c>
      <c r="R95" s="1271">
        <v>3.8500011034136201E-2</v>
      </c>
      <c r="S95" s="1257">
        <v>3.8500011034136201E-2</v>
      </c>
      <c r="T95" s="1257">
        <v>3.8500011034136201E-2</v>
      </c>
      <c r="U95" s="1280">
        <v>1.9250005517068101E-2</v>
      </c>
      <c r="V95" s="1293">
        <v>2.9603684560007001E-2</v>
      </c>
    </row>
    <row r="96" spans="1:22" s="212" customFormat="1" ht="15.5" x14ac:dyDescent="0.35">
      <c r="A96" s="198">
        <v>2016</v>
      </c>
      <c r="B96" s="197" t="s">
        <v>5833</v>
      </c>
      <c r="C96" s="197">
        <v>1991</v>
      </c>
      <c r="D96" s="225" t="str">
        <f t="shared" si="0"/>
        <v>2016_1991</v>
      </c>
      <c r="E96" s="1226">
        <v>0.25213015974242198</v>
      </c>
      <c r="F96" s="1257">
        <v>1.75306430623558</v>
      </c>
      <c r="G96" s="1280">
        <v>0.69517463233556498</v>
      </c>
      <c r="H96" s="1271">
        <v>22.505720923537201</v>
      </c>
      <c r="I96" s="1257">
        <v>11.066730655776</v>
      </c>
      <c r="J96" s="1280">
        <v>9.0740166190221991</v>
      </c>
      <c r="K96" s="1271">
        <v>2.8323042270187799E-2</v>
      </c>
      <c r="L96" s="1257">
        <v>1.74041043643007E-3</v>
      </c>
      <c r="M96" s="1280">
        <v>1.2891297755421201E-2</v>
      </c>
      <c r="N96" s="1271">
        <v>9.0000025830593907E-3</v>
      </c>
      <c r="O96" s="1257">
        <v>3.0000008598028201E-3</v>
      </c>
      <c r="P96" s="1257">
        <v>3.0000008611098601E-3</v>
      </c>
      <c r="Q96" s="1280">
        <v>8.7453081118563092E-3</v>
      </c>
      <c r="R96" s="1271">
        <v>3.8500011034136201E-2</v>
      </c>
      <c r="S96" s="1257">
        <v>3.8500011034136201E-2</v>
      </c>
      <c r="T96" s="1257">
        <v>3.8500011034136201E-2</v>
      </c>
      <c r="U96" s="1280">
        <v>1.9250005517068101E-2</v>
      </c>
      <c r="V96" s="1293">
        <v>2.9603684560007001E-2</v>
      </c>
    </row>
    <row r="97" spans="1:22" s="212" customFormat="1" ht="15.5" x14ac:dyDescent="0.35">
      <c r="A97" s="198">
        <v>2016</v>
      </c>
      <c r="B97" s="197" t="s">
        <v>5833</v>
      </c>
      <c r="C97" s="197">
        <v>1992</v>
      </c>
      <c r="D97" s="225" t="str">
        <f t="shared" si="0"/>
        <v>2016_1992</v>
      </c>
      <c r="E97" s="1231">
        <v>0.25213015974242198</v>
      </c>
      <c r="F97" s="1257">
        <v>1.75306430623558</v>
      </c>
      <c r="G97" s="1280">
        <v>0.69517463233556498</v>
      </c>
      <c r="H97" s="1303">
        <v>22.505720923537201</v>
      </c>
      <c r="I97" s="1257">
        <v>11.066730655776</v>
      </c>
      <c r="J97" s="1280">
        <v>9.0740166190221991</v>
      </c>
      <c r="K97" s="1303">
        <v>2.8323042270187799E-2</v>
      </c>
      <c r="L97" s="1257">
        <v>1.74041043643007E-3</v>
      </c>
      <c r="M97" s="1280">
        <v>1.2891297755421201E-2</v>
      </c>
      <c r="N97" s="1303">
        <v>9.0000025830593907E-3</v>
      </c>
      <c r="O97" s="1257">
        <v>3.0000008598028201E-3</v>
      </c>
      <c r="P97" s="1257">
        <v>3.0000008611098601E-3</v>
      </c>
      <c r="Q97" s="1280">
        <v>8.7453081118563092E-3</v>
      </c>
      <c r="R97" s="1303">
        <v>3.8500011034136201E-2</v>
      </c>
      <c r="S97" s="1257">
        <v>3.8500011034136201E-2</v>
      </c>
      <c r="T97" s="1257">
        <v>3.8500011034136201E-2</v>
      </c>
      <c r="U97" s="1280">
        <v>1.9250005517068101E-2</v>
      </c>
      <c r="V97" s="1294">
        <v>2.9603684560007001E-2</v>
      </c>
    </row>
    <row r="98" spans="1:22" s="212" customFormat="1" ht="15.5" x14ac:dyDescent="0.35">
      <c r="A98" s="198">
        <v>2016</v>
      </c>
      <c r="B98" s="197" t="s">
        <v>5833</v>
      </c>
      <c r="C98" s="197">
        <v>1993</v>
      </c>
      <c r="D98" s="225" t="str">
        <f t="shared" si="0"/>
        <v>2016_1993</v>
      </c>
      <c r="E98" s="1291">
        <v>0.2012130396179565</v>
      </c>
      <c r="F98" s="1257">
        <v>1.75306430623558</v>
      </c>
      <c r="G98" s="1280">
        <v>0.69517463233556498</v>
      </c>
      <c r="H98" s="1271">
        <v>21.798960088343399</v>
      </c>
      <c r="I98" s="1257">
        <v>11.066730655776</v>
      </c>
      <c r="J98" s="1280">
        <v>9.0740166190221991</v>
      </c>
      <c r="K98" s="1271">
        <v>2.3207011974239949E-2</v>
      </c>
      <c r="L98" s="1257">
        <v>1.74041043643007E-3</v>
      </c>
      <c r="M98" s="1280">
        <v>1.2891297755421201E-2</v>
      </c>
      <c r="N98" s="1271">
        <v>9.0000025817838294E-3</v>
      </c>
      <c r="O98" s="1257">
        <v>3.0000008598028201E-3</v>
      </c>
      <c r="P98" s="1257">
        <v>3.0000008611098601E-3</v>
      </c>
      <c r="Q98" s="1280">
        <v>8.7453081118563092E-3</v>
      </c>
      <c r="R98" s="1271">
        <v>3.8500011034136201E-2</v>
      </c>
      <c r="S98" s="1257">
        <v>3.8500011034136201E-2</v>
      </c>
      <c r="T98" s="1257">
        <v>3.8500011034136201E-2</v>
      </c>
      <c r="U98" s="1280">
        <v>1.9250005517068101E-2</v>
      </c>
      <c r="V98" s="1293">
        <v>2.4256330076124599E-2</v>
      </c>
    </row>
    <row r="99" spans="1:22" s="212" customFormat="1" ht="15.5" x14ac:dyDescent="0.35">
      <c r="A99" s="198">
        <v>2016</v>
      </c>
      <c r="B99" s="197" t="s">
        <v>5833</v>
      </c>
      <c r="C99" s="197">
        <v>1994</v>
      </c>
      <c r="D99" s="225" t="str">
        <f t="shared" si="0"/>
        <v>2016_1994</v>
      </c>
      <c r="E99" s="1291">
        <v>0.2012130396179565</v>
      </c>
      <c r="F99" s="1257">
        <v>1.75306430623558</v>
      </c>
      <c r="G99" s="1306">
        <v>0.69517463233556498</v>
      </c>
      <c r="H99" s="1271">
        <v>21.798960088343399</v>
      </c>
      <c r="I99" s="1257">
        <v>11.066730655776</v>
      </c>
      <c r="J99" s="1306">
        <v>9.0740166190221991</v>
      </c>
      <c r="K99" s="1271">
        <v>2.3207011974239949E-2</v>
      </c>
      <c r="L99" s="1257">
        <v>1.74041043643007E-3</v>
      </c>
      <c r="M99" s="1306">
        <v>1.2891297755421201E-2</v>
      </c>
      <c r="N99" s="1271">
        <v>9.0000025817838294E-3</v>
      </c>
      <c r="O99" s="1257">
        <v>3.0000008598028201E-3</v>
      </c>
      <c r="P99" s="1288">
        <v>3.0000008611098601E-3</v>
      </c>
      <c r="Q99" s="1280">
        <v>8.7453081118563092E-3</v>
      </c>
      <c r="R99" s="1271">
        <v>3.8500011034136201E-2</v>
      </c>
      <c r="S99" s="1257">
        <v>3.8500011034136201E-2</v>
      </c>
      <c r="T99" s="1288">
        <v>3.8500011034136201E-2</v>
      </c>
      <c r="U99" s="1280">
        <v>1.9250005517068101E-2</v>
      </c>
      <c r="V99" s="1293">
        <v>2.4256330076124599E-2</v>
      </c>
    </row>
    <row r="100" spans="1:22" s="212" customFormat="1" ht="15.5" x14ac:dyDescent="0.35">
      <c r="A100" s="198">
        <v>2016</v>
      </c>
      <c r="B100" s="197" t="s">
        <v>5833</v>
      </c>
      <c r="C100" s="197">
        <v>1995</v>
      </c>
      <c r="D100" s="225" t="str">
        <f t="shared" si="0"/>
        <v>2016_1995</v>
      </c>
      <c r="E100" s="1291">
        <v>0.2012130396179565</v>
      </c>
      <c r="F100" s="1257">
        <v>1.75306430623558</v>
      </c>
      <c r="G100" s="1280">
        <v>0.80412254208117195</v>
      </c>
      <c r="H100" s="1271">
        <v>21.798960088343399</v>
      </c>
      <c r="I100" s="1257">
        <v>11.066730655776</v>
      </c>
      <c r="J100" s="1280">
        <v>10.437816235271001</v>
      </c>
      <c r="K100" s="1271">
        <v>2.3207011974239949E-2</v>
      </c>
      <c r="L100" s="1257">
        <v>1.74041043643007E-3</v>
      </c>
      <c r="M100" s="1280">
        <v>1.6274092799030852E-2</v>
      </c>
      <c r="N100" s="1271">
        <v>9.0000025817838294E-3</v>
      </c>
      <c r="O100" s="1257">
        <v>3.0000008598028201E-3</v>
      </c>
      <c r="P100" s="1257">
        <v>5.8116136567822945E-3</v>
      </c>
      <c r="Q100" s="1280">
        <v>8.7453081118563092E-3</v>
      </c>
      <c r="R100" s="1271">
        <v>3.8500011034136201E-2</v>
      </c>
      <c r="S100" s="1257">
        <v>3.8500011034136201E-2</v>
      </c>
      <c r="T100" s="1257">
        <v>3.8500011034136201E-2</v>
      </c>
      <c r="U100" s="1280">
        <v>1.9250005517068101E-2</v>
      </c>
      <c r="V100" s="1293">
        <v>2.4256330076124599E-2</v>
      </c>
    </row>
    <row r="101" spans="1:22" s="212" customFormat="1" ht="15.5" x14ac:dyDescent="0.35">
      <c r="A101" s="198">
        <v>2016</v>
      </c>
      <c r="B101" s="197" t="s">
        <v>5833</v>
      </c>
      <c r="C101" s="197">
        <v>1996</v>
      </c>
      <c r="D101" s="225" t="str">
        <f t="shared" si="0"/>
        <v>2016_1996</v>
      </c>
      <c r="E101" s="1231">
        <v>0.150295919493491</v>
      </c>
      <c r="F101" s="1257">
        <v>1.75306430623558</v>
      </c>
      <c r="G101" s="1306">
        <v>0.91307045182677904</v>
      </c>
      <c r="H101" s="1303">
        <v>21.092199253149602</v>
      </c>
      <c r="I101" s="1257">
        <v>11.066730655776</v>
      </c>
      <c r="J101" s="1306">
        <v>11.8016158515198</v>
      </c>
      <c r="K101" s="1303">
        <v>1.8090981678292099E-2</v>
      </c>
      <c r="L101" s="1257">
        <v>1.74041043643007E-3</v>
      </c>
      <c r="M101" s="1306">
        <v>1.96568878426405E-2</v>
      </c>
      <c r="N101" s="1303">
        <v>9.0000025805082699E-3</v>
      </c>
      <c r="O101" s="1257">
        <v>3.0000008598028201E-3</v>
      </c>
      <c r="P101" s="1288">
        <v>8.6232264524547294E-3</v>
      </c>
      <c r="Q101" s="1280">
        <v>8.7453081118563092E-3</v>
      </c>
      <c r="R101" s="1303">
        <v>3.8500011034136201E-2</v>
      </c>
      <c r="S101" s="1257">
        <v>3.8500011034136201E-2</v>
      </c>
      <c r="T101" s="1288">
        <v>3.8500011034136201E-2</v>
      </c>
      <c r="U101" s="1280">
        <v>1.9250005517068101E-2</v>
      </c>
      <c r="V101" s="1294">
        <v>1.8908975592242201E-2</v>
      </c>
    </row>
    <row r="102" spans="1:22" s="212" customFormat="1" ht="15.5" x14ac:dyDescent="0.35">
      <c r="A102" s="198">
        <v>2016</v>
      </c>
      <c r="B102" s="197" t="s">
        <v>5833</v>
      </c>
      <c r="C102" s="197">
        <v>1997</v>
      </c>
      <c r="D102" s="225" t="str">
        <f t="shared" si="0"/>
        <v>2016_1997</v>
      </c>
      <c r="E102" s="1231">
        <v>0.128503137459899</v>
      </c>
      <c r="F102" s="1288">
        <v>1.75306430623558</v>
      </c>
      <c r="G102" s="1306">
        <v>0.95599546882467901</v>
      </c>
      <c r="H102" s="1303">
        <v>20.6250938536575</v>
      </c>
      <c r="I102" s="1288">
        <v>11.066730655776</v>
      </c>
      <c r="J102" s="1306">
        <v>12.1023653717332</v>
      </c>
      <c r="K102" s="1303">
        <v>1.58261514960155E-2</v>
      </c>
      <c r="L102" s="1288">
        <v>1.74041043643007E-3</v>
      </c>
      <c r="M102" s="1306">
        <v>1.9736368607189698E-2</v>
      </c>
      <c r="N102" s="1303">
        <v>8.8362765501608705E-3</v>
      </c>
      <c r="O102" s="1288">
        <v>3.0000008598028201E-3</v>
      </c>
      <c r="P102" s="1288">
        <v>8.7630926022072095E-3</v>
      </c>
      <c r="Q102" s="1306">
        <v>8.7453081118563092E-3</v>
      </c>
      <c r="R102" s="1303">
        <v>3.8500011034136201E-2</v>
      </c>
      <c r="S102" s="1288">
        <v>3.8500011034136201E-2</v>
      </c>
      <c r="T102" s="1288">
        <v>3.8500011034136201E-2</v>
      </c>
      <c r="U102" s="1306">
        <v>1.9250005517068101E-2</v>
      </c>
      <c r="V102" s="1294">
        <v>1.65417398391581E-2</v>
      </c>
    </row>
    <row r="103" spans="1:22" s="212" customFormat="1" ht="15.5" x14ac:dyDescent="0.35">
      <c r="A103" s="198">
        <v>2016</v>
      </c>
      <c r="B103" s="197" t="s">
        <v>5833</v>
      </c>
      <c r="C103" s="197">
        <v>1998</v>
      </c>
      <c r="D103" s="225" t="str">
        <f t="shared" si="0"/>
        <v>2016_1998</v>
      </c>
      <c r="E103" s="1231">
        <v>0.121639429975307</v>
      </c>
      <c r="F103" s="1288">
        <v>3.7561897620051701E-2</v>
      </c>
      <c r="G103" s="1306">
        <v>0.45484180524315199</v>
      </c>
      <c r="H103" s="1303">
        <v>19.887793180529901</v>
      </c>
      <c r="I103" s="1288">
        <v>0.96799581558106595</v>
      </c>
      <c r="J103" s="1306">
        <v>7.1516033970721997</v>
      </c>
      <c r="K103" s="1303">
        <v>1.4881645393199401E-2</v>
      </c>
      <c r="L103" s="1288">
        <v>1.77607364631876E-3</v>
      </c>
      <c r="M103" s="1306">
        <v>1.2712606610810201E-2</v>
      </c>
      <c r="N103" s="1303">
        <v>8.1974697592235996E-3</v>
      </c>
      <c r="O103" s="1288">
        <v>3.0000008598028201E-3</v>
      </c>
      <c r="P103" s="1288">
        <v>3.0000008598724602E-3</v>
      </c>
      <c r="Q103" s="1306">
        <v>3.0000008598724602E-3</v>
      </c>
      <c r="R103" s="1303">
        <v>3.8500011034136201E-2</v>
      </c>
      <c r="S103" s="1288">
        <v>3.8500011034136201E-2</v>
      </c>
      <c r="T103" s="1288">
        <v>3.8500011034136201E-2</v>
      </c>
      <c r="U103" s="1306">
        <v>1.9250005517068101E-2</v>
      </c>
      <c r="V103" s="1294">
        <v>1.55545273615564E-2</v>
      </c>
    </row>
    <row r="104" spans="1:22" s="212" customFormat="1" ht="15.5" x14ac:dyDescent="0.35">
      <c r="A104" s="198">
        <v>2016</v>
      </c>
      <c r="B104" s="197" t="s">
        <v>5833</v>
      </c>
      <c r="C104" s="197">
        <v>1999</v>
      </c>
      <c r="D104" s="225" t="str">
        <f t="shared" si="0"/>
        <v>2016_1999</v>
      </c>
      <c r="E104" s="1231">
        <v>0.12614843985770599</v>
      </c>
      <c r="F104" s="1257">
        <v>4.0707786039537855E-2</v>
      </c>
      <c r="G104" s="1306">
        <v>0.93606288554315398</v>
      </c>
      <c r="H104" s="1303">
        <v>20.754602965642199</v>
      </c>
      <c r="I104" s="1257">
        <v>0.98025429132017305</v>
      </c>
      <c r="J104" s="1306">
        <v>12.0475508964137</v>
      </c>
      <c r="K104" s="1303">
        <v>1.5649491432121802E-2</v>
      </c>
      <c r="L104" s="1257">
        <v>1.92635827395422E-3</v>
      </c>
      <c r="M104" s="1306">
        <v>2.00375133766016E-2</v>
      </c>
      <c r="N104" s="1303">
        <v>8.99731271205414E-3</v>
      </c>
      <c r="O104" s="1257">
        <v>3.0000008598028201E-3</v>
      </c>
      <c r="P104" s="1288">
        <v>9.0000025796525603E-3</v>
      </c>
      <c r="Q104" s="1306">
        <v>9.0000025796173801E-3</v>
      </c>
      <c r="R104" s="1303">
        <v>3.8500011034136201E-2</v>
      </c>
      <c r="S104" s="1257">
        <v>3.8500011034136201E-2</v>
      </c>
      <c r="T104" s="1288">
        <v>3.8500011034136201E-2</v>
      </c>
      <c r="U104" s="1306">
        <v>1.9250005517068101E-2</v>
      </c>
      <c r="V104" s="1294">
        <v>1.6357091991092601E-2</v>
      </c>
    </row>
    <row r="105" spans="1:22" s="212" customFormat="1" ht="15.5" x14ac:dyDescent="0.35">
      <c r="A105" s="198">
        <v>2016</v>
      </c>
      <c r="B105" s="197" t="s">
        <v>5833</v>
      </c>
      <c r="C105" s="197">
        <v>2000</v>
      </c>
      <c r="D105" s="225" t="str">
        <f t="shared" si="0"/>
        <v>2016_2000</v>
      </c>
      <c r="E105" s="1231">
        <v>0.177156535565063</v>
      </c>
      <c r="F105" s="1288">
        <v>4.3853674459024002E-2</v>
      </c>
      <c r="G105" s="1306">
        <v>1.4484427344744499</v>
      </c>
      <c r="H105" s="1303">
        <v>21.389436699877599</v>
      </c>
      <c r="I105" s="1288">
        <v>0.99251276705928004</v>
      </c>
      <c r="J105" s="1306">
        <v>15.1560485224341</v>
      </c>
      <c r="K105" s="1303">
        <v>2.0774251767866798E-2</v>
      </c>
      <c r="L105" s="1288">
        <v>2.0766429015896802E-3</v>
      </c>
      <c r="M105" s="1306">
        <v>1.9037781803982599E-2</v>
      </c>
      <c r="N105" s="1303">
        <v>8.9248080366031001E-3</v>
      </c>
      <c r="O105" s="1288">
        <v>3.0000008598028201E-3</v>
      </c>
      <c r="P105" s="1288">
        <v>8.4732581898067597E-3</v>
      </c>
      <c r="Q105" s="1306">
        <v>1.6443302294460901E-4</v>
      </c>
      <c r="R105" s="1303">
        <v>3.8500011034136201E-2</v>
      </c>
      <c r="S105" s="1288">
        <v>3.8500011034136201E-2</v>
      </c>
      <c r="T105" s="1288">
        <v>3.8500011034136201E-2</v>
      </c>
      <c r="U105" s="1306">
        <v>3.7086190098816499E-4</v>
      </c>
      <c r="V105" s="1294">
        <v>2.17135712484328E-2</v>
      </c>
    </row>
    <row r="106" spans="1:22" s="212" customFormat="1" ht="15.5" x14ac:dyDescent="0.35">
      <c r="A106" s="198">
        <v>2016</v>
      </c>
      <c r="B106" s="197" t="s">
        <v>5833</v>
      </c>
      <c r="C106" s="197">
        <v>2001</v>
      </c>
      <c r="D106" s="225" t="str">
        <f t="shared" si="0"/>
        <v>2016_2001</v>
      </c>
      <c r="E106" s="1231">
        <v>0.141226655621152</v>
      </c>
      <c r="F106" s="1288">
        <v>3.3644773765960097E-2</v>
      </c>
      <c r="G106" s="1306">
        <v>1.4968669224514699</v>
      </c>
      <c r="H106" s="1303">
        <v>20.6611096890935</v>
      </c>
      <c r="I106" s="1288">
        <v>0.87033101943056401</v>
      </c>
      <c r="J106" s="1306">
        <v>15.561280133416499</v>
      </c>
      <c r="K106" s="1303">
        <v>1.7052489803973E-2</v>
      </c>
      <c r="L106" s="1288">
        <v>1.77607364631876E-3</v>
      </c>
      <c r="M106" s="1306">
        <v>1.9637110886657299E-2</v>
      </c>
      <c r="N106" s="1303">
        <v>8.6970714020368801E-3</v>
      </c>
      <c r="O106" s="1288">
        <v>3.0000008598028201E-3</v>
      </c>
      <c r="P106" s="1288">
        <v>8.90580563846184E-3</v>
      </c>
      <c r="Q106" s="1306">
        <v>2.27959316209097E-5</v>
      </c>
      <c r="R106" s="1303">
        <v>3.8500011034136201E-2</v>
      </c>
      <c r="S106" s="1288">
        <v>3.8500011034136201E-2</v>
      </c>
      <c r="T106" s="1288">
        <v>3.8500011034136201E-2</v>
      </c>
      <c r="U106" s="1306">
        <v>8.2619970630943597E-5</v>
      </c>
      <c r="V106" s="1294">
        <v>1.78235277236059E-2</v>
      </c>
    </row>
    <row r="107" spans="1:22" s="212" customFormat="1" ht="15.5" x14ac:dyDescent="0.35">
      <c r="A107" s="198">
        <v>2016</v>
      </c>
      <c r="B107" s="197" t="s">
        <v>5833</v>
      </c>
      <c r="C107" s="197">
        <v>2002</v>
      </c>
      <c r="D107" s="225" t="str">
        <f t="shared" si="0"/>
        <v>2016_2002</v>
      </c>
      <c r="E107" s="1231">
        <v>0.14168763205022999</v>
      </c>
      <c r="F107" s="1288">
        <v>3.45184413314851E-2</v>
      </c>
      <c r="G107" s="1306">
        <v>0.97465879684692303</v>
      </c>
      <c r="H107" s="1303">
        <v>20.282133354765701</v>
      </c>
      <c r="I107" s="1288">
        <v>0.55262845910267</v>
      </c>
      <c r="J107" s="1306">
        <v>11.9811744915761</v>
      </c>
      <c r="K107" s="1303">
        <v>1.7204782968305299E-2</v>
      </c>
      <c r="L107" s="1288">
        <v>2.6397479212527499E-3</v>
      </c>
      <c r="M107" s="1306">
        <v>2.01820872485175E-2</v>
      </c>
      <c r="N107" s="1303">
        <v>8.3954965756767499E-3</v>
      </c>
      <c r="O107" s="1288">
        <v>2.4037348425140102E-3</v>
      </c>
      <c r="P107" s="1288">
        <v>7.9147675053366801E-3</v>
      </c>
      <c r="Q107" s="1306">
        <v>3.5673518072404202E-3</v>
      </c>
      <c r="R107" s="1303">
        <v>3.8450808913744298E-2</v>
      </c>
      <c r="S107" s="1288">
        <v>3.4534842019165603E-2</v>
      </c>
      <c r="T107" s="1288">
        <v>3.8289275821438797E-2</v>
      </c>
      <c r="U107" s="1306">
        <v>1.9250005517068101E-2</v>
      </c>
      <c r="V107" s="1294">
        <v>1.7982706909038301E-2</v>
      </c>
    </row>
    <row r="108" spans="1:22" s="212" customFormat="1" ht="15.5" x14ac:dyDescent="0.35">
      <c r="A108" s="198">
        <v>2016</v>
      </c>
      <c r="B108" s="197" t="s">
        <v>5833</v>
      </c>
      <c r="C108" s="197">
        <v>2003</v>
      </c>
      <c r="D108" s="225" t="str">
        <f t="shared" si="0"/>
        <v>2016_2003</v>
      </c>
      <c r="E108" s="1231">
        <v>6.0111629171535598E-2</v>
      </c>
      <c r="F108" s="1288">
        <v>3.5728792358000902E-2</v>
      </c>
      <c r="G108" s="1306">
        <v>1.2242273601407301</v>
      </c>
      <c r="H108" s="1303">
        <v>7.2218862981108698</v>
      </c>
      <c r="I108" s="1288">
        <v>0.70097988912824105</v>
      </c>
      <c r="J108" s="1306">
        <v>10.465468998367299</v>
      </c>
      <c r="K108" s="1303">
        <v>1.11183054179083E-2</v>
      </c>
      <c r="L108" s="1288">
        <v>2.1251603457076102E-3</v>
      </c>
      <c r="M108" s="1306">
        <v>9.26978941201562E-3</v>
      </c>
      <c r="N108" s="1303">
        <v>8.2810623751232298E-3</v>
      </c>
      <c r="O108" s="1288">
        <v>2.7597563470161302E-3</v>
      </c>
      <c r="P108" s="1288">
        <v>6.3867268355885399E-3</v>
      </c>
      <c r="Q108" s="1306">
        <v>3.3206727408557498E-3</v>
      </c>
      <c r="R108" s="1303">
        <v>3.8489495828646803E-2</v>
      </c>
      <c r="S108" s="1288">
        <v>3.69023850241047E-2</v>
      </c>
      <c r="T108" s="1288">
        <v>3.8500011034136201E-2</v>
      </c>
      <c r="U108" s="1306">
        <v>1.9250005517068101E-2</v>
      </c>
      <c r="V108" s="1294">
        <v>1.1621025852156601E-2</v>
      </c>
    </row>
    <row r="109" spans="1:22" s="212" customFormat="1" ht="15.5" x14ac:dyDescent="0.35">
      <c r="A109" s="198">
        <v>2016</v>
      </c>
      <c r="B109" s="197" t="s">
        <v>5833</v>
      </c>
      <c r="C109" s="197">
        <v>2004</v>
      </c>
      <c r="D109" s="225" t="str">
        <f t="shared" si="0"/>
        <v>2016_2004</v>
      </c>
      <c r="E109" s="1231">
        <v>8.6590851977313796E-2</v>
      </c>
      <c r="F109" s="1288">
        <v>1.8161846923201101E-2</v>
      </c>
      <c r="G109" s="1306">
        <v>2.08691219760474</v>
      </c>
      <c r="H109" s="1303">
        <v>8.68641519155765</v>
      </c>
      <c r="I109" s="1288">
        <v>0.30390669071000997</v>
      </c>
      <c r="J109" s="1306">
        <v>13.5068338730989</v>
      </c>
      <c r="K109" s="1303">
        <v>1.1020363984350599E-2</v>
      </c>
      <c r="L109" s="1288">
        <v>1.80381345814399E-4</v>
      </c>
      <c r="M109" s="1306">
        <v>1.24777613995715E-2</v>
      </c>
      <c r="N109" s="1303">
        <v>8.0884744916987199E-3</v>
      </c>
      <c r="O109" s="1288">
        <v>2.3701769317242302E-3</v>
      </c>
      <c r="P109" s="1288">
        <v>8.5625467844834997E-3</v>
      </c>
      <c r="Q109" s="1306">
        <v>3.0000008598845898E-3</v>
      </c>
      <c r="R109" s="1303">
        <v>3.8488169847513E-2</v>
      </c>
      <c r="S109" s="1288">
        <v>3.43116819124136E-2</v>
      </c>
      <c r="T109" s="1288">
        <v>3.8474364413756602E-2</v>
      </c>
      <c r="U109" s="1306">
        <v>1.9250005517068101E-2</v>
      </c>
      <c r="V109" s="1294">
        <v>1.1518655941582001E-2</v>
      </c>
    </row>
    <row r="110" spans="1:22" s="212" customFormat="1" ht="15.5" x14ac:dyDescent="0.35">
      <c r="A110" s="198">
        <v>2016</v>
      </c>
      <c r="B110" s="197" t="s">
        <v>5833</v>
      </c>
      <c r="C110" s="197">
        <v>2005</v>
      </c>
      <c r="D110" s="225" t="str">
        <f t="shared" si="0"/>
        <v>2016_2005</v>
      </c>
      <c r="E110" s="1231">
        <v>0.13855959999438</v>
      </c>
      <c r="F110" s="1288">
        <v>2.1411093252098602E-2</v>
      </c>
      <c r="G110" s="1306">
        <v>1.86450864369168</v>
      </c>
      <c r="H110" s="1303">
        <v>5.4565714937260497</v>
      </c>
      <c r="I110" s="1288">
        <v>0.38753271800228001</v>
      </c>
      <c r="J110" s="1306">
        <v>13.216033095482301</v>
      </c>
      <c r="K110" s="1303">
        <v>3.2280472290814897E-2</v>
      </c>
      <c r="L110" s="1288">
        <v>1.92393516236542E-4</v>
      </c>
      <c r="M110" s="1306">
        <v>1.169281704952E-2</v>
      </c>
      <c r="N110" s="1303">
        <v>3.2783733182374401E-3</v>
      </c>
      <c r="O110" s="1288">
        <v>2.9502613506382702E-3</v>
      </c>
      <c r="P110" s="1288">
        <v>8.8097679203494803E-3</v>
      </c>
      <c r="Q110" s="1306">
        <v>8.6279331326770004E-3</v>
      </c>
      <c r="R110" s="1303">
        <v>3.7526996169419402E-2</v>
      </c>
      <c r="S110" s="1288">
        <v>3.81692432981919E-2</v>
      </c>
      <c r="T110" s="1288">
        <v>3.8489665689342902E-2</v>
      </c>
      <c r="U110" s="1306">
        <v>1.9250005517068101E-2</v>
      </c>
      <c r="V110" s="1294">
        <v>3.37400520053312E-2</v>
      </c>
    </row>
    <row r="111" spans="1:22" s="212" customFormat="1" ht="15.5" x14ac:dyDescent="0.35">
      <c r="A111" s="198">
        <v>2016</v>
      </c>
      <c r="B111" s="197" t="s">
        <v>5833</v>
      </c>
      <c r="C111" s="197">
        <v>2006</v>
      </c>
      <c r="D111" s="225" t="str">
        <f t="shared" si="0"/>
        <v>2016_2006</v>
      </c>
      <c r="E111" s="1231">
        <v>5.7752917634058501E-2</v>
      </c>
      <c r="F111" s="1288">
        <v>1.4873825596654001E-2</v>
      </c>
      <c r="G111" s="1306">
        <v>1.8309053912363999</v>
      </c>
      <c r="H111" s="1303">
        <v>5.7694353170248798</v>
      </c>
      <c r="I111" s="1288">
        <v>0.25652877433436</v>
      </c>
      <c r="J111" s="1306">
        <v>12.5153460819188</v>
      </c>
      <c r="K111" s="1303">
        <v>1.1120447041905601E-2</v>
      </c>
      <c r="L111" s="1288">
        <v>1.4918556684679401E-4</v>
      </c>
      <c r="M111" s="1306">
        <v>1.23202645173316E-2</v>
      </c>
      <c r="N111" s="1303">
        <v>4.6788539539671702E-3</v>
      </c>
      <c r="O111" s="1288">
        <v>2.35928280383779E-3</v>
      </c>
      <c r="P111" s="1288">
        <v>7.78595280282558E-3</v>
      </c>
      <c r="Q111" s="1280">
        <v>6.1338464928946557E-3</v>
      </c>
      <c r="R111" s="1303">
        <v>3.8382642937983102E-2</v>
      </c>
      <c r="S111" s="1288">
        <v>3.4239235961968699E-2</v>
      </c>
      <c r="T111" s="1288">
        <v>3.8439733303290098E-2</v>
      </c>
      <c r="U111" s="1280">
        <v>1.9250005517068101E-2</v>
      </c>
      <c r="V111" s="1294">
        <v>1.16232643108876E-2</v>
      </c>
    </row>
    <row r="112" spans="1:22" s="212" customFormat="1" ht="15.5" x14ac:dyDescent="0.35">
      <c r="A112" s="198">
        <v>2016</v>
      </c>
      <c r="B112" s="197" t="s">
        <v>5833</v>
      </c>
      <c r="C112" s="197">
        <v>2007</v>
      </c>
      <c r="D112" s="225" t="str">
        <f t="shared" si="0"/>
        <v>2016_2007</v>
      </c>
      <c r="E112" s="1231">
        <v>0.221092792427971</v>
      </c>
      <c r="F112" s="1288">
        <v>1.62045475056753E-2</v>
      </c>
      <c r="G112" s="1306">
        <v>2.9691749523293402E-2</v>
      </c>
      <c r="H112" s="1303">
        <v>4.6358970070942203</v>
      </c>
      <c r="I112" s="1288">
        <v>0.27670542353558503</v>
      </c>
      <c r="J112" s="1306">
        <v>0.92275148467916901</v>
      </c>
      <c r="K112" s="1303">
        <v>1.2328050063254801E-2</v>
      </c>
      <c r="L112" s="1288">
        <v>1.5977714364409599E-4</v>
      </c>
      <c r="M112" s="1306">
        <v>7.4062613327221995E-4</v>
      </c>
      <c r="N112" s="1303">
        <v>6.3135587984106999E-3</v>
      </c>
      <c r="O112" s="1288">
        <v>2.5890113678207001E-3</v>
      </c>
      <c r="P112" s="1288">
        <v>8.5301659822092108E-3</v>
      </c>
      <c r="Q112" s="1280">
        <v>6.1338464928946557E-3</v>
      </c>
      <c r="R112" s="1303">
        <v>3.8163664717162302E-2</v>
      </c>
      <c r="S112" s="1288">
        <v>3.57669309124551E-2</v>
      </c>
      <c r="T112" s="1288">
        <v>3.8467199988338002E-2</v>
      </c>
      <c r="U112" s="1280">
        <v>1.9250005517068101E-2</v>
      </c>
      <c r="V112" s="1294">
        <v>1.28854697822033E-2</v>
      </c>
    </row>
    <row r="113" spans="1:22" s="212" customFormat="1" ht="15.5" x14ac:dyDescent="0.35">
      <c r="A113" s="198">
        <v>2016</v>
      </c>
      <c r="B113" s="197" t="s">
        <v>5833</v>
      </c>
      <c r="C113" s="197">
        <v>2008</v>
      </c>
      <c r="D113" s="225" t="str">
        <f t="shared" si="0"/>
        <v>2016_2008</v>
      </c>
      <c r="E113" s="1231">
        <v>0.25332451642923898</v>
      </c>
      <c r="F113" s="1288">
        <v>1.6246042037392501E-2</v>
      </c>
      <c r="G113" s="1306">
        <v>2.80889817535366E-2</v>
      </c>
      <c r="H113" s="1303">
        <v>4.6272595106974004</v>
      </c>
      <c r="I113" s="1288">
        <v>0.27192793703775903</v>
      </c>
      <c r="J113" s="1306">
        <v>0.79072616850996702</v>
      </c>
      <c r="K113" s="1303">
        <v>2.0894374468954698E-2</v>
      </c>
      <c r="L113" s="1288">
        <v>1.7857593498059199E-4</v>
      </c>
      <c r="M113" s="1306">
        <v>1.4198858479191299E-3</v>
      </c>
      <c r="N113" s="1303">
        <v>6.3489147526339601E-3</v>
      </c>
      <c r="O113" s="1288">
        <v>2.7395392766359798E-3</v>
      </c>
      <c r="P113" s="1288">
        <v>8.3884290274082209E-3</v>
      </c>
      <c r="Q113" s="1280">
        <v>6.1338464928946557E-3</v>
      </c>
      <c r="R113" s="1303">
        <v>3.7485980854027802E-2</v>
      </c>
      <c r="S113" s="1288">
        <v>3.67679415060767E-2</v>
      </c>
      <c r="T113" s="1288">
        <v>3.83795352447922E-2</v>
      </c>
      <c r="U113" s="1280">
        <v>1.9250005517068101E-2</v>
      </c>
      <c r="V113" s="1294">
        <v>2.1839125365027301E-2</v>
      </c>
    </row>
    <row r="114" spans="1:22" s="212" customFormat="1" ht="15.5" x14ac:dyDescent="0.35">
      <c r="A114" s="198">
        <v>2016</v>
      </c>
      <c r="B114" s="197" t="s">
        <v>5833</v>
      </c>
      <c r="C114" s="197">
        <v>2009</v>
      </c>
      <c r="D114" s="225" t="str">
        <f t="shared" si="0"/>
        <v>2016_2009</v>
      </c>
      <c r="E114" s="1231">
        <v>0.249379864386434</v>
      </c>
      <c r="F114" s="1288">
        <v>1.23159532431088E-2</v>
      </c>
      <c r="G114" s="1306">
        <v>2.6203532087857799E-2</v>
      </c>
      <c r="H114" s="1303">
        <v>4.5121272301481197</v>
      </c>
      <c r="I114" s="1288">
        <v>0.19265426423108001</v>
      </c>
      <c r="J114" s="1306">
        <v>0.60932345218279005</v>
      </c>
      <c r="K114" s="1303">
        <v>2.3125070719600401E-2</v>
      </c>
      <c r="L114" s="1288">
        <v>1.74027404807467E-4</v>
      </c>
      <c r="M114" s="1306">
        <v>2.4398622289534102E-3</v>
      </c>
      <c r="N114" s="1303">
        <v>6.1260925983423796E-3</v>
      </c>
      <c r="O114" s="1288">
        <v>2.5805053280310501E-3</v>
      </c>
      <c r="P114" s="1288">
        <v>6.5048613839880599E-3</v>
      </c>
      <c r="Q114" s="1280">
        <v>6.1338464928946557E-3</v>
      </c>
      <c r="R114" s="1303">
        <v>3.7338872641144598E-2</v>
      </c>
      <c r="S114" s="1288">
        <v>3.5710365747853898E-2</v>
      </c>
      <c r="T114" s="1288">
        <v>3.8243267580178E-2</v>
      </c>
      <c r="U114" s="1280">
        <v>1.9250005517068101E-2</v>
      </c>
      <c r="V114" s="1294">
        <v>2.4170683801559199E-2</v>
      </c>
    </row>
    <row r="115" spans="1:22" s="212" customFormat="1" ht="15.5" x14ac:dyDescent="0.35">
      <c r="A115" s="198">
        <v>2016</v>
      </c>
      <c r="B115" s="197" t="s">
        <v>5833</v>
      </c>
      <c r="C115" s="197">
        <v>2010</v>
      </c>
      <c r="D115" s="225" t="str">
        <f t="shared" si="0"/>
        <v>2016_2010</v>
      </c>
      <c r="E115" s="1231">
        <v>7.2910017991328402E-2</v>
      </c>
      <c r="F115" s="1288">
        <v>1.54879637556897E-2</v>
      </c>
      <c r="G115" s="1306">
        <v>2.2000091971101501E-2</v>
      </c>
      <c r="H115" s="1303">
        <v>0.42321097339314201</v>
      </c>
      <c r="I115" s="1288">
        <v>0.22451841315325899</v>
      </c>
      <c r="J115" s="1306">
        <v>0.63222869260299497</v>
      </c>
      <c r="K115" s="1303">
        <v>7.7721334185059899E-3</v>
      </c>
      <c r="L115" s="1288">
        <v>2.3394969476588101E-4</v>
      </c>
      <c r="M115" s="1306">
        <v>4.8088420504967402E-4</v>
      </c>
      <c r="N115" s="1303">
        <v>8.2164383465443604E-3</v>
      </c>
      <c r="O115" s="1288">
        <v>2.7710296798630499E-3</v>
      </c>
      <c r="P115" s="1288">
        <v>7.5501971514493798E-3</v>
      </c>
      <c r="Q115" s="1280">
        <v>6.1338464928946557E-3</v>
      </c>
      <c r="R115" s="1303">
        <v>3.8114890044704898E-2</v>
      </c>
      <c r="S115" s="1288">
        <v>3.6977352687536699E-2</v>
      </c>
      <c r="T115" s="1288">
        <v>3.8357739724463803E-2</v>
      </c>
      <c r="U115" s="1280">
        <v>1.9250005517068101E-2</v>
      </c>
      <c r="V115" s="1294">
        <v>8.1235548033595697E-3</v>
      </c>
    </row>
    <row r="116" spans="1:22" s="212" customFormat="1" ht="15.5" x14ac:dyDescent="0.35">
      <c r="A116" s="198">
        <v>2016</v>
      </c>
      <c r="B116" s="197" t="s">
        <v>5833</v>
      </c>
      <c r="C116" s="197">
        <v>2011</v>
      </c>
      <c r="D116" s="225" t="str">
        <f t="shared" si="0"/>
        <v>2016_2011</v>
      </c>
      <c r="E116" s="1231">
        <v>6.0415819479428902E-2</v>
      </c>
      <c r="F116" s="1288">
        <v>1.13214946934403E-2</v>
      </c>
      <c r="G116" s="1306">
        <v>2.1412315473482699E-2</v>
      </c>
      <c r="H116" s="1303">
        <v>0.324547724791797</v>
      </c>
      <c r="I116" s="1288">
        <v>0.15359246949715</v>
      </c>
      <c r="J116" s="1306">
        <v>0.60261718505796003</v>
      </c>
      <c r="K116" s="1303">
        <v>5.87563970420967E-3</v>
      </c>
      <c r="L116" s="1288">
        <v>2.6003568132019301E-4</v>
      </c>
      <c r="M116" s="1306">
        <v>4.48377178937056E-4</v>
      </c>
      <c r="N116" s="1303">
        <v>6.9744949023597298E-3</v>
      </c>
      <c r="O116" s="1288">
        <v>2.56324946417507E-3</v>
      </c>
      <c r="P116" s="1288">
        <v>7.1772745275544402E-3</v>
      </c>
      <c r="Q116" s="1306">
        <v>3.6397598531123102E-3</v>
      </c>
      <c r="R116" s="1303">
        <v>3.8428955911567197E-2</v>
      </c>
      <c r="S116" s="1288">
        <v>3.5595614253211602E-2</v>
      </c>
      <c r="T116" s="1288">
        <v>3.8347489806919301E-2</v>
      </c>
      <c r="U116" s="1306">
        <v>1.9250005517068101E-2</v>
      </c>
      <c r="V116" s="1294">
        <v>6.1413100588689901E-3</v>
      </c>
    </row>
    <row r="117" spans="1:22" s="212" customFormat="1" ht="15.5" x14ac:dyDescent="0.35">
      <c r="A117" s="198">
        <v>2016</v>
      </c>
      <c r="B117" s="197" t="s">
        <v>5833</v>
      </c>
      <c r="C117" s="197">
        <v>2012</v>
      </c>
      <c r="D117" s="225" t="str">
        <f t="shared" si="0"/>
        <v>2016_2012</v>
      </c>
      <c r="E117" s="1231">
        <v>7.7719513326017203E-2</v>
      </c>
      <c r="F117" s="1288">
        <v>1.05189501354749E-2</v>
      </c>
      <c r="G117" s="1306">
        <v>2.38846747617559E-2</v>
      </c>
      <c r="H117" s="1303">
        <v>0.49066620806769501</v>
      </c>
      <c r="I117" s="1288">
        <v>0.12524380985605399</v>
      </c>
      <c r="J117" s="1306">
        <v>0.72064874267197498</v>
      </c>
      <c r="K117" s="1303">
        <v>6.7755055420312899E-3</v>
      </c>
      <c r="L117" s="1288">
        <v>3.64455495847185E-4</v>
      </c>
      <c r="M117" s="1306">
        <v>4.10830536071834E-4</v>
      </c>
      <c r="N117" s="1303">
        <v>8.4558911396147001E-3</v>
      </c>
      <c r="O117" s="1288">
        <v>2.4699313864122302E-3</v>
      </c>
      <c r="P117" s="1288">
        <v>7.8831139407741693E-3</v>
      </c>
      <c r="Q117" s="1306">
        <v>4.4405662502693599E-3</v>
      </c>
      <c r="R117" s="1303">
        <v>3.8488365432555002E-2</v>
      </c>
      <c r="S117" s="1288">
        <v>3.49750490360888E-2</v>
      </c>
      <c r="T117" s="1288">
        <v>3.8350198621147698E-2</v>
      </c>
      <c r="U117" s="1306">
        <v>1.9183995696191201E-2</v>
      </c>
      <c r="V117" s="1294">
        <v>7.0818638367813897E-3</v>
      </c>
    </row>
    <row r="118" spans="1:22" s="212" customFormat="1" ht="15.5" x14ac:dyDescent="0.35">
      <c r="A118" s="198">
        <v>2016</v>
      </c>
      <c r="B118" s="197" t="s">
        <v>5833</v>
      </c>
      <c r="C118" s="197">
        <v>2013</v>
      </c>
      <c r="D118" s="225" t="str">
        <f t="shared" si="0"/>
        <v>2016_2013</v>
      </c>
      <c r="E118" s="1231">
        <v>7.0938463214168301E-2</v>
      </c>
      <c r="F118" s="1288">
        <v>1.25073124731506E-2</v>
      </c>
      <c r="G118" s="1306">
        <v>2.3386630862411099E-2</v>
      </c>
      <c r="H118" s="1303">
        <v>0.40261082189019298</v>
      </c>
      <c r="I118" s="1288">
        <v>0.122308661064974</v>
      </c>
      <c r="J118" s="1306">
        <v>0.67551186908794503</v>
      </c>
      <c r="K118" s="1303">
        <v>7.1392631857528704E-3</v>
      </c>
      <c r="L118" s="1288">
        <v>6.3933167596734897E-4</v>
      </c>
      <c r="M118" s="1306">
        <v>5.1613407356079495E-4</v>
      </c>
      <c r="N118" s="1303">
        <v>8.4287650785542095E-3</v>
      </c>
      <c r="O118" s="1288">
        <v>2.48166018588678E-3</v>
      </c>
      <c r="P118" s="1288">
        <v>7.73283600101176E-3</v>
      </c>
      <c r="Q118" s="1306">
        <v>3.0767391365139301E-3</v>
      </c>
      <c r="R118" s="1303">
        <v>3.84819577407245E-2</v>
      </c>
      <c r="S118" s="1288">
        <v>3.5053045552594503E-2</v>
      </c>
      <c r="T118" s="1288">
        <v>3.82533199276925E-2</v>
      </c>
      <c r="U118" s="1306">
        <v>1.92420176782052E-2</v>
      </c>
      <c r="V118" s="1294">
        <v>7.4620689870014299E-3</v>
      </c>
    </row>
    <row r="119" spans="1:22" s="212" customFormat="1" ht="15.5" x14ac:dyDescent="0.35">
      <c r="A119" s="198">
        <v>2016</v>
      </c>
      <c r="B119" s="197" t="s">
        <v>5833</v>
      </c>
      <c r="C119" s="197">
        <v>2014</v>
      </c>
      <c r="D119" s="225" t="str">
        <f t="shared" si="0"/>
        <v>2016_2014</v>
      </c>
      <c r="E119" s="1231">
        <v>6.6653506232209905E-2</v>
      </c>
      <c r="F119" s="1288">
        <v>8.8386247642605002E-3</v>
      </c>
      <c r="G119" s="1306">
        <v>2.7309782396452899E-2</v>
      </c>
      <c r="H119" s="1303">
        <v>0.38418583332376599</v>
      </c>
      <c r="I119" s="1288">
        <v>5.9008609792014201E-2</v>
      </c>
      <c r="J119" s="1306">
        <v>0.84349784499778102</v>
      </c>
      <c r="K119" s="1303">
        <v>6.3264574998752304E-3</v>
      </c>
      <c r="L119" s="1288">
        <v>7.09579868662205E-4</v>
      </c>
      <c r="M119" s="1306">
        <v>3.9805975436064299E-4</v>
      </c>
      <c r="N119" s="1303">
        <v>7.59013910063225E-3</v>
      </c>
      <c r="O119" s="1288">
        <v>2.1178413678679601E-3</v>
      </c>
      <c r="P119" s="1288">
        <v>8.4456825289806296E-3</v>
      </c>
      <c r="Q119" s="1306">
        <v>8.6613503769320307E-3</v>
      </c>
      <c r="R119" s="1303">
        <v>3.8475227370764503E-2</v>
      </c>
      <c r="S119" s="1288">
        <v>3.2633650412769402E-2</v>
      </c>
      <c r="T119" s="1288">
        <v>3.8397382516080901E-2</v>
      </c>
      <c r="U119" s="1306">
        <v>1.9250005517068101E-2</v>
      </c>
      <c r="V119" s="1294">
        <v>6.61251183478021E-3</v>
      </c>
    </row>
    <row r="120" spans="1:22" s="212" customFormat="1" ht="15.5" x14ac:dyDescent="0.35">
      <c r="A120" s="198">
        <v>2016</v>
      </c>
      <c r="B120" s="197" t="s">
        <v>5833</v>
      </c>
      <c r="C120" s="197">
        <v>2015</v>
      </c>
      <c r="D120" s="225" t="str">
        <f t="shared" si="0"/>
        <v>2016_2015</v>
      </c>
      <c r="E120" s="1231">
        <v>6.6533562353881207E-2</v>
      </c>
      <c r="F120" s="1288">
        <v>1.10885879689042E-2</v>
      </c>
      <c r="G120" s="1306">
        <v>2.2899050403010102E-2</v>
      </c>
      <c r="H120" s="1303">
        <v>0.392099035656228</v>
      </c>
      <c r="I120" s="1288">
        <v>9.7256947034219804E-2</v>
      </c>
      <c r="J120" s="1306">
        <v>0.65884421537120597</v>
      </c>
      <c r="K120" s="1303">
        <v>5.9452588929808196E-3</v>
      </c>
      <c r="L120" s="1288">
        <v>9.5056734524148398E-4</v>
      </c>
      <c r="M120" s="1306">
        <v>3.8689972536733701E-4</v>
      </c>
      <c r="N120" s="1303">
        <v>7.3845943152310101E-3</v>
      </c>
      <c r="O120" s="1288">
        <v>2.4783992579670202E-3</v>
      </c>
      <c r="P120" s="1288">
        <v>7.0592564136371799E-3</v>
      </c>
      <c r="Q120" s="1306">
        <v>6.9517621975170802E-3</v>
      </c>
      <c r="R120" s="1303">
        <v>3.8483907150437702E-2</v>
      </c>
      <c r="S120" s="1288">
        <v>3.5031360381928098E-2</v>
      </c>
      <c r="T120" s="1288">
        <v>3.8249278269866599E-2</v>
      </c>
      <c r="U120" s="1306">
        <v>1.5098152585387501E-2</v>
      </c>
      <c r="V120" s="1294">
        <v>6.2140771184257997E-3</v>
      </c>
    </row>
    <row r="121" spans="1:22" s="212" customFormat="1" ht="15.5" x14ac:dyDescent="0.35">
      <c r="A121" s="198">
        <v>2016</v>
      </c>
      <c r="B121" s="197" t="s">
        <v>5833</v>
      </c>
      <c r="C121" s="197">
        <v>2016</v>
      </c>
      <c r="D121" s="225" t="str">
        <f t="shared" si="0"/>
        <v>2016_2016</v>
      </c>
      <c r="E121" s="1231">
        <v>5.0117023478651102E-2</v>
      </c>
      <c r="F121" s="1288">
        <v>1.2884988161835699E-2</v>
      </c>
      <c r="G121" s="1306">
        <v>2.3341550701489501E-2</v>
      </c>
      <c r="H121" s="1303">
        <v>0.24730472811926299</v>
      </c>
      <c r="I121" s="1288">
        <v>9.7857557628168904E-2</v>
      </c>
      <c r="J121" s="1306">
        <v>0.52575216200183095</v>
      </c>
      <c r="K121" s="1303">
        <v>4.3233619007671696E-3</v>
      </c>
      <c r="L121" s="1288">
        <v>1.2090109543498101E-3</v>
      </c>
      <c r="M121" s="1306">
        <v>6.7600412097323296E-4</v>
      </c>
      <c r="N121" s="1303">
        <v>5.20053181769664E-3</v>
      </c>
      <c r="O121" s="1288">
        <v>2.6500868311633802E-3</v>
      </c>
      <c r="P121" s="1288">
        <v>5.9742329061700603E-3</v>
      </c>
      <c r="Q121" s="1306">
        <v>5.6458647684255502E-3</v>
      </c>
      <c r="R121" s="1303">
        <v>3.8097025899040703E-2</v>
      </c>
      <c r="S121" s="1288">
        <v>3.6173082743683901E-2</v>
      </c>
      <c r="T121" s="1288">
        <v>3.7990044735664398E-2</v>
      </c>
      <c r="U121" s="1306">
        <v>1.91376675574505E-2</v>
      </c>
      <c r="V121" s="1294">
        <v>4.5188451412855601E-3</v>
      </c>
    </row>
    <row r="122" spans="1:22" s="212" customFormat="1" ht="15.5" x14ac:dyDescent="0.35">
      <c r="A122" s="198">
        <v>2016</v>
      </c>
      <c r="B122" s="197" t="s">
        <v>5833</v>
      </c>
      <c r="C122" s="197">
        <v>2017</v>
      </c>
      <c r="D122" s="225" t="str">
        <f t="shared" si="0"/>
        <v>2016_2017</v>
      </c>
      <c r="E122" s="1226">
        <v>5.0117023478651102E-2</v>
      </c>
      <c r="F122" s="1257">
        <v>1.2884988161835699E-2</v>
      </c>
      <c r="G122" s="1280">
        <v>2.3341550701489501E-2</v>
      </c>
      <c r="H122" s="1271">
        <v>0.24730472811926299</v>
      </c>
      <c r="I122" s="1257">
        <v>9.7857557628168904E-2</v>
      </c>
      <c r="J122" s="1280">
        <v>0.52575216200183095</v>
      </c>
      <c r="K122" s="1271">
        <v>4.3233619007671696E-3</v>
      </c>
      <c r="L122" s="1257">
        <v>1.2090109543498101E-3</v>
      </c>
      <c r="M122" s="1280">
        <v>6.7600412097323296E-4</v>
      </c>
      <c r="N122" s="1271">
        <v>5.20053181769664E-3</v>
      </c>
      <c r="O122" s="1257">
        <v>2.6500868311633802E-3</v>
      </c>
      <c r="P122" s="1257">
        <v>5.9742329061700603E-3</v>
      </c>
      <c r="Q122" s="1280">
        <v>5.6458647684255502E-3</v>
      </c>
      <c r="R122" s="1271">
        <v>3.8097025899040703E-2</v>
      </c>
      <c r="S122" s="1257">
        <v>3.6173082743683901E-2</v>
      </c>
      <c r="T122" s="1257">
        <v>3.7990044735664398E-2</v>
      </c>
      <c r="U122" s="1280">
        <v>1.91376675574505E-2</v>
      </c>
      <c r="V122" s="1293">
        <v>4.5188451412855601E-3</v>
      </c>
    </row>
    <row r="123" spans="1:22" s="212" customFormat="1" ht="15.5" x14ac:dyDescent="0.35">
      <c r="A123" s="198">
        <v>2017</v>
      </c>
      <c r="B123" s="197" t="s">
        <v>5833</v>
      </c>
      <c r="C123" s="197">
        <v>1971</v>
      </c>
      <c r="D123" s="225" t="str">
        <f t="shared" si="0"/>
        <v>2017_1971</v>
      </c>
      <c r="E123" s="1226">
        <v>0.25277958865052302</v>
      </c>
      <c r="F123" s="1257">
        <v>1.88863789040958</v>
      </c>
      <c r="G123" s="1280">
        <v>0.58654675365231701</v>
      </c>
      <c r="H123" s="1271">
        <v>22.514786854882999</v>
      </c>
      <c r="I123" s="1257">
        <v>11.8520321607411</v>
      </c>
      <c r="J123" s="1280">
        <v>8.20708142175015</v>
      </c>
      <c r="K123" s="1271">
        <v>2.83846122135968E-2</v>
      </c>
      <c r="L123" s="1257">
        <v>1.74041043643007E-3</v>
      </c>
      <c r="M123" s="1280">
        <v>1.38784834717535E-2</v>
      </c>
      <c r="N123" s="1271">
        <v>9.0000025830084592E-3</v>
      </c>
      <c r="O123" s="1257">
        <v>3.0000008598028201E-3</v>
      </c>
      <c r="P123" s="1257">
        <v>3.0000008610028199E-3</v>
      </c>
      <c r="Q123" s="1280">
        <v>9.0000025830084592E-3</v>
      </c>
      <c r="R123" s="1271">
        <v>3.8500011034136201E-2</v>
      </c>
      <c r="S123" s="1257">
        <v>3.8500011034136201E-2</v>
      </c>
      <c r="T123" s="1257">
        <v>3.8500011034136201E-2</v>
      </c>
      <c r="U123" s="1280">
        <v>1.9250005517068101E-2</v>
      </c>
      <c r="V123" s="1293">
        <v>2.9668038423044399E-2</v>
      </c>
    </row>
    <row r="124" spans="1:22" s="212" customFormat="1" ht="15.5" x14ac:dyDescent="0.35">
      <c r="A124" s="198">
        <v>2017</v>
      </c>
      <c r="B124" s="197" t="s">
        <v>5833</v>
      </c>
      <c r="C124" s="197">
        <v>1972</v>
      </c>
      <c r="D124" s="225" t="str">
        <f t="shared" si="0"/>
        <v>2017_1972</v>
      </c>
      <c r="E124" s="1226">
        <v>0.25277958865052302</v>
      </c>
      <c r="F124" s="1257">
        <v>1.88863789040958</v>
      </c>
      <c r="G124" s="1280">
        <v>0.58654675365231701</v>
      </c>
      <c r="H124" s="1271">
        <v>22.514786854882999</v>
      </c>
      <c r="I124" s="1257">
        <v>11.8520321607411</v>
      </c>
      <c r="J124" s="1280">
        <v>8.20708142175015</v>
      </c>
      <c r="K124" s="1271">
        <v>2.83846122135968E-2</v>
      </c>
      <c r="L124" s="1257">
        <v>1.74041043643007E-3</v>
      </c>
      <c r="M124" s="1280">
        <v>1.38784834717535E-2</v>
      </c>
      <c r="N124" s="1271">
        <v>9.0000025830084592E-3</v>
      </c>
      <c r="O124" s="1257">
        <v>3.0000008598028201E-3</v>
      </c>
      <c r="P124" s="1257">
        <v>3.0000008610028199E-3</v>
      </c>
      <c r="Q124" s="1280">
        <v>9.0000025830084592E-3</v>
      </c>
      <c r="R124" s="1271">
        <v>3.8500011034136201E-2</v>
      </c>
      <c r="S124" s="1257">
        <v>3.8500011034136201E-2</v>
      </c>
      <c r="T124" s="1257">
        <v>3.8500011034136201E-2</v>
      </c>
      <c r="U124" s="1280">
        <v>1.9250005517068101E-2</v>
      </c>
      <c r="V124" s="1293">
        <v>2.9668038423044399E-2</v>
      </c>
    </row>
    <row r="125" spans="1:22" s="212" customFormat="1" ht="15.5" x14ac:dyDescent="0.35">
      <c r="A125" s="198">
        <v>2017</v>
      </c>
      <c r="B125" s="197" t="s">
        <v>5833</v>
      </c>
      <c r="C125" s="197">
        <v>1973</v>
      </c>
      <c r="D125" s="225" t="str">
        <f t="shared" si="0"/>
        <v>2017_1973</v>
      </c>
      <c r="E125" s="1226">
        <v>0.25277958865052302</v>
      </c>
      <c r="F125" s="1257">
        <v>1.88863789040958</v>
      </c>
      <c r="G125" s="1280">
        <v>0.58654675365231701</v>
      </c>
      <c r="H125" s="1271">
        <v>22.514786854882999</v>
      </c>
      <c r="I125" s="1257">
        <v>11.8520321607411</v>
      </c>
      <c r="J125" s="1280">
        <v>8.20708142175015</v>
      </c>
      <c r="K125" s="1271">
        <v>2.83846122135968E-2</v>
      </c>
      <c r="L125" s="1257">
        <v>1.74041043643007E-3</v>
      </c>
      <c r="M125" s="1280">
        <v>1.38784834717535E-2</v>
      </c>
      <c r="N125" s="1271">
        <v>9.0000025830084592E-3</v>
      </c>
      <c r="O125" s="1257">
        <v>3.0000008598028201E-3</v>
      </c>
      <c r="P125" s="1257">
        <v>3.0000008610028199E-3</v>
      </c>
      <c r="Q125" s="1280">
        <v>9.0000025830084592E-3</v>
      </c>
      <c r="R125" s="1271">
        <v>3.8500011034136201E-2</v>
      </c>
      <c r="S125" s="1257">
        <v>3.8500011034136201E-2</v>
      </c>
      <c r="T125" s="1257">
        <v>3.8500011034136201E-2</v>
      </c>
      <c r="U125" s="1280">
        <v>1.9250005517068101E-2</v>
      </c>
      <c r="V125" s="1293">
        <v>2.9668038423044399E-2</v>
      </c>
    </row>
    <row r="126" spans="1:22" s="212" customFormat="1" ht="15.5" x14ac:dyDescent="0.35">
      <c r="A126" s="198">
        <v>2017</v>
      </c>
      <c r="B126" s="197" t="s">
        <v>5833</v>
      </c>
      <c r="C126" s="197">
        <v>1974</v>
      </c>
      <c r="D126" s="225" t="str">
        <f t="shared" si="0"/>
        <v>2017_1974</v>
      </c>
      <c r="E126" s="1226">
        <v>0.25277958865052302</v>
      </c>
      <c r="F126" s="1257">
        <v>1.88863789040958</v>
      </c>
      <c r="G126" s="1280">
        <v>0.58654675365231701</v>
      </c>
      <c r="H126" s="1271">
        <v>22.514786854882999</v>
      </c>
      <c r="I126" s="1257">
        <v>11.8520321607411</v>
      </c>
      <c r="J126" s="1280">
        <v>8.20708142175015</v>
      </c>
      <c r="K126" s="1271">
        <v>2.83846122135968E-2</v>
      </c>
      <c r="L126" s="1257">
        <v>1.74041043643007E-3</v>
      </c>
      <c r="M126" s="1280">
        <v>1.38784834717535E-2</v>
      </c>
      <c r="N126" s="1271">
        <v>9.0000025830084592E-3</v>
      </c>
      <c r="O126" s="1257">
        <v>3.0000008598028201E-3</v>
      </c>
      <c r="P126" s="1257">
        <v>3.0000008610028199E-3</v>
      </c>
      <c r="Q126" s="1280">
        <v>9.0000025830084592E-3</v>
      </c>
      <c r="R126" s="1271">
        <v>3.8500011034136201E-2</v>
      </c>
      <c r="S126" s="1257">
        <v>3.8500011034136201E-2</v>
      </c>
      <c r="T126" s="1257">
        <v>3.8500011034136201E-2</v>
      </c>
      <c r="U126" s="1280">
        <v>1.9250005517068101E-2</v>
      </c>
      <c r="V126" s="1293">
        <v>2.9668038423044399E-2</v>
      </c>
    </row>
    <row r="127" spans="1:22" s="212" customFormat="1" ht="15.5" x14ac:dyDescent="0.35">
      <c r="A127" s="198">
        <v>2017</v>
      </c>
      <c r="B127" s="197" t="s">
        <v>5833</v>
      </c>
      <c r="C127" s="197">
        <v>1975</v>
      </c>
      <c r="D127" s="225" t="str">
        <f t="shared" si="0"/>
        <v>2017_1975</v>
      </c>
      <c r="E127" s="1226">
        <v>0.25277958865052302</v>
      </c>
      <c r="F127" s="1257">
        <v>1.88863789040958</v>
      </c>
      <c r="G127" s="1280">
        <v>0.58654675365231701</v>
      </c>
      <c r="H127" s="1271">
        <v>22.514786854882999</v>
      </c>
      <c r="I127" s="1257">
        <v>11.8520321607411</v>
      </c>
      <c r="J127" s="1280">
        <v>8.20708142175015</v>
      </c>
      <c r="K127" s="1271">
        <v>2.83846122135968E-2</v>
      </c>
      <c r="L127" s="1257">
        <v>1.74041043643007E-3</v>
      </c>
      <c r="M127" s="1280">
        <v>1.38784834717535E-2</v>
      </c>
      <c r="N127" s="1271">
        <v>9.0000025830084592E-3</v>
      </c>
      <c r="O127" s="1257">
        <v>3.0000008598028201E-3</v>
      </c>
      <c r="P127" s="1257">
        <v>3.0000008610028199E-3</v>
      </c>
      <c r="Q127" s="1280">
        <v>9.0000025830084592E-3</v>
      </c>
      <c r="R127" s="1271">
        <v>3.8500011034136201E-2</v>
      </c>
      <c r="S127" s="1257">
        <v>3.8500011034136201E-2</v>
      </c>
      <c r="T127" s="1257">
        <v>3.8500011034136201E-2</v>
      </c>
      <c r="U127" s="1280">
        <v>1.9250005517068101E-2</v>
      </c>
      <c r="V127" s="1293">
        <v>2.9668038423044399E-2</v>
      </c>
    </row>
    <row r="128" spans="1:22" s="212" customFormat="1" ht="15.5" x14ac:dyDescent="0.35">
      <c r="A128" s="198">
        <v>2017</v>
      </c>
      <c r="B128" s="197" t="s">
        <v>5833</v>
      </c>
      <c r="C128" s="197">
        <v>1976</v>
      </c>
      <c r="D128" s="225" t="str">
        <f t="shared" si="0"/>
        <v>2017_1976</v>
      </c>
      <c r="E128" s="1226">
        <v>0.25277958865052302</v>
      </c>
      <c r="F128" s="1257">
        <v>1.88863789040958</v>
      </c>
      <c r="G128" s="1280">
        <v>0.58654675365231701</v>
      </c>
      <c r="H128" s="1271">
        <v>22.514786854882999</v>
      </c>
      <c r="I128" s="1257">
        <v>11.8520321607411</v>
      </c>
      <c r="J128" s="1280">
        <v>8.20708142175015</v>
      </c>
      <c r="K128" s="1271">
        <v>2.83846122135968E-2</v>
      </c>
      <c r="L128" s="1257">
        <v>1.74041043643007E-3</v>
      </c>
      <c r="M128" s="1280">
        <v>1.38784834717535E-2</v>
      </c>
      <c r="N128" s="1271">
        <v>9.0000025830084592E-3</v>
      </c>
      <c r="O128" s="1257">
        <v>3.0000008598028201E-3</v>
      </c>
      <c r="P128" s="1257">
        <v>3.0000008610028199E-3</v>
      </c>
      <c r="Q128" s="1280">
        <v>9.0000025830084592E-3</v>
      </c>
      <c r="R128" s="1271">
        <v>3.8500011034136201E-2</v>
      </c>
      <c r="S128" s="1257">
        <v>3.8500011034136201E-2</v>
      </c>
      <c r="T128" s="1257">
        <v>3.8500011034136201E-2</v>
      </c>
      <c r="U128" s="1280">
        <v>1.9250005517068101E-2</v>
      </c>
      <c r="V128" s="1293">
        <v>2.9668038423044399E-2</v>
      </c>
    </row>
    <row r="129" spans="1:22" s="212" customFormat="1" ht="15.5" x14ac:dyDescent="0.35">
      <c r="A129" s="198">
        <v>2017</v>
      </c>
      <c r="B129" s="197" t="s">
        <v>5833</v>
      </c>
      <c r="C129" s="197">
        <v>1977</v>
      </c>
      <c r="D129" s="225" t="str">
        <f t="shared" si="0"/>
        <v>2017_1977</v>
      </c>
      <c r="E129" s="1226">
        <v>0.25277958865052302</v>
      </c>
      <c r="F129" s="1257">
        <v>1.88863789040958</v>
      </c>
      <c r="G129" s="1280">
        <v>0.58654675365231701</v>
      </c>
      <c r="H129" s="1271">
        <v>22.514786854882999</v>
      </c>
      <c r="I129" s="1257">
        <v>11.8520321607411</v>
      </c>
      <c r="J129" s="1280">
        <v>8.20708142175015</v>
      </c>
      <c r="K129" s="1271">
        <v>2.83846122135968E-2</v>
      </c>
      <c r="L129" s="1257">
        <v>1.74041043643007E-3</v>
      </c>
      <c r="M129" s="1280">
        <v>1.38784834717535E-2</v>
      </c>
      <c r="N129" s="1271">
        <v>9.0000025830084592E-3</v>
      </c>
      <c r="O129" s="1257">
        <v>3.0000008598028201E-3</v>
      </c>
      <c r="P129" s="1257">
        <v>3.0000008610028199E-3</v>
      </c>
      <c r="Q129" s="1280">
        <v>9.0000025830084592E-3</v>
      </c>
      <c r="R129" s="1271">
        <v>3.8500011034136201E-2</v>
      </c>
      <c r="S129" s="1257">
        <v>3.8500011034136201E-2</v>
      </c>
      <c r="T129" s="1257">
        <v>3.8500011034136201E-2</v>
      </c>
      <c r="U129" s="1280">
        <v>1.9250005517068101E-2</v>
      </c>
      <c r="V129" s="1293">
        <v>2.9668038423044399E-2</v>
      </c>
    </row>
    <row r="130" spans="1:22" s="212" customFormat="1" ht="15.5" x14ac:dyDescent="0.35">
      <c r="A130" s="198">
        <v>2017</v>
      </c>
      <c r="B130" s="197" t="s">
        <v>5833</v>
      </c>
      <c r="C130" s="197">
        <v>1978</v>
      </c>
      <c r="D130" s="225" t="str">
        <f t="shared" si="0"/>
        <v>2017_1978</v>
      </c>
      <c r="E130" s="1226">
        <v>0.25277958865052302</v>
      </c>
      <c r="F130" s="1257">
        <v>1.88863789040958</v>
      </c>
      <c r="G130" s="1280">
        <v>0.58654675365231701</v>
      </c>
      <c r="H130" s="1271">
        <v>22.514786854882999</v>
      </c>
      <c r="I130" s="1257">
        <v>11.8520321607411</v>
      </c>
      <c r="J130" s="1280">
        <v>8.20708142175015</v>
      </c>
      <c r="K130" s="1271">
        <v>2.83846122135968E-2</v>
      </c>
      <c r="L130" s="1257">
        <v>1.74041043643007E-3</v>
      </c>
      <c r="M130" s="1280">
        <v>1.38784834717535E-2</v>
      </c>
      <c r="N130" s="1271">
        <v>9.0000025830084592E-3</v>
      </c>
      <c r="O130" s="1257">
        <v>3.0000008598028201E-3</v>
      </c>
      <c r="P130" s="1257">
        <v>3.0000008610028199E-3</v>
      </c>
      <c r="Q130" s="1280">
        <v>9.0000025830084592E-3</v>
      </c>
      <c r="R130" s="1271">
        <v>3.8500011034136201E-2</v>
      </c>
      <c r="S130" s="1257">
        <v>3.8500011034136201E-2</v>
      </c>
      <c r="T130" s="1257">
        <v>3.8500011034136201E-2</v>
      </c>
      <c r="U130" s="1280">
        <v>1.9250005517068101E-2</v>
      </c>
      <c r="V130" s="1293">
        <v>2.9668038423044399E-2</v>
      </c>
    </row>
    <row r="131" spans="1:22" s="212" customFormat="1" ht="15.5" x14ac:dyDescent="0.35">
      <c r="A131" s="198">
        <v>2017</v>
      </c>
      <c r="B131" s="197" t="s">
        <v>5833</v>
      </c>
      <c r="C131" s="197">
        <v>1979</v>
      </c>
      <c r="D131" s="225" t="str">
        <f t="shared" si="0"/>
        <v>2017_1979</v>
      </c>
      <c r="E131" s="1226">
        <v>0.25277958865052302</v>
      </c>
      <c r="F131" s="1257">
        <v>1.88863789040958</v>
      </c>
      <c r="G131" s="1280">
        <v>0.58654675365231701</v>
      </c>
      <c r="H131" s="1271">
        <v>22.514786854882999</v>
      </c>
      <c r="I131" s="1257">
        <v>11.8520321607411</v>
      </c>
      <c r="J131" s="1280">
        <v>8.20708142175015</v>
      </c>
      <c r="K131" s="1271">
        <v>2.83846122135968E-2</v>
      </c>
      <c r="L131" s="1257">
        <v>1.74041043643007E-3</v>
      </c>
      <c r="M131" s="1280">
        <v>1.38784834717535E-2</v>
      </c>
      <c r="N131" s="1271">
        <v>9.0000025830084592E-3</v>
      </c>
      <c r="O131" s="1257">
        <v>3.0000008598028201E-3</v>
      </c>
      <c r="P131" s="1257">
        <v>3.0000008610028199E-3</v>
      </c>
      <c r="Q131" s="1280">
        <v>9.0000025830084592E-3</v>
      </c>
      <c r="R131" s="1271">
        <v>3.8500011034136201E-2</v>
      </c>
      <c r="S131" s="1257">
        <v>3.8500011034136201E-2</v>
      </c>
      <c r="T131" s="1257">
        <v>3.8500011034136201E-2</v>
      </c>
      <c r="U131" s="1280">
        <v>1.9250005517068101E-2</v>
      </c>
      <c r="V131" s="1293">
        <v>2.9668038423044399E-2</v>
      </c>
    </row>
    <row r="132" spans="1:22" s="212" customFormat="1" ht="15.5" x14ac:dyDescent="0.35">
      <c r="A132" s="198">
        <v>2017</v>
      </c>
      <c r="B132" s="197" t="s">
        <v>5833</v>
      </c>
      <c r="C132" s="197">
        <v>1980</v>
      </c>
      <c r="D132" s="225" t="str">
        <f t="shared" si="0"/>
        <v>2017_1980</v>
      </c>
      <c r="E132" s="1226">
        <v>0.25277958865052302</v>
      </c>
      <c r="F132" s="1257">
        <v>1.88863789040958</v>
      </c>
      <c r="G132" s="1280">
        <v>0.58654675365231701</v>
      </c>
      <c r="H132" s="1271">
        <v>22.514786854882999</v>
      </c>
      <c r="I132" s="1257">
        <v>11.8520321607411</v>
      </c>
      <c r="J132" s="1280">
        <v>8.20708142175015</v>
      </c>
      <c r="K132" s="1271">
        <v>2.83846122135968E-2</v>
      </c>
      <c r="L132" s="1257">
        <v>1.74041043643007E-3</v>
      </c>
      <c r="M132" s="1280">
        <v>1.38784834717535E-2</v>
      </c>
      <c r="N132" s="1271">
        <v>9.0000025830084592E-3</v>
      </c>
      <c r="O132" s="1257">
        <v>3.0000008598028201E-3</v>
      </c>
      <c r="P132" s="1257">
        <v>3.0000008610028199E-3</v>
      </c>
      <c r="Q132" s="1280">
        <v>9.0000025830084592E-3</v>
      </c>
      <c r="R132" s="1271">
        <v>3.8500011034136201E-2</v>
      </c>
      <c r="S132" s="1257">
        <v>3.8500011034136201E-2</v>
      </c>
      <c r="T132" s="1257">
        <v>3.8500011034136201E-2</v>
      </c>
      <c r="U132" s="1280">
        <v>1.9250005517068101E-2</v>
      </c>
      <c r="V132" s="1293">
        <v>2.9668038423044399E-2</v>
      </c>
    </row>
    <row r="133" spans="1:22" s="212" customFormat="1" ht="15.5" x14ac:dyDescent="0.35">
      <c r="A133" s="198">
        <v>2017</v>
      </c>
      <c r="B133" s="197" t="s">
        <v>5833</v>
      </c>
      <c r="C133" s="197">
        <v>1981</v>
      </c>
      <c r="D133" s="225" t="str">
        <f t="shared" si="0"/>
        <v>2017_1981</v>
      </c>
      <c r="E133" s="1226">
        <v>0.25277958865052302</v>
      </c>
      <c r="F133" s="1257">
        <v>1.88863789040958</v>
      </c>
      <c r="G133" s="1280">
        <v>0.58654675365231701</v>
      </c>
      <c r="H133" s="1271">
        <v>22.514786854882999</v>
      </c>
      <c r="I133" s="1257">
        <v>11.8520321607411</v>
      </c>
      <c r="J133" s="1280">
        <v>8.20708142175015</v>
      </c>
      <c r="K133" s="1271">
        <v>2.83846122135968E-2</v>
      </c>
      <c r="L133" s="1257">
        <v>1.74041043643007E-3</v>
      </c>
      <c r="M133" s="1280">
        <v>1.38784834717535E-2</v>
      </c>
      <c r="N133" s="1271">
        <v>9.0000025830084592E-3</v>
      </c>
      <c r="O133" s="1257">
        <v>3.0000008598028201E-3</v>
      </c>
      <c r="P133" s="1257">
        <v>3.0000008610028199E-3</v>
      </c>
      <c r="Q133" s="1280">
        <v>9.0000025830084592E-3</v>
      </c>
      <c r="R133" s="1271">
        <v>3.8500011034136201E-2</v>
      </c>
      <c r="S133" s="1257">
        <v>3.8500011034136201E-2</v>
      </c>
      <c r="T133" s="1257">
        <v>3.8500011034136201E-2</v>
      </c>
      <c r="U133" s="1280">
        <v>1.9250005517068101E-2</v>
      </c>
      <c r="V133" s="1293">
        <v>2.9668038423044399E-2</v>
      </c>
    </row>
    <row r="134" spans="1:22" s="212" customFormat="1" ht="15.5" x14ac:dyDescent="0.35">
      <c r="A134" s="198">
        <v>2017</v>
      </c>
      <c r="B134" s="197" t="s">
        <v>5833</v>
      </c>
      <c r="C134" s="197">
        <v>1982</v>
      </c>
      <c r="D134" s="225" t="str">
        <f t="shared" si="0"/>
        <v>2017_1982</v>
      </c>
      <c r="E134" s="1226">
        <v>0.25277958865052302</v>
      </c>
      <c r="F134" s="1257">
        <v>1.88863789040958</v>
      </c>
      <c r="G134" s="1280">
        <v>0.58654675365231701</v>
      </c>
      <c r="H134" s="1271">
        <v>22.514786854882999</v>
      </c>
      <c r="I134" s="1257">
        <v>11.8520321607411</v>
      </c>
      <c r="J134" s="1280">
        <v>8.20708142175015</v>
      </c>
      <c r="K134" s="1271">
        <v>2.83846122135968E-2</v>
      </c>
      <c r="L134" s="1257">
        <v>1.74041043643007E-3</v>
      </c>
      <c r="M134" s="1280">
        <v>1.38784834717535E-2</v>
      </c>
      <c r="N134" s="1271">
        <v>9.0000025830084592E-3</v>
      </c>
      <c r="O134" s="1257">
        <v>3.0000008598028201E-3</v>
      </c>
      <c r="P134" s="1257">
        <v>3.0000008610028199E-3</v>
      </c>
      <c r="Q134" s="1280">
        <v>9.0000025830084592E-3</v>
      </c>
      <c r="R134" s="1271">
        <v>3.8500011034136201E-2</v>
      </c>
      <c r="S134" s="1257">
        <v>3.8500011034136201E-2</v>
      </c>
      <c r="T134" s="1257">
        <v>3.8500011034136201E-2</v>
      </c>
      <c r="U134" s="1280">
        <v>1.9250005517068101E-2</v>
      </c>
      <c r="V134" s="1293">
        <v>2.9668038423044399E-2</v>
      </c>
    </row>
    <row r="135" spans="1:22" s="212" customFormat="1" ht="15.5" x14ac:dyDescent="0.35">
      <c r="A135" s="198">
        <v>2017</v>
      </c>
      <c r="B135" s="197" t="s">
        <v>5833</v>
      </c>
      <c r="C135" s="197">
        <v>1983</v>
      </c>
      <c r="D135" s="225" t="str">
        <f t="shared" si="0"/>
        <v>2017_1983</v>
      </c>
      <c r="E135" s="1226">
        <v>0.25277958865052302</v>
      </c>
      <c r="F135" s="1257">
        <v>1.88863789040958</v>
      </c>
      <c r="G135" s="1280">
        <v>0.58654675365231701</v>
      </c>
      <c r="H135" s="1271">
        <v>22.514786854882999</v>
      </c>
      <c r="I135" s="1257">
        <v>11.8520321607411</v>
      </c>
      <c r="J135" s="1280">
        <v>8.20708142175015</v>
      </c>
      <c r="K135" s="1271">
        <v>2.83846122135968E-2</v>
      </c>
      <c r="L135" s="1257">
        <v>1.74041043643007E-3</v>
      </c>
      <c r="M135" s="1280">
        <v>1.38784834717535E-2</v>
      </c>
      <c r="N135" s="1271">
        <v>9.0000025830084592E-3</v>
      </c>
      <c r="O135" s="1257">
        <v>3.0000008598028201E-3</v>
      </c>
      <c r="P135" s="1257">
        <v>3.0000008610028199E-3</v>
      </c>
      <c r="Q135" s="1280">
        <v>9.0000025830084592E-3</v>
      </c>
      <c r="R135" s="1271">
        <v>3.8500011034136201E-2</v>
      </c>
      <c r="S135" s="1257">
        <v>3.8500011034136201E-2</v>
      </c>
      <c r="T135" s="1257">
        <v>3.8500011034136201E-2</v>
      </c>
      <c r="U135" s="1280">
        <v>1.9250005517068101E-2</v>
      </c>
      <c r="V135" s="1293">
        <v>2.9668038423044399E-2</v>
      </c>
    </row>
    <row r="136" spans="1:22" s="212" customFormat="1" ht="15.5" x14ac:dyDescent="0.35">
      <c r="A136" s="198">
        <v>2017</v>
      </c>
      <c r="B136" s="197" t="s">
        <v>5833</v>
      </c>
      <c r="C136" s="197">
        <v>1984</v>
      </c>
      <c r="D136" s="225" t="str">
        <f t="shared" si="0"/>
        <v>2017_1984</v>
      </c>
      <c r="E136" s="1226">
        <v>0.25277958865052302</v>
      </c>
      <c r="F136" s="1257">
        <v>1.88863789040958</v>
      </c>
      <c r="G136" s="1280">
        <v>0.58654675365231701</v>
      </c>
      <c r="H136" s="1271">
        <v>22.514786854882999</v>
      </c>
      <c r="I136" s="1257">
        <v>11.8520321607411</v>
      </c>
      <c r="J136" s="1280">
        <v>8.20708142175015</v>
      </c>
      <c r="K136" s="1271">
        <v>2.83846122135968E-2</v>
      </c>
      <c r="L136" s="1257">
        <v>1.74041043643007E-3</v>
      </c>
      <c r="M136" s="1280">
        <v>1.38784834717535E-2</v>
      </c>
      <c r="N136" s="1271">
        <v>9.0000025830084592E-3</v>
      </c>
      <c r="O136" s="1257">
        <v>3.0000008598028201E-3</v>
      </c>
      <c r="P136" s="1257">
        <v>3.0000008610028199E-3</v>
      </c>
      <c r="Q136" s="1280">
        <v>9.0000025830084592E-3</v>
      </c>
      <c r="R136" s="1271">
        <v>3.8500011034136201E-2</v>
      </c>
      <c r="S136" s="1257">
        <v>3.8500011034136201E-2</v>
      </c>
      <c r="T136" s="1257">
        <v>3.8500011034136201E-2</v>
      </c>
      <c r="U136" s="1280">
        <v>1.9250005517068101E-2</v>
      </c>
      <c r="V136" s="1293">
        <v>2.9668038423044399E-2</v>
      </c>
    </row>
    <row r="137" spans="1:22" s="212" customFormat="1" ht="15.5" x14ac:dyDescent="0.35">
      <c r="A137" s="198">
        <v>2017</v>
      </c>
      <c r="B137" s="197" t="s">
        <v>5833</v>
      </c>
      <c r="C137" s="197">
        <v>1985</v>
      </c>
      <c r="D137" s="225" t="str">
        <f t="shared" si="0"/>
        <v>2017_1985</v>
      </c>
      <c r="E137" s="1226">
        <v>0.25277958865052302</v>
      </c>
      <c r="F137" s="1257">
        <v>1.88863789040958</v>
      </c>
      <c r="G137" s="1280">
        <v>0.58654675365231701</v>
      </c>
      <c r="H137" s="1271">
        <v>22.514786854882999</v>
      </c>
      <c r="I137" s="1257">
        <v>11.8520321607411</v>
      </c>
      <c r="J137" s="1280">
        <v>8.20708142175015</v>
      </c>
      <c r="K137" s="1271">
        <v>2.83846122135968E-2</v>
      </c>
      <c r="L137" s="1257">
        <v>1.74041043643007E-3</v>
      </c>
      <c r="M137" s="1280">
        <v>1.38784834717535E-2</v>
      </c>
      <c r="N137" s="1271">
        <v>9.0000025830084592E-3</v>
      </c>
      <c r="O137" s="1257">
        <v>3.0000008598028201E-3</v>
      </c>
      <c r="P137" s="1257">
        <v>3.0000008610028199E-3</v>
      </c>
      <c r="Q137" s="1280">
        <v>9.0000025830084592E-3</v>
      </c>
      <c r="R137" s="1271">
        <v>3.8500011034136201E-2</v>
      </c>
      <c r="S137" s="1257">
        <v>3.8500011034136201E-2</v>
      </c>
      <c r="T137" s="1257">
        <v>3.8500011034136201E-2</v>
      </c>
      <c r="U137" s="1280">
        <v>1.9250005517068101E-2</v>
      </c>
      <c r="V137" s="1293">
        <v>2.9668038423044399E-2</v>
      </c>
    </row>
    <row r="138" spans="1:22" s="212" customFormat="1" ht="15.5" x14ac:dyDescent="0.35">
      <c r="A138" s="198">
        <v>2017</v>
      </c>
      <c r="B138" s="197" t="s">
        <v>5833</v>
      </c>
      <c r="C138" s="197">
        <v>1986</v>
      </c>
      <c r="D138" s="225" t="str">
        <f t="shared" si="0"/>
        <v>2017_1986</v>
      </c>
      <c r="E138" s="1226">
        <v>0.25277958865052302</v>
      </c>
      <c r="F138" s="1257">
        <v>1.88863789040958</v>
      </c>
      <c r="G138" s="1280">
        <v>0.58654675365231701</v>
      </c>
      <c r="H138" s="1271">
        <v>22.514786854882999</v>
      </c>
      <c r="I138" s="1257">
        <v>11.8520321607411</v>
      </c>
      <c r="J138" s="1280">
        <v>8.20708142175015</v>
      </c>
      <c r="K138" s="1271">
        <v>2.83846122135968E-2</v>
      </c>
      <c r="L138" s="1257">
        <v>1.74041043643007E-3</v>
      </c>
      <c r="M138" s="1280">
        <v>1.38784834717535E-2</v>
      </c>
      <c r="N138" s="1271">
        <v>9.0000025830084592E-3</v>
      </c>
      <c r="O138" s="1257">
        <v>3.0000008598028201E-3</v>
      </c>
      <c r="P138" s="1257">
        <v>3.0000008610028199E-3</v>
      </c>
      <c r="Q138" s="1280">
        <v>9.0000025830084592E-3</v>
      </c>
      <c r="R138" s="1271">
        <v>3.8500011034136201E-2</v>
      </c>
      <c r="S138" s="1257">
        <v>3.8500011034136201E-2</v>
      </c>
      <c r="T138" s="1257">
        <v>3.8500011034136201E-2</v>
      </c>
      <c r="U138" s="1280">
        <v>1.9250005517068101E-2</v>
      </c>
      <c r="V138" s="1293">
        <v>2.9668038423044399E-2</v>
      </c>
    </row>
    <row r="139" spans="1:22" s="212" customFormat="1" ht="15.5" x14ac:dyDescent="0.35">
      <c r="A139" s="198">
        <v>2017</v>
      </c>
      <c r="B139" s="197" t="s">
        <v>5833</v>
      </c>
      <c r="C139" s="197">
        <v>1987</v>
      </c>
      <c r="D139" s="225" t="str">
        <f t="shared" si="0"/>
        <v>2017_1987</v>
      </c>
      <c r="E139" s="1226">
        <v>0.25277958865052302</v>
      </c>
      <c r="F139" s="1257">
        <v>1.88863789040958</v>
      </c>
      <c r="G139" s="1280">
        <v>0.58654675365231701</v>
      </c>
      <c r="H139" s="1271">
        <v>22.514786854882999</v>
      </c>
      <c r="I139" s="1257">
        <v>11.8520321607411</v>
      </c>
      <c r="J139" s="1280">
        <v>8.20708142175015</v>
      </c>
      <c r="K139" s="1271">
        <v>2.83846122135968E-2</v>
      </c>
      <c r="L139" s="1257">
        <v>1.74041043643007E-3</v>
      </c>
      <c r="M139" s="1280">
        <v>1.38784834717535E-2</v>
      </c>
      <c r="N139" s="1271">
        <v>9.0000025830084592E-3</v>
      </c>
      <c r="O139" s="1257">
        <v>3.0000008598028201E-3</v>
      </c>
      <c r="P139" s="1257">
        <v>3.0000008610028199E-3</v>
      </c>
      <c r="Q139" s="1280">
        <v>9.0000025830084592E-3</v>
      </c>
      <c r="R139" s="1271">
        <v>3.8500011034136201E-2</v>
      </c>
      <c r="S139" s="1257">
        <v>3.8500011034136201E-2</v>
      </c>
      <c r="T139" s="1257">
        <v>3.8500011034136201E-2</v>
      </c>
      <c r="U139" s="1280">
        <v>1.9250005517068101E-2</v>
      </c>
      <c r="V139" s="1293">
        <v>2.9668038423044399E-2</v>
      </c>
    </row>
    <row r="140" spans="1:22" s="212" customFormat="1" ht="15.5" x14ac:dyDescent="0.35">
      <c r="A140" s="198">
        <v>2017</v>
      </c>
      <c r="B140" s="197" t="s">
        <v>5833</v>
      </c>
      <c r="C140" s="197">
        <v>1988</v>
      </c>
      <c r="D140" s="225" t="str">
        <f t="shared" si="0"/>
        <v>2017_1988</v>
      </c>
      <c r="E140" s="1226">
        <v>0.25277958865052302</v>
      </c>
      <c r="F140" s="1257">
        <v>1.88863789040958</v>
      </c>
      <c r="G140" s="1280">
        <v>0.58654675365231701</v>
      </c>
      <c r="H140" s="1271">
        <v>22.514786854882999</v>
      </c>
      <c r="I140" s="1257">
        <v>11.8520321607411</v>
      </c>
      <c r="J140" s="1280">
        <v>8.20708142175015</v>
      </c>
      <c r="K140" s="1271">
        <v>2.83846122135968E-2</v>
      </c>
      <c r="L140" s="1257">
        <v>1.74041043643007E-3</v>
      </c>
      <c r="M140" s="1280">
        <v>1.38784834717535E-2</v>
      </c>
      <c r="N140" s="1271">
        <v>9.0000025830084592E-3</v>
      </c>
      <c r="O140" s="1257">
        <v>3.0000008598028201E-3</v>
      </c>
      <c r="P140" s="1257">
        <v>3.0000008610028199E-3</v>
      </c>
      <c r="Q140" s="1280">
        <v>9.0000025830084592E-3</v>
      </c>
      <c r="R140" s="1271">
        <v>3.8500011034136201E-2</v>
      </c>
      <c r="S140" s="1257">
        <v>3.8500011034136201E-2</v>
      </c>
      <c r="T140" s="1257">
        <v>3.8500011034136201E-2</v>
      </c>
      <c r="U140" s="1280">
        <v>1.9250005517068101E-2</v>
      </c>
      <c r="V140" s="1293">
        <v>2.9668038423044399E-2</v>
      </c>
    </row>
    <row r="141" spans="1:22" s="212" customFormat="1" ht="15.5" x14ac:dyDescent="0.35">
      <c r="A141" s="198">
        <v>2017</v>
      </c>
      <c r="B141" s="197" t="s">
        <v>5833</v>
      </c>
      <c r="C141" s="197">
        <v>1989</v>
      </c>
      <c r="D141" s="225" t="str">
        <f t="shared" si="0"/>
        <v>2017_1989</v>
      </c>
      <c r="E141" s="1226">
        <v>0.25277958865052302</v>
      </c>
      <c r="F141" s="1257">
        <v>1.88863789040958</v>
      </c>
      <c r="G141" s="1280">
        <v>0.58654675365231701</v>
      </c>
      <c r="H141" s="1271">
        <v>22.514786854882999</v>
      </c>
      <c r="I141" s="1257">
        <v>11.8520321607411</v>
      </c>
      <c r="J141" s="1280">
        <v>8.20708142175015</v>
      </c>
      <c r="K141" s="1271">
        <v>2.83846122135968E-2</v>
      </c>
      <c r="L141" s="1257">
        <v>1.74041043643007E-3</v>
      </c>
      <c r="M141" s="1280">
        <v>1.38784834717535E-2</v>
      </c>
      <c r="N141" s="1271">
        <v>9.0000025830084592E-3</v>
      </c>
      <c r="O141" s="1257">
        <v>3.0000008598028201E-3</v>
      </c>
      <c r="P141" s="1257">
        <v>3.0000008610028199E-3</v>
      </c>
      <c r="Q141" s="1280">
        <v>9.0000025830084592E-3</v>
      </c>
      <c r="R141" s="1271">
        <v>3.8500011034136201E-2</v>
      </c>
      <c r="S141" s="1257">
        <v>3.8500011034136201E-2</v>
      </c>
      <c r="T141" s="1257">
        <v>3.8500011034136201E-2</v>
      </c>
      <c r="U141" s="1280">
        <v>1.9250005517068101E-2</v>
      </c>
      <c r="V141" s="1293">
        <v>2.9668038423044399E-2</v>
      </c>
    </row>
    <row r="142" spans="1:22" s="212" customFormat="1" ht="15.5" x14ac:dyDescent="0.35">
      <c r="A142" s="198">
        <v>2017</v>
      </c>
      <c r="B142" s="197" t="s">
        <v>5833</v>
      </c>
      <c r="C142" s="197">
        <v>1990</v>
      </c>
      <c r="D142" s="225" t="str">
        <f t="shared" si="0"/>
        <v>2017_1990</v>
      </c>
      <c r="E142" s="1226">
        <v>0.25277958865052302</v>
      </c>
      <c r="F142" s="1257">
        <v>1.88863789040958</v>
      </c>
      <c r="G142" s="1280">
        <v>0.58654675365231701</v>
      </c>
      <c r="H142" s="1271">
        <v>22.514786854882999</v>
      </c>
      <c r="I142" s="1257">
        <v>11.8520321607411</v>
      </c>
      <c r="J142" s="1280">
        <v>8.20708142175015</v>
      </c>
      <c r="K142" s="1271">
        <v>2.83846122135968E-2</v>
      </c>
      <c r="L142" s="1257">
        <v>1.74041043643007E-3</v>
      </c>
      <c r="M142" s="1280">
        <v>1.38784834717535E-2</v>
      </c>
      <c r="N142" s="1271">
        <v>9.0000025830084592E-3</v>
      </c>
      <c r="O142" s="1257">
        <v>3.0000008598028201E-3</v>
      </c>
      <c r="P142" s="1257">
        <v>3.0000008610028199E-3</v>
      </c>
      <c r="Q142" s="1280">
        <v>9.0000025830084592E-3</v>
      </c>
      <c r="R142" s="1271">
        <v>3.8500011034136201E-2</v>
      </c>
      <c r="S142" s="1257">
        <v>3.8500011034136201E-2</v>
      </c>
      <c r="T142" s="1257">
        <v>3.8500011034136201E-2</v>
      </c>
      <c r="U142" s="1280">
        <v>1.9250005517068101E-2</v>
      </c>
      <c r="V142" s="1293">
        <v>2.9668038423044399E-2</v>
      </c>
    </row>
    <row r="143" spans="1:22" s="212" customFormat="1" ht="15.5" x14ac:dyDescent="0.35">
      <c r="A143" s="198">
        <v>2017</v>
      </c>
      <c r="B143" s="197" t="s">
        <v>5833</v>
      </c>
      <c r="C143" s="197">
        <v>1991</v>
      </c>
      <c r="D143" s="225" t="str">
        <f t="shared" si="0"/>
        <v>2017_1991</v>
      </c>
      <c r="E143" s="1226">
        <v>0.25277958865052302</v>
      </c>
      <c r="F143" s="1257">
        <v>1.88863789040958</v>
      </c>
      <c r="G143" s="1280">
        <v>0.58654675365231701</v>
      </c>
      <c r="H143" s="1271">
        <v>22.514786854882999</v>
      </c>
      <c r="I143" s="1257">
        <v>11.8520321607411</v>
      </c>
      <c r="J143" s="1280">
        <v>8.20708142175015</v>
      </c>
      <c r="K143" s="1271">
        <v>2.83846122135968E-2</v>
      </c>
      <c r="L143" s="1257">
        <v>1.74041043643007E-3</v>
      </c>
      <c r="M143" s="1280">
        <v>1.38784834717535E-2</v>
      </c>
      <c r="N143" s="1271">
        <v>9.0000025830084592E-3</v>
      </c>
      <c r="O143" s="1257">
        <v>3.0000008598028201E-3</v>
      </c>
      <c r="P143" s="1257">
        <v>3.0000008610028199E-3</v>
      </c>
      <c r="Q143" s="1280">
        <v>9.0000025830084592E-3</v>
      </c>
      <c r="R143" s="1271">
        <v>3.8500011034136201E-2</v>
      </c>
      <c r="S143" s="1257">
        <v>3.8500011034136201E-2</v>
      </c>
      <c r="T143" s="1257">
        <v>3.8500011034136201E-2</v>
      </c>
      <c r="U143" s="1280">
        <v>1.9250005517068101E-2</v>
      </c>
      <c r="V143" s="1293">
        <v>2.9668038423044399E-2</v>
      </c>
    </row>
    <row r="144" spans="1:22" s="212" customFormat="1" ht="15.5" x14ac:dyDescent="0.35">
      <c r="A144" s="198">
        <v>2017</v>
      </c>
      <c r="B144" s="197" t="s">
        <v>5833</v>
      </c>
      <c r="C144" s="197">
        <v>1992</v>
      </c>
      <c r="D144" s="225" t="str">
        <f t="shared" si="0"/>
        <v>2017_1992</v>
      </c>
      <c r="E144" s="1231">
        <v>0.25277958865052302</v>
      </c>
      <c r="F144" s="1257">
        <v>1.88863789040958</v>
      </c>
      <c r="G144" s="1280">
        <v>0.58654675365231701</v>
      </c>
      <c r="H144" s="1303">
        <v>22.514786854882999</v>
      </c>
      <c r="I144" s="1257">
        <v>11.8520321607411</v>
      </c>
      <c r="J144" s="1280">
        <v>8.20708142175015</v>
      </c>
      <c r="K144" s="1303">
        <v>2.83846122135968E-2</v>
      </c>
      <c r="L144" s="1257">
        <v>1.74041043643007E-3</v>
      </c>
      <c r="M144" s="1306">
        <v>1.38784834717535E-2</v>
      </c>
      <c r="N144" s="1303">
        <v>9.0000025830084592E-3</v>
      </c>
      <c r="O144" s="1257">
        <v>3.0000008598028201E-3</v>
      </c>
      <c r="P144" s="1257">
        <v>3.0000008610028199E-3</v>
      </c>
      <c r="Q144" s="1280">
        <v>9.0000025830084592E-3</v>
      </c>
      <c r="R144" s="1303">
        <v>3.8500011034136201E-2</v>
      </c>
      <c r="S144" s="1257">
        <v>3.8500011034136201E-2</v>
      </c>
      <c r="T144" s="1257">
        <v>3.8500011034136201E-2</v>
      </c>
      <c r="U144" s="1280">
        <v>1.9250005517068101E-2</v>
      </c>
      <c r="V144" s="1294">
        <v>2.9668038423044399E-2</v>
      </c>
    </row>
    <row r="145" spans="1:22" s="212" customFormat="1" ht="15.5" x14ac:dyDescent="0.35">
      <c r="A145" s="198">
        <v>2017</v>
      </c>
      <c r="B145" s="197" t="s">
        <v>5833</v>
      </c>
      <c r="C145" s="197">
        <v>1993</v>
      </c>
      <c r="D145" s="225" t="str">
        <f t="shared" si="0"/>
        <v>2017_1993</v>
      </c>
      <c r="E145" s="1291">
        <v>0.18946315466479452</v>
      </c>
      <c r="F145" s="1257">
        <v>1.88863789040958</v>
      </c>
      <c r="G145" s="1280">
        <v>0.58654675365231701</v>
      </c>
      <c r="H145" s="1271">
        <v>21.635985747769752</v>
      </c>
      <c r="I145" s="1257">
        <v>11.8520321607411</v>
      </c>
      <c r="J145" s="1280">
        <v>8.20708142175015</v>
      </c>
      <c r="K145" s="1271">
        <v>2.2017732502400099E-2</v>
      </c>
      <c r="L145" s="1257">
        <v>1.74041043643007E-3</v>
      </c>
      <c r="M145" s="1306">
        <v>1.38784834717535E-2</v>
      </c>
      <c r="N145" s="1271">
        <v>9.0000025813311187E-3</v>
      </c>
      <c r="O145" s="1257">
        <v>3.0000008598028201E-3</v>
      </c>
      <c r="P145" s="1257">
        <v>3.0000008610028199E-3</v>
      </c>
      <c r="Q145" s="1280">
        <v>9.0000025813311187E-3</v>
      </c>
      <c r="R145" s="1271">
        <v>3.8500011034136201E-2</v>
      </c>
      <c r="S145" s="1257">
        <v>3.8500011034136201E-2</v>
      </c>
      <c r="T145" s="1257">
        <v>3.8500011034136201E-2</v>
      </c>
      <c r="U145" s="1280">
        <v>1.9250005517068101E-2</v>
      </c>
      <c r="V145" s="1293">
        <v>2.3013276663917649E-2</v>
      </c>
    </row>
    <row r="146" spans="1:22" s="212" customFormat="1" ht="15.5" x14ac:dyDescent="0.35">
      <c r="A146" s="198">
        <v>2017</v>
      </c>
      <c r="B146" s="197" t="s">
        <v>5833</v>
      </c>
      <c r="C146" s="197">
        <v>1994</v>
      </c>
      <c r="D146" s="225" t="str">
        <f t="shared" si="0"/>
        <v>2017_1994</v>
      </c>
      <c r="E146" s="1291">
        <v>0.18946315466479452</v>
      </c>
      <c r="F146" s="1257">
        <v>1.88863789040958</v>
      </c>
      <c r="G146" s="1306">
        <v>0.58654675365231701</v>
      </c>
      <c r="H146" s="1271">
        <v>21.635985747769752</v>
      </c>
      <c r="I146" s="1257">
        <v>11.8520321607411</v>
      </c>
      <c r="J146" s="1306">
        <v>8.20708142175015</v>
      </c>
      <c r="K146" s="1271">
        <v>2.2017732502400099E-2</v>
      </c>
      <c r="L146" s="1257">
        <v>1.74041043643007E-3</v>
      </c>
      <c r="M146" s="1306">
        <v>1.38784834717535E-2</v>
      </c>
      <c r="N146" s="1271">
        <v>9.0000025813311187E-3</v>
      </c>
      <c r="O146" s="1257">
        <v>3.0000008598028201E-3</v>
      </c>
      <c r="P146" s="1288">
        <v>3.0000008610028199E-3</v>
      </c>
      <c r="Q146" s="1280">
        <v>9.0000025813311187E-3</v>
      </c>
      <c r="R146" s="1271">
        <v>3.8500011034136201E-2</v>
      </c>
      <c r="S146" s="1257">
        <v>3.8500011034136201E-2</v>
      </c>
      <c r="T146" s="1288">
        <v>3.8500011034136201E-2</v>
      </c>
      <c r="U146" s="1280">
        <v>1.9250005517068101E-2</v>
      </c>
      <c r="V146" s="1293">
        <v>2.3013276663917649E-2</v>
      </c>
    </row>
    <row r="147" spans="1:22" s="212" customFormat="1" ht="15.5" x14ac:dyDescent="0.35">
      <c r="A147" s="198">
        <v>2017</v>
      </c>
      <c r="B147" s="197" t="s">
        <v>5833</v>
      </c>
      <c r="C147" s="197">
        <v>1995</v>
      </c>
      <c r="D147" s="225" t="str">
        <f t="shared" si="0"/>
        <v>2017_1995</v>
      </c>
      <c r="E147" s="1291">
        <v>0.18946315466479452</v>
      </c>
      <c r="F147" s="1257">
        <v>1.88863789040958</v>
      </c>
      <c r="G147" s="1280">
        <v>0.74790844967906844</v>
      </c>
      <c r="H147" s="1271">
        <v>21.635985747769752</v>
      </c>
      <c r="I147" s="1257">
        <v>11.8520321607411</v>
      </c>
      <c r="J147" s="1280">
        <v>9.9834308115707753</v>
      </c>
      <c r="K147" s="1271">
        <v>2.2017732502400099E-2</v>
      </c>
      <c r="L147" s="1257">
        <v>1.74041043643007E-3</v>
      </c>
      <c r="M147" s="1280">
        <v>1.673405914613085E-2</v>
      </c>
      <c r="N147" s="1271">
        <v>9.0000025813311187E-3</v>
      </c>
      <c r="O147" s="1257">
        <v>3.0000008598028201E-3</v>
      </c>
      <c r="P147" s="1257">
        <v>5.778890184046385E-3</v>
      </c>
      <c r="Q147" s="1280">
        <v>9.0000025813311187E-3</v>
      </c>
      <c r="R147" s="1271">
        <v>3.8500011034136201E-2</v>
      </c>
      <c r="S147" s="1257">
        <v>3.8500011034136201E-2</v>
      </c>
      <c r="T147" s="1257">
        <v>3.8500011034136201E-2</v>
      </c>
      <c r="U147" s="1280">
        <v>1.9250005517068101E-2</v>
      </c>
      <c r="V147" s="1293">
        <v>2.3013276663917649E-2</v>
      </c>
    </row>
    <row r="148" spans="1:22" s="212" customFormat="1" ht="15.5" x14ac:dyDescent="0.35">
      <c r="A148" s="198">
        <v>2017</v>
      </c>
      <c r="B148" s="197" t="s">
        <v>5833</v>
      </c>
      <c r="C148" s="197">
        <v>1996</v>
      </c>
      <c r="D148" s="225" t="str">
        <f t="shared" si="0"/>
        <v>2017_1996</v>
      </c>
      <c r="E148" s="1231">
        <v>0.12614672067906599</v>
      </c>
      <c r="F148" s="1257">
        <v>1.88863789040958</v>
      </c>
      <c r="G148" s="1306">
        <v>0.90927014570581999</v>
      </c>
      <c r="H148" s="1303">
        <v>20.757184640656501</v>
      </c>
      <c r="I148" s="1257">
        <v>11.8520321607411</v>
      </c>
      <c r="J148" s="1306">
        <v>11.759780201391401</v>
      </c>
      <c r="K148" s="1303">
        <v>1.5650852791203401E-2</v>
      </c>
      <c r="L148" s="1257">
        <v>1.74041043643007E-3</v>
      </c>
      <c r="M148" s="1306">
        <v>1.9589634820508201E-2</v>
      </c>
      <c r="N148" s="1303">
        <v>9.0000025796537798E-3</v>
      </c>
      <c r="O148" s="1257">
        <v>3.0000008598028201E-3</v>
      </c>
      <c r="P148" s="1288">
        <v>8.5577795070899496E-3</v>
      </c>
      <c r="Q148" s="1280">
        <v>9.0000025796537798E-3</v>
      </c>
      <c r="R148" s="1303">
        <v>3.8500011034136201E-2</v>
      </c>
      <c r="S148" s="1257">
        <v>3.8500011034136201E-2</v>
      </c>
      <c r="T148" s="1288">
        <v>3.8500011034136201E-2</v>
      </c>
      <c r="U148" s="1280">
        <v>1.9250005517068101E-2</v>
      </c>
      <c r="V148" s="1294">
        <v>1.63585149047909E-2</v>
      </c>
    </row>
    <row r="149" spans="1:22" s="212" customFormat="1" ht="15.5" x14ac:dyDescent="0.35">
      <c r="A149" s="198">
        <v>2017</v>
      </c>
      <c r="B149" s="197" t="s">
        <v>5833</v>
      </c>
      <c r="C149" s="197">
        <v>1997</v>
      </c>
      <c r="D149" s="225" t="str">
        <f t="shared" si="0"/>
        <v>2017_1997</v>
      </c>
      <c r="E149" s="1231">
        <v>0.12614672067906599</v>
      </c>
      <c r="F149" s="1288">
        <v>1.88863789040958</v>
      </c>
      <c r="G149" s="1306">
        <v>1.5166574583382599</v>
      </c>
      <c r="H149" s="1303">
        <v>20.757184640656501</v>
      </c>
      <c r="I149" s="1288">
        <v>11.8520321607411</v>
      </c>
      <c r="J149" s="1306">
        <v>15.71619523349</v>
      </c>
      <c r="K149" s="1303">
        <v>1.5650852791203401E-2</v>
      </c>
      <c r="L149" s="1288">
        <v>1.74041043643007E-3</v>
      </c>
      <c r="M149" s="1306">
        <v>1.9712698074436999E-2</v>
      </c>
      <c r="N149" s="1303">
        <v>9.0000025796537902E-3</v>
      </c>
      <c r="O149" s="1288">
        <v>3.0000008598028201E-3</v>
      </c>
      <c r="P149" s="1288">
        <v>9.0000025837844201E-3</v>
      </c>
      <c r="Q149" s="1280">
        <v>9.0000025796537902E-3</v>
      </c>
      <c r="R149" s="1303">
        <v>3.8500011034136201E-2</v>
      </c>
      <c r="S149" s="1288">
        <v>3.8500011034136201E-2</v>
      </c>
      <c r="T149" s="1288">
        <v>3.8500011034136201E-2</v>
      </c>
      <c r="U149" s="1280">
        <v>1.9250005517068101E-2</v>
      </c>
      <c r="V149" s="1294">
        <v>1.63585149047909E-2</v>
      </c>
    </row>
    <row r="150" spans="1:22" s="212" customFormat="1" ht="15.5" x14ac:dyDescent="0.35">
      <c r="A150" s="198">
        <v>2017</v>
      </c>
      <c r="B150" s="197" t="s">
        <v>5833</v>
      </c>
      <c r="C150" s="197">
        <v>1998</v>
      </c>
      <c r="D150" s="225" t="str">
        <f t="shared" si="0"/>
        <v>2017_1998</v>
      </c>
      <c r="E150" s="1231">
        <v>0.11465239389890799</v>
      </c>
      <c r="F150" s="1257">
        <v>0.96269036097310989</v>
      </c>
      <c r="G150" s="1306">
        <v>0.43926478679339398</v>
      </c>
      <c r="H150" s="1303">
        <v>18.958617340151498</v>
      </c>
      <c r="I150" s="1257">
        <v>6.4119313616162996</v>
      </c>
      <c r="J150" s="1306">
        <v>7.0627987857633103</v>
      </c>
      <c r="K150" s="1303">
        <v>1.3851278430607201E-2</v>
      </c>
      <c r="L150" s="1257">
        <v>1.75017571333411E-3</v>
      </c>
      <c r="M150" s="1306">
        <v>1.2837401597361501E-2</v>
      </c>
      <c r="N150" s="1303">
        <v>7.36937573923675E-3</v>
      </c>
      <c r="O150" s="1257">
        <v>3.0000008598028201E-3</v>
      </c>
      <c r="P150" s="1288">
        <v>3.0000008598845898E-3</v>
      </c>
      <c r="Q150" s="1306">
        <v>3.0000008598845898E-3</v>
      </c>
      <c r="R150" s="1303">
        <v>3.8500011034136201E-2</v>
      </c>
      <c r="S150" s="1257">
        <v>3.8500011034136201E-2</v>
      </c>
      <c r="T150" s="1288">
        <v>3.8500011034136201E-2</v>
      </c>
      <c r="U150" s="1306">
        <v>1.9250005517068101E-2</v>
      </c>
      <c r="V150" s="1294">
        <v>1.4477571777101499E-2</v>
      </c>
    </row>
    <row r="151" spans="1:22" s="212" customFormat="1" ht="15.5" x14ac:dyDescent="0.35">
      <c r="A151" s="198">
        <v>2017</v>
      </c>
      <c r="B151" s="197" t="s">
        <v>5833</v>
      </c>
      <c r="C151" s="197">
        <v>1999</v>
      </c>
      <c r="D151" s="225" t="str">
        <f t="shared" si="0"/>
        <v>2017_1999</v>
      </c>
      <c r="E151" s="1231">
        <v>0.12613446663333799</v>
      </c>
      <c r="F151" s="1257">
        <v>0.96269036097310989</v>
      </c>
      <c r="G151" s="1306">
        <v>0.93494870167396804</v>
      </c>
      <c r="H151" s="1303">
        <v>20.755352256945699</v>
      </c>
      <c r="I151" s="1257">
        <v>6.4119313616162996</v>
      </c>
      <c r="J151" s="1306">
        <v>12.042462450950399</v>
      </c>
      <c r="K151" s="1303">
        <v>1.5648981009720401E-2</v>
      </c>
      <c r="L151" s="1257">
        <v>1.75017571333411E-3</v>
      </c>
      <c r="M151" s="1306">
        <v>2.0044061500329498E-2</v>
      </c>
      <c r="N151" s="1303">
        <v>8.9983508321978996E-3</v>
      </c>
      <c r="O151" s="1257">
        <v>3.0000008598028201E-3</v>
      </c>
      <c r="P151" s="1288">
        <v>9.0000025796537902E-3</v>
      </c>
      <c r="Q151" s="1306">
        <v>9.0000025796537798E-3</v>
      </c>
      <c r="R151" s="1303">
        <v>3.8500011034136201E-2</v>
      </c>
      <c r="S151" s="1257">
        <v>3.8500011034136201E-2</v>
      </c>
      <c r="T151" s="1288">
        <v>3.8500011034136201E-2</v>
      </c>
      <c r="U151" s="1306">
        <v>1.9250005517068101E-2</v>
      </c>
      <c r="V151" s="1294">
        <v>1.6356558489655199E-2</v>
      </c>
    </row>
    <row r="152" spans="1:22" s="212" customFormat="1" ht="15.5" x14ac:dyDescent="0.35">
      <c r="A152" s="198">
        <v>2017</v>
      </c>
      <c r="B152" s="197" t="s">
        <v>5833</v>
      </c>
      <c r="C152" s="197">
        <v>2000</v>
      </c>
      <c r="D152" s="225" t="str">
        <f t="shared" si="0"/>
        <v>2017_2000</v>
      </c>
      <c r="E152" s="1231">
        <v>0.17894016402548901</v>
      </c>
      <c r="F152" s="1257">
        <v>0.96269036097310989</v>
      </c>
      <c r="G152" s="1306">
        <v>1.48003755298537</v>
      </c>
      <c r="H152" s="1303">
        <v>21.444606495983201</v>
      </c>
      <c r="I152" s="1257">
        <v>6.4119313616162996</v>
      </c>
      <c r="J152" s="1306">
        <v>15.408104814601</v>
      </c>
      <c r="K152" s="1303">
        <v>2.0965295220721099E-2</v>
      </c>
      <c r="L152" s="1257">
        <v>1.75017571333411E-3</v>
      </c>
      <c r="M152" s="1306">
        <v>1.9312809045543101E-2</v>
      </c>
      <c r="N152" s="1303">
        <v>8.9550138978311492E-3</v>
      </c>
      <c r="O152" s="1257">
        <v>3.0000008598028201E-3</v>
      </c>
      <c r="P152" s="1288">
        <v>8.6805005033884497E-3</v>
      </c>
      <c r="Q152" s="1306">
        <v>7.5481137740930999E-6</v>
      </c>
      <c r="R152" s="1303">
        <v>3.8500011034136201E-2</v>
      </c>
      <c r="S152" s="1257">
        <v>3.8500011034136201E-2</v>
      </c>
      <c r="T152" s="1288">
        <v>3.8500011034136201E-2</v>
      </c>
      <c r="U152" s="1306">
        <v>2.3115664861352101E-5</v>
      </c>
      <c r="V152" s="1294">
        <v>2.1913252838482399E-2</v>
      </c>
    </row>
    <row r="153" spans="1:22" s="212" customFormat="1" ht="15.5" x14ac:dyDescent="0.35">
      <c r="A153" s="198">
        <v>2017</v>
      </c>
      <c r="B153" s="197" t="s">
        <v>5833</v>
      </c>
      <c r="C153" s="197">
        <v>2001</v>
      </c>
      <c r="D153" s="225" t="str">
        <f t="shared" si="0"/>
        <v>2017_2001</v>
      </c>
      <c r="E153" s="1231">
        <v>0.134002480591457</v>
      </c>
      <c r="F153" s="1288">
        <v>3.6742831536639799E-2</v>
      </c>
      <c r="G153" s="1306">
        <v>1.48578776228381</v>
      </c>
      <c r="H153" s="1303">
        <v>20.717158735108001</v>
      </c>
      <c r="I153" s="1288">
        <v>0.97183056249150002</v>
      </c>
      <c r="J153" s="1306">
        <v>15.4886301387251</v>
      </c>
      <c r="K153" s="1303">
        <v>1.6381453233985599E-2</v>
      </c>
      <c r="L153" s="1288">
        <v>1.7599409902381499E-3</v>
      </c>
      <c r="M153" s="1306">
        <v>1.9674050405794001E-2</v>
      </c>
      <c r="N153" s="1303">
        <v>8.8515826703310894E-3</v>
      </c>
      <c r="O153" s="1288">
        <v>3.0000008598028201E-3</v>
      </c>
      <c r="P153" s="1288">
        <v>8.9055564130681199E-3</v>
      </c>
      <c r="Q153" s="1306">
        <v>2.8550187803633799E-5</v>
      </c>
      <c r="R153" s="1303">
        <v>3.8500011034136201E-2</v>
      </c>
      <c r="S153" s="1288">
        <v>3.8500011034136201E-2</v>
      </c>
      <c r="T153" s="1288">
        <v>3.8500011034136201E-2</v>
      </c>
      <c r="U153" s="1306">
        <v>8.7433310195197397E-5</v>
      </c>
      <c r="V153" s="1294">
        <v>1.71221498576043E-2</v>
      </c>
    </row>
    <row r="154" spans="1:22" s="212" customFormat="1" ht="15.5" x14ac:dyDescent="0.35">
      <c r="A154" s="198">
        <v>2017</v>
      </c>
      <c r="B154" s="197" t="s">
        <v>5833</v>
      </c>
      <c r="C154" s="197">
        <v>2002</v>
      </c>
      <c r="D154" s="225" t="str">
        <f t="shared" si="0"/>
        <v>2017_2002</v>
      </c>
      <c r="E154" s="1231">
        <v>0.14335914032272601</v>
      </c>
      <c r="F154" s="1288">
        <v>2.97697496330241E-2</v>
      </c>
      <c r="G154" s="1306">
        <v>0.95098695583128601</v>
      </c>
      <c r="H154" s="1303">
        <v>20.514829240944302</v>
      </c>
      <c r="I154" s="1288">
        <v>0.46257078193193601</v>
      </c>
      <c r="J154" s="1306">
        <v>11.419622745674401</v>
      </c>
      <c r="K154" s="1303">
        <v>1.77086033116476E-2</v>
      </c>
      <c r="L154" s="1288">
        <v>2.58254072476145E-3</v>
      </c>
      <c r="M154" s="1306">
        <v>1.6814099316088502E-2</v>
      </c>
      <c r="N154" s="1303">
        <v>8.6884276300518599E-3</v>
      </c>
      <c r="O154" s="1288">
        <v>2.2791929564443601E-3</v>
      </c>
      <c r="P154" s="1288">
        <v>6.3119685867462803E-3</v>
      </c>
      <c r="Q154" s="1306">
        <v>4.39402553383407E-3</v>
      </c>
      <c r="R154" s="1303">
        <v>3.8400647297138102E-2</v>
      </c>
      <c r="S154" s="1288">
        <v>3.37066384768024E-2</v>
      </c>
      <c r="T154" s="1288">
        <v>3.8486662448329302E-2</v>
      </c>
      <c r="U154" s="1306">
        <v>1.9250005517068101E-2</v>
      </c>
      <c r="V154" s="1294">
        <v>1.8509307772636902E-2</v>
      </c>
    </row>
    <row r="155" spans="1:22" s="212" customFormat="1" ht="15.5" x14ac:dyDescent="0.35">
      <c r="A155" s="198">
        <v>2017</v>
      </c>
      <c r="B155" s="197" t="s">
        <v>5833</v>
      </c>
      <c r="C155" s="197">
        <v>2003</v>
      </c>
      <c r="D155" s="225" t="str">
        <f t="shared" si="0"/>
        <v>2017_2003</v>
      </c>
      <c r="E155" s="1231">
        <v>5.9552428157055297E-2</v>
      </c>
      <c r="F155" s="1288">
        <v>3.8432006959448199E-2</v>
      </c>
      <c r="G155" s="1306">
        <v>1.06403180658429</v>
      </c>
      <c r="H155" s="1303">
        <v>7.1987609902474698</v>
      </c>
      <c r="I155" s="1288">
        <v>0.75081647303191201</v>
      </c>
      <c r="J155" s="1306">
        <v>10.1432520503205</v>
      </c>
      <c r="K155" s="1303">
        <v>1.1061419695467299E-2</v>
      </c>
      <c r="L155" s="1288">
        <v>2.1642181766269599E-3</v>
      </c>
      <c r="M155" s="1306">
        <v>8.9312888078972603E-3</v>
      </c>
      <c r="N155" s="1303">
        <v>8.2760754402935593E-3</v>
      </c>
      <c r="O155" s="1288">
        <v>2.7347777142493501E-3</v>
      </c>
      <c r="P155" s="1288">
        <v>6.4029761677718896E-3</v>
      </c>
      <c r="Q155" s="1306">
        <v>3.6517802963952298E-3</v>
      </c>
      <c r="R155" s="1303">
        <v>3.8500011034136201E-2</v>
      </c>
      <c r="S155" s="1288">
        <v>3.6736277116205598E-2</v>
      </c>
      <c r="T155" s="1288">
        <v>3.8500011034136201E-2</v>
      </c>
      <c r="U155" s="1306">
        <v>1.9250005517068101E-2</v>
      </c>
      <c r="V155" s="1294">
        <v>1.15615680097734E-2</v>
      </c>
    </row>
    <row r="156" spans="1:22" s="212" customFormat="1" ht="15.5" x14ac:dyDescent="0.35">
      <c r="A156" s="198">
        <v>2017</v>
      </c>
      <c r="B156" s="197" t="s">
        <v>5833</v>
      </c>
      <c r="C156" s="197">
        <v>2004</v>
      </c>
      <c r="D156" s="225" t="str">
        <f t="shared" si="0"/>
        <v>2017_2004</v>
      </c>
      <c r="E156" s="1231">
        <v>8.3495370235304997E-2</v>
      </c>
      <c r="F156" s="1288">
        <v>1.9256763296028601E-2</v>
      </c>
      <c r="G156" s="1306">
        <v>2.1589701177246701</v>
      </c>
      <c r="H156" s="1303">
        <v>8.5701805941896101</v>
      </c>
      <c r="I156" s="1288">
        <v>0.37777849823662601</v>
      </c>
      <c r="J156" s="1306">
        <v>13.814905409851299</v>
      </c>
      <c r="K156" s="1303">
        <v>1.0701726918086799E-2</v>
      </c>
      <c r="L156" s="1288">
        <v>1.8003649462628601E-4</v>
      </c>
      <c r="M156" s="1306">
        <v>1.2018960403616901E-2</v>
      </c>
      <c r="N156" s="1303">
        <v>8.0731663494904501E-3</v>
      </c>
      <c r="O156" s="1288">
        <v>2.6893609255768999E-3</v>
      </c>
      <c r="P156" s="1288">
        <v>8.8217797760261202E-3</v>
      </c>
      <c r="Q156" s="1306">
        <v>3.0000008603573401E-3</v>
      </c>
      <c r="R156" s="1303">
        <v>3.8500011034136201E-2</v>
      </c>
      <c r="S156" s="1288">
        <v>3.6434255471533797E-2</v>
      </c>
      <c r="T156" s="1288">
        <v>3.8500011034136201E-2</v>
      </c>
      <c r="U156" s="1306">
        <v>1.9250005517068101E-2</v>
      </c>
      <c r="V156" s="1294">
        <v>1.11856115211128E-2</v>
      </c>
    </row>
    <row r="157" spans="1:22" s="212" customFormat="1" ht="15.5" x14ac:dyDescent="0.35">
      <c r="A157" s="198">
        <v>2017</v>
      </c>
      <c r="B157" s="197" t="s">
        <v>5833</v>
      </c>
      <c r="C157" s="197">
        <v>2005</v>
      </c>
      <c r="D157" s="1100" t="str">
        <f t="shared" ref="D157:D188" si="1">CONCATENATE(A157,"_",C157)</f>
        <v>2017_2005</v>
      </c>
      <c r="E157" s="1231">
        <v>9.9462360944669995E-2</v>
      </c>
      <c r="F157" s="1288">
        <v>2.15440659416547E-2</v>
      </c>
      <c r="G157" s="1306">
        <v>1.88378426175585</v>
      </c>
      <c r="H157" s="1303">
        <v>5.5771034332576903</v>
      </c>
      <c r="I157" s="1288">
        <v>0.42136430160990801</v>
      </c>
      <c r="J157" s="1306">
        <v>13.2628999221055</v>
      </c>
      <c r="K157" s="1303">
        <v>2.1179223193699501E-2</v>
      </c>
      <c r="L157" s="1288">
        <v>1.93151140924216E-4</v>
      </c>
      <c r="M157" s="1306">
        <v>1.14850634831219E-2</v>
      </c>
      <c r="N157" s="1303">
        <v>3.4635798133482399E-3</v>
      </c>
      <c r="O157" s="1288">
        <v>2.9636050312676601E-3</v>
      </c>
      <c r="P157" s="1288">
        <v>8.8145230446503107E-3</v>
      </c>
      <c r="Q157" s="1306">
        <v>8.6435500103859593E-3</v>
      </c>
      <c r="R157" s="1303">
        <v>3.7962921251403603E-2</v>
      </c>
      <c r="S157" s="1288">
        <v>3.8257978774377401E-2</v>
      </c>
      <c r="T157" s="1288">
        <v>3.84992651795509E-2</v>
      </c>
      <c r="U157" s="1306">
        <v>1.9250005517068101E-2</v>
      </c>
      <c r="V157" s="1294">
        <v>2.2136853685107601E-2</v>
      </c>
    </row>
    <row r="158" spans="1:22" s="212" customFormat="1" ht="15.5" x14ac:dyDescent="0.35">
      <c r="A158" s="198">
        <v>2017</v>
      </c>
      <c r="B158" s="197" t="s">
        <v>5833</v>
      </c>
      <c r="C158" s="197">
        <v>2006</v>
      </c>
      <c r="D158" s="1100" t="str">
        <f t="shared" si="1"/>
        <v>2017_2006</v>
      </c>
      <c r="E158" s="1231">
        <v>5.7433396115057697E-2</v>
      </c>
      <c r="F158" s="1288">
        <v>1.47202668260578E-2</v>
      </c>
      <c r="G158" s="1306">
        <v>1.93992056743713</v>
      </c>
      <c r="H158" s="1303">
        <v>5.7162204279084499</v>
      </c>
      <c r="I158" s="1288">
        <v>0.238376098545168</v>
      </c>
      <c r="J158" s="1306">
        <v>13.039197842989999</v>
      </c>
      <c r="K158" s="1303">
        <v>1.1034539125184799E-2</v>
      </c>
      <c r="L158" s="1288">
        <v>1.50272436764655E-4</v>
      </c>
      <c r="M158" s="1306">
        <v>1.14820918676864E-2</v>
      </c>
      <c r="N158" s="1303">
        <v>4.5569322969260901E-3</v>
      </c>
      <c r="O158" s="1288">
        <v>2.21205425416533E-3</v>
      </c>
      <c r="P158" s="1288">
        <v>8.2525725060720694E-3</v>
      </c>
      <c r="Q158" s="1306">
        <v>3.00000086023005E-3</v>
      </c>
      <c r="R158" s="1303">
        <v>3.8384230906521002E-2</v>
      </c>
      <c r="S158" s="1288">
        <v>3.32601661066469E-2</v>
      </c>
      <c r="T158" s="1288">
        <v>3.8496416802141303E-2</v>
      </c>
      <c r="U158" s="1306">
        <v>1.9250005517068101E-2</v>
      </c>
      <c r="V158" s="1294">
        <v>1.1533472019383499E-2</v>
      </c>
    </row>
    <row r="159" spans="1:22" s="212" customFormat="1" ht="15.5" x14ac:dyDescent="0.35">
      <c r="A159" s="198">
        <v>2017</v>
      </c>
      <c r="B159" s="197" t="s">
        <v>5833</v>
      </c>
      <c r="C159" s="197">
        <v>2007</v>
      </c>
      <c r="D159" s="1100" t="str">
        <f t="shared" si="1"/>
        <v>2017_2007</v>
      </c>
      <c r="E159" s="1231">
        <v>0.221542534970285</v>
      </c>
      <c r="F159" s="1288">
        <v>1.6439426366438002E-2</v>
      </c>
      <c r="G159" s="1306">
        <v>2.9227578434395801E-2</v>
      </c>
      <c r="H159" s="1303">
        <v>4.6738231870784599</v>
      </c>
      <c r="I159" s="1288">
        <v>0.31287409695210999</v>
      </c>
      <c r="J159" s="1306">
        <v>0.93878156757174402</v>
      </c>
      <c r="K159" s="1303">
        <v>1.16283282671864E-2</v>
      </c>
      <c r="L159" s="1288">
        <v>1.57074670560361E-4</v>
      </c>
      <c r="M159" s="1306">
        <v>4.61237095386538E-4</v>
      </c>
      <c r="N159" s="1303">
        <v>6.3919514741549201E-3</v>
      </c>
      <c r="O159" s="1288">
        <v>2.68973154569771E-3</v>
      </c>
      <c r="P159" s="1288">
        <v>8.7109530606836409E-3</v>
      </c>
      <c r="Q159" s="1306">
        <v>4.95755284066171E-3</v>
      </c>
      <c r="R159" s="1303">
        <v>3.8222153344332099E-2</v>
      </c>
      <c r="S159" s="1288">
        <v>3.6436720095337202E-2</v>
      </c>
      <c r="T159" s="1288">
        <v>3.84866064733487E-2</v>
      </c>
      <c r="U159" s="1306">
        <v>1.9250005517068101E-2</v>
      </c>
      <c r="V159" s="1294">
        <v>1.2154109671486101E-2</v>
      </c>
    </row>
    <row r="160" spans="1:22" s="212" customFormat="1" ht="15.5" x14ac:dyDescent="0.35">
      <c r="A160" s="198">
        <v>2017</v>
      </c>
      <c r="B160" s="197" t="s">
        <v>5833</v>
      </c>
      <c r="C160" s="197">
        <v>2008</v>
      </c>
      <c r="D160" s="1100" t="str">
        <f t="shared" si="1"/>
        <v>2017_2008</v>
      </c>
      <c r="E160" s="1231">
        <v>0.26425507319619201</v>
      </c>
      <c r="F160" s="1288">
        <v>1.25647118463713E-2</v>
      </c>
      <c r="G160" s="1306">
        <v>2.77549528083538E-2</v>
      </c>
      <c r="H160" s="1303">
        <v>4.7046695359640802</v>
      </c>
      <c r="I160" s="1288">
        <v>0.23659615379749899</v>
      </c>
      <c r="J160" s="1306">
        <v>0.79724260955941595</v>
      </c>
      <c r="K160" s="1303">
        <v>2.3480219845011401E-2</v>
      </c>
      <c r="L160" s="1288">
        <v>1.4877856136708199E-4</v>
      </c>
      <c r="M160" s="1306">
        <v>1.2567874281161099E-3</v>
      </c>
      <c r="N160" s="1303">
        <v>6.6046287618484701E-3</v>
      </c>
      <c r="O160" s="1288">
        <v>2.5784599679190101E-3</v>
      </c>
      <c r="P160" s="1288">
        <v>8.4601442177765097E-3</v>
      </c>
      <c r="Q160" s="1306">
        <v>3.0019091878535401E-3</v>
      </c>
      <c r="R160" s="1303">
        <v>3.73336123807455E-2</v>
      </c>
      <c r="S160" s="1288">
        <v>3.5696764103108902E-2</v>
      </c>
      <c r="T160" s="1288">
        <v>3.8388775923474103E-2</v>
      </c>
      <c r="U160" s="1306">
        <v>1.9250005517068101E-2</v>
      </c>
      <c r="V160" s="1294">
        <v>2.4541891194470401E-2</v>
      </c>
    </row>
    <row r="161" spans="1:22" s="212" customFormat="1" ht="15.5" x14ac:dyDescent="0.35">
      <c r="A161" s="198">
        <v>2017</v>
      </c>
      <c r="B161" s="197" t="s">
        <v>5833</v>
      </c>
      <c r="C161" s="197">
        <v>2009</v>
      </c>
      <c r="D161" s="1100" t="str">
        <f t="shared" si="1"/>
        <v>2017_2009</v>
      </c>
      <c r="E161" s="1231">
        <v>0.25071668495869798</v>
      </c>
      <c r="F161" s="1288">
        <v>1.35068069332475E-2</v>
      </c>
      <c r="G161" s="1306">
        <v>2.5761700235976501E-2</v>
      </c>
      <c r="H161" s="1303">
        <v>4.5865017695608099</v>
      </c>
      <c r="I161" s="1288">
        <v>0.22714018678126899</v>
      </c>
      <c r="J161" s="1306">
        <v>0.60160835468862395</v>
      </c>
      <c r="K161" s="1303">
        <v>2.2034908064881099E-2</v>
      </c>
      <c r="L161" s="1288">
        <v>1.80663939077859E-4</v>
      </c>
      <c r="M161" s="1306">
        <v>2.29055402504435E-3</v>
      </c>
      <c r="N161" s="1303">
        <v>6.2910721252689601E-3</v>
      </c>
      <c r="O161" s="1288">
        <v>2.6500290959042298E-3</v>
      </c>
      <c r="P161" s="1288">
        <v>6.5156458676425E-3</v>
      </c>
      <c r="Q161" s="1306">
        <v>6.0014162773583896E-3</v>
      </c>
      <c r="R161" s="1303">
        <v>3.7451209925936098E-2</v>
      </c>
      <c r="S161" s="1288">
        <v>3.6172698804210597E-2</v>
      </c>
      <c r="T161" s="1288">
        <v>3.8269020213536203E-2</v>
      </c>
      <c r="U161" s="1306">
        <v>1.9250005517068101E-2</v>
      </c>
      <c r="V161" s="1294">
        <v>2.3031228829118601E-2</v>
      </c>
    </row>
    <row r="162" spans="1:22" s="212" customFormat="1" ht="15.5" x14ac:dyDescent="0.35">
      <c r="A162" s="198">
        <v>2017</v>
      </c>
      <c r="B162" s="197" t="s">
        <v>5833</v>
      </c>
      <c r="C162" s="197">
        <v>2010</v>
      </c>
      <c r="D162" s="1100" t="str">
        <f t="shared" si="1"/>
        <v>2017_2010</v>
      </c>
      <c r="E162" s="1231">
        <v>7.2368565423421696E-2</v>
      </c>
      <c r="F162" s="1288">
        <v>1.5011036643764601E-2</v>
      </c>
      <c r="G162" s="1306">
        <v>2.1904520195461501E-2</v>
      </c>
      <c r="H162" s="1303">
        <v>0.41314580408866303</v>
      </c>
      <c r="I162" s="1288">
        <v>0.234877528732549</v>
      </c>
      <c r="J162" s="1306">
        <v>0.65441460365498605</v>
      </c>
      <c r="K162" s="1303">
        <v>7.39195082687138E-3</v>
      </c>
      <c r="L162" s="1288">
        <v>2.2948058360963401E-4</v>
      </c>
      <c r="M162" s="1306">
        <v>3.1314974442365302E-4</v>
      </c>
      <c r="N162" s="1303">
        <v>8.5848869916722408E-3</v>
      </c>
      <c r="O162" s="1288">
        <v>2.7496298778039501E-3</v>
      </c>
      <c r="P162" s="1288">
        <v>7.6520769533642303E-3</v>
      </c>
      <c r="Q162" s="1306">
        <v>8.9579708520891692E-3</v>
      </c>
      <c r="R162" s="1303">
        <v>3.8449538210533499E-2</v>
      </c>
      <c r="S162" s="1288">
        <v>3.68350440038437E-2</v>
      </c>
      <c r="T162" s="1288">
        <v>3.8445690244672003E-2</v>
      </c>
      <c r="U162" s="1306">
        <v>1.9250005517068101E-2</v>
      </c>
      <c r="V162" s="1294">
        <v>7.72618204196651E-3</v>
      </c>
    </row>
    <row r="163" spans="1:22" s="212" customFormat="1" ht="15.5" x14ac:dyDescent="0.35">
      <c r="A163" s="198">
        <v>2017</v>
      </c>
      <c r="B163" s="197" t="s">
        <v>5833</v>
      </c>
      <c r="C163" s="197">
        <v>2011</v>
      </c>
      <c r="D163" s="1100" t="str">
        <f t="shared" si="1"/>
        <v>2017_2011</v>
      </c>
      <c r="E163" s="1231">
        <v>5.97384945921344E-2</v>
      </c>
      <c r="F163" s="1288">
        <v>1.17675644752661E-2</v>
      </c>
      <c r="G163" s="1306">
        <v>2.1245273704200401E-2</v>
      </c>
      <c r="H163" s="1303">
        <v>0.31940154063784698</v>
      </c>
      <c r="I163" s="1288">
        <v>0.17793027227281599</v>
      </c>
      <c r="J163" s="1306">
        <v>0.59576826710375996</v>
      </c>
      <c r="K163" s="1303">
        <v>5.7819032606949003E-3</v>
      </c>
      <c r="L163" s="1288">
        <v>2.6352903676909599E-4</v>
      </c>
      <c r="M163" s="1306">
        <v>4.67893152846204E-4</v>
      </c>
      <c r="N163" s="1303">
        <v>6.9183053913378497E-3</v>
      </c>
      <c r="O163" s="1288">
        <v>2.61299694543213E-3</v>
      </c>
      <c r="P163" s="1288">
        <v>7.13438525123324E-3</v>
      </c>
      <c r="Q163" s="1306">
        <v>3.6202698684821102E-3</v>
      </c>
      <c r="R163" s="1303">
        <v>3.8453315441600397E-2</v>
      </c>
      <c r="S163" s="1288">
        <v>3.5926435003571101E-2</v>
      </c>
      <c r="T163" s="1288">
        <v>3.8365569978612298E-2</v>
      </c>
      <c r="U163" s="1306">
        <v>1.9250005517068101E-2</v>
      </c>
      <c r="V163" s="1294">
        <v>6.0433352693277896E-3</v>
      </c>
    </row>
    <row r="164" spans="1:22" s="212" customFormat="1" ht="15.5" x14ac:dyDescent="0.35">
      <c r="A164" s="198">
        <v>2017</v>
      </c>
      <c r="B164" s="197" t="s">
        <v>5833</v>
      </c>
      <c r="C164" s="197">
        <v>2012</v>
      </c>
      <c r="D164" s="1100" t="str">
        <f t="shared" si="1"/>
        <v>2017_2012</v>
      </c>
      <c r="E164" s="1231">
        <v>7.9575609465330002E-2</v>
      </c>
      <c r="F164" s="1288">
        <v>9.7305035963009406E-3</v>
      </c>
      <c r="G164" s="1306">
        <v>2.3924661397676201E-2</v>
      </c>
      <c r="H164" s="1303">
        <v>0.50358613373095995</v>
      </c>
      <c r="I164" s="1288">
        <v>0.12205891389291</v>
      </c>
      <c r="J164" s="1306">
        <v>0.73248153728024001</v>
      </c>
      <c r="K164" s="1303">
        <v>7.0827867334512396E-3</v>
      </c>
      <c r="L164" s="1288">
        <v>3.51584757041467E-4</v>
      </c>
      <c r="M164" s="1306">
        <v>3.5081871513721201E-4</v>
      </c>
      <c r="N164" s="1303">
        <v>8.7638973193174697E-3</v>
      </c>
      <c r="O164" s="1288">
        <v>2.4311586566083299E-3</v>
      </c>
      <c r="P164" s="1288">
        <v>7.9069863280196596E-3</v>
      </c>
      <c r="Q164" s="1306">
        <v>5.3469896813058797E-3</v>
      </c>
      <c r="R164" s="1303">
        <v>3.84965015293691E-2</v>
      </c>
      <c r="S164" s="1288">
        <v>3.4717210382892799E-2</v>
      </c>
      <c r="T164" s="1288">
        <v>3.8406345266723499E-2</v>
      </c>
      <c r="U164" s="1306">
        <v>1.9250005517068101E-2</v>
      </c>
      <c r="V164" s="1294">
        <v>7.4030389201372596E-3</v>
      </c>
    </row>
    <row r="165" spans="1:22" s="212" customFormat="1" ht="15.5" x14ac:dyDescent="0.35">
      <c r="A165" s="198">
        <v>2017</v>
      </c>
      <c r="B165" s="197" t="s">
        <v>5833</v>
      </c>
      <c r="C165" s="197">
        <v>2013</v>
      </c>
      <c r="D165" s="1100" t="str">
        <f t="shared" si="1"/>
        <v>2017_2013</v>
      </c>
      <c r="E165" s="1231">
        <v>7.0639389149889806E-2</v>
      </c>
      <c r="F165" s="1288">
        <v>1.2655388978738301E-2</v>
      </c>
      <c r="G165" s="1306">
        <v>2.31523154681249E-2</v>
      </c>
      <c r="H165" s="1303">
        <v>0.40176242187442601</v>
      </c>
      <c r="I165" s="1288">
        <v>0.15216343700975099</v>
      </c>
      <c r="J165" s="1306">
        <v>0.66767681438976301</v>
      </c>
      <c r="K165" s="1303">
        <v>7.0517988575196601E-3</v>
      </c>
      <c r="L165" s="1288">
        <v>6.3531521936204395E-4</v>
      </c>
      <c r="M165" s="1306">
        <v>5.3261994547175397E-4</v>
      </c>
      <c r="N165" s="1303">
        <v>8.37057445351066E-3</v>
      </c>
      <c r="O165" s="1288">
        <v>2.5629335182546799E-3</v>
      </c>
      <c r="P165" s="1288">
        <v>7.6592195085933698E-3</v>
      </c>
      <c r="Q165" s="1306">
        <v>4.0257929213669604E-3</v>
      </c>
      <c r="R165" s="1303">
        <v>3.8493857899539997E-2</v>
      </c>
      <c r="S165" s="1288">
        <v>3.5593513212841099E-2</v>
      </c>
      <c r="T165" s="1288">
        <v>3.8276979665801403E-2</v>
      </c>
      <c r="U165" s="1306">
        <v>1.9250005517068101E-2</v>
      </c>
      <c r="V165" s="1294">
        <v>7.3706499099627197E-3</v>
      </c>
    </row>
    <row r="166" spans="1:22" s="212" customFormat="1" ht="15.5" x14ac:dyDescent="0.35">
      <c r="A166" s="198">
        <v>2017</v>
      </c>
      <c r="B166" s="197" t="s">
        <v>5833</v>
      </c>
      <c r="C166" s="197">
        <v>2014</v>
      </c>
      <c r="D166" s="1100" t="str">
        <f t="shared" si="1"/>
        <v>2017_2014</v>
      </c>
      <c r="E166" s="1231">
        <v>6.8094233446752098E-2</v>
      </c>
      <c r="F166" s="1288">
        <v>8.3115310114015399E-3</v>
      </c>
      <c r="G166" s="1306">
        <v>2.71511957406812E-2</v>
      </c>
      <c r="H166" s="1303">
        <v>0.39394359311670002</v>
      </c>
      <c r="I166" s="1288">
        <v>5.5557337444402201E-2</v>
      </c>
      <c r="J166" s="1306">
        <v>0.84416985079458096</v>
      </c>
      <c r="K166" s="1303">
        <v>6.5247301794286701E-3</v>
      </c>
      <c r="L166" s="1288">
        <v>7.1519371514091896E-4</v>
      </c>
      <c r="M166" s="1306">
        <v>3.9472974324847901E-4</v>
      </c>
      <c r="N166" s="1303">
        <v>7.8214864054214506E-3</v>
      </c>
      <c r="O166" s="1288">
        <v>2.1096861379389302E-3</v>
      </c>
      <c r="P166" s="1288">
        <v>8.5894369098418796E-3</v>
      </c>
      <c r="Q166" s="1306">
        <v>8.8348868862189595E-3</v>
      </c>
      <c r="R166" s="1303">
        <v>3.8494861564131802E-2</v>
      </c>
      <c r="S166" s="1288">
        <v>3.2579418133741302E-2</v>
      </c>
      <c r="T166" s="1288">
        <v>3.8411073732636497E-2</v>
      </c>
      <c r="U166" s="1306">
        <v>1.9250005517068101E-2</v>
      </c>
      <c r="V166" s="1294">
        <v>6.8197495250810697E-3</v>
      </c>
    </row>
    <row r="167" spans="1:22" s="212" customFormat="1" ht="15.5" x14ac:dyDescent="0.35">
      <c r="A167" s="198">
        <v>2017</v>
      </c>
      <c r="B167" s="197" t="s">
        <v>5833</v>
      </c>
      <c r="C167" s="197">
        <v>2015</v>
      </c>
      <c r="D167" s="1100" t="str">
        <f t="shared" si="1"/>
        <v>2017_2015</v>
      </c>
      <c r="E167" s="1231">
        <v>7.0283950153228497E-2</v>
      </c>
      <c r="F167" s="1288">
        <v>1.02433120186553E-2</v>
      </c>
      <c r="G167" s="1306">
        <v>2.4640099525553801E-2</v>
      </c>
      <c r="H167" s="1303">
        <v>0.40684359442600698</v>
      </c>
      <c r="I167" s="1288">
        <v>0.101294331570168</v>
      </c>
      <c r="J167" s="1306">
        <v>0.72482002728675199</v>
      </c>
      <c r="K167" s="1303">
        <v>6.8025587719800999E-3</v>
      </c>
      <c r="L167" s="1288">
        <v>9.4721841882428796E-4</v>
      </c>
      <c r="M167" s="1306">
        <v>4.6854452191974998E-4</v>
      </c>
      <c r="N167" s="1303">
        <v>8.1675236296768396E-3</v>
      </c>
      <c r="O167" s="1288">
        <v>2.4199330241166501E-3</v>
      </c>
      <c r="P167" s="1288">
        <v>7.5079871796722396E-3</v>
      </c>
      <c r="Q167" s="1306">
        <v>3.7063785652869199E-3</v>
      </c>
      <c r="R167" s="1303">
        <v>3.8483473758644603E-2</v>
      </c>
      <c r="S167" s="1288">
        <v>3.4642559926823198E-2</v>
      </c>
      <c r="T167" s="1288">
        <v>3.82185200739317E-2</v>
      </c>
      <c r="U167" s="1306">
        <v>8.2831439018211106E-3</v>
      </c>
      <c r="V167" s="1294">
        <v>7.1101402937415598E-3</v>
      </c>
    </row>
    <row r="168" spans="1:22" s="212" customFormat="1" ht="15.5" x14ac:dyDescent="0.35">
      <c r="A168" s="198">
        <v>2017</v>
      </c>
      <c r="B168" s="197" t="s">
        <v>5833</v>
      </c>
      <c r="C168" s="197">
        <v>2016</v>
      </c>
      <c r="D168" s="1100" t="str">
        <f t="shared" si="1"/>
        <v>2017_2016</v>
      </c>
      <c r="E168" s="1231">
        <v>6.6735240771337703E-2</v>
      </c>
      <c r="F168" s="1288">
        <v>1.3156490974222E-2</v>
      </c>
      <c r="G168" s="1306">
        <v>2.8213608899818901E-2</v>
      </c>
      <c r="H168" s="1303">
        <v>0.36984743660124297</v>
      </c>
      <c r="I168" s="1288">
        <v>0.11513317090733299</v>
      </c>
      <c r="J168" s="1306">
        <v>0.776944422721775</v>
      </c>
      <c r="K168" s="1303">
        <v>6.6465322581273798E-3</v>
      </c>
      <c r="L168" s="1288">
        <v>1.3058452489786701E-3</v>
      </c>
      <c r="M168" s="1306">
        <v>6.7045136833468195E-4</v>
      </c>
      <c r="N168" s="1303">
        <v>7.9085182377025397E-3</v>
      </c>
      <c r="O168" s="1288">
        <v>2.60199592023566E-3</v>
      </c>
      <c r="P168" s="1288">
        <v>7.9320634281166008E-3</v>
      </c>
      <c r="Q168" s="1306">
        <v>6.9410109966144204E-3</v>
      </c>
      <c r="R168" s="1303">
        <v>3.8492243971819502E-2</v>
      </c>
      <c r="S168" s="1288">
        <v>3.5853278186014498E-2</v>
      </c>
      <c r="T168" s="1288">
        <v>3.81603015925564E-2</v>
      </c>
      <c r="U168" s="1306">
        <v>1.9213002378545899E-2</v>
      </c>
      <c r="V168" s="1294">
        <v>6.9470589532898202E-3</v>
      </c>
    </row>
    <row r="169" spans="1:22" s="212" customFormat="1" ht="15.5" x14ac:dyDescent="0.35">
      <c r="A169" s="198">
        <v>2017</v>
      </c>
      <c r="B169" s="197" t="s">
        <v>5833</v>
      </c>
      <c r="C169" s="197">
        <v>2017</v>
      </c>
      <c r="D169" s="1100" t="str">
        <f t="shared" si="1"/>
        <v>2017_2017</v>
      </c>
      <c r="E169" s="1231">
        <v>5.8384476792209997E-2</v>
      </c>
      <c r="F169" s="1288">
        <v>1.2281345757254199E-2</v>
      </c>
      <c r="G169" s="1306">
        <v>2.0257687338864201E-2</v>
      </c>
      <c r="H169" s="1303">
        <v>0.31972090971145201</v>
      </c>
      <c r="I169" s="1288">
        <v>0.106784599572828</v>
      </c>
      <c r="J169" s="1306">
        <v>0.47315112250146502</v>
      </c>
      <c r="K169" s="1303">
        <v>5.2798850105977204E-3</v>
      </c>
      <c r="L169" s="1288">
        <v>1.1791884935208499E-3</v>
      </c>
      <c r="M169" s="1306">
        <v>4.9905345875637995E-4</v>
      </c>
      <c r="N169" s="1303">
        <v>6.4542377338760396E-3</v>
      </c>
      <c r="O169" s="1288">
        <v>2.8189249854586899E-3</v>
      </c>
      <c r="P169" s="1288">
        <v>5.9499126751218299E-3</v>
      </c>
      <c r="Q169" s="1306">
        <v>5.2576620379215702E-3</v>
      </c>
      <c r="R169" s="1303">
        <v>3.8403794426635302E-2</v>
      </c>
      <c r="S169" s="1288">
        <v>3.7295856469747701E-2</v>
      </c>
      <c r="T169" s="1288">
        <v>3.8148298916513501E-2</v>
      </c>
      <c r="U169" s="1306">
        <v>1.9229750049885998E-2</v>
      </c>
      <c r="V169" s="1294">
        <v>5.5186179816342096E-3</v>
      </c>
    </row>
    <row r="170" spans="1:22" s="212" customFormat="1" ht="15.5" x14ac:dyDescent="0.35">
      <c r="A170" s="198">
        <v>2017</v>
      </c>
      <c r="B170" s="197" t="s">
        <v>5833</v>
      </c>
      <c r="C170" s="197">
        <v>2018</v>
      </c>
      <c r="D170" s="1100" t="str">
        <f t="shared" si="1"/>
        <v>2017_2018</v>
      </c>
      <c r="E170" s="1226">
        <v>5.8384476792209997E-2</v>
      </c>
      <c r="F170" s="1257">
        <v>1.2281345757254199E-2</v>
      </c>
      <c r="G170" s="1280">
        <v>2.0257687338864201E-2</v>
      </c>
      <c r="H170" s="1271">
        <v>0.31972090971145201</v>
      </c>
      <c r="I170" s="1257">
        <v>0.106784599572828</v>
      </c>
      <c r="J170" s="1280">
        <v>0.47315112250146502</v>
      </c>
      <c r="K170" s="1271">
        <v>5.2798850105977204E-3</v>
      </c>
      <c r="L170" s="1257">
        <v>1.1791884935208499E-3</v>
      </c>
      <c r="M170" s="1280">
        <v>4.9905345875637995E-4</v>
      </c>
      <c r="N170" s="1271">
        <v>6.4542377338760396E-3</v>
      </c>
      <c r="O170" s="1257">
        <v>2.8189249854586899E-3</v>
      </c>
      <c r="P170" s="1257">
        <v>5.9499126751218299E-3</v>
      </c>
      <c r="Q170" s="1280">
        <v>5.2576620379215702E-3</v>
      </c>
      <c r="R170" s="1271">
        <v>3.8403794426635302E-2</v>
      </c>
      <c r="S170" s="1257">
        <v>3.7295856469747701E-2</v>
      </c>
      <c r="T170" s="1257">
        <v>3.8148298916513501E-2</v>
      </c>
      <c r="U170" s="1280">
        <v>1.9229750049885998E-2</v>
      </c>
      <c r="V170" s="1293">
        <v>5.5186179816342096E-3</v>
      </c>
    </row>
    <row r="171" spans="1:22" s="212" customFormat="1" ht="15.5" x14ac:dyDescent="0.35">
      <c r="A171" s="198">
        <v>2018</v>
      </c>
      <c r="B171" s="197" t="s">
        <v>5833</v>
      </c>
      <c r="C171" s="197">
        <v>1971</v>
      </c>
      <c r="D171" s="1100" t="str">
        <f t="shared" si="1"/>
        <v>2018_1971</v>
      </c>
      <c r="E171" s="1226">
        <v>0.25277958862114103</v>
      </c>
      <c r="F171" s="1257">
        <v>1.8049434783470799</v>
      </c>
      <c r="G171" s="1280">
        <v>0.93494870167396804</v>
      </c>
      <c r="H171" s="1271">
        <v>22.514786854513002</v>
      </c>
      <c r="I171" s="1257">
        <v>11.367383865467</v>
      </c>
      <c r="J171" s="1280">
        <v>12.042462450950399</v>
      </c>
      <c r="K171" s="1271">
        <v>2.8384612210646101E-2</v>
      </c>
      <c r="L171" s="1257">
        <v>1.74041043643007E-3</v>
      </c>
      <c r="M171" s="1280">
        <v>2.0044061500329498E-2</v>
      </c>
      <c r="N171" s="1271">
        <v>9.0000025830084696E-3</v>
      </c>
      <c r="O171" s="1257">
        <v>3.0000008598028201E-3</v>
      </c>
      <c r="P171" s="1257">
        <v>9.0000025796537798E-3</v>
      </c>
      <c r="Q171" s="1280">
        <v>9.0000025830084696E-3</v>
      </c>
      <c r="R171" s="1271">
        <v>3.8500011034136201E-2</v>
      </c>
      <c r="S171" s="1257">
        <v>3.8500011034136201E-2</v>
      </c>
      <c r="T171" s="1257">
        <v>3.8500011034136201E-2</v>
      </c>
      <c r="U171" s="1280">
        <v>1.9250005517068101E-2</v>
      </c>
      <c r="V171" s="1293">
        <v>2.96680384199603E-2</v>
      </c>
    </row>
    <row r="172" spans="1:22" s="212" customFormat="1" ht="15.5" x14ac:dyDescent="0.35">
      <c r="A172" s="198">
        <v>2018</v>
      </c>
      <c r="B172" s="197" t="s">
        <v>5833</v>
      </c>
      <c r="C172" s="197">
        <v>1972</v>
      </c>
      <c r="D172" s="1100" t="str">
        <f t="shared" si="1"/>
        <v>2018_1972</v>
      </c>
      <c r="E172" s="1226">
        <v>0.25277958862114103</v>
      </c>
      <c r="F172" s="1257">
        <v>1.8049434783470799</v>
      </c>
      <c r="G172" s="1280">
        <v>0.93494870167396804</v>
      </c>
      <c r="H172" s="1271">
        <v>22.514786854513002</v>
      </c>
      <c r="I172" s="1257">
        <v>11.367383865467</v>
      </c>
      <c r="J172" s="1280">
        <v>12.042462450950399</v>
      </c>
      <c r="K172" s="1271">
        <v>2.8384612210646101E-2</v>
      </c>
      <c r="L172" s="1257">
        <v>1.74041043643007E-3</v>
      </c>
      <c r="M172" s="1280">
        <v>2.0044061500329498E-2</v>
      </c>
      <c r="N172" s="1271">
        <v>9.0000025830084696E-3</v>
      </c>
      <c r="O172" s="1257">
        <v>3.0000008598028201E-3</v>
      </c>
      <c r="P172" s="1257">
        <v>9.0000025796537798E-3</v>
      </c>
      <c r="Q172" s="1280">
        <v>9.0000025830084696E-3</v>
      </c>
      <c r="R172" s="1271">
        <v>3.8500011034136201E-2</v>
      </c>
      <c r="S172" s="1257">
        <v>3.8500011034136201E-2</v>
      </c>
      <c r="T172" s="1257">
        <v>3.8500011034136201E-2</v>
      </c>
      <c r="U172" s="1280">
        <v>1.9250005517068101E-2</v>
      </c>
      <c r="V172" s="1293">
        <v>2.96680384199603E-2</v>
      </c>
    </row>
    <row r="173" spans="1:22" s="212" customFormat="1" ht="15.5" x14ac:dyDescent="0.35">
      <c r="A173" s="198">
        <v>2018</v>
      </c>
      <c r="B173" s="197" t="s">
        <v>5833</v>
      </c>
      <c r="C173" s="197">
        <v>1973</v>
      </c>
      <c r="D173" s="1100" t="str">
        <f t="shared" si="1"/>
        <v>2018_1973</v>
      </c>
      <c r="E173" s="1226">
        <v>0.25277958862114103</v>
      </c>
      <c r="F173" s="1257">
        <v>1.8049434783470799</v>
      </c>
      <c r="G173" s="1280">
        <v>0.93494870167396804</v>
      </c>
      <c r="H173" s="1271">
        <v>22.514786854513002</v>
      </c>
      <c r="I173" s="1257">
        <v>11.367383865467</v>
      </c>
      <c r="J173" s="1280">
        <v>12.042462450950399</v>
      </c>
      <c r="K173" s="1271">
        <v>2.8384612210646101E-2</v>
      </c>
      <c r="L173" s="1257">
        <v>1.74041043643007E-3</v>
      </c>
      <c r="M173" s="1280">
        <v>2.0044061500329498E-2</v>
      </c>
      <c r="N173" s="1271">
        <v>9.0000025830084696E-3</v>
      </c>
      <c r="O173" s="1257">
        <v>3.0000008598028201E-3</v>
      </c>
      <c r="P173" s="1257">
        <v>9.0000025796537798E-3</v>
      </c>
      <c r="Q173" s="1280">
        <v>9.0000025830084696E-3</v>
      </c>
      <c r="R173" s="1271">
        <v>3.8500011034136201E-2</v>
      </c>
      <c r="S173" s="1257">
        <v>3.8500011034136201E-2</v>
      </c>
      <c r="T173" s="1257">
        <v>3.8500011034136201E-2</v>
      </c>
      <c r="U173" s="1280">
        <v>1.9250005517068101E-2</v>
      </c>
      <c r="V173" s="1293">
        <v>2.96680384199603E-2</v>
      </c>
    </row>
    <row r="174" spans="1:22" s="212" customFormat="1" ht="15.5" x14ac:dyDescent="0.35">
      <c r="A174" s="198">
        <v>2018</v>
      </c>
      <c r="B174" s="197" t="s">
        <v>5833</v>
      </c>
      <c r="C174" s="197">
        <v>1974</v>
      </c>
      <c r="D174" s="1100" t="str">
        <f t="shared" si="1"/>
        <v>2018_1974</v>
      </c>
      <c r="E174" s="1226">
        <v>0.25277958862114103</v>
      </c>
      <c r="F174" s="1257">
        <v>1.8049434783470799</v>
      </c>
      <c r="G174" s="1280">
        <v>0.93494870167396804</v>
      </c>
      <c r="H174" s="1271">
        <v>22.514786854513002</v>
      </c>
      <c r="I174" s="1257">
        <v>11.367383865467</v>
      </c>
      <c r="J174" s="1280">
        <v>12.042462450950399</v>
      </c>
      <c r="K174" s="1271">
        <v>2.8384612210646101E-2</v>
      </c>
      <c r="L174" s="1257">
        <v>1.74041043643007E-3</v>
      </c>
      <c r="M174" s="1280">
        <v>2.0044061500329498E-2</v>
      </c>
      <c r="N174" s="1271">
        <v>9.0000025830084696E-3</v>
      </c>
      <c r="O174" s="1257">
        <v>3.0000008598028201E-3</v>
      </c>
      <c r="P174" s="1257">
        <v>9.0000025796537798E-3</v>
      </c>
      <c r="Q174" s="1280">
        <v>9.0000025830084696E-3</v>
      </c>
      <c r="R174" s="1271">
        <v>3.8500011034136201E-2</v>
      </c>
      <c r="S174" s="1257">
        <v>3.8500011034136201E-2</v>
      </c>
      <c r="T174" s="1257">
        <v>3.8500011034136201E-2</v>
      </c>
      <c r="U174" s="1280">
        <v>1.9250005517068101E-2</v>
      </c>
      <c r="V174" s="1293">
        <v>2.96680384199603E-2</v>
      </c>
    </row>
    <row r="175" spans="1:22" s="212" customFormat="1" ht="15.5" x14ac:dyDescent="0.35">
      <c r="A175" s="198">
        <v>2018</v>
      </c>
      <c r="B175" s="197" t="s">
        <v>5833</v>
      </c>
      <c r="C175" s="197">
        <v>1975</v>
      </c>
      <c r="D175" s="1100" t="str">
        <f t="shared" si="1"/>
        <v>2018_1975</v>
      </c>
      <c r="E175" s="1226">
        <v>0.25277958862114103</v>
      </c>
      <c r="F175" s="1257">
        <v>1.8049434783470799</v>
      </c>
      <c r="G175" s="1280">
        <v>0.93494870167396804</v>
      </c>
      <c r="H175" s="1271">
        <v>22.514786854513002</v>
      </c>
      <c r="I175" s="1257">
        <v>11.367383865467</v>
      </c>
      <c r="J175" s="1280">
        <v>12.042462450950399</v>
      </c>
      <c r="K175" s="1271">
        <v>2.8384612210646101E-2</v>
      </c>
      <c r="L175" s="1257">
        <v>1.74041043643007E-3</v>
      </c>
      <c r="M175" s="1280">
        <v>2.0044061500329498E-2</v>
      </c>
      <c r="N175" s="1271">
        <v>9.0000025830084696E-3</v>
      </c>
      <c r="O175" s="1257">
        <v>3.0000008598028201E-3</v>
      </c>
      <c r="P175" s="1257">
        <v>9.0000025796537798E-3</v>
      </c>
      <c r="Q175" s="1280">
        <v>9.0000025830084696E-3</v>
      </c>
      <c r="R175" s="1271">
        <v>3.8500011034136201E-2</v>
      </c>
      <c r="S175" s="1257">
        <v>3.8500011034136201E-2</v>
      </c>
      <c r="T175" s="1257">
        <v>3.8500011034136201E-2</v>
      </c>
      <c r="U175" s="1280">
        <v>1.9250005517068101E-2</v>
      </c>
      <c r="V175" s="1293">
        <v>2.96680384199603E-2</v>
      </c>
    </row>
    <row r="176" spans="1:22" s="212" customFormat="1" ht="15.5" x14ac:dyDescent="0.35">
      <c r="A176" s="198">
        <v>2018</v>
      </c>
      <c r="B176" s="197" t="s">
        <v>5833</v>
      </c>
      <c r="C176" s="197">
        <v>1976</v>
      </c>
      <c r="D176" s="1100" t="str">
        <f t="shared" si="1"/>
        <v>2018_1976</v>
      </c>
      <c r="E176" s="1226">
        <v>0.25277958862114103</v>
      </c>
      <c r="F176" s="1257">
        <v>1.8049434783470799</v>
      </c>
      <c r="G176" s="1280">
        <v>0.93494870167396804</v>
      </c>
      <c r="H176" s="1271">
        <v>22.514786854513002</v>
      </c>
      <c r="I176" s="1257">
        <v>11.367383865467</v>
      </c>
      <c r="J176" s="1280">
        <v>12.042462450950399</v>
      </c>
      <c r="K176" s="1271">
        <v>2.8384612210646101E-2</v>
      </c>
      <c r="L176" s="1257">
        <v>1.74041043643007E-3</v>
      </c>
      <c r="M176" s="1280">
        <v>2.0044061500329498E-2</v>
      </c>
      <c r="N176" s="1271">
        <v>9.0000025830084696E-3</v>
      </c>
      <c r="O176" s="1257">
        <v>3.0000008598028201E-3</v>
      </c>
      <c r="P176" s="1257">
        <v>9.0000025796537798E-3</v>
      </c>
      <c r="Q176" s="1280">
        <v>9.0000025830084696E-3</v>
      </c>
      <c r="R176" s="1271">
        <v>3.8500011034136201E-2</v>
      </c>
      <c r="S176" s="1257">
        <v>3.8500011034136201E-2</v>
      </c>
      <c r="T176" s="1257">
        <v>3.8500011034136201E-2</v>
      </c>
      <c r="U176" s="1280">
        <v>1.9250005517068101E-2</v>
      </c>
      <c r="V176" s="1293">
        <v>2.96680384199603E-2</v>
      </c>
    </row>
    <row r="177" spans="1:22" s="212" customFormat="1" ht="15.5" x14ac:dyDescent="0.35">
      <c r="A177" s="198">
        <v>2018</v>
      </c>
      <c r="B177" s="197" t="s">
        <v>5833</v>
      </c>
      <c r="C177" s="197">
        <v>1977</v>
      </c>
      <c r="D177" s="1100" t="str">
        <f t="shared" si="1"/>
        <v>2018_1977</v>
      </c>
      <c r="E177" s="1226">
        <v>0.25277958862114103</v>
      </c>
      <c r="F177" s="1257">
        <v>1.8049434783470799</v>
      </c>
      <c r="G177" s="1280">
        <v>0.93494870167396804</v>
      </c>
      <c r="H177" s="1271">
        <v>22.514786854513002</v>
      </c>
      <c r="I177" s="1257">
        <v>11.367383865467</v>
      </c>
      <c r="J177" s="1280">
        <v>12.042462450950399</v>
      </c>
      <c r="K177" s="1271">
        <v>2.8384612210646101E-2</v>
      </c>
      <c r="L177" s="1257">
        <v>1.74041043643007E-3</v>
      </c>
      <c r="M177" s="1280">
        <v>2.0044061500329498E-2</v>
      </c>
      <c r="N177" s="1271">
        <v>9.0000025830084696E-3</v>
      </c>
      <c r="O177" s="1257">
        <v>3.0000008598028201E-3</v>
      </c>
      <c r="P177" s="1257">
        <v>9.0000025796537798E-3</v>
      </c>
      <c r="Q177" s="1280">
        <v>9.0000025830084696E-3</v>
      </c>
      <c r="R177" s="1271">
        <v>3.8500011034136201E-2</v>
      </c>
      <c r="S177" s="1257">
        <v>3.8500011034136201E-2</v>
      </c>
      <c r="T177" s="1257">
        <v>3.8500011034136201E-2</v>
      </c>
      <c r="U177" s="1280">
        <v>1.9250005517068101E-2</v>
      </c>
      <c r="V177" s="1293">
        <v>2.96680384199603E-2</v>
      </c>
    </row>
    <row r="178" spans="1:22" s="212" customFormat="1" ht="15.5" x14ac:dyDescent="0.35">
      <c r="A178" s="198">
        <v>2018</v>
      </c>
      <c r="B178" s="197" t="s">
        <v>5833</v>
      </c>
      <c r="C178" s="197">
        <v>1978</v>
      </c>
      <c r="D178" s="1100" t="str">
        <f t="shared" si="1"/>
        <v>2018_1978</v>
      </c>
      <c r="E178" s="1226">
        <v>0.25277958862114103</v>
      </c>
      <c r="F178" s="1257">
        <v>1.8049434783470799</v>
      </c>
      <c r="G178" s="1280">
        <v>0.93494870167396804</v>
      </c>
      <c r="H178" s="1271">
        <v>22.514786854513002</v>
      </c>
      <c r="I178" s="1257">
        <v>11.367383865467</v>
      </c>
      <c r="J178" s="1280">
        <v>12.042462450950399</v>
      </c>
      <c r="K178" s="1271">
        <v>2.8384612210646101E-2</v>
      </c>
      <c r="L178" s="1257">
        <v>1.74041043643007E-3</v>
      </c>
      <c r="M178" s="1280">
        <v>2.0044061500329498E-2</v>
      </c>
      <c r="N178" s="1271">
        <v>9.0000025830084696E-3</v>
      </c>
      <c r="O178" s="1257">
        <v>3.0000008598028201E-3</v>
      </c>
      <c r="P178" s="1257">
        <v>9.0000025796537798E-3</v>
      </c>
      <c r="Q178" s="1280">
        <v>9.0000025830084696E-3</v>
      </c>
      <c r="R178" s="1271">
        <v>3.8500011034136201E-2</v>
      </c>
      <c r="S178" s="1257">
        <v>3.8500011034136201E-2</v>
      </c>
      <c r="T178" s="1257">
        <v>3.8500011034136201E-2</v>
      </c>
      <c r="U178" s="1280">
        <v>1.9250005517068101E-2</v>
      </c>
      <c r="V178" s="1293">
        <v>2.96680384199603E-2</v>
      </c>
    </row>
    <row r="179" spans="1:22" s="212" customFormat="1" ht="15.5" x14ac:dyDescent="0.35">
      <c r="A179" s="198">
        <v>2018</v>
      </c>
      <c r="B179" s="197" t="s">
        <v>5833</v>
      </c>
      <c r="C179" s="197">
        <v>1979</v>
      </c>
      <c r="D179" s="1100" t="str">
        <f t="shared" si="1"/>
        <v>2018_1979</v>
      </c>
      <c r="E179" s="1226">
        <v>0.25277958862114103</v>
      </c>
      <c r="F179" s="1257">
        <v>1.8049434783470799</v>
      </c>
      <c r="G179" s="1280">
        <v>0.93494870167396804</v>
      </c>
      <c r="H179" s="1271">
        <v>22.514786854513002</v>
      </c>
      <c r="I179" s="1257">
        <v>11.367383865467</v>
      </c>
      <c r="J179" s="1280">
        <v>12.042462450950399</v>
      </c>
      <c r="K179" s="1271">
        <v>2.8384612210646101E-2</v>
      </c>
      <c r="L179" s="1257">
        <v>1.74041043643007E-3</v>
      </c>
      <c r="M179" s="1280">
        <v>2.0044061500329498E-2</v>
      </c>
      <c r="N179" s="1271">
        <v>9.0000025830084696E-3</v>
      </c>
      <c r="O179" s="1257">
        <v>3.0000008598028201E-3</v>
      </c>
      <c r="P179" s="1257">
        <v>9.0000025796537798E-3</v>
      </c>
      <c r="Q179" s="1280">
        <v>9.0000025830084696E-3</v>
      </c>
      <c r="R179" s="1271">
        <v>3.8500011034136201E-2</v>
      </c>
      <c r="S179" s="1257">
        <v>3.8500011034136201E-2</v>
      </c>
      <c r="T179" s="1257">
        <v>3.8500011034136201E-2</v>
      </c>
      <c r="U179" s="1280">
        <v>1.9250005517068101E-2</v>
      </c>
      <c r="V179" s="1293">
        <v>2.96680384199603E-2</v>
      </c>
    </row>
    <row r="180" spans="1:22" s="212" customFormat="1" ht="15.5" x14ac:dyDescent="0.35">
      <c r="A180" s="198">
        <v>2018</v>
      </c>
      <c r="B180" s="197" t="s">
        <v>5833</v>
      </c>
      <c r="C180" s="197">
        <v>1980</v>
      </c>
      <c r="D180" s="1100" t="str">
        <f t="shared" si="1"/>
        <v>2018_1980</v>
      </c>
      <c r="E180" s="1226">
        <v>0.25277958862114103</v>
      </c>
      <c r="F180" s="1257">
        <v>1.8049434783470799</v>
      </c>
      <c r="G180" s="1280">
        <v>0.93494870167396804</v>
      </c>
      <c r="H180" s="1271">
        <v>22.514786854513002</v>
      </c>
      <c r="I180" s="1257">
        <v>11.367383865467</v>
      </c>
      <c r="J180" s="1280">
        <v>12.042462450950399</v>
      </c>
      <c r="K180" s="1271">
        <v>2.8384612210646101E-2</v>
      </c>
      <c r="L180" s="1257">
        <v>1.74041043643007E-3</v>
      </c>
      <c r="M180" s="1280">
        <v>2.0044061500329498E-2</v>
      </c>
      <c r="N180" s="1271">
        <v>9.0000025830084696E-3</v>
      </c>
      <c r="O180" s="1257">
        <v>3.0000008598028201E-3</v>
      </c>
      <c r="P180" s="1257">
        <v>9.0000025796537798E-3</v>
      </c>
      <c r="Q180" s="1280">
        <v>9.0000025830084696E-3</v>
      </c>
      <c r="R180" s="1271">
        <v>3.8500011034136201E-2</v>
      </c>
      <c r="S180" s="1257">
        <v>3.8500011034136201E-2</v>
      </c>
      <c r="T180" s="1257">
        <v>3.8500011034136201E-2</v>
      </c>
      <c r="U180" s="1280">
        <v>1.9250005517068101E-2</v>
      </c>
      <c r="V180" s="1293">
        <v>2.96680384199603E-2</v>
      </c>
    </row>
    <row r="181" spans="1:22" s="212" customFormat="1" ht="15.5" x14ac:dyDescent="0.35">
      <c r="A181" s="198">
        <v>2018</v>
      </c>
      <c r="B181" s="197" t="s">
        <v>5833</v>
      </c>
      <c r="C181" s="197">
        <v>1981</v>
      </c>
      <c r="D181" s="1100" t="str">
        <f t="shared" si="1"/>
        <v>2018_1981</v>
      </c>
      <c r="E181" s="1226">
        <v>0.25277958862114103</v>
      </c>
      <c r="F181" s="1257">
        <v>1.8049434783470799</v>
      </c>
      <c r="G181" s="1280">
        <v>0.93494870167396804</v>
      </c>
      <c r="H181" s="1271">
        <v>22.514786854513002</v>
      </c>
      <c r="I181" s="1257">
        <v>11.367383865467</v>
      </c>
      <c r="J181" s="1280">
        <v>12.042462450950399</v>
      </c>
      <c r="K181" s="1271">
        <v>2.8384612210646101E-2</v>
      </c>
      <c r="L181" s="1257">
        <v>1.74041043643007E-3</v>
      </c>
      <c r="M181" s="1280">
        <v>2.0044061500329498E-2</v>
      </c>
      <c r="N181" s="1271">
        <v>9.0000025830084696E-3</v>
      </c>
      <c r="O181" s="1257">
        <v>3.0000008598028201E-3</v>
      </c>
      <c r="P181" s="1257">
        <v>9.0000025796537798E-3</v>
      </c>
      <c r="Q181" s="1280">
        <v>9.0000025830084696E-3</v>
      </c>
      <c r="R181" s="1271">
        <v>3.8500011034136201E-2</v>
      </c>
      <c r="S181" s="1257">
        <v>3.8500011034136201E-2</v>
      </c>
      <c r="T181" s="1257">
        <v>3.8500011034136201E-2</v>
      </c>
      <c r="U181" s="1280">
        <v>1.9250005517068101E-2</v>
      </c>
      <c r="V181" s="1293">
        <v>2.96680384199603E-2</v>
      </c>
    </row>
    <row r="182" spans="1:22" s="212" customFormat="1" ht="15.5" x14ac:dyDescent="0.35">
      <c r="A182" s="198">
        <v>2018</v>
      </c>
      <c r="B182" s="197" t="s">
        <v>5833</v>
      </c>
      <c r="C182" s="197">
        <v>1982</v>
      </c>
      <c r="D182" s="1100" t="str">
        <f t="shared" si="1"/>
        <v>2018_1982</v>
      </c>
      <c r="E182" s="1226">
        <v>0.25277958862114103</v>
      </c>
      <c r="F182" s="1257">
        <v>1.8049434783470799</v>
      </c>
      <c r="G182" s="1280">
        <v>0.93494870167396804</v>
      </c>
      <c r="H182" s="1271">
        <v>22.514786854513002</v>
      </c>
      <c r="I182" s="1257">
        <v>11.367383865467</v>
      </c>
      <c r="J182" s="1280">
        <v>12.042462450950399</v>
      </c>
      <c r="K182" s="1271">
        <v>2.8384612210646101E-2</v>
      </c>
      <c r="L182" s="1257">
        <v>1.74041043643007E-3</v>
      </c>
      <c r="M182" s="1280">
        <v>2.0044061500329498E-2</v>
      </c>
      <c r="N182" s="1271">
        <v>9.0000025830084696E-3</v>
      </c>
      <c r="O182" s="1257">
        <v>3.0000008598028201E-3</v>
      </c>
      <c r="P182" s="1257">
        <v>9.0000025796537798E-3</v>
      </c>
      <c r="Q182" s="1280">
        <v>9.0000025830084696E-3</v>
      </c>
      <c r="R182" s="1271">
        <v>3.8500011034136201E-2</v>
      </c>
      <c r="S182" s="1257">
        <v>3.8500011034136201E-2</v>
      </c>
      <c r="T182" s="1257">
        <v>3.8500011034136201E-2</v>
      </c>
      <c r="U182" s="1280">
        <v>1.9250005517068101E-2</v>
      </c>
      <c r="V182" s="1293">
        <v>2.96680384199603E-2</v>
      </c>
    </row>
    <row r="183" spans="1:22" s="212" customFormat="1" ht="15.5" x14ac:dyDescent="0.35">
      <c r="A183" s="198">
        <v>2018</v>
      </c>
      <c r="B183" s="197" t="s">
        <v>5833</v>
      </c>
      <c r="C183" s="197">
        <v>1983</v>
      </c>
      <c r="D183" s="1100" t="str">
        <f t="shared" si="1"/>
        <v>2018_1983</v>
      </c>
      <c r="E183" s="1226">
        <v>0.25277958862114103</v>
      </c>
      <c r="F183" s="1257">
        <v>1.8049434783470799</v>
      </c>
      <c r="G183" s="1280">
        <v>0.93494870167396804</v>
      </c>
      <c r="H183" s="1271">
        <v>22.514786854513002</v>
      </c>
      <c r="I183" s="1257">
        <v>11.367383865467</v>
      </c>
      <c r="J183" s="1280">
        <v>12.042462450950399</v>
      </c>
      <c r="K183" s="1271">
        <v>2.8384612210646101E-2</v>
      </c>
      <c r="L183" s="1257">
        <v>1.74041043643007E-3</v>
      </c>
      <c r="M183" s="1280">
        <v>2.0044061500329498E-2</v>
      </c>
      <c r="N183" s="1271">
        <v>9.0000025830084696E-3</v>
      </c>
      <c r="O183" s="1257">
        <v>3.0000008598028201E-3</v>
      </c>
      <c r="P183" s="1257">
        <v>9.0000025796537798E-3</v>
      </c>
      <c r="Q183" s="1280">
        <v>9.0000025830084696E-3</v>
      </c>
      <c r="R183" s="1271">
        <v>3.8500011034136201E-2</v>
      </c>
      <c r="S183" s="1257">
        <v>3.8500011034136201E-2</v>
      </c>
      <c r="T183" s="1257">
        <v>3.8500011034136201E-2</v>
      </c>
      <c r="U183" s="1280">
        <v>1.9250005517068101E-2</v>
      </c>
      <c r="V183" s="1293">
        <v>2.96680384199603E-2</v>
      </c>
    </row>
    <row r="184" spans="1:22" s="212" customFormat="1" ht="15.5" x14ac:dyDescent="0.35">
      <c r="A184" s="198">
        <v>2018</v>
      </c>
      <c r="B184" s="197" t="s">
        <v>5833</v>
      </c>
      <c r="C184" s="197">
        <v>1984</v>
      </c>
      <c r="D184" s="1100" t="str">
        <f t="shared" si="1"/>
        <v>2018_1984</v>
      </c>
      <c r="E184" s="1226">
        <v>0.25277958862114103</v>
      </c>
      <c r="F184" s="1257">
        <v>1.8049434783470799</v>
      </c>
      <c r="G184" s="1280">
        <v>0.93494870167396804</v>
      </c>
      <c r="H184" s="1271">
        <v>22.514786854513002</v>
      </c>
      <c r="I184" s="1257">
        <v>11.367383865467</v>
      </c>
      <c r="J184" s="1280">
        <v>12.042462450950399</v>
      </c>
      <c r="K184" s="1271">
        <v>2.8384612210646101E-2</v>
      </c>
      <c r="L184" s="1257">
        <v>1.74041043643007E-3</v>
      </c>
      <c r="M184" s="1280">
        <v>2.0044061500329498E-2</v>
      </c>
      <c r="N184" s="1271">
        <v>9.0000025830084696E-3</v>
      </c>
      <c r="O184" s="1257">
        <v>3.0000008598028201E-3</v>
      </c>
      <c r="P184" s="1257">
        <v>9.0000025796537798E-3</v>
      </c>
      <c r="Q184" s="1280">
        <v>9.0000025830084696E-3</v>
      </c>
      <c r="R184" s="1271">
        <v>3.8500011034136201E-2</v>
      </c>
      <c r="S184" s="1257">
        <v>3.8500011034136201E-2</v>
      </c>
      <c r="T184" s="1257">
        <v>3.8500011034136201E-2</v>
      </c>
      <c r="U184" s="1280">
        <v>1.9250005517068101E-2</v>
      </c>
      <c r="V184" s="1293">
        <v>2.96680384199603E-2</v>
      </c>
    </row>
    <row r="185" spans="1:22" s="212" customFormat="1" ht="15.5" x14ac:dyDescent="0.35">
      <c r="A185" s="198">
        <v>2018</v>
      </c>
      <c r="B185" s="197" t="s">
        <v>5833</v>
      </c>
      <c r="C185" s="197">
        <v>1985</v>
      </c>
      <c r="D185" s="1100" t="str">
        <f t="shared" si="1"/>
        <v>2018_1985</v>
      </c>
      <c r="E185" s="1226">
        <v>0.25277958862114103</v>
      </c>
      <c r="F185" s="1257">
        <v>1.8049434783470799</v>
      </c>
      <c r="G185" s="1280">
        <v>0.93494870167396804</v>
      </c>
      <c r="H185" s="1271">
        <v>22.514786854513002</v>
      </c>
      <c r="I185" s="1257">
        <v>11.367383865467</v>
      </c>
      <c r="J185" s="1280">
        <v>12.042462450950399</v>
      </c>
      <c r="K185" s="1271">
        <v>2.8384612210646101E-2</v>
      </c>
      <c r="L185" s="1257">
        <v>1.74041043643007E-3</v>
      </c>
      <c r="M185" s="1280">
        <v>2.0044061500329498E-2</v>
      </c>
      <c r="N185" s="1271">
        <v>9.0000025830084696E-3</v>
      </c>
      <c r="O185" s="1257">
        <v>3.0000008598028201E-3</v>
      </c>
      <c r="P185" s="1257">
        <v>9.0000025796537798E-3</v>
      </c>
      <c r="Q185" s="1280">
        <v>9.0000025830084696E-3</v>
      </c>
      <c r="R185" s="1271">
        <v>3.8500011034136201E-2</v>
      </c>
      <c r="S185" s="1257">
        <v>3.8500011034136201E-2</v>
      </c>
      <c r="T185" s="1257">
        <v>3.8500011034136201E-2</v>
      </c>
      <c r="U185" s="1280">
        <v>1.9250005517068101E-2</v>
      </c>
      <c r="V185" s="1293">
        <v>2.96680384199603E-2</v>
      </c>
    </row>
    <row r="186" spans="1:22" s="212" customFormat="1" ht="15.5" x14ac:dyDescent="0.35">
      <c r="A186" s="198">
        <v>2018</v>
      </c>
      <c r="B186" s="197" t="s">
        <v>5833</v>
      </c>
      <c r="C186" s="197">
        <v>1986</v>
      </c>
      <c r="D186" s="1100" t="str">
        <f t="shared" si="1"/>
        <v>2018_1986</v>
      </c>
      <c r="E186" s="1226">
        <v>0.25277958862114103</v>
      </c>
      <c r="F186" s="1257">
        <v>1.8049434783470799</v>
      </c>
      <c r="G186" s="1280">
        <v>0.93494870167396804</v>
      </c>
      <c r="H186" s="1271">
        <v>22.514786854513002</v>
      </c>
      <c r="I186" s="1257">
        <v>11.367383865467</v>
      </c>
      <c r="J186" s="1280">
        <v>12.042462450950399</v>
      </c>
      <c r="K186" s="1271">
        <v>2.8384612210646101E-2</v>
      </c>
      <c r="L186" s="1257">
        <v>1.74041043643007E-3</v>
      </c>
      <c r="M186" s="1280">
        <v>2.0044061500329498E-2</v>
      </c>
      <c r="N186" s="1271">
        <v>9.0000025830084696E-3</v>
      </c>
      <c r="O186" s="1257">
        <v>3.0000008598028201E-3</v>
      </c>
      <c r="P186" s="1257">
        <v>9.0000025796537798E-3</v>
      </c>
      <c r="Q186" s="1280">
        <v>9.0000025830084696E-3</v>
      </c>
      <c r="R186" s="1271">
        <v>3.8500011034136201E-2</v>
      </c>
      <c r="S186" s="1257">
        <v>3.8500011034136201E-2</v>
      </c>
      <c r="T186" s="1257">
        <v>3.8500011034136201E-2</v>
      </c>
      <c r="U186" s="1280">
        <v>1.9250005517068101E-2</v>
      </c>
      <c r="V186" s="1293">
        <v>2.96680384199603E-2</v>
      </c>
    </row>
    <row r="187" spans="1:22" s="212" customFormat="1" ht="15.5" x14ac:dyDescent="0.35">
      <c r="A187" s="198">
        <v>2018</v>
      </c>
      <c r="B187" s="197" t="s">
        <v>5833</v>
      </c>
      <c r="C187" s="197">
        <v>1987</v>
      </c>
      <c r="D187" s="1100" t="str">
        <f t="shared" si="1"/>
        <v>2018_1987</v>
      </c>
      <c r="E187" s="1226">
        <v>0.25277958862114103</v>
      </c>
      <c r="F187" s="1257">
        <v>1.8049434783470799</v>
      </c>
      <c r="G187" s="1280">
        <v>0.93494870167396804</v>
      </c>
      <c r="H187" s="1271">
        <v>22.514786854513002</v>
      </c>
      <c r="I187" s="1257">
        <v>11.367383865467</v>
      </c>
      <c r="J187" s="1280">
        <v>12.042462450950399</v>
      </c>
      <c r="K187" s="1271">
        <v>2.8384612210646101E-2</v>
      </c>
      <c r="L187" s="1257">
        <v>1.74041043643007E-3</v>
      </c>
      <c r="M187" s="1280">
        <v>2.0044061500329498E-2</v>
      </c>
      <c r="N187" s="1271">
        <v>9.0000025830084696E-3</v>
      </c>
      <c r="O187" s="1257">
        <v>3.0000008598028201E-3</v>
      </c>
      <c r="P187" s="1257">
        <v>9.0000025796537798E-3</v>
      </c>
      <c r="Q187" s="1280">
        <v>9.0000025830084696E-3</v>
      </c>
      <c r="R187" s="1271">
        <v>3.8500011034136201E-2</v>
      </c>
      <c r="S187" s="1257">
        <v>3.8500011034136201E-2</v>
      </c>
      <c r="T187" s="1257">
        <v>3.8500011034136201E-2</v>
      </c>
      <c r="U187" s="1280">
        <v>1.9250005517068101E-2</v>
      </c>
      <c r="V187" s="1293">
        <v>2.96680384199603E-2</v>
      </c>
    </row>
    <row r="188" spans="1:22" s="212" customFormat="1" ht="15.5" x14ac:dyDescent="0.35">
      <c r="A188" s="198">
        <v>2018</v>
      </c>
      <c r="B188" s="197" t="s">
        <v>5833</v>
      </c>
      <c r="C188" s="197">
        <v>1988</v>
      </c>
      <c r="D188" s="1100" t="str">
        <f t="shared" si="1"/>
        <v>2018_1988</v>
      </c>
      <c r="E188" s="1226">
        <v>0.25277958862114103</v>
      </c>
      <c r="F188" s="1257">
        <v>1.8049434783470799</v>
      </c>
      <c r="G188" s="1280">
        <v>0.93494870167396804</v>
      </c>
      <c r="H188" s="1271">
        <v>22.514786854513002</v>
      </c>
      <c r="I188" s="1257">
        <v>11.367383865467</v>
      </c>
      <c r="J188" s="1280">
        <v>12.042462450950399</v>
      </c>
      <c r="K188" s="1271">
        <v>2.8384612210646101E-2</v>
      </c>
      <c r="L188" s="1257">
        <v>1.74041043643007E-3</v>
      </c>
      <c r="M188" s="1280">
        <v>2.0044061500329498E-2</v>
      </c>
      <c r="N188" s="1271">
        <v>9.0000025830084696E-3</v>
      </c>
      <c r="O188" s="1257">
        <v>3.0000008598028201E-3</v>
      </c>
      <c r="P188" s="1257">
        <v>9.0000025796537798E-3</v>
      </c>
      <c r="Q188" s="1280">
        <v>9.0000025830084696E-3</v>
      </c>
      <c r="R188" s="1271">
        <v>3.8500011034136201E-2</v>
      </c>
      <c r="S188" s="1257">
        <v>3.8500011034136201E-2</v>
      </c>
      <c r="T188" s="1257">
        <v>3.8500011034136201E-2</v>
      </c>
      <c r="U188" s="1280">
        <v>1.9250005517068101E-2</v>
      </c>
      <c r="V188" s="1293">
        <v>2.96680384199603E-2</v>
      </c>
    </row>
    <row r="189" spans="1:22" s="212" customFormat="1" ht="15.5" x14ac:dyDescent="0.35">
      <c r="A189" s="198">
        <v>2018</v>
      </c>
      <c r="B189" s="197" t="s">
        <v>5833</v>
      </c>
      <c r="C189" s="197">
        <v>1989</v>
      </c>
      <c r="D189" s="225" t="str">
        <f t="shared" si="0"/>
        <v>2018_1989</v>
      </c>
      <c r="E189" s="1226">
        <v>0.25277958862114103</v>
      </c>
      <c r="F189" s="1257">
        <v>1.8049434783470799</v>
      </c>
      <c r="G189" s="1280">
        <v>0.93494870167396804</v>
      </c>
      <c r="H189" s="1271">
        <v>22.514786854513002</v>
      </c>
      <c r="I189" s="1257">
        <v>11.367383865467</v>
      </c>
      <c r="J189" s="1280">
        <v>12.042462450950399</v>
      </c>
      <c r="K189" s="1271">
        <v>2.8384612210646101E-2</v>
      </c>
      <c r="L189" s="1257">
        <v>1.74041043643007E-3</v>
      </c>
      <c r="M189" s="1280">
        <v>2.0044061500329498E-2</v>
      </c>
      <c r="N189" s="1271">
        <v>9.0000025830084696E-3</v>
      </c>
      <c r="O189" s="1257">
        <v>3.0000008598028201E-3</v>
      </c>
      <c r="P189" s="1257">
        <v>9.0000025796537798E-3</v>
      </c>
      <c r="Q189" s="1280">
        <v>9.0000025830084696E-3</v>
      </c>
      <c r="R189" s="1271">
        <v>3.8500011034136201E-2</v>
      </c>
      <c r="S189" s="1257">
        <v>3.8500011034136201E-2</v>
      </c>
      <c r="T189" s="1257">
        <v>3.8500011034136201E-2</v>
      </c>
      <c r="U189" s="1280">
        <v>1.9250005517068101E-2</v>
      </c>
      <c r="V189" s="1293">
        <v>2.96680384199603E-2</v>
      </c>
    </row>
    <row r="190" spans="1:22" s="212" customFormat="1" ht="15.5" x14ac:dyDescent="0.35">
      <c r="A190" s="198">
        <v>2018</v>
      </c>
      <c r="B190" s="197" t="s">
        <v>5833</v>
      </c>
      <c r="C190" s="197">
        <v>1990</v>
      </c>
      <c r="D190" s="225" t="str">
        <f t="shared" si="0"/>
        <v>2018_1990</v>
      </c>
      <c r="E190" s="1226">
        <v>0.25277958862114103</v>
      </c>
      <c r="F190" s="1257">
        <v>1.8049434783470799</v>
      </c>
      <c r="G190" s="1280">
        <v>0.93494870167396804</v>
      </c>
      <c r="H190" s="1271">
        <v>22.514786854513002</v>
      </c>
      <c r="I190" s="1257">
        <v>11.367383865467</v>
      </c>
      <c r="J190" s="1280">
        <v>12.042462450950399</v>
      </c>
      <c r="K190" s="1271">
        <v>2.8384612210646101E-2</v>
      </c>
      <c r="L190" s="1257">
        <v>1.74041043643007E-3</v>
      </c>
      <c r="M190" s="1280">
        <v>2.0044061500329498E-2</v>
      </c>
      <c r="N190" s="1271">
        <v>9.0000025830084696E-3</v>
      </c>
      <c r="O190" s="1257">
        <v>3.0000008598028201E-3</v>
      </c>
      <c r="P190" s="1257">
        <v>9.0000025796537798E-3</v>
      </c>
      <c r="Q190" s="1280">
        <v>9.0000025830084696E-3</v>
      </c>
      <c r="R190" s="1271">
        <v>3.8500011034136201E-2</v>
      </c>
      <c r="S190" s="1257">
        <v>3.8500011034136201E-2</v>
      </c>
      <c r="T190" s="1257">
        <v>3.8500011034136201E-2</v>
      </c>
      <c r="U190" s="1280">
        <v>1.9250005517068101E-2</v>
      </c>
      <c r="V190" s="1293">
        <v>2.96680384199603E-2</v>
      </c>
    </row>
    <row r="191" spans="1:22" s="212" customFormat="1" ht="15.5" x14ac:dyDescent="0.35">
      <c r="A191" s="198">
        <v>2018</v>
      </c>
      <c r="B191" s="197" t="s">
        <v>5833</v>
      </c>
      <c r="C191" s="197">
        <v>1991</v>
      </c>
      <c r="D191" s="225" t="str">
        <f t="shared" si="0"/>
        <v>2018_1991</v>
      </c>
      <c r="E191" s="1226">
        <v>0.25277958862114103</v>
      </c>
      <c r="F191" s="1257">
        <v>1.8049434783470799</v>
      </c>
      <c r="G191" s="1280">
        <v>0.93494870167396804</v>
      </c>
      <c r="H191" s="1271">
        <v>22.514786854513002</v>
      </c>
      <c r="I191" s="1257">
        <v>11.367383865467</v>
      </c>
      <c r="J191" s="1280">
        <v>12.042462450950399</v>
      </c>
      <c r="K191" s="1271">
        <v>2.8384612210646101E-2</v>
      </c>
      <c r="L191" s="1257">
        <v>1.74041043643007E-3</v>
      </c>
      <c r="M191" s="1280">
        <v>2.0044061500329498E-2</v>
      </c>
      <c r="N191" s="1271">
        <v>9.0000025830084696E-3</v>
      </c>
      <c r="O191" s="1257">
        <v>3.0000008598028201E-3</v>
      </c>
      <c r="P191" s="1257">
        <v>9.0000025796537798E-3</v>
      </c>
      <c r="Q191" s="1280">
        <v>9.0000025830084696E-3</v>
      </c>
      <c r="R191" s="1271">
        <v>3.8500011034136201E-2</v>
      </c>
      <c r="S191" s="1257">
        <v>3.8500011034136201E-2</v>
      </c>
      <c r="T191" s="1257">
        <v>3.8500011034136201E-2</v>
      </c>
      <c r="U191" s="1280">
        <v>1.9250005517068101E-2</v>
      </c>
      <c r="V191" s="1293">
        <v>2.96680384199603E-2</v>
      </c>
    </row>
    <row r="192" spans="1:22" s="212" customFormat="1" ht="15.5" x14ac:dyDescent="0.35">
      <c r="A192" s="198">
        <v>2018</v>
      </c>
      <c r="B192" s="197" t="s">
        <v>5833</v>
      </c>
      <c r="C192" s="197">
        <v>1992</v>
      </c>
      <c r="D192" s="225" t="str">
        <f t="shared" si="0"/>
        <v>2018_1992</v>
      </c>
      <c r="E192" s="1231">
        <v>0.25277958862114103</v>
      </c>
      <c r="F192" s="1257">
        <v>1.8049434783470799</v>
      </c>
      <c r="G192" s="1280">
        <v>0.93494870167396804</v>
      </c>
      <c r="H192" s="1303">
        <v>22.514786854513002</v>
      </c>
      <c r="I192" s="1257">
        <v>11.367383865467</v>
      </c>
      <c r="J192" s="1280">
        <v>12.042462450950399</v>
      </c>
      <c r="K192" s="1303">
        <v>2.8384612210646101E-2</v>
      </c>
      <c r="L192" s="1257">
        <v>1.74041043643007E-3</v>
      </c>
      <c r="M192" s="1280">
        <v>2.0044061500329498E-2</v>
      </c>
      <c r="N192" s="1303">
        <v>9.0000025830084696E-3</v>
      </c>
      <c r="O192" s="1257">
        <v>3.0000008598028201E-3</v>
      </c>
      <c r="P192" s="1257">
        <v>9.0000025796537798E-3</v>
      </c>
      <c r="Q192" s="1280">
        <v>9.0000025830084696E-3</v>
      </c>
      <c r="R192" s="1303">
        <v>3.8500011034136201E-2</v>
      </c>
      <c r="S192" s="1257">
        <v>3.8500011034136201E-2</v>
      </c>
      <c r="T192" s="1257">
        <v>3.8500011034136201E-2</v>
      </c>
      <c r="U192" s="1280">
        <v>1.9250005517068101E-2</v>
      </c>
      <c r="V192" s="1294">
        <v>2.96680384199603E-2</v>
      </c>
    </row>
    <row r="193" spans="1:22" s="212" customFormat="1" ht="15.5" x14ac:dyDescent="0.35">
      <c r="A193" s="198">
        <v>2018</v>
      </c>
      <c r="B193" s="197" t="s">
        <v>5833</v>
      </c>
      <c r="C193" s="197">
        <v>1993</v>
      </c>
      <c r="D193" s="225" t="str">
        <f t="shared" si="0"/>
        <v>2018_1993</v>
      </c>
      <c r="E193" s="1226">
        <v>0.18946315465010349</v>
      </c>
      <c r="F193" s="1257">
        <v>1.8049434783470799</v>
      </c>
      <c r="G193" s="1280">
        <v>0.93494870167396804</v>
      </c>
      <c r="H193" s="1289">
        <v>21.635985747584751</v>
      </c>
      <c r="I193" s="1257">
        <v>11.367383865467</v>
      </c>
      <c r="J193" s="1280">
        <v>12.042462450950399</v>
      </c>
      <c r="K193" s="1289">
        <v>2.2017732500924751E-2</v>
      </c>
      <c r="L193" s="1257">
        <v>1.74041043643007E-3</v>
      </c>
      <c r="M193" s="1280">
        <v>2.0044061500329498E-2</v>
      </c>
      <c r="N193" s="1289">
        <v>9.0000025813311256E-3</v>
      </c>
      <c r="O193" s="1257">
        <v>3.0000008598028201E-3</v>
      </c>
      <c r="P193" s="1257">
        <v>9.0000025796537798E-3</v>
      </c>
      <c r="Q193" s="1280">
        <v>9.0000025813311256E-3</v>
      </c>
      <c r="R193" s="1289">
        <v>3.8500011034136201E-2</v>
      </c>
      <c r="S193" s="1257">
        <v>3.8500011034136201E-2</v>
      </c>
      <c r="T193" s="1257">
        <v>3.8500011034136201E-2</v>
      </c>
      <c r="U193" s="1280">
        <v>1.9250005517068101E-2</v>
      </c>
      <c r="V193" s="1237">
        <v>2.3013276662375598E-2</v>
      </c>
    </row>
    <row r="194" spans="1:22" s="212" customFormat="1" ht="15.5" x14ac:dyDescent="0.35">
      <c r="A194" s="198">
        <v>2018</v>
      </c>
      <c r="B194" s="197" t="s">
        <v>5833</v>
      </c>
      <c r="C194" s="197">
        <v>1994</v>
      </c>
      <c r="D194" s="225" t="str">
        <f t="shared" si="0"/>
        <v>2018_1994</v>
      </c>
      <c r="E194" s="1226">
        <v>0.18946315465010349</v>
      </c>
      <c r="F194" s="1257">
        <v>1.8049434783470799</v>
      </c>
      <c r="G194" s="1280">
        <v>0.93494870167396804</v>
      </c>
      <c r="H194" s="1289">
        <v>21.635985747584751</v>
      </c>
      <c r="I194" s="1257">
        <v>11.367383865467</v>
      </c>
      <c r="J194" s="1280">
        <v>12.042462450950399</v>
      </c>
      <c r="K194" s="1289">
        <v>2.2017732500924751E-2</v>
      </c>
      <c r="L194" s="1257">
        <v>1.74041043643007E-3</v>
      </c>
      <c r="M194" s="1280">
        <v>2.0044061500329498E-2</v>
      </c>
      <c r="N194" s="1289">
        <v>9.0000025813311256E-3</v>
      </c>
      <c r="O194" s="1257">
        <v>3.0000008598028201E-3</v>
      </c>
      <c r="P194" s="1257">
        <v>9.0000025796537798E-3</v>
      </c>
      <c r="Q194" s="1280">
        <v>9.0000025813311256E-3</v>
      </c>
      <c r="R194" s="1289">
        <v>3.8500011034136201E-2</v>
      </c>
      <c r="S194" s="1257">
        <v>3.8500011034136201E-2</v>
      </c>
      <c r="T194" s="1257">
        <v>3.8500011034136201E-2</v>
      </c>
      <c r="U194" s="1280">
        <v>1.9250005517068101E-2</v>
      </c>
      <c r="V194" s="1237">
        <v>2.3013276662375598E-2</v>
      </c>
    </row>
    <row r="195" spans="1:22" s="212" customFormat="1" ht="15.5" x14ac:dyDescent="0.35">
      <c r="A195" s="198">
        <v>2018</v>
      </c>
      <c r="B195" s="197" t="s">
        <v>5833</v>
      </c>
      <c r="C195" s="197">
        <v>1995</v>
      </c>
      <c r="D195" s="225" t="str">
        <f t="shared" si="0"/>
        <v>2018_1995</v>
      </c>
      <c r="E195" s="1226">
        <v>0.18946315465010349</v>
      </c>
      <c r="F195" s="1257">
        <v>1.8049434783470799</v>
      </c>
      <c r="G195" s="1280">
        <v>0.93494870167396804</v>
      </c>
      <c r="H195" s="1289">
        <v>21.635985747584751</v>
      </c>
      <c r="I195" s="1257">
        <v>11.367383865467</v>
      </c>
      <c r="J195" s="1280">
        <v>12.042462450950399</v>
      </c>
      <c r="K195" s="1289">
        <v>2.2017732500924751E-2</v>
      </c>
      <c r="L195" s="1257">
        <v>1.74041043643007E-3</v>
      </c>
      <c r="M195" s="1280">
        <v>2.0044061500329498E-2</v>
      </c>
      <c r="N195" s="1289">
        <v>9.0000025813311256E-3</v>
      </c>
      <c r="O195" s="1257">
        <v>3.0000008598028201E-3</v>
      </c>
      <c r="P195" s="1257">
        <v>9.0000025796537798E-3</v>
      </c>
      <c r="Q195" s="1280">
        <v>9.0000025813311256E-3</v>
      </c>
      <c r="R195" s="1289">
        <v>3.8500011034136201E-2</v>
      </c>
      <c r="S195" s="1257">
        <v>3.8500011034136201E-2</v>
      </c>
      <c r="T195" s="1257">
        <v>3.8500011034136201E-2</v>
      </c>
      <c r="U195" s="1280">
        <v>1.9250005517068101E-2</v>
      </c>
      <c r="V195" s="1237">
        <v>2.3013276662375598E-2</v>
      </c>
    </row>
    <row r="196" spans="1:22" s="212" customFormat="1" ht="15.5" x14ac:dyDescent="0.35">
      <c r="A196" s="198">
        <v>2018</v>
      </c>
      <c r="B196" s="197" t="s">
        <v>5833</v>
      </c>
      <c r="C196" s="197">
        <v>1996</v>
      </c>
      <c r="D196" s="225" t="str">
        <f t="shared" si="0"/>
        <v>2018_1996</v>
      </c>
      <c r="E196" s="1231">
        <v>0.12614672067906599</v>
      </c>
      <c r="F196" s="1257">
        <v>1.8049434783470799</v>
      </c>
      <c r="G196" s="1306">
        <v>0.93494870167396804</v>
      </c>
      <c r="H196" s="1303">
        <v>20.757184640656501</v>
      </c>
      <c r="I196" s="1257">
        <v>11.367383865467</v>
      </c>
      <c r="J196" s="1306">
        <v>12.042462450950399</v>
      </c>
      <c r="K196" s="1303">
        <v>1.5650852791203401E-2</v>
      </c>
      <c r="L196" s="1257">
        <v>1.74041043643007E-3</v>
      </c>
      <c r="M196" s="1306">
        <v>2.0044061500329498E-2</v>
      </c>
      <c r="N196" s="1303">
        <v>9.0000025796537798E-3</v>
      </c>
      <c r="O196" s="1257">
        <v>3.0000008598028201E-3</v>
      </c>
      <c r="P196" s="1288">
        <v>9.0000025796537798E-3</v>
      </c>
      <c r="Q196" s="1280">
        <v>9.0000025796537798E-3</v>
      </c>
      <c r="R196" s="1303">
        <v>3.8500011034136201E-2</v>
      </c>
      <c r="S196" s="1257">
        <v>3.8500011034136201E-2</v>
      </c>
      <c r="T196" s="1288">
        <v>3.8500011034136201E-2</v>
      </c>
      <c r="U196" s="1280">
        <v>1.9250005517068101E-2</v>
      </c>
      <c r="V196" s="1294">
        <v>1.63585149047909E-2</v>
      </c>
    </row>
    <row r="197" spans="1:22" s="212" customFormat="1" ht="15.5" x14ac:dyDescent="0.35">
      <c r="A197" s="198">
        <v>2018</v>
      </c>
      <c r="B197" s="197" t="s">
        <v>5833</v>
      </c>
      <c r="C197" s="197">
        <v>1997</v>
      </c>
      <c r="D197" s="225" t="str">
        <f t="shared" si="0"/>
        <v>2018_1997</v>
      </c>
      <c r="E197" s="1291">
        <v>0.12008490685835449</v>
      </c>
      <c r="F197" s="1288">
        <v>1.8049434783470799</v>
      </c>
      <c r="G197" s="1306">
        <v>1.5166464342668999</v>
      </c>
      <c r="H197" s="1271">
        <v>19.8115105003818</v>
      </c>
      <c r="I197" s="1288">
        <v>11.367383865467</v>
      </c>
      <c r="J197" s="1306">
        <v>15.7161263734955</v>
      </c>
      <c r="K197" s="1271">
        <v>1.470336607428795E-2</v>
      </c>
      <c r="L197" s="1288">
        <v>1.74041043643007E-3</v>
      </c>
      <c r="M197" s="1306">
        <v>1.9712733283752702E-2</v>
      </c>
      <c r="N197" s="1271">
        <v>8.1429492991764406E-3</v>
      </c>
      <c r="O197" s="1288">
        <v>3.0000008598028201E-3</v>
      </c>
      <c r="P197" s="1288">
        <v>9.0000025837844201E-3</v>
      </c>
      <c r="Q197" s="1280">
        <v>8.1429492991764406E-3</v>
      </c>
      <c r="R197" s="1271">
        <v>3.8500011034136201E-2</v>
      </c>
      <c r="S197" s="1288">
        <v>3.8500011034136201E-2</v>
      </c>
      <c r="T197" s="1288">
        <v>3.8500011034136201E-2</v>
      </c>
      <c r="U197" s="1280">
        <v>1.9250005517068101E-2</v>
      </c>
      <c r="V197" s="1293">
        <v>1.53681870429466E-2</v>
      </c>
    </row>
    <row r="198" spans="1:22" s="212" customFormat="1" ht="15.5" x14ac:dyDescent="0.35">
      <c r="A198" s="198">
        <v>2018</v>
      </c>
      <c r="B198" s="197" t="s">
        <v>5833</v>
      </c>
      <c r="C198" s="197">
        <v>1998</v>
      </c>
      <c r="D198" s="225" t="str">
        <f t="shared" si="0"/>
        <v>2018_1998</v>
      </c>
      <c r="E198" s="1231">
        <v>0.11402309303764301</v>
      </c>
      <c r="F198" s="1257">
        <v>0.91891903319739598</v>
      </c>
      <c r="G198" s="1280">
        <v>1.226441677583199</v>
      </c>
      <c r="H198" s="1303">
        <v>18.8658363601071</v>
      </c>
      <c r="I198" s="1257">
        <v>6.0089755889102179</v>
      </c>
      <c r="J198" s="1280">
        <v>13.882236042170749</v>
      </c>
      <c r="K198" s="1303">
        <v>1.37558793573725E-2</v>
      </c>
      <c r="L198" s="1257">
        <v>2.0181236723374051E-3</v>
      </c>
      <c r="M198" s="1280">
        <v>1.9874611922195952E-2</v>
      </c>
      <c r="N198" s="1303">
        <v>7.2858960186990996E-3</v>
      </c>
      <c r="O198" s="1257">
        <v>2.7616974661227953E-3</v>
      </c>
      <c r="P198" s="1257">
        <v>9.0000025817183957E-3</v>
      </c>
      <c r="Q198" s="1280">
        <v>7.2858960186990996E-3</v>
      </c>
      <c r="R198" s="1303">
        <v>3.8500011034136201E-2</v>
      </c>
      <c r="S198" s="1257">
        <v>3.6915293466163998E-2</v>
      </c>
      <c r="T198" s="1257">
        <v>3.8500011034136201E-2</v>
      </c>
      <c r="U198" s="1280">
        <v>1.9250005517068101E-2</v>
      </c>
      <c r="V198" s="1294">
        <v>1.43778591811023E-2</v>
      </c>
    </row>
    <row r="199" spans="1:22" s="212" customFormat="1" ht="15.5" x14ac:dyDescent="0.35">
      <c r="A199" s="198">
        <v>2018</v>
      </c>
      <c r="B199" s="197" t="s">
        <v>5833</v>
      </c>
      <c r="C199" s="197">
        <v>1999</v>
      </c>
      <c r="D199" s="225" t="str">
        <f t="shared" si="0"/>
        <v>2018_1999</v>
      </c>
      <c r="E199" s="1231">
        <v>0.126187680521156</v>
      </c>
      <c r="F199" s="1257">
        <v>0.91891903319739598</v>
      </c>
      <c r="G199" s="1306">
        <v>0.93623692089949795</v>
      </c>
      <c r="H199" s="1303">
        <v>20.757944992931701</v>
      </c>
      <c r="I199" s="1257">
        <v>6.0089755889102179</v>
      </c>
      <c r="J199" s="1306">
        <v>12.048345710846</v>
      </c>
      <c r="K199" s="1303">
        <v>1.5654040466052802E-2</v>
      </c>
      <c r="L199" s="1257">
        <v>2.0181236723374051E-3</v>
      </c>
      <c r="M199" s="1306">
        <v>2.0036490560639199E-2</v>
      </c>
      <c r="N199" s="1303">
        <v>9.0000025796535005E-3</v>
      </c>
      <c r="O199" s="1257">
        <v>2.7616974661227953E-3</v>
      </c>
      <c r="P199" s="1288">
        <v>9.0000025796523695E-3</v>
      </c>
      <c r="Q199" s="1306">
        <v>9.0000025796173801E-3</v>
      </c>
      <c r="R199" s="1303">
        <v>3.8500011034136201E-2</v>
      </c>
      <c r="S199" s="1257">
        <v>3.6915293466163998E-2</v>
      </c>
      <c r="T199" s="1288">
        <v>3.8500011034136201E-2</v>
      </c>
      <c r="U199" s="1306">
        <v>1.9250005517068101E-2</v>
      </c>
      <c r="V199" s="1294">
        <v>1.6361846712151899E-2</v>
      </c>
    </row>
    <row r="200" spans="1:22" s="212" customFormat="1" ht="15.5" x14ac:dyDescent="0.35">
      <c r="A200" s="198">
        <v>2018</v>
      </c>
      <c r="B200" s="197" t="s">
        <v>5833</v>
      </c>
      <c r="C200" s="197">
        <v>2000</v>
      </c>
      <c r="D200" s="225" t="str">
        <f t="shared" si="0"/>
        <v>2018_2000</v>
      </c>
      <c r="E200" s="1231">
        <v>0.21041883851305801</v>
      </c>
      <c r="F200" s="1257">
        <v>0.91891903319739598</v>
      </c>
      <c r="G200" s="1306">
        <v>1.5154493087246199</v>
      </c>
      <c r="H200" s="1303">
        <v>21.903264041539401</v>
      </c>
      <c r="I200" s="1257">
        <v>6.0089755889102179</v>
      </c>
      <c r="J200" s="1306">
        <v>15.702598555414101</v>
      </c>
      <c r="K200" s="1303">
        <v>2.4152873788847999E-2</v>
      </c>
      <c r="L200" s="1257">
        <v>2.0181236723374051E-3</v>
      </c>
      <c r="M200" s="1306">
        <v>1.9666435727675E-2</v>
      </c>
      <c r="N200" s="1303">
        <v>8.9766461970211507E-3</v>
      </c>
      <c r="O200" s="1257">
        <v>2.7616974661227953E-3</v>
      </c>
      <c r="P200" s="1288">
        <v>8.9769125406919097E-3</v>
      </c>
      <c r="Q200" s="1306">
        <v>1.0512758428457499E-6</v>
      </c>
      <c r="R200" s="1303">
        <v>3.8500011034136201E-2</v>
      </c>
      <c r="S200" s="1257">
        <v>3.6915293466163998E-2</v>
      </c>
      <c r="T200" s="1288">
        <v>3.8500011034136201E-2</v>
      </c>
      <c r="U200" s="1306">
        <v>2.2485622193588E-6</v>
      </c>
      <c r="V200" s="1294">
        <v>2.5244959564789601E-2</v>
      </c>
    </row>
    <row r="201" spans="1:22" s="212" customFormat="1" ht="15.5" x14ac:dyDescent="0.35">
      <c r="A201" s="198">
        <v>2018</v>
      </c>
      <c r="B201" s="197" t="s">
        <v>5833</v>
      </c>
      <c r="C201" s="197">
        <v>2001</v>
      </c>
      <c r="D201" s="225" t="str">
        <f t="shared" si="0"/>
        <v>2018_2001</v>
      </c>
      <c r="E201" s="1231">
        <v>0.13205574197324399</v>
      </c>
      <c r="F201" s="1257">
        <v>0.91891903319739598</v>
      </c>
      <c r="G201" s="1306">
        <v>1.4839206198930399</v>
      </c>
      <c r="H201" s="1303">
        <v>20.7669985303502</v>
      </c>
      <c r="I201" s="1257">
        <v>6.0089755889102179</v>
      </c>
      <c r="J201" s="1306">
        <v>15.4966084363683</v>
      </c>
      <c r="K201" s="1303">
        <v>1.62130843793531E-2</v>
      </c>
      <c r="L201" s="1257">
        <v>2.0181236723374051E-3</v>
      </c>
      <c r="M201" s="1306">
        <v>1.9871268777213499E-2</v>
      </c>
      <c r="N201" s="1303">
        <v>8.9279575085784001E-3</v>
      </c>
      <c r="O201" s="1257">
        <v>2.7616974661227953E-3</v>
      </c>
      <c r="P201" s="1288">
        <v>8.9733188658183104E-3</v>
      </c>
      <c r="Q201" s="1306">
        <v>0</v>
      </c>
      <c r="R201" s="1303">
        <v>3.8500011034136201E-2</v>
      </c>
      <c r="S201" s="1257">
        <v>3.6915293466163998E-2</v>
      </c>
      <c r="T201" s="1288">
        <v>3.8500011034136201E-2</v>
      </c>
      <c r="U201" s="1306">
        <v>0</v>
      </c>
      <c r="V201" s="1294">
        <v>1.69461681104911E-2</v>
      </c>
    </row>
    <row r="202" spans="1:22" s="212" customFormat="1" ht="15.5" x14ac:dyDescent="0.35">
      <c r="A202" s="198">
        <v>2018</v>
      </c>
      <c r="B202" s="197" t="s">
        <v>5833</v>
      </c>
      <c r="C202" s="197">
        <v>2002</v>
      </c>
      <c r="D202" s="225" t="str">
        <f t="shared" si="0"/>
        <v>2018_2002</v>
      </c>
      <c r="E202" s="1231">
        <v>0.13809648100730501</v>
      </c>
      <c r="F202" s="1288">
        <v>3.2894588047712101E-2</v>
      </c>
      <c r="G202" s="1306">
        <v>1.19979591942922</v>
      </c>
      <c r="H202" s="1303">
        <v>20.251429520394399</v>
      </c>
      <c r="I202" s="1288">
        <v>0.65056731235343601</v>
      </c>
      <c r="J202" s="1306">
        <v>13.2066941289849</v>
      </c>
      <c r="K202" s="1303">
        <v>1.7605915221975601E-2</v>
      </c>
      <c r="L202" s="1288">
        <v>2.2958369082447402E-3</v>
      </c>
      <c r="M202" s="1306">
        <v>2.34870399419598E-2</v>
      </c>
      <c r="N202" s="1303">
        <v>8.6663861761275898E-3</v>
      </c>
      <c r="O202" s="1288">
        <v>2.5233940724427701E-3</v>
      </c>
      <c r="P202" s="1288">
        <v>7.32273753260935E-3</v>
      </c>
      <c r="Q202" s="1306">
        <v>3.0000008598724602E-3</v>
      </c>
      <c r="R202" s="1303">
        <v>3.8302220201347797E-2</v>
      </c>
      <c r="S202" s="1288">
        <v>3.5330575898191802E-2</v>
      </c>
      <c r="T202" s="1288">
        <v>3.7755381429162099E-2</v>
      </c>
      <c r="U202" s="1306">
        <v>1.9250005517068101E-2</v>
      </c>
      <c r="V202" s="1294">
        <v>1.84019765832216E-2</v>
      </c>
    </row>
    <row r="203" spans="1:22" s="212" customFormat="1" ht="15.5" x14ac:dyDescent="0.35">
      <c r="A203" s="198">
        <v>2018</v>
      </c>
      <c r="B203" s="197" t="s">
        <v>5833</v>
      </c>
      <c r="C203" s="197">
        <v>2003</v>
      </c>
      <c r="D203" s="225" t="str">
        <f t="shared" si="0"/>
        <v>2018_2003</v>
      </c>
      <c r="E203" s="1231">
        <v>5.9668030122189401E-2</v>
      </c>
      <c r="F203" s="1288">
        <v>4.0136373544696097E-2</v>
      </c>
      <c r="G203" s="1306">
        <v>1.13028931386508</v>
      </c>
      <c r="H203" s="1303">
        <v>7.2166776672436104</v>
      </c>
      <c r="I203" s="1288">
        <v>0.79516637085775099</v>
      </c>
      <c r="J203" s="1306">
        <v>10.5888127632543</v>
      </c>
      <c r="K203" s="1303">
        <v>1.1112801288416E-2</v>
      </c>
      <c r="L203" s="1288">
        <v>2.3156619387079001E-3</v>
      </c>
      <c r="M203" s="1306">
        <v>9.2383890884795393E-3</v>
      </c>
      <c r="N203" s="1303">
        <v>8.3352814288502105E-3</v>
      </c>
      <c r="O203" s="1288">
        <v>2.8388023030467601E-3</v>
      </c>
      <c r="P203" s="1288">
        <v>6.9270019621800096E-3</v>
      </c>
      <c r="Q203" s="1306">
        <v>3.6081390528329401E-3</v>
      </c>
      <c r="R203" s="1303">
        <v>3.8500011034136201E-2</v>
      </c>
      <c r="S203" s="1288">
        <v>3.7428040631708397E-2</v>
      </c>
      <c r="T203" s="1288">
        <v>3.8500011034136201E-2</v>
      </c>
      <c r="U203" s="1306">
        <v>1.9250005517068101E-2</v>
      </c>
      <c r="V203" s="1294">
        <v>1.16152728503528E-2</v>
      </c>
    </row>
    <row r="204" spans="1:22" s="212" customFormat="1" ht="15.5" x14ac:dyDescent="0.35">
      <c r="A204" s="198">
        <v>2018</v>
      </c>
      <c r="B204" s="197" t="s">
        <v>5833</v>
      </c>
      <c r="C204" s="197">
        <v>2004</v>
      </c>
      <c r="D204" s="225" t="str">
        <f>CONCATENATE(A204,"_",C204)</f>
        <v>2018_2004</v>
      </c>
      <c r="E204" s="1231">
        <v>8.6142571504303697E-2</v>
      </c>
      <c r="F204" s="1288">
        <v>1.91167542327777E-2</v>
      </c>
      <c r="G204" s="1306">
        <v>2.1472405288921501</v>
      </c>
      <c r="H204" s="1303">
        <v>8.7410021451782107</v>
      </c>
      <c r="I204" s="1288">
        <v>0.27921140556157098</v>
      </c>
      <c r="J204" s="1306">
        <v>13.8193071247037</v>
      </c>
      <c r="K204" s="1303">
        <v>1.07493634374592E-2</v>
      </c>
      <c r="L204" s="1288">
        <v>1.9202634261468899E-4</v>
      </c>
      <c r="M204" s="1306">
        <v>1.2013342944626E-2</v>
      </c>
      <c r="N204" s="1303">
        <v>8.1578241820099099E-3</v>
      </c>
      <c r="O204" s="1288">
        <v>2.1223268801865902E-3</v>
      </c>
      <c r="P204" s="1288">
        <v>8.8658095933675102E-3</v>
      </c>
      <c r="Q204" s="1306">
        <v>3.0000008613028199E-3</v>
      </c>
      <c r="R204" s="1303">
        <v>3.8500011034136201E-2</v>
      </c>
      <c r="S204" s="1288">
        <v>3.2663479069688299E-2</v>
      </c>
      <c r="T204" s="1288">
        <v>3.8500011034136201E-2</v>
      </c>
      <c r="U204" s="1306">
        <v>1.9250005517068101E-2</v>
      </c>
      <c r="V204" s="1294">
        <v>1.1235401952507299E-2</v>
      </c>
    </row>
    <row r="205" spans="1:22" s="212" customFormat="1" ht="15.5" x14ac:dyDescent="0.35">
      <c r="A205" s="198">
        <v>2018</v>
      </c>
      <c r="B205" s="197" t="s">
        <v>5833</v>
      </c>
      <c r="C205" s="197">
        <v>2005</v>
      </c>
      <c r="D205" s="225" t="str">
        <f t="shared" si="0"/>
        <v>2018_2005</v>
      </c>
      <c r="E205" s="1231">
        <v>5.6919166916549899E-2</v>
      </c>
      <c r="F205" s="1288">
        <v>2.1576976869673001E-2</v>
      </c>
      <c r="G205" s="1306">
        <v>1.96887241596718</v>
      </c>
      <c r="H205" s="1303">
        <v>6.0085546114070096</v>
      </c>
      <c r="I205" s="1288">
        <v>0.44441933210134499</v>
      </c>
      <c r="J205" s="1306">
        <v>13.4577956634293</v>
      </c>
      <c r="K205" s="1303">
        <v>7.1226268961569203E-3</v>
      </c>
      <c r="L205" s="1288">
        <v>1.93155543403493E-4</v>
      </c>
      <c r="M205" s="1306">
        <v>1.16571293910701E-2</v>
      </c>
      <c r="N205" s="1303">
        <v>3.0743426344372101E-3</v>
      </c>
      <c r="O205" s="1288">
        <v>2.9800172725850502E-3</v>
      </c>
      <c r="P205" s="1288">
        <v>8.8524729506452796E-3</v>
      </c>
      <c r="Q205" s="1306">
        <v>8.8648896059024592E-3</v>
      </c>
      <c r="R205" s="1303">
        <v>3.8480445336824702E-2</v>
      </c>
      <c r="S205" s="1288">
        <v>3.8367120179138001E-2</v>
      </c>
      <c r="T205" s="1288">
        <v>3.8499950354802498E-2</v>
      </c>
      <c r="U205" s="1306">
        <v>1.9250005517068101E-2</v>
      </c>
      <c r="V205" s="1294">
        <v>7.4446804782123798E-3</v>
      </c>
    </row>
    <row r="206" spans="1:22" s="212" customFormat="1" ht="15.5" x14ac:dyDescent="0.35">
      <c r="A206" s="198">
        <v>2018</v>
      </c>
      <c r="B206" s="197" t="s">
        <v>5833</v>
      </c>
      <c r="C206" s="197">
        <v>2006</v>
      </c>
      <c r="D206" s="225" t="str">
        <f t="shared" si="0"/>
        <v>2018_2006</v>
      </c>
      <c r="E206" s="1231">
        <v>5.4108622382195298E-2</v>
      </c>
      <c r="F206" s="1288">
        <v>1.7030190431085401E-2</v>
      </c>
      <c r="G206" s="1306">
        <v>1.93952241532632</v>
      </c>
      <c r="H206" s="1303">
        <v>5.74618496007208</v>
      </c>
      <c r="I206" s="1288">
        <v>0.285421467466276</v>
      </c>
      <c r="J206" s="1306">
        <v>13.023947326481901</v>
      </c>
      <c r="K206" s="1303">
        <v>1.00895627557962E-2</v>
      </c>
      <c r="L206" s="1288">
        <v>1.7094613889394501E-4</v>
      </c>
      <c r="M206" s="1306">
        <v>1.13771181963199E-2</v>
      </c>
      <c r="N206" s="1303">
        <v>4.6312659629696102E-3</v>
      </c>
      <c r="O206" s="1288">
        <v>2.34950490178844E-3</v>
      </c>
      <c r="P206" s="1288">
        <v>8.2272295571684598E-3</v>
      </c>
      <c r="Q206" s="1306">
        <v>3.0000008601358298E-3</v>
      </c>
      <c r="R206" s="1303">
        <v>3.8423026357898703E-2</v>
      </c>
      <c r="S206" s="1288">
        <v>3.4174212913340503E-2</v>
      </c>
      <c r="T206" s="1288">
        <v>3.8500011034136201E-2</v>
      </c>
      <c r="U206" s="1306">
        <v>1.9250005517068101E-2</v>
      </c>
      <c r="V206" s="1294">
        <v>1.05457680118417E-2</v>
      </c>
    </row>
    <row r="207" spans="1:22" s="212" customFormat="1" ht="15.5" x14ac:dyDescent="0.35">
      <c r="A207" s="198">
        <v>2018</v>
      </c>
      <c r="B207" s="197" t="s">
        <v>5833</v>
      </c>
      <c r="C207" s="197">
        <v>2007</v>
      </c>
      <c r="D207" s="225" t="str">
        <f t="shared" si="0"/>
        <v>2018_2007</v>
      </c>
      <c r="E207" s="1231">
        <v>0.20922676900995499</v>
      </c>
      <c r="F207" s="1288">
        <v>1.7873339197870101E-2</v>
      </c>
      <c r="G207" s="1306">
        <v>2.9584819468985901E-2</v>
      </c>
      <c r="H207" s="1303">
        <v>4.6008683552669698</v>
      </c>
      <c r="I207" s="1288">
        <v>0.33113958039029201</v>
      </c>
      <c r="J207" s="1306">
        <v>0.93868980437967497</v>
      </c>
      <c r="K207" s="1303">
        <v>9.0839397548805809E-3</v>
      </c>
      <c r="L207" s="1288">
        <v>1.6956131693924401E-4</v>
      </c>
      <c r="M207" s="1306">
        <v>5.7731026479532601E-4</v>
      </c>
      <c r="N207" s="1303">
        <v>6.1797724564668297E-3</v>
      </c>
      <c r="O207" s="1288">
        <v>2.70334630293267E-3</v>
      </c>
      <c r="P207" s="1288">
        <v>8.6556997192877103E-3</v>
      </c>
      <c r="Q207" s="1306">
        <v>4.2132702008309403E-3</v>
      </c>
      <c r="R207" s="1303">
        <v>3.83935953388964E-2</v>
      </c>
      <c r="S207" s="1288">
        <v>3.6527258230949697E-2</v>
      </c>
      <c r="T207" s="1288">
        <v>3.8479403235287701E-2</v>
      </c>
      <c r="U207" s="1306">
        <v>1.9250005517068101E-2</v>
      </c>
      <c r="V207" s="1294">
        <v>9.4946752012106204E-3</v>
      </c>
    </row>
    <row r="208" spans="1:22" s="212" customFormat="1" ht="15.5" x14ac:dyDescent="0.35">
      <c r="A208" s="198">
        <v>2018</v>
      </c>
      <c r="B208" s="197" t="s">
        <v>5833</v>
      </c>
      <c r="C208" s="197">
        <v>2008</v>
      </c>
      <c r="D208" s="225" t="str">
        <f t="shared" si="0"/>
        <v>2018_2008</v>
      </c>
      <c r="E208" s="1231">
        <v>0.24971120430652999</v>
      </c>
      <c r="F208" s="1288">
        <v>1.3023601850493401E-2</v>
      </c>
      <c r="G208" s="1306">
        <v>2.71099742780378E-2</v>
      </c>
      <c r="H208" s="1303">
        <v>4.7495640150222203</v>
      </c>
      <c r="I208" s="1288">
        <v>0.26247029679415401</v>
      </c>
      <c r="J208" s="1306">
        <v>0.78895614856555296</v>
      </c>
      <c r="K208" s="1303">
        <v>1.8153306588439999E-2</v>
      </c>
      <c r="L208" s="1288">
        <v>1.5163828299184599E-4</v>
      </c>
      <c r="M208" s="1306">
        <v>1.07519191050819E-3</v>
      </c>
      <c r="N208" s="1303">
        <v>6.6321932957474896E-3</v>
      </c>
      <c r="O208" s="1288">
        <v>2.6046921102174298E-3</v>
      </c>
      <c r="P208" s="1288">
        <v>8.4880377426525301E-3</v>
      </c>
      <c r="Q208" s="1306">
        <v>3.0025297538637799E-3</v>
      </c>
      <c r="R208" s="1303">
        <v>3.7760054867136301E-2</v>
      </c>
      <c r="S208" s="1288">
        <v>3.5871207849393398E-2</v>
      </c>
      <c r="T208" s="1288">
        <v>3.8409415256033003E-2</v>
      </c>
      <c r="U208" s="1306">
        <v>1.9250005517068101E-2</v>
      </c>
      <c r="V208" s="1294">
        <v>1.8974118558264301E-2</v>
      </c>
    </row>
    <row r="209" spans="1:22" s="212" customFormat="1" ht="15.5" x14ac:dyDescent="0.35">
      <c r="A209" s="198">
        <v>2018</v>
      </c>
      <c r="B209" s="197" t="s">
        <v>5833</v>
      </c>
      <c r="C209" s="197">
        <v>2009</v>
      </c>
      <c r="D209" s="225" t="str">
        <f t="shared" si="0"/>
        <v>2018_2009</v>
      </c>
      <c r="E209" s="1231">
        <v>0.246253938936914</v>
      </c>
      <c r="F209" s="1288">
        <v>1.4043890197217201E-2</v>
      </c>
      <c r="G209" s="1306">
        <v>2.3138080045185999E-2</v>
      </c>
      <c r="H209" s="1303">
        <v>4.7483481373721901</v>
      </c>
      <c r="I209" s="1288">
        <v>0.23764432256802101</v>
      </c>
      <c r="J209" s="1306">
        <v>0.58521643326402295</v>
      </c>
      <c r="K209" s="1303">
        <v>1.7067874521424501E-2</v>
      </c>
      <c r="L209" s="1288">
        <v>1.86119907002965E-4</v>
      </c>
      <c r="M209" s="1306">
        <v>1.33003923021702E-3</v>
      </c>
      <c r="N209" s="1303">
        <v>6.6063960061196704E-3</v>
      </c>
      <c r="O209" s="1288">
        <v>2.6527600844574199E-3</v>
      </c>
      <c r="P209" s="1288">
        <v>6.7161975540803998E-3</v>
      </c>
      <c r="Q209" s="1306">
        <v>8.0711738159423702E-3</v>
      </c>
      <c r="R209" s="1303">
        <v>3.7838147284363702E-2</v>
      </c>
      <c r="S209" s="1288">
        <v>3.6190859878089301E-2</v>
      </c>
      <c r="T209" s="1288">
        <v>3.8395083627506897E-2</v>
      </c>
      <c r="U209" s="1306">
        <v>1.9250005517068101E-2</v>
      </c>
      <c r="V209" s="1294">
        <v>1.7839608069711799E-2</v>
      </c>
    </row>
    <row r="210" spans="1:22" s="212" customFormat="1" ht="15.5" x14ac:dyDescent="0.35">
      <c r="A210" s="198">
        <v>2018</v>
      </c>
      <c r="B210" s="197" t="s">
        <v>5833</v>
      </c>
      <c r="C210" s="197">
        <v>2010</v>
      </c>
      <c r="D210" s="225" t="str">
        <f t="shared" si="0"/>
        <v>2018_2010</v>
      </c>
      <c r="E210" s="1231">
        <v>7.5245528220480404E-2</v>
      </c>
      <c r="F210" s="1288">
        <v>1.6957631109569798E-2</v>
      </c>
      <c r="G210" s="1306">
        <v>2.2201722897626199E-2</v>
      </c>
      <c r="H210" s="1303">
        <v>0.44048047189115602</v>
      </c>
      <c r="I210" s="1288">
        <v>0.275537883113119</v>
      </c>
      <c r="J210" s="1306">
        <v>0.66467453204515603</v>
      </c>
      <c r="K210" s="1303">
        <v>8.0779961200722096E-3</v>
      </c>
      <c r="L210" s="1288">
        <v>2.5016539684226998E-4</v>
      </c>
      <c r="M210" s="1306">
        <v>3.3125097275302098E-4</v>
      </c>
      <c r="N210" s="1303">
        <v>8.5668742527721508E-3</v>
      </c>
      <c r="O210" s="1288">
        <v>2.8076881754010101E-3</v>
      </c>
      <c r="P210" s="1288">
        <v>7.8230081785637309E-3</v>
      </c>
      <c r="Q210" s="1306">
        <v>8.9750318415881807E-3</v>
      </c>
      <c r="R210" s="1303">
        <v>3.8199903751538297E-2</v>
      </c>
      <c r="S210" s="1288">
        <v>3.72211316828642E-2</v>
      </c>
      <c r="T210" s="1288">
        <v>3.84382737485666E-2</v>
      </c>
      <c r="U210" s="1306">
        <v>1.9250005517068101E-2</v>
      </c>
      <c r="V210" s="1294">
        <v>8.4432472590449704E-3</v>
      </c>
    </row>
    <row r="211" spans="1:22" s="212" customFormat="1" ht="15.5" x14ac:dyDescent="0.35">
      <c r="A211" s="198">
        <v>2018</v>
      </c>
      <c r="B211" s="197" t="s">
        <v>5833</v>
      </c>
      <c r="C211" s="197">
        <v>2011</v>
      </c>
      <c r="D211" s="225" t="str">
        <f t="shared" si="0"/>
        <v>2018_2011</v>
      </c>
      <c r="E211" s="1231">
        <v>6.1588941901418497E-2</v>
      </c>
      <c r="F211" s="1288">
        <v>1.1904519682094199E-2</v>
      </c>
      <c r="G211" s="1306">
        <v>2.14875015722269E-2</v>
      </c>
      <c r="H211" s="1303">
        <v>0.33276011344279</v>
      </c>
      <c r="I211" s="1288">
        <v>0.20667049728645201</v>
      </c>
      <c r="J211" s="1306">
        <v>0.60163443544143702</v>
      </c>
      <c r="K211" s="1303">
        <v>6.0258535912864003E-3</v>
      </c>
      <c r="L211" s="1288">
        <v>2.6040046391392999E-4</v>
      </c>
      <c r="M211" s="1306">
        <v>5.1351718329110398E-4</v>
      </c>
      <c r="N211" s="1303">
        <v>7.1764522023886603E-3</v>
      </c>
      <c r="O211" s="1288">
        <v>2.6816399724137298E-3</v>
      </c>
      <c r="P211" s="1288">
        <v>7.2520233156464003E-3</v>
      </c>
      <c r="Q211" s="1306">
        <v>3.9325334159286901E-3</v>
      </c>
      <c r="R211" s="1303">
        <v>3.8459196478848302E-2</v>
      </c>
      <c r="S211" s="1288">
        <v>3.6382911132998699E-2</v>
      </c>
      <c r="T211" s="1288">
        <v>3.8349669284196398E-2</v>
      </c>
      <c r="U211" s="1306">
        <v>1.8983410837805199E-2</v>
      </c>
      <c r="V211" s="1294">
        <v>6.2983159513550803E-3</v>
      </c>
    </row>
    <row r="212" spans="1:22" s="212" customFormat="1" ht="15.5" x14ac:dyDescent="0.35">
      <c r="A212" s="198">
        <v>2018</v>
      </c>
      <c r="B212" s="197" t="s">
        <v>5833</v>
      </c>
      <c r="C212" s="197">
        <v>2012</v>
      </c>
      <c r="D212" s="225" t="str">
        <f t="shared" si="0"/>
        <v>2018_2012</v>
      </c>
      <c r="E212" s="1231">
        <v>7.9381998258021905E-2</v>
      </c>
      <c r="F212" s="1288">
        <v>1.100031731575E-2</v>
      </c>
      <c r="G212" s="1306">
        <v>2.3496703823989398E-2</v>
      </c>
      <c r="H212" s="1303">
        <v>0.50376375428949105</v>
      </c>
      <c r="I212" s="1288">
        <v>0.16782688742866</v>
      </c>
      <c r="J212" s="1306">
        <v>0.73084164540843799</v>
      </c>
      <c r="K212" s="1303">
        <v>6.9985003312065001E-3</v>
      </c>
      <c r="L212" s="1288">
        <v>3.6624390768576703E-4</v>
      </c>
      <c r="M212" s="1306">
        <v>2.2487071608060999E-4</v>
      </c>
      <c r="N212" s="1303">
        <v>8.6993716816578005E-3</v>
      </c>
      <c r="O212" s="1288">
        <v>2.5853262733350202E-3</v>
      </c>
      <c r="P212" s="1288">
        <v>7.9013147608426801E-3</v>
      </c>
      <c r="Q212" s="1306">
        <v>6.9818003738884599E-3</v>
      </c>
      <c r="R212" s="1303">
        <v>3.8497124056140898E-2</v>
      </c>
      <c r="S212" s="1288">
        <v>3.5742425034125301E-2</v>
      </c>
      <c r="T212" s="1288">
        <v>3.8490787656886002E-2</v>
      </c>
      <c r="U212" s="1306">
        <v>1.9233477568088599E-2</v>
      </c>
      <c r="V212" s="1294">
        <v>7.3149414607983796E-3</v>
      </c>
    </row>
    <row r="213" spans="1:22" s="212" customFormat="1" ht="15.5" x14ac:dyDescent="0.35">
      <c r="A213" s="198">
        <v>2018</v>
      </c>
      <c r="B213" s="197" t="s">
        <v>5833</v>
      </c>
      <c r="C213" s="197">
        <v>2013</v>
      </c>
      <c r="D213" s="225" t="str">
        <f t="shared" si="0"/>
        <v>2018_2013</v>
      </c>
      <c r="E213" s="1231">
        <v>7.0493141710111895E-2</v>
      </c>
      <c r="F213" s="1288">
        <v>1.29598961412726E-2</v>
      </c>
      <c r="G213" s="1306">
        <v>2.28251213373575E-2</v>
      </c>
      <c r="H213" s="1303">
        <v>0.40049794831153002</v>
      </c>
      <c r="I213" s="1288">
        <v>0.159493018970641</v>
      </c>
      <c r="J213" s="1306">
        <v>0.66929119601681997</v>
      </c>
      <c r="K213" s="1303">
        <v>7.0365102243180998E-3</v>
      </c>
      <c r="L213" s="1288">
        <v>6.53439719326991E-4</v>
      </c>
      <c r="M213" s="1306">
        <v>4.5708691068983701E-4</v>
      </c>
      <c r="N213" s="1303">
        <v>8.35684632307542E-3</v>
      </c>
      <c r="O213" s="1288">
        <v>2.5495171635989602E-3</v>
      </c>
      <c r="P213" s="1288">
        <v>7.7030773108530603E-3</v>
      </c>
      <c r="Q213" s="1306">
        <v>3.7361399446247099E-3</v>
      </c>
      <c r="R213" s="1303">
        <v>3.8495703842601099E-2</v>
      </c>
      <c r="S213" s="1288">
        <v>3.5504294454380497E-2</v>
      </c>
      <c r="T213" s="1288">
        <v>3.8345595195345202E-2</v>
      </c>
      <c r="U213" s="1306">
        <v>1.9242987255925801E-2</v>
      </c>
      <c r="V213" s="1294">
        <v>7.3546699926100804E-3</v>
      </c>
    </row>
    <row r="214" spans="1:22" s="212" customFormat="1" ht="15.5" x14ac:dyDescent="0.35">
      <c r="A214" s="198">
        <v>2018</v>
      </c>
      <c r="B214" s="197" t="s">
        <v>5833</v>
      </c>
      <c r="C214" s="197">
        <v>2014</v>
      </c>
      <c r="D214" s="225" t="str">
        <f t="shared" si="0"/>
        <v>2018_2014</v>
      </c>
      <c r="E214" s="1231">
        <v>6.7174441509353103E-2</v>
      </c>
      <c r="F214" s="1288">
        <v>8.1494711135943303E-3</v>
      </c>
      <c r="G214" s="1306">
        <v>2.7007935601206099E-2</v>
      </c>
      <c r="H214" s="1303">
        <v>0.38560916328253297</v>
      </c>
      <c r="I214" s="1288">
        <v>6.3158313104877295E-2</v>
      </c>
      <c r="J214" s="1306">
        <v>0.84119620746653201</v>
      </c>
      <c r="K214" s="1303">
        <v>6.4446208608629199E-3</v>
      </c>
      <c r="L214" s="1288">
        <v>7.2042603508420402E-4</v>
      </c>
      <c r="M214" s="1306">
        <v>4.0120189783842601E-4</v>
      </c>
      <c r="N214" s="1303">
        <v>7.7313553303971702E-3</v>
      </c>
      <c r="O214" s="1288">
        <v>2.1462101682182501E-3</v>
      </c>
      <c r="P214" s="1288">
        <v>8.5951328364420199E-3</v>
      </c>
      <c r="Q214" s="1306">
        <v>8.7505797149005499E-3</v>
      </c>
      <c r="R214" s="1303">
        <v>3.8494901407074601E-2</v>
      </c>
      <c r="S214" s="1288">
        <v>3.2822302935098802E-2</v>
      </c>
      <c r="T214" s="1288">
        <v>3.8416923516182797E-2</v>
      </c>
      <c r="U214" s="1306">
        <v>1.9234775275756299E-2</v>
      </c>
      <c r="V214" s="1294">
        <v>6.7360180186096198E-3</v>
      </c>
    </row>
    <row r="215" spans="1:22" s="212" customFormat="1" ht="15.5" x14ac:dyDescent="0.35">
      <c r="A215" s="198">
        <v>2018</v>
      </c>
      <c r="B215" s="197" t="s">
        <v>5833</v>
      </c>
      <c r="C215" s="197">
        <v>2015</v>
      </c>
      <c r="D215" s="225" t="str">
        <f t="shared" si="0"/>
        <v>2018_2015</v>
      </c>
      <c r="E215" s="1231">
        <v>6.8762134102035993E-2</v>
      </c>
      <c r="F215" s="1288">
        <v>1.05790684368707E-2</v>
      </c>
      <c r="G215" s="1306">
        <v>2.4510294582235199E-2</v>
      </c>
      <c r="H215" s="1303">
        <v>0.39453952483286397</v>
      </c>
      <c r="I215" s="1288">
        <v>0.11859503803846599</v>
      </c>
      <c r="J215" s="1306">
        <v>0.71946573335778297</v>
      </c>
      <c r="K215" s="1303">
        <v>6.6379714660501701E-3</v>
      </c>
      <c r="L215" s="1288">
        <v>9.4682077436743196E-4</v>
      </c>
      <c r="M215" s="1306">
        <v>4.9693118319297895E-4</v>
      </c>
      <c r="N215" s="1303">
        <v>7.9858054661929197E-3</v>
      </c>
      <c r="O215" s="1288">
        <v>2.5128684105097301E-3</v>
      </c>
      <c r="P215" s="1288">
        <v>7.4800654205218302E-3</v>
      </c>
      <c r="Q215" s="1306">
        <v>7.6599785432645796E-3</v>
      </c>
      <c r="R215" s="1303">
        <v>3.8484854120661403E-2</v>
      </c>
      <c r="S215" s="1288">
        <v>3.5260580246337103E-2</v>
      </c>
      <c r="T215" s="1288">
        <v>3.8240591710499101E-2</v>
      </c>
      <c r="U215" s="1306">
        <v>1.91548991613908E-2</v>
      </c>
      <c r="V215" s="1294">
        <v>6.9381110801828303E-3</v>
      </c>
    </row>
    <row r="216" spans="1:22" s="212" customFormat="1" ht="15.5" x14ac:dyDescent="0.35">
      <c r="A216" s="198">
        <v>2018</v>
      </c>
      <c r="B216" s="197" t="s">
        <v>5833</v>
      </c>
      <c r="C216" s="197">
        <v>2016</v>
      </c>
      <c r="D216" s="225" t="str">
        <f t="shared" si="0"/>
        <v>2018_2016</v>
      </c>
      <c r="E216" s="1231">
        <v>6.9384388887874099E-2</v>
      </c>
      <c r="F216" s="1288">
        <v>1.43307426454515E-2</v>
      </c>
      <c r="G216" s="1306">
        <v>2.8849418228701299E-2</v>
      </c>
      <c r="H216" s="1303">
        <v>0.388433072568795</v>
      </c>
      <c r="I216" s="1288">
        <v>0.138784953481013</v>
      </c>
      <c r="J216" s="1306">
        <v>0.73470316683978099</v>
      </c>
      <c r="K216" s="1303">
        <v>7.0162457979338899E-3</v>
      </c>
      <c r="L216" s="1288">
        <v>1.3945366671179701E-3</v>
      </c>
      <c r="M216" s="1306">
        <v>9.9625574029265805E-4</v>
      </c>
      <c r="N216" s="1303">
        <v>8.2932136725259193E-3</v>
      </c>
      <c r="O216" s="1288">
        <v>2.64288044813372E-3</v>
      </c>
      <c r="P216" s="1288">
        <v>7.6224950879276703E-3</v>
      </c>
      <c r="Q216" s="1306">
        <v>7.5029231768445103E-3</v>
      </c>
      <c r="R216" s="1303">
        <v>3.8496100724759397E-2</v>
      </c>
      <c r="S216" s="1288">
        <v>3.6125160296536701E-2</v>
      </c>
      <c r="T216" s="1288">
        <v>3.8005820503775503E-2</v>
      </c>
      <c r="U216" s="1306">
        <v>1.9242672339785001E-2</v>
      </c>
      <c r="V216" s="1294">
        <v>7.3334892987868402E-3</v>
      </c>
    </row>
    <row r="217" spans="1:22" s="212" customFormat="1" ht="15.5" x14ac:dyDescent="0.35">
      <c r="A217" s="198">
        <v>2018</v>
      </c>
      <c r="B217" s="197" t="s">
        <v>5833</v>
      </c>
      <c r="C217" s="197">
        <v>2017</v>
      </c>
      <c r="D217" s="225" t="str">
        <f t="shared" si="0"/>
        <v>2018_2017</v>
      </c>
      <c r="E217" s="1231">
        <v>6.4233877723480201E-2</v>
      </c>
      <c r="F217" s="1288">
        <v>1.23647569118814E-2</v>
      </c>
      <c r="G217" s="1306">
        <v>2.6943699216577102E-2</v>
      </c>
      <c r="H217" s="1303">
        <v>0.35298913131931398</v>
      </c>
      <c r="I217" s="1288">
        <v>9.7834356167565306E-2</v>
      </c>
      <c r="J217" s="1306">
        <v>0.54727029170312802</v>
      </c>
      <c r="K217" s="1303">
        <v>6.30684112780609E-3</v>
      </c>
      <c r="L217" s="1288">
        <v>1.2943097521616301E-3</v>
      </c>
      <c r="M217" s="1306">
        <v>1.33257772986722E-3</v>
      </c>
      <c r="N217" s="1303">
        <v>7.5639170663515396E-3</v>
      </c>
      <c r="O217" s="1288">
        <v>2.5006743816975898E-3</v>
      </c>
      <c r="P217" s="1288">
        <v>6.9050884061563596E-3</v>
      </c>
      <c r="Q217" s="1306">
        <v>7.5785722865077702E-3</v>
      </c>
      <c r="R217" s="1303">
        <v>3.84962021860112E-2</v>
      </c>
      <c r="S217" s="1288">
        <v>3.5179489954736402E-2</v>
      </c>
      <c r="T217" s="1288">
        <v>3.7189604656961403E-2</v>
      </c>
      <c r="U217" s="1306">
        <v>1.9011911411772199E-2</v>
      </c>
      <c r="V217" s="1294">
        <v>6.5920084974124696E-3</v>
      </c>
    </row>
    <row r="218" spans="1:22" s="212" customFormat="1" ht="15.5" x14ac:dyDescent="0.35">
      <c r="A218" s="198">
        <v>2018</v>
      </c>
      <c r="B218" s="197" t="s">
        <v>5833</v>
      </c>
      <c r="C218" s="197">
        <v>2018</v>
      </c>
      <c r="D218" s="225" t="str">
        <f t="shared" si="0"/>
        <v>2018_2018</v>
      </c>
      <c r="E218" s="1231">
        <v>4.7503671179346799E-2</v>
      </c>
      <c r="F218" s="1288">
        <v>1.3185763579785599E-2</v>
      </c>
      <c r="G218" s="1306">
        <v>5.3678066105320603E-2</v>
      </c>
      <c r="H218" s="1303">
        <v>0.22920992694766401</v>
      </c>
      <c r="I218" s="1288">
        <v>0.106731760601536</v>
      </c>
      <c r="J218" s="1306">
        <v>0.103957522908682</v>
      </c>
      <c r="K218" s="1303">
        <v>4.1151512223172202E-3</v>
      </c>
      <c r="L218" s="1288">
        <v>1.3518206995413199E-3</v>
      </c>
      <c r="M218" s="1306">
        <v>8.2151268789253302E-4</v>
      </c>
      <c r="N218" s="1303">
        <v>5.2325503546430197E-3</v>
      </c>
      <c r="O218" s="1288">
        <v>2.7843150542882999E-3</v>
      </c>
      <c r="P218" s="1288">
        <v>6.8649292841299796E-3</v>
      </c>
      <c r="Q218" s="1306">
        <v>5.6919236445951097E-3</v>
      </c>
      <c r="R218" s="1303">
        <v>3.8441640306739397E-2</v>
      </c>
      <c r="S218" s="1288">
        <v>3.7065700427464598E-2</v>
      </c>
      <c r="T218" s="1288">
        <v>3.7702784363914103E-2</v>
      </c>
      <c r="U218" s="1306">
        <v>1.92364096041556E-2</v>
      </c>
      <c r="V218" s="1294">
        <v>4.3012200998772997E-3</v>
      </c>
    </row>
    <row r="219" spans="1:22" s="212" customFormat="1" ht="15.5" x14ac:dyDescent="0.35">
      <c r="A219" s="198">
        <v>2018</v>
      </c>
      <c r="B219" s="197" t="s">
        <v>5833</v>
      </c>
      <c r="C219" s="197">
        <v>2019</v>
      </c>
      <c r="D219" s="225" t="str">
        <f t="shared" si="0"/>
        <v>2018_2019</v>
      </c>
      <c r="E219" s="1226">
        <v>4.7503671179346799E-2</v>
      </c>
      <c r="F219" s="1257">
        <v>1.3185763579785599E-2</v>
      </c>
      <c r="G219" s="1280">
        <v>5.3678066105320603E-2</v>
      </c>
      <c r="H219" s="1271">
        <v>0.22920992694766401</v>
      </c>
      <c r="I219" s="1257">
        <v>0.106731760601536</v>
      </c>
      <c r="J219" s="1280">
        <v>0.103957522908682</v>
      </c>
      <c r="K219" s="1271">
        <v>4.1151512223172202E-3</v>
      </c>
      <c r="L219" s="1257">
        <v>1.3518206995413199E-3</v>
      </c>
      <c r="M219" s="1280">
        <v>8.2151268789253302E-4</v>
      </c>
      <c r="N219" s="1271">
        <v>5.2325503546430197E-3</v>
      </c>
      <c r="O219" s="1257">
        <v>2.7843150542882999E-3</v>
      </c>
      <c r="P219" s="1257">
        <v>6.8649292841299796E-3</v>
      </c>
      <c r="Q219" s="1280">
        <v>5.6919236445951097E-3</v>
      </c>
      <c r="R219" s="1271">
        <v>3.8441640306739397E-2</v>
      </c>
      <c r="S219" s="1257">
        <v>3.7065700427464598E-2</v>
      </c>
      <c r="T219" s="1257">
        <v>3.7702784363914103E-2</v>
      </c>
      <c r="U219" s="1280">
        <v>1.92364096041556E-2</v>
      </c>
      <c r="V219" s="1293">
        <v>4.3012200998772997E-3</v>
      </c>
    </row>
    <row r="220" spans="1:22" s="212" customFormat="1" ht="15.5" x14ac:dyDescent="0.35">
      <c r="A220" s="198">
        <v>2019</v>
      </c>
      <c r="B220" s="197" t="s">
        <v>5833</v>
      </c>
      <c r="C220" s="197">
        <v>1971</v>
      </c>
      <c r="D220" s="225" t="str">
        <f t="shared" si="0"/>
        <v>2019_1971</v>
      </c>
      <c r="E220" s="1226">
        <v>0.12614672067906599</v>
      </c>
      <c r="F220" s="1257">
        <v>1.7705432277383599</v>
      </c>
      <c r="G220" s="1280">
        <v>0.93494870167396804</v>
      </c>
      <c r="H220" s="1271">
        <v>20.757184640656501</v>
      </c>
      <c r="I220" s="1257">
        <v>11.168182737405299</v>
      </c>
      <c r="J220" s="1280">
        <v>12.042462450950399</v>
      </c>
      <c r="K220" s="1271">
        <v>1.5650852791203401E-2</v>
      </c>
      <c r="L220" s="1257">
        <v>1.74041043643007E-3</v>
      </c>
      <c r="M220" s="1280">
        <v>2.0044061500329498E-2</v>
      </c>
      <c r="N220" s="1271">
        <v>9.0000025796537798E-3</v>
      </c>
      <c r="O220" s="1257">
        <v>3.0000008598028201E-3</v>
      </c>
      <c r="P220" s="1257">
        <v>9.0000025796537902E-3</v>
      </c>
      <c r="Q220" s="1280">
        <v>9.0000025796537798E-3</v>
      </c>
      <c r="R220" s="1271">
        <v>3.8500011034136201E-2</v>
      </c>
      <c r="S220" s="1257">
        <v>3.8500011034136201E-2</v>
      </c>
      <c r="T220" s="1257">
        <v>3.8500011034136201E-2</v>
      </c>
      <c r="U220" s="1280">
        <v>1.9250005517068101E-2</v>
      </c>
      <c r="V220" s="1293">
        <v>1.63585149047909E-2</v>
      </c>
    </row>
    <row r="221" spans="1:22" s="212" customFormat="1" ht="15.5" x14ac:dyDescent="0.35">
      <c r="A221" s="198">
        <v>2019</v>
      </c>
      <c r="B221" s="197" t="s">
        <v>5833</v>
      </c>
      <c r="C221" s="197">
        <v>1972</v>
      </c>
      <c r="D221" s="225" t="str">
        <f t="shared" si="0"/>
        <v>2019_1972</v>
      </c>
      <c r="E221" s="1226">
        <v>0.12614672067906599</v>
      </c>
      <c r="F221" s="1257">
        <v>1.7705432277383599</v>
      </c>
      <c r="G221" s="1280">
        <v>0.93494870167396804</v>
      </c>
      <c r="H221" s="1271">
        <v>20.757184640656501</v>
      </c>
      <c r="I221" s="1257">
        <v>11.168182737405299</v>
      </c>
      <c r="J221" s="1280">
        <v>12.042462450950399</v>
      </c>
      <c r="K221" s="1271">
        <v>1.5650852791203401E-2</v>
      </c>
      <c r="L221" s="1257">
        <v>1.74041043643007E-3</v>
      </c>
      <c r="M221" s="1280">
        <v>2.0044061500329498E-2</v>
      </c>
      <c r="N221" s="1271">
        <v>9.0000025796537798E-3</v>
      </c>
      <c r="O221" s="1257">
        <v>3.0000008598028201E-3</v>
      </c>
      <c r="P221" s="1257">
        <v>9.0000025796537902E-3</v>
      </c>
      <c r="Q221" s="1280">
        <v>9.0000025796537798E-3</v>
      </c>
      <c r="R221" s="1271">
        <v>3.8500011034136201E-2</v>
      </c>
      <c r="S221" s="1257">
        <v>3.8500011034136201E-2</v>
      </c>
      <c r="T221" s="1257">
        <v>3.8500011034136201E-2</v>
      </c>
      <c r="U221" s="1280">
        <v>1.9250005517068101E-2</v>
      </c>
      <c r="V221" s="1293">
        <v>1.63585149047909E-2</v>
      </c>
    </row>
    <row r="222" spans="1:22" s="212" customFormat="1" ht="15.5" x14ac:dyDescent="0.35">
      <c r="A222" s="198">
        <v>2019</v>
      </c>
      <c r="B222" s="197" t="s">
        <v>5833</v>
      </c>
      <c r="C222" s="197">
        <v>1973</v>
      </c>
      <c r="D222" s="225" t="str">
        <f t="shared" si="0"/>
        <v>2019_1973</v>
      </c>
      <c r="E222" s="1226">
        <v>0.12614672067906599</v>
      </c>
      <c r="F222" s="1257">
        <v>1.7705432277383599</v>
      </c>
      <c r="G222" s="1280">
        <v>0.93494870167396804</v>
      </c>
      <c r="H222" s="1271">
        <v>20.757184640656501</v>
      </c>
      <c r="I222" s="1257">
        <v>11.168182737405299</v>
      </c>
      <c r="J222" s="1280">
        <v>12.042462450950399</v>
      </c>
      <c r="K222" s="1271">
        <v>1.5650852791203401E-2</v>
      </c>
      <c r="L222" s="1257">
        <v>1.74041043643007E-3</v>
      </c>
      <c r="M222" s="1280">
        <v>2.0044061500329498E-2</v>
      </c>
      <c r="N222" s="1271">
        <v>9.0000025796537798E-3</v>
      </c>
      <c r="O222" s="1257">
        <v>3.0000008598028201E-3</v>
      </c>
      <c r="P222" s="1257">
        <v>9.0000025796537902E-3</v>
      </c>
      <c r="Q222" s="1280">
        <v>9.0000025796537798E-3</v>
      </c>
      <c r="R222" s="1271">
        <v>3.8500011034136201E-2</v>
      </c>
      <c r="S222" s="1257">
        <v>3.8500011034136201E-2</v>
      </c>
      <c r="T222" s="1257">
        <v>3.8500011034136201E-2</v>
      </c>
      <c r="U222" s="1280">
        <v>1.9250005517068101E-2</v>
      </c>
      <c r="V222" s="1293">
        <v>1.63585149047909E-2</v>
      </c>
    </row>
    <row r="223" spans="1:22" s="212" customFormat="1" ht="15.5" x14ac:dyDescent="0.35">
      <c r="A223" s="198">
        <v>2019</v>
      </c>
      <c r="B223" s="197" t="s">
        <v>5833</v>
      </c>
      <c r="C223" s="197">
        <v>1974</v>
      </c>
      <c r="D223" s="225" t="str">
        <f t="shared" si="0"/>
        <v>2019_1974</v>
      </c>
      <c r="E223" s="1226">
        <v>0.12614672067906599</v>
      </c>
      <c r="F223" s="1257">
        <v>1.7705432277383599</v>
      </c>
      <c r="G223" s="1280">
        <v>0.93494870167396804</v>
      </c>
      <c r="H223" s="1271">
        <v>20.757184640656501</v>
      </c>
      <c r="I223" s="1257">
        <v>11.168182737405299</v>
      </c>
      <c r="J223" s="1280">
        <v>12.042462450950399</v>
      </c>
      <c r="K223" s="1271">
        <v>1.5650852791203401E-2</v>
      </c>
      <c r="L223" s="1257">
        <v>1.74041043643007E-3</v>
      </c>
      <c r="M223" s="1280">
        <v>2.0044061500329498E-2</v>
      </c>
      <c r="N223" s="1271">
        <v>9.0000025796537798E-3</v>
      </c>
      <c r="O223" s="1257">
        <v>3.0000008598028201E-3</v>
      </c>
      <c r="P223" s="1257">
        <v>9.0000025796537902E-3</v>
      </c>
      <c r="Q223" s="1280">
        <v>9.0000025796537798E-3</v>
      </c>
      <c r="R223" s="1271">
        <v>3.8500011034136201E-2</v>
      </c>
      <c r="S223" s="1257">
        <v>3.8500011034136201E-2</v>
      </c>
      <c r="T223" s="1257">
        <v>3.8500011034136201E-2</v>
      </c>
      <c r="U223" s="1280">
        <v>1.9250005517068101E-2</v>
      </c>
      <c r="V223" s="1293">
        <v>1.63585149047909E-2</v>
      </c>
    </row>
    <row r="224" spans="1:22" s="212" customFormat="1" ht="15.5" x14ac:dyDescent="0.35">
      <c r="A224" s="198">
        <v>2019</v>
      </c>
      <c r="B224" s="197" t="s">
        <v>5833</v>
      </c>
      <c r="C224" s="197">
        <v>1975</v>
      </c>
      <c r="D224" s="225" t="str">
        <f t="shared" si="0"/>
        <v>2019_1975</v>
      </c>
      <c r="E224" s="1226">
        <v>0.12614672067906599</v>
      </c>
      <c r="F224" s="1257">
        <v>1.7705432277383599</v>
      </c>
      <c r="G224" s="1280">
        <v>0.93494870167396804</v>
      </c>
      <c r="H224" s="1271">
        <v>20.757184640656501</v>
      </c>
      <c r="I224" s="1257">
        <v>11.168182737405299</v>
      </c>
      <c r="J224" s="1280">
        <v>12.042462450950399</v>
      </c>
      <c r="K224" s="1271">
        <v>1.5650852791203401E-2</v>
      </c>
      <c r="L224" s="1257">
        <v>1.74041043643007E-3</v>
      </c>
      <c r="M224" s="1280">
        <v>2.0044061500329498E-2</v>
      </c>
      <c r="N224" s="1271">
        <v>9.0000025796537798E-3</v>
      </c>
      <c r="O224" s="1257">
        <v>3.0000008598028201E-3</v>
      </c>
      <c r="P224" s="1257">
        <v>9.0000025796537902E-3</v>
      </c>
      <c r="Q224" s="1280">
        <v>9.0000025796537798E-3</v>
      </c>
      <c r="R224" s="1271">
        <v>3.8500011034136201E-2</v>
      </c>
      <c r="S224" s="1257">
        <v>3.8500011034136201E-2</v>
      </c>
      <c r="T224" s="1257">
        <v>3.8500011034136201E-2</v>
      </c>
      <c r="U224" s="1280">
        <v>1.9250005517068101E-2</v>
      </c>
      <c r="V224" s="1293">
        <v>1.63585149047909E-2</v>
      </c>
    </row>
    <row r="225" spans="1:22" s="212" customFormat="1" ht="15.5" x14ac:dyDescent="0.35">
      <c r="A225" s="198">
        <v>2019</v>
      </c>
      <c r="B225" s="197" t="s">
        <v>5833</v>
      </c>
      <c r="C225" s="197">
        <v>1976</v>
      </c>
      <c r="D225" s="225" t="str">
        <f t="shared" si="0"/>
        <v>2019_1976</v>
      </c>
      <c r="E225" s="1226">
        <v>0.12614672067906599</v>
      </c>
      <c r="F225" s="1257">
        <v>1.7705432277383599</v>
      </c>
      <c r="G225" s="1280">
        <v>0.93494870167396804</v>
      </c>
      <c r="H225" s="1271">
        <v>20.757184640656501</v>
      </c>
      <c r="I225" s="1257">
        <v>11.168182737405299</v>
      </c>
      <c r="J225" s="1280">
        <v>12.042462450950399</v>
      </c>
      <c r="K225" s="1271">
        <v>1.5650852791203401E-2</v>
      </c>
      <c r="L225" s="1257">
        <v>1.74041043643007E-3</v>
      </c>
      <c r="M225" s="1280">
        <v>2.0044061500329498E-2</v>
      </c>
      <c r="N225" s="1271">
        <v>9.0000025796537798E-3</v>
      </c>
      <c r="O225" s="1257">
        <v>3.0000008598028201E-3</v>
      </c>
      <c r="P225" s="1257">
        <v>9.0000025796537902E-3</v>
      </c>
      <c r="Q225" s="1280">
        <v>9.0000025796537798E-3</v>
      </c>
      <c r="R225" s="1271">
        <v>3.8500011034136201E-2</v>
      </c>
      <c r="S225" s="1257">
        <v>3.8500011034136201E-2</v>
      </c>
      <c r="T225" s="1257">
        <v>3.8500011034136201E-2</v>
      </c>
      <c r="U225" s="1280">
        <v>1.9250005517068101E-2</v>
      </c>
      <c r="V225" s="1293">
        <v>1.63585149047909E-2</v>
      </c>
    </row>
    <row r="226" spans="1:22" s="212" customFormat="1" ht="15.5" x14ac:dyDescent="0.35">
      <c r="A226" s="198">
        <v>2019</v>
      </c>
      <c r="B226" s="197" t="s">
        <v>5833</v>
      </c>
      <c r="C226" s="197">
        <v>1977</v>
      </c>
      <c r="D226" s="225" t="str">
        <f t="shared" si="0"/>
        <v>2019_1977</v>
      </c>
      <c r="E226" s="1226">
        <v>0.12614672067906599</v>
      </c>
      <c r="F226" s="1257">
        <v>1.7705432277383599</v>
      </c>
      <c r="G226" s="1280">
        <v>0.93494870167396804</v>
      </c>
      <c r="H226" s="1271">
        <v>20.757184640656501</v>
      </c>
      <c r="I226" s="1257">
        <v>11.168182737405299</v>
      </c>
      <c r="J226" s="1280">
        <v>12.042462450950399</v>
      </c>
      <c r="K226" s="1271">
        <v>1.5650852791203401E-2</v>
      </c>
      <c r="L226" s="1257">
        <v>1.74041043643007E-3</v>
      </c>
      <c r="M226" s="1280">
        <v>2.0044061500329498E-2</v>
      </c>
      <c r="N226" s="1271">
        <v>9.0000025796537798E-3</v>
      </c>
      <c r="O226" s="1257">
        <v>3.0000008598028201E-3</v>
      </c>
      <c r="P226" s="1257">
        <v>9.0000025796537902E-3</v>
      </c>
      <c r="Q226" s="1280">
        <v>9.0000025796537798E-3</v>
      </c>
      <c r="R226" s="1271">
        <v>3.8500011034136201E-2</v>
      </c>
      <c r="S226" s="1257">
        <v>3.8500011034136201E-2</v>
      </c>
      <c r="T226" s="1257">
        <v>3.8500011034136201E-2</v>
      </c>
      <c r="U226" s="1280">
        <v>1.9250005517068101E-2</v>
      </c>
      <c r="V226" s="1293">
        <v>1.63585149047909E-2</v>
      </c>
    </row>
    <row r="227" spans="1:22" s="212" customFormat="1" ht="15.5" x14ac:dyDescent="0.35">
      <c r="A227" s="198">
        <v>2019</v>
      </c>
      <c r="B227" s="197" t="s">
        <v>5833</v>
      </c>
      <c r="C227" s="197">
        <v>1978</v>
      </c>
      <c r="D227" s="225" t="str">
        <f t="shared" si="0"/>
        <v>2019_1978</v>
      </c>
      <c r="E227" s="1226">
        <v>0.12614672067906599</v>
      </c>
      <c r="F227" s="1257">
        <v>1.7705432277383599</v>
      </c>
      <c r="G227" s="1280">
        <v>0.93494870167396804</v>
      </c>
      <c r="H227" s="1271">
        <v>20.757184640656501</v>
      </c>
      <c r="I227" s="1257">
        <v>11.168182737405299</v>
      </c>
      <c r="J227" s="1280">
        <v>12.042462450950399</v>
      </c>
      <c r="K227" s="1271">
        <v>1.5650852791203401E-2</v>
      </c>
      <c r="L227" s="1257">
        <v>1.74041043643007E-3</v>
      </c>
      <c r="M227" s="1280">
        <v>2.0044061500329498E-2</v>
      </c>
      <c r="N227" s="1271">
        <v>9.0000025796537798E-3</v>
      </c>
      <c r="O227" s="1257">
        <v>3.0000008598028201E-3</v>
      </c>
      <c r="P227" s="1257">
        <v>9.0000025796537902E-3</v>
      </c>
      <c r="Q227" s="1280">
        <v>9.0000025796537798E-3</v>
      </c>
      <c r="R227" s="1271">
        <v>3.8500011034136201E-2</v>
      </c>
      <c r="S227" s="1257">
        <v>3.8500011034136201E-2</v>
      </c>
      <c r="T227" s="1257">
        <v>3.8500011034136201E-2</v>
      </c>
      <c r="U227" s="1280">
        <v>1.9250005517068101E-2</v>
      </c>
      <c r="V227" s="1293">
        <v>1.63585149047909E-2</v>
      </c>
    </row>
    <row r="228" spans="1:22" s="212" customFormat="1" ht="15.5" x14ac:dyDescent="0.35">
      <c r="A228" s="198">
        <v>2019</v>
      </c>
      <c r="B228" s="197" t="s">
        <v>5833</v>
      </c>
      <c r="C228" s="197">
        <v>1979</v>
      </c>
      <c r="D228" s="225" t="str">
        <f t="shared" si="0"/>
        <v>2019_1979</v>
      </c>
      <c r="E228" s="1226">
        <v>0.12614672067906599</v>
      </c>
      <c r="F228" s="1257">
        <v>1.7705432277383599</v>
      </c>
      <c r="G228" s="1280">
        <v>0.93494870167396804</v>
      </c>
      <c r="H228" s="1271">
        <v>20.757184640656501</v>
      </c>
      <c r="I228" s="1257">
        <v>11.168182737405299</v>
      </c>
      <c r="J228" s="1280">
        <v>12.042462450950399</v>
      </c>
      <c r="K228" s="1271">
        <v>1.5650852791203401E-2</v>
      </c>
      <c r="L228" s="1257">
        <v>1.74041043643007E-3</v>
      </c>
      <c r="M228" s="1280">
        <v>2.0044061500329498E-2</v>
      </c>
      <c r="N228" s="1271">
        <v>9.0000025796537798E-3</v>
      </c>
      <c r="O228" s="1257">
        <v>3.0000008598028201E-3</v>
      </c>
      <c r="P228" s="1257">
        <v>9.0000025796537902E-3</v>
      </c>
      <c r="Q228" s="1280">
        <v>9.0000025796537798E-3</v>
      </c>
      <c r="R228" s="1271">
        <v>3.8500011034136201E-2</v>
      </c>
      <c r="S228" s="1257">
        <v>3.8500011034136201E-2</v>
      </c>
      <c r="T228" s="1257">
        <v>3.8500011034136201E-2</v>
      </c>
      <c r="U228" s="1280">
        <v>1.9250005517068101E-2</v>
      </c>
      <c r="V228" s="1293">
        <v>1.63585149047909E-2</v>
      </c>
    </row>
    <row r="229" spans="1:22" s="212" customFormat="1" ht="15.5" x14ac:dyDescent="0.35">
      <c r="A229" s="198">
        <v>2019</v>
      </c>
      <c r="B229" s="197" t="s">
        <v>5833</v>
      </c>
      <c r="C229" s="197">
        <v>1980</v>
      </c>
      <c r="D229" s="225" t="str">
        <f t="shared" si="0"/>
        <v>2019_1980</v>
      </c>
      <c r="E229" s="1226">
        <v>0.12614672067906599</v>
      </c>
      <c r="F229" s="1257">
        <v>1.7705432277383599</v>
      </c>
      <c r="G229" s="1280">
        <v>0.93494870167396804</v>
      </c>
      <c r="H229" s="1271">
        <v>20.757184640656501</v>
      </c>
      <c r="I229" s="1257">
        <v>11.168182737405299</v>
      </c>
      <c r="J229" s="1280">
        <v>12.042462450950399</v>
      </c>
      <c r="K229" s="1271">
        <v>1.5650852791203401E-2</v>
      </c>
      <c r="L229" s="1257">
        <v>1.74041043643007E-3</v>
      </c>
      <c r="M229" s="1280">
        <v>2.0044061500329498E-2</v>
      </c>
      <c r="N229" s="1271">
        <v>9.0000025796537798E-3</v>
      </c>
      <c r="O229" s="1257">
        <v>3.0000008598028201E-3</v>
      </c>
      <c r="P229" s="1257">
        <v>9.0000025796537902E-3</v>
      </c>
      <c r="Q229" s="1280">
        <v>9.0000025796537798E-3</v>
      </c>
      <c r="R229" s="1271">
        <v>3.8500011034136201E-2</v>
      </c>
      <c r="S229" s="1257">
        <v>3.8500011034136201E-2</v>
      </c>
      <c r="T229" s="1257">
        <v>3.8500011034136201E-2</v>
      </c>
      <c r="U229" s="1280">
        <v>1.9250005517068101E-2</v>
      </c>
      <c r="V229" s="1293">
        <v>1.63585149047909E-2</v>
      </c>
    </row>
    <row r="230" spans="1:22" s="212" customFormat="1" ht="15.5" x14ac:dyDescent="0.35">
      <c r="A230" s="198">
        <v>2019</v>
      </c>
      <c r="B230" s="197" t="s">
        <v>5833</v>
      </c>
      <c r="C230" s="197">
        <v>1981</v>
      </c>
      <c r="D230" s="225" t="str">
        <f t="shared" si="0"/>
        <v>2019_1981</v>
      </c>
      <c r="E230" s="1226">
        <v>0.12614672067906599</v>
      </c>
      <c r="F230" s="1257">
        <v>1.7705432277383599</v>
      </c>
      <c r="G230" s="1280">
        <v>0.93494870167396804</v>
      </c>
      <c r="H230" s="1271">
        <v>20.757184640656501</v>
      </c>
      <c r="I230" s="1257">
        <v>11.168182737405299</v>
      </c>
      <c r="J230" s="1280">
        <v>12.042462450950399</v>
      </c>
      <c r="K230" s="1271">
        <v>1.5650852791203401E-2</v>
      </c>
      <c r="L230" s="1257">
        <v>1.74041043643007E-3</v>
      </c>
      <c r="M230" s="1280">
        <v>2.0044061500329498E-2</v>
      </c>
      <c r="N230" s="1271">
        <v>9.0000025796537798E-3</v>
      </c>
      <c r="O230" s="1257">
        <v>3.0000008598028201E-3</v>
      </c>
      <c r="P230" s="1257">
        <v>9.0000025796537902E-3</v>
      </c>
      <c r="Q230" s="1280">
        <v>9.0000025796537798E-3</v>
      </c>
      <c r="R230" s="1271">
        <v>3.8500011034136201E-2</v>
      </c>
      <c r="S230" s="1257">
        <v>3.8500011034136201E-2</v>
      </c>
      <c r="T230" s="1257">
        <v>3.8500011034136201E-2</v>
      </c>
      <c r="U230" s="1280">
        <v>1.9250005517068101E-2</v>
      </c>
      <c r="V230" s="1293">
        <v>1.63585149047909E-2</v>
      </c>
    </row>
    <row r="231" spans="1:22" s="212" customFormat="1" ht="15.5" x14ac:dyDescent="0.35">
      <c r="A231" s="198">
        <v>2019</v>
      </c>
      <c r="B231" s="197" t="s">
        <v>5833</v>
      </c>
      <c r="C231" s="197">
        <v>1982</v>
      </c>
      <c r="D231" s="225" t="str">
        <f t="shared" si="0"/>
        <v>2019_1982</v>
      </c>
      <c r="E231" s="1226">
        <v>0.12614672067906599</v>
      </c>
      <c r="F231" s="1257">
        <v>1.7705432277383599</v>
      </c>
      <c r="G231" s="1280">
        <v>0.93494870167396804</v>
      </c>
      <c r="H231" s="1271">
        <v>20.757184640656501</v>
      </c>
      <c r="I231" s="1257">
        <v>11.168182737405299</v>
      </c>
      <c r="J231" s="1280">
        <v>12.042462450950399</v>
      </c>
      <c r="K231" s="1271">
        <v>1.5650852791203401E-2</v>
      </c>
      <c r="L231" s="1257">
        <v>1.74041043643007E-3</v>
      </c>
      <c r="M231" s="1280">
        <v>2.0044061500329498E-2</v>
      </c>
      <c r="N231" s="1271">
        <v>9.0000025796537798E-3</v>
      </c>
      <c r="O231" s="1257">
        <v>3.0000008598028201E-3</v>
      </c>
      <c r="P231" s="1257">
        <v>9.0000025796537902E-3</v>
      </c>
      <c r="Q231" s="1280">
        <v>9.0000025796537798E-3</v>
      </c>
      <c r="R231" s="1271">
        <v>3.8500011034136201E-2</v>
      </c>
      <c r="S231" s="1257">
        <v>3.8500011034136201E-2</v>
      </c>
      <c r="T231" s="1257">
        <v>3.8500011034136201E-2</v>
      </c>
      <c r="U231" s="1280">
        <v>1.9250005517068101E-2</v>
      </c>
      <c r="V231" s="1293">
        <v>1.63585149047909E-2</v>
      </c>
    </row>
    <row r="232" spans="1:22" s="212" customFormat="1" ht="15.5" x14ac:dyDescent="0.35">
      <c r="A232" s="198">
        <v>2019</v>
      </c>
      <c r="B232" s="197" t="s">
        <v>5833</v>
      </c>
      <c r="C232" s="197">
        <v>1983</v>
      </c>
      <c r="D232" s="225" t="str">
        <f t="shared" si="0"/>
        <v>2019_1983</v>
      </c>
      <c r="E232" s="1226">
        <v>0.12614672067906599</v>
      </c>
      <c r="F232" s="1257">
        <v>1.7705432277383599</v>
      </c>
      <c r="G232" s="1280">
        <v>0.93494870167396804</v>
      </c>
      <c r="H232" s="1271">
        <v>20.757184640656501</v>
      </c>
      <c r="I232" s="1257">
        <v>11.168182737405299</v>
      </c>
      <c r="J232" s="1280">
        <v>12.042462450950399</v>
      </c>
      <c r="K232" s="1271">
        <v>1.5650852791203401E-2</v>
      </c>
      <c r="L232" s="1257">
        <v>1.74041043643007E-3</v>
      </c>
      <c r="M232" s="1280">
        <v>2.0044061500329498E-2</v>
      </c>
      <c r="N232" s="1271">
        <v>9.0000025796537798E-3</v>
      </c>
      <c r="O232" s="1257">
        <v>3.0000008598028201E-3</v>
      </c>
      <c r="P232" s="1257">
        <v>9.0000025796537902E-3</v>
      </c>
      <c r="Q232" s="1280">
        <v>9.0000025796537798E-3</v>
      </c>
      <c r="R232" s="1271">
        <v>3.8500011034136201E-2</v>
      </c>
      <c r="S232" s="1257">
        <v>3.8500011034136201E-2</v>
      </c>
      <c r="T232" s="1257">
        <v>3.8500011034136201E-2</v>
      </c>
      <c r="U232" s="1280">
        <v>1.9250005517068101E-2</v>
      </c>
      <c r="V232" s="1293">
        <v>1.63585149047909E-2</v>
      </c>
    </row>
    <row r="233" spans="1:22" s="212" customFormat="1" ht="15.5" x14ac:dyDescent="0.35">
      <c r="A233" s="198">
        <v>2019</v>
      </c>
      <c r="B233" s="197" t="s">
        <v>5833</v>
      </c>
      <c r="C233" s="197">
        <v>1984</v>
      </c>
      <c r="D233" s="225" t="str">
        <f t="shared" si="0"/>
        <v>2019_1984</v>
      </c>
      <c r="E233" s="1226">
        <v>0.12614672067906599</v>
      </c>
      <c r="F233" s="1257">
        <v>1.7705432277383599</v>
      </c>
      <c r="G233" s="1280">
        <v>0.93494870167396804</v>
      </c>
      <c r="H233" s="1271">
        <v>20.757184640656501</v>
      </c>
      <c r="I233" s="1257">
        <v>11.168182737405299</v>
      </c>
      <c r="J233" s="1280">
        <v>12.042462450950399</v>
      </c>
      <c r="K233" s="1271">
        <v>1.5650852791203401E-2</v>
      </c>
      <c r="L233" s="1257">
        <v>1.74041043643007E-3</v>
      </c>
      <c r="M233" s="1280">
        <v>2.0044061500329498E-2</v>
      </c>
      <c r="N233" s="1271">
        <v>9.0000025796537798E-3</v>
      </c>
      <c r="O233" s="1257">
        <v>3.0000008598028201E-3</v>
      </c>
      <c r="P233" s="1257">
        <v>9.0000025796537902E-3</v>
      </c>
      <c r="Q233" s="1280">
        <v>9.0000025796537798E-3</v>
      </c>
      <c r="R233" s="1271">
        <v>3.8500011034136201E-2</v>
      </c>
      <c r="S233" s="1257">
        <v>3.8500011034136201E-2</v>
      </c>
      <c r="T233" s="1257">
        <v>3.8500011034136201E-2</v>
      </c>
      <c r="U233" s="1280">
        <v>1.9250005517068101E-2</v>
      </c>
      <c r="V233" s="1293">
        <v>1.63585149047909E-2</v>
      </c>
    </row>
    <row r="234" spans="1:22" s="212" customFormat="1" ht="15.5" x14ac:dyDescent="0.35">
      <c r="A234" s="198">
        <v>2019</v>
      </c>
      <c r="B234" s="197" t="s">
        <v>5833</v>
      </c>
      <c r="C234" s="197">
        <v>1985</v>
      </c>
      <c r="D234" s="225" t="str">
        <f t="shared" si="0"/>
        <v>2019_1985</v>
      </c>
      <c r="E234" s="1226">
        <v>0.12614672067906599</v>
      </c>
      <c r="F234" s="1257">
        <v>1.7705432277383599</v>
      </c>
      <c r="G234" s="1280">
        <v>0.93494870167396804</v>
      </c>
      <c r="H234" s="1271">
        <v>20.757184640656501</v>
      </c>
      <c r="I234" s="1257">
        <v>11.168182737405299</v>
      </c>
      <c r="J234" s="1280">
        <v>12.042462450950399</v>
      </c>
      <c r="K234" s="1271">
        <v>1.5650852791203401E-2</v>
      </c>
      <c r="L234" s="1257">
        <v>1.74041043643007E-3</v>
      </c>
      <c r="M234" s="1280">
        <v>2.0044061500329498E-2</v>
      </c>
      <c r="N234" s="1271">
        <v>9.0000025796537798E-3</v>
      </c>
      <c r="O234" s="1257">
        <v>3.0000008598028201E-3</v>
      </c>
      <c r="P234" s="1257">
        <v>9.0000025796537902E-3</v>
      </c>
      <c r="Q234" s="1280">
        <v>9.0000025796537798E-3</v>
      </c>
      <c r="R234" s="1271">
        <v>3.8500011034136201E-2</v>
      </c>
      <c r="S234" s="1257">
        <v>3.8500011034136201E-2</v>
      </c>
      <c r="T234" s="1257">
        <v>3.8500011034136201E-2</v>
      </c>
      <c r="U234" s="1280">
        <v>1.9250005517068101E-2</v>
      </c>
      <c r="V234" s="1293">
        <v>1.63585149047909E-2</v>
      </c>
    </row>
    <row r="235" spans="1:22" s="212" customFormat="1" ht="15.5" x14ac:dyDescent="0.35">
      <c r="A235" s="198">
        <v>2019</v>
      </c>
      <c r="B235" s="197" t="s">
        <v>5833</v>
      </c>
      <c r="C235" s="197">
        <v>1986</v>
      </c>
      <c r="D235" s="225" t="str">
        <f t="shared" si="0"/>
        <v>2019_1986</v>
      </c>
      <c r="E235" s="1226">
        <v>0.12614672067906599</v>
      </c>
      <c r="F235" s="1257">
        <v>1.7705432277383599</v>
      </c>
      <c r="G235" s="1280">
        <v>0.93494870167396804</v>
      </c>
      <c r="H235" s="1271">
        <v>20.757184640656501</v>
      </c>
      <c r="I235" s="1257">
        <v>11.168182737405299</v>
      </c>
      <c r="J235" s="1280">
        <v>12.042462450950399</v>
      </c>
      <c r="K235" s="1271">
        <v>1.5650852791203401E-2</v>
      </c>
      <c r="L235" s="1257">
        <v>1.74041043643007E-3</v>
      </c>
      <c r="M235" s="1280">
        <v>2.0044061500329498E-2</v>
      </c>
      <c r="N235" s="1271">
        <v>9.0000025796537798E-3</v>
      </c>
      <c r="O235" s="1257">
        <v>3.0000008598028201E-3</v>
      </c>
      <c r="P235" s="1257">
        <v>9.0000025796537902E-3</v>
      </c>
      <c r="Q235" s="1280">
        <v>9.0000025796537798E-3</v>
      </c>
      <c r="R235" s="1271">
        <v>3.8500011034136201E-2</v>
      </c>
      <c r="S235" s="1257">
        <v>3.8500011034136201E-2</v>
      </c>
      <c r="T235" s="1257">
        <v>3.8500011034136201E-2</v>
      </c>
      <c r="U235" s="1280">
        <v>1.9250005517068101E-2</v>
      </c>
      <c r="V235" s="1293">
        <v>1.63585149047909E-2</v>
      </c>
    </row>
    <row r="236" spans="1:22" s="212" customFormat="1" ht="15.5" x14ac:dyDescent="0.35">
      <c r="A236" s="198">
        <v>2019</v>
      </c>
      <c r="B236" s="197" t="s">
        <v>5833</v>
      </c>
      <c r="C236" s="197">
        <v>1987</v>
      </c>
      <c r="D236" s="225" t="str">
        <f t="shared" si="0"/>
        <v>2019_1987</v>
      </c>
      <c r="E236" s="1226">
        <v>0.12614672067906599</v>
      </c>
      <c r="F236" s="1257">
        <v>1.7705432277383599</v>
      </c>
      <c r="G236" s="1280">
        <v>0.93494870167396804</v>
      </c>
      <c r="H236" s="1271">
        <v>20.757184640656501</v>
      </c>
      <c r="I236" s="1257">
        <v>11.168182737405299</v>
      </c>
      <c r="J236" s="1280">
        <v>12.042462450950399</v>
      </c>
      <c r="K236" s="1271">
        <v>1.5650852791203401E-2</v>
      </c>
      <c r="L236" s="1257">
        <v>1.74041043643007E-3</v>
      </c>
      <c r="M236" s="1280">
        <v>2.0044061500329498E-2</v>
      </c>
      <c r="N236" s="1271">
        <v>9.0000025796537798E-3</v>
      </c>
      <c r="O236" s="1257">
        <v>3.0000008598028201E-3</v>
      </c>
      <c r="P236" s="1257">
        <v>9.0000025796537902E-3</v>
      </c>
      <c r="Q236" s="1280">
        <v>9.0000025796537798E-3</v>
      </c>
      <c r="R236" s="1271">
        <v>3.8500011034136201E-2</v>
      </c>
      <c r="S236" s="1257">
        <v>3.8500011034136201E-2</v>
      </c>
      <c r="T236" s="1257">
        <v>3.8500011034136201E-2</v>
      </c>
      <c r="U236" s="1280">
        <v>1.9250005517068101E-2</v>
      </c>
      <c r="V236" s="1293">
        <v>1.63585149047909E-2</v>
      </c>
    </row>
    <row r="237" spans="1:22" s="212" customFormat="1" ht="15.5" x14ac:dyDescent="0.35">
      <c r="A237" s="198">
        <v>2019</v>
      </c>
      <c r="B237" s="197" t="s">
        <v>5833</v>
      </c>
      <c r="C237" s="197">
        <v>1988</v>
      </c>
      <c r="D237" s="225" t="str">
        <f>CONCATENATE(A237,"_",C237)</f>
        <v>2019_1988</v>
      </c>
      <c r="E237" s="1226">
        <v>0.12614672067906599</v>
      </c>
      <c r="F237" s="1257">
        <v>1.7705432277383599</v>
      </c>
      <c r="G237" s="1280">
        <v>0.93494870167396804</v>
      </c>
      <c r="H237" s="1271">
        <v>20.757184640656501</v>
      </c>
      <c r="I237" s="1257">
        <v>11.168182737405299</v>
      </c>
      <c r="J237" s="1280">
        <v>12.042462450950399</v>
      </c>
      <c r="K237" s="1271">
        <v>1.5650852791203401E-2</v>
      </c>
      <c r="L237" s="1257">
        <v>1.74041043643007E-3</v>
      </c>
      <c r="M237" s="1280">
        <v>2.0044061500329498E-2</v>
      </c>
      <c r="N237" s="1271">
        <v>9.0000025796537798E-3</v>
      </c>
      <c r="O237" s="1257">
        <v>3.0000008598028201E-3</v>
      </c>
      <c r="P237" s="1257">
        <v>9.0000025796537902E-3</v>
      </c>
      <c r="Q237" s="1280">
        <v>9.0000025796537798E-3</v>
      </c>
      <c r="R237" s="1271">
        <v>3.8500011034136201E-2</v>
      </c>
      <c r="S237" s="1257">
        <v>3.8500011034136201E-2</v>
      </c>
      <c r="T237" s="1257">
        <v>3.8500011034136201E-2</v>
      </c>
      <c r="U237" s="1280">
        <v>1.9250005517068101E-2</v>
      </c>
      <c r="V237" s="1293">
        <v>1.63585149047909E-2</v>
      </c>
    </row>
    <row r="238" spans="1:22" s="212" customFormat="1" ht="15.5" x14ac:dyDescent="0.35">
      <c r="A238" s="198">
        <v>2019</v>
      </c>
      <c r="B238" s="197" t="s">
        <v>5833</v>
      </c>
      <c r="C238" s="197">
        <v>1989</v>
      </c>
      <c r="D238" s="225" t="str">
        <f>CONCATENATE(A238,"_",C238)</f>
        <v>2019_1989</v>
      </c>
      <c r="E238" s="1226">
        <v>0.12614672067906599</v>
      </c>
      <c r="F238" s="1257">
        <v>1.7705432277383599</v>
      </c>
      <c r="G238" s="1280">
        <v>0.93494870167396804</v>
      </c>
      <c r="H238" s="1271">
        <v>20.757184640656501</v>
      </c>
      <c r="I238" s="1257">
        <v>11.168182737405299</v>
      </c>
      <c r="J238" s="1280">
        <v>12.042462450950399</v>
      </c>
      <c r="K238" s="1271">
        <v>1.5650852791203401E-2</v>
      </c>
      <c r="L238" s="1257">
        <v>1.74041043643007E-3</v>
      </c>
      <c r="M238" s="1280">
        <v>2.0044061500329498E-2</v>
      </c>
      <c r="N238" s="1271">
        <v>9.0000025796537798E-3</v>
      </c>
      <c r="O238" s="1257">
        <v>3.0000008598028201E-3</v>
      </c>
      <c r="P238" s="1257">
        <v>9.0000025796537902E-3</v>
      </c>
      <c r="Q238" s="1280">
        <v>9.0000025796537798E-3</v>
      </c>
      <c r="R238" s="1271">
        <v>3.8500011034136201E-2</v>
      </c>
      <c r="S238" s="1257">
        <v>3.8500011034136201E-2</v>
      </c>
      <c r="T238" s="1257">
        <v>3.8500011034136201E-2</v>
      </c>
      <c r="U238" s="1280">
        <v>1.9250005517068101E-2</v>
      </c>
      <c r="V238" s="1293">
        <v>1.63585149047909E-2</v>
      </c>
    </row>
    <row r="239" spans="1:22" s="212" customFormat="1" ht="15.5" x14ac:dyDescent="0.35">
      <c r="A239" s="240">
        <v>2019</v>
      </c>
      <c r="B239" s="241" t="s">
        <v>5833</v>
      </c>
      <c r="C239" s="241">
        <v>1990</v>
      </c>
      <c r="D239" s="229" t="str">
        <f t="shared" si="0"/>
        <v>2019_1990</v>
      </c>
      <c r="E239" s="1226">
        <v>0.12614672067906599</v>
      </c>
      <c r="F239" s="1257">
        <v>1.7705432277383599</v>
      </c>
      <c r="G239" s="1280">
        <v>0.93494870167396804</v>
      </c>
      <c r="H239" s="1271">
        <v>20.757184640656501</v>
      </c>
      <c r="I239" s="1257">
        <v>11.168182737405299</v>
      </c>
      <c r="J239" s="1280">
        <v>12.042462450950399</v>
      </c>
      <c r="K239" s="1271">
        <v>1.5650852791203401E-2</v>
      </c>
      <c r="L239" s="1257">
        <v>1.74041043643007E-3</v>
      </c>
      <c r="M239" s="1280">
        <v>2.0044061500329498E-2</v>
      </c>
      <c r="N239" s="1271">
        <v>9.0000025796537798E-3</v>
      </c>
      <c r="O239" s="1257">
        <v>3.0000008598028201E-3</v>
      </c>
      <c r="P239" s="1257">
        <v>9.0000025796537902E-3</v>
      </c>
      <c r="Q239" s="1280">
        <v>9.0000025796537798E-3</v>
      </c>
      <c r="R239" s="1271">
        <v>3.8500011034136201E-2</v>
      </c>
      <c r="S239" s="1257">
        <v>3.8500011034136201E-2</v>
      </c>
      <c r="T239" s="1257">
        <v>3.8500011034136201E-2</v>
      </c>
      <c r="U239" s="1280">
        <v>1.9250005517068101E-2</v>
      </c>
      <c r="V239" s="1293">
        <v>1.63585149047909E-2</v>
      </c>
    </row>
    <row r="240" spans="1:22" s="212" customFormat="1" ht="15.5" x14ac:dyDescent="0.35">
      <c r="A240" s="240">
        <v>2019</v>
      </c>
      <c r="B240" s="241" t="s">
        <v>5833</v>
      </c>
      <c r="C240" s="241">
        <v>1991</v>
      </c>
      <c r="D240" s="229" t="str">
        <f t="shared" si="0"/>
        <v>2019_1991</v>
      </c>
      <c r="E240" s="1226">
        <v>0.12614672067906599</v>
      </c>
      <c r="F240" s="1257">
        <v>1.7705432277383599</v>
      </c>
      <c r="G240" s="1280">
        <v>0.93494870167396804</v>
      </c>
      <c r="H240" s="1271">
        <v>20.757184640656501</v>
      </c>
      <c r="I240" s="1257">
        <v>11.168182737405299</v>
      </c>
      <c r="J240" s="1280">
        <v>12.042462450950399</v>
      </c>
      <c r="K240" s="1271">
        <v>1.5650852791203401E-2</v>
      </c>
      <c r="L240" s="1257">
        <v>1.74041043643007E-3</v>
      </c>
      <c r="M240" s="1280">
        <v>2.0044061500329498E-2</v>
      </c>
      <c r="N240" s="1271">
        <v>9.0000025796537798E-3</v>
      </c>
      <c r="O240" s="1257">
        <v>3.0000008598028201E-3</v>
      </c>
      <c r="P240" s="1257">
        <v>9.0000025796537902E-3</v>
      </c>
      <c r="Q240" s="1280">
        <v>9.0000025796537798E-3</v>
      </c>
      <c r="R240" s="1271">
        <v>3.8500011034136201E-2</v>
      </c>
      <c r="S240" s="1257">
        <v>3.8500011034136201E-2</v>
      </c>
      <c r="T240" s="1257">
        <v>3.8500011034136201E-2</v>
      </c>
      <c r="U240" s="1280">
        <v>1.9250005517068101E-2</v>
      </c>
      <c r="V240" s="1293">
        <v>1.63585149047909E-2</v>
      </c>
    </row>
    <row r="241" spans="1:22" s="212" customFormat="1" ht="15.5" x14ac:dyDescent="0.35">
      <c r="A241" s="240">
        <v>2019</v>
      </c>
      <c r="B241" s="241" t="s">
        <v>5833</v>
      </c>
      <c r="C241" s="241">
        <v>1992</v>
      </c>
      <c r="D241" s="229" t="str">
        <f t="shared" si="0"/>
        <v>2019_1992</v>
      </c>
      <c r="E241" s="1226">
        <v>0.12614672067906599</v>
      </c>
      <c r="F241" s="1257">
        <v>1.7705432277383599</v>
      </c>
      <c r="G241" s="1280">
        <v>0.93494870167396804</v>
      </c>
      <c r="H241" s="1271">
        <v>20.757184640656501</v>
      </c>
      <c r="I241" s="1257">
        <v>11.168182737405299</v>
      </c>
      <c r="J241" s="1280">
        <v>12.042462450950399</v>
      </c>
      <c r="K241" s="1271">
        <v>1.5650852791203401E-2</v>
      </c>
      <c r="L241" s="1257">
        <v>1.74041043643007E-3</v>
      </c>
      <c r="M241" s="1280">
        <v>2.0044061500329498E-2</v>
      </c>
      <c r="N241" s="1271">
        <v>9.0000025796537798E-3</v>
      </c>
      <c r="O241" s="1257">
        <v>3.0000008598028201E-3</v>
      </c>
      <c r="P241" s="1257">
        <v>9.0000025796537902E-3</v>
      </c>
      <c r="Q241" s="1280">
        <v>9.0000025796537798E-3</v>
      </c>
      <c r="R241" s="1271">
        <v>3.8500011034136201E-2</v>
      </c>
      <c r="S241" s="1257">
        <v>3.8500011034136201E-2</v>
      </c>
      <c r="T241" s="1257">
        <v>3.8500011034136201E-2</v>
      </c>
      <c r="U241" s="1280">
        <v>1.9250005517068101E-2</v>
      </c>
      <c r="V241" s="1293">
        <v>1.63585149047909E-2</v>
      </c>
    </row>
    <row r="242" spans="1:22" s="212" customFormat="1" ht="15.5" x14ac:dyDescent="0.35">
      <c r="A242" s="240">
        <v>2019</v>
      </c>
      <c r="B242" s="241" t="s">
        <v>5833</v>
      </c>
      <c r="C242" s="241">
        <v>1993</v>
      </c>
      <c r="D242" s="229" t="str">
        <f t="shared" si="0"/>
        <v>2019_1993</v>
      </c>
      <c r="E242" s="1226">
        <v>0.12614672067906599</v>
      </c>
      <c r="F242" s="1257">
        <v>1.7705432277383599</v>
      </c>
      <c r="G242" s="1280">
        <v>0.93494870167396804</v>
      </c>
      <c r="H242" s="1271">
        <v>20.757184640656501</v>
      </c>
      <c r="I242" s="1257">
        <v>11.168182737405299</v>
      </c>
      <c r="J242" s="1280">
        <v>12.042462450950399</v>
      </c>
      <c r="K242" s="1271">
        <v>1.5650852791203401E-2</v>
      </c>
      <c r="L242" s="1257">
        <v>1.74041043643007E-3</v>
      </c>
      <c r="M242" s="1280">
        <v>2.0044061500329498E-2</v>
      </c>
      <c r="N242" s="1271">
        <v>9.0000025796537798E-3</v>
      </c>
      <c r="O242" s="1257">
        <v>3.0000008598028201E-3</v>
      </c>
      <c r="P242" s="1257">
        <v>9.0000025796537902E-3</v>
      </c>
      <c r="Q242" s="1280">
        <v>9.0000025796537798E-3</v>
      </c>
      <c r="R242" s="1271">
        <v>3.8500011034136201E-2</v>
      </c>
      <c r="S242" s="1257">
        <v>3.8500011034136201E-2</v>
      </c>
      <c r="T242" s="1257">
        <v>3.8500011034136201E-2</v>
      </c>
      <c r="U242" s="1280">
        <v>1.9250005517068101E-2</v>
      </c>
      <c r="V242" s="1293">
        <v>1.63585149047909E-2</v>
      </c>
    </row>
    <row r="243" spans="1:22" s="212" customFormat="1" ht="15.5" x14ac:dyDescent="0.35">
      <c r="A243" s="240">
        <v>2019</v>
      </c>
      <c r="B243" s="241" t="s">
        <v>5833</v>
      </c>
      <c r="C243" s="241">
        <v>1994</v>
      </c>
      <c r="D243" s="229" t="str">
        <f t="shared" si="0"/>
        <v>2019_1994</v>
      </c>
      <c r="E243" s="1226">
        <v>0.12614672067906599</v>
      </c>
      <c r="F243" s="1257">
        <v>1.7705432277383599</v>
      </c>
      <c r="G243" s="1280">
        <v>0.93494870167396804</v>
      </c>
      <c r="H243" s="1271">
        <v>20.757184640656501</v>
      </c>
      <c r="I243" s="1257">
        <v>11.168182737405299</v>
      </c>
      <c r="J243" s="1280">
        <v>12.042462450950399</v>
      </c>
      <c r="K243" s="1271">
        <v>1.5650852791203401E-2</v>
      </c>
      <c r="L243" s="1257">
        <v>1.74041043643007E-3</v>
      </c>
      <c r="M243" s="1280">
        <v>2.0044061500329498E-2</v>
      </c>
      <c r="N243" s="1271">
        <v>9.0000025796537798E-3</v>
      </c>
      <c r="O243" s="1257">
        <v>3.0000008598028201E-3</v>
      </c>
      <c r="P243" s="1257">
        <v>9.0000025796537902E-3</v>
      </c>
      <c r="Q243" s="1280">
        <v>9.0000025796537798E-3</v>
      </c>
      <c r="R243" s="1271">
        <v>3.8500011034136201E-2</v>
      </c>
      <c r="S243" s="1257">
        <v>3.8500011034136201E-2</v>
      </c>
      <c r="T243" s="1257">
        <v>3.8500011034136201E-2</v>
      </c>
      <c r="U243" s="1280">
        <v>1.9250005517068101E-2</v>
      </c>
      <c r="V243" s="1293">
        <v>1.63585149047909E-2</v>
      </c>
    </row>
    <row r="244" spans="1:22" s="212" customFormat="1" ht="15.5" x14ac:dyDescent="0.35">
      <c r="A244" s="240">
        <v>2019</v>
      </c>
      <c r="B244" s="241" t="s">
        <v>5833</v>
      </c>
      <c r="C244" s="241">
        <v>1995</v>
      </c>
      <c r="D244" s="229" t="str">
        <f t="shared" si="0"/>
        <v>2019_1995</v>
      </c>
      <c r="E244" s="1226">
        <v>0.12614672067906599</v>
      </c>
      <c r="F244" s="1257">
        <v>1.7705432277383599</v>
      </c>
      <c r="G244" s="1280">
        <v>0.93494870167396804</v>
      </c>
      <c r="H244" s="1271">
        <v>20.757184640656501</v>
      </c>
      <c r="I244" s="1257">
        <v>11.168182737405299</v>
      </c>
      <c r="J244" s="1280">
        <v>12.042462450950399</v>
      </c>
      <c r="K244" s="1271">
        <v>1.5650852791203401E-2</v>
      </c>
      <c r="L244" s="1257">
        <v>1.74041043643007E-3</v>
      </c>
      <c r="M244" s="1280">
        <v>2.0044061500329498E-2</v>
      </c>
      <c r="N244" s="1271">
        <v>9.0000025796537798E-3</v>
      </c>
      <c r="O244" s="1257">
        <v>3.0000008598028201E-3</v>
      </c>
      <c r="P244" s="1257">
        <v>9.0000025796537902E-3</v>
      </c>
      <c r="Q244" s="1280">
        <v>9.0000025796537798E-3</v>
      </c>
      <c r="R244" s="1271">
        <v>3.8500011034136201E-2</v>
      </c>
      <c r="S244" s="1257">
        <v>3.8500011034136201E-2</v>
      </c>
      <c r="T244" s="1257">
        <v>3.8500011034136201E-2</v>
      </c>
      <c r="U244" s="1280">
        <v>1.9250005517068101E-2</v>
      </c>
      <c r="V244" s="1293">
        <v>1.63585149047909E-2</v>
      </c>
    </row>
    <row r="245" spans="1:22" s="212" customFormat="1" ht="15.5" x14ac:dyDescent="0.35">
      <c r="A245" s="240">
        <v>2019</v>
      </c>
      <c r="B245" s="241" t="s">
        <v>5833</v>
      </c>
      <c r="C245" s="241">
        <v>1996</v>
      </c>
      <c r="D245" s="229" t="str">
        <f t="shared" si="0"/>
        <v>2019_1996</v>
      </c>
      <c r="E245" s="1231">
        <v>0.12614672067906599</v>
      </c>
      <c r="F245" s="1257">
        <v>1.7705432277383599</v>
      </c>
      <c r="G245" s="1306">
        <v>0.93494870167396804</v>
      </c>
      <c r="H245" s="1303">
        <v>20.757184640656501</v>
      </c>
      <c r="I245" s="1257">
        <v>11.168182737405299</v>
      </c>
      <c r="J245" s="1306">
        <v>12.042462450950399</v>
      </c>
      <c r="K245" s="1303">
        <v>1.5650852791203401E-2</v>
      </c>
      <c r="L245" s="1257">
        <v>1.74041043643007E-3</v>
      </c>
      <c r="M245" s="1306">
        <v>2.0044061500329498E-2</v>
      </c>
      <c r="N245" s="1303">
        <v>9.0000025796537798E-3</v>
      </c>
      <c r="O245" s="1257">
        <v>3.0000008598028201E-3</v>
      </c>
      <c r="P245" s="1288">
        <v>9.0000025796537902E-3</v>
      </c>
      <c r="Q245" s="1280">
        <v>9.0000025796537798E-3</v>
      </c>
      <c r="R245" s="1303">
        <v>3.8500011034136201E-2</v>
      </c>
      <c r="S245" s="1257">
        <v>3.8500011034136201E-2</v>
      </c>
      <c r="T245" s="1288">
        <v>3.8500011034136201E-2</v>
      </c>
      <c r="U245" s="1280">
        <v>1.9250005517068101E-2</v>
      </c>
      <c r="V245" s="1294">
        <v>1.63585149047909E-2</v>
      </c>
    </row>
    <row r="246" spans="1:22" s="212" customFormat="1" ht="15.5" x14ac:dyDescent="0.35">
      <c r="A246" s="240">
        <v>2019</v>
      </c>
      <c r="B246" s="241" t="s">
        <v>5833</v>
      </c>
      <c r="C246" s="241">
        <v>1997</v>
      </c>
      <c r="D246" s="229" t="str">
        <f t="shared" si="0"/>
        <v>2019_1997</v>
      </c>
      <c r="E246" s="1226">
        <v>0.1130237817607273</v>
      </c>
      <c r="F246" s="1288">
        <v>1.7705432277383599</v>
      </c>
      <c r="G246" s="1306">
        <v>1.5142871586094699</v>
      </c>
      <c r="H246" s="1289">
        <v>18.794872760522001</v>
      </c>
      <c r="I246" s="1288">
        <v>11.168182737405299</v>
      </c>
      <c r="J246" s="1306">
        <v>15.694993961140501</v>
      </c>
      <c r="K246" s="1289">
        <v>1.36463495752827E-2</v>
      </c>
      <c r="L246" s="1288">
        <v>1.74041043643007E-3</v>
      </c>
      <c r="M246" s="1306">
        <v>1.9755305909817399E-2</v>
      </c>
      <c r="N246" s="1289">
        <v>7.2311352640353644E-3</v>
      </c>
      <c r="O246" s="1288">
        <v>3.0000008598028201E-3</v>
      </c>
      <c r="P246" s="1288">
        <v>9.0000025835380894E-3</v>
      </c>
      <c r="Q246" s="1280">
        <v>7.2311352640353644E-3</v>
      </c>
      <c r="R246" s="1289">
        <v>3.8500011034136201E-2</v>
      </c>
      <c r="S246" s="1288">
        <v>3.8500011034136201E-2</v>
      </c>
      <c r="T246" s="1288">
        <v>3.8500011034136201E-2</v>
      </c>
      <c r="U246" s="1280">
        <v>1.9250005517068101E-2</v>
      </c>
      <c r="V246" s="1237">
        <v>1.42633769482976E-2</v>
      </c>
    </row>
    <row r="247" spans="1:22" s="212" customFormat="1" ht="15.5" x14ac:dyDescent="0.35">
      <c r="A247" s="240">
        <v>2019</v>
      </c>
      <c r="B247" s="241" t="s">
        <v>5833</v>
      </c>
      <c r="C247" s="241">
        <v>1998</v>
      </c>
      <c r="D247" s="229" t="str">
        <f t="shared" si="0"/>
        <v>2019_1998</v>
      </c>
      <c r="E247" s="1231">
        <v>9.9900842842388607E-2</v>
      </c>
      <c r="F247" s="1257">
        <v>0.89285741717398737</v>
      </c>
      <c r="G247" s="1230">
        <v>1.2253114618924124</v>
      </c>
      <c r="H247" s="1303">
        <v>16.832560880387501</v>
      </c>
      <c r="I247" s="1257">
        <v>5.7563978199480319</v>
      </c>
      <c r="J247" s="1230">
        <v>13.8718955454659</v>
      </c>
      <c r="K247" s="1303">
        <v>1.1641846359361999E-2</v>
      </c>
      <c r="L247" s="1257">
        <v>1.617067177985615E-3</v>
      </c>
      <c r="M247" s="1230">
        <v>1.9895607778434798E-2</v>
      </c>
      <c r="N247" s="1303">
        <v>5.4622679484169498E-3</v>
      </c>
      <c r="O247" s="1257">
        <v>2.5000007165023501E-3</v>
      </c>
      <c r="P247" s="1227">
        <v>9.0000025815951748E-3</v>
      </c>
      <c r="Q247" s="1280">
        <v>5.4622679484169498E-3</v>
      </c>
      <c r="R247" s="1303">
        <v>3.8500011034136201E-2</v>
      </c>
      <c r="S247" s="1257">
        <v>3.5175010081188049E-2</v>
      </c>
      <c r="T247" s="1227">
        <v>3.8500011034136201E-2</v>
      </c>
      <c r="U247" s="1280">
        <v>1.9250005517068101E-2</v>
      </c>
      <c r="V247" s="1294">
        <v>1.21682389918043E-2</v>
      </c>
    </row>
    <row r="248" spans="1:22" s="212" customFormat="1" ht="15.5" x14ac:dyDescent="0.35">
      <c r="A248" s="240">
        <v>2019</v>
      </c>
      <c r="B248" s="241" t="s">
        <v>5833</v>
      </c>
      <c r="C248" s="241">
        <v>1999</v>
      </c>
      <c r="D248" s="229" t="str">
        <f t="shared" si="0"/>
        <v>2019_1999</v>
      </c>
      <c r="E248" s="1231">
        <v>0.126334932964312</v>
      </c>
      <c r="F248" s="1257">
        <v>0.89285741717398737</v>
      </c>
      <c r="G248" s="1306">
        <v>0.93633576517535499</v>
      </c>
      <c r="H248" s="1303">
        <v>20.760678492976499</v>
      </c>
      <c r="I248" s="1257">
        <v>5.7563978199480319</v>
      </c>
      <c r="J248" s="1306">
        <v>12.0487971297913</v>
      </c>
      <c r="K248" s="1303">
        <v>1.56655002980641E-2</v>
      </c>
      <c r="L248" s="1257">
        <v>1.617067177985615E-3</v>
      </c>
      <c r="M248" s="1306">
        <v>2.0035909647052201E-2</v>
      </c>
      <c r="N248" s="1303">
        <v>9.0000025796524892E-3</v>
      </c>
      <c r="O248" s="1257">
        <v>2.5000007165023501E-3</v>
      </c>
      <c r="P248" s="1288">
        <v>9.0000025796522602E-3</v>
      </c>
      <c r="Q248" s="1306">
        <v>9.0000025796173801E-3</v>
      </c>
      <c r="R248" s="1303">
        <v>3.8500011034136201E-2</v>
      </c>
      <c r="S248" s="1257">
        <v>3.5175010081188049E-2</v>
      </c>
      <c r="T248" s="1288">
        <v>3.8500011034136201E-2</v>
      </c>
      <c r="U248" s="1306">
        <v>1.9250005517068101E-2</v>
      </c>
      <c r="V248" s="1294">
        <v>1.6373824706914501E-2</v>
      </c>
    </row>
    <row r="249" spans="1:22" s="212" customFormat="1" ht="15.5" x14ac:dyDescent="0.35">
      <c r="A249" s="240">
        <v>2019</v>
      </c>
      <c r="B249" s="241" t="s">
        <v>5833</v>
      </c>
      <c r="C249" s="241">
        <v>2000</v>
      </c>
      <c r="D249" s="229" t="str">
        <f t="shared" si="0"/>
        <v>2019_2000</v>
      </c>
      <c r="E249" s="1231">
        <v>0.126491967554865</v>
      </c>
      <c r="F249" s="1288">
        <v>1.51716066096147E-2</v>
      </c>
      <c r="G249" s="1306">
        <v>1.55598117940838</v>
      </c>
      <c r="H249" s="1303">
        <v>20.659158764940798</v>
      </c>
      <c r="I249" s="1288">
        <v>0.34461290249076498</v>
      </c>
      <c r="J249" s="1306">
        <v>15.9512614146337</v>
      </c>
      <c r="K249" s="1303">
        <v>1.56295653168778E-2</v>
      </c>
      <c r="L249" s="1288">
        <v>1.49372391954116E-3</v>
      </c>
      <c r="M249" s="1306">
        <v>1.9533523526513798E-2</v>
      </c>
      <c r="N249" s="1303">
        <v>8.8960152518763394E-3</v>
      </c>
      <c r="O249" s="1288">
        <v>2.0000005732018801E-3</v>
      </c>
      <c r="P249" s="1288">
        <v>9.0000025833828698E-3</v>
      </c>
      <c r="Q249" s="1306">
        <v>1.5217764828779999E-4</v>
      </c>
      <c r="R249" s="1303">
        <v>3.8500011034136201E-2</v>
      </c>
      <c r="S249" s="1288">
        <v>3.1850009128239903E-2</v>
      </c>
      <c r="T249" s="1288">
        <v>3.8500011034136201E-2</v>
      </c>
      <c r="U249" s="1306">
        <v>3.2549108105105299E-4</v>
      </c>
      <c r="V249" s="1294">
        <v>1.6336264905338099E-2</v>
      </c>
    </row>
    <row r="250" spans="1:22" s="212" customFormat="1" ht="15.5" x14ac:dyDescent="0.35">
      <c r="A250" s="240">
        <v>2019</v>
      </c>
      <c r="B250" s="241" t="s">
        <v>5833</v>
      </c>
      <c r="C250" s="241">
        <v>2001</v>
      </c>
      <c r="D250" s="229" t="str">
        <f t="shared" si="0"/>
        <v>2019_2001</v>
      </c>
      <c r="E250" s="1231">
        <v>0.12951797587556699</v>
      </c>
      <c r="F250" s="1288">
        <v>1.47244487130277E-2</v>
      </c>
      <c r="G250" s="1306">
        <v>1.4921124189721799</v>
      </c>
      <c r="H250" s="1303">
        <v>20.723855120032699</v>
      </c>
      <c r="I250" s="1288">
        <v>0.33793943364923001</v>
      </c>
      <c r="J250" s="1306">
        <v>15.5507952784737</v>
      </c>
      <c r="K250" s="1303">
        <v>1.5996518855074301E-2</v>
      </c>
      <c r="L250" s="1288">
        <v>1.4609334696475201E-3</v>
      </c>
      <c r="M250" s="1306">
        <v>1.9876639916554799E-2</v>
      </c>
      <c r="N250" s="1303">
        <v>8.9374804671512199E-3</v>
      </c>
      <c r="O250" s="1288">
        <v>2.0000005732018801E-3</v>
      </c>
      <c r="P250" s="1288">
        <v>8.9900548269170894E-3</v>
      </c>
      <c r="Q250" s="1306">
        <v>0</v>
      </c>
      <c r="R250" s="1303">
        <v>3.8483687806964699E-2</v>
      </c>
      <c r="S250" s="1288">
        <v>3.1850009128239903E-2</v>
      </c>
      <c r="T250" s="1288">
        <v>3.8494956863355898E-2</v>
      </c>
      <c r="U250" s="1306">
        <v>0</v>
      </c>
      <c r="V250" s="1294">
        <v>1.67198104541996E-2</v>
      </c>
    </row>
    <row r="251" spans="1:22" s="212" customFormat="1" ht="15.5" x14ac:dyDescent="0.35">
      <c r="A251" s="240">
        <v>2019</v>
      </c>
      <c r="B251" s="241" t="s">
        <v>5833</v>
      </c>
      <c r="C251" s="241">
        <v>2002</v>
      </c>
      <c r="D251" s="229" t="str">
        <f t="shared" si="0"/>
        <v>2019_2002</v>
      </c>
      <c r="E251" s="1231">
        <v>0.14073078793430399</v>
      </c>
      <c r="F251" s="1288">
        <v>3.21401554051753E-2</v>
      </c>
      <c r="G251" s="1306">
        <v>1.5026808336039299</v>
      </c>
      <c r="H251" s="1303">
        <v>20.2373256871359</v>
      </c>
      <c r="I251" s="1288">
        <v>0.60954865264687497</v>
      </c>
      <c r="J251" s="1306">
        <v>15.599615864488101</v>
      </c>
      <c r="K251" s="1303">
        <v>1.7931395396672899E-2</v>
      </c>
      <c r="L251" s="1288">
        <v>2.3397566843458601E-3</v>
      </c>
      <c r="M251" s="1306">
        <v>1.99221459318824E-2</v>
      </c>
      <c r="N251" s="1303">
        <v>8.6427203397330104E-3</v>
      </c>
      <c r="O251" s="1288">
        <v>2.4856444468498401E-3</v>
      </c>
      <c r="P251" s="1288">
        <v>8.9291150489538805E-3</v>
      </c>
      <c r="Q251" s="1306">
        <v>3.0000008598724602E-3</v>
      </c>
      <c r="R251" s="1303">
        <v>3.8287127823814701E-2</v>
      </c>
      <c r="S251" s="1288">
        <v>3.5079540887998903E-2</v>
      </c>
      <c r="T251" s="1288">
        <v>3.8466492231686397E-2</v>
      </c>
      <c r="U251" s="1306">
        <v>1.9250005517068101E-2</v>
      </c>
      <c r="V251" s="1294">
        <v>1.8742173527121899E-2</v>
      </c>
    </row>
    <row r="252" spans="1:22" s="212" customFormat="1" ht="15.5" x14ac:dyDescent="0.35">
      <c r="A252" s="240">
        <v>2019</v>
      </c>
      <c r="B252" s="241" t="s">
        <v>5833</v>
      </c>
      <c r="C252" s="241">
        <v>2003</v>
      </c>
      <c r="D252" s="229" t="str">
        <f t="shared" si="0"/>
        <v>2019_2003</v>
      </c>
      <c r="E252" s="1231">
        <v>5.7596398722545697E-2</v>
      </c>
      <c r="F252" s="1288">
        <v>4.3881292671071402E-2</v>
      </c>
      <c r="G252" s="1306">
        <v>1.13517560609282</v>
      </c>
      <c r="H252" s="1303">
        <v>7.0054433519675801</v>
      </c>
      <c r="I252" s="1288">
        <v>0.88045340481040002</v>
      </c>
      <c r="J252" s="1306">
        <v>10.613992582746301</v>
      </c>
      <c r="K252" s="1303">
        <v>1.07083009825079E-2</v>
      </c>
      <c r="L252" s="1288">
        <v>2.3705672141488298E-3</v>
      </c>
      <c r="M252" s="1306">
        <v>9.2507753278371404E-3</v>
      </c>
      <c r="N252" s="1303">
        <v>7.8577123443460493E-3</v>
      </c>
      <c r="O252" s="1288">
        <v>2.8138547305677302E-3</v>
      </c>
      <c r="P252" s="1288">
        <v>6.9565570952586399E-3</v>
      </c>
      <c r="Q252" s="1306">
        <v>3.3900129291887498E-3</v>
      </c>
      <c r="R252" s="1303">
        <v>3.8500011034136201E-2</v>
      </c>
      <c r="S252" s="1288">
        <v>3.72621392747228E-2</v>
      </c>
      <c r="T252" s="1288">
        <v>3.8500011034136201E-2</v>
      </c>
      <c r="U252" s="1306">
        <v>1.9250005517068101E-2</v>
      </c>
      <c r="V252" s="1294">
        <v>1.1192482835555E-2</v>
      </c>
    </row>
    <row r="253" spans="1:22" s="212" customFormat="1" ht="15.5" x14ac:dyDescent="0.35">
      <c r="A253" s="240">
        <v>2019</v>
      </c>
      <c r="B253" s="241" t="s">
        <v>5833</v>
      </c>
      <c r="C253" s="241">
        <v>2004</v>
      </c>
      <c r="D253" s="229" t="str">
        <f t="shared" si="0"/>
        <v>2019_2004</v>
      </c>
      <c r="E253" s="1231">
        <v>7.2013605715296705E-2</v>
      </c>
      <c r="F253" s="1288">
        <v>1.9458612897825099E-2</v>
      </c>
      <c r="G253" s="1306">
        <v>1.7544350252926599</v>
      </c>
      <c r="H253" s="1303">
        <v>8.0177496552608201</v>
      </c>
      <c r="I253" s="1288">
        <v>0.26802554276360901</v>
      </c>
      <c r="J253" s="1306">
        <v>12.968347876504399</v>
      </c>
      <c r="K253" s="1303">
        <v>1.1362308437957699E-2</v>
      </c>
      <c r="L253" s="1288">
        <v>1.9576310645315001E-4</v>
      </c>
      <c r="M253" s="1306">
        <v>1.1189181360166301E-2</v>
      </c>
      <c r="N253" s="1303">
        <v>8.7386378286746797E-3</v>
      </c>
      <c r="O253" s="1288">
        <v>2.0330957572447998E-3</v>
      </c>
      <c r="P253" s="1288">
        <v>8.7578076687697699E-3</v>
      </c>
      <c r="Q253" s="1306">
        <v>3.0000008612614702E-3</v>
      </c>
      <c r="R253" s="1303">
        <v>3.8500011034136201E-2</v>
      </c>
      <c r="S253" s="1288">
        <v>3.2070092102125303E-2</v>
      </c>
      <c r="T253" s="1288">
        <v>3.8500011034136201E-2</v>
      </c>
      <c r="U253" s="1306">
        <v>1.9250005517068101E-2</v>
      </c>
      <c r="V253" s="1294">
        <v>1.1876061606025201E-2</v>
      </c>
    </row>
    <row r="254" spans="1:22" s="212" customFormat="1" ht="15.5" x14ac:dyDescent="0.35">
      <c r="A254" s="240">
        <v>2019</v>
      </c>
      <c r="B254" s="241" t="s">
        <v>5833</v>
      </c>
      <c r="C254" s="241">
        <v>2005</v>
      </c>
      <c r="D254" s="229" t="str">
        <f t="shared" si="0"/>
        <v>2019_2005</v>
      </c>
      <c r="E254" s="1231">
        <v>6.2212451885753098E-2</v>
      </c>
      <c r="F254" s="1288">
        <v>2.1663318250816001E-2</v>
      </c>
      <c r="G254" s="1306">
        <v>2.0170269653916399</v>
      </c>
      <c r="H254" s="1303">
        <v>6.1708067216491802</v>
      </c>
      <c r="I254" s="1288">
        <v>0.48096622226577102</v>
      </c>
      <c r="J254" s="1306">
        <v>13.576527860537</v>
      </c>
      <c r="K254" s="1303">
        <v>7.8393799146123898E-3</v>
      </c>
      <c r="L254" s="1288">
        <v>1.93623781366704E-4</v>
      </c>
      <c r="M254" s="1306">
        <v>1.17669792949454E-2</v>
      </c>
      <c r="N254" s="1303">
        <v>3.0755696105218499E-3</v>
      </c>
      <c r="O254" s="1288">
        <v>2.9889100778926398E-3</v>
      </c>
      <c r="P254" s="1288">
        <v>8.8904886179027101E-3</v>
      </c>
      <c r="Q254" s="1306">
        <v>8.9542526846943908E-3</v>
      </c>
      <c r="R254" s="1303">
        <v>3.8454947754954998E-2</v>
      </c>
      <c r="S254" s="1288">
        <v>3.84262573344335E-2</v>
      </c>
      <c r="T254" s="1288">
        <v>3.8499815461283601E-2</v>
      </c>
      <c r="U254" s="1306">
        <v>1.9250005517068101E-2</v>
      </c>
      <c r="V254" s="1294">
        <v>8.1938418876180003E-3</v>
      </c>
    </row>
    <row r="255" spans="1:22" s="212" customFormat="1" ht="15.5" x14ac:dyDescent="0.35">
      <c r="A255" s="240">
        <v>2019</v>
      </c>
      <c r="B255" s="241" t="s">
        <v>5833</v>
      </c>
      <c r="C255" s="241">
        <v>2006</v>
      </c>
      <c r="D255" s="229" t="str">
        <f t="shared" si="0"/>
        <v>2019_2006</v>
      </c>
      <c r="E255" s="1231">
        <v>4.8598608982138497E-2</v>
      </c>
      <c r="F255" s="1288">
        <v>1.7210339439955001E-2</v>
      </c>
      <c r="G255" s="1306">
        <v>2.0125114558554098</v>
      </c>
      <c r="H255" s="1303">
        <v>5.6708333495894596</v>
      </c>
      <c r="I255" s="1288">
        <v>0.29521953022851399</v>
      </c>
      <c r="J255" s="1306">
        <v>13.3422304970477</v>
      </c>
      <c r="K255" s="1303">
        <v>8.7181416897477593E-3</v>
      </c>
      <c r="L255" s="1288">
        <v>1.7296321757823699E-4</v>
      </c>
      <c r="M255" s="1306">
        <v>1.1611738923125999E-2</v>
      </c>
      <c r="N255" s="1303">
        <v>4.50528856561679E-3</v>
      </c>
      <c r="O255" s="1288">
        <v>2.3290246970670801E-3</v>
      </c>
      <c r="P255" s="1288">
        <v>8.5265906022278792E-3</v>
      </c>
      <c r="Q255" s="1306">
        <v>3.0000008600191302E-3</v>
      </c>
      <c r="R255" s="1303">
        <v>3.8469687906641001E-2</v>
      </c>
      <c r="S255" s="1288">
        <v>3.4038019551943501E-2</v>
      </c>
      <c r="T255" s="1288">
        <v>3.8500011034136201E-2</v>
      </c>
      <c r="U255" s="1306">
        <v>1.9250005517068101E-2</v>
      </c>
      <c r="V255" s="1294">
        <v>9.1123373707773705E-3</v>
      </c>
    </row>
    <row r="256" spans="1:22" s="212" customFormat="1" ht="15.5" x14ac:dyDescent="0.35">
      <c r="A256" s="240">
        <v>2019</v>
      </c>
      <c r="B256" s="241" t="s">
        <v>5833</v>
      </c>
      <c r="C256" s="241">
        <v>2007</v>
      </c>
      <c r="D256" s="229" t="str">
        <f t="shared" si="0"/>
        <v>2019_2007</v>
      </c>
      <c r="E256" s="1231">
        <v>0.20990613314493201</v>
      </c>
      <c r="F256" s="1288">
        <v>1.8259470137660199E-2</v>
      </c>
      <c r="G256" s="1306">
        <v>2.9715215399647301E-2</v>
      </c>
      <c r="H256" s="1303">
        <v>4.6392989978177104</v>
      </c>
      <c r="I256" s="1288">
        <v>0.367468006061349</v>
      </c>
      <c r="J256" s="1306">
        <v>0.96593441753180898</v>
      </c>
      <c r="K256" s="1303">
        <v>8.5652117886469304E-3</v>
      </c>
      <c r="L256" s="1288">
        <v>1.7093584101649599E-4</v>
      </c>
      <c r="M256" s="1306">
        <v>4.0380786234144202E-4</v>
      </c>
      <c r="N256" s="1303">
        <v>6.2692926887204696E-3</v>
      </c>
      <c r="O256" s="1288">
        <v>2.7613635486112599E-3</v>
      </c>
      <c r="P256" s="1288">
        <v>8.8446687895934999E-3</v>
      </c>
      <c r="Q256" s="1306">
        <v>4.6135431351232497E-3</v>
      </c>
      <c r="R256" s="1303">
        <v>3.8432028554038801E-2</v>
      </c>
      <c r="S256" s="1288">
        <v>3.6913072914712297E-2</v>
      </c>
      <c r="T256" s="1288">
        <v>3.8491185573273502E-2</v>
      </c>
      <c r="U256" s="1306">
        <v>1.9250005517068101E-2</v>
      </c>
      <c r="V256" s="1294">
        <v>8.9524926581651502E-3</v>
      </c>
    </row>
    <row r="257" spans="1:22" s="212" customFormat="1" ht="15.5" x14ac:dyDescent="0.35">
      <c r="A257" s="240">
        <v>2019</v>
      </c>
      <c r="B257" s="241" t="s">
        <v>5833</v>
      </c>
      <c r="C257" s="241">
        <v>2008</v>
      </c>
      <c r="D257" s="229" t="str">
        <f t="shared" si="0"/>
        <v>2019_2008</v>
      </c>
      <c r="E257" s="1231">
        <v>0.23176691034659</v>
      </c>
      <c r="F257" s="1288">
        <v>1.3418446460417901E-2</v>
      </c>
      <c r="G257" s="1306">
        <v>2.3819568937196701E-2</v>
      </c>
      <c r="H257" s="1303">
        <v>4.7975288042797599</v>
      </c>
      <c r="I257" s="1288">
        <v>0.27339590217251297</v>
      </c>
      <c r="J257" s="1306">
        <v>0.71210729280860796</v>
      </c>
      <c r="K257" s="1303">
        <v>1.2486319219651499E-2</v>
      </c>
      <c r="L257" s="1288">
        <v>1.5509528097389899E-4</v>
      </c>
      <c r="M257" s="1306">
        <v>5.3335815688138196E-4</v>
      </c>
      <c r="N257" s="1303">
        <v>6.71717710240713E-3</v>
      </c>
      <c r="O257" s="1288">
        <v>2.6131625083924202E-3</v>
      </c>
      <c r="P257" s="1288">
        <v>8.3854996758630403E-3</v>
      </c>
      <c r="Q257" s="1306">
        <v>3.0000008606209899E-3</v>
      </c>
      <c r="R257" s="1303">
        <v>3.8160517692503497E-2</v>
      </c>
      <c r="S257" s="1288">
        <v>3.5927535997257003E-2</v>
      </c>
      <c r="T257" s="1288">
        <v>3.8472680023022697E-2</v>
      </c>
      <c r="U257" s="1306">
        <v>1.9250005517068101E-2</v>
      </c>
      <c r="V257" s="1294">
        <v>1.30508951675432E-2</v>
      </c>
    </row>
    <row r="258" spans="1:22" s="212" customFormat="1" ht="15.5" x14ac:dyDescent="0.35">
      <c r="A258" s="240">
        <v>2019</v>
      </c>
      <c r="B258" s="241" t="s">
        <v>5833</v>
      </c>
      <c r="C258" s="241">
        <v>2009</v>
      </c>
      <c r="D258" s="229" t="str">
        <f t="shared" si="0"/>
        <v>2019_2009</v>
      </c>
      <c r="E258" s="1231">
        <v>0.237648762304523</v>
      </c>
      <c r="F258" s="1288">
        <v>1.44711404994177E-2</v>
      </c>
      <c r="G258" s="1306">
        <v>2.5195383816186499E-2</v>
      </c>
      <c r="H258" s="1303">
        <v>4.9075219596294</v>
      </c>
      <c r="I258" s="1288">
        <v>0.258147827455117</v>
      </c>
      <c r="J258" s="1306">
        <v>0.73885164811659698</v>
      </c>
      <c r="K258" s="1303">
        <v>1.0821938362552699E-2</v>
      </c>
      <c r="L258" s="1288">
        <v>1.9091712680951401E-4</v>
      </c>
      <c r="M258" s="1306">
        <v>7.4903689114997902E-4</v>
      </c>
      <c r="N258" s="1303">
        <v>6.9015444277472802E-3</v>
      </c>
      <c r="O258" s="1288">
        <v>2.65033009107866E-3</v>
      </c>
      <c r="P258" s="1288">
        <v>8.1608300539799204E-3</v>
      </c>
      <c r="Q258" s="1306">
        <v>7.8198706855009195E-3</v>
      </c>
      <c r="R258" s="1303">
        <v>3.8293535058608399E-2</v>
      </c>
      <c r="S258" s="1288">
        <v>3.6174700422120502E-2</v>
      </c>
      <c r="T258" s="1288">
        <v>3.8464717070437901E-2</v>
      </c>
      <c r="U258" s="1306">
        <v>1.9250005517068101E-2</v>
      </c>
      <c r="V258" s="1294">
        <v>1.13112583936671E-2</v>
      </c>
    </row>
    <row r="259" spans="1:22" s="212" customFormat="1" ht="15.5" x14ac:dyDescent="0.35">
      <c r="A259" s="240">
        <v>2019</v>
      </c>
      <c r="B259" s="241" t="s">
        <v>5833</v>
      </c>
      <c r="C259" s="241">
        <v>2010</v>
      </c>
      <c r="D259" s="229" t="str">
        <f t="shared" si="0"/>
        <v>2019_2010</v>
      </c>
      <c r="E259" s="1231">
        <v>7.2373888365789604E-2</v>
      </c>
      <c r="F259" s="1288">
        <v>1.70867177246865E-2</v>
      </c>
      <c r="G259" s="1306">
        <v>2.2371696156979499E-2</v>
      </c>
      <c r="H259" s="1303">
        <v>0.412800907128267</v>
      </c>
      <c r="I259" s="1288">
        <v>0.27946646513984602</v>
      </c>
      <c r="J259" s="1306">
        <v>0.672368097046664</v>
      </c>
      <c r="K259" s="1303">
        <v>7.3666393537177403E-3</v>
      </c>
      <c r="L259" s="1288">
        <v>2.5467971749970798E-4</v>
      </c>
      <c r="M259" s="1306">
        <v>2.8596640007376803E-4</v>
      </c>
      <c r="N259" s="1303">
        <v>8.6230066384212298E-3</v>
      </c>
      <c r="O259" s="1288">
        <v>2.7781660272913102E-3</v>
      </c>
      <c r="P259" s="1288">
        <v>7.3882454637657496E-3</v>
      </c>
      <c r="Q259" s="1306">
        <v>8.9186934846127303E-3</v>
      </c>
      <c r="R259" s="1303">
        <v>3.8478036436679401E-2</v>
      </c>
      <c r="S259" s="1288">
        <v>3.7024809397934698E-2</v>
      </c>
      <c r="T259" s="1288">
        <v>3.84614105210518E-2</v>
      </c>
      <c r="U259" s="1306">
        <v>1.9250005517068101E-2</v>
      </c>
      <c r="V259" s="1294">
        <v>7.6997260963148602E-3</v>
      </c>
    </row>
    <row r="260" spans="1:22" s="212" customFormat="1" ht="15.5" x14ac:dyDescent="0.35">
      <c r="A260" s="240">
        <v>2019</v>
      </c>
      <c r="B260" s="241" t="s">
        <v>5833</v>
      </c>
      <c r="C260" s="241">
        <v>2011</v>
      </c>
      <c r="D260" s="229" t="str">
        <f t="shared" si="0"/>
        <v>2019_2011</v>
      </c>
      <c r="E260" s="1231">
        <v>6.5215515290399706E-2</v>
      </c>
      <c r="F260" s="1288">
        <v>1.17915005836381E-2</v>
      </c>
      <c r="G260" s="1306">
        <v>2.39578832263703E-2</v>
      </c>
      <c r="H260" s="1303">
        <v>0.35941438872604597</v>
      </c>
      <c r="I260" s="1288">
        <v>0.23474820397555199</v>
      </c>
      <c r="J260" s="1306">
        <v>0.70736958749288803</v>
      </c>
      <c r="K260" s="1303">
        <v>6.5177219588566197E-3</v>
      </c>
      <c r="L260" s="1288">
        <v>2.5652572238097602E-4</v>
      </c>
      <c r="M260" s="1306">
        <v>5.1380342361615297E-4</v>
      </c>
      <c r="N260" s="1303">
        <v>7.6500888391391898E-3</v>
      </c>
      <c r="O260" s="1288">
        <v>2.72519108193196E-3</v>
      </c>
      <c r="P260" s="1288">
        <v>7.7629237316822301E-3</v>
      </c>
      <c r="Q260" s="1306">
        <v>4.1817649941520403E-3</v>
      </c>
      <c r="R260" s="1303">
        <v>3.8447957959122897E-2</v>
      </c>
      <c r="S260" s="1288">
        <v>3.6672526011294997E-2</v>
      </c>
      <c r="T260" s="1288">
        <v>3.8366143355111001E-2</v>
      </c>
      <c r="U260" s="1306">
        <v>1.90136422345611E-2</v>
      </c>
      <c r="V260" s="1294">
        <v>6.8124244238732699E-3</v>
      </c>
    </row>
    <row r="261" spans="1:22" s="212" customFormat="1" ht="15.5" x14ac:dyDescent="0.35">
      <c r="A261" s="240">
        <v>2019</v>
      </c>
      <c r="B261" s="241" t="s">
        <v>5833</v>
      </c>
      <c r="C261" s="241">
        <v>2012</v>
      </c>
      <c r="D261" s="229" t="str">
        <f t="shared" si="0"/>
        <v>2019_2012</v>
      </c>
      <c r="E261" s="1231">
        <v>8.0527724505293594E-2</v>
      </c>
      <c r="F261" s="1288">
        <v>1.1430652397269101E-2</v>
      </c>
      <c r="G261" s="1306">
        <v>2.2384547013003301E-2</v>
      </c>
      <c r="H261" s="1303">
        <v>0.51845641529214004</v>
      </c>
      <c r="I261" s="1288">
        <v>0.20012522304428501</v>
      </c>
      <c r="J261" s="1306">
        <v>0.68525891048531895</v>
      </c>
      <c r="K261" s="1303">
        <v>6.9435993384879399E-3</v>
      </c>
      <c r="L261" s="1288">
        <v>3.6640694384900801E-4</v>
      </c>
      <c r="M261" s="1306">
        <v>2.3735058163403501E-4</v>
      </c>
      <c r="N261" s="1303">
        <v>8.7108355679940894E-3</v>
      </c>
      <c r="O261" s="1288">
        <v>2.6689248499017302E-3</v>
      </c>
      <c r="P261" s="1288">
        <v>7.9627267653689694E-3</v>
      </c>
      <c r="Q261" s="1306">
        <v>7.8131195613863908E-3</v>
      </c>
      <c r="R261" s="1303">
        <v>3.8496427504470299E-2</v>
      </c>
      <c r="S261" s="1288">
        <v>3.6298355568293902E-2</v>
      </c>
      <c r="T261" s="1288">
        <v>3.8476832712128498E-2</v>
      </c>
      <c r="U261" s="1306">
        <v>1.9230668763514699E-2</v>
      </c>
      <c r="V261" s="1294">
        <v>7.2575580888086296E-3</v>
      </c>
    </row>
    <row r="262" spans="1:22" s="212" customFormat="1" ht="15.5" x14ac:dyDescent="0.35">
      <c r="A262" s="240">
        <v>2019</v>
      </c>
      <c r="B262" s="241" t="s">
        <v>5833</v>
      </c>
      <c r="C262" s="241">
        <v>2013</v>
      </c>
      <c r="D262" s="229" t="str">
        <f t="shared" si="0"/>
        <v>2019_2013</v>
      </c>
      <c r="E262" s="1231">
        <v>7.0327754728471303E-2</v>
      </c>
      <c r="F262" s="1288">
        <v>7.1044789895976304E-3</v>
      </c>
      <c r="G262" s="1306">
        <v>2.4342603396833501E-2</v>
      </c>
      <c r="H262" s="1303">
        <v>0.39929323627937202</v>
      </c>
      <c r="I262" s="1288">
        <v>9.7680315287038494E-2</v>
      </c>
      <c r="J262" s="1306">
        <v>0.72089286477714898</v>
      </c>
      <c r="K262" s="1303">
        <v>7.01981153366829E-3</v>
      </c>
      <c r="L262" s="1288">
        <v>5.0212246009371402E-4</v>
      </c>
      <c r="M262" s="1306">
        <v>5.2986445009900495E-4</v>
      </c>
      <c r="N262" s="1303">
        <v>8.3326128222125807E-3</v>
      </c>
      <c r="O262" s="1288">
        <v>2.26112431585855E-3</v>
      </c>
      <c r="P262" s="1288">
        <v>8.0048680034757007E-3</v>
      </c>
      <c r="Q262" s="1306">
        <v>3.8922596037388102E-3</v>
      </c>
      <c r="R262" s="1303">
        <v>3.8493870330217499E-2</v>
      </c>
      <c r="S262" s="1288">
        <v>3.3586482016906803E-2</v>
      </c>
      <c r="T262" s="1288">
        <v>3.83401773034453E-2</v>
      </c>
      <c r="U262" s="1306">
        <v>1.9238007675286099E-2</v>
      </c>
      <c r="V262" s="1294">
        <v>7.3372162612684302E-3</v>
      </c>
    </row>
    <row r="263" spans="1:22" s="212" customFormat="1" ht="15.5" x14ac:dyDescent="0.35">
      <c r="A263" s="240">
        <v>2019</v>
      </c>
      <c r="B263" s="241" t="s">
        <v>5833</v>
      </c>
      <c r="C263" s="241">
        <v>2014</v>
      </c>
      <c r="D263" s="229" t="str">
        <f t="shared" si="0"/>
        <v>2019_2014</v>
      </c>
      <c r="E263" s="1231">
        <v>6.6867763939567698E-2</v>
      </c>
      <c r="F263" s="1288">
        <v>7.7802008780107701E-3</v>
      </c>
      <c r="G263" s="1306">
        <v>2.5978423143247002E-2</v>
      </c>
      <c r="H263" s="1303">
        <v>0.38610412301226699</v>
      </c>
      <c r="I263" s="1288">
        <v>6.2358423466727299E-2</v>
      </c>
      <c r="J263" s="1306">
        <v>0.81256727860501998</v>
      </c>
      <c r="K263" s="1303">
        <v>6.3356308093125997E-3</v>
      </c>
      <c r="L263" s="1288">
        <v>7.1683609828953796E-4</v>
      </c>
      <c r="M263" s="1306">
        <v>3.4833024891179698E-4</v>
      </c>
      <c r="N263" s="1303">
        <v>7.6321509609108404E-3</v>
      </c>
      <c r="O263" s="1288">
        <v>2.1367220253360598E-3</v>
      </c>
      <c r="P263" s="1288">
        <v>8.5846953190263798E-3</v>
      </c>
      <c r="Q263" s="1306">
        <v>8.3519267598167607E-3</v>
      </c>
      <c r="R263" s="1303">
        <v>3.8495644604223903E-2</v>
      </c>
      <c r="S263" s="1288">
        <v>3.2759206784932202E-2</v>
      </c>
      <c r="T263" s="1288">
        <v>3.8443696915343703E-2</v>
      </c>
      <c r="U263" s="1306">
        <v>1.9228945827987499E-2</v>
      </c>
      <c r="V263" s="1294">
        <v>6.6220999205643801E-3</v>
      </c>
    </row>
    <row r="264" spans="1:22" s="212" customFormat="1" ht="15.5" x14ac:dyDescent="0.35">
      <c r="A264" s="240">
        <v>2019</v>
      </c>
      <c r="B264" s="241" t="s">
        <v>5833</v>
      </c>
      <c r="C264" s="241">
        <v>2015</v>
      </c>
      <c r="D264" s="229" t="str">
        <f t="shared" si="0"/>
        <v>2019_2015</v>
      </c>
      <c r="E264" s="1231">
        <v>6.9550734475649398E-2</v>
      </c>
      <c r="F264" s="1288">
        <v>1.1284858433756701E-2</v>
      </c>
      <c r="G264" s="1306">
        <v>2.3958608451989501E-2</v>
      </c>
      <c r="H264" s="1303">
        <v>0.40040903946591899</v>
      </c>
      <c r="I264" s="1288">
        <v>0.14453117984574201</v>
      </c>
      <c r="J264" s="1306">
        <v>0.72999251645788898</v>
      </c>
      <c r="K264" s="1303">
        <v>6.7405954907700403E-3</v>
      </c>
      <c r="L264" s="1288">
        <v>1.02217952579439E-3</v>
      </c>
      <c r="M264" s="1306">
        <v>3.36281939129383E-4</v>
      </c>
      <c r="N264" s="1303">
        <v>8.08963182934949E-3</v>
      </c>
      <c r="O264" s="1288">
        <v>2.5488370124136799E-3</v>
      </c>
      <c r="P264" s="1288">
        <v>7.6554203626222998E-3</v>
      </c>
      <c r="Q264" s="1306">
        <v>7.0764407049211204E-3</v>
      </c>
      <c r="R264" s="1303">
        <v>3.8481888326502497E-2</v>
      </c>
      <c r="S264" s="1288">
        <v>3.54997714489984E-2</v>
      </c>
      <c r="T264" s="1288">
        <v>3.84036317540861E-2</v>
      </c>
      <c r="U264" s="1306">
        <v>1.9167935893848399E-2</v>
      </c>
      <c r="V264" s="1294">
        <v>7.0453753079131598E-3</v>
      </c>
    </row>
    <row r="265" spans="1:22" s="212" customFormat="1" ht="15.5" x14ac:dyDescent="0.35">
      <c r="A265" s="240">
        <v>2019</v>
      </c>
      <c r="B265" s="241" t="s">
        <v>5833</v>
      </c>
      <c r="C265" s="241">
        <v>2016</v>
      </c>
      <c r="D265" s="229" t="str">
        <f t="shared" si="0"/>
        <v>2019_2016</v>
      </c>
      <c r="E265" s="1231">
        <v>6.8809099371903201E-2</v>
      </c>
      <c r="F265" s="1288">
        <v>6.1461221053071401E-3</v>
      </c>
      <c r="G265" s="1306">
        <v>2.6706419801324301E-2</v>
      </c>
      <c r="H265" s="1303">
        <v>0.38441957231181301</v>
      </c>
      <c r="I265" s="1288">
        <v>7.25212744736424E-2</v>
      </c>
      <c r="J265" s="1306">
        <v>0.84304346611046799</v>
      </c>
      <c r="K265" s="1303">
        <v>6.9396216577225899E-3</v>
      </c>
      <c r="L265" s="1288">
        <v>9.8191982013834996E-4</v>
      </c>
      <c r="M265" s="1306">
        <v>3.1969770769168799E-4</v>
      </c>
      <c r="N265" s="1303">
        <v>8.2117804972583908E-3</v>
      </c>
      <c r="O265" s="1288">
        <v>2.2085237200317599E-3</v>
      </c>
      <c r="P265" s="1288">
        <v>8.4738214777924908E-3</v>
      </c>
      <c r="Q265" s="1306">
        <v>7.9569585657918804E-3</v>
      </c>
      <c r="R265" s="1303">
        <v>3.84958616135E-2</v>
      </c>
      <c r="S265" s="1288">
        <v>3.3236688054658597E-2</v>
      </c>
      <c r="T265" s="1288">
        <v>3.8449978524626803E-2</v>
      </c>
      <c r="U265" s="1306">
        <v>1.9243523638359E-2</v>
      </c>
      <c r="V265" s="1294">
        <v>7.2534005549697699E-3</v>
      </c>
    </row>
    <row r="266" spans="1:22" s="212" customFormat="1" ht="15.5" x14ac:dyDescent="0.35">
      <c r="A266" s="240">
        <v>2019</v>
      </c>
      <c r="B266" s="241" t="s">
        <v>5833</v>
      </c>
      <c r="C266" s="241">
        <v>2017</v>
      </c>
      <c r="D266" s="229" t="str">
        <f t="shared" si="0"/>
        <v>2019_2017</v>
      </c>
      <c r="E266" s="1231">
        <v>6.5914312110654696E-2</v>
      </c>
      <c r="F266" s="1288">
        <v>1.1640053689180901E-2</v>
      </c>
      <c r="G266" s="1306">
        <v>2.1735047791243699E-2</v>
      </c>
      <c r="H266" s="1303">
        <v>0.36362036154557897</v>
      </c>
      <c r="I266" s="1288">
        <v>0.10771566107541</v>
      </c>
      <c r="J266" s="1306">
        <v>0.50602012785070605</v>
      </c>
      <c r="K266" s="1303">
        <v>6.5621964464687597E-3</v>
      </c>
      <c r="L266" s="1288">
        <v>1.27079622096833E-3</v>
      </c>
      <c r="M266" s="1306">
        <v>8.9919875329214896E-4</v>
      </c>
      <c r="N266" s="1303">
        <v>7.8255510763968906E-3</v>
      </c>
      <c r="O266" s="1288">
        <v>2.4876782578978599E-3</v>
      </c>
      <c r="P266" s="1288">
        <v>6.84590347907488E-3</v>
      </c>
      <c r="Q266" s="1306">
        <v>8.0174328048109502E-3</v>
      </c>
      <c r="R266" s="1303">
        <v>3.8498015894693802E-2</v>
      </c>
      <c r="S266" s="1288">
        <v>3.5093065731468198E-2</v>
      </c>
      <c r="T266" s="1288">
        <v>3.7696008183240898E-2</v>
      </c>
      <c r="U266" s="1306">
        <v>1.90904064375991E-2</v>
      </c>
      <c r="V266" s="1294">
        <v>6.8589098504626099E-3</v>
      </c>
    </row>
    <row r="267" spans="1:22" s="212" customFormat="1" ht="15.5" x14ac:dyDescent="0.35">
      <c r="A267" s="240">
        <v>2019</v>
      </c>
      <c r="B267" s="241" t="s">
        <v>5833</v>
      </c>
      <c r="C267" s="241">
        <v>2018</v>
      </c>
      <c r="D267" s="229" t="str">
        <f t="shared" si="0"/>
        <v>2019_2018</v>
      </c>
      <c r="E267" s="1231">
        <v>6.9041810745110094E-2</v>
      </c>
      <c r="F267" s="1288">
        <v>9.9854304227173906E-3</v>
      </c>
      <c r="G267" s="1306">
        <v>5.4529700454054003E-2</v>
      </c>
      <c r="H267" s="1303">
        <v>0.38491451639773699</v>
      </c>
      <c r="I267" s="1288">
        <v>9.3555262604752207E-2</v>
      </c>
      <c r="J267" s="1306">
        <v>0.10782455363549601</v>
      </c>
      <c r="K267" s="1303">
        <v>6.9800101528521997E-3</v>
      </c>
      <c r="L267" s="1288">
        <v>1.24486452380365E-3</v>
      </c>
      <c r="M267" s="1306">
        <v>8.6912772601594195E-4</v>
      </c>
      <c r="N267" s="1303">
        <v>8.2482763103661604E-3</v>
      </c>
      <c r="O267" s="1288">
        <v>2.4788674284457598E-3</v>
      </c>
      <c r="P267" s="1288">
        <v>7.1518389140904403E-3</v>
      </c>
      <c r="Q267" s="1306">
        <v>7.9389976672573793E-3</v>
      </c>
      <c r="R267" s="1303">
        <v>3.8487927441084202E-2</v>
      </c>
      <c r="S267" s="1288">
        <v>3.5034473715611698E-2</v>
      </c>
      <c r="T267" s="1288">
        <v>3.7881050835453497E-2</v>
      </c>
      <c r="U267" s="1306">
        <v>1.9240847680182201E-2</v>
      </c>
      <c r="V267" s="1294">
        <v>7.2956152386278502E-3</v>
      </c>
    </row>
    <row r="268" spans="1:22" s="212" customFormat="1" ht="15.5" x14ac:dyDescent="0.35">
      <c r="A268" s="240">
        <v>2019</v>
      </c>
      <c r="B268" s="241" t="s">
        <v>5833</v>
      </c>
      <c r="C268" s="241">
        <v>2019</v>
      </c>
      <c r="D268" s="229" t="str">
        <f t="shared" si="0"/>
        <v>2019_2019</v>
      </c>
      <c r="E268" s="1231">
        <v>7.1681414307134303E-2</v>
      </c>
      <c r="F268" s="1288">
        <v>8.8246581077413098E-3</v>
      </c>
      <c r="G268" s="1306">
        <v>5.2123314208199899E-2</v>
      </c>
      <c r="H268" s="1303">
        <v>0.40421267323204702</v>
      </c>
      <c r="I268" s="1288">
        <v>5.7205227331774702E-2</v>
      </c>
      <c r="J268" s="1306">
        <v>0.105784584900846</v>
      </c>
      <c r="K268" s="1303">
        <v>7.27986775777624E-3</v>
      </c>
      <c r="L268" s="1288">
        <v>1.25956881475028E-3</v>
      </c>
      <c r="M268" s="1306">
        <v>5.4444772979574596E-4</v>
      </c>
      <c r="N268" s="1303">
        <v>8.5784756094915704E-3</v>
      </c>
      <c r="O268" s="1288">
        <v>2.2678037618185701E-3</v>
      </c>
      <c r="P268" s="1288">
        <v>6.9472013974099999E-3</v>
      </c>
      <c r="Q268" s="1306">
        <v>6.5198277035009699E-3</v>
      </c>
      <c r="R268" s="1303">
        <v>3.8479142353279497E-2</v>
      </c>
      <c r="S268" s="1288">
        <v>3.3630900332541E-2</v>
      </c>
      <c r="T268" s="1288">
        <v>3.8313426153581E-2</v>
      </c>
      <c r="U268" s="1306">
        <v>1.91759402311482E-2</v>
      </c>
      <c r="V268" s="1294">
        <v>7.6090310738481399E-3</v>
      </c>
    </row>
    <row r="269" spans="1:22" s="212" customFormat="1" ht="15.5" x14ac:dyDescent="0.35">
      <c r="A269" s="240">
        <v>2019</v>
      </c>
      <c r="B269" s="241" t="s">
        <v>5833</v>
      </c>
      <c r="C269" s="241">
        <v>2020</v>
      </c>
      <c r="D269" s="229" t="str">
        <f t="shared" si="0"/>
        <v>2019_2020</v>
      </c>
      <c r="E269" s="1226">
        <v>7.1681414307134303E-2</v>
      </c>
      <c r="F269" s="1257">
        <v>8.8246581077413098E-3</v>
      </c>
      <c r="G269" s="1280">
        <v>5.2123314208199899E-2</v>
      </c>
      <c r="H269" s="1271">
        <v>0.40421267323204702</v>
      </c>
      <c r="I269" s="1257">
        <v>5.7205227331774702E-2</v>
      </c>
      <c r="J269" s="1280">
        <v>0.105784584900846</v>
      </c>
      <c r="K269" s="1271">
        <v>7.27986775777624E-3</v>
      </c>
      <c r="L269" s="1257">
        <v>1.25956881475028E-3</v>
      </c>
      <c r="M269" s="1280">
        <v>5.4444772979574596E-4</v>
      </c>
      <c r="N269" s="1271">
        <v>8.5784756094915704E-3</v>
      </c>
      <c r="O269" s="1257">
        <v>2.2678037618185701E-3</v>
      </c>
      <c r="P269" s="1257">
        <v>6.9472013974099999E-3</v>
      </c>
      <c r="Q269" s="1280">
        <v>6.5198277035009699E-3</v>
      </c>
      <c r="R269" s="1271">
        <v>3.8479142353279497E-2</v>
      </c>
      <c r="S269" s="1257">
        <v>3.3630900332541E-2</v>
      </c>
      <c r="T269" s="1257">
        <v>3.8313426153581E-2</v>
      </c>
      <c r="U269" s="1280">
        <v>1.91759402311482E-2</v>
      </c>
      <c r="V269" s="1293">
        <v>7.6090310738481399E-3</v>
      </c>
    </row>
    <row r="270" spans="1:22" s="212" customFormat="1" ht="15.5" x14ac:dyDescent="0.35">
      <c r="A270" s="240">
        <v>2020</v>
      </c>
      <c r="B270" s="241" t="s">
        <v>5833</v>
      </c>
      <c r="C270" s="241">
        <v>1971</v>
      </c>
      <c r="D270" s="229" t="str">
        <f t="shared" si="0"/>
        <v>2020_1971</v>
      </c>
      <c r="E270" s="1226">
        <v>4.55010752903953E-2</v>
      </c>
      <c r="F270" s="1257">
        <v>1.3896477286177799E-2</v>
      </c>
      <c r="G270" s="1280">
        <v>2.0228108678798402</v>
      </c>
      <c r="H270" s="1271">
        <v>5.6763497797328899</v>
      </c>
      <c r="I270" s="1257">
        <v>0.43475109164268599</v>
      </c>
      <c r="J270" s="1280">
        <v>13.3946285946976</v>
      </c>
      <c r="K270" s="1271">
        <v>7.8890343936353201E-3</v>
      </c>
      <c r="L270" s="1257">
        <v>1.2509045066288801E-4</v>
      </c>
      <c r="M270" s="1280">
        <v>1.16496771084274E-2</v>
      </c>
      <c r="N270" s="1271">
        <v>4.5203006026640199E-3</v>
      </c>
      <c r="O270" s="1257">
        <v>3.0000008598028201E-3</v>
      </c>
      <c r="P270" s="1257">
        <v>8.5810651461587298E-3</v>
      </c>
      <c r="Q270" s="1280">
        <v>4.5203006026640199E-3</v>
      </c>
      <c r="R270" s="1271">
        <v>3.8500011034136201E-2</v>
      </c>
      <c r="S270" s="1257">
        <v>3.8500011034136201E-2</v>
      </c>
      <c r="T270" s="1257">
        <v>3.8500011034136201E-2</v>
      </c>
      <c r="U270" s="1280">
        <v>1.9250005517068101E-2</v>
      </c>
      <c r="V270" s="1293">
        <v>8.2457415218438607E-3</v>
      </c>
    </row>
    <row r="271" spans="1:22" s="212" customFormat="1" ht="15.5" x14ac:dyDescent="0.35">
      <c r="A271" s="240">
        <v>2020</v>
      </c>
      <c r="B271" s="241" t="s">
        <v>5833</v>
      </c>
      <c r="C271" s="241">
        <v>1972</v>
      </c>
      <c r="D271" s="229" t="str">
        <f t="shared" si="0"/>
        <v>2020_1972</v>
      </c>
      <c r="E271" s="1226">
        <v>4.55010752903953E-2</v>
      </c>
      <c r="F271" s="1257">
        <v>1.3896477286177799E-2</v>
      </c>
      <c r="G271" s="1280">
        <v>2.0228108678798402</v>
      </c>
      <c r="H271" s="1271">
        <v>5.6763497797328899</v>
      </c>
      <c r="I271" s="1257">
        <v>0.43475109164268599</v>
      </c>
      <c r="J271" s="1280">
        <v>13.3946285946976</v>
      </c>
      <c r="K271" s="1271">
        <v>7.8890343936353201E-3</v>
      </c>
      <c r="L271" s="1257">
        <v>1.2509045066288801E-4</v>
      </c>
      <c r="M271" s="1280">
        <v>1.16496771084274E-2</v>
      </c>
      <c r="N271" s="1271">
        <v>4.5203006026640199E-3</v>
      </c>
      <c r="O271" s="1257">
        <v>3.0000008598028201E-3</v>
      </c>
      <c r="P271" s="1257">
        <v>8.5810651461587298E-3</v>
      </c>
      <c r="Q271" s="1280">
        <v>4.5203006026640199E-3</v>
      </c>
      <c r="R271" s="1271">
        <v>3.8500011034136201E-2</v>
      </c>
      <c r="S271" s="1257">
        <v>3.8500011034136201E-2</v>
      </c>
      <c r="T271" s="1257">
        <v>3.8500011034136201E-2</v>
      </c>
      <c r="U271" s="1280">
        <v>1.9250005517068101E-2</v>
      </c>
      <c r="V271" s="1293">
        <v>8.2457415218438607E-3</v>
      </c>
    </row>
    <row r="272" spans="1:22" s="212" customFormat="1" ht="15.5" x14ac:dyDescent="0.35">
      <c r="A272" s="240">
        <v>2020</v>
      </c>
      <c r="B272" s="241" t="s">
        <v>5833</v>
      </c>
      <c r="C272" s="241">
        <v>1973</v>
      </c>
      <c r="D272" s="229" t="str">
        <f t="shared" si="0"/>
        <v>2020_1973</v>
      </c>
      <c r="E272" s="1226">
        <v>4.55010752903953E-2</v>
      </c>
      <c r="F272" s="1257">
        <v>1.3896477286177799E-2</v>
      </c>
      <c r="G272" s="1280">
        <v>2.0228108678798402</v>
      </c>
      <c r="H272" s="1271">
        <v>5.6763497797328899</v>
      </c>
      <c r="I272" s="1257">
        <v>0.43475109164268599</v>
      </c>
      <c r="J272" s="1280">
        <v>13.3946285946976</v>
      </c>
      <c r="K272" s="1271">
        <v>7.8890343936353201E-3</v>
      </c>
      <c r="L272" s="1257">
        <v>1.2509045066288801E-4</v>
      </c>
      <c r="M272" s="1280">
        <v>1.16496771084274E-2</v>
      </c>
      <c r="N272" s="1271">
        <v>4.5203006026640199E-3</v>
      </c>
      <c r="O272" s="1257">
        <v>3.0000008598028201E-3</v>
      </c>
      <c r="P272" s="1257">
        <v>8.5810651461587298E-3</v>
      </c>
      <c r="Q272" s="1280">
        <v>4.5203006026640199E-3</v>
      </c>
      <c r="R272" s="1271">
        <v>3.8500011034136201E-2</v>
      </c>
      <c r="S272" s="1257">
        <v>3.8500011034136201E-2</v>
      </c>
      <c r="T272" s="1257">
        <v>3.8500011034136201E-2</v>
      </c>
      <c r="U272" s="1280">
        <v>1.9250005517068101E-2</v>
      </c>
      <c r="V272" s="1293">
        <v>8.2457415218438607E-3</v>
      </c>
    </row>
    <row r="273" spans="1:22" s="212" customFormat="1" ht="15.5" x14ac:dyDescent="0.35">
      <c r="A273" s="240">
        <v>2020</v>
      </c>
      <c r="B273" s="241" t="s">
        <v>5833</v>
      </c>
      <c r="C273" s="241">
        <v>1974</v>
      </c>
      <c r="D273" s="229" t="str">
        <f t="shared" si="0"/>
        <v>2020_1974</v>
      </c>
      <c r="E273" s="1226">
        <v>4.55010752903953E-2</v>
      </c>
      <c r="F273" s="1257">
        <v>1.3896477286177799E-2</v>
      </c>
      <c r="G273" s="1280">
        <v>2.0228108678798402</v>
      </c>
      <c r="H273" s="1271">
        <v>5.6763497797328899</v>
      </c>
      <c r="I273" s="1257">
        <v>0.43475109164268599</v>
      </c>
      <c r="J273" s="1280">
        <v>13.3946285946976</v>
      </c>
      <c r="K273" s="1271">
        <v>7.8890343936353201E-3</v>
      </c>
      <c r="L273" s="1257">
        <v>1.2509045066288801E-4</v>
      </c>
      <c r="M273" s="1280">
        <v>1.16496771084274E-2</v>
      </c>
      <c r="N273" s="1271">
        <v>4.5203006026640199E-3</v>
      </c>
      <c r="O273" s="1257">
        <v>3.0000008598028201E-3</v>
      </c>
      <c r="P273" s="1257">
        <v>8.5810651461587298E-3</v>
      </c>
      <c r="Q273" s="1280">
        <v>4.5203006026640199E-3</v>
      </c>
      <c r="R273" s="1271">
        <v>3.8500011034136201E-2</v>
      </c>
      <c r="S273" s="1257">
        <v>3.8500011034136201E-2</v>
      </c>
      <c r="T273" s="1257">
        <v>3.8500011034136201E-2</v>
      </c>
      <c r="U273" s="1280">
        <v>1.9250005517068101E-2</v>
      </c>
      <c r="V273" s="1293">
        <v>8.2457415218438607E-3</v>
      </c>
    </row>
    <row r="274" spans="1:22" s="212" customFormat="1" ht="15.5" x14ac:dyDescent="0.35">
      <c r="A274" s="240">
        <v>2020</v>
      </c>
      <c r="B274" s="241" t="s">
        <v>5833</v>
      </c>
      <c r="C274" s="241">
        <v>1975</v>
      </c>
      <c r="D274" s="229" t="str">
        <f t="shared" si="0"/>
        <v>2020_1975</v>
      </c>
      <c r="E274" s="1226">
        <v>4.55010752903953E-2</v>
      </c>
      <c r="F274" s="1257">
        <v>1.3896477286177799E-2</v>
      </c>
      <c r="G274" s="1280">
        <v>2.0228108678798402</v>
      </c>
      <c r="H274" s="1271">
        <v>5.6763497797328899</v>
      </c>
      <c r="I274" s="1257">
        <v>0.43475109164268599</v>
      </c>
      <c r="J274" s="1280">
        <v>13.3946285946976</v>
      </c>
      <c r="K274" s="1271">
        <v>7.8890343936353201E-3</v>
      </c>
      <c r="L274" s="1257">
        <v>1.2509045066288801E-4</v>
      </c>
      <c r="M274" s="1280">
        <v>1.16496771084274E-2</v>
      </c>
      <c r="N274" s="1271">
        <v>4.5203006026640199E-3</v>
      </c>
      <c r="O274" s="1257">
        <v>3.0000008598028201E-3</v>
      </c>
      <c r="P274" s="1257">
        <v>8.5810651461587298E-3</v>
      </c>
      <c r="Q274" s="1280">
        <v>4.5203006026640199E-3</v>
      </c>
      <c r="R274" s="1271">
        <v>3.8500011034136201E-2</v>
      </c>
      <c r="S274" s="1257">
        <v>3.8500011034136201E-2</v>
      </c>
      <c r="T274" s="1257">
        <v>3.8500011034136201E-2</v>
      </c>
      <c r="U274" s="1280">
        <v>1.9250005517068101E-2</v>
      </c>
      <c r="V274" s="1293">
        <v>8.2457415218438607E-3</v>
      </c>
    </row>
    <row r="275" spans="1:22" s="212" customFormat="1" ht="15.5" x14ac:dyDescent="0.35">
      <c r="A275" s="240">
        <v>2020</v>
      </c>
      <c r="B275" s="241" t="s">
        <v>5833</v>
      </c>
      <c r="C275" s="241">
        <v>1976</v>
      </c>
      <c r="D275" s="229" t="str">
        <f t="shared" si="0"/>
        <v>2020_1976</v>
      </c>
      <c r="E275" s="1226">
        <v>4.55010752903953E-2</v>
      </c>
      <c r="F275" s="1257">
        <v>1.3896477286177799E-2</v>
      </c>
      <c r="G275" s="1280">
        <v>2.0228108678798402</v>
      </c>
      <c r="H275" s="1271">
        <v>5.6763497797328899</v>
      </c>
      <c r="I275" s="1257">
        <v>0.43475109164268599</v>
      </c>
      <c r="J275" s="1280">
        <v>13.3946285946976</v>
      </c>
      <c r="K275" s="1271">
        <v>7.8890343936353201E-3</v>
      </c>
      <c r="L275" s="1257">
        <v>1.2509045066288801E-4</v>
      </c>
      <c r="M275" s="1280">
        <v>1.16496771084274E-2</v>
      </c>
      <c r="N275" s="1271">
        <v>4.5203006026640199E-3</v>
      </c>
      <c r="O275" s="1257">
        <v>3.0000008598028201E-3</v>
      </c>
      <c r="P275" s="1257">
        <v>8.5810651461587298E-3</v>
      </c>
      <c r="Q275" s="1280">
        <v>4.5203006026640199E-3</v>
      </c>
      <c r="R275" s="1271">
        <v>3.8500011034136201E-2</v>
      </c>
      <c r="S275" s="1257">
        <v>3.8500011034136201E-2</v>
      </c>
      <c r="T275" s="1257">
        <v>3.8500011034136201E-2</v>
      </c>
      <c r="U275" s="1280">
        <v>1.9250005517068101E-2</v>
      </c>
      <c r="V275" s="1293">
        <v>8.2457415218438607E-3</v>
      </c>
    </row>
    <row r="276" spans="1:22" s="212" customFormat="1" ht="15.5" x14ac:dyDescent="0.35">
      <c r="A276" s="240">
        <v>2020</v>
      </c>
      <c r="B276" s="241" t="s">
        <v>5833</v>
      </c>
      <c r="C276" s="241">
        <v>1977</v>
      </c>
      <c r="D276" s="229" t="str">
        <f t="shared" si="0"/>
        <v>2020_1977</v>
      </c>
      <c r="E276" s="1226">
        <v>4.55010752903953E-2</v>
      </c>
      <c r="F276" s="1257">
        <v>1.3896477286177799E-2</v>
      </c>
      <c r="G276" s="1280">
        <v>2.0228108678798402</v>
      </c>
      <c r="H276" s="1271">
        <v>5.6763497797328899</v>
      </c>
      <c r="I276" s="1257">
        <v>0.43475109164268599</v>
      </c>
      <c r="J276" s="1280">
        <v>13.3946285946976</v>
      </c>
      <c r="K276" s="1271">
        <v>7.8890343936353201E-3</v>
      </c>
      <c r="L276" s="1257">
        <v>1.2509045066288801E-4</v>
      </c>
      <c r="M276" s="1280">
        <v>1.16496771084274E-2</v>
      </c>
      <c r="N276" s="1271">
        <v>4.5203006026640199E-3</v>
      </c>
      <c r="O276" s="1257">
        <v>3.0000008598028201E-3</v>
      </c>
      <c r="P276" s="1257">
        <v>8.5810651461587298E-3</v>
      </c>
      <c r="Q276" s="1280">
        <v>4.5203006026640199E-3</v>
      </c>
      <c r="R276" s="1271">
        <v>3.8500011034136201E-2</v>
      </c>
      <c r="S276" s="1257">
        <v>3.8500011034136201E-2</v>
      </c>
      <c r="T276" s="1257">
        <v>3.8500011034136201E-2</v>
      </c>
      <c r="U276" s="1280">
        <v>1.9250005517068101E-2</v>
      </c>
      <c r="V276" s="1293">
        <v>8.2457415218438607E-3</v>
      </c>
    </row>
    <row r="277" spans="1:22" s="212" customFormat="1" ht="15.5" x14ac:dyDescent="0.35">
      <c r="A277" s="240">
        <v>2020</v>
      </c>
      <c r="B277" s="241" t="s">
        <v>5833</v>
      </c>
      <c r="C277" s="241">
        <v>1978</v>
      </c>
      <c r="D277" s="229" t="str">
        <f t="shared" si="0"/>
        <v>2020_1978</v>
      </c>
      <c r="E277" s="1226">
        <v>4.55010752903953E-2</v>
      </c>
      <c r="F277" s="1257">
        <v>1.3896477286177799E-2</v>
      </c>
      <c r="G277" s="1280">
        <v>2.0228108678798402</v>
      </c>
      <c r="H277" s="1271">
        <v>5.6763497797328899</v>
      </c>
      <c r="I277" s="1257">
        <v>0.43475109164268599</v>
      </c>
      <c r="J277" s="1280">
        <v>13.3946285946976</v>
      </c>
      <c r="K277" s="1271">
        <v>7.8890343936353201E-3</v>
      </c>
      <c r="L277" s="1257">
        <v>1.2509045066288801E-4</v>
      </c>
      <c r="M277" s="1280">
        <v>1.16496771084274E-2</v>
      </c>
      <c r="N277" s="1271">
        <v>4.5203006026640199E-3</v>
      </c>
      <c r="O277" s="1257">
        <v>3.0000008598028201E-3</v>
      </c>
      <c r="P277" s="1257">
        <v>8.5810651461587298E-3</v>
      </c>
      <c r="Q277" s="1280">
        <v>4.5203006026640199E-3</v>
      </c>
      <c r="R277" s="1271">
        <v>3.8500011034136201E-2</v>
      </c>
      <c r="S277" s="1257">
        <v>3.8500011034136201E-2</v>
      </c>
      <c r="T277" s="1257">
        <v>3.8500011034136201E-2</v>
      </c>
      <c r="U277" s="1280">
        <v>1.9250005517068101E-2</v>
      </c>
      <c r="V277" s="1293">
        <v>8.2457415218438607E-3</v>
      </c>
    </row>
    <row r="278" spans="1:22" s="212" customFormat="1" ht="15.5" x14ac:dyDescent="0.35">
      <c r="A278" s="240">
        <v>2020</v>
      </c>
      <c r="B278" s="241" t="s">
        <v>5833</v>
      </c>
      <c r="C278" s="241">
        <v>1979</v>
      </c>
      <c r="D278" s="229" t="str">
        <f t="shared" si="0"/>
        <v>2020_1979</v>
      </c>
      <c r="E278" s="1226">
        <v>4.55010752903953E-2</v>
      </c>
      <c r="F278" s="1257">
        <v>1.3896477286177799E-2</v>
      </c>
      <c r="G278" s="1280">
        <v>2.0228108678798402</v>
      </c>
      <c r="H278" s="1271">
        <v>5.6763497797328899</v>
      </c>
      <c r="I278" s="1257">
        <v>0.43475109164268599</v>
      </c>
      <c r="J278" s="1280">
        <v>13.3946285946976</v>
      </c>
      <c r="K278" s="1271">
        <v>7.8890343936353201E-3</v>
      </c>
      <c r="L278" s="1257">
        <v>1.2509045066288801E-4</v>
      </c>
      <c r="M278" s="1280">
        <v>1.16496771084274E-2</v>
      </c>
      <c r="N278" s="1271">
        <v>4.5203006026640199E-3</v>
      </c>
      <c r="O278" s="1257">
        <v>3.0000008598028201E-3</v>
      </c>
      <c r="P278" s="1257">
        <v>8.5810651461587298E-3</v>
      </c>
      <c r="Q278" s="1280">
        <v>4.5203006026640199E-3</v>
      </c>
      <c r="R278" s="1271">
        <v>3.8500011034136201E-2</v>
      </c>
      <c r="S278" s="1257">
        <v>3.8500011034136201E-2</v>
      </c>
      <c r="T278" s="1257">
        <v>3.8500011034136201E-2</v>
      </c>
      <c r="U278" s="1280">
        <v>1.9250005517068101E-2</v>
      </c>
      <c r="V278" s="1293">
        <v>8.2457415218438607E-3</v>
      </c>
    </row>
    <row r="279" spans="1:22" s="212" customFormat="1" ht="15.5" x14ac:dyDescent="0.35">
      <c r="A279" s="240">
        <v>2020</v>
      </c>
      <c r="B279" s="241" t="s">
        <v>5833</v>
      </c>
      <c r="C279" s="241">
        <v>1980</v>
      </c>
      <c r="D279" s="229" t="str">
        <f t="shared" si="0"/>
        <v>2020_1980</v>
      </c>
      <c r="E279" s="1226">
        <v>4.55010752903953E-2</v>
      </c>
      <c r="F279" s="1257">
        <v>1.3896477286177799E-2</v>
      </c>
      <c r="G279" s="1280">
        <v>2.0228108678798402</v>
      </c>
      <c r="H279" s="1271">
        <v>5.6763497797328899</v>
      </c>
      <c r="I279" s="1257">
        <v>0.43475109164268599</v>
      </c>
      <c r="J279" s="1280">
        <v>13.3946285946976</v>
      </c>
      <c r="K279" s="1271">
        <v>7.8890343936353201E-3</v>
      </c>
      <c r="L279" s="1257">
        <v>1.2509045066288801E-4</v>
      </c>
      <c r="M279" s="1280">
        <v>1.16496771084274E-2</v>
      </c>
      <c r="N279" s="1271">
        <v>4.5203006026640199E-3</v>
      </c>
      <c r="O279" s="1257">
        <v>3.0000008598028201E-3</v>
      </c>
      <c r="P279" s="1257">
        <v>8.5810651461587298E-3</v>
      </c>
      <c r="Q279" s="1280">
        <v>4.5203006026640199E-3</v>
      </c>
      <c r="R279" s="1271">
        <v>3.8500011034136201E-2</v>
      </c>
      <c r="S279" s="1257">
        <v>3.8500011034136201E-2</v>
      </c>
      <c r="T279" s="1257">
        <v>3.8500011034136201E-2</v>
      </c>
      <c r="U279" s="1280">
        <v>1.9250005517068101E-2</v>
      </c>
      <c r="V279" s="1293">
        <v>8.2457415218438607E-3</v>
      </c>
    </row>
    <row r="280" spans="1:22" s="212" customFormat="1" ht="15.5" x14ac:dyDescent="0.35">
      <c r="A280" s="240">
        <v>2020</v>
      </c>
      <c r="B280" s="241" t="s">
        <v>5833</v>
      </c>
      <c r="C280" s="241">
        <v>1981</v>
      </c>
      <c r="D280" s="229" t="str">
        <f t="shared" si="0"/>
        <v>2020_1981</v>
      </c>
      <c r="E280" s="1226">
        <v>4.55010752903953E-2</v>
      </c>
      <c r="F280" s="1257">
        <v>1.3896477286177799E-2</v>
      </c>
      <c r="G280" s="1280">
        <v>2.0228108678798402</v>
      </c>
      <c r="H280" s="1271">
        <v>5.6763497797328899</v>
      </c>
      <c r="I280" s="1257">
        <v>0.43475109164268599</v>
      </c>
      <c r="J280" s="1280">
        <v>13.3946285946976</v>
      </c>
      <c r="K280" s="1271">
        <v>7.8890343936353201E-3</v>
      </c>
      <c r="L280" s="1257">
        <v>1.2509045066288801E-4</v>
      </c>
      <c r="M280" s="1280">
        <v>1.16496771084274E-2</v>
      </c>
      <c r="N280" s="1271">
        <v>4.5203006026640199E-3</v>
      </c>
      <c r="O280" s="1257">
        <v>3.0000008598028201E-3</v>
      </c>
      <c r="P280" s="1257">
        <v>8.5810651461587298E-3</v>
      </c>
      <c r="Q280" s="1280">
        <v>4.5203006026640199E-3</v>
      </c>
      <c r="R280" s="1271">
        <v>3.8500011034136201E-2</v>
      </c>
      <c r="S280" s="1257">
        <v>3.8500011034136201E-2</v>
      </c>
      <c r="T280" s="1257">
        <v>3.8500011034136201E-2</v>
      </c>
      <c r="U280" s="1280">
        <v>1.9250005517068101E-2</v>
      </c>
      <c r="V280" s="1293">
        <v>8.2457415218438607E-3</v>
      </c>
    </row>
    <row r="281" spans="1:22" s="212" customFormat="1" ht="15.5" x14ac:dyDescent="0.35">
      <c r="A281" s="240">
        <v>2020</v>
      </c>
      <c r="B281" s="241" t="s">
        <v>5833</v>
      </c>
      <c r="C281" s="241">
        <v>1982</v>
      </c>
      <c r="D281" s="229" t="str">
        <f t="shared" si="0"/>
        <v>2020_1982</v>
      </c>
      <c r="E281" s="1226">
        <v>4.55010752903953E-2</v>
      </c>
      <c r="F281" s="1257">
        <v>1.3896477286177799E-2</v>
      </c>
      <c r="G281" s="1280">
        <v>2.0228108678798402</v>
      </c>
      <c r="H281" s="1271">
        <v>5.6763497797328899</v>
      </c>
      <c r="I281" s="1257">
        <v>0.43475109164268599</v>
      </c>
      <c r="J281" s="1280">
        <v>13.3946285946976</v>
      </c>
      <c r="K281" s="1271">
        <v>7.8890343936353201E-3</v>
      </c>
      <c r="L281" s="1257">
        <v>1.2509045066288801E-4</v>
      </c>
      <c r="M281" s="1280">
        <v>1.16496771084274E-2</v>
      </c>
      <c r="N281" s="1271">
        <v>4.5203006026640199E-3</v>
      </c>
      <c r="O281" s="1257">
        <v>3.0000008598028201E-3</v>
      </c>
      <c r="P281" s="1257">
        <v>8.5810651461587298E-3</v>
      </c>
      <c r="Q281" s="1280">
        <v>4.5203006026640199E-3</v>
      </c>
      <c r="R281" s="1271">
        <v>3.8500011034136201E-2</v>
      </c>
      <c r="S281" s="1257">
        <v>3.8500011034136201E-2</v>
      </c>
      <c r="T281" s="1257">
        <v>3.8500011034136201E-2</v>
      </c>
      <c r="U281" s="1280">
        <v>1.9250005517068101E-2</v>
      </c>
      <c r="V281" s="1293">
        <v>8.2457415218438607E-3</v>
      </c>
    </row>
    <row r="282" spans="1:22" s="212" customFormat="1" ht="15.5" x14ac:dyDescent="0.35">
      <c r="A282" s="240">
        <v>2020</v>
      </c>
      <c r="B282" s="241" t="s">
        <v>5833</v>
      </c>
      <c r="C282" s="241">
        <v>1983</v>
      </c>
      <c r="D282" s="229" t="str">
        <f t="shared" si="0"/>
        <v>2020_1983</v>
      </c>
      <c r="E282" s="1226">
        <v>4.55010752903953E-2</v>
      </c>
      <c r="F282" s="1257">
        <v>1.3896477286177799E-2</v>
      </c>
      <c r="G282" s="1280">
        <v>2.0228108678798402</v>
      </c>
      <c r="H282" s="1271">
        <v>5.6763497797328899</v>
      </c>
      <c r="I282" s="1257">
        <v>0.43475109164268599</v>
      </c>
      <c r="J282" s="1280">
        <v>13.3946285946976</v>
      </c>
      <c r="K282" s="1271">
        <v>7.8890343936353201E-3</v>
      </c>
      <c r="L282" s="1257">
        <v>1.2509045066288801E-4</v>
      </c>
      <c r="M282" s="1280">
        <v>1.16496771084274E-2</v>
      </c>
      <c r="N282" s="1271">
        <v>4.5203006026640199E-3</v>
      </c>
      <c r="O282" s="1257">
        <v>3.0000008598028201E-3</v>
      </c>
      <c r="P282" s="1257">
        <v>8.5810651461587298E-3</v>
      </c>
      <c r="Q282" s="1280">
        <v>4.5203006026640199E-3</v>
      </c>
      <c r="R282" s="1271">
        <v>3.8500011034136201E-2</v>
      </c>
      <c r="S282" s="1257">
        <v>3.8500011034136201E-2</v>
      </c>
      <c r="T282" s="1257">
        <v>3.8500011034136201E-2</v>
      </c>
      <c r="U282" s="1280">
        <v>1.9250005517068101E-2</v>
      </c>
      <c r="V282" s="1293">
        <v>8.2457415218438607E-3</v>
      </c>
    </row>
    <row r="283" spans="1:22" s="212" customFormat="1" ht="15.5" x14ac:dyDescent="0.35">
      <c r="A283" s="240">
        <v>2020</v>
      </c>
      <c r="B283" s="241" t="s">
        <v>5833</v>
      </c>
      <c r="C283" s="241">
        <v>1984</v>
      </c>
      <c r="D283" s="229" t="str">
        <f t="shared" si="0"/>
        <v>2020_1984</v>
      </c>
      <c r="E283" s="1226">
        <v>4.55010752903953E-2</v>
      </c>
      <c r="F283" s="1257">
        <v>1.3896477286177799E-2</v>
      </c>
      <c r="G283" s="1280">
        <v>2.0228108678798402</v>
      </c>
      <c r="H283" s="1271">
        <v>5.6763497797328899</v>
      </c>
      <c r="I283" s="1257">
        <v>0.43475109164268599</v>
      </c>
      <c r="J283" s="1280">
        <v>13.3946285946976</v>
      </c>
      <c r="K283" s="1271">
        <v>7.8890343936353201E-3</v>
      </c>
      <c r="L283" s="1257">
        <v>1.2509045066288801E-4</v>
      </c>
      <c r="M283" s="1280">
        <v>1.16496771084274E-2</v>
      </c>
      <c r="N283" s="1271">
        <v>4.5203006026640199E-3</v>
      </c>
      <c r="O283" s="1257">
        <v>3.0000008598028201E-3</v>
      </c>
      <c r="P283" s="1257">
        <v>8.5810651461587298E-3</v>
      </c>
      <c r="Q283" s="1280">
        <v>4.5203006026640199E-3</v>
      </c>
      <c r="R283" s="1271">
        <v>3.8500011034136201E-2</v>
      </c>
      <c r="S283" s="1257">
        <v>3.8500011034136201E-2</v>
      </c>
      <c r="T283" s="1257">
        <v>3.8500011034136201E-2</v>
      </c>
      <c r="U283" s="1280">
        <v>1.9250005517068101E-2</v>
      </c>
      <c r="V283" s="1293">
        <v>8.2457415218438607E-3</v>
      </c>
    </row>
    <row r="284" spans="1:22" s="212" customFormat="1" ht="15.5" x14ac:dyDescent="0.35">
      <c r="A284" s="240">
        <v>2020</v>
      </c>
      <c r="B284" s="241" t="s">
        <v>5833</v>
      </c>
      <c r="C284" s="241">
        <v>1985</v>
      </c>
      <c r="D284" s="229" t="str">
        <f t="shared" si="0"/>
        <v>2020_1985</v>
      </c>
      <c r="E284" s="1226">
        <v>4.55010752903953E-2</v>
      </c>
      <c r="F284" s="1257">
        <v>1.3896477286177799E-2</v>
      </c>
      <c r="G284" s="1280">
        <v>2.0228108678798402</v>
      </c>
      <c r="H284" s="1271">
        <v>5.6763497797328899</v>
      </c>
      <c r="I284" s="1257">
        <v>0.43475109164268599</v>
      </c>
      <c r="J284" s="1280">
        <v>13.3946285946976</v>
      </c>
      <c r="K284" s="1271">
        <v>7.8890343936353201E-3</v>
      </c>
      <c r="L284" s="1257">
        <v>1.2509045066288801E-4</v>
      </c>
      <c r="M284" s="1280">
        <v>1.16496771084274E-2</v>
      </c>
      <c r="N284" s="1271">
        <v>4.5203006026640199E-3</v>
      </c>
      <c r="O284" s="1257">
        <v>3.0000008598028201E-3</v>
      </c>
      <c r="P284" s="1257">
        <v>8.5810651461587298E-3</v>
      </c>
      <c r="Q284" s="1280">
        <v>4.5203006026640199E-3</v>
      </c>
      <c r="R284" s="1271">
        <v>3.8500011034136201E-2</v>
      </c>
      <c r="S284" s="1257">
        <v>3.8500011034136201E-2</v>
      </c>
      <c r="T284" s="1257">
        <v>3.8500011034136201E-2</v>
      </c>
      <c r="U284" s="1280">
        <v>1.9250005517068101E-2</v>
      </c>
      <c r="V284" s="1293">
        <v>8.2457415218438607E-3</v>
      </c>
    </row>
    <row r="285" spans="1:22" s="212" customFormat="1" ht="15.5" x14ac:dyDescent="0.35">
      <c r="A285" s="240">
        <v>2020</v>
      </c>
      <c r="B285" s="241" t="s">
        <v>5833</v>
      </c>
      <c r="C285" s="241">
        <v>1986</v>
      </c>
      <c r="D285" s="229" t="str">
        <f t="shared" si="0"/>
        <v>2020_1986</v>
      </c>
      <c r="E285" s="1226">
        <v>4.55010752903953E-2</v>
      </c>
      <c r="F285" s="1257">
        <v>1.3896477286177799E-2</v>
      </c>
      <c r="G285" s="1280">
        <v>2.0228108678798402</v>
      </c>
      <c r="H285" s="1271">
        <v>5.6763497797328899</v>
      </c>
      <c r="I285" s="1257">
        <v>0.43475109164268599</v>
      </c>
      <c r="J285" s="1280">
        <v>13.3946285946976</v>
      </c>
      <c r="K285" s="1271">
        <v>7.8890343936353201E-3</v>
      </c>
      <c r="L285" s="1257">
        <v>1.2509045066288801E-4</v>
      </c>
      <c r="M285" s="1280">
        <v>1.16496771084274E-2</v>
      </c>
      <c r="N285" s="1271">
        <v>4.5203006026640199E-3</v>
      </c>
      <c r="O285" s="1257">
        <v>3.0000008598028201E-3</v>
      </c>
      <c r="P285" s="1257">
        <v>8.5810651461587298E-3</v>
      </c>
      <c r="Q285" s="1280">
        <v>4.5203006026640199E-3</v>
      </c>
      <c r="R285" s="1271">
        <v>3.8500011034136201E-2</v>
      </c>
      <c r="S285" s="1257">
        <v>3.8500011034136201E-2</v>
      </c>
      <c r="T285" s="1257">
        <v>3.8500011034136201E-2</v>
      </c>
      <c r="U285" s="1280">
        <v>1.9250005517068101E-2</v>
      </c>
      <c r="V285" s="1293">
        <v>8.2457415218438607E-3</v>
      </c>
    </row>
    <row r="286" spans="1:22" s="212" customFormat="1" ht="15.5" x14ac:dyDescent="0.35">
      <c r="A286" s="240">
        <v>2020</v>
      </c>
      <c r="B286" s="241" t="s">
        <v>5833</v>
      </c>
      <c r="C286" s="241">
        <v>1987</v>
      </c>
      <c r="D286" s="229" t="str">
        <f t="shared" si="0"/>
        <v>2020_1987</v>
      </c>
      <c r="E286" s="1226">
        <v>4.55010752903953E-2</v>
      </c>
      <c r="F286" s="1257">
        <v>1.3896477286177799E-2</v>
      </c>
      <c r="G286" s="1280">
        <v>2.0228108678798402</v>
      </c>
      <c r="H286" s="1271">
        <v>5.6763497797328899</v>
      </c>
      <c r="I286" s="1257">
        <v>0.43475109164268599</v>
      </c>
      <c r="J286" s="1280">
        <v>13.3946285946976</v>
      </c>
      <c r="K286" s="1271">
        <v>7.8890343936353201E-3</v>
      </c>
      <c r="L286" s="1257">
        <v>1.2509045066288801E-4</v>
      </c>
      <c r="M286" s="1280">
        <v>1.16496771084274E-2</v>
      </c>
      <c r="N286" s="1271">
        <v>4.5203006026640199E-3</v>
      </c>
      <c r="O286" s="1257">
        <v>3.0000008598028201E-3</v>
      </c>
      <c r="P286" s="1257">
        <v>8.5810651461587298E-3</v>
      </c>
      <c r="Q286" s="1280">
        <v>4.5203006026640199E-3</v>
      </c>
      <c r="R286" s="1271">
        <v>3.8500011034136201E-2</v>
      </c>
      <c r="S286" s="1257">
        <v>3.8500011034136201E-2</v>
      </c>
      <c r="T286" s="1257">
        <v>3.8500011034136201E-2</v>
      </c>
      <c r="U286" s="1280">
        <v>1.9250005517068101E-2</v>
      </c>
      <c r="V286" s="1293">
        <v>8.2457415218438607E-3</v>
      </c>
    </row>
    <row r="287" spans="1:22" s="212" customFormat="1" ht="15.5" x14ac:dyDescent="0.35">
      <c r="A287" s="240">
        <v>2020</v>
      </c>
      <c r="B287" s="241" t="s">
        <v>5833</v>
      </c>
      <c r="C287" s="241">
        <v>1988</v>
      </c>
      <c r="D287" s="229" t="str">
        <f t="shared" ref="D287:D496" si="2">CONCATENATE(A287,"_",C287)</f>
        <v>2020_1988</v>
      </c>
      <c r="E287" s="1226">
        <v>4.55010752903953E-2</v>
      </c>
      <c r="F287" s="1257">
        <v>1.3896477286177799E-2</v>
      </c>
      <c r="G287" s="1280">
        <v>2.0228108678798402</v>
      </c>
      <c r="H287" s="1271">
        <v>5.6763497797328899</v>
      </c>
      <c r="I287" s="1257">
        <v>0.43475109164268599</v>
      </c>
      <c r="J287" s="1280">
        <v>13.3946285946976</v>
      </c>
      <c r="K287" s="1271">
        <v>7.8890343936353201E-3</v>
      </c>
      <c r="L287" s="1257">
        <v>1.2509045066288801E-4</v>
      </c>
      <c r="M287" s="1280">
        <v>1.16496771084274E-2</v>
      </c>
      <c r="N287" s="1271">
        <v>4.5203006026640199E-3</v>
      </c>
      <c r="O287" s="1257">
        <v>3.0000008598028201E-3</v>
      </c>
      <c r="P287" s="1257">
        <v>8.5810651461587298E-3</v>
      </c>
      <c r="Q287" s="1280">
        <v>4.5203006026640199E-3</v>
      </c>
      <c r="R287" s="1271">
        <v>3.8500011034136201E-2</v>
      </c>
      <c r="S287" s="1257">
        <v>3.8500011034136201E-2</v>
      </c>
      <c r="T287" s="1257">
        <v>3.8500011034136201E-2</v>
      </c>
      <c r="U287" s="1280">
        <v>1.9250005517068101E-2</v>
      </c>
      <c r="V287" s="1293">
        <v>8.2457415218438607E-3</v>
      </c>
    </row>
    <row r="288" spans="1:22" s="212" customFormat="1" ht="15.5" x14ac:dyDescent="0.35">
      <c r="A288" s="240">
        <v>2020</v>
      </c>
      <c r="B288" s="241" t="s">
        <v>5833</v>
      </c>
      <c r="C288" s="241">
        <v>1989</v>
      </c>
      <c r="D288" s="229" t="str">
        <f t="shared" si="2"/>
        <v>2020_1989</v>
      </c>
      <c r="E288" s="1226">
        <v>4.55010752903953E-2</v>
      </c>
      <c r="F288" s="1257">
        <v>1.3896477286177799E-2</v>
      </c>
      <c r="G288" s="1280">
        <v>2.0228108678798402</v>
      </c>
      <c r="H288" s="1271">
        <v>5.6763497797328899</v>
      </c>
      <c r="I288" s="1257">
        <v>0.43475109164268599</v>
      </c>
      <c r="J288" s="1280">
        <v>13.3946285946976</v>
      </c>
      <c r="K288" s="1271">
        <v>7.8890343936353201E-3</v>
      </c>
      <c r="L288" s="1257">
        <v>1.2509045066288801E-4</v>
      </c>
      <c r="M288" s="1280">
        <v>1.16496771084274E-2</v>
      </c>
      <c r="N288" s="1271">
        <v>4.5203006026640199E-3</v>
      </c>
      <c r="O288" s="1257">
        <v>3.0000008598028201E-3</v>
      </c>
      <c r="P288" s="1257">
        <v>8.5810651461587298E-3</v>
      </c>
      <c r="Q288" s="1280">
        <v>4.5203006026640199E-3</v>
      </c>
      <c r="R288" s="1271">
        <v>3.8500011034136201E-2</v>
      </c>
      <c r="S288" s="1257">
        <v>3.8500011034136201E-2</v>
      </c>
      <c r="T288" s="1257">
        <v>3.8500011034136201E-2</v>
      </c>
      <c r="U288" s="1280">
        <v>1.9250005517068101E-2</v>
      </c>
      <c r="V288" s="1293">
        <v>8.2457415218438607E-3</v>
      </c>
    </row>
    <row r="289" spans="1:22" s="212" customFormat="1" ht="15.5" x14ac:dyDescent="0.35">
      <c r="A289" s="240">
        <v>2020</v>
      </c>
      <c r="B289" s="241" t="s">
        <v>5833</v>
      </c>
      <c r="C289" s="241">
        <v>1990</v>
      </c>
      <c r="D289" s="229" t="str">
        <f t="shared" si="2"/>
        <v>2020_1990</v>
      </c>
      <c r="E289" s="1226">
        <v>4.55010752903953E-2</v>
      </c>
      <c r="F289" s="1257">
        <v>1.3896477286177799E-2</v>
      </c>
      <c r="G289" s="1280">
        <v>2.0228108678798402</v>
      </c>
      <c r="H289" s="1271">
        <v>5.6763497797328899</v>
      </c>
      <c r="I289" s="1257">
        <v>0.43475109164268599</v>
      </c>
      <c r="J289" s="1280">
        <v>13.3946285946976</v>
      </c>
      <c r="K289" s="1271">
        <v>7.8890343936353201E-3</v>
      </c>
      <c r="L289" s="1257">
        <v>1.2509045066288801E-4</v>
      </c>
      <c r="M289" s="1280">
        <v>1.16496771084274E-2</v>
      </c>
      <c r="N289" s="1271">
        <v>4.5203006026640199E-3</v>
      </c>
      <c r="O289" s="1257">
        <v>3.0000008598028201E-3</v>
      </c>
      <c r="P289" s="1257">
        <v>8.5810651461587298E-3</v>
      </c>
      <c r="Q289" s="1280">
        <v>4.5203006026640199E-3</v>
      </c>
      <c r="R289" s="1271">
        <v>3.8500011034136201E-2</v>
      </c>
      <c r="S289" s="1257">
        <v>3.8500011034136201E-2</v>
      </c>
      <c r="T289" s="1257">
        <v>3.8500011034136201E-2</v>
      </c>
      <c r="U289" s="1280">
        <v>1.9250005517068101E-2</v>
      </c>
      <c r="V289" s="1293">
        <v>8.2457415218438607E-3</v>
      </c>
    </row>
    <row r="290" spans="1:22" s="212" customFormat="1" ht="15.5" x14ac:dyDescent="0.35">
      <c r="A290" s="240">
        <v>2020</v>
      </c>
      <c r="B290" s="241" t="s">
        <v>5833</v>
      </c>
      <c r="C290" s="241">
        <v>1991</v>
      </c>
      <c r="D290" s="229" t="str">
        <f t="shared" si="2"/>
        <v>2020_1991</v>
      </c>
      <c r="E290" s="1226">
        <v>4.55010752903953E-2</v>
      </c>
      <c r="F290" s="1257">
        <v>1.3896477286177799E-2</v>
      </c>
      <c r="G290" s="1280">
        <v>2.0228108678798402</v>
      </c>
      <c r="H290" s="1271">
        <v>5.6763497797328899</v>
      </c>
      <c r="I290" s="1257">
        <v>0.43475109164268599</v>
      </c>
      <c r="J290" s="1280">
        <v>13.3946285946976</v>
      </c>
      <c r="K290" s="1271">
        <v>7.8890343936353201E-3</v>
      </c>
      <c r="L290" s="1257">
        <v>1.2509045066288801E-4</v>
      </c>
      <c r="M290" s="1280">
        <v>1.16496771084274E-2</v>
      </c>
      <c r="N290" s="1271">
        <v>4.5203006026640199E-3</v>
      </c>
      <c r="O290" s="1257">
        <v>3.0000008598028201E-3</v>
      </c>
      <c r="P290" s="1257">
        <v>8.5810651461587298E-3</v>
      </c>
      <c r="Q290" s="1280">
        <v>4.5203006026640199E-3</v>
      </c>
      <c r="R290" s="1271">
        <v>3.8500011034136201E-2</v>
      </c>
      <c r="S290" s="1257">
        <v>3.8500011034136201E-2</v>
      </c>
      <c r="T290" s="1257">
        <v>3.8500011034136201E-2</v>
      </c>
      <c r="U290" s="1280">
        <v>1.9250005517068101E-2</v>
      </c>
      <c r="V290" s="1293">
        <v>8.2457415218438607E-3</v>
      </c>
    </row>
    <row r="291" spans="1:22" s="212" customFormat="1" ht="15.5" x14ac:dyDescent="0.35">
      <c r="A291" s="240">
        <v>2020</v>
      </c>
      <c r="B291" s="241" t="s">
        <v>5833</v>
      </c>
      <c r="C291" s="241">
        <v>1992</v>
      </c>
      <c r="D291" s="229" t="str">
        <f t="shared" si="2"/>
        <v>2020_1992</v>
      </c>
      <c r="E291" s="1226">
        <v>4.55010752903953E-2</v>
      </c>
      <c r="F291" s="1257">
        <v>1.3896477286177799E-2</v>
      </c>
      <c r="G291" s="1280">
        <v>2.0228108678798402</v>
      </c>
      <c r="H291" s="1271">
        <v>5.6763497797328899</v>
      </c>
      <c r="I291" s="1257">
        <v>0.43475109164268599</v>
      </c>
      <c r="J291" s="1280">
        <v>13.3946285946976</v>
      </c>
      <c r="K291" s="1271">
        <v>7.8890343936353201E-3</v>
      </c>
      <c r="L291" s="1257">
        <v>1.2509045066288801E-4</v>
      </c>
      <c r="M291" s="1280">
        <v>1.16496771084274E-2</v>
      </c>
      <c r="N291" s="1271">
        <v>4.5203006026640199E-3</v>
      </c>
      <c r="O291" s="1257">
        <v>3.0000008598028201E-3</v>
      </c>
      <c r="P291" s="1257">
        <v>8.5810651461587298E-3</v>
      </c>
      <c r="Q291" s="1280">
        <v>4.5203006026640199E-3</v>
      </c>
      <c r="R291" s="1271">
        <v>3.8500011034136201E-2</v>
      </c>
      <c r="S291" s="1257">
        <v>3.8500011034136201E-2</v>
      </c>
      <c r="T291" s="1257">
        <v>3.8500011034136201E-2</v>
      </c>
      <c r="U291" s="1280">
        <v>1.9250005517068101E-2</v>
      </c>
      <c r="V291" s="1293">
        <v>8.2457415218438607E-3</v>
      </c>
    </row>
    <row r="292" spans="1:22" s="212" customFormat="1" ht="15.5" x14ac:dyDescent="0.35">
      <c r="A292" s="198">
        <v>2020</v>
      </c>
      <c r="B292" s="197" t="s">
        <v>5833</v>
      </c>
      <c r="C292" s="197">
        <v>1993</v>
      </c>
      <c r="D292" s="225" t="str">
        <f t="shared" si="2"/>
        <v>2020_1993</v>
      </c>
      <c r="E292" s="1226">
        <v>4.55010752903953E-2</v>
      </c>
      <c r="F292" s="1257">
        <v>1.3896477286177799E-2</v>
      </c>
      <c r="G292" s="1280">
        <v>2.0228108678798402</v>
      </c>
      <c r="H292" s="1271">
        <v>5.6763497797328899</v>
      </c>
      <c r="I292" s="1257">
        <v>0.43475109164268599</v>
      </c>
      <c r="J292" s="1280">
        <v>13.3946285946976</v>
      </c>
      <c r="K292" s="1271">
        <v>7.8890343936353201E-3</v>
      </c>
      <c r="L292" s="1257">
        <v>1.2509045066288801E-4</v>
      </c>
      <c r="M292" s="1280">
        <v>1.16496771084274E-2</v>
      </c>
      <c r="N292" s="1271">
        <v>4.5203006026640199E-3</v>
      </c>
      <c r="O292" s="1257">
        <v>3.0000008598028201E-3</v>
      </c>
      <c r="P292" s="1257">
        <v>8.5810651461587298E-3</v>
      </c>
      <c r="Q292" s="1280">
        <v>4.5203006026640199E-3</v>
      </c>
      <c r="R292" s="1271">
        <v>3.8500011034136201E-2</v>
      </c>
      <c r="S292" s="1257">
        <v>3.8500011034136201E-2</v>
      </c>
      <c r="T292" s="1257">
        <v>3.8500011034136201E-2</v>
      </c>
      <c r="U292" s="1280">
        <v>1.9250005517068101E-2</v>
      </c>
      <c r="V292" s="1293">
        <v>8.2457415218438607E-3</v>
      </c>
    </row>
    <row r="293" spans="1:22" s="212" customFormat="1" ht="15.5" x14ac:dyDescent="0.35">
      <c r="A293" s="198">
        <v>2020</v>
      </c>
      <c r="B293" s="197" t="s">
        <v>5833</v>
      </c>
      <c r="C293" s="197">
        <v>1994</v>
      </c>
      <c r="D293" s="225" t="str">
        <f t="shared" si="2"/>
        <v>2020_1994</v>
      </c>
      <c r="E293" s="1226">
        <v>4.55010752903953E-2</v>
      </c>
      <c r="F293" s="1257">
        <v>1.3896477286177799E-2</v>
      </c>
      <c r="G293" s="1280">
        <v>2.0228108678798402</v>
      </c>
      <c r="H293" s="1271">
        <v>5.6763497797328899</v>
      </c>
      <c r="I293" s="1257">
        <v>0.43475109164268599</v>
      </c>
      <c r="J293" s="1280">
        <v>13.3946285946976</v>
      </c>
      <c r="K293" s="1271">
        <v>7.8890343936353201E-3</v>
      </c>
      <c r="L293" s="1257">
        <v>1.2509045066288801E-4</v>
      </c>
      <c r="M293" s="1280">
        <v>1.16496771084274E-2</v>
      </c>
      <c r="N293" s="1271">
        <v>4.5203006026640199E-3</v>
      </c>
      <c r="O293" s="1257">
        <v>3.0000008598028201E-3</v>
      </c>
      <c r="P293" s="1257">
        <v>8.5810651461587298E-3</v>
      </c>
      <c r="Q293" s="1280">
        <v>4.5203006026640199E-3</v>
      </c>
      <c r="R293" s="1271">
        <v>3.8500011034136201E-2</v>
      </c>
      <c r="S293" s="1257">
        <v>3.8500011034136201E-2</v>
      </c>
      <c r="T293" s="1257">
        <v>3.8500011034136201E-2</v>
      </c>
      <c r="U293" s="1280">
        <v>1.9250005517068101E-2</v>
      </c>
      <c r="V293" s="1293">
        <v>8.2457415218438607E-3</v>
      </c>
    </row>
    <row r="294" spans="1:22" s="212" customFormat="1" ht="15.5" x14ac:dyDescent="0.35">
      <c r="A294" s="198">
        <v>2020</v>
      </c>
      <c r="B294" s="197" t="s">
        <v>5833</v>
      </c>
      <c r="C294" s="197">
        <v>1995</v>
      </c>
      <c r="D294" s="225" t="str">
        <f t="shared" si="2"/>
        <v>2020_1995</v>
      </c>
      <c r="E294" s="1226">
        <v>4.55010752903953E-2</v>
      </c>
      <c r="F294" s="1257">
        <v>1.3896477286177799E-2</v>
      </c>
      <c r="G294" s="1280">
        <v>2.0228108678798402</v>
      </c>
      <c r="H294" s="1271">
        <v>5.6763497797328899</v>
      </c>
      <c r="I294" s="1257">
        <v>0.43475109164268599</v>
      </c>
      <c r="J294" s="1280">
        <v>13.3946285946976</v>
      </c>
      <c r="K294" s="1271">
        <v>7.8890343936353201E-3</v>
      </c>
      <c r="L294" s="1257">
        <v>1.2509045066288801E-4</v>
      </c>
      <c r="M294" s="1280">
        <v>1.16496771084274E-2</v>
      </c>
      <c r="N294" s="1271">
        <v>4.5203006026640199E-3</v>
      </c>
      <c r="O294" s="1257">
        <v>3.0000008598028201E-3</v>
      </c>
      <c r="P294" s="1257">
        <v>8.5810651461587298E-3</v>
      </c>
      <c r="Q294" s="1280">
        <v>4.5203006026640199E-3</v>
      </c>
      <c r="R294" s="1271">
        <v>3.8500011034136201E-2</v>
      </c>
      <c r="S294" s="1257">
        <v>3.8500011034136201E-2</v>
      </c>
      <c r="T294" s="1257">
        <v>3.8500011034136201E-2</v>
      </c>
      <c r="U294" s="1280">
        <v>1.9250005517068101E-2</v>
      </c>
      <c r="V294" s="1293">
        <v>8.2457415218438607E-3</v>
      </c>
    </row>
    <row r="295" spans="1:22" s="212" customFormat="1" ht="15.5" x14ac:dyDescent="0.35">
      <c r="A295" s="198">
        <v>2020</v>
      </c>
      <c r="B295" s="197" t="s">
        <v>5833</v>
      </c>
      <c r="C295" s="197">
        <v>1996</v>
      </c>
      <c r="D295" s="225" t="str">
        <f t="shared" si="2"/>
        <v>2020_1996</v>
      </c>
      <c r="E295" s="1226">
        <v>4.55010752903953E-2</v>
      </c>
      <c r="F295" s="1257">
        <v>1.3896477286177799E-2</v>
      </c>
      <c r="G295" s="1280">
        <v>2.0228108678798402</v>
      </c>
      <c r="H295" s="1271">
        <v>5.6763497797328899</v>
      </c>
      <c r="I295" s="1257">
        <v>0.43475109164268599</v>
      </c>
      <c r="J295" s="1280">
        <v>13.3946285946976</v>
      </c>
      <c r="K295" s="1271">
        <v>7.8890343936353201E-3</v>
      </c>
      <c r="L295" s="1257">
        <v>1.2509045066288801E-4</v>
      </c>
      <c r="M295" s="1280">
        <v>1.16496771084274E-2</v>
      </c>
      <c r="N295" s="1271">
        <v>4.5203006026640199E-3</v>
      </c>
      <c r="O295" s="1257">
        <v>3.0000008598028201E-3</v>
      </c>
      <c r="P295" s="1257">
        <v>8.5810651461587298E-3</v>
      </c>
      <c r="Q295" s="1280">
        <v>4.5203006026640199E-3</v>
      </c>
      <c r="R295" s="1271">
        <v>3.8500011034136201E-2</v>
      </c>
      <c r="S295" s="1257">
        <v>3.8500011034136201E-2</v>
      </c>
      <c r="T295" s="1257">
        <v>3.8500011034136201E-2</v>
      </c>
      <c r="U295" s="1280">
        <v>1.9250005517068101E-2</v>
      </c>
      <c r="V295" s="1293">
        <v>8.2457415218438607E-3</v>
      </c>
    </row>
    <row r="296" spans="1:22" s="212" customFormat="1" ht="15.5" x14ac:dyDescent="0.35">
      <c r="A296" s="198">
        <v>2020</v>
      </c>
      <c r="B296" s="197" t="s">
        <v>5833</v>
      </c>
      <c r="C296" s="197">
        <v>1997</v>
      </c>
      <c r="D296" s="225" t="str">
        <f t="shared" si="2"/>
        <v>2020_1997</v>
      </c>
      <c r="E296" s="1226">
        <v>4.55010752903953E-2</v>
      </c>
      <c r="F296" s="1257">
        <v>1.3896477286177799E-2</v>
      </c>
      <c r="G296" s="1280">
        <v>2.0228108678798402</v>
      </c>
      <c r="H296" s="1271">
        <v>5.6763497797328899</v>
      </c>
      <c r="I296" s="1257">
        <v>0.43475109164268599</v>
      </c>
      <c r="J296" s="1280">
        <v>13.3946285946976</v>
      </c>
      <c r="K296" s="1271">
        <v>7.8890343936353201E-3</v>
      </c>
      <c r="L296" s="1257">
        <v>1.2509045066288801E-4</v>
      </c>
      <c r="M296" s="1280">
        <v>1.16496771084274E-2</v>
      </c>
      <c r="N296" s="1271">
        <v>4.5203006026640199E-3</v>
      </c>
      <c r="O296" s="1257">
        <v>3.0000008598028201E-3</v>
      </c>
      <c r="P296" s="1257">
        <v>8.5810651461587298E-3</v>
      </c>
      <c r="Q296" s="1280">
        <v>4.5203006026640199E-3</v>
      </c>
      <c r="R296" s="1271">
        <v>3.8500011034136201E-2</v>
      </c>
      <c r="S296" s="1257">
        <v>3.8500011034136201E-2</v>
      </c>
      <c r="T296" s="1257">
        <v>3.8500011034136201E-2</v>
      </c>
      <c r="U296" s="1280">
        <v>1.9250005517068101E-2</v>
      </c>
      <c r="V296" s="1293">
        <v>8.2457415218438607E-3</v>
      </c>
    </row>
    <row r="297" spans="1:22" s="212" customFormat="1" ht="15.5" x14ac:dyDescent="0.35">
      <c r="A297" s="198">
        <v>2020</v>
      </c>
      <c r="B297" s="197" t="s">
        <v>5833</v>
      </c>
      <c r="C297" s="197">
        <v>1998</v>
      </c>
      <c r="D297" s="225" t="str">
        <f t="shared" si="2"/>
        <v>2020_1998</v>
      </c>
      <c r="E297" s="1226">
        <v>4.55010752903953E-2</v>
      </c>
      <c r="F297" s="1257">
        <v>1.3896477286177799E-2</v>
      </c>
      <c r="G297" s="1280">
        <v>2.0228108678798402</v>
      </c>
      <c r="H297" s="1271">
        <v>5.6763497797328899</v>
      </c>
      <c r="I297" s="1257">
        <v>0.43475109164268599</v>
      </c>
      <c r="J297" s="1280">
        <v>13.3946285946976</v>
      </c>
      <c r="K297" s="1271">
        <v>7.8890343936353201E-3</v>
      </c>
      <c r="L297" s="1257">
        <v>1.2509045066288801E-4</v>
      </c>
      <c r="M297" s="1280">
        <v>1.16496771084274E-2</v>
      </c>
      <c r="N297" s="1271">
        <v>4.5203006026640199E-3</v>
      </c>
      <c r="O297" s="1257">
        <v>3.0000008598028201E-3</v>
      </c>
      <c r="P297" s="1257">
        <v>8.5810651461587298E-3</v>
      </c>
      <c r="Q297" s="1280">
        <v>4.5203006026640199E-3</v>
      </c>
      <c r="R297" s="1271">
        <v>3.8500011034136201E-2</v>
      </c>
      <c r="S297" s="1257">
        <v>3.8500011034136201E-2</v>
      </c>
      <c r="T297" s="1257">
        <v>3.8500011034136201E-2</v>
      </c>
      <c r="U297" s="1280">
        <v>1.9250005517068101E-2</v>
      </c>
      <c r="V297" s="1293">
        <v>8.2457415218438607E-3</v>
      </c>
    </row>
    <row r="298" spans="1:22" s="212" customFormat="1" ht="15.5" x14ac:dyDescent="0.35">
      <c r="A298" s="198">
        <v>2020</v>
      </c>
      <c r="B298" s="197" t="s">
        <v>5833</v>
      </c>
      <c r="C298" s="197">
        <v>1999</v>
      </c>
      <c r="D298" s="225" t="str">
        <f t="shared" si="2"/>
        <v>2020_1999</v>
      </c>
      <c r="E298" s="1226">
        <v>4.55010752903953E-2</v>
      </c>
      <c r="F298" s="1257">
        <v>1.3896477286177799E-2</v>
      </c>
      <c r="G298" s="1280">
        <v>2.0228108678798402</v>
      </c>
      <c r="H298" s="1271">
        <v>5.6763497797328899</v>
      </c>
      <c r="I298" s="1257">
        <v>0.43475109164268599</v>
      </c>
      <c r="J298" s="1280">
        <v>13.3946285946976</v>
      </c>
      <c r="K298" s="1271">
        <v>7.8890343936353201E-3</v>
      </c>
      <c r="L298" s="1257">
        <v>1.2509045066288801E-4</v>
      </c>
      <c r="M298" s="1280">
        <v>1.16496771084274E-2</v>
      </c>
      <c r="N298" s="1271">
        <v>4.5203006026640199E-3</v>
      </c>
      <c r="O298" s="1257">
        <v>3.0000008598028201E-3</v>
      </c>
      <c r="P298" s="1257">
        <v>8.5810651461587298E-3</v>
      </c>
      <c r="Q298" s="1280">
        <v>4.5203006026640199E-3</v>
      </c>
      <c r="R298" s="1271">
        <v>3.8500011034136201E-2</v>
      </c>
      <c r="S298" s="1257">
        <v>3.8500011034136201E-2</v>
      </c>
      <c r="T298" s="1257">
        <v>3.8500011034136201E-2</v>
      </c>
      <c r="U298" s="1280">
        <v>1.9250005517068101E-2</v>
      </c>
      <c r="V298" s="1293">
        <v>8.2457415218438607E-3</v>
      </c>
    </row>
    <row r="299" spans="1:22" s="212" customFormat="1" ht="15.5" x14ac:dyDescent="0.35">
      <c r="A299" s="198">
        <v>2020</v>
      </c>
      <c r="B299" s="197" t="s">
        <v>5833</v>
      </c>
      <c r="C299" s="197">
        <v>2000</v>
      </c>
      <c r="D299" s="225" t="str">
        <f t="shared" si="2"/>
        <v>2020_2000</v>
      </c>
      <c r="E299" s="1226">
        <v>4.55010752903953E-2</v>
      </c>
      <c r="F299" s="1257">
        <v>1.3896477286177799E-2</v>
      </c>
      <c r="G299" s="1280">
        <v>2.0228108678798402</v>
      </c>
      <c r="H299" s="1271">
        <v>5.6763497797328899</v>
      </c>
      <c r="I299" s="1257">
        <v>0.43475109164268599</v>
      </c>
      <c r="J299" s="1280">
        <v>13.3946285946976</v>
      </c>
      <c r="K299" s="1271">
        <v>7.8890343936353201E-3</v>
      </c>
      <c r="L299" s="1257">
        <v>1.2509045066288801E-4</v>
      </c>
      <c r="M299" s="1280">
        <v>1.16496771084274E-2</v>
      </c>
      <c r="N299" s="1271">
        <v>4.5203006026640199E-3</v>
      </c>
      <c r="O299" s="1257">
        <v>3.0000008598028201E-3</v>
      </c>
      <c r="P299" s="1257">
        <v>8.5810651461587298E-3</v>
      </c>
      <c r="Q299" s="1280">
        <v>4.5203006026640199E-3</v>
      </c>
      <c r="R299" s="1271">
        <v>3.8500011034136201E-2</v>
      </c>
      <c r="S299" s="1257">
        <v>3.8500011034136201E-2</v>
      </c>
      <c r="T299" s="1257">
        <v>3.8500011034136201E-2</v>
      </c>
      <c r="U299" s="1280">
        <v>1.9250005517068101E-2</v>
      </c>
      <c r="V299" s="1293">
        <v>8.2457415218438607E-3</v>
      </c>
    </row>
    <row r="300" spans="1:22" s="212" customFormat="1" ht="15.5" x14ac:dyDescent="0.35">
      <c r="A300" s="198">
        <v>2020</v>
      </c>
      <c r="B300" s="197" t="s">
        <v>5833</v>
      </c>
      <c r="C300" s="197">
        <v>2001</v>
      </c>
      <c r="D300" s="225" t="str">
        <f t="shared" si="2"/>
        <v>2020_2001</v>
      </c>
      <c r="E300" s="1226">
        <v>4.55010752903953E-2</v>
      </c>
      <c r="F300" s="1257">
        <v>1.3896477286177799E-2</v>
      </c>
      <c r="G300" s="1280">
        <v>2.0228108678798402</v>
      </c>
      <c r="H300" s="1271">
        <v>5.6763497797328899</v>
      </c>
      <c r="I300" s="1257">
        <v>0.43475109164268599</v>
      </c>
      <c r="J300" s="1280">
        <v>13.3946285946976</v>
      </c>
      <c r="K300" s="1271">
        <v>7.8890343936353201E-3</v>
      </c>
      <c r="L300" s="1257">
        <v>1.2509045066288801E-4</v>
      </c>
      <c r="M300" s="1280">
        <v>1.16496771084274E-2</v>
      </c>
      <c r="N300" s="1271">
        <v>4.5203006026640199E-3</v>
      </c>
      <c r="O300" s="1257">
        <v>3.0000008598028201E-3</v>
      </c>
      <c r="P300" s="1257">
        <v>8.5810651461587298E-3</v>
      </c>
      <c r="Q300" s="1280">
        <v>4.5203006026640199E-3</v>
      </c>
      <c r="R300" s="1271">
        <v>3.8500011034136201E-2</v>
      </c>
      <c r="S300" s="1257">
        <v>3.8500011034136201E-2</v>
      </c>
      <c r="T300" s="1257">
        <v>3.8500011034136201E-2</v>
      </c>
      <c r="U300" s="1280">
        <v>1.9250005517068101E-2</v>
      </c>
      <c r="V300" s="1293">
        <v>8.2457415218438607E-3</v>
      </c>
    </row>
    <row r="301" spans="1:22" s="212" customFormat="1" ht="15.5" x14ac:dyDescent="0.35">
      <c r="A301" s="198">
        <v>2020</v>
      </c>
      <c r="B301" s="197" t="s">
        <v>5833</v>
      </c>
      <c r="C301" s="197">
        <v>2002</v>
      </c>
      <c r="D301" s="225" t="str">
        <f t="shared" si="2"/>
        <v>2020_2002</v>
      </c>
      <c r="E301" s="1226">
        <v>4.55010752903953E-2</v>
      </c>
      <c r="F301" s="1257">
        <v>1.3896477286177799E-2</v>
      </c>
      <c r="G301" s="1280">
        <v>2.0228108678798402</v>
      </c>
      <c r="H301" s="1271">
        <v>5.6763497797328899</v>
      </c>
      <c r="I301" s="1257">
        <v>0.43475109164268599</v>
      </c>
      <c r="J301" s="1280">
        <v>13.3946285946976</v>
      </c>
      <c r="K301" s="1271">
        <v>7.8890343936353201E-3</v>
      </c>
      <c r="L301" s="1257">
        <v>1.2509045066288801E-4</v>
      </c>
      <c r="M301" s="1280">
        <v>1.16496771084274E-2</v>
      </c>
      <c r="N301" s="1271">
        <v>4.5203006026640199E-3</v>
      </c>
      <c r="O301" s="1257">
        <v>3.0000008598028201E-3</v>
      </c>
      <c r="P301" s="1257">
        <v>8.5810651461587298E-3</v>
      </c>
      <c r="Q301" s="1280">
        <v>4.5203006026640199E-3</v>
      </c>
      <c r="R301" s="1271">
        <v>3.8500011034136201E-2</v>
      </c>
      <c r="S301" s="1257">
        <v>3.8500011034136201E-2</v>
      </c>
      <c r="T301" s="1257">
        <v>3.8500011034136201E-2</v>
      </c>
      <c r="U301" s="1280">
        <v>1.9250005517068101E-2</v>
      </c>
      <c r="V301" s="1293">
        <v>8.2457415218438607E-3</v>
      </c>
    </row>
    <row r="302" spans="1:22" s="212" customFormat="1" ht="15.5" x14ac:dyDescent="0.35">
      <c r="A302" s="198">
        <v>2020</v>
      </c>
      <c r="B302" s="197" t="s">
        <v>5833</v>
      </c>
      <c r="C302" s="197">
        <v>2003</v>
      </c>
      <c r="D302" s="225" t="str">
        <f t="shared" si="2"/>
        <v>2020_2003</v>
      </c>
      <c r="E302" s="1226">
        <v>4.55010752903953E-2</v>
      </c>
      <c r="F302" s="1257">
        <v>1.3896477286177799E-2</v>
      </c>
      <c r="G302" s="1280">
        <v>2.0228108678798402</v>
      </c>
      <c r="H302" s="1271">
        <v>5.6763497797328899</v>
      </c>
      <c r="I302" s="1257">
        <v>0.43475109164268599</v>
      </c>
      <c r="J302" s="1280">
        <v>13.3946285946976</v>
      </c>
      <c r="K302" s="1271">
        <v>7.8890343936353201E-3</v>
      </c>
      <c r="L302" s="1257">
        <v>1.2509045066288801E-4</v>
      </c>
      <c r="M302" s="1280">
        <v>1.16496771084274E-2</v>
      </c>
      <c r="N302" s="1271">
        <v>4.5203006026640199E-3</v>
      </c>
      <c r="O302" s="1257">
        <v>3.0000008598028201E-3</v>
      </c>
      <c r="P302" s="1257">
        <v>8.5810651461587298E-3</v>
      </c>
      <c r="Q302" s="1280">
        <v>4.5203006026640199E-3</v>
      </c>
      <c r="R302" s="1271">
        <v>3.8500011034136201E-2</v>
      </c>
      <c r="S302" s="1257">
        <v>3.8500011034136201E-2</v>
      </c>
      <c r="T302" s="1257">
        <v>3.8500011034136201E-2</v>
      </c>
      <c r="U302" s="1280">
        <v>1.9250005517068101E-2</v>
      </c>
      <c r="V302" s="1293">
        <v>8.2457415218438607E-3</v>
      </c>
    </row>
    <row r="303" spans="1:22" s="212" customFormat="1" ht="15.5" x14ac:dyDescent="0.35">
      <c r="A303" s="198">
        <v>2020</v>
      </c>
      <c r="B303" s="197" t="s">
        <v>5833</v>
      </c>
      <c r="C303" s="197">
        <v>2004</v>
      </c>
      <c r="D303" s="225" t="str">
        <f t="shared" si="2"/>
        <v>2020_2004</v>
      </c>
      <c r="E303" s="1226">
        <v>4.55010752903953E-2</v>
      </c>
      <c r="F303" s="1257">
        <v>1.3896477286177799E-2</v>
      </c>
      <c r="G303" s="1280">
        <v>2.0228108678798402</v>
      </c>
      <c r="H303" s="1271">
        <v>5.6763497797328899</v>
      </c>
      <c r="I303" s="1257">
        <v>0.43475109164268599</v>
      </c>
      <c r="J303" s="1280">
        <v>13.3946285946976</v>
      </c>
      <c r="K303" s="1271">
        <v>7.8890343936353201E-3</v>
      </c>
      <c r="L303" s="1257">
        <v>1.2509045066288801E-4</v>
      </c>
      <c r="M303" s="1280">
        <v>1.16496771084274E-2</v>
      </c>
      <c r="N303" s="1271">
        <v>4.5203006026640199E-3</v>
      </c>
      <c r="O303" s="1257">
        <v>3.0000008598028201E-3</v>
      </c>
      <c r="P303" s="1257">
        <v>8.5810651461587298E-3</v>
      </c>
      <c r="Q303" s="1280">
        <v>4.5203006026640199E-3</v>
      </c>
      <c r="R303" s="1271">
        <v>3.8500011034136201E-2</v>
      </c>
      <c r="S303" s="1257">
        <v>3.8500011034136201E-2</v>
      </c>
      <c r="T303" s="1257">
        <v>3.8500011034136201E-2</v>
      </c>
      <c r="U303" s="1280">
        <v>1.9250005517068101E-2</v>
      </c>
      <c r="V303" s="1293">
        <v>8.2457415218438607E-3</v>
      </c>
    </row>
    <row r="304" spans="1:22" s="212" customFormat="1" ht="15.5" x14ac:dyDescent="0.35">
      <c r="A304" s="198">
        <v>2020</v>
      </c>
      <c r="B304" s="197" t="s">
        <v>5833</v>
      </c>
      <c r="C304" s="197">
        <v>2005</v>
      </c>
      <c r="D304" s="225" t="str">
        <f t="shared" si="2"/>
        <v>2020_2005</v>
      </c>
      <c r="E304" s="1226">
        <v>4.55010752903953E-2</v>
      </c>
      <c r="F304" s="1257">
        <v>1.3896477286177799E-2</v>
      </c>
      <c r="G304" s="1280">
        <v>2.0228108678798402</v>
      </c>
      <c r="H304" s="1271">
        <v>5.6763497797328899</v>
      </c>
      <c r="I304" s="1257">
        <v>0.43475109164268599</v>
      </c>
      <c r="J304" s="1280">
        <v>13.3946285946976</v>
      </c>
      <c r="K304" s="1271">
        <v>7.8890343936353201E-3</v>
      </c>
      <c r="L304" s="1257">
        <v>1.2509045066288801E-4</v>
      </c>
      <c r="M304" s="1280">
        <v>1.16496771084274E-2</v>
      </c>
      <c r="N304" s="1271">
        <v>4.5203006026640199E-3</v>
      </c>
      <c r="O304" s="1257">
        <v>3.0000008598028201E-3</v>
      </c>
      <c r="P304" s="1257">
        <v>8.5810651461587298E-3</v>
      </c>
      <c r="Q304" s="1280">
        <v>4.5203006026640199E-3</v>
      </c>
      <c r="R304" s="1271">
        <v>3.8500011034136201E-2</v>
      </c>
      <c r="S304" s="1257">
        <v>3.8500011034136201E-2</v>
      </c>
      <c r="T304" s="1257">
        <v>3.8500011034136201E-2</v>
      </c>
      <c r="U304" s="1280">
        <v>1.9250005517068101E-2</v>
      </c>
      <c r="V304" s="1293">
        <v>8.2457415218438607E-3</v>
      </c>
    </row>
    <row r="305" spans="1:22" s="212" customFormat="1" ht="15.5" x14ac:dyDescent="0.35">
      <c r="A305" s="198">
        <v>2020</v>
      </c>
      <c r="B305" s="197" t="s">
        <v>5833</v>
      </c>
      <c r="C305" s="197">
        <v>2006</v>
      </c>
      <c r="D305" s="225" t="str">
        <f t="shared" si="2"/>
        <v>2020_2006</v>
      </c>
      <c r="E305" s="1231">
        <v>4.55010752903953E-2</v>
      </c>
      <c r="F305" s="1288">
        <v>1.3896477286177799E-2</v>
      </c>
      <c r="G305" s="1306">
        <v>2.0228108678798402</v>
      </c>
      <c r="H305" s="1303">
        <v>5.6763497797328899</v>
      </c>
      <c r="I305" s="1288">
        <v>0.43475109164268599</v>
      </c>
      <c r="J305" s="1306">
        <v>13.3946285946976</v>
      </c>
      <c r="K305" s="1303">
        <v>7.8890343936353201E-3</v>
      </c>
      <c r="L305" s="1288">
        <v>1.2509045066288801E-4</v>
      </c>
      <c r="M305" s="1306">
        <v>1.16496771084274E-2</v>
      </c>
      <c r="N305" s="1303">
        <v>4.5203006026640199E-3</v>
      </c>
      <c r="O305" s="1288">
        <v>3.0000008598028201E-3</v>
      </c>
      <c r="P305" s="1288">
        <v>8.5810651461587298E-3</v>
      </c>
      <c r="Q305" s="1306">
        <v>3.0000008600191302E-3</v>
      </c>
      <c r="R305" s="1303">
        <v>3.8500011034136201E-2</v>
      </c>
      <c r="S305" s="1288">
        <v>3.8500011034136201E-2</v>
      </c>
      <c r="T305" s="1288">
        <v>3.8500011034136201E-2</v>
      </c>
      <c r="U305" s="1306">
        <v>1.9250005517068101E-2</v>
      </c>
      <c r="V305" s="1294">
        <v>8.2457415218438607E-3</v>
      </c>
    </row>
    <row r="306" spans="1:22" s="212" customFormat="1" ht="15.5" x14ac:dyDescent="0.35">
      <c r="A306" s="198">
        <v>2020</v>
      </c>
      <c r="B306" s="197" t="s">
        <v>5833</v>
      </c>
      <c r="C306" s="197">
        <v>2007</v>
      </c>
      <c r="D306" s="225" t="str">
        <f t="shared" si="2"/>
        <v>2020_2007</v>
      </c>
      <c r="E306" s="1231">
        <v>0.208015276888183</v>
      </c>
      <c r="F306" s="1288">
        <v>2.1508922181886402E-2</v>
      </c>
      <c r="G306" s="1306">
        <v>2.92548720758815E-2</v>
      </c>
      <c r="H306" s="1303">
        <v>4.66328492364197</v>
      </c>
      <c r="I306" s="1288">
        <v>0.44786759532572301</v>
      </c>
      <c r="J306" s="1306">
        <v>0.96496896070835902</v>
      </c>
      <c r="K306" s="1303">
        <v>7.5506279551439898E-3</v>
      </c>
      <c r="L306" s="1288">
        <v>1.9218591488303499E-4</v>
      </c>
      <c r="M306" s="1306">
        <v>2.6429257773147102E-4</v>
      </c>
      <c r="N306" s="1303">
        <v>6.32045624681988E-3</v>
      </c>
      <c r="O306" s="1288">
        <v>3.0000008598028201E-3</v>
      </c>
      <c r="P306" s="1288">
        <v>8.8643721459790003E-3</v>
      </c>
      <c r="Q306" s="1306">
        <v>4.6135431351232497E-3</v>
      </c>
      <c r="R306" s="1303">
        <v>3.8500011034136201E-2</v>
      </c>
      <c r="S306" s="1288">
        <v>3.8500011034136201E-2</v>
      </c>
      <c r="T306" s="1288">
        <v>3.8500011034136201E-2</v>
      </c>
      <c r="U306" s="1306">
        <v>1.9250005517068101E-2</v>
      </c>
      <c r="V306" s="1294">
        <v>7.8920338458602895E-3</v>
      </c>
    </row>
    <row r="307" spans="1:22" s="212" customFormat="1" ht="15.5" x14ac:dyDescent="0.35">
      <c r="A307" s="198">
        <v>2020</v>
      </c>
      <c r="B307" s="197" t="s">
        <v>5833</v>
      </c>
      <c r="C307" s="197">
        <v>2008</v>
      </c>
      <c r="D307" s="225" t="str">
        <f t="shared" si="2"/>
        <v>2020_2008</v>
      </c>
      <c r="E307" s="1231">
        <v>0.22748027410461899</v>
      </c>
      <c r="F307" s="1288">
        <v>2.1656324055306E-2</v>
      </c>
      <c r="G307" s="1306">
        <v>2.3069880656644101E-2</v>
      </c>
      <c r="H307" s="1303">
        <v>4.9643150813471104</v>
      </c>
      <c r="I307" s="1288">
        <v>0.428253767353724</v>
      </c>
      <c r="J307" s="1306">
        <v>0.72070943712232705</v>
      </c>
      <c r="K307" s="1303">
        <v>7.8437092118444803E-3</v>
      </c>
      <c r="L307" s="1288">
        <v>2.20527534526894E-4</v>
      </c>
      <c r="M307" s="1306">
        <v>2.0557957647092501E-4</v>
      </c>
      <c r="N307" s="1303">
        <v>7.0626493809718598E-3</v>
      </c>
      <c r="O307" s="1288">
        <v>3.0000008598028201E-3</v>
      </c>
      <c r="P307" s="1288">
        <v>8.5929342242604696E-3</v>
      </c>
      <c r="Q307" s="1306">
        <v>3.0000008606209899E-3</v>
      </c>
      <c r="R307" s="1303">
        <v>3.8500011034136201E-2</v>
      </c>
      <c r="S307" s="1288">
        <v>3.8500011034136201E-2</v>
      </c>
      <c r="T307" s="1288">
        <v>3.8500011034136201E-2</v>
      </c>
      <c r="U307" s="1306">
        <v>1.9250005517068101E-2</v>
      </c>
      <c r="V307" s="1294">
        <v>8.1983669364599498E-3</v>
      </c>
    </row>
    <row r="308" spans="1:22" s="212" customFormat="1" ht="15.5" x14ac:dyDescent="0.35">
      <c r="A308" s="198">
        <v>2020</v>
      </c>
      <c r="B308" s="197" t="s">
        <v>5833</v>
      </c>
      <c r="C308" s="197">
        <v>2009</v>
      </c>
      <c r="D308" s="225" t="str">
        <f t="shared" si="2"/>
        <v>2020_2009</v>
      </c>
      <c r="E308" s="1231">
        <v>0.23408141370169799</v>
      </c>
      <c r="F308" s="1288">
        <v>2.16639770865323E-2</v>
      </c>
      <c r="G308" s="1306">
        <v>2.35036024921241E-2</v>
      </c>
      <c r="H308" s="1303">
        <v>4.9959257569659501</v>
      </c>
      <c r="I308" s="1288">
        <v>0.39646018362910901</v>
      </c>
      <c r="J308" s="1306">
        <v>0.73769572387124305</v>
      </c>
      <c r="K308" s="1303">
        <v>7.8884672716986199E-3</v>
      </c>
      <c r="L308" s="1288">
        <v>2.4771942369523399E-4</v>
      </c>
      <c r="M308" s="1306">
        <v>2.0906390227225799E-4</v>
      </c>
      <c r="N308" s="1303">
        <v>7.0823227252416803E-3</v>
      </c>
      <c r="O308" s="1288">
        <v>3.0000008598028201E-3</v>
      </c>
      <c r="P308" s="1288">
        <v>8.2905168489693405E-3</v>
      </c>
      <c r="Q308" s="1306">
        <v>7.8198706855009195E-3</v>
      </c>
      <c r="R308" s="1303">
        <v>3.8500011034136201E-2</v>
      </c>
      <c r="S308" s="1288">
        <v>3.8500011034136201E-2</v>
      </c>
      <c r="T308" s="1288">
        <v>3.8500011034136201E-2</v>
      </c>
      <c r="U308" s="1306">
        <v>1.9250005517068101E-2</v>
      </c>
      <c r="V308" s="1294">
        <v>8.2451487571697495E-3</v>
      </c>
    </row>
    <row r="309" spans="1:22" s="212" customFormat="1" ht="15.5" x14ac:dyDescent="0.35">
      <c r="A309" s="198">
        <v>2020</v>
      </c>
      <c r="B309" s="197" t="s">
        <v>5833</v>
      </c>
      <c r="C309" s="197">
        <v>2010</v>
      </c>
      <c r="D309" s="225" t="str">
        <f t="shared" si="2"/>
        <v>2020_2010</v>
      </c>
      <c r="E309" s="1231">
        <v>7.2379702387299599E-2</v>
      </c>
      <c r="F309" s="1288">
        <v>1.70690317297474E-2</v>
      </c>
      <c r="G309" s="1306">
        <v>2.23789600833918E-2</v>
      </c>
      <c r="H309" s="1303">
        <v>0.41288642951868798</v>
      </c>
      <c r="I309" s="1288">
        <v>0.30256165160937099</v>
      </c>
      <c r="J309" s="1306">
        <v>0.67248026996508103</v>
      </c>
      <c r="K309" s="1303">
        <v>7.37071167116847E-3</v>
      </c>
      <c r="L309" s="1288">
        <v>2.5467971749970798E-4</v>
      </c>
      <c r="M309" s="1306">
        <v>2.9127171802660297E-4</v>
      </c>
      <c r="N309" s="1303">
        <v>8.6230066384212298E-3</v>
      </c>
      <c r="O309" s="1288">
        <v>2.7781660272913102E-3</v>
      </c>
      <c r="P309" s="1288">
        <v>7.3882454637657496E-3</v>
      </c>
      <c r="Q309" s="1306">
        <v>8.9186934846127199E-3</v>
      </c>
      <c r="R309" s="1303">
        <v>3.8478036436679401E-2</v>
      </c>
      <c r="S309" s="1288">
        <v>3.7024809397934698E-2</v>
      </c>
      <c r="T309" s="1288">
        <v>3.84614105210518E-2</v>
      </c>
      <c r="U309" s="1306">
        <v>1.9250005517068101E-2</v>
      </c>
      <c r="V309" s="1294">
        <v>7.70398254589007E-3</v>
      </c>
    </row>
    <row r="310" spans="1:22" s="212" customFormat="1" ht="15.5" x14ac:dyDescent="0.35">
      <c r="A310" s="198">
        <v>2020</v>
      </c>
      <c r="B310" s="197" t="s">
        <v>5833</v>
      </c>
      <c r="C310" s="197">
        <v>2011</v>
      </c>
      <c r="D310" s="225" t="str">
        <f t="shared" si="2"/>
        <v>2020_2011</v>
      </c>
      <c r="E310" s="1231">
        <v>6.5229775312044602E-2</v>
      </c>
      <c r="F310" s="1288">
        <v>1.1783089163974201E-2</v>
      </c>
      <c r="G310" s="1306">
        <v>2.39857691672615E-2</v>
      </c>
      <c r="H310" s="1303">
        <v>0.35962422244569198</v>
      </c>
      <c r="I310" s="1288">
        <v>0.24281132074390599</v>
      </c>
      <c r="J310" s="1306">
        <v>0.70779716117717895</v>
      </c>
      <c r="K310" s="1303">
        <v>6.5277402888991197E-3</v>
      </c>
      <c r="L310" s="1288">
        <v>2.5652572238097602E-4</v>
      </c>
      <c r="M310" s="1306">
        <v>5.3405708888901301E-4</v>
      </c>
      <c r="N310" s="1303">
        <v>7.6500888391391898E-3</v>
      </c>
      <c r="O310" s="1288">
        <v>2.72519108193196E-3</v>
      </c>
      <c r="P310" s="1288">
        <v>7.7629237316822301E-3</v>
      </c>
      <c r="Q310" s="1306">
        <v>4.1817649941520299E-3</v>
      </c>
      <c r="R310" s="1303">
        <v>3.8447957959122897E-2</v>
      </c>
      <c r="S310" s="1288">
        <v>3.6672526011294997E-2</v>
      </c>
      <c r="T310" s="1288">
        <v>3.8366143355111001E-2</v>
      </c>
      <c r="U310" s="1306">
        <v>1.90136422345611E-2</v>
      </c>
      <c r="V310" s="1294">
        <v>6.8228957383446101E-3</v>
      </c>
    </row>
    <row r="311" spans="1:22" s="212" customFormat="1" ht="15.5" x14ac:dyDescent="0.35">
      <c r="A311" s="198">
        <v>2020</v>
      </c>
      <c r="B311" s="197" t="s">
        <v>5833</v>
      </c>
      <c r="C311" s="197">
        <v>2012</v>
      </c>
      <c r="D311" s="225" t="str">
        <f t="shared" si="2"/>
        <v>2020_2012</v>
      </c>
      <c r="E311" s="1231">
        <v>8.0528520039062995E-2</v>
      </c>
      <c r="F311" s="1288">
        <v>1.14303582505648E-2</v>
      </c>
      <c r="G311" s="1306">
        <v>2.2388027991896601E-2</v>
      </c>
      <c r="H311" s="1303">
        <v>0.51846923161726399</v>
      </c>
      <c r="I311" s="1288">
        <v>0.215965562765351</v>
      </c>
      <c r="J311" s="1306">
        <v>0.68533234639018303</v>
      </c>
      <c r="K311" s="1303">
        <v>6.9441902532737503E-3</v>
      </c>
      <c r="L311" s="1288">
        <v>3.6640694384900801E-4</v>
      </c>
      <c r="M311" s="1306">
        <v>2.4038624403946299E-4</v>
      </c>
      <c r="N311" s="1303">
        <v>8.7108355679940998E-3</v>
      </c>
      <c r="O311" s="1288">
        <v>2.6689248499017302E-3</v>
      </c>
      <c r="P311" s="1288">
        <v>7.9627267653689694E-3</v>
      </c>
      <c r="Q311" s="1306">
        <v>7.8131195613863908E-3</v>
      </c>
      <c r="R311" s="1303">
        <v>3.8496427504470299E-2</v>
      </c>
      <c r="S311" s="1288">
        <v>3.6298355568293902E-2</v>
      </c>
      <c r="T311" s="1288">
        <v>3.8476832712128498E-2</v>
      </c>
      <c r="U311" s="1306">
        <v>1.9230668763514699E-2</v>
      </c>
      <c r="V311" s="1294">
        <v>7.2581757221389098E-3</v>
      </c>
    </row>
    <row r="312" spans="1:22" s="212" customFormat="1" ht="15.5" x14ac:dyDescent="0.35">
      <c r="A312" s="198">
        <v>2020</v>
      </c>
      <c r="B312" s="197" t="s">
        <v>5833</v>
      </c>
      <c r="C312" s="197">
        <v>2013</v>
      </c>
      <c r="D312" s="225" t="str">
        <f t="shared" si="2"/>
        <v>2020_2013</v>
      </c>
      <c r="E312" s="1231">
        <v>7.0329708846278399E-2</v>
      </c>
      <c r="F312" s="1288">
        <v>7.1066301773286197E-3</v>
      </c>
      <c r="G312" s="1306">
        <v>2.4378207875822601E-2</v>
      </c>
      <c r="H312" s="1303">
        <v>0.399322007081925</v>
      </c>
      <c r="I312" s="1288">
        <v>0.10363273527914001</v>
      </c>
      <c r="J312" s="1306">
        <v>0.72151847325899099</v>
      </c>
      <c r="K312" s="1303">
        <v>7.0211802079650802E-3</v>
      </c>
      <c r="L312" s="1288">
        <v>5.0212246009371402E-4</v>
      </c>
      <c r="M312" s="1306">
        <v>5.5751324730863596E-4</v>
      </c>
      <c r="N312" s="1303">
        <v>8.3326128222125807E-3</v>
      </c>
      <c r="O312" s="1288">
        <v>2.26112431585855E-3</v>
      </c>
      <c r="P312" s="1288">
        <v>8.0048680034756903E-3</v>
      </c>
      <c r="Q312" s="1306">
        <v>3.8922596037388102E-3</v>
      </c>
      <c r="R312" s="1303">
        <v>3.8493870330217499E-2</v>
      </c>
      <c r="S312" s="1288">
        <v>3.3586482016906803E-2</v>
      </c>
      <c r="T312" s="1288">
        <v>3.83401773034453E-2</v>
      </c>
      <c r="U312" s="1306">
        <v>1.9238007675286099E-2</v>
      </c>
      <c r="V312" s="1294">
        <v>7.3386468209435196E-3</v>
      </c>
    </row>
    <row r="313" spans="1:22" s="212" customFormat="1" ht="15.5" x14ac:dyDescent="0.35">
      <c r="A313" s="198">
        <v>2020</v>
      </c>
      <c r="B313" s="197" t="s">
        <v>5833</v>
      </c>
      <c r="C313" s="197">
        <v>2014</v>
      </c>
      <c r="D313" s="225" t="str">
        <f t="shared" si="2"/>
        <v>2020_2014</v>
      </c>
      <c r="E313" s="1231">
        <v>6.6869161090453905E-2</v>
      </c>
      <c r="F313" s="1288">
        <v>7.7134361393439103E-3</v>
      </c>
      <c r="G313" s="1306">
        <v>2.5995211241447599E-2</v>
      </c>
      <c r="H313" s="1303">
        <v>0.38612498527686201</v>
      </c>
      <c r="I313" s="1288">
        <v>6.5546262671689795E-2</v>
      </c>
      <c r="J313" s="1306">
        <v>0.81281786190418304</v>
      </c>
      <c r="K313" s="1303">
        <v>6.3366176972030099E-3</v>
      </c>
      <c r="L313" s="1288">
        <v>7.1683609828953796E-4</v>
      </c>
      <c r="M313" s="1306">
        <v>3.6024021674963501E-4</v>
      </c>
      <c r="N313" s="1303">
        <v>7.6321509609108404E-3</v>
      </c>
      <c r="O313" s="1288">
        <v>2.1367220253360598E-3</v>
      </c>
      <c r="P313" s="1288">
        <v>8.5846953190263798E-3</v>
      </c>
      <c r="Q313" s="1306">
        <v>8.3519267598167694E-3</v>
      </c>
      <c r="R313" s="1303">
        <v>3.8495644604223903E-2</v>
      </c>
      <c r="S313" s="1288">
        <v>3.2759206784932202E-2</v>
      </c>
      <c r="T313" s="1288">
        <v>3.8443696915343703E-2</v>
      </c>
      <c r="U313" s="1306">
        <v>1.9228945827987499E-2</v>
      </c>
      <c r="V313" s="1294">
        <v>6.6231314311459401E-3</v>
      </c>
    </row>
    <row r="314" spans="1:22" s="212" customFormat="1" ht="15.5" x14ac:dyDescent="0.35">
      <c r="A314" s="198">
        <v>2020</v>
      </c>
      <c r="B314" s="197" t="s">
        <v>5833</v>
      </c>
      <c r="C314" s="197">
        <v>2015</v>
      </c>
      <c r="D314" s="225" t="str">
        <f t="shared" si="2"/>
        <v>2020_2015</v>
      </c>
      <c r="E314" s="1231">
        <v>6.9554352486349502E-2</v>
      </c>
      <c r="F314" s="1288">
        <v>1.1179990117738301E-2</v>
      </c>
      <c r="G314" s="1306">
        <v>2.39775449608386E-2</v>
      </c>
      <c r="H314" s="1303">
        <v>0.40047295610939299</v>
      </c>
      <c r="I314" s="1288">
        <v>0.15233900016952601</v>
      </c>
      <c r="J314" s="1306">
        <v>0.73032873353824701</v>
      </c>
      <c r="K314" s="1303">
        <v>6.7434553695810799E-3</v>
      </c>
      <c r="L314" s="1288">
        <v>1.02217952579439E-3</v>
      </c>
      <c r="M314" s="1306">
        <v>3.5130028545010802E-4</v>
      </c>
      <c r="N314" s="1303">
        <v>8.08963182934949E-3</v>
      </c>
      <c r="O314" s="1288">
        <v>2.5488370124136799E-3</v>
      </c>
      <c r="P314" s="1288">
        <v>7.6554203626222998E-3</v>
      </c>
      <c r="Q314" s="1306">
        <v>7.0764407049211204E-3</v>
      </c>
      <c r="R314" s="1303">
        <v>3.8481888326502497E-2</v>
      </c>
      <c r="S314" s="1288">
        <v>3.54997714489984E-2</v>
      </c>
      <c r="T314" s="1288">
        <v>3.84036317540861E-2</v>
      </c>
      <c r="U314" s="1306">
        <v>1.9167935893848399E-2</v>
      </c>
      <c r="V314" s="1294">
        <v>7.04836449775351E-3</v>
      </c>
    </row>
    <row r="315" spans="1:22" s="212" customFormat="1" ht="15.5" x14ac:dyDescent="0.35">
      <c r="A315" s="198">
        <v>2020</v>
      </c>
      <c r="B315" s="197" t="s">
        <v>5833</v>
      </c>
      <c r="C315" s="197">
        <v>2016</v>
      </c>
      <c r="D315" s="225" t="str">
        <f t="shared" si="2"/>
        <v>2020_2016</v>
      </c>
      <c r="E315" s="1231">
        <v>6.8810623088790601E-2</v>
      </c>
      <c r="F315" s="1288">
        <v>5.9340075844710599E-3</v>
      </c>
      <c r="G315" s="1306">
        <v>2.6723004894639701E-2</v>
      </c>
      <c r="H315" s="1303">
        <v>0.384439369289723</v>
      </c>
      <c r="I315" s="1288">
        <v>7.7316153997705403E-2</v>
      </c>
      <c r="J315" s="1306">
        <v>0.84326140432538099</v>
      </c>
      <c r="K315" s="1303">
        <v>6.9406890757067003E-3</v>
      </c>
      <c r="L315" s="1288">
        <v>9.8191982013834996E-4</v>
      </c>
      <c r="M315" s="1306">
        <v>3.3144000674308402E-4</v>
      </c>
      <c r="N315" s="1303">
        <v>8.2117804972583804E-3</v>
      </c>
      <c r="O315" s="1288">
        <v>2.2085237200317599E-3</v>
      </c>
      <c r="P315" s="1288">
        <v>8.4738214777924994E-3</v>
      </c>
      <c r="Q315" s="1306">
        <v>7.9569585657918804E-3</v>
      </c>
      <c r="R315" s="1303">
        <v>3.84958616135E-2</v>
      </c>
      <c r="S315" s="1288">
        <v>3.3236688054658597E-2</v>
      </c>
      <c r="T315" s="1288">
        <v>3.8449978524626803E-2</v>
      </c>
      <c r="U315" s="1306">
        <v>1.9243523638359E-2</v>
      </c>
      <c r="V315" s="1294">
        <v>7.2545162368585301E-3</v>
      </c>
    </row>
    <row r="316" spans="1:22" s="212" customFormat="1" ht="15.5" x14ac:dyDescent="0.35">
      <c r="A316" s="198">
        <v>2020</v>
      </c>
      <c r="B316" s="197" t="s">
        <v>5833</v>
      </c>
      <c r="C316" s="197">
        <v>2017</v>
      </c>
      <c r="D316" s="225" t="str">
        <f t="shared" si="2"/>
        <v>2020_2017</v>
      </c>
      <c r="E316" s="1231">
        <v>6.59150895251953E-2</v>
      </c>
      <c r="F316" s="1288">
        <v>1.12393784415343E-2</v>
      </c>
      <c r="G316" s="1306">
        <v>2.18887768182787E-2</v>
      </c>
      <c r="H316" s="1303">
        <v>0.36362916397351203</v>
      </c>
      <c r="I316" s="1288">
        <v>0.114394535023082</v>
      </c>
      <c r="J316" s="1306">
        <v>0.50822372027968798</v>
      </c>
      <c r="K316" s="1303">
        <v>6.56274095166478E-3</v>
      </c>
      <c r="L316" s="1288">
        <v>1.27079622096833E-3</v>
      </c>
      <c r="M316" s="1306">
        <v>1.0253863583804201E-3</v>
      </c>
      <c r="N316" s="1303">
        <v>7.8255510763968906E-3</v>
      </c>
      <c r="O316" s="1288">
        <v>2.4876782578978599E-3</v>
      </c>
      <c r="P316" s="1288">
        <v>6.84590347907488E-3</v>
      </c>
      <c r="Q316" s="1306">
        <v>8.0174328048109502E-3</v>
      </c>
      <c r="R316" s="1303">
        <v>3.8498015894693802E-2</v>
      </c>
      <c r="S316" s="1288">
        <v>3.5093065731468198E-2</v>
      </c>
      <c r="T316" s="1288">
        <v>3.7696008183240898E-2</v>
      </c>
      <c r="U316" s="1306">
        <v>1.90904064375991E-2</v>
      </c>
      <c r="V316" s="1294">
        <v>6.8594789757673996E-3</v>
      </c>
    </row>
    <row r="317" spans="1:22" s="212" customFormat="1" ht="15.5" x14ac:dyDescent="0.35">
      <c r="A317" s="198">
        <v>2020</v>
      </c>
      <c r="B317" s="197" t="s">
        <v>5833</v>
      </c>
      <c r="C317" s="197">
        <v>2018</v>
      </c>
      <c r="D317" s="225" t="str">
        <f t="shared" si="2"/>
        <v>2020_2018</v>
      </c>
      <c r="E317" s="1231">
        <v>6.9046734952611794E-2</v>
      </c>
      <c r="F317" s="1288">
        <v>9.7312944153273798E-3</v>
      </c>
      <c r="G317" s="1306">
        <v>5.4682003342179902E-2</v>
      </c>
      <c r="H317" s="1303">
        <v>0.38496059622411299</v>
      </c>
      <c r="I317" s="1288">
        <v>0.104850071515716</v>
      </c>
      <c r="J317" s="1306">
        <v>0.109423794214607</v>
      </c>
      <c r="K317" s="1303">
        <v>6.9834590934508304E-3</v>
      </c>
      <c r="L317" s="1288">
        <v>1.24486452380365E-3</v>
      </c>
      <c r="M317" s="1306">
        <v>9.8519401572118499E-4</v>
      </c>
      <c r="N317" s="1303">
        <v>8.2482763103661604E-3</v>
      </c>
      <c r="O317" s="1288">
        <v>2.4788674284457598E-3</v>
      </c>
      <c r="P317" s="1288">
        <v>7.1518389140904403E-3</v>
      </c>
      <c r="Q317" s="1306">
        <v>7.9389976672573793E-3</v>
      </c>
      <c r="R317" s="1303">
        <v>3.8487927441084202E-2</v>
      </c>
      <c r="S317" s="1288">
        <v>3.5034473715611698E-2</v>
      </c>
      <c r="T317" s="1288">
        <v>3.7881050835453497E-2</v>
      </c>
      <c r="U317" s="1306">
        <v>1.9240847680182201E-2</v>
      </c>
      <c r="V317" s="1294">
        <v>7.2992201250159103E-3</v>
      </c>
    </row>
    <row r="318" spans="1:22" s="212" customFormat="1" ht="15.5" x14ac:dyDescent="0.35">
      <c r="A318" s="198">
        <v>2020</v>
      </c>
      <c r="B318" s="197" t="s">
        <v>5833</v>
      </c>
      <c r="C318" s="197">
        <v>2019</v>
      </c>
      <c r="D318" s="225" t="str">
        <f t="shared" si="2"/>
        <v>2020_2019</v>
      </c>
      <c r="E318" s="1231">
        <v>7.1690252438619401E-2</v>
      </c>
      <c r="F318" s="1288">
        <v>8.9564243072230397E-3</v>
      </c>
      <c r="G318" s="1306">
        <v>5.2202520333025797E-2</v>
      </c>
      <c r="H318" s="1303">
        <v>0.40428439497806201</v>
      </c>
      <c r="I318" s="1288">
        <v>6.5214779503190198E-2</v>
      </c>
      <c r="J318" s="1306">
        <v>0.10642720468545699</v>
      </c>
      <c r="K318" s="1303">
        <v>7.2860607584106403E-3</v>
      </c>
      <c r="L318" s="1288">
        <v>1.25956881475028E-3</v>
      </c>
      <c r="M318" s="1306">
        <v>5.9993684220514603E-4</v>
      </c>
      <c r="N318" s="1303">
        <v>8.5784756094915704E-3</v>
      </c>
      <c r="O318" s="1288">
        <v>2.2678037618185701E-3</v>
      </c>
      <c r="P318" s="1288">
        <v>6.9472013974099999E-3</v>
      </c>
      <c r="Q318" s="1306">
        <v>6.5198277035009699E-3</v>
      </c>
      <c r="R318" s="1303">
        <v>3.8479142353279497E-2</v>
      </c>
      <c r="S318" s="1288">
        <v>3.3630900332540903E-2</v>
      </c>
      <c r="T318" s="1288">
        <v>3.8313426153581E-2</v>
      </c>
      <c r="U318" s="1306">
        <v>1.91759402311482E-2</v>
      </c>
      <c r="V318" s="1294">
        <v>7.6155040944901999E-3</v>
      </c>
    </row>
    <row r="319" spans="1:22" s="212" customFormat="1" ht="15.5" x14ac:dyDescent="0.35">
      <c r="A319" s="198">
        <v>2020</v>
      </c>
      <c r="B319" s="197" t="s">
        <v>5833</v>
      </c>
      <c r="C319" s="197">
        <v>2020</v>
      </c>
      <c r="D319" s="225" t="str">
        <f t="shared" si="2"/>
        <v>2020_2020</v>
      </c>
      <c r="E319" s="1231">
        <v>6.9464738415998595E-2</v>
      </c>
      <c r="F319" s="1288">
        <v>1.15792558444458E-2</v>
      </c>
      <c r="G319" s="1306">
        <v>6.2677098085387101E-2</v>
      </c>
      <c r="H319" s="1303">
        <v>0.37592123702486302</v>
      </c>
      <c r="I319" s="1288">
        <v>8.5233631228378098E-2</v>
      </c>
      <c r="J319" s="1306">
        <v>0.109263508328263</v>
      </c>
      <c r="K319" s="1303">
        <v>6.94099358405687E-3</v>
      </c>
      <c r="L319" s="1288">
        <v>1.42661175499741E-3</v>
      </c>
      <c r="M319" s="1306">
        <v>4.5722142417986301E-4</v>
      </c>
      <c r="N319" s="1303">
        <v>7.9833333791551695E-3</v>
      </c>
      <c r="O319" s="1288">
        <v>2.5564819342454299E-3</v>
      </c>
      <c r="P319" s="1288">
        <v>8.4038559383648494E-3</v>
      </c>
      <c r="Q319" s="1280">
        <v>7.9833333791551695E-3</v>
      </c>
      <c r="R319" s="1303">
        <v>3.8201433945546703E-2</v>
      </c>
      <c r="S319" s="1288">
        <v>3.5550610179179501E-2</v>
      </c>
      <c r="T319" s="1288">
        <v>3.84339654728112E-2</v>
      </c>
      <c r="U319" s="1280">
        <v>1.9100716972773352E-2</v>
      </c>
      <c r="V319" s="1294">
        <v>7.2548345137250598E-3</v>
      </c>
    </row>
    <row r="320" spans="1:22" s="212" customFormat="1" ht="15.5" x14ac:dyDescent="0.35">
      <c r="A320" s="198">
        <v>2020</v>
      </c>
      <c r="B320" s="197" t="s">
        <v>5833</v>
      </c>
      <c r="C320" s="197">
        <v>2021</v>
      </c>
      <c r="D320" s="225" t="str">
        <f t="shared" si="2"/>
        <v>2020_2021</v>
      </c>
      <c r="E320" s="1226">
        <v>6.9464738415998595E-2</v>
      </c>
      <c r="F320" s="1257">
        <v>1.15792558444458E-2</v>
      </c>
      <c r="G320" s="1280">
        <v>6.2677098085387101E-2</v>
      </c>
      <c r="H320" s="1271">
        <v>0.37592123702486302</v>
      </c>
      <c r="I320" s="1257">
        <v>8.5233631228378098E-2</v>
      </c>
      <c r="J320" s="1280">
        <v>0.109263508328263</v>
      </c>
      <c r="K320" s="1271">
        <v>6.94099358405687E-3</v>
      </c>
      <c r="L320" s="1257">
        <v>1.42661175499741E-3</v>
      </c>
      <c r="M320" s="1280">
        <v>4.5722142417986301E-4</v>
      </c>
      <c r="N320" s="1271">
        <v>7.9833333791551695E-3</v>
      </c>
      <c r="O320" s="1257">
        <v>2.5564819342454299E-3</v>
      </c>
      <c r="P320" s="1257">
        <v>8.4038559383648494E-3</v>
      </c>
      <c r="Q320" s="1280">
        <v>7.9833333791551695E-3</v>
      </c>
      <c r="R320" s="1271">
        <v>3.8201433945546703E-2</v>
      </c>
      <c r="S320" s="1257">
        <v>3.5550610179179501E-2</v>
      </c>
      <c r="T320" s="1257">
        <v>3.84339654728112E-2</v>
      </c>
      <c r="U320" s="1280">
        <v>1.9100716972773352E-2</v>
      </c>
      <c r="V320" s="1293">
        <v>7.2548345137250598E-3</v>
      </c>
    </row>
    <row r="321" spans="1:22" s="212" customFormat="1" ht="15.5" x14ac:dyDescent="0.35">
      <c r="A321" s="198">
        <v>2021</v>
      </c>
      <c r="B321" s="197" t="s">
        <v>5833</v>
      </c>
      <c r="C321" s="197">
        <v>1971</v>
      </c>
      <c r="D321" s="225" t="str">
        <f t="shared" si="2"/>
        <v>2021_1971</v>
      </c>
      <c r="E321" s="1226">
        <v>0.208015276888183</v>
      </c>
      <c r="F321" s="1257">
        <v>2.1508922181886402E-2</v>
      </c>
      <c r="G321" s="1280">
        <v>2.92548720758815E-2</v>
      </c>
      <c r="H321" s="1271">
        <v>4.66328492364197</v>
      </c>
      <c r="I321" s="1257">
        <v>0.48263528568307601</v>
      </c>
      <c r="J321" s="1280">
        <v>0.96496896070835902</v>
      </c>
      <c r="K321" s="1271">
        <v>7.5506279551439898E-3</v>
      </c>
      <c r="L321" s="1257">
        <v>1.9218591488303499E-4</v>
      </c>
      <c r="M321" s="1280">
        <v>2.6429257773147102E-4</v>
      </c>
      <c r="N321" s="1271">
        <v>6.32045624681988E-3</v>
      </c>
      <c r="O321" s="1257">
        <v>3.0000008598028201E-3</v>
      </c>
      <c r="P321" s="1257">
        <v>8.8643721459790003E-3</v>
      </c>
      <c r="Q321" s="1280">
        <v>6.32045624681988E-3</v>
      </c>
      <c r="R321" s="1271">
        <v>3.8500011034136201E-2</v>
      </c>
      <c r="S321" s="1257">
        <v>3.8500011034136201E-2</v>
      </c>
      <c r="T321" s="1257">
        <v>3.8500011034136201E-2</v>
      </c>
      <c r="U321" s="1280">
        <v>1.9250005517068101E-2</v>
      </c>
      <c r="V321" s="1293">
        <v>7.8920338458602895E-3</v>
      </c>
    </row>
    <row r="322" spans="1:22" s="212" customFormat="1" ht="15.5" x14ac:dyDescent="0.35">
      <c r="A322" s="198">
        <v>2021</v>
      </c>
      <c r="B322" s="197" t="s">
        <v>5833</v>
      </c>
      <c r="C322" s="197">
        <v>1972</v>
      </c>
      <c r="D322" s="225" t="str">
        <f t="shared" si="2"/>
        <v>2021_1972</v>
      </c>
      <c r="E322" s="1226">
        <v>0.208015276888183</v>
      </c>
      <c r="F322" s="1257">
        <v>2.1508922181886402E-2</v>
      </c>
      <c r="G322" s="1280">
        <v>2.92548720758815E-2</v>
      </c>
      <c r="H322" s="1271">
        <v>4.66328492364197</v>
      </c>
      <c r="I322" s="1257">
        <v>0.48263528568307601</v>
      </c>
      <c r="J322" s="1280">
        <v>0.96496896070835902</v>
      </c>
      <c r="K322" s="1271">
        <v>7.5506279551439898E-3</v>
      </c>
      <c r="L322" s="1257">
        <v>1.9218591488303499E-4</v>
      </c>
      <c r="M322" s="1280">
        <v>2.6429257773147102E-4</v>
      </c>
      <c r="N322" s="1271">
        <v>6.32045624681988E-3</v>
      </c>
      <c r="O322" s="1257">
        <v>3.0000008598028201E-3</v>
      </c>
      <c r="P322" s="1257">
        <v>8.8643721459790003E-3</v>
      </c>
      <c r="Q322" s="1280">
        <v>6.32045624681988E-3</v>
      </c>
      <c r="R322" s="1271">
        <v>3.8500011034136201E-2</v>
      </c>
      <c r="S322" s="1257">
        <v>3.8500011034136201E-2</v>
      </c>
      <c r="T322" s="1257">
        <v>3.8500011034136201E-2</v>
      </c>
      <c r="U322" s="1280">
        <v>1.9250005517068101E-2</v>
      </c>
      <c r="V322" s="1293">
        <v>7.8920338458602895E-3</v>
      </c>
    </row>
    <row r="323" spans="1:22" s="212" customFormat="1" ht="15.5" x14ac:dyDescent="0.35">
      <c r="A323" s="198">
        <v>2021</v>
      </c>
      <c r="B323" s="197" t="s">
        <v>5833</v>
      </c>
      <c r="C323" s="197">
        <v>1973</v>
      </c>
      <c r="D323" s="225" t="str">
        <f t="shared" si="2"/>
        <v>2021_1973</v>
      </c>
      <c r="E323" s="1226">
        <v>0.208015276888183</v>
      </c>
      <c r="F323" s="1257">
        <v>2.1508922181886402E-2</v>
      </c>
      <c r="G323" s="1280">
        <v>2.92548720758815E-2</v>
      </c>
      <c r="H323" s="1271">
        <v>4.66328492364197</v>
      </c>
      <c r="I323" s="1257">
        <v>0.48263528568307601</v>
      </c>
      <c r="J323" s="1280">
        <v>0.96496896070835902</v>
      </c>
      <c r="K323" s="1271">
        <v>7.5506279551439898E-3</v>
      </c>
      <c r="L323" s="1257">
        <v>1.9218591488303499E-4</v>
      </c>
      <c r="M323" s="1280">
        <v>2.6429257773147102E-4</v>
      </c>
      <c r="N323" s="1271">
        <v>6.32045624681988E-3</v>
      </c>
      <c r="O323" s="1257">
        <v>3.0000008598028201E-3</v>
      </c>
      <c r="P323" s="1257">
        <v>8.8643721459790003E-3</v>
      </c>
      <c r="Q323" s="1280">
        <v>6.32045624681988E-3</v>
      </c>
      <c r="R323" s="1271">
        <v>3.8500011034136201E-2</v>
      </c>
      <c r="S323" s="1257">
        <v>3.8500011034136201E-2</v>
      </c>
      <c r="T323" s="1257">
        <v>3.8500011034136201E-2</v>
      </c>
      <c r="U323" s="1280">
        <v>1.9250005517068101E-2</v>
      </c>
      <c r="V323" s="1293">
        <v>7.8920338458602895E-3</v>
      </c>
    </row>
    <row r="324" spans="1:22" s="212" customFormat="1" ht="15.5" x14ac:dyDescent="0.35">
      <c r="A324" s="198">
        <v>2021</v>
      </c>
      <c r="B324" s="197" t="s">
        <v>5833</v>
      </c>
      <c r="C324" s="197">
        <v>1974</v>
      </c>
      <c r="D324" s="225" t="str">
        <f t="shared" si="2"/>
        <v>2021_1974</v>
      </c>
      <c r="E324" s="1226">
        <v>0.208015276888183</v>
      </c>
      <c r="F324" s="1257">
        <v>2.1508922181886402E-2</v>
      </c>
      <c r="G324" s="1280">
        <v>2.92548720758815E-2</v>
      </c>
      <c r="H324" s="1271">
        <v>4.66328492364197</v>
      </c>
      <c r="I324" s="1257">
        <v>0.48263528568307601</v>
      </c>
      <c r="J324" s="1280">
        <v>0.96496896070835902</v>
      </c>
      <c r="K324" s="1271">
        <v>7.5506279551439898E-3</v>
      </c>
      <c r="L324" s="1257">
        <v>1.9218591488303499E-4</v>
      </c>
      <c r="M324" s="1280">
        <v>2.6429257773147102E-4</v>
      </c>
      <c r="N324" s="1271">
        <v>6.32045624681988E-3</v>
      </c>
      <c r="O324" s="1257">
        <v>3.0000008598028201E-3</v>
      </c>
      <c r="P324" s="1257">
        <v>8.8643721459790003E-3</v>
      </c>
      <c r="Q324" s="1280">
        <v>6.32045624681988E-3</v>
      </c>
      <c r="R324" s="1271">
        <v>3.8500011034136201E-2</v>
      </c>
      <c r="S324" s="1257">
        <v>3.8500011034136201E-2</v>
      </c>
      <c r="T324" s="1257">
        <v>3.8500011034136201E-2</v>
      </c>
      <c r="U324" s="1280">
        <v>1.9250005517068101E-2</v>
      </c>
      <c r="V324" s="1293">
        <v>7.8920338458602895E-3</v>
      </c>
    </row>
    <row r="325" spans="1:22" s="212" customFormat="1" ht="15.5" x14ac:dyDescent="0.35">
      <c r="A325" s="198">
        <v>2021</v>
      </c>
      <c r="B325" s="197" t="s">
        <v>5833</v>
      </c>
      <c r="C325" s="197">
        <v>1975</v>
      </c>
      <c r="D325" s="225" t="str">
        <f t="shared" si="2"/>
        <v>2021_1975</v>
      </c>
      <c r="E325" s="1226">
        <v>0.208015276888183</v>
      </c>
      <c r="F325" s="1257">
        <v>2.1508922181886402E-2</v>
      </c>
      <c r="G325" s="1280">
        <v>2.92548720758815E-2</v>
      </c>
      <c r="H325" s="1271">
        <v>4.66328492364197</v>
      </c>
      <c r="I325" s="1257">
        <v>0.48263528568307601</v>
      </c>
      <c r="J325" s="1280">
        <v>0.96496896070835902</v>
      </c>
      <c r="K325" s="1271">
        <v>7.5506279551439898E-3</v>
      </c>
      <c r="L325" s="1257">
        <v>1.9218591488303499E-4</v>
      </c>
      <c r="M325" s="1280">
        <v>2.6429257773147102E-4</v>
      </c>
      <c r="N325" s="1271">
        <v>6.32045624681988E-3</v>
      </c>
      <c r="O325" s="1257">
        <v>3.0000008598028201E-3</v>
      </c>
      <c r="P325" s="1257">
        <v>8.8643721459790003E-3</v>
      </c>
      <c r="Q325" s="1280">
        <v>6.32045624681988E-3</v>
      </c>
      <c r="R325" s="1271">
        <v>3.8500011034136201E-2</v>
      </c>
      <c r="S325" s="1257">
        <v>3.8500011034136201E-2</v>
      </c>
      <c r="T325" s="1257">
        <v>3.8500011034136201E-2</v>
      </c>
      <c r="U325" s="1280">
        <v>1.9250005517068101E-2</v>
      </c>
      <c r="V325" s="1293">
        <v>7.8920338458602895E-3</v>
      </c>
    </row>
    <row r="326" spans="1:22" s="212" customFormat="1" ht="15.5" x14ac:dyDescent="0.35">
      <c r="A326" s="198">
        <v>2021</v>
      </c>
      <c r="B326" s="197" t="s">
        <v>5833</v>
      </c>
      <c r="C326" s="197">
        <v>1976</v>
      </c>
      <c r="D326" s="225" t="str">
        <f t="shared" si="2"/>
        <v>2021_1976</v>
      </c>
      <c r="E326" s="1226">
        <v>0.208015276888183</v>
      </c>
      <c r="F326" s="1257">
        <v>2.1508922181886402E-2</v>
      </c>
      <c r="G326" s="1280">
        <v>2.92548720758815E-2</v>
      </c>
      <c r="H326" s="1271">
        <v>4.66328492364197</v>
      </c>
      <c r="I326" s="1257">
        <v>0.48263528568307601</v>
      </c>
      <c r="J326" s="1280">
        <v>0.96496896070835902</v>
      </c>
      <c r="K326" s="1271">
        <v>7.5506279551439898E-3</v>
      </c>
      <c r="L326" s="1257">
        <v>1.9218591488303499E-4</v>
      </c>
      <c r="M326" s="1280">
        <v>2.6429257773147102E-4</v>
      </c>
      <c r="N326" s="1271">
        <v>6.32045624681988E-3</v>
      </c>
      <c r="O326" s="1257">
        <v>3.0000008598028201E-3</v>
      </c>
      <c r="P326" s="1257">
        <v>8.8643721459790003E-3</v>
      </c>
      <c r="Q326" s="1280">
        <v>6.32045624681988E-3</v>
      </c>
      <c r="R326" s="1271">
        <v>3.8500011034136201E-2</v>
      </c>
      <c r="S326" s="1257">
        <v>3.8500011034136201E-2</v>
      </c>
      <c r="T326" s="1257">
        <v>3.8500011034136201E-2</v>
      </c>
      <c r="U326" s="1280">
        <v>1.9250005517068101E-2</v>
      </c>
      <c r="V326" s="1293">
        <v>7.8920338458602895E-3</v>
      </c>
    </row>
    <row r="327" spans="1:22" s="212" customFormat="1" ht="15.5" x14ac:dyDescent="0.35">
      <c r="A327" s="198">
        <v>2021</v>
      </c>
      <c r="B327" s="197" t="s">
        <v>5833</v>
      </c>
      <c r="C327" s="197">
        <v>1977</v>
      </c>
      <c r="D327" s="225" t="str">
        <f t="shared" si="2"/>
        <v>2021_1977</v>
      </c>
      <c r="E327" s="1226">
        <v>0.208015276888183</v>
      </c>
      <c r="F327" s="1257">
        <v>2.1508922181886402E-2</v>
      </c>
      <c r="G327" s="1280">
        <v>2.92548720758815E-2</v>
      </c>
      <c r="H327" s="1271">
        <v>4.66328492364197</v>
      </c>
      <c r="I327" s="1257">
        <v>0.48263528568307601</v>
      </c>
      <c r="J327" s="1280">
        <v>0.96496896070835902</v>
      </c>
      <c r="K327" s="1271">
        <v>7.5506279551439898E-3</v>
      </c>
      <c r="L327" s="1257">
        <v>1.9218591488303499E-4</v>
      </c>
      <c r="M327" s="1280">
        <v>2.6429257773147102E-4</v>
      </c>
      <c r="N327" s="1271">
        <v>6.32045624681988E-3</v>
      </c>
      <c r="O327" s="1257">
        <v>3.0000008598028201E-3</v>
      </c>
      <c r="P327" s="1257">
        <v>8.8643721459790003E-3</v>
      </c>
      <c r="Q327" s="1280">
        <v>6.32045624681988E-3</v>
      </c>
      <c r="R327" s="1271">
        <v>3.8500011034136201E-2</v>
      </c>
      <c r="S327" s="1257">
        <v>3.8500011034136201E-2</v>
      </c>
      <c r="T327" s="1257">
        <v>3.8500011034136201E-2</v>
      </c>
      <c r="U327" s="1280">
        <v>1.9250005517068101E-2</v>
      </c>
      <c r="V327" s="1293">
        <v>7.8920338458602895E-3</v>
      </c>
    </row>
    <row r="328" spans="1:22" s="212" customFormat="1" ht="15.5" x14ac:dyDescent="0.35">
      <c r="A328" s="198">
        <v>2021</v>
      </c>
      <c r="B328" s="197" t="s">
        <v>5833</v>
      </c>
      <c r="C328" s="197">
        <v>1978</v>
      </c>
      <c r="D328" s="225" t="str">
        <f t="shared" si="2"/>
        <v>2021_1978</v>
      </c>
      <c r="E328" s="1226">
        <v>0.208015276888183</v>
      </c>
      <c r="F328" s="1257">
        <v>2.1508922181886402E-2</v>
      </c>
      <c r="G328" s="1280">
        <v>2.92548720758815E-2</v>
      </c>
      <c r="H328" s="1271">
        <v>4.66328492364197</v>
      </c>
      <c r="I328" s="1257">
        <v>0.48263528568307601</v>
      </c>
      <c r="J328" s="1280">
        <v>0.96496896070835902</v>
      </c>
      <c r="K328" s="1271">
        <v>7.5506279551439898E-3</v>
      </c>
      <c r="L328" s="1257">
        <v>1.9218591488303499E-4</v>
      </c>
      <c r="M328" s="1280">
        <v>2.6429257773147102E-4</v>
      </c>
      <c r="N328" s="1271">
        <v>6.32045624681988E-3</v>
      </c>
      <c r="O328" s="1257">
        <v>3.0000008598028201E-3</v>
      </c>
      <c r="P328" s="1257">
        <v>8.8643721459790003E-3</v>
      </c>
      <c r="Q328" s="1280">
        <v>6.32045624681988E-3</v>
      </c>
      <c r="R328" s="1271">
        <v>3.8500011034136201E-2</v>
      </c>
      <c r="S328" s="1257">
        <v>3.8500011034136201E-2</v>
      </c>
      <c r="T328" s="1257">
        <v>3.8500011034136201E-2</v>
      </c>
      <c r="U328" s="1280">
        <v>1.9250005517068101E-2</v>
      </c>
      <c r="V328" s="1293">
        <v>7.8920338458602895E-3</v>
      </c>
    </row>
    <row r="329" spans="1:22" s="212" customFormat="1" ht="15.5" x14ac:dyDescent="0.35">
      <c r="A329" s="198">
        <v>2021</v>
      </c>
      <c r="B329" s="197" t="s">
        <v>5833</v>
      </c>
      <c r="C329" s="197">
        <v>1979</v>
      </c>
      <c r="D329" s="225" t="str">
        <f t="shared" si="2"/>
        <v>2021_1979</v>
      </c>
      <c r="E329" s="1226">
        <v>0.208015276888183</v>
      </c>
      <c r="F329" s="1257">
        <v>2.1508922181886402E-2</v>
      </c>
      <c r="G329" s="1280">
        <v>2.92548720758815E-2</v>
      </c>
      <c r="H329" s="1271">
        <v>4.66328492364197</v>
      </c>
      <c r="I329" s="1257">
        <v>0.48263528568307601</v>
      </c>
      <c r="J329" s="1280">
        <v>0.96496896070835902</v>
      </c>
      <c r="K329" s="1271">
        <v>7.5506279551439898E-3</v>
      </c>
      <c r="L329" s="1257">
        <v>1.9218591488303499E-4</v>
      </c>
      <c r="M329" s="1280">
        <v>2.6429257773147102E-4</v>
      </c>
      <c r="N329" s="1271">
        <v>6.32045624681988E-3</v>
      </c>
      <c r="O329" s="1257">
        <v>3.0000008598028201E-3</v>
      </c>
      <c r="P329" s="1257">
        <v>8.8643721459790003E-3</v>
      </c>
      <c r="Q329" s="1280">
        <v>6.32045624681988E-3</v>
      </c>
      <c r="R329" s="1271">
        <v>3.8500011034136201E-2</v>
      </c>
      <c r="S329" s="1257">
        <v>3.8500011034136201E-2</v>
      </c>
      <c r="T329" s="1257">
        <v>3.8500011034136201E-2</v>
      </c>
      <c r="U329" s="1280">
        <v>1.9250005517068101E-2</v>
      </c>
      <c r="V329" s="1293">
        <v>7.8920338458602895E-3</v>
      </c>
    </row>
    <row r="330" spans="1:22" s="212" customFormat="1" ht="15.5" x14ac:dyDescent="0.35">
      <c r="A330" s="198">
        <v>2021</v>
      </c>
      <c r="B330" s="197" t="s">
        <v>5833</v>
      </c>
      <c r="C330" s="197">
        <v>1980</v>
      </c>
      <c r="D330" s="225" t="str">
        <f t="shared" si="2"/>
        <v>2021_1980</v>
      </c>
      <c r="E330" s="1226">
        <v>0.208015276888183</v>
      </c>
      <c r="F330" s="1257">
        <v>2.1508922181886402E-2</v>
      </c>
      <c r="G330" s="1280">
        <v>2.92548720758815E-2</v>
      </c>
      <c r="H330" s="1271">
        <v>4.66328492364197</v>
      </c>
      <c r="I330" s="1257">
        <v>0.48263528568307601</v>
      </c>
      <c r="J330" s="1280">
        <v>0.96496896070835902</v>
      </c>
      <c r="K330" s="1271">
        <v>7.5506279551439898E-3</v>
      </c>
      <c r="L330" s="1257">
        <v>1.9218591488303499E-4</v>
      </c>
      <c r="M330" s="1280">
        <v>2.6429257773147102E-4</v>
      </c>
      <c r="N330" s="1271">
        <v>6.32045624681988E-3</v>
      </c>
      <c r="O330" s="1257">
        <v>3.0000008598028201E-3</v>
      </c>
      <c r="P330" s="1257">
        <v>8.8643721459790003E-3</v>
      </c>
      <c r="Q330" s="1280">
        <v>6.32045624681988E-3</v>
      </c>
      <c r="R330" s="1271">
        <v>3.8500011034136201E-2</v>
      </c>
      <c r="S330" s="1257">
        <v>3.8500011034136201E-2</v>
      </c>
      <c r="T330" s="1257">
        <v>3.8500011034136201E-2</v>
      </c>
      <c r="U330" s="1280">
        <v>1.9250005517068101E-2</v>
      </c>
      <c r="V330" s="1293">
        <v>7.8920338458602895E-3</v>
      </c>
    </row>
    <row r="331" spans="1:22" s="212" customFormat="1" ht="15.5" x14ac:dyDescent="0.35">
      <c r="A331" s="198">
        <v>2021</v>
      </c>
      <c r="B331" s="197" t="s">
        <v>5833</v>
      </c>
      <c r="C331" s="197">
        <v>1981</v>
      </c>
      <c r="D331" s="225" t="str">
        <f t="shared" si="2"/>
        <v>2021_1981</v>
      </c>
      <c r="E331" s="1226">
        <v>0.208015276888183</v>
      </c>
      <c r="F331" s="1257">
        <v>2.1508922181886402E-2</v>
      </c>
      <c r="G331" s="1280">
        <v>2.92548720758815E-2</v>
      </c>
      <c r="H331" s="1271">
        <v>4.66328492364197</v>
      </c>
      <c r="I331" s="1257">
        <v>0.48263528568307601</v>
      </c>
      <c r="J331" s="1280">
        <v>0.96496896070835902</v>
      </c>
      <c r="K331" s="1271">
        <v>7.5506279551439898E-3</v>
      </c>
      <c r="L331" s="1257">
        <v>1.9218591488303499E-4</v>
      </c>
      <c r="M331" s="1280">
        <v>2.6429257773147102E-4</v>
      </c>
      <c r="N331" s="1271">
        <v>6.32045624681988E-3</v>
      </c>
      <c r="O331" s="1257">
        <v>3.0000008598028201E-3</v>
      </c>
      <c r="P331" s="1257">
        <v>8.8643721459790003E-3</v>
      </c>
      <c r="Q331" s="1280">
        <v>6.32045624681988E-3</v>
      </c>
      <c r="R331" s="1271">
        <v>3.8500011034136201E-2</v>
      </c>
      <c r="S331" s="1257">
        <v>3.8500011034136201E-2</v>
      </c>
      <c r="T331" s="1257">
        <v>3.8500011034136201E-2</v>
      </c>
      <c r="U331" s="1280">
        <v>1.9250005517068101E-2</v>
      </c>
      <c r="V331" s="1293">
        <v>7.8920338458602895E-3</v>
      </c>
    </row>
    <row r="332" spans="1:22" s="212" customFormat="1" ht="15.5" x14ac:dyDescent="0.35">
      <c r="A332" s="198">
        <v>2021</v>
      </c>
      <c r="B332" s="197" t="s">
        <v>5833</v>
      </c>
      <c r="C332" s="197">
        <v>1982</v>
      </c>
      <c r="D332" s="225" t="str">
        <f t="shared" si="2"/>
        <v>2021_1982</v>
      </c>
      <c r="E332" s="1226">
        <v>0.208015276888183</v>
      </c>
      <c r="F332" s="1257">
        <v>2.1508922181886402E-2</v>
      </c>
      <c r="G332" s="1280">
        <v>2.92548720758815E-2</v>
      </c>
      <c r="H332" s="1271">
        <v>4.66328492364197</v>
      </c>
      <c r="I332" s="1257">
        <v>0.48263528568307601</v>
      </c>
      <c r="J332" s="1280">
        <v>0.96496896070835902</v>
      </c>
      <c r="K332" s="1271">
        <v>7.5506279551439898E-3</v>
      </c>
      <c r="L332" s="1257">
        <v>1.9218591488303499E-4</v>
      </c>
      <c r="M332" s="1280">
        <v>2.6429257773147102E-4</v>
      </c>
      <c r="N332" s="1271">
        <v>6.32045624681988E-3</v>
      </c>
      <c r="O332" s="1257">
        <v>3.0000008598028201E-3</v>
      </c>
      <c r="P332" s="1257">
        <v>8.8643721459790003E-3</v>
      </c>
      <c r="Q332" s="1280">
        <v>6.32045624681988E-3</v>
      </c>
      <c r="R332" s="1271">
        <v>3.8500011034136201E-2</v>
      </c>
      <c r="S332" s="1257">
        <v>3.8500011034136201E-2</v>
      </c>
      <c r="T332" s="1257">
        <v>3.8500011034136201E-2</v>
      </c>
      <c r="U332" s="1280">
        <v>1.9250005517068101E-2</v>
      </c>
      <c r="V332" s="1293">
        <v>7.8920338458602895E-3</v>
      </c>
    </row>
    <row r="333" spans="1:22" s="212" customFormat="1" ht="15.5" x14ac:dyDescent="0.35">
      <c r="A333" s="198">
        <v>2021</v>
      </c>
      <c r="B333" s="197" t="s">
        <v>5833</v>
      </c>
      <c r="C333" s="197">
        <v>1983</v>
      </c>
      <c r="D333" s="225" t="str">
        <f t="shared" si="2"/>
        <v>2021_1983</v>
      </c>
      <c r="E333" s="1226">
        <v>0.208015276888183</v>
      </c>
      <c r="F333" s="1257">
        <v>2.1508922181886402E-2</v>
      </c>
      <c r="G333" s="1280">
        <v>2.92548720758815E-2</v>
      </c>
      <c r="H333" s="1271">
        <v>4.66328492364197</v>
      </c>
      <c r="I333" s="1257">
        <v>0.48263528568307601</v>
      </c>
      <c r="J333" s="1280">
        <v>0.96496896070835902</v>
      </c>
      <c r="K333" s="1271">
        <v>7.5506279551439898E-3</v>
      </c>
      <c r="L333" s="1257">
        <v>1.9218591488303499E-4</v>
      </c>
      <c r="M333" s="1280">
        <v>2.6429257773147102E-4</v>
      </c>
      <c r="N333" s="1271">
        <v>6.32045624681988E-3</v>
      </c>
      <c r="O333" s="1257">
        <v>3.0000008598028201E-3</v>
      </c>
      <c r="P333" s="1257">
        <v>8.8643721459790003E-3</v>
      </c>
      <c r="Q333" s="1280">
        <v>6.32045624681988E-3</v>
      </c>
      <c r="R333" s="1271">
        <v>3.8500011034136201E-2</v>
      </c>
      <c r="S333" s="1257">
        <v>3.8500011034136201E-2</v>
      </c>
      <c r="T333" s="1257">
        <v>3.8500011034136201E-2</v>
      </c>
      <c r="U333" s="1280">
        <v>1.9250005517068101E-2</v>
      </c>
      <c r="V333" s="1293">
        <v>7.8920338458602895E-3</v>
      </c>
    </row>
    <row r="334" spans="1:22" s="212" customFormat="1" ht="15.5" x14ac:dyDescent="0.35">
      <c r="A334" s="198">
        <v>2021</v>
      </c>
      <c r="B334" s="197" t="s">
        <v>5833</v>
      </c>
      <c r="C334" s="197">
        <v>1984</v>
      </c>
      <c r="D334" s="225" t="str">
        <f t="shared" si="2"/>
        <v>2021_1984</v>
      </c>
      <c r="E334" s="1226">
        <v>0.208015276888183</v>
      </c>
      <c r="F334" s="1257">
        <v>2.1508922181886402E-2</v>
      </c>
      <c r="G334" s="1280">
        <v>2.92548720758815E-2</v>
      </c>
      <c r="H334" s="1271">
        <v>4.66328492364197</v>
      </c>
      <c r="I334" s="1257">
        <v>0.48263528568307601</v>
      </c>
      <c r="J334" s="1280">
        <v>0.96496896070835902</v>
      </c>
      <c r="K334" s="1271">
        <v>7.5506279551439898E-3</v>
      </c>
      <c r="L334" s="1257">
        <v>1.9218591488303499E-4</v>
      </c>
      <c r="M334" s="1280">
        <v>2.6429257773147102E-4</v>
      </c>
      <c r="N334" s="1271">
        <v>6.32045624681988E-3</v>
      </c>
      <c r="O334" s="1257">
        <v>3.0000008598028201E-3</v>
      </c>
      <c r="P334" s="1257">
        <v>8.8643721459790003E-3</v>
      </c>
      <c r="Q334" s="1280">
        <v>6.32045624681988E-3</v>
      </c>
      <c r="R334" s="1271">
        <v>3.8500011034136201E-2</v>
      </c>
      <c r="S334" s="1257">
        <v>3.8500011034136201E-2</v>
      </c>
      <c r="T334" s="1257">
        <v>3.8500011034136201E-2</v>
      </c>
      <c r="U334" s="1280">
        <v>1.9250005517068101E-2</v>
      </c>
      <c r="V334" s="1293">
        <v>7.8920338458602895E-3</v>
      </c>
    </row>
    <row r="335" spans="1:22" s="212" customFormat="1" ht="15.5" x14ac:dyDescent="0.35">
      <c r="A335" s="198">
        <v>2021</v>
      </c>
      <c r="B335" s="197" t="s">
        <v>5833</v>
      </c>
      <c r="C335" s="197">
        <v>1985</v>
      </c>
      <c r="D335" s="225" t="str">
        <f t="shared" si="2"/>
        <v>2021_1985</v>
      </c>
      <c r="E335" s="1226">
        <v>0.208015276888183</v>
      </c>
      <c r="F335" s="1257">
        <v>2.1508922181886402E-2</v>
      </c>
      <c r="G335" s="1280">
        <v>2.92548720758815E-2</v>
      </c>
      <c r="H335" s="1271">
        <v>4.66328492364197</v>
      </c>
      <c r="I335" s="1257">
        <v>0.48263528568307601</v>
      </c>
      <c r="J335" s="1280">
        <v>0.96496896070835902</v>
      </c>
      <c r="K335" s="1271">
        <v>7.5506279551439898E-3</v>
      </c>
      <c r="L335" s="1257">
        <v>1.9218591488303499E-4</v>
      </c>
      <c r="M335" s="1280">
        <v>2.6429257773147102E-4</v>
      </c>
      <c r="N335" s="1271">
        <v>6.32045624681988E-3</v>
      </c>
      <c r="O335" s="1257">
        <v>3.0000008598028201E-3</v>
      </c>
      <c r="P335" s="1257">
        <v>8.8643721459790003E-3</v>
      </c>
      <c r="Q335" s="1280">
        <v>6.32045624681988E-3</v>
      </c>
      <c r="R335" s="1271">
        <v>3.8500011034136201E-2</v>
      </c>
      <c r="S335" s="1257">
        <v>3.8500011034136201E-2</v>
      </c>
      <c r="T335" s="1257">
        <v>3.8500011034136201E-2</v>
      </c>
      <c r="U335" s="1280">
        <v>1.9250005517068101E-2</v>
      </c>
      <c r="V335" s="1293">
        <v>7.8920338458602895E-3</v>
      </c>
    </row>
    <row r="336" spans="1:22" s="212" customFormat="1" ht="15.5" x14ac:dyDescent="0.35">
      <c r="A336" s="198">
        <v>2021</v>
      </c>
      <c r="B336" s="197" t="s">
        <v>5833</v>
      </c>
      <c r="C336" s="197">
        <v>1986</v>
      </c>
      <c r="D336" s="225" t="str">
        <f t="shared" si="2"/>
        <v>2021_1986</v>
      </c>
      <c r="E336" s="1226">
        <v>0.208015276888183</v>
      </c>
      <c r="F336" s="1257">
        <v>2.1508922181886402E-2</v>
      </c>
      <c r="G336" s="1280">
        <v>2.92548720758815E-2</v>
      </c>
      <c r="H336" s="1271">
        <v>4.66328492364197</v>
      </c>
      <c r="I336" s="1257">
        <v>0.48263528568307601</v>
      </c>
      <c r="J336" s="1280">
        <v>0.96496896070835902</v>
      </c>
      <c r="K336" s="1271">
        <v>7.5506279551439898E-3</v>
      </c>
      <c r="L336" s="1257">
        <v>1.9218591488303499E-4</v>
      </c>
      <c r="M336" s="1280">
        <v>2.6429257773147102E-4</v>
      </c>
      <c r="N336" s="1271">
        <v>6.32045624681988E-3</v>
      </c>
      <c r="O336" s="1257">
        <v>3.0000008598028201E-3</v>
      </c>
      <c r="P336" s="1257">
        <v>8.8643721459790003E-3</v>
      </c>
      <c r="Q336" s="1280">
        <v>6.32045624681988E-3</v>
      </c>
      <c r="R336" s="1271">
        <v>3.8500011034136201E-2</v>
      </c>
      <c r="S336" s="1257">
        <v>3.8500011034136201E-2</v>
      </c>
      <c r="T336" s="1257">
        <v>3.8500011034136201E-2</v>
      </c>
      <c r="U336" s="1280">
        <v>1.9250005517068101E-2</v>
      </c>
      <c r="V336" s="1293">
        <v>7.8920338458602895E-3</v>
      </c>
    </row>
    <row r="337" spans="1:22" s="212" customFormat="1" ht="15.5" x14ac:dyDescent="0.35">
      <c r="A337" s="198">
        <v>2021</v>
      </c>
      <c r="B337" s="197" t="s">
        <v>5833</v>
      </c>
      <c r="C337" s="197">
        <v>1987</v>
      </c>
      <c r="D337" s="225" t="str">
        <f t="shared" si="2"/>
        <v>2021_1987</v>
      </c>
      <c r="E337" s="1226">
        <v>0.208015276888183</v>
      </c>
      <c r="F337" s="1257">
        <v>2.1508922181886402E-2</v>
      </c>
      <c r="G337" s="1280">
        <v>2.92548720758815E-2</v>
      </c>
      <c r="H337" s="1271">
        <v>4.66328492364197</v>
      </c>
      <c r="I337" s="1257">
        <v>0.48263528568307601</v>
      </c>
      <c r="J337" s="1280">
        <v>0.96496896070835902</v>
      </c>
      <c r="K337" s="1271">
        <v>7.5506279551439898E-3</v>
      </c>
      <c r="L337" s="1257">
        <v>1.9218591488303499E-4</v>
      </c>
      <c r="M337" s="1280">
        <v>2.6429257773147102E-4</v>
      </c>
      <c r="N337" s="1271">
        <v>6.32045624681988E-3</v>
      </c>
      <c r="O337" s="1257">
        <v>3.0000008598028201E-3</v>
      </c>
      <c r="P337" s="1257">
        <v>8.8643721459790003E-3</v>
      </c>
      <c r="Q337" s="1280">
        <v>6.32045624681988E-3</v>
      </c>
      <c r="R337" s="1271">
        <v>3.8500011034136201E-2</v>
      </c>
      <c r="S337" s="1257">
        <v>3.8500011034136201E-2</v>
      </c>
      <c r="T337" s="1257">
        <v>3.8500011034136201E-2</v>
      </c>
      <c r="U337" s="1280">
        <v>1.9250005517068101E-2</v>
      </c>
      <c r="V337" s="1293">
        <v>7.8920338458602895E-3</v>
      </c>
    </row>
    <row r="338" spans="1:22" s="212" customFormat="1" ht="15.5" x14ac:dyDescent="0.35">
      <c r="A338" s="198">
        <v>2021</v>
      </c>
      <c r="B338" s="197" t="s">
        <v>5833</v>
      </c>
      <c r="C338" s="197">
        <v>1988</v>
      </c>
      <c r="D338" s="225" t="str">
        <f t="shared" si="2"/>
        <v>2021_1988</v>
      </c>
      <c r="E338" s="1226">
        <v>0.208015276888183</v>
      </c>
      <c r="F338" s="1257">
        <v>2.1508922181886402E-2</v>
      </c>
      <c r="G338" s="1280">
        <v>2.92548720758815E-2</v>
      </c>
      <c r="H338" s="1271">
        <v>4.66328492364197</v>
      </c>
      <c r="I338" s="1257">
        <v>0.48263528568307601</v>
      </c>
      <c r="J338" s="1280">
        <v>0.96496896070835902</v>
      </c>
      <c r="K338" s="1271">
        <v>7.5506279551439898E-3</v>
      </c>
      <c r="L338" s="1257">
        <v>1.9218591488303499E-4</v>
      </c>
      <c r="M338" s="1280">
        <v>2.6429257773147102E-4</v>
      </c>
      <c r="N338" s="1271">
        <v>6.32045624681988E-3</v>
      </c>
      <c r="O338" s="1257">
        <v>3.0000008598028201E-3</v>
      </c>
      <c r="P338" s="1257">
        <v>8.8643721459790003E-3</v>
      </c>
      <c r="Q338" s="1280">
        <v>6.32045624681988E-3</v>
      </c>
      <c r="R338" s="1271">
        <v>3.8500011034136201E-2</v>
      </c>
      <c r="S338" s="1257">
        <v>3.8500011034136201E-2</v>
      </c>
      <c r="T338" s="1257">
        <v>3.8500011034136201E-2</v>
      </c>
      <c r="U338" s="1280">
        <v>1.9250005517068101E-2</v>
      </c>
      <c r="V338" s="1293">
        <v>7.8920338458602895E-3</v>
      </c>
    </row>
    <row r="339" spans="1:22" s="212" customFormat="1" ht="15.5" x14ac:dyDescent="0.35">
      <c r="A339" s="198">
        <v>2021</v>
      </c>
      <c r="B339" s="197" t="s">
        <v>5833</v>
      </c>
      <c r="C339" s="197">
        <v>1989</v>
      </c>
      <c r="D339" s="225" t="str">
        <f t="shared" si="2"/>
        <v>2021_1989</v>
      </c>
      <c r="E339" s="1226">
        <v>0.208015276888183</v>
      </c>
      <c r="F339" s="1257">
        <v>2.1508922181886402E-2</v>
      </c>
      <c r="G339" s="1280">
        <v>2.92548720758815E-2</v>
      </c>
      <c r="H339" s="1271">
        <v>4.66328492364197</v>
      </c>
      <c r="I339" s="1257">
        <v>0.48263528568307601</v>
      </c>
      <c r="J339" s="1280">
        <v>0.96496896070835902</v>
      </c>
      <c r="K339" s="1271">
        <v>7.5506279551439898E-3</v>
      </c>
      <c r="L339" s="1257">
        <v>1.9218591488303499E-4</v>
      </c>
      <c r="M339" s="1280">
        <v>2.6429257773147102E-4</v>
      </c>
      <c r="N339" s="1271">
        <v>6.32045624681988E-3</v>
      </c>
      <c r="O339" s="1257">
        <v>3.0000008598028201E-3</v>
      </c>
      <c r="P339" s="1257">
        <v>8.8643721459790003E-3</v>
      </c>
      <c r="Q339" s="1280">
        <v>6.32045624681988E-3</v>
      </c>
      <c r="R339" s="1271">
        <v>3.8500011034136201E-2</v>
      </c>
      <c r="S339" s="1257">
        <v>3.8500011034136201E-2</v>
      </c>
      <c r="T339" s="1257">
        <v>3.8500011034136201E-2</v>
      </c>
      <c r="U339" s="1280">
        <v>1.9250005517068101E-2</v>
      </c>
      <c r="V339" s="1293">
        <v>7.8920338458602895E-3</v>
      </c>
    </row>
    <row r="340" spans="1:22" s="212" customFormat="1" ht="15.5" x14ac:dyDescent="0.35">
      <c r="A340" s="198">
        <v>2021</v>
      </c>
      <c r="B340" s="197" t="s">
        <v>5833</v>
      </c>
      <c r="C340" s="197">
        <v>1990</v>
      </c>
      <c r="D340" s="225" t="str">
        <f t="shared" si="2"/>
        <v>2021_1990</v>
      </c>
      <c r="E340" s="1226">
        <v>0.208015276888183</v>
      </c>
      <c r="F340" s="1257">
        <v>2.1508922181886402E-2</v>
      </c>
      <c r="G340" s="1280">
        <v>2.92548720758815E-2</v>
      </c>
      <c r="H340" s="1271">
        <v>4.66328492364197</v>
      </c>
      <c r="I340" s="1257">
        <v>0.48263528568307601</v>
      </c>
      <c r="J340" s="1280">
        <v>0.96496896070835902</v>
      </c>
      <c r="K340" s="1271">
        <v>7.5506279551439898E-3</v>
      </c>
      <c r="L340" s="1257">
        <v>1.9218591488303499E-4</v>
      </c>
      <c r="M340" s="1280">
        <v>2.6429257773147102E-4</v>
      </c>
      <c r="N340" s="1271">
        <v>6.32045624681988E-3</v>
      </c>
      <c r="O340" s="1257">
        <v>3.0000008598028201E-3</v>
      </c>
      <c r="P340" s="1257">
        <v>8.8643721459790003E-3</v>
      </c>
      <c r="Q340" s="1280">
        <v>6.32045624681988E-3</v>
      </c>
      <c r="R340" s="1271">
        <v>3.8500011034136201E-2</v>
      </c>
      <c r="S340" s="1257">
        <v>3.8500011034136201E-2</v>
      </c>
      <c r="T340" s="1257">
        <v>3.8500011034136201E-2</v>
      </c>
      <c r="U340" s="1280">
        <v>1.9250005517068101E-2</v>
      </c>
      <c r="V340" s="1293">
        <v>7.8920338458602895E-3</v>
      </c>
    </row>
    <row r="341" spans="1:22" s="212" customFormat="1" ht="15.5" x14ac:dyDescent="0.35">
      <c r="A341" s="198">
        <v>2021</v>
      </c>
      <c r="B341" s="197" t="s">
        <v>5833</v>
      </c>
      <c r="C341" s="197">
        <v>1991</v>
      </c>
      <c r="D341" s="225" t="str">
        <f t="shared" si="2"/>
        <v>2021_1991</v>
      </c>
      <c r="E341" s="1226">
        <v>0.208015276888183</v>
      </c>
      <c r="F341" s="1257">
        <v>2.1508922181886402E-2</v>
      </c>
      <c r="G341" s="1280">
        <v>2.92548720758815E-2</v>
      </c>
      <c r="H341" s="1271">
        <v>4.66328492364197</v>
      </c>
      <c r="I341" s="1257">
        <v>0.48263528568307601</v>
      </c>
      <c r="J341" s="1280">
        <v>0.96496896070835902</v>
      </c>
      <c r="K341" s="1271">
        <v>7.5506279551439898E-3</v>
      </c>
      <c r="L341" s="1257">
        <v>1.9218591488303499E-4</v>
      </c>
      <c r="M341" s="1280">
        <v>2.6429257773147102E-4</v>
      </c>
      <c r="N341" s="1271">
        <v>6.32045624681988E-3</v>
      </c>
      <c r="O341" s="1257">
        <v>3.0000008598028201E-3</v>
      </c>
      <c r="P341" s="1257">
        <v>8.8643721459790003E-3</v>
      </c>
      <c r="Q341" s="1280">
        <v>6.32045624681988E-3</v>
      </c>
      <c r="R341" s="1271">
        <v>3.8500011034136201E-2</v>
      </c>
      <c r="S341" s="1257">
        <v>3.8500011034136201E-2</v>
      </c>
      <c r="T341" s="1257">
        <v>3.8500011034136201E-2</v>
      </c>
      <c r="U341" s="1280">
        <v>1.9250005517068101E-2</v>
      </c>
      <c r="V341" s="1293">
        <v>7.8920338458602895E-3</v>
      </c>
    </row>
    <row r="342" spans="1:22" s="212" customFormat="1" ht="15.5" x14ac:dyDescent="0.35">
      <c r="A342" s="198">
        <v>2021</v>
      </c>
      <c r="B342" s="197" t="s">
        <v>5833</v>
      </c>
      <c r="C342" s="197">
        <v>1992</v>
      </c>
      <c r="D342" s="225" t="str">
        <f t="shared" si="2"/>
        <v>2021_1992</v>
      </c>
      <c r="E342" s="1226">
        <v>0.208015276888183</v>
      </c>
      <c r="F342" s="1257">
        <v>2.1508922181886402E-2</v>
      </c>
      <c r="G342" s="1280">
        <v>2.92548720758815E-2</v>
      </c>
      <c r="H342" s="1271">
        <v>4.66328492364197</v>
      </c>
      <c r="I342" s="1257">
        <v>0.48263528568307601</v>
      </c>
      <c r="J342" s="1280">
        <v>0.96496896070835902</v>
      </c>
      <c r="K342" s="1271">
        <v>7.5506279551439898E-3</v>
      </c>
      <c r="L342" s="1257">
        <v>1.9218591488303499E-4</v>
      </c>
      <c r="M342" s="1280">
        <v>2.6429257773147102E-4</v>
      </c>
      <c r="N342" s="1271">
        <v>6.32045624681988E-3</v>
      </c>
      <c r="O342" s="1257">
        <v>3.0000008598028201E-3</v>
      </c>
      <c r="P342" s="1257">
        <v>8.8643721459790003E-3</v>
      </c>
      <c r="Q342" s="1280">
        <v>6.32045624681988E-3</v>
      </c>
      <c r="R342" s="1271">
        <v>3.8500011034136201E-2</v>
      </c>
      <c r="S342" s="1257">
        <v>3.8500011034136201E-2</v>
      </c>
      <c r="T342" s="1257">
        <v>3.8500011034136201E-2</v>
      </c>
      <c r="U342" s="1280">
        <v>1.9250005517068101E-2</v>
      </c>
      <c r="V342" s="1293">
        <v>7.8920338458602895E-3</v>
      </c>
    </row>
    <row r="343" spans="1:22" s="212" customFormat="1" ht="15.5" x14ac:dyDescent="0.35">
      <c r="A343" s="198">
        <v>2021</v>
      </c>
      <c r="B343" s="197" t="s">
        <v>5833</v>
      </c>
      <c r="C343" s="197">
        <v>1993</v>
      </c>
      <c r="D343" s="225" t="str">
        <f t="shared" si="2"/>
        <v>2021_1993</v>
      </c>
      <c r="E343" s="1226">
        <v>0.208015276888183</v>
      </c>
      <c r="F343" s="1257">
        <v>2.1508922181886402E-2</v>
      </c>
      <c r="G343" s="1280">
        <v>2.92548720758815E-2</v>
      </c>
      <c r="H343" s="1271">
        <v>4.66328492364197</v>
      </c>
      <c r="I343" s="1257">
        <v>0.48263528568307601</v>
      </c>
      <c r="J343" s="1280">
        <v>0.96496896070835902</v>
      </c>
      <c r="K343" s="1271">
        <v>7.5506279551439898E-3</v>
      </c>
      <c r="L343" s="1257">
        <v>1.9218591488303499E-4</v>
      </c>
      <c r="M343" s="1280">
        <v>2.6429257773147102E-4</v>
      </c>
      <c r="N343" s="1271">
        <v>6.32045624681988E-3</v>
      </c>
      <c r="O343" s="1257">
        <v>3.0000008598028201E-3</v>
      </c>
      <c r="P343" s="1257">
        <v>8.8643721459790003E-3</v>
      </c>
      <c r="Q343" s="1280">
        <v>6.32045624681988E-3</v>
      </c>
      <c r="R343" s="1271">
        <v>3.8500011034136201E-2</v>
      </c>
      <c r="S343" s="1257">
        <v>3.8500011034136201E-2</v>
      </c>
      <c r="T343" s="1257">
        <v>3.8500011034136201E-2</v>
      </c>
      <c r="U343" s="1280">
        <v>1.9250005517068101E-2</v>
      </c>
      <c r="V343" s="1293">
        <v>7.8920338458602895E-3</v>
      </c>
    </row>
    <row r="344" spans="1:22" s="212" customFormat="1" ht="15.5" x14ac:dyDescent="0.35">
      <c r="A344" s="198">
        <v>2021</v>
      </c>
      <c r="B344" s="197" t="s">
        <v>5833</v>
      </c>
      <c r="C344" s="197">
        <v>1994</v>
      </c>
      <c r="D344" s="225" t="str">
        <f t="shared" si="2"/>
        <v>2021_1994</v>
      </c>
      <c r="E344" s="1226">
        <v>0.208015276888183</v>
      </c>
      <c r="F344" s="1257">
        <v>2.1508922181886402E-2</v>
      </c>
      <c r="G344" s="1280">
        <v>2.92548720758815E-2</v>
      </c>
      <c r="H344" s="1271">
        <v>4.66328492364197</v>
      </c>
      <c r="I344" s="1257">
        <v>0.48263528568307601</v>
      </c>
      <c r="J344" s="1280">
        <v>0.96496896070835902</v>
      </c>
      <c r="K344" s="1271">
        <v>7.5506279551439898E-3</v>
      </c>
      <c r="L344" s="1257">
        <v>1.9218591488303499E-4</v>
      </c>
      <c r="M344" s="1280">
        <v>2.6429257773147102E-4</v>
      </c>
      <c r="N344" s="1271">
        <v>6.32045624681988E-3</v>
      </c>
      <c r="O344" s="1257">
        <v>3.0000008598028201E-3</v>
      </c>
      <c r="P344" s="1257">
        <v>8.8643721459790003E-3</v>
      </c>
      <c r="Q344" s="1280">
        <v>6.32045624681988E-3</v>
      </c>
      <c r="R344" s="1271">
        <v>3.8500011034136201E-2</v>
      </c>
      <c r="S344" s="1257">
        <v>3.8500011034136201E-2</v>
      </c>
      <c r="T344" s="1257">
        <v>3.8500011034136201E-2</v>
      </c>
      <c r="U344" s="1280">
        <v>1.9250005517068101E-2</v>
      </c>
      <c r="V344" s="1293">
        <v>7.8920338458602895E-3</v>
      </c>
    </row>
    <row r="345" spans="1:22" s="212" customFormat="1" ht="15.5" x14ac:dyDescent="0.35">
      <c r="A345" s="198">
        <v>2021</v>
      </c>
      <c r="B345" s="197" t="s">
        <v>5833</v>
      </c>
      <c r="C345" s="197">
        <v>1995</v>
      </c>
      <c r="D345" s="225" t="str">
        <f t="shared" si="2"/>
        <v>2021_1995</v>
      </c>
      <c r="E345" s="1226">
        <v>0.208015276888183</v>
      </c>
      <c r="F345" s="1257">
        <v>2.1508922181886402E-2</v>
      </c>
      <c r="G345" s="1280">
        <v>2.92548720758815E-2</v>
      </c>
      <c r="H345" s="1271">
        <v>4.66328492364197</v>
      </c>
      <c r="I345" s="1257">
        <v>0.48263528568307601</v>
      </c>
      <c r="J345" s="1280">
        <v>0.96496896070835902</v>
      </c>
      <c r="K345" s="1271">
        <v>7.5506279551439898E-3</v>
      </c>
      <c r="L345" s="1257">
        <v>1.9218591488303499E-4</v>
      </c>
      <c r="M345" s="1280">
        <v>2.6429257773147102E-4</v>
      </c>
      <c r="N345" s="1271">
        <v>6.32045624681988E-3</v>
      </c>
      <c r="O345" s="1257">
        <v>3.0000008598028201E-3</v>
      </c>
      <c r="P345" s="1257">
        <v>8.8643721459790003E-3</v>
      </c>
      <c r="Q345" s="1280">
        <v>6.32045624681988E-3</v>
      </c>
      <c r="R345" s="1271">
        <v>3.8500011034136201E-2</v>
      </c>
      <c r="S345" s="1257">
        <v>3.8500011034136201E-2</v>
      </c>
      <c r="T345" s="1257">
        <v>3.8500011034136201E-2</v>
      </c>
      <c r="U345" s="1280">
        <v>1.9250005517068101E-2</v>
      </c>
      <c r="V345" s="1293">
        <v>7.8920338458602895E-3</v>
      </c>
    </row>
    <row r="346" spans="1:22" s="212" customFormat="1" ht="15.5" x14ac:dyDescent="0.35">
      <c r="A346" s="198">
        <v>2021</v>
      </c>
      <c r="B346" s="197" t="s">
        <v>5833</v>
      </c>
      <c r="C346" s="197">
        <v>1996</v>
      </c>
      <c r="D346" s="225" t="str">
        <f t="shared" si="2"/>
        <v>2021_1996</v>
      </c>
      <c r="E346" s="1226">
        <v>0.208015276888183</v>
      </c>
      <c r="F346" s="1257">
        <v>2.1508922181886402E-2</v>
      </c>
      <c r="G346" s="1280">
        <v>2.92548720758815E-2</v>
      </c>
      <c r="H346" s="1271">
        <v>4.66328492364197</v>
      </c>
      <c r="I346" s="1257">
        <v>0.48263528568307601</v>
      </c>
      <c r="J346" s="1280">
        <v>0.96496896070835902</v>
      </c>
      <c r="K346" s="1271">
        <v>7.5506279551439898E-3</v>
      </c>
      <c r="L346" s="1257">
        <v>1.9218591488303499E-4</v>
      </c>
      <c r="M346" s="1280">
        <v>2.6429257773147102E-4</v>
      </c>
      <c r="N346" s="1271">
        <v>6.32045624681988E-3</v>
      </c>
      <c r="O346" s="1257">
        <v>3.0000008598028201E-3</v>
      </c>
      <c r="P346" s="1257">
        <v>8.8643721459790003E-3</v>
      </c>
      <c r="Q346" s="1280">
        <v>6.32045624681988E-3</v>
      </c>
      <c r="R346" s="1271">
        <v>3.8500011034136201E-2</v>
      </c>
      <c r="S346" s="1257">
        <v>3.8500011034136201E-2</v>
      </c>
      <c r="T346" s="1257">
        <v>3.8500011034136201E-2</v>
      </c>
      <c r="U346" s="1280">
        <v>1.9250005517068101E-2</v>
      </c>
      <c r="V346" s="1293">
        <v>7.8920338458602895E-3</v>
      </c>
    </row>
    <row r="347" spans="1:22" s="212" customFormat="1" ht="15.5" x14ac:dyDescent="0.35">
      <c r="A347" s="198">
        <v>2021</v>
      </c>
      <c r="B347" s="197" t="s">
        <v>5833</v>
      </c>
      <c r="C347" s="197">
        <v>1997</v>
      </c>
      <c r="D347" s="225" t="str">
        <f t="shared" si="2"/>
        <v>2021_1997</v>
      </c>
      <c r="E347" s="1226">
        <v>0.208015276888183</v>
      </c>
      <c r="F347" s="1257">
        <v>2.1508922181886402E-2</v>
      </c>
      <c r="G347" s="1280">
        <v>2.92548720758815E-2</v>
      </c>
      <c r="H347" s="1271">
        <v>4.66328492364197</v>
      </c>
      <c r="I347" s="1257">
        <v>0.48263528568307601</v>
      </c>
      <c r="J347" s="1280">
        <v>0.96496896070835902</v>
      </c>
      <c r="K347" s="1271">
        <v>7.5506279551439898E-3</v>
      </c>
      <c r="L347" s="1257">
        <v>1.9218591488303499E-4</v>
      </c>
      <c r="M347" s="1280">
        <v>2.6429257773147102E-4</v>
      </c>
      <c r="N347" s="1271">
        <v>6.32045624681988E-3</v>
      </c>
      <c r="O347" s="1257">
        <v>3.0000008598028201E-3</v>
      </c>
      <c r="P347" s="1257">
        <v>8.8643721459790003E-3</v>
      </c>
      <c r="Q347" s="1280">
        <v>6.32045624681988E-3</v>
      </c>
      <c r="R347" s="1271">
        <v>3.8500011034136201E-2</v>
      </c>
      <c r="S347" s="1257">
        <v>3.8500011034136201E-2</v>
      </c>
      <c r="T347" s="1257">
        <v>3.8500011034136201E-2</v>
      </c>
      <c r="U347" s="1280">
        <v>1.9250005517068101E-2</v>
      </c>
      <c r="V347" s="1293">
        <v>7.8920338458602895E-3</v>
      </c>
    </row>
    <row r="348" spans="1:22" s="212" customFormat="1" ht="15.5" x14ac:dyDescent="0.35">
      <c r="A348" s="198">
        <v>2021</v>
      </c>
      <c r="B348" s="197" t="s">
        <v>5833</v>
      </c>
      <c r="C348" s="197">
        <v>1998</v>
      </c>
      <c r="D348" s="225" t="str">
        <f t="shared" si="2"/>
        <v>2021_1998</v>
      </c>
      <c r="E348" s="1226">
        <v>0.208015276888183</v>
      </c>
      <c r="F348" s="1257">
        <v>2.1508922181886402E-2</v>
      </c>
      <c r="G348" s="1280">
        <v>2.92548720758815E-2</v>
      </c>
      <c r="H348" s="1271">
        <v>4.66328492364197</v>
      </c>
      <c r="I348" s="1257">
        <v>0.48263528568307601</v>
      </c>
      <c r="J348" s="1280">
        <v>0.96496896070835902</v>
      </c>
      <c r="K348" s="1271">
        <v>7.5506279551439898E-3</v>
      </c>
      <c r="L348" s="1257">
        <v>1.9218591488303499E-4</v>
      </c>
      <c r="M348" s="1280">
        <v>2.6429257773147102E-4</v>
      </c>
      <c r="N348" s="1271">
        <v>6.32045624681988E-3</v>
      </c>
      <c r="O348" s="1257">
        <v>3.0000008598028201E-3</v>
      </c>
      <c r="P348" s="1257">
        <v>8.8643721459790003E-3</v>
      </c>
      <c r="Q348" s="1280">
        <v>6.32045624681988E-3</v>
      </c>
      <c r="R348" s="1271">
        <v>3.8500011034136201E-2</v>
      </c>
      <c r="S348" s="1257">
        <v>3.8500011034136201E-2</v>
      </c>
      <c r="T348" s="1257">
        <v>3.8500011034136201E-2</v>
      </c>
      <c r="U348" s="1280">
        <v>1.9250005517068101E-2</v>
      </c>
      <c r="V348" s="1293">
        <v>7.8920338458602895E-3</v>
      </c>
    </row>
    <row r="349" spans="1:22" s="212" customFormat="1" ht="15.5" x14ac:dyDescent="0.35">
      <c r="A349" s="198">
        <v>2021</v>
      </c>
      <c r="B349" s="197" t="s">
        <v>5833</v>
      </c>
      <c r="C349" s="197">
        <v>1999</v>
      </c>
      <c r="D349" s="225" t="str">
        <f t="shared" si="2"/>
        <v>2021_1999</v>
      </c>
      <c r="E349" s="1226">
        <v>0.208015276888183</v>
      </c>
      <c r="F349" s="1257">
        <v>2.1508922181886402E-2</v>
      </c>
      <c r="G349" s="1280">
        <v>2.92548720758815E-2</v>
      </c>
      <c r="H349" s="1271">
        <v>4.66328492364197</v>
      </c>
      <c r="I349" s="1257">
        <v>0.48263528568307601</v>
      </c>
      <c r="J349" s="1280">
        <v>0.96496896070835902</v>
      </c>
      <c r="K349" s="1271">
        <v>7.5506279551439898E-3</v>
      </c>
      <c r="L349" s="1257">
        <v>1.9218591488303499E-4</v>
      </c>
      <c r="M349" s="1280">
        <v>2.6429257773147102E-4</v>
      </c>
      <c r="N349" s="1271">
        <v>6.32045624681988E-3</v>
      </c>
      <c r="O349" s="1257">
        <v>3.0000008598028201E-3</v>
      </c>
      <c r="P349" s="1257">
        <v>8.8643721459790003E-3</v>
      </c>
      <c r="Q349" s="1280">
        <v>6.32045624681988E-3</v>
      </c>
      <c r="R349" s="1271">
        <v>3.8500011034136201E-2</v>
      </c>
      <c r="S349" s="1257">
        <v>3.8500011034136201E-2</v>
      </c>
      <c r="T349" s="1257">
        <v>3.8500011034136201E-2</v>
      </c>
      <c r="U349" s="1280">
        <v>1.9250005517068101E-2</v>
      </c>
      <c r="V349" s="1293">
        <v>7.8920338458602895E-3</v>
      </c>
    </row>
    <row r="350" spans="1:22" s="212" customFormat="1" ht="15.5" x14ac:dyDescent="0.35">
      <c r="A350" s="198">
        <v>2021</v>
      </c>
      <c r="B350" s="197" t="s">
        <v>5833</v>
      </c>
      <c r="C350" s="197">
        <v>2000</v>
      </c>
      <c r="D350" s="225" t="str">
        <f t="shared" si="2"/>
        <v>2021_2000</v>
      </c>
      <c r="E350" s="1226">
        <v>0.208015276888183</v>
      </c>
      <c r="F350" s="1257">
        <v>2.1508922181886402E-2</v>
      </c>
      <c r="G350" s="1280">
        <v>2.92548720758815E-2</v>
      </c>
      <c r="H350" s="1271">
        <v>4.66328492364197</v>
      </c>
      <c r="I350" s="1257">
        <v>0.48263528568307601</v>
      </c>
      <c r="J350" s="1280">
        <v>0.96496896070835902</v>
      </c>
      <c r="K350" s="1271">
        <v>7.5506279551439898E-3</v>
      </c>
      <c r="L350" s="1257">
        <v>1.9218591488303499E-4</v>
      </c>
      <c r="M350" s="1280">
        <v>2.6429257773147102E-4</v>
      </c>
      <c r="N350" s="1271">
        <v>6.32045624681988E-3</v>
      </c>
      <c r="O350" s="1257">
        <v>3.0000008598028201E-3</v>
      </c>
      <c r="P350" s="1257">
        <v>8.8643721459790003E-3</v>
      </c>
      <c r="Q350" s="1280">
        <v>6.32045624681988E-3</v>
      </c>
      <c r="R350" s="1271">
        <v>3.8500011034136201E-2</v>
      </c>
      <c r="S350" s="1257">
        <v>3.8500011034136201E-2</v>
      </c>
      <c r="T350" s="1257">
        <v>3.8500011034136201E-2</v>
      </c>
      <c r="U350" s="1280">
        <v>1.9250005517068101E-2</v>
      </c>
      <c r="V350" s="1293">
        <v>7.8920338458602895E-3</v>
      </c>
    </row>
    <row r="351" spans="1:22" s="212" customFormat="1" ht="15.5" x14ac:dyDescent="0.35">
      <c r="A351" s="198">
        <v>2021</v>
      </c>
      <c r="B351" s="197" t="s">
        <v>5833</v>
      </c>
      <c r="C351" s="197">
        <v>2001</v>
      </c>
      <c r="D351" s="225" t="str">
        <f t="shared" si="2"/>
        <v>2021_2001</v>
      </c>
      <c r="E351" s="1226">
        <v>0.208015276888183</v>
      </c>
      <c r="F351" s="1257">
        <v>2.1508922181886402E-2</v>
      </c>
      <c r="G351" s="1280">
        <v>2.92548720758815E-2</v>
      </c>
      <c r="H351" s="1271">
        <v>4.66328492364197</v>
      </c>
      <c r="I351" s="1257">
        <v>0.48263528568307601</v>
      </c>
      <c r="J351" s="1280">
        <v>0.96496896070835902</v>
      </c>
      <c r="K351" s="1271">
        <v>7.5506279551439898E-3</v>
      </c>
      <c r="L351" s="1257">
        <v>1.9218591488303499E-4</v>
      </c>
      <c r="M351" s="1280">
        <v>2.6429257773147102E-4</v>
      </c>
      <c r="N351" s="1271">
        <v>6.32045624681988E-3</v>
      </c>
      <c r="O351" s="1257">
        <v>3.0000008598028201E-3</v>
      </c>
      <c r="P351" s="1257">
        <v>8.8643721459790003E-3</v>
      </c>
      <c r="Q351" s="1280">
        <v>6.32045624681988E-3</v>
      </c>
      <c r="R351" s="1271">
        <v>3.8500011034136201E-2</v>
      </c>
      <c r="S351" s="1257">
        <v>3.8500011034136201E-2</v>
      </c>
      <c r="T351" s="1257">
        <v>3.8500011034136201E-2</v>
      </c>
      <c r="U351" s="1280">
        <v>1.9250005517068101E-2</v>
      </c>
      <c r="V351" s="1293">
        <v>7.8920338458602895E-3</v>
      </c>
    </row>
    <row r="352" spans="1:22" s="212" customFormat="1" ht="15.5" x14ac:dyDescent="0.35">
      <c r="A352" s="198">
        <v>2021</v>
      </c>
      <c r="B352" s="197" t="s">
        <v>5833</v>
      </c>
      <c r="C352" s="197">
        <v>2002</v>
      </c>
      <c r="D352" s="225" t="str">
        <f t="shared" si="2"/>
        <v>2021_2002</v>
      </c>
      <c r="E352" s="1226">
        <v>0.208015276888183</v>
      </c>
      <c r="F352" s="1257">
        <v>2.1508922181886402E-2</v>
      </c>
      <c r="G352" s="1280">
        <v>2.92548720758815E-2</v>
      </c>
      <c r="H352" s="1271">
        <v>4.66328492364197</v>
      </c>
      <c r="I352" s="1257">
        <v>0.48263528568307601</v>
      </c>
      <c r="J352" s="1280">
        <v>0.96496896070835902</v>
      </c>
      <c r="K352" s="1271">
        <v>7.5506279551439898E-3</v>
      </c>
      <c r="L352" s="1257">
        <v>1.9218591488303499E-4</v>
      </c>
      <c r="M352" s="1280">
        <v>2.6429257773147102E-4</v>
      </c>
      <c r="N352" s="1271">
        <v>6.32045624681988E-3</v>
      </c>
      <c r="O352" s="1257">
        <v>3.0000008598028201E-3</v>
      </c>
      <c r="P352" s="1257">
        <v>8.8643721459790003E-3</v>
      </c>
      <c r="Q352" s="1280">
        <v>6.32045624681988E-3</v>
      </c>
      <c r="R352" s="1271">
        <v>3.8500011034136201E-2</v>
      </c>
      <c r="S352" s="1257">
        <v>3.8500011034136201E-2</v>
      </c>
      <c r="T352" s="1257">
        <v>3.8500011034136201E-2</v>
      </c>
      <c r="U352" s="1280">
        <v>1.9250005517068101E-2</v>
      </c>
      <c r="V352" s="1293">
        <v>7.8920338458602895E-3</v>
      </c>
    </row>
    <row r="353" spans="1:22" s="212" customFormat="1" ht="15.5" x14ac:dyDescent="0.35">
      <c r="A353" s="198">
        <v>2021</v>
      </c>
      <c r="B353" s="197" t="s">
        <v>5833</v>
      </c>
      <c r="C353" s="197">
        <v>2003</v>
      </c>
      <c r="D353" s="225" t="str">
        <f t="shared" si="2"/>
        <v>2021_2003</v>
      </c>
      <c r="E353" s="1226">
        <v>0.208015276888183</v>
      </c>
      <c r="F353" s="1257">
        <v>2.1508922181886402E-2</v>
      </c>
      <c r="G353" s="1280">
        <v>2.92548720758815E-2</v>
      </c>
      <c r="H353" s="1271">
        <v>4.66328492364197</v>
      </c>
      <c r="I353" s="1257">
        <v>0.48263528568307601</v>
      </c>
      <c r="J353" s="1280">
        <v>0.96496896070835902</v>
      </c>
      <c r="K353" s="1271">
        <v>7.5506279551439898E-3</v>
      </c>
      <c r="L353" s="1257">
        <v>1.9218591488303499E-4</v>
      </c>
      <c r="M353" s="1280">
        <v>2.6429257773147102E-4</v>
      </c>
      <c r="N353" s="1271">
        <v>6.32045624681988E-3</v>
      </c>
      <c r="O353" s="1257">
        <v>3.0000008598028201E-3</v>
      </c>
      <c r="P353" s="1257">
        <v>8.8643721459790003E-3</v>
      </c>
      <c r="Q353" s="1280">
        <v>6.32045624681988E-3</v>
      </c>
      <c r="R353" s="1271">
        <v>3.8500011034136201E-2</v>
      </c>
      <c r="S353" s="1257">
        <v>3.8500011034136201E-2</v>
      </c>
      <c r="T353" s="1257">
        <v>3.8500011034136201E-2</v>
      </c>
      <c r="U353" s="1280">
        <v>1.9250005517068101E-2</v>
      </c>
      <c r="V353" s="1293">
        <v>7.8920338458602895E-3</v>
      </c>
    </row>
    <row r="354" spans="1:22" s="212" customFormat="1" ht="15.5" x14ac:dyDescent="0.35">
      <c r="A354" s="198">
        <v>2021</v>
      </c>
      <c r="B354" s="197" t="s">
        <v>5833</v>
      </c>
      <c r="C354" s="197">
        <v>2004</v>
      </c>
      <c r="D354" s="225" t="str">
        <f t="shared" si="2"/>
        <v>2021_2004</v>
      </c>
      <c r="E354" s="1226">
        <v>0.208015276888183</v>
      </c>
      <c r="F354" s="1257">
        <v>2.1508922181886402E-2</v>
      </c>
      <c r="G354" s="1280">
        <v>2.92548720758815E-2</v>
      </c>
      <c r="H354" s="1271">
        <v>4.66328492364197</v>
      </c>
      <c r="I354" s="1257">
        <v>0.48263528568307601</v>
      </c>
      <c r="J354" s="1280">
        <v>0.96496896070835902</v>
      </c>
      <c r="K354" s="1271">
        <v>7.5506279551439898E-3</v>
      </c>
      <c r="L354" s="1257">
        <v>1.9218591488303499E-4</v>
      </c>
      <c r="M354" s="1280">
        <v>2.6429257773147102E-4</v>
      </c>
      <c r="N354" s="1271">
        <v>6.32045624681988E-3</v>
      </c>
      <c r="O354" s="1257">
        <v>3.0000008598028201E-3</v>
      </c>
      <c r="P354" s="1257">
        <v>8.8643721459790003E-3</v>
      </c>
      <c r="Q354" s="1280">
        <v>6.32045624681988E-3</v>
      </c>
      <c r="R354" s="1271">
        <v>3.8500011034136201E-2</v>
      </c>
      <c r="S354" s="1257">
        <v>3.8500011034136201E-2</v>
      </c>
      <c r="T354" s="1257">
        <v>3.8500011034136201E-2</v>
      </c>
      <c r="U354" s="1280">
        <v>1.9250005517068101E-2</v>
      </c>
      <c r="V354" s="1293">
        <v>7.8920338458602895E-3</v>
      </c>
    </row>
    <row r="355" spans="1:22" s="212" customFormat="1" ht="15.5" x14ac:dyDescent="0.35">
      <c r="A355" s="198">
        <v>2021</v>
      </c>
      <c r="B355" s="197" t="s">
        <v>5833</v>
      </c>
      <c r="C355" s="197">
        <v>2005</v>
      </c>
      <c r="D355" s="225" t="str">
        <f t="shared" si="2"/>
        <v>2021_2005</v>
      </c>
      <c r="E355" s="1226">
        <v>0.208015276888183</v>
      </c>
      <c r="F355" s="1257">
        <v>2.1508922181886402E-2</v>
      </c>
      <c r="G355" s="1280">
        <v>2.92548720758815E-2</v>
      </c>
      <c r="H355" s="1271">
        <v>4.66328492364197</v>
      </c>
      <c r="I355" s="1257">
        <v>0.48263528568307601</v>
      </c>
      <c r="J355" s="1280">
        <v>0.96496896070835902</v>
      </c>
      <c r="K355" s="1271">
        <v>7.5506279551439898E-3</v>
      </c>
      <c r="L355" s="1257">
        <v>1.9218591488303499E-4</v>
      </c>
      <c r="M355" s="1280">
        <v>2.6429257773147102E-4</v>
      </c>
      <c r="N355" s="1271">
        <v>6.32045624681988E-3</v>
      </c>
      <c r="O355" s="1257">
        <v>3.0000008598028201E-3</v>
      </c>
      <c r="P355" s="1257">
        <v>8.8643721459790003E-3</v>
      </c>
      <c r="Q355" s="1280">
        <v>6.32045624681988E-3</v>
      </c>
      <c r="R355" s="1271">
        <v>3.8500011034136201E-2</v>
      </c>
      <c r="S355" s="1257">
        <v>3.8500011034136201E-2</v>
      </c>
      <c r="T355" s="1257">
        <v>3.8500011034136201E-2</v>
      </c>
      <c r="U355" s="1280">
        <v>1.9250005517068101E-2</v>
      </c>
      <c r="V355" s="1293">
        <v>7.8920338458602895E-3</v>
      </c>
    </row>
    <row r="356" spans="1:22" s="212" customFormat="1" ht="15.5" x14ac:dyDescent="0.35">
      <c r="A356" s="198">
        <v>2021</v>
      </c>
      <c r="B356" s="197" t="s">
        <v>5833</v>
      </c>
      <c r="C356" s="197">
        <v>2006</v>
      </c>
      <c r="D356" s="225" t="str">
        <f t="shared" si="2"/>
        <v>2021_2006</v>
      </c>
      <c r="E356" s="1226">
        <v>0.208015276888183</v>
      </c>
      <c r="F356" s="1257">
        <v>2.1508922181886402E-2</v>
      </c>
      <c r="G356" s="1280">
        <v>2.92548720758815E-2</v>
      </c>
      <c r="H356" s="1271">
        <v>4.66328492364197</v>
      </c>
      <c r="I356" s="1257">
        <v>0.48263528568307601</v>
      </c>
      <c r="J356" s="1280">
        <v>0.96496896070835902</v>
      </c>
      <c r="K356" s="1271">
        <v>7.5506279551439898E-3</v>
      </c>
      <c r="L356" s="1257">
        <v>1.9218591488303499E-4</v>
      </c>
      <c r="M356" s="1280">
        <v>2.6429257773147102E-4</v>
      </c>
      <c r="N356" s="1271">
        <v>6.32045624681988E-3</v>
      </c>
      <c r="O356" s="1257">
        <v>3.0000008598028201E-3</v>
      </c>
      <c r="P356" s="1257">
        <v>8.8643721459790003E-3</v>
      </c>
      <c r="Q356" s="1280">
        <v>6.32045624681988E-3</v>
      </c>
      <c r="R356" s="1271">
        <v>3.8500011034136201E-2</v>
      </c>
      <c r="S356" s="1257">
        <v>3.8500011034136201E-2</v>
      </c>
      <c r="T356" s="1257">
        <v>3.8500011034136201E-2</v>
      </c>
      <c r="U356" s="1280">
        <v>1.9250005517068101E-2</v>
      </c>
      <c r="V356" s="1293">
        <v>7.8920338458602895E-3</v>
      </c>
    </row>
    <row r="357" spans="1:22" s="212" customFormat="1" ht="15.5" x14ac:dyDescent="0.35">
      <c r="A357" s="198">
        <v>2021</v>
      </c>
      <c r="B357" s="197" t="s">
        <v>5833</v>
      </c>
      <c r="C357" s="197">
        <v>2007</v>
      </c>
      <c r="D357" s="225" t="str">
        <f t="shared" si="2"/>
        <v>2021_2007</v>
      </c>
      <c r="E357" s="1231">
        <v>0.208015276888183</v>
      </c>
      <c r="F357" s="1288">
        <v>2.1508922181886402E-2</v>
      </c>
      <c r="G357" s="1306">
        <v>2.92548720758815E-2</v>
      </c>
      <c r="H357" s="1303">
        <v>4.66328492364197</v>
      </c>
      <c r="I357" s="1288">
        <v>0.48263528568307601</v>
      </c>
      <c r="J357" s="1306">
        <v>0.96496896070835902</v>
      </c>
      <c r="K357" s="1303">
        <v>7.5506279551439898E-3</v>
      </c>
      <c r="L357" s="1288">
        <v>1.9218591488303499E-4</v>
      </c>
      <c r="M357" s="1306">
        <v>2.6429257773147102E-4</v>
      </c>
      <c r="N357" s="1303">
        <v>6.32045624681988E-3</v>
      </c>
      <c r="O357" s="1288">
        <v>3.0000008598028201E-3</v>
      </c>
      <c r="P357" s="1288">
        <v>8.8643721459790003E-3</v>
      </c>
      <c r="Q357" s="1306">
        <v>4.6135431351232497E-3</v>
      </c>
      <c r="R357" s="1303">
        <v>3.8500011034136201E-2</v>
      </c>
      <c r="S357" s="1288">
        <v>3.8500011034136201E-2</v>
      </c>
      <c r="T357" s="1288">
        <v>3.8500011034136201E-2</v>
      </c>
      <c r="U357" s="1306">
        <v>1.9250005517068101E-2</v>
      </c>
      <c r="V357" s="1294">
        <v>7.8920338458602895E-3</v>
      </c>
    </row>
    <row r="358" spans="1:22" s="212" customFormat="1" ht="15.5" x14ac:dyDescent="0.35">
      <c r="A358" s="198">
        <v>2021</v>
      </c>
      <c r="B358" s="197" t="s">
        <v>5833</v>
      </c>
      <c r="C358" s="197">
        <v>2008</v>
      </c>
      <c r="D358" s="225" t="str">
        <f t="shared" si="2"/>
        <v>2021_2008</v>
      </c>
      <c r="E358" s="1231">
        <v>0.22748027410461899</v>
      </c>
      <c r="F358" s="1288">
        <v>2.1656324055306E-2</v>
      </c>
      <c r="G358" s="1306">
        <v>2.3069880656644101E-2</v>
      </c>
      <c r="H358" s="1303">
        <v>4.9643150813470998</v>
      </c>
      <c r="I358" s="1288">
        <v>0.44847902231157999</v>
      </c>
      <c r="J358" s="1306">
        <v>0.72070943712232705</v>
      </c>
      <c r="K358" s="1303">
        <v>7.8437092118444803E-3</v>
      </c>
      <c r="L358" s="1288">
        <v>2.20527534526894E-4</v>
      </c>
      <c r="M358" s="1306">
        <v>2.0557957647092501E-4</v>
      </c>
      <c r="N358" s="1303">
        <v>7.0626493809718598E-3</v>
      </c>
      <c r="O358" s="1288">
        <v>3.0000008598028201E-3</v>
      </c>
      <c r="P358" s="1288">
        <v>8.5929342242604696E-3</v>
      </c>
      <c r="Q358" s="1306">
        <v>3.0000008606209899E-3</v>
      </c>
      <c r="R358" s="1303">
        <v>3.8500011034136201E-2</v>
      </c>
      <c r="S358" s="1288">
        <v>3.8500011034136201E-2</v>
      </c>
      <c r="T358" s="1288">
        <v>3.8500011034136201E-2</v>
      </c>
      <c r="U358" s="1306">
        <v>1.9250005517068101E-2</v>
      </c>
      <c r="V358" s="1294">
        <v>8.1983669364599498E-3</v>
      </c>
    </row>
    <row r="359" spans="1:22" s="212" customFormat="1" ht="15.5" x14ac:dyDescent="0.35">
      <c r="A359" s="198">
        <v>2021</v>
      </c>
      <c r="B359" s="197" t="s">
        <v>5833</v>
      </c>
      <c r="C359" s="197">
        <v>2009</v>
      </c>
      <c r="D359" s="225" t="str">
        <f t="shared" si="2"/>
        <v>2021_2009</v>
      </c>
      <c r="E359" s="1231">
        <v>0.23408141370169799</v>
      </c>
      <c r="F359" s="1288">
        <v>2.16639770865323E-2</v>
      </c>
      <c r="G359" s="1306">
        <v>2.35036024921241E-2</v>
      </c>
      <c r="H359" s="1303">
        <v>4.9959257569659501</v>
      </c>
      <c r="I359" s="1288">
        <v>0.42834600714099602</v>
      </c>
      <c r="J359" s="1306">
        <v>0.73769572387124305</v>
      </c>
      <c r="K359" s="1303">
        <v>7.8884672716986303E-3</v>
      </c>
      <c r="L359" s="1288">
        <v>2.4771942369523399E-4</v>
      </c>
      <c r="M359" s="1306">
        <v>2.09063902272259E-4</v>
      </c>
      <c r="N359" s="1303">
        <v>7.0823227252416803E-3</v>
      </c>
      <c r="O359" s="1288">
        <v>3.0000008598028201E-3</v>
      </c>
      <c r="P359" s="1288">
        <v>8.2905168489693405E-3</v>
      </c>
      <c r="Q359" s="1306">
        <v>7.8198706855009195E-3</v>
      </c>
      <c r="R359" s="1303">
        <v>3.8500011034136201E-2</v>
      </c>
      <c r="S359" s="1288">
        <v>3.8500011034136201E-2</v>
      </c>
      <c r="T359" s="1288">
        <v>3.8500011034136201E-2</v>
      </c>
      <c r="U359" s="1306">
        <v>1.9250005517068101E-2</v>
      </c>
      <c r="V359" s="1294">
        <v>8.2451487571697495E-3</v>
      </c>
    </row>
    <row r="360" spans="1:22" s="212" customFormat="1" ht="15.5" x14ac:dyDescent="0.35">
      <c r="A360" s="198">
        <v>2021</v>
      </c>
      <c r="B360" s="197" t="s">
        <v>5833</v>
      </c>
      <c r="C360" s="197">
        <v>2010</v>
      </c>
      <c r="D360" s="225" t="str">
        <f t="shared" si="2"/>
        <v>2021_2010</v>
      </c>
      <c r="E360" s="1231">
        <v>7.3980379399605695E-2</v>
      </c>
      <c r="F360" s="1288">
        <v>2.1762872750666601E-2</v>
      </c>
      <c r="G360" s="1306">
        <v>2.2235398013513E-2</v>
      </c>
      <c r="H360" s="1303">
        <v>0.42395437768302002</v>
      </c>
      <c r="I360" s="1288">
        <v>0.39694039976502998</v>
      </c>
      <c r="J360" s="1306">
        <v>0.68026163779540405</v>
      </c>
      <c r="K360" s="1303">
        <v>7.5403422705782597E-3</v>
      </c>
      <c r="L360" s="1288">
        <v>3.0324537501417802E-4</v>
      </c>
      <c r="M360" s="1306">
        <v>1.9489590526738601E-4</v>
      </c>
      <c r="N360" s="1303">
        <v>8.8734998002355497E-3</v>
      </c>
      <c r="O360" s="1288">
        <v>3.0000008598028201E-3</v>
      </c>
      <c r="P360" s="1288">
        <v>7.4956994516754E-3</v>
      </c>
      <c r="Q360" s="1306">
        <v>8.9186934846127303E-3</v>
      </c>
      <c r="R360" s="1303">
        <v>3.8500011034136201E-2</v>
      </c>
      <c r="S360" s="1288">
        <v>3.8500011034136201E-2</v>
      </c>
      <c r="T360" s="1288">
        <v>3.8500011034136201E-2</v>
      </c>
      <c r="U360" s="1306">
        <v>1.9250005517068101E-2</v>
      </c>
      <c r="V360" s="1294">
        <v>7.8812830882805298E-3</v>
      </c>
    </row>
    <row r="361" spans="1:22" s="212" customFormat="1" ht="15.5" x14ac:dyDescent="0.35">
      <c r="A361" s="198">
        <v>2021</v>
      </c>
      <c r="B361" s="197" t="s">
        <v>5833</v>
      </c>
      <c r="C361" s="197">
        <v>2011</v>
      </c>
      <c r="D361" s="225" t="str">
        <f t="shared" si="2"/>
        <v>2021_2011</v>
      </c>
      <c r="E361" s="1231">
        <v>6.5243133944559703E-2</v>
      </c>
      <c r="F361" s="1288">
        <v>1.1763999928492599E-2</v>
      </c>
      <c r="G361" s="1306">
        <v>2.40118924120909E-2</v>
      </c>
      <c r="H361" s="1303">
        <v>0.35982079238224701</v>
      </c>
      <c r="I361" s="1288">
        <v>0.26260909345891698</v>
      </c>
      <c r="J361" s="1306">
        <v>0.70819770753424505</v>
      </c>
      <c r="K361" s="1303">
        <v>6.5371253510529501E-3</v>
      </c>
      <c r="L361" s="1288">
        <v>2.5652572238097602E-4</v>
      </c>
      <c r="M361" s="1306">
        <v>5.5303050128634103E-4</v>
      </c>
      <c r="N361" s="1303">
        <v>7.6500888391391898E-3</v>
      </c>
      <c r="O361" s="1288">
        <v>2.72519108193196E-3</v>
      </c>
      <c r="P361" s="1288">
        <v>7.7629237316822301E-3</v>
      </c>
      <c r="Q361" s="1306">
        <v>4.1817649941520299E-3</v>
      </c>
      <c r="R361" s="1303">
        <v>3.8447957959122897E-2</v>
      </c>
      <c r="S361" s="1288">
        <v>3.6672526011294997E-2</v>
      </c>
      <c r="T361" s="1288">
        <v>3.8366143355111001E-2</v>
      </c>
      <c r="U361" s="1306">
        <v>1.90136422345611E-2</v>
      </c>
      <c r="V361" s="1294">
        <v>6.8327051513634397E-3</v>
      </c>
    </row>
    <row r="362" spans="1:22" s="212" customFormat="1" ht="15.5" x14ac:dyDescent="0.35">
      <c r="A362" s="198">
        <v>2021</v>
      </c>
      <c r="B362" s="197" t="s">
        <v>5833</v>
      </c>
      <c r="C362" s="197">
        <v>2012</v>
      </c>
      <c r="D362" s="225" t="str">
        <f t="shared" si="2"/>
        <v>2021_2012</v>
      </c>
      <c r="E362" s="1231">
        <v>8.0529268276079993E-2</v>
      </c>
      <c r="F362" s="1288">
        <v>1.14127371983819E-2</v>
      </c>
      <c r="G362" s="1306">
        <v>2.23913020166626E-2</v>
      </c>
      <c r="H362" s="1303">
        <v>0.51848128597529097</v>
      </c>
      <c r="I362" s="1288">
        <v>0.22332375195267701</v>
      </c>
      <c r="J362" s="1306">
        <v>0.68540141632097196</v>
      </c>
      <c r="K362" s="1303">
        <v>6.9447460364895101E-3</v>
      </c>
      <c r="L362" s="1288">
        <v>3.6640694384900801E-4</v>
      </c>
      <c r="M362" s="1306">
        <v>2.4324142765338899E-4</v>
      </c>
      <c r="N362" s="1303">
        <v>8.7108355679940894E-3</v>
      </c>
      <c r="O362" s="1288">
        <v>2.6689248499017302E-3</v>
      </c>
      <c r="P362" s="1288">
        <v>7.9627267653689694E-3</v>
      </c>
      <c r="Q362" s="1306">
        <v>7.8131195613863908E-3</v>
      </c>
      <c r="R362" s="1303">
        <v>3.8496427504470403E-2</v>
      </c>
      <c r="S362" s="1288">
        <v>3.6298355568293902E-2</v>
      </c>
      <c r="T362" s="1288">
        <v>3.8476832712128498E-2</v>
      </c>
      <c r="U362" s="1306">
        <v>1.9230668763514699E-2</v>
      </c>
      <c r="V362" s="1294">
        <v>7.25875663540544E-3</v>
      </c>
    </row>
    <row r="363" spans="1:22" s="212" customFormat="1" ht="15.5" x14ac:dyDescent="0.35">
      <c r="A363" s="198">
        <v>2021</v>
      </c>
      <c r="B363" s="197" t="s">
        <v>5833</v>
      </c>
      <c r="C363" s="197">
        <v>2013</v>
      </c>
      <c r="D363" s="225" t="str">
        <f t="shared" si="2"/>
        <v>2021_2013</v>
      </c>
      <c r="E363" s="1231">
        <v>7.0331553305709602E-2</v>
      </c>
      <c r="F363" s="1288">
        <v>7.10296390982412E-3</v>
      </c>
      <c r="G363" s="1306">
        <v>2.4411814353807799E-2</v>
      </c>
      <c r="H363" s="1303">
        <v>0.39934916336590998</v>
      </c>
      <c r="I363" s="1288">
        <v>0.110441664322409</v>
      </c>
      <c r="J363" s="1306">
        <v>0.72210897474277502</v>
      </c>
      <c r="K363" s="1303">
        <v>7.0224720769638703E-3</v>
      </c>
      <c r="L363" s="1288">
        <v>5.0212246009371402E-4</v>
      </c>
      <c r="M363" s="1306">
        <v>5.8361048903569001E-4</v>
      </c>
      <c r="N363" s="1303">
        <v>8.3326128222125807E-3</v>
      </c>
      <c r="O363" s="1288">
        <v>2.26112431585855E-3</v>
      </c>
      <c r="P363" s="1288">
        <v>8.0048680034757007E-3</v>
      </c>
      <c r="Q363" s="1306">
        <v>3.8922596037388102E-3</v>
      </c>
      <c r="R363" s="1303">
        <v>3.8493870330217499E-2</v>
      </c>
      <c r="S363" s="1288">
        <v>3.3586482016906803E-2</v>
      </c>
      <c r="T363" s="1288">
        <v>3.83401773034453E-2</v>
      </c>
      <c r="U363" s="1306">
        <v>1.9238007675286099E-2</v>
      </c>
      <c r="V363" s="1294">
        <v>7.3399971025258498E-3</v>
      </c>
    </row>
    <row r="364" spans="1:22" s="212" customFormat="1" ht="15.5" x14ac:dyDescent="0.35">
      <c r="A364" s="198">
        <v>2021</v>
      </c>
      <c r="B364" s="197" t="s">
        <v>5833</v>
      </c>
      <c r="C364" s="197">
        <v>2014</v>
      </c>
      <c r="D364" s="225" t="str">
        <f t="shared" si="2"/>
        <v>2021_2014</v>
      </c>
      <c r="E364" s="1231">
        <v>6.6870484003979394E-2</v>
      </c>
      <c r="F364" s="1288">
        <v>7.7090261288983303E-3</v>
      </c>
      <c r="G364" s="1306">
        <v>2.6011107307073199E-2</v>
      </c>
      <c r="H364" s="1303">
        <v>0.38614473902878499</v>
      </c>
      <c r="I364" s="1288">
        <v>6.8900690368603107E-2</v>
      </c>
      <c r="J364" s="1306">
        <v>0.813055130504864</v>
      </c>
      <c r="K364" s="1303">
        <v>6.3375521469830496E-3</v>
      </c>
      <c r="L364" s="1288">
        <v>7.1683609828953796E-4</v>
      </c>
      <c r="M364" s="1306">
        <v>3.71517350590879E-4</v>
      </c>
      <c r="N364" s="1303">
        <v>7.6321509609108404E-3</v>
      </c>
      <c r="O364" s="1288">
        <v>2.1367220253360598E-3</v>
      </c>
      <c r="P364" s="1288">
        <v>8.5846953190263798E-3</v>
      </c>
      <c r="Q364" s="1306">
        <v>8.3519267598167694E-3</v>
      </c>
      <c r="R364" s="1303">
        <v>3.8495644604223903E-2</v>
      </c>
      <c r="S364" s="1288">
        <v>3.2759206784932202E-2</v>
      </c>
      <c r="T364" s="1288">
        <v>3.8443696915343703E-2</v>
      </c>
      <c r="U364" s="1306">
        <v>1.9228945827987499E-2</v>
      </c>
      <c r="V364" s="1294">
        <v>6.62410813259848E-3</v>
      </c>
    </row>
    <row r="365" spans="1:22" s="212" customFormat="1" ht="15.5" x14ac:dyDescent="0.35">
      <c r="A365" s="198">
        <v>2021</v>
      </c>
      <c r="B365" s="197" t="s">
        <v>5833</v>
      </c>
      <c r="C365" s="197">
        <v>2015</v>
      </c>
      <c r="D365" s="225" t="str">
        <f t="shared" si="2"/>
        <v>2021_2015</v>
      </c>
      <c r="E365" s="1231">
        <v>6.9557787954089706E-2</v>
      </c>
      <c r="F365" s="1288">
        <v>1.1146726075208301E-2</v>
      </c>
      <c r="G365" s="1306">
        <v>2.39955260478662E-2</v>
      </c>
      <c r="H365" s="1303">
        <v>0.400533647905224</v>
      </c>
      <c r="I365" s="1288">
        <v>0.165009303461365</v>
      </c>
      <c r="J365" s="1306">
        <v>0.73064798713616297</v>
      </c>
      <c r="K365" s="1303">
        <v>6.74617095618678E-3</v>
      </c>
      <c r="L365" s="1288">
        <v>1.02217952579439E-3</v>
      </c>
      <c r="M365" s="1306">
        <v>3.6556089675677199E-4</v>
      </c>
      <c r="N365" s="1303">
        <v>8.08963182934949E-3</v>
      </c>
      <c r="O365" s="1288">
        <v>2.5488370124136799E-3</v>
      </c>
      <c r="P365" s="1288">
        <v>7.6554203626222903E-3</v>
      </c>
      <c r="Q365" s="1306">
        <v>7.0764407049211204E-3</v>
      </c>
      <c r="R365" s="1303">
        <v>3.8481888326502602E-2</v>
      </c>
      <c r="S365" s="1288">
        <v>3.54997714489984E-2</v>
      </c>
      <c r="T365" s="1288">
        <v>3.84036317540861E-2</v>
      </c>
      <c r="U365" s="1306">
        <v>1.9167935893848399E-2</v>
      </c>
      <c r="V365" s="1294">
        <v>7.0512028711352901E-3</v>
      </c>
    </row>
    <row r="366" spans="1:22" s="212" customFormat="1" ht="15.5" x14ac:dyDescent="0.35">
      <c r="A366" s="198">
        <v>2021</v>
      </c>
      <c r="B366" s="197" t="s">
        <v>5833</v>
      </c>
      <c r="C366" s="197">
        <v>2016</v>
      </c>
      <c r="D366" s="225" t="str">
        <f t="shared" si="2"/>
        <v>2021_2016</v>
      </c>
      <c r="E366" s="1231">
        <v>6.8812073620606803E-2</v>
      </c>
      <c r="F366" s="1288">
        <v>5.8307057206579598E-3</v>
      </c>
      <c r="G366" s="1306">
        <v>2.6738793395591799E-2</v>
      </c>
      <c r="H366" s="1303">
        <v>0.38445821540645297</v>
      </c>
      <c r="I366" s="1288">
        <v>7.9702569701732603E-2</v>
      </c>
      <c r="J366" s="1306">
        <v>0.84346887483206801</v>
      </c>
      <c r="K366" s="1303">
        <v>6.9417052249400998E-3</v>
      </c>
      <c r="L366" s="1288">
        <v>9.8191982013834996E-4</v>
      </c>
      <c r="M366" s="1306">
        <v>3.4261831585629603E-4</v>
      </c>
      <c r="N366" s="1303">
        <v>8.2117804972583908E-3</v>
      </c>
      <c r="O366" s="1288">
        <v>2.2085237200317599E-3</v>
      </c>
      <c r="P366" s="1288">
        <v>8.4738214777924908E-3</v>
      </c>
      <c r="Q366" s="1306">
        <v>7.9569585657918804E-3</v>
      </c>
      <c r="R366" s="1303">
        <v>3.84958616135E-2</v>
      </c>
      <c r="S366" s="1288">
        <v>3.3236688054658597E-2</v>
      </c>
      <c r="T366" s="1288">
        <v>3.8449978524626803E-2</v>
      </c>
      <c r="U366" s="1306">
        <v>1.9243523638359E-2</v>
      </c>
      <c r="V366" s="1294">
        <v>7.2555783318511702E-3</v>
      </c>
    </row>
    <row r="367" spans="1:22" s="212" customFormat="1" ht="15.5" x14ac:dyDescent="0.35">
      <c r="A367" s="198">
        <v>2021</v>
      </c>
      <c r="B367" s="197" t="s">
        <v>5833</v>
      </c>
      <c r="C367" s="197">
        <v>2017</v>
      </c>
      <c r="D367" s="225" t="str">
        <f t="shared" si="2"/>
        <v>2021_2017</v>
      </c>
      <c r="E367" s="1231">
        <v>6.5915831311287795E-2</v>
      </c>
      <c r="F367" s="1288">
        <v>1.09722511341587E-2</v>
      </c>
      <c r="G367" s="1306">
        <v>2.20354605350234E-2</v>
      </c>
      <c r="H367" s="1303">
        <v>0.363637562991384</v>
      </c>
      <c r="I367" s="1288">
        <v>0.12954188357252699</v>
      </c>
      <c r="J367" s="1306">
        <v>0.51032632337233597</v>
      </c>
      <c r="K367" s="1303">
        <v>6.5632605025100601E-3</v>
      </c>
      <c r="L367" s="1288">
        <v>1.27079622096833E-3</v>
      </c>
      <c r="M367" s="1306">
        <v>1.14579086023962E-3</v>
      </c>
      <c r="N367" s="1303">
        <v>7.8255510763968993E-3</v>
      </c>
      <c r="O367" s="1288">
        <v>2.4876782578978599E-3</v>
      </c>
      <c r="P367" s="1288">
        <v>6.84590347907488E-3</v>
      </c>
      <c r="Q367" s="1306">
        <v>8.0174328048109502E-3</v>
      </c>
      <c r="R367" s="1303">
        <v>3.8498015894693802E-2</v>
      </c>
      <c r="S367" s="1288">
        <v>3.5093065731468198E-2</v>
      </c>
      <c r="T367" s="1288">
        <v>3.7696008183240898E-2</v>
      </c>
      <c r="U367" s="1306">
        <v>1.90904064375991E-2</v>
      </c>
      <c r="V367" s="1294">
        <v>6.8600220183964297E-3</v>
      </c>
    </row>
    <row r="368" spans="1:22" s="212" customFormat="1" ht="15.5" x14ac:dyDescent="0.35">
      <c r="A368" s="198">
        <v>2021</v>
      </c>
      <c r="B368" s="197" t="s">
        <v>5833</v>
      </c>
      <c r="C368" s="197">
        <v>2018</v>
      </c>
      <c r="D368" s="225" t="str">
        <f t="shared" si="2"/>
        <v>2021_2018</v>
      </c>
      <c r="E368" s="1231">
        <v>6.9051443375863497E-2</v>
      </c>
      <c r="F368" s="1288">
        <v>9.4644275621297309E-3</v>
      </c>
      <c r="G368" s="1306">
        <v>5.4827632148342E-2</v>
      </c>
      <c r="H368" s="1303">
        <v>0.38500465678124302</v>
      </c>
      <c r="I368" s="1288">
        <v>0.11131034298471</v>
      </c>
      <c r="J368" s="1306">
        <v>0.110952954292712</v>
      </c>
      <c r="K368" s="1303">
        <v>6.9867568976361904E-3</v>
      </c>
      <c r="L368" s="1288">
        <v>1.24486452380365E-3</v>
      </c>
      <c r="M368" s="1306">
        <v>1.0961741515113799E-3</v>
      </c>
      <c r="N368" s="1303">
        <v>8.2482763103661604E-3</v>
      </c>
      <c r="O368" s="1288">
        <v>2.4788674284457598E-3</v>
      </c>
      <c r="P368" s="1288">
        <v>7.1518389140904403E-3</v>
      </c>
      <c r="Q368" s="1306">
        <v>7.9389976672573793E-3</v>
      </c>
      <c r="R368" s="1303">
        <v>3.8487927441084202E-2</v>
      </c>
      <c r="S368" s="1288">
        <v>3.5034473715611698E-2</v>
      </c>
      <c r="T368" s="1288">
        <v>3.7881050835453497E-2</v>
      </c>
      <c r="U368" s="1306">
        <v>1.9240847680182201E-2</v>
      </c>
      <c r="V368" s="1294">
        <v>7.3026670412727297E-3</v>
      </c>
    </row>
    <row r="369" spans="1:22" s="212" customFormat="1" ht="15.5" x14ac:dyDescent="0.35">
      <c r="A369" s="198">
        <v>2021</v>
      </c>
      <c r="B369" s="197" t="s">
        <v>5833</v>
      </c>
      <c r="C369" s="197">
        <v>2019</v>
      </c>
      <c r="D369" s="225" t="str">
        <f t="shared" si="2"/>
        <v>2021_2019</v>
      </c>
      <c r="E369" s="1231">
        <v>7.1698719532627103E-2</v>
      </c>
      <c r="F369" s="1288">
        <v>8.5091102741805102E-3</v>
      </c>
      <c r="G369" s="1306">
        <v>5.2278401270758099E-2</v>
      </c>
      <c r="H369" s="1303">
        <v>0.40435310574197703</v>
      </c>
      <c r="I369" s="1288">
        <v>7.0308512937846901E-2</v>
      </c>
      <c r="J369" s="1306">
        <v>0.10704284636681501</v>
      </c>
      <c r="K369" s="1303">
        <v>7.2919937679670303E-3</v>
      </c>
      <c r="L369" s="1288">
        <v>1.25956881475028E-3</v>
      </c>
      <c r="M369" s="1306">
        <v>6.5309644182974405E-4</v>
      </c>
      <c r="N369" s="1303">
        <v>8.5784756094915704E-3</v>
      </c>
      <c r="O369" s="1288">
        <v>2.2678037618185701E-3</v>
      </c>
      <c r="P369" s="1288">
        <v>6.9472013974099999E-3</v>
      </c>
      <c r="Q369" s="1306">
        <v>6.5198277035009699E-3</v>
      </c>
      <c r="R369" s="1303">
        <v>3.8479142353279497E-2</v>
      </c>
      <c r="S369" s="1288">
        <v>3.3630900332541E-2</v>
      </c>
      <c r="T369" s="1288">
        <v>3.8313426153581E-2</v>
      </c>
      <c r="U369" s="1306">
        <v>1.91759402311482E-2</v>
      </c>
      <c r="V369" s="1294">
        <v>7.6217053684113798E-3</v>
      </c>
    </row>
    <row r="370" spans="1:22" s="212" customFormat="1" ht="15.5" x14ac:dyDescent="0.35">
      <c r="A370" s="198">
        <v>2021</v>
      </c>
      <c r="B370" s="197" t="s">
        <v>5833</v>
      </c>
      <c r="C370" s="197">
        <v>2020</v>
      </c>
      <c r="D370" s="225" t="str">
        <f t="shared" si="2"/>
        <v>2021_2020</v>
      </c>
      <c r="E370" s="1231">
        <v>6.9592751335633293E-2</v>
      </c>
      <c r="F370" s="1288">
        <v>1.163320769511E-2</v>
      </c>
      <c r="G370" s="1306">
        <v>6.2702215843324693E-2</v>
      </c>
      <c r="H370" s="1303">
        <v>0.37679661090352101</v>
      </c>
      <c r="I370" s="1288">
        <v>0.100447833284298</v>
      </c>
      <c r="J370" s="1306">
        <v>0.109442980308568</v>
      </c>
      <c r="K370" s="1303">
        <v>7.0307195015493901E-3</v>
      </c>
      <c r="L370" s="1288">
        <v>1.42661175499741E-3</v>
      </c>
      <c r="M370" s="1306">
        <v>4.7528224999952601E-4</v>
      </c>
      <c r="N370" s="1303">
        <v>7.9833333791551695E-3</v>
      </c>
      <c r="O370" s="1288">
        <v>2.5564819342454299E-3</v>
      </c>
      <c r="P370" s="1288">
        <v>8.4038559383648494E-3</v>
      </c>
      <c r="Q370" s="1280">
        <v>7.9833333791551695E-3</v>
      </c>
      <c r="R370" s="1303">
        <v>3.8201433945546703E-2</v>
      </c>
      <c r="S370" s="1288">
        <v>3.5550610179179598E-2</v>
      </c>
      <c r="T370" s="1288">
        <v>3.84339654728112E-2</v>
      </c>
      <c r="U370" s="1280">
        <v>1.9100716972773352E-2</v>
      </c>
      <c r="V370" s="1294">
        <v>7.34861743905373E-3</v>
      </c>
    </row>
    <row r="371" spans="1:22" s="212" customFormat="1" ht="15.5" x14ac:dyDescent="0.35">
      <c r="A371" s="198">
        <v>2021</v>
      </c>
      <c r="B371" s="197" t="s">
        <v>5833</v>
      </c>
      <c r="C371" s="197">
        <v>2021</v>
      </c>
      <c r="D371" s="225" t="str">
        <f t="shared" si="2"/>
        <v>2021_2021</v>
      </c>
      <c r="E371" s="1231">
        <v>4.6908369995546102E-2</v>
      </c>
      <c r="F371" s="1288">
        <v>9.61955383706143E-3</v>
      </c>
      <c r="G371" s="1306">
        <v>6.1567489410633898E-2</v>
      </c>
      <c r="H371" s="1303">
        <v>0.22401916104370201</v>
      </c>
      <c r="I371" s="1288">
        <v>7.41980354337618E-2</v>
      </c>
      <c r="J371" s="1306">
        <v>0.108749953842986</v>
      </c>
      <c r="K371" s="1303">
        <v>4.0712980770367096E-3</v>
      </c>
      <c r="L371" s="1288">
        <v>1.2939012893622801E-3</v>
      </c>
      <c r="M371" s="1306">
        <v>4.40256260202551E-4</v>
      </c>
      <c r="N371" s="1303">
        <v>5.2005573391863203E-3</v>
      </c>
      <c r="O371" s="1288">
        <v>2.4976610123983601E-3</v>
      </c>
      <c r="P371" s="1288">
        <v>8.0760966133595798E-3</v>
      </c>
      <c r="Q371" s="1280">
        <v>5.2005573391863203E-3</v>
      </c>
      <c r="R371" s="1303">
        <v>3.8454039666674697E-2</v>
      </c>
      <c r="S371" s="1288">
        <v>3.5159451048896499E-2</v>
      </c>
      <c r="T371" s="1288">
        <v>3.8444897841275902E-2</v>
      </c>
      <c r="U371" s="1280">
        <v>1.9227019833337348E-2</v>
      </c>
      <c r="V371" s="1294">
        <v>4.2553841099626502E-3</v>
      </c>
    </row>
    <row r="372" spans="1:22" s="212" customFormat="1" ht="15.5" x14ac:dyDescent="0.35">
      <c r="A372" s="198">
        <v>2021</v>
      </c>
      <c r="B372" s="197" t="s">
        <v>5833</v>
      </c>
      <c r="C372" s="197">
        <v>2022</v>
      </c>
      <c r="D372" s="225" t="str">
        <f t="shared" si="2"/>
        <v>2021_2022</v>
      </c>
      <c r="E372" s="1226">
        <v>4.6908369995546102E-2</v>
      </c>
      <c r="F372" s="1257">
        <v>9.61955383706143E-3</v>
      </c>
      <c r="G372" s="1280">
        <v>6.1567489410633898E-2</v>
      </c>
      <c r="H372" s="1271">
        <v>0.22401916104370201</v>
      </c>
      <c r="I372" s="1257">
        <v>7.41980354337618E-2</v>
      </c>
      <c r="J372" s="1280">
        <v>0.108749953842986</v>
      </c>
      <c r="K372" s="1271">
        <v>4.0712980770367096E-3</v>
      </c>
      <c r="L372" s="1257">
        <v>1.2939012893622801E-3</v>
      </c>
      <c r="M372" s="1280">
        <v>4.40256260202551E-4</v>
      </c>
      <c r="N372" s="1271">
        <v>5.2005573391863203E-3</v>
      </c>
      <c r="O372" s="1257">
        <v>2.4976610123983601E-3</v>
      </c>
      <c r="P372" s="1257">
        <v>8.0760966133595798E-3</v>
      </c>
      <c r="Q372" s="1280">
        <v>5.2005573391863203E-3</v>
      </c>
      <c r="R372" s="1271">
        <v>3.8454039666674697E-2</v>
      </c>
      <c r="S372" s="1257">
        <v>3.5159451048896499E-2</v>
      </c>
      <c r="T372" s="1257">
        <v>3.8444897841275902E-2</v>
      </c>
      <c r="U372" s="1280">
        <v>1.9227019833337348E-2</v>
      </c>
      <c r="V372" s="1293">
        <v>4.2553841099626502E-3</v>
      </c>
    </row>
    <row r="373" spans="1:22" s="212" customFormat="1" ht="15.5" x14ac:dyDescent="0.35">
      <c r="A373" s="198">
        <v>2022</v>
      </c>
      <c r="B373" s="197" t="s">
        <v>5833</v>
      </c>
      <c r="C373" s="197">
        <v>1971</v>
      </c>
      <c r="D373" s="225" t="str">
        <f t="shared" si="2"/>
        <v>2022_1971</v>
      </c>
      <c r="E373" s="1226">
        <v>0.22748027410461899</v>
      </c>
      <c r="F373" s="1257">
        <v>2.1656324055306E-2</v>
      </c>
      <c r="G373" s="1280">
        <v>2.3069880656644101E-2</v>
      </c>
      <c r="H373" s="1271">
        <v>4.9643150813470998</v>
      </c>
      <c r="I373" s="1257">
        <v>0.48329417737578401</v>
      </c>
      <c r="J373" s="1280">
        <v>0.72070943712232705</v>
      </c>
      <c r="K373" s="1271">
        <v>7.8437092118444803E-3</v>
      </c>
      <c r="L373" s="1257">
        <v>2.20527534526894E-4</v>
      </c>
      <c r="M373" s="1280">
        <v>2.0557957647092501E-4</v>
      </c>
      <c r="N373" s="1271">
        <v>7.0626493809718598E-3</v>
      </c>
      <c r="O373" s="1257">
        <v>3.0000008598028201E-3</v>
      </c>
      <c r="P373" s="1257">
        <v>8.5929342242604696E-3</v>
      </c>
      <c r="Q373" s="1280">
        <v>7.0626493809718598E-3</v>
      </c>
      <c r="R373" s="1271">
        <v>3.8500011034136201E-2</v>
      </c>
      <c r="S373" s="1257">
        <v>3.8500011034136201E-2</v>
      </c>
      <c r="T373" s="1257">
        <v>3.8500011034136201E-2</v>
      </c>
      <c r="U373" s="1280">
        <v>1.9250005517068101E-2</v>
      </c>
      <c r="V373" s="1293">
        <v>8.1983669364599498E-3</v>
      </c>
    </row>
    <row r="374" spans="1:22" s="212" customFormat="1" ht="15.5" x14ac:dyDescent="0.35">
      <c r="A374" s="198">
        <v>2022</v>
      </c>
      <c r="B374" s="197" t="s">
        <v>5833</v>
      </c>
      <c r="C374" s="197">
        <v>1972</v>
      </c>
      <c r="D374" s="225" t="str">
        <f t="shared" si="2"/>
        <v>2022_1972</v>
      </c>
      <c r="E374" s="1226">
        <v>0.22748027410461899</v>
      </c>
      <c r="F374" s="1257">
        <v>2.1656324055306E-2</v>
      </c>
      <c r="G374" s="1280">
        <v>2.3069880656644101E-2</v>
      </c>
      <c r="H374" s="1271">
        <v>4.9643150813470998</v>
      </c>
      <c r="I374" s="1257">
        <v>0.48329417737578401</v>
      </c>
      <c r="J374" s="1280">
        <v>0.72070943712232705</v>
      </c>
      <c r="K374" s="1271">
        <v>7.8437092118444803E-3</v>
      </c>
      <c r="L374" s="1257">
        <v>2.20527534526894E-4</v>
      </c>
      <c r="M374" s="1280">
        <v>2.0557957647092501E-4</v>
      </c>
      <c r="N374" s="1271">
        <v>7.0626493809718598E-3</v>
      </c>
      <c r="O374" s="1257">
        <v>3.0000008598028201E-3</v>
      </c>
      <c r="P374" s="1257">
        <v>8.5929342242604696E-3</v>
      </c>
      <c r="Q374" s="1280">
        <v>7.0626493809718598E-3</v>
      </c>
      <c r="R374" s="1271">
        <v>3.8500011034136201E-2</v>
      </c>
      <c r="S374" s="1257">
        <v>3.8500011034136201E-2</v>
      </c>
      <c r="T374" s="1257">
        <v>3.8500011034136201E-2</v>
      </c>
      <c r="U374" s="1280">
        <v>1.9250005517068101E-2</v>
      </c>
      <c r="V374" s="1293">
        <v>8.1983669364599498E-3</v>
      </c>
    </row>
    <row r="375" spans="1:22" s="212" customFormat="1" ht="15.5" x14ac:dyDescent="0.35">
      <c r="A375" s="198">
        <v>2022</v>
      </c>
      <c r="B375" s="197" t="s">
        <v>5833</v>
      </c>
      <c r="C375" s="197">
        <v>1973</v>
      </c>
      <c r="D375" s="225" t="str">
        <f t="shared" si="2"/>
        <v>2022_1973</v>
      </c>
      <c r="E375" s="1226">
        <v>0.22748027410461899</v>
      </c>
      <c r="F375" s="1257">
        <v>2.1656324055306E-2</v>
      </c>
      <c r="G375" s="1280">
        <v>2.3069880656644101E-2</v>
      </c>
      <c r="H375" s="1271">
        <v>4.9643150813470998</v>
      </c>
      <c r="I375" s="1257">
        <v>0.48329417737578401</v>
      </c>
      <c r="J375" s="1280">
        <v>0.72070943712232705</v>
      </c>
      <c r="K375" s="1271">
        <v>7.8437092118444803E-3</v>
      </c>
      <c r="L375" s="1257">
        <v>2.20527534526894E-4</v>
      </c>
      <c r="M375" s="1280">
        <v>2.0557957647092501E-4</v>
      </c>
      <c r="N375" s="1271">
        <v>7.0626493809718598E-3</v>
      </c>
      <c r="O375" s="1257">
        <v>3.0000008598028201E-3</v>
      </c>
      <c r="P375" s="1257">
        <v>8.5929342242604696E-3</v>
      </c>
      <c r="Q375" s="1280">
        <v>7.0626493809718598E-3</v>
      </c>
      <c r="R375" s="1271">
        <v>3.8500011034136201E-2</v>
      </c>
      <c r="S375" s="1257">
        <v>3.8500011034136201E-2</v>
      </c>
      <c r="T375" s="1257">
        <v>3.8500011034136201E-2</v>
      </c>
      <c r="U375" s="1280">
        <v>1.9250005517068101E-2</v>
      </c>
      <c r="V375" s="1293">
        <v>8.1983669364599498E-3</v>
      </c>
    </row>
    <row r="376" spans="1:22" s="212" customFormat="1" ht="15.5" x14ac:dyDescent="0.35">
      <c r="A376" s="198">
        <v>2022</v>
      </c>
      <c r="B376" s="197" t="s">
        <v>5833</v>
      </c>
      <c r="C376" s="197">
        <v>1974</v>
      </c>
      <c r="D376" s="225" t="str">
        <f t="shared" si="2"/>
        <v>2022_1974</v>
      </c>
      <c r="E376" s="1226">
        <v>0.22748027410461899</v>
      </c>
      <c r="F376" s="1257">
        <v>2.1656324055306E-2</v>
      </c>
      <c r="G376" s="1280">
        <v>2.3069880656644101E-2</v>
      </c>
      <c r="H376" s="1271">
        <v>4.9643150813470998</v>
      </c>
      <c r="I376" s="1257">
        <v>0.48329417737578401</v>
      </c>
      <c r="J376" s="1280">
        <v>0.72070943712232705</v>
      </c>
      <c r="K376" s="1271">
        <v>7.8437092118444803E-3</v>
      </c>
      <c r="L376" s="1257">
        <v>2.20527534526894E-4</v>
      </c>
      <c r="M376" s="1280">
        <v>2.0557957647092501E-4</v>
      </c>
      <c r="N376" s="1271">
        <v>7.0626493809718598E-3</v>
      </c>
      <c r="O376" s="1257">
        <v>3.0000008598028201E-3</v>
      </c>
      <c r="P376" s="1257">
        <v>8.5929342242604696E-3</v>
      </c>
      <c r="Q376" s="1280">
        <v>7.0626493809718598E-3</v>
      </c>
      <c r="R376" s="1271">
        <v>3.8500011034136201E-2</v>
      </c>
      <c r="S376" s="1257">
        <v>3.8500011034136201E-2</v>
      </c>
      <c r="T376" s="1257">
        <v>3.8500011034136201E-2</v>
      </c>
      <c r="U376" s="1280">
        <v>1.9250005517068101E-2</v>
      </c>
      <c r="V376" s="1293">
        <v>8.1983669364599498E-3</v>
      </c>
    </row>
    <row r="377" spans="1:22" s="212" customFormat="1" ht="15.5" x14ac:dyDescent="0.35">
      <c r="A377" s="198">
        <v>2022</v>
      </c>
      <c r="B377" s="197" t="s">
        <v>5833</v>
      </c>
      <c r="C377" s="197">
        <v>1975</v>
      </c>
      <c r="D377" s="225" t="str">
        <f t="shared" si="2"/>
        <v>2022_1975</v>
      </c>
      <c r="E377" s="1226">
        <v>0.22748027410461899</v>
      </c>
      <c r="F377" s="1257">
        <v>2.1656324055306E-2</v>
      </c>
      <c r="G377" s="1280">
        <v>2.3069880656644101E-2</v>
      </c>
      <c r="H377" s="1271">
        <v>4.9643150813470998</v>
      </c>
      <c r="I377" s="1257">
        <v>0.48329417737578401</v>
      </c>
      <c r="J377" s="1280">
        <v>0.72070943712232705</v>
      </c>
      <c r="K377" s="1271">
        <v>7.8437092118444803E-3</v>
      </c>
      <c r="L377" s="1257">
        <v>2.20527534526894E-4</v>
      </c>
      <c r="M377" s="1280">
        <v>2.0557957647092501E-4</v>
      </c>
      <c r="N377" s="1271">
        <v>7.0626493809718598E-3</v>
      </c>
      <c r="O377" s="1257">
        <v>3.0000008598028201E-3</v>
      </c>
      <c r="P377" s="1257">
        <v>8.5929342242604696E-3</v>
      </c>
      <c r="Q377" s="1280">
        <v>7.0626493809718598E-3</v>
      </c>
      <c r="R377" s="1271">
        <v>3.8500011034136201E-2</v>
      </c>
      <c r="S377" s="1257">
        <v>3.8500011034136201E-2</v>
      </c>
      <c r="T377" s="1257">
        <v>3.8500011034136201E-2</v>
      </c>
      <c r="U377" s="1280">
        <v>1.9250005517068101E-2</v>
      </c>
      <c r="V377" s="1293">
        <v>8.1983669364599498E-3</v>
      </c>
    </row>
    <row r="378" spans="1:22" s="212" customFormat="1" ht="15.5" x14ac:dyDescent="0.35">
      <c r="A378" s="198">
        <v>2022</v>
      </c>
      <c r="B378" s="197" t="s">
        <v>5833</v>
      </c>
      <c r="C378" s="197">
        <v>1976</v>
      </c>
      <c r="D378" s="225" t="str">
        <f t="shared" si="2"/>
        <v>2022_1976</v>
      </c>
      <c r="E378" s="1226">
        <v>0.22748027410461899</v>
      </c>
      <c r="F378" s="1257">
        <v>2.1656324055306E-2</v>
      </c>
      <c r="G378" s="1280">
        <v>2.3069880656644101E-2</v>
      </c>
      <c r="H378" s="1271">
        <v>4.9643150813470998</v>
      </c>
      <c r="I378" s="1257">
        <v>0.48329417737578401</v>
      </c>
      <c r="J378" s="1280">
        <v>0.72070943712232705</v>
      </c>
      <c r="K378" s="1271">
        <v>7.8437092118444803E-3</v>
      </c>
      <c r="L378" s="1257">
        <v>2.20527534526894E-4</v>
      </c>
      <c r="M378" s="1280">
        <v>2.0557957647092501E-4</v>
      </c>
      <c r="N378" s="1271">
        <v>7.0626493809718598E-3</v>
      </c>
      <c r="O378" s="1257">
        <v>3.0000008598028201E-3</v>
      </c>
      <c r="P378" s="1257">
        <v>8.5929342242604696E-3</v>
      </c>
      <c r="Q378" s="1280">
        <v>7.0626493809718598E-3</v>
      </c>
      <c r="R378" s="1271">
        <v>3.8500011034136201E-2</v>
      </c>
      <c r="S378" s="1257">
        <v>3.8500011034136201E-2</v>
      </c>
      <c r="T378" s="1257">
        <v>3.8500011034136201E-2</v>
      </c>
      <c r="U378" s="1280">
        <v>1.9250005517068101E-2</v>
      </c>
      <c r="V378" s="1293">
        <v>8.1983669364599498E-3</v>
      </c>
    </row>
    <row r="379" spans="1:22" s="212" customFormat="1" ht="15.5" x14ac:dyDescent="0.35">
      <c r="A379" s="198">
        <v>2022</v>
      </c>
      <c r="B379" s="197" t="s">
        <v>5833</v>
      </c>
      <c r="C379" s="197">
        <v>1977</v>
      </c>
      <c r="D379" s="225" t="str">
        <f t="shared" si="2"/>
        <v>2022_1977</v>
      </c>
      <c r="E379" s="1226">
        <v>0.22748027410461899</v>
      </c>
      <c r="F379" s="1257">
        <v>2.1656324055306E-2</v>
      </c>
      <c r="G379" s="1280">
        <v>2.3069880656644101E-2</v>
      </c>
      <c r="H379" s="1271">
        <v>4.9643150813470998</v>
      </c>
      <c r="I379" s="1257">
        <v>0.48329417737578401</v>
      </c>
      <c r="J379" s="1280">
        <v>0.72070943712232705</v>
      </c>
      <c r="K379" s="1271">
        <v>7.8437092118444803E-3</v>
      </c>
      <c r="L379" s="1257">
        <v>2.20527534526894E-4</v>
      </c>
      <c r="M379" s="1280">
        <v>2.0557957647092501E-4</v>
      </c>
      <c r="N379" s="1271">
        <v>7.0626493809718598E-3</v>
      </c>
      <c r="O379" s="1257">
        <v>3.0000008598028201E-3</v>
      </c>
      <c r="P379" s="1257">
        <v>8.5929342242604696E-3</v>
      </c>
      <c r="Q379" s="1280">
        <v>7.0626493809718598E-3</v>
      </c>
      <c r="R379" s="1271">
        <v>3.8500011034136201E-2</v>
      </c>
      <c r="S379" s="1257">
        <v>3.8500011034136201E-2</v>
      </c>
      <c r="T379" s="1257">
        <v>3.8500011034136201E-2</v>
      </c>
      <c r="U379" s="1280">
        <v>1.9250005517068101E-2</v>
      </c>
      <c r="V379" s="1293">
        <v>8.1983669364599498E-3</v>
      </c>
    </row>
    <row r="380" spans="1:22" s="212" customFormat="1" ht="15.5" x14ac:dyDescent="0.35">
      <c r="A380" s="198">
        <v>2022</v>
      </c>
      <c r="B380" s="197" t="s">
        <v>5833</v>
      </c>
      <c r="C380" s="197">
        <v>1978</v>
      </c>
      <c r="D380" s="225" t="str">
        <f t="shared" si="2"/>
        <v>2022_1978</v>
      </c>
      <c r="E380" s="1226">
        <v>0.22748027410461899</v>
      </c>
      <c r="F380" s="1257">
        <v>2.1656324055306E-2</v>
      </c>
      <c r="G380" s="1280">
        <v>2.3069880656644101E-2</v>
      </c>
      <c r="H380" s="1271">
        <v>4.9643150813470998</v>
      </c>
      <c r="I380" s="1257">
        <v>0.48329417737578401</v>
      </c>
      <c r="J380" s="1280">
        <v>0.72070943712232705</v>
      </c>
      <c r="K380" s="1271">
        <v>7.8437092118444803E-3</v>
      </c>
      <c r="L380" s="1257">
        <v>2.20527534526894E-4</v>
      </c>
      <c r="M380" s="1280">
        <v>2.0557957647092501E-4</v>
      </c>
      <c r="N380" s="1271">
        <v>7.0626493809718598E-3</v>
      </c>
      <c r="O380" s="1257">
        <v>3.0000008598028201E-3</v>
      </c>
      <c r="P380" s="1257">
        <v>8.5929342242604696E-3</v>
      </c>
      <c r="Q380" s="1280">
        <v>7.0626493809718598E-3</v>
      </c>
      <c r="R380" s="1271">
        <v>3.8500011034136201E-2</v>
      </c>
      <c r="S380" s="1257">
        <v>3.8500011034136201E-2</v>
      </c>
      <c r="T380" s="1257">
        <v>3.8500011034136201E-2</v>
      </c>
      <c r="U380" s="1280">
        <v>1.9250005517068101E-2</v>
      </c>
      <c r="V380" s="1293">
        <v>8.1983669364599498E-3</v>
      </c>
    </row>
    <row r="381" spans="1:22" s="212" customFormat="1" ht="15.5" x14ac:dyDescent="0.35">
      <c r="A381" s="198">
        <v>2022</v>
      </c>
      <c r="B381" s="197" t="s">
        <v>5833</v>
      </c>
      <c r="C381" s="197">
        <v>1979</v>
      </c>
      <c r="D381" s="225" t="str">
        <f t="shared" si="2"/>
        <v>2022_1979</v>
      </c>
      <c r="E381" s="1226">
        <v>0.22748027410461899</v>
      </c>
      <c r="F381" s="1257">
        <v>2.1656324055306E-2</v>
      </c>
      <c r="G381" s="1280">
        <v>2.3069880656644101E-2</v>
      </c>
      <c r="H381" s="1271">
        <v>4.9643150813470998</v>
      </c>
      <c r="I381" s="1257">
        <v>0.48329417737578401</v>
      </c>
      <c r="J381" s="1280">
        <v>0.72070943712232705</v>
      </c>
      <c r="K381" s="1271">
        <v>7.8437092118444803E-3</v>
      </c>
      <c r="L381" s="1257">
        <v>2.20527534526894E-4</v>
      </c>
      <c r="M381" s="1280">
        <v>2.0557957647092501E-4</v>
      </c>
      <c r="N381" s="1271">
        <v>7.0626493809718598E-3</v>
      </c>
      <c r="O381" s="1257">
        <v>3.0000008598028201E-3</v>
      </c>
      <c r="P381" s="1257">
        <v>8.5929342242604696E-3</v>
      </c>
      <c r="Q381" s="1280">
        <v>7.0626493809718598E-3</v>
      </c>
      <c r="R381" s="1271">
        <v>3.8500011034136201E-2</v>
      </c>
      <c r="S381" s="1257">
        <v>3.8500011034136201E-2</v>
      </c>
      <c r="T381" s="1257">
        <v>3.8500011034136201E-2</v>
      </c>
      <c r="U381" s="1280">
        <v>1.9250005517068101E-2</v>
      </c>
      <c r="V381" s="1293">
        <v>8.1983669364599498E-3</v>
      </c>
    </row>
    <row r="382" spans="1:22" s="212" customFormat="1" ht="15.5" x14ac:dyDescent="0.35">
      <c r="A382" s="198">
        <v>2022</v>
      </c>
      <c r="B382" s="197" t="s">
        <v>5833</v>
      </c>
      <c r="C382" s="197">
        <v>1980</v>
      </c>
      <c r="D382" s="225" t="str">
        <f t="shared" si="2"/>
        <v>2022_1980</v>
      </c>
      <c r="E382" s="1226">
        <v>0.22748027410461899</v>
      </c>
      <c r="F382" s="1257">
        <v>2.1656324055306E-2</v>
      </c>
      <c r="G382" s="1280">
        <v>2.3069880656644101E-2</v>
      </c>
      <c r="H382" s="1271">
        <v>4.9643150813470998</v>
      </c>
      <c r="I382" s="1257">
        <v>0.48329417737578401</v>
      </c>
      <c r="J382" s="1280">
        <v>0.72070943712232705</v>
      </c>
      <c r="K382" s="1271">
        <v>7.8437092118444803E-3</v>
      </c>
      <c r="L382" s="1257">
        <v>2.20527534526894E-4</v>
      </c>
      <c r="M382" s="1280">
        <v>2.0557957647092501E-4</v>
      </c>
      <c r="N382" s="1271">
        <v>7.0626493809718598E-3</v>
      </c>
      <c r="O382" s="1257">
        <v>3.0000008598028201E-3</v>
      </c>
      <c r="P382" s="1257">
        <v>8.5929342242604696E-3</v>
      </c>
      <c r="Q382" s="1280">
        <v>7.0626493809718598E-3</v>
      </c>
      <c r="R382" s="1271">
        <v>3.8500011034136201E-2</v>
      </c>
      <c r="S382" s="1257">
        <v>3.8500011034136201E-2</v>
      </c>
      <c r="T382" s="1257">
        <v>3.8500011034136201E-2</v>
      </c>
      <c r="U382" s="1280">
        <v>1.9250005517068101E-2</v>
      </c>
      <c r="V382" s="1293">
        <v>8.1983669364599498E-3</v>
      </c>
    </row>
    <row r="383" spans="1:22" s="212" customFormat="1" ht="15.5" x14ac:dyDescent="0.35">
      <c r="A383" s="198">
        <v>2022</v>
      </c>
      <c r="B383" s="197" t="s">
        <v>5833</v>
      </c>
      <c r="C383" s="197">
        <v>1981</v>
      </c>
      <c r="D383" s="225" t="str">
        <f t="shared" si="2"/>
        <v>2022_1981</v>
      </c>
      <c r="E383" s="1226">
        <v>0.22748027410461899</v>
      </c>
      <c r="F383" s="1257">
        <v>2.1656324055306E-2</v>
      </c>
      <c r="G383" s="1280">
        <v>2.3069880656644101E-2</v>
      </c>
      <c r="H383" s="1271">
        <v>4.9643150813470998</v>
      </c>
      <c r="I383" s="1257">
        <v>0.48329417737578401</v>
      </c>
      <c r="J383" s="1280">
        <v>0.72070943712232705</v>
      </c>
      <c r="K383" s="1271">
        <v>7.8437092118444803E-3</v>
      </c>
      <c r="L383" s="1257">
        <v>2.20527534526894E-4</v>
      </c>
      <c r="M383" s="1280">
        <v>2.0557957647092501E-4</v>
      </c>
      <c r="N383" s="1271">
        <v>7.0626493809718598E-3</v>
      </c>
      <c r="O383" s="1257">
        <v>3.0000008598028201E-3</v>
      </c>
      <c r="P383" s="1257">
        <v>8.5929342242604696E-3</v>
      </c>
      <c r="Q383" s="1280">
        <v>7.0626493809718598E-3</v>
      </c>
      <c r="R383" s="1271">
        <v>3.8500011034136201E-2</v>
      </c>
      <c r="S383" s="1257">
        <v>3.8500011034136201E-2</v>
      </c>
      <c r="T383" s="1257">
        <v>3.8500011034136201E-2</v>
      </c>
      <c r="U383" s="1280">
        <v>1.9250005517068101E-2</v>
      </c>
      <c r="V383" s="1293">
        <v>8.1983669364599498E-3</v>
      </c>
    </row>
    <row r="384" spans="1:22" s="212" customFormat="1" ht="15.5" x14ac:dyDescent="0.35">
      <c r="A384" s="198">
        <v>2022</v>
      </c>
      <c r="B384" s="197" t="s">
        <v>5833</v>
      </c>
      <c r="C384" s="197">
        <v>1982</v>
      </c>
      <c r="D384" s="225" t="str">
        <f t="shared" si="2"/>
        <v>2022_1982</v>
      </c>
      <c r="E384" s="1226">
        <v>0.22748027410461899</v>
      </c>
      <c r="F384" s="1257">
        <v>2.1656324055306E-2</v>
      </c>
      <c r="G384" s="1280">
        <v>2.3069880656644101E-2</v>
      </c>
      <c r="H384" s="1271">
        <v>4.9643150813470998</v>
      </c>
      <c r="I384" s="1257">
        <v>0.48329417737578401</v>
      </c>
      <c r="J384" s="1280">
        <v>0.72070943712232705</v>
      </c>
      <c r="K384" s="1271">
        <v>7.8437092118444803E-3</v>
      </c>
      <c r="L384" s="1257">
        <v>2.20527534526894E-4</v>
      </c>
      <c r="M384" s="1280">
        <v>2.0557957647092501E-4</v>
      </c>
      <c r="N384" s="1271">
        <v>7.0626493809718598E-3</v>
      </c>
      <c r="O384" s="1257">
        <v>3.0000008598028201E-3</v>
      </c>
      <c r="P384" s="1257">
        <v>8.5929342242604696E-3</v>
      </c>
      <c r="Q384" s="1280">
        <v>7.0626493809718598E-3</v>
      </c>
      <c r="R384" s="1271">
        <v>3.8500011034136201E-2</v>
      </c>
      <c r="S384" s="1257">
        <v>3.8500011034136201E-2</v>
      </c>
      <c r="T384" s="1257">
        <v>3.8500011034136201E-2</v>
      </c>
      <c r="U384" s="1280">
        <v>1.9250005517068101E-2</v>
      </c>
      <c r="V384" s="1293">
        <v>8.1983669364599498E-3</v>
      </c>
    </row>
    <row r="385" spans="1:22" s="212" customFormat="1" ht="15.5" x14ac:dyDescent="0.35">
      <c r="A385" s="198">
        <v>2022</v>
      </c>
      <c r="B385" s="197" t="s">
        <v>5833</v>
      </c>
      <c r="C385" s="197">
        <v>1983</v>
      </c>
      <c r="D385" s="225" t="str">
        <f t="shared" si="2"/>
        <v>2022_1983</v>
      </c>
      <c r="E385" s="1226">
        <v>0.22748027410461899</v>
      </c>
      <c r="F385" s="1257">
        <v>2.1656324055306E-2</v>
      </c>
      <c r="G385" s="1280">
        <v>2.3069880656644101E-2</v>
      </c>
      <c r="H385" s="1271">
        <v>4.9643150813470998</v>
      </c>
      <c r="I385" s="1257">
        <v>0.48329417737578401</v>
      </c>
      <c r="J385" s="1280">
        <v>0.72070943712232705</v>
      </c>
      <c r="K385" s="1271">
        <v>7.8437092118444803E-3</v>
      </c>
      <c r="L385" s="1257">
        <v>2.20527534526894E-4</v>
      </c>
      <c r="M385" s="1280">
        <v>2.0557957647092501E-4</v>
      </c>
      <c r="N385" s="1271">
        <v>7.0626493809718598E-3</v>
      </c>
      <c r="O385" s="1257">
        <v>3.0000008598028201E-3</v>
      </c>
      <c r="P385" s="1257">
        <v>8.5929342242604696E-3</v>
      </c>
      <c r="Q385" s="1280">
        <v>7.0626493809718598E-3</v>
      </c>
      <c r="R385" s="1271">
        <v>3.8500011034136201E-2</v>
      </c>
      <c r="S385" s="1257">
        <v>3.8500011034136201E-2</v>
      </c>
      <c r="T385" s="1257">
        <v>3.8500011034136201E-2</v>
      </c>
      <c r="U385" s="1280">
        <v>1.9250005517068101E-2</v>
      </c>
      <c r="V385" s="1293">
        <v>8.1983669364599498E-3</v>
      </c>
    </row>
    <row r="386" spans="1:22" s="212" customFormat="1" ht="15.5" x14ac:dyDescent="0.35">
      <c r="A386" s="198">
        <v>2022</v>
      </c>
      <c r="B386" s="197" t="s">
        <v>5833</v>
      </c>
      <c r="C386" s="197">
        <v>1984</v>
      </c>
      <c r="D386" s="225" t="str">
        <f t="shared" si="2"/>
        <v>2022_1984</v>
      </c>
      <c r="E386" s="1226">
        <v>0.22748027410461899</v>
      </c>
      <c r="F386" s="1257">
        <v>2.1656324055306E-2</v>
      </c>
      <c r="G386" s="1280">
        <v>2.3069880656644101E-2</v>
      </c>
      <c r="H386" s="1271">
        <v>4.9643150813470998</v>
      </c>
      <c r="I386" s="1257">
        <v>0.48329417737578401</v>
      </c>
      <c r="J386" s="1280">
        <v>0.72070943712232705</v>
      </c>
      <c r="K386" s="1271">
        <v>7.8437092118444803E-3</v>
      </c>
      <c r="L386" s="1257">
        <v>2.20527534526894E-4</v>
      </c>
      <c r="M386" s="1280">
        <v>2.0557957647092501E-4</v>
      </c>
      <c r="N386" s="1271">
        <v>7.0626493809718598E-3</v>
      </c>
      <c r="O386" s="1257">
        <v>3.0000008598028201E-3</v>
      </c>
      <c r="P386" s="1257">
        <v>8.5929342242604696E-3</v>
      </c>
      <c r="Q386" s="1280">
        <v>7.0626493809718598E-3</v>
      </c>
      <c r="R386" s="1271">
        <v>3.8500011034136201E-2</v>
      </c>
      <c r="S386" s="1257">
        <v>3.8500011034136201E-2</v>
      </c>
      <c r="T386" s="1257">
        <v>3.8500011034136201E-2</v>
      </c>
      <c r="U386" s="1280">
        <v>1.9250005517068101E-2</v>
      </c>
      <c r="V386" s="1293">
        <v>8.1983669364599498E-3</v>
      </c>
    </row>
    <row r="387" spans="1:22" s="212" customFormat="1" ht="15.5" x14ac:dyDescent="0.35">
      <c r="A387" s="198">
        <v>2022</v>
      </c>
      <c r="B387" s="197" t="s">
        <v>5833</v>
      </c>
      <c r="C387" s="197">
        <v>1985</v>
      </c>
      <c r="D387" s="225" t="str">
        <f t="shared" si="2"/>
        <v>2022_1985</v>
      </c>
      <c r="E387" s="1226">
        <v>0.22748027410461899</v>
      </c>
      <c r="F387" s="1257">
        <v>2.1656324055306E-2</v>
      </c>
      <c r="G387" s="1280">
        <v>2.3069880656644101E-2</v>
      </c>
      <c r="H387" s="1271">
        <v>4.9643150813470998</v>
      </c>
      <c r="I387" s="1257">
        <v>0.48329417737578401</v>
      </c>
      <c r="J387" s="1280">
        <v>0.72070943712232705</v>
      </c>
      <c r="K387" s="1271">
        <v>7.8437092118444803E-3</v>
      </c>
      <c r="L387" s="1257">
        <v>2.20527534526894E-4</v>
      </c>
      <c r="M387" s="1280">
        <v>2.0557957647092501E-4</v>
      </c>
      <c r="N387" s="1271">
        <v>7.0626493809718598E-3</v>
      </c>
      <c r="O387" s="1257">
        <v>3.0000008598028201E-3</v>
      </c>
      <c r="P387" s="1257">
        <v>8.5929342242604696E-3</v>
      </c>
      <c r="Q387" s="1280">
        <v>7.0626493809718598E-3</v>
      </c>
      <c r="R387" s="1271">
        <v>3.8500011034136201E-2</v>
      </c>
      <c r="S387" s="1257">
        <v>3.8500011034136201E-2</v>
      </c>
      <c r="T387" s="1257">
        <v>3.8500011034136201E-2</v>
      </c>
      <c r="U387" s="1280">
        <v>1.9250005517068101E-2</v>
      </c>
      <c r="V387" s="1293">
        <v>8.1983669364599498E-3</v>
      </c>
    </row>
    <row r="388" spans="1:22" s="212" customFormat="1" ht="15.5" x14ac:dyDescent="0.35">
      <c r="A388" s="198">
        <v>2022</v>
      </c>
      <c r="B388" s="197" t="s">
        <v>5833</v>
      </c>
      <c r="C388" s="197">
        <v>1986</v>
      </c>
      <c r="D388" s="225" t="str">
        <f t="shared" si="2"/>
        <v>2022_1986</v>
      </c>
      <c r="E388" s="1226">
        <v>0.22748027410461899</v>
      </c>
      <c r="F388" s="1257">
        <v>2.1656324055306E-2</v>
      </c>
      <c r="G388" s="1280">
        <v>2.3069880656644101E-2</v>
      </c>
      <c r="H388" s="1271">
        <v>4.9643150813470998</v>
      </c>
      <c r="I388" s="1257">
        <v>0.48329417737578401</v>
      </c>
      <c r="J388" s="1280">
        <v>0.72070943712232705</v>
      </c>
      <c r="K388" s="1271">
        <v>7.8437092118444803E-3</v>
      </c>
      <c r="L388" s="1257">
        <v>2.20527534526894E-4</v>
      </c>
      <c r="M388" s="1280">
        <v>2.0557957647092501E-4</v>
      </c>
      <c r="N388" s="1271">
        <v>7.0626493809718598E-3</v>
      </c>
      <c r="O388" s="1257">
        <v>3.0000008598028201E-3</v>
      </c>
      <c r="P388" s="1257">
        <v>8.5929342242604696E-3</v>
      </c>
      <c r="Q388" s="1280">
        <v>7.0626493809718598E-3</v>
      </c>
      <c r="R388" s="1271">
        <v>3.8500011034136201E-2</v>
      </c>
      <c r="S388" s="1257">
        <v>3.8500011034136201E-2</v>
      </c>
      <c r="T388" s="1257">
        <v>3.8500011034136201E-2</v>
      </c>
      <c r="U388" s="1280">
        <v>1.9250005517068101E-2</v>
      </c>
      <c r="V388" s="1293">
        <v>8.1983669364599498E-3</v>
      </c>
    </row>
    <row r="389" spans="1:22" s="212" customFormat="1" ht="15.5" x14ac:dyDescent="0.35">
      <c r="A389" s="198">
        <v>2022</v>
      </c>
      <c r="B389" s="197" t="s">
        <v>5833</v>
      </c>
      <c r="C389" s="197">
        <v>1987</v>
      </c>
      <c r="D389" s="225" t="str">
        <f t="shared" si="2"/>
        <v>2022_1987</v>
      </c>
      <c r="E389" s="1226">
        <v>0.22748027410461899</v>
      </c>
      <c r="F389" s="1257">
        <v>2.1656324055306E-2</v>
      </c>
      <c r="G389" s="1280">
        <v>2.3069880656644101E-2</v>
      </c>
      <c r="H389" s="1271">
        <v>4.9643150813470998</v>
      </c>
      <c r="I389" s="1257">
        <v>0.48329417737578401</v>
      </c>
      <c r="J389" s="1280">
        <v>0.72070943712232705</v>
      </c>
      <c r="K389" s="1271">
        <v>7.8437092118444803E-3</v>
      </c>
      <c r="L389" s="1257">
        <v>2.20527534526894E-4</v>
      </c>
      <c r="M389" s="1280">
        <v>2.0557957647092501E-4</v>
      </c>
      <c r="N389" s="1271">
        <v>7.0626493809718598E-3</v>
      </c>
      <c r="O389" s="1257">
        <v>3.0000008598028201E-3</v>
      </c>
      <c r="P389" s="1257">
        <v>8.5929342242604696E-3</v>
      </c>
      <c r="Q389" s="1280">
        <v>7.0626493809718598E-3</v>
      </c>
      <c r="R389" s="1271">
        <v>3.8500011034136201E-2</v>
      </c>
      <c r="S389" s="1257">
        <v>3.8500011034136201E-2</v>
      </c>
      <c r="T389" s="1257">
        <v>3.8500011034136201E-2</v>
      </c>
      <c r="U389" s="1280">
        <v>1.9250005517068101E-2</v>
      </c>
      <c r="V389" s="1293">
        <v>8.1983669364599498E-3</v>
      </c>
    </row>
    <row r="390" spans="1:22" s="212" customFormat="1" ht="15.5" x14ac:dyDescent="0.35">
      <c r="A390" s="198">
        <v>2022</v>
      </c>
      <c r="B390" s="197" t="s">
        <v>5833</v>
      </c>
      <c r="C390" s="197">
        <v>1988</v>
      </c>
      <c r="D390" s="225" t="str">
        <f t="shared" si="2"/>
        <v>2022_1988</v>
      </c>
      <c r="E390" s="1226">
        <v>0.22748027410461899</v>
      </c>
      <c r="F390" s="1257">
        <v>2.1656324055306E-2</v>
      </c>
      <c r="G390" s="1280">
        <v>2.3069880656644101E-2</v>
      </c>
      <c r="H390" s="1271">
        <v>4.9643150813470998</v>
      </c>
      <c r="I390" s="1257">
        <v>0.48329417737578401</v>
      </c>
      <c r="J390" s="1280">
        <v>0.72070943712232705</v>
      </c>
      <c r="K390" s="1271">
        <v>7.8437092118444803E-3</v>
      </c>
      <c r="L390" s="1257">
        <v>2.20527534526894E-4</v>
      </c>
      <c r="M390" s="1280">
        <v>2.0557957647092501E-4</v>
      </c>
      <c r="N390" s="1271">
        <v>7.0626493809718598E-3</v>
      </c>
      <c r="O390" s="1257">
        <v>3.0000008598028201E-3</v>
      </c>
      <c r="P390" s="1257">
        <v>8.5929342242604696E-3</v>
      </c>
      <c r="Q390" s="1280">
        <v>7.0626493809718598E-3</v>
      </c>
      <c r="R390" s="1271">
        <v>3.8500011034136201E-2</v>
      </c>
      <c r="S390" s="1257">
        <v>3.8500011034136201E-2</v>
      </c>
      <c r="T390" s="1257">
        <v>3.8500011034136201E-2</v>
      </c>
      <c r="U390" s="1280">
        <v>1.9250005517068101E-2</v>
      </c>
      <c r="V390" s="1293">
        <v>8.1983669364599498E-3</v>
      </c>
    </row>
    <row r="391" spans="1:22" s="212" customFormat="1" ht="15.5" x14ac:dyDescent="0.35">
      <c r="A391" s="198">
        <v>2022</v>
      </c>
      <c r="B391" s="197" t="s">
        <v>5833</v>
      </c>
      <c r="C391" s="197">
        <v>1989</v>
      </c>
      <c r="D391" s="225" t="str">
        <f t="shared" si="2"/>
        <v>2022_1989</v>
      </c>
      <c r="E391" s="1226">
        <v>0.22748027410461899</v>
      </c>
      <c r="F391" s="1257">
        <v>2.1656324055306E-2</v>
      </c>
      <c r="G391" s="1280">
        <v>2.3069880656644101E-2</v>
      </c>
      <c r="H391" s="1271">
        <v>4.9643150813470998</v>
      </c>
      <c r="I391" s="1257">
        <v>0.48329417737578401</v>
      </c>
      <c r="J391" s="1280">
        <v>0.72070943712232705</v>
      </c>
      <c r="K391" s="1271">
        <v>7.8437092118444803E-3</v>
      </c>
      <c r="L391" s="1257">
        <v>2.20527534526894E-4</v>
      </c>
      <c r="M391" s="1280">
        <v>2.0557957647092501E-4</v>
      </c>
      <c r="N391" s="1271">
        <v>7.0626493809718598E-3</v>
      </c>
      <c r="O391" s="1257">
        <v>3.0000008598028201E-3</v>
      </c>
      <c r="P391" s="1257">
        <v>8.5929342242604696E-3</v>
      </c>
      <c r="Q391" s="1280">
        <v>7.0626493809718598E-3</v>
      </c>
      <c r="R391" s="1271">
        <v>3.8500011034136201E-2</v>
      </c>
      <c r="S391" s="1257">
        <v>3.8500011034136201E-2</v>
      </c>
      <c r="T391" s="1257">
        <v>3.8500011034136201E-2</v>
      </c>
      <c r="U391" s="1280">
        <v>1.9250005517068101E-2</v>
      </c>
      <c r="V391" s="1293">
        <v>8.1983669364599498E-3</v>
      </c>
    </row>
    <row r="392" spans="1:22" s="212" customFormat="1" ht="15.5" x14ac:dyDescent="0.35">
      <c r="A392" s="198">
        <v>2022</v>
      </c>
      <c r="B392" s="197" t="s">
        <v>5833</v>
      </c>
      <c r="C392" s="197">
        <v>1990</v>
      </c>
      <c r="D392" s="225" t="str">
        <f t="shared" si="2"/>
        <v>2022_1990</v>
      </c>
      <c r="E392" s="1226">
        <v>0.22748027410461899</v>
      </c>
      <c r="F392" s="1257">
        <v>2.1656324055306E-2</v>
      </c>
      <c r="G392" s="1280">
        <v>2.3069880656644101E-2</v>
      </c>
      <c r="H392" s="1271">
        <v>4.9643150813470998</v>
      </c>
      <c r="I392" s="1257">
        <v>0.48329417737578401</v>
      </c>
      <c r="J392" s="1280">
        <v>0.72070943712232705</v>
      </c>
      <c r="K392" s="1271">
        <v>7.8437092118444803E-3</v>
      </c>
      <c r="L392" s="1257">
        <v>2.20527534526894E-4</v>
      </c>
      <c r="M392" s="1280">
        <v>2.0557957647092501E-4</v>
      </c>
      <c r="N392" s="1271">
        <v>7.0626493809718598E-3</v>
      </c>
      <c r="O392" s="1257">
        <v>3.0000008598028201E-3</v>
      </c>
      <c r="P392" s="1257">
        <v>8.5929342242604696E-3</v>
      </c>
      <c r="Q392" s="1280">
        <v>7.0626493809718598E-3</v>
      </c>
      <c r="R392" s="1271">
        <v>3.8500011034136201E-2</v>
      </c>
      <c r="S392" s="1257">
        <v>3.8500011034136201E-2</v>
      </c>
      <c r="T392" s="1257">
        <v>3.8500011034136201E-2</v>
      </c>
      <c r="U392" s="1280">
        <v>1.9250005517068101E-2</v>
      </c>
      <c r="V392" s="1293">
        <v>8.1983669364599498E-3</v>
      </c>
    </row>
    <row r="393" spans="1:22" s="212" customFormat="1" ht="15.5" x14ac:dyDescent="0.35">
      <c r="A393" s="198">
        <v>2022</v>
      </c>
      <c r="B393" s="197" t="s">
        <v>5833</v>
      </c>
      <c r="C393" s="197">
        <v>1991</v>
      </c>
      <c r="D393" s="225" t="str">
        <f t="shared" si="2"/>
        <v>2022_1991</v>
      </c>
      <c r="E393" s="1226">
        <v>0.22748027410461899</v>
      </c>
      <c r="F393" s="1257">
        <v>2.1656324055306E-2</v>
      </c>
      <c r="G393" s="1280">
        <v>2.3069880656644101E-2</v>
      </c>
      <c r="H393" s="1271">
        <v>4.9643150813470998</v>
      </c>
      <c r="I393" s="1257">
        <v>0.48329417737578401</v>
      </c>
      <c r="J393" s="1280">
        <v>0.72070943712232705</v>
      </c>
      <c r="K393" s="1271">
        <v>7.8437092118444803E-3</v>
      </c>
      <c r="L393" s="1257">
        <v>2.20527534526894E-4</v>
      </c>
      <c r="M393" s="1280">
        <v>2.0557957647092501E-4</v>
      </c>
      <c r="N393" s="1271">
        <v>7.0626493809718598E-3</v>
      </c>
      <c r="O393" s="1257">
        <v>3.0000008598028201E-3</v>
      </c>
      <c r="P393" s="1257">
        <v>8.5929342242604696E-3</v>
      </c>
      <c r="Q393" s="1280">
        <v>7.0626493809718598E-3</v>
      </c>
      <c r="R393" s="1271">
        <v>3.8500011034136201E-2</v>
      </c>
      <c r="S393" s="1257">
        <v>3.8500011034136201E-2</v>
      </c>
      <c r="T393" s="1257">
        <v>3.8500011034136201E-2</v>
      </c>
      <c r="U393" s="1280">
        <v>1.9250005517068101E-2</v>
      </c>
      <c r="V393" s="1293">
        <v>8.1983669364599498E-3</v>
      </c>
    </row>
    <row r="394" spans="1:22" s="212" customFormat="1" ht="15.5" x14ac:dyDescent="0.35">
      <c r="A394" s="198">
        <v>2022</v>
      </c>
      <c r="B394" s="197" t="s">
        <v>5833</v>
      </c>
      <c r="C394" s="197">
        <v>1992</v>
      </c>
      <c r="D394" s="225" t="str">
        <f t="shared" si="2"/>
        <v>2022_1992</v>
      </c>
      <c r="E394" s="1226">
        <v>0.22748027410461899</v>
      </c>
      <c r="F394" s="1257">
        <v>2.1656324055306E-2</v>
      </c>
      <c r="G394" s="1280">
        <v>2.3069880656644101E-2</v>
      </c>
      <c r="H394" s="1271">
        <v>4.9643150813470998</v>
      </c>
      <c r="I394" s="1257">
        <v>0.48329417737578401</v>
      </c>
      <c r="J394" s="1280">
        <v>0.72070943712232705</v>
      </c>
      <c r="K394" s="1271">
        <v>7.8437092118444803E-3</v>
      </c>
      <c r="L394" s="1257">
        <v>2.20527534526894E-4</v>
      </c>
      <c r="M394" s="1280">
        <v>2.0557957647092501E-4</v>
      </c>
      <c r="N394" s="1271">
        <v>7.0626493809718598E-3</v>
      </c>
      <c r="O394" s="1257">
        <v>3.0000008598028201E-3</v>
      </c>
      <c r="P394" s="1257">
        <v>8.5929342242604696E-3</v>
      </c>
      <c r="Q394" s="1280">
        <v>7.0626493809718598E-3</v>
      </c>
      <c r="R394" s="1271">
        <v>3.8500011034136201E-2</v>
      </c>
      <c r="S394" s="1257">
        <v>3.8500011034136201E-2</v>
      </c>
      <c r="T394" s="1257">
        <v>3.8500011034136201E-2</v>
      </c>
      <c r="U394" s="1280">
        <v>1.9250005517068101E-2</v>
      </c>
      <c r="V394" s="1293">
        <v>8.1983669364599498E-3</v>
      </c>
    </row>
    <row r="395" spans="1:22" s="212" customFormat="1" ht="15.5" x14ac:dyDescent="0.35">
      <c r="A395" s="198">
        <v>2022</v>
      </c>
      <c r="B395" s="197" t="s">
        <v>5833</v>
      </c>
      <c r="C395" s="197">
        <v>1993</v>
      </c>
      <c r="D395" s="225" t="str">
        <f t="shared" si="2"/>
        <v>2022_1993</v>
      </c>
      <c r="E395" s="1226">
        <v>0.22748027410461899</v>
      </c>
      <c r="F395" s="1257">
        <v>2.1656324055306E-2</v>
      </c>
      <c r="G395" s="1280">
        <v>2.3069880656644101E-2</v>
      </c>
      <c r="H395" s="1271">
        <v>4.9643150813470998</v>
      </c>
      <c r="I395" s="1257">
        <v>0.48329417737578401</v>
      </c>
      <c r="J395" s="1280">
        <v>0.72070943712232705</v>
      </c>
      <c r="K395" s="1271">
        <v>7.8437092118444803E-3</v>
      </c>
      <c r="L395" s="1257">
        <v>2.20527534526894E-4</v>
      </c>
      <c r="M395" s="1280">
        <v>2.0557957647092501E-4</v>
      </c>
      <c r="N395" s="1271">
        <v>7.0626493809718598E-3</v>
      </c>
      <c r="O395" s="1257">
        <v>3.0000008598028201E-3</v>
      </c>
      <c r="P395" s="1257">
        <v>8.5929342242604696E-3</v>
      </c>
      <c r="Q395" s="1280">
        <v>7.0626493809718598E-3</v>
      </c>
      <c r="R395" s="1271">
        <v>3.8500011034136201E-2</v>
      </c>
      <c r="S395" s="1257">
        <v>3.8500011034136201E-2</v>
      </c>
      <c r="T395" s="1257">
        <v>3.8500011034136201E-2</v>
      </c>
      <c r="U395" s="1280">
        <v>1.9250005517068101E-2</v>
      </c>
      <c r="V395" s="1293">
        <v>8.1983669364599498E-3</v>
      </c>
    </row>
    <row r="396" spans="1:22" s="212" customFormat="1" ht="15.5" x14ac:dyDescent="0.35">
      <c r="A396" s="198">
        <v>2022</v>
      </c>
      <c r="B396" s="197" t="s">
        <v>5833</v>
      </c>
      <c r="C396" s="197">
        <v>1994</v>
      </c>
      <c r="D396" s="225" t="str">
        <f t="shared" si="2"/>
        <v>2022_1994</v>
      </c>
      <c r="E396" s="1226">
        <v>0.22748027410461899</v>
      </c>
      <c r="F396" s="1257">
        <v>2.1656324055306E-2</v>
      </c>
      <c r="G396" s="1280">
        <v>2.3069880656644101E-2</v>
      </c>
      <c r="H396" s="1271">
        <v>4.9643150813470998</v>
      </c>
      <c r="I396" s="1257">
        <v>0.48329417737578401</v>
      </c>
      <c r="J396" s="1280">
        <v>0.72070943712232705</v>
      </c>
      <c r="K396" s="1271">
        <v>7.8437092118444803E-3</v>
      </c>
      <c r="L396" s="1257">
        <v>2.20527534526894E-4</v>
      </c>
      <c r="M396" s="1280">
        <v>2.0557957647092501E-4</v>
      </c>
      <c r="N396" s="1271">
        <v>7.0626493809718598E-3</v>
      </c>
      <c r="O396" s="1257">
        <v>3.0000008598028201E-3</v>
      </c>
      <c r="P396" s="1257">
        <v>8.5929342242604696E-3</v>
      </c>
      <c r="Q396" s="1280">
        <v>7.0626493809718598E-3</v>
      </c>
      <c r="R396" s="1271">
        <v>3.8500011034136201E-2</v>
      </c>
      <c r="S396" s="1257">
        <v>3.8500011034136201E-2</v>
      </c>
      <c r="T396" s="1257">
        <v>3.8500011034136201E-2</v>
      </c>
      <c r="U396" s="1280">
        <v>1.9250005517068101E-2</v>
      </c>
      <c r="V396" s="1293">
        <v>8.1983669364599498E-3</v>
      </c>
    </row>
    <row r="397" spans="1:22" s="212" customFormat="1" ht="15.5" x14ac:dyDescent="0.35">
      <c r="A397" s="198">
        <v>2022</v>
      </c>
      <c r="B397" s="197" t="s">
        <v>5833</v>
      </c>
      <c r="C397" s="197">
        <v>1995</v>
      </c>
      <c r="D397" s="225" t="str">
        <f t="shared" si="2"/>
        <v>2022_1995</v>
      </c>
      <c r="E397" s="1226">
        <v>0.22748027410461899</v>
      </c>
      <c r="F397" s="1257">
        <v>2.1656324055306E-2</v>
      </c>
      <c r="G397" s="1280">
        <v>2.3069880656644101E-2</v>
      </c>
      <c r="H397" s="1271">
        <v>4.9643150813470998</v>
      </c>
      <c r="I397" s="1257">
        <v>0.48329417737578401</v>
      </c>
      <c r="J397" s="1280">
        <v>0.72070943712232705</v>
      </c>
      <c r="K397" s="1271">
        <v>7.8437092118444803E-3</v>
      </c>
      <c r="L397" s="1257">
        <v>2.20527534526894E-4</v>
      </c>
      <c r="M397" s="1280">
        <v>2.0557957647092501E-4</v>
      </c>
      <c r="N397" s="1271">
        <v>7.0626493809718598E-3</v>
      </c>
      <c r="O397" s="1257">
        <v>3.0000008598028201E-3</v>
      </c>
      <c r="P397" s="1257">
        <v>8.5929342242604696E-3</v>
      </c>
      <c r="Q397" s="1280">
        <v>7.0626493809718598E-3</v>
      </c>
      <c r="R397" s="1271">
        <v>3.8500011034136201E-2</v>
      </c>
      <c r="S397" s="1257">
        <v>3.8500011034136201E-2</v>
      </c>
      <c r="T397" s="1257">
        <v>3.8500011034136201E-2</v>
      </c>
      <c r="U397" s="1280">
        <v>1.9250005517068101E-2</v>
      </c>
      <c r="V397" s="1293">
        <v>8.1983669364599498E-3</v>
      </c>
    </row>
    <row r="398" spans="1:22" s="212" customFormat="1" ht="15.5" x14ac:dyDescent="0.35">
      <c r="A398" s="198">
        <v>2022</v>
      </c>
      <c r="B398" s="197" t="s">
        <v>5833</v>
      </c>
      <c r="C398" s="197">
        <v>1996</v>
      </c>
      <c r="D398" s="225" t="str">
        <f t="shared" si="2"/>
        <v>2022_1996</v>
      </c>
      <c r="E398" s="1226">
        <v>0.22748027410461899</v>
      </c>
      <c r="F398" s="1257">
        <v>2.1656324055306E-2</v>
      </c>
      <c r="G398" s="1280">
        <v>2.3069880656644101E-2</v>
      </c>
      <c r="H398" s="1271">
        <v>4.9643150813470998</v>
      </c>
      <c r="I398" s="1257">
        <v>0.48329417737578401</v>
      </c>
      <c r="J398" s="1280">
        <v>0.72070943712232705</v>
      </c>
      <c r="K398" s="1271">
        <v>7.8437092118444803E-3</v>
      </c>
      <c r="L398" s="1257">
        <v>2.20527534526894E-4</v>
      </c>
      <c r="M398" s="1280">
        <v>2.0557957647092501E-4</v>
      </c>
      <c r="N398" s="1271">
        <v>7.0626493809718598E-3</v>
      </c>
      <c r="O398" s="1257">
        <v>3.0000008598028201E-3</v>
      </c>
      <c r="P398" s="1257">
        <v>8.5929342242604696E-3</v>
      </c>
      <c r="Q398" s="1280">
        <v>7.0626493809718598E-3</v>
      </c>
      <c r="R398" s="1271">
        <v>3.8500011034136201E-2</v>
      </c>
      <c r="S398" s="1257">
        <v>3.8500011034136201E-2</v>
      </c>
      <c r="T398" s="1257">
        <v>3.8500011034136201E-2</v>
      </c>
      <c r="U398" s="1280">
        <v>1.9250005517068101E-2</v>
      </c>
      <c r="V398" s="1293">
        <v>8.1983669364599498E-3</v>
      </c>
    </row>
    <row r="399" spans="1:22" s="212" customFormat="1" ht="15.5" x14ac:dyDescent="0.35">
      <c r="A399" s="198">
        <v>2022</v>
      </c>
      <c r="B399" s="197" t="s">
        <v>5833</v>
      </c>
      <c r="C399" s="197">
        <v>1997</v>
      </c>
      <c r="D399" s="225" t="str">
        <f t="shared" si="2"/>
        <v>2022_1997</v>
      </c>
      <c r="E399" s="1226">
        <v>0.22748027410461899</v>
      </c>
      <c r="F399" s="1257">
        <v>2.1656324055306E-2</v>
      </c>
      <c r="G399" s="1280">
        <v>2.3069880656644101E-2</v>
      </c>
      <c r="H399" s="1271">
        <v>4.9643150813470998</v>
      </c>
      <c r="I399" s="1257">
        <v>0.48329417737578401</v>
      </c>
      <c r="J399" s="1280">
        <v>0.72070943712232705</v>
      </c>
      <c r="K399" s="1271">
        <v>7.8437092118444803E-3</v>
      </c>
      <c r="L399" s="1257">
        <v>2.20527534526894E-4</v>
      </c>
      <c r="M399" s="1280">
        <v>2.0557957647092501E-4</v>
      </c>
      <c r="N399" s="1271">
        <v>7.0626493809718598E-3</v>
      </c>
      <c r="O399" s="1257">
        <v>3.0000008598028201E-3</v>
      </c>
      <c r="P399" s="1257">
        <v>8.5929342242604696E-3</v>
      </c>
      <c r="Q399" s="1280">
        <v>7.0626493809718598E-3</v>
      </c>
      <c r="R399" s="1271">
        <v>3.8500011034136201E-2</v>
      </c>
      <c r="S399" s="1257">
        <v>3.8500011034136201E-2</v>
      </c>
      <c r="T399" s="1257">
        <v>3.8500011034136201E-2</v>
      </c>
      <c r="U399" s="1280">
        <v>1.9250005517068101E-2</v>
      </c>
      <c r="V399" s="1293">
        <v>8.1983669364599498E-3</v>
      </c>
    </row>
    <row r="400" spans="1:22" s="212" customFormat="1" ht="15.5" x14ac:dyDescent="0.35">
      <c r="A400" s="198">
        <v>2022</v>
      </c>
      <c r="B400" s="197" t="s">
        <v>5833</v>
      </c>
      <c r="C400" s="197">
        <v>1998</v>
      </c>
      <c r="D400" s="225" t="str">
        <f t="shared" si="2"/>
        <v>2022_1998</v>
      </c>
      <c r="E400" s="1226">
        <v>0.22748027410461899</v>
      </c>
      <c r="F400" s="1257">
        <v>2.1656324055306E-2</v>
      </c>
      <c r="G400" s="1280">
        <v>2.3069880656644101E-2</v>
      </c>
      <c r="H400" s="1271">
        <v>4.9643150813470998</v>
      </c>
      <c r="I400" s="1257">
        <v>0.48329417737578401</v>
      </c>
      <c r="J400" s="1280">
        <v>0.72070943712232705</v>
      </c>
      <c r="K400" s="1271">
        <v>7.8437092118444803E-3</v>
      </c>
      <c r="L400" s="1257">
        <v>2.20527534526894E-4</v>
      </c>
      <c r="M400" s="1280">
        <v>2.0557957647092501E-4</v>
      </c>
      <c r="N400" s="1271">
        <v>7.0626493809718598E-3</v>
      </c>
      <c r="O400" s="1257">
        <v>3.0000008598028201E-3</v>
      </c>
      <c r="P400" s="1257">
        <v>8.5929342242604696E-3</v>
      </c>
      <c r="Q400" s="1280">
        <v>7.0626493809718598E-3</v>
      </c>
      <c r="R400" s="1271">
        <v>3.8500011034136201E-2</v>
      </c>
      <c r="S400" s="1257">
        <v>3.8500011034136201E-2</v>
      </c>
      <c r="T400" s="1257">
        <v>3.8500011034136201E-2</v>
      </c>
      <c r="U400" s="1280">
        <v>1.9250005517068101E-2</v>
      </c>
      <c r="V400" s="1293">
        <v>8.1983669364599498E-3</v>
      </c>
    </row>
    <row r="401" spans="1:22" s="212" customFormat="1" ht="15.5" x14ac:dyDescent="0.35">
      <c r="A401" s="198">
        <v>2022</v>
      </c>
      <c r="B401" s="197" t="s">
        <v>5833</v>
      </c>
      <c r="C401" s="197">
        <v>1999</v>
      </c>
      <c r="D401" s="225" t="str">
        <f t="shared" si="2"/>
        <v>2022_1999</v>
      </c>
      <c r="E401" s="1226">
        <v>0.22748027410461899</v>
      </c>
      <c r="F401" s="1257">
        <v>2.1656324055306E-2</v>
      </c>
      <c r="G401" s="1280">
        <v>2.3069880656644101E-2</v>
      </c>
      <c r="H401" s="1271">
        <v>4.9643150813470998</v>
      </c>
      <c r="I401" s="1257">
        <v>0.48329417737578401</v>
      </c>
      <c r="J401" s="1280">
        <v>0.72070943712232705</v>
      </c>
      <c r="K401" s="1271">
        <v>7.8437092118444803E-3</v>
      </c>
      <c r="L401" s="1257">
        <v>2.20527534526894E-4</v>
      </c>
      <c r="M401" s="1280">
        <v>2.0557957647092501E-4</v>
      </c>
      <c r="N401" s="1271">
        <v>7.0626493809718598E-3</v>
      </c>
      <c r="O401" s="1257">
        <v>3.0000008598028201E-3</v>
      </c>
      <c r="P401" s="1257">
        <v>8.5929342242604696E-3</v>
      </c>
      <c r="Q401" s="1280">
        <v>7.0626493809718598E-3</v>
      </c>
      <c r="R401" s="1271">
        <v>3.8500011034136201E-2</v>
      </c>
      <c r="S401" s="1257">
        <v>3.8500011034136201E-2</v>
      </c>
      <c r="T401" s="1257">
        <v>3.8500011034136201E-2</v>
      </c>
      <c r="U401" s="1280">
        <v>1.9250005517068101E-2</v>
      </c>
      <c r="V401" s="1293">
        <v>8.1983669364599498E-3</v>
      </c>
    </row>
    <row r="402" spans="1:22" s="212" customFormat="1" ht="15.5" x14ac:dyDescent="0.35">
      <c r="A402" s="198">
        <v>2022</v>
      </c>
      <c r="B402" s="197" t="s">
        <v>5833</v>
      </c>
      <c r="C402" s="197">
        <v>2000</v>
      </c>
      <c r="D402" s="225" t="str">
        <f t="shared" si="2"/>
        <v>2022_2000</v>
      </c>
      <c r="E402" s="1226">
        <v>0.22748027410461899</v>
      </c>
      <c r="F402" s="1257">
        <v>2.1656324055306E-2</v>
      </c>
      <c r="G402" s="1280">
        <v>2.3069880656644101E-2</v>
      </c>
      <c r="H402" s="1271">
        <v>4.9643150813470998</v>
      </c>
      <c r="I402" s="1257">
        <v>0.48329417737578401</v>
      </c>
      <c r="J402" s="1280">
        <v>0.72070943712232705</v>
      </c>
      <c r="K402" s="1271">
        <v>7.8437092118444803E-3</v>
      </c>
      <c r="L402" s="1257">
        <v>2.20527534526894E-4</v>
      </c>
      <c r="M402" s="1280">
        <v>2.0557957647092501E-4</v>
      </c>
      <c r="N402" s="1271">
        <v>7.0626493809718598E-3</v>
      </c>
      <c r="O402" s="1257">
        <v>3.0000008598028201E-3</v>
      </c>
      <c r="P402" s="1257">
        <v>8.5929342242604696E-3</v>
      </c>
      <c r="Q402" s="1280">
        <v>7.0626493809718598E-3</v>
      </c>
      <c r="R402" s="1271">
        <v>3.8500011034136201E-2</v>
      </c>
      <c r="S402" s="1257">
        <v>3.8500011034136201E-2</v>
      </c>
      <c r="T402" s="1257">
        <v>3.8500011034136201E-2</v>
      </c>
      <c r="U402" s="1280">
        <v>1.9250005517068101E-2</v>
      </c>
      <c r="V402" s="1293">
        <v>8.1983669364599498E-3</v>
      </c>
    </row>
    <row r="403" spans="1:22" s="212" customFormat="1" ht="15.5" x14ac:dyDescent="0.35">
      <c r="A403" s="198">
        <v>2022</v>
      </c>
      <c r="B403" s="197" t="s">
        <v>5833</v>
      </c>
      <c r="C403" s="197">
        <v>2001</v>
      </c>
      <c r="D403" s="225" t="str">
        <f t="shared" si="2"/>
        <v>2022_2001</v>
      </c>
      <c r="E403" s="1226">
        <v>0.22748027410461899</v>
      </c>
      <c r="F403" s="1257">
        <v>2.1656324055306E-2</v>
      </c>
      <c r="G403" s="1280">
        <v>2.3069880656644101E-2</v>
      </c>
      <c r="H403" s="1271">
        <v>4.9643150813470998</v>
      </c>
      <c r="I403" s="1257">
        <v>0.48329417737578401</v>
      </c>
      <c r="J403" s="1280">
        <v>0.72070943712232705</v>
      </c>
      <c r="K403" s="1271">
        <v>7.8437092118444803E-3</v>
      </c>
      <c r="L403" s="1257">
        <v>2.20527534526894E-4</v>
      </c>
      <c r="M403" s="1280">
        <v>2.0557957647092501E-4</v>
      </c>
      <c r="N403" s="1271">
        <v>7.0626493809718598E-3</v>
      </c>
      <c r="O403" s="1257">
        <v>3.0000008598028201E-3</v>
      </c>
      <c r="P403" s="1257">
        <v>8.5929342242604696E-3</v>
      </c>
      <c r="Q403" s="1280">
        <v>7.0626493809718598E-3</v>
      </c>
      <c r="R403" s="1271">
        <v>3.8500011034136201E-2</v>
      </c>
      <c r="S403" s="1257">
        <v>3.8500011034136201E-2</v>
      </c>
      <c r="T403" s="1257">
        <v>3.8500011034136201E-2</v>
      </c>
      <c r="U403" s="1280">
        <v>1.9250005517068101E-2</v>
      </c>
      <c r="V403" s="1293">
        <v>8.1983669364599498E-3</v>
      </c>
    </row>
    <row r="404" spans="1:22" s="212" customFormat="1" ht="15.5" x14ac:dyDescent="0.35">
      <c r="A404" s="198">
        <v>2022</v>
      </c>
      <c r="B404" s="197" t="s">
        <v>5833</v>
      </c>
      <c r="C404" s="197">
        <v>2002</v>
      </c>
      <c r="D404" s="225" t="str">
        <f t="shared" si="2"/>
        <v>2022_2002</v>
      </c>
      <c r="E404" s="1226">
        <v>0.22748027410461899</v>
      </c>
      <c r="F404" s="1257">
        <v>2.1656324055306E-2</v>
      </c>
      <c r="G404" s="1280">
        <v>2.3069880656644101E-2</v>
      </c>
      <c r="H404" s="1271">
        <v>4.9643150813470998</v>
      </c>
      <c r="I404" s="1257">
        <v>0.48329417737578401</v>
      </c>
      <c r="J404" s="1280">
        <v>0.72070943712232705</v>
      </c>
      <c r="K404" s="1271">
        <v>7.8437092118444803E-3</v>
      </c>
      <c r="L404" s="1257">
        <v>2.20527534526894E-4</v>
      </c>
      <c r="M404" s="1280">
        <v>2.0557957647092501E-4</v>
      </c>
      <c r="N404" s="1271">
        <v>7.0626493809718598E-3</v>
      </c>
      <c r="O404" s="1257">
        <v>3.0000008598028201E-3</v>
      </c>
      <c r="P404" s="1257">
        <v>8.5929342242604696E-3</v>
      </c>
      <c r="Q404" s="1280">
        <v>7.0626493809718598E-3</v>
      </c>
      <c r="R404" s="1271">
        <v>3.8500011034136201E-2</v>
      </c>
      <c r="S404" s="1257">
        <v>3.8500011034136201E-2</v>
      </c>
      <c r="T404" s="1257">
        <v>3.8500011034136201E-2</v>
      </c>
      <c r="U404" s="1280">
        <v>1.9250005517068101E-2</v>
      </c>
      <c r="V404" s="1293">
        <v>8.1983669364599498E-3</v>
      </c>
    </row>
    <row r="405" spans="1:22" s="212" customFormat="1" ht="15.5" x14ac:dyDescent="0.35">
      <c r="A405" s="198">
        <v>2022</v>
      </c>
      <c r="B405" s="197" t="s">
        <v>5833</v>
      </c>
      <c r="C405" s="197">
        <v>2003</v>
      </c>
      <c r="D405" s="225" t="str">
        <f t="shared" si="2"/>
        <v>2022_2003</v>
      </c>
      <c r="E405" s="1226">
        <v>0.22748027410461899</v>
      </c>
      <c r="F405" s="1257">
        <v>2.1656324055306E-2</v>
      </c>
      <c r="G405" s="1280">
        <v>2.3069880656644101E-2</v>
      </c>
      <c r="H405" s="1271">
        <v>4.9643150813470998</v>
      </c>
      <c r="I405" s="1257">
        <v>0.48329417737578401</v>
      </c>
      <c r="J405" s="1280">
        <v>0.72070943712232705</v>
      </c>
      <c r="K405" s="1271">
        <v>7.8437092118444803E-3</v>
      </c>
      <c r="L405" s="1257">
        <v>2.20527534526894E-4</v>
      </c>
      <c r="M405" s="1280">
        <v>2.0557957647092501E-4</v>
      </c>
      <c r="N405" s="1271">
        <v>7.0626493809718598E-3</v>
      </c>
      <c r="O405" s="1257">
        <v>3.0000008598028201E-3</v>
      </c>
      <c r="P405" s="1257">
        <v>8.5929342242604696E-3</v>
      </c>
      <c r="Q405" s="1280">
        <v>7.0626493809718598E-3</v>
      </c>
      <c r="R405" s="1271">
        <v>3.8500011034136201E-2</v>
      </c>
      <c r="S405" s="1257">
        <v>3.8500011034136201E-2</v>
      </c>
      <c r="T405" s="1257">
        <v>3.8500011034136201E-2</v>
      </c>
      <c r="U405" s="1280">
        <v>1.9250005517068101E-2</v>
      </c>
      <c r="V405" s="1293">
        <v>8.1983669364599498E-3</v>
      </c>
    </row>
    <row r="406" spans="1:22" s="212" customFormat="1" ht="15.5" x14ac:dyDescent="0.35">
      <c r="A406" s="198">
        <v>2022</v>
      </c>
      <c r="B406" s="197" t="s">
        <v>5833</v>
      </c>
      <c r="C406" s="197">
        <v>2004</v>
      </c>
      <c r="D406" s="225" t="str">
        <f t="shared" si="2"/>
        <v>2022_2004</v>
      </c>
      <c r="E406" s="1226">
        <v>0.22748027410461899</v>
      </c>
      <c r="F406" s="1257">
        <v>2.1656324055306E-2</v>
      </c>
      <c r="G406" s="1280">
        <v>2.3069880656644101E-2</v>
      </c>
      <c r="H406" s="1271">
        <v>4.9643150813470998</v>
      </c>
      <c r="I406" s="1257">
        <v>0.48329417737578401</v>
      </c>
      <c r="J406" s="1280">
        <v>0.72070943712232705</v>
      </c>
      <c r="K406" s="1271">
        <v>7.8437092118444803E-3</v>
      </c>
      <c r="L406" s="1257">
        <v>2.20527534526894E-4</v>
      </c>
      <c r="M406" s="1280">
        <v>2.0557957647092501E-4</v>
      </c>
      <c r="N406" s="1271">
        <v>7.0626493809718598E-3</v>
      </c>
      <c r="O406" s="1257">
        <v>3.0000008598028201E-3</v>
      </c>
      <c r="P406" s="1257">
        <v>8.5929342242604696E-3</v>
      </c>
      <c r="Q406" s="1280">
        <v>7.0626493809718598E-3</v>
      </c>
      <c r="R406" s="1271">
        <v>3.8500011034136201E-2</v>
      </c>
      <c r="S406" s="1257">
        <v>3.8500011034136201E-2</v>
      </c>
      <c r="T406" s="1257">
        <v>3.8500011034136201E-2</v>
      </c>
      <c r="U406" s="1280">
        <v>1.9250005517068101E-2</v>
      </c>
      <c r="V406" s="1293">
        <v>8.1983669364599498E-3</v>
      </c>
    </row>
    <row r="407" spans="1:22" s="212" customFormat="1" ht="15.5" x14ac:dyDescent="0.35">
      <c r="A407" s="198">
        <v>2022</v>
      </c>
      <c r="B407" s="197" t="s">
        <v>5833</v>
      </c>
      <c r="C407" s="197">
        <v>2005</v>
      </c>
      <c r="D407" s="225" t="str">
        <f t="shared" si="2"/>
        <v>2022_2005</v>
      </c>
      <c r="E407" s="1226">
        <v>0.22748027410461899</v>
      </c>
      <c r="F407" s="1257">
        <v>2.1656324055306E-2</v>
      </c>
      <c r="G407" s="1280">
        <v>2.3069880656644101E-2</v>
      </c>
      <c r="H407" s="1271">
        <v>4.9643150813470998</v>
      </c>
      <c r="I407" s="1257">
        <v>0.48329417737578401</v>
      </c>
      <c r="J407" s="1280">
        <v>0.72070943712232705</v>
      </c>
      <c r="K407" s="1271">
        <v>7.8437092118444803E-3</v>
      </c>
      <c r="L407" s="1257">
        <v>2.20527534526894E-4</v>
      </c>
      <c r="M407" s="1280">
        <v>2.0557957647092501E-4</v>
      </c>
      <c r="N407" s="1271">
        <v>7.0626493809718598E-3</v>
      </c>
      <c r="O407" s="1257">
        <v>3.0000008598028201E-3</v>
      </c>
      <c r="P407" s="1257">
        <v>8.5929342242604696E-3</v>
      </c>
      <c r="Q407" s="1280">
        <v>7.0626493809718598E-3</v>
      </c>
      <c r="R407" s="1271">
        <v>3.8500011034136201E-2</v>
      </c>
      <c r="S407" s="1257">
        <v>3.8500011034136201E-2</v>
      </c>
      <c r="T407" s="1257">
        <v>3.8500011034136201E-2</v>
      </c>
      <c r="U407" s="1280">
        <v>1.9250005517068101E-2</v>
      </c>
      <c r="V407" s="1293">
        <v>8.1983669364599498E-3</v>
      </c>
    </row>
    <row r="408" spans="1:22" s="212" customFormat="1" ht="15.5" x14ac:dyDescent="0.35">
      <c r="A408" s="198">
        <v>2022</v>
      </c>
      <c r="B408" s="197" t="s">
        <v>5833</v>
      </c>
      <c r="C408" s="197">
        <v>2006</v>
      </c>
      <c r="D408" s="225" t="str">
        <f t="shared" si="2"/>
        <v>2022_2006</v>
      </c>
      <c r="E408" s="1226">
        <v>0.22748027410461899</v>
      </c>
      <c r="F408" s="1257">
        <v>2.1656324055306E-2</v>
      </c>
      <c r="G408" s="1280">
        <v>2.3069880656644101E-2</v>
      </c>
      <c r="H408" s="1271">
        <v>4.9643150813470998</v>
      </c>
      <c r="I408" s="1257">
        <v>0.48329417737578401</v>
      </c>
      <c r="J408" s="1280">
        <v>0.72070943712232705</v>
      </c>
      <c r="K408" s="1271">
        <v>7.8437092118444803E-3</v>
      </c>
      <c r="L408" s="1257">
        <v>2.20527534526894E-4</v>
      </c>
      <c r="M408" s="1280">
        <v>2.0557957647092501E-4</v>
      </c>
      <c r="N408" s="1271">
        <v>7.0626493809718598E-3</v>
      </c>
      <c r="O408" s="1257">
        <v>3.0000008598028201E-3</v>
      </c>
      <c r="P408" s="1257">
        <v>8.5929342242604696E-3</v>
      </c>
      <c r="Q408" s="1280">
        <v>7.0626493809718598E-3</v>
      </c>
      <c r="R408" s="1271">
        <v>3.8500011034136201E-2</v>
      </c>
      <c r="S408" s="1257">
        <v>3.8500011034136201E-2</v>
      </c>
      <c r="T408" s="1257">
        <v>3.8500011034136201E-2</v>
      </c>
      <c r="U408" s="1280">
        <v>1.9250005517068101E-2</v>
      </c>
      <c r="V408" s="1293">
        <v>8.1983669364599498E-3</v>
      </c>
    </row>
    <row r="409" spans="1:22" s="212" customFormat="1" ht="15.5" x14ac:dyDescent="0.35">
      <c r="A409" s="198">
        <v>2022</v>
      </c>
      <c r="B409" s="197" t="s">
        <v>5833</v>
      </c>
      <c r="C409" s="197">
        <v>2007</v>
      </c>
      <c r="D409" s="225" t="str">
        <f t="shared" si="2"/>
        <v>2022_2007</v>
      </c>
      <c r="E409" s="1226">
        <v>0.22748027410461899</v>
      </c>
      <c r="F409" s="1257">
        <v>2.1656324055306E-2</v>
      </c>
      <c r="G409" s="1280">
        <v>2.3069880656644101E-2</v>
      </c>
      <c r="H409" s="1271">
        <v>4.9643150813470998</v>
      </c>
      <c r="I409" s="1257">
        <v>0.48329417737578401</v>
      </c>
      <c r="J409" s="1280">
        <v>0.72070943712232705</v>
      </c>
      <c r="K409" s="1271">
        <v>7.8437092118444803E-3</v>
      </c>
      <c r="L409" s="1257">
        <v>2.20527534526894E-4</v>
      </c>
      <c r="M409" s="1280">
        <v>2.0557957647092501E-4</v>
      </c>
      <c r="N409" s="1271">
        <v>7.0626493809718598E-3</v>
      </c>
      <c r="O409" s="1257">
        <v>3.0000008598028201E-3</v>
      </c>
      <c r="P409" s="1257">
        <v>8.5929342242604696E-3</v>
      </c>
      <c r="Q409" s="1280">
        <v>7.0626493809718598E-3</v>
      </c>
      <c r="R409" s="1271">
        <v>3.8500011034136201E-2</v>
      </c>
      <c r="S409" s="1257">
        <v>3.8500011034136201E-2</v>
      </c>
      <c r="T409" s="1257">
        <v>3.8500011034136201E-2</v>
      </c>
      <c r="U409" s="1280">
        <v>1.9250005517068101E-2</v>
      </c>
      <c r="V409" s="1293">
        <v>8.1983669364599498E-3</v>
      </c>
    </row>
    <row r="410" spans="1:22" s="212" customFormat="1" ht="15.5" x14ac:dyDescent="0.35">
      <c r="A410" s="198">
        <v>2022</v>
      </c>
      <c r="B410" s="197" t="s">
        <v>5833</v>
      </c>
      <c r="C410" s="197">
        <v>2008</v>
      </c>
      <c r="D410" s="225" t="str">
        <f t="shared" si="2"/>
        <v>2022_2008</v>
      </c>
      <c r="E410" s="1231">
        <v>0.22748027410461899</v>
      </c>
      <c r="F410" s="1288">
        <v>2.1656324055306E-2</v>
      </c>
      <c r="G410" s="1306">
        <v>2.3069880656644101E-2</v>
      </c>
      <c r="H410" s="1303">
        <v>4.9643150813470998</v>
      </c>
      <c r="I410" s="1288">
        <v>0.48329417737578401</v>
      </c>
      <c r="J410" s="1306">
        <v>0.72070943712232705</v>
      </c>
      <c r="K410" s="1303">
        <v>7.8437092118444803E-3</v>
      </c>
      <c r="L410" s="1288">
        <v>2.20527534526894E-4</v>
      </c>
      <c r="M410" s="1306">
        <v>2.0557957647092501E-4</v>
      </c>
      <c r="N410" s="1303">
        <v>7.0626493809718598E-3</v>
      </c>
      <c r="O410" s="1288">
        <v>3.0000008598028201E-3</v>
      </c>
      <c r="P410" s="1288">
        <v>8.5929342242604696E-3</v>
      </c>
      <c r="Q410" s="1306">
        <v>3.0000008606209899E-3</v>
      </c>
      <c r="R410" s="1303">
        <v>3.8500011034136201E-2</v>
      </c>
      <c r="S410" s="1288">
        <v>3.8500011034136201E-2</v>
      </c>
      <c r="T410" s="1288">
        <v>3.8500011034136201E-2</v>
      </c>
      <c r="U410" s="1306">
        <v>1.9250005517068101E-2</v>
      </c>
      <c r="V410" s="1294">
        <v>8.1983669364599498E-3</v>
      </c>
    </row>
    <row r="411" spans="1:22" s="212" customFormat="1" ht="15.5" x14ac:dyDescent="0.35">
      <c r="A411" s="198">
        <v>2022</v>
      </c>
      <c r="B411" s="197" t="s">
        <v>5833</v>
      </c>
      <c r="C411" s="197">
        <v>2009</v>
      </c>
      <c r="D411" s="225" t="str">
        <f t="shared" si="2"/>
        <v>2022_2009</v>
      </c>
      <c r="E411" s="1231">
        <v>0.23408141370169799</v>
      </c>
      <c r="F411" s="1288">
        <v>2.16639770865323E-2</v>
      </c>
      <c r="G411" s="1306">
        <v>2.35036024921241E-2</v>
      </c>
      <c r="H411" s="1303">
        <v>4.9959257569659501</v>
      </c>
      <c r="I411" s="1288">
        <v>0.44857561833190002</v>
      </c>
      <c r="J411" s="1306">
        <v>0.73769572387124305</v>
      </c>
      <c r="K411" s="1303">
        <v>7.8884672716986199E-3</v>
      </c>
      <c r="L411" s="1288">
        <v>2.4771942369523399E-4</v>
      </c>
      <c r="M411" s="1306">
        <v>2.09063902272259E-4</v>
      </c>
      <c r="N411" s="1303">
        <v>7.0823227252416803E-3</v>
      </c>
      <c r="O411" s="1288">
        <v>3.0000008598028201E-3</v>
      </c>
      <c r="P411" s="1288">
        <v>8.2905168489693405E-3</v>
      </c>
      <c r="Q411" s="1306">
        <v>7.8198706855009195E-3</v>
      </c>
      <c r="R411" s="1303">
        <v>3.8500011034136201E-2</v>
      </c>
      <c r="S411" s="1288">
        <v>3.8500011034136201E-2</v>
      </c>
      <c r="T411" s="1288">
        <v>3.8500011034136201E-2</v>
      </c>
      <c r="U411" s="1306">
        <v>1.9250005517068101E-2</v>
      </c>
      <c r="V411" s="1294">
        <v>8.2451487571697495E-3</v>
      </c>
    </row>
    <row r="412" spans="1:22" s="212" customFormat="1" ht="15.5" x14ac:dyDescent="0.35">
      <c r="A412" s="198">
        <v>2022</v>
      </c>
      <c r="B412" s="197" t="s">
        <v>5833</v>
      </c>
      <c r="C412" s="197">
        <v>2010</v>
      </c>
      <c r="D412" s="225" t="str">
        <f t="shared" si="2"/>
        <v>2022_2010</v>
      </c>
      <c r="E412" s="1231">
        <v>7.3980379399605695E-2</v>
      </c>
      <c r="F412" s="1288">
        <v>2.1762872750666601E-2</v>
      </c>
      <c r="G412" s="1306">
        <v>2.2235398013513E-2</v>
      </c>
      <c r="H412" s="1303">
        <v>0.42395437768302002</v>
      </c>
      <c r="I412" s="1288">
        <v>0.42886484528131802</v>
      </c>
      <c r="J412" s="1306">
        <v>0.68026163779540405</v>
      </c>
      <c r="K412" s="1303">
        <v>7.5403422705782597E-3</v>
      </c>
      <c r="L412" s="1288">
        <v>3.0324537501417802E-4</v>
      </c>
      <c r="M412" s="1306">
        <v>1.9489590526738601E-4</v>
      </c>
      <c r="N412" s="1303">
        <v>8.8734998002355393E-3</v>
      </c>
      <c r="O412" s="1288">
        <v>3.0000008598028201E-3</v>
      </c>
      <c r="P412" s="1288">
        <v>7.4956994516754E-3</v>
      </c>
      <c r="Q412" s="1306">
        <v>8.9186934846127303E-3</v>
      </c>
      <c r="R412" s="1303">
        <v>3.8500011034136201E-2</v>
      </c>
      <c r="S412" s="1288">
        <v>3.8500011034136201E-2</v>
      </c>
      <c r="T412" s="1288">
        <v>3.8500011034136201E-2</v>
      </c>
      <c r="U412" s="1306">
        <v>1.9250005517068101E-2</v>
      </c>
      <c r="V412" s="1294">
        <v>7.8812830882805402E-3</v>
      </c>
    </row>
    <row r="413" spans="1:22" s="212" customFormat="1" ht="15.5" x14ac:dyDescent="0.35">
      <c r="A413" s="198">
        <v>2022</v>
      </c>
      <c r="B413" s="197" t="s">
        <v>5833</v>
      </c>
      <c r="C413" s="197">
        <v>2011</v>
      </c>
      <c r="D413" s="225" t="str">
        <f t="shared" si="2"/>
        <v>2022_2011</v>
      </c>
      <c r="E413" s="1231">
        <v>6.50777582069057E-2</v>
      </c>
      <c r="F413" s="1288">
        <v>1.43628010184135E-2</v>
      </c>
      <c r="G413" s="1306">
        <v>2.40500394339568E-2</v>
      </c>
      <c r="H413" s="1303">
        <v>0.35690890476231601</v>
      </c>
      <c r="I413" s="1288">
        <v>0.36076819305438301</v>
      </c>
      <c r="J413" s="1306">
        <v>0.75737378952474199</v>
      </c>
      <c r="K413" s="1303">
        <v>6.4420345976230198E-3</v>
      </c>
      <c r="L413" s="1288">
        <v>2.7481698806413902E-4</v>
      </c>
      <c r="M413" s="1306">
        <v>2.1379985062283801E-4</v>
      </c>
      <c r="N413" s="1303">
        <v>7.71728922414651E-3</v>
      </c>
      <c r="O413" s="1288">
        <v>3.0000008598028201E-3</v>
      </c>
      <c r="P413" s="1288">
        <v>8.3358074424524E-3</v>
      </c>
      <c r="Q413" s="1306">
        <v>4.2337495475846098E-3</v>
      </c>
      <c r="R413" s="1303">
        <v>3.8500011034136201E-2</v>
      </c>
      <c r="S413" s="1288">
        <v>3.8500011034136201E-2</v>
      </c>
      <c r="T413" s="1288">
        <v>3.8500011034136201E-2</v>
      </c>
      <c r="U413" s="1306">
        <v>1.9250005517068101E-2</v>
      </c>
      <c r="V413" s="1294">
        <v>6.7333148160223797E-3</v>
      </c>
    </row>
    <row r="414" spans="1:22" s="212" customFormat="1" ht="15.5" x14ac:dyDescent="0.35">
      <c r="A414" s="198">
        <v>2022</v>
      </c>
      <c r="B414" s="197" t="s">
        <v>5833</v>
      </c>
      <c r="C414" s="197">
        <v>2012</v>
      </c>
      <c r="D414" s="225" t="str">
        <f t="shared" si="2"/>
        <v>2022_2012</v>
      </c>
      <c r="E414" s="1231">
        <v>8.0529969216344505E-2</v>
      </c>
      <c r="F414" s="1288">
        <v>1.13788905524249E-2</v>
      </c>
      <c r="G414" s="1306">
        <v>2.2394369087301299E-2</v>
      </c>
      <c r="H414" s="1303">
        <v>0.51849257836622098</v>
      </c>
      <c r="I414" s="1288">
        <v>0.24132355683039999</v>
      </c>
      <c r="J414" s="1306">
        <v>0.68546612027768705</v>
      </c>
      <c r="K414" s="1303">
        <v>6.9452666881352296E-3</v>
      </c>
      <c r="L414" s="1288">
        <v>3.6640694384900801E-4</v>
      </c>
      <c r="M414" s="1306">
        <v>2.4591613247581601E-4</v>
      </c>
      <c r="N414" s="1303">
        <v>8.7108355679940894E-3</v>
      </c>
      <c r="O414" s="1288">
        <v>2.6689248499017302E-3</v>
      </c>
      <c r="P414" s="1288">
        <v>7.9627267653689694E-3</v>
      </c>
      <c r="Q414" s="1306">
        <v>7.8131195613863908E-3</v>
      </c>
      <c r="R414" s="1303">
        <v>3.8496427504470299E-2</v>
      </c>
      <c r="S414" s="1288">
        <v>3.6298355568293902E-2</v>
      </c>
      <c r="T414" s="1288">
        <v>3.8476832712128498E-2</v>
      </c>
      <c r="U414" s="1306">
        <v>1.9230668763514699E-2</v>
      </c>
      <c r="V414" s="1294">
        <v>7.2593008286082304E-3</v>
      </c>
    </row>
    <row r="415" spans="1:22" s="212" customFormat="1" ht="15.5" x14ac:dyDescent="0.35">
      <c r="A415" s="198">
        <v>2022</v>
      </c>
      <c r="B415" s="197" t="s">
        <v>5833</v>
      </c>
      <c r="C415" s="197">
        <v>2013</v>
      </c>
      <c r="D415" s="225" t="str">
        <f t="shared" si="2"/>
        <v>2022_2013</v>
      </c>
      <c r="E415" s="1231">
        <v>7.0333288106764993E-2</v>
      </c>
      <c r="F415" s="1288">
        <v>7.0798872340481203E-3</v>
      </c>
      <c r="G415" s="1306">
        <v>2.4443422830789201E-2</v>
      </c>
      <c r="H415" s="1303">
        <v>0.39937470513133</v>
      </c>
      <c r="I415" s="1288">
        <v>0.113660778077187</v>
      </c>
      <c r="J415" s="1306">
        <v>0.72266436922850097</v>
      </c>
      <c r="K415" s="1303">
        <v>7.0236871406646603E-3</v>
      </c>
      <c r="L415" s="1288">
        <v>5.0212246009371402E-4</v>
      </c>
      <c r="M415" s="1306">
        <v>6.0815617528016397E-4</v>
      </c>
      <c r="N415" s="1303">
        <v>8.3326128222125807E-3</v>
      </c>
      <c r="O415" s="1288">
        <v>2.26112431585855E-3</v>
      </c>
      <c r="P415" s="1288">
        <v>8.0048680034757007E-3</v>
      </c>
      <c r="Q415" s="1306">
        <v>3.8922596037388102E-3</v>
      </c>
      <c r="R415" s="1303">
        <v>3.8493870330217499E-2</v>
      </c>
      <c r="S415" s="1288">
        <v>3.3586482016906803E-2</v>
      </c>
      <c r="T415" s="1288">
        <v>3.83401773034453E-2</v>
      </c>
      <c r="U415" s="1306">
        <v>1.9238007675286099E-2</v>
      </c>
      <c r="V415" s="1294">
        <v>7.3412671060154198E-3</v>
      </c>
    </row>
    <row r="416" spans="1:22" s="212" customFormat="1" ht="15.5" x14ac:dyDescent="0.35">
      <c r="A416" s="198">
        <v>2022</v>
      </c>
      <c r="B416" s="197" t="s">
        <v>5833</v>
      </c>
      <c r="C416" s="197">
        <v>2014</v>
      </c>
      <c r="D416" s="225" t="str">
        <f t="shared" si="2"/>
        <v>2022_2014</v>
      </c>
      <c r="E416" s="1231">
        <v>6.6871732680144097E-2</v>
      </c>
      <c r="F416" s="1288">
        <v>7.7010417407415302E-3</v>
      </c>
      <c r="G416" s="1306">
        <v>2.6026111340123601E-2</v>
      </c>
      <c r="H416" s="1303">
        <v>0.38616338426803498</v>
      </c>
      <c r="I416" s="1288">
        <v>7.2679172028992003E-2</v>
      </c>
      <c r="J416" s="1306">
        <v>0.81327908440706298</v>
      </c>
      <c r="K416" s="1303">
        <v>6.3384341586527398E-3</v>
      </c>
      <c r="L416" s="1288">
        <v>7.1683609828953796E-4</v>
      </c>
      <c r="M416" s="1306">
        <v>3.8216165043553101E-4</v>
      </c>
      <c r="N416" s="1303">
        <v>7.6321509609108404E-3</v>
      </c>
      <c r="O416" s="1288">
        <v>2.1367220253360598E-3</v>
      </c>
      <c r="P416" s="1288">
        <v>8.5846953190263798E-3</v>
      </c>
      <c r="Q416" s="1306">
        <v>8.3519267598167694E-3</v>
      </c>
      <c r="R416" s="1303">
        <v>3.8495644604223903E-2</v>
      </c>
      <c r="S416" s="1288">
        <v>3.2759206784932202E-2</v>
      </c>
      <c r="T416" s="1288">
        <v>3.8443696915343703E-2</v>
      </c>
      <c r="U416" s="1306">
        <v>1.9228945827987499E-2</v>
      </c>
      <c r="V416" s="1294">
        <v>6.6250300249219999E-3</v>
      </c>
    </row>
    <row r="417" spans="1:22" s="212" customFormat="1" ht="15.5" x14ac:dyDescent="0.35">
      <c r="A417" s="198">
        <v>2022</v>
      </c>
      <c r="B417" s="197" t="s">
        <v>5833</v>
      </c>
      <c r="C417" s="197">
        <v>2015</v>
      </c>
      <c r="D417" s="225" t="str">
        <f t="shared" si="2"/>
        <v>2022_2015</v>
      </c>
      <c r="E417" s="1231">
        <v>6.9561040878870203E-2</v>
      </c>
      <c r="F417" s="1288">
        <v>1.11438786799319E-2</v>
      </c>
      <c r="G417" s="1306">
        <v>2.4012551713072101E-2</v>
      </c>
      <c r="H417" s="1303">
        <v>0.40059111485341198</v>
      </c>
      <c r="I417" s="1288">
        <v>0.176867247433703</v>
      </c>
      <c r="J417" s="1306">
        <v>0.73095027725163797</v>
      </c>
      <c r="K417" s="1303">
        <v>6.7487422505871503E-3</v>
      </c>
      <c r="L417" s="1288">
        <v>1.02217952579439E-3</v>
      </c>
      <c r="M417" s="1306">
        <v>3.79063773049378E-4</v>
      </c>
      <c r="N417" s="1303">
        <v>8.08963182934949E-3</v>
      </c>
      <c r="O417" s="1288">
        <v>2.5488370124136799E-3</v>
      </c>
      <c r="P417" s="1288">
        <v>7.6554203626222998E-3</v>
      </c>
      <c r="Q417" s="1306">
        <v>7.0764407049211204E-3</v>
      </c>
      <c r="R417" s="1303">
        <v>3.8481888326502497E-2</v>
      </c>
      <c r="S417" s="1288">
        <v>3.54997714489984E-2</v>
      </c>
      <c r="T417" s="1288">
        <v>3.84036317540861E-2</v>
      </c>
      <c r="U417" s="1306">
        <v>1.9167935893848399E-2</v>
      </c>
      <c r="V417" s="1294">
        <v>7.0538904280584899E-3</v>
      </c>
    </row>
    <row r="418" spans="1:22" s="212" customFormat="1" ht="15.5" x14ac:dyDescent="0.35">
      <c r="A418" s="198">
        <v>2022</v>
      </c>
      <c r="B418" s="197" t="s">
        <v>5833</v>
      </c>
      <c r="C418" s="197">
        <v>2016</v>
      </c>
      <c r="D418" s="225" t="str">
        <f t="shared" si="2"/>
        <v>2022_2016</v>
      </c>
      <c r="E418" s="1231">
        <v>6.8813450967351697E-2</v>
      </c>
      <c r="F418" s="1288">
        <v>5.7979385539696296E-3</v>
      </c>
      <c r="G418" s="1306">
        <v>2.6753785304180398E-2</v>
      </c>
      <c r="H418" s="1303">
        <v>0.38447611066199999</v>
      </c>
      <c r="I418" s="1288">
        <v>8.4739466826441401E-2</v>
      </c>
      <c r="J418" s="1306">
        <v>0.84366587763053202</v>
      </c>
      <c r="K418" s="1303">
        <v>6.94267010542279E-3</v>
      </c>
      <c r="L418" s="1288">
        <v>9.8191982013834996E-4</v>
      </c>
      <c r="M418" s="1306">
        <v>3.53232635031324E-4</v>
      </c>
      <c r="N418" s="1303">
        <v>8.2117804972583908E-3</v>
      </c>
      <c r="O418" s="1288">
        <v>2.2085237200317599E-3</v>
      </c>
      <c r="P418" s="1288">
        <v>8.4738214777924908E-3</v>
      </c>
      <c r="Q418" s="1306">
        <v>7.95695856579187E-3</v>
      </c>
      <c r="R418" s="1303">
        <v>3.84958616135E-2</v>
      </c>
      <c r="S418" s="1288">
        <v>3.3236688054658597E-2</v>
      </c>
      <c r="T418" s="1288">
        <v>3.8449978524626803E-2</v>
      </c>
      <c r="U418" s="1306">
        <v>1.9243523638359E-2</v>
      </c>
      <c r="V418" s="1294">
        <v>7.2565868399476902E-3</v>
      </c>
    </row>
    <row r="419" spans="1:22" s="212" customFormat="1" ht="15.5" x14ac:dyDescent="0.35">
      <c r="A419" s="198">
        <v>2022</v>
      </c>
      <c r="B419" s="197" t="s">
        <v>5833</v>
      </c>
      <c r="C419" s="197">
        <v>2017</v>
      </c>
      <c r="D419" s="225" t="str">
        <f t="shared" si="2"/>
        <v>2022_2017</v>
      </c>
      <c r="E419" s="1231">
        <v>6.5916537468932099E-2</v>
      </c>
      <c r="F419" s="1288">
        <v>1.08421575006889E-2</v>
      </c>
      <c r="G419" s="1306">
        <v>2.2175098941477699E-2</v>
      </c>
      <c r="H419" s="1303">
        <v>0.36364555859919601</v>
      </c>
      <c r="I419" s="1288">
        <v>0.13645336818333301</v>
      </c>
      <c r="J419" s="1306">
        <v>0.51232793712864799</v>
      </c>
      <c r="K419" s="1303">
        <v>6.5637550990045998E-3</v>
      </c>
      <c r="L419" s="1288">
        <v>1.27079622096833E-3</v>
      </c>
      <c r="M419" s="1306">
        <v>1.2604122588697701E-3</v>
      </c>
      <c r="N419" s="1303">
        <v>7.8255510763968993E-3</v>
      </c>
      <c r="O419" s="1288">
        <v>2.4876782578978599E-3</v>
      </c>
      <c r="P419" s="1288">
        <v>6.84590347907488E-3</v>
      </c>
      <c r="Q419" s="1306">
        <v>8.0174328048109502E-3</v>
      </c>
      <c r="R419" s="1303">
        <v>3.8498015894693802E-2</v>
      </c>
      <c r="S419" s="1288">
        <v>3.5093065731468198E-2</v>
      </c>
      <c r="T419" s="1288">
        <v>3.7696008183240898E-2</v>
      </c>
      <c r="U419" s="1306">
        <v>1.90904064375991E-2</v>
      </c>
      <c r="V419" s="1294">
        <v>6.8605389783497001E-3</v>
      </c>
    </row>
    <row r="420" spans="1:22" s="212" customFormat="1" ht="15.5" x14ac:dyDescent="0.35">
      <c r="A420" s="198">
        <v>2022</v>
      </c>
      <c r="B420" s="197" t="s">
        <v>5833</v>
      </c>
      <c r="C420" s="197">
        <v>2018</v>
      </c>
      <c r="D420" s="225" t="str">
        <f t="shared" si="2"/>
        <v>2022_2018</v>
      </c>
      <c r="E420" s="1231">
        <v>6.9055936014865302E-2</v>
      </c>
      <c r="F420" s="1288">
        <v>9.2865093494595204E-3</v>
      </c>
      <c r="G420" s="1306">
        <v>5.4966586872540503E-2</v>
      </c>
      <c r="H420" s="1303">
        <v>0.385046698069127</v>
      </c>
      <c r="I420" s="1288">
        <v>0.12600629158371099</v>
      </c>
      <c r="J420" s="1306">
        <v>0.112412033869809</v>
      </c>
      <c r="K420" s="1303">
        <v>6.9899035654082597E-3</v>
      </c>
      <c r="L420" s="1288">
        <v>1.24486452380365E-3</v>
      </c>
      <c r="M420" s="1306">
        <v>1.20206813338653E-3</v>
      </c>
      <c r="N420" s="1303">
        <v>8.2482763103661604E-3</v>
      </c>
      <c r="O420" s="1288">
        <v>2.4788674284457598E-3</v>
      </c>
      <c r="P420" s="1288">
        <v>7.1518389140904403E-3</v>
      </c>
      <c r="Q420" s="1306">
        <v>7.9389976672573706E-3</v>
      </c>
      <c r="R420" s="1303">
        <v>3.8487927441084202E-2</v>
      </c>
      <c r="S420" s="1288">
        <v>3.5034473715611698E-2</v>
      </c>
      <c r="T420" s="1288">
        <v>3.7881050835453497E-2</v>
      </c>
      <c r="U420" s="1306">
        <v>1.9240847680182201E-2</v>
      </c>
      <c r="V420" s="1294">
        <v>7.30595598739833E-3</v>
      </c>
    </row>
    <row r="421" spans="1:22" s="212" customFormat="1" ht="15.5" x14ac:dyDescent="0.35">
      <c r="A421" s="198">
        <v>2022</v>
      </c>
      <c r="B421" s="197" t="s">
        <v>5833</v>
      </c>
      <c r="C421" s="197">
        <v>2019</v>
      </c>
      <c r="D421" s="225" t="str">
        <f t="shared" si="2"/>
        <v>2022_2019</v>
      </c>
      <c r="E421" s="1231">
        <v>7.1706815589157494E-2</v>
      </c>
      <c r="F421" s="1288">
        <v>8.0393882162353193E-3</v>
      </c>
      <c r="G421" s="1306">
        <v>5.2350957021396902E-2</v>
      </c>
      <c r="H421" s="1303">
        <v>0.404418805523789</v>
      </c>
      <c r="I421" s="1288">
        <v>7.2624515748876198E-2</v>
      </c>
      <c r="J421" s="1306">
        <v>0.107631509944919</v>
      </c>
      <c r="K421" s="1303">
        <v>7.2976667864453702E-3</v>
      </c>
      <c r="L421" s="1288">
        <v>1.25956881475028E-3</v>
      </c>
      <c r="M421" s="1306">
        <v>7.0392652866954001E-4</v>
      </c>
      <c r="N421" s="1303">
        <v>8.5784756094915704E-3</v>
      </c>
      <c r="O421" s="1288">
        <v>2.2678037618185701E-3</v>
      </c>
      <c r="P421" s="1288">
        <v>6.9472013974099999E-3</v>
      </c>
      <c r="Q421" s="1306">
        <v>6.5198277035009699E-3</v>
      </c>
      <c r="R421" s="1303">
        <v>3.8479142353279497E-2</v>
      </c>
      <c r="S421" s="1288">
        <v>3.3630900332541E-2</v>
      </c>
      <c r="T421" s="1288">
        <v>3.8313426153581E-2</v>
      </c>
      <c r="U421" s="1306">
        <v>1.91759402311482E-2</v>
      </c>
      <c r="V421" s="1294">
        <v>7.6276348956116702E-3</v>
      </c>
    </row>
    <row r="422" spans="1:22" s="212" customFormat="1" ht="15.5" x14ac:dyDescent="0.35">
      <c r="A422" s="198">
        <v>2022</v>
      </c>
      <c r="B422" s="197" t="s">
        <v>5833</v>
      </c>
      <c r="C422" s="197">
        <v>2020</v>
      </c>
      <c r="D422" s="225" t="str">
        <f t="shared" si="2"/>
        <v>2022_2020</v>
      </c>
      <c r="E422" s="1231">
        <v>6.9715390088697995E-2</v>
      </c>
      <c r="F422" s="1288">
        <v>1.14500543522526E-2</v>
      </c>
      <c r="G422" s="1306">
        <v>6.2726279121641096E-2</v>
      </c>
      <c r="H422" s="1303">
        <v>0.377635235327136</v>
      </c>
      <c r="I422" s="1288">
        <v>0.115225988068927</v>
      </c>
      <c r="J422" s="1306">
        <v>0.10961491779688901</v>
      </c>
      <c r="K422" s="1303">
        <v>7.1166785959147997E-3</v>
      </c>
      <c r="L422" s="1288">
        <v>1.42661175499741E-3</v>
      </c>
      <c r="M422" s="1306">
        <v>4.9258485636272001E-4</v>
      </c>
      <c r="N422" s="1303">
        <v>7.9833333791551695E-3</v>
      </c>
      <c r="O422" s="1288">
        <v>2.5564819342454299E-3</v>
      </c>
      <c r="P422" s="1288">
        <v>8.4038559383648494E-3</v>
      </c>
      <c r="Q422" s="1280">
        <v>7.9833333791551695E-3</v>
      </c>
      <c r="R422" s="1303">
        <v>3.8201433945546703E-2</v>
      </c>
      <c r="S422" s="1288">
        <v>3.5550610179179501E-2</v>
      </c>
      <c r="T422" s="1288">
        <v>3.84339654728112E-2</v>
      </c>
      <c r="U422" s="1280">
        <v>1.9100716972773352E-2</v>
      </c>
      <c r="V422" s="1294">
        <v>7.4384632222284997E-3</v>
      </c>
    </row>
    <row r="423" spans="1:22" s="212" customFormat="1" ht="15.5" x14ac:dyDescent="0.35">
      <c r="A423" s="198">
        <v>2022</v>
      </c>
      <c r="B423" s="197" t="s">
        <v>5833</v>
      </c>
      <c r="C423" s="197">
        <v>2021</v>
      </c>
      <c r="D423" s="225" t="str">
        <f t="shared" si="2"/>
        <v>2022_2021</v>
      </c>
      <c r="E423" s="1231">
        <v>4.6927826357757697E-2</v>
      </c>
      <c r="F423" s="1288">
        <v>9.6822051041768296E-3</v>
      </c>
      <c r="G423" s="1306">
        <v>6.1585211775514598E-2</v>
      </c>
      <c r="H423" s="1303">
        <v>0.22412859892314599</v>
      </c>
      <c r="I423" s="1288">
        <v>8.7338079427569798E-2</v>
      </c>
      <c r="J423" s="1306">
        <v>0.10885400930064</v>
      </c>
      <c r="K423" s="1303">
        <v>4.0849279989552002E-3</v>
      </c>
      <c r="L423" s="1288">
        <v>1.2939012893622801E-3</v>
      </c>
      <c r="M423" s="1306">
        <v>4.5311433649534403E-4</v>
      </c>
      <c r="N423" s="1303">
        <v>5.2005573391863298E-3</v>
      </c>
      <c r="O423" s="1288">
        <v>2.4976610123983601E-3</v>
      </c>
      <c r="P423" s="1288">
        <v>8.0760966133595798E-3</v>
      </c>
      <c r="Q423" s="1280">
        <v>5.2005573391863298E-3</v>
      </c>
      <c r="R423" s="1303">
        <v>3.8454039666674697E-2</v>
      </c>
      <c r="S423" s="1288">
        <v>3.5159451048896499E-2</v>
      </c>
      <c r="T423" s="1288">
        <v>3.8444897841275902E-2</v>
      </c>
      <c r="U423" s="1280">
        <v>1.9227019833337348E-2</v>
      </c>
      <c r="V423" s="1294">
        <v>4.2696303164684304E-3</v>
      </c>
    </row>
    <row r="424" spans="1:22" s="212" customFormat="1" ht="15.5" x14ac:dyDescent="0.35">
      <c r="A424" s="198">
        <v>2022</v>
      </c>
      <c r="B424" s="197" t="s">
        <v>5833</v>
      </c>
      <c r="C424" s="197">
        <v>2022</v>
      </c>
      <c r="D424" s="225" t="str">
        <f t="shared" si="2"/>
        <v>2022_2022</v>
      </c>
      <c r="E424" s="1231">
        <v>5.2087400964349197E-2</v>
      </c>
      <c r="F424" s="1288">
        <v>1.1937687970805499E-2</v>
      </c>
      <c r="G424" s="1306">
        <v>6.4171917269814693E-2</v>
      </c>
      <c r="H424" s="1303">
        <v>0.25761278567567603</v>
      </c>
      <c r="I424" s="1288">
        <v>9.7295322149125105E-2</v>
      </c>
      <c r="J424" s="1306">
        <v>0.128667365086928</v>
      </c>
      <c r="K424" s="1303">
        <v>4.7164815780163004E-3</v>
      </c>
      <c r="L424" s="1288">
        <v>1.3751375563422099E-3</v>
      </c>
      <c r="M424" s="1306">
        <v>4.8096248595057701E-4</v>
      </c>
      <c r="N424" s="1303">
        <v>5.8291303326976603E-3</v>
      </c>
      <c r="O424" s="1288">
        <v>2.7293186313072002E-3</v>
      </c>
      <c r="P424" s="1288">
        <v>8.5023565942144701E-3</v>
      </c>
      <c r="Q424" s="1280">
        <v>5.8291303326976603E-3</v>
      </c>
      <c r="R424" s="1303">
        <v>3.8389620268812097E-2</v>
      </c>
      <c r="S424" s="1288">
        <v>3.6699974214640302E-2</v>
      </c>
      <c r="T424" s="1288">
        <v>3.8456708920411802E-2</v>
      </c>
      <c r="U424" s="1280">
        <v>1.9194810134406048E-2</v>
      </c>
      <c r="V424" s="1294">
        <v>4.9297399458971599E-3</v>
      </c>
    </row>
    <row r="425" spans="1:22" s="212" customFormat="1" ht="15.5" x14ac:dyDescent="0.35">
      <c r="A425" s="198">
        <v>2022</v>
      </c>
      <c r="B425" s="197" t="s">
        <v>5833</v>
      </c>
      <c r="C425" s="197">
        <v>2023</v>
      </c>
      <c r="D425" s="225" t="str">
        <f t="shared" si="2"/>
        <v>2022_2023</v>
      </c>
      <c r="E425" s="1226">
        <v>5.2087400964349197E-2</v>
      </c>
      <c r="F425" s="1257">
        <v>1.1937687970805499E-2</v>
      </c>
      <c r="G425" s="1280">
        <v>6.4171917269814693E-2</v>
      </c>
      <c r="H425" s="1271">
        <v>0.25761278567567603</v>
      </c>
      <c r="I425" s="1257">
        <v>9.7295322149125105E-2</v>
      </c>
      <c r="J425" s="1280">
        <v>0.128667365086928</v>
      </c>
      <c r="K425" s="1271">
        <v>4.7164815780163004E-3</v>
      </c>
      <c r="L425" s="1257">
        <v>1.3751375563422099E-3</v>
      </c>
      <c r="M425" s="1280">
        <v>4.8096248595057701E-4</v>
      </c>
      <c r="N425" s="1271">
        <v>5.8291303326976603E-3</v>
      </c>
      <c r="O425" s="1257">
        <v>2.7293186313072002E-3</v>
      </c>
      <c r="P425" s="1257">
        <v>8.5023565942144701E-3</v>
      </c>
      <c r="Q425" s="1280">
        <v>5.8291303326976603E-3</v>
      </c>
      <c r="R425" s="1271">
        <v>3.8389620268812097E-2</v>
      </c>
      <c r="S425" s="1257">
        <v>3.6699974214640302E-2</v>
      </c>
      <c r="T425" s="1257">
        <v>3.8456708920411802E-2</v>
      </c>
      <c r="U425" s="1280">
        <v>1.9194810134406048E-2</v>
      </c>
      <c r="V425" s="1293">
        <v>4.9297399458971599E-3</v>
      </c>
    </row>
    <row r="426" spans="1:22" s="212" customFormat="1" ht="15.5" x14ac:dyDescent="0.35">
      <c r="A426" s="198">
        <v>2023</v>
      </c>
      <c r="B426" s="197" t="s">
        <v>5833</v>
      </c>
      <c r="C426" s="197">
        <v>1971</v>
      </c>
      <c r="D426" s="225" t="str">
        <f t="shared" si="2"/>
        <v>2023_1971</v>
      </c>
      <c r="E426" s="1226">
        <v>0.23408141175445099</v>
      </c>
      <c r="F426" s="1257">
        <v>2.16638231526993E-2</v>
      </c>
      <c r="G426" s="1280">
        <v>2.3503535486024199E-2</v>
      </c>
      <c r="H426" s="1271">
        <v>4.9959257465615501</v>
      </c>
      <c r="I426" s="1257">
        <v>0.48339697744865301</v>
      </c>
      <c r="J426" s="1280">
        <v>0.73769253561592096</v>
      </c>
      <c r="K426" s="1271">
        <v>7.8884672476668295E-3</v>
      </c>
      <c r="L426" s="1257">
        <v>2.4771766330472099E-4</v>
      </c>
      <c r="M426" s="1280">
        <v>2.0906319590298901E-4</v>
      </c>
      <c r="N426" s="1271">
        <v>7.0823227252416803E-3</v>
      </c>
      <c r="O426" s="1257">
        <v>3.0000008598028201E-3</v>
      </c>
      <c r="P426" s="1257">
        <v>8.2905168489693405E-3</v>
      </c>
      <c r="Q426" s="1280">
        <v>7.0823227252416803E-3</v>
      </c>
      <c r="R426" s="1271">
        <v>3.8500011034136201E-2</v>
      </c>
      <c r="S426" s="1257">
        <v>3.8500011034136201E-2</v>
      </c>
      <c r="T426" s="1257">
        <v>3.8500011034136201E-2</v>
      </c>
      <c r="U426" s="1280">
        <v>1.9250005517068101E-2</v>
      </c>
      <c r="V426" s="1293">
        <v>8.2451487320513508E-3</v>
      </c>
    </row>
    <row r="427" spans="1:22" s="212" customFormat="1" ht="15.5" x14ac:dyDescent="0.35">
      <c r="A427" s="198">
        <v>2023</v>
      </c>
      <c r="B427" s="197" t="s">
        <v>5833</v>
      </c>
      <c r="C427" s="197">
        <v>1972</v>
      </c>
      <c r="D427" s="225" t="str">
        <f t="shared" si="2"/>
        <v>2023_1972</v>
      </c>
      <c r="E427" s="1226">
        <v>0.23408141175445099</v>
      </c>
      <c r="F427" s="1257">
        <v>2.16638231526993E-2</v>
      </c>
      <c r="G427" s="1280">
        <v>2.3503535486024199E-2</v>
      </c>
      <c r="H427" s="1271">
        <v>4.9959257465615501</v>
      </c>
      <c r="I427" s="1257">
        <v>0.48339697744865301</v>
      </c>
      <c r="J427" s="1280">
        <v>0.73769253561592096</v>
      </c>
      <c r="K427" s="1271">
        <v>7.8884672476668295E-3</v>
      </c>
      <c r="L427" s="1257">
        <v>2.4771766330472099E-4</v>
      </c>
      <c r="M427" s="1280">
        <v>2.0906319590298901E-4</v>
      </c>
      <c r="N427" s="1271">
        <v>7.0823227252416803E-3</v>
      </c>
      <c r="O427" s="1257">
        <v>3.0000008598028201E-3</v>
      </c>
      <c r="P427" s="1257">
        <v>8.2905168489693405E-3</v>
      </c>
      <c r="Q427" s="1280">
        <v>7.0823227252416803E-3</v>
      </c>
      <c r="R427" s="1271">
        <v>3.8500011034136201E-2</v>
      </c>
      <c r="S427" s="1257">
        <v>3.8500011034136201E-2</v>
      </c>
      <c r="T427" s="1257">
        <v>3.8500011034136201E-2</v>
      </c>
      <c r="U427" s="1280">
        <v>1.9250005517068101E-2</v>
      </c>
      <c r="V427" s="1293">
        <v>8.2451487320513508E-3</v>
      </c>
    </row>
    <row r="428" spans="1:22" s="212" customFormat="1" ht="15.5" x14ac:dyDescent="0.35">
      <c r="A428" s="198">
        <v>2023</v>
      </c>
      <c r="B428" s="197" t="s">
        <v>5833</v>
      </c>
      <c r="C428" s="197">
        <v>1973</v>
      </c>
      <c r="D428" s="225" t="str">
        <f t="shared" si="2"/>
        <v>2023_1973</v>
      </c>
      <c r="E428" s="1226">
        <v>0.23408141175445099</v>
      </c>
      <c r="F428" s="1257">
        <v>2.16638231526993E-2</v>
      </c>
      <c r="G428" s="1280">
        <v>2.3503535486024199E-2</v>
      </c>
      <c r="H428" s="1271">
        <v>4.9959257465615501</v>
      </c>
      <c r="I428" s="1257">
        <v>0.48339697744865301</v>
      </c>
      <c r="J428" s="1280">
        <v>0.73769253561592096</v>
      </c>
      <c r="K428" s="1271">
        <v>7.8884672476668295E-3</v>
      </c>
      <c r="L428" s="1257">
        <v>2.4771766330472099E-4</v>
      </c>
      <c r="M428" s="1280">
        <v>2.0906319590298901E-4</v>
      </c>
      <c r="N428" s="1271">
        <v>7.0823227252416803E-3</v>
      </c>
      <c r="O428" s="1257">
        <v>3.0000008598028201E-3</v>
      </c>
      <c r="P428" s="1257">
        <v>8.2905168489693405E-3</v>
      </c>
      <c r="Q428" s="1280">
        <v>7.0823227252416803E-3</v>
      </c>
      <c r="R428" s="1271">
        <v>3.8500011034136201E-2</v>
      </c>
      <c r="S428" s="1257">
        <v>3.8500011034136201E-2</v>
      </c>
      <c r="T428" s="1257">
        <v>3.8500011034136201E-2</v>
      </c>
      <c r="U428" s="1280">
        <v>1.9250005517068101E-2</v>
      </c>
      <c r="V428" s="1293">
        <v>8.2451487320513508E-3</v>
      </c>
    </row>
    <row r="429" spans="1:22" s="212" customFormat="1" ht="15.5" x14ac:dyDescent="0.35">
      <c r="A429" s="198">
        <v>2023</v>
      </c>
      <c r="B429" s="197" t="s">
        <v>5833</v>
      </c>
      <c r="C429" s="197">
        <v>1974</v>
      </c>
      <c r="D429" s="225" t="str">
        <f t="shared" si="2"/>
        <v>2023_1974</v>
      </c>
      <c r="E429" s="1226">
        <v>0.23408141175445099</v>
      </c>
      <c r="F429" s="1257">
        <v>2.16638231526993E-2</v>
      </c>
      <c r="G429" s="1280">
        <v>2.3503535486024199E-2</v>
      </c>
      <c r="H429" s="1271">
        <v>4.9959257465615501</v>
      </c>
      <c r="I429" s="1257">
        <v>0.48339697744865301</v>
      </c>
      <c r="J429" s="1280">
        <v>0.73769253561592096</v>
      </c>
      <c r="K429" s="1271">
        <v>7.8884672476668295E-3</v>
      </c>
      <c r="L429" s="1257">
        <v>2.4771766330472099E-4</v>
      </c>
      <c r="M429" s="1280">
        <v>2.0906319590298901E-4</v>
      </c>
      <c r="N429" s="1271">
        <v>7.0823227252416803E-3</v>
      </c>
      <c r="O429" s="1257">
        <v>3.0000008598028201E-3</v>
      </c>
      <c r="P429" s="1257">
        <v>8.2905168489693405E-3</v>
      </c>
      <c r="Q429" s="1280">
        <v>7.0823227252416803E-3</v>
      </c>
      <c r="R429" s="1271">
        <v>3.8500011034136201E-2</v>
      </c>
      <c r="S429" s="1257">
        <v>3.8500011034136201E-2</v>
      </c>
      <c r="T429" s="1257">
        <v>3.8500011034136201E-2</v>
      </c>
      <c r="U429" s="1280">
        <v>1.9250005517068101E-2</v>
      </c>
      <c r="V429" s="1293">
        <v>8.2451487320513508E-3</v>
      </c>
    </row>
    <row r="430" spans="1:22" s="212" customFormat="1" ht="15.5" x14ac:dyDescent="0.35">
      <c r="A430" s="198">
        <v>2023</v>
      </c>
      <c r="B430" s="197" t="s">
        <v>5833</v>
      </c>
      <c r="C430" s="197">
        <v>1975</v>
      </c>
      <c r="D430" s="225" t="str">
        <f t="shared" si="2"/>
        <v>2023_1975</v>
      </c>
      <c r="E430" s="1226">
        <v>0.23408141175445099</v>
      </c>
      <c r="F430" s="1257">
        <v>2.16638231526993E-2</v>
      </c>
      <c r="G430" s="1280">
        <v>2.3503535486024199E-2</v>
      </c>
      <c r="H430" s="1271">
        <v>4.9959257465615501</v>
      </c>
      <c r="I430" s="1257">
        <v>0.48339697744865301</v>
      </c>
      <c r="J430" s="1280">
        <v>0.73769253561592096</v>
      </c>
      <c r="K430" s="1271">
        <v>7.8884672476668295E-3</v>
      </c>
      <c r="L430" s="1257">
        <v>2.4771766330472099E-4</v>
      </c>
      <c r="M430" s="1280">
        <v>2.0906319590298901E-4</v>
      </c>
      <c r="N430" s="1271">
        <v>7.0823227252416803E-3</v>
      </c>
      <c r="O430" s="1257">
        <v>3.0000008598028201E-3</v>
      </c>
      <c r="P430" s="1257">
        <v>8.2905168489693405E-3</v>
      </c>
      <c r="Q430" s="1280">
        <v>7.0823227252416803E-3</v>
      </c>
      <c r="R430" s="1271">
        <v>3.8500011034136201E-2</v>
      </c>
      <c r="S430" s="1257">
        <v>3.8500011034136201E-2</v>
      </c>
      <c r="T430" s="1257">
        <v>3.8500011034136201E-2</v>
      </c>
      <c r="U430" s="1280">
        <v>1.9250005517068101E-2</v>
      </c>
      <c r="V430" s="1293">
        <v>8.2451487320513508E-3</v>
      </c>
    </row>
    <row r="431" spans="1:22" s="212" customFormat="1" ht="15.5" x14ac:dyDescent="0.35">
      <c r="A431" s="198">
        <v>2023</v>
      </c>
      <c r="B431" s="197" t="s">
        <v>5833</v>
      </c>
      <c r="C431" s="197">
        <v>1976</v>
      </c>
      <c r="D431" s="225" t="str">
        <f t="shared" si="2"/>
        <v>2023_1976</v>
      </c>
      <c r="E431" s="1226">
        <v>0.23408141175445099</v>
      </c>
      <c r="F431" s="1257">
        <v>2.16638231526993E-2</v>
      </c>
      <c r="G431" s="1280">
        <v>2.3503535486024199E-2</v>
      </c>
      <c r="H431" s="1271">
        <v>4.9959257465615501</v>
      </c>
      <c r="I431" s="1257">
        <v>0.48339697744865301</v>
      </c>
      <c r="J431" s="1280">
        <v>0.73769253561592096</v>
      </c>
      <c r="K431" s="1271">
        <v>7.8884672476668295E-3</v>
      </c>
      <c r="L431" s="1257">
        <v>2.4771766330472099E-4</v>
      </c>
      <c r="M431" s="1280">
        <v>2.0906319590298901E-4</v>
      </c>
      <c r="N431" s="1271">
        <v>7.0823227252416803E-3</v>
      </c>
      <c r="O431" s="1257">
        <v>3.0000008598028201E-3</v>
      </c>
      <c r="P431" s="1257">
        <v>8.2905168489693405E-3</v>
      </c>
      <c r="Q431" s="1280">
        <v>7.0823227252416803E-3</v>
      </c>
      <c r="R431" s="1271">
        <v>3.8500011034136201E-2</v>
      </c>
      <c r="S431" s="1257">
        <v>3.8500011034136201E-2</v>
      </c>
      <c r="T431" s="1257">
        <v>3.8500011034136201E-2</v>
      </c>
      <c r="U431" s="1280">
        <v>1.9250005517068101E-2</v>
      </c>
      <c r="V431" s="1293">
        <v>8.2451487320513508E-3</v>
      </c>
    </row>
    <row r="432" spans="1:22" s="212" customFormat="1" ht="15.5" x14ac:dyDescent="0.35">
      <c r="A432" s="198">
        <v>2023</v>
      </c>
      <c r="B432" s="197" t="s">
        <v>5833</v>
      </c>
      <c r="C432" s="197">
        <v>1977</v>
      </c>
      <c r="D432" s="225" t="str">
        <f t="shared" si="2"/>
        <v>2023_1977</v>
      </c>
      <c r="E432" s="1226">
        <v>0.23408141175445099</v>
      </c>
      <c r="F432" s="1257">
        <v>2.16638231526993E-2</v>
      </c>
      <c r="G432" s="1280">
        <v>2.3503535486024199E-2</v>
      </c>
      <c r="H432" s="1271">
        <v>4.9959257465615501</v>
      </c>
      <c r="I432" s="1257">
        <v>0.48339697744865301</v>
      </c>
      <c r="J432" s="1280">
        <v>0.73769253561592096</v>
      </c>
      <c r="K432" s="1271">
        <v>7.8884672476668295E-3</v>
      </c>
      <c r="L432" s="1257">
        <v>2.4771766330472099E-4</v>
      </c>
      <c r="M432" s="1280">
        <v>2.0906319590298901E-4</v>
      </c>
      <c r="N432" s="1271">
        <v>7.0823227252416803E-3</v>
      </c>
      <c r="O432" s="1257">
        <v>3.0000008598028201E-3</v>
      </c>
      <c r="P432" s="1257">
        <v>8.2905168489693405E-3</v>
      </c>
      <c r="Q432" s="1280">
        <v>7.0823227252416803E-3</v>
      </c>
      <c r="R432" s="1271">
        <v>3.8500011034136201E-2</v>
      </c>
      <c r="S432" s="1257">
        <v>3.8500011034136201E-2</v>
      </c>
      <c r="T432" s="1257">
        <v>3.8500011034136201E-2</v>
      </c>
      <c r="U432" s="1280">
        <v>1.9250005517068101E-2</v>
      </c>
      <c r="V432" s="1293">
        <v>8.2451487320513508E-3</v>
      </c>
    </row>
    <row r="433" spans="1:22" s="212" customFormat="1" ht="15.5" x14ac:dyDescent="0.35">
      <c r="A433" s="198">
        <v>2023</v>
      </c>
      <c r="B433" s="197" t="s">
        <v>5833</v>
      </c>
      <c r="C433" s="197">
        <v>1978</v>
      </c>
      <c r="D433" s="225" t="str">
        <f t="shared" si="2"/>
        <v>2023_1978</v>
      </c>
      <c r="E433" s="1226">
        <v>0.23408141175445099</v>
      </c>
      <c r="F433" s="1257">
        <v>2.16638231526993E-2</v>
      </c>
      <c r="G433" s="1280">
        <v>2.3503535486024199E-2</v>
      </c>
      <c r="H433" s="1271">
        <v>4.9959257465615501</v>
      </c>
      <c r="I433" s="1257">
        <v>0.48339697744865301</v>
      </c>
      <c r="J433" s="1280">
        <v>0.73769253561592096</v>
      </c>
      <c r="K433" s="1271">
        <v>7.8884672476668295E-3</v>
      </c>
      <c r="L433" s="1257">
        <v>2.4771766330472099E-4</v>
      </c>
      <c r="M433" s="1280">
        <v>2.0906319590298901E-4</v>
      </c>
      <c r="N433" s="1271">
        <v>7.0823227252416803E-3</v>
      </c>
      <c r="O433" s="1257">
        <v>3.0000008598028201E-3</v>
      </c>
      <c r="P433" s="1257">
        <v>8.2905168489693405E-3</v>
      </c>
      <c r="Q433" s="1280">
        <v>7.0823227252416803E-3</v>
      </c>
      <c r="R433" s="1271">
        <v>3.8500011034136201E-2</v>
      </c>
      <c r="S433" s="1257">
        <v>3.8500011034136201E-2</v>
      </c>
      <c r="T433" s="1257">
        <v>3.8500011034136201E-2</v>
      </c>
      <c r="U433" s="1280">
        <v>1.9250005517068101E-2</v>
      </c>
      <c r="V433" s="1293">
        <v>8.2451487320513508E-3</v>
      </c>
    </row>
    <row r="434" spans="1:22" s="212" customFormat="1" ht="15.5" x14ac:dyDescent="0.35">
      <c r="A434" s="198">
        <v>2023</v>
      </c>
      <c r="B434" s="197" t="s">
        <v>5833</v>
      </c>
      <c r="C434" s="197">
        <v>1979</v>
      </c>
      <c r="D434" s="225" t="str">
        <f t="shared" si="2"/>
        <v>2023_1979</v>
      </c>
      <c r="E434" s="1226">
        <v>0.23408141175445099</v>
      </c>
      <c r="F434" s="1257">
        <v>2.16638231526993E-2</v>
      </c>
      <c r="G434" s="1280">
        <v>2.3503535486024199E-2</v>
      </c>
      <c r="H434" s="1271">
        <v>4.9959257465615501</v>
      </c>
      <c r="I434" s="1257">
        <v>0.48339697744865301</v>
      </c>
      <c r="J434" s="1280">
        <v>0.73769253561592096</v>
      </c>
      <c r="K434" s="1271">
        <v>7.8884672476668295E-3</v>
      </c>
      <c r="L434" s="1257">
        <v>2.4771766330472099E-4</v>
      </c>
      <c r="M434" s="1280">
        <v>2.0906319590298901E-4</v>
      </c>
      <c r="N434" s="1271">
        <v>7.0823227252416803E-3</v>
      </c>
      <c r="O434" s="1257">
        <v>3.0000008598028201E-3</v>
      </c>
      <c r="P434" s="1257">
        <v>8.2905168489693405E-3</v>
      </c>
      <c r="Q434" s="1280">
        <v>7.0823227252416803E-3</v>
      </c>
      <c r="R434" s="1271">
        <v>3.8500011034136201E-2</v>
      </c>
      <c r="S434" s="1257">
        <v>3.8500011034136201E-2</v>
      </c>
      <c r="T434" s="1257">
        <v>3.8500011034136201E-2</v>
      </c>
      <c r="U434" s="1280">
        <v>1.9250005517068101E-2</v>
      </c>
      <c r="V434" s="1293">
        <v>8.2451487320513508E-3</v>
      </c>
    </row>
    <row r="435" spans="1:22" s="212" customFormat="1" ht="15.5" x14ac:dyDescent="0.35">
      <c r="A435" s="198">
        <v>2023</v>
      </c>
      <c r="B435" s="197" t="s">
        <v>5833</v>
      </c>
      <c r="C435" s="197">
        <v>1980</v>
      </c>
      <c r="D435" s="225" t="str">
        <f t="shared" si="2"/>
        <v>2023_1980</v>
      </c>
      <c r="E435" s="1226">
        <v>0.23408141175445099</v>
      </c>
      <c r="F435" s="1257">
        <v>2.16638231526993E-2</v>
      </c>
      <c r="G435" s="1280">
        <v>2.3503535486024199E-2</v>
      </c>
      <c r="H435" s="1271">
        <v>4.9959257465615501</v>
      </c>
      <c r="I435" s="1257">
        <v>0.48339697744865301</v>
      </c>
      <c r="J435" s="1280">
        <v>0.73769253561592096</v>
      </c>
      <c r="K435" s="1271">
        <v>7.8884672476668295E-3</v>
      </c>
      <c r="L435" s="1257">
        <v>2.4771766330472099E-4</v>
      </c>
      <c r="M435" s="1280">
        <v>2.0906319590298901E-4</v>
      </c>
      <c r="N435" s="1271">
        <v>7.0823227252416803E-3</v>
      </c>
      <c r="O435" s="1257">
        <v>3.0000008598028201E-3</v>
      </c>
      <c r="P435" s="1257">
        <v>8.2905168489693405E-3</v>
      </c>
      <c r="Q435" s="1280">
        <v>7.0823227252416803E-3</v>
      </c>
      <c r="R435" s="1271">
        <v>3.8500011034136201E-2</v>
      </c>
      <c r="S435" s="1257">
        <v>3.8500011034136201E-2</v>
      </c>
      <c r="T435" s="1257">
        <v>3.8500011034136201E-2</v>
      </c>
      <c r="U435" s="1280">
        <v>1.9250005517068101E-2</v>
      </c>
      <c r="V435" s="1293">
        <v>8.2451487320513508E-3</v>
      </c>
    </row>
    <row r="436" spans="1:22" s="212" customFormat="1" ht="15.5" x14ac:dyDescent="0.35">
      <c r="A436" s="198">
        <v>2023</v>
      </c>
      <c r="B436" s="197" t="s">
        <v>5833</v>
      </c>
      <c r="C436" s="197">
        <v>1981</v>
      </c>
      <c r="D436" s="225" t="str">
        <f t="shared" si="2"/>
        <v>2023_1981</v>
      </c>
      <c r="E436" s="1226">
        <v>0.23408141175445099</v>
      </c>
      <c r="F436" s="1257">
        <v>2.16638231526993E-2</v>
      </c>
      <c r="G436" s="1280">
        <v>2.3503535486024199E-2</v>
      </c>
      <c r="H436" s="1271">
        <v>4.9959257465615501</v>
      </c>
      <c r="I436" s="1257">
        <v>0.48339697744865301</v>
      </c>
      <c r="J436" s="1280">
        <v>0.73769253561592096</v>
      </c>
      <c r="K436" s="1271">
        <v>7.8884672476668295E-3</v>
      </c>
      <c r="L436" s="1257">
        <v>2.4771766330472099E-4</v>
      </c>
      <c r="M436" s="1280">
        <v>2.0906319590298901E-4</v>
      </c>
      <c r="N436" s="1271">
        <v>7.0823227252416803E-3</v>
      </c>
      <c r="O436" s="1257">
        <v>3.0000008598028201E-3</v>
      </c>
      <c r="P436" s="1257">
        <v>8.2905168489693405E-3</v>
      </c>
      <c r="Q436" s="1280">
        <v>7.0823227252416803E-3</v>
      </c>
      <c r="R436" s="1271">
        <v>3.8500011034136201E-2</v>
      </c>
      <c r="S436" s="1257">
        <v>3.8500011034136201E-2</v>
      </c>
      <c r="T436" s="1257">
        <v>3.8500011034136201E-2</v>
      </c>
      <c r="U436" s="1280">
        <v>1.9250005517068101E-2</v>
      </c>
      <c r="V436" s="1293">
        <v>8.2451487320513508E-3</v>
      </c>
    </row>
    <row r="437" spans="1:22" s="212" customFormat="1" ht="15.5" x14ac:dyDescent="0.35">
      <c r="A437" s="198">
        <v>2023</v>
      </c>
      <c r="B437" s="197" t="s">
        <v>5833</v>
      </c>
      <c r="C437" s="197">
        <v>1982</v>
      </c>
      <c r="D437" s="225" t="str">
        <f t="shared" si="2"/>
        <v>2023_1982</v>
      </c>
      <c r="E437" s="1226">
        <v>0.23408141175445099</v>
      </c>
      <c r="F437" s="1257">
        <v>2.16638231526993E-2</v>
      </c>
      <c r="G437" s="1280">
        <v>2.3503535486024199E-2</v>
      </c>
      <c r="H437" s="1271">
        <v>4.9959257465615501</v>
      </c>
      <c r="I437" s="1257">
        <v>0.48339697744865301</v>
      </c>
      <c r="J437" s="1280">
        <v>0.73769253561592096</v>
      </c>
      <c r="K437" s="1271">
        <v>7.8884672476668295E-3</v>
      </c>
      <c r="L437" s="1257">
        <v>2.4771766330472099E-4</v>
      </c>
      <c r="M437" s="1280">
        <v>2.0906319590298901E-4</v>
      </c>
      <c r="N437" s="1271">
        <v>7.0823227252416803E-3</v>
      </c>
      <c r="O437" s="1257">
        <v>3.0000008598028201E-3</v>
      </c>
      <c r="P437" s="1257">
        <v>8.2905168489693405E-3</v>
      </c>
      <c r="Q437" s="1280">
        <v>7.0823227252416803E-3</v>
      </c>
      <c r="R437" s="1271">
        <v>3.8500011034136201E-2</v>
      </c>
      <c r="S437" s="1257">
        <v>3.8500011034136201E-2</v>
      </c>
      <c r="T437" s="1257">
        <v>3.8500011034136201E-2</v>
      </c>
      <c r="U437" s="1280">
        <v>1.9250005517068101E-2</v>
      </c>
      <c r="V437" s="1293">
        <v>8.2451487320513508E-3</v>
      </c>
    </row>
    <row r="438" spans="1:22" s="212" customFormat="1" ht="15.5" x14ac:dyDescent="0.35">
      <c r="A438" s="198">
        <v>2023</v>
      </c>
      <c r="B438" s="197" t="s">
        <v>5833</v>
      </c>
      <c r="C438" s="197">
        <v>1983</v>
      </c>
      <c r="D438" s="225" t="str">
        <f t="shared" si="2"/>
        <v>2023_1983</v>
      </c>
      <c r="E438" s="1226">
        <v>0.23408141175445099</v>
      </c>
      <c r="F438" s="1257">
        <v>2.16638231526993E-2</v>
      </c>
      <c r="G438" s="1280">
        <v>2.3503535486024199E-2</v>
      </c>
      <c r="H438" s="1271">
        <v>4.9959257465615501</v>
      </c>
      <c r="I438" s="1257">
        <v>0.48339697744865301</v>
      </c>
      <c r="J438" s="1280">
        <v>0.73769253561592096</v>
      </c>
      <c r="K438" s="1271">
        <v>7.8884672476668295E-3</v>
      </c>
      <c r="L438" s="1257">
        <v>2.4771766330472099E-4</v>
      </c>
      <c r="M438" s="1280">
        <v>2.0906319590298901E-4</v>
      </c>
      <c r="N438" s="1271">
        <v>7.0823227252416803E-3</v>
      </c>
      <c r="O438" s="1257">
        <v>3.0000008598028201E-3</v>
      </c>
      <c r="P438" s="1257">
        <v>8.2905168489693405E-3</v>
      </c>
      <c r="Q438" s="1280">
        <v>7.0823227252416803E-3</v>
      </c>
      <c r="R438" s="1271">
        <v>3.8500011034136201E-2</v>
      </c>
      <c r="S438" s="1257">
        <v>3.8500011034136201E-2</v>
      </c>
      <c r="T438" s="1257">
        <v>3.8500011034136201E-2</v>
      </c>
      <c r="U438" s="1280">
        <v>1.9250005517068101E-2</v>
      </c>
      <c r="V438" s="1293">
        <v>8.2451487320513508E-3</v>
      </c>
    </row>
    <row r="439" spans="1:22" s="212" customFormat="1" ht="15.5" x14ac:dyDescent="0.35">
      <c r="A439" s="198">
        <v>2023</v>
      </c>
      <c r="B439" s="197" t="s">
        <v>5833</v>
      </c>
      <c r="C439" s="197">
        <v>1984</v>
      </c>
      <c r="D439" s="225" t="str">
        <f t="shared" si="2"/>
        <v>2023_1984</v>
      </c>
      <c r="E439" s="1226">
        <v>0.23408141175445099</v>
      </c>
      <c r="F439" s="1257">
        <v>2.16638231526993E-2</v>
      </c>
      <c r="G439" s="1280">
        <v>2.3503535486024199E-2</v>
      </c>
      <c r="H439" s="1271">
        <v>4.9959257465615501</v>
      </c>
      <c r="I439" s="1257">
        <v>0.48339697744865301</v>
      </c>
      <c r="J439" s="1280">
        <v>0.73769253561592096</v>
      </c>
      <c r="K439" s="1271">
        <v>7.8884672476668295E-3</v>
      </c>
      <c r="L439" s="1257">
        <v>2.4771766330472099E-4</v>
      </c>
      <c r="M439" s="1280">
        <v>2.0906319590298901E-4</v>
      </c>
      <c r="N439" s="1271">
        <v>7.0823227252416803E-3</v>
      </c>
      <c r="O439" s="1257">
        <v>3.0000008598028201E-3</v>
      </c>
      <c r="P439" s="1257">
        <v>8.2905168489693405E-3</v>
      </c>
      <c r="Q439" s="1280">
        <v>7.0823227252416803E-3</v>
      </c>
      <c r="R439" s="1271">
        <v>3.8500011034136201E-2</v>
      </c>
      <c r="S439" s="1257">
        <v>3.8500011034136201E-2</v>
      </c>
      <c r="T439" s="1257">
        <v>3.8500011034136201E-2</v>
      </c>
      <c r="U439" s="1280">
        <v>1.9250005517068101E-2</v>
      </c>
      <c r="V439" s="1293">
        <v>8.2451487320513508E-3</v>
      </c>
    </row>
    <row r="440" spans="1:22" s="212" customFormat="1" ht="15.5" x14ac:dyDescent="0.35">
      <c r="A440" s="198">
        <v>2023</v>
      </c>
      <c r="B440" s="197" t="s">
        <v>5833</v>
      </c>
      <c r="C440" s="197">
        <v>1985</v>
      </c>
      <c r="D440" s="225" t="str">
        <f t="shared" si="2"/>
        <v>2023_1985</v>
      </c>
      <c r="E440" s="1226">
        <v>0.23408141175445099</v>
      </c>
      <c r="F440" s="1257">
        <v>2.16638231526993E-2</v>
      </c>
      <c r="G440" s="1280">
        <v>2.3503535486024199E-2</v>
      </c>
      <c r="H440" s="1271">
        <v>4.9959257465615501</v>
      </c>
      <c r="I440" s="1257">
        <v>0.48339697744865301</v>
      </c>
      <c r="J440" s="1280">
        <v>0.73769253561592096</v>
      </c>
      <c r="K440" s="1271">
        <v>7.8884672476668295E-3</v>
      </c>
      <c r="L440" s="1257">
        <v>2.4771766330472099E-4</v>
      </c>
      <c r="M440" s="1280">
        <v>2.0906319590298901E-4</v>
      </c>
      <c r="N440" s="1271">
        <v>7.0823227252416803E-3</v>
      </c>
      <c r="O440" s="1257">
        <v>3.0000008598028201E-3</v>
      </c>
      <c r="P440" s="1257">
        <v>8.2905168489693405E-3</v>
      </c>
      <c r="Q440" s="1280">
        <v>7.0823227252416803E-3</v>
      </c>
      <c r="R440" s="1271">
        <v>3.8500011034136201E-2</v>
      </c>
      <c r="S440" s="1257">
        <v>3.8500011034136201E-2</v>
      </c>
      <c r="T440" s="1257">
        <v>3.8500011034136201E-2</v>
      </c>
      <c r="U440" s="1280">
        <v>1.9250005517068101E-2</v>
      </c>
      <c r="V440" s="1293">
        <v>8.2451487320513508E-3</v>
      </c>
    </row>
    <row r="441" spans="1:22" s="212" customFormat="1" ht="15.5" x14ac:dyDescent="0.35">
      <c r="A441" s="198">
        <v>2023</v>
      </c>
      <c r="B441" s="197" t="s">
        <v>5833</v>
      </c>
      <c r="C441" s="197">
        <v>1986</v>
      </c>
      <c r="D441" s="225" t="str">
        <f t="shared" si="2"/>
        <v>2023_1986</v>
      </c>
      <c r="E441" s="1226">
        <v>0.23408141175445099</v>
      </c>
      <c r="F441" s="1257">
        <v>2.16638231526993E-2</v>
      </c>
      <c r="G441" s="1280">
        <v>2.3503535486024199E-2</v>
      </c>
      <c r="H441" s="1271">
        <v>4.9959257465615501</v>
      </c>
      <c r="I441" s="1257">
        <v>0.48339697744865301</v>
      </c>
      <c r="J441" s="1280">
        <v>0.73769253561592096</v>
      </c>
      <c r="K441" s="1271">
        <v>7.8884672476668295E-3</v>
      </c>
      <c r="L441" s="1257">
        <v>2.4771766330472099E-4</v>
      </c>
      <c r="M441" s="1280">
        <v>2.0906319590298901E-4</v>
      </c>
      <c r="N441" s="1271">
        <v>7.0823227252416803E-3</v>
      </c>
      <c r="O441" s="1257">
        <v>3.0000008598028201E-3</v>
      </c>
      <c r="P441" s="1257">
        <v>8.2905168489693405E-3</v>
      </c>
      <c r="Q441" s="1280">
        <v>7.0823227252416803E-3</v>
      </c>
      <c r="R441" s="1271">
        <v>3.8500011034136201E-2</v>
      </c>
      <c r="S441" s="1257">
        <v>3.8500011034136201E-2</v>
      </c>
      <c r="T441" s="1257">
        <v>3.8500011034136201E-2</v>
      </c>
      <c r="U441" s="1280">
        <v>1.9250005517068101E-2</v>
      </c>
      <c r="V441" s="1293">
        <v>8.2451487320513508E-3</v>
      </c>
    </row>
    <row r="442" spans="1:22" s="212" customFormat="1" ht="15.5" x14ac:dyDescent="0.35">
      <c r="A442" s="198">
        <v>2023</v>
      </c>
      <c r="B442" s="197" t="s">
        <v>5833</v>
      </c>
      <c r="C442" s="197">
        <v>1987</v>
      </c>
      <c r="D442" s="225" t="str">
        <f t="shared" si="2"/>
        <v>2023_1987</v>
      </c>
      <c r="E442" s="1226">
        <v>0.23408141175445099</v>
      </c>
      <c r="F442" s="1257">
        <v>2.16638231526993E-2</v>
      </c>
      <c r="G442" s="1280">
        <v>2.3503535486024199E-2</v>
      </c>
      <c r="H442" s="1271">
        <v>4.9959257465615501</v>
      </c>
      <c r="I442" s="1257">
        <v>0.48339697744865301</v>
      </c>
      <c r="J442" s="1280">
        <v>0.73769253561592096</v>
      </c>
      <c r="K442" s="1271">
        <v>7.8884672476668295E-3</v>
      </c>
      <c r="L442" s="1257">
        <v>2.4771766330472099E-4</v>
      </c>
      <c r="M442" s="1280">
        <v>2.0906319590298901E-4</v>
      </c>
      <c r="N442" s="1271">
        <v>7.0823227252416803E-3</v>
      </c>
      <c r="O442" s="1257">
        <v>3.0000008598028201E-3</v>
      </c>
      <c r="P442" s="1257">
        <v>8.2905168489693405E-3</v>
      </c>
      <c r="Q442" s="1280">
        <v>7.0823227252416803E-3</v>
      </c>
      <c r="R442" s="1271">
        <v>3.8500011034136201E-2</v>
      </c>
      <c r="S442" s="1257">
        <v>3.8500011034136201E-2</v>
      </c>
      <c r="T442" s="1257">
        <v>3.8500011034136201E-2</v>
      </c>
      <c r="U442" s="1280">
        <v>1.9250005517068101E-2</v>
      </c>
      <c r="V442" s="1293">
        <v>8.2451487320513508E-3</v>
      </c>
    </row>
    <row r="443" spans="1:22" s="212" customFormat="1" ht="15.5" x14ac:dyDescent="0.35">
      <c r="A443" s="198">
        <v>2023</v>
      </c>
      <c r="B443" s="197" t="s">
        <v>5833</v>
      </c>
      <c r="C443" s="197">
        <v>1988</v>
      </c>
      <c r="D443" s="225" t="str">
        <f t="shared" si="2"/>
        <v>2023_1988</v>
      </c>
      <c r="E443" s="1226">
        <v>0.23408141175445099</v>
      </c>
      <c r="F443" s="1257">
        <v>2.16638231526993E-2</v>
      </c>
      <c r="G443" s="1280">
        <v>2.3503535486024199E-2</v>
      </c>
      <c r="H443" s="1271">
        <v>4.9959257465615501</v>
      </c>
      <c r="I443" s="1257">
        <v>0.48339697744865301</v>
      </c>
      <c r="J443" s="1280">
        <v>0.73769253561592096</v>
      </c>
      <c r="K443" s="1271">
        <v>7.8884672476668295E-3</v>
      </c>
      <c r="L443" s="1257">
        <v>2.4771766330472099E-4</v>
      </c>
      <c r="M443" s="1280">
        <v>2.0906319590298901E-4</v>
      </c>
      <c r="N443" s="1271">
        <v>7.0823227252416803E-3</v>
      </c>
      <c r="O443" s="1257">
        <v>3.0000008598028201E-3</v>
      </c>
      <c r="P443" s="1257">
        <v>8.2905168489693405E-3</v>
      </c>
      <c r="Q443" s="1280">
        <v>7.0823227252416803E-3</v>
      </c>
      <c r="R443" s="1271">
        <v>3.8500011034136201E-2</v>
      </c>
      <c r="S443" s="1257">
        <v>3.8500011034136201E-2</v>
      </c>
      <c r="T443" s="1257">
        <v>3.8500011034136201E-2</v>
      </c>
      <c r="U443" s="1280">
        <v>1.9250005517068101E-2</v>
      </c>
      <c r="V443" s="1293">
        <v>8.2451487320513508E-3</v>
      </c>
    </row>
    <row r="444" spans="1:22" s="212" customFormat="1" ht="15.5" x14ac:dyDescent="0.35">
      <c r="A444" s="198">
        <v>2023</v>
      </c>
      <c r="B444" s="197" t="s">
        <v>5833</v>
      </c>
      <c r="C444" s="197">
        <v>1989</v>
      </c>
      <c r="D444" s="225" t="str">
        <f t="shared" si="2"/>
        <v>2023_1989</v>
      </c>
      <c r="E444" s="1226">
        <v>0.23408141175445099</v>
      </c>
      <c r="F444" s="1257">
        <v>2.16638231526993E-2</v>
      </c>
      <c r="G444" s="1280">
        <v>2.3503535486024199E-2</v>
      </c>
      <c r="H444" s="1271">
        <v>4.9959257465615501</v>
      </c>
      <c r="I444" s="1257">
        <v>0.48339697744865301</v>
      </c>
      <c r="J444" s="1280">
        <v>0.73769253561592096</v>
      </c>
      <c r="K444" s="1271">
        <v>7.8884672476668295E-3</v>
      </c>
      <c r="L444" s="1257">
        <v>2.4771766330472099E-4</v>
      </c>
      <c r="M444" s="1280">
        <v>2.0906319590298901E-4</v>
      </c>
      <c r="N444" s="1271">
        <v>7.0823227252416803E-3</v>
      </c>
      <c r="O444" s="1257">
        <v>3.0000008598028201E-3</v>
      </c>
      <c r="P444" s="1257">
        <v>8.2905168489693405E-3</v>
      </c>
      <c r="Q444" s="1280">
        <v>7.0823227252416803E-3</v>
      </c>
      <c r="R444" s="1271">
        <v>3.8500011034136201E-2</v>
      </c>
      <c r="S444" s="1257">
        <v>3.8500011034136201E-2</v>
      </c>
      <c r="T444" s="1257">
        <v>3.8500011034136201E-2</v>
      </c>
      <c r="U444" s="1280">
        <v>1.9250005517068101E-2</v>
      </c>
      <c r="V444" s="1293">
        <v>8.2451487320513508E-3</v>
      </c>
    </row>
    <row r="445" spans="1:22" s="212" customFormat="1" ht="15.5" x14ac:dyDescent="0.35">
      <c r="A445" s="198">
        <v>2023</v>
      </c>
      <c r="B445" s="197" t="s">
        <v>5833</v>
      </c>
      <c r="C445" s="197">
        <v>1990</v>
      </c>
      <c r="D445" s="225" t="str">
        <f t="shared" si="2"/>
        <v>2023_1990</v>
      </c>
      <c r="E445" s="1226">
        <v>0.23408141175445099</v>
      </c>
      <c r="F445" s="1257">
        <v>2.16638231526993E-2</v>
      </c>
      <c r="G445" s="1280">
        <v>2.3503535486024199E-2</v>
      </c>
      <c r="H445" s="1271">
        <v>4.9959257465615501</v>
      </c>
      <c r="I445" s="1257">
        <v>0.48339697744865301</v>
      </c>
      <c r="J445" s="1280">
        <v>0.73769253561592096</v>
      </c>
      <c r="K445" s="1271">
        <v>7.8884672476668295E-3</v>
      </c>
      <c r="L445" s="1257">
        <v>2.4771766330472099E-4</v>
      </c>
      <c r="M445" s="1280">
        <v>2.0906319590298901E-4</v>
      </c>
      <c r="N445" s="1271">
        <v>7.0823227252416803E-3</v>
      </c>
      <c r="O445" s="1257">
        <v>3.0000008598028201E-3</v>
      </c>
      <c r="P445" s="1257">
        <v>8.2905168489693405E-3</v>
      </c>
      <c r="Q445" s="1280">
        <v>7.0823227252416803E-3</v>
      </c>
      <c r="R445" s="1271">
        <v>3.8500011034136201E-2</v>
      </c>
      <c r="S445" s="1257">
        <v>3.8500011034136201E-2</v>
      </c>
      <c r="T445" s="1257">
        <v>3.8500011034136201E-2</v>
      </c>
      <c r="U445" s="1280">
        <v>1.9250005517068101E-2</v>
      </c>
      <c r="V445" s="1293">
        <v>8.2451487320513508E-3</v>
      </c>
    </row>
    <row r="446" spans="1:22" s="212" customFormat="1" ht="15.5" x14ac:dyDescent="0.35">
      <c r="A446" s="198">
        <v>2023</v>
      </c>
      <c r="B446" s="197" t="s">
        <v>5833</v>
      </c>
      <c r="C446" s="197">
        <v>1991</v>
      </c>
      <c r="D446" s="225" t="str">
        <f t="shared" si="2"/>
        <v>2023_1991</v>
      </c>
      <c r="E446" s="1226">
        <v>0.23408141175445099</v>
      </c>
      <c r="F446" s="1257">
        <v>2.16638231526993E-2</v>
      </c>
      <c r="G446" s="1280">
        <v>2.3503535486024199E-2</v>
      </c>
      <c r="H446" s="1271">
        <v>4.9959257465615501</v>
      </c>
      <c r="I446" s="1257">
        <v>0.48339697744865301</v>
      </c>
      <c r="J446" s="1280">
        <v>0.73769253561592096</v>
      </c>
      <c r="K446" s="1271">
        <v>7.8884672476668295E-3</v>
      </c>
      <c r="L446" s="1257">
        <v>2.4771766330472099E-4</v>
      </c>
      <c r="M446" s="1280">
        <v>2.0906319590298901E-4</v>
      </c>
      <c r="N446" s="1271">
        <v>7.0823227252416803E-3</v>
      </c>
      <c r="O446" s="1257">
        <v>3.0000008598028201E-3</v>
      </c>
      <c r="P446" s="1257">
        <v>8.2905168489693405E-3</v>
      </c>
      <c r="Q446" s="1280">
        <v>7.0823227252416803E-3</v>
      </c>
      <c r="R446" s="1271">
        <v>3.8500011034136201E-2</v>
      </c>
      <c r="S446" s="1257">
        <v>3.8500011034136201E-2</v>
      </c>
      <c r="T446" s="1257">
        <v>3.8500011034136201E-2</v>
      </c>
      <c r="U446" s="1280">
        <v>1.9250005517068101E-2</v>
      </c>
      <c r="V446" s="1293">
        <v>8.2451487320513508E-3</v>
      </c>
    </row>
    <row r="447" spans="1:22" s="212" customFormat="1" ht="15.5" x14ac:dyDescent="0.35">
      <c r="A447" s="198">
        <v>2023</v>
      </c>
      <c r="B447" s="197" t="s">
        <v>5833</v>
      </c>
      <c r="C447" s="197">
        <v>1992</v>
      </c>
      <c r="D447" s="225" t="str">
        <f t="shared" si="2"/>
        <v>2023_1992</v>
      </c>
      <c r="E447" s="1226">
        <v>0.23408141175445099</v>
      </c>
      <c r="F447" s="1257">
        <v>2.16638231526993E-2</v>
      </c>
      <c r="G447" s="1280">
        <v>2.3503535486024199E-2</v>
      </c>
      <c r="H447" s="1271">
        <v>4.9959257465615501</v>
      </c>
      <c r="I447" s="1257">
        <v>0.48339697744865301</v>
      </c>
      <c r="J447" s="1280">
        <v>0.73769253561592096</v>
      </c>
      <c r="K447" s="1271">
        <v>7.8884672476668295E-3</v>
      </c>
      <c r="L447" s="1257">
        <v>2.4771766330472099E-4</v>
      </c>
      <c r="M447" s="1280">
        <v>2.0906319590298901E-4</v>
      </c>
      <c r="N447" s="1271">
        <v>7.0823227252416803E-3</v>
      </c>
      <c r="O447" s="1257">
        <v>3.0000008598028201E-3</v>
      </c>
      <c r="P447" s="1257">
        <v>8.2905168489693405E-3</v>
      </c>
      <c r="Q447" s="1280">
        <v>7.0823227252416803E-3</v>
      </c>
      <c r="R447" s="1271">
        <v>3.8500011034136201E-2</v>
      </c>
      <c r="S447" s="1257">
        <v>3.8500011034136201E-2</v>
      </c>
      <c r="T447" s="1257">
        <v>3.8500011034136201E-2</v>
      </c>
      <c r="U447" s="1280">
        <v>1.9250005517068101E-2</v>
      </c>
      <c r="V447" s="1293">
        <v>8.2451487320513508E-3</v>
      </c>
    </row>
    <row r="448" spans="1:22" s="212" customFormat="1" ht="15.5" x14ac:dyDescent="0.35">
      <c r="A448" s="198">
        <v>2023</v>
      </c>
      <c r="B448" s="197" t="s">
        <v>5833</v>
      </c>
      <c r="C448" s="197">
        <v>1993</v>
      </c>
      <c r="D448" s="225" t="str">
        <f t="shared" si="2"/>
        <v>2023_1993</v>
      </c>
      <c r="E448" s="1226">
        <v>0.23408141175445099</v>
      </c>
      <c r="F448" s="1257">
        <v>2.16638231526993E-2</v>
      </c>
      <c r="G448" s="1280">
        <v>2.3503535486024199E-2</v>
      </c>
      <c r="H448" s="1271">
        <v>4.9959257465615501</v>
      </c>
      <c r="I448" s="1257">
        <v>0.48339697744865301</v>
      </c>
      <c r="J448" s="1280">
        <v>0.73769253561592096</v>
      </c>
      <c r="K448" s="1271">
        <v>7.8884672476668295E-3</v>
      </c>
      <c r="L448" s="1257">
        <v>2.4771766330472099E-4</v>
      </c>
      <c r="M448" s="1280">
        <v>2.0906319590298901E-4</v>
      </c>
      <c r="N448" s="1271">
        <v>7.0823227252416803E-3</v>
      </c>
      <c r="O448" s="1257">
        <v>3.0000008598028201E-3</v>
      </c>
      <c r="P448" s="1257">
        <v>8.2905168489693405E-3</v>
      </c>
      <c r="Q448" s="1280">
        <v>7.0823227252416803E-3</v>
      </c>
      <c r="R448" s="1271">
        <v>3.8500011034136201E-2</v>
      </c>
      <c r="S448" s="1257">
        <v>3.8500011034136201E-2</v>
      </c>
      <c r="T448" s="1257">
        <v>3.8500011034136201E-2</v>
      </c>
      <c r="U448" s="1280">
        <v>1.9250005517068101E-2</v>
      </c>
      <c r="V448" s="1293">
        <v>8.2451487320513508E-3</v>
      </c>
    </row>
    <row r="449" spans="1:22" s="212" customFormat="1" ht="15.5" x14ac:dyDescent="0.35">
      <c r="A449" s="198">
        <v>2023</v>
      </c>
      <c r="B449" s="197" t="s">
        <v>5833</v>
      </c>
      <c r="C449" s="197">
        <v>1994</v>
      </c>
      <c r="D449" s="225" t="str">
        <f t="shared" si="2"/>
        <v>2023_1994</v>
      </c>
      <c r="E449" s="1226">
        <v>0.23408141175445099</v>
      </c>
      <c r="F449" s="1257">
        <v>2.16638231526993E-2</v>
      </c>
      <c r="G449" s="1280">
        <v>2.3503535486024199E-2</v>
      </c>
      <c r="H449" s="1271">
        <v>4.9959257465615501</v>
      </c>
      <c r="I449" s="1257">
        <v>0.48339697744865301</v>
      </c>
      <c r="J449" s="1280">
        <v>0.73769253561592096</v>
      </c>
      <c r="K449" s="1271">
        <v>7.8884672476668295E-3</v>
      </c>
      <c r="L449" s="1257">
        <v>2.4771766330472099E-4</v>
      </c>
      <c r="M449" s="1280">
        <v>2.0906319590298901E-4</v>
      </c>
      <c r="N449" s="1271">
        <v>7.0823227252416803E-3</v>
      </c>
      <c r="O449" s="1257">
        <v>3.0000008598028201E-3</v>
      </c>
      <c r="P449" s="1257">
        <v>8.2905168489693405E-3</v>
      </c>
      <c r="Q449" s="1280">
        <v>7.0823227252416803E-3</v>
      </c>
      <c r="R449" s="1271">
        <v>3.8500011034136201E-2</v>
      </c>
      <c r="S449" s="1257">
        <v>3.8500011034136201E-2</v>
      </c>
      <c r="T449" s="1257">
        <v>3.8500011034136201E-2</v>
      </c>
      <c r="U449" s="1280">
        <v>1.9250005517068101E-2</v>
      </c>
      <c r="V449" s="1293">
        <v>8.2451487320513508E-3</v>
      </c>
    </row>
    <row r="450" spans="1:22" s="212" customFormat="1" ht="15.5" x14ac:dyDescent="0.35">
      <c r="A450" s="198">
        <v>2023</v>
      </c>
      <c r="B450" s="197" t="s">
        <v>5833</v>
      </c>
      <c r="C450" s="197">
        <v>1995</v>
      </c>
      <c r="D450" s="225" t="str">
        <f t="shared" si="2"/>
        <v>2023_1995</v>
      </c>
      <c r="E450" s="1226">
        <v>0.23408141175445099</v>
      </c>
      <c r="F450" s="1257">
        <v>2.16638231526993E-2</v>
      </c>
      <c r="G450" s="1280">
        <v>2.3503535486024199E-2</v>
      </c>
      <c r="H450" s="1271">
        <v>4.9959257465615501</v>
      </c>
      <c r="I450" s="1257">
        <v>0.48339697744865301</v>
      </c>
      <c r="J450" s="1280">
        <v>0.73769253561592096</v>
      </c>
      <c r="K450" s="1271">
        <v>7.8884672476668295E-3</v>
      </c>
      <c r="L450" s="1257">
        <v>2.4771766330472099E-4</v>
      </c>
      <c r="M450" s="1280">
        <v>2.0906319590298901E-4</v>
      </c>
      <c r="N450" s="1271">
        <v>7.0823227252416803E-3</v>
      </c>
      <c r="O450" s="1257">
        <v>3.0000008598028201E-3</v>
      </c>
      <c r="P450" s="1257">
        <v>8.2905168489693405E-3</v>
      </c>
      <c r="Q450" s="1280">
        <v>7.0823227252416803E-3</v>
      </c>
      <c r="R450" s="1271">
        <v>3.8500011034136201E-2</v>
      </c>
      <c r="S450" s="1257">
        <v>3.8500011034136201E-2</v>
      </c>
      <c r="T450" s="1257">
        <v>3.8500011034136201E-2</v>
      </c>
      <c r="U450" s="1280">
        <v>1.9250005517068101E-2</v>
      </c>
      <c r="V450" s="1293">
        <v>8.2451487320513508E-3</v>
      </c>
    </row>
    <row r="451" spans="1:22" s="212" customFormat="1" ht="15.5" x14ac:dyDescent="0.35">
      <c r="A451" s="198">
        <v>2023</v>
      </c>
      <c r="B451" s="197" t="s">
        <v>5833</v>
      </c>
      <c r="C451" s="197">
        <v>1996</v>
      </c>
      <c r="D451" s="225" t="str">
        <f t="shared" si="2"/>
        <v>2023_1996</v>
      </c>
      <c r="E451" s="1226">
        <v>0.23408141175445099</v>
      </c>
      <c r="F451" s="1257">
        <v>2.16638231526993E-2</v>
      </c>
      <c r="G451" s="1280">
        <v>2.3503535486024199E-2</v>
      </c>
      <c r="H451" s="1271">
        <v>4.9959257465615501</v>
      </c>
      <c r="I451" s="1257">
        <v>0.48339697744865301</v>
      </c>
      <c r="J451" s="1280">
        <v>0.73769253561592096</v>
      </c>
      <c r="K451" s="1271">
        <v>7.8884672476668295E-3</v>
      </c>
      <c r="L451" s="1257">
        <v>2.4771766330472099E-4</v>
      </c>
      <c r="M451" s="1280">
        <v>2.0906319590298901E-4</v>
      </c>
      <c r="N451" s="1271">
        <v>7.0823227252416803E-3</v>
      </c>
      <c r="O451" s="1257">
        <v>3.0000008598028201E-3</v>
      </c>
      <c r="P451" s="1257">
        <v>8.2905168489693405E-3</v>
      </c>
      <c r="Q451" s="1280">
        <v>7.0823227252416803E-3</v>
      </c>
      <c r="R451" s="1271">
        <v>3.8500011034136201E-2</v>
      </c>
      <c r="S451" s="1257">
        <v>3.8500011034136201E-2</v>
      </c>
      <c r="T451" s="1257">
        <v>3.8500011034136201E-2</v>
      </c>
      <c r="U451" s="1280">
        <v>1.9250005517068101E-2</v>
      </c>
      <c r="V451" s="1293">
        <v>8.2451487320513508E-3</v>
      </c>
    </row>
    <row r="452" spans="1:22" s="212" customFormat="1" ht="15.5" x14ac:dyDescent="0.35">
      <c r="A452" s="198">
        <v>2023</v>
      </c>
      <c r="B452" s="197" t="s">
        <v>5833</v>
      </c>
      <c r="C452" s="197">
        <v>1997</v>
      </c>
      <c r="D452" s="225" t="str">
        <f t="shared" si="2"/>
        <v>2023_1997</v>
      </c>
      <c r="E452" s="1226">
        <v>0.23408141175445099</v>
      </c>
      <c r="F452" s="1257">
        <v>2.16638231526993E-2</v>
      </c>
      <c r="G452" s="1280">
        <v>2.3503535486024199E-2</v>
      </c>
      <c r="H452" s="1271">
        <v>4.9959257465615501</v>
      </c>
      <c r="I452" s="1257">
        <v>0.48339697744865301</v>
      </c>
      <c r="J452" s="1280">
        <v>0.73769253561592096</v>
      </c>
      <c r="K452" s="1271">
        <v>7.8884672476668295E-3</v>
      </c>
      <c r="L452" s="1257">
        <v>2.4771766330472099E-4</v>
      </c>
      <c r="M452" s="1280">
        <v>2.0906319590298901E-4</v>
      </c>
      <c r="N452" s="1271">
        <v>7.0823227252416803E-3</v>
      </c>
      <c r="O452" s="1257">
        <v>3.0000008598028201E-3</v>
      </c>
      <c r="P452" s="1257">
        <v>8.2905168489693405E-3</v>
      </c>
      <c r="Q452" s="1280">
        <v>7.0823227252416803E-3</v>
      </c>
      <c r="R452" s="1271">
        <v>3.8500011034136201E-2</v>
      </c>
      <c r="S452" s="1257">
        <v>3.8500011034136201E-2</v>
      </c>
      <c r="T452" s="1257">
        <v>3.8500011034136201E-2</v>
      </c>
      <c r="U452" s="1280">
        <v>1.9250005517068101E-2</v>
      </c>
      <c r="V452" s="1293">
        <v>8.2451487320513508E-3</v>
      </c>
    </row>
    <row r="453" spans="1:22" s="212" customFormat="1" ht="15.5" x14ac:dyDescent="0.35">
      <c r="A453" s="198">
        <v>2023</v>
      </c>
      <c r="B453" s="197" t="s">
        <v>5833</v>
      </c>
      <c r="C453" s="197">
        <v>1998</v>
      </c>
      <c r="D453" s="225" t="str">
        <f t="shared" si="2"/>
        <v>2023_1998</v>
      </c>
      <c r="E453" s="1226">
        <v>0.23408141175445099</v>
      </c>
      <c r="F453" s="1257">
        <v>2.16638231526993E-2</v>
      </c>
      <c r="G453" s="1280">
        <v>2.3503535486024199E-2</v>
      </c>
      <c r="H453" s="1271">
        <v>4.9959257465615501</v>
      </c>
      <c r="I453" s="1257">
        <v>0.48339697744865301</v>
      </c>
      <c r="J453" s="1280">
        <v>0.73769253561592096</v>
      </c>
      <c r="K453" s="1271">
        <v>7.8884672476668295E-3</v>
      </c>
      <c r="L453" s="1257">
        <v>2.4771766330472099E-4</v>
      </c>
      <c r="M453" s="1280">
        <v>2.0906319590298901E-4</v>
      </c>
      <c r="N453" s="1271">
        <v>7.0823227252416803E-3</v>
      </c>
      <c r="O453" s="1257">
        <v>3.0000008598028201E-3</v>
      </c>
      <c r="P453" s="1257">
        <v>8.2905168489693405E-3</v>
      </c>
      <c r="Q453" s="1280">
        <v>7.0823227252416803E-3</v>
      </c>
      <c r="R453" s="1271">
        <v>3.8500011034136201E-2</v>
      </c>
      <c r="S453" s="1257">
        <v>3.8500011034136201E-2</v>
      </c>
      <c r="T453" s="1257">
        <v>3.8500011034136201E-2</v>
      </c>
      <c r="U453" s="1280">
        <v>1.9250005517068101E-2</v>
      </c>
      <c r="V453" s="1293">
        <v>8.2451487320513508E-3</v>
      </c>
    </row>
    <row r="454" spans="1:22" s="212" customFormat="1" ht="15.5" x14ac:dyDescent="0.35">
      <c r="A454" s="198">
        <v>2023</v>
      </c>
      <c r="B454" s="197" t="s">
        <v>5833</v>
      </c>
      <c r="C454" s="197">
        <v>1999</v>
      </c>
      <c r="D454" s="225" t="str">
        <f t="shared" si="2"/>
        <v>2023_1999</v>
      </c>
      <c r="E454" s="1226">
        <v>0.23408141175445099</v>
      </c>
      <c r="F454" s="1257">
        <v>2.16638231526993E-2</v>
      </c>
      <c r="G454" s="1280">
        <v>2.3503535486024199E-2</v>
      </c>
      <c r="H454" s="1271">
        <v>4.9959257465615501</v>
      </c>
      <c r="I454" s="1257">
        <v>0.48339697744865301</v>
      </c>
      <c r="J454" s="1280">
        <v>0.73769253561592096</v>
      </c>
      <c r="K454" s="1271">
        <v>7.8884672476668295E-3</v>
      </c>
      <c r="L454" s="1257">
        <v>2.4771766330472099E-4</v>
      </c>
      <c r="M454" s="1280">
        <v>2.0906319590298901E-4</v>
      </c>
      <c r="N454" s="1271">
        <v>7.0823227252416803E-3</v>
      </c>
      <c r="O454" s="1257">
        <v>3.0000008598028201E-3</v>
      </c>
      <c r="P454" s="1257">
        <v>8.2905168489693405E-3</v>
      </c>
      <c r="Q454" s="1280">
        <v>7.0823227252416803E-3</v>
      </c>
      <c r="R454" s="1271">
        <v>3.8500011034136201E-2</v>
      </c>
      <c r="S454" s="1257">
        <v>3.8500011034136201E-2</v>
      </c>
      <c r="T454" s="1257">
        <v>3.8500011034136201E-2</v>
      </c>
      <c r="U454" s="1280">
        <v>1.9250005517068101E-2</v>
      </c>
      <c r="V454" s="1293">
        <v>8.2451487320513508E-3</v>
      </c>
    </row>
    <row r="455" spans="1:22" s="212" customFormat="1" ht="15.5" x14ac:dyDescent="0.35">
      <c r="A455" s="198">
        <v>2023</v>
      </c>
      <c r="B455" s="197" t="s">
        <v>5833</v>
      </c>
      <c r="C455" s="197">
        <v>2000</v>
      </c>
      <c r="D455" s="225" t="str">
        <f t="shared" si="2"/>
        <v>2023_2000</v>
      </c>
      <c r="E455" s="1226">
        <v>0.23408141175445099</v>
      </c>
      <c r="F455" s="1257">
        <v>2.16638231526993E-2</v>
      </c>
      <c r="G455" s="1280">
        <v>2.3503535486024199E-2</v>
      </c>
      <c r="H455" s="1271">
        <v>4.9959257465615501</v>
      </c>
      <c r="I455" s="1257">
        <v>0.48339697744865301</v>
      </c>
      <c r="J455" s="1280">
        <v>0.73769253561592096</v>
      </c>
      <c r="K455" s="1271">
        <v>7.8884672476668295E-3</v>
      </c>
      <c r="L455" s="1257">
        <v>2.4771766330472099E-4</v>
      </c>
      <c r="M455" s="1280">
        <v>2.0906319590298901E-4</v>
      </c>
      <c r="N455" s="1271">
        <v>7.0823227252416803E-3</v>
      </c>
      <c r="O455" s="1257">
        <v>3.0000008598028201E-3</v>
      </c>
      <c r="P455" s="1257">
        <v>8.2905168489693405E-3</v>
      </c>
      <c r="Q455" s="1280">
        <v>7.0823227252416803E-3</v>
      </c>
      <c r="R455" s="1271">
        <v>3.8500011034136201E-2</v>
      </c>
      <c r="S455" s="1257">
        <v>3.8500011034136201E-2</v>
      </c>
      <c r="T455" s="1257">
        <v>3.8500011034136201E-2</v>
      </c>
      <c r="U455" s="1280">
        <v>1.9250005517068101E-2</v>
      </c>
      <c r="V455" s="1293">
        <v>8.2451487320513508E-3</v>
      </c>
    </row>
    <row r="456" spans="1:22" s="212" customFormat="1" ht="15.5" x14ac:dyDescent="0.35">
      <c r="A456" s="198">
        <v>2023</v>
      </c>
      <c r="B456" s="197" t="s">
        <v>5833</v>
      </c>
      <c r="C456" s="197">
        <v>2001</v>
      </c>
      <c r="D456" s="225" t="str">
        <f t="shared" si="2"/>
        <v>2023_2001</v>
      </c>
      <c r="E456" s="1226">
        <v>0.23408141175445099</v>
      </c>
      <c r="F456" s="1257">
        <v>2.16638231526993E-2</v>
      </c>
      <c r="G456" s="1280">
        <v>2.3503535486024199E-2</v>
      </c>
      <c r="H456" s="1271">
        <v>4.9959257465615501</v>
      </c>
      <c r="I456" s="1257">
        <v>0.48339697744865301</v>
      </c>
      <c r="J456" s="1280">
        <v>0.73769253561592096</v>
      </c>
      <c r="K456" s="1271">
        <v>7.8884672476668295E-3</v>
      </c>
      <c r="L456" s="1257">
        <v>2.4771766330472099E-4</v>
      </c>
      <c r="M456" s="1280">
        <v>2.0906319590298901E-4</v>
      </c>
      <c r="N456" s="1271">
        <v>7.0823227252416803E-3</v>
      </c>
      <c r="O456" s="1257">
        <v>3.0000008598028201E-3</v>
      </c>
      <c r="P456" s="1257">
        <v>8.2905168489693405E-3</v>
      </c>
      <c r="Q456" s="1280">
        <v>7.0823227252416803E-3</v>
      </c>
      <c r="R456" s="1271">
        <v>3.8500011034136201E-2</v>
      </c>
      <c r="S456" s="1257">
        <v>3.8500011034136201E-2</v>
      </c>
      <c r="T456" s="1257">
        <v>3.8500011034136201E-2</v>
      </c>
      <c r="U456" s="1280">
        <v>1.9250005517068101E-2</v>
      </c>
      <c r="V456" s="1293">
        <v>8.2451487320513508E-3</v>
      </c>
    </row>
    <row r="457" spans="1:22" s="212" customFormat="1" ht="15.5" x14ac:dyDescent="0.35">
      <c r="A457" s="198">
        <v>2023</v>
      </c>
      <c r="B457" s="197" t="s">
        <v>5833</v>
      </c>
      <c r="C457" s="197">
        <v>2002</v>
      </c>
      <c r="D457" s="225" t="str">
        <f t="shared" si="2"/>
        <v>2023_2002</v>
      </c>
      <c r="E457" s="1226">
        <v>0.23408141175445099</v>
      </c>
      <c r="F457" s="1257">
        <v>2.16638231526993E-2</v>
      </c>
      <c r="G457" s="1280">
        <v>2.3503535486024199E-2</v>
      </c>
      <c r="H457" s="1271">
        <v>4.9959257465615501</v>
      </c>
      <c r="I457" s="1257">
        <v>0.48339697744865301</v>
      </c>
      <c r="J457" s="1280">
        <v>0.73769253561592096</v>
      </c>
      <c r="K457" s="1271">
        <v>7.8884672476668295E-3</v>
      </c>
      <c r="L457" s="1257">
        <v>2.4771766330472099E-4</v>
      </c>
      <c r="M457" s="1280">
        <v>2.0906319590298901E-4</v>
      </c>
      <c r="N457" s="1271">
        <v>7.0823227252416803E-3</v>
      </c>
      <c r="O457" s="1257">
        <v>3.0000008598028201E-3</v>
      </c>
      <c r="P457" s="1257">
        <v>8.2905168489693405E-3</v>
      </c>
      <c r="Q457" s="1280">
        <v>7.0823227252416803E-3</v>
      </c>
      <c r="R457" s="1271">
        <v>3.8500011034136201E-2</v>
      </c>
      <c r="S457" s="1257">
        <v>3.8500011034136201E-2</v>
      </c>
      <c r="T457" s="1257">
        <v>3.8500011034136201E-2</v>
      </c>
      <c r="U457" s="1280">
        <v>1.9250005517068101E-2</v>
      </c>
      <c r="V457" s="1293">
        <v>8.2451487320513508E-3</v>
      </c>
    </row>
    <row r="458" spans="1:22" s="212" customFormat="1" ht="15.5" x14ac:dyDescent="0.35">
      <c r="A458" s="198">
        <v>2023</v>
      </c>
      <c r="B458" s="197" t="s">
        <v>5833</v>
      </c>
      <c r="C458" s="197">
        <v>2003</v>
      </c>
      <c r="D458" s="225" t="str">
        <f t="shared" si="2"/>
        <v>2023_2003</v>
      </c>
      <c r="E458" s="1226">
        <v>0.23408141175445099</v>
      </c>
      <c r="F458" s="1257">
        <v>2.16638231526993E-2</v>
      </c>
      <c r="G458" s="1280">
        <v>2.3503535486024199E-2</v>
      </c>
      <c r="H458" s="1271">
        <v>4.9959257465615501</v>
      </c>
      <c r="I458" s="1257">
        <v>0.48339697744865301</v>
      </c>
      <c r="J458" s="1280">
        <v>0.73769253561592096</v>
      </c>
      <c r="K458" s="1271">
        <v>7.8884672476668295E-3</v>
      </c>
      <c r="L458" s="1257">
        <v>2.4771766330472099E-4</v>
      </c>
      <c r="M458" s="1280">
        <v>2.0906319590298901E-4</v>
      </c>
      <c r="N458" s="1271">
        <v>7.0823227252416803E-3</v>
      </c>
      <c r="O458" s="1257">
        <v>3.0000008598028201E-3</v>
      </c>
      <c r="P458" s="1257">
        <v>8.2905168489693405E-3</v>
      </c>
      <c r="Q458" s="1280">
        <v>7.0823227252416803E-3</v>
      </c>
      <c r="R458" s="1271">
        <v>3.8500011034136201E-2</v>
      </c>
      <c r="S458" s="1257">
        <v>3.8500011034136201E-2</v>
      </c>
      <c r="T458" s="1257">
        <v>3.8500011034136201E-2</v>
      </c>
      <c r="U458" s="1280">
        <v>1.9250005517068101E-2</v>
      </c>
      <c r="V458" s="1293">
        <v>8.2451487320513508E-3</v>
      </c>
    </row>
    <row r="459" spans="1:22" s="212" customFormat="1" ht="15.5" x14ac:dyDescent="0.35">
      <c r="A459" s="198">
        <v>2023</v>
      </c>
      <c r="B459" s="197" t="s">
        <v>5833</v>
      </c>
      <c r="C459" s="197">
        <v>2004</v>
      </c>
      <c r="D459" s="225" t="str">
        <f t="shared" si="2"/>
        <v>2023_2004</v>
      </c>
      <c r="E459" s="1226">
        <v>0.23408141175445099</v>
      </c>
      <c r="F459" s="1257">
        <v>2.16638231526993E-2</v>
      </c>
      <c r="G459" s="1280">
        <v>2.3503535486024199E-2</v>
      </c>
      <c r="H459" s="1271">
        <v>4.9959257465615501</v>
      </c>
      <c r="I459" s="1257">
        <v>0.48339697744865301</v>
      </c>
      <c r="J459" s="1280">
        <v>0.73769253561592096</v>
      </c>
      <c r="K459" s="1271">
        <v>7.8884672476668295E-3</v>
      </c>
      <c r="L459" s="1257">
        <v>2.4771766330472099E-4</v>
      </c>
      <c r="M459" s="1280">
        <v>2.0906319590298901E-4</v>
      </c>
      <c r="N459" s="1271">
        <v>7.0823227252416803E-3</v>
      </c>
      <c r="O459" s="1257">
        <v>3.0000008598028201E-3</v>
      </c>
      <c r="P459" s="1257">
        <v>8.2905168489693405E-3</v>
      </c>
      <c r="Q459" s="1280">
        <v>7.0823227252416803E-3</v>
      </c>
      <c r="R459" s="1271">
        <v>3.8500011034136201E-2</v>
      </c>
      <c r="S459" s="1257">
        <v>3.8500011034136201E-2</v>
      </c>
      <c r="T459" s="1257">
        <v>3.8500011034136201E-2</v>
      </c>
      <c r="U459" s="1280">
        <v>1.9250005517068101E-2</v>
      </c>
      <c r="V459" s="1293">
        <v>8.2451487320513508E-3</v>
      </c>
    </row>
    <row r="460" spans="1:22" s="212" customFormat="1" ht="15.5" x14ac:dyDescent="0.35">
      <c r="A460" s="198">
        <v>2023</v>
      </c>
      <c r="B460" s="197" t="s">
        <v>5833</v>
      </c>
      <c r="C460" s="197">
        <v>2005</v>
      </c>
      <c r="D460" s="225" t="str">
        <f t="shared" si="2"/>
        <v>2023_2005</v>
      </c>
      <c r="E460" s="1226">
        <v>0.23408141175445099</v>
      </c>
      <c r="F460" s="1257">
        <v>2.16638231526993E-2</v>
      </c>
      <c r="G460" s="1280">
        <v>2.3503535486024199E-2</v>
      </c>
      <c r="H460" s="1271">
        <v>4.9959257465615501</v>
      </c>
      <c r="I460" s="1257">
        <v>0.48339697744865301</v>
      </c>
      <c r="J460" s="1280">
        <v>0.73769253561592096</v>
      </c>
      <c r="K460" s="1271">
        <v>7.8884672476668295E-3</v>
      </c>
      <c r="L460" s="1257">
        <v>2.4771766330472099E-4</v>
      </c>
      <c r="M460" s="1280">
        <v>2.0906319590298901E-4</v>
      </c>
      <c r="N460" s="1271">
        <v>7.0823227252416803E-3</v>
      </c>
      <c r="O460" s="1257">
        <v>3.0000008598028201E-3</v>
      </c>
      <c r="P460" s="1257">
        <v>8.2905168489693405E-3</v>
      </c>
      <c r="Q460" s="1280">
        <v>7.0823227252416803E-3</v>
      </c>
      <c r="R460" s="1271">
        <v>3.8500011034136201E-2</v>
      </c>
      <c r="S460" s="1257">
        <v>3.8500011034136201E-2</v>
      </c>
      <c r="T460" s="1257">
        <v>3.8500011034136201E-2</v>
      </c>
      <c r="U460" s="1280">
        <v>1.9250005517068101E-2</v>
      </c>
      <c r="V460" s="1293">
        <v>8.2451487320513508E-3</v>
      </c>
    </row>
    <row r="461" spans="1:22" s="212" customFormat="1" ht="15.5" x14ac:dyDescent="0.35">
      <c r="A461" s="198">
        <v>2023</v>
      </c>
      <c r="B461" s="197" t="s">
        <v>5833</v>
      </c>
      <c r="C461" s="197">
        <v>2006</v>
      </c>
      <c r="D461" s="225" t="str">
        <f t="shared" si="2"/>
        <v>2023_2006</v>
      </c>
      <c r="E461" s="1226">
        <v>0.23408141175445099</v>
      </c>
      <c r="F461" s="1257">
        <v>2.16638231526993E-2</v>
      </c>
      <c r="G461" s="1280">
        <v>2.3503535486024199E-2</v>
      </c>
      <c r="H461" s="1271">
        <v>4.9959257465615501</v>
      </c>
      <c r="I461" s="1257">
        <v>0.48339697744865301</v>
      </c>
      <c r="J461" s="1280">
        <v>0.73769253561592096</v>
      </c>
      <c r="K461" s="1271">
        <v>7.8884672476668295E-3</v>
      </c>
      <c r="L461" s="1257">
        <v>2.4771766330472099E-4</v>
      </c>
      <c r="M461" s="1280">
        <v>2.0906319590298901E-4</v>
      </c>
      <c r="N461" s="1271">
        <v>7.0823227252416803E-3</v>
      </c>
      <c r="O461" s="1257">
        <v>3.0000008598028201E-3</v>
      </c>
      <c r="P461" s="1257">
        <v>8.2905168489693405E-3</v>
      </c>
      <c r="Q461" s="1280">
        <v>7.0823227252416803E-3</v>
      </c>
      <c r="R461" s="1271">
        <v>3.8500011034136201E-2</v>
      </c>
      <c r="S461" s="1257">
        <v>3.8500011034136201E-2</v>
      </c>
      <c r="T461" s="1257">
        <v>3.8500011034136201E-2</v>
      </c>
      <c r="U461" s="1280">
        <v>1.9250005517068101E-2</v>
      </c>
      <c r="V461" s="1293">
        <v>8.2451487320513508E-3</v>
      </c>
    </row>
    <row r="462" spans="1:22" s="212" customFormat="1" ht="15.5" x14ac:dyDescent="0.35">
      <c r="A462" s="198">
        <v>2023</v>
      </c>
      <c r="B462" s="197" t="s">
        <v>5833</v>
      </c>
      <c r="C462" s="197">
        <v>2007</v>
      </c>
      <c r="D462" s="225" t="str">
        <f t="shared" si="2"/>
        <v>2023_2007</v>
      </c>
      <c r="E462" s="1226">
        <v>0.23408141175445099</v>
      </c>
      <c r="F462" s="1257">
        <v>2.16638231526993E-2</v>
      </c>
      <c r="G462" s="1280">
        <v>2.3503535486024199E-2</v>
      </c>
      <c r="H462" s="1271">
        <v>4.9959257465615501</v>
      </c>
      <c r="I462" s="1257">
        <v>0.48339697744865301</v>
      </c>
      <c r="J462" s="1280">
        <v>0.73769253561592096</v>
      </c>
      <c r="K462" s="1271">
        <v>7.8884672476668295E-3</v>
      </c>
      <c r="L462" s="1257">
        <v>2.4771766330472099E-4</v>
      </c>
      <c r="M462" s="1280">
        <v>2.0906319590298901E-4</v>
      </c>
      <c r="N462" s="1271">
        <v>7.0823227252416803E-3</v>
      </c>
      <c r="O462" s="1257">
        <v>3.0000008598028201E-3</v>
      </c>
      <c r="P462" s="1257">
        <v>8.2905168489693405E-3</v>
      </c>
      <c r="Q462" s="1280">
        <v>7.0823227252416803E-3</v>
      </c>
      <c r="R462" s="1271">
        <v>3.8500011034136201E-2</v>
      </c>
      <c r="S462" s="1257">
        <v>3.8500011034136201E-2</v>
      </c>
      <c r="T462" s="1257">
        <v>3.8500011034136201E-2</v>
      </c>
      <c r="U462" s="1280">
        <v>1.9250005517068101E-2</v>
      </c>
      <c r="V462" s="1293">
        <v>8.2451487320513508E-3</v>
      </c>
    </row>
    <row r="463" spans="1:22" s="212" customFormat="1" ht="15.5" x14ac:dyDescent="0.35">
      <c r="A463" s="198">
        <v>2023</v>
      </c>
      <c r="B463" s="197" t="s">
        <v>5833</v>
      </c>
      <c r="C463" s="197">
        <v>2008</v>
      </c>
      <c r="D463" s="225" t="str">
        <f t="shared" si="2"/>
        <v>2023_2008</v>
      </c>
      <c r="E463" s="1226">
        <v>0.23408141175445099</v>
      </c>
      <c r="F463" s="1257">
        <v>2.16638231526993E-2</v>
      </c>
      <c r="G463" s="1280">
        <v>2.3503535486024199E-2</v>
      </c>
      <c r="H463" s="1271">
        <v>4.9959257465615501</v>
      </c>
      <c r="I463" s="1257">
        <v>0.48339697744865301</v>
      </c>
      <c r="J463" s="1280">
        <v>0.73769253561592096</v>
      </c>
      <c r="K463" s="1271">
        <v>7.8884672476668295E-3</v>
      </c>
      <c r="L463" s="1257">
        <v>2.4771766330472099E-4</v>
      </c>
      <c r="M463" s="1280">
        <v>2.0906319590298901E-4</v>
      </c>
      <c r="N463" s="1271">
        <v>7.0823227252416803E-3</v>
      </c>
      <c r="O463" s="1257">
        <v>3.0000008598028201E-3</v>
      </c>
      <c r="P463" s="1257">
        <v>8.2905168489693405E-3</v>
      </c>
      <c r="Q463" s="1280">
        <v>7.0823227252416803E-3</v>
      </c>
      <c r="R463" s="1271">
        <v>3.8500011034136201E-2</v>
      </c>
      <c r="S463" s="1257">
        <v>3.8500011034136201E-2</v>
      </c>
      <c r="T463" s="1257">
        <v>3.8500011034136201E-2</v>
      </c>
      <c r="U463" s="1280">
        <v>1.9250005517068101E-2</v>
      </c>
      <c r="V463" s="1293">
        <v>8.2451487320513508E-3</v>
      </c>
    </row>
    <row r="464" spans="1:22" s="212" customFormat="1" ht="15.5" x14ac:dyDescent="0.35">
      <c r="A464" s="198">
        <v>2023</v>
      </c>
      <c r="B464" s="197" t="s">
        <v>5833</v>
      </c>
      <c r="C464" s="197">
        <v>2009</v>
      </c>
      <c r="D464" s="225" t="str">
        <f t="shared" si="2"/>
        <v>2023_2009</v>
      </c>
      <c r="E464" s="1231">
        <v>0.23408141175445099</v>
      </c>
      <c r="F464" s="1288">
        <v>2.16638231526993E-2</v>
      </c>
      <c r="G464" s="1306">
        <v>2.3503535486024199E-2</v>
      </c>
      <c r="H464" s="1303">
        <v>4.9959257465615501</v>
      </c>
      <c r="I464" s="1288">
        <v>0.48339697744865301</v>
      </c>
      <c r="J464" s="1306">
        <v>0.73769253561592096</v>
      </c>
      <c r="K464" s="1303">
        <v>7.8884672476668295E-3</v>
      </c>
      <c r="L464" s="1288">
        <v>2.4771766330472099E-4</v>
      </c>
      <c r="M464" s="1306">
        <v>2.0906319590298901E-4</v>
      </c>
      <c r="N464" s="1303">
        <v>7.0823227252416803E-3</v>
      </c>
      <c r="O464" s="1288">
        <v>3.0000008598028201E-3</v>
      </c>
      <c r="P464" s="1288">
        <v>8.2905168489693405E-3</v>
      </c>
      <c r="Q464" s="1306">
        <v>7.8198706855009195E-3</v>
      </c>
      <c r="R464" s="1303">
        <v>3.8500011034136201E-2</v>
      </c>
      <c r="S464" s="1288">
        <v>3.8500011034136201E-2</v>
      </c>
      <c r="T464" s="1288">
        <v>3.8500011034136201E-2</v>
      </c>
      <c r="U464" s="1306">
        <v>1.9250005517068101E-2</v>
      </c>
      <c r="V464" s="1294">
        <v>8.2451487320513508E-3</v>
      </c>
    </row>
    <row r="465" spans="1:22" s="212" customFormat="1" ht="15.5" x14ac:dyDescent="0.35">
      <c r="A465" s="198">
        <v>2023</v>
      </c>
      <c r="B465" s="197" t="s">
        <v>5833</v>
      </c>
      <c r="C465" s="197">
        <v>2010</v>
      </c>
      <c r="D465" s="225" t="str">
        <f t="shared" si="2"/>
        <v>2023_2010</v>
      </c>
      <c r="E465" s="1231">
        <v>7.3980368576993402E-2</v>
      </c>
      <c r="F465" s="1288">
        <v>2.1762717090243501E-2</v>
      </c>
      <c r="G465" s="1306">
        <v>2.2235281697866E-2</v>
      </c>
      <c r="H465" s="1303">
        <v>0.42395424200348197</v>
      </c>
      <c r="I465" s="1288">
        <v>0.449117744928415</v>
      </c>
      <c r="J465" s="1306">
        <v>0.68025733837920699</v>
      </c>
      <c r="K465" s="1303">
        <v>7.5403434103302599E-3</v>
      </c>
      <c r="L465" s="1288">
        <v>3.0324320547363103E-4</v>
      </c>
      <c r="M465" s="1306">
        <v>1.9489482853395399E-4</v>
      </c>
      <c r="N465" s="1303">
        <v>8.8734998002355393E-3</v>
      </c>
      <c r="O465" s="1288">
        <v>3.0000008598028201E-3</v>
      </c>
      <c r="P465" s="1288">
        <v>7.4956994516754104E-3</v>
      </c>
      <c r="Q465" s="1306">
        <v>8.9186934846127199E-3</v>
      </c>
      <c r="R465" s="1303">
        <v>3.8500011034136201E-2</v>
      </c>
      <c r="S465" s="1288">
        <v>3.8500011034136201E-2</v>
      </c>
      <c r="T465" s="1288">
        <v>3.8500011034136201E-2</v>
      </c>
      <c r="U465" s="1306">
        <v>1.9250005517068101E-2</v>
      </c>
      <c r="V465" s="1294">
        <v>7.8812842795670697E-3</v>
      </c>
    </row>
    <row r="466" spans="1:22" s="212" customFormat="1" ht="15.5" x14ac:dyDescent="0.35">
      <c r="A466" s="198">
        <v>2023</v>
      </c>
      <c r="B466" s="197" t="s">
        <v>5833</v>
      </c>
      <c r="C466" s="197">
        <v>2011</v>
      </c>
      <c r="D466" s="225" t="str">
        <f t="shared" si="2"/>
        <v>2023_2011</v>
      </c>
      <c r="E466" s="1231">
        <v>6.5077757933704794E-2</v>
      </c>
      <c r="F466" s="1288">
        <v>1.4362779662367599E-2</v>
      </c>
      <c r="G466" s="1306">
        <v>2.4049925835460499E-2</v>
      </c>
      <c r="H466" s="1303">
        <v>0.35690890263819303</v>
      </c>
      <c r="I466" s="1288">
        <v>0.38978328238661902</v>
      </c>
      <c r="J466" s="1306">
        <v>0.75736943374495602</v>
      </c>
      <c r="K466" s="1303">
        <v>6.4420346169580299E-3</v>
      </c>
      <c r="L466" s="1288">
        <v>2.7481658330035902E-4</v>
      </c>
      <c r="M466" s="1306">
        <v>2.1379877777926801E-4</v>
      </c>
      <c r="N466" s="1303">
        <v>7.71728922414651E-3</v>
      </c>
      <c r="O466" s="1288">
        <v>3.0000008598028201E-3</v>
      </c>
      <c r="P466" s="1288">
        <v>8.3358074424524E-3</v>
      </c>
      <c r="Q466" s="1306">
        <v>4.2337495475846098E-3</v>
      </c>
      <c r="R466" s="1303">
        <v>3.8500011034136201E-2</v>
      </c>
      <c r="S466" s="1288">
        <v>3.8500011034136201E-2</v>
      </c>
      <c r="T466" s="1288">
        <v>3.8500011034136201E-2</v>
      </c>
      <c r="U466" s="1306">
        <v>1.9250005517068101E-2</v>
      </c>
      <c r="V466" s="1294">
        <v>6.7333148362316297E-3</v>
      </c>
    </row>
    <row r="467" spans="1:22" s="212" customFormat="1" ht="15.5" x14ac:dyDescent="0.35">
      <c r="A467" s="198">
        <v>2023</v>
      </c>
      <c r="B467" s="197" t="s">
        <v>5833</v>
      </c>
      <c r="C467" s="197">
        <v>2012</v>
      </c>
      <c r="D467" s="225" t="str">
        <f t="shared" si="2"/>
        <v>2023_2012</v>
      </c>
      <c r="E467" s="1231">
        <v>8.1255358943435899E-2</v>
      </c>
      <c r="F467" s="1288">
        <v>1.45117261804945E-2</v>
      </c>
      <c r="G467" s="1306">
        <v>2.2779200628700199E-2</v>
      </c>
      <c r="H467" s="1303">
        <v>0.52435282193865895</v>
      </c>
      <c r="I467" s="1288">
        <v>0.36363165660282898</v>
      </c>
      <c r="J467" s="1306">
        <v>0.70675102161774095</v>
      </c>
      <c r="K467" s="1303">
        <v>7.0126393513781004E-3</v>
      </c>
      <c r="L467" s="1288">
        <v>4.0591566467606198E-4</v>
      </c>
      <c r="M467" s="1306">
        <v>2.0178849426607699E-4</v>
      </c>
      <c r="N467" s="1303">
        <v>8.7970325642316508E-3</v>
      </c>
      <c r="O467" s="1288">
        <v>3.0000008598028201E-3</v>
      </c>
      <c r="P467" s="1288">
        <v>8.2249125040847904E-3</v>
      </c>
      <c r="Q467" s="1306">
        <v>7.8209757815365794E-3</v>
      </c>
      <c r="R467" s="1303">
        <v>3.8500011034136201E-2</v>
      </c>
      <c r="S467" s="1288">
        <v>3.8500011034136201E-2</v>
      </c>
      <c r="T467" s="1288">
        <v>3.8500011034136201E-2</v>
      </c>
      <c r="U467" s="1306">
        <v>1.9250005517068101E-2</v>
      </c>
      <c r="V467" s="1294">
        <v>7.3297197847211797E-3</v>
      </c>
    </row>
    <row r="468" spans="1:22" s="212" customFormat="1" ht="15.5" x14ac:dyDescent="0.35">
      <c r="A468" s="198">
        <v>2023</v>
      </c>
      <c r="B468" s="197" t="s">
        <v>5833</v>
      </c>
      <c r="C468" s="197">
        <v>2013</v>
      </c>
      <c r="D468" s="225" t="str">
        <f t="shared" si="2"/>
        <v>2023_2013</v>
      </c>
      <c r="E468" s="1231">
        <v>7.03348998553468E-2</v>
      </c>
      <c r="F468" s="1288">
        <v>7.0345914179331904E-3</v>
      </c>
      <c r="G468" s="1306">
        <v>2.4477918892599801E-2</v>
      </c>
      <c r="H468" s="1303">
        <v>0.39939846392526301</v>
      </c>
      <c r="I468" s="1288">
        <v>0.12106081537624699</v>
      </c>
      <c r="J468" s="1306">
        <v>0.72317354665442801</v>
      </c>
      <c r="K468" s="1303">
        <v>7.0248268203961899E-3</v>
      </c>
      <c r="L468" s="1288">
        <v>5.0222101787283002E-4</v>
      </c>
      <c r="M468" s="1306">
        <v>6.3156921751535795E-4</v>
      </c>
      <c r="N468" s="1303">
        <v>8.3326128222125807E-3</v>
      </c>
      <c r="O468" s="1288">
        <v>2.26112431585855E-3</v>
      </c>
      <c r="P468" s="1288">
        <v>8.0048680034757007E-3</v>
      </c>
      <c r="Q468" s="1306">
        <v>3.8922596037388102E-3</v>
      </c>
      <c r="R468" s="1303">
        <v>3.8493870330217499E-2</v>
      </c>
      <c r="S468" s="1288">
        <v>3.3586482016906803E-2</v>
      </c>
      <c r="T468" s="1288">
        <v>3.83401773034453E-2</v>
      </c>
      <c r="U468" s="1306">
        <v>1.9238007675286099E-2</v>
      </c>
      <c r="V468" s="1294">
        <v>7.3424583170071701E-3</v>
      </c>
    </row>
    <row r="469" spans="1:22" s="212" customFormat="1" ht="15.5" x14ac:dyDescent="0.35">
      <c r="A469" s="198">
        <v>2023</v>
      </c>
      <c r="B469" s="197" t="s">
        <v>5833</v>
      </c>
      <c r="C469" s="197">
        <v>2014</v>
      </c>
      <c r="D469" s="225" t="str">
        <f t="shared" si="2"/>
        <v>2023_2014</v>
      </c>
      <c r="E469" s="1231">
        <v>6.6872908994096703E-2</v>
      </c>
      <c r="F469" s="1288">
        <v>7.6618253783098302E-3</v>
      </c>
      <c r="G469" s="1306">
        <v>2.60401031527712E-2</v>
      </c>
      <c r="H469" s="1303">
        <v>0.38618073547368897</v>
      </c>
      <c r="I469" s="1288">
        <v>7.4513402093242601E-2</v>
      </c>
      <c r="J469" s="1306">
        <v>0.81348369311972901</v>
      </c>
      <c r="K469" s="1303">
        <v>6.3392667019211597E-3</v>
      </c>
      <c r="L469" s="1288">
        <v>7.1680402984484104E-4</v>
      </c>
      <c r="M469" s="1306">
        <v>3.92159108817448E-4</v>
      </c>
      <c r="N469" s="1303">
        <v>7.6321509609108404E-3</v>
      </c>
      <c r="O469" s="1288">
        <v>2.1367220253360598E-3</v>
      </c>
      <c r="P469" s="1288">
        <v>8.5846953190263798E-3</v>
      </c>
      <c r="Q469" s="1306">
        <v>8.3519267598167694E-3</v>
      </c>
      <c r="R469" s="1303">
        <v>3.8495644604223903E-2</v>
      </c>
      <c r="S469" s="1288">
        <v>3.2759206784932202E-2</v>
      </c>
      <c r="T469" s="1288">
        <v>3.8443696915343703E-2</v>
      </c>
      <c r="U469" s="1306">
        <v>1.9228945827987499E-2</v>
      </c>
      <c r="V469" s="1294">
        <v>6.6259002121026702E-3</v>
      </c>
    </row>
    <row r="470" spans="1:22" s="212" customFormat="1" ht="15.5" x14ac:dyDescent="0.35">
      <c r="A470" s="198">
        <v>2023</v>
      </c>
      <c r="B470" s="197" t="s">
        <v>5833</v>
      </c>
      <c r="C470" s="197">
        <v>2015</v>
      </c>
      <c r="D470" s="225" t="str">
        <f t="shared" si="2"/>
        <v>2023_2015</v>
      </c>
      <c r="E470" s="1231">
        <v>6.9563860043725098E-2</v>
      </c>
      <c r="F470" s="1288">
        <v>1.1141956513251099E-2</v>
      </c>
      <c r="G470" s="1306">
        <v>2.4031497064807901E-2</v>
      </c>
      <c r="H470" s="1303">
        <v>0.400645136031268</v>
      </c>
      <c r="I470" s="1288">
        <v>0.190495556373245</v>
      </c>
      <c r="J470" s="1306">
        <v>0.73122834780403101</v>
      </c>
      <c r="K470" s="1303">
        <v>6.7511423434550299E-3</v>
      </c>
      <c r="L470" s="1288">
        <v>1.02188638218359E-3</v>
      </c>
      <c r="M470" s="1306">
        <v>3.9205862100971601E-4</v>
      </c>
      <c r="N470" s="1303">
        <v>8.08963182934949E-3</v>
      </c>
      <c r="O470" s="1288">
        <v>2.5488370124136799E-3</v>
      </c>
      <c r="P470" s="1288">
        <v>7.6554203626222998E-3</v>
      </c>
      <c r="Q470" s="1306">
        <v>7.0764407049211204E-3</v>
      </c>
      <c r="R470" s="1303">
        <v>3.8481888326502497E-2</v>
      </c>
      <c r="S470" s="1288">
        <v>3.54997714489984E-2</v>
      </c>
      <c r="T470" s="1288">
        <v>3.84036317540861E-2</v>
      </c>
      <c r="U470" s="1306">
        <v>1.9167935893848399E-2</v>
      </c>
      <c r="V470" s="1294">
        <v>7.0563990424756104E-3</v>
      </c>
    </row>
    <row r="471" spans="1:22" s="212" customFormat="1" ht="15.5" x14ac:dyDescent="0.35">
      <c r="A471" s="198">
        <v>2023</v>
      </c>
      <c r="B471" s="197" t="s">
        <v>5833</v>
      </c>
      <c r="C471" s="197">
        <v>2016</v>
      </c>
      <c r="D471" s="225" t="str">
        <f t="shared" si="2"/>
        <v>2023_2016</v>
      </c>
      <c r="E471" s="1231">
        <v>6.8814754468735501E-2</v>
      </c>
      <c r="F471" s="1288">
        <v>5.7895536691559496E-3</v>
      </c>
      <c r="G471" s="1306">
        <v>2.6767930676747601E-2</v>
      </c>
      <c r="H471" s="1303">
        <v>0.38449304700523002</v>
      </c>
      <c r="I471" s="1288">
        <v>8.9799824422735305E-2</v>
      </c>
      <c r="J471" s="1306">
        <v>0.84385064515527297</v>
      </c>
      <c r="K471" s="1303">
        <v>6.9435837912095897E-3</v>
      </c>
      <c r="L471" s="1288">
        <v>9.8222992272331599E-4</v>
      </c>
      <c r="M471" s="1306">
        <v>3.6326963644892302E-4</v>
      </c>
      <c r="N471" s="1303">
        <v>8.2117804972583908E-3</v>
      </c>
      <c r="O471" s="1288">
        <v>2.2085237200317599E-3</v>
      </c>
      <c r="P471" s="1288">
        <v>8.4738214777924908E-3</v>
      </c>
      <c r="Q471" s="1306">
        <v>7.9569585657918804E-3</v>
      </c>
      <c r="R471" s="1303">
        <v>3.84958616135E-2</v>
      </c>
      <c r="S471" s="1288">
        <v>3.3236688054658597E-2</v>
      </c>
      <c r="T471" s="1288">
        <v>3.8449978524626803E-2</v>
      </c>
      <c r="U471" s="1306">
        <v>1.9243523638359E-2</v>
      </c>
      <c r="V471" s="1294">
        <v>7.2575418385513501E-3</v>
      </c>
    </row>
    <row r="472" spans="1:22" s="212" customFormat="1" ht="15.5" x14ac:dyDescent="0.35">
      <c r="A472" s="198">
        <v>2023</v>
      </c>
      <c r="B472" s="197" t="s">
        <v>5833</v>
      </c>
      <c r="C472" s="197">
        <v>2017</v>
      </c>
      <c r="D472" s="225" t="str">
        <f t="shared" si="2"/>
        <v>2023_2017</v>
      </c>
      <c r="E472" s="1231">
        <v>6.5917207175925502E-2</v>
      </c>
      <c r="F472" s="1288">
        <v>1.08006005952423E-2</v>
      </c>
      <c r="G472" s="1306">
        <v>2.23256985349145E-2</v>
      </c>
      <c r="H472" s="1303">
        <v>0.363653140500239</v>
      </c>
      <c r="I472" s="1288">
        <v>0.14772513985164001</v>
      </c>
      <c r="J472" s="1306">
        <v>0.51420847373422196</v>
      </c>
      <c r="K472" s="1303">
        <v>6.5642248361836896E-3</v>
      </c>
      <c r="L472" s="1288">
        <v>1.2707702467834E-3</v>
      </c>
      <c r="M472" s="1306">
        <v>1.3705322971064599E-3</v>
      </c>
      <c r="N472" s="1303">
        <v>7.8255510763968906E-3</v>
      </c>
      <c r="O472" s="1288">
        <v>2.4876782578978599E-3</v>
      </c>
      <c r="P472" s="1288">
        <v>6.84590347907488E-3</v>
      </c>
      <c r="Q472" s="1306">
        <v>8.0174328048109502E-3</v>
      </c>
      <c r="R472" s="1303">
        <v>3.8498015894693802E-2</v>
      </c>
      <c r="S472" s="1288">
        <v>3.5093065731468198E-2</v>
      </c>
      <c r="T472" s="1288">
        <v>3.7696008183240898E-2</v>
      </c>
      <c r="U472" s="1306">
        <v>1.90904064375991E-2</v>
      </c>
      <c r="V472" s="1294">
        <v>6.8610299549596099E-3</v>
      </c>
    </row>
    <row r="473" spans="1:22" s="212" customFormat="1" ht="15.5" x14ac:dyDescent="0.35">
      <c r="A473" s="198">
        <v>2023</v>
      </c>
      <c r="B473" s="197" t="s">
        <v>5833</v>
      </c>
      <c r="C473" s="197">
        <v>2018</v>
      </c>
      <c r="D473" s="225" t="str">
        <f t="shared" si="2"/>
        <v>2023_2018</v>
      </c>
      <c r="E473" s="1231">
        <v>6.90602125896288E-2</v>
      </c>
      <c r="F473" s="1288">
        <v>9.1978351576442307E-3</v>
      </c>
      <c r="G473" s="1306">
        <v>5.51055933476675E-2</v>
      </c>
      <c r="H473" s="1303">
        <v>0.385086717911654</v>
      </c>
      <c r="I473" s="1288">
        <v>0.13269248803453701</v>
      </c>
      <c r="J473" s="1306">
        <v>0.113781693960437</v>
      </c>
      <c r="K473" s="1303">
        <v>6.9928991166173498E-3</v>
      </c>
      <c r="L473" s="1288">
        <v>1.24420188200789E-3</v>
      </c>
      <c r="M473" s="1306">
        <v>1.3030937817680799E-3</v>
      </c>
      <c r="N473" s="1303">
        <v>8.2482763103661604E-3</v>
      </c>
      <c r="O473" s="1288">
        <v>2.4788674284457598E-3</v>
      </c>
      <c r="P473" s="1288">
        <v>7.1518389140904403E-3</v>
      </c>
      <c r="Q473" s="1306">
        <v>7.9389976672573793E-3</v>
      </c>
      <c r="R473" s="1303">
        <v>3.8487927441084202E-2</v>
      </c>
      <c r="S473" s="1288">
        <v>3.5034473715611698E-2</v>
      </c>
      <c r="T473" s="1288">
        <v>3.7881050835453497E-2</v>
      </c>
      <c r="U473" s="1306">
        <v>1.9240847680182201E-2</v>
      </c>
      <c r="V473" s="1294">
        <v>7.3090869841405297E-3</v>
      </c>
    </row>
    <row r="474" spans="1:22" s="212" customFormat="1" ht="15.5" x14ac:dyDescent="0.35">
      <c r="A474" s="198">
        <v>2023</v>
      </c>
      <c r="B474" s="197" t="s">
        <v>5833</v>
      </c>
      <c r="C474" s="197">
        <v>2019</v>
      </c>
      <c r="D474" s="225" t="str">
        <f t="shared" si="2"/>
        <v>2023_2019</v>
      </c>
      <c r="E474" s="1231">
        <v>7.1714537544482301E-2</v>
      </c>
      <c r="F474" s="1288">
        <v>7.7260368917341001E-3</v>
      </c>
      <c r="G474" s="1306">
        <v>5.2420145158169798E-2</v>
      </c>
      <c r="H474" s="1303">
        <v>0.40448145972644001</v>
      </c>
      <c r="I474" s="1288">
        <v>8.0092867389611896E-2</v>
      </c>
      <c r="J474" s="1306">
        <v>0.10819226157141899</v>
      </c>
      <c r="K474" s="1303">
        <v>7.3030799311983403E-3</v>
      </c>
      <c r="L474" s="1288">
        <v>1.2595445316123299E-3</v>
      </c>
      <c r="M474" s="1306">
        <v>7.5242443201356405E-4</v>
      </c>
      <c r="N474" s="1303">
        <v>8.5784756094915704E-3</v>
      </c>
      <c r="O474" s="1288">
        <v>2.2678037618185701E-3</v>
      </c>
      <c r="P474" s="1288">
        <v>6.9472013974099999E-3</v>
      </c>
      <c r="Q474" s="1306">
        <v>6.5198277035009699E-3</v>
      </c>
      <c r="R474" s="1303">
        <v>3.8479142353279497E-2</v>
      </c>
      <c r="S474" s="1288">
        <v>3.3630900332541E-2</v>
      </c>
      <c r="T474" s="1288">
        <v>3.8313426153581E-2</v>
      </c>
      <c r="U474" s="1306">
        <v>1.91759402311482E-2</v>
      </c>
      <c r="V474" s="1294">
        <v>7.6332927987498899E-3</v>
      </c>
    </row>
    <row r="475" spans="1:22" s="212" customFormat="1" ht="15.5" x14ac:dyDescent="0.35">
      <c r="A475" s="198">
        <v>2023</v>
      </c>
      <c r="B475" s="197" t="s">
        <v>5833</v>
      </c>
      <c r="C475" s="197">
        <v>2020</v>
      </c>
      <c r="D475" s="225" t="str">
        <f t="shared" si="2"/>
        <v>2023_2020</v>
      </c>
      <c r="E475" s="1231">
        <v>6.9832654675193603E-2</v>
      </c>
      <c r="F475" s="1288">
        <v>1.12572570270818E-2</v>
      </c>
      <c r="G475" s="1306">
        <v>6.2749310224620602E-2</v>
      </c>
      <c r="H475" s="1303">
        <v>0.37843711029572003</v>
      </c>
      <c r="I475" s="1288">
        <v>0.124242391303362</v>
      </c>
      <c r="J475" s="1306">
        <v>0.10977872710570601</v>
      </c>
      <c r="K475" s="1303">
        <v>7.1988708671529402E-3</v>
      </c>
      <c r="L475" s="1288">
        <v>1.4264009560420001E-3</v>
      </c>
      <c r="M475" s="1306">
        <v>5.0912676934800104E-4</v>
      </c>
      <c r="N475" s="1303">
        <v>7.9833333791551695E-3</v>
      </c>
      <c r="O475" s="1288">
        <v>2.5564819342454299E-3</v>
      </c>
      <c r="P475" s="1288">
        <v>8.4038559383648494E-3</v>
      </c>
      <c r="Q475" s="1280">
        <v>7.9833333791551695E-3</v>
      </c>
      <c r="R475" s="1303">
        <v>3.8201433945546703E-2</v>
      </c>
      <c r="S475" s="1288">
        <v>3.5550610179179501E-2</v>
      </c>
      <c r="T475" s="1288">
        <v>3.84339654728112E-2</v>
      </c>
      <c r="U475" s="1280">
        <v>1.9100716972773352E-2</v>
      </c>
      <c r="V475" s="1294">
        <v>7.5243718632492301E-3</v>
      </c>
    </row>
    <row r="476" spans="1:22" s="212" customFormat="1" ht="15.5" x14ac:dyDescent="0.35">
      <c r="A476" s="198">
        <v>2023</v>
      </c>
      <c r="B476" s="197" t="s">
        <v>5833</v>
      </c>
      <c r="C476" s="197">
        <v>2021</v>
      </c>
      <c r="D476" s="225" t="str">
        <f t="shared" si="2"/>
        <v>2023_2021</v>
      </c>
      <c r="E476" s="1231">
        <v>4.6946465913888499E-2</v>
      </c>
      <c r="F476" s="1288">
        <v>9.4690946664682894E-3</v>
      </c>
      <c r="G476" s="1306">
        <v>6.1602143710283899E-2</v>
      </c>
      <c r="H476" s="1303">
        <v>0.22423344244295201</v>
      </c>
      <c r="I476" s="1288">
        <v>9.99758167038238E-2</v>
      </c>
      <c r="J476" s="1306">
        <v>0.10895220323045</v>
      </c>
      <c r="K476" s="1303">
        <v>4.09798571713859E-3</v>
      </c>
      <c r="L476" s="1288">
        <v>1.29390619279606E-3</v>
      </c>
      <c r="M476" s="1306">
        <v>4.6541395510089298E-4</v>
      </c>
      <c r="N476" s="1303">
        <v>5.2005573391863203E-3</v>
      </c>
      <c r="O476" s="1288">
        <v>2.4976610123983601E-3</v>
      </c>
      <c r="P476" s="1288">
        <v>8.0760966133595798E-3</v>
      </c>
      <c r="Q476" s="1280">
        <v>5.2005573391863203E-3</v>
      </c>
      <c r="R476" s="1303">
        <v>3.8454039666674697E-2</v>
      </c>
      <c r="S476" s="1288">
        <v>3.5159451048896499E-2</v>
      </c>
      <c r="T476" s="1288">
        <v>3.8444897841275902E-2</v>
      </c>
      <c r="U476" s="1280">
        <v>1.9227019833337348E-2</v>
      </c>
      <c r="V476" s="1294">
        <v>4.2832784467252997E-3</v>
      </c>
    </row>
    <row r="477" spans="1:22" s="212" customFormat="1" ht="15.5" x14ac:dyDescent="0.35">
      <c r="A477" s="198">
        <v>2023</v>
      </c>
      <c r="B477" s="197" t="s">
        <v>5833</v>
      </c>
      <c r="C477" s="197">
        <v>2022</v>
      </c>
      <c r="D477" s="225" t="str">
        <f t="shared" si="2"/>
        <v>2023_2022</v>
      </c>
      <c r="E477" s="1231">
        <v>5.2134143679566897E-2</v>
      </c>
      <c r="F477" s="1288">
        <v>1.19596191717012E-2</v>
      </c>
      <c r="G477" s="1306">
        <v>6.4185399959527697E-2</v>
      </c>
      <c r="H477" s="1303">
        <v>0.25781660615033902</v>
      </c>
      <c r="I477" s="1288">
        <v>0.11605389692501999</v>
      </c>
      <c r="J477" s="1306">
        <v>0.128728365907954</v>
      </c>
      <c r="K477" s="1303">
        <v>4.7492238020428804E-3</v>
      </c>
      <c r="L477" s="1288">
        <v>1.37505247083567E-3</v>
      </c>
      <c r="M477" s="1306">
        <v>4.9079373693044896E-4</v>
      </c>
      <c r="N477" s="1303">
        <v>5.8291303326976603E-3</v>
      </c>
      <c r="O477" s="1288">
        <v>2.7293186313072002E-3</v>
      </c>
      <c r="P477" s="1288">
        <v>8.5023565942144597E-3</v>
      </c>
      <c r="Q477" s="1280">
        <v>5.8291303326976603E-3</v>
      </c>
      <c r="R477" s="1303">
        <v>3.8389620268812097E-2</v>
      </c>
      <c r="S477" s="1288">
        <v>3.6699974214640302E-2</v>
      </c>
      <c r="T477" s="1288">
        <v>3.8456708920411802E-2</v>
      </c>
      <c r="U477" s="1280">
        <v>1.9194810134406048E-2</v>
      </c>
      <c r="V477" s="1294">
        <v>4.9639626280027598E-3</v>
      </c>
    </row>
    <row r="478" spans="1:22" s="212" customFormat="1" ht="15.5" x14ac:dyDescent="0.35">
      <c r="A478" s="198">
        <v>2023</v>
      </c>
      <c r="B478" s="197" t="s">
        <v>5833</v>
      </c>
      <c r="C478" s="197">
        <v>2023</v>
      </c>
      <c r="D478" s="225" t="str">
        <f t="shared" si="2"/>
        <v>2023_2023</v>
      </c>
      <c r="E478" s="1231">
        <v>5.87584523475463E-2</v>
      </c>
      <c r="F478" s="1288">
        <v>1.1057134933423699E-2</v>
      </c>
      <c r="G478" s="1306">
        <v>6.1688882393318802E-2</v>
      </c>
      <c r="H478" s="1303">
        <v>0.30889281280533298</v>
      </c>
      <c r="I478" s="1288">
        <v>9.0159205221974403E-2</v>
      </c>
      <c r="J478" s="1306">
        <v>9.6488263993577295E-2</v>
      </c>
      <c r="K478" s="1303">
        <v>5.62781747723604E-3</v>
      </c>
      <c r="L478" s="1288">
        <v>1.3318130204604201E-3</v>
      </c>
      <c r="M478" s="1306">
        <v>3.8606197103592998E-4</v>
      </c>
      <c r="N478" s="1303">
        <v>6.8182408144928201E-3</v>
      </c>
      <c r="O478" s="1288">
        <v>2.6749741936355101E-3</v>
      </c>
      <c r="P478" s="1288">
        <v>8.3641682443387402E-3</v>
      </c>
      <c r="Q478" s="1280">
        <v>6.8182408144928201E-3</v>
      </c>
      <c r="R478" s="1303">
        <v>3.8454647584275803E-2</v>
      </c>
      <c r="S478" s="1288">
        <v>3.63385837041236E-2</v>
      </c>
      <c r="T478" s="1288">
        <v>3.8474991909915601E-2</v>
      </c>
      <c r="U478" s="1280">
        <v>1.9227323792137901E-2</v>
      </c>
      <c r="V478" s="1294">
        <v>5.8822824104864599E-3</v>
      </c>
    </row>
    <row r="479" spans="1:22" s="212" customFormat="1" ht="15.5" x14ac:dyDescent="0.35">
      <c r="A479" s="198">
        <v>2023</v>
      </c>
      <c r="B479" s="197" t="s">
        <v>5833</v>
      </c>
      <c r="C479" s="197">
        <v>2024</v>
      </c>
      <c r="D479" s="225" t="str">
        <f t="shared" si="2"/>
        <v>2023_2024</v>
      </c>
      <c r="E479" s="1226">
        <v>5.87584523475463E-2</v>
      </c>
      <c r="F479" s="1257">
        <v>1.1057134933423699E-2</v>
      </c>
      <c r="G479" s="1280">
        <v>6.1688882393318802E-2</v>
      </c>
      <c r="H479" s="1271">
        <v>0.30889281280533298</v>
      </c>
      <c r="I479" s="1257">
        <v>9.0159205221974403E-2</v>
      </c>
      <c r="J479" s="1280">
        <v>9.6488263993577295E-2</v>
      </c>
      <c r="K479" s="1271">
        <v>5.62781747723604E-3</v>
      </c>
      <c r="L479" s="1257">
        <v>1.3318130204604201E-3</v>
      </c>
      <c r="M479" s="1280">
        <v>3.8606197103592998E-4</v>
      </c>
      <c r="N479" s="1271">
        <v>6.8182408144928201E-3</v>
      </c>
      <c r="O479" s="1257">
        <v>2.6749741936355101E-3</v>
      </c>
      <c r="P479" s="1257">
        <v>8.3641682443387402E-3</v>
      </c>
      <c r="Q479" s="1280">
        <v>6.8182408144928201E-3</v>
      </c>
      <c r="R479" s="1271">
        <v>3.8454647584275803E-2</v>
      </c>
      <c r="S479" s="1257">
        <v>3.63385837041236E-2</v>
      </c>
      <c r="T479" s="1257">
        <v>3.8474991909915601E-2</v>
      </c>
      <c r="U479" s="1280">
        <v>1.9227323792137901E-2</v>
      </c>
      <c r="V479" s="1293">
        <v>5.8822824104864599E-3</v>
      </c>
    </row>
    <row r="480" spans="1:22" s="212" customFormat="1" ht="15.5" x14ac:dyDescent="0.35">
      <c r="A480" s="198">
        <v>2024</v>
      </c>
      <c r="B480" s="197" t="s">
        <v>5833</v>
      </c>
      <c r="C480" s="197">
        <v>1971</v>
      </c>
      <c r="D480" s="225" t="str">
        <f t="shared" si="2"/>
        <v>2024_1971</v>
      </c>
      <c r="E480" s="1226">
        <v>7.3982696380311894E-2</v>
      </c>
      <c r="F480" s="1257">
        <v>2.1790652883305998E-2</v>
      </c>
      <c r="G480" s="1280">
        <v>2.2260214395407901E-2</v>
      </c>
      <c r="H480" s="1271">
        <v>0.42397868139238598</v>
      </c>
      <c r="I480" s="1257">
        <v>0.48420581238864402</v>
      </c>
      <c r="J480" s="1280">
        <v>0.68119236595407096</v>
      </c>
      <c r="K480" s="1271">
        <v>7.5399488816708096E-3</v>
      </c>
      <c r="L480" s="1257">
        <v>3.0363154032056E-4</v>
      </c>
      <c r="M480" s="1280">
        <v>1.9510989307758601E-4</v>
      </c>
      <c r="N480" s="1271">
        <v>8.8734998002355393E-3</v>
      </c>
      <c r="O480" s="1257">
        <v>3.0000008598028201E-3</v>
      </c>
      <c r="P480" s="1257">
        <v>7.4956994516754E-3</v>
      </c>
      <c r="Q480" s="1280">
        <v>8.8734998002355393E-3</v>
      </c>
      <c r="R480" s="1271">
        <v>3.8500011034136201E-2</v>
      </c>
      <c r="S480" s="1257">
        <v>3.8500011034136201E-2</v>
      </c>
      <c r="T480" s="1257">
        <v>3.8500011034136201E-2</v>
      </c>
      <c r="U480" s="1280">
        <v>1.9250005517068101E-2</v>
      </c>
      <c r="V480" s="1293">
        <v>7.8808719120723302E-3</v>
      </c>
    </row>
    <row r="481" spans="1:22" s="212" customFormat="1" ht="15.5" x14ac:dyDescent="0.35">
      <c r="A481" s="198">
        <v>2024</v>
      </c>
      <c r="B481" s="197" t="s">
        <v>5833</v>
      </c>
      <c r="C481" s="197">
        <v>1972</v>
      </c>
      <c r="D481" s="225" t="str">
        <f t="shared" si="2"/>
        <v>2024_1972</v>
      </c>
      <c r="E481" s="1226">
        <v>7.3982696380311894E-2</v>
      </c>
      <c r="F481" s="1257">
        <v>2.1790652883305998E-2</v>
      </c>
      <c r="G481" s="1280">
        <v>2.2260214395407901E-2</v>
      </c>
      <c r="H481" s="1271">
        <v>0.42397868139238598</v>
      </c>
      <c r="I481" s="1257">
        <v>0.48420581238864402</v>
      </c>
      <c r="J481" s="1280">
        <v>0.68119236595407096</v>
      </c>
      <c r="K481" s="1271">
        <v>7.5399488816708096E-3</v>
      </c>
      <c r="L481" s="1257">
        <v>3.0363154032056E-4</v>
      </c>
      <c r="M481" s="1280">
        <v>1.9510989307758601E-4</v>
      </c>
      <c r="N481" s="1271">
        <v>8.8734998002355393E-3</v>
      </c>
      <c r="O481" s="1257">
        <v>3.0000008598028201E-3</v>
      </c>
      <c r="P481" s="1257">
        <v>7.4956994516754E-3</v>
      </c>
      <c r="Q481" s="1280">
        <v>8.8734998002355393E-3</v>
      </c>
      <c r="R481" s="1271">
        <v>3.8500011034136201E-2</v>
      </c>
      <c r="S481" s="1257">
        <v>3.8500011034136201E-2</v>
      </c>
      <c r="T481" s="1257">
        <v>3.8500011034136201E-2</v>
      </c>
      <c r="U481" s="1280">
        <v>1.9250005517068101E-2</v>
      </c>
      <c r="V481" s="1293">
        <v>7.8808719120723302E-3</v>
      </c>
    </row>
    <row r="482" spans="1:22" s="212" customFormat="1" ht="15.5" x14ac:dyDescent="0.35">
      <c r="A482" s="198">
        <v>2024</v>
      </c>
      <c r="B482" s="197" t="s">
        <v>5833</v>
      </c>
      <c r="C482" s="197">
        <v>1973</v>
      </c>
      <c r="D482" s="225" t="str">
        <f t="shared" si="2"/>
        <v>2024_1973</v>
      </c>
      <c r="E482" s="1226">
        <v>7.3982696380311894E-2</v>
      </c>
      <c r="F482" s="1257">
        <v>2.1790652883305998E-2</v>
      </c>
      <c r="G482" s="1280">
        <v>2.2260214395407901E-2</v>
      </c>
      <c r="H482" s="1271">
        <v>0.42397868139238598</v>
      </c>
      <c r="I482" s="1257">
        <v>0.48420581238864402</v>
      </c>
      <c r="J482" s="1280">
        <v>0.68119236595407096</v>
      </c>
      <c r="K482" s="1271">
        <v>7.5399488816708096E-3</v>
      </c>
      <c r="L482" s="1257">
        <v>3.0363154032056E-4</v>
      </c>
      <c r="M482" s="1280">
        <v>1.9510989307758601E-4</v>
      </c>
      <c r="N482" s="1271">
        <v>8.8734998002355393E-3</v>
      </c>
      <c r="O482" s="1257">
        <v>3.0000008598028201E-3</v>
      </c>
      <c r="P482" s="1257">
        <v>7.4956994516754E-3</v>
      </c>
      <c r="Q482" s="1280">
        <v>8.8734998002355393E-3</v>
      </c>
      <c r="R482" s="1271">
        <v>3.8500011034136201E-2</v>
      </c>
      <c r="S482" s="1257">
        <v>3.8500011034136201E-2</v>
      </c>
      <c r="T482" s="1257">
        <v>3.8500011034136201E-2</v>
      </c>
      <c r="U482" s="1280">
        <v>1.9250005517068101E-2</v>
      </c>
      <c r="V482" s="1293">
        <v>7.8808719120723302E-3</v>
      </c>
    </row>
    <row r="483" spans="1:22" s="212" customFormat="1" ht="15.5" x14ac:dyDescent="0.35">
      <c r="A483" s="198">
        <v>2024</v>
      </c>
      <c r="B483" s="197" t="s">
        <v>5833</v>
      </c>
      <c r="C483" s="197">
        <v>1974</v>
      </c>
      <c r="D483" s="225" t="str">
        <f t="shared" si="2"/>
        <v>2024_1974</v>
      </c>
      <c r="E483" s="1226">
        <v>7.3982696380311894E-2</v>
      </c>
      <c r="F483" s="1257">
        <v>2.1790652883305998E-2</v>
      </c>
      <c r="G483" s="1280">
        <v>2.2260214395407901E-2</v>
      </c>
      <c r="H483" s="1271">
        <v>0.42397868139238598</v>
      </c>
      <c r="I483" s="1257">
        <v>0.48420581238864402</v>
      </c>
      <c r="J483" s="1280">
        <v>0.68119236595407096</v>
      </c>
      <c r="K483" s="1271">
        <v>7.5399488816708096E-3</v>
      </c>
      <c r="L483" s="1257">
        <v>3.0363154032056E-4</v>
      </c>
      <c r="M483" s="1280">
        <v>1.9510989307758601E-4</v>
      </c>
      <c r="N483" s="1271">
        <v>8.8734998002355393E-3</v>
      </c>
      <c r="O483" s="1257">
        <v>3.0000008598028201E-3</v>
      </c>
      <c r="P483" s="1257">
        <v>7.4956994516754E-3</v>
      </c>
      <c r="Q483" s="1280">
        <v>8.8734998002355393E-3</v>
      </c>
      <c r="R483" s="1271">
        <v>3.8500011034136201E-2</v>
      </c>
      <c r="S483" s="1257">
        <v>3.8500011034136201E-2</v>
      </c>
      <c r="T483" s="1257">
        <v>3.8500011034136201E-2</v>
      </c>
      <c r="U483" s="1280">
        <v>1.9250005517068101E-2</v>
      </c>
      <c r="V483" s="1293">
        <v>7.8808719120723302E-3</v>
      </c>
    </row>
    <row r="484" spans="1:22" s="212" customFormat="1" ht="15.5" x14ac:dyDescent="0.35">
      <c r="A484" s="198">
        <v>2024</v>
      </c>
      <c r="B484" s="197" t="s">
        <v>5833</v>
      </c>
      <c r="C484" s="197">
        <v>1975</v>
      </c>
      <c r="D484" s="225" t="str">
        <f t="shared" si="2"/>
        <v>2024_1975</v>
      </c>
      <c r="E484" s="1226">
        <v>7.3982696380311894E-2</v>
      </c>
      <c r="F484" s="1257">
        <v>2.1790652883305998E-2</v>
      </c>
      <c r="G484" s="1280">
        <v>2.2260214395407901E-2</v>
      </c>
      <c r="H484" s="1271">
        <v>0.42397868139238598</v>
      </c>
      <c r="I484" s="1257">
        <v>0.48420581238864402</v>
      </c>
      <c r="J484" s="1280">
        <v>0.68119236595407096</v>
      </c>
      <c r="K484" s="1271">
        <v>7.5399488816708096E-3</v>
      </c>
      <c r="L484" s="1257">
        <v>3.0363154032056E-4</v>
      </c>
      <c r="M484" s="1280">
        <v>1.9510989307758601E-4</v>
      </c>
      <c r="N484" s="1271">
        <v>8.8734998002355393E-3</v>
      </c>
      <c r="O484" s="1257">
        <v>3.0000008598028201E-3</v>
      </c>
      <c r="P484" s="1257">
        <v>7.4956994516754E-3</v>
      </c>
      <c r="Q484" s="1280">
        <v>8.8734998002355393E-3</v>
      </c>
      <c r="R484" s="1271">
        <v>3.8500011034136201E-2</v>
      </c>
      <c r="S484" s="1257">
        <v>3.8500011034136201E-2</v>
      </c>
      <c r="T484" s="1257">
        <v>3.8500011034136201E-2</v>
      </c>
      <c r="U484" s="1280">
        <v>1.9250005517068101E-2</v>
      </c>
      <c r="V484" s="1293">
        <v>7.8808719120723302E-3</v>
      </c>
    </row>
    <row r="485" spans="1:22" s="212" customFormat="1" ht="15.5" x14ac:dyDescent="0.35">
      <c r="A485" s="198">
        <v>2024</v>
      </c>
      <c r="B485" s="197" t="s">
        <v>5833</v>
      </c>
      <c r="C485" s="197">
        <v>1976</v>
      </c>
      <c r="D485" s="225" t="str">
        <f t="shared" si="2"/>
        <v>2024_1976</v>
      </c>
      <c r="E485" s="1226">
        <v>7.3982696380311894E-2</v>
      </c>
      <c r="F485" s="1257">
        <v>2.1790652883305998E-2</v>
      </c>
      <c r="G485" s="1280">
        <v>2.2260214395407901E-2</v>
      </c>
      <c r="H485" s="1271">
        <v>0.42397868139238598</v>
      </c>
      <c r="I485" s="1257">
        <v>0.48420581238864402</v>
      </c>
      <c r="J485" s="1280">
        <v>0.68119236595407096</v>
      </c>
      <c r="K485" s="1271">
        <v>7.5399488816708096E-3</v>
      </c>
      <c r="L485" s="1257">
        <v>3.0363154032056E-4</v>
      </c>
      <c r="M485" s="1280">
        <v>1.9510989307758601E-4</v>
      </c>
      <c r="N485" s="1271">
        <v>8.8734998002355393E-3</v>
      </c>
      <c r="O485" s="1257">
        <v>3.0000008598028201E-3</v>
      </c>
      <c r="P485" s="1257">
        <v>7.4956994516754E-3</v>
      </c>
      <c r="Q485" s="1280">
        <v>8.8734998002355393E-3</v>
      </c>
      <c r="R485" s="1271">
        <v>3.8500011034136201E-2</v>
      </c>
      <c r="S485" s="1257">
        <v>3.8500011034136201E-2</v>
      </c>
      <c r="T485" s="1257">
        <v>3.8500011034136201E-2</v>
      </c>
      <c r="U485" s="1280">
        <v>1.9250005517068101E-2</v>
      </c>
      <c r="V485" s="1293">
        <v>7.8808719120723302E-3</v>
      </c>
    </row>
    <row r="486" spans="1:22" s="212" customFormat="1" ht="15.5" x14ac:dyDescent="0.35">
      <c r="A486" s="198">
        <v>2024</v>
      </c>
      <c r="B486" s="197" t="s">
        <v>5833</v>
      </c>
      <c r="C486" s="197">
        <v>1977</v>
      </c>
      <c r="D486" s="225" t="str">
        <f t="shared" si="2"/>
        <v>2024_1977</v>
      </c>
      <c r="E486" s="1226">
        <v>7.3982696380311894E-2</v>
      </c>
      <c r="F486" s="1257">
        <v>2.1790652883305998E-2</v>
      </c>
      <c r="G486" s="1280">
        <v>2.2260214395407901E-2</v>
      </c>
      <c r="H486" s="1271">
        <v>0.42397868139238598</v>
      </c>
      <c r="I486" s="1257">
        <v>0.48420581238864402</v>
      </c>
      <c r="J486" s="1280">
        <v>0.68119236595407096</v>
      </c>
      <c r="K486" s="1271">
        <v>7.5399488816708096E-3</v>
      </c>
      <c r="L486" s="1257">
        <v>3.0363154032056E-4</v>
      </c>
      <c r="M486" s="1280">
        <v>1.9510989307758601E-4</v>
      </c>
      <c r="N486" s="1271">
        <v>8.8734998002355393E-3</v>
      </c>
      <c r="O486" s="1257">
        <v>3.0000008598028201E-3</v>
      </c>
      <c r="P486" s="1257">
        <v>7.4956994516754E-3</v>
      </c>
      <c r="Q486" s="1280">
        <v>8.8734998002355393E-3</v>
      </c>
      <c r="R486" s="1271">
        <v>3.8500011034136201E-2</v>
      </c>
      <c r="S486" s="1257">
        <v>3.8500011034136201E-2</v>
      </c>
      <c r="T486" s="1257">
        <v>3.8500011034136201E-2</v>
      </c>
      <c r="U486" s="1280">
        <v>1.9250005517068101E-2</v>
      </c>
      <c r="V486" s="1293">
        <v>7.8808719120723302E-3</v>
      </c>
    </row>
    <row r="487" spans="1:22" s="212" customFormat="1" ht="15.5" x14ac:dyDescent="0.35">
      <c r="A487" s="198">
        <v>2024</v>
      </c>
      <c r="B487" s="197" t="s">
        <v>5833</v>
      </c>
      <c r="C487" s="197">
        <v>1978</v>
      </c>
      <c r="D487" s="225" t="str">
        <f t="shared" si="2"/>
        <v>2024_1978</v>
      </c>
      <c r="E487" s="1226">
        <v>7.3982696380311894E-2</v>
      </c>
      <c r="F487" s="1257">
        <v>2.1790652883305998E-2</v>
      </c>
      <c r="G487" s="1280">
        <v>2.2260214395407901E-2</v>
      </c>
      <c r="H487" s="1271">
        <v>0.42397868139238598</v>
      </c>
      <c r="I487" s="1257">
        <v>0.48420581238864402</v>
      </c>
      <c r="J487" s="1280">
        <v>0.68119236595407096</v>
      </c>
      <c r="K487" s="1271">
        <v>7.5399488816708096E-3</v>
      </c>
      <c r="L487" s="1257">
        <v>3.0363154032056E-4</v>
      </c>
      <c r="M487" s="1280">
        <v>1.9510989307758601E-4</v>
      </c>
      <c r="N487" s="1271">
        <v>8.8734998002355393E-3</v>
      </c>
      <c r="O487" s="1257">
        <v>3.0000008598028201E-3</v>
      </c>
      <c r="P487" s="1257">
        <v>7.4956994516754E-3</v>
      </c>
      <c r="Q487" s="1280">
        <v>8.8734998002355393E-3</v>
      </c>
      <c r="R487" s="1271">
        <v>3.8500011034136201E-2</v>
      </c>
      <c r="S487" s="1257">
        <v>3.8500011034136201E-2</v>
      </c>
      <c r="T487" s="1257">
        <v>3.8500011034136201E-2</v>
      </c>
      <c r="U487" s="1280">
        <v>1.9250005517068101E-2</v>
      </c>
      <c r="V487" s="1293">
        <v>7.8808719120723302E-3</v>
      </c>
    </row>
    <row r="488" spans="1:22" s="212" customFormat="1" ht="15.5" x14ac:dyDescent="0.35">
      <c r="A488" s="198">
        <v>2024</v>
      </c>
      <c r="B488" s="197" t="s">
        <v>5833</v>
      </c>
      <c r="C488" s="197">
        <v>1979</v>
      </c>
      <c r="D488" s="225" t="str">
        <f t="shared" si="2"/>
        <v>2024_1979</v>
      </c>
      <c r="E488" s="1226">
        <v>7.3982696380311894E-2</v>
      </c>
      <c r="F488" s="1257">
        <v>2.1790652883305998E-2</v>
      </c>
      <c r="G488" s="1280">
        <v>2.2260214395407901E-2</v>
      </c>
      <c r="H488" s="1271">
        <v>0.42397868139238598</v>
      </c>
      <c r="I488" s="1257">
        <v>0.48420581238864402</v>
      </c>
      <c r="J488" s="1280">
        <v>0.68119236595407096</v>
      </c>
      <c r="K488" s="1271">
        <v>7.5399488816708096E-3</v>
      </c>
      <c r="L488" s="1257">
        <v>3.0363154032056E-4</v>
      </c>
      <c r="M488" s="1280">
        <v>1.9510989307758601E-4</v>
      </c>
      <c r="N488" s="1271">
        <v>8.8734998002355393E-3</v>
      </c>
      <c r="O488" s="1257">
        <v>3.0000008598028201E-3</v>
      </c>
      <c r="P488" s="1257">
        <v>7.4956994516754E-3</v>
      </c>
      <c r="Q488" s="1280">
        <v>8.8734998002355393E-3</v>
      </c>
      <c r="R488" s="1271">
        <v>3.8500011034136201E-2</v>
      </c>
      <c r="S488" s="1257">
        <v>3.8500011034136201E-2</v>
      </c>
      <c r="T488" s="1257">
        <v>3.8500011034136201E-2</v>
      </c>
      <c r="U488" s="1280">
        <v>1.9250005517068101E-2</v>
      </c>
      <c r="V488" s="1293">
        <v>7.8808719120723302E-3</v>
      </c>
    </row>
    <row r="489" spans="1:22" s="212" customFormat="1" ht="15.5" x14ac:dyDescent="0.35">
      <c r="A489" s="198">
        <v>2024</v>
      </c>
      <c r="B489" s="197" t="s">
        <v>5833</v>
      </c>
      <c r="C489" s="197">
        <v>1980</v>
      </c>
      <c r="D489" s="225" t="str">
        <f t="shared" si="2"/>
        <v>2024_1980</v>
      </c>
      <c r="E489" s="1226">
        <v>7.3982696380311894E-2</v>
      </c>
      <c r="F489" s="1257">
        <v>2.1790652883305998E-2</v>
      </c>
      <c r="G489" s="1280">
        <v>2.2260214395407901E-2</v>
      </c>
      <c r="H489" s="1271">
        <v>0.42397868139238598</v>
      </c>
      <c r="I489" s="1257">
        <v>0.48420581238864402</v>
      </c>
      <c r="J489" s="1280">
        <v>0.68119236595407096</v>
      </c>
      <c r="K489" s="1271">
        <v>7.5399488816708096E-3</v>
      </c>
      <c r="L489" s="1257">
        <v>3.0363154032056E-4</v>
      </c>
      <c r="M489" s="1280">
        <v>1.9510989307758601E-4</v>
      </c>
      <c r="N489" s="1271">
        <v>8.8734998002355393E-3</v>
      </c>
      <c r="O489" s="1257">
        <v>3.0000008598028201E-3</v>
      </c>
      <c r="P489" s="1257">
        <v>7.4956994516754E-3</v>
      </c>
      <c r="Q489" s="1280">
        <v>8.8734998002355393E-3</v>
      </c>
      <c r="R489" s="1271">
        <v>3.8500011034136201E-2</v>
      </c>
      <c r="S489" s="1257">
        <v>3.8500011034136201E-2</v>
      </c>
      <c r="T489" s="1257">
        <v>3.8500011034136201E-2</v>
      </c>
      <c r="U489" s="1280">
        <v>1.9250005517068101E-2</v>
      </c>
      <c r="V489" s="1293">
        <v>7.8808719120723302E-3</v>
      </c>
    </row>
    <row r="490" spans="1:22" s="212" customFormat="1" ht="15.5" x14ac:dyDescent="0.35">
      <c r="A490" s="198">
        <v>2024</v>
      </c>
      <c r="B490" s="197" t="s">
        <v>5833</v>
      </c>
      <c r="C490" s="197">
        <v>1981</v>
      </c>
      <c r="D490" s="225" t="str">
        <f t="shared" si="2"/>
        <v>2024_1981</v>
      </c>
      <c r="E490" s="1226">
        <v>7.3982696380311894E-2</v>
      </c>
      <c r="F490" s="1257">
        <v>2.1790652883305998E-2</v>
      </c>
      <c r="G490" s="1280">
        <v>2.2260214395407901E-2</v>
      </c>
      <c r="H490" s="1271">
        <v>0.42397868139238598</v>
      </c>
      <c r="I490" s="1257">
        <v>0.48420581238864402</v>
      </c>
      <c r="J490" s="1280">
        <v>0.68119236595407096</v>
      </c>
      <c r="K490" s="1271">
        <v>7.5399488816708096E-3</v>
      </c>
      <c r="L490" s="1257">
        <v>3.0363154032056E-4</v>
      </c>
      <c r="M490" s="1280">
        <v>1.9510989307758601E-4</v>
      </c>
      <c r="N490" s="1271">
        <v>8.8734998002355393E-3</v>
      </c>
      <c r="O490" s="1257">
        <v>3.0000008598028201E-3</v>
      </c>
      <c r="P490" s="1257">
        <v>7.4956994516754E-3</v>
      </c>
      <c r="Q490" s="1280">
        <v>8.8734998002355393E-3</v>
      </c>
      <c r="R490" s="1271">
        <v>3.8500011034136201E-2</v>
      </c>
      <c r="S490" s="1257">
        <v>3.8500011034136201E-2</v>
      </c>
      <c r="T490" s="1257">
        <v>3.8500011034136201E-2</v>
      </c>
      <c r="U490" s="1280">
        <v>1.9250005517068101E-2</v>
      </c>
      <c r="V490" s="1293">
        <v>7.8808719120723302E-3</v>
      </c>
    </row>
    <row r="491" spans="1:22" s="212" customFormat="1" ht="15.5" x14ac:dyDescent="0.35">
      <c r="A491" s="198">
        <v>2024</v>
      </c>
      <c r="B491" s="197" t="s">
        <v>5833</v>
      </c>
      <c r="C491" s="197">
        <v>1982</v>
      </c>
      <c r="D491" s="225" t="str">
        <f t="shared" si="2"/>
        <v>2024_1982</v>
      </c>
      <c r="E491" s="1226">
        <v>7.3982696380311894E-2</v>
      </c>
      <c r="F491" s="1257">
        <v>2.1790652883305998E-2</v>
      </c>
      <c r="G491" s="1280">
        <v>2.2260214395407901E-2</v>
      </c>
      <c r="H491" s="1271">
        <v>0.42397868139238598</v>
      </c>
      <c r="I491" s="1257">
        <v>0.48420581238864402</v>
      </c>
      <c r="J491" s="1280">
        <v>0.68119236595407096</v>
      </c>
      <c r="K491" s="1271">
        <v>7.5399488816708096E-3</v>
      </c>
      <c r="L491" s="1257">
        <v>3.0363154032056E-4</v>
      </c>
      <c r="M491" s="1280">
        <v>1.9510989307758601E-4</v>
      </c>
      <c r="N491" s="1271">
        <v>8.8734998002355393E-3</v>
      </c>
      <c r="O491" s="1257">
        <v>3.0000008598028201E-3</v>
      </c>
      <c r="P491" s="1257">
        <v>7.4956994516754E-3</v>
      </c>
      <c r="Q491" s="1280">
        <v>8.8734998002355393E-3</v>
      </c>
      <c r="R491" s="1271">
        <v>3.8500011034136201E-2</v>
      </c>
      <c r="S491" s="1257">
        <v>3.8500011034136201E-2</v>
      </c>
      <c r="T491" s="1257">
        <v>3.8500011034136201E-2</v>
      </c>
      <c r="U491" s="1280">
        <v>1.9250005517068101E-2</v>
      </c>
      <c r="V491" s="1293">
        <v>7.8808719120723302E-3</v>
      </c>
    </row>
    <row r="492" spans="1:22" s="212" customFormat="1" ht="15.5" x14ac:dyDescent="0.35">
      <c r="A492" s="198">
        <v>2024</v>
      </c>
      <c r="B492" s="197" t="s">
        <v>5833</v>
      </c>
      <c r="C492" s="197">
        <v>1983</v>
      </c>
      <c r="D492" s="225" t="str">
        <f t="shared" si="2"/>
        <v>2024_1983</v>
      </c>
      <c r="E492" s="1226">
        <v>7.3982696380311894E-2</v>
      </c>
      <c r="F492" s="1257">
        <v>2.1790652883305998E-2</v>
      </c>
      <c r="G492" s="1280">
        <v>2.2260214395407901E-2</v>
      </c>
      <c r="H492" s="1271">
        <v>0.42397868139238598</v>
      </c>
      <c r="I492" s="1257">
        <v>0.48420581238864402</v>
      </c>
      <c r="J492" s="1280">
        <v>0.68119236595407096</v>
      </c>
      <c r="K492" s="1271">
        <v>7.5399488816708096E-3</v>
      </c>
      <c r="L492" s="1257">
        <v>3.0363154032056E-4</v>
      </c>
      <c r="M492" s="1280">
        <v>1.9510989307758601E-4</v>
      </c>
      <c r="N492" s="1271">
        <v>8.8734998002355393E-3</v>
      </c>
      <c r="O492" s="1257">
        <v>3.0000008598028201E-3</v>
      </c>
      <c r="P492" s="1257">
        <v>7.4956994516754E-3</v>
      </c>
      <c r="Q492" s="1280">
        <v>8.8734998002355393E-3</v>
      </c>
      <c r="R492" s="1271">
        <v>3.8500011034136201E-2</v>
      </c>
      <c r="S492" s="1257">
        <v>3.8500011034136201E-2</v>
      </c>
      <c r="T492" s="1257">
        <v>3.8500011034136201E-2</v>
      </c>
      <c r="U492" s="1280">
        <v>1.9250005517068101E-2</v>
      </c>
      <c r="V492" s="1293">
        <v>7.8808719120723302E-3</v>
      </c>
    </row>
    <row r="493" spans="1:22" s="212" customFormat="1" ht="15.5" x14ac:dyDescent="0.35">
      <c r="A493" s="198">
        <v>2024</v>
      </c>
      <c r="B493" s="197" t="s">
        <v>5833</v>
      </c>
      <c r="C493" s="197">
        <v>1984</v>
      </c>
      <c r="D493" s="225" t="str">
        <f t="shared" si="2"/>
        <v>2024_1984</v>
      </c>
      <c r="E493" s="1226">
        <v>7.3982696380311894E-2</v>
      </c>
      <c r="F493" s="1257">
        <v>2.1790652883305998E-2</v>
      </c>
      <c r="G493" s="1280">
        <v>2.2260214395407901E-2</v>
      </c>
      <c r="H493" s="1271">
        <v>0.42397868139238598</v>
      </c>
      <c r="I493" s="1257">
        <v>0.48420581238864402</v>
      </c>
      <c r="J493" s="1280">
        <v>0.68119236595407096</v>
      </c>
      <c r="K493" s="1271">
        <v>7.5399488816708096E-3</v>
      </c>
      <c r="L493" s="1257">
        <v>3.0363154032056E-4</v>
      </c>
      <c r="M493" s="1280">
        <v>1.9510989307758601E-4</v>
      </c>
      <c r="N493" s="1271">
        <v>8.8734998002355393E-3</v>
      </c>
      <c r="O493" s="1257">
        <v>3.0000008598028201E-3</v>
      </c>
      <c r="P493" s="1257">
        <v>7.4956994516754E-3</v>
      </c>
      <c r="Q493" s="1280">
        <v>8.8734998002355393E-3</v>
      </c>
      <c r="R493" s="1271">
        <v>3.8500011034136201E-2</v>
      </c>
      <c r="S493" s="1257">
        <v>3.8500011034136201E-2</v>
      </c>
      <c r="T493" s="1257">
        <v>3.8500011034136201E-2</v>
      </c>
      <c r="U493" s="1280">
        <v>1.9250005517068101E-2</v>
      </c>
      <c r="V493" s="1293">
        <v>7.8808719120723302E-3</v>
      </c>
    </row>
    <row r="494" spans="1:22" s="212" customFormat="1" ht="15.5" x14ac:dyDescent="0.35">
      <c r="A494" s="198">
        <v>2024</v>
      </c>
      <c r="B494" s="197" t="s">
        <v>5833</v>
      </c>
      <c r="C494" s="197">
        <v>1985</v>
      </c>
      <c r="D494" s="225" t="str">
        <f t="shared" si="2"/>
        <v>2024_1985</v>
      </c>
      <c r="E494" s="1226">
        <v>7.3982696380311894E-2</v>
      </c>
      <c r="F494" s="1257">
        <v>2.1790652883305998E-2</v>
      </c>
      <c r="G494" s="1280">
        <v>2.2260214395407901E-2</v>
      </c>
      <c r="H494" s="1271">
        <v>0.42397868139238598</v>
      </c>
      <c r="I494" s="1257">
        <v>0.48420581238864402</v>
      </c>
      <c r="J494" s="1280">
        <v>0.68119236595407096</v>
      </c>
      <c r="K494" s="1271">
        <v>7.5399488816708096E-3</v>
      </c>
      <c r="L494" s="1257">
        <v>3.0363154032056E-4</v>
      </c>
      <c r="M494" s="1280">
        <v>1.9510989307758601E-4</v>
      </c>
      <c r="N494" s="1271">
        <v>8.8734998002355393E-3</v>
      </c>
      <c r="O494" s="1257">
        <v>3.0000008598028201E-3</v>
      </c>
      <c r="P494" s="1257">
        <v>7.4956994516754E-3</v>
      </c>
      <c r="Q494" s="1280">
        <v>8.8734998002355393E-3</v>
      </c>
      <c r="R494" s="1271">
        <v>3.8500011034136201E-2</v>
      </c>
      <c r="S494" s="1257">
        <v>3.8500011034136201E-2</v>
      </c>
      <c r="T494" s="1257">
        <v>3.8500011034136201E-2</v>
      </c>
      <c r="U494" s="1280">
        <v>1.9250005517068101E-2</v>
      </c>
      <c r="V494" s="1293">
        <v>7.8808719120723302E-3</v>
      </c>
    </row>
    <row r="495" spans="1:22" s="212" customFormat="1" ht="15.5" x14ac:dyDescent="0.35">
      <c r="A495" s="198">
        <v>2024</v>
      </c>
      <c r="B495" s="197" t="s">
        <v>5833</v>
      </c>
      <c r="C495" s="197">
        <v>1986</v>
      </c>
      <c r="D495" s="225" t="str">
        <f t="shared" si="2"/>
        <v>2024_1986</v>
      </c>
      <c r="E495" s="1226">
        <v>7.3982696380311894E-2</v>
      </c>
      <c r="F495" s="1257">
        <v>2.1790652883305998E-2</v>
      </c>
      <c r="G495" s="1280">
        <v>2.2260214395407901E-2</v>
      </c>
      <c r="H495" s="1271">
        <v>0.42397868139238598</v>
      </c>
      <c r="I495" s="1257">
        <v>0.48420581238864402</v>
      </c>
      <c r="J495" s="1280">
        <v>0.68119236595407096</v>
      </c>
      <c r="K495" s="1271">
        <v>7.5399488816708096E-3</v>
      </c>
      <c r="L495" s="1257">
        <v>3.0363154032056E-4</v>
      </c>
      <c r="M495" s="1280">
        <v>1.9510989307758601E-4</v>
      </c>
      <c r="N495" s="1271">
        <v>8.8734998002355393E-3</v>
      </c>
      <c r="O495" s="1257">
        <v>3.0000008598028201E-3</v>
      </c>
      <c r="P495" s="1257">
        <v>7.4956994516754E-3</v>
      </c>
      <c r="Q495" s="1280">
        <v>8.8734998002355393E-3</v>
      </c>
      <c r="R495" s="1271">
        <v>3.8500011034136201E-2</v>
      </c>
      <c r="S495" s="1257">
        <v>3.8500011034136201E-2</v>
      </c>
      <c r="T495" s="1257">
        <v>3.8500011034136201E-2</v>
      </c>
      <c r="U495" s="1280">
        <v>1.9250005517068101E-2</v>
      </c>
      <c r="V495" s="1293">
        <v>7.8808719120723302E-3</v>
      </c>
    </row>
    <row r="496" spans="1:22" s="212" customFormat="1" ht="15.5" x14ac:dyDescent="0.35">
      <c r="A496" s="198">
        <v>2024</v>
      </c>
      <c r="B496" s="197" t="s">
        <v>5833</v>
      </c>
      <c r="C496" s="197">
        <v>1987</v>
      </c>
      <c r="D496" s="225" t="str">
        <f t="shared" si="2"/>
        <v>2024_1987</v>
      </c>
      <c r="E496" s="1226">
        <v>7.3982696380311894E-2</v>
      </c>
      <c r="F496" s="1257">
        <v>2.1790652883305998E-2</v>
      </c>
      <c r="G496" s="1280">
        <v>2.2260214395407901E-2</v>
      </c>
      <c r="H496" s="1271">
        <v>0.42397868139238598</v>
      </c>
      <c r="I496" s="1257">
        <v>0.48420581238864402</v>
      </c>
      <c r="J496" s="1280">
        <v>0.68119236595407096</v>
      </c>
      <c r="K496" s="1271">
        <v>7.5399488816708096E-3</v>
      </c>
      <c r="L496" s="1257">
        <v>3.0363154032056E-4</v>
      </c>
      <c r="M496" s="1280">
        <v>1.9510989307758601E-4</v>
      </c>
      <c r="N496" s="1271">
        <v>8.8734998002355393E-3</v>
      </c>
      <c r="O496" s="1257">
        <v>3.0000008598028201E-3</v>
      </c>
      <c r="P496" s="1257">
        <v>7.4956994516754E-3</v>
      </c>
      <c r="Q496" s="1280">
        <v>8.8734998002355393E-3</v>
      </c>
      <c r="R496" s="1271">
        <v>3.8500011034136201E-2</v>
      </c>
      <c r="S496" s="1257">
        <v>3.8500011034136201E-2</v>
      </c>
      <c r="T496" s="1257">
        <v>3.8500011034136201E-2</v>
      </c>
      <c r="U496" s="1280">
        <v>1.9250005517068101E-2</v>
      </c>
      <c r="V496" s="1293">
        <v>7.8808719120723302E-3</v>
      </c>
    </row>
    <row r="497" spans="1:22" s="212" customFormat="1" ht="15.5" x14ac:dyDescent="0.35">
      <c r="A497" s="198">
        <v>2024</v>
      </c>
      <c r="B497" s="197" t="s">
        <v>5833</v>
      </c>
      <c r="C497" s="197">
        <v>1988</v>
      </c>
      <c r="D497" s="225" t="str">
        <f t="shared" ref="D497:D722" si="3">CONCATENATE(A497,"_",C497)</f>
        <v>2024_1988</v>
      </c>
      <c r="E497" s="1226">
        <v>7.3982696380311894E-2</v>
      </c>
      <c r="F497" s="1257">
        <v>2.1790652883305998E-2</v>
      </c>
      <c r="G497" s="1280">
        <v>2.2260214395407901E-2</v>
      </c>
      <c r="H497" s="1271">
        <v>0.42397868139238598</v>
      </c>
      <c r="I497" s="1257">
        <v>0.48420581238864402</v>
      </c>
      <c r="J497" s="1280">
        <v>0.68119236595407096</v>
      </c>
      <c r="K497" s="1271">
        <v>7.5399488816708096E-3</v>
      </c>
      <c r="L497" s="1257">
        <v>3.0363154032056E-4</v>
      </c>
      <c r="M497" s="1280">
        <v>1.9510989307758601E-4</v>
      </c>
      <c r="N497" s="1271">
        <v>8.8734998002355393E-3</v>
      </c>
      <c r="O497" s="1257">
        <v>3.0000008598028201E-3</v>
      </c>
      <c r="P497" s="1257">
        <v>7.4956994516754E-3</v>
      </c>
      <c r="Q497" s="1280">
        <v>8.8734998002355393E-3</v>
      </c>
      <c r="R497" s="1271">
        <v>3.8500011034136201E-2</v>
      </c>
      <c r="S497" s="1257">
        <v>3.8500011034136201E-2</v>
      </c>
      <c r="T497" s="1257">
        <v>3.8500011034136201E-2</v>
      </c>
      <c r="U497" s="1280">
        <v>1.9250005517068101E-2</v>
      </c>
      <c r="V497" s="1293">
        <v>7.8808719120723302E-3</v>
      </c>
    </row>
    <row r="498" spans="1:22" s="212" customFormat="1" ht="15.5" x14ac:dyDescent="0.35">
      <c r="A498" s="198">
        <v>2024</v>
      </c>
      <c r="B498" s="197" t="s">
        <v>5833</v>
      </c>
      <c r="C498" s="197">
        <v>1989</v>
      </c>
      <c r="D498" s="225" t="str">
        <f t="shared" si="3"/>
        <v>2024_1989</v>
      </c>
      <c r="E498" s="1226">
        <v>7.3982696380311894E-2</v>
      </c>
      <c r="F498" s="1257">
        <v>2.1790652883305998E-2</v>
      </c>
      <c r="G498" s="1280">
        <v>2.2260214395407901E-2</v>
      </c>
      <c r="H498" s="1271">
        <v>0.42397868139238598</v>
      </c>
      <c r="I498" s="1257">
        <v>0.48420581238864402</v>
      </c>
      <c r="J498" s="1280">
        <v>0.68119236595407096</v>
      </c>
      <c r="K498" s="1271">
        <v>7.5399488816708096E-3</v>
      </c>
      <c r="L498" s="1257">
        <v>3.0363154032056E-4</v>
      </c>
      <c r="M498" s="1280">
        <v>1.9510989307758601E-4</v>
      </c>
      <c r="N498" s="1271">
        <v>8.8734998002355393E-3</v>
      </c>
      <c r="O498" s="1257">
        <v>3.0000008598028201E-3</v>
      </c>
      <c r="P498" s="1257">
        <v>7.4956994516754E-3</v>
      </c>
      <c r="Q498" s="1280">
        <v>8.8734998002355393E-3</v>
      </c>
      <c r="R498" s="1271">
        <v>3.8500011034136201E-2</v>
      </c>
      <c r="S498" s="1257">
        <v>3.8500011034136201E-2</v>
      </c>
      <c r="T498" s="1257">
        <v>3.8500011034136201E-2</v>
      </c>
      <c r="U498" s="1280">
        <v>1.9250005517068101E-2</v>
      </c>
      <c r="V498" s="1293">
        <v>7.8808719120723302E-3</v>
      </c>
    </row>
    <row r="499" spans="1:22" s="212" customFormat="1" ht="15.5" x14ac:dyDescent="0.35">
      <c r="A499" s="198">
        <v>2024</v>
      </c>
      <c r="B499" s="197" t="s">
        <v>5833</v>
      </c>
      <c r="C499" s="197">
        <v>1990</v>
      </c>
      <c r="D499" s="225" t="str">
        <f t="shared" si="3"/>
        <v>2024_1990</v>
      </c>
      <c r="E499" s="1226">
        <v>7.3982696380311894E-2</v>
      </c>
      <c r="F499" s="1257">
        <v>2.1790652883305998E-2</v>
      </c>
      <c r="G499" s="1280">
        <v>2.2260214395407901E-2</v>
      </c>
      <c r="H499" s="1271">
        <v>0.42397868139238598</v>
      </c>
      <c r="I499" s="1257">
        <v>0.48420581238864402</v>
      </c>
      <c r="J499" s="1280">
        <v>0.68119236595407096</v>
      </c>
      <c r="K499" s="1271">
        <v>7.5399488816708096E-3</v>
      </c>
      <c r="L499" s="1257">
        <v>3.0363154032056E-4</v>
      </c>
      <c r="M499" s="1280">
        <v>1.9510989307758601E-4</v>
      </c>
      <c r="N499" s="1271">
        <v>8.8734998002355393E-3</v>
      </c>
      <c r="O499" s="1257">
        <v>3.0000008598028201E-3</v>
      </c>
      <c r="P499" s="1257">
        <v>7.4956994516754E-3</v>
      </c>
      <c r="Q499" s="1280">
        <v>8.8734998002355393E-3</v>
      </c>
      <c r="R499" s="1271">
        <v>3.8500011034136201E-2</v>
      </c>
      <c r="S499" s="1257">
        <v>3.8500011034136201E-2</v>
      </c>
      <c r="T499" s="1257">
        <v>3.8500011034136201E-2</v>
      </c>
      <c r="U499" s="1280">
        <v>1.9250005517068101E-2</v>
      </c>
      <c r="V499" s="1293">
        <v>7.8808719120723302E-3</v>
      </c>
    </row>
    <row r="500" spans="1:22" s="212" customFormat="1" ht="15.5" x14ac:dyDescent="0.35">
      <c r="A500" s="198">
        <v>2024</v>
      </c>
      <c r="B500" s="197" t="s">
        <v>5833</v>
      </c>
      <c r="C500" s="197">
        <v>1991</v>
      </c>
      <c r="D500" s="225" t="str">
        <f t="shared" si="3"/>
        <v>2024_1991</v>
      </c>
      <c r="E500" s="1226">
        <v>7.3982696380311894E-2</v>
      </c>
      <c r="F500" s="1257">
        <v>2.1790652883305998E-2</v>
      </c>
      <c r="G500" s="1280">
        <v>2.2260214395407901E-2</v>
      </c>
      <c r="H500" s="1271">
        <v>0.42397868139238598</v>
      </c>
      <c r="I500" s="1257">
        <v>0.48420581238864402</v>
      </c>
      <c r="J500" s="1280">
        <v>0.68119236595407096</v>
      </c>
      <c r="K500" s="1271">
        <v>7.5399488816708096E-3</v>
      </c>
      <c r="L500" s="1257">
        <v>3.0363154032056E-4</v>
      </c>
      <c r="M500" s="1280">
        <v>1.9510989307758601E-4</v>
      </c>
      <c r="N500" s="1271">
        <v>8.8734998002355393E-3</v>
      </c>
      <c r="O500" s="1257">
        <v>3.0000008598028201E-3</v>
      </c>
      <c r="P500" s="1257">
        <v>7.4956994516754E-3</v>
      </c>
      <c r="Q500" s="1280">
        <v>8.8734998002355393E-3</v>
      </c>
      <c r="R500" s="1271">
        <v>3.8500011034136201E-2</v>
      </c>
      <c r="S500" s="1257">
        <v>3.8500011034136201E-2</v>
      </c>
      <c r="T500" s="1257">
        <v>3.8500011034136201E-2</v>
      </c>
      <c r="U500" s="1280">
        <v>1.9250005517068101E-2</v>
      </c>
      <c r="V500" s="1293">
        <v>7.8808719120723302E-3</v>
      </c>
    </row>
    <row r="501" spans="1:22" s="212" customFormat="1" ht="15.5" x14ac:dyDescent="0.35">
      <c r="A501" s="198">
        <v>2024</v>
      </c>
      <c r="B501" s="197" t="s">
        <v>5833</v>
      </c>
      <c r="C501" s="197">
        <v>1992</v>
      </c>
      <c r="D501" s="225" t="str">
        <f t="shared" si="3"/>
        <v>2024_1992</v>
      </c>
      <c r="E501" s="1226">
        <v>7.3982696380311894E-2</v>
      </c>
      <c r="F501" s="1257">
        <v>2.1790652883305998E-2</v>
      </c>
      <c r="G501" s="1280">
        <v>2.2260214395407901E-2</v>
      </c>
      <c r="H501" s="1271">
        <v>0.42397868139238598</v>
      </c>
      <c r="I501" s="1257">
        <v>0.48420581238864402</v>
      </c>
      <c r="J501" s="1280">
        <v>0.68119236595407096</v>
      </c>
      <c r="K501" s="1271">
        <v>7.5399488816708096E-3</v>
      </c>
      <c r="L501" s="1257">
        <v>3.0363154032056E-4</v>
      </c>
      <c r="M501" s="1280">
        <v>1.9510989307758601E-4</v>
      </c>
      <c r="N501" s="1271">
        <v>8.8734998002355393E-3</v>
      </c>
      <c r="O501" s="1257">
        <v>3.0000008598028201E-3</v>
      </c>
      <c r="P501" s="1257">
        <v>7.4956994516754E-3</v>
      </c>
      <c r="Q501" s="1280">
        <v>8.8734998002355393E-3</v>
      </c>
      <c r="R501" s="1271">
        <v>3.8500011034136201E-2</v>
      </c>
      <c r="S501" s="1257">
        <v>3.8500011034136201E-2</v>
      </c>
      <c r="T501" s="1257">
        <v>3.8500011034136201E-2</v>
      </c>
      <c r="U501" s="1280">
        <v>1.9250005517068101E-2</v>
      </c>
      <c r="V501" s="1293">
        <v>7.8808719120723302E-3</v>
      </c>
    </row>
    <row r="502" spans="1:22" s="212" customFormat="1" ht="15.5" x14ac:dyDescent="0.35">
      <c r="A502" s="198">
        <v>2024</v>
      </c>
      <c r="B502" s="197" t="s">
        <v>5833</v>
      </c>
      <c r="C502" s="197">
        <v>1993</v>
      </c>
      <c r="D502" s="225" t="str">
        <f t="shared" si="3"/>
        <v>2024_1993</v>
      </c>
      <c r="E502" s="1226">
        <v>7.3982696380311894E-2</v>
      </c>
      <c r="F502" s="1257">
        <v>2.1790652883305998E-2</v>
      </c>
      <c r="G502" s="1280">
        <v>2.2260214395407901E-2</v>
      </c>
      <c r="H502" s="1271">
        <v>0.42397868139238598</v>
      </c>
      <c r="I502" s="1257">
        <v>0.48420581238864402</v>
      </c>
      <c r="J502" s="1280">
        <v>0.68119236595407096</v>
      </c>
      <c r="K502" s="1271">
        <v>7.5399488816708096E-3</v>
      </c>
      <c r="L502" s="1257">
        <v>3.0363154032056E-4</v>
      </c>
      <c r="M502" s="1280">
        <v>1.9510989307758601E-4</v>
      </c>
      <c r="N502" s="1271">
        <v>8.8734998002355393E-3</v>
      </c>
      <c r="O502" s="1257">
        <v>3.0000008598028201E-3</v>
      </c>
      <c r="P502" s="1257">
        <v>7.4956994516754E-3</v>
      </c>
      <c r="Q502" s="1280">
        <v>8.8734998002355393E-3</v>
      </c>
      <c r="R502" s="1271">
        <v>3.8500011034136201E-2</v>
      </c>
      <c r="S502" s="1257">
        <v>3.8500011034136201E-2</v>
      </c>
      <c r="T502" s="1257">
        <v>3.8500011034136201E-2</v>
      </c>
      <c r="U502" s="1280">
        <v>1.9250005517068101E-2</v>
      </c>
      <c r="V502" s="1293">
        <v>7.8808719120723302E-3</v>
      </c>
    </row>
    <row r="503" spans="1:22" s="212" customFormat="1" ht="15.5" x14ac:dyDescent="0.35">
      <c r="A503" s="198">
        <v>2024</v>
      </c>
      <c r="B503" s="197" t="s">
        <v>5833</v>
      </c>
      <c r="C503" s="197">
        <v>1994</v>
      </c>
      <c r="D503" s="225" t="str">
        <f t="shared" si="3"/>
        <v>2024_1994</v>
      </c>
      <c r="E503" s="1226">
        <v>7.3982696380311894E-2</v>
      </c>
      <c r="F503" s="1257">
        <v>2.1790652883305998E-2</v>
      </c>
      <c r="G503" s="1280">
        <v>2.2260214395407901E-2</v>
      </c>
      <c r="H503" s="1271">
        <v>0.42397868139238598</v>
      </c>
      <c r="I503" s="1257">
        <v>0.48420581238864402</v>
      </c>
      <c r="J503" s="1280">
        <v>0.68119236595407096</v>
      </c>
      <c r="K503" s="1271">
        <v>7.5399488816708096E-3</v>
      </c>
      <c r="L503" s="1257">
        <v>3.0363154032056E-4</v>
      </c>
      <c r="M503" s="1280">
        <v>1.9510989307758601E-4</v>
      </c>
      <c r="N503" s="1271">
        <v>8.8734998002355393E-3</v>
      </c>
      <c r="O503" s="1257">
        <v>3.0000008598028201E-3</v>
      </c>
      <c r="P503" s="1257">
        <v>7.4956994516754E-3</v>
      </c>
      <c r="Q503" s="1280">
        <v>8.8734998002355393E-3</v>
      </c>
      <c r="R503" s="1271">
        <v>3.8500011034136201E-2</v>
      </c>
      <c r="S503" s="1257">
        <v>3.8500011034136201E-2</v>
      </c>
      <c r="T503" s="1257">
        <v>3.8500011034136201E-2</v>
      </c>
      <c r="U503" s="1280">
        <v>1.9250005517068101E-2</v>
      </c>
      <c r="V503" s="1293">
        <v>7.8808719120723302E-3</v>
      </c>
    </row>
    <row r="504" spans="1:22" s="212" customFormat="1" ht="15.5" x14ac:dyDescent="0.35">
      <c r="A504" s="198">
        <v>2024</v>
      </c>
      <c r="B504" s="197" t="s">
        <v>5833</v>
      </c>
      <c r="C504" s="197">
        <v>1995</v>
      </c>
      <c r="D504" s="225" t="str">
        <f t="shared" si="3"/>
        <v>2024_1995</v>
      </c>
      <c r="E504" s="1226">
        <v>7.3982696380311894E-2</v>
      </c>
      <c r="F504" s="1257">
        <v>2.1790652883305998E-2</v>
      </c>
      <c r="G504" s="1280">
        <v>2.2260214395407901E-2</v>
      </c>
      <c r="H504" s="1271">
        <v>0.42397868139238598</v>
      </c>
      <c r="I504" s="1257">
        <v>0.48420581238864402</v>
      </c>
      <c r="J504" s="1280">
        <v>0.68119236595407096</v>
      </c>
      <c r="K504" s="1271">
        <v>7.5399488816708096E-3</v>
      </c>
      <c r="L504" s="1257">
        <v>3.0363154032056E-4</v>
      </c>
      <c r="M504" s="1280">
        <v>1.9510989307758601E-4</v>
      </c>
      <c r="N504" s="1271">
        <v>8.8734998002355393E-3</v>
      </c>
      <c r="O504" s="1257">
        <v>3.0000008598028201E-3</v>
      </c>
      <c r="P504" s="1257">
        <v>7.4956994516754E-3</v>
      </c>
      <c r="Q504" s="1280">
        <v>8.8734998002355393E-3</v>
      </c>
      <c r="R504" s="1271">
        <v>3.8500011034136201E-2</v>
      </c>
      <c r="S504" s="1257">
        <v>3.8500011034136201E-2</v>
      </c>
      <c r="T504" s="1257">
        <v>3.8500011034136201E-2</v>
      </c>
      <c r="U504" s="1280">
        <v>1.9250005517068101E-2</v>
      </c>
      <c r="V504" s="1293">
        <v>7.8808719120723302E-3</v>
      </c>
    </row>
    <row r="505" spans="1:22" s="212" customFormat="1" ht="15.5" x14ac:dyDescent="0.35">
      <c r="A505" s="198">
        <v>2024</v>
      </c>
      <c r="B505" s="197" t="s">
        <v>5833</v>
      </c>
      <c r="C505" s="197">
        <v>1996</v>
      </c>
      <c r="D505" s="225" t="str">
        <f t="shared" si="3"/>
        <v>2024_1996</v>
      </c>
      <c r="E505" s="1226">
        <v>7.3982696380311894E-2</v>
      </c>
      <c r="F505" s="1257">
        <v>2.1790652883305998E-2</v>
      </c>
      <c r="G505" s="1280">
        <v>2.2260214395407901E-2</v>
      </c>
      <c r="H505" s="1271">
        <v>0.42397868139238598</v>
      </c>
      <c r="I505" s="1257">
        <v>0.48420581238864402</v>
      </c>
      <c r="J505" s="1280">
        <v>0.68119236595407096</v>
      </c>
      <c r="K505" s="1271">
        <v>7.5399488816708096E-3</v>
      </c>
      <c r="L505" s="1257">
        <v>3.0363154032056E-4</v>
      </c>
      <c r="M505" s="1280">
        <v>1.9510989307758601E-4</v>
      </c>
      <c r="N505" s="1271">
        <v>8.8734998002355393E-3</v>
      </c>
      <c r="O505" s="1257">
        <v>3.0000008598028201E-3</v>
      </c>
      <c r="P505" s="1257">
        <v>7.4956994516754E-3</v>
      </c>
      <c r="Q505" s="1280">
        <v>8.8734998002355393E-3</v>
      </c>
      <c r="R505" s="1271">
        <v>3.8500011034136201E-2</v>
      </c>
      <c r="S505" s="1257">
        <v>3.8500011034136201E-2</v>
      </c>
      <c r="T505" s="1257">
        <v>3.8500011034136201E-2</v>
      </c>
      <c r="U505" s="1280">
        <v>1.9250005517068101E-2</v>
      </c>
      <c r="V505" s="1293">
        <v>7.8808719120723302E-3</v>
      </c>
    </row>
    <row r="506" spans="1:22" s="212" customFormat="1" ht="15.5" x14ac:dyDescent="0.35">
      <c r="A506" s="198">
        <v>2024</v>
      </c>
      <c r="B506" s="197" t="s">
        <v>5833</v>
      </c>
      <c r="C506" s="197">
        <v>1997</v>
      </c>
      <c r="D506" s="225" t="str">
        <f t="shared" si="3"/>
        <v>2024_1997</v>
      </c>
      <c r="E506" s="1226">
        <v>7.3982696380311894E-2</v>
      </c>
      <c r="F506" s="1257">
        <v>2.1790652883305998E-2</v>
      </c>
      <c r="G506" s="1280">
        <v>2.2260214395407901E-2</v>
      </c>
      <c r="H506" s="1271">
        <v>0.42397868139238598</v>
      </c>
      <c r="I506" s="1257">
        <v>0.48420581238864402</v>
      </c>
      <c r="J506" s="1280">
        <v>0.68119236595407096</v>
      </c>
      <c r="K506" s="1271">
        <v>7.5399488816708096E-3</v>
      </c>
      <c r="L506" s="1257">
        <v>3.0363154032056E-4</v>
      </c>
      <c r="M506" s="1280">
        <v>1.9510989307758601E-4</v>
      </c>
      <c r="N506" s="1271">
        <v>8.8734998002355393E-3</v>
      </c>
      <c r="O506" s="1257">
        <v>3.0000008598028201E-3</v>
      </c>
      <c r="P506" s="1257">
        <v>7.4956994516754E-3</v>
      </c>
      <c r="Q506" s="1280">
        <v>8.8734998002355393E-3</v>
      </c>
      <c r="R506" s="1271">
        <v>3.8500011034136201E-2</v>
      </c>
      <c r="S506" s="1257">
        <v>3.8500011034136201E-2</v>
      </c>
      <c r="T506" s="1257">
        <v>3.8500011034136201E-2</v>
      </c>
      <c r="U506" s="1280">
        <v>1.9250005517068101E-2</v>
      </c>
      <c r="V506" s="1293">
        <v>7.8808719120723302E-3</v>
      </c>
    </row>
    <row r="507" spans="1:22" s="212" customFormat="1" ht="15.5" x14ac:dyDescent="0.35">
      <c r="A507" s="198">
        <v>2024</v>
      </c>
      <c r="B507" s="197" t="s">
        <v>5833</v>
      </c>
      <c r="C507" s="197">
        <v>1998</v>
      </c>
      <c r="D507" s="225" t="str">
        <f t="shared" si="3"/>
        <v>2024_1998</v>
      </c>
      <c r="E507" s="1226">
        <v>7.3982696380311894E-2</v>
      </c>
      <c r="F507" s="1257">
        <v>2.1790652883305998E-2</v>
      </c>
      <c r="G507" s="1280">
        <v>2.2260214395407901E-2</v>
      </c>
      <c r="H507" s="1271">
        <v>0.42397868139238598</v>
      </c>
      <c r="I507" s="1257">
        <v>0.48420581238864402</v>
      </c>
      <c r="J507" s="1280">
        <v>0.68119236595407096</v>
      </c>
      <c r="K507" s="1271">
        <v>7.5399488816708096E-3</v>
      </c>
      <c r="L507" s="1257">
        <v>3.0363154032056E-4</v>
      </c>
      <c r="M507" s="1280">
        <v>1.9510989307758601E-4</v>
      </c>
      <c r="N507" s="1271">
        <v>8.8734998002355393E-3</v>
      </c>
      <c r="O507" s="1257">
        <v>3.0000008598028201E-3</v>
      </c>
      <c r="P507" s="1257">
        <v>7.4956994516754E-3</v>
      </c>
      <c r="Q507" s="1280">
        <v>8.8734998002355393E-3</v>
      </c>
      <c r="R507" s="1271">
        <v>3.8500011034136201E-2</v>
      </c>
      <c r="S507" s="1257">
        <v>3.8500011034136201E-2</v>
      </c>
      <c r="T507" s="1257">
        <v>3.8500011034136201E-2</v>
      </c>
      <c r="U507" s="1280">
        <v>1.9250005517068101E-2</v>
      </c>
      <c r="V507" s="1293">
        <v>7.8808719120723302E-3</v>
      </c>
    </row>
    <row r="508" spans="1:22" s="212" customFormat="1" ht="15.5" x14ac:dyDescent="0.35">
      <c r="A508" s="198">
        <v>2024</v>
      </c>
      <c r="B508" s="197" t="s">
        <v>5833</v>
      </c>
      <c r="C508" s="197">
        <v>1999</v>
      </c>
      <c r="D508" s="225" t="str">
        <f t="shared" si="3"/>
        <v>2024_1999</v>
      </c>
      <c r="E508" s="1226">
        <v>7.3982696380311894E-2</v>
      </c>
      <c r="F508" s="1257">
        <v>2.1790652883305998E-2</v>
      </c>
      <c r="G508" s="1280">
        <v>2.2260214395407901E-2</v>
      </c>
      <c r="H508" s="1271">
        <v>0.42397868139238598</v>
      </c>
      <c r="I508" s="1257">
        <v>0.48420581238864402</v>
      </c>
      <c r="J508" s="1280">
        <v>0.68119236595407096</v>
      </c>
      <c r="K508" s="1271">
        <v>7.5399488816708096E-3</v>
      </c>
      <c r="L508" s="1257">
        <v>3.0363154032056E-4</v>
      </c>
      <c r="M508" s="1280">
        <v>1.9510989307758601E-4</v>
      </c>
      <c r="N508" s="1271">
        <v>8.8734998002355393E-3</v>
      </c>
      <c r="O508" s="1257">
        <v>3.0000008598028201E-3</v>
      </c>
      <c r="P508" s="1257">
        <v>7.4956994516754E-3</v>
      </c>
      <c r="Q508" s="1280">
        <v>8.8734998002355393E-3</v>
      </c>
      <c r="R508" s="1271">
        <v>3.8500011034136201E-2</v>
      </c>
      <c r="S508" s="1257">
        <v>3.8500011034136201E-2</v>
      </c>
      <c r="T508" s="1257">
        <v>3.8500011034136201E-2</v>
      </c>
      <c r="U508" s="1280">
        <v>1.9250005517068101E-2</v>
      </c>
      <c r="V508" s="1293">
        <v>7.8808719120723302E-3</v>
      </c>
    </row>
    <row r="509" spans="1:22" s="212" customFormat="1" ht="15.5" x14ac:dyDescent="0.35">
      <c r="A509" s="198">
        <v>2024</v>
      </c>
      <c r="B509" s="197" t="s">
        <v>5833</v>
      </c>
      <c r="C509" s="197">
        <v>2000</v>
      </c>
      <c r="D509" s="225" t="str">
        <f t="shared" si="3"/>
        <v>2024_2000</v>
      </c>
      <c r="E509" s="1226">
        <v>7.3982696380311894E-2</v>
      </c>
      <c r="F509" s="1257">
        <v>2.1790652883305998E-2</v>
      </c>
      <c r="G509" s="1280">
        <v>2.2260214395407901E-2</v>
      </c>
      <c r="H509" s="1271">
        <v>0.42397868139238598</v>
      </c>
      <c r="I509" s="1257">
        <v>0.48420581238864402</v>
      </c>
      <c r="J509" s="1280">
        <v>0.68119236595407096</v>
      </c>
      <c r="K509" s="1271">
        <v>7.5399488816708096E-3</v>
      </c>
      <c r="L509" s="1257">
        <v>3.0363154032056E-4</v>
      </c>
      <c r="M509" s="1280">
        <v>1.9510989307758601E-4</v>
      </c>
      <c r="N509" s="1271">
        <v>8.8734998002355393E-3</v>
      </c>
      <c r="O509" s="1257">
        <v>3.0000008598028201E-3</v>
      </c>
      <c r="P509" s="1257">
        <v>7.4956994516754E-3</v>
      </c>
      <c r="Q509" s="1280">
        <v>8.8734998002355393E-3</v>
      </c>
      <c r="R509" s="1271">
        <v>3.8500011034136201E-2</v>
      </c>
      <c r="S509" s="1257">
        <v>3.8500011034136201E-2</v>
      </c>
      <c r="T509" s="1257">
        <v>3.8500011034136201E-2</v>
      </c>
      <c r="U509" s="1280">
        <v>1.9250005517068101E-2</v>
      </c>
      <c r="V509" s="1293">
        <v>7.8808719120723302E-3</v>
      </c>
    </row>
    <row r="510" spans="1:22" s="212" customFormat="1" ht="15.5" x14ac:dyDescent="0.35">
      <c r="A510" s="198">
        <v>2024</v>
      </c>
      <c r="B510" s="197" t="s">
        <v>5833</v>
      </c>
      <c r="C510" s="197">
        <v>2001</v>
      </c>
      <c r="D510" s="225" t="str">
        <f t="shared" si="3"/>
        <v>2024_2001</v>
      </c>
      <c r="E510" s="1226">
        <v>7.3982696380311894E-2</v>
      </c>
      <c r="F510" s="1257">
        <v>2.1790652883305998E-2</v>
      </c>
      <c r="G510" s="1280">
        <v>2.2260214395407901E-2</v>
      </c>
      <c r="H510" s="1271">
        <v>0.42397868139238598</v>
      </c>
      <c r="I510" s="1257">
        <v>0.48420581238864402</v>
      </c>
      <c r="J510" s="1280">
        <v>0.68119236595407096</v>
      </c>
      <c r="K510" s="1271">
        <v>7.5399488816708096E-3</v>
      </c>
      <c r="L510" s="1257">
        <v>3.0363154032056E-4</v>
      </c>
      <c r="M510" s="1280">
        <v>1.9510989307758601E-4</v>
      </c>
      <c r="N510" s="1271">
        <v>8.8734998002355393E-3</v>
      </c>
      <c r="O510" s="1257">
        <v>3.0000008598028201E-3</v>
      </c>
      <c r="P510" s="1257">
        <v>7.4956994516754E-3</v>
      </c>
      <c r="Q510" s="1280">
        <v>8.8734998002355393E-3</v>
      </c>
      <c r="R510" s="1271">
        <v>3.8500011034136201E-2</v>
      </c>
      <c r="S510" s="1257">
        <v>3.8500011034136201E-2</v>
      </c>
      <c r="T510" s="1257">
        <v>3.8500011034136201E-2</v>
      </c>
      <c r="U510" s="1280">
        <v>1.9250005517068101E-2</v>
      </c>
      <c r="V510" s="1293">
        <v>7.8808719120723302E-3</v>
      </c>
    </row>
    <row r="511" spans="1:22" s="212" customFormat="1" ht="15.5" x14ac:dyDescent="0.35">
      <c r="A511" s="198">
        <v>2024</v>
      </c>
      <c r="B511" s="197" t="s">
        <v>5833</v>
      </c>
      <c r="C511" s="197">
        <v>2002</v>
      </c>
      <c r="D511" s="225" t="str">
        <f t="shared" si="3"/>
        <v>2024_2002</v>
      </c>
      <c r="E511" s="1226">
        <v>7.3982696380311894E-2</v>
      </c>
      <c r="F511" s="1257">
        <v>2.1790652883305998E-2</v>
      </c>
      <c r="G511" s="1280">
        <v>2.2260214395407901E-2</v>
      </c>
      <c r="H511" s="1271">
        <v>0.42397868139238598</v>
      </c>
      <c r="I511" s="1257">
        <v>0.48420581238864402</v>
      </c>
      <c r="J511" s="1280">
        <v>0.68119236595407096</v>
      </c>
      <c r="K511" s="1271">
        <v>7.5399488816708096E-3</v>
      </c>
      <c r="L511" s="1257">
        <v>3.0363154032056E-4</v>
      </c>
      <c r="M511" s="1280">
        <v>1.9510989307758601E-4</v>
      </c>
      <c r="N511" s="1271">
        <v>8.8734998002355393E-3</v>
      </c>
      <c r="O511" s="1257">
        <v>3.0000008598028201E-3</v>
      </c>
      <c r="P511" s="1257">
        <v>7.4956994516754E-3</v>
      </c>
      <c r="Q511" s="1280">
        <v>8.8734998002355393E-3</v>
      </c>
      <c r="R511" s="1271">
        <v>3.8500011034136201E-2</v>
      </c>
      <c r="S511" s="1257">
        <v>3.8500011034136201E-2</v>
      </c>
      <c r="T511" s="1257">
        <v>3.8500011034136201E-2</v>
      </c>
      <c r="U511" s="1280">
        <v>1.9250005517068101E-2</v>
      </c>
      <c r="V511" s="1293">
        <v>7.8808719120723302E-3</v>
      </c>
    </row>
    <row r="512" spans="1:22" s="212" customFormat="1" ht="15.5" x14ac:dyDescent="0.35">
      <c r="A512" s="198">
        <v>2024</v>
      </c>
      <c r="B512" s="197" t="s">
        <v>5833</v>
      </c>
      <c r="C512" s="197">
        <v>2003</v>
      </c>
      <c r="D512" s="225" t="str">
        <f t="shared" si="3"/>
        <v>2024_2003</v>
      </c>
      <c r="E512" s="1226">
        <v>7.3982696380311894E-2</v>
      </c>
      <c r="F512" s="1257">
        <v>2.1790652883305998E-2</v>
      </c>
      <c r="G512" s="1280">
        <v>2.2260214395407901E-2</v>
      </c>
      <c r="H512" s="1271">
        <v>0.42397868139238598</v>
      </c>
      <c r="I512" s="1257">
        <v>0.48420581238864402</v>
      </c>
      <c r="J512" s="1280">
        <v>0.68119236595407096</v>
      </c>
      <c r="K512" s="1271">
        <v>7.5399488816708096E-3</v>
      </c>
      <c r="L512" s="1257">
        <v>3.0363154032056E-4</v>
      </c>
      <c r="M512" s="1280">
        <v>1.9510989307758601E-4</v>
      </c>
      <c r="N512" s="1271">
        <v>8.8734998002355393E-3</v>
      </c>
      <c r="O512" s="1257">
        <v>3.0000008598028201E-3</v>
      </c>
      <c r="P512" s="1257">
        <v>7.4956994516754E-3</v>
      </c>
      <c r="Q512" s="1280">
        <v>8.8734998002355393E-3</v>
      </c>
      <c r="R512" s="1271">
        <v>3.8500011034136201E-2</v>
      </c>
      <c r="S512" s="1257">
        <v>3.8500011034136201E-2</v>
      </c>
      <c r="T512" s="1257">
        <v>3.8500011034136201E-2</v>
      </c>
      <c r="U512" s="1280">
        <v>1.9250005517068101E-2</v>
      </c>
      <c r="V512" s="1293">
        <v>7.8808719120723302E-3</v>
      </c>
    </row>
    <row r="513" spans="1:22" s="212" customFormat="1" ht="15.5" x14ac:dyDescent="0.35">
      <c r="A513" s="198">
        <v>2024</v>
      </c>
      <c r="B513" s="197" t="s">
        <v>5833</v>
      </c>
      <c r="C513" s="197">
        <v>2004</v>
      </c>
      <c r="D513" s="225" t="str">
        <f t="shared" si="3"/>
        <v>2024_2004</v>
      </c>
      <c r="E513" s="1226">
        <v>7.3982696380311894E-2</v>
      </c>
      <c r="F513" s="1257">
        <v>2.1790652883305998E-2</v>
      </c>
      <c r="G513" s="1280">
        <v>2.2260214395407901E-2</v>
      </c>
      <c r="H513" s="1271">
        <v>0.42397868139238598</v>
      </c>
      <c r="I513" s="1257">
        <v>0.48420581238864402</v>
      </c>
      <c r="J513" s="1280">
        <v>0.68119236595407096</v>
      </c>
      <c r="K513" s="1271">
        <v>7.5399488816708096E-3</v>
      </c>
      <c r="L513" s="1257">
        <v>3.0363154032056E-4</v>
      </c>
      <c r="M513" s="1280">
        <v>1.9510989307758601E-4</v>
      </c>
      <c r="N513" s="1271">
        <v>8.8734998002355393E-3</v>
      </c>
      <c r="O513" s="1257">
        <v>3.0000008598028201E-3</v>
      </c>
      <c r="P513" s="1257">
        <v>7.4956994516754E-3</v>
      </c>
      <c r="Q513" s="1280">
        <v>8.8734998002355393E-3</v>
      </c>
      <c r="R513" s="1271">
        <v>3.8500011034136201E-2</v>
      </c>
      <c r="S513" s="1257">
        <v>3.8500011034136201E-2</v>
      </c>
      <c r="T513" s="1257">
        <v>3.8500011034136201E-2</v>
      </c>
      <c r="U513" s="1280">
        <v>1.9250005517068101E-2</v>
      </c>
      <c r="V513" s="1293">
        <v>7.8808719120723302E-3</v>
      </c>
    </row>
    <row r="514" spans="1:22" s="212" customFormat="1" ht="15.5" x14ac:dyDescent="0.35">
      <c r="A514" s="198">
        <v>2024</v>
      </c>
      <c r="B514" s="197" t="s">
        <v>5833</v>
      </c>
      <c r="C514" s="197">
        <v>2005</v>
      </c>
      <c r="D514" s="225" t="str">
        <f t="shared" si="3"/>
        <v>2024_2005</v>
      </c>
      <c r="E514" s="1226">
        <v>7.3982696380311894E-2</v>
      </c>
      <c r="F514" s="1257">
        <v>2.1790652883305998E-2</v>
      </c>
      <c r="G514" s="1280">
        <v>2.2260214395407901E-2</v>
      </c>
      <c r="H514" s="1271">
        <v>0.42397868139238598</v>
      </c>
      <c r="I514" s="1257">
        <v>0.48420581238864402</v>
      </c>
      <c r="J514" s="1280">
        <v>0.68119236595407096</v>
      </c>
      <c r="K514" s="1271">
        <v>7.5399488816708096E-3</v>
      </c>
      <c r="L514" s="1257">
        <v>3.0363154032056E-4</v>
      </c>
      <c r="M514" s="1280">
        <v>1.9510989307758601E-4</v>
      </c>
      <c r="N514" s="1271">
        <v>8.8734998002355393E-3</v>
      </c>
      <c r="O514" s="1257">
        <v>3.0000008598028201E-3</v>
      </c>
      <c r="P514" s="1257">
        <v>7.4956994516754E-3</v>
      </c>
      <c r="Q514" s="1280">
        <v>8.8734998002355393E-3</v>
      </c>
      <c r="R514" s="1271">
        <v>3.8500011034136201E-2</v>
      </c>
      <c r="S514" s="1257">
        <v>3.8500011034136201E-2</v>
      </c>
      <c r="T514" s="1257">
        <v>3.8500011034136201E-2</v>
      </c>
      <c r="U514" s="1280">
        <v>1.9250005517068101E-2</v>
      </c>
      <c r="V514" s="1293">
        <v>7.8808719120723302E-3</v>
      </c>
    </row>
    <row r="515" spans="1:22" s="212" customFormat="1" ht="15.5" x14ac:dyDescent="0.35">
      <c r="A515" s="198">
        <v>2024</v>
      </c>
      <c r="B515" s="197" t="s">
        <v>5833</v>
      </c>
      <c r="C515" s="197">
        <v>2006</v>
      </c>
      <c r="D515" s="225" t="str">
        <f t="shared" si="3"/>
        <v>2024_2006</v>
      </c>
      <c r="E515" s="1226">
        <v>7.3982696380311894E-2</v>
      </c>
      <c r="F515" s="1257">
        <v>2.1790652883305998E-2</v>
      </c>
      <c r="G515" s="1280">
        <v>2.2260214395407901E-2</v>
      </c>
      <c r="H515" s="1271">
        <v>0.42397868139238598</v>
      </c>
      <c r="I515" s="1257">
        <v>0.48420581238864402</v>
      </c>
      <c r="J515" s="1280">
        <v>0.68119236595407096</v>
      </c>
      <c r="K515" s="1271">
        <v>7.5399488816708096E-3</v>
      </c>
      <c r="L515" s="1257">
        <v>3.0363154032056E-4</v>
      </c>
      <c r="M515" s="1280">
        <v>1.9510989307758601E-4</v>
      </c>
      <c r="N515" s="1271">
        <v>8.8734998002355393E-3</v>
      </c>
      <c r="O515" s="1257">
        <v>3.0000008598028201E-3</v>
      </c>
      <c r="P515" s="1257">
        <v>7.4956994516754E-3</v>
      </c>
      <c r="Q515" s="1280">
        <v>8.8734998002355393E-3</v>
      </c>
      <c r="R515" s="1271">
        <v>3.8500011034136201E-2</v>
      </c>
      <c r="S515" s="1257">
        <v>3.8500011034136201E-2</v>
      </c>
      <c r="T515" s="1257">
        <v>3.8500011034136201E-2</v>
      </c>
      <c r="U515" s="1280">
        <v>1.9250005517068101E-2</v>
      </c>
      <c r="V515" s="1293">
        <v>7.8808719120723302E-3</v>
      </c>
    </row>
    <row r="516" spans="1:22" s="212" customFormat="1" ht="15.5" x14ac:dyDescent="0.35">
      <c r="A516" s="198">
        <v>2024</v>
      </c>
      <c r="B516" s="197" t="s">
        <v>5833</v>
      </c>
      <c r="C516" s="197">
        <v>2007</v>
      </c>
      <c r="D516" s="225" t="str">
        <f t="shared" si="3"/>
        <v>2024_2007</v>
      </c>
      <c r="E516" s="1226">
        <v>7.3982696380311894E-2</v>
      </c>
      <c r="F516" s="1257">
        <v>2.1790652883305998E-2</v>
      </c>
      <c r="G516" s="1280">
        <v>2.2260214395407901E-2</v>
      </c>
      <c r="H516" s="1271">
        <v>0.42397868139238598</v>
      </c>
      <c r="I516" s="1257">
        <v>0.48420581238864402</v>
      </c>
      <c r="J516" s="1280">
        <v>0.68119236595407096</v>
      </c>
      <c r="K516" s="1271">
        <v>7.5399488816708096E-3</v>
      </c>
      <c r="L516" s="1257">
        <v>3.0363154032056E-4</v>
      </c>
      <c r="M516" s="1280">
        <v>1.9510989307758601E-4</v>
      </c>
      <c r="N516" s="1271">
        <v>8.8734998002355393E-3</v>
      </c>
      <c r="O516" s="1257">
        <v>3.0000008598028201E-3</v>
      </c>
      <c r="P516" s="1257">
        <v>7.4956994516754E-3</v>
      </c>
      <c r="Q516" s="1280">
        <v>8.8734998002355393E-3</v>
      </c>
      <c r="R516" s="1271">
        <v>3.8500011034136201E-2</v>
      </c>
      <c r="S516" s="1257">
        <v>3.8500011034136201E-2</v>
      </c>
      <c r="T516" s="1257">
        <v>3.8500011034136201E-2</v>
      </c>
      <c r="U516" s="1280">
        <v>1.9250005517068101E-2</v>
      </c>
      <c r="V516" s="1293">
        <v>7.8808719120723302E-3</v>
      </c>
    </row>
    <row r="517" spans="1:22" s="212" customFormat="1" ht="15.5" x14ac:dyDescent="0.35">
      <c r="A517" s="198">
        <v>2024</v>
      </c>
      <c r="B517" s="197" t="s">
        <v>5833</v>
      </c>
      <c r="C517" s="197">
        <v>2008</v>
      </c>
      <c r="D517" s="225" t="str">
        <f t="shared" si="3"/>
        <v>2024_2008</v>
      </c>
      <c r="E517" s="1226">
        <v>7.3982696380311894E-2</v>
      </c>
      <c r="F517" s="1257">
        <v>2.1790652883305998E-2</v>
      </c>
      <c r="G517" s="1280">
        <v>2.2260214395407901E-2</v>
      </c>
      <c r="H517" s="1271">
        <v>0.42397868139238598</v>
      </c>
      <c r="I517" s="1257">
        <v>0.48420581238864402</v>
      </c>
      <c r="J517" s="1280">
        <v>0.68119236595407096</v>
      </c>
      <c r="K517" s="1271">
        <v>7.5399488816708096E-3</v>
      </c>
      <c r="L517" s="1257">
        <v>3.0363154032056E-4</v>
      </c>
      <c r="M517" s="1280">
        <v>1.9510989307758601E-4</v>
      </c>
      <c r="N517" s="1271">
        <v>8.8734998002355393E-3</v>
      </c>
      <c r="O517" s="1257">
        <v>3.0000008598028201E-3</v>
      </c>
      <c r="P517" s="1257">
        <v>7.4956994516754E-3</v>
      </c>
      <c r="Q517" s="1280">
        <v>8.8734998002355393E-3</v>
      </c>
      <c r="R517" s="1271">
        <v>3.8500011034136201E-2</v>
      </c>
      <c r="S517" s="1257">
        <v>3.8500011034136201E-2</v>
      </c>
      <c r="T517" s="1257">
        <v>3.8500011034136201E-2</v>
      </c>
      <c r="U517" s="1280">
        <v>1.9250005517068101E-2</v>
      </c>
      <c r="V517" s="1293">
        <v>7.8808719120723302E-3</v>
      </c>
    </row>
    <row r="518" spans="1:22" s="212" customFormat="1" ht="15.5" x14ac:dyDescent="0.35">
      <c r="A518" s="198">
        <v>2024</v>
      </c>
      <c r="B518" s="197" t="s">
        <v>5833</v>
      </c>
      <c r="C518" s="197">
        <v>2009</v>
      </c>
      <c r="D518" s="225" t="str">
        <f t="shared" si="3"/>
        <v>2024_2009</v>
      </c>
      <c r="E518" s="1226">
        <v>7.3982696380311894E-2</v>
      </c>
      <c r="F518" s="1257">
        <v>2.1790652883305998E-2</v>
      </c>
      <c r="G518" s="1280">
        <v>2.2260214395407901E-2</v>
      </c>
      <c r="H518" s="1271">
        <v>0.42397868139238598</v>
      </c>
      <c r="I518" s="1257">
        <v>0.48420581238864402</v>
      </c>
      <c r="J518" s="1280">
        <v>0.68119236595407096</v>
      </c>
      <c r="K518" s="1271">
        <v>7.5399488816708096E-3</v>
      </c>
      <c r="L518" s="1257">
        <v>3.0363154032056E-4</v>
      </c>
      <c r="M518" s="1280">
        <v>1.9510989307758601E-4</v>
      </c>
      <c r="N518" s="1271">
        <v>8.8734998002355393E-3</v>
      </c>
      <c r="O518" s="1257">
        <v>3.0000008598028201E-3</v>
      </c>
      <c r="P518" s="1257">
        <v>7.4956994516754E-3</v>
      </c>
      <c r="Q518" s="1280">
        <v>8.8734998002355393E-3</v>
      </c>
      <c r="R518" s="1271">
        <v>3.8500011034136201E-2</v>
      </c>
      <c r="S518" s="1257">
        <v>3.8500011034136201E-2</v>
      </c>
      <c r="T518" s="1257">
        <v>3.8500011034136201E-2</v>
      </c>
      <c r="U518" s="1280">
        <v>1.9250005517068101E-2</v>
      </c>
      <c r="V518" s="1293">
        <v>7.8808719120723302E-3</v>
      </c>
    </row>
    <row r="519" spans="1:22" s="212" customFormat="1" ht="15.5" x14ac:dyDescent="0.35">
      <c r="A519" s="198">
        <v>2024</v>
      </c>
      <c r="B519" s="197" t="s">
        <v>5833</v>
      </c>
      <c r="C519" s="197">
        <v>2010</v>
      </c>
      <c r="D519" s="225" t="str">
        <f t="shared" si="3"/>
        <v>2024_2010</v>
      </c>
      <c r="E519" s="1231">
        <v>7.3982696380311894E-2</v>
      </c>
      <c r="F519" s="1288">
        <v>2.1790652883305998E-2</v>
      </c>
      <c r="G519" s="1306">
        <v>2.2260214395407901E-2</v>
      </c>
      <c r="H519" s="1303">
        <v>0.42397868139238598</v>
      </c>
      <c r="I519" s="1288">
        <v>0.48420581238864402</v>
      </c>
      <c r="J519" s="1306">
        <v>0.68119236595407096</v>
      </c>
      <c r="K519" s="1303">
        <v>7.5399488816708096E-3</v>
      </c>
      <c r="L519" s="1288">
        <v>3.0363154032056E-4</v>
      </c>
      <c r="M519" s="1306">
        <v>1.9510989307758601E-4</v>
      </c>
      <c r="N519" s="1303">
        <v>8.8734998002355393E-3</v>
      </c>
      <c r="O519" s="1288">
        <v>3.0000008598028201E-3</v>
      </c>
      <c r="P519" s="1288">
        <v>7.4956994516754E-3</v>
      </c>
      <c r="Q519" s="1306">
        <v>8.9186934846127199E-3</v>
      </c>
      <c r="R519" s="1303">
        <v>3.8500011034136201E-2</v>
      </c>
      <c r="S519" s="1288">
        <v>3.8500011034136201E-2</v>
      </c>
      <c r="T519" s="1288">
        <v>3.8500011034136201E-2</v>
      </c>
      <c r="U519" s="1306">
        <v>1.9250005517068101E-2</v>
      </c>
      <c r="V519" s="1294">
        <v>7.8808719120723302E-3</v>
      </c>
    </row>
    <row r="520" spans="1:22" s="212" customFormat="1" ht="15.5" x14ac:dyDescent="0.35">
      <c r="A520" s="198">
        <v>2024</v>
      </c>
      <c r="B520" s="197" t="s">
        <v>5833</v>
      </c>
      <c r="C520" s="197">
        <v>2011</v>
      </c>
      <c r="D520" s="225" t="str">
        <f t="shared" si="3"/>
        <v>2024_2011</v>
      </c>
      <c r="E520" s="1231">
        <v>6.5078107770874E-2</v>
      </c>
      <c r="F520" s="1288">
        <v>1.4368868675147899E-2</v>
      </c>
      <c r="G520" s="1306">
        <v>2.4139125466010498E-2</v>
      </c>
      <c r="H520" s="1303">
        <v>0.356911650334305</v>
      </c>
      <c r="I520" s="1288">
        <v>0.40823325198697402</v>
      </c>
      <c r="J520" s="1306">
        <v>0.760930151190925</v>
      </c>
      <c r="K520" s="1303">
        <v>6.4420211754615299E-3</v>
      </c>
      <c r="L520" s="1288">
        <v>2.7493198996008799E-4</v>
      </c>
      <c r="M520" s="1306">
        <v>2.1455209031804901E-4</v>
      </c>
      <c r="N520" s="1303">
        <v>7.71728922414651E-3</v>
      </c>
      <c r="O520" s="1288">
        <v>3.0000008598028201E-3</v>
      </c>
      <c r="P520" s="1288">
        <v>8.3358074424524E-3</v>
      </c>
      <c r="Q520" s="1306">
        <v>4.2337495475846098E-3</v>
      </c>
      <c r="R520" s="1303">
        <v>3.8500011034136201E-2</v>
      </c>
      <c r="S520" s="1288">
        <v>3.8500011034136201E-2</v>
      </c>
      <c r="T520" s="1288">
        <v>3.8500011034136201E-2</v>
      </c>
      <c r="U520" s="1306">
        <v>1.9250005517068101E-2</v>
      </c>
      <c r="V520" s="1294">
        <v>6.7333007869703103E-3</v>
      </c>
    </row>
    <row r="521" spans="1:22" s="212" customFormat="1" ht="15.5" x14ac:dyDescent="0.35">
      <c r="A521" s="198">
        <v>2024</v>
      </c>
      <c r="B521" s="197" t="s">
        <v>5833</v>
      </c>
      <c r="C521" s="197">
        <v>2012</v>
      </c>
      <c r="D521" s="225" t="str">
        <f t="shared" si="3"/>
        <v>2024_2012</v>
      </c>
      <c r="E521" s="1231">
        <v>8.1202741538812406E-2</v>
      </c>
      <c r="F521" s="1288">
        <v>1.4507564252777E-2</v>
      </c>
      <c r="G521" s="1306">
        <v>2.2845296963884501E-2</v>
      </c>
      <c r="H521" s="1303">
        <v>0.52401251801886395</v>
      </c>
      <c r="I521" s="1288">
        <v>0.39283537425410697</v>
      </c>
      <c r="J521" s="1306">
        <v>0.70937717512391196</v>
      </c>
      <c r="K521" s="1303">
        <v>7.0410997989614399E-3</v>
      </c>
      <c r="L521" s="1288">
        <v>4.0580038260833997E-4</v>
      </c>
      <c r="M521" s="1306">
        <v>2.02347933192258E-4</v>
      </c>
      <c r="N521" s="1303">
        <v>8.7970325642316508E-3</v>
      </c>
      <c r="O521" s="1288">
        <v>3.0000008598028201E-3</v>
      </c>
      <c r="P521" s="1288">
        <v>8.2249125040847904E-3</v>
      </c>
      <c r="Q521" s="1306">
        <v>7.8209757815365898E-3</v>
      </c>
      <c r="R521" s="1303">
        <v>3.8500011034136201E-2</v>
      </c>
      <c r="S521" s="1288">
        <v>3.8500011034136201E-2</v>
      </c>
      <c r="T521" s="1288">
        <v>3.8500011034136201E-2</v>
      </c>
      <c r="U521" s="1306">
        <v>1.9250005517068101E-2</v>
      </c>
      <c r="V521" s="1294">
        <v>7.3594670874528598E-3</v>
      </c>
    </row>
    <row r="522" spans="1:22" s="212" customFormat="1" ht="15.5" x14ac:dyDescent="0.35">
      <c r="A522" s="198">
        <v>2024</v>
      </c>
      <c r="B522" s="197" t="s">
        <v>5833</v>
      </c>
      <c r="C522" s="197">
        <v>2013</v>
      </c>
      <c r="D522" s="225" t="str">
        <f t="shared" si="3"/>
        <v>2024_2013</v>
      </c>
      <c r="E522" s="1231">
        <v>7.0698779320072194E-2</v>
      </c>
      <c r="F522" s="1288">
        <v>1.3153713388162401E-2</v>
      </c>
      <c r="G522" s="1306">
        <v>2.38457527977377E-2</v>
      </c>
      <c r="H522" s="1303">
        <v>0.40191727312044001</v>
      </c>
      <c r="I522" s="1288">
        <v>0.35800632979836899</v>
      </c>
      <c r="J522" s="1306">
        <v>0.75001640814672799</v>
      </c>
      <c r="K522" s="1303">
        <v>7.0600573647168798E-3</v>
      </c>
      <c r="L522" s="1288">
        <v>5.5528392906911098E-4</v>
      </c>
      <c r="M522" s="1306">
        <v>2.11938606721791E-4</v>
      </c>
      <c r="N522" s="1303">
        <v>8.3905913196603808E-3</v>
      </c>
      <c r="O522" s="1288">
        <v>3.0000008598028201E-3</v>
      </c>
      <c r="P522" s="1288">
        <v>8.3928831765067401E-3</v>
      </c>
      <c r="Q522" s="1306">
        <v>3.8946870232350601E-3</v>
      </c>
      <c r="R522" s="1303">
        <v>3.8500011034136201E-2</v>
      </c>
      <c r="S522" s="1288">
        <v>3.8500011034136201E-2</v>
      </c>
      <c r="T522" s="1288">
        <v>3.8500011034136201E-2</v>
      </c>
      <c r="U522" s="1306">
        <v>1.9250005517068101E-2</v>
      </c>
      <c r="V522" s="1294">
        <v>7.3792818302087998E-3</v>
      </c>
    </row>
    <row r="523" spans="1:22" s="212" customFormat="1" ht="15.5" x14ac:dyDescent="0.35">
      <c r="A523" s="198">
        <v>2024</v>
      </c>
      <c r="B523" s="197" t="s">
        <v>5833</v>
      </c>
      <c r="C523" s="197">
        <v>2014</v>
      </c>
      <c r="D523" s="225" t="str">
        <f t="shared" si="3"/>
        <v>2024_2014</v>
      </c>
      <c r="E523" s="1231">
        <v>6.6891781423027596E-2</v>
      </c>
      <c r="F523" s="1288">
        <v>7.5940755846427401E-3</v>
      </c>
      <c r="G523" s="1306">
        <v>2.60937187538176E-2</v>
      </c>
      <c r="H523" s="1303">
        <v>0.386421596101374</v>
      </c>
      <c r="I523" s="1288">
        <v>7.8368179103478805E-2</v>
      </c>
      <c r="J523" s="1306">
        <v>0.81534399484987197</v>
      </c>
      <c r="K523" s="1303">
        <v>6.33888941469876E-3</v>
      </c>
      <c r="L523" s="1288">
        <v>7.1695526168126002E-4</v>
      </c>
      <c r="M523" s="1306">
        <v>4.0170430108643E-4</v>
      </c>
      <c r="N523" s="1303">
        <v>7.6321509609108404E-3</v>
      </c>
      <c r="O523" s="1288">
        <v>2.1367220253360598E-3</v>
      </c>
      <c r="P523" s="1288">
        <v>8.5846953190263798E-3</v>
      </c>
      <c r="Q523" s="1306">
        <v>8.3519267598167694E-3</v>
      </c>
      <c r="R523" s="1303">
        <v>3.8495644604223903E-2</v>
      </c>
      <c r="S523" s="1288">
        <v>3.2759206784932202E-2</v>
      </c>
      <c r="T523" s="1288">
        <v>3.8443696915343703E-2</v>
      </c>
      <c r="U523" s="1306">
        <v>1.9228945827987499E-2</v>
      </c>
      <c r="V523" s="1294">
        <v>6.6255058656262498E-3</v>
      </c>
    </row>
    <row r="524" spans="1:22" s="212" customFormat="1" ht="15.5" x14ac:dyDescent="0.35">
      <c r="A524" s="198">
        <v>2024</v>
      </c>
      <c r="B524" s="197" t="s">
        <v>5833</v>
      </c>
      <c r="C524" s="197">
        <v>2015</v>
      </c>
      <c r="D524" s="225" t="str">
        <f t="shared" si="3"/>
        <v>2024_2015</v>
      </c>
      <c r="E524" s="1231">
        <v>6.9558671176287695E-2</v>
      </c>
      <c r="F524" s="1288">
        <v>1.11341453634112E-2</v>
      </c>
      <c r="G524" s="1306">
        <v>2.4064885165988401E-2</v>
      </c>
      <c r="H524" s="1303">
        <v>0.40065146989169997</v>
      </c>
      <c r="I524" s="1288">
        <v>0.19688836366398399</v>
      </c>
      <c r="J524" s="1306">
        <v>0.73322884067329697</v>
      </c>
      <c r="K524" s="1303">
        <v>6.7578545527734899E-3</v>
      </c>
      <c r="L524" s="1288">
        <v>1.02210338044407E-3</v>
      </c>
      <c r="M524" s="1306">
        <v>4.0268541514689002E-4</v>
      </c>
      <c r="N524" s="1303">
        <v>8.08963182934949E-3</v>
      </c>
      <c r="O524" s="1288">
        <v>2.5488370124136799E-3</v>
      </c>
      <c r="P524" s="1288">
        <v>7.6554203626222998E-3</v>
      </c>
      <c r="Q524" s="1306">
        <v>7.0764407049211204E-3</v>
      </c>
      <c r="R524" s="1303">
        <v>3.8481888326502602E-2</v>
      </c>
      <c r="S524" s="1288">
        <v>3.54997714489984E-2</v>
      </c>
      <c r="T524" s="1288">
        <v>3.84036317540861E-2</v>
      </c>
      <c r="U524" s="1306">
        <v>1.9167935893848399E-2</v>
      </c>
      <c r="V524" s="1294">
        <v>7.0634147481144598E-3</v>
      </c>
    </row>
    <row r="525" spans="1:22" s="212" customFormat="1" ht="15.5" x14ac:dyDescent="0.35">
      <c r="A525" s="198">
        <v>2024</v>
      </c>
      <c r="B525" s="197" t="s">
        <v>5833</v>
      </c>
      <c r="C525" s="197">
        <v>2016</v>
      </c>
      <c r="D525" s="225" t="str">
        <f t="shared" si="3"/>
        <v>2024_2016</v>
      </c>
      <c r="E525" s="1231">
        <v>6.8823051511242198E-2</v>
      </c>
      <c r="F525" s="1288">
        <v>5.7760818040584697E-3</v>
      </c>
      <c r="G525" s="1306">
        <v>2.6810959550687199E-2</v>
      </c>
      <c r="H525" s="1303">
        <v>0.38456968403785502</v>
      </c>
      <c r="I525" s="1288">
        <v>9.5718904678767605E-2</v>
      </c>
      <c r="J525" s="1306">
        <v>0.84527581543852004</v>
      </c>
      <c r="K525" s="1303">
        <v>6.9433993002148897E-3</v>
      </c>
      <c r="L525" s="1288">
        <v>9.8516439669036693E-4</v>
      </c>
      <c r="M525" s="1306">
        <v>3.7284620787728703E-4</v>
      </c>
      <c r="N525" s="1303">
        <v>8.2117804972583804E-3</v>
      </c>
      <c r="O525" s="1288">
        <v>2.2085237200317599E-3</v>
      </c>
      <c r="P525" s="1288">
        <v>8.4738214777924908E-3</v>
      </c>
      <c r="Q525" s="1306">
        <v>7.9569585657918804E-3</v>
      </c>
      <c r="R525" s="1303">
        <v>3.84958616135E-2</v>
      </c>
      <c r="S525" s="1288">
        <v>3.3236688054658597E-2</v>
      </c>
      <c r="T525" s="1288">
        <v>3.8449978524626803E-2</v>
      </c>
      <c r="U525" s="1306">
        <v>1.9243523638359E-2</v>
      </c>
      <c r="V525" s="1294">
        <v>7.2573490056925304E-3</v>
      </c>
    </row>
    <row r="526" spans="1:22" s="212" customFormat="1" ht="15.5" x14ac:dyDescent="0.35">
      <c r="A526" s="198">
        <v>2024</v>
      </c>
      <c r="B526" s="197" t="s">
        <v>5833</v>
      </c>
      <c r="C526" s="197">
        <v>2017</v>
      </c>
      <c r="D526" s="225" t="str">
        <f t="shared" si="3"/>
        <v>2024_2017</v>
      </c>
      <c r="E526" s="1231">
        <v>6.5918896671643301E-2</v>
      </c>
      <c r="F526" s="1288">
        <v>1.0799849897899399E-2</v>
      </c>
      <c r="G526" s="1306">
        <v>2.22767526674678E-2</v>
      </c>
      <c r="H526" s="1303">
        <v>0.36367364226635701</v>
      </c>
      <c r="I526" s="1288">
        <v>0.158312001103597</v>
      </c>
      <c r="J526" s="1306">
        <v>0.516689272945136</v>
      </c>
      <c r="K526" s="1303">
        <v>6.56460260510468E-3</v>
      </c>
      <c r="L526" s="1288">
        <v>1.2711742411224099E-3</v>
      </c>
      <c r="M526" s="1306">
        <v>1.46158255588253E-3</v>
      </c>
      <c r="N526" s="1303">
        <v>7.8255510763968906E-3</v>
      </c>
      <c r="O526" s="1288">
        <v>2.4876782578978599E-3</v>
      </c>
      <c r="P526" s="1288">
        <v>6.84590347907488E-3</v>
      </c>
      <c r="Q526" s="1306">
        <v>8.0174328048109502E-3</v>
      </c>
      <c r="R526" s="1303">
        <v>3.8498015894693802E-2</v>
      </c>
      <c r="S526" s="1288">
        <v>3.5093065731468198E-2</v>
      </c>
      <c r="T526" s="1288">
        <v>3.7696008183240898E-2</v>
      </c>
      <c r="U526" s="1306">
        <v>1.90904064375991E-2</v>
      </c>
      <c r="V526" s="1294">
        <v>6.8614248049148801E-3</v>
      </c>
    </row>
    <row r="527" spans="1:22" s="212" customFormat="1" ht="15.5" x14ac:dyDescent="0.35">
      <c r="A527" s="198">
        <v>2024</v>
      </c>
      <c r="B527" s="197" t="s">
        <v>5833</v>
      </c>
      <c r="C527" s="197">
        <v>2018</v>
      </c>
      <c r="D527" s="225" t="str">
        <f t="shared" si="3"/>
        <v>2024_2018</v>
      </c>
      <c r="E527" s="1231">
        <v>6.9066234342938695E-2</v>
      </c>
      <c r="F527" s="1288">
        <v>9.1751241532474596E-3</v>
      </c>
      <c r="G527" s="1306">
        <v>5.5153106627376401E-2</v>
      </c>
      <c r="H527" s="1303">
        <v>0.38513738827372401</v>
      </c>
      <c r="I527" s="1288">
        <v>0.143670111025479</v>
      </c>
      <c r="J527" s="1306">
        <v>0.115672032928703</v>
      </c>
      <c r="K527" s="1303">
        <v>6.9955125324461199E-3</v>
      </c>
      <c r="L527" s="1288">
        <v>1.24456793286059E-3</v>
      </c>
      <c r="M527" s="1306">
        <v>1.39262931621773E-3</v>
      </c>
      <c r="N527" s="1303">
        <v>8.2482763103661604E-3</v>
      </c>
      <c r="O527" s="1288">
        <v>2.4788674284457598E-3</v>
      </c>
      <c r="P527" s="1288">
        <v>7.1518389140904403E-3</v>
      </c>
      <c r="Q527" s="1306">
        <v>7.9389976672573793E-3</v>
      </c>
      <c r="R527" s="1303">
        <v>3.8487927441084202E-2</v>
      </c>
      <c r="S527" s="1288">
        <v>3.5034473715611698E-2</v>
      </c>
      <c r="T527" s="1288">
        <v>3.7881050835453497E-2</v>
      </c>
      <c r="U527" s="1306">
        <v>1.9240847680182201E-2</v>
      </c>
      <c r="V527" s="1294">
        <v>7.3118185670362204E-3</v>
      </c>
    </row>
    <row r="528" spans="1:22" s="212" customFormat="1" ht="15.5" x14ac:dyDescent="0.35">
      <c r="A528" s="198">
        <v>2024</v>
      </c>
      <c r="B528" s="197" t="s">
        <v>5833</v>
      </c>
      <c r="C528" s="197">
        <v>2019</v>
      </c>
      <c r="D528" s="225" t="str">
        <f t="shared" si="3"/>
        <v>2024_2019</v>
      </c>
      <c r="E528" s="1231">
        <v>7.1722539435117597E-2</v>
      </c>
      <c r="F528" s="1288">
        <v>7.5728328439124701E-3</v>
      </c>
      <c r="G528" s="1306">
        <v>5.2494472481506897E-2</v>
      </c>
      <c r="H528" s="1303">
        <v>0.40454609573309802</v>
      </c>
      <c r="I528" s="1288">
        <v>8.3590301261758704E-2</v>
      </c>
      <c r="J528" s="1306">
        <v>0.108924680585243</v>
      </c>
      <c r="K528" s="1303">
        <v>7.3081037189747598E-3</v>
      </c>
      <c r="L528" s="1288">
        <v>1.25959040751096E-3</v>
      </c>
      <c r="M528" s="1306">
        <v>7.9905009883385802E-4</v>
      </c>
      <c r="N528" s="1303">
        <v>8.5784756094915704E-3</v>
      </c>
      <c r="O528" s="1288">
        <v>2.2678037618185701E-3</v>
      </c>
      <c r="P528" s="1288">
        <v>6.9472013974099999E-3</v>
      </c>
      <c r="Q528" s="1306">
        <v>6.5198277035009699E-3</v>
      </c>
      <c r="R528" s="1303">
        <v>3.8479142353279497E-2</v>
      </c>
      <c r="S528" s="1288">
        <v>3.3630900332541E-2</v>
      </c>
      <c r="T528" s="1288">
        <v>3.8313426153581E-2</v>
      </c>
      <c r="U528" s="1306">
        <v>1.91759402311482E-2</v>
      </c>
      <c r="V528" s="1294">
        <v>7.6385437399168303E-3</v>
      </c>
    </row>
    <row r="529" spans="1:22" s="212" customFormat="1" ht="15.5" x14ac:dyDescent="0.35">
      <c r="A529" s="198">
        <v>2024</v>
      </c>
      <c r="B529" s="197" t="s">
        <v>5833</v>
      </c>
      <c r="C529" s="197">
        <v>2020</v>
      </c>
      <c r="D529" s="225" t="str">
        <f t="shared" si="3"/>
        <v>2024_2020</v>
      </c>
      <c r="E529" s="1231">
        <v>6.9944563711259303E-2</v>
      </c>
      <c r="F529" s="1288">
        <v>1.11387583274938E-2</v>
      </c>
      <c r="G529" s="1306">
        <v>6.2780596913571907E-2</v>
      </c>
      <c r="H529" s="1303">
        <v>0.37920239516235299</v>
      </c>
      <c r="I529" s="1288">
        <v>0.14275141834410601</v>
      </c>
      <c r="J529" s="1306">
        <v>0.110221359464461</v>
      </c>
      <c r="K529" s="1303">
        <v>7.2772897705833698E-3</v>
      </c>
      <c r="L529" s="1288">
        <v>1.42907959990389E-3</v>
      </c>
      <c r="M529" s="1306">
        <v>5.2538521608833403E-4</v>
      </c>
      <c r="N529" s="1303">
        <v>7.9833333791551695E-3</v>
      </c>
      <c r="O529" s="1288">
        <v>2.5564819342454299E-3</v>
      </c>
      <c r="P529" s="1288">
        <v>8.4038559383648494E-3</v>
      </c>
      <c r="Q529" s="1280">
        <v>7.9833333791551695E-3</v>
      </c>
      <c r="R529" s="1303">
        <v>3.8201433945546703E-2</v>
      </c>
      <c r="S529" s="1288">
        <v>3.5550610179179501E-2</v>
      </c>
      <c r="T529" s="1288">
        <v>3.84339654728112E-2</v>
      </c>
      <c r="U529" s="1280">
        <v>1.9100716972773352E-2</v>
      </c>
      <c r="V529" s="1294">
        <v>7.6063365215140602E-3</v>
      </c>
    </row>
    <row r="530" spans="1:22" s="212" customFormat="1" ht="15.5" x14ac:dyDescent="0.35">
      <c r="A530" s="198">
        <v>2024</v>
      </c>
      <c r="B530" s="197" t="s">
        <v>5833</v>
      </c>
      <c r="C530" s="197">
        <v>2021</v>
      </c>
      <c r="D530" s="225" t="str">
        <f t="shared" si="3"/>
        <v>2024_2021</v>
      </c>
      <c r="E530" s="1231">
        <v>4.69643191775619E-2</v>
      </c>
      <c r="F530" s="1288">
        <v>9.2465560289121396E-3</v>
      </c>
      <c r="G530" s="1306">
        <v>6.1623336009373801E-2</v>
      </c>
      <c r="H530" s="1303">
        <v>0.22433395279798299</v>
      </c>
      <c r="I530" s="1288">
        <v>0.10766886274733201</v>
      </c>
      <c r="J530" s="1306">
        <v>0.109269957700035</v>
      </c>
      <c r="K530" s="1303">
        <v>4.1104605042329798E-3</v>
      </c>
      <c r="L530" s="1288">
        <v>1.29435926173293E-3</v>
      </c>
      <c r="M530" s="1306">
        <v>4.77386778866229E-4</v>
      </c>
      <c r="N530" s="1303">
        <v>5.2005573391863203E-3</v>
      </c>
      <c r="O530" s="1288">
        <v>2.4976610123983601E-3</v>
      </c>
      <c r="P530" s="1288">
        <v>8.0760966133595798E-3</v>
      </c>
      <c r="Q530" s="1280">
        <v>5.2005573391863203E-3</v>
      </c>
      <c r="R530" s="1303">
        <v>3.8454039666674697E-2</v>
      </c>
      <c r="S530" s="1288">
        <v>3.5159451048896499E-2</v>
      </c>
      <c r="T530" s="1288">
        <v>3.8444897841275902E-2</v>
      </c>
      <c r="U530" s="1280">
        <v>1.9227019833337348E-2</v>
      </c>
      <c r="V530" s="1294">
        <v>4.29631728833604E-3</v>
      </c>
    </row>
    <row r="531" spans="1:22" s="212" customFormat="1" ht="15.5" x14ac:dyDescent="0.35">
      <c r="A531" s="198">
        <v>2024</v>
      </c>
      <c r="B531" s="197" t="s">
        <v>5833</v>
      </c>
      <c r="C531" s="197">
        <v>2022</v>
      </c>
      <c r="D531" s="225" t="str">
        <f t="shared" si="3"/>
        <v>2024_2022</v>
      </c>
      <c r="E531" s="1231">
        <v>5.2178956068135697E-2</v>
      </c>
      <c r="F531" s="1288">
        <v>1.18838828635778E-2</v>
      </c>
      <c r="G531" s="1306">
        <v>6.4197005653341604E-2</v>
      </c>
      <c r="H531" s="1303">
        <v>0.25801214386460902</v>
      </c>
      <c r="I531" s="1288">
        <v>0.135989851633779</v>
      </c>
      <c r="J531" s="1306">
        <v>0.12891600843829401</v>
      </c>
      <c r="K531" s="1303">
        <v>4.7805802105587696E-3</v>
      </c>
      <c r="L531" s="1288">
        <v>1.3755139917473701E-3</v>
      </c>
      <c r="M531" s="1306">
        <v>5.0012288993700504E-4</v>
      </c>
      <c r="N531" s="1303">
        <v>5.8291303326976603E-3</v>
      </c>
      <c r="O531" s="1288">
        <v>2.7293186313072002E-3</v>
      </c>
      <c r="P531" s="1288">
        <v>8.5023565942144597E-3</v>
      </c>
      <c r="Q531" s="1280">
        <v>5.8291303326976603E-3</v>
      </c>
      <c r="R531" s="1303">
        <v>3.8389620268812E-2</v>
      </c>
      <c r="S531" s="1288">
        <v>3.6699974214640302E-2</v>
      </c>
      <c r="T531" s="1288">
        <v>3.8456708920411802E-2</v>
      </c>
      <c r="U531" s="1280">
        <v>1.9194810134406E-2</v>
      </c>
      <c r="V531" s="1294">
        <v>4.9967368341697401E-3</v>
      </c>
    </row>
    <row r="532" spans="1:22" s="212" customFormat="1" ht="15.5" x14ac:dyDescent="0.35">
      <c r="A532" s="198">
        <v>2024</v>
      </c>
      <c r="B532" s="197" t="s">
        <v>5833</v>
      </c>
      <c r="C532" s="197">
        <v>2023</v>
      </c>
      <c r="D532" s="225" t="str">
        <f t="shared" si="3"/>
        <v>2024_2023</v>
      </c>
      <c r="E532" s="1231">
        <v>5.8777716505345898E-2</v>
      </c>
      <c r="F532" s="1288">
        <v>1.1095965846725101E-2</v>
      </c>
      <c r="G532" s="1306">
        <v>6.1696423106846997E-2</v>
      </c>
      <c r="H532" s="1303">
        <v>0.30897705122602998</v>
      </c>
      <c r="I532" s="1288">
        <v>0.107351592069728</v>
      </c>
      <c r="J532" s="1306">
        <v>9.6658069054209594E-2</v>
      </c>
      <c r="K532" s="1303">
        <v>5.6412731920444598E-3</v>
      </c>
      <c r="L532" s="1288">
        <v>1.3322993094503101E-3</v>
      </c>
      <c r="M532" s="1306">
        <v>3.91219207205616E-4</v>
      </c>
      <c r="N532" s="1303">
        <v>6.8182408144928201E-3</v>
      </c>
      <c r="O532" s="1288">
        <v>2.6749741936355101E-3</v>
      </c>
      <c r="P532" s="1288">
        <v>8.3641682443387402E-3</v>
      </c>
      <c r="Q532" s="1280">
        <v>6.8182408144928201E-3</v>
      </c>
      <c r="R532" s="1303">
        <v>3.8454647584275803E-2</v>
      </c>
      <c r="S532" s="1288">
        <v>3.63385837041236E-2</v>
      </c>
      <c r="T532" s="1288">
        <v>3.8474991909915601E-2</v>
      </c>
      <c r="U532" s="1280">
        <v>1.9227323792137901E-2</v>
      </c>
      <c r="V532" s="1294">
        <v>5.8963465330096696E-3</v>
      </c>
    </row>
    <row r="533" spans="1:22" s="212" customFormat="1" ht="15.5" x14ac:dyDescent="0.35">
      <c r="A533" s="198">
        <v>2024</v>
      </c>
      <c r="B533" s="197" t="s">
        <v>5833</v>
      </c>
      <c r="C533" s="197">
        <v>2024</v>
      </c>
      <c r="D533" s="225" t="str">
        <f t="shared" si="3"/>
        <v>2024_2024</v>
      </c>
      <c r="E533" s="1231">
        <v>5.7912635927035501E-2</v>
      </c>
      <c r="F533" s="1288">
        <v>7.9800509214341901E-3</v>
      </c>
      <c r="G533" s="1306">
        <v>5.82394031128909E-2</v>
      </c>
      <c r="H533" s="1303">
        <v>0.29814802013239899</v>
      </c>
      <c r="I533" s="1288">
        <v>6.09211104195439E-2</v>
      </c>
      <c r="J533" s="1306">
        <v>9.3276882471293399E-2</v>
      </c>
      <c r="K533" s="1303">
        <v>5.4878360129104898E-3</v>
      </c>
      <c r="L533" s="1288">
        <v>1.2926621393688201E-3</v>
      </c>
      <c r="M533" s="1306">
        <v>4.8612112476816298E-4</v>
      </c>
      <c r="N533" s="1303">
        <v>6.6054609126383699E-3</v>
      </c>
      <c r="O533" s="1288">
        <v>2.36481062436465E-3</v>
      </c>
      <c r="P533" s="1288">
        <v>7.71344797619664E-3</v>
      </c>
      <c r="Q533" s="1306">
        <v>8.4690603859683099E-3</v>
      </c>
      <c r="R533" s="1303">
        <v>3.8367401713422698E-2</v>
      </c>
      <c r="S533" s="1288">
        <v>3.4275995968472299E-2</v>
      </c>
      <c r="T533" s="1288">
        <v>3.8318014894511698E-2</v>
      </c>
      <c r="U533" s="1306">
        <v>1.9250005517068101E-2</v>
      </c>
      <c r="V533" s="1294">
        <v>5.7359716055026596E-3</v>
      </c>
    </row>
    <row r="534" spans="1:22" s="212" customFormat="1" ht="15.5" x14ac:dyDescent="0.35">
      <c r="A534" s="198">
        <v>2024</v>
      </c>
      <c r="B534" s="197" t="s">
        <v>5833</v>
      </c>
      <c r="C534" s="197">
        <v>2025</v>
      </c>
      <c r="D534" s="225" t="str">
        <f t="shared" si="3"/>
        <v>2024_2025</v>
      </c>
      <c r="E534" s="1226">
        <v>5.7912635927035501E-2</v>
      </c>
      <c r="F534" s="1257">
        <v>7.9800509214341901E-3</v>
      </c>
      <c r="G534" s="1280">
        <v>5.82394031128909E-2</v>
      </c>
      <c r="H534" s="1271">
        <v>0.29814802013239899</v>
      </c>
      <c r="I534" s="1257">
        <v>6.09211104195439E-2</v>
      </c>
      <c r="J534" s="1280">
        <v>9.3276882471293399E-2</v>
      </c>
      <c r="K534" s="1271">
        <v>5.4878360129104898E-3</v>
      </c>
      <c r="L534" s="1257">
        <v>1.2926621393688201E-3</v>
      </c>
      <c r="M534" s="1280">
        <v>4.8612112476816298E-4</v>
      </c>
      <c r="N534" s="1271">
        <v>6.6054609126383699E-3</v>
      </c>
      <c r="O534" s="1257">
        <v>2.36481062436465E-3</v>
      </c>
      <c r="P534" s="1257">
        <v>7.71344797619664E-3</v>
      </c>
      <c r="Q534" s="1280">
        <v>8.4690603859683099E-3</v>
      </c>
      <c r="R534" s="1271">
        <v>3.8367401713422698E-2</v>
      </c>
      <c r="S534" s="1257">
        <v>3.4275995968472299E-2</v>
      </c>
      <c r="T534" s="1257">
        <v>3.8318014894511698E-2</v>
      </c>
      <c r="U534" s="1280">
        <v>1.9250005517068101E-2</v>
      </c>
      <c r="V534" s="1293">
        <v>5.7359716055026596E-3</v>
      </c>
    </row>
    <row r="535" spans="1:22" s="212" customFormat="1" ht="15.5" x14ac:dyDescent="0.35">
      <c r="A535" s="198">
        <v>2025</v>
      </c>
      <c r="B535" s="197" t="s">
        <v>5833</v>
      </c>
      <c r="C535" s="197">
        <v>1971</v>
      </c>
      <c r="D535" s="225" t="str">
        <f t="shared" si="3"/>
        <v>2025_1971</v>
      </c>
      <c r="E535" s="1226">
        <v>6.5078107770874E-2</v>
      </c>
      <c r="F535" s="1257">
        <v>1.4368868675147899E-2</v>
      </c>
      <c r="G535" s="1280">
        <v>2.4139125466010498E-2</v>
      </c>
      <c r="H535" s="1271">
        <v>0.356911650334305</v>
      </c>
      <c r="I535" s="1257">
        <v>0.43992415225926601</v>
      </c>
      <c r="J535" s="1280">
        <v>0.760930151190925</v>
      </c>
      <c r="K535" s="1271">
        <v>6.4420211754615403E-3</v>
      </c>
      <c r="L535" s="1257">
        <v>2.7493198996008799E-4</v>
      </c>
      <c r="M535" s="1280">
        <v>2.1455209031804901E-4</v>
      </c>
      <c r="N535" s="1271">
        <v>7.7172892241465204E-3</v>
      </c>
      <c r="O535" s="1257">
        <v>3.0000008598028201E-3</v>
      </c>
      <c r="P535" s="1257">
        <v>8.3358074424524E-3</v>
      </c>
      <c r="Q535" s="1280">
        <v>7.7172892241465204E-3</v>
      </c>
      <c r="R535" s="1271">
        <v>3.8500011034136201E-2</v>
      </c>
      <c r="S535" s="1257">
        <v>3.8500011034136201E-2</v>
      </c>
      <c r="T535" s="1257">
        <v>3.8500011034136201E-2</v>
      </c>
      <c r="U535" s="1280">
        <v>1.9250005517068101E-2</v>
      </c>
      <c r="V535" s="1293">
        <v>6.7333007869703103E-3</v>
      </c>
    </row>
    <row r="536" spans="1:22" s="212" customFormat="1" ht="15.5" x14ac:dyDescent="0.35">
      <c r="A536" s="198">
        <v>2025</v>
      </c>
      <c r="B536" s="197" t="s">
        <v>5833</v>
      </c>
      <c r="C536" s="197">
        <v>1972</v>
      </c>
      <c r="D536" s="225" t="str">
        <f t="shared" si="3"/>
        <v>2025_1972</v>
      </c>
      <c r="E536" s="1226">
        <v>6.5078107770874E-2</v>
      </c>
      <c r="F536" s="1257">
        <v>1.4368868675147899E-2</v>
      </c>
      <c r="G536" s="1280">
        <v>2.4139125466010498E-2</v>
      </c>
      <c r="H536" s="1271">
        <v>0.356911650334305</v>
      </c>
      <c r="I536" s="1257">
        <v>0.43992415225926601</v>
      </c>
      <c r="J536" s="1280">
        <v>0.760930151190925</v>
      </c>
      <c r="K536" s="1271">
        <v>6.4420211754615403E-3</v>
      </c>
      <c r="L536" s="1257">
        <v>2.7493198996008799E-4</v>
      </c>
      <c r="M536" s="1280">
        <v>2.1455209031804901E-4</v>
      </c>
      <c r="N536" s="1271">
        <v>7.7172892241465204E-3</v>
      </c>
      <c r="O536" s="1257">
        <v>3.0000008598028201E-3</v>
      </c>
      <c r="P536" s="1257">
        <v>8.3358074424524E-3</v>
      </c>
      <c r="Q536" s="1280">
        <v>7.7172892241465204E-3</v>
      </c>
      <c r="R536" s="1271">
        <v>3.8500011034136201E-2</v>
      </c>
      <c r="S536" s="1257">
        <v>3.8500011034136201E-2</v>
      </c>
      <c r="T536" s="1257">
        <v>3.8500011034136201E-2</v>
      </c>
      <c r="U536" s="1280">
        <v>1.9250005517068101E-2</v>
      </c>
      <c r="V536" s="1293">
        <v>6.7333007869703103E-3</v>
      </c>
    </row>
    <row r="537" spans="1:22" s="212" customFormat="1" ht="15.5" x14ac:dyDescent="0.35">
      <c r="A537" s="198">
        <v>2025</v>
      </c>
      <c r="B537" s="197" t="s">
        <v>5833</v>
      </c>
      <c r="C537" s="197">
        <v>1973</v>
      </c>
      <c r="D537" s="225" t="str">
        <f t="shared" si="3"/>
        <v>2025_1973</v>
      </c>
      <c r="E537" s="1226">
        <v>6.5078107770874E-2</v>
      </c>
      <c r="F537" s="1257">
        <v>1.4368868675147899E-2</v>
      </c>
      <c r="G537" s="1280">
        <v>2.4139125466010498E-2</v>
      </c>
      <c r="H537" s="1271">
        <v>0.356911650334305</v>
      </c>
      <c r="I537" s="1257">
        <v>0.43992415225926601</v>
      </c>
      <c r="J537" s="1280">
        <v>0.760930151190925</v>
      </c>
      <c r="K537" s="1271">
        <v>6.4420211754615403E-3</v>
      </c>
      <c r="L537" s="1257">
        <v>2.7493198996008799E-4</v>
      </c>
      <c r="M537" s="1280">
        <v>2.1455209031804901E-4</v>
      </c>
      <c r="N537" s="1271">
        <v>7.7172892241465204E-3</v>
      </c>
      <c r="O537" s="1257">
        <v>3.0000008598028201E-3</v>
      </c>
      <c r="P537" s="1257">
        <v>8.3358074424524E-3</v>
      </c>
      <c r="Q537" s="1280">
        <v>7.7172892241465204E-3</v>
      </c>
      <c r="R537" s="1271">
        <v>3.8500011034136201E-2</v>
      </c>
      <c r="S537" s="1257">
        <v>3.8500011034136201E-2</v>
      </c>
      <c r="T537" s="1257">
        <v>3.8500011034136201E-2</v>
      </c>
      <c r="U537" s="1280">
        <v>1.9250005517068101E-2</v>
      </c>
      <c r="V537" s="1293">
        <v>6.7333007869703103E-3</v>
      </c>
    </row>
    <row r="538" spans="1:22" s="212" customFormat="1" ht="15.5" x14ac:dyDescent="0.35">
      <c r="A538" s="198">
        <v>2025</v>
      </c>
      <c r="B538" s="197" t="s">
        <v>5833</v>
      </c>
      <c r="C538" s="197">
        <v>1974</v>
      </c>
      <c r="D538" s="225" t="str">
        <f t="shared" si="3"/>
        <v>2025_1974</v>
      </c>
      <c r="E538" s="1226">
        <v>6.5078107770874E-2</v>
      </c>
      <c r="F538" s="1257">
        <v>1.4368868675147899E-2</v>
      </c>
      <c r="G538" s="1280">
        <v>2.4139125466010498E-2</v>
      </c>
      <c r="H538" s="1271">
        <v>0.356911650334305</v>
      </c>
      <c r="I538" s="1257">
        <v>0.43992415225926601</v>
      </c>
      <c r="J538" s="1280">
        <v>0.760930151190925</v>
      </c>
      <c r="K538" s="1271">
        <v>6.4420211754615403E-3</v>
      </c>
      <c r="L538" s="1257">
        <v>2.7493198996008799E-4</v>
      </c>
      <c r="M538" s="1280">
        <v>2.1455209031804901E-4</v>
      </c>
      <c r="N538" s="1271">
        <v>7.7172892241465204E-3</v>
      </c>
      <c r="O538" s="1257">
        <v>3.0000008598028201E-3</v>
      </c>
      <c r="P538" s="1257">
        <v>8.3358074424524E-3</v>
      </c>
      <c r="Q538" s="1280">
        <v>7.7172892241465204E-3</v>
      </c>
      <c r="R538" s="1271">
        <v>3.8500011034136201E-2</v>
      </c>
      <c r="S538" s="1257">
        <v>3.8500011034136201E-2</v>
      </c>
      <c r="T538" s="1257">
        <v>3.8500011034136201E-2</v>
      </c>
      <c r="U538" s="1280">
        <v>1.9250005517068101E-2</v>
      </c>
      <c r="V538" s="1293">
        <v>6.7333007869703103E-3</v>
      </c>
    </row>
    <row r="539" spans="1:22" s="212" customFormat="1" ht="15.5" x14ac:dyDescent="0.35">
      <c r="A539" s="198">
        <v>2025</v>
      </c>
      <c r="B539" s="197" t="s">
        <v>5833</v>
      </c>
      <c r="C539" s="197">
        <v>1975</v>
      </c>
      <c r="D539" s="225" t="str">
        <f t="shared" si="3"/>
        <v>2025_1975</v>
      </c>
      <c r="E539" s="1226">
        <v>6.5078107770874E-2</v>
      </c>
      <c r="F539" s="1257">
        <v>1.4368868675147899E-2</v>
      </c>
      <c r="G539" s="1280">
        <v>2.4139125466010498E-2</v>
      </c>
      <c r="H539" s="1271">
        <v>0.356911650334305</v>
      </c>
      <c r="I539" s="1257">
        <v>0.43992415225926601</v>
      </c>
      <c r="J539" s="1280">
        <v>0.760930151190925</v>
      </c>
      <c r="K539" s="1271">
        <v>6.4420211754615403E-3</v>
      </c>
      <c r="L539" s="1257">
        <v>2.7493198996008799E-4</v>
      </c>
      <c r="M539" s="1280">
        <v>2.1455209031804901E-4</v>
      </c>
      <c r="N539" s="1271">
        <v>7.7172892241465204E-3</v>
      </c>
      <c r="O539" s="1257">
        <v>3.0000008598028201E-3</v>
      </c>
      <c r="P539" s="1257">
        <v>8.3358074424524E-3</v>
      </c>
      <c r="Q539" s="1280">
        <v>7.7172892241465204E-3</v>
      </c>
      <c r="R539" s="1271">
        <v>3.8500011034136201E-2</v>
      </c>
      <c r="S539" s="1257">
        <v>3.8500011034136201E-2</v>
      </c>
      <c r="T539" s="1257">
        <v>3.8500011034136201E-2</v>
      </c>
      <c r="U539" s="1280">
        <v>1.9250005517068101E-2</v>
      </c>
      <c r="V539" s="1293">
        <v>6.7333007869703103E-3</v>
      </c>
    </row>
    <row r="540" spans="1:22" s="212" customFormat="1" ht="15.5" x14ac:dyDescent="0.35">
      <c r="A540" s="198">
        <v>2025</v>
      </c>
      <c r="B540" s="197" t="s">
        <v>5833</v>
      </c>
      <c r="C540" s="197">
        <v>1976</v>
      </c>
      <c r="D540" s="225" t="str">
        <f t="shared" si="3"/>
        <v>2025_1976</v>
      </c>
      <c r="E540" s="1226">
        <v>6.5078107770874E-2</v>
      </c>
      <c r="F540" s="1257">
        <v>1.4368868675147899E-2</v>
      </c>
      <c r="G540" s="1280">
        <v>2.4139125466010498E-2</v>
      </c>
      <c r="H540" s="1271">
        <v>0.356911650334305</v>
      </c>
      <c r="I540" s="1257">
        <v>0.43992415225926601</v>
      </c>
      <c r="J540" s="1280">
        <v>0.760930151190925</v>
      </c>
      <c r="K540" s="1271">
        <v>6.4420211754615403E-3</v>
      </c>
      <c r="L540" s="1257">
        <v>2.7493198996008799E-4</v>
      </c>
      <c r="M540" s="1280">
        <v>2.1455209031804901E-4</v>
      </c>
      <c r="N540" s="1271">
        <v>7.7172892241465204E-3</v>
      </c>
      <c r="O540" s="1257">
        <v>3.0000008598028201E-3</v>
      </c>
      <c r="P540" s="1257">
        <v>8.3358074424524E-3</v>
      </c>
      <c r="Q540" s="1280">
        <v>7.7172892241465204E-3</v>
      </c>
      <c r="R540" s="1271">
        <v>3.8500011034136201E-2</v>
      </c>
      <c r="S540" s="1257">
        <v>3.8500011034136201E-2</v>
      </c>
      <c r="T540" s="1257">
        <v>3.8500011034136201E-2</v>
      </c>
      <c r="U540" s="1280">
        <v>1.9250005517068101E-2</v>
      </c>
      <c r="V540" s="1293">
        <v>6.7333007869703103E-3</v>
      </c>
    </row>
    <row r="541" spans="1:22" s="212" customFormat="1" ht="15.5" x14ac:dyDescent="0.35">
      <c r="A541" s="198">
        <v>2025</v>
      </c>
      <c r="B541" s="197" t="s">
        <v>5833</v>
      </c>
      <c r="C541" s="197">
        <v>1977</v>
      </c>
      <c r="D541" s="225" t="str">
        <f t="shared" si="3"/>
        <v>2025_1977</v>
      </c>
      <c r="E541" s="1226">
        <v>6.5078107770874E-2</v>
      </c>
      <c r="F541" s="1257">
        <v>1.4368868675147899E-2</v>
      </c>
      <c r="G541" s="1280">
        <v>2.4139125466010498E-2</v>
      </c>
      <c r="H541" s="1271">
        <v>0.356911650334305</v>
      </c>
      <c r="I541" s="1257">
        <v>0.43992415225926601</v>
      </c>
      <c r="J541" s="1280">
        <v>0.760930151190925</v>
      </c>
      <c r="K541" s="1271">
        <v>6.4420211754615403E-3</v>
      </c>
      <c r="L541" s="1257">
        <v>2.7493198996008799E-4</v>
      </c>
      <c r="M541" s="1280">
        <v>2.1455209031804901E-4</v>
      </c>
      <c r="N541" s="1271">
        <v>7.7172892241465204E-3</v>
      </c>
      <c r="O541" s="1257">
        <v>3.0000008598028201E-3</v>
      </c>
      <c r="P541" s="1257">
        <v>8.3358074424524E-3</v>
      </c>
      <c r="Q541" s="1280">
        <v>7.7172892241465204E-3</v>
      </c>
      <c r="R541" s="1271">
        <v>3.8500011034136201E-2</v>
      </c>
      <c r="S541" s="1257">
        <v>3.8500011034136201E-2</v>
      </c>
      <c r="T541" s="1257">
        <v>3.8500011034136201E-2</v>
      </c>
      <c r="U541" s="1280">
        <v>1.9250005517068101E-2</v>
      </c>
      <c r="V541" s="1293">
        <v>6.7333007869703103E-3</v>
      </c>
    </row>
    <row r="542" spans="1:22" s="212" customFormat="1" ht="15.5" x14ac:dyDescent="0.35">
      <c r="A542" s="198">
        <v>2025</v>
      </c>
      <c r="B542" s="197" t="s">
        <v>5833</v>
      </c>
      <c r="C542" s="197">
        <v>1978</v>
      </c>
      <c r="D542" s="225" t="str">
        <f t="shared" si="3"/>
        <v>2025_1978</v>
      </c>
      <c r="E542" s="1226">
        <v>6.5078107770874E-2</v>
      </c>
      <c r="F542" s="1257">
        <v>1.4368868675147899E-2</v>
      </c>
      <c r="G542" s="1280">
        <v>2.4139125466010498E-2</v>
      </c>
      <c r="H542" s="1271">
        <v>0.356911650334305</v>
      </c>
      <c r="I542" s="1257">
        <v>0.43992415225926601</v>
      </c>
      <c r="J542" s="1280">
        <v>0.760930151190925</v>
      </c>
      <c r="K542" s="1271">
        <v>6.4420211754615403E-3</v>
      </c>
      <c r="L542" s="1257">
        <v>2.7493198996008799E-4</v>
      </c>
      <c r="M542" s="1280">
        <v>2.1455209031804901E-4</v>
      </c>
      <c r="N542" s="1271">
        <v>7.7172892241465204E-3</v>
      </c>
      <c r="O542" s="1257">
        <v>3.0000008598028201E-3</v>
      </c>
      <c r="P542" s="1257">
        <v>8.3358074424524E-3</v>
      </c>
      <c r="Q542" s="1280">
        <v>7.7172892241465204E-3</v>
      </c>
      <c r="R542" s="1271">
        <v>3.8500011034136201E-2</v>
      </c>
      <c r="S542" s="1257">
        <v>3.8500011034136201E-2</v>
      </c>
      <c r="T542" s="1257">
        <v>3.8500011034136201E-2</v>
      </c>
      <c r="U542" s="1280">
        <v>1.9250005517068101E-2</v>
      </c>
      <c r="V542" s="1293">
        <v>6.7333007869703103E-3</v>
      </c>
    </row>
    <row r="543" spans="1:22" s="212" customFormat="1" ht="15.5" x14ac:dyDescent="0.35">
      <c r="A543" s="198">
        <v>2025</v>
      </c>
      <c r="B543" s="197" t="s">
        <v>5833</v>
      </c>
      <c r="C543" s="197">
        <v>1979</v>
      </c>
      <c r="D543" s="225" t="str">
        <f t="shared" si="3"/>
        <v>2025_1979</v>
      </c>
      <c r="E543" s="1226">
        <v>6.5078107770874E-2</v>
      </c>
      <c r="F543" s="1257">
        <v>1.4368868675147899E-2</v>
      </c>
      <c r="G543" s="1280">
        <v>2.4139125466010498E-2</v>
      </c>
      <c r="H543" s="1271">
        <v>0.356911650334305</v>
      </c>
      <c r="I543" s="1257">
        <v>0.43992415225926601</v>
      </c>
      <c r="J543" s="1280">
        <v>0.760930151190925</v>
      </c>
      <c r="K543" s="1271">
        <v>6.4420211754615403E-3</v>
      </c>
      <c r="L543" s="1257">
        <v>2.7493198996008799E-4</v>
      </c>
      <c r="M543" s="1280">
        <v>2.1455209031804901E-4</v>
      </c>
      <c r="N543" s="1271">
        <v>7.7172892241465204E-3</v>
      </c>
      <c r="O543" s="1257">
        <v>3.0000008598028201E-3</v>
      </c>
      <c r="P543" s="1257">
        <v>8.3358074424524E-3</v>
      </c>
      <c r="Q543" s="1280">
        <v>7.7172892241465204E-3</v>
      </c>
      <c r="R543" s="1271">
        <v>3.8500011034136201E-2</v>
      </c>
      <c r="S543" s="1257">
        <v>3.8500011034136201E-2</v>
      </c>
      <c r="T543" s="1257">
        <v>3.8500011034136201E-2</v>
      </c>
      <c r="U543" s="1280">
        <v>1.9250005517068101E-2</v>
      </c>
      <c r="V543" s="1293">
        <v>6.7333007869703103E-3</v>
      </c>
    </row>
    <row r="544" spans="1:22" s="212" customFormat="1" ht="15.5" x14ac:dyDescent="0.35">
      <c r="A544" s="198">
        <v>2025</v>
      </c>
      <c r="B544" s="197" t="s">
        <v>5833</v>
      </c>
      <c r="C544" s="197">
        <v>1980</v>
      </c>
      <c r="D544" s="225" t="str">
        <f t="shared" si="3"/>
        <v>2025_1980</v>
      </c>
      <c r="E544" s="1226">
        <v>6.5078107770874E-2</v>
      </c>
      <c r="F544" s="1257">
        <v>1.4368868675147899E-2</v>
      </c>
      <c r="G544" s="1280">
        <v>2.4139125466010498E-2</v>
      </c>
      <c r="H544" s="1271">
        <v>0.356911650334305</v>
      </c>
      <c r="I544" s="1257">
        <v>0.43992415225926601</v>
      </c>
      <c r="J544" s="1280">
        <v>0.760930151190925</v>
      </c>
      <c r="K544" s="1271">
        <v>6.4420211754615403E-3</v>
      </c>
      <c r="L544" s="1257">
        <v>2.7493198996008799E-4</v>
      </c>
      <c r="M544" s="1280">
        <v>2.1455209031804901E-4</v>
      </c>
      <c r="N544" s="1271">
        <v>7.7172892241465204E-3</v>
      </c>
      <c r="O544" s="1257">
        <v>3.0000008598028201E-3</v>
      </c>
      <c r="P544" s="1257">
        <v>8.3358074424524E-3</v>
      </c>
      <c r="Q544" s="1280">
        <v>7.7172892241465204E-3</v>
      </c>
      <c r="R544" s="1271">
        <v>3.8500011034136201E-2</v>
      </c>
      <c r="S544" s="1257">
        <v>3.8500011034136201E-2</v>
      </c>
      <c r="T544" s="1257">
        <v>3.8500011034136201E-2</v>
      </c>
      <c r="U544" s="1280">
        <v>1.9250005517068101E-2</v>
      </c>
      <c r="V544" s="1293">
        <v>6.7333007869703103E-3</v>
      </c>
    </row>
    <row r="545" spans="1:22" s="212" customFormat="1" ht="15.5" x14ac:dyDescent="0.35">
      <c r="A545" s="198">
        <v>2025</v>
      </c>
      <c r="B545" s="197" t="s">
        <v>5833</v>
      </c>
      <c r="C545" s="197">
        <v>1981</v>
      </c>
      <c r="D545" s="225" t="str">
        <f t="shared" si="3"/>
        <v>2025_1981</v>
      </c>
      <c r="E545" s="1226">
        <v>6.5078107770874E-2</v>
      </c>
      <c r="F545" s="1257">
        <v>1.4368868675147899E-2</v>
      </c>
      <c r="G545" s="1280">
        <v>2.4139125466010498E-2</v>
      </c>
      <c r="H545" s="1271">
        <v>0.356911650334305</v>
      </c>
      <c r="I545" s="1257">
        <v>0.43992415225926601</v>
      </c>
      <c r="J545" s="1280">
        <v>0.760930151190925</v>
      </c>
      <c r="K545" s="1271">
        <v>6.4420211754615403E-3</v>
      </c>
      <c r="L545" s="1257">
        <v>2.7493198996008799E-4</v>
      </c>
      <c r="M545" s="1280">
        <v>2.1455209031804901E-4</v>
      </c>
      <c r="N545" s="1271">
        <v>7.7172892241465204E-3</v>
      </c>
      <c r="O545" s="1257">
        <v>3.0000008598028201E-3</v>
      </c>
      <c r="P545" s="1257">
        <v>8.3358074424524E-3</v>
      </c>
      <c r="Q545" s="1280">
        <v>7.7172892241465204E-3</v>
      </c>
      <c r="R545" s="1271">
        <v>3.8500011034136201E-2</v>
      </c>
      <c r="S545" s="1257">
        <v>3.8500011034136201E-2</v>
      </c>
      <c r="T545" s="1257">
        <v>3.8500011034136201E-2</v>
      </c>
      <c r="U545" s="1280">
        <v>1.9250005517068101E-2</v>
      </c>
      <c r="V545" s="1293">
        <v>6.7333007869703103E-3</v>
      </c>
    </row>
    <row r="546" spans="1:22" s="212" customFormat="1" ht="15.5" x14ac:dyDescent="0.35">
      <c r="A546" s="198">
        <v>2025</v>
      </c>
      <c r="B546" s="197" t="s">
        <v>5833</v>
      </c>
      <c r="C546" s="197">
        <v>1982</v>
      </c>
      <c r="D546" s="225" t="str">
        <f t="shared" si="3"/>
        <v>2025_1982</v>
      </c>
      <c r="E546" s="1226">
        <v>6.5078107770874E-2</v>
      </c>
      <c r="F546" s="1257">
        <v>1.4368868675147899E-2</v>
      </c>
      <c r="G546" s="1280">
        <v>2.4139125466010498E-2</v>
      </c>
      <c r="H546" s="1271">
        <v>0.356911650334305</v>
      </c>
      <c r="I546" s="1257">
        <v>0.43992415225926601</v>
      </c>
      <c r="J546" s="1280">
        <v>0.760930151190925</v>
      </c>
      <c r="K546" s="1271">
        <v>6.4420211754615403E-3</v>
      </c>
      <c r="L546" s="1257">
        <v>2.7493198996008799E-4</v>
      </c>
      <c r="M546" s="1280">
        <v>2.1455209031804901E-4</v>
      </c>
      <c r="N546" s="1271">
        <v>7.7172892241465204E-3</v>
      </c>
      <c r="O546" s="1257">
        <v>3.0000008598028201E-3</v>
      </c>
      <c r="P546" s="1257">
        <v>8.3358074424524E-3</v>
      </c>
      <c r="Q546" s="1280">
        <v>7.7172892241465204E-3</v>
      </c>
      <c r="R546" s="1271">
        <v>3.8500011034136201E-2</v>
      </c>
      <c r="S546" s="1257">
        <v>3.8500011034136201E-2</v>
      </c>
      <c r="T546" s="1257">
        <v>3.8500011034136201E-2</v>
      </c>
      <c r="U546" s="1280">
        <v>1.9250005517068101E-2</v>
      </c>
      <c r="V546" s="1293">
        <v>6.7333007869703103E-3</v>
      </c>
    </row>
    <row r="547" spans="1:22" s="212" customFormat="1" ht="15.5" x14ac:dyDescent="0.35">
      <c r="A547" s="198">
        <v>2025</v>
      </c>
      <c r="B547" s="197" t="s">
        <v>5833</v>
      </c>
      <c r="C547" s="197">
        <v>1983</v>
      </c>
      <c r="D547" s="225" t="str">
        <f t="shared" si="3"/>
        <v>2025_1983</v>
      </c>
      <c r="E547" s="1226">
        <v>6.5078107770874E-2</v>
      </c>
      <c r="F547" s="1257">
        <v>1.4368868675147899E-2</v>
      </c>
      <c r="G547" s="1280">
        <v>2.4139125466010498E-2</v>
      </c>
      <c r="H547" s="1271">
        <v>0.356911650334305</v>
      </c>
      <c r="I547" s="1257">
        <v>0.43992415225926601</v>
      </c>
      <c r="J547" s="1280">
        <v>0.760930151190925</v>
      </c>
      <c r="K547" s="1271">
        <v>6.4420211754615403E-3</v>
      </c>
      <c r="L547" s="1257">
        <v>2.7493198996008799E-4</v>
      </c>
      <c r="M547" s="1280">
        <v>2.1455209031804901E-4</v>
      </c>
      <c r="N547" s="1271">
        <v>7.7172892241465204E-3</v>
      </c>
      <c r="O547" s="1257">
        <v>3.0000008598028201E-3</v>
      </c>
      <c r="P547" s="1257">
        <v>8.3358074424524E-3</v>
      </c>
      <c r="Q547" s="1280">
        <v>7.7172892241465204E-3</v>
      </c>
      <c r="R547" s="1271">
        <v>3.8500011034136201E-2</v>
      </c>
      <c r="S547" s="1257">
        <v>3.8500011034136201E-2</v>
      </c>
      <c r="T547" s="1257">
        <v>3.8500011034136201E-2</v>
      </c>
      <c r="U547" s="1280">
        <v>1.9250005517068101E-2</v>
      </c>
      <c r="V547" s="1293">
        <v>6.7333007869703103E-3</v>
      </c>
    </row>
    <row r="548" spans="1:22" s="212" customFormat="1" ht="15.5" x14ac:dyDescent="0.35">
      <c r="A548" s="198">
        <v>2025</v>
      </c>
      <c r="B548" s="197" t="s">
        <v>5833</v>
      </c>
      <c r="C548" s="197">
        <v>1984</v>
      </c>
      <c r="D548" s="225" t="str">
        <f t="shared" si="3"/>
        <v>2025_1984</v>
      </c>
      <c r="E548" s="1226">
        <v>6.5078107770874E-2</v>
      </c>
      <c r="F548" s="1257">
        <v>1.4368868675147899E-2</v>
      </c>
      <c r="G548" s="1280">
        <v>2.4139125466010498E-2</v>
      </c>
      <c r="H548" s="1271">
        <v>0.356911650334305</v>
      </c>
      <c r="I548" s="1257">
        <v>0.43992415225926601</v>
      </c>
      <c r="J548" s="1280">
        <v>0.760930151190925</v>
      </c>
      <c r="K548" s="1271">
        <v>6.4420211754615403E-3</v>
      </c>
      <c r="L548" s="1257">
        <v>2.7493198996008799E-4</v>
      </c>
      <c r="M548" s="1280">
        <v>2.1455209031804901E-4</v>
      </c>
      <c r="N548" s="1271">
        <v>7.7172892241465204E-3</v>
      </c>
      <c r="O548" s="1257">
        <v>3.0000008598028201E-3</v>
      </c>
      <c r="P548" s="1257">
        <v>8.3358074424524E-3</v>
      </c>
      <c r="Q548" s="1280">
        <v>7.7172892241465204E-3</v>
      </c>
      <c r="R548" s="1271">
        <v>3.8500011034136201E-2</v>
      </c>
      <c r="S548" s="1257">
        <v>3.8500011034136201E-2</v>
      </c>
      <c r="T548" s="1257">
        <v>3.8500011034136201E-2</v>
      </c>
      <c r="U548" s="1280">
        <v>1.9250005517068101E-2</v>
      </c>
      <c r="V548" s="1293">
        <v>6.7333007869703103E-3</v>
      </c>
    </row>
    <row r="549" spans="1:22" s="212" customFormat="1" ht="15.5" x14ac:dyDescent="0.35">
      <c r="A549" s="198">
        <v>2025</v>
      </c>
      <c r="B549" s="197" t="s">
        <v>5833</v>
      </c>
      <c r="C549" s="197">
        <v>1985</v>
      </c>
      <c r="D549" s="225" t="str">
        <f t="shared" si="3"/>
        <v>2025_1985</v>
      </c>
      <c r="E549" s="1226">
        <v>6.5078107770874E-2</v>
      </c>
      <c r="F549" s="1257">
        <v>1.4368868675147899E-2</v>
      </c>
      <c r="G549" s="1280">
        <v>2.4139125466010498E-2</v>
      </c>
      <c r="H549" s="1271">
        <v>0.356911650334305</v>
      </c>
      <c r="I549" s="1257">
        <v>0.43992415225926601</v>
      </c>
      <c r="J549" s="1280">
        <v>0.760930151190925</v>
      </c>
      <c r="K549" s="1271">
        <v>6.4420211754615403E-3</v>
      </c>
      <c r="L549" s="1257">
        <v>2.7493198996008799E-4</v>
      </c>
      <c r="M549" s="1280">
        <v>2.1455209031804901E-4</v>
      </c>
      <c r="N549" s="1271">
        <v>7.7172892241465204E-3</v>
      </c>
      <c r="O549" s="1257">
        <v>3.0000008598028201E-3</v>
      </c>
      <c r="P549" s="1257">
        <v>8.3358074424524E-3</v>
      </c>
      <c r="Q549" s="1280">
        <v>7.7172892241465204E-3</v>
      </c>
      <c r="R549" s="1271">
        <v>3.8500011034136201E-2</v>
      </c>
      <c r="S549" s="1257">
        <v>3.8500011034136201E-2</v>
      </c>
      <c r="T549" s="1257">
        <v>3.8500011034136201E-2</v>
      </c>
      <c r="U549" s="1280">
        <v>1.9250005517068101E-2</v>
      </c>
      <c r="V549" s="1293">
        <v>6.7333007869703103E-3</v>
      </c>
    </row>
    <row r="550" spans="1:22" s="212" customFormat="1" ht="15.5" x14ac:dyDescent="0.35">
      <c r="A550" s="198">
        <v>2025</v>
      </c>
      <c r="B550" s="197" t="s">
        <v>5833</v>
      </c>
      <c r="C550" s="197">
        <v>1986</v>
      </c>
      <c r="D550" s="225" t="str">
        <f t="shared" si="3"/>
        <v>2025_1986</v>
      </c>
      <c r="E550" s="1226">
        <v>6.5078107770874E-2</v>
      </c>
      <c r="F550" s="1257">
        <v>1.4368868675147899E-2</v>
      </c>
      <c r="G550" s="1280">
        <v>2.4139125466010498E-2</v>
      </c>
      <c r="H550" s="1271">
        <v>0.356911650334305</v>
      </c>
      <c r="I550" s="1257">
        <v>0.43992415225926601</v>
      </c>
      <c r="J550" s="1280">
        <v>0.760930151190925</v>
      </c>
      <c r="K550" s="1271">
        <v>6.4420211754615403E-3</v>
      </c>
      <c r="L550" s="1257">
        <v>2.7493198996008799E-4</v>
      </c>
      <c r="M550" s="1280">
        <v>2.1455209031804901E-4</v>
      </c>
      <c r="N550" s="1271">
        <v>7.7172892241465204E-3</v>
      </c>
      <c r="O550" s="1257">
        <v>3.0000008598028201E-3</v>
      </c>
      <c r="P550" s="1257">
        <v>8.3358074424524E-3</v>
      </c>
      <c r="Q550" s="1280">
        <v>7.7172892241465204E-3</v>
      </c>
      <c r="R550" s="1271">
        <v>3.8500011034136201E-2</v>
      </c>
      <c r="S550" s="1257">
        <v>3.8500011034136201E-2</v>
      </c>
      <c r="T550" s="1257">
        <v>3.8500011034136201E-2</v>
      </c>
      <c r="U550" s="1280">
        <v>1.9250005517068101E-2</v>
      </c>
      <c r="V550" s="1293">
        <v>6.7333007869703103E-3</v>
      </c>
    </row>
    <row r="551" spans="1:22" s="212" customFormat="1" ht="15.5" x14ac:dyDescent="0.35">
      <c r="A551" s="198">
        <v>2025</v>
      </c>
      <c r="B551" s="197" t="s">
        <v>5833</v>
      </c>
      <c r="C551" s="197">
        <v>1987</v>
      </c>
      <c r="D551" s="225" t="str">
        <f t="shared" si="3"/>
        <v>2025_1987</v>
      </c>
      <c r="E551" s="1226">
        <v>6.5078107770874E-2</v>
      </c>
      <c r="F551" s="1257">
        <v>1.4368868675147899E-2</v>
      </c>
      <c r="G551" s="1280">
        <v>2.4139125466010498E-2</v>
      </c>
      <c r="H551" s="1271">
        <v>0.356911650334305</v>
      </c>
      <c r="I551" s="1257">
        <v>0.43992415225926601</v>
      </c>
      <c r="J551" s="1280">
        <v>0.760930151190925</v>
      </c>
      <c r="K551" s="1271">
        <v>6.4420211754615403E-3</v>
      </c>
      <c r="L551" s="1257">
        <v>2.7493198996008799E-4</v>
      </c>
      <c r="M551" s="1280">
        <v>2.1455209031804901E-4</v>
      </c>
      <c r="N551" s="1271">
        <v>7.7172892241465204E-3</v>
      </c>
      <c r="O551" s="1257">
        <v>3.0000008598028201E-3</v>
      </c>
      <c r="P551" s="1257">
        <v>8.3358074424524E-3</v>
      </c>
      <c r="Q551" s="1280">
        <v>7.7172892241465204E-3</v>
      </c>
      <c r="R551" s="1271">
        <v>3.8500011034136201E-2</v>
      </c>
      <c r="S551" s="1257">
        <v>3.8500011034136201E-2</v>
      </c>
      <c r="T551" s="1257">
        <v>3.8500011034136201E-2</v>
      </c>
      <c r="U551" s="1280">
        <v>1.9250005517068101E-2</v>
      </c>
      <c r="V551" s="1293">
        <v>6.7333007869703103E-3</v>
      </c>
    </row>
    <row r="552" spans="1:22" s="212" customFormat="1" ht="15.5" x14ac:dyDescent="0.35">
      <c r="A552" s="198">
        <v>2025</v>
      </c>
      <c r="B552" s="197" t="s">
        <v>5833</v>
      </c>
      <c r="C552" s="197">
        <v>1988</v>
      </c>
      <c r="D552" s="225" t="str">
        <f t="shared" si="3"/>
        <v>2025_1988</v>
      </c>
      <c r="E552" s="1226">
        <v>6.5078107770874E-2</v>
      </c>
      <c r="F552" s="1257">
        <v>1.4368868675147899E-2</v>
      </c>
      <c r="G552" s="1280">
        <v>2.4139125466010498E-2</v>
      </c>
      <c r="H552" s="1271">
        <v>0.356911650334305</v>
      </c>
      <c r="I552" s="1257">
        <v>0.43992415225926601</v>
      </c>
      <c r="J552" s="1280">
        <v>0.760930151190925</v>
      </c>
      <c r="K552" s="1271">
        <v>6.4420211754615403E-3</v>
      </c>
      <c r="L552" s="1257">
        <v>2.7493198996008799E-4</v>
      </c>
      <c r="M552" s="1280">
        <v>2.1455209031804901E-4</v>
      </c>
      <c r="N552" s="1271">
        <v>7.7172892241465204E-3</v>
      </c>
      <c r="O552" s="1257">
        <v>3.0000008598028201E-3</v>
      </c>
      <c r="P552" s="1257">
        <v>8.3358074424524E-3</v>
      </c>
      <c r="Q552" s="1280">
        <v>7.7172892241465204E-3</v>
      </c>
      <c r="R552" s="1271">
        <v>3.8500011034136201E-2</v>
      </c>
      <c r="S552" s="1257">
        <v>3.8500011034136201E-2</v>
      </c>
      <c r="T552" s="1257">
        <v>3.8500011034136201E-2</v>
      </c>
      <c r="U552" s="1280">
        <v>1.9250005517068101E-2</v>
      </c>
      <c r="V552" s="1293">
        <v>6.7333007869703103E-3</v>
      </c>
    </row>
    <row r="553" spans="1:22" s="212" customFormat="1" ht="15.5" x14ac:dyDescent="0.35">
      <c r="A553" s="198">
        <v>2025</v>
      </c>
      <c r="B553" s="197" t="s">
        <v>5833</v>
      </c>
      <c r="C553" s="197">
        <v>1989</v>
      </c>
      <c r="D553" s="225" t="str">
        <f t="shared" si="3"/>
        <v>2025_1989</v>
      </c>
      <c r="E553" s="1226">
        <v>6.5078107770874E-2</v>
      </c>
      <c r="F553" s="1257">
        <v>1.4368868675147899E-2</v>
      </c>
      <c r="G553" s="1280">
        <v>2.4139125466010498E-2</v>
      </c>
      <c r="H553" s="1271">
        <v>0.356911650334305</v>
      </c>
      <c r="I553" s="1257">
        <v>0.43992415225926601</v>
      </c>
      <c r="J553" s="1280">
        <v>0.760930151190925</v>
      </c>
      <c r="K553" s="1271">
        <v>6.4420211754615403E-3</v>
      </c>
      <c r="L553" s="1257">
        <v>2.7493198996008799E-4</v>
      </c>
      <c r="M553" s="1280">
        <v>2.1455209031804901E-4</v>
      </c>
      <c r="N553" s="1271">
        <v>7.7172892241465204E-3</v>
      </c>
      <c r="O553" s="1257">
        <v>3.0000008598028201E-3</v>
      </c>
      <c r="P553" s="1257">
        <v>8.3358074424524E-3</v>
      </c>
      <c r="Q553" s="1280">
        <v>7.7172892241465204E-3</v>
      </c>
      <c r="R553" s="1271">
        <v>3.8500011034136201E-2</v>
      </c>
      <c r="S553" s="1257">
        <v>3.8500011034136201E-2</v>
      </c>
      <c r="T553" s="1257">
        <v>3.8500011034136201E-2</v>
      </c>
      <c r="U553" s="1280">
        <v>1.9250005517068101E-2</v>
      </c>
      <c r="V553" s="1293">
        <v>6.7333007869703103E-3</v>
      </c>
    </row>
    <row r="554" spans="1:22" s="212" customFormat="1" ht="15.5" x14ac:dyDescent="0.35">
      <c r="A554" s="198">
        <v>2025</v>
      </c>
      <c r="B554" s="197" t="s">
        <v>5833</v>
      </c>
      <c r="C554" s="197">
        <v>1990</v>
      </c>
      <c r="D554" s="225" t="str">
        <f t="shared" si="3"/>
        <v>2025_1990</v>
      </c>
      <c r="E554" s="1226">
        <v>6.5078107770874E-2</v>
      </c>
      <c r="F554" s="1257">
        <v>1.4368868675147899E-2</v>
      </c>
      <c r="G554" s="1280">
        <v>2.4139125466010498E-2</v>
      </c>
      <c r="H554" s="1271">
        <v>0.356911650334305</v>
      </c>
      <c r="I554" s="1257">
        <v>0.43992415225926601</v>
      </c>
      <c r="J554" s="1280">
        <v>0.760930151190925</v>
      </c>
      <c r="K554" s="1271">
        <v>6.4420211754615403E-3</v>
      </c>
      <c r="L554" s="1257">
        <v>2.7493198996008799E-4</v>
      </c>
      <c r="M554" s="1280">
        <v>2.1455209031804901E-4</v>
      </c>
      <c r="N554" s="1271">
        <v>7.7172892241465204E-3</v>
      </c>
      <c r="O554" s="1257">
        <v>3.0000008598028201E-3</v>
      </c>
      <c r="P554" s="1257">
        <v>8.3358074424524E-3</v>
      </c>
      <c r="Q554" s="1280">
        <v>7.7172892241465204E-3</v>
      </c>
      <c r="R554" s="1271">
        <v>3.8500011034136201E-2</v>
      </c>
      <c r="S554" s="1257">
        <v>3.8500011034136201E-2</v>
      </c>
      <c r="T554" s="1257">
        <v>3.8500011034136201E-2</v>
      </c>
      <c r="U554" s="1280">
        <v>1.9250005517068101E-2</v>
      </c>
      <c r="V554" s="1293">
        <v>6.7333007869703103E-3</v>
      </c>
    </row>
    <row r="555" spans="1:22" s="212" customFormat="1" ht="15.5" x14ac:dyDescent="0.35">
      <c r="A555" s="198">
        <v>2025</v>
      </c>
      <c r="B555" s="197" t="s">
        <v>5833</v>
      </c>
      <c r="C555" s="197">
        <v>1991</v>
      </c>
      <c r="D555" s="225" t="str">
        <f t="shared" si="3"/>
        <v>2025_1991</v>
      </c>
      <c r="E555" s="1226">
        <v>6.5078107770874E-2</v>
      </c>
      <c r="F555" s="1257">
        <v>1.4368868675147899E-2</v>
      </c>
      <c r="G555" s="1280">
        <v>2.4139125466010498E-2</v>
      </c>
      <c r="H555" s="1271">
        <v>0.356911650334305</v>
      </c>
      <c r="I555" s="1257">
        <v>0.43992415225926601</v>
      </c>
      <c r="J555" s="1280">
        <v>0.760930151190925</v>
      </c>
      <c r="K555" s="1271">
        <v>6.4420211754615403E-3</v>
      </c>
      <c r="L555" s="1257">
        <v>2.7493198996008799E-4</v>
      </c>
      <c r="M555" s="1280">
        <v>2.1455209031804901E-4</v>
      </c>
      <c r="N555" s="1271">
        <v>7.7172892241465204E-3</v>
      </c>
      <c r="O555" s="1257">
        <v>3.0000008598028201E-3</v>
      </c>
      <c r="P555" s="1257">
        <v>8.3358074424524E-3</v>
      </c>
      <c r="Q555" s="1280">
        <v>7.7172892241465204E-3</v>
      </c>
      <c r="R555" s="1271">
        <v>3.8500011034136201E-2</v>
      </c>
      <c r="S555" s="1257">
        <v>3.8500011034136201E-2</v>
      </c>
      <c r="T555" s="1257">
        <v>3.8500011034136201E-2</v>
      </c>
      <c r="U555" s="1280">
        <v>1.9250005517068101E-2</v>
      </c>
      <c r="V555" s="1293">
        <v>6.7333007869703103E-3</v>
      </c>
    </row>
    <row r="556" spans="1:22" s="212" customFormat="1" ht="15.5" x14ac:dyDescent="0.35">
      <c r="A556" s="198">
        <v>2025</v>
      </c>
      <c r="B556" s="197" t="s">
        <v>5833</v>
      </c>
      <c r="C556" s="197">
        <v>1992</v>
      </c>
      <c r="D556" s="225" t="str">
        <f t="shared" si="3"/>
        <v>2025_1992</v>
      </c>
      <c r="E556" s="1226">
        <v>6.5078107770874E-2</v>
      </c>
      <c r="F556" s="1257">
        <v>1.4368868675147899E-2</v>
      </c>
      <c r="G556" s="1280">
        <v>2.4139125466010498E-2</v>
      </c>
      <c r="H556" s="1271">
        <v>0.356911650334305</v>
      </c>
      <c r="I556" s="1257">
        <v>0.43992415225926601</v>
      </c>
      <c r="J556" s="1280">
        <v>0.760930151190925</v>
      </c>
      <c r="K556" s="1271">
        <v>6.4420211754615403E-3</v>
      </c>
      <c r="L556" s="1257">
        <v>2.7493198996008799E-4</v>
      </c>
      <c r="M556" s="1280">
        <v>2.1455209031804901E-4</v>
      </c>
      <c r="N556" s="1271">
        <v>7.7172892241465204E-3</v>
      </c>
      <c r="O556" s="1257">
        <v>3.0000008598028201E-3</v>
      </c>
      <c r="P556" s="1257">
        <v>8.3358074424524E-3</v>
      </c>
      <c r="Q556" s="1280">
        <v>7.7172892241465204E-3</v>
      </c>
      <c r="R556" s="1271">
        <v>3.8500011034136201E-2</v>
      </c>
      <c r="S556" s="1257">
        <v>3.8500011034136201E-2</v>
      </c>
      <c r="T556" s="1257">
        <v>3.8500011034136201E-2</v>
      </c>
      <c r="U556" s="1280">
        <v>1.9250005517068101E-2</v>
      </c>
      <c r="V556" s="1293">
        <v>6.7333007869703103E-3</v>
      </c>
    </row>
    <row r="557" spans="1:22" s="212" customFormat="1" ht="15.5" x14ac:dyDescent="0.35">
      <c r="A557" s="198">
        <v>2025</v>
      </c>
      <c r="B557" s="197" t="s">
        <v>5833</v>
      </c>
      <c r="C557" s="197">
        <v>1993</v>
      </c>
      <c r="D557" s="225" t="str">
        <f t="shared" si="3"/>
        <v>2025_1993</v>
      </c>
      <c r="E557" s="1226">
        <v>6.5078107770874E-2</v>
      </c>
      <c r="F557" s="1257">
        <v>1.4368868675147899E-2</v>
      </c>
      <c r="G557" s="1280">
        <v>2.4139125466010498E-2</v>
      </c>
      <c r="H557" s="1271">
        <v>0.356911650334305</v>
      </c>
      <c r="I557" s="1257">
        <v>0.43992415225926601</v>
      </c>
      <c r="J557" s="1280">
        <v>0.760930151190925</v>
      </c>
      <c r="K557" s="1271">
        <v>6.4420211754615403E-3</v>
      </c>
      <c r="L557" s="1257">
        <v>2.7493198996008799E-4</v>
      </c>
      <c r="M557" s="1280">
        <v>2.1455209031804901E-4</v>
      </c>
      <c r="N557" s="1271">
        <v>7.7172892241465204E-3</v>
      </c>
      <c r="O557" s="1257">
        <v>3.0000008598028201E-3</v>
      </c>
      <c r="P557" s="1257">
        <v>8.3358074424524E-3</v>
      </c>
      <c r="Q557" s="1280">
        <v>7.7172892241465204E-3</v>
      </c>
      <c r="R557" s="1271">
        <v>3.8500011034136201E-2</v>
      </c>
      <c r="S557" s="1257">
        <v>3.8500011034136201E-2</v>
      </c>
      <c r="T557" s="1257">
        <v>3.8500011034136201E-2</v>
      </c>
      <c r="U557" s="1280">
        <v>1.9250005517068101E-2</v>
      </c>
      <c r="V557" s="1293">
        <v>6.7333007869703103E-3</v>
      </c>
    </row>
    <row r="558" spans="1:22" s="212" customFormat="1" ht="15.5" x14ac:dyDescent="0.35">
      <c r="A558" s="198">
        <v>2025</v>
      </c>
      <c r="B558" s="197" t="s">
        <v>5833</v>
      </c>
      <c r="C558" s="197">
        <v>1994</v>
      </c>
      <c r="D558" s="225" t="str">
        <f t="shared" si="3"/>
        <v>2025_1994</v>
      </c>
      <c r="E558" s="1226">
        <v>6.5078107770874E-2</v>
      </c>
      <c r="F558" s="1257">
        <v>1.4368868675147899E-2</v>
      </c>
      <c r="G558" s="1280">
        <v>2.4139125466010498E-2</v>
      </c>
      <c r="H558" s="1271">
        <v>0.356911650334305</v>
      </c>
      <c r="I558" s="1257">
        <v>0.43992415225926601</v>
      </c>
      <c r="J558" s="1280">
        <v>0.760930151190925</v>
      </c>
      <c r="K558" s="1271">
        <v>6.4420211754615403E-3</v>
      </c>
      <c r="L558" s="1257">
        <v>2.7493198996008799E-4</v>
      </c>
      <c r="M558" s="1280">
        <v>2.1455209031804901E-4</v>
      </c>
      <c r="N558" s="1271">
        <v>7.7172892241465204E-3</v>
      </c>
      <c r="O558" s="1257">
        <v>3.0000008598028201E-3</v>
      </c>
      <c r="P558" s="1257">
        <v>8.3358074424524E-3</v>
      </c>
      <c r="Q558" s="1280">
        <v>7.7172892241465204E-3</v>
      </c>
      <c r="R558" s="1271">
        <v>3.8500011034136201E-2</v>
      </c>
      <c r="S558" s="1257">
        <v>3.8500011034136201E-2</v>
      </c>
      <c r="T558" s="1257">
        <v>3.8500011034136201E-2</v>
      </c>
      <c r="U558" s="1280">
        <v>1.9250005517068101E-2</v>
      </c>
      <c r="V558" s="1293">
        <v>6.7333007869703103E-3</v>
      </c>
    </row>
    <row r="559" spans="1:22" s="212" customFormat="1" ht="15.5" x14ac:dyDescent="0.35">
      <c r="A559" s="198">
        <v>2025</v>
      </c>
      <c r="B559" s="197" t="s">
        <v>5833</v>
      </c>
      <c r="C559" s="197">
        <v>1995</v>
      </c>
      <c r="D559" s="225" t="str">
        <f t="shared" si="3"/>
        <v>2025_1995</v>
      </c>
      <c r="E559" s="1226">
        <v>6.5078107770874E-2</v>
      </c>
      <c r="F559" s="1257">
        <v>1.4368868675147899E-2</v>
      </c>
      <c r="G559" s="1280">
        <v>2.4139125466010498E-2</v>
      </c>
      <c r="H559" s="1271">
        <v>0.356911650334305</v>
      </c>
      <c r="I559" s="1257">
        <v>0.43992415225926601</v>
      </c>
      <c r="J559" s="1280">
        <v>0.760930151190925</v>
      </c>
      <c r="K559" s="1271">
        <v>6.4420211754615403E-3</v>
      </c>
      <c r="L559" s="1257">
        <v>2.7493198996008799E-4</v>
      </c>
      <c r="M559" s="1280">
        <v>2.1455209031804901E-4</v>
      </c>
      <c r="N559" s="1271">
        <v>7.7172892241465204E-3</v>
      </c>
      <c r="O559" s="1257">
        <v>3.0000008598028201E-3</v>
      </c>
      <c r="P559" s="1257">
        <v>8.3358074424524E-3</v>
      </c>
      <c r="Q559" s="1280">
        <v>7.7172892241465204E-3</v>
      </c>
      <c r="R559" s="1271">
        <v>3.8500011034136201E-2</v>
      </c>
      <c r="S559" s="1257">
        <v>3.8500011034136201E-2</v>
      </c>
      <c r="T559" s="1257">
        <v>3.8500011034136201E-2</v>
      </c>
      <c r="U559" s="1280">
        <v>1.9250005517068101E-2</v>
      </c>
      <c r="V559" s="1293">
        <v>6.7333007869703103E-3</v>
      </c>
    </row>
    <row r="560" spans="1:22" s="212" customFormat="1" ht="15.5" x14ac:dyDescent="0.35">
      <c r="A560" s="198">
        <v>2025</v>
      </c>
      <c r="B560" s="197" t="s">
        <v>5833</v>
      </c>
      <c r="C560" s="197">
        <v>1996</v>
      </c>
      <c r="D560" s="225" t="str">
        <f t="shared" si="3"/>
        <v>2025_1996</v>
      </c>
      <c r="E560" s="1226">
        <v>6.5078107770874E-2</v>
      </c>
      <c r="F560" s="1257">
        <v>1.4368868675147899E-2</v>
      </c>
      <c r="G560" s="1280">
        <v>2.4139125466010498E-2</v>
      </c>
      <c r="H560" s="1271">
        <v>0.356911650334305</v>
      </c>
      <c r="I560" s="1257">
        <v>0.43992415225926601</v>
      </c>
      <c r="J560" s="1280">
        <v>0.760930151190925</v>
      </c>
      <c r="K560" s="1271">
        <v>6.4420211754615403E-3</v>
      </c>
      <c r="L560" s="1257">
        <v>2.7493198996008799E-4</v>
      </c>
      <c r="M560" s="1280">
        <v>2.1455209031804901E-4</v>
      </c>
      <c r="N560" s="1271">
        <v>7.7172892241465204E-3</v>
      </c>
      <c r="O560" s="1257">
        <v>3.0000008598028201E-3</v>
      </c>
      <c r="P560" s="1257">
        <v>8.3358074424524E-3</v>
      </c>
      <c r="Q560" s="1280">
        <v>7.7172892241465204E-3</v>
      </c>
      <c r="R560" s="1271">
        <v>3.8500011034136201E-2</v>
      </c>
      <c r="S560" s="1257">
        <v>3.8500011034136201E-2</v>
      </c>
      <c r="T560" s="1257">
        <v>3.8500011034136201E-2</v>
      </c>
      <c r="U560" s="1280">
        <v>1.9250005517068101E-2</v>
      </c>
      <c r="V560" s="1293">
        <v>6.7333007869703103E-3</v>
      </c>
    </row>
    <row r="561" spans="1:22" s="212" customFormat="1" ht="15.5" x14ac:dyDescent="0.35">
      <c r="A561" s="198">
        <v>2025</v>
      </c>
      <c r="B561" s="197" t="s">
        <v>5833</v>
      </c>
      <c r="C561" s="197">
        <v>1997</v>
      </c>
      <c r="D561" s="225" t="str">
        <f t="shared" si="3"/>
        <v>2025_1997</v>
      </c>
      <c r="E561" s="1226">
        <v>6.5078107770874E-2</v>
      </c>
      <c r="F561" s="1257">
        <v>1.4368868675147899E-2</v>
      </c>
      <c r="G561" s="1280">
        <v>2.4139125466010498E-2</v>
      </c>
      <c r="H561" s="1271">
        <v>0.356911650334305</v>
      </c>
      <c r="I561" s="1257">
        <v>0.43992415225926601</v>
      </c>
      <c r="J561" s="1280">
        <v>0.760930151190925</v>
      </c>
      <c r="K561" s="1271">
        <v>6.4420211754615403E-3</v>
      </c>
      <c r="L561" s="1257">
        <v>2.7493198996008799E-4</v>
      </c>
      <c r="M561" s="1280">
        <v>2.1455209031804901E-4</v>
      </c>
      <c r="N561" s="1271">
        <v>7.7172892241465204E-3</v>
      </c>
      <c r="O561" s="1257">
        <v>3.0000008598028201E-3</v>
      </c>
      <c r="P561" s="1257">
        <v>8.3358074424524E-3</v>
      </c>
      <c r="Q561" s="1280">
        <v>7.7172892241465204E-3</v>
      </c>
      <c r="R561" s="1271">
        <v>3.8500011034136201E-2</v>
      </c>
      <c r="S561" s="1257">
        <v>3.8500011034136201E-2</v>
      </c>
      <c r="T561" s="1257">
        <v>3.8500011034136201E-2</v>
      </c>
      <c r="U561" s="1280">
        <v>1.9250005517068101E-2</v>
      </c>
      <c r="V561" s="1293">
        <v>6.7333007869703103E-3</v>
      </c>
    </row>
    <row r="562" spans="1:22" s="212" customFormat="1" ht="15.5" x14ac:dyDescent="0.35">
      <c r="A562" s="198">
        <v>2025</v>
      </c>
      <c r="B562" s="197" t="s">
        <v>5833</v>
      </c>
      <c r="C562" s="197">
        <v>1998</v>
      </c>
      <c r="D562" s="225" t="str">
        <f t="shared" si="3"/>
        <v>2025_1998</v>
      </c>
      <c r="E562" s="1226">
        <v>6.5078107770874E-2</v>
      </c>
      <c r="F562" s="1257">
        <v>1.4368868675147899E-2</v>
      </c>
      <c r="G562" s="1280">
        <v>2.4139125466010498E-2</v>
      </c>
      <c r="H562" s="1271">
        <v>0.356911650334305</v>
      </c>
      <c r="I562" s="1257">
        <v>0.43992415225926601</v>
      </c>
      <c r="J562" s="1280">
        <v>0.760930151190925</v>
      </c>
      <c r="K562" s="1271">
        <v>6.4420211754615403E-3</v>
      </c>
      <c r="L562" s="1257">
        <v>2.7493198996008799E-4</v>
      </c>
      <c r="M562" s="1280">
        <v>2.1455209031804901E-4</v>
      </c>
      <c r="N562" s="1271">
        <v>7.7172892241465204E-3</v>
      </c>
      <c r="O562" s="1257">
        <v>3.0000008598028201E-3</v>
      </c>
      <c r="P562" s="1257">
        <v>8.3358074424524E-3</v>
      </c>
      <c r="Q562" s="1280">
        <v>7.7172892241465204E-3</v>
      </c>
      <c r="R562" s="1271">
        <v>3.8500011034136201E-2</v>
      </c>
      <c r="S562" s="1257">
        <v>3.8500011034136201E-2</v>
      </c>
      <c r="T562" s="1257">
        <v>3.8500011034136201E-2</v>
      </c>
      <c r="U562" s="1280">
        <v>1.9250005517068101E-2</v>
      </c>
      <c r="V562" s="1293">
        <v>6.7333007869703103E-3</v>
      </c>
    </row>
    <row r="563" spans="1:22" s="212" customFormat="1" ht="15.5" x14ac:dyDescent="0.35">
      <c r="A563" s="198">
        <v>2025</v>
      </c>
      <c r="B563" s="197" t="s">
        <v>5833</v>
      </c>
      <c r="C563" s="197">
        <v>1999</v>
      </c>
      <c r="D563" s="225" t="str">
        <f t="shared" si="3"/>
        <v>2025_1999</v>
      </c>
      <c r="E563" s="1226">
        <v>6.5078107770874E-2</v>
      </c>
      <c r="F563" s="1257">
        <v>1.4368868675147899E-2</v>
      </c>
      <c r="G563" s="1280">
        <v>2.4139125466010498E-2</v>
      </c>
      <c r="H563" s="1271">
        <v>0.356911650334305</v>
      </c>
      <c r="I563" s="1257">
        <v>0.43992415225926601</v>
      </c>
      <c r="J563" s="1280">
        <v>0.760930151190925</v>
      </c>
      <c r="K563" s="1271">
        <v>6.4420211754615403E-3</v>
      </c>
      <c r="L563" s="1257">
        <v>2.7493198996008799E-4</v>
      </c>
      <c r="M563" s="1280">
        <v>2.1455209031804901E-4</v>
      </c>
      <c r="N563" s="1271">
        <v>7.7172892241465204E-3</v>
      </c>
      <c r="O563" s="1257">
        <v>3.0000008598028201E-3</v>
      </c>
      <c r="P563" s="1257">
        <v>8.3358074424524E-3</v>
      </c>
      <c r="Q563" s="1280">
        <v>7.7172892241465204E-3</v>
      </c>
      <c r="R563" s="1271">
        <v>3.8500011034136201E-2</v>
      </c>
      <c r="S563" s="1257">
        <v>3.8500011034136201E-2</v>
      </c>
      <c r="T563" s="1257">
        <v>3.8500011034136201E-2</v>
      </c>
      <c r="U563" s="1280">
        <v>1.9250005517068101E-2</v>
      </c>
      <c r="V563" s="1293">
        <v>6.7333007869703103E-3</v>
      </c>
    </row>
    <row r="564" spans="1:22" s="212" customFormat="1" ht="15.5" x14ac:dyDescent="0.35">
      <c r="A564" s="198">
        <v>2025</v>
      </c>
      <c r="B564" s="197" t="s">
        <v>5833</v>
      </c>
      <c r="C564" s="197">
        <v>2000</v>
      </c>
      <c r="D564" s="225" t="str">
        <f t="shared" si="3"/>
        <v>2025_2000</v>
      </c>
      <c r="E564" s="1226">
        <v>6.5078107770874E-2</v>
      </c>
      <c r="F564" s="1257">
        <v>1.4368868675147899E-2</v>
      </c>
      <c r="G564" s="1280">
        <v>2.4139125466010498E-2</v>
      </c>
      <c r="H564" s="1271">
        <v>0.356911650334305</v>
      </c>
      <c r="I564" s="1257">
        <v>0.43992415225926601</v>
      </c>
      <c r="J564" s="1280">
        <v>0.760930151190925</v>
      </c>
      <c r="K564" s="1271">
        <v>6.4420211754615403E-3</v>
      </c>
      <c r="L564" s="1257">
        <v>2.7493198996008799E-4</v>
      </c>
      <c r="M564" s="1280">
        <v>2.1455209031804901E-4</v>
      </c>
      <c r="N564" s="1271">
        <v>7.7172892241465204E-3</v>
      </c>
      <c r="O564" s="1257">
        <v>3.0000008598028201E-3</v>
      </c>
      <c r="P564" s="1257">
        <v>8.3358074424524E-3</v>
      </c>
      <c r="Q564" s="1280">
        <v>7.7172892241465204E-3</v>
      </c>
      <c r="R564" s="1271">
        <v>3.8500011034136201E-2</v>
      </c>
      <c r="S564" s="1257">
        <v>3.8500011034136201E-2</v>
      </c>
      <c r="T564" s="1257">
        <v>3.8500011034136201E-2</v>
      </c>
      <c r="U564" s="1280">
        <v>1.9250005517068101E-2</v>
      </c>
      <c r="V564" s="1293">
        <v>6.7333007869703103E-3</v>
      </c>
    </row>
    <row r="565" spans="1:22" s="212" customFormat="1" ht="15.5" x14ac:dyDescent="0.35">
      <c r="A565" s="198">
        <v>2025</v>
      </c>
      <c r="B565" s="197" t="s">
        <v>5833</v>
      </c>
      <c r="C565" s="197">
        <v>2001</v>
      </c>
      <c r="D565" s="225" t="str">
        <f t="shared" si="3"/>
        <v>2025_2001</v>
      </c>
      <c r="E565" s="1226">
        <v>6.5078107770874E-2</v>
      </c>
      <c r="F565" s="1257">
        <v>1.4368868675147899E-2</v>
      </c>
      <c r="G565" s="1280">
        <v>2.4139125466010498E-2</v>
      </c>
      <c r="H565" s="1271">
        <v>0.356911650334305</v>
      </c>
      <c r="I565" s="1257">
        <v>0.43992415225926601</v>
      </c>
      <c r="J565" s="1280">
        <v>0.760930151190925</v>
      </c>
      <c r="K565" s="1271">
        <v>6.4420211754615403E-3</v>
      </c>
      <c r="L565" s="1257">
        <v>2.7493198996008799E-4</v>
      </c>
      <c r="M565" s="1280">
        <v>2.1455209031804901E-4</v>
      </c>
      <c r="N565" s="1271">
        <v>7.7172892241465204E-3</v>
      </c>
      <c r="O565" s="1257">
        <v>3.0000008598028201E-3</v>
      </c>
      <c r="P565" s="1257">
        <v>8.3358074424524E-3</v>
      </c>
      <c r="Q565" s="1280">
        <v>7.7172892241465204E-3</v>
      </c>
      <c r="R565" s="1271">
        <v>3.8500011034136201E-2</v>
      </c>
      <c r="S565" s="1257">
        <v>3.8500011034136201E-2</v>
      </c>
      <c r="T565" s="1257">
        <v>3.8500011034136201E-2</v>
      </c>
      <c r="U565" s="1280">
        <v>1.9250005517068101E-2</v>
      </c>
      <c r="V565" s="1293">
        <v>6.7333007869703103E-3</v>
      </c>
    </row>
    <row r="566" spans="1:22" s="212" customFormat="1" ht="15.5" x14ac:dyDescent="0.35">
      <c r="A566" s="198">
        <v>2025</v>
      </c>
      <c r="B566" s="197" t="s">
        <v>5833</v>
      </c>
      <c r="C566" s="197">
        <v>2002</v>
      </c>
      <c r="D566" s="225" t="str">
        <f t="shared" si="3"/>
        <v>2025_2002</v>
      </c>
      <c r="E566" s="1226">
        <v>6.5078107770874E-2</v>
      </c>
      <c r="F566" s="1257">
        <v>1.4368868675147899E-2</v>
      </c>
      <c r="G566" s="1280">
        <v>2.4139125466010498E-2</v>
      </c>
      <c r="H566" s="1271">
        <v>0.356911650334305</v>
      </c>
      <c r="I566" s="1257">
        <v>0.43992415225926601</v>
      </c>
      <c r="J566" s="1280">
        <v>0.760930151190925</v>
      </c>
      <c r="K566" s="1271">
        <v>6.4420211754615403E-3</v>
      </c>
      <c r="L566" s="1257">
        <v>2.7493198996008799E-4</v>
      </c>
      <c r="M566" s="1280">
        <v>2.1455209031804901E-4</v>
      </c>
      <c r="N566" s="1271">
        <v>7.7172892241465204E-3</v>
      </c>
      <c r="O566" s="1257">
        <v>3.0000008598028201E-3</v>
      </c>
      <c r="P566" s="1257">
        <v>8.3358074424524E-3</v>
      </c>
      <c r="Q566" s="1280">
        <v>7.7172892241465204E-3</v>
      </c>
      <c r="R566" s="1271">
        <v>3.8500011034136201E-2</v>
      </c>
      <c r="S566" s="1257">
        <v>3.8500011034136201E-2</v>
      </c>
      <c r="T566" s="1257">
        <v>3.8500011034136201E-2</v>
      </c>
      <c r="U566" s="1280">
        <v>1.9250005517068101E-2</v>
      </c>
      <c r="V566" s="1293">
        <v>6.7333007869703103E-3</v>
      </c>
    </row>
    <row r="567" spans="1:22" s="212" customFormat="1" ht="15.5" x14ac:dyDescent="0.35">
      <c r="A567" s="198">
        <v>2025</v>
      </c>
      <c r="B567" s="197" t="s">
        <v>5833</v>
      </c>
      <c r="C567" s="197">
        <v>2003</v>
      </c>
      <c r="D567" s="225" t="str">
        <f t="shared" si="3"/>
        <v>2025_2003</v>
      </c>
      <c r="E567" s="1226">
        <v>6.5078107770874E-2</v>
      </c>
      <c r="F567" s="1257">
        <v>1.4368868675147899E-2</v>
      </c>
      <c r="G567" s="1280">
        <v>2.4139125466010498E-2</v>
      </c>
      <c r="H567" s="1271">
        <v>0.356911650334305</v>
      </c>
      <c r="I567" s="1257">
        <v>0.43992415225926601</v>
      </c>
      <c r="J567" s="1280">
        <v>0.760930151190925</v>
      </c>
      <c r="K567" s="1271">
        <v>6.4420211754615403E-3</v>
      </c>
      <c r="L567" s="1257">
        <v>2.7493198996008799E-4</v>
      </c>
      <c r="M567" s="1280">
        <v>2.1455209031804901E-4</v>
      </c>
      <c r="N567" s="1271">
        <v>7.7172892241465204E-3</v>
      </c>
      <c r="O567" s="1257">
        <v>3.0000008598028201E-3</v>
      </c>
      <c r="P567" s="1257">
        <v>8.3358074424524E-3</v>
      </c>
      <c r="Q567" s="1280">
        <v>7.7172892241465204E-3</v>
      </c>
      <c r="R567" s="1271">
        <v>3.8500011034136201E-2</v>
      </c>
      <c r="S567" s="1257">
        <v>3.8500011034136201E-2</v>
      </c>
      <c r="T567" s="1257">
        <v>3.8500011034136201E-2</v>
      </c>
      <c r="U567" s="1280">
        <v>1.9250005517068101E-2</v>
      </c>
      <c r="V567" s="1293">
        <v>6.7333007869703103E-3</v>
      </c>
    </row>
    <row r="568" spans="1:22" s="212" customFormat="1" ht="15.5" x14ac:dyDescent="0.35">
      <c r="A568" s="198">
        <v>2025</v>
      </c>
      <c r="B568" s="197" t="s">
        <v>5833</v>
      </c>
      <c r="C568" s="197">
        <v>2004</v>
      </c>
      <c r="D568" s="225" t="str">
        <f t="shared" si="3"/>
        <v>2025_2004</v>
      </c>
      <c r="E568" s="1226">
        <v>6.5078107770874E-2</v>
      </c>
      <c r="F568" s="1257">
        <v>1.4368868675147899E-2</v>
      </c>
      <c r="G568" s="1280">
        <v>2.4139125466010498E-2</v>
      </c>
      <c r="H568" s="1271">
        <v>0.356911650334305</v>
      </c>
      <c r="I568" s="1257">
        <v>0.43992415225926601</v>
      </c>
      <c r="J568" s="1280">
        <v>0.760930151190925</v>
      </c>
      <c r="K568" s="1271">
        <v>6.4420211754615403E-3</v>
      </c>
      <c r="L568" s="1257">
        <v>2.7493198996008799E-4</v>
      </c>
      <c r="M568" s="1280">
        <v>2.1455209031804901E-4</v>
      </c>
      <c r="N568" s="1271">
        <v>7.7172892241465204E-3</v>
      </c>
      <c r="O568" s="1257">
        <v>3.0000008598028201E-3</v>
      </c>
      <c r="P568" s="1257">
        <v>8.3358074424524E-3</v>
      </c>
      <c r="Q568" s="1280">
        <v>7.7172892241465204E-3</v>
      </c>
      <c r="R568" s="1271">
        <v>3.8500011034136201E-2</v>
      </c>
      <c r="S568" s="1257">
        <v>3.8500011034136201E-2</v>
      </c>
      <c r="T568" s="1257">
        <v>3.8500011034136201E-2</v>
      </c>
      <c r="U568" s="1280">
        <v>1.9250005517068101E-2</v>
      </c>
      <c r="V568" s="1293">
        <v>6.7333007869703103E-3</v>
      </c>
    </row>
    <row r="569" spans="1:22" s="212" customFormat="1" ht="15.5" x14ac:dyDescent="0.35">
      <c r="A569" s="198">
        <v>2025</v>
      </c>
      <c r="B569" s="197" t="s">
        <v>5833</v>
      </c>
      <c r="C569" s="197">
        <v>2005</v>
      </c>
      <c r="D569" s="225" t="str">
        <f t="shared" si="3"/>
        <v>2025_2005</v>
      </c>
      <c r="E569" s="1226">
        <v>6.5078107770874E-2</v>
      </c>
      <c r="F569" s="1257">
        <v>1.4368868675147899E-2</v>
      </c>
      <c r="G569" s="1280">
        <v>2.4139125466010498E-2</v>
      </c>
      <c r="H569" s="1271">
        <v>0.356911650334305</v>
      </c>
      <c r="I569" s="1257">
        <v>0.43992415225926601</v>
      </c>
      <c r="J569" s="1280">
        <v>0.760930151190925</v>
      </c>
      <c r="K569" s="1271">
        <v>6.4420211754615403E-3</v>
      </c>
      <c r="L569" s="1257">
        <v>2.7493198996008799E-4</v>
      </c>
      <c r="M569" s="1280">
        <v>2.1455209031804901E-4</v>
      </c>
      <c r="N569" s="1271">
        <v>7.7172892241465204E-3</v>
      </c>
      <c r="O569" s="1257">
        <v>3.0000008598028201E-3</v>
      </c>
      <c r="P569" s="1257">
        <v>8.3358074424524E-3</v>
      </c>
      <c r="Q569" s="1280">
        <v>7.7172892241465204E-3</v>
      </c>
      <c r="R569" s="1271">
        <v>3.8500011034136201E-2</v>
      </c>
      <c r="S569" s="1257">
        <v>3.8500011034136201E-2</v>
      </c>
      <c r="T569" s="1257">
        <v>3.8500011034136201E-2</v>
      </c>
      <c r="U569" s="1280">
        <v>1.9250005517068101E-2</v>
      </c>
      <c r="V569" s="1293">
        <v>6.7333007869703103E-3</v>
      </c>
    </row>
    <row r="570" spans="1:22" s="212" customFormat="1" ht="15.5" x14ac:dyDescent="0.35">
      <c r="A570" s="198">
        <v>2025</v>
      </c>
      <c r="B570" s="197" t="s">
        <v>5833</v>
      </c>
      <c r="C570" s="197">
        <v>2006</v>
      </c>
      <c r="D570" s="225" t="str">
        <f t="shared" si="3"/>
        <v>2025_2006</v>
      </c>
      <c r="E570" s="1226">
        <v>6.5078107770874E-2</v>
      </c>
      <c r="F570" s="1257">
        <v>1.4368868675147899E-2</v>
      </c>
      <c r="G570" s="1280">
        <v>2.4139125466010498E-2</v>
      </c>
      <c r="H570" s="1271">
        <v>0.356911650334305</v>
      </c>
      <c r="I570" s="1257">
        <v>0.43992415225926601</v>
      </c>
      <c r="J570" s="1280">
        <v>0.760930151190925</v>
      </c>
      <c r="K570" s="1271">
        <v>6.4420211754615403E-3</v>
      </c>
      <c r="L570" s="1257">
        <v>2.7493198996008799E-4</v>
      </c>
      <c r="M570" s="1280">
        <v>2.1455209031804901E-4</v>
      </c>
      <c r="N570" s="1271">
        <v>7.7172892241465204E-3</v>
      </c>
      <c r="O570" s="1257">
        <v>3.0000008598028201E-3</v>
      </c>
      <c r="P570" s="1257">
        <v>8.3358074424524E-3</v>
      </c>
      <c r="Q570" s="1280">
        <v>7.7172892241465204E-3</v>
      </c>
      <c r="R570" s="1271">
        <v>3.8500011034136201E-2</v>
      </c>
      <c r="S570" s="1257">
        <v>3.8500011034136201E-2</v>
      </c>
      <c r="T570" s="1257">
        <v>3.8500011034136201E-2</v>
      </c>
      <c r="U570" s="1280">
        <v>1.9250005517068101E-2</v>
      </c>
      <c r="V570" s="1293">
        <v>6.7333007869703103E-3</v>
      </c>
    </row>
    <row r="571" spans="1:22" s="212" customFormat="1" ht="15.5" x14ac:dyDescent="0.35">
      <c r="A571" s="198">
        <v>2025</v>
      </c>
      <c r="B571" s="197" t="s">
        <v>5833</v>
      </c>
      <c r="C571" s="197">
        <v>2007</v>
      </c>
      <c r="D571" s="225" t="str">
        <f t="shared" si="3"/>
        <v>2025_2007</v>
      </c>
      <c r="E571" s="1226">
        <v>6.5078107770874E-2</v>
      </c>
      <c r="F571" s="1257">
        <v>1.4368868675147899E-2</v>
      </c>
      <c r="G571" s="1280">
        <v>2.4139125466010498E-2</v>
      </c>
      <c r="H571" s="1271">
        <v>0.356911650334305</v>
      </c>
      <c r="I571" s="1257">
        <v>0.43992415225926601</v>
      </c>
      <c r="J571" s="1280">
        <v>0.760930151190925</v>
      </c>
      <c r="K571" s="1271">
        <v>6.4420211754615403E-3</v>
      </c>
      <c r="L571" s="1257">
        <v>2.7493198996008799E-4</v>
      </c>
      <c r="M571" s="1280">
        <v>2.1455209031804901E-4</v>
      </c>
      <c r="N571" s="1271">
        <v>7.7172892241465204E-3</v>
      </c>
      <c r="O571" s="1257">
        <v>3.0000008598028201E-3</v>
      </c>
      <c r="P571" s="1257">
        <v>8.3358074424524E-3</v>
      </c>
      <c r="Q571" s="1280">
        <v>7.7172892241465204E-3</v>
      </c>
      <c r="R571" s="1271">
        <v>3.8500011034136201E-2</v>
      </c>
      <c r="S571" s="1257">
        <v>3.8500011034136201E-2</v>
      </c>
      <c r="T571" s="1257">
        <v>3.8500011034136201E-2</v>
      </c>
      <c r="U571" s="1280">
        <v>1.9250005517068101E-2</v>
      </c>
      <c r="V571" s="1293">
        <v>6.7333007869703103E-3</v>
      </c>
    </row>
    <row r="572" spans="1:22" s="212" customFormat="1" ht="15.5" x14ac:dyDescent="0.35">
      <c r="A572" s="198">
        <v>2025</v>
      </c>
      <c r="B572" s="197" t="s">
        <v>5833</v>
      </c>
      <c r="C572" s="197">
        <v>2008</v>
      </c>
      <c r="D572" s="225" t="str">
        <f t="shared" si="3"/>
        <v>2025_2008</v>
      </c>
      <c r="E572" s="1226">
        <v>6.5078107770874E-2</v>
      </c>
      <c r="F572" s="1257">
        <v>1.4368868675147899E-2</v>
      </c>
      <c r="G572" s="1280">
        <v>2.4139125466010498E-2</v>
      </c>
      <c r="H572" s="1271">
        <v>0.356911650334305</v>
      </c>
      <c r="I572" s="1257">
        <v>0.43992415225926601</v>
      </c>
      <c r="J572" s="1280">
        <v>0.760930151190925</v>
      </c>
      <c r="K572" s="1271">
        <v>6.4420211754615403E-3</v>
      </c>
      <c r="L572" s="1257">
        <v>2.7493198996008799E-4</v>
      </c>
      <c r="M572" s="1280">
        <v>2.1455209031804901E-4</v>
      </c>
      <c r="N572" s="1271">
        <v>7.7172892241465204E-3</v>
      </c>
      <c r="O572" s="1257">
        <v>3.0000008598028201E-3</v>
      </c>
      <c r="P572" s="1257">
        <v>8.3358074424524E-3</v>
      </c>
      <c r="Q572" s="1280">
        <v>7.7172892241465204E-3</v>
      </c>
      <c r="R572" s="1271">
        <v>3.8500011034136201E-2</v>
      </c>
      <c r="S572" s="1257">
        <v>3.8500011034136201E-2</v>
      </c>
      <c r="T572" s="1257">
        <v>3.8500011034136201E-2</v>
      </c>
      <c r="U572" s="1280">
        <v>1.9250005517068101E-2</v>
      </c>
      <c r="V572" s="1293">
        <v>6.7333007869703103E-3</v>
      </c>
    </row>
    <row r="573" spans="1:22" s="212" customFormat="1" ht="15.5" x14ac:dyDescent="0.35">
      <c r="A573" s="198">
        <v>2025</v>
      </c>
      <c r="B573" s="197" t="s">
        <v>5833</v>
      </c>
      <c r="C573" s="197">
        <v>2009</v>
      </c>
      <c r="D573" s="225" t="str">
        <f t="shared" si="3"/>
        <v>2025_2009</v>
      </c>
      <c r="E573" s="1226">
        <v>6.5078107770874E-2</v>
      </c>
      <c r="F573" s="1257">
        <v>1.4368868675147899E-2</v>
      </c>
      <c r="G573" s="1280">
        <v>2.4139125466010498E-2</v>
      </c>
      <c r="H573" s="1271">
        <v>0.356911650334305</v>
      </c>
      <c r="I573" s="1257">
        <v>0.43992415225926601</v>
      </c>
      <c r="J573" s="1280">
        <v>0.760930151190925</v>
      </c>
      <c r="K573" s="1271">
        <v>6.4420211754615403E-3</v>
      </c>
      <c r="L573" s="1257">
        <v>2.7493198996008799E-4</v>
      </c>
      <c r="M573" s="1280">
        <v>2.1455209031804901E-4</v>
      </c>
      <c r="N573" s="1271">
        <v>7.7172892241465204E-3</v>
      </c>
      <c r="O573" s="1257">
        <v>3.0000008598028201E-3</v>
      </c>
      <c r="P573" s="1257">
        <v>8.3358074424524E-3</v>
      </c>
      <c r="Q573" s="1280">
        <v>7.7172892241465204E-3</v>
      </c>
      <c r="R573" s="1271">
        <v>3.8500011034136201E-2</v>
      </c>
      <c r="S573" s="1257">
        <v>3.8500011034136201E-2</v>
      </c>
      <c r="T573" s="1257">
        <v>3.8500011034136201E-2</v>
      </c>
      <c r="U573" s="1280">
        <v>1.9250005517068101E-2</v>
      </c>
      <c r="V573" s="1293">
        <v>6.7333007869703103E-3</v>
      </c>
    </row>
    <row r="574" spans="1:22" s="212" customFormat="1" ht="15.5" x14ac:dyDescent="0.35">
      <c r="A574" s="198">
        <v>2025</v>
      </c>
      <c r="B574" s="197" t="s">
        <v>5833</v>
      </c>
      <c r="C574" s="197">
        <v>2010</v>
      </c>
      <c r="D574" s="225" t="str">
        <f t="shared" si="3"/>
        <v>2025_2010</v>
      </c>
      <c r="E574" s="1226">
        <v>6.5078107770874E-2</v>
      </c>
      <c r="F574" s="1257">
        <v>1.4368868675147899E-2</v>
      </c>
      <c r="G574" s="1280">
        <v>2.4139125466010498E-2</v>
      </c>
      <c r="H574" s="1271">
        <v>0.356911650334305</v>
      </c>
      <c r="I574" s="1257">
        <v>0.43992415225926601</v>
      </c>
      <c r="J574" s="1280">
        <v>0.760930151190925</v>
      </c>
      <c r="K574" s="1271">
        <v>6.4420211754615403E-3</v>
      </c>
      <c r="L574" s="1257">
        <v>2.7493198996008799E-4</v>
      </c>
      <c r="M574" s="1280">
        <v>2.1455209031804901E-4</v>
      </c>
      <c r="N574" s="1271">
        <v>7.7172892241465204E-3</v>
      </c>
      <c r="O574" s="1257">
        <v>3.0000008598028201E-3</v>
      </c>
      <c r="P574" s="1257">
        <v>8.3358074424524E-3</v>
      </c>
      <c r="Q574" s="1280">
        <v>7.7172892241465204E-3</v>
      </c>
      <c r="R574" s="1271">
        <v>3.8500011034136201E-2</v>
      </c>
      <c r="S574" s="1257">
        <v>3.8500011034136201E-2</v>
      </c>
      <c r="T574" s="1257">
        <v>3.8500011034136201E-2</v>
      </c>
      <c r="U574" s="1280">
        <v>1.9250005517068101E-2</v>
      </c>
      <c r="V574" s="1293">
        <v>6.7333007869703103E-3</v>
      </c>
    </row>
    <row r="575" spans="1:22" s="212" customFormat="1" ht="15.5" x14ac:dyDescent="0.35">
      <c r="A575" s="198">
        <v>2025</v>
      </c>
      <c r="B575" s="197" t="s">
        <v>5833</v>
      </c>
      <c r="C575" s="197">
        <v>2011</v>
      </c>
      <c r="D575" s="225" t="str">
        <f t="shared" si="3"/>
        <v>2025_2011</v>
      </c>
      <c r="E575" s="1231">
        <v>6.5078107770874E-2</v>
      </c>
      <c r="F575" s="1288">
        <v>1.4368868675147899E-2</v>
      </c>
      <c r="G575" s="1306">
        <v>2.4139125466010498E-2</v>
      </c>
      <c r="H575" s="1303">
        <v>0.356911650334305</v>
      </c>
      <c r="I575" s="1288">
        <v>0.43992415225926601</v>
      </c>
      <c r="J575" s="1306">
        <v>0.760930151190925</v>
      </c>
      <c r="K575" s="1303">
        <v>6.4420211754615403E-3</v>
      </c>
      <c r="L575" s="1288">
        <v>2.7493198996008799E-4</v>
      </c>
      <c r="M575" s="1306">
        <v>2.1455209031804901E-4</v>
      </c>
      <c r="N575" s="1303">
        <v>7.7172892241465204E-3</v>
      </c>
      <c r="O575" s="1288">
        <v>3.0000008598028201E-3</v>
      </c>
      <c r="P575" s="1288">
        <v>8.3358074424524E-3</v>
      </c>
      <c r="Q575" s="1306">
        <v>4.2337495475846098E-3</v>
      </c>
      <c r="R575" s="1303">
        <v>3.8500011034136201E-2</v>
      </c>
      <c r="S575" s="1288">
        <v>3.8500011034136201E-2</v>
      </c>
      <c r="T575" s="1288">
        <v>3.8500011034136201E-2</v>
      </c>
      <c r="U575" s="1306">
        <v>1.9250005517068101E-2</v>
      </c>
      <c r="V575" s="1294">
        <v>6.7333007869703103E-3</v>
      </c>
    </row>
    <row r="576" spans="1:22" s="212" customFormat="1" ht="15.5" x14ac:dyDescent="0.35">
      <c r="A576" s="198">
        <v>2025</v>
      </c>
      <c r="B576" s="197" t="s">
        <v>5833</v>
      </c>
      <c r="C576" s="197">
        <v>2012</v>
      </c>
      <c r="D576" s="225" t="str">
        <f t="shared" si="3"/>
        <v>2025_2012</v>
      </c>
      <c r="E576" s="1231">
        <v>8.1202741538812406E-2</v>
      </c>
      <c r="F576" s="1288">
        <v>1.4507564252777E-2</v>
      </c>
      <c r="G576" s="1306">
        <v>2.2845296963884501E-2</v>
      </c>
      <c r="H576" s="1303">
        <v>0.52401251801886495</v>
      </c>
      <c r="I576" s="1288">
        <v>0.41138791530902602</v>
      </c>
      <c r="J576" s="1306">
        <v>0.70937717512391196</v>
      </c>
      <c r="K576" s="1303">
        <v>7.0410997989614399E-3</v>
      </c>
      <c r="L576" s="1288">
        <v>4.0580038260833997E-4</v>
      </c>
      <c r="M576" s="1306">
        <v>2.02347933192258E-4</v>
      </c>
      <c r="N576" s="1303">
        <v>8.7970325642316508E-3</v>
      </c>
      <c r="O576" s="1288">
        <v>3.0000008598028201E-3</v>
      </c>
      <c r="P576" s="1288">
        <v>8.2249125040847904E-3</v>
      </c>
      <c r="Q576" s="1306">
        <v>7.8209757815365794E-3</v>
      </c>
      <c r="R576" s="1303">
        <v>3.8500011034136201E-2</v>
      </c>
      <c r="S576" s="1288">
        <v>3.8500011034136201E-2</v>
      </c>
      <c r="T576" s="1288">
        <v>3.8500011034136201E-2</v>
      </c>
      <c r="U576" s="1306">
        <v>1.9250005517068101E-2</v>
      </c>
      <c r="V576" s="1294">
        <v>7.3594670874528598E-3</v>
      </c>
    </row>
    <row r="577" spans="1:22" s="212" customFormat="1" ht="15.5" x14ac:dyDescent="0.35">
      <c r="A577" s="198">
        <v>2025</v>
      </c>
      <c r="B577" s="197" t="s">
        <v>5833</v>
      </c>
      <c r="C577" s="197">
        <v>2013</v>
      </c>
      <c r="D577" s="225" t="str">
        <f t="shared" si="3"/>
        <v>2025_2013</v>
      </c>
      <c r="E577" s="1231">
        <v>7.0698779320072194E-2</v>
      </c>
      <c r="F577" s="1288">
        <v>1.3153713388162401E-2</v>
      </c>
      <c r="G577" s="1306">
        <v>2.38457527977377E-2</v>
      </c>
      <c r="H577" s="1303">
        <v>0.40191727312044001</v>
      </c>
      <c r="I577" s="1288">
        <v>0.38679945233490098</v>
      </c>
      <c r="J577" s="1306">
        <v>0.75001640814672799</v>
      </c>
      <c r="K577" s="1303">
        <v>7.0600573647168702E-3</v>
      </c>
      <c r="L577" s="1288">
        <v>5.5528392906911098E-4</v>
      </c>
      <c r="M577" s="1306">
        <v>2.11938606721791E-4</v>
      </c>
      <c r="N577" s="1303">
        <v>8.3905913196603808E-3</v>
      </c>
      <c r="O577" s="1288">
        <v>3.0000008598028201E-3</v>
      </c>
      <c r="P577" s="1288">
        <v>8.3928831765067401E-3</v>
      </c>
      <c r="Q577" s="1306">
        <v>3.8946870232350601E-3</v>
      </c>
      <c r="R577" s="1303">
        <v>3.8500011034136201E-2</v>
      </c>
      <c r="S577" s="1288">
        <v>3.8500011034136201E-2</v>
      </c>
      <c r="T577" s="1288">
        <v>3.8500011034136201E-2</v>
      </c>
      <c r="U577" s="1306">
        <v>1.9250005517068101E-2</v>
      </c>
      <c r="V577" s="1294">
        <v>7.3792818302088102E-3</v>
      </c>
    </row>
    <row r="578" spans="1:22" s="212" customFormat="1" ht="15.5" x14ac:dyDescent="0.35">
      <c r="A578" s="198">
        <v>2025</v>
      </c>
      <c r="B578" s="197" t="s">
        <v>5833</v>
      </c>
      <c r="C578" s="197">
        <v>2014</v>
      </c>
      <c r="D578" s="225" t="str">
        <f t="shared" si="3"/>
        <v>2025_2014</v>
      </c>
      <c r="E578" s="1231">
        <v>6.8914049167889305E-2</v>
      </c>
      <c r="F578" s="1288">
        <v>1.2858732626592999E-2</v>
      </c>
      <c r="G578" s="1306">
        <v>2.59899520460221E-2</v>
      </c>
      <c r="H578" s="1303">
        <v>0.40176923599856101</v>
      </c>
      <c r="I578" s="1288">
        <v>0.34808582452440101</v>
      </c>
      <c r="J578" s="1306">
        <v>0.83604618222580096</v>
      </c>
      <c r="K578" s="1303">
        <v>6.5755152121117497E-3</v>
      </c>
      <c r="L578" s="1288">
        <v>7.5183983044101296E-4</v>
      </c>
      <c r="M578" s="1306">
        <v>2.33251727747713E-4</v>
      </c>
      <c r="N578" s="1303">
        <v>7.8950521224942904E-3</v>
      </c>
      <c r="O578" s="1288">
        <v>3.0000008598028201E-3</v>
      </c>
      <c r="P578" s="1288">
        <v>8.8280970812257397E-3</v>
      </c>
      <c r="Q578" s="1306">
        <v>8.3610738541171504E-3</v>
      </c>
      <c r="R578" s="1303">
        <v>3.8500011034136201E-2</v>
      </c>
      <c r="S578" s="1288">
        <v>3.8500011034136201E-2</v>
      </c>
      <c r="T578" s="1288">
        <v>3.8500011034136201E-2</v>
      </c>
      <c r="U578" s="1306">
        <v>1.9250005517068101E-2</v>
      </c>
      <c r="V578" s="1294">
        <v>6.8728308315868297E-3</v>
      </c>
    </row>
    <row r="579" spans="1:22" s="212" customFormat="1" ht="15.5" x14ac:dyDescent="0.35">
      <c r="A579" s="198">
        <v>2025</v>
      </c>
      <c r="B579" s="197" t="s">
        <v>5833</v>
      </c>
      <c r="C579" s="197">
        <v>2015</v>
      </c>
      <c r="D579" s="225" t="str">
        <f t="shared" si="3"/>
        <v>2025_2015</v>
      </c>
      <c r="E579" s="1231">
        <v>6.9561360288836901E-2</v>
      </c>
      <c r="F579" s="1288">
        <v>1.11138148551434E-2</v>
      </c>
      <c r="G579" s="1306">
        <v>2.4078686655771901E-2</v>
      </c>
      <c r="H579" s="1303">
        <v>0.40069924060985401</v>
      </c>
      <c r="I579" s="1288">
        <v>0.21227404763145299</v>
      </c>
      <c r="J579" s="1306">
        <v>0.73348204140826301</v>
      </c>
      <c r="K579" s="1303">
        <v>6.7599868885873096E-3</v>
      </c>
      <c r="L579" s="1288">
        <v>1.02210338044407E-3</v>
      </c>
      <c r="M579" s="1306">
        <v>4.1383182970305998E-4</v>
      </c>
      <c r="N579" s="1303">
        <v>8.08963182934949E-3</v>
      </c>
      <c r="O579" s="1288">
        <v>2.5488370124136799E-3</v>
      </c>
      <c r="P579" s="1288">
        <v>7.6554203626222998E-3</v>
      </c>
      <c r="Q579" s="1306">
        <v>7.0764407049211204E-3</v>
      </c>
      <c r="R579" s="1303">
        <v>3.8481888326502497E-2</v>
      </c>
      <c r="S579" s="1288">
        <v>3.54997714489984E-2</v>
      </c>
      <c r="T579" s="1288">
        <v>3.84036317540861E-2</v>
      </c>
      <c r="U579" s="1306">
        <v>1.9167935893848399E-2</v>
      </c>
      <c r="V579" s="1294">
        <v>7.0656434986916799E-3</v>
      </c>
    </row>
    <row r="580" spans="1:22" s="212" customFormat="1" ht="15.5" x14ac:dyDescent="0.35">
      <c r="A580" s="198">
        <v>2025</v>
      </c>
      <c r="B580" s="197" t="s">
        <v>5833</v>
      </c>
      <c r="C580" s="197">
        <v>2016</v>
      </c>
      <c r="D580" s="225" t="str">
        <f t="shared" si="3"/>
        <v>2025_2016</v>
      </c>
      <c r="E580" s="1231">
        <v>6.8824209302773304E-2</v>
      </c>
      <c r="F580" s="1288">
        <v>5.7660881488955304E-3</v>
      </c>
      <c r="G580" s="1306">
        <v>2.68235392341361E-2</v>
      </c>
      <c r="H580" s="1303">
        <v>0.38458472670985899</v>
      </c>
      <c r="I580" s="1288">
        <v>9.8458465717752505E-2</v>
      </c>
      <c r="J580" s="1306">
        <v>0.845441339495141</v>
      </c>
      <c r="K580" s="1303">
        <v>6.9442103744454401E-3</v>
      </c>
      <c r="L580" s="1288">
        <v>9.8516439669036693E-4</v>
      </c>
      <c r="M580" s="1306">
        <v>3.8175888479892298E-4</v>
      </c>
      <c r="N580" s="1303">
        <v>8.2117804972583908E-3</v>
      </c>
      <c r="O580" s="1288">
        <v>2.2085237200317599E-3</v>
      </c>
      <c r="P580" s="1288">
        <v>8.4738214777924908E-3</v>
      </c>
      <c r="Q580" s="1306">
        <v>7.95695856579187E-3</v>
      </c>
      <c r="R580" s="1303">
        <v>3.84958616135E-2</v>
      </c>
      <c r="S580" s="1288">
        <v>3.3236688054658702E-2</v>
      </c>
      <c r="T580" s="1288">
        <v>3.8449978524626803E-2</v>
      </c>
      <c r="U580" s="1306">
        <v>1.9243523638359E-2</v>
      </c>
      <c r="V580" s="1294">
        <v>7.2581967531006996E-3</v>
      </c>
    </row>
    <row r="581" spans="1:22" s="212" customFormat="1" ht="15.5" x14ac:dyDescent="0.35">
      <c r="A581" s="198">
        <v>2025</v>
      </c>
      <c r="B581" s="197" t="s">
        <v>5833</v>
      </c>
      <c r="C581" s="197">
        <v>2017</v>
      </c>
      <c r="D581" s="225" t="str">
        <f t="shared" si="3"/>
        <v>2025_2017</v>
      </c>
      <c r="E581" s="1231">
        <v>6.5919495943943293E-2</v>
      </c>
      <c r="F581" s="1288">
        <v>1.07993663337139E-2</v>
      </c>
      <c r="G581" s="1306">
        <v>2.23920291754745E-2</v>
      </c>
      <c r="H581" s="1303">
        <v>0.363680427643987</v>
      </c>
      <c r="I581" s="1288">
        <v>0.170465252832741</v>
      </c>
      <c r="J581" s="1306">
        <v>0.51839902933684401</v>
      </c>
      <c r="K581" s="1303">
        <v>6.5650223385469702E-3</v>
      </c>
      <c r="L581" s="1288">
        <v>1.2711742411224099E-3</v>
      </c>
      <c r="M581" s="1306">
        <v>1.55806464066964E-3</v>
      </c>
      <c r="N581" s="1303">
        <v>7.8255510763968906E-3</v>
      </c>
      <c r="O581" s="1288">
        <v>2.4876782578978599E-3</v>
      </c>
      <c r="P581" s="1288">
        <v>6.84590347907488E-3</v>
      </c>
      <c r="Q581" s="1306">
        <v>8.0174328048109502E-3</v>
      </c>
      <c r="R581" s="1303">
        <v>3.8498015894693802E-2</v>
      </c>
      <c r="S581" s="1288">
        <v>3.5093065731468198E-2</v>
      </c>
      <c r="T581" s="1288">
        <v>3.7696008183240898E-2</v>
      </c>
      <c r="U581" s="1306">
        <v>1.90904064375991E-2</v>
      </c>
      <c r="V581" s="1294">
        <v>6.8618635168408897E-3</v>
      </c>
    </row>
    <row r="582" spans="1:22" s="212" customFormat="1" ht="15.5" x14ac:dyDescent="0.35">
      <c r="A582" s="198">
        <v>2025</v>
      </c>
      <c r="B582" s="197" t="s">
        <v>5833</v>
      </c>
      <c r="C582" s="197">
        <v>2018</v>
      </c>
      <c r="D582" s="225" t="str">
        <f t="shared" si="3"/>
        <v>2025_2018</v>
      </c>
      <c r="E582" s="1231">
        <v>6.9070079629190803E-2</v>
      </c>
      <c r="F582" s="1288">
        <v>9.1727774422080393E-3</v>
      </c>
      <c r="G582" s="1306">
        <v>5.5270131965987901E-2</v>
      </c>
      <c r="H582" s="1303">
        <v>0.38517337175386801</v>
      </c>
      <c r="I582" s="1288">
        <v>0.153936681497022</v>
      </c>
      <c r="J582" s="1306">
        <v>0.11692287152356599</v>
      </c>
      <c r="K582" s="1303">
        <v>6.9982057909783596E-3</v>
      </c>
      <c r="L582" s="1288">
        <v>1.24456793286059E-3</v>
      </c>
      <c r="M582" s="1306">
        <v>1.48267658562678E-3</v>
      </c>
      <c r="N582" s="1303">
        <v>8.2482763103661604E-3</v>
      </c>
      <c r="O582" s="1288">
        <v>2.4788674284457598E-3</v>
      </c>
      <c r="P582" s="1288">
        <v>7.1518389140904403E-3</v>
      </c>
      <c r="Q582" s="1306">
        <v>7.9389976672573793E-3</v>
      </c>
      <c r="R582" s="1303">
        <v>3.8487927441084202E-2</v>
      </c>
      <c r="S582" s="1288">
        <v>3.5034473715611698E-2</v>
      </c>
      <c r="T582" s="1288">
        <v>3.7881050835453497E-2</v>
      </c>
      <c r="U582" s="1306">
        <v>1.9240847680182201E-2</v>
      </c>
      <c r="V582" s="1294">
        <v>7.3146336027681298E-3</v>
      </c>
    </row>
    <row r="583" spans="1:22" s="212" customFormat="1" ht="15.5" x14ac:dyDescent="0.35">
      <c r="A583" s="198">
        <v>2025</v>
      </c>
      <c r="B583" s="197" t="s">
        <v>5833</v>
      </c>
      <c r="C583" s="197">
        <v>2019</v>
      </c>
      <c r="D583" s="225" t="str">
        <f t="shared" si="3"/>
        <v>2025_2019</v>
      </c>
      <c r="E583" s="1231">
        <v>7.1729522033828499E-2</v>
      </c>
      <c r="F583" s="1288">
        <v>7.5244643804225101E-3</v>
      </c>
      <c r="G583" s="1306">
        <v>5.2557051774223602E-2</v>
      </c>
      <c r="H583" s="1303">
        <v>0.40460276184236998</v>
      </c>
      <c r="I583" s="1288">
        <v>8.9804027084590898E-2</v>
      </c>
      <c r="J583" s="1306">
        <v>0.10943240796824601</v>
      </c>
      <c r="K583" s="1303">
        <v>7.31299661539812E-3</v>
      </c>
      <c r="L583" s="1288">
        <v>1.2595904075109699E-3</v>
      </c>
      <c r="M583" s="1306">
        <v>8.4289126097345304E-4</v>
      </c>
      <c r="N583" s="1303">
        <v>8.5784756094915704E-3</v>
      </c>
      <c r="O583" s="1288">
        <v>2.2678037618185801E-3</v>
      </c>
      <c r="P583" s="1288">
        <v>6.9472013974099999E-3</v>
      </c>
      <c r="Q583" s="1306">
        <v>6.5198277035009699E-3</v>
      </c>
      <c r="R583" s="1303">
        <v>3.8479142353279497E-2</v>
      </c>
      <c r="S583" s="1288">
        <v>3.3630900332541E-2</v>
      </c>
      <c r="T583" s="1288">
        <v>3.8313426153581E-2</v>
      </c>
      <c r="U583" s="1306">
        <v>1.91759402311482E-2</v>
      </c>
      <c r="V583" s="1294">
        <v>7.64365787140455E-3</v>
      </c>
    </row>
    <row r="584" spans="1:22" s="212" customFormat="1" ht="15.5" x14ac:dyDescent="0.35">
      <c r="A584" s="198">
        <v>2025</v>
      </c>
      <c r="B584" s="197" t="s">
        <v>5833</v>
      </c>
      <c r="C584" s="197">
        <v>2020</v>
      </c>
      <c r="D584" s="225" t="str">
        <f t="shared" si="3"/>
        <v>2025_2020</v>
      </c>
      <c r="E584" s="1231">
        <v>7.0051079964614002E-2</v>
      </c>
      <c r="F584" s="1288">
        <v>1.10761928966023E-2</v>
      </c>
      <c r="G584" s="1306">
        <v>6.2801469718104699E-2</v>
      </c>
      <c r="H584" s="1303">
        <v>0.37993077122084201</v>
      </c>
      <c r="I584" s="1288">
        <v>0.151077466245499</v>
      </c>
      <c r="J584" s="1306">
        <v>0.110370685663802</v>
      </c>
      <c r="K584" s="1303">
        <v>7.3519483955674196E-3</v>
      </c>
      <c r="L584" s="1288">
        <v>1.42907959990389E-3</v>
      </c>
      <c r="M584" s="1306">
        <v>5.4040344757148699E-4</v>
      </c>
      <c r="N584" s="1303">
        <v>7.9833333791551695E-3</v>
      </c>
      <c r="O584" s="1288">
        <v>2.5564819342454299E-3</v>
      </c>
      <c r="P584" s="1288">
        <v>8.4038559383648494E-3</v>
      </c>
      <c r="Q584" s="1280">
        <v>7.9833333791551695E-3</v>
      </c>
      <c r="R584" s="1303">
        <v>3.8201433945546703E-2</v>
      </c>
      <c r="S584" s="1288">
        <v>3.5550610179179501E-2</v>
      </c>
      <c r="T584" s="1288">
        <v>3.84339654728112E-2</v>
      </c>
      <c r="U584" s="1280">
        <v>1.9100716972773352E-2</v>
      </c>
      <c r="V584" s="1294">
        <v>7.6843708782271501E-3</v>
      </c>
    </row>
    <row r="585" spans="1:22" s="212" customFormat="1" ht="15.5" x14ac:dyDescent="0.35">
      <c r="A585" s="198">
        <v>2025</v>
      </c>
      <c r="B585" s="197" t="s">
        <v>5833</v>
      </c>
      <c r="C585" s="197">
        <v>2021</v>
      </c>
      <c r="D585" s="225" t="str">
        <f t="shared" si="3"/>
        <v>2025_2021</v>
      </c>
      <c r="E585" s="1231">
        <v>4.6981325121526599E-2</v>
      </c>
      <c r="F585" s="1288">
        <v>9.0977452417516508E-3</v>
      </c>
      <c r="G585" s="1306">
        <v>6.1638736099442502E-2</v>
      </c>
      <c r="H585" s="1303">
        <v>0.224429607598464</v>
      </c>
      <c r="I585" s="1288">
        <v>0.123476767962623</v>
      </c>
      <c r="J585" s="1306">
        <v>0.109360811557284</v>
      </c>
      <c r="K585" s="1303">
        <v>4.1223738149468803E-3</v>
      </c>
      <c r="L585" s="1288">
        <v>1.29435926173293E-3</v>
      </c>
      <c r="M585" s="1306">
        <v>4.88588629218374E-4</v>
      </c>
      <c r="N585" s="1303">
        <v>5.2005573391863203E-3</v>
      </c>
      <c r="O585" s="1288">
        <v>2.4976610123983601E-3</v>
      </c>
      <c r="P585" s="1288">
        <v>8.0760966133595798E-3</v>
      </c>
      <c r="Q585" s="1280">
        <v>5.2005573391863203E-3</v>
      </c>
      <c r="R585" s="1303">
        <v>3.8454039666674697E-2</v>
      </c>
      <c r="S585" s="1288">
        <v>3.5159451048896499E-2</v>
      </c>
      <c r="T585" s="1288">
        <v>3.8444897841275902E-2</v>
      </c>
      <c r="U585" s="1280">
        <v>1.9227019833337348E-2</v>
      </c>
      <c r="V585" s="1294">
        <v>4.3087692660959001E-3</v>
      </c>
    </row>
    <row r="586" spans="1:22" s="212" customFormat="1" ht="15.5" x14ac:dyDescent="0.35">
      <c r="A586" s="198">
        <v>2025</v>
      </c>
      <c r="B586" s="197" t="s">
        <v>5833</v>
      </c>
      <c r="C586" s="197">
        <v>2022</v>
      </c>
      <c r="D586" s="225" t="str">
        <f t="shared" si="3"/>
        <v>2025_2022</v>
      </c>
      <c r="E586" s="1231">
        <v>5.22217741304618E-2</v>
      </c>
      <c r="F586" s="1288">
        <v>1.1803793076744E-2</v>
      </c>
      <c r="G586" s="1306">
        <v>6.4209320172911394E-2</v>
      </c>
      <c r="H586" s="1303">
        <v>0.258198850985629</v>
      </c>
      <c r="I586" s="1288">
        <v>0.14865281378407499</v>
      </c>
      <c r="J586" s="1306">
        <v>0.128972510907952</v>
      </c>
      <c r="K586" s="1303">
        <v>4.8105733032277097E-3</v>
      </c>
      <c r="L586" s="1288">
        <v>1.3755139917473701E-3</v>
      </c>
      <c r="M586" s="1306">
        <v>5.0910839344352795E-4</v>
      </c>
      <c r="N586" s="1303">
        <v>5.8291303326976603E-3</v>
      </c>
      <c r="O586" s="1288">
        <v>2.7293186313072002E-3</v>
      </c>
      <c r="P586" s="1288">
        <v>8.5023565942144597E-3</v>
      </c>
      <c r="Q586" s="1280">
        <v>5.8291303326976603E-3</v>
      </c>
      <c r="R586" s="1303">
        <v>3.8389620268812E-2</v>
      </c>
      <c r="S586" s="1288">
        <v>3.6699974214640302E-2</v>
      </c>
      <c r="T586" s="1288">
        <v>3.8456708920411802E-2</v>
      </c>
      <c r="U586" s="1280">
        <v>1.9194810134406E-2</v>
      </c>
      <c r="V586" s="1294">
        <v>5.0280860813967801E-3</v>
      </c>
    </row>
    <row r="587" spans="1:22" s="212" customFormat="1" ht="15.5" x14ac:dyDescent="0.35">
      <c r="A587" s="198">
        <v>2025</v>
      </c>
      <c r="B587" s="197" t="s">
        <v>5833</v>
      </c>
      <c r="C587" s="197">
        <v>2023</v>
      </c>
      <c r="D587" s="225" t="str">
        <f t="shared" si="3"/>
        <v>2025_2023</v>
      </c>
      <c r="E587" s="1231">
        <v>5.8796132968005399E-2</v>
      </c>
      <c r="F587" s="1288">
        <v>1.09752348895794E-2</v>
      </c>
      <c r="G587" s="1306">
        <v>6.17023033766722E-2</v>
      </c>
      <c r="H587" s="1303">
        <v>0.309057419717713</v>
      </c>
      <c r="I587" s="1288">
        <v>0.12536271535645199</v>
      </c>
      <c r="J587" s="1306">
        <v>9.6691548774324204E-2</v>
      </c>
      <c r="K587" s="1303">
        <v>5.6541777126637204E-3</v>
      </c>
      <c r="L587" s="1288">
        <v>1.3322993094503101E-3</v>
      </c>
      <c r="M587" s="1306">
        <v>3.9605239031166898E-4</v>
      </c>
      <c r="N587" s="1303">
        <v>6.8182408144928201E-3</v>
      </c>
      <c r="O587" s="1288">
        <v>2.6749741936355101E-3</v>
      </c>
      <c r="P587" s="1288">
        <v>8.3641682443387402E-3</v>
      </c>
      <c r="Q587" s="1280">
        <v>6.8182408144928201E-3</v>
      </c>
      <c r="R587" s="1303">
        <v>3.8454647584275803E-2</v>
      </c>
      <c r="S587" s="1288">
        <v>3.63385837041236E-2</v>
      </c>
      <c r="T587" s="1288">
        <v>3.8474991909915601E-2</v>
      </c>
      <c r="U587" s="1280">
        <v>1.9227323792137901E-2</v>
      </c>
      <c r="V587" s="1294">
        <v>5.9098345387883699E-3</v>
      </c>
    </row>
    <row r="588" spans="1:22" s="212" customFormat="1" ht="15.5" x14ac:dyDescent="0.35">
      <c r="A588" s="198">
        <v>2025</v>
      </c>
      <c r="B588" s="197" t="s">
        <v>5833</v>
      </c>
      <c r="C588" s="197">
        <v>2024</v>
      </c>
      <c r="D588" s="225" t="str">
        <f t="shared" si="3"/>
        <v>2025_2024</v>
      </c>
      <c r="E588" s="1231">
        <v>5.7968429516989502E-2</v>
      </c>
      <c r="F588" s="1288">
        <v>8.0212074375358104E-3</v>
      </c>
      <c r="G588" s="1306">
        <v>5.8288701887915198E-2</v>
      </c>
      <c r="H588" s="1303">
        <v>0.298391547913889</v>
      </c>
      <c r="I588" s="1288">
        <v>7.1195248047784196E-2</v>
      </c>
      <c r="J588" s="1306">
        <v>9.3548057127045503E-2</v>
      </c>
      <c r="K588" s="1303">
        <v>5.5269210575253401E-3</v>
      </c>
      <c r="L588" s="1288">
        <v>1.2926621393688201E-3</v>
      </c>
      <c r="M588" s="1306">
        <v>5.25666228605752E-4</v>
      </c>
      <c r="N588" s="1303">
        <v>6.6054609126383699E-3</v>
      </c>
      <c r="O588" s="1288">
        <v>2.36481062436465E-3</v>
      </c>
      <c r="P588" s="1288">
        <v>7.71344797619664E-3</v>
      </c>
      <c r="Q588" s="1306">
        <v>8.4690603859683099E-3</v>
      </c>
      <c r="R588" s="1303">
        <v>3.8367401713422698E-2</v>
      </c>
      <c r="S588" s="1288">
        <v>3.4275995968472299E-2</v>
      </c>
      <c r="T588" s="1288">
        <v>3.8318014894511698E-2</v>
      </c>
      <c r="U588" s="1306">
        <v>1.9250005517068101E-2</v>
      </c>
      <c r="V588" s="1294">
        <v>5.7768239023976804E-3</v>
      </c>
    </row>
    <row r="589" spans="1:22" s="212" customFormat="1" ht="15.5" x14ac:dyDescent="0.35">
      <c r="A589" s="198">
        <v>2025</v>
      </c>
      <c r="B589" s="197" t="s">
        <v>5833</v>
      </c>
      <c r="C589" s="197">
        <v>2025</v>
      </c>
      <c r="D589" s="225" t="str">
        <f t="shared" si="3"/>
        <v>2025_2025</v>
      </c>
      <c r="E589" s="1231">
        <v>6.6671375250414097E-2</v>
      </c>
      <c r="F589" s="1288">
        <v>8.0909846461737003E-3</v>
      </c>
      <c r="G589" s="1306">
        <v>5.4753576900443898E-2</v>
      </c>
      <c r="H589" s="1303">
        <v>0.36229314059425999</v>
      </c>
      <c r="I589" s="1288">
        <v>5.2084711205954801E-2</v>
      </c>
      <c r="J589" s="1306">
        <v>8.6605637204353797E-2</v>
      </c>
      <c r="K589" s="1303">
        <v>6.64336807339412E-3</v>
      </c>
      <c r="L589" s="1288">
        <v>1.3457913322661799E-3</v>
      </c>
      <c r="M589" s="1306">
        <v>4.2854695862900102E-4</v>
      </c>
      <c r="N589" s="1303">
        <v>7.8252844597192592E-3</v>
      </c>
      <c r="O589" s="1288">
        <v>2.2897841947133899E-3</v>
      </c>
      <c r="P589" s="1288">
        <v>7.2329655940149597E-3</v>
      </c>
      <c r="Q589" s="1306">
        <v>8.12190024590086E-3</v>
      </c>
      <c r="R589" s="1303">
        <v>3.83901922330784E-2</v>
      </c>
      <c r="S589" s="1288">
        <v>3.3777070211291498E-2</v>
      </c>
      <c r="T589" s="1288">
        <v>3.8395805477708898E-2</v>
      </c>
      <c r="U589" s="1306">
        <v>1.9250005517068101E-2</v>
      </c>
      <c r="V589" s="1294">
        <v>6.9437516981637904E-3</v>
      </c>
    </row>
    <row r="590" spans="1:22" s="212" customFormat="1" ht="15.5" x14ac:dyDescent="0.35">
      <c r="A590" s="198">
        <v>2025</v>
      </c>
      <c r="B590" s="197" t="s">
        <v>5833</v>
      </c>
      <c r="C590" s="197">
        <v>2026</v>
      </c>
      <c r="D590" s="225" t="str">
        <f t="shared" si="3"/>
        <v>2025_2026</v>
      </c>
      <c r="E590" s="1226">
        <v>6.6671375250414097E-2</v>
      </c>
      <c r="F590" s="1257">
        <v>8.0909846461737003E-3</v>
      </c>
      <c r="G590" s="1280">
        <v>5.4753576900443898E-2</v>
      </c>
      <c r="H590" s="1271">
        <v>0.36229314059425999</v>
      </c>
      <c r="I590" s="1257">
        <v>5.2084711205954801E-2</v>
      </c>
      <c r="J590" s="1280">
        <v>8.6605637204353797E-2</v>
      </c>
      <c r="K590" s="1271">
        <v>6.64336807339412E-3</v>
      </c>
      <c r="L590" s="1257">
        <v>1.3457913322661799E-3</v>
      </c>
      <c r="M590" s="1280">
        <v>4.2854695862900102E-4</v>
      </c>
      <c r="N590" s="1271">
        <v>7.8252844597192592E-3</v>
      </c>
      <c r="O590" s="1257">
        <v>2.2897841947133899E-3</v>
      </c>
      <c r="P590" s="1257">
        <v>7.2329655940149597E-3</v>
      </c>
      <c r="Q590" s="1280">
        <v>8.12190024590086E-3</v>
      </c>
      <c r="R590" s="1271">
        <v>3.83901922330784E-2</v>
      </c>
      <c r="S590" s="1257">
        <v>3.3777070211291498E-2</v>
      </c>
      <c r="T590" s="1257">
        <v>3.8395805477708898E-2</v>
      </c>
      <c r="U590" s="1280">
        <v>1.9250005517068101E-2</v>
      </c>
      <c r="V590" s="1293">
        <v>6.9437516981637904E-3</v>
      </c>
    </row>
    <row r="591" spans="1:22" s="212" customFormat="1" ht="15.5" x14ac:dyDescent="0.35">
      <c r="A591" s="198">
        <v>2026</v>
      </c>
      <c r="B591" s="197" t="s">
        <v>5833</v>
      </c>
      <c r="C591" s="197">
        <v>1971</v>
      </c>
      <c r="D591" s="225" t="str">
        <f t="shared" si="3"/>
        <v>2026_1971</v>
      </c>
      <c r="E591" s="1226">
        <v>8.1202741526550298E-2</v>
      </c>
      <c r="F591" s="1257">
        <v>1.45075641770968E-2</v>
      </c>
      <c r="G591" s="1280">
        <v>2.28452026956283E-2</v>
      </c>
      <c r="H591" s="1271">
        <v>0.52401251788876901</v>
      </c>
      <c r="I591" s="1257">
        <v>0.44332370951588401</v>
      </c>
      <c r="J591" s="1280">
        <v>0.70937360380433501</v>
      </c>
      <c r="K591" s="1271">
        <v>7.0410998013689403E-3</v>
      </c>
      <c r="L591" s="1257">
        <v>4.0580038050120698E-4</v>
      </c>
      <c r="M591" s="1280">
        <v>2.02347048062045E-4</v>
      </c>
      <c r="N591" s="1271">
        <v>8.7970325642316508E-3</v>
      </c>
      <c r="O591" s="1257">
        <v>3.0000008598028201E-3</v>
      </c>
      <c r="P591" s="1257">
        <v>8.2249125040847904E-3</v>
      </c>
      <c r="Q591" s="1280">
        <v>8.7970325642316508E-3</v>
      </c>
      <c r="R591" s="1271">
        <v>3.8500011034136201E-2</v>
      </c>
      <c r="S591" s="1257">
        <v>3.8500011034136201E-2</v>
      </c>
      <c r="T591" s="1257">
        <v>3.8500011034136201E-2</v>
      </c>
      <c r="U591" s="1280">
        <v>1.9250005517068101E-2</v>
      </c>
      <c r="V591" s="1293">
        <v>7.3594670899692098E-3</v>
      </c>
    </row>
    <row r="592" spans="1:22" s="212" customFormat="1" ht="15.5" x14ac:dyDescent="0.35">
      <c r="A592" s="198">
        <v>2026</v>
      </c>
      <c r="B592" s="197" t="s">
        <v>5833</v>
      </c>
      <c r="C592" s="197">
        <v>1972</v>
      </c>
      <c r="D592" s="225" t="str">
        <f t="shared" si="3"/>
        <v>2026_1972</v>
      </c>
      <c r="E592" s="1226">
        <v>8.1202741526550298E-2</v>
      </c>
      <c r="F592" s="1257">
        <v>1.45075641770968E-2</v>
      </c>
      <c r="G592" s="1280">
        <v>2.28452026956283E-2</v>
      </c>
      <c r="H592" s="1271">
        <v>0.52401251788876901</v>
      </c>
      <c r="I592" s="1257">
        <v>0.44332370951588401</v>
      </c>
      <c r="J592" s="1280">
        <v>0.70937360380433501</v>
      </c>
      <c r="K592" s="1271">
        <v>7.0410998013689403E-3</v>
      </c>
      <c r="L592" s="1257">
        <v>4.0580038050120698E-4</v>
      </c>
      <c r="M592" s="1280">
        <v>2.02347048062045E-4</v>
      </c>
      <c r="N592" s="1271">
        <v>8.7970325642316508E-3</v>
      </c>
      <c r="O592" s="1257">
        <v>3.0000008598028201E-3</v>
      </c>
      <c r="P592" s="1257">
        <v>8.2249125040847904E-3</v>
      </c>
      <c r="Q592" s="1280">
        <v>8.7970325642316508E-3</v>
      </c>
      <c r="R592" s="1271">
        <v>3.8500011034136201E-2</v>
      </c>
      <c r="S592" s="1257">
        <v>3.8500011034136201E-2</v>
      </c>
      <c r="T592" s="1257">
        <v>3.8500011034136201E-2</v>
      </c>
      <c r="U592" s="1280">
        <v>1.9250005517068101E-2</v>
      </c>
      <c r="V592" s="1293">
        <v>7.3594670899692098E-3</v>
      </c>
    </row>
    <row r="593" spans="1:22" s="212" customFormat="1" ht="15.5" x14ac:dyDescent="0.35">
      <c r="A593" s="198">
        <v>2026</v>
      </c>
      <c r="B593" s="197" t="s">
        <v>5833</v>
      </c>
      <c r="C593" s="197">
        <v>1973</v>
      </c>
      <c r="D593" s="225" t="str">
        <f t="shared" si="3"/>
        <v>2026_1973</v>
      </c>
      <c r="E593" s="1226">
        <v>8.1202741526550298E-2</v>
      </c>
      <c r="F593" s="1257">
        <v>1.45075641770968E-2</v>
      </c>
      <c r="G593" s="1280">
        <v>2.28452026956283E-2</v>
      </c>
      <c r="H593" s="1271">
        <v>0.52401251788876901</v>
      </c>
      <c r="I593" s="1257">
        <v>0.44332370951588401</v>
      </c>
      <c r="J593" s="1280">
        <v>0.70937360380433501</v>
      </c>
      <c r="K593" s="1271">
        <v>7.0410998013689403E-3</v>
      </c>
      <c r="L593" s="1257">
        <v>4.0580038050120698E-4</v>
      </c>
      <c r="M593" s="1280">
        <v>2.02347048062045E-4</v>
      </c>
      <c r="N593" s="1271">
        <v>8.7970325642316508E-3</v>
      </c>
      <c r="O593" s="1257">
        <v>3.0000008598028201E-3</v>
      </c>
      <c r="P593" s="1257">
        <v>8.2249125040847904E-3</v>
      </c>
      <c r="Q593" s="1280">
        <v>8.7970325642316508E-3</v>
      </c>
      <c r="R593" s="1271">
        <v>3.8500011034136201E-2</v>
      </c>
      <c r="S593" s="1257">
        <v>3.8500011034136201E-2</v>
      </c>
      <c r="T593" s="1257">
        <v>3.8500011034136201E-2</v>
      </c>
      <c r="U593" s="1280">
        <v>1.9250005517068101E-2</v>
      </c>
      <c r="V593" s="1293">
        <v>7.3594670899692098E-3</v>
      </c>
    </row>
    <row r="594" spans="1:22" s="212" customFormat="1" ht="15.5" x14ac:dyDescent="0.35">
      <c r="A594" s="198">
        <v>2026</v>
      </c>
      <c r="B594" s="197" t="s">
        <v>5833</v>
      </c>
      <c r="C594" s="197">
        <v>1974</v>
      </c>
      <c r="D594" s="225" t="str">
        <f t="shared" si="3"/>
        <v>2026_1974</v>
      </c>
      <c r="E594" s="1226">
        <v>8.1202741526550298E-2</v>
      </c>
      <c r="F594" s="1257">
        <v>1.45075641770968E-2</v>
      </c>
      <c r="G594" s="1280">
        <v>2.28452026956283E-2</v>
      </c>
      <c r="H594" s="1271">
        <v>0.52401251788876901</v>
      </c>
      <c r="I594" s="1257">
        <v>0.44332370951588401</v>
      </c>
      <c r="J594" s="1280">
        <v>0.70937360380433501</v>
      </c>
      <c r="K594" s="1271">
        <v>7.0410998013689403E-3</v>
      </c>
      <c r="L594" s="1257">
        <v>4.0580038050120698E-4</v>
      </c>
      <c r="M594" s="1280">
        <v>2.02347048062045E-4</v>
      </c>
      <c r="N594" s="1271">
        <v>8.7970325642316508E-3</v>
      </c>
      <c r="O594" s="1257">
        <v>3.0000008598028201E-3</v>
      </c>
      <c r="P594" s="1257">
        <v>8.2249125040847904E-3</v>
      </c>
      <c r="Q594" s="1280">
        <v>8.7970325642316508E-3</v>
      </c>
      <c r="R594" s="1271">
        <v>3.8500011034136201E-2</v>
      </c>
      <c r="S594" s="1257">
        <v>3.8500011034136201E-2</v>
      </c>
      <c r="T594" s="1257">
        <v>3.8500011034136201E-2</v>
      </c>
      <c r="U594" s="1280">
        <v>1.9250005517068101E-2</v>
      </c>
      <c r="V594" s="1293">
        <v>7.3594670899692098E-3</v>
      </c>
    </row>
    <row r="595" spans="1:22" s="212" customFormat="1" ht="15.5" x14ac:dyDescent="0.35">
      <c r="A595" s="198">
        <v>2026</v>
      </c>
      <c r="B595" s="197" t="s">
        <v>5833</v>
      </c>
      <c r="C595" s="197">
        <v>1975</v>
      </c>
      <c r="D595" s="225" t="str">
        <f t="shared" si="3"/>
        <v>2026_1975</v>
      </c>
      <c r="E595" s="1226">
        <v>8.1202741526550298E-2</v>
      </c>
      <c r="F595" s="1257">
        <v>1.45075641770968E-2</v>
      </c>
      <c r="G595" s="1280">
        <v>2.28452026956283E-2</v>
      </c>
      <c r="H595" s="1271">
        <v>0.52401251788876901</v>
      </c>
      <c r="I595" s="1257">
        <v>0.44332370951588401</v>
      </c>
      <c r="J595" s="1280">
        <v>0.70937360380433501</v>
      </c>
      <c r="K595" s="1271">
        <v>7.0410998013689403E-3</v>
      </c>
      <c r="L595" s="1257">
        <v>4.0580038050120698E-4</v>
      </c>
      <c r="M595" s="1280">
        <v>2.02347048062045E-4</v>
      </c>
      <c r="N595" s="1271">
        <v>8.7970325642316508E-3</v>
      </c>
      <c r="O595" s="1257">
        <v>3.0000008598028201E-3</v>
      </c>
      <c r="P595" s="1257">
        <v>8.2249125040847904E-3</v>
      </c>
      <c r="Q595" s="1280">
        <v>8.7970325642316508E-3</v>
      </c>
      <c r="R595" s="1271">
        <v>3.8500011034136201E-2</v>
      </c>
      <c r="S595" s="1257">
        <v>3.8500011034136201E-2</v>
      </c>
      <c r="T595" s="1257">
        <v>3.8500011034136201E-2</v>
      </c>
      <c r="U595" s="1280">
        <v>1.9250005517068101E-2</v>
      </c>
      <c r="V595" s="1293">
        <v>7.3594670899692098E-3</v>
      </c>
    </row>
    <row r="596" spans="1:22" s="212" customFormat="1" ht="15.5" x14ac:dyDescent="0.35">
      <c r="A596" s="198">
        <v>2026</v>
      </c>
      <c r="B596" s="197" t="s">
        <v>5833</v>
      </c>
      <c r="C596" s="197">
        <v>1976</v>
      </c>
      <c r="D596" s="225" t="str">
        <f t="shared" si="3"/>
        <v>2026_1976</v>
      </c>
      <c r="E596" s="1226">
        <v>8.1202741526550298E-2</v>
      </c>
      <c r="F596" s="1257">
        <v>1.45075641770968E-2</v>
      </c>
      <c r="G596" s="1280">
        <v>2.28452026956283E-2</v>
      </c>
      <c r="H596" s="1271">
        <v>0.52401251788876901</v>
      </c>
      <c r="I596" s="1257">
        <v>0.44332370951588401</v>
      </c>
      <c r="J596" s="1280">
        <v>0.70937360380433501</v>
      </c>
      <c r="K596" s="1271">
        <v>7.0410998013689403E-3</v>
      </c>
      <c r="L596" s="1257">
        <v>4.0580038050120698E-4</v>
      </c>
      <c r="M596" s="1280">
        <v>2.02347048062045E-4</v>
      </c>
      <c r="N596" s="1271">
        <v>8.7970325642316508E-3</v>
      </c>
      <c r="O596" s="1257">
        <v>3.0000008598028201E-3</v>
      </c>
      <c r="P596" s="1257">
        <v>8.2249125040847904E-3</v>
      </c>
      <c r="Q596" s="1280">
        <v>8.7970325642316508E-3</v>
      </c>
      <c r="R596" s="1271">
        <v>3.8500011034136201E-2</v>
      </c>
      <c r="S596" s="1257">
        <v>3.8500011034136201E-2</v>
      </c>
      <c r="T596" s="1257">
        <v>3.8500011034136201E-2</v>
      </c>
      <c r="U596" s="1280">
        <v>1.9250005517068101E-2</v>
      </c>
      <c r="V596" s="1293">
        <v>7.3594670899692098E-3</v>
      </c>
    </row>
    <row r="597" spans="1:22" s="212" customFormat="1" ht="15.5" x14ac:dyDescent="0.35">
      <c r="A597" s="198">
        <v>2026</v>
      </c>
      <c r="B597" s="197" t="s">
        <v>5833</v>
      </c>
      <c r="C597" s="197">
        <v>1977</v>
      </c>
      <c r="D597" s="225" t="str">
        <f t="shared" si="3"/>
        <v>2026_1977</v>
      </c>
      <c r="E597" s="1226">
        <v>8.1202741526550298E-2</v>
      </c>
      <c r="F597" s="1257">
        <v>1.45075641770968E-2</v>
      </c>
      <c r="G597" s="1280">
        <v>2.28452026956283E-2</v>
      </c>
      <c r="H597" s="1271">
        <v>0.52401251788876901</v>
      </c>
      <c r="I597" s="1257">
        <v>0.44332370951588401</v>
      </c>
      <c r="J597" s="1280">
        <v>0.70937360380433501</v>
      </c>
      <c r="K597" s="1271">
        <v>7.0410998013689403E-3</v>
      </c>
      <c r="L597" s="1257">
        <v>4.0580038050120698E-4</v>
      </c>
      <c r="M597" s="1280">
        <v>2.02347048062045E-4</v>
      </c>
      <c r="N597" s="1271">
        <v>8.7970325642316508E-3</v>
      </c>
      <c r="O597" s="1257">
        <v>3.0000008598028201E-3</v>
      </c>
      <c r="P597" s="1257">
        <v>8.2249125040847904E-3</v>
      </c>
      <c r="Q597" s="1280">
        <v>8.7970325642316508E-3</v>
      </c>
      <c r="R597" s="1271">
        <v>3.8500011034136201E-2</v>
      </c>
      <c r="S597" s="1257">
        <v>3.8500011034136201E-2</v>
      </c>
      <c r="T597" s="1257">
        <v>3.8500011034136201E-2</v>
      </c>
      <c r="U597" s="1280">
        <v>1.9250005517068101E-2</v>
      </c>
      <c r="V597" s="1293">
        <v>7.3594670899692098E-3</v>
      </c>
    </row>
    <row r="598" spans="1:22" s="212" customFormat="1" ht="15.5" x14ac:dyDescent="0.35">
      <c r="A598" s="198">
        <v>2026</v>
      </c>
      <c r="B598" s="197" t="s">
        <v>5833</v>
      </c>
      <c r="C598" s="197">
        <v>1978</v>
      </c>
      <c r="D598" s="225" t="str">
        <f t="shared" si="3"/>
        <v>2026_1978</v>
      </c>
      <c r="E598" s="1226">
        <v>8.1202741526550298E-2</v>
      </c>
      <c r="F598" s="1257">
        <v>1.45075641770968E-2</v>
      </c>
      <c r="G598" s="1280">
        <v>2.28452026956283E-2</v>
      </c>
      <c r="H598" s="1271">
        <v>0.52401251788876901</v>
      </c>
      <c r="I598" s="1257">
        <v>0.44332370951588401</v>
      </c>
      <c r="J598" s="1280">
        <v>0.70937360380433501</v>
      </c>
      <c r="K598" s="1271">
        <v>7.0410998013689403E-3</v>
      </c>
      <c r="L598" s="1257">
        <v>4.0580038050120698E-4</v>
      </c>
      <c r="M598" s="1280">
        <v>2.02347048062045E-4</v>
      </c>
      <c r="N598" s="1271">
        <v>8.7970325642316508E-3</v>
      </c>
      <c r="O598" s="1257">
        <v>3.0000008598028201E-3</v>
      </c>
      <c r="P598" s="1257">
        <v>8.2249125040847904E-3</v>
      </c>
      <c r="Q598" s="1280">
        <v>8.7970325642316508E-3</v>
      </c>
      <c r="R598" s="1271">
        <v>3.8500011034136201E-2</v>
      </c>
      <c r="S598" s="1257">
        <v>3.8500011034136201E-2</v>
      </c>
      <c r="T598" s="1257">
        <v>3.8500011034136201E-2</v>
      </c>
      <c r="U598" s="1280">
        <v>1.9250005517068101E-2</v>
      </c>
      <c r="V598" s="1293">
        <v>7.3594670899692098E-3</v>
      </c>
    </row>
    <row r="599" spans="1:22" s="212" customFormat="1" ht="15.5" x14ac:dyDescent="0.35">
      <c r="A599" s="198">
        <v>2026</v>
      </c>
      <c r="B599" s="197" t="s">
        <v>5833</v>
      </c>
      <c r="C599" s="197">
        <v>1979</v>
      </c>
      <c r="D599" s="225" t="str">
        <f t="shared" si="3"/>
        <v>2026_1979</v>
      </c>
      <c r="E599" s="1226">
        <v>8.1202741526550298E-2</v>
      </c>
      <c r="F599" s="1257">
        <v>1.45075641770968E-2</v>
      </c>
      <c r="G599" s="1280">
        <v>2.28452026956283E-2</v>
      </c>
      <c r="H599" s="1271">
        <v>0.52401251788876901</v>
      </c>
      <c r="I599" s="1257">
        <v>0.44332370951588401</v>
      </c>
      <c r="J599" s="1280">
        <v>0.70937360380433501</v>
      </c>
      <c r="K599" s="1271">
        <v>7.0410998013689403E-3</v>
      </c>
      <c r="L599" s="1257">
        <v>4.0580038050120698E-4</v>
      </c>
      <c r="M599" s="1280">
        <v>2.02347048062045E-4</v>
      </c>
      <c r="N599" s="1271">
        <v>8.7970325642316508E-3</v>
      </c>
      <c r="O599" s="1257">
        <v>3.0000008598028201E-3</v>
      </c>
      <c r="P599" s="1257">
        <v>8.2249125040847904E-3</v>
      </c>
      <c r="Q599" s="1280">
        <v>8.7970325642316508E-3</v>
      </c>
      <c r="R599" s="1271">
        <v>3.8500011034136201E-2</v>
      </c>
      <c r="S599" s="1257">
        <v>3.8500011034136201E-2</v>
      </c>
      <c r="T599" s="1257">
        <v>3.8500011034136201E-2</v>
      </c>
      <c r="U599" s="1280">
        <v>1.9250005517068101E-2</v>
      </c>
      <c r="V599" s="1293">
        <v>7.3594670899692098E-3</v>
      </c>
    </row>
    <row r="600" spans="1:22" s="212" customFormat="1" ht="15.5" x14ac:dyDescent="0.35">
      <c r="A600" s="198">
        <v>2026</v>
      </c>
      <c r="B600" s="197" t="s">
        <v>5833</v>
      </c>
      <c r="C600" s="197">
        <v>1980</v>
      </c>
      <c r="D600" s="225" t="str">
        <f t="shared" si="3"/>
        <v>2026_1980</v>
      </c>
      <c r="E600" s="1226">
        <v>8.1202741526550298E-2</v>
      </c>
      <c r="F600" s="1257">
        <v>1.45075641770968E-2</v>
      </c>
      <c r="G600" s="1280">
        <v>2.28452026956283E-2</v>
      </c>
      <c r="H600" s="1271">
        <v>0.52401251788876901</v>
      </c>
      <c r="I600" s="1257">
        <v>0.44332370951588401</v>
      </c>
      <c r="J600" s="1280">
        <v>0.70937360380433501</v>
      </c>
      <c r="K600" s="1271">
        <v>7.0410998013689403E-3</v>
      </c>
      <c r="L600" s="1257">
        <v>4.0580038050120698E-4</v>
      </c>
      <c r="M600" s="1280">
        <v>2.02347048062045E-4</v>
      </c>
      <c r="N600" s="1271">
        <v>8.7970325642316508E-3</v>
      </c>
      <c r="O600" s="1257">
        <v>3.0000008598028201E-3</v>
      </c>
      <c r="P600" s="1257">
        <v>8.2249125040847904E-3</v>
      </c>
      <c r="Q600" s="1280">
        <v>8.7970325642316508E-3</v>
      </c>
      <c r="R600" s="1271">
        <v>3.8500011034136201E-2</v>
      </c>
      <c r="S600" s="1257">
        <v>3.8500011034136201E-2</v>
      </c>
      <c r="T600" s="1257">
        <v>3.8500011034136201E-2</v>
      </c>
      <c r="U600" s="1280">
        <v>1.9250005517068101E-2</v>
      </c>
      <c r="V600" s="1293">
        <v>7.3594670899692098E-3</v>
      </c>
    </row>
    <row r="601" spans="1:22" s="212" customFormat="1" ht="15.5" x14ac:dyDescent="0.35">
      <c r="A601" s="198">
        <v>2026</v>
      </c>
      <c r="B601" s="197" t="s">
        <v>5833</v>
      </c>
      <c r="C601" s="197">
        <v>1981</v>
      </c>
      <c r="D601" s="225" t="str">
        <f t="shared" si="3"/>
        <v>2026_1981</v>
      </c>
      <c r="E601" s="1226">
        <v>8.1202741526550298E-2</v>
      </c>
      <c r="F601" s="1257">
        <v>1.45075641770968E-2</v>
      </c>
      <c r="G601" s="1280">
        <v>2.28452026956283E-2</v>
      </c>
      <c r="H601" s="1271">
        <v>0.52401251788876901</v>
      </c>
      <c r="I601" s="1257">
        <v>0.44332370951588401</v>
      </c>
      <c r="J601" s="1280">
        <v>0.70937360380433501</v>
      </c>
      <c r="K601" s="1271">
        <v>7.0410998013689403E-3</v>
      </c>
      <c r="L601" s="1257">
        <v>4.0580038050120698E-4</v>
      </c>
      <c r="M601" s="1280">
        <v>2.02347048062045E-4</v>
      </c>
      <c r="N601" s="1271">
        <v>8.7970325642316508E-3</v>
      </c>
      <c r="O601" s="1257">
        <v>3.0000008598028201E-3</v>
      </c>
      <c r="P601" s="1257">
        <v>8.2249125040847904E-3</v>
      </c>
      <c r="Q601" s="1280">
        <v>8.7970325642316508E-3</v>
      </c>
      <c r="R601" s="1271">
        <v>3.8500011034136201E-2</v>
      </c>
      <c r="S601" s="1257">
        <v>3.8500011034136201E-2</v>
      </c>
      <c r="T601" s="1257">
        <v>3.8500011034136201E-2</v>
      </c>
      <c r="U601" s="1280">
        <v>1.9250005517068101E-2</v>
      </c>
      <c r="V601" s="1293">
        <v>7.3594670899692098E-3</v>
      </c>
    </row>
    <row r="602" spans="1:22" s="212" customFormat="1" ht="15.5" x14ac:dyDescent="0.35">
      <c r="A602" s="198">
        <v>2026</v>
      </c>
      <c r="B602" s="197" t="s">
        <v>5833</v>
      </c>
      <c r="C602" s="197">
        <v>1982</v>
      </c>
      <c r="D602" s="225" t="str">
        <f t="shared" si="3"/>
        <v>2026_1982</v>
      </c>
      <c r="E602" s="1226">
        <v>8.1202741526550298E-2</v>
      </c>
      <c r="F602" s="1257">
        <v>1.45075641770968E-2</v>
      </c>
      <c r="G602" s="1280">
        <v>2.28452026956283E-2</v>
      </c>
      <c r="H602" s="1271">
        <v>0.52401251788876901</v>
      </c>
      <c r="I602" s="1257">
        <v>0.44332370951588401</v>
      </c>
      <c r="J602" s="1280">
        <v>0.70937360380433501</v>
      </c>
      <c r="K602" s="1271">
        <v>7.0410998013689403E-3</v>
      </c>
      <c r="L602" s="1257">
        <v>4.0580038050120698E-4</v>
      </c>
      <c r="M602" s="1280">
        <v>2.02347048062045E-4</v>
      </c>
      <c r="N602" s="1271">
        <v>8.7970325642316508E-3</v>
      </c>
      <c r="O602" s="1257">
        <v>3.0000008598028201E-3</v>
      </c>
      <c r="P602" s="1257">
        <v>8.2249125040847904E-3</v>
      </c>
      <c r="Q602" s="1280">
        <v>8.7970325642316508E-3</v>
      </c>
      <c r="R602" s="1271">
        <v>3.8500011034136201E-2</v>
      </c>
      <c r="S602" s="1257">
        <v>3.8500011034136201E-2</v>
      </c>
      <c r="T602" s="1257">
        <v>3.8500011034136201E-2</v>
      </c>
      <c r="U602" s="1280">
        <v>1.9250005517068101E-2</v>
      </c>
      <c r="V602" s="1293">
        <v>7.3594670899692098E-3</v>
      </c>
    </row>
    <row r="603" spans="1:22" s="212" customFormat="1" ht="15.5" x14ac:dyDescent="0.35">
      <c r="A603" s="198">
        <v>2026</v>
      </c>
      <c r="B603" s="197" t="s">
        <v>5833</v>
      </c>
      <c r="C603" s="197">
        <v>1983</v>
      </c>
      <c r="D603" s="225" t="str">
        <f t="shared" si="3"/>
        <v>2026_1983</v>
      </c>
      <c r="E603" s="1226">
        <v>8.1202741526550298E-2</v>
      </c>
      <c r="F603" s="1257">
        <v>1.45075641770968E-2</v>
      </c>
      <c r="G603" s="1280">
        <v>2.28452026956283E-2</v>
      </c>
      <c r="H603" s="1271">
        <v>0.52401251788876901</v>
      </c>
      <c r="I603" s="1257">
        <v>0.44332370951588401</v>
      </c>
      <c r="J603" s="1280">
        <v>0.70937360380433501</v>
      </c>
      <c r="K603" s="1271">
        <v>7.0410998013689403E-3</v>
      </c>
      <c r="L603" s="1257">
        <v>4.0580038050120698E-4</v>
      </c>
      <c r="M603" s="1280">
        <v>2.02347048062045E-4</v>
      </c>
      <c r="N603" s="1271">
        <v>8.7970325642316508E-3</v>
      </c>
      <c r="O603" s="1257">
        <v>3.0000008598028201E-3</v>
      </c>
      <c r="P603" s="1257">
        <v>8.2249125040847904E-3</v>
      </c>
      <c r="Q603" s="1280">
        <v>8.7970325642316508E-3</v>
      </c>
      <c r="R603" s="1271">
        <v>3.8500011034136201E-2</v>
      </c>
      <c r="S603" s="1257">
        <v>3.8500011034136201E-2</v>
      </c>
      <c r="T603" s="1257">
        <v>3.8500011034136201E-2</v>
      </c>
      <c r="U603" s="1280">
        <v>1.9250005517068101E-2</v>
      </c>
      <c r="V603" s="1293">
        <v>7.3594670899692098E-3</v>
      </c>
    </row>
    <row r="604" spans="1:22" s="212" customFormat="1" ht="15.5" x14ac:dyDescent="0.35">
      <c r="A604" s="198">
        <v>2026</v>
      </c>
      <c r="B604" s="197" t="s">
        <v>5833</v>
      </c>
      <c r="C604" s="197">
        <v>1984</v>
      </c>
      <c r="D604" s="225" t="str">
        <f t="shared" si="3"/>
        <v>2026_1984</v>
      </c>
      <c r="E604" s="1226">
        <v>8.1202741526550298E-2</v>
      </c>
      <c r="F604" s="1257">
        <v>1.45075641770968E-2</v>
      </c>
      <c r="G604" s="1280">
        <v>2.28452026956283E-2</v>
      </c>
      <c r="H604" s="1271">
        <v>0.52401251788876901</v>
      </c>
      <c r="I604" s="1257">
        <v>0.44332370951588401</v>
      </c>
      <c r="J604" s="1280">
        <v>0.70937360380433501</v>
      </c>
      <c r="K604" s="1271">
        <v>7.0410998013689403E-3</v>
      </c>
      <c r="L604" s="1257">
        <v>4.0580038050120698E-4</v>
      </c>
      <c r="M604" s="1280">
        <v>2.02347048062045E-4</v>
      </c>
      <c r="N604" s="1271">
        <v>8.7970325642316508E-3</v>
      </c>
      <c r="O604" s="1257">
        <v>3.0000008598028201E-3</v>
      </c>
      <c r="P604" s="1257">
        <v>8.2249125040847904E-3</v>
      </c>
      <c r="Q604" s="1280">
        <v>8.7970325642316508E-3</v>
      </c>
      <c r="R604" s="1271">
        <v>3.8500011034136201E-2</v>
      </c>
      <c r="S604" s="1257">
        <v>3.8500011034136201E-2</v>
      </c>
      <c r="T604" s="1257">
        <v>3.8500011034136201E-2</v>
      </c>
      <c r="U604" s="1280">
        <v>1.9250005517068101E-2</v>
      </c>
      <c r="V604" s="1293">
        <v>7.3594670899692098E-3</v>
      </c>
    </row>
    <row r="605" spans="1:22" s="212" customFormat="1" ht="15.5" x14ac:dyDescent="0.35">
      <c r="A605" s="198">
        <v>2026</v>
      </c>
      <c r="B605" s="197" t="s">
        <v>5833</v>
      </c>
      <c r="C605" s="197">
        <v>1985</v>
      </c>
      <c r="D605" s="225" t="str">
        <f t="shared" si="3"/>
        <v>2026_1985</v>
      </c>
      <c r="E605" s="1226">
        <v>8.1202741526550298E-2</v>
      </c>
      <c r="F605" s="1257">
        <v>1.45075641770968E-2</v>
      </c>
      <c r="G605" s="1280">
        <v>2.28452026956283E-2</v>
      </c>
      <c r="H605" s="1271">
        <v>0.52401251788876901</v>
      </c>
      <c r="I605" s="1257">
        <v>0.44332370951588401</v>
      </c>
      <c r="J605" s="1280">
        <v>0.70937360380433501</v>
      </c>
      <c r="K605" s="1271">
        <v>7.0410998013689403E-3</v>
      </c>
      <c r="L605" s="1257">
        <v>4.0580038050120698E-4</v>
      </c>
      <c r="M605" s="1280">
        <v>2.02347048062045E-4</v>
      </c>
      <c r="N605" s="1271">
        <v>8.7970325642316508E-3</v>
      </c>
      <c r="O605" s="1257">
        <v>3.0000008598028201E-3</v>
      </c>
      <c r="P605" s="1257">
        <v>8.2249125040847904E-3</v>
      </c>
      <c r="Q605" s="1280">
        <v>8.7970325642316508E-3</v>
      </c>
      <c r="R605" s="1271">
        <v>3.8500011034136201E-2</v>
      </c>
      <c r="S605" s="1257">
        <v>3.8500011034136201E-2</v>
      </c>
      <c r="T605" s="1257">
        <v>3.8500011034136201E-2</v>
      </c>
      <c r="U605" s="1280">
        <v>1.9250005517068101E-2</v>
      </c>
      <c r="V605" s="1293">
        <v>7.3594670899692098E-3</v>
      </c>
    </row>
    <row r="606" spans="1:22" s="212" customFormat="1" ht="15.5" x14ac:dyDescent="0.35">
      <c r="A606" s="198">
        <v>2026</v>
      </c>
      <c r="B606" s="197" t="s">
        <v>5833</v>
      </c>
      <c r="C606" s="197">
        <v>1986</v>
      </c>
      <c r="D606" s="225" t="str">
        <f t="shared" si="3"/>
        <v>2026_1986</v>
      </c>
      <c r="E606" s="1226">
        <v>8.1202741526550298E-2</v>
      </c>
      <c r="F606" s="1257">
        <v>1.45075641770968E-2</v>
      </c>
      <c r="G606" s="1280">
        <v>2.28452026956283E-2</v>
      </c>
      <c r="H606" s="1271">
        <v>0.52401251788876901</v>
      </c>
      <c r="I606" s="1257">
        <v>0.44332370951588401</v>
      </c>
      <c r="J606" s="1280">
        <v>0.70937360380433501</v>
      </c>
      <c r="K606" s="1271">
        <v>7.0410998013689403E-3</v>
      </c>
      <c r="L606" s="1257">
        <v>4.0580038050120698E-4</v>
      </c>
      <c r="M606" s="1280">
        <v>2.02347048062045E-4</v>
      </c>
      <c r="N606" s="1271">
        <v>8.7970325642316508E-3</v>
      </c>
      <c r="O606" s="1257">
        <v>3.0000008598028201E-3</v>
      </c>
      <c r="P606" s="1257">
        <v>8.2249125040847904E-3</v>
      </c>
      <c r="Q606" s="1280">
        <v>8.7970325642316508E-3</v>
      </c>
      <c r="R606" s="1271">
        <v>3.8500011034136201E-2</v>
      </c>
      <c r="S606" s="1257">
        <v>3.8500011034136201E-2</v>
      </c>
      <c r="T606" s="1257">
        <v>3.8500011034136201E-2</v>
      </c>
      <c r="U606" s="1280">
        <v>1.9250005517068101E-2</v>
      </c>
      <c r="V606" s="1293">
        <v>7.3594670899692098E-3</v>
      </c>
    </row>
    <row r="607" spans="1:22" s="212" customFormat="1" ht="15.5" x14ac:dyDescent="0.35">
      <c r="A607" s="198">
        <v>2026</v>
      </c>
      <c r="B607" s="197" t="s">
        <v>5833</v>
      </c>
      <c r="C607" s="197">
        <v>1987</v>
      </c>
      <c r="D607" s="225" t="str">
        <f t="shared" si="3"/>
        <v>2026_1987</v>
      </c>
      <c r="E607" s="1226">
        <v>8.1202741526550298E-2</v>
      </c>
      <c r="F607" s="1257">
        <v>1.45075641770968E-2</v>
      </c>
      <c r="G607" s="1280">
        <v>2.28452026956283E-2</v>
      </c>
      <c r="H607" s="1271">
        <v>0.52401251788876901</v>
      </c>
      <c r="I607" s="1257">
        <v>0.44332370951588401</v>
      </c>
      <c r="J607" s="1280">
        <v>0.70937360380433501</v>
      </c>
      <c r="K607" s="1271">
        <v>7.0410998013689403E-3</v>
      </c>
      <c r="L607" s="1257">
        <v>4.0580038050120698E-4</v>
      </c>
      <c r="M607" s="1280">
        <v>2.02347048062045E-4</v>
      </c>
      <c r="N607" s="1271">
        <v>8.7970325642316508E-3</v>
      </c>
      <c r="O607" s="1257">
        <v>3.0000008598028201E-3</v>
      </c>
      <c r="P607" s="1257">
        <v>8.2249125040847904E-3</v>
      </c>
      <c r="Q607" s="1280">
        <v>8.7970325642316508E-3</v>
      </c>
      <c r="R607" s="1271">
        <v>3.8500011034136201E-2</v>
      </c>
      <c r="S607" s="1257">
        <v>3.8500011034136201E-2</v>
      </c>
      <c r="T607" s="1257">
        <v>3.8500011034136201E-2</v>
      </c>
      <c r="U607" s="1280">
        <v>1.9250005517068101E-2</v>
      </c>
      <c r="V607" s="1293">
        <v>7.3594670899692098E-3</v>
      </c>
    </row>
    <row r="608" spans="1:22" s="212" customFormat="1" ht="15.5" x14ac:dyDescent="0.35">
      <c r="A608" s="198">
        <v>2026</v>
      </c>
      <c r="B608" s="197" t="s">
        <v>5833</v>
      </c>
      <c r="C608" s="197">
        <v>1988</v>
      </c>
      <c r="D608" s="225" t="str">
        <f t="shared" si="3"/>
        <v>2026_1988</v>
      </c>
      <c r="E608" s="1226">
        <v>8.1202741526550298E-2</v>
      </c>
      <c r="F608" s="1257">
        <v>1.45075641770968E-2</v>
      </c>
      <c r="G608" s="1280">
        <v>2.28452026956283E-2</v>
      </c>
      <c r="H608" s="1271">
        <v>0.52401251788876901</v>
      </c>
      <c r="I608" s="1257">
        <v>0.44332370951588401</v>
      </c>
      <c r="J608" s="1280">
        <v>0.70937360380433501</v>
      </c>
      <c r="K608" s="1271">
        <v>7.0410998013689403E-3</v>
      </c>
      <c r="L608" s="1257">
        <v>4.0580038050120698E-4</v>
      </c>
      <c r="M608" s="1280">
        <v>2.02347048062045E-4</v>
      </c>
      <c r="N608" s="1271">
        <v>8.7970325642316508E-3</v>
      </c>
      <c r="O608" s="1257">
        <v>3.0000008598028201E-3</v>
      </c>
      <c r="P608" s="1257">
        <v>8.2249125040847904E-3</v>
      </c>
      <c r="Q608" s="1280">
        <v>8.7970325642316508E-3</v>
      </c>
      <c r="R608" s="1271">
        <v>3.8500011034136201E-2</v>
      </c>
      <c r="S608" s="1257">
        <v>3.8500011034136201E-2</v>
      </c>
      <c r="T608" s="1257">
        <v>3.8500011034136201E-2</v>
      </c>
      <c r="U608" s="1280">
        <v>1.9250005517068101E-2</v>
      </c>
      <c r="V608" s="1293">
        <v>7.3594670899692098E-3</v>
      </c>
    </row>
    <row r="609" spans="1:22" s="212" customFormat="1" ht="15.5" x14ac:dyDescent="0.35">
      <c r="A609" s="198">
        <v>2026</v>
      </c>
      <c r="B609" s="197" t="s">
        <v>5833</v>
      </c>
      <c r="C609" s="197">
        <v>1989</v>
      </c>
      <c r="D609" s="225" t="str">
        <f t="shared" si="3"/>
        <v>2026_1989</v>
      </c>
      <c r="E609" s="1226">
        <v>8.1202741526550298E-2</v>
      </c>
      <c r="F609" s="1257">
        <v>1.45075641770968E-2</v>
      </c>
      <c r="G609" s="1280">
        <v>2.28452026956283E-2</v>
      </c>
      <c r="H609" s="1271">
        <v>0.52401251788876901</v>
      </c>
      <c r="I609" s="1257">
        <v>0.44332370951588401</v>
      </c>
      <c r="J609" s="1280">
        <v>0.70937360380433501</v>
      </c>
      <c r="K609" s="1271">
        <v>7.0410998013689403E-3</v>
      </c>
      <c r="L609" s="1257">
        <v>4.0580038050120698E-4</v>
      </c>
      <c r="M609" s="1280">
        <v>2.02347048062045E-4</v>
      </c>
      <c r="N609" s="1271">
        <v>8.7970325642316508E-3</v>
      </c>
      <c r="O609" s="1257">
        <v>3.0000008598028201E-3</v>
      </c>
      <c r="P609" s="1257">
        <v>8.2249125040847904E-3</v>
      </c>
      <c r="Q609" s="1280">
        <v>8.7970325642316508E-3</v>
      </c>
      <c r="R609" s="1271">
        <v>3.8500011034136201E-2</v>
      </c>
      <c r="S609" s="1257">
        <v>3.8500011034136201E-2</v>
      </c>
      <c r="T609" s="1257">
        <v>3.8500011034136201E-2</v>
      </c>
      <c r="U609" s="1280">
        <v>1.9250005517068101E-2</v>
      </c>
      <c r="V609" s="1293">
        <v>7.3594670899692098E-3</v>
      </c>
    </row>
    <row r="610" spans="1:22" s="212" customFormat="1" ht="15.5" x14ac:dyDescent="0.35">
      <c r="A610" s="198">
        <v>2026</v>
      </c>
      <c r="B610" s="197" t="s">
        <v>5833</v>
      </c>
      <c r="C610" s="197">
        <v>1990</v>
      </c>
      <c r="D610" s="225" t="str">
        <f t="shared" si="3"/>
        <v>2026_1990</v>
      </c>
      <c r="E610" s="1226">
        <v>8.1202741526550298E-2</v>
      </c>
      <c r="F610" s="1257">
        <v>1.45075641770968E-2</v>
      </c>
      <c r="G610" s="1280">
        <v>2.28452026956283E-2</v>
      </c>
      <c r="H610" s="1271">
        <v>0.52401251788876901</v>
      </c>
      <c r="I610" s="1257">
        <v>0.44332370951588401</v>
      </c>
      <c r="J610" s="1280">
        <v>0.70937360380433501</v>
      </c>
      <c r="K610" s="1271">
        <v>7.0410998013689403E-3</v>
      </c>
      <c r="L610" s="1257">
        <v>4.0580038050120698E-4</v>
      </c>
      <c r="M610" s="1280">
        <v>2.02347048062045E-4</v>
      </c>
      <c r="N610" s="1271">
        <v>8.7970325642316508E-3</v>
      </c>
      <c r="O610" s="1257">
        <v>3.0000008598028201E-3</v>
      </c>
      <c r="P610" s="1257">
        <v>8.2249125040847904E-3</v>
      </c>
      <c r="Q610" s="1280">
        <v>8.7970325642316508E-3</v>
      </c>
      <c r="R610" s="1271">
        <v>3.8500011034136201E-2</v>
      </c>
      <c r="S610" s="1257">
        <v>3.8500011034136201E-2</v>
      </c>
      <c r="T610" s="1257">
        <v>3.8500011034136201E-2</v>
      </c>
      <c r="U610" s="1280">
        <v>1.9250005517068101E-2</v>
      </c>
      <c r="V610" s="1293">
        <v>7.3594670899692098E-3</v>
      </c>
    </row>
    <row r="611" spans="1:22" s="212" customFormat="1" ht="15.5" x14ac:dyDescent="0.35">
      <c r="A611" s="198">
        <v>2026</v>
      </c>
      <c r="B611" s="197" t="s">
        <v>5833</v>
      </c>
      <c r="C611" s="197">
        <v>1991</v>
      </c>
      <c r="D611" s="225" t="str">
        <f t="shared" si="3"/>
        <v>2026_1991</v>
      </c>
      <c r="E611" s="1226">
        <v>8.1202741526550298E-2</v>
      </c>
      <c r="F611" s="1257">
        <v>1.45075641770968E-2</v>
      </c>
      <c r="G611" s="1280">
        <v>2.28452026956283E-2</v>
      </c>
      <c r="H611" s="1271">
        <v>0.52401251788876901</v>
      </c>
      <c r="I611" s="1257">
        <v>0.44332370951588401</v>
      </c>
      <c r="J611" s="1280">
        <v>0.70937360380433501</v>
      </c>
      <c r="K611" s="1271">
        <v>7.0410998013689403E-3</v>
      </c>
      <c r="L611" s="1257">
        <v>4.0580038050120698E-4</v>
      </c>
      <c r="M611" s="1280">
        <v>2.02347048062045E-4</v>
      </c>
      <c r="N611" s="1271">
        <v>8.7970325642316508E-3</v>
      </c>
      <c r="O611" s="1257">
        <v>3.0000008598028201E-3</v>
      </c>
      <c r="P611" s="1257">
        <v>8.2249125040847904E-3</v>
      </c>
      <c r="Q611" s="1280">
        <v>8.7970325642316508E-3</v>
      </c>
      <c r="R611" s="1271">
        <v>3.8500011034136201E-2</v>
      </c>
      <c r="S611" s="1257">
        <v>3.8500011034136201E-2</v>
      </c>
      <c r="T611" s="1257">
        <v>3.8500011034136201E-2</v>
      </c>
      <c r="U611" s="1280">
        <v>1.9250005517068101E-2</v>
      </c>
      <c r="V611" s="1293">
        <v>7.3594670899692098E-3</v>
      </c>
    </row>
    <row r="612" spans="1:22" s="212" customFormat="1" ht="15.5" x14ac:dyDescent="0.35">
      <c r="A612" s="198">
        <v>2026</v>
      </c>
      <c r="B612" s="197" t="s">
        <v>5833</v>
      </c>
      <c r="C612" s="197">
        <v>1992</v>
      </c>
      <c r="D612" s="225" t="str">
        <f t="shared" si="3"/>
        <v>2026_1992</v>
      </c>
      <c r="E612" s="1226">
        <v>8.1202741526550298E-2</v>
      </c>
      <c r="F612" s="1257">
        <v>1.45075641770968E-2</v>
      </c>
      <c r="G612" s="1280">
        <v>2.28452026956283E-2</v>
      </c>
      <c r="H612" s="1271">
        <v>0.52401251788876901</v>
      </c>
      <c r="I612" s="1257">
        <v>0.44332370951588401</v>
      </c>
      <c r="J612" s="1280">
        <v>0.70937360380433501</v>
      </c>
      <c r="K612" s="1271">
        <v>7.0410998013689403E-3</v>
      </c>
      <c r="L612" s="1257">
        <v>4.0580038050120698E-4</v>
      </c>
      <c r="M612" s="1280">
        <v>2.02347048062045E-4</v>
      </c>
      <c r="N612" s="1271">
        <v>8.7970325642316508E-3</v>
      </c>
      <c r="O612" s="1257">
        <v>3.0000008598028201E-3</v>
      </c>
      <c r="P612" s="1257">
        <v>8.2249125040847904E-3</v>
      </c>
      <c r="Q612" s="1280">
        <v>8.7970325642316508E-3</v>
      </c>
      <c r="R612" s="1271">
        <v>3.8500011034136201E-2</v>
      </c>
      <c r="S612" s="1257">
        <v>3.8500011034136201E-2</v>
      </c>
      <c r="T612" s="1257">
        <v>3.8500011034136201E-2</v>
      </c>
      <c r="U612" s="1280">
        <v>1.9250005517068101E-2</v>
      </c>
      <c r="V612" s="1293">
        <v>7.3594670899692098E-3</v>
      </c>
    </row>
    <row r="613" spans="1:22" s="212" customFormat="1" ht="15.5" x14ac:dyDescent="0.35">
      <c r="A613" s="198">
        <v>2026</v>
      </c>
      <c r="B613" s="197" t="s">
        <v>5833</v>
      </c>
      <c r="C613" s="197">
        <v>1993</v>
      </c>
      <c r="D613" s="225" t="str">
        <f t="shared" si="3"/>
        <v>2026_1993</v>
      </c>
      <c r="E613" s="1226">
        <v>8.1202741526550298E-2</v>
      </c>
      <c r="F613" s="1257">
        <v>1.45075641770968E-2</v>
      </c>
      <c r="G613" s="1280">
        <v>2.28452026956283E-2</v>
      </c>
      <c r="H613" s="1271">
        <v>0.52401251788876901</v>
      </c>
      <c r="I613" s="1257">
        <v>0.44332370951588401</v>
      </c>
      <c r="J613" s="1280">
        <v>0.70937360380433501</v>
      </c>
      <c r="K613" s="1271">
        <v>7.0410998013689403E-3</v>
      </c>
      <c r="L613" s="1257">
        <v>4.0580038050120698E-4</v>
      </c>
      <c r="M613" s="1280">
        <v>2.02347048062045E-4</v>
      </c>
      <c r="N613" s="1271">
        <v>8.7970325642316508E-3</v>
      </c>
      <c r="O613" s="1257">
        <v>3.0000008598028201E-3</v>
      </c>
      <c r="P613" s="1257">
        <v>8.2249125040847904E-3</v>
      </c>
      <c r="Q613" s="1280">
        <v>8.7970325642316508E-3</v>
      </c>
      <c r="R613" s="1271">
        <v>3.8500011034136201E-2</v>
      </c>
      <c r="S613" s="1257">
        <v>3.8500011034136201E-2</v>
      </c>
      <c r="T613" s="1257">
        <v>3.8500011034136201E-2</v>
      </c>
      <c r="U613" s="1280">
        <v>1.9250005517068101E-2</v>
      </c>
      <c r="V613" s="1293">
        <v>7.3594670899692098E-3</v>
      </c>
    </row>
    <row r="614" spans="1:22" s="212" customFormat="1" ht="15.5" x14ac:dyDescent="0.35">
      <c r="A614" s="198">
        <v>2026</v>
      </c>
      <c r="B614" s="197" t="s">
        <v>5833</v>
      </c>
      <c r="C614" s="197">
        <v>1994</v>
      </c>
      <c r="D614" s="225" t="str">
        <f t="shared" si="3"/>
        <v>2026_1994</v>
      </c>
      <c r="E614" s="1226">
        <v>8.1202741526550298E-2</v>
      </c>
      <c r="F614" s="1257">
        <v>1.45075641770968E-2</v>
      </c>
      <c r="G614" s="1280">
        <v>2.28452026956283E-2</v>
      </c>
      <c r="H614" s="1271">
        <v>0.52401251788876901</v>
      </c>
      <c r="I614" s="1257">
        <v>0.44332370951588401</v>
      </c>
      <c r="J614" s="1280">
        <v>0.70937360380433501</v>
      </c>
      <c r="K614" s="1271">
        <v>7.0410998013689403E-3</v>
      </c>
      <c r="L614" s="1257">
        <v>4.0580038050120698E-4</v>
      </c>
      <c r="M614" s="1280">
        <v>2.02347048062045E-4</v>
      </c>
      <c r="N614" s="1271">
        <v>8.7970325642316508E-3</v>
      </c>
      <c r="O614" s="1257">
        <v>3.0000008598028201E-3</v>
      </c>
      <c r="P614" s="1257">
        <v>8.2249125040847904E-3</v>
      </c>
      <c r="Q614" s="1280">
        <v>8.7970325642316508E-3</v>
      </c>
      <c r="R614" s="1271">
        <v>3.8500011034136201E-2</v>
      </c>
      <c r="S614" s="1257">
        <v>3.8500011034136201E-2</v>
      </c>
      <c r="T614" s="1257">
        <v>3.8500011034136201E-2</v>
      </c>
      <c r="U614" s="1280">
        <v>1.9250005517068101E-2</v>
      </c>
      <c r="V614" s="1293">
        <v>7.3594670899692098E-3</v>
      </c>
    </row>
    <row r="615" spans="1:22" s="212" customFormat="1" ht="15.5" x14ac:dyDescent="0.35">
      <c r="A615" s="198">
        <v>2026</v>
      </c>
      <c r="B615" s="197" t="s">
        <v>5833</v>
      </c>
      <c r="C615" s="197">
        <v>1995</v>
      </c>
      <c r="D615" s="225" t="str">
        <f t="shared" si="3"/>
        <v>2026_1995</v>
      </c>
      <c r="E615" s="1226">
        <v>8.1202741526550298E-2</v>
      </c>
      <c r="F615" s="1257">
        <v>1.45075641770968E-2</v>
      </c>
      <c r="G615" s="1280">
        <v>2.28452026956283E-2</v>
      </c>
      <c r="H615" s="1271">
        <v>0.52401251788876901</v>
      </c>
      <c r="I615" s="1257">
        <v>0.44332370951588401</v>
      </c>
      <c r="J615" s="1280">
        <v>0.70937360380433501</v>
      </c>
      <c r="K615" s="1271">
        <v>7.0410998013689403E-3</v>
      </c>
      <c r="L615" s="1257">
        <v>4.0580038050120698E-4</v>
      </c>
      <c r="M615" s="1280">
        <v>2.02347048062045E-4</v>
      </c>
      <c r="N615" s="1271">
        <v>8.7970325642316508E-3</v>
      </c>
      <c r="O615" s="1257">
        <v>3.0000008598028201E-3</v>
      </c>
      <c r="P615" s="1257">
        <v>8.2249125040847904E-3</v>
      </c>
      <c r="Q615" s="1280">
        <v>8.7970325642316508E-3</v>
      </c>
      <c r="R615" s="1271">
        <v>3.8500011034136201E-2</v>
      </c>
      <c r="S615" s="1257">
        <v>3.8500011034136201E-2</v>
      </c>
      <c r="T615" s="1257">
        <v>3.8500011034136201E-2</v>
      </c>
      <c r="U615" s="1280">
        <v>1.9250005517068101E-2</v>
      </c>
      <c r="V615" s="1293">
        <v>7.3594670899692098E-3</v>
      </c>
    </row>
    <row r="616" spans="1:22" s="212" customFormat="1" ht="15.5" x14ac:dyDescent="0.35">
      <c r="A616" s="198">
        <v>2026</v>
      </c>
      <c r="B616" s="197" t="s">
        <v>5833</v>
      </c>
      <c r="C616" s="197">
        <v>1996</v>
      </c>
      <c r="D616" s="225" t="str">
        <f t="shared" si="3"/>
        <v>2026_1996</v>
      </c>
      <c r="E616" s="1226">
        <v>8.1202741526550298E-2</v>
      </c>
      <c r="F616" s="1257">
        <v>1.45075641770968E-2</v>
      </c>
      <c r="G616" s="1280">
        <v>2.28452026956283E-2</v>
      </c>
      <c r="H616" s="1271">
        <v>0.52401251788876901</v>
      </c>
      <c r="I616" s="1257">
        <v>0.44332370951588401</v>
      </c>
      <c r="J616" s="1280">
        <v>0.70937360380433501</v>
      </c>
      <c r="K616" s="1271">
        <v>7.0410998013689403E-3</v>
      </c>
      <c r="L616" s="1257">
        <v>4.0580038050120698E-4</v>
      </c>
      <c r="M616" s="1280">
        <v>2.02347048062045E-4</v>
      </c>
      <c r="N616" s="1271">
        <v>8.7970325642316508E-3</v>
      </c>
      <c r="O616" s="1257">
        <v>3.0000008598028201E-3</v>
      </c>
      <c r="P616" s="1257">
        <v>8.2249125040847904E-3</v>
      </c>
      <c r="Q616" s="1280">
        <v>8.7970325642316508E-3</v>
      </c>
      <c r="R616" s="1271">
        <v>3.8500011034136201E-2</v>
      </c>
      <c r="S616" s="1257">
        <v>3.8500011034136201E-2</v>
      </c>
      <c r="T616" s="1257">
        <v>3.8500011034136201E-2</v>
      </c>
      <c r="U616" s="1280">
        <v>1.9250005517068101E-2</v>
      </c>
      <c r="V616" s="1293">
        <v>7.3594670899692098E-3</v>
      </c>
    </row>
    <row r="617" spans="1:22" s="212" customFormat="1" ht="15.5" x14ac:dyDescent="0.35">
      <c r="A617" s="198">
        <v>2026</v>
      </c>
      <c r="B617" s="197" t="s">
        <v>5833</v>
      </c>
      <c r="C617" s="197">
        <v>1997</v>
      </c>
      <c r="D617" s="225" t="str">
        <f t="shared" si="3"/>
        <v>2026_1997</v>
      </c>
      <c r="E617" s="1226">
        <v>8.1202741526550298E-2</v>
      </c>
      <c r="F617" s="1257">
        <v>1.45075641770968E-2</v>
      </c>
      <c r="G617" s="1280">
        <v>2.28452026956283E-2</v>
      </c>
      <c r="H617" s="1271">
        <v>0.52401251788876901</v>
      </c>
      <c r="I617" s="1257">
        <v>0.44332370951588401</v>
      </c>
      <c r="J617" s="1280">
        <v>0.70937360380433501</v>
      </c>
      <c r="K617" s="1271">
        <v>7.0410998013689403E-3</v>
      </c>
      <c r="L617" s="1257">
        <v>4.0580038050120698E-4</v>
      </c>
      <c r="M617" s="1280">
        <v>2.02347048062045E-4</v>
      </c>
      <c r="N617" s="1271">
        <v>8.7970325642316508E-3</v>
      </c>
      <c r="O617" s="1257">
        <v>3.0000008598028201E-3</v>
      </c>
      <c r="P617" s="1257">
        <v>8.2249125040847904E-3</v>
      </c>
      <c r="Q617" s="1280">
        <v>8.7970325642316508E-3</v>
      </c>
      <c r="R617" s="1271">
        <v>3.8500011034136201E-2</v>
      </c>
      <c r="S617" s="1257">
        <v>3.8500011034136201E-2</v>
      </c>
      <c r="T617" s="1257">
        <v>3.8500011034136201E-2</v>
      </c>
      <c r="U617" s="1280">
        <v>1.9250005517068101E-2</v>
      </c>
      <c r="V617" s="1293">
        <v>7.3594670899692098E-3</v>
      </c>
    </row>
    <row r="618" spans="1:22" s="212" customFormat="1" ht="15.5" x14ac:dyDescent="0.35">
      <c r="A618" s="198">
        <v>2026</v>
      </c>
      <c r="B618" s="197" t="s">
        <v>5833</v>
      </c>
      <c r="C618" s="197">
        <v>1998</v>
      </c>
      <c r="D618" s="225" t="str">
        <f t="shared" si="3"/>
        <v>2026_1998</v>
      </c>
      <c r="E618" s="1226">
        <v>8.1202741526550298E-2</v>
      </c>
      <c r="F618" s="1257">
        <v>1.45075641770968E-2</v>
      </c>
      <c r="G618" s="1280">
        <v>2.28452026956283E-2</v>
      </c>
      <c r="H618" s="1271">
        <v>0.52401251788876901</v>
      </c>
      <c r="I618" s="1257">
        <v>0.44332370951588401</v>
      </c>
      <c r="J618" s="1280">
        <v>0.70937360380433501</v>
      </c>
      <c r="K618" s="1271">
        <v>7.0410998013689403E-3</v>
      </c>
      <c r="L618" s="1257">
        <v>4.0580038050120698E-4</v>
      </c>
      <c r="M618" s="1280">
        <v>2.02347048062045E-4</v>
      </c>
      <c r="N618" s="1271">
        <v>8.7970325642316508E-3</v>
      </c>
      <c r="O618" s="1257">
        <v>3.0000008598028201E-3</v>
      </c>
      <c r="P618" s="1257">
        <v>8.2249125040847904E-3</v>
      </c>
      <c r="Q618" s="1280">
        <v>8.7970325642316508E-3</v>
      </c>
      <c r="R618" s="1271">
        <v>3.8500011034136201E-2</v>
      </c>
      <c r="S618" s="1257">
        <v>3.8500011034136201E-2</v>
      </c>
      <c r="T618" s="1257">
        <v>3.8500011034136201E-2</v>
      </c>
      <c r="U618" s="1280">
        <v>1.9250005517068101E-2</v>
      </c>
      <c r="V618" s="1293">
        <v>7.3594670899692098E-3</v>
      </c>
    </row>
    <row r="619" spans="1:22" s="212" customFormat="1" ht="15.5" x14ac:dyDescent="0.35">
      <c r="A619" s="198">
        <v>2026</v>
      </c>
      <c r="B619" s="197" t="s">
        <v>5833</v>
      </c>
      <c r="C619" s="197">
        <v>1999</v>
      </c>
      <c r="D619" s="225" t="str">
        <f t="shared" si="3"/>
        <v>2026_1999</v>
      </c>
      <c r="E619" s="1226">
        <v>8.1202741526550298E-2</v>
      </c>
      <c r="F619" s="1257">
        <v>1.45075641770968E-2</v>
      </c>
      <c r="G619" s="1280">
        <v>2.28452026956283E-2</v>
      </c>
      <c r="H619" s="1271">
        <v>0.52401251788876901</v>
      </c>
      <c r="I619" s="1257">
        <v>0.44332370951588401</v>
      </c>
      <c r="J619" s="1280">
        <v>0.70937360380433501</v>
      </c>
      <c r="K619" s="1271">
        <v>7.0410998013689403E-3</v>
      </c>
      <c r="L619" s="1257">
        <v>4.0580038050120698E-4</v>
      </c>
      <c r="M619" s="1280">
        <v>2.02347048062045E-4</v>
      </c>
      <c r="N619" s="1271">
        <v>8.7970325642316508E-3</v>
      </c>
      <c r="O619" s="1257">
        <v>3.0000008598028201E-3</v>
      </c>
      <c r="P619" s="1257">
        <v>8.2249125040847904E-3</v>
      </c>
      <c r="Q619" s="1280">
        <v>8.7970325642316508E-3</v>
      </c>
      <c r="R619" s="1271">
        <v>3.8500011034136201E-2</v>
      </c>
      <c r="S619" s="1257">
        <v>3.8500011034136201E-2</v>
      </c>
      <c r="T619" s="1257">
        <v>3.8500011034136201E-2</v>
      </c>
      <c r="U619" s="1280">
        <v>1.9250005517068101E-2</v>
      </c>
      <c r="V619" s="1293">
        <v>7.3594670899692098E-3</v>
      </c>
    </row>
    <row r="620" spans="1:22" s="212" customFormat="1" ht="15.5" x14ac:dyDescent="0.35">
      <c r="A620" s="198">
        <v>2026</v>
      </c>
      <c r="B620" s="197" t="s">
        <v>5833</v>
      </c>
      <c r="C620" s="197">
        <v>2000</v>
      </c>
      <c r="D620" s="225" t="str">
        <f t="shared" si="3"/>
        <v>2026_2000</v>
      </c>
      <c r="E620" s="1226">
        <v>8.1202741526550298E-2</v>
      </c>
      <c r="F620" s="1257">
        <v>1.45075641770968E-2</v>
      </c>
      <c r="G620" s="1280">
        <v>2.28452026956283E-2</v>
      </c>
      <c r="H620" s="1271">
        <v>0.52401251788876901</v>
      </c>
      <c r="I620" s="1257">
        <v>0.44332370951588401</v>
      </c>
      <c r="J620" s="1280">
        <v>0.70937360380433501</v>
      </c>
      <c r="K620" s="1271">
        <v>7.0410998013689403E-3</v>
      </c>
      <c r="L620" s="1257">
        <v>4.0580038050120698E-4</v>
      </c>
      <c r="M620" s="1280">
        <v>2.02347048062045E-4</v>
      </c>
      <c r="N620" s="1271">
        <v>8.7970325642316508E-3</v>
      </c>
      <c r="O620" s="1257">
        <v>3.0000008598028201E-3</v>
      </c>
      <c r="P620" s="1257">
        <v>8.2249125040847904E-3</v>
      </c>
      <c r="Q620" s="1280">
        <v>8.7970325642316508E-3</v>
      </c>
      <c r="R620" s="1271">
        <v>3.8500011034136201E-2</v>
      </c>
      <c r="S620" s="1257">
        <v>3.8500011034136201E-2</v>
      </c>
      <c r="T620" s="1257">
        <v>3.8500011034136201E-2</v>
      </c>
      <c r="U620" s="1280">
        <v>1.9250005517068101E-2</v>
      </c>
      <c r="V620" s="1293">
        <v>7.3594670899692098E-3</v>
      </c>
    </row>
    <row r="621" spans="1:22" s="212" customFormat="1" ht="15.5" x14ac:dyDescent="0.35">
      <c r="A621" s="198">
        <v>2026</v>
      </c>
      <c r="B621" s="197" t="s">
        <v>5833</v>
      </c>
      <c r="C621" s="197">
        <v>2001</v>
      </c>
      <c r="D621" s="225" t="str">
        <f t="shared" si="3"/>
        <v>2026_2001</v>
      </c>
      <c r="E621" s="1226">
        <v>8.1202741526550298E-2</v>
      </c>
      <c r="F621" s="1257">
        <v>1.45075641770968E-2</v>
      </c>
      <c r="G621" s="1280">
        <v>2.28452026956283E-2</v>
      </c>
      <c r="H621" s="1271">
        <v>0.52401251788876901</v>
      </c>
      <c r="I621" s="1257">
        <v>0.44332370951588401</v>
      </c>
      <c r="J621" s="1280">
        <v>0.70937360380433501</v>
      </c>
      <c r="K621" s="1271">
        <v>7.0410998013689403E-3</v>
      </c>
      <c r="L621" s="1257">
        <v>4.0580038050120698E-4</v>
      </c>
      <c r="M621" s="1280">
        <v>2.02347048062045E-4</v>
      </c>
      <c r="N621" s="1271">
        <v>8.7970325642316508E-3</v>
      </c>
      <c r="O621" s="1257">
        <v>3.0000008598028201E-3</v>
      </c>
      <c r="P621" s="1257">
        <v>8.2249125040847904E-3</v>
      </c>
      <c r="Q621" s="1280">
        <v>8.7970325642316508E-3</v>
      </c>
      <c r="R621" s="1271">
        <v>3.8500011034136201E-2</v>
      </c>
      <c r="S621" s="1257">
        <v>3.8500011034136201E-2</v>
      </c>
      <c r="T621" s="1257">
        <v>3.8500011034136201E-2</v>
      </c>
      <c r="U621" s="1280">
        <v>1.9250005517068101E-2</v>
      </c>
      <c r="V621" s="1293">
        <v>7.3594670899692098E-3</v>
      </c>
    </row>
    <row r="622" spans="1:22" s="212" customFormat="1" ht="15.5" x14ac:dyDescent="0.35">
      <c r="A622" s="198">
        <v>2026</v>
      </c>
      <c r="B622" s="197" t="s">
        <v>5833</v>
      </c>
      <c r="C622" s="197">
        <v>2002</v>
      </c>
      <c r="D622" s="225" t="str">
        <f t="shared" si="3"/>
        <v>2026_2002</v>
      </c>
      <c r="E622" s="1226">
        <v>8.1202741526550298E-2</v>
      </c>
      <c r="F622" s="1257">
        <v>1.45075641770968E-2</v>
      </c>
      <c r="G622" s="1280">
        <v>2.28452026956283E-2</v>
      </c>
      <c r="H622" s="1271">
        <v>0.52401251788876901</v>
      </c>
      <c r="I622" s="1257">
        <v>0.44332370951588401</v>
      </c>
      <c r="J622" s="1280">
        <v>0.70937360380433501</v>
      </c>
      <c r="K622" s="1271">
        <v>7.0410998013689403E-3</v>
      </c>
      <c r="L622" s="1257">
        <v>4.0580038050120698E-4</v>
      </c>
      <c r="M622" s="1280">
        <v>2.02347048062045E-4</v>
      </c>
      <c r="N622" s="1271">
        <v>8.7970325642316508E-3</v>
      </c>
      <c r="O622" s="1257">
        <v>3.0000008598028201E-3</v>
      </c>
      <c r="P622" s="1257">
        <v>8.2249125040847904E-3</v>
      </c>
      <c r="Q622" s="1280">
        <v>8.7970325642316508E-3</v>
      </c>
      <c r="R622" s="1271">
        <v>3.8500011034136201E-2</v>
      </c>
      <c r="S622" s="1257">
        <v>3.8500011034136201E-2</v>
      </c>
      <c r="T622" s="1257">
        <v>3.8500011034136201E-2</v>
      </c>
      <c r="U622" s="1280">
        <v>1.9250005517068101E-2</v>
      </c>
      <c r="V622" s="1293">
        <v>7.3594670899692098E-3</v>
      </c>
    </row>
    <row r="623" spans="1:22" s="212" customFormat="1" ht="15.5" x14ac:dyDescent="0.35">
      <c r="A623" s="198">
        <v>2026</v>
      </c>
      <c r="B623" s="197" t="s">
        <v>5833</v>
      </c>
      <c r="C623" s="197">
        <v>2003</v>
      </c>
      <c r="D623" s="225" t="str">
        <f t="shared" si="3"/>
        <v>2026_2003</v>
      </c>
      <c r="E623" s="1226">
        <v>8.1202741526550298E-2</v>
      </c>
      <c r="F623" s="1257">
        <v>1.45075641770968E-2</v>
      </c>
      <c r="G623" s="1280">
        <v>2.28452026956283E-2</v>
      </c>
      <c r="H623" s="1271">
        <v>0.52401251788876901</v>
      </c>
      <c r="I623" s="1257">
        <v>0.44332370951588401</v>
      </c>
      <c r="J623" s="1280">
        <v>0.70937360380433501</v>
      </c>
      <c r="K623" s="1271">
        <v>7.0410998013689403E-3</v>
      </c>
      <c r="L623" s="1257">
        <v>4.0580038050120698E-4</v>
      </c>
      <c r="M623" s="1280">
        <v>2.02347048062045E-4</v>
      </c>
      <c r="N623" s="1271">
        <v>8.7970325642316508E-3</v>
      </c>
      <c r="O623" s="1257">
        <v>3.0000008598028201E-3</v>
      </c>
      <c r="P623" s="1257">
        <v>8.2249125040847904E-3</v>
      </c>
      <c r="Q623" s="1280">
        <v>8.7970325642316508E-3</v>
      </c>
      <c r="R623" s="1271">
        <v>3.8500011034136201E-2</v>
      </c>
      <c r="S623" s="1257">
        <v>3.8500011034136201E-2</v>
      </c>
      <c r="T623" s="1257">
        <v>3.8500011034136201E-2</v>
      </c>
      <c r="U623" s="1280">
        <v>1.9250005517068101E-2</v>
      </c>
      <c r="V623" s="1293">
        <v>7.3594670899692098E-3</v>
      </c>
    </row>
    <row r="624" spans="1:22" s="212" customFormat="1" ht="15.5" x14ac:dyDescent="0.35">
      <c r="A624" s="198">
        <v>2026</v>
      </c>
      <c r="B624" s="197" t="s">
        <v>5833</v>
      </c>
      <c r="C624" s="197">
        <v>2004</v>
      </c>
      <c r="D624" s="225" t="str">
        <f t="shared" si="3"/>
        <v>2026_2004</v>
      </c>
      <c r="E624" s="1226">
        <v>8.1202741526550298E-2</v>
      </c>
      <c r="F624" s="1257">
        <v>1.45075641770968E-2</v>
      </c>
      <c r="G624" s="1280">
        <v>2.28452026956283E-2</v>
      </c>
      <c r="H624" s="1271">
        <v>0.52401251788876901</v>
      </c>
      <c r="I624" s="1257">
        <v>0.44332370951588401</v>
      </c>
      <c r="J624" s="1280">
        <v>0.70937360380433501</v>
      </c>
      <c r="K624" s="1271">
        <v>7.0410998013689403E-3</v>
      </c>
      <c r="L624" s="1257">
        <v>4.0580038050120698E-4</v>
      </c>
      <c r="M624" s="1280">
        <v>2.02347048062045E-4</v>
      </c>
      <c r="N624" s="1271">
        <v>8.7970325642316508E-3</v>
      </c>
      <c r="O624" s="1257">
        <v>3.0000008598028201E-3</v>
      </c>
      <c r="P624" s="1257">
        <v>8.2249125040847904E-3</v>
      </c>
      <c r="Q624" s="1280">
        <v>8.7970325642316508E-3</v>
      </c>
      <c r="R624" s="1271">
        <v>3.8500011034136201E-2</v>
      </c>
      <c r="S624" s="1257">
        <v>3.8500011034136201E-2</v>
      </c>
      <c r="T624" s="1257">
        <v>3.8500011034136201E-2</v>
      </c>
      <c r="U624" s="1280">
        <v>1.9250005517068101E-2</v>
      </c>
      <c r="V624" s="1293">
        <v>7.3594670899692098E-3</v>
      </c>
    </row>
    <row r="625" spans="1:22" s="212" customFormat="1" ht="15.5" x14ac:dyDescent="0.35">
      <c r="A625" s="198">
        <v>2026</v>
      </c>
      <c r="B625" s="197" t="s">
        <v>5833</v>
      </c>
      <c r="C625" s="197">
        <v>2005</v>
      </c>
      <c r="D625" s="225" t="str">
        <f t="shared" si="3"/>
        <v>2026_2005</v>
      </c>
      <c r="E625" s="1226">
        <v>8.1202741526550298E-2</v>
      </c>
      <c r="F625" s="1257">
        <v>1.45075641770968E-2</v>
      </c>
      <c r="G625" s="1280">
        <v>2.28452026956283E-2</v>
      </c>
      <c r="H625" s="1271">
        <v>0.52401251788876901</v>
      </c>
      <c r="I625" s="1257">
        <v>0.44332370951588401</v>
      </c>
      <c r="J625" s="1280">
        <v>0.70937360380433501</v>
      </c>
      <c r="K625" s="1271">
        <v>7.0410998013689403E-3</v>
      </c>
      <c r="L625" s="1257">
        <v>4.0580038050120698E-4</v>
      </c>
      <c r="M625" s="1280">
        <v>2.02347048062045E-4</v>
      </c>
      <c r="N625" s="1271">
        <v>8.7970325642316508E-3</v>
      </c>
      <c r="O625" s="1257">
        <v>3.0000008598028201E-3</v>
      </c>
      <c r="P625" s="1257">
        <v>8.2249125040847904E-3</v>
      </c>
      <c r="Q625" s="1280">
        <v>8.7970325642316508E-3</v>
      </c>
      <c r="R625" s="1271">
        <v>3.8500011034136201E-2</v>
      </c>
      <c r="S625" s="1257">
        <v>3.8500011034136201E-2</v>
      </c>
      <c r="T625" s="1257">
        <v>3.8500011034136201E-2</v>
      </c>
      <c r="U625" s="1280">
        <v>1.9250005517068101E-2</v>
      </c>
      <c r="V625" s="1293">
        <v>7.3594670899692098E-3</v>
      </c>
    </row>
    <row r="626" spans="1:22" s="212" customFormat="1" ht="15.5" x14ac:dyDescent="0.35">
      <c r="A626" s="198">
        <v>2026</v>
      </c>
      <c r="B626" s="197" t="s">
        <v>5833</v>
      </c>
      <c r="C626" s="197">
        <v>2006</v>
      </c>
      <c r="D626" s="225" t="str">
        <f t="shared" si="3"/>
        <v>2026_2006</v>
      </c>
      <c r="E626" s="1226">
        <v>8.1202741526550298E-2</v>
      </c>
      <c r="F626" s="1257">
        <v>1.45075641770968E-2</v>
      </c>
      <c r="G626" s="1280">
        <v>2.28452026956283E-2</v>
      </c>
      <c r="H626" s="1271">
        <v>0.52401251788876901</v>
      </c>
      <c r="I626" s="1257">
        <v>0.44332370951588401</v>
      </c>
      <c r="J626" s="1280">
        <v>0.70937360380433501</v>
      </c>
      <c r="K626" s="1271">
        <v>7.0410998013689403E-3</v>
      </c>
      <c r="L626" s="1257">
        <v>4.0580038050120698E-4</v>
      </c>
      <c r="M626" s="1280">
        <v>2.02347048062045E-4</v>
      </c>
      <c r="N626" s="1271">
        <v>8.7970325642316508E-3</v>
      </c>
      <c r="O626" s="1257">
        <v>3.0000008598028201E-3</v>
      </c>
      <c r="P626" s="1257">
        <v>8.2249125040847904E-3</v>
      </c>
      <c r="Q626" s="1280">
        <v>8.7970325642316508E-3</v>
      </c>
      <c r="R626" s="1271">
        <v>3.8500011034136201E-2</v>
      </c>
      <c r="S626" s="1257">
        <v>3.8500011034136201E-2</v>
      </c>
      <c r="T626" s="1257">
        <v>3.8500011034136201E-2</v>
      </c>
      <c r="U626" s="1280">
        <v>1.9250005517068101E-2</v>
      </c>
      <c r="V626" s="1293">
        <v>7.3594670899692098E-3</v>
      </c>
    </row>
    <row r="627" spans="1:22" s="212" customFormat="1" ht="15.5" x14ac:dyDescent="0.35">
      <c r="A627" s="198">
        <v>2026</v>
      </c>
      <c r="B627" s="197" t="s">
        <v>5833</v>
      </c>
      <c r="C627" s="197">
        <v>2007</v>
      </c>
      <c r="D627" s="225" t="str">
        <f t="shared" si="3"/>
        <v>2026_2007</v>
      </c>
      <c r="E627" s="1226">
        <v>8.1202741526550298E-2</v>
      </c>
      <c r="F627" s="1257">
        <v>1.45075641770968E-2</v>
      </c>
      <c r="G627" s="1280">
        <v>2.28452026956283E-2</v>
      </c>
      <c r="H627" s="1271">
        <v>0.52401251788876901</v>
      </c>
      <c r="I627" s="1257">
        <v>0.44332370951588401</v>
      </c>
      <c r="J627" s="1280">
        <v>0.70937360380433501</v>
      </c>
      <c r="K627" s="1271">
        <v>7.0410998013689403E-3</v>
      </c>
      <c r="L627" s="1257">
        <v>4.0580038050120698E-4</v>
      </c>
      <c r="M627" s="1280">
        <v>2.02347048062045E-4</v>
      </c>
      <c r="N627" s="1271">
        <v>8.7970325642316508E-3</v>
      </c>
      <c r="O627" s="1257">
        <v>3.0000008598028201E-3</v>
      </c>
      <c r="P627" s="1257">
        <v>8.2249125040847904E-3</v>
      </c>
      <c r="Q627" s="1280">
        <v>8.7970325642316508E-3</v>
      </c>
      <c r="R627" s="1271">
        <v>3.8500011034136201E-2</v>
      </c>
      <c r="S627" s="1257">
        <v>3.8500011034136201E-2</v>
      </c>
      <c r="T627" s="1257">
        <v>3.8500011034136201E-2</v>
      </c>
      <c r="U627" s="1280">
        <v>1.9250005517068101E-2</v>
      </c>
      <c r="V627" s="1293">
        <v>7.3594670899692098E-3</v>
      </c>
    </row>
    <row r="628" spans="1:22" s="212" customFormat="1" ht="15.5" x14ac:dyDescent="0.35">
      <c r="A628" s="198">
        <v>2026</v>
      </c>
      <c r="B628" s="197" t="s">
        <v>5833</v>
      </c>
      <c r="C628" s="197">
        <v>2008</v>
      </c>
      <c r="D628" s="225" t="str">
        <f t="shared" si="3"/>
        <v>2026_2008</v>
      </c>
      <c r="E628" s="1226">
        <v>8.1202741526550298E-2</v>
      </c>
      <c r="F628" s="1257">
        <v>1.45075641770968E-2</v>
      </c>
      <c r="G628" s="1280">
        <v>2.28452026956283E-2</v>
      </c>
      <c r="H628" s="1271">
        <v>0.52401251788876901</v>
      </c>
      <c r="I628" s="1257">
        <v>0.44332370951588401</v>
      </c>
      <c r="J628" s="1280">
        <v>0.70937360380433501</v>
      </c>
      <c r="K628" s="1271">
        <v>7.0410998013689403E-3</v>
      </c>
      <c r="L628" s="1257">
        <v>4.0580038050120698E-4</v>
      </c>
      <c r="M628" s="1280">
        <v>2.02347048062045E-4</v>
      </c>
      <c r="N628" s="1271">
        <v>8.7970325642316508E-3</v>
      </c>
      <c r="O628" s="1257">
        <v>3.0000008598028201E-3</v>
      </c>
      <c r="P628" s="1257">
        <v>8.2249125040847904E-3</v>
      </c>
      <c r="Q628" s="1280">
        <v>8.7970325642316508E-3</v>
      </c>
      <c r="R628" s="1271">
        <v>3.8500011034136201E-2</v>
      </c>
      <c r="S628" s="1257">
        <v>3.8500011034136201E-2</v>
      </c>
      <c r="T628" s="1257">
        <v>3.8500011034136201E-2</v>
      </c>
      <c r="U628" s="1280">
        <v>1.9250005517068101E-2</v>
      </c>
      <c r="V628" s="1293">
        <v>7.3594670899692098E-3</v>
      </c>
    </row>
    <row r="629" spans="1:22" s="212" customFormat="1" ht="15.5" x14ac:dyDescent="0.35">
      <c r="A629" s="198">
        <v>2026</v>
      </c>
      <c r="B629" s="197" t="s">
        <v>5833</v>
      </c>
      <c r="C629" s="197">
        <v>2009</v>
      </c>
      <c r="D629" s="225" t="str">
        <f t="shared" si="3"/>
        <v>2026_2009</v>
      </c>
      <c r="E629" s="1226">
        <v>8.1202741526550298E-2</v>
      </c>
      <c r="F629" s="1257">
        <v>1.45075641770968E-2</v>
      </c>
      <c r="G629" s="1280">
        <v>2.28452026956283E-2</v>
      </c>
      <c r="H629" s="1271">
        <v>0.52401251788876901</v>
      </c>
      <c r="I629" s="1257">
        <v>0.44332370951588401</v>
      </c>
      <c r="J629" s="1280">
        <v>0.70937360380433501</v>
      </c>
      <c r="K629" s="1271">
        <v>7.0410998013689403E-3</v>
      </c>
      <c r="L629" s="1257">
        <v>4.0580038050120698E-4</v>
      </c>
      <c r="M629" s="1280">
        <v>2.02347048062045E-4</v>
      </c>
      <c r="N629" s="1271">
        <v>8.7970325642316508E-3</v>
      </c>
      <c r="O629" s="1257">
        <v>3.0000008598028201E-3</v>
      </c>
      <c r="P629" s="1257">
        <v>8.2249125040847904E-3</v>
      </c>
      <c r="Q629" s="1280">
        <v>8.7970325642316508E-3</v>
      </c>
      <c r="R629" s="1271">
        <v>3.8500011034136201E-2</v>
      </c>
      <c r="S629" s="1257">
        <v>3.8500011034136201E-2</v>
      </c>
      <c r="T629" s="1257">
        <v>3.8500011034136201E-2</v>
      </c>
      <c r="U629" s="1280">
        <v>1.9250005517068101E-2</v>
      </c>
      <c r="V629" s="1293">
        <v>7.3594670899692098E-3</v>
      </c>
    </row>
    <row r="630" spans="1:22" s="212" customFormat="1" ht="15.5" x14ac:dyDescent="0.35">
      <c r="A630" s="198">
        <v>2026</v>
      </c>
      <c r="B630" s="197" t="s">
        <v>5833</v>
      </c>
      <c r="C630" s="197">
        <v>2010</v>
      </c>
      <c r="D630" s="225" t="str">
        <f t="shared" si="3"/>
        <v>2026_2010</v>
      </c>
      <c r="E630" s="1226">
        <v>8.1202741526550298E-2</v>
      </c>
      <c r="F630" s="1257">
        <v>1.45075641770968E-2</v>
      </c>
      <c r="G630" s="1280">
        <v>2.28452026956283E-2</v>
      </c>
      <c r="H630" s="1271">
        <v>0.52401251788876901</v>
      </c>
      <c r="I630" s="1257">
        <v>0.44332370951588401</v>
      </c>
      <c r="J630" s="1280">
        <v>0.70937360380433501</v>
      </c>
      <c r="K630" s="1271">
        <v>7.0410998013689403E-3</v>
      </c>
      <c r="L630" s="1257">
        <v>4.0580038050120698E-4</v>
      </c>
      <c r="M630" s="1280">
        <v>2.02347048062045E-4</v>
      </c>
      <c r="N630" s="1271">
        <v>8.7970325642316508E-3</v>
      </c>
      <c r="O630" s="1257">
        <v>3.0000008598028201E-3</v>
      </c>
      <c r="P630" s="1257">
        <v>8.2249125040847904E-3</v>
      </c>
      <c r="Q630" s="1280">
        <v>8.7970325642316508E-3</v>
      </c>
      <c r="R630" s="1271">
        <v>3.8500011034136201E-2</v>
      </c>
      <c r="S630" s="1257">
        <v>3.8500011034136201E-2</v>
      </c>
      <c r="T630" s="1257">
        <v>3.8500011034136201E-2</v>
      </c>
      <c r="U630" s="1280">
        <v>1.9250005517068101E-2</v>
      </c>
      <c r="V630" s="1293">
        <v>7.3594670899692098E-3</v>
      </c>
    </row>
    <row r="631" spans="1:22" s="212" customFormat="1" ht="15.5" x14ac:dyDescent="0.35">
      <c r="A631" s="198">
        <v>2026</v>
      </c>
      <c r="B631" s="197" t="s">
        <v>5833</v>
      </c>
      <c r="C631" s="197">
        <v>2011</v>
      </c>
      <c r="D631" s="225" t="str">
        <f t="shared" si="3"/>
        <v>2026_2011</v>
      </c>
      <c r="E631" s="1226">
        <v>8.1202741526550298E-2</v>
      </c>
      <c r="F631" s="1257">
        <v>1.45075641770968E-2</v>
      </c>
      <c r="G631" s="1280">
        <v>2.28452026956283E-2</v>
      </c>
      <c r="H631" s="1271">
        <v>0.52401251788876901</v>
      </c>
      <c r="I631" s="1257">
        <v>0.44332370951588401</v>
      </c>
      <c r="J631" s="1280">
        <v>0.70937360380433501</v>
      </c>
      <c r="K631" s="1271">
        <v>7.0410998013689403E-3</v>
      </c>
      <c r="L631" s="1257">
        <v>4.0580038050120698E-4</v>
      </c>
      <c r="M631" s="1280">
        <v>2.02347048062045E-4</v>
      </c>
      <c r="N631" s="1271">
        <v>8.7970325642316508E-3</v>
      </c>
      <c r="O631" s="1257">
        <v>3.0000008598028201E-3</v>
      </c>
      <c r="P631" s="1257">
        <v>8.2249125040847904E-3</v>
      </c>
      <c r="Q631" s="1280">
        <v>8.7970325642316508E-3</v>
      </c>
      <c r="R631" s="1271">
        <v>3.8500011034136201E-2</v>
      </c>
      <c r="S631" s="1257">
        <v>3.8500011034136201E-2</v>
      </c>
      <c r="T631" s="1257">
        <v>3.8500011034136201E-2</v>
      </c>
      <c r="U631" s="1280">
        <v>1.9250005517068101E-2</v>
      </c>
      <c r="V631" s="1293">
        <v>7.3594670899692098E-3</v>
      </c>
    </row>
    <row r="632" spans="1:22" s="212" customFormat="1" ht="15.5" x14ac:dyDescent="0.35">
      <c r="A632" s="198">
        <v>2026</v>
      </c>
      <c r="B632" s="197" t="s">
        <v>5833</v>
      </c>
      <c r="C632" s="197">
        <v>2012</v>
      </c>
      <c r="D632" s="225" t="str">
        <f t="shared" si="3"/>
        <v>2026_2012</v>
      </c>
      <c r="E632" s="1231">
        <v>8.1202741526550298E-2</v>
      </c>
      <c r="F632" s="1288">
        <v>1.45075641770968E-2</v>
      </c>
      <c r="G632" s="1306">
        <v>2.28452026956283E-2</v>
      </c>
      <c r="H632" s="1303">
        <v>0.52401251788876901</v>
      </c>
      <c r="I632" s="1288">
        <v>0.44332370951588401</v>
      </c>
      <c r="J632" s="1306">
        <v>0.70937360380433501</v>
      </c>
      <c r="K632" s="1303">
        <v>7.0410998013689403E-3</v>
      </c>
      <c r="L632" s="1288">
        <v>4.0580038050120698E-4</v>
      </c>
      <c r="M632" s="1306">
        <v>2.02347048062045E-4</v>
      </c>
      <c r="N632" s="1303">
        <v>8.7970325642316508E-3</v>
      </c>
      <c r="O632" s="1288">
        <v>3.0000008598028201E-3</v>
      </c>
      <c r="P632" s="1288">
        <v>8.2249125040847904E-3</v>
      </c>
      <c r="Q632" s="1306">
        <v>7.8209757815365898E-3</v>
      </c>
      <c r="R632" s="1303">
        <v>3.8500011034136201E-2</v>
      </c>
      <c r="S632" s="1288">
        <v>3.8500011034136201E-2</v>
      </c>
      <c r="T632" s="1288">
        <v>3.8500011034136201E-2</v>
      </c>
      <c r="U632" s="1306">
        <v>1.9250005517068101E-2</v>
      </c>
      <c r="V632" s="1294">
        <v>7.3594670899692098E-3</v>
      </c>
    </row>
    <row r="633" spans="1:22" s="212" customFormat="1" ht="15.5" x14ac:dyDescent="0.35">
      <c r="A633" s="198">
        <v>2026</v>
      </c>
      <c r="B633" s="197" t="s">
        <v>5833</v>
      </c>
      <c r="C633" s="197">
        <v>2013</v>
      </c>
      <c r="D633" s="225" t="str">
        <f t="shared" si="3"/>
        <v>2026_2013</v>
      </c>
      <c r="E633" s="1231">
        <v>7.0698766939479005E-2</v>
      </c>
      <c r="F633" s="1288">
        <v>1.31537133441256E-2</v>
      </c>
      <c r="G633" s="1306">
        <v>2.3845665792796501E-2</v>
      </c>
      <c r="H633" s="1303">
        <v>0.40191711707371303</v>
      </c>
      <c r="I633" s="1288">
        <v>0.40506693294110102</v>
      </c>
      <c r="J633" s="1306">
        <v>0.75001309053591503</v>
      </c>
      <c r="K633" s="1303">
        <v>7.0600586635138204E-3</v>
      </c>
      <c r="L633" s="1288">
        <v>5.5528392724566995E-4</v>
      </c>
      <c r="M633" s="1306">
        <v>2.11937786881707E-4</v>
      </c>
      <c r="N633" s="1303">
        <v>8.3905913196603808E-3</v>
      </c>
      <c r="O633" s="1288">
        <v>3.0000008598028201E-3</v>
      </c>
      <c r="P633" s="1288">
        <v>8.3928831765067401E-3</v>
      </c>
      <c r="Q633" s="1306">
        <v>3.8946870232350601E-3</v>
      </c>
      <c r="R633" s="1303">
        <v>3.8500011034136201E-2</v>
      </c>
      <c r="S633" s="1288">
        <v>3.8500011034136201E-2</v>
      </c>
      <c r="T633" s="1288">
        <v>3.8500011034136201E-2</v>
      </c>
      <c r="U633" s="1306">
        <v>1.9250005517068101E-2</v>
      </c>
      <c r="V633" s="1294">
        <v>7.3792831877315798E-3</v>
      </c>
    </row>
    <row r="634" spans="1:22" s="212" customFormat="1" ht="15.5" x14ac:dyDescent="0.35">
      <c r="A634" s="198">
        <v>2026</v>
      </c>
      <c r="B634" s="197" t="s">
        <v>5833</v>
      </c>
      <c r="C634" s="197">
        <v>2014</v>
      </c>
      <c r="D634" s="225" t="str">
        <f t="shared" si="3"/>
        <v>2026_2014</v>
      </c>
      <c r="E634" s="1231">
        <v>6.8914048668578198E-2</v>
      </c>
      <c r="F634" s="1288">
        <v>1.2858732617523599E-2</v>
      </c>
      <c r="G634" s="1306">
        <v>2.5989824456671199E-2</v>
      </c>
      <c r="H634" s="1303">
        <v>0.40176922976075402</v>
      </c>
      <c r="I634" s="1288">
        <v>0.37608107751271602</v>
      </c>
      <c r="J634" s="1306">
        <v>0.83604122200756403</v>
      </c>
      <c r="K634" s="1303">
        <v>6.5755152698316801E-3</v>
      </c>
      <c r="L634" s="1288">
        <v>7.5183982991798603E-4</v>
      </c>
      <c r="M634" s="1306">
        <v>2.33250512689833E-4</v>
      </c>
      <c r="N634" s="1303">
        <v>7.8950521224942904E-3</v>
      </c>
      <c r="O634" s="1288">
        <v>3.0000008598028201E-3</v>
      </c>
      <c r="P634" s="1288">
        <v>8.8280970812257397E-3</v>
      </c>
      <c r="Q634" s="1306">
        <v>8.3610738541171504E-3</v>
      </c>
      <c r="R634" s="1303">
        <v>3.8500011034136201E-2</v>
      </c>
      <c r="S634" s="1288">
        <v>3.8500011034136201E-2</v>
      </c>
      <c r="T634" s="1288">
        <v>3.8500011034136201E-2</v>
      </c>
      <c r="U634" s="1306">
        <v>1.9250005517068101E-2</v>
      </c>
      <c r="V634" s="1294">
        <v>6.8728308919166004E-3</v>
      </c>
    </row>
    <row r="635" spans="1:22" s="212" customFormat="1" ht="15.5" x14ac:dyDescent="0.35">
      <c r="A635" s="198">
        <v>2026</v>
      </c>
      <c r="B635" s="197" t="s">
        <v>5833</v>
      </c>
      <c r="C635" s="197">
        <v>2015</v>
      </c>
      <c r="D635" s="225" t="str">
        <f t="shared" si="3"/>
        <v>2026_2015</v>
      </c>
      <c r="E635" s="1231">
        <v>7.1413012908744994E-2</v>
      </c>
      <c r="F635" s="1288">
        <v>1.8434013212132502E-2</v>
      </c>
      <c r="G635" s="1306">
        <v>2.43938758993319E-2</v>
      </c>
      <c r="H635" s="1303">
        <v>0.41388118053765499</v>
      </c>
      <c r="I635" s="1288">
        <v>0.37410640533527201</v>
      </c>
      <c r="J635" s="1306">
        <v>0.76892347467825095</v>
      </c>
      <c r="K635" s="1303">
        <v>6.9635677656852803E-3</v>
      </c>
      <c r="L635" s="1288">
        <v>1.33920835643274E-3</v>
      </c>
      <c r="M635" s="1306">
        <v>2.1640271019478E-4</v>
      </c>
      <c r="N635" s="1303">
        <v>8.3420760758342993E-3</v>
      </c>
      <c r="O635" s="1288">
        <v>3.0000008598028201E-3</v>
      </c>
      <c r="P635" s="1288">
        <v>8.0249800962949192E-3</v>
      </c>
      <c r="Q635" s="1306">
        <v>7.1067392631803603E-3</v>
      </c>
      <c r="R635" s="1303">
        <v>3.8500011034136201E-2</v>
      </c>
      <c r="S635" s="1288">
        <v>3.8500011034136201E-2</v>
      </c>
      <c r="T635" s="1288">
        <v>3.8500011034136201E-2</v>
      </c>
      <c r="U635" s="1306">
        <v>1.9250005517068101E-2</v>
      </c>
      <c r="V635" s="1294">
        <v>7.2784293996752602E-3</v>
      </c>
    </row>
    <row r="636" spans="1:22" s="212" customFormat="1" ht="15.5" x14ac:dyDescent="0.35">
      <c r="A636" s="198">
        <v>2026</v>
      </c>
      <c r="B636" s="197" t="s">
        <v>5833</v>
      </c>
      <c r="C636" s="197">
        <v>2016</v>
      </c>
      <c r="D636" s="225" t="str">
        <f t="shared" si="3"/>
        <v>2026_2016</v>
      </c>
      <c r="E636" s="1231">
        <v>6.8825300569089004E-2</v>
      </c>
      <c r="F636" s="1288">
        <v>5.7569620078723399E-3</v>
      </c>
      <c r="G636" s="1306">
        <v>2.68353088974865E-2</v>
      </c>
      <c r="H636" s="1303">
        <v>0.38459886673488303</v>
      </c>
      <c r="I636" s="1288">
        <v>0.10457539113902201</v>
      </c>
      <c r="J636" s="1306">
        <v>0.84559496423185898</v>
      </c>
      <c r="K636" s="1303">
        <v>6.9449715958356997E-3</v>
      </c>
      <c r="L636" s="1288">
        <v>9.8632920472406494E-4</v>
      </c>
      <c r="M636" s="1306">
        <v>3.9013290782505098E-4</v>
      </c>
      <c r="N636" s="1303">
        <v>8.2117804972583804E-3</v>
      </c>
      <c r="O636" s="1288">
        <v>2.2085237200317599E-3</v>
      </c>
      <c r="P636" s="1288">
        <v>8.4738214777924994E-3</v>
      </c>
      <c r="Q636" s="1306">
        <v>7.9569585657918804E-3</v>
      </c>
      <c r="R636" s="1303">
        <v>3.84958616135E-2</v>
      </c>
      <c r="S636" s="1288">
        <v>3.3236688054658597E-2</v>
      </c>
      <c r="T636" s="1288">
        <v>3.8449978524626803E-2</v>
      </c>
      <c r="U636" s="1306">
        <v>1.9243523638359E-2</v>
      </c>
      <c r="V636" s="1294">
        <v>7.25899239354436E-3</v>
      </c>
    </row>
    <row r="637" spans="1:22" s="212" customFormat="1" ht="15.5" x14ac:dyDescent="0.35">
      <c r="A637" s="198">
        <v>2026</v>
      </c>
      <c r="B637" s="197" t="s">
        <v>5833</v>
      </c>
      <c r="C637" s="197">
        <v>2017</v>
      </c>
      <c r="D637" s="225" t="str">
        <f t="shared" si="3"/>
        <v>2026_2017</v>
      </c>
      <c r="E637" s="1231">
        <v>6.5920060995383098E-2</v>
      </c>
      <c r="F637" s="1288">
        <v>1.07867601814421E-2</v>
      </c>
      <c r="G637" s="1306">
        <v>2.25355257717882E-2</v>
      </c>
      <c r="H637" s="1303">
        <v>0.36368681821024101</v>
      </c>
      <c r="I637" s="1288">
        <v>0.17614353824696</v>
      </c>
      <c r="J637" s="1306">
        <v>0.52000448099710495</v>
      </c>
      <c r="K637" s="1303">
        <v>6.5654174093750899E-3</v>
      </c>
      <c r="L637" s="1288">
        <v>1.27119473826798E-3</v>
      </c>
      <c r="M637" s="1306">
        <v>1.6523166082334901E-3</v>
      </c>
      <c r="N637" s="1303">
        <v>7.8255510763968993E-3</v>
      </c>
      <c r="O637" s="1288">
        <v>2.4876782578978599E-3</v>
      </c>
      <c r="P637" s="1288">
        <v>6.84590347907488E-3</v>
      </c>
      <c r="Q637" s="1306">
        <v>8.0174328048109502E-3</v>
      </c>
      <c r="R637" s="1303">
        <v>3.8498015894693802E-2</v>
      </c>
      <c r="S637" s="1288">
        <v>3.5093065731468198E-2</v>
      </c>
      <c r="T637" s="1288">
        <v>3.7696008183240898E-2</v>
      </c>
      <c r="U637" s="1306">
        <v>1.90904064375991E-2</v>
      </c>
      <c r="V637" s="1294">
        <v>6.8622764510187602E-3</v>
      </c>
    </row>
    <row r="638" spans="1:22" s="212" customFormat="1" ht="15.5" x14ac:dyDescent="0.35">
      <c r="A638" s="198">
        <v>2026</v>
      </c>
      <c r="B638" s="197" t="s">
        <v>5833</v>
      </c>
      <c r="C638" s="197">
        <v>2018</v>
      </c>
      <c r="D638" s="225" t="str">
        <f t="shared" si="3"/>
        <v>2026_2018</v>
      </c>
      <c r="E638" s="1231">
        <v>6.9073731498585006E-2</v>
      </c>
      <c r="F638" s="1288">
        <v>9.1714735274686099E-3</v>
      </c>
      <c r="G638" s="1306">
        <v>5.53925886460018E-2</v>
      </c>
      <c r="H638" s="1303">
        <v>0.38520744950909702</v>
      </c>
      <c r="I638" s="1288">
        <v>0.16573099202149499</v>
      </c>
      <c r="J638" s="1306">
        <v>0.118115710759505</v>
      </c>
      <c r="K638" s="1303">
        <v>7.0007522176468899E-3</v>
      </c>
      <c r="L638" s="1288">
        <v>1.24416093997945E-3</v>
      </c>
      <c r="M638" s="1306">
        <v>1.5690670720098199E-3</v>
      </c>
      <c r="N638" s="1303">
        <v>8.2482763103661604E-3</v>
      </c>
      <c r="O638" s="1288">
        <v>2.4788674284457598E-3</v>
      </c>
      <c r="P638" s="1288">
        <v>7.1518389140904403E-3</v>
      </c>
      <c r="Q638" s="1306">
        <v>7.9389976672573793E-3</v>
      </c>
      <c r="R638" s="1303">
        <v>3.8487927441084202E-2</v>
      </c>
      <c r="S638" s="1288">
        <v>3.5034473715611698E-2</v>
      </c>
      <c r="T638" s="1288">
        <v>3.7881050835453497E-2</v>
      </c>
      <c r="U638" s="1306">
        <v>1.9240847680182201E-2</v>
      </c>
      <c r="V638" s="1294">
        <v>7.3172951675510101E-3</v>
      </c>
    </row>
    <row r="639" spans="1:22" s="212" customFormat="1" ht="15.5" x14ac:dyDescent="0.35">
      <c r="A639" s="198">
        <v>2026</v>
      </c>
      <c r="B639" s="197" t="s">
        <v>5833</v>
      </c>
      <c r="C639" s="197">
        <v>2019</v>
      </c>
      <c r="D639" s="225" t="str">
        <f t="shared" si="3"/>
        <v>2026_2019</v>
      </c>
      <c r="E639" s="1231">
        <v>7.1736171502023605E-2</v>
      </c>
      <c r="F639" s="1288">
        <v>7.52045037963132E-3</v>
      </c>
      <c r="G639" s="1306">
        <v>5.26166310668656E-2</v>
      </c>
      <c r="H639" s="1303">
        <v>0.40465657064474098</v>
      </c>
      <c r="I639" s="1288">
        <v>9.5763178174129396E-2</v>
      </c>
      <c r="J639" s="1306">
        <v>0.10991387387490401</v>
      </c>
      <c r="K639" s="1303">
        <v>7.3176372866807704E-3</v>
      </c>
      <c r="L639" s="1288">
        <v>1.2596148928725401E-3</v>
      </c>
      <c r="M639" s="1306">
        <v>8.8446764459032198E-4</v>
      </c>
      <c r="N639" s="1303">
        <v>8.5784756094915704E-3</v>
      </c>
      <c r="O639" s="1288">
        <v>2.2678037618185801E-3</v>
      </c>
      <c r="P639" s="1288">
        <v>6.9472013974099999E-3</v>
      </c>
      <c r="Q639" s="1306">
        <v>6.5198277035009699E-3</v>
      </c>
      <c r="R639" s="1303">
        <v>3.8479142353279497E-2</v>
      </c>
      <c r="S639" s="1288">
        <v>3.3630900332541E-2</v>
      </c>
      <c r="T639" s="1288">
        <v>3.8313426153581E-2</v>
      </c>
      <c r="U639" s="1306">
        <v>1.91759402311482E-2</v>
      </c>
      <c r="V639" s="1294">
        <v>7.6485083732499397E-3</v>
      </c>
    </row>
    <row r="640" spans="1:22" s="212" customFormat="1" ht="15.5" x14ac:dyDescent="0.35">
      <c r="A640" s="198">
        <v>2026</v>
      </c>
      <c r="B640" s="197" t="s">
        <v>5833</v>
      </c>
      <c r="C640" s="197">
        <v>2020</v>
      </c>
      <c r="D640" s="225" t="str">
        <f t="shared" si="3"/>
        <v>2026_2020</v>
      </c>
      <c r="E640" s="1231">
        <v>7.0152262459950002E-2</v>
      </c>
      <c r="F640" s="1288">
        <v>1.10568467642564E-2</v>
      </c>
      <c r="G640" s="1306">
        <v>6.2821584679630199E-2</v>
      </c>
      <c r="H640" s="1303">
        <v>0.38062254247567001</v>
      </c>
      <c r="I640" s="1288">
        <v>0.16418186725012601</v>
      </c>
      <c r="J640" s="1306">
        <v>0.110511911985339</v>
      </c>
      <c r="K640" s="1303">
        <v>7.4228471453877502E-3</v>
      </c>
      <c r="L640" s="1288">
        <v>1.4289093834131399E-3</v>
      </c>
      <c r="M640" s="1306">
        <v>5.5469176864895401E-4</v>
      </c>
      <c r="N640" s="1303">
        <v>7.9833333791551695E-3</v>
      </c>
      <c r="O640" s="1288">
        <v>2.5564819342454299E-3</v>
      </c>
      <c r="P640" s="1288">
        <v>8.4038559383648494E-3</v>
      </c>
      <c r="Q640" s="1280">
        <v>7.9833333791551695E-3</v>
      </c>
      <c r="R640" s="1303">
        <v>3.8201433945546703E-2</v>
      </c>
      <c r="S640" s="1288">
        <v>3.5550610179179501E-2</v>
      </c>
      <c r="T640" s="1288">
        <v>3.84339654728112E-2</v>
      </c>
      <c r="U640" s="1280">
        <v>1.9100716972773352E-2</v>
      </c>
      <c r="V640" s="1294">
        <v>7.7584753549058104E-3</v>
      </c>
    </row>
    <row r="641" spans="1:22" s="212" customFormat="1" ht="15.5" x14ac:dyDescent="0.35">
      <c r="A641" s="198">
        <v>2026</v>
      </c>
      <c r="B641" s="197" t="s">
        <v>5833</v>
      </c>
      <c r="C641" s="197">
        <v>2021</v>
      </c>
      <c r="D641" s="225" t="str">
        <f t="shared" si="3"/>
        <v>2026_2021</v>
      </c>
      <c r="E641" s="1231">
        <v>4.6997571562946303E-2</v>
      </c>
      <c r="F641" s="1288">
        <v>9.0258119416831793E-3</v>
      </c>
      <c r="G641" s="1306">
        <v>6.1653377116531398E-2</v>
      </c>
      <c r="H641" s="1303">
        <v>0.22452083225359101</v>
      </c>
      <c r="I641" s="1288">
        <v>0.130626903059818</v>
      </c>
      <c r="J641" s="1306">
        <v>0.10944707019653099</v>
      </c>
      <c r="K641" s="1303">
        <v>4.13372410452749E-3</v>
      </c>
      <c r="L641" s="1288">
        <v>1.29447408940927E-3</v>
      </c>
      <c r="M641" s="1306">
        <v>4.9926640453195302E-4</v>
      </c>
      <c r="N641" s="1303">
        <v>5.2005573391863203E-3</v>
      </c>
      <c r="O641" s="1288">
        <v>2.4976610123983601E-3</v>
      </c>
      <c r="P641" s="1288">
        <v>8.0760966133595798E-3</v>
      </c>
      <c r="Q641" s="1280">
        <v>5.2005573391863203E-3</v>
      </c>
      <c r="R641" s="1303">
        <v>3.8454039666674697E-2</v>
      </c>
      <c r="S641" s="1288">
        <v>3.5159451048896499E-2</v>
      </c>
      <c r="T641" s="1288">
        <v>3.8444897841275902E-2</v>
      </c>
      <c r="U641" s="1280">
        <v>1.9227019833337348E-2</v>
      </c>
      <c r="V641" s="1294">
        <v>4.3206327654051798E-3</v>
      </c>
    </row>
    <row r="642" spans="1:22" s="212" customFormat="1" ht="15.5" x14ac:dyDescent="0.35">
      <c r="A642" s="198">
        <v>2026</v>
      </c>
      <c r="B642" s="197" t="s">
        <v>5833</v>
      </c>
      <c r="C642" s="197">
        <v>2022</v>
      </c>
      <c r="D642" s="225" t="str">
        <f t="shared" si="3"/>
        <v>2026_2022</v>
      </c>
      <c r="E642" s="1231">
        <v>5.2262694928645499E-2</v>
      </c>
      <c r="F642" s="1288">
        <v>1.17506260698668E-2</v>
      </c>
      <c r="G642" s="1306">
        <v>6.4221009268743301E-2</v>
      </c>
      <c r="H642" s="1303">
        <v>0.258377142213013</v>
      </c>
      <c r="I642" s="1288">
        <v>0.172784423508239</v>
      </c>
      <c r="J642" s="1306">
        <v>0.129026429460913</v>
      </c>
      <c r="K642" s="1303">
        <v>4.8392014165169004E-3</v>
      </c>
      <c r="L642" s="1288">
        <v>1.3755938966898099E-3</v>
      </c>
      <c r="M642" s="1306">
        <v>5.1768885836905203E-4</v>
      </c>
      <c r="N642" s="1303">
        <v>5.8291303326976603E-3</v>
      </c>
      <c r="O642" s="1288">
        <v>2.7293186313072002E-3</v>
      </c>
      <c r="P642" s="1288">
        <v>8.5023565942144493E-3</v>
      </c>
      <c r="Q642" s="1280">
        <v>5.8291303326976603E-3</v>
      </c>
      <c r="R642" s="1303">
        <v>3.8389620268812097E-2</v>
      </c>
      <c r="S642" s="1288">
        <v>3.6699974214640302E-2</v>
      </c>
      <c r="T642" s="1288">
        <v>3.8456708920411802E-2</v>
      </c>
      <c r="U642" s="1280">
        <v>1.9194810134406048E-2</v>
      </c>
      <c r="V642" s="1294">
        <v>5.0580086309335503E-3</v>
      </c>
    </row>
    <row r="643" spans="1:22" s="212" customFormat="1" ht="15.5" x14ac:dyDescent="0.35">
      <c r="A643" s="198">
        <v>2026</v>
      </c>
      <c r="B643" s="197" t="s">
        <v>5833</v>
      </c>
      <c r="C643" s="197">
        <v>2023</v>
      </c>
      <c r="D643" s="225" t="str">
        <f t="shared" si="3"/>
        <v>2026_2023</v>
      </c>
      <c r="E643" s="1231">
        <v>5.8813783117962003E-2</v>
      </c>
      <c r="F643" s="1288">
        <v>1.0848542234809E-2</v>
      </c>
      <c r="G643" s="1306">
        <v>6.1709262335377199E-2</v>
      </c>
      <c r="H643" s="1303">
        <v>0.30913435184034499</v>
      </c>
      <c r="I643" s="1288">
        <v>0.136749782414541</v>
      </c>
      <c r="J643" s="1306">
        <v>9.6722422172171293E-2</v>
      </c>
      <c r="K643" s="1303">
        <v>5.6665221618703099E-3</v>
      </c>
      <c r="L643" s="1288">
        <v>1.3323000354510701E-3</v>
      </c>
      <c r="M643" s="1306">
        <v>4.0072317733455998E-4</v>
      </c>
      <c r="N643" s="1303">
        <v>6.8182408144928201E-3</v>
      </c>
      <c r="O643" s="1288">
        <v>2.6749741936355101E-3</v>
      </c>
      <c r="P643" s="1288">
        <v>8.3641682443387402E-3</v>
      </c>
      <c r="Q643" s="1280">
        <v>6.8182408144928201E-3</v>
      </c>
      <c r="R643" s="1303">
        <v>3.8454647584275803E-2</v>
      </c>
      <c r="S643" s="1288">
        <v>3.63385837041236E-2</v>
      </c>
      <c r="T643" s="1288">
        <v>3.8474991909915601E-2</v>
      </c>
      <c r="U643" s="1280">
        <v>1.9227323792137901E-2</v>
      </c>
      <c r="V643" s="1294">
        <v>5.9227371492103897E-3</v>
      </c>
    </row>
    <row r="644" spans="1:22" s="212" customFormat="1" ht="15.5" x14ac:dyDescent="0.35">
      <c r="A644" s="198">
        <v>2026</v>
      </c>
      <c r="B644" s="197" t="s">
        <v>5833</v>
      </c>
      <c r="C644" s="197">
        <v>2024</v>
      </c>
      <c r="D644" s="225" t="str">
        <f t="shared" si="3"/>
        <v>2026_2024</v>
      </c>
      <c r="E644" s="1231">
        <v>5.8022046648408397E-2</v>
      </c>
      <c r="F644" s="1288">
        <v>7.8858401364644906E-3</v>
      </c>
      <c r="G644" s="1306">
        <v>5.8344713032124802E-2</v>
      </c>
      <c r="H644" s="1303">
        <v>0.298625188212642</v>
      </c>
      <c r="I644" s="1288">
        <v>8.04524821645803E-2</v>
      </c>
      <c r="J644" s="1306">
        <v>9.3797363932299802E-2</v>
      </c>
      <c r="K644" s="1303">
        <v>5.56438471309124E-3</v>
      </c>
      <c r="L644" s="1288">
        <v>1.2935073821826501E-3</v>
      </c>
      <c r="M644" s="1306">
        <v>5.6377661140331002E-4</v>
      </c>
      <c r="N644" s="1303">
        <v>6.6054609126383699E-3</v>
      </c>
      <c r="O644" s="1288">
        <v>2.36481062436464E-3</v>
      </c>
      <c r="P644" s="1288">
        <v>7.7134479761966496E-3</v>
      </c>
      <c r="Q644" s="1306">
        <v>8.4690603859683099E-3</v>
      </c>
      <c r="R644" s="1303">
        <v>3.8367401713422698E-2</v>
      </c>
      <c r="S644" s="1288">
        <v>3.4275995968472299E-2</v>
      </c>
      <c r="T644" s="1288">
        <v>3.8318014894511698E-2</v>
      </c>
      <c r="U644" s="1306">
        <v>1.9250005517068101E-2</v>
      </c>
      <c r="V644" s="1294">
        <v>5.8159814982257597E-3</v>
      </c>
    </row>
    <row r="645" spans="1:22" s="212" customFormat="1" ht="15.5" x14ac:dyDescent="0.35">
      <c r="A645" s="198">
        <v>2026</v>
      </c>
      <c r="B645" s="197" t="s">
        <v>5833</v>
      </c>
      <c r="C645" s="197">
        <v>2025</v>
      </c>
      <c r="D645" s="225" t="str">
        <f t="shared" si="3"/>
        <v>2026_2025</v>
      </c>
      <c r="E645" s="1231">
        <v>6.6717798480482399E-2</v>
      </c>
      <c r="F645" s="1288">
        <v>8.1677641363996408E-3</v>
      </c>
      <c r="G645" s="1306">
        <v>5.47915524230096E-2</v>
      </c>
      <c r="H645" s="1303">
        <v>0.36249556484182599</v>
      </c>
      <c r="I645" s="1288">
        <v>6.0479786320181798E-2</v>
      </c>
      <c r="J645" s="1306">
        <v>8.6774354804917797E-2</v>
      </c>
      <c r="K645" s="1303">
        <v>6.6757992995069397E-3</v>
      </c>
      <c r="L645" s="1288">
        <v>1.34582569958762E-3</v>
      </c>
      <c r="M645" s="1306">
        <v>4.55500564429198E-4</v>
      </c>
      <c r="N645" s="1303">
        <v>7.8252844597192592E-3</v>
      </c>
      <c r="O645" s="1288">
        <v>2.2897841947133899E-3</v>
      </c>
      <c r="P645" s="1288">
        <v>7.2329655940149597E-3</v>
      </c>
      <c r="Q645" s="1306">
        <v>8.12190024590086E-3</v>
      </c>
      <c r="R645" s="1303">
        <v>3.83901922330784E-2</v>
      </c>
      <c r="S645" s="1288">
        <v>3.3777070211291498E-2</v>
      </c>
      <c r="T645" s="1288">
        <v>3.8395805477708898E-2</v>
      </c>
      <c r="U645" s="1306">
        <v>1.9250005517068101E-2</v>
      </c>
      <c r="V645" s="1294">
        <v>6.97764932040999E-3</v>
      </c>
    </row>
    <row r="646" spans="1:22" s="212" customFormat="1" ht="15.5" x14ac:dyDescent="0.35">
      <c r="A646" s="198">
        <v>2026</v>
      </c>
      <c r="B646" s="197" t="s">
        <v>5833</v>
      </c>
      <c r="C646" s="197">
        <v>2026</v>
      </c>
      <c r="D646" s="225" t="str">
        <f t="shared" si="3"/>
        <v>2026_2026</v>
      </c>
      <c r="E646" s="1231">
        <v>6.1301736524476999E-2</v>
      </c>
      <c r="F646" s="1288">
        <v>8.5155277645510806E-3</v>
      </c>
      <c r="G646" s="1306">
        <v>5.1450583078301797E-2</v>
      </c>
      <c r="H646" s="1303">
        <v>0.32785726822919598</v>
      </c>
      <c r="I646" s="1288">
        <v>6.8879923775115606E-2</v>
      </c>
      <c r="J646" s="1306">
        <v>7.99539504733182E-2</v>
      </c>
      <c r="K646" s="1303">
        <v>5.9359159954078602E-3</v>
      </c>
      <c r="L646" s="1288">
        <v>1.2689286775044799E-3</v>
      </c>
      <c r="M646" s="1306">
        <v>4.64288594501992E-4</v>
      </c>
      <c r="N646" s="1303">
        <v>7.1655131092306498E-3</v>
      </c>
      <c r="O646" s="1288">
        <v>2.4607874227618601E-3</v>
      </c>
      <c r="P646" s="1288">
        <v>7.1839211312383902E-3</v>
      </c>
      <c r="Q646" s="1306">
        <v>8.7337429995912007E-3</v>
      </c>
      <c r="R646" s="1303">
        <v>3.84644305177919E-2</v>
      </c>
      <c r="S646" s="1288">
        <v>3.4914241677813797E-2</v>
      </c>
      <c r="T646" s="1288">
        <v>3.8249559809573001E-2</v>
      </c>
      <c r="U646" s="1306">
        <v>1.9250005517068101E-2</v>
      </c>
      <c r="V646" s="1294">
        <v>6.2043117764830798E-3</v>
      </c>
    </row>
    <row r="647" spans="1:22" s="212" customFormat="1" ht="15.5" x14ac:dyDescent="0.35">
      <c r="A647" s="198">
        <v>2026</v>
      </c>
      <c r="B647" s="197" t="s">
        <v>5833</v>
      </c>
      <c r="C647" s="197">
        <v>2027</v>
      </c>
      <c r="D647" s="225" t="str">
        <f t="shared" si="3"/>
        <v>2026_2027</v>
      </c>
      <c r="E647" s="1226">
        <v>6.1301736524476999E-2</v>
      </c>
      <c r="F647" s="1257">
        <v>8.5155277645510806E-3</v>
      </c>
      <c r="G647" s="1280">
        <v>5.1450583078301797E-2</v>
      </c>
      <c r="H647" s="1271">
        <v>0.32785726822919598</v>
      </c>
      <c r="I647" s="1257">
        <v>6.8879923775115606E-2</v>
      </c>
      <c r="J647" s="1280">
        <v>7.99539504733182E-2</v>
      </c>
      <c r="K647" s="1271">
        <v>5.9359159954078602E-3</v>
      </c>
      <c r="L647" s="1257">
        <v>1.2689286775044799E-3</v>
      </c>
      <c r="M647" s="1280">
        <v>4.64288594501992E-4</v>
      </c>
      <c r="N647" s="1271">
        <v>7.1655131092306498E-3</v>
      </c>
      <c r="O647" s="1257">
        <v>2.4607874227618601E-3</v>
      </c>
      <c r="P647" s="1257">
        <v>7.1839211312383902E-3</v>
      </c>
      <c r="Q647" s="1280">
        <v>8.7337429995912007E-3</v>
      </c>
      <c r="R647" s="1271">
        <v>3.84644305177919E-2</v>
      </c>
      <c r="S647" s="1257">
        <v>3.4914241677813797E-2</v>
      </c>
      <c r="T647" s="1257">
        <v>3.8249559809573001E-2</v>
      </c>
      <c r="U647" s="1280">
        <v>1.9250005517068101E-2</v>
      </c>
      <c r="V647" s="1293">
        <v>6.2043117764830798E-3</v>
      </c>
    </row>
    <row r="648" spans="1:22" s="212" customFormat="1" ht="15.5" x14ac:dyDescent="0.35">
      <c r="A648" s="198">
        <v>2027</v>
      </c>
      <c r="B648" s="197" t="s">
        <v>5833</v>
      </c>
      <c r="C648" s="197">
        <v>1971</v>
      </c>
      <c r="D648" s="225" t="str">
        <f t="shared" si="3"/>
        <v>2027_1971</v>
      </c>
      <c r="E648" s="1226">
        <v>7.0699648992425396E-2</v>
      </c>
      <c r="F648" s="1257">
        <v>1.31539158468274E-2</v>
      </c>
      <c r="G648" s="1280">
        <v>2.3842756073096799E-2</v>
      </c>
      <c r="H648" s="1271">
        <v>0.401909437513154</v>
      </c>
      <c r="I648" s="1257">
        <v>0.436513620480042</v>
      </c>
      <c r="J648" s="1280">
        <v>0.74991383032230097</v>
      </c>
      <c r="K648" s="1271">
        <v>7.0592043186733901E-3</v>
      </c>
      <c r="L648" s="1257">
        <v>5.5529208785202598E-4</v>
      </c>
      <c r="M648" s="1280">
        <v>2.11911077846365E-4</v>
      </c>
      <c r="N648" s="1271">
        <v>8.3905913196603808E-3</v>
      </c>
      <c r="O648" s="1257">
        <v>3.0000008598028201E-3</v>
      </c>
      <c r="P648" s="1257">
        <v>8.3928831765067401E-3</v>
      </c>
      <c r="Q648" s="1280">
        <v>8.3905913196603808E-3</v>
      </c>
      <c r="R648" s="1271">
        <v>3.8500011034136201E-2</v>
      </c>
      <c r="S648" s="1257">
        <v>3.8500011034136201E-2</v>
      </c>
      <c r="T648" s="1257">
        <v>3.8500011034136201E-2</v>
      </c>
      <c r="U648" s="1280">
        <v>1.9250005517068101E-2</v>
      </c>
      <c r="V648" s="1293">
        <v>7.37839021320857E-3</v>
      </c>
    </row>
    <row r="649" spans="1:22" s="212" customFormat="1" ht="15.5" x14ac:dyDescent="0.35">
      <c r="A649" s="198">
        <v>2027</v>
      </c>
      <c r="B649" s="197" t="s">
        <v>5833</v>
      </c>
      <c r="C649" s="197">
        <v>1972</v>
      </c>
      <c r="D649" s="225" t="str">
        <f t="shared" si="3"/>
        <v>2027_1972</v>
      </c>
      <c r="E649" s="1226">
        <v>7.0699648992425396E-2</v>
      </c>
      <c r="F649" s="1257">
        <v>1.31539158468274E-2</v>
      </c>
      <c r="G649" s="1280">
        <v>2.3842756073096799E-2</v>
      </c>
      <c r="H649" s="1271">
        <v>0.401909437513154</v>
      </c>
      <c r="I649" s="1257">
        <v>0.436513620480042</v>
      </c>
      <c r="J649" s="1280">
        <v>0.74991383032230097</v>
      </c>
      <c r="K649" s="1271">
        <v>7.0592043186733901E-3</v>
      </c>
      <c r="L649" s="1257">
        <v>5.5529208785202598E-4</v>
      </c>
      <c r="M649" s="1280">
        <v>2.11911077846365E-4</v>
      </c>
      <c r="N649" s="1271">
        <v>8.3905913196603808E-3</v>
      </c>
      <c r="O649" s="1257">
        <v>3.0000008598028201E-3</v>
      </c>
      <c r="P649" s="1257">
        <v>8.3928831765067401E-3</v>
      </c>
      <c r="Q649" s="1280">
        <v>8.3905913196603808E-3</v>
      </c>
      <c r="R649" s="1271">
        <v>3.8500011034136201E-2</v>
      </c>
      <c r="S649" s="1257">
        <v>3.8500011034136201E-2</v>
      </c>
      <c r="T649" s="1257">
        <v>3.8500011034136201E-2</v>
      </c>
      <c r="U649" s="1280">
        <v>1.9250005517068101E-2</v>
      </c>
      <c r="V649" s="1293">
        <v>7.37839021320857E-3</v>
      </c>
    </row>
    <row r="650" spans="1:22" s="212" customFormat="1" ht="15.5" x14ac:dyDescent="0.35">
      <c r="A650" s="198">
        <v>2027</v>
      </c>
      <c r="B650" s="197" t="s">
        <v>5833</v>
      </c>
      <c r="C650" s="197">
        <v>1973</v>
      </c>
      <c r="D650" s="225" t="str">
        <f t="shared" si="3"/>
        <v>2027_1973</v>
      </c>
      <c r="E650" s="1226">
        <v>7.0699648992425396E-2</v>
      </c>
      <c r="F650" s="1257">
        <v>1.31539158468274E-2</v>
      </c>
      <c r="G650" s="1280">
        <v>2.3842756073096799E-2</v>
      </c>
      <c r="H650" s="1271">
        <v>0.401909437513154</v>
      </c>
      <c r="I650" s="1257">
        <v>0.436513620480042</v>
      </c>
      <c r="J650" s="1280">
        <v>0.74991383032230097</v>
      </c>
      <c r="K650" s="1271">
        <v>7.0592043186733901E-3</v>
      </c>
      <c r="L650" s="1257">
        <v>5.5529208785202598E-4</v>
      </c>
      <c r="M650" s="1280">
        <v>2.11911077846365E-4</v>
      </c>
      <c r="N650" s="1271">
        <v>8.3905913196603808E-3</v>
      </c>
      <c r="O650" s="1257">
        <v>3.0000008598028201E-3</v>
      </c>
      <c r="P650" s="1257">
        <v>8.3928831765067401E-3</v>
      </c>
      <c r="Q650" s="1280">
        <v>8.3905913196603808E-3</v>
      </c>
      <c r="R650" s="1271">
        <v>3.8500011034136201E-2</v>
      </c>
      <c r="S650" s="1257">
        <v>3.8500011034136201E-2</v>
      </c>
      <c r="T650" s="1257">
        <v>3.8500011034136201E-2</v>
      </c>
      <c r="U650" s="1280">
        <v>1.9250005517068101E-2</v>
      </c>
      <c r="V650" s="1293">
        <v>7.37839021320857E-3</v>
      </c>
    </row>
    <row r="651" spans="1:22" s="212" customFormat="1" ht="15.5" x14ac:dyDescent="0.35">
      <c r="A651" s="198">
        <v>2027</v>
      </c>
      <c r="B651" s="197" t="s">
        <v>5833</v>
      </c>
      <c r="C651" s="197">
        <v>1974</v>
      </c>
      <c r="D651" s="225" t="str">
        <f t="shared" si="3"/>
        <v>2027_1974</v>
      </c>
      <c r="E651" s="1226">
        <v>7.0699648992425396E-2</v>
      </c>
      <c r="F651" s="1257">
        <v>1.31539158468274E-2</v>
      </c>
      <c r="G651" s="1280">
        <v>2.3842756073096799E-2</v>
      </c>
      <c r="H651" s="1271">
        <v>0.401909437513154</v>
      </c>
      <c r="I651" s="1257">
        <v>0.436513620480042</v>
      </c>
      <c r="J651" s="1280">
        <v>0.74991383032230097</v>
      </c>
      <c r="K651" s="1271">
        <v>7.0592043186733901E-3</v>
      </c>
      <c r="L651" s="1257">
        <v>5.5529208785202598E-4</v>
      </c>
      <c r="M651" s="1280">
        <v>2.11911077846365E-4</v>
      </c>
      <c r="N651" s="1271">
        <v>8.3905913196603808E-3</v>
      </c>
      <c r="O651" s="1257">
        <v>3.0000008598028201E-3</v>
      </c>
      <c r="P651" s="1257">
        <v>8.3928831765067401E-3</v>
      </c>
      <c r="Q651" s="1280">
        <v>8.3905913196603808E-3</v>
      </c>
      <c r="R651" s="1271">
        <v>3.8500011034136201E-2</v>
      </c>
      <c r="S651" s="1257">
        <v>3.8500011034136201E-2</v>
      </c>
      <c r="T651" s="1257">
        <v>3.8500011034136201E-2</v>
      </c>
      <c r="U651" s="1280">
        <v>1.9250005517068101E-2</v>
      </c>
      <c r="V651" s="1293">
        <v>7.37839021320857E-3</v>
      </c>
    </row>
    <row r="652" spans="1:22" s="212" customFormat="1" ht="15.5" x14ac:dyDescent="0.35">
      <c r="A652" s="198">
        <v>2027</v>
      </c>
      <c r="B652" s="197" t="s">
        <v>5833</v>
      </c>
      <c r="C652" s="197">
        <v>1975</v>
      </c>
      <c r="D652" s="225" t="str">
        <f t="shared" si="3"/>
        <v>2027_1975</v>
      </c>
      <c r="E652" s="1226">
        <v>7.0699648992425396E-2</v>
      </c>
      <c r="F652" s="1257">
        <v>1.31539158468274E-2</v>
      </c>
      <c r="G652" s="1280">
        <v>2.3842756073096799E-2</v>
      </c>
      <c r="H652" s="1271">
        <v>0.401909437513154</v>
      </c>
      <c r="I652" s="1257">
        <v>0.436513620480042</v>
      </c>
      <c r="J652" s="1280">
        <v>0.74991383032230097</v>
      </c>
      <c r="K652" s="1271">
        <v>7.0592043186733901E-3</v>
      </c>
      <c r="L652" s="1257">
        <v>5.5529208785202598E-4</v>
      </c>
      <c r="M652" s="1280">
        <v>2.11911077846365E-4</v>
      </c>
      <c r="N652" s="1271">
        <v>8.3905913196603808E-3</v>
      </c>
      <c r="O652" s="1257">
        <v>3.0000008598028201E-3</v>
      </c>
      <c r="P652" s="1257">
        <v>8.3928831765067401E-3</v>
      </c>
      <c r="Q652" s="1280">
        <v>8.3905913196603808E-3</v>
      </c>
      <c r="R652" s="1271">
        <v>3.8500011034136201E-2</v>
      </c>
      <c r="S652" s="1257">
        <v>3.8500011034136201E-2</v>
      </c>
      <c r="T652" s="1257">
        <v>3.8500011034136201E-2</v>
      </c>
      <c r="U652" s="1280">
        <v>1.9250005517068101E-2</v>
      </c>
      <c r="V652" s="1293">
        <v>7.37839021320857E-3</v>
      </c>
    </row>
    <row r="653" spans="1:22" s="212" customFormat="1" ht="15.5" x14ac:dyDescent="0.35">
      <c r="A653" s="198">
        <v>2027</v>
      </c>
      <c r="B653" s="197" t="s">
        <v>5833</v>
      </c>
      <c r="C653" s="197">
        <v>1976</v>
      </c>
      <c r="D653" s="225" t="str">
        <f t="shared" si="3"/>
        <v>2027_1976</v>
      </c>
      <c r="E653" s="1226">
        <v>7.0699648992425396E-2</v>
      </c>
      <c r="F653" s="1257">
        <v>1.31539158468274E-2</v>
      </c>
      <c r="G653" s="1280">
        <v>2.3842756073096799E-2</v>
      </c>
      <c r="H653" s="1271">
        <v>0.401909437513154</v>
      </c>
      <c r="I653" s="1257">
        <v>0.436513620480042</v>
      </c>
      <c r="J653" s="1280">
        <v>0.74991383032230097</v>
      </c>
      <c r="K653" s="1271">
        <v>7.0592043186733901E-3</v>
      </c>
      <c r="L653" s="1257">
        <v>5.5529208785202598E-4</v>
      </c>
      <c r="M653" s="1280">
        <v>2.11911077846365E-4</v>
      </c>
      <c r="N653" s="1271">
        <v>8.3905913196603808E-3</v>
      </c>
      <c r="O653" s="1257">
        <v>3.0000008598028201E-3</v>
      </c>
      <c r="P653" s="1257">
        <v>8.3928831765067401E-3</v>
      </c>
      <c r="Q653" s="1280">
        <v>8.3905913196603808E-3</v>
      </c>
      <c r="R653" s="1271">
        <v>3.8500011034136201E-2</v>
      </c>
      <c r="S653" s="1257">
        <v>3.8500011034136201E-2</v>
      </c>
      <c r="T653" s="1257">
        <v>3.8500011034136201E-2</v>
      </c>
      <c r="U653" s="1280">
        <v>1.9250005517068101E-2</v>
      </c>
      <c r="V653" s="1293">
        <v>7.37839021320857E-3</v>
      </c>
    </row>
    <row r="654" spans="1:22" s="212" customFormat="1" ht="15.5" x14ac:dyDescent="0.35">
      <c r="A654" s="198">
        <v>2027</v>
      </c>
      <c r="B654" s="197" t="s">
        <v>5833</v>
      </c>
      <c r="C654" s="197">
        <v>1977</v>
      </c>
      <c r="D654" s="225" t="str">
        <f t="shared" si="3"/>
        <v>2027_1977</v>
      </c>
      <c r="E654" s="1226">
        <v>7.0699648992425396E-2</v>
      </c>
      <c r="F654" s="1257">
        <v>1.31539158468274E-2</v>
      </c>
      <c r="G654" s="1280">
        <v>2.3842756073096799E-2</v>
      </c>
      <c r="H654" s="1271">
        <v>0.401909437513154</v>
      </c>
      <c r="I654" s="1257">
        <v>0.436513620480042</v>
      </c>
      <c r="J654" s="1280">
        <v>0.74991383032230097</v>
      </c>
      <c r="K654" s="1271">
        <v>7.0592043186733901E-3</v>
      </c>
      <c r="L654" s="1257">
        <v>5.5529208785202598E-4</v>
      </c>
      <c r="M654" s="1280">
        <v>2.11911077846365E-4</v>
      </c>
      <c r="N654" s="1271">
        <v>8.3905913196603808E-3</v>
      </c>
      <c r="O654" s="1257">
        <v>3.0000008598028201E-3</v>
      </c>
      <c r="P654" s="1257">
        <v>8.3928831765067401E-3</v>
      </c>
      <c r="Q654" s="1280">
        <v>8.3905913196603808E-3</v>
      </c>
      <c r="R654" s="1271">
        <v>3.8500011034136201E-2</v>
      </c>
      <c r="S654" s="1257">
        <v>3.8500011034136201E-2</v>
      </c>
      <c r="T654" s="1257">
        <v>3.8500011034136201E-2</v>
      </c>
      <c r="U654" s="1280">
        <v>1.9250005517068101E-2</v>
      </c>
      <c r="V654" s="1293">
        <v>7.37839021320857E-3</v>
      </c>
    </row>
    <row r="655" spans="1:22" s="212" customFormat="1" ht="15.5" x14ac:dyDescent="0.35">
      <c r="A655" s="198">
        <v>2027</v>
      </c>
      <c r="B655" s="197" t="s">
        <v>5833</v>
      </c>
      <c r="C655" s="197">
        <v>1978</v>
      </c>
      <c r="D655" s="225" t="str">
        <f t="shared" si="3"/>
        <v>2027_1978</v>
      </c>
      <c r="E655" s="1226">
        <v>7.0699648992425396E-2</v>
      </c>
      <c r="F655" s="1257">
        <v>1.31539158468274E-2</v>
      </c>
      <c r="G655" s="1280">
        <v>2.3842756073096799E-2</v>
      </c>
      <c r="H655" s="1271">
        <v>0.401909437513154</v>
      </c>
      <c r="I655" s="1257">
        <v>0.436513620480042</v>
      </c>
      <c r="J655" s="1280">
        <v>0.74991383032230097</v>
      </c>
      <c r="K655" s="1271">
        <v>7.0592043186733901E-3</v>
      </c>
      <c r="L655" s="1257">
        <v>5.5529208785202598E-4</v>
      </c>
      <c r="M655" s="1280">
        <v>2.11911077846365E-4</v>
      </c>
      <c r="N655" s="1271">
        <v>8.3905913196603808E-3</v>
      </c>
      <c r="O655" s="1257">
        <v>3.0000008598028201E-3</v>
      </c>
      <c r="P655" s="1257">
        <v>8.3928831765067401E-3</v>
      </c>
      <c r="Q655" s="1280">
        <v>8.3905913196603808E-3</v>
      </c>
      <c r="R655" s="1271">
        <v>3.8500011034136201E-2</v>
      </c>
      <c r="S655" s="1257">
        <v>3.8500011034136201E-2</v>
      </c>
      <c r="T655" s="1257">
        <v>3.8500011034136201E-2</v>
      </c>
      <c r="U655" s="1280">
        <v>1.9250005517068101E-2</v>
      </c>
      <c r="V655" s="1293">
        <v>7.37839021320857E-3</v>
      </c>
    </row>
    <row r="656" spans="1:22" s="212" customFormat="1" ht="15.5" x14ac:dyDescent="0.35">
      <c r="A656" s="198">
        <v>2027</v>
      </c>
      <c r="B656" s="197" t="s">
        <v>5833</v>
      </c>
      <c r="C656" s="197">
        <v>1979</v>
      </c>
      <c r="D656" s="225" t="str">
        <f t="shared" si="3"/>
        <v>2027_1979</v>
      </c>
      <c r="E656" s="1226">
        <v>7.0699648992425396E-2</v>
      </c>
      <c r="F656" s="1257">
        <v>1.31539158468274E-2</v>
      </c>
      <c r="G656" s="1280">
        <v>2.3842756073096799E-2</v>
      </c>
      <c r="H656" s="1271">
        <v>0.401909437513154</v>
      </c>
      <c r="I656" s="1257">
        <v>0.436513620480042</v>
      </c>
      <c r="J656" s="1280">
        <v>0.74991383032230097</v>
      </c>
      <c r="K656" s="1271">
        <v>7.0592043186733901E-3</v>
      </c>
      <c r="L656" s="1257">
        <v>5.5529208785202598E-4</v>
      </c>
      <c r="M656" s="1280">
        <v>2.11911077846365E-4</v>
      </c>
      <c r="N656" s="1271">
        <v>8.3905913196603808E-3</v>
      </c>
      <c r="O656" s="1257">
        <v>3.0000008598028201E-3</v>
      </c>
      <c r="P656" s="1257">
        <v>8.3928831765067401E-3</v>
      </c>
      <c r="Q656" s="1280">
        <v>8.3905913196603808E-3</v>
      </c>
      <c r="R656" s="1271">
        <v>3.8500011034136201E-2</v>
      </c>
      <c r="S656" s="1257">
        <v>3.8500011034136201E-2</v>
      </c>
      <c r="T656" s="1257">
        <v>3.8500011034136201E-2</v>
      </c>
      <c r="U656" s="1280">
        <v>1.9250005517068101E-2</v>
      </c>
      <c r="V656" s="1293">
        <v>7.37839021320857E-3</v>
      </c>
    </row>
    <row r="657" spans="1:22" s="212" customFormat="1" ht="15.5" x14ac:dyDescent="0.35">
      <c r="A657" s="198">
        <v>2027</v>
      </c>
      <c r="B657" s="197" t="s">
        <v>5833</v>
      </c>
      <c r="C657" s="197">
        <v>1980</v>
      </c>
      <c r="D657" s="225" t="str">
        <f t="shared" si="3"/>
        <v>2027_1980</v>
      </c>
      <c r="E657" s="1226">
        <v>7.0699648992425396E-2</v>
      </c>
      <c r="F657" s="1257">
        <v>1.31539158468274E-2</v>
      </c>
      <c r="G657" s="1280">
        <v>2.3842756073096799E-2</v>
      </c>
      <c r="H657" s="1271">
        <v>0.401909437513154</v>
      </c>
      <c r="I657" s="1257">
        <v>0.436513620480042</v>
      </c>
      <c r="J657" s="1280">
        <v>0.74991383032230097</v>
      </c>
      <c r="K657" s="1271">
        <v>7.0592043186733901E-3</v>
      </c>
      <c r="L657" s="1257">
        <v>5.5529208785202598E-4</v>
      </c>
      <c r="M657" s="1280">
        <v>2.11911077846365E-4</v>
      </c>
      <c r="N657" s="1271">
        <v>8.3905913196603808E-3</v>
      </c>
      <c r="O657" s="1257">
        <v>3.0000008598028201E-3</v>
      </c>
      <c r="P657" s="1257">
        <v>8.3928831765067401E-3</v>
      </c>
      <c r="Q657" s="1280">
        <v>8.3905913196603808E-3</v>
      </c>
      <c r="R657" s="1271">
        <v>3.8500011034136201E-2</v>
      </c>
      <c r="S657" s="1257">
        <v>3.8500011034136201E-2</v>
      </c>
      <c r="T657" s="1257">
        <v>3.8500011034136201E-2</v>
      </c>
      <c r="U657" s="1280">
        <v>1.9250005517068101E-2</v>
      </c>
      <c r="V657" s="1293">
        <v>7.37839021320857E-3</v>
      </c>
    </row>
    <row r="658" spans="1:22" s="212" customFormat="1" ht="15.5" x14ac:dyDescent="0.35">
      <c r="A658" s="198">
        <v>2027</v>
      </c>
      <c r="B658" s="197" t="s">
        <v>5833</v>
      </c>
      <c r="C658" s="197">
        <v>1981</v>
      </c>
      <c r="D658" s="225" t="str">
        <f t="shared" si="3"/>
        <v>2027_1981</v>
      </c>
      <c r="E658" s="1226">
        <v>7.0699648992425396E-2</v>
      </c>
      <c r="F658" s="1257">
        <v>1.31539158468274E-2</v>
      </c>
      <c r="G658" s="1280">
        <v>2.3842756073096799E-2</v>
      </c>
      <c r="H658" s="1271">
        <v>0.401909437513154</v>
      </c>
      <c r="I658" s="1257">
        <v>0.436513620480042</v>
      </c>
      <c r="J658" s="1280">
        <v>0.74991383032230097</v>
      </c>
      <c r="K658" s="1271">
        <v>7.0592043186733901E-3</v>
      </c>
      <c r="L658" s="1257">
        <v>5.5529208785202598E-4</v>
      </c>
      <c r="M658" s="1280">
        <v>2.11911077846365E-4</v>
      </c>
      <c r="N658" s="1271">
        <v>8.3905913196603808E-3</v>
      </c>
      <c r="O658" s="1257">
        <v>3.0000008598028201E-3</v>
      </c>
      <c r="P658" s="1257">
        <v>8.3928831765067401E-3</v>
      </c>
      <c r="Q658" s="1280">
        <v>8.3905913196603808E-3</v>
      </c>
      <c r="R658" s="1271">
        <v>3.8500011034136201E-2</v>
      </c>
      <c r="S658" s="1257">
        <v>3.8500011034136201E-2</v>
      </c>
      <c r="T658" s="1257">
        <v>3.8500011034136201E-2</v>
      </c>
      <c r="U658" s="1280">
        <v>1.9250005517068101E-2</v>
      </c>
      <c r="V658" s="1293">
        <v>7.37839021320857E-3</v>
      </c>
    </row>
    <row r="659" spans="1:22" s="212" customFormat="1" ht="15.5" x14ac:dyDescent="0.35">
      <c r="A659" s="198">
        <v>2027</v>
      </c>
      <c r="B659" s="197" t="s">
        <v>5833</v>
      </c>
      <c r="C659" s="197">
        <v>1982</v>
      </c>
      <c r="D659" s="225" t="str">
        <f t="shared" si="3"/>
        <v>2027_1982</v>
      </c>
      <c r="E659" s="1226">
        <v>7.0699648992425396E-2</v>
      </c>
      <c r="F659" s="1257">
        <v>1.31539158468274E-2</v>
      </c>
      <c r="G659" s="1280">
        <v>2.3842756073096799E-2</v>
      </c>
      <c r="H659" s="1271">
        <v>0.401909437513154</v>
      </c>
      <c r="I659" s="1257">
        <v>0.436513620480042</v>
      </c>
      <c r="J659" s="1280">
        <v>0.74991383032230097</v>
      </c>
      <c r="K659" s="1271">
        <v>7.0592043186733901E-3</v>
      </c>
      <c r="L659" s="1257">
        <v>5.5529208785202598E-4</v>
      </c>
      <c r="M659" s="1280">
        <v>2.11911077846365E-4</v>
      </c>
      <c r="N659" s="1271">
        <v>8.3905913196603808E-3</v>
      </c>
      <c r="O659" s="1257">
        <v>3.0000008598028201E-3</v>
      </c>
      <c r="P659" s="1257">
        <v>8.3928831765067401E-3</v>
      </c>
      <c r="Q659" s="1280">
        <v>8.3905913196603808E-3</v>
      </c>
      <c r="R659" s="1271">
        <v>3.8500011034136201E-2</v>
      </c>
      <c r="S659" s="1257">
        <v>3.8500011034136201E-2</v>
      </c>
      <c r="T659" s="1257">
        <v>3.8500011034136201E-2</v>
      </c>
      <c r="U659" s="1280">
        <v>1.9250005517068101E-2</v>
      </c>
      <c r="V659" s="1293">
        <v>7.37839021320857E-3</v>
      </c>
    </row>
    <row r="660" spans="1:22" s="212" customFormat="1" ht="15.5" x14ac:dyDescent="0.35">
      <c r="A660" s="198">
        <v>2027</v>
      </c>
      <c r="B660" s="197" t="s">
        <v>5833</v>
      </c>
      <c r="C660" s="197">
        <v>1983</v>
      </c>
      <c r="D660" s="225" t="str">
        <f t="shared" si="3"/>
        <v>2027_1983</v>
      </c>
      <c r="E660" s="1226">
        <v>7.0699648992425396E-2</v>
      </c>
      <c r="F660" s="1257">
        <v>1.31539158468274E-2</v>
      </c>
      <c r="G660" s="1280">
        <v>2.3842756073096799E-2</v>
      </c>
      <c r="H660" s="1271">
        <v>0.401909437513154</v>
      </c>
      <c r="I660" s="1257">
        <v>0.436513620480042</v>
      </c>
      <c r="J660" s="1280">
        <v>0.74991383032230097</v>
      </c>
      <c r="K660" s="1271">
        <v>7.0592043186733901E-3</v>
      </c>
      <c r="L660" s="1257">
        <v>5.5529208785202598E-4</v>
      </c>
      <c r="M660" s="1280">
        <v>2.11911077846365E-4</v>
      </c>
      <c r="N660" s="1271">
        <v>8.3905913196603808E-3</v>
      </c>
      <c r="O660" s="1257">
        <v>3.0000008598028201E-3</v>
      </c>
      <c r="P660" s="1257">
        <v>8.3928831765067401E-3</v>
      </c>
      <c r="Q660" s="1280">
        <v>8.3905913196603808E-3</v>
      </c>
      <c r="R660" s="1271">
        <v>3.8500011034136201E-2</v>
      </c>
      <c r="S660" s="1257">
        <v>3.8500011034136201E-2</v>
      </c>
      <c r="T660" s="1257">
        <v>3.8500011034136201E-2</v>
      </c>
      <c r="U660" s="1280">
        <v>1.9250005517068101E-2</v>
      </c>
      <c r="V660" s="1293">
        <v>7.37839021320857E-3</v>
      </c>
    </row>
    <row r="661" spans="1:22" s="212" customFormat="1" ht="15.5" x14ac:dyDescent="0.35">
      <c r="A661" s="198">
        <v>2027</v>
      </c>
      <c r="B661" s="197" t="s">
        <v>5833</v>
      </c>
      <c r="C661" s="197">
        <v>1984</v>
      </c>
      <c r="D661" s="225" t="str">
        <f t="shared" si="3"/>
        <v>2027_1984</v>
      </c>
      <c r="E661" s="1226">
        <v>7.0699648992425396E-2</v>
      </c>
      <c r="F661" s="1257">
        <v>1.31539158468274E-2</v>
      </c>
      <c r="G661" s="1280">
        <v>2.3842756073096799E-2</v>
      </c>
      <c r="H661" s="1271">
        <v>0.401909437513154</v>
      </c>
      <c r="I661" s="1257">
        <v>0.436513620480042</v>
      </c>
      <c r="J661" s="1280">
        <v>0.74991383032230097</v>
      </c>
      <c r="K661" s="1271">
        <v>7.0592043186733901E-3</v>
      </c>
      <c r="L661" s="1257">
        <v>5.5529208785202598E-4</v>
      </c>
      <c r="M661" s="1280">
        <v>2.11911077846365E-4</v>
      </c>
      <c r="N661" s="1271">
        <v>8.3905913196603808E-3</v>
      </c>
      <c r="O661" s="1257">
        <v>3.0000008598028201E-3</v>
      </c>
      <c r="P661" s="1257">
        <v>8.3928831765067401E-3</v>
      </c>
      <c r="Q661" s="1280">
        <v>8.3905913196603808E-3</v>
      </c>
      <c r="R661" s="1271">
        <v>3.8500011034136201E-2</v>
      </c>
      <c r="S661" s="1257">
        <v>3.8500011034136201E-2</v>
      </c>
      <c r="T661" s="1257">
        <v>3.8500011034136201E-2</v>
      </c>
      <c r="U661" s="1280">
        <v>1.9250005517068101E-2</v>
      </c>
      <c r="V661" s="1293">
        <v>7.37839021320857E-3</v>
      </c>
    </row>
    <row r="662" spans="1:22" s="212" customFormat="1" ht="15.5" x14ac:dyDescent="0.35">
      <c r="A662" s="198">
        <v>2027</v>
      </c>
      <c r="B662" s="197" t="s">
        <v>5833</v>
      </c>
      <c r="C662" s="197">
        <v>1985</v>
      </c>
      <c r="D662" s="225" t="str">
        <f t="shared" si="3"/>
        <v>2027_1985</v>
      </c>
      <c r="E662" s="1226">
        <v>7.0699648992425396E-2</v>
      </c>
      <c r="F662" s="1257">
        <v>1.31539158468274E-2</v>
      </c>
      <c r="G662" s="1280">
        <v>2.3842756073096799E-2</v>
      </c>
      <c r="H662" s="1271">
        <v>0.401909437513154</v>
      </c>
      <c r="I662" s="1257">
        <v>0.436513620480042</v>
      </c>
      <c r="J662" s="1280">
        <v>0.74991383032230097</v>
      </c>
      <c r="K662" s="1271">
        <v>7.0592043186733901E-3</v>
      </c>
      <c r="L662" s="1257">
        <v>5.5529208785202598E-4</v>
      </c>
      <c r="M662" s="1280">
        <v>2.11911077846365E-4</v>
      </c>
      <c r="N662" s="1271">
        <v>8.3905913196603808E-3</v>
      </c>
      <c r="O662" s="1257">
        <v>3.0000008598028201E-3</v>
      </c>
      <c r="P662" s="1257">
        <v>8.3928831765067401E-3</v>
      </c>
      <c r="Q662" s="1280">
        <v>8.3905913196603808E-3</v>
      </c>
      <c r="R662" s="1271">
        <v>3.8500011034136201E-2</v>
      </c>
      <c r="S662" s="1257">
        <v>3.8500011034136201E-2</v>
      </c>
      <c r="T662" s="1257">
        <v>3.8500011034136201E-2</v>
      </c>
      <c r="U662" s="1280">
        <v>1.9250005517068101E-2</v>
      </c>
      <c r="V662" s="1293">
        <v>7.37839021320857E-3</v>
      </c>
    </row>
    <row r="663" spans="1:22" s="212" customFormat="1" ht="15.5" x14ac:dyDescent="0.35">
      <c r="A663" s="198">
        <v>2027</v>
      </c>
      <c r="B663" s="197" t="s">
        <v>5833</v>
      </c>
      <c r="C663" s="197">
        <v>1986</v>
      </c>
      <c r="D663" s="225" t="str">
        <f t="shared" si="3"/>
        <v>2027_1986</v>
      </c>
      <c r="E663" s="1226">
        <v>7.0699648992425396E-2</v>
      </c>
      <c r="F663" s="1257">
        <v>1.31539158468274E-2</v>
      </c>
      <c r="G663" s="1280">
        <v>2.3842756073096799E-2</v>
      </c>
      <c r="H663" s="1271">
        <v>0.401909437513154</v>
      </c>
      <c r="I663" s="1257">
        <v>0.436513620480042</v>
      </c>
      <c r="J663" s="1280">
        <v>0.74991383032230097</v>
      </c>
      <c r="K663" s="1271">
        <v>7.0592043186733901E-3</v>
      </c>
      <c r="L663" s="1257">
        <v>5.5529208785202598E-4</v>
      </c>
      <c r="M663" s="1280">
        <v>2.11911077846365E-4</v>
      </c>
      <c r="N663" s="1271">
        <v>8.3905913196603808E-3</v>
      </c>
      <c r="O663" s="1257">
        <v>3.0000008598028201E-3</v>
      </c>
      <c r="P663" s="1257">
        <v>8.3928831765067401E-3</v>
      </c>
      <c r="Q663" s="1280">
        <v>8.3905913196603808E-3</v>
      </c>
      <c r="R663" s="1271">
        <v>3.8500011034136201E-2</v>
      </c>
      <c r="S663" s="1257">
        <v>3.8500011034136201E-2</v>
      </c>
      <c r="T663" s="1257">
        <v>3.8500011034136201E-2</v>
      </c>
      <c r="U663" s="1280">
        <v>1.9250005517068101E-2</v>
      </c>
      <c r="V663" s="1293">
        <v>7.37839021320857E-3</v>
      </c>
    </row>
    <row r="664" spans="1:22" s="212" customFormat="1" ht="15.5" x14ac:dyDescent="0.35">
      <c r="A664" s="198">
        <v>2027</v>
      </c>
      <c r="B664" s="197" t="s">
        <v>5833</v>
      </c>
      <c r="C664" s="197">
        <v>1987</v>
      </c>
      <c r="D664" s="225" t="str">
        <f t="shared" si="3"/>
        <v>2027_1987</v>
      </c>
      <c r="E664" s="1226">
        <v>7.0699648992425396E-2</v>
      </c>
      <c r="F664" s="1257">
        <v>1.31539158468274E-2</v>
      </c>
      <c r="G664" s="1280">
        <v>2.3842756073096799E-2</v>
      </c>
      <c r="H664" s="1271">
        <v>0.401909437513154</v>
      </c>
      <c r="I664" s="1257">
        <v>0.436513620480042</v>
      </c>
      <c r="J664" s="1280">
        <v>0.74991383032230097</v>
      </c>
      <c r="K664" s="1271">
        <v>7.0592043186733901E-3</v>
      </c>
      <c r="L664" s="1257">
        <v>5.5529208785202598E-4</v>
      </c>
      <c r="M664" s="1280">
        <v>2.11911077846365E-4</v>
      </c>
      <c r="N664" s="1271">
        <v>8.3905913196603808E-3</v>
      </c>
      <c r="O664" s="1257">
        <v>3.0000008598028201E-3</v>
      </c>
      <c r="P664" s="1257">
        <v>8.3928831765067401E-3</v>
      </c>
      <c r="Q664" s="1280">
        <v>8.3905913196603808E-3</v>
      </c>
      <c r="R664" s="1271">
        <v>3.8500011034136201E-2</v>
      </c>
      <c r="S664" s="1257">
        <v>3.8500011034136201E-2</v>
      </c>
      <c r="T664" s="1257">
        <v>3.8500011034136201E-2</v>
      </c>
      <c r="U664" s="1280">
        <v>1.9250005517068101E-2</v>
      </c>
      <c r="V664" s="1293">
        <v>7.37839021320857E-3</v>
      </c>
    </row>
    <row r="665" spans="1:22" s="212" customFormat="1" ht="15.5" x14ac:dyDescent="0.35">
      <c r="A665" s="198">
        <v>2027</v>
      </c>
      <c r="B665" s="197" t="s">
        <v>5833</v>
      </c>
      <c r="C665" s="197">
        <v>1988</v>
      </c>
      <c r="D665" s="225" t="str">
        <f t="shared" si="3"/>
        <v>2027_1988</v>
      </c>
      <c r="E665" s="1226">
        <v>7.0699648992425396E-2</v>
      </c>
      <c r="F665" s="1257">
        <v>1.31539158468274E-2</v>
      </c>
      <c r="G665" s="1280">
        <v>2.3842756073096799E-2</v>
      </c>
      <c r="H665" s="1271">
        <v>0.401909437513154</v>
      </c>
      <c r="I665" s="1257">
        <v>0.436513620480042</v>
      </c>
      <c r="J665" s="1280">
        <v>0.74991383032230097</v>
      </c>
      <c r="K665" s="1271">
        <v>7.0592043186733901E-3</v>
      </c>
      <c r="L665" s="1257">
        <v>5.5529208785202598E-4</v>
      </c>
      <c r="M665" s="1280">
        <v>2.11911077846365E-4</v>
      </c>
      <c r="N665" s="1271">
        <v>8.3905913196603808E-3</v>
      </c>
      <c r="O665" s="1257">
        <v>3.0000008598028201E-3</v>
      </c>
      <c r="P665" s="1257">
        <v>8.3928831765067401E-3</v>
      </c>
      <c r="Q665" s="1280">
        <v>8.3905913196603808E-3</v>
      </c>
      <c r="R665" s="1271">
        <v>3.8500011034136201E-2</v>
      </c>
      <c r="S665" s="1257">
        <v>3.8500011034136201E-2</v>
      </c>
      <c r="T665" s="1257">
        <v>3.8500011034136201E-2</v>
      </c>
      <c r="U665" s="1280">
        <v>1.9250005517068101E-2</v>
      </c>
      <c r="V665" s="1293">
        <v>7.37839021320857E-3</v>
      </c>
    </row>
    <row r="666" spans="1:22" s="212" customFormat="1" ht="15.5" x14ac:dyDescent="0.35">
      <c r="A666" s="198">
        <v>2027</v>
      </c>
      <c r="B666" s="197" t="s">
        <v>5833</v>
      </c>
      <c r="C666" s="197">
        <v>1989</v>
      </c>
      <c r="D666" s="225" t="str">
        <f t="shared" si="3"/>
        <v>2027_1989</v>
      </c>
      <c r="E666" s="1226">
        <v>7.0699648992425396E-2</v>
      </c>
      <c r="F666" s="1257">
        <v>1.31539158468274E-2</v>
      </c>
      <c r="G666" s="1280">
        <v>2.3842756073096799E-2</v>
      </c>
      <c r="H666" s="1271">
        <v>0.401909437513154</v>
      </c>
      <c r="I666" s="1257">
        <v>0.436513620480042</v>
      </c>
      <c r="J666" s="1280">
        <v>0.74991383032230097</v>
      </c>
      <c r="K666" s="1271">
        <v>7.0592043186733901E-3</v>
      </c>
      <c r="L666" s="1257">
        <v>5.5529208785202598E-4</v>
      </c>
      <c r="M666" s="1280">
        <v>2.11911077846365E-4</v>
      </c>
      <c r="N666" s="1271">
        <v>8.3905913196603808E-3</v>
      </c>
      <c r="O666" s="1257">
        <v>3.0000008598028201E-3</v>
      </c>
      <c r="P666" s="1257">
        <v>8.3928831765067401E-3</v>
      </c>
      <c r="Q666" s="1280">
        <v>8.3905913196603808E-3</v>
      </c>
      <c r="R666" s="1271">
        <v>3.8500011034136201E-2</v>
      </c>
      <c r="S666" s="1257">
        <v>3.8500011034136201E-2</v>
      </c>
      <c r="T666" s="1257">
        <v>3.8500011034136201E-2</v>
      </c>
      <c r="U666" s="1280">
        <v>1.9250005517068101E-2</v>
      </c>
      <c r="V666" s="1293">
        <v>7.37839021320857E-3</v>
      </c>
    </row>
    <row r="667" spans="1:22" s="212" customFormat="1" ht="15.5" x14ac:dyDescent="0.35">
      <c r="A667" s="198">
        <v>2027</v>
      </c>
      <c r="B667" s="197" t="s">
        <v>5833</v>
      </c>
      <c r="C667" s="197">
        <v>1990</v>
      </c>
      <c r="D667" s="225" t="str">
        <f t="shared" si="3"/>
        <v>2027_1990</v>
      </c>
      <c r="E667" s="1226">
        <v>7.0699648992425396E-2</v>
      </c>
      <c r="F667" s="1257">
        <v>1.31539158468274E-2</v>
      </c>
      <c r="G667" s="1280">
        <v>2.3842756073096799E-2</v>
      </c>
      <c r="H667" s="1271">
        <v>0.401909437513154</v>
      </c>
      <c r="I667" s="1257">
        <v>0.436513620480042</v>
      </c>
      <c r="J667" s="1280">
        <v>0.74991383032230097</v>
      </c>
      <c r="K667" s="1271">
        <v>7.0592043186733901E-3</v>
      </c>
      <c r="L667" s="1257">
        <v>5.5529208785202598E-4</v>
      </c>
      <c r="M667" s="1280">
        <v>2.11911077846365E-4</v>
      </c>
      <c r="N667" s="1271">
        <v>8.3905913196603808E-3</v>
      </c>
      <c r="O667" s="1257">
        <v>3.0000008598028201E-3</v>
      </c>
      <c r="P667" s="1257">
        <v>8.3928831765067401E-3</v>
      </c>
      <c r="Q667" s="1280">
        <v>8.3905913196603808E-3</v>
      </c>
      <c r="R667" s="1271">
        <v>3.8500011034136201E-2</v>
      </c>
      <c r="S667" s="1257">
        <v>3.8500011034136201E-2</v>
      </c>
      <c r="T667" s="1257">
        <v>3.8500011034136201E-2</v>
      </c>
      <c r="U667" s="1280">
        <v>1.9250005517068101E-2</v>
      </c>
      <c r="V667" s="1293">
        <v>7.37839021320857E-3</v>
      </c>
    </row>
    <row r="668" spans="1:22" s="212" customFormat="1" ht="15.5" x14ac:dyDescent="0.35">
      <c r="A668" s="198">
        <v>2027</v>
      </c>
      <c r="B668" s="197" t="s">
        <v>5833</v>
      </c>
      <c r="C668" s="197">
        <v>1991</v>
      </c>
      <c r="D668" s="225" t="str">
        <f t="shared" si="3"/>
        <v>2027_1991</v>
      </c>
      <c r="E668" s="1226">
        <v>7.0699648992425396E-2</v>
      </c>
      <c r="F668" s="1257">
        <v>1.31539158468274E-2</v>
      </c>
      <c r="G668" s="1280">
        <v>2.3842756073096799E-2</v>
      </c>
      <c r="H668" s="1271">
        <v>0.401909437513154</v>
      </c>
      <c r="I668" s="1257">
        <v>0.436513620480042</v>
      </c>
      <c r="J668" s="1280">
        <v>0.74991383032230097</v>
      </c>
      <c r="K668" s="1271">
        <v>7.0592043186733901E-3</v>
      </c>
      <c r="L668" s="1257">
        <v>5.5529208785202598E-4</v>
      </c>
      <c r="M668" s="1280">
        <v>2.11911077846365E-4</v>
      </c>
      <c r="N668" s="1271">
        <v>8.3905913196603808E-3</v>
      </c>
      <c r="O668" s="1257">
        <v>3.0000008598028201E-3</v>
      </c>
      <c r="P668" s="1257">
        <v>8.3928831765067401E-3</v>
      </c>
      <c r="Q668" s="1280">
        <v>8.3905913196603808E-3</v>
      </c>
      <c r="R668" s="1271">
        <v>3.8500011034136201E-2</v>
      </c>
      <c r="S668" s="1257">
        <v>3.8500011034136201E-2</v>
      </c>
      <c r="T668" s="1257">
        <v>3.8500011034136201E-2</v>
      </c>
      <c r="U668" s="1280">
        <v>1.9250005517068101E-2</v>
      </c>
      <c r="V668" s="1293">
        <v>7.37839021320857E-3</v>
      </c>
    </row>
    <row r="669" spans="1:22" s="212" customFormat="1" ht="15.5" x14ac:dyDescent="0.35">
      <c r="A669" s="198">
        <v>2027</v>
      </c>
      <c r="B669" s="197" t="s">
        <v>5833</v>
      </c>
      <c r="C669" s="197">
        <v>1992</v>
      </c>
      <c r="D669" s="225" t="str">
        <f t="shared" si="3"/>
        <v>2027_1992</v>
      </c>
      <c r="E669" s="1226">
        <v>7.0699648992425396E-2</v>
      </c>
      <c r="F669" s="1257">
        <v>1.31539158468274E-2</v>
      </c>
      <c r="G669" s="1280">
        <v>2.3842756073096799E-2</v>
      </c>
      <c r="H669" s="1271">
        <v>0.401909437513154</v>
      </c>
      <c r="I669" s="1257">
        <v>0.436513620480042</v>
      </c>
      <c r="J669" s="1280">
        <v>0.74991383032230097</v>
      </c>
      <c r="K669" s="1271">
        <v>7.0592043186733901E-3</v>
      </c>
      <c r="L669" s="1257">
        <v>5.5529208785202598E-4</v>
      </c>
      <c r="M669" s="1280">
        <v>2.11911077846365E-4</v>
      </c>
      <c r="N669" s="1271">
        <v>8.3905913196603808E-3</v>
      </c>
      <c r="O669" s="1257">
        <v>3.0000008598028201E-3</v>
      </c>
      <c r="P669" s="1257">
        <v>8.3928831765067401E-3</v>
      </c>
      <c r="Q669" s="1280">
        <v>8.3905913196603808E-3</v>
      </c>
      <c r="R669" s="1271">
        <v>3.8500011034136201E-2</v>
      </c>
      <c r="S669" s="1257">
        <v>3.8500011034136201E-2</v>
      </c>
      <c r="T669" s="1257">
        <v>3.8500011034136201E-2</v>
      </c>
      <c r="U669" s="1280">
        <v>1.9250005517068101E-2</v>
      </c>
      <c r="V669" s="1293">
        <v>7.37839021320857E-3</v>
      </c>
    </row>
    <row r="670" spans="1:22" s="212" customFormat="1" ht="15.5" x14ac:dyDescent="0.35">
      <c r="A670" s="198">
        <v>2027</v>
      </c>
      <c r="B670" s="197" t="s">
        <v>5833</v>
      </c>
      <c r="C670" s="197">
        <v>1993</v>
      </c>
      <c r="D670" s="225" t="str">
        <f t="shared" si="3"/>
        <v>2027_1993</v>
      </c>
      <c r="E670" s="1226">
        <v>7.0699648992425396E-2</v>
      </c>
      <c r="F670" s="1257">
        <v>1.31539158468274E-2</v>
      </c>
      <c r="G670" s="1280">
        <v>2.3842756073096799E-2</v>
      </c>
      <c r="H670" s="1271">
        <v>0.401909437513154</v>
      </c>
      <c r="I670" s="1257">
        <v>0.436513620480042</v>
      </c>
      <c r="J670" s="1280">
        <v>0.74991383032230097</v>
      </c>
      <c r="K670" s="1271">
        <v>7.0592043186733901E-3</v>
      </c>
      <c r="L670" s="1257">
        <v>5.5529208785202598E-4</v>
      </c>
      <c r="M670" s="1280">
        <v>2.11911077846365E-4</v>
      </c>
      <c r="N670" s="1271">
        <v>8.3905913196603808E-3</v>
      </c>
      <c r="O670" s="1257">
        <v>3.0000008598028201E-3</v>
      </c>
      <c r="P670" s="1257">
        <v>8.3928831765067401E-3</v>
      </c>
      <c r="Q670" s="1280">
        <v>8.3905913196603808E-3</v>
      </c>
      <c r="R670" s="1271">
        <v>3.8500011034136201E-2</v>
      </c>
      <c r="S670" s="1257">
        <v>3.8500011034136201E-2</v>
      </c>
      <c r="T670" s="1257">
        <v>3.8500011034136201E-2</v>
      </c>
      <c r="U670" s="1280">
        <v>1.9250005517068101E-2</v>
      </c>
      <c r="V670" s="1293">
        <v>7.37839021320857E-3</v>
      </c>
    </row>
    <row r="671" spans="1:22" s="212" customFormat="1" ht="15.5" x14ac:dyDescent="0.35">
      <c r="A671" s="198">
        <v>2027</v>
      </c>
      <c r="B671" s="197" t="s">
        <v>5833</v>
      </c>
      <c r="C671" s="197">
        <v>1994</v>
      </c>
      <c r="D671" s="225" t="str">
        <f t="shared" si="3"/>
        <v>2027_1994</v>
      </c>
      <c r="E671" s="1226">
        <v>7.0699648992425396E-2</v>
      </c>
      <c r="F671" s="1257">
        <v>1.31539158468274E-2</v>
      </c>
      <c r="G671" s="1280">
        <v>2.3842756073096799E-2</v>
      </c>
      <c r="H671" s="1271">
        <v>0.401909437513154</v>
      </c>
      <c r="I671" s="1257">
        <v>0.436513620480042</v>
      </c>
      <c r="J671" s="1280">
        <v>0.74991383032230097</v>
      </c>
      <c r="K671" s="1271">
        <v>7.0592043186733901E-3</v>
      </c>
      <c r="L671" s="1257">
        <v>5.5529208785202598E-4</v>
      </c>
      <c r="M671" s="1280">
        <v>2.11911077846365E-4</v>
      </c>
      <c r="N671" s="1271">
        <v>8.3905913196603808E-3</v>
      </c>
      <c r="O671" s="1257">
        <v>3.0000008598028201E-3</v>
      </c>
      <c r="P671" s="1257">
        <v>8.3928831765067401E-3</v>
      </c>
      <c r="Q671" s="1280">
        <v>8.3905913196603808E-3</v>
      </c>
      <c r="R671" s="1271">
        <v>3.8500011034136201E-2</v>
      </c>
      <c r="S671" s="1257">
        <v>3.8500011034136201E-2</v>
      </c>
      <c r="T671" s="1257">
        <v>3.8500011034136201E-2</v>
      </c>
      <c r="U671" s="1280">
        <v>1.9250005517068101E-2</v>
      </c>
      <c r="V671" s="1293">
        <v>7.37839021320857E-3</v>
      </c>
    </row>
    <row r="672" spans="1:22" s="212" customFormat="1" ht="15.5" x14ac:dyDescent="0.35">
      <c r="A672" s="198">
        <v>2027</v>
      </c>
      <c r="B672" s="197" t="s">
        <v>5833</v>
      </c>
      <c r="C672" s="197">
        <v>1995</v>
      </c>
      <c r="D672" s="225" t="str">
        <f t="shared" si="3"/>
        <v>2027_1995</v>
      </c>
      <c r="E672" s="1226">
        <v>7.0699648992425396E-2</v>
      </c>
      <c r="F672" s="1257">
        <v>1.31539158468274E-2</v>
      </c>
      <c r="G672" s="1280">
        <v>2.3842756073096799E-2</v>
      </c>
      <c r="H672" s="1271">
        <v>0.401909437513154</v>
      </c>
      <c r="I672" s="1257">
        <v>0.436513620480042</v>
      </c>
      <c r="J672" s="1280">
        <v>0.74991383032230097</v>
      </c>
      <c r="K672" s="1271">
        <v>7.0592043186733901E-3</v>
      </c>
      <c r="L672" s="1257">
        <v>5.5529208785202598E-4</v>
      </c>
      <c r="M672" s="1280">
        <v>2.11911077846365E-4</v>
      </c>
      <c r="N672" s="1271">
        <v>8.3905913196603808E-3</v>
      </c>
      <c r="O672" s="1257">
        <v>3.0000008598028201E-3</v>
      </c>
      <c r="P672" s="1257">
        <v>8.3928831765067401E-3</v>
      </c>
      <c r="Q672" s="1280">
        <v>8.3905913196603808E-3</v>
      </c>
      <c r="R672" s="1271">
        <v>3.8500011034136201E-2</v>
      </c>
      <c r="S672" s="1257">
        <v>3.8500011034136201E-2</v>
      </c>
      <c r="T672" s="1257">
        <v>3.8500011034136201E-2</v>
      </c>
      <c r="U672" s="1280">
        <v>1.9250005517068101E-2</v>
      </c>
      <c r="V672" s="1293">
        <v>7.37839021320857E-3</v>
      </c>
    </row>
    <row r="673" spans="1:22" s="212" customFormat="1" ht="15.5" x14ac:dyDescent="0.35">
      <c r="A673" s="198">
        <v>2027</v>
      </c>
      <c r="B673" s="197" t="s">
        <v>5833</v>
      </c>
      <c r="C673" s="197">
        <v>1996</v>
      </c>
      <c r="D673" s="225" t="str">
        <f t="shared" si="3"/>
        <v>2027_1996</v>
      </c>
      <c r="E673" s="1226">
        <v>7.0699648992425396E-2</v>
      </c>
      <c r="F673" s="1257">
        <v>1.31539158468274E-2</v>
      </c>
      <c r="G673" s="1280">
        <v>2.3842756073096799E-2</v>
      </c>
      <c r="H673" s="1271">
        <v>0.401909437513154</v>
      </c>
      <c r="I673" s="1257">
        <v>0.436513620480042</v>
      </c>
      <c r="J673" s="1280">
        <v>0.74991383032230097</v>
      </c>
      <c r="K673" s="1271">
        <v>7.0592043186733901E-3</v>
      </c>
      <c r="L673" s="1257">
        <v>5.5529208785202598E-4</v>
      </c>
      <c r="M673" s="1280">
        <v>2.11911077846365E-4</v>
      </c>
      <c r="N673" s="1271">
        <v>8.3905913196603808E-3</v>
      </c>
      <c r="O673" s="1257">
        <v>3.0000008598028201E-3</v>
      </c>
      <c r="P673" s="1257">
        <v>8.3928831765067401E-3</v>
      </c>
      <c r="Q673" s="1280">
        <v>8.3905913196603808E-3</v>
      </c>
      <c r="R673" s="1271">
        <v>3.8500011034136201E-2</v>
      </c>
      <c r="S673" s="1257">
        <v>3.8500011034136201E-2</v>
      </c>
      <c r="T673" s="1257">
        <v>3.8500011034136201E-2</v>
      </c>
      <c r="U673" s="1280">
        <v>1.9250005517068101E-2</v>
      </c>
      <c r="V673" s="1293">
        <v>7.37839021320857E-3</v>
      </c>
    </row>
    <row r="674" spans="1:22" s="212" customFormat="1" ht="15.5" x14ac:dyDescent="0.35">
      <c r="A674" s="198">
        <v>2027</v>
      </c>
      <c r="B674" s="197" t="s">
        <v>5833</v>
      </c>
      <c r="C674" s="197">
        <v>1997</v>
      </c>
      <c r="D674" s="225" t="str">
        <f t="shared" si="3"/>
        <v>2027_1997</v>
      </c>
      <c r="E674" s="1226">
        <v>7.0699648992425396E-2</v>
      </c>
      <c r="F674" s="1257">
        <v>1.31539158468274E-2</v>
      </c>
      <c r="G674" s="1280">
        <v>2.3842756073096799E-2</v>
      </c>
      <c r="H674" s="1271">
        <v>0.401909437513154</v>
      </c>
      <c r="I674" s="1257">
        <v>0.436513620480042</v>
      </c>
      <c r="J674" s="1280">
        <v>0.74991383032230097</v>
      </c>
      <c r="K674" s="1271">
        <v>7.0592043186733901E-3</v>
      </c>
      <c r="L674" s="1257">
        <v>5.5529208785202598E-4</v>
      </c>
      <c r="M674" s="1280">
        <v>2.11911077846365E-4</v>
      </c>
      <c r="N674" s="1271">
        <v>8.3905913196603808E-3</v>
      </c>
      <c r="O674" s="1257">
        <v>3.0000008598028201E-3</v>
      </c>
      <c r="P674" s="1257">
        <v>8.3928831765067401E-3</v>
      </c>
      <c r="Q674" s="1280">
        <v>8.3905913196603808E-3</v>
      </c>
      <c r="R674" s="1271">
        <v>3.8500011034136201E-2</v>
      </c>
      <c r="S674" s="1257">
        <v>3.8500011034136201E-2</v>
      </c>
      <c r="T674" s="1257">
        <v>3.8500011034136201E-2</v>
      </c>
      <c r="U674" s="1280">
        <v>1.9250005517068101E-2</v>
      </c>
      <c r="V674" s="1293">
        <v>7.37839021320857E-3</v>
      </c>
    </row>
    <row r="675" spans="1:22" s="212" customFormat="1" ht="15.5" x14ac:dyDescent="0.35">
      <c r="A675" s="198">
        <v>2027</v>
      </c>
      <c r="B675" s="197" t="s">
        <v>5833</v>
      </c>
      <c r="C675" s="197">
        <v>1998</v>
      </c>
      <c r="D675" s="225" t="str">
        <f t="shared" si="3"/>
        <v>2027_1998</v>
      </c>
      <c r="E675" s="1226">
        <v>7.0699648992425396E-2</v>
      </c>
      <c r="F675" s="1257">
        <v>1.31539158468274E-2</v>
      </c>
      <c r="G675" s="1280">
        <v>2.3842756073096799E-2</v>
      </c>
      <c r="H675" s="1271">
        <v>0.401909437513154</v>
      </c>
      <c r="I675" s="1257">
        <v>0.436513620480042</v>
      </c>
      <c r="J675" s="1280">
        <v>0.74991383032230097</v>
      </c>
      <c r="K675" s="1271">
        <v>7.0592043186733901E-3</v>
      </c>
      <c r="L675" s="1257">
        <v>5.5529208785202598E-4</v>
      </c>
      <c r="M675" s="1280">
        <v>2.11911077846365E-4</v>
      </c>
      <c r="N675" s="1271">
        <v>8.3905913196603808E-3</v>
      </c>
      <c r="O675" s="1257">
        <v>3.0000008598028201E-3</v>
      </c>
      <c r="P675" s="1257">
        <v>8.3928831765067401E-3</v>
      </c>
      <c r="Q675" s="1280">
        <v>8.3905913196603808E-3</v>
      </c>
      <c r="R675" s="1271">
        <v>3.8500011034136201E-2</v>
      </c>
      <c r="S675" s="1257">
        <v>3.8500011034136201E-2</v>
      </c>
      <c r="T675" s="1257">
        <v>3.8500011034136201E-2</v>
      </c>
      <c r="U675" s="1280">
        <v>1.9250005517068101E-2</v>
      </c>
      <c r="V675" s="1293">
        <v>7.37839021320857E-3</v>
      </c>
    </row>
    <row r="676" spans="1:22" s="212" customFormat="1" ht="15.5" x14ac:dyDescent="0.35">
      <c r="A676" s="198">
        <v>2027</v>
      </c>
      <c r="B676" s="197" t="s">
        <v>5833</v>
      </c>
      <c r="C676" s="197">
        <v>1999</v>
      </c>
      <c r="D676" s="225" t="str">
        <f t="shared" si="3"/>
        <v>2027_1999</v>
      </c>
      <c r="E676" s="1226">
        <v>7.0699648992425396E-2</v>
      </c>
      <c r="F676" s="1257">
        <v>1.31539158468274E-2</v>
      </c>
      <c r="G676" s="1280">
        <v>2.3842756073096799E-2</v>
      </c>
      <c r="H676" s="1271">
        <v>0.401909437513154</v>
      </c>
      <c r="I676" s="1257">
        <v>0.436513620480042</v>
      </c>
      <c r="J676" s="1280">
        <v>0.74991383032230097</v>
      </c>
      <c r="K676" s="1271">
        <v>7.0592043186733901E-3</v>
      </c>
      <c r="L676" s="1257">
        <v>5.5529208785202598E-4</v>
      </c>
      <c r="M676" s="1280">
        <v>2.11911077846365E-4</v>
      </c>
      <c r="N676" s="1271">
        <v>8.3905913196603808E-3</v>
      </c>
      <c r="O676" s="1257">
        <v>3.0000008598028201E-3</v>
      </c>
      <c r="P676" s="1257">
        <v>8.3928831765067401E-3</v>
      </c>
      <c r="Q676" s="1280">
        <v>8.3905913196603808E-3</v>
      </c>
      <c r="R676" s="1271">
        <v>3.8500011034136201E-2</v>
      </c>
      <c r="S676" s="1257">
        <v>3.8500011034136201E-2</v>
      </c>
      <c r="T676" s="1257">
        <v>3.8500011034136201E-2</v>
      </c>
      <c r="U676" s="1280">
        <v>1.9250005517068101E-2</v>
      </c>
      <c r="V676" s="1293">
        <v>7.37839021320857E-3</v>
      </c>
    </row>
    <row r="677" spans="1:22" s="212" customFormat="1" ht="15.5" x14ac:dyDescent="0.35">
      <c r="A677" s="198">
        <v>2027</v>
      </c>
      <c r="B677" s="197" t="s">
        <v>5833</v>
      </c>
      <c r="C677" s="197">
        <v>2000</v>
      </c>
      <c r="D677" s="225" t="str">
        <f t="shared" si="3"/>
        <v>2027_2000</v>
      </c>
      <c r="E677" s="1226">
        <v>7.0699648992425396E-2</v>
      </c>
      <c r="F677" s="1257">
        <v>1.31539158468274E-2</v>
      </c>
      <c r="G677" s="1280">
        <v>2.3842756073096799E-2</v>
      </c>
      <c r="H677" s="1271">
        <v>0.401909437513154</v>
      </c>
      <c r="I677" s="1257">
        <v>0.436513620480042</v>
      </c>
      <c r="J677" s="1280">
        <v>0.74991383032230097</v>
      </c>
      <c r="K677" s="1271">
        <v>7.0592043186733901E-3</v>
      </c>
      <c r="L677" s="1257">
        <v>5.5529208785202598E-4</v>
      </c>
      <c r="M677" s="1280">
        <v>2.11911077846365E-4</v>
      </c>
      <c r="N677" s="1271">
        <v>8.3905913196603808E-3</v>
      </c>
      <c r="O677" s="1257">
        <v>3.0000008598028201E-3</v>
      </c>
      <c r="P677" s="1257">
        <v>8.3928831765067401E-3</v>
      </c>
      <c r="Q677" s="1280">
        <v>8.3905913196603808E-3</v>
      </c>
      <c r="R677" s="1271">
        <v>3.8500011034136201E-2</v>
      </c>
      <c r="S677" s="1257">
        <v>3.8500011034136201E-2</v>
      </c>
      <c r="T677" s="1257">
        <v>3.8500011034136201E-2</v>
      </c>
      <c r="U677" s="1280">
        <v>1.9250005517068101E-2</v>
      </c>
      <c r="V677" s="1293">
        <v>7.37839021320857E-3</v>
      </c>
    </row>
    <row r="678" spans="1:22" s="212" customFormat="1" ht="15.5" x14ac:dyDescent="0.35">
      <c r="A678" s="198">
        <v>2027</v>
      </c>
      <c r="B678" s="197" t="s">
        <v>5833</v>
      </c>
      <c r="C678" s="197">
        <v>2001</v>
      </c>
      <c r="D678" s="225" t="str">
        <f t="shared" si="3"/>
        <v>2027_2001</v>
      </c>
      <c r="E678" s="1226">
        <v>7.0699648992425396E-2</v>
      </c>
      <c r="F678" s="1257">
        <v>1.31539158468274E-2</v>
      </c>
      <c r="G678" s="1280">
        <v>2.3842756073096799E-2</v>
      </c>
      <c r="H678" s="1271">
        <v>0.401909437513154</v>
      </c>
      <c r="I678" s="1257">
        <v>0.436513620480042</v>
      </c>
      <c r="J678" s="1280">
        <v>0.74991383032230097</v>
      </c>
      <c r="K678" s="1271">
        <v>7.0592043186733901E-3</v>
      </c>
      <c r="L678" s="1257">
        <v>5.5529208785202598E-4</v>
      </c>
      <c r="M678" s="1280">
        <v>2.11911077846365E-4</v>
      </c>
      <c r="N678" s="1271">
        <v>8.3905913196603808E-3</v>
      </c>
      <c r="O678" s="1257">
        <v>3.0000008598028201E-3</v>
      </c>
      <c r="P678" s="1257">
        <v>8.3928831765067401E-3</v>
      </c>
      <c r="Q678" s="1280">
        <v>8.3905913196603808E-3</v>
      </c>
      <c r="R678" s="1271">
        <v>3.8500011034136201E-2</v>
      </c>
      <c r="S678" s="1257">
        <v>3.8500011034136201E-2</v>
      </c>
      <c r="T678" s="1257">
        <v>3.8500011034136201E-2</v>
      </c>
      <c r="U678" s="1280">
        <v>1.9250005517068101E-2</v>
      </c>
      <c r="V678" s="1293">
        <v>7.37839021320857E-3</v>
      </c>
    </row>
    <row r="679" spans="1:22" s="212" customFormat="1" ht="15.5" x14ac:dyDescent="0.35">
      <c r="A679" s="198">
        <v>2027</v>
      </c>
      <c r="B679" s="197" t="s">
        <v>5833</v>
      </c>
      <c r="C679" s="197">
        <v>2002</v>
      </c>
      <c r="D679" s="225" t="str">
        <f t="shared" si="3"/>
        <v>2027_2002</v>
      </c>
      <c r="E679" s="1226">
        <v>7.0699648992425396E-2</v>
      </c>
      <c r="F679" s="1257">
        <v>1.31539158468274E-2</v>
      </c>
      <c r="G679" s="1280">
        <v>2.3842756073096799E-2</v>
      </c>
      <c r="H679" s="1271">
        <v>0.401909437513154</v>
      </c>
      <c r="I679" s="1257">
        <v>0.436513620480042</v>
      </c>
      <c r="J679" s="1280">
        <v>0.74991383032230097</v>
      </c>
      <c r="K679" s="1271">
        <v>7.0592043186733901E-3</v>
      </c>
      <c r="L679" s="1257">
        <v>5.5529208785202598E-4</v>
      </c>
      <c r="M679" s="1280">
        <v>2.11911077846365E-4</v>
      </c>
      <c r="N679" s="1271">
        <v>8.3905913196603808E-3</v>
      </c>
      <c r="O679" s="1257">
        <v>3.0000008598028201E-3</v>
      </c>
      <c r="P679" s="1257">
        <v>8.3928831765067401E-3</v>
      </c>
      <c r="Q679" s="1280">
        <v>8.3905913196603808E-3</v>
      </c>
      <c r="R679" s="1271">
        <v>3.8500011034136201E-2</v>
      </c>
      <c r="S679" s="1257">
        <v>3.8500011034136201E-2</v>
      </c>
      <c r="T679" s="1257">
        <v>3.8500011034136201E-2</v>
      </c>
      <c r="U679" s="1280">
        <v>1.9250005517068101E-2</v>
      </c>
      <c r="V679" s="1293">
        <v>7.37839021320857E-3</v>
      </c>
    </row>
    <row r="680" spans="1:22" s="212" customFormat="1" ht="15.5" x14ac:dyDescent="0.35">
      <c r="A680" s="198">
        <v>2027</v>
      </c>
      <c r="B680" s="197" t="s">
        <v>5833</v>
      </c>
      <c r="C680" s="197">
        <v>2003</v>
      </c>
      <c r="D680" s="225" t="str">
        <f t="shared" si="3"/>
        <v>2027_2003</v>
      </c>
      <c r="E680" s="1226">
        <v>7.0699648992425396E-2</v>
      </c>
      <c r="F680" s="1257">
        <v>1.31539158468274E-2</v>
      </c>
      <c r="G680" s="1280">
        <v>2.3842756073096799E-2</v>
      </c>
      <c r="H680" s="1271">
        <v>0.401909437513154</v>
      </c>
      <c r="I680" s="1257">
        <v>0.436513620480042</v>
      </c>
      <c r="J680" s="1280">
        <v>0.74991383032230097</v>
      </c>
      <c r="K680" s="1271">
        <v>7.0592043186733901E-3</v>
      </c>
      <c r="L680" s="1257">
        <v>5.5529208785202598E-4</v>
      </c>
      <c r="M680" s="1280">
        <v>2.11911077846365E-4</v>
      </c>
      <c r="N680" s="1271">
        <v>8.3905913196603808E-3</v>
      </c>
      <c r="O680" s="1257">
        <v>3.0000008598028201E-3</v>
      </c>
      <c r="P680" s="1257">
        <v>8.3928831765067401E-3</v>
      </c>
      <c r="Q680" s="1280">
        <v>8.3905913196603808E-3</v>
      </c>
      <c r="R680" s="1271">
        <v>3.8500011034136201E-2</v>
      </c>
      <c r="S680" s="1257">
        <v>3.8500011034136201E-2</v>
      </c>
      <c r="T680" s="1257">
        <v>3.8500011034136201E-2</v>
      </c>
      <c r="U680" s="1280">
        <v>1.9250005517068101E-2</v>
      </c>
      <c r="V680" s="1293">
        <v>7.37839021320857E-3</v>
      </c>
    </row>
    <row r="681" spans="1:22" s="212" customFormat="1" ht="15.5" x14ac:dyDescent="0.35">
      <c r="A681" s="198">
        <v>2027</v>
      </c>
      <c r="B681" s="197" t="s">
        <v>5833</v>
      </c>
      <c r="C681" s="197">
        <v>2004</v>
      </c>
      <c r="D681" s="225" t="str">
        <f t="shared" si="3"/>
        <v>2027_2004</v>
      </c>
      <c r="E681" s="1226">
        <v>7.0699648992425396E-2</v>
      </c>
      <c r="F681" s="1257">
        <v>1.31539158468274E-2</v>
      </c>
      <c r="G681" s="1280">
        <v>2.3842756073096799E-2</v>
      </c>
      <c r="H681" s="1271">
        <v>0.401909437513154</v>
      </c>
      <c r="I681" s="1257">
        <v>0.436513620480042</v>
      </c>
      <c r="J681" s="1280">
        <v>0.74991383032230097</v>
      </c>
      <c r="K681" s="1271">
        <v>7.0592043186733901E-3</v>
      </c>
      <c r="L681" s="1257">
        <v>5.5529208785202598E-4</v>
      </c>
      <c r="M681" s="1280">
        <v>2.11911077846365E-4</v>
      </c>
      <c r="N681" s="1271">
        <v>8.3905913196603808E-3</v>
      </c>
      <c r="O681" s="1257">
        <v>3.0000008598028201E-3</v>
      </c>
      <c r="P681" s="1257">
        <v>8.3928831765067401E-3</v>
      </c>
      <c r="Q681" s="1280">
        <v>8.3905913196603808E-3</v>
      </c>
      <c r="R681" s="1271">
        <v>3.8500011034136201E-2</v>
      </c>
      <c r="S681" s="1257">
        <v>3.8500011034136201E-2</v>
      </c>
      <c r="T681" s="1257">
        <v>3.8500011034136201E-2</v>
      </c>
      <c r="U681" s="1280">
        <v>1.9250005517068101E-2</v>
      </c>
      <c r="V681" s="1293">
        <v>7.37839021320857E-3</v>
      </c>
    </row>
    <row r="682" spans="1:22" s="212" customFormat="1" ht="15.5" x14ac:dyDescent="0.35">
      <c r="A682" s="198">
        <v>2027</v>
      </c>
      <c r="B682" s="197" t="s">
        <v>5833</v>
      </c>
      <c r="C682" s="197">
        <v>2005</v>
      </c>
      <c r="D682" s="225" t="str">
        <f t="shared" si="3"/>
        <v>2027_2005</v>
      </c>
      <c r="E682" s="1226">
        <v>7.0699648992425396E-2</v>
      </c>
      <c r="F682" s="1257">
        <v>1.31539158468274E-2</v>
      </c>
      <c r="G682" s="1280">
        <v>2.3842756073096799E-2</v>
      </c>
      <c r="H682" s="1271">
        <v>0.401909437513154</v>
      </c>
      <c r="I682" s="1257">
        <v>0.436513620480042</v>
      </c>
      <c r="J682" s="1280">
        <v>0.74991383032230097</v>
      </c>
      <c r="K682" s="1271">
        <v>7.0592043186733901E-3</v>
      </c>
      <c r="L682" s="1257">
        <v>5.5529208785202598E-4</v>
      </c>
      <c r="M682" s="1280">
        <v>2.11911077846365E-4</v>
      </c>
      <c r="N682" s="1271">
        <v>8.3905913196603808E-3</v>
      </c>
      <c r="O682" s="1257">
        <v>3.0000008598028201E-3</v>
      </c>
      <c r="P682" s="1257">
        <v>8.3928831765067401E-3</v>
      </c>
      <c r="Q682" s="1280">
        <v>8.3905913196603808E-3</v>
      </c>
      <c r="R682" s="1271">
        <v>3.8500011034136201E-2</v>
      </c>
      <c r="S682" s="1257">
        <v>3.8500011034136201E-2</v>
      </c>
      <c r="T682" s="1257">
        <v>3.8500011034136201E-2</v>
      </c>
      <c r="U682" s="1280">
        <v>1.9250005517068101E-2</v>
      </c>
      <c r="V682" s="1293">
        <v>7.37839021320857E-3</v>
      </c>
    </row>
    <row r="683" spans="1:22" s="212" customFormat="1" ht="15.5" x14ac:dyDescent="0.35">
      <c r="A683" s="198">
        <v>2027</v>
      </c>
      <c r="B683" s="197" t="s">
        <v>5833</v>
      </c>
      <c r="C683" s="197">
        <v>2006</v>
      </c>
      <c r="D683" s="225" t="str">
        <f t="shared" si="3"/>
        <v>2027_2006</v>
      </c>
      <c r="E683" s="1226">
        <v>7.0699648992425396E-2</v>
      </c>
      <c r="F683" s="1257">
        <v>1.31539158468274E-2</v>
      </c>
      <c r="G683" s="1280">
        <v>2.3842756073096799E-2</v>
      </c>
      <c r="H683" s="1271">
        <v>0.401909437513154</v>
      </c>
      <c r="I683" s="1257">
        <v>0.436513620480042</v>
      </c>
      <c r="J683" s="1280">
        <v>0.74991383032230097</v>
      </c>
      <c r="K683" s="1271">
        <v>7.0592043186733901E-3</v>
      </c>
      <c r="L683" s="1257">
        <v>5.5529208785202598E-4</v>
      </c>
      <c r="M683" s="1280">
        <v>2.11911077846365E-4</v>
      </c>
      <c r="N683" s="1271">
        <v>8.3905913196603808E-3</v>
      </c>
      <c r="O683" s="1257">
        <v>3.0000008598028201E-3</v>
      </c>
      <c r="P683" s="1257">
        <v>8.3928831765067401E-3</v>
      </c>
      <c r="Q683" s="1280">
        <v>8.3905913196603808E-3</v>
      </c>
      <c r="R683" s="1271">
        <v>3.8500011034136201E-2</v>
      </c>
      <c r="S683" s="1257">
        <v>3.8500011034136201E-2</v>
      </c>
      <c r="T683" s="1257">
        <v>3.8500011034136201E-2</v>
      </c>
      <c r="U683" s="1280">
        <v>1.9250005517068101E-2</v>
      </c>
      <c r="V683" s="1293">
        <v>7.37839021320857E-3</v>
      </c>
    </row>
    <row r="684" spans="1:22" s="212" customFormat="1" ht="15.5" x14ac:dyDescent="0.35">
      <c r="A684" s="198">
        <v>2027</v>
      </c>
      <c r="B684" s="197" t="s">
        <v>5833</v>
      </c>
      <c r="C684" s="197">
        <v>2007</v>
      </c>
      <c r="D684" s="225" t="str">
        <f t="shared" si="3"/>
        <v>2027_2007</v>
      </c>
      <c r="E684" s="1226">
        <v>7.0699648992425396E-2</v>
      </c>
      <c r="F684" s="1257">
        <v>1.31539158468274E-2</v>
      </c>
      <c r="G684" s="1280">
        <v>2.3842756073096799E-2</v>
      </c>
      <c r="H684" s="1271">
        <v>0.401909437513154</v>
      </c>
      <c r="I684" s="1257">
        <v>0.436513620480042</v>
      </c>
      <c r="J684" s="1280">
        <v>0.74991383032230097</v>
      </c>
      <c r="K684" s="1271">
        <v>7.0592043186733901E-3</v>
      </c>
      <c r="L684" s="1257">
        <v>5.5529208785202598E-4</v>
      </c>
      <c r="M684" s="1280">
        <v>2.11911077846365E-4</v>
      </c>
      <c r="N684" s="1271">
        <v>8.3905913196603808E-3</v>
      </c>
      <c r="O684" s="1257">
        <v>3.0000008598028201E-3</v>
      </c>
      <c r="P684" s="1257">
        <v>8.3928831765067401E-3</v>
      </c>
      <c r="Q684" s="1280">
        <v>8.3905913196603808E-3</v>
      </c>
      <c r="R684" s="1271">
        <v>3.8500011034136201E-2</v>
      </c>
      <c r="S684" s="1257">
        <v>3.8500011034136201E-2</v>
      </c>
      <c r="T684" s="1257">
        <v>3.8500011034136201E-2</v>
      </c>
      <c r="U684" s="1280">
        <v>1.9250005517068101E-2</v>
      </c>
      <c r="V684" s="1293">
        <v>7.37839021320857E-3</v>
      </c>
    </row>
    <row r="685" spans="1:22" s="212" customFormat="1" ht="15.5" x14ac:dyDescent="0.35">
      <c r="A685" s="198">
        <v>2027</v>
      </c>
      <c r="B685" s="197" t="s">
        <v>5833</v>
      </c>
      <c r="C685" s="197">
        <v>2008</v>
      </c>
      <c r="D685" s="225" t="str">
        <f t="shared" si="3"/>
        <v>2027_2008</v>
      </c>
      <c r="E685" s="1226">
        <v>7.0699648992425396E-2</v>
      </c>
      <c r="F685" s="1257">
        <v>1.31539158468274E-2</v>
      </c>
      <c r="G685" s="1280">
        <v>2.3842756073096799E-2</v>
      </c>
      <c r="H685" s="1271">
        <v>0.401909437513154</v>
      </c>
      <c r="I685" s="1257">
        <v>0.436513620480042</v>
      </c>
      <c r="J685" s="1280">
        <v>0.74991383032230097</v>
      </c>
      <c r="K685" s="1271">
        <v>7.0592043186733901E-3</v>
      </c>
      <c r="L685" s="1257">
        <v>5.5529208785202598E-4</v>
      </c>
      <c r="M685" s="1280">
        <v>2.11911077846365E-4</v>
      </c>
      <c r="N685" s="1271">
        <v>8.3905913196603808E-3</v>
      </c>
      <c r="O685" s="1257">
        <v>3.0000008598028201E-3</v>
      </c>
      <c r="P685" s="1257">
        <v>8.3928831765067401E-3</v>
      </c>
      <c r="Q685" s="1280">
        <v>8.3905913196603808E-3</v>
      </c>
      <c r="R685" s="1271">
        <v>3.8500011034136201E-2</v>
      </c>
      <c r="S685" s="1257">
        <v>3.8500011034136201E-2</v>
      </c>
      <c r="T685" s="1257">
        <v>3.8500011034136201E-2</v>
      </c>
      <c r="U685" s="1280">
        <v>1.9250005517068101E-2</v>
      </c>
      <c r="V685" s="1293">
        <v>7.37839021320857E-3</v>
      </c>
    </row>
    <row r="686" spans="1:22" s="212" customFormat="1" ht="15.5" x14ac:dyDescent="0.35">
      <c r="A686" s="198">
        <v>2027</v>
      </c>
      <c r="B686" s="197" t="s">
        <v>5833</v>
      </c>
      <c r="C686" s="197">
        <v>2009</v>
      </c>
      <c r="D686" s="225" t="str">
        <f t="shared" si="3"/>
        <v>2027_2009</v>
      </c>
      <c r="E686" s="1226">
        <v>7.0699648992425396E-2</v>
      </c>
      <c r="F686" s="1257">
        <v>1.31539158468274E-2</v>
      </c>
      <c r="G686" s="1280">
        <v>2.3842756073096799E-2</v>
      </c>
      <c r="H686" s="1271">
        <v>0.401909437513154</v>
      </c>
      <c r="I686" s="1257">
        <v>0.436513620480042</v>
      </c>
      <c r="J686" s="1280">
        <v>0.74991383032230097</v>
      </c>
      <c r="K686" s="1271">
        <v>7.0592043186733901E-3</v>
      </c>
      <c r="L686" s="1257">
        <v>5.5529208785202598E-4</v>
      </c>
      <c r="M686" s="1280">
        <v>2.11911077846365E-4</v>
      </c>
      <c r="N686" s="1271">
        <v>8.3905913196603808E-3</v>
      </c>
      <c r="O686" s="1257">
        <v>3.0000008598028201E-3</v>
      </c>
      <c r="P686" s="1257">
        <v>8.3928831765067401E-3</v>
      </c>
      <c r="Q686" s="1280">
        <v>8.3905913196603808E-3</v>
      </c>
      <c r="R686" s="1271">
        <v>3.8500011034136201E-2</v>
      </c>
      <c r="S686" s="1257">
        <v>3.8500011034136201E-2</v>
      </c>
      <c r="T686" s="1257">
        <v>3.8500011034136201E-2</v>
      </c>
      <c r="U686" s="1280">
        <v>1.9250005517068101E-2</v>
      </c>
      <c r="V686" s="1293">
        <v>7.37839021320857E-3</v>
      </c>
    </row>
    <row r="687" spans="1:22" s="212" customFormat="1" ht="15.5" x14ac:dyDescent="0.35">
      <c r="A687" s="198">
        <v>2027</v>
      </c>
      <c r="B687" s="197" t="s">
        <v>5833</v>
      </c>
      <c r="C687" s="197">
        <v>2010</v>
      </c>
      <c r="D687" s="225" t="str">
        <f t="shared" si="3"/>
        <v>2027_2010</v>
      </c>
      <c r="E687" s="1226">
        <v>7.0699648992425396E-2</v>
      </c>
      <c r="F687" s="1257">
        <v>1.31539158468274E-2</v>
      </c>
      <c r="G687" s="1280">
        <v>2.3842756073096799E-2</v>
      </c>
      <c r="H687" s="1271">
        <v>0.401909437513154</v>
      </c>
      <c r="I687" s="1257">
        <v>0.436513620480042</v>
      </c>
      <c r="J687" s="1280">
        <v>0.74991383032230097</v>
      </c>
      <c r="K687" s="1271">
        <v>7.0592043186733901E-3</v>
      </c>
      <c r="L687" s="1257">
        <v>5.5529208785202598E-4</v>
      </c>
      <c r="M687" s="1280">
        <v>2.11911077846365E-4</v>
      </c>
      <c r="N687" s="1271">
        <v>8.3905913196603808E-3</v>
      </c>
      <c r="O687" s="1257">
        <v>3.0000008598028201E-3</v>
      </c>
      <c r="P687" s="1257">
        <v>8.3928831765067401E-3</v>
      </c>
      <c r="Q687" s="1280">
        <v>8.3905913196603808E-3</v>
      </c>
      <c r="R687" s="1271">
        <v>3.8500011034136201E-2</v>
      </c>
      <c r="S687" s="1257">
        <v>3.8500011034136201E-2</v>
      </c>
      <c r="T687" s="1257">
        <v>3.8500011034136201E-2</v>
      </c>
      <c r="U687" s="1280">
        <v>1.9250005517068101E-2</v>
      </c>
      <c r="V687" s="1293">
        <v>7.37839021320857E-3</v>
      </c>
    </row>
    <row r="688" spans="1:22" s="212" customFormat="1" ht="15.5" x14ac:dyDescent="0.35">
      <c r="A688" s="198">
        <v>2027</v>
      </c>
      <c r="B688" s="197" t="s">
        <v>5833</v>
      </c>
      <c r="C688" s="197">
        <v>2011</v>
      </c>
      <c r="D688" s="225" t="str">
        <f t="shared" si="3"/>
        <v>2027_2011</v>
      </c>
      <c r="E688" s="1226">
        <v>7.0699648992425396E-2</v>
      </c>
      <c r="F688" s="1257">
        <v>1.31539158468274E-2</v>
      </c>
      <c r="G688" s="1280">
        <v>2.3842756073096799E-2</v>
      </c>
      <c r="H688" s="1271">
        <v>0.401909437513154</v>
      </c>
      <c r="I688" s="1257">
        <v>0.436513620480042</v>
      </c>
      <c r="J688" s="1280">
        <v>0.74991383032230097</v>
      </c>
      <c r="K688" s="1271">
        <v>7.0592043186733901E-3</v>
      </c>
      <c r="L688" s="1257">
        <v>5.5529208785202598E-4</v>
      </c>
      <c r="M688" s="1280">
        <v>2.11911077846365E-4</v>
      </c>
      <c r="N688" s="1271">
        <v>8.3905913196603808E-3</v>
      </c>
      <c r="O688" s="1257">
        <v>3.0000008598028201E-3</v>
      </c>
      <c r="P688" s="1257">
        <v>8.3928831765067401E-3</v>
      </c>
      <c r="Q688" s="1280">
        <v>8.3905913196603808E-3</v>
      </c>
      <c r="R688" s="1271">
        <v>3.8500011034136201E-2</v>
      </c>
      <c r="S688" s="1257">
        <v>3.8500011034136201E-2</v>
      </c>
      <c r="T688" s="1257">
        <v>3.8500011034136201E-2</v>
      </c>
      <c r="U688" s="1280">
        <v>1.9250005517068101E-2</v>
      </c>
      <c r="V688" s="1293">
        <v>7.37839021320857E-3</v>
      </c>
    </row>
    <row r="689" spans="1:22" s="212" customFormat="1" ht="15.5" x14ac:dyDescent="0.35">
      <c r="A689" s="198">
        <v>2027</v>
      </c>
      <c r="B689" s="197" t="s">
        <v>5833</v>
      </c>
      <c r="C689" s="197">
        <v>2012</v>
      </c>
      <c r="D689" s="225" t="str">
        <f t="shared" si="3"/>
        <v>2027_2012</v>
      </c>
      <c r="E689" s="1226">
        <v>7.0699648992425396E-2</v>
      </c>
      <c r="F689" s="1257">
        <v>1.31539158468274E-2</v>
      </c>
      <c r="G689" s="1280">
        <v>2.3842756073096799E-2</v>
      </c>
      <c r="H689" s="1271">
        <v>0.401909437513154</v>
      </c>
      <c r="I689" s="1257">
        <v>0.436513620480042</v>
      </c>
      <c r="J689" s="1280">
        <v>0.74991383032230097</v>
      </c>
      <c r="K689" s="1271">
        <v>7.0592043186733901E-3</v>
      </c>
      <c r="L689" s="1257">
        <v>5.5529208785202598E-4</v>
      </c>
      <c r="M689" s="1280">
        <v>2.11911077846365E-4</v>
      </c>
      <c r="N689" s="1271">
        <v>8.3905913196603808E-3</v>
      </c>
      <c r="O689" s="1257">
        <v>3.0000008598028201E-3</v>
      </c>
      <c r="P689" s="1257">
        <v>8.3928831765067401E-3</v>
      </c>
      <c r="Q689" s="1280">
        <v>8.3905913196603808E-3</v>
      </c>
      <c r="R689" s="1271">
        <v>3.8500011034136201E-2</v>
      </c>
      <c r="S689" s="1257">
        <v>3.8500011034136201E-2</v>
      </c>
      <c r="T689" s="1257">
        <v>3.8500011034136201E-2</v>
      </c>
      <c r="U689" s="1280">
        <v>1.9250005517068101E-2</v>
      </c>
      <c r="V689" s="1293">
        <v>7.37839021320857E-3</v>
      </c>
    </row>
    <row r="690" spans="1:22" s="212" customFormat="1" ht="15.5" x14ac:dyDescent="0.35">
      <c r="A690" s="198">
        <v>2027</v>
      </c>
      <c r="B690" s="197" t="s">
        <v>5833</v>
      </c>
      <c r="C690" s="197">
        <v>2013</v>
      </c>
      <c r="D690" s="225" t="str">
        <f t="shared" si="3"/>
        <v>2027_2013</v>
      </c>
      <c r="E690" s="1231">
        <v>7.0699648992425396E-2</v>
      </c>
      <c r="F690" s="1288">
        <v>1.31539158468274E-2</v>
      </c>
      <c r="G690" s="1306">
        <v>2.3842756073096799E-2</v>
      </c>
      <c r="H690" s="1303">
        <v>0.401909437513154</v>
      </c>
      <c r="I690" s="1288">
        <v>0.436513620480042</v>
      </c>
      <c r="J690" s="1306">
        <v>0.74991383032230097</v>
      </c>
      <c r="K690" s="1303">
        <v>7.0592043186733901E-3</v>
      </c>
      <c r="L690" s="1288">
        <v>5.5529208785202598E-4</v>
      </c>
      <c r="M690" s="1306">
        <v>2.11911077846365E-4</v>
      </c>
      <c r="N690" s="1303">
        <v>8.3905913196603808E-3</v>
      </c>
      <c r="O690" s="1288">
        <v>3.0000008598028201E-3</v>
      </c>
      <c r="P690" s="1288">
        <v>8.3928831765067401E-3</v>
      </c>
      <c r="Q690" s="1306">
        <v>3.8946870232350601E-3</v>
      </c>
      <c r="R690" s="1303">
        <v>3.8500011034136201E-2</v>
      </c>
      <c r="S690" s="1288">
        <v>3.8500011034136201E-2</v>
      </c>
      <c r="T690" s="1288">
        <v>3.8500011034136201E-2</v>
      </c>
      <c r="U690" s="1306">
        <v>1.9250005517068101E-2</v>
      </c>
      <c r="V690" s="1294">
        <v>7.37839021320857E-3</v>
      </c>
    </row>
    <row r="691" spans="1:22" s="212" customFormat="1" ht="15.5" x14ac:dyDescent="0.35">
      <c r="A691" s="198">
        <v>2027</v>
      </c>
      <c r="B691" s="197" t="s">
        <v>5833</v>
      </c>
      <c r="C691" s="197">
        <v>2014</v>
      </c>
      <c r="D691" s="225" t="str">
        <f t="shared" si="3"/>
        <v>2027_2014</v>
      </c>
      <c r="E691" s="1231">
        <v>6.8950279110027907E-2</v>
      </c>
      <c r="F691" s="1288">
        <v>1.2859167471389699E-2</v>
      </c>
      <c r="G691" s="1306">
        <v>2.59853712165325E-2</v>
      </c>
      <c r="H691" s="1303">
        <v>0.402143350983516</v>
      </c>
      <c r="I691" s="1288">
        <v>0.39384561173821298</v>
      </c>
      <c r="J691" s="1306">
        <v>0.83592214372451701</v>
      </c>
      <c r="K691" s="1303">
        <v>6.5674999590063197E-3</v>
      </c>
      <c r="L691" s="1288">
        <v>7.5186472139820201E-4</v>
      </c>
      <c r="M691" s="1306">
        <v>2.3318603852837699E-4</v>
      </c>
      <c r="N691" s="1303">
        <v>7.8950521224942904E-3</v>
      </c>
      <c r="O691" s="1288">
        <v>3.0000008598028201E-3</v>
      </c>
      <c r="P691" s="1288">
        <v>8.8280970812257397E-3</v>
      </c>
      <c r="Q691" s="1306">
        <v>8.3610738541998707E-3</v>
      </c>
      <c r="R691" s="1303">
        <v>3.8500011034136201E-2</v>
      </c>
      <c r="S691" s="1288">
        <v>3.8500011034136201E-2</v>
      </c>
      <c r="T691" s="1288">
        <v>3.8500011034136201E-2</v>
      </c>
      <c r="U691" s="1306">
        <v>1.9250005517068101E-2</v>
      </c>
      <c r="V691" s="1294">
        <v>6.8644531643031297E-3</v>
      </c>
    </row>
    <row r="692" spans="1:22" s="212" customFormat="1" ht="15.5" x14ac:dyDescent="0.35">
      <c r="A692" s="198">
        <v>2027</v>
      </c>
      <c r="B692" s="197" t="s">
        <v>5833</v>
      </c>
      <c r="C692" s="197">
        <v>2015</v>
      </c>
      <c r="D692" s="225" t="str">
        <f t="shared" si="3"/>
        <v>2027_2015</v>
      </c>
      <c r="E692" s="1231">
        <v>7.1422458189629695E-2</v>
      </c>
      <c r="F692" s="1288">
        <v>1.8439654318977101E-2</v>
      </c>
      <c r="G692" s="1306">
        <v>2.43906089416287E-2</v>
      </c>
      <c r="H692" s="1303">
        <v>0.41395580878923599</v>
      </c>
      <c r="I692" s="1288">
        <v>0.40423357379913599</v>
      </c>
      <c r="J692" s="1306">
        <v>0.76884959759976301</v>
      </c>
      <c r="K692" s="1303">
        <v>6.9613396009679702E-3</v>
      </c>
      <c r="L692" s="1288">
        <v>1.3396072330527299E-3</v>
      </c>
      <c r="M692" s="1306">
        <v>2.1634448305848101E-4</v>
      </c>
      <c r="N692" s="1303">
        <v>8.3420760758505502E-3</v>
      </c>
      <c r="O692" s="1288">
        <v>3.0000008598028201E-3</v>
      </c>
      <c r="P692" s="1288">
        <v>8.0249800962949192E-3</v>
      </c>
      <c r="Q692" s="1306">
        <v>7.1067392631803603E-3</v>
      </c>
      <c r="R692" s="1303">
        <v>3.8500011034136201E-2</v>
      </c>
      <c r="S692" s="1288">
        <v>3.8500011034136201E-2</v>
      </c>
      <c r="T692" s="1288">
        <v>3.8500011034136201E-2</v>
      </c>
      <c r="U692" s="1306">
        <v>1.9250005517068101E-2</v>
      </c>
      <c r="V692" s="1294">
        <v>7.2761004872367698E-3</v>
      </c>
    </row>
    <row r="693" spans="1:22" s="212" customFormat="1" ht="15.5" x14ac:dyDescent="0.35">
      <c r="A693" s="198">
        <v>2027</v>
      </c>
      <c r="B693" s="197" t="s">
        <v>5833</v>
      </c>
      <c r="C693" s="197">
        <v>2016</v>
      </c>
      <c r="D693" s="225" t="str">
        <f t="shared" si="3"/>
        <v>2027_2016</v>
      </c>
      <c r="E693" s="1231">
        <v>7.0266109363976703E-2</v>
      </c>
      <c r="F693" s="1288">
        <v>1.89265390406986E-2</v>
      </c>
      <c r="G693" s="1306">
        <v>2.66955504367609E-2</v>
      </c>
      <c r="H693" s="1303">
        <v>0.39494087180210002</v>
      </c>
      <c r="I693" s="1288">
        <v>0.38139129779410802</v>
      </c>
      <c r="J693" s="1306">
        <v>0.86283936180329102</v>
      </c>
      <c r="K693" s="1303">
        <v>7.1246616795601399E-3</v>
      </c>
      <c r="L693" s="1288">
        <v>1.5915319459724299E-3</v>
      </c>
      <c r="M693" s="1306">
        <v>2.3950170408767999E-4</v>
      </c>
      <c r="N693" s="1303">
        <v>8.4133273544924406E-3</v>
      </c>
      <c r="O693" s="1288">
        <v>3.0000008598028201E-3</v>
      </c>
      <c r="P693" s="1288">
        <v>8.6696764211990299E-3</v>
      </c>
      <c r="Q693" s="1306">
        <v>7.9596387423170305E-3</v>
      </c>
      <c r="R693" s="1303">
        <v>3.8500011034136201E-2</v>
      </c>
      <c r="S693" s="1288">
        <v>3.8500011034136201E-2</v>
      </c>
      <c r="T693" s="1288">
        <v>3.8500011034136201E-2</v>
      </c>
      <c r="U693" s="1306">
        <v>1.9250005517068101E-2</v>
      </c>
      <c r="V693" s="1294">
        <v>7.4468072654918799E-3</v>
      </c>
    </row>
    <row r="694" spans="1:22" s="212" customFormat="1" ht="15.5" x14ac:dyDescent="0.35">
      <c r="A694" s="198">
        <v>2027</v>
      </c>
      <c r="B694" s="197" t="s">
        <v>5833</v>
      </c>
      <c r="C694" s="197">
        <v>2017</v>
      </c>
      <c r="D694" s="225" t="str">
        <f t="shared" si="3"/>
        <v>2027_2017</v>
      </c>
      <c r="E694" s="1231">
        <v>6.5922637475868504E-2</v>
      </c>
      <c r="F694" s="1288">
        <v>1.0762071346585999E-2</v>
      </c>
      <c r="G694" s="1306">
        <v>2.25880072410031E-2</v>
      </c>
      <c r="H694" s="1303">
        <v>0.36371398877299399</v>
      </c>
      <c r="I694" s="1288">
        <v>0.189844697581773</v>
      </c>
      <c r="J694" s="1306">
        <v>0.521581362860707</v>
      </c>
      <c r="K694" s="1303">
        <v>6.5653321640388998E-3</v>
      </c>
      <c r="L694" s="1288">
        <v>1.27144368197406E-3</v>
      </c>
      <c r="M694" s="1306">
        <v>1.73584192804574E-3</v>
      </c>
      <c r="N694" s="1303">
        <v>7.8255510763968906E-3</v>
      </c>
      <c r="O694" s="1288">
        <v>2.48767825789765E-3</v>
      </c>
      <c r="P694" s="1288">
        <v>6.84590347907488E-3</v>
      </c>
      <c r="Q694" s="1306">
        <v>8.0174328049109605E-3</v>
      </c>
      <c r="R694" s="1303">
        <v>3.8498015894693802E-2</v>
      </c>
      <c r="S694" s="1288">
        <v>3.5093065731466797E-2</v>
      </c>
      <c r="T694" s="1288">
        <v>3.7696008183240898E-2</v>
      </c>
      <c r="U694" s="1306">
        <v>1.9090406437597102E-2</v>
      </c>
      <c r="V694" s="1294">
        <v>6.8621873512667401E-3</v>
      </c>
    </row>
    <row r="695" spans="1:22" s="212" customFormat="1" ht="15.5" x14ac:dyDescent="0.35">
      <c r="A695" s="198">
        <v>2027</v>
      </c>
      <c r="B695" s="197" t="s">
        <v>5833</v>
      </c>
      <c r="C695" s="197">
        <v>2018</v>
      </c>
      <c r="D695" s="225" t="str">
        <f t="shared" si="3"/>
        <v>2027_2018</v>
      </c>
      <c r="E695" s="1231">
        <v>6.9078673049437697E-2</v>
      </c>
      <c r="F695" s="1288">
        <v>9.1716915118689006E-3</v>
      </c>
      <c r="G695" s="1306">
        <v>5.5460907727292799E-2</v>
      </c>
      <c r="H695" s="1303">
        <v>0.38524796647396098</v>
      </c>
      <c r="I695" s="1288">
        <v>0.171344780773697</v>
      </c>
      <c r="J695" s="1306">
        <v>0.119415331089893</v>
      </c>
      <c r="K695" s="1303">
        <v>7.0028943550378099E-3</v>
      </c>
      <c r="L695" s="1288">
        <v>1.2464322692485299E-3</v>
      </c>
      <c r="M695" s="1306">
        <v>1.64593941844907E-3</v>
      </c>
      <c r="N695" s="1303">
        <v>8.2482763103661604E-3</v>
      </c>
      <c r="O695" s="1288">
        <v>2.4788674284457598E-3</v>
      </c>
      <c r="P695" s="1288">
        <v>7.1518389140904403E-3</v>
      </c>
      <c r="Q695" s="1306">
        <v>7.9389976673966203E-3</v>
      </c>
      <c r="R695" s="1303">
        <v>3.8487927441084202E-2</v>
      </c>
      <c r="S695" s="1288">
        <v>3.5034473715611698E-2</v>
      </c>
      <c r="T695" s="1288">
        <v>3.7881050835453497E-2</v>
      </c>
      <c r="U695" s="1306">
        <v>1.9240847680181999E-2</v>
      </c>
      <c r="V695" s="1294">
        <v>7.31953416288915E-3</v>
      </c>
    </row>
    <row r="696" spans="1:22" s="212" customFormat="1" ht="15.5" x14ac:dyDescent="0.35">
      <c r="A696" s="198">
        <v>2027</v>
      </c>
      <c r="B696" s="197" t="s">
        <v>5833</v>
      </c>
      <c r="C696" s="197">
        <v>2019</v>
      </c>
      <c r="D696" s="225" t="str">
        <f t="shared" si="3"/>
        <v>2027_2019</v>
      </c>
      <c r="E696" s="1231">
        <v>7.17422907601169E-2</v>
      </c>
      <c r="F696" s="1288">
        <v>7.5185182163610698E-3</v>
      </c>
      <c r="G696" s="1306">
        <v>5.2667899761219897E-2</v>
      </c>
      <c r="H696" s="1303">
        <v>0.40470250315462702</v>
      </c>
      <c r="I696" s="1288">
        <v>0.102581336854458</v>
      </c>
      <c r="J696" s="1306">
        <v>0.110309314572462</v>
      </c>
      <c r="K696" s="1303">
        <v>7.3218734602936101E-3</v>
      </c>
      <c r="L696" s="1288">
        <v>1.2596133995830699E-3</v>
      </c>
      <c r="M696" s="1306">
        <v>9.2331158020801099E-4</v>
      </c>
      <c r="N696" s="1303">
        <v>8.5784756094915704E-3</v>
      </c>
      <c r="O696" s="1288">
        <v>2.2678037618185701E-3</v>
      </c>
      <c r="P696" s="1288">
        <v>6.9472013974099999E-3</v>
      </c>
      <c r="Q696" s="1306">
        <v>6.5198277035009699E-3</v>
      </c>
      <c r="R696" s="1303">
        <v>3.8479142353279497E-2</v>
      </c>
      <c r="S696" s="1288">
        <v>3.3630900332541E-2</v>
      </c>
      <c r="T696" s="1288">
        <v>3.8313426153581097E-2</v>
      </c>
      <c r="U696" s="1306">
        <v>1.91759402311482E-2</v>
      </c>
      <c r="V696" s="1294">
        <v>7.6529360878358002E-3</v>
      </c>
    </row>
    <row r="697" spans="1:22" s="212" customFormat="1" ht="15.5" x14ac:dyDescent="0.35">
      <c r="A697" s="198">
        <v>2027</v>
      </c>
      <c r="B697" s="197" t="s">
        <v>5833</v>
      </c>
      <c r="C697" s="197">
        <v>2020</v>
      </c>
      <c r="D697" s="225" t="str">
        <f t="shared" si="3"/>
        <v>2027_2020</v>
      </c>
      <c r="E697" s="1231">
        <v>7.02480062792777E-2</v>
      </c>
      <c r="F697" s="1288">
        <v>1.10516267218022E-2</v>
      </c>
      <c r="G697" s="1306">
        <v>6.2829739484147898E-2</v>
      </c>
      <c r="H697" s="1303">
        <v>0.38127720117281499</v>
      </c>
      <c r="I697" s="1288">
        <v>0.17632782791544099</v>
      </c>
      <c r="J697" s="1306">
        <v>0.11046830885813699</v>
      </c>
      <c r="K697" s="1303">
        <v>7.4899534302323304E-3</v>
      </c>
      <c r="L697" s="1288">
        <v>1.42904802347601E-3</v>
      </c>
      <c r="M697" s="1306">
        <v>5.6749512133089704E-4</v>
      </c>
      <c r="N697" s="1303">
        <v>7.9833333791552198E-3</v>
      </c>
      <c r="O697" s="1288">
        <v>2.5564819342454299E-3</v>
      </c>
      <c r="P697" s="1288">
        <v>8.4038559383754798E-3</v>
      </c>
      <c r="Q697" s="1280">
        <v>7.9833333791552198E-3</v>
      </c>
      <c r="R697" s="1303">
        <v>3.8201433945546703E-2</v>
      </c>
      <c r="S697" s="1288">
        <v>3.5550610179179501E-2</v>
      </c>
      <c r="T697" s="1288">
        <v>3.8433965472811103E-2</v>
      </c>
      <c r="U697" s="1280">
        <v>1.9100716972773352E-2</v>
      </c>
      <c r="V697" s="1294">
        <v>7.8286158881713305E-3</v>
      </c>
    </row>
    <row r="698" spans="1:22" s="212" customFormat="1" ht="15.5" x14ac:dyDescent="0.35">
      <c r="A698" s="198">
        <v>2027</v>
      </c>
      <c r="B698" s="197" t="s">
        <v>5833</v>
      </c>
      <c r="C698" s="197">
        <v>2021</v>
      </c>
      <c r="D698" s="225" t="str">
        <f t="shared" si="3"/>
        <v>2027_2021</v>
      </c>
      <c r="E698" s="1231">
        <v>4.7012913321021997E-2</v>
      </c>
      <c r="F698" s="1288">
        <v>9.0014263002345107E-3</v>
      </c>
      <c r="G698" s="1306">
        <v>6.1662134921246899E-2</v>
      </c>
      <c r="H698" s="1303">
        <v>0.22460701315543899</v>
      </c>
      <c r="I698" s="1288">
        <v>0.14191688143081899</v>
      </c>
      <c r="J698" s="1306">
        <v>0.10951596951546699</v>
      </c>
      <c r="K698" s="1303">
        <v>4.1444645724866497E-3</v>
      </c>
      <c r="L698" s="1288">
        <v>1.29473733054886E-3</v>
      </c>
      <c r="M698" s="1306">
        <v>5.0894614335857797E-4</v>
      </c>
      <c r="N698" s="1303">
        <v>5.2005573391863697E-3</v>
      </c>
      <c r="O698" s="1288">
        <v>2.4976610123983501E-3</v>
      </c>
      <c r="P698" s="1288">
        <v>8.0760966133597602E-3</v>
      </c>
      <c r="Q698" s="1280">
        <v>5.2005573391863697E-3</v>
      </c>
      <c r="R698" s="1303">
        <v>3.8454039666674801E-2</v>
      </c>
      <c r="S698" s="1288">
        <v>3.5159451048896499E-2</v>
      </c>
      <c r="T698" s="1288">
        <v>3.8444897841275902E-2</v>
      </c>
      <c r="U698" s="1280">
        <v>1.9227019833337401E-2</v>
      </c>
      <c r="V698" s="1294">
        <v>4.3318588696653303E-3</v>
      </c>
    </row>
    <row r="699" spans="1:22" s="212" customFormat="1" ht="15.5" x14ac:dyDescent="0.35">
      <c r="A699" s="198">
        <v>2027</v>
      </c>
      <c r="B699" s="197" t="s">
        <v>5833</v>
      </c>
      <c r="C699" s="197">
        <v>2022</v>
      </c>
      <c r="D699" s="225" t="str">
        <f t="shared" si="3"/>
        <v>2027_2022</v>
      </c>
      <c r="E699" s="1231">
        <v>5.2301551307471897E-2</v>
      </c>
      <c r="F699" s="1288">
        <v>1.1720617363788601E-2</v>
      </c>
      <c r="G699" s="1306">
        <v>6.4226611449915497E-2</v>
      </c>
      <c r="H699" s="1303">
        <v>0.25854646834058898</v>
      </c>
      <c r="I699" s="1288">
        <v>0.18360244416104801</v>
      </c>
      <c r="J699" s="1306">
        <v>0.12894571311883801</v>
      </c>
      <c r="K699" s="1303">
        <v>4.8664156011400898E-3</v>
      </c>
      <c r="L699" s="1288">
        <v>1.37566646716534E-3</v>
      </c>
      <c r="M699" s="1306">
        <v>5.2545225133837701E-4</v>
      </c>
      <c r="N699" s="1303">
        <v>5.8291303326977097E-3</v>
      </c>
      <c r="O699" s="1288">
        <v>2.7293186313072002E-3</v>
      </c>
      <c r="P699" s="1288">
        <v>8.5023565942145603E-3</v>
      </c>
      <c r="Q699" s="1280">
        <v>5.8291303326977097E-3</v>
      </c>
      <c r="R699" s="1303">
        <v>3.8389620268812E-2</v>
      </c>
      <c r="S699" s="1288">
        <v>3.6699974214640302E-2</v>
      </c>
      <c r="T699" s="1288">
        <v>3.8456708920411802E-2</v>
      </c>
      <c r="U699" s="1280">
        <v>1.9194810134406E-2</v>
      </c>
      <c r="V699" s="1294">
        <v>5.0864533202242398E-3</v>
      </c>
    </row>
    <row r="700" spans="1:22" s="212" customFormat="1" ht="15.5" x14ac:dyDescent="0.35">
      <c r="A700" s="198">
        <v>2027</v>
      </c>
      <c r="B700" s="197" t="s">
        <v>5833</v>
      </c>
      <c r="C700" s="197">
        <v>2023</v>
      </c>
      <c r="D700" s="225" t="str">
        <f t="shared" si="3"/>
        <v>2027_2023</v>
      </c>
      <c r="E700" s="1231">
        <v>5.8830580426294E-2</v>
      </c>
      <c r="F700" s="1288">
        <v>1.07617286126068E-2</v>
      </c>
      <c r="G700" s="1306">
        <v>6.1608173643306598E-2</v>
      </c>
      <c r="H700" s="1303">
        <v>0.309207429981879</v>
      </c>
      <c r="I700" s="1288">
        <v>0.15864624981796999</v>
      </c>
      <c r="J700" s="1306">
        <v>9.4439113739989797E-2</v>
      </c>
      <c r="K700" s="1303">
        <v>5.6782646246658804E-3</v>
      </c>
      <c r="L700" s="1288">
        <v>1.33217065517222E-3</v>
      </c>
      <c r="M700" s="1306">
        <v>3.9910102249750902E-4</v>
      </c>
      <c r="N700" s="1303">
        <v>6.8182408144928999E-3</v>
      </c>
      <c r="O700" s="1288">
        <v>2.6749741936355101E-3</v>
      </c>
      <c r="P700" s="1288">
        <v>8.3641682443388599E-3</v>
      </c>
      <c r="Q700" s="1280">
        <v>6.8182408144928999E-3</v>
      </c>
      <c r="R700" s="1303">
        <v>3.8454647584275803E-2</v>
      </c>
      <c r="S700" s="1288">
        <v>3.63385837041236E-2</v>
      </c>
      <c r="T700" s="1288">
        <v>3.8474991909915601E-2</v>
      </c>
      <c r="U700" s="1280">
        <v>1.9227323792137901E-2</v>
      </c>
      <c r="V700" s="1294">
        <v>5.9350105540671699E-3</v>
      </c>
    </row>
    <row r="701" spans="1:22" s="212" customFormat="1" ht="15.5" x14ac:dyDescent="0.35">
      <c r="A701" s="198">
        <v>2027</v>
      </c>
      <c r="B701" s="197" t="s">
        <v>5833</v>
      </c>
      <c r="C701" s="197">
        <v>2024</v>
      </c>
      <c r="D701" s="225" t="str">
        <f t="shared" si="3"/>
        <v>2027_2024</v>
      </c>
      <c r="E701" s="1231">
        <v>5.8073002176041097E-2</v>
      </c>
      <c r="F701" s="1288">
        <v>7.73913554827512E-3</v>
      </c>
      <c r="G701" s="1306">
        <v>5.8376591749043902E-2</v>
      </c>
      <c r="H701" s="1303">
        <v>0.298847876580629</v>
      </c>
      <c r="I701" s="1288">
        <v>8.5930141800978493E-2</v>
      </c>
      <c r="J701" s="1306">
        <v>9.3959752786005601E-2</v>
      </c>
      <c r="K701" s="1303">
        <v>5.60015970157904E-3</v>
      </c>
      <c r="L701" s="1288">
        <v>1.2961816086877499E-3</v>
      </c>
      <c r="M701" s="1306">
        <v>5.9887202626967802E-4</v>
      </c>
      <c r="N701" s="1303">
        <v>6.6054609126384002E-3</v>
      </c>
      <c r="O701" s="1288">
        <v>2.36481062436464E-3</v>
      </c>
      <c r="P701" s="1288">
        <v>7.7134479762009803E-3</v>
      </c>
      <c r="Q701" s="1306">
        <v>8.4690603859682995E-3</v>
      </c>
      <c r="R701" s="1303">
        <v>3.8367401713422698E-2</v>
      </c>
      <c r="S701" s="1288">
        <v>3.4275995968472299E-2</v>
      </c>
      <c r="T701" s="1288">
        <v>3.8318014894511601E-2</v>
      </c>
      <c r="U701" s="1306">
        <v>1.9250005517068101E-2</v>
      </c>
      <c r="V701" s="1294">
        <v>5.8533740729438096E-3</v>
      </c>
    </row>
    <row r="702" spans="1:22" s="212" customFormat="1" ht="15.5" x14ac:dyDescent="0.35">
      <c r="A702" s="198">
        <v>2027</v>
      </c>
      <c r="B702" s="197" t="s">
        <v>5833</v>
      </c>
      <c r="C702" s="197">
        <v>2025</v>
      </c>
      <c r="D702" s="225" t="str">
        <f t="shared" si="3"/>
        <v>2027_2025</v>
      </c>
      <c r="E702" s="1231">
        <v>6.6762000462433094E-2</v>
      </c>
      <c r="F702" s="1288">
        <v>7.9039983600063101E-3</v>
      </c>
      <c r="G702" s="1306">
        <v>5.48215843631552E-2</v>
      </c>
      <c r="H702" s="1303">
        <v>0.36268884126266698</v>
      </c>
      <c r="I702" s="1288">
        <v>6.7526375212932602E-2</v>
      </c>
      <c r="J702" s="1306">
        <v>8.6897710085455201E-2</v>
      </c>
      <c r="K702" s="1303">
        <v>6.70682669443496E-3</v>
      </c>
      <c r="L702" s="1288">
        <v>1.3457091878709599E-3</v>
      </c>
      <c r="M702" s="1306">
        <v>4.8091507483366601E-4</v>
      </c>
      <c r="N702" s="1303">
        <v>7.8252844597193096E-3</v>
      </c>
      <c r="O702" s="1288">
        <v>2.2897841947133899E-3</v>
      </c>
      <c r="P702" s="1288">
        <v>7.2329655940151097E-3</v>
      </c>
      <c r="Q702" s="1306">
        <v>8.12190024590086E-3</v>
      </c>
      <c r="R702" s="1303">
        <v>3.83901922330784E-2</v>
      </c>
      <c r="S702" s="1288">
        <v>3.3777070211291498E-2</v>
      </c>
      <c r="T702" s="1288">
        <v>3.8395805477708898E-2</v>
      </c>
      <c r="U702" s="1306">
        <v>1.9250005517068101E-2</v>
      </c>
      <c r="V702" s="1294">
        <v>7.0100796364546301E-3</v>
      </c>
    </row>
    <row r="703" spans="1:22" s="212" customFormat="1" ht="15.5" x14ac:dyDescent="0.35">
      <c r="A703" s="198">
        <v>2027</v>
      </c>
      <c r="B703" s="197" t="s">
        <v>5833</v>
      </c>
      <c r="C703" s="197">
        <v>2026</v>
      </c>
      <c r="D703" s="225" t="str">
        <f t="shared" si="3"/>
        <v>2027_2026</v>
      </c>
      <c r="E703" s="1231">
        <v>6.1316448921725601E-2</v>
      </c>
      <c r="F703" s="1288">
        <v>8.5662487516278592E-3</v>
      </c>
      <c r="G703" s="1306">
        <v>5.1506577436684402E-2</v>
      </c>
      <c r="H703" s="1303">
        <v>0.32792136874234501</v>
      </c>
      <c r="I703" s="1288">
        <v>8.1108744639942096E-2</v>
      </c>
      <c r="J703" s="1306">
        <v>8.0353594638413406E-2</v>
      </c>
      <c r="K703" s="1303">
        <v>5.9462459684757902E-3</v>
      </c>
      <c r="L703" s="1288">
        <v>1.27044599233407E-3</v>
      </c>
      <c r="M703" s="1306">
        <v>5.1188989121373298E-4</v>
      </c>
      <c r="N703" s="1303">
        <v>7.16551310923072E-3</v>
      </c>
      <c r="O703" s="1288">
        <v>2.4607874227618501E-3</v>
      </c>
      <c r="P703" s="1288">
        <v>7.1839211312385897E-3</v>
      </c>
      <c r="Q703" s="1306">
        <v>8.7337429995912007E-3</v>
      </c>
      <c r="R703" s="1303">
        <v>3.84644305177919E-2</v>
      </c>
      <c r="S703" s="1288">
        <v>3.4914241677813797E-2</v>
      </c>
      <c r="T703" s="1288">
        <v>3.8249559809573001E-2</v>
      </c>
      <c r="U703" s="1306">
        <v>1.9250005517068101E-2</v>
      </c>
      <c r="V703" s="1294">
        <v>6.2151088250945704E-3</v>
      </c>
    </row>
    <row r="704" spans="1:22" s="212" customFormat="1" ht="15.5" x14ac:dyDescent="0.35">
      <c r="A704" s="198">
        <v>2027</v>
      </c>
      <c r="B704" s="197" t="s">
        <v>5833</v>
      </c>
      <c r="C704" s="197">
        <v>2027</v>
      </c>
      <c r="D704" s="225" t="str">
        <f t="shared" si="3"/>
        <v>2027_2027</v>
      </c>
      <c r="E704" s="1231">
        <v>6.9285534118636499E-2</v>
      </c>
      <c r="F704" s="1288">
        <v>4.4077137470550799E-3</v>
      </c>
      <c r="G704" s="1306">
        <v>5.8109037676755099E-2</v>
      </c>
      <c r="H704" s="1303">
        <v>0.39341088046374401</v>
      </c>
      <c r="I704" s="1288">
        <v>4.0089928530240099E-2</v>
      </c>
      <c r="J704" s="1306">
        <v>9.5135622013774096E-2</v>
      </c>
      <c r="K704" s="1303">
        <v>6.5817240180024899E-3</v>
      </c>
      <c r="L704" s="1288">
        <v>1.11546027982634E-3</v>
      </c>
      <c r="M704" s="1306">
        <v>4.78255254408683E-4</v>
      </c>
      <c r="N704" s="1303">
        <v>7.8504628206927992E-3</v>
      </c>
      <c r="O704" s="1288">
        <v>2.17493873998496E-3</v>
      </c>
      <c r="P704" s="1288">
        <v>7.80439062381625E-3</v>
      </c>
      <c r="Q704" s="1306">
        <v>7.9141820106778307E-3</v>
      </c>
      <c r="R704" s="1303">
        <v>3.8361482315821302E-2</v>
      </c>
      <c r="S704" s="1288">
        <v>3.30133479373474E-2</v>
      </c>
      <c r="T704" s="1288">
        <v>3.8362517854726101E-2</v>
      </c>
      <c r="U704" s="1306">
        <v>1.9250005517068101E-2</v>
      </c>
      <c r="V704" s="1294">
        <v>6.87932037212879E-3</v>
      </c>
    </row>
    <row r="705" spans="1:22" s="212" customFormat="1" ht="15.5" x14ac:dyDescent="0.35">
      <c r="A705" s="198">
        <v>2027</v>
      </c>
      <c r="B705" s="197" t="s">
        <v>5833</v>
      </c>
      <c r="C705" s="197">
        <v>2028</v>
      </c>
      <c r="D705" s="225" t="str">
        <f t="shared" si="3"/>
        <v>2027_2028</v>
      </c>
      <c r="E705" s="1226">
        <v>6.9285534118636499E-2</v>
      </c>
      <c r="F705" s="1257">
        <v>4.4077137470550799E-3</v>
      </c>
      <c r="G705" s="1280">
        <v>5.8109037676755099E-2</v>
      </c>
      <c r="H705" s="1271">
        <v>0.39341088046374401</v>
      </c>
      <c r="I705" s="1257">
        <v>4.0089928530240099E-2</v>
      </c>
      <c r="J705" s="1280">
        <v>9.5135622013774096E-2</v>
      </c>
      <c r="K705" s="1271">
        <v>6.5817240180024899E-3</v>
      </c>
      <c r="L705" s="1257">
        <v>1.11546027982634E-3</v>
      </c>
      <c r="M705" s="1280">
        <v>4.78255254408683E-4</v>
      </c>
      <c r="N705" s="1271">
        <v>7.8504628206927992E-3</v>
      </c>
      <c r="O705" s="1257">
        <v>2.17493873998496E-3</v>
      </c>
      <c r="P705" s="1257">
        <v>7.80439062381625E-3</v>
      </c>
      <c r="Q705" s="1280">
        <v>7.9141820106778307E-3</v>
      </c>
      <c r="R705" s="1271">
        <v>3.8361482315821302E-2</v>
      </c>
      <c r="S705" s="1257">
        <v>3.30133479373474E-2</v>
      </c>
      <c r="T705" s="1257">
        <v>3.8362517854726101E-2</v>
      </c>
      <c r="U705" s="1280">
        <v>1.9250005517068101E-2</v>
      </c>
      <c r="V705" s="1293">
        <v>6.87932037212879E-3</v>
      </c>
    </row>
    <row r="706" spans="1:22" s="212" customFormat="1" ht="15.5" x14ac:dyDescent="0.35">
      <c r="A706" s="198">
        <v>2028</v>
      </c>
      <c r="B706" s="197" t="s">
        <v>5833</v>
      </c>
      <c r="C706" s="197">
        <v>1971</v>
      </c>
      <c r="D706" s="225" t="str">
        <f t="shared" si="3"/>
        <v>2028_1971</v>
      </c>
      <c r="E706" s="1226">
        <v>6.8950279110027907E-2</v>
      </c>
      <c r="F706" s="1257">
        <v>1.2859167471389699E-2</v>
      </c>
      <c r="G706" s="1280">
        <v>2.59853712165324E-2</v>
      </c>
      <c r="H706" s="1271">
        <v>0.402143350983516</v>
      </c>
      <c r="I706" s="1257">
        <v>0.42441960820598101</v>
      </c>
      <c r="J706" s="1280">
        <v>0.83592214372451601</v>
      </c>
      <c r="K706" s="1271">
        <v>6.5674999590063197E-3</v>
      </c>
      <c r="L706" s="1257">
        <v>7.5186472139820201E-4</v>
      </c>
      <c r="M706" s="1280">
        <v>2.3318603852837699E-4</v>
      </c>
      <c r="N706" s="1271">
        <v>7.8950521224942904E-3</v>
      </c>
      <c r="O706" s="1257">
        <v>3.0000008598028201E-3</v>
      </c>
      <c r="P706" s="1257">
        <v>8.8280970812257397E-3</v>
      </c>
      <c r="Q706" s="1280">
        <v>7.8950521224942904E-3</v>
      </c>
      <c r="R706" s="1271">
        <v>3.8500011034136201E-2</v>
      </c>
      <c r="S706" s="1257">
        <v>3.8500011034136201E-2</v>
      </c>
      <c r="T706" s="1257">
        <v>3.8500011034136201E-2</v>
      </c>
      <c r="U706" s="1280">
        <v>1.9250005517068101E-2</v>
      </c>
      <c r="V706" s="1293">
        <v>6.8644531643031401E-3</v>
      </c>
    </row>
    <row r="707" spans="1:22" s="212" customFormat="1" ht="15.5" x14ac:dyDescent="0.35">
      <c r="A707" s="198">
        <v>2028</v>
      </c>
      <c r="B707" s="197" t="s">
        <v>5833</v>
      </c>
      <c r="C707" s="197">
        <v>1972</v>
      </c>
      <c r="D707" s="225" t="str">
        <f t="shared" si="3"/>
        <v>2028_1972</v>
      </c>
      <c r="E707" s="1226">
        <v>6.8950279110027907E-2</v>
      </c>
      <c r="F707" s="1257">
        <v>1.2859167471389699E-2</v>
      </c>
      <c r="G707" s="1280">
        <v>2.59853712165324E-2</v>
      </c>
      <c r="H707" s="1271">
        <v>0.402143350983516</v>
      </c>
      <c r="I707" s="1257">
        <v>0.42441960820598101</v>
      </c>
      <c r="J707" s="1280">
        <v>0.83592214372451601</v>
      </c>
      <c r="K707" s="1271">
        <v>6.5674999590063197E-3</v>
      </c>
      <c r="L707" s="1257">
        <v>7.5186472139820201E-4</v>
      </c>
      <c r="M707" s="1280">
        <v>2.3318603852837699E-4</v>
      </c>
      <c r="N707" s="1271">
        <v>7.8950521224942904E-3</v>
      </c>
      <c r="O707" s="1257">
        <v>3.0000008598028201E-3</v>
      </c>
      <c r="P707" s="1257">
        <v>8.8280970812257397E-3</v>
      </c>
      <c r="Q707" s="1280">
        <v>7.8950521224942904E-3</v>
      </c>
      <c r="R707" s="1271">
        <v>3.8500011034136201E-2</v>
      </c>
      <c r="S707" s="1257">
        <v>3.8500011034136201E-2</v>
      </c>
      <c r="T707" s="1257">
        <v>3.8500011034136201E-2</v>
      </c>
      <c r="U707" s="1280">
        <v>1.9250005517068101E-2</v>
      </c>
      <c r="V707" s="1293">
        <v>6.8644531643031401E-3</v>
      </c>
    </row>
    <row r="708" spans="1:22" s="212" customFormat="1" ht="15.5" x14ac:dyDescent="0.35">
      <c r="A708" s="198">
        <v>2028</v>
      </c>
      <c r="B708" s="197" t="s">
        <v>5833</v>
      </c>
      <c r="C708" s="197">
        <v>1973</v>
      </c>
      <c r="D708" s="225" t="str">
        <f t="shared" si="3"/>
        <v>2028_1973</v>
      </c>
      <c r="E708" s="1226">
        <v>6.8950279110027907E-2</v>
      </c>
      <c r="F708" s="1257">
        <v>1.2859167471389699E-2</v>
      </c>
      <c r="G708" s="1280">
        <v>2.59853712165324E-2</v>
      </c>
      <c r="H708" s="1271">
        <v>0.402143350983516</v>
      </c>
      <c r="I708" s="1257">
        <v>0.42441960820598101</v>
      </c>
      <c r="J708" s="1280">
        <v>0.83592214372451601</v>
      </c>
      <c r="K708" s="1271">
        <v>6.5674999590063197E-3</v>
      </c>
      <c r="L708" s="1257">
        <v>7.5186472139820201E-4</v>
      </c>
      <c r="M708" s="1280">
        <v>2.3318603852837699E-4</v>
      </c>
      <c r="N708" s="1271">
        <v>7.8950521224942904E-3</v>
      </c>
      <c r="O708" s="1257">
        <v>3.0000008598028201E-3</v>
      </c>
      <c r="P708" s="1257">
        <v>8.8280970812257397E-3</v>
      </c>
      <c r="Q708" s="1280">
        <v>7.8950521224942904E-3</v>
      </c>
      <c r="R708" s="1271">
        <v>3.8500011034136201E-2</v>
      </c>
      <c r="S708" s="1257">
        <v>3.8500011034136201E-2</v>
      </c>
      <c r="T708" s="1257">
        <v>3.8500011034136201E-2</v>
      </c>
      <c r="U708" s="1280">
        <v>1.9250005517068101E-2</v>
      </c>
      <c r="V708" s="1293">
        <v>6.8644531643031401E-3</v>
      </c>
    </row>
    <row r="709" spans="1:22" s="212" customFormat="1" ht="15.5" x14ac:dyDescent="0.35">
      <c r="A709" s="198">
        <v>2028</v>
      </c>
      <c r="B709" s="197" t="s">
        <v>5833</v>
      </c>
      <c r="C709" s="197">
        <v>1974</v>
      </c>
      <c r="D709" s="225" t="str">
        <f t="shared" si="3"/>
        <v>2028_1974</v>
      </c>
      <c r="E709" s="1226">
        <v>6.8950279110027907E-2</v>
      </c>
      <c r="F709" s="1257">
        <v>1.2859167471389699E-2</v>
      </c>
      <c r="G709" s="1280">
        <v>2.59853712165324E-2</v>
      </c>
      <c r="H709" s="1271">
        <v>0.402143350983516</v>
      </c>
      <c r="I709" s="1257">
        <v>0.42441960820598101</v>
      </c>
      <c r="J709" s="1280">
        <v>0.83592214372451601</v>
      </c>
      <c r="K709" s="1271">
        <v>6.5674999590063197E-3</v>
      </c>
      <c r="L709" s="1257">
        <v>7.5186472139820201E-4</v>
      </c>
      <c r="M709" s="1280">
        <v>2.3318603852837699E-4</v>
      </c>
      <c r="N709" s="1271">
        <v>7.8950521224942904E-3</v>
      </c>
      <c r="O709" s="1257">
        <v>3.0000008598028201E-3</v>
      </c>
      <c r="P709" s="1257">
        <v>8.8280970812257397E-3</v>
      </c>
      <c r="Q709" s="1280">
        <v>7.8950521224942904E-3</v>
      </c>
      <c r="R709" s="1271">
        <v>3.8500011034136201E-2</v>
      </c>
      <c r="S709" s="1257">
        <v>3.8500011034136201E-2</v>
      </c>
      <c r="T709" s="1257">
        <v>3.8500011034136201E-2</v>
      </c>
      <c r="U709" s="1280">
        <v>1.9250005517068101E-2</v>
      </c>
      <c r="V709" s="1293">
        <v>6.8644531643031401E-3</v>
      </c>
    </row>
    <row r="710" spans="1:22" s="212" customFormat="1" ht="15.5" x14ac:dyDescent="0.35">
      <c r="A710" s="198">
        <v>2028</v>
      </c>
      <c r="B710" s="197" t="s">
        <v>5833</v>
      </c>
      <c r="C710" s="197">
        <v>1975</v>
      </c>
      <c r="D710" s="225" t="str">
        <f t="shared" si="3"/>
        <v>2028_1975</v>
      </c>
      <c r="E710" s="1226">
        <v>6.8950279110027907E-2</v>
      </c>
      <c r="F710" s="1257">
        <v>1.2859167471389699E-2</v>
      </c>
      <c r="G710" s="1280">
        <v>2.59853712165324E-2</v>
      </c>
      <c r="H710" s="1271">
        <v>0.402143350983516</v>
      </c>
      <c r="I710" s="1257">
        <v>0.42441960820598101</v>
      </c>
      <c r="J710" s="1280">
        <v>0.83592214372451601</v>
      </c>
      <c r="K710" s="1271">
        <v>6.5674999590063197E-3</v>
      </c>
      <c r="L710" s="1257">
        <v>7.5186472139820201E-4</v>
      </c>
      <c r="M710" s="1280">
        <v>2.3318603852837699E-4</v>
      </c>
      <c r="N710" s="1271">
        <v>7.8950521224942904E-3</v>
      </c>
      <c r="O710" s="1257">
        <v>3.0000008598028201E-3</v>
      </c>
      <c r="P710" s="1257">
        <v>8.8280970812257397E-3</v>
      </c>
      <c r="Q710" s="1280">
        <v>7.8950521224942904E-3</v>
      </c>
      <c r="R710" s="1271">
        <v>3.8500011034136201E-2</v>
      </c>
      <c r="S710" s="1257">
        <v>3.8500011034136201E-2</v>
      </c>
      <c r="T710" s="1257">
        <v>3.8500011034136201E-2</v>
      </c>
      <c r="U710" s="1280">
        <v>1.9250005517068101E-2</v>
      </c>
      <c r="V710" s="1293">
        <v>6.8644531643031401E-3</v>
      </c>
    </row>
    <row r="711" spans="1:22" s="212" customFormat="1" ht="15.5" x14ac:dyDescent="0.35">
      <c r="A711" s="198">
        <v>2028</v>
      </c>
      <c r="B711" s="197" t="s">
        <v>5833</v>
      </c>
      <c r="C711" s="197">
        <v>1976</v>
      </c>
      <c r="D711" s="225" t="str">
        <f t="shared" si="3"/>
        <v>2028_1976</v>
      </c>
      <c r="E711" s="1226">
        <v>6.8950279110027907E-2</v>
      </c>
      <c r="F711" s="1257">
        <v>1.2859167471389699E-2</v>
      </c>
      <c r="G711" s="1280">
        <v>2.59853712165324E-2</v>
      </c>
      <c r="H711" s="1271">
        <v>0.402143350983516</v>
      </c>
      <c r="I711" s="1257">
        <v>0.42441960820598101</v>
      </c>
      <c r="J711" s="1280">
        <v>0.83592214372451601</v>
      </c>
      <c r="K711" s="1271">
        <v>6.5674999590063197E-3</v>
      </c>
      <c r="L711" s="1257">
        <v>7.5186472139820201E-4</v>
      </c>
      <c r="M711" s="1280">
        <v>2.3318603852837699E-4</v>
      </c>
      <c r="N711" s="1271">
        <v>7.8950521224942904E-3</v>
      </c>
      <c r="O711" s="1257">
        <v>3.0000008598028201E-3</v>
      </c>
      <c r="P711" s="1257">
        <v>8.8280970812257397E-3</v>
      </c>
      <c r="Q711" s="1280">
        <v>7.8950521224942904E-3</v>
      </c>
      <c r="R711" s="1271">
        <v>3.8500011034136201E-2</v>
      </c>
      <c r="S711" s="1257">
        <v>3.8500011034136201E-2</v>
      </c>
      <c r="T711" s="1257">
        <v>3.8500011034136201E-2</v>
      </c>
      <c r="U711" s="1280">
        <v>1.9250005517068101E-2</v>
      </c>
      <c r="V711" s="1293">
        <v>6.8644531643031401E-3</v>
      </c>
    </row>
    <row r="712" spans="1:22" s="212" customFormat="1" ht="15.5" x14ac:dyDescent="0.35">
      <c r="A712" s="198">
        <v>2028</v>
      </c>
      <c r="B712" s="197" t="s">
        <v>5833</v>
      </c>
      <c r="C712" s="197">
        <v>1977</v>
      </c>
      <c r="D712" s="225" t="str">
        <f t="shared" si="3"/>
        <v>2028_1977</v>
      </c>
      <c r="E712" s="1226">
        <v>6.8950279110027907E-2</v>
      </c>
      <c r="F712" s="1257">
        <v>1.2859167471389699E-2</v>
      </c>
      <c r="G712" s="1280">
        <v>2.59853712165324E-2</v>
      </c>
      <c r="H712" s="1271">
        <v>0.402143350983516</v>
      </c>
      <c r="I712" s="1257">
        <v>0.42441960820598101</v>
      </c>
      <c r="J712" s="1280">
        <v>0.83592214372451601</v>
      </c>
      <c r="K712" s="1271">
        <v>6.5674999590063197E-3</v>
      </c>
      <c r="L712" s="1257">
        <v>7.5186472139820201E-4</v>
      </c>
      <c r="M712" s="1280">
        <v>2.3318603852837699E-4</v>
      </c>
      <c r="N712" s="1271">
        <v>7.8950521224942904E-3</v>
      </c>
      <c r="O712" s="1257">
        <v>3.0000008598028201E-3</v>
      </c>
      <c r="P712" s="1257">
        <v>8.8280970812257397E-3</v>
      </c>
      <c r="Q712" s="1280">
        <v>7.8950521224942904E-3</v>
      </c>
      <c r="R712" s="1271">
        <v>3.8500011034136201E-2</v>
      </c>
      <c r="S712" s="1257">
        <v>3.8500011034136201E-2</v>
      </c>
      <c r="T712" s="1257">
        <v>3.8500011034136201E-2</v>
      </c>
      <c r="U712" s="1280">
        <v>1.9250005517068101E-2</v>
      </c>
      <c r="V712" s="1293">
        <v>6.8644531643031401E-3</v>
      </c>
    </row>
    <row r="713" spans="1:22" s="212" customFormat="1" ht="15.5" x14ac:dyDescent="0.35">
      <c r="A713" s="198">
        <v>2028</v>
      </c>
      <c r="B713" s="197" t="s">
        <v>5833</v>
      </c>
      <c r="C713" s="197">
        <v>1978</v>
      </c>
      <c r="D713" s="225" t="str">
        <f t="shared" si="3"/>
        <v>2028_1978</v>
      </c>
      <c r="E713" s="1226">
        <v>6.8950279110027907E-2</v>
      </c>
      <c r="F713" s="1257">
        <v>1.2859167471389699E-2</v>
      </c>
      <c r="G713" s="1280">
        <v>2.59853712165324E-2</v>
      </c>
      <c r="H713" s="1271">
        <v>0.402143350983516</v>
      </c>
      <c r="I713" s="1257">
        <v>0.42441960820598101</v>
      </c>
      <c r="J713" s="1280">
        <v>0.83592214372451601</v>
      </c>
      <c r="K713" s="1271">
        <v>6.5674999590063197E-3</v>
      </c>
      <c r="L713" s="1257">
        <v>7.5186472139820201E-4</v>
      </c>
      <c r="M713" s="1280">
        <v>2.3318603852837699E-4</v>
      </c>
      <c r="N713" s="1271">
        <v>7.8950521224942904E-3</v>
      </c>
      <c r="O713" s="1257">
        <v>3.0000008598028201E-3</v>
      </c>
      <c r="P713" s="1257">
        <v>8.8280970812257397E-3</v>
      </c>
      <c r="Q713" s="1280">
        <v>7.8950521224942904E-3</v>
      </c>
      <c r="R713" s="1271">
        <v>3.8500011034136201E-2</v>
      </c>
      <c r="S713" s="1257">
        <v>3.8500011034136201E-2</v>
      </c>
      <c r="T713" s="1257">
        <v>3.8500011034136201E-2</v>
      </c>
      <c r="U713" s="1280">
        <v>1.9250005517068101E-2</v>
      </c>
      <c r="V713" s="1293">
        <v>6.8644531643031401E-3</v>
      </c>
    </row>
    <row r="714" spans="1:22" s="212" customFormat="1" ht="15.5" x14ac:dyDescent="0.35">
      <c r="A714" s="198">
        <v>2028</v>
      </c>
      <c r="B714" s="197" t="s">
        <v>5833</v>
      </c>
      <c r="C714" s="197">
        <v>1979</v>
      </c>
      <c r="D714" s="225" t="str">
        <f t="shared" si="3"/>
        <v>2028_1979</v>
      </c>
      <c r="E714" s="1226">
        <v>6.8950279110027907E-2</v>
      </c>
      <c r="F714" s="1257">
        <v>1.2859167471389699E-2</v>
      </c>
      <c r="G714" s="1280">
        <v>2.59853712165324E-2</v>
      </c>
      <c r="H714" s="1271">
        <v>0.402143350983516</v>
      </c>
      <c r="I714" s="1257">
        <v>0.42441960820598101</v>
      </c>
      <c r="J714" s="1280">
        <v>0.83592214372451601</v>
      </c>
      <c r="K714" s="1271">
        <v>6.5674999590063197E-3</v>
      </c>
      <c r="L714" s="1257">
        <v>7.5186472139820201E-4</v>
      </c>
      <c r="M714" s="1280">
        <v>2.3318603852837699E-4</v>
      </c>
      <c r="N714" s="1271">
        <v>7.8950521224942904E-3</v>
      </c>
      <c r="O714" s="1257">
        <v>3.0000008598028201E-3</v>
      </c>
      <c r="P714" s="1257">
        <v>8.8280970812257397E-3</v>
      </c>
      <c r="Q714" s="1280">
        <v>7.8950521224942904E-3</v>
      </c>
      <c r="R714" s="1271">
        <v>3.8500011034136201E-2</v>
      </c>
      <c r="S714" s="1257">
        <v>3.8500011034136201E-2</v>
      </c>
      <c r="T714" s="1257">
        <v>3.8500011034136201E-2</v>
      </c>
      <c r="U714" s="1280">
        <v>1.9250005517068101E-2</v>
      </c>
      <c r="V714" s="1293">
        <v>6.8644531643031401E-3</v>
      </c>
    </row>
    <row r="715" spans="1:22" s="212" customFormat="1" ht="15.5" x14ac:dyDescent="0.35">
      <c r="A715" s="198">
        <v>2028</v>
      </c>
      <c r="B715" s="197" t="s">
        <v>5833</v>
      </c>
      <c r="C715" s="197">
        <v>1980</v>
      </c>
      <c r="D715" s="225" t="str">
        <f t="shared" si="3"/>
        <v>2028_1980</v>
      </c>
      <c r="E715" s="1226">
        <v>6.8950279110027907E-2</v>
      </c>
      <c r="F715" s="1257">
        <v>1.2859167471389699E-2</v>
      </c>
      <c r="G715" s="1280">
        <v>2.59853712165324E-2</v>
      </c>
      <c r="H715" s="1271">
        <v>0.402143350983516</v>
      </c>
      <c r="I715" s="1257">
        <v>0.42441960820598101</v>
      </c>
      <c r="J715" s="1280">
        <v>0.83592214372451601</v>
      </c>
      <c r="K715" s="1271">
        <v>6.5674999590063197E-3</v>
      </c>
      <c r="L715" s="1257">
        <v>7.5186472139820201E-4</v>
      </c>
      <c r="M715" s="1280">
        <v>2.3318603852837699E-4</v>
      </c>
      <c r="N715" s="1271">
        <v>7.8950521224942904E-3</v>
      </c>
      <c r="O715" s="1257">
        <v>3.0000008598028201E-3</v>
      </c>
      <c r="P715" s="1257">
        <v>8.8280970812257397E-3</v>
      </c>
      <c r="Q715" s="1280">
        <v>7.8950521224942904E-3</v>
      </c>
      <c r="R715" s="1271">
        <v>3.8500011034136201E-2</v>
      </c>
      <c r="S715" s="1257">
        <v>3.8500011034136201E-2</v>
      </c>
      <c r="T715" s="1257">
        <v>3.8500011034136201E-2</v>
      </c>
      <c r="U715" s="1280">
        <v>1.9250005517068101E-2</v>
      </c>
      <c r="V715" s="1293">
        <v>6.8644531643031401E-3</v>
      </c>
    </row>
    <row r="716" spans="1:22" s="212" customFormat="1" ht="15.5" x14ac:dyDescent="0.35">
      <c r="A716" s="198">
        <v>2028</v>
      </c>
      <c r="B716" s="197" t="s">
        <v>5833</v>
      </c>
      <c r="C716" s="197">
        <v>1981</v>
      </c>
      <c r="D716" s="225" t="str">
        <f t="shared" si="3"/>
        <v>2028_1981</v>
      </c>
      <c r="E716" s="1226">
        <v>6.8950279110027907E-2</v>
      </c>
      <c r="F716" s="1257">
        <v>1.2859167471389699E-2</v>
      </c>
      <c r="G716" s="1280">
        <v>2.59853712165324E-2</v>
      </c>
      <c r="H716" s="1271">
        <v>0.402143350983516</v>
      </c>
      <c r="I716" s="1257">
        <v>0.42441960820598101</v>
      </c>
      <c r="J716" s="1280">
        <v>0.83592214372451601</v>
      </c>
      <c r="K716" s="1271">
        <v>6.5674999590063197E-3</v>
      </c>
      <c r="L716" s="1257">
        <v>7.5186472139820201E-4</v>
      </c>
      <c r="M716" s="1280">
        <v>2.3318603852837699E-4</v>
      </c>
      <c r="N716" s="1271">
        <v>7.8950521224942904E-3</v>
      </c>
      <c r="O716" s="1257">
        <v>3.0000008598028201E-3</v>
      </c>
      <c r="P716" s="1257">
        <v>8.8280970812257397E-3</v>
      </c>
      <c r="Q716" s="1280">
        <v>7.8950521224942904E-3</v>
      </c>
      <c r="R716" s="1271">
        <v>3.8500011034136201E-2</v>
      </c>
      <c r="S716" s="1257">
        <v>3.8500011034136201E-2</v>
      </c>
      <c r="T716" s="1257">
        <v>3.8500011034136201E-2</v>
      </c>
      <c r="U716" s="1280">
        <v>1.9250005517068101E-2</v>
      </c>
      <c r="V716" s="1293">
        <v>6.8644531643031401E-3</v>
      </c>
    </row>
    <row r="717" spans="1:22" s="212" customFormat="1" ht="15.5" x14ac:dyDescent="0.35">
      <c r="A717" s="198">
        <v>2028</v>
      </c>
      <c r="B717" s="197" t="s">
        <v>5833</v>
      </c>
      <c r="C717" s="197">
        <v>1982</v>
      </c>
      <c r="D717" s="225" t="str">
        <f t="shared" si="3"/>
        <v>2028_1982</v>
      </c>
      <c r="E717" s="1226">
        <v>6.8950279110027907E-2</v>
      </c>
      <c r="F717" s="1257">
        <v>1.2859167471389699E-2</v>
      </c>
      <c r="G717" s="1280">
        <v>2.59853712165324E-2</v>
      </c>
      <c r="H717" s="1271">
        <v>0.402143350983516</v>
      </c>
      <c r="I717" s="1257">
        <v>0.42441960820598101</v>
      </c>
      <c r="J717" s="1280">
        <v>0.83592214372451601</v>
      </c>
      <c r="K717" s="1271">
        <v>6.5674999590063197E-3</v>
      </c>
      <c r="L717" s="1257">
        <v>7.5186472139820201E-4</v>
      </c>
      <c r="M717" s="1280">
        <v>2.3318603852837699E-4</v>
      </c>
      <c r="N717" s="1271">
        <v>7.8950521224942904E-3</v>
      </c>
      <c r="O717" s="1257">
        <v>3.0000008598028201E-3</v>
      </c>
      <c r="P717" s="1257">
        <v>8.8280970812257397E-3</v>
      </c>
      <c r="Q717" s="1280">
        <v>7.8950521224942904E-3</v>
      </c>
      <c r="R717" s="1271">
        <v>3.8500011034136201E-2</v>
      </c>
      <c r="S717" s="1257">
        <v>3.8500011034136201E-2</v>
      </c>
      <c r="T717" s="1257">
        <v>3.8500011034136201E-2</v>
      </c>
      <c r="U717" s="1280">
        <v>1.9250005517068101E-2</v>
      </c>
      <c r="V717" s="1293">
        <v>6.8644531643031401E-3</v>
      </c>
    </row>
    <row r="718" spans="1:22" s="212" customFormat="1" ht="15.5" x14ac:dyDescent="0.35">
      <c r="A718" s="198">
        <v>2028</v>
      </c>
      <c r="B718" s="197" t="s">
        <v>5833</v>
      </c>
      <c r="C718" s="197">
        <v>1983</v>
      </c>
      <c r="D718" s="225" t="str">
        <f t="shared" si="3"/>
        <v>2028_1983</v>
      </c>
      <c r="E718" s="1226">
        <v>6.8950279110027907E-2</v>
      </c>
      <c r="F718" s="1257">
        <v>1.2859167471389699E-2</v>
      </c>
      <c r="G718" s="1280">
        <v>2.59853712165324E-2</v>
      </c>
      <c r="H718" s="1271">
        <v>0.402143350983516</v>
      </c>
      <c r="I718" s="1257">
        <v>0.42441960820598101</v>
      </c>
      <c r="J718" s="1280">
        <v>0.83592214372451601</v>
      </c>
      <c r="K718" s="1271">
        <v>6.5674999590063197E-3</v>
      </c>
      <c r="L718" s="1257">
        <v>7.5186472139820201E-4</v>
      </c>
      <c r="M718" s="1280">
        <v>2.3318603852837699E-4</v>
      </c>
      <c r="N718" s="1271">
        <v>7.8950521224942904E-3</v>
      </c>
      <c r="O718" s="1257">
        <v>3.0000008598028201E-3</v>
      </c>
      <c r="P718" s="1257">
        <v>8.8280970812257397E-3</v>
      </c>
      <c r="Q718" s="1280">
        <v>7.8950521224942904E-3</v>
      </c>
      <c r="R718" s="1271">
        <v>3.8500011034136201E-2</v>
      </c>
      <c r="S718" s="1257">
        <v>3.8500011034136201E-2</v>
      </c>
      <c r="T718" s="1257">
        <v>3.8500011034136201E-2</v>
      </c>
      <c r="U718" s="1280">
        <v>1.9250005517068101E-2</v>
      </c>
      <c r="V718" s="1293">
        <v>6.8644531643031401E-3</v>
      </c>
    </row>
    <row r="719" spans="1:22" s="212" customFormat="1" ht="15.5" x14ac:dyDescent="0.35">
      <c r="A719" s="198">
        <v>2028</v>
      </c>
      <c r="B719" s="197" t="s">
        <v>5833</v>
      </c>
      <c r="C719" s="197">
        <v>1984</v>
      </c>
      <c r="D719" s="225" t="str">
        <f t="shared" si="3"/>
        <v>2028_1984</v>
      </c>
      <c r="E719" s="1226">
        <v>6.8950279110027907E-2</v>
      </c>
      <c r="F719" s="1257">
        <v>1.2859167471389699E-2</v>
      </c>
      <c r="G719" s="1280">
        <v>2.59853712165324E-2</v>
      </c>
      <c r="H719" s="1271">
        <v>0.402143350983516</v>
      </c>
      <c r="I719" s="1257">
        <v>0.42441960820598101</v>
      </c>
      <c r="J719" s="1280">
        <v>0.83592214372451601</v>
      </c>
      <c r="K719" s="1271">
        <v>6.5674999590063197E-3</v>
      </c>
      <c r="L719" s="1257">
        <v>7.5186472139820201E-4</v>
      </c>
      <c r="M719" s="1280">
        <v>2.3318603852837699E-4</v>
      </c>
      <c r="N719" s="1271">
        <v>7.8950521224942904E-3</v>
      </c>
      <c r="O719" s="1257">
        <v>3.0000008598028201E-3</v>
      </c>
      <c r="P719" s="1257">
        <v>8.8280970812257397E-3</v>
      </c>
      <c r="Q719" s="1280">
        <v>7.8950521224942904E-3</v>
      </c>
      <c r="R719" s="1271">
        <v>3.8500011034136201E-2</v>
      </c>
      <c r="S719" s="1257">
        <v>3.8500011034136201E-2</v>
      </c>
      <c r="T719" s="1257">
        <v>3.8500011034136201E-2</v>
      </c>
      <c r="U719" s="1280">
        <v>1.9250005517068101E-2</v>
      </c>
      <c r="V719" s="1293">
        <v>6.8644531643031401E-3</v>
      </c>
    </row>
    <row r="720" spans="1:22" s="212" customFormat="1" ht="15.5" x14ac:dyDescent="0.35">
      <c r="A720" s="198">
        <v>2028</v>
      </c>
      <c r="B720" s="197" t="s">
        <v>5833</v>
      </c>
      <c r="C720" s="197">
        <v>1985</v>
      </c>
      <c r="D720" s="225" t="str">
        <f t="shared" si="3"/>
        <v>2028_1985</v>
      </c>
      <c r="E720" s="1226">
        <v>6.8950279110027907E-2</v>
      </c>
      <c r="F720" s="1257">
        <v>1.2859167471389699E-2</v>
      </c>
      <c r="G720" s="1280">
        <v>2.59853712165324E-2</v>
      </c>
      <c r="H720" s="1271">
        <v>0.402143350983516</v>
      </c>
      <c r="I720" s="1257">
        <v>0.42441960820598101</v>
      </c>
      <c r="J720" s="1280">
        <v>0.83592214372451601</v>
      </c>
      <c r="K720" s="1271">
        <v>6.5674999590063197E-3</v>
      </c>
      <c r="L720" s="1257">
        <v>7.5186472139820201E-4</v>
      </c>
      <c r="M720" s="1280">
        <v>2.3318603852837699E-4</v>
      </c>
      <c r="N720" s="1271">
        <v>7.8950521224942904E-3</v>
      </c>
      <c r="O720" s="1257">
        <v>3.0000008598028201E-3</v>
      </c>
      <c r="P720" s="1257">
        <v>8.8280970812257397E-3</v>
      </c>
      <c r="Q720" s="1280">
        <v>7.8950521224942904E-3</v>
      </c>
      <c r="R720" s="1271">
        <v>3.8500011034136201E-2</v>
      </c>
      <c r="S720" s="1257">
        <v>3.8500011034136201E-2</v>
      </c>
      <c r="T720" s="1257">
        <v>3.8500011034136201E-2</v>
      </c>
      <c r="U720" s="1280">
        <v>1.9250005517068101E-2</v>
      </c>
      <c r="V720" s="1293">
        <v>6.8644531643031401E-3</v>
      </c>
    </row>
    <row r="721" spans="1:22" s="212" customFormat="1" ht="15.5" x14ac:dyDescent="0.35">
      <c r="A721" s="198">
        <v>2028</v>
      </c>
      <c r="B721" s="197" t="s">
        <v>5833</v>
      </c>
      <c r="C721" s="197">
        <v>1986</v>
      </c>
      <c r="D721" s="225" t="str">
        <f t="shared" si="3"/>
        <v>2028_1986</v>
      </c>
      <c r="E721" s="1226">
        <v>6.8950279110027907E-2</v>
      </c>
      <c r="F721" s="1257">
        <v>1.2859167471389699E-2</v>
      </c>
      <c r="G721" s="1280">
        <v>2.59853712165324E-2</v>
      </c>
      <c r="H721" s="1271">
        <v>0.402143350983516</v>
      </c>
      <c r="I721" s="1257">
        <v>0.42441960820598101</v>
      </c>
      <c r="J721" s="1280">
        <v>0.83592214372451601</v>
      </c>
      <c r="K721" s="1271">
        <v>6.5674999590063197E-3</v>
      </c>
      <c r="L721" s="1257">
        <v>7.5186472139820201E-4</v>
      </c>
      <c r="M721" s="1280">
        <v>2.3318603852837699E-4</v>
      </c>
      <c r="N721" s="1271">
        <v>7.8950521224942904E-3</v>
      </c>
      <c r="O721" s="1257">
        <v>3.0000008598028201E-3</v>
      </c>
      <c r="P721" s="1257">
        <v>8.8280970812257397E-3</v>
      </c>
      <c r="Q721" s="1280">
        <v>7.8950521224942904E-3</v>
      </c>
      <c r="R721" s="1271">
        <v>3.8500011034136201E-2</v>
      </c>
      <c r="S721" s="1257">
        <v>3.8500011034136201E-2</v>
      </c>
      <c r="T721" s="1257">
        <v>3.8500011034136201E-2</v>
      </c>
      <c r="U721" s="1280">
        <v>1.9250005517068101E-2</v>
      </c>
      <c r="V721" s="1293">
        <v>6.8644531643031401E-3</v>
      </c>
    </row>
    <row r="722" spans="1:22" s="212" customFormat="1" ht="15.5" x14ac:dyDescent="0.35">
      <c r="A722" s="198">
        <v>2028</v>
      </c>
      <c r="B722" s="197" t="s">
        <v>5833</v>
      </c>
      <c r="C722" s="197">
        <v>1987</v>
      </c>
      <c r="D722" s="225" t="str">
        <f t="shared" si="3"/>
        <v>2028_1987</v>
      </c>
      <c r="E722" s="1226">
        <v>6.8950279110027907E-2</v>
      </c>
      <c r="F722" s="1257">
        <v>1.2859167471389699E-2</v>
      </c>
      <c r="G722" s="1280">
        <v>2.59853712165324E-2</v>
      </c>
      <c r="H722" s="1271">
        <v>0.402143350983516</v>
      </c>
      <c r="I722" s="1257">
        <v>0.42441960820598101</v>
      </c>
      <c r="J722" s="1280">
        <v>0.83592214372451601</v>
      </c>
      <c r="K722" s="1271">
        <v>6.5674999590063197E-3</v>
      </c>
      <c r="L722" s="1257">
        <v>7.5186472139820201E-4</v>
      </c>
      <c r="M722" s="1280">
        <v>2.3318603852837699E-4</v>
      </c>
      <c r="N722" s="1271">
        <v>7.8950521224942904E-3</v>
      </c>
      <c r="O722" s="1257">
        <v>3.0000008598028201E-3</v>
      </c>
      <c r="P722" s="1257">
        <v>8.8280970812257397E-3</v>
      </c>
      <c r="Q722" s="1280">
        <v>7.8950521224942904E-3</v>
      </c>
      <c r="R722" s="1271">
        <v>3.8500011034136201E-2</v>
      </c>
      <c r="S722" s="1257">
        <v>3.8500011034136201E-2</v>
      </c>
      <c r="T722" s="1257">
        <v>3.8500011034136201E-2</v>
      </c>
      <c r="U722" s="1280">
        <v>1.9250005517068101E-2</v>
      </c>
      <c r="V722" s="1293">
        <v>6.8644531643031401E-3</v>
      </c>
    </row>
    <row r="723" spans="1:22" s="212" customFormat="1" ht="15.5" x14ac:dyDescent="0.35">
      <c r="A723" s="198">
        <v>2028</v>
      </c>
      <c r="B723" s="197" t="s">
        <v>5833</v>
      </c>
      <c r="C723" s="197">
        <v>1988</v>
      </c>
      <c r="D723" s="225" t="str">
        <f t="shared" ref="D723:D964" si="4">CONCATENATE(A723,"_",C723)</f>
        <v>2028_1988</v>
      </c>
      <c r="E723" s="1226">
        <v>6.8950279110027907E-2</v>
      </c>
      <c r="F723" s="1257">
        <v>1.2859167471389699E-2</v>
      </c>
      <c r="G723" s="1280">
        <v>2.59853712165324E-2</v>
      </c>
      <c r="H723" s="1271">
        <v>0.402143350983516</v>
      </c>
      <c r="I723" s="1257">
        <v>0.42441960820598101</v>
      </c>
      <c r="J723" s="1280">
        <v>0.83592214372451601</v>
      </c>
      <c r="K723" s="1271">
        <v>6.5674999590063197E-3</v>
      </c>
      <c r="L723" s="1257">
        <v>7.5186472139820201E-4</v>
      </c>
      <c r="M723" s="1280">
        <v>2.3318603852837699E-4</v>
      </c>
      <c r="N723" s="1271">
        <v>7.8950521224942904E-3</v>
      </c>
      <c r="O723" s="1257">
        <v>3.0000008598028201E-3</v>
      </c>
      <c r="P723" s="1257">
        <v>8.8280970812257397E-3</v>
      </c>
      <c r="Q723" s="1280">
        <v>7.8950521224942904E-3</v>
      </c>
      <c r="R723" s="1271">
        <v>3.8500011034136201E-2</v>
      </c>
      <c r="S723" s="1257">
        <v>3.8500011034136201E-2</v>
      </c>
      <c r="T723" s="1257">
        <v>3.8500011034136201E-2</v>
      </c>
      <c r="U723" s="1280">
        <v>1.9250005517068101E-2</v>
      </c>
      <c r="V723" s="1293">
        <v>6.8644531643031401E-3</v>
      </c>
    </row>
    <row r="724" spans="1:22" s="212" customFormat="1" ht="15.5" x14ac:dyDescent="0.35">
      <c r="A724" s="198">
        <v>2028</v>
      </c>
      <c r="B724" s="197" t="s">
        <v>5833</v>
      </c>
      <c r="C724" s="197">
        <v>1989</v>
      </c>
      <c r="D724" s="225" t="str">
        <f t="shared" si="4"/>
        <v>2028_1989</v>
      </c>
      <c r="E724" s="1226">
        <v>6.8950279110027907E-2</v>
      </c>
      <c r="F724" s="1257">
        <v>1.2859167471389699E-2</v>
      </c>
      <c r="G724" s="1280">
        <v>2.59853712165324E-2</v>
      </c>
      <c r="H724" s="1271">
        <v>0.402143350983516</v>
      </c>
      <c r="I724" s="1257">
        <v>0.42441960820598101</v>
      </c>
      <c r="J724" s="1280">
        <v>0.83592214372451601</v>
      </c>
      <c r="K724" s="1271">
        <v>6.5674999590063197E-3</v>
      </c>
      <c r="L724" s="1257">
        <v>7.5186472139820201E-4</v>
      </c>
      <c r="M724" s="1280">
        <v>2.3318603852837699E-4</v>
      </c>
      <c r="N724" s="1271">
        <v>7.8950521224942904E-3</v>
      </c>
      <c r="O724" s="1257">
        <v>3.0000008598028201E-3</v>
      </c>
      <c r="P724" s="1257">
        <v>8.8280970812257397E-3</v>
      </c>
      <c r="Q724" s="1280">
        <v>7.8950521224942904E-3</v>
      </c>
      <c r="R724" s="1271">
        <v>3.8500011034136201E-2</v>
      </c>
      <c r="S724" s="1257">
        <v>3.8500011034136201E-2</v>
      </c>
      <c r="T724" s="1257">
        <v>3.8500011034136201E-2</v>
      </c>
      <c r="U724" s="1280">
        <v>1.9250005517068101E-2</v>
      </c>
      <c r="V724" s="1293">
        <v>6.8644531643031401E-3</v>
      </c>
    </row>
    <row r="725" spans="1:22" s="212" customFormat="1" ht="15.5" x14ac:dyDescent="0.35">
      <c r="A725" s="198">
        <v>2028</v>
      </c>
      <c r="B725" s="197" t="s">
        <v>5833</v>
      </c>
      <c r="C725" s="197">
        <v>1990</v>
      </c>
      <c r="D725" s="225" t="str">
        <f t="shared" si="4"/>
        <v>2028_1990</v>
      </c>
      <c r="E725" s="1226">
        <v>6.8950279110027907E-2</v>
      </c>
      <c r="F725" s="1257">
        <v>1.2859167471389699E-2</v>
      </c>
      <c r="G725" s="1280">
        <v>2.59853712165324E-2</v>
      </c>
      <c r="H725" s="1271">
        <v>0.402143350983516</v>
      </c>
      <c r="I725" s="1257">
        <v>0.42441960820598101</v>
      </c>
      <c r="J725" s="1280">
        <v>0.83592214372451601</v>
      </c>
      <c r="K725" s="1271">
        <v>6.5674999590063197E-3</v>
      </c>
      <c r="L725" s="1257">
        <v>7.5186472139820201E-4</v>
      </c>
      <c r="M725" s="1280">
        <v>2.3318603852837699E-4</v>
      </c>
      <c r="N725" s="1271">
        <v>7.8950521224942904E-3</v>
      </c>
      <c r="O725" s="1257">
        <v>3.0000008598028201E-3</v>
      </c>
      <c r="P725" s="1257">
        <v>8.8280970812257397E-3</v>
      </c>
      <c r="Q725" s="1280">
        <v>7.8950521224942904E-3</v>
      </c>
      <c r="R725" s="1271">
        <v>3.8500011034136201E-2</v>
      </c>
      <c r="S725" s="1257">
        <v>3.8500011034136201E-2</v>
      </c>
      <c r="T725" s="1257">
        <v>3.8500011034136201E-2</v>
      </c>
      <c r="U725" s="1280">
        <v>1.9250005517068101E-2</v>
      </c>
      <c r="V725" s="1293">
        <v>6.8644531643031401E-3</v>
      </c>
    </row>
    <row r="726" spans="1:22" s="212" customFormat="1" ht="15.5" x14ac:dyDescent="0.35">
      <c r="A726" s="198">
        <v>2028</v>
      </c>
      <c r="B726" s="197" t="s">
        <v>5833</v>
      </c>
      <c r="C726" s="197">
        <v>1991</v>
      </c>
      <c r="D726" s="225" t="str">
        <f t="shared" si="4"/>
        <v>2028_1991</v>
      </c>
      <c r="E726" s="1226">
        <v>6.8950279110027907E-2</v>
      </c>
      <c r="F726" s="1257">
        <v>1.2859167471389699E-2</v>
      </c>
      <c r="G726" s="1280">
        <v>2.59853712165324E-2</v>
      </c>
      <c r="H726" s="1271">
        <v>0.402143350983516</v>
      </c>
      <c r="I726" s="1257">
        <v>0.42441960820598101</v>
      </c>
      <c r="J726" s="1280">
        <v>0.83592214372451601</v>
      </c>
      <c r="K726" s="1271">
        <v>6.5674999590063197E-3</v>
      </c>
      <c r="L726" s="1257">
        <v>7.5186472139820201E-4</v>
      </c>
      <c r="M726" s="1280">
        <v>2.3318603852837699E-4</v>
      </c>
      <c r="N726" s="1271">
        <v>7.8950521224942904E-3</v>
      </c>
      <c r="O726" s="1257">
        <v>3.0000008598028201E-3</v>
      </c>
      <c r="P726" s="1257">
        <v>8.8280970812257397E-3</v>
      </c>
      <c r="Q726" s="1280">
        <v>7.8950521224942904E-3</v>
      </c>
      <c r="R726" s="1271">
        <v>3.8500011034136201E-2</v>
      </c>
      <c r="S726" s="1257">
        <v>3.8500011034136201E-2</v>
      </c>
      <c r="T726" s="1257">
        <v>3.8500011034136201E-2</v>
      </c>
      <c r="U726" s="1280">
        <v>1.9250005517068101E-2</v>
      </c>
      <c r="V726" s="1293">
        <v>6.8644531643031401E-3</v>
      </c>
    </row>
    <row r="727" spans="1:22" s="212" customFormat="1" ht="15.5" x14ac:dyDescent="0.35">
      <c r="A727" s="198">
        <v>2028</v>
      </c>
      <c r="B727" s="197" t="s">
        <v>5833</v>
      </c>
      <c r="C727" s="197">
        <v>1992</v>
      </c>
      <c r="D727" s="225" t="str">
        <f t="shared" si="4"/>
        <v>2028_1992</v>
      </c>
      <c r="E727" s="1226">
        <v>6.8950279110027907E-2</v>
      </c>
      <c r="F727" s="1257">
        <v>1.2859167471389699E-2</v>
      </c>
      <c r="G727" s="1280">
        <v>2.59853712165324E-2</v>
      </c>
      <c r="H727" s="1271">
        <v>0.402143350983516</v>
      </c>
      <c r="I727" s="1257">
        <v>0.42441960820598101</v>
      </c>
      <c r="J727" s="1280">
        <v>0.83592214372451601</v>
      </c>
      <c r="K727" s="1271">
        <v>6.5674999590063197E-3</v>
      </c>
      <c r="L727" s="1257">
        <v>7.5186472139820201E-4</v>
      </c>
      <c r="M727" s="1280">
        <v>2.3318603852837699E-4</v>
      </c>
      <c r="N727" s="1271">
        <v>7.8950521224942904E-3</v>
      </c>
      <c r="O727" s="1257">
        <v>3.0000008598028201E-3</v>
      </c>
      <c r="P727" s="1257">
        <v>8.8280970812257397E-3</v>
      </c>
      <c r="Q727" s="1280">
        <v>7.8950521224942904E-3</v>
      </c>
      <c r="R727" s="1271">
        <v>3.8500011034136201E-2</v>
      </c>
      <c r="S727" s="1257">
        <v>3.8500011034136201E-2</v>
      </c>
      <c r="T727" s="1257">
        <v>3.8500011034136201E-2</v>
      </c>
      <c r="U727" s="1280">
        <v>1.9250005517068101E-2</v>
      </c>
      <c r="V727" s="1293">
        <v>6.8644531643031401E-3</v>
      </c>
    </row>
    <row r="728" spans="1:22" s="212" customFormat="1" ht="15.5" x14ac:dyDescent="0.35">
      <c r="A728" s="198">
        <v>2028</v>
      </c>
      <c r="B728" s="197" t="s">
        <v>5833</v>
      </c>
      <c r="C728" s="197">
        <v>1993</v>
      </c>
      <c r="D728" s="225" t="str">
        <f t="shared" si="4"/>
        <v>2028_1993</v>
      </c>
      <c r="E728" s="1226">
        <v>6.8950279110027907E-2</v>
      </c>
      <c r="F728" s="1257">
        <v>1.2859167471389699E-2</v>
      </c>
      <c r="G728" s="1280">
        <v>2.59853712165324E-2</v>
      </c>
      <c r="H728" s="1271">
        <v>0.402143350983516</v>
      </c>
      <c r="I728" s="1257">
        <v>0.42441960820598101</v>
      </c>
      <c r="J728" s="1280">
        <v>0.83592214372451601</v>
      </c>
      <c r="K728" s="1271">
        <v>6.5674999590063197E-3</v>
      </c>
      <c r="L728" s="1257">
        <v>7.5186472139820201E-4</v>
      </c>
      <c r="M728" s="1280">
        <v>2.3318603852837699E-4</v>
      </c>
      <c r="N728" s="1271">
        <v>7.8950521224942904E-3</v>
      </c>
      <c r="O728" s="1257">
        <v>3.0000008598028201E-3</v>
      </c>
      <c r="P728" s="1257">
        <v>8.8280970812257397E-3</v>
      </c>
      <c r="Q728" s="1280">
        <v>7.8950521224942904E-3</v>
      </c>
      <c r="R728" s="1271">
        <v>3.8500011034136201E-2</v>
      </c>
      <c r="S728" s="1257">
        <v>3.8500011034136201E-2</v>
      </c>
      <c r="T728" s="1257">
        <v>3.8500011034136201E-2</v>
      </c>
      <c r="U728" s="1280">
        <v>1.9250005517068101E-2</v>
      </c>
      <c r="V728" s="1293">
        <v>6.8644531643031401E-3</v>
      </c>
    </row>
    <row r="729" spans="1:22" s="212" customFormat="1" ht="15.5" x14ac:dyDescent="0.35">
      <c r="A729" s="198">
        <v>2028</v>
      </c>
      <c r="B729" s="197" t="s">
        <v>5833</v>
      </c>
      <c r="C729" s="197">
        <v>1994</v>
      </c>
      <c r="D729" s="225" t="str">
        <f t="shared" si="4"/>
        <v>2028_1994</v>
      </c>
      <c r="E729" s="1226">
        <v>6.8950279110027907E-2</v>
      </c>
      <c r="F729" s="1257">
        <v>1.2859167471389699E-2</v>
      </c>
      <c r="G729" s="1280">
        <v>2.59853712165324E-2</v>
      </c>
      <c r="H729" s="1271">
        <v>0.402143350983516</v>
      </c>
      <c r="I729" s="1257">
        <v>0.42441960820598101</v>
      </c>
      <c r="J729" s="1280">
        <v>0.83592214372451601</v>
      </c>
      <c r="K729" s="1271">
        <v>6.5674999590063197E-3</v>
      </c>
      <c r="L729" s="1257">
        <v>7.5186472139820201E-4</v>
      </c>
      <c r="M729" s="1280">
        <v>2.3318603852837699E-4</v>
      </c>
      <c r="N729" s="1271">
        <v>7.8950521224942904E-3</v>
      </c>
      <c r="O729" s="1257">
        <v>3.0000008598028201E-3</v>
      </c>
      <c r="P729" s="1257">
        <v>8.8280970812257397E-3</v>
      </c>
      <c r="Q729" s="1280">
        <v>7.8950521224942904E-3</v>
      </c>
      <c r="R729" s="1271">
        <v>3.8500011034136201E-2</v>
      </c>
      <c r="S729" s="1257">
        <v>3.8500011034136201E-2</v>
      </c>
      <c r="T729" s="1257">
        <v>3.8500011034136201E-2</v>
      </c>
      <c r="U729" s="1280">
        <v>1.9250005517068101E-2</v>
      </c>
      <c r="V729" s="1293">
        <v>6.8644531643031401E-3</v>
      </c>
    </row>
    <row r="730" spans="1:22" s="212" customFormat="1" ht="15.5" x14ac:dyDescent="0.35">
      <c r="A730" s="198">
        <v>2028</v>
      </c>
      <c r="B730" s="197" t="s">
        <v>5833</v>
      </c>
      <c r="C730" s="197">
        <v>1995</v>
      </c>
      <c r="D730" s="225" t="str">
        <f t="shared" si="4"/>
        <v>2028_1995</v>
      </c>
      <c r="E730" s="1226">
        <v>6.8950279110027907E-2</v>
      </c>
      <c r="F730" s="1257">
        <v>1.2859167471389699E-2</v>
      </c>
      <c r="G730" s="1280">
        <v>2.59853712165324E-2</v>
      </c>
      <c r="H730" s="1271">
        <v>0.402143350983516</v>
      </c>
      <c r="I730" s="1257">
        <v>0.42441960820598101</v>
      </c>
      <c r="J730" s="1280">
        <v>0.83592214372451601</v>
      </c>
      <c r="K730" s="1271">
        <v>6.5674999590063197E-3</v>
      </c>
      <c r="L730" s="1257">
        <v>7.5186472139820201E-4</v>
      </c>
      <c r="M730" s="1280">
        <v>2.3318603852837699E-4</v>
      </c>
      <c r="N730" s="1271">
        <v>7.8950521224942904E-3</v>
      </c>
      <c r="O730" s="1257">
        <v>3.0000008598028201E-3</v>
      </c>
      <c r="P730" s="1257">
        <v>8.8280970812257397E-3</v>
      </c>
      <c r="Q730" s="1280">
        <v>7.8950521224942904E-3</v>
      </c>
      <c r="R730" s="1271">
        <v>3.8500011034136201E-2</v>
      </c>
      <c r="S730" s="1257">
        <v>3.8500011034136201E-2</v>
      </c>
      <c r="T730" s="1257">
        <v>3.8500011034136201E-2</v>
      </c>
      <c r="U730" s="1280">
        <v>1.9250005517068101E-2</v>
      </c>
      <c r="V730" s="1293">
        <v>6.8644531643031401E-3</v>
      </c>
    </row>
    <row r="731" spans="1:22" s="212" customFormat="1" ht="15.5" x14ac:dyDescent="0.35">
      <c r="A731" s="198">
        <v>2028</v>
      </c>
      <c r="B731" s="197" t="s">
        <v>5833</v>
      </c>
      <c r="C731" s="197">
        <v>1996</v>
      </c>
      <c r="D731" s="225" t="str">
        <f t="shared" si="4"/>
        <v>2028_1996</v>
      </c>
      <c r="E731" s="1226">
        <v>6.8950279110027907E-2</v>
      </c>
      <c r="F731" s="1257">
        <v>1.2859167471389699E-2</v>
      </c>
      <c r="G731" s="1280">
        <v>2.59853712165324E-2</v>
      </c>
      <c r="H731" s="1271">
        <v>0.402143350983516</v>
      </c>
      <c r="I731" s="1257">
        <v>0.42441960820598101</v>
      </c>
      <c r="J731" s="1280">
        <v>0.83592214372451601</v>
      </c>
      <c r="K731" s="1271">
        <v>6.5674999590063197E-3</v>
      </c>
      <c r="L731" s="1257">
        <v>7.5186472139820201E-4</v>
      </c>
      <c r="M731" s="1280">
        <v>2.3318603852837699E-4</v>
      </c>
      <c r="N731" s="1271">
        <v>7.8950521224942904E-3</v>
      </c>
      <c r="O731" s="1257">
        <v>3.0000008598028201E-3</v>
      </c>
      <c r="P731" s="1257">
        <v>8.8280970812257397E-3</v>
      </c>
      <c r="Q731" s="1280">
        <v>7.8950521224942904E-3</v>
      </c>
      <c r="R731" s="1271">
        <v>3.8500011034136201E-2</v>
      </c>
      <c r="S731" s="1257">
        <v>3.8500011034136201E-2</v>
      </c>
      <c r="T731" s="1257">
        <v>3.8500011034136201E-2</v>
      </c>
      <c r="U731" s="1280">
        <v>1.9250005517068101E-2</v>
      </c>
      <c r="V731" s="1293">
        <v>6.8644531643031401E-3</v>
      </c>
    </row>
    <row r="732" spans="1:22" s="212" customFormat="1" ht="15.5" x14ac:dyDescent="0.35">
      <c r="A732" s="198">
        <v>2028</v>
      </c>
      <c r="B732" s="197" t="s">
        <v>5833</v>
      </c>
      <c r="C732" s="197">
        <v>1997</v>
      </c>
      <c r="D732" s="225" t="str">
        <f t="shared" si="4"/>
        <v>2028_1997</v>
      </c>
      <c r="E732" s="1226">
        <v>6.8950279110027907E-2</v>
      </c>
      <c r="F732" s="1257">
        <v>1.2859167471389699E-2</v>
      </c>
      <c r="G732" s="1280">
        <v>2.59853712165324E-2</v>
      </c>
      <c r="H732" s="1271">
        <v>0.402143350983516</v>
      </c>
      <c r="I732" s="1257">
        <v>0.42441960820598101</v>
      </c>
      <c r="J732" s="1280">
        <v>0.83592214372451601</v>
      </c>
      <c r="K732" s="1271">
        <v>6.5674999590063197E-3</v>
      </c>
      <c r="L732" s="1257">
        <v>7.5186472139820201E-4</v>
      </c>
      <c r="M732" s="1280">
        <v>2.3318603852837699E-4</v>
      </c>
      <c r="N732" s="1271">
        <v>7.8950521224942904E-3</v>
      </c>
      <c r="O732" s="1257">
        <v>3.0000008598028201E-3</v>
      </c>
      <c r="P732" s="1257">
        <v>8.8280970812257397E-3</v>
      </c>
      <c r="Q732" s="1280">
        <v>7.8950521224942904E-3</v>
      </c>
      <c r="R732" s="1271">
        <v>3.8500011034136201E-2</v>
      </c>
      <c r="S732" s="1257">
        <v>3.8500011034136201E-2</v>
      </c>
      <c r="T732" s="1257">
        <v>3.8500011034136201E-2</v>
      </c>
      <c r="U732" s="1280">
        <v>1.9250005517068101E-2</v>
      </c>
      <c r="V732" s="1293">
        <v>6.8644531643031401E-3</v>
      </c>
    </row>
    <row r="733" spans="1:22" s="212" customFormat="1" ht="15.5" x14ac:dyDescent="0.35">
      <c r="A733" s="198">
        <v>2028</v>
      </c>
      <c r="B733" s="197" t="s">
        <v>5833</v>
      </c>
      <c r="C733" s="197">
        <v>1998</v>
      </c>
      <c r="D733" s="225" t="str">
        <f t="shared" si="4"/>
        <v>2028_1998</v>
      </c>
      <c r="E733" s="1226">
        <v>6.8950279110027907E-2</v>
      </c>
      <c r="F733" s="1257">
        <v>1.2859167471389699E-2</v>
      </c>
      <c r="G733" s="1280">
        <v>2.59853712165324E-2</v>
      </c>
      <c r="H733" s="1271">
        <v>0.402143350983516</v>
      </c>
      <c r="I733" s="1257">
        <v>0.42441960820598101</v>
      </c>
      <c r="J733" s="1280">
        <v>0.83592214372451601</v>
      </c>
      <c r="K733" s="1271">
        <v>6.5674999590063197E-3</v>
      </c>
      <c r="L733" s="1257">
        <v>7.5186472139820201E-4</v>
      </c>
      <c r="M733" s="1280">
        <v>2.3318603852837699E-4</v>
      </c>
      <c r="N733" s="1271">
        <v>7.8950521224942904E-3</v>
      </c>
      <c r="O733" s="1257">
        <v>3.0000008598028201E-3</v>
      </c>
      <c r="P733" s="1257">
        <v>8.8280970812257397E-3</v>
      </c>
      <c r="Q733" s="1280">
        <v>7.8950521224942904E-3</v>
      </c>
      <c r="R733" s="1271">
        <v>3.8500011034136201E-2</v>
      </c>
      <c r="S733" s="1257">
        <v>3.8500011034136201E-2</v>
      </c>
      <c r="T733" s="1257">
        <v>3.8500011034136201E-2</v>
      </c>
      <c r="U733" s="1280">
        <v>1.9250005517068101E-2</v>
      </c>
      <c r="V733" s="1293">
        <v>6.8644531643031401E-3</v>
      </c>
    </row>
    <row r="734" spans="1:22" s="212" customFormat="1" ht="15.5" x14ac:dyDescent="0.35">
      <c r="A734" s="198">
        <v>2028</v>
      </c>
      <c r="B734" s="197" t="s">
        <v>5833</v>
      </c>
      <c r="C734" s="197">
        <v>1999</v>
      </c>
      <c r="D734" s="225" t="str">
        <f t="shared" si="4"/>
        <v>2028_1999</v>
      </c>
      <c r="E734" s="1226">
        <v>6.8950279110027907E-2</v>
      </c>
      <c r="F734" s="1257">
        <v>1.2859167471389699E-2</v>
      </c>
      <c r="G734" s="1280">
        <v>2.59853712165324E-2</v>
      </c>
      <c r="H734" s="1271">
        <v>0.402143350983516</v>
      </c>
      <c r="I734" s="1257">
        <v>0.42441960820598101</v>
      </c>
      <c r="J734" s="1280">
        <v>0.83592214372451601</v>
      </c>
      <c r="K734" s="1271">
        <v>6.5674999590063197E-3</v>
      </c>
      <c r="L734" s="1257">
        <v>7.5186472139820201E-4</v>
      </c>
      <c r="M734" s="1280">
        <v>2.3318603852837699E-4</v>
      </c>
      <c r="N734" s="1271">
        <v>7.8950521224942904E-3</v>
      </c>
      <c r="O734" s="1257">
        <v>3.0000008598028201E-3</v>
      </c>
      <c r="P734" s="1257">
        <v>8.8280970812257397E-3</v>
      </c>
      <c r="Q734" s="1280">
        <v>7.8950521224942904E-3</v>
      </c>
      <c r="R734" s="1271">
        <v>3.8500011034136201E-2</v>
      </c>
      <c r="S734" s="1257">
        <v>3.8500011034136201E-2</v>
      </c>
      <c r="T734" s="1257">
        <v>3.8500011034136201E-2</v>
      </c>
      <c r="U734" s="1280">
        <v>1.9250005517068101E-2</v>
      </c>
      <c r="V734" s="1293">
        <v>6.8644531643031401E-3</v>
      </c>
    </row>
    <row r="735" spans="1:22" s="212" customFormat="1" ht="15.5" x14ac:dyDescent="0.35">
      <c r="A735" s="198">
        <v>2028</v>
      </c>
      <c r="B735" s="197" t="s">
        <v>5833</v>
      </c>
      <c r="C735" s="197">
        <v>2000</v>
      </c>
      <c r="D735" s="225" t="str">
        <f t="shared" si="4"/>
        <v>2028_2000</v>
      </c>
      <c r="E735" s="1226">
        <v>6.8950279110027907E-2</v>
      </c>
      <c r="F735" s="1257">
        <v>1.2859167471389699E-2</v>
      </c>
      <c r="G735" s="1280">
        <v>2.59853712165324E-2</v>
      </c>
      <c r="H735" s="1271">
        <v>0.402143350983516</v>
      </c>
      <c r="I735" s="1257">
        <v>0.42441960820598101</v>
      </c>
      <c r="J735" s="1280">
        <v>0.83592214372451601</v>
      </c>
      <c r="K735" s="1271">
        <v>6.5674999590063197E-3</v>
      </c>
      <c r="L735" s="1257">
        <v>7.5186472139820201E-4</v>
      </c>
      <c r="M735" s="1280">
        <v>2.3318603852837699E-4</v>
      </c>
      <c r="N735" s="1271">
        <v>7.8950521224942904E-3</v>
      </c>
      <c r="O735" s="1257">
        <v>3.0000008598028201E-3</v>
      </c>
      <c r="P735" s="1257">
        <v>8.8280970812257397E-3</v>
      </c>
      <c r="Q735" s="1280">
        <v>7.8950521224942904E-3</v>
      </c>
      <c r="R735" s="1271">
        <v>3.8500011034136201E-2</v>
      </c>
      <c r="S735" s="1257">
        <v>3.8500011034136201E-2</v>
      </c>
      <c r="T735" s="1257">
        <v>3.8500011034136201E-2</v>
      </c>
      <c r="U735" s="1280">
        <v>1.9250005517068101E-2</v>
      </c>
      <c r="V735" s="1293">
        <v>6.8644531643031401E-3</v>
      </c>
    </row>
    <row r="736" spans="1:22" s="212" customFormat="1" ht="15.5" x14ac:dyDescent="0.35">
      <c r="A736" s="198">
        <v>2028</v>
      </c>
      <c r="B736" s="197" t="s">
        <v>5833</v>
      </c>
      <c r="C736" s="197">
        <v>2001</v>
      </c>
      <c r="D736" s="225" t="str">
        <f t="shared" si="4"/>
        <v>2028_2001</v>
      </c>
      <c r="E736" s="1226">
        <v>6.8950279110027907E-2</v>
      </c>
      <c r="F736" s="1257">
        <v>1.2859167471389699E-2</v>
      </c>
      <c r="G736" s="1280">
        <v>2.59853712165324E-2</v>
      </c>
      <c r="H736" s="1271">
        <v>0.402143350983516</v>
      </c>
      <c r="I736" s="1257">
        <v>0.42441960820598101</v>
      </c>
      <c r="J736" s="1280">
        <v>0.83592214372451601</v>
      </c>
      <c r="K736" s="1271">
        <v>6.5674999590063197E-3</v>
      </c>
      <c r="L736" s="1257">
        <v>7.5186472139820201E-4</v>
      </c>
      <c r="M736" s="1280">
        <v>2.3318603852837699E-4</v>
      </c>
      <c r="N736" s="1271">
        <v>7.8950521224942904E-3</v>
      </c>
      <c r="O736" s="1257">
        <v>3.0000008598028201E-3</v>
      </c>
      <c r="P736" s="1257">
        <v>8.8280970812257397E-3</v>
      </c>
      <c r="Q736" s="1280">
        <v>7.8950521224942904E-3</v>
      </c>
      <c r="R736" s="1271">
        <v>3.8500011034136201E-2</v>
      </c>
      <c r="S736" s="1257">
        <v>3.8500011034136201E-2</v>
      </c>
      <c r="T736" s="1257">
        <v>3.8500011034136201E-2</v>
      </c>
      <c r="U736" s="1280">
        <v>1.9250005517068101E-2</v>
      </c>
      <c r="V736" s="1293">
        <v>6.8644531643031401E-3</v>
      </c>
    </row>
    <row r="737" spans="1:22" s="212" customFormat="1" ht="15.5" x14ac:dyDescent="0.35">
      <c r="A737" s="198">
        <v>2028</v>
      </c>
      <c r="B737" s="197" t="s">
        <v>5833</v>
      </c>
      <c r="C737" s="197">
        <v>2002</v>
      </c>
      <c r="D737" s="225" t="str">
        <f t="shared" si="4"/>
        <v>2028_2002</v>
      </c>
      <c r="E737" s="1226">
        <v>6.8950279110027907E-2</v>
      </c>
      <c r="F737" s="1257">
        <v>1.2859167471389699E-2</v>
      </c>
      <c r="G737" s="1280">
        <v>2.59853712165324E-2</v>
      </c>
      <c r="H737" s="1271">
        <v>0.402143350983516</v>
      </c>
      <c r="I737" s="1257">
        <v>0.42441960820598101</v>
      </c>
      <c r="J737" s="1280">
        <v>0.83592214372451601</v>
      </c>
      <c r="K737" s="1271">
        <v>6.5674999590063197E-3</v>
      </c>
      <c r="L737" s="1257">
        <v>7.5186472139820201E-4</v>
      </c>
      <c r="M737" s="1280">
        <v>2.3318603852837699E-4</v>
      </c>
      <c r="N737" s="1271">
        <v>7.8950521224942904E-3</v>
      </c>
      <c r="O737" s="1257">
        <v>3.0000008598028201E-3</v>
      </c>
      <c r="P737" s="1257">
        <v>8.8280970812257397E-3</v>
      </c>
      <c r="Q737" s="1280">
        <v>7.8950521224942904E-3</v>
      </c>
      <c r="R737" s="1271">
        <v>3.8500011034136201E-2</v>
      </c>
      <c r="S737" s="1257">
        <v>3.8500011034136201E-2</v>
      </c>
      <c r="T737" s="1257">
        <v>3.8500011034136201E-2</v>
      </c>
      <c r="U737" s="1280">
        <v>1.9250005517068101E-2</v>
      </c>
      <c r="V737" s="1293">
        <v>6.8644531643031401E-3</v>
      </c>
    </row>
    <row r="738" spans="1:22" s="212" customFormat="1" ht="15.5" x14ac:dyDescent="0.35">
      <c r="A738" s="198">
        <v>2028</v>
      </c>
      <c r="B738" s="197" t="s">
        <v>5833</v>
      </c>
      <c r="C738" s="197">
        <v>2003</v>
      </c>
      <c r="D738" s="225" t="str">
        <f t="shared" si="4"/>
        <v>2028_2003</v>
      </c>
      <c r="E738" s="1226">
        <v>6.8950279110027907E-2</v>
      </c>
      <c r="F738" s="1257">
        <v>1.2859167471389699E-2</v>
      </c>
      <c r="G738" s="1280">
        <v>2.59853712165324E-2</v>
      </c>
      <c r="H738" s="1271">
        <v>0.402143350983516</v>
      </c>
      <c r="I738" s="1257">
        <v>0.42441960820598101</v>
      </c>
      <c r="J738" s="1280">
        <v>0.83592214372451601</v>
      </c>
      <c r="K738" s="1271">
        <v>6.5674999590063197E-3</v>
      </c>
      <c r="L738" s="1257">
        <v>7.5186472139820201E-4</v>
      </c>
      <c r="M738" s="1280">
        <v>2.3318603852837699E-4</v>
      </c>
      <c r="N738" s="1271">
        <v>7.8950521224942904E-3</v>
      </c>
      <c r="O738" s="1257">
        <v>3.0000008598028201E-3</v>
      </c>
      <c r="P738" s="1257">
        <v>8.8280970812257397E-3</v>
      </c>
      <c r="Q738" s="1280">
        <v>7.8950521224942904E-3</v>
      </c>
      <c r="R738" s="1271">
        <v>3.8500011034136201E-2</v>
      </c>
      <c r="S738" s="1257">
        <v>3.8500011034136201E-2</v>
      </c>
      <c r="T738" s="1257">
        <v>3.8500011034136201E-2</v>
      </c>
      <c r="U738" s="1280">
        <v>1.9250005517068101E-2</v>
      </c>
      <c r="V738" s="1293">
        <v>6.8644531643031401E-3</v>
      </c>
    </row>
    <row r="739" spans="1:22" s="212" customFormat="1" ht="15.5" x14ac:dyDescent="0.35">
      <c r="A739" s="198">
        <v>2028</v>
      </c>
      <c r="B739" s="197" t="s">
        <v>5833</v>
      </c>
      <c r="C739" s="197">
        <v>2004</v>
      </c>
      <c r="D739" s="225" t="str">
        <f t="shared" si="4"/>
        <v>2028_2004</v>
      </c>
      <c r="E739" s="1226">
        <v>6.8950279110027907E-2</v>
      </c>
      <c r="F739" s="1257">
        <v>1.2859167471389699E-2</v>
      </c>
      <c r="G739" s="1280">
        <v>2.59853712165324E-2</v>
      </c>
      <c r="H739" s="1271">
        <v>0.402143350983516</v>
      </c>
      <c r="I739" s="1257">
        <v>0.42441960820598101</v>
      </c>
      <c r="J739" s="1280">
        <v>0.83592214372451601</v>
      </c>
      <c r="K739" s="1271">
        <v>6.5674999590063197E-3</v>
      </c>
      <c r="L739" s="1257">
        <v>7.5186472139820201E-4</v>
      </c>
      <c r="M739" s="1280">
        <v>2.3318603852837699E-4</v>
      </c>
      <c r="N739" s="1271">
        <v>7.8950521224942904E-3</v>
      </c>
      <c r="O739" s="1257">
        <v>3.0000008598028201E-3</v>
      </c>
      <c r="P739" s="1257">
        <v>8.8280970812257397E-3</v>
      </c>
      <c r="Q739" s="1280">
        <v>7.8950521224942904E-3</v>
      </c>
      <c r="R739" s="1271">
        <v>3.8500011034136201E-2</v>
      </c>
      <c r="S739" s="1257">
        <v>3.8500011034136201E-2</v>
      </c>
      <c r="T739" s="1257">
        <v>3.8500011034136201E-2</v>
      </c>
      <c r="U739" s="1280">
        <v>1.9250005517068101E-2</v>
      </c>
      <c r="V739" s="1293">
        <v>6.8644531643031401E-3</v>
      </c>
    </row>
    <row r="740" spans="1:22" s="212" customFormat="1" ht="15.5" x14ac:dyDescent="0.35">
      <c r="A740" s="198">
        <v>2028</v>
      </c>
      <c r="B740" s="197" t="s">
        <v>5833</v>
      </c>
      <c r="C740" s="197">
        <v>2005</v>
      </c>
      <c r="D740" s="225" t="str">
        <f t="shared" si="4"/>
        <v>2028_2005</v>
      </c>
      <c r="E740" s="1226">
        <v>6.8950279110027907E-2</v>
      </c>
      <c r="F740" s="1257">
        <v>1.2859167471389699E-2</v>
      </c>
      <c r="G740" s="1280">
        <v>2.59853712165324E-2</v>
      </c>
      <c r="H740" s="1271">
        <v>0.402143350983516</v>
      </c>
      <c r="I740" s="1257">
        <v>0.42441960820598101</v>
      </c>
      <c r="J740" s="1280">
        <v>0.83592214372451601</v>
      </c>
      <c r="K740" s="1271">
        <v>6.5674999590063197E-3</v>
      </c>
      <c r="L740" s="1257">
        <v>7.5186472139820201E-4</v>
      </c>
      <c r="M740" s="1280">
        <v>2.3318603852837699E-4</v>
      </c>
      <c r="N740" s="1271">
        <v>7.8950521224942904E-3</v>
      </c>
      <c r="O740" s="1257">
        <v>3.0000008598028201E-3</v>
      </c>
      <c r="P740" s="1257">
        <v>8.8280970812257397E-3</v>
      </c>
      <c r="Q740" s="1280">
        <v>7.8950521224942904E-3</v>
      </c>
      <c r="R740" s="1271">
        <v>3.8500011034136201E-2</v>
      </c>
      <c r="S740" s="1257">
        <v>3.8500011034136201E-2</v>
      </c>
      <c r="T740" s="1257">
        <v>3.8500011034136201E-2</v>
      </c>
      <c r="U740" s="1280">
        <v>1.9250005517068101E-2</v>
      </c>
      <c r="V740" s="1293">
        <v>6.8644531643031401E-3</v>
      </c>
    </row>
    <row r="741" spans="1:22" s="212" customFormat="1" ht="15.5" x14ac:dyDescent="0.35">
      <c r="A741" s="198">
        <v>2028</v>
      </c>
      <c r="B741" s="197" t="s">
        <v>5833</v>
      </c>
      <c r="C741" s="197">
        <v>2006</v>
      </c>
      <c r="D741" s="225" t="str">
        <f t="shared" si="4"/>
        <v>2028_2006</v>
      </c>
      <c r="E741" s="1226">
        <v>6.8950279110027907E-2</v>
      </c>
      <c r="F741" s="1257">
        <v>1.2859167471389699E-2</v>
      </c>
      <c r="G741" s="1280">
        <v>2.59853712165324E-2</v>
      </c>
      <c r="H741" s="1271">
        <v>0.402143350983516</v>
      </c>
      <c r="I741" s="1257">
        <v>0.42441960820598101</v>
      </c>
      <c r="J741" s="1280">
        <v>0.83592214372451601</v>
      </c>
      <c r="K741" s="1271">
        <v>6.5674999590063197E-3</v>
      </c>
      <c r="L741" s="1257">
        <v>7.5186472139820201E-4</v>
      </c>
      <c r="M741" s="1280">
        <v>2.3318603852837699E-4</v>
      </c>
      <c r="N741" s="1271">
        <v>7.8950521224942904E-3</v>
      </c>
      <c r="O741" s="1257">
        <v>3.0000008598028201E-3</v>
      </c>
      <c r="P741" s="1257">
        <v>8.8280970812257397E-3</v>
      </c>
      <c r="Q741" s="1280">
        <v>7.8950521224942904E-3</v>
      </c>
      <c r="R741" s="1271">
        <v>3.8500011034136201E-2</v>
      </c>
      <c r="S741" s="1257">
        <v>3.8500011034136201E-2</v>
      </c>
      <c r="T741" s="1257">
        <v>3.8500011034136201E-2</v>
      </c>
      <c r="U741" s="1280">
        <v>1.9250005517068101E-2</v>
      </c>
      <c r="V741" s="1293">
        <v>6.8644531643031401E-3</v>
      </c>
    </row>
    <row r="742" spans="1:22" s="212" customFormat="1" ht="15.5" x14ac:dyDescent="0.35">
      <c r="A742" s="198">
        <v>2028</v>
      </c>
      <c r="B742" s="197" t="s">
        <v>5833</v>
      </c>
      <c r="C742" s="197">
        <v>2007</v>
      </c>
      <c r="D742" s="225" t="str">
        <f t="shared" si="4"/>
        <v>2028_2007</v>
      </c>
      <c r="E742" s="1226">
        <v>6.8950279110027907E-2</v>
      </c>
      <c r="F742" s="1257">
        <v>1.2859167471389699E-2</v>
      </c>
      <c r="G742" s="1280">
        <v>2.59853712165324E-2</v>
      </c>
      <c r="H742" s="1271">
        <v>0.402143350983516</v>
      </c>
      <c r="I742" s="1257">
        <v>0.42441960820598101</v>
      </c>
      <c r="J742" s="1280">
        <v>0.83592214372451601</v>
      </c>
      <c r="K742" s="1271">
        <v>6.5674999590063197E-3</v>
      </c>
      <c r="L742" s="1257">
        <v>7.5186472139820201E-4</v>
      </c>
      <c r="M742" s="1280">
        <v>2.3318603852837699E-4</v>
      </c>
      <c r="N742" s="1271">
        <v>7.8950521224942904E-3</v>
      </c>
      <c r="O742" s="1257">
        <v>3.0000008598028201E-3</v>
      </c>
      <c r="P742" s="1257">
        <v>8.8280970812257397E-3</v>
      </c>
      <c r="Q742" s="1280">
        <v>7.8950521224942904E-3</v>
      </c>
      <c r="R742" s="1271">
        <v>3.8500011034136201E-2</v>
      </c>
      <c r="S742" s="1257">
        <v>3.8500011034136201E-2</v>
      </c>
      <c r="T742" s="1257">
        <v>3.8500011034136201E-2</v>
      </c>
      <c r="U742" s="1280">
        <v>1.9250005517068101E-2</v>
      </c>
      <c r="V742" s="1293">
        <v>6.8644531643031401E-3</v>
      </c>
    </row>
    <row r="743" spans="1:22" s="212" customFormat="1" ht="15.5" x14ac:dyDescent="0.35">
      <c r="A743" s="198">
        <v>2028</v>
      </c>
      <c r="B743" s="197" t="s">
        <v>5833</v>
      </c>
      <c r="C743" s="197">
        <v>2008</v>
      </c>
      <c r="D743" s="225" t="str">
        <f t="shared" si="4"/>
        <v>2028_2008</v>
      </c>
      <c r="E743" s="1226">
        <v>6.8950279110027907E-2</v>
      </c>
      <c r="F743" s="1257">
        <v>1.2859167471389699E-2</v>
      </c>
      <c r="G743" s="1280">
        <v>2.59853712165324E-2</v>
      </c>
      <c r="H743" s="1271">
        <v>0.402143350983516</v>
      </c>
      <c r="I743" s="1257">
        <v>0.42441960820598101</v>
      </c>
      <c r="J743" s="1280">
        <v>0.83592214372451601</v>
      </c>
      <c r="K743" s="1271">
        <v>6.5674999590063197E-3</v>
      </c>
      <c r="L743" s="1257">
        <v>7.5186472139820201E-4</v>
      </c>
      <c r="M743" s="1280">
        <v>2.3318603852837699E-4</v>
      </c>
      <c r="N743" s="1271">
        <v>7.8950521224942904E-3</v>
      </c>
      <c r="O743" s="1257">
        <v>3.0000008598028201E-3</v>
      </c>
      <c r="P743" s="1257">
        <v>8.8280970812257397E-3</v>
      </c>
      <c r="Q743" s="1280">
        <v>7.8950521224942904E-3</v>
      </c>
      <c r="R743" s="1271">
        <v>3.8500011034136201E-2</v>
      </c>
      <c r="S743" s="1257">
        <v>3.8500011034136201E-2</v>
      </c>
      <c r="T743" s="1257">
        <v>3.8500011034136201E-2</v>
      </c>
      <c r="U743" s="1280">
        <v>1.9250005517068101E-2</v>
      </c>
      <c r="V743" s="1293">
        <v>6.8644531643031401E-3</v>
      </c>
    </row>
    <row r="744" spans="1:22" s="212" customFormat="1" ht="15.5" x14ac:dyDescent="0.35">
      <c r="A744" s="198">
        <v>2028</v>
      </c>
      <c r="B744" s="197" t="s">
        <v>5833</v>
      </c>
      <c r="C744" s="197">
        <v>2009</v>
      </c>
      <c r="D744" s="225" t="str">
        <f t="shared" si="4"/>
        <v>2028_2009</v>
      </c>
      <c r="E744" s="1226">
        <v>6.8950279110027907E-2</v>
      </c>
      <c r="F744" s="1257">
        <v>1.2859167471389699E-2</v>
      </c>
      <c r="G744" s="1280">
        <v>2.59853712165324E-2</v>
      </c>
      <c r="H744" s="1271">
        <v>0.402143350983516</v>
      </c>
      <c r="I744" s="1257">
        <v>0.42441960820598101</v>
      </c>
      <c r="J744" s="1280">
        <v>0.83592214372451601</v>
      </c>
      <c r="K744" s="1271">
        <v>6.5674999590063197E-3</v>
      </c>
      <c r="L744" s="1257">
        <v>7.5186472139820201E-4</v>
      </c>
      <c r="M744" s="1280">
        <v>2.3318603852837699E-4</v>
      </c>
      <c r="N744" s="1271">
        <v>7.8950521224942904E-3</v>
      </c>
      <c r="O744" s="1257">
        <v>3.0000008598028201E-3</v>
      </c>
      <c r="P744" s="1257">
        <v>8.8280970812257397E-3</v>
      </c>
      <c r="Q744" s="1280">
        <v>7.8950521224942904E-3</v>
      </c>
      <c r="R744" s="1271">
        <v>3.8500011034136201E-2</v>
      </c>
      <c r="S744" s="1257">
        <v>3.8500011034136201E-2</v>
      </c>
      <c r="T744" s="1257">
        <v>3.8500011034136201E-2</v>
      </c>
      <c r="U744" s="1280">
        <v>1.9250005517068101E-2</v>
      </c>
      <c r="V744" s="1293">
        <v>6.8644531643031401E-3</v>
      </c>
    </row>
    <row r="745" spans="1:22" s="212" customFormat="1" ht="15.5" x14ac:dyDescent="0.35">
      <c r="A745" s="198">
        <v>2028</v>
      </c>
      <c r="B745" s="197" t="s">
        <v>5833</v>
      </c>
      <c r="C745" s="197">
        <v>2010</v>
      </c>
      <c r="D745" s="225" t="str">
        <f t="shared" si="4"/>
        <v>2028_2010</v>
      </c>
      <c r="E745" s="1226">
        <v>6.8950279110027907E-2</v>
      </c>
      <c r="F745" s="1257">
        <v>1.2859167471389699E-2</v>
      </c>
      <c r="G745" s="1280">
        <v>2.59853712165324E-2</v>
      </c>
      <c r="H745" s="1271">
        <v>0.402143350983516</v>
      </c>
      <c r="I745" s="1257">
        <v>0.42441960820598101</v>
      </c>
      <c r="J745" s="1280">
        <v>0.83592214372451601</v>
      </c>
      <c r="K745" s="1271">
        <v>6.5674999590063197E-3</v>
      </c>
      <c r="L745" s="1257">
        <v>7.5186472139820201E-4</v>
      </c>
      <c r="M745" s="1280">
        <v>2.3318603852837699E-4</v>
      </c>
      <c r="N745" s="1271">
        <v>7.8950521224942904E-3</v>
      </c>
      <c r="O745" s="1257">
        <v>3.0000008598028201E-3</v>
      </c>
      <c r="P745" s="1257">
        <v>8.8280970812257397E-3</v>
      </c>
      <c r="Q745" s="1280">
        <v>7.8950521224942904E-3</v>
      </c>
      <c r="R745" s="1271">
        <v>3.8500011034136201E-2</v>
      </c>
      <c r="S745" s="1257">
        <v>3.8500011034136201E-2</v>
      </c>
      <c r="T745" s="1257">
        <v>3.8500011034136201E-2</v>
      </c>
      <c r="U745" s="1280">
        <v>1.9250005517068101E-2</v>
      </c>
      <c r="V745" s="1293">
        <v>6.8644531643031401E-3</v>
      </c>
    </row>
    <row r="746" spans="1:22" s="212" customFormat="1" ht="15.5" x14ac:dyDescent="0.35">
      <c r="A746" s="198">
        <v>2028</v>
      </c>
      <c r="B746" s="197" t="s">
        <v>5833</v>
      </c>
      <c r="C746" s="197">
        <v>2011</v>
      </c>
      <c r="D746" s="225" t="str">
        <f t="shared" si="4"/>
        <v>2028_2011</v>
      </c>
      <c r="E746" s="1226">
        <v>6.8950279110027907E-2</v>
      </c>
      <c r="F746" s="1257">
        <v>1.2859167471389699E-2</v>
      </c>
      <c r="G746" s="1280">
        <v>2.59853712165324E-2</v>
      </c>
      <c r="H746" s="1271">
        <v>0.402143350983516</v>
      </c>
      <c r="I746" s="1257">
        <v>0.42441960820598101</v>
      </c>
      <c r="J746" s="1280">
        <v>0.83592214372451601</v>
      </c>
      <c r="K746" s="1271">
        <v>6.5674999590063197E-3</v>
      </c>
      <c r="L746" s="1257">
        <v>7.5186472139820201E-4</v>
      </c>
      <c r="M746" s="1280">
        <v>2.3318603852837699E-4</v>
      </c>
      <c r="N746" s="1271">
        <v>7.8950521224942904E-3</v>
      </c>
      <c r="O746" s="1257">
        <v>3.0000008598028201E-3</v>
      </c>
      <c r="P746" s="1257">
        <v>8.8280970812257397E-3</v>
      </c>
      <c r="Q746" s="1280">
        <v>7.8950521224942904E-3</v>
      </c>
      <c r="R746" s="1271">
        <v>3.8500011034136201E-2</v>
      </c>
      <c r="S746" s="1257">
        <v>3.8500011034136201E-2</v>
      </c>
      <c r="T746" s="1257">
        <v>3.8500011034136201E-2</v>
      </c>
      <c r="U746" s="1280">
        <v>1.9250005517068101E-2</v>
      </c>
      <c r="V746" s="1293">
        <v>6.8644531643031401E-3</v>
      </c>
    </row>
    <row r="747" spans="1:22" s="212" customFormat="1" ht="15.5" x14ac:dyDescent="0.35">
      <c r="A747" s="198">
        <v>2028</v>
      </c>
      <c r="B747" s="197" t="s">
        <v>5833</v>
      </c>
      <c r="C747" s="197">
        <v>2012</v>
      </c>
      <c r="D747" s="225" t="str">
        <f t="shared" si="4"/>
        <v>2028_2012</v>
      </c>
      <c r="E747" s="1226">
        <v>6.8950279110027907E-2</v>
      </c>
      <c r="F747" s="1257">
        <v>1.2859167471389699E-2</v>
      </c>
      <c r="G747" s="1280">
        <v>2.59853712165324E-2</v>
      </c>
      <c r="H747" s="1271">
        <v>0.402143350983516</v>
      </c>
      <c r="I747" s="1257">
        <v>0.42441960820598101</v>
      </c>
      <c r="J747" s="1280">
        <v>0.83592214372451601</v>
      </c>
      <c r="K747" s="1271">
        <v>6.5674999590063197E-3</v>
      </c>
      <c r="L747" s="1257">
        <v>7.5186472139820201E-4</v>
      </c>
      <c r="M747" s="1280">
        <v>2.3318603852837699E-4</v>
      </c>
      <c r="N747" s="1271">
        <v>7.8950521224942904E-3</v>
      </c>
      <c r="O747" s="1257">
        <v>3.0000008598028201E-3</v>
      </c>
      <c r="P747" s="1257">
        <v>8.8280970812257397E-3</v>
      </c>
      <c r="Q747" s="1280">
        <v>7.8950521224942904E-3</v>
      </c>
      <c r="R747" s="1271">
        <v>3.8500011034136201E-2</v>
      </c>
      <c r="S747" s="1257">
        <v>3.8500011034136201E-2</v>
      </c>
      <c r="T747" s="1257">
        <v>3.8500011034136201E-2</v>
      </c>
      <c r="U747" s="1280">
        <v>1.9250005517068101E-2</v>
      </c>
      <c r="V747" s="1293">
        <v>6.8644531643031401E-3</v>
      </c>
    </row>
    <row r="748" spans="1:22" s="212" customFormat="1" ht="15.5" x14ac:dyDescent="0.35">
      <c r="A748" s="198">
        <v>2028</v>
      </c>
      <c r="B748" s="197" t="s">
        <v>5833</v>
      </c>
      <c r="C748" s="197">
        <v>2013</v>
      </c>
      <c r="D748" s="225" t="str">
        <f t="shared" si="4"/>
        <v>2028_2013</v>
      </c>
      <c r="E748" s="1226">
        <v>6.8950279110027907E-2</v>
      </c>
      <c r="F748" s="1257">
        <v>1.2859167471389699E-2</v>
      </c>
      <c r="G748" s="1280">
        <v>2.59853712165324E-2</v>
      </c>
      <c r="H748" s="1271">
        <v>0.402143350983516</v>
      </c>
      <c r="I748" s="1257">
        <v>0.42441960820598101</v>
      </c>
      <c r="J748" s="1280">
        <v>0.83592214372451601</v>
      </c>
      <c r="K748" s="1271">
        <v>6.5674999590063197E-3</v>
      </c>
      <c r="L748" s="1257">
        <v>7.5186472139820201E-4</v>
      </c>
      <c r="M748" s="1280">
        <v>2.3318603852837699E-4</v>
      </c>
      <c r="N748" s="1271">
        <v>7.8950521224942904E-3</v>
      </c>
      <c r="O748" s="1257">
        <v>3.0000008598028201E-3</v>
      </c>
      <c r="P748" s="1257">
        <v>8.8280970812257397E-3</v>
      </c>
      <c r="Q748" s="1280">
        <v>7.8950521224942904E-3</v>
      </c>
      <c r="R748" s="1271">
        <v>3.8500011034136201E-2</v>
      </c>
      <c r="S748" s="1257">
        <v>3.8500011034136201E-2</v>
      </c>
      <c r="T748" s="1257">
        <v>3.8500011034136201E-2</v>
      </c>
      <c r="U748" s="1280">
        <v>1.9250005517068101E-2</v>
      </c>
      <c r="V748" s="1293">
        <v>6.8644531643031401E-3</v>
      </c>
    </row>
    <row r="749" spans="1:22" s="212" customFormat="1" ht="15.5" x14ac:dyDescent="0.35">
      <c r="A749" s="198">
        <v>2028</v>
      </c>
      <c r="B749" s="197" t="s">
        <v>5833</v>
      </c>
      <c r="C749" s="197">
        <v>2014</v>
      </c>
      <c r="D749" s="225" t="str">
        <f t="shared" si="4"/>
        <v>2028_2014</v>
      </c>
      <c r="E749" s="1231">
        <v>6.8950279110027907E-2</v>
      </c>
      <c r="F749" s="1288">
        <v>1.2859167471389699E-2</v>
      </c>
      <c r="G749" s="1306">
        <v>2.59853712165324E-2</v>
      </c>
      <c r="H749" s="1303">
        <v>0.402143350983516</v>
      </c>
      <c r="I749" s="1288">
        <v>0.42441960820598101</v>
      </c>
      <c r="J749" s="1306">
        <v>0.83592214372451601</v>
      </c>
      <c r="K749" s="1303">
        <v>6.5674999590063197E-3</v>
      </c>
      <c r="L749" s="1288">
        <v>7.5186472139820201E-4</v>
      </c>
      <c r="M749" s="1306">
        <v>2.3318603852837699E-4</v>
      </c>
      <c r="N749" s="1303">
        <v>7.8950521224942904E-3</v>
      </c>
      <c r="O749" s="1288">
        <v>3.0000008598028201E-3</v>
      </c>
      <c r="P749" s="1288">
        <v>8.8280970812257397E-3</v>
      </c>
      <c r="Q749" s="1306">
        <v>8.3610738541998707E-3</v>
      </c>
      <c r="R749" s="1303">
        <v>3.8500011034136201E-2</v>
      </c>
      <c r="S749" s="1288">
        <v>3.8500011034136201E-2</v>
      </c>
      <c r="T749" s="1288">
        <v>3.8500011034136201E-2</v>
      </c>
      <c r="U749" s="1306">
        <v>1.9250005517068101E-2</v>
      </c>
      <c r="V749" s="1294">
        <v>6.8644531643031401E-3</v>
      </c>
    </row>
    <row r="750" spans="1:22" s="212" customFormat="1" ht="15.5" x14ac:dyDescent="0.35">
      <c r="A750" s="198">
        <v>2028</v>
      </c>
      <c r="B750" s="197" t="s">
        <v>5833</v>
      </c>
      <c r="C750" s="197">
        <v>2015</v>
      </c>
      <c r="D750" s="225" t="str">
        <f t="shared" si="4"/>
        <v>2028_2015</v>
      </c>
      <c r="E750" s="1231">
        <v>7.1422458189629695E-2</v>
      </c>
      <c r="F750" s="1288">
        <v>1.8439654318977101E-2</v>
      </c>
      <c r="G750" s="1306">
        <v>2.43906089416287E-2</v>
      </c>
      <c r="H750" s="1303">
        <v>0.41395580878923599</v>
      </c>
      <c r="I750" s="1288">
        <v>0.42332442066577802</v>
      </c>
      <c r="J750" s="1306">
        <v>0.76884959759976301</v>
      </c>
      <c r="K750" s="1303">
        <v>6.9613396009679702E-3</v>
      </c>
      <c r="L750" s="1288">
        <v>1.3396072330527299E-3</v>
      </c>
      <c r="M750" s="1306">
        <v>2.1634448305848101E-4</v>
      </c>
      <c r="N750" s="1303">
        <v>8.3420760758505502E-3</v>
      </c>
      <c r="O750" s="1288">
        <v>3.0000008598028201E-3</v>
      </c>
      <c r="P750" s="1288">
        <v>8.0249800962949192E-3</v>
      </c>
      <c r="Q750" s="1306">
        <v>7.1067392631803603E-3</v>
      </c>
      <c r="R750" s="1303">
        <v>3.8500011034136201E-2</v>
      </c>
      <c r="S750" s="1288">
        <v>3.8500011034136201E-2</v>
      </c>
      <c r="T750" s="1288">
        <v>3.8500011034136201E-2</v>
      </c>
      <c r="U750" s="1306">
        <v>1.9250005517068101E-2</v>
      </c>
      <c r="V750" s="1294">
        <v>7.2761004872367698E-3</v>
      </c>
    </row>
    <row r="751" spans="1:22" s="212" customFormat="1" ht="15.5" x14ac:dyDescent="0.35">
      <c r="A751" s="198">
        <v>2028</v>
      </c>
      <c r="B751" s="197" t="s">
        <v>5833</v>
      </c>
      <c r="C751" s="197">
        <v>2016</v>
      </c>
      <c r="D751" s="225" t="str">
        <f t="shared" si="4"/>
        <v>2028_2016</v>
      </c>
      <c r="E751" s="1231">
        <v>7.0266109363976703E-2</v>
      </c>
      <c r="F751" s="1288">
        <v>1.89265390406986E-2</v>
      </c>
      <c r="G751" s="1306">
        <v>2.66955504367609E-2</v>
      </c>
      <c r="H751" s="1303">
        <v>0.39494087180210002</v>
      </c>
      <c r="I751" s="1288">
        <v>0.41206518665506098</v>
      </c>
      <c r="J751" s="1306">
        <v>0.86283936180329102</v>
      </c>
      <c r="K751" s="1303">
        <v>7.1246616795601399E-3</v>
      </c>
      <c r="L751" s="1288">
        <v>1.5915319459724299E-3</v>
      </c>
      <c r="M751" s="1306">
        <v>2.3950170408767999E-4</v>
      </c>
      <c r="N751" s="1303">
        <v>8.4133273544924406E-3</v>
      </c>
      <c r="O751" s="1288">
        <v>3.0000008598028201E-3</v>
      </c>
      <c r="P751" s="1288">
        <v>8.6696764211990299E-3</v>
      </c>
      <c r="Q751" s="1306">
        <v>7.9596387423170305E-3</v>
      </c>
      <c r="R751" s="1303">
        <v>3.8500011034136201E-2</v>
      </c>
      <c r="S751" s="1288">
        <v>3.8500011034136201E-2</v>
      </c>
      <c r="T751" s="1288">
        <v>3.8500011034136201E-2</v>
      </c>
      <c r="U751" s="1306">
        <v>1.9250005517068101E-2</v>
      </c>
      <c r="V751" s="1294">
        <v>7.4468072654918799E-3</v>
      </c>
    </row>
    <row r="752" spans="1:22" s="212" customFormat="1" ht="15.5" x14ac:dyDescent="0.35">
      <c r="A752" s="198">
        <v>2028</v>
      </c>
      <c r="B752" s="197" t="s">
        <v>5833</v>
      </c>
      <c r="C752" s="197">
        <v>2017</v>
      </c>
      <c r="D752" s="225" t="str">
        <f t="shared" si="4"/>
        <v>2028_2017</v>
      </c>
      <c r="E752" s="1231">
        <v>6.6388791569597899E-2</v>
      </c>
      <c r="F752" s="1288">
        <v>1.2838258645825201E-2</v>
      </c>
      <c r="G752" s="1306">
        <v>2.02443496356291E-2</v>
      </c>
      <c r="H752" s="1303">
        <v>0.36708177473682801</v>
      </c>
      <c r="I752" s="1288">
        <v>0.35251461472514101</v>
      </c>
      <c r="J752" s="1306">
        <v>0.60517735532229799</v>
      </c>
      <c r="K752" s="1303">
        <v>6.6230100405527802E-3</v>
      </c>
      <c r="L752" s="1288">
        <v>1.17255525653314E-3</v>
      </c>
      <c r="M752" s="1306">
        <v>1.7838705518839101E-4</v>
      </c>
      <c r="N752" s="1303">
        <v>7.8921585090689101E-3</v>
      </c>
      <c r="O752" s="1288">
        <v>3.0000008598028201E-3</v>
      </c>
      <c r="P752" s="1288">
        <v>8.3136960241880099E-3</v>
      </c>
      <c r="Q752" s="1306">
        <v>8.0844599213616593E-3</v>
      </c>
      <c r="R752" s="1303">
        <v>3.8500011034136201E-2</v>
      </c>
      <c r="S752" s="1288">
        <v>3.8500011034136201E-2</v>
      </c>
      <c r="T752" s="1288">
        <v>3.8500011034136201E-2</v>
      </c>
      <c r="U752" s="1306">
        <v>1.9250005517068101E-2</v>
      </c>
      <c r="V752" s="1294">
        <v>6.9224731654147897E-3</v>
      </c>
    </row>
    <row r="753" spans="1:22" s="212" customFormat="1" ht="15.5" x14ac:dyDescent="0.35">
      <c r="A753" s="198">
        <v>2028</v>
      </c>
      <c r="B753" s="197" t="s">
        <v>5833</v>
      </c>
      <c r="C753" s="197">
        <v>2018</v>
      </c>
      <c r="D753" s="225" t="str">
        <f t="shared" si="4"/>
        <v>2028_2018</v>
      </c>
      <c r="E753" s="1231">
        <v>6.9081870982940094E-2</v>
      </c>
      <c r="F753" s="1288">
        <v>9.1548845262968397E-3</v>
      </c>
      <c r="G753" s="1306">
        <v>5.5557747429844401E-2</v>
      </c>
      <c r="H753" s="1303">
        <v>0.38527789214636698</v>
      </c>
      <c r="I753" s="1288">
        <v>0.184643214742677</v>
      </c>
      <c r="J753" s="1306">
        <v>0.12045719025611901</v>
      </c>
      <c r="K753" s="1303">
        <v>7.0051342043302199E-3</v>
      </c>
      <c r="L753" s="1288">
        <v>1.2464322692485299E-3</v>
      </c>
      <c r="M753" s="1306">
        <v>1.72071643504353E-3</v>
      </c>
      <c r="N753" s="1303">
        <v>8.2482763103661604E-3</v>
      </c>
      <c r="O753" s="1288">
        <v>2.4788674284457598E-3</v>
      </c>
      <c r="P753" s="1288">
        <v>7.1518389140904299E-3</v>
      </c>
      <c r="Q753" s="1306">
        <v>7.9389976673966203E-3</v>
      </c>
      <c r="R753" s="1303">
        <v>3.8487927441084202E-2</v>
      </c>
      <c r="S753" s="1288">
        <v>3.5034473715611698E-2</v>
      </c>
      <c r="T753" s="1288">
        <v>3.7881050835453497E-2</v>
      </c>
      <c r="U753" s="1306">
        <v>1.9240847680181999E-2</v>
      </c>
      <c r="V753" s="1294">
        <v>7.3218752882273797E-3</v>
      </c>
    </row>
    <row r="754" spans="1:22" s="212" customFormat="1" ht="15.5" x14ac:dyDescent="0.35">
      <c r="A754" s="198">
        <v>2028</v>
      </c>
      <c r="B754" s="197" t="s">
        <v>5833</v>
      </c>
      <c r="C754" s="197">
        <v>2019</v>
      </c>
      <c r="D754" s="225" t="str">
        <f t="shared" si="4"/>
        <v>2028_2019</v>
      </c>
      <c r="E754" s="1231">
        <v>7.1748159983799895E-2</v>
      </c>
      <c r="F754" s="1288">
        <v>7.5036502396483096E-3</v>
      </c>
      <c r="G754" s="1306">
        <v>5.2720502810945001E-2</v>
      </c>
      <c r="H754" s="1303">
        <v>0.40475013633847601</v>
      </c>
      <c r="I754" s="1288">
        <v>0.105799771663855</v>
      </c>
      <c r="J754" s="1306">
        <v>0.110736107699914</v>
      </c>
      <c r="K754" s="1303">
        <v>7.32598629376715E-3</v>
      </c>
      <c r="L754" s="1288">
        <v>1.2596133995830699E-3</v>
      </c>
      <c r="M754" s="1306">
        <v>9.6016397108710297E-4</v>
      </c>
      <c r="N754" s="1303">
        <v>8.5784756094915704E-3</v>
      </c>
      <c r="O754" s="1288">
        <v>2.2678037618185701E-3</v>
      </c>
      <c r="P754" s="1288">
        <v>6.9472013974099999E-3</v>
      </c>
      <c r="Q754" s="1306">
        <v>6.5198277035009699E-3</v>
      </c>
      <c r="R754" s="1303">
        <v>3.8479142353279497E-2</v>
      </c>
      <c r="S754" s="1288">
        <v>3.3630900332541E-2</v>
      </c>
      <c r="T754" s="1288">
        <v>3.8313426153581097E-2</v>
      </c>
      <c r="U754" s="1306">
        <v>1.91759402311482E-2</v>
      </c>
      <c r="V754" s="1294">
        <v>7.6572348853885903E-3</v>
      </c>
    </row>
    <row r="755" spans="1:22" s="212" customFormat="1" ht="15.5" x14ac:dyDescent="0.35">
      <c r="A755" s="198">
        <v>2028</v>
      </c>
      <c r="B755" s="197" t="s">
        <v>5833</v>
      </c>
      <c r="C755" s="197">
        <v>2020</v>
      </c>
      <c r="D755" s="225" t="str">
        <f t="shared" si="4"/>
        <v>2028_2020</v>
      </c>
      <c r="E755" s="1231">
        <v>7.0338400032922493E-2</v>
      </c>
      <c r="F755" s="1288">
        <v>1.1051393700442801E-2</v>
      </c>
      <c r="G755" s="1306">
        <v>6.2847436913554405E-2</v>
      </c>
      <c r="H755" s="1303">
        <v>0.381895328866178</v>
      </c>
      <c r="I755" s="1288">
        <v>0.19034819660913499</v>
      </c>
      <c r="J755" s="1306">
        <v>0.11059498275438701</v>
      </c>
      <c r="K755" s="1303">
        <v>7.5533115858350298E-3</v>
      </c>
      <c r="L755" s="1288">
        <v>1.42904802347601E-3</v>
      </c>
      <c r="M755" s="1306">
        <v>5.8023225730150895E-4</v>
      </c>
      <c r="N755" s="1303">
        <v>7.9833333791552198E-3</v>
      </c>
      <c r="O755" s="1288">
        <v>2.5564819342454299E-3</v>
      </c>
      <c r="P755" s="1288">
        <v>8.4038559383754798E-3</v>
      </c>
      <c r="Q755" s="1280">
        <v>7.9833333791552198E-3</v>
      </c>
      <c r="R755" s="1303">
        <v>3.8201433945546703E-2</v>
      </c>
      <c r="S755" s="1288">
        <v>3.5550610179179501E-2</v>
      </c>
      <c r="T755" s="1288">
        <v>3.8433965472811103E-2</v>
      </c>
      <c r="U755" s="1280">
        <v>1.9100716972773352E-2</v>
      </c>
      <c r="V755" s="1294">
        <v>7.8948388184227301E-3</v>
      </c>
    </row>
    <row r="756" spans="1:22" s="212" customFormat="1" ht="15.5" x14ac:dyDescent="0.35">
      <c r="A756" s="198">
        <v>2028</v>
      </c>
      <c r="B756" s="197" t="s">
        <v>5833</v>
      </c>
      <c r="C756" s="197">
        <v>2021</v>
      </c>
      <c r="D756" s="225" t="str">
        <f t="shared" si="4"/>
        <v>2028_2021</v>
      </c>
      <c r="E756" s="1231">
        <v>4.7027468846739799E-2</v>
      </c>
      <c r="F756" s="1288">
        <v>8.9994575167825098E-3</v>
      </c>
      <c r="G756" s="1306">
        <v>6.1675242734025797E-2</v>
      </c>
      <c r="H756" s="1303">
        <v>0.22468888487695701</v>
      </c>
      <c r="I756" s="1288">
        <v>0.15239967968788601</v>
      </c>
      <c r="J756" s="1306">
        <v>0.109593721411381</v>
      </c>
      <c r="K756" s="1303">
        <v>4.1546612719959601E-3</v>
      </c>
      <c r="L756" s="1288">
        <v>1.29473733054886E-3</v>
      </c>
      <c r="M756" s="1306">
        <v>5.1850800417734E-4</v>
      </c>
      <c r="N756" s="1303">
        <v>5.2005573391863697E-3</v>
      </c>
      <c r="O756" s="1288">
        <v>2.4976610123983501E-3</v>
      </c>
      <c r="P756" s="1288">
        <v>8.0760966133597602E-3</v>
      </c>
      <c r="Q756" s="1280">
        <v>5.2005573391863697E-3</v>
      </c>
      <c r="R756" s="1303">
        <v>3.8454039666674697E-2</v>
      </c>
      <c r="S756" s="1288">
        <v>3.5159451048896499E-2</v>
      </c>
      <c r="T756" s="1288">
        <v>3.8444897841275902E-2</v>
      </c>
      <c r="U756" s="1280">
        <v>1.9227019833337348E-2</v>
      </c>
      <c r="V756" s="1294">
        <v>4.34251661867926E-3</v>
      </c>
    </row>
    <row r="757" spans="1:22" s="212" customFormat="1" ht="15.5" x14ac:dyDescent="0.35">
      <c r="A757" s="198">
        <v>2028</v>
      </c>
      <c r="B757" s="197" t="s">
        <v>5833</v>
      </c>
      <c r="C757" s="197">
        <v>2022</v>
      </c>
      <c r="D757" s="225" t="str">
        <f t="shared" si="4"/>
        <v>2028_2022</v>
      </c>
      <c r="E757" s="1231">
        <v>5.2338482390462897E-2</v>
      </c>
      <c r="F757" s="1288">
        <v>1.1712373138850299E-2</v>
      </c>
      <c r="G757" s="1306">
        <v>6.4237164210526304E-2</v>
      </c>
      <c r="H757" s="1303">
        <v>0.25870750543117199</v>
      </c>
      <c r="I757" s="1288">
        <v>0.20019926535160201</v>
      </c>
      <c r="J757" s="1306">
        <v>0.12899443807859901</v>
      </c>
      <c r="K757" s="1303">
        <v>4.8922849967721798E-3</v>
      </c>
      <c r="L757" s="1288">
        <v>1.37566646716534E-3</v>
      </c>
      <c r="M757" s="1306">
        <v>5.3317798246443697E-4</v>
      </c>
      <c r="N757" s="1303">
        <v>5.8291303326977097E-3</v>
      </c>
      <c r="O757" s="1288">
        <v>2.7293186313072002E-3</v>
      </c>
      <c r="P757" s="1288">
        <v>8.5023565942145603E-3</v>
      </c>
      <c r="Q757" s="1280">
        <v>5.8291303326977097E-3</v>
      </c>
      <c r="R757" s="1303">
        <v>3.8389620268812E-2</v>
      </c>
      <c r="S757" s="1288">
        <v>3.6699974214640302E-2</v>
      </c>
      <c r="T757" s="1288">
        <v>3.8456708920411802E-2</v>
      </c>
      <c r="U757" s="1280">
        <v>1.9194810134406E-2</v>
      </c>
      <c r="V757" s="1294">
        <v>5.1134924151330597E-3</v>
      </c>
    </row>
    <row r="758" spans="1:22" s="212" customFormat="1" ht="15.5" x14ac:dyDescent="0.35">
      <c r="A758" s="198">
        <v>2028</v>
      </c>
      <c r="B758" s="197" t="s">
        <v>5833</v>
      </c>
      <c r="C758" s="197">
        <v>2023</v>
      </c>
      <c r="D758" s="225" t="str">
        <f t="shared" si="4"/>
        <v>2028_2023</v>
      </c>
      <c r="E758" s="1231">
        <v>5.8846575799318498E-2</v>
      </c>
      <c r="F758" s="1288">
        <v>1.07205565724144E-2</v>
      </c>
      <c r="G758" s="1306">
        <v>6.1613299993570701E-2</v>
      </c>
      <c r="H758" s="1303">
        <v>0.30927723296346499</v>
      </c>
      <c r="I758" s="1288">
        <v>0.16848403770339601</v>
      </c>
      <c r="J758" s="1306">
        <v>9.4468077937392494E-2</v>
      </c>
      <c r="K758" s="1303">
        <v>5.6894726739435599E-3</v>
      </c>
      <c r="L758" s="1288">
        <v>1.33217065517222E-3</v>
      </c>
      <c r="M758" s="1306">
        <v>4.0329685670705299E-4</v>
      </c>
      <c r="N758" s="1303">
        <v>6.8182408144928999E-3</v>
      </c>
      <c r="O758" s="1288">
        <v>2.6749741936355101E-3</v>
      </c>
      <c r="P758" s="1288">
        <v>8.3641682443388599E-3</v>
      </c>
      <c r="Q758" s="1280">
        <v>6.8182408144928999E-3</v>
      </c>
      <c r="R758" s="1303">
        <v>3.8454647584275803E-2</v>
      </c>
      <c r="S758" s="1288">
        <v>3.63385837041236E-2</v>
      </c>
      <c r="T758" s="1288">
        <v>3.8474991909915601E-2</v>
      </c>
      <c r="U758" s="1280">
        <v>1.9227323792137901E-2</v>
      </c>
      <c r="V758" s="1294">
        <v>5.9467253815982104E-3</v>
      </c>
    </row>
    <row r="759" spans="1:22" s="212" customFormat="1" ht="15.5" x14ac:dyDescent="0.35">
      <c r="A759" s="198">
        <v>2028</v>
      </c>
      <c r="B759" s="197" t="s">
        <v>5833</v>
      </c>
      <c r="C759" s="197">
        <v>2024</v>
      </c>
      <c r="D759" s="225" t="str">
        <f t="shared" si="4"/>
        <v>2028_2024</v>
      </c>
      <c r="E759" s="1231">
        <v>5.81217688804243E-2</v>
      </c>
      <c r="F759" s="1288">
        <v>7.6407104980272603E-3</v>
      </c>
      <c r="G759" s="1306">
        <v>5.8419818116420698E-2</v>
      </c>
      <c r="H759" s="1303">
        <v>0.29906073342204798</v>
      </c>
      <c r="I759" s="1288">
        <v>9.77566975017891E-2</v>
      </c>
      <c r="J759" s="1306">
        <v>9.4195527377259405E-2</v>
      </c>
      <c r="K759" s="1303">
        <v>5.6343222069512502E-3</v>
      </c>
      <c r="L759" s="1288">
        <v>1.2961816086877499E-3</v>
      </c>
      <c r="M759" s="1306">
        <v>6.3339013956638195E-4</v>
      </c>
      <c r="N759" s="1303">
        <v>6.6054609126384002E-3</v>
      </c>
      <c r="O759" s="1288">
        <v>2.36481062436464E-3</v>
      </c>
      <c r="P759" s="1288">
        <v>7.7134479762009898E-3</v>
      </c>
      <c r="Q759" s="1306">
        <v>8.4690603859682995E-3</v>
      </c>
      <c r="R759" s="1303">
        <v>3.8367401713422698E-2</v>
      </c>
      <c r="S759" s="1288">
        <v>3.4275995968472299E-2</v>
      </c>
      <c r="T759" s="1288">
        <v>3.8318014894511601E-2</v>
      </c>
      <c r="U759" s="1306">
        <v>1.9250005517068101E-2</v>
      </c>
      <c r="V759" s="1294">
        <v>5.88908125521508E-3</v>
      </c>
    </row>
    <row r="760" spans="1:22" s="212" customFormat="1" ht="15.5" x14ac:dyDescent="0.35">
      <c r="A760" s="198">
        <v>2028</v>
      </c>
      <c r="B760" s="197" t="s">
        <v>5833</v>
      </c>
      <c r="C760" s="197">
        <v>2025</v>
      </c>
      <c r="D760" s="225" t="str">
        <f t="shared" si="4"/>
        <v>2028_2025</v>
      </c>
      <c r="E760" s="1231">
        <v>6.6804389827513494E-2</v>
      </c>
      <c r="F760" s="1288">
        <v>7.6308712005272198E-3</v>
      </c>
      <c r="G760" s="1306">
        <v>5.4856013752160003E-2</v>
      </c>
      <c r="H760" s="1303">
        <v>0.36287400445039703</v>
      </c>
      <c r="I760" s="1288">
        <v>7.1504690312556393E-2</v>
      </c>
      <c r="J760" s="1306">
        <v>8.7052192145613702E-2</v>
      </c>
      <c r="K760" s="1303">
        <v>6.7365213166199504E-3</v>
      </c>
      <c r="L760" s="1288">
        <v>1.3457091878709599E-3</v>
      </c>
      <c r="M760" s="1306">
        <v>5.0554985287111802E-4</v>
      </c>
      <c r="N760" s="1303">
        <v>7.8252844597193096E-3</v>
      </c>
      <c r="O760" s="1288">
        <v>2.2897841947133899E-3</v>
      </c>
      <c r="P760" s="1288">
        <v>7.2329655940151097E-3</v>
      </c>
      <c r="Q760" s="1306">
        <v>8.12190024590086E-3</v>
      </c>
      <c r="R760" s="1303">
        <v>3.83901922330784E-2</v>
      </c>
      <c r="S760" s="1288">
        <v>3.3777070211291498E-2</v>
      </c>
      <c r="T760" s="1288">
        <v>3.8395805477708898E-2</v>
      </c>
      <c r="U760" s="1306">
        <v>1.9250005517068101E-2</v>
      </c>
      <c r="V760" s="1294">
        <v>7.0411169176868901E-3</v>
      </c>
    </row>
    <row r="761" spans="1:22" s="212" customFormat="1" ht="15.5" x14ac:dyDescent="0.35">
      <c r="A761" s="198">
        <v>2028</v>
      </c>
      <c r="B761" s="197" t="s">
        <v>5833</v>
      </c>
      <c r="C761" s="197">
        <v>2026</v>
      </c>
      <c r="D761" s="225" t="str">
        <f t="shared" si="4"/>
        <v>2028_2026</v>
      </c>
      <c r="E761" s="1231">
        <v>6.1330607182085398E-2</v>
      </c>
      <c r="F761" s="1288">
        <v>8.4054478694647796E-3</v>
      </c>
      <c r="G761" s="1306">
        <v>5.1563250631081997E-2</v>
      </c>
      <c r="H761" s="1303">
        <v>0.32798305317667398</v>
      </c>
      <c r="I761" s="1288">
        <v>9.2811659051954307E-2</v>
      </c>
      <c r="J761" s="1306">
        <v>8.0658954425346902E-2</v>
      </c>
      <c r="K761" s="1303">
        <v>5.9561670564616497E-3</v>
      </c>
      <c r="L761" s="1288">
        <v>1.27044599233407E-3</v>
      </c>
      <c r="M761" s="1306">
        <v>5.5733569365866095E-4</v>
      </c>
      <c r="N761" s="1303">
        <v>7.16551310923072E-3</v>
      </c>
      <c r="O761" s="1288">
        <v>2.4607874227618501E-3</v>
      </c>
      <c r="P761" s="1288">
        <v>7.1839211312385801E-3</v>
      </c>
      <c r="Q761" s="1306">
        <v>8.7337429995912007E-3</v>
      </c>
      <c r="R761" s="1303">
        <v>3.84644305177919E-2</v>
      </c>
      <c r="S761" s="1288">
        <v>3.4914241677813797E-2</v>
      </c>
      <c r="T761" s="1288">
        <v>3.8249559809573001E-2</v>
      </c>
      <c r="U761" s="1306">
        <v>1.9250005517068101E-2</v>
      </c>
      <c r="V761" s="1294">
        <v>6.2254785006549702E-3</v>
      </c>
    </row>
    <row r="762" spans="1:22" s="212" customFormat="1" ht="15.5" x14ac:dyDescent="0.35">
      <c r="A762" s="198">
        <v>2028</v>
      </c>
      <c r="B762" s="197" t="s">
        <v>5833</v>
      </c>
      <c r="C762" s="197">
        <v>2027</v>
      </c>
      <c r="D762" s="225" t="str">
        <f t="shared" si="4"/>
        <v>2028_2027</v>
      </c>
      <c r="E762" s="1231">
        <v>6.9343472211656806E-2</v>
      </c>
      <c r="F762" s="1288">
        <v>4.45180170193129E-3</v>
      </c>
      <c r="G762" s="1306">
        <v>5.8159600205784097E-2</v>
      </c>
      <c r="H762" s="1303">
        <v>0.393663576410273</v>
      </c>
      <c r="I762" s="1288">
        <v>4.5518925255779802E-2</v>
      </c>
      <c r="J762" s="1306">
        <v>9.5360852716032896E-2</v>
      </c>
      <c r="K762" s="1303">
        <v>6.6223155243791904E-3</v>
      </c>
      <c r="L762" s="1288">
        <v>1.11546027982634E-3</v>
      </c>
      <c r="M762" s="1306">
        <v>5.1426962168762405E-4</v>
      </c>
      <c r="N762" s="1303">
        <v>7.8504628206927992E-3</v>
      </c>
      <c r="O762" s="1288">
        <v>2.17493873998496E-3</v>
      </c>
      <c r="P762" s="1288">
        <v>7.80439062381625E-3</v>
      </c>
      <c r="Q762" s="1306">
        <v>7.9141820106778307E-3</v>
      </c>
      <c r="R762" s="1303">
        <v>3.8361482315821302E-2</v>
      </c>
      <c r="S762" s="1288">
        <v>3.30133479373474E-2</v>
      </c>
      <c r="T762" s="1288">
        <v>3.8362517854726101E-2</v>
      </c>
      <c r="U762" s="1306">
        <v>1.9250005517068101E-2</v>
      </c>
      <c r="V762" s="1294">
        <v>6.9217472463017002E-3</v>
      </c>
    </row>
    <row r="763" spans="1:22" s="212" customFormat="1" ht="15.5" x14ac:dyDescent="0.35">
      <c r="A763" s="198">
        <v>2028</v>
      </c>
      <c r="B763" s="197" t="s">
        <v>5833</v>
      </c>
      <c r="C763" s="197">
        <v>2028</v>
      </c>
      <c r="D763" s="225" t="str">
        <f t="shared" si="4"/>
        <v>2028_2028</v>
      </c>
      <c r="E763" s="1231">
        <v>6.5740595182347303E-2</v>
      </c>
      <c r="F763" s="1288">
        <v>8.3222941800480503E-3</v>
      </c>
      <c r="G763" s="1306">
        <v>5.8273428755764897E-2</v>
      </c>
      <c r="H763" s="1303">
        <v>0.35962953985162799</v>
      </c>
      <c r="I763" s="1288">
        <v>5.9769470179022802E-2</v>
      </c>
      <c r="J763" s="1306">
        <v>9.7552336090407601E-2</v>
      </c>
      <c r="K763" s="1303">
        <v>6.5204686401617003E-3</v>
      </c>
      <c r="L763" s="1288">
        <v>1.3043103434226E-3</v>
      </c>
      <c r="M763" s="1306">
        <v>6.0868989260482299E-4</v>
      </c>
      <c r="N763" s="1303">
        <v>7.7712270796596403E-3</v>
      </c>
      <c r="O763" s="1288">
        <v>2.3743079061995099E-3</v>
      </c>
      <c r="P763" s="1288">
        <v>7.7308208824048898E-3</v>
      </c>
      <c r="Q763" s="1306">
        <v>7.9427433315009295E-3</v>
      </c>
      <c r="R763" s="1303">
        <v>3.8463848921908399E-2</v>
      </c>
      <c r="S763" s="1288">
        <v>3.4339152892674203E-2</v>
      </c>
      <c r="T763" s="1288">
        <v>3.8062585947839199E-2</v>
      </c>
      <c r="U763" s="1306">
        <v>1.9250005517068101E-2</v>
      </c>
      <c r="V763" s="1294">
        <v>6.8152952979187399E-3</v>
      </c>
    </row>
    <row r="764" spans="1:22" s="212" customFormat="1" ht="15.5" x14ac:dyDescent="0.35">
      <c r="A764" s="198">
        <v>2028</v>
      </c>
      <c r="B764" s="197" t="s">
        <v>5833</v>
      </c>
      <c r="C764" s="197">
        <v>2029</v>
      </c>
      <c r="D764" s="225" t="str">
        <f t="shared" si="4"/>
        <v>2028_2029</v>
      </c>
      <c r="E764" s="1226">
        <v>6.5740595182347303E-2</v>
      </c>
      <c r="F764" s="1257">
        <v>8.3222941800480503E-3</v>
      </c>
      <c r="G764" s="1280">
        <v>5.8273428755764897E-2</v>
      </c>
      <c r="H764" s="1271">
        <v>0.35962953985162799</v>
      </c>
      <c r="I764" s="1257">
        <v>5.9769470179022802E-2</v>
      </c>
      <c r="J764" s="1280">
        <v>9.7552336090407601E-2</v>
      </c>
      <c r="K764" s="1271">
        <v>6.5204686401617003E-3</v>
      </c>
      <c r="L764" s="1257">
        <v>1.3043103434226E-3</v>
      </c>
      <c r="M764" s="1280">
        <v>6.0868989260482299E-4</v>
      </c>
      <c r="N764" s="1271">
        <v>7.7712270796596403E-3</v>
      </c>
      <c r="O764" s="1257">
        <v>2.3743079061995099E-3</v>
      </c>
      <c r="P764" s="1257">
        <v>7.7308208824048898E-3</v>
      </c>
      <c r="Q764" s="1280">
        <v>7.9427433315009295E-3</v>
      </c>
      <c r="R764" s="1271">
        <v>3.8463848921908399E-2</v>
      </c>
      <c r="S764" s="1257">
        <v>3.4339152892674203E-2</v>
      </c>
      <c r="T764" s="1257">
        <v>3.8062585947839199E-2</v>
      </c>
      <c r="U764" s="1280">
        <v>1.9250005517068101E-2</v>
      </c>
      <c r="V764" s="1293">
        <v>6.8152952979187399E-3</v>
      </c>
    </row>
    <row r="765" spans="1:22" s="212" customFormat="1" ht="15.5" x14ac:dyDescent="0.35">
      <c r="A765" s="198">
        <v>2029</v>
      </c>
      <c r="B765" s="197" t="s">
        <v>5833</v>
      </c>
      <c r="C765" s="197">
        <v>1971</v>
      </c>
      <c r="D765" s="225" t="str">
        <f t="shared" si="4"/>
        <v>2029_1971</v>
      </c>
      <c r="E765" s="1226">
        <v>7.1422458189629695E-2</v>
      </c>
      <c r="F765" s="1257">
        <v>1.8439654318977101E-2</v>
      </c>
      <c r="G765" s="1280">
        <v>2.43906089416287E-2</v>
      </c>
      <c r="H765" s="1271">
        <v>0.41395580878923599</v>
      </c>
      <c r="I765" s="1257">
        <v>0.45618683922881298</v>
      </c>
      <c r="J765" s="1280">
        <v>0.76884959759976301</v>
      </c>
      <c r="K765" s="1271">
        <v>6.9613396009679702E-3</v>
      </c>
      <c r="L765" s="1257">
        <v>1.3396072330527299E-3</v>
      </c>
      <c r="M765" s="1280">
        <v>2.1634448305848101E-4</v>
      </c>
      <c r="N765" s="1271">
        <v>8.3420760758505502E-3</v>
      </c>
      <c r="O765" s="1257">
        <v>3.0000008598028201E-3</v>
      </c>
      <c r="P765" s="1257">
        <v>8.0249800962949192E-3</v>
      </c>
      <c r="Q765" s="1280">
        <v>8.3420760758505502E-3</v>
      </c>
      <c r="R765" s="1271">
        <v>3.8500011034136201E-2</v>
      </c>
      <c r="S765" s="1257">
        <v>3.8500011034136201E-2</v>
      </c>
      <c r="T765" s="1257">
        <v>3.8500011034136201E-2</v>
      </c>
      <c r="U765" s="1280">
        <v>1.9250005517068101E-2</v>
      </c>
      <c r="V765" s="1293">
        <v>7.2761004872367698E-3</v>
      </c>
    </row>
    <row r="766" spans="1:22" s="212" customFormat="1" ht="15.5" x14ac:dyDescent="0.35">
      <c r="A766" s="198">
        <v>2029</v>
      </c>
      <c r="B766" s="197" t="s">
        <v>5833</v>
      </c>
      <c r="C766" s="197">
        <v>1972</v>
      </c>
      <c r="D766" s="225" t="str">
        <f t="shared" si="4"/>
        <v>2029_1972</v>
      </c>
      <c r="E766" s="1226">
        <v>7.1422458189629695E-2</v>
      </c>
      <c r="F766" s="1257">
        <v>1.8439654318977101E-2</v>
      </c>
      <c r="G766" s="1280">
        <v>2.43906089416287E-2</v>
      </c>
      <c r="H766" s="1271">
        <v>0.41395580878923599</v>
      </c>
      <c r="I766" s="1257">
        <v>0.45618683922881298</v>
      </c>
      <c r="J766" s="1280">
        <v>0.76884959759976301</v>
      </c>
      <c r="K766" s="1271">
        <v>6.9613396009679702E-3</v>
      </c>
      <c r="L766" s="1257">
        <v>1.3396072330527299E-3</v>
      </c>
      <c r="M766" s="1280">
        <v>2.1634448305848101E-4</v>
      </c>
      <c r="N766" s="1271">
        <v>8.3420760758505502E-3</v>
      </c>
      <c r="O766" s="1257">
        <v>3.0000008598028201E-3</v>
      </c>
      <c r="P766" s="1257">
        <v>8.0249800962949192E-3</v>
      </c>
      <c r="Q766" s="1280">
        <v>8.3420760758505502E-3</v>
      </c>
      <c r="R766" s="1271">
        <v>3.8500011034136201E-2</v>
      </c>
      <c r="S766" s="1257">
        <v>3.8500011034136201E-2</v>
      </c>
      <c r="T766" s="1257">
        <v>3.8500011034136201E-2</v>
      </c>
      <c r="U766" s="1280">
        <v>1.9250005517068101E-2</v>
      </c>
      <c r="V766" s="1293">
        <v>7.2761004872367698E-3</v>
      </c>
    </row>
    <row r="767" spans="1:22" s="212" customFormat="1" ht="15.5" x14ac:dyDescent="0.35">
      <c r="A767" s="198">
        <v>2029</v>
      </c>
      <c r="B767" s="197" t="s">
        <v>5833</v>
      </c>
      <c r="C767" s="197">
        <v>1973</v>
      </c>
      <c r="D767" s="225" t="str">
        <f t="shared" si="4"/>
        <v>2029_1973</v>
      </c>
      <c r="E767" s="1226">
        <v>7.1422458189629695E-2</v>
      </c>
      <c r="F767" s="1257">
        <v>1.8439654318977101E-2</v>
      </c>
      <c r="G767" s="1280">
        <v>2.43906089416287E-2</v>
      </c>
      <c r="H767" s="1271">
        <v>0.41395580878923599</v>
      </c>
      <c r="I767" s="1257">
        <v>0.45618683922881298</v>
      </c>
      <c r="J767" s="1280">
        <v>0.76884959759976301</v>
      </c>
      <c r="K767" s="1271">
        <v>6.9613396009679702E-3</v>
      </c>
      <c r="L767" s="1257">
        <v>1.3396072330527299E-3</v>
      </c>
      <c r="M767" s="1280">
        <v>2.1634448305848101E-4</v>
      </c>
      <c r="N767" s="1271">
        <v>8.3420760758505502E-3</v>
      </c>
      <c r="O767" s="1257">
        <v>3.0000008598028201E-3</v>
      </c>
      <c r="P767" s="1257">
        <v>8.0249800962949192E-3</v>
      </c>
      <c r="Q767" s="1280">
        <v>8.3420760758505502E-3</v>
      </c>
      <c r="R767" s="1271">
        <v>3.8500011034136201E-2</v>
      </c>
      <c r="S767" s="1257">
        <v>3.8500011034136201E-2</v>
      </c>
      <c r="T767" s="1257">
        <v>3.8500011034136201E-2</v>
      </c>
      <c r="U767" s="1280">
        <v>1.9250005517068101E-2</v>
      </c>
      <c r="V767" s="1293">
        <v>7.2761004872367698E-3</v>
      </c>
    </row>
    <row r="768" spans="1:22" s="212" customFormat="1" ht="15.5" x14ac:dyDescent="0.35">
      <c r="A768" s="198">
        <v>2029</v>
      </c>
      <c r="B768" s="197" t="s">
        <v>5833</v>
      </c>
      <c r="C768" s="197">
        <v>1974</v>
      </c>
      <c r="D768" s="225" t="str">
        <f t="shared" si="4"/>
        <v>2029_1974</v>
      </c>
      <c r="E768" s="1226">
        <v>7.1422458189629695E-2</v>
      </c>
      <c r="F768" s="1257">
        <v>1.8439654318977101E-2</v>
      </c>
      <c r="G768" s="1280">
        <v>2.43906089416287E-2</v>
      </c>
      <c r="H768" s="1271">
        <v>0.41395580878923599</v>
      </c>
      <c r="I768" s="1257">
        <v>0.45618683922881298</v>
      </c>
      <c r="J768" s="1280">
        <v>0.76884959759976301</v>
      </c>
      <c r="K768" s="1271">
        <v>6.9613396009679702E-3</v>
      </c>
      <c r="L768" s="1257">
        <v>1.3396072330527299E-3</v>
      </c>
      <c r="M768" s="1280">
        <v>2.1634448305848101E-4</v>
      </c>
      <c r="N768" s="1271">
        <v>8.3420760758505502E-3</v>
      </c>
      <c r="O768" s="1257">
        <v>3.0000008598028201E-3</v>
      </c>
      <c r="P768" s="1257">
        <v>8.0249800962949192E-3</v>
      </c>
      <c r="Q768" s="1280">
        <v>8.3420760758505502E-3</v>
      </c>
      <c r="R768" s="1271">
        <v>3.8500011034136201E-2</v>
      </c>
      <c r="S768" s="1257">
        <v>3.8500011034136201E-2</v>
      </c>
      <c r="T768" s="1257">
        <v>3.8500011034136201E-2</v>
      </c>
      <c r="U768" s="1280">
        <v>1.9250005517068101E-2</v>
      </c>
      <c r="V768" s="1293">
        <v>7.2761004872367698E-3</v>
      </c>
    </row>
    <row r="769" spans="1:22" s="212" customFormat="1" ht="15.5" x14ac:dyDescent="0.35">
      <c r="A769" s="198">
        <v>2029</v>
      </c>
      <c r="B769" s="197" t="s">
        <v>5833</v>
      </c>
      <c r="C769" s="197">
        <v>1975</v>
      </c>
      <c r="D769" s="225" t="str">
        <f t="shared" si="4"/>
        <v>2029_1975</v>
      </c>
      <c r="E769" s="1226">
        <v>7.1422458189629695E-2</v>
      </c>
      <c r="F769" s="1257">
        <v>1.8439654318977101E-2</v>
      </c>
      <c r="G769" s="1280">
        <v>2.43906089416287E-2</v>
      </c>
      <c r="H769" s="1271">
        <v>0.41395580878923599</v>
      </c>
      <c r="I769" s="1257">
        <v>0.45618683922881298</v>
      </c>
      <c r="J769" s="1280">
        <v>0.76884959759976301</v>
      </c>
      <c r="K769" s="1271">
        <v>6.9613396009679702E-3</v>
      </c>
      <c r="L769" s="1257">
        <v>1.3396072330527299E-3</v>
      </c>
      <c r="M769" s="1280">
        <v>2.1634448305848101E-4</v>
      </c>
      <c r="N769" s="1271">
        <v>8.3420760758505502E-3</v>
      </c>
      <c r="O769" s="1257">
        <v>3.0000008598028201E-3</v>
      </c>
      <c r="P769" s="1257">
        <v>8.0249800962949192E-3</v>
      </c>
      <c r="Q769" s="1280">
        <v>8.3420760758505502E-3</v>
      </c>
      <c r="R769" s="1271">
        <v>3.8500011034136201E-2</v>
      </c>
      <c r="S769" s="1257">
        <v>3.8500011034136201E-2</v>
      </c>
      <c r="T769" s="1257">
        <v>3.8500011034136201E-2</v>
      </c>
      <c r="U769" s="1280">
        <v>1.9250005517068101E-2</v>
      </c>
      <c r="V769" s="1293">
        <v>7.2761004872367698E-3</v>
      </c>
    </row>
    <row r="770" spans="1:22" s="212" customFormat="1" ht="15.5" x14ac:dyDescent="0.35">
      <c r="A770" s="198">
        <v>2029</v>
      </c>
      <c r="B770" s="197" t="s">
        <v>5833</v>
      </c>
      <c r="C770" s="197">
        <v>1976</v>
      </c>
      <c r="D770" s="225" t="str">
        <f t="shared" si="4"/>
        <v>2029_1976</v>
      </c>
      <c r="E770" s="1226">
        <v>7.1422458189629695E-2</v>
      </c>
      <c r="F770" s="1257">
        <v>1.8439654318977101E-2</v>
      </c>
      <c r="G770" s="1280">
        <v>2.43906089416287E-2</v>
      </c>
      <c r="H770" s="1271">
        <v>0.41395580878923599</v>
      </c>
      <c r="I770" s="1257">
        <v>0.45618683922881298</v>
      </c>
      <c r="J770" s="1280">
        <v>0.76884959759976301</v>
      </c>
      <c r="K770" s="1271">
        <v>6.9613396009679702E-3</v>
      </c>
      <c r="L770" s="1257">
        <v>1.3396072330527299E-3</v>
      </c>
      <c r="M770" s="1280">
        <v>2.1634448305848101E-4</v>
      </c>
      <c r="N770" s="1271">
        <v>8.3420760758505502E-3</v>
      </c>
      <c r="O770" s="1257">
        <v>3.0000008598028201E-3</v>
      </c>
      <c r="P770" s="1257">
        <v>8.0249800962949192E-3</v>
      </c>
      <c r="Q770" s="1280">
        <v>8.3420760758505502E-3</v>
      </c>
      <c r="R770" s="1271">
        <v>3.8500011034136201E-2</v>
      </c>
      <c r="S770" s="1257">
        <v>3.8500011034136201E-2</v>
      </c>
      <c r="T770" s="1257">
        <v>3.8500011034136201E-2</v>
      </c>
      <c r="U770" s="1280">
        <v>1.9250005517068101E-2</v>
      </c>
      <c r="V770" s="1293">
        <v>7.2761004872367698E-3</v>
      </c>
    </row>
    <row r="771" spans="1:22" s="212" customFormat="1" ht="15.5" x14ac:dyDescent="0.35">
      <c r="A771" s="198">
        <v>2029</v>
      </c>
      <c r="B771" s="197" t="s">
        <v>5833</v>
      </c>
      <c r="C771" s="197">
        <v>1977</v>
      </c>
      <c r="D771" s="225" t="str">
        <f t="shared" si="4"/>
        <v>2029_1977</v>
      </c>
      <c r="E771" s="1226">
        <v>7.1422458189629695E-2</v>
      </c>
      <c r="F771" s="1257">
        <v>1.8439654318977101E-2</v>
      </c>
      <c r="G771" s="1280">
        <v>2.43906089416287E-2</v>
      </c>
      <c r="H771" s="1271">
        <v>0.41395580878923599</v>
      </c>
      <c r="I771" s="1257">
        <v>0.45618683922881298</v>
      </c>
      <c r="J771" s="1280">
        <v>0.76884959759976301</v>
      </c>
      <c r="K771" s="1271">
        <v>6.9613396009679702E-3</v>
      </c>
      <c r="L771" s="1257">
        <v>1.3396072330527299E-3</v>
      </c>
      <c r="M771" s="1280">
        <v>2.1634448305848101E-4</v>
      </c>
      <c r="N771" s="1271">
        <v>8.3420760758505502E-3</v>
      </c>
      <c r="O771" s="1257">
        <v>3.0000008598028201E-3</v>
      </c>
      <c r="P771" s="1257">
        <v>8.0249800962949192E-3</v>
      </c>
      <c r="Q771" s="1280">
        <v>8.3420760758505502E-3</v>
      </c>
      <c r="R771" s="1271">
        <v>3.8500011034136201E-2</v>
      </c>
      <c r="S771" s="1257">
        <v>3.8500011034136201E-2</v>
      </c>
      <c r="T771" s="1257">
        <v>3.8500011034136201E-2</v>
      </c>
      <c r="U771" s="1280">
        <v>1.9250005517068101E-2</v>
      </c>
      <c r="V771" s="1293">
        <v>7.2761004872367698E-3</v>
      </c>
    </row>
    <row r="772" spans="1:22" s="212" customFormat="1" ht="15.5" x14ac:dyDescent="0.35">
      <c r="A772" s="198">
        <v>2029</v>
      </c>
      <c r="B772" s="197" t="s">
        <v>5833</v>
      </c>
      <c r="C772" s="197">
        <v>1978</v>
      </c>
      <c r="D772" s="225" t="str">
        <f t="shared" si="4"/>
        <v>2029_1978</v>
      </c>
      <c r="E772" s="1226">
        <v>7.1422458189629695E-2</v>
      </c>
      <c r="F772" s="1257">
        <v>1.8439654318977101E-2</v>
      </c>
      <c r="G772" s="1280">
        <v>2.43906089416287E-2</v>
      </c>
      <c r="H772" s="1271">
        <v>0.41395580878923599</v>
      </c>
      <c r="I772" s="1257">
        <v>0.45618683922881298</v>
      </c>
      <c r="J772" s="1280">
        <v>0.76884959759976301</v>
      </c>
      <c r="K772" s="1271">
        <v>6.9613396009679702E-3</v>
      </c>
      <c r="L772" s="1257">
        <v>1.3396072330527299E-3</v>
      </c>
      <c r="M772" s="1280">
        <v>2.1634448305848101E-4</v>
      </c>
      <c r="N772" s="1271">
        <v>8.3420760758505502E-3</v>
      </c>
      <c r="O772" s="1257">
        <v>3.0000008598028201E-3</v>
      </c>
      <c r="P772" s="1257">
        <v>8.0249800962949192E-3</v>
      </c>
      <c r="Q772" s="1280">
        <v>8.3420760758505502E-3</v>
      </c>
      <c r="R772" s="1271">
        <v>3.8500011034136201E-2</v>
      </c>
      <c r="S772" s="1257">
        <v>3.8500011034136201E-2</v>
      </c>
      <c r="T772" s="1257">
        <v>3.8500011034136201E-2</v>
      </c>
      <c r="U772" s="1280">
        <v>1.9250005517068101E-2</v>
      </c>
      <c r="V772" s="1293">
        <v>7.2761004872367698E-3</v>
      </c>
    </row>
    <row r="773" spans="1:22" s="212" customFormat="1" ht="15.5" x14ac:dyDescent="0.35">
      <c r="A773" s="198">
        <v>2029</v>
      </c>
      <c r="B773" s="197" t="s">
        <v>5833</v>
      </c>
      <c r="C773" s="197">
        <v>1979</v>
      </c>
      <c r="D773" s="225" t="str">
        <f t="shared" si="4"/>
        <v>2029_1979</v>
      </c>
      <c r="E773" s="1226">
        <v>7.1422458189629695E-2</v>
      </c>
      <c r="F773" s="1257">
        <v>1.8439654318977101E-2</v>
      </c>
      <c r="G773" s="1280">
        <v>2.43906089416287E-2</v>
      </c>
      <c r="H773" s="1271">
        <v>0.41395580878923599</v>
      </c>
      <c r="I773" s="1257">
        <v>0.45618683922881298</v>
      </c>
      <c r="J773" s="1280">
        <v>0.76884959759976301</v>
      </c>
      <c r="K773" s="1271">
        <v>6.9613396009679702E-3</v>
      </c>
      <c r="L773" s="1257">
        <v>1.3396072330527299E-3</v>
      </c>
      <c r="M773" s="1280">
        <v>2.1634448305848101E-4</v>
      </c>
      <c r="N773" s="1271">
        <v>8.3420760758505502E-3</v>
      </c>
      <c r="O773" s="1257">
        <v>3.0000008598028201E-3</v>
      </c>
      <c r="P773" s="1257">
        <v>8.0249800962949192E-3</v>
      </c>
      <c r="Q773" s="1280">
        <v>8.3420760758505502E-3</v>
      </c>
      <c r="R773" s="1271">
        <v>3.8500011034136201E-2</v>
      </c>
      <c r="S773" s="1257">
        <v>3.8500011034136201E-2</v>
      </c>
      <c r="T773" s="1257">
        <v>3.8500011034136201E-2</v>
      </c>
      <c r="U773" s="1280">
        <v>1.9250005517068101E-2</v>
      </c>
      <c r="V773" s="1293">
        <v>7.2761004872367698E-3</v>
      </c>
    </row>
    <row r="774" spans="1:22" s="212" customFormat="1" ht="15.5" x14ac:dyDescent="0.35">
      <c r="A774" s="198">
        <v>2029</v>
      </c>
      <c r="B774" s="197" t="s">
        <v>5833</v>
      </c>
      <c r="C774" s="197">
        <v>1980</v>
      </c>
      <c r="D774" s="225" t="str">
        <f t="shared" si="4"/>
        <v>2029_1980</v>
      </c>
      <c r="E774" s="1226">
        <v>7.1422458189629695E-2</v>
      </c>
      <c r="F774" s="1257">
        <v>1.8439654318977101E-2</v>
      </c>
      <c r="G774" s="1280">
        <v>2.43906089416287E-2</v>
      </c>
      <c r="H774" s="1271">
        <v>0.41395580878923599</v>
      </c>
      <c r="I774" s="1257">
        <v>0.45618683922881298</v>
      </c>
      <c r="J774" s="1280">
        <v>0.76884959759976301</v>
      </c>
      <c r="K774" s="1271">
        <v>6.9613396009679702E-3</v>
      </c>
      <c r="L774" s="1257">
        <v>1.3396072330527299E-3</v>
      </c>
      <c r="M774" s="1280">
        <v>2.1634448305848101E-4</v>
      </c>
      <c r="N774" s="1271">
        <v>8.3420760758505502E-3</v>
      </c>
      <c r="O774" s="1257">
        <v>3.0000008598028201E-3</v>
      </c>
      <c r="P774" s="1257">
        <v>8.0249800962949192E-3</v>
      </c>
      <c r="Q774" s="1280">
        <v>8.3420760758505502E-3</v>
      </c>
      <c r="R774" s="1271">
        <v>3.8500011034136201E-2</v>
      </c>
      <c r="S774" s="1257">
        <v>3.8500011034136201E-2</v>
      </c>
      <c r="T774" s="1257">
        <v>3.8500011034136201E-2</v>
      </c>
      <c r="U774" s="1280">
        <v>1.9250005517068101E-2</v>
      </c>
      <c r="V774" s="1293">
        <v>7.2761004872367698E-3</v>
      </c>
    </row>
    <row r="775" spans="1:22" s="212" customFormat="1" ht="15.5" x14ac:dyDescent="0.35">
      <c r="A775" s="198">
        <v>2029</v>
      </c>
      <c r="B775" s="197" t="s">
        <v>5833</v>
      </c>
      <c r="C775" s="197">
        <v>1981</v>
      </c>
      <c r="D775" s="225" t="str">
        <f t="shared" si="4"/>
        <v>2029_1981</v>
      </c>
      <c r="E775" s="1226">
        <v>7.1422458189629695E-2</v>
      </c>
      <c r="F775" s="1257">
        <v>1.8439654318977101E-2</v>
      </c>
      <c r="G775" s="1280">
        <v>2.43906089416287E-2</v>
      </c>
      <c r="H775" s="1271">
        <v>0.41395580878923599</v>
      </c>
      <c r="I775" s="1257">
        <v>0.45618683922881298</v>
      </c>
      <c r="J775" s="1280">
        <v>0.76884959759976301</v>
      </c>
      <c r="K775" s="1271">
        <v>6.9613396009679702E-3</v>
      </c>
      <c r="L775" s="1257">
        <v>1.3396072330527299E-3</v>
      </c>
      <c r="M775" s="1280">
        <v>2.1634448305848101E-4</v>
      </c>
      <c r="N775" s="1271">
        <v>8.3420760758505502E-3</v>
      </c>
      <c r="O775" s="1257">
        <v>3.0000008598028201E-3</v>
      </c>
      <c r="P775" s="1257">
        <v>8.0249800962949192E-3</v>
      </c>
      <c r="Q775" s="1280">
        <v>8.3420760758505502E-3</v>
      </c>
      <c r="R775" s="1271">
        <v>3.8500011034136201E-2</v>
      </c>
      <c r="S775" s="1257">
        <v>3.8500011034136201E-2</v>
      </c>
      <c r="T775" s="1257">
        <v>3.8500011034136201E-2</v>
      </c>
      <c r="U775" s="1280">
        <v>1.9250005517068101E-2</v>
      </c>
      <c r="V775" s="1293">
        <v>7.2761004872367698E-3</v>
      </c>
    </row>
    <row r="776" spans="1:22" s="212" customFormat="1" ht="15.5" x14ac:dyDescent="0.35">
      <c r="A776" s="198">
        <v>2029</v>
      </c>
      <c r="B776" s="197" t="s">
        <v>5833</v>
      </c>
      <c r="C776" s="197">
        <v>1982</v>
      </c>
      <c r="D776" s="225" t="str">
        <f t="shared" si="4"/>
        <v>2029_1982</v>
      </c>
      <c r="E776" s="1226">
        <v>7.1422458189629695E-2</v>
      </c>
      <c r="F776" s="1257">
        <v>1.8439654318977101E-2</v>
      </c>
      <c r="G776" s="1280">
        <v>2.43906089416287E-2</v>
      </c>
      <c r="H776" s="1271">
        <v>0.41395580878923599</v>
      </c>
      <c r="I776" s="1257">
        <v>0.45618683922881298</v>
      </c>
      <c r="J776" s="1280">
        <v>0.76884959759976301</v>
      </c>
      <c r="K776" s="1271">
        <v>6.9613396009679702E-3</v>
      </c>
      <c r="L776" s="1257">
        <v>1.3396072330527299E-3</v>
      </c>
      <c r="M776" s="1280">
        <v>2.1634448305848101E-4</v>
      </c>
      <c r="N776" s="1271">
        <v>8.3420760758505502E-3</v>
      </c>
      <c r="O776" s="1257">
        <v>3.0000008598028201E-3</v>
      </c>
      <c r="P776" s="1257">
        <v>8.0249800962949192E-3</v>
      </c>
      <c r="Q776" s="1280">
        <v>8.3420760758505502E-3</v>
      </c>
      <c r="R776" s="1271">
        <v>3.8500011034136201E-2</v>
      </c>
      <c r="S776" s="1257">
        <v>3.8500011034136201E-2</v>
      </c>
      <c r="T776" s="1257">
        <v>3.8500011034136201E-2</v>
      </c>
      <c r="U776" s="1280">
        <v>1.9250005517068101E-2</v>
      </c>
      <c r="V776" s="1293">
        <v>7.2761004872367698E-3</v>
      </c>
    </row>
    <row r="777" spans="1:22" s="212" customFormat="1" ht="15.5" x14ac:dyDescent="0.35">
      <c r="A777" s="198">
        <v>2029</v>
      </c>
      <c r="B777" s="197" t="s">
        <v>5833</v>
      </c>
      <c r="C777" s="197">
        <v>1983</v>
      </c>
      <c r="D777" s="225" t="str">
        <f t="shared" si="4"/>
        <v>2029_1983</v>
      </c>
      <c r="E777" s="1226">
        <v>7.1422458189629695E-2</v>
      </c>
      <c r="F777" s="1257">
        <v>1.8439654318977101E-2</v>
      </c>
      <c r="G777" s="1280">
        <v>2.43906089416287E-2</v>
      </c>
      <c r="H777" s="1271">
        <v>0.41395580878923599</v>
      </c>
      <c r="I777" s="1257">
        <v>0.45618683922881298</v>
      </c>
      <c r="J777" s="1280">
        <v>0.76884959759976301</v>
      </c>
      <c r="K777" s="1271">
        <v>6.9613396009679702E-3</v>
      </c>
      <c r="L777" s="1257">
        <v>1.3396072330527299E-3</v>
      </c>
      <c r="M777" s="1280">
        <v>2.1634448305848101E-4</v>
      </c>
      <c r="N777" s="1271">
        <v>8.3420760758505502E-3</v>
      </c>
      <c r="O777" s="1257">
        <v>3.0000008598028201E-3</v>
      </c>
      <c r="P777" s="1257">
        <v>8.0249800962949192E-3</v>
      </c>
      <c r="Q777" s="1280">
        <v>8.3420760758505502E-3</v>
      </c>
      <c r="R777" s="1271">
        <v>3.8500011034136201E-2</v>
      </c>
      <c r="S777" s="1257">
        <v>3.8500011034136201E-2</v>
      </c>
      <c r="T777" s="1257">
        <v>3.8500011034136201E-2</v>
      </c>
      <c r="U777" s="1280">
        <v>1.9250005517068101E-2</v>
      </c>
      <c r="V777" s="1293">
        <v>7.2761004872367698E-3</v>
      </c>
    </row>
    <row r="778" spans="1:22" s="212" customFormat="1" ht="15.5" x14ac:dyDescent="0.35">
      <c r="A778" s="198">
        <v>2029</v>
      </c>
      <c r="B778" s="197" t="s">
        <v>5833</v>
      </c>
      <c r="C778" s="197">
        <v>1984</v>
      </c>
      <c r="D778" s="225" t="str">
        <f t="shared" si="4"/>
        <v>2029_1984</v>
      </c>
      <c r="E778" s="1226">
        <v>7.1422458189629695E-2</v>
      </c>
      <c r="F778" s="1257">
        <v>1.8439654318977101E-2</v>
      </c>
      <c r="G778" s="1280">
        <v>2.43906089416287E-2</v>
      </c>
      <c r="H778" s="1271">
        <v>0.41395580878923599</v>
      </c>
      <c r="I778" s="1257">
        <v>0.45618683922881298</v>
      </c>
      <c r="J778" s="1280">
        <v>0.76884959759976301</v>
      </c>
      <c r="K778" s="1271">
        <v>6.9613396009679702E-3</v>
      </c>
      <c r="L778" s="1257">
        <v>1.3396072330527299E-3</v>
      </c>
      <c r="M778" s="1280">
        <v>2.1634448305848101E-4</v>
      </c>
      <c r="N778" s="1271">
        <v>8.3420760758505502E-3</v>
      </c>
      <c r="O778" s="1257">
        <v>3.0000008598028201E-3</v>
      </c>
      <c r="P778" s="1257">
        <v>8.0249800962949192E-3</v>
      </c>
      <c r="Q778" s="1280">
        <v>8.3420760758505502E-3</v>
      </c>
      <c r="R778" s="1271">
        <v>3.8500011034136201E-2</v>
      </c>
      <c r="S778" s="1257">
        <v>3.8500011034136201E-2</v>
      </c>
      <c r="T778" s="1257">
        <v>3.8500011034136201E-2</v>
      </c>
      <c r="U778" s="1280">
        <v>1.9250005517068101E-2</v>
      </c>
      <c r="V778" s="1293">
        <v>7.2761004872367698E-3</v>
      </c>
    </row>
    <row r="779" spans="1:22" s="212" customFormat="1" ht="15.5" x14ac:dyDescent="0.35">
      <c r="A779" s="198">
        <v>2029</v>
      </c>
      <c r="B779" s="197" t="s">
        <v>5833</v>
      </c>
      <c r="C779" s="197">
        <v>1985</v>
      </c>
      <c r="D779" s="225" t="str">
        <f t="shared" si="4"/>
        <v>2029_1985</v>
      </c>
      <c r="E779" s="1226">
        <v>7.1422458189629695E-2</v>
      </c>
      <c r="F779" s="1257">
        <v>1.8439654318977101E-2</v>
      </c>
      <c r="G779" s="1280">
        <v>2.43906089416287E-2</v>
      </c>
      <c r="H779" s="1271">
        <v>0.41395580878923599</v>
      </c>
      <c r="I779" s="1257">
        <v>0.45618683922881298</v>
      </c>
      <c r="J779" s="1280">
        <v>0.76884959759976301</v>
      </c>
      <c r="K779" s="1271">
        <v>6.9613396009679702E-3</v>
      </c>
      <c r="L779" s="1257">
        <v>1.3396072330527299E-3</v>
      </c>
      <c r="M779" s="1280">
        <v>2.1634448305848101E-4</v>
      </c>
      <c r="N779" s="1271">
        <v>8.3420760758505502E-3</v>
      </c>
      <c r="O779" s="1257">
        <v>3.0000008598028201E-3</v>
      </c>
      <c r="P779" s="1257">
        <v>8.0249800962949192E-3</v>
      </c>
      <c r="Q779" s="1280">
        <v>8.3420760758505502E-3</v>
      </c>
      <c r="R779" s="1271">
        <v>3.8500011034136201E-2</v>
      </c>
      <c r="S779" s="1257">
        <v>3.8500011034136201E-2</v>
      </c>
      <c r="T779" s="1257">
        <v>3.8500011034136201E-2</v>
      </c>
      <c r="U779" s="1280">
        <v>1.9250005517068101E-2</v>
      </c>
      <c r="V779" s="1293">
        <v>7.2761004872367698E-3</v>
      </c>
    </row>
    <row r="780" spans="1:22" s="212" customFormat="1" ht="15.5" x14ac:dyDescent="0.35">
      <c r="A780" s="198">
        <v>2029</v>
      </c>
      <c r="B780" s="197" t="s">
        <v>5833</v>
      </c>
      <c r="C780" s="197">
        <v>1986</v>
      </c>
      <c r="D780" s="225" t="str">
        <f t="shared" si="4"/>
        <v>2029_1986</v>
      </c>
      <c r="E780" s="1226">
        <v>7.1422458189629695E-2</v>
      </c>
      <c r="F780" s="1257">
        <v>1.8439654318977101E-2</v>
      </c>
      <c r="G780" s="1280">
        <v>2.43906089416287E-2</v>
      </c>
      <c r="H780" s="1271">
        <v>0.41395580878923599</v>
      </c>
      <c r="I780" s="1257">
        <v>0.45618683922881298</v>
      </c>
      <c r="J780" s="1280">
        <v>0.76884959759976301</v>
      </c>
      <c r="K780" s="1271">
        <v>6.9613396009679702E-3</v>
      </c>
      <c r="L780" s="1257">
        <v>1.3396072330527299E-3</v>
      </c>
      <c r="M780" s="1280">
        <v>2.1634448305848101E-4</v>
      </c>
      <c r="N780" s="1271">
        <v>8.3420760758505502E-3</v>
      </c>
      <c r="O780" s="1257">
        <v>3.0000008598028201E-3</v>
      </c>
      <c r="P780" s="1257">
        <v>8.0249800962949192E-3</v>
      </c>
      <c r="Q780" s="1280">
        <v>8.3420760758505502E-3</v>
      </c>
      <c r="R780" s="1271">
        <v>3.8500011034136201E-2</v>
      </c>
      <c r="S780" s="1257">
        <v>3.8500011034136201E-2</v>
      </c>
      <c r="T780" s="1257">
        <v>3.8500011034136201E-2</v>
      </c>
      <c r="U780" s="1280">
        <v>1.9250005517068101E-2</v>
      </c>
      <c r="V780" s="1293">
        <v>7.2761004872367698E-3</v>
      </c>
    </row>
    <row r="781" spans="1:22" s="212" customFormat="1" ht="15.5" x14ac:dyDescent="0.35">
      <c r="A781" s="198">
        <v>2029</v>
      </c>
      <c r="B781" s="197" t="s">
        <v>5833</v>
      </c>
      <c r="C781" s="197">
        <v>1987</v>
      </c>
      <c r="D781" s="225" t="str">
        <f t="shared" si="4"/>
        <v>2029_1987</v>
      </c>
      <c r="E781" s="1226">
        <v>7.1422458189629695E-2</v>
      </c>
      <c r="F781" s="1257">
        <v>1.8439654318977101E-2</v>
      </c>
      <c r="G781" s="1280">
        <v>2.43906089416287E-2</v>
      </c>
      <c r="H781" s="1271">
        <v>0.41395580878923599</v>
      </c>
      <c r="I781" s="1257">
        <v>0.45618683922881298</v>
      </c>
      <c r="J781" s="1280">
        <v>0.76884959759976301</v>
      </c>
      <c r="K781" s="1271">
        <v>6.9613396009679702E-3</v>
      </c>
      <c r="L781" s="1257">
        <v>1.3396072330527299E-3</v>
      </c>
      <c r="M781" s="1280">
        <v>2.1634448305848101E-4</v>
      </c>
      <c r="N781" s="1271">
        <v>8.3420760758505502E-3</v>
      </c>
      <c r="O781" s="1257">
        <v>3.0000008598028201E-3</v>
      </c>
      <c r="P781" s="1257">
        <v>8.0249800962949192E-3</v>
      </c>
      <c r="Q781" s="1280">
        <v>8.3420760758505502E-3</v>
      </c>
      <c r="R781" s="1271">
        <v>3.8500011034136201E-2</v>
      </c>
      <c r="S781" s="1257">
        <v>3.8500011034136201E-2</v>
      </c>
      <c r="T781" s="1257">
        <v>3.8500011034136201E-2</v>
      </c>
      <c r="U781" s="1280">
        <v>1.9250005517068101E-2</v>
      </c>
      <c r="V781" s="1293">
        <v>7.2761004872367698E-3</v>
      </c>
    </row>
    <row r="782" spans="1:22" s="212" customFormat="1" ht="15.5" x14ac:dyDescent="0.35">
      <c r="A782" s="198">
        <v>2029</v>
      </c>
      <c r="B782" s="197" t="s">
        <v>5833</v>
      </c>
      <c r="C782" s="197">
        <v>1988</v>
      </c>
      <c r="D782" s="225" t="str">
        <f t="shared" si="4"/>
        <v>2029_1988</v>
      </c>
      <c r="E782" s="1226">
        <v>7.1422458189629695E-2</v>
      </c>
      <c r="F782" s="1257">
        <v>1.8439654318977101E-2</v>
      </c>
      <c r="G782" s="1280">
        <v>2.43906089416287E-2</v>
      </c>
      <c r="H782" s="1271">
        <v>0.41395580878923599</v>
      </c>
      <c r="I782" s="1257">
        <v>0.45618683922881298</v>
      </c>
      <c r="J782" s="1280">
        <v>0.76884959759976301</v>
      </c>
      <c r="K782" s="1271">
        <v>6.9613396009679702E-3</v>
      </c>
      <c r="L782" s="1257">
        <v>1.3396072330527299E-3</v>
      </c>
      <c r="M782" s="1280">
        <v>2.1634448305848101E-4</v>
      </c>
      <c r="N782" s="1271">
        <v>8.3420760758505502E-3</v>
      </c>
      <c r="O782" s="1257">
        <v>3.0000008598028201E-3</v>
      </c>
      <c r="P782" s="1257">
        <v>8.0249800962949192E-3</v>
      </c>
      <c r="Q782" s="1280">
        <v>8.3420760758505502E-3</v>
      </c>
      <c r="R782" s="1271">
        <v>3.8500011034136201E-2</v>
      </c>
      <c r="S782" s="1257">
        <v>3.8500011034136201E-2</v>
      </c>
      <c r="T782" s="1257">
        <v>3.8500011034136201E-2</v>
      </c>
      <c r="U782" s="1280">
        <v>1.9250005517068101E-2</v>
      </c>
      <c r="V782" s="1293">
        <v>7.2761004872367698E-3</v>
      </c>
    </row>
    <row r="783" spans="1:22" s="212" customFormat="1" ht="15.5" x14ac:dyDescent="0.35">
      <c r="A783" s="198">
        <v>2029</v>
      </c>
      <c r="B783" s="197" t="s">
        <v>5833</v>
      </c>
      <c r="C783" s="197">
        <v>1989</v>
      </c>
      <c r="D783" s="225" t="str">
        <f t="shared" si="4"/>
        <v>2029_1989</v>
      </c>
      <c r="E783" s="1226">
        <v>7.1422458189629695E-2</v>
      </c>
      <c r="F783" s="1257">
        <v>1.8439654318977101E-2</v>
      </c>
      <c r="G783" s="1280">
        <v>2.43906089416287E-2</v>
      </c>
      <c r="H783" s="1271">
        <v>0.41395580878923599</v>
      </c>
      <c r="I783" s="1257">
        <v>0.45618683922881298</v>
      </c>
      <c r="J783" s="1280">
        <v>0.76884959759976301</v>
      </c>
      <c r="K783" s="1271">
        <v>6.9613396009679702E-3</v>
      </c>
      <c r="L783" s="1257">
        <v>1.3396072330527299E-3</v>
      </c>
      <c r="M783" s="1280">
        <v>2.1634448305848101E-4</v>
      </c>
      <c r="N783" s="1271">
        <v>8.3420760758505502E-3</v>
      </c>
      <c r="O783" s="1257">
        <v>3.0000008598028201E-3</v>
      </c>
      <c r="P783" s="1257">
        <v>8.0249800962949192E-3</v>
      </c>
      <c r="Q783" s="1280">
        <v>8.3420760758505502E-3</v>
      </c>
      <c r="R783" s="1271">
        <v>3.8500011034136201E-2</v>
      </c>
      <c r="S783" s="1257">
        <v>3.8500011034136201E-2</v>
      </c>
      <c r="T783" s="1257">
        <v>3.8500011034136201E-2</v>
      </c>
      <c r="U783" s="1280">
        <v>1.9250005517068101E-2</v>
      </c>
      <c r="V783" s="1293">
        <v>7.2761004872367698E-3</v>
      </c>
    </row>
    <row r="784" spans="1:22" s="212" customFormat="1" ht="15.5" x14ac:dyDescent="0.35">
      <c r="A784" s="198">
        <v>2029</v>
      </c>
      <c r="B784" s="197" t="s">
        <v>5833</v>
      </c>
      <c r="C784" s="197">
        <v>1990</v>
      </c>
      <c r="D784" s="225" t="str">
        <f t="shared" si="4"/>
        <v>2029_1990</v>
      </c>
      <c r="E784" s="1226">
        <v>7.1422458189629695E-2</v>
      </c>
      <c r="F784" s="1257">
        <v>1.8439654318977101E-2</v>
      </c>
      <c r="G784" s="1280">
        <v>2.43906089416287E-2</v>
      </c>
      <c r="H784" s="1271">
        <v>0.41395580878923599</v>
      </c>
      <c r="I784" s="1257">
        <v>0.45618683922881298</v>
      </c>
      <c r="J784" s="1280">
        <v>0.76884959759976301</v>
      </c>
      <c r="K784" s="1271">
        <v>6.9613396009679702E-3</v>
      </c>
      <c r="L784" s="1257">
        <v>1.3396072330527299E-3</v>
      </c>
      <c r="M784" s="1280">
        <v>2.1634448305848101E-4</v>
      </c>
      <c r="N784" s="1271">
        <v>8.3420760758505502E-3</v>
      </c>
      <c r="O784" s="1257">
        <v>3.0000008598028201E-3</v>
      </c>
      <c r="P784" s="1257">
        <v>8.0249800962949192E-3</v>
      </c>
      <c r="Q784" s="1280">
        <v>8.3420760758505502E-3</v>
      </c>
      <c r="R784" s="1271">
        <v>3.8500011034136201E-2</v>
      </c>
      <c r="S784" s="1257">
        <v>3.8500011034136201E-2</v>
      </c>
      <c r="T784" s="1257">
        <v>3.8500011034136201E-2</v>
      </c>
      <c r="U784" s="1280">
        <v>1.9250005517068101E-2</v>
      </c>
      <c r="V784" s="1293">
        <v>7.2761004872367698E-3</v>
      </c>
    </row>
    <row r="785" spans="1:22" s="212" customFormat="1" ht="15.5" x14ac:dyDescent="0.35">
      <c r="A785" s="198">
        <v>2029</v>
      </c>
      <c r="B785" s="197" t="s">
        <v>5833</v>
      </c>
      <c r="C785" s="197">
        <v>1991</v>
      </c>
      <c r="D785" s="225" t="str">
        <f t="shared" si="4"/>
        <v>2029_1991</v>
      </c>
      <c r="E785" s="1226">
        <v>7.1422458189629695E-2</v>
      </c>
      <c r="F785" s="1257">
        <v>1.8439654318977101E-2</v>
      </c>
      <c r="G785" s="1280">
        <v>2.43906089416287E-2</v>
      </c>
      <c r="H785" s="1271">
        <v>0.41395580878923599</v>
      </c>
      <c r="I785" s="1257">
        <v>0.45618683922881298</v>
      </c>
      <c r="J785" s="1280">
        <v>0.76884959759976301</v>
      </c>
      <c r="K785" s="1271">
        <v>6.9613396009679702E-3</v>
      </c>
      <c r="L785" s="1257">
        <v>1.3396072330527299E-3</v>
      </c>
      <c r="M785" s="1280">
        <v>2.1634448305848101E-4</v>
      </c>
      <c r="N785" s="1271">
        <v>8.3420760758505502E-3</v>
      </c>
      <c r="O785" s="1257">
        <v>3.0000008598028201E-3</v>
      </c>
      <c r="P785" s="1257">
        <v>8.0249800962949192E-3</v>
      </c>
      <c r="Q785" s="1280">
        <v>8.3420760758505502E-3</v>
      </c>
      <c r="R785" s="1271">
        <v>3.8500011034136201E-2</v>
      </c>
      <c r="S785" s="1257">
        <v>3.8500011034136201E-2</v>
      </c>
      <c r="T785" s="1257">
        <v>3.8500011034136201E-2</v>
      </c>
      <c r="U785" s="1280">
        <v>1.9250005517068101E-2</v>
      </c>
      <c r="V785" s="1293">
        <v>7.2761004872367698E-3</v>
      </c>
    </row>
    <row r="786" spans="1:22" s="212" customFormat="1" ht="15.5" x14ac:dyDescent="0.35">
      <c r="A786" s="198">
        <v>2029</v>
      </c>
      <c r="B786" s="197" t="s">
        <v>5833</v>
      </c>
      <c r="C786" s="197">
        <v>1992</v>
      </c>
      <c r="D786" s="225" t="str">
        <f t="shared" si="4"/>
        <v>2029_1992</v>
      </c>
      <c r="E786" s="1226">
        <v>7.1422458189629695E-2</v>
      </c>
      <c r="F786" s="1257">
        <v>1.8439654318977101E-2</v>
      </c>
      <c r="G786" s="1280">
        <v>2.43906089416287E-2</v>
      </c>
      <c r="H786" s="1271">
        <v>0.41395580878923599</v>
      </c>
      <c r="I786" s="1257">
        <v>0.45618683922881298</v>
      </c>
      <c r="J786" s="1280">
        <v>0.76884959759976301</v>
      </c>
      <c r="K786" s="1271">
        <v>6.9613396009679702E-3</v>
      </c>
      <c r="L786" s="1257">
        <v>1.3396072330527299E-3</v>
      </c>
      <c r="M786" s="1280">
        <v>2.1634448305848101E-4</v>
      </c>
      <c r="N786" s="1271">
        <v>8.3420760758505502E-3</v>
      </c>
      <c r="O786" s="1257">
        <v>3.0000008598028201E-3</v>
      </c>
      <c r="P786" s="1257">
        <v>8.0249800962949192E-3</v>
      </c>
      <c r="Q786" s="1280">
        <v>8.3420760758505502E-3</v>
      </c>
      <c r="R786" s="1271">
        <v>3.8500011034136201E-2</v>
      </c>
      <c r="S786" s="1257">
        <v>3.8500011034136201E-2</v>
      </c>
      <c r="T786" s="1257">
        <v>3.8500011034136201E-2</v>
      </c>
      <c r="U786" s="1280">
        <v>1.9250005517068101E-2</v>
      </c>
      <c r="V786" s="1293">
        <v>7.2761004872367698E-3</v>
      </c>
    </row>
    <row r="787" spans="1:22" s="212" customFormat="1" ht="15.5" x14ac:dyDescent="0.35">
      <c r="A787" s="198">
        <v>2029</v>
      </c>
      <c r="B787" s="197" t="s">
        <v>5833</v>
      </c>
      <c r="C787" s="197">
        <v>1993</v>
      </c>
      <c r="D787" s="225" t="str">
        <f t="shared" si="4"/>
        <v>2029_1993</v>
      </c>
      <c r="E787" s="1226">
        <v>7.1422458189629695E-2</v>
      </c>
      <c r="F787" s="1257">
        <v>1.8439654318977101E-2</v>
      </c>
      <c r="G787" s="1280">
        <v>2.43906089416287E-2</v>
      </c>
      <c r="H787" s="1271">
        <v>0.41395580878923599</v>
      </c>
      <c r="I787" s="1257">
        <v>0.45618683922881298</v>
      </c>
      <c r="J787" s="1280">
        <v>0.76884959759976301</v>
      </c>
      <c r="K787" s="1271">
        <v>6.9613396009679702E-3</v>
      </c>
      <c r="L787" s="1257">
        <v>1.3396072330527299E-3</v>
      </c>
      <c r="M787" s="1280">
        <v>2.1634448305848101E-4</v>
      </c>
      <c r="N787" s="1271">
        <v>8.3420760758505502E-3</v>
      </c>
      <c r="O787" s="1257">
        <v>3.0000008598028201E-3</v>
      </c>
      <c r="P787" s="1257">
        <v>8.0249800962949192E-3</v>
      </c>
      <c r="Q787" s="1280">
        <v>8.3420760758505502E-3</v>
      </c>
      <c r="R787" s="1271">
        <v>3.8500011034136201E-2</v>
      </c>
      <c r="S787" s="1257">
        <v>3.8500011034136201E-2</v>
      </c>
      <c r="T787" s="1257">
        <v>3.8500011034136201E-2</v>
      </c>
      <c r="U787" s="1280">
        <v>1.9250005517068101E-2</v>
      </c>
      <c r="V787" s="1293">
        <v>7.2761004872367698E-3</v>
      </c>
    </row>
    <row r="788" spans="1:22" s="212" customFormat="1" ht="15.5" x14ac:dyDescent="0.35">
      <c r="A788" s="198">
        <v>2029</v>
      </c>
      <c r="B788" s="197" t="s">
        <v>5833</v>
      </c>
      <c r="C788" s="197">
        <v>1994</v>
      </c>
      <c r="D788" s="225" t="str">
        <f t="shared" si="4"/>
        <v>2029_1994</v>
      </c>
      <c r="E788" s="1226">
        <v>7.1422458189629695E-2</v>
      </c>
      <c r="F788" s="1257">
        <v>1.8439654318977101E-2</v>
      </c>
      <c r="G788" s="1280">
        <v>2.43906089416287E-2</v>
      </c>
      <c r="H788" s="1271">
        <v>0.41395580878923599</v>
      </c>
      <c r="I788" s="1257">
        <v>0.45618683922881298</v>
      </c>
      <c r="J788" s="1280">
        <v>0.76884959759976301</v>
      </c>
      <c r="K788" s="1271">
        <v>6.9613396009679702E-3</v>
      </c>
      <c r="L788" s="1257">
        <v>1.3396072330527299E-3</v>
      </c>
      <c r="M788" s="1280">
        <v>2.1634448305848101E-4</v>
      </c>
      <c r="N788" s="1271">
        <v>8.3420760758505502E-3</v>
      </c>
      <c r="O788" s="1257">
        <v>3.0000008598028201E-3</v>
      </c>
      <c r="P788" s="1257">
        <v>8.0249800962949192E-3</v>
      </c>
      <c r="Q788" s="1280">
        <v>8.3420760758505502E-3</v>
      </c>
      <c r="R788" s="1271">
        <v>3.8500011034136201E-2</v>
      </c>
      <c r="S788" s="1257">
        <v>3.8500011034136201E-2</v>
      </c>
      <c r="T788" s="1257">
        <v>3.8500011034136201E-2</v>
      </c>
      <c r="U788" s="1280">
        <v>1.9250005517068101E-2</v>
      </c>
      <c r="V788" s="1293">
        <v>7.2761004872367698E-3</v>
      </c>
    </row>
    <row r="789" spans="1:22" s="212" customFormat="1" ht="15.5" x14ac:dyDescent="0.35">
      <c r="A789" s="198">
        <v>2029</v>
      </c>
      <c r="B789" s="197" t="s">
        <v>5833</v>
      </c>
      <c r="C789" s="197">
        <v>1995</v>
      </c>
      <c r="D789" s="225" t="str">
        <f t="shared" si="4"/>
        <v>2029_1995</v>
      </c>
      <c r="E789" s="1226">
        <v>7.1422458189629695E-2</v>
      </c>
      <c r="F789" s="1257">
        <v>1.8439654318977101E-2</v>
      </c>
      <c r="G789" s="1280">
        <v>2.43906089416287E-2</v>
      </c>
      <c r="H789" s="1271">
        <v>0.41395580878923599</v>
      </c>
      <c r="I789" s="1257">
        <v>0.45618683922881298</v>
      </c>
      <c r="J789" s="1280">
        <v>0.76884959759976301</v>
      </c>
      <c r="K789" s="1271">
        <v>6.9613396009679702E-3</v>
      </c>
      <c r="L789" s="1257">
        <v>1.3396072330527299E-3</v>
      </c>
      <c r="M789" s="1280">
        <v>2.1634448305848101E-4</v>
      </c>
      <c r="N789" s="1271">
        <v>8.3420760758505502E-3</v>
      </c>
      <c r="O789" s="1257">
        <v>3.0000008598028201E-3</v>
      </c>
      <c r="P789" s="1257">
        <v>8.0249800962949192E-3</v>
      </c>
      <c r="Q789" s="1280">
        <v>8.3420760758505502E-3</v>
      </c>
      <c r="R789" s="1271">
        <v>3.8500011034136201E-2</v>
      </c>
      <c r="S789" s="1257">
        <v>3.8500011034136201E-2</v>
      </c>
      <c r="T789" s="1257">
        <v>3.8500011034136201E-2</v>
      </c>
      <c r="U789" s="1280">
        <v>1.9250005517068101E-2</v>
      </c>
      <c r="V789" s="1293">
        <v>7.2761004872367698E-3</v>
      </c>
    </row>
    <row r="790" spans="1:22" s="212" customFormat="1" ht="15.5" x14ac:dyDescent="0.35">
      <c r="A790" s="198">
        <v>2029</v>
      </c>
      <c r="B790" s="197" t="s">
        <v>5833</v>
      </c>
      <c r="C790" s="197">
        <v>1996</v>
      </c>
      <c r="D790" s="225" t="str">
        <f t="shared" si="4"/>
        <v>2029_1996</v>
      </c>
      <c r="E790" s="1226">
        <v>7.1422458189629695E-2</v>
      </c>
      <c r="F790" s="1257">
        <v>1.8439654318977101E-2</v>
      </c>
      <c r="G790" s="1280">
        <v>2.43906089416287E-2</v>
      </c>
      <c r="H790" s="1271">
        <v>0.41395580878923599</v>
      </c>
      <c r="I790" s="1257">
        <v>0.45618683922881298</v>
      </c>
      <c r="J790" s="1280">
        <v>0.76884959759976301</v>
      </c>
      <c r="K790" s="1271">
        <v>6.9613396009679702E-3</v>
      </c>
      <c r="L790" s="1257">
        <v>1.3396072330527299E-3</v>
      </c>
      <c r="M790" s="1280">
        <v>2.1634448305848101E-4</v>
      </c>
      <c r="N790" s="1271">
        <v>8.3420760758505502E-3</v>
      </c>
      <c r="O790" s="1257">
        <v>3.0000008598028201E-3</v>
      </c>
      <c r="P790" s="1257">
        <v>8.0249800962949192E-3</v>
      </c>
      <c r="Q790" s="1280">
        <v>8.3420760758505502E-3</v>
      </c>
      <c r="R790" s="1271">
        <v>3.8500011034136201E-2</v>
      </c>
      <c r="S790" s="1257">
        <v>3.8500011034136201E-2</v>
      </c>
      <c r="T790" s="1257">
        <v>3.8500011034136201E-2</v>
      </c>
      <c r="U790" s="1280">
        <v>1.9250005517068101E-2</v>
      </c>
      <c r="V790" s="1293">
        <v>7.2761004872367698E-3</v>
      </c>
    </row>
    <row r="791" spans="1:22" s="212" customFormat="1" ht="15.5" x14ac:dyDescent="0.35">
      <c r="A791" s="198">
        <v>2029</v>
      </c>
      <c r="B791" s="197" t="s">
        <v>5833</v>
      </c>
      <c r="C791" s="197">
        <v>1997</v>
      </c>
      <c r="D791" s="225" t="str">
        <f t="shared" si="4"/>
        <v>2029_1997</v>
      </c>
      <c r="E791" s="1226">
        <v>7.1422458189629695E-2</v>
      </c>
      <c r="F791" s="1257">
        <v>1.8439654318977101E-2</v>
      </c>
      <c r="G791" s="1280">
        <v>2.43906089416287E-2</v>
      </c>
      <c r="H791" s="1271">
        <v>0.41395580878923599</v>
      </c>
      <c r="I791" s="1257">
        <v>0.45618683922881298</v>
      </c>
      <c r="J791" s="1280">
        <v>0.76884959759976301</v>
      </c>
      <c r="K791" s="1271">
        <v>6.9613396009679702E-3</v>
      </c>
      <c r="L791" s="1257">
        <v>1.3396072330527299E-3</v>
      </c>
      <c r="M791" s="1280">
        <v>2.1634448305848101E-4</v>
      </c>
      <c r="N791" s="1271">
        <v>8.3420760758505502E-3</v>
      </c>
      <c r="O791" s="1257">
        <v>3.0000008598028201E-3</v>
      </c>
      <c r="P791" s="1257">
        <v>8.0249800962949192E-3</v>
      </c>
      <c r="Q791" s="1280">
        <v>8.3420760758505502E-3</v>
      </c>
      <c r="R791" s="1271">
        <v>3.8500011034136201E-2</v>
      </c>
      <c r="S791" s="1257">
        <v>3.8500011034136201E-2</v>
      </c>
      <c r="T791" s="1257">
        <v>3.8500011034136201E-2</v>
      </c>
      <c r="U791" s="1280">
        <v>1.9250005517068101E-2</v>
      </c>
      <c r="V791" s="1293">
        <v>7.2761004872367698E-3</v>
      </c>
    </row>
    <row r="792" spans="1:22" s="212" customFormat="1" ht="15.5" x14ac:dyDescent="0.35">
      <c r="A792" s="198">
        <v>2029</v>
      </c>
      <c r="B792" s="197" t="s">
        <v>5833</v>
      </c>
      <c r="C792" s="197">
        <v>1998</v>
      </c>
      <c r="D792" s="225" t="str">
        <f t="shared" si="4"/>
        <v>2029_1998</v>
      </c>
      <c r="E792" s="1226">
        <v>7.1422458189629695E-2</v>
      </c>
      <c r="F792" s="1257">
        <v>1.8439654318977101E-2</v>
      </c>
      <c r="G792" s="1280">
        <v>2.43906089416287E-2</v>
      </c>
      <c r="H792" s="1271">
        <v>0.41395580878923599</v>
      </c>
      <c r="I792" s="1257">
        <v>0.45618683922881298</v>
      </c>
      <c r="J792" s="1280">
        <v>0.76884959759976301</v>
      </c>
      <c r="K792" s="1271">
        <v>6.9613396009679702E-3</v>
      </c>
      <c r="L792" s="1257">
        <v>1.3396072330527299E-3</v>
      </c>
      <c r="M792" s="1280">
        <v>2.1634448305848101E-4</v>
      </c>
      <c r="N792" s="1271">
        <v>8.3420760758505502E-3</v>
      </c>
      <c r="O792" s="1257">
        <v>3.0000008598028201E-3</v>
      </c>
      <c r="P792" s="1257">
        <v>8.0249800962949192E-3</v>
      </c>
      <c r="Q792" s="1280">
        <v>8.3420760758505502E-3</v>
      </c>
      <c r="R792" s="1271">
        <v>3.8500011034136201E-2</v>
      </c>
      <c r="S792" s="1257">
        <v>3.8500011034136201E-2</v>
      </c>
      <c r="T792" s="1257">
        <v>3.8500011034136201E-2</v>
      </c>
      <c r="U792" s="1280">
        <v>1.9250005517068101E-2</v>
      </c>
      <c r="V792" s="1293">
        <v>7.2761004872367698E-3</v>
      </c>
    </row>
    <row r="793" spans="1:22" s="212" customFormat="1" ht="15.5" x14ac:dyDescent="0.35">
      <c r="A793" s="198">
        <v>2029</v>
      </c>
      <c r="B793" s="197" t="s">
        <v>5833</v>
      </c>
      <c r="C793" s="197">
        <v>1999</v>
      </c>
      <c r="D793" s="225" t="str">
        <f t="shared" si="4"/>
        <v>2029_1999</v>
      </c>
      <c r="E793" s="1226">
        <v>7.1422458189629695E-2</v>
      </c>
      <c r="F793" s="1257">
        <v>1.8439654318977101E-2</v>
      </c>
      <c r="G793" s="1280">
        <v>2.43906089416287E-2</v>
      </c>
      <c r="H793" s="1271">
        <v>0.41395580878923599</v>
      </c>
      <c r="I793" s="1257">
        <v>0.45618683922881298</v>
      </c>
      <c r="J793" s="1280">
        <v>0.76884959759976301</v>
      </c>
      <c r="K793" s="1271">
        <v>6.9613396009679702E-3</v>
      </c>
      <c r="L793" s="1257">
        <v>1.3396072330527299E-3</v>
      </c>
      <c r="M793" s="1280">
        <v>2.1634448305848101E-4</v>
      </c>
      <c r="N793" s="1271">
        <v>8.3420760758505502E-3</v>
      </c>
      <c r="O793" s="1257">
        <v>3.0000008598028201E-3</v>
      </c>
      <c r="P793" s="1257">
        <v>8.0249800962949192E-3</v>
      </c>
      <c r="Q793" s="1280">
        <v>8.3420760758505502E-3</v>
      </c>
      <c r="R793" s="1271">
        <v>3.8500011034136201E-2</v>
      </c>
      <c r="S793" s="1257">
        <v>3.8500011034136201E-2</v>
      </c>
      <c r="T793" s="1257">
        <v>3.8500011034136201E-2</v>
      </c>
      <c r="U793" s="1280">
        <v>1.9250005517068101E-2</v>
      </c>
      <c r="V793" s="1293">
        <v>7.2761004872367698E-3</v>
      </c>
    </row>
    <row r="794" spans="1:22" s="212" customFormat="1" ht="15.5" x14ac:dyDescent="0.35">
      <c r="A794" s="198">
        <v>2029</v>
      </c>
      <c r="B794" s="197" t="s">
        <v>5833</v>
      </c>
      <c r="C794" s="197">
        <v>2000</v>
      </c>
      <c r="D794" s="225" t="str">
        <f t="shared" si="4"/>
        <v>2029_2000</v>
      </c>
      <c r="E794" s="1226">
        <v>7.1422458189629695E-2</v>
      </c>
      <c r="F794" s="1257">
        <v>1.8439654318977101E-2</v>
      </c>
      <c r="G794" s="1280">
        <v>2.43906089416287E-2</v>
      </c>
      <c r="H794" s="1271">
        <v>0.41395580878923599</v>
      </c>
      <c r="I794" s="1257">
        <v>0.45618683922881298</v>
      </c>
      <c r="J794" s="1280">
        <v>0.76884959759976301</v>
      </c>
      <c r="K794" s="1271">
        <v>6.9613396009679702E-3</v>
      </c>
      <c r="L794" s="1257">
        <v>1.3396072330527299E-3</v>
      </c>
      <c r="M794" s="1280">
        <v>2.1634448305848101E-4</v>
      </c>
      <c r="N794" s="1271">
        <v>8.3420760758505502E-3</v>
      </c>
      <c r="O794" s="1257">
        <v>3.0000008598028201E-3</v>
      </c>
      <c r="P794" s="1257">
        <v>8.0249800962949192E-3</v>
      </c>
      <c r="Q794" s="1280">
        <v>8.3420760758505502E-3</v>
      </c>
      <c r="R794" s="1271">
        <v>3.8500011034136201E-2</v>
      </c>
      <c r="S794" s="1257">
        <v>3.8500011034136201E-2</v>
      </c>
      <c r="T794" s="1257">
        <v>3.8500011034136201E-2</v>
      </c>
      <c r="U794" s="1280">
        <v>1.9250005517068101E-2</v>
      </c>
      <c r="V794" s="1293">
        <v>7.2761004872367698E-3</v>
      </c>
    </row>
    <row r="795" spans="1:22" s="212" customFormat="1" ht="15.5" x14ac:dyDescent="0.35">
      <c r="A795" s="198">
        <v>2029</v>
      </c>
      <c r="B795" s="197" t="s">
        <v>5833</v>
      </c>
      <c r="C795" s="197">
        <v>2001</v>
      </c>
      <c r="D795" s="225" t="str">
        <f t="shared" si="4"/>
        <v>2029_2001</v>
      </c>
      <c r="E795" s="1226">
        <v>7.1422458189629695E-2</v>
      </c>
      <c r="F795" s="1257">
        <v>1.8439654318977101E-2</v>
      </c>
      <c r="G795" s="1280">
        <v>2.43906089416287E-2</v>
      </c>
      <c r="H795" s="1271">
        <v>0.41395580878923599</v>
      </c>
      <c r="I795" s="1257">
        <v>0.45618683922881298</v>
      </c>
      <c r="J795" s="1280">
        <v>0.76884959759976301</v>
      </c>
      <c r="K795" s="1271">
        <v>6.9613396009679702E-3</v>
      </c>
      <c r="L795" s="1257">
        <v>1.3396072330527299E-3</v>
      </c>
      <c r="M795" s="1280">
        <v>2.1634448305848101E-4</v>
      </c>
      <c r="N795" s="1271">
        <v>8.3420760758505502E-3</v>
      </c>
      <c r="O795" s="1257">
        <v>3.0000008598028201E-3</v>
      </c>
      <c r="P795" s="1257">
        <v>8.0249800962949192E-3</v>
      </c>
      <c r="Q795" s="1280">
        <v>8.3420760758505502E-3</v>
      </c>
      <c r="R795" s="1271">
        <v>3.8500011034136201E-2</v>
      </c>
      <c r="S795" s="1257">
        <v>3.8500011034136201E-2</v>
      </c>
      <c r="T795" s="1257">
        <v>3.8500011034136201E-2</v>
      </c>
      <c r="U795" s="1280">
        <v>1.9250005517068101E-2</v>
      </c>
      <c r="V795" s="1293">
        <v>7.2761004872367698E-3</v>
      </c>
    </row>
    <row r="796" spans="1:22" s="212" customFormat="1" ht="15.5" x14ac:dyDescent="0.35">
      <c r="A796" s="198">
        <v>2029</v>
      </c>
      <c r="B796" s="197" t="s">
        <v>5833</v>
      </c>
      <c r="C796" s="197">
        <v>2002</v>
      </c>
      <c r="D796" s="225" t="str">
        <f t="shared" si="4"/>
        <v>2029_2002</v>
      </c>
      <c r="E796" s="1226">
        <v>7.1422458189629695E-2</v>
      </c>
      <c r="F796" s="1257">
        <v>1.8439654318977101E-2</v>
      </c>
      <c r="G796" s="1280">
        <v>2.43906089416287E-2</v>
      </c>
      <c r="H796" s="1271">
        <v>0.41395580878923599</v>
      </c>
      <c r="I796" s="1257">
        <v>0.45618683922881298</v>
      </c>
      <c r="J796" s="1280">
        <v>0.76884959759976301</v>
      </c>
      <c r="K796" s="1271">
        <v>6.9613396009679702E-3</v>
      </c>
      <c r="L796" s="1257">
        <v>1.3396072330527299E-3</v>
      </c>
      <c r="M796" s="1280">
        <v>2.1634448305848101E-4</v>
      </c>
      <c r="N796" s="1271">
        <v>8.3420760758505502E-3</v>
      </c>
      <c r="O796" s="1257">
        <v>3.0000008598028201E-3</v>
      </c>
      <c r="P796" s="1257">
        <v>8.0249800962949192E-3</v>
      </c>
      <c r="Q796" s="1280">
        <v>8.3420760758505502E-3</v>
      </c>
      <c r="R796" s="1271">
        <v>3.8500011034136201E-2</v>
      </c>
      <c r="S796" s="1257">
        <v>3.8500011034136201E-2</v>
      </c>
      <c r="T796" s="1257">
        <v>3.8500011034136201E-2</v>
      </c>
      <c r="U796" s="1280">
        <v>1.9250005517068101E-2</v>
      </c>
      <c r="V796" s="1293">
        <v>7.2761004872367698E-3</v>
      </c>
    </row>
    <row r="797" spans="1:22" s="212" customFormat="1" ht="15.5" x14ac:dyDescent="0.35">
      <c r="A797" s="198">
        <v>2029</v>
      </c>
      <c r="B797" s="197" t="s">
        <v>5833</v>
      </c>
      <c r="C797" s="197">
        <v>2003</v>
      </c>
      <c r="D797" s="225" t="str">
        <f t="shared" si="4"/>
        <v>2029_2003</v>
      </c>
      <c r="E797" s="1226">
        <v>7.1422458189629695E-2</v>
      </c>
      <c r="F797" s="1257">
        <v>1.8439654318977101E-2</v>
      </c>
      <c r="G797" s="1280">
        <v>2.43906089416287E-2</v>
      </c>
      <c r="H797" s="1271">
        <v>0.41395580878923599</v>
      </c>
      <c r="I797" s="1257">
        <v>0.45618683922881298</v>
      </c>
      <c r="J797" s="1280">
        <v>0.76884959759976301</v>
      </c>
      <c r="K797" s="1271">
        <v>6.9613396009679702E-3</v>
      </c>
      <c r="L797" s="1257">
        <v>1.3396072330527299E-3</v>
      </c>
      <c r="M797" s="1280">
        <v>2.1634448305848101E-4</v>
      </c>
      <c r="N797" s="1271">
        <v>8.3420760758505502E-3</v>
      </c>
      <c r="O797" s="1257">
        <v>3.0000008598028201E-3</v>
      </c>
      <c r="P797" s="1257">
        <v>8.0249800962949192E-3</v>
      </c>
      <c r="Q797" s="1280">
        <v>8.3420760758505502E-3</v>
      </c>
      <c r="R797" s="1271">
        <v>3.8500011034136201E-2</v>
      </c>
      <c r="S797" s="1257">
        <v>3.8500011034136201E-2</v>
      </c>
      <c r="T797" s="1257">
        <v>3.8500011034136201E-2</v>
      </c>
      <c r="U797" s="1280">
        <v>1.9250005517068101E-2</v>
      </c>
      <c r="V797" s="1293">
        <v>7.2761004872367698E-3</v>
      </c>
    </row>
    <row r="798" spans="1:22" s="212" customFormat="1" ht="15.5" x14ac:dyDescent="0.35">
      <c r="A798" s="198">
        <v>2029</v>
      </c>
      <c r="B798" s="197" t="s">
        <v>5833</v>
      </c>
      <c r="C798" s="197">
        <v>2004</v>
      </c>
      <c r="D798" s="225" t="str">
        <f t="shared" si="4"/>
        <v>2029_2004</v>
      </c>
      <c r="E798" s="1226">
        <v>7.1422458189629695E-2</v>
      </c>
      <c r="F798" s="1257">
        <v>1.8439654318977101E-2</v>
      </c>
      <c r="G798" s="1280">
        <v>2.43906089416287E-2</v>
      </c>
      <c r="H798" s="1271">
        <v>0.41395580878923599</v>
      </c>
      <c r="I798" s="1257">
        <v>0.45618683922881298</v>
      </c>
      <c r="J798" s="1280">
        <v>0.76884959759976301</v>
      </c>
      <c r="K798" s="1271">
        <v>6.9613396009679702E-3</v>
      </c>
      <c r="L798" s="1257">
        <v>1.3396072330527299E-3</v>
      </c>
      <c r="M798" s="1280">
        <v>2.1634448305848101E-4</v>
      </c>
      <c r="N798" s="1271">
        <v>8.3420760758505502E-3</v>
      </c>
      <c r="O798" s="1257">
        <v>3.0000008598028201E-3</v>
      </c>
      <c r="P798" s="1257">
        <v>8.0249800962949192E-3</v>
      </c>
      <c r="Q798" s="1280">
        <v>8.3420760758505502E-3</v>
      </c>
      <c r="R798" s="1271">
        <v>3.8500011034136201E-2</v>
      </c>
      <c r="S798" s="1257">
        <v>3.8500011034136201E-2</v>
      </c>
      <c r="T798" s="1257">
        <v>3.8500011034136201E-2</v>
      </c>
      <c r="U798" s="1280">
        <v>1.9250005517068101E-2</v>
      </c>
      <c r="V798" s="1293">
        <v>7.2761004872367698E-3</v>
      </c>
    </row>
    <row r="799" spans="1:22" s="212" customFormat="1" ht="15.5" x14ac:dyDescent="0.35">
      <c r="A799" s="198">
        <v>2029</v>
      </c>
      <c r="B799" s="197" t="s">
        <v>5833</v>
      </c>
      <c r="C799" s="197">
        <v>2005</v>
      </c>
      <c r="D799" s="225" t="str">
        <f t="shared" si="4"/>
        <v>2029_2005</v>
      </c>
      <c r="E799" s="1226">
        <v>7.1422458189629695E-2</v>
      </c>
      <c r="F799" s="1257">
        <v>1.8439654318977101E-2</v>
      </c>
      <c r="G799" s="1280">
        <v>2.43906089416287E-2</v>
      </c>
      <c r="H799" s="1271">
        <v>0.41395580878923599</v>
      </c>
      <c r="I799" s="1257">
        <v>0.45618683922881298</v>
      </c>
      <c r="J799" s="1280">
        <v>0.76884959759976301</v>
      </c>
      <c r="K799" s="1271">
        <v>6.9613396009679702E-3</v>
      </c>
      <c r="L799" s="1257">
        <v>1.3396072330527299E-3</v>
      </c>
      <c r="M799" s="1280">
        <v>2.1634448305848101E-4</v>
      </c>
      <c r="N799" s="1271">
        <v>8.3420760758505502E-3</v>
      </c>
      <c r="O799" s="1257">
        <v>3.0000008598028201E-3</v>
      </c>
      <c r="P799" s="1257">
        <v>8.0249800962949192E-3</v>
      </c>
      <c r="Q799" s="1280">
        <v>8.3420760758505502E-3</v>
      </c>
      <c r="R799" s="1271">
        <v>3.8500011034136201E-2</v>
      </c>
      <c r="S799" s="1257">
        <v>3.8500011034136201E-2</v>
      </c>
      <c r="T799" s="1257">
        <v>3.8500011034136201E-2</v>
      </c>
      <c r="U799" s="1280">
        <v>1.9250005517068101E-2</v>
      </c>
      <c r="V799" s="1293">
        <v>7.2761004872367698E-3</v>
      </c>
    </row>
    <row r="800" spans="1:22" s="212" customFormat="1" ht="15.5" x14ac:dyDescent="0.35">
      <c r="A800" s="198">
        <v>2029</v>
      </c>
      <c r="B800" s="197" t="s">
        <v>5833</v>
      </c>
      <c r="C800" s="197">
        <v>2006</v>
      </c>
      <c r="D800" s="225" t="str">
        <f t="shared" si="4"/>
        <v>2029_2006</v>
      </c>
      <c r="E800" s="1226">
        <v>7.1422458189629695E-2</v>
      </c>
      <c r="F800" s="1257">
        <v>1.8439654318977101E-2</v>
      </c>
      <c r="G800" s="1280">
        <v>2.43906089416287E-2</v>
      </c>
      <c r="H800" s="1271">
        <v>0.41395580878923599</v>
      </c>
      <c r="I800" s="1257">
        <v>0.45618683922881298</v>
      </c>
      <c r="J800" s="1280">
        <v>0.76884959759976301</v>
      </c>
      <c r="K800" s="1271">
        <v>6.9613396009679702E-3</v>
      </c>
      <c r="L800" s="1257">
        <v>1.3396072330527299E-3</v>
      </c>
      <c r="M800" s="1280">
        <v>2.1634448305848101E-4</v>
      </c>
      <c r="N800" s="1271">
        <v>8.3420760758505502E-3</v>
      </c>
      <c r="O800" s="1257">
        <v>3.0000008598028201E-3</v>
      </c>
      <c r="P800" s="1257">
        <v>8.0249800962949192E-3</v>
      </c>
      <c r="Q800" s="1280">
        <v>8.3420760758505502E-3</v>
      </c>
      <c r="R800" s="1271">
        <v>3.8500011034136201E-2</v>
      </c>
      <c r="S800" s="1257">
        <v>3.8500011034136201E-2</v>
      </c>
      <c r="T800" s="1257">
        <v>3.8500011034136201E-2</v>
      </c>
      <c r="U800" s="1280">
        <v>1.9250005517068101E-2</v>
      </c>
      <c r="V800" s="1293">
        <v>7.2761004872367698E-3</v>
      </c>
    </row>
    <row r="801" spans="1:22" s="212" customFormat="1" ht="15.5" x14ac:dyDescent="0.35">
      <c r="A801" s="198">
        <v>2029</v>
      </c>
      <c r="B801" s="197" t="s">
        <v>5833</v>
      </c>
      <c r="C801" s="197">
        <v>2007</v>
      </c>
      <c r="D801" s="225" t="str">
        <f t="shared" si="4"/>
        <v>2029_2007</v>
      </c>
      <c r="E801" s="1226">
        <v>7.1422458189629695E-2</v>
      </c>
      <c r="F801" s="1257">
        <v>1.8439654318977101E-2</v>
      </c>
      <c r="G801" s="1280">
        <v>2.43906089416287E-2</v>
      </c>
      <c r="H801" s="1271">
        <v>0.41395580878923599</v>
      </c>
      <c r="I801" s="1257">
        <v>0.45618683922881298</v>
      </c>
      <c r="J801" s="1280">
        <v>0.76884959759976301</v>
      </c>
      <c r="K801" s="1271">
        <v>6.9613396009679702E-3</v>
      </c>
      <c r="L801" s="1257">
        <v>1.3396072330527299E-3</v>
      </c>
      <c r="M801" s="1280">
        <v>2.1634448305848101E-4</v>
      </c>
      <c r="N801" s="1271">
        <v>8.3420760758505502E-3</v>
      </c>
      <c r="O801" s="1257">
        <v>3.0000008598028201E-3</v>
      </c>
      <c r="P801" s="1257">
        <v>8.0249800962949192E-3</v>
      </c>
      <c r="Q801" s="1280">
        <v>8.3420760758505502E-3</v>
      </c>
      <c r="R801" s="1271">
        <v>3.8500011034136201E-2</v>
      </c>
      <c r="S801" s="1257">
        <v>3.8500011034136201E-2</v>
      </c>
      <c r="T801" s="1257">
        <v>3.8500011034136201E-2</v>
      </c>
      <c r="U801" s="1280">
        <v>1.9250005517068101E-2</v>
      </c>
      <c r="V801" s="1293">
        <v>7.2761004872367698E-3</v>
      </c>
    </row>
    <row r="802" spans="1:22" s="212" customFormat="1" ht="15.5" x14ac:dyDescent="0.35">
      <c r="A802" s="198">
        <v>2029</v>
      </c>
      <c r="B802" s="197" t="s">
        <v>5833</v>
      </c>
      <c r="C802" s="197">
        <v>2008</v>
      </c>
      <c r="D802" s="225" t="str">
        <f t="shared" si="4"/>
        <v>2029_2008</v>
      </c>
      <c r="E802" s="1226">
        <v>7.1422458189629695E-2</v>
      </c>
      <c r="F802" s="1257">
        <v>1.8439654318977101E-2</v>
      </c>
      <c r="G802" s="1280">
        <v>2.43906089416287E-2</v>
      </c>
      <c r="H802" s="1271">
        <v>0.41395580878923599</v>
      </c>
      <c r="I802" s="1257">
        <v>0.45618683922881298</v>
      </c>
      <c r="J802" s="1280">
        <v>0.76884959759976301</v>
      </c>
      <c r="K802" s="1271">
        <v>6.9613396009679702E-3</v>
      </c>
      <c r="L802" s="1257">
        <v>1.3396072330527299E-3</v>
      </c>
      <c r="M802" s="1280">
        <v>2.1634448305848101E-4</v>
      </c>
      <c r="N802" s="1271">
        <v>8.3420760758505502E-3</v>
      </c>
      <c r="O802" s="1257">
        <v>3.0000008598028201E-3</v>
      </c>
      <c r="P802" s="1257">
        <v>8.0249800962949192E-3</v>
      </c>
      <c r="Q802" s="1280">
        <v>8.3420760758505502E-3</v>
      </c>
      <c r="R802" s="1271">
        <v>3.8500011034136201E-2</v>
      </c>
      <c r="S802" s="1257">
        <v>3.8500011034136201E-2</v>
      </c>
      <c r="T802" s="1257">
        <v>3.8500011034136201E-2</v>
      </c>
      <c r="U802" s="1280">
        <v>1.9250005517068101E-2</v>
      </c>
      <c r="V802" s="1293">
        <v>7.2761004872367698E-3</v>
      </c>
    </row>
    <row r="803" spans="1:22" s="212" customFormat="1" ht="15.5" x14ac:dyDescent="0.35">
      <c r="A803" s="198">
        <v>2029</v>
      </c>
      <c r="B803" s="197" t="s">
        <v>5833</v>
      </c>
      <c r="C803" s="197">
        <v>2009</v>
      </c>
      <c r="D803" s="225" t="str">
        <f t="shared" si="4"/>
        <v>2029_2009</v>
      </c>
      <c r="E803" s="1226">
        <v>7.1422458189629695E-2</v>
      </c>
      <c r="F803" s="1257">
        <v>1.8439654318977101E-2</v>
      </c>
      <c r="G803" s="1280">
        <v>2.43906089416287E-2</v>
      </c>
      <c r="H803" s="1271">
        <v>0.41395580878923599</v>
      </c>
      <c r="I803" s="1257">
        <v>0.45618683922881298</v>
      </c>
      <c r="J803" s="1280">
        <v>0.76884959759976301</v>
      </c>
      <c r="K803" s="1271">
        <v>6.9613396009679702E-3</v>
      </c>
      <c r="L803" s="1257">
        <v>1.3396072330527299E-3</v>
      </c>
      <c r="M803" s="1280">
        <v>2.1634448305848101E-4</v>
      </c>
      <c r="N803" s="1271">
        <v>8.3420760758505502E-3</v>
      </c>
      <c r="O803" s="1257">
        <v>3.0000008598028201E-3</v>
      </c>
      <c r="P803" s="1257">
        <v>8.0249800962949192E-3</v>
      </c>
      <c r="Q803" s="1280">
        <v>8.3420760758505502E-3</v>
      </c>
      <c r="R803" s="1271">
        <v>3.8500011034136201E-2</v>
      </c>
      <c r="S803" s="1257">
        <v>3.8500011034136201E-2</v>
      </c>
      <c r="T803" s="1257">
        <v>3.8500011034136201E-2</v>
      </c>
      <c r="U803" s="1280">
        <v>1.9250005517068101E-2</v>
      </c>
      <c r="V803" s="1293">
        <v>7.2761004872367698E-3</v>
      </c>
    </row>
    <row r="804" spans="1:22" s="212" customFormat="1" ht="15.5" x14ac:dyDescent="0.35">
      <c r="A804" s="198">
        <v>2029</v>
      </c>
      <c r="B804" s="197" t="s">
        <v>5833</v>
      </c>
      <c r="C804" s="197">
        <v>2010</v>
      </c>
      <c r="D804" s="225" t="str">
        <f t="shared" si="4"/>
        <v>2029_2010</v>
      </c>
      <c r="E804" s="1226">
        <v>7.1422458189629695E-2</v>
      </c>
      <c r="F804" s="1257">
        <v>1.8439654318977101E-2</v>
      </c>
      <c r="G804" s="1280">
        <v>2.43906089416287E-2</v>
      </c>
      <c r="H804" s="1271">
        <v>0.41395580878923599</v>
      </c>
      <c r="I804" s="1257">
        <v>0.45618683922881298</v>
      </c>
      <c r="J804" s="1280">
        <v>0.76884959759976301</v>
      </c>
      <c r="K804" s="1271">
        <v>6.9613396009679702E-3</v>
      </c>
      <c r="L804" s="1257">
        <v>1.3396072330527299E-3</v>
      </c>
      <c r="M804" s="1280">
        <v>2.1634448305848101E-4</v>
      </c>
      <c r="N804" s="1271">
        <v>8.3420760758505502E-3</v>
      </c>
      <c r="O804" s="1257">
        <v>3.0000008598028201E-3</v>
      </c>
      <c r="P804" s="1257">
        <v>8.0249800962949192E-3</v>
      </c>
      <c r="Q804" s="1280">
        <v>8.3420760758505502E-3</v>
      </c>
      <c r="R804" s="1271">
        <v>3.8500011034136201E-2</v>
      </c>
      <c r="S804" s="1257">
        <v>3.8500011034136201E-2</v>
      </c>
      <c r="T804" s="1257">
        <v>3.8500011034136201E-2</v>
      </c>
      <c r="U804" s="1280">
        <v>1.9250005517068101E-2</v>
      </c>
      <c r="V804" s="1293">
        <v>7.2761004872367698E-3</v>
      </c>
    </row>
    <row r="805" spans="1:22" s="212" customFormat="1" ht="15.5" x14ac:dyDescent="0.35">
      <c r="A805" s="198">
        <v>2029</v>
      </c>
      <c r="B805" s="197" t="s">
        <v>5833</v>
      </c>
      <c r="C805" s="197">
        <v>2011</v>
      </c>
      <c r="D805" s="225" t="str">
        <f t="shared" si="4"/>
        <v>2029_2011</v>
      </c>
      <c r="E805" s="1226">
        <v>7.1422458189629695E-2</v>
      </c>
      <c r="F805" s="1257">
        <v>1.8439654318977101E-2</v>
      </c>
      <c r="G805" s="1280">
        <v>2.43906089416287E-2</v>
      </c>
      <c r="H805" s="1271">
        <v>0.41395580878923599</v>
      </c>
      <c r="I805" s="1257">
        <v>0.45618683922881298</v>
      </c>
      <c r="J805" s="1280">
        <v>0.76884959759976301</v>
      </c>
      <c r="K805" s="1271">
        <v>6.9613396009679702E-3</v>
      </c>
      <c r="L805" s="1257">
        <v>1.3396072330527299E-3</v>
      </c>
      <c r="M805" s="1280">
        <v>2.1634448305848101E-4</v>
      </c>
      <c r="N805" s="1271">
        <v>8.3420760758505502E-3</v>
      </c>
      <c r="O805" s="1257">
        <v>3.0000008598028201E-3</v>
      </c>
      <c r="P805" s="1257">
        <v>8.0249800962949192E-3</v>
      </c>
      <c r="Q805" s="1280">
        <v>8.3420760758505502E-3</v>
      </c>
      <c r="R805" s="1271">
        <v>3.8500011034136201E-2</v>
      </c>
      <c r="S805" s="1257">
        <v>3.8500011034136201E-2</v>
      </c>
      <c r="T805" s="1257">
        <v>3.8500011034136201E-2</v>
      </c>
      <c r="U805" s="1280">
        <v>1.9250005517068101E-2</v>
      </c>
      <c r="V805" s="1293">
        <v>7.2761004872367698E-3</v>
      </c>
    </row>
    <row r="806" spans="1:22" s="212" customFormat="1" ht="15.5" x14ac:dyDescent="0.35">
      <c r="A806" s="198">
        <v>2029</v>
      </c>
      <c r="B806" s="197" t="s">
        <v>5833</v>
      </c>
      <c r="C806" s="197">
        <v>2012</v>
      </c>
      <c r="D806" s="225" t="str">
        <f t="shared" si="4"/>
        <v>2029_2012</v>
      </c>
      <c r="E806" s="1226">
        <v>7.1422458189629695E-2</v>
      </c>
      <c r="F806" s="1257">
        <v>1.8439654318977101E-2</v>
      </c>
      <c r="G806" s="1280">
        <v>2.43906089416287E-2</v>
      </c>
      <c r="H806" s="1271">
        <v>0.41395580878923599</v>
      </c>
      <c r="I806" s="1257">
        <v>0.45618683922881298</v>
      </c>
      <c r="J806" s="1280">
        <v>0.76884959759976301</v>
      </c>
      <c r="K806" s="1271">
        <v>6.9613396009679702E-3</v>
      </c>
      <c r="L806" s="1257">
        <v>1.3396072330527299E-3</v>
      </c>
      <c r="M806" s="1280">
        <v>2.1634448305848101E-4</v>
      </c>
      <c r="N806" s="1271">
        <v>8.3420760758505502E-3</v>
      </c>
      <c r="O806" s="1257">
        <v>3.0000008598028201E-3</v>
      </c>
      <c r="P806" s="1257">
        <v>8.0249800962949192E-3</v>
      </c>
      <c r="Q806" s="1280">
        <v>8.3420760758505502E-3</v>
      </c>
      <c r="R806" s="1271">
        <v>3.8500011034136201E-2</v>
      </c>
      <c r="S806" s="1257">
        <v>3.8500011034136201E-2</v>
      </c>
      <c r="T806" s="1257">
        <v>3.8500011034136201E-2</v>
      </c>
      <c r="U806" s="1280">
        <v>1.9250005517068101E-2</v>
      </c>
      <c r="V806" s="1293">
        <v>7.2761004872367698E-3</v>
      </c>
    </row>
    <row r="807" spans="1:22" s="212" customFormat="1" ht="15.5" x14ac:dyDescent="0.35">
      <c r="A807" s="198">
        <v>2029</v>
      </c>
      <c r="B807" s="197" t="s">
        <v>5833</v>
      </c>
      <c r="C807" s="197">
        <v>2013</v>
      </c>
      <c r="D807" s="225" t="str">
        <f t="shared" si="4"/>
        <v>2029_2013</v>
      </c>
      <c r="E807" s="1226">
        <v>7.1422458189629695E-2</v>
      </c>
      <c r="F807" s="1257">
        <v>1.8439654318977101E-2</v>
      </c>
      <c r="G807" s="1280">
        <v>2.43906089416287E-2</v>
      </c>
      <c r="H807" s="1271">
        <v>0.41395580878923599</v>
      </c>
      <c r="I807" s="1257">
        <v>0.45618683922881298</v>
      </c>
      <c r="J807" s="1280">
        <v>0.76884959759976301</v>
      </c>
      <c r="K807" s="1271">
        <v>6.9613396009679702E-3</v>
      </c>
      <c r="L807" s="1257">
        <v>1.3396072330527299E-3</v>
      </c>
      <c r="M807" s="1280">
        <v>2.1634448305848101E-4</v>
      </c>
      <c r="N807" s="1271">
        <v>8.3420760758505502E-3</v>
      </c>
      <c r="O807" s="1257">
        <v>3.0000008598028201E-3</v>
      </c>
      <c r="P807" s="1257">
        <v>8.0249800962949192E-3</v>
      </c>
      <c r="Q807" s="1280">
        <v>8.3420760758505502E-3</v>
      </c>
      <c r="R807" s="1271">
        <v>3.8500011034136201E-2</v>
      </c>
      <c r="S807" s="1257">
        <v>3.8500011034136201E-2</v>
      </c>
      <c r="T807" s="1257">
        <v>3.8500011034136201E-2</v>
      </c>
      <c r="U807" s="1280">
        <v>1.9250005517068101E-2</v>
      </c>
      <c r="V807" s="1293">
        <v>7.2761004872367698E-3</v>
      </c>
    </row>
    <row r="808" spans="1:22" s="212" customFormat="1" ht="15.5" x14ac:dyDescent="0.35">
      <c r="A808" s="198">
        <v>2029</v>
      </c>
      <c r="B808" s="197" t="s">
        <v>5833</v>
      </c>
      <c r="C808" s="197">
        <v>2014</v>
      </c>
      <c r="D808" s="225" t="str">
        <f t="shared" si="4"/>
        <v>2029_2014</v>
      </c>
      <c r="E808" s="1226">
        <v>7.1422458189629695E-2</v>
      </c>
      <c r="F808" s="1257">
        <v>1.8439654318977101E-2</v>
      </c>
      <c r="G808" s="1280">
        <v>2.43906089416287E-2</v>
      </c>
      <c r="H808" s="1271">
        <v>0.41395580878923599</v>
      </c>
      <c r="I808" s="1257">
        <v>0.45618683922881298</v>
      </c>
      <c r="J808" s="1280">
        <v>0.76884959759976301</v>
      </c>
      <c r="K808" s="1271">
        <v>6.9613396009679702E-3</v>
      </c>
      <c r="L808" s="1257">
        <v>1.3396072330527299E-3</v>
      </c>
      <c r="M808" s="1280">
        <v>2.1634448305848101E-4</v>
      </c>
      <c r="N808" s="1271">
        <v>8.3420760758505502E-3</v>
      </c>
      <c r="O808" s="1257">
        <v>3.0000008598028201E-3</v>
      </c>
      <c r="P808" s="1257">
        <v>8.0249800962949192E-3</v>
      </c>
      <c r="Q808" s="1280">
        <v>8.3420760758505502E-3</v>
      </c>
      <c r="R808" s="1271">
        <v>3.8500011034136201E-2</v>
      </c>
      <c r="S808" s="1257">
        <v>3.8500011034136201E-2</v>
      </c>
      <c r="T808" s="1257">
        <v>3.8500011034136201E-2</v>
      </c>
      <c r="U808" s="1280">
        <v>1.9250005517068101E-2</v>
      </c>
      <c r="V808" s="1293">
        <v>7.2761004872367698E-3</v>
      </c>
    </row>
    <row r="809" spans="1:22" s="212" customFormat="1" ht="15.5" x14ac:dyDescent="0.35">
      <c r="A809" s="198">
        <v>2029</v>
      </c>
      <c r="B809" s="197" t="s">
        <v>5833</v>
      </c>
      <c r="C809" s="197">
        <v>2015</v>
      </c>
      <c r="D809" s="225" t="str">
        <f t="shared" si="4"/>
        <v>2029_2015</v>
      </c>
      <c r="E809" s="1231">
        <v>7.1422458189629695E-2</v>
      </c>
      <c r="F809" s="1288">
        <v>1.8439654318977101E-2</v>
      </c>
      <c r="G809" s="1306">
        <v>2.43906089416287E-2</v>
      </c>
      <c r="H809" s="1303">
        <v>0.41395580878923599</v>
      </c>
      <c r="I809" s="1288">
        <v>0.45618683922881298</v>
      </c>
      <c r="J809" s="1306">
        <v>0.76884959759976301</v>
      </c>
      <c r="K809" s="1303">
        <v>6.9613396009679702E-3</v>
      </c>
      <c r="L809" s="1288">
        <v>1.3396072330527299E-3</v>
      </c>
      <c r="M809" s="1306">
        <v>2.1634448305848101E-4</v>
      </c>
      <c r="N809" s="1303">
        <v>8.3420760758505502E-3</v>
      </c>
      <c r="O809" s="1288">
        <v>3.0000008598028201E-3</v>
      </c>
      <c r="P809" s="1288">
        <v>8.0249800962949192E-3</v>
      </c>
      <c r="Q809" s="1306">
        <v>7.1067392631803603E-3</v>
      </c>
      <c r="R809" s="1303">
        <v>3.8500011034136201E-2</v>
      </c>
      <c r="S809" s="1288">
        <v>3.8500011034136201E-2</v>
      </c>
      <c r="T809" s="1288">
        <v>3.8500011034136201E-2</v>
      </c>
      <c r="U809" s="1306">
        <v>1.9250005517068101E-2</v>
      </c>
      <c r="V809" s="1294">
        <v>7.2761004872367698E-3</v>
      </c>
    </row>
    <row r="810" spans="1:22" s="212" customFormat="1" ht="15.5" x14ac:dyDescent="0.35">
      <c r="A810" s="198">
        <v>2029</v>
      </c>
      <c r="B810" s="197" t="s">
        <v>5833</v>
      </c>
      <c r="C810" s="197">
        <v>2016</v>
      </c>
      <c r="D810" s="225" t="str">
        <f t="shared" si="4"/>
        <v>2029_2016</v>
      </c>
      <c r="E810" s="1231">
        <v>7.0266109363976703E-2</v>
      </c>
      <c r="F810" s="1288">
        <v>1.89265390406986E-2</v>
      </c>
      <c r="G810" s="1306">
        <v>2.66955504367609E-2</v>
      </c>
      <c r="H810" s="1303">
        <v>0.39494087180210002</v>
      </c>
      <c r="I810" s="1288">
        <v>0.43152589919205298</v>
      </c>
      <c r="J810" s="1306">
        <v>0.86283936180329102</v>
      </c>
      <c r="K810" s="1303">
        <v>7.1246616795601399E-3</v>
      </c>
      <c r="L810" s="1288">
        <v>1.5915319459724299E-3</v>
      </c>
      <c r="M810" s="1306">
        <v>2.3950170408767999E-4</v>
      </c>
      <c r="N810" s="1303">
        <v>8.4133273544924406E-3</v>
      </c>
      <c r="O810" s="1288">
        <v>3.0000008598028201E-3</v>
      </c>
      <c r="P810" s="1288">
        <v>8.6696764211990299E-3</v>
      </c>
      <c r="Q810" s="1306">
        <v>7.9596387423170305E-3</v>
      </c>
      <c r="R810" s="1303">
        <v>3.8500011034136201E-2</v>
      </c>
      <c r="S810" s="1288">
        <v>3.8500011034136201E-2</v>
      </c>
      <c r="T810" s="1288">
        <v>3.8500011034136201E-2</v>
      </c>
      <c r="U810" s="1306">
        <v>1.9250005517068101E-2</v>
      </c>
      <c r="V810" s="1294">
        <v>7.4468072654918799E-3</v>
      </c>
    </row>
    <row r="811" spans="1:22" s="212" customFormat="1" ht="15.5" x14ac:dyDescent="0.35">
      <c r="A811" s="198">
        <v>2029</v>
      </c>
      <c r="B811" s="197" t="s">
        <v>5833</v>
      </c>
      <c r="C811" s="197">
        <v>2017</v>
      </c>
      <c r="D811" s="225" t="str">
        <f t="shared" si="4"/>
        <v>2029_2017</v>
      </c>
      <c r="E811" s="1231">
        <v>6.6388791569597899E-2</v>
      </c>
      <c r="F811" s="1288">
        <v>1.2838258645825201E-2</v>
      </c>
      <c r="G811" s="1306">
        <v>2.02443496356291E-2</v>
      </c>
      <c r="H811" s="1303">
        <v>0.36708177473682801</v>
      </c>
      <c r="I811" s="1288">
        <v>0.38086605896752701</v>
      </c>
      <c r="J811" s="1306">
        <v>0.60517735532229799</v>
      </c>
      <c r="K811" s="1303">
        <v>6.6230100405527802E-3</v>
      </c>
      <c r="L811" s="1288">
        <v>1.17255525653314E-3</v>
      </c>
      <c r="M811" s="1306">
        <v>1.7838705518839101E-4</v>
      </c>
      <c r="N811" s="1303">
        <v>7.8921585090689101E-3</v>
      </c>
      <c r="O811" s="1288">
        <v>3.0000008598028201E-3</v>
      </c>
      <c r="P811" s="1288">
        <v>8.3136960241880099E-3</v>
      </c>
      <c r="Q811" s="1306">
        <v>8.0844599213616593E-3</v>
      </c>
      <c r="R811" s="1303">
        <v>3.8500011034136201E-2</v>
      </c>
      <c r="S811" s="1288">
        <v>3.8500011034136201E-2</v>
      </c>
      <c r="T811" s="1288">
        <v>3.8500011034136201E-2</v>
      </c>
      <c r="U811" s="1306">
        <v>1.9250005517068101E-2</v>
      </c>
      <c r="V811" s="1294">
        <v>6.9224731654147897E-3</v>
      </c>
    </row>
    <row r="812" spans="1:22" s="212" customFormat="1" ht="15.5" x14ac:dyDescent="0.35">
      <c r="A812" s="198">
        <v>2029</v>
      </c>
      <c r="B812" s="197" t="s">
        <v>5833</v>
      </c>
      <c r="C812" s="197">
        <v>2018</v>
      </c>
      <c r="D812" s="225" t="str">
        <f t="shared" si="4"/>
        <v>2029_2018</v>
      </c>
      <c r="E812" s="1231">
        <v>6.9193595273472006E-2</v>
      </c>
      <c r="F812" s="1288">
        <v>1.29233788842974E-2</v>
      </c>
      <c r="G812" s="1306">
        <v>6.3443534493590706E-2</v>
      </c>
      <c r="H812" s="1303">
        <v>0.38626467878419002</v>
      </c>
      <c r="I812" s="1288">
        <v>0.34564652094847598</v>
      </c>
      <c r="J812" s="1306">
        <v>0.110662233857503</v>
      </c>
      <c r="K812" s="1303">
        <v>7.0055516858407198E-3</v>
      </c>
      <c r="L812" s="1288">
        <v>1.2229270587449899E-3</v>
      </c>
      <c r="M812" s="1306">
        <v>4.0928729727763701E-4</v>
      </c>
      <c r="N812" s="1303">
        <v>8.2883457368196599E-3</v>
      </c>
      <c r="O812" s="1288">
        <v>3.0000008598028201E-3</v>
      </c>
      <c r="P812" s="1288">
        <v>8.3146537171171105E-3</v>
      </c>
      <c r="Q812" s="1306">
        <v>7.9427762974697506E-3</v>
      </c>
      <c r="R812" s="1303">
        <v>3.8500011034136201E-2</v>
      </c>
      <c r="S812" s="1288">
        <v>3.8500011034136201E-2</v>
      </c>
      <c r="T812" s="1288">
        <v>3.8500011034136201E-2</v>
      </c>
      <c r="U812" s="1306">
        <v>1.9250005517068101E-2</v>
      </c>
      <c r="V812" s="1294">
        <v>7.3223116463992403E-3</v>
      </c>
    </row>
    <row r="813" spans="1:22" s="212" customFormat="1" ht="15.5" x14ac:dyDescent="0.35">
      <c r="A813" s="198">
        <v>2029</v>
      </c>
      <c r="B813" s="197" t="s">
        <v>5833</v>
      </c>
      <c r="C813" s="197">
        <v>2019</v>
      </c>
      <c r="D813" s="225" t="str">
        <f t="shared" si="4"/>
        <v>2029_2019</v>
      </c>
      <c r="E813" s="1231">
        <v>7.1753658208436696E-2</v>
      </c>
      <c r="F813" s="1288">
        <v>7.4740411706279803E-3</v>
      </c>
      <c r="G813" s="1306">
        <v>5.2769780773345702E-2</v>
      </c>
      <c r="H813" s="1303">
        <v>0.40479475858481001</v>
      </c>
      <c r="I813" s="1288">
        <v>0.113328898947157</v>
      </c>
      <c r="J813" s="1306">
        <v>0.11113592283986</v>
      </c>
      <c r="K813" s="1303">
        <v>7.3298391512407902E-3</v>
      </c>
      <c r="L813" s="1288">
        <v>1.2596133995830699E-3</v>
      </c>
      <c r="M813" s="1306">
        <v>9.946868883248779E-4</v>
      </c>
      <c r="N813" s="1303">
        <v>8.5784756094915704E-3</v>
      </c>
      <c r="O813" s="1288">
        <v>2.2678037618185701E-3</v>
      </c>
      <c r="P813" s="1288">
        <v>6.9472013974100104E-3</v>
      </c>
      <c r="Q813" s="1306">
        <v>6.5198277035009699E-3</v>
      </c>
      <c r="R813" s="1303">
        <v>3.8479142353279497E-2</v>
      </c>
      <c r="S813" s="1288">
        <v>3.3630900332540903E-2</v>
      </c>
      <c r="T813" s="1288">
        <v>3.8313426153581097E-2</v>
      </c>
      <c r="U813" s="1306">
        <v>1.91759402311482E-2</v>
      </c>
      <c r="V813" s="1294">
        <v>7.6612619519803799E-3</v>
      </c>
    </row>
    <row r="814" spans="1:22" s="212" customFormat="1" ht="15.5" x14ac:dyDescent="0.35">
      <c r="A814" s="198">
        <v>2029</v>
      </c>
      <c r="B814" s="197" t="s">
        <v>5833</v>
      </c>
      <c r="C814" s="197">
        <v>2020</v>
      </c>
      <c r="D814" s="225" t="str">
        <f t="shared" si="4"/>
        <v>2029_2020</v>
      </c>
      <c r="E814" s="1231">
        <v>7.0423419619997193E-2</v>
      </c>
      <c r="F814" s="1288">
        <v>1.1045282850053699E-2</v>
      </c>
      <c r="G814" s="1306">
        <v>6.2864082180287606E-2</v>
      </c>
      <c r="H814" s="1303">
        <v>0.38247670710449899</v>
      </c>
      <c r="I814" s="1288">
        <v>0.196868696802843</v>
      </c>
      <c r="J814" s="1306">
        <v>0.110714125526072</v>
      </c>
      <c r="K814" s="1303">
        <v>7.6129029183106102E-3</v>
      </c>
      <c r="L814" s="1288">
        <v>1.42904802347601E-3</v>
      </c>
      <c r="M814" s="1306">
        <v>5.9221213419645804E-4</v>
      </c>
      <c r="N814" s="1303">
        <v>7.9833333791552198E-3</v>
      </c>
      <c r="O814" s="1288">
        <v>2.5564819342454299E-3</v>
      </c>
      <c r="P814" s="1288">
        <v>8.4038559383754798E-3</v>
      </c>
      <c r="Q814" s="1280">
        <v>7.9833333791552198E-3</v>
      </c>
      <c r="R814" s="1303">
        <v>3.8201433945546703E-2</v>
      </c>
      <c r="S814" s="1288">
        <v>3.5550610179179501E-2</v>
      </c>
      <c r="T814" s="1288">
        <v>3.8433965472811103E-2</v>
      </c>
      <c r="U814" s="1280">
        <v>1.9100716972773352E-2</v>
      </c>
      <c r="V814" s="1294">
        <v>7.9571246065202397E-3</v>
      </c>
    </row>
    <row r="815" spans="1:22" s="212" customFormat="1" ht="15.5" x14ac:dyDescent="0.35">
      <c r="A815" s="198">
        <v>2029</v>
      </c>
      <c r="B815" s="197" t="s">
        <v>5833</v>
      </c>
      <c r="C815" s="197">
        <v>2021</v>
      </c>
      <c r="D815" s="225" t="str">
        <f t="shared" si="4"/>
        <v>2029_2021</v>
      </c>
      <c r="E815" s="1231">
        <v>4.7041207566375302E-2</v>
      </c>
      <c r="F815" s="1288">
        <v>8.9991879093958803E-3</v>
      </c>
      <c r="G815" s="1306">
        <v>6.1687614981397298E-2</v>
      </c>
      <c r="H815" s="1303">
        <v>0.22476616223882101</v>
      </c>
      <c r="I815" s="1288">
        <v>0.164481385605631</v>
      </c>
      <c r="J815" s="1306">
        <v>0.109667110138097</v>
      </c>
      <c r="K815" s="1303">
        <v>4.1642857677704004E-3</v>
      </c>
      <c r="L815" s="1288">
        <v>1.29473733054886E-3</v>
      </c>
      <c r="M815" s="1306">
        <v>5.2753328622688795E-4</v>
      </c>
      <c r="N815" s="1303">
        <v>5.2005573391863697E-3</v>
      </c>
      <c r="O815" s="1288">
        <v>2.4976610123983601E-3</v>
      </c>
      <c r="P815" s="1288">
        <v>8.0760966133597602E-3</v>
      </c>
      <c r="Q815" s="1280">
        <v>5.2005573391863697E-3</v>
      </c>
      <c r="R815" s="1303">
        <v>3.8454039666674697E-2</v>
      </c>
      <c r="S815" s="1288">
        <v>3.5159451048896499E-2</v>
      </c>
      <c r="T815" s="1288">
        <v>3.8444897841275902E-2</v>
      </c>
      <c r="U815" s="1280">
        <v>1.9227019833337348E-2</v>
      </c>
      <c r="V815" s="1294">
        <v>4.3525762914445598E-3</v>
      </c>
    </row>
    <row r="816" spans="1:22" s="212" customFormat="1" ht="15.5" x14ac:dyDescent="0.35">
      <c r="A816" s="198">
        <v>2029</v>
      </c>
      <c r="B816" s="197" t="s">
        <v>5833</v>
      </c>
      <c r="C816" s="197">
        <v>2022</v>
      </c>
      <c r="D816" s="225" t="str">
        <f t="shared" si="4"/>
        <v>2029_2022</v>
      </c>
      <c r="E816" s="1231">
        <v>5.23734511470089E-2</v>
      </c>
      <c r="F816" s="1288">
        <v>1.1711667434872E-2</v>
      </c>
      <c r="G816" s="1306">
        <v>6.4247156252102103E-2</v>
      </c>
      <c r="H816" s="1303">
        <v>0.25885998584494402</v>
      </c>
      <c r="I816" s="1288">
        <v>0.215474554843366</v>
      </c>
      <c r="J816" s="1306">
        <v>0.12904057404639599</v>
      </c>
      <c r="K816" s="1303">
        <v>4.9167798267253102E-3</v>
      </c>
      <c r="L816" s="1288">
        <v>1.37566646716534E-3</v>
      </c>
      <c r="M816" s="1306">
        <v>5.4049320825818301E-4</v>
      </c>
      <c r="N816" s="1303">
        <v>5.8291303326977097E-3</v>
      </c>
      <c r="O816" s="1288">
        <v>2.7293186313072002E-3</v>
      </c>
      <c r="P816" s="1288">
        <v>8.5023565942145603E-3</v>
      </c>
      <c r="Q816" s="1280">
        <v>5.8291303326977097E-3</v>
      </c>
      <c r="R816" s="1303">
        <v>3.8389620268812E-2</v>
      </c>
      <c r="S816" s="1288">
        <v>3.6699974214640302E-2</v>
      </c>
      <c r="T816" s="1288">
        <v>3.8456708920411802E-2</v>
      </c>
      <c r="U816" s="1280">
        <v>1.9194810134406E-2</v>
      </c>
      <c r="V816" s="1294">
        <v>5.1390947926024796E-3</v>
      </c>
    </row>
    <row r="817" spans="1:22" s="212" customFormat="1" ht="15.5" x14ac:dyDescent="0.35">
      <c r="A817" s="198">
        <v>2029</v>
      </c>
      <c r="B817" s="197" t="s">
        <v>5833</v>
      </c>
      <c r="C817" s="197">
        <v>2023</v>
      </c>
      <c r="D817" s="225" t="str">
        <f t="shared" si="4"/>
        <v>2029_2023</v>
      </c>
      <c r="E817" s="1231">
        <v>5.8861764142464697E-2</v>
      </c>
      <c r="F817" s="1288">
        <v>1.07074968748051E-2</v>
      </c>
      <c r="G817" s="1306">
        <v>6.1618167699173998E-2</v>
      </c>
      <c r="H817" s="1303">
        <v>0.30934351410835098</v>
      </c>
      <c r="I817" s="1288">
        <v>0.18362426611971</v>
      </c>
      <c r="J817" s="1306">
        <v>9.4495580776396804E-2</v>
      </c>
      <c r="K817" s="1303">
        <v>5.7001152327740504E-3</v>
      </c>
      <c r="L817" s="1288">
        <v>1.33217065517222E-3</v>
      </c>
      <c r="M817" s="1306">
        <v>4.0728099447373599E-4</v>
      </c>
      <c r="N817" s="1303">
        <v>6.8182408144928999E-3</v>
      </c>
      <c r="O817" s="1288">
        <v>2.6749741936355101E-3</v>
      </c>
      <c r="P817" s="1288">
        <v>8.3641682443388599E-3</v>
      </c>
      <c r="Q817" s="1280">
        <v>6.8182408144928999E-3</v>
      </c>
      <c r="R817" s="1303">
        <v>3.8454647584275803E-2</v>
      </c>
      <c r="S817" s="1288">
        <v>3.63385837041236E-2</v>
      </c>
      <c r="T817" s="1288">
        <v>3.8474991909915601E-2</v>
      </c>
      <c r="U817" s="1280">
        <v>1.9227323792137901E-2</v>
      </c>
      <c r="V817" s="1294">
        <v>5.9578491497133601E-3</v>
      </c>
    </row>
    <row r="818" spans="1:22" s="212" customFormat="1" ht="15.5" x14ac:dyDescent="0.35">
      <c r="A818" s="198">
        <v>2029</v>
      </c>
      <c r="B818" s="197" t="s">
        <v>5833</v>
      </c>
      <c r="C818" s="197">
        <v>2024</v>
      </c>
      <c r="D818" s="225" t="str">
        <f t="shared" si="4"/>
        <v>2029_2024</v>
      </c>
      <c r="E818" s="1231">
        <v>5.8168193289617302E-2</v>
      </c>
      <c r="F818" s="1288">
        <v>7.5927765277529697E-3</v>
      </c>
      <c r="G818" s="1306">
        <v>5.8460968294444901E-2</v>
      </c>
      <c r="H818" s="1303">
        <v>0.29926336661677699</v>
      </c>
      <c r="I818" s="1288">
        <v>0.103134443381313</v>
      </c>
      <c r="J818" s="1306">
        <v>9.4419977568021798E-2</v>
      </c>
      <c r="K818" s="1303">
        <v>5.6668438659092397E-3</v>
      </c>
      <c r="L818" s="1288">
        <v>1.2961816086877499E-3</v>
      </c>
      <c r="M818" s="1306">
        <v>6.6625032637873704E-4</v>
      </c>
      <c r="N818" s="1303">
        <v>6.6054609126384002E-3</v>
      </c>
      <c r="O818" s="1288">
        <v>2.36481062436464E-3</v>
      </c>
      <c r="P818" s="1288">
        <v>7.7134479762009803E-3</v>
      </c>
      <c r="Q818" s="1306">
        <v>8.4690603859683099E-3</v>
      </c>
      <c r="R818" s="1303">
        <v>3.8367401713422601E-2</v>
      </c>
      <c r="S818" s="1288">
        <v>3.4275995968472299E-2</v>
      </c>
      <c r="T818" s="1288">
        <v>3.8318014894511601E-2</v>
      </c>
      <c r="U818" s="1306">
        <v>1.9250005517068101E-2</v>
      </c>
      <c r="V818" s="1294">
        <v>5.9230733992784298E-3</v>
      </c>
    </row>
    <row r="819" spans="1:22" s="212" customFormat="1" ht="15.5" x14ac:dyDescent="0.35">
      <c r="A819" s="198">
        <v>2029</v>
      </c>
      <c r="B819" s="197" t="s">
        <v>5833</v>
      </c>
      <c r="C819" s="197">
        <v>2025</v>
      </c>
      <c r="D819" s="225" t="str">
        <f t="shared" si="4"/>
        <v>2029_2025</v>
      </c>
      <c r="E819" s="1231">
        <v>6.6844836513089895E-2</v>
      </c>
      <c r="F819" s="1288">
        <v>7.44877928666101E-3</v>
      </c>
      <c r="G819" s="1306">
        <v>5.4888865262651403E-2</v>
      </c>
      <c r="H819" s="1303">
        <v>0.36305068171886401</v>
      </c>
      <c r="I819" s="1288">
        <v>8.0753567554100694E-2</v>
      </c>
      <c r="J819" s="1306">
        <v>8.7199594384419599E-2</v>
      </c>
      <c r="K819" s="1303">
        <v>6.7648550518515501E-3</v>
      </c>
      <c r="L819" s="1288">
        <v>1.3457091878709599E-3</v>
      </c>
      <c r="M819" s="1306">
        <v>5.2905563361667395E-4</v>
      </c>
      <c r="N819" s="1303">
        <v>7.8252844597193096E-3</v>
      </c>
      <c r="O819" s="1288">
        <v>2.2897841947133899E-3</v>
      </c>
      <c r="P819" s="1288">
        <v>7.2329655940151097E-3</v>
      </c>
      <c r="Q819" s="1306">
        <v>8.12190024590086E-3</v>
      </c>
      <c r="R819" s="1303">
        <v>3.83901922330784E-2</v>
      </c>
      <c r="S819" s="1288">
        <v>3.3777070211291498E-2</v>
      </c>
      <c r="T819" s="1288">
        <v>3.8395805477708898E-2</v>
      </c>
      <c r="U819" s="1306">
        <v>1.9250005517068101E-2</v>
      </c>
      <c r="V819" s="1294">
        <v>7.0707317786965797E-3</v>
      </c>
    </row>
    <row r="820" spans="1:22" s="212" customFormat="1" ht="15.5" x14ac:dyDescent="0.35">
      <c r="A820" s="198">
        <v>2029</v>
      </c>
      <c r="B820" s="197" t="s">
        <v>5833</v>
      </c>
      <c r="C820" s="197">
        <v>2026</v>
      </c>
      <c r="D820" s="225" t="str">
        <f t="shared" si="4"/>
        <v>2029_2026</v>
      </c>
      <c r="E820" s="1231">
        <v>6.13441450117281E-2</v>
      </c>
      <c r="F820" s="1288">
        <v>8.2365917287904097E-3</v>
      </c>
      <c r="G820" s="1306">
        <v>5.1617440343063599E-2</v>
      </c>
      <c r="H820" s="1303">
        <v>0.32804203453047898</v>
      </c>
      <c r="I820" s="1288">
        <v>9.9916059810442298E-2</v>
      </c>
      <c r="J820" s="1306">
        <v>8.0950933006766201E-2</v>
      </c>
      <c r="K820" s="1303">
        <v>5.9656533913367699E-3</v>
      </c>
      <c r="L820" s="1288">
        <v>1.27044599233407E-3</v>
      </c>
      <c r="M820" s="1306">
        <v>6.0079001049123204E-4</v>
      </c>
      <c r="N820" s="1303">
        <v>7.16551310923072E-3</v>
      </c>
      <c r="O820" s="1288">
        <v>2.4607874227618601E-3</v>
      </c>
      <c r="P820" s="1288">
        <v>7.1839211312385897E-3</v>
      </c>
      <c r="Q820" s="1306">
        <v>8.7337429995912007E-3</v>
      </c>
      <c r="R820" s="1303">
        <v>3.84644305177919E-2</v>
      </c>
      <c r="S820" s="1288">
        <v>3.4914241677813797E-2</v>
      </c>
      <c r="T820" s="1288">
        <v>3.8249559809573001E-2</v>
      </c>
      <c r="U820" s="1306">
        <v>1.9250005517068101E-2</v>
      </c>
      <c r="V820" s="1294">
        <v>6.2353937654981498E-3</v>
      </c>
    </row>
    <row r="821" spans="1:22" s="212" customFormat="1" ht="15.5" x14ac:dyDescent="0.35">
      <c r="A821" s="198">
        <v>2029</v>
      </c>
      <c r="B821" s="197" t="s">
        <v>5833</v>
      </c>
      <c r="C821" s="197">
        <v>2027</v>
      </c>
      <c r="D821" s="225" t="str">
        <f t="shared" si="4"/>
        <v>2029_2027</v>
      </c>
      <c r="E821" s="1231">
        <v>6.9398977980162396E-2</v>
      </c>
      <c r="F821" s="1288">
        <v>4.30213387374894E-3</v>
      </c>
      <c r="G821" s="1306">
        <v>5.8208040047087697E-2</v>
      </c>
      <c r="H821" s="1303">
        <v>0.39390566381734998</v>
      </c>
      <c r="I821" s="1288">
        <v>4.8685055803679898E-2</v>
      </c>
      <c r="J821" s="1306">
        <v>9.5576627909315995E-2</v>
      </c>
      <c r="K821" s="1303">
        <v>6.6612029409092001E-3</v>
      </c>
      <c r="L821" s="1288">
        <v>1.11546027982634E-3</v>
      </c>
      <c r="M821" s="1306">
        <v>5.4877205400545299E-4</v>
      </c>
      <c r="N821" s="1303">
        <v>7.8504628206927992E-3</v>
      </c>
      <c r="O821" s="1288">
        <v>2.17493873998496E-3</v>
      </c>
      <c r="P821" s="1288">
        <v>7.8043906238162604E-3</v>
      </c>
      <c r="Q821" s="1306">
        <v>7.9141820106778393E-3</v>
      </c>
      <c r="R821" s="1303">
        <v>3.8361482315821302E-2</v>
      </c>
      <c r="S821" s="1288">
        <v>3.30133479373474E-2</v>
      </c>
      <c r="T821" s="1288">
        <v>3.8362517854726101E-2</v>
      </c>
      <c r="U821" s="1306">
        <v>1.9250005517068101E-2</v>
      </c>
      <c r="V821" s="1294">
        <v>6.9623929792468299E-3</v>
      </c>
    </row>
    <row r="822" spans="1:22" s="212" customFormat="1" ht="15.5" x14ac:dyDescent="0.35">
      <c r="A822" s="198">
        <v>2029</v>
      </c>
      <c r="B822" s="197" t="s">
        <v>5833</v>
      </c>
      <c r="C822" s="197">
        <v>2028</v>
      </c>
      <c r="D822" s="225" t="str">
        <f t="shared" si="4"/>
        <v>2029_2028</v>
      </c>
      <c r="E822" s="1231">
        <v>6.5755902140354802E-2</v>
      </c>
      <c r="F822" s="1288">
        <v>8.3895537745715502E-3</v>
      </c>
      <c r="G822" s="1306">
        <v>5.8362033579808202E-2</v>
      </c>
      <c r="H822" s="1303">
        <v>0.35969649510034502</v>
      </c>
      <c r="I822" s="1288">
        <v>6.9939646162972005E-2</v>
      </c>
      <c r="J822" s="1306">
        <v>9.8062990076283399E-2</v>
      </c>
      <c r="K822" s="1303">
        <v>6.5311910876022601E-3</v>
      </c>
      <c r="L822" s="1288">
        <v>1.3043103434226E-3</v>
      </c>
      <c r="M822" s="1306">
        <v>6.8305936271385599E-4</v>
      </c>
      <c r="N822" s="1303">
        <v>7.7712270796596403E-3</v>
      </c>
      <c r="O822" s="1288">
        <v>2.3743079061995099E-3</v>
      </c>
      <c r="P822" s="1288">
        <v>7.7308208824048898E-3</v>
      </c>
      <c r="Q822" s="1306">
        <v>7.9427433315009295E-3</v>
      </c>
      <c r="R822" s="1303">
        <v>3.8463848921908399E-2</v>
      </c>
      <c r="S822" s="1288">
        <v>3.4339152892674203E-2</v>
      </c>
      <c r="T822" s="1288">
        <v>3.8062585947839199E-2</v>
      </c>
      <c r="U822" s="1306">
        <v>1.9250005517068101E-2</v>
      </c>
      <c r="V822" s="1294">
        <v>6.8265025668524104E-3</v>
      </c>
    </row>
    <row r="823" spans="1:22" s="212" customFormat="1" ht="15.5" x14ac:dyDescent="0.35">
      <c r="A823" s="198">
        <v>2029</v>
      </c>
      <c r="B823" s="197" t="s">
        <v>5833</v>
      </c>
      <c r="C823" s="197">
        <v>2029</v>
      </c>
      <c r="D823" s="225" t="str">
        <f t="shared" si="4"/>
        <v>2029_2029</v>
      </c>
      <c r="E823" s="1231">
        <v>6.2923195566003495E-2</v>
      </c>
      <c r="F823" s="1288">
        <v>7.6906282306325397E-3</v>
      </c>
      <c r="G823" s="1306">
        <v>6.2244589699488297E-2</v>
      </c>
      <c r="H823" s="1303">
        <v>0.33786505253410098</v>
      </c>
      <c r="I823" s="1288">
        <v>6.2261568781811702E-2</v>
      </c>
      <c r="J823" s="1306">
        <v>0.10968652466423599</v>
      </c>
      <c r="K823" s="1303">
        <v>6.1518664201686999E-3</v>
      </c>
      <c r="L823" s="1288">
        <v>1.2521555301593199E-3</v>
      </c>
      <c r="M823" s="1306">
        <v>5.8491285839070198E-4</v>
      </c>
      <c r="N823" s="1303">
        <v>7.3591644136986097E-3</v>
      </c>
      <c r="O823" s="1288">
        <v>2.3930042622993799E-3</v>
      </c>
      <c r="P823" s="1288">
        <v>8.2423372137655493E-3</v>
      </c>
      <c r="Q823" s="1306">
        <v>8.3085958763830601E-3</v>
      </c>
      <c r="R823" s="1303">
        <v>3.8435790840330497E-2</v>
      </c>
      <c r="S823" s="1288">
        <v>3.44634836607383E-2</v>
      </c>
      <c r="T823" s="1288">
        <v>3.8206987430294201E-2</v>
      </c>
      <c r="U823" s="1306">
        <v>1.9250005517068101E-2</v>
      </c>
      <c r="V823" s="1294">
        <v>6.43002652118579E-3</v>
      </c>
    </row>
    <row r="824" spans="1:22" s="212" customFormat="1" ht="15.5" x14ac:dyDescent="0.35">
      <c r="A824" s="198">
        <v>2029</v>
      </c>
      <c r="B824" s="197" t="s">
        <v>5833</v>
      </c>
      <c r="C824" s="197">
        <v>2030</v>
      </c>
      <c r="D824" s="225" t="str">
        <f t="shared" si="4"/>
        <v>2029_2030</v>
      </c>
      <c r="E824" s="1226">
        <v>6.2923195566003495E-2</v>
      </c>
      <c r="F824" s="1257">
        <v>7.6906282306325397E-3</v>
      </c>
      <c r="G824" s="1280">
        <v>6.2244589699488297E-2</v>
      </c>
      <c r="H824" s="1271">
        <v>0.33786505253410098</v>
      </c>
      <c r="I824" s="1257">
        <v>6.2261568781811702E-2</v>
      </c>
      <c r="J824" s="1280">
        <v>0.10968652466423599</v>
      </c>
      <c r="K824" s="1271">
        <v>6.1518664201686999E-3</v>
      </c>
      <c r="L824" s="1257">
        <v>1.2521555301593199E-3</v>
      </c>
      <c r="M824" s="1280">
        <v>5.8491285839070198E-4</v>
      </c>
      <c r="N824" s="1271">
        <v>7.3591644136986097E-3</v>
      </c>
      <c r="O824" s="1257">
        <v>2.3930042622993799E-3</v>
      </c>
      <c r="P824" s="1257">
        <v>8.2423372137655493E-3</v>
      </c>
      <c r="Q824" s="1280">
        <v>8.3085958763830601E-3</v>
      </c>
      <c r="R824" s="1271">
        <v>3.8435790840330497E-2</v>
      </c>
      <c r="S824" s="1257">
        <v>3.44634836607383E-2</v>
      </c>
      <c r="T824" s="1257">
        <v>3.8206987430294201E-2</v>
      </c>
      <c r="U824" s="1280">
        <v>1.9250005517068101E-2</v>
      </c>
      <c r="V824" s="1293">
        <v>6.43002652118579E-3</v>
      </c>
    </row>
    <row r="825" spans="1:22" s="212" customFormat="1" ht="15.5" x14ac:dyDescent="0.35">
      <c r="A825" s="198">
        <v>2030</v>
      </c>
      <c r="B825" s="197" t="s">
        <v>5833</v>
      </c>
      <c r="C825" s="197">
        <v>1971</v>
      </c>
      <c r="D825" s="225" t="str">
        <f t="shared" si="4"/>
        <v>2030_1971</v>
      </c>
      <c r="E825" s="1226">
        <v>7.02661093639768E-2</v>
      </c>
      <c r="F825" s="1257">
        <v>1.89265390406986E-2</v>
      </c>
      <c r="G825" s="1280">
        <v>2.66955504367609E-2</v>
      </c>
      <c r="H825" s="1271">
        <v>0.39494087180210002</v>
      </c>
      <c r="I825" s="1257">
        <v>0.46502499356921201</v>
      </c>
      <c r="J825" s="1280">
        <v>0.86283936180329102</v>
      </c>
      <c r="K825" s="1271">
        <v>7.1246616795601399E-3</v>
      </c>
      <c r="L825" s="1257">
        <v>1.5915319459724299E-3</v>
      </c>
      <c r="M825" s="1280">
        <v>2.3950170408767901E-4</v>
      </c>
      <c r="N825" s="1271">
        <v>8.4133273544924492E-3</v>
      </c>
      <c r="O825" s="1257">
        <v>3.0000008598028201E-3</v>
      </c>
      <c r="P825" s="1257">
        <v>8.6696764211990299E-3</v>
      </c>
      <c r="Q825" s="1280">
        <v>8.4133273544924492E-3</v>
      </c>
      <c r="R825" s="1271">
        <v>3.8500011034136201E-2</v>
      </c>
      <c r="S825" s="1257">
        <v>3.8500011034136201E-2</v>
      </c>
      <c r="T825" s="1257">
        <v>3.8500011034136201E-2</v>
      </c>
      <c r="U825" s="1280">
        <v>1.9250005517068101E-2</v>
      </c>
      <c r="V825" s="1294" t="s">
        <v>5834</v>
      </c>
    </row>
    <row r="826" spans="1:22" s="212" customFormat="1" ht="15.5" x14ac:dyDescent="0.35">
      <c r="A826" s="198">
        <v>2030</v>
      </c>
      <c r="B826" s="197" t="s">
        <v>5833</v>
      </c>
      <c r="C826" s="197">
        <v>1972</v>
      </c>
      <c r="D826" s="225" t="str">
        <f t="shared" si="4"/>
        <v>2030_1972</v>
      </c>
      <c r="E826" s="1226">
        <v>7.02661093639768E-2</v>
      </c>
      <c r="F826" s="1257">
        <v>1.89265390406986E-2</v>
      </c>
      <c r="G826" s="1280">
        <v>2.66955504367609E-2</v>
      </c>
      <c r="H826" s="1271">
        <v>0.39494087180210002</v>
      </c>
      <c r="I826" s="1257">
        <v>0.46502499356921201</v>
      </c>
      <c r="J826" s="1280">
        <v>0.86283936180329102</v>
      </c>
      <c r="K826" s="1271">
        <v>7.1246616795601399E-3</v>
      </c>
      <c r="L826" s="1257">
        <v>1.5915319459724299E-3</v>
      </c>
      <c r="M826" s="1280">
        <v>2.3950170408767901E-4</v>
      </c>
      <c r="N826" s="1271">
        <v>8.4133273544924492E-3</v>
      </c>
      <c r="O826" s="1257">
        <v>3.0000008598028201E-3</v>
      </c>
      <c r="P826" s="1257">
        <v>8.6696764211990299E-3</v>
      </c>
      <c r="Q826" s="1280">
        <v>8.4133273544924492E-3</v>
      </c>
      <c r="R826" s="1271">
        <v>3.8500011034136201E-2</v>
      </c>
      <c r="S826" s="1257">
        <v>3.8500011034136201E-2</v>
      </c>
      <c r="T826" s="1257">
        <v>3.8500011034136201E-2</v>
      </c>
      <c r="U826" s="1280">
        <v>1.9250005517068101E-2</v>
      </c>
      <c r="V826" s="1294" t="s">
        <v>5834</v>
      </c>
    </row>
    <row r="827" spans="1:22" s="212" customFormat="1" ht="15.5" x14ac:dyDescent="0.35">
      <c r="A827" s="198">
        <v>2030</v>
      </c>
      <c r="B827" s="197" t="s">
        <v>5833</v>
      </c>
      <c r="C827" s="197">
        <v>1973</v>
      </c>
      <c r="D827" s="225" t="str">
        <f t="shared" si="4"/>
        <v>2030_1973</v>
      </c>
      <c r="E827" s="1226">
        <v>7.02661093639768E-2</v>
      </c>
      <c r="F827" s="1257">
        <v>1.89265390406986E-2</v>
      </c>
      <c r="G827" s="1280">
        <v>2.66955504367609E-2</v>
      </c>
      <c r="H827" s="1271">
        <v>0.39494087180210002</v>
      </c>
      <c r="I827" s="1257">
        <v>0.46502499356921201</v>
      </c>
      <c r="J827" s="1280">
        <v>0.86283936180329102</v>
      </c>
      <c r="K827" s="1271">
        <v>7.1246616795601399E-3</v>
      </c>
      <c r="L827" s="1257">
        <v>1.5915319459724299E-3</v>
      </c>
      <c r="M827" s="1280">
        <v>2.3950170408767901E-4</v>
      </c>
      <c r="N827" s="1271">
        <v>8.4133273544924492E-3</v>
      </c>
      <c r="O827" s="1257">
        <v>3.0000008598028201E-3</v>
      </c>
      <c r="P827" s="1257">
        <v>8.6696764211990299E-3</v>
      </c>
      <c r="Q827" s="1280">
        <v>8.4133273544924492E-3</v>
      </c>
      <c r="R827" s="1271">
        <v>3.8500011034136201E-2</v>
      </c>
      <c r="S827" s="1257">
        <v>3.8500011034136201E-2</v>
      </c>
      <c r="T827" s="1257">
        <v>3.8500011034136201E-2</v>
      </c>
      <c r="U827" s="1280">
        <v>1.9250005517068101E-2</v>
      </c>
      <c r="V827" s="1294" t="s">
        <v>5834</v>
      </c>
    </row>
    <row r="828" spans="1:22" s="212" customFormat="1" ht="15.5" x14ac:dyDescent="0.35">
      <c r="A828" s="198">
        <v>2030</v>
      </c>
      <c r="B828" s="197" t="s">
        <v>5833</v>
      </c>
      <c r="C828" s="197">
        <v>1974</v>
      </c>
      <c r="D828" s="225" t="str">
        <f t="shared" si="4"/>
        <v>2030_1974</v>
      </c>
      <c r="E828" s="1226">
        <v>7.02661093639768E-2</v>
      </c>
      <c r="F828" s="1257">
        <v>1.89265390406986E-2</v>
      </c>
      <c r="G828" s="1280">
        <v>2.66955504367609E-2</v>
      </c>
      <c r="H828" s="1271">
        <v>0.39494087180210002</v>
      </c>
      <c r="I828" s="1257">
        <v>0.46502499356921201</v>
      </c>
      <c r="J828" s="1280">
        <v>0.86283936180329102</v>
      </c>
      <c r="K828" s="1271">
        <v>7.1246616795601399E-3</v>
      </c>
      <c r="L828" s="1257">
        <v>1.5915319459724299E-3</v>
      </c>
      <c r="M828" s="1280">
        <v>2.3950170408767901E-4</v>
      </c>
      <c r="N828" s="1271">
        <v>8.4133273544924492E-3</v>
      </c>
      <c r="O828" s="1257">
        <v>3.0000008598028201E-3</v>
      </c>
      <c r="P828" s="1257">
        <v>8.6696764211990299E-3</v>
      </c>
      <c r="Q828" s="1280">
        <v>8.4133273544924492E-3</v>
      </c>
      <c r="R828" s="1271">
        <v>3.8500011034136201E-2</v>
      </c>
      <c r="S828" s="1257">
        <v>3.8500011034136201E-2</v>
      </c>
      <c r="T828" s="1257">
        <v>3.8500011034136201E-2</v>
      </c>
      <c r="U828" s="1280">
        <v>1.9250005517068101E-2</v>
      </c>
      <c r="V828" s="1294" t="s">
        <v>5834</v>
      </c>
    </row>
    <row r="829" spans="1:22" s="212" customFormat="1" ht="15.5" x14ac:dyDescent="0.35">
      <c r="A829" s="198">
        <v>2030</v>
      </c>
      <c r="B829" s="197" t="s">
        <v>5833</v>
      </c>
      <c r="C829" s="197">
        <v>1975</v>
      </c>
      <c r="D829" s="225" t="str">
        <f t="shared" si="4"/>
        <v>2030_1975</v>
      </c>
      <c r="E829" s="1226">
        <v>7.02661093639768E-2</v>
      </c>
      <c r="F829" s="1257">
        <v>1.89265390406986E-2</v>
      </c>
      <c r="G829" s="1280">
        <v>2.66955504367609E-2</v>
      </c>
      <c r="H829" s="1271">
        <v>0.39494087180210002</v>
      </c>
      <c r="I829" s="1257">
        <v>0.46502499356921201</v>
      </c>
      <c r="J829" s="1280">
        <v>0.86283936180329102</v>
      </c>
      <c r="K829" s="1271">
        <v>7.1246616795601399E-3</v>
      </c>
      <c r="L829" s="1257">
        <v>1.5915319459724299E-3</v>
      </c>
      <c r="M829" s="1280">
        <v>2.3950170408767901E-4</v>
      </c>
      <c r="N829" s="1271">
        <v>8.4133273544924492E-3</v>
      </c>
      <c r="O829" s="1257">
        <v>3.0000008598028201E-3</v>
      </c>
      <c r="P829" s="1257">
        <v>8.6696764211990299E-3</v>
      </c>
      <c r="Q829" s="1280">
        <v>8.4133273544924492E-3</v>
      </c>
      <c r="R829" s="1271">
        <v>3.8500011034136201E-2</v>
      </c>
      <c r="S829" s="1257">
        <v>3.8500011034136201E-2</v>
      </c>
      <c r="T829" s="1257">
        <v>3.8500011034136201E-2</v>
      </c>
      <c r="U829" s="1280">
        <v>1.9250005517068101E-2</v>
      </c>
      <c r="V829" s="1294" t="s">
        <v>5834</v>
      </c>
    </row>
    <row r="830" spans="1:22" s="212" customFormat="1" ht="15.5" x14ac:dyDescent="0.35">
      <c r="A830" s="198">
        <v>2030</v>
      </c>
      <c r="B830" s="197" t="s">
        <v>5833</v>
      </c>
      <c r="C830" s="197">
        <v>1976</v>
      </c>
      <c r="D830" s="225" t="str">
        <f t="shared" si="4"/>
        <v>2030_1976</v>
      </c>
      <c r="E830" s="1226">
        <v>7.02661093639768E-2</v>
      </c>
      <c r="F830" s="1257">
        <v>1.89265390406986E-2</v>
      </c>
      <c r="G830" s="1280">
        <v>2.66955504367609E-2</v>
      </c>
      <c r="H830" s="1271">
        <v>0.39494087180210002</v>
      </c>
      <c r="I830" s="1257">
        <v>0.46502499356921201</v>
      </c>
      <c r="J830" s="1280">
        <v>0.86283936180329102</v>
      </c>
      <c r="K830" s="1271">
        <v>7.1246616795601399E-3</v>
      </c>
      <c r="L830" s="1257">
        <v>1.5915319459724299E-3</v>
      </c>
      <c r="M830" s="1280">
        <v>2.3950170408767901E-4</v>
      </c>
      <c r="N830" s="1271">
        <v>8.4133273544924492E-3</v>
      </c>
      <c r="O830" s="1257">
        <v>3.0000008598028201E-3</v>
      </c>
      <c r="P830" s="1257">
        <v>8.6696764211990299E-3</v>
      </c>
      <c r="Q830" s="1280">
        <v>8.4133273544924492E-3</v>
      </c>
      <c r="R830" s="1271">
        <v>3.8500011034136201E-2</v>
      </c>
      <c r="S830" s="1257">
        <v>3.8500011034136201E-2</v>
      </c>
      <c r="T830" s="1257">
        <v>3.8500011034136201E-2</v>
      </c>
      <c r="U830" s="1280">
        <v>1.9250005517068101E-2</v>
      </c>
      <c r="V830" s="1294" t="s">
        <v>5834</v>
      </c>
    </row>
    <row r="831" spans="1:22" s="212" customFormat="1" ht="15.5" x14ac:dyDescent="0.35">
      <c r="A831" s="198">
        <v>2030</v>
      </c>
      <c r="B831" s="197" t="s">
        <v>5833</v>
      </c>
      <c r="C831" s="197">
        <v>1977</v>
      </c>
      <c r="D831" s="225" t="str">
        <f t="shared" si="4"/>
        <v>2030_1977</v>
      </c>
      <c r="E831" s="1226">
        <v>7.02661093639768E-2</v>
      </c>
      <c r="F831" s="1257">
        <v>1.89265390406986E-2</v>
      </c>
      <c r="G831" s="1280">
        <v>2.66955504367609E-2</v>
      </c>
      <c r="H831" s="1271">
        <v>0.39494087180210002</v>
      </c>
      <c r="I831" s="1257">
        <v>0.46502499356921201</v>
      </c>
      <c r="J831" s="1280">
        <v>0.86283936180329102</v>
      </c>
      <c r="K831" s="1271">
        <v>7.1246616795601399E-3</v>
      </c>
      <c r="L831" s="1257">
        <v>1.5915319459724299E-3</v>
      </c>
      <c r="M831" s="1280">
        <v>2.3950170408767901E-4</v>
      </c>
      <c r="N831" s="1271">
        <v>8.4133273544924492E-3</v>
      </c>
      <c r="O831" s="1257">
        <v>3.0000008598028201E-3</v>
      </c>
      <c r="P831" s="1257">
        <v>8.6696764211990299E-3</v>
      </c>
      <c r="Q831" s="1280">
        <v>8.4133273544924492E-3</v>
      </c>
      <c r="R831" s="1271">
        <v>3.8500011034136201E-2</v>
      </c>
      <c r="S831" s="1257">
        <v>3.8500011034136201E-2</v>
      </c>
      <c r="T831" s="1257">
        <v>3.8500011034136201E-2</v>
      </c>
      <c r="U831" s="1280">
        <v>1.9250005517068101E-2</v>
      </c>
      <c r="V831" s="1294" t="s">
        <v>5834</v>
      </c>
    </row>
    <row r="832" spans="1:22" s="212" customFormat="1" ht="15.5" x14ac:dyDescent="0.35">
      <c r="A832" s="198">
        <v>2030</v>
      </c>
      <c r="B832" s="197" t="s">
        <v>5833</v>
      </c>
      <c r="C832" s="197">
        <v>1978</v>
      </c>
      <c r="D832" s="225" t="str">
        <f t="shared" si="4"/>
        <v>2030_1978</v>
      </c>
      <c r="E832" s="1226">
        <v>7.02661093639768E-2</v>
      </c>
      <c r="F832" s="1257">
        <v>1.89265390406986E-2</v>
      </c>
      <c r="G832" s="1280">
        <v>2.66955504367609E-2</v>
      </c>
      <c r="H832" s="1271">
        <v>0.39494087180210002</v>
      </c>
      <c r="I832" s="1257">
        <v>0.46502499356921201</v>
      </c>
      <c r="J832" s="1280">
        <v>0.86283936180329102</v>
      </c>
      <c r="K832" s="1271">
        <v>7.1246616795601399E-3</v>
      </c>
      <c r="L832" s="1257">
        <v>1.5915319459724299E-3</v>
      </c>
      <c r="M832" s="1280">
        <v>2.3950170408767901E-4</v>
      </c>
      <c r="N832" s="1271">
        <v>8.4133273544924492E-3</v>
      </c>
      <c r="O832" s="1257">
        <v>3.0000008598028201E-3</v>
      </c>
      <c r="P832" s="1257">
        <v>8.6696764211990299E-3</v>
      </c>
      <c r="Q832" s="1280">
        <v>8.4133273544924492E-3</v>
      </c>
      <c r="R832" s="1271">
        <v>3.8500011034136201E-2</v>
      </c>
      <c r="S832" s="1257">
        <v>3.8500011034136201E-2</v>
      </c>
      <c r="T832" s="1257">
        <v>3.8500011034136201E-2</v>
      </c>
      <c r="U832" s="1280">
        <v>1.9250005517068101E-2</v>
      </c>
      <c r="V832" s="1294" t="s">
        <v>5834</v>
      </c>
    </row>
    <row r="833" spans="1:22" s="212" customFormat="1" ht="15.5" x14ac:dyDescent="0.35">
      <c r="A833" s="198">
        <v>2030</v>
      </c>
      <c r="B833" s="197" t="s">
        <v>5833</v>
      </c>
      <c r="C833" s="197">
        <v>1979</v>
      </c>
      <c r="D833" s="225" t="str">
        <f t="shared" si="4"/>
        <v>2030_1979</v>
      </c>
      <c r="E833" s="1226">
        <v>7.02661093639768E-2</v>
      </c>
      <c r="F833" s="1257">
        <v>1.89265390406986E-2</v>
      </c>
      <c r="G833" s="1280">
        <v>2.66955504367609E-2</v>
      </c>
      <c r="H833" s="1271">
        <v>0.39494087180210002</v>
      </c>
      <c r="I833" s="1257">
        <v>0.46502499356921201</v>
      </c>
      <c r="J833" s="1280">
        <v>0.86283936180329102</v>
      </c>
      <c r="K833" s="1271">
        <v>7.1246616795601399E-3</v>
      </c>
      <c r="L833" s="1257">
        <v>1.5915319459724299E-3</v>
      </c>
      <c r="M833" s="1280">
        <v>2.3950170408767901E-4</v>
      </c>
      <c r="N833" s="1271">
        <v>8.4133273544924492E-3</v>
      </c>
      <c r="O833" s="1257">
        <v>3.0000008598028201E-3</v>
      </c>
      <c r="P833" s="1257">
        <v>8.6696764211990299E-3</v>
      </c>
      <c r="Q833" s="1280">
        <v>8.4133273544924492E-3</v>
      </c>
      <c r="R833" s="1271">
        <v>3.8500011034136201E-2</v>
      </c>
      <c r="S833" s="1257">
        <v>3.8500011034136201E-2</v>
      </c>
      <c r="T833" s="1257">
        <v>3.8500011034136201E-2</v>
      </c>
      <c r="U833" s="1280">
        <v>1.9250005517068101E-2</v>
      </c>
      <c r="V833" s="1294" t="s">
        <v>5834</v>
      </c>
    </row>
    <row r="834" spans="1:22" s="212" customFormat="1" ht="15.5" x14ac:dyDescent="0.35">
      <c r="A834" s="198">
        <v>2030</v>
      </c>
      <c r="B834" s="197" t="s">
        <v>5833</v>
      </c>
      <c r="C834" s="197">
        <v>1980</v>
      </c>
      <c r="D834" s="225" t="str">
        <f t="shared" si="4"/>
        <v>2030_1980</v>
      </c>
      <c r="E834" s="1226">
        <v>7.02661093639768E-2</v>
      </c>
      <c r="F834" s="1257">
        <v>1.89265390406986E-2</v>
      </c>
      <c r="G834" s="1280">
        <v>2.66955504367609E-2</v>
      </c>
      <c r="H834" s="1271">
        <v>0.39494087180210002</v>
      </c>
      <c r="I834" s="1257">
        <v>0.46502499356921201</v>
      </c>
      <c r="J834" s="1280">
        <v>0.86283936180329102</v>
      </c>
      <c r="K834" s="1271">
        <v>7.1246616795601399E-3</v>
      </c>
      <c r="L834" s="1257">
        <v>1.5915319459724299E-3</v>
      </c>
      <c r="M834" s="1280">
        <v>2.3950170408767901E-4</v>
      </c>
      <c r="N834" s="1271">
        <v>8.4133273544924492E-3</v>
      </c>
      <c r="O834" s="1257">
        <v>3.0000008598028201E-3</v>
      </c>
      <c r="P834" s="1257">
        <v>8.6696764211990299E-3</v>
      </c>
      <c r="Q834" s="1280">
        <v>8.4133273544924492E-3</v>
      </c>
      <c r="R834" s="1271">
        <v>3.8500011034136201E-2</v>
      </c>
      <c r="S834" s="1257">
        <v>3.8500011034136201E-2</v>
      </c>
      <c r="T834" s="1257">
        <v>3.8500011034136201E-2</v>
      </c>
      <c r="U834" s="1280">
        <v>1.9250005517068101E-2</v>
      </c>
      <c r="V834" s="1294" t="s">
        <v>5834</v>
      </c>
    </row>
    <row r="835" spans="1:22" s="212" customFormat="1" ht="15.5" x14ac:dyDescent="0.35">
      <c r="A835" s="198">
        <v>2030</v>
      </c>
      <c r="B835" s="197" t="s">
        <v>5833</v>
      </c>
      <c r="C835" s="197">
        <v>1981</v>
      </c>
      <c r="D835" s="225" t="str">
        <f t="shared" si="4"/>
        <v>2030_1981</v>
      </c>
      <c r="E835" s="1226">
        <v>7.02661093639768E-2</v>
      </c>
      <c r="F835" s="1257">
        <v>1.89265390406986E-2</v>
      </c>
      <c r="G835" s="1280">
        <v>2.66955504367609E-2</v>
      </c>
      <c r="H835" s="1271">
        <v>0.39494087180210002</v>
      </c>
      <c r="I835" s="1257">
        <v>0.46502499356921201</v>
      </c>
      <c r="J835" s="1280">
        <v>0.86283936180329102</v>
      </c>
      <c r="K835" s="1271">
        <v>7.1246616795601399E-3</v>
      </c>
      <c r="L835" s="1257">
        <v>1.5915319459724299E-3</v>
      </c>
      <c r="M835" s="1280">
        <v>2.3950170408767901E-4</v>
      </c>
      <c r="N835" s="1271">
        <v>8.4133273544924492E-3</v>
      </c>
      <c r="O835" s="1257">
        <v>3.0000008598028201E-3</v>
      </c>
      <c r="P835" s="1257">
        <v>8.6696764211990299E-3</v>
      </c>
      <c r="Q835" s="1280">
        <v>8.4133273544924492E-3</v>
      </c>
      <c r="R835" s="1271">
        <v>3.8500011034136201E-2</v>
      </c>
      <c r="S835" s="1257">
        <v>3.8500011034136201E-2</v>
      </c>
      <c r="T835" s="1257">
        <v>3.8500011034136201E-2</v>
      </c>
      <c r="U835" s="1280">
        <v>1.9250005517068101E-2</v>
      </c>
      <c r="V835" s="1294" t="s">
        <v>5834</v>
      </c>
    </row>
    <row r="836" spans="1:22" s="212" customFormat="1" ht="15.5" x14ac:dyDescent="0.35">
      <c r="A836" s="198">
        <v>2030</v>
      </c>
      <c r="B836" s="197" t="s">
        <v>5833</v>
      </c>
      <c r="C836" s="197">
        <v>1982</v>
      </c>
      <c r="D836" s="225" t="str">
        <f t="shared" si="4"/>
        <v>2030_1982</v>
      </c>
      <c r="E836" s="1226">
        <v>7.02661093639768E-2</v>
      </c>
      <c r="F836" s="1257">
        <v>1.89265390406986E-2</v>
      </c>
      <c r="G836" s="1280">
        <v>2.66955504367609E-2</v>
      </c>
      <c r="H836" s="1271">
        <v>0.39494087180210002</v>
      </c>
      <c r="I836" s="1257">
        <v>0.46502499356921201</v>
      </c>
      <c r="J836" s="1280">
        <v>0.86283936180329102</v>
      </c>
      <c r="K836" s="1271">
        <v>7.1246616795601399E-3</v>
      </c>
      <c r="L836" s="1257">
        <v>1.5915319459724299E-3</v>
      </c>
      <c r="M836" s="1280">
        <v>2.3950170408767901E-4</v>
      </c>
      <c r="N836" s="1271">
        <v>8.4133273544924492E-3</v>
      </c>
      <c r="O836" s="1257">
        <v>3.0000008598028201E-3</v>
      </c>
      <c r="P836" s="1257">
        <v>8.6696764211990299E-3</v>
      </c>
      <c r="Q836" s="1280">
        <v>8.4133273544924492E-3</v>
      </c>
      <c r="R836" s="1271">
        <v>3.8500011034136201E-2</v>
      </c>
      <c r="S836" s="1257">
        <v>3.8500011034136201E-2</v>
      </c>
      <c r="T836" s="1257">
        <v>3.8500011034136201E-2</v>
      </c>
      <c r="U836" s="1280">
        <v>1.9250005517068101E-2</v>
      </c>
      <c r="V836" s="1294" t="s">
        <v>5834</v>
      </c>
    </row>
    <row r="837" spans="1:22" s="212" customFormat="1" ht="15.5" x14ac:dyDescent="0.35">
      <c r="A837" s="198">
        <v>2030</v>
      </c>
      <c r="B837" s="197" t="s">
        <v>5833</v>
      </c>
      <c r="C837" s="197">
        <v>1983</v>
      </c>
      <c r="D837" s="225" t="str">
        <f t="shared" si="4"/>
        <v>2030_1983</v>
      </c>
      <c r="E837" s="1226">
        <v>7.02661093639768E-2</v>
      </c>
      <c r="F837" s="1257">
        <v>1.89265390406986E-2</v>
      </c>
      <c r="G837" s="1280">
        <v>2.66955504367609E-2</v>
      </c>
      <c r="H837" s="1271">
        <v>0.39494087180210002</v>
      </c>
      <c r="I837" s="1257">
        <v>0.46502499356921201</v>
      </c>
      <c r="J837" s="1280">
        <v>0.86283936180329102</v>
      </c>
      <c r="K837" s="1271">
        <v>7.1246616795601399E-3</v>
      </c>
      <c r="L837" s="1257">
        <v>1.5915319459724299E-3</v>
      </c>
      <c r="M837" s="1280">
        <v>2.3950170408767901E-4</v>
      </c>
      <c r="N837" s="1271">
        <v>8.4133273544924492E-3</v>
      </c>
      <c r="O837" s="1257">
        <v>3.0000008598028201E-3</v>
      </c>
      <c r="P837" s="1257">
        <v>8.6696764211990299E-3</v>
      </c>
      <c r="Q837" s="1280">
        <v>8.4133273544924492E-3</v>
      </c>
      <c r="R837" s="1271">
        <v>3.8500011034136201E-2</v>
      </c>
      <c r="S837" s="1257">
        <v>3.8500011034136201E-2</v>
      </c>
      <c r="T837" s="1257">
        <v>3.8500011034136201E-2</v>
      </c>
      <c r="U837" s="1280">
        <v>1.9250005517068101E-2</v>
      </c>
      <c r="V837" s="1294" t="s">
        <v>5834</v>
      </c>
    </row>
    <row r="838" spans="1:22" s="212" customFormat="1" ht="15.5" x14ac:dyDescent="0.35">
      <c r="A838" s="198">
        <v>2030</v>
      </c>
      <c r="B838" s="197" t="s">
        <v>5833</v>
      </c>
      <c r="C838" s="197">
        <v>1984</v>
      </c>
      <c r="D838" s="225" t="str">
        <f t="shared" si="4"/>
        <v>2030_1984</v>
      </c>
      <c r="E838" s="1226">
        <v>7.02661093639768E-2</v>
      </c>
      <c r="F838" s="1257">
        <v>1.89265390406986E-2</v>
      </c>
      <c r="G838" s="1280">
        <v>2.66955504367609E-2</v>
      </c>
      <c r="H838" s="1271">
        <v>0.39494087180210002</v>
      </c>
      <c r="I838" s="1257">
        <v>0.46502499356921201</v>
      </c>
      <c r="J838" s="1280">
        <v>0.86283936180329102</v>
      </c>
      <c r="K838" s="1271">
        <v>7.1246616795601399E-3</v>
      </c>
      <c r="L838" s="1257">
        <v>1.5915319459724299E-3</v>
      </c>
      <c r="M838" s="1280">
        <v>2.3950170408767901E-4</v>
      </c>
      <c r="N838" s="1271">
        <v>8.4133273544924492E-3</v>
      </c>
      <c r="O838" s="1257">
        <v>3.0000008598028201E-3</v>
      </c>
      <c r="P838" s="1257">
        <v>8.6696764211990299E-3</v>
      </c>
      <c r="Q838" s="1280">
        <v>8.4133273544924492E-3</v>
      </c>
      <c r="R838" s="1271">
        <v>3.8500011034136201E-2</v>
      </c>
      <c r="S838" s="1257">
        <v>3.8500011034136201E-2</v>
      </c>
      <c r="T838" s="1257">
        <v>3.8500011034136201E-2</v>
      </c>
      <c r="U838" s="1280">
        <v>1.9250005517068101E-2</v>
      </c>
      <c r="V838" s="1294" t="s">
        <v>5834</v>
      </c>
    </row>
    <row r="839" spans="1:22" s="212" customFormat="1" ht="15.5" x14ac:dyDescent="0.35">
      <c r="A839" s="198">
        <v>2030</v>
      </c>
      <c r="B839" s="197" t="s">
        <v>5833</v>
      </c>
      <c r="C839" s="197">
        <v>1985</v>
      </c>
      <c r="D839" s="225" t="str">
        <f t="shared" si="4"/>
        <v>2030_1985</v>
      </c>
      <c r="E839" s="1226">
        <v>7.02661093639768E-2</v>
      </c>
      <c r="F839" s="1257">
        <v>1.89265390406986E-2</v>
      </c>
      <c r="G839" s="1280">
        <v>2.66955504367609E-2</v>
      </c>
      <c r="H839" s="1271">
        <v>0.39494087180210002</v>
      </c>
      <c r="I839" s="1257">
        <v>0.46502499356921201</v>
      </c>
      <c r="J839" s="1280">
        <v>0.86283936180329102</v>
      </c>
      <c r="K839" s="1271">
        <v>7.1246616795601399E-3</v>
      </c>
      <c r="L839" s="1257">
        <v>1.5915319459724299E-3</v>
      </c>
      <c r="M839" s="1280">
        <v>2.3950170408767901E-4</v>
      </c>
      <c r="N839" s="1271">
        <v>8.4133273544924492E-3</v>
      </c>
      <c r="O839" s="1257">
        <v>3.0000008598028201E-3</v>
      </c>
      <c r="P839" s="1257">
        <v>8.6696764211990299E-3</v>
      </c>
      <c r="Q839" s="1280">
        <v>8.4133273544924492E-3</v>
      </c>
      <c r="R839" s="1271">
        <v>3.8500011034136201E-2</v>
      </c>
      <c r="S839" s="1257">
        <v>3.8500011034136201E-2</v>
      </c>
      <c r="T839" s="1257">
        <v>3.8500011034136201E-2</v>
      </c>
      <c r="U839" s="1280">
        <v>1.9250005517068101E-2</v>
      </c>
      <c r="V839" s="1294" t="s">
        <v>5834</v>
      </c>
    </row>
    <row r="840" spans="1:22" s="212" customFormat="1" ht="15.5" x14ac:dyDescent="0.35">
      <c r="A840" s="198">
        <v>2030</v>
      </c>
      <c r="B840" s="197" t="s">
        <v>5833</v>
      </c>
      <c r="C840" s="197">
        <v>1986</v>
      </c>
      <c r="D840" s="225" t="str">
        <f t="shared" si="4"/>
        <v>2030_1986</v>
      </c>
      <c r="E840" s="1226">
        <v>7.02661093639768E-2</v>
      </c>
      <c r="F840" s="1257">
        <v>1.89265390406986E-2</v>
      </c>
      <c r="G840" s="1280">
        <v>2.66955504367609E-2</v>
      </c>
      <c r="H840" s="1271">
        <v>0.39494087180210002</v>
      </c>
      <c r="I840" s="1257">
        <v>0.46502499356921201</v>
      </c>
      <c r="J840" s="1280">
        <v>0.86283936180329102</v>
      </c>
      <c r="K840" s="1271">
        <v>7.1246616795601399E-3</v>
      </c>
      <c r="L840" s="1257">
        <v>1.5915319459724299E-3</v>
      </c>
      <c r="M840" s="1280">
        <v>2.3950170408767901E-4</v>
      </c>
      <c r="N840" s="1271">
        <v>8.4133273544924492E-3</v>
      </c>
      <c r="O840" s="1257">
        <v>3.0000008598028201E-3</v>
      </c>
      <c r="P840" s="1257">
        <v>8.6696764211990299E-3</v>
      </c>
      <c r="Q840" s="1280">
        <v>8.4133273544924492E-3</v>
      </c>
      <c r="R840" s="1271">
        <v>3.8500011034136201E-2</v>
      </c>
      <c r="S840" s="1257">
        <v>3.8500011034136201E-2</v>
      </c>
      <c r="T840" s="1257">
        <v>3.8500011034136201E-2</v>
      </c>
      <c r="U840" s="1280">
        <v>1.9250005517068101E-2</v>
      </c>
      <c r="V840" s="1294" t="s">
        <v>5834</v>
      </c>
    </row>
    <row r="841" spans="1:22" s="212" customFormat="1" ht="15.5" x14ac:dyDescent="0.35">
      <c r="A841" s="198">
        <v>2030</v>
      </c>
      <c r="B841" s="197" t="s">
        <v>5833</v>
      </c>
      <c r="C841" s="197">
        <v>1987</v>
      </c>
      <c r="D841" s="225" t="str">
        <f t="shared" si="4"/>
        <v>2030_1987</v>
      </c>
      <c r="E841" s="1226">
        <v>7.02661093639768E-2</v>
      </c>
      <c r="F841" s="1257">
        <v>1.89265390406986E-2</v>
      </c>
      <c r="G841" s="1280">
        <v>2.66955504367609E-2</v>
      </c>
      <c r="H841" s="1271">
        <v>0.39494087180210002</v>
      </c>
      <c r="I841" s="1257">
        <v>0.46502499356921201</v>
      </c>
      <c r="J841" s="1280">
        <v>0.86283936180329102</v>
      </c>
      <c r="K841" s="1271">
        <v>7.1246616795601399E-3</v>
      </c>
      <c r="L841" s="1257">
        <v>1.5915319459724299E-3</v>
      </c>
      <c r="M841" s="1280">
        <v>2.3950170408767901E-4</v>
      </c>
      <c r="N841" s="1271">
        <v>8.4133273544924492E-3</v>
      </c>
      <c r="O841" s="1257">
        <v>3.0000008598028201E-3</v>
      </c>
      <c r="P841" s="1257">
        <v>8.6696764211990299E-3</v>
      </c>
      <c r="Q841" s="1280">
        <v>8.4133273544924492E-3</v>
      </c>
      <c r="R841" s="1271">
        <v>3.8500011034136201E-2</v>
      </c>
      <c r="S841" s="1257">
        <v>3.8500011034136201E-2</v>
      </c>
      <c r="T841" s="1257">
        <v>3.8500011034136201E-2</v>
      </c>
      <c r="U841" s="1280">
        <v>1.9250005517068101E-2</v>
      </c>
      <c r="V841" s="1294" t="s">
        <v>5834</v>
      </c>
    </row>
    <row r="842" spans="1:22" s="212" customFormat="1" ht="15.5" x14ac:dyDescent="0.35">
      <c r="A842" s="198">
        <v>2030</v>
      </c>
      <c r="B842" s="197" t="s">
        <v>5833</v>
      </c>
      <c r="C842" s="197">
        <v>1988</v>
      </c>
      <c r="D842" s="225" t="str">
        <f t="shared" si="4"/>
        <v>2030_1988</v>
      </c>
      <c r="E842" s="1226">
        <v>7.02661093639768E-2</v>
      </c>
      <c r="F842" s="1257">
        <v>1.89265390406986E-2</v>
      </c>
      <c r="G842" s="1280">
        <v>2.66955504367609E-2</v>
      </c>
      <c r="H842" s="1271">
        <v>0.39494087180210002</v>
      </c>
      <c r="I842" s="1257">
        <v>0.46502499356921201</v>
      </c>
      <c r="J842" s="1280">
        <v>0.86283936180329102</v>
      </c>
      <c r="K842" s="1271">
        <v>7.1246616795601399E-3</v>
      </c>
      <c r="L842" s="1257">
        <v>1.5915319459724299E-3</v>
      </c>
      <c r="M842" s="1280">
        <v>2.3950170408767901E-4</v>
      </c>
      <c r="N842" s="1271">
        <v>8.4133273544924492E-3</v>
      </c>
      <c r="O842" s="1257">
        <v>3.0000008598028201E-3</v>
      </c>
      <c r="P842" s="1257">
        <v>8.6696764211990299E-3</v>
      </c>
      <c r="Q842" s="1280">
        <v>8.4133273544924492E-3</v>
      </c>
      <c r="R842" s="1271">
        <v>3.8500011034136201E-2</v>
      </c>
      <c r="S842" s="1257">
        <v>3.8500011034136201E-2</v>
      </c>
      <c r="T842" s="1257">
        <v>3.8500011034136201E-2</v>
      </c>
      <c r="U842" s="1280">
        <v>1.9250005517068101E-2</v>
      </c>
      <c r="V842" s="1294" t="s">
        <v>5834</v>
      </c>
    </row>
    <row r="843" spans="1:22" s="212" customFormat="1" ht="15.5" x14ac:dyDescent="0.35">
      <c r="A843" s="198">
        <v>2030</v>
      </c>
      <c r="B843" s="197" t="s">
        <v>5833</v>
      </c>
      <c r="C843" s="197">
        <v>1989</v>
      </c>
      <c r="D843" s="225" t="str">
        <f t="shared" si="4"/>
        <v>2030_1989</v>
      </c>
      <c r="E843" s="1226">
        <v>7.02661093639768E-2</v>
      </c>
      <c r="F843" s="1257">
        <v>1.89265390406986E-2</v>
      </c>
      <c r="G843" s="1280">
        <v>2.66955504367609E-2</v>
      </c>
      <c r="H843" s="1271">
        <v>0.39494087180210002</v>
      </c>
      <c r="I843" s="1257">
        <v>0.46502499356921201</v>
      </c>
      <c r="J843" s="1280">
        <v>0.86283936180329102</v>
      </c>
      <c r="K843" s="1271">
        <v>7.1246616795601399E-3</v>
      </c>
      <c r="L843" s="1257">
        <v>1.5915319459724299E-3</v>
      </c>
      <c r="M843" s="1280">
        <v>2.3950170408767901E-4</v>
      </c>
      <c r="N843" s="1271">
        <v>8.4133273544924492E-3</v>
      </c>
      <c r="O843" s="1257">
        <v>3.0000008598028201E-3</v>
      </c>
      <c r="P843" s="1257">
        <v>8.6696764211990299E-3</v>
      </c>
      <c r="Q843" s="1280">
        <v>8.4133273544924492E-3</v>
      </c>
      <c r="R843" s="1271">
        <v>3.8500011034136201E-2</v>
      </c>
      <c r="S843" s="1257">
        <v>3.8500011034136201E-2</v>
      </c>
      <c r="T843" s="1257">
        <v>3.8500011034136201E-2</v>
      </c>
      <c r="U843" s="1280">
        <v>1.9250005517068101E-2</v>
      </c>
      <c r="V843" s="1294" t="s">
        <v>5834</v>
      </c>
    </row>
    <row r="844" spans="1:22" s="212" customFormat="1" ht="15.5" x14ac:dyDescent="0.35">
      <c r="A844" s="198">
        <v>2030</v>
      </c>
      <c r="B844" s="197" t="s">
        <v>5833</v>
      </c>
      <c r="C844" s="197">
        <v>1990</v>
      </c>
      <c r="D844" s="225" t="str">
        <f t="shared" si="4"/>
        <v>2030_1990</v>
      </c>
      <c r="E844" s="1226">
        <v>7.02661093639768E-2</v>
      </c>
      <c r="F844" s="1257">
        <v>1.89265390406986E-2</v>
      </c>
      <c r="G844" s="1280">
        <v>2.66955504367609E-2</v>
      </c>
      <c r="H844" s="1271">
        <v>0.39494087180210002</v>
      </c>
      <c r="I844" s="1257">
        <v>0.46502499356921201</v>
      </c>
      <c r="J844" s="1280">
        <v>0.86283936180329102</v>
      </c>
      <c r="K844" s="1271">
        <v>7.1246616795601399E-3</v>
      </c>
      <c r="L844" s="1257">
        <v>1.5915319459724299E-3</v>
      </c>
      <c r="M844" s="1280">
        <v>2.3950170408767901E-4</v>
      </c>
      <c r="N844" s="1271">
        <v>8.4133273544924492E-3</v>
      </c>
      <c r="O844" s="1257">
        <v>3.0000008598028201E-3</v>
      </c>
      <c r="P844" s="1257">
        <v>8.6696764211990299E-3</v>
      </c>
      <c r="Q844" s="1280">
        <v>8.4133273544924492E-3</v>
      </c>
      <c r="R844" s="1271">
        <v>3.8500011034136201E-2</v>
      </c>
      <c r="S844" s="1257">
        <v>3.8500011034136201E-2</v>
      </c>
      <c r="T844" s="1257">
        <v>3.8500011034136201E-2</v>
      </c>
      <c r="U844" s="1280">
        <v>1.9250005517068101E-2</v>
      </c>
      <c r="V844" s="1294" t="s">
        <v>5834</v>
      </c>
    </row>
    <row r="845" spans="1:22" s="212" customFormat="1" ht="15.5" x14ac:dyDescent="0.35">
      <c r="A845" s="198">
        <v>2030</v>
      </c>
      <c r="B845" s="197" t="s">
        <v>5833</v>
      </c>
      <c r="C845" s="197">
        <v>1991</v>
      </c>
      <c r="D845" s="225" t="str">
        <f t="shared" si="4"/>
        <v>2030_1991</v>
      </c>
      <c r="E845" s="1226">
        <v>7.02661093639768E-2</v>
      </c>
      <c r="F845" s="1257">
        <v>1.89265390406986E-2</v>
      </c>
      <c r="G845" s="1280">
        <v>2.66955504367609E-2</v>
      </c>
      <c r="H845" s="1271">
        <v>0.39494087180210002</v>
      </c>
      <c r="I845" s="1257">
        <v>0.46502499356921201</v>
      </c>
      <c r="J845" s="1280">
        <v>0.86283936180329102</v>
      </c>
      <c r="K845" s="1271">
        <v>7.1246616795601399E-3</v>
      </c>
      <c r="L845" s="1257">
        <v>1.5915319459724299E-3</v>
      </c>
      <c r="M845" s="1280">
        <v>2.3950170408767901E-4</v>
      </c>
      <c r="N845" s="1271">
        <v>8.4133273544924492E-3</v>
      </c>
      <c r="O845" s="1257">
        <v>3.0000008598028201E-3</v>
      </c>
      <c r="P845" s="1257">
        <v>8.6696764211990299E-3</v>
      </c>
      <c r="Q845" s="1280">
        <v>8.4133273544924492E-3</v>
      </c>
      <c r="R845" s="1271">
        <v>3.8500011034136201E-2</v>
      </c>
      <c r="S845" s="1257">
        <v>3.8500011034136201E-2</v>
      </c>
      <c r="T845" s="1257">
        <v>3.8500011034136201E-2</v>
      </c>
      <c r="U845" s="1280">
        <v>1.9250005517068101E-2</v>
      </c>
      <c r="V845" s="1294" t="s">
        <v>5834</v>
      </c>
    </row>
    <row r="846" spans="1:22" s="212" customFormat="1" ht="15.5" x14ac:dyDescent="0.35">
      <c r="A846" s="198">
        <v>2030</v>
      </c>
      <c r="B846" s="197" t="s">
        <v>5833</v>
      </c>
      <c r="C846" s="197">
        <v>1992</v>
      </c>
      <c r="D846" s="225" t="str">
        <f t="shared" si="4"/>
        <v>2030_1992</v>
      </c>
      <c r="E846" s="1226">
        <v>7.02661093639768E-2</v>
      </c>
      <c r="F846" s="1257">
        <v>1.89265390406986E-2</v>
      </c>
      <c r="G846" s="1280">
        <v>2.66955504367609E-2</v>
      </c>
      <c r="H846" s="1271">
        <v>0.39494087180210002</v>
      </c>
      <c r="I846" s="1257">
        <v>0.46502499356921201</v>
      </c>
      <c r="J846" s="1280">
        <v>0.86283936180329102</v>
      </c>
      <c r="K846" s="1271">
        <v>7.1246616795601399E-3</v>
      </c>
      <c r="L846" s="1257">
        <v>1.5915319459724299E-3</v>
      </c>
      <c r="M846" s="1280">
        <v>2.3950170408767901E-4</v>
      </c>
      <c r="N846" s="1271">
        <v>8.4133273544924492E-3</v>
      </c>
      <c r="O846" s="1257">
        <v>3.0000008598028201E-3</v>
      </c>
      <c r="P846" s="1257">
        <v>8.6696764211990299E-3</v>
      </c>
      <c r="Q846" s="1280">
        <v>8.4133273544924492E-3</v>
      </c>
      <c r="R846" s="1271">
        <v>3.8500011034136201E-2</v>
      </c>
      <c r="S846" s="1257">
        <v>3.8500011034136201E-2</v>
      </c>
      <c r="T846" s="1257">
        <v>3.8500011034136201E-2</v>
      </c>
      <c r="U846" s="1280">
        <v>1.9250005517068101E-2</v>
      </c>
      <c r="V846" s="1294" t="s">
        <v>5834</v>
      </c>
    </row>
    <row r="847" spans="1:22" s="212" customFormat="1" ht="15.5" x14ac:dyDescent="0.35">
      <c r="A847" s="198">
        <v>2030</v>
      </c>
      <c r="B847" s="197" t="s">
        <v>5833</v>
      </c>
      <c r="C847" s="197">
        <v>1993</v>
      </c>
      <c r="D847" s="225" t="str">
        <f t="shared" si="4"/>
        <v>2030_1993</v>
      </c>
      <c r="E847" s="1226">
        <v>7.02661093639768E-2</v>
      </c>
      <c r="F847" s="1257">
        <v>1.89265390406986E-2</v>
      </c>
      <c r="G847" s="1280">
        <v>2.66955504367609E-2</v>
      </c>
      <c r="H847" s="1271">
        <v>0.39494087180210002</v>
      </c>
      <c r="I847" s="1257">
        <v>0.46502499356921201</v>
      </c>
      <c r="J847" s="1280">
        <v>0.86283936180329102</v>
      </c>
      <c r="K847" s="1271">
        <v>7.1246616795601399E-3</v>
      </c>
      <c r="L847" s="1257">
        <v>1.5915319459724299E-3</v>
      </c>
      <c r="M847" s="1280">
        <v>2.3950170408767901E-4</v>
      </c>
      <c r="N847" s="1271">
        <v>8.4133273544924492E-3</v>
      </c>
      <c r="O847" s="1257">
        <v>3.0000008598028201E-3</v>
      </c>
      <c r="P847" s="1257">
        <v>8.6696764211990299E-3</v>
      </c>
      <c r="Q847" s="1280">
        <v>8.4133273544924492E-3</v>
      </c>
      <c r="R847" s="1271">
        <v>3.8500011034136201E-2</v>
      </c>
      <c r="S847" s="1257">
        <v>3.8500011034136201E-2</v>
      </c>
      <c r="T847" s="1257">
        <v>3.8500011034136201E-2</v>
      </c>
      <c r="U847" s="1280">
        <v>1.9250005517068101E-2</v>
      </c>
      <c r="V847" s="1294" t="s">
        <v>5834</v>
      </c>
    </row>
    <row r="848" spans="1:22" s="212" customFormat="1" ht="15.5" x14ac:dyDescent="0.35">
      <c r="A848" s="198">
        <v>2030</v>
      </c>
      <c r="B848" s="197" t="s">
        <v>5833</v>
      </c>
      <c r="C848" s="197">
        <v>1994</v>
      </c>
      <c r="D848" s="225" t="str">
        <f t="shared" si="4"/>
        <v>2030_1994</v>
      </c>
      <c r="E848" s="1226">
        <v>7.02661093639768E-2</v>
      </c>
      <c r="F848" s="1257">
        <v>1.89265390406986E-2</v>
      </c>
      <c r="G848" s="1280">
        <v>2.66955504367609E-2</v>
      </c>
      <c r="H848" s="1271">
        <v>0.39494087180210002</v>
      </c>
      <c r="I848" s="1257">
        <v>0.46502499356921201</v>
      </c>
      <c r="J848" s="1280">
        <v>0.86283936180329102</v>
      </c>
      <c r="K848" s="1271">
        <v>7.1246616795601399E-3</v>
      </c>
      <c r="L848" s="1257">
        <v>1.5915319459724299E-3</v>
      </c>
      <c r="M848" s="1280">
        <v>2.3950170408767901E-4</v>
      </c>
      <c r="N848" s="1271">
        <v>8.4133273544924492E-3</v>
      </c>
      <c r="O848" s="1257">
        <v>3.0000008598028201E-3</v>
      </c>
      <c r="P848" s="1257">
        <v>8.6696764211990299E-3</v>
      </c>
      <c r="Q848" s="1280">
        <v>8.4133273544924492E-3</v>
      </c>
      <c r="R848" s="1271">
        <v>3.8500011034136201E-2</v>
      </c>
      <c r="S848" s="1257">
        <v>3.8500011034136201E-2</v>
      </c>
      <c r="T848" s="1257">
        <v>3.8500011034136201E-2</v>
      </c>
      <c r="U848" s="1280">
        <v>1.9250005517068101E-2</v>
      </c>
      <c r="V848" s="1294" t="s">
        <v>5834</v>
      </c>
    </row>
    <row r="849" spans="1:22" s="212" customFormat="1" ht="15.5" x14ac:dyDescent="0.35">
      <c r="A849" s="198">
        <v>2030</v>
      </c>
      <c r="B849" s="197" t="s">
        <v>5833</v>
      </c>
      <c r="C849" s="197">
        <v>1995</v>
      </c>
      <c r="D849" s="225" t="str">
        <f t="shared" si="4"/>
        <v>2030_1995</v>
      </c>
      <c r="E849" s="1226">
        <v>7.02661093639768E-2</v>
      </c>
      <c r="F849" s="1257">
        <v>1.89265390406986E-2</v>
      </c>
      <c r="G849" s="1280">
        <v>2.66955504367609E-2</v>
      </c>
      <c r="H849" s="1271">
        <v>0.39494087180210002</v>
      </c>
      <c r="I849" s="1257">
        <v>0.46502499356921201</v>
      </c>
      <c r="J849" s="1280">
        <v>0.86283936180329102</v>
      </c>
      <c r="K849" s="1271">
        <v>7.1246616795601399E-3</v>
      </c>
      <c r="L849" s="1257">
        <v>1.5915319459724299E-3</v>
      </c>
      <c r="M849" s="1280">
        <v>2.3950170408767901E-4</v>
      </c>
      <c r="N849" s="1271">
        <v>8.4133273544924492E-3</v>
      </c>
      <c r="O849" s="1257">
        <v>3.0000008598028201E-3</v>
      </c>
      <c r="P849" s="1257">
        <v>8.6696764211990299E-3</v>
      </c>
      <c r="Q849" s="1280">
        <v>8.4133273544924492E-3</v>
      </c>
      <c r="R849" s="1271">
        <v>3.8500011034136201E-2</v>
      </c>
      <c r="S849" s="1257">
        <v>3.8500011034136201E-2</v>
      </c>
      <c r="T849" s="1257">
        <v>3.8500011034136201E-2</v>
      </c>
      <c r="U849" s="1280">
        <v>1.9250005517068101E-2</v>
      </c>
      <c r="V849" s="1294" t="s">
        <v>5834</v>
      </c>
    </row>
    <row r="850" spans="1:22" s="212" customFormat="1" ht="15.5" x14ac:dyDescent="0.35">
      <c r="A850" s="198">
        <v>2030</v>
      </c>
      <c r="B850" s="197" t="s">
        <v>5833</v>
      </c>
      <c r="C850" s="197">
        <v>1996</v>
      </c>
      <c r="D850" s="225" t="str">
        <f t="shared" si="4"/>
        <v>2030_1996</v>
      </c>
      <c r="E850" s="1226">
        <v>7.02661093639768E-2</v>
      </c>
      <c r="F850" s="1257">
        <v>1.89265390406986E-2</v>
      </c>
      <c r="G850" s="1280">
        <v>2.66955504367609E-2</v>
      </c>
      <c r="H850" s="1271">
        <v>0.39494087180210002</v>
      </c>
      <c r="I850" s="1257">
        <v>0.46502499356921201</v>
      </c>
      <c r="J850" s="1280">
        <v>0.86283936180329102</v>
      </c>
      <c r="K850" s="1271">
        <v>7.1246616795601399E-3</v>
      </c>
      <c r="L850" s="1257">
        <v>1.5915319459724299E-3</v>
      </c>
      <c r="M850" s="1280">
        <v>2.3950170408767901E-4</v>
      </c>
      <c r="N850" s="1271">
        <v>8.4133273544924492E-3</v>
      </c>
      <c r="O850" s="1257">
        <v>3.0000008598028201E-3</v>
      </c>
      <c r="P850" s="1257">
        <v>8.6696764211990299E-3</v>
      </c>
      <c r="Q850" s="1280">
        <v>8.4133273544924492E-3</v>
      </c>
      <c r="R850" s="1271">
        <v>3.8500011034136201E-2</v>
      </c>
      <c r="S850" s="1257">
        <v>3.8500011034136201E-2</v>
      </c>
      <c r="T850" s="1257">
        <v>3.8500011034136201E-2</v>
      </c>
      <c r="U850" s="1280">
        <v>1.9250005517068101E-2</v>
      </c>
      <c r="V850" s="1294" t="s">
        <v>5834</v>
      </c>
    </row>
    <row r="851" spans="1:22" s="212" customFormat="1" ht="15.5" x14ac:dyDescent="0.35">
      <c r="A851" s="198">
        <v>2030</v>
      </c>
      <c r="B851" s="197" t="s">
        <v>5833</v>
      </c>
      <c r="C851" s="197">
        <v>1997</v>
      </c>
      <c r="D851" s="225" t="str">
        <f t="shared" si="4"/>
        <v>2030_1997</v>
      </c>
      <c r="E851" s="1226">
        <v>7.02661093639768E-2</v>
      </c>
      <c r="F851" s="1257">
        <v>1.89265390406986E-2</v>
      </c>
      <c r="G851" s="1280">
        <v>2.66955504367609E-2</v>
      </c>
      <c r="H851" s="1271">
        <v>0.39494087180210002</v>
      </c>
      <c r="I851" s="1257">
        <v>0.46502499356921201</v>
      </c>
      <c r="J851" s="1280">
        <v>0.86283936180329102</v>
      </c>
      <c r="K851" s="1271">
        <v>7.1246616795601399E-3</v>
      </c>
      <c r="L851" s="1257">
        <v>1.5915319459724299E-3</v>
      </c>
      <c r="M851" s="1280">
        <v>2.3950170408767901E-4</v>
      </c>
      <c r="N851" s="1271">
        <v>8.4133273544924492E-3</v>
      </c>
      <c r="O851" s="1257">
        <v>3.0000008598028201E-3</v>
      </c>
      <c r="P851" s="1257">
        <v>8.6696764211990299E-3</v>
      </c>
      <c r="Q851" s="1280">
        <v>8.4133273544924492E-3</v>
      </c>
      <c r="R851" s="1271">
        <v>3.8500011034136201E-2</v>
      </c>
      <c r="S851" s="1257">
        <v>3.8500011034136201E-2</v>
      </c>
      <c r="T851" s="1257">
        <v>3.8500011034136201E-2</v>
      </c>
      <c r="U851" s="1280">
        <v>1.9250005517068101E-2</v>
      </c>
      <c r="V851" s="1294" t="s">
        <v>5834</v>
      </c>
    </row>
    <row r="852" spans="1:22" s="212" customFormat="1" ht="15.5" x14ac:dyDescent="0.35">
      <c r="A852" s="198">
        <v>2030</v>
      </c>
      <c r="B852" s="197" t="s">
        <v>5833</v>
      </c>
      <c r="C852" s="197">
        <v>1998</v>
      </c>
      <c r="D852" s="225" t="str">
        <f t="shared" si="4"/>
        <v>2030_1998</v>
      </c>
      <c r="E852" s="1226">
        <v>7.02661093639768E-2</v>
      </c>
      <c r="F852" s="1257">
        <v>1.89265390406986E-2</v>
      </c>
      <c r="G852" s="1280">
        <v>2.66955504367609E-2</v>
      </c>
      <c r="H852" s="1271">
        <v>0.39494087180210002</v>
      </c>
      <c r="I852" s="1257">
        <v>0.46502499356921201</v>
      </c>
      <c r="J852" s="1280">
        <v>0.86283936180329102</v>
      </c>
      <c r="K852" s="1271">
        <v>7.1246616795601399E-3</v>
      </c>
      <c r="L852" s="1257">
        <v>1.5915319459724299E-3</v>
      </c>
      <c r="M852" s="1280">
        <v>2.3950170408767901E-4</v>
      </c>
      <c r="N852" s="1271">
        <v>8.4133273544924492E-3</v>
      </c>
      <c r="O852" s="1257">
        <v>3.0000008598028201E-3</v>
      </c>
      <c r="P852" s="1257">
        <v>8.6696764211990299E-3</v>
      </c>
      <c r="Q852" s="1280">
        <v>8.4133273544924492E-3</v>
      </c>
      <c r="R852" s="1271">
        <v>3.8500011034136201E-2</v>
      </c>
      <c r="S852" s="1257">
        <v>3.8500011034136201E-2</v>
      </c>
      <c r="T852" s="1257">
        <v>3.8500011034136201E-2</v>
      </c>
      <c r="U852" s="1280">
        <v>1.9250005517068101E-2</v>
      </c>
      <c r="V852" s="1294" t="s">
        <v>5834</v>
      </c>
    </row>
    <row r="853" spans="1:22" s="212" customFormat="1" ht="15.5" x14ac:dyDescent="0.35">
      <c r="A853" s="198">
        <v>2030</v>
      </c>
      <c r="B853" s="197" t="s">
        <v>5833</v>
      </c>
      <c r="C853" s="197">
        <v>1999</v>
      </c>
      <c r="D853" s="225" t="str">
        <f t="shared" si="4"/>
        <v>2030_1999</v>
      </c>
      <c r="E853" s="1226">
        <v>7.02661093639768E-2</v>
      </c>
      <c r="F853" s="1257">
        <v>1.89265390406986E-2</v>
      </c>
      <c r="G853" s="1280">
        <v>2.66955504367609E-2</v>
      </c>
      <c r="H853" s="1271">
        <v>0.39494087180210002</v>
      </c>
      <c r="I853" s="1257">
        <v>0.46502499356921201</v>
      </c>
      <c r="J853" s="1280">
        <v>0.86283936180329102</v>
      </c>
      <c r="K853" s="1271">
        <v>7.1246616795601399E-3</v>
      </c>
      <c r="L853" s="1257">
        <v>1.5915319459724299E-3</v>
      </c>
      <c r="M853" s="1280">
        <v>2.3950170408767901E-4</v>
      </c>
      <c r="N853" s="1271">
        <v>8.4133273544924492E-3</v>
      </c>
      <c r="O853" s="1257">
        <v>3.0000008598028201E-3</v>
      </c>
      <c r="P853" s="1257">
        <v>8.6696764211990299E-3</v>
      </c>
      <c r="Q853" s="1280">
        <v>8.4133273544924492E-3</v>
      </c>
      <c r="R853" s="1271">
        <v>3.8500011034136201E-2</v>
      </c>
      <c r="S853" s="1257">
        <v>3.8500011034136201E-2</v>
      </c>
      <c r="T853" s="1257">
        <v>3.8500011034136201E-2</v>
      </c>
      <c r="U853" s="1280">
        <v>1.9250005517068101E-2</v>
      </c>
      <c r="V853" s="1294" t="s">
        <v>5834</v>
      </c>
    </row>
    <row r="854" spans="1:22" s="212" customFormat="1" ht="15.5" x14ac:dyDescent="0.35">
      <c r="A854" s="198">
        <v>2030</v>
      </c>
      <c r="B854" s="197" t="s">
        <v>5833</v>
      </c>
      <c r="C854" s="197">
        <v>2000</v>
      </c>
      <c r="D854" s="225" t="str">
        <f t="shared" si="4"/>
        <v>2030_2000</v>
      </c>
      <c r="E854" s="1226">
        <v>7.02661093639768E-2</v>
      </c>
      <c r="F854" s="1257">
        <v>1.89265390406986E-2</v>
      </c>
      <c r="G854" s="1280">
        <v>2.66955504367609E-2</v>
      </c>
      <c r="H854" s="1271">
        <v>0.39494087180210002</v>
      </c>
      <c r="I854" s="1257">
        <v>0.46502499356921201</v>
      </c>
      <c r="J854" s="1280">
        <v>0.86283936180329102</v>
      </c>
      <c r="K854" s="1271">
        <v>7.1246616795601399E-3</v>
      </c>
      <c r="L854" s="1257">
        <v>1.5915319459724299E-3</v>
      </c>
      <c r="M854" s="1280">
        <v>2.3950170408767901E-4</v>
      </c>
      <c r="N854" s="1271">
        <v>8.4133273544924492E-3</v>
      </c>
      <c r="O854" s="1257">
        <v>3.0000008598028201E-3</v>
      </c>
      <c r="P854" s="1257">
        <v>8.6696764211990299E-3</v>
      </c>
      <c r="Q854" s="1280">
        <v>8.4133273544924492E-3</v>
      </c>
      <c r="R854" s="1271">
        <v>3.8500011034136201E-2</v>
      </c>
      <c r="S854" s="1257">
        <v>3.8500011034136201E-2</v>
      </c>
      <c r="T854" s="1257">
        <v>3.8500011034136201E-2</v>
      </c>
      <c r="U854" s="1280">
        <v>1.9250005517068101E-2</v>
      </c>
      <c r="V854" s="1294" t="s">
        <v>5834</v>
      </c>
    </row>
    <row r="855" spans="1:22" s="212" customFormat="1" ht="15.5" x14ac:dyDescent="0.35">
      <c r="A855" s="198">
        <v>2030</v>
      </c>
      <c r="B855" s="197" t="s">
        <v>5833</v>
      </c>
      <c r="C855" s="197">
        <v>2001</v>
      </c>
      <c r="D855" s="225" t="str">
        <f t="shared" si="4"/>
        <v>2030_2001</v>
      </c>
      <c r="E855" s="1226">
        <v>7.02661093639768E-2</v>
      </c>
      <c r="F855" s="1257">
        <v>1.89265390406986E-2</v>
      </c>
      <c r="G855" s="1280">
        <v>2.66955504367609E-2</v>
      </c>
      <c r="H855" s="1271">
        <v>0.39494087180210002</v>
      </c>
      <c r="I855" s="1257">
        <v>0.46502499356921201</v>
      </c>
      <c r="J855" s="1280">
        <v>0.86283936180329102</v>
      </c>
      <c r="K855" s="1271">
        <v>7.1246616795601399E-3</v>
      </c>
      <c r="L855" s="1257">
        <v>1.5915319459724299E-3</v>
      </c>
      <c r="M855" s="1280">
        <v>2.3950170408767901E-4</v>
      </c>
      <c r="N855" s="1271">
        <v>8.4133273544924492E-3</v>
      </c>
      <c r="O855" s="1257">
        <v>3.0000008598028201E-3</v>
      </c>
      <c r="P855" s="1257">
        <v>8.6696764211990299E-3</v>
      </c>
      <c r="Q855" s="1280">
        <v>8.4133273544924492E-3</v>
      </c>
      <c r="R855" s="1271">
        <v>3.8500011034136201E-2</v>
      </c>
      <c r="S855" s="1257">
        <v>3.8500011034136201E-2</v>
      </c>
      <c r="T855" s="1257">
        <v>3.8500011034136201E-2</v>
      </c>
      <c r="U855" s="1280">
        <v>1.9250005517068101E-2</v>
      </c>
      <c r="V855" s="1294" t="s">
        <v>5834</v>
      </c>
    </row>
    <row r="856" spans="1:22" s="212" customFormat="1" ht="15.5" x14ac:dyDescent="0.35">
      <c r="A856" s="198">
        <v>2030</v>
      </c>
      <c r="B856" s="197" t="s">
        <v>5833</v>
      </c>
      <c r="C856" s="197">
        <v>2002</v>
      </c>
      <c r="D856" s="225" t="str">
        <f t="shared" si="4"/>
        <v>2030_2002</v>
      </c>
      <c r="E856" s="1226">
        <v>7.02661093639768E-2</v>
      </c>
      <c r="F856" s="1257">
        <v>1.89265390406986E-2</v>
      </c>
      <c r="G856" s="1280">
        <v>2.66955504367609E-2</v>
      </c>
      <c r="H856" s="1271">
        <v>0.39494087180210002</v>
      </c>
      <c r="I856" s="1257">
        <v>0.46502499356921201</v>
      </c>
      <c r="J856" s="1280">
        <v>0.86283936180329102</v>
      </c>
      <c r="K856" s="1271">
        <v>7.1246616795601399E-3</v>
      </c>
      <c r="L856" s="1257">
        <v>1.5915319459724299E-3</v>
      </c>
      <c r="M856" s="1280">
        <v>2.3950170408767901E-4</v>
      </c>
      <c r="N856" s="1271">
        <v>8.4133273544924492E-3</v>
      </c>
      <c r="O856" s="1257">
        <v>3.0000008598028201E-3</v>
      </c>
      <c r="P856" s="1257">
        <v>8.6696764211990299E-3</v>
      </c>
      <c r="Q856" s="1280">
        <v>8.4133273544924492E-3</v>
      </c>
      <c r="R856" s="1271">
        <v>3.8500011034136201E-2</v>
      </c>
      <c r="S856" s="1257">
        <v>3.8500011034136201E-2</v>
      </c>
      <c r="T856" s="1257">
        <v>3.8500011034136201E-2</v>
      </c>
      <c r="U856" s="1280">
        <v>1.9250005517068101E-2</v>
      </c>
      <c r="V856" s="1294" t="s">
        <v>5834</v>
      </c>
    </row>
    <row r="857" spans="1:22" s="212" customFormat="1" ht="15.5" x14ac:dyDescent="0.35">
      <c r="A857" s="198">
        <v>2030</v>
      </c>
      <c r="B857" s="197" t="s">
        <v>5833</v>
      </c>
      <c r="C857" s="197">
        <v>2003</v>
      </c>
      <c r="D857" s="225" t="str">
        <f t="shared" si="4"/>
        <v>2030_2003</v>
      </c>
      <c r="E857" s="1226">
        <v>7.02661093639768E-2</v>
      </c>
      <c r="F857" s="1257">
        <v>1.89265390406986E-2</v>
      </c>
      <c r="G857" s="1280">
        <v>2.66955504367609E-2</v>
      </c>
      <c r="H857" s="1271">
        <v>0.39494087180210002</v>
      </c>
      <c r="I857" s="1257">
        <v>0.46502499356921201</v>
      </c>
      <c r="J857" s="1280">
        <v>0.86283936180329102</v>
      </c>
      <c r="K857" s="1271">
        <v>7.1246616795601399E-3</v>
      </c>
      <c r="L857" s="1257">
        <v>1.5915319459724299E-3</v>
      </c>
      <c r="M857" s="1280">
        <v>2.3950170408767901E-4</v>
      </c>
      <c r="N857" s="1271">
        <v>8.4133273544924492E-3</v>
      </c>
      <c r="O857" s="1257">
        <v>3.0000008598028201E-3</v>
      </c>
      <c r="P857" s="1257">
        <v>8.6696764211990299E-3</v>
      </c>
      <c r="Q857" s="1280">
        <v>8.4133273544924492E-3</v>
      </c>
      <c r="R857" s="1271">
        <v>3.8500011034136201E-2</v>
      </c>
      <c r="S857" s="1257">
        <v>3.8500011034136201E-2</v>
      </c>
      <c r="T857" s="1257">
        <v>3.8500011034136201E-2</v>
      </c>
      <c r="U857" s="1280">
        <v>1.9250005517068101E-2</v>
      </c>
      <c r="V857" s="1294" t="s">
        <v>5834</v>
      </c>
    </row>
    <row r="858" spans="1:22" s="212" customFormat="1" ht="15.5" x14ac:dyDescent="0.35">
      <c r="A858" s="198">
        <v>2030</v>
      </c>
      <c r="B858" s="197" t="s">
        <v>5833</v>
      </c>
      <c r="C858" s="197">
        <v>2004</v>
      </c>
      <c r="D858" s="225" t="str">
        <f t="shared" si="4"/>
        <v>2030_2004</v>
      </c>
      <c r="E858" s="1226">
        <v>7.02661093639768E-2</v>
      </c>
      <c r="F858" s="1257">
        <v>1.89265390406986E-2</v>
      </c>
      <c r="G858" s="1280">
        <v>2.66955504367609E-2</v>
      </c>
      <c r="H858" s="1271">
        <v>0.39494087180210002</v>
      </c>
      <c r="I858" s="1257">
        <v>0.46502499356921201</v>
      </c>
      <c r="J858" s="1280">
        <v>0.86283936180329102</v>
      </c>
      <c r="K858" s="1271">
        <v>7.1246616795601399E-3</v>
      </c>
      <c r="L858" s="1257">
        <v>1.5915319459724299E-3</v>
      </c>
      <c r="M858" s="1280">
        <v>2.3950170408767901E-4</v>
      </c>
      <c r="N858" s="1271">
        <v>8.4133273544924492E-3</v>
      </c>
      <c r="O858" s="1257">
        <v>3.0000008598028201E-3</v>
      </c>
      <c r="P858" s="1257">
        <v>8.6696764211990299E-3</v>
      </c>
      <c r="Q858" s="1280">
        <v>8.4133273544924492E-3</v>
      </c>
      <c r="R858" s="1271">
        <v>3.8500011034136201E-2</v>
      </c>
      <c r="S858" s="1257">
        <v>3.8500011034136201E-2</v>
      </c>
      <c r="T858" s="1257">
        <v>3.8500011034136201E-2</v>
      </c>
      <c r="U858" s="1280">
        <v>1.9250005517068101E-2</v>
      </c>
      <c r="V858" s="1294" t="s">
        <v>5834</v>
      </c>
    </row>
    <row r="859" spans="1:22" s="212" customFormat="1" ht="15.5" x14ac:dyDescent="0.35">
      <c r="A859" s="198">
        <v>2030</v>
      </c>
      <c r="B859" s="197" t="s">
        <v>5833</v>
      </c>
      <c r="C859" s="197">
        <v>2005</v>
      </c>
      <c r="D859" s="225" t="str">
        <f t="shared" si="4"/>
        <v>2030_2005</v>
      </c>
      <c r="E859" s="1226">
        <v>7.02661093639768E-2</v>
      </c>
      <c r="F859" s="1257">
        <v>1.89265390406986E-2</v>
      </c>
      <c r="G859" s="1280">
        <v>2.66955504367609E-2</v>
      </c>
      <c r="H859" s="1271">
        <v>0.39494087180210002</v>
      </c>
      <c r="I859" s="1257">
        <v>0.46502499356921201</v>
      </c>
      <c r="J859" s="1280">
        <v>0.86283936180329102</v>
      </c>
      <c r="K859" s="1271">
        <v>7.1246616795601399E-3</v>
      </c>
      <c r="L859" s="1257">
        <v>1.5915319459724299E-3</v>
      </c>
      <c r="M859" s="1280">
        <v>2.3950170408767901E-4</v>
      </c>
      <c r="N859" s="1271">
        <v>8.4133273544924492E-3</v>
      </c>
      <c r="O859" s="1257">
        <v>3.0000008598028201E-3</v>
      </c>
      <c r="P859" s="1257">
        <v>8.6696764211990299E-3</v>
      </c>
      <c r="Q859" s="1280">
        <v>8.4133273544924492E-3</v>
      </c>
      <c r="R859" s="1271">
        <v>3.8500011034136201E-2</v>
      </c>
      <c r="S859" s="1257">
        <v>3.8500011034136201E-2</v>
      </c>
      <c r="T859" s="1257">
        <v>3.8500011034136201E-2</v>
      </c>
      <c r="U859" s="1280">
        <v>1.9250005517068101E-2</v>
      </c>
      <c r="V859" s="1294" t="s">
        <v>5834</v>
      </c>
    </row>
    <row r="860" spans="1:22" s="212" customFormat="1" ht="15.5" x14ac:dyDescent="0.35">
      <c r="A860" s="198">
        <v>2030</v>
      </c>
      <c r="B860" s="197" t="s">
        <v>5833</v>
      </c>
      <c r="C860" s="197">
        <v>2006</v>
      </c>
      <c r="D860" s="225" t="str">
        <f t="shared" si="4"/>
        <v>2030_2006</v>
      </c>
      <c r="E860" s="1226">
        <v>7.02661093639768E-2</v>
      </c>
      <c r="F860" s="1257">
        <v>1.89265390406986E-2</v>
      </c>
      <c r="G860" s="1280">
        <v>2.66955504367609E-2</v>
      </c>
      <c r="H860" s="1271">
        <v>0.39494087180210002</v>
      </c>
      <c r="I860" s="1257">
        <v>0.46502499356921201</v>
      </c>
      <c r="J860" s="1280">
        <v>0.86283936180329102</v>
      </c>
      <c r="K860" s="1271">
        <v>7.1246616795601399E-3</v>
      </c>
      <c r="L860" s="1257">
        <v>1.5915319459724299E-3</v>
      </c>
      <c r="M860" s="1280">
        <v>2.3950170408767901E-4</v>
      </c>
      <c r="N860" s="1271">
        <v>8.4133273544924492E-3</v>
      </c>
      <c r="O860" s="1257">
        <v>3.0000008598028201E-3</v>
      </c>
      <c r="P860" s="1257">
        <v>8.6696764211990299E-3</v>
      </c>
      <c r="Q860" s="1280">
        <v>8.4133273544924492E-3</v>
      </c>
      <c r="R860" s="1271">
        <v>3.8500011034136201E-2</v>
      </c>
      <c r="S860" s="1257">
        <v>3.8500011034136201E-2</v>
      </c>
      <c r="T860" s="1257">
        <v>3.8500011034136201E-2</v>
      </c>
      <c r="U860" s="1280">
        <v>1.9250005517068101E-2</v>
      </c>
      <c r="V860" s="1294" t="s">
        <v>5834</v>
      </c>
    </row>
    <row r="861" spans="1:22" s="212" customFormat="1" ht="15.5" x14ac:dyDescent="0.35">
      <c r="A861" s="198">
        <v>2030</v>
      </c>
      <c r="B861" s="197" t="s">
        <v>5833</v>
      </c>
      <c r="C861" s="197">
        <v>2007</v>
      </c>
      <c r="D861" s="225" t="str">
        <f t="shared" si="4"/>
        <v>2030_2007</v>
      </c>
      <c r="E861" s="1226">
        <v>7.02661093639768E-2</v>
      </c>
      <c r="F861" s="1257">
        <v>1.89265390406986E-2</v>
      </c>
      <c r="G861" s="1280">
        <v>2.66955504367609E-2</v>
      </c>
      <c r="H861" s="1271">
        <v>0.39494087180210002</v>
      </c>
      <c r="I861" s="1257">
        <v>0.46502499356921201</v>
      </c>
      <c r="J861" s="1280">
        <v>0.86283936180329102</v>
      </c>
      <c r="K861" s="1271">
        <v>7.1246616795601399E-3</v>
      </c>
      <c r="L861" s="1257">
        <v>1.5915319459724299E-3</v>
      </c>
      <c r="M861" s="1280">
        <v>2.3950170408767901E-4</v>
      </c>
      <c r="N861" s="1271">
        <v>8.4133273544924492E-3</v>
      </c>
      <c r="O861" s="1257">
        <v>3.0000008598028201E-3</v>
      </c>
      <c r="P861" s="1257">
        <v>8.6696764211990299E-3</v>
      </c>
      <c r="Q861" s="1280">
        <v>8.4133273544924492E-3</v>
      </c>
      <c r="R861" s="1271">
        <v>3.8500011034136201E-2</v>
      </c>
      <c r="S861" s="1257">
        <v>3.8500011034136201E-2</v>
      </c>
      <c r="T861" s="1257">
        <v>3.8500011034136201E-2</v>
      </c>
      <c r="U861" s="1280">
        <v>1.9250005517068101E-2</v>
      </c>
      <c r="V861" s="1294" t="s">
        <v>5834</v>
      </c>
    </row>
    <row r="862" spans="1:22" s="212" customFormat="1" ht="15.5" x14ac:dyDescent="0.35">
      <c r="A862" s="198">
        <v>2030</v>
      </c>
      <c r="B862" s="197" t="s">
        <v>5833</v>
      </c>
      <c r="C862" s="197">
        <v>2008</v>
      </c>
      <c r="D862" s="225" t="str">
        <f t="shared" si="4"/>
        <v>2030_2008</v>
      </c>
      <c r="E862" s="1226">
        <v>7.02661093639768E-2</v>
      </c>
      <c r="F862" s="1257">
        <v>1.89265390406986E-2</v>
      </c>
      <c r="G862" s="1280">
        <v>2.66955504367609E-2</v>
      </c>
      <c r="H862" s="1271">
        <v>0.39494087180210002</v>
      </c>
      <c r="I862" s="1257">
        <v>0.46502499356921201</v>
      </c>
      <c r="J862" s="1280">
        <v>0.86283936180329102</v>
      </c>
      <c r="K862" s="1271">
        <v>7.1246616795601399E-3</v>
      </c>
      <c r="L862" s="1257">
        <v>1.5915319459724299E-3</v>
      </c>
      <c r="M862" s="1280">
        <v>2.3950170408767901E-4</v>
      </c>
      <c r="N862" s="1271">
        <v>8.4133273544924492E-3</v>
      </c>
      <c r="O862" s="1257">
        <v>3.0000008598028201E-3</v>
      </c>
      <c r="P862" s="1257">
        <v>8.6696764211990299E-3</v>
      </c>
      <c r="Q862" s="1280">
        <v>8.4133273544924492E-3</v>
      </c>
      <c r="R862" s="1271">
        <v>3.8500011034136201E-2</v>
      </c>
      <c r="S862" s="1257">
        <v>3.8500011034136201E-2</v>
      </c>
      <c r="T862" s="1257">
        <v>3.8500011034136201E-2</v>
      </c>
      <c r="U862" s="1280">
        <v>1.9250005517068101E-2</v>
      </c>
      <c r="V862" s="1294" t="s">
        <v>5834</v>
      </c>
    </row>
    <row r="863" spans="1:22" s="212" customFormat="1" ht="15.5" x14ac:dyDescent="0.35">
      <c r="A863" s="198">
        <v>2030</v>
      </c>
      <c r="B863" s="197" t="s">
        <v>5833</v>
      </c>
      <c r="C863" s="197">
        <v>2009</v>
      </c>
      <c r="D863" s="225" t="str">
        <f t="shared" si="4"/>
        <v>2030_2009</v>
      </c>
      <c r="E863" s="1226">
        <v>7.02661093639768E-2</v>
      </c>
      <c r="F863" s="1257">
        <v>1.89265390406986E-2</v>
      </c>
      <c r="G863" s="1280">
        <v>2.66955504367609E-2</v>
      </c>
      <c r="H863" s="1271">
        <v>0.39494087180210002</v>
      </c>
      <c r="I863" s="1257">
        <v>0.46502499356921201</v>
      </c>
      <c r="J863" s="1280">
        <v>0.86283936180329102</v>
      </c>
      <c r="K863" s="1271">
        <v>7.1246616795601399E-3</v>
      </c>
      <c r="L863" s="1257">
        <v>1.5915319459724299E-3</v>
      </c>
      <c r="M863" s="1280">
        <v>2.3950170408767901E-4</v>
      </c>
      <c r="N863" s="1271">
        <v>8.4133273544924492E-3</v>
      </c>
      <c r="O863" s="1257">
        <v>3.0000008598028201E-3</v>
      </c>
      <c r="P863" s="1257">
        <v>8.6696764211990299E-3</v>
      </c>
      <c r="Q863" s="1280">
        <v>8.4133273544924492E-3</v>
      </c>
      <c r="R863" s="1271">
        <v>3.8500011034136201E-2</v>
      </c>
      <c r="S863" s="1257">
        <v>3.8500011034136201E-2</v>
      </c>
      <c r="T863" s="1257">
        <v>3.8500011034136201E-2</v>
      </c>
      <c r="U863" s="1280">
        <v>1.9250005517068101E-2</v>
      </c>
      <c r="V863" s="1294" t="s">
        <v>5834</v>
      </c>
    </row>
    <row r="864" spans="1:22" s="212" customFormat="1" ht="15.5" x14ac:dyDescent="0.35">
      <c r="A864" s="198">
        <v>2030</v>
      </c>
      <c r="B864" s="197" t="s">
        <v>5833</v>
      </c>
      <c r="C864" s="197">
        <v>2010</v>
      </c>
      <c r="D864" s="225" t="str">
        <f t="shared" si="4"/>
        <v>2030_2010</v>
      </c>
      <c r="E864" s="1226">
        <v>7.02661093639768E-2</v>
      </c>
      <c r="F864" s="1257">
        <v>1.89265390406986E-2</v>
      </c>
      <c r="G864" s="1280">
        <v>2.66955504367609E-2</v>
      </c>
      <c r="H864" s="1271">
        <v>0.39494087180210002</v>
      </c>
      <c r="I864" s="1257">
        <v>0.46502499356921201</v>
      </c>
      <c r="J864" s="1280">
        <v>0.86283936180329102</v>
      </c>
      <c r="K864" s="1271">
        <v>7.1246616795601399E-3</v>
      </c>
      <c r="L864" s="1257">
        <v>1.5915319459724299E-3</v>
      </c>
      <c r="M864" s="1280">
        <v>2.3950170408767901E-4</v>
      </c>
      <c r="N864" s="1271">
        <v>8.4133273544924492E-3</v>
      </c>
      <c r="O864" s="1257">
        <v>3.0000008598028201E-3</v>
      </c>
      <c r="P864" s="1257">
        <v>8.6696764211990299E-3</v>
      </c>
      <c r="Q864" s="1280">
        <v>8.4133273544924492E-3</v>
      </c>
      <c r="R864" s="1271">
        <v>3.8500011034136201E-2</v>
      </c>
      <c r="S864" s="1257">
        <v>3.8500011034136201E-2</v>
      </c>
      <c r="T864" s="1257">
        <v>3.8500011034136201E-2</v>
      </c>
      <c r="U864" s="1280">
        <v>1.9250005517068101E-2</v>
      </c>
      <c r="V864" s="1294" t="s">
        <v>5834</v>
      </c>
    </row>
    <row r="865" spans="1:22" s="212" customFormat="1" ht="15.5" x14ac:dyDescent="0.35">
      <c r="A865" s="198">
        <v>2030</v>
      </c>
      <c r="B865" s="197" t="s">
        <v>5833</v>
      </c>
      <c r="C865" s="197">
        <v>2011</v>
      </c>
      <c r="D865" s="225" t="str">
        <f t="shared" si="4"/>
        <v>2030_2011</v>
      </c>
      <c r="E865" s="1226">
        <v>7.02661093639768E-2</v>
      </c>
      <c r="F865" s="1257">
        <v>1.89265390406986E-2</v>
      </c>
      <c r="G865" s="1280">
        <v>2.66955504367609E-2</v>
      </c>
      <c r="H865" s="1271">
        <v>0.39494087180210002</v>
      </c>
      <c r="I865" s="1257">
        <v>0.46502499356921201</v>
      </c>
      <c r="J865" s="1280">
        <v>0.86283936180329102</v>
      </c>
      <c r="K865" s="1271">
        <v>7.1246616795601399E-3</v>
      </c>
      <c r="L865" s="1257">
        <v>1.5915319459724299E-3</v>
      </c>
      <c r="M865" s="1280">
        <v>2.3950170408767901E-4</v>
      </c>
      <c r="N865" s="1271">
        <v>8.4133273544924492E-3</v>
      </c>
      <c r="O865" s="1257">
        <v>3.0000008598028201E-3</v>
      </c>
      <c r="P865" s="1257">
        <v>8.6696764211990299E-3</v>
      </c>
      <c r="Q865" s="1280">
        <v>8.4133273544924492E-3</v>
      </c>
      <c r="R865" s="1271">
        <v>3.8500011034136201E-2</v>
      </c>
      <c r="S865" s="1257">
        <v>3.8500011034136201E-2</v>
      </c>
      <c r="T865" s="1257">
        <v>3.8500011034136201E-2</v>
      </c>
      <c r="U865" s="1280">
        <v>1.9250005517068101E-2</v>
      </c>
      <c r="V865" s="1294" t="s">
        <v>5834</v>
      </c>
    </row>
    <row r="866" spans="1:22" s="212" customFormat="1" ht="15.5" x14ac:dyDescent="0.35">
      <c r="A866" s="198">
        <v>2030</v>
      </c>
      <c r="B866" s="197" t="s">
        <v>5833</v>
      </c>
      <c r="C866" s="197">
        <v>2012</v>
      </c>
      <c r="D866" s="225" t="str">
        <f t="shared" si="4"/>
        <v>2030_2012</v>
      </c>
      <c r="E866" s="1226">
        <v>7.02661093639768E-2</v>
      </c>
      <c r="F866" s="1257">
        <v>1.89265390406986E-2</v>
      </c>
      <c r="G866" s="1280">
        <v>2.66955504367609E-2</v>
      </c>
      <c r="H866" s="1271">
        <v>0.39494087180210002</v>
      </c>
      <c r="I866" s="1257">
        <v>0.46502499356921201</v>
      </c>
      <c r="J866" s="1280">
        <v>0.86283936180329102</v>
      </c>
      <c r="K866" s="1271">
        <v>7.1246616795601399E-3</v>
      </c>
      <c r="L866" s="1257">
        <v>1.5915319459724299E-3</v>
      </c>
      <c r="M866" s="1280">
        <v>2.3950170408767901E-4</v>
      </c>
      <c r="N866" s="1271">
        <v>8.4133273544924492E-3</v>
      </c>
      <c r="O866" s="1257">
        <v>3.0000008598028201E-3</v>
      </c>
      <c r="P866" s="1257">
        <v>8.6696764211990299E-3</v>
      </c>
      <c r="Q866" s="1280">
        <v>8.4133273544924492E-3</v>
      </c>
      <c r="R866" s="1271">
        <v>3.8500011034136201E-2</v>
      </c>
      <c r="S866" s="1257">
        <v>3.8500011034136201E-2</v>
      </c>
      <c r="T866" s="1257">
        <v>3.8500011034136201E-2</v>
      </c>
      <c r="U866" s="1280">
        <v>1.9250005517068101E-2</v>
      </c>
      <c r="V866" s="1294" t="s">
        <v>5834</v>
      </c>
    </row>
    <row r="867" spans="1:22" s="212" customFormat="1" ht="15.5" x14ac:dyDescent="0.35">
      <c r="A867" s="198">
        <v>2030</v>
      </c>
      <c r="B867" s="197" t="s">
        <v>5833</v>
      </c>
      <c r="C867" s="197">
        <v>2013</v>
      </c>
      <c r="D867" s="225" t="str">
        <f t="shared" si="4"/>
        <v>2030_2013</v>
      </c>
      <c r="E867" s="1226">
        <v>7.02661093639768E-2</v>
      </c>
      <c r="F867" s="1257">
        <v>1.89265390406986E-2</v>
      </c>
      <c r="G867" s="1280">
        <v>2.66955504367609E-2</v>
      </c>
      <c r="H867" s="1271">
        <v>0.39494087180210002</v>
      </c>
      <c r="I867" s="1257">
        <v>0.46502499356921201</v>
      </c>
      <c r="J867" s="1280">
        <v>0.86283936180329102</v>
      </c>
      <c r="K867" s="1271">
        <v>7.1246616795601399E-3</v>
      </c>
      <c r="L867" s="1257">
        <v>1.5915319459724299E-3</v>
      </c>
      <c r="M867" s="1280">
        <v>2.3950170408767901E-4</v>
      </c>
      <c r="N867" s="1271">
        <v>8.4133273544924492E-3</v>
      </c>
      <c r="O867" s="1257">
        <v>3.0000008598028201E-3</v>
      </c>
      <c r="P867" s="1257">
        <v>8.6696764211990299E-3</v>
      </c>
      <c r="Q867" s="1280">
        <v>8.4133273544924492E-3</v>
      </c>
      <c r="R867" s="1271">
        <v>3.8500011034136201E-2</v>
      </c>
      <c r="S867" s="1257">
        <v>3.8500011034136201E-2</v>
      </c>
      <c r="T867" s="1257">
        <v>3.8500011034136201E-2</v>
      </c>
      <c r="U867" s="1280">
        <v>1.9250005517068101E-2</v>
      </c>
      <c r="V867" s="1294" t="s">
        <v>5834</v>
      </c>
    </row>
    <row r="868" spans="1:22" s="212" customFormat="1" ht="15.5" x14ac:dyDescent="0.35">
      <c r="A868" s="198">
        <v>2030</v>
      </c>
      <c r="B868" s="197" t="s">
        <v>5833</v>
      </c>
      <c r="C868" s="197">
        <v>2014</v>
      </c>
      <c r="D868" s="225" t="str">
        <f t="shared" si="4"/>
        <v>2030_2014</v>
      </c>
      <c r="E868" s="1226">
        <v>7.02661093639768E-2</v>
      </c>
      <c r="F868" s="1257">
        <v>1.89265390406986E-2</v>
      </c>
      <c r="G868" s="1280">
        <v>2.66955504367609E-2</v>
      </c>
      <c r="H868" s="1271">
        <v>0.39494087180210002</v>
      </c>
      <c r="I868" s="1257">
        <v>0.46502499356921201</v>
      </c>
      <c r="J868" s="1280">
        <v>0.86283936180329102</v>
      </c>
      <c r="K868" s="1271">
        <v>7.1246616795601399E-3</v>
      </c>
      <c r="L868" s="1257">
        <v>1.5915319459724299E-3</v>
      </c>
      <c r="M868" s="1280">
        <v>2.3950170408767901E-4</v>
      </c>
      <c r="N868" s="1271">
        <v>8.4133273544924492E-3</v>
      </c>
      <c r="O868" s="1257">
        <v>3.0000008598028201E-3</v>
      </c>
      <c r="P868" s="1257">
        <v>8.6696764211990299E-3</v>
      </c>
      <c r="Q868" s="1280">
        <v>8.4133273544924492E-3</v>
      </c>
      <c r="R868" s="1271">
        <v>3.8500011034136201E-2</v>
      </c>
      <c r="S868" s="1257">
        <v>3.8500011034136201E-2</v>
      </c>
      <c r="T868" s="1257">
        <v>3.8500011034136201E-2</v>
      </c>
      <c r="U868" s="1280">
        <v>1.9250005517068101E-2</v>
      </c>
      <c r="V868" s="1294" t="s">
        <v>5834</v>
      </c>
    </row>
    <row r="869" spans="1:22" s="212" customFormat="1" ht="15.5" x14ac:dyDescent="0.35">
      <c r="A869" s="198">
        <v>2030</v>
      </c>
      <c r="B869" s="197" t="s">
        <v>5833</v>
      </c>
      <c r="C869" s="197">
        <v>2015</v>
      </c>
      <c r="D869" s="225" t="str">
        <f t="shared" si="4"/>
        <v>2030_2015</v>
      </c>
      <c r="E869" s="1226">
        <v>7.02661093639768E-2</v>
      </c>
      <c r="F869" s="1257">
        <v>1.89265390406986E-2</v>
      </c>
      <c r="G869" s="1280">
        <v>2.66955504367609E-2</v>
      </c>
      <c r="H869" s="1271">
        <v>0.39494087180210002</v>
      </c>
      <c r="I869" s="1257">
        <v>0.46502499356921201</v>
      </c>
      <c r="J869" s="1280">
        <v>0.86283936180329102</v>
      </c>
      <c r="K869" s="1271">
        <v>7.1246616795601399E-3</v>
      </c>
      <c r="L869" s="1257">
        <v>1.5915319459724299E-3</v>
      </c>
      <c r="M869" s="1280">
        <v>2.3950170408767901E-4</v>
      </c>
      <c r="N869" s="1271">
        <v>8.4133273544924492E-3</v>
      </c>
      <c r="O869" s="1257">
        <v>3.0000008598028201E-3</v>
      </c>
      <c r="P869" s="1257">
        <v>8.6696764211990299E-3</v>
      </c>
      <c r="Q869" s="1280">
        <v>8.4133273544924492E-3</v>
      </c>
      <c r="R869" s="1271">
        <v>3.8500011034136201E-2</v>
      </c>
      <c r="S869" s="1257">
        <v>3.8500011034136201E-2</v>
      </c>
      <c r="T869" s="1257">
        <v>3.8500011034136201E-2</v>
      </c>
      <c r="U869" s="1280">
        <v>1.9250005517068101E-2</v>
      </c>
      <c r="V869" s="1294" t="s">
        <v>5834</v>
      </c>
    </row>
    <row r="870" spans="1:22" s="212" customFormat="1" ht="15.5" x14ac:dyDescent="0.35">
      <c r="A870" s="198">
        <v>2030</v>
      </c>
      <c r="B870" s="197" t="s">
        <v>5833</v>
      </c>
      <c r="C870" s="197">
        <v>2016</v>
      </c>
      <c r="D870" s="225" t="str">
        <f t="shared" si="4"/>
        <v>2030_2016</v>
      </c>
      <c r="E870" s="1231">
        <v>7.02661093639768E-2</v>
      </c>
      <c r="F870" s="1288">
        <v>1.89265390406986E-2</v>
      </c>
      <c r="G870" s="1306">
        <v>2.66955504367609E-2</v>
      </c>
      <c r="H870" s="1303">
        <v>0.39494087180210002</v>
      </c>
      <c r="I870" s="1288">
        <v>0.46502499356921201</v>
      </c>
      <c r="J870" s="1306">
        <v>0.86283936180329102</v>
      </c>
      <c r="K870" s="1303">
        <v>7.1246616795601399E-3</v>
      </c>
      <c r="L870" s="1288">
        <v>1.5915319459724299E-3</v>
      </c>
      <c r="M870" s="1306">
        <v>2.3950170408767901E-4</v>
      </c>
      <c r="N870" s="1303">
        <v>8.4133273544924492E-3</v>
      </c>
      <c r="O870" s="1288">
        <v>3.0000008598028201E-3</v>
      </c>
      <c r="P870" s="1288">
        <v>8.6696764211990299E-3</v>
      </c>
      <c r="Q870" s="1306">
        <v>7.9596387423170305E-3</v>
      </c>
      <c r="R870" s="1303">
        <v>3.8500011034136201E-2</v>
      </c>
      <c r="S870" s="1288">
        <v>3.8500011034136201E-2</v>
      </c>
      <c r="T870" s="1288">
        <v>3.8500011034136201E-2</v>
      </c>
      <c r="U870" s="1306">
        <v>1.9250005517068101E-2</v>
      </c>
      <c r="V870" s="1294">
        <v>7.4468072654918799E-3</v>
      </c>
    </row>
    <row r="871" spans="1:22" s="212" customFormat="1" ht="15.5" x14ac:dyDescent="0.35">
      <c r="A871" s="198">
        <v>2030</v>
      </c>
      <c r="B871" s="197" t="s">
        <v>5833</v>
      </c>
      <c r="C871" s="197">
        <v>2017</v>
      </c>
      <c r="D871" s="225" t="str">
        <f t="shared" si="4"/>
        <v>2030_2017</v>
      </c>
      <c r="E871" s="1231">
        <v>6.6388791569597899E-2</v>
      </c>
      <c r="F871" s="1288">
        <v>1.28382586458251E-2</v>
      </c>
      <c r="G871" s="1306">
        <v>2.02443496356291E-2</v>
      </c>
      <c r="H871" s="1303">
        <v>0.36708177473682801</v>
      </c>
      <c r="I871" s="1288">
        <v>0.39885332197518403</v>
      </c>
      <c r="J871" s="1306">
        <v>0.60517735532229799</v>
      </c>
      <c r="K871" s="1303">
        <v>6.6230100405527802E-3</v>
      </c>
      <c r="L871" s="1288">
        <v>1.17255525653314E-3</v>
      </c>
      <c r="M871" s="1306">
        <v>1.7838705518839101E-4</v>
      </c>
      <c r="N871" s="1303">
        <v>7.8921585090689101E-3</v>
      </c>
      <c r="O871" s="1288">
        <v>3.0000008598028201E-3</v>
      </c>
      <c r="P871" s="1288">
        <v>8.3136960241880099E-3</v>
      </c>
      <c r="Q871" s="1306">
        <v>8.0844599213616593E-3</v>
      </c>
      <c r="R871" s="1303">
        <v>3.8500011034136201E-2</v>
      </c>
      <c r="S871" s="1288">
        <v>3.8500011034136201E-2</v>
      </c>
      <c r="T871" s="1288">
        <v>3.8500011034136201E-2</v>
      </c>
      <c r="U871" s="1306">
        <v>1.9250005517068101E-2</v>
      </c>
      <c r="V871" s="1294">
        <v>6.9224731654147897E-3</v>
      </c>
    </row>
    <row r="872" spans="1:22" s="212" customFormat="1" ht="15.5" x14ac:dyDescent="0.35">
      <c r="A872" s="198">
        <v>2030</v>
      </c>
      <c r="B872" s="197" t="s">
        <v>5833</v>
      </c>
      <c r="C872" s="197">
        <v>2018</v>
      </c>
      <c r="D872" s="225" t="str">
        <f t="shared" si="4"/>
        <v>2030_2018</v>
      </c>
      <c r="E872" s="1231">
        <v>6.9193595273472006E-2</v>
      </c>
      <c r="F872" s="1288">
        <v>1.29233788842974E-2</v>
      </c>
      <c r="G872" s="1306">
        <v>6.3443534493590706E-2</v>
      </c>
      <c r="H872" s="1303">
        <v>0.38626467878419002</v>
      </c>
      <c r="I872" s="1288">
        <v>0.37344558985767801</v>
      </c>
      <c r="J872" s="1306">
        <v>0.110662233857503</v>
      </c>
      <c r="K872" s="1303">
        <v>7.0055516858407198E-3</v>
      </c>
      <c r="L872" s="1288">
        <v>1.2229270587449899E-3</v>
      </c>
      <c r="M872" s="1306">
        <v>4.0928729727763701E-4</v>
      </c>
      <c r="N872" s="1303">
        <v>8.2883457368196495E-3</v>
      </c>
      <c r="O872" s="1288">
        <v>3.0000008598028201E-3</v>
      </c>
      <c r="P872" s="1288">
        <v>8.3146537171171105E-3</v>
      </c>
      <c r="Q872" s="1306">
        <v>7.9427762974697506E-3</v>
      </c>
      <c r="R872" s="1303">
        <v>3.8500011034136201E-2</v>
      </c>
      <c r="S872" s="1288">
        <v>3.8500011034136201E-2</v>
      </c>
      <c r="T872" s="1288">
        <v>3.8500011034136201E-2</v>
      </c>
      <c r="U872" s="1306">
        <v>1.9250005517068101E-2</v>
      </c>
      <c r="V872" s="1294">
        <v>7.3223116463992299E-3</v>
      </c>
    </row>
    <row r="873" spans="1:22" s="212" customFormat="1" ht="15.5" x14ac:dyDescent="0.35">
      <c r="A873" s="198">
        <v>2030</v>
      </c>
      <c r="B873" s="197" t="s">
        <v>5833</v>
      </c>
      <c r="C873" s="197">
        <v>2019</v>
      </c>
      <c r="D873" s="225" t="str">
        <f t="shared" si="4"/>
        <v>2030_2019</v>
      </c>
      <c r="E873" s="1231">
        <v>7.2094113434235399E-2</v>
      </c>
      <c r="F873" s="1288">
        <v>1.41475930585602E-2</v>
      </c>
      <c r="G873" s="1306">
        <v>6.2318134998408201E-2</v>
      </c>
      <c r="H873" s="1303">
        <v>0.40784655557004001</v>
      </c>
      <c r="I873" s="1288">
        <v>0.35586554453703401</v>
      </c>
      <c r="J873" s="1306">
        <v>0.122941135269499</v>
      </c>
      <c r="K873" s="1303">
        <v>7.3433684624368703E-3</v>
      </c>
      <c r="L873" s="1288">
        <v>1.37286052208869E-3</v>
      </c>
      <c r="M873" s="1306">
        <v>4.3604200799753502E-4</v>
      </c>
      <c r="N873" s="1303">
        <v>8.6615443713661706E-3</v>
      </c>
      <c r="O873" s="1288">
        <v>3.0000008598028201E-3</v>
      </c>
      <c r="P873" s="1288">
        <v>7.9450501810529994E-3</v>
      </c>
      <c r="Q873" s="1306">
        <v>6.5450099317091804E-3</v>
      </c>
      <c r="R873" s="1303">
        <v>3.8500011034136201E-2</v>
      </c>
      <c r="S873" s="1288">
        <v>3.8500011034136201E-2</v>
      </c>
      <c r="T873" s="1288">
        <v>3.8500011034136201E-2</v>
      </c>
      <c r="U873" s="1306">
        <v>1.9250005517068101E-2</v>
      </c>
      <c r="V873" s="1294">
        <v>7.6754029985933196E-3</v>
      </c>
    </row>
    <row r="874" spans="1:22" s="212" customFormat="1" ht="15.5" x14ac:dyDescent="0.35">
      <c r="A874" s="198">
        <v>2030</v>
      </c>
      <c r="B874" s="197" t="s">
        <v>5833</v>
      </c>
      <c r="C874" s="197">
        <v>2020</v>
      </c>
      <c r="D874" s="225" t="str">
        <f t="shared" si="4"/>
        <v>2030_2020</v>
      </c>
      <c r="E874" s="1231">
        <v>7.0503065040502105E-2</v>
      </c>
      <c r="F874" s="1288">
        <v>1.10331132997215E-2</v>
      </c>
      <c r="G874" s="1306">
        <v>6.2879675284347403E-2</v>
      </c>
      <c r="H874" s="1303">
        <v>0.38302133588777798</v>
      </c>
      <c r="I874" s="1288">
        <v>0.21279594508566299</v>
      </c>
      <c r="J874" s="1306">
        <v>0.110825737173193</v>
      </c>
      <c r="K874" s="1303">
        <v>7.6687274276590802E-3</v>
      </c>
      <c r="L874" s="1288">
        <v>1.42904802347601E-3</v>
      </c>
      <c r="M874" s="1306">
        <v>6.0343475201574603E-4</v>
      </c>
      <c r="N874" s="1303">
        <v>7.9833333791552198E-3</v>
      </c>
      <c r="O874" s="1288">
        <v>2.5564819342454299E-3</v>
      </c>
      <c r="P874" s="1288">
        <v>8.4038559383754798E-3</v>
      </c>
      <c r="Q874" s="1280">
        <v>7.9833333791552198E-3</v>
      </c>
      <c r="R874" s="1303">
        <v>3.8201433945546703E-2</v>
      </c>
      <c r="S874" s="1288">
        <v>3.5550610179179501E-2</v>
      </c>
      <c r="T874" s="1288">
        <v>3.8433965472811103E-2</v>
      </c>
      <c r="U874" s="1280">
        <v>1.9100716972773352E-2</v>
      </c>
      <c r="V874" s="1294">
        <v>8.0154732524638592E-3</v>
      </c>
    </row>
    <row r="875" spans="1:22" s="212" customFormat="1" ht="15.5" x14ac:dyDescent="0.35">
      <c r="A875" s="198">
        <v>2030</v>
      </c>
      <c r="B875" s="197" t="s">
        <v>5833</v>
      </c>
      <c r="C875" s="197">
        <v>2021</v>
      </c>
      <c r="D875" s="225" t="str">
        <f t="shared" si="4"/>
        <v>2030_2021</v>
      </c>
      <c r="E875" s="1231">
        <v>4.7054129479928597E-2</v>
      </c>
      <c r="F875" s="1288">
        <v>8.9921176116017701E-3</v>
      </c>
      <c r="G875" s="1306">
        <v>6.1699251663361598E-2</v>
      </c>
      <c r="H875" s="1303">
        <v>0.22483884524103101</v>
      </c>
      <c r="I875" s="1288">
        <v>0.170102368079457</v>
      </c>
      <c r="J875" s="1306">
        <v>0.109736135695612</v>
      </c>
      <c r="K875" s="1303">
        <v>4.1733380598099803E-3</v>
      </c>
      <c r="L875" s="1288">
        <v>1.29473733054886E-3</v>
      </c>
      <c r="M875" s="1306">
        <v>5.3602198950722E-4</v>
      </c>
      <c r="N875" s="1303">
        <v>5.2005573391863697E-3</v>
      </c>
      <c r="O875" s="1288">
        <v>2.4976610123983501E-3</v>
      </c>
      <c r="P875" s="1288">
        <v>8.0760966133597602E-3</v>
      </c>
      <c r="Q875" s="1280">
        <v>5.2005573391863697E-3</v>
      </c>
      <c r="R875" s="1303">
        <v>3.8454039666674801E-2</v>
      </c>
      <c r="S875" s="1288">
        <v>3.5159451048896499E-2</v>
      </c>
      <c r="T875" s="1288">
        <v>3.8444897841275902E-2</v>
      </c>
      <c r="U875" s="1280">
        <v>1.9227019833337401E-2</v>
      </c>
      <c r="V875" s="1294">
        <v>4.3620378879612202E-3</v>
      </c>
    </row>
    <row r="876" spans="1:22" s="212" customFormat="1" ht="15.5" x14ac:dyDescent="0.35">
      <c r="A876" s="198">
        <v>2030</v>
      </c>
      <c r="B876" s="197" t="s">
        <v>5833</v>
      </c>
      <c r="C876" s="197">
        <v>2022</v>
      </c>
      <c r="D876" s="225" t="str">
        <f t="shared" si="4"/>
        <v>2030_2022</v>
      </c>
      <c r="E876" s="1231">
        <v>5.2406457577109898E-2</v>
      </c>
      <c r="F876" s="1288">
        <v>1.17115707949875E-2</v>
      </c>
      <c r="G876" s="1306">
        <v>6.4256587574642907E-2</v>
      </c>
      <c r="H876" s="1303">
        <v>0.259003909581903</v>
      </c>
      <c r="I876" s="1288">
        <v>0.23311313588926599</v>
      </c>
      <c r="J876" s="1306">
        <v>0.12908412102222999</v>
      </c>
      <c r="K876" s="1303">
        <v>4.9399000909995001E-3</v>
      </c>
      <c r="L876" s="1288">
        <v>1.37566646716534E-3</v>
      </c>
      <c r="M876" s="1306">
        <v>5.47397928719616E-4</v>
      </c>
      <c r="N876" s="1303">
        <v>5.8291303326977097E-3</v>
      </c>
      <c r="O876" s="1288">
        <v>2.7293186313072002E-3</v>
      </c>
      <c r="P876" s="1288">
        <v>8.5023565942145499E-3</v>
      </c>
      <c r="Q876" s="1280">
        <v>5.8291303326977097E-3</v>
      </c>
      <c r="R876" s="1303">
        <v>3.8389620268812097E-2</v>
      </c>
      <c r="S876" s="1288">
        <v>3.6699974214640302E-2</v>
      </c>
      <c r="T876" s="1288">
        <v>3.8456708920411802E-2</v>
      </c>
      <c r="U876" s="1280">
        <v>1.9194810134406048E-2</v>
      </c>
      <c r="V876" s="1294">
        <v>5.1632604526324899E-3</v>
      </c>
    </row>
    <row r="877" spans="1:22" s="212" customFormat="1" ht="15.5" x14ac:dyDescent="0.35">
      <c r="A877" s="198">
        <v>2030</v>
      </c>
      <c r="B877" s="197" t="s">
        <v>5833</v>
      </c>
      <c r="C877" s="197">
        <v>2023</v>
      </c>
      <c r="D877" s="225" t="str">
        <f t="shared" si="4"/>
        <v>2030_2023</v>
      </c>
      <c r="E877" s="1231">
        <v>5.8876145455732602E-2</v>
      </c>
      <c r="F877" s="1288">
        <v>1.0706378967345401E-2</v>
      </c>
      <c r="G877" s="1306">
        <v>6.1622776760116599E-2</v>
      </c>
      <c r="H877" s="1303">
        <v>0.30940627341653798</v>
      </c>
      <c r="I877" s="1288">
        <v>0.197575009880256</v>
      </c>
      <c r="J877" s="1306">
        <v>9.4521622257002599E-2</v>
      </c>
      <c r="K877" s="1303">
        <v>5.7101923011573501E-3</v>
      </c>
      <c r="L877" s="1288">
        <v>1.33217065517222E-3</v>
      </c>
      <c r="M877" s="1306">
        <v>4.1105343579755601E-4</v>
      </c>
      <c r="N877" s="1303">
        <v>6.8182408144928999E-3</v>
      </c>
      <c r="O877" s="1288">
        <v>2.6749741936355101E-3</v>
      </c>
      <c r="P877" s="1288">
        <v>8.3641682443388599E-3</v>
      </c>
      <c r="Q877" s="1280">
        <v>6.8182408144928999E-3</v>
      </c>
      <c r="R877" s="1303">
        <v>3.8454647584275803E-2</v>
      </c>
      <c r="S877" s="1288">
        <v>3.63385837041236E-2</v>
      </c>
      <c r="T877" s="1288">
        <v>3.8474991909915601E-2</v>
      </c>
      <c r="U877" s="1280">
        <v>1.9227323792137901E-2</v>
      </c>
      <c r="V877" s="1294">
        <v>5.9683818584126197E-3</v>
      </c>
    </row>
    <row r="878" spans="1:22" s="212" customFormat="1" ht="15.5" x14ac:dyDescent="0.35">
      <c r="A878" s="198">
        <v>2030</v>
      </c>
      <c r="B878" s="197" t="s">
        <v>5833</v>
      </c>
      <c r="C878" s="197">
        <v>2024</v>
      </c>
      <c r="D878" s="225" t="str">
        <f t="shared" si="4"/>
        <v>2030_2024</v>
      </c>
      <c r="E878" s="1231">
        <v>5.8212275403619999E-2</v>
      </c>
      <c r="F878" s="1288">
        <v>7.5775719579994896E-3</v>
      </c>
      <c r="G878" s="1306">
        <v>5.8500042283116602E-2</v>
      </c>
      <c r="H878" s="1303">
        <v>0.299455776164815</v>
      </c>
      <c r="I878" s="1288">
        <v>0.11179836591124701</v>
      </c>
      <c r="J878" s="1306">
        <v>9.4633103358293003E-2</v>
      </c>
      <c r="K878" s="1303">
        <v>5.6977246784530198E-3</v>
      </c>
      <c r="L878" s="1288">
        <v>1.2961816086877499E-3</v>
      </c>
      <c r="M878" s="1306">
        <v>6.9745258670674297E-4</v>
      </c>
      <c r="N878" s="1303">
        <v>6.6054609126384002E-3</v>
      </c>
      <c r="O878" s="1288">
        <v>2.36481062436464E-3</v>
      </c>
      <c r="P878" s="1288">
        <v>7.7134479762009898E-3</v>
      </c>
      <c r="Q878" s="1306">
        <v>8.4690603859683099E-3</v>
      </c>
      <c r="R878" s="1303">
        <v>3.8367401713422698E-2</v>
      </c>
      <c r="S878" s="1288">
        <v>3.4275995968472299E-2</v>
      </c>
      <c r="T878" s="1288">
        <v>3.8318014894511601E-2</v>
      </c>
      <c r="U878" s="1306">
        <v>1.9250005517068101E-2</v>
      </c>
      <c r="V878" s="1294">
        <v>5.95535050513386E-3</v>
      </c>
    </row>
    <row r="879" spans="1:22" s="212" customFormat="1" ht="15.5" x14ac:dyDescent="0.35">
      <c r="A879" s="198">
        <v>2030</v>
      </c>
      <c r="B879" s="197" t="s">
        <v>5833</v>
      </c>
      <c r="C879" s="197">
        <v>2025</v>
      </c>
      <c r="D879" s="225" t="str">
        <f t="shared" si="4"/>
        <v>2030_2025</v>
      </c>
      <c r="E879" s="1231">
        <v>6.6883340519162199E-2</v>
      </c>
      <c r="F879" s="1288">
        <v>7.3600987285665801E-3</v>
      </c>
      <c r="G879" s="1306">
        <v>5.4920138894629399E-2</v>
      </c>
      <c r="H879" s="1303">
        <v>0.36321887306806699</v>
      </c>
      <c r="I879" s="1288">
        <v>8.4982735056705602E-2</v>
      </c>
      <c r="J879" s="1306">
        <v>8.7339916801872905E-2</v>
      </c>
      <c r="K879" s="1303">
        <v>6.7918279001297601E-3</v>
      </c>
      <c r="L879" s="1288">
        <v>1.3457091878709599E-3</v>
      </c>
      <c r="M879" s="1306">
        <v>5.5143241707033197E-4</v>
      </c>
      <c r="N879" s="1303">
        <v>7.8252844597193096E-3</v>
      </c>
      <c r="O879" s="1288">
        <v>2.2897841947133899E-3</v>
      </c>
      <c r="P879" s="1288">
        <v>7.2329655940151097E-3</v>
      </c>
      <c r="Q879" s="1306">
        <v>8.12190024590086E-3</v>
      </c>
      <c r="R879" s="1303">
        <v>3.83901922330784E-2</v>
      </c>
      <c r="S879" s="1288">
        <v>3.3777070211291498E-2</v>
      </c>
      <c r="T879" s="1288">
        <v>3.8395805477708898E-2</v>
      </c>
      <c r="U879" s="1306">
        <v>1.9250005517068101E-2</v>
      </c>
      <c r="V879" s="1294">
        <v>7.0989242194836903E-3</v>
      </c>
    </row>
    <row r="880" spans="1:22" s="212" customFormat="1" ht="15.5" x14ac:dyDescent="0.35">
      <c r="A880" s="198">
        <v>2030</v>
      </c>
      <c r="B880" s="197" t="s">
        <v>5833</v>
      </c>
      <c r="C880" s="197">
        <v>2026</v>
      </c>
      <c r="D880" s="225" t="str">
        <f t="shared" si="4"/>
        <v>2030_2026</v>
      </c>
      <c r="E880" s="1231">
        <v>6.1357062410653598E-2</v>
      </c>
      <c r="F880" s="1288">
        <v>8.12401655361524E-3</v>
      </c>
      <c r="G880" s="1306">
        <v>5.1669146572629297E-2</v>
      </c>
      <c r="H880" s="1303">
        <v>0.32809831280376101</v>
      </c>
      <c r="I880" s="1288">
        <v>0.114564827724761</v>
      </c>
      <c r="J880" s="1306">
        <v>8.12295303826715E-2</v>
      </c>
      <c r="K880" s="1303">
        <v>5.97470497310115E-3</v>
      </c>
      <c r="L880" s="1288">
        <v>1.27044599233407E-3</v>
      </c>
      <c r="M880" s="1306">
        <v>6.4225284171144604E-4</v>
      </c>
      <c r="N880" s="1303">
        <v>7.1655131092307096E-3</v>
      </c>
      <c r="O880" s="1288">
        <v>2.4607874227618601E-3</v>
      </c>
      <c r="P880" s="1288">
        <v>7.1839211312385897E-3</v>
      </c>
      <c r="Q880" s="1306">
        <v>8.7337429995912007E-3</v>
      </c>
      <c r="R880" s="1303">
        <v>3.84644305177919E-2</v>
      </c>
      <c r="S880" s="1288">
        <v>3.4914241677813797E-2</v>
      </c>
      <c r="T880" s="1288">
        <v>3.8249559809573001E-2</v>
      </c>
      <c r="U880" s="1306">
        <v>1.9250005517068101E-2</v>
      </c>
      <c r="V880" s="1294">
        <v>6.24485461962413E-3</v>
      </c>
    </row>
    <row r="881" spans="1:22" s="212" customFormat="1" ht="15.5" x14ac:dyDescent="0.35">
      <c r="A881" s="198">
        <v>2030</v>
      </c>
      <c r="B881" s="197" t="s">
        <v>5833</v>
      </c>
      <c r="C881" s="197">
        <v>2027</v>
      </c>
      <c r="D881" s="225" t="str">
        <f t="shared" si="4"/>
        <v>2030_2027</v>
      </c>
      <c r="E881" s="1231">
        <v>6.9452051424153102E-2</v>
      </c>
      <c r="F881" s="1288">
        <v>4.1449684931240101E-3</v>
      </c>
      <c r="G881" s="1306">
        <v>5.8254357200665997E-2</v>
      </c>
      <c r="H881" s="1303">
        <v>0.39413714268497602</v>
      </c>
      <c r="I881" s="1288">
        <v>4.9995310194195598E-2</v>
      </c>
      <c r="J881" s="1306">
        <v>9.5782947593623297E-2</v>
      </c>
      <c r="K881" s="1303">
        <v>6.6983862675925104E-3</v>
      </c>
      <c r="L881" s="1288">
        <v>1.11546027982634E-3</v>
      </c>
      <c r="M881" s="1306">
        <v>5.8176255136217E-4</v>
      </c>
      <c r="N881" s="1303">
        <v>7.8504628206927992E-3</v>
      </c>
      <c r="O881" s="1288">
        <v>2.17493873998496E-3</v>
      </c>
      <c r="P881" s="1288">
        <v>7.8043906238162604E-3</v>
      </c>
      <c r="Q881" s="1306">
        <v>7.9141820106778307E-3</v>
      </c>
      <c r="R881" s="1303">
        <v>3.8361482315821302E-2</v>
      </c>
      <c r="S881" s="1288">
        <v>3.30133479373474E-2</v>
      </c>
      <c r="T881" s="1288">
        <v>3.8362517854726101E-2</v>
      </c>
      <c r="U881" s="1306">
        <v>1.9250005517068101E-2</v>
      </c>
      <c r="V881" s="1294">
        <v>7.0012575709641998E-3</v>
      </c>
    </row>
    <row r="882" spans="1:22" s="212" customFormat="1" ht="15.5" x14ac:dyDescent="0.35">
      <c r="A882" s="198">
        <v>2030</v>
      </c>
      <c r="B882" s="197" t="s">
        <v>5833</v>
      </c>
      <c r="C882" s="197">
        <v>2028</v>
      </c>
      <c r="D882" s="225" t="str">
        <f t="shared" si="4"/>
        <v>2030_2028</v>
      </c>
      <c r="E882" s="1231">
        <v>6.5770566490239199E-2</v>
      </c>
      <c r="F882" s="1288">
        <v>8.1612238947886794E-3</v>
      </c>
      <c r="G882" s="1306">
        <v>5.8446918645840597E-2</v>
      </c>
      <c r="H882" s="1303">
        <v>0.35976063947137499</v>
      </c>
      <c r="I882" s="1288">
        <v>7.9209882139977303E-2</v>
      </c>
      <c r="J882" s="1306">
        <v>9.8552206073028406E-2</v>
      </c>
      <c r="K882" s="1303">
        <v>6.5414633912702401E-3</v>
      </c>
      <c r="L882" s="1288">
        <v>1.3043103434226E-3</v>
      </c>
      <c r="M882" s="1306">
        <v>7.5430669545403404E-4</v>
      </c>
      <c r="N882" s="1303">
        <v>7.7712270796596403E-3</v>
      </c>
      <c r="O882" s="1288">
        <v>2.3743079061995099E-3</v>
      </c>
      <c r="P882" s="1288">
        <v>7.7308208824048898E-3</v>
      </c>
      <c r="Q882" s="1306">
        <v>7.9427433315009295E-3</v>
      </c>
      <c r="R882" s="1303">
        <v>3.8463848921908399E-2</v>
      </c>
      <c r="S882" s="1288">
        <v>3.4339152892674203E-2</v>
      </c>
      <c r="T882" s="1288">
        <v>3.8062585947839199E-2</v>
      </c>
      <c r="U882" s="1306">
        <v>1.9250005517068101E-2</v>
      </c>
      <c r="V882" s="1294">
        <v>6.8372393385095799E-3</v>
      </c>
    </row>
    <row r="883" spans="1:22" s="212" customFormat="1" ht="15.5" x14ac:dyDescent="0.35">
      <c r="A883" s="198">
        <v>2030</v>
      </c>
      <c r="B883" s="197" t="s">
        <v>5833</v>
      </c>
      <c r="C883" s="197">
        <v>2029</v>
      </c>
      <c r="D883" s="225" t="str">
        <f t="shared" si="4"/>
        <v>2030_2029</v>
      </c>
      <c r="E883" s="1231">
        <v>6.2950370652361406E-2</v>
      </c>
      <c r="F883" s="1288">
        <v>7.7396741838143303E-3</v>
      </c>
      <c r="G883" s="1306">
        <v>6.2317928972136803E-2</v>
      </c>
      <c r="H883" s="1303">
        <v>0.33798379649461102</v>
      </c>
      <c r="I883" s="1288">
        <v>7.2863637024810898E-2</v>
      </c>
      <c r="J883" s="1306">
        <v>0.110055539790614</v>
      </c>
      <c r="K883" s="1303">
        <v>6.1709023472771799E-3</v>
      </c>
      <c r="L883" s="1288">
        <v>1.2521555301593199E-3</v>
      </c>
      <c r="M883" s="1306">
        <v>6.4160884282415996E-4</v>
      </c>
      <c r="N883" s="1303">
        <v>7.3591644136986097E-3</v>
      </c>
      <c r="O883" s="1288">
        <v>2.3930042622993799E-3</v>
      </c>
      <c r="P883" s="1288">
        <v>8.2423372137655493E-3</v>
      </c>
      <c r="Q883" s="1306">
        <v>8.3085958763830601E-3</v>
      </c>
      <c r="R883" s="1303">
        <v>3.8435790840330497E-2</v>
      </c>
      <c r="S883" s="1288">
        <v>3.44634836607383E-2</v>
      </c>
      <c r="T883" s="1288">
        <v>3.8206987430294201E-2</v>
      </c>
      <c r="U883" s="1306">
        <v>1.9250005517068101E-2</v>
      </c>
      <c r="V883" s="1294">
        <v>6.4499231684474502E-3</v>
      </c>
    </row>
    <row r="884" spans="1:22" s="212" customFormat="1" ht="15.5" x14ac:dyDescent="0.35">
      <c r="A884" s="198">
        <v>2030</v>
      </c>
      <c r="B884" s="197" t="s">
        <v>5833</v>
      </c>
      <c r="C884" s="197">
        <v>2030</v>
      </c>
      <c r="D884" s="225" t="str">
        <f t="shared" si="4"/>
        <v>2030_2030</v>
      </c>
      <c r="E884" s="1231">
        <v>8.5232839095445795E-2</v>
      </c>
      <c r="F884" s="1288">
        <v>3.9937405215592402E-3</v>
      </c>
      <c r="G884" s="1306">
        <v>7.9147839395808606E-2</v>
      </c>
      <c r="H884" s="1303">
        <v>0.14911162855785901</v>
      </c>
      <c r="I884" s="1288">
        <v>1.97108797943359E-2</v>
      </c>
      <c r="J884" s="1306">
        <v>0.141395959415796</v>
      </c>
      <c r="K884" s="1303">
        <v>6.9640797840190404E-3</v>
      </c>
      <c r="L884" s="1288">
        <v>1.1816604199256799E-3</v>
      </c>
      <c r="M884" s="1306">
        <v>6.5521544760510104E-3</v>
      </c>
      <c r="N884" s="1303">
        <v>3.0000008598028201E-3</v>
      </c>
      <c r="O884" s="1288">
        <v>2.0000005732018801E-3</v>
      </c>
      <c r="P884" s="1288">
        <v>3.0000008598028201E-3</v>
      </c>
      <c r="Q884" s="1306">
        <v>7.8222780240651494E-3</v>
      </c>
      <c r="R884" s="1303">
        <v>3.1850009128239903E-2</v>
      </c>
      <c r="S884" s="1288">
        <v>3.1850009128239903E-2</v>
      </c>
      <c r="T884" s="1288">
        <v>3.1850009128239903E-2</v>
      </c>
      <c r="U884" s="1306">
        <v>1.9250005517068101E-2</v>
      </c>
      <c r="V884" s="1294">
        <v>7.2789645692060301E-3</v>
      </c>
    </row>
    <row r="885" spans="1:22" s="212" customFormat="1" ht="15.5" x14ac:dyDescent="0.35">
      <c r="A885" s="198">
        <v>2030</v>
      </c>
      <c r="B885" s="197" t="s">
        <v>5833</v>
      </c>
      <c r="C885" s="197">
        <v>2031</v>
      </c>
      <c r="D885" s="225" t="str">
        <f t="shared" si="4"/>
        <v>2030_2031</v>
      </c>
      <c r="E885" s="1226">
        <v>8.5232839095445795E-2</v>
      </c>
      <c r="F885" s="1257">
        <v>3.9937405215592402E-3</v>
      </c>
      <c r="G885" s="1280">
        <v>7.9147839395808606E-2</v>
      </c>
      <c r="H885" s="1271">
        <v>0.14911162855785901</v>
      </c>
      <c r="I885" s="1257">
        <v>1.97108797943359E-2</v>
      </c>
      <c r="J885" s="1280">
        <v>0.141395959415796</v>
      </c>
      <c r="K885" s="1271">
        <v>6.9640797840190404E-3</v>
      </c>
      <c r="L885" s="1257">
        <v>1.1816604199256799E-3</v>
      </c>
      <c r="M885" s="1280">
        <v>6.5521544760510104E-3</v>
      </c>
      <c r="N885" s="1271">
        <v>3.0000008598028201E-3</v>
      </c>
      <c r="O885" s="1257">
        <v>2.0000005732018801E-3</v>
      </c>
      <c r="P885" s="1257">
        <v>3.0000008598028201E-3</v>
      </c>
      <c r="Q885" s="1280">
        <v>7.8222780240651494E-3</v>
      </c>
      <c r="R885" s="1271">
        <v>3.1850009128239903E-2</v>
      </c>
      <c r="S885" s="1257">
        <v>3.1850009128239903E-2</v>
      </c>
      <c r="T885" s="1257">
        <v>3.1850009128239903E-2</v>
      </c>
      <c r="U885" s="1280">
        <v>1.9250005517068101E-2</v>
      </c>
      <c r="V885" s="1293">
        <v>7.2789645692060301E-3</v>
      </c>
    </row>
    <row r="886" spans="1:22" s="212" customFormat="1" ht="15.5" x14ac:dyDescent="0.35">
      <c r="A886" s="198">
        <v>2031</v>
      </c>
      <c r="B886" s="197" t="s">
        <v>5833</v>
      </c>
      <c r="C886" s="197">
        <v>1971</v>
      </c>
      <c r="D886" s="225" t="str">
        <f t="shared" si="4"/>
        <v>2031_1971</v>
      </c>
      <c r="E886" s="1226">
        <v>6.6388791569597899E-2</v>
      </c>
      <c r="F886" s="1257">
        <v>1.2838258645825201E-2</v>
      </c>
      <c r="G886" s="1280">
        <v>2.02443496356291E-2</v>
      </c>
      <c r="H886" s="1271">
        <v>0.36708177473682801</v>
      </c>
      <c r="I886" s="1257">
        <v>0.42981606395777799</v>
      </c>
      <c r="J886" s="1280">
        <v>0.60517735532229799</v>
      </c>
      <c r="K886" s="1271">
        <v>6.6230100405527802E-3</v>
      </c>
      <c r="L886" s="1257">
        <v>1.17255525653314E-3</v>
      </c>
      <c r="M886" s="1280">
        <v>1.7838705518839101E-4</v>
      </c>
      <c r="N886" s="1271">
        <v>7.8921585090689101E-3</v>
      </c>
      <c r="O886" s="1257">
        <v>3.0000008598028201E-3</v>
      </c>
      <c r="P886" s="1257">
        <v>8.3136960241880099E-3</v>
      </c>
      <c r="Q886" s="1280">
        <v>7.8921585090689101E-3</v>
      </c>
      <c r="R886" s="1271">
        <v>3.8500011034136201E-2</v>
      </c>
      <c r="S886" s="1257">
        <v>3.8500011034136201E-2</v>
      </c>
      <c r="T886" s="1257">
        <v>3.8500011034136201E-2</v>
      </c>
      <c r="U886" s="1280">
        <v>1.9250005517068101E-2</v>
      </c>
      <c r="V886" s="1293">
        <v>6.9224731654147897E-3</v>
      </c>
    </row>
    <row r="887" spans="1:22" s="212" customFormat="1" ht="15.5" x14ac:dyDescent="0.35">
      <c r="A887" s="198">
        <v>2031</v>
      </c>
      <c r="B887" s="197" t="s">
        <v>5833</v>
      </c>
      <c r="C887" s="197">
        <v>1972</v>
      </c>
      <c r="D887" s="225" t="str">
        <f t="shared" si="4"/>
        <v>2031_1972</v>
      </c>
      <c r="E887" s="1226">
        <v>6.6388791569597899E-2</v>
      </c>
      <c r="F887" s="1257">
        <v>1.2838258645825201E-2</v>
      </c>
      <c r="G887" s="1280">
        <v>2.02443496356291E-2</v>
      </c>
      <c r="H887" s="1271">
        <v>0.36708177473682801</v>
      </c>
      <c r="I887" s="1257">
        <v>0.42981606395777799</v>
      </c>
      <c r="J887" s="1280">
        <v>0.60517735532229799</v>
      </c>
      <c r="K887" s="1271">
        <v>6.6230100405527802E-3</v>
      </c>
      <c r="L887" s="1257">
        <v>1.17255525653314E-3</v>
      </c>
      <c r="M887" s="1280">
        <v>1.7838705518839101E-4</v>
      </c>
      <c r="N887" s="1271">
        <v>7.8921585090689101E-3</v>
      </c>
      <c r="O887" s="1257">
        <v>3.0000008598028201E-3</v>
      </c>
      <c r="P887" s="1257">
        <v>8.3136960241880099E-3</v>
      </c>
      <c r="Q887" s="1280">
        <v>7.8921585090689101E-3</v>
      </c>
      <c r="R887" s="1271">
        <v>3.8500011034136201E-2</v>
      </c>
      <c r="S887" s="1257">
        <v>3.8500011034136201E-2</v>
      </c>
      <c r="T887" s="1257">
        <v>3.8500011034136201E-2</v>
      </c>
      <c r="U887" s="1280">
        <v>1.9250005517068101E-2</v>
      </c>
      <c r="V887" s="1293">
        <v>6.9224731654147897E-3</v>
      </c>
    </row>
    <row r="888" spans="1:22" s="212" customFormat="1" ht="15.5" x14ac:dyDescent="0.35">
      <c r="A888" s="198">
        <v>2031</v>
      </c>
      <c r="B888" s="197" t="s">
        <v>5833</v>
      </c>
      <c r="C888" s="197">
        <v>1973</v>
      </c>
      <c r="D888" s="225" t="str">
        <f t="shared" si="4"/>
        <v>2031_1973</v>
      </c>
      <c r="E888" s="1226">
        <v>6.6388791569597899E-2</v>
      </c>
      <c r="F888" s="1257">
        <v>1.2838258645825201E-2</v>
      </c>
      <c r="G888" s="1280">
        <v>2.02443496356291E-2</v>
      </c>
      <c r="H888" s="1271">
        <v>0.36708177473682801</v>
      </c>
      <c r="I888" s="1257">
        <v>0.42981606395777799</v>
      </c>
      <c r="J888" s="1280">
        <v>0.60517735532229799</v>
      </c>
      <c r="K888" s="1271">
        <v>6.6230100405527802E-3</v>
      </c>
      <c r="L888" s="1257">
        <v>1.17255525653314E-3</v>
      </c>
      <c r="M888" s="1280">
        <v>1.7838705518839101E-4</v>
      </c>
      <c r="N888" s="1271">
        <v>7.8921585090689101E-3</v>
      </c>
      <c r="O888" s="1257">
        <v>3.0000008598028201E-3</v>
      </c>
      <c r="P888" s="1257">
        <v>8.3136960241880099E-3</v>
      </c>
      <c r="Q888" s="1280">
        <v>7.8921585090689101E-3</v>
      </c>
      <c r="R888" s="1271">
        <v>3.8500011034136201E-2</v>
      </c>
      <c r="S888" s="1257">
        <v>3.8500011034136201E-2</v>
      </c>
      <c r="T888" s="1257">
        <v>3.8500011034136201E-2</v>
      </c>
      <c r="U888" s="1280">
        <v>1.9250005517068101E-2</v>
      </c>
      <c r="V888" s="1293">
        <v>6.9224731654147897E-3</v>
      </c>
    </row>
    <row r="889" spans="1:22" s="212" customFormat="1" ht="15.5" x14ac:dyDescent="0.35">
      <c r="A889" s="198">
        <v>2031</v>
      </c>
      <c r="B889" s="197" t="s">
        <v>5833</v>
      </c>
      <c r="C889" s="197">
        <v>1974</v>
      </c>
      <c r="D889" s="225" t="str">
        <f t="shared" si="4"/>
        <v>2031_1974</v>
      </c>
      <c r="E889" s="1226">
        <v>6.6388791569597899E-2</v>
      </c>
      <c r="F889" s="1257">
        <v>1.2838258645825201E-2</v>
      </c>
      <c r="G889" s="1280">
        <v>2.02443496356291E-2</v>
      </c>
      <c r="H889" s="1271">
        <v>0.36708177473682801</v>
      </c>
      <c r="I889" s="1257">
        <v>0.42981606395777799</v>
      </c>
      <c r="J889" s="1280">
        <v>0.60517735532229799</v>
      </c>
      <c r="K889" s="1271">
        <v>6.6230100405527802E-3</v>
      </c>
      <c r="L889" s="1257">
        <v>1.17255525653314E-3</v>
      </c>
      <c r="M889" s="1280">
        <v>1.7838705518839101E-4</v>
      </c>
      <c r="N889" s="1271">
        <v>7.8921585090689101E-3</v>
      </c>
      <c r="O889" s="1257">
        <v>3.0000008598028201E-3</v>
      </c>
      <c r="P889" s="1257">
        <v>8.3136960241880099E-3</v>
      </c>
      <c r="Q889" s="1280">
        <v>7.8921585090689101E-3</v>
      </c>
      <c r="R889" s="1271">
        <v>3.8500011034136201E-2</v>
      </c>
      <c r="S889" s="1257">
        <v>3.8500011034136201E-2</v>
      </c>
      <c r="T889" s="1257">
        <v>3.8500011034136201E-2</v>
      </c>
      <c r="U889" s="1280">
        <v>1.9250005517068101E-2</v>
      </c>
      <c r="V889" s="1293">
        <v>6.9224731654147897E-3</v>
      </c>
    </row>
    <row r="890" spans="1:22" s="212" customFormat="1" ht="15.5" x14ac:dyDescent="0.35">
      <c r="A890" s="198">
        <v>2031</v>
      </c>
      <c r="B890" s="197" t="s">
        <v>5833</v>
      </c>
      <c r="C890" s="197">
        <v>1975</v>
      </c>
      <c r="D890" s="225" t="str">
        <f t="shared" si="4"/>
        <v>2031_1975</v>
      </c>
      <c r="E890" s="1226">
        <v>6.6388791569597899E-2</v>
      </c>
      <c r="F890" s="1257">
        <v>1.2838258645825201E-2</v>
      </c>
      <c r="G890" s="1280">
        <v>2.02443496356291E-2</v>
      </c>
      <c r="H890" s="1271">
        <v>0.36708177473682801</v>
      </c>
      <c r="I890" s="1257">
        <v>0.42981606395777799</v>
      </c>
      <c r="J890" s="1280">
        <v>0.60517735532229799</v>
      </c>
      <c r="K890" s="1271">
        <v>6.6230100405527802E-3</v>
      </c>
      <c r="L890" s="1257">
        <v>1.17255525653314E-3</v>
      </c>
      <c r="M890" s="1280">
        <v>1.7838705518839101E-4</v>
      </c>
      <c r="N890" s="1271">
        <v>7.8921585090689101E-3</v>
      </c>
      <c r="O890" s="1257">
        <v>3.0000008598028201E-3</v>
      </c>
      <c r="P890" s="1257">
        <v>8.3136960241880099E-3</v>
      </c>
      <c r="Q890" s="1280">
        <v>7.8921585090689101E-3</v>
      </c>
      <c r="R890" s="1271">
        <v>3.8500011034136201E-2</v>
      </c>
      <c r="S890" s="1257">
        <v>3.8500011034136201E-2</v>
      </c>
      <c r="T890" s="1257">
        <v>3.8500011034136201E-2</v>
      </c>
      <c r="U890" s="1280">
        <v>1.9250005517068101E-2</v>
      </c>
      <c r="V890" s="1293">
        <v>6.9224731654147897E-3</v>
      </c>
    </row>
    <row r="891" spans="1:22" s="212" customFormat="1" ht="15.5" x14ac:dyDescent="0.35">
      <c r="A891" s="198">
        <v>2031</v>
      </c>
      <c r="B891" s="197" t="s">
        <v>5833</v>
      </c>
      <c r="C891" s="197">
        <v>1976</v>
      </c>
      <c r="D891" s="225" t="str">
        <f t="shared" si="4"/>
        <v>2031_1976</v>
      </c>
      <c r="E891" s="1226">
        <v>6.6388791569597899E-2</v>
      </c>
      <c r="F891" s="1257">
        <v>1.2838258645825201E-2</v>
      </c>
      <c r="G891" s="1280">
        <v>2.02443496356291E-2</v>
      </c>
      <c r="H891" s="1271">
        <v>0.36708177473682801</v>
      </c>
      <c r="I891" s="1257">
        <v>0.42981606395777799</v>
      </c>
      <c r="J891" s="1280">
        <v>0.60517735532229799</v>
      </c>
      <c r="K891" s="1271">
        <v>6.6230100405527802E-3</v>
      </c>
      <c r="L891" s="1257">
        <v>1.17255525653314E-3</v>
      </c>
      <c r="M891" s="1280">
        <v>1.7838705518839101E-4</v>
      </c>
      <c r="N891" s="1271">
        <v>7.8921585090689101E-3</v>
      </c>
      <c r="O891" s="1257">
        <v>3.0000008598028201E-3</v>
      </c>
      <c r="P891" s="1257">
        <v>8.3136960241880099E-3</v>
      </c>
      <c r="Q891" s="1280">
        <v>7.8921585090689101E-3</v>
      </c>
      <c r="R891" s="1271">
        <v>3.8500011034136201E-2</v>
      </c>
      <c r="S891" s="1257">
        <v>3.8500011034136201E-2</v>
      </c>
      <c r="T891" s="1257">
        <v>3.8500011034136201E-2</v>
      </c>
      <c r="U891" s="1280">
        <v>1.9250005517068101E-2</v>
      </c>
      <c r="V891" s="1293">
        <v>6.9224731654147897E-3</v>
      </c>
    </row>
    <row r="892" spans="1:22" s="212" customFormat="1" ht="15.5" x14ac:dyDescent="0.35">
      <c r="A892" s="198">
        <v>2031</v>
      </c>
      <c r="B892" s="197" t="s">
        <v>5833</v>
      </c>
      <c r="C892" s="197">
        <v>1977</v>
      </c>
      <c r="D892" s="225" t="str">
        <f t="shared" si="4"/>
        <v>2031_1977</v>
      </c>
      <c r="E892" s="1226">
        <v>6.6388791569597899E-2</v>
      </c>
      <c r="F892" s="1257">
        <v>1.2838258645825201E-2</v>
      </c>
      <c r="G892" s="1280">
        <v>2.02443496356291E-2</v>
      </c>
      <c r="H892" s="1271">
        <v>0.36708177473682801</v>
      </c>
      <c r="I892" s="1257">
        <v>0.42981606395777799</v>
      </c>
      <c r="J892" s="1280">
        <v>0.60517735532229799</v>
      </c>
      <c r="K892" s="1271">
        <v>6.6230100405527802E-3</v>
      </c>
      <c r="L892" s="1257">
        <v>1.17255525653314E-3</v>
      </c>
      <c r="M892" s="1280">
        <v>1.7838705518839101E-4</v>
      </c>
      <c r="N892" s="1271">
        <v>7.8921585090689101E-3</v>
      </c>
      <c r="O892" s="1257">
        <v>3.0000008598028201E-3</v>
      </c>
      <c r="P892" s="1257">
        <v>8.3136960241880099E-3</v>
      </c>
      <c r="Q892" s="1280">
        <v>7.8921585090689101E-3</v>
      </c>
      <c r="R892" s="1271">
        <v>3.8500011034136201E-2</v>
      </c>
      <c r="S892" s="1257">
        <v>3.8500011034136201E-2</v>
      </c>
      <c r="T892" s="1257">
        <v>3.8500011034136201E-2</v>
      </c>
      <c r="U892" s="1280">
        <v>1.9250005517068101E-2</v>
      </c>
      <c r="V892" s="1293">
        <v>6.9224731654147897E-3</v>
      </c>
    </row>
    <row r="893" spans="1:22" s="212" customFormat="1" ht="15.5" x14ac:dyDescent="0.35">
      <c r="A893" s="198">
        <v>2031</v>
      </c>
      <c r="B893" s="197" t="s">
        <v>5833</v>
      </c>
      <c r="C893" s="197">
        <v>1978</v>
      </c>
      <c r="D893" s="225" t="str">
        <f t="shared" si="4"/>
        <v>2031_1978</v>
      </c>
      <c r="E893" s="1226">
        <v>6.6388791569597899E-2</v>
      </c>
      <c r="F893" s="1257">
        <v>1.2838258645825201E-2</v>
      </c>
      <c r="G893" s="1280">
        <v>2.02443496356291E-2</v>
      </c>
      <c r="H893" s="1271">
        <v>0.36708177473682801</v>
      </c>
      <c r="I893" s="1257">
        <v>0.42981606395777799</v>
      </c>
      <c r="J893" s="1280">
        <v>0.60517735532229799</v>
      </c>
      <c r="K893" s="1271">
        <v>6.6230100405527802E-3</v>
      </c>
      <c r="L893" s="1257">
        <v>1.17255525653314E-3</v>
      </c>
      <c r="M893" s="1280">
        <v>1.7838705518839101E-4</v>
      </c>
      <c r="N893" s="1271">
        <v>7.8921585090689101E-3</v>
      </c>
      <c r="O893" s="1257">
        <v>3.0000008598028201E-3</v>
      </c>
      <c r="P893" s="1257">
        <v>8.3136960241880099E-3</v>
      </c>
      <c r="Q893" s="1280">
        <v>7.8921585090689101E-3</v>
      </c>
      <c r="R893" s="1271">
        <v>3.8500011034136201E-2</v>
      </c>
      <c r="S893" s="1257">
        <v>3.8500011034136201E-2</v>
      </c>
      <c r="T893" s="1257">
        <v>3.8500011034136201E-2</v>
      </c>
      <c r="U893" s="1280">
        <v>1.9250005517068101E-2</v>
      </c>
      <c r="V893" s="1293">
        <v>6.9224731654147897E-3</v>
      </c>
    </row>
    <row r="894" spans="1:22" s="212" customFormat="1" ht="15.5" x14ac:dyDescent="0.35">
      <c r="A894" s="198">
        <v>2031</v>
      </c>
      <c r="B894" s="197" t="s">
        <v>5833</v>
      </c>
      <c r="C894" s="197">
        <v>1979</v>
      </c>
      <c r="D894" s="225" t="str">
        <f t="shared" si="4"/>
        <v>2031_1979</v>
      </c>
      <c r="E894" s="1226">
        <v>6.6388791569597899E-2</v>
      </c>
      <c r="F894" s="1257">
        <v>1.2838258645825201E-2</v>
      </c>
      <c r="G894" s="1280">
        <v>2.02443496356291E-2</v>
      </c>
      <c r="H894" s="1271">
        <v>0.36708177473682801</v>
      </c>
      <c r="I894" s="1257">
        <v>0.42981606395777799</v>
      </c>
      <c r="J894" s="1280">
        <v>0.60517735532229799</v>
      </c>
      <c r="K894" s="1271">
        <v>6.6230100405527802E-3</v>
      </c>
      <c r="L894" s="1257">
        <v>1.17255525653314E-3</v>
      </c>
      <c r="M894" s="1280">
        <v>1.7838705518839101E-4</v>
      </c>
      <c r="N894" s="1271">
        <v>7.8921585090689101E-3</v>
      </c>
      <c r="O894" s="1257">
        <v>3.0000008598028201E-3</v>
      </c>
      <c r="P894" s="1257">
        <v>8.3136960241880099E-3</v>
      </c>
      <c r="Q894" s="1280">
        <v>7.8921585090689101E-3</v>
      </c>
      <c r="R894" s="1271">
        <v>3.8500011034136201E-2</v>
      </c>
      <c r="S894" s="1257">
        <v>3.8500011034136201E-2</v>
      </c>
      <c r="T894" s="1257">
        <v>3.8500011034136201E-2</v>
      </c>
      <c r="U894" s="1280">
        <v>1.9250005517068101E-2</v>
      </c>
      <c r="V894" s="1293">
        <v>6.9224731654147897E-3</v>
      </c>
    </row>
    <row r="895" spans="1:22" s="212" customFormat="1" ht="15.5" x14ac:dyDescent="0.35">
      <c r="A895" s="198">
        <v>2031</v>
      </c>
      <c r="B895" s="197" t="s">
        <v>5833</v>
      </c>
      <c r="C895" s="197">
        <v>1980</v>
      </c>
      <c r="D895" s="225" t="str">
        <f t="shared" si="4"/>
        <v>2031_1980</v>
      </c>
      <c r="E895" s="1226">
        <v>6.6388791569597899E-2</v>
      </c>
      <c r="F895" s="1257">
        <v>1.2838258645825201E-2</v>
      </c>
      <c r="G895" s="1280">
        <v>2.02443496356291E-2</v>
      </c>
      <c r="H895" s="1271">
        <v>0.36708177473682801</v>
      </c>
      <c r="I895" s="1257">
        <v>0.42981606395777799</v>
      </c>
      <c r="J895" s="1280">
        <v>0.60517735532229799</v>
      </c>
      <c r="K895" s="1271">
        <v>6.6230100405527802E-3</v>
      </c>
      <c r="L895" s="1257">
        <v>1.17255525653314E-3</v>
      </c>
      <c r="M895" s="1280">
        <v>1.7838705518839101E-4</v>
      </c>
      <c r="N895" s="1271">
        <v>7.8921585090689101E-3</v>
      </c>
      <c r="O895" s="1257">
        <v>3.0000008598028201E-3</v>
      </c>
      <c r="P895" s="1257">
        <v>8.3136960241880099E-3</v>
      </c>
      <c r="Q895" s="1280">
        <v>7.8921585090689101E-3</v>
      </c>
      <c r="R895" s="1271">
        <v>3.8500011034136201E-2</v>
      </c>
      <c r="S895" s="1257">
        <v>3.8500011034136201E-2</v>
      </c>
      <c r="T895" s="1257">
        <v>3.8500011034136201E-2</v>
      </c>
      <c r="U895" s="1280">
        <v>1.9250005517068101E-2</v>
      </c>
      <c r="V895" s="1293">
        <v>6.9224731654147897E-3</v>
      </c>
    </row>
    <row r="896" spans="1:22" s="212" customFormat="1" ht="15.5" x14ac:dyDescent="0.35">
      <c r="A896" s="198">
        <v>2031</v>
      </c>
      <c r="B896" s="197" t="s">
        <v>5833</v>
      </c>
      <c r="C896" s="197">
        <v>1981</v>
      </c>
      <c r="D896" s="225" t="str">
        <f t="shared" si="4"/>
        <v>2031_1981</v>
      </c>
      <c r="E896" s="1226">
        <v>6.6388791569597899E-2</v>
      </c>
      <c r="F896" s="1257">
        <v>1.2838258645825201E-2</v>
      </c>
      <c r="G896" s="1280">
        <v>2.02443496356291E-2</v>
      </c>
      <c r="H896" s="1271">
        <v>0.36708177473682801</v>
      </c>
      <c r="I896" s="1257">
        <v>0.42981606395777799</v>
      </c>
      <c r="J896" s="1280">
        <v>0.60517735532229799</v>
      </c>
      <c r="K896" s="1271">
        <v>6.6230100405527802E-3</v>
      </c>
      <c r="L896" s="1257">
        <v>1.17255525653314E-3</v>
      </c>
      <c r="M896" s="1280">
        <v>1.7838705518839101E-4</v>
      </c>
      <c r="N896" s="1271">
        <v>7.8921585090689101E-3</v>
      </c>
      <c r="O896" s="1257">
        <v>3.0000008598028201E-3</v>
      </c>
      <c r="P896" s="1257">
        <v>8.3136960241880099E-3</v>
      </c>
      <c r="Q896" s="1280">
        <v>7.8921585090689101E-3</v>
      </c>
      <c r="R896" s="1271">
        <v>3.8500011034136201E-2</v>
      </c>
      <c r="S896" s="1257">
        <v>3.8500011034136201E-2</v>
      </c>
      <c r="T896" s="1257">
        <v>3.8500011034136201E-2</v>
      </c>
      <c r="U896" s="1280">
        <v>1.9250005517068101E-2</v>
      </c>
      <c r="V896" s="1293">
        <v>6.9224731654147897E-3</v>
      </c>
    </row>
    <row r="897" spans="1:22" s="212" customFormat="1" ht="15.5" x14ac:dyDescent="0.35">
      <c r="A897" s="198">
        <v>2031</v>
      </c>
      <c r="B897" s="197" t="s">
        <v>5833</v>
      </c>
      <c r="C897" s="197">
        <v>1982</v>
      </c>
      <c r="D897" s="225" t="str">
        <f t="shared" si="4"/>
        <v>2031_1982</v>
      </c>
      <c r="E897" s="1226">
        <v>6.6388791569597899E-2</v>
      </c>
      <c r="F897" s="1257">
        <v>1.2838258645825201E-2</v>
      </c>
      <c r="G897" s="1280">
        <v>2.02443496356291E-2</v>
      </c>
      <c r="H897" s="1271">
        <v>0.36708177473682801</v>
      </c>
      <c r="I897" s="1257">
        <v>0.42981606395777799</v>
      </c>
      <c r="J897" s="1280">
        <v>0.60517735532229799</v>
      </c>
      <c r="K897" s="1271">
        <v>6.6230100405527802E-3</v>
      </c>
      <c r="L897" s="1257">
        <v>1.17255525653314E-3</v>
      </c>
      <c r="M897" s="1280">
        <v>1.7838705518839101E-4</v>
      </c>
      <c r="N897" s="1271">
        <v>7.8921585090689101E-3</v>
      </c>
      <c r="O897" s="1257">
        <v>3.0000008598028201E-3</v>
      </c>
      <c r="P897" s="1257">
        <v>8.3136960241880099E-3</v>
      </c>
      <c r="Q897" s="1280">
        <v>7.8921585090689101E-3</v>
      </c>
      <c r="R897" s="1271">
        <v>3.8500011034136201E-2</v>
      </c>
      <c r="S897" s="1257">
        <v>3.8500011034136201E-2</v>
      </c>
      <c r="T897" s="1257">
        <v>3.8500011034136201E-2</v>
      </c>
      <c r="U897" s="1280">
        <v>1.9250005517068101E-2</v>
      </c>
      <c r="V897" s="1293">
        <v>6.9224731654147897E-3</v>
      </c>
    </row>
    <row r="898" spans="1:22" s="212" customFormat="1" ht="15.5" x14ac:dyDescent="0.35">
      <c r="A898" s="198">
        <v>2031</v>
      </c>
      <c r="B898" s="197" t="s">
        <v>5833</v>
      </c>
      <c r="C898" s="197">
        <v>1983</v>
      </c>
      <c r="D898" s="225" t="str">
        <f t="shared" si="4"/>
        <v>2031_1983</v>
      </c>
      <c r="E898" s="1226">
        <v>6.6388791569597899E-2</v>
      </c>
      <c r="F898" s="1257">
        <v>1.2838258645825201E-2</v>
      </c>
      <c r="G898" s="1280">
        <v>2.02443496356291E-2</v>
      </c>
      <c r="H898" s="1271">
        <v>0.36708177473682801</v>
      </c>
      <c r="I898" s="1257">
        <v>0.42981606395777799</v>
      </c>
      <c r="J898" s="1280">
        <v>0.60517735532229799</v>
      </c>
      <c r="K898" s="1271">
        <v>6.6230100405527802E-3</v>
      </c>
      <c r="L898" s="1257">
        <v>1.17255525653314E-3</v>
      </c>
      <c r="M898" s="1280">
        <v>1.7838705518839101E-4</v>
      </c>
      <c r="N898" s="1271">
        <v>7.8921585090689101E-3</v>
      </c>
      <c r="O898" s="1257">
        <v>3.0000008598028201E-3</v>
      </c>
      <c r="P898" s="1257">
        <v>8.3136960241880099E-3</v>
      </c>
      <c r="Q898" s="1280">
        <v>7.8921585090689101E-3</v>
      </c>
      <c r="R898" s="1271">
        <v>3.8500011034136201E-2</v>
      </c>
      <c r="S898" s="1257">
        <v>3.8500011034136201E-2</v>
      </c>
      <c r="T898" s="1257">
        <v>3.8500011034136201E-2</v>
      </c>
      <c r="U898" s="1280">
        <v>1.9250005517068101E-2</v>
      </c>
      <c r="V898" s="1293">
        <v>6.9224731654147897E-3</v>
      </c>
    </row>
    <row r="899" spans="1:22" s="212" customFormat="1" ht="15.5" x14ac:dyDescent="0.35">
      <c r="A899" s="198">
        <v>2031</v>
      </c>
      <c r="B899" s="197" t="s">
        <v>5833</v>
      </c>
      <c r="C899" s="197">
        <v>1984</v>
      </c>
      <c r="D899" s="225" t="str">
        <f t="shared" si="4"/>
        <v>2031_1984</v>
      </c>
      <c r="E899" s="1226">
        <v>6.6388791569597899E-2</v>
      </c>
      <c r="F899" s="1257">
        <v>1.2838258645825201E-2</v>
      </c>
      <c r="G899" s="1280">
        <v>2.02443496356291E-2</v>
      </c>
      <c r="H899" s="1271">
        <v>0.36708177473682801</v>
      </c>
      <c r="I899" s="1257">
        <v>0.42981606395777799</v>
      </c>
      <c r="J899" s="1280">
        <v>0.60517735532229799</v>
      </c>
      <c r="K899" s="1271">
        <v>6.6230100405527802E-3</v>
      </c>
      <c r="L899" s="1257">
        <v>1.17255525653314E-3</v>
      </c>
      <c r="M899" s="1280">
        <v>1.7838705518839101E-4</v>
      </c>
      <c r="N899" s="1271">
        <v>7.8921585090689101E-3</v>
      </c>
      <c r="O899" s="1257">
        <v>3.0000008598028201E-3</v>
      </c>
      <c r="P899" s="1257">
        <v>8.3136960241880099E-3</v>
      </c>
      <c r="Q899" s="1280">
        <v>7.8921585090689101E-3</v>
      </c>
      <c r="R899" s="1271">
        <v>3.8500011034136201E-2</v>
      </c>
      <c r="S899" s="1257">
        <v>3.8500011034136201E-2</v>
      </c>
      <c r="T899" s="1257">
        <v>3.8500011034136201E-2</v>
      </c>
      <c r="U899" s="1280">
        <v>1.9250005517068101E-2</v>
      </c>
      <c r="V899" s="1293">
        <v>6.9224731654147897E-3</v>
      </c>
    </row>
    <row r="900" spans="1:22" s="212" customFormat="1" ht="15.5" x14ac:dyDescent="0.35">
      <c r="A900" s="198">
        <v>2031</v>
      </c>
      <c r="B900" s="197" t="s">
        <v>5833</v>
      </c>
      <c r="C900" s="197">
        <v>1985</v>
      </c>
      <c r="D900" s="225" t="str">
        <f t="shared" si="4"/>
        <v>2031_1985</v>
      </c>
      <c r="E900" s="1226">
        <v>6.6388791569597899E-2</v>
      </c>
      <c r="F900" s="1257">
        <v>1.2838258645825201E-2</v>
      </c>
      <c r="G900" s="1280">
        <v>2.02443496356291E-2</v>
      </c>
      <c r="H900" s="1271">
        <v>0.36708177473682801</v>
      </c>
      <c r="I900" s="1257">
        <v>0.42981606395777799</v>
      </c>
      <c r="J900" s="1280">
        <v>0.60517735532229799</v>
      </c>
      <c r="K900" s="1271">
        <v>6.6230100405527802E-3</v>
      </c>
      <c r="L900" s="1257">
        <v>1.17255525653314E-3</v>
      </c>
      <c r="M900" s="1280">
        <v>1.7838705518839101E-4</v>
      </c>
      <c r="N900" s="1271">
        <v>7.8921585090689101E-3</v>
      </c>
      <c r="O900" s="1257">
        <v>3.0000008598028201E-3</v>
      </c>
      <c r="P900" s="1257">
        <v>8.3136960241880099E-3</v>
      </c>
      <c r="Q900" s="1280">
        <v>7.8921585090689101E-3</v>
      </c>
      <c r="R900" s="1271">
        <v>3.8500011034136201E-2</v>
      </c>
      <c r="S900" s="1257">
        <v>3.8500011034136201E-2</v>
      </c>
      <c r="T900" s="1257">
        <v>3.8500011034136201E-2</v>
      </c>
      <c r="U900" s="1280">
        <v>1.9250005517068101E-2</v>
      </c>
      <c r="V900" s="1293">
        <v>6.9224731654147897E-3</v>
      </c>
    </row>
    <row r="901" spans="1:22" s="212" customFormat="1" ht="15.5" x14ac:dyDescent="0.35">
      <c r="A901" s="198">
        <v>2031</v>
      </c>
      <c r="B901" s="197" t="s">
        <v>5833</v>
      </c>
      <c r="C901" s="197">
        <v>1986</v>
      </c>
      <c r="D901" s="225" t="str">
        <f t="shared" si="4"/>
        <v>2031_1986</v>
      </c>
      <c r="E901" s="1226">
        <v>6.6388791569597899E-2</v>
      </c>
      <c r="F901" s="1257">
        <v>1.2838258645825201E-2</v>
      </c>
      <c r="G901" s="1280">
        <v>2.02443496356291E-2</v>
      </c>
      <c r="H901" s="1271">
        <v>0.36708177473682801</v>
      </c>
      <c r="I901" s="1257">
        <v>0.42981606395777799</v>
      </c>
      <c r="J901" s="1280">
        <v>0.60517735532229799</v>
      </c>
      <c r="K901" s="1271">
        <v>6.6230100405527802E-3</v>
      </c>
      <c r="L901" s="1257">
        <v>1.17255525653314E-3</v>
      </c>
      <c r="M901" s="1280">
        <v>1.7838705518839101E-4</v>
      </c>
      <c r="N901" s="1271">
        <v>7.8921585090689101E-3</v>
      </c>
      <c r="O901" s="1257">
        <v>3.0000008598028201E-3</v>
      </c>
      <c r="P901" s="1257">
        <v>8.3136960241880099E-3</v>
      </c>
      <c r="Q901" s="1280">
        <v>7.8921585090689101E-3</v>
      </c>
      <c r="R901" s="1271">
        <v>3.8500011034136201E-2</v>
      </c>
      <c r="S901" s="1257">
        <v>3.8500011034136201E-2</v>
      </c>
      <c r="T901" s="1257">
        <v>3.8500011034136201E-2</v>
      </c>
      <c r="U901" s="1280">
        <v>1.9250005517068101E-2</v>
      </c>
      <c r="V901" s="1293">
        <v>6.9224731654147897E-3</v>
      </c>
    </row>
    <row r="902" spans="1:22" s="212" customFormat="1" ht="15.5" x14ac:dyDescent="0.35">
      <c r="A902" s="198">
        <v>2031</v>
      </c>
      <c r="B902" s="197" t="s">
        <v>5833</v>
      </c>
      <c r="C902" s="197">
        <v>1987</v>
      </c>
      <c r="D902" s="225" t="str">
        <f t="shared" si="4"/>
        <v>2031_1987</v>
      </c>
      <c r="E902" s="1226">
        <v>6.6388791569597899E-2</v>
      </c>
      <c r="F902" s="1257">
        <v>1.2838258645825201E-2</v>
      </c>
      <c r="G902" s="1280">
        <v>2.02443496356291E-2</v>
      </c>
      <c r="H902" s="1271">
        <v>0.36708177473682801</v>
      </c>
      <c r="I902" s="1257">
        <v>0.42981606395777799</v>
      </c>
      <c r="J902" s="1280">
        <v>0.60517735532229799</v>
      </c>
      <c r="K902" s="1271">
        <v>6.6230100405527802E-3</v>
      </c>
      <c r="L902" s="1257">
        <v>1.17255525653314E-3</v>
      </c>
      <c r="M902" s="1280">
        <v>1.7838705518839101E-4</v>
      </c>
      <c r="N902" s="1271">
        <v>7.8921585090689101E-3</v>
      </c>
      <c r="O902" s="1257">
        <v>3.0000008598028201E-3</v>
      </c>
      <c r="P902" s="1257">
        <v>8.3136960241880099E-3</v>
      </c>
      <c r="Q902" s="1280">
        <v>7.8921585090689101E-3</v>
      </c>
      <c r="R902" s="1271">
        <v>3.8500011034136201E-2</v>
      </c>
      <c r="S902" s="1257">
        <v>3.8500011034136201E-2</v>
      </c>
      <c r="T902" s="1257">
        <v>3.8500011034136201E-2</v>
      </c>
      <c r="U902" s="1280">
        <v>1.9250005517068101E-2</v>
      </c>
      <c r="V902" s="1293">
        <v>6.9224731654147897E-3</v>
      </c>
    </row>
    <row r="903" spans="1:22" s="212" customFormat="1" ht="15.5" x14ac:dyDescent="0.35">
      <c r="A903" s="198">
        <v>2031</v>
      </c>
      <c r="B903" s="197" t="s">
        <v>5833</v>
      </c>
      <c r="C903" s="197">
        <v>1988</v>
      </c>
      <c r="D903" s="225" t="str">
        <f t="shared" si="4"/>
        <v>2031_1988</v>
      </c>
      <c r="E903" s="1226">
        <v>6.6388791569597899E-2</v>
      </c>
      <c r="F903" s="1257">
        <v>1.2838258645825201E-2</v>
      </c>
      <c r="G903" s="1280">
        <v>2.02443496356291E-2</v>
      </c>
      <c r="H903" s="1271">
        <v>0.36708177473682801</v>
      </c>
      <c r="I903" s="1257">
        <v>0.42981606395777799</v>
      </c>
      <c r="J903" s="1280">
        <v>0.60517735532229799</v>
      </c>
      <c r="K903" s="1271">
        <v>6.6230100405527802E-3</v>
      </c>
      <c r="L903" s="1257">
        <v>1.17255525653314E-3</v>
      </c>
      <c r="M903" s="1280">
        <v>1.7838705518839101E-4</v>
      </c>
      <c r="N903" s="1271">
        <v>7.8921585090689101E-3</v>
      </c>
      <c r="O903" s="1257">
        <v>3.0000008598028201E-3</v>
      </c>
      <c r="P903" s="1257">
        <v>8.3136960241880099E-3</v>
      </c>
      <c r="Q903" s="1280">
        <v>7.8921585090689101E-3</v>
      </c>
      <c r="R903" s="1271">
        <v>3.8500011034136201E-2</v>
      </c>
      <c r="S903" s="1257">
        <v>3.8500011034136201E-2</v>
      </c>
      <c r="T903" s="1257">
        <v>3.8500011034136201E-2</v>
      </c>
      <c r="U903" s="1280">
        <v>1.9250005517068101E-2</v>
      </c>
      <c r="V903" s="1293">
        <v>6.9224731654147897E-3</v>
      </c>
    </row>
    <row r="904" spans="1:22" s="212" customFormat="1" ht="15.5" x14ac:dyDescent="0.35">
      <c r="A904" s="198">
        <v>2031</v>
      </c>
      <c r="B904" s="197" t="s">
        <v>5833</v>
      </c>
      <c r="C904" s="197">
        <v>1989</v>
      </c>
      <c r="D904" s="225" t="str">
        <f t="shared" si="4"/>
        <v>2031_1989</v>
      </c>
      <c r="E904" s="1226">
        <v>6.6388791569597899E-2</v>
      </c>
      <c r="F904" s="1257">
        <v>1.2838258645825201E-2</v>
      </c>
      <c r="G904" s="1280">
        <v>2.02443496356291E-2</v>
      </c>
      <c r="H904" s="1271">
        <v>0.36708177473682801</v>
      </c>
      <c r="I904" s="1257">
        <v>0.42981606395777799</v>
      </c>
      <c r="J904" s="1280">
        <v>0.60517735532229799</v>
      </c>
      <c r="K904" s="1271">
        <v>6.6230100405527802E-3</v>
      </c>
      <c r="L904" s="1257">
        <v>1.17255525653314E-3</v>
      </c>
      <c r="M904" s="1280">
        <v>1.7838705518839101E-4</v>
      </c>
      <c r="N904" s="1271">
        <v>7.8921585090689101E-3</v>
      </c>
      <c r="O904" s="1257">
        <v>3.0000008598028201E-3</v>
      </c>
      <c r="P904" s="1257">
        <v>8.3136960241880099E-3</v>
      </c>
      <c r="Q904" s="1280">
        <v>7.8921585090689101E-3</v>
      </c>
      <c r="R904" s="1271">
        <v>3.8500011034136201E-2</v>
      </c>
      <c r="S904" s="1257">
        <v>3.8500011034136201E-2</v>
      </c>
      <c r="T904" s="1257">
        <v>3.8500011034136201E-2</v>
      </c>
      <c r="U904" s="1280">
        <v>1.9250005517068101E-2</v>
      </c>
      <c r="V904" s="1293">
        <v>6.9224731654147897E-3</v>
      </c>
    </row>
    <row r="905" spans="1:22" s="212" customFormat="1" ht="15.5" x14ac:dyDescent="0.35">
      <c r="A905" s="198">
        <v>2031</v>
      </c>
      <c r="B905" s="197" t="s">
        <v>5833</v>
      </c>
      <c r="C905" s="197">
        <v>1990</v>
      </c>
      <c r="D905" s="225" t="str">
        <f t="shared" si="4"/>
        <v>2031_1990</v>
      </c>
      <c r="E905" s="1226">
        <v>6.6388791569597899E-2</v>
      </c>
      <c r="F905" s="1257">
        <v>1.2838258645825201E-2</v>
      </c>
      <c r="G905" s="1280">
        <v>2.02443496356291E-2</v>
      </c>
      <c r="H905" s="1271">
        <v>0.36708177473682801</v>
      </c>
      <c r="I905" s="1257">
        <v>0.42981606395777799</v>
      </c>
      <c r="J905" s="1280">
        <v>0.60517735532229799</v>
      </c>
      <c r="K905" s="1271">
        <v>6.6230100405527802E-3</v>
      </c>
      <c r="L905" s="1257">
        <v>1.17255525653314E-3</v>
      </c>
      <c r="M905" s="1280">
        <v>1.7838705518839101E-4</v>
      </c>
      <c r="N905" s="1271">
        <v>7.8921585090689101E-3</v>
      </c>
      <c r="O905" s="1257">
        <v>3.0000008598028201E-3</v>
      </c>
      <c r="P905" s="1257">
        <v>8.3136960241880099E-3</v>
      </c>
      <c r="Q905" s="1280">
        <v>7.8921585090689101E-3</v>
      </c>
      <c r="R905" s="1271">
        <v>3.8500011034136201E-2</v>
      </c>
      <c r="S905" s="1257">
        <v>3.8500011034136201E-2</v>
      </c>
      <c r="T905" s="1257">
        <v>3.8500011034136201E-2</v>
      </c>
      <c r="U905" s="1280">
        <v>1.9250005517068101E-2</v>
      </c>
      <c r="V905" s="1293">
        <v>6.9224731654147897E-3</v>
      </c>
    </row>
    <row r="906" spans="1:22" s="212" customFormat="1" ht="15.5" x14ac:dyDescent="0.35">
      <c r="A906" s="198">
        <v>2031</v>
      </c>
      <c r="B906" s="197" t="s">
        <v>5833</v>
      </c>
      <c r="C906" s="197">
        <v>1991</v>
      </c>
      <c r="D906" s="225" t="str">
        <f t="shared" si="4"/>
        <v>2031_1991</v>
      </c>
      <c r="E906" s="1226">
        <v>6.6388791569597899E-2</v>
      </c>
      <c r="F906" s="1257">
        <v>1.2838258645825201E-2</v>
      </c>
      <c r="G906" s="1280">
        <v>2.02443496356291E-2</v>
      </c>
      <c r="H906" s="1271">
        <v>0.36708177473682801</v>
      </c>
      <c r="I906" s="1257">
        <v>0.42981606395777799</v>
      </c>
      <c r="J906" s="1280">
        <v>0.60517735532229799</v>
      </c>
      <c r="K906" s="1271">
        <v>6.6230100405527802E-3</v>
      </c>
      <c r="L906" s="1257">
        <v>1.17255525653314E-3</v>
      </c>
      <c r="M906" s="1280">
        <v>1.7838705518839101E-4</v>
      </c>
      <c r="N906" s="1271">
        <v>7.8921585090689101E-3</v>
      </c>
      <c r="O906" s="1257">
        <v>3.0000008598028201E-3</v>
      </c>
      <c r="P906" s="1257">
        <v>8.3136960241880099E-3</v>
      </c>
      <c r="Q906" s="1280">
        <v>7.8921585090689101E-3</v>
      </c>
      <c r="R906" s="1271">
        <v>3.8500011034136201E-2</v>
      </c>
      <c r="S906" s="1257">
        <v>3.8500011034136201E-2</v>
      </c>
      <c r="T906" s="1257">
        <v>3.8500011034136201E-2</v>
      </c>
      <c r="U906" s="1280">
        <v>1.9250005517068101E-2</v>
      </c>
      <c r="V906" s="1293">
        <v>6.9224731654147897E-3</v>
      </c>
    </row>
    <row r="907" spans="1:22" s="212" customFormat="1" ht="15.5" x14ac:dyDescent="0.35">
      <c r="A907" s="198">
        <v>2031</v>
      </c>
      <c r="B907" s="197" t="s">
        <v>5833</v>
      </c>
      <c r="C907" s="197">
        <v>1992</v>
      </c>
      <c r="D907" s="225" t="str">
        <f t="shared" si="4"/>
        <v>2031_1992</v>
      </c>
      <c r="E907" s="1226">
        <v>6.6388791569597899E-2</v>
      </c>
      <c r="F907" s="1257">
        <v>1.2838258645825201E-2</v>
      </c>
      <c r="G907" s="1280">
        <v>2.02443496356291E-2</v>
      </c>
      <c r="H907" s="1271">
        <v>0.36708177473682801</v>
      </c>
      <c r="I907" s="1257">
        <v>0.42981606395777799</v>
      </c>
      <c r="J907" s="1280">
        <v>0.60517735532229799</v>
      </c>
      <c r="K907" s="1271">
        <v>6.6230100405527802E-3</v>
      </c>
      <c r="L907" s="1257">
        <v>1.17255525653314E-3</v>
      </c>
      <c r="M907" s="1280">
        <v>1.7838705518839101E-4</v>
      </c>
      <c r="N907" s="1271">
        <v>7.8921585090689101E-3</v>
      </c>
      <c r="O907" s="1257">
        <v>3.0000008598028201E-3</v>
      </c>
      <c r="P907" s="1257">
        <v>8.3136960241880099E-3</v>
      </c>
      <c r="Q907" s="1280">
        <v>7.8921585090689101E-3</v>
      </c>
      <c r="R907" s="1271">
        <v>3.8500011034136201E-2</v>
      </c>
      <c r="S907" s="1257">
        <v>3.8500011034136201E-2</v>
      </c>
      <c r="T907" s="1257">
        <v>3.8500011034136201E-2</v>
      </c>
      <c r="U907" s="1280">
        <v>1.9250005517068101E-2</v>
      </c>
      <c r="V907" s="1293">
        <v>6.9224731654147897E-3</v>
      </c>
    </row>
    <row r="908" spans="1:22" s="212" customFormat="1" ht="15.5" x14ac:dyDescent="0.35">
      <c r="A908" s="198">
        <v>2031</v>
      </c>
      <c r="B908" s="197" t="s">
        <v>5833</v>
      </c>
      <c r="C908" s="197">
        <v>1993</v>
      </c>
      <c r="D908" s="225" t="str">
        <f t="shared" si="4"/>
        <v>2031_1993</v>
      </c>
      <c r="E908" s="1226">
        <v>6.6388791569597899E-2</v>
      </c>
      <c r="F908" s="1257">
        <v>1.2838258645825201E-2</v>
      </c>
      <c r="G908" s="1280">
        <v>2.02443496356291E-2</v>
      </c>
      <c r="H908" s="1271">
        <v>0.36708177473682801</v>
      </c>
      <c r="I908" s="1257">
        <v>0.42981606395777799</v>
      </c>
      <c r="J908" s="1280">
        <v>0.60517735532229799</v>
      </c>
      <c r="K908" s="1271">
        <v>6.6230100405527802E-3</v>
      </c>
      <c r="L908" s="1257">
        <v>1.17255525653314E-3</v>
      </c>
      <c r="M908" s="1280">
        <v>1.7838705518839101E-4</v>
      </c>
      <c r="N908" s="1271">
        <v>7.8921585090689101E-3</v>
      </c>
      <c r="O908" s="1257">
        <v>3.0000008598028201E-3</v>
      </c>
      <c r="P908" s="1257">
        <v>8.3136960241880099E-3</v>
      </c>
      <c r="Q908" s="1280">
        <v>7.8921585090689101E-3</v>
      </c>
      <c r="R908" s="1271">
        <v>3.8500011034136201E-2</v>
      </c>
      <c r="S908" s="1257">
        <v>3.8500011034136201E-2</v>
      </c>
      <c r="T908" s="1257">
        <v>3.8500011034136201E-2</v>
      </c>
      <c r="U908" s="1280">
        <v>1.9250005517068101E-2</v>
      </c>
      <c r="V908" s="1293">
        <v>6.9224731654147897E-3</v>
      </c>
    </row>
    <row r="909" spans="1:22" s="212" customFormat="1" ht="15.5" x14ac:dyDescent="0.35">
      <c r="A909" s="198">
        <v>2031</v>
      </c>
      <c r="B909" s="197" t="s">
        <v>5833</v>
      </c>
      <c r="C909" s="197">
        <v>1994</v>
      </c>
      <c r="D909" s="225" t="str">
        <f t="shared" si="4"/>
        <v>2031_1994</v>
      </c>
      <c r="E909" s="1226">
        <v>6.6388791569597899E-2</v>
      </c>
      <c r="F909" s="1257">
        <v>1.2838258645825201E-2</v>
      </c>
      <c r="G909" s="1280">
        <v>2.02443496356291E-2</v>
      </c>
      <c r="H909" s="1271">
        <v>0.36708177473682801</v>
      </c>
      <c r="I909" s="1257">
        <v>0.42981606395777799</v>
      </c>
      <c r="J909" s="1280">
        <v>0.60517735532229799</v>
      </c>
      <c r="K909" s="1271">
        <v>6.6230100405527802E-3</v>
      </c>
      <c r="L909" s="1257">
        <v>1.17255525653314E-3</v>
      </c>
      <c r="M909" s="1280">
        <v>1.7838705518839101E-4</v>
      </c>
      <c r="N909" s="1271">
        <v>7.8921585090689101E-3</v>
      </c>
      <c r="O909" s="1257">
        <v>3.0000008598028201E-3</v>
      </c>
      <c r="P909" s="1257">
        <v>8.3136960241880099E-3</v>
      </c>
      <c r="Q909" s="1280">
        <v>7.8921585090689101E-3</v>
      </c>
      <c r="R909" s="1271">
        <v>3.8500011034136201E-2</v>
      </c>
      <c r="S909" s="1257">
        <v>3.8500011034136201E-2</v>
      </c>
      <c r="T909" s="1257">
        <v>3.8500011034136201E-2</v>
      </c>
      <c r="U909" s="1280">
        <v>1.9250005517068101E-2</v>
      </c>
      <c r="V909" s="1293">
        <v>6.9224731654147897E-3</v>
      </c>
    </row>
    <row r="910" spans="1:22" s="212" customFormat="1" ht="15.5" x14ac:dyDescent="0.35">
      <c r="A910" s="198">
        <v>2031</v>
      </c>
      <c r="B910" s="197" t="s">
        <v>5833</v>
      </c>
      <c r="C910" s="197">
        <v>1995</v>
      </c>
      <c r="D910" s="225" t="str">
        <f t="shared" si="4"/>
        <v>2031_1995</v>
      </c>
      <c r="E910" s="1226">
        <v>6.6388791569597899E-2</v>
      </c>
      <c r="F910" s="1257">
        <v>1.2838258645825201E-2</v>
      </c>
      <c r="G910" s="1280">
        <v>2.02443496356291E-2</v>
      </c>
      <c r="H910" s="1271">
        <v>0.36708177473682801</v>
      </c>
      <c r="I910" s="1257">
        <v>0.42981606395777799</v>
      </c>
      <c r="J910" s="1280">
        <v>0.60517735532229799</v>
      </c>
      <c r="K910" s="1271">
        <v>6.6230100405527802E-3</v>
      </c>
      <c r="L910" s="1257">
        <v>1.17255525653314E-3</v>
      </c>
      <c r="M910" s="1280">
        <v>1.7838705518839101E-4</v>
      </c>
      <c r="N910" s="1271">
        <v>7.8921585090689101E-3</v>
      </c>
      <c r="O910" s="1257">
        <v>3.0000008598028201E-3</v>
      </c>
      <c r="P910" s="1257">
        <v>8.3136960241880099E-3</v>
      </c>
      <c r="Q910" s="1280">
        <v>7.8921585090689101E-3</v>
      </c>
      <c r="R910" s="1271">
        <v>3.8500011034136201E-2</v>
      </c>
      <c r="S910" s="1257">
        <v>3.8500011034136201E-2</v>
      </c>
      <c r="T910" s="1257">
        <v>3.8500011034136201E-2</v>
      </c>
      <c r="U910" s="1280">
        <v>1.9250005517068101E-2</v>
      </c>
      <c r="V910" s="1293">
        <v>6.9224731654147897E-3</v>
      </c>
    </row>
    <row r="911" spans="1:22" s="212" customFormat="1" ht="15.5" x14ac:dyDescent="0.35">
      <c r="A911" s="198">
        <v>2031</v>
      </c>
      <c r="B911" s="197" t="s">
        <v>5833</v>
      </c>
      <c r="C911" s="197">
        <v>1996</v>
      </c>
      <c r="D911" s="225" t="str">
        <f t="shared" si="4"/>
        <v>2031_1996</v>
      </c>
      <c r="E911" s="1226">
        <v>6.6388791569597899E-2</v>
      </c>
      <c r="F911" s="1257">
        <v>1.2838258645825201E-2</v>
      </c>
      <c r="G911" s="1280">
        <v>2.02443496356291E-2</v>
      </c>
      <c r="H911" s="1271">
        <v>0.36708177473682801</v>
      </c>
      <c r="I911" s="1257">
        <v>0.42981606395777799</v>
      </c>
      <c r="J911" s="1280">
        <v>0.60517735532229799</v>
      </c>
      <c r="K911" s="1271">
        <v>6.6230100405527802E-3</v>
      </c>
      <c r="L911" s="1257">
        <v>1.17255525653314E-3</v>
      </c>
      <c r="M911" s="1280">
        <v>1.7838705518839101E-4</v>
      </c>
      <c r="N911" s="1271">
        <v>7.8921585090689101E-3</v>
      </c>
      <c r="O911" s="1257">
        <v>3.0000008598028201E-3</v>
      </c>
      <c r="P911" s="1257">
        <v>8.3136960241880099E-3</v>
      </c>
      <c r="Q911" s="1280">
        <v>7.8921585090689101E-3</v>
      </c>
      <c r="R911" s="1271">
        <v>3.8500011034136201E-2</v>
      </c>
      <c r="S911" s="1257">
        <v>3.8500011034136201E-2</v>
      </c>
      <c r="T911" s="1257">
        <v>3.8500011034136201E-2</v>
      </c>
      <c r="U911" s="1280">
        <v>1.9250005517068101E-2</v>
      </c>
      <c r="V911" s="1293">
        <v>6.9224731654147897E-3</v>
      </c>
    </row>
    <row r="912" spans="1:22" s="212" customFormat="1" ht="15.5" x14ac:dyDescent="0.35">
      <c r="A912" s="198">
        <v>2031</v>
      </c>
      <c r="B912" s="197" t="s">
        <v>5833</v>
      </c>
      <c r="C912" s="197">
        <v>1997</v>
      </c>
      <c r="D912" s="225" t="str">
        <f t="shared" si="4"/>
        <v>2031_1997</v>
      </c>
      <c r="E912" s="1226">
        <v>6.6388791569597899E-2</v>
      </c>
      <c r="F912" s="1257">
        <v>1.2838258645825201E-2</v>
      </c>
      <c r="G912" s="1280">
        <v>2.02443496356291E-2</v>
      </c>
      <c r="H912" s="1271">
        <v>0.36708177473682801</v>
      </c>
      <c r="I912" s="1257">
        <v>0.42981606395777799</v>
      </c>
      <c r="J912" s="1280">
        <v>0.60517735532229799</v>
      </c>
      <c r="K912" s="1271">
        <v>6.6230100405527802E-3</v>
      </c>
      <c r="L912" s="1257">
        <v>1.17255525653314E-3</v>
      </c>
      <c r="M912" s="1280">
        <v>1.7838705518839101E-4</v>
      </c>
      <c r="N912" s="1271">
        <v>7.8921585090689101E-3</v>
      </c>
      <c r="O912" s="1257">
        <v>3.0000008598028201E-3</v>
      </c>
      <c r="P912" s="1257">
        <v>8.3136960241880099E-3</v>
      </c>
      <c r="Q912" s="1280">
        <v>7.8921585090689101E-3</v>
      </c>
      <c r="R912" s="1271">
        <v>3.8500011034136201E-2</v>
      </c>
      <c r="S912" s="1257">
        <v>3.8500011034136201E-2</v>
      </c>
      <c r="T912" s="1257">
        <v>3.8500011034136201E-2</v>
      </c>
      <c r="U912" s="1280">
        <v>1.9250005517068101E-2</v>
      </c>
      <c r="V912" s="1293">
        <v>6.9224731654147897E-3</v>
      </c>
    </row>
    <row r="913" spans="1:22" s="212" customFormat="1" ht="15.5" x14ac:dyDescent="0.35">
      <c r="A913" s="198">
        <v>2031</v>
      </c>
      <c r="B913" s="197" t="s">
        <v>5833</v>
      </c>
      <c r="C913" s="197">
        <v>1998</v>
      </c>
      <c r="D913" s="225" t="str">
        <f t="shared" si="4"/>
        <v>2031_1998</v>
      </c>
      <c r="E913" s="1226">
        <v>6.6388791569597899E-2</v>
      </c>
      <c r="F913" s="1257">
        <v>1.2838258645825201E-2</v>
      </c>
      <c r="G913" s="1280">
        <v>2.02443496356291E-2</v>
      </c>
      <c r="H913" s="1271">
        <v>0.36708177473682801</v>
      </c>
      <c r="I913" s="1257">
        <v>0.42981606395777799</v>
      </c>
      <c r="J913" s="1280">
        <v>0.60517735532229799</v>
      </c>
      <c r="K913" s="1271">
        <v>6.6230100405527802E-3</v>
      </c>
      <c r="L913" s="1257">
        <v>1.17255525653314E-3</v>
      </c>
      <c r="M913" s="1280">
        <v>1.7838705518839101E-4</v>
      </c>
      <c r="N913" s="1271">
        <v>7.8921585090689101E-3</v>
      </c>
      <c r="O913" s="1257">
        <v>3.0000008598028201E-3</v>
      </c>
      <c r="P913" s="1257">
        <v>8.3136960241880099E-3</v>
      </c>
      <c r="Q913" s="1280">
        <v>7.8921585090689101E-3</v>
      </c>
      <c r="R913" s="1271">
        <v>3.8500011034136201E-2</v>
      </c>
      <c r="S913" s="1257">
        <v>3.8500011034136201E-2</v>
      </c>
      <c r="T913" s="1257">
        <v>3.8500011034136201E-2</v>
      </c>
      <c r="U913" s="1280">
        <v>1.9250005517068101E-2</v>
      </c>
      <c r="V913" s="1293">
        <v>6.9224731654147897E-3</v>
      </c>
    </row>
    <row r="914" spans="1:22" s="212" customFormat="1" ht="15.5" x14ac:dyDescent="0.35">
      <c r="A914" s="198">
        <v>2031</v>
      </c>
      <c r="B914" s="197" t="s">
        <v>5833</v>
      </c>
      <c r="C914" s="197">
        <v>1999</v>
      </c>
      <c r="D914" s="225" t="str">
        <f t="shared" si="4"/>
        <v>2031_1999</v>
      </c>
      <c r="E914" s="1226">
        <v>6.6388791569597899E-2</v>
      </c>
      <c r="F914" s="1257">
        <v>1.2838258645825201E-2</v>
      </c>
      <c r="G914" s="1280">
        <v>2.02443496356291E-2</v>
      </c>
      <c r="H914" s="1271">
        <v>0.36708177473682801</v>
      </c>
      <c r="I914" s="1257">
        <v>0.42981606395777799</v>
      </c>
      <c r="J914" s="1280">
        <v>0.60517735532229799</v>
      </c>
      <c r="K914" s="1271">
        <v>6.6230100405527802E-3</v>
      </c>
      <c r="L914" s="1257">
        <v>1.17255525653314E-3</v>
      </c>
      <c r="M914" s="1280">
        <v>1.7838705518839101E-4</v>
      </c>
      <c r="N914" s="1271">
        <v>7.8921585090689101E-3</v>
      </c>
      <c r="O914" s="1257">
        <v>3.0000008598028201E-3</v>
      </c>
      <c r="P914" s="1257">
        <v>8.3136960241880099E-3</v>
      </c>
      <c r="Q914" s="1280">
        <v>7.8921585090689101E-3</v>
      </c>
      <c r="R914" s="1271">
        <v>3.8500011034136201E-2</v>
      </c>
      <c r="S914" s="1257">
        <v>3.8500011034136201E-2</v>
      </c>
      <c r="T914" s="1257">
        <v>3.8500011034136201E-2</v>
      </c>
      <c r="U914" s="1280">
        <v>1.9250005517068101E-2</v>
      </c>
      <c r="V914" s="1293">
        <v>6.9224731654147897E-3</v>
      </c>
    </row>
    <row r="915" spans="1:22" s="212" customFormat="1" ht="15.5" x14ac:dyDescent="0.35">
      <c r="A915" s="198">
        <v>2031</v>
      </c>
      <c r="B915" s="197" t="s">
        <v>5833</v>
      </c>
      <c r="C915" s="197">
        <v>2000</v>
      </c>
      <c r="D915" s="225" t="str">
        <f t="shared" si="4"/>
        <v>2031_2000</v>
      </c>
      <c r="E915" s="1226">
        <v>6.6388791569597899E-2</v>
      </c>
      <c r="F915" s="1257">
        <v>1.2838258645825201E-2</v>
      </c>
      <c r="G915" s="1280">
        <v>2.02443496356291E-2</v>
      </c>
      <c r="H915" s="1271">
        <v>0.36708177473682801</v>
      </c>
      <c r="I915" s="1257">
        <v>0.42981606395777799</v>
      </c>
      <c r="J915" s="1280">
        <v>0.60517735532229799</v>
      </c>
      <c r="K915" s="1271">
        <v>6.6230100405527802E-3</v>
      </c>
      <c r="L915" s="1257">
        <v>1.17255525653314E-3</v>
      </c>
      <c r="M915" s="1280">
        <v>1.7838705518839101E-4</v>
      </c>
      <c r="N915" s="1271">
        <v>7.8921585090689101E-3</v>
      </c>
      <c r="O915" s="1257">
        <v>3.0000008598028201E-3</v>
      </c>
      <c r="P915" s="1257">
        <v>8.3136960241880099E-3</v>
      </c>
      <c r="Q915" s="1280">
        <v>7.8921585090689101E-3</v>
      </c>
      <c r="R915" s="1271">
        <v>3.8500011034136201E-2</v>
      </c>
      <c r="S915" s="1257">
        <v>3.8500011034136201E-2</v>
      </c>
      <c r="T915" s="1257">
        <v>3.8500011034136201E-2</v>
      </c>
      <c r="U915" s="1280">
        <v>1.9250005517068101E-2</v>
      </c>
      <c r="V915" s="1293">
        <v>6.9224731654147897E-3</v>
      </c>
    </row>
    <row r="916" spans="1:22" s="212" customFormat="1" ht="15.5" x14ac:dyDescent="0.35">
      <c r="A916" s="198">
        <v>2031</v>
      </c>
      <c r="B916" s="197" t="s">
        <v>5833</v>
      </c>
      <c r="C916" s="197">
        <v>2001</v>
      </c>
      <c r="D916" s="225" t="str">
        <f t="shared" si="4"/>
        <v>2031_2001</v>
      </c>
      <c r="E916" s="1226">
        <v>6.6388791569597899E-2</v>
      </c>
      <c r="F916" s="1257">
        <v>1.2838258645825201E-2</v>
      </c>
      <c r="G916" s="1280">
        <v>2.02443496356291E-2</v>
      </c>
      <c r="H916" s="1271">
        <v>0.36708177473682801</v>
      </c>
      <c r="I916" s="1257">
        <v>0.42981606395777799</v>
      </c>
      <c r="J916" s="1280">
        <v>0.60517735532229799</v>
      </c>
      <c r="K916" s="1271">
        <v>6.6230100405527802E-3</v>
      </c>
      <c r="L916" s="1257">
        <v>1.17255525653314E-3</v>
      </c>
      <c r="M916" s="1280">
        <v>1.7838705518839101E-4</v>
      </c>
      <c r="N916" s="1271">
        <v>7.8921585090689101E-3</v>
      </c>
      <c r="O916" s="1257">
        <v>3.0000008598028201E-3</v>
      </c>
      <c r="P916" s="1257">
        <v>8.3136960241880099E-3</v>
      </c>
      <c r="Q916" s="1280">
        <v>7.8921585090689101E-3</v>
      </c>
      <c r="R916" s="1271">
        <v>3.8500011034136201E-2</v>
      </c>
      <c r="S916" s="1257">
        <v>3.8500011034136201E-2</v>
      </c>
      <c r="T916" s="1257">
        <v>3.8500011034136201E-2</v>
      </c>
      <c r="U916" s="1280">
        <v>1.9250005517068101E-2</v>
      </c>
      <c r="V916" s="1293">
        <v>6.9224731654147897E-3</v>
      </c>
    </row>
    <row r="917" spans="1:22" s="212" customFormat="1" ht="15.5" x14ac:dyDescent="0.35">
      <c r="A917" s="198">
        <v>2031</v>
      </c>
      <c r="B917" s="197" t="s">
        <v>5833</v>
      </c>
      <c r="C917" s="197">
        <v>2002</v>
      </c>
      <c r="D917" s="225" t="str">
        <f t="shared" si="4"/>
        <v>2031_2002</v>
      </c>
      <c r="E917" s="1226">
        <v>6.6388791569597899E-2</v>
      </c>
      <c r="F917" s="1257">
        <v>1.2838258645825201E-2</v>
      </c>
      <c r="G917" s="1280">
        <v>2.02443496356291E-2</v>
      </c>
      <c r="H917" s="1271">
        <v>0.36708177473682801</v>
      </c>
      <c r="I917" s="1257">
        <v>0.42981606395777799</v>
      </c>
      <c r="J917" s="1280">
        <v>0.60517735532229799</v>
      </c>
      <c r="K917" s="1271">
        <v>6.6230100405527802E-3</v>
      </c>
      <c r="L917" s="1257">
        <v>1.17255525653314E-3</v>
      </c>
      <c r="M917" s="1280">
        <v>1.7838705518839101E-4</v>
      </c>
      <c r="N917" s="1271">
        <v>7.8921585090689101E-3</v>
      </c>
      <c r="O917" s="1257">
        <v>3.0000008598028201E-3</v>
      </c>
      <c r="P917" s="1257">
        <v>8.3136960241880099E-3</v>
      </c>
      <c r="Q917" s="1280">
        <v>7.8921585090689101E-3</v>
      </c>
      <c r="R917" s="1271">
        <v>3.8500011034136201E-2</v>
      </c>
      <c r="S917" s="1257">
        <v>3.8500011034136201E-2</v>
      </c>
      <c r="T917" s="1257">
        <v>3.8500011034136201E-2</v>
      </c>
      <c r="U917" s="1280">
        <v>1.9250005517068101E-2</v>
      </c>
      <c r="V917" s="1293">
        <v>6.9224731654147897E-3</v>
      </c>
    </row>
    <row r="918" spans="1:22" s="212" customFormat="1" ht="15.5" x14ac:dyDescent="0.35">
      <c r="A918" s="198">
        <v>2031</v>
      </c>
      <c r="B918" s="197" t="s">
        <v>5833</v>
      </c>
      <c r="C918" s="197">
        <v>2003</v>
      </c>
      <c r="D918" s="225" t="str">
        <f t="shared" si="4"/>
        <v>2031_2003</v>
      </c>
      <c r="E918" s="1226">
        <v>6.6388791569597899E-2</v>
      </c>
      <c r="F918" s="1257">
        <v>1.2838258645825201E-2</v>
      </c>
      <c r="G918" s="1280">
        <v>2.02443496356291E-2</v>
      </c>
      <c r="H918" s="1271">
        <v>0.36708177473682801</v>
      </c>
      <c r="I918" s="1257">
        <v>0.42981606395777799</v>
      </c>
      <c r="J918" s="1280">
        <v>0.60517735532229799</v>
      </c>
      <c r="K918" s="1271">
        <v>6.6230100405527802E-3</v>
      </c>
      <c r="L918" s="1257">
        <v>1.17255525653314E-3</v>
      </c>
      <c r="M918" s="1280">
        <v>1.7838705518839101E-4</v>
      </c>
      <c r="N918" s="1271">
        <v>7.8921585090689101E-3</v>
      </c>
      <c r="O918" s="1257">
        <v>3.0000008598028201E-3</v>
      </c>
      <c r="P918" s="1257">
        <v>8.3136960241880099E-3</v>
      </c>
      <c r="Q918" s="1280">
        <v>7.8921585090689101E-3</v>
      </c>
      <c r="R918" s="1271">
        <v>3.8500011034136201E-2</v>
      </c>
      <c r="S918" s="1257">
        <v>3.8500011034136201E-2</v>
      </c>
      <c r="T918" s="1257">
        <v>3.8500011034136201E-2</v>
      </c>
      <c r="U918" s="1280">
        <v>1.9250005517068101E-2</v>
      </c>
      <c r="V918" s="1293">
        <v>6.9224731654147897E-3</v>
      </c>
    </row>
    <row r="919" spans="1:22" s="212" customFormat="1" ht="15.5" x14ac:dyDescent="0.35">
      <c r="A919" s="198">
        <v>2031</v>
      </c>
      <c r="B919" s="197" t="s">
        <v>5833</v>
      </c>
      <c r="C919" s="197">
        <v>2004</v>
      </c>
      <c r="D919" s="225" t="str">
        <f t="shared" si="4"/>
        <v>2031_2004</v>
      </c>
      <c r="E919" s="1226">
        <v>6.6388791569597899E-2</v>
      </c>
      <c r="F919" s="1257">
        <v>1.2838258645825201E-2</v>
      </c>
      <c r="G919" s="1280">
        <v>2.02443496356291E-2</v>
      </c>
      <c r="H919" s="1271">
        <v>0.36708177473682801</v>
      </c>
      <c r="I919" s="1257">
        <v>0.42981606395777799</v>
      </c>
      <c r="J919" s="1280">
        <v>0.60517735532229799</v>
      </c>
      <c r="K919" s="1271">
        <v>6.6230100405527802E-3</v>
      </c>
      <c r="L919" s="1257">
        <v>1.17255525653314E-3</v>
      </c>
      <c r="M919" s="1280">
        <v>1.7838705518839101E-4</v>
      </c>
      <c r="N919" s="1271">
        <v>7.8921585090689101E-3</v>
      </c>
      <c r="O919" s="1257">
        <v>3.0000008598028201E-3</v>
      </c>
      <c r="P919" s="1257">
        <v>8.3136960241880099E-3</v>
      </c>
      <c r="Q919" s="1280">
        <v>7.8921585090689101E-3</v>
      </c>
      <c r="R919" s="1271">
        <v>3.8500011034136201E-2</v>
      </c>
      <c r="S919" s="1257">
        <v>3.8500011034136201E-2</v>
      </c>
      <c r="T919" s="1257">
        <v>3.8500011034136201E-2</v>
      </c>
      <c r="U919" s="1280">
        <v>1.9250005517068101E-2</v>
      </c>
      <c r="V919" s="1293">
        <v>6.9224731654147897E-3</v>
      </c>
    </row>
    <row r="920" spans="1:22" s="212" customFormat="1" ht="15.5" x14ac:dyDescent="0.35">
      <c r="A920" s="198">
        <v>2031</v>
      </c>
      <c r="B920" s="197" t="s">
        <v>5833</v>
      </c>
      <c r="C920" s="197">
        <v>2005</v>
      </c>
      <c r="D920" s="225" t="str">
        <f t="shared" si="4"/>
        <v>2031_2005</v>
      </c>
      <c r="E920" s="1226">
        <v>6.6388791569597899E-2</v>
      </c>
      <c r="F920" s="1257">
        <v>1.2838258645825201E-2</v>
      </c>
      <c r="G920" s="1280">
        <v>2.02443496356291E-2</v>
      </c>
      <c r="H920" s="1271">
        <v>0.36708177473682801</v>
      </c>
      <c r="I920" s="1257">
        <v>0.42981606395777799</v>
      </c>
      <c r="J920" s="1280">
        <v>0.60517735532229799</v>
      </c>
      <c r="K920" s="1271">
        <v>6.6230100405527802E-3</v>
      </c>
      <c r="L920" s="1257">
        <v>1.17255525653314E-3</v>
      </c>
      <c r="M920" s="1280">
        <v>1.7838705518839101E-4</v>
      </c>
      <c r="N920" s="1271">
        <v>7.8921585090689101E-3</v>
      </c>
      <c r="O920" s="1257">
        <v>3.0000008598028201E-3</v>
      </c>
      <c r="P920" s="1257">
        <v>8.3136960241880099E-3</v>
      </c>
      <c r="Q920" s="1280">
        <v>7.8921585090689101E-3</v>
      </c>
      <c r="R920" s="1271">
        <v>3.8500011034136201E-2</v>
      </c>
      <c r="S920" s="1257">
        <v>3.8500011034136201E-2</v>
      </c>
      <c r="T920" s="1257">
        <v>3.8500011034136201E-2</v>
      </c>
      <c r="U920" s="1280">
        <v>1.9250005517068101E-2</v>
      </c>
      <c r="V920" s="1293">
        <v>6.9224731654147897E-3</v>
      </c>
    </row>
    <row r="921" spans="1:22" s="212" customFormat="1" ht="15.5" x14ac:dyDescent="0.35">
      <c r="A921" s="198">
        <v>2031</v>
      </c>
      <c r="B921" s="197" t="s">
        <v>5833</v>
      </c>
      <c r="C921" s="197">
        <v>2006</v>
      </c>
      <c r="D921" s="225" t="str">
        <f t="shared" si="4"/>
        <v>2031_2006</v>
      </c>
      <c r="E921" s="1226">
        <v>6.6388791569597899E-2</v>
      </c>
      <c r="F921" s="1257">
        <v>1.2838258645825201E-2</v>
      </c>
      <c r="G921" s="1280">
        <v>2.02443496356291E-2</v>
      </c>
      <c r="H921" s="1271">
        <v>0.36708177473682801</v>
      </c>
      <c r="I921" s="1257">
        <v>0.42981606395777799</v>
      </c>
      <c r="J921" s="1280">
        <v>0.60517735532229799</v>
      </c>
      <c r="K921" s="1271">
        <v>6.6230100405527802E-3</v>
      </c>
      <c r="L921" s="1257">
        <v>1.17255525653314E-3</v>
      </c>
      <c r="M921" s="1280">
        <v>1.7838705518839101E-4</v>
      </c>
      <c r="N921" s="1271">
        <v>7.8921585090689101E-3</v>
      </c>
      <c r="O921" s="1257">
        <v>3.0000008598028201E-3</v>
      </c>
      <c r="P921" s="1257">
        <v>8.3136960241880099E-3</v>
      </c>
      <c r="Q921" s="1280">
        <v>7.8921585090689101E-3</v>
      </c>
      <c r="R921" s="1271">
        <v>3.8500011034136201E-2</v>
      </c>
      <c r="S921" s="1257">
        <v>3.8500011034136201E-2</v>
      </c>
      <c r="T921" s="1257">
        <v>3.8500011034136201E-2</v>
      </c>
      <c r="U921" s="1280">
        <v>1.9250005517068101E-2</v>
      </c>
      <c r="V921" s="1293">
        <v>6.9224731654147897E-3</v>
      </c>
    </row>
    <row r="922" spans="1:22" s="212" customFormat="1" ht="15.5" x14ac:dyDescent="0.35">
      <c r="A922" s="198">
        <v>2031</v>
      </c>
      <c r="B922" s="197" t="s">
        <v>5833</v>
      </c>
      <c r="C922" s="197">
        <v>2007</v>
      </c>
      <c r="D922" s="225" t="str">
        <f t="shared" si="4"/>
        <v>2031_2007</v>
      </c>
      <c r="E922" s="1226">
        <v>6.6388791569597899E-2</v>
      </c>
      <c r="F922" s="1257">
        <v>1.2838258645825201E-2</v>
      </c>
      <c r="G922" s="1280">
        <v>2.02443496356291E-2</v>
      </c>
      <c r="H922" s="1271">
        <v>0.36708177473682801</v>
      </c>
      <c r="I922" s="1257">
        <v>0.42981606395777799</v>
      </c>
      <c r="J922" s="1280">
        <v>0.60517735532229799</v>
      </c>
      <c r="K922" s="1271">
        <v>6.6230100405527802E-3</v>
      </c>
      <c r="L922" s="1257">
        <v>1.17255525653314E-3</v>
      </c>
      <c r="M922" s="1280">
        <v>1.7838705518839101E-4</v>
      </c>
      <c r="N922" s="1271">
        <v>7.8921585090689101E-3</v>
      </c>
      <c r="O922" s="1257">
        <v>3.0000008598028201E-3</v>
      </c>
      <c r="P922" s="1257">
        <v>8.3136960241880099E-3</v>
      </c>
      <c r="Q922" s="1280">
        <v>7.8921585090689101E-3</v>
      </c>
      <c r="R922" s="1271">
        <v>3.8500011034136201E-2</v>
      </c>
      <c r="S922" s="1257">
        <v>3.8500011034136201E-2</v>
      </c>
      <c r="T922" s="1257">
        <v>3.8500011034136201E-2</v>
      </c>
      <c r="U922" s="1280">
        <v>1.9250005517068101E-2</v>
      </c>
      <c r="V922" s="1293">
        <v>6.9224731654147897E-3</v>
      </c>
    </row>
    <row r="923" spans="1:22" s="212" customFormat="1" ht="15.5" x14ac:dyDescent="0.35">
      <c r="A923" s="198">
        <v>2031</v>
      </c>
      <c r="B923" s="197" t="s">
        <v>5833</v>
      </c>
      <c r="C923" s="197">
        <v>2008</v>
      </c>
      <c r="D923" s="225" t="str">
        <f t="shared" si="4"/>
        <v>2031_2008</v>
      </c>
      <c r="E923" s="1226">
        <v>6.6388791569597899E-2</v>
      </c>
      <c r="F923" s="1257">
        <v>1.2838258645825201E-2</v>
      </c>
      <c r="G923" s="1280">
        <v>2.02443496356291E-2</v>
      </c>
      <c r="H923" s="1271">
        <v>0.36708177473682801</v>
      </c>
      <c r="I923" s="1257">
        <v>0.42981606395777799</v>
      </c>
      <c r="J923" s="1280">
        <v>0.60517735532229799</v>
      </c>
      <c r="K923" s="1271">
        <v>6.6230100405527802E-3</v>
      </c>
      <c r="L923" s="1257">
        <v>1.17255525653314E-3</v>
      </c>
      <c r="M923" s="1280">
        <v>1.7838705518839101E-4</v>
      </c>
      <c r="N923" s="1271">
        <v>7.8921585090689101E-3</v>
      </c>
      <c r="O923" s="1257">
        <v>3.0000008598028201E-3</v>
      </c>
      <c r="P923" s="1257">
        <v>8.3136960241880099E-3</v>
      </c>
      <c r="Q923" s="1280">
        <v>7.8921585090689101E-3</v>
      </c>
      <c r="R923" s="1271">
        <v>3.8500011034136201E-2</v>
      </c>
      <c r="S923" s="1257">
        <v>3.8500011034136201E-2</v>
      </c>
      <c r="T923" s="1257">
        <v>3.8500011034136201E-2</v>
      </c>
      <c r="U923" s="1280">
        <v>1.9250005517068101E-2</v>
      </c>
      <c r="V923" s="1293">
        <v>6.9224731654147897E-3</v>
      </c>
    </row>
    <row r="924" spans="1:22" s="212" customFormat="1" ht="15.5" x14ac:dyDescent="0.35">
      <c r="A924" s="198">
        <v>2031</v>
      </c>
      <c r="B924" s="197" t="s">
        <v>5833</v>
      </c>
      <c r="C924" s="197">
        <v>2009</v>
      </c>
      <c r="D924" s="225" t="str">
        <f t="shared" si="4"/>
        <v>2031_2009</v>
      </c>
      <c r="E924" s="1226">
        <v>6.6388791569597899E-2</v>
      </c>
      <c r="F924" s="1257">
        <v>1.2838258645825201E-2</v>
      </c>
      <c r="G924" s="1280">
        <v>2.02443496356291E-2</v>
      </c>
      <c r="H924" s="1271">
        <v>0.36708177473682801</v>
      </c>
      <c r="I924" s="1257">
        <v>0.42981606395777799</v>
      </c>
      <c r="J924" s="1280">
        <v>0.60517735532229799</v>
      </c>
      <c r="K924" s="1271">
        <v>6.6230100405527802E-3</v>
      </c>
      <c r="L924" s="1257">
        <v>1.17255525653314E-3</v>
      </c>
      <c r="M924" s="1280">
        <v>1.7838705518839101E-4</v>
      </c>
      <c r="N924" s="1271">
        <v>7.8921585090689101E-3</v>
      </c>
      <c r="O924" s="1257">
        <v>3.0000008598028201E-3</v>
      </c>
      <c r="P924" s="1257">
        <v>8.3136960241880099E-3</v>
      </c>
      <c r="Q924" s="1280">
        <v>7.8921585090689101E-3</v>
      </c>
      <c r="R924" s="1271">
        <v>3.8500011034136201E-2</v>
      </c>
      <c r="S924" s="1257">
        <v>3.8500011034136201E-2</v>
      </c>
      <c r="T924" s="1257">
        <v>3.8500011034136201E-2</v>
      </c>
      <c r="U924" s="1280">
        <v>1.9250005517068101E-2</v>
      </c>
      <c r="V924" s="1293">
        <v>6.9224731654147897E-3</v>
      </c>
    </row>
    <row r="925" spans="1:22" s="212" customFormat="1" ht="15.5" x14ac:dyDescent="0.35">
      <c r="A925" s="198">
        <v>2031</v>
      </c>
      <c r="B925" s="197" t="s">
        <v>5833</v>
      </c>
      <c r="C925" s="197">
        <v>2010</v>
      </c>
      <c r="D925" s="225" t="str">
        <f t="shared" si="4"/>
        <v>2031_2010</v>
      </c>
      <c r="E925" s="1226">
        <v>6.6388791569597899E-2</v>
      </c>
      <c r="F925" s="1257">
        <v>1.2838258645825201E-2</v>
      </c>
      <c r="G925" s="1280">
        <v>2.02443496356291E-2</v>
      </c>
      <c r="H925" s="1271">
        <v>0.36708177473682801</v>
      </c>
      <c r="I925" s="1257">
        <v>0.42981606395777799</v>
      </c>
      <c r="J925" s="1280">
        <v>0.60517735532229799</v>
      </c>
      <c r="K925" s="1271">
        <v>6.6230100405527802E-3</v>
      </c>
      <c r="L925" s="1257">
        <v>1.17255525653314E-3</v>
      </c>
      <c r="M925" s="1280">
        <v>1.7838705518839101E-4</v>
      </c>
      <c r="N925" s="1271">
        <v>7.8921585090689101E-3</v>
      </c>
      <c r="O925" s="1257">
        <v>3.0000008598028201E-3</v>
      </c>
      <c r="P925" s="1257">
        <v>8.3136960241880099E-3</v>
      </c>
      <c r="Q925" s="1280">
        <v>7.8921585090689101E-3</v>
      </c>
      <c r="R925" s="1271">
        <v>3.8500011034136201E-2</v>
      </c>
      <c r="S925" s="1257">
        <v>3.8500011034136201E-2</v>
      </c>
      <c r="T925" s="1257">
        <v>3.8500011034136201E-2</v>
      </c>
      <c r="U925" s="1280">
        <v>1.9250005517068101E-2</v>
      </c>
      <c r="V925" s="1293">
        <v>6.9224731654147897E-3</v>
      </c>
    </row>
    <row r="926" spans="1:22" s="212" customFormat="1" ht="15.5" x14ac:dyDescent="0.35">
      <c r="A926" s="198">
        <v>2031</v>
      </c>
      <c r="B926" s="197" t="s">
        <v>5833</v>
      </c>
      <c r="C926" s="197">
        <v>2011</v>
      </c>
      <c r="D926" s="225" t="str">
        <f t="shared" si="4"/>
        <v>2031_2011</v>
      </c>
      <c r="E926" s="1226">
        <v>6.6388791569597899E-2</v>
      </c>
      <c r="F926" s="1257">
        <v>1.2838258645825201E-2</v>
      </c>
      <c r="G926" s="1280">
        <v>2.02443496356291E-2</v>
      </c>
      <c r="H926" s="1271">
        <v>0.36708177473682801</v>
      </c>
      <c r="I926" s="1257">
        <v>0.42981606395777799</v>
      </c>
      <c r="J926" s="1280">
        <v>0.60517735532229799</v>
      </c>
      <c r="K926" s="1271">
        <v>6.6230100405527802E-3</v>
      </c>
      <c r="L926" s="1257">
        <v>1.17255525653314E-3</v>
      </c>
      <c r="M926" s="1280">
        <v>1.7838705518839101E-4</v>
      </c>
      <c r="N926" s="1271">
        <v>7.8921585090689101E-3</v>
      </c>
      <c r="O926" s="1257">
        <v>3.0000008598028201E-3</v>
      </c>
      <c r="P926" s="1257">
        <v>8.3136960241880099E-3</v>
      </c>
      <c r="Q926" s="1280">
        <v>7.8921585090689101E-3</v>
      </c>
      <c r="R926" s="1271">
        <v>3.8500011034136201E-2</v>
      </c>
      <c r="S926" s="1257">
        <v>3.8500011034136201E-2</v>
      </c>
      <c r="T926" s="1257">
        <v>3.8500011034136201E-2</v>
      </c>
      <c r="U926" s="1280">
        <v>1.9250005517068101E-2</v>
      </c>
      <c r="V926" s="1293">
        <v>6.9224731654147897E-3</v>
      </c>
    </row>
    <row r="927" spans="1:22" s="212" customFormat="1" ht="15.5" x14ac:dyDescent="0.35">
      <c r="A927" s="198">
        <v>2031</v>
      </c>
      <c r="B927" s="197" t="s">
        <v>5833</v>
      </c>
      <c r="C927" s="197">
        <v>2012</v>
      </c>
      <c r="D927" s="225" t="str">
        <f t="shared" si="4"/>
        <v>2031_2012</v>
      </c>
      <c r="E927" s="1226">
        <v>6.6388791569597899E-2</v>
      </c>
      <c r="F927" s="1257">
        <v>1.2838258645825201E-2</v>
      </c>
      <c r="G927" s="1280">
        <v>2.02443496356291E-2</v>
      </c>
      <c r="H927" s="1271">
        <v>0.36708177473682801</v>
      </c>
      <c r="I927" s="1257">
        <v>0.42981606395777799</v>
      </c>
      <c r="J927" s="1280">
        <v>0.60517735532229799</v>
      </c>
      <c r="K927" s="1271">
        <v>6.6230100405527802E-3</v>
      </c>
      <c r="L927" s="1257">
        <v>1.17255525653314E-3</v>
      </c>
      <c r="M927" s="1280">
        <v>1.7838705518839101E-4</v>
      </c>
      <c r="N927" s="1271">
        <v>7.8921585090689101E-3</v>
      </c>
      <c r="O927" s="1257">
        <v>3.0000008598028201E-3</v>
      </c>
      <c r="P927" s="1257">
        <v>8.3136960241880099E-3</v>
      </c>
      <c r="Q927" s="1280">
        <v>7.8921585090689101E-3</v>
      </c>
      <c r="R927" s="1271">
        <v>3.8500011034136201E-2</v>
      </c>
      <c r="S927" s="1257">
        <v>3.8500011034136201E-2</v>
      </c>
      <c r="T927" s="1257">
        <v>3.8500011034136201E-2</v>
      </c>
      <c r="U927" s="1280">
        <v>1.9250005517068101E-2</v>
      </c>
      <c r="V927" s="1293">
        <v>6.9224731654147897E-3</v>
      </c>
    </row>
    <row r="928" spans="1:22" s="212" customFormat="1" ht="15.5" x14ac:dyDescent="0.35">
      <c r="A928" s="198">
        <v>2031</v>
      </c>
      <c r="B928" s="197" t="s">
        <v>5833</v>
      </c>
      <c r="C928" s="197">
        <v>2013</v>
      </c>
      <c r="D928" s="225" t="str">
        <f t="shared" si="4"/>
        <v>2031_2013</v>
      </c>
      <c r="E928" s="1226">
        <v>6.6388791569597899E-2</v>
      </c>
      <c r="F928" s="1257">
        <v>1.2838258645825201E-2</v>
      </c>
      <c r="G928" s="1280">
        <v>2.02443496356291E-2</v>
      </c>
      <c r="H928" s="1271">
        <v>0.36708177473682801</v>
      </c>
      <c r="I928" s="1257">
        <v>0.42981606395777799</v>
      </c>
      <c r="J928" s="1280">
        <v>0.60517735532229799</v>
      </c>
      <c r="K928" s="1271">
        <v>6.6230100405527802E-3</v>
      </c>
      <c r="L928" s="1257">
        <v>1.17255525653314E-3</v>
      </c>
      <c r="M928" s="1280">
        <v>1.7838705518839101E-4</v>
      </c>
      <c r="N928" s="1271">
        <v>7.8921585090689101E-3</v>
      </c>
      <c r="O928" s="1257">
        <v>3.0000008598028201E-3</v>
      </c>
      <c r="P928" s="1257">
        <v>8.3136960241880099E-3</v>
      </c>
      <c r="Q928" s="1280">
        <v>7.8921585090689101E-3</v>
      </c>
      <c r="R928" s="1271">
        <v>3.8500011034136201E-2</v>
      </c>
      <c r="S928" s="1257">
        <v>3.8500011034136201E-2</v>
      </c>
      <c r="T928" s="1257">
        <v>3.8500011034136201E-2</v>
      </c>
      <c r="U928" s="1280">
        <v>1.9250005517068101E-2</v>
      </c>
      <c r="V928" s="1293">
        <v>6.9224731654147897E-3</v>
      </c>
    </row>
    <row r="929" spans="1:22" s="212" customFormat="1" ht="15.5" x14ac:dyDescent="0.35">
      <c r="A929" s="198">
        <v>2031</v>
      </c>
      <c r="B929" s="197" t="s">
        <v>5833</v>
      </c>
      <c r="C929" s="197">
        <v>2014</v>
      </c>
      <c r="D929" s="225" t="str">
        <f t="shared" si="4"/>
        <v>2031_2014</v>
      </c>
      <c r="E929" s="1226">
        <v>6.6388791569597899E-2</v>
      </c>
      <c r="F929" s="1257">
        <v>1.2838258645825201E-2</v>
      </c>
      <c r="G929" s="1280">
        <v>2.02443496356291E-2</v>
      </c>
      <c r="H929" s="1271">
        <v>0.36708177473682801</v>
      </c>
      <c r="I929" s="1257">
        <v>0.42981606395777799</v>
      </c>
      <c r="J929" s="1280">
        <v>0.60517735532229799</v>
      </c>
      <c r="K929" s="1271">
        <v>6.6230100405527802E-3</v>
      </c>
      <c r="L929" s="1257">
        <v>1.17255525653314E-3</v>
      </c>
      <c r="M929" s="1280">
        <v>1.7838705518839101E-4</v>
      </c>
      <c r="N929" s="1271">
        <v>7.8921585090689101E-3</v>
      </c>
      <c r="O929" s="1257">
        <v>3.0000008598028201E-3</v>
      </c>
      <c r="P929" s="1257">
        <v>8.3136960241880099E-3</v>
      </c>
      <c r="Q929" s="1280">
        <v>7.8921585090689101E-3</v>
      </c>
      <c r="R929" s="1271">
        <v>3.8500011034136201E-2</v>
      </c>
      <c r="S929" s="1257">
        <v>3.8500011034136201E-2</v>
      </c>
      <c r="T929" s="1257">
        <v>3.8500011034136201E-2</v>
      </c>
      <c r="U929" s="1280">
        <v>1.9250005517068101E-2</v>
      </c>
      <c r="V929" s="1293">
        <v>6.9224731654147897E-3</v>
      </c>
    </row>
    <row r="930" spans="1:22" s="212" customFormat="1" ht="15.5" x14ac:dyDescent="0.35">
      <c r="A930" s="198">
        <v>2031</v>
      </c>
      <c r="B930" s="197" t="s">
        <v>5833</v>
      </c>
      <c r="C930" s="197">
        <v>2015</v>
      </c>
      <c r="D930" s="225" t="str">
        <f t="shared" si="4"/>
        <v>2031_2015</v>
      </c>
      <c r="E930" s="1226">
        <v>6.6388791569597899E-2</v>
      </c>
      <c r="F930" s="1257">
        <v>1.2838258645825201E-2</v>
      </c>
      <c r="G930" s="1280">
        <v>2.02443496356291E-2</v>
      </c>
      <c r="H930" s="1271">
        <v>0.36708177473682801</v>
      </c>
      <c r="I930" s="1257">
        <v>0.42981606395777799</v>
      </c>
      <c r="J930" s="1280">
        <v>0.60517735532229799</v>
      </c>
      <c r="K930" s="1271">
        <v>6.6230100405527802E-3</v>
      </c>
      <c r="L930" s="1257">
        <v>1.17255525653314E-3</v>
      </c>
      <c r="M930" s="1280">
        <v>1.7838705518839101E-4</v>
      </c>
      <c r="N930" s="1271">
        <v>7.8921585090689101E-3</v>
      </c>
      <c r="O930" s="1257">
        <v>3.0000008598028201E-3</v>
      </c>
      <c r="P930" s="1257">
        <v>8.3136960241880099E-3</v>
      </c>
      <c r="Q930" s="1280">
        <v>7.8921585090689101E-3</v>
      </c>
      <c r="R930" s="1271">
        <v>3.8500011034136201E-2</v>
      </c>
      <c r="S930" s="1257">
        <v>3.8500011034136201E-2</v>
      </c>
      <c r="T930" s="1257">
        <v>3.8500011034136201E-2</v>
      </c>
      <c r="U930" s="1280">
        <v>1.9250005517068101E-2</v>
      </c>
      <c r="V930" s="1293">
        <v>6.9224731654147897E-3</v>
      </c>
    </row>
    <row r="931" spans="1:22" s="212" customFormat="1" ht="15.5" x14ac:dyDescent="0.35">
      <c r="A931" s="198">
        <v>2031</v>
      </c>
      <c r="B931" s="197" t="s">
        <v>5833</v>
      </c>
      <c r="C931" s="197">
        <v>2016</v>
      </c>
      <c r="D931" s="225" t="str">
        <f t="shared" si="4"/>
        <v>2031_2016</v>
      </c>
      <c r="E931" s="1226">
        <v>6.6388791569597899E-2</v>
      </c>
      <c r="F931" s="1257">
        <v>1.2838258645825201E-2</v>
      </c>
      <c r="G931" s="1280">
        <v>2.02443496356291E-2</v>
      </c>
      <c r="H931" s="1271">
        <v>0.36708177473682801</v>
      </c>
      <c r="I931" s="1257">
        <v>0.42981606395777799</v>
      </c>
      <c r="J931" s="1280">
        <v>0.60517735532229799</v>
      </c>
      <c r="K931" s="1271">
        <v>6.6230100405527802E-3</v>
      </c>
      <c r="L931" s="1257">
        <v>1.17255525653314E-3</v>
      </c>
      <c r="M931" s="1280">
        <v>1.7838705518839101E-4</v>
      </c>
      <c r="N931" s="1271">
        <v>7.8921585090689101E-3</v>
      </c>
      <c r="O931" s="1257">
        <v>3.0000008598028201E-3</v>
      </c>
      <c r="P931" s="1257">
        <v>8.3136960241880099E-3</v>
      </c>
      <c r="Q931" s="1280">
        <v>7.8921585090689101E-3</v>
      </c>
      <c r="R931" s="1271">
        <v>3.8500011034136201E-2</v>
      </c>
      <c r="S931" s="1257">
        <v>3.8500011034136201E-2</v>
      </c>
      <c r="T931" s="1257">
        <v>3.8500011034136201E-2</v>
      </c>
      <c r="U931" s="1280">
        <v>1.9250005517068101E-2</v>
      </c>
      <c r="V931" s="1293">
        <v>6.9224731654147897E-3</v>
      </c>
    </row>
    <row r="932" spans="1:22" s="212" customFormat="1" ht="15.5" x14ac:dyDescent="0.35">
      <c r="A932" s="198">
        <v>2031</v>
      </c>
      <c r="B932" s="197" t="s">
        <v>5833</v>
      </c>
      <c r="C932" s="197">
        <v>2017</v>
      </c>
      <c r="D932" s="225" t="str">
        <f t="shared" si="4"/>
        <v>2031_2017</v>
      </c>
      <c r="E932" s="1231">
        <v>6.6388791569597899E-2</v>
      </c>
      <c r="F932" s="1288">
        <v>1.2838258645825201E-2</v>
      </c>
      <c r="G932" s="1306">
        <v>2.02443496356291E-2</v>
      </c>
      <c r="H932" s="1303">
        <v>0.36708177473682801</v>
      </c>
      <c r="I932" s="1288">
        <v>0.42981606395777799</v>
      </c>
      <c r="J932" s="1306">
        <v>0.60517735532229799</v>
      </c>
      <c r="K932" s="1303">
        <v>6.6230100405527802E-3</v>
      </c>
      <c r="L932" s="1288">
        <v>1.17255525653314E-3</v>
      </c>
      <c r="M932" s="1306">
        <v>1.7838705518839101E-4</v>
      </c>
      <c r="N932" s="1303">
        <v>7.8921585090689101E-3</v>
      </c>
      <c r="O932" s="1288">
        <v>3.0000008598028201E-3</v>
      </c>
      <c r="P932" s="1288">
        <v>8.3136960241880099E-3</v>
      </c>
      <c r="Q932" s="1306">
        <v>8.0844599213616593E-3</v>
      </c>
      <c r="R932" s="1303">
        <v>3.8500011034136201E-2</v>
      </c>
      <c r="S932" s="1288">
        <v>3.8500011034136201E-2</v>
      </c>
      <c r="T932" s="1288">
        <v>3.8500011034136201E-2</v>
      </c>
      <c r="U932" s="1306">
        <v>1.9250005517068101E-2</v>
      </c>
      <c r="V932" s="1294">
        <v>6.9224731654147897E-3</v>
      </c>
    </row>
    <row r="933" spans="1:22" s="212" customFormat="1" ht="15.5" x14ac:dyDescent="0.35">
      <c r="A933" s="198">
        <v>2031</v>
      </c>
      <c r="B933" s="197" t="s">
        <v>5833</v>
      </c>
      <c r="C933" s="197">
        <v>2018</v>
      </c>
      <c r="D933" s="225" t="str">
        <f t="shared" si="4"/>
        <v>2031_2018</v>
      </c>
      <c r="E933" s="1231">
        <v>6.9193595273471895E-2</v>
      </c>
      <c r="F933" s="1288">
        <v>1.29233788842974E-2</v>
      </c>
      <c r="G933" s="1306">
        <v>6.3443534493590706E-2</v>
      </c>
      <c r="H933" s="1303">
        <v>0.38626467878419002</v>
      </c>
      <c r="I933" s="1288">
        <v>0.39108240439040298</v>
      </c>
      <c r="J933" s="1306">
        <v>0.110662233857503</v>
      </c>
      <c r="K933" s="1303">
        <v>7.0055516858407198E-3</v>
      </c>
      <c r="L933" s="1288">
        <v>1.2229270587449899E-3</v>
      </c>
      <c r="M933" s="1306">
        <v>4.0928729727763701E-4</v>
      </c>
      <c r="N933" s="1303">
        <v>8.2883457368196495E-3</v>
      </c>
      <c r="O933" s="1288">
        <v>3.0000008598028201E-3</v>
      </c>
      <c r="P933" s="1288">
        <v>8.3146537171171105E-3</v>
      </c>
      <c r="Q933" s="1306">
        <v>7.9427762974697506E-3</v>
      </c>
      <c r="R933" s="1303">
        <v>3.8500011034136201E-2</v>
      </c>
      <c r="S933" s="1288">
        <v>3.8500011034136201E-2</v>
      </c>
      <c r="T933" s="1288">
        <v>3.8500011034136201E-2</v>
      </c>
      <c r="U933" s="1306">
        <v>1.9250005517068101E-2</v>
      </c>
      <c r="V933" s="1294">
        <v>7.3223116463992403E-3</v>
      </c>
    </row>
    <row r="934" spans="1:22" s="212" customFormat="1" ht="15.5" x14ac:dyDescent="0.35">
      <c r="A934" s="198">
        <v>2031</v>
      </c>
      <c r="B934" s="197" t="s">
        <v>5833</v>
      </c>
      <c r="C934" s="197">
        <v>2019</v>
      </c>
      <c r="D934" s="225" t="str">
        <f t="shared" si="4"/>
        <v>2031_2019</v>
      </c>
      <c r="E934" s="1231">
        <v>7.2094113434235399E-2</v>
      </c>
      <c r="F934" s="1288">
        <v>1.41475930585602E-2</v>
      </c>
      <c r="G934" s="1306">
        <v>6.2318134998408201E-2</v>
      </c>
      <c r="H934" s="1303">
        <v>0.40784655557003902</v>
      </c>
      <c r="I934" s="1288">
        <v>0.38448649164753701</v>
      </c>
      <c r="J934" s="1306">
        <v>0.122941135269499</v>
      </c>
      <c r="K934" s="1303">
        <v>7.3433684624368703E-3</v>
      </c>
      <c r="L934" s="1288">
        <v>1.37286052208869E-3</v>
      </c>
      <c r="M934" s="1306">
        <v>4.3604200799753502E-4</v>
      </c>
      <c r="N934" s="1303">
        <v>8.6615443713661602E-3</v>
      </c>
      <c r="O934" s="1288">
        <v>3.0000008598028201E-3</v>
      </c>
      <c r="P934" s="1288">
        <v>7.9450501810529994E-3</v>
      </c>
      <c r="Q934" s="1306">
        <v>6.5450099317091804E-3</v>
      </c>
      <c r="R934" s="1303">
        <v>3.8500011034136201E-2</v>
      </c>
      <c r="S934" s="1288">
        <v>3.8500011034136201E-2</v>
      </c>
      <c r="T934" s="1288">
        <v>3.8500011034136201E-2</v>
      </c>
      <c r="U934" s="1306">
        <v>1.9250005517068101E-2</v>
      </c>
      <c r="V934" s="1294">
        <v>7.6754029985933196E-3</v>
      </c>
    </row>
    <row r="935" spans="1:22" s="212" customFormat="1" ht="15.5" x14ac:dyDescent="0.35">
      <c r="A935" s="198">
        <v>2031</v>
      </c>
      <c r="B935" s="197" t="s">
        <v>5833</v>
      </c>
      <c r="C935" s="197">
        <v>2020</v>
      </c>
      <c r="D935" s="225" t="str">
        <f t="shared" si="4"/>
        <v>2031_2020</v>
      </c>
      <c r="E935" s="1231">
        <v>6.9598839625286901E-2</v>
      </c>
      <c r="F935" s="1288">
        <v>2.1800539735673301E-2</v>
      </c>
      <c r="G935" s="1306">
        <v>6.5101816585773895E-2</v>
      </c>
      <c r="H935" s="1303">
        <v>0.38920493782153298</v>
      </c>
      <c r="I935" s="1288">
        <v>0.39699910658429</v>
      </c>
      <c r="J935" s="1306">
        <v>0.11270065901472701</v>
      </c>
      <c r="K935" s="1303">
        <v>7.0591871431921896E-3</v>
      </c>
      <c r="L935" s="1288">
        <v>2.1027946372499701E-3</v>
      </c>
      <c r="M935" s="1306">
        <v>4.13415872275604E-4</v>
      </c>
      <c r="N935" s="1303">
        <v>8.3469904853548001E-3</v>
      </c>
      <c r="O935" s="1288">
        <v>3.0000008598028201E-3</v>
      </c>
      <c r="P935" s="1288">
        <v>8.6820265727153203E-3</v>
      </c>
      <c r="Q935" s="1280">
        <v>8.3469904853548001E-3</v>
      </c>
      <c r="R935" s="1303">
        <v>3.8500011034136201E-2</v>
      </c>
      <c r="S935" s="1288">
        <v>3.8500011034136201E-2</v>
      </c>
      <c r="T935" s="1288">
        <v>3.8500011034136201E-2</v>
      </c>
      <c r="U935" s="1280">
        <v>1.9250005517068101E-2</v>
      </c>
      <c r="V935" s="1294">
        <v>7.3783722611283301E-3</v>
      </c>
    </row>
    <row r="936" spans="1:22" s="212" customFormat="1" ht="15.5" x14ac:dyDescent="0.35">
      <c r="A936" s="198">
        <v>2031</v>
      </c>
      <c r="B936" s="197" t="s">
        <v>5833</v>
      </c>
      <c r="C936" s="197">
        <v>2021</v>
      </c>
      <c r="D936" s="225" t="str">
        <f t="shared" si="4"/>
        <v>2031_2021</v>
      </c>
      <c r="E936" s="1231">
        <v>4.7066234587399398E-2</v>
      </c>
      <c r="F936" s="1288">
        <v>8.9780373544541998E-3</v>
      </c>
      <c r="G936" s="1306">
        <v>6.1710152779918502E-2</v>
      </c>
      <c r="H936" s="1303">
        <v>0.22490693388358601</v>
      </c>
      <c r="I936" s="1288">
        <v>0.183817310367651</v>
      </c>
      <c r="J936" s="1306">
        <v>0.10980079808392799</v>
      </c>
      <c r="K936" s="1303">
        <v>4.1818181481146997E-3</v>
      </c>
      <c r="L936" s="1288">
        <v>1.29473733054886E-3</v>
      </c>
      <c r="M936" s="1306">
        <v>5.4397411401833895E-4</v>
      </c>
      <c r="N936" s="1303">
        <v>5.2005573391863697E-3</v>
      </c>
      <c r="O936" s="1288">
        <v>2.4976610123983501E-3</v>
      </c>
      <c r="P936" s="1288">
        <v>8.0760966133597602E-3</v>
      </c>
      <c r="Q936" s="1280">
        <v>5.2005573391863697E-3</v>
      </c>
      <c r="R936" s="1303">
        <v>3.8454039666674697E-2</v>
      </c>
      <c r="S936" s="1288">
        <v>3.5159451048896499E-2</v>
      </c>
      <c r="T936" s="1288">
        <v>3.8444897841275902E-2</v>
      </c>
      <c r="U936" s="1280">
        <v>1.9227019833337348E-2</v>
      </c>
      <c r="V936" s="1294">
        <v>4.3709014082292403E-3</v>
      </c>
    </row>
    <row r="937" spans="1:22" s="212" customFormat="1" ht="15.5" x14ac:dyDescent="0.35">
      <c r="A937" s="198">
        <v>2031</v>
      </c>
      <c r="B937" s="197" t="s">
        <v>5833</v>
      </c>
      <c r="C937" s="197">
        <v>2022</v>
      </c>
      <c r="D937" s="225" t="str">
        <f t="shared" si="4"/>
        <v>2031_2022</v>
      </c>
      <c r="E937" s="1231">
        <v>5.2437501680765802E-2</v>
      </c>
      <c r="F937" s="1288">
        <v>1.17090364699068E-2</v>
      </c>
      <c r="G937" s="1306">
        <v>6.4265458178148896E-2</v>
      </c>
      <c r="H937" s="1303">
        <v>0.259139276642049</v>
      </c>
      <c r="I937" s="1288">
        <v>0.24128689330432401</v>
      </c>
      <c r="J937" s="1306">
        <v>0.12912507900610001</v>
      </c>
      <c r="K937" s="1303">
        <v>4.9616457895947296E-3</v>
      </c>
      <c r="L937" s="1288">
        <v>1.37566646716534E-3</v>
      </c>
      <c r="M937" s="1306">
        <v>5.5389214384873799E-4</v>
      </c>
      <c r="N937" s="1303">
        <v>5.8291303326977097E-3</v>
      </c>
      <c r="O937" s="1288">
        <v>2.7293186313072002E-3</v>
      </c>
      <c r="P937" s="1288">
        <v>8.5023565942145603E-3</v>
      </c>
      <c r="Q937" s="1280">
        <v>5.8291303326977097E-3</v>
      </c>
      <c r="R937" s="1303">
        <v>3.8389620268812097E-2</v>
      </c>
      <c r="S937" s="1288">
        <v>3.6699974214640302E-2</v>
      </c>
      <c r="T937" s="1288">
        <v>3.8456708920411802E-2</v>
      </c>
      <c r="U937" s="1280">
        <v>1.9194810134406048E-2</v>
      </c>
      <c r="V937" s="1294">
        <v>5.1859893952230897E-3</v>
      </c>
    </row>
    <row r="938" spans="1:22" s="212" customFormat="1" ht="15.5" x14ac:dyDescent="0.35">
      <c r="A938" s="198">
        <v>2031</v>
      </c>
      <c r="B938" s="197" t="s">
        <v>5833</v>
      </c>
      <c r="C938" s="197">
        <v>2023</v>
      </c>
      <c r="D938" s="225" t="str">
        <f t="shared" si="4"/>
        <v>2031_2023</v>
      </c>
      <c r="E938" s="1231">
        <v>5.8889719739122201E-2</v>
      </c>
      <c r="F938" s="1288">
        <v>1.07062258798596E-2</v>
      </c>
      <c r="G938" s="1306">
        <v>6.16271271763984E-2</v>
      </c>
      <c r="H938" s="1303">
        <v>0.30946551088802599</v>
      </c>
      <c r="I938" s="1288">
        <v>0.21368014880533101</v>
      </c>
      <c r="J938" s="1306">
        <v>9.4546202379210006E-2</v>
      </c>
      <c r="K938" s="1303">
        <v>5.7197038790934599E-3</v>
      </c>
      <c r="L938" s="1288">
        <v>1.33217065517222E-3</v>
      </c>
      <c r="M938" s="1306">
        <v>4.1461418067851501E-4</v>
      </c>
      <c r="N938" s="1303">
        <v>6.8182408144928999E-3</v>
      </c>
      <c r="O938" s="1288">
        <v>2.6749741936355101E-3</v>
      </c>
      <c r="P938" s="1288">
        <v>8.3641682443388599E-3</v>
      </c>
      <c r="Q938" s="1280">
        <v>6.8182408144928999E-3</v>
      </c>
      <c r="R938" s="1303">
        <v>3.8454647584275803E-2</v>
      </c>
      <c r="S938" s="1288">
        <v>3.63385837041236E-2</v>
      </c>
      <c r="T938" s="1288">
        <v>3.8474991909915601E-2</v>
      </c>
      <c r="U938" s="1280">
        <v>1.9227323792137901E-2</v>
      </c>
      <c r="V938" s="1294">
        <v>5.9783235076959996E-3</v>
      </c>
    </row>
    <row r="939" spans="1:22" s="212" customFormat="1" ht="15.5" x14ac:dyDescent="0.35">
      <c r="A939" s="198">
        <v>2031</v>
      </c>
      <c r="B939" s="197" t="s">
        <v>5833</v>
      </c>
      <c r="C939" s="197">
        <v>2024</v>
      </c>
      <c r="D939" s="225" t="str">
        <f t="shared" si="4"/>
        <v>2031_2024</v>
      </c>
      <c r="E939" s="1231">
        <v>5.8254015222432398E-2</v>
      </c>
      <c r="F939" s="1288">
        <v>7.5762704499203999E-3</v>
      </c>
      <c r="G939" s="1306">
        <v>5.85370400824358E-2</v>
      </c>
      <c r="H939" s="1303">
        <v>0.299637962066163</v>
      </c>
      <c r="I939" s="1288">
        <v>0.119890097561576</v>
      </c>
      <c r="J939" s="1306">
        <v>9.4834904748072796E-2</v>
      </c>
      <c r="K939" s="1303">
        <v>5.7269646445825897E-3</v>
      </c>
      <c r="L939" s="1288">
        <v>1.2961816086877499E-3</v>
      </c>
      <c r="M939" s="1306">
        <v>7.2699692055039897E-4</v>
      </c>
      <c r="N939" s="1303">
        <v>6.6054609126384002E-3</v>
      </c>
      <c r="O939" s="1288">
        <v>2.36481062436464E-3</v>
      </c>
      <c r="P939" s="1288">
        <v>7.7134479762009803E-3</v>
      </c>
      <c r="Q939" s="1306">
        <v>8.4690603859683099E-3</v>
      </c>
      <c r="R939" s="1303">
        <v>3.8367401713422698E-2</v>
      </c>
      <c r="S939" s="1288">
        <v>3.4275995968472299E-2</v>
      </c>
      <c r="T939" s="1288">
        <v>3.8318014894511601E-2</v>
      </c>
      <c r="U939" s="1306">
        <v>1.9250005517068101E-2</v>
      </c>
      <c r="V939" s="1294">
        <v>5.98591257278138E-3</v>
      </c>
    </row>
    <row r="940" spans="1:22" s="212" customFormat="1" ht="15.5" x14ac:dyDescent="0.35">
      <c r="A940" s="198">
        <v>2031</v>
      </c>
      <c r="B940" s="197" t="s">
        <v>5833</v>
      </c>
      <c r="C940" s="197">
        <v>2025</v>
      </c>
      <c r="D940" s="225" t="str">
        <f t="shared" si="4"/>
        <v>2031_2025</v>
      </c>
      <c r="E940" s="1231">
        <v>6.6919901845730406E-2</v>
      </c>
      <c r="F940" s="1288">
        <v>7.3319694139363104E-3</v>
      </c>
      <c r="G940" s="1306">
        <v>5.4949834648093998E-2</v>
      </c>
      <c r="H940" s="1303">
        <v>0.36337857849800698</v>
      </c>
      <c r="I940" s="1288">
        <v>9.1932378030908493E-2</v>
      </c>
      <c r="J940" s="1306">
        <v>8.7473159397973704E-2</v>
      </c>
      <c r="K940" s="1303">
        <v>6.8174398614545897E-3</v>
      </c>
      <c r="L940" s="1288">
        <v>1.3457091878709599E-3</v>
      </c>
      <c r="M940" s="1306">
        <v>5.7268020323209402E-4</v>
      </c>
      <c r="N940" s="1303">
        <v>7.8252844597193096E-3</v>
      </c>
      <c r="O940" s="1288">
        <v>2.2897841947133899E-3</v>
      </c>
      <c r="P940" s="1288">
        <v>7.2329655940151097E-3</v>
      </c>
      <c r="Q940" s="1306">
        <v>8.12190024590086E-3</v>
      </c>
      <c r="R940" s="1303">
        <v>3.83901922330784E-2</v>
      </c>
      <c r="S940" s="1288">
        <v>3.3777070211291498E-2</v>
      </c>
      <c r="T940" s="1288">
        <v>3.8395805477708898E-2</v>
      </c>
      <c r="U940" s="1306">
        <v>1.9250005517068101E-2</v>
      </c>
      <c r="V940" s="1294">
        <v>7.1256942400482297E-3</v>
      </c>
    </row>
    <row r="941" spans="1:22" s="212" customFormat="1" ht="15.5" x14ac:dyDescent="0.35">
      <c r="A941" s="198">
        <v>2031</v>
      </c>
      <c r="B941" s="197" t="s">
        <v>5833</v>
      </c>
      <c r="C941" s="197">
        <v>2026</v>
      </c>
      <c r="D941" s="225" t="str">
        <f t="shared" si="4"/>
        <v>2031_2026</v>
      </c>
      <c r="E941" s="1231">
        <v>6.1369359378862003E-2</v>
      </c>
      <c r="F941" s="1288">
        <v>8.0691913329333006E-3</v>
      </c>
      <c r="G941" s="1306">
        <v>5.1718369319779002E-2</v>
      </c>
      <c r="H941" s="1303">
        <v>0.32815188799651901</v>
      </c>
      <c r="I941" s="1288">
        <v>0.121190224184549</v>
      </c>
      <c r="J941" s="1306">
        <v>8.1494746553062603E-2</v>
      </c>
      <c r="K941" s="1303">
        <v>5.9833218017548099E-3</v>
      </c>
      <c r="L941" s="1288">
        <v>1.27044599233407E-3</v>
      </c>
      <c r="M941" s="1306">
        <v>6.8172418731930198E-4</v>
      </c>
      <c r="N941" s="1303">
        <v>7.16551310923072E-3</v>
      </c>
      <c r="O941" s="1288">
        <v>2.4607874227618601E-3</v>
      </c>
      <c r="P941" s="1288">
        <v>7.1839211312385801E-3</v>
      </c>
      <c r="Q941" s="1306">
        <v>8.7337429995912007E-3</v>
      </c>
      <c r="R941" s="1303">
        <v>3.84644305177919E-2</v>
      </c>
      <c r="S941" s="1288">
        <v>3.4914241677813797E-2</v>
      </c>
      <c r="T941" s="1288">
        <v>3.8249559809573001E-2</v>
      </c>
      <c r="U941" s="1306">
        <v>1.9250005517068101E-2</v>
      </c>
      <c r="V941" s="1294">
        <v>6.25386106303289E-3</v>
      </c>
    </row>
    <row r="942" spans="1:22" s="212" customFormat="1" ht="15.5" x14ac:dyDescent="0.35">
      <c r="A942" s="198">
        <v>2031</v>
      </c>
      <c r="B942" s="197" t="s">
        <v>5833</v>
      </c>
      <c r="C942" s="197">
        <v>2027</v>
      </c>
      <c r="D942" s="225" t="str">
        <f t="shared" si="4"/>
        <v>2031_2027</v>
      </c>
      <c r="E942" s="1231">
        <v>6.9502692543629105E-2</v>
      </c>
      <c r="F942" s="1288">
        <v>4.0401874636354597E-3</v>
      </c>
      <c r="G942" s="1306">
        <v>5.8298551666518698E-2</v>
      </c>
      <c r="H942" s="1303">
        <v>0.39435801301315099</v>
      </c>
      <c r="I942" s="1288">
        <v>5.48196660377019E-2</v>
      </c>
      <c r="J942" s="1306">
        <v>9.5979811768954898E-2</v>
      </c>
      <c r="K942" s="1303">
        <v>6.7338655044291203E-3</v>
      </c>
      <c r="L942" s="1288">
        <v>1.11546027982634E-3</v>
      </c>
      <c r="M942" s="1306">
        <v>6.1324111375777397E-4</v>
      </c>
      <c r="N942" s="1303">
        <v>7.8504628206927992E-3</v>
      </c>
      <c r="O942" s="1288">
        <v>2.17493873998496E-3</v>
      </c>
      <c r="P942" s="1288">
        <v>7.80439062381625E-3</v>
      </c>
      <c r="Q942" s="1306">
        <v>7.9141820106778307E-3</v>
      </c>
      <c r="R942" s="1303">
        <v>3.8361482315821302E-2</v>
      </c>
      <c r="S942" s="1288">
        <v>3.30133479373474E-2</v>
      </c>
      <c r="T942" s="1288">
        <v>3.8362517854726101E-2</v>
      </c>
      <c r="U942" s="1306">
        <v>1.9250005517068101E-2</v>
      </c>
      <c r="V942" s="1294">
        <v>7.0383410214537798E-3</v>
      </c>
    </row>
    <row r="943" spans="1:22" s="212" customFormat="1" ht="15.5" x14ac:dyDescent="0.35">
      <c r="A943" s="198">
        <v>2031</v>
      </c>
      <c r="B943" s="197" t="s">
        <v>5833</v>
      </c>
      <c r="C943" s="197">
        <v>2028</v>
      </c>
      <c r="D943" s="225" t="str">
        <f t="shared" si="4"/>
        <v>2031_2028</v>
      </c>
      <c r="E943" s="1231">
        <v>6.5784588232000701E-2</v>
      </c>
      <c r="F943" s="1288">
        <v>7.9214559172618108E-3</v>
      </c>
      <c r="G943" s="1306">
        <v>5.8528083953862199E-2</v>
      </c>
      <c r="H943" s="1303">
        <v>0.35982197296471902</v>
      </c>
      <c r="I943" s="1288">
        <v>8.4689815778189695E-2</v>
      </c>
      <c r="J943" s="1306">
        <v>9.9019984080642706E-2</v>
      </c>
      <c r="K943" s="1303">
        <v>6.5512855511656301E-3</v>
      </c>
      <c r="L943" s="1288">
        <v>1.3043103434226E-3</v>
      </c>
      <c r="M943" s="1306">
        <v>8.2243189082535704E-4</v>
      </c>
      <c r="N943" s="1303">
        <v>7.7712270796596403E-3</v>
      </c>
      <c r="O943" s="1288">
        <v>2.3743079061995099E-3</v>
      </c>
      <c r="P943" s="1288">
        <v>7.7308208824048898E-3</v>
      </c>
      <c r="Q943" s="1306">
        <v>7.9427433315009295E-3</v>
      </c>
      <c r="R943" s="1303">
        <v>3.8463848921908399E-2</v>
      </c>
      <c r="S943" s="1288">
        <v>3.4339152892674203E-2</v>
      </c>
      <c r="T943" s="1288">
        <v>3.8062585947839199E-2</v>
      </c>
      <c r="U943" s="1306">
        <v>1.9250005517068101E-2</v>
      </c>
      <c r="V943" s="1294">
        <v>6.8475056128902596E-3</v>
      </c>
    </row>
    <row r="944" spans="1:22" s="212" customFormat="1" ht="15.5" x14ac:dyDescent="0.35">
      <c r="A944" s="198">
        <v>2031</v>
      </c>
      <c r="B944" s="197" t="s">
        <v>5833</v>
      </c>
      <c r="C944" s="197">
        <v>2029</v>
      </c>
      <c r="D944" s="225" t="str">
        <f t="shared" si="4"/>
        <v>2031_2029</v>
      </c>
      <c r="E944" s="1231">
        <v>6.2976404889490495E-2</v>
      </c>
      <c r="F944" s="1288">
        <v>7.5731751635158299E-3</v>
      </c>
      <c r="G944" s="1306">
        <v>6.23881893565882E-2</v>
      </c>
      <c r="H944" s="1303">
        <v>0.33809755541279302</v>
      </c>
      <c r="I944" s="1288">
        <v>8.2537589320586205E-2</v>
      </c>
      <c r="J944" s="1306">
        <v>0.110409063130994</v>
      </c>
      <c r="K944" s="1303">
        <v>6.18913911877398E-3</v>
      </c>
      <c r="L944" s="1288">
        <v>1.2521555301593199E-3</v>
      </c>
      <c r="M944" s="1306">
        <v>6.9592464824862297E-4</v>
      </c>
      <c r="N944" s="1303">
        <v>7.3591644136986097E-3</v>
      </c>
      <c r="O944" s="1288">
        <v>2.3930042622993799E-3</v>
      </c>
      <c r="P944" s="1288">
        <v>8.2423372137655493E-3</v>
      </c>
      <c r="Q944" s="1306">
        <v>8.3085958763830601E-3</v>
      </c>
      <c r="R944" s="1303">
        <v>3.8435790840330497E-2</v>
      </c>
      <c r="S944" s="1288">
        <v>3.44634836607383E-2</v>
      </c>
      <c r="T944" s="1288">
        <v>3.8206987430294201E-2</v>
      </c>
      <c r="U944" s="1306">
        <v>1.9250005517068101E-2</v>
      </c>
      <c r="V944" s="1294">
        <v>6.4689845258268496E-3</v>
      </c>
    </row>
    <row r="945" spans="1:22" s="212" customFormat="1" ht="15.5" x14ac:dyDescent="0.35">
      <c r="A945" s="198">
        <v>2031</v>
      </c>
      <c r="B945" s="197" t="s">
        <v>5833</v>
      </c>
      <c r="C945" s="197">
        <v>2030</v>
      </c>
      <c r="D945" s="225" t="str">
        <f t="shared" si="4"/>
        <v>2031_2030</v>
      </c>
      <c r="E945" s="1231">
        <v>8.80358928252227E-2</v>
      </c>
      <c r="F945" s="1288">
        <v>4.1032885156458898E-3</v>
      </c>
      <c r="G945" s="1306">
        <v>8.1750775644051699E-2</v>
      </c>
      <c r="H945" s="1303">
        <v>0.16133665252231699</v>
      </c>
      <c r="I945" s="1288">
        <v>2.0721340918935401E-2</v>
      </c>
      <c r="J945" s="1306">
        <v>0.152988408703981</v>
      </c>
      <c r="K945" s="1303">
        <v>8.9281572758237292E-3</v>
      </c>
      <c r="L945" s="1288">
        <v>1.1816604199256799E-3</v>
      </c>
      <c r="M945" s="1306">
        <v>8.4000567873901595E-3</v>
      </c>
      <c r="N945" s="1303">
        <v>3.0000008598028201E-3</v>
      </c>
      <c r="O945" s="1288">
        <v>2.0000005732018801E-3</v>
      </c>
      <c r="P945" s="1288">
        <v>3.0000008598028201E-3</v>
      </c>
      <c r="Q945" s="1306">
        <v>7.8222780240651494E-3</v>
      </c>
      <c r="R945" s="1303">
        <v>3.1850009128239903E-2</v>
      </c>
      <c r="S945" s="1288">
        <v>3.1850009128239903E-2</v>
      </c>
      <c r="T945" s="1288">
        <v>3.1850009128239903E-2</v>
      </c>
      <c r="U945" s="1306">
        <v>1.9250005517068101E-2</v>
      </c>
      <c r="V945" s="1294">
        <v>9.3318489297253195E-3</v>
      </c>
    </row>
    <row r="946" spans="1:22" s="212" customFormat="1" ht="15.5" x14ac:dyDescent="0.35">
      <c r="A946" s="198">
        <v>2031</v>
      </c>
      <c r="B946" s="197" t="s">
        <v>5833</v>
      </c>
      <c r="C946" s="197">
        <v>2031</v>
      </c>
      <c r="D946" s="225" t="str">
        <f t="shared" si="4"/>
        <v>2031_2031</v>
      </c>
      <c r="E946" s="1231">
        <v>8.6671318480919801E-2</v>
      </c>
      <c r="F946" s="1288">
        <v>3.1860009799999402E-3</v>
      </c>
      <c r="G946" s="1306">
        <v>7.6606054234191104E-2</v>
      </c>
      <c r="H946" s="1303">
        <v>0.151283011013601</v>
      </c>
      <c r="I946" s="1288">
        <v>2.0630719001144399E-2</v>
      </c>
      <c r="J946" s="1306">
        <v>0.13987013861578099</v>
      </c>
      <c r="K946" s="1303">
        <v>7.0838304222910903E-3</v>
      </c>
      <c r="L946" s="1288">
        <v>1.1264068526712699E-3</v>
      </c>
      <c r="M946" s="1306">
        <v>6.4269437323073398E-3</v>
      </c>
      <c r="N946" s="1303">
        <v>3.0000008598028201E-3</v>
      </c>
      <c r="O946" s="1288">
        <v>2.0000005732018801E-3</v>
      </c>
      <c r="P946" s="1288">
        <v>3.0000008598028201E-3</v>
      </c>
      <c r="Q946" s="1306">
        <v>8.1120328320053899E-3</v>
      </c>
      <c r="R946" s="1303">
        <v>3.1850009128239903E-2</v>
      </c>
      <c r="S946" s="1288">
        <v>3.1850009128239903E-2</v>
      </c>
      <c r="T946" s="1288">
        <v>3.1850009128239903E-2</v>
      </c>
      <c r="U946" s="1306">
        <v>1.9250005517068101E-2</v>
      </c>
      <c r="V946" s="1294">
        <v>7.4041297999551401E-3</v>
      </c>
    </row>
    <row r="947" spans="1:22" s="212" customFormat="1" ht="15.5" x14ac:dyDescent="0.35">
      <c r="A947" s="198">
        <v>2031</v>
      </c>
      <c r="B947" s="197" t="s">
        <v>5833</v>
      </c>
      <c r="C947" s="197">
        <v>2032</v>
      </c>
      <c r="D947" s="225" t="str">
        <f t="shared" si="4"/>
        <v>2031_2032</v>
      </c>
      <c r="E947" s="1226">
        <v>8.6671318480919801E-2</v>
      </c>
      <c r="F947" s="1257">
        <v>3.1860009799999402E-3</v>
      </c>
      <c r="G947" s="1280">
        <v>7.6606054234191104E-2</v>
      </c>
      <c r="H947" s="1271">
        <v>0.151283011013601</v>
      </c>
      <c r="I947" s="1257">
        <v>2.0630719001144399E-2</v>
      </c>
      <c r="J947" s="1280">
        <v>0.13987013861578099</v>
      </c>
      <c r="K947" s="1271">
        <v>7.0838304222910903E-3</v>
      </c>
      <c r="L947" s="1257">
        <v>1.1264068526712699E-3</v>
      </c>
      <c r="M947" s="1280">
        <v>6.4269437323073398E-3</v>
      </c>
      <c r="N947" s="1271">
        <v>3.0000008598028201E-3</v>
      </c>
      <c r="O947" s="1257">
        <v>2.0000005732018801E-3</v>
      </c>
      <c r="P947" s="1257">
        <v>3.0000008598028201E-3</v>
      </c>
      <c r="Q947" s="1280">
        <v>8.1120328320053899E-3</v>
      </c>
      <c r="R947" s="1271">
        <v>3.1850009128239903E-2</v>
      </c>
      <c r="S947" s="1257">
        <v>3.1850009128239903E-2</v>
      </c>
      <c r="T947" s="1257">
        <v>3.1850009128239903E-2</v>
      </c>
      <c r="U947" s="1280">
        <v>1.9250005517068101E-2</v>
      </c>
      <c r="V947" s="1293">
        <v>7.4041297999551401E-3</v>
      </c>
    </row>
    <row r="948" spans="1:22" s="212" customFormat="1" ht="15.5" x14ac:dyDescent="0.35">
      <c r="A948" s="198">
        <v>2032</v>
      </c>
      <c r="B948" s="197" t="s">
        <v>5833</v>
      </c>
      <c r="C948" s="197">
        <v>1971</v>
      </c>
      <c r="D948" s="225" t="str">
        <f t="shared" si="4"/>
        <v>2032_1971</v>
      </c>
      <c r="E948" s="1226">
        <v>6.9193595273458197E-2</v>
      </c>
      <c r="F948" s="1257">
        <v>1.29233788842915E-2</v>
      </c>
      <c r="G948" s="1280">
        <v>6.34435344935423E-2</v>
      </c>
      <c r="H948" s="1271">
        <v>0.38626467878408299</v>
      </c>
      <c r="I948" s="1257">
        <v>0.42144189474411498</v>
      </c>
      <c r="J948" s="1280">
        <v>0.11066223385656999</v>
      </c>
      <c r="K948" s="1271">
        <v>7.0055516858416704E-3</v>
      </c>
      <c r="L948" s="1257">
        <v>1.2229270587444301E-3</v>
      </c>
      <c r="M948" s="1280">
        <v>4.0928729727493198E-4</v>
      </c>
      <c r="N948" s="1271">
        <v>8.2883457368196495E-3</v>
      </c>
      <c r="O948" s="1257">
        <v>3.0000008598028201E-3</v>
      </c>
      <c r="P948" s="1257">
        <v>8.3146537171171105E-3</v>
      </c>
      <c r="Q948" s="1280">
        <v>8.2883457368196495E-3</v>
      </c>
      <c r="R948" s="1271">
        <v>3.8500011034136201E-2</v>
      </c>
      <c r="S948" s="1257">
        <v>3.8500011034136201E-2</v>
      </c>
      <c r="T948" s="1257">
        <v>3.8500011034136201E-2</v>
      </c>
      <c r="U948" s="1280">
        <v>1.9250005517068101E-2</v>
      </c>
      <c r="V948" s="1293">
        <v>7.3223116464002404E-3</v>
      </c>
    </row>
    <row r="949" spans="1:22" s="212" customFormat="1" ht="15.5" x14ac:dyDescent="0.35">
      <c r="A949" s="198">
        <v>2032</v>
      </c>
      <c r="B949" s="197" t="s">
        <v>5833</v>
      </c>
      <c r="C949" s="197">
        <v>1972</v>
      </c>
      <c r="D949" s="225" t="str">
        <f t="shared" si="4"/>
        <v>2032_1972</v>
      </c>
      <c r="E949" s="1226">
        <v>6.9193595273458197E-2</v>
      </c>
      <c r="F949" s="1257">
        <v>1.29233788842915E-2</v>
      </c>
      <c r="G949" s="1280">
        <v>6.34435344935423E-2</v>
      </c>
      <c r="H949" s="1271">
        <v>0.38626467878408299</v>
      </c>
      <c r="I949" s="1257">
        <v>0.42144189474411498</v>
      </c>
      <c r="J949" s="1280">
        <v>0.11066223385656999</v>
      </c>
      <c r="K949" s="1271">
        <v>7.0055516858416704E-3</v>
      </c>
      <c r="L949" s="1257">
        <v>1.2229270587444301E-3</v>
      </c>
      <c r="M949" s="1280">
        <v>4.0928729727493198E-4</v>
      </c>
      <c r="N949" s="1271">
        <v>8.2883457368196495E-3</v>
      </c>
      <c r="O949" s="1257">
        <v>3.0000008598028201E-3</v>
      </c>
      <c r="P949" s="1257">
        <v>8.3146537171171105E-3</v>
      </c>
      <c r="Q949" s="1280">
        <v>8.2883457368196495E-3</v>
      </c>
      <c r="R949" s="1271">
        <v>3.8500011034136201E-2</v>
      </c>
      <c r="S949" s="1257">
        <v>3.8500011034136201E-2</v>
      </c>
      <c r="T949" s="1257">
        <v>3.8500011034136201E-2</v>
      </c>
      <c r="U949" s="1280">
        <v>1.9250005517068101E-2</v>
      </c>
      <c r="V949" s="1293">
        <v>7.3223116464002404E-3</v>
      </c>
    </row>
    <row r="950" spans="1:22" s="212" customFormat="1" ht="15.5" x14ac:dyDescent="0.35">
      <c r="A950" s="198">
        <v>2032</v>
      </c>
      <c r="B950" s="197" t="s">
        <v>5833</v>
      </c>
      <c r="C950" s="197">
        <v>1973</v>
      </c>
      <c r="D950" s="225" t="str">
        <f t="shared" si="4"/>
        <v>2032_1973</v>
      </c>
      <c r="E950" s="1226">
        <v>6.9193595273458197E-2</v>
      </c>
      <c r="F950" s="1257">
        <v>1.29233788842915E-2</v>
      </c>
      <c r="G950" s="1280">
        <v>6.34435344935423E-2</v>
      </c>
      <c r="H950" s="1271">
        <v>0.38626467878408299</v>
      </c>
      <c r="I950" s="1257">
        <v>0.42144189474411498</v>
      </c>
      <c r="J950" s="1280">
        <v>0.11066223385656999</v>
      </c>
      <c r="K950" s="1271">
        <v>7.0055516858416704E-3</v>
      </c>
      <c r="L950" s="1257">
        <v>1.2229270587444301E-3</v>
      </c>
      <c r="M950" s="1280">
        <v>4.0928729727493198E-4</v>
      </c>
      <c r="N950" s="1271">
        <v>8.2883457368196495E-3</v>
      </c>
      <c r="O950" s="1257">
        <v>3.0000008598028201E-3</v>
      </c>
      <c r="P950" s="1257">
        <v>8.3146537171171105E-3</v>
      </c>
      <c r="Q950" s="1280">
        <v>8.2883457368196495E-3</v>
      </c>
      <c r="R950" s="1271">
        <v>3.8500011034136201E-2</v>
      </c>
      <c r="S950" s="1257">
        <v>3.8500011034136201E-2</v>
      </c>
      <c r="T950" s="1257">
        <v>3.8500011034136201E-2</v>
      </c>
      <c r="U950" s="1280">
        <v>1.9250005517068101E-2</v>
      </c>
      <c r="V950" s="1293">
        <v>7.3223116464002404E-3</v>
      </c>
    </row>
    <row r="951" spans="1:22" s="212" customFormat="1" ht="15.5" x14ac:dyDescent="0.35">
      <c r="A951" s="198">
        <v>2032</v>
      </c>
      <c r="B951" s="197" t="s">
        <v>5833</v>
      </c>
      <c r="C951" s="197">
        <v>1974</v>
      </c>
      <c r="D951" s="225" t="str">
        <f t="shared" si="4"/>
        <v>2032_1974</v>
      </c>
      <c r="E951" s="1226">
        <v>6.9193595273458197E-2</v>
      </c>
      <c r="F951" s="1257">
        <v>1.29233788842915E-2</v>
      </c>
      <c r="G951" s="1280">
        <v>6.34435344935423E-2</v>
      </c>
      <c r="H951" s="1271">
        <v>0.38626467878408299</v>
      </c>
      <c r="I951" s="1257">
        <v>0.42144189474411498</v>
      </c>
      <c r="J951" s="1280">
        <v>0.11066223385656999</v>
      </c>
      <c r="K951" s="1271">
        <v>7.0055516858416704E-3</v>
      </c>
      <c r="L951" s="1257">
        <v>1.2229270587444301E-3</v>
      </c>
      <c r="M951" s="1280">
        <v>4.0928729727493198E-4</v>
      </c>
      <c r="N951" s="1271">
        <v>8.2883457368196495E-3</v>
      </c>
      <c r="O951" s="1257">
        <v>3.0000008598028201E-3</v>
      </c>
      <c r="P951" s="1257">
        <v>8.3146537171171105E-3</v>
      </c>
      <c r="Q951" s="1280">
        <v>8.2883457368196495E-3</v>
      </c>
      <c r="R951" s="1271">
        <v>3.8500011034136201E-2</v>
      </c>
      <c r="S951" s="1257">
        <v>3.8500011034136201E-2</v>
      </c>
      <c r="T951" s="1257">
        <v>3.8500011034136201E-2</v>
      </c>
      <c r="U951" s="1280">
        <v>1.9250005517068101E-2</v>
      </c>
      <c r="V951" s="1293">
        <v>7.3223116464002404E-3</v>
      </c>
    </row>
    <row r="952" spans="1:22" s="212" customFormat="1" ht="15.5" x14ac:dyDescent="0.35">
      <c r="A952" s="198">
        <v>2032</v>
      </c>
      <c r="B952" s="197" t="s">
        <v>5833</v>
      </c>
      <c r="C952" s="197">
        <v>1975</v>
      </c>
      <c r="D952" s="225" t="str">
        <f t="shared" si="4"/>
        <v>2032_1975</v>
      </c>
      <c r="E952" s="1226">
        <v>6.9193595273458197E-2</v>
      </c>
      <c r="F952" s="1257">
        <v>1.29233788842915E-2</v>
      </c>
      <c r="G952" s="1280">
        <v>6.34435344935423E-2</v>
      </c>
      <c r="H952" s="1271">
        <v>0.38626467878408299</v>
      </c>
      <c r="I952" s="1257">
        <v>0.42144189474411498</v>
      </c>
      <c r="J952" s="1280">
        <v>0.11066223385656999</v>
      </c>
      <c r="K952" s="1271">
        <v>7.0055516858416704E-3</v>
      </c>
      <c r="L952" s="1257">
        <v>1.2229270587444301E-3</v>
      </c>
      <c r="M952" s="1280">
        <v>4.0928729727493198E-4</v>
      </c>
      <c r="N952" s="1271">
        <v>8.2883457368196495E-3</v>
      </c>
      <c r="O952" s="1257">
        <v>3.0000008598028201E-3</v>
      </c>
      <c r="P952" s="1257">
        <v>8.3146537171171105E-3</v>
      </c>
      <c r="Q952" s="1280">
        <v>8.2883457368196495E-3</v>
      </c>
      <c r="R952" s="1271">
        <v>3.8500011034136201E-2</v>
      </c>
      <c r="S952" s="1257">
        <v>3.8500011034136201E-2</v>
      </c>
      <c r="T952" s="1257">
        <v>3.8500011034136201E-2</v>
      </c>
      <c r="U952" s="1280">
        <v>1.9250005517068101E-2</v>
      </c>
      <c r="V952" s="1293">
        <v>7.3223116464002404E-3</v>
      </c>
    </row>
    <row r="953" spans="1:22" s="212" customFormat="1" ht="15.5" x14ac:dyDescent="0.35">
      <c r="A953" s="198">
        <v>2032</v>
      </c>
      <c r="B953" s="197" t="s">
        <v>5833</v>
      </c>
      <c r="C953" s="197">
        <v>1976</v>
      </c>
      <c r="D953" s="225" t="str">
        <f t="shared" si="4"/>
        <v>2032_1976</v>
      </c>
      <c r="E953" s="1226">
        <v>6.9193595273458197E-2</v>
      </c>
      <c r="F953" s="1257">
        <v>1.29233788842915E-2</v>
      </c>
      <c r="G953" s="1280">
        <v>6.34435344935423E-2</v>
      </c>
      <c r="H953" s="1271">
        <v>0.38626467878408299</v>
      </c>
      <c r="I953" s="1257">
        <v>0.42144189474411498</v>
      </c>
      <c r="J953" s="1280">
        <v>0.11066223385656999</v>
      </c>
      <c r="K953" s="1271">
        <v>7.0055516858416704E-3</v>
      </c>
      <c r="L953" s="1257">
        <v>1.2229270587444301E-3</v>
      </c>
      <c r="M953" s="1280">
        <v>4.0928729727493198E-4</v>
      </c>
      <c r="N953" s="1271">
        <v>8.2883457368196495E-3</v>
      </c>
      <c r="O953" s="1257">
        <v>3.0000008598028201E-3</v>
      </c>
      <c r="P953" s="1257">
        <v>8.3146537171171105E-3</v>
      </c>
      <c r="Q953" s="1280">
        <v>8.2883457368196495E-3</v>
      </c>
      <c r="R953" s="1271">
        <v>3.8500011034136201E-2</v>
      </c>
      <c r="S953" s="1257">
        <v>3.8500011034136201E-2</v>
      </c>
      <c r="T953" s="1257">
        <v>3.8500011034136201E-2</v>
      </c>
      <c r="U953" s="1280">
        <v>1.9250005517068101E-2</v>
      </c>
      <c r="V953" s="1293">
        <v>7.3223116464002404E-3</v>
      </c>
    </row>
    <row r="954" spans="1:22" s="212" customFormat="1" ht="15.5" x14ac:dyDescent="0.35">
      <c r="A954" s="198">
        <v>2032</v>
      </c>
      <c r="B954" s="197" t="s">
        <v>5833</v>
      </c>
      <c r="C954" s="197">
        <v>1977</v>
      </c>
      <c r="D954" s="225" t="str">
        <f t="shared" si="4"/>
        <v>2032_1977</v>
      </c>
      <c r="E954" s="1226">
        <v>6.9193595273458197E-2</v>
      </c>
      <c r="F954" s="1257">
        <v>1.29233788842915E-2</v>
      </c>
      <c r="G954" s="1280">
        <v>6.34435344935423E-2</v>
      </c>
      <c r="H954" s="1271">
        <v>0.38626467878408299</v>
      </c>
      <c r="I954" s="1257">
        <v>0.42144189474411498</v>
      </c>
      <c r="J954" s="1280">
        <v>0.11066223385656999</v>
      </c>
      <c r="K954" s="1271">
        <v>7.0055516858416704E-3</v>
      </c>
      <c r="L954" s="1257">
        <v>1.2229270587444301E-3</v>
      </c>
      <c r="M954" s="1280">
        <v>4.0928729727493198E-4</v>
      </c>
      <c r="N954" s="1271">
        <v>8.2883457368196495E-3</v>
      </c>
      <c r="O954" s="1257">
        <v>3.0000008598028201E-3</v>
      </c>
      <c r="P954" s="1257">
        <v>8.3146537171171105E-3</v>
      </c>
      <c r="Q954" s="1280">
        <v>8.2883457368196495E-3</v>
      </c>
      <c r="R954" s="1271">
        <v>3.8500011034136201E-2</v>
      </c>
      <c r="S954" s="1257">
        <v>3.8500011034136201E-2</v>
      </c>
      <c r="T954" s="1257">
        <v>3.8500011034136201E-2</v>
      </c>
      <c r="U954" s="1280">
        <v>1.9250005517068101E-2</v>
      </c>
      <c r="V954" s="1293">
        <v>7.3223116464002404E-3</v>
      </c>
    </row>
    <row r="955" spans="1:22" s="212" customFormat="1" ht="15.5" x14ac:dyDescent="0.35">
      <c r="A955" s="198">
        <v>2032</v>
      </c>
      <c r="B955" s="197" t="s">
        <v>5833</v>
      </c>
      <c r="C955" s="197">
        <v>1978</v>
      </c>
      <c r="D955" s="225" t="str">
        <f t="shared" si="4"/>
        <v>2032_1978</v>
      </c>
      <c r="E955" s="1226">
        <v>6.9193595273458197E-2</v>
      </c>
      <c r="F955" s="1257">
        <v>1.29233788842915E-2</v>
      </c>
      <c r="G955" s="1280">
        <v>6.34435344935423E-2</v>
      </c>
      <c r="H955" s="1271">
        <v>0.38626467878408299</v>
      </c>
      <c r="I955" s="1257">
        <v>0.42144189474411498</v>
      </c>
      <c r="J955" s="1280">
        <v>0.11066223385656999</v>
      </c>
      <c r="K955" s="1271">
        <v>7.0055516858416704E-3</v>
      </c>
      <c r="L955" s="1257">
        <v>1.2229270587444301E-3</v>
      </c>
      <c r="M955" s="1280">
        <v>4.0928729727493198E-4</v>
      </c>
      <c r="N955" s="1271">
        <v>8.2883457368196495E-3</v>
      </c>
      <c r="O955" s="1257">
        <v>3.0000008598028201E-3</v>
      </c>
      <c r="P955" s="1257">
        <v>8.3146537171171105E-3</v>
      </c>
      <c r="Q955" s="1280">
        <v>8.2883457368196495E-3</v>
      </c>
      <c r="R955" s="1271">
        <v>3.8500011034136201E-2</v>
      </c>
      <c r="S955" s="1257">
        <v>3.8500011034136201E-2</v>
      </c>
      <c r="T955" s="1257">
        <v>3.8500011034136201E-2</v>
      </c>
      <c r="U955" s="1280">
        <v>1.9250005517068101E-2</v>
      </c>
      <c r="V955" s="1293">
        <v>7.3223116464002404E-3</v>
      </c>
    </row>
    <row r="956" spans="1:22" s="212" customFormat="1" ht="15.5" x14ac:dyDescent="0.35">
      <c r="A956" s="198">
        <v>2032</v>
      </c>
      <c r="B956" s="197" t="s">
        <v>5833</v>
      </c>
      <c r="C956" s="197">
        <v>1979</v>
      </c>
      <c r="D956" s="225" t="str">
        <f t="shared" si="4"/>
        <v>2032_1979</v>
      </c>
      <c r="E956" s="1226">
        <v>6.9193595273458197E-2</v>
      </c>
      <c r="F956" s="1257">
        <v>1.29233788842915E-2</v>
      </c>
      <c r="G956" s="1280">
        <v>6.34435344935423E-2</v>
      </c>
      <c r="H956" s="1271">
        <v>0.38626467878408299</v>
      </c>
      <c r="I956" s="1257">
        <v>0.42144189474411498</v>
      </c>
      <c r="J956" s="1280">
        <v>0.11066223385656999</v>
      </c>
      <c r="K956" s="1271">
        <v>7.0055516858416704E-3</v>
      </c>
      <c r="L956" s="1257">
        <v>1.2229270587444301E-3</v>
      </c>
      <c r="M956" s="1280">
        <v>4.0928729727493198E-4</v>
      </c>
      <c r="N956" s="1271">
        <v>8.2883457368196495E-3</v>
      </c>
      <c r="O956" s="1257">
        <v>3.0000008598028201E-3</v>
      </c>
      <c r="P956" s="1257">
        <v>8.3146537171171105E-3</v>
      </c>
      <c r="Q956" s="1280">
        <v>8.2883457368196495E-3</v>
      </c>
      <c r="R956" s="1271">
        <v>3.8500011034136201E-2</v>
      </c>
      <c r="S956" s="1257">
        <v>3.8500011034136201E-2</v>
      </c>
      <c r="T956" s="1257">
        <v>3.8500011034136201E-2</v>
      </c>
      <c r="U956" s="1280">
        <v>1.9250005517068101E-2</v>
      </c>
      <c r="V956" s="1293">
        <v>7.3223116464002404E-3</v>
      </c>
    </row>
    <row r="957" spans="1:22" s="212" customFormat="1" ht="15.5" x14ac:dyDescent="0.35">
      <c r="A957" s="198">
        <v>2032</v>
      </c>
      <c r="B957" s="197" t="s">
        <v>5833</v>
      </c>
      <c r="C957" s="197">
        <v>1980</v>
      </c>
      <c r="D957" s="225" t="str">
        <f t="shared" si="4"/>
        <v>2032_1980</v>
      </c>
      <c r="E957" s="1226">
        <v>6.9193595273458197E-2</v>
      </c>
      <c r="F957" s="1257">
        <v>1.29233788842915E-2</v>
      </c>
      <c r="G957" s="1280">
        <v>6.34435344935423E-2</v>
      </c>
      <c r="H957" s="1271">
        <v>0.38626467878408299</v>
      </c>
      <c r="I957" s="1257">
        <v>0.42144189474411498</v>
      </c>
      <c r="J957" s="1280">
        <v>0.11066223385656999</v>
      </c>
      <c r="K957" s="1271">
        <v>7.0055516858416704E-3</v>
      </c>
      <c r="L957" s="1257">
        <v>1.2229270587444301E-3</v>
      </c>
      <c r="M957" s="1280">
        <v>4.0928729727493198E-4</v>
      </c>
      <c r="N957" s="1271">
        <v>8.2883457368196495E-3</v>
      </c>
      <c r="O957" s="1257">
        <v>3.0000008598028201E-3</v>
      </c>
      <c r="P957" s="1257">
        <v>8.3146537171171105E-3</v>
      </c>
      <c r="Q957" s="1280">
        <v>8.2883457368196495E-3</v>
      </c>
      <c r="R957" s="1271">
        <v>3.8500011034136201E-2</v>
      </c>
      <c r="S957" s="1257">
        <v>3.8500011034136201E-2</v>
      </c>
      <c r="T957" s="1257">
        <v>3.8500011034136201E-2</v>
      </c>
      <c r="U957" s="1280">
        <v>1.9250005517068101E-2</v>
      </c>
      <c r="V957" s="1293">
        <v>7.3223116464002404E-3</v>
      </c>
    </row>
    <row r="958" spans="1:22" s="212" customFormat="1" ht="15.5" x14ac:dyDescent="0.35">
      <c r="A958" s="198">
        <v>2032</v>
      </c>
      <c r="B958" s="197" t="s">
        <v>5833</v>
      </c>
      <c r="C958" s="197">
        <v>1981</v>
      </c>
      <c r="D958" s="225" t="str">
        <f t="shared" si="4"/>
        <v>2032_1981</v>
      </c>
      <c r="E958" s="1226">
        <v>6.9193595273458197E-2</v>
      </c>
      <c r="F958" s="1257">
        <v>1.29233788842915E-2</v>
      </c>
      <c r="G958" s="1280">
        <v>6.34435344935423E-2</v>
      </c>
      <c r="H958" s="1271">
        <v>0.38626467878408299</v>
      </c>
      <c r="I958" s="1257">
        <v>0.42144189474411498</v>
      </c>
      <c r="J958" s="1280">
        <v>0.11066223385656999</v>
      </c>
      <c r="K958" s="1271">
        <v>7.0055516858416704E-3</v>
      </c>
      <c r="L958" s="1257">
        <v>1.2229270587444301E-3</v>
      </c>
      <c r="M958" s="1280">
        <v>4.0928729727493198E-4</v>
      </c>
      <c r="N958" s="1271">
        <v>8.2883457368196495E-3</v>
      </c>
      <c r="O958" s="1257">
        <v>3.0000008598028201E-3</v>
      </c>
      <c r="P958" s="1257">
        <v>8.3146537171171105E-3</v>
      </c>
      <c r="Q958" s="1280">
        <v>8.2883457368196495E-3</v>
      </c>
      <c r="R958" s="1271">
        <v>3.8500011034136201E-2</v>
      </c>
      <c r="S958" s="1257">
        <v>3.8500011034136201E-2</v>
      </c>
      <c r="T958" s="1257">
        <v>3.8500011034136201E-2</v>
      </c>
      <c r="U958" s="1280">
        <v>1.9250005517068101E-2</v>
      </c>
      <c r="V958" s="1293">
        <v>7.3223116464002404E-3</v>
      </c>
    </row>
    <row r="959" spans="1:22" s="212" customFormat="1" ht="15.5" x14ac:dyDescent="0.35">
      <c r="A959" s="198">
        <v>2032</v>
      </c>
      <c r="B959" s="197" t="s">
        <v>5833</v>
      </c>
      <c r="C959" s="197">
        <v>1982</v>
      </c>
      <c r="D959" s="225" t="str">
        <f t="shared" si="4"/>
        <v>2032_1982</v>
      </c>
      <c r="E959" s="1226">
        <v>6.9193595273458197E-2</v>
      </c>
      <c r="F959" s="1257">
        <v>1.29233788842915E-2</v>
      </c>
      <c r="G959" s="1280">
        <v>6.34435344935423E-2</v>
      </c>
      <c r="H959" s="1271">
        <v>0.38626467878408299</v>
      </c>
      <c r="I959" s="1257">
        <v>0.42144189474411498</v>
      </c>
      <c r="J959" s="1280">
        <v>0.11066223385656999</v>
      </c>
      <c r="K959" s="1271">
        <v>7.0055516858416704E-3</v>
      </c>
      <c r="L959" s="1257">
        <v>1.2229270587444301E-3</v>
      </c>
      <c r="M959" s="1280">
        <v>4.0928729727493198E-4</v>
      </c>
      <c r="N959" s="1271">
        <v>8.2883457368196495E-3</v>
      </c>
      <c r="O959" s="1257">
        <v>3.0000008598028201E-3</v>
      </c>
      <c r="P959" s="1257">
        <v>8.3146537171171105E-3</v>
      </c>
      <c r="Q959" s="1280">
        <v>8.2883457368196495E-3</v>
      </c>
      <c r="R959" s="1271">
        <v>3.8500011034136201E-2</v>
      </c>
      <c r="S959" s="1257">
        <v>3.8500011034136201E-2</v>
      </c>
      <c r="T959" s="1257">
        <v>3.8500011034136201E-2</v>
      </c>
      <c r="U959" s="1280">
        <v>1.9250005517068101E-2</v>
      </c>
      <c r="V959" s="1293">
        <v>7.3223116464002404E-3</v>
      </c>
    </row>
    <row r="960" spans="1:22" s="212" customFormat="1" ht="15.5" x14ac:dyDescent="0.35">
      <c r="A960" s="198">
        <v>2032</v>
      </c>
      <c r="B960" s="197" t="s">
        <v>5833</v>
      </c>
      <c r="C960" s="197">
        <v>1983</v>
      </c>
      <c r="D960" s="225" t="str">
        <f t="shared" si="4"/>
        <v>2032_1983</v>
      </c>
      <c r="E960" s="1226">
        <v>6.9193595273458197E-2</v>
      </c>
      <c r="F960" s="1257">
        <v>1.29233788842915E-2</v>
      </c>
      <c r="G960" s="1280">
        <v>6.34435344935423E-2</v>
      </c>
      <c r="H960" s="1271">
        <v>0.38626467878408299</v>
      </c>
      <c r="I960" s="1257">
        <v>0.42144189474411498</v>
      </c>
      <c r="J960" s="1280">
        <v>0.11066223385656999</v>
      </c>
      <c r="K960" s="1271">
        <v>7.0055516858416704E-3</v>
      </c>
      <c r="L960" s="1257">
        <v>1.2229270587444301E-3</v>
      </c>
      <c r="M960" s="1280">
        <v>4.0928729727493198E-4</v>
      </c>
      <c r="N960" s="1271">
        <v>8.2883457368196495E-3</v>
      </c>
      <c r="O960" s="1257">
        <v>3.0000008598028201E-3</v>
      </c>
      <c r="P960" s="1257">
        <v>8.3146537171171105E-3</v>
      </c>
      <c r="Q960" s="1280">
        <v>8.2883457368196495E-3</v>
      </c>
      <c r="R960" s="1271">
        <v>3.8500011034136201E-2</v>
      </c>
      <c r="S960" s="1257">
        <v>3.8500011034136201E-2</v>
      </c>
      <c r="T960" s="1257">
        <v>3.8500011034136201E-2</v>
      </c>
      <c r="U960" s="1280">
        <v>1.9250005517068101E-2</v>
      </c>
      <c r="V960" s="1293">
        <v>7.3223116464002404E-3</v>
      </c>
    </row>
    <row r="961" spans="1:22" s="212" customFormat="1" ht="15.5" x14ac:dyDescent="0.35">
      <c r="A961" s="198">
        <v>2032</v>
      </c>
      <c r="B961" s="197" t="s">
        <v>5833</v>
      </c>
      <c r="C961" s="197">
        <v>1984</v>
      </c>
      <c r="D961" s="225" t="str">
        <f t="shared" si="4"/>
        <v>2032_1984</v>
      </c>
      <c r="E961" s="1226">
        <v>6.9193595273458197E-2</v>
      </c>
      <c r="F961" s="1257">
        <v>1.29233788842915E-2</v>
      </c>
      <c r="G961" s="1280">
        <v>6.34435344935423E-2</v>
      </c>
      <c r="H961" s="1271">
        <v>0.38626467878408299</v>
      </c>
      <c r="I961" s="1257">
        <v>0.42144189474411498</v>
      </c>
      <c r="J961" s="1280">
        <v>0.11066223385656999</v>
      </c>
      <c r="K961" s="1271">
        <v>7.0055516858416704E-3</v>
      </c>
      <c r="L961" s="1257">
        <v>1.2229270587444301E-3</v>
      </c>
      <c r="M961" s="1280">
        <v>4.0928729727493198E-4</v>
      </c>
      <c r="N961" s="1271">
        <v>8.2883457368196495E-3</v>
      </c>
      <c r="O961" s="1257">
        <v>3.0000008598028201E-3</v>
      </c>
      <c r="P961" s="1257">
        <v>8.3146537171171105E-3</v>
      </c>
      <c r="Q961" s="1280">
        <v>8.2883457368196495E-3</v>
      </c>
      <c r="R961" s="1271">
        <v>3.8500011034136201E-2</v>
      </c>
      <c r="S961" s="1257">
        <v>3.8500011034136201E-2</v>
      </c>
      <c r="T961" s="1257">
        <v>3.8500011034136201E-2</v>
      </c>
      <c r="U961" s="1280">
        <v>1.9250005517068101E-2</v>
      </c>
      <c r="V961" s="1293">
        <v>7.3223116464002404E-3</v>
      </c>
    </row>
    <row r="962" spans="1:22" s="212" customFormat="1" ht="15.5" x14ac:dyDescent="0.35">
      <c r="A962" s="198">
        <v>2032</v>
      </c>
      <c r="B962" s="197" t="s">
        <v>5833</v>
      </c>
      <c r="C962" s="197">
        <v>1985</v>
      </c>
      <c r="D962" s="225" t="str">
        <f t="shared" si="4"/>
        <v>2032_1985</v>
      </c>
      <c r="E962" s="1226">
        <v>6.9193595273458197E-2</v>
      </c>
      <c r="F962" s="1257">
        <v>1.29233788842915E-2</v>
      </c>
      <c r="G962" s="1280">
        <v>6.34435344935423E-2</v>
      </c>
      <c r="H962" s="1271">
        <v>0.38626467878408299</v>
      </c>
      <c r="I962" s="1257">
        <v>0.42144189474411498</v>
      </c>
      <c r="J962" s="1280">
        <v>0.11066223385656999</v>
      </c>
      <c r="K962" s="1271">
        <v>7.0055516858416704E-3</v>
      </c>
      <c r="L962" s="1257">
        <v>1.2229270587444301E-3</v>
      </c>
      <c r="M962" s="1280">
        <v>4.0928729727493198E-4</v>
      </c>
      <c r="N962" s="1271">
        <v>8.2883457368196495E-3</v>
      </c>
      <c r="O962" s="1257">
        <v>3.0000008598028201E-3</v>
      </c>
      <c r="P962" s="1257">
        <v>8.3146537171171105E-3</v>
      </c>
      <c r="Q962" s="1280">
        <v>8.2883457368196495E-3</v>
      </c>
      <c r="R962" s="1271">
        <v>3.8500011034136201E-2</v>
      </c>
      <c r="S962" s="1257">
        <v>3.8500011034136201E-2</v>
      </c>
      <c r="T962" s="1257">
        <v>3.8500011034136201E-2</v>
      </c>
      <c r="U962" s="1280">
        <v>1.9250005517068101E-2</v>
      </c>
      <c r="V962" s="1293">
        <v>7.3223116464002404E-3</v>
      </c>
    </row>
    <row r="963" spans="1:22" s="212" customFormat="1" ht="15.5" x14ac:dyDescent="0.35">
      <c r="A963" s="198">
        <v>2032</v>
      </c>
      <c r="B963" s="197" t="s">
        <v>5833</v>
      </c>
      <c r="C963" s="197">
        <v>1986</v>
      </c>
      <c r="D963" s="225" t="str">
        <f t="shared" si="4"/>
        <v>2032_1986</v>
      </c>
      <c r="E963" s="1226">
        <v>6.9193595273458197E-2</v>
      </c>
      <c r="F963" s="1257">
        <v>1.29233788842915E-2</v>
      </c>
      <c r="G963" s="1280">
        <v>6.34435344935423E-2</v>
      </c>
      <c r="H963" s="1271">
        <v>0.38626467878408299</v>
      </c>
      <c r="I963" s="1257">
        <v>0.42144189474411498</v>
      </c>
      <c r="J963" s="1280">
        <v>0.11066223385656999</v>
      </c>
      <c r="K963" s="1271">
        <v>7.0055516858416704E-3</v>
      </c>
      <c r="L963" s="1257">
        <v>1.2229270587444301E-3</v>
      </c>
      <c r="M963" s="1280">
        <v>4.0928729727493198E-4</v>
      </c>
      <c r="N963" s="1271">
        <v>8.2883457368196495E-3</v>
      </c>
      <c r="O963" s="1257">
        <v>3.0000008598028201E-3</v>
      </c>
      <c r="P963" s="1257">
        <v>8.3146537171171105E-3</v>
      </c>
      <c r="Q963" s="1280">
        <v>8.2883457368196495E-3</v>
      </c>
      <c r="R963" s="1271">
        <v>3.8500011034136201E-2</v>
      </c>
      <c r="S963" s="1257">
        <v>3.8500011034136201E-2</v>
      </c>
      <c r="T963" s="1257">
        <v>3.8500011034136201E-2</v>
      </c>
      <c r="U963" s="1280">
        <v>1.9250005517068101E-2</v>
      </c>
      <c r="V963" s="1293">
        <v>7.3223116464002404E-3</v>
      </c>
    </row>
    <row r="964" spans="1:22" s="212" customFormat="1" ht="15.5" x14ac:dyDescent="0.35">
      <c r="A964" s="198">
        <v>2032</v>
      </c>
      <c r="B964" s="197" t="s">
        <v>5833</v>
      </c>
      <c r="C964" s="197">
        <v>1987</v>
      </c>
      <c r="D964" s="225" t="str">
        <f t="shared" si="4"/>
        <v>2032_1987</v>
      </c>
      <c r="E964" s="1226">
        <v>6.9193595273458197E-2</v>
      </c>
      <c r="F964" s="1257">
        <v>1.29233788842915E-2</v>
      </c>
      <c r="G964" s="1280">
        <v>6.34435344935423E-2</v>
      </c>
      <c r="H964" s="1271">
        <v>0.38626467878408299</v>
      </c>
      <c r="I964" s="1257">
        <v>0.42144189474411498</v>
      </c>
      <c r="J964" s="1280">
        <v>0.11066223385656999</v>
      </c>
      <c r="K964" s="1271">
        <v>7.0055516858416704E-3</v>
      </c>
      <c r="L964" s="1257">
        <v>1.2229270587444301E-3</v>
      </c>
      <c r="M964" s="1280">
        <v>4.0928729727493198E-4</v>
      </c>
      <c r="N964" s="1271">
        <v>8.2883457368196495E-3</v>
      </c>
      <c r="O964" s="1257">
        <v>3.0000008598028201E-3</v>
      </c>
      <c r="P964" s="1257">
        <v>8.3146537171171105E-3</v>
      </c>
      <c r="Q964" s="1280">
        <v>8.2883457368196495E-3</v>
      </c>
      <c r="R964" s="1271">
        <v>3.8500011034136201E-2</v>
      </c>
      <c r="S964" s="1257">
        <v>3.8500011034136201E-2</v>
      </c>
      <c r="T964" s="1257">
        <v>3.8500011034136201E-2</v>
      </c>
      <c r="U964" s="1280">
        <v>1.9250005517068101E-2</v>
      </c>
      <c r="V964" s="1293">
        <v>7.3223116464002404E-3</v>
      </c>
    </row>
    <row r="965" spans="1:22" s="212" customFormat="1" ht="15.5" x14ac:dyDescent="0.35">
      <c r="A965" s="198">
        <v>2032</v>
      </c>
      <c r="B965" s="197" t="s">
        <v>5833</v>
      </c>
      <c r="C965" s="197">
        <v>1988</v>
      </c>
      <c r="D965" s="225" t="str">
        <f t="shared" ref="D965:D1273" si="5">CONCATENATE(A965,"_",C965)</f>
        <v>2032_1988</v>
      </c>
      <c r="E965" s="1226">
        <v>6.9193595273458197E-2</v>
      </c>
      <c r="F965" s="1257">
        <v>1.29233788842915E-2</v>
      </c>
      <c r="G965" s="1280">
        <v>6.34435344935423E-2</v>
      </c>
      <c r="H965" s="1271">
        <v>0.38626467878408299</v>
      </c>
      <c r="I965" s="1257">
        <v>0.42144189474411498</v>
      </c>
      <c r="J965" s="1280">
        <v>0.11066223385656999</v>
      </c>
      <c r="K965" s="1271">
        <v>7.0055516858416704E-3</v>
      </c>
      <c r="L965" s="1257">
        <v>1.2229270587444301E-3</v>
      </c>
      <c r="M965" s="1280">
        <v>4.0928729727493198E-4</v>
      </c>
      <c r="N965" s="1271">
        <v>8.2883457368196495E-3</v>
      </c>
      <c r="O965" s="1257">
        <v>3.0000008598028201E-3</v>
      </c>
      <c r="P965" s="1257">
        <v>8.3146537171171105E-3</v>
      </c>
      <c r="Q965" s="1280">
        <v>8.2883457368196495E-3</v>
      </c>
      <c r="R965" s="1271">
        <v>3.8500011034136201E-2</v>
      </c>
      <c r="S965" s="1257">
        <v>3.8500011034136201E-2</v>
      </c>
      <c r="T965" s="1257">
        <v>3.8500011034136201E-2</v>
      </c>
      <c r="U965" s="1280">
        <v>1.9250005517068101E-2</v>
      </c>
      <c r="V965" s="1293">
        <v>7.3223116464002404E-3</v>
      </c>
    </row>
    <row r="966" spans="1:22" s="212" customFormat="1" ht="15.5" x14ac:dyDescent="0.35">
      <c r="A966" s="198">
        <v>2032</v>
      </c>
      <c r="B966" s="197" t="s">
        <v>5833</v>
      </c>
      <c r="C966" s="197">
        <v>1989</v>
      </c>
      <c r="D966" s="225" t="str">
        <f t="shared" si="5"/>
        <v>2032_1989</v>
      </c>
      <c r="E966" s="1226">
        <v>6.9193595273458197E-2</v>
      </c>
      <c r="F966" s="1257">
        <v>1.29233788842915E-2</v>
      </c>
      <c r="G966" s="1280">
        <v>6.34435344935423E-2</v>
      </c>
      <c r="H966" s="1271">
        <v>0.38626467878408299</v>
      </c>
      <c r="I966" s="1257">
        <v>0.42144189474411498</v>
      </c>
      <c r="J966" s="1280">
        <v>0.11066223385656999</v>
      </c>
      <c r="K966" s="1271">
        <v>7.0055516858416704E-3</v>
      </c>
      <c r="L966" s="1257">
        <v>1.2229270587444301E-3</v>
      </c>
      <c r="M966" s="1280">
        <v>4.0928729727493198E-4</v>
      </c>
      <c r="N966" s="1271">
        <v>8.2883457368196495E-3</v>
      </c>
      <c r="O966" s="1257">
        <v>3.0000008598028201E-3</v>
      </c>
      <c r="P966" s="1257">
        <v>8.3146537171171105E-3</v>
      </c>
      <c r="Q966" s="1280">
        <v>8.2883457368196495E-3</v>
      </c>
      <c r="R966" s="1271">
        <v>3.8500011034136201E-2</v>
      </c>
      <c r="S966" s="1257">
        <v>3.8500011034136201E-2</v>
      </c>
      <c r="T966" s="1257">
        <v>3.8500011034136201E-2</v>
      </c>
      <c r="U966" s="1280">
        <v>1.9250005517068101E-2</v>
      </c>
      <c r="V966" s="1293">
        <v>7.3223116464002404E-3</v>
      </c>
    </row>
    <row r="967" spans="1:22" s="212" customFormat="1" ht="15.5" x14ac:dyDescent="0.35">
      <c r="A967" s="198">
        <v>2032</v>
      </c>
      <c r="B967" s="197" t="s">
        <v>5833</v>
      </c>
      <c r="C967" s="197">
        <v>1990</v>
      </c>
      <c r="D967" s="225" t="str">
        <f t="shared" si="5"/>
        <v>2032_1990</v>
      </c>
      <c r="E967" s="1226">
        <v>6.9193595273458197E-2</v>
      </c>
      <c r="F967" s="1257">
        <v>1.29233788842915E-2</v>
      </c>
      <c r="G967" s="1280">
        <v>6.34435344935423E-2</v>
      </c>
      <c r="H967" s="1271">
        <v>0.38626467878408299</v>
      </c>
      <c r="I967" s="1257">
        <v>0.42144189474411498</v>
      </c>
      <c r="J967" s="1280">
        <v>0.11066223385656999</v>
      </c>
      <c r="K967" s="1271">
        <v>7.0055516858416704E-3</v>
      </c>
      <c r="L967" s="1257">
        <v>1.2229270587444301E-3</v>
      </c>
      <c r="M967" s="1280">
        <v>4.0928729727493198E-4</v>
      </c>
      <c r="N967" s="1271">
        <v>8.2883457368196495E-3</v>
      </c>
      <c r="O967" s="1257">
        <v>3.0000008598028201E-3</v>
      </c>
      <c r="P967" s="1257">
        <v>8.3146537171171105E-3</v>
      </c>
      <c r="Q967" s="1280">
        <v>8.2883457368196495E-3</v>
      </c>
      <c r="R967" s="1271">
        <v>3.8500011034136201E-2</v>
      </c>
      <c r="S967" s="1257">
        <v>3.8500011034136201E-2</v>
      </c>
      <c r="T967" s="1257">
        <v>3.8500011034136201E-2</v>
      </c>
      <c r="U967" s="1280">
        <v>1.9250005517068101E-2</v>
      </c>
      <c r="V967" s="1293">
        <v>7.3223116464002404E-3</v>
      </c>
    </row>
    <row r="968" spans="1:22" s="212" customFormat="1" ht="15.5" x14ac:dyDescent="0.35">
      <c r="A968" s="198">
        <v>2032</v>
      </c>
      <c r="B968" s="197" t="s">
        <v>5833</v>
      </c>
      <c r="C968" s="197">
        <v>1991</v>
      </c>
      <c r="D968" s="225" t="str">
        <f t="shared" si="5"/>
        <v>2032_1991</v>
      </c>
      <c r="E968" s="1226">
        <v>6.9193595273458197E-2</v>
      </c>
      <c r="F968" s="1257">
        <v>1.29233788842915E-2</v>
      </c>
      <c r="G968" s="1280">
        <v>6.34435344935423E-2</v>
      </c>
      <c r="H968" s="1271">
        <v>0.38626467878408299</v>
      </c>
      <c r="I968" s="1257">
        <v>0.42144189474411498</v>
      </c>
      <c r="J968" s="1280">
        <v>0.11066223385656999</v>
      </c>
      <c r="K968" s="1271">
        <v>7.0055516858416704E-3</v>
      </c>
      <c r="L968" s="1257">
        <v>1.2229270587444301E-3</v>
      </c>
      <c r="M968" s="1280">
        <v>4.0928729727493198E-4</v>
      </c>
      <c r="N968" s="1271">
        <v>8.2883457368196495E-3</v>
      </c>
      <c r="O968" s="1257">
        <v>3.0000008598028201E-3</v>
      </c>
      <c r="P968" s="1257">
        <v>8.3146537171171105E-3</v>
      </c>
      <c r="Q968" s="1280">
        <v>8.2883457368196495E-3</v>
      </c>
      <c r="R968" s="1271">
        <v>3.8500011034136201E-2</v>
      </c>
      <c r="S968" s="1257">
        <v>3.8500011034136201E-2</v>
      </c>
      <c r="T968" s="1257">
        <v>3.8500011034136201E-2</v>
      </c>
      <c r="U968" s="1280">
        <v>1.9250005517068101E-2</v>
      </c>
      <c r="V968" s="1293">
        <v>7.3223116464002404E-3</v>
      </c>
    </row>
    <row r="969" spans="1:22" s="212" customFormat="1" ht="15.5" x14ac:dyDescent="0.35">
      <c r="A969" s="198">
        <v>2032</v>
      </c>
      <c r="B969" s="197" t="s">
        <v>5833</v>
      </c>
      <c r="C969" s="197">
        <v>1992</v>
      </c>
      <c r="D969" s="225" t="str">
        <f t="shared" si="5"/>
        <v>2032_1992</v>
      </c>
      <c r="E969" s="1226">
        <v>6.9193595273458197E-2</v>
      </c>
      <c r="F969" s="1257">
        <v>1.29233788842915E-2</v>
      </c>
      <c r="G969" s="1280">
        <v>6.34435344935423E-2</v>
      </c>
      <c r="H969" s="1271">
        <v>0.38626467878408299</v>
      </c>
      <c r="I969" s="1257">
        <v>0.42144189474411498</v>
      </c>
      <c r="J969" s="1280">
        <v>0.11066223385656999</v>
      </c>
      <c r="K969" s="1271">
        <v>7.0055516858416704E-3</v>
      </c>
      <c r="L969" s="1257">
        <v>1.2229270587444301E-3</v>
      </c>
      <c r="M969" s="1280">
        <v>4.0928729727493198E-4</v>
      </c>
      <c r="N969" s="1271">
        <v>8.2883457368196495E-3</v>
      </c>
      <c r="O969" s="1257">
        <v>3.0000008598028201E-3</v>
      </c>
      <c r="P969" s="1257">
        <v>8.3146537171171105E-3</v>
      </c>
      <c r="Q969" s="1280">
        <v>8.2883457368196495E-3</v>
      </c>
      <c r="R969" s="1271">
        <v>3.8500011034136201E-2</v>
      </c>
      <c r="S969" s="1257">
        <v>3.8500011034136201E-2</v>
      </c>
      <c r="T969" s="1257">
        <v>3.8500011034136201E-2</v>
      </c>
      <c r="U969" s="1280">
        <v>1.9250005517068101E-2</v>
      </c>
      <c r="V969" s="1293">
        <v>7.3223116464002404E-3</v>
      </c>
    </row>
    <row r="970" spans="1:22" s="212" customFormat="1" ht="15.5" x14ac:dyDescent="0.35">
      <c r="A970" s="198">
        <v>2032</v>
      </c>
      <c r="B970" s="197" t="s">
        <v>5833</v>
      </c>
      <c r="C970" s="197">
        <v>1993</v>
      </c>
      <c r="D970" s="225" t="str">
        <f t="shared" si="5"/>
        <v>2032_1993</v>
      </c>
      <c r="E970" s="1226">
        <v>6.9193595273458197E-2</v>
      </c>
      <c r="F970" s="1257">
        <v>1.29233788842915E-2</v>
      </c>
      <c r="G970" s="1280">
        <v>6.34435344935423E-2</v>
      </c>
      <c r="H970" s="1271">
        <v>0.38626467878408299</v>
      </c>
      <c r="I970" s="1257">
        <v>0.42144189474411498</v>
      </c>
      <c r="J970" s="1280">
        <v>0.11066223385656999</v>
      </c>
      <c r="K970" s="1271">
        <v>7.0055516858416704E-3</v>
      </c>
      <c r="L970" s="1257">
        <v>1.2229270587444301E-3</v>
      </c>
      <c r="M970" s="1280">
        <v>4.0928729727493198E-4</v>
      </c>
      <c r="N970" s="1271">
        <v>8.2883457368196495E-3</v>
      </c>
      <c r="O970" s="1257">
        <v>3.0000008598028201E-3</v>
      </c>
      <c r="P970" s="1257">
        <v>8.3146537171171105E-3</v>
      </c>
      <c r="Q970" s="1280">
        <v>8.2883457368196495E-3</v>
      </c>
      <c r="R970" s="1271">
        <v>3.8500011034136201E-2</v>
      </c>
      <c r="S970" s="1257">
        <v>3.8500011034136201E-2</v>
      </c>
      <c r="T970" s="1257">
        <v>3.8500011034136201E-2</v>
      </c>
      <c r="U970" s="1280">
        <v>1.9250005517068101E-2</v>
      </c>
      <c r="V970" s="1293">
        <v>7.3223116464002404E-3</v>
      </c>
    </row>
    <row r="971" spans="1:22" s="212" customFormat="1" ht="15.5" x14ac:dyDescent="0.35">
      <c r="A971" s="198">
        <v>2032</v>
      </c>
      <c r="B971" s="197" t="s">
        <v>5833</v>
      </c>
      <c r="C971" s="197">
        <v>1994</v>
      </c>
      <c r="D971" s="225" t="str">
        <f t="shared" si="5"/>
        <v>2032_1994</v>
      </c>
      <c r="E971" s="1226">
        <v>6.9193595273458197E-2</v>
      </c>
      <c r="F971" s="1257">
        <v>1.29233788842915E-2</v>
      </c>
      <c r="G971" s="1280">
        <v>6.34435344935423E-2</v>
      </c>
      <c r="H971" s="1271">
        <v>0.38626467878408299</v>
      </c>
      <c r="I971" s="1257">
        <v>0.42144189474411498</v>
      </c>
      <c r="J971" s="1280">
        <v>0.11066223385656999</v>
      </c>
      <c r="K971" s="1271">
        <v>7.0055516858416704E-3</v>
      </c>
      <c r="L971" s="1257">
        <v>1.2229270587444301E-3</v>
      </c>
      <c r="M971" s="1280">
        <v>4.0928729727493198E-4</v>
      </c>
      <c r="N971" s="1271">
        <v>8.2883457368196495E-3</v>
      </c>
      <c r="O971" s="1257">
        <v>3.0000008598028201E-3</v>
      </c>
      <c r="P971" s="1257">
        <v>8.3146537171171105E-3</v>
      </c>
      <c r="Q971" s="1280">
        <v>8.2883457368196495E-3</v>
      </c>
      <c r="R971" s="1271">
        <v>3.8500011034136201E-2</v>
      </c>
      <c r="S971" s="1257">
        <v>3.8500011034136201E-2</v>
      </c>
      <c r="T971" s="1257">
        <v>3.8500011034136201E-2</v>
      </c>
      <c r="U971" s="1280">
        <v>1.9250005517068101E-2</v>
      </c>
      <c r="V971" s="1293">
        <v>7.3223116464002404E-3</v>
      </c>
    </row>
    <row r="972" spans="1:22" s="212" customFormat="1" ht="15.5" x14ac:dyDescent="0.35">
      <c r="A972" s="198">
        <v>2032</v>
      </c>
      <c r="B972" s="197" t="s">
        <v>5833</v>
      </c>
      <c r="C972" s="197">
        <v>1995</v>
      </c>
      <c r="D972" s="225" t="str">
        <f t="shared" si="5"/>
        <v>2032_1995</v>
      </c>
      <c r="E972" s="1226">
        <v>6.9193595273458197E-2</v>
      </c>
      <c r="F972" s="1257">
        <v>1.29233788842915E-2</v>
      </c>
      <c r="G972" s="1280">
        <v>6.34435344935423E-2</v>
      </c>
      <c r="H972" s="1271">
        <v>0.38626467878408299</v>
      </c>
      <c r="I972" s="1257">
        <v>0.42144189474411498</v>
      </c>
      <c r="J972" s="1280">
        <v>0.11066223385656999</v>
      </c>
      <c r="K972" s="1271">
        <v>7.0055516858416704E-3</v>
      </c>
      <c r="L972" s="1257">
        <v>1.2229270587444301E-3</v>
      </c>
      <c r="M972" s="1280">
        <v>4.0928729727493198E-4</v>
      </c>
      <c r="N972" s="1271">
        <v>8.2883457368196495E-3</v>
      </c>
      <c r="O972" s="1257">
        <v>3.0000008598028201E-3</v>
      </c>
      <c r="P972" s="1257">
        <v>8.3146537171171105E-3</v>
      </c>
      <c r="Q972" s="1280">
        <v>8.2883457368196495E-3</v>
      </c>
      <c r="R972" s="1271">
        <v>3.8500011034136201E-2</v>
      </c>
      <c r="S972" s="1257">
        <v>3.8500011034136201E-2</v>
      </c>
      <c r="T972" s="1257">
        <v>3.8500011034136201E-2</v>
      </c>
      <c r="U972" s="1280">
        <v>1.9250005517068101E-2</v>
      </c>
      <c r="V972" s="1293">
        <v>7.3223116464002404E-3</v>
      </c>
    </row>
    <row r="973" spans="1:22" s="212" customFormat="1" ht="15.5" x14ac:dyDescent="0.35">
      <c r="A973" s="198">
        <v>2032</v>
      </c>
      <c r="B973" s="197" t="s">
        <v>5833</v>
      </c>
      <c r="C973" s="197">
        <v>1996</v>
      </c>
      <c r="D973" s="225" t="str">
        <f t="shared" si="5"/>
        <v>2032_1996</v>
      </c>
      <c r="E973" s="1226">
        <v>6.9193595273458197E-2</v>
      </c>
      <c r="F973" s="1257">
        <v>1.29233788842915E-2</v>
      </c>
      <c r="G973" s="1280">
        <v>6.34435344935423E-2</v>
      </c>
      <c r="H973" s="1271">
        <v>0.38626467878408299</v>
      </c>
      <c r="I973" s="1257">
        <v>0.42144189474411498</v>
      </c>
      <c r="J973" s="1280">
        <v>0.11066223385656999</v>
      </c>
      <c r="K973" s="1271">
        <v>7.0055516858416704E-3</v>
      </c>
      <c r="L973" s="1257">
        <v>1.2229270587444301E-3</v>
      </c>
      <c r="M973" s="1280">
        <v>4.0928729727493198E-4</v>
      </c>
      <c r="N973" s="1271">
        <v>8.2883457368196495E-3</v>
      </c>
      <c r="O973" s="1257">
        <v>3.0000008598028201E-3</v>
      </c>
      <c r="P973" s="1257">
        <v>8.3146537171171105E-3</v>
      </c>
      <c r="Q973" s="1280">
        <v>8.2883457368196495E-3</v>
      </c>
      <c r="R973" s="1271">
        <v>3.8500011034136201E-2</v>
      </c>
      <c r="S973" s="1257">
        <v>3.8500011034136201E-2</v>
      </c>
      <c r="T973" s="1257">
        <v>3.8500011034136201E-2</v>
      </c>
      <c r="U973" s="1280">
        <v>1.9250005517068101E-2</v>
      </c>
      <c r="V973" s="1293">
        <v>7.3223116464002404E-3</v>
      </c>
    </row>
    <row r="974" spans="1:22" s="212" customFormat="1" ht="15.5" x14ac:dyDescent="0.35">
      <c r="A974" s="198">
        <v>2032</v>
      </c>
      <c r="B974" s="197" t="s">
        <v>5833</v>
      </c>
      <c r="C974" s="197">
        <v>1997</v>
      </c>
      <c r="D974" s="225" t="str">
        <f t="shared" si="5"/>
        <v>2032_1997</v>
      </c>
      <c r="E974" s="1226">
        <v>6.9193595273458197E-2</v>
      </c>
      <c r="F974" s="1257">
        <v>1.29233788842915E-2</v>
      </c>
      <c r="G974" s="1280">
        <v>6.34435344935423E-2</v>
      </c>
      <c r="H974" s="1271">
        <v>0.38626467878408299</v>
      </c>
      <c r="I974" s="1257">
        <v>0.42144189474411498</v>
      </c>
      <c r="J974" s="1280">
        <v>0.11066223385656999</v>
      </c>
      <c r="K974" s="1271">
        <v>7.0055516858416704E-3</v>
      </c>
      <c r="L974" s="1257">
        <v>1.2229270587444301E-3</v>
      </c>
      <c r="M974" s="1280">
        <v>4.0928729727493198E-4</v>
      </c>
      <c r="N974" s="1271">
        <v>8.2883457368196495E-3</v>
      </c>
      <c r="O974" s="1257">
        <v>3.0000008598028201E-3</v>
      </c>
      <c r="P974" s="1257">
        <v>8.3146537171171105E-3</v>
      </c>
      <c r="Q974" s="1280">
        <v>8.2883457368196495E-3</v>
      </c>
      <c r="R974" s="1271">
        <v>3.8500011034136201E-2</v>
      </c>
      <c r="S974" s="1257">
        <v>3.8500011034136201E-2</v>
      </c>
      <c r="T974" s="1257">
        <v>3.8500011034136201E-2</v>
      </c>
      <c r="U974" s="1280">
        <v>1.9250005517068101E-2</v>
      </c>
      <c r="V974" s="1293">
        <v>7.3223116464002404E-3</v>
      </c>
    </row>
    <row r="975" spans="1:22" s="212" customFormat="1" ht="15.5" x14ac:dyDescent="0.35">
      <c r="A975" s="198">
        <v>2032</v>
      </c>
      <c r="B975" s="197" t="s">
        <v>5833</v>
      </c>
      <c r="C975" s="197">
        <v>1998</v>
      </c>
      <c r="D975" s="225" t="str">
        <f t="shared" si="5"/>
        <v>2032_1998</v>
      </c>
      <c r="E975" s="1226">
        <v>6.9193595273458197E-2</v>
      </c>
      <c r="F975" s="1257">
        <v>1.29233788842915E-2</v>
      </c>
      <c r="G975" s="1280">
        <v>6.34435344935423E-2</v>
      </c>
      <c r="H975" s="1271">
        <v>0.38626467878408299</v>
      </c>
      <c r="I975" s="1257">
        <v>0.42144189474411498</v>
      </c>
      <c r="J975" s="1280">
        <v>0.11066223385656999</v>
      </c>
      <c r="K975" s="1271">
        <v>7.0055516858416704E-3</v>
      </c>
      <c r="L975" s="1257">
        <v>1.2229270587444301E-3</v>
      </c>
      <c r="M975" s="1280">
        <v>4.0928729727493198E-4</v>
      </c>
      <c r="N975" s="1271">
        <v>8.2883457368196495E-3</v>
      </c>
      <c r="O975" s="1257">
        <v>3.0000008598028201E-3</v>
      </c>
      <c r="P975" s="1257">
        <v>8.3146537171171105E-3</v>
      </c>
      <c r="Q975" s="1280">
        <v>8.2883457368196495E-3</v>
      </c>
      <c r="R975" s="1271">
        <v>3.8500011034136201E-2</v>
      </c>
      <c r="S975" s="1257">
        <v>3.8500011034136201E-2</v>
      </c>
      <c r="T975" s="1257">
        <v>3.8500011034136201E-2</v>
      </c>
      <c r="U975" s="1280">
        <v>1.9250005517068101E-2</v>
      </c>
      <c r="V975" s="1293">
        <v>7.3223116464002404E-3</v>
      </c>
    </row>
    <row r="976" spans="1:22" s="212" customFormat="1" ht="15.5" x14ac:dyDescent="0.35">
      <c r="A976" s="198">
        <v>2032</v>
      </c>
      <c r="B976" s="197" t="s">
        <v>5833</v>
      </c>
      <c r="C976" s="197">
        <v>1999</v>
      </c>
      <c r="D976" s="225" t="str">
        <f t="shared" si="5"/>
        <v>2032_1999</v>
      </c>
      <c r="E976" s="1226">
        <v>6.9193595273458197E-2</v>
      </c>
      <c r="F976" s="1257">
        <v>1.29233788842915E-2</v>
      </c>
      <c r="G976" s="1280">
        <v>6.34435344935423E-2</v>
      </c>
      <c r="H976" s="1271">
        <v>0.38626467878408299</v>
      </c>
      <c r="I976" s="1257">
        <v>0.42144189474411498</v>
      </c>
      <c r="J976" s="1280">
        <v>0.11066223385656999</v>
      </c>
      <c r="K976" s="1271">
        <v>7.0055516858416704E-3</v>
      </c>
      <c r="L976" s="1257">
        <v>1.2229270587444301E-3</v>
      </c>
      <c r="M976" s="1280">
        <v>4.0928729727493198E-4</v>
      </c>
      <c r="N976" s="1271">
        <v>8.2883457368196495E-3</v>
      </c>
      <c r="O976" s="1257">
        <v>3.0000008598028201E-3</v>
      </c>
      <c r="P976" s="1257">
        <v>8.3146537171171105E-3</v>
      </c>
      <c r="Q976" s="1280">
        <v>8.2883457368196495E-3</v>
      </c>
      <c r="R976" s="1271">
        <v>3.8500011034136201E-2</v>
      </c>
      <c r="S976" s="1257">
        <v>3.8500011034136201E-2</v>
      </c>
      <c r="T976" s="1257">
        <v>3.8500011034136201E-2</v>
      </c>
      <c r="U976" s="1280">
        <v>1.9250005517068101E-2</v>
      </c>
      <c r="V976" s="1293">
        <v>7.3223116464002404E-3</v>
      </c>
    </row>
    <row r="977" spans="1:22" s="212" customFormat="1" ht="15.5" x14ac:dyDescent="0.35">
      <c r="A977" s="198">
        <v>2032</v>
      </c>
      <c r="B977" s="197" t="s">
        <v>5833</v>
      </c>
      <c r="C977" s="197">
        <v>2000</v>
      </c>
      <c r="D977" s="225" t="str">
        <f t="shared" si="5"/>
        <v>2032_2000</v>
      </c>
      <c r="E977" s="1226">
        <v>6.9193595273458197E-2</v>
      </c>
      <c r="F977" s="1257">
        <v>1.29233788842915E-2</v>
      </c>
      <c r="G977" s="1280">
        <v>6.34435344935423E-2</v>
      </c>
      <c r="H977" s="1271">
        <v>0.38626467878408299</v>
      </c>
      <c r="I977" s="1257">
        <v>0.42144189474411498</v>
      </c>
      <c r="J977" s="1280">
        <v>0.11066223385656999</v>
      </c>
      <c r="K977" s="1271">
        <v>7.0055516858416704E-3</v>
      </c>
      <c r="L977" s="1257">
        <v>1.2229270587444301E-3</v>
      </c>
      <c r="M977" s="1280">
        <v>4.0928729727493198E-4</v>
      </c>
      <c r="N977" s="1271">
        <v>8.2883457368196495E-3</v>
      </c>
      <c r="O977" s="1257">
        <v>3.0000008598028201E-3</v>
      </c>
      <c r="P977" s="1257">
        <v>8.3146537171171105E-3</v>
      </c>
      <c r="Q977" s="1280">
        <v>8.2883457368196495E-3</v>
      </c>
      <c r="R977" s="1271">
        <v>3.8500011034136201E-2</v>
      </c>
      <c r="S977" s="1257">
        <v>3.8500011034136201E-2</v>
      </c>
      <c r="T977" s="1257">
        <v>3.8500011034136201E-2</v>
      </c>
      <c r="U977" s="1280">
        <v>1.9250005517068101E-2</v>
      </c>
      <c r="V977" s="1293">
        <v>7.3223116464002404E-3</v>
      </c>
    </row>
    <row r="978" spans="1:22" s="212" customFormat="1" ht="15.5" x14ac:dyDescent="0.35">
      <c r="A978" s="198">
        <v>2032</v>
      </c>
      <c r="B978" s="197" t="s">
        <v>5833</v>
      </c>
      <c r="C978" s="197">
        <v>2001</v>
      </c>
      <c r="D978" s="225" t="str">
        <f t="shared" si="5"/>
        <v>2032_2001</v>
      </c>
      <c r="E978" s="1226">
        <v>6.9193595273458197E-2</v>
      </c>
      <c r="F978" s="1257">
        <v>1.29233788842915E-2</v>
      </c>
      <c r="G978" s="1280">
        <v>6.34435344935423E-2</v>
      </c>
      <c r="H978" s="1271">
        <v>0.38626467878408299</v>
      </c>
      <c r="I978" s="1257">
        <v>0.42144189474411498</v>
      </c>
      <c r="J978" s="1280">
        <v>0.11066223385656999</v>
      </c>
      <c r="K978" s="1271">
        <v>7.0055516858416704E-3</v>
      </c>
      <c r="L978" s="1257">
        <v>1.2229270587444301E-3</v>
      </c>
      <c r="M978" s="1280">
        <v>4.0928729727493198E-4</v>
      </c>
      <c r="N978" s="1271">
        <v>8.2883457368196495E-3</v>
      </c>
      <c r="O978" s="1257">
        <v>3.0000008598028201E-3</v>
      </c>
      <c r="P978" s="1257">
        <v>8.3146537171171105E-3</v>
      </c>
      <c r="Q978" s="1280">
        <v>8.2883457368196495E-3</v>
      </c>
      <c r="R978" s="1271">
        <v>3.8500011034136201E-2</v>
      </c>
      <c r="S978" s="1257">
        <v>3.8500011034136201E-2</v>
      </c>
      <c r="T978" s="1257">
        <v>3.8500011034136201E-2</v>
      </c>
      <c r="U978" s="1280">
        <v>1.9250005517068101E-2</v>
      </c>
      <c r="V978" s="1293">
        <v>7.3223116464002404E-3</v>
      </c>
    </row>
    <row r="979" spans="1:22" s="212" customFormat="1" ht="15.5" x14ac:dyDescent="0.35">
      <c r="A979" s="198">
        <v>2032</v>
      </c>
      <c r="B979" s="197" t="s">
        <v>5833</v>
      </c>
      <c r="C979" s="197">
        <v>2002</v>
      </c>
      <c r="D979" s="225" t="str">
        <f t="shared" si="5"/>
        <v>2032_2002</v>
      </c>
      <c r="E979" s="1226">
        <v>6.9193595273458197E-2</v>
      </c>
      <c r="F979" s="1257">
        <v>1.29233788842915E-2</v>
      </c>
      <c r="G979" s="1280">
        <v>6.34435344935423E-2</v>
      </c>
      <c r="H979" s="1271">
        <v>0.38626467878408299</v>
      </c>
      <c r="I979" s="1257">
        <v>0.42144189474411498</v>
      </c>
      <c r="J979" s="1280">
        <v>0.11066223385656999</v>
      </c>
      <c r="K979" s="1271">
        <v>7.0055516858416704E-3</v>
      </c>
      <c r="L979" s="1257">
        <v>1.2229270587444301E-3</v>
      </c>
      <c r="M979" s="1280">
        <v>4.0928729727493198E-4</v>
      </c>
      <c r="N979" s="1271">
        <v>8.2883457368196495E-3</v>
      </c>
      <c r="O979" s="1257">
        <v>3.0000008598028201E-3</v>
      </c>
      <c r="P979" s="1257">
        <v>8.3146537171171105E-3</v>
      </c>
      <c r="Q979" s="1280">
        <v>8.2883457368196495E-3</v>
      </c>
      <c r="R979" s="1271">
        <v>3.8500011034136201E-2</v>
      </c>
      <c r="S979" s="1257">
        <v>3.8500011034136201E-2</v>
      </c>
      <c r="T979" s="1257">
        <v>3.8500011034136201E-2</v>
      </c>
      <c r="U979" s="1280">
        <v>1.9250005517068101E-2</v>
      </c>
      <c r="V979" s="1293">
        <v>7.3223116464002404E-3</v>
      </c>
    </row>
    <row r="980" spans="1:22" s="212" customFormat="1" ht="15.5" x14ac:dyDescent="0.35">
      <c r="A980" s="198">
        <v>2032</v>
      </c>
      <c r="B980" s="197" t="s">
        <v>5833</v>
      </c>
      <c r="C980" s="197">
        <v>2003</v>
      </c>
      <c r="D980" s="225" t="str">
        <f t="shared" si="5"/>
        <v>2032_2003</v>
      </c>
      <c r="E980" s="1226">
        <v>6.9193595273458197E-2</v>
      </c>
      <c r="F980" s="1257">
        <v>1.29233788842915E-2</v>
      </c>
      <c r="G980" s="1280">
        <v>6.34435344935423E-2</v>
      </c>
      <c r="H980" s="1271">
        <v>0.38626467878408299</v>
      </c>
      <c r="I980" s="1257">
        <v>0.42144189474411498</v>
      </c>
      <c r="J980" s="1280">
        <v>0.11066223385656999</v>
      </c>
      <c r="K980" s="1271">
        <v>7.0055516858416704E-3</v>
      </c>
      <c r="L980" s="1257">
        <v>1.2229270587444301E-3</v>
      </c>
      <c r="M980" s="1280">
        <v>4.0928729727493198E-4</v>
      </c>
      <c r="N980" s="1271">
        <v>8.2883457368196495E-3</v>
      </c>
      <c r="O980" s="1257">
        <v>3.0000008598028201E-3</v>
      </c>
      <c r="P980" s="1257">
        <v>8.3146537171171105E-3</v>
      </c>
      <c r="Q980" s="1280">
        <v>8.2883457368196495E-3</v>
      </c>
      <c r="R980" s="1271">
        <v>3.8500011034136201E-2</v>
      </c>
      <c r="S980" s="1257">
        <v>3.8500011034136201E-2</v>
      </c>
      <c r="T980" s="1257">
        <v>3.8500011034136201E-2</v>
      </c>
      <c r="U980" s="1280">
        <v>1.9250005517068101E-2</v>
      </c>
      <c r="V980" s="1293">
        <v>7.3223116464002404E-3</v>
      </c>
    </row>
    <row r="981" spans="1:22" s="212" customFormat="1" ht="15.5" x14ac:dyDescent="0.35">
      <c r="A981" s="198">
        <v>2032</v>
      </c>
      <c r="B981" s="197" t="s">
        <v>5833</v>
      </c>
      <c r="C981" s="197">
        <v>2004</v>
      </c>
      <c r="D981" s="225" t="str">
        <f t="shared" si="5"/>
        <v>2032_2004</v>
      </c>
      <c r="E981" s="1226">
        <v>6.9193595273458197E-2</v>
      </c>
      <c r="F981" s="1257">
        <v>1.29233788842915E-2</v>
      </c>
      <c r="G981" s="1280">
        <v>6.34435344935423E-2</v>
      </c>
      <c r="H981" s="1271">
        <v>0.38626467878408299</v>
      </c>
      <c r="I981" s="1257">
        <v>0.42144189474411498</v>
      </c>
      <c r="J981" s="1280">
        <v>0.11066223385656999</v>
      </c>
      <c r="K981" s="1271">
        <v>7.0055516858416704E-3</v>
      </c>
      <c r="L981" s="1257">
        <v>1.2229270587444301E-3</v>
      </c>
      <c r="M981" s="1280">
        <v>4.0928729727493198E-4</v>
      </c>
      <c r="N981" s="1271">
        <v>8.2883457368196495E-3</v>
      </c>
      <c r="O981" s="1257">
        <v>3.0000008598028201E-3</v>
      </c>
      <c r="P981" s="1257">
        <v>8.3146537171171105E-3</v>
      </c>
      <c r="Q981" s="1280">
        <v>8.2883457368196495E-3</v>
      </c>
      <c r="R981" s="1271">
        <v>3.8500011034136201E-2</v>
      </c>
      <c r="S981" s="1257">
        <v>3.8500011034136201E-2</v>
      </c>
      <c r="T981" s="1257">
        <v>3.8500011034136201E-2</v>
      </c>
      <c r="U981" s="1280">
        <v>1.9250005517068101E-2</v>
      </c>
      <c r="V981" s="1293">
        <v>7.3223116464002404E-3</v>
      </c>
    </row>
    <row r="982" spans="1:22" s="212" customFormat="1" ht="15.5" x14ac:dyDescent="0.35">
      <c r="A982" s="198">
        <v>2032</v>
      </c>
      <c r="B982" s="197" t="s">
        <v>5833</v>
      </c>
      <c r="C982" s="197">
        <v>2005</v>
      </c>
      <c r="D982" s="225" t="str">
        <f t="shared" si="5"/>
        <v>2032_2005</v>
      </c>
      <c r="E982" s="1226">
        <v>6.9193595273458197E-2</v>
      </c>
      <c r="F982" s="1257">
        <v>1.29233788842915E-2</v>
      </c>
      <c r="G982" s="1280">
        <v>6.34435344935423E-2</v>
      </c>
      <c r="H982" s="1271">
        <v>0.38626467878408299</v>
      </c>
      <c r="I982" s="1257">
        <v>0.42144189474411498</v>
      </c>
      <c r="J982" s="1280">
        <v>0.11066223385656999</v>
      </c>
      <c r="K982" s="1271">
        <v>7.0055516858416704E-3</v>
      </c>
      <c r="L982" s="1257">
        <v>1.2229270587444301E-3</v>
      </c>
      <c r="M982" s="1280">
        <v>4.0928729727493198E-4</v>
      </c>
      <c r="N982" s="1271">
        <v>8.2883457368196495E-3</v>
      </c>
      <c r="O982" s="1257">
        <v>3.0000008598028201E-3</v>
      </c>
      <c r="P982" s="1257">
        <v>8.3146537171171105E-3</v>
      </c>
      <c r="Q982" s="1280">
        <v>8.2883457368196495E-3</v>
      </c>
      <c r="R982" s="1271">
        <v>3.8500011034136201E-2</v>
      </c>
      <c r="S982" s="1257">
        <v>3.8500011034136201E-2</v>
      </c>
      <c r="T982" s="1257">
        <v>3.8500011034136201E-2</v>
      </c>
      <c r="U982" s="1280">
        <v>1.9250005517068101E-2</v>
      </c>
      <c r="V982" s="1293">
        <v>7.3223116464002404E-3</v>
      </c>
    </row>
    <row r="983" spans="1:22" s="212" customFormat="1" ht="15.5" x14ac:dyDescent="0.35">
      <c r="A983" s="198">
        <v>2032</v>
      </c>
      <c r="B983" s="197" t="s">
        <v>5833</v>
      </c>
      <c r="C983" s="197">
        <v>2006</v>
      </c>
      <c r="D983" s="225" t="str">
        <f t="shared" si="5"/>
        <v>2032_2006</v>
      </c>
      <c r="E983" s="1226">
        <v>6.9193595273458197E-2</v>
      </c>
      <c r="F983" s="1257">
        <v>1.29233788842915E-2</v>
      </c>
      <c r="G983" s="1280">
        <v>6.34435344935423E-2</v>
      </c>
      <c r="H983" s="1271">
        <v>0.38626467878408299</v>
      </c>
      <c r="I983" s="1257">
        <v>0.42144189474411498</v>
      </c>
      <c r="J983" s="1280">
        <v>0.11066223385656999</v>
      </c>
      <c r="K983" s="1271">
        <v>7.0055516858416704E-3</v>
      </c>
      <c r="L983" s="1257">
        <v>1.2229270587444301E-3</v>
      </c>
      <c r="M983" s="1280">
        <v>4.0928729727493198E-4</v>
      </c>
      <c r="N983" s="1271">
        <v>8.2883457368196495E-3</v>
      </c>
      <c r="O983" s="1257">
        <v>3.0000008598028201E-3</v>
      </c>
      <c r="P983" s="1257">
        <v>8.3146537171171105E-3</v>
      </c>
      <c r="Q983" s="1280">
        <v>8.2883457368196495E-3</v>
      </c>
      <c r="R983" s="1271">
        <v>3.8500011034136201E-2</v>
      </c>
      <c r="S983" s="1257">
        <v>3.8500011034136201E-2</v>
      </c>
      <c r="T983" s="1257">
        <v>3.8500011034136201E-2</v>
      </c>
      <c r="U983" s="1280">
        <v>1.9250005517068101E-2</v>
      </c>
      <c r="V983" s="1293">
        <v>7.3223116464002404E-3</v>
      </c>
    </row>
    <row r="984" spans="1:22" s="212" customFormat="1" ht="15.5" x14ac:dyDescent="0.35">
      <c r="A984" s="198">
        <v>2032</v>
      </c>
      <c r="B984" s="197" t="s">
        <v>5833</v>
      </c>
      <c r="C984" s="197">
        <v>2007</v>
      </c>
      <c r="D984" s="225" t="str">
        <f t="shared" si="5"/>
        <v>2032_2007</v>
      </c>
      <c r="E984" s="1226">
        <v>6.9193595273458197E-2</v>
      </c>
      <c r="F984" s="1257">
        <v>1.29233788842915E-2</v>
      </c>
      <c r="G984" s="1280">
        <v>6.34435344935423E-2</v>
      </c>
      <c r="H984" s="1271">
        <v>0.38626467878408299</v>
      </c>
      <c r="I984" s="1257">
        <v>0.42144189474411498</v>
      </c>
      <c r="J984" s="1280">
        <v>0.11066223385656999</v>
      </c>
      <c r="K984" s="1271">
        <v>7.0055516858416704E-3</v>
      </c>
      <c r="L984" s="1257">
        <v>1.2229270587444301E-3</v>
      </c>
      <c r="M984" s="1280">
        <v>4.0928729727493198E-4</v>
      </c>
      <c r="N984" s="1271">
        <v>8.2883457368196495E-3</v>
      </c>
      <c r="O984" s="1257">
        <v>3.0000008598028201E-3</v>
      </c>
      <c r="P984" s="1257">
        <v>8.3146537171171105E-3</v>
      </c>
      <c r="Q984" s="1280">
        <v>8.2883457368196495E-3</v>
      </c>
      <c r="R984" s="1271">
        <v>3.8500011034136201E-2</v>
      </c>
      <c r="S984" s="1257">
        <v>3.8500011034136201E-2</v>
      </c>
      <c r="T984" s="1257">
        <v>3.8500011034136201E-2</v>
      </c>
      <c r="U984" s="1280">
        <v>1.9250005517068101E-2</v>
      </c>
      <c r="V984" s="1293">
        <v>7.3223116464002404E-3</v>
      </c>
    </row>
    <row r="985" spans="1:22" s="212" customFormat="1" ht="15.5" x14ac:dyDescent="0.35">
      <c r="A985" s="198">
        <v>2032</v>
      </c>
      <c r="B985" s="197" t="s">
        <v>5833</v>
      </c>
      <c r="C985" s="197">
        <v>2008</v>
      </c>
      <c r="D985" s="225" t="str">
        <f t="shared" si="5"/>
        <v>2032_2008</v>
      </c>
      <c r="E985" s="1226">
        <v>6.9193595273458197E-2</v>
      </c>
      <c r="F985" s="1257">
        <v>1.29233788842915E-2</v>
      </c>
      <c r="G985" s="1280">
        <v>6.34435344935423E-2</v>
      </c>
      <c r="H985" s="1271">
        <v>0.38626467878408299</v>
      </c>
      <c r="I985" s="1257">
        <v>0.42144189474411498</v>
      </c>
      <c r="J985" s="1280">
        <v>0.11066223385656999</v>
      </c>
      <c r="K985" s="1271">
        <v>7.0055516858416704E-3</v>
      </c>
      <c r="L985" s="1257">
        <v>1.2229270587444301E-3</v>
      </c>
      <c r="M985" s="1280">
        <v>4.0928729727493198E-4</v>
      </c>
      <c r="N985" s="1271">
        <v>8.2883457368196495E-3</v>
      </c>
      <c r="O985" s="1257">
        <v>3.0000008598028201E-3</v>
      </c>
      <c r="P985" s="1257">
        <v>8.3146537171171105E-3</v>
      </c>
      <c r="Q985" s="1280">
        <v>8.2883457368196495E-3</v>
      </c>
      <c r="R985" s="1271">
        <v>3.8500011034136201E-2</v>
      </c>
      <c r="S985" s="1257">
        <v>3.8500011034136201E-2</v>
      </c>
      <c r="T985" s="1257">
        <v>3.8500011034136201E-2</v>
      </c>
      <c r="U985" s="1280">
        <v>1.9250005517068101E-2</v>
      </c>
      <c r="V985" s="1293">
        <v>7.3223116464002404E-3</v>
      </c>
    </row>
    <row r="986" spans="1:22" s="212" customFormat="1" ht="15.5" x14ac:dyDescent="0.35">
      <c r="A986" s="198">
        <v>2032</v>
      </c>
      <c r="B986" s="197" t="s">
        <v>5833</v>
      </c>
      <c r="C986" s="197">
        <v>2009</v>
      </c>
      <c r="D986" s="225" t="str">
        <f t="shared" si="5"/>
        <v>2032_2009</v>
      </c>
      <c r="E986" s="1226">
        <v>6.9193595273458197E-2</v>
      </c>
      <c r="F986" s="1257">
        <v>1.29233788842915E-2</v>
      </c>
      <c r="G986" s="1280">
        <v>6.34435344935423E-2</v>
      </c>
      <c r="H986" s="1271">
        <v>0.38626467878408299</v>
      </c>
      <c r="I986" s="1257">
        <v>0.42144189474411498</v>
      </c>
      <c r="J986" s="1280">
        <v>0.11066223385656999</v>
      </c>
      <c r="K986" s="1271">
        <v>7.0055516858416704E-3</v>
      </c>
      <c r="L986" s="1257">
        <v>1.2229270587444301E-3</v>
      </c>
      <c r="M986" s="1280">
        <v>4.0928729727493198E-4</v>
      </c>
      <c r="N986" s="1271">
        <v>8.2883457368196495E-3</v>
      </c>
      <c r="O986" s="1257">
        <v>3.0000008598028201E-3</v>
      </c>
      <c r="P986" s="1257">
        <v>8.3146537171171105E-3</v>
      </c>
      <c r="Q986" s="1280">
        <v>8.2883457368196495E-3</v>
      </c>
      <c r="R986" s="1271">
        <v>3.8500011034136201E-2</v>
      </c>
      <c r="S986" s="1257">
        <v>3.8500011034136201E-2</v>
      </c>
      <c r="T986" s="1257">
        <v>3.8500011034136201E-2</v>
      </c>
      <c r="U986" s="1280">
        <v>1.9250005517068101E-2</v>
      </c>
      <c r="V986" s="1293">
        <v>7.3223116464002404E-3</v>
      </c>
    </row>
    <row r="987" spans="1:22" s="212" customFormat="1" ht="15.5" x14ac:dyDescent="0.35">
      <c r="A987" s="198">
        <v>2032</v>
      </c>
      <c r="B987" s="197" t="s">
        <v>5833</v>
      </c>
      <c r="C987" s="197">
        <v>2010</v>
      </c>
      <c r="D987" s="225" t="str">
        <f t="shared" si="5"/>
        <v>2032_2010</v>
      </c>
      <c r="E987" s="1226">
        <v>6.9193595273458197E-2</v>
      </c>
      <c r="F987" s="1257">
        <v>1.29233788842915E-2</v>
      </c>
      <c r="G987" s="1280">
        <v>6.34435344935423E-2</v>
      </c>
      <c r="H987" s="1271">
        <v>0.38626467878408299</v>
      </c>
      <c r="I987" s="1257">
        <v>0.42144189474411498</v>
      </c>
      <c r="J987" s="1280">
        <v>0.11066223385656999</v>
      </c>
      <c r="K987" s="1271">
        <v>7.0055516858416704E-3</v>
      </c>
      <c r="L987" s="1257">
        <v>1.2229270587444301E-3</v>
      </c>
      <c r="M987" s="1280">
        <v>4.0928729727493198E-4</v>
      </c>
      <c r="N987" s="1271">
        <v>8.2883457368196495E-3</v>
      </c>
      <c r="O987" s="1257">
        <v>3.0000008598028201E-3</v>
      </c>
      <c r="P987" s="1257">
        <v>8.3146537171171105E-3</v>
      </c>
      <c r="Q987" s="1280">
        <v>8.2883457368196495E-3</v>
      </c>
      <c r="R987" s="1271">
        <v>3.8500011034136201E-2</v>
      </c>
      <c r="S987" s="1257">
        <v>3.8500011034136201E-2</v>
      </c>
      <c r="T987" s="1257">
        <v>3.8500011034136201E-2</v>
      </c>
      <c r="U987" s="1280">
        <v>1.9250005517068101E-2</v>
      </c>
      <c r="V987" s="1293">
        <v>7.3223116464002404E-3</v>
      </c>
    </row>
    <row r="988" spans="1:22" s="212" customFormat="1" ht="15.5" x14ac:dyDescent="0.35">
      <c r="A988" s="198">
        <v>2032</v>
      </c>
      <c r="B988" s="197" t="s">
        <v>5833</v>
      </c>
      <c r="C988" s="197">
        <v>2011</v>
      </c>
      <c r="D988" s="225" t="str">
        <f t="shared" si="5"/>
        <v>2032_2011</v>
      </c>
      <c r="E988" s="1226">
        <v>6.9193595273458197E-2</v>
      </c>
      <c r="F988" s="1257">
        <v>1.29233788842915E-2</v>
      </c>
      <c r="G988" s="1280">
        <v>6.34435344935423E-2</v>
      </c>
      <c r="H988" s="1271">
        <v>0.38626467878408299</v>
      </c>
      <c r="I988" s="1257">
        <v>0.42144189474411498</v>
      </c>
      <c r="J988" s="1280">
        <v>0.11066223385656999</v>
      </c>
      <c r="K988" s="1271">
        <v>7.0055516858416704E-3</v>
      </c>
      <c r="L988" s="1257">
        <v>1.2229270587444301E-3</v>
      </c>
      <c r="M988" s="1280">
        <v>4.0928729727493198E-4</v>
      </c>
      <c r="N988" s="1271">
        <v>8.2883457368196495E-3</v>
      </c>
      <c r="O988" s="1257">
        <v>3.0000008598028201E-3</v>
      </c>
      <c r="P988" s="1257">
        <v>8.3146537171171105E-3</v>
      </c>
      <c r="Q988" s="1280">
        <v>8.2883457368196495E-3</v>
      </c>
      <c r="R988" s="1271">
        <v>3.8500011034136201E-2</v>
      </c>
      <c r="S988" s="1257">
        <v>3.8500011034136201E-2</v>
      </c>
      <c r="T988" s="1257">
        <v>3.8500011034136201E-2</v>
      </c>
      <c r="U988" s="1280">
        <v>1.9250005517068101E-2</v>
      </c>
      <c r="V988" s="1293">
        <v>7.3223116464002404E-3</v>
      </c>
    </row>
    <row r="989" spans="1:22" s="212" customFormat="1" ht="15.5" x14ac:dyDescent="0.35">
      <c r="A989" s="198">
        <v>2032</v>
      </c>
      <c r="B989" s="197" t="s">
        <v>5833</v>
      </c>
      <c r="C989" s="197">
        <v>2012</v>
      </c>
      <c r="D989" s="225" t="str">
        <f t="shared" si="5"/>
        <v>2032_2012</v>
      </c>
      <c r="E989" s="1226">
        <v>6.9193595273458197E-2</v>
      </c>
      <c r="F989" s="1257">
        <v>1.29233788842915E-2</v>
      </c>
      <c r="G989" s="1280">
        <v>6.34435344935423E-2</v>
      </c>
      <c r="H989" s="1271">
        <v>0.38626467878408299</v>
      </c>
      <c r="I989" s="1257">
        <v>0.42144189474411498</v>
      </c>
      <c r="J989" s="1280">
        <v>0.11066223385656999</v>
      </c>
      <c r="K989" s="1271">
        <v>7.0055516858416704E-3</v>
      </c>
      <c r="L989" s="1257">
        <v>1.2229270587444301E-3</v>
      </c>
      <c r="M989" s="1280">
        <v>4.0928729727493198E-4</v>
      </c>
      <c r="N989" s="1271">
        <v>8.2883457368196495E-3</v>
      </c>
      <c r="O989" s="1257">
        <v>3.0000008598028201E-3</v>
      </c>
      <c r="P989" s="1257">
        <v>8.3146537171171105E-3</v>
      </c>
      <c r="Q989" s="1280">
        <v>8.2883457368196495E-3</v>
      </c>
      <c r="R989" s="1271">
        <v>3.8500011034136201E-2</v>
      </c>
      <c r="S989" s="1257">
        <v>3.8500011034136201E-2</v>
      </c>
      <c r="T989" s="1257">
        <v>3.8500011034136201E-2</v>
      </c>
      <c r="U989" s="1280">
        <v>1.9250005517068101E-2</v>
      </c>
      <c r="V989" s="1293">
        <v>7.3223116464002404E-3</v>
      </c>
    </row>
    <row r="990" spans="1:22" s="212" customFormat="1" ht="15.5" x14ac:dyDescent="0.35">
      <c r="A990" s="198">
        <v>2032</v>
      </c>
      <c r="B990" s="197" t="s">
        <v>5833</v>
      </c>
      <c r="C990" s="197">
        <v>2013</v>
      </c>
      <c r="D990" s="225" t="str">
        <f t="shared" si="5"/>
        <v>2032_2013</v>
      </c>
      <c r="E990" s="1226">
        <v>6.9193595273458197E-2</v>
      </c>
      <c r="F990" s="1257">
        <v>1.29233788842915E-2</v>
      </c>
      <c r="G990" s="1280">
        <v>6.34435344935423E-2</v>
      </c>
      <c r="H990" s="1271">
        <v>0.38626467878408299</v>
      </c>
      <c r="I990" s="1257">
        <v>0.42144189474411498</v>
      </c>
      <c r="J990" s="1280">
        <v>0.11066223385656999</v>
      </c>
      <c r="K990" s="1271">
        <v>7.0055516858416704E-3</v>
      </c>
      <c r="L990" s="1257">
        <v>1.2229270587444301E-3</v>
      </c>
      <c r="M990" s="1280">
        <v>4.0928729727493198E-4</v>
      </c>
      <c r="N990" s="1271">
        <v>8.2883457368196495E-3</v>
      </c>
      <c r="O990" s="1257">
        <v>3.0000008598028201E-3</v>
      </c>
      <c r="P990" s="1257">
        <v>8.3146537171171105E-3</v>
      </c>
      <c r="Q990" s="1280">
        <v>8.2883457368196495E-3</v>
      </c>
      <c r="R990" s="1271">
        <v>3.8500011034136201E-2</v>
      </c>
      <c r="S990" s="1257">
        <v>3.8500011034136201E-2</v>
      </c>
      <c r="T990" s="1257">
        <v>3.8500011034136201E-2</v>
      </c>
      <c r="U990" s="1280">
        <v>1.9250005517068101E-2</v>
      </c>
      <c r="V990" s="1293">
        <v>7.3223116464002404E-3</v>
      </c>
    </row>
    <row r="991" spans="1:22" s="212" customFormat="1" ht="15.5" x14ac:dyDescent="0.35">
      <c r="A991" s="198">
        <v>2032</v>
      </c>
      <c r="B991" s="197" t="s">
        <v>5833</v>
      </c>
      <c r="C991" s="197">
        <v>2014</v>
      </c>
      <c r="D991" s="225" t="str">
        <f t="shared" si="5"/>
        <v>2032_2014</v>
      </c>
      <c r="E991" s="1226">
        <v>6.9193595273458197E-2</v>
      </c>
      <c r="F991" s="1257">
        <v>1.29233788842915E-2</v>
      </c>
      <c r="G991" s="1280">
        <v>6.34435344935423E-2</v>
      </c>
      <c r="H991" s="1271">
        <v>0.38626467878408299</v>
      </c>
      <c r="I991" s="1257">
        <v>0.42144189474411498</v>
      </c>
      <c r="J991" s="1280">
        <v>0.11066223385656999</v>
      </c>
      <c r="K991" s="1271">
        <v>7.0055516858416704E-3</v>
      </c>
      <c r="L991" s="1257">
        <v>1.2229270587444301E-3</v>
      </c>
      <c r="M991" s="1280">
        <v>4.0928729727493198E-4</v>
      </c>
      <c r="N991" s="1271">
        <v>8.2883457368196495E-3</v>
      </c>
      <c r="O991" s="1257">
        <v>3.0000008598028201E-3</v>
      </c>
      <c r="P991" s="1257">
        <v>8.3146537171171105E-3</v>
      </c>
      <c r="Q991" s="1280">
        <v>8.2883457368196495E-3</v>
      </c>
      <c r="R991" s="1271">
        <v>3.8500011034136201E-2</v>
      </c>
      <c r="S991" s="1257">
        <v>3.8500011034136201E-2</v>
      </c>
      <c r="T991" s="1257">
        <v>3.8500011034136201E-2</v>
      </c>
      <c r="U991" s="1280">
        <v>1.9250005517068101E-2</v>
      </c>
      <c r="V991" s="1293">
        <v>7.3223116464002404E-3</v>
      </c>
    </row>
    <row r="992" spans="1:22" s="212" customFormat="1" ht="15.5" x14ac:dyDescent="0.35">
      <c r="A992" s="198">
        <v>2032</v>
      </c>
      <c r="B992" s="197" t="s">
        <v>5833</v>
      </c>
      <c r="C992" s="197">
        <v>2015</v>
      </c>
      <c r="D992" s="225" t="str">
        <f t="shared" si="5"/>
        <v>2032_2015</v>
      </c>
      <c r="E992" s="1226">
        <v>6.9193595273458197E-2</v>
      </c>
      <c r="F992" s="1257">
        <v>1.29233788842915E-2</v>
      </c>
      <c r="G992" s="1280">
        <v>6.34435344935423E-2</v>
      </c>
      <c r="H992" s="1271">
        <v>0.38626467878408299</v>
      </c>
      <c r="I992" s="1257">
        <v>0.42144189474411498</v>
      </c>
      <c r="J992" s="1280">
        <v>0.11066223385656999</v>
      </c>
      <c r="K992" s="1271">
        <v>7.0055516858416704E-3</v>
      </c>
      <c r="L992" s="1257">
        <v>1.2229270587444301E-3</v>
      </c>
      <c r="M992" s="1280">
        <v>4.0928729727493198E-4</v>
      </c>
      <c r="N992" s="1271">
        <v>8.2883457368196495E-3</v>
      </c>
      <c r="O992" s="1257">
        <v>3.0000008598028201E-3</v>
      </c>
      <c r="P992" s="1257">
        <v>8.3146537171171105E-3</v>
      </c>
      <c r="Q992" s="1280">
        <v>8.2883457368196495E-3</v>
      </c>
      <c r="R992" s="1271">
        <v>3.8500011034136201E-2</v>
      </c>
      <c r="S992" s="1257">
        <v>3.8500011034136201E-2</v>
      </c>
      <c r="T992" s="1257">
        <v>3.8500011034136201E-2</v>
      </c>
      <c r="U992" s="1280">
        <v>1.9250005517068101E-2</v>
      </c>
      <c r="V992" s="1293">
        <v>7.3223116464002404E-3</v>
      </c>
    </row>
    <row r="993" spans="1:22" s="212" customFormat="1" ht="15.5" x14ac:dyDescent="0.35">
      <c r="A993" s="198">
        <v>2032</v>
      </c>
      <c r="B993" s="197" t="s">
        <v>5833</v>
      </c>
      <c r="C993" s="197">
        <v>2016</v>
      </c>
      <c r="D993" s="225" t="str">
        <f t="shared" si="5"/>
        <v>2032_2016</v>
      </c>
      <c r="E993" s="1226">
        <v>6.9193595273458197E-2</v>
      </c>
      <c r="F993" s="1257">
        <v>1.29233788842915E-2</v>
      </c>
      <c r="G993" s="1280">
        <v>6.34435344935423E-2</v>
      </c>
      <c r="H993" s="1271">
        <v>0.38626467878408299</v>
      </c>
      <c r="I993" s="1257">
        <v>0.42144189474411498</v>
      </c>
      <c r="J993" s="1280">
        <v>0.11066223385656999</v>
      </c>
      <c r="K993" s="1271">
        <v>7.0055516858416704E-3</v>
      </c>
      <c r="L993" s="1257">
        <v>1.2229270587444301E-3</v>
      </c>
      <c r="M993" s="1280">
        <v>4.0928729727493198E-4</v>
      </c>
      <c r="N993" s="1271">
        <v>8.2883457368196495E-3</v>
      </c>
      <c r="O993" s="1257">
        <v>3.0000008598028201E-3</v>
      </c>
      <c r="P993" s="1257">
        <v>8.3146537171171105E-3</v>
      </c>
      <c r="Q993" s="1280">
        <v>8.2883457368196495E-3</v>
      </c>
      <c r="R993" s="1271">
        <v>3.8500011034136201E-2</v>
      </c>
      <c r="S993" s="1257">
        <v>3.8500011034136201E-2</v>
      </c>
      <c r="T993" s="1257">
        <v>3.8500011034136201E-2</v>
      </c>
      <c r="U993" s="1280">
        <v>1.9250005517068101E-2</v>
      </c>
      <c r="V993" s="1293">
        <v>7.3223116464002404E-3</v>
      </c>
    </row>
    <row r="994" spans="1:22" s="212" customFormat="1" ht="15.5" x14ac:dyDescent="0.35">
      <c r="A994" s="198">
        <v>2032</v>
      </c>
      <c r="B994" s="197" t="s">
        <v>5833</v>
      </c>
      <c r="C994" s="197">
        <v>2017</v>
      </c>
      <c r="D994" s="225" t="str">
        <f t="shared" si="5"/>
        <v>2032_2017</v>
      </c>
      <c r="E994" s="1226">
        <v>6.9193595273458197E-2</v>
      </c>
      <c r="F994" s="1257">
        <v>1.29233788842915E-2</v>
      </c>
      <c r="G994" s="1280">
        <v>6.34435344935423E-2</v>
      </c>
      <c r="H994" s="1271">
        <v>0.38626467878408299</v>
      </c>
      <c r="I994" s="1257">
        <v>0.42144189474411498</v>
      </c>
      <c r="J994" s="1280">
        <v>0.11066223385656999</v>
      </c>
      <c r="K994" s="1271">
        <v>7.0055516858416704E-3</v>
      </c>
      <c r="L994" s="1257">
        <v>1.2229270587444301E-3</v>
      </c>
      <c r="M994" s="1280">
        <v>4.0928729727493198E-4</v>
      </c>
      <c r="N994" s="1271">
        <v>8.2883457368196495E-3</v>
      </c>
      <c r="O994" s="1257">
        <v>3.0000008598028201E-3</v>
      </c>
      <c r="P994" s="1257">
        <v>8.3146537171171105E-3</v>
      </c>
      <c r="Q994" s="1280">
        <v>8.2883457368196495E-3</v>
      </c>
      <c r="R994" s="1271">
        <v>3.8500011034136201E-2</v>
      </c>
      <c r="S994" s="1257">
        <v>3.8500011034136201E-2</v>
      </c>
      <c r="T994" s="1257">
        <v>3.8500011034136201E-2</v>
      </c>
      <c r="U994" s="1280">
        <v>1.9250005517068101E-2</v>
      </c>
      <c r="V994" s="1293">
        <v>7.3223116464002404E-3</v>
      </c>
    </row>
    <row r="995" spans="1:22" s="212" customFormat="1" ht="15.5" x14ac:dyDescent="0.35">
      <c r="A995" s="198">
        <v>2032</v>
      </c>
      <c r="B995" s="197" t="s">
        <v>5833</v>
      </c>
      <c r="C995" s="197">
        <v>2018</v>
      </c>
      <c r="D995" s="225" t="str">
        <f t="shared" si="5"/>
        <v>2032_2018</v>
      </c>
      <c r="E995" s="1231">
        <v>6.9193595273458197E-2</v>
      </c>
      <c r="F995" s="1288">
        <v>1.29233788842915E-2</v>
      </c>
      <c r="G995" s="1306">
        <v>6.34435344935423E-2</v>
      </c>
      <c r="H995" s="1303">
        <v>0.38626467878408299</v>
      </c>
      <c r="I995" s="1288">
        <v>0.42144189474411498</v>
      </c>
      <c r="J995" s="1306">
        <v>0.11066223385656999</v>
      </c>
      <c r="K995" s="1303">
        <v>7.0055516858416704E-3</v>
      </c>
      <c r="L995" s="1288">
        <v>1.2229270587444301E-3</v>
      </c>
      <c r="M995" s="1306">
        <v>4.0928729727493198E-4</v>
      </c>
      <c r="N995" s="1303">
        <v>8.2883457368196495E-3</v>
      </c>
      <c r="O995" s="1288">
        <v>3.0000008598028201E-3</v>
      </c>
      <c r="P995" s="1288">
        <v>8.3146537171171105E-3</v>
      </c>
      <c r="Q995" s="1306">
        <v>7.9427762974697506E-3</v>
      </c>
      <c r="R995" s="1303">
        <v>3.8500011034136201E-2</v>
      </c>
      <c r="S995" s="1288">
        <v>3.8500011034136201E-2</v>
      </c>
      <c r="T995" s="1288">
        <v>3.8500011034136201E-2</v>
      </c>
      <c r="U995" s="1306">
        <v>1.9250005517068101E-2</v>
      </c>
      <c r="V995" s="1294">
        <v>7.3223116464002404E-3</v>
      </c>
    </row>
    <row r="996" spans="1:22" s="212" customFormat="1" ht="15.5" x14ac:dyDescent="0.35">
      <c r="A996" s="198">
        <v>2032</v>
      </c>
      <c r="B996" s="197" t="s">
        <v>5833</v>
      </c>
      <c r="C996" s="197">
        <v>2019</v>
      </c>
      <c r="D996" s="225" t="str">
        <f t="shared" si="5"/>
        <v>2032_2019</v>
      </c>
      <c r="E996" s="1231">
        <v>7.2094113434235205E-2</v>
      </c>
      <c r="F996" s="1288">
        <v>1.4147593058557799E-2</v>
      </c>
      <c r="G996" s="1306">
        <v>6.2318134998404301E-2</v>
      </c>
      <c r="H996" s="1303">
        <v>0.40784655557003702</v>
      </c>
      <c r="I996" s="1288">
        <v>0.402644737795531</v>
      </c>
      <c r="J996" s="1306">
        <v>0.122941135269414</v>
      </c>
      <c r="K996" s="1303">
        <v>7.3433684624368799E-3</v>
      </c>
      <c r="L996" s="1288">
        <v>1.37286052208845E-3</v>
      </c>
      <c r="M996" s="1306">
        <v>4.3604200799731698E-4</v>
      </c>
      <c r="N996" s="1303">
        <v>8.6615443713661602E-3</v>
      </c>
      <c r="O996" s="1288">
        <v>3.0000008598028201E-3</v>
      </c>
      <c r="P996" s="1288">
        <v>7.9450501810529994E-3</v>
      </c>
      <c r="Q996" s="1306">
        <v>6.5450099317091804E-3</v>
      </c>
      <c r="R996" s="1303">
        <v>3.8500011034136201E-2</v>
      </c>
      <c r="S996" s="1288">
        <v>3.8500011034136201E-2</v>
      </c>
      <c r="T996" s="1288">
        <v>3.8500011034136201E-2</v>
      </c>
      <c r="U996" s="1306">
        <v>1.9250005517068101E-2</v>
      </c>
      <c r="V996" s="1294">
        <v>7.67540299859333E-3</v>
      </c>
    </row>
    <row r="997" spans="1:22" s="212" customFormat="1" ht="15.5" x14ac:dyDescent="0.35">
      <c r="A997" s="198">
        <v>2032</v>
      </c>
      <c r="B997" s="197" t="s">
        <v>5833</v>
      </c>
      <c r="C997" s="197">
        <v>2020</v>
      </c>
      <c r="D997" s="225" t="str">
        <f t="shared" si="5"/>
        <v>2032_2020</v>
      </c>
      <c r="E997" s="1231">
        <v>6.9598839625287401E-2</v>
      </c>
      <c r="F997" s="1288">
        <v>2.18005397356607E-2</v>
      </c>
      <c r="G997" s="1306">
        <v>6.5101820202711894E-2</v>
      </c>
      <c r="H997" s="1303">
        <v>0.38920493782153898</v>
      </c>
      <c r="I997" s="1288">
        <v>0.42892827367242298</v>
      </c>
      <c r="J997" s="1306">
        <v>0.112700735297823</v>
      </c>
      <c r="K997" s="1303">
        <v>7.0591871431921098E-3</v>
      </c>
      <c r="L997" s="1288">
        <v>2.1027946372487501E-3</v>
      </c>
      <c r="M997" s="1306">
        <v>4.1341607523912298E-4</v>
      </c>
      <c r="N997" s="1303">
        <v>8.3469904853548001E-3</v>
      </c>
      <c r="O997" s="1288">
        <v>3.0000008598028201E-3</v>
      </c>
      <c r="P997" s="1288">
        <v>8.6820265727153203E-3</v>
      </c>
      <c r="Q997" s="1280">
        <v>8.3469904853548001E-3</v>
      </c>
      <c r="R997" s="1303">
        <v>3.8500011034136201E-2</v>
      </c>
      <c r="S997" s="1288">
        <v>3.8500011034136201E-2</v>
      </c>
      <c r="T997" s="1288">
        <v>3.8500011034136201E-2</v>
      </c>
      <c r="U997" s="1280">
        <v>1.9250005517068101E-2</v>
      </c>
      <c r="V997" s="1294">
        <v>7.3783722611282399E-3</v>
      </c>
    </row>
    <row r="998" spans="1:22" s="212" customFormat="1" ht="15.5" x14ac:dyDescent="0.35">
      <c r="A998" s="198">
        <v>2032</v>
      </c>
      <c r="B998" s="197" t="s">
        <v>5833</v>
      </c>
      <c r="C998" s="197">
        <v>2021</v>
      </c>
      <c r="D998" s="225" t="str">
        <f t="shared" si="5"/>
        <v>2032_2021</v>
      </c>
      <c r="E998" s="1231">
        <v>4.7748150784133997E-2</v>
      </c>
      <c r="F998" s="1288">
        <v>1.62407617865187E-2</v>
      </c>
      <c r="G998" s="1306">
        <v>6.3175367974073998E-2</v>
      </c>
      <c r="H998" s="1303">
        <v>0.23220197079202101</v>
      </c>
      <c r="I998" s="1288">
        <v>0.36701985948620502</v>
      </c>
      <c r="J998" s="1306">
        <v>0.11146613398139101</v>
      </c>
      <c r="K998" s="1303">
        <v>4.1961321578587703E-3</v>
      </c>
      <c r="L998" s="1288">
        <v>1.57292104370843E-3</v>
      </c>
      <c r="M998" s="1306">
        <v>4.0883729621360502E-4</v>
      </c>
      <c r="N998" s="1303">
        <v>5.3669390788822196E-3</v>
      </c>
      <c r="O998" s="1288">
        <v>3.0000008598028201E-3</v>
      </c>
      <c r="P998" s="1288">
        <v>8.2540078214305996E-3</v>
      </c>
      <c r="Q998" s="1280">
        <v>5.3669390788822196E-3</v>
      </c>
      <c r="R998" s="1303">
        <v>3.8500011034136201E-2</v>
      </c>
      <c r="S998" s="1288">
        <v>3.8500011034136201E-2</v>
      </c>
      <c r="T998" s="1288">
        <v>3.8500011034136201E-2</v>
      </c>
      <c r="U998" s="1280">
        <v>1.9250005517068101E-2</v>
      </c>
      <c r="V998" s="1294">
        <v>4.3858626339764702E-3</v>
      </c>
    </row>
    <row r="999" spans="1:22" s="212" customFormat="1" ht="15.5" x14ac:dyDescent="0.35">
      <c r="A999" s="198">
        <v>2032</v>
      </c>
      <c r="B999" s="197" t="s">
        <v>5833</v>
      </c>
      <c r="C999" s="197">
        <v>2022</v>
      </c>
      <c r="D999" s="225" t="str">
        <f t="shared" si="5"/>
        <v>2032_2022</v>
      </c>
      <c r="E999" s="1231">
        <v>5.24665834579775E-2</v>
      </c>
      <c r="F999" s="1288">
        <v>1.17038987458443E-2</v>
      </c>
      <c r="G999" s="1306">
        <v>6.4273849616777401E-2</v>
      </c>
      <c r="H999" s="1303">
        <v>0.259266087025393</v>
      </c>
      <c r="I999" s="1288">
        <v>0.26146380840515199</v>
      </c>
      <c r="J999" s="1306">
        <v>0.129163328162857</v>
      </c>
      <c r="K999" s="1303">
        <v>4.9820169225108799E-3</v>
      </c>
      <c r="L999" s="1288">
        <v>1.37563448365966E-3</v>
      </c>
      <c r="M999" s="1306">
        <v>5.5997911948892098E-4</v>
      </c>
      <c r="N999" s="1303">
        <v>5.8291303326977097E-3</v>
      </c>
      <c r="O999" s="1288">
        <v>2.7293186313072002E-3</v>
      </c>
      <c r="P999" s="1288">
        <v>8.5023565942145603E-3</v>
      </c>
      <c r="Q999" s="1280">
        <v>5.8291303326977097E-3</v>
      </c>
      <c r="R999" s="1303">
        <v>3.8389620268812E-2</v>
      </c>
      <c r="S999" s="1288">
        <v>3.6699974214640302E-2</v>
      </c>
      <c r="T999" s="1288">
        <v>3.8456708920411802E-2</v>
      </c>
      <c r="U999" s="1280">
        <v>1.9194810134406E-2</v>
      </c>
      <c r="V999" s="1294">
        <v>5.2072816203741499E-3</v>
      </c>
    </row>
    <row r="1000" spans="1:22" s="212" customFormat="1" ht="15.5" x14ac:dyDescent="0.35">
      <c r="A1000" s="198">
        <v>2032</v>
      </c>
      <c r="B1000" s="197" t="s">
        <v>5833</v>
      </c>
      <c r="C1000" s="197">
        <v>2023</v>
      </c>
      <c r="D1000" s="225" t="str">
        <f t="shared" si="5"/>
        <v>2032_2023</v>
      </c>
      <c r="E1000" s="1231">
        <v>5.8902486992634499E-2</v>
      </c>
      <c r="F1000" s="1288">
        <v>1.0702189171858899E-2</v>
      </c>
      <c r="G1000" s="1306">
        <v>6.1631425086942998E-2</v>
      </c>
      <c r="H1000" s="1303">
        <v>0.30952122652282799</v>
      </c>
      <c r="I1000" s="1288">
        <v>0.22114680972392201</v>
      </c>
      <c r="J1000" s="1306">
        <v>9.4570543988783506E-2</v>
      </c>
      <c r="K1000" s="1303">
        <v>5.7286499665822003E-3</v>
      </c>
      <c r="L1000" s="1288">
        <v>1.3321521219200199E-3</v>
      </c>
      <c r="M1000" s="1306">
        <v>4.1800007936619002E-4</v>
      </c>
      <c r="N1000" s="1303">
        <v>6.8182408144928999E-3</v>
      </c>
      <c r="O1000" s="1288">
        <v>2.6749741936355101E-3</v>
      </c>
      <c r="P1000" s="1288">
        <v>8.3641682443388599E-3</v>
      </c>
      <c r="Q1000" s="1280">
        <v>6.8182408144928999E-3</v>
      </c>
      <c r="R1000" s="1303">
        <v>3.8454647584275803E-2</v>
      </c>
      <c r="S1000" s="1288">
        <v>3.63385837041236E-2</v>
      </c>
      <c r="T1000" s="1288">
        <v>3.8474991909915601E-2</v>
      </c>
      <c r="U1000" s="1280">
        <v>1.9227323792137901E-2</v>
      </c>
      <c r="V1000" s="1294">
        <v>5.98767409756331E-3</v>
      </c>
    </row>
    <row r="1001" spans="1:22" s="212" customFormat="1" ht="15.5" x14ac:dyDescent="0.35">
      <c r="A1001" s="198">
        <v>2032</v>
      </c>
      <c r="B1001" s="197" t="s">
        <v>5833</v>
      </c>
      <c r="C1001" s="197">
        <v>2024</v>
      </c>
      <c r="D1001" s="225" t="str">
        <f t="shared" si="5"/>
        <v>2032_2024</v>
      </c>
      <c r="E1001" s="1231">
        <v>5.8293412746054998E-2</v>
      </c>
      <c r="F1001" s="1288">
        <v>7.5741560089819301E-3</v>
      </c>
      <c r="G1001" s="1306">
        <v>5.8571618648261103E-2</v>
      </c>
      <c r="H1001" s="1303">
        <v>0.29980992432082498</v>
      </c>
      <c r="I1001" s="1288">
        <v>0.12920076724418</v>
      </c>
      <c r="J1001" s="1306">
        <v>9.50287865148189E-2</v>
      </c>
      <c r="K1001" s="1303">
        <v>5.7545637642978896E-3</v>
      </c>
      <c r="L1001" s="1288">
        <v>1.29572634674097E-3</v>
      </c>
      <c r="M1001" s="1306">
        <v>7.5498776810173102E-4</v>
      </c>
      <c r="N1001" s="1303">
        <v>6.6054609126384002E-3</v>
      </c>
      <c r="O1001" s="1288">
        <v>2.36481062436464E-3</v>
      </c>
      <c r="P1001" s="1288">
        <v>7.7134479762009803E-3</v>
      </c>
      <c r="Q1001" s="1306">
        <v>8.4690603859683099E-3</v>
      </c>
      <c r="R1001" s="1303">
        <v>3.8367401713422698E-2</v>
      </c>
      <c r="S1001" s="1288">
        <v>3.4275995968472299E-2</v>
      </c>
      <c r="T1001" s="1288">
        <v>3.8318014894511601E-2</v>
      </c>
      <c r="U1001" s="1306">
        <v>1.9250005517068101E-2</v>
      </c>
      <c r="V1001" s="1294">
        <v>6.0147596022209204E-3</v>
      </c>
    </row>
    <row r="1002" spans="1:22" s="212" customFormat="1" ht="15.5" x14ac:dyDescent="0.35">
      <c r="A1002" s="198">
        <v>2032</v>
      </c>
      <c r="B1002" s="197" t="s">
        <v>5833</v>
      </c>
      <c r="C1002" s="197">
        <v>2025</v>
      </c>
      <c r="D1002" s="225" t="str">
        <f t="shared" si="5"/>
        <v>2032_2025</v>
      </c>
      <c r="E1002" s="1231">
        <v>6.69545204927951E-2</v>
      </c>
      <c r="F1002" s="1288">
        <v>7.32951648829561E-3</v>
      </c>
      <c r="G1002" s="1306">
        <v>5.49781785435631E-2</v>
      </c>
      <c r="H1002" s="1303">
        <v>0.36352979800868801</v>
      </c>
      <c r="I1002" s="1288">
        <v>9.8459169279360395E-2</v>
      </c>
      <c r="J1002" s="1306">
        <v>8.7599223111519298E-2</v>
      </c>
      <c r="K1002" s="1303">
        <v>6.8416909358259403E-3</v>
      </c>
      <c r="L1002" s="1288">
        <v>1.3456899375902901E-3</v>
      </c>
      <c r="M1002" s="1306">
        <v>5.9281558601081204E-4</v>
      </c>
      <c r="N1002" s="1303">
        <v>7.8252844597193096E-3</v>
      </c>
      <c r="O1002" s="1288">
        <v>2.2897841947133899E-3</v>
      </c>
      <c r="P1002" s="1288">
        <v>7.2329655940151097E-3</v>
      </c>
      <c r="Q1002" s="1306">
        <v>8.12190024590086E-3</v>
      </c>
      <c r="R1002" s="1303">
        <v>3.83901922330784E-2</v>
      </c>
      <c r="S1002" s="1288">
        <v>3.3777070211291498E-2</v>
      </c>
      <c r="T1002" s="1288">
        <v>3.8395805477708898E-2</v>
      </c>
      <c r="U1002" s="1306">
        <v>1.9250005517068101E-2</v>
      </c>
      <c r="V1002" s="1294">
        <v>7.1510418403901103E-3</v>
      </c>
    </row>
    <row r="1003" spans="1:22" s="212" customFormat="1" ht="15.5" x14ac:dyDescent="0.35">
      <c r="A1003" s="198">
        <v>2032</v>
      </c>
      <c r="B1003" s="197" t="s">
        <v>5833</v>
      </c>
      <c r="C1003" s="197">
        <v>2026</v>
      </c>
      <c r="D1003" s="225" t="str">
        <f t="shared" si="5"/>
        <v>2032_2026</v>
      </c>
      <c r="E1003" s="1231">
        <v>6.1381035916353903E-2</v>
      </c>
      <c r="F1003" s="1288">
        <v>8.0512596648699194E-3</v>
      </c>
      <c r="G1003" s="1306">
        <v>5.1772222751346103E-2</v>
      </c>
      <c r="H1003" s="1303">
        <v>0.32820276010876098</v>
      </c>
      <c r="I1003" s="1288">
        <v>0.13165413760744199</v>
      </c>
      <c r="J1003" s="1306">
        <v>8.1747200900942701E-2</v>
      </c>
      <c r="K1003" s="1303">
        <v>5.9915038772975996E-3</v>
      </c>
      <c r="L1003" s="1288">
        <v>1.2701978232513001E-3</v>
      </c>
      <c r="M1003" s="1306">
        <v>7.1984026687627305E-4</v>
      </c>
      <c r="N1003" s="1303">
        <v>7.16551310923072E-3</v>
      </c>
      <c r="O1003" s="1288">
        <v>2.4607874227618501E-3</v>
      </c>
      <c r="P1003" s="1288">
        <v>7.1839211312385801E-3</v>
      </c>
      <c r="Q1003" s="1306">
        <v>8.7337429995912007E-3</v>
      </c>
      <c r="R1003" s="1303">
        <v>3.84644305177919E-2</v>
      </c>
      <c r="S1003" s="1288">
        <v>3.4914241677813797E-2</v>
      </c>
      <c r="T1003" s="1288">
        <v>3.8249559809573001E-2</v>
      </c>
      <c r="U1003" s="1306">
        <v>1.9250005517068101E-2</v>
      </c>
      <c r="V1003" s="1294">
        <v>6.2624130957243101E-3</v>
      </c>
    </row>
    <row r="1004" spans="1:22" s="212" customFormat="1" ht="15.5" x14ac:dyDescent="0.35">
      <c r="A1004" s="198">
        <v>2032</v>
      </c>
      <c r="B1004" s="197" t="s">
        <v>5833</v>
      </c>
      <c r="C1004" s="197">
        <v>2027</v>
      </c>
      <c r="D1004" s="225" t="str">
        <f t="shared" si="5"/>
        <v>2032_2027</v>
      </c>
      <c r="E1004" s="1231">
        <v>6.9550901338736995E-2</v>
      </c>
      <c r="F1004" s="1288">
        <v>3.9862563094336901E-3</v>
      </c>
      <c r="G1004" s="1306">
        <v>5.8340740754239798E-2</v>
      </c>
      <c r="H1004" s="1303">
        <v>0.39456827480357098</v>
      </c>
      <c r="I1004" s="1288">
        <v>5.70918802506305E-2</v>
      </c>
      <c r="J1004" s="1306">
        <v>9.6167103246492497E-2</v>
      </c>
      <c r="K1004" s="1303">
        <v>6.7676406513953501E-3</v>
      </c>
      <c r="L1004" s="1288">
        <v>1.1148861167636201E-3</v>
      </c>
      <c r="M1004" s="1306">
        <v>6.4321239976515598E-4</v>
      </c>
      <c r="N1004" s="1303">
        <v>7.8504628206927992E-3</v>
      </c>
      <c r="O1004" s="1288">
        <v>2.17493873998496E-3</v>
      </c>
      <c r="P1004" s="1288">
        <v>7.80439062381625E-3</v>
      </c>
      <c r="Q1004" s="1306">
        <v>7.9141820106778307E-3</v>
      </c>
      <c r="R1004" s="1303">
        <v>3.8361482315821302E-2</v>
      </c>
      <c r="S1004" s="1288">
        <v>3.30133479373474E-2</v>
      </c>
      <c r="T1004" s="1288">
        <v>3.8362517854726101E-2</v>
      </c>
      <c r="U1004" s="1306">
        <v>1.9250005517068101E-2</v>
      </c>
      <c r="V1004" s="1294">
        <v>7.0736433306908203E-3</v>
      </c>
    </row>
    <row r="1005" spans="1:22" s="212" customFormat="1" ht="15.5" x14ac:dyDescent="0.35">
      <c r="A1005" s="198">
        <v>2032</v>
      </c>
      <c r="B1005" s="197" t="s">
        <v>5833</v>
      </c>
      <c r="C1005" s="197">
        <v>2028</v>
      </c>
      <c r="D1005" s="225" t="str">
        <f t="shared" si="5"/>
        <v>2032_2028</v>
      </c>
      <c r="E1005" s="1231">
        <v>6.5797967365639407E-2</v>
      </c>
      <c r="F1005" s="1288">
        <v>7.7615562164873898E-3</v>
      </c>
      <c r="G1005" s="1306">
        <v>5.8616358531414101E-2</v>
      </c>
      <c r="H1005" s="1303">
        <v>0.35988049558038099</v>
      </c>
      <c r="I1005" s="1288">
        <v>9.6501354575231596E-2</v>
      </c>
      <c r="J1005" s="1306">
        <v>9.9467657038745605E-2</v>
      </c>
      <c r="K1005" s="1303">
        <v>6.5606575672884004E-3</v>
      </c>
      <c r="L1005" s="1288">
        <v>1.30429900708823E-3</v>
      </c>
      <c r="M1005" s="1306">
        <v>8.8828024275350401E-4</v>
      </c>
      <c r="N1005" s="1303">
        <v>7.7712270796596403E-3</v>
      </c>
      <c r="O1005" s="1288">
        <v>2.3743079061995099E-3</v>
      </c>
      <c r="P1005" s="1288">
        <v>7.7308208824048898E-3</v>
      </c>
      <c r="Q1005" s="1306">
        <v>7.9427433315009295E-3</v>
      </c>
      <c r="R1005" s="1303">
        <v>3.8463848921908399E-2</v>
      </c>
      <c r="S1005" s="1288">
        <v>3.4339152892674203E-2</v>
      </c>
      <c r="T1005" s="1288">
        <v>3.8062585947839199E-2</v>
      </c>
      <c r="U1005" s="1306">
        <v>1.9250005517068101E-2</v>
      </c>
      <c r="V1005" s="1294">
        <v>6.8573013899943898E-3</v>
      </c>
    </row>
    <row r="1006" spans="1:22" s="212" customFormat="1" ht="15.5" x14ac:dyDescent="0.35">
      <c r="A1006" s="198">
        <v>2032</v>
      </c>
      <c r="B1006" s="197" t="s">
        <v>5833</v>
      </c>
      <c r="C1006" s="197">
        <v>2029</v>
      </c>
      <c r="D1006" s="225" t="str">
        <f t="shared" si="5"/>
        <v>2032_2029</v>
      </c>
      <c r="E1006" s="1231">
        <v>6.3001298277391302E-2</v>
      </c>
      <c r="F1006" s="1288">
        <v>7.3972967688789902E-3</v>
      </c>
      <c r="G1006" s="1306">
        <v>6.2459533260200803E-2</v>
      </c>
      <c r="H1006" s="1303">
        <v>0.33820632928865102</v>
      </c>
      <c r="I1006" s="1288">
        <v>8.8252003171399196E-2</v>
      </c>
      <c r="J1006" s="1306">
        <v>0.11074678398179499</v>
      </c>
      <c r="K1006" s="1303">
        <v>6.2065767346590099E-3</v>
      </c>
      <c r="L1006" s="1288">
        <v>1.2517292445530499E-3</v>
      </c>
      <c r="M1006" s="1306">
        <v>7.4812717870186105E-4</v>
      </c>
      <c r="N1006" s="1303">
        <v>7.3591644136986097E-3</v>
      </c>
      <c r="O1006" s="1288">
        <v>2.3930042622993799E-3</v>
      </c>
      <c r="P1006" s="1288">
        <v>8.2423372137655493E-3</v>
      </c>
      <c r="Q1006" s="1306">
        <v>8.3085958763830601E-3</v>
      </c>
      <c r="R1006" s="1303">
        <v>3.8435790840330497E-2</v>
      </c>
      <c r="S1006" s="1288">
        <v>3.44634836607383E-2</v>
      </c>
      <c r="T1006" s="1288">
        <v>3.8206987430294201E-2</v>
      </c>
      <c r="U1006" s="1306">
        <v>1.9250005517068101E-2</v>
      </c>
      <c r="V1006" s="1294">
        <v>6.4872105933239197E-3</v>
      </c>
    </row>
    <row r="1007" spans="1:22" s="212" customFormat="1" ht="15.5" x14ac:dyDescent="0.35">
      <c r="A1007" s="198">
        <v>2032</v>
      </c>
      <c r="B1007" s="197" t="s">
        <v>5833</v>
      </c>
      <c r="C1007" s="197">
        <v>2030</v>
      </c>
      <c r="D1007" s="225" t="str">
        <f t="shared" si="5"/>
        <v>2032_2030</v>
      </c>
      <c r="E1007" s="1231">
        <v>9.0721270325979597E-2</v>
      </c>
      <c r="F1007" s="1288">
        <v>3.7312535031676199E-3</v>
      </c>
      <c r="G1007" s="1306">
        <v>8.4259658682103597E-2</v>
      </c>
      <c r="H1007" s="1303">
        <v>0.17304845238959399</v>
      </c>
      <c r="I1007" s="1288">
        <v>1.8642334923248099E-2</v>
      </c>
      <c r="J1007" s="1306">
        <v>0.16409687055443201</v>
      </c>
      <c r="K1007" s="1303">
        <v>1.0809779968320299E-2</v>
      </c>
      <c r="L1007" s="1288">
        <v>1.18162708377342E-3</v>
      </c>
      <c r="M1007" s="1306">
        <v>1.01713546417326E-2</v>
      </c>
      <c r="N1007" s="1303">
        <v>3.0000008598028201E-3</v>
      </c>
      <c r="O1007" s="1288">
        <v>2.0000005732018801E-3</v>
      </c>
      <c r="P1007" s="1288">
        <v>3.0000008598028201E-3</v>
      </c>
      <c r="Q1007" s="1306">
        <v>7.8222780240651494E-3</v>
      </c>
      <c r="R1007" s="1303">
        <v>3.1850009128239903E-2</v>
      </c>
      <c r="S1007" s="1288">
        <v>3.1850009128239903E-2</v>
      </c>
      <c r="T1007" s="1288">
        <v>3.1850009128239903E-2</v>
      </c>
      <c r="U1007" s="1306">
        <v>1.9250005517068101E-2</v>
      </c>
      <c r="V1007" s="1294">
        <v>1.12985502507995E-2</v>
      </c>
    </row>
    <row r="1008" spans="1:22" s="212" customFormat="1" ht="15.5" x14ac:dyDescent="0.35">
      <c r="A1008" s="198">
        <v>2032</v>
      </c>
      <c r="B1008" s="197" t="s">
        <v>5833</v>
      </c>
      <c r="C1008" s="197">
        <v>2031</v>
      </c>
      <c r="D1008" s="225" t="str">
        <f t="shared" si="5"/>
        <v>2032_2031</v>
      </c>
      <c r="E1008" s="1231">
        <v>8.9521679505038296E-2</v>
      </c>
      <c r="F1008" s="1288">
        <v>3.2733941960093101E-3</v>
      </c>
      <c r="G1008" s="1306">
        <v>7.9138407572982503E-2</v>
      </c>
      <c r="H1008" s="1303">
        <v>0.163686057328255</v>
      </c>
      <c r="I1008" s="1288">
        <v>2.1676436545168799E-2</v>
      </c>
      <c r="J1008" s="1306">
        <v>0.15132048681642199</v>
      </c>
      <c r="K1008" s="1303">
        <v>9.0816811534258305E-3</v>
      </c>
      <c r="L1008" s="1288">
        <v>1.12602839668791E-3</v>
      </c>
      <c r="M1008" s="1306">
        <v>8.2397453603639901E-3</v>
      </c>
      <c r="N1008" s="1303">
        <v>3.0000008598028201E-3</v>
      </c>
      <c r="O1008" s="1288">
        <v>2.0000005732018801E-3</v>
      </c>
      <c r="P1008" s="1288">
        <v>3.0000008598028201E-3</v>
      </c>
      <c r="Q1008" s="1306">
        <v>8.1120328320053899E-3</v>
      </c>
      <c r="R1008" s="1303">
        <v>3.1850009128239903E-2</v>
      </c>
      <c r="S1008" s="1288">
        <v>3.1850009128239903E-2</v>
      </c>
      <c r="T1008" s="1288">
        <v>3.1850009128239903E-2</v>
      </c>
      <c r="U1008" s="1306">
        <v>1.9250005517068101E-2</v>
      </c>
      <c r="V1008" s="1294">
        <v>9.4923144758204802E-3</v>
      </c>
    </row>
    <row r="1009" spans="1:22" s="212" customFormat="1" ht="15.5" x14ac:dyDescent="0.35">
      <c r="A1009" s="198">
        <v>2032</v>
      </c>
      <c r="B1009" s="197" t="s">
        <v>5833</v>
      </c>
      <c r="C1009" s="197">
        <v>2032</v>
      </c>
      <c r="D1009" s="225" t="str">
        <f t="shared" si="5"/>
        <v>2032_2032</v>
      </c>
      <c r="E1009" s="1231">
        <v>8.5359190553163003E-2</v>
      </c>
      <c r="F1009" s="1288">
        <v>3.75650852058362E-3</v>
      </c>
      <c r="G1009" s="1306">
        <v>6.6618873914272403E-2</v>
      </c>
      <c r="H1009" s="1303">
        <v>0.14939326020135499</v>
      </c>
      <c r="I1009" s="1288">
        <v>1.97367764797905E-2</v>
      </c>
      <c r="J1009" s="1306">
        <v>0.122411958635973</v>
      </c>
      <c r="K1009" s="1303">
        <v>6.9733999884125496E-3</v>
      </c>
      <c r="L1009" s="1288">
        <v>1.15974683810056E-3</v>
      </c>
      <c r="M1009" s="1306">
        <v>5.6415331592436701E-3</v>
      </c>
      <c r="N1009" s="1303">
        <v>3.0000008598028201E-3</v>
      </c>
      <c r="O1009" s="1288">
        <v>2.0000005732018801E-3</v>
      </c>
      <c r="P1009" s="1288">
        <v>3.0000008598028201E-3</v>
      </c>
      <c r="Q1009" s="1306">
        <v>7.7480283451327701E-3</v>
      </c>
      <c r="R1009" s="1303">
        <v>3.1850009128239903E-2</v>
      </c>
      <c r="S1009" s="1288">
        <v>3.1850009128239903E-2</v>
      </c>
      <c r="T1009" s="1288">
        <v>3.1850009128239903E-2</v>
      </c>
      <c r="U1009" s="1306">
        <v>1.9250005517068E-2</v>
      </c>
      <c r="V1009" s="1294">
        <v>7.2887061918844101E-3</v>
      </c>
    </row>
    <row r="1010" spans="1:22" s="212" customFormat="1" ht="15.5" x14ac:dyDescent="0.35">
      <c r="A1010" s="198">
        <v>2032</v>
      </c>
      <c r="B1010" s="197" t="s">
        <v>5833</v>
      </c>
      <c r="C1010" s="197">
        <v>2033</v>
      </c>
      <c r="D1010" s="225" t="str">
        <f t="shared" si="5"/>
        <v>2032_2033</v>
      </c>
      <c r="E1010" s="1226">
        <v>8.5359190553163003E-2</v>
      </c>
      <c r="F1010" s="1257">
        <v>3.75650852058362E-3</v>
      </c>
      <c r="G1010" s="1280">
        <v>6.6618873914272403E-2</v>
      </c>
      <c r="H1010" s="1271">
        <v>0.14939326020135499</v>
      </c>
      <c r="I1010" s="1257">
        <v>1.97367764797905E-2</v>
      </c>
      <c r="J1010" s="1280">
        <v>0.122411958635973</v>
      </c>
      <c r="K1010" s="1271">
        <v>6.9733999884125496E-3</v>
      </c>
      <c r="L1010" s="1257">
        <v>1.15974683810056E-3</v>
      </c>
      <c r="M1010" s="1280">
        <v>5.6415331592436701E-3</v>
      </c>
      <c r="N1010" s="1271">
        <v>3.0000008598028201E-3</v>
      </c>
      <c r="O1010" s="1257">
        <v>2.0000005732018801E-3</v>
      </c>
      <c r="P1010" s="1257">
        <v>3.0000008598028201E-3</v>
      </c>
      <c r="Q1010" s="1280">
        <v>7.7480283451327701E-3</v>
      </c>
      <c r="R1010" s="1271">
        <v>3.1850009128239903E-2</v>
      </c>
      <c r="S1010" s="1257">
        <v>3.1850009128239903E-2</v>
      </c>
      <c r="T1010" s="1257">
        <v>3.1850009128239903E-2</v>
      </c>
      <c r="U1010" s="1280">
        <v>1.9250005517068E-2</v>
      </c>
      <c r="V1010" s="1293">
        <v>7.2887061918844101E-3</v>
      </c>
    </row>
    <row r="1011" spans="1:22" s="212" customFormat="1" ht="15.5" x14ac:dyDescent="0.35">
      <c r="A1011" s="198">
        <v>2033</v>
      </c>
      <c r="B1011" s="197" t="s">
        <v>5833</v>
      </c>
      <c r="C1011" s="197">
        <v>1971</v>
      </c>
      <c r="D1011" s="225" t="str">
        <f t="shared" si="5"/>
        <v>2033_1971</v>
      </c>
      <c r="E1011" s="1226">
        <v>7.2094113434234594E-2</v>
      </c>
      <c r="F1011" s="1257">
        <v>1.41475930585508E-2</v>
      </c>
      <c r="G1011" s="1280">
        <v>6.2318134998393303E-2</v>
      </c>
      <c r="H1011" s="1271">
        <v>0.40784655557003102</v>
      </c>
      <c r="I1011" s="1257">
        <v>0.43390180509347898</v>
      </c>
      <c r="J1011" s="1280">
        <v>0.122941135269169</v>
      </c>
      <c r="K1011" s="1271">
        <v>7.3433684624369397E-3</v>
      </c>
      <c r="L1011" s="1257">
        <v>1.37286052208778E-3</v>
      </c>
      <c r="M1011" s="1280">
        <v>4.3604200799669303E-4</v>
      </c>
      <c r="N1011" s="1271">
        <v>8.6615443713661602E-3</v>
      </c>
      <c r="O1011" s="1257">
        <v>3.0000008598028201E-3</v>
      </c>
      <c r="P1011" s="1257">
        <v>7.9450501810529994E-3</v>
      </c>
      <c r="Q1011" s="1280">
        <v>8.6615443713661602E-3</v>
      </c>
      <c r="R1011" s="1271">
        <v>3.8500011034136201E-2</v>
      </c>
      <c r="S1011" s="1257">
        <v>3.8500011034136201E-2</v>
      </c>
      <c r="T1011" s="1257">
        <v>3.8500011034136201E-2</v>
      </c>
      <c r="U1011" s="1280">
        <v>1.9250005517068101E-2</v>
      </c>
      <c r="V1011" s="1293">
        <v>7.6754029985933898E-3</v>
      </c>
    </row>
    <row r="1012" spans="1:22" s="212" customFormat="1" ht="15.5" x14ac:dyDescent="0.35">
      <c r="A1012" s="198">
        <v>2033</v>
      </c>
      <c r="B1012" s="197" t="s">
        <v>5833</v>
      </c>
      <c r="C1012" s="197">
        <v>1972</v>
      </c>
      <c r="D1012" s="225" t="str">
        <f t="shared" si="5"/>
        <v>2033_1972</v>
      </c>
      <c r="E1012" s="1226">
        <v>7.2094113434234594E-2</v>
      </c>
      <c r="F1012" s="1257">
        <v>1.41475930585508E-2</v>
      </c>
      <c r="G1012" s="1280">
        <v>6.2318134998393303E-2</v>
      </c>
      <c r="H1012" s="1271">
        <v>0.40784655557003102</v>
      </c>
      <c r="I1012" s="1257">
        <v>0.43390180509347898</v>
      </c>
      <c r="J1012" s="1280">
        <v>0.122941135269169</v>
      </c>
      <c r="K1012" s="1271">
        <v>7.3433684624369397E-3</v>
      </c>
      <c r="L1012" s="1257">
        <v>1.37286052208778E-3</v>
      </c>
      <c r="M1012" s="1280">
        <v>4.3604200799669303E-4</v>
      </c>
      <c r="N1012" s="1271">
        <v>8.6615443713661602E-3</v>
      </c>
      <c r="O1012" s="1257">
        <v>3.0000008598028201E-3</v>
      </c>
      <c r="P1012" s="1257">
        <v>7.9450501810529994E-3</v>
      </c>
      <c r="Q1012" s="1280">
        <v>8.6615443713661602E-3</v>
      </c>
      <c r="R1012" s="1271">
        <v>3.8500011034136201E-2</v>
      </c>
      <c r="S1012" s="1257">
        <v>3.8500011034136201E-2</v>
      </c>
      <c r="T1012" s="1257">
        <v>3.8500011034136201E-2</v>
      </c>
      <c r="U1012" s="1280">
        <v>1.9250005517068101E-2</v>
      </c>
      <c r="V1012" s="1293">
        <v>7.6754029985933898E-3</v>
      </c>
    </row>
    <row r="1013" spans="1:22" s="212" customFormat="1" ht="15.5" x14ac:dyDescent="0.35">
      <c r="A1013" s="198">
        <v>2033</v>
      </c>
      <c r="B1013" s="197" t="s">
        <v>5833</v>
      </c>
      <c r="C1013" s="197">
        <v>1973</v>
      </c>
      <c r="D1013" s="225" t="str">
        <f t="shared" si="5"/>
        <v>2033_1973</v>
      </c>
      <c r="E1013" s="1226">
        <v>7.2094113434234594E-2</v>
      </c>
      <c r="F1013" s="1257">
        <v>1.41475930585508E-2</v>
      </c>
      <c r="G1013" s="1280">
        <v>6.2318134998393303E-2</v>
      </c>
      <c r="H1013" s="1271">
        <v>0.40784655557003102</v>
      </c>
      <c r="I1013" s="1257">
        <v>0.43390180509347898</v>
      </c>
      <c r="J1013" s="1280">
        <v>0.122941135269169</v>
      </c>
      <c r="K1013" s="1271">
        <v>7.3433684624369397E-3</v>
      </c>
      <c r="L1013" s="1257">
        <v>1.37286052208778E-3</v>
      </c>
      <c r="M1013" s="1280">
        <v>4.3604200799669303E-4</v>
      </c>
      <c r="N1013" s="1271">
        <v>8.6615443713661602E-3</v>
      </c>
      <c r="O1013" s="1257">
        <v>3.0000008598028201E-3</v>
      </c>
      <c r="P1013" s="1257">
        <v>7.9450501810529994E-3</v>
      </c>
      <c r="Q1013" s="1280">
        <v>8.6615443713661602E-3</v>
      </c>
      <c r="R1013" s="1271">
        <v>3.8500011034136201E-2</v>
      </c>
      <c r="S1013" s="1257">
        <v>3.8500011034136201E-2</v>
      </c>
      <c r="T1013" s="1257">
        <v>3.8500011034136201E-2</v>
      </c>
      <c r="U1013" s="1280">
        <v>1.9250005517068101E-2</v>
      </c>
      <c r="V1013" s="1293">
        <v>7.6754029985933898E-3</v>
      </c>
    </row>
    <row r="1014" spans="1:22" s="212" customFormat="1" ht="15.5" x14ac:dyDescent="0.35">
      <c r="A1014" s="198">
        <v>2033</v>
      </c>
      <c r="B1014" s="197" t="s">
        <v>5833</v>
      </c>
      <c r="C1014" s="197">
        <v>1974</v>
      </c>
      <c r="D1014" s="225" t="str">
        <f t="shared" si="5"/>
        <v>2033_1974</v>
      </c>
      <c r="E1014" s="1226">
        <v>7.2094113434234594E-2</v>
      </c>
      <c r="F1014" s="1257">
        <v>1.41475930585508E-2</v>
      </c>
      <c r="G1014" s="1280">
        <v>6.2318134998393303E-2</v>
      </c>
      <c r="H1014" s="1271">
        <v>0.40784655557003102</v>
      </c>
      <c r="I1014" s="1257">
        <v>0.43390180509347898</v>
      </c>
      <c r="J1014" s="1280">
        <v>0.122941135269169</v>
      </c>
      <c r="K1014" s="1271">
        <v>7.3433684624369397E-3</v>
      </c>
      <c r="L1014" s="1257">
        <v>1.37286052208778E-3</v>
      </c>
      <c r="M1014" s="1280">
        <v>4.3604200799669303E-4</v>
      </c>
      <c r="N1014" s="1271">
        <v>8.6615443713661602E-3</v>
      </c>
      <c r="O1014" s="1257">
        <v>3.0000008598028201E-3</v>
      </c>
      <c r="P1014" s="1257">
        <v>7.9450501810529994E-3</v>
      </c>
      <c r="Q1014" s="1280">
        <v>8.6615443713661602E-3</v>
      </c>
      <c r="R1014" s="1271">
        <v>3.8500011034136201E-2</v>
      </c>
      <c r="S1014" s="1257">
        <v>3.8500011034136201E-2</v>
      </c>
      <c r="T1014" s="1257">
        <v>3.8500011034136201E-2</v>
      </c>
      <c r="U1014" s="1280">
        <v>1.9250005517068101E-2</v>
      </c>
      <c r="V1014" s="1293">
        <v>7.6754029985933898E-3</v>
      </c>
    </row>
    <row r="1015" spans="1:22" s="212" customFormat="1" ht="15.5" x14ac:dyDescent="0.35">
      <c r="A1015" s="198">
        <v>2033</v>
      </c>
      <c r="B1015" s="197" t="s">
        <v>5833</v>
      </c>
      <c r="C1015" s="197">
        <v>1975</v>
      </c>
      <c r="D1015" s="225" t="str">
        <f t="shared" si="5"/>
        <v>2033_1975</v>
      </c>
      <c r="E1015" s="1226">
        <v>7.2094113434234594E-2</v>
      </c>
      <c r="F1015" s="1257">
        <v>1.41475930585508E-2</v>
      </c>
      <c r="G1015" s="1280">
        <v>6.2318134998393303E-2</v>
      </c>
      <c r="H1015" s="1271">
        <v>0.40784655557003102</v>
      </c>
      <c r="I1015" s="1257">
        <v>0.43390180509347898</v>
      </c>
      <c r="J1015" s="1280">
        <v>0.122941135269169</v>
      </c>
      <c r="K1015" s="1271">
        <v>7.3433684624369397E-3</v>
      </c>
      <c r="L1015" s="1257">
        <v>1.37286052208778E-3</v>
      </c>
      <c r="M1015" s="1280">
        <v>4.3604200799669303E-4</v>
      </c>
      <c r="N1015" s="1271">
        <v>8.6615443713661602E-3</v>
      </c>
      <c r="O1015" s="1257">
        <v>3.0000008598028201E-3</v>
      </c>
      <c r="P1015" s="1257">
        <v>7.9450501810529994E-3</v>
      </c>
      <c r="Q1015" s="1280">
        <v>8.6615443713661602E-3</v>
      </c>
      <c r="R1015" s="1271">
        <v>3.8500011034136201E-2</v>
      </c>
      <c r="S1015" s="1257">
        <v>3.8500011034136201E-2</v>
      </c>
      <c r="T1015" s="1257">
        <v>3.8500011034136201E-2</v>
      </c>
      <c r="U1015" s="1280">
        <v>1.9250005517068101E-2</v>
      </c>
      <c r="V1015" s="1293">
        <v>7.6754029985933898E-3</v>
      </c>
    </row>
    <row r="1016" spans="1:22" s="212" customFormat="1" ht="15.5" x14ac:dyDescent="0.35">
      <c r="A1016" s="198">
        <v>2033</v>
      </c>
      <c r="B1016" s="197" t="s">
        <v>5833</v>
      </c>
      <c r="C1016" s="197">
        <v>1976</v>
      </c>
      <c r="D1016" s="225" t="str">
        <f t="shared" si="5"/>
        <v>2033_1976</v>
      </c>
      <c r="E1016" s="1226">
        <v>7.2094113434234594E-2</v>
      </c>
      <c r="F1016" s="1257">
        <v>1.41475930585508E-2</v>
      </c>
      <c r="G1016" s="1280">
        <v>6.2318134998393303E-2</v>
      </c>
      <c r="H1016" s="1271">
        <v>0.40784655557003102</v>
      </c>
      <c r="I1016" s="1257">
        <v>0.43390180509347898</v>
      </c>
      <c r="J1016" s="1280">
        <v>0.122941135269169</v>
      </c>
      <c r="K1016" s="1271">
        <v>7.3433684624369397E-3</v>
      </c>
      <c r="L1016" s="1257">
        <v>1.37286052208778E-3</v>
      </c>
      <c r="M1016" s="1280">
        <v>4.3604200799669303E-4</v>
      </c>
      <c r="N1016" s="1271">
        <v>8.6615443713661602E-3</v>
      </c>
      <c r="O1016" s="1257">
        <v>3.0000008598028201E-3</v>
      </c>
      <c r="P1016" s="1257">
        <v>7.9450501810529994E-3</v>
      </c>
      <c r="Q1016" s="1280">
        <v>8.6615443713661602E-3</v>
      </c>
      <c r="R1016" s="1271">
        <v>3.8500011034136201E-2</v>
      </c>
      <c r="S1016" s="1257">
        <v>3.8500011034136201E-2</v>
      </c>
      <c r="T1016" s="1257">
        <v>3.8500011034136201E-2</v>
      </c>
      <c r="U1016" s="1280">
        <v>1.9250005517068101E-2</v>
      </c>
      <c r="V1016" s="1293">
        <v>7.6754029985933898E-3</v>
      </c>
    </row>
    <row r="1017" spans="1:22" s="212" customFormat="1" ht="15.5" x14ac:dyDescent="0.35">
      <c r="A1017" s="198">
        <v>2033</v>
      </c>
      <c r="B1017" s="197" t="s">
        <v>5833</v>
      </c>
      <c r="C1017" s="197">
        <v>1977</v>
      </c>
      <c r="D1017" s="225" t="str">
        <f t="shared" si="5"/>
        <v>2033_1977</v>
      </c>
      <c r="E1017" s="1226">
        <v>7.2094113434234594E-2</v>
      </c>
      <c r="F1017" s="1257">
        <v>1.41475930585508E-2</v>
      </c>
      <c r="G1017" s="1280">
        <v>6.2318134998393303E-2</v>
      </c>
      <c r="H1017" s="1271">
        <v>0.40784655557003102</v>
      </c>
      <c r="I1017" s="1257">
        <v>0.43390180509347898</v>
      </c>
      <c r="J1017" s="1280">
        <v>0.122941135269169</v>
      </c>
      <c r="K1017" s="1271">
        <v>7.3433684624369397E-3</v>
      </c>
      <c r="L1017" s="1257">
        <v>1.37286052208778E-3</v>
      </c>
      <c r="M1017" s="1280">
        <v>4.3604200799669303E-4</v>
      </c>
      <c r="N1017" s="1271">
        <v>8.6615443713661602E-3</v>
      </c>
      <c r="O1017" s="1257">
        <v>3.0000008598028201E-3</v>
      </c>
      <c r="P1017" s="1257">
        <v>7.9450501810529994E-3</v>
      </c>
      <c r="Q1017" s="1280">
        <v>8.6615443713661602E-3</v>
      </c>
      <c r="R1017" s="1271">
        <v>3.8500011034136201E-2</v>
      </c>
      <c r="S1017" s="1257">
        <v>3.8500011034136201E-2</v>
      </c>
      <c r="T1017" s="1257">
        <v>3.8500011034136201E-2</v>
      </c>
      <c r="U1017" s="1280">
        <v>1.9250005517068101E-2</v>
      </c>
      <c r="V1017" s="1293">
        <v>7.6754029985933898E-3</v>
      </c>
    </row>
    <row r="1018" spans="1:22" s="212" customFormat="1" ht="15.5" x14ac:dyDescent="0.35">
      <c r="A1018" s="198">
        <v>2033</v>
      </c>
      <c r="B1018" s="197" t="s">
        <v>5833</v>
      </c>
      <c r="C1018" s="197">
        <v>1978</v>
      </c>
      <c r="D1018" s="225" t="str">
        <f t="shared" si="5"/>
        <v>2033_1978</v>
      </c>
      <c r="E1018" s="1226">
        <v>7.2094113434234594E-2</v>
      </c>
      <c r="F1018" s="1257">
        <v>1.41475930585508E-2</v>
      </c>
      <c r="G1018" s="1280">
        <v>6.2318134998393303E-2</v>
      </c>
      <c r="H1018" s="1271">
        <v>0.40784655557003102</v>
      </c>
      <c r="I1018" s="1257">
        <v>0.43390180509347898</v>
      </c>
      <c r="J1018" s="1280">
        <v>0.122941135269169</v>
      </c>
      <c r="K1018" s="1271">
        <v>7.3433684624369397E-3</v>
      </c>
      <c r="L1018" s="1257">
        <v>1.37286052208778E-3</v>
      </c>
      <c r="M1018" s="1280">
        <v>4.3604200799669303E-4</v>
      </c>
      <c r="N1018" s="1271">
        <v>8.6615443713661602E-3</v>
      </c>
      <c r="O1018" s="1257">
        <v>3.0000008598028201E-3</v>
      </c>
      <c r="P1018" s="1257">
        <v>7.9450501810529994E-3</v>
      </c>
      <c r="Q1018" s="1280">
        <v>8.6615443713661602E-3</v>
      </c>
      <c r="R1018" s="1271">
        <v>3.8500011034136201E-2</v>
      </c>
      <c r="S1018" s="1257">
        <v>3.8500011034136201E-2</v>
      </c>
      <c r="T1018" s="1257">
        <v>3.8500011034136201E-2</v>
      </c>
      <c r="U1018" s="1280">
        <v>1.9250005517068101E-2</v>
      </c>
      <c r="V1018" s="1293">
        <v>7.6754029985933898E-3</v>
      </c>
    </row>
    <row r="1019" spans="1:22" s="212" customFormat="1" ht="15.5" x14ac:dyDescent="0.35">
      <c r="A1019" s="198">
        <v>2033</v>
      </c>
      <c r="B1019" s="197" t="s">
        <v>5833</v>
      </c>
      <c r="C1019" s="197">
        <v>1979</v>
      </c>
      <c r="D1019" s="225" t="str">
        <f t="shared" si="5"/>
        <v>2033_1979</v>
      </c>
      <c r="E1019" s="1226">
        <v>7.2094113434234594E-2</v>
      </c>
      <c r="F1019" s="1257">
        <v>1.41475930585508E-2</v>
      </c>
      <c r="G1019" s="1280">
        <v>6.2318134998393303E-2</v>
      </c>
      <c r="H1019" s="1271">
        <v>0.40784655557003102</v>
      </c>
      <c r="I1019" s="1257">
        <v>0.43390180509347898</v>
      </c>
      <c r="J1019" s="1280">
        <v>0.122941135269169</v>
      </c>
      <c r="K1019" s="1271">
        <v>7.3433684624369397E-3</v>
      </c>
      <c r="L1019" s="1257">
        <v>1.37286052208778E-3</v>
      </c>
      <c r="M1019" s="1280">
        <v>4.3604200799669303E-4</v>
      </c>
      <c r="N1019" s="1271">
        <v>8.6615443713661602E-3</v>
      </c>
      <c r="O1019" s="1257">
        <v>3.0000008598028201E-3</v>
      </c>
      <c r="P1019" s="1257">
        <v>7.9450501810529994E-3</v>
      </c>
      <c r="Q1019" s="1280">
        <v>8.6615443713661602E-3</v>
      </c>
      <c r="R1019" s="1271">
        <v>3.8500011034136201E-2</v>
      </c>
      <c r="S1019" s="1257">
        <v>3.8500011034136201E-2</v>
      </c>
      <c r="T1019" s="1257">
        <v>3.8500011034136201E-2</v>
      </c>
      <c r="U1019" s="1280">
        <v>1.9250005517068101E-2</v>
      </c>
      <c r="V1019" s="1293">
        <v>7.6754029985933898E-3</v>
      </c>
    </row>
    <row r="1020" spans="1:22" s="212" customFormat="1" ht="15.5" x14ac:dyDescent="0.35">
      <c r="A1020" s="198">
        <v>2033</v>
      </c>
      <c r="B1020" s="197" t="s">
        <v>5833</v>
      </c>
      <c r="C1020" s="197">
        <v>1980</v>
      </c>
      <c r="D1020" s="225" t="str">
        <f t="shared" si="5"/>
        <v>2033_1980</v>
      </c>
      <c r="E1020" s="1226">
        <v>7.2094113434234594E-2</v>
      </c>
      <c r="F1020" s="1257">
        <v>1.41475930585508E-2</v>
      </c>
      <c r="G1020" s="1280">
        <v>6.2318134998393303E-2</v>
      </c>
      <c r="H1020" s="1271">
        <v>0.40784655557003102</v>
      </c>
      <c r="I1020" s="1257">
        <v>0.43390180509347898</v>
      </c>
      <c r="J1020" s="1280">
        <v>0.122941135269169</v>
      </c>
      <c r="K1020" s="1271">
        <v>7.3433684624369397E-3</v>
      </c>
      <c r="L1020" s="1257">
        <v>1.37286052208778E-3</v>
      </c>
      <c r="M1020" s="1280">
        <v>4.3604200799669303E-4</v>
      </c>
      <c r="N1020" s="1271">
        <v>8.6615443713661602E-3</v>
      </c>
      <c r="O1020" s="1257">
        <v>3.0000008598028201E-3</v>
      </c>
      <c r="P1020" s="1257">
        <v>7.9450501810529994E-3</v>
      </c>
      <c r="Q1020" s="1280">
        <v>8.6615443713661602E-3</v>
      </c>
      <c r="R1020" s="1271">
        <v>3.8500011034136201E-2</v>
      </c>
      <c r="S1020" s="1257">
        <v>3.8500011034136201E-2</v>
      </c>
      <c r="T1020" s="1257">
        <v>3.8500011034136201E-2</v>
      </c>
      <c r="U1020" s="1280">
        <v>1.9250005517068101E-2</v>
      </c>
      <c r="V1020" s="1293">
        <v>7.6754029985933898E-3</v>
      </c>
    </row>
    <row r="1021" spans="1:22" s="212" customFormat="1" ht="15.5" x14ac:dyDescent="0.35">
      <c r="A1021" s="198">
        <v>2033</v>
      </c>
      <c r="B1021" s="197" t="s">
        <v>5833</v>
      </c>
      <c r="C1021" s="197">
        <v>1981</v>
      </c>
      <c r="D1021" s="225" t="str">
        <f t="shared" si="5"/>
        <v>2033_1981</v>
      </c>
      <c r="E1021" s="1226">
        <v>7.2094113434234594E-2</v>
      </c>
      <c r="F1021" s="1257">
        <v>1.41475930585508E-2</v>
      </c>
      <c r="G1021" s="1280">
        <v>6.2318134998393303E-2</v>
      </c>
      <c r="H1021" s="1271">
        <v>0.40784655557003102</v>
      </c>
      <c r="I1021" s="1257">
        <v>0.43390180509347898</v>
      </c>
      <c r="J1021" s="1280">
        <v>0.122941135269169</v>
      </c>
      <c r="K1021" s="1271">
        <v>7.3433684624369397E-3</v>
      </c>
      <c r="L1021" s="1257">
        <v>1.37286052208778E-3</v>
      </c>
      <c r="M1021" s="1280">
        <v>4.3604200799669303E-4</v>
      </c>
      <c r="N1021" s="1271">
        <v>8.6615443713661602E-3</v>
      </c>
      <c r="O1021" s="1257">
        <v>3.0000008598028201E-3</v>
      </c>
      <c r="P1021" s="1257">
        <v>7.9450501810529994E-3</v>
      </c>
      <c r="Q1021" s="1280">
        <v>8.6615443713661602E-3</v>
      </c>
      <c r="R1021" s="1271">
        <v>3.8500011034136201E-2</v>
      </c>
      <c r="S1021" s="1257">
        <v>3.8500011034136201E-2</v>
      </c>
      <c r="T1021" s="1257">
        <v>3.8500011034136201E-2</v>
      </c>
      <c r="U1021" s="1280">
        <v>1.9250005517068101E-2</v>
      </c>
      <c r="V1021" s="1293">
        <v>7.6754029985933898E-3</v>
      </c>
    </row>
    <row r="1022" spans="1:22" s="212" customFormat="1" ht="15.5" x14ac:dyDescent="0.35">
      <c r="A1022" s="198">
        <v>2033</v>
      </c>
      <c r="B1022" s="197" t="s">
        <v>5833</v>
      </c>
      <c r="C1022" s="197">
        <v>1982</v>
      </c>
      <c r="D1022" s="225" t="str">
        <f t="shared" si="5"/>
        <v>2033_1982</v>
      </c>
      <c r="E1022" s="1226">
        <v>7.2094113434234594E-2</v>
      </c>
      <c r="F1022" s="1257">
        <v>1.41475930585508E-2</v>
      </c>
      <c r="G1022" s="1280">
        <v>6.2318134998393303E-2</v>
      </c>
      <c r="H1022" s="1271">
        <v>0.40784655557003102</v>
      </c>
      <c r="I1022" s="1257">
        <v>0.43390180509347898</v>
      </c>
      <c r="J1022" s="1280">
        <v>0.122941135269169</v>
      </c>
      <c r="K1022" s="1271">
        <v>7.3433684624369397E-3</v>
      </c>
      <c r="L1022" s="1257">
        <v>1.37286052208778E-3</v>
      </c>
      <c r="M1022" s="1280">
        <v>4.3604200799669303E-4</v>
      </c>
      <c r="N1022" s="1271">
        <v>8.6615443713661602E-3</v>
      </c>
      <c r="O1022" s="1257">
        <v>3.0000008598028201E-3</v>
      </c>
      <c r="P1022" s="1257">
        <v>7.9450501810529994E-3</v>
      </c>
      <c r="Q1022" s="1280">
        <v>8.6615443713661602E-3</v>
      </c>
      <c r="R1022" s="1271">
        <v>3.8500011034136201E-2</v>
      </c>
      <c r="S1022" s="1257">
        <v>3.8500011034136201E-2</v>
      </c>
      <c r="T1022" s="1257">
        <v>3.8500011034136201E-2</v>
      </c>
      <c r="U1022" s="1280">
        <v>1.9250005517068101E-2</v>
      </c>
      <c r="V1022" s="1293">
        <v>7.6754029985933898E-3</v>
      </c>
    </row>
    <row r="1023" spans="1:22" s="212" customFormat="1" ht="15.5" x14ac:dyDescent="0.35">
      <c r="A1023" s="198">
        <v>2033</v>
      </c>
      <c r="B1023" s="197" t="s">
        <v>5833</v>
      </c>
      <c r="C1023" s="197">
        <v>1983</v>
      </c>
      <c r="D1023" s="225" t="str">
        <f t="shared" si="5"/>
        <v>2033_1983</v>
      </c>
      <c r="E1023" s="1226">
        <v>7.2094113434234594E-2</v>
      </c>
      <c r="F1023" s="1257">
        <v>1.41475930585508E-2</v>
      </c>
      <c r="G1023" s="1280">
        <v>6.2318134998393303E-2</v>
      </c>
      <c r="H1023" s="1271">
        <v>0.40784655557003102</v>
      </c>
      <c r="I1023" s="1257">
        <v>0.43390180509347898</v>
      </c>
      <c r="J1023" s="1280">
        <v>0.122941135269169</v>
      </c>
      <c r="K1023" s="1271">
        <v>7.3433684624369397E-3</v>
      </c>
      <c r="L1023" s="1257">
        <v>1.37286052208778E-3</v>
      </c>
      <c r="M1023" s="1280">
        <v>4.3604200799669303E-4</v>
      </c>
      <c r="N1023" s="1271">
        <v>8.6615443713661602E-3</v>
      </c>
      <c r="O1023" s="1257">
        <v>3.0000008598028201E-3</v>
      </c>
      <c r="P1023" s="1257">
        <v>7.9450501810529994E-3</v>
      </c>
      <c r="Q1023" s="1280">
        <v>8.6615443713661602E-3</v>
      </c>
      <c r="R1023" s="1271">
        <v>3.8500011034136201E-2</v>
      </c>
      <c r="S1023" s="1257">
        <v>3.8500011034136201E-2</v>
      </c>
      <c r="T1023" s="1257">
        <v>3.8500011034136201E-2</v>
      </c>
      <c r="U1023" s="1280">
        <v>1.9250005517068101E-2</v>
      </c>
      <c r="V1023" s="1293">
        <v>7.6754029985933898E-3</v>
      </c>
    </row>
    <row r="1024" spans="1:22" s="212" customFormat="1" ht="15.5" x14ac:dyDescent="0.35">
      <c r="A1024" s="198">
        <v>2033</v>
      </c>
      <c r="B1024" s="197" t="s">
        <v>5833</v>
      </c>
      <c r="C1024" s="197">
        <v>1984</v>
      </c>
      <c r="D1024" s="225" t="str">
        <f t="shared" si="5"/>
        <v>2033_1984</v>
      </c>
      <c r="E1024" s="1226">
        <v>7.2094113434234594E-2</v>
      </c>
      <c r="F1024" s="1257">
        <v>1.41475930585508E-2</v>
      </c>
      <c r="G1024" s="1280">
        <v>6.2318134998393303E-2</v>
      </c>
      <c r="H1024" s="1271">
        <v>0.40784655557003102</v>
      </c>
      <c r="I1024" s="1257">
        <v>0.43390180509347898</v>
      </c>
      <c r="J1024" s="1280">
        <v>0.122941135269169</v>
      </c>
      <c r="K1024" s="1271">
        <v>7.3433684624369397E-3</v>
      </c>
      <c r="L1024" s="1257">
        <v>1.37286052208778E-3</v>
      </c>
      <c r="M1024" s="1280">
        <v>4.3604200799669303E-4</v>
      </c>
      <c r="N1024" s="1271">
        <v>8.6615443713661602E-3</v>
      </c>
      <c r="O1024" s="1257">
        <v>3.0000008598028201E-3</v>
      </c>
      <c r="P1024" s="1257">
        <v>7.9450501810529994E-3</v>
      </c>
      <c r="Q1024" s="1280">
        <v>8.6615443713661602E-3</v>
      </c>
      <c r="R1024" s="1271">
        <v>3.8500011034136201E-2</v>
      </c>
      <c r="S1024" s="1257">
        <v>3.8500011034136201E-2</v>
      </c>
      <c r="T1024" s="1257">
        <v>3.8500011034136201E-2</v>
      </c>
      <c r="U1024" s="1280">
        <v>1.9250005517068101E-2</v>
      </c>
      <c r="V1024" s="1293">
        <v>7.6754029985933898E-3</v>
      </c>
    </row>
    <row r="1025" spans="1:22" s="212" customFormat="1" ht="15.5" x14ac:dyDescent="0.35">
      <c r="A1025" s="198">
        <v>2033</v>
      </c>
      <c r="B1025" s="197" t="s">
        <v>5833</v>
      </c>
      <c r="C1025" s="197">
        <v>1985</v>
      </c>
      <c r="D1025" s="225" t="str">
        <f t="shared" si="5"/>
        <v>2033_1985</v>
      </c>
      <c r="E1025" s="1226">
        <v>7.2094113434234594E-2</v>
      </c>
      <c r="F1025" s="1257">
        <v>1.41475930585508E-2</v>
      </c>
      <c r="G1025" s="1280">
        <v>6.2318134998393303E-2</v>
      </c>
      <c r="H1025" s="1271">
        <v>0.40784655557003102</v>
      </c>
      <c r="I1025" s="1257">
        <v>0.43390180509347898</v>
      </c>
      <c r="J1025" s="1280">
        <v>0.122941135269169</v>
      </c>
      <c r="K1025" s="1271">
        <v>7.3433684624369397E-3</v>
      </c>
      <c r="L1025" s="1257">
        <v>1.37286052208778E-3</v>
      </c>
      <c r="M1025" s="1280">
        <v>4.3604200799669303E-4</v>
      </c>
      <c r="N1025" s="1271">
        <v>8.6615443713661602E-3</v>
      </c>
      <c r="O1025" s="1257">
        <v>3.0000008598028201E-3</v>
      </c>
      <c r="P1025" s="1257">
        <v>7.9450501810529994E-3</v>
      </c>
      <c r="Q1025" s="1280">
        <v>8.6615443713661602E-3</v>
      </c>
      <c r="R1025" s="1271">
        <v>3.8500011034136201E-2</v>
      </c>
      <c r="S1025" s="1257">
        <v>3.8500011034136201E-2</v>
      </c>
      <c r="T1025" s="1257">
        <v>3.8500011034136201E-2</v>
      </c>
      <c r="U1025" s="1280">
        <v>1.9250005517068101E-2</v>
      </c>
      <c r="V1025" s="1293">
        <v>7.6754029985933898E-3</v>
      </c>
    </row>
    <row r="1026" spans="1:22" s="212" customFormat="1" ht="15.5" x14ac:dyDescent="0.35">
      <c r="A1026" s="198">
        <v>2033</v>
      </c>
      <c r="B1026" s="197" t="s">
        <v>5833</v>
      </c>
      <c r="C1026" s="197">
        <v>1986</v>
      </c>
      <c r="D1026" s="225" t="str">
        <f t="shared" si="5"/>
        <v>2033_1986</v>
      </c>
      <c r="E1026" s="1226">
        <v>7.2094113434234594E-2</v>
      </c>
      <c r="F1026" s="1257">
        <v>1.41475930585508E-2</v>
      </c>
      <c r="G1026" s="1280">
        <v>6.2318134998393303E-2</v>
      </c>
      <c r="H1026" s="1271">
        <v>0.40784655557003102</v>
      </c>
      <c r="I1026" s="1257">
        <v>0.43390180509347898</v>
      </c>
      <c r="J1026" s="1280">
        <v>0.122941135269169</v>
      </c>
      <c r="K1026" s="1271">
        <v>7.3433684624369397E-3</v>
      </c>
      <c r="L1026" s="1257">
        <v>1.37286052208778E-3</v>
      </c>
      <c r="M1026" s="1280">
        <v>4.3604200799669303E-4</v>
      </c>
      <c r="N1026" s="1271">
        <v>8.6615443713661602E-3</v>
      </c>
      <c r="O1026" s="1257">
        <v>3.0000008598028201E-3</v>
      </c>
      <c r="P1026" s="1257">
        <v>7.9450501810529994E-3</v>
      </c>
      <c r="Q1026" s="1280">
        <v>8.6615443713661602E-3</v>
      </c>
      <c r="R1026" s="1271">
        <v>3.8500011034136201E-2</v>
      </c>
      <c r="S1026" s="1257">
        <v>3.8500011034136201E-2</v>
      </c>
      <c r="T1026" s="1257">
        <v>3.8500011034136201E-2</v>
      </c>
      <c r="U1026" s="1280">
        <v>1.9250005517068101E-2</v>
      </c>
      <c r="V1026" s="1293">
        <v>7.6754029985933898E-3</v>
      </c>
    </row>
    <row r="1027" spans="1:22" s="212" customFormat="1" ht="15.5" x14ac:dyDescent="0.35">
      <c r="A1027" s="198">
        <v>2033</v>
      </c>
      <c r="B1027" s="197" t="s">
        <v>5833</v>
      </c>
      <c r="C1027" s="197">
        <v>1987</v>
      </c>
      <c r="D1027" s="225" t="str">
        <f t="shared" si="5"/>
        <v>2033_1987</v>
      </c>
      <c r="E1027" s="1226">
        <v>7.2094113434234594E-2</v>
      </c>
      <c r="F1027" s="1257">
        <v>1.41475930585508E-2</v>
      </c>
      <c r="G1027" s="1280">
        <v>6.2318134998393303E-2</v>
      </c>
      <c r="H1027" s="1271">
        <v>0.40784655557003102</v>
      </c>
      <c r="I1027" s="1257">
        <v>0.43390180509347898</v>
      </c>
      <c r="J1027" s="1280">
        <v>0.122941135269169</v>
      </c>
      <c r="K1027" s="1271">
        <v>7.3433684624369397E-3</v>
      </c>
      <c r="L1027" s="1257">
        <v>1.37286052208778E-3</v>
      </c>
      <c r="M1027" s="1280">
        <v>4.3604200799669303E-4</v>
      </c>
      <c r="N1027" s="1271">
        <v>8.6615443713661602E-3</v>
      </c>
      <c r="O1027" s="1257">
        <v>3.0000008598028201E-3</v>
      </c>
      <c r="P1027" s="1257">
        <v>7.9450501810529994E-3</v>
      </c>
      <c r="Q1027" s="1280">
        <v>8.6615443713661602E-3</v>
      </c>
      <c r="R1027" s="1271">
        <v>3.8500011034136201E-2</v>
      </c>
      <c r="S1027" s="1257">
        <v>3.8500011034136201E-2</v>
      </c>
      <c r="T1027" s="1257">
        <v>3.8500011034136201E-2</v>
      </c>
      <c r="U1027" s="1280">
        <v>1.9250005517068101E-2</v>
      </c>
      <c r="V1027" s="1293">
        <v>7.6754029985933898E-3</v>
      </c>
    </row>
    <row r="1028" spans="1:22" s="212" customFormat="1" ht="15.5" x14ac:dyDescent="0.35">
      <c r="A1028" s="198">
        <v>2033</v>
      </c>
      <c r="B1028" s="197" t="s">
        <v>5833</v>
      </c>
      <c r="C1028" s="197">
        <v>1988</v>
      </c>
      <c r="D1028" s="225" t="str">
        <f t="shared" si="5"/>
        <v>2033_1988</v>
      </c>
      <c r="E1028" s="1226">
        <v>7.2094113434234594E-2</v>
      </c>
      <c r="F1028" s="1257">
        <v>1.41475930585508E-2</v>
      </c>
      <c r="G1028" s="1280">
        <v>6.2318134998393303E-2</v>
      </c>
      <c r="H1028" s="1271">
        <v>0.40784655557003102</v>
      </c>
      <c r="I1028" s="1257">
        <v>0.43390180509347898</v>
      </c>
      <c r="J1028" s="1280">
        <v>0.122941135269169</v>
      </c>
      <c r="K1028" s="1271">
        <v>7.3433684624369397E-3</v>
      </c>
      <c r="L1028" s="1257">
        <v>1.37286052208778E-3</v>
      </c>
      <c r="M1028" s="1280">
        <v>4.3604200799669303E-4</v>
      </c>
      <c r="N1028" s="1271">
        <v>8.6615443713661602E-3</v>
      </c>
      <c r="O1028" s="1257">
        <v>3.0000008598028201E-3</v>
      </c>
      <c r="P1028" s="1257">
        <v>7.9450501810529994E-3</v>
      </c>
      <c r="Q1028" s="1280">
        <v>8.6615443713661602E-3</v>
      </c>
      <c r="R1028" s="1271">
        <v>3.8500011034136201E-2</v>
      </c>
      <c r="S1028" s="1257">
        <v>3.8500011034136201E-2</v>
      </c>
      <c r="T1028" s="1257">
        <v>3.8500011034136201E-2</v>
      </c>
      <c r="U1028" s="1280">
        <v>1.9250005517068101E-2</v>
      </c>
      <c r="V1028" s="1293">
        <v>7.6754029985933898E-3</v>
      </c>
    </row>
    <row r="1029" spans="1:22" s="212" customFormat="1" ht="15.5" x14ac:dyDescent="0.35">
      <c r="A1029" s="198">
        <v>2033</v>
      </c>
      <c r="B1029" s="197" t="s">
        <v>5833</v>
      </c>
      <c r="C1029" s="197">
        <v>1989</v>
      </c>
      <c r="D1029" s="225" t="str">
        <f t="shared" si="5"/>
        <v>2033_1989</v>
      </c>
      <c r="E1029" s="1226">
        <v>7.2094113434234594E-2</v>
      </c>
      <c r="F1029" s="1257">
        <v>1.41475930585508E-2</v>
      </c>
      <c r="G1029" s="1280">
        <v>6.2318134998393303E-2</v>
      </c>
      <c r="H1029" s="1271">
        <v>0.40784655557003102</v>
      </c>
      <c r="I1029" s="1257">
        <v>0.43390180509347898</v>
      </c>
      <c r="J1029" s="1280">
        <v>0.122941135269169</v>
      </c>
      <c r="K1029" s="1271">
        <v>7.3433684624369397E-3</v>
      </c>
      <c r="L1029" s="1257">
        <v>1.37286052208778E-3</v>
      </c>
      <c r="M1029" s="1280">
        <v>4.3604200799669303E-4</v>
      </c>
      <c r="N1029" s="1271">
        <v>8.6615443713661602E-3</v>
      </c>
      <c r="O1029" s="1257">
        <v>3.0000008598028201E-3</v>
      </c>
      <c r="P1029" s="1257">
        <v>7.9450501810529994E-3</v>
      </c>
      <c r="Q1029" s="1280">
        <v>8.6615443713661602E-3</v>
      </c>
      <c r="R1029" s="1271">
        <v>3.8500011034136201E-2</v>
      </c>
      <c r="S1029" s="1257">
        <v>3.8500011034136201E-2</v>
      </c>
      <c r="T1029" s="1257">
        <v>3.8500011034136201E-2</v>
      </c>
      <c r="U1029" s="1280">
        <v>1.9250005517068101E-2</v>
      </c>
      <c r="V1029" s="1293">
        <v>7.6754029985933898E-3</v>
      </c>
    </row>
    <row r="1030" spans="1:22" s="212" customFormat="1" ht="15.5" x14ac:dyDescent="0.35">
      <c r="A1030" s="198">
        <v>2033</v>
      </c>
      <c r="B1030" s="197" t="s">
        <v>5833</v>
      </c>
      <c r="C1030" s="197">
        <v>1990</v>
      </c>
      <c r="D1030" s="225" t="str">
        <f t="shared" si="5"/>
        <v>2033_1990</v>
      </c>
      <c r="E1030" s="1226">
        <v>7.2094113434234594E-2</v>
      </c>
      <c r="F1030" s="1257">
        <v>1.41475930585508E-2</v>
      </c>
      <c r="G1030" s="1280">
        <v>6.2318134998393303E-2</v>
      </c>
      <c r="H1030" s="1271">
        <v>0.40784655557003102</v>
      </c>
      <c r="I1030" s="1257">
        <v>0.43390180509347898</v>
      </c>
      <c r="J1030" s="1280">
        <v>0.122941135269169</v>
      </c>
      <c r="K1030" s="1271">
        <v>7.3433684624369397E-3</v>
      </c>
      <c r="L1030" s="1257">
        <v>1.37286052208778E-3</v>
      </c>
      <c r="M1030" s="1280">
        <v>4.3604200799669303E-4</v>
      </c>
      <c r="N1030" s="1271">
        <v>8.6615443713661602E-3</v>
      </c>
      <c r="O1030" s="1257">
        <v>3.0000008598028201E-3</v>
      </c>
      <c r="P1030" s="1257">
        <v>7.9450501810529994E-3</v>
      </c>
      <c r="Q1030" s="1280">
        <v>8.6615443713661602E-3</v>
      </c>
      <c r="R1030" s="1271">
        <v>3.8500011034136201E-2</v>
      </c>
      <c r="S1030" s="1257">
        <v>3.8500011034136201E-2</v>
      </c>
      <c r="T1030" s="1257">
        <v>3.8500011034136201E-2</v>
      </c>
      <c r="U1030" s="1280">
        <v>1.9250005517068101E-2</v>
      </c>
      <c r="V1030" s="1293">
        <v>7.6754029985933898E-3</v>
      </c>
    </row>
    <row r="1031" spans="1:22" s="212" customFormat="1" ht="15.5" x14ac:dyDescent="0.35">
      <c r="A1031" s="198">
        <v>2033</v>
      </c>
      <c r="B1031" s="197" t="s">
        <v>5833</v>
      </c>
      <c r="C1031" s="197">
        <v>1991</v>
      </c>
      <c r="D1031" s="225" t="str">
        <f t="shared" si="5"/>
        <v>2033_1991</v>
      </c>
      <c r="E1031" s="1226">
        <v>7.2094113434234594E-2</v>
      </c>
      <c r="F1031" s="1257">
        <v>1.41475930585508E-2</v>
      </c>
      <c r="G1031" s="1280">
        <v>6.2318134998393303E-2</v>
      </c>
      <c r="H1031" s="1271">
        <v>0.40784655557003102</v>
      </c>
      <c r="I1031" s="1257">
        <v>0.43390180509347898</v>
      </c>
      <c r="J1031" s="1280">
        <v>0.122941135269169</v>
      </c>
      <c r="K1031" s="1271">
        <v>7.3433684624369397E-3</v>
      </c>
      <c r="L1031" s="1257">
        <v>1.37286052208778E-3</v>
      </c>
      <c r="M1031" s="1280">
        <v>4.3604200799669303E-4</v>
      </c>
      <c r="N1031" s="1271">
        <v>8.6615443713661602E-3</v>
      </c>
      <c r="O1031" s="1257">
        <v>3.0000008598028201E-3</v>
      </c>
      <c r="P1031" s="1257">
        <v>7.9450501810529994E-3</v>
      </c>
      <c r="Q1031" s="1280">
        <v>8.6615443713661602E-3</v>
      </c>
      <c r="R1031" s="1271">
        <v>3.8500011034136201E-2</v>
      </c>
      <c r="S1031" s="1257">
        <v>3.8500011034136201E-2</v>
      </c>
      <c r="T1031" s="1257">
        <v>3.8500011034136201E-2</v>
      </c>
      <c r="U1031" s="1280">
        <v>1.9250005517068101E-2</v>
      </c>
      <c r="V1031" s="1293">
        <v>7.6754029985933898E-3</v>
      </c>
    </row>
    <row r="1032" spans="1:22" s="212" customFormat="1" ht="15.5" x14ac:dyDescent="0.35">
      <c r="A1032" s="198">
        <v>2033</v>
      </c>
      <c r="B1032" s="197" t="s">
        <v>5833</v>
      </c>
      <c r="C1032" s="197">
        <v>1992</v>
      </c>
      <c r="D1032" s="225" t="str">
        <f t="shared" si="5"/>
        <v>2033_1992</v>
      </c>
      <c r="E1032" s="1226">
        <v>7.2094113434234594E-2</v>
      </c>
      <c r="F1032" s="1257">
        <v>1.41475930585508E-2</v>
      </c>
      <c r="G1032" s="1280">
        <v>6.2318134998393303E-2</v>
      </c>
      <c r="H1032" s="1271">
        <v>0.40784655557003102</v>
      </c>
      <c r="I1032" s="1257">
        <v>0.43390180509347898</v>
      </c>
      <c r="J1032" s="1280">
        <v>0.122941135269169</v>
      </c>
      <c r="K1032" s="1271">
        <v>7.3433684624369397E-3</v>
      </c>
      <c r="L1032" s="1257">
        <v>1.37286052208778E-3</v>
      </c>
      <c r="M1032" s="1280">
        <v>4.3604200799669303E-4</v>
      </c>
      <c r="N1032" s="1271">
        <v>8.6615443713661602E-3</v>
      </c>
      <c r="O1032" s="1257">
        <v>3.0000008598028201E-3</v>
      </c>
      <c r="P1032" s="1257">
        <v>7.9450501810529994E-3</v>
      </c>
      <c r="Q1032" s="1280">
        <v>8.6615443713661602E-3</v>
      </c>
      <c r="R1032" s="1271">
        <v>3.8500011034136201E-2</v>
      </c>
      <c r="S1032" s="1257">
        <v>3.8500011034136201E-2</v>
      </c>
      <c r="T1032" s="1257">
        <v>3.8500011034136201E-2</v>
      </c>
      <c r="U1032" s="1280">
        <v>1.9250005517068101E-2</v>
      </c>
      <c r="V1032" s="1293">
        <v>7.6754029985933898E-3</v>
      </c>
    </row>
    <row r="1033" spans="1:22" s="212" customFormat="1" ht="15.5" x14ac:dyDescent="0.35">
      <c r="A1033" s="198">
        <v>2033</v>
      </c>
      <c r="B1033" s="197" t="s">
        <v>5833</v>
      </c>
      <c r="C1033" s="197">
        <v>1993</v>
      </c>
      <c r="D1033" s="225" t="str">
        <f t="shared" si="5"/>
        <v>2033_1993</v>
      </c>
      <c r="E1033" s="1226">
        <v>7.2094113434234594E-2</v>
      </c>
      <c r="F1033" s="1257">
        <v>1.41475930585508E-2</v>
      </c>
      <c r="G1033" s="1280">
        <v>6.2318134998393303E-2</v>
      </c>
      <c r="H1033" s="1271">
        <v>0.40784655557003102</v>
      </c>
      <c r="I1033" s="1257">
        <v>0.43390180509347898</v>
      </c>
      <c r="J1033" s="1280">
        <v>0.122941135269169</v>
      </c>
      <c r="K1033" s="1271">
        <v>7.3433684624369397E-3</v>
      </c>
      <c r="L1033" s="1257">
        <v>1.37286052208778E-3</v>
      </c>
      <c r="M1033" s="1280">
        <v>4.3604200799669303E-4</v>
      </c>
      <c r="N1033" s="1271">
        <v>8.6615443713661602E-3</v>
      </c>
      <c r="O1033" s="1257">
        <v>3.0000008598028201E-3</v>
      </c>
      <c r="P1033" s="1257">
        <v>7.9450501810529994E-3</v>
      </c>
      <c r="Q1033" s="1280">
        <v>8.6615443713661602E-3</v>
      </c>
      <c r="R1033" s="1271">
        <v>3.8500011034136201E-2</v>
      </c>
      <c r="S1033" s="1257">
        <v>3.8500011034136201E-2</v>
      </c>
      <c r="T1033" s="1257">
        <v>3.8500011034136201E-2</v>
      </c>
      <c r="U1033" s="1280">
        <v>1.9250005517068101E-2</v>
      </c>
      <c r="V1033" s="1293">
        <v>7.6754029985933898E-3</v>
      </c>
    </row>
    <row r="1034" spans="1:22" s="212" customFormat="1" ht="15.5" x14ac:dyDescent="0.35">
      <c r="A1034" s="198">
        <v>2033</v>
      </c>
      <c r="B1034" s="197" t="s">
        <v>5833</v>
      </c>
      <c r="C1034" s="197">
        <v>1994</v>
      </c>
      <c r="D1034" s="225" t="str">
        <f t="shared" si="5"/>
        <v>2033_1994</v>
      </c>
      <c r="E1034" s="1226">
        <v>7.2094113434234594E-2</v>
      </c>
      <c r="F1034" s="1257">
        <v>1.41475930585508E-2</v>
      </c>
      <c r="G1034" s="1280">
        <v>6.2318134998393303E-2</v>
      </c>
      <c r="H1034" s="1271">
        <v>0.40784655557003102</v>
      </c>
      <c r="I1034" s="1257">
        <v>0.43390180509347898</v>
      </c>
      <c r="J1034" s="1280">
        <v>0.122941135269169</v>
      </c>
      <c r="K1034" s="1271">
        <v>7.3433684624369397E-3</v>
      </c>
      <c r="L1034" s="1257">
        <v>1.37286052208778E-3</v>
      </c>
      <c r="M1034" s="1280">
        <v>4.3604200799669303E-4</v>
      </c>
      <c r="N1034" s="1271">
        <v>8.6615443713661602E-3</v>
      </c>
      <c r="O1034" s="1257">
        <v>3.0000008598028201E-3</v>
      </c>
      <c r="P1034" s="1257">
        <v>7.9450501810529994E-3</v>
      </c>
      <c r="Q1034" s="1280">
        <v>8.6615443713661602E-3</v>
      </c>
      <c r="R1034" s="1271">
        <v>3.8500011034136201E-2</v>
      </c>
      <c r="S1034" s="1257">
        <v>3.8500011034136201E-2</v>
      </c>
      <c r="T1034" s="1257">
        <v>3.8500011034136201E-2</v>
      </c>
      <c r="U1034" s="1280">
        <v>1.9250005517068101E-2</v>
      </c>
      <c r="V1034" s="1293">
        <v>7.6754029985933898E-3</v>
      </c>
    </row>
    <row r="1035" spans="1:22" s="212" customFormat="1" ht="15.5" x14ac:dyDescent="0.35">
      <c r="A1035" s="198">
        <v>2033</v>
      </c>
      <c r="B1035" s="197" t="s">
        <v>5833</v>
      </c>
      <c r="C1035" s="197">
        <v>1995</v>
      </c>
      <c r="D1035" s="225" t="str">
        <f t="shared" si="5"/>
        <v>2033_1995</v>
      </c>
      <c r="E1035" s="1226">
        <v>7.2094113434234594E-2</v>
      </c>
      <c r="F1035" s="1257">
        <v>1.41475930585508E-2</v>
      </c>
      <c r="G1035" s="1280">
        <v>6.2318134998393303E-2</v>
      </c>
      <c r="H1035" s="1271">
        <v>0.40784655557003102</v>
      </c>
      <c r="I1035" s="1257">
        <v>0.43390180509347898</v>
      </c>
      <c r="J1035" s="1280">
        <v>0.122941135269169</v>
      </c>
      <c r="K1035" s="1271">
        <v>7.3433684624369397E-3</v>
      </c>
      <c r="L1035" s="1257">
        <v>1.37286052208778E-3</v>
      </c>
      <c r="M1035" s="1280">
        <v>4.3604200799669303E-4</v>
      </c>
      <c r="N1035" s="1271">
        <v>8.6615443713661602E-3</v>
      </c>
      <c r="O1035" s="1257">
        <v>3.0000008598028201E-3</v>
      </c>
      <c r="P1035" s="1257">
        <v>7.9450501810529994E-3</v>
      </c>
      <c r="Q1035" s="1280">
        <v>8.6615443713661602E-3</v>
      </c>
      <c r="R1035" s="1271">
        <v>3.8500011034136201E-2</v>
      </c>
      <c r="S1035" s="1257">
        <v>3.8500011034136201E-2</v>
      </c>
      <c r="T1035" s="1257">
        <v>3.8500011034136201E-2</v>
      </c>
      <c r="U1035" s="1280">
        <v>1.9250005517068101E-2</v>
      </c>
      <c r="V1035" s="1293">
        <v>7.6754029985933898E-3</v>
      </c>
    </row>
    <row r="1036" spans="1:22" s="212" customFormat="1" ht="15.5" x14ac:dyDescent="0.35">
      <c r="A1036" s="198">
        <v>2033</v>
      </c>
      <c r="B1036" s="197" t="s">
        <v>5833</v>
      </c>
      <c r="C1036" s="197">
        <v>1996</v>
      </c>
      <c r="D1036" s="225" t="str">
        <f t="shared" si="5"/>
        <v>2033_1996</v>
      </c>
      <c r="E1036" s="1226">
        <v>7.2094113434234594E-2</v>
      </c>
      <c r="F1036" s="1257">
        <v>1.41475930585508E-2</v>
      </c>
      <c r="G1036" s="1280">
        <v>6.2318134998393303E-2</v>
      </c>
      <c r="H1036" s="1271">
        <v>0.40784655557003102</v>
      </c>
      <c r="I1036" s="1257">
        <v>0.43390180509347898</v>
      </c>
      <c r="J1036" s="1280">
        <v>0.122941135269169</v>
      </c>
      <c r="K1036" s="1271">
        <v>7.3433684624369397E-3</v>
      </c>
      <c r="L1036" s="1257">
        <v>1.37286052208778E-3</v>
      </c>
      <c r="M1036" s="1280">
        <v>4.3604200799669303E-4</v>
      </c>
      <c r="N1036" s="1271">
        <v>8.6615443713661602E-3</v>
      </c>
      <c r="O1036" s="1257">
        <v>3.0000008598028201E-3</v>
      </c>
      <c r="P1036" s="1257">
        <v>7.9450501810529994E-3</v>
      </c>
      <c r="Q1036" s="1280">
        <v>8.6615443713661602E-3</v>
      </c>
      <c r="R1036" s="1271">
        <v>3.8500011034136201E-2</v>
      </c>
      <c r="S1036" s="1257">
        <v>3.8500011034136201E-2</v>
      </c>
      <c r="T1036" s="1257">
        <v>3.8500011034136201E-2</v>
      </c>
      <c r="U1036" s="1280">
        <v>1.9250005517068101E-2</v>
      </c>
      <c r="V1036" s="1293">
        <v>7.6754029985933898E-3</v>
      </c>
    </row>
    <row r="1037" spans="1:22" s="212" customFormat="1" ht="15.5" x14ac:dyDescent="0.35">
      <c r="A1037" s="198">
        <v>2033</v>
      </c>
      <c r="B1037" s="197" t="s">
        <v>5833</v>
      </c>
      <c r="C1037" s="197">
        <v>1997</v>
      </c>
      <c r="D1037" s="225" t="str">
        <f t="shared" si="5"/>
        <v>2033_1997</v>
      </c>
      <c r="E1037" s="1226">
        <v>7.2094113434234594E-2</v>
      </c>
      <c r="F1037" s="1257">
        <v>1.41475930585508E-2</v>
      </c>
      <c r="G1037" s="1280">
        <v>6.2318134998393303E-2</v>
      </c>
      <c r="H1037" s="1271">
        <v>0.40784655557003102</v>
      </c>
      <c r="I1037" s="1257">
        <v>0.43390180509347898</v>
      </c>
      <c r="J1037" s="1280">
        <v>0.122941135269169</v>
      </c>
      <c r="K1037" s="1271">
        <v>7.3433684624369397E-3</v>
      </c>
      <c r="L1037" s="1257">
        <v>1.37286052208778E-3</v>
      </c>
      <c r="M1037" s="1280">
        <v>4.3604200799669303E-4</v>
      </c>
      <c r="N1037" s="1271">
        <v>8.6615443713661602E-3</v>
      </c>
      <c r="O1037" s="1257">
        <v>3.0000008598028201E-3</v>
      </c>
      <c r="P1037" s="1257">
        <v>7.9450501810529994E-3</v>
      </c>
      <c r="Q1037" s="1280">
        <v>8.6615443713661602E-3</v>
      </c>
      <c r="R1037" s="1271">
        <v>3.8500011034136201E-2</v>
      </c>
      <c r="S1037" s="1257">
        <v>3.8500011034136201E-2</v>
      </c>
      <c r="T1037" s="1257">
        <v>3.8500011034136201E-2</v>
      </c>
      <c r="U1037" s="1280">
        <v>1.9250005517068101E-2</v>
      </c>
      <c r="V1037" s="1293">
        <v>7.6754029985933898E-3</v>
      </c>
    </row>
    <row r="1038" spans="1:22" s="212" customFormat="1" ht="15.5" x14ac:dyDescent="0.35">
      <c r="A1038" s="198">
        <v>2033</v>
      </c>
      <c r="B1038" s="197" t="s">
        <v>5833</v>
      </c>
      <c r="C1038" s="197">
        <v>1998</v>
      </c>
      <c r="D1038" s="225" t="str">
        <f t="shared" si="5"/>
        <v>2033_1998</v>
      </c>
      <c r="E1038" s="1226">
        <v>7.2094113434234594E-2</v>
      </c>
      <c r="F1038" s="1257">
        <v>1.41475930585508E-2</v>
      </c>
      <c r="G1038" s="1280">
        <v>6.2318134998393303E-2</v>
      </c>
      <c r="H1038" s="1271">
        <v>0.40784655557003102</v>
      </c>
      <c r="I1038" s="1257">
        <v>0.43390180509347898</v>
      </c>
      <c r="J1038" s="1280">
        <v>0.122941135269169</v>
      </c>
      <c r="K1038" s="1271">
        <v>7.3433684624369397E-3</v>
      </c>
      <c r="L1038" s="1257">
        <v>1.37286052208778E-3</v>
      </c>
      <c r="M1038" s="1280">
        <v>4.3604200799669303E-4</v>
      </c>
      <c r="N1038" s="1271">
        <v>8.6615443713661602E-3</v>
      </c>
      <c r="O1038" s="1257">
        <v>3.0000008598028201E-3</v>
      </c>
      <c r="P1038" s="1257">
        <v>7.9450501810529994E-3</v>
      </c>
      <c r="Q1038" s="1280">
        <v>8.6615443713661602E-3</v>
      </c>
      <c r="R1038" s="1271">
        <v>3.8500011034136201E-2</v>
      </c>
      <c r="S1038" s="1257">
        <v>3.8500011034136201E-2</v>
      </c>
      <c r="T1038" s="1257">
        <v>3.8500011034136201E-2</v>
      </c>
      <c r="U1038" s="1280">
        <v>1.9250005517068101E-2</v>
      </c>
      <c r="V1038" s="1293">
        <v>7.6754029985933898E-3</v>
      </c>
    </row>
    <row r="1039" spans="1:22" s="212" customFormat="1" ht="15.5" x14ac:dyDescent="0.35">
      <c r="A1039" s="198">
        <v>2033</v>
      </c>
      <c r="B1039" s="197" t="s">
        <v>5833</v>
      </c>
      <c r="C1039" s="197">
        <v>1999</v>
      </c>
      <c r="D1039" s="225" t="str">
        <f t="shared" si="5"/>
        <v>2033_1999</v>
      </c>
      <c r="E1039" s="1226">
        <v>7.2094113434234594E-2</v>
      </c>
      <c r="F1039" s="1257">
        <v>1.41475930585508E-2</v>
      </c>
      <c r="G1039" s="1280">
        <v>6.2318134998393303E-2</v>
      </c>
      <c r="H1039" s="1271">
        <v>0.40784655557003102</v>
      </c>
      <c r="I1039" s="1257">
        <v>0.43390180509347898</v>
      </c>
      <c r="J1039" s="1280">
        <v>0.122941135269169</v>
      </c>
      <c r="K1039" s="1271">
        <v>7.3433684624369397E-3</v>
      </c>
      <c r="L1039" s="1257">
        <v>1.37286052208778E-3</v>
      </c>
      <c r="M1039" s="1280">
        <v>4.3604200799669303E-4</v>
      </c>
      <c r="N1039" s="1271">
        <v>8.6615443713661602E-3</v>
      </c>
      <c r="O1039" s="1257">
        <v>3.0000008598028201E-3</v>
      </c>
      <c r="P1039" s="1257">
        <v>7.9450501810529994E-3</v>
      </c>
      <c r="Q1039" s="1280">
        <v>8.6615443713661602E-3</v>
      </c>
      <c r="R1039" s="1271">
        <v>3.8500011034136201E-2</v>
      </c>
      <c r="S1039" s="1257">
        <v>3.8500011034136201E-2</v>
      </c>
      <c r="T1039" s="1257">
        <v>3.8500011034136201E-2</v>
      </c>
      <c r="U1039" s="1280">
        <v>1.9250005517068101E-2</v>
      </c>
      <c r="V1039" s="1293">
        <v>7.6754029985933898E-3</v>
      </c>
    </row>
    <row r="1040" spans="1:22" s="212" customFormat="1" ht="15.5" x14ac:dyDescent="0.35">
      <c r="A1040" s="198">
        <v>2033</v>
      </c>
      <c r="B1040" s="197" t="s">
        <v>5833</v>
      </c>
      <c r="C1040" s="197">
        <v>2000</v>
      </c>
      <c r="D1040" s="225" t="str">
        <f t="shared" si="5"/>
        <v>2033_2000</v>
      </c>
      <c r="E1040" s="1226">
        <v>7.2094113434234594E-2</v>
      </c>
      <c r="F1040" s="1257">
        <v>1.41475930585508E-2</v>
      </c>
      <c r="G1040" s="1280">
        <v>6.2318134998393303E-2</v>
      </c>
      <c r="H1040" s="1271">
        <v>0.40784655557003102</v>
      </c>
      <c r="I1040" s="1257">
        <v>0.43390180509347898</v>
      </c>
      <c r="J1040" s="1280">
        <v>0.122941135269169</v>
      </c>
      <c r="K1040" s="1271">
        <v>7.3433684624369397E-3</v>
      </c>
      <c r="L1040" s="1257">
        <v>1.37286052208778E-3</v>
      </c>
      <c r="M1040" s="1280">
        <v>4.3604200799669303E-4</v>
      </c>
      <c r="N1040" s="1271">
        <v>8.6615443713661602E-3</v>
      </c>
      <c r="O1040" s="1257">
        <v>3.0000008598028201E-3</v>
      </c>
      <c r="P1040" s="1257">
        <v>7.9450501810529994E-3</v>
      </c>
      <c r="Q1040" s="1280">
        <v>8.6615443713661602E-3</v>
      </c>
      <c r="R1040" s="1271">
        <v>3.8500011034136201E-2</v>
      </c>
      <c r="S1040" s="1257">
        <v>3.8500011034136201E-2</v>
      </c>
      <c r="T1040" s="1257">
        <v>3.8500011034136201E-2</v>
      </c>
      <c r="U1040" s="1280">
        <v>1.9250005517068101E-2</v>
      </c>
      <c r="V1040" s="1293">
        <v>7.6754029985933898E-3</v>
      </c>
    </row>
    <row r="1041" spans="1:22" s="212" customFormat="1" ht="15.5" x14ac:dyDescent="0.35">
      <c r="A1041" s="198">
        <v>2033</v>
      </c>
      <c r="B1041" s="197" t="s">
        <v>5833</v>
      </c>
      <c r="C1041" s="197">
        <v>2001</v>
      </c>
      <c r="D1041" s="225" t="str">
        <f t="shared" si="5"/>
        <v>2033_2001</v>
      </c>
      <c r="E1041" s="1226">
        <v>7.2094113434234594E-2</v>
      </c>
      <c r="F1041" s="1257">
        <v>1.41475930585508E-2</v>
      </c>
      <c r="G1041" s="1280">
        <v>6.2318134998393303E-2</v>
      </c>
      <c r="H1041" s="1271">
        <v>0.40784655557003102</v>
      </c>
      <c r="I1041" s="1257">
        <v>0.43390180509347898</v>
      </c>
      <c r="J1041" s="1280">
        <v>0.122941135269169</v>
      </c>
      <c r="K1041" s="1271">
        <v>7.3433684624369397E-3</v>
      </c>
      <c r="L1041" s="1257">
        <v>1.37286052208778E-3</v>
      </c>
      <c r="M1041" s="1280">
        <v>4.3604200799669303E-4</v>
      </c>
      <c r="N1041" s="1271">
        <v>8.6615443713661602E-3</v>
      </c>
      <c r="O1041" s="1257">
        <v>3.0000008598028201E-3</v>
      </c>
      <c r="P1041" s="1257">
        <v>7.9450501810529994E-3</v>
      </c>
      <c r="Q1041" s="1280">
        <v>8.6615443713661602E-3</v>
      </c>
      <c r="R1041" s="1271">
        <v>3.8500011034136201E-2</v>
      </c>
      <c r="S1041" s="1257">
        <v>3.8500011034136201E-2</v>
      </c>
      <c r="T1041" s="1257">
        <v>3.8500011034136201E-2</v>
      </c>
      <c r="U1041" s="1280">
        <v>1.9250005517068101E-2</v>
      </c>
      <c r="V1041" s="1293">
        <v>7.6754029985933898E-3</v>
      </c>
    </row>
    <row r="1042" spans="1:22" s="212" customFormat="1" ht="15.5" x14ac:dyDescent="0.35">
      <c r="A1042" s="198">
        <v>2033</v>
      </c>
      <c r="B1042" s="197" t="s">
        <v>5833</v>
      </c>
      <c r="C1042" s="197">
        <v>2002</v>
      </c>
      <c r="D1042" s="225" t="str">
        <f t="shared" si="5"/>
        <v>2033_2002</v>
      </c>
      <c r="E1042" s="1226">
        <v>7.2094113434234594E-2</v>
      </c>
      <c r="F1042" s="1257">
        <v>1.41475930585508E-2</v>
      </c>
      <c r="G1042" s="1280">
        <v>6.2318134998393303E-2</v>
      </c>
      <c r="H1042" s="1271">
        <v>0.40784655557003102</v>
      </c>
      <c r="I1042" s="1257">
        <v>0.43390180509347898</v>
      </c>
      <c r="J1042" s="1280">
        <v>0.122941135269169</v>
      </c>
      <c r="K1042" s="1271">
        <v>7.3433684624369397E-3</v>
      </c>
      <c r="L1042" s="1257">
        <v>1.37286052208778E-3</v>
      </c>
      <c r="M1042" s="1280">
        <v>4.3604200799669303E-4</v>
      </c>
      <c r="N1042" s="1271">
        <v>8.6615443713661602E-3</v>
      </c>
      <c r="O1042" s="1257">
        <v>3.0000008598028201E-3</v>
      </c>
      <c r="P1042" s="1257">
        <v>7.9450501810529994E-3</v>
      </c>
      <c r="Q1042" s="1280">
        <v>8.6615443713661602E-3</v>
      </c>
      <c r="R1042" s="1271">
        <v>3.8500011034136201E-2</v>
      </c>
      <c r="S1042" s="1257">
        <v>3.8500011034136201E-2</v>
      </c>
      <c r="T1042" s="1257">
        <v>3.8500011034136201E-2</v>
      </c>
      <c r="U1042" s="1280">
        <v>1.9250005517068101E-2</v>
      </c>
      <c r="V1042" s="1293">
        <v>7.6754029985933898E-3</v>
      </c>
    </row>
    <row r="1043" spans="1:22" s="212" customFormat="1" ht="15.5" x14ac:dyDescent="0.35">
      <c r="A1043" s="198">
        <v>2033</v>
      </c>
      <c r="B1043" s="197" t="s">
        <v>5833</v>
      </c>
      <c r="C1043" s="197">
        <v>2003</v>
      </c>
      <c r="D1043" s="225" t="str">
        <f t="shared" si="5"/>
        <v>2033_2003</v>
      </c>
      <c r="E1043" s="1226">
        <v>7.2094113434234594E-2</v>
      </c>
      <c r="F1043" s="1257">
        <v>1.41475930585508E-2</v>
      </c>
      <c r="G1043" s="1280">
        <v>6.2318134998393303E-2</v>
      </c>
      <c r="H1043" s="1271">
        <v>0.40784655557003102</v>
      </c>
      <c r="I1043" s="1257">
        <v>0.43390180509347898</v>
      </c>
      <c r="J1043" s="1280">
        <v>0.122941135269169</v>
      </c>
      <c r="K1043" s="1271">
        <v>7.3433684624369397E-3</v>
      </c>
      <c r="L1043" s="1257">
        <v>1.37286052208778E-3</v>
      </c>
      <c r="M1043" s="1280">
        <v>4.3604200799669303E-4</v>
      </c>
      <c r="N1043" s="1271">
        <v>8.6615443713661602E-3</v>
      </c>
      <c r="O1043" s="1257">
        <v>3.0000008598028201E-3</v>
      </c>
      <c r="P1043" s="1257">
        <v>7.9450501810529994E-3</v>
      </c>
      <c r="Q1043" s="1280">
        <v>8.6615443713661602E-3</v>
      </c>
      <c r="R1043" s="1271">
        <v>3.8500011034136201E-2</v>
      </c>
      <c r="S1043" s="1257">
        <v>3.8500011034136201E-2</v>
      </c>
      <c r="T1043" s="1257">
        <v>3.8500011034136201E-2</v>
      </c>
      <c r="U1043" s="1280">
        <v>1.9250005517068101E-2</v>
      </c>
      <c r="V1043" s="1293">
        <v>7.6754029985933898E-3</v>
      </c>
    </row>
    <row r="1044" spans="1:22" s="212" customFormat="1" ht="15.5" x14ac:dyDescent="0.35">
      <c r="A1044" s="198">
        <v>2033</v>
      </c>
      <c r="B1044" s="197" t="s">
        <v>5833</v>
      </c>
      <c r="C1044" s="197">
        <v>2004</v>
      </c>
      <c r="D1044" s="225" t="str">
        <f t="shared" si="5"/>
        <v>2033_2004</v>
      </c>
      <c r="E1044" s="1226">
        <v>7.2094113434234594E-2</v>
      </c>
      <c r="F1044" s="1257">
        <v>1.41475930585508E-2</v>
      </c>
      <c r="G1044" s="1280">
        <v>6.2318134998393303E-2</v>
      </c>
      <c r="H1044" s="1271">
        <v>0.40784655557003102</v>
      </c>
      <c r="I1044" s="1257">
        <v>0.43390180509347898</v>
      </c>
      <c r="J1044" s="1280">
        <v>0.122941135269169</v>
      </c>
      <c r="K1044" s="1271">
        <v>7.3433684624369397E-3</v>
      </c>
      <c r="L1044" s="1257">
        <v>1.37286052208778E-3</v>
      </c>
      <c r="M1044" s="1280">
        <v>4.3604200799669303E-4</v>
      </c>
      <c r="N1044" s="1271">
        <v>8.6615443713661602E-3</v>
      </c>
      <c r="O1044" s="1257">
        <v>3.0000008598028201E-3</v>
      </c>
      <c r="P1044" s="1257">
        <v>7.9450501810529994E-3</v>
      </c>
      <c r="Q1044" s="1280">
        <v>8.6615443713661602E-3</v>
      </c>
      <c r="R1044" s="1271">
        <v>3.8500011034136201E-2</v>
      </c>
      <c r="S1044" s="1257">
        <v>3.8500011034136201E-2</v>
      </c>
      <c r="T1044" s="1257">
        <v>3.8500011034136201E-2</v>
      </c>
      <c r="U1044" s="1280">
        <v>1.9250005517068101E-2</v>
      </c>
      <c r="V1044" s="1293">
        <v>7.6754029985933898E-3</v>
      </c>
    </row>
    <row r="1045" spans="1:22" s="212" customFormat="1" ht="15.5" x14ac:dyDescent="0.35">
      <c r="A1045" s="198">
        <v>2033</v>
      </c>
      <c r="B1045" s="197" t="s">
        <v>5833</v>
      </c>
      <c r="C1045" s="197">
        <v>2005</v>
      </c>
      <c r="D1045" s="225" t="str">
        <f t="shared" si="5"/>
        <v>2033_2005</v>
      </c>
      <c r="E1045" s="1226">
        <v>7.2094113434234594E-2</v>
      </c>
      <c r="F1045" s="1257">
        <v>1.41475930585508E-2</v>
      </c>
      <c r="G1045" s="1280">
        <v>6.2318134998393303E-2</v>
      </c>
      <c r="H1045" s="1271">
        <v>0.40784655557003102</v>
      </c>
      <c r="I1045" s="1257">
        <v>0.43390180509347898</v>
      </c>
      <c r="J1045" s="1280">
        <v>0.122941135269169</v>
      </c>
      <c r="K1045" s="1271">
        <v>7.3433684624369397E-3</v>
      </c>
      <c r="L1045" s="1257">
        <v>1.37286052208778E-3</v>
      </c>
      <c r="M1045" s="1280">
        <v>4.3604200799669303E-4</v>
      </c>
      <c r="N1045" s="1271">
        <v>8.6615443713661602E-3</v>
      </c>
      <c r="O1045" s="1257">
        <v>3.0000008598028201E-3</v>
      </c>
      <c r="P1045" s="1257">
        <v>7.9450501810529994E-3</v>
      </c>
      <c r="Q1045" s="1280">
        <v>8.6615443713661602E-3</v>
      </c>
      <c r="R1045" s="1271">
        <v>3.8500011034136201E-2</v>
      </c>
      <c r="S1045" s="1257">
        <v>3.8500011034136201E-2</v>
      </c>
      <c r="T1045" s="1257">
        <v>3.8500011034136201E-2</v>
      </c>
      <c r="U1045" s="1280">
        <v>1.9250005517068101E-2</v>
      </c>
      <c r="V1045" s="1293">
        <v>7.6754029985933898E-3</v>
      </c>
    </row>
    <row r="1046" spans="1:22" s="212" customFormat="1" ht="15.5" x14ac:dyDescent="0.35">
      <c r="A1046" s="198">
        <v>2033</v>
      </c>
      <c r="B1046" s="197" t="s">
        <v>5833</v>
      </c>
      <c r="C1046" s="197">
        <v>2006</v>
      </c>
      <c r="D1046" s="225" t="str">
        <f t="shared" si="5"/>
        <v>2033_2006</v>
      </c>
      <c r="E1046" s="1226">
        <v>7.2094113434234594E-2</v>
      </c>
      <c r="F1046" s="1257">
        <v>1.41475930585508E-2</v>
      </c>
      <c r="G1046" s="1280">
        <v>6.2318134998393303E-2</v>
      </c>
      <c r="H1046" s="1271">
        <v>0.40784655557003102</v>
      </c>
      <c r="I1046" s="1257">
        <v>0.43390180509347898</v>
      </c>
      <c r="J1046" s="1280">
        <v>0.122941135269169</v>
      </c>
      <c r="K1046" s="1271">
        <v>7.3433684624369397E-3</v>
      </c>
      <c r="L1046" s="1257">
        <v>1.37286052208778E-3</v>
      </c>
      <c r="M1046" s="1280">
        <v>4.3604200799669303E-4</v>
      </c>
      <c r="N1046" s="1271">
        <v>8.6615443713661602E-3</v>
      </c>
      <c r="O1046" s="1257">
        <v>3.0000008598028201E-3</v>
      </c>
      <c r="P1046" s="1257">
        <v>7.9450501810529994E-3</v>
      </c>
      <c r="Q1046" s="1280">
        <v>8.6615443713661602E-3</v>
      </c>
      <c r="R1046" s="1271">
        <v>3.8500011034136201E-2</v>
      </c>
      <c r="S1046" s="1257">
        <v>3.8500011034136201E-2</v>
      </c>
      <c r="T1046" s="1257">
        <v>3.8500011034136201E-2</v>
      </c>
      <c r="U1046" s="1280">
        <v>1.9250005517068101E-2</v>
      </c>
      <c r="V1046" s="1293">
        <v>7.6754029985933898E-3</v>
      </c>
    </row>
    <row r="1047" spans="1:22" s="212" customFormat="1" ht="15.5" x14ac:dyDescent="0.35">
      <c r="A1047" s="198">
        <v>2033</v>
      </c>
      <c r="B1047" s="197" t="s">
        <v>5833</v>
      </c>
      <c r="C1047" s="197">
        <v>2007</v>
      </c>
      <c r="D1047" s="225" t="str">
        <f t="shared" si="5"/>
        <v>2033_2007</v>
      </c>
      <c r="E1047" s="1226">
        <v>7.2094113434234594E-2</v>
      </c>
      <c r="F1047" s="1257">
        <v>1.41475930585508E-2</v>
      </c>
      <c r="G1047" s="1280">
        <v>6.2318134998393303E-2</v>
      </c>
      <c r="H1047" s="1271">
        <v>0.40784655557003102</v>
      </c>
      <c r="I1047" s="1257">
        <v>0.43390180509347898</v>
      </c>
      <c r="J1047" s="1280">
        <v>0.122941135269169</v>
      </c>
      <c r="K1047" s="1271">
        <v>7.3433684624369397E-3</v>
      </c>
      <c r="L1047" s="1257">
        <v>1.37286052208778E-3</v>
      </c>
      <c r="M1047" s="1280">
        <v>4.3604200799669303E-4</v>
      </c>
      <c r="N1047" s="1271">
        <v>8.6615443713661602E-3</v>
      </c>
      <c r="O1047" s="1257">
        <v>3.0000008598028201E-3</v>
      </c>
      <c r="P1047" s="1257">
        <v>7.9450501810529994E-3</v>
      </c>
      <c r="Q1047" s="1280">
        <v>8.6615443713661602E-3</v>
      </c>
      <c r="R1047" s="1271">
        <v>3.8500011034136201E-2</v>
      </c>
      <c r="S1047" s="1257">
        <v>3.8500011034136201E-2</v>
      </c>
      <c r="T1047" s="1257">
        <v>3.8500011034136201E-2</v>
      </c>
      <c r="U1047" s="1280">
        <v>1.9250005517068101E-2</v>
      </c>
      <c r="V1047" s="1293">
        <v>7.6754029985933898E-3</v>
      </c>
    </row>
    <row r="1048" spans="1:22" s="212" customFormat="1" ht="15.5" x14ac:dyDescent="0.35">
      <c r="A1048" s="198">
        <v>2033</v>
      </c>
      <c r="B1048" s="197" t="s">
        <v>5833</v>
      </c>
      <c r="C1048" s="197">
        <v>2008</v>
      </c>
      <c r="D1048" s="225" t="str">
        <f t="shared" si="5"/>
        <v>2033_2008</v>
      </c>
      <c r="E1048" s="1226">
        <v>7.2094113434234594E-2</v>
      </c>
      <c r="F1048" s="1257">
        <v>1.41475930585508E-2</v>
      </c>
      <c r="G1048" s="1280">
        <v>6.2318134998393303E-2</v>
      </c>
      <c r="H1048" s="1271">
        <v>0.40784655557003102</v>
      </c>
      <c r="I1048" s="1257">
        <v>0.43390180509347898</v>
      </c>
      <c r="J1048" s="1280">
        <v>0.122941135269169</v>
      </c>
      <c r="K1048" s="1271">
        <v>7.3433684624369397E-3</v>
      </c>
      <c r="L1048" s="1257">
        <v>1.37286052208778E-3</v>
      </c>
      <c r="M1048" s="1280">
        <v>4.3604200799669303E-4</v>
      </c>
      <c r="N1048" s="1271">
        <v>8.6615443713661602E-3</v>
      </c>
      <c r="O1048" s="1257">
        <v>3.0000008598028201E-3</v>
      </c>
      <c r="P1048" s="1257">
        <v>7.9450501810529994E-3</v>
      </c>
      <c r="Q1048" s="1280">
        <v>8.6615443713661602E-3</v>
      </c>
      <c r="R1048" s="1271">
        <v>3.8500011034136201E-2</v>
      </c>
      <c r="S1048" s="1257">
        <v>3.8500011034136201E-2</v>
      </c>
      <c r="T1048" s="1257">
        <v>3.8500011034136201E-2</v>
      </c>
      <c r="U1048" s="1280">
        <v>1.9250005517068101E-2</v>
      </c>
      <c r="V1048" s="1293">
        <v>7.6754029985933898E-3</v>
      </c>
    </row>
    <row r="1049" spans="1:22" s="212" customFormat="1" ht="15.5" x14ac:dyDescent="0.35">
      <c r="A1049" s="198">
        <v>2033</v>
      </c>
      <c r="B1049" s="197" t="s">
        <v>5833</v>
      </c>
      <c r="C1049" s="197">
        <v>2009</v>
      </c>
      <c r="D1049" s="225" t="str">
        <f t="shared" si="5"/>
        <v>2033_2009</v>
      </c>
      <c r="E1049" s="1226">
        <v>7.2094113434234594E-2</v>
      </c>
      <c r="F1049" s="1257">
        <v>1.41475930585508E-2</v>
      </c>
      <c r="G1049" s="1280">
        <v>6.2318134998393303E-2</v>
      </c>
      <c r="H1049" s="1271">
        <v>0.40784655557003102</v>
      </c>
      <c r="I1049" s="1257">
        <v>0.43390180509347898</v>
      </c>
      <c r="J1049" s="1280">
        <v>0.122941135269169</v>
      </c>
      <c r="K1049" s="1271">
        <v>7.3433684624369397E-3</v>
      </c>
      <c r="L1049" s="1257">
        <v>1.37286052208778E-3</v>
      </c>
      <c r="M1049" s="1280">
        <v>4.3604200799669303E-4</v>
      </c>
      <c r="N1049" s="1271">
        <v>8.6615443713661602E-3</v>
      </c>
      <c r="O1049" s="1257">
        <v>3.0000008598028201E-3</v>
      </c>
      <c r="P1049" s="1257">
        <v>7.9450501810529994E-3</v>
      </c>
      <c r="Q1049" s="1280">
        <v>8.6615443713661602E-3</v>
      </c>
      <c r="R1049" s="1271">
        <v>3.8500011034136201E-2</v>
      </c>
      <c r="S1049" s="1257">
        <v>3.8500011034136201E-2</v>
      </c>
      <c r="T1049" s="1257">
        <v>3.8500011034136201E-2</v>
      </c>
      <c r="U1049" s="1280">
        <v>1.9250005517068101E-2</v>
      </c>
      <c r="V1049" s="1293">
        <v>7.6754029985933898E-3</v>
      </c>
    </row>
    <row r="1050" spans="1:22" s="212" customFormat="1" ht="15.5" x14ac:dyDescent="0.35">
      <c r="A1050" s="198">
        <v>2033</v>
      </c>
      <c r="B1050" s="197" t="s">
        <v>5833</v>
      </c>
      <c r="C1050" s="197">
        <v>2010</v>
      </c>
      <c r="D1050" s="225" t="str">
        <f t="shared" si="5"/>
        <v>2033_2010</v>
      </c>
      <c r="E1050" s="1226">
        <v>7.2094113434234594E-2</v>
      </c>
      <c r="F1050" s="1257">
        <v>1.41475930585508E-2</v>
      </c>
      <c r="G1050" s="1280">
        <v>6.2318134998393303E-2</v>
      </c>
      <c r="H1050" s="1271">
        <v>0.40784655557003102</v>
      </c>
      <c r="I1050" s="1257">
        <v>0.43390180509347898</v>
      </c>
      <c r="J1050" s="1280">
        <v>0.122941135269169</v>
      </c>
      <c r="K1050" s="1271">
        <v>7.3433684624369397E-3</v>
      </c>
      <c r="L1050" s="1257">
        <v>1.37286052208778E-3</v>
      </c>
      <c r="M1050" s="1280">
        <v>4.3604200799669303E-4</v>
      </c>
      <c r="N1050" s="1271">
        <v>8.6615443713661602E-3</v>
      </c>
      <c r="O1050" s="1257">
        <v>3.0000008598028201E-3</v>
      </c>
      <c r="P1050" s="1257">
        <v>7.9450501810529994E-3</v>
      </c>
      <c r="Q1050" s="1280">
        <v>8.6615443713661602E-3</v>
      </c>
      <c r="R1050" s="1271">
        <v>3.8500011034136201E-2</v>
      </c>
      <c r="S1050" s="1257">
        <v>3.8500011034136201E-2</v>
      </c>
      <c r="T1050" s="1257">
        <v>3.8500011034136201E-2</v>
      </c>
      <c r="U1050" s="1280">
        <v>1.9250005517068101E-2</v>
      </c>
      <c r="V1050" s="1293">
        <v>7.6754029985933898E-3</v>
      </c>
    </row>
    <row r="1051" spans="1:22" s="212" customFormat="1" ht="15.5" x14ac:dyDescent="0.35">
      <c r="A1051" s="198">
        <v>2033</v>
      </c>
      <c r="B1051" s="197" t="s">
        <v>5833</v>
      </c>
      <c r="C1051" s="197">
        <v>2011</v>
      </c>
      <c r="D1051" s="225" t="str">
        <f t="shared" si="5"/>
        <v>2033_2011</v>
      </c>
      <c r="E1051" s="1226">
        <v>7.2094113434234594E-2</v>
      </c>
      <c r="F1051" s="1257">
        <v>1.41475930585508E-2</v>
      </c>
      <c r="G1051" s="1280">
        <v>6.2318134998393303E-2</v>
      </c>
      <c r="H1051" s="1271">
        <v>0.40784655557003102</v>
      </c>
      <c r="I1051" s="1257">
        <v>0.43390180509347898</v>
      </c>
      <c r="J1051" s="1280">
        <v>0.122941135269169</v>
      </c>
      <c r="K1051" s="1271">
        <v>7.3433684624369397E-3</v>
      </c>
      <c r="L1051" s="1257">
        <v>1.37286052208778E-3</v>
      </c>
      <c r="M1051" s="1280">
        <v>4.3604200799669303E-4</v>
      </c>
      <c r="N1051" s="1271">
        <v>8.6615443713661602E-3</v>
      </c>
      <c r="O1051" s="1257">
        <v>3.0000008598028201E-3</v>
      </c>
      <c r="P1051" s="1257">
        <v>7.9450501810529994E-3</v>
      </c>
      <c r="Q1051" s="1280">
        <v>8.6615443713661602E-3</v>
      </c>
      <c r="R1051" s="1271">
        <v>3.8500011034136201E-2</v>
      </c>
      <c r="S1051" s="1257">
        <v>3.8500011034136201E-2</v>
      </c>
      <c r="T1051" s="1257">
        <v>3.8500011034136201E-2</v>
      </c>
      <c r="U1051" s="1280">
        <v>1.9250005517068101E-2</v>
      </c>
      <c r="V1051" s="1293">
        <v>7.6754029985933898E-3</v>
      </c>
    </row>
    <row r="1052" spans="1:22" s="212" customFormat="1" ht="15.5" x14ac:dyDescent="0.35">
      <c r="A1052" s="198">
        <v>2033</v>
      </c>
      <c r="B1052" s="197" t="s">
        <v>5833</v>
      </c>
      <c r="C1052" s="197">
        <v>2012</v>
      </c>
      <c r="D1052" s="225" t="str">
        <f t="shared" si="5"/>
        <v>2033_2012</v>
      </c>
      <c r="E1052" s="1226">
        <v>7.2094113434234594E-2</v>
      </c>
      <c r="F1052" s="1257">
        <v>1.41475930585508E-2</v>
      </c>
      <c r="G1052" s="1280">
        <v>6.2318134998393303E-2</v>
      </c>
      <c r="H1052" s="1271">
        <v>0.40784655557003102</v>
      </c>
      <c r="I1052" s="1257">
        <v>0.43390180509347898</v>
      </c>
      <c r="J1052" s="1280">
        <v>0.122941135269169</v>
      </c>
      <c r="K1052" s="1271">
        <v>7.3433684624369397E-3</v>
      </c>
      <c r="L1052" s="1257">
        <v>1.37286052208778E-3</v>
      </c>
      <c r="M1052" s="1280">
        <v>4.3604200799669303E-4</v>
      </c>
      <c r="N1052" s="1271">
        <v>8.6615443713661602E-3</v>
      </c>
      <c r="O1052" s="1257">
        <v>3.0000008598028201E-3</v>
      </c>
      <c r="P1052" s="1257">
        <v>7.9450501810529994E-3</v>
      </c>
      <c r="Q1052" s="1280">
        <v>8.6615443713661602E-3</v>
      </c>
      <c r="R1052" s="1271">
        <v>3.8500011034136201E-2</v>
      </c>
      <c r="S1052" s="1257">
        <v>3.8500011034136201E-2</v>
      </c>
      <c r="T1052" s="1257">
        <v>3.8500011034136201E-2</v>
      </c>
      <c r="U1052" s="1280">
        <v>1.9250005517068101E-2</v>
      </c>
      <c r="V1052" s="1293">
        <v>7.6754029985933898E-3</v>
      </c>
    </row>
    <row r="1053" spans="1:22" s="212" customFormat="1" ht="15.5" x14ac:dyDescent="0.35">
      <c r="A1053" s="198">
        <v>2033</v>
      </c>
      <c r="B1053" s="197" t="s">
        <v>5833</v>
      </c>
      <c r="C1053" s="197">
        <v>2013</v>
      </c>
      <c r="D1053" s="225" t="str">
        <f t="shared" si="5"/>
        <v>2033_2013</v>
      </c>
      <c r="E1053" s="1226">
        <v>7.2094113434234594E-2</v>
      </c>
      <c r="F1053" s="1257">
        <v>1.41475930585508E-2</v>
      </c>
      <c r="G1053" s="1280">
        <v>6.2318134998393303E-2</v>
      </c>
      <c r="H1053" s="1271">
        <v>0.40784655557003102</v>
      </c>
      <c r="I1053" s="1257">
        <v>0.43390180509347898</v>
      </c>
      <c r="J1053" s="1280">
        <v>0.122941135269169</v>
      </c>
      <c r="K1053" s="1271">
        <v>7.3433684624369397E-3</v>
      </c>
      <c r="L1053" s="1257">
        <v>1.37286052208778E-3</v>
      </c>
      <c r="M1053" s="1280">
        <v>4.3604200799669303E-4</v>
      </c>
      <c r="N1053" s="1271">
        <v>8.6615443713661602E-3</v>
      </c>
      <c r="O1053" s="1257">
        <v>3.0000008598028201E-3</v>
      </c>
      <c r="P1053" s="1257">
        <v>7.9450501810529994E-3</v>
      </c>
      <c r="Q1053" s="1280">
        <v>8.6615443713661602E-3</v>
      </c>
      <c r="R1053" s="1271">
        <v>3.8500011034136201E-2</v>
      </c>
      <c r="S1053" s="1257">
        <v>3.8500011034136201E-2</v>
      </c>
      <c r="T1053" s="1257">
        <v>3.8500011034136201E-2</v>
      </c>
      <c r="U1053" s="1280">
        <v>1.9250005517068101E-2</v>
      </c>
      <c r="V1053" s="1293">
        <v>7.6754029985933898E-3</v>
      </c>
    </row>
    <row r="1054" spans="1:22" s="212" customFormat="1" ht="15.5" x14ac:dyDescent="0.35">
      <c r="A1054" s="198">
        <v>2033</v>
      </c>
      <c r="B1054" s="197" t="s">
        <v>5833</v>
      </c>
      <c r="C1054" s="197">
        <v>2014</v>
      </c>
      <c r="D1054" s="225" t="str">
        <f t="shared" si="5"/>
        <v>2033_2014</v>
      </c>
      <c r="E1054" s="1226">
        <v>7.2094113434234594E-2</v>
      </c>
      <c r="F1054" s="1257">
        <v>1.41475930585508E-2</v>
      </c>
      <c r="G1054" s="1280">
        <v>6.2318134998393303E-2</v>
      </c>
      <c r="H1054" s="1271">
        <v>0.40784655557003102</v>
      </c>
      <c r="I1054" s="1257">
        <v>0.43390180509347898</v>
      </c>
      <c r="J1054" s="1280">
        <v>0.122941135269169</v>
      </c>
      <c r="K1054" s="1271">
        <v>7.3433684624369397E-3</v>
      </c>
      <c r="L1054" s="1257">
        <v>1.37286052208778E-3</v>
      </c>
      <c r="M1054" s="1280">
        <v>4.3604200799669303E-4</v>
      </c>
      <c r="N1054" s="1271">
        <v>8.6615443713661602E-3</v>
      </c>
      <c r="O1054" s="1257">
        <v>3.0000008598028201E-3</v>
      </c>
      <c r="P1054" s="1257">
        <v>7.9450501810529994E-3</v>
      </c>
      <c r="Q1054" s="1280">
        <v>8.6615443713661602E-3</v>
      </c>
      <c r="R1054" s="1271">
        <v>3.8500011034136201E-2</v>
      </c>
      <c r="S1054" s="1257">
        <v>3.8500011034136201E-2</v>
      </c>
      <c r="T1054" s="1257">
        <v>3.8500011034136201E-2</v>
      </c>
      <c r="U1054" s="1280">
        <v>1.9250005517068101E-2</v>
      </c>
      <c r="V1054" s="1293">
        <v>7.6754029985933898E-3</v>
      </c>
    </row>
    <row r="1055" spans="1:22" s="212" customFormat="1" ht="15.5" x14ac:dyDescent="0.35">
      <c r="A1055" s="198">
        <v>2033</v>
      </c>
      <c r="B1055" s="197" t="s">
        <v>5833</v>
      </c>
      <c r="C1055" s="197">
        <v>2015</v>
      </c>
      <c r="D1055" s="225" t="str">
        <f t="shared" si="5"/>
        <v>2033_2015</v>
      </c>
      <c r="E1055" s="1226">
        <v>7.2094113434234594E-2</v>
      </c>
      <c r="F1055" s="1257">
        <v>1.41475930585508E-2</v>
      </c>
      <c r="G1055" s="1280">
        <v>6.2318134998393303E-2</v>
      </c>
      <c r="H1055" s="1271">
        <v>0.40784655557003102</v>
      </c>
      <c r="I1055" s="1257">
        <v>0.43390180509347898</v>
      </c>
      <c r="J1055" s="1280">
        <v>0.122941135269169</v>
      </c>
      <c r="K1055" s="1271">
        <v>7.3433684624369397E-3</v>
      </c>
      <c r="L1055" s="1257">
        <v>1.37286052208778E-3</v>
      </c>
      <c r="M1055" s="1280">
        <v>4.3604200799669303E-4</v>
      </c>
      <c r="N1055" s="1271">
        <v>8.6615443713661602E-3</v>
      </c>
      <c r="O1055" s="1257">
        <v>3.0000008598028201E-3</v>
      </c>
      <c r="P1055" s="1257">
        <v>7.9450501810529994E-3</v>
      </c>
      <c r="Q1055" s="1280">
        <v>8.6615443713661602E-3</v>
      </c>
      <c r="R1055" s="1271">
        <v>3.8500011034136201E-2</v>
      </c>
      <c r="S1055" s="1257">
        <v>3.8500011034136201E-2</v>
      </c>
      <c r="T1055" s="1257">
        <v>3.8500011034136201E-2</v>
      </c>
      <c r="U1055" s="1280">
        <v>1.9250005517068101E-2</v>
      </c>
      <c r="V1055" s="1293">
        <v>7.6754029985933898E-3</v>
      </c>
    </row>
    <row r="1056" spans="1:22" s="212" customFormat="1" ht="15.5" x14ac:dyDescent="0.35">
      <c r="A1056" s="198">
        <v>2033</v>
      </c>
      <c r="B1056" s="197" t="s">
        <v>5833</v>
      </c>
      <c r="C1056" s="197">
        <v>2016</v>
      </c>
      <c r="D1056" s="225" t="str">
        <f t="shared" si="5"/>
        <v>2033_2016</v>
      </c>
      <c r="E1056" s="1226">
        <v>7.2094113434234594E-2</v>
      </c>
      <c r="F1056" s="1257">
        <v>1.41475930585508E-2</v>
      </c>
      <c r="G1056" s="1280">
        <v>6.2318134998393303E-2</v>
      </c>
      <c r="H1056" s="1271">
        <v>0.40784655557003102</v>
      </c>
      <c r="I1056" s="1257">
        <v>0.43390180509347898</v>
      </c>
      <c r="J1056" s="1280">
        <v>0.122941135269169</v>
      </c>
      <c r="K1056" s="1271">
        <v>7.3433684624369397E-3</v>
      </c>
      <c r="L1056" s="1257">
        <v>1.37286052208778E-3</v>
      </c>
      <c r="M1056" s="1280">
        <v>4.3604200799669303E-4</v>
      </c>
      <c r="N1056" s="1271">
        <v>8.6615443713661602E-3</v>
      </c>
      <c r="O1056" s="1257">
        <v>3.0000008598028201E-3</v>
      </c>
      <c r="P1056" s="1257">
        <v>7.9450501810529994E-3</v>
      </c>
      <c r="Q1056" s="1280">
        <v>8.6615443713661602E-3</v>
      </c>
      <c r="R1056" s="1271">
        <v>3.8500011034136201E-2</v>
      </c>
      <c r="S1056" s="1257">
        <v>3.8500011034136201E-2</v>
      </c>
      <c r="T1056" s="1257">
        <v>3.8500011034136201E-2</v>
      </c>
      <c r="U1056" s="1280">
        <v>1.9250005517068101E-2</v>
      </c>
      <c r="V1056" s="1293">
        <v>7.6754029985933898E-3</v>
      </c>
    </row>
    <row r="1057" spans="1:22" s="212" customFormat="1" ht="15.5" x14ac:dyDescent="0.35">
      <c r="A1057" s="198">
        <v>2033</v>
      </c>
      <c r="B1057" s="197" t="s">
        <v>5833</v>
      </c>
      <c r="C1057" s="197">
        <v>2017</v>
      </c>
      <c r="D1057" s="225" t="str">
        <f t="shared" si="5"/>
        <v>2033_2017</v>
      </c>
      <c r="E1057" s="1226">
        <v>7.2094113434234594E-2</v>
      </c>
      <c r="F1057" s="1257">
        <v>1.41475930585508E-2</v>
      </c>
      <c r="G1057" s="1280">
        <v>6.2318134998393303E-2</v>
      </c>
      <c r="H1057" s="1271">
        <v>0.40784655557003102</v>
      </c>
      <c r="I1057" s="1257">
        <v>0.43390180509347898</v>
      </c>
      <c r="J1057" s="1280">
        <v>0.122941135269169</v>
      </c>
      <c r="K1057" s="1271">
        <v>7.3433684624369397E-3</v>
      </c>
      <c r="L1057" s="1257">
        <v>1.37286052208778E-3</v>
      </c>
      <c r="M1057" s="1280">
        <v>4.3604200799669303E-4</v>
      </c>
      <c r="N1057" s="1271">
        <v>8.6615443713661602E-3</v>
      </c>
      <c r="O1057" s="1257">
        <v>3.0000008598028201E-3</v>
      </c>
      <c r="P1057" s="1257">
        <v>7.9450501810529994E-3</v>
      </c>
      <c r="Q1057" s="1280">
        <v>8.6615443713661602E-3</v>
      </c>
      <c r="R1057" s="1271">
        <v>3.8500011034136201E-2</v>
      </c>
      <c r="S1057" s="1257">
        <v>3.8500011034136201E-2</v>
      </c>
      <c r="T1057" s="1257">
        <v>3.8500011034136201E-2</v>
      </c>
      <c r="U1057" s="1280">
        <v>1.9250005517068101E-2</v>
      </c>
      <c r="V1057" s="1293">
        <v>7.6754029985933898E-3</v>
      </c>
    </row>
    <row r="1058" spans="1:22" s="212" customFormat="1" ht="15.5" x14ac:dyDescent="0.35">
      <c r="A1058" s="198">
        <v>2033</v>
      </c>
      <c r="B1058" s="197" t="s">
        <v>5833</v>
      </c>
      <c r="C1058" s="197">
        <v>2018</v>
      </c>
      <c r="D1058" s="225" t="str">
        <f t="shared" si="5"/>
        <v>2033_2018</v>
      </c>
      <c r="E1058" s="1226">
        <v>7.2094113434234594E-2</v>
      </c>
      <c r="F1058" s="1257">
        <v>1.41475930585508E-2</v>
      </c>
      <c r="G1058" s="1280">
        <v>6.2318134998393303E-2</v>
      </c>
      <c r="H1058" s="1271">
        <v>0.40784655557003102</v>
      </c>
      <c r="I1058" s="1257">
        <v>0.43390180509347898</v>
      </c>
      <c r="J1058" s="1280">
        <v>0.122941135269169</v>
      </c>
      <c r="K1058" s="1271">
        <v>7.3433684624369397E-3</v>
      </c>
      <c r="L1058" s="1257">
        <v>1.37286052208778E-3</v>
      </c>
      <c r="M1058" s="1280">
        <v>4.3604200799669303E-4</v>
      </c>
      <c r="N1058" s="1271">
        <v>8.6615443713661602E-3</v>
      </c>
      <c r="O1058" s="1257">
        <v>3.0000008598028201E-3</v>
      </c>
      <c r="P1058" s="1257">
        <v>7.9450501810529994E-3</v>
      </c>
      <c r="Q1058" s="1280">
        <v>8.6615443713661602E-3</v>
      </c>
      <c r="R1058" s="1271">
        <v>3.8500011034136201E-2</v>
      </c>
      <c r="S1058" s="1257">
        <v>3.8500011034136201E-2</v>
      </c>
      <c r="T1058" s="1257">
        <v>3.8500011034136201E-2</v>
      </c>
      <c r="U1058" s="1280">
        <v>1.9250005517068101E-2</v>
      </c>
      <c r="V1058" s="1293">
        <v>7.6754029985933898E-3</v>
      </c>
    </row>
    <row r="1059" spans="1:22" s="212" customFormat="1" ht="15.5" x14ac:dyDescent="0.35">
      <c r="A1059" s="198">
        <v>2033</v>
      </c>
      <c r="B1059" s="197" t="s">
        <v>5833</v>
      </c>
      <c r="C1059" s="197">
        <v>2019</v>
      </c>
      <c r="D1059" s="225" t="str">
        <f t="shared" si="5"/>
        <v>2033_2019</v>
      </c>
      <c r="E1059" s="1231">
        <v>7.2094113434234594E-2</v>
      </c>
      <c r="F1059" s="1288">
        <v>1.41475930585508E-2</v>
      </c>
      <c r="G1059" s="1306">
        <v>6.2318134998393303E-2</v>
      </c>
      <c r="H1059" s="1303">
        <v>0.40784655557003102</v>
      </c>
      <c r="I1059" s="1288">
        <v>0.43390180509347898</v>
      </c>
      <c r="J1059" s="1306">
        <v>0.122941135269169</v>
      </c>
      <c r="K1059" s="1303">
        <v>7.3433684624369397E-3</v>
      </c>
      <c r="L1059" s="1288">
        <v>1.37286052208778E-3</v>
      </c>
      <c r="M1059" s="1306">
        <v>4.3604200799669303E-4</v>
      </c>
      <c r="N1059" s="1303">
        <v>8.6615443713661602E-3</v>
      </c>
      <c r="O1059" s="1288">
        <v>3.0000008598028201E-3</v>
      </c>
      <c r="P1059" s="1288">
        <v>7.9450501810529994E-3</v>
      </c>
      <c r="Q1059" s="1306">
        <v>6.5450099317091804E-3</v>
      </c>
      <c r="R1059" s="1303">
        <v>3.8500011034136201E-2</v>
      </c>
      <c r="S1059" s="1288">
        <v>3.8500011034136201E-2</v>
      </c>
      <c r="T1059" s="1288">
        <v>3.8500011034136201E-2</v>
      </c>
      <c r="U1059" s="1306">
        <v>1.9250005517068101E-2</v>
      </c>
      <c r="V1059" s="1294">
        <v>7.6754029985933898E-3</v>
      </c>
    </row>
    <row r="1060" spans="1:22" s="212" customFormat="1" ht="15.5" x14ac:dyDescent="0.35">
      <c r="A1060" s="198">
        <v>2033</v>
      </c>
      <c r="B1060" s="197" t="s">
        <v>5833</v>
      </c>
      <c r="C1060" s="197">
        <v>2020</v>
      </c>
      <c r="D1060" s="225" t="str">
        <f t="shared" si="5"/>
        <v>2033_2020</v>
      </c>
      <c r="E1060" s="1231">
        <v>6.95988396252889E-2</v>
      </c>
      <c r="F1060" s="1288">
        <v>2.1800539735624399E-2</v>
      </c>
      <c r="G1060" s="1306">
        <v>6.5101830483989306E-2</v>
      </c>
      <c r="H1060" s="1303">
        <v>0.38920493782155602</v>
      </c>
      <c r="I1060" s="1288">
        <v>0.44918538371991101</v>
      </c>
      <c r="J1060" s="1306">
        <v>0.11270095213529401</v>
      </c>
      <c r="K1060" s="1303">
        <v>7.0591871431918696E-3</v>
      </c>
      <c r="L1060" s="1288">
        <v>2.1027946372452399E-3</v>
      </c>
      <c r="M1060" s="1306">
        <v>4.1341665217028799E-4</v>
      </c>
      <c r="N1060" s="1303">
        <v>8.3469904853548001E-3</v>
      </c>
      <c r="O1060" s="1288">
        <v>3.0000008598028201E-3</v>
      </c>
      <c r="P1060" s="1288">
        <v>8.6820265727153203E-3</v>
      </c>
      <c r="Q1060" s="1280">
        <v>8.3469904853548001E-3</v>
      </c>
      <c r="R1060" s="1303">
        <v>3.8500011034136201E-2</v>
      </c>
      <c r="S1060" s="1288">
        <v>3.8500011034136201E-2</v>
      </c>
      <c r="T1060" s="1288">
        <v>3.8500011034136201E-2</v>
      </c>
      <c r="U1060" s="1280">
        <v>1.9250005517068101E-2</v>
      </c>
      <c r="V1060" s="1294">
        <v>7.3783722611279901E-3</v>
      </c>
    </row>
    <row r="1061" spans="1:22" s="212" customFormat="1" ht="15.5" x14ac:dyDescent="0.35">
      <c r="A1061" s="198">
        <v>2033</v>
      </c>
      <c r="B1061" s="197" t="s">
        <v>5833</v>
      </c>
      <c r="C1061" s="197">
        <v>2021</v>
      </c>
      <c r="D1061" s="225" t="str">
        <f t="shared" si="5"/>
        <v>2033_2021</v>
      </c>
      <c r="E1061" s="1231">
        <v>4.7748150784136502E-2</v>
      </c>
      <c r="F1061" s="1288">
        <v>1.6240761786201902E-2</v>
      </c>
      <c r="G1061" s="1306">
        <v>6.31753685262786E-2</v>
      </c>
      <c r="H1061" s="1303">
        <v>0.23220197079204899</v>
      </c>
      <c r="I1061" s="1288">
        <v>0.396537906814036</v>
      </c>
      <c r="J1061" s="1306">
        <v>0.111466145267579</v>
      </c>
      <c r="K1061" s="1303">
        <v>4.19613215785838E-3</v>
      </c>
      <c r="L1061" s="1288">
        <v>1.5729210436776599E-3</v>
      </c>
      <c r="M1061" s="1306">
        <v>4.0883732715566899E-4</v>
      </c>
      <c r="N1061" s="1303">
        <v>5.3669390788822196E-3</v>
      </c>
      <c r="O1061" s="1288">
        <v>3.0000008598028201E-3</v>
      </c>
      <c r="P1061" s="1288">
        <v>8.2540078214305996E-3</v>
      </c>
      <c r="Q1061" s="1280">
        <v>5.3669390788822196E-3</v>
      </c>
      <c r="R1061" s="1303">
        <v>3.8500011034136201E-2</v>
      </c>
      <c r="S1061" s="1288">
        <v>3.8500011034136201E-2</v>
      </c>
      <c r="T1061" s="1288">
        <v>3.8500011034136201E-2</v>
      </c>
      <c r="U1061" s="1280">
        <v>1.9250005517068101E-2</v>
      </c>
      <c r="V1061" s="1294">
        <v>4.3858626339760504E-3</v>
      </c>
    </row>
    <row r="1062" spans="1:22" s="212" customFormat="1" ht="15.5" x14ac:dyDescent="0.35">
      <c r="A1062" s="198">
        <v>2033</v>
      </c>
      <c r="B1062" s="197" t="s">
        <v>5833</v>
      </c>
      <c r="C1062" s="197">
        <v>2022</v>
      </c>
      <c r="D1062" s="225" t="str">
        <f t="shared" si="5"/>
        <v>2033_2022</v>
      </c>
      <c r="E1062" s="1231">
        <v>5.2305979817097899E-2</v>
      </c>
      <c r="F1062" s="1288">
        <v>2.1375493101828499E-2</v>
      </c>
      <c r="G1062" s="1306">
        <v>6.5979051211483605E-2</v>
      </c>
      <c r="H1062" s="1303">
        <v>0.26507928138461601</v>
      </c>
      <c r="I1062" s="1288">
        <v>0.39500787991835401</v>
      </c>
      <c r="J1062" s="1306">
        <v>0.13236420561912501</v>
      </c>
      <c r="K1062" s="1303">
        <v>4.7810320327885498E-3</v>
      </c>
      <c r="L1062" s="1288">
        <v>2.0628201313716401E-3</v>
      </c>
      <c r="M1062" s="1306">
        <v>4.61522070361442E-4</v>
      </c>
      <c r="N1062" s="1303">
        <v>5.9840032666679498E-3</v>
      </c>
      <c r="O1062" s="1288">
        <v>3.0000008598028201E-3</v>
      </c>
      <c r="P1062" s="1288">
        <v>8.6905492437335998E-3</v>
      </c>
      <c r="Q1062" s="1280">
        <v>5.9840032666679498E-3</v>
      </c>
      <c r="R1062" s="1303">
        <v>3.8500011034136201E-2</v>
      </c>
      <c r="S1062" s="1288">
        <v>3.8500011034136201E-2</v>
      </c>
      <c r="T1062" s="1288">
        <v>3.8500011034136201E-2</v>
      </c>
      <c r="U1062" s="1280">
        <v>1.9250005517068101E-2</v>
      </c>
      <c r="V1062" s="1294">
        <v>4.9972090857958104E-3</v>
      </c>
    </row>
    <row r="1063" spans="1:22" s="212" customFormat="1" ht="15.5" x14ac:dyDescent="0.35">
      <c r="A1063" s="198">
        <v>2033</v>
      </c>
      <c r="B1063" s="197" t="s">
        <v>5833</v>
      </c>
      <c r="C1063" s="197">
        <v>2023</v>
      </c>
      <c r="D1063" s="225" t="str">
        <f t="shared" si="5"/>
        <v>2033_2023</v>
      </c>
      <c r="E1063" s="1231">
        <v>5.89144472162706E-2</v>
      </c>
      <c r="F1063" s="1288">
        <v>1.06939553636753E-2</v>
      </c>
      <c r="G1063" s="1306">
        <v>6.1634133387377603E-2</v>
      </c>
      <c r="H1063" s="1303">
        <v>0.30957342032095198</v>
      </c>
      <c r="I1063" s="1288">
        <v>0.23955213435356801</v>
      </c>
      <c r="J1063" s="1306">
        <v>9.4593970573886604E-2</v>
      </c>
      <c r="K1063" s="1303">
        <v>5.7370305636234298E-3</v>
      </c>
      <c r="L1063" s="1288">
        <v>1.3321352905281401E-3</v>
      </c>
      <c r="M1063" s="1306">
        <v>4.2099377347544698E-4</v>
      </c>
      <c r="N1063" s="1303">
        <v>6.8182408144928999E-3</v>
      </c>
      <c r="O1063" s="1288">
        <v>2.6749741936355101E-3</v>
      </c>
      <c r="P1063" s="1288">
        <v>8.3641682443388599E-3</v>
      </c>
      <c r="Q1063" s="1280">
        <v>6.8182408144928999E-3</v>
      </c>
      <c r="R1063" s="1303">
        <v>3.8454647584275803E-2</v>
      </c>
      <c r="S1063" s="1288">
        <v>3.63385837041236E-2</v>
      </c>
      <c r="T1063" s="1288">
        <v>3.8474991909915601E-2</v>
      </c>
      <c r="U1063" s="1280">
        <v>1.9227323792137901E-2</v>
      </c>
      <c r="V1063" s="1294">
        <v>5.9964336280143903E-3</v>
      </c>
    </row>
    <row r="1064" spans="1:22" s="212" customFormat="1" ht="15.5" x14ac:dyDescent="0.35">
      <c r="A1064" s="198">
        <v>2033</v>
      </c>
      <c r="B1064" s="197" t="s">
        <v>5833</v>
      </c>
      <c r="C1064" s="197">
        <v>2024</v>
      </c>
      <c r="D1064" s="225" t="str">
        <f t="shared" si="5"/>
        <v>2033_2024</v>
      </c>
      <c r="E1064" s="1231">
        <v>5.8330467974488001E-2</v>
      </c>
      <c r="F1064" s="1288">
        <v>7.5608620023992603E-3</v>
      </c>
      <c r="G1064" s="1306">
        <v>5.8595985072207799E-2</v>
      </c>
      <c r="H1064" s="1303">
        <v>0.29997166292880501</v>
      </c>
      <c r="I1064" s="1288">
        <v>0.133544955455797</v>
      </c>
      <c r="J1064" s="1306">
        <v>9.5206485404640301E-2</v>
      </c>
      <c r="K1064" s="1303">
        <v>5.7805220375988604E-3</v>
      </c>
      <c r="L1064" s="1288">
        <v>1.29442042850529E-3</v>
      </c>
      <c r="M1064" s="1306">
        <v>7.8029862017928002E-4</v>
      </c>
      <c r="N1064" s="1303">
        <v>6.6054609126384002E-3</v>
      </c>
      <c r="O1064" s="1288">
        <v>2.36481062436464E-3</v>
      </c>
      <c r="P1064" s="1288">
        <v>7.7134479762009803E-3</v>
      </c>
      <c r="Q1064" s="1306">
        <v>8.4690603859683099E-3</v>
      </c>
      <c r="R1064" s="1303">
        <v>3.8367401713422698E-2</v>
      </c>
      <c r="S1064" s="1288">
        <v>3.4275995968472299E-2</v>
      </c>
      <c r="T1064" s="1288">
        <v>3.8318014894511601E-2</v>
      </c>
      <c r="U1064" s="1306">
        <v>1.9250005517068101E-2</v>
      </c>
      <c r="V1064" s="1294">
        <v>6.0418915934524302E-3</v>
      </c>
    </row>
    <row r="1065" spans="1:22" s="212" customFormat="1" ht="15.5" x14ac:dyDescent="0.35">
      <c r="A1065" s="198">
        <v>2033</v>
      </c>
      <c r="B1065" s="197" t="s">
        <v>5833</v>
      </c>
      <c r="C1065" s="197">
        <v>2025</v>
      </c>
      <c r="D1065" s="225" t="str">
        <f t="shared" si="5"/>
        <v>2033_2025</v>
      </c>
      <c r="E1065" s="1231">
        <v>6.6987196460356696E-2</v>
      </c>
      <c r="F1065" s="1288">
        <v>7.32857941354478E-3</v>
      </c>
      <c r="G1065" s="1306">
        <v>5.50026042777687E-2</v>
      </c>
      <c r="H1065" s="1303">
        <v>0.36367253160011798</v>
      </c>
      <c r="I1065" s="1288">
        <v>0.105965803919151</v>
      </c>
      <c r="J1065" s="1306">
        <v>8.7716329132454696E-2</v>
      </c>
      <c r="K1065" s="1303">
        <v>6.8645811232437397E-3</v>
      </c>
      <c r="L1065" s="1288">
        <v>1.3456878261723299E-3</v>
      </c>
      <c r="M1065" s="1306">
        <v>6.1152086619175596E-4</v>
      </c>
      <c r="N1065" s="1303">
        <v>7.8252844597193096E-3</v>
      </c>
      <c r="O1065" s="1288">
        <v>2.2897841947133899E-3</v>
      </c>
      <c r="P1065" s="1288">
        <v>7.2329655940151097E-3</v>
      </c>
      <c r="Q1065" s="1306">
        <v>8.12190024590086E-3</v>
      </c>
      <c r="R1065" s="1303">
        <v>3.83901922330784E-2</v>
      </c>
      <c r="S1065" s="1288">
        <v>3.3777070211291498E-2</v>
      </c>
      <c r="T1065" s="1288">
        <v>3.8395805477708898E-2</v>
      </c>
      <c r="U1065" s="1306">
        <v>1.9250005517068101E-2</v>
      </c>
      <c r="V1065" s="1294">
        <v>7.1749670205092401E-3</v>
      </c>
    </row>
    <row r="1066" spans="1:22" s="212" customFormat="1" ht="15.5" x14ac:dyDescent="0.35">
      <c r="A1066" s="198">
        <v>2033</v>
      </c>
      <c r="B1066" s="197" t="s">
        <v>5833</v>
      </c>
      <c r="C1066" s="197">
        <v>2026</v>
      </c>
      <c r="D1066" s="225" t="str">
        <f t="shared" si="5"/>
        <v>2033_2026</v>
      </c>
      <c r="E1066" s="1231">
        <v>6.1392092023130097E-2</v>
      </c>
      <c r="F1066" s="1288">
        <v>8.0497278291374007E-3</v>
      </c>
      <c r="G1066" s="1306">
        <v>5.1809042454065903E-2</v>
      </c>
      <c r="H1066" s="1303">
        <v>0.32825092914049703</v>
      </c>
      <c r="I1066" s="1288">
        <v>0.14138820146375</v>
      </c>
      <c r="J1066" s="1306">
        <v>8.1974477453829603E-2</v>
      </c>
      <c r="K1066" s="1303">
        <v>5.9992511997294298E-3</v>
      </c>
      <c r="L1066" s="1288">
        <v>1.27074554618687E-3</v>
      </c>
      <c r="M1066" s="1306">
        <v>7.5423984755718695E-4</v>
      </c>
      <c r="N1066" s="1303">
        <v>7.16551310923072E-3</v>
      </c>
      <c r="O1066" s="1288">
        <v>2.4607874227618501E-3</v>
      </c>
      <c r="P1066" s="1288">
        <v>7.1839211312385801E-3</v>
      </c>
      <c r="Q1066" s="1306">
        <v>8.7337429995912007E-3</v>
      </c>
      <c r="R1066" s="1303">
        <v>3.84644305177919E-2</v>
      </c>
      <c r="S1066" s="1288">
        <v>3.4914241677813797E-2</v>
      </c>
      <c r="T1066" s="1288">
        <v>3.8249559809573001E-2</v>
      </c>
      <c r="U1066" s="1306">
        <v>1.9250005517068101E-2</v>
      </c>
      <c r="V1066" s="1294">
        <v>6.2705107176982697E-3</v>
      </c>
    </row>
    <row r="1067" spans="1:22" s="212" customFormat="1" ht="15.5" x14ac:dyDescent="0.35">
      <c r="A1067" s="198">
        <v>2033</v>
      </c>
      <c r="B1067" s="197" t="s">
        <v>5833</v>
      </c>
      <c r="C1067" s="197">
        <v>2027</v>
      </c>
      <c r="D1067" s="225" t="str">
        <f t="shared" si="5"/>
        <v>2033_2027</v>
      </c>
      <c r="E1067" s="1231">
        <v>6.95966778096095E-2</v>
      </c>
      <c r="F1067" s="1288">
        <v>3.9555989471176996E-3</v>
      </c>
      <c r="G1067" s="1306">
        <v>5.8378268093436297E-2</v>
      </c>
      <c r="H1067" s="1303">
        <v>0.394767928057767</v>
      </c>
      <c r="I1067" s="1288">
        <v>6.1228666388806002E-2</v>
      </c>
      <c r="J1067" s="1306">
        <v>9.6342964218759694E-2</v>
      </c>
      <c r="K1067" s="1303">
        <v>6.7997117084698201E-3</v>
      </c>
      <c r="L1067" s="1288">
        <v>1.11265155462237E-3</v>
      </c>
      <c r="M1067" s="1306">
        <v>6.7137720585513797E-4</v>
      </c>
      <c r="N1067" s="1303">
        <v>7.8504628206927992E-3</v>
      </c>
      <c r="O1067" s="1288">
        <v>2.17493873998496E-3</v>
      </c>
      <c r="P1067" s="1288">
        <v>7.80439062381625E-3</v>
      </c>
      <c r="Q1067" s="1306">
        <v>7.9141820106778307E-3</v>
      </c>
      <c r="R1067" s="1303">
        <v>3.8361482315821302E-2</v>
      </c>
      <c r="S1067" s="1288">
        <v>3.30133479373474E-2</v>
      </c>
      <c r="T1067" s="1288">
        <v>3.8362517854726101E-2</v>
      </c>
      <c r="U1067" s="1306">
        <v>1.9250005517068101E-2</v>
      </c>
      <c r="V1067" s="1294">
        <v>7.1071644986529896E-3</v>
      </c>
    </row>
    <row r="1068" spans="1:22" s="212" customFormat="1" ht="15.5" x14ac:dyDescent="0.35">
      <c r="A1068" s="198">
        <v>2033</v>
      </c>
      <c r="B1068" s="197" t="s">
        <v>5833</v>
      </c>
      <c r="C1068" s="197">
        <v>2028</v>
      </c>
      <c r="D1068" s="225" t="str">
        <f t="shared" si="5"/>
        <v>2033_2028</v>
      </c>
      <c r="E1068" s="1231">
        <v>6.5810703891155606E-2</v>
      </c>
      <c r="F1068" s="1288">
        <v>7.6830264437756004E-3</v>
      </c>
      <c r="G1068" s="1306">
        <v>5.8675020019453301E-2</v>
      </c>
      <c r="H1068" s="1303">
        <v>0.35993620731836401</v>
      </c>
      <c r="I1068" s="1288">
        <v>0.101867819462005</v>
      </c>
      <c r="J1068" s="1306">
        <v>9.9867720588599898E-2</v>
      </c>
      <c r="K1068" s="1303">
        <v>6.56957943963848E-3</v>
      </c>
      <c r="L1068" s="1288">
        <v>1.3042738398884499E-3</v>
      </c>
      <c r="M1068" s="1306">
        <v>9.4811251875115301E-4</v>
      </c>
      <c r="N1068" s="1303">
        <v>7.7712270796596299E-3</v>
      </c>
      <c r="O1068" s="1288">
        <v>2.3743079061995099E-3</v>
      </c>
      <c r="P1068" s="1288">
        <v>7.7308208824048898E-3</v>
      </c>
      <c r="Q1068" s="1306">
        <v>7.9427433315009295E-3</v>
      </c>
      <c r="R1068" s="1303">
        <v>3.8463848921908399E-2</v>
      </c>
      <c r="S1068" s="1288">
        <v>3.4339152892674203E-2</v>
      </c>
      <c r="T1068" s="1288">
        <v>3.8062585947839199E-2</v>
      </c>
      <c r="U1068" s="1306">
        <v>1.9250005517068101E-2</v>
      </c>
      <c r="V1068" s="1294">
        <v>6.86662666982192E-3</v>
      </c>
    </row>
    <row r="1069" spans="1:22" s="212" customFormat="1" ht="15.5" x14ac:dyDescent="0.35">
      <c r="A1069" s="198">
        <v>2033</v>
      </c>
      <c r="B1069" s="197" t="s">
        <v>5833</v>
      </c>
      <c r="C1069" s="197">
        <v>2029</v>
      </c>
      <c r="D1069" s="225" t="str">
        <f t="shared" si="5"/>
        <v>2033_2029</v>
      </c>
      <c r="E1069" s="1231">
        <v>6.3025050816064299E-2</v>
      </c>
      <c r="F1069" s="1288">
        <v>7.2813270935664304E-3</v>
      </c>
      <c r="G1069" s="1306">
        <v>6.2510458874935698E-2</v>
      </c>
      <c r="H1069" s="1303">
        <v>0.33831011812219203</v>
      </c>
      <c r="I1069" s="1288">
        <v>0.100595212756935</v>
      </c>
      <c r="J1069" s="1306">
        <v>0.11105698228911</v>
      </c>
      <c r="K1069" s="1303">
        <v>6.22321519493219E-3</v>
      </c>
      <c r="L1069" s="1288">
        <v>1.25270201893052E-3</v>
      </c>
      <c r="M1069" s="1306">
        <v>7.9630995231510105E-4</v>
      </c>
      <c r="N1069" s="1303">
        <v>7.3591644136986097E-3</v>
      </c>
      <c r="O1069" s="1288">
        <v>2.3930042622993799E-3</v>
      </c>
      <c r="P1069" s="1288">
        <v>8.2423372137655493E-3</v>
      </c>
      <c r="Q1069" s="1306">
        <v>8.3085958763830497E-3</v>
      </c>
      <c r="R1069" s="1303">
        <v>3.8435790840330497E-2</v>
      </c>
      <c r="S1069" s="1288">
        <v>3.44634836607383E-2</v>
      </c>
      <c r="T1069" s="1288">
        <v>3.8206987430294201E-2</v>
      </c>
      <c r="U1069" s="1306">
        <v>1.9250005517068101E-2</v>
      </c>
      <c r="V1069" s="1294">
        <v>6.5046013709385902E-3</v>
      </c>
    </row>
    <row r="1070" spans="1:22" s="212" customFormat="1" ht="15.5" x14ac:dyDescent="0.35">
      <c r="A1070" s="198">
        <v>2033</v>
      </c>
      <c r="B1070" s="197" t="s">
        <v>5833</v>
      </c>
      <c r="C1070" s="197">
        <v>2030</v>
      </c>
      <c r="D1070" s="225" t="str">
        <f t="shared" si="5"/>
        <v>2033_2030</v>
      </c>
      <c r="E1070" s="1231">
        <v>9.3288971597716597E-2</v>
      </c>
      <c r="F1070" s="1288">
        <v>3.33985929144987E-3</v>
      </c>
      <c r="G1070" s="1306">
        <v>8.6604655664413804E-2</v>
      </c>
      <c r="H1070" s="1303">
        <v>0.18424702815968899</v>
      </c>
      <c r="I1070" s="1288">
        <v>1.6470896737920401E-2</v>
      </c>
      <c r="J1070" s="1306">
        <v>0.17467604586501001</v>
      </c>
      <c r="K1070" s="1303">
        <v>1.2608947861508801E-2</v>
      </c>
      <c r="L1070" s="1288">
        <v>1.1815854850312801E-3</v>
      </c>
      <c r="M1070" s="1306">
        <v>1.1860315794102599E-2</v>
      </c>
      <c r="N1070" s="1303">
        <v>3.0000008598028201E-3</v>
      </c>
      <c r="O1070" s="1288">
        <v>2.0000005732018801E-3</v>
      </c>
      <c r="P1070" s="1288">
        <v>3.0000008598028201E-3</v>
      </c>
      <c r="Q1070" s="1306">
        <v>7.8222780240651494E-3</v>
      </c>
      <c r="R1070" s="1303">
        <v>3.1850009128239903E-2</v>
      </c>
      <c r="S1070" s="1288">
        <v>3.1850009128239903E-2</v>
      </c>
      <c r="T1070" s="1288">
        <v>3.1850009128239903E-2</v>
      </c>
      <c r="U1070" s="1306">
        <v>1.9250005517068101E-2</v>
      </c>
      <c r="V1070" s="1294">
        <v>1.31790685324287E-2</v>
      </c>
    </row>
    <row r="1071" spans="1:22" s="212" customFormat="1" ht="15.5" x14ac:dyDescent="0.35">
      <c r="A1071" s="198">
        <v>2033</v>
      </c>
      <c r="B1071" s="197" t="s">
        <v>5833</v>
      </c>
      <c r="C1071" s="197">
        <v>2031</v>
      </c>
      <c r="D1071" s="225" t="str">
        <f t="shared" si="5"/>
        <v>2033_2031</v>
      </c>
      <c r="E1071" s="1231">
        <v>9.2252378271847693E-2</v>
      </c>
      <c r="F1071" s="1288">
        <v>2.9723904621749898E-3</v>
      </c>
      <c r="G1071" s="1306">
        <v>8.1530664362918503E-2</v>
      </c>
      <c r="H1071" s="1303">
        <v>0.17556840591130199</v>
      </c>
      <c r="I1071" s="1288">
        <v>1.9509587679521E-2</v>
      </c>
      <c r="J1071" s="1306">
        <v>0.162229305689014</v>
      </c>
      <c r="K1071" s="1303">
        <v>1.09956592360675E-2</v>
      </c>
      <c r="L1071" s="1288">
        <v>1.12578437093932E-3</v>
      </c>
      <c r="M1071" s="1306">
        <v>9.9727849002413296E-3</v>
      </c>
      <c r="N1071" s="1303">
        <v>3.0000008598028201E-3</v>
      </c>
      <c r="O1071" s="1288">
        <v>2.0000005732018801E-3</v>
      </c>
      <c r="P1071" s="1288">
        <v>3.0000008598028201E-3</v>
      </c>
      <c r="Q1071" s="1306">
        <v>8.1120328320053794E-3</v>
      </c>
      <c r="R1071" s="1303">
        <v>3.1850009128239903E-2</v>
      </c>
      <c r="S1071" s="1288">
        <v>3.1850009128239903E-2</v>
      </c>
      <c r="T1071" s="1288">
        <v>3.1850009128239903E-2</v>
      </c>
      <c r="U1071" s="1306">
        <v>1.9250005517068101E-2</v>
      </c>
      <c r="V1071" s="1294">
        <v>1.1492834154207199E-2</v>
      </c>
    </row>
    <row r="1072" spans="1:22" s="212" customFormat="1" ht="15.5" x14ac:dyDescent="0.35">
      <c r="A1072" s="198">
        <v>2033</v>
      </c>
      <c r="B1072" s="197" t="s">
        <v>5833</v>
      </c>
      <c r="C1072" s="197">
        <v>2032</v>
      </c>
      <c r="D1072" s="225" t="str">
        <f t="shared" si="5"/>
        <v>2033_2032</v>
      </c>
      <c r="E1072" s="1231">
        <v>8.8166399605331805E-2</v>
      </c>
      <c r="F1072" s="1288">
        <v>3.8562313852718798E-3</v>
      </c>
      <c r="G1072" s="1306">
        <v>6.8625390723335095E-2</v>
      </c>
      <c r="H1072" s="1303">
        <v>0.16164137393838299</v>
      </c>
      <c r="I1072" s="1288">
        <v>2.0750860262290598E-2</v>
      </c>
      <c r="J1072" s="1306">
        <v>0.13230711598230999</v>
      </c>
      <c r="K1072" s="1303">
        <v>8.9401060548797793E-3</v>
      </c>
      <c r="L1072" s="1288">
        <v>1.1594691371772201E-3</v>
      </c>
      <c r="M1072" s="1306">
        <v>7.2197209820083902E-3</v>
      </c>
      <c r="N1072" s="1303">
        <v>3.0000008598028201E-3</v>
      </c>
      <c r="O1072" s="1288">
        <v>2.0000005732018801E-3</v>
      </c>
      <c r="P1072" s="1288">
        <v>3.0000008598028201E-3</v>
      </c>
      <c r="Q1072" s="1306">
        <v>7.7480283451327701E-3</v>
      </c>
      <c r="R1072" s="1303">
        <v>3.1850009128239903E-2</v>
      </c>
      <c r="S1072" s="1288">
        <v>3.1850009128239903E-2</v>
      </c>
      <c r="T1072" s="1288">
        <v>3.1850009128239903E-2</v>
      </c>
      <c r="U1072" s="1306">
        <v>1.9250005517068E-2</v>
      </c>
      <c r="V1072" s="1294">
        <v>9.3443379795483707E-3</v>
      </c>
    </row>
    <row r="1073" spans="1:22" s="212" customFormat="1" ht="15.5" x14ac:dyDescent="0.35">
      <c r="A1073" s="198">
        <v>2033</v>
      </c>
      <c r="B1073" s="197" t="s">
        <v>5833</v>
      </c>
      <c r="C1073" s="197">
        <v>2033</v>
      </c>
      <c r="D1073" s="225" t="str">
        <f t="shared" si="5"/>
        <v>2033_2033</v>
      </c>
      <c r="E1073" s="1231">
        <v>8.5505769193198605E-2</v>
      </c>
      <c r="F1073" s="1288">
        <v>3.1261444780084999E-3</v>
      </c>
      <c r="G1073" s="1306">
        <v>6.4146048591107799E-2</v>
      </c>
      <c r="H1073" s="1303">
        <v>0.14955762046139301</v>
      </c>
      <c r="I1073" s="1288">
        <v>2.0213483411390398E-2</v>
      </c>
      <c r="J1073" s="1306">
        <v>0.118544435946381</v>
      </c>
      <c r="K1073" s="1303">
        <v>6.9845726025418902E-3</v>
      </c>
      <c r="L1073" s="1288">
        <v>1.10713587809495E-3</v>
      </c>
      <c r="M1073" s="1306">
        <v>5.4601792490156197E-3</v>
      </c>
      <c r="N1073" s="1303">
        <v>3.0000008598028201E-3</v>
      </c>
      <c r="O1073" s="1288">
        <v>2.0000005732018801E-3</v>
      </c>
      <c r="P1073" s="1288">
        <v>3.0000008598028201E-3</v>
      </c>
      <c r="Q1073" s="1306">
        <v>7.0779306122425202E-3</v>
      </c>
      <c r="R1073" s="1303">
        <v>3.1850009128239903E-2</v>
      </c>
      <c r="S1073" s="1288">
        <v>3.1850009128239903E-2</v>
      </c>
      <c r="T1073" s="1288">
        <v>3.1850009128239903E-2</v>
      </c>
      <c r="U1073" s="1306">
        <v>1.9250005517068101E-2</v>
      </c>
      <c r="V1073" s="1294">
        <v>7.30038398204694E-3</v>
      </c>
    </row>
    <row r="1074" spans="1:22" s="212" customFormat="1" ht="15.5" x14ac:dyDescent="0.35">
      <c r="A1074" s="198">
        <v>2033</v>
      </c>
      <c r="B1074" s="197" t="s">
        <v>5833</v>
      </c>
      <c r="C1074" s="197">
        <v>2034</v>
      </c>
      <c r="D1074" s="225" t="str">
        <f t="shared" si="5"/>
        <v>2033_2034</v>
      </c>
      <c r="E1074" s="1226">
        <v>8.5505769193198605E-2</v>
      </c>
      <c r="F1074" s="1257">
        <v>3.1261444780084999E-3</v>
      </c>
      <c r="G1074" s="1280">
        <v>6.4146048591107799E-2</v>
      </c>
      <c r="H1074" s="1271">
        <v>0.14955762046139301</v>
      </c>
      <c r="I1074" s="1257">
        <v>2.0213483411390398E-2</v>
      </c>
      <c r="J1074" s="1280">
        <v>0.118544435946381</v>
      </c>
      <c r="K1074" s="1271">
        <v>6.9845726025418902E-3</v>
      </c>
      <c r="L1074" s="1257">
        <v>1.10713587809495E-3</v>
      </c>
      <c r="M1074" s="1280">
        <v>5.4601792490156197E-3</v>
      </c>
      <c r="N1074" s="1271">
        <v>3.0000008598028201E-3</v>
      </c>
      <c r="O1074" s="1257">
        <v>2.0000005732018801E-3</v>
      </c>
      <c r="P1074" s="1257">
        <v>3.0000008598028201E-3</v>
      </c>
      <c r="Q1074" s="1280">
        <v>7.0779306122425202E-3</v>
      </c>
      <c r="R1074" s="1271">
        <v>3.1850009128239903E-2</v>
      </c>
      <c r="S1074" s="1257">
        <v>3.1850009128239903E-2</v>
      </c>
      <c r="T1074" s="1257">
        <v>3.1850009128239903E-2</v>
      </c>
      <c r="U1074" s="1280">
        <v>1.9250005517068101E-2</v>
      </c>
      <c r="V1074" s="1293">
        <v>7.30038398204694E-3</v>
      </c>
    </row>
    <row r="1075" spans="1:22" s="212" customFormat="1" ht="15.5" x14ac:dyDescent="0.35">
      <c r="A1075" s="198">
        <v>2034</v>
      </c>
      <c r="B1075" s="197" t="s">
        <v>5833</v>
      </c>
      <c r="C1075" s="197">
        <v>1971</v>
      </c>
      <c r="D1075" s="225" t="str">
        <f t="shared" si="5"/>
        <v>2034_1971</v>
      </c>
      <c r="E1075" s="1226">
        <v>6.95988396252889E-2</v>
      </c>
      <c r="F1075" s="1257">
        <v>2.1800539735624399E-2</v>
      </c>
      <c r="G1075" s="1280">
        <v>6.5101830483989306E-2</v>
      </c>
      <c r="H1075" s="1271">
        <v>0.38920493782155602</v>
      </c>
      <c r="I1075" s="1257">
        <v>0.48405537319272601</v>
      </c>
      <c r="J1075" s="1280">
        <v>0.11270095213529401</v>
      </c>
      <c r="K1075" s="1271">
        <v>7.05918714319186E-3</v>
      </c>
      <c r="L1075" s="1257">
        <v>2.1027946372452399E-3</v>
      </c>
      <c r="M1075" s="1280">
        <v>4.1341665217028799E-4</v>
      </c>
      <c r="N1075" s="1271">
        <v>8.3469904853547897E-3</v>
      </c>
      <c r="O1075" s="1257">
        <v>3.0000008598028201E-3</v>
      </c>
      <c r="P1075" s="1257">
        <v>8.6820265727153307E-3</v>
      </c>
      <c r="Q1075" s="1280">
        <v>8.3469904853547897E-3</v>
      </c>
      <c r="R1075" s="1271">
        <v>3.8500011034136201E-2</v>
      </c>
      <c r="S1075" s="1257">
        <v>3.8500011034136201E-2</v>
      </c>
      <c r="T1075" s="1257">
        <v>3.8500011034136201E-2</v>
      </c>
      <c r="U1075" s="1280">
        <v>1.9250005517068101E-2</v>
      </c>
      <c r="V1075" s="1293">
        <v>7.3783722611279901E-3</v>
      </c>
    </row>
    <row r="1076" spans="1:22" s="212" customFormat="1" ht="15.5" x14ac:dyDescent="0.35">
      <c r="A1076" s="198">
        <v>2034</v>
      </c>
      <c r="B1076" s="197" t="s">
        <v>5833</v>
      </c>
      <c r="C1076" s="197">
        <v>1972</v>
      </c>
      <c r="D1076" s="225" t="str">
        <f t="shared" si="5"/>
        <v>2034_1972</v>
      </c>
      <c r="E1076" s="1226">
        <v>6.95988396252889E-2</v>
      </c>
      <c r="F1076" s="1257">
        <v>2.1800539735624399E-2</v>
      </c>
      <c r="G1076" s="1280">
        <v>6.5101830483989306E-2</v>
      </c>
      <c r="H1076" s="1271">
        <v>0.38920493782155602</v>
      </c>
      <c r="I1076" s="1257">
        <v>0.48405537319272601</v>
      </c>
      <c r="J1076" s="1280">
        <v>0.11270095213529401</v>
      </c>
      <c r="K1076" s="1271">
        <v>7.05918714319186E-3</v>
      </c>
      <c r="L1076" s="1257">
        <v>2.1027946372452399E-3</v>
      </c>
      <c r="M1076" s="1280">
        <v>4.1341665217028799E-4</v>
      </c>
      <c r="N1076" s="1271">
        <v>8.3469904853547897E-3</v>
      </c>
      <c r="O1076" s="1257">
        <v>3.0000008598028201E-3</v>
      </c>
      <c r="P1076" s="1257">
        <v>8.6820265727153307E-3</v>
      </c>
      <c r="Q1076" s="1280">
        <v>8.3469904853547897E-3</v>
      </c>
      <c r="R1076" s="1271">
        <v>3.8500011034136201E-2</v>
      </c>
      <c r="S1076" s="1257">
        <v>3.8500011034136201E-2</v>
      </c>
      <c r="T1076" s="1257">
        <v>3.8500011034136201E-2</v>
      </c>
      <c r="U1076" s="1280">
        <v>1.9250005517068101E-2</v>
      </c>
      <c r="V1076" s="1293">
        <v>7.3783722611279901E-3</v>
      </c>
    </row>
    <row r="1077" spans="1:22" s="212" customFormat="1" ht="15.5" x14ac:dyDescent="0.35">
      <c r="A1077" s="198">
        <v>2034</v>
      </c>
      <c r="B1077" s="197" t="s">
        <v>5833</v>
      </c>
      <c r="C1077" s="197">
        <v>1973</v>
      </c>
      <c r="D1077" s="225" t="str">
        <f t="shared" si="5"/>
        <v>2034_1973</v>
      </c>
      <c r="E1077" s="1226">
        <v>6.95988396252889E-2</v>
      </c>
      <c r="F1077" s="1257">
        <v>2.1800539735624399E-2</v>
      </c>
      <c r="G1077" s="1280">
        <v>6.5101830483989306E-2</v>
      </c>
      <c r="H1077" s="1271">
        <v>0.38920493782155602</v>
      </c>
      <c r="I1077" s="1257">
        <v>0.48405537319272601</v>
      </c>
      <c r="J1077" s="1280">
        <v>0.11270095213529401</v>
      </c>
      <c r="K1077" s="1271">
        <v>7.05918714319186E-3</v>
      </c>
      <c r="L1077" s="1257">
        <v>2.1027946372452399E-3</v>
      </c>
      <c r="M1077" s="1280">
        <v>4.1341665217028799E-4</v>
      </c>
      <c r="N1077" s="1271">
        <v>8.3469904853547897E-3</v>
      </c>
      <c r="O1077" s="1257">
        <v>3.0000008598028201E-3</v>
      </c>
      <c r="P1077" s="1257">
        <v>8.6820265727153307E-3</v>
      </c>
      <c r="Q1077" s="1280">
        <v>8.3469904853547897E-3</v>
      </c>
      <c r="R1077" s="1271">
        <v>3.8500011034136201E-2</v>
      </c>
      <c r="S1077" s="1257">
        <v>3.8500011034136201E-2</v>
      </c>
      <c r="T1077" s="1257">
        <v>3.8500011034136201E-2</v>
      </c>
      <c r="U1077" s="1280">
        <v>1.9250005517068101E-2</v>
      </c>
      <c r="V1077" s="1293">
        <v>7.3783722611279901E-3</v>
      </c>
    </row>
    <row r="1078" spans="1:22" s="212" customFormat="1" ht="15.5" x14ac:dyDescent="0.35">
      <c r="A1078" s="198">
        <v>2034</v>
      </c>
      <c r="B1078" s="197" t="s">
        <v>5833</v>
      </c>
      <c r="C1078" s="197">
        <v>1974</v>
      </c>
      <c r="D1078" s="225" t="str">
        <f t="shared" si="5"/>
        <v>2034_1974</v>
      </c>
      <c r="E1078" s="1226">
        <v>6.95988396252889E-2</v>
      </c>
      <c r="F1078" s="1257">
        <v>2.1800539735624399E-2</v>
      </c>
      <c r="G1078" s="1280">
        <v>6.5101830483989306E-2</v>
      </c>
      <c r="H1078" s="1271">
        <v>0.38920493782155602</v>
      </c>
      <c r="I1078" s="1257">
        <v>0.48405537319272601</v>
      </c>
      <c r="J1078" s="1280">
        <v>0.11270095213529401</v>
      </c>
      <c r="K1078" s="1271">
        <v>7.05918714319186E-3</v>
      </c>
      <c r="L1078" s="1257">
        <v>2.1027946372452399E-3</v>
      </c>
      <c r="M1078" s="1280">
        <v>4.1341665217028799E-4</v>
      </c>
      <c r="N1078" s="1271">
        <v>8.3469904853547897E-3</v>
      </c>
      <c r="O1078" s="1257">
        <v>3.0000008598028201E-3</v>
      </c>
      <c r="P1078" s="1257">
        <v>8.6820265727153307E-3</v>
      </c>
      <c r="Q1078" s="1280">
        <v>8.3469904853547897E-3</v>
      </c>
      <c r="R1078" s="1271">
        <v>3.8500011034136201E-2</v>
      </c>
      <c r="S1078" s="1257">
        <v>3.8500011034136201E-2</v>
      </c>
      <c r="T1078" s="1257">
        <v>3.8500011034136201E-2</v>
      </c>
      <c r="U1078" s="1280">
        <v>1.9250005517068101E-2</v>
      </c>
      <c r="V1078" s="1293">
        <v>7.3783722611279901E-3</v>
      </c>
    </row>
    <row r="1079" spans="1:22" s="212" customFormat="1" ht="15.5" x14ac:dyDescent="0.35">
      <c r="A1079" s="198">
        <v>2034</v>
      </c>
      <c r="B1079" s="197" t="s">
        <v>5833</v>
      </c>
      <c r="C1079" s="197">
        <v>1975</v>
      </c>
      <c r="D1079" s="225" t="str">
        <f t="shared" si="5"/>
        <v>2034_1975</v>
      </c>
      <c r="E1079" s="1226">
        <v>6.95988396252889E-2</v>
      </c>
      <c r="F1079" s="1257">
        <v>2.1800539735624399E-2</v>
      </c>
      <c r="G1079" s="1280">
        <v>6.5101830483989306E-2</v>
      </c>
      <c r="H1079" s="1271">
        <v>0.38920493782155602</v>
      </c>
      <c r="I1079" s="1257">
        <v>0.48405537319272601</v>
      </c>
      <c r="J1079" s="1280">
        <v>0.11270095213529401</v>
      </c>
      <c r="K1079" s="1271">
        <v>7.05918714319186E-3</v>
      </c>
      <c r="L1079" s="1257">
        <v>2.1027946372452399E-3</v>
      </c>
      <c r="M1079" s="1280">
        <v>4.1341665217028799E-4</v>
      </c>
      <c r="N1079" s="1271">
        <v>8.3469904853547897E-3</v>
      </c>
      <c r="O1079" s="1257">
        <v>3.0000008598028201E-3</v>
      </c>
      <c r="P1079" s="1257">
        <v>8.6820265727153307E-3</v>
      </c>
      <c r="Q1079" s="1280">
        <v>8.3469904853547897E-3</v>
      </c>
      <c r="R1079" s="1271">
        <v>3.8500011034136201E-2</v>
      </c>
      <c r="S1079" s="1257">
        <v>3.8500011034136201E-2</v>
      </c>
      <c r="T1079" s="1257">
        <v>3.8500011034136201E-2</v>
      </c>
      <c r="U1079" s="1280">
        <v>1.9250005517068101E-2</v>
      </c>
      <c r="V1079" s="1293">
        <v>7.3783722611279901E-3</v>
      </c>
    </row>
    <row r="1080" spans="1:22" s="212" customFormat="1" ht="15.5" x14ac:dyDescent="0.35">
      <c r="A1080" s="198">
        <v>2034</v>
      </c>
      <c r="B1080" s="197" t="s">
        <v>5833</v>
      </c>
      <c r="C1080" s="197">
        <v>1976</v>
      </c>
      <c r="D1080" s="225" t="str">
        <f t="shared" si="5"/>
        <v>2034_1976</v>
      </c>
      <c r="E1080" s="1226">
        <v>6.95988396252889E-2</v>
      </c>
      <c r="F1080" s="1257">
        <v>2.1800539735624399E-2</v>
      </c>
      <c r="G1080" s="1280">
        <v>6.5101830483989306E-2</v>
      </c>
      <c r="H1080" s="1271">
        <v>0.38920493782155602</v>
      </c>
      <c r="I1080" s="1257">
        <v>0.48405537319272601</v>
      </c>
      <c r="J1080" s="1280">
        <v>0.11270095213529401</v>
      </c>
      <c r="K1080" s="1271">
        <v>7.05918714319186E-3</v>
      </c>
      <c r="L1080" s="1257">
        <v>2.1027946372452399E-3</v>
      </c>
      <c r="M1080" s="1280">
        <v>4.1341665217028799E-4</v>
      </c>
      <c r="N1080" s="1271">
        <v>8.3469904853547897E-3</v>
      </c>
      <c r="O1080" s="1257">
        <v>3.0000008598028201E-3</v>
      </c>
      <c r="P1080" s="1257">
        <v>8.6820265727153307E-3</v>
      </c>
      <c r="Q1080" s="1280">
        <v>8.3469904853547897E-3</v>
      </c>
      <c r="R1080" s="1271">
        <v>3.8500011034136201E-2</v>
      </c>
      <c r="S1080" s="1257">
        <v>3.8500011034136201E-2</v>
      </c>
      <c r="T1080" s="1257">
        <v>3.8500011034136201E-2</v>
      </c>
      <c r="U1080" s="1280">
        <v>1.9250005517068101E-2</v>
      </c>
      <c r="V1080" s="1293">
        <v>7.3783722611279901E-3</v>
      </c>
    </row>
    <row r="1081" spans="1:22" s="212" customFormat="1" ht="15.5" x14ac:dyDescent="0.35">
      <c r="A1081" s="198">
        <v>2034</v>
      </c>
      <c r="B1081" s="197" t="s">
        <v>5833</v>
      </c>
      <c r="C1081" s="197">
        <v>1977</v>
      </c>
      <c r="D1081" s="225" t="str">
        <f t="shared" si="5"/>
        <v>2034_1977</v>
      </c>
      <c r="E1081" s="1226">
        <v>6.95988396252889E-2</v>
      </c>
      <c r="F1081" s="1257">
        <v>2.1800539735624399E-2</v>
      </c>
      <c r="G1081" s="1280">
        <v>6.5101830483989306E-2</v>
      </c>
      <c r="H1081" s="1271">
        <v>0.38920493782155602</v>
      </c>
      <c r="I1081" s="1257">
        <v>0.48405537319272601</v>
      </c>
      <c r="J1081" s="1280">
        <v>0.11270095213529401</v>
      </c>
      <c r="K1081" s="1271">
        <v>7.05918714319186E-3</v>
      </c>
      <c r="L1081" s="1257">
        <v>2.1027946372452399E-3</v>
      </c>
      <c r="M1081" s="1280">
        <v>4.1341665217028799E-4</v>
      </c>
      <c r="N1081" s="1271">
        <v>8.3469904853547897E-3</v>
      </c>
      <c r="O1081" s="1257">
        <v>3.0000008598028201E-3</v>
      </c>
      <c r="P1081" s="1257">
        <v>8.6820265727153307E-3</v>
      </c>
      <c r="Q1081" s="1280">
        <v>8.3469904853547897E-3</v>
      </c>
      <c r="R1081" s="1271">
        <v>3.8500011034136201E-2</v>
      </c>
      <c r="S1081" s="1257">
        <v>3.8500011034136201E-2</v>
      </c>
      <c r="T1081" s="1257">
        <v>3.8500011034136201E-2</v>
      </c>
      <c r="U1081" s="1280">
        <v>1.9250005517068101E-2</v>
      </c>
      <c r="V1081" s="1293">
        <v>7.3783722611279901E-3</v>
      </c>
    </row>
    <row r="1082" spans="1:22" s="212" customFormat="1" ht="15.5" x14ac:dyDescent="0.35">
      <c r="A1082" s="198">
        <v>2034</v>
      </c>
      <c r="B1082" s="197" t="s">
        <v>5833</v>
      </c>
      <c r="C1082" s="197">
        <v>1978</v>
      </c>
      <c r="D1082" s="225" t="str">
        <f t="shared" si="5"/>
        <v>2034_1978</v>
      </c>
      <c r="E1082" s="1226">
        <v>6.95988396252889E-2</v>
      </c>
      <c r="F1082" s="1257">
        <v>2.1800539735624399E-2</v>
      </c>
      <c r="G1082" s="1280">
        <v>6.5101830483989306E-2</v>
      </c>
      <c r="H1082" s="1271">
        <v>0.38920493782155602</v>
      </c>
      <c r="I1082" s="1257">
        <v>0.48405537319272601</v>
      </c>
      <c r="J1082" s="1280">
        <v>0.11270095213529401</v>
      </c>
      <c r="K1082" s="1271">
        <v>7.05918714319186E-3</v>
      </c>
      <c r="L1082" s="1257">
        <v>2.1027946372452399E-3</v>
      </c>
      <c r="M1082" s="1280">
        <v>4.1341665217028799E-4</v>
      </c>
      <c r="N1082" s="1271">
        <v>8.3469904853547897E-3</v>
      </c>
      <c r="O1082" s="1257">
        <v>3.0000008598028201E-3</v>
      </c>
      <c r="P1082" s="1257">
        <v>8.6820265727153307E-3</v>
      </c>
      <c r="Q1082" s="1280">
        <v>8.3469904853547897E-3</v>
      </c>
      <c r="R1082" s="1271">
        <v>3.8500011034136201E-2</v>
      </c>
      <c r="S1082" s="1257">
        <v>3.8500011034136201E-2</v>
      </c>
      <c r="T1082" s="1257">
        <v>3.8500011034136201E-2</v>
      </c>
      <c r="U1082" s="1280">
        <v>1.9250005517068101E-2</v>
      </c>
      <c r="V1082" s="1293">
        <v>7.3783722611279901E-3</v>
      </c>
    </row>
    <row r="1083" spans="1:22" s="212" customFormat="1" ht="15.5" x14ac:dyDescent="0.35">
      <c r="A1083" s="198">
        <v>2034</v>
      </c>
      <c r="B1083" s="197" t="s">
        <v>5833</v>
      </c>
      <c r="C1083" s="197">
        <v>1979</v>
      </c>
      <c r="D1083" s="225" t="str">
        <f t="shared" si="5"/>
        <v>2034_1979</v>
      </c>
      <c r="E1083" s="1226">
        <v>6.95988396252889E-2</v>
      </c>
      <c r="F1083" s="1257">
        <v>2.1800539735624399E-2</v>
      </c>
      <c r="G1083" s="1280">
        <v>6.5101830483989306E-2</v>
      </c>
      <c r="H1083" s="1271">
        <v>0.38920493782155602</v>
      </c>
      <c r="I1083" s="1257">
        <v>0.48405537319272601</v>
      </c>
      <c r="J1083" s="1280">
        <v>0.11270095213529401</v>
      </c>
      <c r="K1083" s="1271">
        <v>7.05918714319186E-3</v>
      </c>
      <c r="L1083" s="1257">
        <v>2.1027946372452399E-3</v>
      </c>
      <c r="M1083" s="1280">
        <v>4.1341665217028799E-4</v>
      </c>
      <c r="N1083" s="1271">
        <v>8.3469904853547897E-3</v>
      </c>
      <c r="O1083" s="1257">
        <v>3.0000008598028201E-3</v>
      </c>
      <c r="P1083" s="1257">
        <v>8.6820265727153307E-3</v>
      </c>
      <c r="Q1083" s="1280">
        <v>8.3469904853547897E-3</v>
      </c>
      <c r="R1083" s="1271">
        <v>3.8500011034136201E-2</v>
      </c>
      <c r="S1083" s="1257">
        <v>3.8500011034136201E-2</v>
      </c>
      <c r="T1083" s="1257">
        <v>3.8500011034136201E-2</v>
      </c>
      <c r="U1083" s="1280">
        <v>1.9250005517068101E-2</v>
      </c>
      <c r="V1083" s="1293">
        <v>7.3783722611279901E-3</v>
      </c>
    </row>
    <row r="1084" spans="1:22" s="212" customFormat="1" ht="15.5" x14ac:dyDescent="0.35">
      <c r="A1084" s="198">
        <v>2034</v>
      </c>
      <c r="B1084" s="197" t="s">
        <v>5833</v>
      </c>
      <c r="C1084" s="197">
        <v>1980</v>
      </c>
      <c r="D1084" s="225" t="str">
        <f t="shared" si="5"/>
        <v>2034_1980</v>
      </c>
      <c r="E1084" s="1226">
        <v>6.95988396252889E-2</v>
      </c>
      <c r="F1084" s="1257">
        <v>2.1800539735624399E-2</v>
      </c>
      <c r="G1084" s="1280">
        <v>6.5101830483989306E-2</v>
      </c>
      <c r="H1084" s="1271">
        <v>0.38920493782155602</v>
      </c>
      <c r="I1084" s="1257">
        <v>0.48405537319272601</v>
      </c>
      <c r="J1084" s="1280">
        <v>0.11270095213529401</v>
      </c>
      <c r="K1084" s="1271">
        <v>7.05918714319186E-3</v>
      </c>
      <c r="L1084" s="1257">
        <v>2.1027946372452399E-3</v>
      </c>
      <c r="M1084" s="1280">
        <v>4.1341665217028799E-4</v>
      </c>
      <c r="N1084" s="1271">
        <v>8.3469904853547897E-3</v>
      </c>
      <c r="O1084" s="1257">
        <v>3.0000008598028201E-3</v>
      </c>
      <c r="P1084" s="1257">
        <v>8.6820265727153307E-3</v>
      </c>
      <c r="Q1084" s="1280">
        <v>8.3469904853547897E-3</v>
      </c>
      <c r="R1084" s="1271">
        <v>3.8500011034136201E-2</v>
      </c>
      <c r="S1084" s="1257">
        <v>3.8500011034136201E-2</v>
      </c>
      <c r="T1084" s="1257">
        <v>3.8500011034136201E-2</v>
      </c>
      <c r="U1084" s="1280">
        <v>1.9250005517068101E-2</v>
      </c>
      <c r="V1084" s="1293">
        <v>7.3783722611279901E-3</v>
      </c>
    </row>
    <row r="1085" spans="1:22" s="212" customFormat="1" ht="15.5" x14ac:dyDescent="0.35">
      <c r="A1085" s="198">
        <v>2034</v>
      </c>
      <c r="B1085" s="197" t="s">
        <v>5833</v>
      </c>
      <c r="C1085" s="197">
        <v>1981</v>
      </c>
      <c r="D1085" s="225" t="str">
        <f t="shared" si="5"/>
        <v>2034_1981</v>
      </c>
      <c r="E1085" s="1226">
        <v>6.95988396252889E-2</v>
      </c>
      <c r="F1085" s="1257">
        <v>2.1800539735624399E-2</v>
      </c>
      <c r="G1085" s="1280">
        <v>6.5101830483989306E-2</v>
      </c>
      <c r="H1085" s="1271">
        <v>0.38920493782155602</v>
      </c>
      <c r="I1085" s="1257">
        <v>0.48405537319272601</v>
      </c>
      <c r="J1085" s="1280">
        <v>0.11270095213529401</v>
      </c>
      <c r="K1085" s="1271">
        <v>7.05918714319186E-3</v>
      </c>
      <c r="L1085" s="1257">
        <v>2.1027946372452399E-3</v>
      </c>
      <c r="M1085" s="1280">
        <v>4.1341665217028799E-4</v>
      </c>
      <c r="N1085" s="1271">
        <v>8.3469904853547897E-3</v>
      </c>
      <c r="O1085" s="1257">
        <v>3.0000008598028201E-3</v>
      </c>
      <c r="P1085" s="1257">
        <v>8.6820265727153307E-3</v>
      </c>
      <c r="Q1085" s="1280">
        <v>8.3469904853547897E-3</v>
      </c>
      <c r="R1085" s="1271">
        <v>3.8500011034136201E-2</v>
      </c>
      <c r="S1085" s="1257">
        <v>3.8500011034136201E-2</v>
      </c>
      <c r="T1085" s="1257">
        <v>3.8500011034136201E-2</v>
      </c>
      <c r="U1085" s="1280">
        <v>1.9250005517068101E-2</v>
      </c>
      <c r="V1085" s="1293">
        <v>7.3783722611279901E-3</v>
      </c>
    </row>
    <row r="1086" spans="1:22" s="212" customFormat="1" ht="15.5" x14ac:dyDescent="0.35">
      <c r="A1086" s="198">
        <v>2034</v>
      </c>
      <c r="B1086" s="197" t="s">
        <v>5833</v>
      </c>
      <c r="C1086" s="197">
        <v>1982</v>
      </c>
      <c r="D1086" s="225" t="str">
        <f t="shared" si="5"/>
        <v>2034_1982</v>
      </c>
      <c r="E1086" s="1226">
        <v>6.95988396252889E-2</v>
      </c>
      <c r="F1086" s="1257">
        <v>2.1800539735624399E-2</v>
      </c>
      <c r="G1086" s="1280">
        <v>6.5101830483989306E-2</v>
      </c>
      <c r="H1086" s="1271">
        <v>0.38920493782155602</v>
      </c>
      <c r="I1086" s="1257">
        <v>0.48405537319272601</v>
      </c>
      <c r="J1086" s="1280">
        <v>0.11270095213529401</v>
      </c>
      <c r="K1086" s="1271">
        <v>7.05918714319186E-3</v>
      </c>
      <c r="L1086" s="1257">
        <v>2.1027946372452399E-3</v>
      </c>
      <c r="M1086" s="1280">
        <v>4.1341665217028799E-4</v>
      </c>
      <c r="N1086" s="1271">
        <v>8.3469904853547897E-3</v>
      </c>
      <c r="O1086" s="1257">
        <v>3.0000008598028201E-3</v>
      </c>
      <c r="P1086" s="1257">
        <v>8.6820265727153307E-3</v>
      </c>
      <c r="Q1086" s="1280">
        <v>8.3469904853547897E-3</v>
      </c>
      <c r="R1086" s="1271">
        <v>3.8500011034136201E-2</v>
      </c>
      <c r="S1086" s="1257">
        <v>3.8500011034136201E-2</v>
      </c>
      <c r="T1086" s="1257">
        <v>3.8500011034136201E-2</v>
      </c>
      <c r="U1086" s="1280">
        <v>1.9250005517068101E-2</v>
      </c>
      <c r="V1086" s="1293">
        <v>7.3783722611279901E-3</v>
      </c>
    </row>
    <row r="1087" spans="1:22" s="212" customFormat="1" ht="15.5" x14ac:dyDescent="0.35">
      <c r="A1087" s="198">
        <v>2034</v>
      </c>
      <c r="B1087" s="197" t="s">
        <v>5833</v>
      </c>
      <c r="C1087" s="197">
        <v>1983</v>
      </c>
      <c r="D1087" s="225" t="str">
        <f t="shared" si="5"/>
        <v>2034_1983</v>
      </c>
      <c r="E1087" s="1226">
        <v>6.95988396252889E-2</v>
      </c>
      <c r="F1087" s="1257">
        <v>2.1800539735624399E-2</v>
      </c>
      <c r="G1087" s="1280">
        <v>6.5101830483989306E-2</v>
      </c>
      <c r="H1087" s="1271">
        <v>0.38920493782155602</v>
      </c>
      <c r="I1087" s="1257">
        <v>0.48405537319272601</v>
      </c>
      <c r="J1087" s="1280">
        <v>0.11270095213529401</v>
      </c>
      <c r="K1087" s="1271">
        <v>7.05918714319186E-3</v>
      </c>
      <c r="L1087" s="1257">
        <v>2.1027946372452399E-3</v>
      </c>
      <c r="M1087" s="1280">
        <v>4.1341665217028799E-4</v>
      </c>
      <c r="N1087" s="1271">
        <v>8.3469904853547897E-3</v>
      </c>
      <c r="O1087" s="1257">
        <v>3.0000008598028201E-3</v>
      </c>
      <c r="P1087" s="1257">
        <v>8.6820265727153307E-3</v>
      </c>
      <c r="Q1087" s="1280">
        <v>8.3469904853547897E-3</v>
      </c>
      <c r="R1087" s="1271">
        <v>3.8500011034136201E-2</v>
      </c>
      <c r="S1087" s="1257">
        <v>3.8500011034136201E-2</v>
      </c>
      <c r="T1087" s="1257">
        <v>3.8500011034136201E-2</v>
      </c>
      <c r="U1087" s="1280">
        <v>1.9250005517068101E-2</v>
      </c>
      <c r="V1087" s="1293">
        <v>7.3783722611279901E-3</v>
      </c>
    </row>
    <row r="1088" spans="1:22" s="212" customFormat="1" ht="15.5" x14ac:dyDescent="0.35">
      <c r="A1088" s="198">
        <v>2034</v>
      </c>
      <c r="B1088" s="197" t="s">
        <v>5833</v>
      </c>
      <c r="C1088" s="197">
        <v>1984</v>
      </c>
      <c r="D1088" s="225" t="str">
        <f t="shared" si="5"/>
        <v>2034_1984</v>
      </c>
      <c r="E1088" s="1226">
        <v>6.95988396252889E-2</v>
      </c>
      <c r="F1088" s="1257">
        <v>2.1800539735624399E-2</v>
      </c>
      <c r="G1088" s="1280">
        <v>6.5101830483989306E-2</v>
      </c>
      <c r="H1088" s="1271">
        <v>0.38920493782155602</v>
      </c>
      <c r="I1088" s="1257">
        <v>0.48405537319272601</v>
      </c>
      <c r="J1088" s="1280">
        <v>0.11270095213529401</v>
      </c>
      <c r="K1088" s="1271">
        <v>7.05918714319186E-3</v>
      </c>
      <c r="L1088" s="1257">
        <v>2.1027946372452399E-3</v>
      </c>
      <c r="M1088" s="1280">
        <v>4.1341665217028799E-4</v>
      </c>
      <c r="N1088" s="1271">
        <v>8.3469904853547897E-3</v>
      </c>
      <c r="O1088" s="1257">
        <v>3.0000008598028201E-3</v>
      </c>
      <c r="P1088" s="1257">
        <v>8.6820265727153307E-3</v>
      </c>
      <c r="Q1088" s="1280">
        <v>8.3469904853547897E-3</v>
      </c>
      <c r="R1088" s="1271">
        <v>3.8500011034136201E-2</v>
      </c>
      <c r="S1088" s="1257">
        <v>3.8500011034136201E-2</v>
      </c>
      <c r="T1088" s="1257">
        <v>3.8500011034136201E-2</v>
      </c>
      <c r="U1088" s="1280">
        <v>1.9250005517068101E-2</v>
      </c>
      <c r="V1088" s="1293">
        <v>7.3783722611279901E-3</v>
      </c>
    </row>
    <row r="1089" spans="1:22" s="212" customFormat="1" ht="15.5" x14ac:dyDescent="0.35">
      <c r="A1089" s="198">
        <v>2034</v>
      </c>
      <c r="B1089" s="197" t="s">
        <v>5833</v>
      </c>
      <c r="C1089" s="197">
        <v>1985</v>
      </c>
      <c r="D1089" s="225" t="str">
        <f t="shared" si="5"/>
        <v>2034_1985</v>
      </c>
      <c r="E1089" s="1226">
        <v>6.95988396252889E-2</v>
      </c>
      <c r="F1089" s="1257">
        <v>2.1800539735624399E-2</v>
      </c>
      <c r="G1089" s="1280">
        <v>6.5101830483989306E-2</v>
      </c>
      <c r="H1089" s="1271">
        <v>0.38920493782155602</v>
      </c>
      <c r="I1089" s="1257">
        <v>0.48405537319272601</v>
      </c>
      <c r="J1089" s="1280">
        <v>0.11270095213529401</v>
      </c>
      <c r="K1089" s="1271">
        <v>7.05918714319186E-3</v>
      </c>
      <c r="L1089" s="1257">
        <v>2.1027946372452399E-3</v>
      </c>
      <c r="M1089" s="1280">
        <v>4.1341665217028799E-4</v>
      </c>
      <c r="N1089" s="1271">
        <v>8.3469904853547897E-3</v>
      </c>
      <c r="O1089" s="1257">
        <v>3.0000008598028201E-3</v>
      </c>
      <c r="P1089" s="1257">
        <v>8.6820265727153307E-3</v>
      </c>
      <c r="Q1089" s="1280">
        <v>8.3469904853547897E-3</v>
      </c>
      <c r="R1089" s="1271">
        <v>3.8500011034136201E-2</v>
      </c>
      <c r="S1089" s="1257">
        <v>3.8500011034136201E-2</v>
      </c>
      <c r="T1089" s="1257">
        <v>3.8500011034136201E-2</v>
      </c>
      <c r="U1089" s="1280">
        <v>1.9250005517068101E-2</v>
      </c>
      <c r="V1089" s="1293">
        <v>7.3783722611279901E-3</v>
      </c>
    </row>
    <row r="1090" spans="1:22" s="212" customFormat="1" ht="15.5" x14ac:dyDescent="0.35">
      <c r="A1090" s="198">
        <v>2034</v>
      </c>
      <c r="B1090" s="197" t="s">
        <v>5833</v>
      </c>
      <c r="C1090" s="197">
        <v>1986</v>
      </c>
      <c r="D1090" s="225" t="str">
        <f t="shared" si="5"/>
        <v>2034_1986</v>
      </c>
      <c r="E1090" s="1226">
        <v>6.95988396252889E-2</v>
      </c>
      <c r="F1090" s="1257">
        <v>2.1800539735624399E-2</v>
      </c>
      <c r="G1090" s="1280">
        <v>6.5101830483989306E-2</v>
      </c>
      <c r="H1090" s="1271">
        <v>0.38920493782155602</v>
      </c>
      <c r="I1090" s="1257">
        <v>0.48405537319272601</v>
      </c>
      <c r="J1090" s="1280">
        <v>0.11270095213529401</v>
      </c>
      <c r="K1090" s="1271">
        <v>7.05918714319186E-3</v>
      </c>
      <c r="L1090" s="1257">
        <v>2.1027946372452399E-3</v>
      </c>
      <c r="M1090" s="1280">
        <v>4.1341665217028799E-4</v>
      </c>
      <c r="N1090" s="1271">
        <v>8.3469904853547897E-3</v>
      </c>
      <c r="O1090" s="1257">
        <v>3.0000008598028201E-3</v>
      </c>
      <c r="P1090" s="1257">
        <v>8.6820265727153307E-3</v>
      </c>
      <c r="Q1090" s="1280">
        <v>8.3469904853547897E-3</v>
      </c>
      <c r="R1090" s="1271">
        <v>3.8500011034136201E-2</v>
      </c>
      <c r="S1090" s="1257">
        <v>3.8500011034136201E-2</v>
      </c>
      <c r="T1090" s="1257">
        <v>3.8500011034136201E-2</v>
      </c>
      <c r="U1090" s="1280">
        <v>1.9250005517068101E-2</v>
      </c>
      <c r="V1090" s="1293">
        <v>7.3783722611279901E-3</v>
      </c>
    </row>
    <row r="1091" spans="1:22" s="212" customFormat="1" ht="15.5" x14ac:dyDescent="0.35">
      <c r="A1091" s="198">
        <v>2034</v>
      </c>
      <c r="B1091" s="197" t="s">
        <v>5833</v>
      </c>
      <c r="C1091" s="197">
        <v>1987</v>
      </c>
      <c r="D1091" s="225" t="str">
        <f t="shared" si="5"/>
        <v>2034_1987</v>
      </c>
      <c r="E1091" s="1226">
        <v>6.95988396252889E-2</v>
      </c>
      <c r="F1091" s="1257">
        <v>2.1800539735624399E-2</v>
      </c>
      <c r="G1091" s="1280">
        <v>6.5101830483989306E-2</v>
      </c>
      <c r="H1091" s="1271">
        <v>0.38920493782155602</v>
      </c>
      <c r="I1091" s="1257">
        <v>0.48405537319272601</v>
      </c>
      <c r="J1091" s="1280">
        <v>0.11270095213529401</v>
      </c>
      <c r="K1091" s="1271">
        <v>7.05918714319186E-3</v>
      </c>
      <c r="L1091" s="1257">
        <v>2.1027946372452399E-3</v>
      </c>
      <c r="M1091" s="1280">
        <v>4.1341665217028799E-4</v>
      </c>
      <c r="N1091" s="1271">
        <v>8.3469904853547897E-3</v>
      </c>
      <c r="O1091" s="1257">
        <v>3.0000008598028201E-3</v>
      </c>
      <c r="P1091" s="1257">
        <v>8.6820265727153307E-3</v>
      </c>
      <c r="Q1091" s="1280">
        <v>8.3469904853547897E-3</v>
      </c>
      <c r="R1091" s="1271">
        <v>3.8500011034136201E-2</v>
      </c>
      <c r="S1091" s="1257">
        <v>3.8500011034136201E-2</v>
      </c>
      <c r="T1091" s="1257">
        <v>3.8500011034136201E-2</v>
      </c>
      <c r="U1091" s="1280">
        <v>1.9250005517068101E-2</v>
      </c>
      <c r="V1091" s="1293">
        <v>7.3783722611279901E-3</v>
      </c>
    </row>
    <row r="1092" spans="1:22" s="212" customFormat="1" ht="15.5" x14ac:dyDescent="0.35">
      <c r="A1092" s="198">
        <v>2034</v>
      </c>
      <c r="B1092" s="197" t="s">
        <v>5833</v>
      </c>
      <c r="C1092" s="197">
        <v>1988</v>
      </c>
      <c r="D1092" s="225" t="str">
        <f t="shared" si="5"/>
        <v>2034_1988</v>
      </c>
      <c r="E1092" s="1226">
        <v>6.95988396252889E-2</v>
      </c>
      <c r="F1092" s="1257">
        <v>2.1800539735624399E-2</v>
      </c>
      <c r="G1092" s="1280">
        <v>6.5101830483989306E-2</v>
      </c>
      <c r="H1092" s="1271">
        <v>0.38920493782155602</v>
      </c>
      <c r="I1092" s="1257">
        <v>0.48405537319272601</v>
      </c>
      <c r="J1092" s="1280">
        <v>0.11270095213529401</v>
      </c>
      <c r="K1092" s="1271">
        <v>7.05918714319186E-3</v>
      </c>
      <c r="L1092" s="1257">
        <v>2.1027946372452399E-3</v>
      </c>
      <c r="M1092" s="1280">
        <v>4.1341665217028799E-4</v>
      </c>
      <c r="N1092" s="1271">
        <v>8.3469904853547897E-3</v>
      </c>
      <c r="O1092" s="1257">
        <v>3.0000008598028201E-3</v>
      </c>
      <c r="P1092" s="1257">
        <v>8.6820265727153307E-3</v>
      </c>
      <c r="Q1092" s="1280">
        <v>8.3469904853547897E-3</v>
      </c>
      <c r="R1092" s="1271">
        <v>3.8500011034136201E-2</v>
      </c>
      <c r="S1092" s="1257">
        <v>3.8500011034136201E-2</v>
      </c>
      <c r="T1092" s="1257">
        <v>3.8500011034136201E-2</v>
      </c>
      <c r="U1092" s="1280">
        <v>1.9250005517068101E-2</v>
      </c>
      <c r="V1092" s="1293">
        <v>7.3783722611279901E-3</v>
      </c>
    </row>
    <row r="1093" spans="1:22" s="212" customFormat="1" ht="15.5" x14ac:dyDescent="0.35">
      <c r="A1093" s="198">
        <v>2034</v>
      </c>
      <c r="B1093" s="197" t="s">
        <v>5833</v>
      </c>
      <c r="C1093" s="197">
        <v>1989</v>
      </c>
      <c r="D1093" s="225" t="str">
        <f t="shared" si="5"/>
        <v>2034_1989</v>
      </c>
      <c r="E1093" s="1226">
        <v>6.95988396252889E-2</v>
      </c>
      <c r="F1093" s="1257">
        <v>2.1800539735624399E-2</v>
      </c>
      <c r="G1093" s="1280">
        <v>6.5101830483989306E-2</v>
      </c>
      <c r="H1093" s="1271">
        <v>0.38920493782155602</v>
      </c>
      <c r="I1093" s="1257">
        <v>0.48405537319272601</v>
      </c>
      <c r="J1093" s="1280">
        <v>0.11270095213529401</v>
      </c>
      <c r="K1093" s="1271">
        <v>7.05918714319186E-3</v>
      </c>
      <c r="L1093" s="1257">
        <v>2.1027946372452399E-3</v>
      </c>
      <c r="M1093" s="1280">
        <v>4.1341665217028799E-4</v>
      </c>
      <c r="N1093" s="1271">
        <v>8.3469904853547897E-3</v>
      </c>
      <c r="O1093" s="1257">
        <v>3.0000008598028201E-3</v>
      </c>
      <c r="P1093" s="1257">
        <v>8.6820265727153307E-3</v>
      </c>
      <c r="Q1093" s="1280">
        <v>8.3469904853547897E-3</v>
      </c>
      <c r="R1093" s="1271">
        <v>3.8500011034136201E-2</v>
      </c>
      <c r="S1093" s="1257">
        <v>3.8500011034136201E-2</v>
      </c>
      <c r="T1093" s="1257">
        <v>3.8500011034136201E-2</v>
      </c>
      <c r="U1093" s="1280">
        <v>1.9250005517068101E-2</v>
      </c>
      <c r="V1093" s="1293">
        <v>7.3783722611279901E-3</v>
      </c>
    </row>
    <row r="1094" spans="1:22" s="212" customFormat="1" ht="15.5" x14ac:dyDescent="0.35">
      <c r="A1094" s="198">
        <v>2034</v>
      </c>
      <c r="B1094" s="197" t="s">
        <v>5833</v>
      </c>
      <c r="C1094" s="197">
        <v>1990</v>
      </c>
      <c r="D1094" s="225" t="str">
        <f t="shared" si="5"/>
        <v>2034_1990</v>
      </c>
      <c r="E1094" s="1226">
        <v>6.95988396252889E-2</v>
      </c>
      <c r="F1094" s="1257">
        <v>2.1800539735624399E-2</v>
      </c>
      <c r="G1094" s="1280">
        <v>6.5101830483989306E-2</v>
      </c>
      <c r="H1094" s="1271">
        <v>0.38920493782155602</v>
      </c>
      <c r="I1094" s="1257">
        <v>0.48405537319272601</v>
      </c>
      <c r="J1094" s="1280">
        <v>0.11270095213529401</v>
      </c>
      <c r="K1094" s="1271">
        <v>7.05918714319186E-3</v>
      </c>
      <c r="L1094" s="1257">
        <v>2.1027946372452399E-3</v>
      </c>
      <c r="M1094" s="1280">
        <v>4.1341665217028799E-4</v>
      </c>
      <c r="N1094" s="1271">
        <v>8.3469904853547897E-3</v>
      </c>
      <c r="O1094" s="1257">
        <v>3.0000008598028201E-3</v>
      </c>
      <c r="P1094" s="1257">
        <v>8.6820265727153307E-3</v>
      </c>
      <c r="Q1094" s="1280">
        <v>8.3469904853547897E-3</v>
      </c>
      <c r="R1094" s="1271">
        <v>3.8500011034136201E-2</v>
      </c>
      <c r="S1094" s="1257">
        <v>3.8500011034136201E-2</v>
      </c>
      <c r="T1094" s="1257">
        <v>3.8500011034136201E-2</v>
      </c>
      <c r="U1094" s="1280">
        <v>1.9250005517068101E-2</v>
      </c>
      <c r="V1094" s="1293">
        <v>7.3783722611279901E-3</v>
      </c>
    </row>
    <row r="1095" spans="1:22" s="212" customFormat="1" ht="15.5" x14ac:dyDescent="0.35">
      <c r="A1095" s="198">
        <v>2034</v>
      </c>
      <c r="B1095" s="197" t="s">
        <v>5833</v>
      </c>
      <c r="C1095" s="197">
        <v>1991</v>
      </c>
      <c r="D1095" s="225" t="str">
        <f t="shared" si="5"/>
        <v>2034_1991</v>
      </c>
      <c r="E1095" s="1226">
        <v>6.95988396252889E-2</v>
      </c>
      <c r="F1095" s="1257">
        <v>2.1800539735624399E-2</v>
      </c>
      <c r="G1095" s="1280">
        <v>6.5101830483989306E-2</v>
      </c>
      <c r="H1095" s="1271">
        <v>0.38920493782155602</v>
      </c>
      <c r="I1095" s="1257">
        <v>0.48405537319272601</v>
      </c>
      <c r="J1095" s="1280">
        <v>0.11270095213529401</v>
      </c>
      <c r="K1095" s="1271">
        <v>7.05918714319186E-3</v>
      </c>
      <c r="L1095" s="1257">
        <v>2.1027946372452399E-3</v>
      </c>
      <c r="M1095" s="1280">
        <v>4.1341665217028799E-4</v>
      </c>
      <c r="N1095" s="1271">
        <v>8.3469904853547897E-3</v>
      </c>
      <c r="O1095" s="1257">
        <v>3.0000008598028201E-3</v>
      </c>
      <c r="P1095" s="1257">
        <v>8.6820265727153307E-3</v>
      </c>
      <c r="Q1095" s="1280">
        <v>8.3469904853547897E-3</v>
      </c>
      <c r="R1095" s="1271">
        <v>3.8500011034136201E-2</v>
      </c>
      <c r="S1095" s="1257">
        <v>3.8500011034136201E-2</v>
      </c>
      <c r="T1095" s="1257">
        <v>3.8500011034136201E-2</v>
      </c>
      <c r="U1095" s="1280">
        <v>1.9250005517068101E-2</v>
      </c>
      <c r="V1095" s="1293">
        <v>7.3783722611279901E-3</v>
      </c>
    </row>
    <row r="1096" spans="1:22" s="212" customFormat="1" ht="15.5" x14ac:dyDescent="0.35">
      <c r="A1096" s="198">
        <v>2034</v>
      </c>
      <c r="B1096" s="197" t="s">
        <v>5833</v>
      </c>
      <c r="C1096" s="197">
        <v>1992</v>
      </c>
      <c r="D1096" s="225" t="str">
        <f t="shared" si="5"/>
        <v>2034_1992</v>
      </c>
      <c r="E1096" s="1226">
        <v>6.95988396252889E-2</v>
      </c>
      <c r="F1096" s="1257">
        <v>2.1800539735624399E-2</v>
      </c>
      <c r="G1096" s="1280">
        <v>6.5101830483989306E-2</v>
      </c>
      <c r="H1096" s="1271">
        <v>0.38920493782155602</v>
      </c>
      <c r="I1096" s="1257">
        <v>0.48405537319272601</v>
      </c>
      <c r="J1096" s="1280">
        <v>0.11270095213529401</v>
      </c>
      <c r="K1096" s="1271">
        <v>7.05918714319186E-3</v>
      </c>
      <c r="L1096" s="1257">
        <v>2.1027946372452399E-3</v>
      </c>
      <c r="M1096" s="1280">
        <v>4.1341665217028799E-4</v>
      </c>
      <c r="N1096" s="1271">
        <v>8.3469904853547897E-3</v>
      </c>
      <c r="O1096" s="1257">
        <v>3.0000008598028201E-3</v>
      </c>
      <c r="P1096" s="1257">
        <v>8.6820265727153307E-3</v>
      </c>
      <c r="Q1096" s="1280">
        <v>8.3469904853547897E-3</v>
      </c>
      <c r="R1096" s="1271">
        <v>3.8500011034136201E-2</v>
      </c>
      <c r="S1096" s="1257">
        <v>3.8500011034136201E-2</v>
      </c>
      <c r="T1096" s="1257">
        <v>3.8500011034136201E-2</v>
      </c>
      <c r="U1096" s="1280">
        <v>1.9250005517068101E-2</v>
      </c>
      <c r="V1096" s="1293">
        <v>7.3783722611279901E-3</v>
      </c>
    </row>
    <row r="1097" spans="1:22" s="212" customFormat="1" ht="15.5" x14ac:dyDescent="0.35">
      <c r="A1097" s="198">
        <v>2034</v>
      </c>
      <c r="B1097" s="197" t="s">
        <v>5833</v>
      </c>
      <c r="C1097" s="197">
        <v>1993</v>
      </c>
      <c r="D1097" s="225" t="str">
        <f t="shared" si="5"/>
        <v>2034_1993</v>
      </c>
      <c r="E1097" s="1226">
        <v>6.95988396252889E-2</v>
      </c>
      <c r="F1097" s="1257">
        <v>2.1800539735624399E-2</v>
      </c>
      <c r="G1097" s="1280">
        <v>6.5101830483989306E-2</v>
      </c>
      <c r="H1097" s="1271">
        <v>0.38920493782155602</v>
      </c>
      <c r="I1097" s="1257">
        <v>0.48405537319272601</v>
      </c>
      <c r="J1097" s="1280">
        <v>0.11270095213529401</v>
      </c>
      <c r="K1097" s="1271">
        <v>7.05918714319186E-3</v>
      </c>
      <c r="L1097" s="1257">
        <v>2.1027946372452399E-3</v>
      </c>
      <c r="M1097" s="1280">
        <v>4.1341665217028799E-4</v>
      </c>
      <c r="N1097" s="1271">
        <v>8.3469904853547897E-3</v>
      </c>
      <c r="O1097" s="1257">
        <v>3.0000008598028201E-3</v>
      </c>
      <c r="P1097" s="1257">
        <v>8.6820265727153307E-3</v>
      </c>
      <c r="Q1097" s="1280">
        <v>8.3469904853547897E-3</v>
      </c>
      <c r="R1097" s="1271">
        <v>3.8500011034136201E-2</v>
      </c>
      <c r="S1097" s="1257">
        <v>3.8500011034136201E-2</v>
      </c>
      <c r="T1097" s="1257">
        <v>3.8500011034136201E-2</v>
      </c>
      <c r="U1097" s="1280">
        <v>1.9250005517068101E-2</v>
      </c>
      <c r="V1097" s="1293">
        <v>7.3783722611279901E-3</v>
      </c>
    </row>
    <row r="1098" spans="1:22" s="212" customFormat="1" ht="15.5" x14ac:dyDescent="0.35">
      <c r="A1098" s="198">
        <v>2034</v>
      </c>
      <c r="B1098" s="197" t="s">
        <v>5833</v>
      </c>
      <c r="C1098" s="197">
        <v>1994</v>
      </c>
      <c r="D1098" s="225" t="str">
        <f t="shared" si="5"/>
        <v>2034_1994</v>
      </c>
      <c r="E1098" s="1226">
        <v>6.95988396252889E-2</v>
      </c>
      <c r="F1098" s="1257">
        <v>2.1800539735624399E-2</v>
      </c>
      <c r="G1098" s="1280">
        <v>6.5101830483989306E-2</v>
      </c>
      <c r="H1098" s="1271">
        <v>0.38920493782155602</v>
      </c>
      <c r="I1098" s="1257">
        <v>0.48405537319272601</v>
      </c>
      <c r="J1098" s="1280">
        <v>0.11270095213529401</v>
      </c>
      <c r="K1098" s="1271">
        <v>7.05918714319186E-3</v>
      </c>
      <c r="L1098" s="1257">
        <v>2.1027946372452399E-3</v>
      </c>
      <c r="M1098" s="1280">
        <v>4.1341665217028799E-4</v>
      </c>
      <c r="N1098" s="1271">
        <v>8.3469904853547897E-3</v>
      </c>
      <c r="O1098" s="1257">
        <v>3.0000008598028201E-3</v>
      </c>
      <c r="P1098" s="1257">
        <v>8.6820265727153307E-3</v>
      </c>
      <c r="Q1098" s="1280">
        <v>8.3469904853547897E-3</v>
      </c>
      <c r="R1098" s="1271">
        <v>3.8500011034136201E-2</v>
      </c>
      <c r="S1098" s="1257">
        <v>3.8500011034136201E-2</v>
      </c>
      <c r="T1098" s="1257">
        <v>3.8500011034136201E-2</v>
      </c>
      <c r="U1098" s="1280">
        <v>1.9250005517068101E-2</v>
      </c>
      <c r="V1098" s="1293">
        <v>7.3783722611279901E-3</v>
      </c>
    </row>
    <row r="1099" spans="1:22" s="212" customFormat="1" ht="15.5" x14ac:dyDescent="0.35">
      <c r="A1099" s="198">
        <v>2034</v>
      </c>
      <c r="B1099" s="197" t="s">
        <v>5833</v>
      </c>
      <c r="C1099" s="197">
        <v>1995</v>
      </c>
      <c r="D1099" s="225" t="str">
        <f t="shared" si="5"/>
        <v>2034_1995</v>
      </c>
      <c r="E1099" s="1226">
        <v>6.95988396252889E-2</v>
      </c>
      <c r="F1099" s="1257">
        <v>2.1800539735624399E-2</v>
      </c>
      <c r="G1099" s="1280">
        <v>6.5101830483989306E-2</v>
      </c>
      <c r="H1099" s="1271">
        <v>0.38920493782155602</v>
      </c>
      <c r="I1099" s="1257">
        <v>0.48405537319272601</v>
      </c>
      <c r="J1099" s="1280">
        <v>0.11270095213529401</v>
      </c>
      <c r="K1099" s="1271">
        <v>7.05918714319186E-3</v>
      </c>
      <c r="L1099" s="1257">
        <v>2.1027946372452399E-3</v>
      </c>
      <c r="M1099" s="1280">
        <v>4.1341665217028799E-4</v>
      </c>
      <c r="N1099" s="1271">
        <v>8.3469904853547897E-3</v>
      </c>
      <c r="O1099" s="1257">
        <v>3.0000008598028201E-3</v>
      </c>
      <c r="P1099" s="1257">
        <v>8.6820265727153307E-3</v>
      </c>
      <c r="Q1099" s="1280">
        <v>8.3469904853547897E-3</v>
      </c>
      <c r="R1099" s="1271">
        <v>3.8500011034136201E-2</v>
      </c>
      <c r="S1099" s="1257">
        <v>3.8500011034136201E-2</v>
      </c>
      <c r="T1099" s="1257">
        <v>3.8500011034136201E-2</v>
      </c>
      <c r="U1099" s="1280">
        <v>1.9250005517068101E-2</v>
      </c>
      <c r="V1099" s="1293">
        <v>7.3783722611279901E-3</v>
      </c>
    </row>
    <row r="1100" spans="1:22" s="212" customFormat="1" ht="15.5" x14ac:dyDescent="0.35">
      <c r="A1100" s="198">
        <v>2034</v>
      </c>
      <c r="B1100" s="197" t="s">
        <v>5833</v>
      </c>
      <c r="C1100" s="197">
        <v>1996</v>
      </c>
      <c r="D1100" s="225" t="str">
        <f t="shared" si="5"/>
        <v>2034_1996</v>
      </c>
      <c r="E1100" s="1226">
        <v>6.95988396252889E-2</v>
      </c>
      <c r="F1100" s="1257">
        <v>2.1800539735624399E-2</v>
      </c>
      <c r="G1100" s="1280">
        <v>6.5101830483989306E-2</v>
      </c>
      <c r="H1100" s="1271">
        <v>0.38920493782155602</v>
      </c>
      <c r="I1100" s="1257">
        <v>0.48405537319272601</v>
      </c>
      <c r="J1100" s="1280">
        <v>0.11270095213529401</v>
      </c>
      <c r="K1100" s="1271">
        <v>7.05918714319186E-3</v>
      </c>
      <c r="L1100" s="1257">
        <v>2.1027946372452399E-3</v>
      </c>
      <c r="M1100" s="1280">
        <v>4.1341665217028799E-4</v>
      </c>
      <c r="N1100" s="1271">
        <v>8.3469904853547897E-3</v>
      </c>
      <c r="O1100" s="1257">
        <v>3.0000008598028201E-3</v>
      </c>
      <c r="P1100" s="1257">
        <v>8.6820265727153307E-3</v>
      </c>
      <c r="Q1100" s="1280">
        <v>8.3469904853547897E-3</v>
      </c>
      <c r="R1100" s="1271">
        <v>3.8500011034136201E-2</v>
      </c>
      <c r="S1100" s="1257">
        <v>3.8500011034136201E-2</v>
      </c>
      <c r="T1100" s="1257">
        <v>3.8500011034136201E-2</v>
      </c>
      <c r="U1100" s="1280">
        <v>1.9250005517068101E-2</v>
      </c>
      <c r="V1100" s="1293">
        <v>7.3783722611279901E-3</v>
      </c>
    </row>
    <row r="1101" spans="1:22" s="212" customFormat="1" ht="15.5" x14ac:dyDescent="0.35">
      <c r="A1101" s="198">
        <v>2034</v>
      </c>
      <c r="B1101" s="197" t="s">
        <v>5833</v>
      </c>
      <c r="C1101" s="197">
        <v>1997</v>
      </c>
      <c r="D1101" s="225" t="str">
        <f t="shared" si="5"/>
        <v>2034_1997</v>
      </c>
      <c r="E1101" s="1226">
        <v>6.95988396252889E-2</v>
      </c>
      <c r="F1101" s="1257">
        <v>2.1800539735624399E-2</v>
      </c>
      <c r="G1101" s="1280">
        <v>6.5101830483989306E-2</v>
      </c>
      <c r="H1101" s="1271">
        <v>0.38920493782155602</v>
      </c>
      <c r="I1101" s="1257">
        <v>0.48405537319272601</v>
      </c>
      <c r="J1101" s="1280">
        <v>0.11270095213529401</v>
      </c>
      <c r="K1101" s="1271">
        <v>7.05918714319186E-3</v>
      </c>
      <c r="L1101" s="1257">
        <v>2.1027946372452399E-3</v>
      </c>
      <c r="M1101" s="1280">
        <v>4.1341665217028799E-4</v>
      </c>
      <c r="N1101" s="1271">
        <v>8.3469904853547897E-3</v>
      </c>
      <c r="O1101" s="1257">
        <v>3.0000008598028201E-3</v>
      </c>
      <c r="P1101" s="1257">
        <v>8.6820265727153307E-3</v>
      </c>
      <c r="Q1101" s="1280">
        <v>8.3469904853547897E-3</v>
      </c>
      <c r="R1101" s="1271">
        <v>3.8500011034136201E-2</v>
      </c>
      <c r="S1101" s="1257">
        <v>3.8500011034136201E-2</v>
      </c>
      <c r="T1101" s="1257">
        <v>3.8500011034136201E-2</v>
      </c>
      <c r="U1101" s="1280">
        <v>1.9250005517068101E-2</v>
      </c>
      <c r="V1101" s="1293">
        <v>7.3783722611279901E-3</v>
      </c>
    </row>
    <row r="1102" spans="1:22" s="212" customFormat="1" ht="15.5" x14ac:dyDescent="0.35">
      <c r="A1102" s="198">
        <v>2034</v>
      </c>
      <c r="B1102" s="197" t="s">
        <v>5833</v>
      </c>
      <c r="C1102" s="197">
        <v>1998</v>
      </c>
      <c r="D1102" s="225" t="str">
        <f t="shared" si="5"/>
        <v>2034_1998</v>
      </c>
      <c r="E1102" s="1226">
        <v>6.95988396252889E-2</v>
      </c>
      <c r="F1102" s="1257">
        <v>2.1800539735624399E-2</v>
      </c>
      <c r="G1102" s="1280">
        <v>6.5101830483989306E-2</v>
      </c>
      <c r="H1102" s="1271">
        <v>0.38920493782155602</v>
      </c>
      <c r="I1102" s="1257">
        <v>0.48405537319272601</v>
      </c>
      <c r="J1102" s="1280">
        <v>0.11270095213529401</v>
      </c>
      <c r="K1102" s="1271">
        <v>7.05918714319186E-3</v>
      </c>
      <c r="L1102" s="1257">
        <v>2.1027946372452399E-3</v>
      </c>
      <c r="M1102" s="1280">
        <v>4.1341665217028799E-4</v>
      </c>
      <c r="N1102" s="1271">
        <v>8.3469904853547897E-3</v>
      </c>
      <c r="O1102" s="1257">
        <v>3.0000008598028201E-3</v>
      </c>
      <c r="P1102" s="1257">
        <v>8.6820265727153307E-3</v>
      </c>
      <c r="Q1102" s="1280">
        <v>8.3469904853547897E-3</v>
      </c>
      <c r="R1102" s="1271">
        <v>3.8500011034136201E-2</v>
      </c>
      <c r="S1102" s="1257">
        <v>3.8500011034136201E-2</v>
      </c>
      <c r="T1102" s="1257">
        <v>3.8500011034136201E-2</v>
      </c>
      <c r="U1102" s="1280">
        <v>1.9250005517068101E-2</v>
      </c>
      <c r="V1102" s="1293">
        <v>7.3783722611279901E-3</v>
      </c>
    </row>
    <row r="1103" spans="1:22" s="212" customFormat="1" ht="15.5" x14ac:dyDescent="0.35">
      <c r="A1103" s="198">
        <v>2034</v>
      </c>
      <c r="B1103" s="197" t="s">
        <v>5833</v>
      </c>
      <c r="C1103" s="197">
        <v>1999</v>
      </c>
      <c r="D1103" s="225" t="str">
        <f t="shared" si="5"/>
        <v>2034_1999</v>
      </c>
      <c r="E1103" s="1226">
        <v>6.95988396252889E-2</v>
      </c>
      <c r="F1103" s="1257">
        <v>2.1800539735624399E-2</v>
      </c>
      <c r="G1103" s="1280">
        <v>6.5101830483989306E-2</v>
      </c>
      <c r="H1103" s="1271">
        <v>0.38920493782155602</v>
      </c>
      <c r="I1103" s="1257">
        <v>0.48405537319272601</v>
      </c>
      <c r="J1103" s="1280">
        <v>0.11270095213529401</v>
      </c>
      <c r="K1103" s="1271">
        <v>7.05918714319186E-3</v>
      </c>
      <c r="L1103" s="1257">
        <v>2.1027946372452399E-3</v>
      </c>
      <c r="M1103" s="1280">
        <v>4.1341665217028799E-4</v>
      </c>
      <c r="N1103" s="1271">
        <v>8.3469904853547897E-3</v>
      </c>
      <c r="O1103" s="1257">
        <v>3.0000008598028201E-3</v>
      </c>
      <c r="P1103" s="1257">
        <v>8.6820265727153307E-3</v>
      </c>
      <c r="Q1103" s="1280">
        <v>8.3469904853547897E-3</v>
      </c>
      <c r="R1103" s="1271">
        <v>3.8500011034136201E-2</v>
      </c>
      <c r="S1103" s="1257">
        <v>3.8500011034136201E-2</v>
      </c>
      <c r="T1103" s="1257">
        <v>3.8500011034136201E-2</v>
      </c>
      <c r="U1103" s="1280">
        <v>1.9250005517068101E-2</v>
      </c>
      <c r="V1103" s="1293">
        <v>7.3783722611279901E-3</v>
      </c>
    </row>
    <row r="1104" spans="1:22" s="212" customFormat="1" ht="15.5" x14ac:dyDescent="0.35">
      <c r="A1104" s="198">
        <v>2034</v>
      </c>
      <c r="B1104" s="197" t="s">
        <v>5833</v>
      </c>
      <c r="C1104" s="197">
        <v>2000</v>
      </c>
      <c r="D1104" s="225" t="str">
        <f t="shared" si="5"/>
        <v>2034_2000</v>
      </c>
      <c r="E1104" s="1226">
        <v>6.95988396252889E-2</v>
      </c>
      <c r="F1104" s="1257">
        <v>2.1800539735624399E-2</v>
      </c>
      <c r="G1104" s="1280">
        <v>6.5101830483989306E-2</v>
      </c>
      <c r="H1104" s="1271">
        <v>0.38920493782155602</v>
      </c>
      <c r="I1104" s="1257">
        <v>0.48405537319272601</v>
      </c>
      <c r="J1104" s="1280">
        <v>0.11270095213529401</v>
      </c>
      <c r="K1104" s="1271">
        <v>7.05918714319186E-3</v>
      </c>
      <c r="L1104" s="1257">
        <v>2.1027946372452399E-3</v>
      </c>
      <c r="M1104" s="1280">
        <v>4.1341665217028799E-4</v>
      </c>
      <c r="N1104" s="1271">
        <v>8.3469904853547897E-3</v>
      </c>
      <c r="O1104" s="1257">
        <v>3.0000008598028201E-3</v>
      </c>
      <c r="P1104" s="1257">
        <v>8.6820265727153307E-3</v>
      </c>
      <c r="Q1104" s="1280">
        <v>8.3469904853547897E-3</v>
      </c>
      <c r="R1104" s="1271">
        <v>3.8500011034136201E-2</v>
      </c>
      <c r="S1104" s="1257">
        <v>3.8500011034136201E-2</v>
      </c>
      <c r="T1104" s="1257">
        <v>3.8500011034136201E-2</v>
      </c>
      <c r="U1104" s="1280">
        <v>1.9250005517068101E-2</v>
      </c>
      <c r="V1104" s="1293">
        <v>7.3783722611279901E-3</v>
      </c>
    </row>
    <row r="1105" spans="1:22" s="212" customFormat="1" ht="15.5" x14ac:dyDescent="0.35">
      <c r="A1105" s="198">
        <v>2034</v>
      </c>
      <c r="B1105" s="197" t="s">
        <v>5833</v>
      </c>
      <c r="C1105" s="197">
        <v>2001</v>
      </c>
      <c r="D1105" s="225" t="str">
        <f t="shared" si="5"/>
        <v>2034_2001</v>
      </c>
      <c r="E1105" s="1226">
        <v>6.95988396252889E-2</v>
      </c>
      <c r="F1105" s="1257">
        <v>2.1800539735624399E-2</v>
      </c>
      <c r="G1105" s="1280">
        <v>6.5101830483989306E-2</v>
      </c>
      <c r="H1105" s="1271">
        <v>0.38920493782155602</v>
      </c>
      <c r="I1105" s="1257">
        <v>0.48405537319272601</v>
      </c>
      <c r="J1105" s="1280">
        <v>0.11270095213529401</v>
      </c>
      <c r="K1105" s="1271">
        <v>7.05918714319186E-3</v>
      </c>
      <c r="L1105" s="1257">
        <v>2.1027946372452399E-3</v>
      </c>
      <c r="M1105" s="1280">
        <v>4.1341665217028799E-4</v>
      </c>
      <c r="N1105" s="1271">
        <v>8.3469904853547897E-3</v>
      </c>
      <c r="O1105" s="1257">
        <v>3.0000008598028201E-3</v>
      </c>
      <c r="P1105" s="1257">
        <v>8.6820265727153307E-3</v>
      </c>
      <c r="Q1105" s="1280">
        <v>8.3469904853547897E-3</v>
      </c>
      <c r="R1105" s="1271">
        <v>3.8500011034136201E-2</v>
      </c>
      <c r="S1105" s="1257">
        <v>3.8500011034136201E-2</v>
      </c>
      <c r="T1105" s="1257">
        <v>3.8500011034136201E-2</v>
      </c>
      <c r="U1105" s="1280">
        <v>1.9250005517068101E-2</v>
      </c>
      <c r="V1105" s="1293">
        <v>7.3783722611279901E-3</v>
      </c>
    </row>
    <row r="1106" spans="1:22" s="212" customFormat="1" ht="15.5" x14ac:dyDescent="0.35">
      <c r="A1106" s="198">
        <v>2034</v>
      </c>
      <c r="B1106" s="197" t="s">
        <v>5833</v>
      </c>
      <c r="C1106" s="197">
        <v>2002</v>
      </c>
      <c r="D1106" s="225" t="str">
        <f t="shared" si="5"/>
        <v>2034_2002</v>
      </c>
      <c r="E1106" s="1226">
        <v>6.95988396252889E-2</v>
      </c>
      <c r="F1106" s="1257">
        <v>2.1800539735624399E-2</v>
      </c>
      <c r="G1106" s="1280">
        <v>6.5101830483989306E-2</v>
      </c>
      <c r="H1106" s="1271">
        <v>0.38920493782155602</v>
      </c>
      <c r="I1106" s="1257">
        <v>0.48405537319272601</v>
      </c>
      <c r="J1106" s="1280">
        <v>0.11270095213529401</v>
      </c>
      <c r="K1106" s="1271">
        <v>7.05918714319186E-3</v>
      </c>
      <c r="L1106" s="1257">
        <v>2.1027946372452399E-3</v>
      </c>
      <c r="M1106" s="1280">
        <v>4.1341665217028799E-4</v>
      </c>
      <c r="N1106" s="1271">
        <v>8.3469904853547897E-3</v>
      </c>
      <c r="O1106" s="1257">
        <v>3.0000008598028201E-3</v>
      </c>
      <c r="P1106" s="1257">
        <v>8.6820265727153307E-3</v>
      </c>
      <c r="Q1106" s="1280">
        <v>8.3469904853547897E-3</v>
      </c>
      <c r="R1106" s="1271">
        <v>3.8500011034136201E-2</v>
      </c>
      <c r="S1106" s="1257">
        <v>3.8500011034136201E-2</v>
      </c>
      <c r="T1106" s="1257">
        <v>3.8500011034136201E-2</v>
      </c>
      <c r="U1106" s="1280">
        <v>1.9250005517068101E-2</v>
      </c>
      <c r="V1106" s="1293">
        <v>7.3783722611279901E-3</v>
      </c>
    </row>
    <row r="1107" spans="1:22" s="212" customFormat="1" ht="15.5" x14ac:dyDescent="0.35">
      <c r="A1107" s="198">
        <v>2034</v>
      </c>
      <c r="B1107" s="197" t="s">
        <v>5833</v>
      </c>
      <c r="C1107" s="197">
        <v>2003</v>
      </c>
      <c r="D1107" s="225" t="str">
        <f t="shared" si="5"/>
        <v>2034_2003</v>
      </c>
      <c r="E1107" s="1226">
        <v>6.95988396252889E-2</v>
      </c>
      <c r="F1107" s="1257">
        <v>2.1800539735624399E-2</v>
      </c>
      <c r="G1107" s="1280">
        <v>6.5101830483989306E-2</v>
      </c>
      <c r="H1107" s="1271">
        <v>0.38920493782155602</v>
      </c>
      <c r="I1107" s="1257">
        <v>0.48405537319272601</v>
      </c>
      <c r="J1107" s="1280">
        <v>0.11270095213529401</v>
      </c>
      <c r="K1107" s="1271">
        <v>7.05918714319186E-3</v>
      </c>
      <c r="L1107" s="1257">
        <v>2.1027946372452399E-3</v>
      </c>
      <c r="M1107" s="1280">
        <v>4.1341665217028799E-4</v>
      </c>
      <c r="N1107" s="1271">
        <v>8.3469904853547897E-3</v>
      </c>
      <c r="O1107" s="1257">
        <v>3.0000008598028201E-3</v>
      </c>
      <c r="P1107" s="1257">
        <v>8.6820265727153307E-3</v>
      </c>
      <c r="Q1107" s="1280">
        <v>8.3469904853547897E-3</v>
      </c>
      <c r="R1107" s="1271">
        <v>3.8500011034136201E-2</v>
      </c>
      <c r="S1107" s="1257">
        <v>3.8500011034136201E-2</v>
      </c>
      <c r="T1107" s="1257">
        <v>3.8500011034136201E-2</v>
      </c>
      <c r="U1107" s="1280">
        <v>1.9250005517068101E-2</v>
      </c>
      <c r="V1107" s="1293">
        <v>7.3783722611279901E-3</v>
      </c>
    </row>
    <row r="1108" spans="1:22" s="212" customFormat="1" ht="15.5" x14ac:dyDescent="0.35">
      <c r="A1108" s="198">
        <v>2034</v>
      </c>
      <c r="B1108" s="197" t="s">
        <v>5833</v>
      </c>
      <c r="C1108" s="197">
        <v>2004</v>
      </c>
      <c r="D1108" s="225" t="str">
        <f t="shared" si="5"/>
        <v>2034_2004</v>
      </c>
      <c r="E1108" s="1226">
        <v>6.95988396252889E-2</v>
      </c>
      <c r="F1108" s="1257">
        <v>2.1800539735624399E-2</v>
      </c>
      <c r="G1108" s="1280">
        <v>6.5101830483989306E-2</v>
      </c>
      <c r="H1108" s="1271">
        <v>0.38920493782155602</v>
      </c>
      <c r="I1108" s="1257">
        <v>0.48405537319272601</v>
      </c>
      <c r="J1108" s="1280">
        <v>0.11270095213529401</v>
      </c>
      <c r="K1108" s="1271">
        <v>7.05918714319186E-3</v>
      </c>
      <c r="L1108" s="1257">
        <v>2.1027946372452399E-3</v>
      </c>
      <c r="M1108" s="1280">
        <v>4.1341665217028799E-4</v>
      </c>
      <c r="N1108" s="1271">
        <v>8.3469904853547897E-3</v>
      </c>
      <c r="O1108" s="1257">
        <v>3.0000008598028201E-3</v>
      </c>
      <c r="P1108" s="1257">
        <v>8.6820265727153307E-3</v>
      </c>
      <c r="Q1108" s="1280">
        <v>8.3469904853547897E-3</v>
      </c>
      <c r="R1108" s="1271">
        <v>3.8500011034136201E-2</v>
      </c>
      <c r="S1108" s="1257">
        <v>3.8500011034136201E-2</v>
      </c>
      <c r="T1108" s="1257">
        <v>3.8500011034136201E-2</v>
      </c>
      <c r="U1108" s="1280">
        <v>1.9250005517068101E-2</v>
      </c>
      <c r="V1108" s="1293">
        <v>7.3783722611279901E-3</v>
      </c>
    </row>
    <row r="1109" spans="1:22" s="212" customFormat="1" ht="15.5" x14ac:dyDescent="0.35">
      <c r="A1109" s="198">
        <v>2034</v>
      </c>
      <c r="B1109" s="197" t="s">
        <v>5833</v>
      </c>
      <c r="C1109" s="197">
        <v>2005</v>
      </c>
      <c r="D1109" s="225" t="str">
        <f t="shared" si="5"/>
        <v>2034_2005</v>
      </c>
      <c r="E1109" s="1226">
        <v>6.95988396252889E-2</v>
      </c>
      <c r="F1109" s="1257">
        <v>2.1800539735624399E-2</v>
      </c>
      <c r="G1109" s="1280">
        <v>6.5101830483989306E-2</v>
      </c>
      <c r="H1109" s="1271">
        <v>0.38920493782155602</v>
      </c>
      <c r="I1109" s="1257">
        <v>0.48405537319272601</v>
      </c>
      <c r="J1109" s="1280">
        <v>0.11270095213529401</v>
      </c>
      <c r="K1109" s="1271">
        <v>7.05918714319186E-3</v>
      </c>
      <c r="L1109" s="1257">
        <v>2.1027946372452399E-3</v>
      </c>
      <c r="M1109" s="1280">
        <v>4.1341665217028799E-4</v>
      </c>
      <c r="N1109" s="1271">
        <v>8.3469904853547897E-3</v>
      </c>
      <c r="O1109" s="1257">
        <v>3.0000008598028201E-3</v>
      </c>
      <c r="P1109" s="1257">
        <v>8.6820265727153307E-3</v>
      </c>
      <c r="Q1109" s="1280">
        <v>8.3469904853547897E-3</v>
      </c>
      <c r="R1109" s="1271">
        <v>3.8500011034136201E-2</v>
      </c>
      <c r="S1109" s="1257">
        <v>3.8500011034136201E-2</v>
      </c>
      <c r="T1109" s="1257">
        <v>3.8500011034136201E-2</v>
      </c>
      <c r="U1109" s="1280">
        <v>1.9250005517068101E-2</v>
      </c>
      <c r="V1109" s="1293">
        <v>7.3783722611279901E-3</v>
      </c>
    </row>
    <row r="1110" spans="1:22" s="212" customFormat="1" ht="15.5" x14ac:dyDescent="0.35">
      <c r="A1110" s="198">
        <v>2034</v>
      </c>
      <c r="B1110" s="197" t="s">
        <v>5833</v>
      </c>
      <c r="C1110" s="197">
        <v>2006</v>
      </c>
      <c r="D1110" s="225" t="str">
        <f t="shared" si="5"/>
        <v>2034_2006</v>
      </c>
      <c r="E1110" s="1226">
        <v>6.95988396252889E-2</v>
      </c>
      <c r="F1110" s="1257">
        <v>2.1800539735624399E-2</v>
      </c>
      <c r="G1110" s="1280">
        <v>6.5101830483989306E-2</v>
      </c>
      <c r="H1110" s="1271">
        <v>0.38920493782155602</v>
      </c>
      <c r="I1110" s="1257">
        <v>0.48405537319272601</v>
      </c>
      <c r="J1110" s="1280">
        <v>0.11270095213529401</v>
      </c>
      <c r="K1110" s="1271">
        <v>7.05918714319186E-3</v>
      </c>
      <c r="L1110" s="1257">
        <v>2.1027946372452399E-3</v>
      </c>
      <c r="M1110" s="1280">
        <v>4.1341665217028799E-4</v>
      </c>
      <c r="N1110" s="1271">
        <v>8.3469904853547897E-3</v>
      </c>
      <c r="O1110" s="1257">
        <v>3.0000008598028201E-3</v>
      </c>
      <c r="P1110" s="1257">
        <v>8.6820265727153307E-3</v>
      </c>
      <c r="Q1110" s="1280">
        <v>8.3469904853547897E-3</v>
      </c>
      <c r="R1110" s="1271">
        <v>3.8500011034136201E-2</v>
      </c>
      <c r="S1110" s="1257">
        <v>3.8500011034136201E-2</v>
      </c>
      <c r="T1110" s="1257">
        <v>3.8500011034136201E-2</v>
      </c>
      <c r="U1110" s="1280">
        <v>1.9250005517068101E-2</v>
      </c>
      <c r="V1110" s="1293">
        <v>7.3783722611279901E-3</v>
      </c>
    </row>
    <row r="1111" spans="1:22" s="212" customFormat="1" ht="15.5" x14ac:dyDescent="0.35">
      <c r="A1111" s="198">
        <v>2034</v>
      </c>
      <c r="B1111" s="197" t="s">
        <v>5833</v>
      </c>
      <c r="C1111" s="197">
        <v>2007</v>
      </c>
      <c r="D1111" s="225" t="str">
        <f t="shared" si="5"/>
        <v>2034_2007</v>
      </c>
      <c r="E1111" s="1226">
        <v>6.95988396252889E-2</v>
      </c>
      <c r="F1111" s="1257">
        <v>2.1800539735624399E-2</v>
      </c>
      <c r="G1111" s="1280">
        <v>6.5101830483989306E-2</v>
      </c>
      <c r="H1111" s="1271">
        <v>0.38920493782155602</v>
      </c>
      <c r="I1111" s="1257">
        <v>0.48405537319272601</v>
      </c>
      <c r="J1111" s="1280">
        <v>0.11270095213529401</v>
      </c>
      <c r="K1111" s="1271">
        <v>7.05918714319186E-3</v>
      </c>
      <c r="L1111" s="1257">
        <v>2.1027946372452399E-3</v>
      </c>
      <c r="M1111" s="1280">
        <v>4.1341665217028799E-4</v>
      </c>
      <c r="N1111" s="1271">
        <v>8.3469904853547897E-3</v>
      </c>
      <c r="O1111" s="1257">
        <v>3.0000008598028201E-3</v>
      </c>
      <c r="P1111" s="1257">
        <v>8.6820265727153307E-3</v>
      </c>
      <c r="Q1111" s="1280">
        <v>8.3469904853547897E-3</v>
      </c>
      <c r="R1111" s="1271">
        <v>3.8500011034136201E-2</v>
      </c>
      <c r="S1111" s="1257">
        <v>3.8500011034136201E-2</v>
      </c>
      <c r="T1111" s="1257">
        <v>3.8500011034136201E-2</v>
      </c>
      <c r="U1111" s="1280">
        <v>1.9250005517068101E-2</v>
      </c>
      <c r="V1111" s="1293">
        <v>7.3783722611279901E-3</v>
      </c>
    </row>
    <row r="1112" spans="1:22" s="212" customFormat="1" ht="15.5" x14ac:dyDescent="0.35">
      <c r="A1112" s="198">
        <v>2034</v>
      </c>
      <c r="B1112" s="197" t="s">
        <v>5833</v>
      </c>
      <c r="C1112" s="197">
        <v>2008</v>
      </c>
      <c r="D1112" s="225" t="str">
        <f t="shared" si="5"/>
        <v>2034_2008</v>
      </c>
      <c r="E1112" s="1226">
        <v>6.95988396252889E-2</v>
      </c>
      <c r="F1112" s="1257">
        <v>2.1800539735624399E-2</v>
      </c>
      <c r="G1112" s="1280">
        <v>6.5101830483989306E-2</v>
      </c>
      <c r="H1112" s="1271">
        <v>0.38920493782155602</v>
      </c>
      <c r="I1112" s="1257">
        <v>0.48405537319272601</v>
      </c>
      <c r="J1112" s="1280">
        <v>0.11270095213529401</v>
      </c>
      <c r="K1112" s="1271">
        <v>7.05918714319186E-3</v>
      </c>
      <c r="L1112" s="1257">
        <v>2.1027946372452399E-3</v>
      </c>
      <c r="M1112" s="1280">
        <v>4.1341665217028799E-4</v>
      </c>
      <c r="N1112" s="1271">
        <v>8.3469904853547897E-3</v>
      </c>
      <c r="O1112" s="1257">
        <v>3.0000008598028201E-3</v>
      </c>
      <c r="P1112" s="1257">
        <v>8.6820265727153307E-3</v>
      </c>
      <c r="Q1112" s="1280">
        <v>8.3469904853547897E-3</v>
      </c>
      <c r="R1112" s="1271">
        <v>3.8500011034136201E-2</v>
      </c>
      <c r="S1112" s="1257">
        <v>3.8500011034136201E-2</v>
      </c>
      <c r="T1112" s="1257">
        <v>3.8500011034136201E-2</v>
      </c>
      <c r="U1112" s="1280">
        <v>1.9250005517068101E-2</v>
      </c>
      <c r="V1112" s="1293">
        <v>7.3783722611279901E-3</v>
      </c>
    </row>
    <row r="1113" spans="1:22" s="212" customFormat="1" ht="15.5" x14ac:dyDescent="0.35">
      <c r="A1113" s="198">
        <v>2034</v>
      </c>
      <c r="B1113" s="197" t="s">
        <v>5833</v>
      </c>
      <c r="C1113" s="197">
        <v>2009</v>
      </c>
      <c r="D1113" s="225" t="str">
        <f t="shared" si="5"/>
        <v>2034_2009</v>
      </c>
      <c r="E1113" s="1226">
        <v>6.95988396252889E-2</v>
      </c>
      <c r="F1113" s="1257">
        <v>2.1800539735624399E-2</v>
      </c>
      <c r="G1113" s="1280">
        <v>6.5101830483989306E-2</v>
      </c>
      <c r="H1113" s="1271">
        <v>0.38920493782155602</v>
      </c>
      <c r="I1113" s="1257">
        <v>0.48405537319272601</v>
      </c>
      <c r="J1113" s="1280">
        <v>0.11270095213529401</v>
      </c>
      <c r="K1113" s="1271">
        <v>7.05918714319186E-3</v>
      </c>
      <c r="L1113" s="1257">
        <v>2.1027946372452399E-3</v>
      </c>
      <c r="M1113" s="1280">
        <v>4.1341665217028799E-4</v>
      </c>
      <c r="N1113" s="1271">
        <v>8.3469904853547897E-3</v>
      </c>
      <c r="O1113" s="1257">
        <v>3.0000008598028201E-3</v>
      </c>
      <c r="P1113" s="1257">
        <v>8.6820265727153307E-3</v>
      </c>
      <c r="Q1113" s="1280">
        <v>8.3469904853547897E-3</v>
      </c>
      <c r="R1113" s="1271">
        <v>3.8500011034136201E-2</v>
      </c>
      <c r="S1113" s="1257">
        <v>3.8500011034136201E-2</v>
      </c>
      <c r="T1113" s="1257">
        <v>3.8500011034136201E-2</v>
      </c>
      <c r="U1113" s="1280">
        <v>1.9250005517068101E-2</v>
      </c>
      <c r="V1113" s="1293">
        <v>7.3783722611279901E-3</v>
      </c>
    </row>
    <row r="1114" spans="1:22" s="212" customFormat="1" ht="15.5" x14ac:dyDescent="0.35">
      <c r="A1114" s="198">
        <v>2034</v>
      </c>
      <c r="B1114" s="197" t="s">
        <v>5833</v>
      </c>
      <c r="C1114" s="197">
        <v>2010</v>
      </c>
      <c r="D1114" s="225" t="str">
        <f t="shared" si="5"/>
        <v>2034_2010</v>
      </c>
      <c r="E1114" s="1226">
        <v>6.95988396252889E-2</v>
      </c>
      <c r="F1114" s="1257">
        <v>2.1800539735624399E-2</v>
      </c>
      <c r="G1114" s="1280">
        <v>6.5101830483989306E-2</v>
      </c>
      <c r="H1114" s="1271">
        <v>0.38920493782155602</v>
      </c>
      <c r="I1114" s="1257">
        <v>0.48405537319272601</v>
      </c>
      <c r="J1114" s="1280">
        <v>0.11270095213529401</v>
      </c>
      <c r="K1114" s="1271">
        <v>7.05918714319186E-3</v>
      </c>
      <c r="L1114" s="1257">
        <v>2.1027946372452399E-3</v>
      </c>
      <c r="M1114" s="1280">
        <v>4.1341665217028799E-4</v>
      </c>
      <c r="N1114" s="1271">
        <v>8.3469904853547897E-3</v>
      </c>
      <c r="O1114" s="1257">
        <v>3.0000008598028201E-3</v>
      </c>
      <c r="P1114" s="1257">
        <v>8.6820265727153307E-3</v>
      </c>
      <c r="Q1114" s="1280">
        <v>8.3469904853547897E-3</v>
      </c>
      <c r="R1114" s="1271">
        <v>3.8500011034136201E-2</v>
      </c>
      <c r="S1114" s="1257">
        <v>3.8500011034136201E-2</v>
      </c>
      <c r="T1114" s="1257">
        <v>3.8500011034136201E-2</v>
      </c>
      <c r="U1114" s="1280">
        <v>1.9250005517068101E-2</v>
      </c>
      <c r="V1114" s="1293">
        <v>7.3783722611279901E-3</v>
      </c>
    </row>
    <row r="1115" spans="1:22" s="212" customFormat="1" ht="15.5" x14ac:dyDescent="0.35">
      <c r="A1115" s="198">
        <v>2034</v>
      </c>
      <c r="B1115" s="197" t="s">
        <v>5833</v>
      </c>
      <c r="C1115" s="197">
        <v>2011</v>
      </c>
      <c r="D1115" s="225" t="str">
        <f t="shared" si="5"/>
        <v>2034_2011</v>
      </c>
      <c r="E1115" s="1226">
        <v>6.95988396252889E-2</v>
      </c>
      <c r="F1115" s="1257">
        <v>2.1800539735624399E-2</v>
      </c>
      <c r="G1115" s="1280">
        <v>6.5101830483989306E-2</v>
      </c>
      <c r="H1115" s="1271">
        <v>0.38920493782155602</v>
      </c>
      <c r="I1115" s="1257">
        <v>0.48405537319272601</v>
      </c>
      <c r="J1115" s="1280">
        <v>0.11270095213529401</v>
      </c>
      <c r="K1115" s="1271">
        <v>7.05918714319186E-3</v>
      </c>
      <c r="L1115" s="1257">
        <v>2.1027946372452399E-3</v>
      </c>
      <c r="M1115" s="1280">
        <v>4.1341665217028799E-4</v>
      </c>
      <c r="N1115" s="1271">
        <v>8.3469904853547897E-3</v>
      </c>
      <c r="O1115" s="1257">
        <v>3.0000008598028201E-3</v>
      </c>
      <c r="P1115" s="1257">
        <v>8.6820265727153307E-3</v>
      </c>
      <c r="Q1115" s="1280">
        <v>8.3469904853547897E-3</v>
      </c>
      <c r="R1115" s="1271">
        <v>3.8500011034136201E-2</v>
      </c>
      <c r="S1115" s="1257">
        <v>3.8500011034136201E-2</v>
      </c>
      <c r="T1115" s="1257">
        <v>3.8500011034136201E-2</v>
      </c>
      <c r="U1115" s="1280">
        <v>1.9250005517068101E-2</v>
      </c>
      <c r="V1115" s="1293">
        <v>7.3783722611279901E-3</v>
      </c>
    </row>
    <row r="1116" spans="1:22" s="212" customFormat="1" ht="15.5" x14ac:dyDescent="0.35">
      <c r="A1116" s="198">
        <v>2034</v>
      </c>
      <c r="B1116" s="197" t="s">
        <v>5833</v>
      </c>
      <c r="C1116" s="197">
        <v>2012</v>
      </c>
      <c r="D1116" s="225" t="str">
        <f t="shared" si="5"/>
        <v>2034_2012</v>
      </c>
      <c r="E1116" s="1226">
        <v>6.95988396252889E-2</v>
      </c>
      <c r="F1116" s="1257">
        <v>2.1800539735624399E-2</v>
      </c>
      <c r="G1116" s="1280">
        <v>6.5101830483989306E-2</v>
      </c>
      <c r="H1116" s="1271">
        <v>0.38920493782155602</v>
      </c>
      <c r="I1116" s="1257">
        <v>0.48405537319272601</v>
      </c>
      <c r="J1116" s="1280">
        <v>0.11270095213529401</v>
      </c>
      <c r="K1116" s="1271">
        <v>7.05918714319186E-3</v>
      </c>
      <c r="L1116" s="1257">
        <v>2.1027946372452399E-3</v>
      </c>
      <c r="M1116" s="1280">
        <v>4.1341665217028799E-4</v>
      </c>
      <c r="N1116" s="1271">
        <v>8.3469904853547897E-3</v>
      </c>
      <c r="O1116" s="1257">
        <v>3.0000008598028201E-3</v>
      </c>
      <c r="P1116" s="1257">
        <v>8.6820265727153307E-3</v>
      </c>
      <c r="Q1116" s="1280">
        <v>8.3469904853547897E-3</v>
      </c>
      <c r="R1116" s="1271">
        <v>3.8500011034136201E-2</v>
      </c>
      <c r="S1116" s="1257">
        <v>3.8500011034136201E-2</v>
      </c>
      <c r="T1116" s="1257">
        <v>3.8500011034136201E-2</v>
      </c>
      <c r="U1116" s="1280">
        <v>1.9250005517068101E-2</v>
      </c>
      <c r="V1116" s="1293">
        <v>7.3783722611279901E-3</v>
      </c>
    </row>
    <row r="1117" spans="1:22" s="212" customFormat="1" ht="15.5" x14ac:dyDescent="0.35">
      <c r="A1117" s="198">
        <v>2034</v>
      </c>
      <c r="B1117" s="197" t="s">
        <v>5833</v>
      </c>
      <c r="C1117" s="197">
        <v>2013</v>
      </c>
      <c r="D1117" s="225" t="str">
        <f t="shared" si="5"/>
        <v>2034_2013</v>
      </c>
      <c r="E1117" s="1226">
        <v>6.95988396252889E-2</v>
      </c>
      <c r="F1117" s="1257">
        <v>2.1800539735624399E-2</v>
      </c>
      <c r="G1117" s="1280">
        <v>6.5101830483989306E-2</v>
      </c>
      <c r="H1117" s="1271">
        <v>0.38920493782155602</v>
      </c>
      <c r="I1117" s="1257">
        <v>0.48405537319272601</v>
      </c>
      <c r="J1117" s="1280">
        <v>0.11270095213529401</v>
      </c>
      <c r="K1117" s="1271">
        <v>7.05918714319186E-3</v>
      </c>
      <c r="L1117" s="1257">
        <v>2.1027946372452399E-3</v>
      </c>
      <c r="M1117" s="1280">
        <v>4.1341665217028799E-4</v>
      </c>
      <c r="N1117" s="1271">
        <v>8.3469904853547897E-3</v>
      </c>
      <c r="O1117" s="1257">
        <v>3.0000008598028201E-3</v>
      </c>
      <c r="P1117" s="1257">
        <v>8.6820265727153307E-3</v>
      </c>
      <c r="Q1117" s="1280">
        <v>8.3469904853547897E-3</v>
      </c>
      <c r="R1117" s="1271">
        <v>3.8500011034136201E-2</v>
      </c>
      <c r="S1117" s="1257">
        <v>3.8500011034136201E-2</v>
      </c>
      <c r="T1117" s="1257">
        <v>3.8500011034136201E-2</v>
      </c>
      <c r="U1117" s="1280">
        <v>1.9250005517068101E-2</v>
      </c>
      <c r="V1117" s="1293">
        <v>7.3783722611279901E-3</v>
      </c>
    </row>
    <row r="1118" spans="1:22" s="212" customFormat="1" ht="15.5" x14ac:dyDescent="0.35">
      <c r="A1118" s="198">
        <v>2034</v>
      </c>
      <c r="B1118" s="197" t="s">
        <v>5833</v>
      </c>
      <c r="C1118" s="197">
        <v>2014</v>
      </c>
      <c r="D1118" s="225" t="str">
        <f t="shared" si="5"/>
        <v>2034_2014</v>
      </c>
      <c r="E1118" s="1226">
        <v>6.95988396252889E-2</v>
      </c>
      <c r="F1118" s="1257">
        <v>2.1800539735624399E-2</v>
      </c>
      <c r="G1118" s="1280">
        <v>6.5101830483989306E-2</v>
      </c>
      <c r="H1118" s="1271">
        <v>0.38920493782155602</v>
      </c>
      <c r="I1118" s="1257">
        <v>0.48405537319272601</v>
      </c>
      <c r="J1118" s="1280">
        <v>0.11270095213529401</v>
      </c>
      <c r="K1118" s="1271">
        <v>7.05918714319186E-3</v>
      </c>
      <c r="L1118" s="1257">
        <v>2.1027946372452399E-3</v>
      </c>
      <c r="M1118" s="1280">
        <v>4.1341665217028799E-4</v>
      </c>
      <c r="N1118" s="1271">
        <v>8.3469904853547897E-3</v>
      </c>
      <c r="O1118" s="1257">
        <v>3.0000008598028201E-3</v>
      </c>
      <c r="P1118" s="1257">
        <v>8.6820265727153307E-3</v>
      </c>
      <c r="Q1118" s="1280">
        <v>8.3469904853547897E-3</v>
      </c>
      <c r="R1118" s="1271">
        <v>3.8500011034136201E-2</v>
      </c>
      <c r="S1118" s="1257">
        <v>3.8500011034136201E-2</v>
      </c>
      <c r="T1118" s="1257">
        <v>3.8500011034136201E-2</v>
      </c>
      <c r="U1118" s="1280">
        <v>1.9250005517068101E-2</v>
      </c>
      <c r="V1118" s="1293">
        <v>7.3783722611279901E-3</v>
      </c>
    </row>
    <row r="1119" spans="1:22" s="212" customFormat="1" ht="15.5" x14ac:dyDescent="0.35">
      <c r="A1119" s="198">
        <v>2034</v>
      </c>
      <c r="B1119" s="197" t="s">
        <v>5833</v>
      </c>
      <c r="C1119" s="197">
        <v>2015</v>
      </c>
      <c r="D1119" s="225" t="str">
        <f t="shared" si="5"/>
        <v>2034_2015</v>
      </c>
      <c r="E1119" s="1226">
        <v>6.95988396252889E-2</v>
      </c>
      <c r="F1119" s="1257">
        <v>2.1800539735624399E-2</v>
      </c>
      <c r="G1119" s="1280">
        <v>6.5101830483989306E-2</v>
      </c>
      <c r="H1119" s="1271">
        <v>0.38920493782155602</v>
      </c>
      <c r="I1119" s="1257">
        <v>0.48405537319272601</v>
      </c>
      <c r="J1119" s="1280">
        <v>0.11270095213529401</v>
      </c>
      <c r="K1119" s="1271">
        <v>7.05918714319186E-3</v>
      </c>
      <c r="L1119" s="1257">
        <v>2.1027946372452399E-3</v>
      </c>
      <c r="M1119" s="1280">
        <v>4.1341665217028799E-4</v>
      </c>
      <c r="N1119" s="1271">
        <v>8.3469904853547897E-3</v>
      </c>
      <c r="O1119" s="1257">
        <v>3.0000008598028201E-3</v>
      </c>
      <c r="P1119" s="1257">
        <v>8.6820265727153307E-3</v>
      </c>
      <c r="Q1119" s="1280">
        <v>8.3469904853547897E-3</v>
      </c>
      <c r="R1119" s="1271">
        <v>3.8500011034136201E-2</v>
      </c>
      <c r="S1119" s="1257">
        <v>3.8500011034136201E-2</v>
      </c>
      <c r="T1119" s="1257">
        <v>3.8500011034136201E-2</v>
      </c>
      <c r="U1119" s="1280">
        <v>1.9250005517068101E-2</v>
      </c>
      <c r="V1119" s="1293">
        <v>7.3783722611279901E-3</v>
      </c>
    </row>
    <row r="1120" spans="1:22" s="212" customFormat="1" ht="15.5" x14ac:dyDescent="0.35">
      <c r="A1120" s="198">
        <v>2034</v>
      </c>
      <c r="B1120" s="197" t="s">
        <v>5833</v>
      </c>
      <c r="C1120" s="197">
        <v>2016</v>
      </c>
      <c r="D1120" s="225" t="str">
        <f t="shared" si="5"/>
        <v>2034_2016</v>
      </c>
      <c r="E1120" s="1226">
        <v>6.95988396252889E-2</v>
      </c>
      <c r="F1120" s="1257">
        <v>2.1800539735624399E-2</v>
      </c>
      <c r="G1120" s="1280">
        <v>6.5101830483989306E-2</v>
      </c>
      <c r="H1120" s="1271">
        <v>0.38920493782155602</v>
      </c>
      <c r="I1120" s="1257">
        <v>0.48405537319272601</v>
      </c>
      <c r="J1120" s="1280">
        <v>0.11270095213529401</v>
      </c>
      <c r="K1120" s="1271">
        <v>7.05918714319186E-3</v>
      </c>
      <c r="L1120" s="1257">
        <v>2.1027946372452399E-3</v>
      </c>
      <c r="M1120" s="1280">
        <v>4.1341665217028799E-4</v>
      </c>
      <c r="N1120" s="1271">
        <v>8.3469904853547897E-3</v>
      </c>
      <c r="O1120" s="1257">
        <v>3.0000008598028201E-3</v>
      </c>
      <c r="P1120" s="1257">
        <v>8.6820265727153307E-3</v>
      </c>
      <c r="Q1120" s="1280">
        <v>8.3469904853547897E-3</v>
      </c>
      <c r="R1120" s="1271">
        <v>3.8500011034136201E-2</v>
      </c>
      <c r="S1120" s="1257">
        <v>3.8500011034136201E-2</v>
      </c>
      <c r="T1120" s="1257">
        <v>3.8500011034136201E-2</v>
      </c>
      <c r="U1120" s="1280">
        <v>1.9250005517068101E-2</v>
      </c>
      <c r="V1120" s="1293">
        <v>7.3783722611279901E-3</v>
      </c>
    </row>
    <row r="1121" spans="1:22" s="212" customFormat="1" ht="15.5" x14ac:dyDescent="0.35">
      <c r="A1121" s="198">
        <v>2034</v>
      </c>
      <c r="B1121" s="197" t="s">
        <v>5833</v>
      </c>
      <c r="C1121" s="197">
        <v>2017</v>
      </c>
      <c r="D1121" s="225" t="str">
        <f t="shared" si="5"/>
        <v>2034_2017</v>
      </c>
      <c r="E1121" s="1226">
        <v>6.95988396252889E-2</v>
      </c>
      <c r="F1121" s="1257">
        <v>2.1800539735624399E-2</v>
      </c>
      <c r="G1121" s="1280">
        <v>6.5101830483989306E-2</v>
      </c>
      <c r="H1121" s="1271">
        <v>0.38920493782155602</v>
      </c>
      <c r="I1121" s="1257">
        <v>0.48405537319272601</v>
      </c>
      <c r="J1121" s="1280">
        <v>0.11270095213529401</v>
      </c>
      <c r="K1121" s="1271">
        <v>7.05918714319186E-3</v>
      </c>
      <c r="L1121" s="1257">
        <v>2.1027946372452399E-3</v>
      </c>
      <c r="M1121" s="1280">
        <v>4.1341665217028799E-4</v>
      </c>
      <c r="N1121" s="1271">
        <v>8.3469904853547897E-3</v>
      </c>
      <c r="O1121" s="1257">
        <v>3.0000008598028201E-3</v>
      </c>
      <c r="P1121" s="1257">
        <v>8.6820265727153307E-3</v>
      </c>
      <c r="Q1121" s="1280">
        <v>8.3469904853547897E-3</v>
      </c>
      <c r="R1121" s="1271">
        <v>3.8500011034136201E-2</v>
      </c>
      <c r="S1121" s="1257">
        <v>3.8500011034136201E-2</v>
      </c>
      <c r="T1121" s="1257">
        <v>3.8500011034136201E-2</v>
      </c>
      <c r="U1121" s="1280">
        <v>1.9250005517068101E-2</v>
      </c>
      <c r="V1121" s="1293">
        <v>7.3783722611279901E-3</v>
      </c>
    </row>
    <row r="1122" spans="1:22" s="212" customFormat="1" ht="15.5" x14ac:dyDescent="0.35">
      <c r="A1122" s="198">
        <v>2034</v>
      </c>
      <c r="B1122" s="197" t="s">
        <v>5833</v>
      </c>
      <c r="C1122" s="197">
        <v>2018</v>
      </c>
      <c r="D1122" s="225" t="str">
        <f t="shared" si="5"/>
        <v>2034_2018</v>
      </c>
      <c r="E1122" s="1226">
        <v>6.95988396252889E-2</v>
      </c>
      <c r="F1122" s="1257">
        <v>2.1800539735624399E-2</v>
      </c>
      <c r="G1122" s="1280">
        <v>6.5101830483989306E-2</v>
      </c>
      <c r="H1122" s="1271">
        <v>0.38920493782155602</v>
      </c>
      <c r="I1122" s="1257">
        <v>0.48405537319272601</v>
      </c>
      <c r="J1122" s="1280">
        <v>0.11270095213529401</v>
      </c>
      <c r="K1122" s="1271">
        <v>7.05918714319186E-3</v>
      </c>
      <c r="L1122" s="1257">
        <v>2.1027946372452399E-3</v>
      </c>
      <c r="M1122" s="1280">
        <v>4.1341665217028799E-4</v>
      </c>
      <c r="N1122" s="1271">
        <v>8.3469904853547897E-3</v>
      </c>
      <c r="O1122" s="1257">
        <v>3.0000008598028201E-3</v>
      </c>
      <c r="P1122" s="1257">
        <v>8.6820265727153307E-3</v>
      </c>
      <c r="Q1122" s="1280">
        <v>8.3469904853547897E-3</v>
      </c>
      <c r="R1122" s="1271">
        <v>3.8500011034136201E-2</v>
      </c>
      <c r="S1122" s="1257">
        <v>3.8500011034136201E-2</v>
      </c>
      <c r="T1122" s="1257">
        <v>3.8500011034136201E-2</v>
      </c>
      <c r="U1122" s="1280">
        <v>1.9250005517068101E-2</v>
      </c>
      <c r="V1122" s="1293">
        <v>7.3783722611279901E-3</v>
      </c>
    </row>
    <row r="1123" spans="1:22" s="212" customFormat="1" ht="15.5" x14ac:dyDescent="0.35">
      <c r="A1123" s="198">
        <v>2034</v>
      </c>
      <c r="B1123" s="197" t="s">
        <v>5833</v>
      </c>
      <c r="C1123" s="197">
        <v>2019</v>
      </c>
      <c r="D1123" s="225" t="str">
        <f t="shared" si="5"/>
        <v>2034_2019</v>
      </c>
      <c r="E1123" s="1226">
        <v>6.95988396252889E-2</v>
      </c>
      <c r="F1123" s="1257">
        <v>2.1800539735624399E-2</v>
      </c>
      <c r="G1123" s="1280">
        <v>6.5101830483989306E-2</v>
      </c>
      <c r="H1123" s="1271">
        <v>0.38920493782155602</v>
      </c>
      <c r="I1123" s="1257">
        <v>0.48405537319272601</v>
      </c>
      <c r="J1123" s="1280">
        <v>0.11270095213529401</v>
      </c>
      <c r="K1123" s="1271">
        <v>7.05918714319186E-3</v>
      </c>
      <c r="L1123" s="1257">
        <v>2.1027946372452399E-3</v>
      </c>
      <c r="M1123" s="1280">
        <v>4.1341665217028799E-4</v>
      </c>
      <c r="N1123" s="1271">
        <v>8.3469904853547897E-3</v>
      </c>
      <c r="O1123" s="1257">
        <v>3.0000008598028201E-3</v>
      </c>
      <c r="P1123" s="1257">
        <v>8.6820265727153307E-3</v>
      </c>
      <c r="Q1123" s="1280">
        <v>8.3469904853547897E-3</v>
      </c>
      <c r="R1123" s="1271">
        <v>3.8500011034136201E-2</v>
      </c>
      <c r="S1123" s="1257">
        <v>3.8500011034136201E-2</v>
      </c>
      <c r="T1123" s="1257">
        <v>3.8500011034136201E-2</v>
      </c>
      <c r="U1123" s="1280">
        <v>1.9250005517068101E-2</v>
      </c>
      <c r="V1123" s="1293">
        <v>7.3783722611279901E-3</v>
      </c>
    </row>
    <row r="1124" spans="1:22" s="212" customFormat="1" ht="15.5" x14ac:dyDescent="0.35">
      <c r="A1124" s="198">
        <v>2034</v>
      </c>
      <c r="B1124" s="197" t="s">
        <v>5833</v>
      </c>
      <c r="C1124" s="197">
        <v>2020</v>
      </c>
      <c r="D1124" s="225" t="str">
        <f t="shared" si="5"/>
        <v>2034_2020</v>
      </c>
      <c r="E1124" s="1231">
        <v>6.95988396252889E-2</v>
      </c>
      <c r="F1124" s="1288">
        <v>2.1800539735624399E-2</v>
      </c>
      <c r="G1124" s="1306">
        <v>6.5101830483989306E-2</v>
      </c>
      <c r="H1124" s="1303">
        <v>0.38920493782155602</v>
      </c>
      <c r="I1124" s="1288">
        <v>0.48405537319272601</v>
      </c>
      <c r="J1124" s="1306">
        <v>0.11270095213529401</v>
      </c>
      <c r="K1124" s="1303">
        <v>7.05918714319186E-3</v>
      </c>
      <c r="L1124" s="1288">
        <v>2.1027946372452399E-3</v>
      </c>
      <c r="M1124" s="1306">
        <v>4.1341665217028799E-4</v>
      </c>
      <c r="N1124" s="1303">
        <v>8.3469904853547897E-3</v>
      </c>
      <c r="O1124" s="1288">
        <v>3.0000008598028201E-3</v>
      </c>
      <c r="P1124" s="1288">
        <v>8.6820265727153307E-3</v>
      </c>
      <c r="Q1124" s="1280">
        <v>8.3469904853547897E-3</v>
      </c>
      <c r="R1124" s="1303">
        <v>3.8500011034136201E-2</v>
      </c>
      <c r="S1124" s="1288">
        <v>3.8500011034136201E-2</v>
      </c>
      <c r="T1124" s="1288">
        <v>3.8500011034136201E-2</v>
      </c>
      <c r="U1124" s="1280">
        <v>1.9250005517068101E-2</v>
      </c>
      <c r="V1124" s="1294">
        <v>7.3783722611279901E-3</v>
      </c>
    </row>
    <row r="1125" spans="1:22" s="212" customFormat="1" ht="15.5" x14ac:dyDescent="0.35">
      <c r="A1125" s="198">
        <v>2034</v>
      </c>
      <c r="B1125" s="197" t="s">
        <v>5833</v>
      </c>
      <c r="C1125" s="197">
        <v>2021</v>
      </c>
      <c r="D1125" s="225" t="str">
        <f t="shared" si="5"/>
        <v>2034_2021</v>
      </c>
      <c r="E1125" s="1231">
        <v>4.7748150784136502E-2</v>
      </c>
      <c r="F1125" s="1288">
        <v>1.6240761786201902E-2</v>
      </c>
      <c r="G1125" s="1306">
        <v>6.31753685262786E-2</v>
      </c>
      <c r="H1125" s="1303">
        <v>0.23220197079204899</v>
      </c>
      <c r="I1125" s="1288">
        <v>0.41526530836224901</v>
      </c>
      <c r="J1125" s="1306">
        <v>0.111466145267579</v>
      </c>
      <c r="K1125" s="1303">
        <v>4.19613215785838E-3</v>
      </c>
      <c r="L1125" s="1288">
        <v>1.5729210436776599E-3</v>
      </c>
      <c r="M1125" s="1306">
        <v>4.0883732715566899E-4</v>
      </c>
      <c r="N1125" s="1303">
        <v>5.3669390788822196E-3</v>
      </c>
      <c r="O1125" s="1288">
        <v>3.0000008598028201E-3</v>
      </c>
      <c r="P1125" s="1288">
        <v>8.2540078214305996E-3</v>
      </c>
      <c r="Q1125" s="1280">
        <v>5.3669390788822196E-3</v>
      </c>
      <c r="R1125" s="1303">
        <v>3.8500011034136201E-2</v>
      </c>
      <c r="S1125" s="1288">
        <v>3.8500011034136201E-2</v>
      </c>
      <c r="T1125" s="1288">
        <v>3.8500011034136201E-2</v>
      </c>
      <c r="U1125" s="1280">
        <v>1.9250005517068101E-2</v>
      </c>
      <c r="V1125" s="1294">
        <v>4.3858626339760504E-3</v>
      </c>
    </row>
    <row r="1126" spans="1:22" s="212" customFormat="1" ht="15.5" x14ac:dyDescent="0.35">
      <c r="A1126" s="198">
        <v>2034</v>
      </c>
      <c r="B1126" s="197" t="s">
        <v>5833</v>
      </c>
      <c r="C1126" s="197">
        <v>2022</v>
      </c>
      <c r="D1126" s="225" t="str">
        <f t="shared" si="5"/>
        <v>2034_2022</v>
      </c>
      <c r="E1126" s="1231">
        <v>5.2305979817097899E-2</v>
      </c>
      <c r="F1126" s="1288">
        <v>2.1375493101828499E-2</v>
      </c>
      <c r="G1126" s="1306">
        <v>6.5979051211483605E-2</v>
      </c>
      <c r="H1126" s="1303">
        <v>0.26507928138461601</v>
      </c>
      <c r="I1126" s="1288">
        <v>0.42677690002420099</v>
      </c>
      <c r="J1126" s="1306">
        <v>0.13236420561912501</v>
      </c>
      <c r="K1126" s="1303">
        <v>4.7810320327885498E-3</v>
      </c>
      <c r="L1126" s="1288">
        <v>2.0628201313716401E-3</v>
      </c>
      <c r="M1126" s="1306">
        <v>4.61522070361442E-4</v>
      </c>
      <c r="N1126" s="1303">
        <v>5.9840032666679498E-3</v>
      </c>
      <c r="O1126" s="1288">
        <v>3.0000008598028201E-3</v>
      </c>
      <c r="P1126" s="1288">
        <v>8.6905492437335998E-3</v>
      </c>
      <c r="Q1126" s="1280">
        <v>5.9840032666679498E-3</v>
      </c>
      <c r="R1126" s="1303">
        <v>3.8500011034136201E-2</v>
      </c>
      <c r="S1126" s="1288">
        <v>3.8500011034136201E-2</v>
      </c>
      <c r="T1126" s="1288">
        <v>3.8500011034136201E-2</v>
      </c>
      <c r="U1126" s="1280">
        <v>1.9250005517068101E-2</v>
      </c>
      <c r="V1126" s="1294">
        <v>4.9972090857958104E-3</v>
      </c>
    </row>
    <row r="1127" spans="1:22" s="212" customFormat="1" ht="15.5" x14ac:dyDescent="0.35">
      <c r="A1127" s="198">
        <v>2034</v>
      </c>
      <c r="B1127" s="197" t="s">
        <v>5833</v>
      </c>
      <c r="C1127" s="197">
        <v>2023</v>
      </c>
      <c r="D1127" s="225" t="str">
        <f t="shared" si="5"/>
        <v>2034_2023</v>
      </c>
      <c r="E1127" s="1231">
        <v>6.0044242355393303E-2</v>
      </c>
      <c r="F1127" s="1288">
        <v>2.14568643785128E-2</v>
      </c>
      <c r="G1127" s="1306">
        <v>6.4166914606954006E-2</v>
      </c>
      <c r="H1127" s="1303">
        <v>0.32055924995471602</v>
      </c>
      <c r="I1127" s="1288">
        <v>0.39516976453767799</v>
      </c>
      <c r="J1127" s="1306">
        <v>9.8121414478204494E-2</v>
      </c>
      <c r="K1127" s="1303">
        <v>5.8130217418280996E-3</v>
      </c>
      <c r="L1127" s="1288">
        <v>2.0701222927225699E-3</v>
      </c>
      <c r="M1127" s="1306">
        <v>3.78670064636195E-4</v>
      </c>
      <c r="N1127" s="1303">
        <v>7.0459343563123297E-3</v>
      </c>
      <c r="O1127" s="1288">
        <v>3.0000008598028201E-3</v>
      </c>
      <c r="P1127" s="1288">
        <v>8.6060456267892296E-3</v>
      </c>
      <c r="Q1127" s="1280">
        <v>7.0459343563123297E-3</v>
      </c>
      <c r="R1127" s="1303">
        <v>3.8500011034136201E-2</v>
      </c>
      <c r="S1127" s="1288">
        <v>3.8500011034136201E-2</v>
      </c>
      <c r="T1127" s="1288">
        <v>3.8500011034136201E-2</v>
      </c>
      <c r="U1127" s="1280">
        <v>1.9250005517068101E-2</v>
      </c>
      <c r="V1127" s="1294">
        <v>6.0758607900916204E-3</v>
      </c>
    </row>
    <row r="1128" spans="1:22" s="212" customFormat="1" ht="15.5" x14ac:dyDescent="0.35">
      <c r="A1128" s="198">
        <v>2034</v>
      </c>
      <c r="B1128" s="197" t="s">
        <v>5833</v>
      </c>
      <c r="C1128" s="197">
        <v>2024</v>
      </c>
      <c r="D1128" s="225" t="str">
        <f t="shared" si="5"/>
        <v>2034_2024</v>
      </c>
      <c r="E1128" s="1231">
        <v>5.83651809077297E-2</v>
      </c>
      <c r="F1128" s="1288">
        <v>7.55164364656316E-3</v>
      </c>
      <c r="G1128" s="1306">
        <v>5.86266092136166E-2</v>
      </c>
      <c r="H1128" s="1303">
        <v>0.30012317789008203</v>
      </c>
      <c r="I1128" s="1288">
        <v>0.144065970611023</v>
      </c>
      <c r="J1128" s="1306">
        <v>9.5374369718687305E-2</v>
      </c>
      <c r="K1128" s="1303">
        <v>5.8048394644857797E-3</v>
      </c>
      <c r="L1128" s="1288">
        <v>1.29442042850529E-3</v>
      </c>
      <c r="M1128" s="1306">
        <v>8.0482327611300798E-4</v>
      </c>
      <c r="N1128" s="1303">
        <v>6.6054609126384002E-3</v>
      </c>
      <c r="O1128" s="1288">
        <v>2.36481062436464E-3</v>
      </c>
      <c r="P1128" s="1288">
        <v>7.7134479762009803E-3</v>
      </c>
      <c r="Q1128" s="1306">
        <v>8.4690603859682995E-3</v>
      </c>
      <c r="R1128" s="1303">
        <v>3.8367401713422698E-2</v>
      </c>
      <c r="S1128" s="1288">
        <v>3.4275995968472299E-2</v>
      </c>
      <c r="T1128" s="1288">
        <v>3.8318014894511601E-2</v>
      </c>
      <c r="U1128" s="1306">
        <v>1.9250005517068101E-2</v>
      </c>
      <c r="V1128" s="1294">
        <v>6.0673085464762102E-3</v>
      </c>
    </row>
    <row r="1129" spans="1:22" s="212" customFormat="1" ht="15.5" x14ac:dyDescent="0.35">
      <c r="A1129" s="198">
        <v>2034</v>
      </c>
      <c r="B1129" s="197" t="s">
        <v>5833</v>
      </c>
      <c r="C1129" s="197">
        <v>2025</v>
      </c>
      <c r="D1129" s="225" t="str">
        <f t="shared" si="5"/>
        <v>2034_2025</v>
      </c>
      <c r="E1129" s="1231">
        <v>6.7017929748412697E-2</v>
      </c>
      <c r="F1129" s="1288">
        <v>7.3199350627209496E-3</v>
      </c>
      <c r="G1129" s="1306">
        <v>5.5027532701105102E-2</v>
      </c>
      <c r="H1129" s="1303">
        <v>0.36380677927226601</v>
      </c>
      <c r="I1129" s="1288">
        <v>0.109474903836503</v>
      </c>
      <c r="J1129" s="1306">
        <v>8.7828259316123494E-2</v>
      </c>
      <c r="K1129" s="1303">
        <v>6.8861104237084103E-3</v>
      </c>
      <c r="L1129" s="1288">
        <v>1.3456878261723299E-3</v>
      </c>
      <c r="M1129" s="1306">
        <v>6.2936449972395101E-4</v>
      </c>
      <c r="N1129" s="1303">
        <v>7.8252844597193096E-3</v>
      </c>
      <c r="O1129" s="1288">
        <v>2.2897841947133899E-3</v>
      </c>
      <c r="P1129" s="1288">
        <v>7.2329655940151097E-3</v>
      </c>
      <c r="Q1129" s="1306">
        <v>8.12190024590086E-3</v>
      </c>
      <c r="R1129" s="1303">
        <v>3.83901922330784E-2</v>
      </c>
      <c r="S1129" s="1288">
        <v>3.3777070211291498E-2</v>
      </c>
      <c r="T1129" s="1288">
        <v>3.8395805477708898E-2</v>
      </c>
      <c r="U1129" s="1306">
        <v>1.9250005517068101E-2</v>
      </c>
      <c r="V1129" s="1294">
        <v>7.1974697804060503E-3</v>
      </c>
    </row>
    <row r="1130" spans="1:22" s="212" customFormat="1" ht="15.5" x14ac:dyDescent="0.35">
      <c r="A1130" s="198">
        <v>2034</v>
      </c>
      <c r="B1130" s="197" t="s">
        <v>5833</v>
      </c>
      <c r="C1130" s="197">
        <v>2026</v>
      </c>
      <c r="D1130" s="225" t="str">
        <f t="shared" si="5"/>
        <v>2034_2026</v>
      </c>
      <c r="E1130" s="1231">
        <v>6.1402527699186998E-2</v>
      </c>
      <c r="F1130" s="1288">
        <v>8.04952407054489E-3</v>
      </c>
      <c r="G1130" s="1306">
        <v>5.1850808513668203E-2</v>
      </c>
      <c r="H1130" s="1303">
        <v>0.32829639509168401</v>
      </c>
      <c r="I1130" s="1288">
        <v>0.15259209706239199</v>
      </c>
      <c r="J1130" s="1306">
        <v>8.2199142278110995E-2</v>
      </c>
      <c r="K1130" s="1303">
        <v>6.0065637690508798E-3</v>
      </c>
      <c r="L1130" s="1288">
        <v>1.27074554618687E-3</v>
      </c>
      <c r="M1130" s="1306">
        <v>7.8770366441581398E-4</v>
      </c>
      <c r="N1130" s="1303">
        <v>7.1655131092307096E-3</v>
      </c>
      <c r="O1130" s="1288">
        <v>2.4607874227618601E-3</v>
      </c>
      <c r="P1130" s="1288">
        <v>7.1839211312385897E-3</v>
      </c>
      <c r="Q1130" s="1306">
        <v>8.7337429995912007E-3</v>
      </c>
      <c r="R1130" s="1303">
        <v>3.84644305177919E-2</v>
      </c>
      <c r="S1130" s="1288">
        <v>3.4914241677813797E-2</v>
      </c>
      <c r="T1130" s="1288">
        <v>3.8249559809573001E-2</v>
      </c>
      <c r="U1130" s="1306">
        <v>1.9250005517068101E-2</v>
      </c>
      <c r="V1130" s="1294">
        <v>6.2781539289553899E-3</v>
      </c>
    </row>
    <row r="1131" spans="1:22" s="212" customFormat="1" ht="15.5" x14ac:dyDescent="0.35">
      <c r="A1131" s="198">
        <v>2034</v>
      </c>
      <c r="B1131" s="197" t="s">
        <v>5833</v>
      </c>
      <c r="C1131" s="197">
        <v>2027</v>
      </c>
      <c r="D1131" s="225" t="str">
        <f t="shared" si="5"/>
        <v>2034_2027</v>
      </c>
      <c r="E1131" s="1231">
        <v>6.9640021955541101E-2</v>
      </c>
      <c r="F1131" s="1288">
        <v>3.9542339203270799E-3</v>
      </c>
      <c r="G1131" s="1306">
        <v>5.84160462596977E-2</v>
      </c>
      <c r="H1131" s="1303">
        <v>0.39495697276758801</v>
      </c>
      <c r="I1131" s="1288">
        <v>6.5220268739247994E-2</v>
      </c>
      <c r="J1131" s="1306">
        <v>9.6511365643688105E-2</v>
      </c>
      <c r="K1131" s="1303">
        <v>6.8300786757663498E-3</v>
      </c>
      <c r="L1131" s="1288">
        <v>1.11265155462237E-3</v>
      </c>
      <c r="M1131" s="1306">
        <v>6.9829601958367696E-4</v>
      </c>
      <c r="N1131" s="1303">
        <v>7.8504628206927992E-3</v>
      </c>
      <c r="O1131" s="1288">
        <v>2.17493873998496E-3</v>
      </c>
      <c r="P1131" s="1288">
        <v>7.80439062381625E-3</v>
      </c>
      <c r="Q1131" s="1306">
        <v>7.9141820106778393E-3</v>
      </c>
      <c r="R1131" s="1303">
        <v>3.8361482315821302E-2</v>
      </c>
      <c r="S1131" s="1288">
        <v>3.30133479373474E-2</v>
      </c>
      <c r="T1131" s="1288">
        <v>3.8362517854726101E-2</v>
      </c>
      <c r="U1131" s="1306">
        <v>1.9250005517068101E-2</v>
      </c>
      <c r="V1131" s="1294">
        <v>7.13890452545926E-3</v>
      </c>
    </row>
    <row r="1132" spans="1:22" s="212" customFormat="1" ht="15.5" x14ac:dyDescent="0.35">
      <c r="A1132" s="198">
        <v>2034</v>
      </c>
      <c r="B1132" s="197" t="s">
        <v>5833</v>
      </c>
      <c r="C1132" s="197">
        <v>2028</v>
      </c>
      <c r="D1132" s="225" t="str">
        <f t="shared" si="5"/>
        <v>2034_2028</v>
      </c>
      <c r="E1132" s="1231">
        <v>6.5822797808547898E-2</v>
      </c>
      <c r="F1132" s="1288">
        <v>7.6583427057870697E-3</v>
      </c>
      <c r="G1132" s="1306">
        <v>5.8744930400284598E-2</v>
      </c>
      <c r="H1132" s="1303">
        <v>0.35998910817864999</v>
      </c>
      <c r="I1132" s="1288">
        <v>0.110475034355262</v>
      </c>
      <c r="J1132" s="1306">
        <v>0.100270077221155</v>
      </c>
      <c r="K1132" s="1303">
        <v>6.57805116821613E-3</v>
      </c>
      <c r="L1132" s="1288">
        <v>1.3042738398884499E-3</v>
      </c>
      <c r="M1132" s="1306">
        <v>1.00675429601224E-3</v>
      </c>
      <c r="N1132" s="1303">
        <v>7.7712270796596299E-3</v>
      </c>
      <c r="O1132" s="1288">
        <v>2.3743079061995099E-3</v>
      </c>
      <c r="P1132" s="1288">
        <v>7.7308208824048803E-3</v>
      </c>
      <c r="Q1132" s="1306">
        <v>7.9427433315009295E-3</v>
      </c>
      <c r="R1132" s="1303">
        <v>3.8463848921908399E-2</v>
      </c>
      <c r="S1132" s="1288">
        <v>3.4339152892674203E-2</v>
      </c>
      <c r="T1132" s="1288">
        <v>3.8062585947839199E-2</v>
      </c>
      <c r="U1132" s="1306">
        <v>1.9250005517068101E-2</v>
      </c>
      <c r="V1132" s="1294">
        <v>6.87548145237312E-3</v>
      </c>
    </row>
    <row r="1133" spans="1:22" s="212" customFormat="1" ht="15.5" x14ac:dyDescent="0.35">
      <c r="A1133" s="198">
        <v>2034</v>
      </c>
      <c r="B1133" s="197" t="s">
        <v>5833</v>
      </c>
      <c r="C1133" s="197">
        <v>2029</v>
      </c>
      <c r="D1133" s="225" t="str">
        <f t="shared" si="5"/>
        <v>2034_2029</v>
      </c>
      <c r="E1133" s="1231">
        <v>6.3047662505507002E-2</v>
      </c>
      <c r="F1133" s="1288">
        <v>7.2245773604828296E-3</v>
      </c>
      <c r="G1133" s="1306">
        <v>6.2571262893863902E-2</v>
      </c>
      <c r="H1133" s="1303">
        <v>0.338408921913389</v>
      </c>
      <c r="I1133" s="1288">
        <v>0.106190688813151</v>
      </c>
      <c r="J1133" s="1306">
        <v>0.111363366268555</v>
      </c>
      <c r="K1133" s="1303">
        <v>6.2390544995939096E-3</v>
      </c>
      <c r="L1133" s="1288">
        <v>1.25270201893052E-3</v>
      </c>
      <c r="M1133" s="1306">
        <v>8.4335905149100798E-4</v>
      </c>
      <c r="N1133" s="1303">
        <v>7.3591644136986097E-3</v>
      </c>
      <c r="O1133" s="1288">
        <v>2.3930042622993799E-3</v>
      </c>
      <c r="P1133" s="1288">
        <v>8.2423372137655493E-3</v>
      </c>
      <c r="Q1133" s="1306">
        <v>8.3085958763830601E-3</v>
      </c>
      <c r="R1133" s="1303">
        <v>3.8435790840330497E-2</v>
      </c>
      <c r="S1133" s="1288">
        <v>3.44634836607383E-2</v>
      </c>
      <c r="T1133" s="1288">
        <v>3.8206987430294298E-2</v>
      </c>
      <c r="U1133" s="1306">
        <v>1.9250005517068101E-2</v>
      </c>
      <c r="V1133" s="1294">
        <v>6.5211568586712402E-3</v>
      </c>
    </row>
    <row r="1134" spans="1:22" s="212" customFormat="1" ht="15.5" x14ac:dyDescent="0.35">
      <c r="A1134" s="198">
        <v>2034</v>
      </c>
      <c r="B1134" s="197" t="s">
        <v>5833</v>
      </c>
      <c r="C1134" s="197">
        <v>2030</v>
      </c>
      <c r="D1134" s="225" t="str">
        <f t="shared" si="5"/>
        <v>2034_2030</v>
      </c>
      <c r="E1134" s="1231">
        <v>9.5738996640433602E-2</v>
      </c>
      <c r="F1134" s="1288">
        <v>3.0795832304572001E-3</v>
      </c>
      <c r="G1134" s="1306">
        <v>8.8879132181409706E-2</v>
      </c>
      <c r="H1134" s="1303">
        <v>0.194932379832602</v>
      </c>
      <c r="I1134" s="1288">
        <v>1.5152251017784101E-2</v>
      </c>
      <c r="J1134" s="1306">
        <v>0.18480633126252499</v>
      </c>
      <c r="K1134" s="1303">
        <v>1.43256609553891E-2</v>
      </c>
      <c r="L1134" s="1288">
        <v>1.1815854850312801E-3</v>
      </c>
      <c r="M1134" s="1306">
        <v>1.34751023444894E-2</v>
      </c>
      <c r="N1134" s="1303">
        <v>3.0000008598028201E-3</v>
      </c>
      <c r="O1134" s="1288">
        <v>2.0000005732018801E-3</v>
      </c>
      <c r="P1134" s="1288">
        <v>3.0000008598028201E-3</v>
      </c>
      <c r="Q1134" s="1306">
        <v>7.8222780240651494E-3</v>
      </c>
      <c r="R1134" s="1303">
        <v>3.1850009128239903E-2</v>
      </c>
      <c r="S1134" s="1288">
        <v>3.1850009128239903E-2</v>
      </c>
      <c r="T1134" s="1288">
        <v>3.1850009128239903E-2</v>
      </c>
      <c r="U1134" s="1306">
        <v>1.9250005517068101E-2</v>
      </c>
      <c r="V1134" s="1294">
        <v>1.4973403774612801E-2</v>
      </c>
    </row>
    <row r="1135" spans="1:22" s="212" customFormat="1" ht="15.5" x14ac:dyDescent="0.35">
      <c r="A1135" s="198">
        <v>2034</v>
      </c>
      <c r="B1135" s="197" t="s">
        <v>5833</v>
      </c>
      <c r="C1135" s="197">
        <v>2031</v>
      </c>
      <c r="D1135" s="225" t="str">
        <f t="shared" si="5"/>
        <v>2034_2031</v>
      </c>
      <c r="E1135" s="1231">
        <v>9.4863414781347993E-2</v>
      </c>
      <c r="F1135" s="1288">
        <v>2.6613080676635998E-3</v>
      </c>
      <c r="G1135" s="1306">
        <v>8.3838242175905506E-2</v>
      </c>
      <c r="H1135" s="1303">
        <v>0.18693005676274199</v>
      </c>
      <c r="I1135" s="1288">
        <v>1.7235180621869101E-2</v>
      </c>
      <c r="J1135" s="1306">
        <v>0.172727736312353</v>
      </c>
      <c r="K1135" s="1303">
        <v>1.28257646702161E-2</v>
      </c>
      <c r="L1135" s="1288">
        <v>1.12578437093932E-3</v>
      </c>
      <c r="M1135" s="1306">
        <v>1.1632644254527201E-2</v>
      </c>
      <c r="N1135" s="1303">
        <v>3.0000008598028201E-3</v>
      </c>
      <c r="O1135" s="1288">
        <v>2.0000005732018801E-3</v>
      </c>
      <c r="P1135" s="1288">
        <v>3.0000008598028201E-3</v>
      </c>
      <c r="Q1135" s="1306">
        <v>8.1120328320053899E-3</v>
      </c>
      <c r="R1135" s="1303">
        <v>3.1850009128239903E-2</v>
      </c>
      <c r="S1135" s="1288">
        <v>3.1850009128239903E-2</v>
      </c>
      <c r="T1135" s="1288">
        <v>3.1850009128239903E-2</v>
      </c>
      <c r="U1135" s="1306">
        <v>1.9250005517068101E-2</v>
      </c>
      <c r="V1135" s="1294">
        <v>1.34056888351155E-2</v>
      </c>
    </row>
    <row r="1136" spans="1:22" s="212" customFormat="1" ht="15.5" x14ac:dyDescent="0.35">
      <c r="A1136" s="198">
        <v>2034</v>
      </c>
      <c r="B1136" s="197" t="s">
        <v>5833</v>
      </c>
      <c r="C1136" s="197">
        <v>2032</v>
      </c>
      <c r="D1136" s="225" t="str">
        <f t="shared" si="5"/>
        <v>2034_2032</v>
      </c>
      <c r="E1136" s="1231">
        <v>9.0855757982067298E-2</v>
      </c>
      <c r="F1136" s="1288">
        <v>3.5067339741292501E-3</v>
      </c>
      <c r="G1136" s="1306">
        <v>7.07186855638266E-2</v>
      </c>
      <c r="H1136" s="1303">
        <v>0.17337529423635201</v>
      </c>
      <c r="I1136" s="1288">
        <v>1.8669345381476701E-2</v>
      </c>
      <c r="J1136" s="1306">
        <v>0.141911594810746</v>
      </c>
      <c r="K1136" s="1303">
        <v>1.0824246970692199E-2</v>
      </c>
      <c r="L1136" s="1288">
        <v>1.1594691371772201E-3</v>
      </c>
      <c r="M1136" s="1306">
        <v>8.7412881333876098E-3</v>
      </c>
      <c r="N1136" s="1303">
        <v>3.0000008598028201E-3</v>
      </c>
      <c r="O1136" s="1288">
        <v>2.0000005732018801E-3</v>
      </c>
      <c r="P1136" s="1288">
        <v>3.0000008598028201E-3</v>
      </c>
      <c r="Q1136" s="1306">
        <v>7.7480283451327701E-3</v>
      </c>
      <c r="R1136" s="1303">
        <v>3.1850009128239903E-2</v>
      </c>
      <c r="S1136" s="1288">
        <v>3.1850009128239903E-2</v>
      </c>
      <c r="T1136" s="1288">
        <v>3.1850009128239903E-2</v>
      </c>
      <c r="U1136" s="1306">
        <v>1.9250005517068101E-2</v>
      </c>
      <c r="V1136" s="1294">
        <v>1.1313671386822301E-2</v>
      </c>
    </row>
    <row r="1137" spans="1:22" s="212" customFormat="1" ht="15.5" x14ac:dyDescent="0.35">
      <c r="A1137" s="198">
        <v>2034</v>
      </c>
      <c r="B1137" s="197" t="s">
        <v>5833</v>
      </c>
      <c r="C1137" s="197">
        <v>2033</v>
      </c>
      <c r="D1137" s="225" t="str">
        <f t="shared" si="5"/>
        <v>2034_2033</v>
      </c>
      <c r="E1137" s="1231">
        <v>8.8317798779424694E-2</v>
      </c>
      <c r="F1137" s="1288">
        <v>3.2118943796213299E-3</v>
      </c>
      <c r="G1137" s="1306">
        <v>6.6255620707465407E-2</v>
      </c>
      <c r="H1137" s="1303">
        <v>0.161819209392389</v>
      </c>
      <c r="I1137" s="1288">
        <v>2.1249710073673399E-2</v>
      </c>
      <c r="J1137" s="1306">
        <v>0.12826338667017001</v>
      </c>
      <c r="K1137" s="1303">
        <v>8.9544296782761903E-3</v>
      </c>
      <c r="L1137" s="1288">
        <v>1.10713587809495E-3</v>
      </c>
      <c r="M1137" s="1306">
        <v>7.0001120896502301E-3</v>
      </c>
      <c r="N1137" s="1303">
        <v>3.0000008598028201E-3</v>
      </c>
      <c r="O1137" s="1288">
        <v>2.0000005732018801E-3</v>
      </c>
      <c r="P1137" s="1288">
        <v>3.0000008598028201E-3</v>
      </c>
      <c r="Q1137" s="1306">
        <v>7.0779306122425202E-3</v>
      </c>
      <c r="R1137" s="1303">
        <v>3.1850009128239903E-2</v>
      </c>
      <c r="S1137" s="1288">
        <v>3.1850009128239903E-2</v>
      </c>
      <c r="T1137" s="1288">
        <v>3.1850009128239903E-2</v>
      </c>
      <c r="U1137" s="1306">
        <v>1.9250005517068101E-2</v>
      </c>
      <c r="V1137" s="1294">
        <v>9.3593092536346303E-3</v>
      </c>
    </row>
    <row r="1138" spans="1:22" s="212" customFormat="1" ht="15.5" x14ac:dyDescent="0.35">
      <c r="A1138" s="198">
        <v>2034</v>
      </c>
      <c r="B1138" s="197" t="s">
        <v>5833</v>
      </c>
      <c r="C1138" s="197">
        <v>2034</v>
      </c>
      <c r="D1138" s="225" t="str">
        <f t="shared" si="5"/>
        <v>2034_2034</v>
      </c>
      <c r="E1138" s="1231">
        <v>8.5380090126663699E-2</v>
      </c>
      <c r="F1138" s="1288">
        <v>3.9506278789497896E-3</v>
      </c>
      <c r="G1138" s="1306">
        <v>5.6465481256656597E-2</v>
      </c>
      <c r="H1138" s="1303">
        <v>0.14939588249128599</v>
      </c>
      <c r="I1138" s="1288">
        <v>1.9788722321679102E-2</v>
      </c>
      <c r="J1138" s="1306">
        <v>0.119099832801493</v>
      </c>
      <c r="K1138" s="1303">
        <v>6.9764573110079001E-3</v>
      </c>
      <c r="L1138" s="1288">
        <v>1.17891071199462E-3</v>
      </c>
      <c r="M1138" s="1306">
        <v>5.1563624377274101E-3</v>
      </c>
      <c r="N1138" s="1303">
        <v>3.0000008598028201E-3</v>
      </c>
      <c r="O1138" s="1288">
        <v>2.0000005732018801E-3</v>
      </c>
      <c r="P1138" s="1288">
        <v>3.0000008598028201E-3</v>
      </c>
      <c r="Q1138" s="1306">
        <v>5.7121094500660798E-3</v>
      </c>
      <c r="R1138" s="1303">
        <v>3.1850009128239903E-2</v>
      </c>
      <c r="S1138" s="1288">
        <v>3.1850009128239903E-2</v>
      </c>
      <c r="T1138" s="1288">
        <v>3.1850009128239903E-2</v>
      </c>
      <c r="U1138" s="1306">
        <v>1.9250005517068101E-2</v>
      </c>
      <c r="V1138" s="1294">
        <v>7.2919017530408596E-3</v>
      </c>
    </row>
    <row r="1139" spans="1:22" s="212" customFormat="1" ht="15.5" x14ac:dyDescent="0.35">
      <c r="A1139" s="198">
        <v>2034</v>
      </c>
      <c r="B1139" s="197" t="s">
        <v>5833</v>
      </c>
      <c r="C1139" s="197">
        <v>2035</v>
      </c>
      <c r="D1139" s="225" t="str">
        <f t="shared" si="5"/>
        <v>2034_2035</v>
      </c>
      <c r="E1139" s="1226">
        <v>8.5380090126663699E-2</v>
      </c>
      <c r="F1139" s="1257">
        <v>3.9506278789497896E-3</v>
      </c>
      <c r="G1139" s="1280">
        <v>5.6465481256656597E-2</v>
      </c>
      <c r="H1139" s="1271">
        <v>0.14939588249128599</v>
      </c>
      <c r="I1139" s="1257">
        <v>1.9788722321679102E-2</v>
      </c>
      <c r="J1139" s="1280">
        <v>0.119099832801493</v>
      </c>
      <c r="K1139" s="1271">
        <v>6.9764573110079001E-3</v>
      </c>
      <c r="L1139" s="1257">
        <v>1.17891071199462E-3</v>
      </c>
      <c r="M1139" s="1280">
        <v>5.1563624377274101E-3</v>
      </c>
      <c r="N1139" s="1271">
        <v>3.0000008598028201E-3</v>
      </c>
      <c r="O1139" s="1257">
        <v>2.0000005732018801E-3</v>
      </c>
      <c r="P1139" s="1257">
        <v>3.0000008598028201E-3</v>
      </c>
      <c r="Q1139" s="1280">
        <v>5.7121094500660798E-3</v>
      </c>
      <c r="R1139" s="1271">
        <v>3.1850009128239903E-2</v>
      </c>
      <c r="S1139" s="1257">
        <v>3.1850009128239903E-2</v>
      </c>
      <c r="T1139" s="1257">
        <v>3.1850009128239903E-2</v>
      </c>
      <c r="U1139" s="1280">
        <v>1.9250005517068101E-2</v>
      </c>
      <c r="V1139" s="1293">
        <v>7.2919017530408596E-3</v>
      </c>
    </row>
    <row r="1140" spans="1:22" s="212" customFormat="1" ht="15.5" x14ac:dyDescent="0.35">
      <c r="A1140" s="198">
        <v>2035</v>
      </c>
      <c r="B1140" s="197" t="s">
        <v>5833</v>
      </c>
      <c r="C1140" s="197">
        <v>1971</v>
      </c>
      <c r="D1140" s="225" t="str">
        <f t="shared" si="5"/>
        <v>2035_1971</v>
      </c>
      <c r="E1140" s="1226">
        <v>4.7748150784136502E-2</v>
      </c>
      <c r="F1140" s="1257">
        <v>1.6240761786201902E-2</v>
      </c>
      <c r="G1140" s="1280">
        <v>6.31753685262786E-2</v>
      </c>
      <c r="H1140" s="1271">
        <v>0.23220197079204899</v>
      </c>
      <c r="I1140" s="1257">
        <v>0.44750210291486497</v>
      </c>
      <c r="J1140" s="1280">
        <v>0.111466145267579</v>
      </c>
      <c r="K1140" s="1271">
        <v>4.19613215785838E-3</v>
      </c>
      <c r="L1140" s="1257">
        <v>1.5729210436776599E-3</v>
      </c>
      <c r="M1140" s="1280">
        <v>4.0883732715566899E-4</v>
      </c>
      <c r="N1140" s="1271">
        <v>5.3669390788822196E-3</v>
      </c>
      <c r="O1140" s="1257">
        <v>3.0000008598028201E-3</v>
      </c>
      <c r="P1140" s="1257">
        <v>8.2540078214305996E-3</v>
      </c>
      <c r="Q1140" s="1280">
        <v>5.3669390788822196E-3</v>
      </c>
      <c r="R1140" s="1271">
        <v>3.8500011034136201E-2</v>
      </c>
      <c r="S1140" s="1257">
        <v>3.8500011034136201E-2</v>
      </c>
      <c r="T1140" s="1257">
        <v>3.8500011034136201E-2</v>
      </c>
      <c r="U1140" s="1280">
        <v>1.9250005517068101E-2</v>
      </c>
      <c r="V1140" s="1293">
        <v>4.3858626339760599E-3</v>
      </c>
    </row>
    <row r="1141" spans="1:22" s="212" customFormat="1" ht="15.5" x14ac:dyDescent="0.35">
      <c r="A1141" s="198">
        <v>2035</v>
      </c>
      <c r="B1141" s="197" t="s">
        <v>5833</v>
      </c>
      <c r="C1141" s="197">
        <v>1972</v>
      </c>
      <c r="D1141" s="225" t="str">
        <f t="shared" si="5"/>
        <v>2035_1972</v>
      </c>
      <c r="E1141" s="1226">
        <v>4.7748150784136502E-2</v>
      </c>
      <c r="F1141" s="1257">
        <v>1.6240761786201902E-2</v>
      </c>
      <c r="G1141" s="1280">
        <v>6.31753685262786E-2</v>
      </c>
      <c r="H1141" s="1271">
        <v>0.23220197079204899</v>
      </c>
      <c r="I1141" s="1257">
        <v>0.44750210291486497</v>
      </c>
      <c r="J1141" s="1280">
        <v>0.111466145267579</v>
      </c>
      <c r="K1141" s="1271">
        <v>4.19613215785838E-3</v>
      </c>
      <c r="L1141" s="1257">
        <v>1.5729210436776599E-3</v>
      </c>
      <c r="M1141" s="1280">
        <v>4.0883732715566899E-4</v>
      </c>
      <c r="N1141" s="1271">
        <v>5.3669390788822196E-3</v>
      </c>
      <c r="O1141" s="1257">
        <v>3.0000008598028201E-3</v>
      </c>
      <c r="P1141" s="1257">
        <v>8.2540078214305996E-3</v>
      </c>
      <c r="Q1141" s="1280">
        <v>5.3669390788822196E-3</v>
      </c>
      <c r="R1141" s="1271">
        <v>3.8500011034136201E-2</v>
      </c>
      <c r="S1141" s="1257">
        <v>3.8500011034136201E-2</v>
      </c>
      <c r="T1141" s="1257">
        <v>3.8500011034136201E-2</v>
      </c>
      <c r="U1141" s="1280">
        <v>1.9250005517068101E-2</v>
      </c>
      <c r="V1141" s="1293">
        <v>4.3858626339760599E-3</v>
      </c>
    </row>
    <row r="1142" spans="1:22" s="212" customFormat="1" ht="15.5" x14ac:dyDescent="0.35">
      <c r="A1142" s="198">
        <v>2035</v>
      </c>
      <c r="B1142" s="197" t="s">
        <v>5833</v>
      </c>
      <c r="C1142" s="197">
        <v>1973</v>
      </c>
      <c r="D1142" s="225" t="str">
        <f t="shared" si="5"/>
        <v>2035_1973</v>
      </c>
      <c r="E1142" s="1226">
        <v>4.7748150784136502E-2</v>
      </c>
      <c r="F1142" s="1257">
        <v>1.6240761786201902E-2</v>
      </c>
      <c r="G1142" s="1280">
        <v>6.31753685262786E-2</v>
      </c>
      <c r="H1142" s="1271">
        <v>0.23220197079204899</v>
      </c>
      <c r="I1142" s="1257">
        <v>0.44750210291486497</v>
      </c>
      <c r="J1142" s="1280">
        <v>0.111466145267579</v>
      </c>
      <c r="K1142" s="1271">
        <v>4.19613215785838E-3</v>
      </c>
      <c r="L1142" s="1257">
        <v>1.5729210436776599E-3</v>
      </c>
      <c r="M1142" s="1280">
        <v>4.0883732715566899E-4</v>
      </c>
      <c r="N1142" s="1271">
        <v>5.3669390788822196E-3</v>
      </c>
      <c r="O1142" s="1257">
        <v>3.0000008598028201E-3</v>
      </c>
      <c r="P1142" s="1257">
        <v>8.2540078214305996E-3</v>
      </c>
      <c r="Q1142" s="1280">
        <v>5.3669390788822196E-3</v>
      </c>
      <c r="R1142" s="1271">
        <v>3.8500011034136201E-2</v>
      </c>
      <c r="S1142" s="1257">
        <v>3.8500011034136201E-2</v>
      </c>
      <c r="T1142" s="1257">
        <v>3.8500011034136201E-2</v>
      </c>
      <c r="U1142" s="1280">
        <v>1.9250005517068101E-2</v>
      </c>
      <c r="V1142" s="1293">
        <v>4.3858626339760599E-3</v>
      </c>
    </row>
    <row r="1143" spans="1:22" s="212" customFormat="1" ht="15.5" x14ac:dyDescent="0.35">
      <c r="A1143" s="198">
        <v>2035</v>
      </c>
      <c r="B1143" s="197" t="s">
        <v>5833</v>
      </c>
      <c r="C1143" s="197">
        <v>1974</v>
      </c>
      <c r="D1143" s="225" t="str">
        <f t="shared" si="5"/>
        <v>2035_1974</v>
      </c>
      <c r="E1143" s="1226">
        <v>4.7748150784136502E-2</v>
      </c>
      <c r="F1143" s="1257">
        <v>1.6240761786201902E-2</v>
      </c>
      <c r="G1143" s="1280">
        <v>6.31753685262786E-2</v>
      </c>
      <c r="H1143" s="1271">
        <v>0.23220197079204899</v>
      </c>
      <c r="I1143" s="1257">
        <v>0.44750210291486497</v>
      </c>
      <c r="J1143" s="1280">
        <v>0.111466145267579</v>
      </c>
      <c r="K1143" s="1271">
        <v>4.19613215785838E-3</v>
      </c>
      <c r="L1143" s="1257">
        <v>1.5729210436776599E-3</v>
      </c>
      <c r="M1143" s="1280">
        <v>4.0883732715566899E-4</v>
      </c>
      <c r="N1143" s="1271">
        <v>5.3669390788822196E-3</v>
      </c>
      <c r="O1143" s="1257">
        <v>3.0000008598028201E-3</v>
      </c>
      <c r="P1143" s="1257">
        <v>8.2540078214305996E-3</v>
      </c>
      <c r="Q1143" s="1280">
        <v>5.3669390788822196E-3</v>
      </c>
      <c r="R1143" s="1271">
        <v>3.8500011034136201E-2</v>
      </c>
      <c r="S1143" s="1257">
        <v>3.8500011034136201E-2</v>
      </c>
      <c r="T1143" s="1257">
        <v>3.8500011034136201E-2</v>
      </c>
      <c r="U1143" s="1280">
        <v>1.9250005517068101E-2</v>
      </c>
      <c r="V1143" s="1293">
        <v>4.3858626339760599E-3</v>
      </c>
    </row>
    <row r="1144" spans="1:22" s="212" customFormat="1" ht="15.5" x14ac:dyDescent="0.35">
      <c r="A1144" s="198">
        <v>2035</v>
      </c>
      <c r="B1144" s="197" t="s">
        <v>5833</v>
      </c>
      <c r="C1144" s="197">
        <v>1975</v>
      </c>
      <c r="D1144" s="225" t="str">
        <f t="shared" si="5"/>
        <v>2035_1975</v>
      </c>
      <c r="E1144" s="1226">
        <v>4.7748150784136502E-2</v>
      </c>
      <c r="F1144" s="1257">
        <v>1.6240761786201902E-2</v>
      </c>
      <c r="G1144" s="1280">
        <v>6.31753685262786E-2</v>
      </c>
      <c r="H1144" s="1271">
        <v>0.23220197079204899</v>
      </c>
      <c r="I1144" s="1257">
        <v>0.44750210291486497</v>
      </c>
      <c r="J1144" s="1280">
        <v>0.111466145267579</v>
      </c>
      <c r="K1144" s="1271">
        <v>4.19613215785838E-3</v>
      </c>
      <c r="L1144" s="1257">
        <v>1.5729210436776599E-3</v>
      </c>
      <c r="M1144" s="1280">
        <v>4.0883732715566899E-4</v>
      </c>
      <c r="N1144" s="1271">
        <v>5.3669390788822196E-3</v>
      </c>
      <c r="O1144" s="1257">
        <v>3.0000008598028201E-3</v>
      </c>
      <c r="P1144" s="1257">
        <v>8.2540078214305996E-3</v>
      </c>
      <c r="Q1144" s="1280">
        <v>5.3669390788822196E-3</v>
      </c>
      <c r="R1144" s="1271">
        <v>3.8500011034136201E-2</v>
      </c>
      <c r="S1144" s="1257">
        <v>3.8500011034136201E-2</v>
      </c>
      <c r="T1144" s="1257">
        <v>3.8500011034136201E-2</v>
      </c>
      <c r="U1144" s="1280">
        <v>1.9250005517068101E-2</v>
      </c>
      <c r="V1144" s="1293">
        <v>4.3858626339760599E-3</v>
      </c>
    </row>
    <row r="1145" spans="1:22" s="212" customFormat="1" ht="15.5" x14ac:dyDescent="0.35">
      <c r="A1145" s="198">
        <v>2035</v>
      </c>
      <c r="B1145" s="197" t="s">
        <v>5833</v>
      </c>
      <c r="C1145" s="197">
        <v>1976</v>
      </c>
      <c r="D1145" s="225" t="str">
        <f t="shared" si="5"/>
        <v>2035_1976</v>
      </c>
      <c r="E1145" s="1226">
        <v>4.7748150784136502E-2</v>
      </c>
      <c r="F1145" s="1257">
        <v>1.6240761786201902E-2</v>
      </c>
      <c r="G1145" s="1280">
        <v>6.31753685262786E-2</v>
      </c>
      <c r="H1145" s="1271">
        <v>0.23220197079204899</v>
      </c>
      <c r="I1145" s="1257">
        <v>0.44750210291486497</v>
      </c>
      <c r="J1145" s="1280">
        <v>0.111466145267579</v>
      </c>
      <c r="K1145" s="1271">
        <v>4.19613215785838E-3</v>
      </c>
      <c r="L1145" s="1257">
        <v>1.5729210436776599E-3</v>
      </c>
      <c r="M1145" s="1280">
        <v>4.0883732715566899E-4</v>
      </c>
      <c r="N1145" s="1271">
        <v>5.3669390788822196E-3</v>
      </c>
      <c r="O1145" s="1257">
        <v>3.0000008598028201E-3</v>
      </c>
      <c r="P1145" s="1257">
        <v>8.2540078214305996E-3</v>
      </c>
      <c r="Q1145" s="1280">
        <v>5.3669390788822196E-3</v>
      </c>
      <c r="R1145" s="1271">
        <v>3.8500011034136201E-2</v>
      </c>
      <c r="S1145" s="1257">
        <v>3.8500011034136201E-2</v>
      </c>
      <c r="T1145" s="1257">
        <v>3.8500011034136201E-2</v>
      </c>
      <c r="U1145" s="1280">
        <v>1.9250005517068101E-2</v>
      </c>
      <c r="V1145" s="1293">
        <v>4.3858626339760599E-3</v>
      </c>
    </row>
    <row r="1146" spans="1:22" s="212" customFormat="1" ht="15.5" x14ac:dyDescent="0.35">
      <c r="A1146" s="198">
        <v>2035</v>
      </c>
      <c r="B1146" s="197" t="s">
        <v>5833</v>
      </c>
      <c r="C1146" s="197">
        <v>1977</v>
      </c>
      <c r="D1146" s="225" t="str">
        <f t="shared" si="5"/>
        <v>2035_1977</v>
      </c>
      <c r="E1146" s="1226">
        <v>4.7748150784136502E-2</v>
      </c>
      <c r="F1146" s="1257">
        <v>1.6240761786201902E-2</v>
      </c>
      <c r="G1146" s="1280">
        <v>6.31753685262786E-2</v>
      </c>
      <c r="H1146" s="1271">
        <v>0.23220197079204899</v>
      </c>
      <c r="I1146" s="1257">
        <v>0.44750210291486497</v>
      </c>
      <c r="J1146" s="1280">
        <v>0.111466145267579</v>
      </c>
      <c r="K1146" s="1271">
        <v>4.19613215785838E-3</v>
      </c>
      <c r="L1146" s="1257">
        <v>1.5729210436776599E-3</v>
      </c>
      <c r="M1146" s="1280">
        <v>4.0883732715566899E-4</v>
      </c>
      <c r="N1146" s="1271">
        <v>5.3669390788822196E-3</v>
      </c>
      <c r="O1146" s="1257">
        <v>3.0000008598028201E-3</v>
      </c>
      <c r="P1146" s="1257">
        <v>8.2540078214305996E-3</v>
      </c>
      <c r="Q1146" s="1280">
        <v>5.3669390788822196E-3</v>
      </c>
      <c r="R1146" s="1271">
        <v>3.8500011034136201E-2</v>
      </c>
      <c r="S1146" s="1257">
        <v>3.8500011034136201E-2</v>
      </c>
      <c r="T1146" s="1257">
        <v>3.8500011034136201E-2</v>
      </c>
      <c r="U1146" s="1280">
        <v>1.9250005517068101E-2</v>
      </c>
      <c r="V1146" s="1293">
        <v>4.3858626339760599E-3</v>
      </c>
    </row>
    <row r="1147" spans="1:22" s="212" customFormat="1" ht="15.5" x14ac:dyDescent="0.35">
      <c r="A1147" s="240">
        <v>2035</v>
      </c>
      <c r="B1147" s="241" t="s">
        <v>5833</v>
      </c>
      <c r="C1147" s="241">
        <v>1978</v>
      </c>
      <c r="D1147" s="229" t="str">
        <f t="shared" si="5"/>
        <v>2035_1978</v>
      </c>
      <c r="E1147" s="1226">
        <v>4.7748150784136502E-2</v>
      </c>
      <c r="F1147" s="1257">
        <v>1.6240761786201902E-2</v>
      </c>
      <c r="G1147" s="1280">
        <v>6.31753685262786E-2</v>
      </c>
      <c r="H1147" s="1271">
        <v>0.23220197079204899</v>
      </c>
      <c r="I1147" s="1257">
        <v>0.44750210291486497</v>
      </c>
      <c r="J1147" s="1280">
        <v>0.111466145267579</v>
      </c>
      <c r="K1147" s="1271">
        <v>4.19613215785838E-3</v>
      </c>
      <c r="L1147" s="1257">
        <v>1.5729210436776599E-3</v>
      </c>
      <c r="M1147" s="1280">
        <v>4.0883732715566899E-4</v>
      </c>
      <c r="N1147" s="1271">
        <v>5.3669390788822196E-3</v>
      </c>
      <c r="O1147" s="1257">
        <v>3.0000008598028201E-3</v>
      </c>
      <c r="P1147" s="1257">
        <v>8.2540078214305996E-3</v>
      </c>
      <c r="Q1147" s="1280">
        <v>5.3669390788822196E-3</v>
      </c>
      <c r="R1147" s="1271">
        <v>3.8500011034136201E-2</v>
      </c>
      <c r="S1147" s="1257">
        <v>3.8500011034136201E-2</v>
      </c>
      <c r="T1147" s="1257">
        <v>3.8500011034136201E-2</v>
      </c>
      <c r="U1147" s="1280">
        <v>1.9250005517068101E-2</v>
      </c>
      <c r="V1147" s="1293">
        <v>4.3858626339760599E-3</v>
      </c>
    </row>
    <row r="1148" spans="1:22" s="212" customFormat="1" ht="15.5" x14ac:dyDescent="0.35">
      <c r="A1148" s="240">
        <v>2035</v>
      </c>
      <c r="B1148" s="241" t="s">
        <v>5833</v>
      </c>
      <c r="C1148" s="241">
        <v>1979</v>
      </c>
      <c r="D1148" s="229" t="str">
        <f t="shared" si="5"/>
        <v>2035_1979</v>
      </c>
      <c r="E1148" s="1226">
        <v>4.7748150784136502E-2</v>
      </c>
      <c r="F1148" s="1257">
        <v>1.6240761786201902E-2</v>
      </c>
      <c r="G1148" s="1280">
        <v>6.31753685262786E-2</v>
      </c>
      <c r="H1148" s="1271">
        <v>0.23220197079204899</v>
      </c>
      <c r="I1148" s="1257">
        <v>0.44750210291486497</v>
      </c>
      <c r="J1148" s="1280">
        <v>0.111466145267579</v>
      </c>
      <c r="K1148" s="1271">
        <v>4.19613215785838E-3</v>
      </c>
      <c r="L1148" s="1257">
        <v>1.5729210436776599E-3</v>
      </c>
      <c r="M1148" s="1280">
        <v>4.0883732715566899E-4</v>
      </c>
      <c r="N1148" s="1271">
        <v>5.3669390788822196E-3</v>
      </c>
      <c r="O1148" s="1257">
        <v>3.0000008598028201E-3</v>
      </c>
      <c r="P1148" s="1257">
        <v>8.2540078214305996E-3</v>
      </c>
      <c r="Q1148" s="1280">
        <v>5.3669390788822196E-3</v>
      </c>
      <c r="R1148" s="1271">
        <v>3.8500011034136201E-2</v>
      </c>
      <c r="S1148" s="1257">
        <v>3.8500011034136201E-2</v>
      </c>
      <c r="T1148" s="1257">
        <v>3.8500011034136201E-2</v>
      </c>
      <c r="U1148" s="1280">
        <v>1.9250005517068101E-2</v>
      </c>
      <c r="V1148" s="1293">
        <v>4.3858626339760599E-3</v>
      </c>
    </row>
    <row r="1149" spans="1:22" s="212" customFormat="1" ht="15.5" x14ac:dyDescent="0.35">
      <c r="A1149" s="240">
        <v>2035</v>
      </c>
      <c r="B1149" s="241" t="s">
        <v>5833</v>
      </c>
      <c r="C1149" s="241">
        <v>1980</v>
      </c>
      <c r="D1149" s="229" t="str">
        <f t="shared" si="5"/>
        <v>2035_1980</v>
      </c>
      <c r="E1149" s="1226">
        <v>4.7748150784136502E-2</v>
      </c>
      <c r="F1149" s="1257">
        <v>1.6240761786201902E-2</v>
      </c>
      <c r="G1149" s="1280">
        <v>6.31753685262786E-2</v>
      </c>
      <c r="H1149" s="1271">
        <v>0.23220197079204899</v>
      </c>
      <c r="I1149" s="1257">
        <v>0.44750210291486497</v>
      </c>
      <c r="J1149" s="1280">
        <v>0.111466145267579</v>
      </c>
      <c r="K1149" s="1271">
        <v>4.19613215785838E-3</v>
      </c>
      <c r="L1149" s="1257">
        <v>1.5729210436776599E-3</v>
      </c>
      <c r="M1149" s="1280">
        <v>4.0883732715566899E-4</v>
      </c>
      <c r="N1149" s="1271">
        <v>5.3669390788822196E-3</v>
      </c>
      <c r="O1149" s="1257">
        <v>3.0000008598028201E-3</v>
      </c>
      <c r="P1149" s="1257">
        <v>8.2540078214305996E-3</v>
      </c>
      <c r="Q1149" s="1280">
        <v>5.3669390788822196E-3</v>
      </c>
      <c r="R1149" s="1271">
        <v>3.8500011034136201E-2</v>
      </c>
      <c r="S1149" s="1257">
        <v>3.8500011034136201E-2</v>
      </c>
      <c r="T1149" s="1257">
        <v>3.8500011034136201E-2</v>
      </c>
      <c r="U1149" s="1280">
        <v>1.9250005517068101E-2</v>
      </c>
      <c r="V1149" s="1293">
        <v>4.3858626339760599E-3</v>
      </c>
    </row>
    <row r="1150" spans="1:22" s="212" customFormat="1" ht="15.5" x14ac:dyDescent="0.35">
      <c r="A1150" s="240">
        <v>2035</v>
      </c>
      <c r="B1150" s="241" t="s">
        <v>5833</v>
      </c>
      <c r="C1150" s="241">
        <v>1981</v>
      </c>
      <c r="D1150" s="229" t="str">
        <f t="shared" si="5"/>
        <v>2035_1981</v>
      </c>
      <c r="E1150" s="1226">
        <v>4.7748150784136502E-2</v>
      </c>
      <c r="F1150" s="1257">
        <v>1.6240761786201902E-2</v>
      </c>
      <c r="G1150" s="1280">
        <v>6.31753685262786E-2</v>
      </c>
      <c r="H1150" s="1271">
        <v>0.23220197079204899</v>
      </c>
      <c r="I1150" s="1257">
        <v>0.44750210291486497</v>
      </c>
      <c r="J1150" s="1280">
        <v>0.111466145267579</v>
      </c>
      <c r="K1150" s="1271">
        <v>4.19613215785838E-3</v>
      </c>
      <c r="L1150" s="1257">
        <v>1.5729210436776599E-3</v>
      </c>
      <c r="M1150" s="1280">
        <v>4.0883732715566899E-4</v>
      </c>
      <c r="N1150" s="1271">
        <v>5.3669390788822196E-3</v>
      </c>
      <c r="O1150" s="1257">
        <v>3.0000008598028201E-3</v>
      </c>
      <c r="P1150" s="1257">
        <v>8.2540078214305996E-3</v>
      </c>
      <c r="Q1150" s="1280">
        <v>5.3669390788822196E-3</v>
      </c>
      <c r="R1150" s="1271">
        <v>3.8500011034136201E-2</v>
      </c>
      <c r="S1150" s="1257">
        <v>3.8500011034136201E-2</v>
      </c>
      <c r="T1150" s="1257">
        <v>3.8500011034136201E-2</v>
      </c>
      <c r="U1150" s="1280">
        <v>1.9250005517068101E-2</v>
      </c>
      <c r="V1150" s="1293">
        <v>4.3858626339760599E-3</v>
      </c>
    </row>
    <row r="1151" spans="1:22" s="212" customFormat="1" ht="15.5" x14ac:dyDescent="0.35">
      <c r="A1151" s="240">
        <v>2035</v>
      </c>
      <c r="B1151" s="241" t="s">
        <v>5833</v>
      </c>
      <c r="C1151" s="241">
        <v>1982</v>
      </c>
      <c r="D1151" s="229" t="str">
        <f t="shared" si="5"/>
        <v>2035_1982</v>
      </c>
      <c r="E1151" s="1226">
        <v>4.7748150784136502E-2</v>
      </c>
      <c r="F1151" s="1257">
        <v>1.6240761786201902E-2</v>
      </c>
      <c r="G1151" s="1280">
        <v>6.31753685262786E-2</v>
      </c>
      <c r="H1151" s="1271">
        <v>0.23220197079204899</v>
      </c>
      <c r="I1151" s="1257">
        <v>0.44750210291486497</v>
      </c>
      <c r="J1151" s="1280">
        <v>0.111466145267579</v>
      </c>
      <c r="K1151" s="1271">
        <v>4.19613215785838E-3</v>
      </c>
      <c r="L1151" s="1257">
        <v>1.5729210436776599E-3</v>
      </c>
      <c r="M1151" s="1280">
        <v>4.0883732715566899E-4</v>
      </c>
      <c r="N1151" s="1271">
        <v>5.3669390788822196E-3</v>
      </c>
      <c r="O1151" s="1257">
        <v>3.0000008598028201E-3</v>
      </c>
      <c r="P1151" s="1257">
        <v>8.2540078214305996E-3</v>
      </c>
      <c r="Q1151" s="1280">
        <v>5.3669390788822196E-3</v>
      </c>
      <c r="R1151" s="1271">
        <v>3.8500011034136201E-2</v>
      </c>
      <c r="S1151" s="1257">
        <v>3.8500011034136201E-2</v>
      </c>
      <c r="T1151" s="1257">
        <v>3.8500011034136201E-2</v>
      </c>
      <c r="U1151" s="1280">
        <v>1.9250005517068101E-2</v>
      </c>
      <c r="V1151" s="1293">
        <v>4.3858626339760599E-3</v>
      </c>
    </row>
    <row r="1152" spans="1:22" s="212" customFormat="1" ht="15.5" x14ac:dyDescent="0.35">
      <c r="A1152" s="240">
        <v>2035</v>
      </c>
      <c r="B1152" s="241" t="s">
        <v>5833</v>
      </c>
      <c r="C1152" s="241">
        <v>1983</v>
      </c>
      <c r="D1152" s="229" t="str">
        <f t="shared" si="5"/>
        <v>2035_1983</v>
      </c>
      <c r="E1152" s="1226">
        <v>4.7748150784136502E-2</v>
      </c>
      <c r="F1152" s="1257">
        <v>1.6240761786201902E-2</v>
      </c>
      <c r="G1152" s="1280">
        <v>6.31753685262786E-2</v>
      </c>
      <c r="H1152" s="1271">
        <v>0.23220197079204899</v>
      </c>
      <c r="I1152" s="1257">
        <v>0.44750210291486497</v>
      </c>
      <c r="J1152" s="1280">
        <v>0.111466145267579</v>
      </c>
      <c r="K1152" s="1271">
        <v>4.19613215785838E-3</v>
      </c>
      <c r="L1152" s="1257">
        <v>1.5729210436776599E-3</v>
      </c>
      <c r="M1152" s="1280">
        <v>4.0883732715566899E-4</v>
      </c>
      <c r="N1152" s="1271">
        <v>5.3669390788822196E-3</v>
      </c>
      <c r="O1152" s="1257">
        <v>3.0000008598028201E-3</v>
      </c>
      <c r="P1152" s="1257">
        <v>8.2540078214305996E-3</v>
      </c>
      <c r="Q1152" s="1280">
        <v>5.3669390788822196E-3</v>
      </c>
      <c r="R1152" s="1271">
        <v>3.8500011034136201E-2</v>
      </c>
      <c r="S1152" s="1257">
        <v>3.8500011034136201E-2</v>
      </c>
      <c r="T1152" s="1257">
        <v>3.8500011034136201E-2</v>
      </c>
      <c r="U1152" s="1280">
        <v>1.9250005517068101E-2</v>
      </c>
      <c r="V1152" s="1293">
        <v>4.3858626339760599E-3</v>
      </c>
    </row>
    <row r="1153" spans="1:22" s="212" customFormat="1" ht="15.5" x14ac:dyDescent="0.35">
      <c r="A1153" s="240">
        <v>2035</v>
      </c>
      <c r="B1153" s="241" t="s">
        <v>5833</v>
      </c>
      <c r="C1153" s="241">
        <v>1984</v>
      </c>
      <c r="D1153" s="229" t="str">
        <f t="shared" si="5"/>
        <v>2035_1984</v>
      </c>
      <c r="E1153" s="1226">
        <v>4.7748150784136502E-2</v>
      </c>
      <c r="F1153" s="1257">
        <v>1.6240761786201902E-2</v>
      </c>
      <c r="G1153" s="1280">
        <v>6.31753685262786E-2</v>
      </c>
      <c r="H1153" s="1271">
        <v>0.23220197079204899</v>
      </c>
      <c r="I1153" s="1257">
        <v>0.44750210291486497</v>
      </c>
      <c r="J1153" s="1280">
        <v>0.111466145267579</v>
      </c>
      <c r="K1153" s="1271">
        <v>4.19613215785838E-3</v>
      </c>
      <c r="L1153" s="1257">
        <v>1.5729210436776599E-3</v>
      </c>
      <c r="M1153" s="1280">
        <v>4.0883732715566899E-4</v>
      </c>
      <c r="N1153" s="1271">
        <v>5.3669390788822196E-3</v>
      </c>
      <c r="O1153" s="1257">
        <v>3.0000008598028201E-3</v>
      </c>
      <c r="P1153" s="1257">
        <v>8.2540078214305996E-3</v>
      </c>
      <c r="Q1153" s="1280">
        <v>5.3669390788822196E-3</v>
      </c>
      <c r="R1153" s="1271">
        <v>3.8500011034136201E-2</v>
      </c>
      <c r="S1153" s="1257">
        <v>3.8500011034136201E-2</v>
      </c>
      <c r="T1153" s="1257">
        <v>3.8500011034136201E-2</v>
      </c>
      <c r="U1153" s="1280">
        <v>1.9250005517068101E-2</v>
      </c>
      <c r="V1153" s="1293">
        <v>4.3858626339760599E-3</v>
      </c>
    </row>
    <row r="1154" spans="1:22" s="212" customFormat="1" ht="15.5" x14ac:dyDescent="0.35">
      <c r="A1154" s="240">
        <v>2035</v>
      </c>
      <c r="B1154" s="241" t="s">
        <v>5833</v>
      </c>
      <c r="C1154" s="241">
        <v>1985</v>
      </c>
      <c r="D1154" s="229" t="str">
        <f t="shared" si="5"/>
        <v>2035_1985</v>
      </c>
      <c r="E1154" s="1226">
        <v>4.7748150784136502E-2</v>
      </c>
      <c r="F1154" s="1257">
        <v>1.6240761786201902E-2</v>
      </c>
      <c r="G1154" s="1280">
        <v>6.31753685262786E-2</v>
      </c>
      <c r="H1154" s="1271">
        <v>0.23220197079204899</v>
      </c>
      <c r="I1154" s="1257">
        <v>0.44750210291486497</v>
      </c>
      <c r="J1154" s="1280">
        <v>0.111466145267579</v>
      </c>
      <c r="K1154" s="1271">
        <v>4.19613215785838E-3</v>
      </c>
      <c r="L1154" s="1257">
        <v>1.5729210436776599E-3</v>
      </c>
      <c r="M1154" s="1280">
        <v>4.0883732715566899E-4</v>
      </c>
      <c r="N1154" s="1271">
        <v>5.3669390788822196E-3</v>
      </c>
      <c r="O1154" s="1257">
        <v>3.0000008598028201E-3</v>
      </c>
      <c r="P1154" s="1257">
        <v>8.2540078214305996E-3</v>
      </c>
      <c r="Q1154" s="1280">
        <v>5.3669390788822196E-3</v>
      </c>
      <c r="R1154" s="1271">
        <v>3.8500011034136201E-2</v>
      </c>
      <c r="S1154" s="1257">
        <v>3.8500011034136201E-2</v>
      </c>
      <c r="T1154" s="1257">
        <v>3.8500011034136201E-2</v>
      </c>
      <c r="U1154" s="1280">
        <v>1.9250005517068101E-2</v>
      </c>
      <c r="V1154" s="1293">
        <v>4.3858626339760599E-3</v>
      </c>
    </row>
    <row r="1155" spans="1:22" s="212" customFormat="1" ht="15.5" x14ac:dyDescent="0.35">
      <c r="A1155" s="240">
        <v>2035</v>
      </c>
      <c r="B1155" s="241" t="s">
        <v>5833</v>
      </c>
      <c r="C1155" s="241">
        <v>1986</v>
      </c>
      <c r="D1155" s="229" t="str">
        <f t="shared" si="5"/>
        <v>2035_1986</v>
      </c>
      <c r="E1155" s="1226">
        <v>4.7748150784136502E-2</v>
      </c>
      <c r="F1155" s="1257">
        <v>1.6240761786201902E-2</v>
      </c>
      <c r="G1155" s="1280">
        <v>6.31753685262786E-2</v>
      </c>
      <c r="H1155" s="1271">
        <v>0.23220197079204899</v>
      </c>
      <c r="I1155" s="1257">
        <v>0.44750210291486497</v>
      </c>
      <c r="J1155" s="1280">
        <v>0.111466145267579</v>
      </c>
      <c r="K1155" s="1271">
        <v>4.19613215785838E-3</v>
      </c>
      <c r="L1155" s="1257">
        <v>1.5729210436776599E-3</v>
      </c>
      <c r="M1155" s="1280">
        <v>4.0883732715566899E-4</v>
      </c>
      <c r="N1155" s="1271">
        <v>5.3669390788822196E-3</v>
      </c>
      <c r="O1155" s="1257">
        <v>3.0000008598028201E-3</v>
      </c>
      <c r="P1155" s="1257">
        <v>8.2540078214305996E-3</v>
      </c>
      <c r="Q1155" s="1280">
        <v>5.3669390788822196E-3</v>
      </c>
      <c r="R1155" s="1271">
        <v>3.8500011034136201E-2</v>
      </c>
      <c r="S1155" s="1257">
        <v>3.8500011034136201E-2</v>
      </c>
      <c r="T1155" s="1257">
        <v>3.8500011034136201E-2</v>
      </c>
      <c r="U1155" s="1280">
        <v>1.9250005517068101E-2</v>
      </c>
      <c r="V1155" s="1293">
        <v>4.3858626339760599E-3</v>
      </c>
    </row>
    <row r="1156" spans="1:22" s="212" customFormat="1" ht="15.5" x14ac:dyDescent="0.35">
      <c r="A1156" s="240">
        <v>2035</v>
      </c>
      <c r="B1156" s="241" t="s">
        <v>5833</v>
      </c>
      <c r="C1156" s="241">
        <v>1987</v>
      </c>
      <c r="D1156" s="229" t="str">
        <f t="shared" si="5"/>
        <v>2035_1987</v>
      </c>
      <c r="E1156" s="1226">
        <v>4.7748150784136502E-2</v>
      </c>
      <c r="F1156" s="1257">
        <v>1.6240761786201902E-2</v>
      </c>
      <c r="G1156" s="1280">
        <v>6.31753685262786E-2</v>
      </c>
      <c r="H1156" s="1271">
        <v>0.23220197079204899</v>
      </c>
      <c r="I1156" s="1257">
        <v>0.44750210291486497</v>
      </c>
      <c r="J1156" s="1280">
        <v>0.111466145267579</v>
      </c>
      <c r="K1156" s="1271">
        <v>4.19613215785838E-3</v>
      </c>
      <c r="L1156" s="1257">
        <v>1.5729210436776599E-3</v>
      </c>
      <c r="M1156" s="1280">
        <v>4.0883732715566899E-4</v>
      </c>
      <c r="N1156" s="1271">
        <v>5.3669390788822196E-3</v>
      </c>
      <c r="O1156" s="1257">
        <v>3.0000008598028201E-3</v>
      </c>
      <c r="P1156" s="1257">
        <v>8.2540078214305996E-3</v>
      </c>
      <c r="Q1156" s="1280">
        <v>5.3669390788822196E-3</v>
      </c>
      <c r="R1156" s="1271">
        <v>3.8500011034136201E-2</v>
      </c>
      <c r="S1156" s="1257">
        <v>3.8500011034136201E-2</v>
      </c>
      <c r="T1156" s="1257">
        <v>3.8500011034136201E-2</v>
      </c>
      <c r="U1156" s="1280">
        <v>1.9250005517068101E-2</v>
      </c>
      <c r="V1156" s="1293">
        <v>4.3858626339760599E-3</v>
      </c>
    </row>
    <row r="1157" spans="1:22" s="212" customFormat="1" ht="15.5" x14ac:dyDescent="0.35">
      <c r="A1157" s="240">
        <v>2035</v>
      </c>
      <c r="B1157" s="241" t="s">
        <v>5833</v>
      </c>
      <c r="C1157" s="241">
        <v>1988</v>
      </c>
      <c r="D1157" s="229" t="str">
        <f t="shared" si="5"/>
        <v>2035_1988</v>
      </c>
      <c r="E1157" s="1226">
        <v>4.7748150784136502E-2</v>
      </c>
      <c r="F1157" s="1257">
        <v>1.6240761786201902E-2</v>
      </c>
      <c r="G1157" s="1280">
        <v>6.31753685262786E-2</v>
      </c>
      <c r="H1157" s="1271">
        <v>0.23220197079204899</v>
      </c>
      <c r="I1157" s="1257">
        <v>0.44750210291486497</v>
      </c>
      <c r="J1157" s="1280">
        <v>0.111466145267579</v>
      </c>
      <c r="K1157" s="1271">
        <v>4.19613215785838E-3</v>
      </c>
      <c r="L1157" s="1257">
        <v>1.5729210436776599E-3</v>
      </c>
      <c r="M1157" s="1280">
        <v>4.0883732715566899E-4</v>
      </c>
      <c r="N1157" s="1271">
        <v>5.3669390788822196E-3</v>
      </c>
      <c r="O1157" s="1257">
        <v>3.0000008598028201E-3</v>
      </c>
      <c r="P1157" s="1257">
        <v>8.2540078214305996E-3</v>
      </c>
      <c r="Q1157" s="1280">
        <v>5.3669390788822196E-3</v>
      </c>
      <c r="R1157" s="1271">
        <v>3.8500011034136201E-2</v>
      </c>
      <c r="S1157" s="1257">
        <v>3.8500011034136201E-2</v>
      </c>
      <c r="T1157" s="1257">
        <v>3.8500011034136201E-2</v>
      </c>
      <c r="U1157" s="1280">
        <v>1.9250005517068101E-2</v>
      </c>
      <c r="V1157" s="1293">
        <v>4.3858626339760599E-3</v>
      </c>
    </row>
    <row r="1158" spans="1:22" s="212" customFormat="1" ht="15.5" x14ac:dyDescent="0.35">
      <c r="A1158" s="240">
        <v>2035</v>
      </c>
      <c r="B1158" s="241" t="s">
        <v>5833</v>
      </c>
      <c r="C1158" s="241">
        <v>1989</v>
      </c>
      <c r="D1158" s="229" t="str">
        <f t="shared" si="5"/>
        <v>2035_1989</v>
      </c>
      <c r="E1158" s="1226">
        <v>4.7748150784136502E-2</v>
      </c>
      <c r="F1158" s="1257">
        <v>1.6240761786201902E-2</v>
      </c>
      <c r="G1158" s="1280">
        <v>6.31753685262786E-2</v>
      </c>
      <c r="H1158" s="1271">
        <v>0.23220197079204899</v>
      </c>
      <c r="I1158" s="1257">
        <v>0.44750210291486497</v>
      </c>
      <c r="J1158" s="1280">
        <v>0.111466145267579</v>
      </c>
      <c r="K1158" s="1271">
        <v>4.19613215785838E-3</v>
      </c>
      <c r="L1158" s="1257">
        <v>1.5729210436776599E-3</v>
      </c>
      <c r="M1158" s="1280">
        <v>4.0883732715566899E-4</v>
      </c>
      <c r="N1158" s="1271">
        <v>5.3669390788822196E-3</v>
      </c>
      <c r="O1158" s="1257">
        <v>3.0000008598028201E-3</v>
      </c>
      <c r="P1158" s="1257">
        <v>8.2540078214305996E-3</v>
      </c>
      <c r="Q1158" s="1280">
        <v>5.3669390788822196E-3</v>
      </c>
      <c r="R1158" s="1271">
        <v>3.8500011034136201E-2</v>
      </c>
      <c r="S1158" s="1257">
        <v>3.8500011034136201E-2</v>
      </c>
      <c r="T1158" s="1257">
        <v>3.8500011034136201E-2</v>
      </c>
      <c r="U1158" s="1280">
        <v>1.9250005517068101E-2</v>
      </c>
      <c r="V1158" s="1293">
        <v>4.3858626339760599E-3</v>
      </c>
    </row>
    <row r="1159" spans="1:22" s="212" customFormat="1" ht="15.5" x14ac:dyDescent="0.35">
      <c r="A1159" s="240">
        <v>2035</v>
      </c>
      <c r="B1159" s="241" t="s">
        <v>5833</v>
      </c>
      <c r="C1159" s="241">
        <v>1990</v>
      </c>
      <c r="D1159" s="229" t="str">
        <f t="shared" si="5"/>
        <v>2035_1990</v>
      </c>
      <c r="E1159" s="1226">
        <v>4.7748150784136502E-2</v>
      </c>
      <c r="F1159" s="1257">
        <v>1.6240761786201902E-2</v>
      </c>
      <c r="G1159" s="1280">
        <v>6.31753685262786E-2</v>
      </c>
      <c r="H1159" s="1271">
        <v>0.23220197079204899</v>
      </c>
      <c r="I1159" s="1257">
        <v>0.44750210291486497</v>
      </c>
      <c r="J1159" s="1280">
        <v>0.111466145267579</v>
      </c>
      <c r="K1159" s="1271">
        <v>4.19613215785838E-3</v>
      </c>
      <c r="L1159" s="1257">
        <v>1.5729210436776599E-3</v>
      </c>
      <c r="M1159" s="1280">
        <v>4.0883732715566899E-4</v>
      </c>
      <c r="N1159" s="1271">
        <v>5.3669390788822196E-3</v>
      </c>
      <c r="O1159" s="1257">
        <v>3.0000008598028201E-3</v>
      </c>
      <c r="P1159" s="1257">
        <v>8.2540078214305996E-3</v>
      </c>
      <c r="Q1159" s="1280">
        <v>5.3669390788822196E-3</v>
      </c>
      <c r="R1159" s="1271">
        <v>3.8500011034136201E-2</v>
      </c>
      <c r="S1159" s="1257">
        <v>3.8500011034136201E-2</v>
      </c>
      <c r="T1159" s="1257">
        <v>3.8500011034136201E-2</v>
      </c>
      <c r="U1159" s="1280">
        <v>1.9250005517068101E-2</v>
      </c>
      <c r="V1159" s="1293">
        <v>4.3858626339760599E-3</v>
      </c>
    </row>
    <row r="1160" spans="1:22" s="212" customFormat="1" ht="15.5" x14ac:dyDescent="0.35">
      <c r="A1160" s="240">
        <v>2035</v>
      </c>
      <c r="B1160" s="241" t="s">
        <v>5833</v>
      </c>
      <c r="C1160" s="241">
        <v>1991</v>
      </c>
      <c r="D1160" s="229" t="str">
        <f t="shared" si="5"/>
        <v>2035_1991</v>
      </c>
      <c r="E1160" s="1226">
        <v>4.7748150784136502E-2</v>
      </c>
      <c r="F1160" s="1257">
        <v>1.6240761786201902E-2</v>
      </c>
      <c r="G1160" s="1280">
        <v>6.31753685262786E-2</v>
      </c>
      <c r="H1160" s="1271">
        <v>0.23220197079204899</v>
      </c>
      <c r="I1160" s="1257">
        <v>0.44750210291486497</v>
      </c>
      <c r="J1160" s="1280">
        <v>0.111466145267579</v>
      </c>
      <c r="K1160" s="1271">
        <v>4.19613215785838E-3</v>
      </c>
      <c r="L1160" s="1257">
        <v>1.5729210436776599E-3</v>
      </c>
      <c r="M1160" s="1280">
        <v>4.0883732715566899E-4</v>
      </c>
      <c r="N1160" s="1271">
        <v>5.3669390788822196E-3</v>
      </c>
      <c r="O1160" s="1257">
        <v>3.0000008598028201E-3</v>
      </c>
      <c r="P1160" s="1257">
        <v>8.2540078214305996E-3</v>
      </c>
      <c r="Q1160" s="1280">
        <v>5.3669390788822196E-3</v>
      </c>
      <c r="R1160" s="1271">
        <v>3.8500011034136201E-2</v>
      </c>
      <c r="S1160" s="1257">
        <v>3.8500011034136201E-2</v>
      </c>
      <c r="T1160" s="1257">
        <v>3.8500011034136201E-2</v>
      </c>
      <c r="U1160" s="1280">
        <v>1.9250005517068101E-2</v>
      </c>
      <c r="V1160" s="1293">
        <v>4.3858626339760599E-3</v>
      </c>
    </row>
    <row r="1161" spans="1:22" s="212" customFormat="1" ht="15.5" x14ac:dyDescent="0.35">
      <c r="A1161" s="240">
        <v>2035</v>
      </c>
      <c r="B1161" s="241" t="s">
        <v>5833</v>
      </c>
      <c r="C1161" s="241">
        <v>1992</v>
      </c>
      <c r="D1161" s="229" t="str">
        <f t="shared" si="5"/>
        <v>2035_1992</v>
      </c>
      <c r="E1161" s="1226">
        <v>4.7748150784136502E-2</v>
      </c>
      <c r="F1161" s="1257">
        <v>1.6240761786201902E-2</v>
      </c>
      <c r="G1161" s="1280">
        <v>6.31753685262786E-2</v>
      </c>
      <c r="H1161" s="1271">
        <v>0.23220197079204899</v>
      </c>
      <c r="I1161" s="1257">
        <v>0.44750210291486497</v>
      </c>
      <c r="J1161" s="1280">
        <v>0.111466145267579</v>
      </c>
      <c r="K1161" s="1271">
        <v>4.19613215785838E-3</v>
      </c>
      <c r="L1161" s="1257">
        <v>1.5729210436776599E-3</v>
      </c>
      <c r="M1161" s="1280">
        <v>4.0883732715566899E-4</v>
      </c>
      <c r="N1161" s="1271">
        <v>5.3669390788822196E-3</v>
      </c>
      <c r="O1161" s="1257">
        <v>3.0000008598028201E-3</v>
      </c>
      <c r="P1161" s="1257">
        <v>8.2540078214305996E-3</v>
      </c>
      <c r="Q1161" s="1280">
        <v>5.3669390788822196E-3</v>
      </c>
      <c r="R1161" s="1271">
        <v>3.8500011034136201E-2</v>
      </c>
      <c r="S1161" s="1257">
        <v>3.8500011034136201E-2</v>
      </c>
      <c r="T1161" s="1257">
        <v>3.8500011034136201E-2</v>
      </c>
      <c r="U1161" s="1280">
        <v>1.9250005517068101E-2</v>
      </c>
      <c r="V1161" s="1293">
        <v>4.3858626339760599E-3</v>
      </c>
    </row>
    <row r="1162" spans="1:22" s="212" customFormat="1" ht="15.5" x14ac:dyDescent="0.35">
      <c r="A1162" s="240">
        <v>2035</v>
      </c>
      <c r="B1162" s="241" t="s">
        <v>5833</v>
      </c>
      <c r="C1162" s="241">
        <v>1993</v>
      </c>
      <c r="D1162" s="229" t="str">
        <f t="shared" si="5"/>
        <v>2035_1993</v>
      </c>
      <c r="E1162" s="1226">
        <v>4.7748150784136502E-2</v>
      </c>
      <c r="F1162" s="1257">
        <v>1.6240761786201902E-2</v>
      </c>
      <c r="G1162" s="1280">
        <v>6.31753685262786E-2</v>
      </c>
      <c r="H1162" s="1271">
        <v>0.23220197079204899</v>
      </c>
      <c r="I1162" s="1257">
        <v>0.44750210291486497</v>
      </c>
      <c r="J1162" s="1280">
        <v>0.111466145267579</v>
      </c>
      <c r="K1162" s="1271">
        <v>4.19613215785838E-3</v>
      </c>
      <c r="L1162" s="1257">
        <v>1.5729210436776599E-3</v>
      </c>
      <c r="M1162" s="1280">
        <v>4.0883732715566899E-4</v>
      </c>
      <c r="N1162" s="1271">
        <v>5.3669390788822196E-3</v>
      </c>
      <c r="O1162" s="1257">
        <v>3.0000008598028201E-3</v>
      </c>
      <c r="P1162" s="1257">
        <v>8.2540078214305996E-3</v>
      </c>
      <c r="Q1162" s="1280">
        <v>5.3669390788822196E-3</v>
      </c>
      <c r="R1162" s="1271">
        <v>3.8500011034136201E-2</v>
      </c>
      <c r="S1162" s="1257">
        <v>3.8500011034136201E-2</v>
      </c>
      <c r="T1162" s="1257">
        <v>3.8500011034136201E-2</v>
      </c>
      <c r="U1162" s="1280">
        <v>1.9250005517068101E-2</v>
      </c>
      <c r="V1162" s="1293">
        <v>4.3858626339760599E-3</v>
      </c>
    </row>
    <row r="1163" spans="1:22" s="212" customFormat="1" ht="15.5" x14ac:dyDescent="0.35">
      <c r="A1163" s="240">
        <v>2035</v>
      </c>
      <c r="B1163" s="241" t="s">
        <v>5833</v>
      </c>
      <c r="C1163" s="241">
        <v>1994</v>
      </c>
      <c r="D1163" s="229" t="str">
        <f t="shared" si="5"/>
        <v>2035_1994</v>
      </c>
      <c r="E1163" s="1226">
        <v>4.7748150784136502E-2</v>
      </c>
      <c r="F1163" s="1257">
        <v>1.6240761786201902E-2</v>
      </c>
      <c r="G1163" s="1280">
        <v>6.31753685262786E-2</v>
      </c>
      <c r="H1163" s="1271">
        <v>0.23220197079204899</v>
      </c>
      <c r="I1163" s="1257">
        <v>0.44750210291486497</v>
      </c>
      <c r="J1163" s="1280">
        <v>0.111466145267579</v>
      </c>
      <c r="K1163" s="1271">
        <v>4.19613215785838E-3</v>
      </c>
      <c r="L1163" s="1257">
        <v>1.5729210436776599E-3</v>
      </c>
      <c r="M1163" s="1280">
        <v>4.0883732715566899E-4</v>
      </c>
      <c r="N1163" s="1271">
        <v>5.3669390788822196E-3</v>
      </c>
      <c r="O1163" s="1257">
        <v>3.0000008598028201E-3</v>
      </c>
      <c r="P1163" s="1257">
        <v>8.2540078214305996E-3</v>
      </c>
      <c r="Q1163" s="1280">
        <v>5.3669390788822196E-3</v>
      </c>
      <c r="R1163" s="1271">
        <v>3.8500011034136201E-2</v>
      </c>
      <c r="S1163" s="1257">
        <v>3.8500011034136201E-2</v>
      </c>
      <c r="T1163" s="1257">
        <v>3.8500011034136201E-2</v>
      </c>
      <c r="U1163" s="1280">
        <v>1.9250005517068101E-2</v>
      </c>
      <c r="V1163" s="1293">
        <v>4.3858626339760599E-3</v>
      </c>
    </row>
    <row r="1164" spans="1:22" s="212" customFormat="1" ht="15.5" x14ac:dyDescent="0.35">
      <c r="A1164" s="240">
        <v>2035</v>
      </c>
      <c r="B1164" s="241" t="s">
        <v>5833</v>
      </c>
      <c r="C1164" s="241">
        <v>1995</v>
      </c>
      <c r="D1164" s="229" t="str">
        <f t="shared" si="5"/>
        <v>2035_1995</v>
      </c>
      <c r="E1164" s="1226">
        <v>4.7748150784136502E-2</v>
      </c>
      <c r="F1164" s="1257">
        <v>1.6240761786201902E-2</v>
      </c>
      <c r="G1164" s="1280">
        <v>6.31753685262786E-2</v>
      </c>
      <c r="H1164" s="1271">
        <v>0.23220197079204899</v>
      </c>
      <c r="I1164" s="1257">
        <v>0.44750210291486497</v>
      </c>
      <c r="J1164" s="1280">
        <v>0.111466145267579</v>
      </c>
      <c r="K1164" s="1271">
        <v>4.19613215785838E-3</v>
      </c>
      <c r="L1164" s="1257">
        <v>1.5729210436776599E-3</v>
      </c>
      <c r="M1164" s="1280">
        <v>4.0883732715566899E-4</v>
      </c>
      <c r="N1164" s="1271">
        <v>5.3669390788822196E-3</v>
      </c>
      <c r="O1164" s="1257">
        <v>3.0000008598028201E-3</v>
      </c>
      <c r="P1164" s="1257">
        <v>8.2540078214305996E-3</v>
      </c>
      <c r="Q1164" s="1280">
        <v>5.3669390788822196E-3</v>
      </c>
      <c r="R1164" s="1271">
        <v>3.8500011034136201E-2</v>
      </c>
      <c r="S1164" s="1257">
        <v>3.8500011034136201E-2</v>
      </c>
      <c r="T1164" s="1257">
        <v>3.8500011034136201E-2</v>
      </c>
      <c r="U1164" s="1280">
        <v>1.9250005517068101E-2</v>
      </c>
      <c r="V1164" s="1293">
        <v>4.3858626339760599E-3</v>
      </c>
    </row>
    <row r="1165" spans="1:22" s="212" customFormat="1" ht="15.5" x14ac:dyDescent="0.35">
      <c r="A1165" s="240">
        <v>2035</v>
      </c>
      <c r="B1165" s="241" t="s">
        <v>5833</v>
      </c>
      <c r="C1165" s="241">
        <v>1996</v>
      </c>
      <c r="D1165" s="229" t="str">
        <f t="shared" si="5"/>
        <v>2035_1996</v>
      </c>
      <c r="E1165" s="1226">
        <v>4.7748150784136502E-2</v>
      </c>
      <c r="F1165" s="1257">
        <v>1.6240761786201902E-2</v>
      </c>
      <c r="G1165" s="1280">
        <v>6.31753685262786E-2</v>
      </c>
      <c r="H1165" s="1271">
        <v>0.23220197079204899</v>
      </c>
      <c r="I1165" s="1257">
        <v>0.44750210291486497</v>
      </c>
      <c r="J1165" s="1280">
        <v>0.111466145267579</v>
      </c>
      <c r="K1165" s="1271">
        <v>4.19613215785838E-3</v>
      </c>
      <c r="L1165" s="1257">
        <v>1.5729210436776599E-3</v>
      </c>
      <c r="M1165" s="1280">
        <v>4.0883732715566899E-4</v>
      </c>
      <c r="N1165" s="1271">
        <v>5.3669390788822196E-3</v>
      </c>
      <c r="O1165" s="1257">
        <v>3.0000008598028201E-3</v>
      </c>
      <c r="P1165" s="1257">
        <v>8.2540078214305996E-3</v>
      </c>
      <c r="Q1165" s="1280">
        <v>5.3669390788822196E-3</v>
      </c>
      <c r="R1165" s="1271">
        <v>3.8500011034136201E-2</v>
      </c>
      <c r="S1165" s="1257">
        <v>3.8500011034136201E-2</v>
      </c>
      <c r="T1165" s="1257">
        <v>3.8500011034136201E-2</v>
      </c>
      <c r="U1165" s="1280">
        <v>1.9250005517068101E-2</v>
      </c>
      <c r="V1165" s="1293">
        <v>4.3858626339760599E-3</v>
      </c>
    </row>
    <row r="1166" spans="1:22" s="212" customFormat="1" ht="15.5" x14ac:dyDescent="0.35">
      <c r="A1166" s="240">
        <v>2035</v>
      </c>
      <c r="B1166" s="241" t="s">
        <v>5833</v>
      </c>
      <c r="C1166" s="241">
        <v>1997</v>
      </c>
      <c r="D1166" s="229" t="str">
        <f t="shared" si="5"/>
        <v>2035_1997</v>
      </c>
      <c r="E1166" s="1226">
        <v>4.7748150784136502E-2</v>
      </c>
      <c r="F1166" s="1257">
        <v>1.6240761786201902E-2</v>
      </c>
      <c r="G1166" s="1280">
        <v>6.31753685262786E-2</v>
      </c>
      <c r="H1166" s="1271">
        <v>0.23220197079204899</v>
      </c>
      <c r="I1166" s="1257">
        <v>0.44750210291486497</v>
      </c>
      <c r="J1166" s="1280">
        <v>0.111466145267579</v>
      </c>
      <c r="K1166" s="1271">
        <v>4.19613215785838E-3</v>
      </c>
      <c r="L1166" s="1257">
        <v>1.5729210436776599E-3</v>
      </c>
      <c r="M1166" s="1280">
        <v>4.0883732715566899E-4</v>
      </c>
      <c r="N1166" s="1271">
        <v>5.3669390788822196E-3</v>
      </c>
      <c r="O1166" s="1257">
        <v>3.0000008598028201E-3</v>
      </c>
      <c r="P1166" s="1257">
        <v>8.2540078214305996E-3</v>
      </c>
      <c r="Q1166" s="1280">
        <v>5.3669390788822196E-3</v>
      </c>
      <c r="R1166" s="1271">
        <v>3.8500011034136201E-2</v>
      </c>
      <c r="S1166" s="1257">
        <v>3.8500011034136201E-2</v>
      </c>
      <c r="T1166" s="1257">
        <v>3.8500011034136201E-2</v>
      </c>
      <c r="U1166" s="1280">
        <v>1.9250005517068101E-2</v>
      </c>
      <c r="V1166" s="1293">
        <v>4.3858626339760599E-3</v>
      </c>
    </row>
    <row r="1167" spans="1:22" s="212" customFormat="1" ht="15.5" x14ac:dyDescent="0.35">
      <c r="A1167" s="240">
        <v>2035</v>
      </c>
      <c r="B1167" s="241" t="s">
        <v>5833</v>
      </c>
      <c r="C1167" s="241">
        <v>1998</v>
      </c>
      <c r="D1167" s="229" t="str">
        <f t="shared" si="5"/>
        <v>2035_1998</v>
      </c>
      <c r="E1167" s="1226">
        <v>4.7748150784136502E-2</v>
      </c>
      <c r="F1167" s="1257">
        <v>1.6240761786201902E-2</v>
      </c>
      <c r="G1167" s="1280">
        <v>6.31753685262786E-2</v>
      </c>
      <c r="H1167" s="1271">
        <v>0.23220197079204899</v>
      </c>
      <c r="I1167" s="1257">
        <v>0.44750210291486497</v>
      </c>
      <c r="J1167" s="1280">
        <v>0.111466145267579</v>
      </c>
      <c r="K1167" s="1271">
        <v>4.19613215785838E-3</v>
      </c>
      <c r="L1167" s="1257">
        <v>1.5729210436776599E-3</v>
      </c>
      <c r="M1167" s="1280">
        <v>4.0883732715566899E-4</v>
      </c>
      <c r="N1167" s="1271">
        <v>5.3669390788822196E-3</v>
      </c>
      <c r="O1167" s="1257">
        <v>3.0000008598028201E-3</v>
      </c>
      <c r="P1167" s="1257">
        <v>8.2540078214305996E-3</v>
      </c>
      <c r="Q1167" s="1280">
        <v>5.3669390788822196E-3</v>
      </c>
      <c r="R1167" s="1271">
        <v>3.8500011034136201E-2</v>
      </c>
      <c r="S1167" s="1257">
        <v>3.8500011034136201E-2</v>
      </c>
      <c r="T1167" s="1257">
        <v>3.8500011034136201E-2</v>
      </c>
      <c r="U1167" s="1280">
        <v>1.9250005517068101E-2</v>
      </c>
      <c r="V1167" s="1293">
        <v>4.3858626339760599E-3</v>
      </c>
    </row>
    <row r="1168" spans="1:22" s="212" customFormat="1" ht="15.5" x14ac:dyDescent="0.35">
      <c r="A1168" s="240">
        <v>2035</v>
      </c>
      <c r="B1168" s="241" t="s">
        <v>5833</v>
      </c>
      <c r="C1168" s="241">
        <v>1999</v>
      </c>
      <c r="D1168" s="229" t="str">
        <f t="shared" si="5"/>
        <v>2035_1999</v>
      </c>
      <c r="E1168" s="1226">
        <v>4.7748150784136502E-2</v>
      </c>
      <c r="F1168" s="1257">
        <v>1.6240761786201902E-2</v>
      </c>
      <c r="G1168" s="1280">
        <v>6.31753685262786E-2</v>
      </c>
      <c r="H1168" s="1271">
        <v>0.23220197079204899</v>
      </c>
      <c r="I1168" s="1257">
        <v>0.44750210291486497</v>
      </c>
      <c r="J1168" s="1280">
        <v>0.111466145267579</v>
      </c>
      <c r="K1168" s="1271">
        <v>4.19613215785838E-3</v>
      </c>
      <c r="L1168" s="1257">
        <v>1.5729210436776599E-3</v>
      </c>
      <c r="M1168" s="1280">
        <v>4.0883732715566899E-4</v>
      </c>
      <c r="N1168" s="1271">
        <v>5.3669390788822196E-3</v>
      </c>
      <c r="O1168" s="1257">
        <v>3.0000008598028201E-3</v>
      </c>
      <c r="P1168" s="1257">
        <v>8.2540078214305996E-3</v>
      </c>
      <c r="Q1168" s="1280">
        <v>5.3669390788822196E-3</v>
      </c>
      <c r="R1168" s="1271">
        <v>3.8500011034136201E-2</v>
      </c>
      <c r="S1168" s="1257">
        <v>3.8500011034136201E-2</v>
      </c>
      <c r="T1168" s="1257">
        <v>3.8500011034136201E-2</v>
      </c>
      <c r="U1168" s="1280">
        <v>1.9250005517068101E-2</v>
      </c>
      <c r="V1168" s="1293">
        <v>4.3858626339760599E-3</v>
      </c>
    </row>
    <row r="1169" spans="1:22" s="212" customFormat="1" ht="15.5" x14ac:dyDescent="0.35">
      <c r="A1169" s="240">
        <v>2035</v>
      </c>
      <c r="B1169" s="241" t="s">
        <v>5833</v>
      </c>
      <c r="C1169" s="241">
        <v>2000</v>
      </c>
      <c r="D1169" s="229" t="str">
        <f t="shared" si="5"/>
        <v>2035_2000</v>
      </c>
      <c r="E1169" s="1226">
        <v>4.7748150784136502E-2</v>
      </c>
      <c r="F1169" s="1257">
        <v>1.6240761786201902E-2</v>
      </c>
      <c r="G1169" s="1280">
        <v>6.31753685262786E-2</v>
      </c>
      <c r="H1169" s="1271">
        <v>0.23220197079204899</v>
      </c>
      <c r="I1169" s="1257">
        <v>0.44750210291486497</v>
      </c>
      <c r="J1169" s="1280">
        <v>0.111466145267579</v>
      </c>
      <c r="K1169" s="1271">
        <v>4.19613215785838E-3</v>
      </c>
      <c r="L1169" s="1257">
        <v>1.5729210436776599E-3</v>
      </c>
      <c r="M1169" s="1280">
        <v>4.0883732715566899E-4</v>
      </c>
      <c r="N1169" s="1271">
        <v>5.3669390788822196E-3</v>
      </c>
      <c r="O1169" s="1257">
        <v>3.0000008598028201E-3</v>
      </c>
      <c r="P1169" s="1257">
        <v>8.2540078214305996E-3</v>
      </c>
      <c r="Q1169" s="1280">
        <v>5.3669390788822196E-3</v>
      </c>
      <c r="R1169" s="1271">
        <v>3.8500011034136201E-2</v>
      </c>
      <c r="S1169" s="1257">
        <v>3.8500011034136201E-2</v>
      </c>
      <c r="T1169" s="1257">
        <v>3.8500011034136201E-2</v>
      </c>
      <c r="U1169" s="1280">
        <v>1.9250005517068101E-2</v>
      </c>
      <c r="V1169" s="1293">
        <v>4.3858626339760599E-3</v>
      </c>
    </row>
    <row r="1170" spans="1:22" s="212" customFormat="1" ht="15.5" x14ac:dyDescent="0.35">
      <c r="A1170" s="240">
        <v>2035</v>
      </c>
      <c r="B1170" s="241" t="s">
        <v>5833</v>
      </c>
      <c r="C1170" s="241">
        <v>2001</v>
      </c>
      <c r="D1170" s="229" t="str">
        <f t="shared" si="5"/>
        <v>2035_2001</v>
      </c>
      <c r="E1170" s="1226">
        <v>4.7748150784136502E-2</v>
      </c>
      <c r="F1170" s="1257">
        <v>1.6240761786201902E-2</v>
      </c>
      <c r="G1170" s="1280">
        <v>6.31753685262786E-2</v>
      </c>
      <c r="H1170" s="1271">
        <v>0.23220197079204899</v>
      </c>
      <c r="I1170" s="1257">
        <v>0.44750210291486497</v>
      </c>
      <c r="J1170" s="1280">
        <v>0.111466145267579</v>
      </c>
      <c r="K1170" s="1271">
        <v>4.19613215785838E-3</v>
      </c>
      <c r="L1170" s="1257">
        <v>1.5729210436776599E-3</v>
      </c>
      <c r="M1170" s="1280">
        <v>4.0883732715566899E-4</v>
      </c>
      <c r="N1170" s="1271">
        <v>5.3669390788822196E-3</v>
      </c>
      <c r="O1170" s="1257">
        <v>3.0000008598028201E-3</v>
      </c>
      <c r="P1170" s="1257">
        <v>8.2540078214305996E-3</v>
      </c>
      <c r="Q1170" s="1280">
        <v>5.3669390788822196E-3</v>
      </c>
      <c r="R1170" s="1271">
        <v>3.8500011034136201E-2</v>
      </c>
      <c r="S1170" s="1257">
        <v>3.8500011034136201E-2</v>
      </c>
      <c r="T1170" s="1257">
        <v>3.8500011034136201E-2</v>
      </c>
      <c r="U1170" s="1280">
        <v>1.9250005517068101E-2</v>
      </c>
      <c r="V1170" s="1293">
        <v>4.3858626339760599E-3</v>
      </c>
    </row>
    <row r="1171" spans="1:22" s="212" customFormat="1" ht="15.5" x14ac:dyDescent="0.35">
      <c r="A1171" s="240">
        <v>2035</v>
      </c>
      <c r="B1171" s="241" t="s">
        <v>5833</v>
      </c>
      <c r="C1171" s="241">
        <v>2002</v>
      </c>
      <c r="D1171" s="229" t="str">
        <f t="shared" si="5"/>
        <v>2035_2002</v>
      </c>
      <c r="E1171" s="1226">
        <v>4.7748150784136502E-2</v>
      </c>
      <c r="F1171" s="1257">
        <v>1.6240761786201902E-2</v>
      </c>
      <c r="G1171" s="1280">
        <v>6.31753685262786E-2</v>
      </c>
      <c r="H1171" s="1271">
        <v>0.23220197079204899</v>
      </c>
      <c r="I1171" s="1257">
        <v>0.44750210291486497</v>
      </c>
      <c r="J1171" s="1280">
        <v>0.111466145267579</v>
      </c>
      <c r="K1171" s="1271">
        <v>4.19613215785838E-3</v>
      </c>
      <c r="L1171" s="1257">
        <v>1.5729210436776599E-3</v>
      </c>
      <c r="M1171" s="1280">
        <v>4.0883732715566899E-4</v>
      </c>
      <c r="N1171" s="1271">
        <v>5.3669390788822196E-3</v>
      </c>
      <c r="O1171" s="1257">
        <v>3.0000008598028201E-3</v>
      </c>
      <c r="P1171" s="1257">
        <v>8.2540078214305996E-3</v>
      </c>
      <c r="Q1171" s="1280">
        <v>5.3669390788822196E-3</v>
      </c>
      <c r="R1171" s="1271">
        <v>3.8500011034136201E-2</v>
      </c>
      <c r="S1171" s="1257">
        <v>3.8500011034136201E-2</v>
      </c>
      <c r="T1171" s="1257">
        <v>3.8500011034136201E-2</v>
      </c>
      <c r="U1171" s="1280">
        <v>1.9250005517068101E-2</v>
      </c>
      <c r="V1171" s="1293">
        <v>4.3858626339760599E-3</v>
      </c>
    </row>
    <row r="1172" spans="1:22" s="212" customFormat="1" ht="15.5" x14ac:dyDescent="0.35">
      <c r="A1172" s="240">
        <v>2035</v>
      </c>
      <c r="B1172" s="241" t="s">
        <v>5833</v>
      </c>
      <c r="C1172" s="241">
        <v>2003</v>
      </c>
      <c r="D1172" s="229" t="str">
        <f t="shared" si="5"/>
        <v>2035_2003</v>
      </c>
      <c r="E1172" s="1226">
        <v>4.7748150784136502E-2</v>
      </c>
      <c r="F1172" s="1257">
        <v>1.6240761786201902E-2</v>
      </c>
      <c r="G1172" s="1280">
        <v>6.31753685262786E-2</v>
      </c>
      <c r="H1172" s="1271">
        <v>0.23220197079204899</v>
      </c>
      <c r="I1172" s="1257">
        <v>0.44750210291486497</v>
      </c>
      <c r="J1172" s="1280">
        <v>0.111466145267579</v>
      </c>
      <c r="K1172" s="1271">
        <v>4.19613215785838E-3</v>
      </c>
      <c r="L1172" s="1257">
        <v>1.5729210436776599E-3</v>
      </c>
      <c r="M1172" s="1280">
        <v>4.0883732715566899E-4</v>
      </c>
      <c r="N1172" s="1271">
        <v>5.3669390788822196E-3</v>
      </c>
      <c r="O1172" s="1257">
        <v>3.0000008598028201E-3</v>
      </c>
      <c r="P1172" s="1257">
        <v>8.2540078214305996E-3</v>
      </c>
      <c r="Q1172" s="1280">
        <v>5.3669390788822196E-3</v>
      </c>
      <c r="R1172" s="1271">
        <v>3.8500011034136201E-2</v>
      </c>
      <c r="S1172" s="1257">
        <v>3.8500011034136201E-2</v>
      </c>
      <c r="T1172" s="1257">
        <v>3.8500011034136201E-2</v>
      </c>
      <c r="U1172" s="1280">
        <v>1.9250005517068101E-2</v>
      </c>
      <c r="V1172" s="1293">
        <v>4.3858626339760599E-3</v>
      </c>
    </row>
    <row r="1173" spans="1:22" s="212" customFormat="1" ht="15.5" x14ac:dyDescent="0.35">
      <c r="A1173" s="240">
        <v>2035</v>
      </c>
      <c r="B1173" s="241" t="s">
        <v>5833</v>
      </c>
      <c r="C1173" s="241">
        <v>2004</v>
      </c>
      <c r="D1173" s="229" t="str">
        <f t="shared" si="5"/>
        <v>2035_2004</v>
      </c>
      <c r="E1173" s="1226">
        <v>4.7748150784136502E-2</v>
      </c>
      <c r="F1173" s="1257">
        <v>1.6240761786201902E-2</v>
      </c>
      <c r="G1173" s="1280">
        <v>6.31753685262786E-2</v>
      </c>
      <c r="H1173" s="1271">
        <v>0.23220197079204899</v>
      </c>
      <c r="I1173" s="1257">
        <v>0.44750210291486497</v>
      </c>
      <c r="J1173" s="1280">
        <v>0.111466145267579</v>
      </c>
      <c r="K1173" s="1271">
        <v>4.19613215785838E-3</v>
      </c>
      <c r="L1173" s="1257">
        <v>1.5729210436776599E-3</v>
      </c>
      <c r="M1173" s="1280">
        <v>4.0883732715566899E-4</v>
      </c>
      <c r="N1173" s="1271">
        <v>5.3669390788822196E-3</v>
      </c>
      <c r="O1173" s="1257">
        <v>3.0000008598028201E-3</v>
      </c>
      <c r="P1173" s="1257">
        <v>8.2540078214305996E-3</v>
      </c>
      <c r="Q1173" s="1280">
        <v>5.3669390788822196E-3</v>
      </c>
      <c r="R1173" s="1271">
        <v>3.8500011034136201E-2</v>
      </c>
      <c r="S1173" s="1257">
        <v>3.8500011034136201E-2</v>
      </c>
      <c r="T1173" s="1257">
        <v>3.8500011034136201E-2</v>
      </c>
      <c r="U1173" s="1280">
        <v>1.9250005517068101E-2</v>
      </c>
      <c r="V1173" s="1293">
        <v>4.3858626339760599E-3</v>
      </c>
    </row>
    <row r="1174" spans="1:22" s="212" customFormat="1" ht="15.5" x14ac:dyDescent="0.35">
      <c r="A1174" s="240">
        <v>2035</v>
      </c>
      <c r="B1174" s="241" t="s">
        <v>5833</v>
      </c>
      <c r="C1174" s="241">
        <v>2005</v>
      </c>
      <c r="D1174" s="229" t="str">
        <f t="shared" si="5"/>
        <v>2035_2005</v>
      </c>
      <c r="E1174" s="1226">
        <v>4.7748150784136502E-2</v>
      </c>
      <c r="F1174" s="1257">
        <v>1.6240761786201902E-2</v>
      </c>
      <c r="G1174" s="1280">
        <v>6.31753685262786E-2</v>
      </c>
      <c r="H1174" s="1271">
        <v>0.23220197079204899</v>
      </c>
      <c r="I1174" s="1257">
        <v>0.44750210291486497</v>
      </c>
      <c r="J1174" s="1280">
        <v>0.111466145267579</v>
      </c>
      <c r="K1174" s="1271">
        <v>4.19613215785838E-3</v>
      </c>
      <c r="L1174" s="1257">
        <v>1.5729210436776599E-3</v>
      </c>
      <c r="M1174" s="1280">
        <v>4.0883732715566899E-4</v>
      </c>
      <c r="N1174" s="1271">
        <v>5.3669390788822196E-3</v>
      </c>
      <c r="O1174" s="1257">
        <v>3.0000008598028201E-3</v>
      </c>
      <c r="P1174" s="1257">
        <v>8.2540078214305996E-3</v>
      </c>
      <c r="Q1174" s="1280">
        <v>5.3669390788822196E-3</v>
      </c>
      <c r="R1174" s="1271">
        <v>3.8500011034136201E-2</v>
      </c>
      <c r="S1174" s="1257">
        <v>3.8500011034136201E-2</v>
      </c>
      <c r="T1174" s="1257">
        <v>3.8500011034136201E-2</v>
      </c>
      <c r="U1174" s="1280">
        <v>1.9250005517068101E-2</v>
      </c>
      <c r="V1174" s="1293">
        <v>4.3858626339760599E-3</v>
      </c>
    </row>
    <row r="1175" spans="1:22" s="212" customFormat="1" ht="15.5" x14ac:dyDescent="0.35">
      <c r="A1175" s="240">
        <v>2035</v>
      </c>
      <c r="B1175" s="241" t="s">
        <v>5833</v>
      </c>
      <c r="C1175" s="241">
        <v>2006</v>
      </c>
      <c r="D1175" s="229" t="str">
        <f t="shared" si="5"/>
        <v>2035_2006</v>
      </c>
      <c r="E1175" s="1226">
        <v>4.7748150784136502E-2</v>
      </c>
      <c r="F1175" s="1257">
        <v>1.6240761786201902E-2</v>
      </c>
      <c r="G1175" s="1280">
        <v>6.31753685262786E-2</v>
      </c>
      <c r="H1175" s="1271">
        <v>0.23220197079204899</v>
      </c>
      <c r="I1175" s="1257">
        <v>0.44750210291486497</v>
      </c>
      <c r="J1175" s="1280">
        <v>0.111466145267579</v>
      </c>
      <c r="K1175" s="1271">
        <v>4.19613215785838E-3</v>
      </c>
      <c r="L1175" s="1257">
        <v>1.5729210436776599E-3</v>
      </c>
      <c r="M1175" s="1280">
        <v>4.0883732715566899E-4</v>
      </c>
      <c r="N1175" s="1271">
        <v>5.3669390788822196E-3</v>
      </c>
      <c r="O1175" s="1257">
        <v>3.0000008598028201E-3</v>
      </c>
      <c r="P1175" s="1257">
        <v>8.2540078214305996E-3</v>
      </c>
      <c r="Q1175" s="1280">
        <v>5.3669390788822196E-3</v>
      </c>
      <c r="R1175" s="1271">
        <v>3.8500011034136201E-2</v>
      </c>
      <c r="S1175" s="1257">
        <v>3.8500011034136201E-2</v>
      </c>
      <c r="T1175" s="1257">
        <v>3.8500011034136201E-2</v>
      </c>
      <c r="U1175" s="1280">
        <v>1.9250005517068101E-2</v>
      </c>
      <c r="V1175" s="1293">
        <v>4.3858626339760599E-3</v>
      </c>
    </row>
    <row r="1176" spans="1:22" s="212" customFormat="1" ht="15.5" x14ac:dyDescent="0.35">
      <c r="A1176" s="240">
        <v>2035</v>
      </c>
      <c r="B1176" s="241" t="s">
        <v>5833</v>
      </c>
      <c r="C1176" s="241">
        <v>2007</v>
      </c>
      <c r="D1176" s="229" t="str">
        <f t="shared" si="5"/>
        <v>2035_2007</v>
      </c>
      <c r="E1176" s="1226">
        <v>4.7748150784136502E-2</v>
      </c>
      <c r="F1176" s="1257">
        <v>1.6240761786201902E-2</v>
      </c>
      <c r="G1176" s="1280">
        <v>6.31753685262786E-2</v>
      </c>
      <c r="H1176" s="1271">
        <v>0.23220197079204899</v>
      </c>
      <c r="I1176" s="1257">
        <v>0.44750210291486497</v>
      </c>
      <c r="J1176" s="1280">
        <v>0.111466145267579</v>
      </c>
      <c r="K1176" s="1271">
        <v>4.19613215785838E-3</v>
      </c>
      <c r="L1176" s="1257">
        <v>1.5729210436776599E-3</v>
      </c>
      <c r="M1176" s="1280">
        <v>4.0883732715566899E-4</v>
      </c>
      <c r="N1176" s="1271">
        <v>5.3669390788822196E-3</v>
      </c>
      <c r="O1176" s="1257">
        <v>3.0000008598028201E-3</v>
      </c>
      <c r="P1176" s="1257">
        <v>8.2540078214305996E-3</v>
      </c>
      <c r="Q1176" s="1280">
        <v>5.3669390788822196E-3</v>
      </c>
      <c r="R1176" s="1271">
        <v>3.8500011034136201E-2</v>
      </c>
      <c r="S1176" s="1257">
        <v>3.8500011034136201E-2</v>
      </c>
      <c r="T1176" s="1257">
        <v>3.8500011034136201E-2</v>
      </c>
      <c r="U1176" s="1280">
        <v>1.9250005517068101E-2</v>
      </c>
      <c r="V1176" s="1293">
        <v>4.3858626339760599E-3</v>
      </c>
    </row>
    <row r="1177" spans="1:22" s="212" customFormat="1" ht="15.5" x14ac:dyDescent="0.35">
      <c r="A1177" s="240">
        <v>2035</v>
      </c>
      <c r="B1177" s="241" t="s">
        <v>5833</v>
      </c>
      <c r="C1177" s="241">
        <v>2008</v>
      </c>
      <c r="D1177" s="229" t="str">
        <f t="shared" si="5"/>
        <v>2035_2008</v>
      </c>
      <c r="E1177" s="1226">
        <v>4.7748150784136502E-2</v>
      </c>
      <c r="F1177" s="1257">
        <v>1.6240761786201902E-2</v>
      </c>
      <c r="G1177" s="1280">
        <v>6.31753685262786E-2</v>
      </c>
      <c r="H1177" s="1271">
        <v>0.23220197079204899</v>
      </c>
      <c r="I1177" s="1257">
        <v>0.44750210291486497</v>
      </c>
      <c r="J1177" s="1280">
        <v>0.111466145267579</v>
      </c>
      <c r="K1177" s="1271">
        <v>4.19613215785838E-3</v>
      </c>
      <c r="L1177" s="1257">
        <v>1.5729210436776599E-3</v>
      </c>
      <c r="M1177" s="1280">
        <v>4.0883732715566899E-4</v>
      </c>
      <c r="N1177" s="1271">
        <v>5.3669390788822196E-3</v>
      </c>
      <c r="O1177" s="1257">
        <v>3.0000008598028201E-3</v>
      </c>
      <c r="P1177" s="1257">
        <v>8.2540078214305996E-3</v>
      </c>
      <c r="Q1177" s="1280">
        <v>5.3669390788822196E-3</v>
      </c>
      <c r="R1177" s="1271">
        <v>3.8500011034136201E-2</v>
      </c>
      <c r="S1177" s="1257">
        <v>3.8500011034136201E-2</v>
      </c>
      <c r="T1177" s="1257">
        <v>3.8500011034136201E-2</v>
      </c>
      <c r="U1177" s="1280">
        <v>1.9250005517068101E-2</v>
      </c>
      <c r="V1177" s="1293">
        <v>4.3858626339760599E-3</v>
      </c>
    </row>
    <row r="1178" spans="1:22" s="212" customFormat="1" ht="15.5" x14ac:dyDescent="0.35">
      <c r="A1178" s="240">
        <v>2035</v>
      </c>
      <c r="B1178" s="241" t="s">
        <v>5833</v>
      </c>
      <c r="C1178" s="241">
        <v>2009</v>
      </c>
      <c r="D1178" s="229" t="str">
        <f t="shared" si="5"/>
        <v>2035_2009</v>
      </c>
      <c r="E1178" s="1226">
        <v>4.7748150784136502E-2</v>
      </c>
      <c r="F1178" s="1257">
        <v>1.6240761786201902E-2</v>
      </c>
      <c r="G1178" s="1280">
        <v>6.31753685262786E-2</v>
      </c>
      <c r="H1178" s="1271">
        <v>0.23220197079204899</v>
      </c>
      <c r="I1178" s="1257">
        <v>0.44750210291486497</v>
      </c>
      <c r="J1178" s="1280">
        <v>0.111466145267579</v>
      </c>
      <c r="K1178" s="1271">
        <v>4.19613215785838E-3</v>
      </c>
      <c r="L1178" s="1257">
        <v>1.5729210436776599E-3</v>
      </c>
      <c r="M1178" s="1280">
        <v>4.0883732715566899E-4</v>
      </c>
      <c r="N1178" s="1271">
        <v>5.3669390788822196E-3</v>
      </c>
      <c r="O1178" s="1257">
        <v>3.0000008598028201E-3</v>
      </c>
      <c r="P1178" s="1257">
        <v>8.2540078214305996E-3</v>
      </c>
      <c r="Q1178" s="1280">
        <v>5.3669390788822196E-3</v>
      </c>
      <c r="R1178" s="1271">
        <v>3.8500011034136201E-2</v>
      </c>
      <c r="S1178" s="1257">
        <v>3.8500011034136201E-2</v>
      </c>
      <c r="T1178" s="1257">
        <v>3.8500011034136201E-2</v>
      </c>
      <c r="U1178" s="1280">
        <v>1.9250005517068101E-2</v>
      </c>
      <c r="V1178" s="1293">
        <v>4.3858626339760599E-3</v>
      </c>
    </row>
    <row r="1179" spans="1:22" s="212" customFormat="1" ht="15.5" x14ac:dyDescent="0.35">
      <c r="A1179" s="240">
        <v>2035</v>
      </c>
      <c r="B1179" s="241" t="s">
        <v>5833</v>
      </c>
      <c r="C1179" s="241">
        <v>2010</v>
      </c>
      <c r="D1179" s="229" t="str">
        <f t="shared" si="5"/>
        <v>2035_2010</v>
      </c>
      <c r="E1179" s="1226">
        <v>4.7748150784136502E-2</v>
      </c>
      <c r="F1179" s="1257">
        <v>1.6240761786201902E-2</v>
      </c>
      <c r="G1179" s="1280">
        <v>6.31753685262786E-2</v>
      </c>
      <c r="H1179" s="1271">
        <v>0.23220197079204899</v>
      </c>
      <c r="I1179" s="1257">
        <v>0.44750210291486497</v>
      </c>
      <c r="J1179" s="1280">
        <v>0.111466145267579</v>
      </c>
      <c r="K1179" s="1271">
        <v>4.19613215785838E-3</v>
      </c>
      <c r="L1179" s="1257">
        <v>1.5729210436776599E-3</v>
      </c>
      <c r="M1179" s="1280">
        <v>4.0883732715566899E-4</v>
      </c>
      <c r="N1179" s="1271">
        <v>5.3669390788822196E-3</v>
      </c>
      <c r="O1179" s="1257">
        <v>3.0000008598028201E-3</v>
      </c>
      <c r="P1179" s="1257">
        <v>8.2540078214305996E-3</v>
      </c>
      <c r="Q1179" s="1280">
        <v>5.3669390788822196E-3</v>
      </c>
      <c r="R1179" s="1271">
        <v>3.8500011034136201E-2</v>
      </c>
      <c r="S1179" s="1257">
        <v>3.8500011034136201E-2</v>
      </c>
      <c r="T1179" s="1257">
        <v>3.8500011034136201E-2</v>
      </c>
      <c r="U1179" s="1280">
        <v>1.9250005517068101E-2</v>
      </c>
      <c r="V1179" s="1293">
        <v>4.3858626339760599E-3</v>
      </c>
    </row>
    <row r="1180" spans="1:22" s="212" customFormat="1" ht="15.5" x14ac:dyDescent="0.35">
      <c r="A1180" s="240">
        <v>2035</v>
      </c>
      <c r="B1180" s="241" t="s">
        <v>5833</v>
      </c>
      <c r="C1180" s="241">
        <v>2011</v>
      </c>
      <c r="D1180" s="229" t="str">
        <f t="shared" si="5"/>
        <v>2035_2011</v>
      </c>
      <c r="E1180" s="1226">
        <v>4.7748150784136502E-2</v>
      </c>
      <c r="F1180" s="1257">
        <v>1.6240761786201902E-2</v>
      </c>
      <c r="G1180" s="1280">
        <v>6.31753685262786E-2</v>
      </c>
      <c r="H1180" s="1271">
        <v>0.23220197079204899</v>
      </c>
      <c r="I1180" s="1257">
        <v>0.44750210291486497</v>
      </c>
      <c r="J1180" s="1280">
        <v>0.111466145267579</v>
      </c>
      <c r="K1180" s="1271">
        <v>4.19613215785838E-3</v>
      </c>
      <c r="L1180" s="1257">
        <v>1.5729210436776599E-3</v>
      </c>
      <c r="M1180" s="1280">
        <v>4.0883732715566899E-4</v>
      </c>
      <c r="N1180" s="1271">
        <v>5.3669390788822196E-3</v>
      </c>
      <c r="O1180" s="1257">
        <v>3.0000008598028201E-3</v>
      </c>
      <c r="P1180" s="1257">
        <v>8.2540078214305996E-3</v>
      </c>
      <c r="Q1180" s="1280">
        <v>5.3669390788822196E-3</v>
      </c>
      <c r="R1180" s="1271">
        <v>3.8500011034136201E-2</v>
      </c>
      <c r="S1180" s="1257">
        <v>3.8500011034136201E-2</v>
      </c>
      <c r="T1180" s="1257">
        <v>3.8500011034136201E-2</v>
      </c>
      <c r="U1180" s="1280">
        <v>1.9250005517068101E-2</v>
      </c>
      <c r="V1180" s="1293">
        <v>4.3858626339760599E-3</v>
      </c>
    </row>
    <row r="1181" spans="1:22" s="212" customFormat="1" ht="15.5" x14ac:dyDescent="0.35">
      <c r="A1181" s="240">
        <v>2035</v>
      </c>
      <c r="B1181" s="241" t="s">
        <v>5833</v>
      </c>
      <c r="C1181" s="241">
        <v>2012</v>
      </c>
      <c r="D1181" s="229" t="str">
        <f t="shared" si="5"/>
        <v>2035_2012</v>
      </c>
      <c r="E1181" s="1226">
        <v>4.7748150784136502E-2</v>
      </c>
      <c r="F1181" s="1257">
        <v>1.6240761786201902E-2</v>
      </c>
      <c r="G1181" s="1280">
        <v>6.31753685262786E-2</v>
      </c>
      <c r="H1181" s="1271">
        <v>0.23220197079204899</v>
      </c>
      <c r="I1181" s="1257">
        <v>0.44750210291486497</v>
      </c>
      <c r="J1181" s="1280">
        <v>0.111466145267579</v>
      </c>
      <c r="K1181" s="1271">
        <v>4.19613215785838E-3</v>
      </c>
      <c r="L1181" s="1257">
        <v>1.5729210436776599E-3</v>
      </c>
      <c r="M1181" s="1280">
        <v>4.0883732715566899E-4</v>
      </c>
      <c r="N1181" s="1271">
        <v>5.3669390788822196E-3</v>
      </c>
      <c r="O1181" s="1257">
        <v>3.0000008598028201E-3</v>
      </c>
      <c r="P1181" s="1257">
        <v>8.2540078214305996E-3</v>
      </c>
      <c r="Q1181" s="1280">
        <v>5.3669390788822196E-3</v>
      </c>
      <c r="R1181" s="1271">
        <v>3.8500011034136201E-2</v>
      </c>
      <c r="S1181" s="1257">
        <v>3.8500011034136201E-2</v>
      </c>
      <c r="T1181" s="1257">
        <v>3.8500011034136201E-2</v>
      </c>
      <c r="U1181" s="1280">
        <v>1.9250005517068101E-2</v>
      </c>
      <c r="V1181" s="1293">
        <v>4.3858626339760599E-3</v>
      </c>
    </row>
    <row r="1182" spans="1:22" s="212" customFormat="1" ht="15.5" x14ac:dyDescent="0.35">
      <c r="A1182" s="240">
        <v>2035</v>
      </c>
      <c r="B1182" s="241" t="s">
        <v>5833</v>
      </c>
      <c r="C1182" s="241">
        <v>2013</v>
      </c>
      <c r="D1182" s="229" t="str">
        <f t="shared" si="5"/>
        <v>2035_2013</v>
      </c>
      <c r="E1182" s="1226">
        <v>4.7748150784136502E-2</v>
      </c>
      <c r="F1182" s="1257">
        <v>1.6240761786201902E-2</v>
      </c>
      <c r="G1182" s="1280">
        <v>6.31753685262786E-2</v>
      </c>
      <c r="H1182" s="1271">
        <v>0.23220197079204899</v>
      </c>
      <c r="I1182" s="1257">
        <v>0.44750210291486497</v>
      </c>
      <c r="J1182" s="1280">
        <v>0.111466145267579</v>
      </c>
      <c r="K1182" s="1271">
        <v>4.19613215785838E-3</v>
      </c>
      <c r="L1182" s="1257">
        <v>1.5729210436776599E-3</v>
      </c>
      <c r="M1182" s="1280">
        <v>4.0883732715566899E-4</v>
      </c>
      <c r="N1182" s="1271">
        <v>5.3669390788822196E-3</v>
      </c>
      <c r="O1182" s="1257">
        <v>3.0000008598028201E-3</v>
      </c>
      <c r="P1182" s="1257">
        <v>8.2540078214305996E-3</v>
      </c>
      <c r="Q1182" s="1280">
        <v>5.3669390788822196E-3</v>
      </c>
      <c r="R1182" s="1271">
        <v>3.8500011034136201E-2</v>
      </c>
      <c r="S1182" s="1257">
        <v>3.8500011034136201E-2</v>
      </c>
      <c r="T1182" s="1257">
        <v>3.8500011034136201E-2</v>
      </c>
      <c r="U1182" s="1280">
        <v>1.9250005517068101E-2</v>
      </c>
      <c r="V1182" s="1293">
        <v>4.3858626339760599E-3</v>
      </c>
    </row>
    <row r="1183" spans="1:22" s="212" customFormat="1" ht="15.5" x14ac:dyDescent="0.35">
      <c r="A1183" s="240">
        <v>2035</v>
      </c>
      <c r="B1183" s="241" t="s">
        <v>5833</v>
      </c>
      <c r="C1183" s="241">
        <v>2014</v>
      </c>
      <c r="D1183" s="229" t="str">
        <f t="shared" si="5"/>
        <v>2035_2014</v>
      </c>
      <c r="E1183" s="1226">
        <v>4.7748150784136502E-2</v>
      </c>
      <c r="F1183" s="1257">
        <v>1.6240761786201902E-2</v>
      </c>
      <c r="G1183" s="1280">
        <v>6.31753685262786E-2</v>
      </c>
      <c r="H1183" s="1271">
        <v>0.23220197079204899</v>
      </c>
      <c r="I1183" s="1257">
        <v>0.44750210291486497</v>
      </c>
      <c r="J1183" s="1280">
        <v>0.111466145267579</v>
      </c>
      <c r="K1183" s="1271">
        <v>4.19613215785838E-3</v>
      </c>
      <c r="L1183" s="1257">
        <v>1.5729210436776599E-3</v>
      </c>
      <c r="M1183" s="1280">
        <v>4.0883732715566899E-4</v>
      </c>
      <c r="N1183" s="1271">
        <v>5.3669390788822196E-3</v>
      </c>
      <c r="O1183" s="1257">
        <v>3.0000008598028201E-3</v>
      </c>
      <c r="P1183" s="1257">
        <v>8.2540078214305996E-3</v>
      </c>
      <c r="Q1183" s="1280">
        <v>5.3669390788822196E-3</v>
      </c>
      <c r="R1183" s="1271">
        <v>3.8500011034136201E-2</v>
      </c>
      <c r="S1183" s="1257">
        <v>3.8500011034136201E-2</v>
      </c>
      <c r="T1183" s="1257">
        <v>3.8500011034136201E-2</v>
      </c>
      <c r="U1183" s="1280">
        <v>1.9250005517068101E-2</v>
      </c>
      <c r="V1183" s="1293">
        <v>4.3858626339760599E-3</v>
      </c>
    </row>
    <row r="1184" spans="1:22" s="212" customFormat="1" ht="15.5" x14ac:dyDescent="0.35">
      <c r="A1184" s="240">
        <v>2035</v>
      </c>
      <c r="B1184" s="241" t="s">
        <v>5833</v>
      </c>
      <c r="C1184" s="241">
        <v>2015</v>
      </c>
      <c r="D1184" s="229" t="str">
        <f t="shared" si="5"/>
        <v>2035_2015</v>
      </c>
      <c r="E1184" s="1226">
        <v>4.7748150784136502E-2</v>
      </c>
      <c r="F1184" s="1257">
        <v>1.6240761786201902E-2</v>
      </c>
      <c r="G1184" s="1280">
        <v>6.31753685262786E-2</v>
      </c>
      <c r="H1184" s="1271">
        <v>0.23220197079204899</v>
      </c>
      <c r="I1184" s="1257">
        <v>0.44750210291486497</v>
      </c>
      <c r="J1184" s="1280">
        <v>0.111466145267579</v>
      </c>
      <c r="K1184" s="1271">
        <v>4.19613215785838E-3</v>
      </c>
      <c r="L1184" s="1257">
        <v>1.5729210436776599E-3</v>
      </c>
      <c r="M1184" s="1280">
        <v>4.0883732715566899E-4</v>
      </c>
      <c r="N1184" s="1271">
        <v>5.3669390788822196E-3</v>
      </c>
      <c r="O1184" s="1257">
        <v>3.0000008598028201E-3</v>
      </c>
      <c r="P1184" s="1257">
        <v>8.2540078214305996E-3</v>
      </c>
      <c r="Q1184" s="1280">
        <v>5.3669390788822196E-3</v>
      </c>
      <c r="R1184" s="1271">
        <v>3.8500011034136201E-2</v>
      </c>
      <c r="S1184" s="1257">
        <v>3.8500011034136201E-2</v>
      </c>
      <c r="T1184" s="1257">
        <v>3.8500011034136201E-2</v>
      </c>
      <c r="U1184" s="1280">
        <v>1.9250005517068101E-2</v>
      </c>
      <c r="V1184" s="1293">
        <v>4.3858626339760599E-3</v>
      </c>
    </row>
    <row r="1185" spans="1:22" s="212" customFormat="1" ht="15.5" x14ac:dyDescent="0.35">
      <c r="A1185" s="240">
        <v>2035</v>
      </c>
      <c r="B1185" s="241" t="s">
        <v>5833</v>
      </c>
      <c r="C1185" s="241">
        <v>2016</v>
      </c>
      <c r="D1185" s="229" t="str">
        <f t="shared" si="5"/>
        <v>2035_2016</v>
      </c>
      <c r="E1185" s="1226">
        <v>4.7748150784136502E-2</v>
      </c>
      <c r="F1185" s="1257">
        <v>1.6240761786201902E-2</v>
      </c>
      <c r="G1185" s="1280">
        <v>6.31753685262786E-2</v>
      </c>
      <c r="H1185" s="1271">
        <v>0.23220197079204899</v>
      </c>
      <c r="I1185" s="1257">
        <v>0.44750210291486497</v>
      </c>
      <c r="J1185" s="1280">
        <v>0.111466145267579</v>
      </c>
      <c r="K1185" s="1271">
        <v>4.19613215785838E-3</v>
      </c>
      <c r="L1185" s="1257">
        <v>1.5729210436776599E-3</v>
      </c>
      <c r="M1185" s="1280">
        <v>4.0883732715566899E-4</v>
      </c>
      <c r="N1185" s="1271">
        <v>5.3669390788822196E-3</v>
      </c>
      <c r="O1185" s="1257">
        <v>3.0000008598028201E-3</v>
      </c>
      <c r="P1185" s="1257">
        <v>8.2540078214305996E-3</v>
      </c>
      <c r="Q1185" s="1280">
        <v>5.3669390788822196E-3</v>
      </c>
      <c r="R1185" s="1271">
        <v>3.8500011034136201E-2</v>
      </c>
      <c r="S1185" s="1257">
        <v>3.8500011034136201E-2</v>
      </c>
      <c r="T1185" s="1257">
        <v>3.8500011034136201E-2</v>
      </c>
      <c r="U1185" s="1280">
        <v>1.9250005517068101E-2</v>
      </c>
      <c r="V1185" s="1293">
        <v>4.3858626339760599E-3</v>
      </c>
    </row>
    <row r="1186" spans="1:22" s="212" customFormat="1" ht="15.5" x14ac:dyDescent="0.35">
      <c r="A1186" s="240">
        <v>2035</v>
      </c>
      <c r="B1186" s="241" t="s">
        <v>5833</v>
      </c>
      <c r="C1186" s="241">
        <v>2017</v>
      </c>
      <c r="D1186" s="229" t="str">
        <f t="shared" si="5"/>
        <v>2035_2017</v>
      </c>
      <c r="E1186" s="1226">
        <v>4.7748150784136502E-2</v>
      </c>
      <c r="F1186" s="1257">
        <v>1.6240761786201902E-2</v>
      </c>
      <c r="G1186" s="1280">
        <v>6.31753685262786E-2</v>
      </c>
      <c r="H1186" s="1271">
        <v>0.23220197079204899</v>
      </c>
      <c r="I1186" s="1257">
        <v>0.44750210291486497</v>
      </c>
      <c r="J1186" s="1280">
        <v>0.111466145267579</v>
      </c>
      <c r="K1186" s="1271">
        <v>4.19613215785838E-3</v>
      </c>
      <c r="L1186" s="1257">
        <v>1.5729210436776599E-3</v>
      </c>
      <c r="M1186" s="1280">
        <v>4.0883732715566899E-4</v>
      </c>
      <c r="N1186" s="1271">
        <v>5.3669390788822196E-3</v>
      </c>
      <c r="O1186" s="1257">
        <v>3.0000008598028201E-3</v>
      </c>
      <c r="P1186" s="1257">
        <v>8.2540078214305996E-3</v>
      </c>
      <c r="Q1186" s="1280">
        <v>5.3669390788822196E-3</v>
      </c>
      <c r="R1186" s="1271">
        <v>3.8500011034136201E-2</v>
      </c>
      <c r="S1186" s="1257">
        <v>3.8500011034136201E-2</v>
      </c>
      <c r="T1186" s="1257">
        <v>3.8500011034136201E-2</v>
      </c>
      <c r="U1186" s="1280">
        <v>1.9250005517068101E-2</v>
      </c>
      <c r="V1186" s="1293">
        <v>4.3858626339760599E-3</v>
      </c>
    </row>
    <row r="1187" spans="1:22" s="212" customFormat="1" ht="15.5" x14ac:dyDescent="0.35">
      <c r="A1187" s="240">
        <v>2035</v>
      </c>
      <c r="B1187" s="241" t="s">
        <v>5833</v>
      </c>
      <c r="C1187" s="241">
        <v>2018</v>
      </c>
      <c r="D1187" s="229" t="str">
        <f t="shared" si="5"/>
        <v>2035_2018</v>
      </c>
      <c r="E1187" s="1226">
        <v>4.7748150784136502E-2</v>
      </c>
      <c r="F1187" s="1257">
        <v>1.6240761786201902E-2</v>
      </c>
      <c r="G1187" s="1280">
        <v>6.31753685262786E-2</v>
      </c>
      <c r="H1187" s="1271">
        <v>0.23220197079204899</v>
      </c>
      <c r="I1187" s="1257">
        <v>0.44750210291486497</v>
      </c>
      <c r="J1187" s="1280">
        <v>0.111466145267579</v>
      </c>
      <c r="K1187" s="1271">
        <v>4.19613215785838E-3</v>
      </c>
      <c r="L1187" s="1257">
        <v>1.5729210436776599E-3</v>
      </c>
      <c r="M1187" s="1280">
        <v>4.0883732715566899E-4</v>
      </c>
      <c r="N1187" s="1271">
        <v>5.3669390788822196E-3</v>
      </c>
      <c r="O1187" s="1257">
        <v>3.0000008598028201E-3</v>
      </c>
      <c r="P1187" s="1257">
        <v>8.2540078214305996E-3</v>
      </c>
      <c r="Q1187" s="1280">
        <v>5.3669390788822196E-3</v>
      </c>
      <c r="R1187" s="1271">
        <v>3.8500011034136201E-2</v>
      </c>
      <c r="S1187" s="1257">
        <v>3.8500011034136201E-2</v>
      </c>
      <c r="T1187" s="1257">
        <v>3.8500011034136201E-2</v>
      </c>
      <c r="U1187" s="1280">
        <v>1.9250005517068101E-2</v>
      </c>
      <c r="V1187" s="1293">
        <v>4.3858626339760599E-3</v>
      </c>
    </row>
    <row r="1188" spans="1:22" s="212" customFormat="1" ht="15.5" x14ac:dyDescent="0.35">
      <c r="A1188" s="240">
        <v>2035</v>
      </c>
      <c r="B1188" s="241" t="s">
        <v>5833</v>
      </c>
      <c r="C1188" s="241">
        <v>2019</v>
      </c>
      <c r="D1188" s="229" t="str">
        <f t="shared" si="5"/>
        <v>2035_2019</v>
      </c>
      <c r="E1188" s="1226">
        <v>4.7748150784136502E-2</v>
      </c>
      <c r="F1188" s="1257">
        <v>1.6240761786201902E-2</v>
      </c>
      <c r="G1188" s="1280">
        <v>6.31753685262786E-2</v>
      </c>
      <c r="H1188" s="1271">
        <v>0.23220197079204899</v>
      </c>
      <c r="I1188" s="1257">
        <v>0.44750210291486497</v>
      </c>
      <c r="J1188" s="1280">
        <v>0.111466145267579</v>
      </c>
      <c r="K1188" s="1271">
        <v>4.19613215785838E-3</v>
      </c>
      <c r="L1188" s="1257">
        <v>1.5729210436776599E-3</v>
      </c>
      <c r="M1188" s="1280">
        <v>4.0883732715566899E-4</v>
      </c>
      <c r="N1188" s="1271">
        <v>5.3669390788822196E-3</v>
      </c>
      <c r="O1188" s="1257">
        <v>3.0000008598028201E-3</v>
      </c>
      <c r="P1188" s="1257">
        <v>8.2540078214305996E-3</v>
      </c>
      <c r="Q1188" s="1280">
        <v>5.3669390788822196E-3</v>
      </c>
      <c r="R1188" s="1271">
        <v>3.8500011034136201E-2</v>
      </c>
      <c r="S1188" s="1257">
        <v>3.8500011034136201E-2</v>
      </c>
      <c r="T1188" s="1257">
        <v>3.8500011034136201E-2</v>
      </c>
      <c r="U1188" s="1280">
        <v>1.9250005517068101E-2</v>
      </c>
      <c r="V1188" s="1293">
        <v>4.3858626339760599E-3</v>
      </c>
    </row>
    <row r="1189" spans="1:22" s="212" customFormat="1" ht="15.5" x14ac:dyDescent="0.35">
      <c r="A1189" s="240">
        <v>2035</v>
      </c>
      <c r="B1189" s="241" t="s">
        <v>5833</v>
      </c>
      <c r="C1189" s="241">
        <v>2020</v>
      </c>
      <c r="D1189" s="229" t="str">
        <f t="shared" si="5"/>
        <v>2035_2020</v>
      </c>
      <c r="E1189" s="1226">
        <v>4.7748150784136502E-2</v>
      </c>
      <c r="F1189" s="1257">
        <v>1.6240761786201902E-2</v>
      </c>
      <c r="G1189" s="1280">
        <v>6.31753685262786E-2</v>
      </c>
      <c r="H1189" s="1271">
        <v>0.23220197079204899</v>
      </c>
      <c r="I1189" s="1257">
        <v>0.44750210291486497</v>
      </c>
      <c r="J1189" s="1280">
        <v>0.111466145267579</v>
      </c>
      <c r="K1189" s="1271">
        <v>4.19613215785838E-3</v>
      </c>
      <c r="L1189" s="1257">
        <v>1.5729210436776599E-3</v>
      </c>
      <c r="M1189" s="1280">
        <v>4.0883732715566899E-4</v>
      </c>
      <c r="N1189" s="1271">
        <v>5.3669390788822196E-3</v>
      </c>
      <c r="O1189" s="1257">
        <v>3.0000008598028201E-3</v>
      </c>
      <c r="P1189" s="1257">
        <v>8.2540078214305996E-3</v>
      </c>
      <c r="Q1189" s="1280">
        <v>5.3669390788822196E-3</v>
      </c>
      <c r="R1189" s="1271">
        <v>3.8500011034136201E-2</v>
      </c>
      <c r="S1189" s="1257">
        <v>3.8500011034136201E-2</v>
      </c>
      <c r="T1189" s="1257">
        <v>3.8500011034136201E-2</v>
      </c>
      <c r="U1189" s="1280">
        <v>1.9250005517068101E-2</v>
      </c>
      <c r="V1189" s="1293">
        <v>4.3858626339760599E-3</v>
      </c>
    </row>
    <row r="1190" spans="1:22" s="212" customFormat="1" ht="15.5" x14ac:dyDescent="0.35">
      <c r="A1190" s="240">
        <v>2035</v>
      </c>
      <c r="B1190" s="241" t="s">
        <v>5833</v>
      </c>
      <c r="C1190" s="241">
        <v>2021</v>
      </c>
      <c r="D1190" s="229" t="str">
        <f t="shared" si="5"/>
        <v>2035_2021</v>
      </c>
      <c r="E1190" s="1231">
        <v>4.7748150784136502E-2</v>
      </c>
      <c r="F1190" s="1288">
        <v>1.6240761786201902E-2</v>
      </c>
      <c r="G1190" s="1306">
        <v>6.31753685262786E-2</v>
      </c>
      <c r="H1190" s="1303">
        <v>0.23220197079204899</v>
      </c>
      <c r="I1190" s="1288">
        <v>0.44750210291486497</v>
      </c>
      <c r="J1190" s="1306">
        <v>0.111466145267579</v>
      </c>
      <c r="K1190" s="1303">
        <v>4.19613215785838E-3</v>
      </c>
      <c r="L1190" s="1288">
        <v>1.5729210436776599E-3</v>
      </c>
      <c r="M1190" s="1306">
        <v>4.0883732715566899E-4</v>
      </c>
      <c r="N1190" s="1303">
        <v>5.3669390788822196E-3</v>
      </c>
      <c r="O1190" s="1288">
        <v>3.0000008598028201E-3</v>
      </c>
      <c r="P1190" s="1288">
        <v>8.2540078214305996E-3</v>
      </c>
      <c r="Q1190" s="1280">
        <v>5.3669390788822196E-3</v>
      </c>
      <c r="R1190" s="1303">
        <v>3.8500011034136201E-2</v>
      </c>
      <c r="S1190" s="1288">
        <v>3.8500011034136201E-2</v>
      </c>
      <c r="T1190" s="1288">
        <v>3.8500011034136201E-2</v>
      </c>
      <c r="U1190" s="1280">
        <v>1.9250005517068101E-2</v>
      </c>
      <c r="V1190" s="1294">
        <v>4.3858626339760599E-3</v>
      </c>
    </row>
    <row r="1191" spans="1:22" s="212" customFormat="1" ht="15.5" x14ac:dyDescent="0.35">
      <c r="A1191" s="240">
        <v>2035</v>
      </c>
      <c r="B1191" s="241" t="s">
        <v>5833</v>
      </c>
      <c r="C1191" s="241">
        <v>2022</v>
      </c>
      <c r="D1191" s="229" t="str">
        <f t="shared" si="5"/>
        <v>2035_2022</v>
      </c>
      <c r="E1191" s="1231">
        <v>5.2305979817097899E-2</v>
      </c>
      <c r="F1191" s="1288">
        <v>2.1375493101828499E-2</v>
      </c>
      <c r="G1191" s="1306">
        <v>6.5979051211483605E-2</v>
      </c>
      <c r="H1191" s="1303">
        <v>0.26507928138461601</v>
      </c>
      <c r="I1191" s="1288">
        <v>0.44693240657455702</v>
      </c>
      <c r="J1191" s="1306">
        <v>0.13236420561912399</v>
      </c>
      <c r="K1191" s="1303">
        <v>4.7810320327885498E-3</v>
      </c>
      <c r="L1191" s="1288">
        <v>2.0628201313716401E-3</v>
      </c>
      <c r="M1191" s="1306">
        <v>4.61522070361442E-4</v>
      </c>
      <c r="N1191" s="1303">
        <v>5.9840032666679498E-3</v>
      </c>
      <c r="O1191" s="1288">
        <v>3.0000008598028201E-3</v>
      </c>
      <c r="P1191" s="1288">
        <v>8.6905492437335894E-3</v>
      </c>
      <c r="Q1191" s="1280">
        <v>5.9840032666679498E-3</v>
      </c>
      <c r="R1191" s="1303">
        <v>3.8500011034136201E-2</v>
      </c>
      <c r="S1191" s="1288">
        <v>3.8500011034136097E-2</v>
      </c>
      <c r="T1191" s="1288">
        <v>3.8500011034136097E-2</v>
      </c>
      <c r="U1191" s="1280">
        <v>1.9250005517068101E-2</v>
      </c>
      <c r="V1191" s="1294">
        <v>4.9972090857958104E-3</v>
      </c>
    </row>
    <row r="1192" spans="1:22" s="212" customFormat="1" ht="15.5" x14ac:dyDescent="0.35">
      <c r="A1192" s="240">
        <v>2035</v>
      </c>
      <c r="B1192" s="241" t="s">
        <v>5833</v>
      </c>
      <c r="C1192" s="241">
        <v>2023</v>
      </c>
      <c r="D1192" s="229" t="str">
        <f t="shared" si="5"/>
        <v>2035_2023</v>
      </c>
      <c r="E1192" s="1231">
        <v>6.0044242355393303E-2</v>
      </c>
      <c r="F1192" s="1288">
        <v>2.14568643785128E-2</v>
      </c>
      <c r="G1192" s="1306">
        <v>6.4166914606954006E-2</v>
      </c>
      <c r="H1192" s="1303">
        <v>0.32055924995471602</v>
      </c>
      <c r="I1192" s="1288">
        <v>0.42695180442360497</v>
      </c>
      <c r="J1192" s="1306">
        <v>9.8121414478204494E-2</v>
      </c>
      <c r="K1192" s="1303">
        <v>5.8130217418280996E-3</v>
      </c>
      <c r="L1192" s="1288">
        <v>2.0701222927225799E-3</v>
      </c>
      <c r="M1192" s="1306">
        <v>3.78670064636195E-4</v>
      </c>
      <c r="N1192" s="1303">
        <v>7.0459343563123297E-3</v>
      </c>
      <c r="O1192" s="1288">
        <v>3.0000008598028201E-3</v>
      </c>
      <c r="P1192" s="1288">
        <v>8.6060456267892296E-3</v>
      </c>
      <c r="Q1192" s="1280">
        <v>7.0459343563123297E-3</v>
      </c>
      <c r="R1192" s="1303">
        <v>3.8500011034136201E-2</v>
      </c>
      <c r="S1192" s="1288">
        <v>3.8500011034136201E-2</v>
      </c>
      <c r="T1192" s="1288">
        <v>3.8500011034136201E-2</v>
      </c>
      <c r="U1192" s="1280">
        <v>1.9250005517068101E-2</v>
      </c>
      <c r="V1192" s="1294">
        <v>6.0758607900916204E-3</v>
      </c>
    </row>
    <row r="1193" spans="1:22" s="212" customFormat="1" ht="15.5" x14ac:dyDescent="0.35">
      <c r="A1193" s="240">
        <v>2035</v>
      </c>
      <c r="B1193" s="241" t="s">
        <v>5833</v>
      </c>
      <c r="C1193" s="241">
        <v>2024</v>
      </c>
      <c r="D1193" s="229" t="str">
        <f t="shared" si="5"/>
        <v>2035_2024</v>
      </c>
      <c r="E1193" s="1231">
        <v>5.8444989164160001E-2</v>
      </c>
      <c r="F1193" s="1288">
        <v>2.1628252108833599E-2</v>
      </c>
      <c r="G1193" s="1306">
        <v>6.2329537347449698E-2</v>
      </c>
      <c r="H1193" s="1303">
        <v>0.308987391008191</v>
      </c>
      <c r="I1193" s="1288">
        <v>0.39623878351815001</v>
      </c>
      <c r="J1193" s="1306">
        <v>9.8766318777119499E-2</v>
      </c>
      <c r="K1193" s="1303">
        <v>5.6022488474494697E-3</v>
      </c>
      <c r="L1193" s="1288">
        <v>2.08673281642485E-3</v>
      </c>
      <c r="M1193" s="1306">
        <v>3.7942610499649802E-4</v>
      </c>
      <c r="N1193" s="1303">
        <v>6.8277483585547898E-3</v>
      </c>
      <c r="O1193" s="1288">
        <v>3.0000008598028201E-3</v>
      </c>
      <c r="P1193" s="1288">
        <v>8.1762668614829698E-3</v>
      </c>
      <c r="Q1193" s="1306">
        <v>8.4690603859683099E-3</v>
      </c>
      <c r="R1193" s="1303">
        <v>3.8500011034136201E-2</v>
      </c>
      <c r="S1193" s="1288">
        <v>3.8500011034136201E-2</v>
      </c>
      <c r="T1193" s="1288">
        <v>3.8500011034136201E-2</v>
      </c>
      <c r="U1193" s="1306">
        <v>1.9250005517068101E-2</v>
      </c>
      <c r="V1193" s="1294">
        <v>5.8555576807200497E-3</v>
      </c>
    </row>
    <row r="1194" spans="1:22" s="212" customFormat="1" ht="15.5" x14ac:dyDescent="0.35">
      <c r="A1194" s="240">
        <v>2035</v>
      </c>
      <c r="B1194" s="241" t="s">
        <v>5833</v>
      </c>
      <c r="C1194" s="241">
        <v>2025</v>
      </c>
      <c r="D1194" s="229" t="str">
        <f t="shared" si="5"/>
        <v>2035_2025</v>
      </c>
      <c r="E1194" s="1231">
        <v>6.7046720356964504E-2</v>
      </c>
      <c r="F1194" s="1288">
        <v>7.3027201325980796E-3</v>
      </c>
      <c r="G1194" s="1306">
        <v>5.5050885375794001E-2</v>
      </c>
      <c r="H1194" s="1303">
        <v>0.36393254102515099</v>
      </c>
      <c r="I1194" s="1288">
        <v>0.117910506819028</v>
      </c>
      <c r="J1194" s="1306">
        <v>8.7933114289573899E-2</v>
      </c>
      <c r="K1194" s="1303">
        <v>6.9062788372196903E-3</v>
      </c>
      <c r="L1194" s="1288">
        <v>1.3456878261723299E-3</v>
      </c>
      <c r="M1194" s="1306">
        <v>6.4608022071134096E-4</v>
      </c>
      <c r="N1194" s="1303">
        <v>7.8252844597193096E-3</v>
      </c>
      <c r="O1194" s="1288">
        <v>2.2897841947133899E-3</v>
      </c>
      <c r="P1194" s="1288">
        <v>7.2329655940151097E-3</v>
      </c>
      <c r="Q1194" s="1306">
        <v>8.12190024590086E-3</v>
      </c>
      <c r="R1194" s="1303">
        <v>3.83901922330784E-2</v>
      </c>
      <c r="S1194" s="1288">
        <v>3.3777070211291498E-2</v>
      </c>
      <c r="T1194" s="1288">
        <v>3.8395805477708898E-2</v>
      </c>
      <c r="U1194" s="1306">
        <v>1.9250005517068101E-2</v>
      </c>
      <c r="V1194" s="1294">
        <v>7.2185501200803101E-3</v>
      </c>
    </row>
    <row r="1195" spans="1:22" s="212" customFormat="1" ht="15.5" x14ac:dyDescent="0.35">
      <c r="A1195" s="240">
        <v>2035</v>
      </c>
      <c r="B1195" s="241" t="s">
        <v>5833</v>
      </c>
      <c r="C1195" s="241">
        <v>2026</v>
      </c>
      <c r="D1195" s="229" t="str">
        <f t="shared" si="5"/>
        <v>2035_2026</v>
      </c>
      <c r="E1195" s="1231">
        <v>6.1412342944526702E-2</v>
      </c>
      <c r="F1195" s="1288">
        <v>8.0441806192946101E-3</v>
      </c>
      <c r="G1195" s="1306">
        <v>5.1890091461858197E-2</v>
      </c>
      <c r="H1195" s="1303">
        <v>0.32833915796234697</v>
      </c>
      <c r="I1195" s="1288">
        <v>0.15780496474198999</v>
      </c>
      <c r="J1195" s="1306">
        <v>8.2410450137564401E-2</v>
      </c>
      <c r="K1195" s="1303">
        <v>6.0134415852615896E-3</v>
      </c>
      <c r="L1195" s="1288">
        <v>1.27074554618687E-3</v>
      </c>
      <c r="M1195" s="1306">
        <v>8.1917796188162397E-4</v>
      </c>
      <c r="N1195" s="1303">
        <v>7.16551310923072E-3</v>
      </c>
      <c r="O1195" s="1288">
        <v>2.4607874227618501E-3</v>
      </c>
      <c r="P1195" s="1288">
        <v>7.1839211312385801E-3</v>
      </c>
      <c r="Q1195" s="1306">
        <v>8.7337429995912007E-3</v>
      </c>
      <c r="R1195" s="1303">
        <v>3.84644305177919E-2</v>
      </c>
      <c r="S1195" s="1288">
        <v>3.4914241677813797E-2</v>
      </c>
      <c r="T1195" s="1288">
        <v>3.8249559809573001E-2</v>
      </c>
      <c r="U1195" s="1306">
        <v>1.9250005517068101E-2</v>
      </c>
      <c r="V1195" s="1294">
        <v>6.2853427294952899E-3</v>
      </c>
    </row>
    <row r="1196" spans="1:22" s="212" customFormat="1" ht="15.5" x14ac:dyDescent="0.35">
      <c r="A1196" s="240">
        <v>2035</v>
      </c>
      <c r="B1196" s="241" t="s">
        <v>5833</v>
      </c>
      <c r="C1196" s="241">
        <v>2027</v>
      </c>
      <c r="D1196" s="229" t="str">
        <f t="shared" si="5"/>
        <v>2035_2027</v>
      </c>
      <c r="E1196" s="1231">
        <v>6.9680933776957804E-2</v>
      </c>
      <c r="F1196" s="1288">
        <v>3.9540469920464E-3</v>
      </c>
      <c r="G1196" s="1306">
        <v>5.8451704445095697E-2</v>
      </c>
      <c r="H1196" s="1303">
        <v>0.39513540893795801</v>
      </c>
      <c r="I1196" s="1288">
        <v>6.9784303618736193E-2</v>
      </c>
      <c r="J1196" s="1306">
        <v>9.6670316959371699E-2</v>
      </c>
      <c r="K1196" s="1303">
        <v>6.8587415532161897E-3</v>
      </c>
      <c r="L1196" s="1288">
        <v>1.11265155462237E-3</v>
      </c>
      <c r="M1196" s="1306">
        <v>7.2370424199396201E-4</v>
      </c>
      <c r="N1196" s="1303">
        <v>7.8504628206927992E-3</v>
      </c>
      <c r="O1196" s="1288">
        <v>2.17493873998496E-3</v>
      </c>
      <c r="P1196" s="1288">
        <v>7.8043906238162604E-3</v>
      </c>
      <c r="Q1196" s="1306">
        <v>7.9141820106778307E-3</v>
      </c>
      <c r="R1196" s="1303">
        <v>3.8361482315821302E-2</v>
      </c>
      <c r="S1196" s="1288">
        <v>3.30133479373474E-2</v>
      </c>
      <c r="T1196" s="1288">
        <v>3.8362517854726101E-2</v>
      </c>
      <c r="U1196" s="1306">
        <v>1.9250005517068101E-2</v>
      </c>
      <c r="V1196" s="1294">
        <v>7.16886341103775E-3</v>
      </c>
    </row>
    <row r="1197" spans="1:22" s="212" customFormat="1" ht="15.5" x14ac:dyDescent="0.35">
      <c r="A1197" s="240">
        <v>2035</v>
      </c>
      <c r="B1197" s="241" t="s">
        <v>5833</v>
      </c>
      <c r="C1197" s="241">
        <v>2028</v>
      </c>
      <c r="D1197" s="229" t="str">
        <f t="shared" si="5"/>
        <v>2035_2028</v>
      </c>
      <c r="E1197" s="1231">
        <v>6.5834249117817101E-2</v>
      </c>
      <c r="F1197" s="1288">
        <v>7.6562297828346101E-3</v>
      </c>
      <c r="G1197" s="1306">
        <v>5.88111261056182E-2</v>
      </c>
      <c r="H1197" s="1303">
        <v>0.36003919816124902</v>
      </c>
      <c r="I1197" s="1288">
        <v>0.118504253537925</v>
      </c>
      <c r="J1197" s="1306">
        <v>0.100651054706487</v>
      </c>
      <c r="K1197" s="1303">
        <v>6.5860727530212097E-3</v>
      </c>
      <c r="L1197" s="1288">
        <v>1.3042738398884499E-3</v>
      </c>
      <c r="M1197" s="1306">
        <v>1.06228015299741E-3</v>
      </c>
      <c r="N1197" s="1303">
        <v>7.7712270796596403E-3</v>
      </c>
      <c r="O1197" s="1288">
        <v>2.3743079061995099E-3</v>
      </c>
      <c r="P1197" s="1288">
        <v>7.7308208824048898E-3</v>
      </c>
      <c r="Q1197" s="1306">
        <v>7.9427433315009295E-3</v>
      </c>
      <c r="R1197" s="1303">
        <v>3.8463848921908399E-2</v>
      </c>
      <c r="S1197" s="1288">
        <v>3.4339152892674203E-2</v>
      </c>
      <c r="T1197" s="1288">
        <v>3.8062585947839199E-2</v>
      </c>
      <c r="U1197" s="1306">
        <v>1.9250005517068101E-2</v>
      </c>
      <c r="V1197" s="1294">
        <v>6.8838657376478199E-3</v>
      </c>
    </row>
    <row r="1198" spans="1:22" s="212" customFormat="1" ht="15.5" x14ac:dyDescent="0.35">
      <c r="A1198" s="240">
        <v>2035</v>
      </c>
      <c r="B1198" s="241" t="s">
        <v>5833</v>
      </c>
      <c r="C1198" s="241">
        <v>2029</v>
      </c>
      <c r="D1198" s="229" t="str">
        <f t="shared" ref="D1198:D1205" si="6">CONCATENATE(A1198,"_",C1198)</f>
        <v>2035_2029</v>
      </c>
      <c r="E1198" s="1231">
        <v>6.3069133345720896E-2</v>
      </c>
      <c r="F1198" s="1288">
        <v>7.2065764465125597E-3</v>
      </c>
      <c r="G1198" s="1306">
        <v>6.2628999109376596E-2</v>
      </c>
      <c r="H1198" s="1303">
        <v>0.338502740662257</v>
      </c>
      <c r="I1198" s="1288">
        <v>0.115166064203093</v>
      </c>
      <c r="J1198" s="1306">
        <v>0.111654291963577</v>
      </c>
      <c r="K1198" s="1303">
        <v>6.2540946486439397E-3</v>
      </c>
      <c r="L1198" s="1288">
        <v>1.25270201893052E-3</v>
      </c>
      <c r="M1198" s="1306">
        <v>8.8803433739451999E-4</v>
      </c>
      <c r="N1198" s="1303">
        <v>7.3591644136986097E-3</v>
      </c>
      <c r="O1198" s="1288">
        <v>2.3930042622993799E-3</v>
      </c>
      <c r="P1198" s="1288">
        <v>8.2423372137655493E-3</v>
      </c>
      <c r="Q1198" s="1306">
        <v>8.3085958763830497E-3</v>
      </c>
      <c r="R1198" s="1303">
        <v>3.8435790840330497E-2</v>
      </c>
      <c r="S1198" s="1288">
        <v>3.44634836607383E-2</v>
      </c>
      <c r="T1198" s="1288">
        <v>3.8206987430294201E-2</v>
      </c>
      <c r="U1198" s="1306">
        <v>1.9250005517068101E-2</v>
      </c>
      <c r="V1198" s="1294">
        <v>6.5368770565216302E-3</v>
      </c>
    </row>
    <row r="1199" spans="1:22" s="212" customFormat="1" ht="15.5" x14ac:dyDescent="0.35">
      <c r="A1199" s="240">
        <v>2035</v>
      </c>
      <c r="B1199" s="241" t="s">
        <v>5833</v>
      </c>
      <c r="C1199" s="241">
        <v>2030</v>
      </c>
      <c r="D1199" s="229" t="str">
        <f t="shared" si="6"/>
        <v>2035_2030</v>
      </c>
      <c r="E1199" s="1231">
        <v>9.8071345454130598E-2</v>
      </c>
      <c r="F1199" s="1288">
        <v>2.9528262215523099E-3</v>
      </c>
      <c r="G1199" s="1306">
        <v>9.1044364174432096E-2</v>
      </c>
      <c r="H1199" s="1303">
        <v>0.205104507408334</v>
      </c>
      <c r="I1199" s="1288">
        <v>1.4695127163108401E-2</v>
      </c>
      <c r="J1199" s="1306">
        <v>0.19445005274183799</v>
      </c>
      <c r="K1199" s="1303">
        <v>1.5959919249961499E-2</v>
      </c>
      <c r="L1199" s="1288">
        <v>1.1815854850312801E-3</v>
      </c>
      <c r="M1199" s="1306">
        <v>1.5012329690946199E-2</v>
      </c>
      <c r="N1199" s="1303">
        <v>3.0000008598028201E-3</v>
      </c>
      <c r="O1199" s="1288">
        <v>2.0000005732018801E-3</v>
      </c>
      <c r="P1199" s="1288">
        <v>3.0000008598028201E-3</v>
      </c>
      <c r="Q1199" s="1306">
        <v>7.8222780240651494E-3</v>
      </c>
      <c r="R1199" s="1303">
        <v>3.1850009128239903E-2</v>
      </c>
      <c r="S1199" s="1288">
        <v>3.1850009128239903E-2</v>
      </c>
      <c r="T1199" s="1288">
        <v>3.1850009128239903E-2</v>
      </c>
      <c r="U1199" s="1306">
        <v>1.9250005517068101E-2</v>
      </c>
      <c r="V1199" s="1294">
        <v>1.6681555977351901E-2</v>
      </c>
    </row>
    <row r="1200" spans="1:22" s="212" customFormat="1" ht="15.5" x14ac:dyDescent="0.35">
      <c r="A1200" s="240">
        <v>2035</v>
      </c>
      <c r="B1200" s="241" t="s">
        <v>5833</v>
      </c>
      <c r="C1200" s="241">
        <v>2031</v>
      </c>
      <c r="D1200" s="229" t="str">
        <f t="shared" si="6"/>
        <v>2035_2031</v>
      </c>
      <c r="E1200" s="1231">
        <v>9.7354789033539293E-2</v>
      </c>
      <c r="F1200" s="1288">
        <v>2.45391167144034E-3</v>
      </c>
      <c r="G1200" s="1306">
        <v>8.6040065063975296E-2</v>
      </c>
      <c r="H1200" s="1303">
        <v>0.19777100988257401</v>
      </c>
      <c r="I1200" s="1288">
        <v>1.5855346996266902E-2</v>
      </c>
      <c r="J1200" s="1306">
        <v>0.18274503007605</v>
      </c>
      <c r="K1200" s="1303">
        <v>1.4571997455871699E-2</v>
      </c>
      <c r="L1200" s="1288">
        <v>1.12578437093932E-3</v>
      </c>
      <c r="M1200" s="1306">
        <v>1.32164332373623E-2</v>
      </c>
      <c r="N1200" s="1303">
        <v>3.0000008598028201E-3</v>
      </c>
      <c r="O1200" s="1288">
        <v>2.0000005732018801E-3</v>
      </c>
      <c r="P1200" s="1288">
        <v>3.0000008598028201E-3</v>
      </c>
      <c r="Q1200" s="1306">
        <v>8.1120328320053899E-3</v>
      </c>
      <c r="R1200" s="1303">
        <v>3.1850009128239903E-2</v>
      </c>
      <c r="S1200" s="1288">
        <v>3.1850009128239903E-2</v>
      </c>
      <c r="T1200" s="1288">
        <v>3.1850009128239903E-2</v>
      </c>
      <c r="U1200" s="1306">
        <v>1.9250005517068101E-2</v>
      </c>
      <c r="V1200" s="1294">
        <v>1.52308785185452E-2</v>
      </c>
    </row>
    <row r="1201" spans="1:22" s="212" customFormat="1" ht="15.5" x14ac:dyDescent="0.35">
      <c r="A1201" s="240">
        <v>2035</v>
      </c>
      <c r="B1201" s="241" t="s">
        <v>5833</v>
      </c>
      <c r="C1201" s="241">
        <v>2032</v>
      </c>
      <c r="D1201" s="229" t="str">
        <f t="shared" si="6"/>
        <v>2035_2032</v>
      </c>
      <c r="E1201" s="1231">
        <v>9.3427265683369495E-2</v>
      </c>
      <c r="F1201" s="1288">
        <v>3.1397286242371199E-3</v>
      </c>
      <c r="G1201" s="1306">
        <v>7.2720249896042602E-2</v>
      </c>
      <c r="H1201" s="1303">
        <v>0.18459502109526199</v>
      </c>
      <c r="I1201" s="1288">
        <v>1.64928928805382E-2</v>
      </c>
      <c r="J1201" s="1306">
        <v>0.15109519469388999</v>
      </c>
      <c r="K1201" s="1303">
        <v>1.26258227358498E-2</v>
      </c>
      <c r="L1201" s="1288">
        <v>1.1594691371772201E-3</v>
      </c>
      <c r="M1201" s="1306">
        <v>1.0196178519759101E-2</v>
      </c>
      <c r="N1201" s="1303">
        <v>3.0000008598028201E-3</v>
      </c>
      <c r="O1201" s="1288">
        <v>2.0000005732018801E-3</v>
      </c>
      <c r="P1201" s="1288">
        <v>3.0000008598028201E-3</v>
      </c>
      <c r="Q1201" s="1306">
        <v>7.7480283451327701E-3</v>
      </c>
      <c r="R1201" s="1303">
        <v>3.1850009128239903E-2</v>
      </c>
      <c r="S1201" s="1288">
        <v>3.1850009128239903E-2</v>
      </c>
      <c r="T1201" s="1288">
        <v>3.1850009128239903E-2</v>
      </c>
      <c r="U1201" s="1306">
        <v>1.9250005517068101E-2</v>
      </c>
      <c r="V1201" s="1294">
        <v>1.3196706413706299E-2</v>
      </c>
    </row>
    <row r="1202" spans="1:22" s="212" customFormat="1" ht="15.5" x14ac:dyDescent="0.35">
      <c r="A1202" s="240">
        <v>2035</v>
      </c>
      <c r="B1202" s="241" t="s">
        <v>5833</v>
      </c>
      <c r="C1202" s="241">
        <v>2033</v>
      </c>
      <c r="D1202" s="229" t="str">
        <f t="shared" si="6"/>
        <v>2035_2033</v>
      </c>
      <c r="E1202" s="1231">
        <v>9.1011775317261304E-2</v>
      </c>
      <c r="F1202" s="1288">
        <v>2.9207944277801199E-3</v>
      </c>
      <c r="G1202" s="1306">
        <v>6.8276629950817305E-2</v>
      </c>
      <c r="H1202" s="1303">
        <v>0.17356603917629401</v>
      </c>
      <c r="I1202" s="1288">
        <v>1.9118155662326299E-2</v>
      </c>
      <c r="J1202" s="1306">
        <v>0.13757432185752499</v>
      </c>
      <c r="K1202" s="1303">
        <v>1.08415893194525E-2</v>
      </c>
      <c r="L1202" s="1288">
        <v>1.10713587809495E-3</v>
      </c>
      <c r="M1202" s="1306">
        <v>8.4753963337542704E-3</v>
      </c>
      <c r="N1202" s="1303">
        <v>3.0000008598028201E-3</v>
      </c>
      <c r="O1202" s="1288">
        <v>2.0000005732018801E-3</v>
      </c>
      <c r="P1202" s="1288">
        <v>3.0000008598028201E-3</v>
      </c>
      <c r="Q1202" s="1306">
        <v>7.0779306122425202E-3</v>
      </c>
      <c r="R1202" s="1303">
        <v>3.1850009128239903E-2</v>
      </c>
      <c r="S1202" s="1288">
        <v>3.1850009128239903E-2</v>
      </c>
      <c r="T1202" s="1288">
        <v>3.1850009128239903E-2</v>
      </c>
      <c r="U1202" s="1306">
        <v>1.9250005517068101E-2</v>
      </c>
      <c r="V1202" s="1294">
        <v>1.1331797879638001E-2</v>
      </c>
    </row>
    <row r="1203" spans="1:22" s="212" customFormat="1" ht="15.5" x14ac:dyDescent="0.35">
      <c r="A1203" s="240">
        <v>2035</v>
      </c>
      <c r="B1203" s="241" t="s">
        <v>5833</v>
      </c>
      <c r="C1203" s="241">
        <v>2034</v>
      </c>
      <c r="D1203" s="229" t="str">
        <f t="shared" si="6"/>
        <v>2035_2034</v>
      </c>
      <c r="E1203" s="1231">
        <v>8.8187986503437302E-2</v>
      </c>
      <c r="F1203" s="1288">
        <v>4.0589932965790602E-3</v>
      </c>
      <c r="G1203" s="1306">
        <v>5.8322462433393903E-2</v>
      </c>
      <c r="H1203" s="1303">
        <v>0.16164421121863801</v>
      </c>
      <c r="I1203" s="1288">
        <v>2.0803173975800501E-2</v>
      </c>
      <c r="J1203" s="1306">
        <v>0.12886431813535301</v>
      </c>
      <c r="K1203" s="1303">
        <v>8.9440256333195405E-3</v>
      </c>
      <c r="L1203" s="1288">
        <v>1.17891071199462E-3</v>
      </c>
      <c r="M1203" s="1306">
        <v>6.6106099072592503E-3</v>
      </c>
      <c r="N1203" s="1303">
        <v>3.0000008598028201E-3</v>
      </c>
      <c r="O1203" s="1288">
        <v>2.0000005732018801E-3</v>
      </c>
      <c r="P1203" s="1288">
        <v>3.0000008598028201E-3</v>
      </c>
      <c r="Q1203" s="1306">
        <v>5.7121094500660798E-3</v>
      </c>
      <c r="R1203" s="1303">
        <v>3.1850009128239903E-2</v>
      </c>
      <c r="S1203" s="1288">
        <v>3.1850009128239903E-2</v>
      </c>
      <c r="T1203" s="1288">
        <v>3.1850009128239903E-2</v>
      </c>
      <c r="U1203" s="1306">
        <v>1.9250005517068101E-2</v>
      </c>
      <c r="V1203" s="1294">
        <v>9.3484347839323106E-3</v>
      </c>
    </row>
    <row r="1204" spans="1:22" s="212" customFormat="1" ht="15.5" x14ac:dyDescent="0.35">
      <c r="A1204" s="240">
        <v>2035</v>
      </c>
      <c r="B1204" s="241" t="s">
        <v>5833</v>
      </c>
      <c r="C1204" s="241">
        <v>2035</v>
      </c>
      <c r="D1204" s="229" t="str">
        <f t="shared" si="6"/>
        <v>2035_2035</v>
      </c>
      <c r="E1204" s="1231">
        <v>8.5054117396076101E-2</v>
      </c>
      <c r="F1204" s="1288">
        <v>2.3943431404425302E-3</v>
      </c>
      <c r="G1204" s="1306">
        <v>5.5730161270937197E-2</v>
      </c>
      <c r="H1204" s="1303">
        <v>0.14891989632472799</v>
      </c>
      <c r="I1204" s="1288">
        <v>2.0912805106907899E-2</v>
      </c>
      <c r="J1204" s="1306">
        <v>0.12107537341397499</v>
      </c>
      <c r="K1204" s="1303">
        <v>6.9479719546102197E-3</v>
      </c>
      <c r="L1204" s="1288">
        <v>1.0546316138930101E-3</v>
      </c>
      <c r="M1204" s="1306">
        <v>5.16646934367632E-3</v>
      </c>
      <c r="N1204" s="1303">
        <v>3.0000008598028201E-3</v>
      </c>
      <c r="O1204" s="1288">
        <v>2.0000005732018801E-3</v>
      </c>
      <c r="P1204" s="1288">
        <v>3.0000008598028201E-3</v>
      </c>
      <c r="Q1204" s="1306">
        <v>8.08268618211762E-3</v>
      </c>
      <c r="R1204" s="1303">
        <v>3.1850009128239903E-2</v>
      </c>
      <c r="S1204" s="1288">
        <v>3.1850009128239903E-2</v>
      </c>
      <c r="T1204" s="1288">
        <v>3.1850009128239903E-2</v>
      </c>
      <c r="U1204" s="1306">
        <v>1.9250005517068101E-2</v>
      </c>
      <c r="V1204" s="1294">
        <v>7.2621284152287703E-3</v>
      </c>
    </row>
    <row r="1205" spans="1:22" s="212" customFormat="1" ht="15.5" x14ac:dyDescent="0.35">
      <c r="A1205" s="240">
        <v>2035</v>
      </c>
      <c r="B1205" s="241" t="s">
        <v>5833</v>
      </c>
      <c r="C1205" s="241">
        <v>2036</v>
      </c>
      <c r="D1205" s="229" t="str">
        <f t="shared" si="6"/>
        <v>2035_2036</v>
      </c>
      <c r="E1205" s="1226">
        <v>8.5054117396076101E-2</v>
      </c>
      <c r="F1205" s="1257">
        <v>2.3943431404425302E-3</v>
      </c>
      <c r="G1205" s="1280">
        <v>5.5730161270937197E-2</v>
      </c>
      <c r="H1205" s="1271">
        <v>0.14891989632472799</v>
      </c>
      <c r="I1205" s="1257">
        <v>2.0912805106907899E-2</v>
      </c>
      <c r="J1205" s="1280">
        <v>0.12107537341397499</v>
      </c>
      <c r="K1205" s="1271">
        <v>6.9479719546102197E-3</v>
      </c>
      <c r="L1205" s="1257">
        <v>1.0546316138930101E-3</v>
      </c>
      <c r="M1205" s="1280">
        <v>5.16646934367632E-3</v>
      </c>
      <c r="N1205" s="1271">
        <v>3.0000008598028201E-3</v>
      </c>
      <c r="O1205" s="1257">
        <v>2.0000005732018801E-3</v>
      </c>
      <c r="P1205" s="1257">
        <v>3.0000008598028201E-3</v>
      </c>
      <c r="Q1205" s="1280">
        <v>8.08268618211762E-3</v>
      </c>
      <c r="R1205" s="1271">
        <v>3.1850009128239903E-2</v>
      </c>
      <c r="S1205" s="1257">
        <v>3.1850009128239903E-2</v>
      </c>
      <c r="T1205" s="1257">
        <v>3.1850009128239903E-2</v>
      </c>
      <c r="U1205" s="1280">
        <v>1.9250005517068101E-2</v>
      </c>
      <c r="V1205" s="1293">
        <v>7.2621284152287703E-3</v>
      </c>
    </row>
    <row r="1206" spans="1:22" s="212" customFormat="1" ht="15.5" x14ac:dyDescent="0.35">
      <c r="A1206" s="240">
        <v>2036</v>
      </c>
      <c r="B1206" s="241" t="s">
        <v>5833</v>
      </c>
      <c r="C1206" s="241">
        <v>1971</v>
      </c>
      <c r="D1206" s="229" t="str">
        <f t="shared" si="5"/>
        <v>2036_1971</v>
      </c>
      <c r="E1206" s="1226">
        <v>5.2305979793412401E-2</v>
      </c>
      <c r="F1206" s="1257">
        <v>2.1375512630582499E-2</v>
      </c>
      <c r="G1206" s="1280">
        <v>6.5979035952553403E-2</v>
      </c>
      <c r="H1206" s="1271">
        <v>0.26507928128173203</v>
      </c>
      <c r="I1206" s="1257">
        <v>0.48162770433306801</v>
      </c>
      <c r="J1206" s="1280">
        <v>0.13236337513930799</v>
      </c>
      <c r="K1206" s="1271">
        <v>4.7810320398324899E-3</v>
      </c>
      <c r="L1206" s="1257">
        <v>2.0628220200158399E-3</v>
      </c>
      <c r="M1206" s="1280">
        <v>4.6152132085004998E-4</v>
      </c>
      <c r="N1206" s="1271">
        <v>5.98400326697266E-3</v>
      </c>
      <c r="O1206" s="1257">
        <v>3.0000008598028201E-3</v>
      </c>
      <c r="P1206" s="1257">
        <v>8.6905487153050298E-3</v>
      </c>
      <c r="Q1206" s="1280">
        <v>5.98400326697266E-3</v>
      </c>
      <c r="R1206" s="1271">
        <v>3.8500011034136201E-2</v>
      </c>
      <c r="S1206" s="1257">
        <v>3.8500011034136201E-2</v>
      </c>
      <c r="T1206" s="1257">
        <v>3.8500011034136201E-2</v>
      </c>
      <c r="U1206" s="1280">
        <v>1.9250005517068101E-2</v>
      </c>
      <c r="V1206" s="1293">
        <v>4.9972090931582501E-3</v>
      </c>
    </row>
    <row r="1207" spans="1:22" s="212" customFormat="1" ht="15.5" x14ac:dyDescent="0.35">
      <c r="A1207" s="240">
        <v>2036</v>
      </c>
      <c r="B1207" s="241" t="s">
        <v>5833</v>
      </c>
      <c r="C1207" s="241">
        <v>1972</v>
      </c>
      <c r="D1207" s="229" t="str">
        <f t="shared" si="5"/>
        <v>2036_1972</v>
      </c>
      <c r="E1207" s="1226">
        <v>5.2305979793412401E-2</v>
      </c>
      <c r="F1207" s="1257">
        <v>2.1375512630582499E-2</v>
      </c>
      <c r="G1207" s="1280">
        <v>6.5979035952553403E-2</v>
      </c>
      <c r="H1207" s="1271">
        <v>0.26507928128173203</v>
      </c>
      <c r="I1207" s="1257">
        <v>0.48162770433306801</v>
      </c>
      <c r="J1207" s="1280">
        <v>0.13236337513930799</v>
      </c>
      <c r="K1207" s="1271">
        <v>4.7810320398324899E-3</v>
      </c>
      <c r="L1207" s="1257">
        <v>2.0628220200158399E-3</v>
      </c>
      <c r="M1207" s="1280">
        <v>4.6152132085004998E-4</v>
      </c>
      <c r="N1207" s="1271">
        <v>5.98400326697266E-3</v>
      </c>
      <c r="O1207" s="1257">
        <v>3.0000008598028201E-3</v>
      </c>
      <c r="P1207" s="1257">
        <v>8.6905487153050298E-3</v>
      </c>
      <c r="Q1207" s="1280">
        <v>5.98400326697266E-3</v>
      </c>
      <c r="R1207" s="1271">
        <v>3.8500011034136201E-2</v>
      </c>
      <c r="S1207" s="1257">
        <v>3.8500011034136201E-2</v>
      </c>
      <c r="T1207" s="1257">
        <v>3.8500011034136201E-2</v>
      </c>
      <c r="U1207" s="1280">
        <v>1.9250005517068101E-2</v>
      </c>
      <c r="V1207" s="1293">
        <v>4.9972090931582501E-3</v>
      </c>
    </row>
    <row r="1208" spans="1:22" s="212" customFormat="1" ht="15.5" x14ac:dyDescent="0.35">
      <c r="A1208" s="240">
        <v>2036</v>
      </c>
      <c r="B1208" s="241" t="s">
        <v>5833</v>
      </c>
      <c r="C1208" s="241">
        <v>1973</v>
      </c>
      <c r="D1208" s="229" t="str">
        <f t="shared" si="5"/>
        <v>2036_1973</v>
      </c>
      <c r="E1208" s="1226">
        <v>5.2305979793412401E-2</v>
      </c>
      <c r="F1208" s="1257">
        <v>2.1375512630582499E-2</v>
      </c>
      <c r="G1208" s="1280">
        <v>6.5979035952553403E-2</v>
      </c>
      <c r="H1208" s="1271">
        <v>0.26507928128173203</v>
      </c>
      <c r="I1208" s="1257">
        <v>0.48162770433306801</v>
      </c>
      <c r="J1208" s="1280">
        <v>0.13236337513930799</v>
      </c>
      <c r="K1208" s="1271">
        <v>4.7810320398324899E-3</v>
      </c>
      <c r="L1208" s="1257">
        <v>2.0628220200158399E-3</v>
      </c>
      <c r="M1208" s="1280">
        <v>4.6152132085004998E-4</v>
      </c>
      <c r="N1208" s="1271">
        <v>5.98400326697266E-3</v>
      </c>
      <c r="O1208" s="1257">
        <v>3.0000008598028201E-3</v>
      </c>
      <c r="P1208" s="1257">
        <v>8.6905487153050298E-3</v>
      </c>
      <c r="Q1208" s="1280">
        <v>5.98400326697266E-3</v>
      </c>
      <c r="R1208" s="1271">
        <v>3.8500011034136201E-2</v>
      </c>
      <c r="S1208" s="1257">
        <v>3.8500011034136201E-2</v>
      </c>
      <c r="T1208" s="1257">
        <v>3.8500011034136201E-2</v>
      </c>
      <c r="U1208" s="1280">
        <v>1.9250005517068101E-2</v>
      </c>
      <c r="V1208" s="1293">
        <v>4.9972090931582501E-3</v>
      </c>
    </row>
    <row r="1209" spans="1:22" s="212" customFormat="1" ht="15.5" x14ac:dyDescent="0.35">
      <c r="A1209" s="198">
        <v>2036</v>
      </c>
      <c r="B1209" s="197" t="s">
        <v>5833</v>
      </c>
      <c r="C1209" s="197">
        <v>1974</v>
      </c>
      <c r="D1209" s="225" t="str">
        <f t="shared" si="5"/>
        <v>2036_1974</v>
      </c>
      <c r="E1209" s="1226">
        <v>5.2305979793412401E-2</v>
      </c>
      <c r="F1209" s="1257">
        <v>2.1375512630582499E-2</v>
      </c>
      <c r="G1209" s="1280">
        <v>6.5979035952553403E-2</v>
      </c>
      <c r="H1209" s="1271">
        <v>0.26507928128173203</v>
      </c>
      <c r="I1209" s="1257">
        <v>0.48162770433306801</v>
      </c>
      <c r="J1209" s="1280">
        <v>0.13236337513930799</v>
      </c>
      <c r="K1209" s="1271">
        <v>4.7810320398324899E-3</v>
      </c>
      <c r="L1209" s="1257">
        <v>2.0628220200158399E-3</v>
      </c>
      <c r="M1209" s="1280">
        <v>4.6152132085004998E-4</v>
      </c>
      <c r="N1209" s="1271">
        <v>5.98400326697266E-3</v>
      </c>
      <c r="O1209" s="1257">
        <v>3.0000008598028201E-3</v>
      </c>
      <c r="P1209" s="1257">
        <v>8.6905487153050298E-3</v>
      </c>
      <c r="Q1209" s="1280">
        <v>5.98400326697266E-3</v>
      </c>
      <c r="R1209" s="1271">
        <v>3.8500011034136201E-2</v>
      </c>
      <c r="S1209" s="1257">
        <v>3.8500011034136201E-2</v>
      </c>
      <c r="T1209" s="1257">
        <v>3.8500011034136201E-2</v>
      </c>
      <c r="U1209" s="1280">
        <v>1.9250005517068101E-2</v>
      </c>
      <c r="V1209" s="1293">
        <v>4.9972090931582501E-3</v>
      </c>
    </row>
    <row r="1210" spans="1:22" s="212" customFormat="1" ht="15.5" x14ac:dyDescent="0.35">
      <c r="A1210" s="198">
        <v>2036</v>
      </c>
      <c r="B1210" s="197" t="s">
        <v>5833</v>
      </c>
      <c r="C1210" s="197">
        <v>1975</v>
      </c>
      <c r="D1210" s="225" t="str">
        <f t="shared" si="5"/>
        <v>2036_1975</v>
      </c>
      <c r="E1210" s="1226">
        <v>5.2305979793412401E-2</v>
      </c>
      <c r="F1210" s="1257">
        <v>2.1375512630582499E-2</v>
      </c>
      <c r="G1210" s="1280">
        <v>6.5979035952553403E-2</v>
      </c>
      <c r="H1210" s="1271">
        <v>0.26507928128173203</v>
      </c>
      <c r="I1210" s="1257">
        <v>0.48162770433306801</v>
      </c>
      <c r="J1210" s="1280">
        <v>0.13236337513930799</v>
      </c>
      <c r="K1210" s="1271">
        <v>4.7810320398324899E-3</v>
      </c>
      <c r="L1210" s="1257">
        <v>2.0628220200158399E-3</v>
      </c>
      <c r="M1210" s="1280">
        <v>4.6152132085004998E-4</v>
      </c>
      <c r="N1210" s="1271">
        <v>5.98400326697266E-3</v>
      </c>
      <c r="O1210" s="1257">
        <v>3.0000008598028201E-3</v>
      </c>
      <c r="P1210" s="1257">
        <v>8.6905487153050298E-3</v>
      </c>
      <c r="Q1210" s="1280">
        <v>5.98400326697266E-3</v>
      </c>
      <c r="R1210" s="1271">
        <v>3.8500011034136201E-2</v>
      </c>
      <c r="S1210" s="1257">
        <v>3.8500011034136201E-2</v>
      </c>
      <c r="T1210" s="1257">
        <v>3.8500011034136201E-2</v>
      </c>
      <c r="U1210" s="1280">
        <v>1.9250005517068101E-2</v>
      </c>
      <c r="V1210" s="1293">
        <v>4.9972090931582501E-3</v>
      </c>
    </row>
    <row r="1211" spans="1:22" s="212" customFormat="1" ht="15.5" x14ac:dyDescent="0.35">
      <c r="A1211" s="198">
        <v>2036</v>
      </c>
      <c r="B1211" s="197" t="s">
        <v>5833</v>
      </c>
      <c r="C1211" s="197">
        <v>1976</v>
      </c>
      <c r="D1211" s="225" t="str">
        <f t="shared" si="5"/>
        <v>2036_1976</v>
      </c>
      <c r="E1211" s="1226">
        <v>5.2305979793412401E-2</v>
      </c>
      <c r="F1211" s="1257">
        <v>2.1375512630582499E-2</v>
      </c>
      <c r="G1211" s="1280">
        <v>6.5979035952553403E-2</v>
      </c>
      <c r="H1211" s="1271">
        <v>0.26507928128173203</v>
      </c>
      <c r="I1211" s="1257">
        <v>0.48162770433306801</v>
      </c>
      <c r="J1211" s="1280">
        <v>0.13236337513930799</v>
      </c>
      <c r="K1211" s="1271">
        <v>4.7810320398324899E-3</v>
      </c>
      <c r="L1211" s="1257">
        <v>2.0628220200158399E-3</v>
      </c>
      <c r="M1211" s="1280">
        <v>4.6152132085004998E-4</v>
      </c>
      <c r="N1211" s="1271">
        <v>5.98400326697266E-3</v>
      </c>
      <c r="O1211" s="1257">
        <v>3.0000008598028201E-3</v>
      </c>
      <c r="P1211" s="1257">
        <v>8.6905487153050298E-3</v>
      </c>
      <c r="Q1211" s="1280">
        <v>5.98400326697266E-3</v>
      </c>
      <c r="R1211" s="1271">
        <v>3.8500011034136201E-2</v>
      </c>
      <c r="S1211" s="1257">
        <v>3.8500011034136201E-2</v>
      </c>
      <c r="T1211" s="1257">
        <v>3.8500011034136201E-2</v>
      </c>
      <c r="U1211" s="1280">
        <v>1.9250005517068101E-2</v>
      </c>
      <c r="V1211" s="1293">
        <v>4.9972090931582501E-3</v>
      </c>
    </row>
    <row r="1212" spans="1:22" s="212" customFormat="1" ht="15.5" x14ac:dyDescent="0.35">
      <c r="A1212" s="198">
        <v>2036</v>
      </c>
      <c r="B1212" s="197" t="s">
        <v>5833</v>
      </c>
      <c r="C1212" s="197">
        <v>1977</v>
      </c>
      <c r="D1212" s="225" t="str">
        <f t="shared" si="5"/>
        <v>2036_1977</v>
      </c>
      <c r="E1212" s="1226">
        <v>5.2305979793412401E-2</v>
      </c>
      <c r="F1212" s="1257">
        <v>2.1375512630582499E-2</v>
      </c>
      <c r="G1212" s="1280">
        <v>6.5979035952553403E-2</v>
      </c>
      <c r="H1212" s="1271">
        <v>0.26507928128173203</v>
      </c>
      <c r="I1212" s="1257">
        <v>0.48162770433306801</v>
      </c>
      <c r="J1212" s="1280">
        <v>0.13236337513930799</v>
      </c>
      <c r="K1212" s="1271">
        <v>4.7810320398324899E-3</v>
      </c>
      <c r="L1212" s="1257">
        <v>2.0628220200158399E-3</v>
      </c>
      <c r="M1212" s="1280">
        <v>4.6152132085004998E-4</v>
      </c>
      <c r="N1212" s="1271">
        <v>5.98400326697266E-3</v>
      </c>
      <c r="O1212" s="1257">
        <v>3.0000008598028201E-3</v>
      </c>
      <c r="P1212" s="1257">
        <v>8.6905487153050298E-3</v>
      </c>
      <c r="Q1212" s="1280">
        <v>5.98400326697266E-3</v>
      </c>
      <c r="R1212" s="1271">
        <v>3.8500011034136201E-2</v>
      </c>
      <c r="S1212" s="1257">
        <v>3.8500011034136201E-2</v>
      </c>
      <c r="T1212" s="1257">
        <v>3.8500011034136201E-2</v>
      </c>
      <c r="U1212" s="1280">
        <v>1.9250005517068101E-2</v>
      </c>
      <c r="V1212" s="1293">
        <v>4.9972090931582501E-3</v>
      </c>
    </row>
    <row r="1213" spans="1:22" s="212" customFormat="1" ht="15.5" x14ac:dyDescent="0.35">
      <c r="A1213" s="198">
        <v>2036</v>
      </c>
      <c r="B1213" s="197" t="s">
        <v>5833</v>
      </c>
      <c r="C1213" s="197">
        <v>1978</v>
      </c>
      <c r="D1213" s="225" t="str">
        <f t="shared" si="5"/>
        <v>2036_1978</v>
      </c>
      <c r="E1213" s="1226">
        <v>5.2305979793412401E-2</v>
      </c>
      <c r="F1213" s="1257">
        <v>2.1375512630582499E-2</v>
      </c>
      <c r="G1213" s="1280">
        <v>6.5979035952553403E-2</v>
      </c>
      <c r="H1213" s="1271">
        <v>0.26507928128173203</v>
      </c>
      <c r="I1213" s="1257">
        <v>0.48162770433306801</v>
      </c>
      <c r="J1213" s="1280">
        <v>0.13236337513930799</v>
      </c>
      <c r="K1213" s="1271">
        <v>4.7810320398324899E-3</v>
      </c>
      <c r="L1213" s="1257">
        <v>2.0628220200158399E-3</v>
      </c>
      <c r="M1213" s="1280">
        <v>4.6152132085004998E-4</v>
      </c>
      <c r="N1213" s="1271">
        <v>5.98400326697266E-3</v>
      </c>
      <c r="O1213" s="1257">
        <v>3.0000008598028201E-3</v>
      </c>
      <c r="P1213" s="1257">
        <v>8.6905487153050298E-3</v>
      </c>
      <c r="Q1213" s="1280">
        <v>5.98400326697266E-3</v>
      </c>
      <c r="R1213" s="1271">
        <v>3.8500011034136201E-2</v>
      </c>
      <c r="S1213" s="1257">
        <v>3.8500011034136201E-2</v>
      </c>
      <c r="T1213" s="1257">
        <v>3.8500011034136201E-2</v>
      </c>
      <c r="U1213" s="1280">
        <v>1.9250005517068101E-2</v>
      </c>
      <c r="V1213" s="1293">
        <v>4.9972090931582501E-3</v>
      </c>
    </row>
    <row r="1214" spans="1:22" s="212" customFormat="1" ht="15.5" x14ac:dyDescent="0.35">
      <c r="A1214" s="198">
        <v>2036</v>
      </c>
      <c r="B1214" s="197" t="s">
        <v>5833</v>
      </c>
      <c r="C1214" s="197">
        <v>1979</v>
      </c>
      <c r="D1214" s="225" t="str">
        <f t="shared" si="5"/>
        <v>2036_1979</v>
      </c>
      <c r="E1214" s="1226">
        <v>5.2305979793412401E-2</v>
      </c>
      <c r="F1214" s="1257">
        <v>2.1375512630582499E-2</v>
      </c>
      <c r="G1214" s="1280">
        <v>6.5979035952553403E-2</v>
      </c>
      <c r="H1214" s="1271">
        <v>0.26507928128173203</v>
      </c>
      <c r="I1214" s="1257">
        <v>0.48162770433306801</v>
      </c>
      <c r="J1214" s="1280">
        <v>0.13236337513930799</v>
      </c>
      <c r="K1214" s="1271">
        <v>4.7810320398324899E-3</v>
      </c>
      <c r="L1214" s="1257">
        <v>2.0628220200158399E-3</v>
      </c>
      <c r="M1214" s="1280">
        <v>4.6152132085004998E-4</v>
      </c>
      <c r="N1214" s="1271">
        <v>5.98400326697266E-3</v>
      </c>
      <c r="O1214" s="1257">
        <v>3.0000008598028201E-3</v>
      </c>
      <c r="P1214" s="1257">
        <v>8.6905487153050298E-3</v>
      </c>
      <c r="Q1214" s="1280">
        <v>5.98400326697266E-3</v>
      </c>
      <c r="R1214" s="1271">
        <v>3.8500011034136201E-2</v>
      </c>
      <c r="S1214" s="1257">
        <v>3.8500011034136201E-2</v>
      </c>
      <c r="T1214" s="1257">
        <v>3.8500011034136201E-2</v>
      </c>
      <c r="U1214" s="1280">
        <v>1.9250005517068101E-2</v>
      </c>
      <c r="V1214" s="1293">
        <v>4.9972090931582501E-3</v>
      </c>
    </row>
    <row r="1215" spans="1:22" s="212" customFormat="1" ht="15.5" x14ac:dyDescent="0.35">
      <c r="A1215" s="198">
        <v>2036</v>
      </c>
      <c r="B1215" s="197" t="s">
        <v>5833</v>
      </c>
      <c r="C1215" s="197">
        <v>1980</v>
      </c>
      <c r="D1215" s="225" t="str">
        <f t="shared" si="5"/>
        <v>2036_1980</v>
      </c>
      <c r="E1215" s="1226">
        <v>5.2305979793412401E-2</v>
      </c>
      <c r="F1215" s="1257">
        <v>2.1375512630582499E-2</v>
      </c>
      <c r="G1215" s="1280">
        <v>6.5979035952553403E-2</v>
      </c>
      <c r="H1215" s="1271">
        <v>0.26507928128173203</v>
      </c>
      <c r="I1215" s="1257">
        <v>0.48162770433306801</v>
      </c>
      <c r="J1215" s="1280">
        <v>0.13236337513930799</v>
      </c>
      <c r="K1215" s="1271">
        <v>4.7810320398324899E-3</v>
      </c>
      <c r="L1215" s="1257">
        <v>2.0628220200158399E-3</v>
      </c>
      <c r="M1215" s="1280">
        <v>4.6152132085004998E-4</v>
      </c>
      <c r="N1215" s="1271">
        <v>5.98400326697266E-3</v>
      </c>
      <c r="O1215" s="1257">
        <v>3.0000008598028201E-3</v>
      </c>
      <c r="P1215" s="1257">
        <v>8.6905487153050298E-3</v>
      </c>
      <c r="Q1215" s="1280">
        <v>5.98400326697266E-3</v>
      </c>
      <c r="R1215" s="1271">
        <v>3.8500011034136201E-2</v>
      </c>
      <c r="S1215" s="1257">
        <v>3.8500011034136201E-2</v>
      </c>
      <c r="T1215" s="1257">
        <v>3.8500011034136201E-2</v>
      </c>
      <c r="U1215" s="1280">
        <v>1.9250005517068101E-2</v>
      </c>
      <c r="V1215" s="1293">
        <v>4.9972090931582501E-3</v>
      </c>
    </row>
    <row r="1216" spans="1:22" s="212" customFormat="1" ht="15.5" x14ac:dyDescent="0.35">
      <c r="A1216" s="198">
        <v>2036</v>
      </c>
      <c r="B1216" s="197" t="s">
        <v>5833</v>
      </c>
      <c r="C1216" s="197">
        <v>1981</v>
      </c>
      <c r="D1216" s="225" t="str">
        <f t="shared" si="5"/>
        <v>2036_1981</v>
      </c>
      <c r="E1216" s="1226">
        <v>5.2305979793412401E-2</v>
      </c>
      <c r="F1216" s="1257">
        <v>2.1375512630582499E-2</v>
      </c>
      <c r="G1216" s="1280">
        <v>6.5979035952553403E-2</v>
      </c>
      <c r="H1216" s="1271">
        <v>0.26507928128173203</v>
      </c>
      <c r="I1216" s="1257">
        <v>0.48162770433306801</v>
      </c>
      <c r="J1216" s="1280">
        <v>0.13236337513930799</v>
      </c>
      <c r="K1216" s="1271">
        <v>4.7810320398324899E-3</v>
      </c>
      <c r="L1216" s="1257">
        <v>2.0628220200158399E-3</v>
      </c>
      <c r="M1216" s="1280">
        <v>4.6152132085004998E-4</v>
      </c>
      <c r="N1216" s="1271">
        <v>5.98400326697266E-3</v>
      </c>
      <c r="O1216" s="1257">
        <v>3.0000008598028201E-3</v>
      </c>
      <c r="P1216" s="1257">
        <v>8.6905487153050298E-3</v>
      </c>
      <c r="Q1216" s="1280">
        <v>5.98400326697266E-3</v>
      </c>
      <c r="R1216" s="1271">
        <v>3.8500011034136201E-2</v>
      </c>
      <c r="S1216" s="1257">
        <v>3.8500011034136201E-2</v>
      </c>
      <c r="T1216" s="1257">
        <v>3.8500011034136201E-2</v>
      </c>
      <c r="U1216" s="1280">
        <v>1.9250005517068101E-2</v>
      </c>
      <c r="V1216" s="1293">
        <v>4.9972090931582501E-3</v>
      </c>
    </row>
    <row r="1217" spans="1:22" s="212" customFormat="1" ht="15.5" x14ac:dyDescent="0.35">
      <c r="A1217" s="198">
        <v>2036</v>
      </c>
      <c r="B1217" s="197" t="s">
        <v>5833</v>
      </c>
      <c r="C1217" s="197">
        <v>1982</v>
      </c>
      <c r="D1217" s="225" t="str">
        <f t="shared" si="5"/>
        <v>2036_1982</v>
      </c>
      <c r="E1217" s="1226">
        <v>5.2305979793412401E-2</v>
      </c>
      <c r="F1217" s="1257">
        <v>2.1375512630582499E-2</v>
      </c>
      <c r="G1217" s="1280">
        <v>6.5979035952553403E-2</v>
      </c>
      <c r="H1217" s="1271">
        <v>0.26507928128173203</v>
      </c>
      <c r="I1217" s="1257">
        <v>0.48162770433306801</v>
      </c>
      <c r="J1217" s="1280">
        <v>0.13236337513930799</v>
      </c>
      <c r="K1217" s="1271">
        <v>4.7810320398324899E-3</v>
      </c>
      <c r="L1217" s="1257">
        <v>2.0628220200158399E-3</v>
      </c>
      <c r="M1217" s="1280">
        <v>4.6152132085004998E-4</v>
      </c>
      <c r="N1217" s="1271">
        <v>5.98400326697266E-3</v>
      </c>
      <c r="O1217" s="1257">
        <v>3.0000008598028201E-3</v>
      </c>
      <c r="P1217" s="1257">
        <v>8.6905487153050298E-3</v>
      </c>
      <c r="Q1217" s="1280">
        <v>5.98400326697266E-3</v>
      </c>
      <c r="R1217" s="1271">
        <v>3.8500011034136201E-2</v>
      </c>
      <c r="S1217" s="1257">
        <v>3.8500011034136201E-2</v>
      </c>
      <c r="T1217" s="1257">
        <v>3.8500011034136201E-2</v>
      </c>
      <c r="U1217" s="1280">
        <v>1.9250005517068101E-2</v>
      </c>
      <c r="V1217" s="1293">
        <v>4.9972090931582501E-3</v>
      </c>
    </row>
    <row r="1218" spans="1:22" s="212" customFormat="1" ht="15.5" x14ac:dyDescent="0.35">
      <c r="A1218" s="198">
        <v>2036</v>
      </c>
      <c r="B1218" s="197" t="s">
        <v>5833</v>
      </c>
      <c r="C1218" s="197">
        <v>1983</v>
      </c>
      <c r="D1218" s="225" t="str">
        <f t="shared" si="5"/>
        <v>2036_1983</v>
      </c>
      <c r="E1218" s="1226">
        <v>5.2305979793412401E-2</v>
      </c>
      <c r="F1218" s="1257">
        <v>2.1375512630582499E-2</v>
      </c>
      <c r="G1218" s="1280">
        <v>6.5979035952553403E-2</v>
      </c>
      <c r="H1218" s="1271">
        <v>0.26507928128173203</v>
      </c>
      <c r="I1218" s="1257">
        <v>0.48162770433306801</v>
      </c>
      <c r="J1218" s="1280">
        <v>0.13236337513930799</v>
      </c>
      <c r="K1218" s="1271">
        <v>4.7810320398324899E-3</v>
      </c>
      <c r="L1218" s="1257">
        <v>2.0628220200158399E-3</v>
      </c>
      <c r="M1218" s="1280">
        <v>4.6152132085004998E-4</v>
      </c>
      <c r="N1218" s="1271">
        <v>5.98400326697266E-3</v>
      </c>
      <c r="O1218" s="1257">
        <v>3.0000008598028201E-3</v>
      </c>
      <c r="P1218" s="1257">
        <v>8.6905487153050298E-3</v>
      </c>
      <c r="Q1218" s="1280">
        <v>5.98400326697266E-3</v>
      </c>
      <c r="R1218" s="1271">
        <v>3.8500011034136201E-2</v>
      </c>
      <c r="S1218" s="1257">
        <v>3.8500011034136201E-2</v>
      </c>
      <c r="T1218" s="1257">
        <v>3.8500011034136201E-2</v>
      </c>
      <c r="U1218" s="1280">
        <v>1.9250005517068101E-2</v>
      </c>
      <c r="V1218" s="1293">
        <v>4.9972090931582501E-3</v>
      </c>
    </row>
    <row r="1219" spans="1:22" s="212" customFormat="1" ht="15.5" x14ac:dyDescent="0.35">
      <c r="A1219" s="198">
        <v>2036</v>
      </c>
      <c r="B1219" s="197" t="s">
        <v>5833</v>
      </c>
      <c r="C1219" s="197">
        <v>1984</v>
      </c>
      <c r="D1219" s="225" t="str">
        <f t="shared" si="5"/>
        <v>2036_1984</v>
      </c>
      <c r="E1219" s="1226">
        <v>5.2305979793412401E-2</v>
      </c>
      <c r="F1219" s="1257">
        <v>2.1375512630582499E-2</v>
      </c>
      <c r="G1219" s="1280">
        <v>6.5979035952553403E-2</v>
      </c>
      <c r="H1219" s="1271">
        <v>0.26507928128173203</v>
      </c>
      <c r="I1219" s="1257">
        <v>0.48162770433306801</v>
      </c>
      <c r="J1219" s="1280">
        <v>0.13236337513930799</v>
      </c>
      <c r="K1219" s="1271">
        <v>4.7810320398324899E-3</v>
      </c>
      <c r="L1219" s="1257">
        <v>2.0628220200158399E-3</v>
      </c>
      <c r="M1219" s="1280">
        <v>4.6152132085004998E-4</v>
      </c>
      <c r="N1219" s="1271">
        <v>5.98400326697266E-3</v>
      </c>
      <c r="O1219" s="1257">
        <v>3.0000008598028201E-3</v>
      </c>
      <c r="P1219" s="1257">
        <v>8.6905487153050298E-3</v>
      </c>
      <c r="Q1219" s="1280">
        <v>5.98400326697266E-3</v>
      </c>
      <c r="R1219" s="1271">
        <v>3.8500011034136201E-2</v>
      </c>
      <c r="S1219" s="1257">
        <v>3.8500011034136201E-2</v>
      </c>
      <c r="T1219" s="1257">
        <v>3.8500011034136201E-2</v>
      </c>
      <c r="U1219" s="1280">
        <v>1.9250005517068101E-2</v>
      </c>
      <c r="V1219" s="1293">
        <v>4.9972090931582501E-3</v>
      </c>
    </row>
    <row r="1220" spans="1:22" s="212" customFormat="1" ht="15.5" x14ac:dyDescent="0.35">
      <c r="A1220" s="198">
        <v>2036</v>
      </c>
      <c r="B1220" s="197" t="s">
        <v>5833</v>
      </c>
      <c r="C1220" s="197">
        <v>1985</v>
      </c>
      <c r="D1220" s="225" t="str">
        <f t="shared" si="5"/>
        <v>2036_1985</v>
      </c>
      <c r="E1220" s="1226">
        <v>5.2305979793412401E-2</v>
      </c>
      <c r="F1220" s="1257">
        <v>2.1375512630582499E-2</v>
      </c>
      <c r="G1220" s="1280">
        <v>6.5979035952553403E-2</v>
      </c>
      <c r="H1220" s="1271">
        <v>0.26507928128173203</v>
      </c>
      <c r="I1220" s="1257">
        <v>0.48162770433306801</v>
      </c>
      <c r="J1220" s="1280">
        <v>0.13236337513930799</v>
      </c>
      <c r="K1220" s="1271">
        <v>4.7810320398324899E-3</v>
      </c>
      <c r="L1220" s="1257">
        <v>2.0628220200158399E-3</v>
      </c>
      <c r="M1220" s="1280">
        <v>4.6152132085004998E-4</v>
      </c>
      <c r="N1220" s="1271">
        <v>5.98400326697266E-3</v>
      </c>
      <c r="O1220" s="1257">
        <v>3.0000008598028201E-3</v>
      </c>
      <c r="P1220" s="1257">
        <v>8.6905487153050298E-3</v>
      </c>
      <c r="Q1220" s="1280">
        <v>5.98400326697266E-3</v>
      </c>
      <c r="R1220" s="1271">
        <v>3.8500011034136201E-2</v>
      </c>
      <c r="S1220" s="1257">
        <v>3.8500011034136201E-2</v>
      </c>
      <c r="T1220" s="1257">
        <v>3.8500011034136201E-2</v>
      </c>
      <c r="U1220" s="1280">
        <v>1.9250005517068101E-2</v>
      </c>
      <c r="V1220" s="1293">
        <v>4.9972090931582501E-3</v>
      </c>
    </row>
    <row r="1221" spans="1:22" s="212" customFormat="1" ht="15.5" x14ac:dyDescent="0.35">
      <c r="A1221" s="198">
        <v>2036</v>
      </c>
      <c r="B1221" s="197" t="s">
        <v>5833</v>
      </c>
      <c r="C1221" s="197">
        <v>1986</v>
      </c>
      <c r="D1221" s="225" t="str">
        <f t="shared" ref="D1221:D1271" si="7">CONCATENATE(A1221,"_",C1221)</f>
        <v>2036_1986</v>
      </c>
      <c r="E1221" s="1226">
        <v>5.2305979793412401E-2</v>
      </c>
      <c r="F1221" s="1257">
        <v>2.1375512630582499E-2</v>
      </c>
      <c r="G1221" s="1280">
        <v>6.5979035952553403E-2</v>
      </c>
      <c r="H1221" s="1271">
        <v>0.26507928128173203</v>
      </c>
      <c r="I1221" s="1257">
        <v>0.48162770433306801</v>
      </c>
      <c r="J1221" s="1280">
        <v>0.13236337513930799</v>
      </c>
      <c r="K1221" s="1271">
        <v>4.7810320398324899E-3</v>
      </c>
      <c r="L1221" s="1257">
        <v>2.0628220200158399E-3</v>
      </c>
      <c r="M1221" s="1280">
        <v>4.6152132085004998E-4</v>
      </c>
      <c r="N1221" s="1271">
        <v>5.98400326697266E-3</v>
      </c>
      <c r="O1221" s="1257">
        <v>3.0000008598028201E-3</v>
      </c>
      <c r="P1221" s="1257">
        <v>8.6905487153050298E-3</v>
      </c>
      <c r="Q1221" s="1280">
        <v>5.98400326697266E-3</v>
      </c>
      <c r="R1221" s="1271">
        <v>3.8500011034136201E-2</v>
      </c>
      <c r="S1221" s="1257">
        <v>3.8500011034136201E-2</v>
      </c>
      <c r="T1221" s="1257">
        <v>3.8500011034136201E-2</v>
      </c>
      <c r="U1221" s="1280">
        <v>1.9250005517068101E-2</v>
      </c>
      <c r="V1221" s="1293">
        <v>4.9972090931582501E-3</v>
      </c>
    </row>
    <row r="1222" spans="1:22" s="212" customFormat="1" ht="15.5" x14ac:dyDescent="0.35">
      <c r="A1222" s="198">
        <v>2036</v>
      </c>
      <c r="B1222" s="197" t="s">
        <v>5833</v>
      </c>
      <c r="C1222" s="197">
        <v>1987</v>
      </c>
      <c r="D1222" s="225" t="str">
        <f t="shared" si="7"/>
        <v>2036_1987</v>
      </c>
      <c r="E1222" s="1226">
        <v>5.2305979793412401E-2</v>
      </c>
      <c r="F1222" s="1257">
        <v>2.1375512630582499E-2</v>
      </c>
      <c r="G1222" s="1280">
        <v>6.5979035952553403E-2</v>
      </c>
      <c r="H1222" s="1271">
        <v>0.26507928128173203</v>
      </c>
      <c r="I1222" s="1257">
        <v>0.48162770433306801</v>
      </c>
      <c r="J1222" s="1280">
        <v>0.13236337513930799</v>
      </c>
      <c r="K1222" s="1271">
        <v>4.7810320398324899E-3</v>
      </c>
      <c r="L1222" s="1257">
        <v>2.0628220200158399E-3</v>
      </c>
      <c r="M1222" s="1280">
        <v>4.6152132085004998E-4</v>
      </c>
      <c r="N1222" s="1271">
        <v>5.98400326697266E-3</v>
      </c>
      <c r="O1222" s="1257">
        <v>3.0000008598028201E-3</v>
      </c>
      <c r="P1222" s="1257">
        <v>8.6905487153050298E-3</v>
      </c>
      <c r="Q1222" s="1280">
        <v>5.98400326697266E-3</v>
      </c>
      <c r="R1222" s="1271">
        <v>3.8500011034136201E-2</v>
      </c>
      <c r="S1222" s="1257">
        <v>3.8500011034136201E-2</v>
      </c>
      <c r="T1222" s="1257">
        <v>3.8500011034136201E-2</v>
      </c>
      <c r="U1222" s="1280">
        <v>1.9250005517068101E-2</v>
      </c>
      <c r="V1222" s="1293">
        <v>4.9972090931582501E-3</v>
      </c>
    </row>
    <row r="1223" spans="1:22" s="212" customFormat="1" ht="15.5" x14ac:dyDescent="0.35">
      <c r="A1223" s="198">
        <v>2036</v>
      </c>
      <c r="B1223" s="197" t="s">
        <v>5833</v>
      </c>
      <c r="C1223" s="197">
        <v>1988</v>
      </c>
      <c r="D1223" s="225" t="str">
        <f t="shared" si="7"/>
        <v>2036_1988</v>
      </c>
      <c r="E1223" s="1226">
        <v>5.2305979793412401E-2</v>
      </c>
      <c r="F1223" s="1257">
        <v>2.1375512630582499E-2</v>
      </c>
      <c r="G1223" s="1280">
        <v>6.5979035952553403E-2</v>
      </c>
      <c r="H1223" s="1271">
        <v>0.26507928128173203</v>
      </c>
      <c r="I1223" s="1257">
        <v>0.48162770433306801</v>
      </c>
      <c r="J1223" s="1280">
        <v>0.13236337513930799</v>
      </c>
      <c r="K1223" s="1271">
        <v>4.7810320398324899E-3</v>
      </c>
      <c r="L1223" s="1257">
        <v>2.0628220200158399E-3</v>
      </c>
      <c r="M1223" s="1280">
        <v>4.6152132085004998E-4</v>
      </c>
      <c r="N1223" s="1271">
        <v>5.98400326697266E-3</v>
      </c>
      <c r="O1223" s="1257">
        <v>3.0000008598028201E-3</v>
      </c>
      <c r="P1223" s="1257">
        <v>8.6905487153050298E-3</v>
      </c>
      <c r="Q1223" s="1280">
        <v>5.98400326697266E-3</v>
      </c>
      <c r="R1223" s="1271">
        <v>3.8500011034136201E-2</v>
      </c>
      <c r="S1223" s="1257">
        <v>3.8500011034136201E-2</v>
      </c>
      <c r="T1223" s="1257">
        <v>3.8500011034136201E-2</v>
      </c>
      <c r="U1223" s="1280">
        <v>1.9250005517068101E-2</v>
      </c>
      <c r="V1223" s="1293">
        <v>4.9972090931582501E-3</v>
      </c>
    </row>
    <row r="1224" spans="1:22" s="212" customFormat="1" ht="15.5" x14ac:dyDescent="0.35">
      <c r="A1224" s="198">
        <v>2036</v>
      </c>
      <c r="B1224" s="197" t="s">
        <v>5833</v>
      </c>
      <c r="C1224" s="197">
        <v>1989</v>
      </c>
      <c r="D1224" s="225" t="str">
        <f t="shared" si="7"/>
        <v>2036_1989</v>
      </c>
      <c r="E1224" s="1226">
        <v>5.2305979793412401E-2</v>
      </c>
      <c r="F1224" s="1257">
        <v>2.1375512630582499E-2</v>
      </c>
      <c r="G1224" s="1280">
        <v>6.5979035952553403E-2</v>
      </c>
      <c r="H1224" s="1271">
        <v>0.26507928128173203</v>
      </c>
      <c r="I1224" s="1257">
        <v>0.48162770433306801</v>
      </c>
      <c r="J1224" s="1280">
        <v>0.13236337513930799</v>
      </c>
      <c r="K1224" s="1271">
        <v>4.7810320398324899E-3</v>
      </c>
      <c r="L1224" s="1257">
        <v>2.0628220200158399E-3</v>
      </c>
      <c r="M1224" s="1280">
        <v>4.6152132085004998E-4</v>
      </c>
      <c r="N1224" s="1271">
        <v>5.98400326697266E-3</v>
      </c>
      <c r="O1224" s="1257">
        <v>3.0000008598028201E-3</v>
      </c>
      <c r="P1224" s="1257">
        <v>8.6905487153050298E-3</v>
      </c>
      <c r="Q1224" s="1280">
        <v>5.98400326697266E-3</v>
      </c>
      <c r="R1224" s="1271">
        <v>3.8500011034136201E-2</v>
      </c>
      <c r="S1224" s="1257">
        <v>3.8500011034136201E-2</v>
      </c>
      <c r="T1224" s="1257">
        <v>3.8500011034136201E-2</v>
      </c>
      <c r="U1224" s="1280">
        <v>1.9250005517068101E-2</v>
      </c>
      <c r="V1224" s="1293">
        <v>4.9972090931582501E-3</v>
      </c>
    </row>
    <row r="1225" spans="1:22" s="212" customFormat="1" ht="15.5" x14ac:dyDescent="0.35">
      <c r="A1225" s="198">
        <v>2036</v>
      </c>
      <c r="B1225" s="197" t="s">
        <v>5833</v>
      </c>
      <c r="C1225" s="197">
        <v>1990</v>
      </c>
      <c r="D1225" s="225" t="str">
        <f t="shared" si="7"/>
        <v>2036_1990</v>
      </c>
      <c r="E1225" s="1226">
        <v>5.2305979793412401E-2</v>
      </c>
      <c r="F1225" s="1257">
        <v>2.1375512630582499E-2</v>
      </c>
      <c r="G1225" s="1280">
        <v>6.5979035952553403E-2</v>
      </c>
      <c r="H1225" s="1271">
        <v>0.26507928128173203</v>
      </c>
      <c r="I1225" s="1257">
        <v>0.48162770433306801</v>
      </c>
      <c r="J1225" s="1280">
        <v>0.13236337513930799</v>
      </c>
      <c r="K1225" s="1271">
        <v>4.7810320398324899E-3</v>
      </c>
      <c r="L1225" s="1257">
        <v>2.0628220200158399E-3</v>
      </c>
      <c r="M1225" s="1280">
        <v>4.6152132085004998E-4</v>
      </c>
      <c r="N1225" s="1271">
        <v>5.98400326697266E-3</v>
      </c>
      <c r="O1225" s="1257">
        <v>3.0000008598028201E-3</v>
      </c>
      <c r="P1225" s="1257">
        <v>8.6905487153050298E-3</v>
      </c>
      <c r="Q1225" s="1280">
        <v>5.98400326697266E-3</v>
      </c>
      <c r="R1225" s="1271">
        <v>3.8500011034136201E-2</v>
      </c>
      <c r="S1225" s="1257">
        <v>3.8500011034136201E-2</v>
      </c>
      <c r="T1225" s="1257">
        <v>3.8500011034136201E-2</v>
      </c>
      <c r="U1225" s="1280">
        <v>1.9250005517068101E-2</v>
      </c>
      <c r="V1225" s="1293">
        <v>4.9972090931582501E-3</v>
      </c>
    </row>
    <row r="1226" spans="1:22" s="212" customFormat="1" ht="15.5" x14ac:dyDescent="0.35">
      <c r="A1226" s="198">
        <v>2036</v>
      </c>
      <c r="B1226" s="197" t="s">
        <v>5833</v>
      </c>
      <c r="C1226" s="197">
        <v>1991</v>
      </c>
      <c r="D1226" s="225" t="str">
        <f t="shared" si="7"/>
        <v>2036_1991</v>
      </c>
      <c r="E1226" s="1226">
        <v>5.2305979793412401E-2</v>
      </c>
      <c r="F1226" s="1257">
        <v>2.1375512630582499E-2</v>
      </c>
      <c r="G1226" s="1280">
        <v>6.5979035952553403E-2</v>
      </c>
      <c r="H1226" s="1271">
        <v>0.26507928128173203</v>
      </c>
      <c r="I1226" s="1257">
        <v>0.48162770433306801</v>
      </c>
      <c r="J1226" s="1280">
        <v>0.13236337513930799</v>
      </c>
      <c r="K1226" s="1271">
        <v>4.7810320398324899E-3</v>
      </c>
      <c r="L1226" s="1257">
        <v>2.0628220200158399E-3</v>
      </c>
      <c r="M1226" s="1280">
        <v>4.6152132085004998E-4</v>
      </c>
      <c r="N1226" s="1271">
        <v>5.98400326697266E-3</v>
      </c>
      <c r="O1226" s="1257">
        <v>3.0000008598028201E-3</v>
      </c>
      <c r="P1226" s="1257">
        <v>8.6905487153050298E-3</v>
      </c>
      <c r="Q1226" s="1280">
        <v>5.98400326697266E-3</v>
      </c>
      <c r="R1226" s="1271">
        <v>3.8500011034136201E-2</v>
      </c>
      <c r="S1226" s="1257">
        <v>3.8500011034136201E-2</v>
      </c>
      <c r="T1226" s="1257">
        <v>3.8500011034136201E-2</v>
      </c>
      <c r="U1226" s="1280">
        <v>1.9250005517068101E-2</v>
      </c>
      <c r="V1226" s="1293">
        <v>4.9972090931582501E-3</v>
      </c>
    </row>
    <row r="1227" spans="1:22" s="212" customFormat="1" ht="15.5" x14ac:dyDescent="0.35">
      <c r="A1227" s="198">
        <v>2036</v>
      </c>
      <c r="B1227" s="197" t="s">
        <v>5833</v>
      </c>
      <c r="C1227" s="197">
        <v>1992</v>
      </c>
      <c r="D1227" s="225" t="str">
        <f t="shared" si="7"/>
        <v>2036_1992</v>
      </c>
      <c r="E1227" s="1226">
        <v>5.2305979793412401E-2</v>
      </c>
      <c r="F1227" s="1257">
        <v>2.1375512630582499E-2</v>
      </c>
      <c r="G1227" s="1280">
        <v>6.5979035952553403E-2</v>
      </c>
      <c r="H1227" s="1271">
        <v>0.26507928128173203</v>
      </c>
      <c r="I1227" s="1257">
        <v>0.48162770433306801</v>
      </c>
      <c r="J1227" s="1280">
        <v>0.13236337513930799</v>
      </c>
      <c r="K1227" s="1271">
        <v>4.7810320398324899E-3</v>
      </c>
      <c r="L1227" s="1257">
        <v>2.0628220200158399E-3</v>
      </c>
      <c r="M1227" s="1280">
        <v>4.6152132085004998E-4</v>
      </c>
      <c r="N1227" s="1271">
        <v>5.98400326697266E-3</v>
      </c>
      <c r="O1227" s="1257">
        <v>3.0000008598028201E-3</v>
      </c>
      <c r="P1227" s="1257">
        <v>8.6905487153050298E-3</v>
      </c>
      <c r="Q1227" s="1280">
        <v>5.98400326697266E-3</v>
      </c>
      <c r="R1227" s="1271">
        <v>3.8500011034136201E-2</v>
      </c>
      <c r="S1227" s="1257">
        <v>3.8500011034136201E-2</v>
      </c>
      <c r="T1227" s="1257">
        <v>3.8500011034136201E-2</v>
      </c>
      <c r="U1227" s="1280">
        <v>1.9250005517068101E-2</v>
      </c>
      <c r="V1227" s="1293">
        <v>4.9972090931582501E-3</v>
      </c>
    </row>
    <row r="1228" spans="1:22" s="212" customFormat="1" ht="15.5" x14ac:dyDescent="0.35">
      <c r="A1228" s="198">
        <v>2036</v>
      </c>
      <c r="B1228" s="197" t="s">
        <v>5833</v>
      </c>
      <c r="C1228" s="197">
        <v>1993</v>
      </c>
      <c r="D1228" s="225" t="str">
        <f t="shared" si="7"/>
        <v>2036_1993</v>
      </c>
      <c r="E1228" s="1226">
        <v>5.2305979793412401E-2</v>
      </c>
      <c r="F1228" s="1257">
        <v>2.1375512630582499E-2</v>
      </c>
      <c r="G1228" s="1280">
        <v>6.5979035952553403E-2</v>
      </c>
      <c r="H1228" s="1271">
        <v>0.26507928128173203</v>
      </c>
      <c r="I1228" s="1257">
        <v>0.48162770433306801</v>
      </c>
      <c r="J1228" s="1280">
        <v>0.13236337513930799</v>
      </c>
      <c r="K1228" s="1271">
        <v>4.7810320398324899E-3</v>
      </c>
      <c r="L1228" s="1257">
        <v>2.0628220200158399E-3</v>
      </c>
      <c r="M1228" s="1280">
        <v>4.6152132085004998E-4</v>
      </c>
      <c r="N1228" s="1271">
        <v>5.98400326697266E-3</v>
      </c>
      <c r="O1228" s="1257">
        <v>3.0000008598028201E-3</v>
      </c>
      <c r="P1228" s="1257">
        <v>8.6905487153050298E-3</v>
      </c>
      <c r="Q1228" s="1280">
        <v>5.98400326697266E-3</v>
      </c>
      <c r="R1228" s="1271">
        <v>3.8500011034136201E-2</v>
      </c>
      <c r="S1228" s="1257">
        <v>3.8500011034136201E-2</v>
      </c>
      <c r="T1228" s="1257">
        <v>3.8500011034136201E-2</v>
      </c>
      <c r="U1228" s="1280">
        <v>1.9250005517068101E-2</v>
      </c>
      <c r="V1228" s="1293">
        <v>4.9972090931582501E-3</v>
      </c>
    </row>
    <row r="1229" spans="1:22" s="212" customFormat="1" ht="15.5" x14ac:dyDescent="0.35">
      <c r="A1229" s="198">
        <v>2036</v>
      </c>
      <c r="B1229" s="197" t="s">
        <v>5833</v>
      </c>
      <c r="C1229" s="197">
        <v>1994</v>
      </c>
      <c r="D1229" s="225" t="str">
        <f t="shared" si="7"/>
        <v>2036_1994</v>
      </c>
      <c r="E1229" s="1226">
        <v>5.2305979793412401E-2</v>
      </c>
      <c r="F1229" s="1257">
        <v>2.1375512630582499E-2</v>
      </c>
      <c r="G1229" s="1280">
        <v>6.5979035952553403E-2</v>
      </c>
      <c r="H1229" s="1271">
        <v>0.26507928128173203</v>
      </c>
      <c r="I1229" s="1257">
        <v>0.48162770433306801</v>
      </c>
      <c r="J1229" s="1280">
        <v>0.13236337513930799</v>
      </c>
      <c r="K1229" s="1271">
        <v>4.7810320398324899E-3</v>
      </c>
      <c r="L1229" s="1257">
        <v>2.0628220200158399E-3</v>
      </c>
      <c r="M1229" s="1280">
        <v>4.6152132085004998E-4</v>
      </c>
      <c r="N1229" s="1271">
        <v>5.98400326697266E-3</v>
      </c>
      <c r="O1229" s="1257">
        <v>3.0000008598028201E-3</v>
      </c>
      <c r="P1229" s="1257">
        <v>8.6905487153050298E-3</v>
      </c>
      <c r="Q1229" s="1280">
        <v>5.98400326697266E-3</v>
      </c>
      <c r="R1229" s="1271">
        <v>3.8500011034136201E-2</v>
      </c>
      <c r="S1229" s="1257">
        <v>3.8500011034136201E-2</v>
      </c>
      <c r="T1229" s="1257">
        <v>3.8500011034136201E-2</v>
      </c>
      <c r="U1229" s="1280">
        <v>1.9250005517068101E-2</v>
      </c>
      <c r="V1229" s="1293">
        <v>4.9972090931582501E-3</v>
      </c>
    </row>
    <row r="1230" spans="1:22" s="212" customFormat="1" ht="15.5" x14ac:dyDescent="0.35">
      <c r="A1230" s="198">
        <v>2036</v>
      </c>
      <c r="B1230" s="197" t="s">
        <v>5833</v>
      </c>
      <c r="C1230" s="197">
        <v>1995</v>
      </c>
      <c r="D1230" s="225" t="str">
        <f t="shared" si="7"/>
        <v>2036_1995</v>
      </c>
      <c r="E1230" s="1226">
        <v>5.2305979793412401E-2</v>
      </c>
      <c r="F1230" s="1257">
        <v>2.1375512630582499E-2</v>
      </c>
      <c r="G1230" s="1280">
        <v>6.5979035952553403E-2</v>
      </c>
      <c r="H1230" s="1271">
        <v>0.26507928128173203</v>
      </c>
      <c r="I1230" s="1257">
        <v>0.48162770433306801</v>
      </c>
      <c r="J1230" s="1280">
        <v>0.13236337513930799</v>
      </c>
      <c r="K1230" s="1271">
        <v>4.7810320398324899E-3</v>
      </c>
      <c r="L1230" s="1257">
        <v>2.0628220200158399E-3</v>
      </c>
      <c r="M1230" s="1280">
        <v>4.6152132085004998E-4</v>
      </c>
      <c r="N1230" s="1271">
        <v>5.98400326697266E-3</v>
      </c>
      <c r="O1230" s="1257">
        <v>3.0000008598028201E-3</v>
      </c>
      <c r="P1230" s="1257">
        <v>8.6905487153050298E-3</v>
      </c>
      <c r="Q1230" s="1280">
        <v>5.98400326697266E-3</v>
      </c>
      <c r="R1230" s="1271">
        <v>3.8500011034136201E-2</v>
      </c>
      <c r="S1230" s="1257">
        <v>3.8500011034136201E-2</v>
      </c>
      <c r="T1230" s="1257">
        <v>3.8500011034136201E-2</v>
      </c>
      <c r="U1230" s="1280">
        <v>1.9250005517068101E-2</v>
      </c>
      <c r="V1230" s="1293">
        <v>4.9972090931582501E-3</v>
      </c>
    </row>
    <row r="1231" spans="1:22" s="212" customFormat="1" ht="15.5" x14ac:dyDescent="0.35">
      <c r="A1231" s="198">
        <v>2036</v>
      </c>
      <c r="B1231" s="197" t="s">
        <v>5833</v>
      </c>
      <c r="C1231" s="197">
        <v>1996</v>
      </c>
      <c r="D1231" s="225" t="str">
        <f t="shared" si="7"/>
        <v>2036_1996</v>
      </c>
      <c r="E1231" s="1226">
        <v>5.2305979793412401E-2</v>
      </c>
      <c r="F1231" s="1257">
        <v>2.1375512630582499E-2</v>
      </c>
      <c r="G1231" s="1280">
        <v>6.5979035952553403E-2</v>
      </c>
      <c r="H1231" s="1271">
        <v>0.26507928128173203</v>
      </c>
      <c r="I1231" s="1257">
        <v>0.48162770433306801</v>
      </c>
      <c r="J1231" s="1280">
        <v>0.13236337513930799</v>
      </c>
      <c r="K1231" s="1271">
        <v>4.7810320398324899E-3</v>
      </c>
      <c r="L1231" s="1257">
        <v>2.0628220200158399E-3</v>
      </c>
      <c r="M1231" s="1280">
        <v>4.6152132085004998E-4</v>
      </c>
      <c r="N1231" s="1271">
        <v>5.98400326697266E-3</v>
      </c>
      <c r="O1231" s="1257">
        <v>3.0000008598028201E-3</v>
      </c>
      <c r="P1231" s="1257">
        <v>8.6905487153050298E-3</v>
      </c>
      <c r="Q1231" s="1280">
        <v>5.98400326697266E-3</v>
      </c>
      <c r="R1231" s="1271">
        <v>3.8500011034136201E-2</v>
      </c>
      <c r="S1231" s="1257">
        <v>3.8500011034136201E-2</v>
      </c>
      <c r="T1231" s="1257">
        <v>3.8500011034136201E-2</v>
      </c>
      <c r="U1231" s="1280">
        <v>1.9250005517068101E-2</v>
      </c>
      <c r="V1231" s="1293">
        <v>4.9972090931582501E-3</v>
      </c>
    </row>
    <row r="1232" spans="1:22" s="212" customFormat="1" ht="15.5" x14ac:dyDescent="0.35">
      <c r="A1232" s="198">
        <v>2036</v>
      </c>
      <c r="B1232" s="197" t="s">
        <v>5833</v>
      </c>
      <c r="C1232" s="197">
        <v>1997</v>
      </c>
      <c r="D1232" s="225" t="str">
        <f t="shared" si="7"/>
        <v>2036_1997</v>
      </c>
      <c r="E1232" s="1226">
        <v>5.2305979793412401E-2</v>
      </c>
      <c r="F1232" s="1257">
        <v>2.1375512630582499E-2</v>
      </c>
      <c r="G1232" s="1280">
        <v>6.5979035952553403E-2</v>
      </c>
      <c r="H1232" s="1271">
        <v>0.26507928128173203</v>
      </c>
      <c r="I1232" s="1257">
        <v>0.48162770433306801</v>
      </c>
      <c r="J1232" s="1280">
        <v>0.13236337513930799</v>
      </c>
      <c r="K1232" s="1271">
        <v>4.7810320398324899E-3</v>
      </c>
      <c r="L1232" s="1257">
        <v>2.0628220200158399E-3</v>
      </c>
      <c r="M1232" s="1280">
        <v>4.6152132085004998E-4</v>
      </c>
      <c r="N1232" s="1271">
        <v>5.98400326697266E-3</v>
      </c>
      <c r="O1232" s="1257">
        <v>3.0000008598028201E-3</v>
      </c>
      <c r="P1232" s="1257">
        <v>8.6905487153050298E-3</v>
      </c>
      <c r="Q1232" s="1280">
        <v>5.98400326697266E-3</v>
      </c>
      <c r="R1232" s="1271">
        <v>3.8500011034136201E-2</v>
      </c>
      <c r="S1232" s="1257">
        <v>3.8500011034136201E-2</v>
      </c>
      <c r="T1232" s="1257">
        <v>3.8500011034136201E-2</v>
      </c>
      <c r="U1232" s="1280">
        <v>1.9250005517068101E-2</v>
      </c>
      <c r="V1232" s="1293">
        <v>4.9972090931582501E-3</v>
      </c>
    </row>
    <row r="1233" spans="1:22" s="212" customFormat="1" ht="15.5" x14ac:dyDescent="0.35">
      <c r="A1233" s="198">
        <v>2036</v>
      </c>
      <c r="B1233" s="197" t="s">
        <v>5833</v>
      </c>
      <c r="C1233" s="197">
        <v>1998</v>
      </c>
      <c r="D1233" s="225" t="str">
        <f t="shared" si="7"/>
        <v>2036_1998</v>
      </c>
      <c r="E1233" s="1226">
        <v>5.2305979793412401E-2</v>
      </c>
      <c r="F1233" s="1257">
        <v>2.1375512630582499E-2</v>
      </c>
      <c r="G1233" s="1280">
        <v>6.5979035952553403E-2</v>
      </c>
      <c r="H1233" s="1271">
        <v>0.26507928128173203</v>
      </c>
      <c r="I1233" s="1257">
        <v>0.48162770433306801</v>
      </c>
      <c r="J1233" s="1280">
        <v>0.13236337513930799</v>
      </c>
      <c r="K1233" s="1271">
        <v>4.7810320398324899E-3</v>
      </c>
      <c r="L1233" s="1257">
        <v>2.0628220200158399E-3</v>
      </c>
      <c r="M1233" s="1280">
        <v>4.6152132085004998E-4</v>
      </c>
      <c r="N1233" s="1271">
        <v>5.98400326697266E-3</v>
      </c>
      <c r="O1233" s="1257">
        <v>3.0000008598028201E-3</v>
      </c>
      <c r="P1233" s="1257">
        <v>8.6905487153050298E-3</v>
      </c>
      <c r="Q1233" s="1280">
        <v>5.98400326697266E-3</v>
      </c>
      <c r="R1233" s="1271">
        <v>3.8500011034136201E-2</v>
      </c>
      <c r="S1233" s="1257">
        <v>3.8500011034136201E-2</v>
      </c>
      <c r="T1233" s="1257">
        <v>3.8500011034136201E-2</v>
      </c>
      <c r="U1233" s="1280">
        <v>1.9250005517068101E-2</v>
      </c>
      <c r="V1233" s="1293">
        <v>4.9972090931582501E-3</v>
      </c>
    </row>
    <row r="1234" spans="1:22" s="212" customFormat="1" ht="15.5" x14ac:dyDescent="0.35">
      <c r="A1234" s="198">
        <v>2036</v>
      </c>
      <c r="B1234" s="197" t="s">
        <v>5833</v>
      </c>
      <c r="C1234" s="197">
        <v>1999</v>
      </c>
      <c r="D1234" s="225" t="str">
        <f t="shared" si="7"/>
        <v>2036_1999</v>
      </c>
      <c r="E1234" s="1226">
        <v>5.2305979793412401E-2</v>
      </c>
      <c r="F1234" s="1257">
        <v>2.1375512630582499E-2</v>
      </c>
      <c r="G1234" s="1280">
        <v>6.5979035952553403E-2</v>
      </c>
      <c r="H1234" s="1271">
        <v>0.26507928128173203</v>
      </c>
      <c r="I1234" s="1257">
        <v>0.48162770433306801</v>
      </c>
      <c r="J1234" s="1280">
        <v>0.13236337513930799</v>
      </c>
      <c r="K1234" s="1271">
        <v>4.7810320398324899E-3</v>
      </c>
      <c r="L1234" s="1257">
        <v>2.0628220200158399E-3</v>
      </c>
      <c r="M1234" s="1280">
        <v>4.6152132085004998E-4</v>
      </c>
      <c r="N1234" s="1271">
        <v>5.98400326697266E-3</v>
      </c>
      <c r="O1234" s="1257">
        <v>3.0000008598028201E-3</v>
      </c>
      <c r="P1234" s="1257">
        <v>8.6905487153050298E-3</v>
      </c>
      <c r="Q1234" s="1280">
        <v>5.98400326697266E-3</v>
      </c>
      <c r="R1234" s="1271">
        <v>3.8500011034136201E-2</v>
      </c>
      <c r="S1234" s="1257">
        <v>3.8500011034136201E-2</v>
      </c>
      <c r="T1234" s="1257">
        <v>3.8500011034136201E-2</v>
      </c>
      <c r="U1234" s="1280">
        <v>1.9250005517068101E-2</v>
      </c>
      <c r="V1234" s="1293">
        <v>4.9972090931582501E-3</v>
      </c>
    </row>
    <row r="1235" spans="1:22" s="212" customFormat="1" ht="15.5" x14ac:dyDescent="0.35">
      <c r="A1235" s="198">
        <v>2036</v>
      </c>
      <c r="B1235" s="197" t="s">
        <v>5833</v>
      </c>
      <c r="C1235" s="197">
        <v>2000</v>
      </c>
      <c r="D1235" s="225" t="str">
        <f t="shared" si="7"/>
        <v>2036_2000</v>
      </c>
      <c r="E1235" s="1226">
        <v>5.2305979793412401E-2</v>
      </c>
      <c r="F1235" s="1257">
        <v>2.1375512630582499E-2</v>
      </c>
      <c r="G1235" s="1280">
        <v>6.5979035952553403E-2</v>
      </c>
      <c r="H1235" s="1271">
        <v>0.26507928128173203</v>
      </c>
      <c r="I1235" s="1257">
        <v>0.48162770433306801</v>
      </c>
      <c r="J1235" s="1280">
        <v>0.13236337513930799</v>
      </c>
      <c r="K1235" s="1271">
        <v>4.7810320398324899E-3</v>
      </c>
      <c r="L1235" s="1257">
        <v>2.0628220200158399E-3</v>
      </c>
      <c r="M1235" s="1280">
        <v>4.6152132085004998E-4</v>
      </c>
      <c r="N1235" s="1271">
        <v>5.98400326697266E-3</v>
      </c>
      <c r="O1235" s="1257">
        <v>3.0000008598028201E-3</v>
      </c>
      <c r="P1235" s="1257">
        <v>8.6905487153050298E-3</v>
      </c>
      <c r="Q1235" s="1280">
        <v>5.98400326697266E-3</v>
      </c>
      <c r="R1235" s="1271">
        <v>3.8500011034136201E-2</v>
      </c>
      <c r="S1235" s="1257">
        <v>3.8500011034136201E-2</v>
      </c>
      <c r="T1235" s="1257">
        <v>3.8500011034136201E-2</v>
      </c>
      <c r="U1235" s="1280">
        <v>1.9250005517068101E-2</v>
      </c>
      <c r="V1235" s="1293">
        <v>4.9972090931582501E-3</v>
      </c>
    </row>
    <row r="1236" spans="1:22" s="212" customFormat="1" ht="15.5" x14ac:dyDescent="0.35">
      <c r="A1236" s="198">
        <v>2036</v>
      </c>
      <c r="B1236" s="197" t="s">
        <v>5833</v>
      </c>
      <c r="C1236" s="197">
        <v>2001</v>
      </c>
      <c r="D1236" s="225" t="str">
        <f t="shared" si="7"/>
        <v>2036_2001</v>
      </c>
      <c r="E1236" s="1226">
        <v>5.2305979793412401E-2</v>
      </c>
      <c r="F1236" s="1257">
        <v>2.1375512630582499E-2</v>
      </c>
      <c r="G1236" s="1280">
        <v>6.5979035952553403E-2</v>
      </c>
      <c r="H1236" s="1271">
        <v>0.26507928128173203</v>
      </c>
      <c r="I1236" s="1257">
        <v>0.48162770433306801</v>
      </c>
      <c r="J1236" s="1280">
        <v>0.13236337513930799</v>
      </c>
      <c r="K1236" s="1271">
        <v>4.7810320398324899E-3</v>
      </c>
      <c r="L1236" s="1257">
        <v>2.0628220200158399E-3</v>
      </c>
      <c r="M1236" s="1280">
        <v>4.6152132085004998E-4</v>
      </c>
      <c r="N1236" s="1271">
        <v>5.98400326697266E-3</v>
      </c>
      <c r="O1236" s="1257">
        <v>3.0000008598028201E-3</v>
      </c>
      <c r="P1236" s="1257">
        <v>8.6905487153050298E-3</v>
      </c>
      <c r="Q1236" s="1280">
        <v>5.98400326697266E-3</v>
      </c>
      <c r="R1236" s="1271">
        <v>3.8500011034136201E-2</v>
      </c>
      <c r="S1236" s="1257">
        <v>3.8500011034136201E-2</v>
      </c>
      <c r="T1236" s="1257">
        <v>3.8500011034136201E-2</v>
      </c>
      <c r="U1236" s="1280">
        <v>1.9250005517068101E-2</v>
      </c>
      <c r="V1236" s="1293">
        <v>4.9972090931582501E-3</v>
      </c>
    </row>
    <row r="1237" spans="1:22" s="212" customFormat="1" ht="15.5" x14ac:dyDescent="0.35">
      <c r="A1237" s="198">
        <v>2036</v>
      </c>
      <c r="B1237" s="197" t="s">
        <v>5833</v>
      </c>
      <c r="C1237" s="197">
        <v>2002</v>
      </c>
      <c r="D1237" s="225" t="str">
        <f t="shared" si="7"/>
        <v>2036_2002</v>
      </c>
      <c r="E1237" s="1226">
        <v>5.2305979793412401E-2</v>
      </c>
      <c r="F1237" s="1257">
        <v>2.1375512630582499E-2</v>
      </c>
      <c r="G1237" s="1280">
        <v>6.5979035952553403E-2</v>
      </c>
      <c r="H1237" s="1271">
        <v>0.26507928128173203</v>
      </c>
      <c r="I1237" s="1257">
        <v>0.48162770433306801</v>
      </c>
      <c r="J1237" s="1280">
        <v>0.13236337513930799</v>
      </c>
      <c r="K1237" s="1271">
        <v>4.7810320398324899E-3</v>
      </c>
      <c r="L1237" s="1257">
        <v>2.0628220200158399E-3</v>
      </c>
      <c r="M1237" s="1280">
        <v>4.6152132085004998E-4</v>
      </c>
      <c r="N1237" s="1271">
        <v>5.98400326697266E-3</v>
      </c>
      <c r="O1237" s="1257">
        <v>3.0000008598028201E-3</v>
      </c>
      <c r="P1237" s="1257">
        <v>8.6905487153050298E-3</v>
      </c>
      <c r="Q1237" s="1280">
        <v>5.98400326697266E-3</v>
      </c>
      <c r="R1237" s="1271">
        <v>3.8500011034136201E-2</v>
      </c>
      <c r="S1237" s="1257">
        <v>3.8500011034136201E-2</v>
      </c>
      <c r="T1237" s="1257">
        <v>3.8500011034136201E-2</v>
      </c>
      <c r="U1237" s="1280">
        <v>1.9250005517068101E-2</v>
      </c>
      <c r="V1237" s="1293">
        <v>4.9972090931582501E-3</v>
      </c>
    </row>
    <row r="1238" spans="1:22" s="212" customFormat="1" ht="15.5" x14ac:dyDescent="0.35">
      <c r="A1238" s="198">
        <v>2036</v>
      </c>
      <c r="B1238" s="197" t="s">
        <v>5833</v>
      </c>
      <c r="C1238" s="197">
        <v>2003</v>
      </c>
      <c r="D1238" s="225" t="str">
        <f t="shared" si="7"/>
        <v>2036_2003</v>
      </c>
      <c r="E1238" s="1226">
        <v>5.2305979793412401E-2</v>
      </c>
      <c r="F1238" s="1257">
        <v>2.1375512630582499E-2</v>
      </c>
      <c r="G1238" s="1280">
        <v>6.5979035952553403E-2</v>
      </c>
      <c r="H1238" s="1271">
        <v>0.26507928128173203</v>
      </c>
      <c r="I1238" s="1257">
        <v>0.48162770433306801</v>
      </c>
      <c r="J1238" s="1280">
        <v>0.13236337513930799</v>
      </c>
      <c r="K1238" s="1271">
        <v>4.7810320398324899E-3</v>
      </c>
      <c r="L1238" s="1257">
        <v>2.0628220200158399E-3</v>
      </c>
      <c r="M1238" s="1280">
        <v>4.6152132085004998E-4</v>
      </c>
      <c r="N1238" s="1271">
        <v>5.98400326697266E-3</v>
      </c>
      <c r="O1238" s="1257">
        <v>3.0000008598028201E-3</v>
      </c>
      <c r="P1238" s="1257">
        <v>8.6905487153050298E-3</v>
      </c>
      <c r="Q1238" s="1280">
        <v>5.98400326697266E-3</v>
      </c>
      <c r="R1238" s="1271">
        <v>3.8500011034136201E-2</v>
      </c>
      <c r="S1238" s="1257">
        <v>3.8500011034136201E-2</v>
      </c>
      <c r="T1238" s="1257">
        <v>3.8500011034136201E-2</v>
      </c>
      <c r="U1238" s="1280">
        <v>1.9250005517068101E-2</v>
      </c>
      <c r="V1238" s="1293">
        <v>4.9972090931582501E-3</v>
      </c>
    </row>
    <row r="1239" spans="1:22" s="212" customFormat="1" ht="15.5" x14ac:dyDescent="0.35">
      <c r="A1239" s="198">
        <v>2036</v>
      </c>
      <c r="B1239" s="197" t="s">
        <v>5833</v>
      </c>
      <c r="C1239" s="197">
        <v>2004</v>
      </c>
      <c r="D1239" s="225" t="str">
        <f t="shared" si="7"/>
        <v>2036_2004</v>
      </c>
      <c r="E1239" s="1226">
        <v>5.2305979793412401E-2</v>
      </c>
      <c r="F1239" s="1257">
        <v>2.1375512630582499E-2</v>
      </c>
      <c r="G1239" s="1280">
        <v>6.5979035952553403E-2</v>
      </c>
      <c r="H1239" s="1271">
        <v>0.26507928128173203</v>
      </c>
      <c r="I1239" s="1257">
        <v>0.48162770433306801</v>
      </c>
      <c r="J1239" s="1280">
        <v>0.13236337513930799</v>
      </c>
      <c r="K1239" s="1271">
        <v>4.7810320398324899E-3</v>
      </c>
      <c r="L1239" s="1257">
        <v>2.0628220200158399E-3</v>
      </c>
      <c r="M1239" s="1280">
        <v>4.6152132085004998E-4</v>
      </c>
      <c r="N1239" s="1271">
        <v>5.98400326697266E-3</v>
      </c>
      <c r="O1239" s="1257">
        <v>3.0000008598028201E-3</v>
      </c>
      <c r="P1239" s="1257">
        <v>8.6905487153050298E-3</v>
      </c>
      <c r="Q1239" s="1280">
        <v>5.98400326697266E-3</v>
      </c>
      <c r="R1239" s="1271">
        <v>3.8500011034136201E-2</v>
      </c>
      <c r="S1239" s="1257">
        <v>3.8500011034136201E-2</v>
      </c>
      <c r="T1239" s="1257">
        <v>3.8500011034136201E-2</v>
      </c>
      <c r="U1239" s="1280">
        <v>1.9250005517068101E-2</v>
      </c>
      <c r="V1239" s="1293">
        <v>4.9972090931582501E-3</v>
      </c>
    </row>
    <row r="1240" spans="1:22" s="212" customFormat="1" ht="15.5" x14ac:dyDescent="0.35">
      <c r="A1240" s="198">
        <v>2036</v>
      </c>
      <c r="B1240" s="197" t="s">
        <v>5833</v>
      </c>
      <c r="C1240" s="197">
        <v>2005</v>
      </c>
      <c r="D1240" s="225" t="str">
        <f t="shared" si="7"/>
        <v>2036_2005</v>
      </c>
      <c r="E1240" s="1226">
        <v>5.2305979793412401E-2</v>
      </c>
      <c r="F1240" s="1257">
        <v>2.1375512630582499E-2</v>
      </c>
      <c r="G1240" s="1280">
        <v>6.5979035952553403E-2</v>
      </c>
      <c r="H1240" s="1271">
        <v>0.26507928128173203</v>
      </c>
      <c r="I1240" s="1257">
        <v>0.48162770433306801</v>
      </c>
      <c r="J1240" s="1280">
        <v>0.13236337513930799</v>
      </c>
      <c r="K1240" s="1271">
        <v>4.7810320398324899E-3</v>
      </c>
      <c r="L1240" s="1257">
        <v>2.0628220200158399E-3</v>
      </c>
      <c r="M1240" s="1280">
        <v>4.6152132085004998E-4</v>
      </c>
      <c r="N1240" s="1271">
        <v>5.98400326697266E-3</v>
      </c>
      <c r="O1240" s="1257">
        <v>3.0000008598028201E-3</v>
      </c>
      <c r="P1240" s="1257">
        <v>8.6905487153050298E-3</v>
      </c>
      <c r="Q1240" s="1280">
        <v>5.98400326697266E-3</v>
      </c>
      <c r="R1240" s="1271">
        <v>3.8500011034136201E-2</v>
      </c>
      <c r="S1240" s="1257">
        <v>3.8500011034136201E-2</v>
      </c>
      <c r="T1240" s="1257">
        <v>3.8500011034136201E-2</v>
      </c>
      <c r="U1240" s="1280">
        <v>1.9250005517068101E-2</v>
      </c>
      <c r="V1240" s="1293">
        <v>4.9972090931582501E-3</v>
      </c>
    </row>
    <row r="1241" spans="1:22" s="212" customFormat="1" ht="15.5" x14ac:dyDescent="0.35">
      <c r="A1241" s="198">
        <v>2036</v>
      </c>
      <c r="B1241" s="197" t="s">
        <v>5833</v>
      </c>
      <c r="C1241" s="197">
        <v>2006</v>
      </c>
      <c r="D1241" s="225" t="str">
        <f t="shared" si="7"/>
        <v>2036_2006</v>
      </c>
      <c r="E1241" s="1226">
        <v>5.2305979793412401E-2</v>
      </c>
      <c r="F1241" s="1257">
        <v>2.1375512630582499E-2</v>
      </c>
      <c r="G1241" s="1280">
        <v>6.5979035952553403E-2</v>
      </c>
      <c r="H1241" s="1271">
        <v>0.26507928128173203</v>
      </c>
      <c r="I1241" s="1257">
        <v>0.48162770433306801</v>
      </c>
      <c r="J1241" s="1280">
        <v>0.13236337513930799</v>
      </c>
      <c r="K1241" s="1271">
        <v>4.7810320398324899E-3</v>
      </c>
      <c r="L1241" s="1257">
        <v>2.0628220200158399E-3</v>
      </c>
      <c r="M1241" s="1280">
        <v>4.6152132085004998E-4</v>
      </c>
      <c r="N1241" s="1271">
        <v>5.98400326697266E-3</v>
      </c>
      <c r="O1241" s="1257">
        <v>3.0000008598028201E-3</v>
      </c>
      <c r="P1241" s="1257">
        <v>8.6905487153050298E-3</v>
      </c>
      <c r="Q1241" s="1280">
        <v>5.98400326697266E-3</v>
      </c>
      <c r="R1241" s="1271">
        <v>3.8500011034136201E-2</v>
      </c>
      <c r="S1241" s="1257">
        <v>3.8500011034136201E-2</v>
      </c>
      <c r="T1241" s="1257">
        <v>3.8500011034136201E-2</v>
      </c>
      <c r="U1241" s="1280">
        <v>1.9250005517068101E-2</v>
      </c>
      <c r="V1241" s="1293">
        <v>4.9972090931582501E-3</v>
      </c>
    </row>
    <row r="1242" spans="1:22" s="212" customFormat="1" ht="15.5" x14ac:dyDescent="0.35">
      <c r="A1242" s="198">
        <v>2036</v>
      </c>
      <c r="B1242" s="197" t="s">
        <v>5833</v>
      </c>
      <c r="C1242" s="197">
        <v>2007</v>
      </c>
      <c r="D1242" s="225" t="str">
        <f t="shared" si="7"/>
        <v>2036_2007</v>
      </c>
      <c r="E1242" s="1226">
        <v>5.2305979793412401E-2</v>
      </c>
      <c r="F1242" s="1257">
        <v>2.1375512630582499E-2</v>
      </c>
      <c r="G1242" s="1280">
        <v>6.5979035952553403E-2</v>
      </c>
      <c r="H1242" s="1271">
        <v>0.26507928128173203</v>
      </c>
      <c r="I1242" s="1257">
        <v>0.48162770433306801</v>
      </c>
      <c r="J1242" s="1280">
        <v>0.13236337513930799</v>
      </c>
      <c r="K1242" s="1271">
        <v>4.7810320398324899E-3</v>
      </c>
      <c r="L1242" s="1257">
        <v>2.0628220200158399E-3</v>
      </c>
      <c r="M1242" s="1280">
        <v>4.6152132085004998E-4</v>
      </c>
      <c r="N1242" s="1271">
        <v>5.98400326697266E-3</v>
      </c>
      <c r="O1242" s="1257">
        <v>3.0000008598028201E-3</v>
      </c>
      <c r="P1242" s="1257">
        <v>8.6905487153050298E-3</v>
      </c>
      <c r="Q1242" s="1280">
        <v>5.98400326697266E-3</v>
      </c>
      <c r="R1242" s="1271">
        <v>3.8500011034136201E-2</v>
      </c>
      <c r="S1242" s="1257">
        <v>3.8500011034136201E-2</v>
      </c>
      <c r="T1242" s="1257">
        <v>3.8500011034136201E-2</v>
      </c>
      <c r="U1242" s="1280">
        <v>1.9250005517068101E-2</v>
      </c>
      <c r="V1242" s="1293">
        <v>4.9972090931582501E-3</v>
      </c>
    </row>
    <row r="1243" spans="1:22" s="212" customFormat="1" ht="15.5" x14ac:dyDescent="0.35">
      <c r="A1243" s="198">
        <v>2036</v>
      </c>
      <c r="B1243" s="197" t="s">
        <v>5833</v>
      </c>
      <c r="C1243" s="197">
        <v>2008</v>
      </c>
      <c r="D1243" s="225" t="str">
        <f t="shared" si="7"/>
        <v>2036_2008</v>
      </c>
      <c r="E1243" s="1226">
        <v>5.2305979793412401E-2</v>
      </c>
      <c r="F1243" s="1257">
        <v>2.1375512630582499E-2</v>
      </c>
      <c r="G1243" s="1280">
        <v>6.5979035952553403E-2</v>
      </c>
      <c r="H1243" s="1271">
        <v>0.26507928128173203</v>
      </c>
      <c r="I1243" s="1257">
        <v>0.48162770433306801</v>
      </c>
      <c r="J1243" s="1280">
        <v>0.13236337513930799</v>
      </c>
      <c r="K1243" s="1271">
        <v>4.7810320398324899E-3</v>
      </c>
      <c r="L1243" s="1257">
        <v>2.0628220200158399E-3</v>
      </c>
      <c r="M1243" s="1280">
        <v>4.6152132085004998E-4</v>
      </c>
      <c r="N1243" s="1271">
        <v>5.98400326697266E-3</v>
      </c>
      <c r="O1243" s="1257">
        <v>3.0000008598028201E-3</v>
      </c>
      <c r="P1243" s="1257">
        <v>8.6905487153050298E-3</v>
      </c>
      <c r="Q1243" s="1280">
        <v>5.98400326697266E-3</v>
      </c>
      <c r="R1243" s="1271">
        <v>3.8500011034136201E-2</v>
      </c>
      <c r="S1243" s="1257">
        <v>3.8500011034136201E-2</v>
      </c>
      <c r="T1243" s="1257">
        <v>3.8500011034136201E-2</v>
      </c>
      <c r="U1243" s="1280">
        <v>1.9250005517068101E-2</v>
      </c>
      <c r="V1243" s="1293">
        <v>4.9972090931582501E-3</v>
      </c>
    </row>
    <row r="1244" spans="1:22" s="212" customFormat="1" ht="15.5" x14ac:dyDescent="0.35">
      <c r="A1244" s="198">
        <v>2036</v>
      </c>
      <c r="B1244" s="197" t="s">
        <v>5833</v>
      </c>
      <c r="C1244" s="197">
        <v>2009</v>
      </c>
      <c r="D1244" s="225" t="str">
        <f t="shared" si="7"/>
        <v>2036_2009</v>
      </c>
      <c r="E1244" s="1226">
        <v>5.2305979793412401E-2</v>
      </c>
      <c r="F1244" s="1257">
        <v>2.1375512630582499E-2</v>
      </c>
      <c r="G1244" s="1280">
        <v>6.5979035952553403E-2</v>
      </c>
      <c r="H1244" s="1271">
        <v>0.26507928128173203</v>
      </c>
      <c r="I1244" s="1257">
        <v>0.48162770433306801</v>
      </c>
      <c r="J1244" s="1280">
        <v>0.13236337513930799</v>
      </c>
      <c r="K1244" s="1271">
        <v>4.7810320398324899E-3</v>
      </c>
      <c r="L1244" s="1257">
        <v>2.0628220200158399E-3</v>
      </c>
      <c r="M1244" s="1280">
        <v>4.6152132085004998E-4</v>
      </c>
      <c r="N1244" s="1271">
        <v>5.98400326697266E-3</v>
      </c>
      <c r="O1244" s="1257">
        <v>3.0000008598028201E-3</v>
      </c>
      <c r="P1244" s="1257">
        <v>8.6905487153050298E-3</v>
      </c>
      <c r="Q1244" s="1280">
        <v>5.98400326697266E-3</v>
      </c>
      <c r="R1244" s="1271">
        <v>3.8500011034136201E-2</v>
      </c>
      <c r="S1244" s="1257">
        <v>3.8500011034136201E-2</v>
      </c>
      <c r="T1244" s="1257">
        <v>3.8500011034136201E-2</v>
      </c>
      <c r="U1244" s="1280">
        <v>1.9250005517068101E-2</v>
      </c>
      <c r="V1244" s="1293">
        <v>4.9972090931582501E-3</v>
      </c>
    </row>
    <row r="1245" spans="1:22" s="212" customFormat="1" ht="15.5" x14ac:dyDescent="0.35">
      <c r="A1245" s="198">
        <v>2036</v>
      </c>
      <c r="B1245" s="197" t="s">
        <v>5833</v>
      </c>
      <c r="C1245" s="197">
        <v>2010</v>
      </c>
      <c r="D1245" s="225" t="str">
        <f t="shared" si="7"/>
        <v>2036_2010</v>
      </c>
      <c r="E1245" s="1226">
        <v>5.2305979793412401E-2</v>
      </c>
      <c r="F1245" s="1257">
        <v>2.1375512630582499E-2</v>
      </c>
      <c r="G1245" s="1280">
        <v>6.5979035952553403E-2</v>
      </c>
      <c r="H1245" s="1271">
        <v>0.26507928128173203</v>
      </c>
      <c r="I1245" s="1257">
        <v>0.48162770433306801</v>
      </c>
      <c r="J1245" s="1280">
        <v>0.13236337513930799</v>
      </c>
      <c r="K1245" s="1271">
        <v>4.7810320398324899E-3</v>
      </c>
      <c r="L1245" s="1257">
        <v>2.0628220200158399E-3</v>
      </c>
      <c r="M1245" s="1280">
        <v>4.6152132085004998E-4</v>
      </c>
      <c r="N1245" s="1271">
        <v>5.98400326697266E-3</v>
      </c>
      <c r="O1245" s="1257">
        <v>3.0000008598028201E-3</v>
      </c>
      <c r="P1245" s="1257">
        <v>8.6905487153050298E-3</v>
      </c>
      <c r="Q1245" s="1280">
        <v>5.98400326697266E-3</v>
      </c>
      <c r="R1245" s="1271">
        <v>3.8500011034136201E-2</v>
      </c>
      <c r="S1245" s="1257">
        <v>3.8500011034136201E-2</v>
      </c>
      <c r="T1245" s="1257">
        <v>3.8500011034136201E-2</v>
      </c>
      <c r="U1245" s="1280">
        <v>1.9250005517068101E-2</v>
      </c>
      <c r="V1245" s="1293">
        <v>4.9972090931582501E-3</v>
      </c>
    </row>
    <row r="1246" spans="1:22" s="212" customFormat="1" ht="15.5" x14ac:dyDescent="0.35">
      <c r="A1246" s="198">
        <v>2036</v>
      </c>
      <c r="B1246" s="197" t="s">
        <v>5833</v>
      </c>
      <c r="C1246" s="197">
        <v>2011</v>
      </c>
      <c r="D1246" s="225" t="str">
        <f t="shared" si="7"/>
        <v>2036_2011</v>
      </c>
      <c r="E1246" s="1226">
        <v>5.2305979793412401E-2</v>
      </c>
      <c r="F1246" s="1257">
        <v>2.1375512630582499E-2</v>
      </c>
      <c r="G1246" s="1280">
        <v>6.5979035952553403E-2</v>
      </c>
      <c r="H1246" s="1271">
        <v>0.26507928128173203</v>
      </c>
      <c r="I1246" s="1257">
        <v>0.48162770433306801</v>
      </c>
      <c r="J1246" s="1280">
        <v>0.13236337513930799</v>
      </c>
      <c r="K1246" s="1271">
        <v>4.7810320398324899E-3</v>
      </c>
      <c r="L1246" s="1257">
        <v>2.0628220200158399E-3</v>
      </c>
      <c r="M1246" s="1280">
        <v>4.6152132085004998E-4</v>
      </c>
      <c r="N1246" s="1271">
        <v>5.98400326697266E-3</v>
      </c>
      <c r="O1246" s="1257">
        <v>3.0000008598028201E-3</v>
      </c>
      <c r="P1246" s="1257">
        <v>8.6905487153050298E-3</v>
      </c>
      <c r="Q1246" s="1280">
        <v>5.98400326697266E-3</v>
      </c>
      <c r="R1246" s="1271">
        <v>3.8500011034136201E-2</v>
      </c>
      <c r="S1246" s="1257">
        <v>3.8500011034136201E-2</v>
      </c>
      <c r="T1246" s="1257">
        <v>3.8500011034136201E-2</v>
      </c>
      <c r="U1246" s="1280">
        <v>1.9250005517068101E-2</v>
      </c>
      <c r="V1246" s="1293">
        <v>4.9972090931582501E-3</v>
      </c>
    </row>
    <row r="1247" spans="1:22" s="212" customFormat="1" ht="15.5" x14ac:dyDescent="0.35">
      <c r="A1247" s="198">
        <v>2036</v>
      </c>
      <c r="B1247" s="197" t="s">
        <v>5833</v>
      </c>
      <c r="C1247" s="197">
        <v>2012</v>
      </c>
      <c r="D1247" s="225" t="str">
        <f t="shared" si="7"/>
        <v>2036_2012</v>
      </c>
      <c r="E1247" s="1226">
        <v>5.2305979793412401E-2</v>
      </c>
      <c r="F1247" s="1257">
        <v>2.1375512630582499E-2</v>
      </c>
      <c r="G1247" s="1280">
        <v>6.5979035952553403E-2</v>
      </c>
      <c r="H1247" s="1271">
        <v>0.26507928128173203</v>
      </c>
      <c r="I1247" s="1257">
        <v>0.48162770433306801</v>
      </c>
      <c r="J1247" s="1280">
        <v>0.13236337513930799</v>
      </c>
      <c r="K1247" s="1271">
        <v>4.7810320398324899E-3</v>
      </c>
      <c r="L1247" s="1257">
        <v>2.0628220200158399E-3</v>
      </c>
      <c r="M1247" s="1280">
        <v>4.6152132085004998E-4</v>
      </c>
      <c r="N1247" s="1271">
        <v>5.98400326697266E-3</v>
      </c>
      <c r="O1247" s="1257">
        <v>3.0000008598028201E-3</v>
      </c>
      <c r="P1247" s="1257">
        <v>8.6905487153050298E-3</v>
      </c>
      <c r="Q1247" s="1280">
        <v>5.98400326697266E-3</v>
      </c>
      <c r="R1247" s="1271">
        <v>3.8500011034136201E-2</v>
      </c>
      <c r="S1247" s="1257">
        <v>3.8500011034136201E-2</v>
      </c>
      <c r="T1247" s="1257">
        <v>3.8500011034136201E-2</v>
      </c>
      <c r="U1247" s="1280">
        <v>1.9250005517068101E-2</v>
      </c>
      <c r="V1247" s="1293">
        <v>4.9972090931582501E-3</v>
      </c>
    </row>
    <row r="1248" spans="1:22" s="212" customFormat="1" ht="15.5" x14ac:dyDescent="0.35">
      <c r="A1248" s="198">
        <v>2036</v>
      </c>
      <c r="B1248" s="197" t="s">
        <v>5833</v>
      </c>
      <c r="C1248" s="197">
        <v>2013</v>
      </c>
      <c r="D1248" s="225" t="str">
        <f t="shared" si="7"/>
        <v>2036_2013</v>
      </c>
      <c r="E1248" s="1226">
        <v>5.2305979793412401E-2</v>
      </c>
      <c r="F1248" s="1257">
        <v>2.1375512630582499E-2</v>
      </c>
      <c r="G1248" s="1280">
        <v>6.5979035952553403E-2</v>
      </c>
      <c r="H1248" s="1271">
        <v>0.26507928128173203</v>
      </c>
      <c r="I1248" s="1257">
        <v>0.48162770433306801</v>
      </c>
      <c r="J1248" s="1280">
        <v>0.13236337513930799</v>
      </c>
      <c r="K1248" s="1271">
        <v>4.7810320398324899E-3</v>
      </c>
      <c r="L1248" s="1257">
        <v>2.0628220200158399E-3</v>
      </c>
      <c r="M1248" s="1280">
        <v>4.6152132085004998E-4</v>
      </c>
      <c r="N1248" s="1271">
        <v>5.98400326697266E-3</v>
      </c>
      <c r="O1248" s="1257">
        <v>3.0000008598028201E-3</v>
      </c>
      <c r="P1248" s="1257">
        <v>8.6905487153050298E-3</v>
      </c>
      <c r="Q1248" s="1280">
        <v>5.98400326697266E-3</v>
      </c>
      <c r="R1248" s="1271">
        <v>3.8500011034136201E-2</v>
      </c>
      <c r="S1248" s="1257">
        <v>3.8500011034136201E-2</v>
      </c>
      <c r="T1248" s="1257">
        <v>3.8500011034136201E-2</v>
      </c>
      <c r="U1248" s="1280">
        <v>1.9250005517068101E-2</v>
      </c>
      <c r="V1248" s="1293">
        <v>4.9972090931582501E-3</v>
      </c>
    </row>
    <row r="1249" spans="1:22" s="212" customFormat="1" ht="15.5" x14ac:dyDescent="0.35">
      <c r="A1249" s="198">
        <v>2036</v>
      </c>
      <c r="B1249" s="197" t="s">
        <v>5833</v>
      </c>
      <c r="C1249" s="197">
        <v>2014</v>
      </c>
      <c r="D1249" s="225" t="str">
        <f t="shared" si="7"/>
        <v>2036_2014</v>
      </c>
      <c r="E1249" s="1226">
        <v>5.2305979793412401E-2</v>
      </c>
      <c r="F1249" s="1257">
        <v>2.1375512630582499E-2</v>
      </c>
      <c r="G1249" s="1280">
        <v>6.5979035952553403E-2</v>
      </c>
      <c r="H1249" s="1271">
        <v>0.26507928128173203</v>
      </c>
      <c r="I1249" s="1257">
        <v>0.48162770433306801</v>
      </c>
      <c r="J1249" s="1280">
        <v>0.13236337513930799</v>
      </c>
      <c r="K1249" s="1271">
        <v>4.7810320398324899E-3</v>
      </c>
      <c r="L1249" s="1257">
        <v>2.0628220200158399E-3</v>
      </c>
      <c r="M1249" s="1280">
        <v>4.6152132085004998E-4</v>
      </c>
      <c r="N1249" s="1271">
        <v>5.98400326697266E-3</v>
      </c>
      <c r="O1249" s="1257">
        <v>3.0000008598028201E-3</v>
      </c>
      <c r="P1249" s="1257">
        <v>8.6905487153050298E-3</v>
      </c>
      <c r="Q1249" s="1280">
        <v>5.98400326697266E-3</v>
      </c>
      <c r="R1249" s="1271">
        <v>3.8500011034136201E-2</v>
      </c>
      <c r="S1249" s="1257">
        <v>3.8500011034136201E-2</v>
      </c>
      <c r="T1249" s="1257">
        <v>3.8500011034136201E-2</v>
      </c>
      <c r="U1249" s="1280">
        <v>1.9250005517068101E-2</v>
      </c>
      <c r="V1249" s="1293">
        <v>4.9972090931582501E-3</v>
      </c>
    </row>
    <row r="1250" spans="1:22" s="212" customFormat="1" ht="15.5" x14ac:dyDescent="0.35">
      <c r="A1250" s="198">
        <v>2036</v>
      </c>
      <c r="B1250" s="197" t="s">
        <v>5833</v>
      </c>
      <c r="C1250" s="197">
        <v>2015</v>
      </c>
      <c r="D1250" s="225" t="str">
        <f t="shared" si="7"/>
        <v>2036_2015</v>
      </c>
      <c r="E1250" s="1226">
        <v>5.2305979793412401E-2</v>
      </c>
      <c r="F1250" s="1257">
        <v>2.1375512630582499E-2</v>
      </c>
      <c r="G1250" s="1280">
        <v>6.5979035952553403E-2</v>
      </c>
      <c r="H1250" s="1271">
        <v>0.26507928128173203</v>
      </c>
      <c r="I1250" s="1257">
        <v>0.48162770433306801</v>
      </c>
      <c r="J1250" s="1280">
        <v>0.13236337513930799</v>
      </c>
      <c r="K1250" s="1271">
        <v>4.7810320398324899E-3</v>
      </c>
      <c r="L1250" s="1257">
        <v>2.0628220200158399E-3</v>
      </c>
      <c r="M1250" s="1280">
        <v>4.6152132085004998E-4</v>
      </c>
      <c r="N1250" s="1271">
        <v>5.98400326697266E-3</v>
      </c>
      <c r="O1250" s="1257">
        <v>3.0000008598028201E-3</v>
      </c>
      <c r="P1250" s="1257">
        <v>8.6905487153050298E-3</v>
      </c>
      <c r="Q1250" s="1280">
        <v>5.98400326697266E-3</v>
      </c>
      <c r="R1250" s="1271">
        <v>3.8500011034136201E-2</v>
      </c>
      <c r="S1250" s="1257">
        <v>3.8500011034136201E-2</v>
      </c>
      <c r="T1250" s="1257">
        <v>3.8500011034136201E-2</v>
      </c>
      <c r="U1250" s="1280">
        <v>1.9250005517068101E-2</v>
      </c>
      <c r="V1250" s="1293">
        <v>4.9972090931582501E-3</v>
      </c>
    </row>
    <row r="1251" spans="1:22" s="212" customFormat="1" ht="15.5" x14ac:dyDescent="0.35">
      <c r="A1251" s="198">
        <v>2036</v>
      </c>
      <c r="B1251" s="197" t="s">
        <v>5833</v>
      </c>
      <c r="C1251" s="197">
        <v>2016</v>
      </c>
      <c r="D1251" s="225" t="str">
        <f t="shared" si="7"/>
        <v>2036_2016</v>
      </c>
      <c r="E1251" s="1226">
        <v>5.2305979793412401E-2</v>
      </c>
      <c r="F1251" s="1257">
        <v>2.1375512630582499E-2</v>
      </c>
      <c r="G1251" s="1280">
        <v>6.5979035952553403E-2</v>
      </c>
      <c r="H1251" s="1271">
        <v>0.26507928128173203</v>
      </c>
      <c r="I1251" s="1257">
        <v>0.48162770433306801</v>
      </c>
      <c r="J1251" s="1280">
        <v>0.13236337513930799</v>
      </c>
      <c r="K1251" s="1271">
        <v>4.7810320398324899E-3</v>
      </c>
      <c r="L1251" s="1257">
        <v>2.0628220200158399E-3</v>
      </c>
      <c r="M1251" s="1280">
        <v>4.6152132085004998E-4</v>
      </c>
      <c r="N1251" s="1271">
        <v>5.98400326697266E-3</v>
      </c>
      <c r="O1251" s="1257">
        <v>3.0000008598028201E-3</v>
      </c>
      <c r="P1251" s="1257">
        <v>8.6905487153050298E-3</v>
      </c>
      <c r="Q1251" s="1280">
        <v>5.98400326697266E-3</v>
      </c>
      <c r="R1251" s="1271">
        <v>3.8500011034136201E-2</v>
      </c>
      <c r="S1251" s="1257">
        <v>3.8500011034136201E-2</v>
      </c>
      <c r="T1251" s="1257">
        <v>3.8500011034136201E-2</v>
      </c>
      <c r="U1251" s="1280">
        <v>1.9250005517068101E-2</v>
      </c>
      <c r="V1251" s="1293">
        <v>4.9972090931582501E-3</v>
      </c>
    </row>
    <row r="1252" spans="1:22" s="212" customFormat="1" ht="15.5" x14ac:dyDescent="0.35">
      <c r="A1252" s="198">
        <v>2036</v>
      </c>
      <c r="B1252" s="197" t="s">
        <v>5833</v>
      </c>
      <c r="C1252" s="197">
        <v>2017</v>
      </c>
      <c r="D1252" s="225" t="str">
        <f t="shared" si="7"/>
        <v>2036_2017</v>
      </c>
      <c r="E1252" s="1226">
        <v>5.2305979793412401E-2</v>
      </c>
      <c r="F1252" s="1257">
        <v>2.1375512630582499E-2</v>
      </c>
      <c r="G1252" s="1280">
        <v>6.5979035952553403E-2</v>
      </c>
      <c r="H1252" s="1271">
        <v>0.26507928128173203</v>
      </c>
      <c r="I1252" s="1257">
        <v>0.48162770433306801</v>
      </c>
      <c r="J1252" s="1280">
        <v>0.13236337513930799</v>
      </c>
      <c r="K1252" s="1271">
        <v>4.7810320398324899E-3</v>
      </c>
      <c r="L1252" s="1257">
        <v>2.0628220200158399E-3</v>
      </c>
      <c r="M1252" s="1280">
        <v>4.6152132085004998E-4</v>
      </c>
      <c r="N1252" s="1271">
        <v>5.98400326697266E-3</v>
      </c>
      <c r="O1252" s="1257">
        <v>3.0000008598028201E-3</v>
      </c>
      <c r="P1252" s="1257">
        <v>8.6905487153050298E-3</v>
      </c>
      <c r="Q1252" s="1280">
        <v>5.98400326697266E-3</v>
      </c>
      <c r="R1252" s="1271">
        <v>3.8500011034136201E-2</v>
      </c>
      <c r="S1252" s="1257">
        <v>3.8500011034136201E-2</v>
      </c>
      <c r="T1252" s="1257">
        <v>3.8500011034136201E-2</v>
      </c>
      <c r="U1252" s="1280">
        <v>1.9250005517068101E-2</v>
      </c>
      <c r="V1252" s="1293">
        <v>4.9972090931582501E-3</v>
      </c>
    </row>
    <row r="1253" spans="1:22" s="212" customFormat="1" ht="15.5" x14ac:dyDescent="0.35">
      <c r="A1253" s="198">
        <v>2036</v>
      </c>
      <c r="B1253" s="197" t="s">
        <v>5833</v>
      </c>
      <c r="C1253" s="197">
        <v>2018</v>
      </c>
      <c r="D1253" s="225" t="str">
        <f t="shared" si="7"/>
        <v>2036_2018</v>
      </c>
      <c r="E1253" s="1226">
        <v>5.2305979793412401E-2</v>
      </c>
      <c r="F1253" s="1257">
        <v>2.1375512630582499E-2</v>
      </c>
      <c r="G1253" s="1280">
        <v>6.5979035952553403E-2</v>
      </c>
      <c r="H1253" s="1271">
        <v>0.26507928128173203</v>
      </c>
      <c r="I1253" s="1257">
        <v>0.48162770433306801</v>
      </c>
      <c r="J1253" s="1280">
        <v>0.13236337513930799</v>
      </c>
      <c r="K1253" s="1271">
        <v>4.7810320398324899E-3</v>
      </c>
      <c r="L1253" s="1257">
        <v>2.0628220200158399E-3</v>
      </c>
      <c r="M1253" s="1280">
        <v>4.6152132085004998E-4</v>
      </c>
      <c r="N1253" s="1271">
        <v>5.98400326697266E-3</v>
      </c>
      <c r="O1253" s="1257">
        <v>3.0000008598028201E-3</v>
      </c>
      <c r="P1253" s="1257">
        <v>8.6905487153050298E-3</v>
      </c>
      <c r="Q1253" s="1280">
        <v>5.98400326697266E-3</v>
      </c>
      <c r="R1253" s="1271">
        <v>3.8500011034136201E-2</v>
      </c>
      <c r="S1253" s="1257">
        <v>3.8500011034136201E-2</v>
      </c>
      <c r="T1253" s="1257">
        <v>3.8500011034136201E-2</v>
      </c>
      <c r="U1253" s="1280">
        <v>1.9250005517068101E-2</v>
      </c>
      <c r="V1253" s="1293">
        <v>4.9972090931582501E-3</v>
      </c>
    </row>
    <row r="1254" spans="1:22" s="212" customFormat="1" ht="15.5" x14ac:dyDescent="0.35">
      <c r="A1254" s="198">
        <v>2036</v>
      </c>
      <c r="B1254" s="197" t="s">
        <v>5833</v>
      </c>
      <c r="C1254" s="197">
        <v>2019</v>
      </c>
      <c r="D1254" s="225" t="str">
        <f t="shared" si="7"/>
        <v>2036_2019</v>
      </c>
      <c r="E1254" s="1226">
        <v>5.2305979793412401E-2</v>
      </c>
      <c r="F1254" s="1257">
        <v>2.1375512630582499E-2</v>
      </c>
      <c r="G1254" s="1280">
        <v>6.5979035952553403E-2</v>
      </c>
      <c r="H1254" s="1271">
        <v>0.26507928128173203</v>
      </c>
      <c r="I1254" s="1257">
        <v>0.48162770433306801</v>
      </c>
      <c r="J1254" s="1280">
        <v>0.13236337513930799</v>
      </c>
      <c r="K1254" s="1271">
        <v>4.7810320398324899E-3</v>
      </c>
      <c r="L1254" s="1257">
        <v>2.0628220200158399E-3</v>
      </c>
      <c r="M1254" s="1280">
        <v>4.6152132085004998E-4</v>
      </c>
      <c r="N1254" s="1271">
        <v>5.98400326697266E-3</v>
      </c>
      <c r="O1254" s="1257">
        <v>3.0000008598028201E-3</v>
      </c>
      <c r="P1254" s="1257">
        <v>8.6905487153050298E-3</v>
      </c>
      <c r="Q1254" s="1280">
        <v>5.98400326697266E-3</v>
      </c>
      <c r="R1254" s="1271">
        <v>3.8500011034136201E-2</v>
      </c>
      <c r="S1254" s="1257">
        <v>3.8500011034136201E-2</v>
      </c>
      <c r="T1254" s="1257">
        <v>3.8500011034136201E-2</v>
      </c>
      <c r="U1254" s="1280">
        <v>1.9250005517068101E-2</v>
      </c>
      <c r="V1254" s="1293">
        <v>4.9972090931582501E-3</v>
      </c>
    </row>
    <row r="1255" spans="1:22" s="212" customFormat="1" ht="15.5" x14ac:dyDescent="0.35">
      <c r="A1255" s="198">
        <v>2036</v>
      </c>
      <c r="B1255" s="197" t="s">
        <v>5833</v>
      </c>
      <c r="C1255" s="197">
        <v>2020</v>
      </c>
      <c r="D1255" s="225" t="str">
        <f t="shared" si="7"/>
        <v>2036_2020</v>
      </c>
      <c r="E1255" s="1226">
        <v>5.2305979793412401E-2</v>
      </c>
      <c r="F1255" s="1257">
        <v>2.1375512630582499E-2</v>
      </c>
      <c r="G1255" s="1280">
        <v>6.5979035952553403E-2</v>
      </c>
      <c r="H1255" s="1271">
        <v>0.26507928128173203</v>
      </c>
      <c r="I1255" s="1257">
        <v>0.48162770433306801</v>
      </c>
      <c r="J1255" s="1280">
        <v>0.13236337513930799</v>
      </c>
      <c r="K1255" s="1271">
        <v>4.7810320398324899E-3</v>
      </c>
      <c r="L1255" s="1257">
        <v>2.0628220200158399E-3</v>
      </c>
      <c r="M1255" s="1280">
        <v>4.6152132085004998E-4</v>
      </c>
      <c r="N1255" s="1271">
        <v>5.98400326697266E-3</v>
      </c>
      <c r="O1255" s="1257">
        <v>3.0000008598028201E-3</v>
      </c>
      <c r="P1255" s="1257">
        <v>8.6905487153050298E-3</v>
      </c>
      <c r="Q1255" s="1280">
        <v>5.98400326697266E-3</v>
      </c>
      <c r="R1255" s="1271">
        <v>3.8500011034136201E-2</v>
      </c>
      <c r="S1255" s="1257">
        <v>3.8500011034136201E-2</v>
      </c>
      <c r="T1255" s="1257">
        <v>3.8500011034136201E-2</v>
      </c>
      <c r="U1255" s="1280">
        <v>1.9250005517068101E-2</v>
      </c>
      <c r="V1255" s="1293">
        <v>4.9972090931582501E-3</v>
      </c>
    </row>
    <row r="1256" spans="1:22" s="212" customFormat="1" ht="15.5" x14ac:dyDescent="0.35">
      <c r="A1256" s="198">
        <v>2036</v>
      </c>
      <c r="B1256" s="197" t="s">
        <v>5833</v>
      </c>
      <c r="C1256" s="197">
        <v>2021</v>
      </c>
      <c r="D1256" s="225" t="str">
        <f t="shared" si="7"/>
        <v>2036_2021</v>
      </c>
      <c r="E1256" s="1226">
        <v>5.2305979793412401E-2</v>
      </c>
      <c r="F1256" s="1257">
        <v>2.1375512630582499E-2</v>
      </c>
      <c r="G1256" s="1280">
        <v>6.5979035952553403E-2</v>
      </c>
      <c r="H1256" s="1271">
        <v>0.26507928128173203</v>
      </c>
      <c r="I1256" s="1257">
        <v>0.48162770433306801</v>
      </c>
      <c r="J1256" s="1280">
        <v>0.13236337513930799</v>
      </c>
      <c r="K1256" s="1271">
        <v>4.7810320398324899E-3</v>
      </c>
      <c r="L1256" s="1257">
        <v>2.0628220200158399E-3</v>
      </c>
      <c r="M1256" s="1280">
        <v>4.6152132085004998E-4</v>
      </c>
      <c r="N1256" s="1271">
        <v>5.98400326697266E-3</v>
      </c>
      <c r="O1256" s="1257">
        <v>3.0000008598028201E-3</v>
      </c>
      <c r="P1256" s="1257">
        <v>8.6905487153050298E-3</v>
      </c>
      <c r="Q1256" s="1280">
        <v>5.98400326697266E-3</v>
      </c>
      <c r="R1256" s="1271">
        <v>3.8500011034136201E-2</v>
      </c>
      <c r="S1256" s="1257">
        <v>3.8500011034136201E-2</v>
      </c>
      <c r="T1256" s="1257">
        <v>3.8500011034136201E-2</v>
      </c>
      <c r="U1256" s="1280">
        <v>1.9250005517068101E-2</v>
      </c>
      <c r="V1256" s="1293">
        <v>4.9972090931582501E-3</v>
      </c>
    </row>
    <row r="1257" spans="1:22" s="212" customFormat="1" ht="15.5" x14ac:dyDescent="0.35">
      <c r="A1257" s="198">
        <v>2036</v>
      </c>
      <c r="B1257" s="197" t="s">
        <v>5833</v>
      </c>
      <c r="C1257" s="197">
        <v>2022</v>
      </c>
      <c r="D1257" s="225" t="str">
        <f t="shared" si="7"/>
        <v>2036_2022</v>
      </c>
      <c r="E1257" s="1231">
        <v>5.2305979793412401E-2</v>
      </c>
      <c r="F1257" s="1288">
        <v>2.1375512630582499E-2</v>
      </c>
      <c r="G1257" s="1306">
        <v>6.5979035952553403E-2</v>
      </c>
      <c r="H1257" s="1303">
        <v>0.26507928128173203</v>
      </c>
      <c r="I1257" s="1288">
        <v>0.48162770433306801</v>
      </c>
      <c r="J1257" s="1306">
        <v>0.13236337513930799</v>
      </c>
      <c r="K1257" s="1303">
        <v>4.7810320398324899E-3</v>
      </c>
      <c r="L1257" s="1288">
        <v>2.0628220200158399E-3</v>
      </c>
      <c r="M1257" s="1306">
        <v>4.6152132085004998E-4</v>
      </c>
      <c r="N1257" s="1303">
        <v>5.98400326697266E-3</v>
      </c>
      <c r="O1257" s="1288">
        <v>3.0000008598028201E-3</v>
      </c>
      <c r="P1257" s="1288">
        <v>8.6905487153050298E-3</v>
      </c>
      <c r="Q1257" s="1306">
        <v>8.4690589758439992E-3</v>
      </c>
      <c r="R1257" s="1303">
        <v>3.8500011034136201E-2</v>
      </c>
      <c r="S1257" s="1288">
        <v>3.8500011034136201E-2</v>
      </c>
      <c r="T1257" s="1288">
        <v>3.8500011034136201E-2</v>
      </c>
      <c r="U1257" s="1280">
        <v>1.9250005517068101E-2</v>
      </c>
      <c r="V1257" s="1294">
        <v>4.9972090931582501E-3</v>
      </c>
    </row>
    <row r="1258" spans="1:22" s="212" customFormat="1" ht="15.5" x14ac:dyDescent="0.35">
      <c r="A1258" s="198">
        <v>2036</v>
      </c>
      <c r="B1258" s="197" t="s">
        <v>5833</v>
      </c>
      <c r="C1258" s="197">
        <v>2023</v>
      </c>
      <c r="D1258" s="225" t="str">
        <f t="shared" si="7"/>
        <v>2036_2023</v>
      </c>
      <c r="E1258" s="1231">
        <v>6.0044242325657499E-2</v>
      </c>
      <c r="F1258" s="1288">
        <v>2.14568840846215E-2</v>
      </c>
      <c r="G1258" s="1306">
        <v>6.4167431178627901E-2</v>
      </c>
      <c r="H1258" s="1303">
        <v>0.32055924982697298</v>
      </c>
      <c r="I1258" s="1288">
        <v>0.44711576389857699</v>
      </c>
      <c r="J1258" s="1306">
        <v>9.8132069650517004E-2</v>
      </c>
      <c r="K1258" s="1303">
        <v>5.8130217508880998E-3</v>
      </c>
      <c r="L1258" s="1288">
        <v>2.0701241981718301E-3</v>
      </c>
      <c r="M1258" s="1306">
        <v>3.7869919939725199E-4</v>
      </c>
      <c r="N1258" s="1303">
        <v>7.04593435677038E-3</v>
      </c>
      <c r="O1258" s="1288">
        <v>3.0000008598028201E-3</v>
      </c>
      <c r="P1258" s="1288">
        <v>8.6060506400147396E-3</v>
      </c>
      <c r="Q1258" s="1306">
        <v>8.4690589758439992E-3</v>
      </c>
      <c r="R1258" s="1303">
        <v>3.8500011034136201E-2</v>
      </c>
      <c r="S1258" s="1288">
        <v>3.8500011034136201E-2</v>
      </c>
      <c r="T1258" s="1288">
        <v>3.8500011034136201E-2</v>
      </c>
      <c r="U1258" s="1280">
        <v>1.9250005517068101E-2</v>
      </c>
      <c r="V1258" s="1294">
        <v>6.0758607995612703E-3</v>
      </c>
    </row>
    <row r="1259" spans="1:22" s="212" customFormat="1" ht="15.5" x14ac:dyDescent="0.35">
      <c r="A1259" s="198">
        <v>2036</v>
      </c>
      <c r="B1259" s="197" t="s">
        <v>5833</v>
      </c>
      <c r="C1259" s="197">
        <v>2024</v>
      </c>
      <c r="D1259" s="225" t="str">
        <f t="shared" si="7"/>
        <v>2036_2024</v>
      </c>
      <c r="E1259" s="1231">
        <v>5.8444989153778999E-2</v>
      </c>
      <c r="F1259" s="1288">
        <v>2.1628272157400701E-2</v>
      </c>
      <c r="G1259" s="1306">
        <v>6.2329603529925302E-2</v>
      </c>
      <c r="H1259" s="1303">
        <v>0.30898739096348898</v>
      </c>
      <c r="I1259" s="1288">
        <v>0.428106988558282</v>
      </c>
      <c r="J1259" s="1306">
        <v>9.8767028972618007E-2</v>
      </c>
      <c r="K1259" s="1303">
        <v>5.6022488505965903E-3</v>
      </c>
      <c r="L1259" s="1288">
        <v>2.0867347551190001E-3</v>
      </c>
      <c r="M1259" s="1306">
        <v>3.7942955749675598E-4</v>
      </c>
      <c r="N1259" s="1303">
        <v>6.8277483587092097E-3</v>
      </c>
      <c r="O1259" s="1288">
        <v>3.0000008598028102E-3</v>
      </c>
      <c r="P1259" s="1288">
        <v>8.1762650810049894E-3</v>
      </c>
      <c r="Q1259" s="1306">
        <v>8.4690589758439992E-3</v>
      </c>
      <c r="R1259" s="1303">
        <v>3.8500011034136201E-2</v>
      </c>
      <c r="S1259" s="1288">
        <v>3.8500011034136201E-2</v>
      </c>
      <c r="T1259" s="1288">
        <v>3.8500011034136201E-2</v>
      </c>
      <c r="U1259" s="1306">
        <v>1.9250005517068101E-2</v>
      </c>
      <c r="V1259" s="1294">
        <v>5.8555576840094801E-3</v>
      </c>
    </row>
    <row r="1260" spans="1:22" s="212" customFormat="1" ht="15.5" x14ac:dyDescent="0.35">
      <c r="A1260" s="198">
        <v>2036</v>
      </c>
      <c r="B1260" s="197" t="s">
        <v>5833</v>
      </c>
      <c r="C1260" s="197">
        <v>2025</v>
      </c>
      <c r="D1260" s="225" t="str">
        <f t="shared" si="7"/>
        <v>2036_2025</v>
      </c>
      <c r="E1260" s="1231">
        <v>6.9491621166345996E-2</v>
      </c>
      <c r="F1260" s="1288">
        <v>2.17088788485514E-2</v>
      </c>
      <c r="G1260" s="1306">
        <v>6.0591374673658799E-2</v>
      </c>
      <c r="H1260" s="1303">
        <v>0.38837073843428799</v>
      </c>
      <c r="I1260" s="1288">
        <v>0.396616229322304</v>
      </c>
      <c r="J1260" s="1306">
        <v>9.5524723882264101E-2</v>
      </c>
      <c r="K1260" s="1303">
        <v>7.0498625615636598E-3</v>
      </c>
      <c r="L1260" s="1288">
        <v>2.09424648929417E-3</v>
      </c>
      <c r="M1260" s="1306">
        <v>3.7629121239789903E-4</v>
      </c>
      <c r="N1260" s="1303">
        <v>8.3339547703456807E-3</v>
      </c>
      <c r="O1260" s="1288">
        <v>3.0000008598028201E-3</v>
      </c>
      <c r="P1260" s="1288">
        <v>7.7845697454133203E-3</v>
      </c>
      <c r="Q1260" s="1306">
        <v>8.1219002759995006E-3</v>
      </c>
      <c r="R1260" s="1303">
        <v>3.8500011034136201E-2</v>
      </c>
      <c r="S1260" s="1288">
        <v>3.8500011034136201E-2</v>
      </c>
      <c r="T1260" s="1288">
        <v>3.8500011034136097E-2</v>
      </c>
      <c r="U1260" s="1306">
        <v>1.9250005517068101E-2</v>
      </c>
      <c r="V1260" s="1294">
        <v>7.3686260632957797E-3</v>
      </c>
    </row>
    <row r="1261" spans="1:22" s="212" customFormat="1" ht="15.5" x14ac:dyDescent="0.35">
      <c r="A1261" s="198">
        <v>2036</v>
      </c>
      <c r="B1261" s="197" t="s">
        <v>5833</v>
      </c>
      <c r="C1261" s="197">
        <v>2026</v>
      </c>
      <c r="D1261" s="225" t="str">
        <f t="shared" si="7"/>
        <v>2036_2026</v>
      </c>
      <c r="E1261" s="1231">
        <v>6.1421537739008499E-2</v>
      </c>
      <c r="F1261" s="1288">
        <v>8.0313771614994797E-3</v>
      </c>
      <c r="G1261" s="1306">
        <v>5.1937073741747497E-2</v>
      </c>
      <c r="H1261" s="1303">
        <v>0.328379217666047</v>
      </c>
      <c r="I1261" s="1288">
        <v>0.170512670854473</v>
      </c>
      <c r="J1261" s="1306">
        <v>8.2602679050019501E-2</v>
      </c>
      <c r="K1261" s="1303">
        <v>6.01988465452579E-3</v>
      </c>
      <c r="L1261" s="1288">
        <v>1.2699628083496801E-3</v>
      </c>
      <c r="M1261" s="1306">
        <v>8.4948124885784895E-4</v>
      </c>
      <c r="N1261" s="1303">
        <v>7.1655131095471796E-3</v>
      </c>
      <c r="O1261" s="1288">
        <v>2.46079141902517E-3</v>
      </c>
      <c r="P1261" s="1288">
        <v>7.1839181353798801E-3</v>
      </c>
      <c r="Q1261" s="1306">
        <v>8.7337399551422699E-3</v>
      </c>
      <c r="R1261" s="1303">
        <v>3.8464430517790402E-2</v>
      </c>
      <c r="S1261" s="1288">
        <v>3.49142682529648E-2</v>
      </c>
      <c r="T1261" s="1288">
        <v>3.8249554501004202E-2</v>
      </c>
      <c r="U1261" s="1306">
        <v>1.9250005517068101E-2</v>
      </c>
      <c r="V1261" s="1294">
        <v>6.29207712576092E-3</v>
      </c>
    </row>
    <row r="1262" spans="1:22" s="212" customFormat="1" ht="15.5" x14ac:dyDescent="0.35">
      <c r="A1262" s="198">
        <v>2036</v>
      </c>
      <c r="B1262" s="197" t="s">
        <v>5833</v>
      </c>
      <c r="C1262" s="197">
        <v>2027</v>
      </c>
      <c r="D1262" s="225" t="str">
        <f t="shared" si="7"/>
        <v>2036_2027</v>
      </c>
      <c r="E1262" s="1231">
        <v>6.9719409420168299E-2</v>
      </c>
      <c r="F1262" s="1288">
        <v>3.9395685710785404E-3</v>
      </c>
      <c r="G1262" s="1306">
        <v>5.84853250983184E-2</v>
      </c>
      <c r="H1262" s="1303">
        <v>0.39530322029926102</v>
      </c>
      <c r="I1262" s="1288">
        <v>7.1917405757495403E-2</v>
      </c>
      <c r="J1262" s="1306">
        <v>9.6818581245699795E-2</v>
      </c>
      <c r="K1262" s="1303">
        <v>6.8857015495753298E-3</v>
      </c>
      <c r="L1262" s="1288">
        <v>1.11007874532384E-3</v>
      </c>
      <c r="M1262" s="1306">
        <v>7.4754799620084902E-4</v>
      </c>
      <c r="N1262" s="1303">
        <v>7.8504628882616195E-3</v>
      </c>
      <c r="O1262" s="1288">
        <v>2.1749413532969699E-3</v>
      </c>
      <c r="P1262" s="1288">
        <v>7.8043838324978196E-3</v>
      </c>
      <c r="Q1262" s="1306">
        <v>7.9141794860937906E-3</v>
      </c>
      <c r="R1262" s="1303">
        <v>3.8361482314628999E-2</v>
      </c>
      <c r="S1262" s="1288">
        <v>3.3013365315872303E-2</v>
      </c>
      <c r="T1262" s="1288">
        <v>3.8362516669727301E-2</v>
      </c>
      <c r="U1262" s="1306">
        <v>1.9250005517068101E-2</v>
      </c>
      <c r="V1262" s="1294">
        <v>7.19704241879903E-3</v>
      </c>
    </row>
    <row r="1263" spans="1:22" s="212" customFormat="1" ht="15.5" x14ac:dyDescent="0.35">
      <c r="A1263" s="198">
        <v>2036</v>
      </c>
      <c r="B1263" s="197" t="s">
        <v>5833</v>
      </c>
      <c r="C1263" s="197">
        <v>2028</v>
      </c>
      <c r="D1263" s="225" t="str">
        <f t="shared" si="7"/>
        <v>2036_2028</v>
      </c>
      <c r="E1263" s="1231">
        <v>6.5845057810372795E-2</v>
      </c>
      <c r="F1263" s="1288">
        <v>7.6555444767657304E-3</v>
      </c>
      <c r="G1263" s="1306">
        <v>5.8891351713342602E-2</v>
      </c>
      <c r="H1263" s="1303">
        <v>0.36008647723009501</v>
      </c>
      <c r="I1263" s="1288">
        <v>0.12774789833233199</v>
      </c>
      <c r="J1263" s="1306">
        <v>0.100996606499191</v>
      </c>
      <c r="K1263" s="1303">
        <v>6.59364419671238E-3</v>
      </c>
      <c r="L1263" s="1288">
        <v>1.30417126757223E-3</v>
      </c>
      <c r="M1263" s="1306">
        <v>1.1158349772397999E-3</v>
      </c>
      <c r="N1263" s="1303">
        <v>7.7712270798148096E-3</v>
      </c>
      <c r="O1263" s="1288">
        <v>2.3743071406881998E-3</v>
      </c>
      <c r="P1263" s="1288">
        <v>7.7308148547057904E-3</v>
      </c>
      <c r="Q1263" s="1306">
        <v>7.9427450241448695E-3</v>
      </c>
      <c r="R1263" s="1303">
        <v>3.8463848921907698E-2</v>
      </c>
      <c r="S1263" s="1288">
        <v>3.4339147802024003E-2</v>
      </c>
      <c r="T1263" s="1288">
        <v>3.8062575654833002E-2</v>
      </c>
      <c r="U1263" s="1306">
        <v>1.9250005517068101E-2</v>
      </c>
      <c r="V1263" s="1294">
        <v>6.8917795284249199E-3</v>
      </c>
    </row>
    <row r="1264" spans="1:22" s="212" customFormat="1" ht="15.5" x14ac:dyDescent="0.35">
      <c r="A1264" s="198">
        <v>2036</v>
      </c>
      <c r="B1264" s="197" t="s">
        <v>5833</v>
      </c>
      <c r="C1264" s="197">
        <v>2029</v>
      </c>
      <c r="D1264" s="225" t="str">
        <f t="shared" si="7"/>
        <v>2036_2029</v>
      </c>
      <c r="E1264" s="1231">
        <v>6.3089463323737494E-2</v>
      </c>
      <c r="F1264" s="1288">
        <v>7.2017093245089602E-3</v>
      </c>
      <c r="G1264" s="1306">
        <v>6.2688843595455498E-2</v>
      </c>
      <c r="H1264" s="1303">
        <v>0.33859157431451697</v>
      </c>
      <c r="I1264" s="1288">
        <v>0.123523701601783</v>
      </c>
      <c r="J1264" s="1306">
        <v>0.111922219931387</v>
      </c>
      <c r="K1264" s="1303">
        <v>6.2683356460535604E-3</v>
      </c>
      <c r="L1264" s="1288">
        <v>1.2514976143355001E-3</v>
      </c>
      <c r="M1264" s="1306">
        <v>9.3050752357629095E-4</v>
      </c>
      <c r="N1264" s="1303">
        <v>7.3591644139249001E-3</v>
      </c>
      <c r="O1264" s="1288">
        <v>2.3930103038656602E-3</v>
      </c>
      <c r="P1264" s="1288">
        <v>8.2423316854750104E-3</v>
      </c>
      <c r="Q1264" s="1306">
        <v>8.3085964937718894E-3</v>
      </c>
      <c r="R1264" s="1303">
        <v>3.8435790840328499E-2</v>
      </c>
      <c r="S1264" s="1288">
        <v>3.4463523837154002E-2</v>
      </c>
      <c r="T1264" s="1288">
        <v>3.82069793812038E-2</v>
      </c>
      <c r="U1264" s="1306">
        <v>1.9250005517068101E-2</v>
      </c>
      <c r="V1264" s="1294">
        <v>6.5517619686406301E-3</v>
      </c>
    </row>
    <row r="1265" spans="1:22" s="212" customFormat="1" ht="15.5" x14ac:dyDescent="0.35">
      <c r="A1265" s="198">
        <v>2036</v>
      </c>
      <c r="B1265" s="197" t="s">
        <v>5833</v>
      </c>
      <c r="C1265" s="197">
        <v>2030</v>
      </c>
      <c r="D1265" s="225" t="str">
        <f t="shared" si="7"/>
        <v>2036_2030</v>
      </c>
      <c r="E1265" s="1231">
        <v>0.100286018038807</v>
      </c>
      <c r="F1265" s="1288">
        <v>2.91210092412174E-3</v>
      </c>
      <c r="G1265" s="1306">
        <v>9.3125534518422107E-2</v>
      </c>
      <c r="H1265" s="1303">
        <v>0.214763410886884</v>
      </c>
      <c r="I1265" s="1288">
        <v>1.4781473474310001E-2</v>
      </c>
      <c r="J1265" s="1306">
        <v>0.20357901502349501</v>
      </c>
      <c r="K1265" s="1303">
        <v>1.75117227452256E-2</v>
      </c>
      <c r="L1265" s="1288">
        <v>1.1814437404543501E-3</v>
      </c>
      <c r="M1265" s="1306">
        <v>1.6473086962163E-2</v>
      </c>
      <c r="N1265" s="1303">
        <v>3.0000008598028201E-3</v>
      </c>
      <c r="O1265" s="1288">
        <v>2.0000005732018801E-3</v>
      </c>
      <c r="P1265" s="1288">
        <v>3.0000008598028201E-3</v>
      </c>
      <c r="Q1265" s="1306">
        <v>7.8222774226315503E-3</v>
      </c>
      <c r="R1265" s="1303">
        <v>3.1850009128239903E-2</v>
      </c>
      <c r="S1265" s="1288">
        <v>3.1850009128239903E-2</v>
      </c>
      <c r="T1265" s="1288">
        <v>3.1850009128239903E-2</v>
      </c>
      <c r="U1265" s="1306">
        <v>1.9250005517068101E-2</v>
      </c>
      <c r="V1265" s="1294">
        <v>1.8303525140645999E-2</v>
      </c>
    </row>
    <row r="1266" spans="1:22" s="212" customFormat="1" ht="15.5" x14ac:dyDescent="0.35">
      <c r="A1266" s="198">
        <v>2036</v>
      </c>
      <c r="B1266" s="197" t="s">
        <v>5833</v>
      </c>
      <c r="C1266" s="197">
        <v>2031</v>
      </c>
      <c r="D1266" s="225" t="str">
        <f t="shared" si="7"/>
        <v>2036_2031</v>
      </c>
      <c r="E1266" s="1231">
        <v>9.9726501028421496E-2</v>
      </c>
      <c r="F1266" s="1288">
        <v>2.35135749414252E-3</v>
      </c>
      <c r="G1266" s="1306">
        <v>8.8152960283604795E-2</v>
      </c>
      <c r="H1266" s="1303">
        <v>0.20809126527079799</v>
      </c>
      <c r="I1266" s="1288">
        <v>1.5362870356807201E-2</v>
      </c>
      <c r="J1266" s="1306">
        <v>0.192221158240588</v>
      </c>
      <c r="K1266" s="1303">
        <v>1.62343575930343E-2</v>
      </c>
      <c r="L1266" s="1288">
        <v>1.12492572118683E-3</v>
      </c>
      <c r="M1266" s="1306">
        <v>1.47233193603299E-2</v>
      </c>
      <c r="N1266" s="1303">
        <v>3.0000008598028201E-3</v>
      </c>
      <c r="O1266" s="1288">
        <v>2.0000005732018801E-3</v>
      </c>
      <c r="P1266" s="1288">
        <v>3.0000008598028201E-3</v>
      </c>
      <c r="Q1266" s="1306">
        <v>8.11203327862638E-3</v>
      </c>
      <c r="R1266" s="1303">
        <v>3.1850009128239903E-2</v>
      </c>
      <c r="S1266" s="1288">
        <v>3.1850009128239903E-2</v>
      </c>
      <c r="T1266" s="1288">
        <v>3.1850009128239903E-2</v>
      </c>
      <c r="U1266" s="1306">
        <v>1.9250005517068101E-2</v>
      </c>
      <c r="V1266" s="1294">
        <v>1.6968403204496399E-2</v>
      </c>
    </row>
    <row r="1267" spans="1:22" s="212" customFormat="1" ht="15.5" x14ac:dyDescent="0.35">
      <c r="A1267" s="198">
        <v>2036</v>
      </c>
      <c r="B1267" s="197" t="s">
        <v>5833</v>
      </c>
      <c r="C1267" s="197">
        <v>2032</v>
      </c>
      <c r="D1267" s="225" t="str">
        <f t="shared" si="7"/>
        <v>2036_2032</v>
      </c>
      <c r="E1267" s="1231">
        <v>9.5880922709238495E-2</v>
      </c>
      <c r="F1267" s="1288">
        <v>2.8932653127928701E-3</v>
      </c>
      <c r="G1267" s="1306">
        <v>7.4643039166523401E-2</v>
      </c>
      <c r="H1267" s="1303">
        <v>0.195300554515113</v>
      </c>
      <c r="I1267" s="1288">
        <v>1.51674817272463E-2</v>
      </c>
      <c r="J1267" s="1306">
        <v>0.15975307778514999</v>
      </c>
      <c r="K1267" s="1303">
        <v>1.4344833350352601E-2</v>
      </c>
      <c r="L1267" s="1288">
        <v>1.15899932395248E-3</v>
      </c>
      <c r="M1267" s="1306">
        <v>1.1581723973341399E-2</v>
      </c>
      <c r="N1267" s="1303">
        <v>3.0000008598028201E-3</v>
      </c>
      <c r="O1267" s="1288">
        <v>2.0000005732018801E-3</v>
      </c>
      <c r="P1267" s="1288">
        <v>3.0000008598028201E-3</v>
      </c>
      <c r="Q1267" s="1306">
        <v>7.7480277749546597E-3</v>
      </c>
      <c r="R1267" s="1303">
        <v>3.1850009128239903E-2</v>
      </c>
      <c r="S1267" s="1288">
        <v>3.1850009128239903E-2</v>
      </c>
      <c r="T1267" s="1288">
        <v>3.1850009128239903E-2</v>
      </c>
      <c r="U1267" s="1306">
        <v>1.9250005517068101E-2</v>
      </c>
      <c r="V1267" s="1294">
        <v>1.49934430602003E-2</v>
      </c>
    </row>
    <row r="1268" spans="1:22" s="212" customFormat="1" ht="15.5" x14ac:dyDescent="0.35">
      <c r="A1268" s="198">
        <v>2036</v>
      </c>
      <c r="B1268" s="197" t="s">
        <v>5833</v>
      </c>
      <c r="C1268" s="197">
        <v>2033</v>
      </c>
      <c r="D1268" s="225" t="str">
        <f t="shared" si="7"/>
        <v>2036_2033</v>
      </c>
      <c r="E1268" s="1231">
        <v>9.3587698806708405E-2</v>
      </c>
      <c r="F1268" s="1288">
        <v>2.6123389968330398E-3</v>
      </c>
      <c r="G1268" s="1306">
        <v>7.0216400900187506E-2</v>
      </c>
      <c r="H1268" s="1303">
        <v>0.18479810981310599</v>
      </c>
      <c r="I1268" s="1288">
        <v>1.6883002195460298E-2</v>
      </c>
      <c r="J1268" s="1306">
        <v>0.146364164126637</v>
      </c>
      <c r="K1268" s="1303">
        <v>1.26460515260708E-2</v>
      </c>
      <c r="L1268" s="1288">
        <v>1.10651939269697E-3</v>
      </c>
      <c r="M1268" s="1306">
        <v>9.8828794986039609E-3</v>
      </c>
      <c r="N1268" s="1303">
        <v>3.0000008598028201E-3</v>
      </c>
      <c r="O1268" s="1288">
        <v>2.0000005732018801E-3</v>
      </c>
      <c r="P1268" s="1288">
        <v>3.0000008598028201E-3</v>
      </c>
      <c r="Q1268" s="1306">
        <v>7.0779307171834702E-3</v>
      </c>
      <c r="R1268" s="1303">
        <v>3.1850009128239903E-2</v>
      </c>
      <c r="S1268" s="1288">
        <v>3.1850009128239903E-2</v>
      </c>
      <c r="T1268" s="1288">
        <v>3.1850009128239903E-2</v>
      </c>
      <c r="U1268" s="1306">
        <v>1.9250005517068101E-2</v>
      </c>
      <c r="V1268" s="1294">
        <v>1.3217849860057199E-2</v>
      </c>
    </row>
    <row r="1269" spans="1:22" s="212" customFormat="1" ht="15.5" x14ac:dyDescent="0.35">
      <c r="A1269" s="198">
        <v>2036</v>
      </c>
      <c r="B1269" s="197" t="s">
        <v>5833</v>
      </c>
      <c r="C1269" s="197">
        <v>2034</v>
      </c>
      <c r="D1269" s="225" t="str">
        <f t="shared" si="7"/>
        <v>2036_2034</v>
      </c>
      <c r="E1269" s="1231">
        <v>9.0878003349901704E-2</v>
      </c>
      <c r="F1269" s="1288">
        <v>3.6903076152636802E-3</v>
      </c>
      <c r="G1269" s="1306">
        <v>6.0201664843697697E-2</v>
      </c>
      <c r="H1269" s="1303">
        <v>0.173378337481327</v>
      </c>
      <c r="I1269" s="1288">
        <v>1.8712904320381599E-2</v>
      </c>
      <c r="J1269" s="1306">
        <v>0.13811320563473101</v>
      </c>
      <c r="K1269" s="1303">
        <v>1.0828992606235301E-2</v>
      </c>
      <c r="L1269" s="1288">
        <v>1.17869238264191E-3</v>
      </c>
      <c r="M1269" s="1306">
        <v>8.0066053080149798E-3</v>
      </c>
      <c r="N1269" s="1303">
        <v>3.0000008598028201E-3</v>
      </c>
      <c r="O1269" s="1288">
        <v>2.0000005732018801E-3</v>
      </c>
      <c r="P1269" s="1288">
        <v>3.0000008598028201E-3</v>
      </c>
      <c r="Q1269" s="1306">
        <v>5.7121099303991804E-3</v>
      </c>
      <c r="R1269" s="1303">
        <v>3.1850009128239903E-2</v>
      </c>
      <c r="S1269" s="1288">
        <v>3.1850009128239903E-2</v>
      </c>
      <c r="T1269" s="1288">
        <v>3.1850009128239903E-2</v>
      </c>
      <c r="U1269" s="1306">
        <v>1.9250005517068101E-2</v>
      </c>
      <c r="V1269" s="1294">
        <v>1.1318631598946201E-2</v>
      </c>
    </row>
    <row r="1270" spans="1:22" s="212" customFormat="1" ht="15.5" x14ac:dyDescent="0.35">
      <c r="A1270" s="198">
        <v>2036</v>
      </c>
      <c r="B1270" s="197" t="s">
        <v>5833</v>
      </c>
      <c r="C1270" s="197">
        <v>2035</v>
      </c>
      <c r="D1270" s="225" t="str">
        <f t="shared" si="7"/>
        <v>2036_2035</v>
      </c>
      <c r="E1270" s="1231">
        <v>8.7851293502494196E-2</v>
      </c>
      <c r="F1270" s="1288">
        <v>2.4472344899221601E-3</v>
      </c>
      <c r="G1270" s="1306">
        <v>5.7633120467083E-2</v>
      </c>
      <c r="H1270" s="1303">
        <v>0.161129200984344</v>
      </c>
      <c r="I1270" s="1288">
        <v>2.1946663505999098E-2</v>
      </c>
      <c r="J1270" s="1306">
        <v>0.130892402137682</v>
      </c>
      <c r="K1270" s="1303">
        <v>8.9075065597500596E-3</v>
      </c>
      <c r="L1270" s="1288">
        <v>1.05205830389582E-3</v>
      </c>
      <c r="M1270" s="1306">
        <v>6.6242480610178697E-3</v>
      </c>
      <c r="N1270" s="1303">
        <v>3.0000008598028201E-3</v>
      </c>
      <c r="O1270" s="1288">
        <v>2.0000005732018801E-3</v>
      </c>
      <c r="P1270" s="1288">
        <v>3.0000008598028201E-3</v>
      </c>
      <c r="Q1270" s="1306">
        <v>8.0826843278724095E-3</v>
      </c>
      <c r="R1270" s="1303">
        <v>3.1850009128239903E-2</v>
      </c>
      <c r="S1270" s="1288">
        <v>3.1850009128239903E-2</v>
      </c>
      <c r="T1270" s="1288">
        <v>3.1850009128239903E-2</v>
      </c>
      <c r="U1270" s="1306">
        <v>1.9250005517068101E-2</v>
      </c>
      <c r="V1270" s="1294">
        <v>9.3102644799069999E-3</v>
      </c>
    </row>
    <row r="1271" spans="1:22" s="212" customFormat="1" ht="15.5" x14ac:dyDescent="0.35">
      <c r="A1271" s="198">
        <v>2036</v>
      </c>
      <c r="B1271" s="197" t="s">
        <v>5833</v>
      </c>
      <c r="C1271" s="197">
        <v>2036</v>
      </c>
      <c r="D1271" s="225" t="str">
        <f t="shared" si="7"/>
        <v>2036_2036</v>
      </c>
      <c r="E1271" s="1231">
        <v>8.5214049592389596E-2</v>
      </c>
      <c r="F1271" s="1288">
        <v>3.6330185789488802E-3</v>
      </c>
      <c r="G1271" s="1306">
        <v>6.1071929195766102E-2</v>
      </c>
      <c r="H1271" s="1303">
        <v>0.149327003280042</v>
      </c>
      <c r="I1271" s="1288">
        <v>1.9851219937768099E-2</v>
      </c>
      <c r="J1271" s="1306">
        <v>0.117496858733078</v>
      </c>
      <c r="K1271" s="1303">
        <v>6.9608346062119799E-3</v>
      </c>
      <c r="L1271" s="1288">
        <v>1.15109625998536E-3</v>
      </c>
      <c r="M1271" s="1306">
        <v>5.3104745133958301E-3</v>
      </c>
      <c r="N1271" s="1303">
        <v>3.0000008598028201E-3</v>
      </c>
      <c r="O1271" s="1288">
        <v>2.0000005732018801E-3</v>
      </c>
      <c r="P1271" s="1288">
        <v>3.0000008598028201E-3</v>
      </c>
      <c r="Q1271" s="1306">
        <v>7.3795798447101801E-3</v>
      </c>
      <c r="R1271" s="1303">
        <v>3.1850009128239903E-2</v>
      </c>
      <c r="S1271" s="1288">
        <v>3.1850009128239903E-2</v>
      </c>
      <c r="T1271" s="1288">
        <v>3.1850009128239903E-2</v>
      </c>
      <c r="U1271" s="1306">
        <v>1.9250005517068101E-2</v>
      </c>
      <c r="V1271" s="1294">
        <v>7.2755726588587897E-3</v>
      </c>
    </row>
    <row r="1272" spans="1:22" s="212" customFormat="1" ht="15.5" x14ac:dyDescent="0.35">
      <c r="A1272" s="198">
        <v>2036</v>
      </c>
      <c r="B1272" s="197" t="s">
        <v>5833</v>
      </c>
      <c r="C1272" s="197">
        <v>2037</v>
      </c>
      <c r="D1272" s="225" t="str">
        <f t="shared" si="5"/>
        <v>2036_2037</v>
      </c>
      <c r="E1272" s="1226">
        <v>8.5214049592389596E-2</v>
      </c>
      <c r="F1272" s="1257">
        <v>3.6330185789488802E-3</v>
      </c>
      <c r="G1272" s="1280">
        <v>6.1071929195766102E-2</v>
      </c>
      <c r="H1272" s="1271">
        <v>0.149327003280042</v>
      </c>
      <c r="I1272" s="1257">
        <v>1.9851219937768099E-2</v>
      </c>
      <c r="J1272" s="1280">
        <v>0.117496858733078</v>
      </c>
      <c r="K1272" s="1271">
        <v>6.9608346062119799E-3</v>
      </c>
      <c r="L1272" s="1257">
        <v>1.15109625998536E-3</v>
      </c>
      <c r="M1272" s="1280">
        <v>5.3104745133958301E-3</v>
      </c>
      <c r="N1272" s="1271">
        <v>3.0000008598028201E-3</v>
      </c>
      <c r="O1272" s="1257">
        <v>2.0000005732018801E-3</v>
      </c>
      <c r="P1272" s="1257">
        <v>3.0000008598028201E-3</v>
      </c>
      <c r="Q1272" s="1280">
        <v>7.3795798447101801E-3</v>
      </c>
      <c r="R1272" s="1271">
        <v>3.1850009128239903E-2</v>
      </c>
      <c r="S1272" s="1257">
        <v>3.1850009128239903E-2</v>
      </c>
      <c r="T1272" s="1257">
        <v>3.1850009128239903E-2</v>
      </c>
      <c r="U1272" s="1280">
        <v>1.9250005517068101E-2</v>
      </c>
      <c r="V1272" s="1293">
        <v>7.2755726588587897E-3</v>
      </c>
    </row>
    <row r="1273" spans="1:22" s="212" customFormat="1" ht="15.5" x14ac:dyDescent="0.35">
      <c r="A1273" s="198">
        <v>2037</v>
      </c>
      <c r="B1273" s="197" t="s">
        <v>5833</v>
      </c>
      <c r="C1273" s="197">
        <v>1971</v>
      </c>
      <c r="D1273" s="225" t="str">
        <f t="shared" si="5"/>
        <v>2037_1971</v>
      </c>
      <c r="E1273" s="1226">
        <v>6.0044242325657499E-2</v>
      </c>
      <c r="F1273" s="1257">
        <v>2.14568840846215E-2</v>
      </c>
      <c r="G1273" s="1280">
        <v>6.4167431178627901E-2</v>
      </c>
      <c r="H1273" s="1271">
        <v>0.32055924982697298</v>
      </c>
      <c r="I1273" s="1257">
        <v>0.48182509003728002</v>
      </c>
      <c r="J1273" s="1280">
        <v>9.8132069650517004E-2</v>
      </c>
      <c r="K1273" s="1271">
        <v>5.8130217508880998E-3</v>
      </c>
      <c r="L1273" s="1257">
        <v>2.0701241981718301E-3</v>
      </c>
      <c r="M1273" s="1280">
        <v>3.7869919939725199E-4</v>
      </c>
      <c r="N1273" s="1271">
        <v>7.04593435677038E-3</v>
      </c>
      <c r="O1273" s="1257">
        <v>3.0000008598028201E-3</v>
      </c>
      <c r="P1273" s="1257">
        <v>8.6060506400147396E-3</v>
      </c>
      <c r="Q1273" s="1280">
        <v>7.04593435677038E-3</v>
      </c>
      <c r="R1273" s="1271">
        <v>3.8500011034136201E-2</v>
      </c>
      <c r="S1273" s="1257">
        <v>3.8500011034136201E-2</v>
      </c>
      <c r="T1273" s="1257">
        <v>3.8500011034136201E-2</v>
      </c>
      <c r="U1273" s="1280">
        <v>1.9250005517068101E-2</v>
      </c>
      <c r="V1273" s="1293">
        <v>6.0758607995612703E-3</v>
      </c>
    </row>
    <row r="1274" spans="1:22" s="212" customFormat="1" ht="15.5" x14ac:dyDescent="0.35">
      <c r="A1274" s="198">
        <v>2037</v>
      </c>
      <c r="B1274" s="197" t="s">
        <v>5833</v>
      </c>
      <c r="C1274" s="197">
        <v>1972</v>
      </c>
      <c r="D1274" s="225" t="str">
        <f t="shared" ref="D1274:D1551" si="8">CONCATENATE(A1274,"_",C1274)</f>
        <v>2037_1972</v>
      </c>
      <c r="E1274" s="1226">
        <v>6.0044242325657499E-2</v>
      </c>
      <c r="F1274" s="1257">
        <v>2.14568840846215E-2</v>
      </c>
      <c r="G1274" s="1280">
        <v>6.4167431178627901E-2</v>
      </c>
      <c r="H1274" s="1271">
        <v>0.32055924982697298</v>
      </c>
      <c r="I1274" s="1257">
        <v>0.48182509003728002</v>
      </c>
      <c r="J1274" s="1280">
        <v>9.8132069650517004E-2</v>
      </c>
      <c r="K1274" s="1271">
        <v>5.8130217508880998E-3</v>
      </c>
      <c r="L1274" s="1257">
        <v>2.0701241981718301E-3</v>
      </c>
      <c r="M1274" s="1280">
        <v>3.7869919939725199E-4</v>
      </c>
      <c r="N1274" s="1271">
        <v>7.04593435677038E-3</v>
      </c>
      <c r="O1274" s="1257">
        <v>3.0000008598028201E-3</v>
      </c>
      <c r="P1274" s="1257">
        <v>8.6060506400147396E-3</v>
      </c>
      <c r="Q1274" s="1280">
        <v>7.04593435677038E-3</v>
      </c>
      <c r="R1274" s="1271">
        <v>3.8500011034136201E-2</v>
      </c>
      <c r="S1274" s="1257">
        <v>3.8500011034136201E-2</v>
      </c>
      <c r="T1274" s="1257">
        <v>3.8500011034136201E-2</v>
      </c>
      <c r="U1274" s="1280">
        <v>1.9250005517068101E-2</v>
      </c>
      <c r="V1274" s="1293">
        <v>6.0758607995612703E-3</v>
      </c>
    </row>
    <row r="1275" spans="1:22" s="212" customFormat="1" ht="15.5" x14ac:dyDescent="0.35">
      <c r="A1275" s="198">
        <v>2037</v>
      </c>
      <c r="B1275" s="197" t="s">
        <v>5833</v>
      </c>
      <c r="C1275" s="197">
        <v>1973</v>
      </c>
      <c r="D1275" s="225" t="str">
        <f t="shared" si="8"/>
        <v>2037_1973</v>
      </c>
      <c r="E1275" s="1226">
        <v>6.0044242325657499E-2</v>
      </c>
      <c r="F1275" s="1257">
        <v>2.14568840846215E-2</v>
      </c>
      <c r="G1275" s="1280">
        <v>6.4167431178627901E-2</v>
      </c>
      <c r="H1275" s="1271">
        <v>0.32055924982697298</v>
      </c>
      <c r="I1275" s="1257">
        <v>0.48182509003728002</v>
      </c>
      <c r="J1275" s="1280">
        <v>9.8132069650517004E-2</v>
      </c>
      <c r="K1275" s="1271">
        <v>5.8130217508880998E-3</v>
      </c>
      <c r="L1275" s="1257">
        <v>2.0701241981718301E-3</v>
      </c>
      <c r="M1275" s="1280">
        <v>3.7869919939725199E-4</v>
      </c>
      <c r="N1275" s="1271">
        <v>7.04593435677038E-3</v>
      </c>
      <c r="O1275" s="1257">
        <v>3.0000008598028201E-3</v>
      </c>
      <c r="P1275" s="1257">
        <v>8.6060506400147396E-3</v>
      </c>
      <c r="Q1275" s="1280">
        <v>7.04593435677038E-3</v>
      </c>
      <c r="R1275" s="1271">
        <v>3.8500011034136201E-2</v>
      </c>
      <c r="S1275" s="1257">
        <v>3.8500011034136201E-2</v>
      </c>
      <c r="T1275" s="1257">
        <v>3.8500011034136201E-2</v>
      </c>
      <c r="U1275" s="1280">
        <v>1.9250005517068101E-2</v>
      </c>
      <c r="V1275" s="1293">
        <v>6.0758607995612703E-3</v>
      </c>
    </row>
    <row r="1276" spans="1:22" s="212" customFormat="1" ht="15.5" x14ac:dyDescent="0.35">
      <c r="A1276" s="198">
        <v>2037</v>
      </c>
      <c r="B1276" s="197" t="s">
        <v>5833</v>
      </c>
      <c r="C1276" s="197">
        <v>1974</v>
      </c>
      <c r="D1276" s="225" t="str">
        <f t="shared" si="8"/>
        <v>2037_1974</v>
      </c>
      <c r="E1276" s="1226">
        <v>6.0044242325657499E-2</v>
      </c>
      <c r="F1276" s="1257">
        <v>2.14568840846215E-2</v>
      </c>
      <c r="G1276" s="1280">
        <v>6.4167431178627901E-2</v>
      </c>
      <c r="H1276" s="1271">
        <v>0.32055924982697298</v>
      </c>
      <c r="I1276" s="1257">
        <v>0.48182509003728002</v>
      </c>
      <c r="J1276" s="1280">
        <v>9.8132069650517004E-2</v>
      </c>
      <c r="K1276" s="1271">
        <v>5.8130217508880998E-3</v>
      </c>
      <c r="L1276" s="1257">
        <v>2.0701241981718301E-3</v>
      </c>
      <c r="M1276" s="1280">
        <v>3.7869919939725199E-4</v>
      </c>
      <c r="N1276" s="1271">
        <v>7.04593435677038E-3</v>
      </c>
      <c r="O1276" s="1257">
        <v>3.0000008598028201E-3</v>
      </c>
      <c r="P1276" s="1257">
        <v>8.6060506400147396E-3</v>
      </c>
      <c r="Q1276" s="1280">
        <v>7.04593435677038E-3</v>
      </c>
      <c r="R1276" s="1271">
        <v>3.8500011034136201E-2</v>
      </c>
      <c r="S1276" s="1257">
        <v>3.8500011034136201E-2</v>
      </c>
      <c r="T1276" s="1257">
        <v>3.8500011034136201E-2</v>
      </c>
      <c r="U1276" s="1280">
        <v>1.9250005517068101E-2</v>
      </c>
      <c r="V1276" s="1293">
        <v>6.0758607995612703E-3</v>
      </c>
    </row>
    <row r="1277" spans="1:22" s="212" customFormat="1" ht="15.5" x14ac:dyDescent="0.35">
      <c r="A1277" s="198">
        <v>2037</v>
      </c>
      <c r="B1277" s="197" t="s">
        <v>5833</v>
      </c>
      <c r="C1277" s="197">
        <v>1975</v>
      </c>
      <c r="D1277" s="225" t="str">
        <f t="shared" si="8"/>
        <v>2037_1975</v>
      </c>
      <c r="E1277" s="1226">
        <v>6.0044242325657499E-2</v>
      </c>
      <c r="F1277" s="1257">
        <v>2.14568840846215E-2</v>
      </c>
      <c r="G1277" s="1280">
        <v>6.4167431178627901E-2</v>
      </c>
      <c r="H1277" s="1271">
        <v>0.32055924982697298</v>
      </c>
      <c r="I1277" s="1257">
        <v>0.48182509003728002</v>
      </c>
      <c r="J1277" s="1280">
        <v>9.8132069650517004E-2</v>
      </c>
      <c r="K1277" s="1271">
        <v>5.8130217508880998E-3</v>
      </c>
      <c r="L1277" s="1257">
        <v>2.0701241981718301E-3</v>
      </c>
      <c r="M1277" s="1280">
        <v>3.7869919939725199E-4</v>
      </c>
      <c r="N1277" s="1271">
        <v>7.04593435677038E-3</v>
      </c>
      <c r="O1277" s="1257">
        <v>3.0000008598028201E-3</v>
      </c>
      <c r="P1277" s="1257">
        <v>8.6060506400147396E-3</v>
      </c>
      <c r="Q1277" s="1280">
        <v>7.04593435677038E-3</v>
      </c>
      <c r="R1277" s="1271">
        <v>3.8500011034136201E-2</v>
      </c>
      <c r="S1277" s="1257">
        <v>3.8500011034136201E-2</v>
      </c>
      <c r="T1277" s="1257">
        <v>3.8500011034136201E-2</v>
      </c>
      <c r="U1277" s="1280">
        <v>1.9250005517068101E-2</v>
      </c>
      <c r="V1277" s="1293">
        <v>6.0758607995612703E-3</v>
      </c>
    </row>
    <row r="1278" spans="1:22" s="212" customFormat="1" ht="15.5" x14ac:dyDescent="0.35">
      <c r="A1278" s="198">
        <v>2037</v>
      </c>
      <c r="B1278" s="197" t="s">
        <v>5833</v>
      </c>
      <c r="C1278" s="197">
        <v>1976</v>
      </c>
      <c r="D1278" s="225" t="str">
        <f t="shared" si="8"/>
        <v>2037_1976</v>
      </c>
      <c r="E1278" s="1226">
        <v>6.0044242325657499E-2</v>
      </c>
      <c r="F1278" s="1257">
        <v>2.14568840846215E-2</v>
      </c>
      <c r="G1278" s="1280">
        <v>6.4167431178627901E-2</v>
      </c>
      <c r="H1278" s="1271">
        <v>0.32055924982697298</v>
      </c>
      <c r="I1278" s="1257">
        <v>0.48182509003728002</v>
      </c>
      <c r="J1278" s="1280">
        <v>9.8132069650517004E-2</v>
      </c>
      <c r="K1278" s="1271">
        <v>5.8130217508880998E-3</v>
      </c>
      <c r="L1278" s="1257">
        <v>2.0701241981718301E-3</v>
      </c>
      <c r="M1278" s="1280">
        <v>3.7869919939725199E-4</v>
      </c>
      <c r="N1278" s="1271">
        <v>7.04593435677038E-3</v>
      </c>
      <c r="O1278" s="1257">
        <v>3.0000008598028201E-3</v>
      </c>
      <c r="P1278" s="1257">
        <v>8.6060506400147396E-3</v>
      </c>
      <c r="Q1278" s="1280">
        <v>7.04593435677038E-3</v>
      </c>
      <c r="R1278" s="1271">
        <v>3.8500011034136201E-2</v>
      </c>
      <c r="S1278" s="1257">
        <v>3.8500011034136201E-2</v>
      </c>
      <c r="T1278" s="1257">
        <v>3.8500011034136201E-2</v>
      </c>
      <c r="U1278" s="1280">
        <v>1.9250005517068101E-2</v>
      </c>
      <c r="V1278" s="1293">
        <v>6.0758607995612703E-3</v>
      </c>
    </row>
    <row r="1279" spans="1:22" s="212" customFormat="1" ht="15.5" x14ac:dyDescent="0.35">
      <c r="A1279" s="198">
        <v>2037</v>
      </c>
      <c r="B1279" s="197" t="s">
        <v>5833</v>
      </c>
      <c r="C1279" s="197">
        <v>1977</v>
      </c>
      <c r="D1279" s="225" t="str">
        <f t="shared" si="8"/>
        <v>2037_1977</v>
      </c>
      <c r="E1279" s="1226">
        <v>6.0044242325657499E-2</v>
      </c>
      <c r="F1279" s="1257">
        <v>2.14568840846215E-2</v>
      </c>
      <c r="G1279" s="1280">
        <v>6.4167431178627901E-2</v>
      </c>
      <c r="H1279" s="1271">
        <v>0.32055924982697298</v>
      </c>
      <c r="I1279" s="1257">
        <v>0.48182509003728002</v>
      </c>
      <c r="J1279" s="1280">
        <v>9.8132069650517004E-2</v>
      </c>
      <c r="K1279" s="1271">
        <v>5.8130217508880998E-3</v>
      </c>
      <c r="L1279" s="1257">
        <v>2.0701241981718301E-3</v>
      </c>
      <c r="M1279" s="1280">
        <v>3.7869919939725199E-4</v>
      </c>
      <c r="N1279" s="1271">
        <v>7.04593435677038E-3</v>
      </c>
      <c r="O1279" s="1257">
        <v>3.0000008598028201E-3</v>
      </c>
      <c r="P1279" s="1257">
        <v>8.6060506400147396E-3</v>
      </c>
      <c r="Q1279" s="1280">
        <v>7.04593435677038E-3</v>
      </c>
      <c r="R1279" s="1271">
        <v>3.8500011034136201E-2</v>
      </c>
      <c r="S1279" s="1257">
        <v>3.8500011034136201E-2</v>
      </c>
      <c r="T1279" s="1257">
        <v>3.8500011034136201E-2</v>
      </c>
      <c r="U1279" s="1280">
        <v>1.9250005517068101E-2</v>
      </c>
      <c r="V1279" s="1293">
        <v>6.0758607995612703E-3</v>
      </c>
    </row>
    <row r="1280" spans="1:22" s="212" customFormat="1" ht="15.5" x14ac:dyDescent="0.35">
      <c r="A1280" s="198">
        <v>2037</v>
      </c>
      <c r="B1280" s="197" t="s">
        <v>5833</v>
      </c>
      <c r="C1280" s="197">
        <v>1978</v>
      </c>
      <c r="D1280" s="225" t="str">
        <f t="shared" si="8"/>
        <v>2037_1978</v>
      </c>
      <c r="E1280" s="1226">
        <v>6.0044242325657499E-2</v>
      </c>
      <c r="F1280" s="1257">
        <v>2.14568840846215E-2</v>
      </c>
      <c r="G1280" s="1280">
        <v>6.4167431178627901E-2</v>
      </c>
      <c r="H1280" s="1271">
        <v>0.32055924982697298</v>
      </c>
      <c r="I1280" s="1257">
        <v>0.48182509003728002</v>
      </c>
      <c r="J1280" s="1280">
        <v>9.8132069650517004E-2</v>
      </c>
      <c r="K1280" s="1271">
        <v>5.8130217508880998E-3</v>
      </c>
      <c r="L1280" s="1257">
        <v>2.0701241981718301E-3</v>
      </c>
      <c r="M1280" s="1280">
        <v>3.7869919939725199E-4</v>
      </c>
      <c r="N1280" s="1271">
        <v>7.04593435677038E-3</v>
      </c>
      <c r="O1280" s="1257">
        <v>3.0000008598028201E-3</v>
      </c>
      <c r="P1280" s="1257">
        <v>8.6060506400147396E-3</v>
      </c>
      <c r="Q1280" s="1280">
        <v>7.04593435677038E-3</v>
      </c>
      <c r="R1280" s="1271">
        <v>3.8500011034136201E-2</v>
      </c>
      <c r="S1280" s="1257">
        <v>3.8500011034136201E-2</v>
      </c>
      <c r="T1280" s="1257">
        <v>3.8500011034136201E-2</v>
      </c>
      <c r="U1280" s="1280">
        <v>1.9250005517068101E-2</v>
      </c>
      <c r="V1280" s="1293">
        <v>6.0758607995612703E-3</v>
      </c>
    </row>
    <row r="1281" spans="1:22" s="212" customFormat="1" ht="15.5" x14ac:dyDescent="0.35">
      <c r="A1281" s="198">
        <v>2037</v>
      </c>
      <c r="B1281" s="197" t="s">
        <v>5833</v>
      </c>
      <c r="C1281" s="197">
        <v>1979</v>
      </c>
      <c r="D1281" s="225" t="str">
        <f t="shared" si="8"/>
        <v>2037_1979</v>
      </c>
      <c r="E1281" s="1226">
        <v>6.0044242325657499E-2</v>
      </c>
      <c r="F1281" s="1257">
        <v>2.14568840846215E-2</v>
      </c>
      <c r="G1281" s="1280">
        <v>6.4167431178627901E-2</v>
      </c>
      <c r="H1281" s="1271">
        <v>0.32055924982697298</v>
      </c>
      <c r="I1281" s="1257">
        <v>0.48182509003728002</v>
      </c>
      <c r="J1281" s="1280">
        <v>9.8132069650517004E-2</v>
      </c>
      <c r="K1281" s="1271">
        <v>5.8130217508880998E-3</v>
      </c>
      <c r="L1281" s="1257">
        <v>2.0701241981718301E-3</v>
      </c>
      <c r="M1281" s="1280">
        <v>3.7869919939725199E-4</v>
      </c>
      <c r="N1281" s="1271">
        <v>7.04593435677038E-3</v>
      </c>
      <c r="O1281" s="1257">
        <v>3.0000008598028201E-3</v>
      </c>
      <c r="P1281" s="1257">
        <v>8.6060506400147396E-3</v>
      </c>
      <c r="Q1281" s="1280">
        <v>7.04593435677038E-3</v>
      </c>
      <c r="R1281" s="1271">
        <v>3.8500011034136201E-2</v>
      </c>
      <c r="S1281" s="1257">
        <v>3.8500011034136201E-2</v>
      </c>
      <c r="T1281" s="1257">
        <v>3.8500011034136201E-2</v>
      </c>
      <c r="U1281" s="1280">
        <v>1.9250005517068101E-2</v>
      </c>
      <c r="V1281" s="1293">
        <v>6.0758607995612703E-3</v>
      </c>
    </row>
    <row r="1282" spans="1:22" s="212" customFormat="1" ht="15.5" x14ac:dyDescent="0.35">
      <c r="A1282" s="198">
        <v>2037</v>
      </c>
      <c r="B1282" s="197" t="s">
        <v>5833</v>
      </c>
      <c r="C1282" s="197">
        <v>1980</v>
      </c>
      <c r="D1282" s="225" t="str">
        <f t="shared" si="8"/>
        <v>2037_1980</v>
      </c>
      <c r="E1282" s="1226">
        <v>6.0044242325657499E-2</v>
      </c>
      <c r="F1282" s="1257">
        <v>2.14568840846215E-2</v>
      </c>
      <c r="G1282" s="1280">
        <v>6.4167431178627901E-2</v>
      </c>
      <c r="H1282" s="1271">
        <v>0.32055924982697298</v>
      </c>
      <c r="I1282" s="1257">
        <v>0.48182509003728002</v>
      </c>
      <c r="J1282" s="1280">
        <v>9.8132069650517004E-2</v>
      </c>
      <c r="K1282" s="1271">
        <v>5.8130217508880998E-3</v>
      </c>
      <c r="L1282" s="1257">
        <v>2.0701241981718301E-3</v>
      </c>
      <c r="M1282" s="1280">
        <v>3.7869919939725199E-4</v>
      </c>
      <c r="N1282" s="1271">
        <v>7.04593435677038E-3</v>
      </c>
      <c r="O1282" s="1257">
        <v>3.0000008598028201E-3</v>
      </c>
      <c r="P1282" s="1257">
        <v>8.6060506400147396E-3</v>
      </c>
      <c r="Q1282" s="1280">
        <v>7.04593435677038E-3</v>
      </c>
      <c r="R1282" s="1271">
        <v>3.8500011034136201E-2</v>
      </c>
      <c r="S1282" s="1257">
        <v>3.8500011034136201E-2</v>
      </c>
      <c r="T1282" s="1257">
        <v>3.8500011034136201E-2</v>
      </c>
      <c r="U1282" s="1280">
        <v>1.9250005517068101E-2</v>
      </c>
      <c r="V1282" s="1293">
        <v>6.0758607995612703E-3</v>
      </c>
    </row>
    <row r="1283" spans="1:22" s="212" customFormat="1" ht="15.5" x14ac:dyDescent="0.35">
      <c r="A1283" s="198">
        <v>2037</v>
      </c>
      <c r="B1283" s="197" t="s">
        <v>5833</v>
      </c>
      <c r="C1283" s="197">
        <v>1981</v>
      </c>
      <c r="D1283" s="225" t="str">
        <f t="shared" si="8"/>
        <v>2037_1981</v>
      </c>
      <c r="E1283" s="1226">
        <v>6.0044242325657499E-2</v>
      </c>
      <c r="F1283" s="1257">
        <v>2.14568840846215E-2</v>
      </c>
      <c r="G1283" s="1280">
        <v>6.4167431178627901E-2</v>
      </c>
      <c r="H1283" s="1271">
        <v>0.32055924982697298</v>
      </c>
      <c r="I1283" s="1257">
        <v>0.48182509003728002</v>
      </c>
      <c r="J1283" s="1280">
        <v>9.8132069650517004E-2</v>
      </c>
      <c r="K1283" s="1271">
        <v>5.8130217508880998E-3</v>
      </c>
      <c r="L1283" s="1257">
        <v>2.0701241981718301E-3</v>
      </c>
      <c r="M1283" s="1280">
        <v>3.7869919939725199E-4</v>
      </c>
      <c r="N1283" s="1271">
        <v>7.04593435677038E-3</v>
      </c>
      <c r="O1283" s="1257">
        <v>3.0000008598028201E-3</v>
      </c>
      <c r="P1283" s="1257">
        <v>8.6060506400147396E-3</v>
      </c>
      <c r="Q1283" s="1280">
        <v>7.04593435677038E-3</v>
      </c>
      <c r="R1283" s="1271">
        <v>3.8500011034136201E-2</v>
      </c>
      <c r="S1283" s="1257">
        <v>3.8500011034136201E-2</v>
      </c>
      <c r="T1283" s="1257">
        <v>3.8500011034136201E-2</v>
      </c>
      <c r="U1283" s="1280">
        <v>1.9250005517068101E-2</v>
      </c>
      <c r="V1283" s="1293">
        <v>6.0758607995612703E-3</v>
      </c>
    </row>
    <row r="1284" spans="1:22" s="212" customFormat="1" ht="15.5" x14ac:dyDescent="0.35">
      <c r="A1284" s="198">
        <v>2037</v>
      </c>
      <c r="B1284" s="197" t="s">
        <v>5833</v>
      </c>
      <c r="C1284" s="197">
        <v>1982</v>
      </c>
      <c r="D1284" s="225" t="str">
        <f t="shared" si="8"/>
        <v>2037_1982</v>
      </c>
      <c r="E1284" s="1226">
        <v>6.0044242325657499E-2</v>
      </c>
      <c r="F1284" s="1257">
        <v>2.14568840846215E-2</v>
      </c>
      <c r="G1284" s="1280">
        <v>6.4167431178627901E-2</v>
      </c>
      <c r="H1284" s="1271">
        <v>0.32055924982697298</v>
      </c>
      <c r="I1284" s="1257">
        <v>0.48182509003728002</v>
      </c>
      <c r="J1284" s="1280">
        <v>9.8132069650517004E-2</v>
      </c>
      <c r="K1284" s="1271">
        <v>5.8130217508880998E-3</v>
      </c>
      <c r="L1284" s="1257">
        <v>2.0701241981718301E-3</v>
      </c>
      <c r="M1284" s="1280">
        <v>3.7869919939725199E-4</v>
      </c>
      <c r="N1284" s="1271">
        <v>7.04593435677038E-3</v>
      </c>
      <c r="O1284" s="1257">
        <v>3.0000008598028201E-3</v>
      </c>
      <c r="P1284" s="1257">
        <v>8.6060506400147396E-3</v>
      </c>
      <c r="Q1284" s="1280">
        <v>7.04593435677038E-3</v>
      </c>
      <c r="R1284" s="1271">
        <v>3.8500011034136201E-2</v>
      </c>
      <c r="S1284" s="1257">
        <v>3.8500011034136201E-2</v>
      </c>
      <c r="T1284" s="1257">
        <v>3.8500011034136201E-2</v>
      </c>
      <c r="U1284" s="1280">
        <v>1.9250005517068101E-2</v>
      </c>
      <c r="V1284" s="1293">
        <v>6.0758607995612703E-3</v>
      </c>
    </row>
    <row r="1285" spans="1:22" s="212" customFormat="1" ht="15.5" x14ac:dyDescent="0.35">
      <c r="A1285" s="198">
        <v>2037</v>
      </c>
      <c r="B1285" s="197" t="s">
        <v>5833</v>
      </c>
      <c r="C1285" s="197">
        <v>1983</v>
      </c>
      <c r="D1285" s="225" t="str">
        <f t="shared" si="8"/>
        <v>2037_1983</v>
      </c>
      <c r="E1285" s="1226">
        <v>6.0044242325657499E-2</v>
      </c>
      <c r="F1285" s="1257">
        <v>2.14568840846215E-2</v>
      </c>
      <c r="G1285" s="1280">
        <v>6.4167431178627901E-2</v>
      </c>
      <c r="H1285" s="1271">
        <v>0.32055924982697298</v>
      </c>
      <c r="I1285" s="1257">
        <v>0.48182509003728002</v>
      </c>
      <c r="J1285" s="1280">
        <v>9.8132069650517004E-2</v>
      </c>
      <c r="K1285" s="1271">
        <v>5.8130217508880998E-3</v>
      </c>
      <c r="L1285" s="1257">
        <v>2.0701241981718301E-3</v>
      </c>
      <c r="M1285" s="1280">
        <v>3.7869919939725199E-4</v>
      </c>
      <c r="N1285" s="1271">
        <v>7.04593435677038E-3</v>
      </c>
      <c r="O1285" s="1257">
        <v>3.0000008598028201E-3</v>
      </c>
      <c r="P1285" s="1257">
        <v>8.6060506400147396E-3</v>
      </c>
      <c r="Q1285" s="1280">
        <v>7.04593435677038E-3</v>
      </c>
      <c r="R1285" s="1271">
        <v>3.8500011034136201E-2</v>
      </c>
      <c r="S1285" s="1257">
        <v>3.8500011034136201E-2</v>
      </c>
      <c r="T1285" s="1257">
        <v>3.8500011034136201E-2</v>
      </c>
      <c r="U1285" s="1280">
        <v>1.9250005517068101E-2</v>
      </c>
      <c r="V1285" s="1293">
        <v>6.0758607995612703E-3</v>
      </c>
    </row>
    <row r="1286" spans="1:22" s="212" customFormat="1" ht="15.5" x14ac:dyDescent="0.35">
      <c r="A1286" s="198">
        <v>2037</v>
      </c>
      <c r="B1286" s="197" t="s">
        <v>5833</v>
      </c>
      <c r="C1286" s="197">
        <v>1984</v>
      </c>
      <c r="D1286" s="225" t="str">
        <f t="shared" si="8"/>
        <v>2037_1984</v>
      </c>
      <c r="E1286" s="1226">
        <v>6.0044242325657499E-2</v>
      </c>
      <c r="F1286" s="1257">
        <v>2.14568840846215E-2</v>
      </c>
      <c r="G1286" s="1280">
        <v>6.4167431178627901E-2</v>
      </c>
      <c r="H1286" s="1271">
        <v>0.32055924982697298</v>
      </c>
      <c r="I1286" s="1257">
        <v>0.48182509003728002</v>
      </c>
      <c r="J1286" s="1280">
        <v>9.8132069650517004E-2</v>
      </c>
      <c r="K1286" s="1271">
        <v>5.8130217508880998E-3</v>
      </c>
      <c r="L1286" s="1257">
        <v>2.0701241981718301E-3</v>
      </c>
      <c r="M1286" s="1280">
        <v>3.7869919939725199E-4</v>
      </c>
      <c r="N1286" s="1271">
        <v>7.04593435677038E-3</v>
      </c>
      <c r="O1286" s="1257">
        <v>3.0000008598028201E-3</v>
      </c>
      <c r="P1286" s="1257">
        <v>8.6060506400147396E-3</v>
      </c>
      <c r="Q1286" s="1280">
        <v>7.04593435677038E-3</v>
      </c>
      <c r="R1286" s="1271">
        <v>3.8500011034136201E-2</v>
      </c>
      <c r="S1286" s="1257">
        <v>3.8500011034136201E-2</v>
      </c>
      <c r="T1286" s="1257">
        <v>3.8500011034136201E-2</v>
      </c>
      <c r="U1286" s="1280">
        <v>1.9250005517068101E-2</v>
      </c>
      <c r="V1286" s="1293">
        <v>6.0758607995612703E-3</v>
      </c>
    </row>
    <row r="1287" spans="1:22" s="212" customFormat="1" ht="15.5" x14ac:dyDescent="0.35">
      <c r="A1287" s="198">
        <v>2037</v>
      </c>
      <c r="B1287" s="197" t="s">
        <v>5833</v>
      </c>
      <c r="C1287" s="197">
        <v>1985</v>
      </c>
      <c r="D1287" s="225" t="str">
        <f t="shared" si="8"/>
        <v>2037_1985</v>
      </c>
      <c r="E1287" s="1226">
        <v>6.0044242325657499E-2</v>
      </c>
      <c r="F1287" s="1257">
        <v>2.14568840846215E-2</v>
      </c>
      <c r="G1287" s="1280">
        <v>6.4167431178627901E-2</v>
      </c>
      <c r="H1287" s="1271">
        <v>0.32055924982697298</v>
      </c>
      <c r="I1287" s="1257">
        <v>0.48182509003728002</v>
      </c>
      <c r="J1287" s="1280">
        <v>9.8132069650517004E-2</v>
      </c>
      <c r="K1287" s="1271">
        <v>5.8130217508880998E-3</v>
      </c>
      <c r="L1287" s="1257">
        <v>2.0701241981718301E-3</v>
      </c>
      <c r="M1287" s="1280">
        <v>3.7869919939725199E-4</v>
      </c>
      <c r="N1287" s="1271">
        <v>7.04593435677038E-3</v>
      </c>
      <c r="O1287" s="1257">
        <v>3.0000008598028201E-3</v>
      </c>
      <c r="P1287" s="1257">
        <v>8.6060506400147396E-3</v>
      </c>
      <c r="Q1287" s="1280">
        <v>7.04593435677038E-3</v>
      </c>
      <c r="R1287" s="1271">
        <v>3.8500011034136201E-2</v>
      </c>
      <c r="S1287" s="1257">
        <v>3.8500011034136201E-2</v>
      </c>
      <c r="T1287" s="1257">
        <v>3.8500011034136201E-2</v>
      </c>
      <c r="U1287" s="1280">
        <v>1.9250005517068101E-2</v>
      </c>
      <c r="V1287" s="1293">
        <v>6.0758607995612703E-3</v>
      </c>
    </row>
    <row r="1288" spans="1:22" s="212" customFormat="1" ht="15.5" x14ac:dyDescent="0.35">
      <c r="A1288" s="198">
        <v>2037</v>
      </c>
      <c r="B1288" s="197" t="s">
        <v>5833</v>
      </c>
      <c r="C1288" s="197">
        <v>1986</v>
      </c>
      <c r="D1288" s="225" t="str">
        <f t="shared" si="8"/>
        <v>2037_1986</v>
      </c>
      <c r="E1288" s="1226">
        <v>6.0044242325657499E-2</v>
      </c>
      <c r="F1288" s="1257">
        <v>2.14568840846215E-2</v>
      </c>
      <c r="G1288" s="1280">
        <v>6.4167431178627901E-2</v>
      </c>
      <c r="H1288" s="1271">
        <v>0.32055924982697298</v>
      </c>
      <c r="I1288" s="1257">
        <v>0.48182509003728002</v>
      </c>
      <c r="J1288" s="1280">
        <v>9.8132069650517004E-2</v>
      </c>
      <c r="K1288" s="1271">
        <v>5.8130217508880998E-3</v>
      </c>
      <c r="L1288" s="1257">
        <v>2.0701241981718301E-3</v>
      </c>
      <c r="M1288" s="1280">
        <v>3.7869919939725199E-4</v>
      </c>
      <c r="N1288" s="1271">
        <v>7.04593435677038E-3</v>
      </c>
      <c r="O1288" s="1257">
        <v>3.0000008598028201E-3</v>
      </c>
      <c r="P1288" s="1257">
        <v>8.6060506400147396E-3</v>
      </c>
      <c r="Q1288" s="1280">
        <v>7.04593435677038E-3</v>
      </c>
      <c r="R1288" s="1271">
        <v>3.8500011034136201E-2</v>
      </c>
      <c r="S1288" s="1257">
        <v>3.8500011034136201E-2</v>
      </c>
      <c r="T1288" s="1257">
        <v>3.8500011034136201E-2</v>
      </c>
      <c r="U1288" s="1280">
        <v>1.9250005517068101E-2</v>
      </c>
      <c r="V1288" s="1293">
        <v>6.0758607995612703E-3</v>
      </c>
    </row>
    <row r="1289" spans="1:22" s="212" customFormat="1" ht="15.5" x14ac:dyDescent="0.35">
      <c r="A1289" s="198">
        <v>2037</v>
      </c>
      <c r="B1289" s="197" t="s">
        <v>5833</v>
      </c>
      <c r="C1289" s="197">
        <v>1987</v>
      </c>
      <c r="D1289" s="225" t="str">
        <f t="shared" si="8"/>
        <v>2037_1987</v>
      </c>
      <c r="E1289" s="1226">
        <v>6.0044242325657499E-2</v>
      </c>
      <c r="F1289" s="1257">
        <v>2.14568840846215E-2</v>
      </c>
      <c r="G1289" s="1280">
        <v>6.4167431178627901E-2</v>
      </c>
      <c r="H1289" s="1271">
        <v>0.32055924982697298</v>
      </c>
      <c r="I1289" s="1257">
        <v>0.48182509003728002</v>
      </c>
      <c r="J1289" s="1280">
        <v>9.8132069650517004E-2</v>
      </c>
      <c r="K1289" s="1271">
        <v>5.8130217508880998E-3</v>
      </c>
      <c r="L1289" s="1257">
        <v>2.0701241981718301E-3</v>
      </c>
      <c r="M1289" s="1280">
        <v>3.7869919939725199E-4</v>
      </c>
      <c r="N1289" s="1271">
        <v>7.04593435677038E-3</v>
      </c>
      <c r="O1289" s="1257">
        <v>3.0000008598028201E-3</v>
      </c>
      <c r="P1289" s="1257">
        <v>8.6060506400147396E-3</v>
      </c>
      <c r="Q1289" s="1280">
        <v>7.04593435677038E-3</v>
      </c>
      <c r="R1289" s="1271">
        <v>3.8500011034136201E-2</v>
      </c>
      <c r="S1289" s="1257">
        <v>3.8500011034136201E-2</v>
      </c>
      <c r="T1289" s="1257">
        <v>3.8500011034136201E-2</v>
      </c>
      <c r="U1289" s="1280">
        <v>1.9250005517068101E-2</v>
      </c>
      <c r="V1289" s="1293">
        <v>6.0758607995612703E-3</v>
      </c>
    </row>
    <row r="1290" spans="1:22" s="212" customFormat="1" ht="15.5" x14ac:dyDescent="0.35">
      <c r="A1290" s="198">
        <v>2037</v>
      </c>
      <c r="B1290" s="197" t="s">
        <v>5833</v>
      </c>
      <c r="C1290" s="197">
        <v>1988</v>
      </c>
      <c r="D1290" s="225" t="str">
        <f t="shared" si="8"/>
        <v>2037_1988</v>
      </c>
      <c r="E1290" s="1226">
        <v>6.0044242325657499E-2</v>
      </c>
      <c r="F1290" s="1257">
        <v>2.14568840846215E-2</v>
      </c>
      <c r="G1290" s="1280">
        <v>6.4167431178627901E-2</v>
      </c>
      <c r="H1290" s="1271">
        <v>0.32055924982697298</v>
      </c>
      <c r="I1290" s="1257">
        <v>0.48182509003728002</v>
      </c>
      <c r="J1290" s="1280">
        <v>9.8132069650517004E-2</v>
      </c>
      <c r="K1290" s="1271">
        <v>5.8130217508880998E-3</v>
      </c>
      <c r="L1290" s="1257">
        <v>2.0701241981718301E-3</v>
      </c>
      <c r="M1290" s="1280">
        <v>3.7869919939725199E-4</v>
      </c>
      <c r="N1290" s="1271">
        <v>7.04593435677038E-3</v>
      </c>
      <c r="O1290" s="1257">
        <v>3.0000008598028201E-3</v>
      </c>
      <c r="P1290" s="1257">
        <v>8.6060506400147396E-3</v>
      </c>
      <c r="Q1290" s="1280">
        <v>7.04593435677038E-3</v>
      </c>
      <c r="R1290" s="1271">
        <v>3.8500011034136201E-2</v>
      </c>
      <c r="S1290" s="1257">
        <v>3.8500011034136201E-2</v>
      </c>
      <c r="T1290" s="1257">
        <v>3.8500011034136201E-2</v>
      </c>
      <c r="U1290" s="1280">
        <v>1.9250005517068101E-2</v>
      </c>
      <c r="V1290" s="1293">
        <v>6.0758607995612703E-3</v>
      </c>
    </row>
    <row r="1291" spans="1:22" s="212" customFormat="1" ht="15.5" x14ac:dyDescent="0.35">
      <c r="A1291" s="198">
        <v>2037</v>
      </c>
      <c r="B1291" s="197" t="s">
        <v>5833</v>
      </c>
      <c r="C1291" s="197">
        <v>1989</v>
      </c>
      <c r="D1291" s="225" t="str">
        <f t="shared" si="8"/>
        <v>2037_1989</v>
      </c>
      <c r="E1291" s="1226">
        <v>6.0044242325657499E-2</v>
      </c>
      <c r="F1291" s="1257">
        <v>2.14568840846215E-2</v>
      </c>
      <c r="G1291" s="1280">
        <v>6.4167431178627901E-2</v>
      </c>
      <c r="H1291" s="1271">
        <v>0.32055924982697298</v>
      </c>
      <c r="I1291" s="1257">
        <v>0.48182509003728002</v>
      </c>
      <c r="J1291" s="1280">
        <v>9.8132069650517004E-2</v>
      </c>
      <c r="K1291" s="1271">
        <v>5.8130217508880998E-3</v>
      </c>
      <c r="L1291" s="1257">
        <v>2.0701241981718301E-3</v>
      </c>
      <c r="M1291" s="1280">
        <v>3.7869919939725199E-4</v>
      </c>
      <c r="N1291" s="1271">
        <v>7.04593435677038E-3</v>
      </c>
      <c r="O1291" s="1257">
        <v>3.0000008598028201E-3</v>
      </c>
      <c r="P1291" s="1257">
        <v>8.6060506400147396E-3</v>
      </c>
      <c r="Q1291" s="1280">
        <v>7.04593435677038E-3</v>
      </c>
      <c r="R1291" s="1271">
        <v>3.8500011034136201E-2</v>
      </c>
      <c r="S1291" s="1257">
        <v>3.8500011034136201E-2</v>
      </c>
      <c r="T1291" s="1257">
        <v>3.8500011034136201E-2</v>
      </c>
      <c r="U1291" s="1280">
        <v>1.9250005517068101E-2</v>
      </c>
      <c r="V1291" s="1293">
        <v>6.0758607995612703E-3</v>
      </c>
    </row>
    <row r="1292" spans="1:22" s="212" customFormat="1" ht="15.5" x14ac:dyDescent="0.35">
      <c r="A1292" s="198">
        <v>2037</v>
      </c>
      <c r="B1292" s="197" t="s">
        <v>5833</v>
      </c>
      <c r="C1292" s="197">
        <v>1990</v>
      </c>
      <c r="D1292" s="225" t="str">
        <f t="shared" si="8"/>
        <v>2037_1990</v>
      </c>
      <c r="E1292" s="1226">
        <v>6.0044242325657499E-2</v>
      </c>
      <c r="F1292" s="1257">
        <v>2.14568840846215E-2</v>
      </c>
      <c r="G1292" s="1280">
        <v>6.4167431178627901E-2</v>
      </c>
      <c r="H1292" s="1271">
        <v>0.32055924982697298</v>
      </c>
      <c r="I1292" s="1257">
        <v>0.48182509003728002</v>
      </c>
      <c r="J1292" s="1280">
        <v>9.8132069650517004E-2</v>
      </c>
      <c r="K1292" s="1271">
        <v>5.8130217508880998E-3</v>
      </c>
      <c r="L1292" s="1257">
        <v>2.0701241981718301E-3</v>
      </c>
      <c r="M1292" s="1280">
        <v>3.7869919939725199E-4</v>
      </c>
      <c r="N1292" s="1271">
        <v>7.04593435677038E-3</v>
      </c>
      <c r="O1292" s="1257">
        <v>3.0000008598028201E-3</v>
      </c>
      <c r="P1292" s="1257">
        <v>8.6060506400147396E-3</v>
      </c>
      <c r="Q1292" s="1280">
        <v>7.04593435677038E-3</v>
      </c>
      <c r="R1292" s="1271">
        <v>3.8500011034136201E-2</v>
      </c>
      <c r="S1292" s="1257">
        <v>3.8500011034136201E-2</v>
      </c>
      <c r="T1292" s="1257">
        <v>3.8500011034136201E-2</v>
      </c>
      <c r="U1292" s="1280">
        <v>1.9250005517068101E-2</v>
      </c>
      <c r="V1292" s="1293">
        <v>6.0758607995612703E-3</v>
      </c>
    </row>
    <row r="1293" spans="1:22" s="212" customFormat="1" ht="15.5" x14ac:dyDescent="0.35">
      <c r="A1293" s="198">
        <v>2037</v>
      </c>
      <c r="B1293" s="197" t="s">
        <v>5833</v>
      </c>
      <c r="C1293" s="197">
        <v>1991</v>
      </c>
      <c r="D1293" s="225" t="str">
        <f t="shared" si="8"/>
        <v>2037_1991</v>
      </c>
      <c r="E1293" s="1226">
        <v>6.0044242325657499E-2</v>
      </c>
      <c r="F1293" s="1257">
        <v>2.14568840846215E-2</v>
      </c>
      <c r="G1293" s="1280">
        <v>6.4167431178627901E-2</v>
      </c>
      <c r="H1293" s="1271">
        <v>0.32055924982697298</v>
      </c>
      <c r="I1293" s="1257">
        <v>0.48182509003728002</v>
      </c>
      <c r="J1293" s="1280">
        <v>9.8132069650517004E-2</v>
      </c>
      <c r="K1293" s="1271">
        <v>5.8130217508880998E-3</v>
      </c>
      <c r="L1293" s="1257">
        <v>2.0701241981718301E-3</v>
      </c>
      <c r="M1293" s="1280">
        <v>3.7869919939725199E-4</v>
      </c>
      <c r="N1293" s="1271">
        <v>7.04593435677038E-3</v>
      </c>
      <c r="O1293" s="1257">
        <v>3.0000008598028201E-3</v>
      </c>
      <c r="P1293" s="1257">
        <v>8.6060506400147396E-3</v>
      </c>
      <c r="Q1293" s="1280">
        <v>7.04593435677038E-3</v>
      </c>
      <c r="R1293" s="1271">
        <v>3.8500011034136201E-2</v>
      </c>
      <c r="S1293" s="1257">
        <v>3.8500011034136201E-2</v>
      </c>
      <c r="T1293" s="1257">
        <v>3.8500011034136201E-2</v>
      </c>
      <c r="U1293" s="1280">
        <v>1.9250005517068101E-2</v>
      </c>
      <c r="V1293" s="1293">
        <v>6.0758607995612703E-3</v>
      </c>
    </row>
    <row r="1294" spans="1:22" s="212" customFormat="1" ht="15.5" x14ac:dyDescent="0.35">
      <c r="A1294" s="198">
        <v>2037</v>
      </c>
      <c r="B1294" s="197" t="s">
        <v>5833</v>
      </c>
      <c r="C1294" s="197">
        <v>1992</v>
      </c>
      <c r="D1294" s="225" t="str">
        <f t="shared" si="8"/>
        <v>2037_1992</v>
      </c>
      <c r="E1294" s="1226">
        <v>6.0044242325657499E-2</v>
      </c>
      <c r="F1294" s="1257">
        <v>2.14568840846215E-2</v>
      </c>
      <c r="G1294" s="1280">
        <v>6.4167431178627901E-2</v>
      </c>
      <c r="H1294" s="1271">
        <v>0.32055924982697298</v>
      </c>
      <c r="I1294" s="1257">
        <v>0.48182509003728002</v>
      </c>
      <c r="J1294" s="1280">
        <v>9.8132069650517004E-2</v>
      </c>
      <c r="K1294" s="1271">
        <v>5.8130217508880998E-3</v>
      </c>
      <c r="L1294" s="1257">
        <v>2.0701241981718301E-3</v>
      </c>
      <c r="M1294" s="1280">
        <v>3.7869919939725199E-4</v>
      </c>
      <c r="N1294" s="1271">
        <v>7.04593435677038E-3</v>
      </c>
      <c r="O1294" s="1257">
        <v>3.0000008598028201E-3</v>
      </c>
      <c r="P1294" s="1257">
        <v>8.6060506400147396E-3</v>
      </c>
      <c r="Q1294" s="1280">
        <v>7.04593435677038E-3</v>
      </c>
      <c r="R1294" s="1271">
        <v>3.8500011034136201E-2</v>
      </c>
      <c r="S1294" s="1257">
        <v>3.8500011034136201E-2</v>
      </c>
      <c r="T1294" s="1257">
        <v>3.8500011034136201E-2</v>
      </c>
      <c r="U1294" s="1280">
        <v>1.9250005517068101E-2</v>
      </c>
      <c r="V1294" s="1293">
        <v>6.0758607995612703E-3</v>
      </c>
    </row>
    <row r="1295" spans="1:22" s="212" customFormat="1" ht="15.5" x14ac:dyDescent="0.35">
      <c r="A1295" s="198">
        <v>2037</v>
      </c>
      <c r="B1295" s="197" t="s">
        <v>5833</v>
      </c>
      <c r="C1295" s="197">
        <v>1993</v>
      </c>
      <c r="D1295" s="225" t="str">
        <f t="shared" si="8"/>
        <v>2037_1993</v>
      </c>
      <c r="E1295" s="1226">
        <v>6.0044242325657499E-2</v>
      </c>
      <c r="F1295" s="1257">
        <v>2.14568840846215E-2</v>
      </c>
      <c r="G1295" s="1280">
        <v>6.4167431178627901E-2</v>
      </c>
      <c r="H1295" s="1271">
        <v>0.32055924982697298</v>
      </c>
      <c r="I1295" s="1257">
        <v>0.48182509003728002</v>
      </c>
      <c r="J1295" s="1280">
        <v>9.8132069650517004E-2</v>
      </c>
      <c r="K1295" s="1271">
        <v>5.8130217508880998E-3</v>
      </c>
      <c r="L1295" s="1257">
        <v>2.0701241981718301E-3</v>
      </c>
      <c r="M1295" s="1280">
        <v>3.7869919939725199E-4</v>
      </c>
      <c r="N1295" s="1271">
        <v>7.04593435677038E-3</v>
      </c>
      <c r="O1295" s="1257">
        <v>3.0000008598028201E-3</v>
      </c>
      <c r="P1295" s="1257">
        <v>8.6060506400147396E-3</v>
      </c>
      <c r="Q1295" s="1280">
        <v>7.04593435677038E-3</v>
      </c>
      <c r="R1295" s="1271">
        <v>3.8500011034136201E-2</v>
      </c>
      <c r="S1295" s="1257">
        <v>3.8500011034136201E-2</v>
      </c>
      <c r="T1295" s="1257">
        <v>3.8500011034136201E-2</v>
      </c>
      <c r="U1295" s="1280">
        <v>1.9250005517068101E-2</v>
      </c>
      <c r="V1295" s="1293">
        <v>6.0758607995612703E-3</v>
      </c>
    </row>
    <row r="1296" spans="1:22" s="212" customFormat="1" ht="15.5" x14ac:dyDescent="0.35">
      <c r="A1296" s="198">
        <v>2037</v>
      </c>
      <c r="B1296" s="197" t="s">
        <v>5833</v>
      </c>
      <c r="C1296" s="197">
        <v>1994</v>
      </c>
      <c r="D1296" s="225" t="str">
        <f t="shared" si="8"/>
        <v>2037_1994</v>
      </c>
      <c r="E1296" s="1226">
        <v>6.0044242325657499E-2</v>
      </c>
      <c r="F1296" s="1257">
        <v>2.14568840846215E-2</v>
      </c>
      <c r="G1296" s="1280">
        <v>6.4167431178627901E-2</v>
      </c>
      <c r="H1296" s="1271">
        <v>0.32055924982697298</v>
      </c>
      <c r="I1296" s="1257">
        <v>0.48182509003728002</v>
      </c>
      <c r="J1296" s="1280">
        <v>9.8132069650517004E-2</v>
      </c>
      <c r="K1296" s="1271">
        <v>5.8130217508880998E-3</v>
      </c>
      <c r="L1296" s="1257">
        <v>2.0701241981718301E-3</v>
      </c>
      <c r="M1296" s="1280">
        <v>3.7869919939725199E-4</v>
      </c>
      <c r="N1296" s="1271">
        <v>7.04593435677038E-3</v>
      </c>
      <c r="O1296" s="1257">
        <v>3.0000008598028201E-3</v>
      </c>
      <c r="P1296" s="1257">
        <v>8.6060506400147396E-3</v>
      </c>
      <c r="Q1296" s="1280">
        <v>7.04593435677038E-3</v>
      </c>
      <c r="R1296" s="1271">
        <v>3.8500011034136201E-2</v>
      </c>
      <c r="S1296" s="1257">
        <v>3.8500011034136201E-2</v>
      </c>
      <c r="T1296" s="1257">
        <v>3.8500011034136201E-2</v>
      </c>
      <c r="U1296" s="1280">
        <v>1.9250005517068101E-2</v>
      </c>
      <c r="V1296" s="1293">
        <v>6.0758607995612703E-3</v>
      </c>
    </row>
    <row r="1297" spans="1:22" s="212" customFormat="1" ht="15.5" x14ac:dyDescent="0.35">
      <c r="A1297" s="198">
        <v>2037</v>
      </c>
      <c r="B1297" s="197" t="s">
        <v>5833</v>
      </c>
      <c r="C1297" s="197">
        <v>1995</v>
      </c>
      <c r="D1297" s="225" t="str">
        <f t="shared" si="8"/>
        <v>2037_1995</v>
      </c>
      <c r="E1297" s="1226">
        <v>6.0044242325657499E-2</v>
      </c>
      <c r="F1297" s="1257">
        <v>2.14568840846215E-2</v>
      </c>
      <c r="G1297" s="1280">
        <v>6.4167431178627901E-2</v>
      </c>
      <c r="H1297" s="1271">
        <v>0.32055924982697298</v>
      </c>
      <c r="I1297" s="1257">
        <v>0.48182509003728002</v>
      </c>
      <c r="J1297" s="1280">
        <v>9.8132069650517004E-2</v>
      </c>
      <c r="K1297" s="1271">
        <v>5.8130217508880998E-3</v>
      </c>
      <c r="L1297" s="1257">
        <v>2.0701241981718301E-3</v>
      </c>
      <c r="M1297" s="1280">
        <v>3.7869919939725199E-4</v>
      </c>
      <c r="N1297" s="1271">
        <v>7.04593435677038E-3</v>
      </c>
      <c r="O1297" s="1257">
        <v>3.0000008598028201E-3</v>
      </c>
      <c r="P1297" s="1257">
        <v>8.6060506400147396E-3</v>
      </c>
      <c r="Q1297" s="1280">
        <v>7.04593435677038E-3</v>
      </c>
      <c r="R1297" s="1271">
        <v>3.8500011034136201E-2</v>
      </c>
      <c r="S1297" s="1257">
        <v>3.8500011034136201E-2</v>
      </c>
      <c r="T1297" s="1257">
        <v>3.8500011034136201E-2</v>
      </c>
      <c r="U1297" s="1280">
        <v>1.9250005517068101E-2</v>
      </c>
      <c r="V1297" s="1293">
        <v>6.0758607995612703E-3</v>
      </c>
    </row>
    <row r="1298" spans="1:22" s="212" customFormat="1" ht="15.5" x14ac:dyDescent="0.35">
      <c r="A1298" s="198">
        <v>2037</v>
      </c>
      <c r="B1298" s="197" t="s">
        <v>5833</v>
      </c>
      <c r="C1298" s="197">
        <v>1996</v>
      </c>
      <c r="D1298" s="225" t="str">
        <f t="shared" si="8"/>
        <v>2037_1996</v>
      </c>
      <c r="E1298" s="1226">
        <v>6.0044242325657499E-2</v>
      </c>
      <c r="F1298" s="1257">
        <v>2.14568840846215E-2</v>
      </c>
      <c r="G1298" s="1280">
        <v>6.4167431178627901E-2</v>
      </c>
      <c r="H1298" s="1271">
        <v>0.32055924982697298</v>
      </c>
      <c r="I1298" s="1257">
        <v>0.48182509003728002</v>
      </c>
      <c r="J1298" s="1280">
        <v>9.8132069650517004E-2</v>
      </c>
      <c r="K1298" s="1271">
        <v>5.8130217508880998E-3</v>
      </c>
      <c r="L1298" s="1257">
        <v>2.0701241981718301E-3</v>
      </c>
      <c r="M1298" s="1280">
        <v>3.7869919939725199E-4</v>
      </c>
      <c r="N1298" s="1271">
        <v>7.04593435677038E-3</v>
      </c>
      <c r="O1298" s="1257">
        <v>3.0000008598028201E-3</v>
      </c>
      <c r="P1298" s="1257">
        <v>8.6060506400147396E-3</v>
      </c>
      <c r="Q1298" s="1280">
        <v>7.04593435677038E-3</v>
      </c>
      <c r="R1298" s="1271">
        <v>3.8500011034136201E-2</v>
      </c>
      <c r="S1298" s="1257">
        <v>3.8500011034136201E-2</v>
      </c>
      <c r="T1298" s="1257">
        <v>3.8500011034136201E-2</v>
      </c>
      <c r="U1298" s="1280">
        <v>1.9250005517068101E-2</v>
      </c>
      <c r="V1298" s="1293">
        <v>6.0758607995612703E-3</v>
      </c>
    </row>
    <row r="1299" spans="1:22" s="212" customFormat="1" ht="15.5" x14ac:dyDescent="0.35">
      <c r="A1299" s="198">
        <v>2037</v>
      </c>
      <c r="B1299" s="197" t="s">
        <v>5833</v>
      </c>
      <c r="C1299" s="197">
        <v>1997</v>
      </c>
      <c r="D1299" s="225" t="str">
        <f t="shared" si="8"/>
        <v>2037_1997</v>
      </c>
      <c r="E1299" s="1226">
        <v>6.0044242325657499E-2</v>
      </c>
      <c r="F1299" s="1257">
        <v>2.14568840846215E-2</v>
      </c>
      <c r="G1299" s="1280">
        <v>6.4167431178627901E-2</v>
      </c>
      <c r="H1299" s="1271">
        <v>0.32055924982697298</v>
      </c>
      <c r="I1299" s="1257">
        <v>0.48182509003728002</v>
      </c>
      <c r="J1299" s="1280">
        <v>9.8132069650517004E-2</v>
      </c>
      <c r="K1299" s="1271">
        <v>5.8130217508880998E-3</v>
      </c>
      <c r="L1299" s="1257">
        <v>2.0701241981718301E-3</v>
      </c>
      <c r="M1299" s="1280">
        <v>3.7869919939725199E-4</v>
      </c>
      <c r="N1299" s="1271">
        <v>7.04593435677038E-3</v>
      </c>
      <c r="O1299" s="1257">
        <v>3.0000008598028201E-3</v>
      </c>
      <c r="P1299" s="1257">
        <v>8.6060506400147396E-3</v>
      </c>
      <c r="Q1299" s="1280">
        <v>7.04593435677038E-3</v>
      </c>
      <c r="R1299" s="1271">
        <v>3.8500011034136201E-2</v>
      </c>
      <c r="S1299" s="1257">
        <v>3.8500011034136201E-2</v>
      </c>
      <c r="T1299" s="1257">
        <v>3.8500011034136201E-2</v>
      </c>
      <c r="U1299" s="1280">
        <v>1.9250005517068101E-2</v>
      </c>
      <c r="V1299" s="1293">
        <v>6.0758607995612703E-3</v>
      </c>
    </row>
    <row r="1300" spans="1:22" s="212" customFormat="1" ht="15.5" x14ac:dyDescent="0.35">
      <c r="A1300" s="198">
        <v>2037</v>
      </c>
      <c r="B1300" s="197" t="s">
        <v>5833</v>
      </c>
      <c r="C1300" s="197">
        <v>1998</v>
      </c>
      <c r="D1300" s="225" t="str">
        <f t="shared" si="8"/>
        <v>2037_1998</v>
      </c>
      <c r="E1300" s="1226">
        <v>6.0044242325657499E-2</v>
      </c>
      <c r="F1300" s="1257">
        <v>2.14568840846215E-2</v>
      </c>
      <c r="G1300" s="1280">
        <v>6.4167431178627901E-2</v>
      </c>
      <c r="H1300" s="1271">
        <v>0.32055924982697298</v>
      </c>
      <c r="I1300" s="1257">
        <v>0.48182509003728002</v>
      </c>
      <c r="J1300" s="1280">
        <v>9.8132069650517004E-2</v>
      </c>
      <c r="K1300" s="1271">
        <v>5.8130217508880998E-3</v>
      </c>
      <c r="L1300" s="1257">
        <v>2.0701241981718301E-3</v>
      </c>
      <c r="M1300" s="1280">
        <v>3.7869919939725199E-4</v>
      </c>
      <c r="N1300" s="1271">
        <v>7.04593435677038E-3</v>
      </c>
      <c r="O1300" s="1257">
        <v>3.0000008598028201E-3</v>
      </c>
      <c r="P1300" s="1257">
        <v>8.6060506400147396E-3</v>
      </c>
      <c r="Q1300" s="1280">
        <v>7.04593435677038E-3</v>
      </c>
      <c r="R1300" s="1271">
        <v>3.8500011034136201E-2</v>
      </c>
      <c r="S1300" s="1257">
        <v>3.8500011034136201E-2</v>
      </c>
      <c r="T1300" s="1257">
        <v>3.8500011034136201E-2</v>
      </c>
      <c r="U1300" s="1280">
        <v>1.9250005517068101E-2</v>
      </c>
      <c r="V1300" s="1293">
        <v>6.0758607995612703E-3</v>
      </c>
    </row>
    <row r="1301" spans="1:22" s="212" customFormat="1" ht="15.5" x14ac:dyDescent="0.35">
      <c r="A1301" s="198">
        <v>2037</v>
      </c>
      <c r="B1301" s="197" t="s">
        <v>5833</v>
      </c>
      <c r="C1301" s="197">
        <v>1999</v>
      </c>
      <c r="D1301" s="225" t="str">
        <f t="shared" si="8"/>
        <v>2037_1999</v>
      </c>
      <c r="E1301" s="1226">
        <v>6.0044242325657499E-2</v>
      </c>
      <c r="F1301" s="1257">
        <v>2.14568840846215E-2</v>
      </c>
      <c r="G1301" s="1280">
        <v>6.4167431178627901E-2</v>
      </c>
      <c r="H1301" s="1271">
        <v>0.32055924982697298</v>
      </c>
      <c r="I1301" s="1257">
        <v>0.48182509003728002</v>
      </c>
      <c r="J1301" s="1280">
        <v>9.8132069650517004E-2</v>
      </c>
      <c r="K1301" s="1271">
        <v>5.8130217508880998E-3</v>
      </c>
      <c r="L1301" s="1257">
        <v>2.0701241981718301E-3</v>
      </c>
      <c r="M1301" s="1280">
        <v>3.7869919939725199E-4</v>
      </c>
      <c r="N1301" s="1271">
        <v>7.04593435677038E-3</v>
      </c>
      <c r="O1301" s="1257">
        <v>3.0000008598028201E-3</v>
      </c>
      <c r="P1301" s="1257">
        <v>8.6060506400147396E-3</v>
      </c>
      <c r="Q1301" s="1280">
        <v>7.04593435677038E-3</v>
      </c>
      <c r="R1301" s="1271">
        <v>3.8500011034136201E-2</v>
      </c>
      <c r="S1301" s="1257">
        <v>3.8500011034136201E-2</v>
      </c>
      <c r="T1301" s="1257">
        <v>3.8500011034136201E-2</v>
      </c>
      <c r="U1301" s="1280">
        <v>1.9250005517068101E-2</v>
      </c>
      <c r="V1301" s="1293">
        <v>6.0758607995612703E-3</v>
      </c>
    </row>
    <row r="1302" spans="1:22" s="212" customFormat="1" ht="15.5" x14ac:dyDescent="0.35">
      <c r="A1302" s="198">
        <v>2037</v>
      </c>
      <c r="B1302" s="197" t="s">
        <v>5833</v>
      </c>
      <c r="C1302" s="197">
        <v>2000</v>
      </c>
      <c r="D1302" s="225" t="str">
        <f t="shared" si="8"/>
        <v>2037_2000</v>
      </c>
      <c r="E1302" s="1226">
        <v>6.0044242325657499E-2</v>
      </c>
      <c r="F1302" s="1257">
        <v>2.14568840846215E-2</v>
      </c>
      <c r="G1302" s="1280">
        <v>6.4167431178627901E-2</v>
      </c>
      <c r="H1302" s="1271">
        <v>0.32055924982697298</v>
      </c>
      <c r="I1302" s="1257">
        <v>0.48182509003728002</v>
      </c>
      <c r="J1302" s="1280">
        <v>9.8132069650517004E-2</v>
      </c>
      <c r="K1302" s="1271">
        <v>5.8130217508880998E-3</v>
      </c>
      <c r="L1302" s="1257">
        <v>2.0701241981718301E-3</v>
      </c>
      <c r="M1302" s="1280">
        <v>3.7869919939725199E-4</v>
      </c>
      <c r="N1302" s="1271">
        <v>7.04593435677038E-3</v>
      </c>
      <c r="O1302" s="1257">
        <v>3.0000008598028201E-3</v>
      </c>
      <c r="P1302" s="1257">
        <v>8.6060506400147396E-3</v>
      </c>
      <c r="Q1302" s="1280">
        <v>7.04593435677038E-3</v>
      </c>
      <c r="R1302" s="1271">
        <v>3.8500011034136201E-2</v>
      </c>
      <c r="S1302" s="1257">
        <v>3.8500011034136201E-2</v>
      </c>
      <c r="T1302" s="1257">
        <v>3.8500011034136201E-2</v>
      </c>
      <c r="U1302" s="1280">
        <v>1.9250005517068101E-2</v>
      </c>
      <c r="V1302" s="1293">
        <v>6.0758607995612703E-3</v>
      </c>
    </row>
    <row r="1303" spans="1:22" s="212" customFormat="1" ht="15.5" x14ac:dyDescent="0.35">
      <c r="A1303" s="198">
        <v>2037</v>
      </c>
      <c r="B1303" s="197" t="s">
        <v>5833</v>
      </c>
      <c r="C1303" s="197">
        <v>2001</v>
      </c>
      <c r="D1303" s="225" t="str">
        <f t="shared" si="8"/>
        <v>2037_2001</v>
      </c>
      <c r="E1303" s="1226">
        <v>6.0044242325657499E-2</v>
      </c>
      <c r="F1303" s="1257">
        <v>2.14568840846215E-2</v>
      </c>
      <c r="G1303" s="1280">
        <v>6.4167431178627901E-2</v>
      </c>
      <c r="H1303" s="1271">
        <v>0.32055924982697298</v>
      </c>
      <c r="I1303" s="1257">
        <v>0.48182509003728002</v>
      </c>
      <c r="J1303" s="1280">
        <v>9.8132069650517004E-2</v>
      </c>
      <c r="K1303" s="1271">
        <v>5.8130217508880998E-3</v>
      </c>
      <c r="L1303" s="1257">
        <v>2.0701241981718301E-3</v>
      </c>
      <c r="M1303" s="1280">
        <v>3.7869919939725199E-4</v>
      </c>
      <c r="N1303" s="1271">
        <v>7.04593435677038E-3</v>
      </c>
      <c r="O1303" s="1257">
        <v>3.0000008598028201E-3</v>
      </c>
      <c r="P1303" s="1257">
        <v>8.6060506400147396E-3</v>
      </c>
      <c r="Q1303" s="1280">
        <v>7.04593435677038E-3</v>
      </c>
      <c r="R1303" s="1271">
        <v>3.8500011034136201E-2</v>
      </c>
      <c r="S1303" s="1257">
        <v>3.8500011034136201E-2</v>
      </c>
      <c r="T1303" s="1257">
        <v>3.8500011034136201E-2</v>
      </c>
      <c r="U1303" s="1280">
        <v>1.9250005517068101E-2</v>
      </c>
      <c r="V1303" s="1293">
        <v>6.0758607995612703E-3</v>
      </c>
    </row>
    <row r="1304" spans="1:22" s="212" customFormat="1" ht="15.5" x14ac:dyDescent="0.35">
      <c r="A1304" s="198">
        <v>2037</v>
      </c>
      <c r="B1304" s="197" t="s">
        <v>5833</v>
      </c>
      <c r="C1304" s="197">
        <v>2002</v>
      </c>
      <c r="D1304" s="225" t="str">
        <f t="shared" si="8"/>
        <v>2037_2002</v>
      </c>
      <c r="E1304" s="1226">
        <v>6.0044242325657499E-2</v>
      </c>
      <c r="F1304" s="1257">
        <v>2.14568840846215E-2</v>
      </c>
      <c r="G1304" s="1280">
        <v>6.4167431178627901E-2</v>
      </c>
      <c r="H1304" s="1271">
        <v>0.32055924982697298</v>
      </c>
      <c r="I1304" s="1257">
        <v>0.48182509003728002</v>
      </c>
      <c r="J1304" s="1280">
        <v>9.8132069650517004E-2</v>
      </c>
      <c r="K1304" s="1271">
        <v>5.8130217508880998E-3</v>
      </c>
      <c r="L1304" s="1257">
        <v>2.0701241981718301E-3</v>
      </c>
      <c r="M1304" s="1280">
        <v>3.7869919939725199E-4</v>
      </c>
      <c r="N1304" s="1271">
        <v>7.04593435677038E-3</v>
      </c>
      <c r="O1304" s="1257">
        <v>3.0000008598028201E-3</v>
      </c>
      <c r="P1304" s="1257">
        <v>8.6060506400147396E-3</v>
      </c>
      <c r="Q1304" s="1280">
        <v>7.04593435677038E-3</v>
      </c>
      <c r="R1304" s="1271">
        <v>3.8500011034136201E-2</v>
      </c>
      <c r="S1304" s="1257">
        <v>3.8500011034136201E-2</v>
      </c>
      <c r="T1304" s="1257">
        <v>3.8500011034136201E-2</v>
      </c>
      <c r="U1304" s="1280">
        <v>1.9250005517068101E-2</v>
      </c>
      <c r="V1304" s="1293">
        <v>6.0758607995612703E-3</v>
      </c>
    </row>
    <row r="1305" spans="1:22" s="212" customFormat="1" ht="15.5" x14ac:dyDescent="0.35">
      <c r="A1305" s="198">
        <v>2037</v>
      </c>
      <c r="B1305" s="197" t="s">
        <v>5833</v>
      </c>
      <c r="C1305" s="197">
        <v>2003</v>
      </c>
      <c r="D1305" s="225" t="str">
        <f t="shared" si="8"/>
        <v>2037_2003</v>
      </c>
      <c r="E1305" s="1226">
        <v>6.0044242325657499E-2</v>
      </c>
      <c r="F1305" s="1257">
        <v>2.14568840846215E-2</v>
      </c>
      <c r="G1305" s="1280">
        <v>6.4167431178627901E-2</v>
      </c>
      <c r="H1305" s="1271">
        <v>0.32055924982697298</v>
      </c>
      <c r="I1305" s="1257">
        <v>0.48182509003728002</v>
      </c>
      <c r="J1305" s="1280">
        <v>9.8132069650517004E-2</v>
      </c>
      <c r="K1305" s="1271">
        <v>5.8130217508880998E-3</v>
      </c>
      <c r="L1305" s="1257">
        <v>2.0701241981718301E-3</v>
      </c>
      <c r="M1305" s="1280">
        <v>3.7869919939725199E-4</v>
      </c>
      <c r="N1305" s="1271">
        <v>7.04593435677038E-3</v>
      </c>
      <c r="O1305" s="1257">
        <v>3.0000008598028201E-3</v>
      </c>
      <c r="P1305" s="1257">
        <v>8.6060506400147396E-3</v>
      </c>
      <c r="Q1305" s="1280">
        <v>7.04593435677038E-3</v>
      </c>
      <c r="R1305" s="1271">
        <v>3.8500011034136201E-2</v>
      </c>
      <c r="S1305" s="1257">
        <v>3.8500011034136201E-2</v>
      </c>
      <c r="T1305" s="1257">
        <v>3.8500011034136201E-2</v>
      </c>
      <c r="U1305" s="1280">
        <v>1.9250005517068101E-2</v>
      </c>
      <c r="V1305" s="1293">
        <v>6.0758607995612703E-3</v>
      </c>
    </row>
    <row r="1306" spans="1:22" s="212" customFormat="1" ht="15.5" x14ac:dyDescent="0.35">
      <c r="A1306" s="198">
        <v>2037</v>
      </c>
      <c r="B1306" s="197" t="s">
        <v>5833</v>
      </c>
      <c r="C1306" s="197">
        <v>2004</v>
      </c>
      <c r="D1306" s="225" t="str">
        <f t="shared" si="8"/>
        <v>2037_2004</v>
      </c>
      <c r="E1306" s="1226">
        <v>6.0044242325657499E-2</v>
      </c>
      <c r="F1306" s="1257">
        <v>2.14568840846215E-2</v>
      </c>
      <c r="G1306" s="1280">
        <v>6.4167431178627901E-2</v>
      </c>
      <c r="H1306" s="1271">
        <v>0.32055924982697298</v>
      </c>
      <c r="I1306" s="1257">
        <v>0.48182509003728002</v>
      </c>
      <c r="J1306" s="1280">
        <v>9.8132069650517004E-2</v>
      </c>
      <c r="K1306" s="1271">
        <v>5.8130217508880998E-3</v>
      </c>
      <c r="L1306" s="1257">
        <v>2.0701241981718301E-3</v>
      </c>
      <c r="M1306" s="1280">
        <v>3.7869919939725199E-4</v>
      </c>
      <c r="N1306" s="1271">
        <v>7.04593435677038E-3</v>
      </c>
      <c r="O1306" s="1257">
        <v>3.0000008598028201E-3</v>
      </c>
      <c r="P1306" s="1257">
        <v>8.6060506400147396E-3</v>
      </c>
      <c r="Q1306" s="1280">
        <v>7.04593435677038E-3</v>
      </c>
      <c r="R1306" s="1271">
        <v>3.8500011034136201E-2</v>
      </c>
      <c r="S1306" s="1257">
        <v>3.8500011034136201E-2</v>
      </c>
      <c r="T1306" s="1257">
        <v>3.8500011034136201E-2</v>
      </c>
      <c r="U1306" s="1280">
        <v>1.9250005517068101E-2</v>
      </c>
      <c r="V1306" s="1293">
        <v>6.0758607995612703E-3</v>
      </c>
    </row>
    <row r="1307" spans="1:22" s="212" customFormat="1" ht="15.5" x14ac:dyDescent="0.35">
      <c r="A1307" s="198">
        <v>2037</v>
      </c>
      <c r="B1307" s="197" t="s">
        <v>5833</v>
      </c>
      <c r="C1307" s="197">
        <v>2005</v>
      </c>
      <c r="D1307" s="225" t="str">
        <f t="shared" si="8"/>
        <v>2037_2005</v>
      </c>
      <c r="E1307" s="1226">
        <v>6.0044242325657499E-2</v>
      </c>
      <c r="F1307" s="1257">
        <v>2.14568840846215E-2</v>
      </c>
      <c r="G1307" s="1280">
        <v>6.4167431178627901E-2</v>
      </c>
      <c r="H1307" s="1271">
        <v>0.32055924982697298</v>
      </c>
      <c r="I1307" s="1257">
        <v>0.48182509003728002</v>
      </c>
      <c r="J1307" s="1280">
        <v>9.8132069650517004E-2</v>
      </c>
      <c r="K1307" s="1271">
        <v>5.8130217508880998E-3</v>
      </c>
      <c r="L1307" s="1257">
        <v>2.0701241981718301E-3</v>
      </c>
      <c r="M1307" s="1280">
        <v>3.7869919939725199E-4</v>
      </c>
      <c r="N1307" s="1271">
        <v>7.04593435677038E-3</v>
      </c>
      <c r="O1307" s="1257">
        <v>3.0000008598028201E-3</v>
      </c>
      <c r="P1307" s="1257">
        <v>8.6060506400147396E-3</v>
      </c>
      <c r="Q1307" s="1280">
        <v>7.04593435677038E-3</v>
      </c>
      <c r="R1307" s="1271">
        <v>3.8500011034136201E-2</v>
      </c>
      <c r="S1307" s="1257">
        <v>3.8500011034136201E-2</v>
      </c>
      <c r="T1307" s="1257">
        <v>3.8500011034136201E-2</v>
      </c>
      <c r="U1307" s="1280">
        <v>1.9250005517068101E-2</v>
      </c>
      <c r="V1307" s="1293">
        <v>6.0758607995612703E-3</v>
      </c>
    </row>
    <row r="1308" spans="1:22" s="212" customFormat="1" ht="15.5" x14ac:dyDescent="0.35">
      <c r="A1308" s="198">
        <v>2037</v>
      </c>
      <c r="B1308" s="197" t="s">
        <v>5833</v>
      </c>
      <c r="C1308" s="197">
        <v>2006</v>
      </c>
      <c r="D1308" s="225" t="str">
        <f t="shared" si="8"/>
        <v>2037_2006</v>
      </c>
      <c r="E1308" s="1226">
        <v>6.0044242325657499E-2</v>
      </c>
      <c r="F1308" s="1257">
        <v>2.14568840846215E-2</v>
      </c>
      <c r="G1308" s="1280">
        <v>6.4167431178627901E-2</v>
      </c>
      <c r="H1308" s="1271">
        <v>0.32055924982697298</v>
      </c>
      <c r="I1308" s="1257">
        <v>0.48182509003728002</v>
      </c>
      <c r="J1308" s="1280">
        <v>9.8132069650517004E-2</v>
      </c>
      <c r="K1308" s="1271">
        <v>5.8130217508880998E-3</v>
      </c>
      <c r="L1308" s="1257">
        <v>2.0701241981718301E-3</v>
      </c>
      <c r="M1308" s="1280">
        <v>3.7869919939725199E-4</v>
      </c>
      <c r="N1308" s="1271">
        <v>7.04593435677038E-3</v>
      </c>
      <c r="O1308" s="1257">
        <v>3.0000008598028201E-3</v>
      </c>
      <c r="P1308" s="1257">
        <v>8.6060506400147396E-3</v>
      </c>
      <c r="Q1308" s="1280">
        <v>7.04593435677038E-3</v>
      </c>
      <c r="R1308" s="1271">
        <v>3.8500011034136201E-2</v>
      </c>
      <c r="S1308" s="1257">
        <v>3.8500011034136201E-2</v>
      </c>
      <c r="T1308" s="1257">
        <v>3.8500011034136201E-2</v>
      </c>
      <c r="U1308" s="1280">
        <v>1.9250005517068101E-2</v>
      </c>
      <c r="V1308" s="1293">
        <v>6.0758607995612703E-3</v>
      </c>
    </row>
    <row r="1309" spans="1:22" s="212" customFormat="1" ht="15.5" x14ac:dyDescent="0.35">
      <c r="A1309" s="198">
        <v>2037</v>
      </c>
      <c r="B1309" s="197" t="s">
        <v>5833</v>
      </c>
      <c r="C1309" s="197">
        <v>2007</v>
      </c>
      <c r="D1309" s="225" t="str">
        <f t="shared" si="8"/>
        <v>2037_2007</v>
      </c>
      <c r="E1309" s="1226">
        <v>6.0044242325657499E-2</v>
      </c>
      <c r="F1309" s="1257">
        <v>2.14568840846215E-2</v>
      </c>
      <c r="G1309" s="1280">
        <v>6.4167431178627901E-2</v>
      </c>
      <c r="H1309" s="1271">
        <v>0.32055924982697298</v>
      </c>
      <c r="I1309" s="1257">
        <v>0.48182509003728002</v>
      </c>
      <c r="J1309" s="1280">
        <v>9.8132069650517004E-2</v>
      </c>
      <c r="K1309" s="1271">
        <v>5.8130217508880998E-3</v>
      </c>
      <c r="L1309" s="1257">
        <v>2.0701241981718301E-3</v>
      </c>
      <c r="M1309" s="1280">
        <v>3.7869919939725199E-4</v>
      </c>
      <c r="N1309" s="1271">
        <v>7.04593435677038E-3</v>
      </c>
      <c r="O1309" s="1257">
        <v>3.0000008598028201E-3</v>
      </c>
      <c r="P1309" s="1257">
        <v>8.6060506400147396E-3</v>
      </c>
      <c r="Q1309" s="1280">
        <v>7.04593435677038E-3</v>
      </c>
      <c r="R1309" s="1271">
        <v>3.8500011034136201E-2</v>
      </c>
      <c r="S1309" s="1257">
        <v>3.8500011034136201E-2</v>
      </c>
      <c r="T1309" s="1257">
        <v>3.8500011034136201E-2</v>
      </c>
      <c r="U1309" s="1280">
        <v>1.9250005517068101E-2</v>
      </c>
      <c r="V1309" s="1293">
        <v>6.0758607995612703E-3</v>
      </c>
    </row>
    <row r="1310" spans="1:22" s="212" customFormat="1" ht="15.5" x14ac:dyDescent="0.35">
      <c r="A1310" s="198">
        <v>2037</v>
      </c>
      <c r="B1310" s="197" t="s">
        <v>5833</v>
      </c>
      <c r="C1310" s="197">
        <v>2008</v>
      </c>
      <c r="D1310" s="225" t="str">
        <f t="shared" si="8"/>
        <v>2037_2008</v>
      </c>
      <c r="E1310" s="1226">
        <v>6.0044242325657499E-2</v>
      </c>
      <c r="F1310" s="1257">
        <v>2.14568840846215E-2</v>
      </c>
      <c r="G1310" s="1280">
        <v>6.4167431178627901E-2</v>
      </c>
      <c r="H1310" s="1271">
        <v>0.32055924982697298</v>
      </c>
      <c r="I1310" s="1257">
        <v>0.48182509003728002</v>
      </c>
      <c r="J1310" s="1280">
        <v>9.8132069650517004E-2</v>
      </c>
      <c r="K1310" s="1271">
        <v>5.8130217508880998E-3</v>
      </c>
      <c r="L1310" s="1257">
        <v>2.0701241981718301E-3</v>
      </c>
      <c r="M1310" s="1280">
        <v>3.7869919939725199E-4</v>
      </c>
      <c r="N1310" s="1271">
        <v>7.04593435677038E-3</v>
      </c>
      <c r="O1310" s="1257">
        <v>3.0000008598028201E-3</v>
      </c>
      <c r="P1310" s="1257">
        <v>8.6060506400147396E-3</v>
      </c>
      <c r="Q1310" s="1280">
        <v>7.04593435677038E-3</v>
      </c>
      <c r="R1310" s="1271">
        <v>3.8500011034136201E-2</v>
      </c>
      <c r="S1310" s="1257">
        <v>3.8500011034136201E-2</v>
      </c>
      <c r="T1310" s="1257">
        <v>3.8500011034136201E-2</v>
      </c>
      <c r="U1310" s="1280">
        <v>1.9250005517068101E-2</v>
      </c>
      <c r="V1310" s="1293">
        <v>6.0758607995612703E-3</v>
      </c>
    </row>
    <row r="1311" spans="1:22" s="212" customFormat="1" ht="15.5" x14ac:dyDescent="0.35">
      <c r="A1311" s="198">
        <v>2037</v>
      </c>
      <c r="B1311" s="197" t="s">
        <v>5833</v>
      </c>
      <c r="C1311" s="197">
        <v>2009</v>
      </c>
      <c r="D1311" s="225" t="str">
        <f t="shared" si="8"/>
        <v>2037_2009</v>
      </c>
      <c r="E1311" s="1226">
        <v>6.0044242325657499E-2</v>
      </c>
      <c r="F1311" s="1257">
        <v>2.14568840846215E-2</v>
      </c>
      <c r="G1311" s="1280">
        <v>6.4167431178627901E-2</v>
      </c>
      <c r="H1311" s="1271">
        <v>0.32055924982697298</v>
      </c>
      <c r="I1311" s="1257">
        <v>0.48182509003728002</v>
      </c>
      <c r="J1311" s="1280">
        <v>9.8132069650517004E-2</v>
      </c>
      <c r="K1311" s="1271">
        <v>5.8130217508880998E-3</v>
      </c>
      <c r="L1311" s="1257">
        <v>2.0701241981718301E-3</v>
      </c>
      <c r="M1311" s="1280">
        <v>3.7869919939725199E-4</v>
      </c>
      <c r="N1311" s="1271">
        <v>7.04593435677038E-3</v>
      </c>
      <c r="O1311" s="1257">
        <v>3.0000008598028201E-3</v>
      </c>
      <c r="P1311" s="1257">
        <v>8.6060506400147396E-3</v>
      </c>
      <c r="Q1311" s="1280">
        <v>7.04593435677038E-3</v>
      </c>
      <c r="R1311" s="1271">
        <v>3.8500011034136201E-2</v>
      </c>
      <c r="S1311" s="1257">
        <v>3.8500011034136201E-2</v>
      </c>
      <c r="T1311" s="1257">
        <v>3.8500011034136201E-2</v>
      </c>
      <c r="U1311" s="1280">
        <v>1.9250005517068101E-2</v>
      </c>
      <c r="V1311" s="1293">
        <v>6.0758607995612703E-3</v>
      </c>
    </row>
    <row r="1312" spans="1:22" s="212" customFormat="1" ht="15.5" x14ac:dyDescent="0.35">
      <c r="A1312" s="198">
        <v>2037</v>
      </c>
      <c r="B1312" s="197" t="s">
        <v>5833</v>
      </c>
      <c r="C1312" s="197">
        <v>2010</v>
      </c>
      <c r="D1312" s="225" t="str">
        <f t="shared" si="8"/>
        <v>2037_2010</v>
      </c>
      <c r="E1312" s="1226">
        <v>6.0044242325657499E-2</v>
      </c>
      <c r="F1312" s="1257">
        <v>2.14568840846215E-2</v>
      </c>
      <c r="G1312" s="1280">
        <v>6.4167431178627901E-2</v>
      </c>
      <c r="H1312" s="1271">
        <v>0.32055924982697298</v>
      </c>
      <c r="I1312" s="1257">
        <v>0.48182509003728002</v>
      </c>
      <c r="J1312" s="1280">
        <v>9.8132069650517004E-2</v>
      </c>
      <c r="K1312" s="1271">
        <v>5.8130217508880998E-3</v>
      </c>
      <c r="L1312" s="1257">
        <v>2.0701241981718301E-3</v>
      </c>
      <c r="M1312" s="1280">
        <v>3.7869919939725199E-4</v>
      </c>
      <c r="N1312" s="1271">
        <v>7.04593435677038E-3</v>
      </c>
      <c r="O1312" s="1257">
        <v>3.0000008598028201E-3</v>
      </c>
      <c r="P1312" s="1257">
        <v>8.6060506400147396E-3</v>
      </c>
      <c r="Q1312" s="1280">
        <v>7.04593435677038E-3</v>
      </c>
      <c r="R1312" s="1271">
        <v>3.8500011034136201E-2</v>
      </c>
      <c r="S1312" s="1257">
        <v>3.8500011034136201E-2</v>
      </c>
      <c r="T1312" s="1257">
        <v>3.8500011034136201E-2</v>
      </c>
      <c r="U1312" s="1280">
        <v>1.9250005517068101E-2</v>
      </c>
      <c r="V1312" s="1293">
        <v>6.0758607995612703E-3</v>
      </c>
    </row>
    <row r="1313" spans="1:22" s="212" customFormat="1" ht="15.5" x14ac:dyDescent="0.35">
      <c r="A1313" s="198">
        <v>2037</v>
      </c>
      <c r="B1313" s="197" t="s">
        <v>5833</v>
      </c>
      <c r="C1313" s="197">
        <v>2011</v>
      </c>
      <c r="D1313" s="225" t="str">
        <f t="shared" si="8"/>
        <v>2037_2011</v>
      </c>
      <c r="E1313" s="1226">
        <v>6.0044242325657499E-2</v>
      </c>
      <c r="F1313" s="1257">
        <v>2.14568840846215E-2</v>
      </c>
      <c r="G1313" s="1280">
        <v>6.4167431178627901E-2</v>
      </c>
      <c r="H1313" s="1271">
        <v>0.32055924982697298</v>
      </c>
      <c r="I1313" s="1257">
        <v>0.48182509003728002</v>
      </c>
      <c r="J1313" s="1280">
        <v>9.8132069650517004E-2</v>
      </c>
      <c r="K1313" s="1271">
        <v>5.8130217508880998E-3</v>
      </c>
      <c r="L1313" s="1257">
        <v>2.0701241981718301E-3</v>
      </c>
      <c r="M1313" s="1280">
        <v>3.7869919939725199E-4</v>
      </c>
      <c r="N1313" s="1271">
        <v>7.04593435677038E-3</v>
      </c>
      <c r="O1313" s="1257">
        <v>3.0000008598028201E-3</v>
      </c>
      <c r="P1313" s="1257">
        <v>8.6060506400147396E-3</v>
      </c>
      <c r="Q1313" s="1280">
        <v>7.04593435677038E-3</v>
      </c>
      <c r="R1313" s="1271">
        <v>3.8500011034136201E-2</v>
      </c>
      <c r="S1313" s="1257">
        <v>3.8500011034136201E-2</v>
      </c>
      <c r="T1313" s="1257">
        <v>3.8500011034136201E-2</v>
      </c>
      <c r="U1313" s="1280">
        <v>1.9250005517068101E-2</v>
      </c>
      <c r="V1313" s="1293">
        <v>6.0758607995612703E-3</v>
      </c>
    </row>
    <row r="1314" spans="1:22" s="212" customFormat="1" ht="15.5" x14ac:dyDescent="0.35">
      <c r="A1314" s="198">
        <v>2037</v>
      </c>
      <c r="B1314" s="197" t="s">
        <v>5833</v>
      </c>
      <c r="C1314" s="197">
        <v>2012</v>
      </c>
      <c r="D1314" s="225" t="str">
        <f t="shared" si="8"/>
        <v>2037_2012</v>
      </c>
      <c r="E1314" s="1226">
        <v>6.0044242325657499E-2</v>
      </c>
      <c r="F1314" s="1257">
        <v>2.14568840846215E-2</v>
      </c>
      <c r="G1314" s="1280">
        <v>6.4167431178627901E-2</v>
      </c>
      <c r="H1314" s="1271">
        <v>0.32055924982697298</v>
      </c>
      <c r="I1314" s="1257">
        <v>0.48182509003728002</v>
      </c>
      <c r="J1314" s="1280">
        <v>9.8132069650517004E-2</v>
      </c>
      <c r="K1314" s="1271">
        <v>5.8130217508880998E-3</v>
      </c>
      <c r="L1314" s="1257">
        <v>2.0701241981718301E-3</v>
      </c>
      <c r="M1314" s="1280">
        <v>3.7869919939725199E-4</v>
      </c>
      <c r="N1314" s="1271">
        <v>7.04593435677038E-3</v>
      </c>
      <c r="O1314" s="1257">
        <v>3.0000008598028201E-3</v>
      </c>
      <c r="P1314" s="1257">
        <v>8.6060506400147396E-3</v>
      </c>
      <c r="Q1314" s="1280">
        <v>7.04593435677038E-3</v>
      </c>
      <c r="R1314" s="1271">
        <v>3.8500011034136201E-2</v>
      </c>
      <c r="S1314" s="1257">
        <v>3.8500011034136201E-2</v>
      </c>
      <c r="T1314" s="1257">
        <v>3.8500011034136201E-2</v>
      </c>
      <c r="U1314" s="1280">
        <v>1.9250005517068101E-2</v>
      </c>
      <c r="V1314" s="1293">
        <v>6.0758607995612703E-3</v>
      </c>
    </row>
    <row r="1315" spans="1:22" s="212" customFormat="1" ht="15.5" x14ac:dyDescent="0.35">
      <c r="A1315" s="198">
        <v>2037</v>
      </c>
      <c r="B1315" s="197" t="s">
        <v>5833</v>
      </c>
      <c r="C1315" s="197">
        <v>2013</v>
      </c>
      <c r="D1315" s="225" t="str">
        <f t="shared" si="8"/>
        <v>2037_2013</v>
      </c>
      <c r="E1315" s="1226">
        <v>6.0044242325657499E-2</v>
      </c>
      <c r="F1315" s="1257">
        <v>2.14568840846215E-2</v>
      </c>
      <c r="G1315" s="1280">
        <v>6.4167431178627901E-2</v>
      </c>
      <c r="H1315" s="1271">
        <v>0.32055924982697298</v>
      </c>
      <c r="I1315" s="1257">
        <v>0.48182509003728002</v>
      </c>
      <c r="J1315" s="1280">
        <v>9.8132069650517004E-2</v>
      </c>
      <c r="K1315" s="1271">
        <v>5.8130217508880998E-3</v>
      </c>
      <c r="L1315" s="1257">
        <v>2.0701241981718301E-3</v>
      </c>
      <c r="M1315" s="1280">
        <v>3.7869919939725199E-4</v>
      </c>
      <c r="N1315" s="1271">
        <v>7.04593435677038E-3</v>
      </c>
      <c r="O1315" s="1257">
        <v>3.0000008598028201E-3</v>
      </c>
      <c r="P1315" s="1257">
        <v>8.6060506400147396E-3</v>
      </c>
      <c r="Q1315" s="1280">
        <v>7.04593435677038E-3</v>
      </c>
      <c r="R1315" s="1271">
        <v>3.8500011034136201E-2</v>
      </c>
      <c r="S1315" s="1257">
        <v>3.8500011034136201E-2</v>
      </c>
      <c r="T1315" s="1257">
        <v>3.8500011034136201E-2</v>
      </c>
      <c r="U1315" s="1280">
        <v>1.9250005517068101E-2</v>
      </c>
      <c r="V1315" s="1293">
        <v>6.0758607995612703E-3</v>
      </c>
    </row>
    <row r="1316" spans="1:22" s="212" customFormat="1" ht="15.5" x14ac:dyDescent="0.35">
      <c r="A1316" s="198">
        <v>2037</v>
      </c>
      <c r="B1316" s="197" t="s">
        <v>5833</v>
      </c>
      <c r="C1316" s="197">
        <v>2014</v>
      </c>
      <c r="D1316" s="225" t="str">
        <f t="shared" si="8"/>
        <v>2037_2014</v>
      </c>
      <c r="E1316" s="1226">
        <v>6.0044242325657499E-2</v>
      </c>
      <c r="F1316" s="1257">
        <v>2.14568840846215E-2</v>
      </c>
      <c r="G1316" s="1280">
        <v>6.4167431178627901E-2</v>
      </c>
      <c r="H1316" s="1271">
        <v>0.32055924982697298</v>
      </c>
      <c r="I1316" s="1257">
        <v>0.48182509003728002</v>
      </c>
      <c r="J1316" s="1280">
        <v>9.8132069650517004E-2</v>
      </c>
      <c r="K1316" s="1271">
        <v>5.8130217508880998E-3</v>
      </c>
      <c r="L1316" s="1257">
        <v>2.0701241981718301E-3</v>
      </c>
      <c r="M1316" s="1280">
        <v>3.7869919939725199E-4</v>
      </c>
      <c r="N1316" s="1271">
        <v>7.04593435677038E-3</v>
      </c>
      <c r="O1316" s="1257">
        <v>3.0000008598028201E-3</v>
      </c>
      <c r="P1316" s="1257">
        <v>8.6060506400147396E-3</v>
      </c>
      <c r="Q1316" s="1280">
        <v>7.04593435677038E-3</v>
      </c>
      <c r="R1316" s="1271">
        <v>3.8500011034136201E-2</v>
      </c>
      <c r="S1316" s="1257">
        <v>3.8500011034136201E-2</v>
      </c>
      <c r="T1316" s="1257">
        <v>3.8500011034136201E-2</v>
      </c>
      <c r="U1316" s="1280">
        <v>1.9250005517068101E-2</v>
      </c>
      <c r="V1316" s="1293">
        <v>6.0758607995612703E-3</v>
      </c>
    </row>
    <row r="1317" spans="1:22" s="212" customFormat="1" ht="15.5" x14ac:dyDescent="0.35">
      <c r="A1317" s="198">
        <v>2037</v>
      </c>
      <c r="B1317" s="197" t="s">
        <v>5833</v>
      </c>
      <c r="C1317" s="197">
        <v>2015</v>
      </c>
      <c r="D1317" s="225" t="str">
        <f t="shared" si="8"/>
        <v>2037_2015</v>
      </c>
      <c r="E1317" s="1226">
        <v>6.0044242325657499E-2</v>
      </c>
      <c r="F1317" s="1257">
        <v>2.14568840846215E-2</v>
      </c>
      <c r="G1317" s="1280">
        <v>6.4167431178627901E-2</v>
      </c>
      <c r="H1317" s="1271">
        <v>0.32055924982697298</v>
      </c>
      <c r="I1317" s="1257">
        <v>0.48182509003728002</v>
      </c>
      <c r="J1317" s="1280">
        <v>9.8132069650517004E-2</v>
      </c>
      <c r="K1317" s="1271">
        <v>5.8130217508880998E-3</v>
      </c>
      <c r="L1317" s="1257">
        <v>2.0701241981718301E-3</v>
      </c>
      <c r="M1317" s="1280">
        <v>3.7869919939725199E-4</v>
      </c>
      <c r="N1317" s="1271">
        <v>7.04593435677038E-3</v>
      </c>
      <c r="O1317" s="1257">
        <v>3.0000008598028201E-3</v>
      </c>
      <c r="P1317" s="1257">
        <v>8.6060506400147396E-3</v>
      </c>
      <c r="Q1317" s="1280">
        <v>7.04593435677038E-3</v>
      </c>
      <c r="R1317" s="1271">
        <v>3.8500011034136201E-2</v>
      </c>
      <c r="S1317" s="1257">
        <v>3.8500011034136201E-2</v>
      </c>
      <c r="T1317" s="1257">
        <v>3.8500011034136201E-2</v>
      </c>
      <c r="U1317" s="1280">
        <v>1.9250005517068101E-2</v>
      </c>
      <c r="V1317" s="1293">
        <v>6.0758607995612703E-3</v>
      </c>
    </row>
    <row r="1318" spans="1:22" s="212" customFormat="1" ht="15.5" x14ac:dyDescent="0.35">
      <c r="A1318" s="198">
        <v>2037</v>
      </c>
      <c r="B1318" s="197" t="s">
        <v>5833</v>
      </c>
      <c r="C1318" s="197">
        <v>2016</v>
      </c>
      <c r="D1318" s="225" t="str">
        <f t="shared" si="8"/>
        <v>2037_2016</v>
      </c>
      <c r="E1318" s="1226">
        <v>6.0044242325657499E-2</v>
      </c>
      <c r="F1318" s="1257">
        <v>2.14568840846215E-2</v>
      </c>
      <c r="G1318" s="1280">
        <v>6.4167431178627901E-2</v>
      </c>
      <c r="H1318" s="1271">
        <v>0.32055924982697298</v>
      </c>
      <c r="I1318" s="1257">
        <v>0.48182509003728002</v>
      </c>
      <c r="J1318" s="1280">
        <v>9.8132069650517004E-2</v>
      </c>
      <c r="K1318" s="1271">
        <v>5.8130217508880998E-3</v>
      </c>
      <c r="L1318" s="1257">
        <v>2.0701241981718301E-3</v>
      </c>
      <c r="M1318" s="1280">
        <v>3.7869919939725199E-4</v>
      </c>
      <c r="N1318" s="1271">
        <v>7.04593435677038E-3</v>
      </c>
      <c r="O1318" s="1257">
        <v>3.0000008598028201E-3</v>
      </c>
      <c r="P1318" s="1257">
        <v>8.6060506400147396E-3</v>
      </c>
      <c r="Q1318" s="1280">
        <v>7.04593435677038E-3</v>
      </c>
      <c r="R1318" s="1271">
        <v>3.8500011034136201E-2</v>
      </c>
      <c r="S1318" s="1257">
        <v>3.8500011034136201E-2</v>
      </c>
      <c r="T1318" s="1257">
        <v>3.8500011034136201E-2</v>
      </c>
      <c r="U1318" s="1280">
        <v>1.9250005517068101E-2</v>
      </c>
      <c r="V1318" s="1293">
        <v>6.0758607995612703E-3</v>
      </c>
    </row>
    <row r="1319" spans="1:22" s="212" customFormat="1" ht="15.5" x14ac:dyDescent="0.35">
      <c r="A1319" s="198">
        <v>2037</v>
      </c>
      <c r="B1319" s="197" t="s">
        <v>5833</v>
      </c>
      <c r="C1319" s="197">
        <v>2017</v>
      </c>
      <c r="D1319" s="225" t="str">
        <f t="shared" si="8"/>
        <v>2037_2017</v>
      </c>
      <c r="E1319" s="1226">
        <v>6.0044242325657499E-2</v>
      </c>
      <c r="F1319" s="1257">
        <v>2.14568840846215E-2</v>
      </c>
      <c r="G1319" s="1280">
        <v>6.4167431178627901E-2</v>
      </c>
      <c r="H1319" s="1271">
        <v>0.32055924982697298</v>
      </c>
      <c r="I1319" s="1257">
        <v>0.48182509003728002</v>
      </c>
      <c r="J1319" s="1280">
        <v>9.8132069650517004E-2</v>
      </c>
      <c r="K1319" s="1271">
        <v>5.8130217508880998E-3</v>
      </c>
      <c r="L1319" s="1257">
        <v>2.0701241981718301E-3</v>
      </c>
      <c r="M1319" s="1280">
        <v>3.7869919939725199E-4</v>
      </c>
      <c r="N1319" s="1271">
        <v>7.04593435677038E-3</v>
      </c>
      <c r="O1319" s="1257">
        <v>3.0000008598028201E-3</v>
      </c>
      <c r="P1319" s="1257">
        <v>8.6060506400147396E-3</v>
      </c>
      <c r="Q1319" s="1280">
        <v>7.04593435677038E-3</v>
      </c>
      <c r="R1319" s="1271">
        <v>3.8500011034136201E-2</v>
      </c>
      <c r="S1319" s="1257">
        <v>3.8500011034136201E-2</v>
      </c>
      <c r="T1319" s="1257">
        <v>3.8500011034136201E-2</v>
      </c>
      <c r="U1319" s="1280">
        <v>1.9250005517068101E-2</v>
      </c>
      <c r="V1319" s="1293">
        <v>6.0758607995612703E-3</v>
      </c>
    </row>
    <row r="1320" spans="1:22" s="212" customFormat="1" ht="15.5" x14ac:dyDescent="0.35">
      <c r="A1320" s="198">
        <v>2037</v>
      </c>
      <c r="B1320" s="197" t="s">
        <v>5833</v>
      </c>
      <c r="C1320" s="197">
        <v>2018</v>
      </c>
      <c r="D1320" s="225" t="str">
        <f t="shared" si="8"/>
        <v>2037_2018</v>
      </c>
      <c r="E1320" s="1226">
        <v>6.0044242325657499E-2</v>
      </c>
      <c r="F1320" s="1257">
        <v>2.14568840846215E-2</v>
      </c>
      <c r="G1320" s="1280">
        <v>6.4167431178627901E-2</v>
      </c>
      <c r="H1320" s="1271">
        <v>0.32055924982697298</v>
      </c>
      <c r="I1320" s="1257">
        <v>0.48182509003728002</v>
      </c>
      <c r="J1320" s="1280">
        <v>9.8132069650517004E-2</v>
      </c>
      <c r="K1320" s="1271">
        <v>5.8130217508880998E-3</v>
      </c>
      <c r="L1320" s="1257">
        <v>2.0701241981718301E-3</v>
      </c>
      <c r="M1320" s="1280">
        <v>3.7869919939725199E-4</v>
      </c>
      <c r="N1320" s="1271">
        <v>7.04593435677038E-3</v>
      </c>
      <c r="O1320" s="1257">
        <v>3.0000008598028201E-3</v>
      </c>
      <c r="P1320" s="1257">
        <v>8.6060506400147396E-3</v>
      </c>
      <c r="Q1320" s="1280">
        <v>7.04593435677038E-3</v>
      </c>
      <c r="R1320" s="1271">
        <v>3.8500011034136201E-2</v>
      </c>
      <c r="S1320" s="1257">
        <v>3.8500011034136201E-2</v>
      </c>
      <c r="T1320" s="1257">
        <v>3.8500011034136201E-2</v>
      </c>
      <c r="U1320" s="1280">
        <v>1.9250005517068101E-2</v>
      </c>
      <c r="V1320" s="1293">
        <v>6.0758607995612703E-3</v>
      </c>
    </row>
    <row r="1321" spans="1:22" s="212" customFormat="1" ht="15.5" x14ac:dyDescent="0.35">
      <c r="A1321" s="198">
        <v>2037</v>
      </c>
      <c r="B1321" s="197" t="s">
        <v>5833</v>
      </c>
      <c r="C1321" s="197">
        <v>2019</v>
      </c>
      <c r="D1321" s="225" t="str">
        <f t="shared" si="8"/>
        <v>2037_2019</v>
      </c>
      <c r="E1321" s="1226">
        <v>6.0044242325657499E-2</v>
      </c>
      <c r="F1321" s="1257">
        <v>2.14568840846215E-2</v>
      </c>
      <c r="G1321" s="1280">
        <v>6.4167431178627901E-2</v>
      </c>
      <c r="H1321" s="1271">
        <v>0.32055924982697298</v>
      </c>
      <c r="I1321" s="1257">
        <v>0.48182509003728002</v>
      </c>
      <c r="J1321" s="1280">
        <v>9.8132069650517004E-2</v>
      </c>
      <c r="K1321" s="1271">
        <v>5.8130217508880998E-3</v>
      </c>
      <c r="L1321" s="1257">
        <v>2.0701241981718301E-3</v>
      </c>
      <c r="M1321" s="1280">
        <v>3.7869919939725199E-4</v>
      </c>
      <c r="N1321" s="1271">
        <v>7.04593435677038E-3</v>
      </c>
      <c r="O1321" s="1257">
        <v>3.0000008598028201E-3</v>
      </c>
      <c r="P1321" s="1257">
        <v>8.6060506400147396E-3</v>
      </c>
      <c r="Q1321" s="1280">
        <v>7.04593435677038E-3</v>
      </c>
      <c r="R1321" s="1271">
        <v>3.8500011034136201E-2</v>
      </c>
      <c r="S1321" s="1257">
        <v>3.8500011034136201E-2</v>
      </c>
      <c r="T1321" s="1257">
        <v>3.8500011034136201E-2</v>
      </c>
      <c r="U1321" s="1280">
        <v>1.9250005517068101E-2</v>
      </c>
      <c r="V1321" s="1293">
        <v>6.0758607995612703E-3</v>
      </c>
    </row>
    <row r="1322" spans="1:22" s="212" customFormat="1" ht="15.5" x14ac:dyDescent="0.35">
      <c r="A1322" s="198">
        <v>2037</v>
      </c>
      <c r="B1322" s="197" t="s">
        <v>5833</v>
      </c>
      <c r="C1322" s="197">
        <v>2020</v>
      </c>
      <c r="D1322" s="225" t="str">
        <f t="shared" si="8"/>
        <v>2037_2020</v>
      </c>
      <c r="E1322" s="1226">
        <v>6.0044242325657499E-2</v>
      </c>
      <c r="F1322" s="1257">
        <v>2.14568840846215E-2</v>
      </c>
      <c r="G1322" s="1280">
        <v>6.4167431178627901E-2</v>
      </c>
      <c r="H1322" s="1271">
        <v>0.32055924982697298</v>
      </c>
      <c r="I1322" s="1257">
        <v>0.48182509003728002</v>
      </c>
      <c r="J1322" s="1280">
        <v>9.8132069650517004E-2</v>
      </c>
      <c r="K1322" s="1271">
        <v>5.8130217508880998E-3</v>
      </c>
      <c r="L1322" s="1257">
        <v>2.0701241981718301E-3</v>
      </c>
      <c r="M1322" s="1280">
        <v>3.7869919939725199E-4</v>
      </c>
      <c r="N1322" s="1271">
        <v>7.04593435677038E-3</v>
      </c>
      <c r="O1322" s="1257">
        <v>3.0000008598028201E-3</v>
      </c>
      <c r="P1322" s="1257">
        <v>8.6060506400147396E-3</v>
      </c>
      <c r="Q1322" s="1280">
        <v>7.04593435677038E-3</v>
      </c>
      <c r="R1322" s="1271">
        <v>3.8500011034136201E-2</v>
      </c>
      <c r="S1322" s="1257">
        <v>3.8500011034136201E-2</v>
      </c>
      <c r="T1322" s="1257">
        <v>3.8500011034136201E-2</v>
      </c>
      <c r="U1322" s="1280">
        <v>1.9250005517068101E-2</v>
      </c>
      <c r="V1322" s="1293">
        <v>6.0758607995612703E-3</v>
      </c>
    </row>
    <row r="1323" spans="1:22" s="212" customFormat="1" ht="15.5" x14ac:dyDescent="0.35">
      <c r="A1323" s="198">
        <v>2037</v>
      </c>
      <c r="B1323" s="197" t="s">
        <v>5833</v>
      </c>
      <c r="C1323" s="197">
        <v>2021</v>
      </c>
      <c r="D1323" s="225" t="str">
        <f t="shared" si="8"/>
        <v>2037_2021</v>
      </c>
      <c r="E1323" s="1226">
        <v>6.0044242325657499E-2</v>
      </c>
      <c r="F1323" s="1257">
        <v>2.14568840846215E-2</v>
      </c>
      <c r="G1323" s="1280">
        <v>6.4167431178627901E-2</v>
      </c>
      <c r="H1323" s="1271">
        <v>0.32055924982697298</v>
      </c>
      <c r="I1323" s="1257">
        <v>0.48182509003728002</v>
      </c>
      <c r="J1323" s="1280">
        <v>9.8132069650517004E-2</v>
      </c>
      <c r="K1323" s="1271">
        <v>5.8130217508880998E-3</v>
      </c>
      <c r="L1323" s="1257">
        <v>2.0701241981718301E-3</v>
      </c>
      <c r="M1323" s="1280">
        <v>3.7869919939725199E-4</v>
      </c>
      <c r="N1323" s="1271">
        <v>7.04593435677038E-3</v>
      </c>
      <c r="O1323" s="1257">
        <v>3.0000008598028201E-3</v>
      </c>
      <c r="P1323" s="1257">
        <v>8.6060506400147396E-3</v>
      </c>
      <c r="Q1323" s="1280">
        <v>7.04593435677038E-3</v>
      </c>
      <c r="R1323" s="1271">
        <v>3.8500011034136201E-2</v>
      </c>
      <c r="S1323" s="1257">
        <v>3.8500011034136201E-2</v>
      </c>
      <c r="T1323" s="1257">
        <v>3.8500011034136201E-2</v>
      </c>
      <c r="U1323" s="1280">
        <v>1.9250005517068101E-2</v>
      </c>
      <c r="V1323" s="1293">
        <v>6.0758607995612703E-3</v>
      </c>
    </row>
    <row r="1324" spans="1:22" s="212" customFormat="1" ht="15.5" x14ac:dyDescent="0.35">
      <c r="A1324" s="198">
        <v>2037</v>
      </c>
      <c r="B1324" s="197" t="s">
        <v>5833</v>
      </c>
      <c r="C1324" s="197">
        <v>2022</v>
      </c>
      <c r="D1324" s="225" t="str">
        <f t="shared" si="8"/>
        <v>2037_2022</v>
      </c>
      <c r="E1324" s="1226">
        <v>6.0044242325657499E-2</v>
      </c>
      <c r="F1324" s="1257">
        <v>2.14568840846215E-2</v>
      </c>
      <c r="G1324" s="1280">
        <v>6.4167431178627901E-2</v>
      </c>
      <c r="H1324" s="1271">
        <v>0.32055924982697298</v>
      </c>
      <c r="I1324" s="1257">
        <v>0.48182509003728002</v>
      </c>
      <c r="J1324" s="1280">
        <v>9.8132069650517004E-2</v>
      </c>
      <c r="K1324" s="1271">
        <v>5.8130217508880998E-3</v>
      </c>
      <c r="L1324" s="1257">
        <v>2.0701241981718301E-3</v>
      </c>
      <c r="M1324" s="1280">
        <v>3.7869919939725199E-4</v>
      </c>
      <c r="N1324" s="1271">
        <v>7.04593435677038E-3</v>
      </c>
      <c r="O1324" s="1257">
        <v>3.0000008598028201E-3</v>
      </c>
      <c r="P1324" s="1257">
        <v>8.6060506400147396E-3</v>
      </c>
      <c r="Q1324" s="1280">
        <v>7.04593435677038E-3</v>
      </c>
      <c r="R1324" s="1271">
        <v>3.8500011034136201E-2</v>
      </c>
      <c r="S1324" s="1257">
        <v>3.8500011034136201E-2</v>
      </c>
      <c r="T1324" s="1257">
        <v>3.8500011034136201E-2</v>
      </c>
      <c r="U1324" s="1280">
        <v>1.9250005517068101E-2</v>
      </c>
      <c r="V1324" s="1293">
        <v>6.0758607995612703E-3</v>
      </c>
    </row>
    <row r="1325" spans="1:22" s="212" customFormat="1" ht="15.5" x14ac:dyDescent="0.35">
      <c r="A1325" s="198">
        <v>2037</v>
      </c>
      <c r="B1325" s="197" t="s">
        <v>5833</v>
      </c>
      <c r="C1325" s="197">
        <v>2023</v>
      </c>
      <c r="D1325" s="225" t="str">
        <f t="shared" si="8"/>
        <v>2037_2023</v>
      </c>
      <c r="E1325" s="1231">
        <v>6.0044242325657499E-2</v>
      </c>
      <c r="F1325" s="1288">
        <v>2.14568840846215E-2</v>
      </c>
      <c r="G1325" s="1306">
        <v>6.4167431178627901E-2</v>
      </c>
      <c r="H1325" s="1303">
        <v>0.32055924982697298</v>
      </c>
      <c r="I1325" s="1288">
        <v>0.48182509003728002</v>
      </c>
      <c r="J1325" s="1306">
        <v>9.8132069650517004E-2</v>
      </c>
      <c r="K1325" s="1303">
        <v>5.8130217508880998E-3</v>
      </c>
      <c r="L1325" s="1288">
        <v>2.0701241981718301E-3</v>
      </c>
      <c r="M1325" s="1306">
        <v>3.7869919939725199E-4</v>
      </c>
      <c r="N1325" s="1303">
        <v>7.04593435677038E-3</v>
      </c>
      <c r="O1325" s="1288">
        <v>3.0000008598028201E-3</v>
      </c>
      <c r="P1325" s="1288">
        <v>8.6060506400147396E-3</v>
      </c>
      <c r="Q1325" s="1306">
        <v>8.4690589758439992E-3</v>
      </c>
      <c r="R1325" s="1303">
        <v>3.8500011034136201E-2</v>
      </c>
      <c r="S1325" s="1288">
        <v>3.8500011034136201E-2</v>
      </c>
      <c r="T1325" s="1288">
        <v>3.8500011034136201E-2</v>
      </c>
      <c r="U1325" s="1280">
        <v>1.9250005517068101E-2</v>
      </c>
      <c r="V1325" s="1294">
        <v>6.0758607995612703E-3</v>
      </c>
    </row>
    <row r="1326" spans="1:22" s="212" customFormat="1" ht="15.5" x14ac:dyDescent="0.35">
      <c r="A1326" s="198">
        <v>2037</v>
      </c>
      <c r="B1326" s="197" t="s">
        <v>5833</v>
      </c>
      <c r="C1326" s="197">
        <v>2024</v>
      </c>
      <c r="D1326" s="225" t="str">
        <f t="shared" si="8"/>
        <v>2037_2024</v>
      </c>
      <c r="E1326" s="1231">
        <v>5.8444989153778999E-2</v>
      </c>
      <c r="F1326" s="1288">
        <v>2.1628272157400701E-2</v>
      </c>
      <c r="G1326" s="1306">
        <v>6.2329603529925302E-2</v>
      </c>
      <c r="H1326" s="1303">
        <v>0.30898739096348898</v>
      </c>
      <c r="I1326" s="1288">
        <v>0.44832531155479399</v>
      </c>
      <c r="J1326" s="1306">
        <v>9.8767028972617896E-2</v>
      </c>
      <c r="K1326" s="1303">
        <v>5.6022488505965903E-3</v>
      </c>
      <c r="L1326" s="1288">
        <v>2.0867347551190001E-3</v>
      </c>
      <c r="M1326" s="1306">
        <v>3.7942955749675501E-4</v>
      </c>
      <c r="N1326" s="1303">
        <v>6.8277483587092097E-3</v>
      </c>
      <c r="O1326" s="1288">
        <v>3.0000008598028102E-3</v>
      </c>
      <c r="P1326" s="1288">
        <v>8.1762650810049894E-3</v>
      </c>
      <c r="Q1326" s="1306">
        <v>8.4690589758439992E-3</v>
      </c>
      <c r="R1326" s="1303">
        <v>3.8500011034136201E-2</v>
      </c>
      <c r="S1326" s="1288">
        <v>3.8500011034136201E-2</v>
      </c>
      <c r="T1326" s="1288">
        <v>3.8500011034136201E-2</v>
      </c>
      <c r="U1326" s="1306">
        <v>1.9250005517068101E-2</v>
      </c>
      <c r="V1326" s="1294">
        <v>5.8555576840094801E-3</v>
      </c>
    </row>
    <row r="1327" spans="1:22" s="212" customFormat="1" ht="15.5" x14ac:dyDescent="0.35">
      <c r="A1327" s="198">
        <v>2037</v>
      </c>
      <c r="B1327" s="197" t="s">
        <v>5833</v>
      </c>
      <c r="C1327" s="197">
        <v>2025</v>
      </c>
      <c r="D1327" s="225" t="str">
        <f t="shared" si="8"/>
        <v>2037_2025</v>
      </c>
      <c r="E1327" s="1231">
        <v>6.9491621166345996E-2</v>
      </c>
      <c r="F1327" s="1288">
        <v>2.17088788485514E-2</v>
      </c>
      <c r="G1327" s="1306">
        <v>6.0591374673658799E-2</v>
      </c>
      <c r="H1327" s="1303">
        <v>0.38837073843428799</v>
      </c>
      <c r="I1327" s="1288">
        <v>0.42851460301107702</v>
      </c>
      <c r="J1327" s="1306">
        <v>9.5524723882264101E-2</v>
      </c>
      <c r="K1327" s="1303">
        <v>7.0498625615636598E-3</v>
      </c>
      <c r="L1327" s="1288">
        <v>2.09424648929417E-3</v>
      </c>
      <c r="M1327" s="1306">
        <v>3.7629121239789903E-4</v>
      </c>
      <c r="N1327" s="1303">
        <v>8.3339547703456807E-3</v>
      </c>
      <c r="O1327" s="1288">
        <v>3.0000008598028201E-3</v>
      </c>
      <c r="P1327" s="1288">
        <v>7.7845697454133299E-3</v>
      </c>
      <c r="Q1327" s="1306">
        <v>8.1219002759995006E-3</v>
      </c>
      <c r="R1327" s="1303">
        <v>3.8500011034136201E-2</v>
      </c>
      <c r="S1327" s="1288">
        <v>3.8500011034136201E-2</v>
      </c>
      <c r="T1327" s="1288">
        <v>3.8500011034136097E-2</v>
      </c>
      <c r="U1327" s="1306">
        <v>1.9250005517068101E-2</v>
      </c>
      <c r="V1327" s="1294">
        <v>7.3686260632957797E-3</v>
      </c>
    </row>
    <row r="1328" spans="1:22" s="212" customFormat="1" ht="15.5" x14ac:dyDescent="0.35">
      <c r="A1328" s="198">
        <v>2037</v>
      </c>
      <c r="B1328" s="197" t="s">
        <v>5833</v>
      </c>
      <c r="C1328" s="197">
        <v>2026</v>
      </c>
      <c r="D1328" s="225" t="str">
        <f t="shared" si="8"/>
        <v>2037_2026</v>
      </c>
      <c r="E1328" s="1231">
        <v>6.3831920255924296E-2</v>
      </c>
      <c r="F1328" s="1288">
        <v>1.67407175962846E-2</v>
      </c>
      <c r="G1328" s="1306">
        <v>6.2702215170185802E-2</v>
      </c>
      <c r="H1328" s="1303">
        <v>0.34792226175817498</v>
      </c>
      <c r="I1328" s="1288">
        <v>0.37039722574008199</v>
      </c>
      <c r="J1328" s="1306">
        <v>9.6167736936947801E-2</v>
      </c>
      <c r="K1328" s="1303">
        <v>6.2803394514665102E-3</v>
      </c>
      <c r="L1328" s="1288">
        <v>1.6224466671199099E-3</v>
      </c>
      <c r="M1328" s="1306">
        <v>3.7414405163513901E-4</v>
      </c>
      <c r="N1328" s="1303">
        <v>7.5506673858672501E-3</v>
      </c>
      <c r="O1328" s="1288">
        <v>3.0000008598028201E-3</v>
      </c>
      <c r="P1328" s="1288">
        <v>8.2838488991945694E-3</v>
      </c>
      <c r="Q1328" s="1306">
        <v>8.7337399551422699E-3</v>
      </c>
      <c r="R1328" s="1303">
        <v>3.8500011034136201E-2</v>
      </c>
      <c r="S1328" s="1288">
        <v>3.8500011034136201E-2</v>
      </c>
      <c r="T1328" s="1288">
        <v>3.8500011034136201E-2</v>
      </c>
      <c r="U1328" s="1306">
        <v>1.9250005517068101E-2</v>
      </c>
      <c r="V1328" s="1294">
        <v>6.5643085328682604E-3</v>
      </c>
    </row>
    <row r="1329" spans="1:22" s="212" customFormat="1" ht="15.5" x14ac:dyDescent="0.35">
      <c r="A1329" s="198">
        <v>2037</v>
      </c>
      <c r="B1329" s="197" t="s">
        <v>5833</v>
      </c>
      <c r="C1329" s="197">
        <v>2027</v>
      </c>
      <c r="D1329" s="225" t="str">
        <f t="shared" si="8"/>
        <v>2037_2027</v>
      </c>
      <c r="E1329" s="1231">
        <v>6.9755456592865694E-2</v>
      </c>
      <c r="F1329" s="1288">
        <v>3.9298879737755298E-3</v>
      </c>
      <c r="G1329" s="1306">
        <v>5.8516744320116103E-2</v>
      </c>
      <c r="H1329" s="1303">
        <v>0.39546043939208197</v>
      </c>
      <c r="I1329" s="1288">
        <v>7.6930199715213199E-2</v>
      </c>
      <c r="J1329" s="1306">
        <v>9.6958587002694996E-2</v>
      </c>
      <c r="K1329" s="1303">
        <v>6.9109562475491498E-3</v>
      </c>
      <c r="L1329" s="1288">
        <v>1.11007874532384E-3</v>
      </c>
      <c r="M1329" s="1306">
        <v>7.6993196210115998E-4</v>
      </c>
      <c r="N1329" s="1303">
        <v>7.8504628882616195E-3</v>
      </c>
      <c r="O1329" s="1288">
        <v>2.1749413532969699E-3</v>
      </c>
      <c r="P1329" s="1288">
        <v>7.8043838324978196E-3</v>
      </c>
      <c r="Q1329" s="1306">
        <v>7.9141794860937906E-3</v>
      </c>
      <c r="R1329" s="1303">
        <v>3.8361482314628999E-2</v>
      </c>
      <c r="S1329" s="1288">
        <v>3.3013365315872303E-2</v>
      </c>
      <c r="T1329" s="1288">
        <v>3.8362516669727301E-2</v>
      </c>
      <c r="U1329" s="1306">
        <v>1.9250005517068101E-2</v>
      </c>
      <c r="V1329" s="1294">
        <v>7.22343902214916E-3</v>
      </c>
    </row>
    <row r="1330" spans="1:22" s="212" customFormat="1" ht="15.5" x14ac:dyDescent="0.35">
      <c r="A1330" s="198">
        <v>2037</v>
      </c>
      <c r="B1330" s="197" t="s">
        <v>5833</v>
      </c>
      <c r="C1330" s="197">
        <v>2028</v>
      </c>
      <c r="D1330" s="225" t="str">
        <f t="shared" si="8"/>
        <v>2037_2028</v>
      </c>
      <c r="E1330" s="1231">
        <v>6.5855223903396098E-2</v>
      </c>
      <c r="F1330" s="1288">
        <v>7.6479581827796402E-3</v>
      </c>
      <c r="G1330" s="1306">
        <v>5.8950436096115701E-2</v>
      </c>
      <c r="H1330" s="1303">
        <v>0.36013094545732299</v>
      </c>
      <c r="I1330" s="1288">
        <v>0.13205780040083501</v>
      </c>
      <c r="J1330" s="1306">
        <v>0.101334340651653</v>
      </c>
      <c r="K1330" s="1303">
        <v>6.6007654939724304E-3</v>
      </c>
      <c r="L1330" s="1288">
        <v>1.30417126757223E-3</v>
      </c>
      <c r="M1330" s="1306">
        <v>1.1652023392512399E-3</v>
      </c>
      <c r="N1330" s="1303">
        <v>7.7712270798148001E-3</v>
      </c>
      <c r="O1330" s="1288">
        <v>2.3743071406881998E-3</v>
      </c>
      <c r="P1330" s="1288">
        <v>7.7308148547057904E-3</v>
      </c>
      <c r="Q1330" s="1306">
        <v>7.9427450241448799E-3</v>
      </c>
      <c r="R1330" s="1303">
        <v>3.8463848921907698E-2</v>
      </c>
      <c r="S1330" s="1288">
        <v>3.4339147802024003E-2</v>
      </c>
      <c r="T1330" s="1288">
        <v>3.8062575654833002E-2</v>
      </c>
      <c r="U1330" s="1306">
        <v>1.9250005517068101E-2</v>
      </c>
      <c r="V1330" s="1294">
        <v>6.8992228191467903E-3</v>
      </c>
    </row>
    <row r="1331" spans="1:22" s="212" customFormat="1" ht="15.5" x14ac:dyDescent="0.35">
      <c r="A1331" s="198">
        <v>2037</v>
      </c>
      <c r="B1331" s="197" t="s">
        <v>5833</v>
      </c>
      <c r="C1331" s="197">
        <v>2029</v>
      </c>
      <c r="D1331" s="225" t="str">
        <f t="shared" si="8"/>
        <v>2037_2029</v>
      </c>
      <c r="E1331" s="1231">
        <v>6.3108652465494394E-2</v>
      </c>
      <c r="F1331" s="1288">
        <v>7.2014988690807099E-3</v>
      </c>
      <c r="G1331" s="1306">
        <v>6.2740545333102596E-2</v>
      </c>
      <c r="H1331" s="1303">
        <v>0.33867542297873099</v>
      </c>
      <c r="I1331" s="1288">
        <v>0.133163370356912</v>
      </c>
      <c r="J1331" s="1306">
        <v>0.112181931149992</v>
      </c>
      <c r="K1331" s="1303">
        <v>6.2817774838806201E-3</v>
      </c>
      <c r="L1331" s="1288">
        <v>1.2514976143355001E-3</v>
      </c>
      <c r="M1331" s="1306">
        <v>9.7044768905390599E-4</v>
      </c>
      <c r="N1331" s="1303">
        <v>7.3591644139249001E-3</v>
      </c>
      <c r="O1331" s="1288">
        <v>2.3930103038656602E-3</v>
      </c>
      <c r="P1331" s="1288">
        <v>8.2423316854750104E-3</v>
      </c>
      <c r="Q1331" s="1306">
        <v>8.3085964937718998E-3</v>
      </c>
      <c r="R1331" s="1303">
        <v>3.8435790840328499E-2</v>
      </c>
      <c r="S1331" s="1288">
        <v>3.4463523837154099E-2</v>
      </c>
      <c r="T1331" s="1288">
        <v>3.82069793812038E-2</v>
      </c>
      <c r="U1331" s="1306">
        <v>1.9250005517068101E-2</v>
      </c>
      <c r="V1331" s="1294">
        <v>6.5658115867269504E-3</v>
      </c>
    </row>
    <row r="1332" spans="1:22" s="212" customFormat="1" ht="15.5" x14ac:dyDescent="0.35">
      <c r="A1332" s="198">
        <v>2037</v>
      </c>
      <c r="B1332" s="197" t="s">
        <v>5833</v>
      </c>
      <c r="C1332" s="197">
        <v>2030</v>
      </c>
      <c r="D1332" s="225" t="str">
        <f t="shared" si="8"/>
        <v>2037_2030</v>
      </c>
      <c r="E1332" s="1231">
        <v>0.102383014394464</v>
      </c>
      <c r="F1332" s="1288">
        <v>2.9086598171460401E-3</v>
      </c>
      <c r="G1332" s="1306">
        <v>9.5072804041359801E-2</v>
      </c>
      <c r="H1332" s="1303">
        <v>0.22390909026825301</v>
      </c>
      <c r="I1332" s="1288">
        <v>1.5083790646031801E-2</v>
      </c>
      <c r="J1332" s="1306">
        <v>0.212248407973118</v>
      </c>
      <c r="K1332" s="1303">
        <v>1.8981071441181802E-2</v>
      </c>
      <c r="L1332" s="1288">
        <v>1.1814437404543501E-3</v>
      </c>
      <c r="M1332" s="1306">
        <v>1.7855287285819001E-2</v>
      </c>
      <c r="N1332" s="1303">
        <v>3.0000008598028201E-3</v>
      </c>
      <c r="O1332" s="1288">
        <v>2.0000005732018801E-3</v>
      </c>
      <c r="P1332" s="1288">
        <v>3.0000008598028201E-3</v>
      </c>
      <c r="Q1332" s="1306">
        <v>7.8222774226315607E-3</v>
      </c>
      <c r="R1332" s="1303">
        <v>3.1850009128239903E-2</v>
      </c>
      <c r="S1332" s="1288">
        <v>3.1850009128239903E-2</v>
      </c>
      <c r="T1332" s="1288">
        <v>3.1850009128239903E-2</v>
      </c>
      <c r="U1332" s="1306">
        <v>1.9250005517068101E-2</v>
      </c>
      <c r="V1332" s="1294">
        <v>1.98393112644949E-2</v>
      </c>
    </row>
    <row r="1333" spans="1:22" s="212" customFormat="1" ht="15.5" x14ac:dyDescent="0.35">
      <c r="A1333" s="198">
        <v>2037</v>
      </c>
      <c r="B1333" s="197" t="s">
        <v>5833</v>
      </c>
      <c r="C1333" s="197">
        <v>2031</v>
      </c>
      <c r="D1333" s="225" t="str">
        <f t="shared" si="8"/>
        <v>2037_2031</v>
      </c>
      <c r="E1333" s="1231">
        <v>0.10197855076599401</v>
      </c>
      <c r="F1333" s="1288">
        <v>2.3193402837397899E-3</v>
      </c>
      <c r="G1333" s="1306">
        <v>9.0143653319314607E-2</v>
      </c>
      <c r="H1333" s="1303">
        <v>0.21789082292741599</v>
      </c>
      <c r="I1333" s="1288">
        <v>1.54546493633375E-2</v>
      </c>
      <c r="J1333" s="1306">
        <v>0.201273351375889</v>
      </c>
      <c r="K1333" s="1303">
        <v>1.7812845081703801E-2</v>
      </c>
      <c r="L1333" s="1288">
        <v>1.12492572118683E-3</v>
      </c>
      <c r="M1333" s="1306">
        <v>1.61548866563428E-2</v>
      </c>
      <c r="N1333" s="1303">
        <v>3.0000008598028201E-3</v>
      </c>
      <c r="O1333" s="1288">
        <v>2.0000005732018801E-3</v>
      </c>
      <c r="P1333" s="1288">
        <v>3.0000008598028201E-3</v>
      </c>
      <c r="Q1333" s="1306">
        <v>8.11203327862638E-3</v>
      </c>
      <c r="R1333" s="1303">
        <v>3.1850009128239903E-2</v>
      </c>
      <c r="S1333" s="1288">
        <v>3.1850009128239903E-2</v>
      </c>
      <c r="T1333" s="1288">
        <v>3.1850009128239903E-2</v>
      </c>
      <c r="U1333" s="1306">
        <v>1.9250005517068101E-2</v>
      </c>
      <c r="V1333" s="1294">
        <v>1.8618262892969001E-2</v>
      </c>
    </row>
    <row r="1334" spans="1:22" s="212" customFormat="1" ht="15.5" x14ac:dyDescent="0.35">
      <c r="A1334" s="198">
        <v>2037</v>
      </c>
      <c r="B1334" s="197" t="s">
        <v>5833</v>
      </c>
      <c r="C1334" s="197">
        <v>2032</v>
      </c>
      <c r="D1334" s="225" t="str">
        <f t="shared" si="8"/>
        <v>2037_2032</v>
      </c>
      <c r="E1334" s="1231">
        <v>9.8216729059674296E-2</v>
      </c>
      <c r="F1334" s="1288">
        <v>2.7741772318503602E-3</v>
      </c>
      <c r="G1334" s="1306">
        <v>7.6461458096738696E-2</v>
      </c>
      <c r="H1334" s="1303">
        <v>0.20549189449590499</v>
      </c>
      <c r="I1334" s="1288">
        <v>1.4709898381726001E-2</v>
      </c>
      <c r="J1334" s="1306">
        <v>0.16808944903984799</v>
      </c>
      <c r="K1334" s="1303">
        <v>1.5981278814200601E-2</v>
      </c>
      <c r="L1334" s="1288">
        <v>1.15899932395248E-3</v>
      </c>
      <c r="M1334" s="1306">
        <v>1.2902956447558201E-2</v>
      </c>
      <c r="N1334" s="1303">
        <v>3.0000008598028201E-3</v>
      </c>
      <c r="O1334" s="1288">
        <v>2.0000005732018801E-3</v>
      </c>
      <c r="P1334" s="1288">
        <v>3.0000008598028201E-3</v>
      </c>
      <c r="Q1334" s="1306">
        <v>7.7480277749546597E-3</v>
      </c>
      <c r="R1334" s="1303">
        <v>3.1850009128239903E-2</v>
      </c>
      <c r="S1334" s="1288">
        <v>3.1850009128239903E-2</v>
      </c>
      <c r="T1334" s="1288">
        <v>3.1850009128239903E-2</v>
      </c>
      <c r="U1334" s="1306">
        <v>1.9250005517068101E-2</v>
      </c>
      <c r="V1334" s="1294">
        <v>1.67038813263043E-2</v>
      </c>
    </row>
    <row r="1335" spans="1:22" s="212" customFormat="1" ht="15.5" x14ac:dyDescent="0.35">
      <c r="A1335" s="198">
        <v>2037</v>
      </c>
      <c r="B1335" s="197" t="s">
        <v>5833</v>
      </c>
      <c r="C1335" s="197">
        <v>2033</v>
      </c>
      <c r="D1335" s="225" t="str">
        <f t="shared" si="8"/>
        <v>2037_2033</v>
      </c>
      <c r="E1335" s="1231">
        <v>9.6045569247765999E-2</v>
      </c>
      <c r="F1335" s="1288">
        <v>2.4087587724164398E-3</v>
      </c>
      <c r="G1335" s="1306">
        <v>7.2060476761123801E-2</v>
      </c>
      <c r="H1335" s="1303">
        <v>0.19551542130282701</v>
      </c>
      <c r="I1335" s="1288">
        <v>1.55313636694995E-2</v>
      </c>
      <c r="J1335" s="1306">
        <v>0.15485251035195299</v>
      </c>
      <c r="K1335" s="1303">
        <v>1.4367816298131201E-2</v>
      </c>
      <c r="L1335" s="1288">
        <v>1.10651939269697E-3</v>
      </c>
      <c r="M1335" s="1306">
        <v>1.12284373379132E-2</v>
      </c>
      <c r="N1335" s="1303">
        <v>3.0000008598028201E-3</v>
      </c>
      <c r="O1335" s="1288">
        <v>2.0000005732018801E-3</v>
      </c>
      <c r="P1335" s="1288">
        <v>3.0000008598028201E-3</v>
      </c>
      <c r="Q1335" s="1306">
        <v>7.0779307171834702E-3</v>
      </c>
      <c r="R1335" s="1303">
        <v>3.1850009128239903E-2</v>
      </c>
      <c r="S1335" s="1288">
        <v>3.1850009128239903E-2</v>
      </c>
      <c r="T1335" s="1288">
        <v>3.1850009128239903E-2</v>
      </c>
      <c r="U1335" s="1306">
        <v>1.9250005517068101E-2</v>
      </c>
      <c r="V1335" s="1294">
        <v>1.50174651948922E-2</v>
      </c>
    </row>
    <row r="1336" spans="1:22" s="212" customFormat="1" ht="15.5" x14ac:dyDescent="0.35">
      <c r="A1336" s="198">
        <v>2037</v>
      </c>
      <c r="B1336" s="197" t="s">
        <v>5833</v>
      </c>
      <c r="C1336" s="197">
        <v>2034</v>
      </c>
      <c r="D1336" s="225" t="str">
        <f t="shared" si="8"/>
        <v>2037_2034</v>
      </c>
      <c r="E1336" s="1231">
        <v>9.3450140666057002E-2</v>
      </c>
      <c r="F1336" s="1288">
        <v>3.3040899416274202E-3</v>
      </c>
      <c r="G1336" s="1306">
        <v>6.1905563949435603E-2</v>
      </c>
      <c r="H1336" s="1303">
        <v>0.184598261279353</v>
      </c>
      <c r="I1336" s="1288">
        <v>1.6531373764504299E-2</v>
      </c>
      <c r="J1336" s="1306">
        <v>0.14705099835575</v>
      </c>
      <c r="K1336" s="1303">
        <v>1.2631358229755099E-2</v>
      </c>
      <c r="L1336" s="1288">
        <v>1.17869238264191E-3</v>
      </c>
      <c r="M1336" s="1306">
        <v>9.3392158926734799E-3</v>
      </c>
      <c r="N1336" s="1303">
        <v>3.0000008598028201E-3</v>
      </c>
      <c r="O1336" s="1288">
        <v>2.0000005732018801E-3</v>
      </c>
      <c r="P1336" s="1288">
        <v>3.0000008598028201E-3</v>
      </c>
      <c r="Q1336" s="1306">
        <v>5.7121099303991804E-3</v>
      </c>
      <c r="R1336" s="1303">
        <v>3.1850009128239903E-2</v>
      </c>
      <c r="S1336" s="1288">
        <v>3.1850009128239903E-2</v>
      </c>
      <c r="T1336" s="1288">
        <v>3.1850009128239903E-2</v>
      </c>
      <c r="U1336" s="1306">
        <v>1.9250005517068101E-2</v>
      </c>
      <c r="V1336" s="1294">
        <v>1.32024921980826E-2</v>
      </c>
    </row>
    <row r="1337" spans="1:22" s="212" customFormat="1" ht="15.5" x14ac:dyDescent="0.35">
      <c r="A1337" s="198">
        <v>2037</v>
      </c>
      <c r="B1337" s="197" t="s">
        <v>5833</v>
      </c>
      <c r="C1337" s="197">
        <v>2035</v>
      </c>
      <c r="D1337" s="225" t="str">
        <f t="shared" si="8"/>
        <v>2037_2035</v>
      </c>
      <c r="E1337" s="1231">
        <v>9.0531040130978402E-2</v>
      </c>
      <c r="F1337" s="1288">
        <v>2.2254370837931099E-3</v>
      </c>
      <c r="G1337" s="1306">
        <v>5.9391115757798998E-2</v>
      </c>
      <c r="H1337" s="1303">
        <v>0.17282594146581501</v>
      </c>
      <c r="I1337" s="1288">
        <v>1.97451978272499E-2</v>
      </c>
      <c r="J1337" s="1306">
        <v>0.140394183623892</v>
      </c>
      <c r="K1337" s="1303">
        <v>1.0784777082500901E-2</v>
      </c>
      <c r="L1337" s="1288">
        <v>1.05205830389582E-3</v>
      </c>
      <c r="M1337" s="1306">
        <v>8.0203183907923605E-3</v>
      </c>
      <c r="N1337" s="1303">
        <v>3.0000008598028201E-3</v>
      </c>
      <c r="O1337" s="1288">
        <v>2.0000005732018801E-3</v>
      </c>
      <c r="P1337" s="1288">
        <v>3.0000008598028201E-3</v>
      </c>
      <c r="Q1337" s="1306">
        <v>8.0826843278724095E-3</v>
      </c>
      <c r="R1337" s="1303">
        <v>3.1850009128239903E-2</v>
      </c>
      <c r="S1337" s="1288">
        <v>3.1850009128239903E-2</v>
      </c>
      <c r="T1337" s="1288">
        <v>3.1850009128239903E-2</v>
      </c>
      <c r="U1337" s="1306">
        <v>1.9250005517068101E-2</v>
      </c>
      <c r="V1337" s="1294">
        <v>1.12724168454321E-2</v>
      </c>
    </row>
    <row r="1338" spans="1:22" s="212" customFormat="1" ht="15.5" x14ac:dyDescent="0.35">
      <c r="A1338" s="198">
        <v>2037</v>
      </c>
      <c r="B1338" s="197" t="s">
        <v>5833</v>
      </c>
      <c r="C1338" s="197">
        <v>2036</v>
      </c>
      <c r="D1338" s="225" t="str">
        <f t="shared" si="8"/>
        <v>2037_2036</v>
      </c>
      <c r="E1338" s="1231">
        <v>8.8016485391481797E-2</v>
      </c>
      <c r="F1338" s="1288">
        <v>3.7326719980067501E-3</v>
      </c>
      <c r="G1338" s="1306">
        <v>6.3080402698862295E-2</v>
      </c>
      <c r="H1338" s="1303">
        <v>0.16156968489578799</v>
      </c>
      <c r="I1338" s="1288">
        <v>2.0868875477869999E-2</v>
      </c>
      <c r="J1338" s="1306">
        <v>0.12712992308662799</v>
      </c>
      <c r="K1338" s="1303">
        <v>8.9239968614189397E-3</v>
      </c>
      <c r="L1338" s="1288">
        <v>1.15109625998536E-3</v>
      </c>
      <c r="M1338" s="1306">
        <v>6.8081861689253901E-3</v>
      </c>
      <c r="N1338" s="1303">
        <v>3.0000008598028201E-3</v>
      </c>
      <c r="O1338" s="1288">
        <v>2.0000005732018801E-3</v>
      </c>
      <c r="P1338" s="1288">
        <v>3.0000008598028201E-3</v>
      </c>
      <c r="Q1338" s="1306">
        <v>7.3795798447101801E-3</v>
      </c>
      <c r="R1338" s="1303">
        <v>3.1850009128239903E-2</v>
      </c>
      <c r="S1338" s="1288">
        <v>3.1850009128239903E-2</v>
      </c>
      <c r="T1338" s="1288">
        <v>3.1850009128239903E-2</v>
      </c>
      <c r="U1338" s="1306">
        <v>1.9250005517068101E-2</v>
      </c>
      <c r="V1338" s="1294">
        <v>9.32750039984271E-3</v>
      </c>
    </row>
    <row r="1339" spans="1:22" s="212" customFormat="1" ht="15.5" x14ac:dyDescent="0.35">
      <c r="A1339" s="198">
        <v>2037</v>
      </c>
      <c r="B1339" s="197" t="s">
        <v>5833</v>
      </c>
      <c r="C1339" s="197">
        <v>2037</v>
      </c>
      <c r="D1339" s="225" t="str">
        <f t="shared" si="8"/>
        <v>2037_2037</v>
      </c>
      <c r="E1339" s="1231">
        <v>8.4075422651281997E-2</v>
      </c>
      <c r="F1339" s="1288">
        <v>2.9730185965418801E-3</v>
      </c>
      <c r="G1339" s="1306">
        <v>4.6335524223156503E-2</v>
      </c>
      <c r="H1339" s="1303">
        <v>0.14694538065311299</v>
      </c>
      <c r="I1339" s="1288">
        <v>2.08623675556175E-2</v>
      </c>
      <c r="J1339" s="1306">
        <v>0.100892797237753</v>
      </c>
      <c r="K1339" s="1303">
        <v>6.8697545693823699E-3</v>
      </c>
      <c r="L1339" s="1288">
        <v>1.11145403608287E-3</v>
      </c>
      <c r="M1339" s="1306">
        <v>4.3584728147502E-3</v>
      </c>
      <c r="N1339" s="1303">
        <v>3.0000008598028201E-3</v>
      </c>
      <c r="O1339" s="1288">
        <v>2.0000005732018801E-3</v>
      </c>
      <c r="P1339" s="1288">
        <v>3.0000008598028201E-3</v>
      </c>
      <c r="Q1339" s="1306">
        <v>7.5861859378924196E-3</v>
      </c>
      <c r="R1339" s="1303">
        <v>3.1850009128239903E-2</v>
      </c>
      <c r="S1339" s="1288">
        <v>3.1850009128239903E-2</v>
      </c>
      <c r="T1339" s="1288">
        <v>3.1850009128239903E-2</v>
      </c>
      <c r="U1339" s="1306">
        <v>1.9250005517068101E-2</v>
      </c>
      <c r="V1339" s="1294">
        <v>7.1803743869254203E-3</v>
      </c>
    </row>
    <row r="1340" spans="1:22" s="212" customFormat="1" ht="15.5" x14ac:dyDescent="0.35">
      <c r="A1340" s="198">
        <v>2037</v>
      </c>
      <c r="B1340" s="197" t="s">
        <v>5833</v>
      </c>
      <c r="C1340" s="197">
        <v>2038</v>
      </c>
      <c r="D1340" s="225" t="str">
        <f t="shared" si="8"/>
        <v>2037_2038</v>
      </c>
      <c r="E1340" s="1226">
        <v>8.4075422651281997E-2</v>
      </c>
      <c r="F1340" s="1257">
        <v>2.9730185965418801E-3</v>
      </c>
      <c r="G1340" s="1280">
        <v>4.6335524223156503E-2</v>
      </c>
      <c r="H1340" s="1271">
        <v>0.14694538065311299</v>
      </c>
      <c r="I1340" s="1257">
        <v>2.08623675556175E-2</v>
      </c>
      <c r="J1340" s="1280">
        <v>0.100892797237753</v>
      </c>
      <c r="K1340" s="1271">
        <v>6.8697545693823699E-3</v>
      </c>
      <c r="L1340" s="1257">
        <v>1.11145403608287E-3</v>
      </c>
      <c r="M1340" s="1280">
        <v>4.3584728147502E-3</v>
      </c>
      <c r="N1340" s="1271">
        <v>3.0000008598028201E-3</v>
      </c>
      <c r="O1340" s="1257">
        <v>2.0000005732018801E-3</v>
      </c>
      <c r="P1340" s="1257">
        <v>3.0000008598028201E-3</v>
      </c>
      <c r="Q1340" s="1280">
        <v>7.5861859378924196E-3</v>
      </c>
      <c r="R1340" s="1271">
        <v>3.1850009128239903E-2</v>
      </c>
      <c r="S1340" s="1257">
        <v>3.1850009128239903E-2</v>
      </c>
      <c r="T1340" s="1257">
        <v>3.1850009128239903E-2</v>
      </c>
      <c r="U1340" s="1280">
        <v>1.9250005517068101E-2</v>
      </c>
      <c r="V1340" s="1293">
        <v>7.1803743869254203E-3</v>
      </c>
    </row>
    <row r="1341" spans="1:22" s="212" customFormat="1" ht="15.5" x14ac:dyDescent="0.35">
      <c r="A1341" s="198">
        <v>2038</v>
      </c>
      <c r="B1341" s="197" t="s">
        <v>5833</v>
      </c>
      <c r="C1341" s="197">
        <v>1971</v>
      </c>
      <c r="D1341" s="225" t="str">
        <f t="shared" si="8"/>
        <v>2038_1971</v>
      </c>
      <c r="E1341" s="1226">
        <v>5.8444989164162499E-2</v>
      </c>
      <c r="F1341" s="1257">
        <v>2.16282521087389E-2</v>
      </c>
      <c r="G1341" s="1280">
        <v>6.2329807919878397E-2</v>
      </c>
      <c r="H1341" s="1271">
        <v>0.30898739100821998</v>
      </c>
      <c r="I1341" s="1257">
        <v>0.48312832207453299</v>
      </c>
      <c r="J1341" s="1280">
        <v>9.8769419061145294E-2</v>
      </c>
      <c r="K1341" s="1271">
        <v>5.6022488474490699E-3</v>
      </c>
      <c r="L1341" s="1257">
        <v>2.0867328164157202E-3</v>
      </c>
      <c r="M1341" s="1280">
        <v>3.79440964787025E-4</v>
      </c>
      <c r="N1341" s="1271">
        <v>6.8277483585547898E-3</v>
      </c>
      <c r="O1341" s="1257">
        <v>3.0000008598028201E-3</v>
      </c>
      <c r="P1341" s="1257">
        <v>8.1762668614829698E-3</v>
      </c>
      <c r="Q1341" s="1280">
        <v>6.8277483585547898E-3</v>
      </c>
      <c r="R1341" s="1271">
        <v>3.8500011034136201E-2</v>
      </c>
      <c r="S1341" s="1257">
        <v>3.8500011034136201E-2</v>
      </c>
      <c r="T1341" s="1257">
        <v>3.8500011034136201E-2</v>
      </c>
      <c r="U1341" s="1280">
        <v>1.9250005517068101E-2</v>
      </c>
      <c r="V1341" s="1293">
        <v>5.8555576807196299E-3</v>
      </c>
    </row>
    <row r="1342" spans="1:22" s="212" customFormat="1" ht="15.5" x14ac:dyDescent="0.35">
      <c r="A1342" s="198">
        <v>2038</v>
      </c>
      <c r="B1342" s="197" t="s">
        <v>5833</v>
      </c>
      <c r="C1342" s="197">
        <v>1972</v>
      </c>
      <c r="D1342" s="225" t="str">
        <f t="shared" si="8"/>
        <v>2038_1972</v>
      </c>
      <c r="E1342" s="1226">
        <v>5.8444989164162499E-2</v>
      </c>
      <c r="F1342" s="1257">
        <v>2.16282521087389E-2</v>
      </c>
      <c r="G1342" s="1280">
        <v>6.2329807919878397E-2</v>
      </c>
      <c r="H1342" s="1271">
        <v>0.30898739100821998</v>
      </c>
      <c r="I1342" s="1257">
        <v>0.48312832207453299</v>
      </c>
      <c r="J1342" s="1280">
        <v>9.8769419061145294E-2</v>
      </c>
      <c r="K1342" s="1271">
        <v>5.6022488474490699E-3</v>
      </c>
      <c r="L1342" s="1257">
        <v>2.0867328164157202E-3</v>
      </c>
      <c r="M1342" s="1280">
        <v>3.79440964787025E-4</v>
      </c>
      <c r="N1342" s="1271">
        <v>6.8277483585547898E-3</v>
      </c>
      <c r="O1342" s="1257">
        <v>3.0000008598028201E-3</v>
      </c>
      <c r="P1342" s="1257">
        <v>8.1762668614829698E-3</v>
      </c>
      <c r="Q1342" s="1280">
        <v>6.8277483585547898E-3</v>
      </c>
      <c r="R1342" s="1271">
        <v>3.8500011034136201E-2</v>
      </c>
      <c r="S1342" s="1257">
        <v>3.8500011034136201E-2</v>
      </c>
      <c r="T1342" s="1257">
        <v>3.8500011034136201E-2</v>
      </c>
      <c r="U1342" s="1280">
        <v>1.9250005517068101E-2</v>
      </c>
      <c r="V1342" s="1293">
        <v>5.8555576807196299E-3</v>
      </c>
    </row>
    <row r="1343" spans="1:22" s="212" customFormat="1" ht="15.5" x14ac:dyDescent="0.35">
      <c r="A1343" s="198">
        <v>2038</v>
      </c>
      <c r="B1343" s="197" t="s">
        <v>5833</v>
      </c>
      <c r="C1343" s="197">
        <v>1973</v>
      </c>
      <c r="D1343" s="225" t="str">
        <f t="shared" si="8"/>
        <v>2038_1973</v>
      </c>
      <c r="E1343" s="1226">
        <v>5.8444989164162499E-2</v>
      </c>
      <c r="F1343" s="1257">
        <v>2.16282521087389E-2</v>
      </c>
      <c r="G1343" s="1280">
        <v>6.2329807919878397E-2</v>
      </c>
      <c r="H1343" s="1271">
        <v>0.30898739100821998</v>
      </c>
      <c r="I1343" s="1257">
        <v>0.48312832207453299</v>
      </c>
      <c r="J1343" s="1280">
        <v>9.8769419061145294E-2</v>
      </c>
      <c r="K1343" s="1271">
        <v>5.6022488474490699E-3</v>
      </c>
      <c r="L1343" s="1257">
        <v>2.0867328164157202E-3</v>
      </c>
      <c r="M1343" s="1280">
        <v>3.79440964787025E-4</v>
      </c>
      <c r="N1343" s="1271">
        <v>6.8277483585547898E-3</v>
      </c>
      <c r="O1343" s="1257">
        <v>3.0000008598028201E-3</v>
      </c>
      <c r="P1343" s="1257">
        <v>8.1762668614829698E-3</v>
      </c>
      <c r="Q1343" s="1280">
        <v>6.8277483585547898E-3</v>
      </c>
      <c r="R1343" s="1271">
        <v>3.8500011034136201E-2</v>
      </c>
      <c r="S1343" s="1257">
        <v>3.8500011034136201E-2</v>
      </c>
      <c r="T1343" s="1257">
        <v>3.8500011034136201E-2</v>
      </c>
      <c r="U1343" s="1280">
        <v>1.9250005517068101E-2</v>
      </c>
      <c r="V1343" s="1293">
        <v>5.8555576807196299E-3</v>
      </c>
    </row>
    <row r="1344" spans="1:22" s="212" customFormat="1" ht="15.5" x14ac:dyDescent="0.35">
      <c r="A1344" s="198">
        <v>2038</v>
      </c>
      <c r="B1344" s="197" t="s">
        <v>5833</v>
      </c>
      <c r="C1344" s="197">
        <v>1974</v>
      </c>
      <c r="D1344" s="225" t="str">
        <f t="shared" si="8"/>
        <v>2038_1974</v>
      </c>
      <c r="E1344" s="1226">
        <v>5.8444989164162499E-2</v>
      </c>
      <c r="F1344" s="1257">
        <v>2.16282521087389E-2</v>
      </c>
      <c r="G1344" s="1280">
        <v>6.2329807919878397E-2</v>
      </c>
      <c r="H1344" s="1271">
        <v>0.30898739100821998</v>
      </c>
      <c r="I1344" s="1257">
        <v>0.48312832207453299</v>
      </c>
      <c r="J1344" s="1280">
        <v>9.8769419061145294E-2</v>
      </c>
      <c r="K1344" s="1271">
        <v>5.6022488474490699E-3</v>
      </c>
      <c r="L1344" s="1257">
        <v>2.0867328164157202E-3</v>
      </c>
      <c r="M1344" s="1280">
        <v>3.79440964787025E-4</v>
      </c>
      <c r="N1344" s="1271">
        <v>6.8277483585547898E-3</v>
      </c>
      <c r="O1344" s="1257">
        <v>3.0000008598028201E-3</v>
      </c>
      <c r="P1344" s="1257">
        <v>8.1762668614829698E-3</v>
      </c>
      <c r="Q1344" s="1280">
        <v>6.8277483585547898E-3</v>
      </c>
      <c r="R1344" s="1271">
        <v>3.8500011034136201E-2</v>
      </c>
      <c r="S1344" s="1257">
        <v>3.8500011034136201E-2</v>
      </c>
      <c r="T1344" s="1257">
        <v>3.8500011034136201E-2</v>
      </c>
      <c r="U1344" s="1280">
        <v>1.9250005517068101E-2</v>
      </c>
      <c r="V1344" s="1293">
        <v>5.8555576807196299E-3</v>
      </c>
    </row>
    <row r="1345" spans="1:22" s="212" customFormat="1" ht="15.5" x14ac:dyDescent="0.35">
      <c r="A1345" s="198">
        <v>2038</v>
      </c>
      <c r="B1345" s="197" t="s">
        <v>5833</v>
      </c>
      <c r="C1345" s="197">
        <v>1975</v>
      </c>
      <c r="D1345" s="225" t="str">
        <f t="shared" si="8"/>
        <v>2038_1975</v>
      </c>
      <c r="E1345" s="1226">
        <v>5.8444989164162499E-2</v>
      </c>
      <c r="F1345" s="1257">
        <v>2.16282521087389E-2</v>
      </c>
      <c r="G1345" s="1280">
        <v>6.2329807919878397E-2</v>
      </c>
      <c r="H1345" s="1271">
        <v>0.30898739100821998</v>
      </c>
      <c r="I1345" s="1257">
        <v>0.48312832207453299</v>
      </c>
      <c r="J1345" s="1280">
        <v>9.8769419061145294E-2</v>
      </c>
      <c r="K1345" s="1271">
        <v>5.6022488474490699E-3</v>
      </c>
      <c r="L1345" s="1257">
        <v>2.0867328164157202E-3</v>
      </c>
      <c r="M1345" s="1280">
        <v>3.79440964787025E-4</v>
      </c>
      <c r="N1345" s="1271">
        <v>6.8277483585547898E-3</v>
      </c>
      <c r="O1345" s="1257">
        <v>3.0000008598028201E-3</v>
      </c>
      <c r="P1345" s="1257">
        <v>8.1762668614829698E-3</v>
      </c>
      <c r="Q1345" s="1280">
        <v>6.8277483585547898E-3</v>
      </c>
      <c r="R1345" s="1271">
        <v>3.8500011034136201E-2</v>
      </c>
      <c r="S1345" s="1257">
        <v>3.8500011034136201E-2</v>
      </c>
      <c r="T1345" s="1257">
        <v>3.8500011034136201E-2</v>
      </c>
      <c r="U1345" s="1280">
        <v>1.9250005517068101E-2</v>
      </c>
      <c r="V1345" s="1293">
        <v>5.8555576807196299E-3</v>
      </c>
    </row>
    <row r="1346" spans="1:22" s="212" customFormat="1" ht="15.5" x14ac:dyDescent="0.35">
      <c r="A1346" s="198">
        <v>2038</v>
      </c>
      <c r="B1346" s="197" t="s">
        <v>5833</v>
      </c>
      <c r="C1346" s="197">
        <v>1976</v>
      </c>
      <c r="D1346" s="225" t="str">
        <f t="shared" si="8"/>
        <v>2038_1976</v>
      </c>
      <c r="E1346" s="1226">
        <v>5.8444989164162499E-2</v>
      </c>
      <c r="F1346" s="1257">
        <v>2.16282521087389E-2</v>
      </c>
      <c r="G1346" s="1280">
        <v>6.2329807919878397E-2</v>
      </c>
      <c r="H1346" s="1271">
        <v>0.30898739100821998</v>
      </c>
      <c r="I1346" s="1257">
        <v>0.48312832207453299</v>
      </c>
      <c r="J1346" s="1280">
        <v>9.8769419061145294E-2</v>
      </c>
      <c r="K1346" s="1271">
        <v>5.6022488474490699E-3</v>
      </c>
      <c r="L1346" s="1257">
        <v>2.0867328164157202E-3</v>
      </c>
      <c r="M1346" s="1280">
        <v>3.79440964787025E-4</v>
      </c>
      <c r="N1346" s="1271">
        <v>6.8277483585547898E-3</v>
      </c>
      <c r="O1346" s="1257">
        <v>3.0000008598028201E-3</v>
      </c>
      <c r="P1346" s="1257">
        <v>8.1762668614829698E-3</v>
      </c>
      <c r="Q1346" s="1280">
        <v>6.8277483585547898E-3</v>
      </c>
      <c r="R1346" s="1271">
        <v>3.8500011034136201E-2</v>
      </c>
      <c r="S1346" s="1257">
        <v>3.8500011034136201E-2</v>
      </c>
      <c r="T1346" s="1257">
        <v>3.8500011034136201E-2</v>
      </c>
      <c r="U1346" s="1280">
        <v>1.9250005517068101E-2</v>
      </c>
      <c r="V1346" s="1293">
        <v>5.8555576807196299E-3</v>
      </c>
    </row>
    <row r="1347" spans="1:22" s="212" customFormat="1" ht="15.5" x14ac:dyDescent="0.35">
      <c r="A1347" s="198">
        <v>2038</v>
      </c>
      <c r="B1347" s="197" t="s">
        <v>5833</v>
      </c>
      <c r="C1347" s="197">
        <v>1977</v>
      </c>
      <c r="D1347" s="225" t="str">
        <f t="shared" si="8"/>
        <v>2038_1977</v>
      </c>
      <c r="E1347" s="1226">
        <v>5.8444989164162499E-2</v>
      </c>
      <c r="F1347" s="1257">
        <v>2.16282521087389E-2</v>
      </c>
      <c r="G1347" s="1280">
        <v>6.2329807919878397E-2</v>
      </c>
      <c r="H1347" s="1271">
        <v>0.30898739100821998</v>
      </c>
      <c r="I1347" s="1257">
        <v>0.48312832207453299</v>
      </c>
      <c r="J1347" s="1280">
        <v>9.8769419061145294E-2</v>
      </c>
      <c r="K1347" s="1271">
        <v>5.6022488474490699E-3</v>
      </c>
      <c r="L1347" s="1257">
        <v>2.0867328164157202E-3</v>
      </c>
      <c r="M1347" s="1280">
        <v>3.79440964787025E-4</v>
      </c>
      <c r="N1347" s="1271">
        <v>6.8277483585547898E-3</v>
      </c>
      <c r="O1347" s="1257">
        <v>3.0000008598028201E-3</v>
      </c>
      <c r="P1347" s="1257">
        <v>8.1762668614829698E-3</v>
      </c>
      <c r="Q1347" s="1280">
        <v>6.8277483585547898E-3</v>
      </c>
      <c r="R1347" s="1271">
        <v>3.8500011034136201E-2</v>
      </c>
      <c r="S1347" s="1257">
        <v>3.8500011034136201E-2</v>
      </c>
      <c r="T1347" s="1257">
        <v>3.8500011034136201E-2</v>
      </c>
      <c r="U1347" s="1280">
        <v>1.9250005517068101E-2</v>
      </c>
      <c r="V1347" s="1293">
        <v>5.8555576807196299E-3</v>
      </c>
    </row>
    <row r="1348" spans="1:22" s="212" customFormat="1" ht="15.5" x14ac:dyDescent="0.35">
      <c r="A1348" s="198">
        <v>2038</v>
      </c>
      <c r="B1348" s="197" t="s">
        <v>5833</v>
      </c>
      <c r="C1348" s="197">
        <v>1978</v>
      </c>
      <c r="D1348" s="225" t="str">
        <f t="shared" si="8"/>
        <v>2038_1978</v>
      </c>
      <c r="E1348" s="1226">
        <v>5.8444989164162499E-2</v>
      </c>
      <c r="F1348" s="1257">
        <v>2.16282521087389E-2</v>
      </c>
      <c r="G1348" s="1280">
        <v>6.2329807919878397E-2</v>
      </c>
      <c r="H1348" s="1271">
        <v>0.30898739100821998</v>
      </c>
      <c r="I1348" s="1257">
        <v>0.48312832207453299</v>
      </c>
      <c r="J1348" s="1280">
        <v>9.8769419061145294E-2</v>
      </c>
      <c r="K1348" s="1271">
        <v>5.6022488474490699E-3</v>
      </c>
      <c r="L1348" s="1257">
        <v>2.0867328164157202E-3</v>
      </c>
      <c r="M1348" s="1280">
        <v>3.79440964787025E-4</v>
      </c>
      <c r="N1348" s="1271">
        <v>6.8277483585547898E-3</v>
      </c>
      <c r="O1348" s="1257">
        <v>3.0000008598028201E-3</v>
      </c>
      <c r="P1348" s="1257">
        <v>8.1762668614829698E-3</v>
      </c>
      <c r="Q1348" s="1280">
        <v>6.8277483585547898E-3</v>
      </c>
      <c r="R1348" s="1271">
        <v>3.8500011034136201E-2</v>
      </c>
      <c r="S1348" s="1257">
        <v>3.8500011034136201E-2</v>
      </c>
      <c r="T1348" s="1257">
        <v>3.8500011034136201E-2</v>
      </c>
      <c r="U1348" s="1280">
        <v>1.9250005517068101E-2</v>
      </c>
      <c r="V1348" s="1293">
        <v>5.8555576807196299E-3</v>
      </c>
    </row>
    <row r="1349" spans="1:22" s="212" customFormat="1" ht="15.5" x14ac:dyDescent="0.35">
      <c r="A1349" s="198">
        <v>2038</v>
      </c>
      <c r="B1349" s="197" t="s">
        <v>5833</v>
      </c>
      <c r="C1349" s="197">
        <v>1979</v>
      </c>
      <c r="D1349" s="225" t="str">
        <f t="shared" si="8"/>
        <v>2038_1979</v>
      </c>
      <c r="E1349" s="1226">
        <v>5.8444989164162499E-2</v>
      </c>
      <c r="F1349" s="1257">
        <v>2.16282521087389E-2</v>
      </c>
      <c r="G1349" s="1280">
        <v>6.2329807919878397E-2</v>
      </c>
      <c r="H1349" s="1271">
        <v>0.30898739100821998</v>
      </c>
      <c r="I1349" s="1257">
        <v>0.48312832207453299</v>
      </c>
      <c r="J1349" s="1280">
        <v>9.8769419061145294E-2</v>
      </c>
      <c r="K1349" s="1271">
        <v>5.6022488474490699E-3</v>
      </c>
      <c r="L1349" s="1257">
        <v>2.0867328164157202E-3</v>
      </c>
      <c r="M1349" s="1280">
        <v>3.79440964787025E-4</v>
      </c>
      <c r="N1349" s="1271">
        <v>6.8277483585547898E-3</v>
      </c>
      <c r="O1349" s="1257">
        <v>3.0000008598028201E-3</v>
      </c>
      <c r="P1349" s="1257">
        <v>8.1762668614829698E-3</v>
      </c>
      <c r="Q1349" s="1280">
        <v>6.8277483585547898E-3</v>
      </c>
      <c r="R1349" s="1271">
        <v>3.8500011034136201E-2</v>
      </c>
      <c r="S1349" s="1257">
        <v>3.8500011034136201E-2</v>
      </c>
      <c r="T1349" s="1257">
        <v>3.8500011034136201E-2</v>
      </c>
      <c r="U1349" s="1280">
        <v>1.9250005517068101E-2</v>
      </c>
      <c r="V1349" s="1293">
        <v>5.8555576807196299E-3</v>
      </c>
    </row>
    <row r="1350" spans="1:22" s="212" customFormat="1" ht="15.5" x14ac:dyDescent="0.35">
      <c r="A1350" s="198">
        <v>2038</v>
      </c>
      <c r="B1350" s="197" t="s">
        <v>5833</v>
      </c>
      <c r="C1350" s="197">
        <v>1980</v>
      </c>
      <c r="D1350" s="225" t="str">
        <f t="shared" si="8"/>
        <v>2038_1980</v>
      </c>
      <c r="E1350" s="1226">
        <v>5.8444989164162499E-2</v>
      </c>
      <c r="F1350" s="1257">
        <v>2.16282521087389E-2</v>
      </c>
      <c r="G1350" s="1280">
        <v>6.2329807919878397E-2</v>
      </c>
      <c r="H1350" s="1271">
        <v>0.30898739100821998</v>
      </c>
      <c r="I1350" s="1257">
        <v>0.48312832207453299</v>
      </c>
      <c r="J1350" s="1280">
        <v>9.8769419061145294E-2</v>
      </c>
      <c r="K1350" s="1271">
        <v>5.6022488474490699E-3</v>
      </c>
      <c r="L1350" s="1257">
        <v>2.0867328164157202E-3</v>
      </c>
      <c r="M1350" s="1280">
        <v>3.79440964787025E-4</v>
      </c>
      <c r="N1350" s="1271">
        <v>6.8277483585547898E-3</v>
      </c>
      <c r="O1350" s="1257">
        <v>3.0000008598028201E-3</v>
      </c>
      <c r="P1350" s="1257">
        <v>8.1762668614829698E-3</v>
      </c>
      <c r="Q1350" s="1280">
        <v>6.8277483585547898E-3</v>
      </c>
      <c r="R1350" s="1271">
        <v>3.8500011034136201E-2</v>
      </c>
      <c r="S1350" s="1257">
        <v>3.8500011034136201E-2</v>
      </c>
      <c r="T1350" s="1257">
        <v>3.8500011034136201E-2</v>
      </c>
      <c r="U1350" s="1280">
        <v>1.9250005517068101E-2</v>
      </c>
      <c r="V1350" s="1293">
        <v>5.8555576807196299E-3</v>
      </c>
    </row>
    <row r="1351" spans="1:22" s="212" customFormat="1" ht="15.5" x14ac:dyDescent="0.35">
      <c r="A1351" s="198">
        <v>2038</v>
      </c>
      <c r="B1351" s="197" t="s">
        <v>5833</v>
      </c>
      <c r="C1351" s="197">
        <v>1981</v>
      </c>
      <c r="D1351" s="225" t="str">
        <f t="shared" si="8"/>
        <v>2038_1981</v>
      </c>
      <c r="E1351" s="1226">
        <v>5.8444989164162499E-2</v>
      </c>
      <c r="F1351" s="1257">
        <v>2.16282521087389E-2</v>
      </c>
      <c r="G1351" s="1280">
        <v>6.2329807919878397E-2</v>
      </c>
      <c r="H1351" s="1271">
        <v>0.30898739100821998</v>
      </c>
      <c r="I1351" s="1257">
        <v>0.48312832207453299</v>
      </c>
      <c r="J1351" s="1280">
        <v>9.8769419061145294E-2</v>
      </c>
      <c r="K1351" s="1271">
        <v>5.6022488474490699E-3</v>
      </c>
      <c r="L1351" s="1257">
        <v>2.0867328164157202E-3</v>
      </c>
      <c r="M1351" s="1280">
        <v>3.79440964787025E-4</v>
      </c>
      <c r="N1351" s="1271">
        <v>6.8277483585547898E-3</v>
      </c>
      <c r="O1351" s="1257">
        <v>3.0000008598028201E-3</v>
      </c>
      <c r="P1351" s="1257">
        <v>8.1762668614829698E-3</v>
      </c>
      <c r="Q1351" s="1280">
        <v>6.8277483585547898E-3</v>
      </c>
      <c r="R1351" s="1271">
        <v>3.8500011034136201E-2</v>
      </c>
      <c r="S1351" s="1257">
        <v>3.8500011034136201E-2</v>
      </c>
      <c r="T1351" s="1257">
        <v>3.8500011034136201E-2</v>
      </c>
      <c r="U1351" s="1280">
        <v>1.9250005517068101E-2</v>
      </c>
      <c r="V1351" s="1293">
        <v>5.8555576807196299E-3</v>
      </c>
    </row>
    <row r="1352" spans="1:22" s="212" customFormat="1" ht="15.5" x14ac:dyDescent="0.35">
      <c r="A1352" s="198">
        <v>2038</v>
      </c>
      <c r="B1352" s="197" t="s">
        <v>5833</v>
      </c>
      <c r="C1352" s="197">
        <v>1982</v>
      </c>
      <c r="D1352" s="225" t="str">
        <f t="shared" si="8"/>
        <v>2038_1982</v>
      </c>
      <c r="E1352" s="1226">
        <v>5.8444989164162499E-2</v>
      </c>
      <c r="F1352" s="1257">
        <v>2.16282521087389E-2</v>
      </c>
      <c r="G1352" s="1280">
        <v>6.2329807919878397E-2</v>
      </c>
      <c r="H1352" s="1271">
        <v>0.30898739100821998</v>
      </c>
      <c r="I1352" s="1257">
        <v>0.48312832207453299</v>
      </c>
      <c r="J1352" s="1280">
        <v>9.8769419061145294E-2</v>
      </c>
      <c r="K1352" s="1271">
        <v>5.6022488474490699E-3</v>
      </c>
      <c r="L1352" s="1257">
        <v>2.0867328164157202E-3</v>
      </c>
      <c r="M1352" s="1280">
        <v>3.79440964787025E-4</v>
      </c>
      <c r="N1352" s="1271">
        <v>6.8277483585547898E-3</v>
      </c>
      <c r="O1352" s="1257">
        <v>3.0000008598028201E-3</v>
      </c>
      <c r="P1352" s="1257">
        <v>8.1762668614829698E-3</v>
      </c>
      <c r="Q1352" s="1280">
        <v>6.8277483585547898E-3</v>
      </c>
      <c r="R1352" s="1271">
        <v>3.8500011034136201E-2</v>
      </c>
      <c r="S1352" s="1257">
        <v>3.8500011034136201E-2</v>
      </c>
      <c r="T1352" s="1257">
        <v>3.8500011034136201E-2</v>
      </c>
      <c r="U1352" s="1280">
        <v>1.9250005517068101E-2</v>
      </c>
      <c r="V1352" s="1293">
        <v>5.8555576807196299E-3</v>
      </c>
    </row>
    <row r="1353" spans="1:22" s="212" customFormat="1" ht="15.5" x14ac:dyDescent="0.35">
      <c r="A1353" s="198">
        <v>2038</v>
      </c>
      <c r="B1353" s="197" t="s">
        <v>5833</v>
      </c>
      <c r="C1353" s="197">
        <v>1983</v>
      </c>
      <c r="D1353" s="225" t="str">
        <f t="shared" si="8"/>
        <v>2038_1983</v>
      </c>
      <c r="E1353" s="1226">
        <v>5.8444989164162499E-2</v>
      </c>
      <c r="F1353" s="1257">
        <v>2.16282521087389E-2</v>
      </c>
      <c r="G1353" s="1280">
        <v>6.2329807919878397E-2</v>
      </c>
      <c r="H1353" s="1271">
        <v>0.30898739100821998</v>
      </c>
      <c r="I1353" s="1257">
        <v>0.48312832207453299</v>
      </c>
      <c r="J1353" s="1280">
        <v>9.8769419061145294E-2</v>
      </c>
      <c r="K1353" s="1271">
        <v>5.6022488474490699E-3</v>
      </c>
      <c r="L1353" s="1257">
        <v>2.0867328164157202E-3</v>
      </c>
      <c r="M1353" s="1280">
        <v>3.79440964787025E-4</v>
      </c>
      <c r="N1353" s="1271">
        <v>6.8277483585547898E-3</v>
      </c>
      <c r="O1353" s="1257">
        <v>3.0000008598028201E-3</v>
      </c>
      <c r="P1353" s="1257">
        <v>8.1762668614829698E-3</v>
      </c>
      <c r="Q1353" s="1280">
        <v>6.8277483585547898E-3</v>
      </c>
      <c r="R1353" s="1271">
        <v>3.8500011034136201E-2</v>
      </c>
      <c r="S1353" s="1257">
        <v>3.8500011034136201E-2</v>
      </c>
      <c r="T1353" s="1257">
        <v>3.8500011034136201E-2</v>
      </c>
      <c r="U1353" s="1280">
        <v>1.9250005517068101E-2</v>
      </c>
      <c r="V1353" s="1293">
        <v>5.8555576807196299E-3</v>
      </c>
    </row>
    <row r="1354" spans="1:22" s="212" customFormat="1" ht="15.5" x14ac:dyDescent="0.35">
      <c r="A1354" s="198">
        <v>2038</v>
      </c>
      <c r="B1354" s="197" t="s">
        <v>5833</v>
      </c>
      <c r="C1354" s="197">
        <v>1984</v>
      </c>
      <c r="D1354" s="225" t="str">
        <f t="shared" si="8"/>
        <v>2038_1984</v>
      </c>
      <c r="E1354" s="1226">
        <v>5.8444989164162499E-2</v>
      </c>
      <c r="F1354" s="1257">
        <v>2.16282521087389E-2</v>
      </c>
      <c r="G1354" s="1280">
        <v>6.2329807919878397E-2</v>
      </c>
      <c r="H1354" s="1271">
        <v>0.30898739100821998</v>
      </c>
      <c r="I1354" s="1257">
        <v>0.48312832207453299</v>
      </c>
      <c r="J1354" s="1280">
        <v>9.8769419061145294E-2</v>
      </c>
      <c r="K1354" s="1271">
        <v>5.6022488474490699E-3</v>
      </c>
      <c r="L1354" s="1257">
        <v>2.0867328164157202E-3</v>
      </c>
      <c r="M1354" s="1280">
        <v>3.79440964787025E-4</v>
      </c>
      <c r="N1354" s="1271">
        <v>6.8277483585547898E-3</v>
      </c>
      <c r="O1354" s="1257">
        <v>3.0000008598028201E-3</v>
      </c>
      <c r="P1354" s="1257">
        <v>8.1762668614829698E-3</v>
      </c>
      <c r="Q1354" s="1280">
        <v>6.8277483585547898E-3</v>
      </c>
      <c r="R1354" s="1271">
        <v>3.8500011034136201E-2</v>
      </c>
      <c r="S1354" s="1257">
        <v>3.8500011034136201E-2</v>
      </c>
      <c r="T1354" s="1257">
        <v>3.8500011034136201E-2</v>
      </c>
      <c r="U1354" s="1280">
        <v>1.9250005517068101E-2</v>
      </c>
      <c r="V1354" s="1293">
        <v>5.8555576807196299E-3</v>
      </c>
    </row>
    <row r="1355" spans="1:22" s="212" customFormat="1" ht="15.5" x14ac:dyDescent="0.35">
      <c r="A1355" s="198">
        <v>2038</v>
      </c>
      <c r="B1355" s="197" t="s">
        <v>5833</v>
      </c>
      <c r="C1355" s="197">
        <v>1985</v>
      </c>
      <c r="D1355" s="225" t="str">
        <f t="shared" si="8"/>
        <v>2038_1985</v>
      </c>
      <c r="E1355" s="1226">
        <v>5.8444989164162499E-2</v>
      </c>
      <c r="F1355" s="1257">
        <v>2.16282521087389E-2</v>
      </c>
      <c r="G1355" s="1280">
        <v>6.2329807919878397E-2</v>
      </c>
      <c r="H1355" s="1271">
        <v>0.30898739100821998</v>
      </c>
      <c r="I1355" s="1257">
        <v>0.48312832207453299</v>
      </c>
      <c r="J1355" s="1280">
        <v>9.8769419061145294E-2</v>
      </c>
      <c r="K1355" s="1271">
        <v>5.6022488474490699E-3</v>
      </c>
      <c r="L1355" s="1257">
        <v>2.0867328164157202E-3</v>
      </c>
      <c r="M1355" s="1280">
        <v>3.79440964787025E-4</v>
      </c>
      <c r="N1355" s="1271">
        <v>6.8277483585547898E-3</v>
      </c>
      <c r="O1355" s="1257">
        <v>3.0000008598028201E-3</v>
      </c>
      <c r="P1355" s="1257">
        <v>8.1762668614829698E-3</v>
      </c>
      <c r="Q1355" s="1280">
        <v>6.8277483585547898E-3</v>
      </c>
      <c r="R1355" s="1271">
        <v>3.8500011034136201E-2</v>
      </c>
      <c r="S1355" s="1257">
        <v>3.8500011034136201E-2</v>
      </c>
      <c r="T1355" s="1257">
        <v>3.8500011034136201E-2</v>
      </c>
      <c r="U1355" s="1280">
        <v>1.9250005517068101E-2</v>
      </c>
      <c r="V1355" s="1293">
        <v>5.8555576807196299E-3</v>
      </c>
    </row>
    <row r="1356" spans="1:22" s="212" customFormat="1" ht="15.5" x14ac:dyDescent="0.35">
      <c r="A1356" s="198">
        <v>2038</v>
      </c>
      <c r="B1356" s="197" t="s">
        <v>5833</v>
      </c>
      <c r="C1356" s="197">
        <v>1986</v>
      </c>
      <c r="D1356" s="225" t="str">
        <f t="shared" si="8"/>
        <v>2038_1986</v>
      </c>
      <c r="E1356" s="1226">
        <v>5.8444989164162499E-2</v>
      </c>
      <c r="F1356" s="1257">
        <v>2.16282521087389E-2</v>
      </c>
      <c r="G1356" s="1280">
        <v>6.2329807919878397E-2</v>
      </c>
      <c r="H1356" s="1271">
        <v>0.30898739100821998</v>
      </c>
      <c r="I1356" s="1257">
        <v>0.48312832207453299</v>
      </c>
      <c r="J1356" s="1280">
        <v>9.8769419061145294E-2</v>
      </c>
      <c r="K1356" s="1271">
        <v>5.6022488474490699E-3</v>
      </c>
      <c r="L1356" s="1257">
        <v>2.0867328164157202E-3</v>
      </c>
      <c r="M1356" s="1280">
        <v>3.79440964787025E-4</v>
      </c>
      <c r="N1356" s="1271">
        <v>6.8277483585547898E-3</v>
      </c>
      <c r="O1356" s="1257">
        <v>3.0000008598028201E-3</v>
      </c>
      <c r="P1356" s="1257">
        <v>8.1762668614829698E-3</v>
      </c>
      <c r="Q1356" s="1280">
        <v>6.8277483585547898E-3</v>
      </c>
      <c r="R1356" s="1271">
        <v>3.8500011034136201E-2</v>
      </c>
      <c r="S1356" s="1257">
        <v>3.8500011034136201E-2</v>
      </c>
      <c r="T1356" s="1257">
        <v>3.8500011034136201E-2</v>
      </c>
      <c r="U1356" s="1280">
        <v>1.9250005517068101E-2</v>
      </c>
      <c r="V1356" s="1293">
        <v>5.8555576807196299E-3</v>
      </c>
    </row>
    <row r="1357" spans="1:22" s="212" customFormat="1" ht="15.5" x14ac:dyDescent="0.35">
      <c r="A1357" s="198">
        <v>2038</v>
      </c>
      <c r="B1357" s="197" t="s">
        <v>5833</v>
      </c>
      <c r="C1357" s="197">
        <v>1987</v>
      </c>
      <c r="D1357" s="225" t="str">
        <f t="shared" si="8"/>
        <v>2038_1987</v>
      </c>
      <c r="E1357" s="1226">
        <v>5.8444989164162499E-2</v>
      </c>
      <c r="F1357" s="1257">
        <v>2.16282521087389E-2</v>
      </c>
      <c r="G1357" s="1280">
        <v>6.2329807919878397E-2</v>
      </c>
      <c r="H1357" s="1271">
        <v>0.30898739100821998</v>
      </c>
      <c r="I1357" s="1257">
        <v>0.48312832207453299</v>
      </c>
      <c r="J1357" s="1280">
        <v>9.8769419061145294E-2</v>
      </c>
      <c r="K1357" s="1271">
        <v>5.6022488474490699E-3</v>
      </c>
      <c r="L1357" s="1257">
        <v>2.0867328164157202E-3</v>
      </c>
      <c r="M1357" s="1280">
        <v>3.79440964787025E-4</v>
      </c>
      <c r="N1357" s="1271">
        <v>6.8277483585547898E-3</v>
      </c>
      <c r="O1357" s="1257">
        <v>3.0000008598028201E-3</v>
      </c>
      <c r="P1357" s="1257">
        <v>8.1762668614829698E-3</v>
      </c>
      <c r="Q1357" s="1280">
        <v>6.8277483585547898E-3</v>
      </c>
      <c r="R1357" s="1271">
        <v>3.8500011034136201E-2</v>
      </c>
      <c r="S1357" s="1257">
        <v>3.8500011034136201E-2</v>
      </c>
      <c r="T1357" s="1257">
        <v>3.8500011034136201E-2</v>
      </c>
      <c r="U1357" s="1280">
        <v>1.9250005517068101E-2</v>
      </c>
      <c r="V1357" s="1293">
        <v>5.8555576807196299E-3</v>
      </c>
    </row>
    <row r="1358" spans="1:22" s="212" customFormat="1" ht="15.5" x14ac:dyDescent="0.35">
      <c r="A1358" s="198">
        <v>2038</v>
      </c>
      <c r="B1358" s="197" t="s">
        <v>5833</v>
      </c>
      <c r="C1358" s="197">
        <v>1988</v>
      </c>
      <c r="D1358" s="225" t="str">
        <f t="shared" si="8"/>
        <v>2038_1988</v>
      </c>
      <c r="E1358" s="1226">
        <v>5.8444989164162499E-2</v>
      </c>
      <c r="F1358" s="1257">
        <v>2.16282521087389E-2</v>
      </c>
      <c r="G1358" s="1280">
        <v>6.2329807919878397E-2</v>
      </c>
      <c r="H1358" s="1271">
        <v>0.30898739100821998</v>
      </c>
      <c r="I1358" s="1257">
        <v>0.48312832207453299</v>
      </c>
      <c r="J1358" s="1280">
        <v>9.8769419061145294E-2</v>
      </c>
      <c r="K1358" s="1271">
        <v>5.6022488474490699E-3</v>
      </c>
      <c r="L1358" s="1257">
        <v>2.0867328164157202E-3</v>
      </c>
      <c r="M1358" s="1280">
        <v>3.79440964787025E-4</v>
      </c>
      <c r="N1358" s="1271">
        <v>6.8277483585547898E-3</v>
      </c>
      <c r="O1358" s="1257">
        <v>3.0000008598028201E-3</v>
      </c>
      <c r="P1358" s="1257">
        <v>8.1762668614829698E-3</v>
      </c>
      <c r="Q1358" s="1280">
        <v>6.8277483585547898E-3</v>
      </c>
      <c r="R1358" s="1271">
        <v>3.8500011034136201E-2</v>
      </c>
      <c r="S1358" s="1257">
        <v>3.8500011034136201E-2</v>
      </c>
      <c r="T1358" s="1257">
        <v>3.8500011034136201E-2</v>
      </c>
      <c r="U1358" s="1280">
        <v>1.9250005517068101E-2</v>
      </c>
      <c r="V1358" s="1293">
        <v>5.8555576807196299E-3</v>
      </c>
    </row>
    <row r="1359" spans="1:22" s="212" customFormat="1" ht="15.5" x14ac:dyDescent="0.35">
      <c r="A1359" s="198">
        <v>2038</v>
      </c>
      <c r="B1359" s="197" t="s">
        <v>5833</v>
      </c>
      <c r="C1359" s="197">
        <v>1989</v>
      </c>
      <c r="D1359" s="225" t="str">
        <f t="shared" si="8"/>
        <v>2038_1989</v>
      </c>
      <c r="E1359" s="1226">
        <v>5.8444989164162499E-2</v>
      </c>
      <c r="F1359" s="1257">
        <v>2.16282521087389E-2</v>
      </c>
      <c r="G1359" s="1280">
        <v>6.2329807919878397E-2</v>
      </c>
      <c r="H1359" s="1271">
        <v>0.30898739100821998</v>
      </c>
      <c r="I1359" s="1257">
        <v>0.48312832207453299</v>
      </c>
      <c r="J1359" s="1280">
        <v>9.8769419061145294E-2</v>
      </c>
      <c r="K1359" s="1271">
        <v>5.6022488474490699E-3</v>
      </c>
      <c r="L1359" s="1257">
        <v>2.0867328164157202E-3</v>
      </c>
      <c r="M1359" s="1280">
        <v>3.79440964787025E-4</v>
      </c>
      <c r="N1359" s="1271">
        <v>6.8277483585547898E-3</v>
      </c>
      <c r="O1359" s="1257">
        <v>3.0000008598028201E-3</v>
      </c>
      <c r="P1359" s="1257">
        <v>8.1762668614829698E-3</v>
      </c>
      <c r="Q1359" s="1280">
        <v>6.8277483585547898E-3</v>
      </c>
      <c r="R1359" s="1271">
        <v>3.8500011034136201E-2</v>
      </c>
      <c r="S1359" s="1257">
        <v>3.8500011034136201E-2</v>
      </c>
      <c r="T1359" s="1257">
        <v>3.8500011034136201E-2</v>
      </c>
      <c r="U1359" s="1280">
        <v>1.9250005517068101E-2</v>
      </c>
      <c r="V1359" s="1293">
        <v>5.8555576807196299E-3</v>
      </c>
    </row>
    <row r="1360" spans="1:22" s="212" customFormat="1" ht="15.5" x14ac:dyDescent="0.35">
      <c r="A1360" s="198">
        <v>2038</v>
      </c>
      <c r="B1360" s="197" t="s">
        <v>5833</v>
      </c>
      <c r="C1360" s="197">
        <v>1990</v>
      </c>
      <c r="D1360" s="225" t="str">
        <f t="shared" si="8"/>
        <v>2038_1990</v>
      </c>
      <c r="E1360" s="1226">
        <v>5.8444989164162499E-2</v>
      </c>
      <c r="F1360" s="1257">
        <v>2.16282521087389E-2</v>
      </c>
      <c r="G1360" s="1280">
        <v>6.2329807919878397E-2</v>
      </c>
      <c r="H1360" s="1271">
        <v>0.30898739100821998</v>
      </c>
      <c r="I1360" s="1257">
        <v>0.48312832207453299</v>
      </c>
      <c r="J1360" s="1280">
        <v>9.8769419061145294E-2</v>
      </c>
      <c r="K1360" s="1271">
        <v>5.6022488474490699E-3</v>
      </c>
      <c r="L1360" s="1257">
        <v>2.0867328164157202E-3</v>
      </c>
      <c r="M1360" s="1280">
        <v>3.79440964787025E-4</v>
      </c>
      <c r="N1360" s="1271">
        <v>6.8277483585547898E-3</v>
      </c>
      <c r="O1360" s="1257">
        <v>3.0000008598028201E-3</v>
      </c>
      <c r="P1360" s="1257">
        <v>8.1762668614829698E-3</v>
      </c>
      <c r="Q1360" s="1280">
        <v>6.8277483585547898E-3</v>
      </c>
      <c r="R1360" s="1271">
        <v>3.8500011034136201E-2</v>
      </c>
      <c r="S1360" s="1257">
        <v>3.8500011034136201E-2</v>
      </c>
      <c r="T1360" s="1257">
        <v>3.8500011034136201E-2</v>
      </c>
      <c r="U1360" s="1280">
        <v>1.9250005517068101E-2</v>
      </c>
      <c r="V1360" s="1293">
        <v>5.8555576807196299E-3</v>
      </c>
    </row>
    <row r="1361" spans="1:22" s="212" customFormat="1" ht="15.5" x14ac:dyDescent="0.35">
      <c r="A1361" s="198">
        <v>2038</v>
      </c>
      <c r="B1361" s="197" t="s">
        <v>5833</v>
      </c>
      <c r="C1361" s="197">
        <v>1991</v>
      </c>
      <c r="D1361" s="225" t="str">
        <f t="shared" si="8"/>
        <v>2038_1991</v>
      </c>
      <c r="E1361" s="1226">
        <v>5.8444989164162499E-2</v>
      </c>
      <c r="F1361" s="1257">
        <v>2.16282521087389E-2</v>
      </c>
      <c r="G1361" s="1280">
        <v>6.2329807919878397E-2</v>
      </c>
      <c r="H1361" s="1271">
        <v>0.30898739100821998</v>
      </c>
      <c r="I1361" s="1257">
        <v>0.48312832207453299</v>
      </c>
      <c r="J1361" s="1280">
        <v>9.8769419061145294E-2</v>
      </c>
      <c r="K1361" s="1271">
        <v>5.6022488474490699E-3</v>
      </c>
      <c r="L1361" s="1257">
        <v>2.0867328164157202E-3</v>
      </c>
      <c r="M1361" s="1280">
        <v>3.79440964787025E-4</v>
      </c>
      <c r="N1361" s="1271">
        <v>6.8277483585547898E-3</v>
      </c>
      <c r="O1361" s="1257">
        <v>3.0000008598028201E-3</v>
      </c>
      <c r="P1361" s="1257">
        <v>8.1762668614829698E-3</v>
      </c>
      <c r="Q1361" s="1280">
        <v>6.8277483585547898E-3</v>
      </c>
      <c r="R1361" s="1271">
        <v>3.8500011034136201E-2</v>
      </c>
      <c r="S1361" s="1257">
        <v>3.8500011034136201E-2</v>
      </c>
      <c r="T1361" s="1257">
        <v>3.8500011034136201E-2</v>
      </c>
      <c r="U1361" s="1280">
        <v>1.9250005517068101E-2</v>
      </c>
      <c r="V1361" s="1293">
        <v>5.8555576807196299E-3</v>
      </c>
    </row>
    <row r="1362" spans="1:22" s="212" customFormat="1" ht="15.5" x14ac:dyDescent="0.35">
      <c r="A1362" s="198">
        <v>2038</v>
      </c>
      <c r="B1362" s="197" t="s">
        <v>5833</v>
      </c>
      <c r="C1362" s="197">
        <v>1992</v>
      </c>
      <c r="D1362" s="225" t="str">
        <f t="shared" si="8"/>
        <v>2038_1992</v>
      </c>
      <c r="E1362" s="1226">
        <v>5.8444989164162499E-2</v>
      </c>
      <c r="F1362" s="1257">
        <v>2.16282521087389E-2</v>
      </c>
      <c r="G1362" s="1280">
        <v>6.2329807919878397E-2</v>
      </c>
      <c r="H1362" s="1271">
        <v>0.30898739100821998</v>
      </c>
      <c r="I1362" s="1257">
        <v>0.48312832207453299</v>
      </c>
      <c r="J1362" s="1280">
        <v>9.8769419061145294E-2</v>
      </c>
      <c r="K1362" s="1271">
        <v>5.6022488474490699E-3</v>
      </c>
      <c r="L1362" s="1257">
        <v>2.0867328164157202E-3</v>
      </c>
      <c r="M1362" s="1280">
        <v>3.79440964787025E-4</v>
      </c>
      <c r="N1362" s="1271">
        <v>6.8277483585547898E-3</v>
      </c>
      <c r="O1362" s="1257">
        <v>3.0000008598028201E-3</v>
      </c>
      <c r="P1362" s="1257">
        <v>8.1762668614829698E-3</v>
      </c>
      <c r="Q1362" s="1280">
        <v>6.8277483585547898E-3</v>
      </c>
      <c r="R1362" s="1271">
        <v>3.8500011034136201E-2</v>
      </c>
      <c r="S1362" s="1257">
        <v>3.8500011034136201E-2</v>
      </c>
      <c r="T1362" s="1257">
        <v>3.8500011034136201E-2</v>
      </c>
      <c r="U1362" s="1280">
        <v>1.9250005517068101E-2</v>
      </c>
      <c r="V1362" s="1293">
        <v>5.8555576807196299E-3</v>
      </c>
    </row>
    <row r="1363" spans="1:22" s="212" customFormat="1" ht="15.5" x14ac:dyDescent="0.35">
      <c r="A1363" s="198">
        <v>2038</v>
      </c>
      <c r="B1363" s="197" t="s">
        <v>5833</v>
      </c>
      <c r="C1363" s="197">
        <v>1993</v>
      </c>
      <c r="D1363" s="225" t="str">
        <f t="shared" si="8"/>
        <v>2038_1993</v>
      </c>
      <c r="E1363" s="1226">
        <v>5.8444989164162499E-2</v>
      </c>
      <c r="F1363" s="1257">
        <v>2.16282521087389E-2</v>
      </c>
      <c r="G1363" s="1280">
        <v>6.2329807919878397E-2</v>
      </c>
      <c r="H1363" s="1271">
        <v>0.30898739100821998</v>
      </c>
      <c r="I1363" s="1257">
        <v>0.48312832207453299</v>
      </c>
      <c r="J1363" s="1280">
        <v>9.8769419061145294E-2</v>
      </c>
      <c r="K1363" s="1271">
        <v>5.6022488474490699E-3</v>
      </c>
      <c r="L1363" s="1257">
        <v>2.0867328164157202E-3</v>
      </c>
      <c r="M1363" s="1280">
        <v>3.79440964787025E-4</v>
      </c>
      <c r="N1363" s="1271">
        <v>6.8277483585547898E-3</v>
      </c>
      <c r="O1363" s="1257">
        <v>3.0000008598028201E-3</v>
      </c>
      <c r="P1363" s="1257">
        <v>8.1762668614829698E-3</v>
      </c>
      <c r="Q1363" s="1280">
        <v>6.8277483585547898E-3</v>
      </c>
      <c r="R1363" s="1271">
        <v>3.8500011034136201E-2</v>
      </c>
      <c r="S1363" s="1257">
        <v>3.8500011034136201E-2</v>
      </c>
      <c r="T1363" s="1257">
        <v>3.8500011034136201E-2</v>
      </c>
      <c r="U1363" s="1280">
        <v>1.9250005517068101E-2</v>
      </c>
      <c r="V1363" s="1293">
        <v>5.8555576807196299E-3</v>
      </c>
    </row>
    <row r="1364" spans="1:22" s="212" customFormat="1" ht="15.5" x14ac:dyDescent="0.35">
      <c r="A1364" s="198">
        <v>2038</v>
      </c>
      <c r="B1364" s="197" t="s">
        <v>5833</v>
      </c>
      <c r="C1364" s="197">
        <v>1994</v>
      </c>
      <c r="D1364" s="225" t="str">
        <f t="shared" si="8"/>
        <v>2038_1994</v>
      </c>
      <c r="E1364" s="1226">
        <v>5.8444989164162499E-2</v>
      </c>
      <c r="F1364" s="1257">
        <v>2.16282521087389E-2</v>
      </c>
      <c r="G1364" s="1280">
        <v>6.2329807919878397E-2</v>
      </c>
      <c r="H1364" s="1271">
        <v>0.30898739100821998</v>
      </c>
      <c r="I1364" s="1257">
        <v>0.48312832207453299</v>
      </c>
      <c r="J1364" s="1280">
        <v>9.8769419061145294E-2</v>
      </c>
      <c r="K1364" s="1271">
        <v>5.6022488474490699E-3</v>
      </c>
      <c r="L1364" s="1257">
        <v>2.0867328164157202E-3</v>
      </c>
      <c r="M1364" s="1280">
        <v>3.79440964787025E-4</v>
      </c>
      <c r="N1364" s="1271">
        <v>6.8277483585547898E-3</v>
      </c>
      <c r="O1364" s="1257">
        <v>3.0000008598028201E-3</v>
      </c>
      <c r="P1364" s="1257">
        <v>8.1762668614829698E-3</v>
      </c>
      <c r="Q1364" s="1280">
        <v>6.8277483585547898E-3</v>
      </c>
      <c r="R1364" s="1271">
        <v>3.8500011034136201E-2</v>
      </c>
      <c r="S1364" s="1257">
        <v>3.8500011034136201E-2</v>
      </c>
      <c r="T1364" s="1257">
        <v>3.8500011034136201E-2</v>
      </c>
      <c r="U1364" s="1280">
        <v>1.9250005517068101E-2</v>
      </c>
      <c r="V1364" s="1293">
        <v>5.8555576807196299E-3</v>
      </c>
    </row>
    <row r="1365" spans="1:22" s="212" customFormat="1" ht="15.5" x14ac:dyDescent="0.35">
      <c r="A1365" s="198">
        <v>2038</v>
      </c>
      <c r="B1365" s="197" t="s">
        <v>5833</v>
      </c>
      <c r="C1365" s="197">
        <v>1995</v>
      </c>
      <c r="D1365" s="225" t="str">
        <f t="shared" si="8"/>
        <v>2038_1995</v>
      </c>
      <c r="E1365" s="1226">
        <v>5.8444989164162499E-2</v>
      </c>
      <c r="F1365" s="1257">
        <v>2.16282521087389E-2</v>
      </c>
      <c r="G1365" s="1280">
        <v>6.2329807919878397E-2</v>
      </c>
      <c r="H1365" s="1271">
        <v>0.30898739100821998</v>
      </c>
      <c r="I1365" s="1257">
        <v>0.48312832207453299</v>
      </c>
      <c r="J1365" s="1280">
        <v>9.8769419061145294E-2</v>
      </c>
      <c r="K1365" s="1271">
        <v>5.6022488474490699E-3</v>
      </c>
      <c r="L1365" s="1257">
        <v>2.0867328164157202E-3</v>
      </c>
      <c r="M1365" s="1280">
        <v>3.79440964787025E-4</v>
      </c>
      <c r="N1365" s="1271">
        <v>6.8277483585547898E-3</v>
      </c>
      <c r="O1365" s="1257">
        <v>3.0000008598028201E-3</v>
      </c>
      <c r="P1365" s="1257">
        <v>8.1762668614829698E-3</v>
      </c>
      <c r="Q1365" s="1280">
        <v>6.8277483585547898E-3</v>
      </c>
      <c r="R1365" s="1271">
        <v>3.8500011034136201E-2</v>
      </c>
      <c r="S1365" s="1257">
        <v>3.8500011034136201E-2</v>
      </c>
      <c r="T1365" s="1257">
        <v>3.8500011034136201E-2</v>
      </c>
      <c r="U1365" s="1280">
        <v>1.9250005517068101E-2</v>
      </c>
      <c r="V1365" s="1293">
        <v>5.8555576807196299E-3</v>
      </c>
    </row>
    <row r="1366" spans="1:22" s="212" customFormat="1" ht="15.5" x14ac:dyDescent="0.35">
      <c r="A1366" s="198">
        <v>2038</v>
      </c>
      <c r="B1366" s="197" t="s">
        <v>5833</v>
      </c>
      <c r="C1366" s="197">
        <v>1996</v>
      </c>
      <c r="D1366" s="225" t="str">
        <f t="shared" si="8"/>
        <v>2038_1996</v>
      </c>
      <c r="E1366" s="1226">
        <v>5.8444989164162499E-2</v>
      </c>
      <c r="F1366" s="1257">
        <v>2.16282521087389E-2</v>
      </c>
      <c r="G1366" s="1280">
        <v>6.2329807919878397E-2</v>
      </c>
      <c r="H1366" s="1271">
        <v>0.30898739100821998</v>
      </c>
      <c r="I1366" s="1257">
        <v>0.48312832207453299</v>
      </c>
      <c r="J1366" s="1280">
        <v>9.8769419061145294E-2</v>
      </c>
      <c r="K1366" s="1271">
        <v>5.6022488474490699E-3</v>
      </c>
      <c r="L1366" s="1257">
        <v>2.0867328164157202E-3</v>
      </c>
      <c r="M1366" s="1280">
        <v>3.79440964787025E-4</v>
      </c>
      <c r="N1366" s="1271">
        <v>6.8277483585547898E-3</v>
      </c>
      <c r="O1366" s="1257">
        <v>3.0000008598028201E-3</v>
      </c>
      <c r="P1366" s="1257">
        <v>8.1762668614829698E-3</v>
      </c>
      <c r="Q1366" s="1280">
        <v>6.8277483585547898E-3</v>
      </c>
      <c r="R1366" s="1271">
        <v>3.8500011034136201E-2</v>
      </c>
      <c r="S1366" s="1257">
        <v>3.8500011034136201E-2</v>
      </c>
      <c r="T1366" s="1257">
        <v>3.8500011034136201E-2</v>
      </c>
      <c r="U1366" s="1280">
        <v>1.9250005517068101E-2</v>
      </c>
      <c r="V1366" s="1293">
        <v>5.8555576807196299E-3</v>
      </c>
    </row>
    <row r="1367" spans="1:22" s="212" customFormat="1" ht="15.5" x14ac:dyDescent="0.35">
      <c r="A1367" s="198">
        <v>2038</v>
      </c>
      <c r="B1367" s="197" t="s">
        <v>5833</v>
      </c>
      <c r="C1367" s="197">
        <v>1997</v>
      </c>
      <c r="D1367" s="225" t="str">
        <f t="shared" si="8"/>
        <v>2038_1997</v>
      </c>
      <c r="E1367" s="1226">
        <v>5.8444989164162499E-2</v>
      </c>
      <c r="F1367" s="1257">
        <v>2.16282521087389E-2</v>
      </c>
      <c r="G1367" s="1280">
        <v>6.2329807919878397E-2</v>
      </c>
      <c r="H1367" s="1271">
        <v>0.30898739100821998</v>
      </c>
      <c r="I1367" s="1257">
        <v>0.48312832207453299</v>
      </c>
      <c r="J1367" s="1280">
        <v>9.8769419061145294E-2</v>
      </c>
      <c r="K1367" s="1271">
        <v>5.6022488474490699E-3</v>
      </c>
      <c r="L1367" s="1257">
        <v>2.0867328164157202E-3</v>
      </c>
      <c r="M1367" s="1280">
        <v>3.79440964787025E-4</v>
      </c>
      <c r="N1367" s="1271">
        <v>6.8277483585547898E-3</v>
      </c>
      <c r="O1367" s="1257">
        <v>3.0000008598028201E-3</v>
      </c>
      <c r="P1367" s="1257">
        <v>8.1762668614829698E-3</v>
      </c>
      <c r="Q1367" s="1280">
        <v>6.8277483585547898E-3</v>
      </c>
      <c r="R1367" s="1271">
        <v>3.8500011034136201E-2</v>
      </c>
      <c r="S1367" s="1257">
        <v>3.8500011034136201E-2</v>
      </c>
      <c r="T1367" s="1257">
        <v>3.8500011034136201E-2</v>
      </c>
      <c r="U1367" s="1280">
        <v>1.9250005517068101E-2</v>
      </c>
      <c r="V1367" s="1293">
        <v>5.8555576807196299E-3</v>
      </c>
    </row>
    <row r="1368" spans="1:22" s="212" customFormat="1" ht="15.5" x14ac:dyDescent="0.35">
      <c r="A1368" s="198">
        <v>2038</v>
      </c>
      <c r="B1368" s="197" t="s">
        <v>5833</v>
      </c>
      <c r="C1368" s="197">
        <v>1998</v>
      </c>
      <c r="D1368" s="225" t="str">
        <f t="shared" si="8"/>
        <v>2038_1998</v>
      </c>
      <c r="E1368" s="1226">
        <v>5.8444989164162499E-2</v>
      </c>
      <c r="F1368" s="1257">
        <v>2.16282521087389E-2</v>
      </c>
      <c r="G1368" s="1280">
        <v>6.2329807919878397E-2</v>
      </c>
      <c r="H1368" s="1271">
        <v>0.30898739100821998</v>
      </c>
      <c r="I1368" s="1257">
        <v>0.48312832207453299</v>
      </c>
      <c r="J1368" s="1280">
        <v>9.8769419061145294E-2</v>
      </c>
      <c r="K1368" s="1271">
        <v>5.6022488474490699E-3</v>
      </c>
      <c r="L1368" s="1257">
        <v>2.0867328164157202E-3</v>
      </c>
      <c r="M1368" s="1280">
        <v>3.79440964787025E-4</v>
      </c>
      <c r="N1368" s="1271">
        <v>6.8277483585547898E-3</v>
      </c>
      <c r="O1368" s="1257">
        <v>3.0000008598028201E-3</v>
      </c>
      <c r="P1368" s="1257">
        <v>8.1762668614829698E-3</v>
      </c>
      <c r="Q1368" s="1280">
        <v>6.8277483585547898E-3</v>
      </c>
      <c r="R1368" s="1271">
        <v>3.8500011034136201E-2</v>
      </c>
      <c r="S1368" s="1257">
        <v>3.8500011034136201E-2</v>
      </c>
      <c r="T1368" s="1257">
        <v>3.8500011034136201E-2</v>
      </c>
      <c r="U1368" s="1280">
        <v>1.9250005517068101E-2</v>
      </c>
      <c r="V1368" s="1293">
        <v>5.8555576807196299E-3</v>
      </c>
    </row>
    <row r="1369" spans="1:22" s="212" customFormat="1" ht="15.5" x14ac:dyDescent="0.35">
      <c r="A1369" s="198">
        <v>2038</v>
      </c>
      <c r="B1369" s="197" t="s">
        <v>5833</v>
      </c>
      <c r="C1369" s="197">
        <v>1999</v>
      </c>
      <c r="D1369" s="225" t="str">
        <f t="shared" si="8"/>
        <v>2038_1999</v>
      </c>
      <c r="E1369" s="1226">
        <v>5.8444989164162499E-2</v>
      </c>
      <c r="F1369" s="1257">
        <v>2.16282521087389E-2</v>
      </c>
      <c r="G1369" s="1280">
        <v>6.2329807919878397E-2</v>
      </c>
      <c r="H1369" s="1271">
        <v>0.30898739100821998</v>
      </c>
      <c r="I1369" s="1257">
        <v>0.48312832207453299</v>
      </c>
      <c r="J1369" s="1280">
        <v>9.8769419061145294E-2</v>
      </c>
      <c r="K1369" s="1271">
        <v>5.6022488474490699E-3</v>
      </c>
      <c r="L1369" s="1257">
        <v>2.0867328164157202E-3</v>
      </c>
      <c r="M1369" s="1280">
        <v>3.79440964787025E-4</v>
      </c>
      <c r="N1369" s="1271">
        <v>6.8277483585547898E-3</v>
      </c>
      <c r="O1369" s="1257">
        <v>3.0000008598028201E-3</v>
      </c>
      <c r="P1369" s="1257">
        <v>8.1762668614829698E-3</v>
      </c>
      <c r="Q1369" s="1280">
        <v>6.8277483585547898E-3</v>
      </c>
      <c r="R1369" s="1271">
        <v>3.8500011034136201E-2</v>
      </c>
      <c r="S1369" s="1257">
        <v>3.8500011034136201E-2</v>
      </c>
      <c r="T1369" s="1257">
        <v>3.8500011034136201E-2</v>
      </c>
      <c r="U1369" s="1280">
        <v>1.9250005517068101E-2</v>
      </c>
      <c r="V1369" s="1293">
        <v>5.8555576807196299E-3</v>
      </c>
    </row>
    <row r="1370" spans="1:22" s="212" customFormat="1" ht="15.5" x14ac:dyDescent="0.35">
      <c r="A1370" s="198">
        <v>2038</v>
      </c>
      <c r="B1370" s="197" t="s">
        <v>5833</v>
      </c>
      <c r="C1370" s="197">
        <v>2000</v>
      </c>
      <c r="D1370" s="225" t="str">
        <f t="shared" si="8"/>
        <v>2038_2000</v>
      </c>
      <c r="E1370" s="1226">
        <v>5.8444989164162499E-2</v>
      </c>
      <c r="F1370" s="1257">
        <v>2.16282521087389E-2</v>
      </c>
      <c r="G1370" s="1280">
        <v>6.2329807919878397E-2</v>
      </c>
      <c r="H1370" s="1271">
        <v>0.30898739100821998</v>
      </c>
      <c r="I1370" s="1257">
        <v>0.48312832207453299</v>
      </c>
      <c r="J1370" s="1280">
        <v>9.8769419061145294E-2</v>
      </c>
      <c r="K1370" s="1271">
        <v>5.6022488474490699E-3</v>
      </c>
      <c r="L1370" s="1257">
        <v>2.0867328164157202E-3</v>
      </c>
      <c r="M1370" s="1280">
        <v>3.79440964787025E-4</v>
      </c>
      <c r="N1370" s="1271">
        <v>6.8277483585547898E-3</v>
      </c>
      <c r="O1370" s="1257">
        <v>3.0000008598028201E-3</v>
      </c>
      <c r="P1370" s="1257">
        <v>8.1762668614829698E-3</v>
      </c>
      <c r="Q1370" s="1280">
        <v>6.8277483585547898E-3</v>
      </c>
      <c r="R1370" s="1271">
        <v>3.8500011034136201E-2</v>
      </c>
      <c r="S1370" s="1257">
        <v>3.8500011034136201E-2</v>
      </c>
      <c r="T1370" s="1257">
        <v>3.8500011034136201E-2</v>
      </c>
      <c r="U1370" s="1280">
        <v>1.9250005517068101E-2</v>
      </c>
      <c r="V1370" s="1293">
        <v>5.8555576807196299E-3</v>
      </c>
    </row>
    <row r="1371" spans="1:22" s="212" customFormat="1" ht="15.5" x14ac:dyDescent="0.35">
      <c r="A1371" s="198">
        <v>2038</v>
      </c>
      <c r="B1371" s="197" t="s">
        <v>5833</v>
      </c>
      <c r="C1371" s="197">
        <v>2001</v>
      </c>
      <c r="D1371" s="225" t="str">
        <f t="shared" si="8"/>
        <v>2038_2001</v>
      </c>
      <c r="E1371" s="1226">
        <v>5.8444989164162499E-2</v>
      </c>
      <c r="F1371" s="1257">
        <v>2.16282521087389E-2</v>
      </c>
      <c r="G1371" s="1280">
        <v>6.2329807919878397E-2</v>
      </c>
      <c r="H1371" s="1271">
        <v>0.30898739100821998</v>
      </c>
      <c r="I1371" s="1257">
        <v>0.48312832207453299</v>
      </c>
      <c r="J1371" s="1280">
        <v>9.8769419061145294E-2</v>
      </c>
      <c r="K1371" s="1271">
        <v>5.6022488474490699E-3</v>
      </c>
      <c r="L1371" s="1257">
        <v>2.0867328164157202E-3</v>
      </c>
      <c r="M1371" s="1280">
        <v>3.79440964787025E-4</v>
      </c>
      <c r="N1371" s="1271">
        <v>6.8277483585547898E-3</v>
      </c>
      <c r="O1371" s="1257">
        <v>3.0000008598028201E-3</v>
      </c>
      <c r="P1371" s="1257">
        <v>8.1762668614829698E-3</v>
      </c>
      <c r="Q1371" s="1280">
        <v>6.8277483585547898E-3</v>
      </c>
      <c r="R1371" s="1271">
        <v>3.8500011034136201E-2</v>
      </c>
      <c r="S1371" s="1257">
        <v>3.8500011034136201E-2</v>
      </c>
      <c r="T1371" s="1257">
        <v>3.8500011034136201E-2</v>
      </c>
      <c r="U1371" s="1280">
        <v>1.9250005517068101E-2</v>
      </c>
      <c r="V1371" s="1293">
        <v>5.8555576807196299E-3</v>
      </c>
    </row>
    <row r="1372" spans="1:22" s="212" customFormat="1" ht="15.5" x14ac:dyDescent="0.35">
      <c r="A1372" s="198">
        <v>2038</v>
      </c>
      <c r="B1372" s="197" t="s">
        <v>5833</v>
      </c>
      <c r="C1372" s="197">
        <v>2002</v>
      </c>
      <c r="D1372" s="225" t="str">
        <f t="shared" si="8"/>
        <v>2038_2002</v>
      </c>
      <c r="E1372" s="1226">
        <v>5.8444989164162499E-2</v>
      </c>
      <c r="F1372" s="1257">
        <v>2.16282521087389E-2</v>
      </c>
      <c r="G1372" s="1280">
        <v>6.2329807919878397E-2</v>
      </c>
      <c r="H1372" s="1271">
        <v>0.30898739100821998</v>
      </c>
      <c r="I1372" s="1257">
        <v>0.48312832207453299</v>
      </c>
      <c r="J1372" s="1280">
        <v>9.8769419061145294E-2</v>
      </c>
      <c r="K1372" s="1271">
        <v>5.6022488474490699E-3</v>
      </c>
      <c r="L1372" s="1257">
        <v>2.0867328164157202E-3</v>
      </c>
      <c r="M1372" s="1280">
        <v>3.79440964787025E-4</v>
      </c>
      <c r="N1372" s="1271">
        <v>6.8277483585547898E-3</v>
      </c>
      <c r="O1372" s="1257">
        <v>3.0000008598028201E-3</v>
      </c>
      <c r="P1372" s="1257">
        <v>8.1762668614829698E-3</v>
      </c>
      <c r="Q1372" s="1280">
        <v>6.8277483585547898E-3</v>
      </c>
      <c r="R1372" s="1271">
        <v>3.8500011034136201E-2</v>
      </c>
      <c r="S1372" s="1257">
        <v>3.8500011034136201E-2</v>
      </c>
      <c r="T1372" s="1257">
        <v>3.8500011034136201E-2</v>
      </c>
      <c r="U1372" s="1280">
        <v>1.9250005517068101E-2</v>
      </c>
      <c r="V1372" s="1293">
        <v>5.8555576807196299E-3</v>
      </c>
    </row>
    <row r="1373" spans="1:22" s="212" customFormat="1" ht="15.5" x14ac:dyDescent="0.35">
      <c r="A1373" s="198">
        <v>2038</v>
      </c>
      <c r="B1373" s="197" t="s">
        <v>5833</v>
      </c>
      <c r="C1373" s="197">
        <v>2003</v>
      </c>
      <c r="D1373" s="225" t="str">
        <f t="shared" si="8"/>
        <v>2038_2003</v>
      </c>
      <c r="E1373" s="1226">
        <v>5.8444989164162499E-2</v>
      </c>
      <c r="F1373" s="1257">
        <v>2.16282521087389E-2</v>
      </c>
      <c r="G1373" s="1280">
        <v>6.2329807919878397E-2</v>
      </c>
      <c r="H1373" s="1271">
        <v>0.30898739100821998</v>
      </c>
      <c r="I1373" s="1257">
        <v>0.48312832207453299</v>
      </c>
      <c r="J1373" s="1280">
        <v>9.8769419061145294E-2</v>
      </c>
      <c r="K1373" s="1271">
        <v>5.6022488474490699E-3</v>
      </c>
      <c r="L1373" s="1257">
        <v>2.0867328164157202E-3</v>
      </c>
      <c r="M1373" s="1280">
        <v>3.79440964787025E-4</v>
      </c>
      <c r="N1373" s="1271">
        <v>6.8277483585547898E-3</v>
      </c>
      <c r="O1373" s="1257">
        <v>3.0000008598028201E-3</v>
      </c>
      <c r="P1373" s="1257">
        <v>8.1762668614829698E-3</v>
      </c>
      <c r="Q1373" s="1280">
        <v>6.8277483585547898E-3</v>
      </c>
      <c r="R1373" s="1271">
        <v>3.8500011034136201E-2</v>
      </c>
      <c r="S1373" s="1257">
        <v>3.8500011034136201E-2</v>
      </c>
      <c r="T1373" s="1257">
        <v>3.8500011034136201E-2</v>
      </c>
      <c r="U1373" s="1280">
        <v>1.9250005517068101E-2</v>
      </c>
      <c r="V1373" s="1293">
        <v>5.8555576807196299E-3</v>
      </c>
    </row>
    <row r="1374" spans="1:22" s="212" customFormat="1" ht="15.5" x14ac:dyDescent="0.35">
      <c r="A1374" s="198">
        <v>2038</v>
      </c>
      <c r="B1374" s="197" t="s">
        <v>5833</v>
      </c>
      <c r="C1374" s="197">
        <v>2004</v>
      </c>
      <c r="D1374" s="225" t="str">
        <f t="shared" si="8"/>
        <v>2038_2004</v>
      </c>
      <c r="E1374" s="1226">
        <v>5.8444989164162499E-2</v>
      </c>
      <c r="F1374" s="1257">
        <v>2.16282521087389E-2</v>
      </c>
      <c r="G1374" s="1280">
        <v>6.2329807919878397E-2</v>
      </c>
      <c r="H1374" s="1271">
        <v>0.30898739100821998</v>
      </c>
      <c r="I1374" s="1257">
        <v>0.48312832207453299</v>
      </c>
      <c r="J1374" s="1280">
        <v>9.8769419061145294E-2</v>
      </c>
      <c r="K1374" s="1271">
        <v>5.6022488474490699E-3</v>
      </c>
      <c r="L1374" s="1257">
        <v>2.0867328164157202E-3</v>
      </c>
      <c r="M1374" s="1280">
        <v>3.79440964787025E-4</v>
      </c>
      <c r="N1374" s="1271">
        <v>6.8277483585547898E-3</v>
      </c>
      <c r="O1374" s="1257">
        <v>3.0000008598028201E-3</v>
      </c>
      <c r="P1374" s="1257">
        <v>8.1762668614829698E-3</v>
      </c>
      <c r="Q1374" s="1280">
        <v>6.8277483585547898E-3</v>
      </c>
      <c r="R1374" s="1271">
        <v>3.8500011034136201E-2</v>
      </c>
      <c r="S1374" s="1257">
        <v>3.8500011034136201E-2</v>
      </c>
      <c r="T1374" s="1257">
        <v>3.8500011034136201E-2</v>
      </c>
      <c r="U1374" s="1280">
        <v>1.9250005517068101E-2</v>
      </c>
      <c r="V1374" s="1293">
        <v>5.8555576807196299E-3</v>
      </c>
    </row>
    <row r="1375" spans="1:22" s="212" customFormat="1" ht="15.5" x14ac:dyDescent="0.35">
      <c r="A1375" s="198">
        <v>2038</v>
      </c>
      <c r="B1375" s="197" t="s">
        <v>5833</v>
      </c>
      <c r="C1375" s="197">
        <v>2005</v>
      </c>
      <c r="D1375" s="225" t="str">
        <f t="shared" si="8"/>
        <v>2038_2005</v>
      </c>
      <c r="E1375" s="1226">
        <v>5.8444989164162499E-2</v>
      </c>
      <c r="F1375" s="1257">
        <v>2.16282521087389E-2</v>
      </c>
      <c r="G1375" s="1280">
        <v>6.2329807919878397E-2</v>
      </c>
      <c r="H1375" s="1271">
        <v>0.30898739100821998</v>
      </c>
      <c r="I1375" s="1257">
        <v>0.48312832207453299</v>
      </c>
      <c r="J1375" s="1280">
        <v>9.8769419061145294E-2</v>
      </c>
      <c r="K1375" s="1271">
        <v>5.6022488474490699E-3</v>
      </c>
      <c r="L1375" s="1257">
        <v>2.0867328164157202E-3</v>
      </c>
      <c r="M1375" s="1280">
        <v>3.79440964787025E-4</v>
      </c>
      <c r="N1375" s="1271">
        <v>6.8277483585547898E-3</v>
      </c>
      <c r="O1375" s="1257">
        <v>3.0000008598028201E-3</v>
      </c>
      <c r="P1375" s="1257">
        <v>8.1762668614829698E-3</v>
      </c>
      <c r="Q1375" s="1280">
        <v>6.8277483585547898E-3</v>
      </c>
      <c r="R1375" s="1271">
        <v>3.8500011034136201E-2</v>
      </c>
      <c r="S1375" s="1257">
        <v>3.8500011034136201E-2</v>
      </c>
      <c r="T1375" s="1257">
        <v>3.8500011034136201E-2</v>
      </c>
      <c r="U1375" s="1280">
        <v>1.9250005517068101E-2</v>
      </c>
      <c r="V1375" s="1293">
        <v>5.8555576807196299E-3</v>
      </c>
    </row>
    <row r="1376" spans="1:22" s="212" customFormat="1" ht="15.5" x14ac:dyDescent="0.35">
      <c r="A1376" s="198">
        <v>2038</v>
      </c>
      <c r="B1376" s="197" t="s">
        <v>5833</v>
      </c>
      <c r="C1376" s="197">
        <v>2006</v>
      </c>
      <c r="D1376" s="225" t="str">
        <f t="shared" si="8"/>
        <v>2038_2006</v>
      </c>
      <c r="E1376" s="1226">
        <v>5.8444989164162499E-2</v>
      </c>
      <c r="F1376" s="1257">
        <v>2.16282521087389E-2</v>
      </c>
      <c r="G1376" s="1280">
        <v>6.2329807919878397E-2</v>
      </c>
      <c r="H1376" s="1271">
        <v>0.30898739100821998</v>
      </c>
      <c r="I1376" s="1257">
        <v>0.48312832207453299</v>
      </c>
      <c r="J1376" s="1280">
        <v>9.8769419061145294E-2</v>
      </c>
      <c r="K1376" s="1271">
        <v>5.6022488474490699E-3</v>
      </c>
      <c r="L1376" s="1257">
        <v>2.0867328164157202E-3</v>
      </c>
      <c r="M1376" s="1280">
        <v>3.79440964787025E-4</v>
      </c>
      <c r="N1376" s="1271">
        <v>6.8277483585547898E-3</v>
      </c>
      <c r="O1376" s="1257">
        <v>3.0000008598028201E-3</v>
      </c>
      <c r="P1376" s="1257">
        <v>8.1762668614829698E-3</v>
      </c>
      <c r="Q1376" s="1280">
        <v>6.8277483585547898E-3</v>
      </c>
      <c r="R1376" s="1271">
        <v>3.8500011034136201E-2</v>
      </c>
      <c r="S1376" s="1257">
        <v>3.8500011034136201E-2</v>
      </c>
      <c r="T1376" s="1257">
        <v>3.8500011034136201E-2</v>
      </c>
      <c r="U1376" s="1280">
        <v>1.9250005517068101E-2</v>
      </c>
      <c r="V1376" s="1293">
        <v>5.8555576807196299E-3</v>
      </c>
    </row>
    <row r="1377" spans="1:22" s="212" customFormat="1" ht="15.5" x14ac:dyDescent="0.35">
      <c r="A1377" s="198">
        <v>2038</v>
      </c>
      <c r="B1377" s="197" t="s">
        <v>5833</v>
      </c>
      <c r="C1377" s="197">
        <v>2007</v>
      </c>
      <c r="D1377" s="225" t="str">
        <f t="shared" si="8"/>
        <v>2038_2007</v>
      </c>
      <c r="E1377" s="1226">
        <v>5.8444989164162499E-2</v>
      </c>
      <c r="F1377" s="1257">
        <v>2.16282521087389E-2</v>
      </c>
      <c r="G1377" s="1280">
        <v>6.2329807919878397E-2</v>
      </c>
      <c r="H1377" s="1271">
        <v>0.30898739100821998</v>
      </c>
      <c r="I1377" s="1257">
        <v>0.48312832207453299</v>
      </c>
      <c r="J1377" s="1280">
        <v>9.8769419061145294E-2</v>
      </c>
      <c r="K1377" s="1271">
        <v>5.6022488474490699E-3</v>
      </c>
      <c r="L1377" s="1257">
        <v>2.0867328164157202E-3</v>
      </c>
      <c r="M1377" s="1280">
        <v>3.79440964787025E-4</v>
      </c>
      <c r="N1377" s="1271">
        <v>6.8277483585547898E-3</v>
      </c>
      <c r="O1377" s="1257">
        <v>3.0000008598028201E-3</v>
      </c>
      <c r="P1377" s="1257">
        <v>8.1762668614829698E-3</v>
      </c>
      <c r="Q1377" s="1280">
        <v>6.8277483585547898E-3</v>
      </c>
      <c r="R1377" s="1271">
        <v>3.8500011034136201E-2</v>
      </c>
      <c r="S1377" s="1257">
        <v>3.8500011034136201E-2</v>
      </c>
      <c r="T1377" s="1257">
        <v>3.8500011034136201E-2</v>
      </c>
      <c r="U1377" s="1280">
        <v>1.9250005517068101E-2</v>
      </c>
      <c r="V1377" s="1293">
        <v>5.8555576807196299E-3</v>
      </c>
    </row>
    <row r="1378" spans="1:22" s="212" customFormat="1" ht="15.5" x14ac:dyDescent="0.35">
      <c r="A1378" s="198">
        <v>2038</v>
      </c>
      <c r="B1378" s="197" t="s">
        <v>5833</v>
      </c>
      <c r="C1378" s="197">
        <v>2008</v>
      </c>
      <c r="D1378" s="225" t="str">
        <f t="shared" si="8"/>
        <v>2038_2008</v>
      </c>
      <c r="E1378" s="1226">
        <v>5.8444989164162499E-2</v>
      </c>
      <c r="F1378" s="1257">
        <v>2.16282521087389E-2</v>
      </c>
      <c r="G1378" s="1280">
        <v>6.2329807919878397E-2</v>
      </c>
      <c r="H1378" s="1271">
        <v>0.30898739100821998</v>
      </c>
      <c r="I1378" s="1257">
        <v>0.48312832207453299</v>
      </c>
      <c r="J1378" s="1280">
        <v>9.8769419061145294E-2</v>
      </c>
      <c r="K1378" s="1271">
        <v>5.6022488474490699E-3</v>
      </c>
      <c r="L1378" s="1257">
        <v>2.0867328164157202E-3</v>
      </c>
      <c r="M1378" s="1280">
        <v>3.79440964787025E-4</v>
      </c>
      <c r="N1378" s="1271">
        <v>6.8277483585547898E-3</v>
      </c>
      <c r="O1378" s="1257">
        <v>3.0000008598028201E-3</v>
      </c>
      <c r="P1378" s="1257">
        <v>8.1762668614829698E-3</v>
      </c>
      <c r="Q1378" s="1280">
        <v>6.8277483585547898E-3</v>
      </c>
      <c r="R1378" s="1271">
        <v>3.8500011034136201E-2</v>
      </c>
      <c r="S1378" s="1257">
        <v>3.8500011034136201E-2</v>
      </c>
      <c r="T1378" s="1257">
        <v>3.8500011034136201E-2</v>
      </c>
      <c r="U1378" s="1280">
        <v>1.9250005517068101E-2</v>
      </c>
      <c r="V1378" s="1293">
        <v>5.8555576807196299E-3</v>
      </c>
    </row>
    <row r="1379" spans="1:22" s="212" customFormat="1" ht="15.5" x14ac:dyDescent="0.35">
      <c r="A1379" s="198">
        <v>2038</v>
      </c>
      <c r="B1379" s="197" t="s">
        <v>5833</v>
      </c>
      <c r="C1379" s="197">
        <v>2009</v>
      </c>
      <c r="D1379" s="225" t="str">
        <f t="shared" si="8"/>
        <v>2038_2009</v>
      </c>
      <c r="E1379" s="1226">
        <v>5.8444989164162499E-2</v>
      </c>
      <c r="F1379" s="1257">
        <v>2.16282521087389E-2</v>
      </c>
      <c r="G1379" s="1280">
        <v>6.2329807919878397E-2</v>
      </c>
      <c r="H1379" s="1271">
        <v>0.30898739100821998</v>
      </c>
      <c r="I1379" s="1257">
        <v>0.48312832207453299</v>
      </c>
      <c r="J1379" s="1280">
        <v>9.8769419061145294E-2</v>
      </c>
      <c r="K1379" s="1271">
        <v>5.6022488474490699E-3</v>
      </c>
      <c r="L1379" s="1257">
        <v>2.0867328164157202E-3</v>
      </c>
      <c r="M1379" s="1280">
        <v>3.79440964787025E-4</v>
      </c>
      <c r="N1379" s="1271">
        <v>6.8277483585547898E-3</v>
      </c>
      <c r="O1379" s="1257">
        <v>3.0000008598028201E-3</v>
      </c>
      <c r="P1379" s="1257">
        <v>8.1762668614829698E-3</v>
      </c>
      <c r="Q1379" s="1280">
        <v>6.8277483585547898E-3</v>
      </c>
      <c r="R1379" s="1271">
        <v>3.8500011034136201E-2</v>
      </c>
      <c r="S1379" s="1257">
        <v>3.8500011034136201E-2</v>
      </c>
      <c r="T1379" s="1257">
        <v>3.8500011034136201E-2</v>
      </c>
      <c r="U1379" s="1280">
        <v>1.9250005517068101E-2</v>
      </c>
      <c r="V1379" s="1293">
        <v>5.8555576807196299E-3</v>
      </c>
    </row>
    <row r="1380" spans="1:22" s="212" customFormat="1" ht="15.5" x14ac:dyDescent="0.35">
      <c r="A1380" s="198">
        <v>2038</v>
      </c>
      <c r="B1380" s="197" t="s">
        <v>5833</v>
      </c>
      <c r="C1380" s="197">
        <v>2010</v>
      </c>
      <c r="D1380" s="225" t="str">
        <f t="shared" si="8"/>
        <v>2038_2010</v>
      </c>
      <c r="E1380" s="1226">
        <v>5.8444989164162499E-2</v>
      </c>
      <c r="F1380" s="1257">
        <v>2.16282521087389E-2</v>
      </c>
      <c r="G1380" s="1280">
        <v>6.2329807919878397E-2</v>
      </c>
      <c r="H1380" s="1271">
        <v>0.30898739100821998</v>
      </c>
      <c r="I1380" s="1257">
        <v>0.48312832207453299</v>
      </c>
      <c r="J1380" s="1280">
        <v>9.8769419061145294E-2</v>
      </c>
      <c r="K1380" s="1271">
        <v>5.6022488474490699E-3</v>
      </c>
      <c r="L1380" s="1257">
        <v>2.0867328164157202E-3</v>
      </c>
      <c r="M1380" s="1280">
        <v>3.79440964787025E-4</v>
      </c>
      <c r="N1380" s="1271">
        <v>6.8277483585547898E-3</v>
      </c>
      <c r="O1380" s="1257">
        <v>3.0000008598028201E-3</v>
      </c>
      <c r="P1380" s="1257">
        <v>8.1762668614829698E-3</v>
      </c>
      <c r="Q1380" s="1280">
        <v>6.8277483585547898E-3</v>
      </c>
      <c r="R1380" s="1271">
        <v>3.8500011034136201E-2</v>
      </c>
      <c r="S1380" s="1257">
        <v>3.8500011034136201E-2</v>
      </c>
      <c r="T1380" s="1257">
        <v>3.8500011034136201E-2</v>
      </c>
      <c r="U1380" s="1280">
        <v>1.9250005517068101E-2</v>
      </c>
      <c r="V1380" s="1293">
        <v>5.8555576807196299E-3</v>
      </c>
    </row>
    <row r="1381" spans="1:22" s="212" customFormat="1" ht="15.5" x14ac:dyDescent="0.35">
      <c r="A1381" s="198">
        <v>2038</v>
      </c>
      <c r="B1381" s="197" t="s">
        <v>5833</v>
      </c>
      <c r="C1381" s="197">
        <v>2011</v>
      </c>
      <c r="D1381" s="225" t="str">
        <f t="shared" si="8"/>
        <v>2038_2011</v>
      </c>
      <c r="E1381" s="1226">
        <v>5.8444989164162499E-2</v>
      </c>
      <c r="F1381" s="1257">
        <v>2.16282521087389E-2</v>
      </c>
      <c r="G1381" s="1280">
        <v>6.2329807919878397E-2</v>
      </c>
      <c r="H1381" s="1271">
        <v>0.30898739100821998</v>
      </c>
      <c r="I1381" s="1257">
        <v>0.48312832207453299</v>
      </c>
      <c r="J1381" s="1280">
        <v>9.8769419061145294E-2</v>
      </c>
      <c r="K1381" s="1271">
        <v>5.6022488474490699E-3</v>
      </c>
      <c r="L1381" s="1257">
        <v>2.0867328164157202E-3</v>
      </c>
      <c r="M1381" s="1280">
        <v>3.79440964787025E-4</v>
      </c>
      <c r="N1381" s="1271">
        <v>6.8277483585547898E-3</v>
      </c>
      <c r="O1381" s="1257">
        <v>3.0000008598028201E-3</v>
      </c>
      <c r="P1381" s="1257">
        <v>8.1762668614829698E-3</v>
      </c>
      <c r="Q1381" s="1280">
        <v>6.8277483585547898E-3</v>
      </c>
      <c r="R1381" s="1271">
        <v>3.8500011034136201E-2</v>
      </c>
      <c r="S1381" s="1257">
        <v>3.8500011034136201E-2</v>
      </c>
      <c r="T1381" s="1257">
        <v>3.8500011034136201E-2</v>
      </c>
      <c r="U1381" s="1280">
        <v>1.9250005517068101E-2</v>
      </c>
      <c r="V1381" s="1293">
        <v>5.8555576807196299E-3</v>
      </c>
    </row>
    <row r="1382" spans="1:22" s="212" customFormat="1" ht="15.5" x14ac:dyDescent="0.35">
      <c r="A1382" s="198">
        <v>2038</v>
      </c>
      <c r="B1382" s="197" t="s">
        <v>5833</v>
      </c>
      <c r="C1382" s="197">
        <v>2012</v>
      </c>
      <c r="D1382" s="225" t="str">
        <f t="shared" si="8"/>
        <v>2038_2012</v>
      </c>
      <c r="E1382" s="1226">
        <v>5.8444989164162499E-2</v>
      </c>
      <c r="F1382" s="1257">
        <v>2.16282521087389E-2</v>
      </c>
      <c r="G1382" s="1280">
        <v>6.2329807919878397E-2</v>
      </c>
      <c r="H1382" s="1271">
        <v>0.30898739100821998</v>
      </c>
      <c r="I1382" s="1257">
        <v>0.48312832207453299</v>
      </c>
      <c r="J1382" s="1280">
        <v>9.8769419061145294E-2</v>
      </c>
      <c r="K1382" s="1271">
        <v>5.6022488474490699E-3</v>
      </c>
      <c r="L1382" s="1257">
        <v>2.0867328164157202E-3</v>
      </c>
      <c r="M1382" s="1280">
        <v>3.79440964787025E-4</v>
      </c>
      <c r="N1382" s="1271">
        <v>6.8277483585547898E-3</v>
      </c>
      <c r="O1382" s="1257">
        <v>3.0000008598028201E-3</v>
      </c>
      <c r="P1382" s="1257">
        <v>8.1762668614829698E-3</v>
      </c>
      <c r="Q1382" s="1280">
        <v>6.8277483585547898E-3</v>
      </c>
      <c r="R1382" s="1271">
        <v>3.8500011034136201E-2</v>
      </c>
      <c r="S1382" s="1257">
        <v>3.8500011034136201E-2</v>
      </c>
      <c r="T1382" s="1257">
        <v>3.8500011034136201E-2</v>
      </c>
      <c r="U1382" s="1280">
        <v>1.9250005517068101E-2</v>
      </c>
      <c r="V1382" s="1293">
        <v>5.8555576807196299E-3</v>
      </c>
    </row>
    <row r="1383" spans="1:22" s="212" customFormat="1" ht="15.5" x14ac:dyDescent="0.35">
      <c r="A1383" s="198">
        <v>2038</v>
      </c>
      <c r="B1383" s="197" t="s">
        <v>5833</v>
      </c>
      <c r="C1383" s="197">
        <v>2013</v>
      </c>
      <c r="D1383" s="225" t="str">
        <f t="shared" si="8"/>
        <v>2038_2013</v>
      </c>
      <c r="E1383" s="1226">
        <v>5.8444989164162499E-2</v>
      </c>
      <c r="F1383" s="1257">
        <v>2.16282521087389E-2</v>
      </c>
      <c r="G1383" s="1280">
        <v>6.2329807919878397E-2</v>
      </c>
      <c r="H1383" s="1271">
        <v>0.30898739100821998</v>
      </c>
      <c r="I1383" s="1257">
        <v>0.48312832207453299</v>
      </c>
      <c r="J1383" s="1280">
        <v>9.8769419061145294E-2</v>
      </c>
      <c r="K1383" s="1271">
        <v>5.6022488474490699E-3</v>
      </c>
      <c r="L1383" s="1257">
        <v>2.0867328164157202E-3</v>
      </c>
      <c r="M1383" s="1280">
        <v>3.79440964787025E-4</v>
      </c>
      <c r="N1383" s="1271">
        <v>6.8277483585547898E-3</v>
      </c>
      <c r="O1383" s="1257">
        <v>3.0000008598028201E-3</v>
      </c>
      <c r="P1383" s="1257">
        <v>8.1762668614829698E-3</v>
      </c>
      <c r="Q1383" s="1280">
        <v>6.8277483585547898E-3</v>
      </c>
      <c r="R1383" s="1271">
        <v>3.8500011034136201E-2</v>
      </c>
      <c r="S1383" s="1257">
        <v>3.8500011034136201E-2</v>
      </c>
      <c r="T1383" s="1257">
        <v>3.8500011034136201E-2</v>
      </c>
      <c r="U1383" s="1280">
        <v>1.9250005517068101E-2</v>
      </c>
      <c r="V1383" s="1293">
        <v>5.8555576807196299E-3</v>
      </c>
    </row>
    <row r="1384" spans="1:22" s="212" customFormat="1" ht="15.5" x14ac:dyDescent="0.35">
      <c r="A1384" s="198">
        <v>2038</v>
      </c>
      <c r="B1384" s="197" t="s">
        <v>5833</v>
      </c>
      <c r="C1384" s="197">
        <v>2014</v>
      </c>
      <c r="D1384" s="225" t="str">
        <f t="shared" si="8"/>
        <v>2038_2014</v>
      </c>
      <c r="E1384" s="1226">
        <v>5.8444989164162499E-2</v>
      </c>
      <c r="F1384" s="1257">
        <v>2.16282521087389E-2</v>
      </c>
      <c r="G1384" s="1280">
        <v>6.2329807919878397E-2</v>
      </c>
      <c r="H1384" s="1271">
        <v>0.30898739100821998</v>
      </c>
      <c r="I1384" s="1257">
        <v>0.48312832207453299</v>
      </c>
      <c r="J1384" s="1280">
        <v>9.8769419061145294E-2</v>
      </c>
      <c r="K1384" s="1271">
        <v>5.6022488474490699E-3</v>
      </c>
      <c r="L1384" s="1257">
        <v>2.0867328164157202E-3</v>
      </c>
      <c r="M1384" s="1280">
        <v>3.79440964787025E-4</v>
      </c>
      <c r="N1384" s="1271">
        <v>6.8277483585547898E-3</v>
      </c>
      <c r="O1384" s="1257">
        <v>3.0000008598028201E-3</v>
      </c>
      <c r="P1384" s="1257">
        <v>8.1762668614829698E-3</v>
      </c>
      <c r="Q1384" s="1280">
        <v>6.8277483585547898E-3</v>
      </c>
      <c r="R1384" s="1271">
        <v>3.8500011034136201E-2</v>
      </c>
      <c r="S1384" s="1257">
        <v>3.8500011034136201E-2</v>
      </c>
      <c r="T1384" s="1257">
        <v>3.8500011034136201E-2</v>
      </c>
      <c r="U1384" s="1280">
        <v>1.9250005517068101E-2</v>
      </c>
      <c r="V1384" s="1293">
        <v>5.8555576807196299E-3</v>
      </c>
    </row>
    <row r="1385" spans="1:22" s="212" customFormat="1" ht="15.5" x14ac:dyDescent="0.35">
      <c r="A1385" s="198">
        <v>2038</v>
      </c>
      <c r="B1385" s="197" t="s">
        <v>5833</v>
      </c>
      <c r="C1385" s="197">
        <v>2015</v>
      </c>
      <c r="D1385" s="225" t="str">
        <f t="shared" si="8"/>
        <v>2038_2015</v>
      </c>
      <c r="E1385" s="1226">
        <v>5.8444989164162499E-2</v>
      </c>
      <c r="F1385" s="1257">
        <v>2.16282521087389E-2</v>
      </c>
      <c r="G1385" s="1280">
        <v>6.2329807919878397E-2</v>
      </c>
      <c r="H1385" s="1271">
        <v>0.30898739100821998</v>
      </c>
      <c r="I1385" s="1257">
        <v>0.48312832207453299</v>
      </c>
      <c r="J1385" s="1280">
        <v>9.8769419061145294E-2</v>
      </c>
      <c r="K1385" s="1271">
        <v>5.6022488474490699E-3</v>
      </c>
      <c r="L1385" s="1257">
        <v>2.0867328164157202E-3</v>
      </c>
      <c r="M1385" s="1280">
        <v>3.79440964787025E-4</v>
      </c>
      <c r="N1385" s="1271">
        <v>6.8277483585547898E-3</v>
      </c>
      <c r="O1385" s="1257">
        <v>3.0000008598028201E-3</v>
      </c>
      <c r="P1385" s="1257">
        <v>8.1762668614829698E-3</v>
      </c>
      <c r="Q1385" s="1280">
        <v>6.8277483585547898E-3</v>
      </c>
      <c r="R1385" s="1271">
        <v>3.8500011034136201E-2</v>
      </c>
      <c r="S1385" s="1257">
        <v>3.8500011034136201E-2</v>
      </c>
      <c r="T1385" s="1257">
        <v>3.8500011034136201E-2</v>
      </c>
      <c r="U1385" s="1280">
        <v>1.9250005517068101E-2</v>
      </c>
      <c r="V1385" s="1293">
        <v>5.8555576807196299E-3</v>
      </c>
    </row>
    <row r="1386" spans="1:22" s="212" customFormat="1" ht="15.5" x14ac:dyDescent="0.35">
      <c r="A1386" s="198">
        <v>2038</v>
      </c>
      <c r="B1386" s="197" t="s">
        <v>5833</v>
      </c>
      <c r="C1386" s="197">
        <v>2016</v>
      </c>
      <c r="D1386" s="225" t="str">
        <f t="shared" si="8"/>
        <v>2038_2016</v>
      </c>
      <c r="E1386" s="1226">
        <v>5.8444989164162499E-2</v>
      </c>
      <c r="F1386" s="1257">
        <v>2.16282521087389E-2</v>
      </c>
      <c r="G1386" s="1280">
        <v>6.2329807919878397E-2</v>
      </c>
      <c r="H1386" s="1271">
        <v>0.30898739100821998</v>
      </c>
      <c r="I1386" s="1257">
        <v>0.48312832207453299</v>
      </c>
      <c r="J1386" s="1280">
        <v>9.8769419061145294E-2</v>
      </c>
      <c r="K1386" s="1271">
        <v>5.6022488474490699E-3</v>
      </c>
      <c r="L1386" s="1257">
        <v>2.0867328164157202E-3</v>
      </c>
      <c r="M1386" s="1280">
        <v>3.79440964787025E-4</v>
      </c>
      <c r="N1386" s="1271">
        <v>6.8277483585547898E-3</v>
      </c>
      <c r="O1386" s="1257">
        <v>3.0000008598028201E-3</v>
      </c>
      <c r="P1386" s="1257">
        <v>8.1762668614829698E-3</v>
      </c>
      <c r="Q1386" s="1280">
        <v>6.8277483585547898E-3</v>
      </c>
      <c r="R1386" s="1271">
        <v>3.8500011034136201E-2</v>
      </c>
      <c r="S1386" s="1257">
        <v>3.8500011034136201E-2</v>
      </c>
      <c r="T1386" s="1257">
        <v>3.8500011034136201E-2</v>
      </c>
      <c r="U1386" s="1280">
        <v>1.9250005517068101E-2</v>
      </c>
      <c r="V1386" s="1293">
        <v>5.8555576807196299E-3</v>
      </c>
    </row>
    <row r="1387" spans="1:22" s="212" customFormat="1" ht="15.5" x14ac:dyDescent="0.35">
      <c r="A1387" s="198">
        <v>2038</v>
      </c>
      <c r="B1387" s="197" t="s">
        <v>5833</v>
      </c>
      <c r="C1387" s="197">
        <v>2017</v>
      </c>
      <c r="D1387" s="225" t="str">
        <f t="shared" si="8"/>
        <v>2038_2017</v>
      </c>
      <c r="E1387" s="1226">
        <v>5.8444989164162499E-2</v>
      </c>
      <c r="F1387" s="1257">
        <v>2.16282521087389E-2</v>
      </c>
      <c r="G1387" s="1280">
        <v>6.2329807919878397E-2</v>
      </c>
      <c r="H1387" s="1271">
        <v>0.30898739100821998</v>
      </c>
      <c r="I1387" s="1257">
        <v>0.48312832207453299</v>
      </c>
      <c r="J1387" s="1280">
        <v>9.8769419061145294E-2</v>
      </c>
      <c r="K1387" s="1271">
        <v>5.6022488474490699E-3</v>
      </c>
      <c r="L1387" s="1257">
        <v>2.0867328164157202E-3</v>
      </c>
      <c r="M1387" s="1280">
        <v>3.79440964787025E-4</v>
      </c>
      <c r="N1387" s="1271">
        <v>6.8277483585547898E-3</v>
      </c>
      <c r="O1387" s="1257">
        <v>3.0000008598028201E-3</v>
      </c>
      <c r="P1387" s="1257">
        <v>8.1762668614829698E-3</v>
      </c>
      <c r="Q1387" s="1280">
        <v>6.8277483585547898E-3</v>
      </c>
      <c r="R1387" s="1271">
        <v>3.8500011034136201E-2</v>
      </c>
      <c r="S1387" s="1257">
        <v>3.8500011034136201E-2</v>
      </c>
      <c r="T1387" s="1257">
        <v>3.8500011034136201E-2</v>
      </c>
      <c r="U1387" s="1280">
        <v>1.9250005517068101E-2</v>
      </c>
      <c r="V1387" s="1293">
        <v>5.8555576807196299E-3</v>
      </c>
    </row>
    <row r="1388" spans="1:22" s="212" customFormat="1" ht="15.5" x14ac:dyDescent="0.35">
      <c r="A1388" s="198">
        <v>2038</v>
      </c>
      <c r="B1388" s="197" t="s">
        <v>5833</v>
      </c>
      <c r="C1388" s="197">
        <v>2018</v>
      </c>
      <c r="D1388" s="225" t="str">
        <f t="shared" si="8"/>
        <v>2038_2018</v>
      </c>
      <c r="E1388" s="1226">
        <v>5.8444989164162499E-2</v>
      </c>
      <c r="F1388" s="1257">
        <v>2.16282521087389E-2</v>
      </c>
      <c r="G1388" s="1280">
        <v>6.2329807919878397E-2</v>
      </c>
      <c r="H1388" s="1271">
        <v>0.30898739100821998</v>
      </c>
      <c r="I1388" s="1257">
        <v>0.48312832207453299</v>
      </c>
      <c r="J1388" s="1280">
        <v>9.8769419061145294E-2</v>
      </c>
      <c r="K1388" s="1271">
        <v>5.6022488474490699E-3</v>
      </c>
      <c r="L1388" s="1257">
        <v>2.0867328164157202E-3</v>
      </c>
      <c r="M1388" s="1280">
        <v>3.79440964787025E-4</v>
      </c>
      <c r="N1388" s="1271">
        <v>6.8277483585547898E-3</v>
      </c>
      <c r="O1388" s="1257">
        <v>3.0000008598028201E-3</v>
      </c>
      <c r="P1388" s="1257">
        <v>8.1762668614829698E-3</v>
      </c>
      <c r="Q1388" s="1280">
        <v>6.8277483585547898E-3</v>
      </c>
      <c r="R1388" s="1271">
        <v>3.8500011034136201E-2</v>
      </c>
      <c r="S1388" s="1257">
        <v>3.8500011034136201E-2</v>
      </c>
      <c r="T1388" s="1257">
        <v>3.8500011034136201E-2</v>
      </c>
      <c r="U1388" s="1280">
        <v>1.9250005517068101E-2</v>
      </c>
      <c r="V1388" s="1293">
        <v>5.8555576807196299E-3</v>
      </c>
    </row>
    <row r="1389" spans="1:22" s="212" customFormat="1" ht="15.5" x14ac:dyDescent="0.35">
      <c r="A1389" s="198">
        <v>2038</v>
      </c>
      <c r="B1389" s="197" t="s">
        <v>5833</v>
      </c>
      <c r="C1389" s="197">
        <v>2019</v>
      </c>
      <c r="D1389" s="225" t="str">
        <f t="shared" si="8"/>
        <v>2038_2019</v>
      </c>
      <c r="E1389" s="1226">
        <v>5.8444989164162499E-2</v>
      </c>
      <c r="F1389" s="1257">
        <v>2.16282521087389E-2</v>
      </c>
      <c r="G1389" s="1280">
        <v>6.2329807919878397E-2</v>
      </c>
      <c r="H1389" s="1271">
        <v>0.30898739100821998</v>
      </c>
      <c r="I1389" s="1257">
        <v>0.48312832207453299</v>
      </c>
      <c r="J1389" s="1280">
        <v>9.8769419061145294E-2</v>
      </c>
      <c r="K1389" s="1271">
        <v>5.6022488474490699E-3</v>
      </c>
      <c r="L1389" s="1257">
        <v>2.0867328164157202E-3</v>
      </c>
      <c r="M1389" s="1280">
        <v>3.79440964787025E-4</v>
      </c>
      <c r="N1389" s="1271">
        <v>6.8277483585547898E-3</v>
      </c>
      <c r="O1389" s="1257">
        <v>3.0000008598028201E-3</v>
      </c>
      <c r="P1389" s="1257">
        <v>8.1762668614829698E-3</v>
      </c>
      <c r="Q1389" s="1280">
        <v>6.8277483585547898E-3</v>
      </c>
      <c r="R1389" s="1271">
        <v>3.8500011034136201E-2</v>
      </c>
      <c r="S1389" s="1257">
        <v>3.8500011034136201E-2</v>
      </c>
      <c r="T1389" s="1257">
        <v>3.8500011034136201E-2</v>
      </c>
      <c r="U1389" s="1280">
        <v>1.9250005517068101E-2</v>
      </c>
      <c r="V1389" s="1293">
        <v>5.8555576807196299E-3</v>
      </c>
    </row>
    <row r="1390" spans="1:22" s="212" customFormat="1" ht="15.5" x14ac:dyDescent="0.35">
      <c r="A1390" s="198">
        <v>2038</v>
      </c>
      <c r="B1390" s="197" t="s">
        <v>5833</v>
      </c>
      <c r="C1390" s="197">
        <v>2020</v>
      </c>
      <c r="D1390" s="225" t="str">
        <f t="shared" si="8"/>
        <v>2038_2020</v>
      </c>
      <c r="E1390" s="1226">
        <v>5.8444989164162499E-2</v>
      </c>
      <c r="F1390" s="1257">
        <v>2.16282521087389E-2</v>
      </c>
      <c r="G1390" s="1280">
        <v>6.2329807919878397E-2</v>
      </c>
      <c r="H1390" s="1271">
        <v>0.30898739100821998</v>
      </c>
      <c r="I1390" s="1257">
        <v>0.48312832207453299</v>
      </c>
      <c r="J1390" s="1280">
        <v>9.8769419061145294E-2</v>
      </c>
      <c r="K1390" s="1271">
        <v>5.6022488474490699E-3</v>
      </c>
      <c r="L1390" s="1257">
        <v>2.0867328164157202E-3</v>
      </c>
      <c r="M1390" s="1280">
        <v>3.79440964787025E-4</v>
      </c>
      <c r="N1390" s="1271">
        <v>6.8277483585547898E-3</v>
      </c>
      <c r="O1390" s="1257">
        <v>3.0000008598028201E-3</v>
      </c>
      <c r="P1390" s="1257">
        <v>8.1762668614829698E-3</v>
      </c>
      <c r="Q1390" s="1280">
        <v>6.8277483585547898E-3</v>
      </c>
      <c r="R1390" s="1271">
        <v>3.8500011034136201E-2</v>
      </c>
      <c r="S1390" s="1257">
        <v>3.8500011034136201E-2</v>
      </c>
      <c r="T1390" s="1257">
        <v>3.8500011034136201E-2</v>
      </c>
      <c r="U1390" s="1280">
        <v>1.9250005517068101E-2</v>
      </c>
      <c r="V1390" s="1293">
        <v>5.8555576807196299E-3</v>
      </c>
    </row>
    <row r="1391" spans="1:22" s="212" customFormat="1" ht="15.5" x14ac:dyDescent="0.35">
      <c r="A1391" s="198">
        <v>2038</v>
      </c>
      <c r="B1391" s="197" t="s">
        <v>5833</v>
      </c>
      <c r="C1391" s="197">
        <v>2021</v>
      </c>
      <c r="D1391" s="225" t="str">
        <f t="shared" si="8"/>
        <v>2038_2021</v>
      </c>
      <c r="E1391" s="1226">
        <v>5.8444989164162499E-2</v>
      </c>
      <c r="F1391" s="1257">
        <v>2.16282521087389E-2</v>
      </c>
      <c r="G1391" s="1280">
        <v>6.2329807919878397E-2</v>
      </c>
      <c r="H1391" s="1271">
        <v>0.30898739100821998</v>
      </c>
      <c r="I1391" s="1257">
        <v>0.48312832207453299</v>
      </c>
      <c r="J1391" s="1280">
        <v>9.8769419061145294E-2</v>
      </c>
      <c r="K1391" s="1271">
        <v>5.6022488474490699E-3</v>
      </c>
      <c r="L1391" s="1257">
        <v>2.0867328164157202E-3</v>
      </c>
      <c r="M1391" s="1280">
        <v>3.79440964787025E-4</v>
      </c>
      <c r="N1391" s="1271">
        <v>6.8277483585547898E-3</v>
      </c>
      <c r="O1391" s="1257">
        <v>3.0000008598028201E-3</v>
      </c>
      <c r="P1391" s="1257">
        <v>8.1762668614829698E-3</v>
      </c>
      <c r="Q1391" s="1280">
        <v>6.8277483585547898E-3</v>
      </c>
      <c r="R1391" s="1271">
        <v>3.8500011034136201E-2</v>
      </c>
      <c r="S1391" s="1257">
        <v>3.8500011034136201E-2</v>
      </c>
      <c r="T1391" s="1257">
        <v>3.8500011034136201E-2</v>
      </c>
      <c r="U1391" s="1280">
        <v>1.9250005517068101E-2</v>
      </c>
      <c r="V1391" s="1293">
        <v>5.8555576807196299E-3</v>
      </c>
    </row>
    <row r="1392" spans="1:22" s="212" customFormat="1" ht="15.5" x14ac:dyDescent="0.35">
      <c r="A1392" s="198">
        <v>2038</v>
      </c>
      <c r="B1392" s="197" t="s">
        <v>5833</v>
      </c>
      <c r="C1392" s="197">
        <v>2022</v>
      </c>
      <c r="D1392" s="225" t="str">
        <f t="shared" si="8"/>
        <v>2038_2022</v>
      </c>
      <c r="E1392" s="1226">
        <v>5.8444989164162499E-2</v>
      </c>
      <c r="F1392" s="1257">
        <v>2.16282521087389E-2</v>
      </c>
      <c r="G1392" s="1280">
        <v>6.2329807919878397E-2</v>
      </c>
      <c r="H1392" s="1271">
        <v>0.30898739100821998</v>
      </c>
      <c r="I1392" s="1257">
        <v>0.48312832207453299</v>
      </c>
      <c r="J1392" s="1280">
        <v>9.8769419061145294E-2</v>
      </c>
      <c r="K1392" s="1271">
        <v>5.6022488474490699E-3</v>
      </c>
      <c r="L1392" s="1257">
        <v>2.0867328164157202E-3</v>
      </c>
      <c r="M1392" s="1280">
        <v>3.79440964787025E-4</v>
      </c>
      <c r="N1392" s="1271">
        <v>6.8277483585547898E-3</v>
      </c>
      <c r="O1392" s="1257">
        <v>3.0000008598028201E-3</v>
      </c>
      <c r="P1392" s="1257">
        <v>8.1762668614829698E-3</v>
      </c>
      <c r="Q1392" s="1280">
        <v>6.8277483585547898E-3</v>
      </c>
      <c r="R1392" s="1271">
        <v>3.8500011034136201E-2</v>
      </c>
      <c r="S1392" s="1257">
        <v>3.8500011034136201E-2</v>
      </c>
      <c r="T1392" s="1257">
        <v>3.8500011034136201E-2</v>
      </c>
      <c r="U1392" s="1280">
        <v>1.9250005517068101E-2</v>
      </c>
      <c r="V1392" s="1293">
        <v>5.8555576807196299E-3</v>
      </c>
    </row>
    <row r="1393" spans="1:22" s="212" customFormat="1" ht="15.5" x14ac:dyDescent="0.35">
      <c r="A1393" s="198">
        <v>2038</v>
      </c>
      <c r="B1393" s="197" t="s">
        <v>5833</v>
      </c>
      <c r="C1393" s="197">
        <v>2023</v>
      </c>
      <c r="D1393" s="225" t="str">
        <f t="shared" si="8"/>
        <v>2038_2023</v>
      </c>
      <c r="E1393" s="1226">
        <v>5.8444989164162499E-2</v>
      </c>
      <c r="F1393" s="1257">
        <v>2.16282521087389E-2</v>
      </c>
      <c r="G1393" s="1280">
        <v>6.2329807919878397E-2</v>
      </c>
      <c r="H1393" s="1271">
        <v>0.30898739100821998</v>
      </c>
      <c r="I1393" s="1257">
        <v>0.48312832207453299</v>
      </c>
      <c r="J1393" s="1280">
        <v>9.8769419061145294E-2</v>
      </c>
      <c r="K1393" s="1271">
        <v>5.6022488474490699E-3</v>
      </c>
      <c r="L1393" s="1257">
        <v>2.0867328164157202E-3</v>
      </c>
      <c r="M1393" s="1280">
        <v>3.79440964787025E-4</v>
      </c>
      <c r="N1393" s="1271">
        <v>6.8277483585547898E-3</v>
      </c>
      <c r="O1393" s="1257">
        <v>3.0000008598028201E-3</v>
      </c>
      <c r="P1393" s="1257">
        <v>8.1762668614829698E-3</v>
      </c>
      <c r="Q1393" s="1280">
        <v>6.8277483585547898E-3</v>
      </c>
      <c r="R1393" s="1271">
        <v>3.8500011034136201E-2</v>
      </c>
      <c r="S1393" s="1257">
        <v>3.8500011034136201E-2</v>
      </c>
      <c r="T1393" s="1257">
        <v>3.8500011034136201E-2</v>
      </c>
      <c r="U1393" s="1280">
        <v>1.9250005517068101E-2</v>
      </c>
      <c r="V1393" s="1293">
        <v>5.8555576807196299E-3</v>
      </c>
    </row>
    <row r="1394" spans="1:22" s="212" customFormat="1" ht="15.5" x14ac:dyDescent="0.35">
      <c r="A1394" s="198">
        <v>2038</v>
      </c>
      <c r="B1394" s="197" t="s">
        <v>5833</v>
      </c>
      <c r="C1394" s="197">
        <v>2024</v>
      </c>
      <c r="D1394" s="225" t="str">
        <f t="shared" si="8"/>
        <v>2038_2024</v>
      </c>
      <c r="E1394" s="1231">
        <v>5.8444989164162499E-2</v>
      </c>
      <c r="F1394" s="1288">
        <v>2.16282521087389E-2</v>
      </c>
      <c r="G1394" s="1306">
        <v>6.2329807919878397E-2</v>
      </c>
      <c r="H1394" s="1303">
        <v>0.30898739100821998</v>
      </c>
      <c r="I1394" s="1288">
        <v>0.48312832207453299</v>
      </c>
      <c r="J1394" s="1306">
        <v>9.8769419061145294E-2</v>
      </c>
      <c r="K1394" s="1303">
        <v>5.6022488474490699E-3</v>
      </c>
      <c r="L1394" s="1288">
        <v>2.0867328164157202E-3</v>
      </c>
      <c r="M1394" s="1306">
        <v>3.79440964787025E-4</v>
      </c>
      <c r="N1394" s="1303">
        <v>6.8277483585547898E-3</v>
      </c>
      <c r="O1394" s="1288">
        <v>3.0000008598028201E-3</v>
      </c>
      <c r="P1394" s="1288">
        <v>8.1762668614829698E-3</v>
      </c>
      <c r="Q1394" s="1306">
        <v>8.4690603859683099E-3</v>
      </c>
      <c r="R1394" s="1303">
        <v>3.8500011034136201E-2</v>
      </c>
      <c r="S1394" s="1288">
        <v>3.8500011034136201E-2</v>
      </c>
      <c r="T1394" s="1288">
        <v>3.8500011034136201E-2</v>
      </c>
      <c r="U1394" s="1306">
        <v>1.9250005517068101E-2</v>
      </c>
      <c r="V1394" s="1294">
        <v>5.8555576807196299E-3</v>
      </c>
    </row>
    <row r="1395" spans="1:22" s="212" customFormat="1" ht="15.5" x14ac:dyDescent="0.35">
      <c r="A1395" s="198">
        <v>2038</v>
      </c>
      <c r="B1395" s="197" t="s">
        <v>5833</v>
      </c>
      <c r="C1395" s="197">
        <v>2025</v>
      </c>
      <c r="D1395" s="225" t="str">
        <f t="shared" si="8"/>
        <v>2038_2025</v>
      </c>
      <c r="E1395" s="1231">
        <v>6.9491621182078606E-2</v>
      </c>
      <c r="F1395" s="1288">
        <v>2.1708858612197301E-2</v>
      </c>
      <c r="G1395" s="1306">
        <v>6.0591379482784903E-2</v>
      </c>
      <c r="H1395" s="1303">
        <v>0.388370738500947</v>
      </c>
      <c r="I1395" s="1288">
        <v>0.44875197793397797</v>
      </c>
      <c r="J1395" s="1306">
        <v>9.5524860310521306E-2</v>
      </c>
      <c r="K1395" s="1303">
        <v>7.0498625566262699E-3</v>
      </c>
      <c r="L1395" s="1288">
        <v>2.0942445324510601E-3</v>
      </c>
      <c r="M1395" s="1306">
        <v>3.7629145649841199E-4</v>
      </c>
      <c r="N1395" s="1303">
        <v>8.3339547700530606E-3</v>
      </c>
      <c r="O1395" s="1288">
        <v>3.0000008598028201E-3</v>
      </c>
      <c r="P1395" s="1288">
        <v>7.7845689439789397E-3</v>
      </c>
      <c r="Q1395" s="1306">
        <v>8.12190024590086E-3</v>
      </c>
      <c r="R1395" s="1303">
        <v>3.8500011034136201E-2</v>
      </c>
      <c r="S1395" s="1288">
        <v>3.8500011034136201E-2</v>
      </c>
      <c r="T1395" s="1288">
        <v>3.8500011034136201E-2</v>
      </c>
      <c r="U1395" s="1306">
        <v>1.9250005517068101E-2</v>
      </c>
      <c r="V1395" s="1294">
        <v>7.36862605813513E-3</v>
      </c>
    </row>
    <row r="1396" spans="1:22" s="212" customFormat="1" ht="15.5" x14ac:dyDescent="0.35">
      <c r="A1396" s="198">
        <v>2038</v>
      </c>
      <c r="B1396" s="197" t="s">
        <v>5833</v>
      </c>
      <c r="C1396" s="197">
        <v>2026</v>
      </c>
      <c r="D1396" s="225" t="str">
        <f t="shared" si="8"/>
        <v>2038_2026</v>
      </c>
      <c r="E1396" s="1231">
        <v>6.3831920277816798E-2</v>
      </c>
      <c r="F1396" s="1288">
        <v>1.67407089592293E-2</v>
      </c>
      <c r="G1396" s="1306">
        <v>6.2702222965401705E-2</v>
      </c>
      <c r="H1396" s="1303">
        <v>0.34792226185172598</v>
      </c>
      <c r="I1396" s="1288">
        <v>0.40018682625443402</v>
      </c>
      <c r="J1396" s="1306">
        <v>9.6167993029132301E-2</v>
      </c>
      <c r="K1396" s="1303">
        <v>6.2803394447188202E-3</v>
      </c>
      <c r="L1396" s="1288">
        <v>1.62244583237827E-3</v>
      </c>
      <c r="M1396" s="1306">
        <v>3.7414459254390302E-4</v>
      </c>
      <c r="N1396" s="1303">
        <v>7.55066738550294E-3</v>
      </c>
      <c r="O1396" s="1288">
        <v>3.0000008598028201E-3</v>
      </c>
      <c r="P1396" s="1288">
        <v>8.2838501996218492E-3</v>
      </c>
      <c r="Q1396" s="1306">
        <v>8.7337429995912094E-3</v>
      </c>
      <c r="R1396" s="1303">
        <v>3.8500011034136201E-2</v>
      </c>
      <c r="S1396" s="1288">
        <v>3.8500011034136201E-2</v>
      </c>
      <c r="T1396" s="1288">
        <v>3.8500011034136201E-2</v>
      </c>
      <c r="U1396" s="1306">
        <v>1.9250005517068101E-2</v>
      </c>
      <c r="V1396" s="1294">
        <v>6.5643085258154602E-3</v>
      </c>
    </row>
    <row r="1397" spans="1:22" s="212" customFormat="1" ht="15.5" x14ac:dyDescent="0.35">
      <c r="A1397" s="198">
        <v>2038</v>
      </c>
      <c r="B1397" s="197" t="s">
        <v>5833</v>
      </c>
      <c r="C1397" s="197">
        <v>2027</v>
      </c>
      <c r="D1397" s="225" t="str">
        <f t="shared" si="8"/>
        <v>2038_2027</v>
      </c>
      <c r="E1397" s="1231">
        <v>7.1257119663620305E-2</v>
      </c>
      <c r="F1397" s="1288">
        <v>1.7455561798943E-2</v>
      </c>
      <c r="G1397" s="1306">
        <v>6.3519070060296196E-2</v>
      </c>
      <c r="H1397" s="1303">
        <v>0.41599316838643602</v>
      </c>
      <c r="I1397" s="1288">
        <v>0.373976776838915</v>
      </c>
      <c r="J1397" s="1306">
        <v>0.10373543943757101</v>
      </c>
      <c r="K1397" s="1303">
        <v>6.8542084319848503E-3</v>
      </c>
      <c r="L1397" s="1288">
        <v>1.68947664821712E-3</v>
      </c>
      <c r="M1397" s="1306">
        <v>3.9361216409082399E-4</v>
      </c>
      <c r="N1397" s="1303">
        <v>8.2496900255908199E-3</v>
      </c>
      <c r="O1397" s="1288">
        <v>3.0000008598028201E-3</v>
      </c>
      <c r="P1397" s="1288">
        <v>8.3943522209133595E-3</v>
      </c>
      <c r="Q1397" s="1306">
        <v>7.9141820106778307E-3</v>
      </c>
      <c r="R1397" s="1303">
        <v>3.8500011034136201E-2</v>
      </c>
      <c r="S1397" s="1288">
        <v>3.8500011034136201E-2</v>
      </c>
      <c r="T1397" s="1288">
        <v>3.8500011034136201E-2</v>
      </c>
      <c r="U1397" s="1306">
        <v>1.9250005517068101E-2</v>
      </c>
      <c r="V1397" s="1294">
        <v>7.1641253221797502E-3</v>
      </c>
    </row>
    <row r="1398" spans="1:22" s="212" customFormat="1" ht="15.5" x14ac:dyDescent="0.35">
      <c r="A1398" s="198">
        <v>2038</v>
      </c>
      <c r="B1398" s="197" t="s">
        <v>5833</v>
      </c>
      <c r="C1398" s="197">
        <v>2028</v>
      </c>
      <c r="D1398" s="225" t="str">
        <f t="shared" si="8"/>
        <v>2038_2028</v>
      </c>
      <c r="E1398" s="1231">
        <v>6.5864747396888607E-2</v>
      </c>
      <c r="F1398" s="1288">
        <v>7.6323171394183697E-3</v>
      </c>
      <c r="G1398" s="1306">
        <v>5.8929793300234401E-2</v>
      </c>
      <c r="H1398" s="1303">
        <v>0.36017260284295599</v>
      </c>
      <c r="I1398" s="1288">
        <v>0.142519296235223</v>
      </c>
      <c r="J1398" s="1306">
        <v>0.10166628100654999</v>
      </c>
      <c r="K1398" s="1303">
        <v>6.6074366448005996E-3</v>
      </c>
      <c r="L1398" s="1288">
        <v>1.30442578777898E-3</v>
      </c>
      <c r="M1398" s="1306">
        <v>1.2041557207686899E-3</v>
      </c>
      <c r="N1398" s="1303">
        <v>7.7712270796596299E-3</v>
      </c>
      <c r="O1398" s="1288">
        <v>2.3743079061995099E-3</v>
      </c>
      <c r="P1398" s="1288">
        <v>7.7308208824048898E-3</v>
      </c>
      <c r="Q1398" s="1306">
        <v>7.9427433315009295E-3</v>
      </c>
      <c r="R1398" s="1303">
        <v>3.8463848921908399E-2</v>
      </c>
      <c r="S1398" s="1288">
        <v>3.4339152892674203E-2</v>
      </c>
      <c r="T1398" s="1288">
        <v>3.8062585947839199E-2</v>
      </c>
      <c r="U1398" s="1306">
        <v>1.9250005517068101E-2</v>
      </c>
      <c r="V1398" s="1294">
        <v>6.9061956098126097E-3</v>
      </c>
    </row>
    <row r="1399" spans="1:22" s="212" customFormat="1" ht="15.5" x14ac:dyDescent="0.35">
      <c r="A1399" s="198">
        <v>2038</v>
      </c>
      <c r="B1399" s="197" t="s">
        <v>5833</v>
      </c>
      <c r="C1399" s="197">
        <v>2029</v>
      </c>
      <c r="D1399" s="225" t="str">
        <f t="shared" si="8"/>
        <v>2038_2029</v>
      </c>
      <c r="E1399" s="1231">
        <v>6.3126700770993097E-2</v>
      </c>
      <c r="F1399" s="1288">
        <v>7.19028161265066E-3</v>
      </c>
      <c r="G1399" s="1306">
        <v>6.2761377883404398E-2</v>
      </c>
      <c r="H1399" s="1303">
        <v>0.33875428665492602</v>
      </c>
      <c r="I1399" s="1288">
        <v>0.137639444772963</v>
      </c>
      <c r="J1399" s="1306">
        <v>0.112405547861644</v>
      </c>
      <c r="K1399" s="1303">
        <v>6.2944201621233696E-3</v>
      </c>
      <c r="L1399" s="1288">
        <v>1.2499787971604101E-3</v>
      </c>
      <c r="M1399" s="1306">
        <v>1.00429047756038E-3</v>
      </c>
      <c r="N1399" s="1303">
        <v>7.3591644136986097E-3</v>
      </c>
      <c r="O1399" s="1288">
        <v>2.3930042622993799E-3</v>
      </c>
      <c r="P1399" s="1288">
        <v>8.2423372137655493E-3</v>
      </c>
      <c r="Q1399" s="1306">
        <v>8.3085958763830601E-3</v>
      </c>
      <c r="R1399" s="1303">
        <v>3.8435790840330497E-2</v>
      </c>
      <c r="S1399" s="1288">
        <v>3.44634836607383E-2</v>
      </c>
      <c r="T1399" s="1288">
        <v>3.8206987430294201E-2</v>
      </c>
      <c r="U1399" s="1306">
        <v>1.9250005517068101E-2</v>
      </c>
      <c r="V1399" s="1294">
        <v>6.5790259107787801E-3</v>
      </c>
    </row>
    <row r="1400" spans="1:22" s="212" customFormat="1" ht="15.5" x14ac:dyDescent="0.35">
      <c r="A1400" s="198">
        <v>2038</v>
      </c>
      <c r="B1400" s="197" t="s">
        <v>5833</v>
      </c>
      <c r="C1400" s="197">
        <v>2030</v>
      </c>
      <c r="D1400" s="225" t="str">
        <f t="shared" si="8"/>
        <v>2038_2030</v>
      </c>
      <c r="E1400" s="1231">
        <v>0.104362334521102</v>
      </c>
      <c r="F1400" s="1288">
        <v>2.9067069267866099E-3</v>
      </c>
      <c r="G1400" s="1306">
        <v>9.6842482462024995E-2</v>
      </c>
      <c r="H1400" s="1303">
        <v>0.232541545552441</v>
      </c>
      <c r="I1400" s="1288">
        <v>1.5381557609475601E-2</v>
      </c>
      <c r="J1400" s="1306">
        <v>0.22039492511942499</v>
      </c>
      <c r="K1400" s="1303">
        <v>2.0367965337829801E-2</v>
      </c>
      <c r="L1400" s="1288">
        <v>1.18136664851192E-3</v>
      </c>
      <c r="M1400" s="1306">
        <v>1.9151860178891599E-2</v>
      </c>
      <c r="N1400" s="1303">
        <v>3.0000008598028201E-3</v>
      </c>
      <c r="O1400" s="1288">
        <v>2.0000005732018801E-3</v>
      </c>
      <c r="P1400" s="1288">
        <v>3.0000008598028201E-3</v>
      </c>
      <c r="Q1400" s="1306">
        <v>7.8222780240651494E-3</v>
      </c>
      <c r="R1400" s="1303">
        <v>3.1850009128239903E-2</v>
      </c>
      <c r="S1400" s="1288">
        <v>3.1850009128239903E-2</v>
      </c>
      <c r="T1400" s="1288">
        <v>3.1850009128239903E-2</v>
      </c>
      <c r="U1400" s="1306">
        <v>1.9250005517068101E-2</v>
      </c>
      <c r="V1400" s="1294">
        <v>2.1288914348898801E-2</v>
      </c>
    </row>
    <row r="1401" spans="1:22" s="212" customFormat="1" ht="15.5" x14ac:dyDescent="0.35">
      <c r="A1401" s="198">
        <v>2038</v>
      </c>
      <c r="B1401" s="197" t="s">
        <v>5833</v>
      </c>
      <c r="C1401" s="197">
        <v>2031</v>
      </c>
      <c r="D1401" s="225" t="str">
        <f t="shared" si="8"/>
        <v>2038_2031</v>
      </c>
      <c r="E1401" s="1231">
        <v>0.104110938246258</v>
      </c>
      <c r="F1401" s="1288">
        <v>2.3098086433107901E-3</v>
      </c>
      <c r="G1401" s="1306">
        <v>9.2066196669963796E-2</v>
      </c>
      <c r="H1401" s="1303">
        <v>0.227169682852426</v>
      </c>
      <c r="I1401" s="1288">
        <v>1.5778726875242399E-2</v>
      </c>
      <c r="J1401" s="1306">
        <v>0.209400160849713</v>
      </c>
      <c r="K1401" s="1303">
        <v>1.93074599218802E-2</v>
      </c>
      <c r="L1401" s="1288">
        <v>1.12425663364573E-3</v>
      </c>
      <c r="M1401" s="1306">
        <v>1.7496288762563601E-2</v>
      </c>
      <c r="N1401" s="1303">
        <v>3.0000008598028201E-3</v>
      </c>
      <c r="O1401" s="1288">
        <v>2.0000005732018801E-3</v>
      </c>
      <c r="P1401" s="1288">
        <v>3.0000008598028201E-3</v>
      </c>
      <c r="Q1401" s="1306">
        <v>8.1120328320053899E-3</v>
      </c>
      <c r="R1401" s="1303">
        <v>3.1850009128239903E-2</v>
      </c>
      <c r="S1401" s="1288">
        <v>3.1850009128239903E-2</v>
      </c>
      <c r="T1401" s="1288">
        <v>3.1850009128239903E-2</v>
      </c>
      <c r="U1401" s="1306">
        <v>1.9250005517068101E-2</v>
      </c>
      <c r="V1401" s="1294">
        <v>2.0180457583963099E-2</v>
      </c>
    </row>
    <row r="1402" spans="1:22" s="212" customFormat="1" ht="15.5" x14ac:dyDescent="0.35">
      <c r="A1402" s="198">
        <v>2038</v>
      </c>
      <c r="B1402" s="197" t="s">
        <v>5833</v>
      </c>
      <c r="C1402" s="197">
        <v>2032</v>
      </c>
      <c r="D1402" s="225" t="str">
        <f t="shared" si="8"/>
        <v>2038_2032</v>
      </c>
      <c r="E1402" s="1231">
        <v>0.100434684734676</v>
      </c>
      <c r="F1402" s="1288">
        <v>2.7311215498270099E-3</v>
      </c>
      <c r="G1402" s="1306">
        <v>7.7800426322988905E-2</v>
      </c>
      <c r="H1402" s="1303">
        <v>0.21516904103763801</v>
      </c>
      <c r="I1402" s="1288">
        <v>1.4800829937994701E-2</v>
      </c>
      <c r="J1402" s="1306">
        <v>0.175779997760766</v>
      </c>
      <c r="K1402" s="1303">
        <v>1.7535159127393798E-2</v>
      </c>
      <c r="L1402" s="1288">
        <v>1.1583403148633601E-3</v>
      </c>
      <c r="M1402" s="1306">
        <v>1.41154959309388E-2</v>
      </c>
      <c r="N1402" s="1303">
        <v>3.0000008598028201E-3</v>
      </c>
      <c r="O1402" s="1288">
        <v>2.0000005732018801E-3</v>
      </c>
      <c r="P1402" s="1288">
        <v>3.0000008598028201E-3</v>
      </c>
      <c r="Q1402" s="1306">
        <v>7.7480283451327701E-3</v>
      </c>
      <c r="R1402" s="1303">
        <v>3.1850009128239903E-2</v>
      </c>
      <c r="S1402" s="1288">
        <v>3.1850009128239903E-2</v>
      </c>
      <c r="T1402" s="1288">
        <v>3.1850009128239903E-2</v>
      </c>
      <c r="U1402" s="1306">
        <v>1.9250005517068E-2</v>
      </c>
      <c r="V1402" s="1294">
        <v>1.8328021212018399E-2</v>
      </c>
    </row>
    <row r="1403" spans="1:22" s="212" customFormat="1" ht="15.5" x14ac:dyDescent="0.35">
      <c r="A1403" s="198">
        <v>2038</v>
      </c>
      <c r="B1403" s="197" t="s">
        <v>5833</v>
      </c>
      <c r="C1403" s="197">
        <v>2033</v>
      </c>
      <c r="D1403" s="225" t="str">
        <f t="shared" si="8"/>
        <v>2038_2033</v>
      </c>
      <c r="E1403" s="1231">
        <v>9.8385386640434197E-2</v>
      </c>
      <c r="F1403" s="1288">
        <v>2.3030574356288302E-3</v>
      </c>
      <c r="G1403" s="1306">
        <v>7.3373134324091899E-2</v>
      </c>
      <c r="H1403" s="1303">
        <v>0.20571797364545599</v>
      </c>
      <c r="I1403" s="1288">
        <v>1.5091897904595E-2</v>
      </c>
      <c r="J1403" s="1306">
        <v>0.162680360362326</v>
      </c>
      <c r="K1403" s="1303">
        <v>1.6006883635633701E-2</v>
      </c>
      <c r="L1403" s="1288">
        <v>1.1068391324295199E-3</v>
      </c>
      <c r="M1403" s="1306">
        <v>1.24645633043402E-2</v>
      </c>
      <c r="N1403" s="1303">
        <v>3.0000008598028201E-3</v>
      </c>
      <c r="O1403" s="1288">
        <v>2.0000005732018801E-3</v>
      </c>
      <c r="P1403" s="1288">
        <v>3.0000008598028201E-3</v>
      </c>
      <c r="Q1403" s="1306">
        <v>7.0779306122425202E-3</v>
      </c>
      <c r="R1403" s="1303">
        <v>3.1850009128239903E-2</v>
      </c>
      <c r="S1403" s="1288">
        <v>3.1850009128239903E-2</v>
      </c>
      <c r="T1403" s="1288">
        <v>3.1850009128239903E-2</v>
      </c>
      <c r="U1403" s="1306">
        <v>1.9250005517068101E-2</v>
      </c>
      <c r="V1403" s="1294">
        <v>1.6730643884142901E-2</v>
      </c>
    </row>
    <row r="1404" spans="1:22" s="212" customFormat="1" ht="15.5" x14ac:dyDescent="0.35">
      <c r="A1404" s="198">
        <v>2038</v>
      </c>
      <c r="B1404" s="197" t="s">
        <v>5833</v>
      </c>
      <c r="C1404" s="197">
        <v>2034</v>
      </c>
      <c r="D1404" s="225" t="str">
        <f t="shared" si="8"/>
        <v>2038_2034</v>
      </c>
      <c r="E1404" s="1231">
        <v>9.59043984519031E-2</v>
      </c>
      <c r="F1404" s="1288">
        <v>3.0444833234204299E-3</v>
      </c>
      <c r="G1404" s="1306">
        <v>6.4252506206081805E-2</v>
      </c>
      <c r="H1404" s="1303">
        <v>0.195303982612718</v>
      </c>
      <c r="I1404" s="1288">
        <v>1.5210389097698E-2</v>
      </c>
      <c r="J1404" s="1306">
        <v>0.155278472974517</v>
      </c>
      <c r="K1404" s="1303">
        <v>1.4351122503879101E-2</v>
      </c>
      <c r="L1404" s="1288">
        <v>1.1784989541933099E-3</v>
      </c>
      <c r="M1404" s="1306">
        <v>1.06536847224595E-2</v>
      </c>
      <c r="N1404" s="1303">
        <v>3.0000008598028201E-3</v>
      </c>
      <c r="O1404" s="1288">
        <v>2.0000005732018801E-3</v>
      </c>
      <c r="P1404" s="1288">
        <v>3.0000008598028201E-3</v>
      </c>
      <c r="Q1404" s="1306">
        <v>5.7121094500660798E-3</v>
      </c>
      <c r="R1404" s="1303">
        <v>3.1850009128239903E-2</v>
      </c>
      <c r="S1404" s="1288">
        <v>3.1850009128239903E-2</v>
      </c>
      <c r="T1404" s="1288">
        <v>3.1850009128239903E-2</v>
      </c>
      <c r="U1404" s="1306">
        <v>1.9250005517068101E-2</v>
      </c>
      <c r="V1404" s="1294">
        <v>1.5000016581341501E-2</v>
      </c>
    </row>
    <row r="1405" spans="1:22" s="212" customFormat="1" ht="15.5" x14ac:dyDescent="0.35">
      <c r="A1405" s="198">
        <v>2038</v>
      </c>
      <c r="B1405" s="197" t="s">
        <v>5833</v>
      </c>
      <c r="C1405" s="197">
        <v>2035</v>
      </c>
      <c r="D1405" s="225" t="str">
        <f t="shared" si="8"/>
        <v>2038_2035</v>
      </c>
      <c r="E1405" s="1231">
        <v>9.3093357281528899E-2</v>
      </c>
      <c r="F1405" s="1288">
        <v>1.9576147210738199E-3</v>
      </c>
      <c r="G1405" s="1306">
        <v>6.2300280231700103E-2</v>
      </c>
      <c r="H1405" s="1303">
        <v>0.184010117769141</v>
      </c>
      <c r="I1405" s="1288">
        <v>1.7448990498342799E-2</v>
      </c>
      <c r="J1405" s="1306">
        <v>0.14914916791617799</v>
      </c>
      <c r="K1405" s="1303">
        <v>1.2579783522862899E-2</v>
      </c>
      <c r="L1405" s="1288">
        <v>1.0477085044710199E-3</v>
      </c>
      <c r="M1405" s="1306">
        <v>9.4265790939039203E-3</v>
      </c>
      <c r="N1405" s="1303">
        <v>3.0000008598028201E-3</v>
      </c>
      <c r="O1405" s="1288">
        <v>2.0000005732018801E-3</v>
      </c>
      <c r="P1405" s="1288">
        <v>3.0000008598028201E-3</v>
      </c>
      <c r="Q1405" s="1306">
        <v>8.08268618211762E-3</v>
      </c>
      <c r="R1405" s="1303">
        <v>3.1850009128239903E-2</v>
      </c>
      <c r="S1405" s="1288">
        <v>3.1850009128239903E-2</v>
      </c>
      <c r="T1405" s="1288">
        <v>3.1850009128239903E-2</v>
      </c>
      <c r="U1405" s="1306">
        <v>1.9250005517068101E-2</v>
      </c>
      <c r="V1405" s="1294">
        <v>1.31485855118041E-2</v>
      </c>
    </row>
    <row r="1406" spans="1:22" s="212" customFormat="1" ht="15.5" x14ac:dyDescent="0.35">
      <c r="A1406" s="198">
        <v>2038</v>
      </c>
      <c r="B1406" s="197" t="s">
        <v>5833</v>
      </c>
      <c r="C1406" s="197">
        <v>2036</v>
      </c>
      <c r="D1406" s="225" t="str">
        <f t="shared" si="8"/>
        <v>2038_2036</v>
      </c>
      <c r="E1406" s="1231">
        <v>9.0701270903173301E-2</v>
      </c>
      <c r="F1406" s="1288">
        <v>3.3870681557074101E-3</v>
      </c>
      <c r="G1406" s="1306">
        <v>6.4700906618684495E-2</v>
      </c>
      <c r="H1406" s="1303">
        <v>0.17329840112074299</v>
      </c>
      <c r="I1406" s="1288">
        <v>1.87839404962859E-2</v>
      </c>
      <c r="J1406" s="1306">
        <v>0.13620778914246201</v>
      </c>
      <c r="K1406" s="1303">
        <v>1.08047427402671E-2</v>
      </c>
      <c r="L1406" s="1288">
        <v>1.1505332344571E-3</v>
      </c>
      <c r="M1406" s="1306">
        <v>8.2207631625039797E-3</v>
      </c>
      <c r="N1406" s="1303">
        <v>3.0000008598028201E-3</v>
      </c>
      <c r="O1406" s="1288">
        <v>2.0000005732018801E-3</v>
      </c>
      <c r="P1406" s="1288">
        <v>3.0000008598028201E-3</v>
      </c>
      <c r="Q1406" s="1306">
        <v>7.3795799121639197E-3</v>
      </c>
      <c r="R1406" s="1303">
        <v>3.1850009128239903E-2</v>
      </c>
      <c r="S1406" s="1288">
        <v>3.1850009128239903E-2</v>
      </c>
      <c r="T1406" s="1288">
        <v>3.1850009128239903E-2</v>
      </c>
      <c r="U1406" s="1306">
        <v>1.9250005517068101E-2</v>
      </c>
      <c r="V1406" s="1294">
        <v>1.12932852616462E-2</v>
      </c>
    </row>
    <row r="1407" spans="1:22" s="212" customFormat="1" ht="15.5" x14ac:dyDescent="0.35">
      <c r="A1407" s="198">
        <v>2038</v>
      </c>
      <c r="B1407" s="197" t="s">
        <v>5833</v>
      </c>
      <c r="C1407" s="197">
        <v>2037</v>
      </c>
      <c r="D1407" s="225" t="str">
        <f t="shared" si="8"/>
        <v>2038_2037</v>
      </c>
      <c r="E1407" s="1231">
        <v>8.6840412408121403E-2</v>
      </c>
      <c r="F1407" s="1288">
        <v>3.0406765689479898E-3</v>
      </c>
      <c r="G1407" s="1306">
        <v>4.7371968903600098E-2</v>
      </c>
      <c r="H1407" s="1303">
        <v>0.158992803227226</v>
      </c>
      <c r="I1407" s="1288">
        <v>2.1934792080099599E-2</v>
      </c>
      <c r="J1407" s="1306">
        <v>0.10902035050994301</v>
      </c>
      <c r="K1407" s="1303">
        <v>8.8072295470396997E-3</v>
      </c>
      <c r="L1407" s="1288">
        <v>1.1100550519912199E-3</v>
      </c>
      <c r="M1407" s="1306">
        <v>5.5595836231948697E-3</v>
      </c>
      <c r="N1407" s="1303">
        <v>3.0000008598028201E-3</v>
      </c>
      <c r="O1407" s="1288">
        <v>2.0000005732018801E-3</v>
      </c>
      <c r="P1407" s="1288">
        <v>3.0000008598028201E-3</v>
      </c>
      <c r="Q1407" s="1306">
        <v>7.5861856395711197E-3</v>
      </c>
      <c r="R1407" s="1303">
        <v>3.1850009128239903E-2</v>
      </c>
      <c r="S1407" s="1288">
        <v>3.1850009128239903E-2</v>
      </c>
      <c r="T1407" s="1288">
        <v>3.1850009128239903E-2</v>
      </c>
      <c r="U1407" s="1306">
        <v>1.9250005517068101E-2</v>
      </c>
      <c r="V1407" s="1294">
        <v>9.2054533856545401E-3</v>
      </c>
    </row>
    <row r="1408" spans="1:22" s="212" customFormat="1" ht="15.5" x14ac:dyDescent="0.35">
      <c r="A1408" s="198">
        <v>2038</v>
      </c>
      <c r="B1408" s="197" t="s">
        <v>5833</v>
      </c>
      <c r="C1408" s="197">
        <v>2038</v>
      </c>
      <c r="D1408" s="225" t="str">
        <f t="shared" si="8"/>
        <v>2038_2038</v>
      </c>
      <c r="E1408" s="1231">
        <v>8.45871431126375E-2</v>
      </c>
      <c r="F1408" s="1288">
        <v>1.8642824480354699E-3</v>
      </c>
      <c r="G1408" s="1306">
        <v>6.29638638133031E-2</v>
      </c>
      <c r="H1408" s="1303">
        <v>0.147988709721638</v>
      </c>
      <c r="I1408" s="1288">
        <v>2.1287253129600898E-2</v>
      </c>
      <c r="J1408" s="1306">
        <v>0.11984737519388999</v>
      </c>
      <c r="K1408" s="1303">
        <v>6.91041340911943E-3</v>
      </c>
      <c r="L1408" s="1288">
        <v>1.0119005220444999E-3</v>
      </c>
      <c r="M1408" s="1306">
        <v>5.4367935590885798E-3</v>
      </c>
      <c r="N1408" s="1303">
        <v>3.0000008598028201E-3</v>
      </c>
      <c r="O1408" s="1288">
        <v>2.0000005732018801E-3</v>
      </c>
      <c r="P1408" s="1288">
        <v>3.0000008598028201E-3</v>
      </c>
      <c r="Q1408" s="1306">
        <v>7.8507146591203902E-3</v>
      </c>
      <c r="R1408" s="1303">
        <v>3.1850009128239903E-2</v>
      </c>
      <c r="S1408" s="1288">
        <v>3.1850009128239903E-2</v>
      </c>
      <c r="T1408" s="1288">
        <v>3.1850009128239903E-2</v>
      </c>
      <c r="U1408" s="1306">
        <v>1.9250005517068101E-2</v>
      </c>
      <c r="V1408" s="1294">
        <v>7.2228716389744702E-3</v>
      </c>
    </row>
    <row r="1409" spans="1:22" s="212" customFormat="1" ht="15.5" x14ac:dyDescent="0.35">
      <c r="A1409" s="198">
        <v>2038</v>
      </c>
      <c r="B1409" s="197" t="s">
        <v>5833</v>
      </c>
      <c r="C1409" s="197">
        <v>2039</v>
      </c>
      <c r="D1409" s="225" t="str">
        <f t="shared" si="8"/>
        <v>2038_2039</v>
      </c>
      <c r="E1409" s="1226">
        <v>8.45871431126375E-2</v>
      </c>
      <c r="F1409" s="1257">
        <v>1.8642824480354699E-3</v>
      </c>
      <c r="G1409" s="1280">
        <v>6.29638638133031E-2</v>
      </c>
      <c r="H1409" s="1271">
        <v>0.147988709721638</v>
      </c>
      <c r="I1409" s="1257">
        <v>2.1287253129600898E-2</v>
      </c>
      <c r="J1409" s="1280">
        <v>0.11984737519388999</v>
      </c>
      <c r="K1409" s="1271">
        <v>6.91041340911943E-3</v>
      </c>
      <c r="L1409" s="1257">
        <v>1.0119005220444999E-3</v>
      </c>
      <c r="M1409" s="1280">
        <v>5.4367935590885798E-3</v>
      </c>
      <c r="N1409" s="1271">
        <v>3.0000008598028201E-3</v>
      </c>
      <c r="O1409" s="1257">
        <v>2.0000005732018801E-3</v>
      </c>
      <c r="P1409" s="1257">
        <v>3.0000008598028201E-3</v>
      </c>
      <c r="Q1409" s="1280">
        <v>7.8507146591203902E-3</v>
      </c>
      <c r="R1409" s="1271">
        <v>3.1850009128239903E-2</v>
      </c>
      <c r="S1409" s="1257">
        <v>3.1850009128239903E-2</v>
      </c>
      <c r="T1409" s="1257">
        <v>3.1850009128239903E-2</v>
      </c>
      <c r="U1409" s="1280">
        <v>1.9250005517068101E-2</v>
      </c>
      <c r="V1409" s="1293">
        <v>7.2228716389744702E-3</v>
      </c>
    </row>
    <row r="1410" spans="1:22" s="212" customFormat="1" ht="15.5" x14ac:dyDescent="0.35">
      <c r="A1410" s="198">
        <v>2039</v>
      </c>
      <c r="B1410" s="197" t="s">
        <v>5833</v>
      </c>
      <c r="C1410" s="197">
        <v>1971</v>
      </c>
      <c r="D1410" s="225" t="str">
        <f t="shared" si="8"/>
        <v>2039_1971</v>
      </c>
      <c r="E1410" s="1226">
        <v>6.9491621182078606E-2</v>
      </c>
      <c r="F1410" s="1257">
        <v>2.1708858612197301E-2</v>
      </c>
      <c r="G1410" s="1280">
        <v>6.0591379482784903E-2</v>
      </c>
      <c r="H1410" s="1271">
        <v>0.388370738500947</v>
      </c>
      <c r="I1410" s="1257">
        <v>0.48358832237794602</v>
      </c>
      <c r="J1410" s="1280">
        <v>9.5524860310521306E-2</v>
      </c>
      <c r="K1410" s="1271">
        <v>7.0498625566262603E-3</v>
      </c>
      <c r="L1410" s="1257">
        <v>2.0942445324510601E-3</v>
      </c>
      <c r="M1410" s="1280">
        <v>3.7629145649841199E-4</v>
      </c>
      <c r="N1410" s="1271">
        <v>8.3339547700530606E-3</v>
      </c>
      <c r="O1410" s="1257">
        <v>3.0000008598028201E-3</v>
      </c>
      <c r="P1410" s="1257">
        <v>7.7845689439789397E-3</v>
      </c>
      <c r="Q1410" s="1280">
        <v>8.3339547700530606E-3</v>
      </c>
      <c r="R1410" s="1271">
        <v>3.8500011034136201E-2</v>
      </c>
      <c r="S1410" s="1257">
        <v>3.8500011034136201E-2</v>
      </c>
      <c r="T1410" s="1257">
        <v>3.8500011034136201E-2</v>
      </c>
      <c r="U1410" s="1280">
        <v>1.9250005517068101E-2</v>
      </c>
      <c r="V1410" s="1293">
        <v>7.36862605813513E-3</v>
      </c>
    </row>
    <row r="1411" spans="1:22" s="212" customFormat="1" ht="15.5" x14ac:dyDescent="0.35">
      <c r="A1411" s="198">
        <v>2039</v>
      </c>
      <c r="B1411" s="197" t="s">
        <v>5833</v>
      </c>
      <c r="C1411" s="197">
        <v>1972</v>
      </c>
      <c r="D1411" s="225" t="str">
        <f t="shared" si="8"/>
        <v>2039_1972</v>
      </c>
      <c r="E1411" s="1226">
        <v>6.9491621182078606E-2</v>
      </c>
      <c r="F1411" s="1257">
        <v>2.1708858612197301E-2</v>
      </c>
      <c r="G1411" s="1280">
        <v>6.0591379482784903E-2</v>
      </c>
      <c r="H1411" s="1271">
        <v>0.388370738500947</v>
      </c>
      <c r="I1411" s="1257">
        <v>0.48358832237794602</v>
      </c>
      <c r="J1411" s="1280">
        <v>9.5524860310521306E-2</v>
      </c>
      <c r="K1411" s="1271">
        <v>7.0498625566262603E-3</v>
      </c>
      <c r="L1411" s="1257">
        <v>2.0942445324510601E-3</v>
      </c>
      <c r="M1411" s="1280">
        <v>3.7629145649841199E-4</v>
      </c>
      <c r="N1411" s="1271">
        <v>8.3339547700530606E-3</v>
      </c>
      <c r="O1411" s="1257">
        <v>3.0000008598028201E-3</v>
      </c>
      <c r="P1411" s="1257">
        <v>7.7845689439789397E-3</v>
      </c>
      <c r="Q1411" s="1280">
        <v>8.3339547700530606E-3</v>
      </c>
      <c r="R1411" s="1271">
        <v>3.8500011034136201E-2</v>
      </c>
      <c r="S1411" s="1257">
        <v>3.8500011034136201E-2</v>
      </c>
      <c r="T1411" s="1257">
        <v>3.8500011034136201E-2</v>
      </c>
      <c r="U1411" s="1280">
        <v>1.9250005517068101E-2</v>
      </c>
      <c r="V1411" s="1293">
        <v>7.36862605813513E-3</v>
      </c>
    </row>
    <row r="1412" spans="1:22" s="212" customFormat="1" ht="15.5" x14ac:dyDescent="0.35">
      <c r="A1412" s="198">
        <v>2039</v>
      </c>
      <c r="B1412" s="197" t="s">
        <v>5833</v>
      </c>
      <c r="C1412" s="197">
        <v>1973</v>
      </c>
      <c r="D1412" s="225" t="str">
        <f t="shared" si="8"/>
        <v>2039_1973</v>
      </c>
      <c r="E1412" s="1226">
        <v>6.9491621182078606E-2</v>
      </c>
      <c r="F1412" s="1257">
        <v>2.1708858612197301E-2</v>
      </c>
      <c r="G1412" s="1280">
        <v>6.0591379482784903E-2</v>
      </c>
      <c r="H1412" s="1271">
        <v>0.388370738500947</v>
      </c>
      <c r="I1412" s="1257">
        <v>0.48358832237794602</v>
      </c>
      <c r="J1412" s="1280">
        <v>9.5524860310521306E-2</v>
      </c>
      <c r="K1412" s="1271">
        <v>7.0498625566262603E-3</v>
      </c>
      <c r="L1412" s="1257">
        <v>2.0942445324510601E-3</v>
      </c>
      <c r="M1412" s="1280">
        <v>3.7629145649841199E-4</v>
      </c>
      <c r="N1412" s="1271">
        <v>8.3339547700530606E-3</v>
      </c>
      <c r="O1412" s="1257">
        <v>3.0000008598028201E-3</v>
      </c>
      <c r="P1412" s="1257">
        <v>7.7845689439789397E-3</v>
      </c>
      <c r="Q1412" s="1280">
        <v>8.3339547700530606E-3</v>
      </c>
      <c r="R1412" s="1271">
        <v>3.8500011034136201E-2</v>
      </c>
      <c r="S1412" s="1257">
        <v>3.8500011034136201E-2</v>
      </c>
      <c r="T1412" s="1257">
        <v>3.8500011034136201E-2</v>
      </c>
      <c r="U1412" s="1280">
        <v>1.9250005517068101E-2</v>
      </c>
      <c r="V1412" s="1293">
        <v>7.36862605813513E-3</v>
      </c>
    </row>
    <row r="1413" spans="1:22" s="212" customFormat="1" ht="15.5" x14ac:dyDescent="0.35">
      <c r="A1413" s="198">
        <v>2039</v>
      </c>
      <c r="B1413" s="197" t="s">
        <v>5833</v>
      </c>
      <c r="C1413" s="197">
        <v>1974</v>
      </c>
      <c r="D1413" s="225" t="str">
        <f t="shared" si="8"/>
        <v>2039_1974</v>
      </c>
      <c r="E1413" s="1226">
        <v>6.9491621182078606E-2</v>
      </c>
      <c r="F1413" s="1257">
        <v>2.1708858612197301E-2</v>
      </c>
      <c r="G1413" s="1280">
        <v>6.0591379482784903E-2</v>
      </c>
      <c r="H1413" s="1271">
        <v>0.388370738500947</v>
      </c>
      <c r="I1413" s="1257">
        <v>0.48358832237794602</v>
      </c>
      <c r="J1413" s="1280">
        <v>9.5524860310521306E-2</v>
      </c>
      <c r="K1413" s="1271">
        <v>7.0498625566262603E-3</v>
      </c>
      <c r="L1413" s="1257">
        <v>2.0942445324510601E-3</v>
      </c>
      <c r="M1413" s="1280">
        <v>3.7629145649841199E-4</v>
      </c>
      <c r="N1413" s="1271">
        <v>8.3339547700530606E-3</v>
      </c>
      <c r="O1413" s="1257">
        <v>3.0000008598028201E-3</v>
      </c>
      <c r="P1413" s="1257">
        <v>7.7845689439789397E-3</v>
      </c>
      <c r="Q1413" s="1280">
        <v>8.3339547700530606E-3</v>
      </c>
      <c r="R1413" s="1271">
        <v>3.8500011034136201E-2</v>
      </c>
      <c r="S1413" s="1257">
        <v>3.8500011034136201E-2</v>
      </c>
      <c r="T1413" s="1257">
        <v>3.8500011034136201E-2</v>
      </c>
      <c r="U1413" s="1280">
        <v>1.9250005517068101E-2</v>
      </c>
      <c r="V1413" s="1293">
        <v>7.36862605813513E-3</v>
      </c>
    </row>
    <row r="1414" spans="1:22" s="212" customFormat="1" ht="15.5" x14ac:dyDescent="0.35">
      <c r="A1414" s="198">
        <v>2039</v>
      </c>
      <c r="B1414" s="197" t="s">
        <v>5833</v>
      </c>
      <c r="C1414" s="197">
        <v>1975</v>
      </c>
      <c r="D1414" s="225" t="str">
        <f t="shared" si="8"/>
        <v>2039_1975</v>
      </c>
      <c r="E1414" s="1226">
        <v>6.9491621182078606E-2</v>
      </c>
      <c r="F1414" s="1257">
        <v>2.1708858612197301E-2</v>
      </c>
      <c r="G1414" s="1280">
        <v>6.0591379482784903E-2</v>
      </c>
      <c r="H1414" s="1271">
        <v>0.388370738500947</v>
      </c>
      <c r="I1414" s="1257">
        <v>0.48358832237794602</v>
      </c>
      <c r="J1414" s="1280">
        <v>9.5524860310521306E-2</v>
      </c>
      <c r="K1414" s="1271">
        <v>7.0498625566262603E-3</v>
      </c>
      <c r="L1414" s="1257">
        <v>2.0942445324510601E-3</v>
      </c>
      <c r="M1414" s="1280">
        <v>3.7629145649841199E-4</v>
      </c>
      <c r="N1414" s="1271">
        <v>8.3339547700530606E-3</v>
      </c>
      <c r="O1414" s="1257">
        <v>3.0000008598028201E-3</v>
      </c>
      <c r="P1414" s="1257">
        <v>7.7845689439789397E-3</v>
      </c>
      <c r="Q1414" s="1280">
        <v>8.3339547700530606E-3</v>
      </c>
      <c r="R1414" s="1271">
        <v>3.8500011034136201E-2</v>
      </c>
      <c r="S1414" s="1257">
        <v>3.8500011034136201E-2</v>
      </c>
      <c r="T1414" s="1257">
        <v>3.8500011034136201E-2</v>
      </c>
      <c r="U1414" s="1280">
        <v>1.9250005517068101E-2</v>
      </c>
      <c r="V1414" s="1293">
        <v>7.36862605813513E-3</v>
      </c>
    </row>
    <row r="1415" spans="1:22" s="212" customFormat="1" ht="15.5" x14ac:dyDescent="0.35">
      <c r="A1415" s="198">
        <v>2039</v>
      </c>
      <c r="B1415" s="197" t="s">
        <v>5833</v>
      </c>
      <c r="C1415" s="197">
        <v>1976</v>
      </c>
      <c r="D1415" s="225" t="str">
        <f t="shared" si="8"/>
        <v>2039_1976</v>
      </c>
      <c r="E1415" s="1226">
        <v>6.9491621182078606E-2</v>
      </c>
      <c r="F1415" s="1257">
        <v>2.1708858612197301E-2</v>
      </c>
      <c r="G1415" s="1280">
        <v>6.0591379482784903E-2</v>
      </c>
      <c r="H1415" s="1271">
        <v>0.388370738500947</v>
      </c>
      <c r="I1415" s="1257">
        <v>0.48358832237794602</v>
      </c>
      <c r="J1415" s="1280">
        <v>9.5524860310521306E-2</v>
      </c>
      <c r="K1415" s="1271">
        <v>7.0498625566262603E-3</v>
      </c>
      <c r="L1415" s="1257">
        <v>2.0942445324510601E-3</v>
      </c>
      <c r="M1415" s="1280">
        <v>3.7629145649841199E-4</v>
      </c>
      <c r="N1415" s="1271">
        <v>8.3339547700530606E-3</v>
      </c>
      <c r="O1415" s="1257">
        <v>3.0000008598028201E-3</v>
      </c>
      <c r="P1415" s="1257">
        <v>7.7845689439789397E-3</v>
      </c>
      <c r="Q1415" s="1280">
        <v>8.3339547700530606E-3</v>
      </c>
      <c r="R1415" s="1271">
        <v>3.8500011034136201E-2</v>
      </c>
      <c r="S1415" s="1257">
        <v>3.8500011034136201E-2</v>
      </c>
      <c r="T1415" s="1257">
        <v>3.8500011034136201E-2</v>
      </c>
      <c r="U1415" s="1280">
        <v>1.9250005517068101E-2</v>
      </c>
      <c r="V1415" s="1293">
        <v>7.36862605813513E-3</v>
      </c>
    </row>
    <row r="1416" spans="1:22" s="212" customFormat="1" ht="15.5" x14ac:dyDescent="0.35">
      <c r="A1416" s="198">
        <v>2039</v>
      </c>
      <c r="B1416" s="197" t="s">
        <v>5833</v>
      </c>
      <c r="C1416" s="197">
        <v>1977</v>
      </c>
      <c r="D1416" s="225" t="str">
        <f t="shared" si="8"/>
        <v>2039_1977</v>
      </c>
      <c r="E1416" s="1226">
        <v>6.9491621182078606E-2</v>
      </c>
      <c r="F1416" s="1257">
        <v>2.1708858612197301E-2</v>
      </c>
      <c r="G1416" s="1280">
        <v>6.0591379482784903E-2</v>
      </c>
      <c r="H1416" s="1271">
        <v>0.388370738500947</v>
      </c>
      <c r="I1416" s="1257">
        <v>0.48358832237794602</v>
      </c>
      <c r="J1416" s="1280">
        <v>9.5524860310521306E-2</v>
      </c>
      <c r="K1416" s="1271">
        <v>7.0498625566262603E-3</v>
      </c>
      <c r="L1416" s="1257">
        <v>2.0942445324510601E-3</v>
      </c>
      <c r="M1416" s="1280">
        <v>3.7629145649841199E-4</v>
      </c>
      <c r="N1416" s="1271">
        <v>8.3339547700530606E-3</v>
      </c>
      <c r="O1416" s="1257">
        <v>3.0000008598028201E-3</v>
      </c>
      <c r="P1416" s="1257">
        <v>7.7845689439789397E-3</v>
      </c>
      <c r="Q1416" s="1280">
        <v>8.3339547700530606E-3</v>
      </c>
      <c r="R1416" s="1271">
        <v>3.8500011034136201E-2</v>
      </c>
      <c r="S1416" s="1257">
        <v>3.8500011034136201E-2</v>
      </c>
      <c r="T1416" s="1257">
        <v>3.8500011034136201E-2</v>
      </c>
      <c r="U1416" s="1280">
        <v>1.9250005517068101E-2</v>
      </c>
      <c r="V1416" s="1293">
        <v>7.36862605813513E-3</v>
      </c>
    </row>
    <row r="1417" spans="1:22" s="212" customFormat="1" ht="15.5" x14ac:dyDescent="0.35">
      <c r="A1417" s="198">
        <v>2039</v>
      </c>
      <c r="B1417" s="197" t="s">
        <v>5833</v>
      </c>
      <c r="C1417" s="197">
        <v>1978</v>
      </c>
      <c r="D1417" s="225" t="str">
        <f t="shared" si="8"/>
        <v>2039_1978</v>
      </c>
      <c r="E1417" s="1226">
        <v>6.9491621182078606E-2</v>
      </c>
      <c r="F1417" s="1257">
        <v>2.1708858612197301E-2</v>
      </c>
      <c r="G1417" s="1280">
        <v>6.0591379482784903E-2</v>
      </c>
      <c r="H1417" s="1271">
        <v>0.388370738500947</v>
      </c>
      <c r="I1417" s="1257">
        <v>0.48358832237794602</v>
      </c>
      <c r="J1417" s="1280">
        <v>9.5524860310521306E-2</v>
      </c>
      <c r="K1417" s="1271">
        <v>7.0498625566262603E-3</v>
      </c>
      <c r="L1417" s="1257">
        <v>2.0942445324510601E-3</v>
      </c>
      <c r="M1417" s="1280">
        <v>3.7629145649841199E-4</v>
      </c>
      <c r="N1417" s="1271">
        <v>8.3339547700530606E-3</v>
      </c>
      <c r="O1417" s="1257">
        <v>3.0000008598028201E-3</v>
      </c>
      <c r="P1417" s="1257">
        <v>7.7845689439789397E-3</v>
      </c>
      <c r="Q1417" s="1280">
        <v>8.3339547700530606E-3</v>
      </c>
      <c r="R1417" s="1271">
        <v>3.8500011034136201E-2</v>
      </c>
      <c r="S1417" s="1257">
        <v>3.8500011034136201E-2</v>
      </c>
      <c r="T1417" s="1257">
        <v>3.8500011034136201E-2</v>
      </c>
      <c r="U1417" s="1280">
        <v>1.9250005517068101E-2</v>
      </c>
      <c r="V1417" s="1293">
        <v>7.36862605813513E-3</v>
      </c>
    </row>
    <row r="1418" spans="1:22" s="212" customFormat="1" ht="15.5" x14ac:dyDescent="0.35">
      <c r="A1418" s="198">
        <v>2039</v>
      </c>
      <c r="B1418" s="197" t="s">
        <v>5833</v>
      </c>
      <c r="C1418" s="197">
        <v>1979</v>
      </c>
      <c r="D1418" s="225" t="str">
        <f t="shared" si="8"/>
        <v>2039_1979</v>
      </c>
      <c r="E1418" s="1226">
        <v>6.9491621182078606E-2</v>
      </c>
      <c r="F1418" s="1257">
        <v>2.1708858612197301E-2</v>
      </c>
      <c r="G1418" s="1280">
        <v>6.0591379482784903E-2</v>
      </c>
      <c r="H1418" s="1271">
        <v>0.388370738500947</v>
      </c>
      <c r="I1418" s="1257">
        <v>0.48358832237794602</v>
      </c>
      <c r="J1418" s="1280">
        <v>9.5524860310521306E-2</v>
      </c>
      <c r="K1418" s="1271">
        <v>7.0498625566262603E-3</v>
      </c>
      <c r="L1418" s="1257">
        <v>2.0942445324510601E-3</v>
      </c>
      <c r="M1418" s="1280">
        <v>3.7629145649841199E-4</v>
      </c>
      <c r="N1418" s="1271">
        <v>8.3339547700530606E-3</v>
      </c>
      <c r="O1418" s="1257">
        <v>3.0000008598028201E-3</v>
      </c>
      <c r="P1418" s="1257">
        <v>7.7845689439789397E-3</v>
      </c>
      <c r="Q1418" s="1280">
        <v>8.3339547700530606E-3</v>
      </c>
      <c r="R1418" s="1271">
        <v>3.8500011034136201E-2</v>
      </c>
      <c r="S1418" s="1257">
        <v>3.8500011034136201E-2</v>
      </c>
      <c r="T1418" s="1257">
        <v>3.8500011034136201E-2</v>
      </c>
      <c r="U1418" s="1280">
        <v>1.9250005517068101E-2</v>
      </c>
      <c r="V1418" s="1293">
        <v>7.36862605813513E-3</v>
      </c>
    </row>
    <row r="1419" spans="1:22" s="212" customFormat="1" ht="15.5" x14ac:dyDescent="0.35">
      <c r="A1419" s="198">
        <v>2039</v>
      </c>
      <c r="B1419" s="197" t="s">
        <v>5833</v>
      </c>
      <c r="C1419" s="197">
        <v>1980</v>
      </c>
      <c r="D1419" s="225" t="str">
        <f t="shared" si="8"/>
        <v>2039_1980</v>
      </c>
      <c r="E1419" s="1226">
        <v>6.9491621182078606E-2</v>
      </c>
      <c r="F1419" s="1257">
        <v>2.1708858612197301E-2</v>
      </c>
      <c r="G1419" s="1280">
        <v>6.0591379482784903E-2</v>
      </c>
      <c r="H1419" s="1271">
        <v>0.388370738500947</v>
      </c>
      <c r="I1419" s="1257">
        <v>0.48358832237794602</v>
      </c>
      <c r="J1419" s="1280">
        <v>9.5524860310521306E-2</v>
      </c>
      <c r="K1419" s="1271">
        <v>7.0498625566262603E-3</v>
      </c>
      <c r="L1419" s="1257">
        <v>2.0942445324510601E-3</v>
      </c>
      <c r="M1419" s="1280">
        <v>3.7629145649841199E-4</v>
      </c>
      <c r="N1419" s="1271">
        <v>8.3339547700530606E-3</v>
      </c>
      <c r="O1419" s="1257">
        <v>3.0000008598028201E-3</v>
      </c>
      <c r="P1419" s="1257">
        <v>7.7845689439789397E-3</v>
      </c>
      <c r="Q1419" s="1280">
        <v>8.3339547700530606E-3</v>
      </c>
      <c r="R1419" s="1271">
        <v>3.8500011034136201E-2</v>
      </c>
      <c r="S1419" s="1257">
        <v>3.8500011034136201E-2</v>
      </c>
      <c r="T1419" s="1257">
        <v>3.8500011034136201E-2</v>
      </c>
      <c r="U1419" s="1280">
        <v>1.9250005517068101E-2</v>
      </c>
      <c r="V1419" s="1293">
        <v>7.36862605813513E-3</v>
      </c>
    </row>
    <row r="1420" spans="1:22" s="212" customFormat="1" ht="15.5" x14ac:dyDescent="0.35">
      <c r="A1420" s="198">
        <v>2039</v>
      </c>
      <c r="B1420" s="197" t="s">
        <v>5833</v>
      </c>
      <c r="C1420" s="197">
        <v>1981</v>
      </c>
      <c r="D1420" s="225" t="str">
        <f t="shared" si="8"/>
        <v>2039_1981</v>
      </c>
      <c r="E1420" s="1226">
        <v>6.9491621182078606E-2</v>
      </c>
      <c r="F1420" s="1257">
        <v>2.1708858612197301E-2</v>
      </c>
      <c r="G1420" s="1280">
        <v>6.0591379482784903E-2</v>
      </c>
      <c r="H1420" s="1271">
        <v>0.388370738500947</v>
      </c>
      <c r="I1420" s="1257">
        <v>0.48358832237794602</v>
      </c>
      <c r="J1420" s="1280">
        <v>9.5524860310521306E-2</v>
      </c>
      <c r="K1420" s="1271">
        <v>7.0498625566262603E-3</v>
      </c>
      <c r="L1420" s="1257">
        <v>2.0942445324510601E-3</v>
      </c>
      <c r="M1420" s="1280">
        <v>3.7629145649841199E-4</v>
      </c>
      <c r="N1420" s="1271">
        <v>8.3339547700530606E-3</v>
      </c>
      <c r="O1420" s="1257">
        <v>3.0000008598028201E-3</v>
      </c>
      <c r="P1420" s="1257">
        <v>7.7845689439789397E-3</v>
      </c>
      <c r="Q1420" s="1280">
        <v>8.3339547700530606E-3</v>
      </c>
      <c r="R1420" s="1271">
        <v>3.8500011034136201E-2</v>
      </c>
      <c r="S1420" s="1257">
        <v>3.8500011034136201E-2</v>
      </c>
      <c r="T1420" s="1257">
        <v>3.8500011034136201E-2</v>
      </c>
      <c r="U1420" s="1280">
        <v>1.9250005517068101E-2</v>
      </c>
      <c r="V1420" s="1293">
        <v>7.36862605813513E-3</v>
      </c>
    </row>
    <row r="1421" spans="1:22" s="212" customFormat="1" ht="15.5" x14ac:dyDescent="0.35">
      <c r="A1421" s="198">
        <v>2039</v>
      </c>
      <c r="B1421" s="197" t="s">
        <v>5833</v>
      </c>
      <c r="C1421" s="197">
        <v>1982</v>
      </c>
      <c r="D1421" s="225" t="str">
        <f t="shared" si="8"/>
        <v>2039_1982</v>
      </c>
      <c r="E1421" s="1226">
        <v>6.9491621182078606E-2</v>
      </c>
      <c r="F1421" s="1257">
        <v>2.1708858612197301E-2</v>
      </c>
      <c r="G1421" s="1280">
        <v>6.0591379482784903E-2</v>
      </c>
      <c r="H1421" s="1271">
        <v>0.388370738500947</v>
      </c>
      <c r="I1421" s="1257">
        <v>0.48358832237794602</v>
      </c>
      <c r="J1421" s="1280">
        <v>9.5524860310521306E-2</v>
      </c>
      <c r="K1421" s="1271">
        <v>7.0498625566262603E-3</v>
      </c>
      <c r="L1421" s="1257">
        <v>2.0942445324510601E-3</v>
      </c>
      <c r="M1421" s="1280">
        <v>3.7629145649841199E-4</v>
      </c>
      <c r="N1421" s="1271">
        <v>8.3339547700530606E-3</v>
      </c>
      <c r="O1421" s="1257">
        <v>3.0000008598028201E-3</v>
      </c>
      <c r="P1421" s="1257">
        <v>7.7845689439789397E-3</v>
      </c>
      <c r="Q1421" s="1280">
        <v>8.3339547700530606E-3</v>
      </c>
      <c r="R1421" s="1271">
        <v>3.8500011034136201E-2</v>
      </c>
      <c r="S1421" s="1257">
        <v>3.8500011034136201E-2</v>
      </c>
      <c r="T1421" s="1257">
        <v>3.8500011034136201E-2</v>
      </c>
      <c r="U1421" s="1280">
        <v>1.9250005517068101E-2</v>
      </c>
      <c r="V1421" s="1293">
        <v>7.36862605813513E-3</v>
      </c>
    </row>
    <row r="1422" spans="1:22" s="212" customFormat="1" ht="15.5" x14ac:dyDescent="0.35">
      <c r="A1422" s="198">
        <v>2039</v>
      </c>
      <c r="B1422" s="197" t="s">
        <v>5833</v>
      </c>
      <c r="C1422" s="197">
        <v>1983</v>
      </c>
      <c r="D1422" s="225" t="str">
        <f t="shared" si="8"/>
        <v>2039_1983</v>
      </c>
      <c r="E1422" s="1226">
        <v>6.9491621182078606E-2</v>
      </c>
      <c r="F1422" s="1257">
        <v>2.1708858612197301E-2</v>
      </c>
      <c r="G1422" s="1280">
        <v>6.0591379482784903E-2</v>
      </c>
      <c r="H1422" s="1271">
        <v>0.388370738500947</v>
      </c>
      <c r="I1422" s="1257">
        <v>0.48358832237794602</v>
      </c>
      <c r="J1422" s="1280">
        <v>9.5524860310521306E-2</v>
      </c>
      <c r="K1422" s="1271">
        <v>7.0498625566262603E-3</v>
      </c>
      <c r="L1422" s="1257">
        <v>2.0942445324510601E-3</v>
      </c>
      <c r="M1422" s="1280">
        <v>3.7629145649841199E-4</v>
      </c>
      <c r="N1422" s="1271">
        <v>8.3339547700530606E-3</v>
      </c>
      <c r="O1422" s="1257">
        <v>3.0000008598028201E-3</v>
      </c>
      <c r="P1422" s="1257">
        <v>7.7845689439789397E-3</v>
      </c>
      <c r="Q1422" s="1280">
        <v>8.3339547700530606E-3</v>
      </c>
      <c r="R1422" s="1271">
        <v>3.8500011034136201E-2</v>
      </c>
      <c r="S1422" s="1257">
        <v>3.8500011034136201E-2</v>
      </c>
      <c r="T1422" s="1257">
        <v>3.8500011034136201E-2</v>
      </c>
      <c r="U1422" s="1280">
        <v>1.9250005517068101E-2</v>
      </c>
      <c r="V1422" s="1293">
        <v>7.36862605813513E-3</v>
      </c>
    </row>
    <row r="1423" spans="1:22" s="212" customFormat="1" ht="15.5" x14ac:dyDescent="0.35">
      <c r="A1423" s="198">
        <v>2039</v>
      </c>
      <c r="B1423" s="197" t="s">
        <v>5833</v>
      </c>
      <c r="C1423" s="197">
        <v>1984</v>
      </c>
      <c r="D1423" s="225" t="str">
        <f t="shared" si="8"/>
        <v>2039_1984</v>
      </c>
      <c r="E1423" s="1226">
        <v>6.9491621182078606E-2</v>
      </c>
      <c r="F1423" s="1257">
        <v>2.1708858612197301E-2</v>
      </c>
      <c r="G1423" s="1280">
        <v>6.0591379482784903E-2</v>
      </c>
      <c r="H1423" s="1271">
        <v>0.388370738500947</v>
      </c>
      <c r="I1423" s="1257">
        <v>0.48358832237794602</v>
      </c>
      <c r="J1423" s="1280">
        <v>9.5524860310521306E-2</v>
      </c>
      <c r="K1423" s="1271">
        <v>7.0498625566262603E-3</v>
      </c>
      <c r="L1423" s="1257">
        <v>2.0942445324510601E-3</v>
      </c>
      <c r="M1423" s="1280">
        <v>3.7629145649841199E-4</v>
      </c>
      <c r="N1423" s="1271">
        <v>8.3339547700530606E-3</v>
      </c>
      <c r="O1423" s="1257">
        <v>3.0000008598028201E-3</v>
      </c>
      <c r="P1423" s="1257">
        <v>7.7845689439789397E-3</v>
      </c>
      <c r="Q1423" s="1280">
        <v>8.3339547700530606E-3</v>
      </c>
      <c r="R1423" s="1271">
        <v>3.8500011034136201E-2</v>
      </c>
      <c r="S1423" s="1257">
        <v>3.8500011034136201E-2</v>
      </c>
      <c r="T1423" s="1257">
        <v>3.8500011034136201E-2</v>
      </c>
      <c r="U1423" s="1280">
        <v>1.9250005517068101E-2</v>
      </c>
      <c r="V1423" s="1293">
        <v>7.36862605813513E-3</v>
      </c>
    </row>
    <row r="1424" spans="1:22" s="212" customFormat="1" ht="15.5" x14ac:dyDescent="0.35">
      <c r="A1424" s="198">
        <v>2039</v>
      </c>
      <c r="B1424" s="197" t="s">
        <v>5833</v>
      </c>
      <c r="C1424" s="197">
        <v>1985</v>
      </c>
      <c r="D1424" s="225" t="str">
        <f t="shared" si="8"/>
        <v>2039_1985</v>
      </c>
      <c r="E1424" s="1226">
        <v>6.9491621182078606E-2</v>
      </c>
      <c r="F1424" s="1257">
        <v>2.1708858612197301E-2</v>
      </c>
      <c r="G1424" s="1280">
        <v>6.0591379482784903E-2</v>
      </c>
      <c r="H1424" s="1271">
        <v>0.388370738500947</v>
      </c>
      <c r="I1424" s="1257">
        <v>0.48358832237794602</v>
      </c>
      <c r="J1424" s="1280">
        <v>9.5524860310521306E-2</v>
      </c>
      <c r="K1424" s="1271">
        <v>7.0498625566262603E-3</v>
      </c>
      <c r="L1424" s="1257">
        <v>2.0942445324510601E-3</v>
      </c>
      <c r="M1424" s="1280">
        <v>3.7629145649841199E-4</v>
      </c>
      <c r="N1424" s="1271">
        <v>8.3339547700530606E-3</v>
      </c>
      <c r="O1424" s="1257">
        <v>3.0000008598028201E-3</v>
      </c>
      <c r="P1424" s="1257">
        <v>7.7845689439789397E-3</v>
      </c>
      <c r="Q1424" s="1280">
        <v>8.3339547700530606E-3</v>
      </c>
      <c r="R1424" s="1271">
        <v>3.8500011034136201E-2</v>
      </c>
      <c r="S1424" s="1257">
        <v>3.8500011034136201E-2</v>
      </c>
      <c r="T1424" s="1257">
        <v>3.8500011034136201E-2</v>
      </c>
      <c r="U1424" s="1280">
        <v>1.9250005517068101E-2</v>
      </c>
      <c r="V1424" s="1293">
        <v>7.36862605813513E-3</v>
      </c>
    </row>
    <row r="1425" spans="1:22" s="212" customFormat="1" ht="15.5" x14ac:dyDescent="0.35">
      <c r="A1425" s="198">
        <v>2039</v>
      </c>
      <c r="B1425" s="197" t="s">
        <v>5833</v>
      </c>
      <c r="C1425" s="197">
        <v>1986</v>
      </c>
      <c r="D1425" s="225" t="str">
        <f t="shared" si="8"/>
        <v>2039_1986</v>
      </c>
      <c r="E1425" s="1226">
        <v>6.9491621182078606E-2</v>
      </c>
      <c r="F1425" s="1257">
        <v>2.1708858612197301E-2</v>
      </c>
      <c r="G1425" s="1280">
        <v>6.0591379482784903E-2</v>
      </c>
      <c r="H1425" s="1271">
        <v>0.388370738500947</v>
      </c>
      <c r="I1425" s="1257">
        <v>0.48358832237794602</v>
      </c>
      <c r="J1425" s="1280">
        <v>9.5524860310521306E-2</v>
      </c>
      <c r="K1425" s="1271">
        <v>7.0498625566262603E-3</v>
      </c>
      <c r="L1425" s="1257">
        <v>2.0942445324510601E-3</v>
      </c>
      <c r="M1425" s="1280">
        <v>3.7629145649841199E-4</v>
      </c>
      <c r="N1425" s="1271">
        <v>8.3339547700530606E-3</v>
      </c>
      <c r="O1425" s="1257">
        <v>3.0000008598028201E-3</v>
      </c>
      <c r="P1425" s="1257">
        <v>7.7845689439789397E-3</v>
      </c>
      <c r="Q1425" s="1280">
        <v>8.3339547700530606E-3</v>
      </c>
      <c r="R1425" s="1271">
        <v>3.8500011034136201E-2</v>
      </c>
      <c r="S1425" s="1257">
        <v>3.8500011034136201E-2</v>
      </c>
      <c r="T1425" s="1257">
        <v>3.8500011034136201E-2</v>
      </c>
      <c r="U1425" s="1280">
        <v>1.9250005517068101E-2</v>
      </c>
      <c r="V1425" s="1293">
        <v>7.36862605813513E-3</v>
      </c>
    </row>
    <row r="1426" spans="1:22" s="212" customFormat="1" ht="15.5" x14ac:dyDescent="0.35">
      <c r="A1426" s="198">
        <v>2039</v>
      </c>
      <c r="B1426" s="197" t="s">
        <v>5833</v>
      </c>
      <c r="C1426" s="197">
        <v>1987</v>
      </c>
      <c r="D1426" s="225" t="str">
        <f t="shared" si="8"/>
        <v>2039_1987</v>
      </c>
      <c r="E1426" s="1226">
        <v>6.9491621182078606E-2</v>
      </c>
      <c r="F1426" s="1257">
        <v>2.1708858612197301E-2</v>
      </c>
      <c r="G1426" s="1280">
        <v>6.0591379482784903E-2</v>
      </c>
      <c r="H1426" s="1271">
        <v>0.388370738500947</v>
      </c>
      <c r="I1426" s="1257">
        <v>0.48358832237794602</v>
      </c>
      <c r="J1426" s="1280">
        <v>9.5524860310521306E-2</v>
      </c>
      <c r="K1426" s="1271">
        <v>7.0498625566262603E-3</v>
      </c>
      <c r="L1426" s="1257">
        <v>2.0942445324510601E-3</v>
      </c>
      <c r="M1426" s="1280">
        <v>3.7629145649841199E-4</v>
      </c>
      <c r="N1426" s="1271">
        <v>8.3339547700530606E-3</v>
      </c>
      <c r="O1426" s="1257">
        <v>3.0000008598028201E-3</v>
      </c>
      <c r="P1426" s="1257">
        <v>7.7845689439789397E-3</v>
      </c>
      <c r="Q1426" s="1280">
        <v>8.3339547700530606E-3</v>
      </c>
      <c r="R1426" s="1271">
        <v>3.8500011034136201E-2</v>
      </c>
      <c r="S1426" s="1257">
        <v>3.8500011034136201E-2</v>
      </c>
      <c r="T1426" s="1257">
        <v>3.8500011034136201E-2</v>
      </c>
      <c r="U1426" s="1280">
        <v>1.9250005517068101E-2</v>
      </c>
      <c r="V1426" s="1293">
        <v>7.36862605813513E-3</v>
      </c>
    </row>
    <row r="1427" spans="1:22" s="212" customFormat="1" ht="15.5" x14ac:dyDescent="0.35">
      <c r="A1427" s="198">
        <v>2039</v>
      </c>
      <c r="B1427" s="197" t="s">
        <v>5833</v>
      </c>
      <c r="C1427" s="197">
        <v>1988</v>
      </c>
      <c r="D1427" s="225" t="str">
        <f t="shared" si="8"/>
        <v>2039_1988</v>
      </c>
      <c r="E1427" s="1226">
        <v>6.9491621182078606E-2</v>
      </c>
      <c r="F1427" s="1257">
        <v>2.1708858612197301E-2</v>
      </c>
      <c r="G1427" s="1280">
        <v>6.0591379482784903E-2</v>
      </c>
      <c r="H1427" s="1271">
        <v>0.388370738500947</v>
      </c>
      <c r="I1427" s="1257">
        <v>0.48358832237794602</v>
      </c>
      <c r="J1427" s="1280">
        <v>9.5524860310521306E-2</v>
      </c>
      <c r="K1427" s="1271">
        <v>7.0498625566262603E-3</v>
      </c>
      <c r="L1427" s="1257">
        <v>2.0942445324510601E-3</v>
      </c>
      <c r="M1427" s="1280">
        <v>3.7629145649841199E-4</v>
      </c>
      <c r="N1427" s="1271">
        <v>8.3339547700530606E-3</v>
      </c>
      <c r="O1427" s="1257">
        <v>3.0000008598028201E-3</v>
      </c>
      <c r="P1427" s="1257">
        <v>7.7845689439789397E-3</v>
      </c>
      <c r="Q1427" s="1280">
        <v>8.3339547700530606E-3</v>
      </c>
      <c r="R1427" s="1271">
        <v>3.8500011034136201E-2</v>
      </c>
      <c r="S1427" s="1257">
        <v>3.8500011034136201E-2</v>
      </c>
      <c r="T1427" s="1257">
        <v>3.8500011034136201E-2</v>
      </c>
      <c r="U1427" s="1280">
        <v>1.9250005517068101E-2</v>
      </c>
      <c r="V1427" s="1293">
        <v>7.36862605813513E-3</v>
      </c>
    </row>
    <row r="1428" spans="1:22" s="212" customFormat="1" ht="15.5" x14ac:dyDescent="0.35">
      <c r="A1428" s="198">
        <v>2039</v>
      </c>
      <c r="B1428" s="197" t="s">
        <v>5833</v>
      </c>
      <c r="C1428" s="197">
        <v>1989</v>
      </c>
      <c r="D1428" s="225" t="str">
        <f t="shared" si="8"/>
        <v>2039_1989</v>
      </c>
      <c r="E1428" s="1226">
        <v>6.9491621182078606E-2</v>
      </c>
      <c r="F1428" s="1257">
        <v>2.1708858612197301E-2</v>
      </c>
      <c r="G1428" s="1280">
        <v>6.0591379482784903E-2</v>
      </c>
      <c r="H1428" s="1271">
        <v>0.388370738500947</v>
      </c>
      <c r="I1428" s="1257">
        <v>0.48358832237794602</v>
      </c>
      <c r="J1428" s="1280">
        <v>9.5524860310521306E-2</v>
      </c>
      <c r="K1428" s="1271">
        <v>7.0498625566262603E-3</v>
      </c>
      <c r="L1428" s="1257">
        <v>2.0942445324510601E-3</v>
      </c>
      <c r="M1428" s="1280">
        <v>3.7629145649841199E-4</v>
      </c>
      <c r="N1428" s="1271">
        <v>8.3339547700530606E-3</v>
      </c>
      <c r="O1428" s="1257">
        <v>3.0000008598028201E-3</v>
      </c>
      <c r="P1428" s="1257">
        <v>7.7845689439789397E-3</v>
      </c>
      <c r="Q1428" s="1280">
        <v>8.3339547700530606E-3</v>
      </c>
      <c r="R1428" s="1271">
        <v>3.8500011034136201E-2</v>
      </c>
      <c r="S1428" s="1257">
        <v>3.8500011034136201E-2</v>
      </c>
      <c r="T1428" s="1257">
        <v>3.8500011034136201E-2</v>
      </c>
      <c r="U1428" s="1280">
        <v>1.9250005517068101E-2</v>
      </c>
      <c r="V1428" s="1293">
        <v>7.36862605813513E-3</v>
      </c>
    </row>
    <row r="1429" spans="1:22" s="212" customFormat="1" ht="15.5" x14ac:dyDescent="0.35">
      <c r="A1429" s="198">
        <v>2039</v>
      </c>
      <c r="B1429" s="197" t="s">
        <v>5833</v>
      </c>
      <c r="C1429" s="197">
        <v>1990</v>
      </c>
      <c r="D1429" s="225" t="str">
        <f t="shared" si="8"/>
        <v>2039_1990</v>
      </c>
      <c r="E1429" s="1226">
        <v>6.9491621182078606E-2</v>
      </c>
      <c r="F1429" s="1257">
        <v>2.1708858612197301E-2</v>
      </c>
      <c r="G1429" s="1280">
        <v>6.0591379482784903E-2</v>
      </c>
      <c r="H1429" s="1271">
        <v>0.388370738500947</v>
      </c>
      <c r="I1429" s="1257">
        <v>0.48358832237794602</v>
      </c>
      <c r="J1429" s="1280">
        <v>9.5524860310521306E-2</v>
      </c>
      <c r="K1429" s="1271">
        <v>7.0498625566262603E-3</v>
      </c>
      <c r="L1429" s="1257">
        <v>2.0942445324510601E-3</v>
      </c>
      <c r="M1429" s="1280">
        <v>3.7629145649841199E-4</v>
      </c>
      <c r="N1429" s="1271">
        <v>8.3339547700530606E-3</v>
      </c>
      <c r="O1429" s="1257">
        <v>3.0000008598028201E-3</v>
      </c>
      <c r="P1429" s="1257">
        <v>7.7845689439789397E-3</v>
      </c>
      <c r="Q1429" s="1280">
        <v>8.3339547700530606E-3</v>
      </c>
      <c r="R1429" s="1271">
        <v>3.8500011034136201E-2</v>
      </c>
      <c r="S1429" s="1257">
        <v>3.8500011034136201E-2</v>
      </c>
      <c r="T1429" s="1257">
        <v>3.8500011034136201E-2</v>
      </c>
      <c r="U1429" s="1280">
        <v>1.9250005517068101E-2</v>
      </c>
      <c r="V1429" s="1293">
        <v>7.36862605813513E-3</v>
      </c>
    </row>
    <row r="1430" spans="1:22" s="212" customFormat="1" ht="15.5" x14ac:dyDescent="0.35">
      <c r="A1430" s="198">
        <v>2039</v>
      </c>
      <c r="B1430" s="197" t="s">
        <v>5833</v>
      </c>
      <c r="C1430" s="197">
        <v>1991</v>
      </c>
      <c r="D1430" s="225" t="str">
        <f t="shared" si="8"/>
        <v>2039_1991</v>
      </c>
      <c r="E1430" s="1226">
        <v>6.9491621182078606E-2</v>
      </c>
      <c r="F1430" s="1257">
        <v>2.1708858612197301E-2</v>
      </c>
      <c r="G1430" s="1280">
        <v>6.0591379482784903E-2</v>
      </c>
      <c r="H1430" s="1271">
        <v>0.388370738500947</v>
      </c>
      <c r="I1430" s="1257">
        <v>0.48358832237794602</v>
      </c>
      <c r="J1430" s="1280">
        <v>9.5524860310521306E-2</v>
      </c>
      <c r="K1430" s="1271">
        <v>7.0498625566262603E-3</v>
      </c>
      <c r="L1430" s="1257">
        <v>2.0942445324510601E-3</v>
      </c>
      <c r="M1430" s="1280">
        <v>3.7629145649841199E-4</v>
      </c>
      <c r="N1430" s="1271">
        <v>8.3339547700530606E-3</v>
      </c>
      <c r="O1430" s="1257">
        <v>3.0000008598028201E-3</v>
      </c>
      <c r="P1430" s="1257">
        <v>7.7845689439789397E-3</v>
      </c>
      <c r="Q1430" s="1280">
        <v>8.3339547700530606E-3</v>
      </c>
      <c r="R1430" s="1271">
        <v>3.8500011034136201E-2</v>
      </c>
      <c r="S1430" s="1257">
        <v>3.8500011034136201E-2</v>
      </c>
      <c r="T1430" s="1257">
        <v>3.8500011034136201E-2</v>
      </c>
      <c r="U1430" s="1280">
        <v>1.9250005517068101E-2</v>
      </c>
      <c r="V1430" s="1293">
        <v>7.36862605813513E-3</v>
      </c>
    </row>
    <row r="1431" spans="1:22" s="212" customFormat="1" ht="15.5" x14ac:dyDescent="0.35">
      <c r="A1431" s="198">
        <v>2039</v>
      </c>
      <c r="B1431" s="197" t="s">
        <v>5833</v>
      </c>
      <c r="C1431" s="197">
        <v>1992</v>
      </c>
      <c r="D1431" s="225" t="str">
        <f t="shared" si="8"/>
        <v>2039_1992</v>
      </c>
      <c r="E1431" s="1226">
        <v>6.9491621182078606E-2</v>
      </c>
      <c r="F1431" s="1257">
        <v>2.1708858612197301E-2</v>
      </c>
      <c r="G1431" s="1280">
        <v>6.0591379482784903E-2</v>
      </c>
      <c r="H1431" s="1271">
        <v>0.388370738500947</v>
      </c>
      <c r="I1431" s="1257">
        <v>0.48358832237794602</v>
      </c>
      <c r="J1431" s="1280">
        <v>9.5524860310521306E-2</v>
      </c>
      <c r="K1431" s="1271">
        <v>7.0498625566262603E-3</v>
      </c>
      <c r="L1431" s="1257">
        <v>2.0942445324510601E-3</v>
      </c>
      <c r="M1431" s="1280">
        <v>3.7629145649841199E-4</v>
      </c>
      <c r="N1431" s="1271">
        <v>8.3339547700530606E-3</v>
      </c>
      <c r="O1431" s="1257">
        <v>3.0000008598028201E-3</v>
      </c>
      <c r="P1431" s="1257">
        <v>7.7845689439789397E-3</v>
      </c>
      <c r="Q1431" s="1280">
        <v>8.3339547700530606E-3</v>
      </c>
      <c r="R1431" s="1271">
        <v>3.8500011034136201E-2</v>
      </c>
      <c r="S1431" s="1257">
        <v>3.8500011034136201E-2</v>
      </c>
      <c r="T1431" s="1257">
        <v>3.8500011034136201E-2</v>
      </c>
      <c r="U1431" s="1280">
        <v>1.9250005517068101E-2</v>
      </c>
      <c r="V1431" s="1293">
        <v>7.36862605813513E-3</v>
      </c>
    </row>
    <row r="1432" spans="1:22" s="212" customFormat="1" ht="15.5" x14ac:dyDescent="0.35">
      <c r="A1432" s="198">
        <v>2039</v>
      </c>
      <c r="B1432" s="197" t="s">
        <v>5833</v>
      </c>
      <c r="C1432" s="197">
        <v>1993</v>
      </c>
      <c r="D1432" s="225" t="str">
        <f t="shared" si="8"/>
        <v>2039_1993</v>
      </c>
      <c r="E1432" s="1226">
        <v>6.9491621182078606E-2</v>
      </c>
      <c r="F1432" s="1257">
        <v>2.1708858612197301E-2</v>
      </c>
      <c r="G1432" s="1280">
        <v>6.0591379482784903E-2</v>
      </c>
      <c r="H1432" s="1271">
        <v>0.388370738500947</v>
      </c>
      <c r="I1432" s="1257">
        <v>0.48358832237794602</v>
      </c>
      <c r="J1432" s="1280">
        <v>9.5524860310521306E-2</v>
      </c>
      <c r="K1432" s="1271">
        <v>7.0498625566262603E-3</v>
      </c>
      <c r="L1432" s="1257">
        <v>2.0942445324510601E-3</v>
      </c>
      <c r="M1432" s="1280">
        <v>3.7629145649841199E-4</v>
      </c>
      <c r="N1432" s="1271">
        <v>8.3339547700530606E-3</v>
      </c>
      <c r="O1432" s="1257">
        <v>3.0000008598028201E-3</v>
      </c>
      <c r="P1432" s="1257">
        <v>7.7845689439789397E-3</v>
      </c>
      <c r="Q1432" s="1280">
        <v>8.3339547700530606E-3</v>
      </c>
      <c r="R1432" s="1271">
        <v>3.8500011034136201E-2</v>
      </c>
      <c r="S1432" s="1257">
        <v>3.8500011034136201E-2</v>
      </c>
      <c r="T1432" s="1257">
        <v>3.8500011034136201E-2</v>
      </c>
      <c r="U1432" s="1280">
        <v>1.9250005517068101E-2</v>
      </c>
      <c r="V1432" s="1293">
        <v>7.36862605813513E-3</v>
      </c>
    </row>
    <row r="1433" spans="1:22" s="212" customFormat="1" ht="15.5" x14ac:dyDescent="0.35">
      <c r="A1433" s="198">
        <v>2039</v>
      </c>
      <c r="B1433" s="197" t="s">
        <v>5833</v>
      </c>
      <c r="C1433" s="197">
        <v>1994</v>
      </c>
      <c r="D1433" s="225" t="str">
        <f t="shared" si="8"/>
        <v>2039_1994</v>
      </c>
      <c r="E1433" s="1226">
        <v>6.9491621182078606E-2</v>
      </c>
      <c r="F1433" s="1257">
        <v>2.1708858612197301E-2</v>
      </c>
      <c r="G1433" s="1280">
        <v>6.0591379482784903E-2</v>
      </c>
      <c r="H1433" s="1271">
        <v>0.388370738500947</v>
      </c>
      <c r="I1433" s="1257">
        <v>0.48358832237794602</v>
      </c>
      <c r="J1433" s="1280">
        <v>9.5524860310521306E-2</v>
      </c>
      <c r="K1433" s="1271">
        <v>7.0498625566262603E-3</v>
      </c>
      <c r="L1433" s="1257">
        <v>2.0942445324510601E-3</v>
      </c>
      <c r="M1433" s="1280">
        <v>3.7629145649841199E-4</v>
      </c>
      <c r="N1433" s="1271">
        <v>8.3339547700530606E-3</v>
      </c>
      <c r="O1433" s="1257">
        <v>3.0000008598028201E-3</v>
      </c>
      <c r="P1433" s="1257">
        <v>7.7845689439789397E-3</v>
      </c>
      <c r="Q1433" s="1280">
        <v>8.3339547700530606E-3</v>
      </c>
      <c r="R1433" s="1271">
        <v>3.8500011034136201E-2</v>
      </c>
      <c r="S1433" s="1257">
        <v>3.8500011034136201E-2</v>
      </c>
      <c r="T1433" s="1257">
        <v>3.8500011034136201E-2</v>
      </c>
      <c r="U1433" s="1280">
        <v>1.9250005517068101E-2</v>
      </c>
      <c r="V1433" s="1293">
        <v>7.36862605813513E-3</v>
      </c>
    </row>
    <row r="1434" spans="1:22" s="212" customFormat="1" ht="15.5" x14ac:dyDescent="0.35">
      <c r="A1434" s="198">
        <v>2039</v>
      </c>
      <c r="B1434" s="197" t="s">
        <v>5833</v>
      </c>
      <c r="C1434" s="197">
        <v>1995</v>
      </c>
      <c r="D1434" s="225" t="str">
        <f t="shared" si="8"/>
        <v>2039_1995</v>
      </c>
      <c r="E1434" s="1226">
        <v>6.9491621182078606E-2</v>
      </c>
      <c r="F1434" s="1257">
        <v>2.1708858612197301E-2</v>
      </c>
      <c r="G1434" s="1280">
        <v>6.0591379482784903E-2</v>
      </c>
      <c r="H1434" s="1271">
        <v>0.388370738500947</v>
      </c>
      <c r="I1434" s="1257">
        <v>0.48358832237794602</v>
      </c>
      <c r="J1434" s="1280">
        <v>9.5524860310521306E-2</v>
      </c>
      <c r="K1434" s="1271">
        <v>7.0498625566262603E-3</v>
      </c>
      <c r="L1434" s="1257">
        <v>2.0942445324510601E-3</v>
      </c>
      <c r="M1434" s="1280">
        <v>3.7629145649841199E-4</v>
      </c>
      <c r="N1434" s="1271">
        <v>8.3339547700530606E-3</v>
      </c>
      <c r="O1434" s="1257">
        <v>3.0000008598028201E-3</v>
      </c>
      <c r="P1434" s="1257">
        <v>7.7845689439789397E-3</v>
      </c>
      <c r="Q1434" s="1280">
        <v>8.3339547700530606E-3</v>
      </c>
      <c r="R1434" s="1271">
        <v>3.8500011034136201E-2</v>
      </c>
      <c r="S1434" s="1257">
        <v>3.8500011034136201E-2</v>
      </c>
      <c r="T1434" s="1257">
        <v>3.8500011034136201E-2</v>
      </c>
      <c r="U1434" s="1280">
        <v>1.9250005517068101E-2</v>
      </c>
      <c r="V1434" s="1293">
        <v>7.36862605813513E-3</v>
      </c>
    </row>
    <row r="1435" spans="1:22" s="212" customFormat="1" ht="15.5" x14ac:dyDescent="0.35">
      <c r="A1435" s="198">
        <v>2039</v>
      </c>
      <c r="B1435" s="197" t="s">
        <v>5833</v>
      </c>
      <c r="C1435" s="197">
        <v>1996</v>
      </c>
      <c r="D1435" s="225" t="str">
        <f t="shared" si="8"/>
        <v>2039_1996</v>
      </c>
      <c r="E1435" s="1226">
        <v>6.9491621182078606E-2</v>
      </c>
      <c r="F1435" s="1257">
        <v>2.1708858612197301E-2</v>
      </c>
      <c r="G1435" s="1280">
        <v>6.0591379482784903E-2</v>
      </c>
      <c r="H1435" s="1271">
        <v>0.388370738500947</v>
      </c>
      <c r="I1435" s="1257">
        <v>0.48358832237794602</v>
      </c>
      <c r="J1435" s="1280">
        <v>9.5524860310521306E-2</v>
      </c>
      <c r="K1435" s="1271">
        <v>7.0498625566262603E-3</v>
      </c>
      <c r="L1435" s="1257">
        <v>2.0942445324510601E-3</v>
      </c>
      <c r="M1435" s="1280">
        <v>3.7629145649841199E-4</v>
      </c>
      <c r="N1435" s="1271">
        <v>8.3339547700530606E-3</v>
      </c>
      <c r="O1435" s="1257">
        <v>3.0000008598028201E-3</v>
      </c>
      <c r="P1435" s="1257">
        <v>7.7845689439789397E-3</v>
      </c>
      <c r="Q1435" s="1280">
        <v>8.3339547700530606E-3</v>
      </c>
      <c r="R1435" s="1271">
        <v>3.8500011034136201E-2</v>
      </c>
      <c r="S1435" s="1257">
        <v>3.8500011034136201E-2</v>
      </c>
      <c r="T1435" s="1257">
        <v>3.8500011034136201E-2</v>
      </c>
      <c r="U1435" s="1280">
        <v>1.9250005517068101E-2</v>
      </c>
      <c r="V1435" s="1293">
        <v>7.36862605813513E-3</v>
      </c>
    </row>
    <row r="1436" spans="1:22" s="212" customFormat="1" ht="15.5" x14ac:dyDescent="0.35">
      <c r="A1436" s="198">
        <v>2039</v>
      </c>
      <c r="B1436" s="197" t="s">
        <v>5833</v>
      </c>
      <c r="C1436" s="197">
        <v>1997</v>
      </c>
      <c r="D1436" s="225" t="str">
        <f t="shared" si="8"/>
        <v>2039_1997</v>
      </c>
      <c r="E1436" s="1226">
        <v>6.9491621182078606E-2</v>
      </c>
      <c r="F1436" s="1257">
        <v>2.1708858612197301E-2</v>
      </c>
      <c r="G1436" s="1280">
        <v>6.0591379482784903E-2</v>
      </c>
      <c r="H1436" s="1271">
        <v>0.388370738500947</v>
      </c>
      <c r="I1436" s="1257">
        <v>0.48358832237794602</v>
      </c>
      <c r="J1436" s="1280">
        <v>9.5524860310521306E-2</v>
      </c>
      <c r="K1436" s="1271">
        <v>7.0498625566262603E-3</v>
      </c>
      <c r="L1436" s="1257">
        <v>2.0942445324510601E-3</v>
      </c>
      <c r="M1436" s="1280">
        <v>3.7629145649841199E-4</v>
      </c>
      <c r="N1436" s="1271">
        <v>8.3339547700530606E-3</v>
      </c>
      <c r="O1436" s="1257">
        <v>3.0000008598028201E-3</v>
      </c>
      <c r="P1436" s="1257">
        <v>7.7845689439789397E-3</v>
      </c>
      <c r="Q1436" s="1280">
        <v>8.3339547700530606E-3</v>
      </c>
      <c r="R1436" s="1271">
        <v>3.8500011034136201E-2</v>
      </c>
      <c r="S1436" s="1257">
        <v>3.8500011034136201E-2</v>
      </c>
      <c r="T1436" s="1257">
        <v>3.8500011034136201E-2</v>
      </c>
      <c r="U1436" s="1280">
        <v>1.9250005517068101E-2</v>
      </c>
      <c r="V1436" s="1293">
        <v>7.36862605813513E-3</v>
      </c>
    </row>
    <row r="1437" spans="1:22" s="212" customFormat="1" ht="15.5" x14ac:dyDescent="0.35">
      <c r="A1437" s="198">
        <v>2039</v>
      </c>
      <c r="B1437" s="197" t="s">
        <v>5833</v>
      </c>
      <c r="C1437" s="197">
        <v>1998</v>
      </c>
      <c r="D1437" s="225" t="str">
        <f t="shared" si="8"/>
        <v>2039_1998</v>
      </c>
      <c r="E1437" s="1226">
        <v>6.9491621182078606E-2</v>
      </c>
      <c r="F1437" s="1257">
        <v>2.1708858612197301E-2</v>
      </c>
      <c r="G1437" s="1280">
        <v>6.0591379482784903E-2</v>
      </c>
      <c r="H1437" s="1271">
        <v>0.388370738500947</v>
      </c>
      <c r="I1437" s="1257">
        <v>0.48358832237794602</v>
      </c>
      <c r="J1437" s="1280">
        <v>9.5524860310521306E-2</v>
      </c>
      <c r="K1437" s="1271">
        <v>7.0498625566262603E-3</v>
      </c>
      <c r="L1437" s="1257">
        <v>2.0942445324510601E-3</v>
      </c>
      <c r="M1437" s="1280">
        <v>3.7629145649841199E-4</v>
      </c>
      <c r="N1437" s="1271">
        <v>8.3339547700530606E-3</v>
      </c>
      <c r="O1437" s="1257">
        <v>3.0000008598028201E-3</v>
      </c>
      <c r="P1437" s="1257">
        <v>7.7845689439789397E-3</v>
      </c>
      <c r="Q1437" s="1280">
        <v>8.3339547700530606E-3</v>
      </c>
      <c r="R1437" s="1271">
        <v>3.8500011034136201E-2</v>
      </c>
      <c r="S1437" s="1257">
        <v>3.8500011034136201E-2</v>
      </c>
      <c r="T1437" s="1257">
        <v>3.8500011034136201E-2</v>
      </c>
      <c r="U1437" s="1280">
        <v>1.9250005517068101E-2</v>
      </c>
      <c r="V1437" s="1293">
        <v>7.36862605813513E-3</v>
      </c>
    </row>
    <row r="1438" spans="1:22" s="212" customFormat="1" ht="15.5" x14ac:dyDescent="0.35">
      <c r="A1438" s="198">
        <v>2039</v>
      </c>
      <c r="B1438" s="197" t="s">
        <v>5833</v>
      </c>
      <c r="C1438" s="197">
        <v>1999</v>
      </c>
      <c r="D1438" s="225" t="str">
        <f t="shared" si="8"/>
        <v>2039_1999</v>
      </c>
      <c r="E1438" s="1226">
        <v>6.9491621182078606E-2</v>
      </c>
      <c r="F1438" s="1257">
        <v>2.1708858612197301E-2</v>
      </c>
      <c r="G1438" s="1280">
        <v>6.0591379482784903E-2</v>
      </c>
      <c r="H1438" s="1271">
        <v>0.388370738500947</v>
      </c>
      <c r="I1438" s="1257">
        <v>0.48358832237794602</v>
      </c>
      <c r="J1438" s="1280">
        <v>9.5524860310521306E-2</v>
      </c>
      <c r="K1438" s="1271">
        <v>7.0498625566262603E-3</v>
      </c>
      <c r="L1438" s="1257">
        <v>2.0942445324510601E-3</v>
      </c>
      <c r="M1438" s="1280">
        <v>3.7629145649841199E-4</v>
      </c>
      <c r="N1438" s="1271">
        <v>8.3339547700530606E-3</v>
      </c>
      <c r="O1438" s="1257">
        <v>3.0000008598028201E-3</v>
      </c>
      <c r="P1438" s="1257">
        <v>7.7845689439789397E-3</v>
      </c>
      <c r="Q1438" s="1280">
        <v>8.3339547700530606E-3</v>
      </c>
      <c r="R1438" s="1271">
        <v>3.8500011034136201E-2</v>
      </c>
      <c r="S1438" s="1257">
        <v>3.8500011034136201E-2</v>
      </c>
      <c r="T1438" s="1257">
        <v>3.8500011034136201E-2</v>
      </c>
      <c r="U1438" s="1280">
        <v>1.9250005517068101E-2</v>
      </c>
      <c r="V1438" s="1293">
        <v>7.36862605813513E-3</v>
      </c>
    </row>
    <row r="1439" spans="1:22" s="212" customFormat="1" ht="15.5" x14ac:dyDescent="0.35">
      <c r="A1439" s="198">
        <v>2039</v>
      </c>
      <c r="B1439" s="197" t="s">
        <v>5833</v>
      </c>
      <c r="C1439" s="197">
        <v>2000</v>
      </c>
      <c r="D1439" s="225" t="str">
        <f t="shared" si="8"/>
        <v>2039_2000</v>
      </c>
      <c r="E1439" s="1226">
        <v>6.9491621182078606E-2</v>
      </c>
      <c r="F1439" s="1257">
        <v>2.1708858612197301E-2</v>
      </c>
      <c r="G1439" s="1280">
        <v>6.0591379482784903E-2</v>
      </c>
      <c r="H1439" s="1271">
        <v>0.388370738500947</v>
      </c>
      <c r="I1439" s="1257">
        <v>0.48358832237794602</v>
      </c>
      <c r="J1439" s="1280">
        <v>9.5524860310521306E-2</v>
      </c>
      <c r="K1439" s="1271">
        <v>7.0498625566262603E-3</v>
      </c>
      <c r="L1439" s="1257">
        <v>2.0942445324510601E-3</v>
      </c>
      <c r="M1439" s="1280">
        <v>3.7629145649841199E-4</v>
      </c>
      <c r="N1439" s="1271">
        <v>8.3339547700530606E-3</v>
      </c>
      <c r="O1439" s="1257">
        <v>3.0000008598028201E-3</v>
      </c>
      <c r="P1439" s="1257">
        <v>7.7845689439789397E-3</v>
      </c>
      <c r="Q1439" s="1280">
        <v>8.3339547700530606E-3</v>
      </c>
      <c r="R1439" s="1271">
        <v>3.8500011034136201E-2</v>
      </c>
      <c r="S1439" s="1257">
        <v>3.8500011034136201E-2</v>
      </c>
      <c r="T1439" s="1257">
        <v>3.8500011034136201E-2</v>
      </c>
      <c r="U1439" s="1280">
        <v>1.9250005517068101E-2</v>
      </c>
      <c r="V1439" s="1293">
        <v>7.36862605813513E-3</v>
      </c>
    </row>
    <row r="1440" spans="1:22" s="212" customFormat="1" ht="15.5" x14ac:dyDescent="0.35">
      <c r="A1440" s="198">
        <v>2039</v>
      </c>
      <c r="B1440" s="197" t="s">
        <v>5833</v>
      </c>
      <c r="C1440" s="197">
        <v>2001</v>
      </c>
      <c r="D1440" s="225" t="str">
        <f t="shared" si="8"/>
        <v>2039_2001</v>
      </c>
      <c r="E1440" s="1226">
        <v>6.9491621182078606E-2</v>
      </c>
      <c r="F1440" s="1257">
        <v>2.1708858612197301E-2</v>
      </c>
      <c r="G1440" s="1280">
        <v>6.0591379482784903E-2</v>
      </c>
      <c r="H1440" s="1271">
        <v>0.388370738500947</v>
      </c>
      <c r="I1440" s="1257">
        <v>0.48358832237794602</v>
      </c>
      <c r="J1440" s="1280">
        <v>9.5524860310521306E-2</v>
      </c>
      <c r="K1440" s="1271">
        <v>7.0498625566262603E-3</v>
      </c>
      <c r="L1440" s="1257">
        <v>2.0942445324510601E-3</v>
      </c>
      <c r="M1440" s="1280">
        <v>3.7629145649841199E-4</v>
      </c>
      <c r="N1440" s="1271">
        <v>8.3339547700530606E-3</v>
      </c>
      <c r="O1440" s="1257">
        <v>3.0000008598028201E-3</v>
      </c>
      <c r="P1440" s="1257">
        <v>7.7845689439789397E-3</v>
      </c>
      <c r="Q1440" s="1280">
        <v>8.3339547700530606E-3</v>
      </c>
      <c r="R1440" s="1271">
        <v>3.8500011034136201E-2</v>
      </c>
      <c r="S1440" s="1257">
        <v>3.8500011034136201E-2</v>
      </c>
      <c r="T1440" s="1257">
        <v>3.8500011034136201E-2</v>
      </c>
      <c r="U1440" s="1280">
        <v>1.9250005517068101E-2</v>
      </c>
      <c r="V1440" s="1293">
        <v>7.36862605813513E-3</v>
      </c>
    </row>
    <row r="1441" spans="1:22" s="212" customFormat="1" ht="15.5" x14ac:dyDescent="0.35">
      <c r="A1441" s="198">
        <v>2039</v>
      </c>
      <c r="B1441" s="197" t="s">
        <v>5833</v>
      </c>
      <c r="C1441" s="197">
        <v>2002</v>
      </c>
      <c r="D1441" s="225" t="str">
        <f t="shared" si="8"/>
        <v>2039_2002</v>
      </c>
      <c r="E1441" s="1226">
        <v>6.9491621182078606E-2</v>
      </c>
      <c r="F1441" s="1257">
        <v>2.1708858612197301E-2</v>
      </c>
      <c r="G1441" s="1280">
        <v>6.0591379482784903E-2</v>
      </c>
      <c r="H1441" s="1271">
        <v>0.388370738500947</v>
      </c>
      <c r="I1441" s="1257">
        <v>0.48358832237794602</v>
      </c>
      <c r="J1441" s="1280">
        <v>9.5524860310521306E-2</v>
      </c>
      <c r="K1441" s="1271">
        <v>7.0498625566262603E-3</v>
      </c>
      <c r="L1441" s="1257">
        <v>2.0942445324510601E-3</v>
      </c>
      <c r="M1441" s="1280">
        <v>3.7629145649841199E-4</v>
      </c>
      <c r="N1441" s="1271">
        <v>8.3339547700530606E-3</v>
      </c>
      <c r="O1441" s="1257">
        <v>3.0000008598028201E-3</v>
      </c>
      <c r="P1441" s="1257">
        <v>7.7845689439789397E-3</v>
      </c>
      <c r="Q1441" s="1280">
        <v>8.3339547700530606E-3</v>
      </c>
      <c r="R1441" s="1271">
        <v>3.8500011034136201E-2</v>
      </c>
      <c r="S1441" s="1257">
        <v>3.8500011034136201E-2</v>
      </c>
      <c r="T1441" s="1257">
        <v>3.8500011034136201E-2</v>
      </c>
      <c r="U1441" s="1280">
        <v>1.9250005517068101E-2</v>
      </c>
      <c r="V1441" s="1293">
        <v>7.36862605813513E-3</v>
      </c>
    </row>
    <row r="1442" spans="1:22" s="212" customFormat="1" ht="15.5" x14ac:dyDescent="0.35">
      <c r="A1442" s="198">
        <v>2039</v>
      </c>
      <c r="B1442" s="197" t="s">
        <v>5833</v>
      </c>
      <c r="C1442" s="197">
        <v>2003</v>
      </c>
      <c r="D1442" s="225" t="str">
        <f t="shared" si="8"/>
        <v>2039_2003</v>
      </c>
      <c r="E1442" s="1226">
        <v>6.9491621182078606E-2</v>
      </c>
      <c r="F1442" s="1257">
        <v>2.1708858612197301E-2</v>
      </c>
      <c r="G1442" s="1280">
        <v>6.0591379482784903E-2</v>
      </c>
      <c r="H1442" s="1271">
        <v>0.388370738500947</v>
      </c>
      <c r="I1442" s="1257">
        <v>0.48358832237794602</v>
      </c>
      <c r="J1442" s="1280">
        <v>9.5524860310521306E-2</v>
      </c>
      <c r="K1442" s="1271">
        <v>7.0498625566262603E-3</v>
      </c>
      <c r="L1442" s="1257">
        <v>2.0942445324510601E-3</v>
      </c>
      <c r="M1442" s="1280">
        <v>3.7629145649841199E-4</v>
      </c>
      <c r="N1442" s="1271">
        <v>8.3339547700530606E-3</v>
      </c>
      <c r="O1442" s="1257">
        <v>3.0000008598028201E-3</v>
      </c>
      <c r="P1442" s="1257">
        <v>7.7845689439789397E-3</v>
      </c>
      <c r="Q1442" s="1280">
        <v>8.3339547700530606E-3</v>
      </c>
      <c r="R1442" s="1271">
        <v>3.8500011034136201E-2</v>
      </c>
      <c r="S1442" s="1257">
        <v>3.8500011034136201E-2</v>
      </c>
      <c r="T1442" s="1257">
        <v>3.8500011034136201E-2</v>
      </c>
      <c r="U1442" s="1280">
        <v>1.9250005517068101E-2</v>
      </c>
      <c r="V1442" s="1293">
        <v>7.36862605813513E-3</v>
      </c>
    </row>
    <row r="1443" spans="1:22" s="212" customFormat="1" ht="15.5" x14ac:dyDescent="0.35">
      <c r="A1443" s="198">
        <v>2039</v>
      </c>
      <c r="B1443" s="197" t="s">
        <v>5833</v>
      </c>
      <c r="C1443" s="197">
        <v>2004</v>
      </c>
      <c r="D1443" s="225" t="str">
        <f t="shared" si="8"/>
        <v>2039_2004</v>
      </c>
      <c r="E1443" s="1226">
        <v>6.9491621182078606E-2</v>
      </c>
      <c r="F1443" s="1257">
        <v>2.1708858612197301E-2</v>
      </c>
      <c r="G1443" s="1280">
        <v>6.0591379482784903E-2</v>
      </c>
      <c r="H1443" s="1271">
        <v>0.388370738500947</v>
      </c>
      <c r="I1443" s="1257">
        <v>0.48358832237794602</v>
      </c>
      <c r="J1443" s="1280">
        <v>9.5524860310521306E-2</v>
      </c>
      <c r="K1443" s="1271">
        <v>7.0498625566262603E-3</v>
      </c>
      <c r="L1443" s="1257">
        <v>2.0942445324510601E-3</v>
      </c>
      <c r="M1443" s="1280">
        <v>3.7629145649841199E-4</v>
      </c>
      <c r="N1443" s="1271">
        <v>8.3339547700530606E-3</v>
      </c>
      <c r="O1443" s="1257">
        <v>3.0000008598028201E-3</v>
      </c>
      <c r="P1443" s="1257">
        <v>7.7845689439789397E-3</v>
      </c>
      <c r="Q1443" s="1280">
        <v>8.3339547700530606E-3</v>
      </c>
      <c r="R1443" s="1271">
        <v>3.8500011034136201E-2</v>
      </c>
      <c r="S1443" s="1257">
        <v>3.8500011034136201E-2</v>
      </c>
      <c r="T1443" s="1257">
        <v>3.8500011034136201E-2</v>
      </c>
      <c r="U1443" s="1280">
        <v>1.9250005517068101E-2</v>
      </c>
      <c r="V1443" s="1293">
        <v>7.36862605813513E-3</v>
      </c>
    </row>
    <row r="1444" spans="1:22" s="212" customFormat="1" ht="15.5" x14ac:dyDescent="0.35">
      <c r="A1444" s="198">
        <v>2039</v>
      </c>
      <c r="B1444" s="197" t="s">
        <v>5833</v>
      </c>
      <c r="C1444" s="197">
        <v>2005</v>
      </c>
      <c r="D1444" s="225" t="str">
        <f t="shared" si="8"/>
        <v>2039_2005</v>
      </c>
      <c r="E1444" s="1226">
        <v>6.9491621182078606E-2</v>
      </c>
      <c r="F1444" s="1257">
        <v>2.1708858612197301E-2</v>
      </c>
      <c r="G1444" s="1280">
        <v>6.0591379482784903E-2</v>
      </c>
      <c r="H1444" s="1271">
        <v>0.388370738500947</v>
      </c>
      <c r="I1444" s="1257">
        <v>0.48358832237794602</v>
      </c>
      <c r="J1444" s="1280">
        <v>9.5524860310521306E-2</v>
      </c>
      <c r="K1444" s="1271">
        <v>7.0498625566262603E-3</v>
      </c>
      <c r="L1444" s="1257">
        <v>2.0942445324510601E-3</v>
      </c>
      <c r="M1444" s="1280">
        <v>3.7629145649841199E-4</v>
      </c>
      <c r="N1444" s="1271">
        <v>8.3339547700530606E-3</v>
      </c>
      <c r="O1444" s="1257">
        <v>3.0000008598028201E-3</v>
      </c>
      <c r="P1444" s="1257">
        <v>7.7845689439789397E-3</v>
      </c>
      <c r="Q1444" s="1280">
        <v>8.3339547700530606E-3</v>
      </c>
      <c r="R1444" s="1271">
        <v>3.8500011034136201E-2</v>
      </c>
      <c r="S1444" s="1257">
        <v>3.8500011034136201E-2</v>
      </c>
      <c r="T1444" s="1257">
        <v>3.8500011034136201E-2</v>
      </c>
      <c r="U1444" s="1280">
        <v>1.9250005517068101E-2</v>
      </c>
      <c r="V1444" s="1293">
        <v>7.36862605813513E-3</v>
      </c>
    </row>
    <row r="1445" spans="1:22" s="212" customFormat="1" ht="15.5" x14ac:dyDescent="0.35">
      <c r="A1445" s="198">
        <v>2039</v>
      </c>
      <c r="B1445" s="197" t="s">
        <v>5833</v>
      </c>
      <c r="C1445" s="197">
        <v>2006</v>
      </c>
      <c r="D1445" s="225" t="str">
        <f t="shared" si="8"/>
        <v>2039_2006</v>
      </c>
      <c r="E1445" s="1226">
        <v>6.9491621182078606E-2</v>
      </c>
      <c r="F1445" s="1257">
        <v>2.1708858612197301E-2</v>
      </c>
      <c r="G1445" s="1280">
        <v>6.0591379482784903E-2</v>
      </c>
      <c r="H1445" s="1271">
        <v>0.388370738500947</v>
      </c>
      <c r="I1445" s="1257">
        <v>0.48358832237794602</v>
      </c>
      <c r="J1445" s="1280">
        <v>9.5524860310521306E-2</v>
      </c>
      <c r="K1445" s="1271">
        <v>7.0498625566262603E-3</v>
      </c>
      <c r="L1445" s="1257">
        <v>2.0942445324510601E-3</v>
      </c>
      <c r="M1445" s="1280">
        <v>3.7629145649841199E-4</v>
      </c>
      <c r="N1445" s="1271">
        <v>8.3339547700530606E-3</v>
      </c>
      <c r="O1445" s="1257">
        <v>3.0000008598028201E-3</v>
      </c>
      <c r="P1445" s="1257">
        <v>7.7845689439789397E-3</v>
      </c>
      <c r="Q1445" s="1280">
        <v>8.3339547700530606E-3</v>
      </c>
      <c r="R1445" s="1271">
        <v>3.8500011034136201E-2</v>
      </c>
      <c r="S1445" s="1257">
        <v>3.8500011034136201E-2</v>
      </c>
      <c r="T1445" s="1257">
        <v>3.8500011034136201E-2</v>
      </c>
      <c r="U1445" s="1280">
        <v>1.9250005517068101E-2</v>
      </c>
      <c r="V1445" s="1293">
        <v>7.36862605813513E-3</v>
      </c>
    </row>
    <row r="1446" spans="1:22" s="212" customFormat="1" ht="15.5" x14ac:dyDescent="0.35">
      <c r="A1446" s="198">
        <v>2039</v>
      </c>
      <c r="B1446" s="197" t="s">
        <v>5833</v>
      </c>
      <c r="C1446" s="197">
        <v>2007</v>
      </c>
      <c r="D1446" s="225" t="str">
        <f t="shared" si="8"/>
        <v>2039_2007</v>
      </c>
      <c r="E1446" s="1226">
        <v>6.9491621182078606E-2</v>
      </c>
      <c r="F1446" s="1257">
        <v>2.1708858612197301E-2</v>
      </c>
      <c r="G1446" s="1280">
        <v>6.0591379482784903E-2</v>
      </c>
      <c r="H1446" s="1271">
        <v>0.388370738500947</v>
      </c>
      <c r="I1446" s="1257">
        <v>0.48358832237794602</v>
      </c>
      <c r="J1446" s="1280">
        <v>9.5524860310521306E-2</v>
      </c>
      <c r="K1446" s="1271">
        <v>7.0498625566262603E-3</v>
      </c>
      <c r="L1446" s="1257">
        <v>2.0942445324510601E-3</v>
      </c>
      <c r="M1446" s="1280">
        <v>3.7629145649841199E-4</v>
      </c>
      <c r="N1446" s="1271">
        <v>8.3339547700530606E-3</v>
      </c>
      <c r="O1446" s="1257">
        <v>3.0000008598028201E-3</v>
      </c>
      <c r="P1446" s="1257">
        <v>7.7845689439789397E-3</v>
      </c>
      <c r="Q1446" s="1280">
        <v>8.3339547700530606E-3</v>
      </c>
      <c r="R1446" s="1271">
        <v>3.8500011034136201E-2</v>
      </c>
      <c r="S1446" s="1257">
        <v>3.8500011034136201E-2</v>
      </c>
      <c r="T1446" s="1257">
        <v>3.8500011034136201E-2</v>
      </c>
      <c r="U1446" s="1280">
        <v>1.9250005517068101E-2</v>
      </c>
      <c r="V1446" s="1293">
        <v>7.36862605813513E-3</v>
      </c>
    </row>
    <row r="1447" spans="1:22" s="212" customFormat="1" ht="15.5" x14ac:dyDescent="0.35">
      <c r="A1447" s="198">
        <v>2039</v>
      </c>
      <c r="B1447" s="197" t="s">
        <v>5833</v>
      </c>
      <c r="C1447" s="197">
        <v>2008</v>
      </c>
      <c r="D1447" s="225" t="str">
        <f t="shared" si="8"/>
        <v>2039_2008</v>
      </c>
      <c r="E1447" s="1226">
        <v>6.9491621182078606E-2</v>
      </c>
      <c r="F1447" s="1257">
        <v>2.1708858612197301E-2</v>
      </c>
      <c r="G1447" s="1280">
        <v>6.0591379482784903E-2</v>
      </c>
      <c r="H1447" s="1271">
        <v>0.388370738500947</v>
      </c>
      <c r="I1447" s="1257">
        <v>0.48358832237794602</v>
      </c>
      <c r="J1447" s="1280">
        <v>9.5524860310521306E-2</v>
      </c>
      <c r="K1447" s="1271">
        <v>7.0498625566262603E-3</v>
      </c>
      <c r="L1447" s="1257">
        <v>2.0942445324510601E-3</v>
      </c>
      <c r="M1447" s="1280">
        <v>3.7629145649841199E-4</v>
      </c>
      <c r="N1447" s="1271">
        <v>8.3339547700530606E-3</v>
      </c>
      <c r="O1447" s="1257">
        <v>3.0000008598028201E-3</v>
      </c>
      <c r="P1447" s="1257">
        <v>7.7845689439789397E-3</v>
      </c>
      <c r="Q1447" s="1280">
        <v>8.3339547700530606E-3</v>
      </c>
      <c r="R1447" s="1271">
        <v>3.8500011034136201E-2</v>
      </c>
      <c r="S1447" s="1257">
        <v>3.8500011034136201E-2</v>
      </c>
      <c r="T1447" s="1257">
        <v>3.8500011034136201E-2</v>
      </c>
      <c r="U1447" s="1280">
        <v>1.9250005517068101E-2</v>
      </c>
      <c r="V1447" s="1293">
        <v>7.36862605813513E-3</v>
      </c>
    </row>
    <row r="1448" spans="1:22" s="212" customFormat="1" ht="15.5" x14ac:dyDescent="0.35">
      <c r="A1448" s="198">
        <v>2039</v>
      </c>
      <c r="B1448" s="197" t="s">
        <v>5833</v>
      </c>
      <c r="C1448" s="197">
        <v>2009</v>
      </c>
      <c r="D1448" s="225" t="str">
        <f t="shared" si="8"/>
        <v>2039_2009</v>
      </c>
      <c r="E1448" s="1226">
        <v>6.9491621182078606E-2</v>
      </c>
      <c r="F1448" s="1257">
        <v>2.1708858612197301E-2</v>
      </c>
      <c r="G1448" s="1280">
        <v>6.0591379482784903E-2</v>
      </c>
      <c r="H1448" s="1271">
        <v>0.388370738500947</v>
      </c>
      <c r="I1448" s="1257">
        <v>0.48358832237794602</v>
      </c>
      <c r="J1448" s="1280">
        <v>9.5524860310521306E-2</v>
      </c>
      <c r="K1448" s="1271">
        <v>7.0498625566262603E-3</v>
      </c>
      <c r="L1448" s="1257">
        <v>2.0942445324510601E-3</v>
      </c>
      <c r="M1448" s="1280">
        <v>3.7629145649841199E-4</v>
      </c>
      <c r="N1448" s="1271">
        <v>8.3339547700530606E-3</v>
      </c>
      <c r="O1448" s="1257">
        <v>3.0000008598028201E-3</v>
      </c>
      <c r="P1448" s="1257">
        <v>7.7845689439789397E-3</v>
      </c>
      <c r="Q1448" s="1280">
        <v>8.3339547700530606E-3</v>
      </c>
      <c r="R1448" s="1271">
        <v>3.8500011034136201E-2</v>
      </c>
      <c r="S1448" s="1257">
        <v>3.8500011034136201E-2</v>
      </c>
      <c r="T1448" s="1257">
        <v>3.8500011034136201E-2</v>
      </c>
      <c r="U1448" s="1280">
        <v>1.9250005517068101E-2</v>
      </c>
      <c r="V1448" s="1293">
        <v>7.36862605813513E-3</v>
      </c>
    </row>
    <row r="1449" spans="1:22" s="212" customFormat="1" ht="15.5" x14ac:dyDescent="0.35">
      <c r="A1449" s="198">
        <v>2039</v>
      </c>
      <c r="B1449" s="197" t="s">
        <v>5833</v>
      </c>
      <c r="C1449" s="197">
        <v>2010</v>
      </c>
      <c r="D1449" s="225" t="str">
        <f t="shared" si="8"/>
        <v>2039_2010</v>
      </c>
      <c r="E1449" s="1226">
        <v>6.9491621182078606E-2</v>
      </c>
      <c r="F1449" s="1257">
        <v>2.1708858612197301E-2</v>
      </c>
      <c r="G1449" s="1280">
        <v>6.0591379482784903E-2</v>
      </c>
      <c r="H1449" s="1271">
        <v>0.388370738500947</v>
      </c>
      <c r="I1449" s="1257">
        <v>0.48358832237794602</v>
      </c>
      <c r="J1449" s="1280">
        <v>9.5524860310521306E-2</v>
      </c>
      <c r="K1449" s="1271">
        <v>7.0498625566262603E-3</v>
      </c>
      <c r="L1449" s="1257">
        <v>2.0942445324510601E-3</v>
      </c>
      <c r="M1449" s="1280">
        <v>3.7629145649841199E-4</v>
      </c>
      <c r="N1449" s="1271">
        <v>8.3339547700530606E-3</v>
      </c>
      <c r="O1449" s="1257">
        <v>3.0000008598028201E-3</v>
      </c>
      <c r="P1449" s="1257">
        <v>7.7845689439789397E-3</v>
      </c>
      <c r="Q1449" s="1280">
        <v>8.3339547700530606E-3</v>
      </c>
      <c r="R1449" s="1271">
        <v>3.8500011034136201E-2</v>
      </c>
      <c r="S1449" s="1257">
        <v>3.8500011034136201E-2</v>
      </c>
      <c r="T1449" s="1257">
        <v>3.8500011034136201E-2</v>
      </c>
      <c r="U1449" s="1280">
        <v>1.9250005517068101E-2</v>
      </c>
      <c r="V1449" s="1293">
        <v>7.36862605813513E-3</v>
      </c>
    </row>
    <row r="1450" spans="1:22" s="212" customFormat="1" ht="15.5" x14ac:dyDescent="0.35">
      <c r="A1450" s="198">
        <v>2039</v>
      </c>
      <c r="B1450" s="197" t="s">
        <v>5833</v>
      </c>
      <c r="C1450" s="197">
        <v>2011</v>
      </c>
      <c r="D1450" s="225" t="str">
        <f t="shared" si="8"/>
        <v>2039_2011</v>
      </c>
      <c r="E1450" s="1226">
        <v>6.9491621182078606E-2</v>
      </c>
      <c r="F1450" s="1257">
        <v>2.1708858612197301E-2</v>
      </c>
      <c r="G1450" s="1280">
        <v>6.0591379482784903E-2</v>
      </c>
      <c r="H1450" s="1271">
        <v>0.388370738500947</v>
      </c>
      <c r="I1450" s="1257">
        <v>0.48358832237794602</v>
      </c>
      <c r="J1450" s="1280">
        <v>9.5524860310521306E-2</v>
      </c>
      <c r="K1450" s="1271">
        <v>7.0498625566262603E-3</v>
      </c>
      <c r="L1450" s="1257">
        <v>2.0942445324510601E-3</v>
      </c>
      <c r="M1450" s="1280">
        <v>3.7629145649841199E-4</v>
      </c>
      <c r="N1450" s="1271">
        <v>8.3339547700530606E-3</v>
      </c>
      <c r="O1450" s="1257">
        <v>3.0000008598028201E-3</v>
      </c>
      <c r="P1450" s="1257">
        <v>7.7845689439789397E-3</v>
      </c>
      <c r="Q1450" s="1280">
        <v>8.3339547700530606E-3</v>
      </c>
      <c r="R1450" s="1271">
        <v>3.8500011034136201E-2</v>
      </c>
      <c r="S1450" s="1257">
        <v>3.8500011034136201E-2</v>
      </c>
      <c r="T1450" s="1257">
        <v>3.8500011034136201E-2</v>
      </c>
      <c r="U1450" s="1280">
        <v>1.9250005517068101E-2</v>
      </c>
      <c r="V1450" s="1293">
        <v>7.36862605813513E-3</v>
      </c>
    </row>
    <row r="1451" spans="1:22" s="212" customFormat="1" ht="15.5" x14ac:dyDescent="0.35">
      <c r="A1451" s="198">
        <v>2039</v>
      </c>
      <c r="B1451" s="197" t="s">
        <v>5833</v>
      </c>
      <c r="C1451" s="197">
        <v>2012</v>
      </c>
      <c r="D1451" s="225" t="str">
        <f t="shared" si="8"/>
        <v>2039_2012</v>
      </c>
      <c r="E1451" s="1226">
        <v>6.9491621182078606E-2</v>
      </c>
      <c r="F1451" s="1257">
        <v>2.1708858612197301E-2</v>
      </c>
      <c r="G1451" s="1280">
        <v>6.0591379482784903E-2</v>
      </c>
      <c r="H1451" s="1271">
        <v>0.388370738500947</v>
      </c>
      <c r="I1451" s="1257">
        <v>0.48358832237794602</v>
      </c>
      <c r="J1451" s="1280">
        <v>9.5524860310521306E-2</v>
      </c>
      <c r="K1451" s="1271">
        <v>7.0498625566262603E-3</v>
      </c>
      <c r="L1451" s="1257">
        <v>2.0942445324510601E-3</v>
      </c>
      <c r="M1451" s="1280">
        <v>3.7629145649841199E-4</v>
      </c>
      <c r="N1451" s="1271">
        <v>8.3339547700530606E-3</v>
      </c>
      <c r="O1451" s="1257">
        <v>3.0000008598028201E-3</v>
      </c>
      <c r="P1451" s="1257">
        <v>7.7845689439789397E-3</v>
      </c>
      <c r="Q1451" s="1280">
        <v>8.3339547700530606E-3</v>
      </c>
      <c r="R1451" s="1271">
        <v>3.8500011034136201E-2</v>
      </c>
      <c r="S1451" s="1257">
        <v>3.8500011034136201E-2</v>
      </c>
      <c r="T1451" s="1257">
        <v>3.8500011034136201E-2</v>
      </c>
      <c r="U1451" s="1280">
        <v>1.9250005517068101E-2</v>
      </c>
      <c r="V1451" s="1293">
        <v>7.36862605813513E-3</v>
      </c>
    </row>
    <row r="1452" spans="1:22" s="212" customFormat="1" ht="15.5" x14ac:dyDescent="0.35">
      <c r="A1452" s="198">
        <v>2039</v>
      </c>
      <c r="B1452" s="197" t="s">
        <v>5833</v>
      </c>
      <c r="C1452" s="197">
        <v>2013</v>
      </c>
      <c r="D1452" s="225" t="str">
        <f t="shared" si="8"/>
        <v>2039_2013</v>
      </c>
      <c r="E1452" s="1226">
        <v>6.9491621182078606E-2</v>
      </c>
      <c r="F1452" s="1257">
        <v>2.1708858612197301E-2</v>
      </c>
      <c r="G1452" s="1280">
        <v>6.0591379482784903E-2</v>
      </c>
      <c r="H1452" s="1271">
        <v>0.388370738500947</v>
      </c>
      <c r="I1452" s="1257">
        <v>0.48358832237794602</v>
      </c>
      <c r="J1452" s="1280">
        <v>9.5524860310521306E-2</v>
      </c>
      <c r="K1452" s="1271">
        <v>7.0498625566262603E-3</v>
      </c>
      <c r="L1452" s="1257">
        <v>2.0942445324510601E-3</v>
      </c>
      <c r="M1452" s="1280">
        <v>3.7629145649841199E-4</v>
      </c>
      <c r="N1452" s="1271">
        <v>8.3339547700530606E-3</v>
      </c>
      <c r="O1452" s="1257">
        <v>3.0000008598028201E-3</v>
      </c>
      <c r="P1452" s="1257">
        <v>7.7845689439789397E-3</v>
      </c>
      <c r="Q1452" s="1280">
        <v>8.3339547700530606E-3</v>
      </c>
      <c r="R1452" s="1271">
        <v>3.8500011034136201E-2</v>
      </c>
      <c r="S1452" s="1257">
        <v>3.8500011034136201E-2</v>
      </c>
      <c r="T1452" s="1257">
        <v>3.8500011034136201E-2</v>
      </c>
      <c r="U1452" s="1280">
        <v>1.9250005517068101E-2</v>
      </c>
      <c r="V1452" s="1293">
        <v>7.36862605813513E-3</v>
      </c>
    </row>
    <row r="1453" spans="1:22" s="212" customFormat="1" ht="15.5" x14ac:dyDescent="0.35">
      <c r="A1453" s="198">
        <v>2039</v>
      </c>
      <c r="B1453" s="197" t="s">
        <v>5833</v>
      </c>
      <c r="C1453" s="197">
        <v>2014</v>
      </c>
      <c r="D1453" s="225" t="str">
        <f t="shared" si="8"/>
        <v>2039_2014</v>
      </c>
      <c r="E1453" s="1226">
        <v>6.9491621182078606E-2</v>
      </c>
      <c r="F1453" s="1257">
        <v>2.1708858612197301E-2</v>
      </c>
      <c r="G1453" s="1280">
        <v>6.0591379482784903E-2</v>
      </c>
      <c r="H1453" s="1271">
        <v>0.388370738500947</v>
      </c>
      <c r="I1453" s="1257">
        <v>0.48358832237794602</v>
      </c>
      <c r="J1453" s="1280">
        <v>9.5524860310521306E-2</v>
      </c>
      <c r="K1453" s="1271">
        <v>7.0498625566262603E-3</v>
      </c>
      <c r="L1453" s="1257">
        <v>2.0942445324510601E-3</v>
      </c>
      <c r="M1453" s="1280">
        <v>3.7629145649841199E-4</v>
      </c>
      <c r="N1453" s="1271">
        <v>8.3339547700530606E-3</v>
      </c>
      <c r="O1453" s="1257">
        <v>3.0000008598028201E-3</v>
      </c>
      <c r="P1453" s="1257">
        <v>7.7845689439789397E-3</v>
      </c>
      <c r="Q1453" s="1280">
        <v>8.3339547700530606E-3</v>
      </c>
      <c r="R1453" s="1271">
        <v>3.8500011034136201E-2</v>
      </c>
      <c r="S1453" s="1257">
        <v>3.8500011034136201E-2</v>
      </c>
      <c r="T1453" s="1257">
        <v>3.8500011034136201E-2</v>
      </c>
      <c r="U1453" s="1280">
        <v>1.9250005517068101E-2</v>
      </c>
      <c r="V1453" s="1293">
        <v>7.36862605813513E-3</v>
      </c>
    </row>
    <row r="1454" spans="1:22" s="212" customFormat="1" ht="15.5" x14ac:dyDescent="0.35">
      <c r="A1454" s="198">
        <v>2039</v>
      </c>
      <c r="B1454" s="197" t="s">
        <v>5833</v>
      </c>
      <c r="C1454" s="197">
        <v>2015</v>
      </c>
      <c r="D1454" s="225" t="str">
        <f t="shared" si="8"/>
        <v>2039_2015</v>
      </c>
      <c r="E1454" s="1226">
        <v>6.9491621182078606E-2</v>
      </c>
      <c r="F1454" s="1257">
        <v>2.1708858612197301E-2</v>
      </c>
      <c r="G1454" s="1280">
        <v>6.0591379482784903E-2</v>
      </c>
      <c r="H1454" s="1271">
        <v>0.388370738500947</v>
      </c>
      <c r="I1454" s="1257">
        <v>0.48358832237794602</v>
      </c>
      <c r="J1454" s="1280">
        <v>9.5524860310521306E-2</v>
      </c>
      <c r="K1454" s="1271">
        <v>7.0498625566262603E-3</v>
      </c>
      <c r="L1454" s="1257">
        <v>2.0942445324510601E-3</v>
      </c>
      <c r="M1454" s="1280">
        <v>3.7629145649841199E-4</v>
      </c>
      <c r="N1454" s="1271">
        <v>8.3339547700530606E-3</v>
      </c>
      <c r="O1454" s="1257">
        <v>3.0000008598028201E-3</v>
      </c>
      <c r="P1454" s="1257">
        <v>7.7845689439789397E-3</v>
      </c>
      <c r="Q1454" s="1280">
        <v>8.3339547700530606E-3</v>
      </c>
      <c r="R1454" s="1271">
        <v>3.8500011034136201E-2</v>
      </c>
      <c r="S1454" s="1257">
        <v>3.8500011034136201E-2</v>
      </c>
      <c r="T1454" s="1257">
        <v>3.8500011034136201E-2</v>
      </c>
      <c r="U1454" s="1280">
        <v>1.9250005517068101E-2</v>
      </c>
      <c r="V1454" s="1293">
        <v>7.36862605813513E-3</v>
      </c>
    </row>
    <row r="1455" spans="1:22" s="212" customFormat="1" ht="15.5" x14ac:dyDescent="0.35">
      <c r="A1455" s="198">
        <v>2039</v>
      </c>
      <c r="B1455" s="197" t="s">
        <v>5833</v>
      </c>
      <c r="C1455" s="197">
        <v>2016</v>
      </c>
      <c r="D1455" s="225" t="str">
        <f t="shared" si="8"/>
        <v>2039_2016</v>
      </c>
      <c r="E1455" s="1226">
        <v>6.9491621182078606E-2</v>
      </c>
      <c r="F1455" s="1257">
        <v>2.1708858612197301E-2</v>
      </c>
      <c r="G1455" s="1280">
        <v>6.0591379482784903E-2</v>
      </c>
      <c r="H1455" s="1271">
        <v>0.388370738500947</v>
      </c>
      <c r="I1455" s="1257">
        <v>0.48358832237794602</v>
      </c>
      <c r="J1455" s="1280">
        <v>9.5524860310521306E-2</v>
      </c>
      <c r="K1455" s="1271">
        <v>7.0498625566262603E-3</v>
      </c>
      <c r="L1455" s="1257">
        <v>2.0942445324510601E-3</v>
      </c>
      <c r="M1455" s="1280">
        <v>3.7629145649841199E-4</v>
      </c>
      <c r="N1455" s="1271">
        <v>8.3339547700530606E-3</v>
      </c>
      <c r="O1455" s="1257">
        <v>3.0000008598028201E-3</v>
      </c>
      <c r="P1455" s="1257">
        <v>7.7845689439789397E-3</v>
      </c>
      <c r="Q1455" s="1280">
        <v>8.3339547700530606E-3</v>
      </c>
      <c r="R1455" s="1271">
        <v>3.8500011034136201E-2</v>
      </c>
      <c r="S1455" s="1257">
        <v>3.8500011034136201E-2</v>
      </c>
      <c r="T1455" s="1257">
        <v>3.8500011034136201E-2</v>
      </c>
      <c r="U1455" s="1280">
        <v>1.9250005517068101E-2</v>
      </c>
      <c r="V1455" s="1293">
        <v>7.36862605813513E-3</v>
      </c>
    </row>
    <row r="1456" spans="1:22" s="212" customFormat="1" ht="15.5" x14ac:dyDescent="0.35">
      <c r="A1456" s="198">
        <v>2039</v>
      </c>
      <c r="B1456" s="197" t="s">
        <v>5833</v>
      </c>
      <c r="C1456" s="197">
        <v>2017</v>
      </c>
      <c r="D1456" s="225" t="str">
        <f t="shared" si="8"/>
        <v>2039_2017</v>
      </c>
      <c r="E1456" s="1226">
        <v>6.9491621182078606E-2</v>
      </c>
      <c r="F1456" s="1257">
        <v>2.1708858612197301E-2</v>
      </c>
      <c r="G1456" s="1280">
        <v>6.0591379482784903E-2</v>
      </c>
      <c r="H1456" s="1271">
        <v>0.388370738500947</v>
      </c>
      <c r="I1456" s="1257">
        <v>0.48358832237794602</v>
      </c>
      <c r="J1456" s="1280">
        <v>9.5524860310521306E-2</v>
      </c>
      <c r="K1456" s="1271">
        <v>7.0498625566262603E-3</v>
      </c>
      <c r="L1456" s="1257">
        <v>2.0942445324510601E-3</v>
      </c>
      <c r="M1456" s="1280">
        <v>3.7629145649841199E-4</v>
      </c>
      <c r="N1456" s="1271">
        <v>8.3339547700530606E-3</v>
      </c>
      <c r="O1456" s="1257">
        <v>3.0000008598028201E-3</v>
      </c>
      <c r="P1456" s="1257">
        <v>7.7845689439789397E-3</v>
      </c>
      <c r="Q1456" s="1280">
        <v>8.3339547700530606E-3</v>
      </c>
      <c r="R1456" s="1271">
        <v>3.8500011034136201E-2</v>
      </c>
      <c r="S1456" s="1257">
        <v>3.8500011034136201E-2</v>
      </c>
      <c r="T1456" s="1257">
        <v>3.8500011034136201E-2</v>
      </c>
      <c r="U1456" s="1280">
        <v>1.9250005517068101E-2</v>
      </c>
      <c r="V1456" s="1293">
        <v>7.36862605813513E-3</v>
      </c>
    </row>
    <row r="1457" spans="1:22" s="212" customFormat="1" ht="15.5" x14ac:dyDescent="0.35">
      <c r="A1457" s="198">
        <v>2039</v>
      </c>
      <c r="B1457" s="197" t="s">
        <v>5833</v>
      </c>
      <c r="C1457" s="197">
        <v>2018</v>
      </c>
      <c r="D1457" s="225" t="str">
        <f t="shared" si="8"/>
        <v>2039_2018</v>
      </c>
      <c r="E1457" s="1226">
        <v>6.9491621182078606E-2</v>
      </c>
      <c r="F1457" s="1257">
        <v>2.1708858612197301E-2</v>
      </c>
      <c r="G1457" s="1280">
        <v>6.0591379482784903E-2</v>
      </c>
      <c r="H1457" s="1271">
        <v>0.388370738500947</v>
      </c>
      <c r="I1457" s="1257">
        <v>0.48358832237794602</v>
      </c>
      <c r="J1457" s="1280">
        <v>9.5524860310521306E-2</v>
      </c>
      <c r="K1457" s="1271">
        <v>7.0498625566262603E-3</v>
      </c>
      <c r="L1457" s="1257">
        <v>2.0942445324510601E-3</v>
      </c>
      <c r="M1457" s="1280">
        <v>3.7629145649841199E-4</v>
      </c>
      <c r="N1457" s="1271">
        <v>8.3339547700530606E-3</v>
      </c>
      <c r="O1457" s="1257">
        <v>3.0000008598028201E-3</v>
      </c>
      <c r="P1457" s="1257">
        <v>7.7845689439789397E-3</v>
      </c>
      <c r="Q1457" s="1280">
        <v>8.3339547700530606E-3</v>
      </c>
      <c r="R1457" s="1271">
        <v>3.8500011034136201E-2</v>
      </c>
      <c r="S1457" s="1257">
        <v>3.8500011034136201E-2</v>
      </c>
      <c r="T1457" s="1257">
        <v>3.8500011034136201E-2</v>
      </c>
      <c r="U1457" s="1280">
        <v>1.9250005517068101E-2</v>
      </c>
      <c r="V1457" s="1293">
        <v>7.36862605813513E-3</v>
      </c>
    </row>
    <row r="1458" spans="1:22" s="212" customFormat="1" ht="15.5" x14ac:dyDescent="0.35">
      <c r="A1458" s="198">
        <v>2039</v>
      </c>
      <c r="B1458" s="197" t="s">
        <v>5833</v>
      </c>
      <c r="C1458" s="197">
        <v>2019</v>
      </c>
      <c r="D1458" s="225" t="str">
        <f t="shared" si="8"/>
        <v>2039_2019</v>
      </c>
      <c r="E1458" s="1226">
        <v>6.9491621182078606E-2</v>
      </c>
      <c r="F1458" s="1257">
        <v>2.1708858612197301E-2</v>
      </c>
      <c r="G1458" s="1280">
        <v>6.0591379482784903E-2</v>
      </c>
      <c r="H1458" s="1271">
        <v>0.388370738500947</v>
      </c>
      <c r="I1458" s="1257">
        <v>0.48358832237794602</v>
      </c>
      <c r="J1458" s="1280">
        <v>9.5524860310521306E-2</v>
      </c>
      <c r="K1458" s="1271">
        <v>7.0498625566262603E-3</v>
      </c>
      <c r="L1458" s="1257">
        <v>2.0942445324510601E-3</v>
      </c>
      <c r="M1458" s="1280">
        <v>3.7629145649841199E-4</v>
      </c>
      <c r="N1458" s="1271">
        <v>8.3339547700530606E-3</v>
      </c>
      <c r="O1458" s="1257">
        <v>3.0000008598028201E-3</v>
      </c>
      <c r="P1458" s="1257">
        <v>7.7845689439789397E-3</v>
      </c>
      <c r="Q1458" s="1280">
        <v>8.3339547700530606E-3</v>
      </c>
      <c r="R1458" s="1271">
        <v>3.8500011034136201E-2</v>
      </c>
      <c r="S1458" s="1257">
        <v>3.8500011034136201E-2</v>
      </c>
      <c r="T1458" s="1257">
        <v>3.8500011034136201E-2</v>
      </c>
      <c r="U1458" s="1280">
        <v>1.9250005517068101E-2</v>
      </c>
      <c r="V1458" s="1293">
        <v>7.36862605813513E-3</v>
      </c>
    </row>
    <row r="1459" spans="1:22" s="212" customFormat="1" ht="15.5" x14ac:dyDescent="0.35">
      <c r="A1459" s="198">
        <v>2039</v>
      </c>
      <c r="B1459" s="197" t="s">
        <v>5833</v>
      </c>
      <c r="C1459" s="197">
        <v>2020</v>
      </c>
      <c r="D1459" s="225" t="str">
        <f t="shared" si="8"/>
        <v>2039_2020</v>
      </c>
      <c r="E1459" s="1226">
        <v>6.9491621182078606E-2</v>
      </c>
      <c r="F1459" s="1257">
        <v>2.1708858612197301E-2</v>
      </c>
      <c r="G1459" s="1280">
        <v>6.0591379482784903E-2</v>
      </c>
      <c r="H1459" s="1271">
        <v>0.388370738500947</v>
      </c>
      <c r="I1459" s="1257">
        <v>0.48358832237794602</v>
      </c>
      <c r="J1459" s="1280">
        <v>9.5524860310521306E-2</v>
      </c>
      <c r="K1459" s="1271">
        <v>7.0498625566262603E-3</v>
      </c>
      <c r="L1459" s="1257">
        <v>2.0942445324510601E-3</v>
      </c>
      <c r="M1459" s="1280">
        <v>3.7629145649841199E-4</v>
      </c>
      <c r="N1459" s="1271">
        <v>8.3339547700530606E-3</v>
      </c>
      <c r="O1459" s="1257">
        <v>3.0000008598028201E-3</v>
      </c>
      <c r="P1459" s="1257">
        <v>7.7845689439789397E-3</v>
      </c>
      <c r="Q1459" s="1280">
        <v>8.3339547700530606E-3</v>
      </c>
      <c r="R1459" s="1271">
        <v>3.8500011034136201E-2</v>
      </c>
      <c r="S1459" s="1257">
        <v>3.8500011034136201E-2</v>
      </c>
      <c r="T1459" s="1257">
        <v>3.8500011034136201E-2</v>
      </c>
      <c r="U1459" s="1280">
        <v>1.9250005517068101E-2</v>
      </c>
      <c r="V1459" s="1293">
        <v>7.36862605813513E-3</v>
      </c>
    </row>
    <row r="1460" spans="1:22" s="212" customFormat="1" ht="15.5" x14ac:dyDescent="0.35">
      <c r="A1460" s="198">
        <v>2039</v>
      </c>
      <c r="B1460" s="197" t="s">
        <v>5833</v>
      </c>
      <c r="C1460" s="197">
        <v>2021</v>
      </c>
      <c r="D1460" s="225" t="str">
        <f t="shared" si="8"/>
        <v>2039_2021</v>
      </c>
      <c r="E1460" s="1226">
        <v>6.9491621182078606E-2</v>
      </c>
      <c r="F1460" s="1257">
        <v>2.1708858612197301E-2</v>
      </c>
      <c r="G1460" s="1280">
        <v>6.0591379482784903E-2</v>
      </c>
      <c r="H1460" s="1271">
        <v>0.388370738500947</v>
      </c>
      <c r="I1460" s="1257">
        <v>0.48358832237794602</v>
      </c>
      <c r="J1460" s="1280">
        <v>9.5524860310521306E-2</v>
      </c>
      <c r="K1460" s="1271">
        <v>7.0498625566262603E-3</v>
      </c>
      <c r="L1460" s="1257">
        <v>2.0942445324510601E-3</v>
      </c>
      <c r="M1460" s="1280">
        <v>3.7629145649841199E-4</v>
      </c>
      <c r="N1460" s="1271">
        <v>8.3339547700530606E-3</v>
      </c>
      <c r="O1460" s="1257">
        <v>3.0000008598028201E-3</v>
      </c>
      <c r="P1460" s="1257">
        <v>7.7845689439789397E-3</v>
      </c>
      <c r="Q1460" s="1280">
        <v>8.3339547700530606E-3</v>
      </c>
      <c r="R1460" s="1271">
        <v>3.8500011034136201E-2</v>
      </c>
      <c r="S1460" s="1257">
        <v>3.8500011034136201E-2</v>
      </c>
      <c r="T1460" s="1257">
        <v>3.8500011034136201E-2</v>
      </c>
      <c r="U1460" s="1280">
        <v>1.9250005517068101E-2</v>
      </c>
      <c r="V1460" s="1293">
        <v>7.36862605813513E-3</v>
      </c>
    </row>
    <row r="1461" spans="1:22" s="212" customFormat="1" ht="15.5" x14ac:dyDescent="0.35">
      <c r="A1461" s="198">
        <v>2039</v>
      </c>
      <c r="B1461" s="197" t="s">
        <v>5833</v>
      </c>
      <c r="C1461" s="197">
        <v>2022</v>
      </c>
      <c r="D1461" s="225" t="str">
        <f t="shared" si="8"/>
        <v>2039_2022</v>
      </c>
      <c r="E1461" s="1226">
        <v>6.9491621182078606E-2</v>
      </c>
      <c r="F1461" s="1257">
        <v>2.1708858612197301E-2</v>
      </c>
      <c r="G1461" s="1280">
        <v>6.0591379482784903E-2</v>
      </c>
      <c r="H1461" s="1271">
        <v>0.388370738500947</v>
      </c>
      <c r="I1461" s="1257">
        <v>0.48358832237794602</v>
      </c>
      <c r="J1461" s="1280">
        <v>9.5524860310521306E-2</v>
      </c>
      <c r="K1461" s="1271">
        <v>7.0498625566262603E-3</v>
      </c>
      <c r="L1461" s="1257">
        <v>2.0942445324510601E-3</v>
      </c>
      <c r="M1461" s="1280">
        <v>3.7629145649841199E-4</v>
      </c>
      <c r="N1461" s="1271">
        <v>8.3339547700530606E-3</v>
      </c>
      <c r="O1461" s="1257">
        <v>3.0000008598028201E-3</v>
      </c>
      <c r="P1461" s="1257">
        <v>7.7845689439789397E-3</v>
      </c>
      <c r="Q1461" s="1280">
        <v>8.3339547700530606E-3</v>
      </c>
      <c r="R1461" s="1271">
        <v>3.8500011034136201E-2</v>
      </c>
      <c r="S1461" s="1257">
        <v>3.8500011034136201E-2</v>
      </c>
      <c r="T1461" s="1257">
        <v>3.8500011034136201E-2</v>
      </c>
      <c r="U1461" s="1280">
        <v>1.9250005517068101E-2</v>
      </c>
      <c r="V1461" s="1293">
        <v>7.36862605813513E-3</v>
      </c>
    </row>
    <row r="1462" spans="1:22" s="212" customFormat="1" ht="15.5" x14ac:dyDescent="0.35">
      <c r="A1462" s="198">
        <v>2039</v>
      </c>
      <c r="B1462" s="197" t="s">
        <v>5833</v>
      </c>
      <c r="C1462" s="197">
        <v>2023</v>
      </c>
      <c r="D1462" s="225" t="str">
        <f t="shared" si="8"/>
        <v>2039_2023</v>
      </c>
      <c r="E1462" s="1226">
        <v>6.9491621182078606E-2</v>
      </c>
      <c r="F1462" s="1257">
        <v>2.1708858612197301E-2</v>
      </c>
      <c r="G1462" s="1280">
        <v>6.0591379482784903E-2</v>
      </c>
      <c r="H1462" s="1271">
        <v>0.388370738500947</v>
      </c>
      <c r="I1462" s="1257">
        <v>0.48358832237794602</v>
      </c>
      <c r="J1462" s="1280">
        <v>9.5524860310521306E-2</v>
      </c>
      <c r="K1462" s="1271">
        <v>7.0498625566262603E-3</v>
      </c>
      <c r="L1462" s="1257">
        <v>2.0942445324510601E-3</v>
      </c>
      <c r="M1462" s="1280">
        <v>3.7629145649841199E-4</v>
      </c>
      <c r="N1462" s="1271">
        <v>8.3339547700530606E-3</v>
      </c>
      <c r="O1462" s="1257">
        <v>3.0000008598028201E-3</v>
      </c>
      <c r="P1462" s="1257">
        <v>7.7845689439789397E-3</v>
      </c>
      <c r="Q1462" s="1280">
        <v>8.3339547700530606E-3</v>
      </c>
      <c r="R1462" s="1271">
        <v>3.8500011034136201E-2</v>
      </c>
      <c r="S1462" s="1257">
        <v>3.8500011034136201E-2</v>
      </c>
      <c r="T1462" s="1257">
        <v>3.8500011034136201E-2</v>
      </c>
      <c r="U1462" s="1280">
        <v>1.9250005517068101E-2</v>
      </c>
      <c r="V1462" s="1293">
        <v>7.36862605813513E-3</v>
      </c>
    </row>
    <row r="1463" spans="1:22" s="212" customFormat="1" ht="15.5" x14ac:dyDescent="0.35">
      <c r="A1463" s="198">
        <v>2039</v>
      </c>
      <c r="B1463" s="197" t="s">
        <v>5833</v>
      </c>
      <c r="C1463" s="197">
        <v>2024</v>
      </c>
      <c r="D1463" s="225" t="str">
        <f t="shared" si="8"/>
        <v>2039_2024</v>
      </c>
      <c r="E1463" s="1226">
        <v>6.9491621182078606E-2</v>
      </c>
      <c r="F1463" s="1257">
        <v>2.1708858612197301E-2</v>
      </c>
      <c r="G1463" s="1280">
        <v>6.0591379482784903E-2</v>
      </c>
      <c r="H1463" s="1271">
        <v>0.388370738500947</v>
      </c>
      <c r="I1463" s="1257">
        <v>0.48358832237794602</v>
      </c>
      <c r="J1463" s="1280">
        <v>9.5524860310521306E-2</v>
      </c>
      <c r="K1463" s="1271">
        <v>7.0498625566262603E-3</v>
      </c>
      <c r="L1463" s="1257">
        <v>2.0942445324510601E-3</v>
      </c>
      <c r="M1463" s="1280">
        <v>3.7629145649841199E-4</v>
      </c>
      <c r="N1463" s="1271">
        <v>8.3339547700530606E-3</v>
      </c>
      <c r="O1463" s="1257">
        <v>3.0000008598028201E-3</v>
      </c>
      <c r="P1463" s="1257">
        <v>7.7845689439789397E-3</v>
      </c>
      <c r="Q1463" s="1280">
        <v>8.3339547700530606E-3</v>
      </c>
      <c r="R1463" s="1271">
        <v>3.8500011034136201E-2</v>
      </c>
      <c r="S1463" s="1257">
        <v>3.8500011034136201E-2</v>
      </c>
      <c r="T1463" s="1257">
        <v>3.8500011034136201E-2</v>
      </c>
      <c r="U1463" s="1280">
        <v>1.9250005517068101E-2</v>
      </c>
      <c r="V1463" s="1293">
        <v>7.36862605813513E-3</v>
      </c>
    </row>
    <row r="1464" spans="1:22" s="212" customFormat="1" ht="15.5" x14ac:dyDescent="0.35">
      <c r="A1464" s="198">
        <v>2039</v>
      </c>
      <c r="B1464" s="197" t="s">
        <v>5833</v>
      </c>
      <c r="C1464" s="197">
        <v>2025</v>
      </c>
      <c r="D1464" s="225" t="str">
        <f t="shared" si="8"/>
        <v>2039_2025</v>
      </c>
      <c r="E1464" s="1231">
        <v>6.9491621182078606E-2</v>
      </c>
      <c r="F1464" s="1288">
        <v>2.1708858612197301E-2</v>
      </c>
      <c r="G1464" s="1306">
        <v>6.0591379482784903E-2</v>
      </c>
      <c r="H1464" s="1303">
        <v>0.388370738500947</v>
      </c>
      <c r="I1464" s="1288">
        <v>0.48358832237794602</v>
      </c>
      <c r="J1464" s="1306">
        <v>9.5524860310521306E-2</v>
      </c>
      <c r="K1464" s="1303">
        <v>7.0498625566262603E-3</v>
      </c>
      <c r="L1464" s="1288">
        <v>2.0942445324510601E-3</v>
      </c>
      <c r="M1464" s="1306">
        <v>3.7629145649841199E-4</v>
      </c>
      <c r="N1464" s="1303">
        <v>8.3339547700530606E-3</v>
      </c>
      <c r="O1464" s="1288">
        <v>3.0000008598028201E-3</v>
      </c>
      <c r="P1464" s="1288">
        <v>7.7845689439789397E-3</v>
      </c>
      <c r="Q1464" s="1306">
        <v>8.12190024590086E-3</v>
      </c>
      <c r="R1464" s="1303">
        <v>3.8500011034136201E-2</v>
      </c>
      <c r="S1464" s="1288">
        <v>3.8500011034136201E-2</v>
      </c>
      <c r="T1464" s="1288">
        <v>3.8500011034136201E-2</v>
      </c>
      <c r="U1464" s="1306">
        <v>1.9250005517068101E-2</v>
      </c>
      <c r="V1464" s="1294">
        <v>7.36862605813513E-3</v>
      </c>
    </row>
    <row r="1465" spans="1:22" s="212" customFormat="1" ht="15.5" x14ac:dyDescent="0.35">
      <c r="A1465" s="198">
        <v>2039</v>
      </c>
      <c r="B1465" s="197" t="s">
        <v>5833</v>
      </c>
      <c r="C1465" s="197">
        <v>2026</v>
      </c>
      <c r="D1465" s="225" t="str">
        <f t="shared" si="8"/>
        <v>2039_2026</v>
      </c>
      <c r="E1465" s="1231">
        <v>6.3831920277816701E-2</v>
      </c>
      <c r="F1465" s="1288">
        <v>1.67407089592293E-2</v>
      </c>
      <c r="G1465" s="1306">
        <v>6.2702222965401705E-2</v>
      </c>
      <c r="H1465" s="1303">
        <v>0.34792226185172598</v>
      </c>
      <c r="I1465" s="1288">
        <v>0.41908655629483699</v>
      </c>
      <c r="J1465" s="1306">
        <v>9.6167993029132301E-2</v>
      </c>
      <c r="K1465" s="1303">
        <v>6.2803394447188202E-3</v>
      </c>
      <c r="L1465" s="1288">
        <v>1.62244583237827E-3</v>
      </c>
      <c r="M1465" s="1306">
        <v>3.74144592543904E-4</v>
      </c>
      <c r="N1465" s="1303">
        <v>7.55066738550294E-3</v>
      </c>
      <c r="O1465" s="1288">
        <v>3.0000008598028201E-3</v>
      </c>
      <c r="P1465" s="1288">
        <v>8.2838501996218596E-3</v>
      </c>
      <c r="Q1465" s="1306">
        <v>8.7337429995912007E-3</v>
      </c>
      <c r="R1465" s="1303">
        <v>3.8500011034136201E-2</v>
      </c>
      <c r="S1465" s="1288">
        <v>3.8500011034136201E-2</v>
      </c>
      <c r="T1465" s="1288">
        <v>3.8500011034136201E-2</v>
      </c>
      <c r="U1465" s="1306">
        <v>1.9250005517068101E-2</v>
      </c>
      <c r="V1465" s="1294">
        <v>6.5643085258154602E-3</v>
      </c>
    </row>
    <row r="1466" spans="1:22" s="212" customFormat="1" ht="15.5" x14ac:dyDescent="0.35">
      <c r="A1466" s="198">
        <v>2039</v>
      </c>
      <c r="B1466" s="197" t="s">
        <v>5833</v>
      </c>
      <c r="C1466" s="197">
        <v>2027</v>
      </c>
      <c r="D1466" s="225" t="str">
        <f t="shared" si="8"/>
        <v>2039_2027</v>
      </c>
      <c r="E1466" s="1231">
        <v>7.1257119663620305E-2</v>
      </c>
      <c r="F1466" s="1288">
        <v>1.7455561798943E-2</v>
      </c>
      <c r="G1466" s="1306">
        <v>6.3519070060296196E-2</v>
      </c>
      <c r="H1466" s="1303">
        <v>0.41599316838643602</v>
      </c>
      <c r="I1466" s="1288">
        <v>0.40405434325346601</v>
      </c>
      <c r="J1466" s="1306">
        <v>0.10373543943757101</v>
      </c>
      <c r="K1466" s="1303">
        <v>6.8542084319848503E-3</v>
      </c>
      <c r="L1466" s="1288">
        <v>1.68947664821712E-3</v>
      </c>
      <c r="M1466" s="1306">
        <v>3.9361216409082399E-4</v>
      </c>
      <c r="N1466" s="1303">
        <v>8.2496900255908095E-3</v>
      </c>
      <c r="O1466" s="1288">
        <v>3.0000008598028201E-3</v>
      </c>
      <c r="P1466" s="1288">
        <v>8.3943522209133595E-3</v>
      </c>
      <c r="Q1466" s="1306">
        <v>7.9141820106778307E-3</v>
      </c>
      <c r="R1466" s="1303">
        <v>3.8500011034136201E-2</v>
      </c>
      <c r="S1466" s="1288">
        <v>3.8500011034136201E-2</v>
      </c>
      <c r="T1466" s="1288">
        <v>3.8500011034136201E-2</v>
      </c>
      <c r="U1466" s="1306">
        <v>1.9250005517068101E-2</v>
      </c>
      <c r="V1466" s="1294">
        <v>7.1641253221797502E-3</v>
      </c>
    </row>
    <row r="1467" spans="1:22" s="212" customFormat="1" ht="15.5" x14ac:dyDescent="0.35">
      <c r="A1467" s="198">
        <v>2039</v>
      </c>
      <c r="B1467" s="197" t="s">
        <v>5833</v>
      </c>
      <c r="C1467" s="197">
        <v>2028</v>
      </c>
      <c r="D1467" s="225" t="str">
        <f t="shared" si="8"/>
        <v>2039_2028</v>
      </c>
      <c r="E1467" s="1231">
        <v>6.6098319048700602E-2</v>
      </c>
      <c r="F1467" s="1288">
        <v>1.6884596040176902E-2</v>
      </c>
      <c r="G1467" s="1306">
        <v>6.3632376012425398E-2</v>
      </c>
      <c r="H1467" s="1303">
        <v>0.36412935987496697</v>
      </c>
      <c r="I1467" s="1288">
        <v>0.37176894881244299</v>
      </c>
      <c r="J1467" s="1306">
        <v>0.10455632787044</v>
      </c>
      <c r="K1467" s="1303">
        <v>6.57936864275318E-3</v>
      </c>
      <c r="L1467" s="1288">
        <v>1.6377282565762799E-3</v>
      </c>
      <c r="M1467" s="1306">
        <v>3.9498496052037198E-4</v>
      </c>
      <c r="N1467" s="1303">
        <v>7.8611191127852496E-3</v>
      </c>
      <c r="O1467" s="1288">
        <v>3.0000008598028201E-3</v>
      </c>
      <c r="P1467" s="1288">
        <v>8.4162513366086208E-3</v>
      </c>
      <c r="Q1467" s="1306">
        <v>7.9427433315009295E-3</v>
      </c>
      <c r="R1467" s="1303">
        <v>3.8500011034136201E-2</v>
      </c>
      <c r="S1467" s="1288">
        <v>3.8500011034136201E-2</v>
      </c>
      <c r="T1467" s="1288">
        <v>3.8500011034136201E-2</v>
      </c>
      <c r="U1467" s="1306">
        <v>1.9250005517068101E-2</v>
      </c>
      <c r="V1467" s="1294">
        <v>6.8768584972625198E-3</v>
      </c>
    </row>
    <row r="1468" spans="1:22" s="212" customFormat="1" ht="15.5" x14ac:dyDescent="0.35">
      <c r="A1468" s="198">
        <v>2039</v>
      </c>
      <c r="B1468" s="197" t="s">
        <v>5833</v>
      </c>
      <c r="C1468" s="197">
        <v>2029</v>
      </c>
      <c r="D1468" s="225" t="str">
        <f t="shared" si="8"/>
        <v>2039_2029</v>
      </c>
      <c r="E1468" s="1231">
        <v>6.3143608214291894E-2</v>
      </c>
      <c r="F1468" s="1288">
        <v>7.1793382202145397E-3</v>
      </c>
      <c r="G1468" s="1306">
        <v>6.2806473750980293E-2</v>
      </c>
      <c r="H1468" s="1303">
        <v>0.338828165234481</v>
      </c>
      <c r="I1468" s="1288">
        <v>0.14853959221979701</v>
      </c>
      <c r="J1468" s="1306">
        <v>0.112633694262591</v>
      </c>
      <c r="K1468" s="1303">
        <v>6.3062636887266299E-3</v>
      </c>
      <c r="L1468" s="1288">
        <v>1.2499787971604101E-3</v>
      </c>
      <c r="M1468" s="1306">
        <v>1.03927146072383E-3</v>
      </c>
      <c r="N1468" s="1303">
        <v>7.3591644136986097E-3</v>
      </c>
      <c r="O1468" s="1288">
        <v>2.3930042622993799E-3</v>
      </c>
      <c r="P1468" s="1288">
        <v>8.2423372137655493E-3</v>
      </c>
      <c r="Q1468" s="1306">
        <v>8.3085958763830601E-3</v>
      </c>
      <c r="R1468" s="1303">
        <v>3.8435790840330497E-2</v>
      </c>
      <c r="S1468" s="1288">
        <v>3.44634836607383E-2</v>
      </c>
      <c r="T1468" s="1288">
        <v>3.8206987430294298E-2</v>
      </c>
      <c r="U1468" s="1306">
        <v>1.9250005517068101E-2</v>
      </c>
      <c r="V1468" s="1294">
        <v>6.5914049491001703E-3</v>
      </c>
    </row>
    <row r="1469" spans="1:22" s="212" customFormat="1" ht="15.5" x14ac:dyDescent="0.35">
      <c r="A1469" s="198">
        <v>2039</v>
      </c>
      <c r="B1469" s="197" t="s">
        <v>5833</v>
      </c>
      <c r="C1469" s="197">
        <v>2030</v>
      </c>
      <c r="D1469" s="225" t="str">
        <f t="shared" si="8"/>
        <v>2039_2030</v>
      </c>
      <c r="E1469" s="1231">
        <v>0.106223978418719</v>
      </c>
      <c r="F1469" s="1288">
        <v>2.8943555147582E-3</v>
      </c>
      <c r="G1469" s="1306">
        <v>9.8569985179675204E-2</v>
      </c>
      <c r="H1469" s="1303">
        <v>0.240660776739446</v>
      </c>
      <c r="I1469" s="1288">
        <v>1.55712543026417E-2</v>
      </c>
      <c r="J1469" s="1306">
        <v>0.22809005480146299</v>
      </c>
      <c r="K1469" s="1303">
        <v>2.1672404435169702E-2</v>
      </c>
      <c r="L1469" s="1288">
        <v>1.18136664851192E-3</v>
      </c>
      <c r="M1469" s="1306">
        <v>2.03784154479019E-2</v>
      </c>
      <c r="N1469" s="1303">
        <v>3.0000008598028201E-3</v>
      </c>
      <c r="O1469" s="1288">
        <v>2.0000005732018801E-3</v>
      </c>
      <c r="P1469" s="1288">
        <v>3.0000008598028201E-3</v>
      </c>
      <c r="Q1469" s="1306">
        <v>7.8222780240651407E-3</v>
      </c>
      <c r="R1469" s="1303">
        <v>3.1850009128239903E-2</v>
      </c>
      <c r="S1469" s="1288">
        <v>3.1850009128239903E-2</v>
      </c>
      <c r="T1469" s="1288">
        <v>3.1850009128239903E-2</v>
      </c>
      <c r="U1469" s="1306">
        <v>1.9250005517068101E-2</v>
      </c>
      <c r="V1469" s="1294">
        <v>2.26523343938577E-2</v>
      </c>
    </row>
    <row r="1470" spans="1:22" s="212" customFormat="1" ht="15.5" x14ac:dyDescent="0.35">
      <c r="A1470" s="198">
        <v>2039</v>
      </c>
      <c r="B1470" s="197" t="s">
        <v>5833</v>
      </c>
      <c r="C1470" s="197">
        <v>2031</v>
      </c>
      <c r="D1470" s="225" t="str">
        <f t="shared" si="8"/>
        <v>2039_2031</v>
      </c>
      <c r="E1470" s="1231">
        <v>0.10612366346921299</v>
      </c>
      <c r="F1470" s="1288">
        <v>2.3094344335759199E-3</v>
      </c>
      <c r="G1470" s="1306">
        <v>9.3846066867472294E-2</v>
      </c>
      <c r="H1470" s="1303">
        <v>0.23592784504582801</v>
      </c>
      <c r="I1470" s="1288">
        <v>1.6086612947522502E-2</v>
      </c>
      <c r="J1470" s="1306">
        <v>0.217473247667543</v>
      </c>
      <c r="K1470" s="1303">
        <v>2.0718202113563601E-2</v>
      </c>
      <c r="L1470" s="1288">
        <v>1.12425663364573E-3</v>
      </c>
      <c r="M1470" s="1306">
        <v>1.8774693734273599E-2</v>
      </c>
      <c r="N1470" s="1303">
        <v>3.0000008598028201E-3</v>
      </c>
      <c r="O1470" s="1288">
        <v>2.0000005732018801E-3</v>
      </c>
      <c r="P1470" s="1288">
        <v>3.0000008598028201E-3</v>
      </c>
      <c r="Q1470" s="1306">
        <v>8.1120328320053899E-3</v>
      </c>
      <c r="R1470" s="1303">
        <v>3.1850009128239903E-2</v>
      </c>
      <c r="S1470" s="1288">
        <v>3.1850009128239903E-2</v>
      </c>
      <c r="T1470" s="1288">
        <v>3.1850009128239903E-2</v>
      </c>
      <c r="U1470" s="1306">
        <v>1.9250005517068101E-2</v>
      </c>
      <c r="V1470" s="1294">
        <v>2.16549872774787E-2</v>
      </c>
    </row>
    <row r="1471" spans="1:22" s="212" customFormat="1" ht="15.5" x14ac:dyDescent="0.35">
      <c r="A1471" s="198">
        <v>2039</v>
      </c>
      <c r="B1471" s="197" t="s">
        <v>5833</v>
      </c>
      <c r="C1471" s="197">
        <v>2032</v>
      </c>
      <c r="D1471" s="225" t="str">
        <f t="shared" si="8"/>
        <v>2039_2032</v>
      </c>
      <c r="E1471" s="1231">
        <v>0.102534789734246</v>
      </c>
      <c r="F1471" s="1288">
        <v>2.72789429855328E-3</v>
      </c>
      <c r="G1471" s="1306">
        <v>7.9427245431558394E-2</v>
      </c>
      <c r="H1471" s="1303">
        <v>0.22433199414031199</v>
      </c>
      <c r="I1471" s="1288">
        <v>1.51035429965924E-2</v>
      </c>
      <c r="J1471" s="1306">
        <v>0.18326557221005799</v>
      </c>
      <c r="K1471" s="1303">
        <v>1.9006474289932199E-2</v>
      </c>
      <c r="L1471" s="1288">
        <v>1.1583403148633601E-3</v>
      </c>
      <c r="M1471" s="1306">
        <v>1.5299878863483499E-2</v>
      </c>
      <c r="N1471" s="1303">
        <v>3.0000008598028201E-3</v>
      </c>
      <c r="O1471" s="1288">
        <v>2.0000005732018801E-3</v>
      </c>
      <c r="P1471" s="1288">
        <v>3.0000008598028201E-3</v>
      </c>
      <c r="Q1471" s="1306">
        <v>7.7480283451327701E-3</v>
      </c>
      <c r="R1471" s="1303">
        <v>3.1850009128239903E-2</v>
      </c>
      <c r="S1471" s="1288">
        <v>3.1850009128239903E-2</v>
      </c>
      <c r="T1471" s="1288">
        <v>3.1850009128239903E-2</v>
      </c>
      <c r="U1471" s="1306">
        <v>1.9250005517068101E-2</v>
      </c>
      <c r="V1471" s="1294">
        <v>1.9865862717342399E-2</v>
      </c>
    </row>
    <row r="1472" spans="1:22" s="212" customFormat="1" ht="15.5" x14ac:dyDescent="0.35">
      <c r="A1472" s="198">
        <v>2039</v>
      </c>
      <c r="B1472" s="197" t="s">
        <v>5833</v>
      </c>
      <c r="C1472" s="197">
        <v>2033</v>
      </c>
      <c r="D1472" s="225" t="str">
        <f t="shared" si="8"/>
        <v>2039_2033</v>
      </c>
      <c r="E1472" s="1231">
        <v>0.100607150984712</v>
      </c>
      <c r="F1472" s="1288">
        <v>2.2716979019680502E-3</v>
      </c>
      <c r="G1472" s="1306">
        <v>7.5030065492792994E-2</v>
      </c>
      <c r="H1472" s="1303">
        <v>0.215405766840993</v>
      </c>
      <c r="I1472" s="1288">
        <v>1.51820581001945E-2</v>
      </c>
      <c r="J1472" s="1306">
        <v>0.17034140067026701</v>
      </c>
      <c r="K1472" s="1303">
        <v>1.75632535385781E-2</v>
      </c>
      <c r="L1472" s="1288">
        <v>1.1068391324295199E-3</v>
      </c>
      <c r="M1472" s="1306">
        <v>1.36765088411363E-2</v>
      </c>
      <c r="N1472" s="1303">
        <v>3.0000008598028201E-3</v>
      </c>
      <c r="O1472" s="1288">
        <v>2.0000005732018801E-3</v>
      </c>
      <c r="P1472" s="1288">
        <v>3.0000008598028201E-3</v>
      </c>
      <c r="Q1472" s="1306">
        <v>7.0779306122425202E-3</v>
      </c>
      <c r="R1472" s="1303">
        <v>3.1850009128239903E-2</v>
      </c>
      <c r="S1472" s="1288">
        <v>3.1850009128239903E-2</v>
      </c>
      <c r="T1472" s="1288">
        <v>3.1850009128239903E-2</v>
      </c>
      <c r="U1472" s="1306">
        <v>1.9250005517068101E-2</v>
      </c>
      <c r="V1472" s="1294">
        <v>1.8357385927809299E-2</v>
      </c>
    </row>
    <row r="1473" spans="1:22" s="212" customFormat="1" ht="15.5" x14ac:dyDescent="0.35">
      <c r="A1473" s="198">
        <v>2039</v>
      </c>
      <c r="B1473" s="197" t="s">
        <v>5833</v>
      </c>
      <c r="C1473" s="197">
        <v>2034</v>
      </c>
      <c r="D1473" s="225" t="str">
        <f t="shared" si="8"/>
        <v>2039_2034</v>
      </c>
      <c r="E1473" s="1231">
        <v>9.82407767074399E-2</v>
      </c>
      <c r="F1473" s="1288">
        <v>2.9191710422257098E-3</v>
      </c>
      <c r="G1473" s="1306">
        <v>6.5817795815180602E-2</v>
      </c>
      <c r="H1473" s="1303">
        <v>0.20549550148142101</v>
      </c>
      <c r="I1473" s="1288">
        <v>1.4751511292196E-2</v>
      </c>
      <c r="J1473" s="1306">
        <v>0.1633813465875</v>
      </c>
      <c r="K1473" s="1303">
        <v>1.5988285428607099E-2</v>
      </c>
      <c r="L1473" s="1288">
        <v>1.1784989541933099E-3</v>
      </c>
      <c r="M1473" s="1306">
        <v>1.1869047328042301E-2</v>
      </c>
      <c r="N1473" s="1303">
        <v>3.0000008598028201E-3</v>
      </c>
      <c r="O1473" s="1288">
        <v>2.0000005732018801E-3</v>
      </c>
      <c r="P1473" s="1288">
        <v>3.0000008598028201E-3</v>
      </c>
      <c r="Q1473" s="1306">
        <v>5.7121094500660798E-3</v>
      </c>
      <c r="R1473" s="1303">
        <v>3.1850009128239903E-2</v>
      </c>
      <c r="S1473" s="1288">
        <v>3.1850009128239903E-2</v>
      </c>
      <c r="T1473" s="1288">
        <v>3.1850009128239903E-2</v>
      </c>
      <c r="U1473" s="1306">
        <v>1.9250005517068101E-2</v>
      </c>
      <c r="V1473" s="1294">
        <v>1.67112047487229E-2</v>
      </c>
    </row>
    <row r="1474" spans="1:22" s="212" customFormat="1" ht="15.5" x14ac:dyDescent="0.35">
      <c r="A1474" s="198">
        <v>2039</v>
      </c>
      <c r="B1474" s="197" t="s">
        <v>5833</v>
      </c>
      <c r="C1474" s="197">
        <v>2035</v>
      </c>
      <c r="D1474" s="225" t="str">
        <f t="shared" si="8"/>
        <v>2039_2035</v>
      </c>
      <c r="E1474" s="1231">
        <v>9.5538244954145604E-2</v>
      </c>
      <c r="F1474" s="1288">
        <v>1.8050573214711701E-3</v>
      </c>
      <c r="G1474" s="1306">
        <v>6.39364569857344E-2</v>
      </c>
      <c r="H1474" s="1303">
        <v>0.194681729894322</v>
      </c>
      <c r="I1474" s="1288">
        <v>1.60520394393051E-2</v>
      </c>
      <c r="J1474" s="1306">
        <v>0.157799029609065</v>
      </c>
      <c r="K1474" s="1303">
        <v>1.4292525880835899E-2</v>
      </c>
      <c r="L1474" s="1288">
        <v>1.0477085044710199E-3</v>
      </c>
      <c r="M1474" s="1306">
        <v>1.0710011457868601E-2</v>
      </c>
      <c r="N1474" s="1303">
        <v>3.0000008598028201E-3</v>
      </c>
      <c r="O1474" s="1288">
        <v>2.0000005732018801E-3</v>
      </c>
      <c r="P1474" s="1288">
        <v>3.0000008598028201E-3</v>
      </c>
      <c r="Q1474" s="1306">
        <v>8.08268618211762E-3</v>
      </c>
      <c r="R1474" s="1303">
        <v>3.1850009128239903E-2</v>
      </c>
      <c r="S1474" s="1288">
        <v>3.1850009128239903E-2</v>
      </c>
      <c r="T1474" s="1288">
        <v>3.1850009128239903E-2</v>
      </c>
      <c r="U1474" s="1306">
        <v>1.9250005517068101E-2</v>
      </c>
      <c r="V1474" s="1294">
        <v>1.4938770479023001E-2</v>
      </c>
    </row>
    <row r="1475" spans="1:22" s="212" customFormat="1" ht="15.5" x14ac:dyDescent="0.35">
      <c r="A1475" s="198">
        <v>2039</v>
      </c>
      <c r="B1475" s="197" t="s">
        <v>5833</v>
      </c>
      <c r="C1475" s="197">
        <v>2036</v>
      </c>
      <c r="D1475" s="225" t="str">
        <f t="shared" si="8"/>
        <v>2039_2036</v>
      </c>
      <c r="E1475" s="1231">
        <v>9.3268406127464204E-2</v>
      </c>
      <c r="F1475" s="1288">
        <v>3.03258670865023E-3</v>
      </c>
      <c r="G1475" s="1306">
        <v>6.6532148615301004E-2</v>
      </c>
      <c r="H1475" s="1303">
        <v>0.184513151954907</v>
      </c>
      <c r="I1475" s="1288">
        <v>1.6594128618297701E-2</v>
      </c>
      <c r="J1475" s="1306">
        <v>0.145022275641046</v>
      </c>
      <c r="K1475" s="1303">
        <v>1.2603072242756599E-2</v>
      </c>
      <c r="L1475" s="1288">
        <v>1.1505332344571E-3</v>
      </c>
      <c r="M1475" s="1306">
        <v>9.5890179450092393E-3</v>
      </c>
      <c r="N1475" s="1303">
        <v>3.0000008598028201E-3</v>
      </c>
      <c r="O1475" s="1288">
        <v>2.0000005732018801E-3</v>
      </c>
      <c r="P1475" s="1288">
        <v>3.0000008598028201E-3</v>
      </c>
      <c r="Q1475" s="1306">
        <v>7.3795799121639197E-3</v>
      </c>
      <c r="R1475" s="1303">
        <v>3.1850009128239903E-2</v>
      </c>
      <c r="S1475" s="1288">
        <v>3.1850009128239903E-2</v>
      </c>
      <c r="T1475" s="1288">
        <v>3.1850009128239903E-2</v>
      </c>
      <c r="U1475" s="1306">
        <v>1.9250005517068101E-2</v>
      </c>
      <c r="V1475" s="1294">
        <v>1.31729272442692E-2</v>
      </c>
    </row>
    <row r="1476" spans="1:22" s="212" customFormat="1" ht="15.5" x14ac:dyDescent="0.35">
      <c r="A1476" s="198">
        <v>2039</v>
      </c>
      <c r="B1476" s="197" t="s">
        <v>5833</v>
      </c>
      <c r="C1476" s="197">
        <v>2037</v>
      </c>
      <c r="D1476" s="225" t="str">
        <f t="shared" si="8"/>
        <v>2039_2037</v>
      </c>
      <c r="E1476" s="1231">
        <v>8.9489323916296701E-2</v>
      </c>
      <c r="F1476" s="1288">
        <v>2.7650944052251001E-3</v>
      </c>
      <c r="G1476" s="1306">
        <v>4.8816966113009203E-2</v>
      </c>
      <c r="H1476" s="1303">
        <v>0.17053445766608399</v>
      </c>
      <c r="I1476" s="1288">
        <v>1.97345172218443E-2</v>
      </c>
      <c r="J1476" s="1306">
        <v>0.116934389301941</v>
      </c>
      <c r="K1476" s="1303">
        <v>1.06633665372124E-2</v>
      </c>
      <c r="L1476" s="1288">
        <v>1.1100550519912199E-3</v>
      </c>
      <c r="M1476" s="1306">
        <v>6.7312743072919104E-3</v>
      </c>
      <c r="N1476" s="1303">
        <v>3.0000008598028201E-3</v>
      </c>
      <c r="O1476" s="1288">
        <v>2.0000005732018801E-3</v>
      </c>
      <c r="P1476" s="1288">
        <v>3.0000008598028201E-3</v>
      </c>
      <c r="Q1476" s="1306">
        <v>7.5861856395711197E-3</v>
      </c>
      <c r="R1476" s="1303">
        <v>3.1850009128239903E-2</v>
      </c>
      <c r="S1476" s="1288">
        <v>3.1850009128239903E-2</v>
      </c>
      <c r="T1476" s="1288">
        <v>3.1850009128239903E-2</v>
      </c>
      <c r="U1476" s="1306">
        <v>1.9250005517068101E-2</v>
      </c>
      <c r="V1476" s="1294">
        <v>1.11455166540369E-2</v>
      </c>
    </row>
    <row r="1477" spans="1:22" s="212" customFormat="1" ht="15.5" x14ac:dyDescent="0.35">
      <c r="A1477" s="198">
        <v>2039</v>
      </c>
      <c r="B1477" s="197" t="s">
        <v>5833</v>
      </c>
      <c r="C1477" s="197">
        <v>2038</v>
      </c>
      <c r="D1477" s="225" t="str">
        <f t="shared" si="8"/>
        <v>2039_2038</v>
      </c>
      <c r="E1477" s="1231">
        <v>8.7368961828397304E-2</v>
      </c>
      <c r="F1477" s="1288">
        <v>1.9154195716144099E-3</v>
      </c>
      <c r="G1477" s="1306">
        <v>6.5034557400142398E-2</v>
      </c>
      <c r="H1477" s="1303">
        <v>0.16012167037878899</v>
      </c>
      <c r="I1477" s="1288">
        <v>2.23785256634201E-2</v>
      </c>
      <c r="J1477" s="1306">
        <v>0.12967314832770199</v>
      </c>
      <c r="K1477" s="1303">
        <v>8.8593553880816304E-3</v>
      </c>
      <c r="L1477" s="1288">
        <v>1.0119005220444999E-3</v>
      </c>
      <c r="M1477" s="1306">
        <v>6.97013094007304E-3</v>
      </c>
      <c r="N1477" s="1303">
        <v>3.0000008598028201E-3</v>
      </c>
      <c r="O1477" s="1288">
        <v>2.0000005732018801E-3</v>
      </c>
      <c r="P1477" s="1288">
        <v>3.0000008598028201E-3</v>
      </c>
      <c r="Q1477" s="1306">
        <v>7.8507146591203902E-3</v>
      </c>
      <c r="R1477" s="1303">
        <v>3.1850009128239903E-2</v>
      </c>
      <c r="S1477" s="1288">
        <v>3.1850009128239903E-2</v>
      </c>
      <c r="T1477" s="1288">
        <v>3.1850009128239903E-2</v>
      </c>
      <c r="U1477" s="1306">
        <v>1.9250005517068101E-2</v>
      </c>
      <c r="V1477" s="1294">
        <v>9.2599361259233896E-3</v>
      </c>
    </row>
    <row r="1478" spans="1:22" s="212" customFormat="1" ht="15.5" x14ac:dyDescent="0.35">
      <c r="A1478" s="198">
        <v>2039</v>
      </c>
      <c r="B1478" s="197" t="s">
        <v>5833</v>
      </c>
      <c r="C1478" s="197">
        <v>2039</v>
      </c>
      <c r="D1478" s="225" t="str">
        <f t="shared" si="8"/>
        <v>2039_2039</v>
      </c>
      <c r="E1478" s="1231">
        <v>8.5602698967401497E-2</v>
      </c>
      <c r="F1478" s="1288">
        <v>3.4742395286241402E-3</v>
      </c>
      <c r="G1478" s="1306">
        <v>4.0291673559597299E-2</v>
      </c>
      <c r="H1478" s="1303">
        <v>0.15019342474222599</v>
      </c>
      <c r="I1478" s="1288">
        <v>2.01528533933053E-2</v>
      </c>
      <c r="J1478" s="1306">
        <v>9.4447893024730598E-2</v>
      </c>
      <c r="K1478" s="1303">
        <v>6.9923277830430198E-3</v>
      </c>
      <c r="L1478" s="1288">
        <v>1.14152224330179E-3</v>
      </c>
      <c r="M1478" s="1306">
        <v>3.9766366153328198E-3</v>
      </c>
      <c r="N1478" s="1303">
        <v>3.0000008598028201E-3</v>
      </c>
      <c r="O1478" s="1288">
        <v>2.0000005732018801E-3</v>
      </c>
      <c r="P1478" s="1288">
        <v>3.0000008598028201E-3</v>
      </c>
      <c r="Q1478" s="1306">
        <v>7.5933065431310698E-3</v>
      </c>
      <c r="R1478" s="1303">
        <v>3.1850009128239903E-2</v>
      </c>
      <c r="S1478" s="1288">
        <v>3.1850009128239903E-2</v>
      </c>
      <c r="T1478" s="1288">
        <v>3.1850009128239903E-2</v>
      </c>
      <c r="U1478" s="1306">
        <v>1.9250005517068101E-2</v>
      </c>
      <c r="V1478" s="1294">
        <v>7.3084898173972198E-3</v>
      </c>
    </row>
    <row r="1479" spans="1:22" s="212" customFormat="1" ht="15.5" x14ac:dyDescent="0.35">
      <c r="A1479" s="198">
        <v>2039</v>
      </c>
      <c r="B1479" s="197" t="s">
        <v>5833</v>
      </c>
      <c r="C1479" s="197">
        <v>2040</v>
      </c>
      <c r="D1479" s="225" t="str">
        <f t="shared" si="8"/>
        <v>2039_2040</v>
      </c>
      <c r="E1479" s="1226">
        <v>8.5602698967401497E-2</v>
      </c>
      <c r="F1479" s="1257">
        <v>3.4742395286241402E-3</v>
      </c>
      <c r="G1479" s="1280">
        <v>4.0291673559597299E-2</v>
      </c>
      <c r="H1479" s="1271">
        <v>0.15019342474222599</v>
      </c>
      <c r="I1479" s="1257">
        <v>2.01528533933053E-2</v>
      </c>
      <c r="J1479" s="1280">
        <v>9.4447893024730598E-2</v>
      </c>
      <c r="K1479" s="1271">
        <v>6.9923277830430198E-3</v>
      </c>
      <c r="L1479" s="1257">
        <v>1.14152224330179E-3</v>
      </c>
      <c r="M1479" s="1280">
        <v>3.9766366153328198E-3</v>
      </c>
      <c r="N1479" s="1271">
        <v>3.0000008598028201E-3</v>
      </c>
      <c r="O1479" s="1257">
        <v>2.0000005732018801E-3</v>
      </c>
      <c r="P1479" s="1257">
        <v>3.0000008598028201E-3</v>
      </c>
      <c r="Q1479" s="1280">
        <v>7.5933065431310698E-3</v>
      </c>
      <c r="R1479" s="1271">
        <v>3.1850009128239903E-2</v>
      </c>
      <c r="S1479" s="1257">
        <v>3.1850009128239903E-2</v>
      </c>
      <c r="T1479" s="1257">
        <v>3.1850009128239903E-2</v>
      </c>
      <c r="U1479" s="1280">
        <v>1.9250005517068101E-2</v>
      </c>
      <c r="V1479" s="1293">
        <v>7.3084898173972198E-3</v>
      </c>
    </row>
    <row r="1480" spans="1:22" s="212" customFormat="1" ht="15.5" x14ac:dyDescent="0.35">
      <c r="A1480" s="198">
        <v>2040</v>
      </c>
      <c r="B1480" s="197" t="s">
        <v>5833</v>
      </c>
      <c r="C1480" s="197">
        <v>1971</v>
      </c>
      <c r="D1480" s="225" t="str">
        <f t="shared" si="8"/>
        <v>2040_1971</v>
      </c>
      <c r="E1480" s="1226">
        <v>6.3831920277816701E-2</v>
      </c>
      <c r="F1480" s="1257">
        <v>1.67407089592293E-2</v>
      </c>
      <c r="G1480" s="1280">
        <v>6.2702222965401594E-2</v>
      </c>
      <c r="H1480" s="1271">
        <v>0.34792226185172598</v>
      </c>
      <c r="I1480" s="1257">
        <v>0.45161999201168401</v>
      </c>
      <c r="J1480" s="1280">
        <v>9.6167993029132204E-2</v>
      </c>
      <c r="K1480" s="1271">
        <v>6.2803394447188202E-3</v>
      </c>
      <c r="L1480" s="1257">
        <v>1.62244583237827E-3</v>
      </c>
      <c r="M1480" s="1280">
        <v>3.7414459254390302E-4</v>
      </c>
      <c r="N1480" s="1271">
        <v>7.55066738550294E-3</v>
      </c>
      <c r="O1480" s="1257">
        <v>3.0000008598028201E-3</v>
      </c>
      <c r="P1480" s="1257">
        <v>8.2838501996218492E-3</v>
      </c>
      <c r="Q1480" s="1280">
        <v>7.55066738550294E-3</v>
      </c>
      <c r="R1480" s="1271">
        <v>3.8500011034136201E-2</v>
      </c>
      <c r="S1480" s="1257">
        <v>3.8500011034136201E-2</v>
      </c>
      <c r="T1480" s="1257">
        <v>3.8500011034136201E-2</v>
      </c>
      <c r="U1480" s="1280">
        <v>1.9250005517068101E-2</v>
      </c>
      <c r="V1480" s="1293">
        <v>6.5643085258154602E-3</v>
      </c>
    </row>
    <row r="1481" spans="1:22" s="212" customFormat="1" ht="15.5" x14ac:dyDescent="0.35">
      <c r="A1481" s="198">
        <v>2040</v>
      </c>
      <c r="B1481" s="197" t="s">
        <v>5833</v>
      </c>
      <c r="C1481" s="197">
        <v>1972</v>
      </c>
      <c r="D1481" s="225" t="str">
        <f t="shared" si="8"/>
        <v>2040_1972</v>
      </c>
      <c r="E1481" s="1226">
        <v>6.3831920277816701E-2</v>
      </c>
      <c r="F1481" s="1257">
        <v>1.67407089592293E-2</v>
      </c>
      <c r="G1481" s="1280">
        <v>6.2702222965401594E-2</v>
      </c>
      <c r="H1481" s="1271">
        <v>0.34792226185172598</v>
      </c>
      <c r="I1481" s="1257">
        <v>0.45161999201168401</v>
      </c>
      <c r="J1481" s="1280">
        <v>9.6167993029132204E-2</v>
      </c>
      <c r="K1481" s="1271">
        <v>6.2803394447188202E-3</v>
      </c>
      <c r="L1481" s="1257">
        <v>1.62244583237827E-3</v>
      </c>
      <c r="M1481" s="1280">
        <v>3.7414459254390302E-4</v>
      </c>
      <c r="N1481" s="1271">
        <v>7.55066738550294E-3</v>
      </c>
      <c r="O1481" s="1257">
        <v>3.0000008598028201E-3</v>
      </c>
      <c r="P1481" s="1257">
        <v>8.2838501996218492E-3</v>
      </c>
      <c r="Q1481" s="1280">
        <v>7.55066738550294E-3</v>
      </c>
      <c r="R1481" s="1271">
        <v>3.8500011034136201E-2</v>
      </c>
      <c r="S1481" s="1257">
        <v>3.8500011034136201E-2</v>
      </c>
      <c r="T1481" s="1257">
        <v>3.8500011034136201E-2</v>
      </c>
      <c r="U1481" s="1280">
        <v>1.9250005517068101E-2</v>
      </c>
      <c r="V1481" s="1293">
        <v>6.5643085258154602E-3</v>
      </c>
    </row>
    <row r="1482" spans="1:22" s="212" customFormat="1" ht="15.5" x14ac:dyDescent="0.35">
      <c r="A1482" s="198">
        <v>2040</v>
      </c>
      <c r="B1482" s="197" t="s">
        <v>5833</v>
      </c>
      <c r="C1482" s="197">
        <v>1973</v>
      </c>
      <c r="D1482" s="225" t="str">
        <f t="shared" si="8"/>
        <v>2040_1973</v>
      </c>
      <c r="E1482" s="1226">
        <v>6.3831920277816701E-2</v>
      </c>
      <c r="F1482" s="1257">
        <v>1.67407089592293E-2</v>
      </c>
      <c r="G1482" s="1280">
        <v>6.2702222965401594E-2</v>
      </c>
      <c r="H1482" s="1271">
        <v>0.34792226185172598</v>
      </c>
      <c r="I1482" s="1257">
        <v>0.45161999201168401</v>
      </c>
      <c r="J1482" s="1280">
        <v>9.6167993029132204E-2</v>
      </c>
      <c r="K1482" s="1271">
        <v>6.2803394447188202E-3</v>
      </c>
      <c r="L1482" s="1257">
        <v>1.62244583237827E-3</v>
      </c>
      <c r="M1482" s="1280">
        <v>3.7414459254390302E-4</v>
      </c>
      <c r="N1482" s="1271">
        <v>7.55066738550294E-3</v>
      </c>
      <c r="O1482" s="1257">
        <v>3.0000008598028201E-3</v>
      </c>
      <c r="P1482" s="1257">
        <v>8.2838501996218492E-3</v>
      </c>
      <c r="Q1482" s="1280">
        <v>7.55066738550294E-3</v>
      </c>
      <c r="R1482" s="1271">
        <v>3.8500011034136201E-2</v>
      </c>
      <c r="S1482" s="1257">
        <v>3.8500011034136201E-2</v>
      </c>
      <c r="T1482" s="1257">
        <v>3.8500011034136201E-2</v>
      </c>
      <c r="U1482" s="1280">
        <v>1.9250005517068101E-2</v>
      </c>
      <c r="V1482" s="1293">
        <v>6.5643085258154602E-3</v>
      </c>
    </row>
    <row r="1483" spans="1:22" s="212" customFormat="1" ht="15.5" x14ac:dyDescent="0.35">
      <c r="A1483" s="198">
        <v>2040</v>
      </c>
      <c r="B1483" s="197" t="s">
        <v>5833</v>
      </c>
      <c r="C1483" s="197">
        <v>1974</v>
      </c>
      <c r="D1483" s="225" t="str">
        <f t="shared" si="8"/>
        <v>2040_1974</v>
      </c>
      <c r="E1483" s="1226">
        <v>6.3831920277816701E-2</v>
      </c>
      <c r="F1483" s="1257">
        <v>1.67407089592293E-2</v>
      </c>
      <c r="G1483" s="1280">
        <v>6.2702222965401594E-2</v>
      </c>
      <c r="H1483" s="1271">
        <v>0.34792226185172598</v>
      </c>
      <c r="I1483" s="1257">
        <v>0.45161999201168401</v>
      </c>
      <c r="J1483" s="1280">
        <v>9.6167993029132204E-2</v>
      </c>
      <c r="K1483" s="1271">
        <v>6.2803394447188202E-3</v>
      </c>
      <c r="L1483" s="1257">
        <v>1.62244583237827E-3</v>
      </c>
      <c r="M1483" s="1280">
        <v>3.7414459254390302E-4</v>
      </c>
      <c r="N1483" s="1271">
        <v>7.55066738550294E-3</v>
      </c>
      <c r="O1483" s="1257">
        <v>3.0000008598028201E-3</v>
      </c>
      <c r="P1483" s="1257">
        <v>8.2838501996218492E-3</v>
      </c>
      <c r="Q1483" s="1280">
        <v>7.55066738550294E-3</v>
      </c>
      <c r="R1483" s="1271">
        <v>3.8500011034136201E-2</v>
      </c>
      <c r="S1483" s="1257">
        <v>3.8500011034136201E-2</v>
      </c>
      <c r="T1483" s="1257">
        <v>3.8500011034136201E-2</v>
      </c>
      <c r="U1483" s="1280">
        <v>1.9250005517068101E-2</v>
      </c>
      <c r="V1483" s="1293">
        <v>6.5643085258154602E-3</v>
      </c>
    </row>
    <row r="1484" spans="1:22" s="212" customFormat="1" ht="15.5" x14ac:dyDescent="0.35">
      <c r="A1484" s="198">
        <v>2040</v>
      </c>
      <c r="B1484" s="197" t="s">
        <v>5833</v>
      </c>
      <c r="C1484" s="197">
        <v>1975</v>
      </c>
      <c r="D1484" s="225" t="str">
        <f t="shared" si="8"/>
        <v>2040_1975</v>
      </c>
      <c r="E1484" s="1226">
        <v>6.3831920277816701E-2</v>
      </c>
      <c r="F1484" s="1257">
        <v>1.67407089592293E-2</v>
      </c>
      <c r="G1484" s="1280">
        <v>6.2702222965401594E-2</v>
      </c>
      <c r="H1484" s="1271">
        <v>0.34792226185172598</v>
      </c>
      <c r="I1484" s="1257">
        <v>0.45161999201168401</v>
      </c>
      <c r="J1484" s="1280">
        <v>9.6167993029132204E-2</v>
      </c>
      <c r="K1484" s="1271">
        <v>6.2803394447188202E-3</v>
      </c>
      <c r="L1484" s="1257">
        <v>1.62244583237827E-3</v>
      </c>
      <c r="M1484" s="1280">
        <v>3.7414459254390302E-4</v>
      </c>
      <c r="N1484" s="1271">
        <v>7.55066738550294E-3</v>
      </c>
      <c r="O1484" s="1257">
        <v>3.0000008598028201E-3</v>
      </c>
      <c r="P1484" s="1257">
        <v>8.2838501996218492E-3</v>
      </c>
      <c r="Q1484" s="1280">
        <v>7.55066738550294E-3</v>
      </c>
      <c r="R1484" s="1271">
        <v>3.8500011034136201E-2</v>
      </c>
      <c r="S1484" s="1257">
        <v>3.8500011034136201E-2</v>
      </c>
      <c r="T1484" s="1257">
        <v>3.8500011034136201E-2</v>
      </c>
      <c r="U1484" s="1280">
        <v>1.9250005517068101E-2</v>
      </c>
      <c r="V1484" s="1293">
        <v>6.5643085258154602E-3</v>
      </c>
    </row>
    <row r="1485" spans="1:22" s="212" customFormat="1" ht="15.5" x14ac:dyDescent="0.35">
      <c r="A1485" s="198">
        <v>2040</v>
      </c>
      <c r="B1485" s="197" t="s">
        <v>5833</v>
      </c>
      <c r="C1485" s="197">
        <v>1976</v>
      </c>
      <c r="D1485" s="225" t="str">
        <f t="shared" si="8"/>
        <v>2040_1976</v>
      </c>
      <c r="E1485" s="1226">
        <v>6.3831920277816701E-2</v>
      </c>
      <c r="F1485" s="1257">
        <v>1.67407089592293E-2</v>
      </c>
      <c r="G1485" s="1280">
        <v>6.2702222965401594E-2</v>
      </c>
      <c r="H1485" s="1271">
        <v>0.34792226185172598</v>
      </c>
      <c r="I1485" s="1257">
        <v>0.45161999201168401</v>
      </c>
      <c r="J1485" s="1280">
        <v>9.6167993029132204E-2</v>
      </c>
      <c r="K1485" s="1271">
        <v>6.2803394447188202E-3</v>
      </c>
      <c r="L1485" s="1257">
        <v>1.62244583237827E-3</v>
      </c>
      <c r="M1485" s="1280">
        <v>3.7414459254390302E-4</v>
      </c>
      <c r="N1485" s="1271">
        <v>7.55066738550294E-3</v>
      </c>
      <c r="O1485" s="1257">
        <v>3.0000008598028201E-3</v>
      </c>
      <c r="P1485" s="1257">
        <v>8.2838501996218492E-3</v>
      </c>
      <c r="Q1485" s="1280">
        <v>7.55066738550294E-3</v>
      </c>
      <c r="R1485" s="1271">
        <v>3.8500011034136201E-2</v>
      </c>
      <c r="S1485" s="1257">
        <v>3.8500011034136201E-2</v>
      </c>
      <c r="T1485" s="1257">
        <v>3.8500011034136201E-2</v>
      </c>
      <c r="U1485" s="1280">
        <v>1.9250005517068101E-2</v>
      </c>
      <c r="V1485" s="1293">
        <v>6.5643085258154602E-3</v>
      </c>
    </row>
    <row r="1486" spans="1:22" s="212" customFormat="1" ht="15.5" x14ac:dyDescent="0.35">
      <c r="A1486" s="198">
        <v>2040</v>
      </c>
      <c r="B1486" s="197" t="s">
        <v>5833</v>
      </c>
      <c r="C1486" s="197">
        <v>1977</v>
      </c>
      <c r="D1486" s="225" t="str">
        <f t="shared" si="8"/>
        <v>2040_1977</v>
      </c>
      <c r="E1486" s="1226">
        <v>6.3831920277816701E-2</v>
      </c>
      <c r="F1486" s="1257">
        <v>1.67407089592293E-2</v>
      </c>
      <c r="G1486" s="1280">
        <v>6.2702222965401594E-2</v>
      </c>
      <c r="H1486" s="1271">
        <v>0.34792226185172598</v>
      </c>
      <c r="I1486" s="1257">
        <v>0.45161999201168401</v>
      </c>
      <c r="J1486" s="1280">
        <v>9.6167993029132204E-2</v>
      </c>
      <c r="K1486" s="1271">
        <v>6.2803394447188202E-3</v>
      </c>
      <c r="L1486" s="1257">
        <v>1.62244583237827E-3</v>
      </c>
      <c r="M1486" s="1280">
        <v>3.7414459254390302E-4</v>
      </c>
      <c r="N1486" s="1271">
        <v>7.55066738550294E-3</v>
      </c>
      <c r="O1486" s="1257">
        <v>3.0000008598028201E-3</v>
      </c>
      <c r="P1486" s="1257">
        <v>8.2838501996218492E-3</v>
      </c>
      <c r="Q1486" s="1280">
        <v>7.55066738550294E-3</v>
      </c>
      <c r="R1486" s="1271">
        <v>3.8500011034136201E-2</v>
      </c>
      <c r="S1486" s="1257">
        <v>3.8500011034136201E-2</v>
      </c>
      <c r="T1486" s="1257">
        <v>3.8500011034136201E-2</v>
      </c>
      <c r="U1486" s="1280">
        <v>1.9250005517068101E-2</v>
      </c>
      <c r="V1486" s="1293">
        <v>6.5643085258154602E-3</v>
      </c>
    </row>
    <row r="1487" spans="1:22" s="212" customFormat="1" ht="15.5" x14ac:dyDescent="0.35">
      <c r="A1487" s="198">
        <v>2040</v>
      </c>
      <c r="B1487" s="197" t="s">
        <v>5833</v>
      </c>
      <c r="C1487" s="197">
        <v>1978</v>
      </c>
      <c r="D1487" s="225" t="str">
        <f t="shared" si="8"/>
        <v>2040_1978</v>
      </c>
      <c r="E1487" s="1226">
        <v>6.3831920277816701E-2</v>
      </c>
      <c r="F1487" s="1257">
        <v>1.67407089592293E-2</v>
      </c>
      <c r="G1487" s="1280">
        <v>6.2702222965401594E-2</v>
      </c>
      <c r="H1487" s="1271">
        <v>0.34792226185172598</v>
      </c>
      <c r="I1487" s="1257">
        <v>0.45161999201168401</v>
      </c>
      <c r="J1487" s="1280">
        <v>9.6167993029132204E-2</v>
      </c>
      <c r="K1487" s="1271">
        <v>6.2803394447188202E-3</v>
      </c>
      <c r="L1487" s="1257">
        <v>1.62244583237827E-3</v>
      </c>
      <c r="M1487" s="1280">
        <v>3.7414459254390302E-4</v>
      </c>
      <c r="N1487" s="1271">
        <v>7.55066738550294E-3</v>
      </c>
      <c r="O1487" s="1257">
        <v>3.0000008598028201E-3</v>
      </c>
      <c r="P1487" s="1257">
        <v>8.2838501996218492E-3</v>
      </c>
      <c r="Q1487" s="1280">
        <v>7.55066738550294E-3</v>
      </c>
      <c r="R1487" s="1271">
        <v>3.8500011034136201E-2</v>
      </c>
      <c r="S1487" s="1257">
        <v>3.8500011034136201E-2</v>
      </c>
      <c r="T1487" s="1257">
        <v>3.8500011034136201E-2</v>
      </c>
      <c r="U1487" s="1280">
        <v>1.9250005517068101E-2</v>
      </c>
      <c r="V1487" s="1293">
        <v>6.5643085258154602E-3</v>
      </c>
    </row>
    <row r="1488" spans="1:22" s="212" customFormat="1" ht="15.5" x14ac:dyDescent="0.35">
      <c r="A1488" s="198">
        <v>2040</v>
      </c>
      <c r="B1488" s="197" t="s">
        <v>5833</v>
      </c>
      <c r="C1488" s="197">
        <v>1979</v>
      </c>
      <c r="D1488" s="225" t="str">
        <f t="shared" si="8"/>
        <v>2040_1979</v>
      </c>
      <c r="E1488" s="1226">
        <v>6.3831920277816701E-2</v>
      </c>
      <c r="F1488" s="1257">
        <v>1.67407089592293E-2</v>
      </c>
      <c r="G1488" s="1280">
        <v>6.2702222965401594E-2</v>
      </c>
      <c r="H1488" s="1271">
        <v>0.34792226185172598</v>
      </c>
      <c r="I1488" s="1257">
        <v>0.45161999201168401</v>
      </c>
      <c r="J1488" s="1280">
        <v>9.6167993029132204E-2</v>
      </c>
      <c r="K1488" s="1271">
        <v>6.2803394447188202E-3</v>
      </c>
      <c r="L1488" s="1257">
        <v>1.62244583237827E-3</v>
      </c>
      <c r="M1488" s="1280">
        <v>3.7414459254390302E-4</v>
      </c>
      <c r="N1488" s="1271">
        <v>7.55066738550294E-3</v>
      </c>
      <c r="O1488" s="1257">
        <v>3.0000008598028201E-3</v>
      </c>
      <c r="P1488" s="1257">
        <v>8.2838501996218492E-3</v>
      </c>
      <c r="Q1488" s="1280">
        <v>7.55066738550294E-3</v>
      </c>
      <c r="R1488" s="1271">
        <v>3.8500011034136201E-2</v>
      </c>
      <c r="S1488" s="1257">
        <v>3.8500011034136201E-2</v>
      </c>
      <c r="T1488" s="1257">
        <v>3.8500011034136201E-2</v>
      </c>
      <c r="U1488" s="1280">
        <v>1.9250005517068101E-2</v>
      </c>
      <c r="V1488" s="1293">
        <v>6.5643085258154602E-3</v>
      </c>
    </row>
    <row r="1489" spans="1:22" s="212" customFormat="1" ht="15.5" x14ac:dyDescent="0.35">
      <c r="A1489" s="198">
        <v>2040</v>
      </c>
      <c r="B1489" s="197" t="s">
        <v>5833</v>
      </c>
      <c r="C1489" s="197">
        <v>1980</v>
      </c>
      <c r="D1489" s="225" t="str">
        <f t="shared" si="8"/>
        <v>2040_1980</v>
      </c>
      <c r="E1489" s="1226">
        <v>6.3831920277816701E-2</v>
      </c>
      <c r="F1489" s="1257">
        <v>1.67407089592293E-2</v>
      </c>
      <c r="G1489" s="1280">
        <v>6.2702222965401594E-2</v>
      </c>
      <c r="H1489" s="1271">
        <v>0.34792226185172598</v>
      </c>
      <c r="I1489" s="1257">
        <v>0.45161999201168401</v>
      </c>
      <c r="J1489" s="1280">
        <v>9.6167993029132204E-2</v>
      </c>
      <c r="K1489" s="1271">
        <v>6.2803394447188202E-3</v>
      </c>
      <c r="L1489" s="1257">
        <v>1.62244583237827E-3</v>
      </c>
      <c r="M1489" s="1280">
        <v>3.7414459254390302E-4</v>
      </c>
      <c r="N1489" s="1271">
        <v>7.55066738550294E-3</v>
      </c>
      <c r="O1489" s="1257">
        <v>3.0000008598028201E-3</v>
      </c>
      <c r="P1489" s="1257">
        <v>8.2838501996218492E-3</v>
      </c>
      <c r="Q1489" s="1280">
        <v>7.55066738550294E-3</v>
      </c>
      <c r="R1489" s="1271">
        <v>3.8500011034136201E-2</v>
      </c>
      <c r="S1489" s="1257">
        <v>3.8500011034136201E-2</v>
      </c>
      <c r="T1489" s="1257">
        <v>3.8500011034136201E-2</v>
      </c>
      <c r="U1489" s="1280">
        <v>1.9250005517068101E-2</v>
      </c>
      <c r="V1489" s="1293">
        <v>6.5643085258154602E-3</v>
      </c>
    </row>
    <row r="1490" spans="1:22" s="212" customFormat="1" ht="15.5" x14ac:dyDescent="0.35">
      <c r="A1490" s="198">
        <v>2040</v>
      </c>
      <c r="B1490" s="197" t="s">
        <v>5833</v>
      </c>
      <c r="C1490" s="197">
        <v>1981</v>
      </c>
      <c r="D1490" s="225" t="str">
        <f t="shared" si="8"/>
        <v>2040_1981</v>
      </c>
      <c r="E1490" s="1226">
        <v>6.3831920277816701E-2</v>
      </c>
      <c r="F1490" s="1257">
        <v>1.67407089592293E-2</v>
      </c>
      <c r="G1490" s="1280">
        <v>6.2702222965401594E-2</v>
      </c>
      <c r="H1490" s="1271">
        <v>0.34792226185172598</v>
      </c>
      <c r="I1490" s="1257">
        <v>0.45161999201168401</v>
      </c>
      <c r="J1490" s="1280">
        <v>9.6167993029132204E-2</v>
      </c>
      <c r="K1490" s="1271">
        <v>6.2803394447188202E-3</v>
      </c>
      <c r="L1490" s="1257">
        <v>1.62244583237827E-3</v>
      </c>
      <c r="M1490" s="1280">
        <v>3.7414459254390302E-4</v>
      </c>
      <c r="N1490" s="1271">
        <v>7.55066738550294E-3</v>
      </c>
      <c r="O1490" s="1257">
        <v>3.0000008598028201E-3</v>
      </c>
      <c r="P1490" s="1257">
        <v>8.2838501996218492E-3</v>
      </c>
      <c r="Q1490" s="1280">
        <v>7.55066738550294E-3</v>
      </c>
      <c r="R1490" s="1271">
        <v>3.8500011034136201E-2</v>
      </c>
      <c r="S1490" s="1257">
        <v>3.8500011034136201E-2</v>
      </c>
      <c r="T1490" s="1257">
        <v>3.8500011034136201E-2</v>
      </c>
      <c r="U1490" s="1280">
        <v>1.9250005517068101E-2</v>
      </c>
      <c r="V1490" s="1293">
        <v>6.5643085258154602E-3</v>
      </c>
    </row>
    <row r="1491" spans="1:22" s="212" customFormat="1" ht="15.5" x14ac:dyDescent="0.35">
      <c r="A1491" s="198">
        <v>2040</v>
      </c>
      <c r="B1491" s="197" t="s">
        <v>5833</v>
      </c>
      <c r="C1491" s="197">
        <v>1982</v>
      </c>
      <c r="D1491" s="225" t="str">
        <f t="shared" si="8"/>
        <v>2040_1982</v>
      </c>
      <c r="E1491" s="1226">
        <v>6.3831920277816701E-2</v>
      </c>
      <c r="F1491" s="1257">
        <v>1.67407089592293E-2</v>
      </c>
      <c r="G1491" s="1280">
        <v>6.2702222965401594E-2</v>
      </c>
      <c r="H1491" s="1271">
        <v>0.34792226185172598</v>
      </c>
      <c r="I1491" s="1257">
        <v>0.45161999201168401</v>
      </c>
      <c r="J1491" s="1280">
        <v>9.6167993029132204E-2</v>
      </c>
      <c r="K1491" s="1271">
        <v>6.2803394447188202E-3</v>
      </c>
      <c r="L1491" s="1257">
        <v>1.62244583237827E-3</v>
      </c>
      <c r="M1491" s="1280">
        <v>3.7414459254390302E-4</v>
      </c>
      <c r="N1491" s="1271">
        <v>7.55066738550294E-3</v>
      </c>
      <c r="O1491" s="1257">
        <v>3.0000008598028201E-3</v>
      </c>
      <c r="P1491" s="1257">
        <v>8.2838501996218492E-3</v>
      </c>
      <c r="Q1491" s="1280">
        <v>7.55066738550294E-3</v>
      </c>
      <c r="R1491" s="1271">
        <v>3.8500011034136201E-2</v>
      </c>
      <c r="S1491" s="1257">
        <v>3.8500011034136201E-2</v>
      </c>
      <c r="T1491" s="1257">
        <v>3.8500011034136201E-2</v>
      </c>
      <c r="U1491" s="1280">
        <v>1.9250005517068101E-2</v>
      </c>
      <c r="V1491" s="1293">
        <v>6.5643085258154602E-3</v>
      </c>
    </row>
    <row r="1492" spans="1:22" s="212" customFormat="1" ht="15.5" x14ac:dyDescent="0.35">
      <c r="A1492" s="198">
        <v>2040</v>
      </c>
      <c r="B1492" s="197" t="s">
        <v>5833</v>
      </c>
      <c r="C1492" s="197">
        <v>1983</v>
      </c>
      <c r="D1492" s="225" t="str">
        <f t="shared" si="8"/>
        <v>2040_1983</v>
      </c>
      <c r="E1492" s="1226">
        <v>6.3831920277816701E-2</v>
      </c>
      <c r="F1492" s="1257">
        <v>1.67407089592293E-2</v>
      </c>
      <c r="G1492" s="1280">
        <v>6.2702222965401594E-2</v>
      </c>
      <c r="H1492" s="1271">
        <v>0.34792226185172598</v>
      </c>
      <c r="I1492" s="1257">
        <v>0.45161999201168401</v>
      </c>
      <c r="J1492" s="1280">
        <v>9.6167993029132204E-2</v>
      </c>
      <c r="K1492" s="1271">
        <v>6.2803394447188202E-3</v>
      </c>
      <c r="L1492" s="1257">
        <v>1.62244583237827E-3</v>
      </c>
      <c r="M1492" s="1280">
        <v>3.7414459254390302E-4</v>
      </c>
      <c r="N1492" s="1271">
        <v>7.55066738550294E-3</v>
      </c>
      <c r="O1492" s="1257">
        <v>3.0000008598028201E-3</v>
      </c>
      <c r="P1492" s="1257">
        <v>8.2838501996218492E-3</v>
      </c>
      <c r="Q1492" s="1280">
        <v>7.55066738550294E-3</v>
      </c>
      <c r="R1492" s="1271">
        <v>3.8500011034136201E-2</v>
      </c>
      <c r="S1492" s="1257">
        <v>3.8500011034136201E-2</v>
      </c>
      <c r="T1492" s="1257">
        <v>3.8500011034136201E-2</v>
      </c>
      <c r="U1492" s="1280">
        <v>1.9250005517068101E-2</v>
      </c>
      <c r="V1492" s="1293">
        <v>6.5643085258154602E-3</v>
      </c>
    </row>
    <row r="1493" spans="1:22" s="212" customFormat="1" ht="15.5" x14ac:dyDescent="0.35">
      <c r="A1493" s="198">
        <v>2040</v>
      </c>
      <c r="B1493" s="197" t="s">
        <v>5833</v>
      </c>
      <c r="C1493" s="197">
        <v>1984</v>
      </c>
      <c r="D1493" s="225" t="str">
        <f t="shared" si="8"/>
        <v>2040_1984</v>
      </c>
      <c r="E1493" s="1226">
        <v>6.3831920277816701E-2</v>
      </c>
      <c r="F1493" s="1257">
        <v>1.67407089592293E-2</v>
      </c>
      <c r="G1493" s="1280">
        <v>6.2702222965401594E-2</v>
      </c>
      <c r="H1493" s="1271">
        <v>0.34792226185172598</v>
      </c>
      <c r="I1493" s="1257">
        <v>0.45161999201168401</v>
      </c>
      <c r="J1493" s="1280">
        <v>9.6167993029132204E-2</v>
      </c>
      <c r="K1493" s="1271">
        <v>6.2803394447188202E-3</v>
      </c>
      <c r="L1493" s="1257">
        <v>1.62244583237827E-3</v>
      </c>
      <c r="M1493" s="1280">
        <v>3.7414459254390302E-4</v>
      </c>
      <c r="N1493" s="1271">
        <v>7.55066738550294E-3</v>
      </c>
      <c r="O1493" s="1257">
        <v>3.0000008598028201E-3</v>
      </c>
      <c r="P1493" s="1257">
        <v>8.2838501996218492E-3</v>
      </c>
      <c r="Q1493" s="1280">
        <v>7.55066738550294E-3</v>
      </c>
      <c r="R1493" s="1271">
        <v>3.8500011034136201E-2</v>
      </c>
      <c r="S1493" s="1257">
        <v>3.8500011034136201E-2</v>
      </c>
      <c r="T1493" s="1257">
        <v>3.8500011034136201E-2</v>
      </c>
      <c r="U1493" s="1280">
        <v>1.9250005517068101E-2</v>
      </c>
      <c r="V1493" s="1293">
        <v>6.5643085258154602E-3</v>
      </c>
    </row>
    <row r="1494" spans="1:22" s="212" customFormat="1" ht="15.5" x14ac:dyDescent="0.35">
      <c r="A1494" s="198">
        <v>2040</v>
      </c>
      <c r="B1494" s="197" t="s">
        <v>5833</v>
      </c>
      <c r="C1494" s="197">
        <v>1985</v>
      </c>
      <c r="D1494" s="225" t="str">
        <f t="shared" si="8"/>
        <v>2040_1985</v>
      </c>
      <c r="E1494" s="1226">
        <v>6.3831920277816701E-2</v>
      </c>
      <c r="F1494" s="1257">
        <v>1.67407089592293E-2</v>
      </c>
      <c r="G1494" s="1280">
        <v>6.2702222965401594E-2</v>
      </c>
      <c r="H1494" s="1271">
        <v>0.34792226185172598</v>
      </c>
      <c r="I1494" s="1257">
        <v>0.45161999201168401</v>
      </c>
      <c r="J1494" s="1280">
        <v>9.6167993029132204E-2</v>
      </c>
      <c r="K1494" s="1271">
        <v>6.2803394447188202E-3</v>
      </c>
      <c r="L1494" s="1257">
        <v>1.62244583237827E-3</v>
      </c>
      <c r="M1494" s="1280">
        <v>3.7414459254390302E-4</v>
      </c>
      <c r="N1494" s="1271">
        <v>7.55066738550294E-3</v>
      </c>
      <c r="O1494" s="1257">
        <v>3.0000008598028201E-3</v>
      </c>
      <c r="P1494" s="1257">
        <v>8.2838501996218492E-3</v>
      </c>
      <c r="Q1494" s="1280">
        <v>7.55066738550294E-3</v>
      </c>
      <c r="R1494" s="1271">
        <v>3.8500011034136201E-2</v>
      </c>
      <c r="S1494" s="1257">
        <v>3.8500011034136201E-2</v>
      </c>
      <c r="T1494" s="1257">
        <v>3.8500011034136201E-2</v>
      </c>
      <c r="U1494" s="1280">
        <v>1.9250005517068101E-2</v>
      </c>
      <c r="V1494" s="1293">
        <v>6.5643085258154602E-3</v>
      </c>
    </row>
    <row r="1495" spans="1:22" s="212" customFormat="1" ht="15.5" x14ac:dyDescent="0.35">
      <c r="A1495" s="198">
        <v>2040</v>
      </c>
      <c r="B1495" s="197" t="s">
        <v>5833</v>
      </c>
      <c r="C1495" s="197">
        <v>1986</v>
      </c>
      <c r="D1495" s="225" t="str">
        <f t="shared" si="8"/>
        <v>2040_1986</v>
      </c>
      <c r="E1495" s="1226">
        <v>6.3831920277816701E-2</v>
      </c>
      <c r="F1495" s="1257">
        <v>1.67407089592293E-2</v>
      </c>
      <c r="G1495" s="1280">
        <v>6.2702222965401594E-2</v>
      </c>
      <c r="H1495" s="1271">
        <v>0.34792226185172598</v>
      </c>
      <c r="I1495" s="1257">
        <v>0.45161999201168401</v>
      </c>
      <c r="J1495" s="1280">
        <v>9.6167993029132204E-2</v>
      </c>
      <c r="K1495" s="1271">
        <v>6.2803394447188202E-3</v>
      </c>
      <c r="L1495" s="1257">
        <v>1.62244583237827E-3</v>
      </c>
      <c r="M1495" s="1280">
        <v>3.7414459254390302E-4</v>
      </c>
      <c r="N1495" s="1271">
        <v>7.55066738550294E-3</v>
      </c>
      <c r="O1495" s="1257">
        <v>3.0000008598028201E-3</v>
      </c>
      <c r="P1495" s="1257">
        <v>8.2838501996218492E-3</v>
      </c>
      <c r="Q1495" s="1280">
        <v>7.55066738550294E-3</v>
      </c>
      <c r="R1495" s="1271">
        <v>3.8500011034136201E-2</v>
      </c>
      <c r="S1495" s="1257">
        <v>3.8500011034136201E-2</v>
      </c>
      <c r="T1495" s="1257">
        <v>3.8500011034136201E-2</v>
      </c>
      <c r="U1495" s="1280">
        <v>1.9250005517068101E-2</v>
      </c>
      <c r="V1495" s="1293">
        <v>6.5643085258154602E-3</v>
      </c>
    </row>
    <row r="1496" spans="1:22" s="212" customFormat="1" ht="15.5" x14ac:dyDescent="0.35">
      <c r="A1496" s="198">
        <v>2040</v>
      </c>
      <c r="B1496" s="197" t="s">
        <v>5833</v>
      </c>
      <c r="C1496" s="197">
        <v>1987</v>
      </c>
      <c r="D1496" s="225" t="str">
        <f t="shared" si="8"/>
        <v>2040_1987</v>
      </c>
      <c r="E1496" s="1226">
        <v>6.3831920277816701E-2</v>
      </c>
      <c r="F1496" s="1257">
        <v>1.67407089592293E-2</v>
      </c>
      <c r="G1496" s="1280">
        <v>6.2702222965401594E-2</v>
      </c>
      <c r="H1496" s="1271">
        <v>0.34792226185172598</v>
      </c>
      <c r="I1496" s="1257">
        <v>0.45161999201168401</v>
      </c>
      <c r="J1496" s="1280">
        <v>9.6167993029132204E-2</v>
      </c>
      <c r="K1496" s="1271">
        <v>6.2803394447188202E-3</v>
      </c>
      <c r="L1496" s="1257">
        <v>1.62244583237827E-3</v>
      </c>
      <c r="M1496" s="1280">
        <v>3.7414459254390302E-4</v>
      </c>
      <c r="N1496" s="1271">
        <v>7.55066738550294E-3</v>
      </c>
      <c r="O1496" s="1257">
        <v>3.0000008598028201E-3</v>
      </c>
      <c r="P1496" s="1257">
        <v>8.2838501996218492E-3</v>
      </c>
      <c r="Q1496" s="1280">
        <v>7.55066738550294E-3</v>
      </c>
      <c r="R1496" s="1271">
        <v>3.8500011034136201E-2</v>
      </c>
      <c r="S1496" s="1257">
        <v>3.8500011034136201E-2</v>
      </c>
      <c r="T1496" s="1257">
        <v>3.8500011034136201E-2</v>
      </c>
      <c r="U1496" s="1280">
        <v>1.9250005517068101E-2</v>
      </c>
      <c r="V1496" s="1293">
        <v>6.5643085258154602E-3</v>
      </c>
    </row>
    <row r="1497" spans="1:22" s="212" customFormat="1" ht="15.5" x14ac:dyDescent="0.35">
      <c r="A1497" s="198">
        <v>2040</v>
      </c>
      <c r="B1497" s="197" t="s">
        <v>5833</v>
      </c>
      <c r="C1497" s="197">
        <v>1988</v>
      </c>
      <c r="D1497" s="225" t="str">
        <f t="shared" si="8"/>
        <v>2040_1988</v>
      </c>
      <c r="E1497" s="1226">
        <v>6.3831920277816701E-2</v>
      </c>
      <c r="F1497" s="1257">
        <v>1.67407089592293E-2</v>
      </c>
      <c r="G1497" s="1280">
        <v>6.2702222965401594E-2</v>
      </c>
      <c r="H1497" s="1271">
        <v>0.34792226185172598</v>
      </c>
      <c r="I1497" s="1257">
        <v>0.45161999201168401</v>
      </c>
      <c r="J1497" s="1280">
        <v>9.6167993029132204E-2</v>
      </c>
      <c r="K1497" s="1271">
        <v>6.2803394447188202E-3</v>
      </c>
      <c r="L1497" s="1257">
        <v>1.62244583237827E-3</v>
      </c>
      <c r="M1497" s="1280">
        <v>3.7414459254390302E-4</v>
      </c>
      <c r="N1497" s="1271">
        <v>7.55066738550294E-3</v>
      </c>
      <c r="O1497" s="1257">
        <v>3.0000008598028201E-3</v>
      </c>
      <c r="P1497" s="1257">
        <v>8.2838501996218492E-3</v>
      </c>
      <c r="Q1497" s="1280">
        <v>7.55066738550294E-3</v>
      </c>
      <c r="R1497" s="1271">
        <v>3.8500011034136201E-2</v>
      </c>
      <c r="S1497" s="1257">
        <v>3.8500011034136201E-2</v>
      </c>
      <c r="T1497" s="1257">
        <v>3.8500011034136201E-2</v>
      </c>
      <c r="U1497" s="1280">
        <v>1.9250005517068101E-2</v>
      </c>
      <c r="V1497" s="1293">
        <v>6.5643085258154602E-3</v>
      </c>
    </row>
    <row r="1498" spans="1:22" s="212" customFormat="1" ht="15.5" x14ac:dyDescent="0.35">
      <c r="A1498" s="198">
        <v>2040</v>
      </c>
      <c r="B1498" s="197" t="s">
        <v>5833</v>
      </c>
      <c r="C1498" s="197">
        <v>1989</v>
      </c>
      <c r="D1498" s="225" t="str">
        <f t="shared" si="8"/>
        <v>2040_1989</v>
      </c>
      <c r="E1498" s="1226">
        <v>6.3831920277816701E-2</v>
      </c>
      <c r="F1498" s="1257">
        <v>1.67407089592293E-2</v>
      </c>
      <c r="G1498" s="1280">
        <v>6.2702222965401594E-2</v>
      </c>
      <c r="H1498" s="1271">
        <v>0.34792226185172598</v>
      </c>
      <c r="I1498" s="1257">
        <v>0.45161999201168401</v>
      </c>
      <c r="J1498" s="1280">
        <v>9.6167993029132204E-2</v>
      </c>
      <c r="K1498" s="1271">
        <v>6.2803394447188202E-3</v>
      </c>
      <c r="L1498" s="1257">
        <v>1.62244583237827E-3</v>
      </c>
      <c r="M1498" s="1280">
        <v>3.7414459254390302E-4</v>
      </c>
      <c r="N1498" s="1271">
        <v>7.55066738550294E-3</v>
      </c>
      <c r="O1498" s="1257">
        <v>3.0000008598028201E-3</v>
      </c>
      <c r="P1498" s="1257">
        <v>8.2838501996218492E-3</v>
      </c>
      <c r="Q1498" s="1280">
        <v>7.55066738550294E-3</v>
      </c>
      <c r="R1498" s="1271">
        <v>3.8500011034136201E-2</v>
      </c>
      <c r="S1498" s="1257">
        <v>3.8500011034136201E-2</v>
      </c>
      <c r="T1498" s="1257">
        <v>3.8500011034136201E-2</v>
      </c>
      <c r="U1498" s="1280">
        <v>1.9250005517068101E-2</v>
      </c>
      <c r="V1498" s="1293">
        <v>6.5643085258154602E-3</v>
      </c>
    </row>
    <row r="1499" spans="1:22" s="212" customFormat="1" ht="15.5" x14ac:dyDescent="0.35">
      <c r="A1499" s="198">
        <v>2040</v>
      </c>
      <c r="B1499" s="197" t="s">
        <v>5833</v>
      </c>
      <c r="C1499" s="197">
        <v>1990</v>
      </c>
      <c r="D1499" s="225" t="str">
        <f t="shared" si="8"/>
        <v>2040_1990</v>
      </c>
      <c r="E1499" s="1226">
        <v>6.3831920277816701E-2</v>
      </c>
      <c r="F1499" s="1257">
        <v>1.67407089592293E-2</v>
      </c>
      <c r="G1499" s="1280">
        <v>6.2702222965401594E-2</v>
      </c>
      <c r="H1499" s="1271">
        <v>0.34792226185172598</v>
      </c>
      <c r="I1499" s="1257">
        <v>0.45161999201168401</v>
      </c>
      <c r="J1499" s="1280">
        <v>9.6167993029132204E-2</v>
      </c>
      <c r="K1499" s="1271">
        <v>6.2803394447188202E-3</v>
      </c>
      <c r="L1499" s="1257">
        <v>1.62244583237827E-3</v>
      </c>
      <c r="M1499" s="1280">
        <v>3.7414459254390302E-4</v>
      </c>
      <c r="N1499" s="1271">
        <v>7.55066738550294E-3</v>
      </c>
      <c r="O1499" s="1257">
        <v>3.0000008598028201E-3</v>
      </c>
      <c r="P1499" s="1257">
        <v>8.2838501996218492E-3</v>
      </c>
      <c r="Q1499" s="1280">
        <v>7.55066738550294E-3</v>
      </c>
      <c r="R1499" s="1271">
        <v>3.8500011034136201E-2</v>
      </c>
      <c r="S1499" s="1257">
        <v>3.8500011034136201E-2</v>
      </c>
      <c r="T1499" s="1257">
        <v>3.8500011034136201E-2</v>
      </c>
      <c r="U1499" s="1280">
        <v>1.9250005517068101E-2</v>
      </c>
      <c r="V1499" s="1293">
        <v>6.5643085258154602E-3</v>
      </c>
    </row>
    <row r="1500" spans="1:22" s="212" customFormat="1" ht="15.5" x14ac:dyDescent="0.35">
      <c r="A1500" s="198">
        <v>2040</v>
      </c>
      <c r="B1500" s="197" t="s">
        <v>5833</v>
      </c>
      <c r="C1500" s="197">
        <v>1991</v>
      </c>
      <c r="D1500" s="225" t="str">
        <f t="shared" si="8"/>
        <v>2040_1991</v>
      </c>
      <c r="E1500" s="1226">
        <v>6.3831920277816701E-2</v>
      </c>
      <c r="F1500" s="1257">
        <v>1.67407089592293E-2</v>
      </c>
      <c r="G1500" s="1280">
        <v>6.2702222965401594E-2</v>
      </c>
      <c r="H1500" s="1271">
        <v>0.34792226185172598</v>
      </c>
      <c r="I1500" s="1257">
        <v>0.45161999201168401</v>
      </c>
      <c r="J1500" s="1280">
        <v>9.6167993029132204E-2</v>
      </c>
      <c r="K1500" s="1271">
        <v>6.2803394447188202E-3</v>
      </c>
      <c r="L1500" s="1257">
        <v>1.62244583237827E-3</v>
      </c>
      <c r="M1500" s="1280">
        <v>3.7414459254390302E-4</v>
      </c>
      <c r="N1500" s="1271">
        <v>7.55066738550294E-3</v>
      </c>
      <c r="O1500" s="1257">
        <v>3.0000008598028201E-3</v>
      </c>
      <c r="P1500" s="1257">
        <v>8.2838501996218492E-3</v>
      </c>
      <c r="Q1500" s="1280">
        <v>7.55066738550294E-3</v>
      </c>
      <c r="R1500" s="1271">
        <v>3.8500011034136201E-2</v>
      </c>
      <c r="S1500" s="1257">
        <v>3.8500011034136201E-2</v>
      </c>
      <c r="T1500" s="1257">
        <v>3.8500011034136201E-2</v>
      </c>
      <c r="U1500" s="1280">
        <v>1.9250005517068101E-2</v>
      </c>
      <c r="V1500" s="1293">
        <v>6.5643085258154602E-3</v>
      </c>
    </row>
    <row r="1501" spans="1:22" s="212" customFormat="1" ht="15.5" x14ac:dyDescent="0.35">
      <c r="A1501" s="198">
        <v>2040</v>
      </c>
      <c r="B1501" s="197" t="s">
        <v>5833</v>
      </c>
      <c r="C1501" s="197">
        <v>1992</v>
      </c>
      <c r="D1501" s="225" t="str">
        <f t="shared" si="8"/>
        <v>2040_1992</v>
      </c>
      <c r="E1501" s="1226">
        <v>6.3831920277816701E-2</v>
      </c>
      <c r="F1501" s="1257">
        <v>1.67407089592293E-2</v>
      </c>
      <c r="G1501" s="1280">
        <v>6.2702222965401594E-2</v>
      </c>
      <c r="H1501" s="1271">
        <v>0.34792226185172598</v>
      </c>
      <c r="I1501" s="1257">
        <v>0.45161999201168401</v>
      </c>
      <c r="J1501" s="1280">
        <v>9.6167993029132204E-2</v>
      </c>
      <c r="K1501" s="1271">
        <v>6.2803394447188202E-3</v>
      </c>
      <c r="L1501" s="1257">
        <v>1.62244583237827E-3</v>
      </c>
      <c r="M1501" s="1280">
        <v>3.7414459254390302E-4</v>
      </c>
      <c r="N1501" s="1271">
        <v>7.55066738550294E-3</v>
      </c>
      <c r="O1501" s="1257">
        <v>3.0000008598028201E-3</v>
      </c>
      <c r="P1501" s="1257">
        <v>8.2838501996218492E-3</v>
      </c>
      <c r="Q1501" s="1280">
        <v>7.55066738550294E-3</v>
      </c>
      <c r="R1501" s="1271">
        <v>3.8500011034136201E-2</v>
      </c>
      <c r="S1501" s="1257">
        <v>3.8500011034136201E-2</v>
      </c>
      <c r="T1501" s="1257">
        <v>3.8500011034136201E-2</v>
      </c>
      <c r="U1501" s="1280">
        <v>1.9250005517068101E-2</v>
      </c>
      <c r="V1501" s="1293">
        <v>6.5643085258154602E-3</v>
      </c>
    </row>
    <row r="1502" spans="1:22" s="212" customFormat="1" ht="15.5" x14ac:dyDescent="0.35">
      <c r="A1502" s="198">
        <v>2040</v>
      </c>
      <c r="B1502" s="197" t="s">
        <v>5833</v>
      </c>
      <c r="C1502" s="197">
        <v>1993</v>
      </c>
      <c r="D1502" s="225" t="str">
        <f t="shared" si="8"/>
        <v>2040_1993</v>
      </c>
      <c r="E1502" s="1226">
        <v>6.3831920277816701E-2</v>
      </c>
      <c r="F1502" s="1257">
        <v>1.67407089592293E-2</v>
      </c>
      <c r="G1502" s="1280">
        <v>6.2702222965401594E-2</v>
      </c>
      <c r="H1502" s="1271">
        <v>0.34792226185172598</v>
      </c>
      <c r="I1502" s="1257">
        <v>0.45161999201168401</v>
      </c>
      <c r="J1502" s="1280">
        <v>9.6167993029132204E-2</v>
      </c>
      <c r="K1502" s="1271">
        <v>6.2803394447188202E-3</v>
      </c>
      <c r="L1502" s="1257">
        <v>1.62244583237827E-3</v>
      </c>
      <c r="M1502" s="1280">
        <v>3.7414459254390302E-4</v>
      </c>
      <c r="N1502" s="1271">
        <v>7.55066738550294E-3</v>
      </c>
      <c r="O1502" s="1257">
        <v>3.0000008598028201E-3</v>
      </c>
      <c r="P1502" s="1257">
        <v>8.2838501996218492E-3</v>
      </c>
      <c r="Q1502" s="1280">
        <v>7.55066738550294E-3</v>
      </c>
      <c r="R1502" s="1271">
        <v>3.8500011034136201E-2</v>
      </c>
      <c r="S1502" s="1257">
        <v>3.8500011034136201E-2</v>
      </c>
      <c r="T1502" s="1257">
        <v>3.8500011034136201E-2</v>
      </c>
      <c r="U1502" s="1280">
        <v>1.9250005517068101E-2</v>
      </c>
      <c r="V1502" s="1293">
        <v>6.5643085258154602E-3</v>
      </c>
    </row>
    <row r="1503" spans="1:22" s="212" customFormat="1" ht="15.5" x14ac:dyDescent="0.35">
      <c r="A1503" s="198">
        <v>2040</v>
      </c>
      <c r="B1503" s="197" t="s">
        <v>5833</v>
      </c>
      <c r="C1503" s="197">
        <v>1994</v>
      </c>
      <c r="D1503" s="225" t="str">
        <f t="shared" si="8"/>
        <v>2040_1994</v>
      </c>
      <c r="E1503" s="1226">
        <v>6.3831920277816701E-2</v>
      </c>
      <c r="F1503" s="1257">
        <v>1.67407089592293E-2</v>
      </c>
      <c r="G1503" s="1280">
        <v>6.2702222965401594E-2</v>
      </c>
      <c r="H1503" s="1271">
        <v>0.34792226185172598</v>
      </c>
      <c r="I1503" s="1257">
        <v>0.45161999201168401</v>
      </c>
      <c r="J1503" s="1280">
        <v>9.6167993029132204E-2</v>
      </c>
      <c r="K1503" s="1271">
        <v>6.2803394447188202E-3</v>
      </c>
      <c r="L1503" s="1257">
        <v>1.62244583237827E-3</v>
      </c>
      <c r="M1503" s="1280">
        <v>3.7414459254390302E-4</v>
      </c>
      <c r="N1503" s="1271">
        <v>7.55066738550294E-3</v>
      </c>
      <c r="O1503" s="1257">
        <v>3.0000008598028201E-3</v>
      </c>
      <c r="P1503" s="1257">
        <v>8.2838501996218492E-3</v>
      </c>
      <c r="Q1503" s="1280">
        <v>7.55066738550294E-3</v>
      </c>
      <c r="R1503" s="1271">
        <v>3.8500011034136201E-2</v>
      </c>
      <c r="S1503" s="1257">
        <v>3.8500011034136201E-2</v>
      </c>
      <c r="T1503" s="1257">
        <v>3.8500011034136201E-2</v>
      </c>
      <c r="U1503" s="1280">
        <v>1.9250005517068101E-2</v>
      </c>
      <c r="V1503" s="1293">
        <v>6.5643085258154602E-3</v>
      </c>
    </row>
    <row r="1504" spans="1:22" s="212" customFormat="1" ht="15.5" x14ac:dyDescent="0.35">
      <c r="A1504" s="198">
        <v>2040</v>
      </c>
      <c r="B1504" s="197" t="s">
        <v>5833</v>
      </c>
      <c r="C1504" s="197">
        <v>1995</v>
      </c>
      <c r="D1504" s="225" t="str">
        <f t="shared" si="8"/>
        <v>2040_1995</v>
      </c>
      <c r="E1504" s="1226">
        <v>6.3831920277816701E-2</v>
      </c>
      <c r="F1504" s="1257">
        <v>1.67407089592293E-2</v>
      </c>
      <c r="G1504" s="1280">
        <v>6.2702222965401594E-2</v>
      </c>
      <c r="H1504" s="1271">
        <v>0.34792226185172598</v>
      </c>
      <c r="I1504" s="1257">
        <v>0.45161999201168401</v>
      </c>
      <c r="J1504" s="1280">
        <v>9.6167993029132204E-2</v>
      </c>
      <c r="K1504" s="1271">
        <v>6.2803394447188202E-3</v>
      </c>
      <c r="L1504" s="1257">
        <v>1.62244583237827E-3</v>
      </c>
      <c r="M1504" s="1280">
        <v>3.7414459254390302E-4</v>
      </c>
      <c r="N1504" s="1271">
        <v>7.55066738550294E-3</v>
      </c>
      <c r="O1504" s="1257">
        <v>3.0000008598028201E-3</v>
      </c>
      <c r="P1504" s="1257">
        <v>8.2838501996218492E-3</v>
      </c>
      <c r="Q1504" s="1280">
        <v>7.55066738550294E-3</v>
      </c>
      <c r="R1504" s="1271">
        <v>3.8500011034136201E-2</v>
      </c>
      <c r="S1504" s="1257">
        <v>3.8500011034136201E-2</v>
      </c>
      <c r="T1504" s="1257">
        <v>3.8500011034136201E-2</v>
      </c>
      <c r="U1504" s="1280">
        <v>1.9250005517068101E-2</v>
      </c>
      <c r="V1504" s="1293">
        <v>6.5643085258154602E-3</v>
      </c>
    </row>
    <row r="1505" spans="1:22" s="212" customFormat="1" ht="15.5" x14ac:dyDescent="0.35">
      <c r="A1505" s="198">
        <v>2040</v>
      </c>
      <c r="B1505" s="197" t="s">
        <v>5833</v>
      </c>
      <c r="C1505" s="197">
        <v>1996</v>
      </c>
      <c r="D1505" s="225" t="str">
        <f t="shared" si="8"/>
        <v>2040_1996</v>
      </c>
      <c r="E1505" s="1226">
        <v>6.3831920277816701E-2</v>
      </c>
      <c r="F1505" s="1257">
        <v>1.67407089592293E-2</v>
      </c>
      <c r="G1505" s="1280">
        <v>6.2702222965401594E-2</v>
      </c>
      <c r="H1505" s="1271">
        <v>0.34792226185172598</v>
      </c>
      <c r="I1505" s="1257">
        <v>0.45161999201168401</v>
      </c>
      <c r="J1505" s="1280">
        <v>9.6167993029132204E-2</v>
      </c>
      <c r="K1505" s="1271">
        <v>6.2803394447188202E-3</v>
      </c>
      <c r="L1505" s="1257">
        <v>1.62244583237827E-3</v>
      </c>
      <c r="M1505" s="1280">
        <v>3.7414459254390302E-4</v>
      </c>
      <c r="N1505" s="1271">
        <v>7.55066738550294E-3</v>
      </c>
      <c r="O1505" s="1257">
        <v>3.0000008598028201E-3</v>
      </c>
      <c r="P1505" s="1257">
        <v>8.2838501996218492E-3</v>
      </c>
      <c r="Q1505" s="1280">
        <v>7.55066738550294E-3</v>
      </c>
      <c r="R1505" s="1271">
        <v>3.8500011034136201E-2</v>
      </c>
      <c r="S1505" s="1257">
        <v>3.8500011034136201E-2</v>
      </c>
      <c r="T1505" s="1257">
        <v>3.8500011034136201E-2</v>
      </c>
      <c r="U1505" s="1280">
        <v>1.9250005517068101E-2</v>
      </c>
      <c r="V1505" s="1293">
        <v>6.5643085258154602E-3</v>
      </c>
    </row>
    <row r="1506" spans="1:22" s="212" customFormat="1" ht="15.5" x14ac:dyDescent="0.35">
      <c r="A1506" s="198">
        <v>2040</v>
      </c>
      <c r="B1506" s="197" t="s">
        <v>5833</v>
      </c>
      <c r="C1506" s="197">
        <v>1997</v>
      </c>
      <c r="D1506" s="225" t="str">
        <f t="shared" si="8"/>
        <v>2040_1997</v>
      </c>
      <c r="E1506" s="1226">
        <v>6.3831920277816701E-2</v>
      </c>
      <c r="F1506" s="1257">
        <v>1.67407089592293E-2</v>
      </c>
      <c r="G1506" s="1280">
        <v>6.2702222965401594E-2</v>
      </c>
      <c r="H1506" s="1271">
        <v>0.34792226185172598</v>
      </c>
      <c r="I1506" s="1257">
        <v>0.45161999201168401</v>
      </c>
      <c r="J1506" s="1280">
        <v>9.6167993029132204E-2</v>
      </c>
      <c r="K1506" s="1271">
        <v>6.2803394447188202E-3</v>
      </c>
      <c r="L1506" s="1257">
        <v>1.62244583237827E-3</v>
      </c>
      <c r="M1506" s="1280">
        <v>3.7414459254390302E-4</v>
      </c>
      <c r="N1506" s="1271">
        <v>7.55066738550294E-3</v>
      </c>
      <c r="O1506" s="1257">
        <v>3.0000008598028201E-3</v>
      </c>
      <c r="P1506" s="1257">
        <v>8.2838501996218492E-3</v>
      </c>
      <c r="Q1506" s="1280">
        <v>7.55066738550294E-3</v>
      </c>
      <c r="R1506" s="1271">
        <v>3.8500011034136201E-2</v>
      </c>
      <c r="S1506" s="1257">
        <v>3.8500011034136201E-2</v>
      </c>
      <c r="T1506" s="1257">
        <v>3.8500011034136201E-2</v>
      </c>
      <c r="U1506" s="1280">
        <v>1.9250005517068101E-2</v>
      </c>
      <c r="V1506" s="1293">
        <v>6.5643085258154602E-3</v>
      </c>
    </row>
    <row r="1507" spans="1:22" s="212" customFormat="1" ht="15.5" x14ac:dyDescent="0.35">
      <c r="A1507" s="198">
        <v>2040</v>
      </c>
      <c r="B1507" s="197" t="s">
        <v>5833</v>
      </c>
      <c r="C1507" s="197">
        <v>1998</v>
      </c>
      <c r="D1507" s="225" t="str">
        <f t="shared" si="8"/>
        <v>2040_1998</v>
      </c>
      <c r="E1507" s="1226">
        <v>6.3831920277816701E-2</v>
      </c>
      <c r="F1507" s="1257">
        <v>1.67407089592293E-2</v>
      </c>
      <c r="G1507" s="1280">
        <v>6.2702222965401594E-2</v>
      </c>
      <c r="H1507" s="1271">
        <v>0.34792226185172598</v>
      </c>
      <c r="I1507" s="1257">
        <v>0.45161999201168401</v>
      </c>
      <c r="J1507" s="1280">
        <v>9.6167993029132204E-2</v>
      </c>
      <c r="K1507" s="1271">
        <v>6.2803394447188202E-3</v>
      </c>
      <c r="L1507" s="1257">
        <v>1.62244583237827E-3</v>
      </c>
      <c r="M1507" s="1280">
        <v>3.7414459254390302E-4</v>
      </c>
      <c r="N1507" s="1271">
        <v>7.55066738550294E-3</v>
      </c>
      <c r="O1507" s="1257">
        <v>3.0000008598028201E-3</v>
      </c>
      <c r="P1507" s="1257">
        <v>8.2838501996218492E-3</v>
      </c>
      <c r="Q1507" s="1280">
        <v>7.55066738550294E-3</v>
      </c>
      <c r="R1507" s="1271">
        <v>3.8500011034136201E-2</v>
      </c>
      <c r="S1507" s="1257">
        <v>3.8500011034136201E-2</v>
      </c>
      <c r="T1507" s="1257">
        <v>3.8500011034136201E-2</v>
      </c>
      <c r="U1507" s="1280">
        <v>1.9250005517068101E-2</v>
      </c>
      <c r="V1507" s="1293">
        <v>6.5643085258154602E-3</v>
      </c>
    </row>
    <row r="1508" spans="1:22" s="212" customFormat="1" ht="15.5" x14ac:dyDescent="0.35">
      <c r="A1508" s="198">
        <v>2040</v>
      </c>
      <c r="B1508" s="197" t="s">
        <v>5833</v>
      </c>
      <c r="C1508" s="197">
        <v>1999</v>
      </c>
      <c r="D1508" s="225" t="str">
        <f t="shared" si="8"/>
        <v>2040_1999</v>
      </c>
      <c r="E1508" s="1226">
        <v>6.3831920277816701E-2</v>
      </c>
      <c r="F1508" s="1257">
        <v>1.67407089592293E-2</v>
      </c>
      <c r="G1508" s="1280">
        <v>6.2702222965401594E-2</v>
      </c>
      <c r="H1508" s="1271">
        <v>0.34792226185172598</v>
      </c>
      <c r="I1508" s="1257">
        <v>0.45161999201168401</v>
      </c>
      <c r="J1508" s="1280">
        <v>9.6167993029132204E-2</v>
      </c>
      <c r="K1508" s="1271">
        <v>6.2803394447188202E-3</v>
      </c>
      <c r="L1508" s="1257">
        <v>1.62244583237827E-3</v>
      </c>
      <c r="M1508" s="1280">
        <v>3.7414459254390302E-4</v>
      </c>
      <c r="N1508" s="1271">
        <v>7.55066738550294E-3</v>
      </c>
      <c r="O1508" s="1257">
        <v>3.0000008598028201E-3</v>
      </c>
      <c r="P1508" s="1257">
        <v>8.2838501996218492E-3</v>
      </c>
      <c r="Q1508" s="1280">
        <v>7.55066738550294E-3</v>
      </c>
      <c r="R1508" s="1271">
        <v>3.8500011034136201E-2</v>
      </c>
      <c r="S1508" s="1257">
        <v>3.8500011034136201E-2</v>
      </c>
      <c r="T1508" s="1257">
        <v>3.8500011034136201E-2</v>
      </c>
      <c r="U1508" s="1280">
        <v>1.9250005517068101E-2</v>
      </c>
      <c r="V1508" s="1293">
        <v>6.5643085258154602E-3</v>
      </c>
    </row>
    <row r="1509" spans="1:22" s="212" customFormat="1" ht="15.5" x14ac:dyDescent="0.35">
      <c r="A1509" s="198">
        <v>2040</v>
      </c>
      <c r="B1509" s="197" t="s">
        <v>5833</v>
      </c>
      <c r="C1509" s="197">
        <v>2000</v>
      </c>
      <c r="D1509" s="225" t="str">
        <f t="shared" si="8"/>
        <v>2040_2000</v>
      </c>
      <c r="E1509" s="1226">
        <v>6.3831920277816701E-2</v>
      </c>
      <c r="F1509" s="1257">
        <v>1.67407089592293E-2</v>
      </c>
      <c r="G1509" s="1280">
        <v>6.2702222965401594E-2</v>
      </c>
      <c r="H1509" s="1271">
        <v>0.34792226185172598</v>
      </c>
      <c r="I1509" s="1257">
        <v>0.45161999201168401</v>
      </c>
      <c r="J1509" s="1280">
        <v>9.6167993029132204E-2</v>
      </c>
      <c r="K1509" s="1271">
        <v>6.2803394447188202E-3</v>
      </c>
      <c r="L1509" s="1257">
        <v>1.62244583237827E-3</v>
      </c>
      <c r="M1509" s="1280">
        <v>3.7414459254390302E-4</v>
      </c>
      <c r="N1509" s="1271">
        <v>7.55066738550294E-3</v>
      </c>
      <c r="O1509" s="1257">
        <v>3.0000008598028201E-3</v>
      </c>
      <c r="P1509" s="1257">
        <v>8.2838501996218492E-3</v>
      </c>
      <c r="Q1509" s="1280">
        <v>7.55066738550294E-3</v>
      </c>
      <c r="R1509" s="1271">
        <v>3.8500011034136201E-2</v>
      </c>
      <c r="S1509" s="1257">
        <v>3.8500011034136201E-2</v>
      </c>
      <c r="T1509" s="1257">
        <v>3.8500011034136201E-2</v>
      </c>
      <c r="U1509" s="1280">
        <v>1.9250005517068101E-2</v>
      </c>
      <c r="V1509" s="1293">
        <v>6.5643085258154602E-3</v>
      </c>
    </row>
    <row r="1510" spans="1:22" s="212" customFormat="1" ht="15.5" x14ac:dyDescent="0.35">
      <c r="A1510" s="198">
        <v>2040</v>
      </c>
      <c r="B1510" s="197" t="s">
        <v>5833</v>
      </c>
      <c r="C1510" s="197">
        <v>2001</v>
      </c>
      <c r="D1510" s="225" t="str">
        <f t="shared" si="8"/>
        <v>2040_2001</v>
      </c>
      <c r="E1510" s="1226">
        <v>6.3831920277816701E-2</v>
      </c>
      <c r="F1510" s="1257">
        <v>1.67407089592293E-2</v>
      </c>
      <c r="G1510" s="1280">
        <v>6.2702222965401594E-2</v>
      </c>
      <c r="H1510" s="1271">
        <v>0.34792226185172598</v>
      </c>
      <c r="I1510" s="1257">
        <v>0.45161999201168401</v>
      </c>
      <c r="J1510" s="1280">
        <v>9.6167993029132204E-2</v>
      </c>
      <c r="K1510" s="1271">
        <v>6.2803394447188202E-3</v>
      </c>
      <c r="L1510" s="1257">
        <v>1.62244583237827E-3</v>
      </c>
      <c r="M1510" s="1280">
        <v>3.7414459254390302E-4</v>
      </c>
      <c r="N1510" s="1271">
        <v>7.55066738550294E-3</v>
      </c>
      <c r="O1510" s="1257">
        <v>3.0000008598028201E-3</v>
      </c>
      <c r="P1510" s="1257">
        <v>8.2838501996218492E-3</v>
      </c>
      <c r="Q1510" s="1280">
        <v>7.55066738550294E-3</v>
      </c>
      <c r="R1510" s="1271">
        <v>3.8500011034136201E-2</v>
      </c>
      <c r="S1510" s="1257">
        <v>3.8500011034136201E-2</v>
      </c>
      <c r="T1510" s="1257">
        <v>3.8500011034136201E-2</v>
      </c>
      <c r="U1510" s="1280">
        <v>1.9250005517068101E-2</v>
      </c>
      <c r="V1510" s="1293">
        <v>6.5643085258154602E-3</v>
      </c>
    </row>
    <row r="1511" spans="1:22" s="212" customFormat="1" ht="15.5" x14ac:dyDescent="0.35">
      <c r="A1511" s="198">
        <v>2040</v>
      </c>
      <c r="B1511" s="197" t="s">
        <v>5833</v>
      </c>
      <c r="C1511" s="197">
        <v>2002</v>
      </c>
      <c r="D1511" s="225" t="str">
        <f t="shared" si="8"/>
        <v>2040_2002</v>
      </c>
      <c r="E1511" s="1226">
        <v>6.3831920277816701E-2</v>
      </c>
      <c r="F1511" s="1257">
        <v>1.67407089592293E-2</v>
      </c>
      <c r="G1511" s="1280">
        <v>6.2702222965401594E-2</v>
      </c>
      <c r="H1511" s="1271">
        <v>0.34792226185172598</v>
      </c>
      <c r="I1511" s="1257">
        <v>0.45161999201168401</v>
      </c>
      <c r="J1511" s="1280">
        <v>9.6167993029132204E-2</v>
      </c>
      <c r="K1511" s="1271">
        <v>6.2803394447188202E-3</v>
      </c>
      <c r="L1511" s="1257">
        <v>1.62244583237827E-3</v>
      </c>
      <c r="M1511" s="1280">
        <v>3.7414459254390302E-4</v>
      </c>
      <c r="N1511" s="1271">
        <v>7.55066738550294E-3</v>
      </c>
      <c r="O1511" s="1257">
        <v>3.0000008598028201E-3</v>
      </c>
      <c r="P1511" s="1257">
        <v>8.2838501996218492E-3</v>
      </c>
      <c r="Q1511" s="1280">
        <v>7.55066738550294E-3</v>
      </c>
      <c r="R1511" s="1271">
        <v>3.8500011034136201E-2</v>
      </c>
      <c r="S1511" s="1257">
        <v>3.8500011034136201E-2</v>
      </c>
      <c r="T1511" s="1257">
        <v>3.8500011034136201E-2</v>
      </c>
      <c r="U1511" s="1280">
        <v>1.9250005517068101E-2</v>
      </c>
      <c r="V1511" s="1293">
        <v>6.5643085258154602E-3</v>
      </c>
    </row>
    <row r="1512" spans="1:22" s="212" customFormat="1" ht="15.5" x14ac:dyDescent="0.35">
      <c r="A1512" s="198">
        <v>2040</v>
      </c>
      <c r="B1512" s="197" t="s">
        <v>5833</v>
      </c>
      <c r="C1512" s="197">
        <v>2003</v>
      </c>
      <c r="D1512" s="225" t="str">
        <f t="shared" si="8"/>
        <v>2040_2003</v>
      </c>
      <c r="E1512" s="1226">
        <v>6.3831920277816701E-2</v>
      </c>
      <c r="F1512" s="1257">
        <v>1.67407089592293E-2</v>
      </c>
      <c r="G1512" s="1280">
        <v>6.2702222965401594E-2</v>
      </c>
      <c r="H1512" s="1271">
        <v>0.34792226185172598</v>
      </c>
      <c r="I1512" s="1257">
        <v>0.45161999201168401</v>
      </c>
      <c r="J1512" s="1280">
        <v>9.6167993029132204E-2</v>
      </c>
      <c r="K1512" s="1271">
        <v>6.2803394447188202E-3</v>
      </c>
      <c r="L1512" s="1257">
        <v>1.62244583237827E-3</v>
      </c>
      <c r="M1512" s="1280">
        <v>3.7414459254390302E-4</v>
      </c>
      <c r="N1512" s="1271">
        <v>7.55066738550294E-3</v>
      </c>
      <c r="O1512" s="1257">
        <v>3.0000008598028201E-3</v>
      </c>
      <c r="P1512" s="1257">
        <v>8.2838501996218492E-3</v>
      </c>
      <c r="Q1512" s="1280">
        <v>7.55066738550294E-3</v>
      </c>
      <c r="R1512" s="1271">
        <v>3.8500011034136201E-2</v>
      </c>
      <c r="S1512" s="1257">
        <v>3.8500011034136201E-2</v>
      </c>
      <c r="T1512" s="1257">
        <v>3.8500011034136201E-2</v>
      </c>
      <c r="U1512" s="1280">
        <v>1.9250005517068101E-2</v>
      </c>
      <c r="V1512" s="1293">
        <v>6.5643085258154602E-3</v>
      </c>
    </row>
    <row r="1513" spans="1:22" s="212" customFormat="1" ht="15.5" x14ac:dyDescent="0.35">
      <c r="A1513" s="198">
        <v>2040</v>
      </c>
      <c r="B1513" s="197" t="s">
        <v>5833</v>
      </c>
      <c r="C1513" s="197">
        <v>2004</v>
      </c>
      <c r="D1513" s="225" t="str">
        <f t="shared" si="8"/>
        <v>2040_2004</v>
      </c>
      <c r="E1513" s="1226">
        <v>6.3831920277816701E-2</v>
      </c>
      <c r="F1513" s="1257">
        <v>1.67407089592293E-2</v>
      </c>
      <c r="G1513" s="1280">
        <v>6.2702222965401594E-2</v>
      </c>
      <c r="H1513" s="1271">
        <v>0.34792226185172598</v>
      </c>
      <c r="I1513" s="1257">
        <v>0.45161999201168401</v>
      </c>
      <c r="J1513" s="1280">
        <v>9.6167993029132204E-2</v>
      </c>
      <c r="K1513" s="1271">
        <v>6.2803394447188202E-3</v>
      </c>
      <c r="L1513" s="1257">
        <v>1.62244583237827E-3</v>
      </c>
      <c r="M1513" s="1280">
        <v>3.7414459254390302E-4</v>
      </c>
      <c r="N1513" s="1271">
        <v>7.55066738550294E-3</v>
      </c>
      <c r="O1513" s="1257">
        <v>3.0000008598028201E-3</v>
      </c>
      <c r="P1513" s="1257">
        <v>8.2838501996218492E-3</v>
      </c>
      <c r="Q1513" s="1280">
        <v>7.55066738550294E-3</v>
      </c>
      <c r="R1513" s="1271">
        <v>3.8500011034136201E-2</v>
      </c>
      <c r="S1513" s="1257">
        <v>3.8500011034136201E-2</v>
      </c>
      <c r="T1513" s="1257">
        <v>3.8500011034136201E-2</v>
      </c>
      <c r="U1513" s="1280">
        <v>1.9250005517068101E-2</v>
      </c>
      <c r="V1513" s="1293">
        <v>6.5643085258154602E-3</v>
      </c>
    </row>
    <row r="1514" spans="1:22" s="212" customFormat="1" ht="15.5" x14ac:dyDescent="0.35">
      <c r="A1514" s="198">
        <v>2040</v>
      </c>
      <c r="B1514" s="197" t="s">
        <v>5833</v>
      </c>
      <c r="C1514" s="197">
        <v>2005</v>
      </c>
      <c r="D1514" s="225" t="str">
        <f t="shared" si="8"/>
        <v>2040_2005</v>
      </c>
      <c r="E1514" s="1226">
        <v>6.3831920277816701E-2</v>
      </c>
      <c r="F1514" s="1257">
        <v>1.67407089592293E-2</v>
      </c>
      <c r="G1514" s="1280">
        <v>6.2702222965401594E-2</v>
      </c>
      <c r="H1514" s="1271">
        <v>0.34792226185172598</v>
      </c>
      <c r="I1514" s="1257">
        <v>0.45161999201168401</v>
      </c>
      <c r="J1514" s="1280">
        <v>9.6167993029132204E-2</v>
      </c>
      <c r="K1514" s="1271">
        <v>6.2803394447188202E-3</v>
      </c>
      <c r="L1514" s="1257">
        <v>1.62244583237827E-3</v>
      </c>
      <c r="M1514" s="1280">
        <v>3.7414459254390302E-4</v>
      </c>
      <c r="N1514" s="1271">
        <v>7.55066738550294E-3</v>
      </c>
      <c r="O1514" s="1257">
        <v>3.0000008598028201E-3</v>
      </c>
      <c r="P1514" s="1257">
        <v>8.2838501996218492E-3</v>
      </c>
      <c r="Q1514" s="1280">
        <v>7.55066738550294E-3</v>
      </c>
      <c r="R1514" s="1271">
        <v>3.8500011034136201E-2</v>
      </c>
      <c r="S1514" s="1257">
        <v>3.8500011034136201E-2</v>
      </c>
      <c r="T1514" s="1257">
        <v>3.8500011034136201E-2</v>
      </c>
      <c r="U1514" s="1280">
        <v>1.9250005517068101E-2</v>
      </c>
      <c r="V1514" s="1293">
        <v>6.5643085258154602E-3</v>
      </c>
    </row>
    <row r="1515" spans="1:22" s="212" customFormat="1" ht="15.5" x14ac:dyDescent="0.35">
      <c r="A1515" s="198">
        <v>2040</v>
      </c>
      <c r="B1515" s="197" t="s">
        <v>5833</v>
      </c>
      <c r="C1515" s="197">
        <v>2006</v>
      </c>
      <c r="D1515" s="225" t="str">
        <f t="shared" si="8"/>
        <v>2040_2006</v>
      </c>
      <c r="E1515" s="1226">
        <v>6.3831920277816701E-2</v>
      </c>
      <c r="F1515" s="1257">
        <v>1.67407089592293E-2</v>
      </c>
      <c r="G1515" s="1280">
        <v>6.2702222965401594E-2</v>
      </c>
      <c r="H1515" s="1271">
        <v>0.34792226185172598</v>
      </c>
      <c r="I1515" s="1257">
        <v>0.45161999201168401</v>
      </c>
      <c r="J1515" s="1280">
        <v>9.6167993029132204E-2</v>
      </c>
      <c r="K1515" s="1271">
        <v>6.2803394447188202E-3</v>
      </c>
      <c r="L1515" s="1257">
        <v>1.62244583237827E-3</v>
      </c>
      <c r="M1515" s="1280">
        <v>3.7414459254390302E-4</v>
      </c>
      <c r="N1515" s="1271">
        <v>7.55066738550294E-3</v>
      </c>
      <c r="O1515" s="1257">
        <v>3.0000008598028201E-3</v>
      </c>
      <c r="P1515" s="1257">
        <v>8.2838501996218492E-3</v>
      </c>
      <c r="Q1515" s="1280">
        <v>7.55066738550294E-3</v>
      </c>
      <c r="R1515" s="1271">
        <v>3.8500011034136201E-2</v>
      </c>
      <c r="S1515" s="1257">
        <v>3.8500011034136201E-2</v>
      </c>
      <c r="T1515" s="1257">
        <v>3.8500011034136201E-2</v>
      </c>
      <c r="U1515" s="1280">
        <v>1.9250005517068101E-2</v>
      </c>
      <c r="V1515" s="1293">
        <v>6.5643085258154602E-3</v>
      </c>
    </row>
    <row r="1516" spans="1:22" s="212" customFormat="1" ht="15.5" x14ac:dyDescent="0.35">
      <c r="A1516" s="198">
        <v>2040</v>
      </c>
      <c r="B1516" s="197" t="s">
        <v>5833</v>
      </c>
      <c r="C1516" s="197">
        <v>2007</v>
      </c>
      <c r="D1516" s="225" t="str">
        <f t="shared" si="8"/>
        <v>2040_2007</v>
      </c>
      <c r="E1516" s="1226">
        <v>6.3831920277816701E-2</v>
      </c>
      <c r="F1516" s="1257">
        <v>1.67407089592293E-2</v>
      </c>
      <c r="G1516" s="1280">
        <v>6.2702222965401594E-2</v>
      </c>
      <c r="H1516" s="1271">
        <v>0.34792226185172598</v>
      </c>
      <c r="I1516" s="1257">
        <v>0.45161999201168401</v>
      </c>
      <c r="J1516" s="1280">
        <v>9.6167993029132204E-2</v>
      </c>
      <c r="K1516" s="1271">
        <v>6.2803394447188202E-3</v>
      </c>
      <c r="L1516" s="1257">
        <v>1.62244583237827E-3</v>
      </c>
      <c r="M1516" s="1280">
        <v>3.7414459254390302E-4</v>
      </c>
      <c r="N1516" s="1271">
        <v>7.55066738550294E-3</v>
      </c>
      <c r="O1516" s="1257">
        <v>3.0000008598028201E-3</v>
      </c>
      <c r="P1516" s="1257">
        <v>8.2838501996218492E-3</v>
      </c>
      <c r="Q1516" s="1280">
        <v>7.55066738550294E-3</v>
      </c>
      <c r="R1516" s="1271">
        <v>3.8500011034136201E-2</v>
      </c>
      <c r="S1516" s="1257">
        <v>3.8500011034136201E-2</v>
      </c>
      <c r="T1516" s="1257">
        <v>3.8500011034136201E-2</v>
      </c>
      <c r="U1516" s="1280">
        <v>1.9250005517068101E-2</v>
      </c>
      <c r="V1516" s="1293">
        <v>6.5643085258154602E-3</v>
      </c>
    </row>
    <row r="1517" spans="1:22" s="212" customFormat="1" ht="15.5" x14ac:dyDescent="0.35">
      <c r="A1517" s="198">
        <v>2040</v>
      </c>
      <c r="B1517" s="197" t="s">
        <v>5833</v>
      </c>
      <c r="C1517" s="197">
        <v>2008</v>
      </c>
      <c r="D1517" s="225" t="str">
        <f t="shared" si="8"/>
        <v>2040_2008</v>
      </c>
      <c r="E1517" s="1226">
        <v>6.3831920277816701E-2</v>
      </c>
      <c r="F1517" s="1257">
        <v>1.67407089592293E-2</v>
      </c>
      <c r="G1517" s="1280">
        <v>6.2702222965401594E-2</v>
      </c>
      <c r="H1517" s="1271">
        <v>0.34792226185172598</v>
      </c>
      <c r="I1517" s="1257">
        <v>0.45161999201168401</v>
      </c>
      <c r="J1517" s="1280">
        <v>9.6167993029132204E-2</v>
      </c>
      <c r="K1517" s="1271">
        <v>6.2803394447188202E-3</v>
      </c>
      <c r="L1517" s="1257">
        <v>1.62244583237827E-3</v>
      </c>
      <c r="M1517" s="1280">
        <v>3.7414459254390302E-4</v>
      </c>
      <c r="N1517" s="1271">
        <v>7.55066738550294E-3</v>
      </c>
      <c r="O1517" s="1257">
        <v>3.0000008598028201E-3</v>
      </c>
      <c r="P1517" s="1257">
        <v>8.2838501996218492E-3</v>
      </c>
      <c r="Q1517" s="1280">
        <v>7.55066738550294E-3</v>
      </c>
      <c r="R1517" s="1271">
        <v>3.8500011034136201E-2</v>
      </c>
      <c r="S1517" s="1257">
        <v>3.8500011034136201E-2</v>
      </c>
      <c r="T1517" s="1257">
        <v>3.8500011034136201E-2</v>
      </c>
      <c r="U1517" s="1280">
        <v>1.9250005517068101E-2</v>
      </c>
      <c r="V1517" s="1293">
        <v>6.5643085258154602E-3</v>
      </c>
    </row>
    <row r="1518" spans="1:22" s="212" customFormat="1" ht="15.5" x14ac:dyDescent="0.35">
      <c r="A1518" s="198">
        <v>2040</v>
      </c>
      <c r="B1518" s="197" t="s">
        <v>5833</v>
      </c>
      <c r="C1518" s="197">
        <v>2009</v>
      </c>
      <c r="D1518" s="225" t="str">
        <f t="shared" si="8"/>
        <v>2040_2009</v>
      </c>
      <c r="E1518" s="1226">
        <v>6.3831920277816701E-2</v>
      </c>
      <c r="F1518" s="1257">
        <v>1.67407089592293E-2</v>
      </c>
      <c r="G1518" s="1280">
        <v>6.2702222965401594E-2</v>
      </c>
      <c r="H1518" s="1271">
        <v>0.34792226185172598</v>
      </c>
      <c r="I1518" s="1257">
        <v>0.45161999201168401</v>
      </c>
      <c r="J1518" s="1280">
        <v>9.6167993029132204E-2</v>
      </c>
      <c r="K1518" s="1271">
        <v>6.2803394447188202E-3</v>
      </c>
      <c r="L1518" s="1257">
        <v>1.62244583237827E-3</v>
      </c>
      <c r="M1518" s="1280">
        <v>3.7414459254390302E-4</v>
      </c>
      <c r="N1518" s="1271">
        <v>7.55066738550294E-3</v>
      </c>
      <c r="O1518" s="1257">
        <v>3.0000008598028201E-3</v>
      </c>
      <c r="P1518" s="1257">
        <v>8.2838501996218492E-3</v>
      </c>
      <c r="Q1518" s="1280">
        <v>7.55066738550294E-3</v>
      </c>
      <c r="R1518" s="1271">
        <v>3.8500011034136201E-2</v>
      </c>
      <c r="S1518" s="1257">
        <v>3.8500011034136201E-2</v>
      </c>
      <c r="T1518" s="1257">
        <v>3.8500011034136201E-2</v>
      </c>
      <c r="U1518" s="1280">
        <v>1.9250005517068101E-2</v>
      </c>
      <c r="V1518" s="1293">
        <v>6.5643085258154602E-3</v>
      </c>
    </row>
    <row r="1519" spans="1:22" s="212" customFormat="1" ht="15.5" x14ac:dyDescent="0.35">
      <c r="A1519" s="198">
        <v>2040</v>
      </c>
      <c r="B1519" s="197" t="s">
        <v>5833</v>
      </c>
      <c r="C1519" s="197">
        <v>2010</v>
      </c>
      <c r="D1519" s="225" t="str">
        <f t="shared" si="8"/>
        <v>2040_2010</v>
      </c>
      <c r="E1519" s="1226">
        <v>6.3831920277816701E-2</v>
      </c>
      <c r="F1519" s="1257">
        <v>1.67407089592293E-2</v>
      </c>
      <c r="G1519" s="1280">
        <v>6.2702222965401594E-2</v>
      </c>
      <c r="H1519" s="1271">
        <v>0.34792226185172598</v>
      </c>
      <c r="I1519" s="1257">
        <v>0.45161999201168401</v>
      </c>
      <c r="J1519" s="1280">
        <v>9.6167993029132204E-2</v>
      </c>
      <c r="K1519" s="1271">
        <v>6.2803394447188202E-3</v>
      </c>
      <c r="L1519" s="1257">
        <v>1.62244583237827E-3</v>
      </c>
      <c r="M1519" s="1280">
        <v>3.7414459254390302E-4</v>
      </c>
      <c r="N1519" s="1271">
        <v>7.55066738550294E-3</v>
      </c>
      <c r="O1519" s="1257">
        <v>3.0000008598028201E-3</v>
      </c>
      <c r="P1519" s="1257">
        <v>8.2838501996218492E-3</v>
      </c>
      <c r="Q1519" s="1280">
        <v>7.55066738550294E-3</v>
      </c>
      <c r="R1519" s="1271">
        <v>3.8500011034136201E-2</v>
      </c>
      <c r="S1519" s="1257">
        <v>3.8500011034136201E-2</v>
      </c>
      <c r="T1519" s="1257">
        <v>3.8500011034136201E-2</v>
      </c>
      <c r="U1519" s="1280">
        <v>1.9250005517068101E-2</v>
      </c>
      <c r="V1519" s="1293">
        <v>6.5643085258154602E-3</v>
      </c>
    </row>
    <row r="1520" spans="1:22" s="212" customFormat="1" ht="15.5" x14ac:dyDescent="0.35">
      <c r="A1520" s="198">
        <v>2040</v>
      </c>
      <c r="B1520" s="197" t="s">
        <v>5833</v>
      </c>
      <c r="C1520" s="197">
        <v>2011</v>
      </c>
      <c r="D1520" s="225" t="str">
        <f t="shared" si="8"/>
        <v>2040_2011</v>
      </c>
      <c r="E1520" s="1226">
        <v>6.3831920277816701E-2</v>
      </c>
      <c r="F1520" s="1257">
        <v>1.67407089592293E-2</v>
      </c>
      <c r="G1520" s="1280">
        <v>6.2702222965401594E-2</v>
      </c>
      <c r="H1520" s="1271">
        <v>0.34792226185172598</v>
      </c>
      <c r="I1520" s="1257">
        <v>0.45161999201168401</v>
      </c>
      <c r="J1520" s="1280">
        <v>9.6167993029132204E-2</v>
      </c>
      <c r="K1520" s="1271">
        <v>6.2803394447188202E-3</v>
      </c>
      <c r="L1520" s="1257">
        <v>1.62244583237827E-3</v>
      </c>
      <c r="M1520" s="1280">
        <v>3.7414459254390302E-4</v>
      </c>
      <c r="N1520" s="1271">
        <v>7.55066738550294E-3</v>
      </c>
      <c r="O1520" s="1257">
        <v>3.0000008598028201E-3</v>
      </c>
      <c r="P1520" s="1257">
        <v>8.2838501996218492E-3</v>
      </c>
      <c r="Q1520" s="1280">
        <v>7.55066738550294E-3</v>
      </c>
      <c r="R1520" s="1271">
        <v>3.8500011034136201E-2</v>
      </c>
      <c r="S1520" s="1257">
        <v>3.8500011034136201E-2</v>
      </c>
      <c r="T1520" s="1257">
        <v>3.8500011034136201E-2</v>
      </c>
      <c r="U1520" s="1280">
        <v>1.9250005517068101E-2</v>
      </c>
      <c r="V1520" s="1293">
        <v>6.5643085258154602E-3</v>
      </c>
    </row>
    <row r="1521" spans="1:22" s="212" customFormat="1" ht="15.5" x14ac:dyDescent="0.35">
      <c r="A1521" s="198">
        <v>2040</v>
      </c>
      <c r="B1521" s="197" t="s">
        <v>5833</v>
      </c>
      <c r="C1521" s="197">
        <v>2012</v>
      </c>
      <c r="D1521" s="225" t="str">
        <f t="shared" si="8"/>
        <v>2040_2012</v>
      </c>
      <c r="E1521" s="1226">
        <v>6.3831920277816701E-2</v>
      </c>
      <c r="F1521" s="1257">
        <v>1.67407089592293E-2</v>
      </c>
      <c r="G1521" s="1280">
        <v>6.2702222965401594E-2</v>
      </c>
      <c r="H1521" s="1271">
        <v>0.34792226185172598</v>
      </c>
      <c r="I1521" s="1257">
        <v>0.45161999201168401</v>
      </c>
      <c r="J1521" s="1280">
        <v>9.6167993029132204E-2</v>
      </c>
      <c r="K1521" s="1271">
        <v>6.2803394447188202E-3</v>
      </c>
      <c r="L1521" s="1257">
        <v>1.62244583237827E-3</v>
      </c>
      <c r="M1521" s="1280">
        <v>3.7414459254390302E-4</v>
      </c>
      <c r="N1521" s="1271">
        <v>7.55066738550294E-3</v>
      </c>
      <c r="O1521" s="1257">
        <v>3.0000008598028201E-3</v>
      </c>
      <c r="P1521" s="1257">
        <v>8.2838501996218492E-3</v>
      </c>
      <c r="Q1521" s="1280">
        <v>7.55066738550294E-3</v>
      </c>
      <c r="R1521" s="1271">
        <v>3.8500011034136201E-2</v>
      </c>
      <c r="S1521" s="1257">
        <v>3.8500011034136201E-2</v>
      </c>
      <c r="T1521" s="1257">
        <v>3.8500011034136201E-2</v>
      </c>
      <c r="U1521" s="1280">
        <v>1.9250005517068101E-2</v>
      </c>
      <c r="V1521" s="1293">
        <v>6.5643085258154602E-3</v>
      </c>
    </row>
    <row r="1522" spans="1:22" s="212" customFormat="1" ht="15.5" x14ac:dyDescent="0.35">
      <c r="A1522" s="198">
        <v>2040</v>
      </c>
      <c r="B1522" s="197" t="s">
        <v>5833</v>
      </c>
      <c r="C1522" s="197">
        <v>2013</v>
      </c>
      <c r="D1522" s="225" t="str">
        <f t="shared" si="8"/>
        <v>2040_2013</v>
      </c>
      <c r="E1522" s="1226">
        <v>6.3831920277816701E-2</v>
      </c>
      <c r="F1522" s="1257">
        <v>1.67407089592293E-2</v>
      </c>
      <c r="G1522" s="1280">
        <v>6.2702222965401594E-2</v>
      </c>
      <c r="H1522" s="1271">
        <v>0.34792226185172598</v>
      </c>
      <c r="I1522" s="1257">
        <v>0.45161999201168401</v>
      </c>
      <c r="J1522" s="1280">
        <v>9.6167993029132204E-2</v>
      </c>
      <c r="K1522" s="1271">
        <v>6.2803394447188202E-3</v>
      </c>
      <c r="L1522" s="1257">
        <v>1.62244583237827E-3</v>
      </c>
      <c r="M1522" s="1280">
        <v>3.7414459254390302E-4</v>
      </c>
      <c r="N1522" s="1271">
        <v>7.55066738550294E-3</v>
      </c>
      <c r="O1522" s="1257">
        <v>3.0000008598028201E-3</v>
      </c>
      <c r="P1522" s="1257">
        <v>8.2838501996218492E-3</v>
      </c>
      <c r="Q1522" s="1280">
        <v>7.55066738550294E-3</v>
      </c>
      <c r="R1522" s="1271">
        <v>3.8500011034136201E-2</v>
      </c>
      <c r="S1522" s="1257">
        <v>3.8500011034136201E-2</v>
      </c>
      <c r="T1522" s="1257">
        <v>3.8500011034136201E-2</v>
      </c>
      <c r="U1522" s="1280">
        <v>1.9250005517068101E-2</v>
      </c>
      <c r="V1522" s="1293">
        <v>6.5643085258154602E-3</v>
      </c>
    </row>
    <row r="1523" spans="1:22" s="212" customFormat="1" ht="15.5" x14ac:dyDescent="0.35">
      <c r="A1523" s="198">
        <v>2040</v>
      </c>
      <c r="B1523" s="197" t="s">
        <v>5833</v>
      </c>
      <c r="C1523" s="197">
        <v>2014</v>
      </c>
      <c r="D1523" s="225" t="str">
        <f t="shared" ref="D1523:D1545" si="9">CONCATENATE(A1523,"_",C1523)</f>
        <v>2040_2014</v>
      </c>
      <c r="E1523" s="1226">
        <v>6.3831920277816701E-2</v>
      </c>
      <c r="F1523" s="1257">
        <v>1.67407089592293E-2</v>
      </c>
      <c r="G1523" s="1280">
        <v>6.2702222965401594E-2</v>
      </c>
      <c r="H1523" s="1271">
        <v>0.34792226185172598</v>
      </c>
      <c r="I1523" s="1257">
        <v>0.45161999201168401</v>
      </c>
      <c r="J1523" s="1280">
        <v>9.6167993029132204E-2</v>
      </c>
      <c r="K1523" s="1271">
        <v>6.2803394447188202E-3</v>
      </c>
      <c r="L1523" s="1257">
        <v>1.62244583237827E-3</v>
      </c>
      <c r="M1523" s="1280">
        <v>3.7414459254390302E-4</v>
      </c>
      <c r="N1523" s="1271">
        <v>7.55066738550294E-3</v>
      </c>
      <c r="O1523" s="1257">
        <v>3.0000008598028201E-3</v>
      </c>
      <c r="P1523" s="1257">
        <v>8.2838501996218492E-3</v>
      </c>
      <c r="Q1523" s="1280">
        <v>7.55066738550294E-3</v>
      </c>
      <c r="R1523" s="1271">
        <v>3.8500011034136201E-2</v>
      </c>
      <c r="S1523" s="1257">
        <v>3.8500011034136201E-2</v>
      </c>
      <c r="T1523" s="1257">
        <v>3.8500011034136201E-2</v>
      </c>
      <c r="U1523" s="1280">
        <v>1.9250005517068101E-2</v>
      </c>
      <c r="V1523" s="1293">
        <v>6.5643085258154602E-3</v>
      </c>
    </row>
    <row r="1524" spans="1:22" s="212" customFormat="1" ht="15.5" x14ac:dyDescent="0.35">
      <c r="A1524" s="198">
        <v>2040</v>
      </c>
      <c r="B1524" s="197" t="s">
        <v>5833</v>
      </c>
      <c r="C1524" s="197">
        <v>2015</v>
      </c>
      <c r="D1524" s="225" t="str">
        <f t="shared" si="9"/>
        <v>2040_2015</v>
      </c>
      <c r="E1524" s="1226">
        <v>6.3831920277816701E-2</v>
      </c>
      <c r="F1524" s="1257">
        <v>1.67407089592293E-2</v>
      </c>
      <c r="G1524" s="1280">
        <v>6.2702222965401594E-2</v>
      </c>
      <c r="H1524" s="1271">
        <v>0.34792226185172598</v>
      </c>
      <c r="I1524" s="1257">
        <v>0.45161999201168401</v>
      </c>
      <c r="J1524" s="1280">
        <v>9.6167993029132204E-2</v>
      </c>
      <c r="K1524" s="1271">
        <v>6.2803394447188202E-3</v>
      </c>
      <c r="L1524" s="1257">
        <v>1.62244583237827E-3</v>
      </c>
      <c r="M1524" s="1280">
        <v>3.7414459254390302E-4</v>
      </c>
      <c r="N1524" s="1271">
        <v>7.55066738550294E-3</v>
      </c>
      <c r="O1524" s="1257">
        <v>3.0000008598028201E-3</v>
      </c>
      <c r="P1524" s="1257">
        <v>8.2838501996218492E-3</v>
      </c>
      <c r="Q1524" s="1280">
        <v>7.55066738550294E-3</v>
      </c>
      <c r="R1524" s="1271">
        <v>3.8500011034136201E-2</v>
      </c>
      <c r="S1524" s="1257">
        <v>3.8500011034136201E-2</v>
      </c>
      <c r="T1524" s="1257">
        <v>3.8500011034136201E-2</v>
      </c>
      <c r="U1524" s="1280">
        <v>1.9250005517068101E-2</v>
      </c>
      <c r="V1524" s="1293">
        <v>6.5643085258154602E-3</v>
      </c>
    </row>
    <row r="1525" spans="1:22" s="212" customFormat="1" ht="15.5" x14ac:dyDescent="0.35">
      <c r="A1525" s="198">
        <v>2040</v>
      </c>
      <c r="B1525" s="197" t="s">
        <v>5833</v>
      </c>
      <c r="C1525" s="197">
        <v>2016</v>
      </c>
      <c r="D1525" s="225" t="str">
        <f t="shared" si="9"/>
        <v>2040_2016</v>
      </c>
      <c r="E1525" s="1226">
        <v>6.3831920277816701E-2</v>
      </c>
      <c r="F1525" s="1257">
        <v>1.67407089592293E-2</v>
      </c>
      <c r="G1525" s="1280">
        <v>6.2702222965401594E-2</v>
      </c>
      <c r="H1525" s="1271">
        <v>0.34792226185172598</v>
      </c>
      <c r="I1525" s="1257">
        <v>0.45161999201168401</v>
      </c>
      <c r="J1525" s="1280">
        <v>9.6167993029132204E-2</v>
      </c>
      <c r="K1525" s="1271">
        <v>6.2803394447188202E-3</v>
      </c>
      <c r="L1525" s="1257">
        <v>1.62244583237827E-3</v>
      </c>
      <c r="M1525" s="1280">
        <v>3.7414459254390302E-4</v>
      </c>
      <c r="N1525" s="1271">
        <v>7.55066738550294E-3</v>
      </c>
      <c r="O1525" s="1257">
        <v>3.0000008598028201E-3</v>
      </c>
      <c r="P1525" s="1257">
        <v>8.2838501996218492E-3</v>
      </c>
      <c r="Q1525" s="1280">
        <v>7.55066738550294E-3</v>
      </c>
      <c r="R1525" s="1271">
        <v>3.8500011034136201E-2</v>
      </c>
      <c r="S1525" s="1257">
        <v>3.8500011034136201E-2</v>
      </c>
      <c r="T1525" s="1257">
        <v>3.8500011034136201E-2</v>
      </c>
      <c r="U1525" s="1280">
        <v>1.9250005517068101E-2</v>
      </c>
      <c r="V1525" s="1293">
        <v>6.5643085258154602E-3</v>
      </c>
    </row>
    <row r="1526" spans="1:22" s="212" customFormat="1" ht="15.5" x14ac:dyDescent="0.35">
      <c r="A1526" s="198">
        <v>2040</v>
      </c>
      <c r="B1526" s="197" t="s">
        <v>5833</v>
      </c>
      <c r="C1526" s="197">
        <v>2017</v>
      </c>
      <c r="D1526" s="225" t="str">
        <f t="shared" si="9"/>
        <v>2040_2017</v>
      </c>
      <c r="E1526" s="1226">
        <v>6.3831920277816701E-2</v>
      </c>
      <c r="F1526" s="1257">
        <v>1.67407089592293E-2</v>
      </c>
      <c r="G1526" s="1280">
        <v>6.2702222965401594E-2</v>
      </c>
      <c r="H1526" s="1271">
        <v>0.34792226185172598</v>
      </c>
      <c r="I1526" s="1257">
        <v>0.45161999201168401</v>
      </c>
      <c r="J1526" s="1280">
        <v>9.6167993029132204E-2</v>
      </c>
      <c r="K1526" s="1271">
        <v>6.2803394447188202E-3</v>
      </c>
      <c r="L1526" s="1257">
        <v>1.62244583237827E-3</v>
      </c>
      <c r="M1526" s="1280">
        <v>3.7414459254390302E-4</v>
      </c>
      <c r="N1526" s="1271">
        <v>7.55066738550294E-3</v>
      </c>
      <c r="O1526" s="1257">
        <v>3.0000008598028201E-3</v>
      </c>
      <c r="P1526" s="1257">
        <v>8.2838501996218492E-3</v>
      </c>
      <c r="Q1526" s="1280">
        <v>7.55066738550294E-3</v>
      </c>
      <c r="R1526" s="1271">
        <v>3.8500011034136201E-2</v>
      </c>
      <c r="S1526" s="1257">
        <v>3.8500011034136201E-2</v>
      </c>
      <c r="T1526" s="1257">
        <v>3.8500011034136201E-2</v>
      </c>
      <c r="U1526" s="1280">
        <v>1.9250005517068101E-2</v>
      </c>
      <c r="V1526" s="1293">
        <v>6.5643085258154602E-3</v>
      </c>
    </row>
    <row r="1527" spans="1:22" s="212" customFormat="1" ht="15.5" x14ac:dyDescent="0.35">
      <c r="A1527" s="198">
        <v>2040</v>
      </c>
      <c r="B1527" s="197" t="s">
        <v>5833</v>
      </c>
      <c r="C1527" s="197">
        <v>2018</v>
      </c>
      <c r="D1527" s="225" t="str">
        <f t="shared" si="9"/>
        <v>2040_2018</v>
      </c>
      <c r="E1527" s="1226">
        <v>6.3831920277816701E-2</v>
      </c>
      <c r="F1527" s="1257">
        <v>1.67407089592293E-2</v>
      </c>
      <c r="G1527" s="1280">
        <v>6.2702222965401594E-2</v>
      </c>
      <c r="H1527" s="1271">
        <v>0.34792226185172598</v>
      </c>
      <c r="I1527" s="1257">
        <v>0.45161999201168401</v>
      </c>
      <c r="J1527" s="1280">
        <v>9.6167993029132204E-2</v>
      </c>
      <c r="K1527" s="1271">
        <v>6.2803394447188202E-3</v>
      </c>
      <c r="L1527" s="1257">
        <v>1.62244583237827E-3</v>
      </c>
      <c r="M1527" s="1280">
        <v>3.7414459254390302E-4</v>
      </c>
      <c r="N1527" s="1271">
        <v>7.55066738550294E-3</v>
      </c>
      <c r="O1527" s="1257">
        <v>3.0000008598028201E-3</v>
      </c>
      <c r="P1527" s="1257">
        <v>8.2838501996218492E-3</v>
      </c>
      <c r="Q1527" s="1280">
        <v>7.55066738550294E-3</v>
      </c>
      <c r="R1527" s="1271">
        <v>3.8500011034136201E-2</v>
      </c>
      <c r="S1527" s="1257">
        <v>3.8500011034136201E-2</v>
      </c>
      <c r="T1527" s="1257">
        <v>3.8500011034136201E-2</v>
      </c>
      <c r="U1527" s="1280">
        <v>1.9250005517068101E-2</v>
      </c>
      <c r="V1527" s="1293">
        <v>6.5643085258154602E-3</v>
      </c>
    </row>
    <row r="1528" spans="1:22" s="212" customFormat="1" ht="15.5" x14ac:dyDescent="0.35">
      <c r="A1528" s="198">
        <v>2040</v>
      </c>
      <c r="B1528" s="197" t="s">
        <v>5833</v>
      </c>
      <c r="C1528" s="197">
        <v>2019</v>
      </c>
      <c r="D1528" s="225" t="str">
        <f t="shared" si="9"/>
        <v>2040_2019</v>
      </c>
      <c r="E1528" s="1226">
        <v>6.3831920277816701E-2</v>
      </c>
      <c r="F1528" s="1257">
        <v>1.67407089592293E-2</v>
      </c>
      <c r="G1528" s="1280">
        <v>6.2702222965401594E-2</v>
      </c>
      <c r="H1528" s="1271">
        <v>0.34792226185172598</v>
      </c>
      <c r="I1528" s="1257">
        <v>0.45161999201168401</v>
      </c>
      <c r="J1528" s="1280">
        <v>9.6167993029132204E-2</v>
      </c>
      <c r="K1528" s="1271">
        <v>6.2803394447188202E-3</v>
      </c>
      <c r="L1528" s="1257">
        <v>1.62244583237827E-3</v>
      </c>
      <c r="M1528" s="1280">
        <v>3.7414459254390302E-4</v>
      </c>
      <c r="N1528" s="1271">
        <v>7.55066738550294E-3</v>
      </c>
      <c r="O1528" s="1257">
        <v>3.0000008598028201E-3</v>
      </c>
      <c r="P1528" s="1257">
        <v>8.2838501996218492E-3</v>
      </c>
      <c r="Q1528" s="1280">
        <v>7.55066738550294E-3</v>
      </c>
      <c r="R1528" s="1271">
        <v>3.8500011034136201E-2</v>
      </c>
      <c r="S1528" s="1257">
        <v>3.8500011034136201E-2</v>
      </c>
      <c r="T1528" s="1257">
        <v>3.8500011034136201E-2</v>
      </c>
      <c r="U1528" s="1280">
        <v>1.9250005517068101E-2</v>
      </c>
      <c r="V1528" s="1293">
        <v>6.5643085258154602E-3</v>
      </c>
    </row>
    <row r="1529" spans="1:22" s="212" customFormat="1" ht="15.5" x14ac:dyDescent="0.35">
      <c r="A1529" s="198">
        <v>2040</v>
      </c>
      <c r="B1529" s="197" t="s">
        <v>5833</v>
      </c>
      <c r="C1529" s="197">
        <v>2020</v>
      </c>
      <c r="D1529" s="225" t="str">
        <f t="shared" si="9"/>
        <v>2040_2020</v>
      </c>
      <c r="E1529" s="1226">
        <v>6.3831920277816701E-2</v>
      </c>
      <c r="F1529" s="1257">
        <v>1.67407089592293E-2</v>
      </c>
      <c r="G1529" s="1280">
        <v>6.2702222965401594E-2</v>
      </c>
      <c r="H1529" s="1271">
        <v>0.34792226185172598</v>
      </c>
      <c r="I1529" s="1257">
        <v>0.45161999201168401</v>
      </c>
      <c r="J1529" s="1280">
        <v>9.6167993029132204E-2</v>
      </c>
      <c r="K1529" s="1271">
        <v>6.2803394447188202E-3</v>
      </c>
      <c r="L1529" s="1257">
        <v>1.62244583237827E-3</v>
      </c>
      <c r="M1529" s="1280">
        <v>3.7414459254390302E-4</v>
      </c>
      <c r="N1529" s="1271">
        <v>7.55066738550294E-3</v>
      </c>
      <c r="O1529" s="1257">
        <v>3.0000008598028201E-3</v>
      </c>
      <c r="P1529" s="1257">
        <v>8.2838501996218492E-3</v>
      </c>
      <c r="Q1529" s="1280">
        <v>7.55066738550294E-3</v>
      </c>
      <c r="R1529" s="1271">
        <v>3.8500011034136201E-2</v>
      </c>
      <c r="S1529" s="1257">
        <v>3.8500011034136201E-2</v>
      </c>
      <c r="T1529" s="1257">
        <v>3.8500011034136201E-2</v>
      </c>
      <c r="U1529" s="1280">
        <v>1.9250005517068101E-2</v>
      </c>
      <c r="V1529" s="1293">
        <v>6.5643085258154602E-3</v>
      </c>
    </row>
    <row r="1530" spans="1:22" s="212" customFormat="1" ht="15.5" x14ac:dyDescent="0.35">
      <c r="A1530" s="198">
        <v>2040</v>
      </c>
      <c r="B1530" s="197" t="s">
        <v>5833</v>
      </c>
      <c r="C1530" s="197">
        <v>2021</v>
      </c>
      <c r="D1530" s="225" t="str">
        <f t="shared" si="9"/>
        <v>2040_2021</v>
      </c>
      <c r="E1530" s="1226">
        <v>6.3831920277816701E-2</v>
      </c>
      <c r="F1530" s="1257">
        <v>1.67407089592293E-2</v>
      </c>
      <c r="G1530" s="1280">
        <v>6.2702222965401594E-2</v>
      </c>
      <c r="H1530" s="1271">
        <v>0.34792226185172598</v>
      </c>
      <c r="I1530" s="1257">
        <v>0.45161999201168401</v>
      </c>
      <c r="J1530" s="1280">
        <v>9.6167993029132204E-2</v>
      </c>
      <c r="K1530" s="1271">
        <v>6.2803394447188202E-3</v>
      </c>
      <c r="L1530" s="1257">
        <v>1.62244583237827E-3</v>
      </c>
      <c r="M1530" s="1280">
        <v>3.7414459254390302E-4</v>
      </c>
      <c r="N1530" s="1271">
        <v>7.55066738550294E-3</v>
      </c>
      <c r="O1530" s="1257">
        <v>3.0000008598028201E-3</v>
      </c>
      <c r="P1530" s="1257">
        <v>8.2838501996218492E-3</v>
      </c>
      <c r="Q1530" s="1280">
        <v>7.55066738550294E-3</v>
      </c>
      <c r="R1530" s="1271">
        <v>3.8500011034136201E-2</v>
      </c>
      <c r="S1530" s="1257">
        <v>3.8500011034136201E-2</v>
      </c>
      <c r="T1530" s="1257">
        <v>3.8500011034136201E-2</v>
      </c>
      <c r="U1530" s="1280">
        <v>1.9250005517068101E-2</v>
      </c>
      <c r="V1530" s="1293">
        <v>6.5643085258154602E-3</v>
      </c>
    </row>
    <row r="1531" spans="1:22" s="212" customFormat="1" ht="15.5" x14ac:dyDescent="0.35">
      <c r="A1531" s="198">
        <v>2040</v>
      </c>
      <c r="B1531" s="197" t="s">
        <v>5833</v>
      </c>
      <c r="C1531" s="197">
        <v>2022</v>
      </c>
      <c r="D1531" s="225" t="str">
        <f t="shared" si="9"/>
        <v>2040_2022</v>
      </c>
      <c r="E1531" s="1226">
        <v>6.3831920277816701E-2</v>
      </c>
      <c r="F1531" s="1257">
        <v>1.67407089592293E-2</v>
      </c>
      <c r="G1531" s="1280">
        <v>6.2702222965401594E-2</v>
      </c>
      <c r="H1531" s="1271">
        <v>0.34792226185172598</v>
      </c>
      <c r="I1531" s="1257">
        <v>0.45161999201168401</v>
      </c>
      <c r="J1531" s="1280">
        <v>9.6167993029132204E-2</v>
      </c>
      <c r="K1531" s="1271">
        <v>6.2803394447188202E-3</v>
      </c>
      <c r="L1531" s="1257">
        <v>1.62244583237827E-3</v>
      </c>
      <c r="M1531" s="1280">
        <v>3.7414459254390302E-4</v>
      </c>
      <c r="N1531" s="1271">
        <v>7.55066738550294E-3</v>
      </c>
      <c r="O1531" s="1257">
        <v>3.0000008598028201E-3</v>
      </c>
      <c r="P1531" s="1257">
        <v>8.2838501996218492E-3</v>
      </c>
      <c r="Q1531" s="1280">
        <v>7.55066738550294E-3</v>
      </c>
      <c r="R1531" s="1271">
        <v>3.8500011034136201E-2</v>
      </c>
      <c r="S1531" s="1257">
        <v>3.8500011034136201E-2</v>
      </c>
      <c r="T1531" s="1257">
        <v>3.8500011034136201E-2</v>
      </c>
      <c r="U1531" s="1280">
        <v>1.9250005517068101E-2</v>
      </c>
      <c r="V1531" s="1293">
        <v>6.5643085258154602E-3</v>
      </c>
    </row>
    <row r="1532" spans="1:22" s="212" customFormat="1" ht="15.5" x14ac:dyDescent="0.35">
      <c r="A1532" s="198">
        <v>2040</v>
      </c>
      <c r="B1532" s="197" t="s">
        <v>5833</v>
      </c>
      <c r="C1532" s="197">
        <v>2023</v>
      </c>
      <c r="D1532" s="225" t="str">
        <f t="shared" si="9"/>
        <v>2040_2023</v>
      </c>
      <c r="E1532" s="1226">
        <v>6.3831920277816701E-2</v>
      </c>
      <c r="F1532" s="1257">
        <v>1.67407089592293E-2</v>
      </c>
      <c r="G1532" s="1280">
        <v>6.2702222965401594E-2</v>
      </c>
      <c r="H1532" s="1271">
        <v>0.34792226185172598</v>
      </c>
      <c r="I1532" s="1257">
        <v>0.45161999201168401</v>
      </c>
      <c r="J1532" s="1280">
        <v>9.6167993029132204E-2</v>
      </c>
      <c r="K1532" s="1271">
        <v>6.2803394447188202E-3</v>
      </c>
      <c r="L1532" s="1257">
        <v>1.62244583237827E-3</v>
      </c>
      <c r="M1532" s="1280">
        <v>3.7414459254390302E-4</v>
      </c>
      <c r="N1532" s="1271">
        <v>7.55066738550294E-3</v>
      </c>
      <c r="O1532" s="1257">
        <v>3.0000008598028201E-3</v>
      </c>
      <c r="P1532" s="1257">
        <v>8.2838501996218492E-3</v>
      </c>
      <c r="Q1532" s="1280">
        <v>7.55066738550294E-3</v>
      </c>
      <c r="R1532" s="1271">
        <v>3.8500011034136201E-2</v>
      </c>
      <c r="S1532" s="1257">
        <v>3.8500011034136201E-2</v>
      </c>
      <c r="T1532" s="1257">
        <v>3.8500011034136201E-2</v>
      </c>
      <c r="U1532" s="1280">
        <v>1.9250005517068101E-2</v>
      </c>
      <c r="V1532" s="1293">
        <v>6.5643085258154602E-3</v>
      </c>
    </row>
    <row r="1533" spans="1:22" s="212" customFormat="1" ht="15.5" x14ac:dyDescent="0.35">
      <c r="A1533" s="198">
        <v>2040</v>
      </c>
      <c r="B1533" s="197" t="s">
        <v>5833</v>
      </c>
      <c r="C1533" s="197">
        <v>2024</v>
      </c>
      <c r="D1533" s="225" t="str">
        <f t="shared" si="9"/>
        <v>2040_2024</v>
      </c>
      <c r="E1533" s="1226">
        <v>6.3831920277816701E-2</v>
      </c>
      <c r="F1533" s="1257">
        <v>1.67407089592293E-2</v>
      </c>
      <c r="G1533" s="1280">
        <v>6.2702222965401594E-2</v>
      </c>
      <c r="H1533" s="1271">
        <v>0.34792226185172598</v>
      </c>
      <c r="I1533" s="1257">
        <v>0.45161999201168401</v>
      </c>
      <c r="J1533" s="1280">
        <v>9.6167993029132204E-2</v>
      </c>
      <c r="K1533" s="1271">
        <v>6.2803394447188202E-3</v>
      </c>
      <c r="L1533" s="1257">
        <v>1.62244583237827E-3</v>
      </c>
      <c r="M1533" s="1280">
        <v>3.7414459254390302E-4</v>
      </c>
      <c r="N1533" s="1271">
        <v>7.55066738550294E-3</v>
      </c>
      <c r="O1533" s="1257">
        <v>3.0000008598028201E-3</v>
      </c>
      <c r="P1533" s="1257">
        <v>8.2838501996218492E-3</v>
      </c>
      <c r="Q1533" s="1280">
        <v>7.55066738550294E-3</v>
      </c>
      <c r="R1533" s="1271">
        <v>3.8500011034136201E-2</v>
      </c>
      <c r="S1533" s="1257">
        <v>3.8500011034136201E-2</v>
      </c>
      <c r="T1533" s="1257">
        <v>3.8500011034136201E-2</v>
      </c>
      <c r="U1533" s="1280">
        <v>1.9250005517068101E-2</v>
      </c>
      <c r="V1533" s="1293">
        <v>6.5643085258154602E-3</v>
      </c>
    </row>
    <row r="1534" spans="1:22" s="212" customFormat="1" ht="15.5" x14ac:dyDescent="0.35">
      <c r="A1534" s="198">
        <v>2040</v>
      </c>
      <c r="B1534" s="197" t="s">
        <v>5833</v>
      </c>
      <c r="C1534" s="197">
        <v>2025</v>
      </c>
      <c r="D1534" s="225" t="str">
        <f t="shared" si="9"/>
        <v>2040_2025</v>
      </c>
      <c r="E1534" s="1226">
        <v>6.3831920277816701E-2</v>
      </c>
      <c r="F1534" s="1257">
        <v>1.67407089592293E-2</v>
      </c>
      <c r="G1534" s="1280">
        <v>6.2702222965401594E-2</v>
      </c>
      <c r="H1534" s="1271">
        <v>0.34792226185172598</v>
      </c>
      <c r="I1534" s="1257">
        <v>0.45161999201168401</v>
      </c>
      <c r="J1534" s="1280">
        <v>9.6167993029132204E-2</v>
      </c>
      <c r="K1534" s="1271">
        <v>6.2803394447188202E-3</v>
      </c>
      <c r="L1534" s="1257">
        <v>1.62244583237827E-3</v>
      </c>
      <c r="M1534" s="1280">
        <v>3.7414459254390302E-4</v>
      </c>
      <c r="N1534" s="1271">
        <v>7.55066738550294E-3</v>
      </c>
      <c r="O1534" s="1257">
        <v>3.0000008598028201E-3</v>
      </c>
      <c r="P1534" s="1257">
        <v>8.2838501996218492E-3</v>
      </c>
      <c r="Q1534" s="1280">
        <v>7.55066738550294E-3</v>
      </c>
      <c r="R1534" s="1271">
        <v>3.8500011034136201E-2</v>
      </c>
      <c r="S1534" s="1257">
        <v>3.8500011034136201E-2</v>
      </c>
      <c r="T1534" s="1257">
        <v>3.8500011034136201E-2</v>
      </c>
      <c r="U1534" s="1280">
        <v>1.9250005517068101E-2</v>
      </c>
      <c r="V1534" s="1293">
        <v>6.5643085258154602E-3</v>
      </c>
    </row>
    <row r="1535" spans="1:22" s="212" customFormat="1" ht="15.5" x14ac:dyDescent="0.35">
      <c r="A1535" s="198">
        <v>2040</v>
      </c>
      <c r="B1535" s="197" t="s">
        <v>5833</v>
      </c>
      <c r="C1535" s="197">
        <v>2026</v>
      </c>
      <c r="D1535" s="225" t="str">
        <f t="shared" si="9"/>
        <v>2040_2026</v>
      </c>
      <c r="E1535" s="1231">
        <v>6.3831920277816701E-2</v>
      </c>
      <c r="F1535" s="1288">
        <v>1.67407089592293E-2</v>
      </c>
      <c r="G1535" s="1306">
        <v>6.2702222965401594E-2</v>
      </c>
      <c r="H1535" s="1303">
        <v>0.34792226185172598</v>
      </c>
      <c r="I1535" s="1288">
        <v>0.45161999201168401</v>
      </c>
      <c r="J1535" s="1306">
        <v>9.6167993029132204E-2</v>
      </c>
      <c r="K1535" s="1303">
        <v>6.2803394447188202E-3</v>
      </c>
      <c r="L1535" s="1288">
        <v>1.62244583237827E-3</v>
      </c>
      <c r="M1535" s="1306">
        <v>3.7414459254390302E-4</v>
      </c>
      <c r="N1535" s="1303">
        <v>7.55066738550294E-3</v>
      </c>
      <c r="O1535" s="1288">
        <v>3.0000008598028201E-3</v>
      </c>
      <c r="P1535" s="1288">
        <v>8.2838501996218492E-3</v>
      </c>
      <c r="Q1535" s="1306">
        <v>8.7337429995912007E-3</v>
      </c>
      <c r="R1535" s="1303">
        <v>3.8500011034136201E-2</v>
      </c>
      <c r="S1535" s="1288">
        <v>3.8500011034136201E-2</v>
      </c>
      <c r="T1535" s="1288">
        <v>3.8500011034136201E-2</v>
      </c>
      <c r="U1535" s="1306">
        <v>1.9250005517068101E-2</v>
      </c>
      <c r="V1535" s="1294">
        <v>6.5643085258154602E-3</v>
      </c>
    </row>
    <row r="1536" spans="1:22" s="212" customFormat="1" ht="15.5" x14ac:dyDescent="0.35">
      <c r="A1536" s="198">
        <v>2040</v>
      </c>
      <c r="B1536" s="197" t="s">
        <v>5833</v>
      </c>
      <c r="C1536" s="197">
        <v>2027</v>
      </c>
      <c r="D1536" s="225" t="str">
        <f t="shared" si="9"/>
        <v>2040_2027</v>
      </c>
      <c r="E1536" s="1231">
        <v>7.1257119663620194E-2</v>
      </c>
      <c r="F1536" s="1288">
        <v>1.7455561798943E-2</v>
      </c>
      <c r="G1536" s="1306">
        <v>6.3519070060296196E-2</v>
      </c>
      <c r="H1536" s="1303">
        <v>0.41599316838643602</v>
      </c>
      <c r="I1536" s="1288">
        <v>0.423136725551297</v>
      </c>
      <c r="J1536" s="1306">
        <v>0.10373543943757101</v>
      </c>
      <c r="K1536" s="1303">
        <v>6.8542084319848503E-3</v>
      </c>
      <c r="L1536" s="1288">
        <v>1.68947664821712E-3</v>
      </c>
      <c r="M1536" s="1306">
        <v>3.9361216409082399E-4</v>
      </c>
      <c r="N1536" s="1303">
        <v>8.2496900255908095E-3</v>
      </c>
      <c r="O1536" s="1288">
        <v>3.0000008598028201E-3</v>
      </c>
      <c r="P1536" s="1288">
        <v>8.3943522209133595E-3</v>
      </c>
      <c r="Q1536" s="1306">
        <v>7.9141820106778307E-3</v>
      </c>
      <c r="R1536" s="1303">
        <v>3.8500011034136201E-2</v>
      </c>
      <c r="S1536" s="1288">
        <v>3.8500011034136201E-2</v>
      </c>
      <c r="T1536" s="1288">
        <v>3.8500011034136201E-2</v>
      </c>
      <c r="U1536" s="1306">
        <v>1.9250005517068101E-2</v>
      </c>
      <c r="V1536" s="1294">
        <v>7.1641253221797398E-3</v>
      </c>
    </row>
    <row r="1537" spans="1:22" s="212" customFormat="1" ht="15.5" x14ac:dyDescent="0.35">
      <c r="A1537" s="198">
        <v>2040</v>
      </c>
      <c r="B1537" s="197" t="s">
        <v>5833</v>
      </c>
      <c r="C1537" s="197">
        <v>2028</v>
      </c>
      <c r="D1537" s="225" t="str">
        <f t="shared" si="9"/>
        <v>2040_2028</v>
      </c>
      <c r="E1537" s="1231">
        <v>6.6098319048700602E-2</v>
      </c>
      <c r="F1537" s="1288">
        <v>1.6884596040176902E-2</v>
      </c>
      <c r="G1537" s="1306">
        <v>6.3632376012425301E-2</v>
      </c>
      <c r="H1537" s="1303">
        <v>0.36412935987496697</v>
      </c>
      <c r="I1537" s="1288">
        <v>0.40166894779978801</v>
      </c>
      <c r="J1537" s="1306">
        <v>0.10455632787044</v>
      </c>
      <c r="K1537" s="1303">
        <v>6.57936864275318E-3</v>
      </c>
      <c r="L1537" s="1288">
        <v>1.6377282565762899E-3</v>
      </c>
      <c r="M1537" s="1306">
        <v>3.9498496052037198E-4</v>
      </c>
      <c r="N1537" s="1303">
        <v>7.8611191127852496E-3</v>
      </c>
      <c r="O1537" s="1288">
        <v>3.0000008598028201E-3</v>
      </c>
      <c r="P1537" s="1288">
        <v>8.4162513366086208E-3</v>
      </c>
      <c r="Q1537" s="1306">
        <v>7.9427433315009295E-3</v>
      </c>
      <c r="R1537" s="1303">
        <v>3.8500011034136201E-2</v>
      </c>
      <c r="S1537" s="1288">
        <v>3.8500011034136201E-2</v>
      </c>
      <c r="T1537" s="1288">
        <v>3.8500011034136097E-2</v>
      </c>
      <c r="U1537" s="1306">
        <v>1.9250005517068101E-2</v>
      </c>
      <c r="V1537" s="1294">
        <v>6.8768584972625302E-3</v>
      </c>
    </row>
    <row r="1538" spans="1:22" s="212" customFormat="1" ht="15.5" x14ac:dyDescent="0.35">
      <c r="A1538" s="198">
        <v>2040</v>
      </c>
      <c r="B1538" s="197" t="s">
        <v>5833</v>
      </c>
      <c r="C1538" s="197">
        <v>2029</v>
      </c>
      <c r="D1538" s="225" t="str">
        <f t="shared" si="9"/>
        <v>2040_2029</v>
      </c>
      <c r="E1538" s="1231">
        <v>6.2964751342046807E-2</v>
      </c>
      <c r="F1538" s="1288">
        <v>1.39776570608351E-2</v>
      </c>
      <c r="G1538" s="1306">
        <v>6.5236575471682504E-2</v>
      </c>
      <c r="H1538" s="1303">
        <v>0.34158364437193001</v>
      </c>
      <c r="I1538" s="1288">
        <v>0.35433605421751302</v>
      </c>
      <c r="J1538" s="1306">
        <v>0.114339249554226</v>
      </c>
      <c r="K1538" s="1303">
        <v>6.1783183626787398E-3</v>
      </c>
      <c r="L1538" s="1288">
        <v>1.36221468708339E-3</v>
      </c>
      <c r="M1538" s="1306">
        <v>4.1729071377394502E-4</v>
      </c>
      <c r="N1538" s="1303">
        <v>7.4375925411813799E-3</v>
      </c>
      <c r="O1538" s="1288">
        <v>3.0000008598028201E-3</v>
      </c>
      <c r="P1538" s="1288">
        <v>8.6984472514647707E-3</v>
      </c>
      <c r="Q1538" s="1306">
        <v>8.3085958763830601E-3</v>
      </c>
      <c r="R1538" s="1303">
        <v>3.8500011034136201E-2</v>
      </c>
      <c r="S1538" s="1288">
        <v>3.8500011034136201E-2</v>
      </c>
      <c r="T1538" s="1288">
        <v>3.8500011034136201E-2</v>
      </c>
      <c r="U1538" s="1306">
        <v>1.9250005517068101E-2</v>
      </c>
      <c r="V1538" s="1294">
        <v>6.4576745031573804E-3</v>
      </c>
    </row>
    <row r="1539" spans="1:22" s="212" customFormat="1" ht="15.5" x14ac:dyDescent="0.35">
      <c r="A1539" s="198">
        <v>2040</v>
      </c>
      <c r="B1539" s="197" t="s">
        <v>5833</v>
      </c>
      <c r="C1539" s="197">
        <v>2030</v>
      </c>
      <c r="D1539" s="225" t="str">
        <f t="shared" si="9"/>
        <v>2040_2030</v>
      </c>
      <c r="E1539" s="1231">
        <v>0.107967946087316</v>
      </c>
      <c r="F1539" s="1288">
        <v>2.8697580985587601E-3</v>
      </c>
      <c r="G1539" s="1306">
        <v>0.1001882908561</v>
      </c>
      <c r="H1539" s="1303">
        <v>0.248266783829271</v>
      </c>
      <c r="I1539" s="1288">
        <v>1.5655418270227799E-2</v>
      </c>
      <c r="J1539" s="1306">
        <v>0.23529876823388299</v>
      </c>
      <c r="K1539" s="1303">
        <v>2.2894388733201501E-2</v>
      </c>
      <c r="L1539" s="1288">
        <v>1.18136664851192E-3</v>
      </c>
      <c r="M1539" s="1306">
        <v>2.1527439026277601E-2</v>
      </c>
      <c r="N1539" s="1303">
        <v>3.0000008598028201E-3</v>
      </c>
      <c r="O1539" s="1288">
        <v>2.0000005732018801E-3</v>
      </c>
      <c r="P1539" s="1288">
        <v>3.0000008598028201E-3</v>
      </c>
      <c r="Q1539" s="1306">
        <v>7.8222780240651494E-3</v>
      </c>
      <c r="R1539" s="1303">
        <v>3.1850009128239903E-2</v>
      </c>
      <c r="S1539" s="1288">
        <v>3.1850009128239903E-2</v>
      </c>
      <c r="T1539" s="1288">
        <v>3.1850009128239903E-2</v>
      </c>
      <c r="U1539" s="1306">
        <v>1.9250005517068101E-2</v>
      </c>
      <c r="V1539" s="1294">
        <v>2.3929571399371501E-2</v>
      </c>
    </row>
    <row r="1540" spans="1:22" s="212" customFormat="1" ht="15.5" x14ac:dyDescent="0.35">
      <c r="A1540" s="198">
        <v>2040</v>
      </c>
      <c r="B1540" s="197" t="s">
        <v>5833</v>
      </c>
      <c r="C1540" s="197">
        <v>2031</v>
      </c>
      <c r="D1540" s="225" t="str">
        <f t="shared" si="9"/>
        <v>2040_2031</v>
      </c>
      <c r="E1540" s="1231">
        <v>0.108016726434859</v>
      </c>
      <c r="F1540" s="1288">
        <v>2.29962099969346E-3</v>
      </c>
      <c r="G1540" s="1306">
        <v>9.55201187033278E-2</v>
      </c>
      <c r="H1540" s="1303">
        <v>0.244165309507623</v>
      </c>
      <c r="I1540" s="1288">
        <v>1.62850049022168E-2</v>
      </c>
      <c r="J1540" s="1306">
        <v>0.22506636643953201</v>
      </c>
      <c r="K1540" s="1303">
        <v>2.2045071656753901E-2</v>
      </c>
      <c r="L1540" s="1288">
        <v>1.12425663364573E-3</v>
      </c>
      <c r="M1540" s="1306">
        <v>1.9977093882809001E-2</v>
      </c>
      <c r="N1540" s="1303">
        <v>3.0000008598028201E-3</v>
      </c>
      <c r="O1540" s="1288">
        <v>2.0000005732018801E-3</v>
      </c>
      <c r="P1540" s="1288">
        <v>3.0000008598028201E-3</v>
      </c>
      <c r="Q1540" s="1306">
        <v>8.1120328320053899E-3</v>
      </c>
      <c r="R1540" s="1303">
        <v>3.1850009128239903E-2</v>
      </c>
      <c r="S1540" s="1288">
        <v>3.1850009128239903E-2</v>
      </c>
      <c r="T1540" s="1288">
        <v>3.1850009128239903E-2</v>
      </c>
      <c r="U1540" s="1306">
        <v>1.9250005517068101E-2</v>
      </c>
      <c r="V1540" s="1294">
        <v>2.3041851973515701E-2</v>
      </c>
    </row>
    <row r="1541" spans="1:22" s="212" customFormat="1" ht="15.5" x14ac:dyDescent="0.35">
      <c r="A1541" s="198">
        <v>2040</v>
      </c>
      <c r="B1541" s="197" t="s">
        <v>5833</v>
      </c>
      <c r="C1541" s="197">
        <v>2032</v>
      </c>
      <c r="D1541" s="225" t="str">
        <f t="shared" si="9"/>
        <v>2040_2032</v>
      </c>
      <c r="E1541" s="1231">
        <v>0.104517044058382</v>
      </c>
      <c r="F1541" s="1288">
        <v>2.7274523551892001E-3</v>
      </c>
      <c r="G1541" s="1306">
        <v>8.0962773042420902E-2</v>
      </c>
      <c r="H1541" s="1303">
        <v>0.23298075380392699</v>
      </c>
      <c r="I1541" s="1288">
        <v>1.53982543866496E-2</v>
      </c>
      <c r="J1541" s="1306">
        <v>0.19033108194590201</v>
      </c>
      <c r="K1541" s="1303">
        <v>2.0395224301815802E-2</v>
      </c>
      <c r="L1541" s="1288">
        <v>1.1583403148633601E-3</v>
      </c>
      <c r="M1541" s="1306">
        <v>1.64177982960599E-2</v>
      </c>
      <c r="N1541" s="1303">
        <v>3.0000008598028201E-3</v>
      </c>
      <c r="O1541" s="1288">
        <v>2.0000005732018801E-3</v>
      </c>
      <c r="P1541" s="1288">
        <v>3.0000008598028201E-3</v>
      </c>
      <c r="Q1541" s="1306">
        <v>7.7480283451327701E-3</v>
      </c>
      <c r="R1541" s="1303">
        <v>3.1850009128239903E-2</v>
      </c>
      <c r="S1541" s="1288">
        <v>3.1850009128239903E-2</v>
      </c>
      <c r="T1541" s="1288">
        <v>3.1850009128239903E-2</v>
      </c>
      <c r="U1541" s="1306">
        <v>1.9250005517068101E-2</v>
      </c>
      <c r="V1541" s="1294">
        <v>2.1317405842276399E-2</v>
      </c>
    </row>
    <row r="1542" spans="1:22" s="212" customFormat="1" ht="15.5" x14ac:dyDescent="0.35">
      <c r="A1542" s="198">
        <v>2040</v>
      </c>
      <c r="B1542" s="197" t="s">
        <v>5833</v>
      </c>
      <c r="C1542" s="197">
        <v>2033</v>
      </c>
      <c r="D1542" s="225" t="str">
        <f t="shared" si="9"/>
        <v>2040_2033</v>
      </c>
      <c r="E1542" s="1231">
        <v>0.102710862280602</v>
      </c>
      <c r="F1542" s="1288">
        <v>2.2690135322635499E-3</v>
      </c>
      <c r="G1542" s="1306">
        <v>7.6598955922186795E-2</v>
      </c>
      <c r="H1542" s="1303">
        <v>0.22457880088943799</v>
      </c>
      <c r="I1542" s="1288">
        <v>1.5492568204193501E-2</v>
      </c>
      <c r="J1542" s="1306">
        <v>0.177595372980867</v>
      </c>
      <c r="K1542" s="1303">
        <v>1.9036926006964602E-2</v>
      </c>
      <c r="L1542" s="1288">
        <v>1.1068391324295199E-3</v>
      </c>
      <c r="M1542" s="1306">
        <v>1.4824057870053701E-2</v>
      </c>
      <c r="N1542" s="1303">
        <v>3.0000008598028201E-3</v>
      </c>
      <c r="O1542" s="1288">
        <v>2.0000005732018801E-3</v>
      </c>
      <c r="P1542" s="1288">
        <v>3.0000008598028201E-3</v>
      </c>
      <c r="Q1542" s="1306">
        <v>7.0779306122425202E-3</v>
      </c>
      <c r="R1542" s="1303">
        <v>3.1850009128239903E-2</v>
      </c>
      <c r="S1542" s="1288">
        <v>3.1850009128239903E-2</v>
      </c>
      <c r="T1542" s="1288">
        <v>3.1850009128239903E-2</v>
      </c>
      <c r="U1542" s="1306">
        <v>1.9250005517068101E-2</v>
      </c>
      <c r="V1542" s="1294">
        <v>1.98976913258915E-2</v>
      </c>
    </row>
    <row r="1543" spans="1:22" s="212" customFormat="1" ht="15.5" x14ac:dyDescent="0.35">
      <c r="A1543" s="198">
        <v>2040</v>
      </c>
      <c r="B1543" s="197" t="s">
        <v>5833</v>
      </c>
      <c r="C1543" s="197">
        <v>2034</v>
      </c>
      <c r="D1543" s="225" t="str">
        <f t="shared" si="9"/>
        <v>2040_2034</v>
      </c>
      <c r="E1543" s="1231">
        <v>0.100459275432667</v>
      </c>
      <c r="F1543" s="1288">
        <v>2.87942221045797E-3</v>
      </c>
      <c r="G1543" s="1306">
        <v>6.7304110368129499E-2</v>
      </c>
      <c r="H1543" s="1303">
        <v>0.215172817885462</v>
      </c>
      <c r="I1543" s="1288">
        <v>1.48396379911639E-2</v>
      </c>
      <c r="J1543" s="1306">
        <v>0.17107539815577</v>
      </c>
      <c r="K1543" s="1303">
        <v>1.7542847003939301E-2</v>
      </c>
      <c r="L1543" s="1288">
        <v>1.1784989541933099E-3</v>
      </c>
      <c r="M1543" s="1306">
        <v>1.30230900798035E-2</v>
      </c>
      <c r="N1543" s="1303">
        <v>3.0000008598028201E-3</v>
      </c>
      <c r="O1543" s="1288">
        <v>2.0000005732018801E-3</v>
      </c>
      <c r="P1543" s="1288">
        <v>3.0000008598028201E-3</v>
      </c>
      <c r="Q1543" s="1306">
        <v>5.7121094500660798E-3</v>
      </c>
      <c r="R1543" s="1303">
        <v>3.1850009128239903E-2</v>
      </c>
      <c r="S1543" s="1288">
        <v>3.1850009128239903E-2</v>
      </c>
      <c r="T1543" s="1288">
        <v>3.1850009128239903E-2</v>
      </c>
      <c r="U1543" s="1306">
        <v>1.9250005517068101E-2</v>
      </c>
      <c r="V1543" s="1294">
        <v>1.83360567002268E-2</v>
      </c>
    </row>
    <row r="1544" spans="1:22" s="212" customFormat="1" ht="15.5" x14ac:dyDescent="0.35">
      <c r="A1544" s="198">
        <v>2040</v>
      </c>
      <c r="B1544" s="197" t="s">
        <v>5833</v>
      </c>
      <c r="C1544" s="197">
        <v>2035</v>
      </c>
      <c r="D1544" s="225" t="str">
        <f t="shared" si="9"/>
        <v>2040_2035</v>
      </c>
      <c r="E1544" s="1231">
        <v>9.7865703148828503E-2</v>
      </c>
      <c r="F1544" s="1288">
        <v>1.7307603631332099E-3</v>
      </c>
      <c r="G1544" s="1306">
        <v>6.5494047151032797E-2</v>
      </c>
      <c r="H1544" s="1303">
        <v>0.20484077784135801</v>
      </c>
      <c r="I1544" s="1288">
        <v>1.55677701293993E-2</v>
      </c>
      <c r="J1544" s="1306">
        <v>0.16603343305649901</v>
      </c>
      <c r="K1544" s="1303">
        <v>1.5923004156419999E-2</v>
      </c>
      <c r="L1544" s="1288">
        <v>1.0477085044710199E-3</v>
      </c>
      <c r="M1544" s="1306">
        <v>1.1931799765890899E-2</v>
      </c>
      <c r="N1544" s="1303">
        <v>3.0000008598028201E-3</v>
      </c>
      <c r="O1544" s="1288">
        <v>2.0000005732018801E-3</v>
      </c>
      <c r="P1544" s="1288">
        <v>3.0000008598028201E-3</v>
      </c>
      <c r="Q1544" s="1306">
        <v>8.08268618211762E-3</v>
      </c>
      <c r="R1544" s="1303">
        <v>3.1850009128239903E-2</v>
      </c>
      <c r="S1544" s="1288">
        <v>3.1850009128239903E-2</v>
      </c>
      <c r="T1544" s="1288">
        <v>3.1850009128239903E-2</v>
      </c>
      <c r="U1544" s="1306">
        <v>1.9250005517068101E-2</v>
      </c>
      <c r="V1544" s="1294">
        <v>1.6642971747088901E-2</v>
      </c>
    </row>
    <row r="1545" spans="1:22" s="212" customFormat="1" ht="15.5" x14ac:dyDescent="0.35">
      <c r="A1545" s="198">
        <v>2040</v>
      </c>
      <c r="B1545" s="197" t="s">
        <v>5833</v>
      </c>
      <c r="C1545" s="197">
        <v>2036</v>
      </c>
      <c r="D1545" s="225" t="str">
        <f t="shared" si="9"/>
        <v>2040_2036</v>
      </c>
      <c r="E1545" s="1231">
        <v>9.5717891064354493E-2</v>
      </c>
      <c r="F1545" s="1288">
        <v>2.7962564760662298E-3</v>
      </c>
      <c r="G1545" s="1306">
        <v>6.8279465875439496E-2</v>
      </c>
      <c r="H1545" s="1303">
        <v>0.19521393739828</v>
      </c>
      <c r="I1545" s="1288">
        <v>1.5265617060603901E-2</v>
      </c>
      <c r="J1545" s="1306">
        <v>0.15343279944221</v>
      </c>
      <c r="K1545" s="1303">
        <v>1.43189853688873E-2</v>
      </c>
      <c r="L1545" s="1288">
        <v>1.1505332344571E-3</v>
      </c>
      <c r="M1545" s="1306">
        <v>1.0894566420937399E-2</v>
      </c>
      <c r="N1545" s="1303">
        <v>3.0000008598028201E-3</v>
      </c>
      <c r="O1545" s="1288">
        <v>2.0000005732018801E-3</v>
      </c>
      <c r="P1545" s="1288">
        <v>3.0000008598028201E-3</v>
      </c>
      <c r="Q1545" s="1306">
        <v>7.3795799121639197E-3</v>
      </c>
      <c r="R1545" s="1303">
        <v>3.1850009128239903E-2</v>
      </c>
      <c r="S1545" s="1288">
        <v>3.1850009128239903E-2</v>
      </c>
      <c r="T1545" s="1288">
        <v>3.1850009128239903E-2</v>
      </c>
      <c r="U1545" s="1306">
        <v>1.9250005517068E-2</v>
      </c>
      <c r="V1545" s="1294">
        <v>1.4966426347711901E-2</v>
      </c>
    </row>
    <row r="1546" spans="1:22" s="212" customFormat="1" ht="15.5" x14ac:dyDescent="0.35">
      <c r="A1546" s="198">
        <v>2040</v>
      </c>
      <c r="B1546" s="197" t="s">
        <v>5833</v>
      </c>
      <c r="C1546" s="197">
        <v>2037</v>
      </c>
      <c r="D1546" s="225" t="str">
        <f t="shared" si="8"/>
        <v>2040_2037</v>
      </c>
      <c r="E1546" s="1231">
        <v>9.2022157175808098E-2</v>
      </c>
      <c r="F1546" s="1288">
        <v>2.47570705871947E-3</v>
      </c>
      <c r="G1546" s="1306">
        <v>5.0198641937436297E-2</v>
      </c>
      <c r="H1546" s="1303">
        <v>0.18157034396968499</v>
      </c>
      <c r="I1546" s="1288">
        <v>1.7433888116502899E-2</v>
      </c>
      <c r="J1546" s="1306">
        <v>0.124501626111315</v>
      </c>
      <c r="K1546" s="1303">
        <v>1.24381655399005E-2</v>
      </c>
      <c r="L1546" s="1288">
        <v>1.1100550519912199E-3</v>
      </c>
      <c r="M1546" s="1306">
        <v>7.8516202023440305E-3</v>
      </c>
      <c r="N1546" s="1303">
        <v>3.0000008598028201E-3</v>
      </c>
      <c r="O1546" s="1288">
        <v>2.0000005732018801E-3</v>
      </c>
      <c r="P1546" s="1288">
        <v>3.0000008598028201E-3</v>
      </c>
      <c r="Q1546" s="1306">
        <v>7.5861856395711197E-3</v>
      </c>
      <c r="R1546" s="1303">
        <v>3.1850009128239903E-2</v>
      </c>
      <c r="S1546" s="1288">
        <v>3.1850009128239903E-2</v>
      </c>
      <c r="T1546" s="1288">
        <v>3.1850009128239903E-2</v>
      </c>
      <c r="U1546" s="1306">
        <v>1.9250005517068101E-2</v>
      </c>
      <c r="V1546" s="1294">
        <v>1.3000564192072701E-2</v>
      </c>
    </row>
    <row r="1547" spans="1:22" s="212" customFormat="1" ht="15.5" x14ac:dyDescent="0.35">
      <c r="A1547" s="198">
        <v>2040</v>
      </c>
      <c r="B1547" s="197" t="s">
        <v>5833</v>
      </c>
      <c r="C1547" s="197">
        <v>2038</v>
      </c>
      <c r="D1547" s="225" t="str">
        <f t="shared" si="8"/>
        <v>2040_2038</v>
      </c>
      <c r="E1547" s="1231">
        <v>9.0033995791581597E-2</v>
      </c>
      <c r="F1547" s="1288">
        <v>1.7418215390669E-3</v>
      </c>
      <c r="G1547" s="1306">
        <v>6.7018320290589198E-2</v>
      </c>
      <c r="H1547" s="1303">
        <v>0.17174527188887301</v>
      </c>
      <c r="I1547" s="1288">
        <v>2.0133739973077599E-2</v>
      </c>
      <c r="J1547" s="1306">
        <v>0.13908642136659599</v>
      </c>
      <c r="K1547" s="1303">
        <v>1.0726477978343999E-2</v>
      </c>
      <c r="L1547" s="1288">
        <v>1.0119005220444999E-3</v>
      </c>
      <c r="M1547" s="1306">
        <v>8.4390966114135397E-3</v>
      </c>
      <c r="N1547" s="1303">
        <v>3.0000008598028201E-3</v>
      </c>
      <c r="O1547" s="1288">
        <v>2.0000005732018801E-3</v>
      </c>
      <c r="P1547" s="1288">
        <v>3.0000008598028201E-3</v>
      </c>
      <c r="Q1547" s="1306">
        <v>7.8507146591203902E-3</v>
      </c>
      <c r="R1547" s="1303">
        <v>3.1850009128239903E-2</v>
      </c>
      <c r="S1547" s="1288">
        <v>3.1850009128239903E-2</v>
      </c>
      <c r="T1547" s="1288">
        <v>3.1850009128239903E-2</v>
      </c>
      <c r="U1547" s="1306">
        <v>1.9250005517068101E-2</v>
      </c>
      <c r="V1547" s="1294">
        <v>1.12114817144836E-2</v>
      </c>
    </row>
    <row r="1548" spans="1:22" s="212" customFormat="1" ht="15.5" x14ac:dyDescent="0.35">
      <c r="A1548" s="198">
        <v>2040</v>
      </c>
      <c r="B1548" s="197" t="s">
        <v>5833</v>
      </c>
      <c r="C1548" s="197">
        <v>2039</v>
      </c>
      <c r="D1548" s="225" t="str">
        <f t="shared" si="8"/>
        <v>2040_2039</v>
      </c>
      <c r="E1548" s="1231">
        <v>8.8417916284647596E-2</v>
      </c>
      <c r="F1548" s="1288">
        <v>3.56953765059344E-3</v>
      </c>
      <c r="G1548" s="1306">
        <v>4.1616746466340497E-2</v>
      </c>
      <c r="H1548" s="1303">
        <v>0.16250714054384299</v>
      </c>
      <c r="I1548" s="1288">
        <v>2.1185971910396499E-2</v>
      </c>
      <c r="J1548" s="1306">
        <v>0.102191271370114</v>
      </c>
      <c r="K1548" s="1303">
        <v>8.9643720501851598E-3</v>
      </c>
      <c r="L1548" s="1288">
        <v>1.14152224330179E-3</v>
      </c>
      <c r="M1548" s="1306">
        <v>5.0981663380658499E-3</v>
      </c>
      <c r="N1548" s="1303">
        <v>3.0000008598028201E-3</v>
      </c>
      <c r="O1548" s="1288">
        <v>2.0000005732018801E-3</v>
      </c>
      <c r="P1548" s="1288">
        <v>3.0000008598028201E-3</v>
      </c>
      <c r="Q1548" s="1306">
        <v>7.5933065431310698E-3</v>
      </c>
      <c r="R1548" s="1303">
        <v>3.1850009128239903E-2</v>
      </c>
      <c r="S1548" s="1288">
        <v>3.1850009128239903E-2</v>
      </c>
      <c r="T1548" s="1288">
        <v>3.1850009128239903E-2</v>
      </c>
      <c r="U1548" s="1306">
        <v>1.9250005517068101E-2</v>
      </c>
      <c r="V1548" s="1294">
        <v>9.3697011754827007E-3</v>
      </c>
    </row>
    <row r="1549" spans="1:22" s="212" customFormat="1" ht="15.5" x14ac:dyDescent="0.35">
      <c r="A1549" s="198">
        <v>2040</v>
      </c>
      <c r="B1549" s="197" t="s">
        <v>5833</v>
      </c>
      <c r="C1549" s="197">
        <v>2040</v>
      </c>
      <c r="D1549" s="225" t="str">
        <f t="shared" si="8"/>
        <v>2040_2040</v>
      </c>
      <c r="E1549" s="1231">
        <v>8.5574491426279001E-2</v>
      </c>
      <c r="F1549" s="1288">
        <v>2.6727445513224598E-3</v>
      </c>
      <c r="G1549" s="1306">
        <v>4.8893489509181903E-2</v>
      </c>
      <c r="H1549" s="1303">
        <v>0.14999054131975301</v>
      </c>
      <c r="I1549" s="1288">
        <v>2.1176831595256799E-2</v>
      </c>
      <c r="J1549" s="1306">
        <v>0.100636258155494</v>
      </c>
      <c r="K1549" s="1303">
        <v>6.98999416626102E-3</v>
      </c>
      <c r="L1549" s="1288">
        <v>1.0896549036963699E-3</v>
      </c>
      <c r="M1549" s="1306">
        <v>4.4598441031241396E-3</v>
      </c>
      <c r="N1549" s="1303">
        <v>3.0000008598028201E-3</v>
      </c>
      <c r="O1549" s="1288">
        <v>2.0000005732018801E-3</v>
      </c>
      <c r="P1549" s="1288">
        <v>3.0000008598028201E-3</v>
      </c>
      <c r="Q1549" s="1306">
        <v>7.6833188573584002E-3</v>
      </c>
      <c r="R1549" s="1303">
        <v>3.1850009128239903E-2</v>
      </c>
      <c r="S1549" s="1288">
        <v>3.1850009128239903E-2</v>
      </c>
      <c r="T1549" s="1288">
        <v>3.1850009128239903E-2</v>
      </c>
      <c r="U1549" s="1306">
        <v>1.9250005517068101E-2</v>
      </c>
      <c r="V1549" s="1294">
        <v>7.30605068481962E-3</v>
      </c>
    </row>
    <row r="1550" spans="1:22" s="212" customFormat="1" ht="15.5" x14ac:dyDescent="0.35">
      <c r="A1550" s="198">
        <v>2040</v>
      </c>
      <c r="B1550" s="197" t="s">
        <v>5833</v>
      </c>
      <c r="C1550" s="197">
        <v>2041</v>
      </c>
      <c r="D1550" s="225" t="str">
        <f t="shared" si="8"/>
        <v>2040_2041</v>
      </c>
      <c r="E1550" s="1226">
        <v>8.5574491426279001E-2</v>
      </c>
      <c r="F1550" s="1257">
        <v>2.6727445513224598E-3</v>
      </c>
      <c r="G1550" s="1280">
        <v>4.8893489509181903E-2</v>
      </c>
      <c r="H1550" s="1271">
        <v>0.14999054131975301</v>
      </c>
      <c r="I1550" s="1257">
        <v>2.1176831595256799E-2</v>
      </c>
      <c r="J1550" s="1280">
        <v>0.100636258155494</v>
      </c>
      <c r="K1550" s="1271">
        <v>6.98999416626102E-3</v>
      </c>
      <c r="L1550" s="1257">
        <v>1.0896549036963699E-3</v>
      </c>
      <c r="M1550" s="1280">
        <v>4.4598441031241396E-3</v>
      </c>
      <c r="N1550" s="1271">
        <v>3.0000008598028201E-3</v>
      </c>
      <c r="O1550" s="1257">
        <v>2.0000005732018801E-3</v>
      </c>
      <c r="P1550" s="1257">
        <v>3.0000008598028201E-3</v>
      </c>
      <c r="Q1550" s="1280">
        <v>7.6833188573584002E-3</v>
      </c>
      <c r="R1550" s="1271">
        <v>3.1850009128239903E-2</v>
      </c>
      <c r="S1550" s="1257">
        <v>3.1850009128239903E-2</v>
      </c>
      <c r="T1550" s="1257">
        <v>3.1850009128239903E-2</v>
      </c>
      <c r="U1550" s="1280">
        <v>1.9250005517068101E-2</v>
      </c>
      <c r="V1550" s="1293">
        <v>7.30605068481962E-3</v>
      </c>
    </row>
    <row r="1551" spans="1:22" s="212" customFormat="1" ht="15.5" x14ac:dyDescent="0.35">
      <c r="A1551" s="198">
        <v>2041</v>
      </c>
      <c r="B1551" s="197" t="s">
        <v>5833</v>
      </c>
      <c r="C1551" s="197">
        <v>1971</v>
      </c>
      <c r="D1551" s="225" t="str">
        <f t="shared" si="8"/>
        <v>2041_1971</v>
      </c>
      <c r="E1551" s="1226">
        <v>7.1257119663620305E-2</v>
      </c>
      <c r="F1551" s="1257">
        <v>1.7455561798943E-2</v>
      </c>
      <c r="G1551" s="1280">
        <v>6.3519070060296196E-2</v>
      </c>
      <c r="H1551" s="1271">
        <v>0.41599316838643602</v>
      </c>
      <c r="I1551" s="1257">
        <v>0.45598457345619597</v>
      </c>
      <c r="J1551" s="1280">
        <v>0.10373543943757101</v>
      </c>
      <c r="K1551" s="1271">
        <v>6.8542084319848503E-3</v>
      </c>
      <c r="L1551" s="1257">
        <v>1.68947664821712E-3</v>
      </c>
      <c r="M1551" s="1280">
        <v>3.9361216409082399E-4</v>
      </c>
      <c r="N1551" s="1271">
        <v>8.2496900255908095E-3</v>
      </c>
      <c r="O1551" s="1257">
        <v>3.0000008598028201E-3</v>
      </c>
      <c r="P1551" s="1257">
        <v>8.3943522209133595E-3</v>
      </c>
      <c r="Q1551" s="1280">
        <v>8.2496900255908095E-3</v>
      </c>
      <c r="R1551" s="1271">
        <v>3.8500011034136201E-2</v>
      </c>
      <c r="S1551" s="1257">
        <v>3.8500011034136201E-2</v>
      </c>
      <c r="T1551" s="1257">
        <v>3.8500011034136201E-2</v>
      </c>
      <c r="U1551" s="1280">
        <v>1.9250005517068101E-2</v>
      </c>
      <c r="V1551" s="1293">
        <v>7.1641253221797502E-3</v>
      </c>
    </row>
    <row r="1552" spans="1:22" s="212" customFormat="1" ht="15.5" x14ac:dyDescent="0.35">
      <c r="A1552" s="198">
        <v>2041</v>
      </c>
      <c r="B1552" s="197" t="s">
        <v>5833</v>
      </c>
      <c r="C1552" s="197">
        <v>1972</v>
      </c>
      <c r="D1552" s="225" t="str">
        <f t="shared" ref="D1552:D1845" si="10">CONCATENATE(A1552,"_",C1552)</f>
        <v>2041_1972</v>
      </c>
      <c r="E1552" s="1226">
        <v>7.1257119663620305E-2</v>
      </c>
      <c r="F1552" s="1257">
        <v>1.7455561798943E-2</v>
      </c>
      <c r="G1552" s="1280">
        <v>6.3519070060296196E-2</v>
      </c>
      <c r="H1552" s="1271">
        <v>0.41599316838643602</v>
      </c>
      <c r="I1552" s="1257">
        <v>0.45598457345619597</v>
      </c>
      <c r="J1552" s="1280">
        <v>0.10373543943757101</v>
      </c>
      <c r="K1552" s="1271">
        <v>6.8542084319848503E-3</v>
      </c>
      <c r="L1552" s="1257">
        <v>1.68947664821712E-3</v>
      </c>
      <c r="M1552" s="1280">
        <v>3.9361216409082399E-4</v>
      </c>
      <c r="N1552" s="1271">
        <v>8.2496900255908095E-3</v>
      </c>
      <c r="O1552" s="1257">
        <v>3.0000008598028201E-3</v>
      </c>
      <c r="P1552" s="1257">
        <v>8.3943522209133595E-3</v>
      </c>
      <c r="Q1552" s="1280">
        <v>8.2496900255908095E-3</v>
      </c>
      <c r="R1552" s="1271">
        <v>3.8500011034136201E-2</v>
      </c>
      <c r="S1552" s="1257">
        <v>3.8500011034136201E-2</v>
      </c>
      <c r="T1552" s="1257">
        <v>3.8500011034136201E-2</v>
      </c>
      <c r="U1552" s="1280">
        <v>1.9250005517068101E-2</v>
      </c>
      <c r="V1552" s="1293">
        <v>7.1641253221797502E-3</v>
      </c>
    </row>
    <row r="1553" spans="1:22" s="212" customFormat="1" ht="15.5" x14ac:dyDescent="0.35">
      <c r="A1553" s="198">
        <v>2041</v>
      </c>
      <c r="B1553" s="197" t="s">
        <v>5833</v>
      </c>
      <c r="C1553" s="197">
        <v>1973</v>
      </c>
      <c r="D1553" s="225" t="str">
        <f t="shared" si="10"/>
        <v>2041_1973</v>
      </c>
      <c r="E1553" s="1226">
        <v>7.1257119663620305E-2</v>
      </c>
      <c r="F1553" s="1257">
        <v>1.7455561798943E-2</v>
      </c>
      <c r="G1553" s="1280">
        <v>6.3519070060296196E-2</v>
      </c>
      <c r="H1553" s="1271">
        <v>0.41599316838643602</v>
      </c>
      <c r="I1553" s="1257">
        <v>0.45598457345619597</v>
      </c>
      <c r="J1553" s="1280">
        <v>0.10373543943757101</v>
      </c>
      <c r="K1553" s="1271">
        <v>6.8542084319848503E-3</v>
      </c>
      <c r="L1553" s="1257">
        <v>1.68947664821712E-3</v>
      </c>
      <c r="M1553" s="1280">
        <v>3.9361216409082399E-4</v>
      </c>
      <c r="N1553" s="1271">
        <v>8.2496900255908095E-3</v>
      </c>
      <c r="O1553" s="1257">
        <v>3.0000008598028201E-3</v>
      </c>
      <c r="P1553" s="1257">
        <v>8.3943522209133595E-3</v>
      </c>
      <c r="Q1553" s="1280">
        <v>8.2496900255908095E-3</v>
      </c>
      <c r="R1553" s="1271">
        <v>3.8500011034136201E-2</v>
      </c>
      <c r="S1553" s="1257">
        <v>3.8500011034136201E-2</v>
      </c>
      <c r="T1553" s="1257">
        <v>3.8500011034136201E-2</v>
      </c>
      <c r="U1553" s="1280">
        <v>1.9250005517068101E-2</v>
      </c>
      <c r="V1553" s="1293">
        <v>7.1641253221797502E-3</v>
      </c>
    </row>
    <row r="1554" spans="1:22" s="212" customFormat="1" ht="15.5" x14ac:dyDescent="0.35">
      <c r="A1554" s="198">
        <v>2041</v>
      </c>
      <c r="B1554" s="197" t="s">
        <v>5833</v>
      </c>
      <c r="C1554" s="197">
        <v>1974</v>
      </c>
      <c r="D1554" s="225" t="str">
        <f t="shared" si="10"/>
        <v>2041_1974</v>
      </c>
      <c r="E1554" s="1226">
        <v>7.1257119663620305E-2</v>
      </c>
      <c r="F1554" s="1257">
        <v>1.7455561798943E-2</v>
      </c>
      <c r="G1554" s="1280">
        <v>6.3519070060296196E-2</v>
      </c>
      <c r="H1554" s="1271">
        <v>0.41599316838643602</v>
      </c>
      <c r="I1554" s="1257">
        <v>0.45598457345619597</v>
      </c>
      <c r="J1554" s="1280">
        <v>0.10373543943757101</v>
      </c>
      <c r="K1554" s="1271">
        <v>6.8542084319848503E-3</v>
      </c>
      <c r="L1554" s="1257">
        <v>1.68947664821712E-3</v>
      </c>
      <c r="M1554" s="1280">
        <v>3.9361216409082399E-4</v>
      </c>
      <c r="N1554" s="1271">
        <v>8.2496900255908095E-3</v>
      </c>
      <c r="O1554" s="1257">
        <v>3.0000008598028201E-3</v>
      </c>
      <c r="P1554" s="1257">
        <v>8.3943522209133595E-3</v>
      </c>
      <c r="Q1554" s="1280">
        <v>8.2496900255908095E-3</v>
      </c>
      <c r="R1554" s="1271">
        <v>3.8500011034136201E-2</v>
      </c>
      <c r="S1554" s="1257">
        <v>3.8500011034136201E-2</v>
      </c>
      <c r="T1554" s="1257">
        <v>3.8500011034136201E-2</v>
      </c>
      <c r="U1554" s="1280">
        <v>1.9250005517068101E-2</v>
      </c>
      <c r="V1554" s="1293">
        <v>7.1641253221797502E-3</v>
      </c>
    </row>
    <row r="1555" spans="1:22" s="212" customFormat="1" ht="15.5" x14ac:dyDescent="0.35">
      <c r="A1555" s="198">
        <v>2041</v>
      </c>
      <c r="B1555" s="197" t="s">
        <v>5833</v>
      </c>
      <c r="C1555" s="197">
        <v>1975</v>
      </c>
      <c r="D1555" s="225" t="str">
        <f t="shared" si="10"/>
        <v>2041_1975</v>
      </c>
      <c r="E1555" s="1226">
        <v>7.1257119663620305E-2</v>
      </c>
      <c r="F1555" s="1257">
        <v>1.7455561798943E-2</v>
      </c>
      <c r="G1555" s="1280">
        <v>6.3519070060296196E-2</v>
      </c>
      <c r="H1555" s="1271">
        <v>0.41599316838643602</v>
      </c>
      <c r="I1555" s="1257">
        <v>0.45598457345619597</v>
      </c>
      <c r="J1555" s="1280">
        <v>0.10373543943757101</v>
      </c>
      <c r="K1555" s="1271">
        <v>6.8542084319848503E-3</v>
      </c>
      <c r="L1555" s="1257">
        <v>1.68947664821712E-3</v>
      </c>
      <c r="M1555" s="1280">
        <v>3.9361216409082399E-4</v>
      </c>
      <c r="N1555" s="1271">
        <v>8.2496900255908095E-3</v>
      </c>
      <c r="O1555" s="1257">
        <v>3.0000008598028201E-3</v>
      </c>
      <c r="P1555" s="1257">
        <v>8.3943522209133595E-3</v>
      </c>
      <c r="Q1555" s="1280">
        <v>8.2496900255908095E-3</v>
      </c>
      <c r="R1555" s="1271">
        <v>3.8500011034136201E-2</v>
      </c>
      <c r="S1555" s="1257">
        <v>3.8500011034136201E-2</v>
      </c>
      <c r="T1555" s="1257">
        <v>3.8500011034136201E-2</v>
      </c>
      <c r="U1555" s="1280">
        <v>1.9250005517068101E-2</v>
      </c>
      <c r="V1555" s="1293">
        <v>7.1641253221797502E-3</v>
      </c>
    </row>
    <row r="1556" spans="1:22" s="212" customFormat="1" ht="15.5" x14ac:dyDescent="0.35">
      <c r="A1556" s="198">
        <v>2041</v>
      </c>
      <c r="B1556" s="197" t="s">
        <v>5833</v>
      </c>
      <c r="C1556" s="197">
        <v>1976</v>
      </c>
      <c r="D1556" s="225" t="str">
        <f t="shared" si="10"/>
        <v>2041_1976</v>
      </c>
      <c r="E1556" s="1226">
        <v>7.1257119663620305E-2</v>
      </c>
      <c r="F1556" s="1257">
        <v>1.7455561798943E-2</v>
      </c>
      <c r="G1556" s="1280">
        <v>6.3519070060296196E-2</v>
      </c>
      <c r="H1556" s="1271">
        <v>0.41599316838643602</v>
      </c>
      <c r="I1556" s="1257">
        <v>0.45598457345619597</v>
      </c>
      <c r="J1556" s="1280">
        <v>0.10373543943757101</v>
      </c>
      <c r="K1556" s="1271">
        <v>6.8542084319848503E-3</v>
      </c>
      <c r="L1556" s="1257">
        <v>1.68947664821712E-3</v>
      </c>
      <c r="M1556" s="1280">
        <v>3.9361216409082399E-4</v>
      </c>
      <c r="N1556" s="1271">
        <v>8.2496900255908095E-3</v>
      </c>
      <c r="O1556" s="1257">
        <v>3.0000008598028201E-3</v>
      </c>
      <c r="P1556" s="1257">
        <v>8.3943522209133595E-3</v>
      </c>
      <c r="Q1556" s="1280">
        <v>8.2496900255908095E-3</v>
      </c>
      <c r="R1556" s="1271">
        <v>3.8500011034136201E-2</v>
      </c>
      <c r="S1556" s="1257">
        <v>3.8500011034136201E-2</v>
      </c>
      <c r="T1556" s="1257">
        <v>3.8500011034136201E-2</v>
      </c>
      <c r="U1556" s="1280">
        <v>1.9250005517068101E-2</v>
      </c>
      <c r="V1556" s="1293">
        <v>7.1641253221797502E-3</v>
      </c>
    </row>
    <row r="1557" spans="1:22" s="212" customFormat="1" ht="15.5" x14ac:dyDescent="0.35">
      <c r="A1557" s="198">
        <v>2041</v>
      </c>
      <c r="B1557" s="197" t="s">
        <v>5833</v>
      </c>
      <c r="C1557" s="197">
        <v>1977</v>
      </c>
      <c r="D1557" s="225" t="str">
        <f t="shared" si="10"/>
        <v>2041_1977</v>
      </c>
      <c r="E1557" s="1226">
        <v>7.1257119663620305E-2</v>
      </c>
      <c r="F1557" s="1257">
        <v>1.7455561798943E-2</v>
      </c>
      <c r="G1557" s="1280">
        <v>6.3519070060296196E-2</v>
      </c>
      <c r="H1557" s="1271">
        <v>0.41599316838643602</v>
      </c>
      <c r="I1557" s="1257">
        <v>0.45598457345619597</v>
      </c>
      <c r="J1557" s="1280">
        <v>0.10373543943757101</v>
      </c>
      <c r="K1557" s="1271">
        <v>6.8542084319848503E-3</v>
      </c>
      <c r="L1557" s="1257">
        <v>1.68947664821712E-3</v>
      </c>
      <c r="M1557" s="1280">
        <v>3.9361216409082399E-4</v>
      </c>
      <c r="N1557" s="1271">
        <v>8.2496900255908095E-3</v>
      </c>
      <c r="O1557" s="1257">
        <v>3.0000008598028201E-3</v>
      </c>
      <c r="P1557" s="1257">
        <v>8.3943522209133595E-3</v>
      </c>
      <c r="Q1557" s="1280">
        <v>8.2496900255908095E-3</v>
      </c>
      <c r="R1557" s="1271">
        <v>3.8500011034136201E-2</v>
      </c>
      <c r="S1557" s="1257">
        <v>3.8500011034136201E-2</v>
      </c>
      <c r="T1557" s="1257">
        <v>3.8500011034136201E-2</v>
      </c>
      <c r="U1557" s="1280">
        <v>1.9250005517068101E-2</v>
      </c>
      <c r="V1557" s="1293">
        <v>7.1641253221797502E-3</v>
      </c>
    </row>
    <row r="1558" spans="1:22" s="212" customFormat="1" ht="15.5" x14ac:dyDescent="0.35">
      <c r="A1558" s="198">
        <v>2041</v>
      </c>
      <c r="B1558" s="197" t="s">
        <v>5833</v>
      </c>
      <c r="C1558" s="197">
        <v>1978</v>
      </c>
      <c r="D1558" s="225" t="str">
        <f t="shared" si="10"/>
        <v>2041_1978</v>
      </c>
      <c r="E1558" s="1226">
        <v>7.1257119663620305E-2</v>
      </c>
      <c r="F1558" s="1257">
        <v>1.7455561798943E-2</v>
      </c>
      <c r="G1558" s="1280">
        <v>6.3519070060296196E-2</v>
      </c>
      <c r="H1558" s="1271">
        <v>0.41599316838643602</v>
      </c>
      <c r="I1558" s="1257">
        <v>0.45598457345619597</v>
      </c>
      <c r="J1558" s="1280">
        <v>0.10373543943757101</v>
      </c>
      <c r="K1558" s="1271">
        <v>6.8542084319848503E-3</v>
      </c>
      <c r="L1558" s="1257">
        <v>1.68947664821712E-3</v>
      </c>
      <c r="M1558" s="1280">
        <v>3.9361216409082399E-4</v>
      </c>
      <c r="N1558" s="1271">
        <v>8.2496900255908095E-3</v>
      </c>
      <c r="O1558" s="1257">
        <v>3.0000008598028201E-3</v>
      </c>
      <c r="P1558" s="1257">
        <v>8.3943522209133595E-3</v>
      </c>
      <c r="Q1558" s="1280">
        <v>8.2496900255908095E-3</v>
      </c>
      <c r="R1558" s="1271">
        <v>3.8500011034136201E-2</v>
      </c>
      <c r="S1558" s="1257">
        <v>3.8500011034136201E-2</v>
      </c>
      <c r="T1558" s="1257">
        <v>3.8500011034136201E-2</v>
      </c>
      <c r="U1558" s="1280">
        <v>1.9250005517068101E-2</v>
      </c>
      <c r="V1558" s="1293">
        <v>7.1641253221797502E-3</v>
      </c>
    </row>
    <row r="1559" spans="1:22" s="212" customFormat="1" ht="15.5" x14ac:dyDescent="0.35">
      <c r="A1559" s="198">
        <v>2041</v>
      </c>
      <c r="B1559" s="197" t="s">
        <v>5833</v>
      </c>
      <c r="C1559" s="197">
        <v>1979</v>
      </c>
      <c r="D1559" s="225" t="str">
        <f t="shared" si="10"/>
        <v>2041_1979</v>
      </c>
      <c r="E1559" s="1226">
        <v>7.1257119663620305E-2</v>
      </c>
      <c r="F1559" s="1257">
        <v>1.7455561798943E-2</v>
      </c>
      <c r="G1559" s="1280">
        <v>6.3519070060296196E-2</v>
      </c>
      <c r="H1559" s="1271">
        <v>0.41599316838643602</v>
      </c>
      <c r="I1559" s="1257">
        <v>0.45598457345619597</v>
      </c>
      <c r="J1559" s="1280">
        <v>0.10373543943757101</v>
      </c>
      <c r="K1559" s="1271">
        <v>6.8542084319848503E-3</v>
      </c>
      <c r="L1559" s="1257">
        <v>1.68947664821712E-3</v>
      </c>
      <c r="M1559" s="1280">
        <v>3.9361216409082399E-4</v>
      </c>
      <c r="N1559" s="1271">
        <v>8.2496900255908095E-3</v>
      </c>
      <c r="O1559" s="1257">
        <v>3.0000008598028201E-3</v>
      </c>
      <c r="P1559" s="1257">
        <v>8.3943522209133595E-3</v>
      </c>
      <c r="Q1559" s="1280">
        <v>8.2496900255908095E-3</v>
      </c>
      <c r="R1559" s="1271">
        <v>3.8500011034136201E-2</v>
      </c>
      <c r="S1559" s="1257">
        <v>3.8500011034136201E-2</v>
      </c>
      <c r="T1559" s="1257">
        <v>3.8500011034136201E-2</v>
      </c>
      <c r="U1559" s="1280">
        <v>1.9250005517068101E-2</v>
      </c>
      <c r="V1559" s="1293">
        <v>7.1641253221797502E-3</v>
      </c>
    </row>
    <row r="1560" spans="1:22" s="212" customFormat="1" ht="15.5" x14ac:dyDescent="0.35">
      <c r="A1560" s="198">
        <v>2041</v>
      </c>
      <c r="B1560" s="197" t="s">
        <v>5833</v>
      </c>
      <c r="C1560" s="197">
        <v>1980</v>
      </c>
      <c r="D1560" s="225" t="str">
        <f t="shared" si="10"/>
        <v>2041_1980</v>
      </c>
      <c r="E1560" s="1226">
        <v>7.1257119663620305E-2</v>
      </c>
      <c r="F1560" s="1257">
        <v>1.7455561798943E-2</v>
      </c>
      <c r="G1560" s="1280">
        <v>6.3519070060296196E-2</v>
      </c>
      <c r="H1560" s="1271">
        <v>0.41599316838643602</v>
      </c>
      <c r="I1560" s="1257">
        <v>0.45598457345619597</v>
      </c>
      <c r="J1560" s="1280">
        <v>0.10373543943757101</v>
      </c>
      <c r="K1560" s="1271">
        <v>6.8542084319848503E-3</v>
      </c>
      <c r="L1560" s="1257">
        <v>1.68947664821712E-3</v>
      </c>
      <c r="M1560" s="1280">
        <v>3.9361216409082399E-4</v>
      </c>
      <c r="N1560" s="1271">
        <v>8.2496900255908095E-3</v>
      </c>
      <c r="O1560" s="1257">
        <v>3.0000008598028201E-3</v>
      </c>
      <c r="P1560" s="1257">
        <v>8.3943522209133595E-3</v>
      </c>
      <c r="Q1560" s="1280">
        <v>8.2496900255908095E-3</v>
      </c>
      <c r="R1560" s="1271">
        <v>3.8500011034136201E-2</v>
      </c>
      <c r="S1560" s="1257">
        <v>3.8500011034136201E-2</v>
      </c>
      <c r="T1560" s="1257">
        <v>3.8500011034136201E-2</v>
      </c>
      <c r="U1560" s="1280">
        <v>1.9250005517068101E-2</v>
      </c>
      <c r="V1560" s="1293">
        <v>7.1641253221797502E-3</v>
      </c>
    </row>
    <row r="1561" spans="1:22" s="212" customFormat="1" ht="15.5" x14ac:dyDescent="0.35">
      <c r="A1561" s="198">
        <v>2041</v>
      </c>
      <c r="B1561" s="197" t="s">
        <v>5833</v>
      </c>
      <c r="C1561" s="197">
        <v>1981</v>
      </c>
      <c r="D1561" s="225" t="str">
        <f t="shared" si="10"/>
        <v>2041_1981</v>
      </c>
      <c r="E1561" s="1226">
        <v>7.1257119663620305E-2</v>
      </c>
      <c r="F1561" s="1257">
        <v>1.7455561798943E-2</v>
      </c>
      <c r="G1561" s="1280">
        <v>6.3519070060296196E-2</v>
      </c>
      <c r="H1561" s="1271">
        <v>0.41599316838643602</v>
      </c>
      <c r="I1561" s="1257">
        <v>0.45598457345619597</v>
      </c>
      <c r="J1561" s="1280">
        <v>0.10373543943757101</v>
      </c>
      <c r="K1561" s="1271">
        <v>6.8542084319848503E-3</v>
      </c>
      <c r="L1561" s="1257">
        <v>1.68947664821712E-3</v>
      </c>
      <c r="M1561" s="1280">
        <v>3.9361216409082399E-4</v>
      </c>
      <c r="N1561" s="1271">
        <v>8.2496900255908095E-3</v>
      </c>
      <c r="O1561" s="1257">
        <v>3.0000008598028201E-3</v>
      </c>
      <c r="P1561" s="1257">
        <v>8.3943522209133595E-3</v>
      </c>
      <c r="Q1561" s="1280">
        <v>8.2496900255908095E-3</v>
      </c>
      <c r="R1561" s="1271">
        <v>3.8500011034136201E-2</v>
      </c>
      <c r="S1561" s="1257">
        <v>3.8500011034136201E-2</v>
      </c>
      <c r="T1561" s="1257">
        <v>3.8500011034136201E-2</v>
      </c>
      <c r="U1561" s="1280">
        <v>1.9250005517068101E-2</v>
      </c>
      <c r="V1561" s="1293">
        <v>7.1641253221797502E-3</v>
      </c>
    </row>
    <row r="1562" spans="1:22" s="212" customFormat="1" ht="15.5" x14ac:dyDescent="0.35">
      <c r="A1562" s="198">
        <v>2041</v>
      </c>
      <c r="B1562" s="197" t="s">
        <v>5833</v>
      </c>
      <c r="C1562" s="197">
        <v>1982</v>
      </c>
      <c r="D1562" s="225" t="str">
        <f t="shared" si="10"/>
        <v>2041_1982</v>
      </c>
      <c r="E1562" s="1226">
        <v>7.1257119663620305E-2</v>
      </c>
      <c r="F1562" s="1257">
        <v>1.7455561798943E-2</v>
      </c>
      <c r="G1562" s="1280">
        <v>6.3519070060296196E-2</v>
      </c>
      <c r="H1562" s="1271">
        <v>0.41599316838643602</v>
      </c>
      <c r="I1562" s="1257">
        <v>0.45598457345619597</v>
      </c>
      <c r="J1562" s="1280">
        <v>0.10373543943757101</v>
      </c>
      <c r="K1562" s="1271">
        <v>6.8542084319848503E-3</v>
      </c>
      <c r="L1562" s="1257">
        <v>1.68947664821712E-3</v>
      </c>
      <c r="M1562" s="1280">
        <v>3.9361216409082399E-4</v>
      </c>
      <c r="N1562" s="1271">
        <v>8.2496900255908095E-3</v>
      </c>
      <c r="O1562" s="1257">
        <v>3.0000008598028201E-3</v>
      </c>
      <c r="P1562" s="1257">
        <v>8.3943522209133595E-3</v>
      </c>
      <c r="Q1562" s="1280">
        <v>8.2496900255908095E-3</v>
      </c>
      <c r="R1562" s="1271">
        <v>3.8500011034136201E-2</v>
      </c>
      <c r="S1562" s="1257">
        <v>3.8500011034136201E-2</v>
      </c>
      <c r="T1562" s="1257">
        <v>3.8500011034136201E-2</v>
      </c>
      <c r="U1562" s="1280">
        <v>1.9250005517068101E-2</v>
      </c>
      <c r="V1562" s="1293">
        <v>7.1641253221797502E-3</v>
      </c>
    </row>
    <row r="1563" spans="1:22" s="212" customFormat="1" ht="15.5" x14ac:dyDescent="0.35">
      <c r="A1563" s="198">
        <v>2041</v>
      </c>
      <c r="B1563" s="197" t="s">
        <v>5833</v>
      </c>
      <c r="C1563" s="197">
        <v>1983</v>
      </c>
      <c r="D1563" s="225" t="str">
        <f t="shared" si="10"/>
        <v>2041_1983</v>
      </c>
      <c r="E1563" s="1226">
        <v>7.1257119663620305E-2</v>
      </c>
      <c r="F1563" s="1257">
        <v>1.7455561798943E-2</v>
      </c>
      <c r="G1563" s="1280">
        <v>6.3519070060296196E-2</v>
      </c>
      <c r="H1563" s="1271">
        <v>0.41599316838643602</v>
      </c>
      <c r="I1563" s="1257">
        <v>0.45598457345619597</v>
      </c>
      <c r="J1563" s="1280">
        <v>0.10373543943757101</v>
      </c>
      <c r="K1563" s="1271">
        <v>6.8542084319848503E-3</v>
      </c>
      <c r="L1563" s="1257">
        <v>1.68947664821712E-3</v>
      </c>
      <c r="M1563" s="1280">
        <v>3.9361216409082399E-4</v>
      </c>
      <c r="N1563" s="1271">
        <v>8.2496900255908095E-3</v>
      </c>
      <c r="O1563" s="1257">
        <v>3.0000008598028201E-3</v>
      </c>
      <c r="P1563" s="1257">
        <v>8.3943522209133595E-3</v>
      </c>
      <c r="Q1563" s="1280">
        <v>8.2496900255908095E-3</v>
      </c>
      <c r="R1563" s="1271">
        <v>3.8500011034136201E-2</v>
      </c>
      <c r="S1563" s="1257">
        <v>3.8500011034136201E-2</v>
      </c>
      <c r="T1563" s="1257">
        <v>3.8500011034136201E-2</v>
      </c>
      <c r="U1563" s="1280">
        <v>1.9250005517068101E-2</v>
      </c>
      <c r="V1563" s="1293">
        <v>7.1641253221797502E-3</v>
      </c>
    </row>
    <row r="1564" spans="1:22" s="212" customFormat="1" ht="15.5" x14ac:dyDescent="0.35">
      <c r="A1564" s="198">
        <v>2041</v>
      </c>
      <c r="B1564" s="197" t="s">
        <v>5833</v>
      </c>
      <c r="C1564" s="197">
        <v>1984</v>
      </c>
      <c r="D1564" s="225" t="str">
        <f t="shared" si="10"/>
        <v>2041_1984</v>
      </c>
      <c r="E1564" s="1226">
        <v>7.1257119663620305E-2</v>
      </c>
      <c r="F1564" s="1257">
        <v>1.7455561798943E-2</v>
      </c>
      <c r="G1564" s="1280">
        <v>6.3519070060296196E-2</v>
      </c>
      <c r="H1564" s="1271">
        <v>0.41599316838643602</v>
      </c>
      <c r="I1564" s="1257">
        <v>0.45598457345619597</v>
      </c>
      <c r="J1564" s="1280">
        <v>0.10373543943757101</v>
      </c>
      <c r="K1564" s="1271">
        <v>6.8542084319848503E-3</v>
      </c>
      <c r="L1564" s="1257">
        <v>1.68947664821712E-3</v>
      </c>
      <c r="M1564" s="1280">
        <v>3.9361216409082399E-4</v>
      </c>
      <c r="N1564" s="1271">
        <v>8.2496900255908095E-3</v>
      </c>
      <c r="O1564" s="1257">
        <v>3.0000008598028201E-3</v>
      </c>
      <c r="P1564" s="1257">
        <v>8.3943522209133595E-3</v>
      </c>
      <c r="Q1564" s="1280">
        <v>8.2496900255908095E-3</v>
      </c>
      <c r="R1564" s="1271">
        <v>3.8500011034136201E-2</v>
      </c>
      <c r="S1564" s="1257">
        <v>3.8500011034136201E-2</v>
      </c>
      <c r="T1564" s="1257">
        <v>3.8500011034136201E-2</v>
      </c>
      <c r="U1564" s="1280">
        <v>1.9250005517068101E-2</v>
      </c>
      <c r="V1564" s="1293">
        <v>7.1641253221797502E-3</v>
      </c>
    </row>
    <row r="1565" spans="1:22" s="212" customFormat="1" ht="15.5" x14ac:dyDescent="0.35">
      <c r="A1565" s="198">
        <v>2041</v>
      </c>
      <c r="B1565" s="197" t="s">
        <v>5833</v>
      </c>
      <c r="C1565" s="197">
        <v>1985</v>
      </c>
      <c r="D1565" s="225" t="str">
        <f t="shared" si="10"/>
        <v>2041_1985</v>
      </c>
      <c r="E1565" s="1226">
        <v>7.1257119663620305E-2</v>
      </c>
      <c r="F1565" s="1257">
        <v>1.7455561798943E-2</v>
      </c>
      <c r="G1565" s="1280">
        <v>6.3519070060296196E-2</v>
      </c>
      <c r="H1565" s="1271">
        <v>0.41599316838643602</v>
      </c>
      <c r="I1565" s="1257">
        <v>0.45598457345619597</v>
      </c>
      <c r="J1565" s="1280">
        <v>0.10373543943757101</v>
      </c>
      <c r="K1565" s="1271">
        <v>6.8542084319848503E-3</v>
      </c>
      <c r="L1565" s="1257">
        <v>1.68947664821712E-3</v>
      </c>
      <c r="M1565" s="1280">
        <v>3.9361216409082399E-4</v>
      </c>
      <c r="N1565" s="1271">
        <v>8.2496900255908095E-3</v>
      </c>
      <c r="O1565" s="1257">
        <v>3.0000008598028201E-3</v>
      </c>
      <c r="P1565" s="1257">
        <v>8.3943522209133595E-3</v>
      </c>
      <c r="Q1565" s="1280">
        <v>8.2496900255908095E-3</v>
      </c>
      <c r="R1565" s="1271">
        <v>3.8500011034136201E-2</v>
      </c>
      <c r="S1565" s="1257">
        <v>3.8500011034136201E-2</v>
      </c>
      <c r="T1565" s="1257">
        <v>3.8500011034136201E-2</v>
      </c>
      <c r="U1565" s="1280">
        <v>1.9250005517068101E-2</v>
      </c>
      <c r="V1565" s="1293">
        <v>7.1641253221797502E-3</v>
      </c>
    </row>
    <row r="1566" spans="1:22" s="212" customFormat="1" ht="15.5" x14ac:dyDescent="0.35">
      <c r="A1566" s="198">
        <v>2041</v>
      </c>
      <c r="B1566" s="197" t="s">
        <v>5833</v>
      </c>
      <c r="C1566" s="197">
        <v>1986</v>
      </c>
      <c r="D1566" s="225" t="str">
        <f t="shared" si="10"/>
        <v>2041_1986</v>
      </c>
      <c r="E1566" s="1226">
        <v>7.1257119663620305E-2</v>
      </c>
      <c r="F1566" s="1257">
        <v>1.7455561798943E-2</v>
      </c>
      <c r="G1566" s="1280">
        <v>6.3519070060296196E-2</v>
      </c>
      <c r="H1566" s="1271">
        <v>0.41599316838643602</v>
      </c>
      <c r="I1566" s="1257">
        <v>0.45598457345619597</v>
      </c>
      <c r="J1566" s="1280">
        <v>0.10373543943757101</v>
      </c>
      <c r="K1566" s="1271">
        <v>6.8542084319848503E-3</v>
      </c>
      <c r="L1566" s="1257">
        <v>1.68947664821712E-3</v>
      </c>
      <c r="M1566" s="1280">
        <v>3.9361216409082399E-4</v>
      </c>
      <c r="N1566" s="1271">
        <v>8.2496900255908095E-3</v>
      </c>
      <c r="O1566" s="1257">
        <v>3.0000008598028201E-3</v>
      </c>
      <c r="P1566" s="1257">
        <v>8.3943522209133595E-3</v>
      </c>
      <c r="Q1566" s="1280">
        <v>8.2496900255908095E-3</v>
      </c>
      <c r="R1566" s="1271">
        <v>3.8500011034136201E-2</v>
      </c>
      <c r="S1566" s="1257">
        <v>3.8500011034136201E-2</v>
      </c>
      <c r="T1566" s="1257">
        <v>3.8500011034136201E-2</v>
      </c>
      <c r="U1566" s="1280">
        <v>1.9250005517068101E-2</v>
      </c>
      <c r="V1566" s="1293">
        <v>7.1641253221797502E-3</v>
      </c>
    </row>
    <row r="1567" spans="1:22" s="212" customFormat="1" ht="15.5" x14ac:dyDescent="0.35">
      <c r="A1567" s="198">
        <v>2041</v>
      </c>
      <c r="B1567" s="197" t="s">
        <v>5833</v>
      </c>
      <c r="C1567" s="197">
        <v>1987</v>
      </c>
      <c r="D1567" s="225" t="str">
        <f t="shared" si="10"/>
        <v>2041_1987</v>
      </c>
      <c r="E1567" s="1226">
        <v>7.1257119663620305E-2</v>
      </c>
      <c r="F1567" s="1257">
        <v>1.7455561798943E-2</v>
      </c>
      <c r="G1567" s="1280">
        <v>6.3519070060296196E-2</v>
      </c>
      <c r="H1567" s="1271">
        <v>0.41599316838643602</v>
      </c>
      <c r="I1567" s="1257">
        <v>0.45598457345619597</v>
      </c>
      <c r="J1567" s="1280">
        <v>0.10373543943757101</v>
      </c>
      <c r="K1567" s="1271">
        <v>6.8542084319848503E-3</v>
      </c>
      <c r="L1567" s="1257">
        <v>1.68947664821712E-3</v>
      </c>
      <c r="M1567" s="1280">
        <v>3.9361216409082399E-4</v>
      </c>
      <c r="N1567" s="1271">
        <v>8.2496900255908095E-3</v>
      </c>
      <c r="O1567" s="1257">
        <v>3.0000008598028201E-3</v>
      </c>
      <c r="P1567" s="1257">
        <v>8.3943522209133595E-3</v>
      </c>
      <c r="Q1567" s="1280">
        <v>8.2496900255908095E-3</v>
      </c>
      <c r="R1567" s="1271">
        <v>3.8500011034136201E-2</v>
      </c>
      <c r="S1567" s="1257">
        <v>3.8500011034136201E-2</v>
      </c>
      <c r="T1567" s="1257">
        <v>3.8500011034136201E-2</v>
      </c>
      <c r="U1567" s="1280">
        <v>1.9250005517068101E-2</v>
      </c>
      <c r="V1567" s="1293">
        <v>7.1641253221797502E-3</v>
      </c>
    </row>
    <row r="1568" spans="1:22" s="212" customFormat="1" ht="15.5" x14ac:dyDescent="0.35">
      <c r="A1568" s="198">
        <v>2041</v>
      </c>
      <c r="B1568" s="197" t="s">
        <v>5833</v>
      </c>
      <c r="C1568" s="197">
        <v>1988</v>
      </c>
      <c r="D1568" s="225" t="str">
        <f t="shared" si="10"/>
        <v>2041_1988</v>
      </c>
      <c r="E1568" s="1226">
        <v>7.1257119663620305E-2</v>
      </c>
      <c r="F1568" s="1257">
        <v>1.7455561798943E-2</v>
      </c>
      <c r="G1568" s="1280">
        <v>6.3519070060296196E-2</v>
      </c>
      <c r="H1568" s="1271">
        <v>0.41599316838643602</v>
      </c>
      <c r="I1568" s="1257">
        <v>0.45598457345619597</v>
      </c>
      <c r="J1568" s="1280">
        <v>0.10373543943757101</v>
      </c>
      <c r="K1568" s="1271">
        <v>6.8542084319848503E-3</v>
      </c>
      <c r="L1568" s="1257">
        <v>1.68947664821712E-3</v>
      </c>
      <c r="M1568" s="1280">
        <v>3.9361216409082399E-4</v>
      </c>
      <c r="N1568" s="1271">
        <v>8.2496900255908095E-3</v>
      </c>
      <c r="O1568" s="1257">
        <v>3.0000008598028201E-3</v>
      </c>
      <c r="P1568" s="1257">
        <v>8.3943522209133595E-3</v>
      </c>
      <c r="Q1568" s="1280">
        <v>8.2496900255908095E-3</v>
      </c>
      <c r="R1568" s="1271">
        <v>3.8500011034136201E-2</v>
      </c>
      <c r="S1568" s="1257">
        <v>3.8500011034136201E-2</v>
      </c>
      <c r="T1568" s="1257">
        <v>3.8500011034136201E-2</v>
      </c>
      <c r="U1568" s="1280">
        <v>1.9250005517068101E-2</v>
      </c>
      <c r="V1568" s="1293">
        <v>7.1641253221797502E-3</v>
      </c>
    </row>
    <row r="1569" spans="1:22" s="212" customFormat="1" ht="15.5" x14ac:dyDescent="0.35">
      <c r="A1569" s="198">
        <v>2041</v>
      </c>
      <c r="B1569" s="197" t="s">
        <v>5833</v>
      </c>
      <c r="C1569" s="197">
        <v>1989</v>
      </c>
      <c r="D1569" s="225" t="str">
        <f t="shared" si="10"/>
        <v>2041_1989</v>
      </c>
      <c r="E1569" s="1226">
        <v>7.1257119663620305E-2</v>
      </c>
      <c r="F1569" s="1257">
        <v>1.7455561798943E-2</v>
      </c>
      <c r="G1569" s="1280">
        <v>6.3519070060296196E-2</v>
      </c>
      <c r="H1569" s="1271">
        <v>0.41599316838643602</v>
      </c>
      <c r="I1569" s="1257">
        <v>0.45598457345619597</v>
      </c>
      <c r="J1569" s="1280">
        <v>0.10373543943757101</v>
      </c>
      <c r="K1569" s="1271">
        <v>6.8542084319848503E-3</v>
      </c>
      <c r="L1569" s="1257">
        <v>1.68947664821712E-3</v>
      </c>
      <c r="M1569" s="1280">
        <v>3.9361216409082399E-4</v>
      </c>
      <c r="N1569" s="1271">
        <v>8.2496900255908095E-3</v>
      </c>
      <c r="O1569" s="1257">
        <v>3.0000008598028201E-3</v>
      </c>
      <c r="P1569" s="1257">
        <v>8.3943522209133595E-3</v>
      </c>
      <c r="Q1569" s="1280">
        <v>8.2496900255908095E-3</v>
      </c>
      <c r="R1569" s="1271">
        <v>3.8500011034136201E-2</v>
      </c>
      <c r="S1569" s="1257">
        <v>3.8500011034136201E-2</v>
      </c>
      <c r="T1569" s="1257">
        <v>3.8500011034136201E-2</v>
      </c>
      <c r="U1569" s="1280">
        <v>1.9250005517068101E-2</v>
      </c>
      <c r="V1569" s="1293">
        <v>7.1641253221797502E-3</v>
      </c>
    </row>
    <row r="1570" spans="1:22" s="212" customFormat="1" ht="15.5" x14ac:dyDescent="0.35">
      <c r="A1570" s="198">
        <v>2041</v>
      </c>
      <c r="B1570" s="197" t="s">
        <v>5833</v>
      </c>
      <c r="C1570" s="197">
        <v>1990</v>
      </c>
      <c r="D1570" s="225" t="str">
        <f t="shared" si="10"/>
        <v>2041_1990</v>
      </c>
      <c r="E1570" s="1226">
        <v>7.1257119663620305E-2</v>
      </c>
      <c r="F1570" s="1257">
        <v>1.7455561798943E-2</v>
      </c>
      <c r="G1570" s="1280">
        <v>6.3519070060296196E-2</v>
      </c>
      <c r="H1570" s="1271">
        <v>0.41599316838643602</v>
      </c>
      <c r="I1570" s="1257">
        <v>0.45598457345619597</v>
      </c>
      <c r="J1570" s="1280">
        <v>0.10373543943757101</v>
      </c>
      <c r="K1570" s="1271">
        <v>6.8542084319848503E-3</v>
      </c>
      <c r="L1570" s="1257">
        <v>1.68947664821712E-3</v>
      </c>
      <c r="M1570" s="1280">
        <v>3.9361216409082399E-4</v>
      </c>
      <c r="N1570" s="1271">
        <v>8.2496900255908095E-3</v>
      </c>
      <c r="O1570" s="1257">
        <v>3.0000008598028201E-3</v>
      </c>
      <c r="P1570" s="1257">
        <v>8.3943522209133595E-3</v>
      </c>
      <c r="Q1570" s="1280">
        <v>8.2496900255908095E-3</v>
      </c>
      <c r="R1570" s="1271">
        <v>3.8500011034136201E-2</v>
      </c>
      <c r="S1570" s="1257">
        <v>3.8500011034136201E-2</v>
      </c>
      <c r="T1570" s="1257">
        <v>3.8500011034136201E-2</v>
      </c>
      <c r="U1570" s="1280">
        <v>1.9250005517068101E-2</v>
      </c>
      <c r="V1570" s="1293">
        <v>7.1641253221797502E-3</v>
      </c>
    </row>
    <row r="1571" spans="1:22" s="212" customFormat="1" ht="15.5" x14ac:dyDescent="0.35">
      <c r="A1571" s="198">
        <v>2041</v>
      </c>
      <c r="B1571" s="197" t="s">
        <v>5833</v>
      </c>
      <c r="C1571" s="197">
        <v>1991</v>
      </c>
      <c r="D1571" s="225" t="str">
        <f t="shared" si="10"/>
        <v>2041_1991</v>
      </c>
      <c r="E1571" s="1226">
        <v>7.1257119663620305E-2</v>
      </c>
      <c r="F1571" s="1257">
        <v>1.7455561798943E-2</v>
      </c>
      <c r="G1571" s="1280">
        <v>6.3519070060296196E-2</v>
      </c>
      <c r="H1571" s="1271">
        <v>0.41599316838643602</v>
      </c>
      <c r="I1571" s="1257">
        <v>0.45598457345619597</v>
      </c>
      <c r="J1571" s="1280">
        <v>0.10373543943757101</v>
      </c>
      <c r="K1571" s="1271">
        <v>6.8542084319848503E-3</v>
      </c>
      <c r="L1571" s="1257">
        <v>1.68947664821712E-3</v>
      </c>
      <c r="M1571" s="1280">
        <v>3.9361216409082399E-4</v>
      </c>
      <c r="N1571" s="1271">
        <v>8.2496900255908095E-3</v>
      </c>
      <c r="O1571" s="1257">
        <v>3.0000008598028201E-3</v>
      </c>
      <c r="P1571" s="1257">
        <v>8.3943522209133595E-3</v>
      </c>
      <c r="Q1571" s="1280">
        <v>8.2496900255908095E-3</v>
      </c>
      <c r="R1571" s="1271">
        <v>3.8500011034136201E-2</v>
      </c>
      <c r="S1571" s="1257">
        <v>3.8500011034136201E-2</v>
      </c>
      <c r="T1571" s="1257">
        <v>3.8500011034136201E-2</v>
      </c>
      <c r="U1571" s="1280">
        <v>1.9250005517068101E-2</v>
      </c>
      <c r="V1571" s="1293">
        <v>7.1641253221797502E-3</v>
      </c>
    </row>
    <row r="1572" spans="1:22" s="212" customFormat="1" ht="15.5" x14ac:dyDescent="0.35">
      <c r="A1572" s="198">
        <v>2041</v>
      </c>
      <c r="B1572" s="197" t="s">
        <v>5833</v>
      </c>
      <c r="C1572" s="197">
        <v>1992</v>
      </c>
      <c r="D1572" s="225" t="str">
        <f t="shared" si="10"/>
        <v>2041_1992</v>
      </c>
      <c r="E1572" s="1226">
        <v>7.1257119663620305E-2</v>
      </c>
      <c r="F1572" s="1257">
        <v>1.7455561798943E-2</v>
      </c>
      <c r="G1572" s="1280">
        <v>6.3519070060296196E-2</v>
      </c>
      <c r="H1572" s="1271">
        <v>0.41599316838643602</v>
      </c>
      <c r="I1572" s="1257">
        <v>0.45598457345619597</v>
      </c>
      <c r="J1572" s="1280">
        <v>0.10373543943757101</v>
      </c>
      <c r="K1572" s="1271">
        <v>6.8542084319848503E-3</v>
      </c>
      <c r="L1572" s="1257">
        <v>1.68947664821712E-3</v>
      </c>
      <c r="M1572" s="1280">
        <v>3.9361216409082399E-4</v>
      </c>
      <c r="N1572" s="1271">
        <v>8.2496900255908095E-3</v>
      </c>
      <c r="O1572" s="1257">
        <v>3.0000008598028201E-3</v>
      </c>
      <c r="P1572" s="1257">
        <v>8.3943522209133595E-3</v>
      </c>
      <c r="Q1572" s="1280">
        <v>8.2496900255908095E-3</v>
      </c>
      <c r="R1572" s="1271">
        <v>3.8500011034136201E-2</v>
      </c>
      <c r="S1572" s="1257">
        <v>3.8500011034136201E-2</v>
      </c>
      <c r="T1572" s="1257">
        <v>3.8500011034136201E-2</v>
      </c>
      <c r="U1572" s="1280">
        <v>1.9250005517068101E-2</v>
      </c>
      <c r="V1572" s="1293">
        <v>7.1641253221797502E-3</v>
      </c>
    </row>
    <row r="1573" spans="1:22" s="212" customFormat="1" ht="15.5" x14ac:dyDescent="0.35">
      <c r="A1573" s="198">
        <v>2041</v>
      </c>
      <c r="B1573" s="197" t="s">
        <v>5833</v>
      </c>
      <c r="C1573" s="197">
        <v>1993</v>
      </c>
      <c r="D1573" s="225" t="str">
        <f t="shared" si="10"/>
        <v>2041_1993</v>
      </c>
      <c r="E1573" s="1226">
        <v>7.1257119663620305E-2</v>
      </c>
      <c r="F1573" s="1257">
        <v>1.7455561798943E-2</v>
      </c>
      <c r="G1573" s="1280">
        <v>6.3519070060296196E-2</v>
      </c>
      <c r="H1573" s="1271">
        <v>0.41599316838643602</v>
      </c>
      <c r="I1573" s="1257">
        <v>0.45598457345619597</v>
      </c>
      <c r="J1573" s="1280">
        <v>0.10373543943757101</v>
      </c>
      <c r="K1573" s="1271">
        <v>6.8542084319848503E-3</v>
      </c>
      <c r="L1573" s="1257">
        <v>1.68947664821712E-3</v>
      </c>
      <c r="M1573" s="1280">
        <v>3.9361216409082399E-4</v>
      </c>
      <c r="N1573" s="1271">
        <v>8.2496900255908095E-3</v>
      </c>
      <c r="O1573" s="1257">
        <v>3.0000008598028201E-3</v>
      </c>
      <c r="P1573" s="1257">
        <v>8.3943522209133595E-3</v>
      </c>
      <c r="Q1573" s="1280">
        <v>8.2496900255908095E-3</v>
      </c>
      <c r="R1573" s="1271">
        <v>3.8500011034136201E-2</v>
      </c>
      <c r="S1573" s="1257">
        <v>3.8500011034136201E-2</v>
      </c>
      <c r="T1573" s="1257">
        <v>3.8500011034136201E-2</v>
      </c>
      <c r="U1573" s="1280">
        <v>1.9250005517068101E-2</v>
      </c>
      <c r="V1573" s="1293">
        <v>7.1641253221797502E-3</v>
      </c>
    </row>
    <row r="1574" spans="1:22" s="212" customFormat="1" ht="15.5" x14ac:dyDescent="0.35">
      <c r="A1574" s="198">
        <v>2041</v>
      </c>
      <c r="B1574" s="197" t="s">
        <v>5833</v>
      </c>
      <c r="C1574" s="197">
        <v>1994</v>
      </c>
      <c r="D1574" s="225" t="str">
        <f t="shared" si="10"/>
        <v>2041_1994</v>
      </c>
      <c r="E1574" s="1226">
        <v>7.1257119663620305E-2</v>
      </c>
      <c r="F1574" s="1257">
        <v>1.7455561798943E-2</v>
      </c>
      <c r="G1574" s="1280">
        <v>6.3519070060296196E-2</v>
      </c>
      <c r="H1574" s="1271">
        <v>0.41599316838643602</v>
      </c>
      <c r="I1574" s="1257">
        <v>0.45598457345619597</v>
      </c>
      <c r="J1574" s="1280">
        <v>0.10373543943757101</v>
      </c>
      <c r="K1574" s="1271">
        <v>6.8542084319848503E-3</v>
      </c>
      <c r="L1574" s="1257">
        <v>1.68947664821712E-3</v>
      </c>
      <c r="M1574" s="1280">
        <v>3.9361216409082399E-4</v>
      </c>
      <c r="N1574" s="1271">
        <v>8.2496900255908095E-3</v>
      </c>
      <c r="O1574" s="1257">
        <v>3.0000008598028201E-3</v>
      </c>
      <c r="P1574" s="1257">
        <v>8.3943522209133595E-3</v>
      </c>
      <c r="Q1574" s="1280">
        <v>8.2496900255908095E-3</v>
      </c>
      <c r="R1574" s="1271">
        <v>3.8500011034136201E-2</v>
      </c>
      <c r="S1574" s="1257">
        <v>3.8500011034136201E-2</v>
      </c>
      <c r="T1574" s="1257">
        <v>3.8500011034136201E-2</v>
      </c>
      <c r="U1574" s="1280">
        <v>1.9250005517068101E-2</v>
      </c>
      <c r="V1574" s="1293">
        <v>7.1641253221797502E-3</v>
      </c>
    </row>
    <row r="1575" spans="1:22" s="212" customFormat="1" ht="15.5" x14ac:dyDescent="0.35">
      <c r="A1575" s="198">
        <v>2041</v>
      </c>
      <c r="B1575" s="197" t="s">
        <v>5833</v>
      </c>
      <c r="C1575" s="197">
        <v>1995</v>
      </c>
      <c r="D1575" s="225" t="str">
        <f t="shared" si="10"/>
        <v>2041_1995</v>
      </c>
      <c r="E1575" s="1226">
        <v>7.1257119663620305E-2</v>
      </c>
      <c r="F1575" s="1257">
        <v>1.7455561798943E-2</v>
      </c>
      <c r="G1575" s="1280">
        <v>6.3519070060296196E-2</v>
      </c>
      <c r="H1575" s="1271">
        <v>0.41599316838643602</v>
      </c>
      <c r="I1575" s="1257">
        <v>0.45598457345619597</v>
      </c>
      <c r="J1575" s="1280">
        <v>0.10373543943757101</v>
      </c>
      <c r="K1575" s="1271">
        <v>6.8542084319848503E-3</v>
      </c>
      <c r="L1575" s="1257">
        <v>1.68947664821712E-3</v>
      </c>
      <c r="M1575" s="1280">
        <v>3.9361216409082399E-4</v>
      </c>
      <c r="N1575" s="1271">
        <v>8.2496900255908095E-3</v>
      </c>
      <c r="O1575" s="1257">
        <v>3.0000008598028201E-3</v>
      </c>
      <c r="P1575" s="1257">
        <v>8.3943522209133595E-3</v>
      </c>
      <c r="Q1575" s="1280">
        <v>8.2496900255908095E-3</v>
      </c>
      <c r="R1575" s="1271">
        <v>3.8500011034136201E-2</v>
      </c>
      <c r="S1575" s="1257">
        <v>3.8500011034136201E-2</v>
      </c>
      <c r="T1575" s="1257">
        <v>3.8500011034136201E-2</v>
      </c>
      <c r="U1575" s="1280">
        <v>1.9250005517068101E-2</v>
      </c>
      <c r="V1575" s="1293">
        <v>7.1641253221797502E-3</v>
      </c>
    </row>
    <row r="1576" spans="1:22" s="212" customFormat="1" ht="15.5" x14ac:dyDescent="0.35">
      <c r="A1576" s="198">
        <v>2041</v>
      </c>
      <c r="B1576" s="197" t="s">
        <v>5833</v>
      </c>
      <c r="C1576" s="197">
        <v>1996</v>
      </c>
      <c r="D1576" s="225" t="str">
        <f t="shared" si="10"/>
        <v>2041_1996</v>
      </c>
      <c r="E1576" s="1226">
        <v>7.1257119663620305E-2</v>
      </c>
      <c r="F1576" s="1257">
        <v>1.7455561798943E-2</v>
      </c>
      <c r="G1576" s="1280">
        <v>6.3519070060296196E-2</v>
      </c>
      <c r="H1576" s="1271">
        <v>0.41599316838643602</v>
      </c>
      <c r="I1576" s="1257">
        <v>0.45598457345619597</v>
      </c>
      <c r="J1576" s="1280">
        <v>0.10373543943757101</v>
      </c>
      <c r="K1576" s="1271">
        <v>6.8542084319848503E-3</v>
      </c>
      <c r="L1576" s="1257">
        <v>1.68947664821712E-3</v>
      </c>
      <c r="M1576" s="1280">
        <v>3.9361216409082399E-4</v>
      </c>
      <c r="N1576" s="1271">
        <v>8.2496900255908095E-3</v>
      </c>
      <c r="O1576" s="1257">
        <v>3.0000008598028201E-3</v>
      </c>
      <c r="P1576" s="1257">
        <v>8.3943522209133595E-3</v>
      </c>
      <c r="Q1576" s="1280">
        <v>8.2496900255908095E-3</v>
      </c>
      <c r="R1576" s="1271">
        <v>3.8500011034136201E-2</v>
      </c>
      <c r="S1576" s="1257">
        <v>3.8500011034136201E-2</v>
      </c>
      <c r="T1576" s="1257">
        <v>3.8500011034136201E-2</v>
      </c>
      <c r="U1576" s="1280">
        <v>1.9250005517068101E-2</v>
      </c>
      <c r="V1576" s="1293">
        <v>7.1641253221797502E-3</v>
      </c>
    </row>
    <row r="1577" spans="1:22" s="212" customFormat="1" ht="15.5" x14ac:dyDescent="0.35">
      <c r="A1577" s="198">
        <v>2041</v>
      </c>
      <c r="B1577" s="197" t="s">
        <v>5833</v>
      </c>
      <c r="C1577" s="197">
        <v>1997</v>
      </c>
      <c r="D1577" s="225" t="str">
        <f t="shared" si="10"/>
        <v>2041_1997</v>
      </c>
      <c r="E1577" s="1226">
        <v>7.1257119663620305E-2</v>
      </c>
      <c r="F1577" s="1257">
        <v>1.7455561798943E-2</v>
      </c>
      <c r="G1577" s="1280">
        <v>6.3519070060296196E-2</v>
      </c>
      <c r="H1577" s="1271">
        <v>0.41599316838643602</v>
      </c>
      <c r="I1577" s="1257">
        <v>0.45598457345619597</v>
      </c>
      <c r="J1577" s="1280">
        <v>0.10373543943757101</v>
      </c>
      <c r="K1577" s="1271">
        <v>6.8542084319848503E-3</v>
      </c>
      <c r="L1577" s="1257">
        <v>1.68947664821712E-3</v>
      </c>
      <c r="M1577" s="1280">
        <v>3.9361216409082399E-4</v>
      </c>
      <c r="N1577" s="1271">
        <v>8.2496900255908095E-3</v>
      </c>
      <c r="O1577" s="1257">
        <v>3.0000008598028201E-3</v>
      </c>
      <c r="P1577" s="1257">
        <v>8.3943522209133595E-3</v>
      </c>
      <c r="Q1577" s="1280">
        <v>8.2496900255908095E-3</v>
      </c>
      <c r="R1577" s="1271">
        <v>3.8500011034136201E-2</v>
      </c>
      <c r="S1577" s="1257">
        <v>3.8500011034136201E-2</v>
      </c>
      <c r="T1577" s="1257">
        <v>3.8500011034136201E-2</v>
      </c>
      <c r="U1577" s="1280">
        <v>1.9250005517068101E-2</v>
      </c>
      <c r="V1577" s="1293">
        <v>7.1641253221797502E-3</v>
      </c>
    </row>
    <row r="1578" spans="1:22" s="212" customFormat="1" ht="15.5" x14ac:dyDescent="0.35">
      <c r="A1578" s="198">
        <v>2041</v>
      </c>
      <c r="B1578" s="197" t="s">
        <v>5833</v>
      </c>
      <c r="C1578" s="197">
        <v>1998</v>
      </c>
      <c r="D1578" s="225" t="str">
        <f t="shared" si="10"/>
        <v>2041_1998</v>
      </c>
      <c r="E1578" s="1226">
        <v>7.1257119663620305E-2</v>
      </c>
      <c r="F1578" s="1257">
        <v>1.7455561798943E-2</v>
      </c>
      <c r="G1578" s="1280">
        <v>6.3519070060296196E-2</v>
      </c>
      <c r="H1578" s="1271">
        <v>0.41599316838643602</v>
      </c>
      <c r="I1578" s="1257">
        <v>0.45598457345619597</v>
      </c>
      <c r="J1578" s="1280">
        <v>0.10373543943757101</v>
      </c>
      <c r="K1578" s="1271">
        <v>6.8542084319848503E-3</v>
      </c>
      <c r="L1578" s="1257">
        <v>1.68947664821712E-3</v>
      </c>
      <c r="M1578" s="1280">
        <v>3.9361216409082399E-4</v>
      </c>
      <c r="N1578" s="1271">
        <v>8.2496900255908095E-3</v>
      </c>
      <c r="O1578" s="1257">
        <v>3.0000008598028201E-3</v>
      </c>
      <c r="P1578" s="1257">
        <v>8.3943522209133595E-3</v>
      </c>
      <c r="Q1578" s="1280">
        <v>8.2496900255908095E-3</v>
      </c>
      <c r="R1578" s="1271">
        <v>3.8500011034136201E-2</v>
      </c>
      <c r="S1578" s="1257">
        <v>3.8500011034136201E-2</v>
      </c>
      <c r="T1578" s="1257">
        <v>3.8500011034136201E-2</v>
      </c>
      <c r="U1578" s="1280">
        <v>1.9250005517068101E-2</v>
      </c>
      <c r="V1578" s="1293">
        <v>7.1641253221797502E-3</v>
      </c>
    </row>
    <row r="1579" spans="1:22" s="212" customFormat="1" ht="15.5" x14ac:dyDescent="0.35">
      <c r="A1579" s="198">
        <v>2041</v>
      </c>
      <c r="B1579" s="197" t="s">
        <v>5833</v>
      </c>
      <c r="C1579" s="197">
        <v>1999</v>
      </c>
      <c r="D1579" s="225" t="str">
        <f t="shared" si="10"/>
        <v>2041_1999</v>
      </c>
      <c r="E1579" s="1226">
        <v>7.1257119663620305E-2</v>
      </c>
      <c r="F1579" s="1257">
        <v>1.7455561798943E-2</v>
      </c>
      <c r="G1579" s="1280">
        <v>6.3519070060296196E-2</v>
      </c>
      <c r="H1579" s="1271">
        <v>0.41599316838643602</v>
      </c>
      <c r="I1579" s="1257">
        <v>0.45598457345619597</v>
      </c>
      <c r="J1579" s="1280">
        <v>0.10373543943757101</v>
      </c>
      <c r="K1579" s="1271">
        <v>6.8542084319848503E-3</v>
      </c>
      <c r="L1579" s="1257">
        <v>1.68947664821712E-3</v>
      </c>
      <c r="M1579" s="1280">
        <v>3.9361216409082399E-4</v>
      </c>
      <c r="N1579" s="1271">
        <v>8.2496900255908095E-3</v>
      </c>
      <c r="O1579" s="1257">
        <v>3.0000008598028201E-3</v>
      </c>
      <c r="P1579" s="1257">
        <v>8.3943522209133595E-3</v>
      </c>
      <c r="Q1579" s="1280">
        <v>8.2496900255908095E-3</v>
      </c>
      <c r="R1579" s="1271">
        <v>3.8500011034136201E-2</v>
      </c>
      <c r="S1579" s="1257">
        <v>3.8500011034136201E-2</v>
      </c>
      <c r="T1579" s="1257">
        <v>3.8500011034136201E-2</v>
      </c>
      <c r="U1579" s="1280">
        <v>1.9250005517068101E-2</v>
      </c>
      <c r="V1579" s="1293">
        <v>7.1641253221797502E-3</v>
      </c>
    </row>
    <row r="1580" spans="1:22" s="212" customFormat="1" ht="15.5" x14ac:dyDescent="0.35">
      <c r="A1580" s="198">
        <v>2041</v>
      </c>
      <c r="B1580" s="197" t="s">
        <v>5833</v>
      </c>
      <c r="C1580" s="197">
        <v>2000</v>
      </c>
      <c r="D1580" s="225" t="str">
        <f t="shared" si="10"/>
        <v>2041_2000</v>
      </c>
      <c r="E1580" s="1226">
        <v>7.1257119663620305E-2</v>
      </c>
      <c r="F1580" s="1257">
        <v>1.7455561798943E-2</v>
      </c>
      <c r="G1580" s="1280">
        <v>6.3519070060296196E-2</v>
      </c>
      <c r="H1580" s="1271">
        <v>0.41599316838643602</v>
      </c>
      <c r="I1580" s="1257">
        <v>0.45598457345619597</v>
      </c>
      <c r="J1580" s="1280">
        <v>0.10373543943757101</v>
      </c>
      <c r="K1580" s="1271">
        <v>6.8542084319848503E-3</v>
      </c>
      <c r="L1580" s="1257">
        <v>1.68947664821712E-3</v>
      </c>
      <c r="M1580" s="1280">
        <v>3.9361216409082399E-4</v>
      </c>
      <c r="N1580" s="1271">
        <v>8.2496900255908095E-3</v>
      </c>
      <c r="O1580" s="1257">
        <v>3.0000008598028201E-3</v>
      </c>
      <c r="P1580" s="1257">
        <v>8.3943522209133595E-3</v>
      </c>
      <c r="Q1580" s="1280">
        <v>8.2496900255908095E-3</v>
      </c>
      <c r="R1580" s="1271">
        <v>3.8500011034136201E-2</v>
      </c>
      <c r="S1580" s="1257">
        <v>3.8500011034136201E-2</v>
      </c>
      <c r="T1580" s="1257">
        <v>3.8500011034136201E-2</v>
      </c>
      <c r="U1580" s="1280">
        <v>1.9250005517068101E-2</v>
      </c>
      <c r="V1580" s="1293">
        <v>7.1641253221797502E-3</v>
      </c>
    </row>
    <row r="1581" spans="1:22" s="212" customFormat="1" ht="15.5" x14ac:dyDescent="0.35">
      <c r="A1581" s="198">
        <v>2041</v>
      </c>
      <c r="B1581" s="197" t="s">
        <v>5833</v>
      </c>
      <c r="C1581" s="197">
        <v>2001</v>
      </c>
      <c r="D1581" s="225" t="str">
        <f t="shared" si="10"/>
        <v>2041_2001</v>
      </c>
      <c r="E1581" s="1226">
        <v>7.1257119663620305E-2</v>
      </c>
      <c r="F1581" s="1257">
        <v>1.7455561798943E-2</v>
      </c>
      <c r="G1581" s="1280">
        <v>6.3519070060296196E-2</v>
      </c>
      <c r="H1581" s="1271">
        <v>0.41599316838643602</v>
      </c>
      <c r="I1581" s="1257">
        <v>0.45598457345619597</v>
      </c>
      <c r="J1581" s="1280">
        <v>0.10373543943757101</v>
      </c>
      <c r="K1581" s="1271">
        <v>6.8542084319848503E-3</v>
      </c>
      <c r="L1581" s="1257">
        <v>1.68947664821712E-3</v>
      </c>
      <c r="M1581" s="1280">
        <v>3.9361216409082399E-4</v>
      </c>
      <c r="N1581" s="1271">
        <v>8.2496900255908095E-3</v>
      </c>
      <c r="O1581" s="1257">
        <v>3.0000008598028201E-3</v>
      </c>
      <c r="P1581" s="1257">
        <v>8.3943522209133595E-3</v>
      </c>
      <c r="Q1581" s="1280">
        <v>8.2496900255908095E-3</v>
      </c>
      <c r="R1581" s="1271">
        <v>3.8500011034136201E-2</v>
      </c>
      <c r="S1581" s="1257">
        <v>3.8500011034136201E-2</v>
      </c>
      <c r="T1581" s="1257">
        <v>3.8500011034136201E-2</v>
      </c>
      <c r="U1581" s="1280">
        <v>1.9250005517068101E-2</v>
      </c>
      <c r="V1581" s="1293">
        <v>7.1641253221797502E-3</v>
      </c>
    </row>
    <row r="1582" spans="1:22" s="212" customFormat="1" ht="15.5" x14ac:dyDescent="0.35">
      <c r="A1582" s="198">
        <v>2041</v>
      </c>
      <c r="B1582" s="197" t="s">
        <v>5833</v>
      </c>
      <c r="C1582" s="197">
        <v>2002</v>
      </c>
      <c r="D1582" s="225" t="str">
        <f t="shared" si="10"/>
        <v>2041_2002</v>
      </c>
      <c r="E1582" s="1226">
        <v>7.1257119663620305E-2</v>
      </c>
      <c r="F1582" s="1257">
        <v>1.7455561798943E-2</v>
      </c>
      <c r="G1582" s="1280">
        <v>6.3519070060296196E-2</v>
      </c>
      <c r="H1582" s="1271">
        <v>0.41599316838643602</v>
      </c>
      <c r="I1582" s="1257">
        <v>0.45598457345619597</v>
      </c>
      <c r="J1582" s="1280">
        <v>0.10373543943757101</v>
      </c>
      <c r="K1582" s="1271">
        <v>6.8542084319848503E-3</v>
      </c>
      <c r="L1582" s="1257">
        <v>1.68947664821712E-3</v>
      </c>
      <c r="M1582" s="1280">
        <v>3.9361216409082399E-4</v>
      </c>
      <c r="N1582" s="1271">
        <v>8.2496900255908095E-3</v>
      </c>
      <c r="O1582" s="1257">
        <v>3.0000008598028201E-3</v>
      </c>
      <c r="P1582" s="1257">
        <v>8.3943522209133595E-3</v>
      </c>
      <c r="Q1582" s="1280">
        <v>8.2496900255908095E-3</v>
      </c>
      <c r="R1582" s="1271">
        <v>3.8500011034136201E-2</v>
      </c>
      <c r="S1582" s="1257">
        <v>3.8500011034136201E-2</v>
      </c>
      <c r="T1582" s="1257">
        <v>3.8500011034136201E-2</v>
      </c>
      <c r="U1582" s="1280">
        <v>1.9250005517068101E-2</v>
      </c>
      <c r="V1582" s="1293">
        <v>7.1641253221797502E-3</v>
      </c>
    </row>
    <row r="1583" spans="1:22" s="212" customFormat="1" ht="15.5" x14ac:dyDescent="0.35">
      <c r="A1583" s="198">
        <v>2041</v>
      </c>
      <c r="B1583" s="197" t="s">
        <v>5833</v>
      </c>
      <c r="C1583" s="197">
        <v>2003</v>
      </c>
      <c r="D1583" s="225" t="str">
        <f t="shared" si="10"/>
        <v>2041_2003</v>
      </c>
      <c r="E1583" s="1226">
        <v>7.1257119663620305E-2</v>
      </c>
      <c r="F1583" s="1257">
        <v>1.7455561798943E-2</v>
      </c>
      <c r="G1583" s="1280">
        <v>6.3519070060296196E-2</v>
      </c>
      <c r="H1583" s="1271">
        <v>0.41599316838643602</v>
      </c>
      <c r="I1583" s="1257">
        <v>0.45598457345619597</v>
      </c>
      <c r="J1583" s="1280">
        <v>0.10373543943757101</v>
      </c>
      <c r="K1583" s="1271">
        <v>6.8542084319848503E-3</v>
      </c>
      <c r="L1583" s="1257">
        <v>1.68947664821712E-3</v>
      </c>
      <c r="M1583" s="1280">
        <v>3.9361216409082399E-4</v>
      </c>
      <c r="N1583" s="1271">
        <v>8.2496900255908095E-3</v>
      </c>
      <c r="O1583" s="1257">
        <v>3.0000008598028201E-3</v>
      </c>
      <c r="P1583" s="1257">
        <v>8.3943522209133595E-3</v>
      </c>
      <c r="Q1583" s="1280">
        <v>8.2496900255908095E-3</v>
      </c>
      <c r="R1583" s="1271">
        <v>3.8500011034136201E-2</v>
      </c>
      <c r="S1583" s="1257">
        <v>3.8500011034136201E-2</v>
      </c>
      <c r="T1583" s="1257">
        <v>3.8500011034136201E-2</v>
      </c>
      <c r="U1583" s="1280">
        <v>1.9250005517068101E-2</v>
      </c>
      <c r="V1583" s="1293">
        <v>7.1641253221797502E-3</v>
      </c>
    </row>
    <row r="1584" spans="1:22" s="212" customFormat="1" ht="15.5" x14ac:dyDescent="0.35">
      <c r="A1584" s="198">
        <v>2041</v>
      </c>
      <c r="B1584" s="197" t="s">
        <v>5833</v>
      </c>
      <c r="C1584" s="197">
        <v>2004</v>
      </c>
      <c r="D1584" s="225" t="str">
        <f t="shared" si="10"/>
        <v>2041_2004</v>
      </c>
      <c r="E1584" s="1226">
        <v>7.1257119663620305E-2</v>
      </c>
      <c r="F1584" s="1257">
        <v>1.7455561798943E-2</v>
      </c>
      <c r="G1584" s="1280">
        <v>6.3519070060296196E-2</v>
      </c>
      <c r="H1584" s="1271">
        <v>0.41599316838643602</v>
      </c>
      <c r="I1584" s="1257">
        <v>0.45598457345619597</v>
      </c>
      <c r="J1584" s="1280">
        <v>0.10373543943757101</v>
      </c>
      <c r="K1584" s="1271">
        <v>6.8542084319848503E-3</v>
      </c>
      <c r="L1584" s="1257">
        <v>1.68947664821712E-3</v>
      </c>
      <c r="M1584" s="1280">
        <v>3.9361216409082399E-4</v>
      </c>
      <c r="N1584" s="1271">
        <v>8.2496900255908095E-3</v>
      </c>
      <c r="O1584" s="1257">
        <v>3.0000008598028201E-3</v>
      </c>
      <c r="P1584" s="1257">
        <v>8.3943522209133595E-3</v>
      </c>
      <c r="Q1584" s="1280">
        <v>8.2496900255908095E-3</v>
      </c>
      <c r="R1584" s="1271">
        <v>3.8500011034136201E-2</v>
      </c>
      <c r="S1584" s="1257">
        <v>3.8500011034136201E-2</v>
      </c>
      <c r="T1584" s="1257">
        <v>3.8500011034136201E-2</v>
      </c>
      <c r="U1584" s="1280">
        <v>1.9250005517068101E-2</v>
      </c>
      <c r="V1584" s="1293">
        <v>7.1641253221797502E-3</v>
      </c>
    </row>
    <row r="1585" spans="1:22" s="212" customFormat="1" ht="15.5" x14ac:dyDescent="0.35">
      <c r="A1585" s="198">
        <v>2041</v>
      </c>
      <c r="B1585" s="197" t="s">
        <v>5833</v>
      </c>
      <c r="C1585" s="197">
        <v>2005</v>
      </c>
      <c r="D1585" s="225" t="str">
        <f t="shared" si="10"/>
        <v>2041_2005</v>
      </c>
      <c r="E1585" s="1226">
        <v>7.1257119663620305E-2</v>
      </c>
      <c r="F1585" s="1257">
        <v>1.7455561798943E-2</v>
      </c>
      <c r="G1585" s="1280">
        <v>6.3519070060296196E-2</v>
      </c>
      <c r="H1585" s="1271">
        <v>0.41599316838643602</v>
      </c>
      <c r="I1585" s="1257">
        <v>0.45598457345619597</v>
      </c>
      <c r="J1585" s="1280">
        <v>0.10373543943757101</v>
      </c>
      <c r="K1585" s="1271">
        <v>6.8542084319848503E-3</v>
      </c>
      <c r="L1585" s="1257">
        <v>1.68947664821712E-3</v>
      </c>
      <c r="M1585" s="1280">
        <v>3.9361216409082399E-4</v>
      </c>
      <c r="N1585" s="1271">
        <v>8.2496900255908095E-3</v>
      </c>
      <c r="O1585" s="1257">
        <v>3.0000008598028201E-3</v>
      </c>
      <c r="P1585" s="1257">
        <v>8.3943522209133595E-3</v>
      </c>
      <c r="Q1585" s="1280">
        <v>8.2496900255908095E-3</v>
      </c>
      <c r="R1585" s="1271">
        <v>3.8500011034136201E-2</v>
      </c>
      <c r="S1585" s="1257">
        <v>3.8500011034136201E-2</v>
      </c>
      <c r="T1585" s="1257">
        <v>3.8500011034136201E-2</v>
      </c>
      <c r="U1585" s="1280">
        <v>1.9250005517068101E-2</v>
      </c>
      <c r="V1585" s="1293">
        <v>7.1641253221797502E-3</v>
      </c>
    </row>
    <row r="1586" spans="1:22" s="212" customFormat="1" ht="15.5" x14ac:dyDescent="0.35">
      <c r="A1586" s="198">
        <v>2041</v>
      </c>
      <c r="B1586" s="197" t="s">
        <v>5833</v>
      </c>
      <c r="C1586" s="197">
        <v>2006</v>
      </c>
      <c r="D1586" s="225" t="str">
        <f t="shared" si="10"/>
        <v>2041_2006</v>
      </c>
      <c r="E1586" s="1226">
        <v>7.1257119663620305E-2</v>
      </c>
      <c r="F1586" s="1257">
        <v>1.7455561798943E-2</v>
      </c>
      <c r="G1586" s="1280">
        <v>6.3519070060296196E-2</v>
      </c>
      <c r="H1586" s="1271">
        <v>0.41599316838643602</v>
      </c>
      <c r="I1586" s="1257">
        <v>0.45598457345619597</v>
      </c>
      <c r="J1586" s="1280">
        <v>0.10373543943757101</v>
      </c>
      <c r="K1586" s="1271">
        <v>6.8542084319848503E-3</v>
      </c>
      <c r="L1586" s="1257">
        <v>1.68947664821712E-3</v>
      </c>
      <c r="M1586" s="1280">
        <v>3.9361216409082399E-4</v>
      </c>
      <c r="N1586" s="1271">
        <v>8.2496900255908095E-3</v>
      </c>
      <c r="O1586" s="1257">
        <v>3.0000008598028201E-3</v>
      </c>
      <c r="P1586" s="1257">
        <v>8.3943522209133595E-3</v>
      </c>
      <c r="Q1586" s="1280">
        <v>8.2496900255908095E-3</v>
      </c>
      <c r="R1586" s="1271">
        <v>3.8500011034136201E-2</v>
      </c>
      <c r="S1586" s="1257">
        <v>3.8500011034136201E-2</v>
      </c>
      <c r="T1586" s="1257">
        <v>3.8500011034136201E-2</v>
      </c>
      <c r="U1586" s="1280">
        <v>1.9250005517068101E-2</v>
      </c>
      <c r="V1586" s="1293">
        <v>7.1641253221797502E-3</v>
      </c>
    </row>
    <row r="1587" spans="1:22" s="212" customFormat="1" ht="15.5" x14ac:dyDescent="0.35">
      <c r="A1587" s="198">
        <v>2041</v>
      </c>
      <c r="B1587" s="197" t="s">
        <v>5833</v>
      </c>
      <c r="C1587" s="197">
        <v>2007</v>
      </c>
      <c r="D1587" s="225" t="str">
        <f t="shared" si="10"/>
        <v>2041_2007</v>
      </c>
      <c r="E1587" s="1226">
        <v>7.1257119663620305E-2</v>
      </c>
      <c r="F1587" s="1257">
        <v>1.7455561798943E-2</v>
      </c>
      <c r="G1587" s="1280">
        <v>6.3519070060296196E-2</v>
      </c>
      <c r="H1587" s="1271">
        <v>0.41599316838643602</v>
      </c>
      <c r="I1587" s="1257">
        <v>0.45598457345619597</v>
      </c>
      <c r="J1587" s="1280">
        <v>0.10373543943757101</v>
      </c>
      <c r="K1587" s="1271">
        <v>6.8542084319848503E-3</v>
      </c>
      <c r="L1587" s="1257">
        <v>1.68947664821712E-3</v>
      </c>
      <c r="M1587" s="1280">
        <v>3.9361216409082399E-4</v>
      </c>
      <c r="N1587" s="1271">
        <v>8.2496900255908095E-3</v>
      </c>
      <c r="O1587" s="1257">
        <v>3.0000008598028201E-3</v>
      </c>
      <c r="P1587" s="1257">
        <v>8.3943522209133595E-3</v>
      </c>
      <c r="Q1587" s="1280">
        <v>8.2496900255908095E-3</v>
      </c>
      <c r="R1587" s="1271">
        <v>3.8500011034136201E-2</v>
      </c>
      <c r="S1587" s="1257">
        <v>3.8500011034136201E-2</v>
      </c>
      <c r="T1587" s="1257">
        <v>3.8500011034136201E-2</v>
      </c>
      <c r="U1587" s="1280">
        <v>1.9250005517068101E-2</v>
      </c>
      <c r="V1587" s="1293">
        <v>7.1641253221797502E-3</v>
      </c>
    </row>
    <row r="1588" spans="1:22" s="212" customFormat="1" ht="15.5" x14ac:dyDescent="0.35">
      <c r="A1588" s="198">
        <v>2041</v>
      </c>
      <c r="B1588" s="197" t="s">
        <v>5833</v>
      </c>
      <c r="C1588" s="197">
        <v>2008</v>
      </c>
      <c r="D1588" s="225" t="str">
        <f t="shared" si="10"/>
        <v>2041_2008</v>
      </c>
      <c r="E1588" s="1226">
        <v>7.1257119663620305E-2</v>
      </c>
      <c r="F1588" s="1257">
        <v>1.7455561798943E-2</v>
      </c>
      <c r="G1588" s="1280">
        <v>6.3519070060296196E-2</v>
      </c>
      <c r="H1588" s="1271">
        <v>0.41599316838643602</v>
      </c>
      <c r="I1588" s="1257">
        <v>0.45598457345619597</v>
      </c>
      <c r="J1588" s="1280">
        <v>0.10373543943757101</v>
      </c>
      <c r="K1588" s="1271">
        <v>6.8542084319848503E-3</v>
      </c>
      <c r="L1588" s="1257">
        <v>1.68947664821712E-3</v>
      </c>
      <c r="M1588" s="1280">
        <v>3.9361216409082399E-4</v>
      </c>
      <c r="N1588" s="1271">
        <v>8.2496900255908095E-3</v>
      </c>
      <c r="O1588" s="1257">
        <v>3.0000008598028201E-3</v>
      </c>
      <c r="P1588" s="1257">
        <v>8.3943522209133595E-3</v>
      </c>
      <c r="Q1588" s="1280">
        <v>8.2496900255908095E-3</v>
      </c>
      <c r="R1588" s="1271">
        <v>3.8500011034136201E-2</v>
      </c>
      <c r="S1588" s="1257">
        <v>3.8500011034136201E-2</v>
      </c>
      <c r="T1588" s="1257">
        <v>3.8500011034136201E-2</v>
      </c>
      <c r="U1588" s="1280">
        <v>1.9250005517068101E-2</v>
      </c>
      <c r="V1588" s="1293">
        <v>7.1641253221797502E-3</v>
      </c>
    </row>
    <row r="1589" spans="1:22" s="212" customFormat="1" ht="15.5" x14ac:dyDescent="0.35">
      <c r="A1589" s="198">
        <v>2041</v>
      </c>
      <c r="B1589" s="197" t="s">
        <v>5833</v>
      </c>
      <c r="C1589" s="197">
        <v>2009</v>
      </c>
      <c r="D1589" s="225" t="str">
        <f t="shared" si="10"/>
        <v>2041_2009</v>
      </c>
      <c r="E1589" s="1226">
        <v>7.1257119663620305E-2</v>
      </c>
      <c r="F1589" s="1257">
        <v>1.7455561798943E-2</v>
      </c>
      <c r="G1589" s="1280">
        <v>6.3519070060296196E-2</v>
      </c>
      <c r="H1589" s="1271">
        <v>0.41599316838643602</v>
      </c>
      <c r="I1589" s="1257">
        <v>0.45598457345619597</v>
      </c>
      <c r="J1589" s="1280">
        <v>0.10373543943757101</v>
      </c>
      <c r="K1589" s="1271">
        <v>6.8542084319848503E-3</v>
      </c>
      <c r="L1589" s="1257">
        <v>1.68947664821712E-3</v>
      </c>
      <c r="M1589" s="1280">
        <v>3.9361216409082399E-4</v>
      </c>
      <c r="N1589" s="1271">
        <v>8.2496900255908095E-3</v>
      </c>
      <c r="O1589" s="1257">
        <v>3.0000008598028201E-3</v>
      </c>
      <c r="P1589" s="1257">
        <v>8.3943522209133595E-3</v>
      </c>
      <c r="Q1589" s="1280">
        <v>8.2496900255908095E-3</v>
      </c>
      <c r="R1589" s="1271">
        <v>3.8500011034136201E-2</v>
      </c>
      <c r="S1589" s="1257">
        <v>3.8500011034136201E-2</v>
      </c>
      <c r="T1589" s="1257">
        <v>3.8500011034136201E-2</v>
      </c>
      <c r="U1589" s="1280">
        <v>1.9250005517068101E-2</v>
      </c>
      <c r="V1589" s="1293">
        <v>7.1641253221797502E-3</v>
      </c>
    </row>
    <row r="1590" spans="1:22" s="212" customFormat="1" ht="15.5" x14ac:dyDescent="0.35">
      <c r="A1590" s="198">
        <v>2041</v>
      </c>
      <c r="B1590" s="197" t="s">
        <v>5833</v>
      </c>
      <c r="C1590" s="197">
        <v>2010</v>
      </c>
      <c r="D1590" s="225" t="str">
        <f t="shared" si="10"/>
        <v>2041_2010</v>
      </c>
      <c r="E1590" s="1226">
        <v>7.1257119663620305E-2</v>
      </c>
      <c r="F1590" s="1257">
        <v>1.7455561798943E-2</v>
      </c>
      <c r="G1590" s="1280">
        <v>6.3519070060296196E-2</v>
      </c>
      <c r="H1590" s="1271">
        <v>0.41599316838643602</v>
      </c>
      <c r="I1590" s="1257">
        <v>0.45598457345619597</v>
      </c>
      <c r="J1590" s="1280">
        <v>0.10373543943757101</v>
      </c>
      <c r="K1590" s="1271">
        <v>6.8542084319848503E-3</v>
      </c>
      <c r="L1590" s="1257">
        <v>1.68947664821712E-3</v>
      </c>
      <c r="M1590" s="1280">
        <v>3.9361216409082399E-4</v>
      </c>
      <c r="N1590" s="1271">
        <v>8.2496900255908095E-3</v>
      </c>
      <c r="O1590" s="1257">
        <v>3.0000008598028201E-3</v>
      </c>
      <c r="P1590" s="1257">
        <v>8.3943522209133595E-3</v>
      </c>
      <c r="Q1590" s="1280">
        <v>8.2496900255908095E-3</v>
      </c>
      <c r="R1590" s="1271">
        <v>3.8500011034136201E-2</v>
      </c>
      <c r="S1590" s="1257">
        <v>3.8500011034136201E-2</v>
      </c>
      <c r="T1590" s="1257">
        <v>3.8500011034136201E-2</v>
      </c>
      <c r="U1590" s="1280">
        <v>1.9250005517068101E-2</v>
      </c>
      <c r="V1590" s="1293">
        <v>7.1641253221797502E-3</v>
      </c>
    </row>
    <row r="1591" spans="1:22" s="212" customFormat="1" ht="15.5" x14ac:dyDescent="0.35">
      <c r="A1591" s="198">
        <v>2041</v>
      </c>
      <c r="B1591" s="197" t="s">
        <v>5833</v>
      </c>
      <c r="C1591" s="197">
        <v>2011</v>
      </c>
      <c r="D1591" s="225" t="str">
        <f t="shared" si="10"/>
        <v>2041_2011</v>
      </c>
      <c r="E1591" s="1226">
        <v>7.1257119663620305E-2</v>
      </c>
      <c r="F1591" s="1257">
        <v>1.7455561798943E-2</v>
      </c>
      <c r="G1591" s="1280">
        <v>6.3519070060296196E-2</v>
      </c>
      <c r="H1591" s="1271">
        <v>0.41599316838643602</v>
      </c>
      <c r="I1591" s="1257">
        <v>0.45598457345619597</v>
      </c>
      <c r="J1591" s="1280">
        <v>0.10373543943757101</v>
      </c>
      <c r="K1591" s="1271">
        <v>6.8542084319848503E-3</v>
      </c>
      <c r="L1591" s="1257">
        <v>1.68947664821712E-3</v>
      </c>
      <c r="M1591" s="1280">
        <v>3.9361216409082399E-4</v>
      </c>
      <c r="N1591" s="1271">
        <v>8.2496900255908095E-3</v>
      </c>
      <c r="O1591" s="1257">
        <v>3.0000008598028201E-3</v>
      </c>
      <c r="P1591" s="1257">
        <v>8.3943522209133595E-3</v>
      </c>
      <c r="Q1591" s="1280">
        <v>8.2496900255908095E-3</v>
      </c>
      <c r="R1591" s="1271">
        <v>3.8500011034136201E-2</v>
      </c>
      <c r="S1591" s="1257">
        <v>3.8500011034136201E-2</v>
      </c>
      <c r="T1591" s="1257">
        <v>3.8500011034136201E-2</v>
      </c>
      <c r="U1591" s="1280">
        <v>1.9250005517068101E-2</v>
      </c>
      <c r="V1591" s="1293">
        <v>7.1641253221797502E-3</v>
      </c>
    </row>
    <row r="1592" spans="1:22" s="212" customFormat="1" ht="15.5" x14ac:dyDescent="0.35">
      <c r="A1592" s="198">
        <v>2041</v>
      </c>
      <c r="B1592" s="197" t="s">
        <v>5833</v>
      </c>
      <c r="C1592" s="197">
        <v>2012</v>
      </c>
      <c r="D1592" s="225" t="str">
        <f t="shared" si="10"/>
        <v>2041_2012</v>
      </c>
      <c r="E1592" s="1226">
        <v>7.1257119663620305E-2</v>
      </c>
      <c r="F1592" s="1257">
        <v>1.7455561798943E-2</v>
      </c>
      <c r="G1592" s="1280">
        <v>6.3519070060296196E-2</v>
      </c>
      <c r="H1592" s="1271">
        <v>0.41599316838643602</v>
      </c>
      <c r="I1592" s="1257">
        <v>0.45598457345619597</v>
      </c>
      <c r="J1592" s="1280">
        <v>0.10373543943757101</v>
      </c>
      <c r="K1592" s="1271">
        <v>6.8542084319848503E-3</v>
      </c>
      <c r="L1592" s="1257">
        <v>1.68947664821712E-3</v>
      </c>
      <c r="M1592" s="1280">
        <v>3.9361216409082399E-4</v>
      </c>
      <c r="N1592" s="1271">
        <v>8.2496900255908095E-3</v>
      </c>
      <c r="O1592" s="1257">
        <v>3.0000008598028201E-3</v>
      </c>
      <c r="P1592" s="1257">
        <v>8.3943522209133595E-3</v>
      </c>
      <c r="Q1592" s="1280">
        <v>8.2496900255908095E-3</v>
      </c>
      <c r="R1592" s="1271">
        <v>3.8500011034136201E-2</v>
      </c>
      <c r="S1592" s="1257">
        <v>3.8500011034136201E-2</v>
      </c>
      <c r="T1592" s="1257">
        <v>3.8500011034136201E-2</v>
      </c>
      <c r="U1592" s="1280">
        <v>1.9250005517068101E-2</v>
      </c>
      <c r="V1592" s="1293">
        <v>7.1641253221797502E-3</v>
      </c>
    </row>
    <row r="1593" spans="1:22" s="212" customFormat="1" ht="15.5" x14ac:dyDescent="0.35">
      <c r="A1593" s="198">
        <v>2041</v>
      </c>
      <c r="B1593" s="197" t="s">
        <v>5833</v>
      </c>
      <c r="C1593" s="197">
        <v>2013</v>
      </c>
      <c r="D1593" s="225" t="str">
        <f t="shared" si="10"/>
        <v>2041_2013</v>
      </c>
      <c r="E1593" s="1226">
        <v>7.1257119663620305E-2</v>
      </c>
      <c r="F1593" s="1257">
        <v>1.7455561798943E-2</v>
      </c>
      <c r="G1593" s="1280">
        <v>6.3519070060296196E-2</v>
      </c>
      <c r="H1593" s="1271">
        <v>0.41599316838643602</v>
      </c>
      <c r="I1593" s="1257">
        <v>0.45598457345619597</v>
      </c>
      <c r="J1593" s="1280">
        <v>0.10373543943757101</v>
      </c>
      <c r="K1593" s="1271">
        <v>6.8542084319848503E-3</v>
      </c>
      <c r="L1593" s="1257">
        <v>1.68947664821712E-3</v>
      </c>
      <c r="M1593" s="1280">
        <v>3.9361216409082399E-4</v>
      </c>
      <c r="N1593" s="1271">
        <v>8.2496900255908095E-3</v>
      </c>
      <c r="O1593" s="1257">
        <v>3.0000008598028201E-3</v>
      </c>
      <c r="P1593" s="1257">
        <v>8.3943522209133595E-3</v>
      </c>
      <c r="Q1593" s="1280">
        <v>8.2496900255908095E-3</v>
      </c>
      <c r="R1593" s="1271">
        <v>3.8500011034136201E-2</v>
      </c>
      <c r="S1593" s="1257">
        <v>3.8500011034136201E-2</v>
      </c>
      <c r="T1593" s="1257">
        <v>3.8500011034136201E-2</v>
      </c>
      <c r="U1593" s="1280">
        <v>1.9250005517068101E-2</v>
      </c>
      <c r="V1593" s="1293">
        <v>7.1641253221797502E-3</v>
      </c>
    </row>
    <row r="1594" spans="1:22" s="212" customFormat="1" ht="15.5" x14ac:dyDescent="0.35">
      <c r="A1594" s="198">
        <v>2041</v>
      </c>
      <c r="B1594" s="197" t="s">
        <v>5833</v>
      </c>
      <c r="C1594" s="197">
        <v>2014</v>
      </c>
      <c r="D1594" s="225" t="str">
        <f t="shared" si="10"/>
        <v>2041_2014</v>
      </c>
      <c r="E1594" s="1226">
        <v>7.1257119663620305E-2</v>
      </c>
      <c r="F1594" s="1257">
        <v>1.7455561798943E-2</v>
      </c>
      <c r="G1594" s="1280">
        <v>6.3519070060296196E-2</v>
      </c>
      <c r="H1594" s="1271">
        <v>0.41599316838643602</v>
      </c>
      <c r="I1594" s="1257">
        <v>0.45598457345619597</v>
      </c>
      <c r="J1594" s="1280">
        <v>0.10373543943757101</v>
      </c>
      <c r="K1594" s="1271">
        <v>6.8542084319848503E-3</v>
      </c>
      <c r="L1594" s="1257">
        <v>1.68947664821712E-3</v>
      </c>
      <c r="M1594" s="1280">
        <v>3.9361216409082399E-4</v>
      </c>
      <c r="N1594" s="1271">
        <v>8.2496900255908095E-3</v>
      </c>
      <c r="O1594" s="1257">
        <v>3.0000008598028201E-3</v>
      </c>
      <c r="P1594" s="1257">
        <v>8.3943522209133595E-3</v>
      </c>
      <c r="Q1594" s="1280">
        <v>8.2496900255908095E-3</v>
      </c>
      <c r="R1594" s="1271">
        <v>3.8500011034136201E-2</v>
      </c>
      <c r="S1594" s="1257">
        <v>3.8500011034136201E-2</v>
      </c>
      <c r="T1594" s="1257">
        <v>3.8500011034136201E-2</v>
      </c>
      <c r="U1594" s="1280">
        <v>1.9250005517068101E-2</v>
      </c>
      <c r="V1594" s="1293">
        <v>7.1641253221797502E-3</v>
      </c>
    </row>
    <row r="1595" spans="1:22" s="212" customFormat="1" ht="15.5" x14ac:dyDescent="0.35">
      <c r="A1595" s="198">
        <v>2041</v>
      </c>
      <c r="B1595" s="197" t="s">
        <v>5833</v>
      </c>
      <c r="C1595" s="197">
        <v>2015</v>
      </c>
      <c r="D1595" s="225" t="str">
        <f t="shared" si="10"/>
        <v>2041_2015</v>
      </c>
      <c r="E1595" s="1226">
        <v>7.1257119663620305E-2</v>
      </c>
      <c r="F1595" s="1257">
        <v>1.7455561798943E-2</v>
      </c>
      <c r="G1595" s="1280">
        <v>6.3519070060296196E-2</v>
      </c>
      <c r="H1595" s="1271">
        <v>0.41599316838643602</v>
      </c>
      <c r="I1595" s="1257">
        <v>0.45598457345619597</v>
      </c>
      <c r="J1595" s="1280">
        <v>0.10373543943757101</v>
      </c>
      <c r="K1595" s="1271">
        <v>6.8542084319848503E-3</v>
      </c>
      <c r="L1595" s="1257">
        <v>1.68947664821712E-3</v>
      </c>
      <c r="M1595" s="1280">
        <v>3.9361216409082399E-4</v>
      </c>
      <c r="N1595" s="1271">
        <v>8.2496900255908095E-3</v>
      </c>
      <c r="O1595" s="1257">
        <v>3.0000008598028201E-3</v>
      </c>
      <c r="P1595" s="1257">
        <v>8.3943522209133595E-3</v>
      </c>
      <c r="Q1595" s="1280">
        <v>8.2496900255908095E-3</v>
      </c>
      <c r="R1595" s="1271">
        <v>3.8500011034136201E-2</v>
      </c>
      <c r="S1595" s="1257">
        <v>3.8500011034136201E-2</v>
      </c>
      <c r="T1595" s="1257">
        <v>3.8500011034136201E-2</v>
      </c>
      <c r="U1595" s="1280">
        <v>1.9250005517068101E-2</v>
      </c>
      <c r="V1595" s="1293">
        <v>7.1641253221797502E-3</v>
      </c>
    </row>
    <row r="1596" spans="1:22" s="212" customFormat="1" ht="15.5" x14ac:dyDescent="0.35">
      <c r="A1596" s="198">
        <v>2041</v>
      </c>
      <c r="B1596" s="197" t="s">
        <v>5833</v>
      </c>
      <c r="C1596" s="197">
        <v>2016</v>
      </c>
      <c r="D1596" s="225" t="str">
        <f t="shared" si="10"/>
        <v>2041_2016</v>
      </c>
      <c r="E1596" s="1226">
        <v>7.1257119663620305E-2</v>
      </c>
      <c r="F1596" s="1257">
        <v>1.7455561798943E-2</v>
      </c>
      <c r="G1596" s="1280">
        <v>6.3519070060296196E-2</v>
      </c>
      <c r="H1596" s="1271">
        <v>0.41599316838643602</v>
      </c>
      <c r="I1596" s="1257">
        <v>0.45598457345619597</v>
      </c>
      <c r="J1596" s="1280">
        <v>0.10373543943757101</v>
      </c>
      <c r="K1596" s="1271">
        <v>6.8542084319848503E-3</v>
      </c>
      <c r="L1596" s="1257">
        <v>1.68947664821712E-3</v>
      </c>
      <c r="M1596" s="1280">
        <v>3.9361216409082399E-4</v>
      </c>
      <c r="N1596" s="1271">
        <v>8.2496900255908095E-3</v>
      </c>
      <c r="O1596" s="1257">
        <v>3.0000008598028201E-3</v>
      </c>
      <c r="P1596" s="1257">
        <v>8.3943522209133595E-3</v>
      </c>
      <c r="Q1596" s="1280">
        <v>8.2496900255908095E-3</v>
      </c>
      <c r="R1596" s="1271">
        <v>3.8500011034136201E-2</v>
      </c>
      <c r="S1596" s="1257">
        <v>3.8500011034136201E-2</v>
      </c>
      <c r="T1596" s="1257">
        <v>3.8500011034136201E-2</v>
      </c>
      <c r="U1596" s="1280">
        <v>1.9250005517068101E-2</v>
      </c>
      <c r="V1596" s="1293">
        <v>7.1641253221797502E-3</v>
      </c>
    </row>
    <row r="1597" spans="1:22" s="212" customFormat="1" ht="15.5" x14ac:dyDescent="0.35">
      <c r="A1597" s="198">
        <v>2041</v>
      </c>
      <c r="B1597" s="197" t="s">
        <v>5833</v>
      </c>
      <c r="C1597" s="197">
        <v>2017</v>
      </c>
      <c r="D1597" s="225" t="str">
        <f t="shared" si="10"/>
        <v>2041_2017</v>
      </c>
      <c r="E1597" s="1226">
        <v>7.1257119663620305E-2</v>
      </c>
      <c r="F1597" s="1257">
        <v>1.7455561798943E-2</v>
      </c>
      <c r="G1597" s="1280">
        <v>6.3519070060296196E-2</v>
      </c>
      <c r="H1597" s="1271">
        <v>0.41599316838643602</v>
      </c>
      <c r="I1597" s="1257">
        <v>0.45598457345619597</v>
      </c>
      <c r="J1597" s="1280">
        <v>0.10373543943757101</v>
      </c>
      <c r="K1597" s="1271">
        <v>6.8542084319848503E-3</v>
      </c>
      <c r="L1597" s="1257">
        <v>1.68947664821712E-3</v>
      </c>
      <c r="M1597" s="1280">
        <v>3.9361216409082399E-4</v>
      </c>
      <c r="N1597" s="1271">
        <v>8.2496900255908095E-3</v>
      </c>
      <c r="O1597" s="1257">
        <v>3.0000008598028201E-3</v>
      </c>
      <c r="P1597" s="1257">
        <v>8.3943522209133595E-3</v>
      </c>
      <c r="Q1597" s="1280">
        <v>8.2496900255908095E-3</v>
      </c>
      <c r="R1597" s="1271">
        <v>3.8500011034136201E-2</v>
      </c>
      <c r="S1597" s="1257">
        <v>3.8500011034136201E-2</v>
      </c>
      <c r="T1597" s="1257">
        <v>3.8500011034136201E-2</v>
      </c>
      <c r="U1597" s="1280">
        <v>1.9250005517068101E-2</v>
      </c>
      <c r="V1597" s="1293">
        <v>7.1641253221797502E-3</v>
      </c>
    </row>
    <row r="1598" spans="1:22" s="212" customFormat="1" ht="15.5" x14ac:dyDescent="0.35">
      <c r="A1598" s="198">
        <v>2041</v>
      </c>
      <c r="B1598" s="197" t="s">
        <v>5833</v>
      </c>
      <c r="C1598" s="197">
        <v>2018</v>
      </c>
      <c r="D1598" s="225" t="str">
        <f t="shared" si="10"/>
        <v>2041_2018</v>
      </c>
      <c r="E1598" s="1226">
        <v>7.1257119663620305E-2</v>
      </c>
      <c r="F1598" s="1257">
        <v>1.7455561798943E-2</v>
      </c>
      <c r="G1598" s="1280">
        <v>6.3519070060296196E-2</v>
      </c>
      <c r="H1598" s="1271">
        <v>0.41599316838643602</v>
      </c>
      <c r="I1598" s="1257">
        <v>0.45598457345619597</v>
      </c>
      <c r="J1598" s="1280">
        <v>0.10373543943757101</v>
      </c>
      <c r="K1598" s="1271">
        <v>6.8542084319848503E-3</v>
      </c>
      <c r="L1598" s="1257">
        <v>1.68947664821712E-3</v>
      </c>
      <c r="M1598" s="1280">
        <v>3.9361216409082399E-4</v>
      </c>
      <c r="N1598" s="1271">
        <v>8.2496900255908095E-3</v>
      </c>
      <c r="O1598" s="1257">
        <v>3.0000008598028201E-3</v>
      </c>
      <c r="P1598" s="1257">
        <v>8.3943522209133595E-3</v>
      </c>
      <c r="Q1598" s="1280">
        <v>8.2496900255908095E-3</v>
      </c>
      <c r="R1598" s="1271">
        <v>3.8500011034136201E-2</v>
      </c>
      <c r="S1598" s="1257">
        <v>3.8500011034136201E-2</v>
      </c>
      <c r="T1598" s="1257">
        <v>3.8500011034136201E-2</v>
      </c>
      <c r="U1598" s="1280">
        <v>1.9250005517068101E-2</v>
      </c>
      <c r="V1598" s="1293">
        <v>7.1641253221797502E-3</v>
      </c>
    </row>
    <row r="1599" spans="1:22" s="212" customFormat="1" ht="15.5" x14ac:dyDescent="0.35">
      <c r="A1599" s="198">
        <v>2041</v>
      </c>
      <c r="B1599" s="197" t="s">
        <v>5833</v>
      </c>
      <c r="C1599" s="197">
        <v>2019</v>
      </c>
      <c r="D1599" s="225" t="str">
        <f t="shared" si="10"/>
        <v>2041_2019</v>
      </c>
      <c r="E1599" s="1226">
        <v>7.1257119663620305E-2</v>
      </c>
      <c r="F1599" s="1257">
        <v>1.7455561798943E-2</v>
      </c>
      <c r="G1599" s="1280">
        <v>6.3519070060296196E-2</v>
      </c>
      <c r="H1599" s="1271">
        <v>0.41599316838643602</v>
      </c>
      <c r="I1599" s="1257">
        <v>0.45598457345619597</v>
      </c>
      <c r="J1599" s="1280">
        <v>0.10373543943757101</v>
      </c>
      <c r="K1599" s="1271">
        <v>6.8542084319848503E-3</v>
      </c>
      <c r="L1599" s="1257">
        <v>1.68947664821712E-3</v>
      </c>
      <c r="M1599" s="1280">
        <v>3.9361216409082399E-4</v>
      </c>
      <c r="N1599" s="1271">
        <v>8.2496900255908095E-3</v>
      </c>
      <c r="O1599" s="1257">
        <v>3.0000008598028201E-3</v>
      </c>
      <c r="P1599" s="1257">
        <v>8.3943522209133595E-3</v>
      </c>
      <c r="Q1599" s="1280">
        <v>8.2496900255908095E-3</v>
      </c>
      <c r="R1599" s="1271">
        <v>3.8500011034136201E-2</v>
      </c>
      <c r="S1599" s="1257">
        <v>3.8500011034136201E-2</v>
      </c>
      <c r="T1599" s="1257">
        <v>3.8500011034136201E-2</v>
      </c>
      <c r="U1599" s="1280">
        <v>1.9250005517068101E-2</v>
      </c>
      <c r="V1599" s="1293">
        <v>7.1641253221797502E-3</v>
      </c>
    </row>
    <row r="1600" spans="1:22" s="212" customFormat="1" ht="15.5" x14ac:dyDescent="0.35">
      <c r="A1600" s="198">
        <v>2041</v>
      </c>
      <c r="B1600" s="197" t="s">
        <v>5833</v>
      </c>
      <c r="C1600" s="197">
        <v>2020</v>
      </c>
      <c r="D1600" s="225" t="str">
        <f t="shared" si="10"/>
        <v>2041_2020</v>
      </c>
      <c r="E1600" s="1226">
        <v>7.1257119663620305E-2</v>
      </c>
      <c r="F1600" s="1257">
        <v>1.7455561798943E-2</v>
      </c>
      <c r="G1600" s="1280">
        <v>6.3519070060296196E-2</v>
      </c>
      <c r="H1600" s="1271">
        <v>0.41599316838643602</v>
      </c>
      <c r="I1600" s="1257">
        <v>0.45598457345619597</v>
      </c>
      <c r="J1600" s="1280">
        <v>0.10373543943757101</v>
      </c>
      <c r="K1600" s="1271">
        <v>6.8542084319848503E-3</v>
      </c>
      <c r="L1600" s="1257">
        <v>1.68947664821712E-3</v>
      </c>
      <c r="M1600" s="1280">
        <v>3.9361216409082399E-4</v>
      </c>
      <c r="N1600" s="1271">
        <v>8.2496900255908095E-3</v>
      </c>
      <c r="O1600" s="1257">
        <v>3.0000008598028201E-3</v>
      </c>
      <c r="P1600" s="1257">
        <v>8.3943522209133595E-3</v>
      </c>
      <c r="Q1600" s="1280">
        <v>8.2496900255908095E-3</v>
      </c>
      <c r="R1600" s="1271">
        <v>3.8500011034136201E-2</v>
      </c>
      <c r="S1600" s="1257">
        <v>3.8500011034136201E-2</v>
      </c>
      <c r="T1600" s="1257">
        <v>3.8500011034136201E-2</v>
      </c>
      <c r="U1600" s="1280">
        <v>1.9250005517068101E-2</v>
      </c>
      <c r="V1600" s="1293">
        <v>7.1641253221797502E-3</v>
      </c>
    </row>
    <row r="1601" spans="1:22" s="212" customFormat="1" ht="15.5" x14ac:dyDescent="0.35">
      <c r="A1601" s="198">
        <v>2041</v>
      </c>
      <c r="B1601" s="197" t="s">
        <v>5833</v>
      </c>
      <c r="C1601" s="197">
        <v>2021</v>
      </c>
      <c r="D1601" s="225" t="str">
        <f t="shared" si="10"/>
        <v>2041_2021</v>
      </c>
      <c r="E1601" s="1226">
        <v>7.1257119663620305E-2</v>
      </c>
      <c r="F1601" s="1257">
        <v>1.7455561798943E-2</v>
      </c>
      <c r="G1601" s="1280">
        <v>6.3519070060296196E-2</v>
      </c>
      <c r="H1601" s="1271">
        <v>0.41599316838643602</v>
      </c>
      <c r="I1601" s="1257">
        <v>0.45598457345619597</v>
      </c>
      <c r="J1601" s="1280">
        <v>0.10373543943757101</v>
      </c>
      <c r="K1601" s="1271">
        <v>6.8542084319848503E-3</v>
      </c>
      <c r="L1601" s="1257">
        <v>1.68947664821712E-3</v>
      </c>
      <c r="M1601" s="1280">
        <v>3.9361216409082399E-4</v>
      </c>
      <c r="N1601" s="1271">
        <v>8.2496900255908095E-3</v>
      </c>
      <c r="O1601" s="1257">
        <v>3.0000008598028201E-3</v>
      </c>
      <c r="P1601" s="1257">
        <v>8.3943522209133595E-3</v>
      </c>
      <c r="Q1601" s="1280">
        <v>8.2496900255908095E-3</v>
      </c>
      <c r="R1601" s="1271">
        <v>3.8500011034136201E-2</v>
      </c>
      <c r="S1601" s="1257">
        <v>3.8500011034136201E-2</v>
      </c>
      <c r="T1601" s="1257">
        <v>3.8500011034136201E-2</v>
      </c>
      <c r="U1601" s="1280">
        <v>1.9250005517068101E-2</v>
      </c>
      <c r="V1601" s="1293">
        <v>7.1641253221797502E-3</v>
      </c>
    </row>
    <row r="1602" spans="1:22" s="212" customFormat="1" ht="15.5" x14ac:dyDescent="0.35">
      <c r="A1602" s="198">
        <v>2041</v>
      </c>
      <c r="B1602" s="197" t="s">
        <v>5833</v>
      </c>
      <c r="C1602" s="197">
        <v>2022</v>
      </c>
      <c r="D1602" s="225" t="str">
        <f t="shared" si="10"/>
        <v>2041_2022</v>
      </c>
      <c r="E1602" s="1226">
        <v>7.1257119663620305E-2</v>
      </c>
      <c r="F1602" s="1257">
        <v>1.7455561798943E-2</v>
      </c>
      <c r="G1602" s="1280">
        <v>6.3519070060296196E-2</v>
      </c>
      <c r="H1602" s="1271">
        <v>0.41599316838643602</v>
      </c>
      <c r="I1602" s="1257">
        <v>0.45598457345619597</v>
      </c>
      <c r="J1602" s="1280">
        <v>0.10373543943757101</v>
      </c>
      <c r="K1602" s="1271">
        <v>6.8542084319848503E-3</v>
      </c>
      <c r="L1602" s="1257">
        <v>1.68947664821712E-3</v>
      </c>
      <c r="M1602" s="1280">
        <v>3.9361216409082399E-4</v>
      </c>
      <c r="N1602" s="1271">
        <v>8.2496900255908095E-3</v>
      </c>
      <c r="O1602" s="1257">
        <v>3.0000008598028201E-3</v>
      </c>
      <c r="P1602" s="1257">
        <v>8.3943522209133595E-3</v>
      </c>
      <c r="Q1602" s="1280">
        <v>8.2496900255908095E-3</v>
      </c>
      <c r="R1602" s="1271">
        <v>3.8500011034136201E-2</v>
      </c>
      <c r="S1602" s="1257">
        <v>3.8500011034136201E-2</v>
      </c>
      <c r="T1602" s="1257">
        <v>3.8500011034136201E-2</v>
      </c>
      <c r="U1602" s="1280">
        <v>1.9250005517068101E-2</v>
      </c>
      <c r="V1602" s="1293">
        <v>7.1641253221797502E-3</v>
      </c>
    </row>
    <row r="1603" spans="1:22" s="212" customFormat="1" ht="15.5" x14ac:dyDescent="0.35">
      <c r="A1603" s="198">
        <v>2041</v>
      </c>
      <c r="B1603" s="197" t="s">
        <v>5833</v>
      </c>
      <c r="C1603" s="197">
        <v>2023</v>
      </c>
      <c r="D1603" s="225" t="str">
        <f t="shared" si="10"/>
        <v>2041_2023</v>
      </c>
      <c r="E1603" s="1226">
        <v>7.1257119663620305E-2</v>
      </c>
      <c r="F1603" s="1257">
        <v>1.7455561798943E-2</v>
      </c>
      <c r="G1603" s="1280">
        <v>6.3519070060296196E-2</v>
      </c>
      <c r="H1603" s="1271">
        <v>0.41599316838643602</v>
      </c>
      <c r="I1603" s="1257">
        <v>0.45598457345619597</v>
      </c>
      <c r="J1603" s="1280">
        <v>0.10373543943757101</v>
      </c>
      <c r="K1603" s="1271">
        <v>6.8542084319848503E-3</v>
      </c>
      <c r="L1603" s="1257">
        <v>1.68947664821712E-3</v>
      </c>
      <c r="M1603" s="1280">
        <v>3.9361216409082399E-4</v>
      </c>
      <c r="N1603" s="1271">
        <v>8.2496900255908095E-3</v>
      </c>
      <c r="O1603" s="1257">
        <v>3.0000008598028201E-3</v>
      </c>
      <c r="P1603" s="1257">
        <v>8.3943522209133595E-3</v>
      </c>
      <c r="Q1603" s="1280">
        <v>8.2496900255908095E-3</v>
      </c>
      <c r="R1603" s="1271">
        <v>3.8500011034136201E-2</v>
      </c>
      <c r="S1603" s="1257">
        <v>3.8500011034136201E-2</v>
      </c>
      <c r="T1603" s="1257">
        <v>3.8500011034136201E-2</v>
      </c>
      <c r="U1603" s="1280">
        <v>1.9250005517068101E-2</v>
      </c>
      <c r="V1603" s="1293">
        <v>7.1641253221797502E-3</v>
      </c>
    </row>
    <row r="1604" spans="1:22" s="212" customFormat="1" ht="15.5" x14ac:dyDescent="0.35">
      <c r="A1604" s="198">
        <v>2041</v>
      </c>
      <c r="B1604" s="197" t="s">
        <v>5833</v>
      </c>
      <c r="C1604" s="197">
        <v>2024</v>
      </c>
      <c r="D1604" s="225" t="str">
        <f t="shared" si="10"/>
        <v>2041_2024</v>
      </c>
      <c r="E1604" s="1226">
        <v>7.1257119663620305E-2</v>
      </c>
      <c r="F1604" s="1257">
        <v>1.7455561798943E-2</v>
      </c>
      <c r="G1604" s="1280">
        <v>6.3519070060296196E-2</v>
      </c>
      <c r="H1604" s="1271">
        <v>0.41599316838643602</v>
      </c>
      <c r="I1604" s="1257">
        <v>0.45598457345619597</v>
      </c>
      <c r="J1604" s="1280">
        <v>0.10373543943757101</v>
      </c>
      <c r="K1604" s="1271">
        <v>6.8542084319848503E-3</v>
      </c>
      <c r="L1604" s="1257">
        <v>1.68947664821712E-3</v>
      </c>
      <c r="M1604" s="1280">
        <v>3.9361216409082399E-4</v>
      </c>
      <c r="N1604" s="1271">
        <v>8.2496900255908095E-3</v>
      </c>
      <c r="O1604" s="1257">
        <v>3.0000008598028201E-3</v>
      </c>
      <c r="P1604" s="1257">
        <v>8.3943522209133595E-3</v>
      </c>
      <c r="Q1604" s="1280">
        <v>8.2496900255908095E-3</v>
      </c>
      <c r="R1604" s="1271">
        <v>3.8500011034136201E-2</v>
      </c>
      <c r="S1604" s="1257">
        <v>3.8500011034136201E-2</v>
      </c>
      <c r="T1604" s="1257">
        <v>3.8500011034136201E-2</v>
      </c>
      <c r="U1604" s="1280">
        <v>1.9250005517068101E-2</v>
      </c>
      <c r="V1604" s="1293">
        <v>7.1641253221797502E-3</v>
      </c>
    </row>
    <row r="1605" spans="1:22" s="212" customFormat="1" ht="15.5" x14ac:dyDescent="0.35">
      <c r="A1605" s="198">
        <v>2041</v>
      </c>
      <c r="B1605" s="197" t="s">
        <v>5833</v>
      </c>
      <c r="C1605" s="197">
        <v>2025</v>
      </c>
      <c r="D1605" s="225" t="str">
        <f t="shared" si="10"/>
        <v>2041_2025</v>
      </c>
      <c r="E1605" s="1226">
        <v>7.1257119663620305E-2</v>
      </c>
      <c r="F1605" s="1257">
        <v>1.7455561798943E-2</v>
      </c>
      <c r="G1605" s="1280">
        <v>6.3519070060296196E-2</v>
      </c>
      <c r="H1605" s="1271">
        <v>0.41599316838643602</v>
      </c>
      <c r="I1605" s="1257">
        <v>0.45598457345619597</v>
      </c>
      <c r="J1605" s="1280">
        <v>0.10373543943757101</v>
      </c>
      <c r="K1605" s="1271">
        <v>6.8542084319848503E-3</v>
      </c>
      <c r="L1605" s="1257">
        <v>1.68947664821712E-3</v>
      </c>
      <c r="M1605" s="1280">
        <v>3.9361216409082399E-4</v>
      </c>
      <c r="N1605" s="1271">
        <v>8.2496900255908095E-3</v>
      </c>
      <c r="O1605" s="1257">
        <v>3.0000008598028201E-3</v>
      </c>
      <c r="P1605" s="1257">
        <v>8.3943522209133595E-3</v>
      </c>
      <c r="Q1605" s="1280">
        <v>8.2496900255908095E-3</v>
      </c>
      <c r="R1605" s="1271">
        <v>3.8500011034136201E-2</v>
      </c>
      <c r="S1605" s="1257">
        <v>3.8500011034136201E-2</v>
      </c>
      <c r="T1605" s="1257">
        <v>3.8500011034136201E-2</v>
      </c>
      <c r="U1605" s="1280">
        <v>1.9250005517068101E-2</v>
      </c>
      <c r="V1605" s="1293">
        <v>7.1641253221797502E-3</v>
      </c>
    </row>
    <row r="1606" spans="1:22" s="212" customFormat="1" ht="15.5" x14ac:dyDescent="0.35">
      <c r="A1606" s="198">
        <v>2041</v>
      </c>
      <c r="B1606" s="197" t="s">
        <v>5833</v>
      </c>
      <c r="C1606" s="197">
        <v>2026</v>
      </c>
      <c r="D1606" s="225" t="str">
        <f t="shared" si="10"/>
        <v>2041_2026</v>
      </c>
      <c r="E1606" s="1226">
        <v>7.1257119663620305E-2</v>
      </c>
      <c r="F1606" s="1257">
        <v>1.7455561798943E-2</v>
      </c>
      <c r="G1606" s="1280">
        <v>6.3519070060296196E-2</v>
      </c>
      <c r="H1606" s="1271">
        <v>0.41599316838643602</v>
      </c>
      <c r="I1606" s="1257">
        <v>0.45598457345619597</v>
      </c>
      <c r="J1606" s="1280">
        <v>0.10373543943757101</v>
      </c>
      <c r="K1606" s="1271">
        <v>6.8542084319848503E-3</v>
      </c>
      <c r="L1606" s="1257">
        <v>1.68947664821712E-3</v>
      </c>
      <c r="M1606" s="1280">
        <v>3.9361216409082399E-4</v>
      </c>
      <c r="N1606" s="1271">
        <v>8.2496900255908095E-3</v>
      </c>
      <c r="O1606" s="1257">
        <v>3.0000008598028201E-3</v>
      </c>
      <c r="P1606" s="1257">
        <v>8.3943522209133595E-3</v>
      </c>
      <c r="Q1606" s="1280">
        <v>8.2496900255908095E-3</v>
      </c>
      <c r="R1606" s="1271">
        <v>3.8500011034136201E-2</v>
      </c>
      <c r="S1606" s="1257">
        <v>3.8500011034136201E-2</v>
      </c>
      <c r="T1606" s="1257">
        <v>3.8500011034136201E-2</v>
      </c>
      <c r="U1606" s="1280">
        <v>1.9250005517068101E-2</v>
      </c>
      <c r="V1606" s="1293">
        <v>7.1641253221797502E-3</v>
      </c>
    </row>
    <row r="1607" spans="1:22" s="212" customFormat="1" ht="15.5" x14ac:dyDescent="0.35">
      <c r="A1607" s="198">
        <v>2041</v>
      </c>
      <c r="B1607" s="197" t="s">
        <v>5833</v>
      </c>
      <c r="C1607" s="197">
        <v>2027</v>
      </c>
      <c r="D1607" s="225" t="str">
        <f t="shared" si="10"/>
        <v>2041_2027</v>
      </c>
      <c r="E1607" s="1231">
        <v>7.1257119663620305E-2</v>
      </c>
      <c r="F1607" s="1288">
        <v>1.7455561798943E-2</v>
      </c>
      <c r="G1607" s="1306">
        <v>6.3519070060296196E-2</v>
      </c>
      <c r="H1607" s="1303">
        <v>0.41599316838643602</v>
      </c>
      <c r="I1607" s="1288">
        <v>0.45598457345619597</v>
      </c>
      <c r="J1607" s="1306">
        <v>0.10373543943757101</v>
      </c>
      <c r="K1607" s="1303">
        <v>6.8542084319848503E-3</v>
      </c>
      <c r="L1607" s="1288">
        <v>1.68947664821712E-3</v>
      </c>
      <c r="M1607" s="1306">
        <v>3.9361216409082399E-4</v>
      </c>
      <c r="N1607" s="1303">
        <v>8.2496900255908095E-3</v>
      </c>
      <c r="O1607" s="1288">
        <v>3.0000008598028201E-3</v>
      </c>
      <c r="P1607" s="1288">
        <v>8.3943522209133595E-3</v>
      </c>
      <c r="Q1607" s="1306">
        <v>7.9141820106778307E-3</v>
      </c>
      <c r="R1607" s="1303">
        <v>3.8500011034136201E-2</v>
      </c>
      <c r="S1607" s="1288">
        <v>3.8500011034136201E-2</v>
      </c>
      <c r="T1607" s="1288">
        <v>3.8500011034136201E-2</v>
      </c>
      <c r="U1607" s="1306">
        <v>1.9250005517068101E-2</v>
      </c>
      <c r="V1607" s="1294">
        <v>7.1641253221797502E-3</v>
      </c>
    </row>
    <row r="1608" spans="1:22" s="212" customFormat="1" ht="15.5" x14ac:dyDescent="0.35">
      <c r="A1608" s="198">
        <v>2041</v>
      </c>
      <c r="B1608" s="197" t="s">
        <v>5833</v>
      </c>
      <c r="C1608" s="197">
        <v>2028</v>
      </c>
      <c r="D1608" s="225" t="str">
        <f t="shared" si="10"/>
        <v>2041_2028</v>
      </c>
      <c r="E1608" s="1231">
        <v>6.6098319048700602E-2</v>
      </c>
      <c r="F1608" s="1288">
        <v>1.6884596040176902E-2</v>
      </c>
      <c r="G1608" s="1306">
        <v>6.3632376012425301E-2</v>
      </c>
      <c r="H1608" s="1303">
        <v>0.36412935987496697</v>
      </c>
      <c r="I1608" s="1288">
        <v>0.42063867438994301</v>
      </c>
      <c r="J1608" s="1306">
        <v>0.10455632787044</v>
      </c>
      <c r="K1608" s="1303">
        <v>6.57936864275318E-3</v>
      </c>
      <c r="L1608" s="1288">
        <v>1.6377282565762899E-3</v>
      </c>
      <c r="M1608" s="1306">
        <v>3.9498496052037198E-4</v>
      </c>
      <c r="N1608" s="1303">
        <v>7.8611191127852496E-3</v>
      </c>
      <c r="O1608" s="1288">
        <v>3.0000008598028201E-3</v>
      </c>
      <c r="P1608" s="1288">
        <v>8.4162513366086208E-3</v>
      </c>
      <c r="Q1608" s="1306">
        <v>7.9427433315009295E-3</v>
      </c>
      <c r="R1608" s="1303">
        <v>3.8500011034136201E-2</v>
      </c>
      <c r="S1608" s="1288">
        <v>3.8500011034136201E-2</v>
      </c>
      <c r="T1608" s="1288">
        <v>3.8500011034136201E-2</v>
      </c>
      <c r="U1608" s="1306">
        <v>1.9250005517068101E-2</v>
      </c>
      <c r="V1608" s="1294">
        <v>6.8768584972625302E-3</v>
      </c>
    </row>
    <row r="1609" spans="1:22" s="212" customFormat="1" ht="15.5" x14ac:dyDescent="0.35">
      <c r="A1609" s="198">
        <v>2041</v>
      </c>
      <c r="B1609" s="197" t="s">
        <v>5833</v>
      </c>
      <c r="C1609" s="197">
        <v>2029</v>
      </c>
      <c r="D1609" s="225" t="str">
        <f t="shared" si="10"/>
        <v>2041_2029</v>
      </c>
      <c r="E1609" s="1231">
        <v>6.2964751342046807E-2</v>
      </c>
      <c r="F1609" s="1288">
        <v>1.39776570608351E-2</v>
      </c>
      <c r="G1609" s="1306">
        <v>6.5236575471682504E-2</v>
      </c>
      <c r="H1609" s="1303">
        <v>0.34158364437193001</v>
      </c>
      <c r="I1609" s="1288">
        <v>0.38283399008904401</v>
      </c>
      <c r="J1609" s="1306">
        <v>0.114339249554226</v>
      </c>
      <c r="K1609" s="1303">
        <v>6.1783183626787398E-3</v>
      </c>
      <c r="L1609" s="1288">
        <v>1.36221468708339E-3</v>
      </c>
      <c r="M1609" s="1306">
        <v>4.1729071377394502E-4</v>
      </c>
      <c r="N1609" s="1303">
        <v>7.4375925411813799E-3</v>
      </c>
      <c r="O1609" s="1288">
        <v>3.0000008598028201E-3</v>
      </c>
      <c r="P1609" s="1288">
        <v>8.6984472514647793E-3</v>
      </c>
      <c r="Q1609" s="1306">
        <v>8.3085958763830601E-3</v>
      </c>
      <c r="R1609" s="1303">
        <v>3.8500011034136201E-2</v>
      </c>
      <c r="S1609" s="1288">
        <v>3.8500011034136201E-2</v>
      </c>
      <c r="T1609" s="1288">
        <v>3.8500011034136201E-2</v>
      </c>
      <c r="U1609" s="1306">
        <v>1.9250005517068101E-2</v>
      </c>
      <c r="V1609" s="1294">
        <v>6.4576745031573804E-3</v>
      </c>
    </row>
    <row r="1610" spans="1:22" s="212" customFormat="1" ht="15.5" x14ac:dyDescent="0.35">
      <c r="A1610" s="198">
        <v>2041</v>
      </c>
      <c r="B1610" s="197" t="s">
        <v>5833</v>
      </c>
      <c r="C1610" s="197">
        <v>2030</v>
      </c>
      <c r="D1610" s="225" t="str">
        <f t="shared" si="10"/>
        <v>2041_2030</v>
      </c>
      <c r="E1610" s="1226">
        <v>8.6377439242621395E-2</v>
      </c>
      <c r="F1610" s="1227">
        <v>8.1288674706645695E-3</v>
      </c>
      <c r="G1610" s="1230">
        <v>8.1162463824606249E-2</v>
      </c>
      <c r="H1610" s="1289">
        <v>0.2967328603048705</v>
      </c>
      <c r="I1610" s="1227">
        <v>0.1996035084210861</v>
      </c>
      <c r="J1610" s="1230">
        <v>0.173259383359954</v>
      </c>
      <c r="K1610" s="1289">
        <v>1.473319345706497E-2</v>
      </c>
      <c r="L1610" s="1227">
        <v>1.24323566036456E-3</v>
      </c>
      <c r="M1610" s="1230">
        <v>1.0760389960971771E-2</v>
      </c>
      <c r="N1610" s="1289">
        <v>5.2187967004920996E-3</v>
      </c>
      <c r="O1610" s="1227">
        <v>2.5000007165023501E-3</v>
      </c>
      <c r="P1610" s="1227">
        <v>5.8492240556337997E-3</v>
      </c>
      <c r="Q1610" s="1306">
        <v>7.8222780240651494E-3</v>
      </c>
      <c r="R1610" s="1289">
        <v>3.5175010081188049E-2</v>
      </c>
      <c r="S1610" s="1227">
        <v>3.5175010081188049E-2</v>
      </c>
      <c r="T1610" s="1227">
        <v>3.5175010081188049E-2</v>
      </c>
      <c r="U1610" s="1306">
        <v>1.9250005517068101E-2</v>
      </c>
      <c r="V1610" s="1237">
        <v>1.5399363087615791E-2</v>
      </c>
    </row>
    <row r="1611" spans="1:22" s="212" customFormat="1" ht="15.5" x14ac:dyDescent="0.35">
      <c r="A1611" s="198">
        <v>2041</v>
      </c>
      <c r="B1611" s="197" t="s">
        <v>5833</v>
      </c>
      <c r="C1611" s="197">
        <v>2031</v>
      </c>
      <c r="D1611" s="225" t="str">
        <f t="shared" si="10"/>
        <v>2041_2031</v>
      </c>
      <c r="E1611" s="1231">
        <v>0.109790127143196</v>
      </c>
      <c r="F1611" s="1288">
        <v>2.2800778804940398E-3</v>
      </c>
      <c r="G1611" s="1306">
        <v>9.7088352177529993E-2</v>
      </c>
      <c r="H1611" s="1303">
        <v>0.251882076237811</v>
      </c>
      <c r="I1611" s="1288">
        <v>1.6373026753128201E-2</v>
      </c>
      <c r="J1611" s="1306">
        <v>0.232179517165682</v>
      </c>
      <c r="K1611" s="1303">
        <v>2.3288068551451199E-2</v>
      </c>
      <c r="L1611" s="1288">
        <v>1.12425663364573E-3</v>
      </c>
      <c r="M1611" s="1306">
        <v>2.1103489208169599E-2</v>
      </c>
      <c r="N1611" s="1303">
        <v>3.0000008598028201E-3</v>
      </c>
      <c r="O1611" s="1288">
        <v>2.0000005732018801E-3</v>
      </c>
      <c r="P1611" s="1288">
        <v>3.0000008598028201E-3</v>
      </c>
      <c r="Q1611" s="1306">
        <v>8.1120328320053899E-3</v>
      </c>
      <c r="R1611" s="1303">
        <v>3.1850009128239903E-2</v>
      </c>
      <c r="S1611" s="1288">
        <v>3.1850009128239903E-2</v>
      </c>
      <c r="T1611" s="1288">
        <v>3.1850009128239903E-2</v>
      </c>
      <c r="U1611" s="1306">
        <v>1.9250005517068E-2</v>
      </c>
      <c r="V1611" s="1294">
        <v>2.4341051672074201E-2</v>
      </c>
    </row>
    <row r="1612" spans="1:22" s="212" customFormat="1" ht="15.5" x14ac:dyDescent="0.35">
      <c r="A1612" s="198">
        <v>2041</v>
      </c>
      <c r="B1612" s="197" t="s">
        <v>5833</v>
      </c>
      <c r="C1612" s="197">
        <v>2032</v>
      </c>
      <c r="D1612" s="225" t="str">
        <f t="shared" si="10"/>
        <v>2041_2032</v>
      </c>
      <c r="E1612" s="1231">
        <v>0.10638144770708401</v>
      </c>
      <c r="F1612" s="1288">
        <v>2.7158626460526002E-3</v>
      </c>
      <c r="G1612" s="1306">
        <v>8.2407009155576305E-2</v>
      </c>
      <c r="H1612" s="1303">
        <v>0.24111532002848299</v>
      </c>
      <c r="I1612" s="1288">
        <v>1.55881569967648E-2</v>
      </c>
      <c r="J1612" s="1306">
        <v>0.19697652696829801</v>
      </c>
      <c r="K1612" s="1303">
        <v>2.17014091630446E-2</v>
      </c>
      <c r="L1612" s="1288">
        <v>1.1583403148633601E-3</v>
      </c>
      <c r="M1612" s="1306">
        <v>1.7469254228668199E-2</v>
      </c>
      <c r="N1612" s="1303">
        <v>3.0000008598028201E-3</v>
      </c>
      <c r="O1612" s="1288">
        <v>2.0000005732018801E-3</v>
      </c>
      <c r="P1612" s="1288">
        <v>3.0000008598028201E-3</v>
      </c>
      <c r="Q1612" s="1306">
        <v>7.7480283451327701E-3</v>
      </c>
      <c r="R1612" s="1303">
        <v>3.1850009128239903E-2</v>
      </c>
      <c r="S1612" s="1288">
        <v>3.1850009128239903E-2</v>
      </c>
      <c r="T1612" s="1288">
        <v>3.1850009128239903E-2</v>
      </c>
      <c r="U1612" s="1306">
        <v>1.9250005517068E-2</v>
      </c>
      <c r="V1612" s="1294">
        <v>2.2682650586820501E-2</v>
      </c>
    </row>
    <row r="1613" spans="1:22" s="212" customFormat="1" ht="15.5" x14ac:dyDescent="0.35">
      <c r="A1613" s="198">
        <v>2041</v>
      </c>
      <c r="B1613" s="197" t="s">
        <v>5833</v>
      </c>
      <c r="C1613" s="197">
        <v>2033</v>
      </c>
      <c r="D1613" s="225" t="str">
        <f t="shared" si="10"/>
        <v>2041_2033</v>
      </c>
      <c r="E1613" s="1231">
        <v>0.10469652052810099</v>
      </c>
      <c r="F1613" s="1288">
        <v>2.2686459317028799E-3</v>
      </c>
      <c r="G1613" s="1306">
        <v>7.8079805612273401E-2</v>
      </c>
      <c r="H1613" s="1303">
        <v>0.233237075790791</v>
      </c>
      <c r="I1613" s="1288">
        <v>1.5794870538953201E-2</v>
      </c>
      <c r="J1613" s="1306">
        <v>0.18444227729412699</v>
      </c>
      <c r="K1613" s="1303">
        <v>2.04279010407931E-2</v>
      </c>
      <c r="L1613" s="1288">
        <v>1.1068391324295199E-3</v>
      </c>
      <c r="M1613" s="1306">
        <v>1.5907210391092601E-2</v>
      </c>
      <c r="N1613" s="1303">
        <v>3.0000008598028201E-3</v>
      </c>
      <c r="O1613" s="1288">
        <v>2.0000005732018801E-3</v>
      </c>
      <c r="P1613" s="1288">
        <v>3.0000008598028201E-3</v>
      </c>
      <c r="Q1613" s="1306">
        <v>7.0779306122425202E-3</v>
      </c>
      <c r="R1613" s="1303">
        <v>3.1850009128239903E-2</v>
      </c>
      <c r="S1613" s="1288">
        <v>3.1850009128239903E-2</v>
      </c>
      <c r="T1613" s="1288">
        <v>3.1850009128239903E-2</v>
      </c>
      <c r="U1613" s="1306">
        <v>1.9250005517068101E-2</v>
      </c>
      <c r="V1613" s="1294">
        <v>2.1351560078389401E-2</v>
      </c>
    </row>
    <row r="1614" spans="1:22" s="212" customFormat="1" ht="15.5" x14ac:dyDescent="0.35">
      <c r="A1614" s="198">
        <v>2041</v>
      </c>
      <c r="B1614" s="197" t="s">
        <v>5833</v>
      </c>
      <c r="C1614" s="197">
        <v>2034</v>
      </c>
      <c r="D1614" s="225" t="str">
        <f t="shared" si="10"/>
        <v>2041_2034</v>
      </c>
      <c r="E1614" s="1231">
        <v>0.102559894627586</v>
      </c>
      <c r="F1614" s="1288">
        <v>2.8760197185414499E-3</v>
      </c>
      <c r="G1614" s="1306">
        <v>6.8711449864928498E-2</v>
      </c>
      <c r="H1614" s="1303">
        <v>0.22433593182483999</v>
      </c>
      <c r="I1614" s="1288">
        <v>1.5143144769067999E-2</v>
      </c>
      <c r="J1614" s="1306">
        <v>0.17836062767932601</v>
      </c>
      <c r="K1614" s="1303">
        <v>1.9014807229875599E-2</v>
      </c>
      <c r="L1614" s="1288">
        <v>1.1784989541933099E-3</v>
      </c>
      <c r="M1614" s="1306">
        <v>1.41158129777431E-2</v>
      </c>
      <c r="N1614" s="1303">
        <v>3.0000008598028201E-3</v>
      </c>
      <c r="O1614" s="1288">
        <v>2.0000005732018801E-3</v>
      </c>
      <c r="P1614" s="1288">
        <v>3.0000008598028201E-3</v>
      </c>
      <c r="Q1614" s="1306">
        <v>5.7121094500660798E-3</v>
      </c>
      <c r="R1614" s="1303">
        <v>3.1850009128239903E-2</v>
      </c>
      <c r="S1614" s="1288">
        <v>3.1850009128239903E-2</v>
      </c>
      <c r="T1614" s="1288">
        <v>3.1850009128239903E-2</v>
      </c>
      <c r="U1614" s="1306">
        <v>1.9250005517068101E-2</v>
      </c>
      <c r="V1614" s="1294">
        <v>1.98745724358531E-2</v>
      </c>
    </row>
    <row r="1615" spans="1:22" s="212" customFormat="1" ht="15.5" x14ac:dyDescent="0.35">
      <c r="A1615" s="198">
        <v>2041</v>
      </c>
      <c r="B1615" s="197" t="s">
        <v>5833</v>
      </c>
      <c r="C1615" s="197">
        <v>2035</v>
      </c>
      <c r="D1615" s="225" t="str">
        <f t="shared" si="10"/>
        <v>2041_2035</v>
      </c>
      <c r="E1615" s="1231">
        <v>0.100075731865577</v>
      </c>
      <c r="F1615" s="1288">
        <v>1.7071935006543299E-3</v>
      </c>
      <c r="G1615" s="1306">
        <v>6.6973050727595101E-2</v>
      </c>
      <c r="H1615" s="1303">
        <v>0.214487261610249</v>
      </c>
      <c r="I1615" s="1288">
        <v>1.56607732234295E-2</v>
      </c>
      <c r="J1615" s="1306">
        <v>0.17385237825847999</v>
      </c>
      <c r="K1615" s="1303">
        <v>1.7471218349615202E-2</v>
      </c>
      <c r="L1615" s="1288">
        <v>1.0477085044710199E-3</v>
      </c>
      <c r="M1615" s="1306">
        <v>1.30919440179708E-2</v>
      </c>
      <c r="N1615" s="1303">
        <v>3.0000008598028201E-3</v>
      </c>
      <c r="O1615" s="1288">
        <v>2.0000005732018801E-3</v>
      </c>
      <c r="P1615" s="1288">
        <v>3.0000008598028201E-3</v>
      </c>
      <c r="Q1615" s="1306">
        <v>8.08268618211762E-3</v>
      </c>
      <c r="R1615" s="1303">
        <v>3.1850009128239903E-2</v>
      </c>
      <c r="S1615" s="1288">
        <v>3.1850009128239903E-2</v>
      </c>
      <c r="T1615" s="1288">
        <v>3.1850009128239903E-2</v>
      </c>
      <c r="U1615" s="1306">
        <v>1.9250005517068101E-2</v>
      </c>
      <c r="V1615" s="1294">
        <v>1.82611893160016E-2</v>
      </c>
    </row>
    <row r="1616" spans="1:22" s="212" customFormat="1" ht="15.5" x14ac:dyDescent="0.35">
      <c r="A1616" s="198">
        <v>2041</v>
      </c>
      <c r="B1616" s="197" t="s">
        <v>5833</v>
      </c>
      <c r="C1616" s="197">
        <v>2036</v>
      </c>
      <c r="D1616" s="225" t="str">
        <f t="shared" si="10"/>
        <v>2041_2036</v>
      </c>
      <c r="E1616" s="1231">
        <v>9.8049725713844002E-2</v>
      </c>
      <c r="F1616" s="1288">
        <v>2.6811613217831401E-3</v>
      </c>
      <c r="G1616" s="1306">
        <v>6.9942858399099903E-2</v>
      </c>
      <c r="H1616" s="1303">
        <v>0.205400757450861</v>
      </c>
      <c r="I1616" s="1288">
        <v>1.4805073098749301E-2</v>
      </c>
      <c r="J1616" s="1306">
        <v>0.16143936054595301</v>
      </c>
      <c r="K1616" s="1303">
        <v>1.5952482118659302E-2</v>
      </c>
      <c r="L1616" s="1288">
        <v>1.1505332344571E-3</v>
      </c>
      <c r="M1616" s="1306">
        <v>1.21374085902886E-2</v>
      </c>
      <c r="N1616" s="1303">
        <v>3.0000008598028201E-3</v>
      </c>
      <c r="O1616" s="1288">
        <v>2.0000005732018801E-3</v>
      </c>
      <c r="P1616" s="1288">
        <v>3.0000008598028201E-3</v>
      </c>
      <c r="Q1616" s="1306">
        <v>7.3795799121639197E-3</v>
      </c>
      <c r="R1616" s="1303">
        <v>3.1850009128239903E-2</v>
      </c>
      <c r="S1616" s="1288">
        <v>3.1850009128239903E-2</v>
      </c>
      <c r="T1616" s="1288">
        <v>3.1850009128239903E-2</v>
      </c>
      <c r="U1616" s="1306">
        <v>1.9250005517068101E-2</v>
      </c>
      <c r="V1616" s="1294">
        <v>1.6673782571974001E-2</v>
      </c>
    </row>
    <row r="1617" spans="1:22" s="212" customFormat="1" ht="15.5" x14ac:dyDescent="0.35">
      <c r="A1617" s="198">
        <v>2041</v>
      </c>
      <c r="B1617" s="197" t="s">
        <v>5833</v>
      </c>
      <c r="C1617" s="197">
        <v>2037</v>
      </c>
      <c r="D1617" s="225" t="str">
        <f t="shared" si="10"/>
        <v>2041_2037</v>
      </c>
      <c r="E1617" s="1231">
        <v>9.4438912186655302E-2</v>
      </c>
      <c r="F1617" s="1288">
        <v>2.2827745950480698E-3</v>
      </c>
      <c r="G1617" s="1306">
        <v>5.1516996376881202E-2</v>
      </c>
      <c r="H1617" s="1303">
        <v>0.19210046213803</v>
      </c>
      <c r="I1617" s="1288">
        <v>1.60381461410684E-2</v>
      </c>
      <c r="J1617" s="1306">
        <v>0.13172206093806199</v>
      </c>
      <c r="K1617" s="1303">
        <v>1.4131626555104099E-2</v>
      </c>
      <c r="L1617" s="1288">
        <v>1.1100550519912199E-3</v>
      </c>
      <c r="M1617" s="1306">
        <v>8.9206213083512093E-3</v>
      </c>
      <c r="N1617" s="1303">
        <v>3.0000008598028201E-3</v>
      </c>
      <c r="O1617" s="1288">
        <v>2.0000005732018801E-3</v>
      </c>
      <c r="P1617" s="1288">
        <v>3.0000008598028201E-3</v>
      </c>
      <c r="Q1617" s="1306">
        <v>7.5861856395711197E-3</v>
      </c>
      <c r="R1617" s="1303">
        <v>3.1850009128239903E-2</v>
      </c>
      <c r="S1617" s="1288">
        <v>3.1850009128239903E-2</v>
      </c>
      <c r="T1617" s="1288">
        <v>3.1850009128239903E-2</v>
      </c>
      <c r="U1617" s="1306">
        <v>1.9250005517068101E-2</v>
      </c>
      <c r="V1617" s="1294">
        <v>1.47705959997618E-2</v>
      </c>
    </row>
    <row r="1618" spans="1:22" s="212" customFormat="1" ht="15.5" x14ac:dyDescent="0.35">
      <c r="A1618" s="198">
        <v>2041</v>
      </c>
      <c r="B1618" s="197" t="s">
        <v>5833</v>
      </c>
      <c r="C1618" s="197">
        <v>2038</v>
      </c>
      <c r="D1618" s="225" t="str">
        <f t="shared" si="10"/>
        <v>2041_2038</v>
      </c>
      <c r="E1618" s="1231">
        <v>9.2582245002190394E-2</v>
      </c>
      <c r="F1618" s="1288">
        <v>1.55952717966839E-3</v>
      </c>
      <c r="G1618" s="1306">
        <v>6.8915152484643499E-2</v>
      </c>
      <c r="H1618" s="1303">
        <v>0.18285951425189101</v>
      </c>
      <c r="I1618" s="1288">
        <v>1.77865699024479E-2</v>
      </c>
      <c r="J1618" s="1306">
        <v>0.14808719431057199</v>
      </c>
      <c r="K1618" s="1303">
        <v>1.25117811799067E-2</v>
      </c>
      <c r="L1618" s="1288">
        <v>1.0119005220444999E-3</v>
      </c>
      <c r="M1618" s="1306">
        <v>9.8436905731100893E-3</v>
      </c>
      <c r="N1618" s="1303">
        <v>3.0000008598028201E-3</v>
      </c>
      <c r="O1618" s="1288">
        <v>2.0000005732018801E-3</v>
      </c>
      <c r="P1618" s="1288">
        <v>3.0000008598028201E-3</v>
      </c>
      <c r="Q1618" s="1306">
        <v>7.8507146591203902E-3</v>
      </c>
      <c r="R1618" s="1303">
        <v>3.1850009128239903E-2</v>
      </c>
      <c r="S1618" s="1288">
        <v>3.1850009128239903E-2</v>
      </c>
      <c r="T1618" s="1288">
        <v>3.1850009128239903E-2</v>
      </c>
      <c r="U1618" s="1306">
        <v>1.9250005517068101E-2</v>
      </c>
      <c r="V1618" s="1294">
        <v>1.30775084046553E-2</v>
      </c>
    </row>
    <row r="1619" spans="1:22" s="212" customFormat="1" ht="15.5" x14ac:dyDescent="0.35">
      <c r="A1619" s="198">
        <v>2041</v>
      </c>
      <c r="B1619" s="197" t="s">
        <v>5833</v>
      </c>
      <c r="C1619" s="197">
        <v>2039</v>
      </c>
      <c r="D1619" s="225" t="str">
        <f t="shared" si="10"/>
        <v>2041_2039</v>
      </c>
      <c r="E1619" s="1231">
        <v>9.1114946727968896E-2</v>
      </c>
      <c r="F1619" s="1288">
        <v>3.24602382499073E-3</v>
      </c>
      <c r="G1619" s="1306">
        <v>4.2886190905749903E-2</v>
      </c>
      <c r="H1619" s="1303">
        <v>0.17430390883733199</v>
      </c>
      <c r="I1619" s="1288">
        <v>1.9060811062191301E-2</v>
      </c>
      <c r="J1619" s="1306">
        <v>0.109609571550253</v>
      </c>
      <c r="K1619" s="1303">
        <v>1.08536270613267E-2</v>
      </c>
      <c r="L1619" s="1288">
        <v>1.14152224330179E-3</v>
      </c>
      <c r="M1619" s="1306">
        <v>6.1726126292174404E-3</v>
      </c>
      <c r="N1619" s="1303">
        <v>3.0000008598028201E-3</v>
      </c>
      <c r="O1619" s="1288">
        <v>2.0000005732018801E-3</v>
      </c>
      <c r="P1619" s="1288">
        <v>3.0000008598028201E-3</v>
      </c>
      <c r="Q1619" s="1306">
        <v>7.5933065431310698E-3</v>
      </c>
      <c r="R1619" s="1303">
        <v>3.1850009128239903E-2</v>
      </c>
      <c r="S1619" s="1288">
        <v>3.1850009128239903E-2</v>
      </c>
      <c r="T1619" s="1288">
        <v>3.1850009128239903E-2</v>
      </c>
      <c r="U1619" s="1306">
        <v>1.9250005517068101E-2</v>
      </c>
      <c r="V1619" s="1294">
        <v>1.13443799147832E-2</v>
      </c>
    </row>
    <row r="1620" spans="1:22" s="212" customFormat="1" ht="15.5" x14ac:dyDescent="0.35">
      <c r="A1620" s="198">
        <v>2041</v>
      </c>
      <c r="B1620" s="197" t="s">
        <v>5833</v>
      </c>
      <c r="C1620" s="197">
        <v>2040</v>
      </c>
      <c r="D1620" s="225" t="str">
        <f t="shared" si="10"/>
        <v>2041_2040</v>
      </c>
      <c r="E1620" s="1231">
        <v>8.8388781081673196E-2</v>
      </c>
      <c r="F1620" s="1288">
        <v>2.7460577279604498E-3</v>
      </c>
      <c r="G1620" s="1306">
        <v>5.0501450473347899E-2</v>
      </c>
      <c r="H1620" s="1303">
        <v>0.16228762357826099</v>
      </c>
      <c r="I1620" s="1288">
        <v>2.2262443465070201E-2</v>
      </c>
      <c r="J1620" s="1306">
        <v>0.108886994060822</v>
      </c>
      <c r="K1620" s="1303">
        <v>8.9613802841087692E-3</v>
      </c>
      <c r="L1620" s="1288">
        <v>1.0896549036963699E-3</v>
      </c>
      <c r="M1620" s="1306">
        <v>5.7176526997466098E-3</v>
      </c>
      <c r="N1620" s="1303">
        <v>3.0000008598028201E-3</v>
      </c>
      <c r="O1620" s="1288">
        <v>2.0000005732018801E-3</v>
      </c>
      <c r="P1620" s="1288">
        <v>3.0000008598028201E-3</v>
      </c>
      <c r="Q1620" s="1306">
        <v>7.6833188573584002E-3</v>
      </c>
      <c r="R1620" s="1303">
        <v>3.1850009128239903E-2</v>
      </c>
      <c r="S1620" s="1288">
        <v>3.1850009128239903E-2</v>
      </c>
      <c r="T1620" s="1288">
        <v>3.1850009128239903E-2</v>
      </c>
      <c r="U1620" s="1306">
        <v>1.9250005517068101E-2</v>
      </c>
      <c r="V1620" s="1294">
        <v>9.3665741350201105E-3</v>
      </c>
    </row>
    <row r="1621" spans="1:22" s="212" customFormat="1" ht="15.5" x14ac:dyDescent="0.35">
      <c r="A1621" s="198">
        <v>2041</v>
      </c>
      <c r="B1621" s="197" t="s">
        <v>5833</v>
      </c>
      <c r="C1621" s="197">
        <v>2041</v>
      </c>
      <c r="D1621" s="225" t="str">
        <f t="shared" si="10"/>
        <v>2041_2041</v>
      </c>
      <c r="E1621" s="1231">
        <v>8.5274583434594403E-2</v>
      </c>
      <c r="F1621" s="1288">
        <v>3.15281975512812E-3</v>
      </c>
      <c r="G1621" s="1306">
        <v>5.0900786985587802E-2</v>
      </c>
      <c r="H1621" s="1303">
        <v>0.149191229803918</v>
      </c>
      <c r="I1621" s="1288">
        <v>2.0379291893464501E-2</v>
      </c>
      <c r="J1621" s="1306">
        <v>0.106690056993821</v>
      </c>
      <c r="K1621" s="1303">
        <v>6.9673868341161996E-3</v>
      </c>
      <c r="L1621" s="1288">
        <v>1.1160988011777E-3</v>
      </c>
      <c r="M1621" s="1306">
        <v>4.6677234093259901E-3</v>
      </c>
      <c r="N1621" s="1303">
        <v>3.0000008598028201E-3</v>
      </c>
      <c r="O1621" s="1288">
        <v>2.0000005732018801E-3</v>
      </c>
      <c r="P1621" s="1288">
        <v>3.0000008598028201E-3</v>
      </c>
      <c r="Q1621" s="1306">
        <v>8.1261048842491499E-3</v>
      </c>
      <c r="R1621" s="1303">
        <v>3.1850009128239903E-2</v>
      </c>
      <c r="S1621" s="1288">
        <v>3.1850009128239903E-2</v>
      </c>
      <c r="T1621" s="1288">
        <v>3.1850009128239903E-2</v>
      </c>
      <c r="U1621" s="1306">
        <v>1.9250005517068101E-2</v>
      </c>
      <c r="V1621" s="1294">
        <v>7.2824211494337604E-3</v>
      </c>
    </row>
    <row r="1622" spans="1:22" s="212" customFormat="1" ht="15.5" x14ac:dyDescent="0.35">
      <c r="A1622" s="198">
        <v>2041</v>
      </c>
      <c r="B1622" s="197" t="s">
        <v>5833</v>
      </c>
      <c r="C1622" s="197">
        <v>2042</v>
      </c>
      <c r="D1622" s="225" t="str">
        <f t="shared" si="10"/>
        <v>2041_2042</v>
      </c>
      <c r="E1622" s="1226">
        <v>8.5274583434594403E-2</v>
      </c>
      <c r="F1622" s="1257">
        <v>3.15281975512812E-3</v>
      </c>
      <c r="G1622" s="1280">
        <v>5.0900786985587802E-2</v>
      </c>
      <c r="H1622" s="1271">
        <v>0.149191229803918</v>
      </c>
      <c r="I1622" s="1257">
        <v>2.0379291893464501E-2</v>
      </c>
      <c r="J1622" s="1280">
        <v>0.106690056993821</v>
      </c>
      <c r="K1622" s="1271">
        <v>6.9673868341161996E-3</v>
      </c>
      <c r="L1622" s="1257">
        <v>1.1160988011777E-3</v>
      </c>
      <c r="M1622" s="1280">
        <v>4.6677234093259901E-3</v>
      </c>
      <c r="N1622" s="1271">
        <v>3.0000008598028201E-3</v>
      </c>
      <c r="O1622" s="1257">
        <v>2.0000005732018801E-3</v>
      </c>
      <c r="P1622" s="1257">
        <v>3.0000008598028201E-3</v>
      </c>
      <c r="Q1622" s="1280">
        <v>8.1261048842491499E-3</v>
      </c>
      <c r="R1622" s="1271">
        <v>3.1850009128239903E-2</v>
      </c>
      <c r="S1622" s="1257">
        <v>3.1850009128239903E-2</v>
      </c>
      <c r="T1622" s="1257">
        <v>3.1850009128239903E-2</v>
      </c>
      <c r="U1622" s="1280">
        <v>1.9250005517068101E-2</v>
      </c>
      <c r="V1622" s="1293">
        <v>7.2824211494337604E-3</v>
      </c>
    </row>
    <row r="1623" spans="1:22" s="212" customFormat="1" ht="15.5" x14ac:dyDescent="0.35">
      <c r="A1623" s="198">
        <v>2042</v>
      </c>
      <c r="B1623" s="197" t="s">
        <v>5833</v>
      </c>
      <c r="C1623" s="197">
        <v>1971</v>
      </c>
      <c r="D1623" s="225" t="str">
        <f t="shared" si="10"/>
        <v>2042_1971</v>
      </c>
      <c r="E1623" s="1226">
        <v>6.6098319048700602E-2</v>
      </c>
      <c r="F1623" s="1257">
        <v>1.6884596040176902E-2</v>
      </c>
      <c r="G1623" s="1280">
        <v>6.3632376012425301E-2</v>
      </c>
      <c r="H1623" s="1271">
        <v>0.36412935987496697</v>
      </c>
      <c r="I1623" s="1257">
        <v>0.45329260009510802</v>
      </c>
      <c r="J1623" s="1280">
        <v>0.10455632787044</v>
      </c>
      <c r="K1623" s="1271">
        <v>6.57936864275318E-3</v>
      </c>
      <c r="L1623" s="1257">
        <v>1.6377282565762899E-3</v>
      </c>
      <c r="M1623" s="1280">
        <v>3.9498496052037198E-4</v>
      </c>
      <c r="N1623" s="1271">
        <v>7.8611191127852496E-3</v>
      </c>
      <c r="O1623" s="1257">
        <v>3.0000008598028201E-3</v>
      </c>
      <c r="P1623" s="1257">
        <v>8.4162513366086208E-3</v>
      </c>
      <c r="Q1623" s="1280">
        <v>7.8611191127852496E-3</v>
      </c>
      <c r="R1623" s="1271">
        <v>3.8500011034136201E-2</v>
      </c>
      <c r="S1623" s="1257">
        <v>3.8500011034136201E-2</v>
      </c>
      <c r="T1623" s="1257">
        <v>3.8500011034136201E-2</v>
      </c>
      <c r="U1623" s="1280">
        <v>1.9250005517068101E-2</v>
      </c>
      <c r="V1623" s="1293">
        <v>6.8768584972625302E-3</v>
      </c>
    </row>
    <row r="1624" spans="1:22" s="212" customFormat="1" ht="15.5" x14ac:dyDescent="0.35">
      <c r="A1624" s="198">
        <v>2042</v>
      </c>
      <c r="B1624" s="197" t="s">
        <v>5833</v>
      </c>
      <c r="C1624" s="197">
        <v>1972</v>
      </c>
      <c r="D1624" s="225" t="str">
        <f t="shared" si="10"/>
        <v>2042_1972</v>
      </c>
      <c r="E1624" s="1226">
        <v>6.6098319048700602E-2</v>
      </c>
      <c r="F1624" s="1257">
        <v>1.6884596040176902E-2</v>
      </c>
      <c r="G1624" s="1280">
        <v>6.3632376012425301E-2</v>
      </c>
      <c r="H1624" s="1271">
        <v>0.36412935987496697</v>
      </c>
      <c r="I1624" s="1257">
        <v>0.45329260009510802</v>
      </c>
      <c r="J1624" s="1280">
        <v>0.10455632787044</v>
      </c>
      <c r="K1624" s="1271">
        <v>6.57936864275318E-3</v>
      </c>
      <c r="L1624" s="1257">
        <v>1.6377282565762899E-3</v>
      </c>
      <c r="M1624" s="1280">
        <v>3.9498496052037198E-4</v>
      </c>
      <c r="N1624" s="1271">
        <v>7.8611191127852496E-3</v>
      </c>
      <c r="O1624" s="1257">
        <v>3.0000008598028201E-3</v>
      </c>
      <c r="P1624" s="1257">
        <v>8.4162513366086208E-3</v>
      </c>
      <c r="Q1624" s="1280">
        <v>7.8611191127852496E-3</v>
      </c>
      <c r="R1624" s="1271">
        <v>3.8500011034136201E-2</v>
      </c>
      <c r="S1624" s="1257">
        <v>3.8500011034136201E-2</v>
      </c>
      <c r="T1624" s="1257">
        <v>3.8500011034136201E-2</v>
      </c>
      <c r="U1624" s="1280">
        <v>1.9250005517068101E-2</v>
      </c>
      <c r="V1624" s="1293">
        <v>6.8768584972625302E-3</v>
      </c>
    </row>
    <row r="1625" spans="1:22" s="212" customFormat="1" ht="15.5" x14ac:dyDescent="0.35">
      <c r="A1625" s="198">
        <v>2042</v>
      </c>
      <c r="B1625" s="197" t="s">
        <v>5833</v>
      </c>
      <c r="C1625" s="197">
        <v>1973</v>
      </c>
      <c r="D1625" s="225" t="str">
        <f t="shared" si="10"/>
        <v>2042_1973</v>
      </c>
      <c r="E1625" s="1226">
        <v>6.6098319048700602E-2</v>
      </c>
      <c r="F1625" s="1257">
        <v>1.6884596040176902E-2</v>
      </c>
      <c r="G1625" s="1280">
        <v>6.3632376012425301E-2</v>
      </c>
      <c r="H1625" s="1271">
        <v>0.36412935987496697</v>
      </c>
      <c r="I1625" s="1257">
        <v>0.45329260009510802</v>
      </c>
      <c r="J1625" s="1280">
        <v>0.10455632787044</v>
      </c>
      <c r="K1625" s="1271">
        <v>6.57936864275318E-3</v>
      </c>
      <c r="L1625" s="1257">
        <v>1.6377282565762899E-3</v>
      </c>
      <c r="M1625" s="1280">
        <v>3.9498496052037198E-4</v>
      </c>
      <c r="N1625" s="1271">
        <v>7.8611191127852496E-3</v>
      </c>
      <c r="O1625" s="1257">
        <v>3.0000008598028201E-3</v>
      </c>
      <c r="P1625" s="1257">
        <v>8.4162513366086208E-3</v>
      </c>
      <c r="Q1625" s="1280">
        <v>7.8611191127852496E-3</v>
      </c>
      <c r="R1625" s="1271">
        <v>3.8500011034136201E-2</v>
      </c>
      <c r="S1625" s="1257">
        <v>3.8500011034136201E-2</v>
      </c>
      <c r="T1625" s="1257">
        <v>3.8500011034136201E-2</v>
      </c>
      <c r="U1625" s="1280">
        <v>1.9250005517068101E-2</v>
      </c>
      <c r="V1625" s="1293">
        <v>6.8768584972625302E-3</v>
      </c>
    </row>
    <row r="1626" spans="1:22" s="212" customFormat="1" ht="15.5" x14ac:dyDescent="0.35">
      <c r="A1626" s="198">
        <v>2042</v>
      </c>
      <c r="B1626" s="197" t="s">
        <v>5833</v>
      </c>
      <c r="C1626" s="197">
        <v>1974</v>
      </c>
      <c r="D1626" s="225" t="str">
        <f t="shared" si="10"/>
        <v>2042_1974</v>
      </c>
      <c r="E1626" s="1226">
        <v>6.6098319048700602E-2</v>
      </c>
      <c r="F1626" s="1257">
        <v>1.6884596040176902E-2</v>
      </c>
      <c r="G1626" s="1280">
        <v>6.3632376012425301E-2</v>
      </c>
      <c r="H1626" s="1271">
        <v>0.36412935987496697</v>
      </c>
      <c r="I1626" s="1257">
        <v>0.45329260009510802</v>
      </c>
      <c r="J1626" s="1280">
        <v>0.10455632787044</v>
      </c>
      <c r="K1626" s="1271">
        <v>6.57936864275318E-3</v>
      </c>
      <c r="L1626" s="1257">
        <v>1.6377282565762899E-3</v>
      </c>
      <c r="M1626" s="1280">
        <v>3.9498496052037198E-4</v>
      </c>
      <c r="N1626" s="1271">
        <v>7.8611191127852496E-3</v>
      </c>
      <c r="O1626" s="1257">
        <v>3.0000008598028201E-3</v>
      </c>
      <c r="P1626" s="1257">
        <v>8.4162513366086208E-3</v>
      </c>
      <c r="Q1626" s="1280">
        <v>7.8611191127852496E-3</v>
      </c>
      <c r="R1626" s="1271">
        <v>3.8500011034136201E-2</v>
      </c>
      <c r="S1626" s="1257">
        <v>3.8500011034136201E-2</v>
      </c>
      <c r="T1626" s="1257">
        <v>3.8500011034136201E-2</v>
      </c>
      <c r="U1626" s="1280">
        <v>1.9250005517068101E-2</v>
      </c>
      <c r="V1626" s="1293">
        <v>6.8768584972625302E-3</v>
      </c>
    </row>
    <row r="1627" spans="1:22" s="212" customFormat="1" ht="15.5" x14ac:dyDescent="0.35">
      <c r="A1627" s="198">
        <v>2042</v>
      </c>
      <c r="B1627" s="197" t="s">
        <v>5833</v>
      </c>
      <c r="C1627" s="197">
        <v>1975</v>
      </c>
      <c r="D1627" s="225" t="str">
        <f t="shared" si="10"/>
        <v>2042_1975</v>
      </c>
      <c r="E1627" s="1226">
        <v>6.6098319048700602E-2</v>
      </c>
      <c r="F1627" s="1257">
        <v>1.6884596040176902E-2</v>
      </c>
      <c r="G1627" s="1280">
        <v>6.3632376012425301E-2</v>
      </c>
      <c r="H1627" s="1271">
        <v>0.36412935987496697</v>
      </c>
      <c r="I1627" s="1257">
        <v>0.45329260009510802</v>
      </c>
      <c r="J1627" s="1280">
        <v>0.10455632787044</v>
      </c>
      <c r="K1627" s="1271">
        <v>6.57936864275318E-3</v>
      </c>
      <c r="L1627" s="1257">
        <v>1.6377282565762899E-3</v>
      </c>
      <c r="M1627" s="1280">
        <v>3.9498496052037198E-4</v>
      </c>
      <c r="N1627" s="1271">
        <v>7.8611191127852496E-3</v>
      </c>
      <c r="O1627" s="1257">
        <v>3.0000008598028201E-3</v>
      </c>
      <c r="P1627" s="1257">
        <v>8.4162513366086208E-3</v>
      </c>
      <c r="Q1627" s="1280">
        <v>7.8611191127852496E-3</v>
      </c>
      <c r="R1627" s="1271">
        <v>3.8500011034136201E-2</v>
      </c>
      <c r="S1627" s="1257">
        <v>3.8500011034136201E-2</v>
      </c>
      <c r="T1627" s="1257">
        <v>3.8500011034136201E-2</v>
      </c>
      <c r="U1627" s="1280">
        <v>1.9250005517068101E-2</v>
      </c>
      <c r="V1627" s="1293">
        <v>6.8768584972625302E-3</v>
      </c>
    </row>
    <row r="1628" spans="1:22" s="212" customFormat="1" ht="15.5" x14ac:dyDescent="0.35">
      <c r="A1628" s="198">
        <v>2042</v>
      </c>
      <c r="B1628" s="197" t="s">
        <v>5833</v>
      </c>
      <c r="C1628" s="197">
        <v>1976</v>
      </c>
      <c r="D1628" s="225" t="str">
        <f t="shared" si="10"/>
        <v>2042_1976</v>
      </c>
      <c r="E1628" s="1226">
        <v>6.6098319048700602E-2</v>
      </c>
      <c r="F1628" s="1257">
        <v>1.6884596040176902E-2</v>
      </c>
      <c r="G1628" s="1280">
        <v>6.3632376012425301E-2</v>
      </c>
      <c r="H1628" s="1271">
        <v>0.36412935987496697</v>
      </c>
      <c r="I1628" s="1257">
        <v>0.45329260009510802</v>
      </c>
      <c r="J1628" s="1280">
        <v>0.10455632787044</v>
      </c>
      <c r="K1628" s="1271">
        <v>6.57936864275318E-3</v>
      </c>
      <c r="L1628" s="1257">
        <v>1.6377282565762899E-3</v>
      </c>
      <c r="M1628" s="1280">
        <v>3.9498496052037198E-4</v>
      </c>
      <c r="N1628" s="1271">
        <v>7.8611191127852496E-3</v>
      </c>
      <c r="O1628" s="1257">
        <v>3.0000008598028201E-3</v>
      </c>
      <c r="P1628" s="1257">
        <v>8.4162513366086208E-3</v>
      </c>
      <c r="Q1628" s="1280">
        <v>7.8611191127852496E-3</v>
      </c>
      <c r="R1628" s="1271">
        <v>3.8500011034136201E-2</v>
      </c>
      <c r="S1628" s="1257">
        <v>3.8500011034136201E-2</v>
      </c>
      <c r="T1628" s="1257">
        <v>3.8500011034136201E-2</v>
      </c>
      <c r="U1628" s="1280">
        <v>1.9250005517068101E-2</v>
      </c>
      <c r="V1628" s="1293">
        <v>6.8768584972625302E-3</v>
      </c>
    </row>
    <row r="1629" spans="1:22" s="212" customFormat="1" ht="15.5" x14ac:dyDescent="0.35">
      <c r="A1629" s="198">
        <v>2042</v>
      </c>
      <c r="B1629" s="197" t="s">
        <v>5833</v>
      </c>
      <c r="C1629" s="197">
        <v>1977</v>
      </c>
      <c r="D1629" s="225" t="str">
        <f t="shared" si="10"/>
        <v>2042_1977</v>
      </c>
      <c r="E1629" s="1226">
        <v>6.6098319048700602E-2</v>
      </c>
      <c r="F1629" s="1257">
        <v>1.6884596040176902E-2</v>
      </c>
      <c r="G1629" s="1280">
        <v>6.3632376012425301E-2</v>
      </c>
      <c r="H1629" s="1271">
        <v>0.36412935987496697</v>
      </c>
      <c r="I1629" s="1257">
        <v>0.45329260009510802</v>
      </c>
      <c r="J1629" s="1280">
        <v>0.10455632787044</v>
      </c>
      <c r="K1629" s="1271">
        <v>6.57936864275318E-3</v>
      </c>
      <c r="L1629" s="1257">
        <v>1.6377282565762899E-3</v>
      </c>
      <c r="M1629" s="1280">
        <v>3.9498496052037198E-4</v>
      </c>
      <c r="N1629" s="1271">
        <v>7.8611191127852496E-3</v>
      </c>
      <c r="O1629" s="1257">
        <v>3.0000008598028201E-3</v>
      </c>
      <c r="P1629" s="1257">
        <v>8.4162513366086208E-3</v>
      </c>
      <c r="Q1629" s="1280">
        <v>7.8611191127852496E-3</v>
      </c>
      <c r="R1629" s="1271">
        <v>3.8500011034136201E-2</v>
      </c>
      <c r="S1629" s="1257">
        <v>3.8500011034136201E-2</v>
      </c>
      <c r="T1629" s="1257">
        <v>3.8500011034136201E-2</v>
      </c>
      <c r="U1629" s="1280">
        <v>1.9250005517068101E-2</v>
      </c>
      <c r="V1629" s="1293">
        <v>6.8768584972625302E-3</v>
      </c>
    </row>
    <row r="1630" spans="1:22" s="212" customFormat="1" ht="15.5" x14ac:dyDescent="0.35">
      <c r="A1630" s="198">
        <v>2042</v>
      </c>
      <c r="B1630" s="197" t="s">
        <v>5833</v>
      </c>
      <c r="C1630" s="197">
        <v>1978</v>
      </c>
      <c r="D1630" s="225" t="str">
        <f t="shared" si="10"/>
        <v>2042_1978</v>
      </c>
      <c r="E1630" s="1226">
        <v>6.6098319048700602E-2</v>
      </c>
      <c r="F1630" s="1257">
        <v>1.6884596040176902E-2</v>
      </c>
      <c r="G1630" s="1280">
        <v>6.3632376012425301E-2</v>
      </c>
      <c r="H1630" s="1271">
        <v>0.36412935987496697</v>
      </c>
      <c r="I1630" s="1257">
        <v>0.45329260009510802</v>
      </c>
      <c r="J1630" s="1280">
        <v>0.10455632787044</v>
      </c>
      <c r="K1630" s="1271">
        <v>6.57936864275318E-3</v>
      </c>
      <c r="L1630" s="1257">
        <v>1.6377282565762899E-3</v>
      </c>
      <c r="M1630" s="1280">
        <v>3.9498496052037198E-4</v>
      </c>
      <c r="N1630" s="1271">
        <v>7.8611191127852496E-3</v>
      </c>
      <c r="O1630" s="1257">
        <v>3.0000008598028201E-3</v>
      </c>
      <c r="P1630" s="1257">
        <v>8.4162513366086208E-3</v>
      </c>
      <c r="Q1630" s="1280">
        <v>7.8611191127852496E-3</v>
      </c>
      <c r="R1630" s="1271">
        <v>3.8500011034136201E-2</v>
      </c>
      <c r="S1630" s="1257">
        <v>3.8500011034136201E-2</v>
      </c>
      <c r="T1630" s="1257">
        <v>3.8500011034136201E-2</v>
      </c>
      <c r="U1630" s="1280">
        <v>1.9250005517068101E-2</v>
      </c>
      <c r="V1630" s="1293">
        <v>6.8768584972625302E-3</v>
      </c>
    </row>
    <row r="1631" spans="1:22" s="212" customFormat="1" ht="15.5" x14ac:dyDescent="0.35">
      <c r="A1631" s="198">
        <v>2042</v>
      </c>
      <c r="B1631" s="197" t="s">
        <v>5833</v>
      </c>
      <c r="C1631" s="197">
        <v>1979</v>
      </c>
      <c r="D1631" s="225" t="str">
        <f t="shared" si="10"/>
        <v>2042_1979</v>
      </c>
      <c r="E1631" s="1226">
        <v>6.6098319048700602E-2</v>
      </c>
      <c r="F1631" s="1257">
        <v>1.6884596040176902E-2</v>
      </c>
      <c r="G1631" s="1280">
        <v>6.3632376012425301E-2</v>
      </c>
      <c r="H1631" s="1271">
        <v>0.36412935987496697</v>
      </c>
      <c r="I1631" s="1257">
        <v>0.45329260009510802</v>
      </c>
      <c r="J1631" s="1280">
        <v>0.10455632787044</v>
      </c>
      <c r="K1631" s="1271">
        <v>6.57936864275318E-3</v>
      </c>
      <c r="L1631" s="1257">
        <v>1.6377282565762899E-3</v>
      </c>
      <c r="M1631" s="1280">
        <v>3.9498496052037198E-4</v>
      </c>
      <c r="N1631" s="1271">
        <v>7.8611191127852496E-3</v>
      </c>
      <c r="O1631" s="1257">
        <v>3.0000008598028201E-3</v>
      </c>
      <c r="P1631" s="1257">
        <v>8.4162513366086208E-3</v>
      </c>
      <c r="Q1631" s="1280">
        <v>7.8611191127852496E-3</v>
      </c>
      <c r="R1631" s="1271">
        <v>3.8500011034136201E-2</v>
      </c>
      <c r="S1631" s="1257">
        <v>3.8500011034136201E-2</v>
      </c>
      <c r="T1631" s="1257">
        <v>3.8500011034136201E-2</v>
      </c>
      <c r="U1631" s="1280">
        <v>1.9250005517068101E-2</v>
      </c>
      <c r="V1631" s="1293">
        <v>6.8768584972625302E-3</v>
      </c>
    </row>
    <row r="1632" spans="1:22" s="212" customFormat="1" ht="15.5" x14ac:dyDescent="0.35">
      <c r="A1632" s="198">
        <v>2042</v>
      </c>
      <c r="B1632" s="197" t="s">
        <v>5833</v>
      </c>
      <c r="C1632" s="197">
        <v>1980</v>
      </c>
      <c r="D1632" s="225" t="str">
        <f t="shared" si="10"/>
        <v>2042_1980</v>
      </c>
      <c r="E1632" s="1226">
        <v>6.6098319048700602E-2</v>
      </c>
      <c r="F1632" s="1257">
        <v>1.6884596040176902E-2</v>
      </c>
      <c r="G1632" s="1280">
        <v>6.3632376012425301E-2</v>
      </c>
      <c r="H1632" s="1271">
        <v>0.36412935987496697</v>
      </c>
      <c r="I1632" s="1257">
        <v>0.45329260009510802</v>
      </c>
      <c r="J1632" s="1280">
        <v>0.10455632787044</v>
      </c>
      <c r="K1632" s="1271">
        <v>6.57936864275318E-3</v>
      </c>
      <c r="L1632" s="1257">
        <v>1.6377282565762899E-3</v>
      </c>
      <c r="M1632" s="1280">
        <v>3.9498496052037198E-4</v>
      </c>
      <c r="N1632" s="1271">
        <v>7.8611191127852496E-3</v>
      </c>
      <c r="O1632" s="1257">
        <v>3.0000008598028201E-3</v>
      </c>
      <c r="P1632" s="1257">
        <v>8.4162513366086208E-3</v>
      </c>
      <c r="Q1632" s="1280">
        <v>7.8611191127852496E-3</v>
      </c>
      <c r="R1632" s="1271">
        <v>3.8500011034136201E-2</v>
      </c>
      <c r="S1632" s="1257">
        <v>3.8500011034136201E-2</v>
      </c>
      <c r="T1632" s="1257">
        <v>3.8500011034136201E-2</v>
      </c>
      <c r="U1632" s="1280">
        <v>1.9250005517068101E-2</v>
      </c>
      <c r="V1632" s="1293">
        <v>6.8768584972625302E-3</v>
      </c>
    </row>
    <row r="1633" spans="1:22" s="212" customFormat="1" ht="15.5" x14ac:dyDescent="0.35">
      <c r="A1633" s="198">
        <v>2042</v>
      </c>
      <c r="B1633" s="197" t="s">
        <v>5833</v>
      </c>
      <c r="C1633" s="197">
        <v>1981</v>
      </c>
      <c r="D1633" s="225" t="str">
        <f t="shared" si="10"/>
        <v>2042_1981</v>
      </c>
      <c r="E1633" s="1226">
        <v>6.6098319048700602E-2</v>
      </c>
      <c r="F1633" s="1257">
        <v>1.6884596040176902E-2</v>
      </c>
      <c r="G1633" s="1280">
        <v>6.3632376012425301E-2</v>
      </c>
      <c r="H1633" s="1271">
        <v>0.36412935987496697</v>
      </c>
      <c r="I1633" s="1257">
        <v>0.45329260009510802</v>
      </c>
      <c r="J1633" s="1280">
        <v>0.10455632787044</v>
      </c>
      <c r="K1633" s="1271">
        <v>6.57936864275318E-3</v>
      </c>
      <c r="L1633" s="1257">
        <v>1.6377282565762899E-3</v>
      </c>
      <c r="M1633" s="1280">
        <v>3.9498496052037198E-4</v>
      </c>
      <c r="N1633" s="1271">
        <v>7.8611191127852496E-3</v>
      </c>
      <c r="O1633" s="1257">
        <v>3.0000008598028201E-3</v>
      </c>
      <c r="P1633" s="1257">
        <v>8.4162513366086208E-3</v>
      </c>
      <c r="Q1633" s="1280">
        <v>7.8611191127852496E-3</v>
      </c>
      <c r="R1633" s="1271">
        <v>3.8500011034136201E-2</v>
      </c>
      <c r="S1633" s="1257">
        <v>3.8500011034136201E-2</v>
      </c>
      <c r="T1633" s="1257">
        <v>3.8500011034136201E-2</v>
      </c>
      <c r="U1633" s="1280">
        <v>1.9250005517068101E-2</v>
      </c>
      <c r="V1633" s="1293">
        <v>6.8768584972625302E-3</v>
      </c>
    </row>
    <row r="1634" spans="1:22" s="212" customFormat="1" ht="15.5" x14ac:dyDescent="0.35">
      <c r="A1634" s="198">
        <v>2042</v>
      </c>
      <c r="B1634" s="197" t="s">
        <v>5833</v>
      </c>
      <c r="C1634" s="197">
        <v>1982</v>
      </c>
      <c r="D1634" s="225" t="str">
        <f t="shared" si="10"/>
        <v>2042_1982</v>
      </c>
      <c r="E1634" s="1226">
        <v>6.6098319048700602E-2</v>
      </c>
      <c r="F1634" s="1257">
        <v>1.6884596040176902E-2</v>
      </c>
      <c r="G1634" s="1280">
        <v>6.3632376012425301E-2</v>
      </c>
      <c r="H1634" s="1271">
        <v>0.36412935987496697</v>
      </c>
      <c r="I1634" s="1257">
        <v>0.45329260009510802</v>
      </c>
      <c r="J1634" s="1280">
        <v>0.10455632787044</v>
      </c>
      <c r="K1634" s="1271">
        <v>6.57936864275318E-3</v>
      </c>
      <c r="L1634" s="1257">
        <v>1.6377282565762899E-3</v>
      </c>
      <c r="M1634" s="1280">
        <v>3.9498496052037198E-4</v>
      </c>
      <c r="N1634" s="1271">
        <v>7.8611191127852496E-3</v>
      </c>
      <c r="O1634" s="1257">
        <v>3.0000008598028201E-3</v>
      </c>
      <c r="P1634" s="1257">
        <v>8.4162513366086208E-3</v>
      </c>
      <c r="Q1634" s="1280">
        <v>7.8611191127852496E-3</v>
      </c>
      <c r="R1634" s="1271">
        <v>3.8500011034136201E-2</v>
      </c>
      <c r="S1634" s="1257">
        <v>3.8500011034136201E-2</v>
      </c>
      <c r="T1634" s="1257">
        <v>3.8500011034136201E-2</v>
      </c>
      <c r="U1634" s="1280">
        <v>1.9250005517068101E-2</v>
      </c>
      <c r="V1634" s="1293">
        <v>6.8768584972625302E-3</v>
      </c>
    </row>
    <row r="1635" spans="1:22" s="212" customFormat="1" ht="15.5" x14ac:dyDescent="0.35">
      <c r="A1635" s="198">
        <v>2042</v>
      </c>
      <c r="B1635" s="197" t="s">
        <v>5833</v>
      </c>
      <c r="C1635" s="197">
        <v>1983</v>
      </c>
      <c r="D1635" s="225" t="str">
        <f t="shared" si="10"/>
        <v>2042_1983</v>
      </c>
      <c r="E1635" s="1226">
        <v>6.6098319048700602E-2</v>
      </c>
      <c r="F1635" s="1257">
        <v>1.6884596040176902E-2</v>
      </c>
      <c r="G1635" s="1280">
        <v>6.3632376012425301E-2</v>
      </c>
      <c r="H1635" s="1271">
        <v>0.36412935987496697</v>
      </c>
      <c r="I1635" s="1257">
        <v>0.45329260009510802</v>
      </c>
      <c r="J1635" s="1280">
        <v>0.10455632787044</v>
      </c>
      <c r="K1635" s="1271">
        <v>6.57936864275318E-3</v>
      </c>
      <c r="L1635" s="1257">
        <v>1.6377282565762899E-3</v>
      </c>
      <c r="M1635" s="1280">
        <v>3.9498496052037198E-4</v>
      </c>
      <c r="N1635" s="1271">
        <v>7.8611191127852496E-3</v>
      </c>
      <c r="O1635" s="1257">
        <v>3.0000008598028201E-3</v>
      </c>
      <c r="P1635" s="1257">
        <v>8.4162513366086208E-3</v>
      </c>
      <c r="Q1635" s="1280">
        <v>7.8611191127852496E-3</v>
      </c>
      <c r="R1635" s="1271">
        <v>3.8500011034136201E-2</v>
      </c>
      <c r="S1635" s="1257">
        <v>3.8500011034136201E-2</v>
      </c>
      <c r="T1635" s="1257">
        <v>3.8500011034136201E-2</v>
      </c>
      <c r="U1635" s="1280">
        <v>1.9250005517068101E-2</v>
      </c>
      <c r="V1635" s="1293">
        <v>6.8768584972625302E-3</v>
      </c>
    </row>
    <row r="1636" spans="1:22" s="212" customFormat="1" ht="15.5" x14ac:dyDescent="0.35">
      <c r="A1636" s="198">
        <v>2042</v>
      </c>
      <c r="B1636" s="197" t="s">
        <v>5833</v>
      </c>
      <c r="C1636" s="197">
        <v>1984</v>
      </c>
      <c r="D1636" s="225" t="str">
        <f t="shared" si="10"/>
        <v>2042_1984</v>
      </c>
      <c r="E1636" s="1226">
        <v>6.6098319048700602E-2</v>
      </c>
      <c r="F1636" s="1257">
        <v>1.6884596040176902E-2</v>
      </c>
      <c r="G1636" s="1280">
        <v>6.3632376012425301E-2</v>
      </c>
      <c r="H1636" s="1271">
        <v>0.36412935987496697</v>
      </c>
      <c r="I1636" s="1257">
        <v>0.45329260009510802</v>
      </c>
      <c r="J1636" s="1280">
        <v>0.10455632787044</v>
      </c>
      <c r="K1636" s="1271">
        <v>6.57936864275318E-3</v>
      </c>
      <c r="L1636" s="1257">
        <v>1.6377282565762899E-3</v>
      </c>
      <c r="M1636" s="1280">
        <v>3.9498496052037198E-4</v>
      </c>
      <c r="N1636" s="1271">
        <v>7.8611191127852496E-3</v>
      </c>
      <c r="O1636" s="1257">
        <v>3.0000008598028201E-3</v>
      </c>
      <c r="P1636" s="1257">
        <v>8.4162513366086208E-3</v>
      </c>
      <c r="Q1636" s="1280">
        <v>7.8611191127852496E-3</v>
      </c>
      <c r="R1636" s="1271">
        <v>3.8500011034136201E-2</v>
      </c>
      <c r="S1636" s="1257">
        <v>3.8500011034136201E-2</v>
      </c>
      <c r="T1636" s="1257">
        <v>3.8500011034136201E-2</v>
      </c>
      <c r="U1636" s="1280">
        <v>1.9250005517068101E-2</v>
      </c>
      <c r="V1636" s="1293">
        <v>6.8768584972625302E-3</v>
      </c>
    </row>
    <row r="1637" spans="1:22" s="212" customFormat="1" ht="15.5" x14ac:dyDescent="0.35">
      <c r="A1637" s="198">
        <v>2042</v>
      </c>
      <c r="B1637" s="197" t="s">
        <v>5833</v>
      </c>
      <c r="C1637" s="197">
        <v>1985</v>
      </c>
      <c r="D1637" s="225" t="str">
        <f t="shared" si="10"/>
        <v>2042_1985</v>
      </c>
      <c r="E1637" s="1226">
        <v>6.6098319048700602E-2</v>
      </c>
      <c r="F1637" s="1257">
        <v>1.6884596040176902E-2</v>
      </c>
      <c r="G1637" s="1280">
        <v>6.3632376012425301E-2</v>
      </c>
      <c r="H1637" s="1271">
        <v>0.36412935987496697</v>
      </c>
      <c r="I1637" s="1257">
        <v>0.45329260009510802</v>
      </c>
      <c r="J1637" s="1280">
        <v>0.10455632787044</v>
      </c>
      <c r="K1637" s="1271">
        <v>6.57936864275318E-3</v>
      </c>
      <c r="L1637" s="1257">
        <v>1.6377282565762899E-3</v>
      </c>
      <c r="M1637" s="1280">
        <v>3.9498496052037198E-4</v>
      </c>
      <c r="N1637" s="1271">
        <v>7.8611191127852496E-3</v>
      </c>
      <c r="O1637" s="1257">
        <v>3.0000008598028201E-3</v>
      </c>
      <c r="P1637" s="1257">
        <v>8.4162513366086208E-3</v>
      </c>
      <c r="Q1637" s="1280">
        <v>7.8611191127852496E-3</v>
      </c>
      <c r="R1637" s="1271">
        <v>3.8500011034136201E-2</v>
      </c>
      <c r="S1637" s="1257">
        <v>3.8500011034136201E-2</v>
      </c>
      <c r="T1637" s="1257">
        <v>3.8500011034136201E-2</v>
      </c>
      <c r="U1637" s="1280">
        <v>1.9250005517068101E-2</v>
      </c>
      <c r="V1637" s="1293">
        <v>6.8768584972625302E-3</v>
      </c>
    </row>
    <row r="1638" spans="1:22" s="212" customFormat="1" ht="15.5" x14ac:dyDescent="0.35">
      <c r="A1638" s="198">
        <v>2042</v>
      </c>
      <c r="B1638" s="197" t="s">
        <v>5833</v>
      </c>
      <c r="C1638" s="197">
        <v>1986</v>
      </c>
      <c r="D1638" s="225" t="str">
        <f t="shared" si="10"/>
        <v>2042_1986</v>
      </c>
      <c r="E1638" s="1226">
        <v>6.6098319048700602E-2</v>
      </c>
      <c r="F1638" s="1257">
        <v>1.6884596040176902E-2</v>
      </c>
      <c r="G1638" s="1280">
        <v>6.3632376012425301E-2</v>
      </c>
      <c r="H1638" s="1271">
        <v>0.36412935987496697</v>
      </c>
      <c r="I1638" s="1257">
        <v>0.45329260009510802</v>
      </c>
      <c r="J1638" s="1280">
        <v>0.10455632787044</v>
      </c>
      <c r="K1638" s="1271">
        <v>6.57936864275318E-3</v>
      </c>
      <c r="L1638" s="1257">
        <v>1.6377282565762899E-3</v>
      </c>
      <c r="M1638" s="1280">
        <v>3.9498496052037198E-4</v>
      </c>
      <c r="N1638" s="1271">
        <v>7.8611191127852496E-3</v>
      </c>
      <c r="O1638" s="1257">
        <v>3.0000008598028201E-3</v>
      </c>
      <c r="P1638" s="1257">
        <v>8.4162513366086208E-3</v>
      </c>
      <c r="Q1638" s="1280">
        <v>7.8611191127852496E-3</v>
      </c>
      <c r="R1638" s="1271">
        <v>3.8500011034136201E-2</v>
      </c>
      <c r="S1638" s="1257">
        <v>3.8500011034136201E-2</v>
      </c>
      <c r="T1638" s="1257">
        <v>3.8500011034136201E-2</v>
      </c>
      <c r="U1638" s="1280">
        <v>1.9250005517068101E-2</v>
      </c>
      <c r="V1638" s="1293">
        <v>6.8768584972625302E-3</v>
      </c>
    </row>
    <row r="1639" spans="1:22" s="212" customFormat="1" ht="15.5" x14ac:dyDescent="0.35">
      <c r="A1639" s="198">
        <v>2042</v>
      </c>
      <c r="B1639" s="197" t="s">
        <v>5833</v>
      </c>
      <c r="C1639" s="197">
        <v>1987</v>
      </c>
      <c r="D1639" s="225" t="str">
        <f t="shared" si="10"/>
        <v>2042_1987</v>
      </c>
      <c r="E1639" s="1226">
        <v>6.6098319048700602E-2</v>
      </c>
      <c r="F1639" s="1257">
        <v>1.6884596040176902E-2</v>
      </c>
      <c r="G1639" s="1280">
        <v>6.3632376012425301E-2</v>
      </c>
      <c r="H1639" s="1271">
        <v>0.36412935987496697</v>
      </c>
      <c r="I1639" s="1257">
        <v>0.45329260009510802</v>
      </c>
      <c r="J1639" s="1280">
        <v>0.10455632787044</v>
      </c>
      <c r="K1639" s="1271">
        <v>6.57936864275318E-3</v>
      </c>
      <c r="L1639" s="1257">
        <v>1.6377282565762899E-3</v>
      </c>
      <c r="M1639" s="1280">
        <v>3.9498496052037198E-4</v>
      </c>
      <c r="N1639" s="1271">
        <v>7.8611191127852496E-3</v>
      </c>
      <c r="O1639" s="1257">
        <v>3.0000008598028201E-3</v>
      </c>
      <c r="P1639" s="1257">
        <v>8.4162513366086208E-3</v>
      </c>
      <c r="Q1639" s="1280">
        <v>7.8611191127852496E-3</v>
      </c>
      <c r="R1639" s="1271">
        <v>3.8500011034136201E-2</v>
      </c>
      <c r="S1639" s="1257">
        <v>3.8500011034136201E-2</v>
      </c>
      <c r="T1639" s="1257">
        <v>3.8500011034136201E-2</v>
      </c>
      <c r="U1639" s="1280">
        <v>1.9250005517068101E-2</v>
      </c>
      <c r="V1639" s="1293">
        <v>6.8768584972625302E-3</v>
      </c>
    </row>
    <row r="1640" spans="1:22" s="212" customFormat="1" ht="15.5" x14ac:dyDescent="0.35">
      <c r="A1640" s="198">
        <v>2042</v>
      </c>
      <c r="B1640" s="197" t="s">
        <v>5833</v>
      </c>
      <c r="C1640" s="197">
        <v>1988</v>
      </c>
      <c r="D1640" s="225" t="str">
        <f t="shared" si="10"/>
        <v>2042_1988</v>
      </c>
      <c r="E1640" s="1226">
        <v>6.6098319048700602E-2</v>
      </c>
      <c r="F1640" s="1257">
        <v>1.6884596040176902E-2</v>
      </c>
      <c r="G1640" s="1280">
        <v>6.3632376012425301E-2</v>
      </c>
      <c r="H1640" s="1271">
        <v>0.36412935987496697</v>
      </c>
      <c r="I1640" s="1257">
        <v>0.45329260009510802</v>
      </c>
      <c r="J1640" s="1280">
        <v>0.10455632787044</v>
      </c>
      <c r="K1640" s="1271">
        <v>6.57936864275318E-3</v>
      </c>
      <c r="L1640" s="1257">
        <v>1.6377282565762899E-3</v>
      </c>
      <c r="M1640" s="1280">
        <v>3.9498496052037198E-4</v>
      </c>
      <c r="N1640" s="1271">
        <v>7.8611191127852496E-3</v>
      </c>
      <c r="O1640" s="1257">
        <v>3.0000008598028201E-3</v>
      </c>
      <c r="P1640" s="1257">
        <v>8.4162513366086208E-3</v>
      </c>
      <c r="Q1640" s="1280">
        <v>7.8611191127852496E-3</v>
      </c>
      <c r="R1640" s="1271">
        <v>3.8500011034136201E-2</v>
      </c>
      <c r="S1640" s="1257">
        <v>3.8500011034136201E-2</v>
      </c>
      <c r="T1640" s="1257">
        <v>3.8500011034136201E-2</v>
      </c>
      <c r="U1640" s="1280">
        <v>1.9250005517068101E-2</v>
      </c>
      <c r="V1640" s="1293">
        <v>6.8768584972625302E-3</v>
      </c>
    </row>
    <row r="1641" spans="1:22" s="212" customFormat="1" ht="15.5" x14ac:dyDescent="0.35">
      <c r="A1641" s="198">
        <v>2042</v>
      </c>
      <c r="B1641" s="197" t="s">
        <v>5833</v>
      </c>
      <c r="C1641" s="197">
        <v>1989</v>
      </c>
      <c r="D1641" s="225" t="str">
        <f t="shared" si="10"/>
        <v>2042_1989</v>
      </c>
      <c r="E1641" s="1226">
        <v>6.6098319048700602E-2</v>
      </c>
      <c r="F1641" s="1257">
        <v>1.6884596040176902E-2</v>
      </c>
      <c r="G1641" s="1280">
        <v>6.3632376012425301E-2</v>
      </c>
      <c r="H1641" s="1271">
        <v>0.36412935987496697</v>
      </c>
      <c r="I1641" s="1257">
        <v>0.45329260009510802</v>
      </c>
      <c r="J1641" s="1280">
        <v>0.10455632787044</v>
      </c>
      <c r="K1641" s="1271">
        <v>6.57936864275318E-3</v>
      </c>
      <c r="L1641" s="1257">
        <v>1.6377282565762899E-3</v>
      </c>
      <c r="M1641" s="1280">
        <v>3.9498496052037198E-4</v>
      </c>
      <c r="N1641" s="1271">
        <v>7.8611191127852496E-3</v>
      </c>
      <c r="O1641" s="1257">
        <v>3.0000008598028201E-3</v>
      </c>
      <c r="P1641" s="1257">
        <v>8.4162513366086208E-3</v>
      </c>
      <c r="Q1641" s="1280">
        <v>7.8611191127852496E-3</v>
      </c>
      <c r="R1641" s="1271">
        <v>3.8500011034136201E-2</v>
      </c>
      <c r="S1641" s="1257">
        <v>3.8500011034136201E-2</v>
      </c>
      <c r="T1641" s="1257">
        <v>3.8500011034136201E-2</v>
      </c>
      <c r="U1641" s="1280">
        <v>1.9250005517068101E-2</v>
      </c>
      <c r="V1641" s="1293">
        <v>6.8768584972625302E-3</v>
      </c>
    </row>
    <row r="1642" spans="1:22" s="212" customFormat="1" ht="15.5" x14ac:dyDescent="0.35">
      <c r="A1642" s="198">
        <v>2042</v>
      </c>
      <c r="B1642" s="197" t="s">
        <v>5833</v>
      </c>
      <c r="C1642" s="197">
        <v>1990</v>
      </c>
      <c r="D1642" s="225" t="str">
        <f t="shared" si="10"/>
        <v>2042_1990</v>
      </c>
      <c r="E1642" s="1226">
        <v>6.6098319048700602E-2</v>
      </c>
      <c r="F1642" s="1257">
        <v>1.6884596040176902E-2</v>
      </c>
      <c r="G1642" s="1280">
        <v>6.3632376012425301E-2</v>
      </c>
      <c r="H1642" s="1271">
        <v>0.36412935987496697</v>
      </c>
      <c r="I1642" s="1257">
        <v>0.45329260009510802</v>
      </c>
      <c r="J1642" s="1280">
        <v>0.10455632787044</v>
      </c>
      <c r="K1642" s="1271">
        <v>6.57936864275318E-3</v>
      </c>
      <c r="L1642" s="1257">
        <v>1.6377282565762899E-3</v>
      </c>
      <c r="M1642" s="1280">
        <v>3.9498496052037198E-4</v>
      </c>
      <c r="N1642" s="1271">
        <v>7.8611191127852496E-3</v>
      </c>
      <c r="O1642" s="1257">
        <v>3.0000008598028201E-3</v>
      </c>
      <c r="P1642" s="1257">
        <v>8.4162513366086208E-3</v>
      </c>
      <c r="Q1642" s="1280">
        <v>7.8611191127852496E-3</v>
      </c>
      <c r="R1642" s="1271">
        <v>3.8500011034136201E-2</v>
      </c>
      <c r="S1642" s="1257">
        <v>3.8500011034136201E-2</v>
      </c>
      <c r="T1642" s="1257">
        <v>3.8500011034136201E-2</v>
      </c>
      <c r="U1642" s="1280">
        <v>1.9250005517068101E-2</v>
      </c>
      <c r="V1642" s="1293">
        <v>6.8768584972625302E-3</v>
      </c>
    </row>
    <row r="1643" spans="1:22" s="212" customFormat="1" ht="15.5" x14ac:dyDescent="0.35">
      <c r="A1643" s="198">
        <v>2042</v>
      </c>
      <c r="B1643" s="197" t="s">
        <v>5833</v>
      </c>
      <c r="C1643" s="197">
        <v>1991</v>
      </c>
      <c r="D1643" s="225" t="str">
        <f t="shared" si="10"/>
        <v>2042_1991</v>
      </c>
      <c r="E1643" s="1226">
        <v>6.6098319048700602E-2</v>
      </c>
      <c r="F1643" s="1257">
        <v>1.6884596040176902E-2</v>
      </c>
      <c r="G1643" s="1280">
        <v>6.3632376012425301E-2</v>
      </c>
      <c r="H1643" s="1271">
        <v>0.36412935987496697</v>
      </c>
      <c r="I1643" s="1257">
        <v>0.45329260009510802</v>
      </c>
      <c r="J1643" s="1280">
        <v>0.10455632787044</v>
      </c>
      <c r="K1643" s="1271">
        <v>6.57936864275318E-3</v>
      </c>
      <c r="L1643" s="1257">
        <v>1.6377282565762899E-3</v>
      </c>
      <c r="M1643" s="1280">
        <v>3.9498496052037198E-4</v>
      </c>
      <c r="N1643" s="1271">
        <v>7.8611191127852496E-3</v>
      </c>
      <c r="O1643" s="1257">
        <v>3.0000008598028201E-3</v>
      </c>
      <c r="P1643" s="1257">
        <v>8.4162513366086208E-3</v>
      </c>
      <c r="Q1643" s="1280">
        <v>7.8611191127852496E-3</v>
      </c>
      <c r="R1643" s="1271">
        <v>3.8500011034136201E-2</v>
      </c>
      <c r="S1643" s="1257">
        <v>3.8500011034136201E-2</v>
      </c>
      <c r="T1643" s="1257">
        <v>3.8500011034136201E-2</v>
      </c>
      <c r="U1643" s="1280">
        <v>1.9250005517068101E-2</v>
      </c>
      <c r="V1643" s="1293">
        <v>6.8768584972625302E-3</v>
      </c>
    </row>
    <row r="1644" spans="1:22" s="212" customFormat="1" ht="15.5" x14ac:dyDescent="0.35">
      <c r="A1644" s="198">
        <v>2042</v>
      </c>
      <c r="B1644" s="197" t="s">
        <v>5833</v>
      </c>
      <c r="C1644" s="197">
        <v>1992</v>
      </c>
      <c r="D1644" s="225" t="str">
        <f t="shared" si="10"/>
        <v>2042_1992</v>
      </c>
      <c r="E1644" s="1226">
        <v>6.6098319048700602E-2</v>
      </c>
      <c r="F1644" s="1257">
        <v>1.6884596040176902E-2</v>
      </c>
      <c r="G1644" s="1280">
        <v>6.3632376012425301E-2</v>
      </c>
      <c r="H1644" s="1271">
        <v>0.36412935987496697</v>
      </c>
      <c r="I1644" s="1257">
        <v>0.45329260009510802</v>
      </c>
      <c r="J1644" s="1280">
        <v>0.10455632787044</v>
      </c>
      <c r="K1644" s="1271">
        <v>6.57936864275318E-3</v>
      </c>
      <c r="L1644" s="1257">
        <v>1.6377282565762899E-3</v>
      </c>
      <c r="M1644" s="1280">
        <v>3.9498496052037198E-4</v>
      </c>
      <c r="N1644" s="1271">
        <v>7.8611191127852496E-3</v>
      </c>
      <c r="O1644" s="1257">
        <v>3.0000008598028201E-3</v>
      </c>
      <c r="P1644" s="1257">
        <v>8.4162513366086208E-3</v>
      </c>
      <c r="Q1644" s="1280">
        <v>7.8611191127852496E-3</v>
      </c>
      <c r="R1644" s="1271">
        <v>3.8500011034136201E-2</v>
      </c>
      <c r="S1644" s="1257">
        <v>3.8500011034136201E-2</v>
      </c>
      <c r="T1644" s="1257">
        <v>3.8500011034136201E-2</v>
      </c>
      <c r="U1644" s="1280">
        <v>1.9250005517068101E-2</v>
      </c>
      <c r="V1644" s="1293">
        <v>6.8768584972625302E-3</v>
      </c>
    </row>
    <row r="1645" spans="1:22" s="212" customFormat="1" ht="15.5" x14ac:dyDescent="0.35">
      <c r="A1645" s="198">
        <v>2042</v>
      </c>
      <c r="B1645" s="197" t="s">
        <v>5833</v>
      </c>
      <c r="C1645" s="197">
        <v>1993</v>
      </c>
      <c r="D1645" s="225" t="str">
        <f t="shared" si="10"/>
        <v>2042_1993</v>
      </c>
      <c r="E1645" s="1226">
        <v>6.6098319048700602E-2</v>
      </c>
      <c r="F1645" s="1257">
        <v>1.6884596040176902E-2</v>
      </c>
      <c r="G1645" s="1280">
        <v>6.3632376012425301E-2</v>
      </c>
      <c r="H1645" s="1271">
        <v>0.36412935987496697</v>
      </c>
      <c r="I1645" s="1257">
        <v>0.45329260009510802</v>
      </c>
      <c r="J1645" s="1280">
        <v>0.10455632787044</v>
      </c>
      <c r="K1645" s="1271">
        <v>6.57936864275318E-3</v>
      </c>
      <c r="L1645" s="1257">
        <v>1.6377282565762899E-3</v>
      </c>
      <c r="M1645" s="1280">
        <v>3.9498496052037198E-4</v>
      </c>
      <c r="N1645" s="1271">
        <v>7.8611191127852496E-3</v>
      </c>
      <c r="O1645" s="1257">
        <v>3.0000008598028201E-3</v>
      </c>
      <c r="P1645" s="1257">
        <v>8.4162513366086208E-3</v>
      </c>
      <c r="Q1645" s="1280">
        <v>7.8611191127852496E-3</v>
      </c>
      <c r="R1645" s="1271">
        <v>3.8500011034136201E-2</v>
      </c>
      <c r="S1645" s="1257">
        <v>3.8500011034136201E-2</v>
      </c>
      <c r="T1645" s="1257">
        <v>3.8500011034136201E-2</v>
      </c>
      <c r="U1645" s="1280">
        <v>1.9250005517068101E-2</v>
      </c>
      <c r="V1645" s="1293">
        <v>6.8768584972625302E-3</v>
      </c>
    </row>
    <row r="1646" spans="1:22" s="212" customFormat="1" ht="15.5" x14ac:dyDescent="0.35">
      <c r="A1646" s="198">
        <v>2042</v>
      </c>
      <c r="B1646" s="197" t="s">
        <v>5833</v>
      </c>
      <c r="C1646" s="197">
        <v>1994</v>
      </c>
      <c r="D1646" s="225" t="str">
        <f t="shared" si="10"/>
        <v>2042_1994</v>
      </c>
      <c r="E1646" s="1226">
        <v>6.6098319048700602E-2</v>
      </c>
      <c r="F1646" s="1257">
        <v>1.6884596040176902E-2</v>
      </c>
      <c r="G1646" s="1280">
        <v>6.3632376012425301E-2</v>
      </c>
      <c r="H1646" s="1271">
        <v>0.36412935987496697</v>
      </c>
      <c r="I1646" s="1257">
        <v>0.45329260009510802</v>
      </c>
      <c r="J1646" s="1280">
        <v>0.10455632787044</v>
      </c>
      <c r="K1646" s="1271">
        <v>6.57936864275318E-3</v>
      </c>
      <c r="L1646" s="1257">
        <v>1.6377282565762899E-3</v>
      </c>
      <c r="M1646" s="1280">
        <v>3.9498496052037198E-4</v>
      </c>
      <c r="N1646" s="1271">
        <v>7.8611191127852496E-3</v>
      </c>
      <c r="O1646" s="1257">
        <v>3.0000008598028201E-3</v>
      </c>
      <c r="P1646" s="1257">
        <v>8.4162513366086208E-3</v>
      </c>
      <c r="Q1646" s="1280">
        <v>7.8611191127852496E-3</v>
      </c>
      <c r="R1646" s="1271">
        <v>3.8500011034136201E-2</v>
      </c>
      <c r="S1646" s="1257">
        <v>3.8500011034136201E-2</v>
      </c>
      <c r="T1646" s="1257">
        <v>3.8500011034136201E-2</v>
      </c>
      <c r="U1646" s="1280">
        <v>1.9250005517068101E-2</v>
      </c>
      <c r="V1646" s="1293">
        <v>6.8768584972625302E-3</v>
      </c>
    </row>
    <row r="1647" spans="1:22" s="212" customFormat="1" ht="15.5" x14ac:dyDescent="0.35">
      <c r="A1647" s="198">
        <v>2042</v>
      </c>
      <c r="B1647" s="197" t="s">
        <v>5833</v>
      </c>
      <c r="C1647" s="197">
        <v>1995</v>
      </c>
      <c r="D1647" s="225" t="str">
        <f t="shared" si="10"/>
        <v>2042_1995</v>
      </c>
      <c r="E1647" s="1226">
        <v>6.6098319048700602E-2</v>
      </c>
      <c r="F1647" s="1257">
        <v>1.6884596040176902E-2</v>
      </c>
      <c r="G1647" s="1280">
        <v>6.3632376012425301E-2</v>
      </c>
      <c r="H1647" s="1271">
        <v>0.36412935987496697</v>
      </c>
      <c r="I1647" s="1257">
        <v>0.45329260009510802</v>
      </c>
      <c r="J1647" s="1280">
        <v>0.10455632787044</v>
      </c>
      <c r="K1647" s="1271">
        <v>6.57936864275318E-3</v>
      </c>
      <c r="L1647" s="1257">
        <v>1.6377282565762899E-3</v>
      </c>
      <c r="M1647" s="1280">
        <v>3.9498496052037198E-4</v>
      </c>
      <c r="N1647" s="1271">
        <v>7.8611191127852496E-3</v>
      </c>
      <c r="O1647" s="1257">
        <v>3.0000008598028201E-3</v>
      </c>
      <c r="P1647" s="1257">
        <v>8.4162513366086208E-3</v>
      </c>
      <c r="Q1647" s="1280">
        <v>7.8611191127852496E-3</v>
      </c>
      <c r="R1647" s="1271">
        <v>3.8500011034136201E-2</v>
      </c>
      <c r="S1647" s="1257">
        <v>3.8500011034136201E-2</v>
      </c>
      <c r="T1647" s="1257">
        <v>3.8500011034136201E-2</v>
      </c>
      <c r="U1647" s="1280">
        <v>1.9250005517068101E-2</v>
      </c>
      <c r="V1647" s="1293">
        <v>6.8768584972625302E-3</v>
      </c>
    </row>
    <row r="1648" spans="1:22" s="212" customFormat="1" ht="15.5" x14ac:dyDescent="0.35">
      <c r="A1648" s="198">
        <v>2042</v>
      </c>
      <c r="B1648" s="197" t="s">
        <v>5833</v>
      </c>
      <c r="C1648" s="197">
        <v>1996</v>
      </c>
      <c r="D1648" s="225" t="str">
        <f t="shared" si="10"/>
        <v>2042_1996</v>
      </c>
      <c r="E1648" s="1226">
        <v>6.6098319048700602E-2</v>
      </c>
      <c r="F1648" s="1257">
        <v>1.6884596040176902E-2</v>
      </c>
      <c r="G1648" s="1280">
        <v>6.3632376012425301E-2</v>
      </c>
      <c r="H1648" s="1271">
        <v>0.36412935987496697</v>
      </c>
      <c r="I1648" s="1257">
        <v>0.45329260009510802</v>
      </c>
      <c r="J1648" s="1280">
        <v>0.10455632787044</v>
      </c>
      <c r="K1648" s="1271">
        <v>6.57936864275318E-3</v>
      </c>
      <c r="L1648" s="1257">
        <v>1.6377282565762899E-3</v>
      </c>
      <c r="M1648" s="1280">
        <v>3.9498496052037198E-4</v>
      </c>
      <c r="N1648" s="1271">
        <v>7.8611191127852496E-3</v>
      </c>
      <c r="O1648" s="1257">
        <v>3.0000008598028201E-3</v>
      </c>
      <c r="P1648" s="1257">
        <v>8.4162513366086208E-3</v>
      </c>
      <c r="Q1648" s="1280">
        <v>7.8611191127852496E-3</v>
      </c>
      <c r="R1648" s="1271">
        <v>3.8500011034136201E-2</v>
      </c>
      <c r="S1648" s="1257">
        <v>3.8500011034136201E-2</v>
      </c>
      <c r="T1648" s="1257">
        <v>3.8500011034136201E-2</v>
      </c>
      <c r="U1648" s="1280">
        <v>1.9250005517068101E-2</v>
      </c>
      <c r="V1648" s="1293">
        <v>6.8768584972625302E-3</v>
      </c>
    </row>
    <row r="1649" spans="1:22" s="212" customFormat="1" ht="15.5" x14ac:dyDescent="0.35">
      <c r="A1649" s="198">
        <v>2042</v>
      </c>
      <c r="B1649" s="197" t="s">
        <v>5833</v>
      </c>
      <c r="C1649" s="197">
        <v>1997</v>
      </c>
      <c r="D1649" s="225" t="str">
        <f t="shared" si="10"/>
        <v>2042_1997</v>
      </c>
      <c r="E1649" s="1226">
        <v>6.6098319048700602E-2</v>
      </c>
      <c r="F1649" s="1257">
        <v>1.6884596040176902E-2</v>
      </c>
      <c r="G1649" s="1280">
        <v>6.3632376012425301E-2</v>
      </c>
      <c r="H1649" s="1271">
        <v>0.36412935987496697</v>
      </c>
      <c r="I1649" s="1257">
        <v>0.45329260009510802</v>
      </c>
      <c r="J1649" s="1280">
        <v>0.10455632787044</v>
      </c>
      <c r="K1649" s="1271">
        <v>6.57936864275318E-3</v>
      </c>
      <c r="L1649" s="1257">
        <v>1.6377282565762899E-3</v>
      </c>
      <c r="M1649" s="1280">
        <v>3.9498496052037198E-4</v>
      </c>
      <c r="N1649" s="1271">
        <v>7.8611191127852496E-3</v>
      </c>
      <c r="O1649" s="1257">
        <v>3.0000008598028201E-3</v>
      </c>
      <c r="P1649" s="1257">
        <v>8.4162513366086208E-3</v>
      </c>
      <c r="Q1649" s="1280">
        <v>7.8611191127852496E-3</v>
      </c>
      <c r="R1649" s="1271">
        <v>3.8500011034136201E-2</v>
      </c>
      <c r="S1649" s="1257">
        <v>3.8500011034136201E-2</v>
      </c>
      <c r="T1649" s="1257">
        <v>3.8500011034136201E-2</v>
      </c>
      <c r="U1649" s="1280">
        <v>1.9250005517068101E-2</v>
      </c>
      <c r="V1649" s="1293">
        <v>6.8768584972625302E-3</v>
      </c>
    </row>
    <row r="1650" spans="1:22" s="212" customFormat="1" ht="15.5" x14ac:dyDescent="0.35">
      <c r="A1650" s="198">
        <v>2042</v>
      </c>
      <c r="B1650" s="197" t="s">
        <v>5833</v>
      </c>
      <c r="C1650" s="197">
        <v>1998</v>
      </c>
      <c r="D1650" s="225" t="str">
        <f t="shared" si="10"/>
        <v>2042_1998</v>
      </c>
      <c r="E1650" s="1226">
        <v>6.6098319048700602E-2</v>
      </c>
      <c r="F1650" s="1257">
        <v>1.6884596040176902E-2</v>
      </c>
      <c r="G1650" s="1280">
        <v>6.3632376012425301E-2</v>
      </c>
      <c r="H1650" s="1271">
        <v>0.36412935987496697</v>
      </c>
      <c r="I1650" s="1257">
        <v>0.45329260009510802</v>
      </c>
      <c r="J1650" s="1280">
        <v>0.10455632787044</v>
      </c>
      <c r="K1650" s="1271">
        <v>6.57936864275318E-3</v>
      </c>
      <c r="L1650" s="1257">
        <v>1.6377282565762899E-3</v>
      </c>
      <c r="M1650" s="1280">
        <v>3.9498496052037198E-4</v>
      </c>
      <c r="N1650" s="1271">
        <v>7.8611191127852496E-3</v>
      </c>
      <c r="O1650" s="1257">
        <v>3.0000008598028201E-3</v>
      </c>
      <c r="P1650" s="1257">
        <v>8.4162513366086208E-3</v>
      </c>
      <c r="Q1650" s="1280">
        <v>7.8611191127852496E-3</v>
      </c>
      <c r="R1650" s="1271">
        <v>3.8500011034136201E-2</v>
      </c>
      <c r="S1650" s="1257">
        <v>3.8500011034136201E-2</v>
      </c>
      <c r="T1650" s="1257">
        <v>3.8500011034136201E-2</v>
      </c>
      <c r="U1650" s="1280">
        <v>1.9250005517068101E-2</v>
      </c>
      <c r="V1650" s="1293">
        <v>6.8768584972625302E-3</v>
      </c>
    </row>
    <row r="1651" spans="1:22" s="212" customFormat="1" ht="15.5" x14ac:dyDescent="0.35">
      <c r="A1651" s="198">
        <v>2042</v>
      </c>
      <c r="B1651" s="197" t="s">
        <v>5833</v>
      </c>
      <c r="C1651" s="197">
        <v>1999</v>
      </c>
      <c r="D1651" s="225" t="str">
        <f t="shared" si="10"/>
        <v>2042_1999</v>
      </c>
      <c r="E1651" s="1226">
        <v>6.6098319048700602E-2</v>
      </c>
      <c r="F1651" s="1257">
        <v>1.6884596040176902E-2</v>
      </c>
      <c r="G1651" s="1280">
        <v>6.3632376012425301E-2</v>
      </c>
      <c r="H1651" s="1271">
        <v>0.36412935987496697</v>
      </c>
      <c r="I1651" s="1257">
        <v>0.45329260009510802</v>
      </c>
      <c r="J1651" s="1280">
        <v>0.10455632787044</v>
      </c>
      <c r="K1651" s="1271">
        <v>6.57936864275318E-3</v>
      </c>
      <c r="L1651" s="1257">
        <v>1.6377282565762899E-3</v>
      </c>
      <c r="M1651" s="1280">
        <v>3.9498496052037198E-4</v>
      </c>
      <c r="N1651" s="1271">
        <v>7.8611191127852496E-3</v>
      </c>
      <c r="O1651" s="1257">
        <v>3.0000008598028201E-3</v>
      </c>
      <c r="P1651" s="1257">
        <v>8.4162513366086208E-3</v>
      </c>
      <c r="Q1651" s="1280">
        <v>7.8611191127852496E-3</v>
      </c>
      <c r="R1651" s="1271">
        <v>3.8500011034136201E-2</v>
      </c>
      <c r="S1651" s="1257">
        <v>3.8500011034136201E-2</v>
      </c>
      <c r="T1651" s="1257">
        <v>3.8500011034136201E-2</v>
      </c>
      <c r="U1651" s="1280">
        <v>1.9250005517068101E-2</v>
      </c>
      <c r="V1651" s="1293">
        <v>6.8768584972625302E-3</v>
      </c>
    </row>
    <row r="1652" spans="1:22" s="212" customFormat="1" ht="15.5" x14ac:dyDescent="0.35">
      <c r="A1652" s="198">
        <v>2042</v>
      </c>
      <c r="B1652" s="197" t="s">
        <v>5833</v>
      </c>
      <c r="C1652" s="197">
        <v>2000</v>
      </c>
      <c r="D1652" s="225" t="str">
        <f t="shared" si="10"/>
        <v>2042_2000</v>
      </c>
      <c r="E1652" s="1226">
        <v>6.6098319048700602E-2</v>
      </c>
      <c r="F1652" s="1257">
        <v>1.6884596040176902E-2</v>
      </c>
      <c r="G1652" s="1280">
        <v>6.3632376012425301E-2</v>
      </c>
      <c r="H1652" s="1271">
        <v>0.36412935987496697</v>
      </c>
      <c r="I1652" s="1257">
        <v>0.45329260009510802</v>
      </c>
      <c r="J1652" s="1280">
        <v>0.10455632787044</v>
      </c>
      <c r="K1652" s="1271">
        <v>6.57936864275318E-3</v>
      </c>
      <c r="L1652" s="1257">
        <v>1.6377282565762899E-3</v>
      </c>
      <c r="M1652" s="1280">
        <v>3.9498496052037198E-4</v>
      </c>
      <c r="N1652" s="1271">
        <v>7.8611191127852496E-3</v>
      </c>
      <c r="O1652" s="1257">
        <v>3.0000008598028201E-3</v>
      </c>
      <c r="P1652" s="1257">
        <v>8.4162513366086208E-3</v>
      </c>
      <c r="Q1652" s="1280">
        <v>7.8611191127852496E-3</v>
      </c>
      <c r="R1652" s="1271">
        <v>3.8500011034136201E-2</v>
      </c>
      <c r="S1652" s="1257">
        <v>3.8500011034136201E-2</v>
      </c>
      <c r="T1652" s="1257">
        <v>3.8500011034136201E-2</v>
      </c>
      <c r="U1652" s="1280">
        <v>1.9250005517068101E-2</v>
      </c>
      <c r="V1652" s="1293">
        <v>6.8768584972625302E-3</v>
      </c>
    </row>
    <row r="1653" spans="1:22" s="212" customFormat="1" ht="15.5" x14ac:dyDescent="0.35">
      <c r="A1653" s="198">
        <v>2042</v>
      </c>
      <c r="B1653" s="197" t="s">
        <v>5833</v>
      </c>
      <c r="C1653" s="197">
        <v>2001</v>
      </c>
      <c r="D1653" s="225" t="str">
        <f t="shared" si="10"/>
        <v>2042_2001</v>
      </c>
      <c r="E1653" s="1226">
        <v>6.6098319048700602E-2</v>
      </c>
      <c r="F1653" s="1257">
        <v>1.6884596040176902E-2</v>
      </c>
      <c r="G1653" s="1280">
        <v>6.3632376012425301E-2</v>
      </c>
      <c r="H1653" s="1271">
        <v>0.36412935987496697</v>
      </c>
      <c r="I1653" s="1257">
        <v>0.45329260009510802</v>
      </c>
      <c r="J1653" s="1280">
        <v>0.10455632787044</v>
      </c>
      <c r="K1653" s="1271">
        <v>6.57936864275318E-3</v>
      </c>
      <c r="L1653" s="1257">
        <v>1.6377282565762899E-3</v>
      </c>
      <c r="M1653" s="1280">
        <v>3.9498496052037198E-4</v>
      </c>
      <c r="N1653" s="1271">
        <v>7.8611191127852496E-3</v>
      </c>
      <c r="O1653" s="1257">
        <v>3.0000008598028201E-3</v>
      </c>
      <c r="P1653" s="1257">
        <v>8.4162513366086208E-3</v>
      </c>
      <c r="Q1653" s="1280">
        <v>7.8611191127852496E-3</v>
      </c>
      <c r="R1653" s="1271">
        <v>3.8500011034136201E-2</v>
      </c>
      <c r="S1653" s="1257">
        <v>3.8500011034136201E-2</v>
      </c>
      <c r="T1653" s="1257">
        <v>3.8500011034136201E-2</v>
      </c>
      <c r="U1653" s="1280">
        <v>1.9250005517068101E-2</v>
      </c>
      <c r="V1653" s="1293">
        <v>6.8768584972625302E-3</v>
      </c>
    </row>
    <row r="1654" spans="1:22" s="212" customFormat="1" ht="15.5" x14ac:dyDescent="0.35">
      <c r="A1654" s="198">
        <v>2042</v>
      </c>
      <c r="B1654" s="197" t="s">
        <v>5833</v>
      </c>
      <c r="C1654" s="197">
        <v>2002</v>
      </c>
      <c r="D1654" s="225" t="str">
        <f t="shared" si="10"/>
        <v>2042_2002</v>
      </c>
      <c r="E1654" s="1226">
        <v>6.6098319048700602E-2</v>
      </c>
      <c r="F1654" s="1257">
        <v>1.6884596040176902E-2</v>
      </c>
      <c r="G1654" s="1280">
        <v>6.3632376012425301E-2</v>
      </c>
      <c r="H1654" s="1271">
        <v>0.36412935987496697</v>
      </c>
      <c r="I1654" s="1257">
        <v>0.45329260009510802</v>
      </c>
      <c r="J1654" s="1280">
        <v>0.10455632787044</v>
      </c>
      <c r="K1654" s="1271">
        <v>6.57936864275318E-3</v>
      </c>
      <c r="L1654" s="1257">
        <v>1.6377282565762899E-3</v>
      </c>
      <c r="M1654" s="1280">
        <v>3.9498496052037198E-4</v>
      </c>
      <c r="N1654" s="1271">
        <v>7.8611191127852496E-3</v>
      </c>
      <c r="O1654" s="1257">
        <v>3.0000008598028201E-3</v>
      </c>
      <c r="P1654" s="1257">
        <v>8.4162513366086208E-3</v>
      </c>
      <c r="Q1654" s="1280">
        <v>7.8611191127852496E-3</v>
      </c>
      <c r="R1654" s="1271">
        <v>3.8500011034136201E-2</v>
      </c>
      <c r="S1654" s="1257">
        <v>3.8500011034136201E-2</v>
      </c>
      <c r="T1654" s="1257">
        <v>3.8500011034136201E-2</v>
      </c>
      <c r="U1654" s="1280">
        <v>1.9250005517068101E-2</v>
      </c>
      <c r="V1654" s="1293">
        <v>6.8768584972625302E-3</v>
      </c>
    </row>
    <row r="1655" spans="1:22" s="212" customFormat="1" ht="15.5" x14ac:dyDescent="0.35">
      <c r="A1655" s="198">
        <v>2042</v>
      </c>
      <c r="B1655" s="197" t="s">
        <v>5833</v>
      </c>
      <c r="C1655" s="197">
        <v>2003</v>
      </c>
      <c r="D1655" s="225" t="str">
        <f t="shared" si="10"/>
        <v>2042_2003</v>
      </c>
      <c r="E1655" s="1226">
        <v>6.6098319048700602E-2</v>
      </c>
      <c r="F1655" s="1257">
        <v>1.6884596040176902E-2</v>
      </c>
      <c r="G1655" s="1280">
        <v>6.3632376012425301E-2</v>
      </c>
      <c r="H1655" s="1271">
        <v>0.36412935987496697</v>
      </c>
      <c r="I1655" s="1257">
        <v>0.45329260009510802</v>
      </c>
      <c r="J1655" s="1280">
        <v>0.10455632787044</v>
      </c>
      <c r="K1655" s="1271">
        <v>6.57936864275318E-3</v>
      </c>
      <c r="L1655" s="1257">
        <v>1.6377282565762899E-3</v>
      </c>
      <c r="M1655" s="1280">
        <v>3.9498496052037198E-4</v>
      </c>
      <c r="N1655" s="1271">
        <v>7.8611191127852496E-3</v>
      </c>
      <c r="O1655" s="1257">
        <v>3.0000008598028201E-3</v>
      </c>
      <c r="P1655" s="1257">
        <v>8.4162513366086208E-3</v>
      </c>
      <c r="Q1655" s="1280">
        <v>7.8611191127852496E-3</v>
      </c>
      <c r="R1655" s="1271">
        <v>3.8500011034136201E-2</v>
      </c>
      <c r="S1655" s="1257">
        <v>3.8500011034136201E-2</v>
      </c>
      <c r="T1655" s="1257">
        <v>3.8500011034136201E-2</v>
      </c>
      <c r="U1655" s="1280">
        <v>1.9250005517068101E-2</v>
      </c>
      <c r="V1655" s="1293">
        <v>6.8768584972625302E-3</v>
      </c>
    </row>
    <row r="1656" spans="1:22" s="212" customFormat="1" ht="15.5" x14ac:dyDescent="0.35">
      <c r="A1656" s="198">
        <v>2042</v>
      </c>
      <c r="B1656" s="197" t="s">
        <v>5833</v>
      </c>
      <c r="C1656" s="197">
        <v>2004</v>
      </c>
      <c r="D1656" s="225" t="str">
        <f t="shared" si="10"/>
        <v>2042_2004</v>
      </c>
      <c r="E1656" s="1226">
        <v>6.6098319048700602E-2</v>
      </c>
      <c r="F1656" s="1257">
        <v>1.6884596040176902E-2</v>
      </c>
      <c r="G1656" s="1280">
        <v>6.3632376012425301E-2</v>
      </c>
      <c r="H1656" s="1271">
        <v>0.36412935987496697</v>
      </c>
      <c r="I1656" s="1257">
        <v>0.45329260009510802</v>
      </c>
      <c r="J1656" s="1280">
        <v>0.10455632787044</v>
      </c>
      <c r="K1656" s="1271">
        <v>6.57936864275318E-3</v>
      </c>
      <c r="L1656" s="1257">
        <v>1.6377282565762899E-3</v>
      </c>
      <c r="M1656" s="1280">
        <v>3.9498496052037198E-4</v>
      </c>
      <c r="N1656" s="1271">
        <v>7.8611191127852496E-3</v>
      </c>
      <c r="O1656" s="1257">
        <v>3.0000008598028201E-3</v>
      </c>
      <c r="P1656" s="1257">
        <v>8.4162513366086208E-3</v>
      </c>
      <c r="Q1656" s="1280">
        <v>7.8611191127852496E-3</v>
      </c>
      <c r="R1656" s="1271">
        <v>3.8500011034136201E-2</v>
      </c>
      <c r="S1656" s="1257">
        <v>3.8500011034136201E-2</v>
      </c>
      <c r="T1656" s="1257">
        <v>3.8500011034136201E-2</v>
      </c>
      <c r="U1656" s="1280">
        <v>1.9250005517068101E-2</v>
      </c>
      <c r="V1656" s="1293">
        <v>6.8768584972625302E-3</v>
      </c>
    </row>
    <row r="1657" spans="1:22" s="212" customFormat="1" ht="15.5" x14ac:dyDescent="0.35">
      <c r="A1657" s="198">
        <v>2042</v>
      </c>
      <c r="B1657" s="197" t="s">
        <v>5833</v>
      </c>
      <c r="C1657" s="197">
        <v>2005</v>
      </c>
      <c r="D1657" s="225" t="str">
        <f t="shared" si="10"/>
        <v>2042_2005</v>
      </c>
      <c r="E1657" s="1226">
        <v>6.6098319048700602E-2</v>
      </c>
      <c r="F1657" s="1257">
        <v>1.6884596040176902E-2</v>
      </c>
      <c r="G1657" s="1280">
        <v>6.3632376012425301E-2</v>
      </c>
      <c r="H1657" s="1271">
        <v>0.36412935987496697</v>
      </c>
      <c r="I1657" s="1257">
        <v>0.45329260009510802</v>
      </c>
      <c r="J1657" s="1280">
        <v>0.10455632787044</v>
      </c>
      <c r="K1657" s="1271">
        <v>6.57936864275318E-3</v>
      </c>
      <c r="L1657" s="1257">
        <v>1.6377282565762899E-3</v>
      </c>
      <c r="M1657" s="1280">
        <v>3.9498496052037198E-4</v>
      </c>
      <c r="N1657" s="1271">
        <v>7.8611191127852496E-3</v>
      </c>
      <c r="O1657" s="1257">
        <v>3.0000008598028201E-3</v>
      </c>
      <c r="P1657" s="1257">
        <v>8.4162513366086208E-3</v>
      </c>
      <c r="Q1657" s="1280">
        <v>7.8611191127852496E-3</v>
      </c>
      <c r="R1657" s="1271">
        <v>3.8500011034136201E-2</v>
      </c>
      <c r="S1657" s="1257">
        <v>3.8500011034136201E-2</v>
      </c>
      <c r="T1657" s="1257">
        <v>3.8500011034136201E-2</v>
      </c>
      <c r="U1657" s="1280">
        <v>1.9250005517068101E-2</v>
      </c>
      <c r="V1657" s="1293">
        <v>6.8768584972625302E-3</v>
      </c>
    </row>
    <row r="1658" spans="1:22" s="212" customFormat="1" ht="15.5" x14ac:dyDescent="0.35">
      <c r="A1658" s="198">
        <v>2042</v>
      </c>
      <c r="B1658" s="197" t="s">
        <v>5833</v>
      </c>
      <c r="C1658" s="197">
        <v>2006</v>
      </c>
      <c r="D1658" s="225" t="str">
        <f t="shared" si="10"/>
        <v>2042_2006</v>
      </c>
      <c r="E1658" s="1226">
        <v>6.6098319048700602E-2</v>
      </c>
      <c r="F1658" s="1257">
        <v>1.6884596040176902E-2</v>
      </c>
      <c r="G1658" s="1280">
        <v>6.3632376012425301E-2</v>
      </c>
      <c r="H1658" s="1271">
        <v>0.36412935987496697</v>
      </c>
      <c r="I1658" s="1257">
        <v>0.45329260009510802</v>
      </c>
      <c r="J1658" s="1280">
        <v>0.10455632787044</v>
      </c>
      <c r="K1658" s="1271">
        <v>6.57936864275318E-3</v>
      </c>
      <c r="L1658" s="1257">
        <v>1.6377282565762899E-3</v>
      </c>
      <c r="M1658" s="1280">
        <v>3.9498496052037198E-4</v>
      </c>
      <c r="N1658" s="1271">
        <v>7.8611191127852496E-3</v>
      </c>
      <c r="O1658" s="1257">
        <v>3.0000008598028201E-3</v>
      </c>
      <c r="P1658" s="1257">
        <v>8.4162513366086208E-3</v>
      </c>
      <c r="Q1658" s="1280">
        <v>7.8611191127852496E-3</v>
      </c>
      <c r="R1658" s="1271">
        <v>3.8500011034136201E-2</v>
      </c>
      <c r="S1658" s="1257">
        <v>3.8500011034136201E-2</v>
      </c>
      <c r="T1658" s="1257">
        <v>3.8500011034136201E-2</v>
      </c>
      <c r="U1658" s="1280">
        <v>1.9250005517068101E-2</v>
      </c>
      <c r="V1658" s="1293">
        <v>6.8768584972625302E-3</v>
      </c>
    </row>
    <row r="1659" spans="1:22" s="212" customFormat="1" ht="15.5" x14ac:dyDescent="0.35">
      <c r="A1659" s="198">
        <v>2042</v>
      </c>
      <c r="B1659" s="197" t="s">
        <v>5833</v>
      </c>
      <c r="C1659" s="197">
        <v>2007</v>
      </c>
      <c r="D1659" s="225" t="str">
        <f t="shared" si="10"/>
        <v>2042_2007</v>
      </c>
      <c r="E1659" s="1226">
        <v>6.6098319048700602E-2</v>
      </c>
      <c r="F1659" s="1257">
        <v>1.6884596040176902E-2</v>
      </c>
      <c r="G1659" s="1280">
        <v>6.3632376012425301E-2</v>
      </c>
      <c r="H1659" s="1271">
        <v>0.36412935987496697</v>
      </c>
      <c r="I1659" s="1257">
        <v>0.45329260009510802</v>
      </c>
      <c r="J1659" s="1280">
        <v>0.10455632787044</v>
      </c>
      <c r="K1659" s="1271">
        <v>6.57936864275318E-3</v>
      </c>
      <c r="L1659" s="1257">
        <v>1.6377282565762899E-3</v>
      </c>
      <c r="M1659" s="1280">
        <v>3.9498496052037198E-4</v>
      </c>
      <c r="N1659" s="1271">
        <v>7.8611191127852496E-3</v>
      </c>
      <c r="O1659" s="1257">
        <v>3.0000008598028201E-3</v>
      </c>
      <c r="P1659" s="1257">
        <v>8.4162513366086208E-3</v>
      </c>
      <c r="Q1659" s="1280">
        <v>7.8611191127852496E-3</v>
      </c>
      <c r="R1659" s="1271">
        <v>3.8500011034136201E-2</v>
      </c>
      <c r="S1659" s="1257">
        <v>3.8500011034136201E-2</v>
      </c>
      <c r="T1659" s="1257">
        <v>3.8500011034136201E-2</v>
      </c>
      <c r="U1659" s="1280">
        <v>1.9250005517068101E-2</v>
      </c>
      <c r="V1659" s="1293">
        <v>6.8768584972625302E-3</v>
      </c>
    </row>
    <row r="1660" spans="1:22" s="212" customFormat="1" ht="15.5" x14ac:dyDescent="0.35">
      <c r="A1660" s="198">
        <v>2042</v>
      </c>
      <c r="B1660" s="197" t="s">
        <v>5833</v>
      </c>
      <c r="C1660" s="197">
        <v>2008</v>
      </c>
      <c r="D1660" s="225" t="str">
        <f t="shared" si="10"/>
        <v>2042_2008</v>
      </c>
      <c r="E1660" s="1226">
        <v>6.6098319048700602E-2</v>
      </c>
      <c r="F1660" s="1257">
        <v>1.6884596040176902E-2</v>
      </c>
      <c r="G1660" s="1280">
        <v>6.3632376012425301E-2</v>
      </c>
      <c r="H1660" s="1271">
        <v>0.36412935987496697</v>
      </c>
      <c r="I1660" s="1257">
        <v>0.45329260009510802</v>
      </c>
      <c r="J1660" s="1280">
        <v>0.10455632787044</v>
      </c>
      <c r="K1660" s="1271">
        <v>6.57936864275318E-3</v>
      </c>
      <c r="L1660" s="1257">
        <v>1.6377282565762899E-3</v>
      </c>
      <c r="M1660" s="1280">
        <v>3.9498496052037198E-4</v>
      </c>
      <c r="N1660" s="1271">
        <v>7.8611191127852496E-3</v>
      </c>
      <c r="O1660" s="1257">
        <v>3.0000008598028201E-3</v>
      </c>
      <c r="P1660" s="1257">
        <v>8.4162513366086208E-3</v>
      </c>
      <c r="Q1660" s="1280">
        <v>7.8611191127852496E-3</v>
      </c>
      <c r="R1660" s="1271">
        <v>3.8500011034136201E-2</v>
      </c>
      <c r="S1660" s="1257">
        <v>3.8500011034136201E-2</v>
      </c>
      <c r="T1660" s="1257">
        <v>3.8500011034136201E-2</v>
      </c>
      <c r="U1660" s="1280">
        <v>1.9250005517068101E-2</v>
      </c>
      <c r="V1660" s="1293">
        <v>6.8768584972625302E-3</v>
      </c>
    </row>
    <row r="1661" spans="1:22" s="212" customFormat="1" ht="15.5" x14ac:dyDescent="0.35">
      <c r="A1661" s="198">
        <v>2042</v>
      </c>
      <c r="B1661" s="197" t="s">
        <v>5833</v>
      </c>
      <c r="C1661" s="197">
        <v>2009</v>
      </c>
      <c r="D1661" s="225" t="str">
        <f t="shared" si="10"/>
        <v>2042_2009</v>
      </c>
      <c r="E1661" s="1226">
        <v>6.6098319048700602E-2</v>
      </c>
      <c r="F1661" s="1257">
        <v>1.6884596040176902E-2</v>
      </c>
      <c r="G1661" s="1280">
        <v>6.3632376012425301E-2</v>
      </c>
      <c r="H1661" s="1271">
        <v>0.36412935987496697</v>
      </c>
      <c r="I1661" s="1257">
        <v>0.45329260009510802</v>
      </c>
      <c r="J1661" s="1280">
        <v>0.10455632787044</v>
      </c>
      <c r="K1661" s="1271">
        <v>6.57936864275318E-3</v>
      </c>
      <c r="L1661" s="1257">
        <v>1.6377282565762899E-3</v>
      </c>
      <c r="M1661" s="1280">
        <v>3.9498496052037198E-4</v>
      </c>
      <c r="N1661" s="1271">
        <v>7.8611191127852496E-3</v>
      </c>
      <c r="O1661" s="1257">
        <v>3.0000008598028201E-3</v>
      </c>
      <c r="P1661" s="1257">
        <v>8.4162513366086208E-3</v>
      </c>
      <c r="Q1661" s="1280">
        <v>7.8611191127852496E-3</v>
      </c>
      <c r="R1661" s="1271">
        <v>3.8500011034136201E-2</v>
      </c>
      <c r="S1661" s="1257">
        <v>3.8500011034136201E-2</v>
      </c>
      <c r="T1661" s="1257">
        <v>3.8500011034136201E-2</v>
      </c>
      <c r="U1661" s="1280">
        <v>1.9250005517068101E-2</v>
      </c>
      <c r="V1661" s="1293">
        <v>6.8768584972625302E-3</v>
      </c>
    </row>
    <row r="1662" spans="1:22" s="212" customFormat="1" ht="15.5" x14ac:dyDescent="0.35">
      <c r="A1662" s="198">
        <v>2042</v>
      </c>
      <c r="B1662" s="197" t="s">
        <v>5833</v>
      </c>
      <c r="C1662" s="197">
        <v>2010</v>
      </c>
      <c r="D1662" s="225" t="str">
        <f t="shared" si="10"/>
        <v>2042_2010</v>
      </c>
      <c r="E1662" s="1226">
        <v>6.6098319048700602E-2</v>
      </c>
      <c r="F1662" s="1257">
        <v>1.6884596040176902E-2</v>
      </c>
      <c r="G1662" s="1280">
        <v>6.3632376012425301E-2</v>
      </c>
      <c r="H1662" s="1271">
        <v>0.36412935987496697</v>
      </c>
      <c r="I1662" s="1257">
        <v>0.45329260009510802</v>
      </c>
      <c r="J1662" s="1280">
        <v>0.10455632787044</v>
      </c>
      <c r="K1662" s="1271">
        <v>6.57936864275318E-3</v>
      </c>
      <c r="L1662" s="1257">
        <v>1.6377282565762899E-3</v>
      </c>
      <c r="M1662" s="1280">
        <v>3.9498496052037198E-4</v>
      </c>
      <c r="N1662" s="1271">
        <v>7.8611191127852496E-3</v>
      </c>
      <c r="O1662" s="1257">
        <v>3.0000008598028201E-3</v>
      </c>
      <c r="P1662" s="1257">
        <v>8.4162513366086208E-3</v>
      </c>
      <c r="Q1662" s="1280">
        <v>7.8611191127852496E-3</v>
      </c>
      <c r="R1662" s="1271">
        <v>3.8500011034136201E-2</v>
      </c>
      <c r="S1662" s="1257">
        <v>3.8500011034136201E-2</v>
      </c>
      <c r="T1662" s="1257">
        <v>3.8500011034136201E-2</v>
      </c>
      <c r="U1662" s="1280">
        <v>1.9250005517068101E-2</v>
      </c>
      <c r="V1662" s="1293">
        <v>6.8768584972625302E-3</v>
      </c>
    </row>
    <row r="1663" spans="1:22" s="212" customFormat="1" ht="15.5" x14ac:dyDescent="0.35">
      <c r="A1663" s="198">
        <v>2042</v>
      </c>
      <c r="B1663" s="197" t="s">
        <v>5833</v>
      </c>
      <c r="C1663" s="197">
        <v>2011</v>
      </c>
      <c r="D1663" s="225" t="str">
        <f t="shared" si="10"/>
        <v>2042_2011</v>
      </c>
      <c r="E1663" s="1226">
        <v>6.6098319048700602E-2</v>
      </c>
      <c r="F1663" s="1257">
        <v>1.6884596040176902E-2</v>
      </c>
      <c r="G1663" s="1280">
        <v>6.3632376012425301E-2</v>
      </c>
      <c r="H1663" s="1271">
        <v>0.36412935987496697</v>
      </c>
      <c r="I1663" s="1257">
        <v>0.45329260009510802</v>
      </c>
      <c r="J1663" s="1280">
        <v>0.10455632787044</v>
      </c>
      <c r="K1663" s="1271">
        <v>6.57936864275318E-3</v>
      </c>
      <c r="L1663" s="1257">
        <v>1.6377282565762899E-3</v>
      </c>
      <c r="M1663" s="1280">
        <v>3.9498496052037198E-4</v>
      </c>
      <c r="N1663" s="1271">
        <v>7.8611191127852496E-3</v>
      </c>
      <c r="O1663" s="1257">
        <v>3.0000008598028201E-3</v>
      </c>
      <c r="P1663" s="1257">
        <v>8.4162513366086208E-3</v>
      </c>
      <c r="Q1663" s="1280">
        <v>7.8611191127852496E-3</v>
      </c>
      <c r="R1663" s="1271">
        <v>3.8500011034136201E-2</v>
      </c>
      <c r="S1663" s="1257">
        <v>3.8500011034136201E-2</v>
      </c>
      <c r="T1663" s="1257">
        <v>3.8500011034136201E-2</v>
      </c>
      <c r="U1663" s="1280">
        <v>1.9250005517068101E-2</v>
      </c>
      <c r="V1663" s="1293">
        <v>6.8768584972625302E-3</v>
      </c>
    </row>
    <row r="1664" spans="1:22" s="212" customFormat="1" ht="15.5" x14ac:dyDescent="0.35">
      <c r="A1664" s="198">
        <v>2042</v>
      </c>
      <c r="B1664" s="197" t="s">
        <v>5833</v>
      </c>
      <c r="C1664" s="197">
        <v>2012</v>
      </c>
      <c r="D1664" s="225" t="str">
        <f t="shared" si="10"/>
        <v>2042_2012</v>
      </c>
      <c r="E1664" s="1226">
        <v>6.6098319048700602E-2</v>
      </c>
      <c r="F1664" s="1257">
        <v>1.6884596040176902E-2</v>
      </c>
      <c r="G1664" s="1280">
        <v>6.3632376012425301E-2</v>
      </c>
      <c r="H1664" s="1271">
        <v>0.36412935987496697</v>
      </c>
      <c r="I1664" s="1257">
        <v>0.45329260009510802</v>
      </c>
      <c r="J1664" s="1280">
        <v>0.10455632787044</v>
      </c>
      <c r="K1664" s="1271">
        <v>6.57936864275318E-3</v>
      </c>
      <c r="L1664" s="1257">
        <v>1.6377282565762899E-3</v>
      </c>
      <c r="M1664" s="1280">
        <v>3.9498496052037198E-4</v>
      </c>
      <c r="N1664" s="1271">
        <v>7.8611191127852496E-3</v>
      </c>
      <c r="O1664" s="1257">
        <v>3.0000008598028201E-3</v>
      </c>
      <c r="P1664" s="1257">
        <v>8.4162513366086208E-3</v>
      </c>
      <c r="Q1664" s="1280">
        <v>7.8611191127852496E-3</v>
      </c>
      <c r="R1664" s="1271">
        <v>3.8500011034136201E-2</v>
      </c>
      <c r="S1664" s="1257">
        <v>3.8500011034136201E-2</v>
      </c>
      <c r="T1664" s="1257">
        <v>3.8500011034136201E-2</v>
      </c>
      <c r="U1664" s="1280">
        <v>1.9250005517068101E-2</v>
      </c>
      <c r="V1664" s="1293">
        <v>6.8768584972625302E-3</v>
      </c>
    </row>
    <row r="1665" spans="1:22" s="212" customFormat="1" ht="15.5" x14ac:dyDescent="0.35">
      <c r="A1665" s="198">
        <v>2042</v>
      </c>
      <c r="B1665" s="197" t="s">
        <v>5833</v>
      </c>
      <c r="C1665" s="197">
        <v>2013</v>
      </c>
      <c r="D1665" s="225" t="str">
        <f t="shared" si="10"/>
        <v>2042_2013</v>
      </c>
      <c r="E1665" s="1226">
        <v>6.6098319048700602E-2</v>
      </c>
      <c r="F1665" s="1257">
        <v>1.6884596040176902E-2</v>
      </c>
      <c r="G1665" s="1280">
        <v>6.3632376012425301E-2</v>
      </c>
      <c r="H1665" s="1271">
        <v>0.36412935987496697</v>
      </c>
      <c r="I1665" s="1257">
        <v>0.45329260009510802</v>
      </c>
      <c r="J1665" s="1280">
        <v>0.10455632787044</v>
      </c>
      <c r="K1665" s="1271">
        <v>6.57936864275318E-3</v>
      </c>
      <c r="L1665" s="1257">
        <v>1.6377282565762899E-3</v>
      </c>
      <c r="M1665" s="1280">
        <v>3.9498496052037198E-4</v>
      </c>
      <c r="N1665" s="1271">
        <v>7.8611191127852496E-3</v>
      </c>
      <c r="O1665" s="1257">
        <v>3.0000008598028201E-3</v>
      </c>
      <c r="P1665" s="1257">
        <v>8.4162513366086208E-3</v>
      </c>
      <c r="Q1665" s="1280">
        <v>7.8611191127852496E-3</v>
      </c>
      <c r="R1665" s="1271">
        <v>3.8500011034136201E-2</v>
      </c>
      <c r="S1665" s="1257">
        <v>3.8500011034136201E-2</v>
      </c>
      <c r="T1665" s="1257">
        <v>3.8500011034136201E-2</v>
      </c>
      <c r="U1665" s="1280">
        <v>1.9250005517068101E-2</v>
      </c>
      <c r="V1665" s="1293">
        <v>6.8768584972625302E-3</v>
      </c>
    </row>
    <row r="1666" spans="1:22" s="212" customFormat="1" ht="15.5" x14ac:dyDescent="0.35">
      <c r="A1666" s="198">
        <v>2042</v>
      </c>
      <c r="B1666" s="197" t="s">
        <v>5833</v>
      </c>
      <c r="C1666" s="197">
        <v>2014</v>
      </c>
      <c r="D1666" s="225" t="str">
        <f t="shared" si="10"/>
        <v>2042_2014</v>
      </c>
      <c r="E1666" s="1226">
        <v>6.6098319048700602E-2</v>
      </c>
      <c r="F1666" s="1257">
        <v>1.6884596040176902E-2</v>
      </c>
      <c r="G1666" s="1280">
        <v>6.3632376012425301E-2</v>
      </c>
      <c r="H1666" s="1271">
        <v>0.36412935987496697</v>
      </c>
      <c r="I1666" s="1257">
        <v>0.45329260009510802</v>
      </c>
      <c r="J1666" s="1280">
        <v>0.10455632787044</v>
      </c>
      <c r="K1666" s="1271">
        <v>6.57936864275318E-3</v>
      </c>
      <c r="L1666" s="1257">
        <v>1.6377282565762899E-3</v>
      </c>
      <c r="M1666" s="1280">
        <v>3.9498496052037198E-4</v>
      </c>
      <c r="N1666" s="1271">
        <v>7.8611191127852496E-3</v>
      </c>
      <c r="O1666" s="1257">
        <v>3.0000008598028201E-3</v>
      </c>
      <c r="P1666" s="1257">
        <v>8.4162513366086208E-3</v>
      </c>
      <c r="Q1666" s="1280">
        <v>7.8611191127852496E-3</v>
      </c>
      <c r="R1666" s="1271">
        <v>3.8500011034136201E-2</v>
      </c>
      <c r="S1666" s="1257">
        <v>3.8500011034136201E-2</v>
      </c>
      <c r="T1666" s="1257">
        <v>3.8500011034136201E-2</v>
      </c>
      <c r="U1666" s="1280">
        <v>1.9250005517068101E-2</v>
      </c>
      <c r="V1666" s="1293">
        <v>6.8768584972625302E-3</v>
      </c>
    </row>
    <row r="1667" spans="1:22" s="212" customFormat="1" ht="15.5" x14ac:dyDescent="0.35">
      <c r="A1667" s="198">
        <v>2042</v>
      </c>
      <c r="B1667" s="197" t="s">
        <v>5833</v>
      </c>
      <c r="C1667" s="197">
        <v>2015</v>
      </c>
      <c r="D1667" s="225" t="str">
        <f t="shared" si="10"/>
        <v>2042_2015</v>
      </c>
      <c r="E1667" s="1226">
        <v>6.6098319048700602E-2</v>
      </c>
      <c r="F1667" s="1257">
        <v>1.6884596040176902E-2</v>
      </c>
      <c r="G1667" s="1280">
        <v>6.3632376012425301E-2</v>
      </c>
      <c r="H1667" s="1271">
        <v>0.36412935987496697</v>
      </c>
      <c r="I1667" s="1257">
        <v>0.45329260009510802</v>
      </c>
      <c r="J1667" s="1280">
        <v>0.10455632787044</v>
      </c>
      <c r="K1667" s="1271">
        <v>6.57936864275318E-3</v>
      </c>
      <c r="L1667" s="1257">
        <v>1.6377282565762899E-3</v>
      </c>
      <c r="M1667" s="1280">
        <v>3.9498496052037198E-4</v>
      </c>
      <c r="N1667" s="1271">
        <v>7.8611191127852496E-3</v>
      </c>
      <c r="O1667" s="1257">
        <v>3.0000008598028201E-3</v>
      </c>
      <c r="P1667" s="1257">
        <v>8.4162513366086208E-3</v>
      </c>
      <c r="Q1667" s="1280">
        <v>7.8611191127852496E-3</v>
      </c>
      <c r="R1667" s="1271">
        <v>3.8500011034136201E-2</v>
      </c>
      <c r="S1667" s="1257">
        <v>3.8500011034136201E-2</v>
      </c>
      <c r="T1667" s="1257">
        <v>3.8500011034136201E-2</v>
      </c>
      <c r="U1667" s="1280">
        <v>1.9250005517068101E-2</v>
      </c>
      <c r="V1667" s="1293">
        <v>6.8768584972625302E-3</v>
      </c>
    </row>
    <row r="1668" spans="1:22" s="212" customFormat="1" ht="15.5" x14ac:dyDescent="0.35">
      <c r="A1668" s="198">
        <v>2042</v>
      </c>
      <c r="B1668" s="197" t="s">
        <v>5833</v>
      </c>
      <c r="C1668" s="197">
        <v>2016</v>
      </c>
      <c r="D1668" s="225" t="str">
        <f t="shared" si="10"/>
        <v>2042_2016</v>
      </c>
      <c r="E1668" s="1226">
        <v>6.6098319048700602E-2</v>
      </c>
      <c r="F1668" s="1257">
        <v>1.6884596040176902E-2</v>
      </c>
      <c r="G1668" s="1280">
        <v>6.3632376012425301E-2</v>
      </c>
      <c r="H1668" s="1271">
        <v>0.36412935987496697</v>
      </c>
      <c r="I1668" s="1257">
        <v>0.45329260009510802</v>
      </c>
      <c r="J1668" s="1280">
        <v>0.10455632787044</v>
      </c>
      <c r="K1668" s="1271">
        <v>6.57936864275318E-3</v>
      </c>
      <c r="L1668" s="1257">
        <v>1.6377282565762899E-3</v>
      </c>
      <c r="M1668" s="1280">
        <v>3.9498496052037198E-4</v>
      </c>
      <c r="N1668" s="1271">
        <v>7.8611191127852496E-3</v>
      </c>
      <c r="O1668" s="1257">
        <v>3.0000008598028201E-3</v>
      </c>
      <c r="P1668" s="1257">
        <v>8.4162513366086208E-3</v>
      </c>
      <c r="Q1668" s="1280">
        <v>7.8611191127852496E-3</v>
      </c>
      <c r="R1668" s="1271">
        <v>3.8500011034136201E-2</v>
      </c>
      <c r="S1668" s="1257">
        <v>3.8500011034136201E-2</v>
      </c>
      <c r="T1668" s="1257">
        <v>3.8500011034136201E-2</v>
      </c>
      <c r="U1668" s="1280">
        <v>1.9250005517068101E-2</v>
      </c>
      <c r="V1668" s="1293">
        <v>6.8768584972625302E-3</v>
      </c>
    </row>
    <row r="1669" spans="1:22" s="212" customFormat="1" ht="15.5" x14ac:dyDescent="0.35">
      <c r="A1669" s="198">
        <v>2042</v>
      </c>
      <c r="B1669" s="197" t="s">
        <v>5833</v>
      </c>
      <c r="C1669" s="197">
        <v>2017</v>
      </c>
      <c r="D1669" s="225" t="str">
        <f t="shared" si="10"/>
        <v>2042_2017</v>
      </c>
      <c r="E1669" s="1226">
        <v>6.6098319048700602E-2</v>
      </c>
      <c r="F1669" s="1257">
        <v>1.6884596040176902E-2</v>
      </c>
      <c r="G1669" s="1280">
        <v>6.3632376012425301E-2</v>
      </c>
      <c r="H1669" s="1271">
        <v>0.36412935987496697</v>
      </c>
      <c r="I1669" s="1257">
        <v>0.45329260009510802</v>
      </c>
      <c r="J1669" s="1280">
        <v>0.10455632787044</v>
      </c>
      <c r="K1669" s="1271">
        <v>6.57936864275318E-3</v>
      </c>
      <c r="L1669" s="1257">
        <v>1.6377282565762899E-3</v>
      </c>
      <c r="M1669" s="1280">
        <v>3.9498496052037198E-4</v>
      </c>
      <c r="N1669" s="1271">
        <v>7.8611191127852496E-3</v>
      </c>
      <c r="O1669" s="1257">
        <v>3.0000008598028201E-3</v>
      </c>
      <c r="P1669" s="1257">
        <v>8.4162513366086208E-3</v>
      </c>
      <c r="Q1669" s="1280">
        <v>7.8611191127852496E-3</v>
      </c>
      <c r="R1669" s="1271">
        <v>3.8500011034136201E-2</v>
      </c>
      <c r="S1669" s="1257">
        <v>3.8500011034136201E-2</v>
      </c>
      <c r="T1669" s="1257">
        <v>3.8500011034136201E-2</v>
      </c>
      <c r="U1669" s="1280">
        <v>1.9250005517068101E-2</v>
      </c>
      <c r="V1669" s="1293">
        <v>6.8768584972625302E-3</v>
      </c>
    </row>
    <row r="1670" spans="1:22" s="212" customFormat="1" ht="15.5" x14ac:dyDescent="0.35">
      <c r="A1670" s="198">
        <v>2042</v>
      </c>
      <c r="B1670" s="197" t="s">
        <v>5833</v>
      </c>
      <c r="C1670" s="197">
        <v>2018</v>
      </c>
      <c r="D1670" s="225" t="str">
        <f t="shared" si="10"/>
        <v>2042_2018</v>
      </c>
      <c r="E1670" s="1226">
        <v>6.6098319048700602E-2</v>
      </c>
      <c r="F1670" s="1257">
        <v>1.6884596040176902E-2</v>
      </c>
      <c r="G1670" s="1280">
        <v>6.3632376012425301E-2</v>
      </c>
      <c r="H1670" s="1271">
        <v>0.36412935987496697</v>
      </c>
      <c r="I1670" s="1257">
        <v>0.45329260009510802</v>
      </c>
      <c r="J1670" s="1280">
        <v>0.10455632787044</v>
      </c>
      <c r="K1670" s="1271">
        <v>6.57936864275318E-3</v>
      </c>
      <c r="L1670" s="1257">
        <v>1.6377282565762899E-3</v>
      </c>
      <c r="M1670" s="1280">
        <v>3.9498496052037198E-4</v>
      </c>
      <c r="N1670" s="1271">
        <v>7.8611191127852496E-3</v>
      </c>
      <c r="O1670" s="1257">
        <v>3.0000008598028201E-3</v>
      </c>
      <c r="P1670" s="1257">
        <v>8.4162513366086208E-3</v>
      </c>
      <c r="Q1670" s="1280">
        <v>7.8611191127852496E-3</v>
      </c>
      <c r="R1670" s="1271">
        <v>3.8500011034136201E-2</v>
      </c>
      <c r="S1670" s="1257">
        <v>3.8500011034136201E-2</v>
      </c>
      <c r="T1670" s="1257">
        <v>3.8500011034136201E-2</v>
      </c>
      <c r="U1670" s="1280">
        <v>1.9250005517068101E-2</v>
      </c>
      <c r="V1670" s="1293">
        <v>6.8768584972625302E-3</v>
      </c>
    </row>
    <row r="1671" spans="1:22" s="212" customFormat="1" ht="15.5" x14ac:dyDescent="0.35">
      <c r="A1671" s="198">
        <v>2042</v>
      </c>
      <c r="B1671" s="197" t="s">
        <v>5833</v>
      </c>
      <c r="C1671" s="197">
        <v>2019</v>
      </c>
      <c r="D1671" s="225" t="str">
        <f t="shared" si="10"/>
        <v>2042_2019</v>
      </c>
      <c r="E1671" s="1226">
        <v>6.6098319048700602E-2</v>
      </c>
      <c r="F1671" s="1257">
        <v>1.6884596040176902E-2</v>
      </c>
      <c r="G1671" s="1280">
        <v>6.3632376012425301E-2</v>
      </c>
      <c r="H1671" s="1271">
        <v>0.36412935987496697</v>
      </c>
      <c r="I1671" s="1257">
        <v>0.45329260009510802</v>
      </c>
      <c r="J1671" s="1280">
        <v>0.10455632787044</v>
      </c>
      <c r="K1671" s="1271">
        <v>6.57936864275318E-3</v>
      </c>
      <c r="L1671" s="1257">
        <v>1.6377282565762899E-3</v>
      </c>
      <c r="M1671" s="1280">
        <v>3.9498496052037198E-4</v>
      </c>
      <c r="N1671" s="1271">
        <v>7.8611191127852496E-3</v>
      </c>
      <c r="O1671" s="1257">
        <v>3.0000008598028201E-3</v>
      </c>
      <c r="P1671" s="1257">
        <v>8.4162513366086208E-3</v>
      </c>
      <c r="Q1671" s="1280">
        <v>7.8611191127852496E-3</v>
      </c>
      <c r="R1671" s="1271">
        <v>3.8500011034136201E-2</v>
      </c>
      <c r="S1671" s="1257">
        <v>3.8500011034136201E-2</v>
      </c>
      <c r="T1671" s="1257">
        <v>3.8500011034136201E-2</v>
      </c>
      <c r="U1671" s="1280">
        <v>1.9250005517068101E-2</v>
      </c>
      <c r="V1671" s="1293">
        <v>6.8768584972625302E-3</v>
      </c>
    </row>
    <row r="1672" spans="1:22" s="212" customFormat="1" ht="15.5" x14ac:dyDescent="0.35">
      <c r="A1672" s="198">
        <v>2042</v>
      </c>
      <c r="B1672" s="197" t="s">
        <v>5833</v>
      </c>
      <c r="C1672" s="197">
        <v>2020</v>
      </c>
      <c r="D1672" s="225" t="str">
        <f t="shared" si="10"/>
        <v>2042_2020</v>
      </c>
      <c r="E1672" s="1226">
        <v>6.6098319048700602E-2</v>
      </c>
      <c r="F1672" s="1257">
        <v>1.6884596040176902E-2</v>
      </c>
      <c r="G1672" s="1280">
        <v>6.3632376012425301E-2</v>
      </c>
      <c r="H1672" s="1271">
        <v>0.36412935987496697</v>
      </c>
      <c r="I1672" s="1257">
        <v>0.45329260009510802</v>
      </c>
      <c r="J1672" s="1280">
        <v>0.10455632787044</v>
      </c>
      <c r="K1672" s="1271">
        <v>6.57936864275318E-3</v>
      </c>
      <c r="L1672" s="1257">
        <v>1.6377282565762899E-3</v>
      </c>
      <c r="M1672" s="1280">
        <v>3.9498496052037198E-4</v>
      </c>
      <c r="N1672" s="1271">
        <v>7.8611191127852496E-3</v>
      </c>
      <c r="O1672" s="1257">
        <v>3.0000008598028201E-3</v>
      </c>
      <c r="P1672" s="1257">
        <v>8.4162513366086208E-3</v>
      </c>
      <c r="Q1672" s="1280">
        <v>7.8611191127852496E-3</v>
      </c>
      <c r="R1672" s="1271">
        <v>3.8500011034136201E-2</v>
      </c>
      <c r="S1672" s="1257">
        <v>3.8500011034136201E-2</v>
      </c>
      <c r="T1672" s="1257">
        <v>3.8500011034136201E-2</v>
      </c>
      <c r="U1672" s="1280">
        <v>1.9250005517068101E-2</v>
      </c>
      <c r="V1672" s="1293">
        <v>6.8768584972625302E-3</v>
      </c>
    </row>
    <row r="1673" spans="1:22" s="212" customFormat="1" ht="15.5" x14ac:dyDescent="0.35">
      <c r="A1673" s="198">
        <v>2042</v>
      </c>
      <c r="B1673" s="197" t="s">
        <v>5833</v>
      </c>
      <c r="C1673" s="197">
        <v>2021</v>
      </c>
      <c r="D1673" s="225" t="str">
        <f t="shared" si="10"/>
        <v>2042_2021</v>
      </c>
      <c r="E1673" s="1226">
        <v>6.6098319048700602E-2</v>
      </c>
      <c r="F1673" s="1257">
        <v>1.6884596040176902E-2</v>
      </c>
      <c r="G1673" s="1280">
        <v>6.3632376012425301E-2</v>
      </c>
      <c r="H1673" s="1271">
        <v>0.36412935987496697</v>
      </c>
      <c r="I1673" s="1257">
        <v>0.45329260009510802</v>
      </c>
      <c r="J1673" s="1280">
        <v>0.10455632787044</v>
      </c>
      <c r="K1673" s="1271">
        <v>6.57936864275318E-3</v>
      </c>
      <c r="L1673" s="1257">
        <v>1.6377282565762899E-3</v>
      </c>
      <c r="M1673" s="1280">
        <v>3.9498496052037198E-4</v>
      </c>
      <c r="N1673" s="1271">
        <v>7.8611191127852496E-3</v>
      </c>
      <c r="O1673" s="1257">
        <v>3.0000008598028201E-3</v>
      </c>
      <c r="P1673" s="1257">
        <v>8.4162513366086208E-3</v>
      </c>
      <c r="Q1673" s="1280">
        <v>7.8611191127852496E-3</v>
      </c>
      <c r="R1673" s="1271">
        <v>3.8500011034136201E-2</v>
      </c>
      <c r="S1673" s="1257">
        <v>3.8500011034136201E-2</v>
      </c>
      <c r="T1673" s="1257">
        <v>3.8500011034136201E-2</v>
      </c>
      <c r="U1673" s="1280">
        <v>1.9250005517068101E-2</v>
      </c>
      <c r="V1673" s="1293">
        <v>6.8768584972625302E-3</v>
      </c>
    </row>
    <row r="1674" spans="1:22" s="212" customFormat="1" ht="15.5" x14ac:dyDescent="0.35">
      <c r="A1674" s="198">
        <v>2042</v>
      </c>
      <c r="B1674" s="197" t="s">
        <v>5833</v>
      </c>
      <c r="C1674" s="197">
        <v>2022</v>
      </c>
      <c r="D1674" s="225" t="str">
        <f t="shared" si="10"/>
        <v>2042_2022</v>
      </c>
      <c r="E1674" s="1226">
        <v>6.6098319048700602E-2</v>
      </c>
      <c r="F1674" s="1257">
        <v>1.6884596040176902E-2</v>
      </c>
      <c r="G1674" s="1280">
        <v>6.3632376012425301E-2</v>
      </c>
      <c r="H1674" s="1271">
        <v>0.36412935987496697</v>
      </c>
      <c r="I1674" s="1257">
        <v>0.45329260009510802</v>
      </c>
      <c r="J1674" s="1280">
        <v>0.10455632787044</v>
      </c>
      <c r="K1674" s="1271">
        <v>6.57936864275318E-3</v>
      </c>
      <c r="L1674" s="1257">
        <v>1.6377282565762899E-3</v>
      </c>
      <c r="M1674" s="1280">
        <v>3.9498496052037198E-4</v>
      </c>
      <c r="N1674" s="1271">
        <v>7.8611191127852496E-3</v>
      </c>
      <c r="O1674" s="1257">
        <v>3.0000008598028201E-3</v>
      </c>
      <c r="P1674" s="1257">
        <v>8.4162513366086208E-3</v>
      </c>
      <c r="Q1674" s="1280">
        <v>7.8611191127852496E-3</v>
      </c>
      <c r="R1674" s="1271">
        <v>3.8500011034136201E-2</v>
      </c>
      <c r="S1674" s="1257">
        <v>3.8500011034136201E-2</v>
      </c>
      <c r="T1674" s="1257">
        <v>3.8500011034136201E-2</v>
      </c>
      <c r="U1674" s="1280">
        <v>1.9250005517068101E-2</v>
      </c>
      <c r="V1674" s="1293">
        <v>6.8768584972625302E-3</v>
      </c>
    </row>
    <row r="1675" spans="1:22" s="212" customFormat="1" ht="15.5" x14ac:dyDescent="0.35">
      <c r="A1675" s="198">
        <v>2042</v>
      </c>
      <c r="B1675" s="197" t="s">
        <v>5833</v>
      </c>
      <c r="C1675" s="197">
        <v>2023</v>
      </c>
      <c r="D1675" s="225" t="str">
        <f t="shared" si="10"/>
        <v>2042_2023</v>
      </c>
      <c r="E1675" s="1226">
        <v>6.6098319048700602E-2</v>
      </c>
      <c r="F1675" s="1257">
        <v>1.6884596040176902E-2</v>
      </c>
      <c r="G1675" s="1280">
        <v>6.3632376012425301E-2</v>
      </c>
      <c r="H1675" s="1271">
        <v>0.36412935987496697</v>
      </c>
      <c r="I1675" s="1257">
        <v>0.45329260009510802</v>
      </c>
      <c r="J1675" s="1280">
        <v>0.10455632787044</v>
      </c>
      <c r="K1675" s="1271">
        <v>6.57936864275318E-3</v>
      </c>
      <c r="L1675" s="1257">
        <v>1.6377282565762899E-3</v>
      </c>
      <c r="M1675" s="1280">
        <v>3.9498496052037198E-4</v>
      </c>
      <c r="N1675" s="1271">
        <v>7.8611191127852496E-3</v>
      </c>
      <c r="O1675" s="1257">
        <v>3.0000008598028201E-3</v>
      </c>
      <c r="P1675" s="1257">
        <v>8.4162513366086208E-3</v>
      </c>
      <c r="Q1675" s="1280">
        <v>7.8611191127852496E-3</v>
      </c>
      <c r="R1675" s="1271">
        <v>3.8500011034136201E-2</v>
      </c>
      <c r="S1675" s="1257">
        <v>3.8500011034136201E-2</v>
      </c>
      <c r="T1675" s="1257">
        <v>3.8500011034136201E-2</v>
      </c>
      <c r="U1675" s="1280">
        <v>1.9250005517068101E-2</v>
      </c>
      <c r="V1675" s="1293">
        <v>6.8768584972625302E-3</v>
      </c>
    </row>
    <row r="1676" spans="1:22" s="212" customFormat="1" ht="15.5" x14ac:dyDescent="0.35">
      <c r="A1676" s="198">
        <v>2042</v>
      </c>
      <c r="B1676" s="197" t="s">
        <v>5833</v>
      </c>
      <c r="C1676" s="197">
        <v>2024</v>
      </c>
      <c r="D1676" s="225" t="str">
        <f t="shared" si="10"/>
        <v>2042_2024</v>
      </c>
      <c r="E1676" s="1226">
        <v>6.6098319048700602E-2</v>
      </c>
      <c r="F1676" s="1257">
        <v>1.6884596040176902E-2</v>
      </c>
      <c r="G1676" s="1280">
        <v>6.3632376012425301E-2</v>
      </c>
      <c r="H1676" s="1271">
        <v>0.36412935987496697</v>
      </c>
      <c r="I1676" s="1257">
        <v>0.45329260009510802</v>
      </c>
      <c r="J1676" s="1280">
        <v>0.10455632787044</v>
      </c>
      <c r="K1676" s="1271">
        <v>6.57936864275318E-3</v>
      </c>
      <c r="L1676" s="1257">
        <v>1.6377282565762899E-3</v>
      </c>
      <c r="M1676" s="1280">
        <v>3.9498496052037198E-4</v>
      </c>
      <c r="N1676" s="1271">
        <v>7.8611191127852496E-3</v>
      </c>
      <c r="O1676" s="1257">
        <v>3.0000008598028201E-3</v>
      </c>
      <c r="P1676" s="1257">
        <v>8.4162513366086208E-3</v>
      </c>
      <c r="Q1676" s="1280">
        <v>7.8611191127852496E-3</v>
      </c>
      <c r="R1676" s="1271">
        <v>3.8500011034136201E-2</v>
      </c>
      <c r="S1676" s="1257">
        <v>3.8500011034136201E-2</v>
      </c>
      <c r="T1676" s="1257">
        <v>3.8500011034136201E-2</v>
      </c>
      <c r="U1676" s="1280">
        <v>1.9250005517068101E-2</v>
      </c>
      <c r="V1676" s="1293">
        <v>6.8768584972625302E-3</v>
      </c>
    </row>
    <row r="1677" spans="1:22" s="212" customFormat="1" ht="15.5" x14ac:dyDescent="0.35">
      <c r="A1677" s="198">
        <v>2042</v>
      </c>
      <c r="B1677" s="197" t="s">
        <v>5833</v>
      </c>
      <c r="C1677" s="197">
        <v>2025</v>
      </c>
      <c r="D1677" s="225" t="str">
        <f t="shared" si="10"/>
        <v>2042_2025</v>
      </c>
      <c r="E1677" s="1226">
        <v>6.6098319048700602E-2</v>
      </c>
      <c r="F1677" s="1257">
        <v>1.6884596040176902E-2</v>
      </c>
      <c r="G1677" s="1280">
        <v>6.3632376012425301E-2</v>
      </c>
      <c r="H1677" s="1271">
        <v>0.36412935987496697</v>
      </c>
      <c r="I1677" s="1257">
        <v>0.45329260009510802</v>
      </c>
      <c r="J1677" s="1280">
        <v>0.10455632787044</v>
      </c>
      <c r="K1677" s="1271">
        <v>6.57936864275318E-3</v>
      </c>
      <c r="L1677" s="1257">
        <v>1.6377282565762899E-3</v>
      </c>
      <c r="M1677" s="1280">
        <v>3.9498496052037198E-4</v>
      </c>
      <c r="N1677" s="1271">
        <v>7.8611191127852496E-3</v>
      </c>
      <c r="O1677" s="1257">
        <v>3.0000008598028201E-3</v>
      </c>
      <c r="P1677" s="1257">
        <v>8.4162513366086208E-3</v>
      </c>
      <c r="Q1677" s="1280">
        <v>7.8611191127852496E-3</v>
      </c>
      <c r="R1677" s="1271">
        <v>3.8500011034136201E-2</v>
      </c>
      <c r="S1677" s="1257">
        <v>3.8500011034136201E-2</v>
      </c>
      <c r="T1677" s="1257">
        <v>3.8500011034136201E-2</v>
      </c>
      <c r="U1677" s="1280">
        <v>1.9250005517068101E-2</v>
      </c>
      <c r="V1677" s="1293">
        <v>6.8768584972625302E-3</v>
      </c>
    </row>
    <row r="1678" spans="1:22" s="212" customFormat="1" ht="15.5" x14ac:dyDescent="0.35">
      <c r="A1678" s="198">
        <v>2042</v>
      </c>
      <c r="B1678" s="197" t="s">
        <v>5833</v>
      </c>
      <c r="C1678" s="197">
        <v>2026</v>
      </c>
      <c r="D1678" s="225" t="str">
        <f t="shared" si="10"/>
        <v>2042_2026</v>
      </c>
      <c r="E1678" s="1226">
        <v>6.6098319048700602E-2</v>
      </c>
      <c r="F1678" s="1257">
        <v>1.6884596040176902E-2</v>
      </c>
      <c r="G1678" s="1280">
        <v>6.3632376012425301E-2</v>
      </c>
      <c r="H1678" s="1271">
        <v>0.36412935987496697</v>
      </c>
      <c r="I1678" s="1257">
        <v>0.45329260009510802</v>
      </c>
      <c r="J1678" s="1280">
        <v>0.10455632787044</v>
      </c>
      <c r="K1678" s="1271">
        <v>6.57936864275318E-3</v>
      </c>
      <c r="L1678" s="1257">
        <v>1.6377282565762899E-3</v>
      </c>
      <c r="M1678" s="1280">
        <v>3.9498496052037198E-4</v>
      </c>
      <c r="N1678" s="1271">
        <v>7.8611191127852496E-3</v>
      </c>
      <c r="O1678" s="1257">
        <v>3.0000008598028201E-3</v>
      </c>
      <c r="P1678" s="1257">
        <v>8.4162513366086208E-3</v>
      </c>
      <c r="Q1678" s="1280">
        <v>7.8611191127852496E-3</v>
      </c>
      <c r="R1678" s="1271">
        <v>3.8500011034136201E-2</v>
      </c>
      <c r="S1678" s="1257">
        <v>3.8500011034136201E-2</v>
      </c>
      <c r="T1678" s="1257">
        <v>3.8500011034136201E-2</v>
      </c>
      <c r="U1678" s="1280">
        <v>1.9250005517068101E-2</v>
      </c>
      <c r="V1678" s="1293">
        <v>6.8768584972625302E-3</v>
      </c>
    </row>
    <row r="1679" spans="1:22" s="212" customFormat="1" ht="15.5" x14ac:dyDescent="0.35">
      <c r="A1679" s="198">
        <v>2042</v>
      </c>
      <c r="B1679" s="197" t="s">
        <v>5833</v>
      </c>
      <c r="C1679" s="197">
        <v>2027</v>
      </c>
      <c r="D1679" s="225" t="str">
        <f t="shared" si="10"/>
        <v>2042_2027</v>
      </c>
      <c r="E1679" s="1226">
        <v>6.6098319048700602E-2</v>
      </c>
      <c r="F1679" s="1257">
        <v>1.6884596040176902E-2</v>
      </c>
      <c r="G1679" s="1280">
        <v>6.3632376012425301E-2</v>
      </c>
      <c r="H1679" s="1271">
        <v>0.36412935987496697</v>
      </c>
      <c r="I1679" s="1257">
        <v>0.45329260009510802</v>
      </c>
      <c r="J1679" s="1280">
        <v>0.10455632787044</v>
      </c>
      <c r="K1679" s="1271">
        <v>6.57936864275318E-3</v>
      </c>
      <c r="L1679" s="1257">
        <v>1.6377282565762899E-3</v>
      </c>
      <c r="M1679" s="1280">
        <v>3.9498496052037198E-4</v>
      </c>
      <c r="N1679" s="1271">
        <v>7.8611191127852496E-3</v>
      </c>
      <c r="O1679" s="1257">
        <v>3.0000008598028201E-3</v>
      </c>
      <c r="P1679" s="1257">
        <v>8.4162513366086208E-3</v>
      </c>
      <c r="Q1679" s="1280">
        <v>7.8611191127852496E-3</v>
      </c>
      <c r="R1679" s="1271">
        <v>3.8500011034136201E-2</v>
      </c>
      <c r="S1679" s="1257">
        <v>3.8500011034136201E-2</v>
      </c>
      <c r="T1679" s="1257">
        <v>3.8500011034136201E-2</v>
      </c>
      <c r="U1679" s="1280">
        <v>1.9250005517068101E-2</v>
      </c>
      <c r="V1679" s="1293">
        <v>6.8768584972625302E-3</v>
      </c>
    </row>
    <row r="1680" spans="1:22" s="212" customFormat="1" ht="15.5" x14ac:dyDescent="0.35">
      <c r="A1680" s="198">
        <v>2042</v>
      </c>
      <c r="B1680" s="197" t="s">
        <v>5833</v>
      </c>
      <c r="C1680" s="197">
        <v>2028</v>
      </c>
      <c r="D1680" s="225" t="str">
        <f t="shared" si="10"/>
        <v>2042_2028</v>
      </c>
      <c r="E1680" s="1231">
        <v>6.6098319048700602E-2</v>
      </c>
      <c r="F1680" s="1288">
        <v>1.6884596040176902E-2</v>
      </c>
      <c r="G1680" s="1306">
        <v>6.3632376012425301E-2</v>
      </c>
      <c r="H1680" s="1303">
        <v>0.36412935987496697</v>
      </c>
      <c r="I1680" s="1288">
        <v>0.45329260009510802</v>
      </c>
      <c r="J1680" s="1306">
        <v>0.10455632787044</v>
      </c>
      <c r="K1680" s="1303">
        <v>6.57936864275318E-3</v>
      </c>
      <c r="L1680" s="1288">
        <v>1.6377282565762899E-3</v>
      </c>
      <c r="M1680" s="1306">
        <v>3.9498496052037198E-4</v>
      </c>
      <c r="N1680" s="1303">
        <v>7.8611191127852496E-3</v>
      </c>
      <c r="O1680" s="1288">
        <v>3.0000008598028201E-3</v>
      </c>
      <c r="P1680" s="1288">
        <v>8.4162513366086208E-3</v>
      </c>
      <c r="Q1680" s="1306">
        <v>7.9427433315009295E-3</v>
      </c>
      <c r="R1680" s="1303">
        <v>3.8500011034136201E-2</v>
      </c>
      <c r="S1680" s="1288">
        <v>3.8500011034136201E-2</v>
      </c>
      <c r="T1680" s="1288">
        <v>3.8500011034136201E-2</v>
      </c>
      <c r="U1680" s="1306">
        <v>1.9250005517068101E-2</v>
      </c>
      <c r="V1680" s="1294">
        <v>6.8768584972625302E-3</v>
      </c>
    </row>
    <row r="1681" spans="1:22" s="212" customFormat="1" ht="15.5" x14ac:dyDescent="0.35">
      <c r="A1681" s="198">
        <v>2042</v>
      </c>
      <c r="B1681" s="197" t="s">
        <v>5833</v>
      </c>
      <c r="C1681" s="197">
        <v>2029</v>
      </c>
      <c r="D1681" s="225" t="str">
        <f t="shared" si="10"/>
        <v>2042_2029</v>
      </c>
      <c r="E1681" s="1231">
        <v>6.2964751342046807E-2</v>
      </c>
      <c r="F1681" s="1288">
        <v>1.39776570608351E-2</v>
      </c>
      <c r="G1681" s="1306">
        <v>6.5236575471682504E-2</v>
      </c>
      <c r="H1681" s="1303">
        <v>0.34158364437193001</v>
      </c>
      <c r="I1681" s="1288">
        <v>0.40091419310495402</v>
      </c>
      <c r="J1681" s="1306">
        <v>0.114339249554226</v>
      </c>
      <c r="K1681" s="1303">
        <v>6.1783183626787398E-3</v>
      </c>
      <c r="L1681" s="1288">
        <v>1.36221468708339E-3</v>
      </c>
      <c r="M1681" s="1306">
        <v>4.1729071377394502E-4</v>
      </c>
      <c r="N1681" s="1303">
        <v>7.4375925411813704E-3</v>
      </c>
      <c r="O1681" s="1288">
        <v>3.0000008598028201E-3</v>
      </c>
      <c r="P1681" s="1288">
        <v>8.6984472514647793E-3</v>
      </c>
      <c r="Q1681" s="1306">
        <v>8.3085958763830601E-3</v>
      </c>
      <c r="R1681" s="1303">
        <v>3.8500011034136201E-2</v>
      </c>
      <c r="S1681" s="1288">
        <v>3.8500011034136097E-2</v>
      </c>
      <c r="T1681" s="1288">
        <v>3.8500011034136201E-2</v>
      </c>
      <c r="U1681" s="1306">
        <v>1.9250005517068101E-2</v>
      </c>
      <c r="V1681" s="1294">
        <v>6.4576745031573804E-3</v>
      </c>
    </row>
    <row r="1682" spans="1:22" s="212" customFormat="1" ht="15.5" x14ac:dyDescent="0.35">
      <c r="A1682" s="198">
        <v>2042</v>
      </c>
      <c r="B1682" s="197" t="s">
        <v>5833</v>
      </c>
      <c r="C1682" s="197">
        <v>2030</v>
      </c>
      <c r="D1682" s="225" t="str">
        <f t="shared" si="10"/>
        <v>2042_2030</v>
      </c>
      <c r="E1682" s="1226">
        <v>8.5546376011200409E-2</v>
      </c>
      <c r="F1682" s="1227">
        <v>8.3352195980217255E-3</v>
      </c>
      <c r="G1682" s="1230">
        <v>7.4498264621353644E-2</v>
      </c>
      <c r="H1682" s="1289">
        <v>0.295159668592955</v>
      </c>
      <c r="I1682" s="1227">
        <v>0.20829330271490962</v>
      </c>
      <c r="J1682" s="1230">
        <v>0.158770578415736</v>
      </c>
      <c r="K1682" s="1289">
        <v>1.455167361814867E-2</v>
      </c>
      <c r="L1682" s="1227">
        <v>1.2602775009733749E-3</v>
      </c>
      <c r="M1682" s="1230">
        <v>9.4357686875411722E-3</v>
      </c>
      <c r="N1682" s="1289">
        <v>5.2187967004920953E-3</v>
      </c>
      <c r="O1682" s="1227">
        <v>2.5000007165023501E-3</v>
      </c>
      <c r="P1682" s="1227">
        <v>5.8492240556337997E-3</v>
      </c>
      <c r="Q1682" s="1306">
        <v>7.8222780240651494E-3</v>
      </c>
      <c r="R1682" s="1289">
        <v>3.5175010081188049E-2</v>
      </c>
      <c r="S1682" s="1227">
        <v>3.5175010081188E-2</v>
      </c>
      <c r="T1682" s="1227">
        <v>3.5175010081188049E-2</v>
      </c>
      <c r="U1682" s="1306">
        <v>1.9250005517068101E-2</v>
      </c>
      <c r="V1682" s="1237">
        <v>1.520963572706599E-2</v>
      </c>
    </row>
    <row r="1683" spans="1:22" s="212" customFormat="1" ht="15.5" x14ac:dyDescent="0.35">
      <c r="A1683" s="198">
        <v>2042</v>
      </c>
      <c r="B1683" s="197" t="s">
        <v>5833</v>
      </c>
      <c r="C1683" s="197">
        <v>2031</v>
      </c>
      <c r="D1683" s="225" t="str">
        <f t="shared" si="10"/>
        <v>2042_2031</v>
      </c>
      <c r="E1683" s="1226">
        <v>8.5546376011200409E-2</v>
      </c>
      <c r="F1683" s="1227">
        <v>8.3352195980217255E-3</v>
      </c>
      <c r="G1683" s="1230">
        <v>7.4498264621353644E-2</v>
      </c>
      <c r="H1683" s="1289">
        <v>0.295159668592955</v>
      </c>
      <c r="I1683" s="1227">
        <v>0.20829330271490962</v>
      </c>
      <c r="J1683" s="1230">
        <v>0.158770578415736</v>
      </c>
      <c r="K1683" s="1289">
        <v>1.455167361814867E-2</v>
      </c>
      <c r="L1683" s="1227">
        <v>1.2602775009733749E-3</v>
      </c>
      <c r="M1683" s="1230">
        <v>9.4357686875411722E-3</v>
      </c>
      <c r="N1683" s="1289">
        <v>5.2187967004920953E-3</v>
      </c>
      <c r="O1683" s="1227">
        <v>2.5000007165023501E-3</v>
      </c>
      <c r="P1683" s="1227">
        <v>5.8492240556337997E-3</v>
      </c>
      <c r="Q1683" s="1306">
        <v>8.1120328320053899E-3</v>
      </c>
      <c r="R1683" s="1289">
        <v>3.5175010081188049E-2</v>
      </c>
      <c r="S1683" s="1227">
        <v>3.5175010081188E-2</v>
      </c>
      <c r="T1683" s="1227">
        <v>3.5175010081188049E-2</v>
      </c>
      <c r="U1683" s="1306">
        <v>1.9250005517068101E-2</v>
      </c>
      <c r="V1683" s="1237">
        <v>1.520963572706599E-2</v>
      </c>
    </row>
    <row r="1684" spans="1:22" s="212" customFormat="1" ht="15.5" x14ac:dyDescent="0.35">
      <c r="A1684" s="198">
        <v>2042</v>
      </c>
      <c r="B1684" s="197" t="s">
        <v>5833</v>
      </c>
      <c r="C1684" s="197">
        <v>2032</v>
      </c>
      <c r="D1684" s="225" t="str">
        <f t="shared" si="10"/>
        <v>2042_2032</v>
      </c>
      <c r="E1684" s="1231">
        <v>0.108128000680354</v>
      </c>
      <c r="F1684" s="1288">
        <v>2.6927821352083501E-3</v>
      </c>
      <c r="G1684" s="1306">
        <v>8.3759953771024798E-2</v>
      </c>
      <c r="H1684" s="1303">
        <v>0.24873569281398</v>
      </c>
      <c r="I1684" s="1288">
        <v>1.5672412324865201E-2</v>
      </c>
      <c r="J1684" s="1306">
        <v>0.20320190727724599</v>
      </c>
      <c r="K1684" s="1303">
        <v>2.2925028873618601E-2</v>
      </c>
      <c r="L1684" s="1288">
        <v>1.1583403148633601E-3</v>
      </c>
      <c r="M1684" s="1306">
        <v>1.8454246661308401E-2</v>
      </c>
      <c r="N1684" s="1303">
        <v>3.0000008598028201E-3</v>
      </c>
      <c r="O1684" s="1288">
        <v>2.0000005732018801E-3</v>
      </c>
      <c r="P1684" s="1288">
        <v>3.0000008598028201E-3</v>
      </c>
      <c r="Q1684" s="1306">
        <v>7.7480283451327701E-3</v>
      </c>
      <c r="R1684" s="1303">
        <v>3.1850009128239903E-2</v>
      </c>
      <c r="S1684" s="1288">
        <v>3.1850009128239903E-2</v>
      </c>
      <c r="T1684" s="1288">
        <v>3.1850009128239903E-2</v>
      </c>
      <c r="U1684" s="1306">
        <v>1.9250005517068E-2</v>
      </c>
      <c r="V1684" s="1294">
        <v>2.3961596950974599E-2</v>
      </c>
    </row>
    <row r="1685" spans="1:22" s="212" customFormat="1" ht="15.5" x14ac:dyDescent="0.35">
      <c r="A1685" s="198">
        <v>2042</v>
      </c>
      <c r="B1685" s="197" t="s">
        <v>5833</v>
      </c>
      <c r="C1685" s="197">
        <v>2033</v>
      </c>
      <c r="D1685" s="225" t="str">
        <f t="shared" si="10"/>
        <v>2042_2033</v>
      </c>
      <c r="E1685" s="1231">
        <v>0.10656412572721199</v>
      </c>
      <c r="F1685" s="1288">
        <v>2.2590058195915402E-3</v>
      </c>
      <c r="G1685" s="1306">
        <v>7.9472614563052796E-2</v>
      </c>
      <c r="H1685" s="1303">
        <v>0.24138059154505301</v>
      </c>
      <c r="I1685" s="1288">
        <v>1.5989664511468701E-2</v>
      </c>
      <c r="J1685" s="1306">
        <v>0.190882113610048</v>
      </c>
      <c r="K1685" s="1303">
        <v>2.1736178640063601E-2</v>
      </c>
      <c r="L1685" s="1288">
        <v>1.1068391324295199E-3</v>
      </c>
      <c r="M1685" s="1306">
        <v>1.6925966404252799E-2</v>
      </c>
      <c r="N1685" s="1303">
        <v>3.0000008598028201E-3</v>
      </c>
      <c r="O1685" s="1288">
        <v>2.0000005732018801E-3</v>
      </c>
      <c r="P1685" s="1288">
        <v>3.0000008598028201E-3</v>
      </c>
      <c r="Q1685" s="1306">
        <v>7.0779306122425202E-3</v>
      </c>
      <c r="R1685" s="1303">
        <v>3.1850009128239903E-2</v>
      </c>
      <c r="S1685" s="1288">
        <v>3.1850009128239903E-2</v>
      </c>
      <c r="T1685" s="1288">
        <v>3.1850009128239903E-2</v>
      </c>
      <c r="U1685" s="1306">
        <v>1.9250005517068101E-2</v>
      </c>
      <c r="V1685" s="1294">
        <v>2.27189921853031E-2</v>
      </c>
    </row>
    <row r="1686" spans="1:22" s="212" customFormat="1" ht="15.5" x14ac:dyDescent="0.35">
      <c r="A1686" s="198">
        <v>2042</v>
      </c>
      <c r="B1686" s="197" t="s">
        <v>5833</v>
      </c>
      <c r="C1686" s="197">
        <v>2034</v>
      </c>
      <c r="D1686" s="225" t="str">
        <f t="shared" si="10"/>
        <v>2042_2034</v>
      </c>
      <c r="E1686" s="1231">
        <v>0.104542634292195</v>
      </c>
      <c r="F1686" s="1288">
        <v>2.8755537775296399E-3</v>
      </c>
      <c r="G1686" s="1306">
        <v>7.0039814305577597E-2</v>
      </c>
      <c r="H1686" s="1303">
        <v>0.23298484329955699</v>
      </c>
      <c r="I1686" s="1288">
        <v>1.5438628897907E-2</v>
      </c>
      <c r="J1686" s="1306">
        <v>0.185237035158168</v>
      </c>
      <c r="K1686" s="1303">
        <v>2.0404166106415999E-2</v>
      </c>
      <c r="L1686" s="1288">
        <v>1.1784989541933099E-3</v>
      </c>
      <c r="M1686" s="1306">
        <v>1.51472160218612E-2</v>
      </c>
      <c r="N1686" s="1303">
        <v>3.0000008598028201E-3</v>
      </c>
      <c r="O1686" s="1288">
        <v>2.0000005732018801E-3</v>
      </c>
      <c r="P1686" s="1288">
        <v>3.0000008598028201E-3</v>
      </c>
      <c r="Q1686" s="1306">
        <v>5.7121094500660798E-3</v>
      </c>
      <c r="R1686" s="1303">
        <v>3.1850009128239903E-2</v>
      </c>
      <c r="S1686" s="1288">
        <v>3.1850009128239903E-2</v>
      </c>
      <c r="T1686" s="1288">
        <v>3.1850009128239903E-2</v>
      </c>
      <c r="U1686" s="1306">
        <v>1.9250005517068101E-2</v>
      </c>
      <c r="V1686" s="1294">
        <v>2.1326751955601998E-2</v>
      </c>
    </row>
    <row r="1687" spans="1:22" s="212" customFormat="1" ht="15.5" x14ac:dyDescent="0.35">
      <c r="A1687" s="198">
        <v>2042</v>
      </c>
      <c r="B1687" s="197" t="s">
        <v>5833</v>
      </c>
      <c r="C1687" s="197">
        <v>2035</v>
      </c>
      <c r="D1687" s="225" t="str">
        <f t="shared" si="10"/>
        <v>2042_2035</v>
      </c>
      <c r="E1687" s="1231">
        <v>0.102168331104393</v>
      </c>
      <c r="F1687" s="1288">
        <v>1.70517618201839E-3</v>
      </c>
      <c r="G1687" s="1306">
        <v>6.8373467715421396E-2</v>
      </c>
      <c r="H1687" s="1303">
        <v>0.223621181200995</v>
      </c>
      <c r="I1687" s="1288">
        <v>1.59810742188689E-2</v>
      </c>
      <c r="J1687" s="1306">
        <v>0.181255865215008</v>
      </c>
      <c r="K1687" s="1303">
        <v>1.89371684604214E-2</v>
      </c>
      <c r="L1687" s="1288">
        <v>1.0477085044710199E-3</v>
      </c>
      <c r="M1687" s="1306">
        <v>1.4190444214108301E-2</v>
      </c>
      <c r="N1687" s="1303">
        <v>3.0000008598028201E-3</v>
      </c>
      <c r="O1687" s="1288">
        <v>2.0000005732018801E-3</v>
      </c>
      <c r="P1687" s="1288">
        <v>3.0000008598028201E-3</v>
      </c>
      <c r="Q1687" s="1306">
        <v>8.08268618211762E-3</v>
      </c>
      <c r="R1687" s="1303">
        <v>3.1850009128239903E-2</v>
      </c>
      <c r="S1687" s="1288">
        <v>3.1850009128239903E-2</v>
      </c>
      <c r="T1687" s="1288">
        <v>3.1850009128239903E-2</v>
      </c>
      <c r="U1687" s="1306">
        <v>1.9250005517068101E-2</v>
      </c>
      <c r="V1687" s="1294">
        <v>1.9793423185761199E-2</v>
      </c>
    </row>
    <row r="1688" spans="1:22" s="212" customFormat="1" ht="15.5" x14ac:dyDescent="0.35">
      <c r="A1688" s="198">
        <v>2042</v>
      </c>
      <c r="B1688" s="197" t="s">
        <v>5833</v>
      </c>
      <c r="C1688" s="197">
        <v>2036</v>
      </c>
      <c r="D1688" s="225" t="str">
        <f t="shared" si="10"/>
        <v>2042_2036</v>
      </c>
      <c r="E1688" s="1231">
        <v>0.10026391007593299</v>
      </c>
      <c r="F1688" s="1288">
        <v>2.6446533444223902E-3</v>
      </c>
      <c r="G1688" s="1306">
        <v>7.1522326186282306E-2</v>
      </c>
      <c r="H1688" s="1303">
        <v>0.215073612112652</v>
      </c>
      <c r="I1688" s="1288">
        <v>1.48935197801996E-2</v>
      </c>
      <c r="J1688" s="1306">
        <v>0.169041958952276</v>
      </c>
      <c r="K1688" s="1303">
        <v>1.7503562492072501E-2</v>
      </c>
      <c r="L1688" s="1288">
        <v>1.1505332344571E-3</v>
      </c>
      <c r="M1688" s="1306">
        <v>1.33175444530628E-2</v>
      </c>
      <c r="N1688" s="1303">
        <v>3.0000008598028201E-3</v>
      </c>
      <c r="O1688" s="1288">
        <v>2.0000005732018801E-3</v>
      </c>
      <c r="P1688" s="1288">
        <v>3.0000008598028201E-3</v>
      </c>
      <c r="Q1688" s="1306">
        <v>7.3795799121639197E-3</v>
      </c>
      <c r="R1688" s="1303">
        <v>3.1850009128239903E-2</v>
      </c>
      <c r="S1688" s="1288">
        <v>3.1850009128239903E-2</v>
      </c>
      <c r="T1688" s="1288">
        <v>3.1850009128239903E-2</v>
      </c>
      <c r="U1688" s="1306">
        <v>1.9250005517068101E-2</v>
      </c>
      <c r="V1688" s="1294">
        <v>1.8294995917055801E-2</v>
      </c>
    </row>
    <row r="1689" spans="1:22" s="212" customFormat="1" ht="15.5" x14ac:dyDescent="0.35">
      <c r="A1689" s="198">
        <v>2042</v>
      </c>
      <c r="B1689" s="197" t="s">
        <v>5833</v>
      </c>
      <c r="C1689" s="197">
        <v>2037</v>
      </c>
      <c r="D1689" s="225" t="str">
        <f t="shared" si="10"/>
        <v>2042_2037</v>
      </c>
      <c r="E1689" s="1231">
        <v>9.6739588948838495E-2</v>
      </c>
      <c r="F1689" s="1288">
        <v>2.18881458227406E-3</v>
      </c>
      <c r="G1689" s="1306">
        <v>5.2772029431344097E-2</v>
      </c>
      <c r="H1689" s="1303">
        <v>0.20212481217111899</v>
      </c>
      <c r="I1689" s="1288">
        <v>1.5554295974037E-2</v>
      </c>
      <c r="J1689" s="1306">
        <v>0.138595693782185</v>
      </c>
      <c r="K1689" s="1303">
        <v>1.5743749582823E-2</v>
      </c>
      <c r="L1689" s="1288">
        <v>1.1100550519912199E-3</v>
      </c>
      <c r="M1689" s="1306">
        <v>9.93827762531347E-3</v>
      </c>
      <c r="N1689" s="1303">
        <v>3.0000008598028201E-3</v>
      </c>
      <c r="O1689" s="1288">
        <v>2.0000005732018801E-3</v>
      </c>
      <c r="P1689" s="1288">
        <v>3.0000008598028201E-3</v>
      </c>
      <c r="Q1689" s="1306">
        <v>7.5861856395711197E-3</v>
      </c>
      <c r="R1689" s="1303">
        <v>3.1850009128239903E-2</v>
      </c>
      <c r="S1689" s="1288">
        <v>3.1850009128239903E-2</v>
      </c>
      <c r="T1689" s="1288">
        <v>3.1850009128239903E-2</v>
      </c>
      <c r="U1689" s="1306">
        <v>1.9250005517068101E-2</v>
      </c>
      <c r="V1689" s="1294">
        <v>1.6455612077104199E-2</v>
      </c>
    </row>
    <row r="1690" spans="1:22" s="212" customFormat="1" ht="15.5" x14ac:dyDescent="0.35">
      <c r="A1690" s="198">
        <v>2042</v>
      </c>
      <c r="B1690" s="197" t="s">
        <v>5833</v>
      </c>
      <c r="C1690" s="197">
        <v>2038</v>
      </c>
      <c r="D1690" s="225" t="str">
        <f t="shared" si="10"/>
        <v>2042_2038</v>
      </c>
      <c r="E1690" s="1231">
        <v>9.5013709460223694E-2</v>
      </c>
      <c r="F1690" s="1288">
        <v>1.4379928406696701E-3</v>
      </c>
      <c r="G1690" s="1306">
        <v>7.0725053982305303E-2</v>
      </c>
      <c r="H1690" s="1303">
        <v>0.193464397467843</v>
      </c>
      <c r="I1690" s="1288">
        <v>1.6362592528843901E-2</v>
      </c>
      <c r="J1690" s="1306">
        <v>0.15667546715962999</v>
      </c>
      <c r="K1690" s="1303">
        <v>1.42152649927695E-2</v>
      </c>
      <c r="L1690" s="1288">
        <v>1.0119005220444999E-3</v>
      </c>
      <c r="M1690" s="1306">
        <v>1.11839128251626E-2</v>
      </c>
      <c r="N1690" s="1303">
        <v>3.0000008598028201E-3</v>
      </c>
      <c r="O1690" s="1288">
        <v>2.0000005732018801E-3</v>
      </c>
      <c r="P1690" s="1288">
        <v>3.0000008598028201E-3</v>
      </c>
      <c r="Q1690" s="1306">
        <v>7.8507146591203902E-3</v>
      </c>
      <c r="R1690" s="1303">
        <v>3.1850009128239903E-2</v>
      </c>
      <c r="S1690" s="1288">
        <v>3.1850009128239903E-2</v>
      </c>
      <c r="T1690" s="1288">
        <v>3.1850009128239903E-2</v>
      </c>
      <c r="U1690" s="1306">
        <v>1.9250005517068101E-2</v>
      </c>
      <c r="V1690" s="1294">
        <v>1.48580161964384E-2</v>
      </c>
    </row>
    <row r="1691" spans="1:22" s="212" customFormat="1" ht="15.5" x14ac:dyDescent="0.35">
      <c r="A1691" s="198">
        <v>2042</v>
      </c>
      <c r="B1691" s="197" t="s">
        <v>5833</v>
      </c>
      <c r="C1691" s="197">
        <v>2039</v>
      </c>
      <c r="D1691" s="225" t="str">
        <f t="shared" si="10"/>
        <v>2042_2039</v>
      </c>
      <c r="E1691" s="1231">
        <v>9.3693790297365603E-2</v>
      </c>
      <c r="F1691" s="1288">
        <v>2.9063036983892499E-3</v>
      </c>
      <c r="G1691" s="1306">
        <v>4.4100006877825303E-2</v>
      </c>
      <c r="H1691" s="1303">
        <v>0.18558372962269201</v>
      </c>
      <c r="I1691" s="1288">
        <v>1.6838721907025601E-2</v>
      </c>
      <c r="J1691" s="1306">
        <v>0.116702793565147</v>
      </c>
      <c r="K1691" s="1303">
        <v>1.2660092816467799E-2</v>
      </c>
      <c r="L1691" s="1288">
        <v>1.14152224330179E-3</v>
      </c>
      <c r="M1691" s="1306">
        <v>7.1999754887875998E-3</v>
      </c>
      <c r="N1691" s="1303">
        <v>3.0000008598028201E-3</v>
      </c>
      <c r="O1691" s="1288">
        <v>2.0000005732018801E-3</v>
      </c>
      <c r="P1691" s="1288">
        <v>3.0000008598028201E-3</v>
      </c>
      <c r="Q1691" s="1306">
        <v>7.5933065431310698E-3</v>
      </c>
      <c r="R1691" s="1303">
        <v>3.1850009128239903E-2</v>
      </c>
      <c r="S1691" s="1288">
        <v>3.1850009128239903E-2</v>
      </c>
      <c r="T1691" s="1288">
        <v>3.1850009128239903E-2</v>
      </c>
      <c r="U1691" s="1306">
        <v>1.9250005517068101E-2</v>
      </c>
      <c r="V1691" s="1294">
        <v>1.3232526035298699E-2</v>
      </c>
    </row>
    <row r="1692" spans="1:22" s="212" customFormat="1" ht="15.5" x14ac:dyDescent="0.35">
      <c r="A1692" s="198">
        <v>2042</v>
      </c>
      <c r="B1692" s="197" t="s">
        <v>5833</v>
      </c>
      <c r="C1692" s="197">
        <v>2040</v>
      </c>
      <c r="D1692" s="225" t="str">
        <f t="shared" si="10"/>
        <v>2042_2040</v>
      </c>
      <c r="E1692" s="1231">
        <v>9.1084922807722096E-2</v>
      </c>
      <c r="F1692" s="1288">
        <v>2.4971774168785102E-3</v>
      </c>
      <c r="G1692" s="1306">
        <v>5.2041906922468698E-2</v>
      </c>
      <c r="H1692" s="1303">
        <v>0.17406845662871401</v>
      </c>
      <c r="I1692" s="1288">
        <v>2.00293019581596E-2</v>
      </c>
      <c r="J1692" s="1306">
        <v>0.116791352200479</v>
      </c>
      <c r="K1692" s="1303">
        <v>1.08500047760104E-2</v>
      </c>
      <c r="L1692" s="1288">
        <v>1.0896549036963699E-3</v>
      </c>
      <c r="M1692" s="1306">
        <v>6.9226566815637899E-3</v>
      </c>
      <c r="N1692" s="1303">
        <v>3.0000008598028201E-3</v>
      </c>
      <c r="O1692" s="1288">
        <v>2.0000005732018801E-3</v>
      </c>
      <c r="P1692" s="1288">
        <v>3.0000008598028201E-3</v>
      </c>
      <c r="Q1692" s="1306">
        <v>7.6833188573584002E-3</v>
      </c>
      <c r="R1692" s="1303">
        <v>3.1850009128239903E-2</v>
      </c>
      <c r="S1692" s="1288">
        <v>3.1850009128239903E-2</v>
      </c>
      <c r="T1692" s="1288">
        <v>3.1850009128239903E-2</v>
      </c>
      <c r="U1692" s="1306">
        <v>1.9250005517068101E-2</v>
      </c>
      <c r="V1692" s="1294">
        <v>1.13405938457984E-2</v>
      </c>
    </row>
    <row r="1693" spans="1:22" s="212" customFormat="1" ht="15.5" x14ac:dyDescent="0.35">
      <c r="A1693" s="198">
        <v>2042</v>
      </c>
      <c r="B1693" s="197" t="s">
        <v>5833</v>
      </c>
      <c r="C1693" s="197">
        <v>2041</v>
      </c>
      <c r="D1693" s="225" t="str">
        <f t="shared" si="10"/>
        <v>2042_2041</v>
      </c>
      <c r="E1693" s="1231">
        <v>8.8079010011114303E-2</v>
      </c>
      <c r="F1693" s="1288">
        <v>3.2393013575323201E-3</v>
      </c>
      <c r="G1693" s="1306">
        <v>5.25747619736643E-2</v>
      </c>
      <c r="H1693" s="1303">
        <v>0.16142277993370599</v>
      </c>
      <c r="I1693" s="1288">
        <v>2.14240185834993E-2</v>
      </c>
      <c r="J1693" s="1306">
        <v>0.11543711794495801</v>
      </c>
      <c r="K1693" s="1303">
        <v>8.93239701234343E-3</v>
      </c>
      <c r="L1693" s="1288">
        <v>1.1160988011777E-3</v>
      </c>
      <c r="M1693" s="1306">
        <v>5.9841601490751304E-3</v>
      </c>
      <c r="N1693" s="1303">
        <v>3.0000008598028201E-3</v>
      </c>
      <c r="O1693" s="1288">
        <v>2.0000005732018801E-3</v>
      </c>
      <c r="P1693" s="1288">
        <v>3.0000008598028201E-3</v>
      </c>
      <c r="Q1693" s="1306">
        <v>8.1261048842491499E-3</v>
      </c>
      <c r="R1693" s="1303">
        <v>3.1850009128239903E-2</v>
      </c>
      <c r="S1693" s="1288">
        <v>3.1850009128239903E-2</v>
      </c>
      <c r="T1693" s="1288">
        <v>3.1850009128239903E-2</v>
      </c>
      <c r="U1693" s="1306">
        <v>1.9250005517068101E-2</v>
      </c>
      <c r="V1693" s="1294">
        <v>9.3362803683169002E-3</v>
      </c>
    </row>
    <row r="1694" spans="1:22" s="212" customFormat="1" ht="15.5" x14ac:dyDescent="0.35">
      <c r="A1694" s="198">
        <v>2042</v>
      </c>
      <c r="B1694" s="197" t="s">
        <v>5833</v>
      </c>
      <c r="C1694" s="197">
        <v>2042</v>
      </c>
      <c r="D1694" s="225" t="str">
        <f t="shared" si="10"/>
        <v>2042_2042</v>
      </c>
      <c r="E1694" s="1231">
        <v>8.6670673446466603E-2</v>
      </c>
      <c r="F1694" s="1288">
        <v>2.90766020132444E-3</v>
      </c>
      <c r="G1694" s="1306">
        <v>6.7335673593515305E-2</v>
      </c>
      <c r="H1694" s="1303">
        <v>0.15128244324947801</v>
      </c>
      <c r="I1694" s="1288">
        <v>2.0770666015897998E-2</v>
      </c>
      <c r="J1694" s="1306">
        <v>0.12771771792831599</v>
      </c>
      <c r="K1694" s="1303">
        <v>7.0837726272171197E-3</v>
      </c>
      <c r="L1694" s="1288">
        <v>1.1022853757913099E-3</v>
      </c>
      <c r="M1694" s="1306">
        <v>5.7894034485261097E-3</v>
      </c>
      <c r="N1694" s="1303">
        <v>3.0000008598028201E-3</v>
      </c>
      <c r="O1694" s="1288">
        <v>2.0000005732018801E-3</v>
      </c>
      <c r="P1694" s="1288">
        <v>3.0000008598028201E-3</v>
      </c>
      <c r="Q1694" s="1306">
        <v>8.1542539330640706E-3</v>
      </c>
      <c r="R1694" s="1303">
        <v>3.1850009128239903E-2</v>
      </c>
      <c r="S1694" s="1288">
        <v>3.1850009128239903E-2</v>
      </c>
      <c r="T1694" s="1288">
        <v>3.1850009128239903E-2</v>
      </c>
      <c r="U1694" s="1306">
        <v>1.9250005517068101E-2</v>
      </c>
      <c r="V1694" s="1294">
        <v>7.4040693916443898E-3</v>
      </c>
    </row>
    <row r="1695" spans="1:22" s="212" customFormat="1" ht="15.5" x14ac:dyDescent="0.35">
      <c r="A1695" s="198">
        <v>2042</v>
      </c>
      <c r="B1695" s="197" t="s">
        <v>5833</v>
      </c>
      <c r="C1695" s="197">
        <v>2043</v>
      </c>
      <c r="D1695" s="225" t="str">
        <f t="shared" si="10"/>
        <v>2042_2043</v>
      </c>
      <c r="E1695" s="1226">
        <v>8.6670673446466603E-2</v>
      </c>
      <c r="F1695" s="1257">
        <v>2.90766020132444E-3</v>
      </c>
      <c r="G1695" s="1280">
        <v>6.7335673593515305E-2</v>
      </c>
      <c r="H1695" s="1271">
        <v>0.15128244324947801</v>
      </c>
      <c r="I1695" s="1257">
        <v>2.0770666015897998E-2</v>
      </c>
      <c r="J1695" s="1280">
        <v>0.12771771792831599</v>
      </c>
      <c r="K1695" s="1271">
        <v>7.0837726272171197E-3</v>
      </c>
      <c r="L1695" s="1257">
        <v>1.1022853757913099E-3</v>
      </c>
      <c r="M1695" s="1280">
        <v>5.7894034485261097E-3</v>
      </c>
      <c r="N1695" s="1271">
        <v>3.0000008598028201E-3</v>
      </c>
      <c r="O1695" s="1257">
        <v>2.0000005732018801E-3</v>
      </c>
      <c r="P1695" s="1257">
        <v>3.0000008598028201E-3</v>
      </c>
      <c r="Q1695" s="1280">
        <v>8.1542539330640706E-3</v>
      </c>
      <c r="R1695" s="1271">
        <v>3.1850009128239903E-2</v>
      </c>
      <c r="S1695" s="1257">
        <v>3.1850009128239903E-2</v>
      </c>
      <c r="T1695" s="1257">
        <v>3.1850009128239903E-2</v>
      </c>
      <c r="U1695" s="1280">
        <v>1.9250005517068101E-2</v>
      </c>
      <c r="V1695" s="1293">
        <v>7.4040693916443898E-3</v>
      </c>
    </row>
    <row r="1696" spans="1:22" s="212" customFormat="1" ht="15.5" x14ac:dyDescent="0.35">
      <c r="A1696" s="198">
        <v>2043</v>
      </c>
      <c r="B1696" s="197" t="s">
        <v>5833</v>
      </c>
      <c r="C1696" s="197">
        <v>1971</v>
      </c>
      <c r="D1696" s="225" t="str">
        <f t="shared" si="10"/>
        <v>2043_1971</v>
      </c>
      <c r="E1696" s="1226">
        <v>6.2964751342046807E-2</v>
      </c>
      <c r="F1696" s="1257">
        <v>1.39776570608351E-2</v>
      </c>
      <c r="G1696" s="1280">
        <v>6.5236575471682504E-2</v>
      </c>
      <c r="H1696" s="1271">
        <v>0.34158364437193001</v>
      </c>
      <c r="I1696" s="1257">
        <v>0.432036919266029</v>
      </c>
      <c r="J1696" s="1280">
        <v>0.114339249554226</v>
      </c>
      <c r="K1696" s="1271">
        <v>6.1783183626787398E-3</v>
      </c>
      <c r="L1696" s="1257">
        <v>1.36221468708339E-3</v>
      </c>
      <c r="M1696" s="1280">
        <v>4.1729071377394502E-4</v>
      </c>
      <c r="N1696" s="1271">
        <v>7.4375925411813799E-3</v>
      </c>
      <c r="O1696" s="1257">
        <v>3.0000008598028201E-3</v>
      </c>
      <c r="P1696" s="1257">
        <v>8.6984472514647707E-3</v>
      </c>
      <c r="Q1696" s="1280">
        <v>7.4375925411813799E-3</v>
      </c>
      <c r="R1696" s="1271">
        <v>3.8500011034136201E-2</v>
      </c>
      <c r="S1696" s="1257">
        <v>3.8500011034136201E-2</v>
      </c>
      <c r="T1696" s="1257">
        <v>3.8500011034136201E-2</v>
      </c>
      <c r="U1696" s="1280">
        <v>1.9250005517068101E-2</v>
      </c>
      <c r="V1696" s="1293">
        <v>6.4576745031573804E-3</v>
      </c>
    </row>
    <row r="1697" spans="1:22" s="212" customFormat="1" ht="15.5" x14ac:dyDescent="0.35">
      <c r="A1697" s="198">
        <v>2043</v>
      </c>
      <c r="B1697" s="197" t="s">
        <v>5833</v>
      </c>
      <c r="C1697" s="197">
        <v>1972</v>
      </c>
      <c r="D1697" s="225" t="str">
        <f t="shared" si="10"/>
        <v>2043_1972</v>
      </c>
      <c r="E1697" s="1226">
        <v>6.2964751342046807E-2</v>
      </c>
      <c r="F1697" s="1257">
        <v>1.39776570608351E-2</v>
      </c>
      <c r="G1697" s="1280">
        <v>6.5236575471682504E-2</v>
      </c>
      <c r="H1697" s="1271">
        <v>0.34158364437193001</v>
      </c>
      <c r="I1697" s="1257">
        <v>0.432036919266029</v>
      </c>
      <c r="J1697" s="1280">
        <v>0.114339249554226</v>
      </c>
      <c r="K1697" s="1271">
        <v>6.1783183626787398E-3</v>
      </c>
      <c r="L1697" s="1257">
        <v>1.36221468708339E-3</v>
      </c>
      <c r="M1697" s="1280">
        <v>4.1729071377394502E-4</v>
      </c>
      <c r="N1697" s="1271">
        <v>7.4375925411813799E-3</v>
      </c>
      <c r="O1697" s="1257">
        <v>3.0000008598028201E-3</v>
      </c>
      <c r="P1697" s="1257">
        <v>8.6984472514647707E-3</v>
      </c>
      <c r="Q1697" s="1280">
        <v>7.4375925411813799E-3</v>
      </c>
      <c r="R1697" s="1271">
        <v>3.8500011034136201E-2</v>
      </c>
      <c r="S1697" s="1257">
        <v>3.8500011034136201E-2</v>
      </c>
      <c r="T1697" s="1257">
        <v>3.8500011034136201E-2</v>
      </c>
      <c r="U1697" s="1280">
        <v>1.9250005517068101E-2</v>
      </c>
      <c r="V1697" s="1293">
        <v>6.4576745031573804E-3</v>
      </c>
    </row>
    <row r="1698" spans="1:22" s="212" customFormat="1" ht="15.5" x14ac:dyDescent="0.35">
      <c r="A1698" s="198">
        <v>2043</v>
      </c>
      <c r="B1698" s="197" t="s">
        <v>5833</v>
      </c>
      <c r="C1698" s="197">
        <v>1973</v>
      </c>
      <c r="D1698" s="225" t="str">
        <f t="shared" si="10"/>
        <v>2043_1973</v>
      </c>
      <c r="E1698" s="1226">
        <v>6.2964751342046807E-2</v>
      </c>
      <c r="F1698" s="1257">
        <v>1.39776570608351E-2</v>
      </c>
      <c r="G1698" s="1280">
        <v>6.5236575471682504E-2</v>
      </c>
      <c r="H1698" s="1271">
        <v>0.34158364437193001</v>
      </c>
      <c r="I1698" s="1257">
        <v>0.432036919266029</v>
      </c>
      <c r="J1698" s="1280">
        <v>0.114339249554226</v>
      </c>
      <c r="K1698" s="1271">
        <v>6.1783183626787398E-3</v>
      </c>
      <c r="L1698" s="1257">
        <v>1.36221468708339E-3</v>
      </c>
      <c r="M1698" s="1280">
        <v>4.1729071377394502E-4</v>
      </c>
      <c r="N1698" s="1271">
        <v>7.4375925411813799E-3</v>
      </c>
      <c r="O1698" s="1257">
        <v>3.0000008598028201E-3</v>
      </c>
      <c r="P1698" s="1257">
        <v>8.6984472514647707E-3</v>
      </c>
      <c r="Q1698" s="1280">
        <v>7.4375925411813799E-3</v>
      </c>
      <c r="R1698" s="1271">
        <v>3.8500011034136201E-2</v>
      </c>
      <c r="S1698" s="1257">
        <v>3.8500011034136201E-2</v>
      </c>
      <c r="T1698" s="1257">
        <v>3.8500011034136201E-2</v>
      </c>
      <c r="U1698" s="1280">
        <v>1.9250005517068101E-2</v>
      </c>
      <c r="V1698" s="1293">
        <v>6.4576745031573804E-3</v>
      </c>
    </row>
    <row r="1699" spans="1:22" s="212" customFormat="1" ht="15.5" x14ac:dyDescent="0.35">
      <c r="A1699" s="198">
        <v>2043</v>
      </c>
      <c r="B1699" s="197" t="s">
        <v>5833</v>
      </c>
      <c r="C1699" s="197">
        <v>1974</v>
      </c>
      <c r="D1699" s="225" t="str">
        <f t="shared" si="10"/>
        <v>2043_1974</v>
      </c>
      <c r="E1699" s="1226">
        <v>6.2964751342046807E-2</v>
      </c>
      <c r="F1699" s="1257">
        <v>1.39776570608351E-2</v>
      </c>
      <c r="G1699" s="1280">
        <v>6.5236575471682504E-2</v>
      </c>
      <c r="H1699" s="1271">
        <v>0.34158364437193001</v>
      </c>
      <c r="I1699" s="1257">
        <v>0.432036919266029</v>
      </c>
      <c r="J1699" s="1280">
        <v>0.114339249554226</v>
      </c>
      <c r="K1699" s="1271">
        <v>6.1783183626787398E-3</v>
      </c>
      <c r="L1699" s="1257">
        <v>1.36221468708339E-3</v>
      </c>
      <c r="M1699" s="1280">
        <v>4.1729071377394502E-4</v>
      </c>
      <c r="N1699" s="1271">
        <v>7.4375925411813799E-3</v>
      </c>
      <c r="O1699" s="1257">
        <v>3.0000008598028201E-3</v>
      </c>
      <c r="P1699" s="1257">
        <v>8.6984472514647707E-3</v>
      </c>
      <c r="Q1699" s="1280">
        <v>7.4375925411813799E-3</v>
      </c>
      <c r="R1699" s="1271">
        <v>3.8500011034136201E-2</v>
      </c>
      <c r="S1699" s="1257">
        <v>3.8500011034136201E-2</v>
      </c>
      <c r="T1699" s="1257">
        <v>3.8500011034136201E-2</v>
      </c>
      <c r="U1699" s="1280">
        <v>1.9250005517068101E-2</v>
      </c>
      <c r="V1699" s="1293">
        <v>6.4576745031573804E-3</v>
      </c>
    </row>
    <row r="1700" spans="1:22" s="212" customFormat="1" ht="15.5" x14ac:dyDescent="0.35">
      <c r="A1700" s="198">
        <v>2043</v>
      </c>
      <c r="B1700" s="197" t="s">
        <v>5833</v>
      </c>
      <c r="C1700" s="197">
        <v>1975</v>
      </c>
      <c r="D1700" s="225" t="str">
        <f t="shared" si="10"/>
        <v>2043_1975</v>
      </c>
      <c r="E1700" s="1226">
        <v>6.2964751342046807E-2</v>
      </c>
      <c r="F1700" s="1257">
        <v>1.39776570608351E-2</v>
      </c>
      <c r="G1700" s="1280">
        <v>6.5236575471682504E-2</v>
      </c>
      <c r="H1700" s="1271">
        <v>0.34158364437193001</v>
      </c>
      <c r="I1700" s="1257">
        <v>0.432036919266029</v>
      </c>
      <c r="J1700" s="1280">
        <v>0.114339249554226</v>
      </c>
      <c r="K1700" s="1271">
        <v>6.1783183626787398E-3</v>
      </c>
      <c r="L1700" s="1257">
        <v>1.36221468708339E-3</v>
      </c>
      <c r="M1700" s="1280">
        <v>4.1729071377394502E-4</v>
      </c>
      <c r="N1700" s="1271">
        <v>7.4375925411813799E-3</v>
      </c>
      <c r="O1700" s="1257">
        <v>3.0000008598028201E-3</v>
      </c>
      <c r="P1700" s="1257">
        <v>8.6984472514647707E-3</v>
      </c>
      <c r="Q1700" s="1280">
        <v>7.4375925411813799E-3</v>
      </c>
      <c r="R1700" s="1271">
        <v>3.8500011034136201E-2</v>
      </c>
      <c r="S1700" s="1257">
        <v>3.8500011034136201E-2</v>
      </c>
      <c r="T1700" s="1257">
        <v>3.8500011034136201E-2</v>
      </c>
      <c r="U1700" s="1280">
        <v>1.9250005517068101E-2</v>
      </c>
      <c r="V1700" s="1293">
        <v>6.4576745031573804E-3</v>
      </c>
    </row>
    <row r="1701" spans="1:22" s="212" customFormat="1" ht="15.5" x14ac:dyDescent="0.35">
      <c r="A1701" s="198">
        <v>2043</v>
      </c>
      <c r="B1701" s="197" t="s">
        <v>5833</v>
      </c>
      <c r="C1701" s="197">
        <v>1976</v>
      </c>
      <c r="D1701" s="225" t="str">
        <f t="shared" si="10"/>
        <v>2043_1976</v>
      </c>
      <c r="E1701" s="1226">
        <v>6.2964751342046807E-2</v>
      </c>
      <c r="F1701" s="1257">
        <v>1.39776570608351E-2</v>
      </c>
      <c r="G1701" s="1280">
        <v>6.5236575471682504E-2</v>
      </c>
      <c r="H1701" s="1271">
        <v>0.34158364437193001</v>
      </c>
      <c r="I1701" s="1257">
        <v>0.432036919266029</v>
      </c>
      <c r="J1701" s="1280">
        <v>0.114339249554226</v>
      </c>
      <c r="K1701" s="1271">
        <v>6.1783183626787398E-3</v>
      </c>
      <c r="L1701" s="1257">
        <v>1.36221468708339E-3</v>
      </c>
      <c r="M1701" s="1280">
        <v>4.1729071377394502E-4</v>
      </c>
      <c r="N1701" s="1271">
        <v>7.4375925411813799E-3</v>
      </c>
      <c r="O1701" s="1257">
        <v>3.0000008598028201E-3</v>
      </c>
      <c r="P1701" s="1257">
        <v>8.6984472514647707E-3</v>
      </c>
      <c r="Q1701" s="1280">
        <v>7.4375925411813799E-3</v>
      </c>
      <c r="R1701" s="1271">
        <v>3.8500011034136201E-2</v>
      </c>
      <c r="S1701" s="1257">
        <v>3.8500011034136201E-2</v>
      </c>
      <c r="T1701" s="1257">
        <v>3.8500011034136201E-2</v>
      </c>
      <c r="U1701" s="1280">
        <v>1.9250005517068101E-2</v>
      </c>
      <c r="V1701" s="1293">
        <v>6.4576745031573804E-3</v>
      </c>
    </row>
    <row r="1702" spans="1:22" s="212" customFormat="1" ht="15.5" x14ac:dyDescent="0.35">
      <c r="A1702" s="198">
        <v>2043</v>
      </c>
      <c r="B1702" s="197" t="s">
        <v>5833</v>
      </c>
      <c r="C1702" s="197">
        <v>1977</v>
      </c>
      <c r="D1702" s="225" t="str">
        <f t="shared" si="10"/>
        <v>2043_1977</v>
      </c>
      <c r="E1702" s="1226">
        <v>6.2964751342046807E-2</v>
      </c>
      <c r="F1702" s="1257">
        <v>1.39776570608351E-2</v>
      </c>
      <c r="G1702" s="1280">
        <v>6.5236575471682504E-2</v>
      </c>
      <c r="H1702" s="1271">
        <v>0.34158364437193001</v>
      </c>
      <c r="I1702" s="1257">
        <v>0.432036919266029</v>
      </c>
      <c r="J1702" s="1280">
        <v>0.114339249554226</v>
      </c>
      <c r="K1702" s="1271">
        <v>6.1783183626787398E-3</v>
      </c>
      <c r="L1702" s="1257">
        <v>1.36221468708339E-3</v>
      </c>
      <c r="M1702" s="1280">
        <v>4.1729071377394502E-4</v>
      </c>
      <c r="N1702" s="1271">
        <v>7.4375925411813799E-3</v>
      </c>
      <c r="O1702" s="1257">
        <v>3.0000008598028201E-3</v>
      </c>
      <c r="P1702" s="1257">
        <v>8.6984472514647707E-3</v>
      </c>
      <c r="Q1702" s="1280">
        <v>7.4375925411813799E-3</v>
      </c>
      <c r="R1702" s="1271">
        <v>3.8500011034136201E-2</v>
      </c>
      <c r="S1702" s="1257">
        <v>3.8500011034136201E-2</v>
      </c>
      <c r="T1702" s="1257">
        <v>3.8500011034136201E-2</v>
      </c>
      <c r="U1702" s="1280">
        <v>1.9250005517068101E-2</v>
      </c>
      <c r="V1702" s="1293">
        <v>6.4576745031573804E-3</v>
      </c>
    </row>
    <row r="1703" spans="1:22" s="212" customFormat="1" ht="15.5" x14ac:dyDescent="0.35">
      <c r="A1703" s="198">
        <v>2043</v>
      </c>
      <c r="B1703" s="197" t="s">
        <v>5833</v>
      </c>
      <c r="C1703" s="197">
        <v>1978</v>
      </c>
      <c r="D1703" s="225" t="str">
        <f t="shared" si="10"/>
        <v>2043_1978</v>
      </c>
      <c r="E1703" s="1226">
        <v>6.2964751342046807E-2</v>
      </c>
      <c r="F1703" s="1257">
        <v>1.39776570608351E-2</v>
      </c>
      <c r="G1703" s="1280">
        <v>6.5236575471682504E-2</v>
      </c>
      <c r="H1703" s="1271">
        <v>0.34158364437193001</v>
      </c>
      <c r="I1703" s="1257">
        <v>0.432036919266029</v>
      </c>
      <c r="J1703" s="1280">
        <v>0.114339249554226</v>
      </c>
      <c r="K1703" s="1271">
        <v>6.1783183626787398E-3</v>
      </c>
      <c r="L1703" s="1257">
        <v>1.36221468708339E-3</v>
      </c>
      <c r="M1703" s="1280">
        <v>4.1729071377394502E-4</v>
      </c>
      <c r="N1703" s="1271">
        <v>7.4375925411813799E-3</v>
      </c>
      <c r="O1703" s="1257">
        <v>3.0000008598028201E-3</v>
      </c>
      <c r="P1703" s="1257">
        <v>8.6984472514647707E-3</v>
      </c>
      <c r="Q1703" s="1280">
        <v>7.4375925411813799E-3</v>
      </c>
      <c r="R1703" s="1271">
        <v>3.8500011034136201E-2</v>
      </c>
      <c r="S1703" s="1257">
        <v>3.8500011034136201E-2</v>
      </c>
      <c r="T1703" s="1257">
        <v>3.8500011034136201E-2</v>
      </c>
      <c r="U1703" s="1280">
        <v>1.9250005517068101E-2</v>
      </c>
      <c r="V1703" s="1293">
        <v>6.4576745031573804E-3</v>
      </c>
    </row>
    <row r="1704" spans="1:22" s="212" customFormat="1" ht="15.5" x14ac:dyDescent="0.35">
      <c r="A1704" s="198">
        <v>2043</v>
      </c>
      <c r="B1704" s="197" t="s">
        <v>5833</v>
      </c>
      <c r="C1704" s="197">
        <v>1979</v>
      </c>
      <c r="D1704" s="225" t="str">
        <f t="shared" si="10"/>
        <v>2043_1979</v>
      </c>
      <c r="E1704" s="1226">
        <v>6.2964751342046807E-2</v>
      </c>
      <c r="F1704" s="1257">
        <v>1.39776570608351E-2</v>
      </c>
      <c r="G1704" s="1280">
        <v>6.5236575471682504E-2</v>
      </c>
      <c r="H1704" s="1271">
        <v>0.34158364437193001</v>
      </c>
      <c r="I1704" s="1257">
        <v>0.432036919266029</v>
      </c>
      <c r="J1704" s="1280">
        <v>0.114339249554226</v>
      </c>
      <c r="K1704" s="1271">
        <v>6.1783183626787398E-3</v>
      </c>
      <c r="L1704" s="1257">
        <v>1.36221468708339E-3</v>
      </c>
      <c r="M1704" s="1280">
        <v>4.1729071377394502E-4</v>
      </c>
      <c r="N1704" s="1271">
        <v>7.4375925411813799E-3</v>
      </c>
      <c r="O1704" s="1257">
        <v>3.0000008598028201E-3</v>
      </c>
      <c r="P1704" s="1257">
        <v>8.6984472514647707E-3</v>
      </c>
      <c r="Q1704" s="1280">
        <v>7.4375925411813799E-3</v>
      </c>
      <c r="R1704" s="1271">
        <v>3.8500011034136201E-2</v>
      </c>
      <c r="S1704" s="1257">
        <v>3.8500011034136201E-2</v>
      </c>
      <c r="T1704" s="1257">
        <v>3.8500011034136201E-2</v>
      </c>
      <c r="U1704" s="1280">
        <v>1.9250005517068101E-2</v>
      </c>
      <c r="V1704" s="1293">
        <v>6.4576745031573804E-3</v>
      </c>
    </row>
    <row r="1705" spans="1:22" s="212" customFormat="1" ht="15.5" x14ac:dyDescent="0.35">
      <c r="A1705" s="198">
        <v>2043</v>
      </c>
      <c r="B1705" s="197" t="s">
        <v>5833</v>
      </c>
      <c r="C1705" s="197">
        <v>1980</v>
      </c>
      <c r="D1705" s="225" t="str">
        <f t="shared" si="10"/>
        <v>2043_1980</v>
      </c>
      <c r="E1705" s="1226">
        <v>6.2964751342046807E-2</v>
      </c>
      <c r="F1705" s="1257">
        <v>1.39776570608351E-2</v>
      </c>
      <c r="G1705" s="1280">
        <v>6.5236575471682504E-2</v>
      </c>
      <c r="H1705" s="1271">
        <v>0.34158364437193001</v>
      </c>
      <c r="I1705" s="1257">
        <v>0.432036919266029</v>
      </c>
      <c r="J1705" s="1280">
        <v>0.114339249554226</v>
      </c>
      <c r="K1705" s="1271">
        <v>6.1783183626787398E-3</v>
      </c>
      <c r="L1705" s="1257">
        <v>1.36221468708339E-3</v>
      </c>
      <c r="M1705" s="1280">
        <v>4.1729071377394502E-4</v>
      </c>
      <c r="N1705" s="1271">
        <v>7.4375925411813799E-3</v>
      </c>
      <c r="O1705" s="1257">
        <v>3.0000008598028201E-3</v>
      </c>
      <c r="P1705" s="1257">
        <v>8.6984472514647707E-3</v>
      </c>
      <c r="Q1705" s="1280">
        <v>7.4375925411813799E-3</v>
      </c>
      <c r="R1705" s="1271">
        <v>3.8500011034136201E-2</v>
      </c>
      <c r="S1705" s="1257">
        <v>3.8500011034136201E-2</v>
      </c>
      <c r="T1705" s="1257">
        <v>3.8500011034136201E-2</v>
      </c>
      <c r="U1705" s="1280">
        <v>1.9250005517068101E-2</v>
      </c>
      <c r="V1705" s="1293">
        <v>6.4576745031573804E-3</v>
      </c>
    </row>
    <row r="1706" spans="1:22" s="212" customFormat="1" ht="15.5" x14ac:dyDescent="0.35">
      <c r="A1706" s="198">
        <v>2043</v>
      </c>
      <c r="B1706" s="197" t="s">
        <v>5833</v>
      </c>
      <c r="C1706" s="197">
        <v>1981</v>
      </c>
      <c r="D1706" s="225" t="str">
        <f t="shared" si="10"/>
        <v>2043_1981</v>
      </c>
      <c r="E1706" s="1226">
        <v>6.2964751342046807E-2</v>
      </c>
      <c r="F1706" s="1257">
        <v>1.39776570608351E-2</v>
      </c>
      <c r="G1706" s="1280">
        <v>6.5236575471682504E-2</v>
      </c>
      <c r="H1706" s="1271">
        <v>0.34158364437193001</v>
      </c>
      <c r="I1706" s="1257">
        <v>0.432036919266029</v>
      </c>
      <c r="J1706" s="1280">
        <v>0.114339249554226</v>
      </c>
      <c r="K1706" s="1271">
        <v>6.1783183626787398E-3</v>
      </c>
      <c r="L1706" s="1257">
        <v>1.36221468708339E-3</v>
      </c>
      <c r="M1706" s="1280">
        <v>4.1729071377394502E-4</v>
      </c>
      <c r="N1706" s="1271">
        <v>7.4375925411813799E-3</v>
      </c>
      <c r="O1706" s="1257">
        <v>3.0000008598028201E-3</v>
      </c>
      <c r="P1706" s="1257">
        <v>8.6984472514647707E-3</v>
      </c>
      <c r="Q1706" s="1280">
        <v>7.4375925411813799E-3</v>
      </c>
      <c r="R1706" s="1271">
        <v>3.8500011034136201E-2</v>
      </c>
      <c r="S1706" s="1257">
        <v>3.8500011034136201E-2</v>
      </c>
      <c r="T1706" s="1257">
        <v>3.8500011034136201E-2</v>
      </c>
      <c r="U1706" s="1280">
        <v>1.9250005517068101E-2</v>
      </c>
      <c r="V1706" s="1293">
        <v>6.4576745031573804E-3</v>
      </c>
    </row>
    <row r="1707" spans="1:22" s="212" customFormat="1" ht="15.5" x14ac:dyDescent="0.35">
      <c r="A1707" s="198">
        <v>2043</v>
      </c>
      <c r="B1707" s="197" t="s">
        <v>5833</v>
      </c>
      <c r="C1707" s="197">
        <v>1982</v>
      </c>
      <c r="D1707" s="225" t="str">
        <f t="shared" si="10"/>
        <v>2043_1982</v>
      </c>
      <c r="E1707" s="1226">
        <v>6.2964751342046807E-2</v>
      </c>
      <c r="F1707" s="1257">
        <v>1.39776570608351E-2</v>
      </c>
      <c r="G1707" s="1280">
        <v>6.5236575471682504E-2</v>
      </c>
      <c r="H1707" s="1271">
        <v>0.34158364437193001</v>
      </c>
      <c r="I1707" s="1257">
        <v>0.432036919266029</v>
      </c>
      <c r="J1707" s="1280">
        <v>0.114339249554226</v>
      </c>
      <c r="K1707" s="1271">
        <v>6.1783183626787398E-3</v>
      </c>
      <c r="L1707" s="1257">
        <v>1.36221468708339E-3</v>
      </c>
      <c r="M1707" s="1280">
        <v>4.1729071377394502E-4</v>
      </c>
      <c r="N1707" s="1271">
        <v>7.4375925411813799E-3</v>
      </c>
      <c r="O1707" s="1257">
        <v>3.0000008598028201E-3</v>
      </c>
      <c r="P1707" s="1257">
        <v>8.6984472514647707E-3</v>
      </c>
      <c r="Q1707" s="1280">
        <v>7.4375925411813799E-3</v>
      </c>
      <c r="R1707" s="1271">
        <v>3.8500011034136201E-2</v>
      </c>
      <c r="S1707" s="1257">
        <v>3.8500011034136201E-2</v>
      </c>
      <c r="T1707" s="1257">
        <v>3.8500011034136201E-2</v>
      </c>
      <c r="U1707" s="1280">
        <v>1.9250005517068101E-2</v>
      </c>
      <c r="V1707" s="1293">
        <v>6.4576745031573804E-3</v>
      </c>
    </row>
    <row r="1708" spans="1:22" s="212" customFormat="1" ht="15.5" x14ac:dyDescent="0.35">
      <c r="A1708" s="198">
        <v>2043</v>
      </c>
      <c r="B1708" s="197" t="s">
        <v>5833</v>
      </c>
      <c r="C1708" s="197">
        <v>1983</v>
      </c>
      <c r="D1708" s="225" t="str">
        <f t="shared" si="10"/>
        <v>2043_1983</v>
      </c>
      <c r="E1708" s="1226">
        <v>6.2964751342046807E-2</v>
      </c>
      <c r="F1708" s="1257">
        <v>1.39776570608351E-2</v>
      </c>
      <c r="G1708" s="1280">
        <v>6.5236575471682504E-2</v>
      </c>
      <c r="H1708" s="1271">
        <v>0.34158364437193001</v>
      </c>
      <c r="I1708" s="1257">
        <v>0.432036919266029</v>
      </c>
      <c r="J1708" s="1280">
        <v>0.114339249554226</v>
      </c>
      <c r="K1708" s="1271">
        <v>6.1783183626787398E-3</v>
      </c>
      <c r="L1708" s="1257">
        <v>1.36221468708339E-3</v>
      </c>
      <c r="M1708" s="1280">
        <v>4.1729071377394502E-4</v>
      </c>
      <c r="N1708" s="1271">
        <v>7.4375925411813799E-3</v>
      </c>
      <c r="O1708" s="1257">
        <v>3.0000008598028201E-3</v>
      </c>
      <c r="P1708" s="1257">
        <v>8.6984472514647707E-3</v>
      </c>
      <c r="Q1708" s="1280">
        <v>7.4375925411813799E-3</v>
      </c>
      <c r="R1708" s="1271">
        <v>3.8500011034136201E-2</v>
      </c>
      <c r="S1708" s="1257">
        <v>3.8500011034136201E-2</v>
      </c>
      <c r="T1708" s="1257">
        <v>3.8500011034136201E-2</v>
      </c>
      <c r="U1708" s="1280">
        <v>1.9250005517068101E-2</v>
      </c>
      <c r="V1708" s="1293">
        <v>6.4576745031573804E-3</v>
      </c>
    </row>
    <row r="1709" spans="1:22" s="212" customFormat="1" ht="15.5" x14ac:dyDescent="0.35">
      <c r="A1709" s="198">
        <v>2043</v>
      </c>
      <c r="B1709" s="197" t="s">
        <v>5833</v>
      </c>
      <c r="C1709" s="197">
        <v>1984</v>
      </c>
      <c r="D1709" s="225" t="str">
        <f t="shared" si="10"/>
        <v>2043_1984</v>
      </c>
      <c r="E1709" s="1226">
        <v>6.2964751342046807E-2</v>
      </c>
      <c r="F1709" s="1257">
        <v>1.39776570608351E-2</v>
      </c>
      <c r="G1709" s="1280">
        <v>6.5236575471682504E-2</v>
      </c>
      <c r="H1709" s="1271">
        <v>0.34158364437193001</v>
      </c>
      <c r="I1709" s="1257">
        <v>0.432036919266029</v>
      </c>
      <c r="J1709" s="1280">
        <v>0.114339249554226</v>
      </c>
      <c r="K1709" s="1271">
        <v>6.1783183626787398E-3</v>
      </c>
      <c r="L1709" s="1257">
        <v>1.36221468708339E-3</v>
      </c>
      <c r="M1709" s="1280">
        <v>4.1729071377394502E-4</v>
      </c>
      <c r="N1709" s="1271">
        <v>7.4375925411813799E-3</v>
      </c>
      <c r="O1709" s="1257">
        <v>3.0000008598028201E-3</v>
      </c>
      <c r="P1709" s="1257">
        <v>8.6984472514647707E-3</v>
      </c>
      <c r="Q1709" s="1280">
        <v>7.4375925411813799E-3</v>
      </c>
      <c r="R1709" s="1271">
        <v>3.8500011034136201E-2</v>
      </c>
      <c r="S1709" s="1257">
        <v>3.8500011034136201E-2</v>
      </c>
      <c r="T1709" s="1257">
        <v>3.8500011034136201E-2</v>
      </c>
      <c r="U1709" s="1280">
        <v>1.9250005517068101E-2</v>
      </c>
      <c r="V1709" s="1293">
        <v>6.4576745031573804E-3</v>
      </c>
    </row>
    <row r="1710" spans="1:22" s="212" customFormat="1" ht="15.5" x14ac:dyDescent="0.35">
      <c r="A1710" s="198">
        <v>2043</v>
      </c>
      <c r="B1710" s="197" t="s">
        <v>5833</v>
      </c>
      <c r="C1710" s="197">
        <v>1985</v>
      </c>
      <c r="D1710" s="225" t="str">
        <f t="shared" si="10"/>
        <v>2043_1985</v>
      </c>
      <c r="E1710" s="1226">
        <v>6.2964751342046807E-2</v>
      </c>
      <c r="F1710" s="1257">
        <v>1.39776570608351E-2</v>
      </c>
      <c r="G1710" s="1280">
        <v>6.5236575471682504E-2</v>
      </c>
      <c r="H1710" s="1271">
        <v>0.34158364437193001</v>
      </c>
      <c r="I1710" s="1257">
        <v>0.432036919266029</v>
      </c>
      <c r="J1710" s="1280">
        <v>0.114339249554226</v>
      </c>
      <c r="K1710" s="1271">
        <v>6.1783183626787398E-3</v>
      </c>
      <c r="L1710" s="1257">
        <v>1.36221468708339E-3</v>
      </c>
      <c r="M1710" s="1280">
        <v>4.1729071377394502E-4</v>
      </c>
      <c r="N1710" s="1271">
        <v>7.4375925411813799E-3</v>
      </c>
      <c r="O1710" s="1257">
        <v>3.0000008598028201E-3</v>
      </c>
      <c r="P1710" s="1257">
        <v>8.6984472514647707E-3</v>
      </c>
      <c r="Q1710" s="1280">
        <v>7.4375925411813799E-3</v>
      </c>
      <c r="R1710" s="1271">
        <v>3.8500011034136201E-2</v>
      </c>
      <c r="S1710" s="1257">
        <v>3.8500011034136201E-2</v>
      </c>
      <c r="T1710" s="1257">
        <v>3.8500011034136201E-2</v>
      </c>
      <c r="U1710" s="1280">
        <v>1.9250005517068101E-2</v>
      </c>
      <c r="V1710" s="1293">
        <v>6.4576745031573804E-3</v>
      </c>
    </row>
    <row r="1711" spans="1:22" s="212" customFormat="1" ht="15.5" x14ac:dyDescent="0.35">
      <c r="A1711" s="198">
        <v>2043</v>
      </c>
      <c r="B1711" s="197" t="s">
        <v>5833</v>
      </c>
      <c r="C1711" s="197">
        <v>1986</v>
      </c>
      <c r="D1711" s="225" t="str">
        <f t="shared" si="10"/>
        <v>2043_1986</v>
      </c>
      <c r="E1711" s="1226">
        <v>6.2964751342046807E-2</v>
      </c>
      <c r="F1711" s="1257">
        <v>1.39776570608351E-2</v>
      </c>
      <c r="G1711" s="1280">
        <v>6.5236575471682504E-2</v>
      </c>
      <c r="H1711" s="1271">
        <v>0.34158364437193001</v>
      </c>
      <c r="I1711" s="1257">
        <v>0.432036919266029</v>
      </c>
      <c r="J1711" s="1280">
        <v>0.114339249554226</v>
      </c>
      <c r="K1711" s="1271">
        <v>6.1783183626787398E-3</v>
      </c>
      <c r="L1711" s="1257">
        <v>1.36221468708339E-3</v>
      </c>
      <c r="M1711" s="1280">
        <v>4.1729071377394502E-4</v>
      </c>
      <c r="N1711" s="1271">
        <v>7.4375925411813799E-3</v>
      </c>
      <c r="O1711" s="1257">
        <v>3.0000008598028201E-3</v>
      </c>
      <c r="P1711" s="1257">
        <v>8.6984472514647707E-3</v>
      </c>
      <c r="Q1711" s="1280">
        <v>7.4375925411813799E-3</v>
      </c>
      <c r="R1711" s="1271">
        <v>3.8500011034136201E-2</v>
      </c>
      <c r="S1711" s="1257">
        <v>3.8500011034136201E-2</v>
      </c>
      <c r="T1711" s="1257">
        <v>3.8500011034136201E-2</v>
      </c>
      <c r="U1711" s="1280">
        <v>1.9250005517068101E-2</v>
      </c>
      <c r="V1711" s="1293">
        <v>6.4576745031573804E-3</v>
      </c>
    </row>
    <row r="1712" spans="1:22" s="212" customFormat="1" ht="15.5" x14ac:dyDescent="0.35">
      <c r="A1712" s="198">
        <v>2043</v>
      </c>
      <c r="B1712" s="197" t="s">
        <v>5833</v>
      </c>
      <c r="C1712" s="197">
        <v>1987</v>
      </c>
      <c r="D1712" s="225" t="str">
        <f t="shared" si="10"/>
        <v>2043_1987</v>
      </c>
      <c r="E1712" s="1226">
        <v>6.2964751342046807E-2</v>
      </c>
      <c r="F1712" s="1257">
        <v>1.39776570608351E-2</v>
      </c>
      <c r="G1712" s="1280">
        <v>6.5236575471682504E-2</v>
      </c>
      <c r="H1712" s="1271">
        <v>0.34158364437193001</v>
      </c>
      <c r="I1712" s="1257">
        <v>0.432036919266029</v>
      </c>
      <c r="J1712" s="1280">
        <v>0.114339249554226</v>
      </c>
      <c r="K1712" s="1271">
        <v>6.1783183626787398E-3</v>
      </c>
      <c r="L1712" s="1257">
        <v>1.36221468708339E-3</v>
      </c>
      <c r="M1712" s="1280">
        <v>4.1729071377394502E-4</v>
      </c>
      <c r="N1712" s="1271">
        <v>7.4375925411813799E-3</v>
      </c>
      <c r="O1712" s="1257">
        <v>3.0000008598028201E-3</v>
      </c>
      <c r="P1712" s="1257">
        <v>8.6984472514647707E-3</v>
      </c>
      <c r="Q1712" s="1280">
        <v>7.4375925411813799E-3</v>
      </c>
      <c r="R1712" s="1271">
        <v>3.8500011034136201E-2</v>
      </c>
      <c r="S1712" s="1257">
        <v>3.8500011034136201E-2</v>
      </c>
      <c r="T1712" s="1257">
        <v>3.8500011034136201E-2</v>
      </c>
      <c r="U1712" s="1280">
        <v>1.9250005517068101E-2</v>
      </c>
      <c r="V1712" s="1293">
        <v>6.4576745031573804E-3</v>
      </c>
    </row>
    <row r="1713" spans="1:22" s="212" customFormat="1" ht="15.5" x14ac:dyDescent="0.35">
      <c r="A1713" s="198">
        <v>2043</v>
      </c>
      <c r="B1713" s="197" t="s">
        <v>5833</v>
      </c>
      <c r="C1713" s="197">
        <v>1988</v>
      </c>
      <c r="D1713" s="225" t="str">
        <f t="shared" si="10"/>
        <v>2043_1988</v>
      </c>
      <c r="E1713" s="1226">
        <v>6.2964751342046807E-2</v>
      </c>
      <c r="F1713" s="1257">
        <v>1.39776570608351E-2</v>
      </c>
      <c r="G1713" s="1280">
        <v>6.5236575471682504E-2</v>
      </c>
      <c r="H1713" s="1271">
        <v>0.34158364437193001</v>
      </c>
      <c r="I1713" s="1257">
        <v>0.432036919266029</v>
      </c>
      <c r="J1713" s="1280">
        <v>0.114339249554226</v>
      </c>
      <c r="K1713" s="1271">
        <v>6.1783183626787398E-3</v>
      </c>
      <c r="L1713" s="1257">
        <v>1.36221468708339E-3</v>
      </c>
      <c r="M1713" s="1280">
        <v>4.1729071377394502E-4</v>
      </c>
      <c r="N1713" s="1271">
        <v>7.4375925411813799E-3</v>
      </c>
      <c r="O1713" s="1257">
        <v>3.0000008598028201E-3</v>
      </c>
      <c r="P1713" s="1257">
        <v>8.6984472514647707E-3</v>
      </c>
      <c r="Q1713" s="1280">
        <v>7.4375925411813799E-3</v>
      </c>
      <c r="R1713" s="1271">
        <v>3.8500011034136201E-2</v>
      </c>
      <c r="S1713" s="1257">
        <v>3.8500011034136201E-2</v>
      </c>
      <c r="T1713" s="1257">
        <v>3.8500011034136201E-2</v>
      </c>
      <c r="U1713" s="1280">
        <v>1.9250005517068101E-2</v>
      </c>
      <c r="V1713" s="1293">
        <v>6.4576745031573804E-3</v>
      </c>
    </row>
    <row r="1714" spans="1:22" s="212" customFormat="1" ht="15.5" x14ac:dyDescent="0.35">
      <c r="A1714" s="198">
        <v>2043</v>
      </c>
      <c r="B1714" s="197" t="s">
        <v>5833</v>
      </c>
      <c r="C1714" s="197">
        <v>1989</v>
      </c>
      <c r="D1714" s="225" t="str">
        <f t="shared" si="10"/>
        <v>2043_1989</v>
      </c>
      <c r="E1714" s="1226">
        <v>6.2964751342046807E-2</v>
      </c>
      <c r="F1714" s="1257">
        <v>1.39776570608351E-2</v>
      </c>
      <c r="G1714" s="1280">
        <v>6.5236575471682504E-2</v>
      </c>
      <c r="H1714" s="1271">
        <v>0.34158364437193001</v>
      </c>
      <c r="I1714" s="1257">
        <v>0.432036919266029</v>
      </c>
      <c r="J1714" s="1280">
        <v>0.114339249554226</v>
      </c>
      <c r="K1714" s="1271">
        <v>6.1783183626787398E-3</v>
      </c>
      <c r="L1714" s="1257">
        <v>1.36221468708339E-3</v>
      </c>
      <c r="M1714" s="1280">
        <v>4.1729071377394502E-4</v>
      </c>
      <c r="N1714" s="1271">
        <v>7.4375925411813799E-3</v>
      </c>
      <c r="O1714" s="1257">
        <v>3.0000008598028201E-3</v>
      </c>
      <c r="P1714" s="1257">
        <v>8.6984472514647707E-3</v>
      </c>
      <c r="Q1714" s="1280">
        <v>7.4375925411813799E-3</v>
      </c>
      <c r="R1714" s="1271">
        <v>3.8500011034136201E-2</v>
      </c>
      <c r="S1714" s="1257">
        <v>3.8500011034136201E-2</v>
      </c>
      <c r="T1714" s="1257">
        <v>3.8500011034136201E-2</v>
      </c>
      <c r="U1714" s="1280">
        <v>1.9250005517068101E-2</v>
      </c>
      <c r="V1714" s="1293">
        <v>6.4576745031573804E-3</v>
      </c>
    </row>
    <row r="1715" spans="1:22" s="212" customFormat="1" ht="15.5" x14ac:dyDescent="0.35">
      <c r="A1715" s="198">
        <v>2043</v>
      </c>
      <c r="B1715" s="197" t="s">
        <v>5833</v>
      </c>
      <c r="C1715" s="197">
        <v>1990</v>
      </c>
      <c r="D1715" s="225" t="str">
        <f t="shared" si="10"/>
        <v>2043_1990</v>
      </c>
      <c r="E1715" s="1226">
        <v>6.2964751342046807E-2</v>
      </c>
      <c r="F1715" s="1257">
        <v>1.39776570608351E-2</v>
      </c>
      <c r="G1715" s="1280">
        <v>6.5236575471682504E-2</v>
      </c>
      <c r="H1715" s="1271">
        <v>0.34158364437193001</v>
      </c>
      <c r="I1715" s="1257">
        <v>0.432036919266029</v>
      </c>
      <c r="J1715" s="1280">
        <v>0.114339249554226</v>
      </c>
      <c r="K1715" s="1271">
        <v>6.1783183626787398E-3</v>
      </c>
      <c r="L1715" s="1257">
        <v>1.36221468708339E-3</v>
      </c>
      <c r="M1715" s="1280">
        <v>4.1729071377394502E-4</v>
      </c>
      <c r="N1715" s="1271">
        <v>7.4375925411813799E-3</v>
      </c>
      <c r="O1715" s="1257">
        <v>3.0000008598028201E-3</v>
      </c>
      <c r="P1715" s="1257">
        <v>8.6984472514647707E-3</v>
      </c>
      <c r="Q1715" s="1280">
        <v>7.4375925411813799E-3</v>
      </c>
      <c r="R1715" s="1271">
        <v>3.8500011034136201E-2</v>
      </c>
      <c r="S1715" s="1257">
        <v>3.8500011034136201E-2</v>
      </c>
      <c r="T1715" s="1257">
        <v>3.8500011034136201E-2</v>
      </c>
      <c r="U1715" s="1280">
        <v>1.9250005517068101E-2</v>
      </c>
      <c r="V1715" s="1293">
        <v>6.4576745031573804E-3</v>
      </c>
    </row>
    <row r="1716" spans="1:22" s="212" customFormat="1" ht="15.5" x14ac:dyDescent="0.35">
      <c r="A1716" s="198">
        <v>2043</v>
      </c>
      <c r="B1716" s="197" t="s">
        <v>5833</v>
      </c>
      <c r="C1716" s="197">
        <v>1991</v>
      </c>
      <c r="D1716" s="225" t="str">
        <f t="shared" si="10"/>
        <v>2043_1991</v>
      </c>
      <c r="E1716" s="1226">
        <v>6.2964751342046807E-2</v>
      </c>
      <c r="F1716" s="1257">
        <v>1.39776570608351E-2</v>
      </c>
      <c r="G1716" s="1280">
        <v>6.5236575471682504E-2</v>
      </c>
      <c r="H1716" s="1271">
        <v>0.34158364437193001</v>
      </c>
      <c r="I1716" s="1257">
        <v>0.432036919266029</v>
      </c>
      <c r="J1716" s="1280">
        <v>0.114339249554226</v>
      </c>
      <c r="K1716" s="1271">
        <v>6.1783183626787398E-3</v>
      </c>
      <c r="L1716" s="1257">
        <v>1.36221468708339E-3</v>
      </c>
      <c r="M1716" s="1280">
        <v>4.1729071377394502E-4</v>
      </c>
      <c r="N1716" s="1271">
        <v>7.4375925411813799E-3</v>
      </c>
      <c r="O1716" s="1257">
        <v>3.0000008598028201E-3</v>
      </c>
      <c r="P1716" s="1257">
        <v>8.6984472514647707E-3</v>
      </c>
      <c r="Q1716" s="1280">
        <v>7.4375925411813799E-3</v>
      </c>
      <c r="R1716" s="1271">
        <v>3.8500011034136201E-2</v>
      </c>
      <c r="S1716" s="1257">
        <v>3.8500011034136201E-2</v>
      </c>
      <c r="T1716" s="1257">
        <v>3.8500011034136201E-2</v>
      </c>
      <c r="U1716" s="1280">
        <v>1.9250005517068101E-2</v>
      </c>
      <c r="V1716" s="1293">
        <v>6.4576745031573804E-3</v>
      </c>
    </row>
    <row r="1717" spans="1:22" s="212" customFormat="1" ht="15.5" x14ac:dyDescent="0.35">
      <c r="A1717" s="198">
        <v>2043</v>
      </c>
      <c r="B1717" s="197" t="s">
        <v>5833</v>
      </c>
      <c r="C1717" s="197">
        <v>1992</v>
      </c>
      <c r="D1717" s="225" t="str">
        <f t="shared" si="10"/>
        <v>2043_1992</v>
      </c>
      <c r="E1717" s="1226">
        <v>6.2964751342046807E-2</v>
      </c>
      <c r="F1717" s="1257">
        <v>1.39776570608351E-2</v>
      </c>
      <c r="G1717" s="1280">
        <v>6.5236575471682504E-2</v>
      </c>
      <c r="H1717" s="1271">
        <v>0.34158364437193001</v>
      </c>
      <c r="I1717" s="1257">
        <v>0.432036919266029</v>
      </c>
      <c r="J1717" s="1280">
        <v>0.114339249554226</v>
      </c>
      <c r="K1717" s="1271">
        <v>6.1783183626787398E-3</v>
      </c>
      <c r="L1717" s="1257">
        <v>1.36221468708339E-3</v>
      </c>
      <c r="M1717" s="1280">
        <v>4.1729071377394502E-4</v>
      </c>
      <c r="N1717" s="1271">
        <v>7.4375925411813799E-3</v>
      </c>
      <c r="O1717" s="1257">
        <v>3.0000008598028201E-3</v>
      </c>
      <c r="P1717" s="1257">
        <v>8.6984472514647707E-3</v>
      </c>
      <c r="Q1717" s="1280">
        <v>7.4375925411813799E-3</v>
      </c>
      <c r="R1717" s="1271">
        <v>3.8500011034136201E-2</v>
      </c>
      <c r="S1717" s="1257">
        <v>3.8500011034136201E-2</v>
      </c>
      <c r="T1717" s="1257">
        <v>3.8500011034136201E-2</v>
      </c>
      <c r="U1717" s="1280">
        <v>1.9250005517068101E-2</v>
      </c>
      <c r="V1717" s="1293">
        <v>6.4576745031573804E-3</v>
      </c>
    </row>
    <row r="1718" spans="1:22" s="212" customFormat="1" ht="15.5" x14ac:dyDescent="0.35">
      <c r="A1718" s="198">
        <v>2043</v>
      </c>
      <c r="B1718" s="197" t="s">
        <v>5833</v>
      </c>
      <c r="C1718" s="197">
        <v>1993</v>
      </c>
      <c r="D1718" s="225" t="str">
        <f t="shared" si="10"/>
        <v>2043_1993</v>
      </c>
      <c r="E1718" s="1226">
        <v>6.2964751342046807E-2</v>
      </c>
      <c r="F1718" s="1257">
        <v>1.39776570608351E-2</v>
      </c>
      <c r="G1718" s="1280">
        <v>6.5236575471682504E-2</v>
      </c>
      <c r="H1718" s="1271">
        <v>0.34158364437193001</v>
      </c>
      <c r="I1718" s="1257">
        <v>0.432036919266029</v>
      </c>
      <c r="J1718" s="1280">
        <v>0.114339249554226</v>
      </c>
      <c r="K1718" s="1271">
        <v>6.1783183626787398E-3</v>
      </c>
      <c r="L1718" s="1257">
        <v>1.36221468708339E-3</v>
      </c>
      <c r="M1718" s="1280">
        <v>4.1729071377394502E-4</v>
      </c>
      <c r="N1718" s="1271">
        <v>7.4375925411813799E-3</v>
      </c>
      <c r="O1718" s="1257">
        <v>3.0000008598028201E-3</v>
      </c>
      <c r="P1718" s="1257">
        <v>8.6984472514647707E-3</v>
      </c>
      <c r="Q1718" s="1280">
        <v>7.4375925411813799E-3</v>
      </c>
      <c r="R1718" s="1271">
        <v>3.8500011034136201E-2</v>
      </c>
      <c r="S1718" s="1257">
        <v>3.8500011034136201E-2</v>
      </c>
      <c r="T1718" s="1257">
        <v>3.8500011034136201E-2</v>
      </c>
      <c r="U1718" s="1280">
        <v>1.9250005517068101E-2</v>
      </c>
      <c r="V1718" s="1293">
        <v>6.4576745031573804E-3</v>
      </c>
    </row>
    <row r="1719" spans="1:22" s="212" customFormat="1" ht="15.5" x14ac:dyDescent="0.35">
      <c r="A1719" s="198">
        <v>2043</v>
      </c>
      <c r="B1719" s="197" t="s">
        <v>5833</v>
      </c>
      <c r="C1719" s="197">
        <v>1994</v>
      </c>
      <c r="D1719" s="225" t="str">
        <f t="shared" si="10"/>
        <v>2043_1994</v>
      </c>
      <c r="E1719" s="1226">
        <v>6.2964751342046807E-2</v>
      </c>
      <c r="F1719" s="1257">
        <v>1.39776570608351E-2</v>
      </c>
      <c r="G1719" s="1280">
        <v>6.5236575471682504E-2</v>
      </c>
      <c r="H1719" s="1271">
        <v>0.34158364437193001</v>
      </c>
      <c r="I1719" s="1257">
        <v>0.432036919266029</v>
      </c>
      <c r="J1719" s="1280">
        <v>0.114339249554226</v>
      </c>
      <c r="K1719" s="1271">
        <v>6.1783183626787398E-3</v>
      </c>
      <c r="L1719" s="1257">
        <v>1.36221468708339E-3</v>
      </c>
      <c r="M1719" s="1280">
        <v>4.1729071377394502E-4</v>
      </c>
      <c r="N1719" s="1271">
        <v>7.4375925411813799E-3</v>
      </c>
      <c r="O1719" s="1257">
        <v>3.0000008598028201E-3</v>
      </c>
      <c r="P1719" s="1257">
        <v>8.6984472514647707E-3</v>
      </c>
      <c r="Q1719" s="1280">
        <v>7.4375925411813799E-3</v>
      </c>
      <c r="R1719" s="1271">
        <v>3.8500011034136201E-2</v>
      </c>
      <c r="S1719" s="1257">
        <v>3.8500011034136201E-2</v>
      </c>
      <c r="T1719" s="1257">
        <v>3.8500011034136201E-2</v>
      </c>
      <c r="U1719" s="1280">
        <v>1.9250005517068101E-2</v>
      </c>
      <c r="V1719" s="1293">
        <v>6.4576745031573804E-3</v>
      </c>
    </row>
    <row r="1720" spans="1:22" s="212" customFormat="1" ht="15.5" x14ac:dyDescent="0.35">
      <c r="A1720" s="198">
        <v>2043</v>
      </c>
      <c r="B1720" s="197" t="s">
        <v>5833</v>
      </c>
      <c r="C1720" s="197">
        <v>1995</v>
      </c>
      <c r="D1720" s="225" t="str">
        <f t="shared" si="10"/>
        <v>2043_1995</v>
      </c>
      <c r="E1720" s="1226">
        <v>6.2964751342046807E-2</v>
      </c>
      <c r="F1720" s="1257">
        <v>1.39776570608351E-2</v>
      </c>
      <c r="G1720" s="1280">
        <v>6.5236575471682504E-2</v>
      </c>
      <c r="H1720" s="1271">
        <v>0.34158364437193001</v>
      </c>
      <c r="I1720" s="1257">
        <v>0.432036919266029</v>
      </c>
      <c r="J1720" s="1280">
        <v>0.114339249554226</v>
      </c>
      <c r="K1720" s="1271">
        <v>6.1783183626787398E-3</v>
      </c>
      <c r="L1720" s="1257">
        <v>1.36221468708339E-3</v>
      </c>
      <c r="M1720" s="1280">
        <v>4.1729071377394502E-4</v>
      </c>
      <c r="N1720" s="1271">
        <v>7.4375925411813799E-3</v>
      </c>
      <c r="O1720" s="1257">
        <v>3.0000008598028201E-3</v>
      </c>
      <c r="P1720" s="1257">
        <v>8.6984472514647707E-3</v>
      </c>
      <c r="Q1720" s="1280">
        <v>7.4375925411813799E-3</v>
      </c>
      <c r="R1720" s="1271">
        <v>3.8500011034136201E-2</v>
      </c>
      <c r="S1720" s="1257">
        <v>3.8500011034136201E-2</v>
      </c>
      <c r="T1720" s="1257">
        <v>3.8500011034136201E-2</v>
      </c>
      <c r="U1720" s="1280">
        <v>1.9250005517068101E-2</v>
      </c>
      <c r="V1720" s="1293">
        <v>6.4576745031573804E-3</v>
      </c>
    </row>
    <row r="1721" spans="1:22" s="212" customFormat="1" ht="15.5" x14ac:dyDescent="0.35">
      <c r="A1721" s="198">
        <v>2043</v>
      </c>
      <c r="B1721" s="197" t="s">
        <v>5833</v>
      </c>
      <c r="C1721" s="197">
        <v>1996</v>
      </c>
      <c r="D1721" s="225" t="str">
        <f t="shared" si="10"/>
        <v>2043_1996</v>
      </c>
      <c r="E1721" s="1226">
        <v>6.2964751342046807E-2</v>
      </c>
      <c r="F1721" s="1257">
        <v>1.39776570608351E-2</v>
      </c>
      <c r="G1721" s="1280">
        <v>6.5236575471682504E-2</v>
      </c>
      <c r="H1721" s="1271">
        <v>0.34158364437193001</v>
      </c>
      <c r="I1721" s="1257">
        <v>0.432036919266029</v>
      </c>
      <c r="J1721" s="1280">
        <v>0.114339249554226</v>
      </c>
      <c r="K1721" s="1271">
        <v>6.1783183626787398E-3</v>
      </c>
      <c r="L1721" s="1257">
        <v>1.36221468708339E-3</v>
      </c>
      <c r="M1721" s="1280">
        <v>4.1729071377394502E-4</v>
      </c>
      <c r="N1721" s="1271">
        <v>7.4375925411813799E-3</v>
      </c>
      <c r="O1721" s="1257">
        <v>3.0000008598028201E-3</v>
      </c>
      <c r="P1721" s="1257">
        <v>8.6984472514647707E-3</v>
      </c>
      <c r="Q1721" s="1280">
        <v>7.4375925411813799E-3</v>
      </c>
      <c r="R1721" s="1271">
        <v>3.8500011034136201E-2</v>
      </c>
      <c r="S1721" s="1257">
        <v>3.8500011034136201E-2</v>
      </c>
      <c r="T1721" s="1257">
        <v>3.8500011034136201E-2</v>
      </c>
      <c r="U1721" s="1280">
        <v>1.9250005517068101E-2</v>
      </c>
      <c r="V1721" s="1293">
        <v>6.4576745031573804E-3</v>
      </c>
    </row>
    <row r="1722" spans="1:22" s="212" customFormat="1" ht="15.5" x14ac:dyDescent="0.35">
      <c r="A1722" s="198">
        <v>2043</v>
      </c>
      <c r="B1722" s="197" t="s">
        <v>5833</v>
      </c>
      <c r="C1722" s="197">
        <v>1997</v>
      </c>
      <c r="D1722" s="225" t="str">
        <f t="shared" si="10"/>
        <v>2043_1997</v>
      </c>
      <c r="E1722" s="1226">
        <v>6.2964751342046807E-2</v>
      </c>
      <c r="F1722" s="1257">
        <v>1.39776570608351E-2</v>
      </c>
      <c r="G1722" s="1280">
        <v>6.5236575471682504E-2</v>
      </c>
      <c r="H1722" s="1271">
        <v>0.34158364437193001</v>
      </c>
      <c r="I1722" s="1257">
        <v>0.432036919266029</v>
      </c>
      <c r="J1722" s="1280">
        <v>0.114339249554226</v>
      </c>
      <c r="K1722" s="1271">
        <v>6.1783183626787398E-3</v>
      </c>
      <c r="L1722" s="1257">
        <v>1.36221468708339E-3</v>
      </c>
      <c r="M1722" s="1280">
        <v>4.1729071377394502E-4</v>
      </c>
      <c r="N1722" s="1271">
        <v>7.4375925411813799E-3</v>
      </c>
      <c r="O1722" s="1257">
        <v>3.0000008598028201E-3</v>
      </c>
      <c r="P1722" s="1257">
        <v>8.6984472514647707E-3</v>
      </c>
      <c r="Q1722" s="1280">
        <v>7.4375925411813799E-3</v>
      </c>
      <c r="R1722" s="1271">
        <v>3.8500011034136201E-2</v>
      </c>
      <c r="S1722" s="1257">
        <v>3.8500011034136201E-2</v>
      </c>
      <c r="T1722" s="1257">
        <v>3.8500011034136201E-2</v>
      </c>
      <c r="U1722" s="1280">
        <v>1.9250005517068101E-2</v>
      </c>
      <c r="V1722" s="1293">
        <v>6.4576745031573804E-3</v>
      </c>
    </row>
    <row r="1723" spans="1:22" s="212" customFormat="1" ht="15.5" x14ac:dyDescent="0.35">
      <c r="A1723" s="198">
        <v>2043</v>
      </c>
      <c r="B1723" s="197" t="s">
        <v>5833</v>
      </c>
      <c r="C1723" s="197">
        <v>1998</v>
      </c>
      <c r="D1723" s="225" t="str">
        <f t="shared" si="10"/>
        <v>2043_1998</v>
      </c>
      <c r="E1723" s="1226">
        <v>6.2964751342046807E-2</v>
      </c>
      <c r="F1723" s="1257">
        <v>1.39776570608351E-2</v>
      </c>
      <c r="G1723" s="1280">
        <v>6.5236575471682504E-2</v>
      </c>
      <c r="H1723" s="1271">
        <v>0.34158364437193001</v>
      </c>
      <c r="I1723" s="1257">
        <v>0.432036919266029</v>
      </c>
      <c r="J1723" s="1280">
        <v>0.114339249554226</v>
      </c>
      <c r="K1723" s="1271">
        <v>6.1783183626787398E-3</v>
      </c>
      <c r="L1723" s="1257">
        <v>1.36221468708339E-3</v>
      </c>
      <c r="M1723" s="1280">
        <v>4.1729071377394502E-4</v>
      </c>
      <c r="N1723" s="1271">
        <v>7.4375925411813799E-3</v>
      </c>
      <c r="O1723" s="1257">
        <v>3.0000008598028201E-3</v>
      </c>
      <c r="P1723" s="1257">
        <v>8.6984472514647707E-3</v>
      </c>
      <c r="Q1723" s="1280">
        <v>7.4375925411813799E-3</v>
      </c>
      <c r="R1723" s="1271">
        <v>3.8500011034136201E-2</v>
      </c>
      <c r="S1723" s="1257">
        <v>3.8500011034136201E-2</v>
      </c>
      <c r="T1723" s="1257">
        <v>3.8500011034136201E-2</v>
      </c>
      <c r="U1723" s="1280">
        <v>1.9250005517068101E-2</v>
      </c>
      <c r="V1723" s="1293">
        <v>6.4576745031573804E-3</v>
      </c>
    </row>
    <row r="1724" spans="1:22" s="212" customFormat="1" ht="15.5" x14ac:dyDescent="0.35">
      <c r="A1724" s="198">
        <v>2043</v>
      </c>
      <c r="B1724" s="197" t="s">
        <v>5833</v>
      </c>
      <c r="C1724" s="197">
        <v>1999</v>
      </c>
      <c r="D1724" s="225" t="str">
        <f t="shared" si="10"/>
        <v>2043_1999</v>
      </c>
      <c r="E1724" s="1226">
        <v>6.2964751342046807E-2</v>
      </c>
      <c r="F1724" s="1257">
        <v>1.39776570608351E-2</v>
      </c>
      <c r="G1724" s="1280">
        <v>6.5236575471682504E-2</v>
      </c>
      <c r="H1724" s="1271">
        <v>0.34158364437193001</v>
      </c>
      <c r="I1724" s="1257">
        <v>0.432036919266029</v>
      </c>
      <c r="J1724" s="1280">
        <v>0.114339249554226</v>
      </c>
      <c r="K1724" s="1271">
        <v>6.1783183626787398E-3</v>
      </c>
      <c r="L1724" s="1257">
        <v>1.36221468708339E-3</v>
      </c>
      <c r="M1724" s="1280">
        <v>4.1729071377394502E-4</v>
      </c>
      <c r="N1724" s="1271">
        <v>7.4375925411813799E-3</v>
      </c>
      <c r="O1724" s="1257">
        <v>3.0000008598028201E-3</v>
      </c>
      <c r="P1724" s="1257">
        <v>8.6984472514647707E-3</v>
      </c>
      <c r="Q1724" s="1280">
        <v>7.4375925411813799E-3</v>
      </c>
      <c r="R1724" s="1271">
        <v>3.8500011034136201E-2</v>
      </c>
      <c r="S1724" s="1257">
        <v>3.8500011034136201E-2</v>
      </c>
      <c r="T1724" s="1257">
        <v>3.8500011034136201E-2</v>
      </c>
      <c r="U1724" s="1280">
        <v>1.9250005517068101E-2</v>
      </c>
      <c r="V1724" s="1293">
        <v>6.4576745031573804E-3</v>
      </c>
    </row>
    <row r="1725" spans="1:22" s="212" customFormat="1" ht="15.5" x14ac:dyDescent="0.35">
      <c r="A1725" s="198">
        <v>2043</v>
      </c>
      <c r="B1725" s="197" t="s">
        <v>5833</v>
      </c>
      <c r="C1725" s="197">
        <v>2000</v>
      </c>
      <c r="D1725" s="225" t="str">
        <f t="shared" si="10"/>
        <v>2043_2000</v>
      </c>
      <c r="E1725" s="1226">
        <v>6.2964751342046807E-2</v>
      </c>
      <c r="F1725" s="1257">
        <v>1.39776570608351E-2</v>
      </c>
      <c r="G1725" s="1280">
        <v>6.5236575471682504E-2</v>
      </c>
      <c r="H1725" s="1271">
        <v>0.34158364437193001</v>
      </c>
      <c r="I1725" s="1257">
        <v>0.432036919266029</v>
      </c>
      <c r="J1725" s="1280">
        <v>0.114339249554226</v>
      </c>
      <c r="K1725" s="1271">
        <v>6.1783183626787398E-3</v>
      </c>
      <c r="L1725" s="1257">
        <v>1.36221468708339E-3</v>
      </c>
      <c r="M1725" s="1280">
        <v>4.1729071377394502E-4</v>
      </c>
      <c r="N1725" s="1271">
        <v>7.4375925411813799E-3</v>
      </c>
      <c r="O1725" s="1257">
        <v>3.0000008598028201E-3</v>
      </c>
      <c r="P1725" s="1257">
        <v>8.6984472514647707E-3</v>
      </c>
      <c r="Q1725" s="1280">
        <v>7.4375925411813799E-3</v>
      </c>
      <c r="R1725" s="1271">
        <v>3.8500011034136201E-2</v>
      </c>
      <c r="S1725" s="1257">
        <v>3.8500011034136201E-2</v>
      </c>
      <c r="T1725" s="1257">
        <v>3.8500011034136201E-2</v>
      </c>
      <c r="U1725" s="1280">
        <v>1.9250005517068101E-2</v>
      </c>
      <c r="V1725" s="1293">
        <v>6.4576745031573804E-3</v>
      </c>
    </row>
    <row r="1726" spans="1:22" s="212" customFormat="1" ht="15.5" x14ac:dyDescent="0.35">
      <c r="A1726" s="198">
        <v>2043</v>
      </c>
      <c r="B1726" s="197" t="s">
        <v>5833</v>
      </c>
      <c r="C1726" s="197">
        <v>2001</v>
      </c>
      <c r="D1726" s="225" t="str">
        <f t="shared" si="10"/>
        <v>2043_2001</v>
      </c>
      <c r="E1726" s="1226">
        <v>6.2964751342046807E-2</v>
      </c>
      <c r="F1726" s="1257">
        <v>1.39776570608351E-2</v>
      </c>
      <c r="G1726" s="1280">
        <v>6.5236575471682504E-2</v>
      </c>
      <c r="H1726" s="1271">
        <v>0.34158364437193001</v>
      </c>
      <c r="I1726" s="1257">
        <v>0.432036919266029</v>
      </c>
      <c r="J1726" s="1280">
        <v>0.114339249554226</v>
      </c>
      <c r="K1726" s="1271">
        <v>6.1783183626787398E-3</v>
      </c>
      <c r="L1726" s="1257">
        <v>1.36221468708339E-3</v>
      </c>
      <c r="M1726" s="1280">
        <v>4.1729071377394502E-4</v>
      </c>
      <c r="N1726" s="1271">
        <v>7.4375925411813799E-3</v>
      </c>
      <c r="O1726" s="1257">
        <v>3.0000008598028201E-3</v>
      </c>
      <c r="P1726" s="1257">
        <v>8.6984472514647707E-3</v>
      </c>
      <c r="Q1726" s="1280">
        <v>7.4375925411813799E-3</v>
      </c>
      <c r="R1726" s="1271">
        <v>3.8500011034136201E-2</v>
      </c>
      <c r="S1726" s="1257">
        <v>3.8500011034136201E-2</v>
      </c>
      <c r="T1726" s="1257">
        <v>3.8500011034136201E-2</v>
      </c>
      <c r="U1726" s="1280">
        <v>1.9250005517068101E-2</v>
      </c>
      <c r="V1726" s="1293">
        <v>6.4576745031573804E-3</v>
      </c>
    </row>
    <row r="1727" spans="1:22" s="212" customFormat="1" ht="15.5" x14ac:dyDescent="0.35">
      <c r="A1727" s="198">
        <v>2043</v>
      </c>
      <c r="B1727" s="197" t="s">
        <v>5833</v>
      </c>
      <c r="C1727" s="197">
        <v>2002</v>
      </c>
      <c r="D1727" s="225" t="str">
        <f t="shared" si="10"/>
        <v>2043_2002</v>
      </c>
      <c r="E1727" s="1226">
        <v>6.2964751342046807E-2</v>
      </c>
      <c r="F1727" s="1257">
        <v>1.39776570608351E-2</v>
      </c>
      <c r="G1727" s="1280">
        <v>6.5236575471682504E-2</v>
      </c>
      <c r="H1727" s="1271">
        <v>0.34158364437193001</v>
      </c>
      <c r="I1727" s="1257">
        <v>0.432036919266029</v>
      </c>
      <c r="J1727" s="1280">
        <v>0.114339249554226</v>
      </c>
      <c r="K1727" s="1271">
        <v>6.1783183626787398E-3</v>
      </c>
      <c r="L1727" s="1257">
        <v>1.36221468708339E-3</v>
      </c>
      <c r="M1727" s="1280">
        <v>4.1729071377394502E-4</v>
      </c>
      <c r="N1727" s="1271">
        <v>7.4375925411813799E-3</v>
      </c>
      <c r="O1727" s="1257">
        <v>3.0000008598028201E-3</v>
      </c>
      <c r="P1727" s="1257">
        <v>8.6984472514647707E-3</v>
      </c>
      <c r="Q1727" s="1280">
        <v>7.4375925411813799E-3</v>
      </c>
      <c r="R1727" s="1271">
        <v>3.8500011034136201E-2</v>
      </c>
      <c r="S1727" s="1257">
        <v>3.8500011034136201E-2</v>
      </c>
      <c r="T1727" s="1257">
        <v>3.8500011034136201E-2</v>
      </c>
      <c r="U1727" s="1280">
        <v>1.9250005517068101E-2</v>
      </c>
      <c r="V1727" s="1293">
        <v>6.4576745031573804E-3</v>
      </c>
    </row>
    <row r="1728" spans="1:22" s="212" customFormat="1" ht="15.5" x14ac:dyDescent="0.35">
      <c r="A1728" s="198">
        <v>2043</v>
      </c>
      <c r="B1728" s="197" t="s">
        <v>5833</v>
      </c>
      <c r="C1728" s="197">
        <v>2003</v>
      </c>
      <c r="D1728" s="225" t="str">
        <f t="shared" si="10"/>
        <v>2043_2003</v>
      </c>
      <c r="E1728" s="1226">
        <v>6.2964751342046807E-2</v>
      </c>
      <c r="F1728" s="1257">
        <v>1.39776570608351E-2</v>
      </c>
      <c r="G1728" s="1280">
        <v>6.5236575471682504E-2</v>
      </c>
      <c r="H1728" s="1271">
        <v>0.34158364437193001</v>
      </c>
      <c r="I1728" s="1257">
        <v>0.432036919266029</v>
      </c>
      <c r="J1728" s="1280">
        <v>0.114339249554226</v>
      </c>
      <c r="K1728" s="1271">
        <v>6.1783183626787398E-3</v>
      </c>
      <c r="L1728" s="1257">
        <v>1.36221468708339E-3</v>
      </c>
      <c r="M1728" s="1280">
        <v>4.1729071377394502E-4</v>
      </c>
      <c r="N1728" s="1271">
        <v>7.4375925411813799E-3</v>
      </c>
      <c r="O1728" s="1257">
        <v>3.0000008598028201E-3</v>
      </c>
      <c r="P1728" s="1257">
        <v>8.6984472514647707E-3</v>
      </c>
      <c r="Q1728" s="1280">
        <v>7.4375925411813799E-3</v>
      </c>
      <c r="R1728" s="1271">
        <v>3.8500011034136201E-2</v>
      </c>
      <c r="S1728" s="1257">
        <v>3.8500011034136201E-2</v>
      </c>
      <c r="T1728" s="1257">
        <v>3.8500011034136201E-2</v>
      </c>
      <c r="U1728" s="1280">
        <v>1.9250005517068101E-2</v>
      </c>
      <c r="V1728" s="1293">
        <v>6.4576745031573804E-3</v>
      </c>
    </row>
    <row r="1729" spans="1:22" s="212" customFormat="1" ht="15.5" x14ac:dyDescent="0.35">
      <c r="A1729" s="198">
        <v>2043</v>
      </c>
      <c r="B1729" s="197" t="s">
        <v>5833</v>
      </c>
      <c r="C1729" s="197">
        <v>2004</v>
      </c>
      <c r="D1729" s="225" t="str">
        <f t="shared" si="10"/>
        <v>2043_2004</v>
      </c>
      <c r="E1729" s="1226">
        <v>6.2964751342046807E-2</v>
      </c>
      <c r="F1729" s="1257">
        <v>1.39776570608351E-2</v>
      </c>
      <c r="G1729" s="1280">
        <v>6.5236575471682504E-2</v>
      </c>
      <c r="H1729" s="1271">
        <v>0.34158364437193001</v>
      </c>
      <c r="I1729" s="1257">
        <v>0.432036919266029</v>
      </c>
      <c r="J1729" s="1280">
        <v>0.114339249554226</v>
      </c>
      <c r="K1729" s="1271">
        <v>6.1783183626787398E-3</v>
      </c>
      <c r="L1729" s="1257">
        <v>1.36221468708339E-3</v>
      </c>
      <c r="M1729" s="1280">
        <v>4.1729071377394502E-4</v>
      </c>
      <c r="N1729" s="1271">
        <v>7.4375925411813799E-3</v>
      </c>
      <c r="O1729" s="1257">
        <v>3.0000008598028201E-3</v>
      </c>
      <c r="P1729" s="1257">
        <v>8.6984472514647707E-3</v>
      </c>
      <c r="Q1729" s="1280">
        <v>7.4375925411813799E-3</v>
      </c>
      <c r="R1729" s="1271">
        <v>3.8500011034136201E-2</v>
      </c>
      <c r="S1729" s="1257">
        <v>3.8500011034136201E-2</v>
      </c>
      <c r="T1729" s="1257">
        <v>3.8500011034136201E-2</v>
      </c>
      <c r="U1729" s="1280">
        <v>1.9250005517068101E-2</v>
      </c>
      <c r="V1729" s="1293">
        <v>6.4576745031573804E-3</v>
      </c>
    </row>
    <row r="1730" spans="1:22" s="212" customFormat="1" ht="15.5" x14ac:dyDescent="0.35">
      <c r="A1730" s="198">
        <v>2043</v>
      </c>
      <c r="B1730" s="197" t="s">
        <v>5833</v>
      </c>
      <c r="C1730" s="197">
        <v>2005</v>
      </c>
      <c r="D1730" s="225" t="str">
        <f t="shared" si="10"/>
        <v>2043_2005</v>
      </c>
      <c r="E1730" s="1226">
        <v>6.2964751342046807E-2</v>
      </c>
      <c r="F1730" s="1257">
        <v>1.39776570608351E-2</v>
      </c>
      <c r="G1730" s="1280">
        <v>6.5236575471682504E-2</v>
      </c>
      <c r="H1730" s="1271">
        <v>0.34158364437193001</v>
      </c>
      <c r="I1730" s="1257">
        <v>0.432036919266029</v>
      </c>
      <c r="J1730" s="1280">
        <v>0.114339249554226</v>
      </c>
      <c r="K1730" s="1271">
        <v>6.1783183626787398E-3</v>
      </c>
      <c r="L1730" s="1257">
        <v>1.36221468708339E-3</v>
      </c>
      <c r="M1730" s="1280">
        <v>4.1729071377394502E-4</v>
      </c>
      <c r="N1730" s="1271">
        <v>7.4375925411813799E-3</v>
      </c>
      <c r="O1730" s="1257">
        <v>3.0000008598028201E-3</v>
      </c>
      <c r="P1730" s="1257">
        <v>8.6984472514647707E-3</v>
      </c>
      <c r="Q1730" s="1280">
        <v>7.4375925411813799E-3</v>
      </c>
      <c r="R1730" s="1271">
        <v>3.8500011034136201E-2</v>
      </c>
      <c r="S1730" s="1257">
        <v>3.8500011034136201E-2</v>
      </c>
      <c r="T1730" s="1257">
        <v>3.8500011034136201E-2</v>
      </c>
      <c r="U1730" s="1280">
        <v>1.9250005517068101E-2</v>
      </c>
      <c r="V1730" s="1293">
        <v>6.4576745031573804E-3</v>
      </c>
    </row>
    <row r="1731" spans="1:22" s="212" customFormat="1" ht="15.5" x14ac:dyDescent="0.35">
      <c r="A1731" s="198">
        <v>2043</v>
      </c>
      <c r="B1731" s="197" t="s">
        <v>5833</v>
      </c>
      <c r="C1731" s="197">
        <v>2006</v>
      </c>
      <c r="D1731" s="225" t="str">
        <f t="shared" si="10"/>
        <v>2043_2006</v>
      </c>
      <c r="E1731" s="1226">
        <v>6.2964751342046807E-2</v>
      </c>
      <c r="F1731" s="1257">
        <v>1.39776570608351E-2</v>
      </c>
      <c r="G1731" s="1280">
        <v>6.5236575471682504E-2</v>
      </c>
      <c r="H1731" s="1271">
        <v>0.34158364437193001</v>
      </c>
      <c r="I1731" s="1257">
        <v>0.432036919266029</v>
      </c>
      <c r="J1731" s="1280">
        <v>0.114339249554226</v>
      </c>
      <c r="K1731" s="1271">
        <v>6.1783183626787398E-3</v>
      </c>
      <c r="L1731" s="1257">
        <v>1.36221468708339E-3</v>
      </c>
      <c r="M1731" s="1280">
        <v>4.1729071377394502E-4</v>
      </c>
      <c r="N1731" s="1271">
        <v>7.4375925411813799E-3</v>
      </c>
      <c r="O1731" s="1257">
        <v>3.0000008598028201E-3</v>
      </c>
      <c r="P1731" s="1257">
        <v>8.6984472514647707E-3</v>
      </c>
      <c r="Q1731" s="1280">
        <v>7.4375925411813799E-3</v>
      </c>
      <c r="R1731" s="1271">
        <v>3.8500011034136201E-2</v>
      </c>
      <c r="S1731" s="1257">
        <v>3.8500011034136201E-2</v>
      </c>
      <c r="T1731" s="1257">
        <v>3.8500011034136201E-2</v>
      </c>
      <c r="U1731" s="1280">
        <v>1.9250005517068101E-2</v>
      </c>
      <c r="V1731" s="1293">
        <v>6.4576745031573804E-3</v>
      </c>
    </row>
    <row r="1732" spans="1:22" s="212" customFormat="1" ht="15.5" x14ac:dyDescent="0.35">
      <c r="A1732" s="198">
        <v>2043</v>
      </c>
      <c r="B1732" s="197" t="s">
        <v>5833</v>
      </c>
      <c r="C1732" s="197">
        <v>2007</v>
      </c>
      <c r="D1732" s="225" t="str">
        <f t="shared" si="10"/>
        <v>2043_2007</v>
      </c>
      <c r="E1732" s="1226">
        <v>6.2964751342046807E-2</v>
      </c>
      <c r="F1732" s="1257">
        <v>1.39776570608351E-2</v>
      </c>
      <c r="G1732" s="1280">
        <v>6.5236575471682504E-2</v>
      </c>
      <c r="H1732" s="1271">
        <v>0.34158364437193001</v>
      </c>
      <c r="I1732" s="1257">
        <v>0.432036919266029</v>
      </c>
      <c r="J1732" s="1280">
        <v>0.114339249554226</v>
      </c>
      <c r="K1732" s="1271">
        <v>6.1783183626787398E-3</v>
      </c>
      <c r="L1732" s="1257">
        <v>1.36221468708339E-3</v>
      </c>
      <c r="M1732" s="1280">
        <v>4.1729071377394502E-4</v>
      </c>
      <c r="N1732" s="1271">
        <v>7.4375925411813799E-3</v>
      </c>
      <c r="O1732" s="1257">
        <v>3.0000008598028201E-3</v>
      </c>
      <c r="P1732" s="1257">
        <v>8.6984472514647707E-3</v>
      </c>
      <c r="Q1732" s="1280">
        <v>7.4375925411813799E-3</v>
      </c>
      <c r="R1732" s="1271">
        <v>3.8500011034136201E-2</v>
      </c>
      <c r="S1732" s="1257">
        <v>3.8500011034136201E-2</v>
      </c>
      <c r="T1732" s="1257">
        <v>3.8500011034136201E-2</v>
      </c>
      <c r="U1732" s="1280">
        <v>1.9250005517068101E-2</v>
      </c>
      <c r="V1732" s="1293">
        <v>6.4576745031573804E-3</v>
      </c>
    </row>
    <row r="1733" spans="1:22" s="212" customFormat="1" ht="15.5" x14ac:dyDescent="0.35">
      <c r="A1733" s="198">
        <v>2043</v>
      </c>
      <c r="B1733" s="197" t="s">
        <v>5833</v>
      </c>
      <c r="C1733" s="197">
        <v>2008</v>
      </c>
      <c r="D1733" s="225" t="str">
        <f t="shared" si="10"/>
        <v>2043_2008</v>
      </c>
      <c r="E1733" s="1226">
        <v>6.2964751342046807E-2</v>
      </c>
      <c r="F1733" s="1257">
        <v>1.39776570608351E-2</v>
      </c>
      <c r="G1733" s="1280">
        <v>6.5236575471682504E-2</v>
      </c>
      <c r="H1733" s="1271">
        <v>0.34158364437193001</v>
      </c>
      <c r="I1733" s="1257">
        <v>0.432036919266029</v>
      </c>
      <c r="J1733" s="1280">
        <v>0.114339249554226</v>
      </c>
      <c r="K1733" s="1271">
        <v>6.1783183626787398E-3</v>
      </c>
      <c r="L1733" s="1257">
        <v>1.36221468708339E-3</v>
      </c>
      <c r="M1733" s="1280">
        <v>4.1729071377394502E-4</v>
      </c>
      <c r="N1733" s="1271">
        <v>7.4375925411813799E-3</v>
      </c>
      <c r="O1733" s="1257">
        <v>3.0000008598028201E-3</v>
      </c>
      <c r="P1733" s="1257">
        <v>8.6984472514647707E-3</v>
      </c>
      <c r="Q1733" s="1280">
        <v>7.4375925411813799E-3</v>
      </c>
      <c r="R1733" s="1271">
        <v>3.8500011034136201E-2</v>
      </c>
      <c r="S1733" s="1257">
        <v>3.8500011034136201E-2</v>
      </c>
      <c r="T1733" s="1257">
        <v>3.8500011034136201E-2</v>
      </c>
      <c r="U1733" s="1280">
        <v>1.9250005517068101E-2</v>
      </c>
      <c r="V1733" s="1293">
        <v>6.4576745031573804E-3</v>
      </c>
    </row>
    <row r="1734" spans="1:22" s="212" customFormat="1" ht="15.5" x14ac:dyDescent="0.35">
      <c r="A1734" s="198">
        <v>2043</v>
      </c>
      <c r="B1734" s="197" t="s">
        <v>5833</v>
      </c>
      <c r="C1734" s="197">
        <v>2009</v>
      </c>
      <c r="D1734" s="225" t="str">
        <f t="shared" si="10"/>
        <v>2043_2009</v>
      </c>
      <c r="E1734" s="1226">
        <v>6.2964751342046807E-2</v>
      </c>
      <c r="F1734" s="1257">
        <v>1.39776570608351E-2</v>
      </c>
      <c r="G1734" s="1280">
        <v>6.5236575471682504E-2</v>
      </c>
      <c r="H1734" s="1271">
        <v>0.34158364437193001</v>
      </c>
      <c r="I1734" s="1257">
        <v>0.432036919266029</v>
      </c>
      <c r="J1734" s="1280">
        <v>0.114339249554226</v>
      </c>
      <c r="K1734" s="1271">
        <v>6.1783183626787398E-3</v>
      </c>
      <c r="L1734" s="1257">
        <v>1.36221468708339E-3</v>
      </c>
      <c r="M1734" s="1280">
        <v>4.1729071377394502E-4</v>
      </c>
      <c r="N1734" s="1271">
        <v>7.4375925411813799E-3</v>
      </c>
      <c r="O1734" s="1257">
        <v>3.0000008598028201E-3</v>
      </c>
      <c r="P1734" s="1257">
        <v>8.6984472514647707E-3</v>
      </c>
      <c r="Q1734" s="1280">
        <v>7.4375925411813799E-3</v>
      </c>
      <c r="R1734" s="1271">
        <v>3.8500011034136201E-2</v>
      </c>
      <c r="S1734" s="1257">
        <v>3.8500011034136201E-2</v>
      </c>
      <c r="T1734" s="1257">
        <v>3.8500011034136201E-2</v>
      </c>
      <c r="U1734" s="1280">
        <v>1.9250005517068101E-2</v>
      </c>
      <c r="V1734" s="1293">
        <v>6.4576745031573804E-3</v>
      </c>
    </row>
    <row r="1735" spans="1:22" s="212" customFormat="1" ht="15.5" x14ac:dyDescent="0.35">
      <c r="A1735" s="198">
        <v>2043</v>
      </c>
      <c r="B1735" s="197" t="s">
        <v>5833</v>
      </c>
      <c r="C1735" s="197">
        <v>2010</v>
      </c>
      <c r="D1735" s="225" t="str">
        <f t="shared" si="10"/>
        <v>2043_2010</v>
      </c>
      <c r="E1735" s="1226">
        <v>6.2964751342046807E-2</v>
      </c>
      <c r="F1735" s="1257">
        <v>1.39776570608351E-2</v>
      </c>
      <c r="G1735" s="1280">
        <v>6.5236575471682504E-2</v>
      </c>
      <c r="H1735" s="1271">
        <v>0.34158364437193001</v>
      </c>
      <c r="I1735" s="1257">
        <v>0.432036919266029</v>
      </c>
      <c r="J1735" s="1280">
        <v>0.114339249554226</v>
      </c>
      <c r="K1735" s="1271">
        <v>6.1783183626787398E-3</v>
      </c>
      <c r="L1735" s="1257">
        <v>1.36221468708339E-3</v>
      </c>
      <c r="M1735" s="1280">
        <v>4.1729071377394502E-4</v>
      </c>
      <c r="N1735" s="1271">
        <v>7.4375925411813799E-3</v>
      </c>
      <c r="O1735" s="1257">
        <v>3.0000008598028201E-3</v>
      </c>
      <c r="P1735" s="1257">
        <v>8.6984472514647707E-3</v>
      </c>
      <c r="Q1735" s="1280">
        <v>7.4375925411813799E-3</v>
      </c>
      <c r="R1735" s="1271">
        <v>3.8500011034136201E-2</v>
      </c>
      <c r="S1735" s="1257">
        <v>3.8500011034136201E-2</v>
      </c>
      <c r="T1735" s="1257">
        <v>3.8500011034136201E-2</v>
      </c>
      <c r="U1735" s="1280">
        <v>1.9250005517068101E-2</v>
      </c>
      <c r="V1735" s="1293">
        <v>6.4576745031573804E-3</v>
      </c>
    </row>
    <row r="1736" spans="1:22" s="212" customFormat="1" ht="15.5" x14ac:dyDescent="0.35">
      <c r="A1736" s="198">
        <v>2043</v>
      </c>
      <c r="B1736" s="197" t="s">
        <v>5833</v>
      </c>
      <c r="C1736" s="197">
        <v>2011</v>
      </c>
      <c r="D1736" s="225" t="str">
        <f t="shared" si="10"/>
        <v>2043_2011</v>
      </c>
      <c r="E1736" s="1226">
        <v>6.2964751342046807E-2</v>
      </c>
      <c r="F1736" s="1257">
        <v>1.39776570608351E-2</v>
      </c>
      <c r="G1736" s="1280">
        <v>6.5236575471682504E-2</v>
      </c>
      <c r="H1736" s="1271">
        <v>0.34158364437193001</v>
      </c>
      <c r="I1736" s="1257">
        <v>0.432036919266029</v>
      </c>
      <c r="J1736" s="1280">
        <v>0.114339249554226</v>
      </c>
      <c r="K1736" s="1271">
        <v>6.1783183626787398E-3</v>
      </c>
      <c r="L1736" s="1257">
        <v>1.36221468708339E-3</v>
      </c>
      <c r="M1736" s="1280">
        <v>4.1729071377394502E-4</v>
      </c>
      <c r="N1736" s="1271">
        <v>7.4375925411813799E-3</v>
      </c>
      <c r="O1736" s="1257">
        <v>3.0000008598028201E-3</v>
      </c>
      <c r="P1736" s="1257">
        <v>8.6984472514647707E-3</v>
      </c>
      <c r="Q1736" s="1280">
        <v>7.4375925411813799E-3</v>
      </c>
      <c r="R1736" s="1271">
        <v>3.8500011034136201E-2</v>
      </c>
      <c r="S1736" s="1257">
        <v>3.8500011034136201E-2</v>
      </c>
      <c r="T1736" s="1257">
        <v>3.8500011034136201E-2</v>
      </c>
      <c r="U1736" s="1280">
        <v>1.9250005517068101E-2</v>
      </c>
      <c r="V1736" s="1293">
        <v>6.4576745031573804E-3</v>
      </c>
    </row>
    <row r="1737" spans="1:22" s="212" customFormat="1" ht="15.5" x14ac:dyDescent="0.35">
      <c r="A1737" s="198">
        <v>2043</v>
      </c>
      <c r="B1737" s="197" t="s">
        <v>5833</v>
      </c>
      <c r="C1737" s="197">
        <v>2012</v>
      </c>
      <c r="D1737" s="225" t="str">
        <f t="shared" si="10"/>
        <v>2043_2012</v>
      </c>
      <c r="E1737" s="1226">
        <v>6.2964751342046807E-2</v>
      </c>
      <c r="F1737" s="1257">
        <v>1.39776570608351E-2</v>
      </c>
      <c r="G1737" s="1280">
        <v>6.5236575471682504E-2</v>
      </c>
      <c r="H1737" s="1271">
        <v>0.34158364437193001</v>
      </c>
      <c r="I1737" s="1257">
        <v>0.432036919266029</v>
      </c>
      <c r="J1737" s="1280">
        <v>0.114339249554226</v>
      </c>
      <c r="K1737" s="1271">
        <v>6.1783183626787398E-3</v>
      </c>
      <c r="L1737" s="1257">
        <v>1.36221468708339E-3</v>
      </c>
      <c r="M1737" s="1280">
        <v>4.1729071377394502E-4</v>
      </c>
      <c r="N1737" s="1271">
        <v>7.4375925411813799E-3</v>
      </c>
      <c r="O1737" s="1257">
        <v>3.0000008598028201E-3</v>
      </c>
      <c r="P1737" s="1257">
        <v>8.6984472514647707E-3</v>
      </c>
      <c r="Q1737" s="1280">
        <v>7.4375925411813799E-3</v>
      </c>
      <c r="R1737" s="1271">
        <v>3.8500011034136201E-2</v>
      </c>
      <c r="S1737" s="1257">
        <v>3.8500011034136201E-2</v>
      </c>
      <c r="T1737" s="1257">
        <v>3.8500011034136201E-2</v>
      </c>
      <c r="U1737" s="1280">
        <v>1.9250005517068101E-2</v>
      </c>
      <c r="V1737" s="1293">
        <v>6.4576745031573804E-3</v>
      </c>
    </row>
    <row r="1738" spans="1:22" s="212" customFormat="1" ht="15.5" x14ac:dyDescent="0.35">
      <c r="A1738" s="198">
        <v>2043</v>
      </c>
      <c r="B1738" s="197" t="s">
        <v>5833</v>
      </c>
      <c r="C1738" s="197">
        <v>2013</v>
      </c>
      <c r="D1738" s="225" t="str">
        <f t="shared" si="10"/>
        <v>2043_2013</v>
      </c>
      <c r="E1738" s="1226">
        <v>6.2964751342046807E-2</v>
      </c>
      <c r="F1738" s="1257">
        <v>1.39776570608351E-2</v>
      </c>
      <c r="G1738" s="1280">
        <v>6.5236575471682504E-2</v>
      </c>
      <c r="H1738" s="1271">
        <v>0.34158364437193001</v>
      </c>
      <c r="I1738" s="1257">
        <v>0.432036919266029</v>
      </c>
      <c r="J1738" s="1280">
        <v>0.114339249554226</v>
      </c>
      <c r="K1738" s="1271">
        <v>6.1783183626787398E-3</v>
      </c>
      <c r="L1738" s="1257">
        <v>1.36221468708339E-3</v>
      </c>
      <c r="M1738" s="1280">
        <v>4.1729071377394502E-4</v>
      </c>
      <c r="N1738" s="1271">
        <v>7.4375925411813799E-3</v>
      </c>
      <c r="O1738" s="1257">
        <v>3.0000008598028201E-3</v>
      </c>
      <c r="P1738" s="1257">
        <v>8.6984472514647707E-3</v>
      </c>
      <c r="Q1738" s="1280">
        <v>7.4375925411813799E-3</v>
      </c>
      <c r="R1738" s="1271">
        <v>3.8500011034136201E-2</v>
      </c>
      <c r="S1738" s="1257">
        <v>3.8500011034136201E-2</v>
      </c>
      <c r="T1738" s="1257">
        <v>3.8500011034136201E-2</v>
      </c>
      <c r="U1738" s="1280">
        <v>1.9250005517068101E-2</v>
      </c>
      <c r="V1738" s="1293">
        <v>6.4576745031573804E-3</v>
      </c>
    </row>
    <row r="1739" spans="1:22" s="212" customFormat="1" ht="15.5" x14ac:dyDescent="0.35">
      <c r="A1739" s="198">
        <v>2043</v>
      </c>
      <c r="B1739" s="197" t="s">
        <v>5833</v>
      </c>
      <c r="C1739" s="197">
        <v>2014</v>
      </c>
      <c r="D1739" s="225" t="str">
        <f t="shared" si="10"/>
        <v>2043_2014</v>
      </c>
      <c r="E1739" s="1226">
        <v>6.2964751342046807E-2</v>
      </c>
      <c r="F1739" s="1257">
        <v>1.39776570608351E-2</v>
      </c>
      <c r="G1739" s="1280">
        <v>6.5236575471682504E-2</v>
      </c>
      <c r="H1739" s="1271">
        <v>0.34158364437193001</v>
      </c>
      <c r="I1739" s="1257">
        <v>0.432036919266029</v>
      </c>
      <c r="J1739" s="1280">
        <v>0.114339249554226</v>
      </c>
      <c r="K1739" s="1271">
        <v>6.1783183626787398E-3</v>
      </c>
      <c r="L1739" s="1257">
        <v>1.36221468708339E-3</v>
      </c>
      <c r="M1739" s="1280">
        <v>4.1729071377394502E-4</v>
      </c>
      <c r="N1739" s="1271">
        <v>7.4375925411813799E-3</v>
      </c>
      <c r="O1739" s="1257">
        <v>3.0000008598028201E-3</v>
      </c>
      <c r="P1739" s="1257">
        <v>8.6984472514647707E-3</v>
      </c>
      <c r="Q1739" s="1280">
        <v>7.4375925411813799E-3</v>
      </c>
      <c r="R1739" s="1271">
        <v>3.8500011034136201E-2</v>
      </c>
      <c r="S1739" s="1257">
        <v>3.8500011034136201E-2</v>
      </c>
      <c r="T1739" s="1257">
        <v>3.8500011034136201E-2</v>
      </c>
      <c r="U1739" s="1280">
        <v>1.9250005517068101E-2</v>
      </c>
      <c r="V1739" s="1293">
        <v>6.4576745031573804E-3</v>
      </c>
    </row>
    <row r="1740" spans="1:22" s="212" customFormat="1" ht="15.5" x14ac:dyDescent="0.35">
      <c r="A1740" s="198">
        <v>2043</v>
      </c>
      <c r="B1740" s="197" t="s">
        <v>5833</v>
      </c>
      <c r="C1740" s="197">
        <v>2015</v>
      </c>
      <c r="D1740" s="225" t="str">
        <f t="shared" si="10"/>
        <v>2043_2015</v>
      </c>
      <c r="E1740" s="1226">
        <v>6.2964751342046807E-2</v>
      </c>
      <c r="F1740" s="1257">
        <v>1.39776570608351E-2</v>
      </c>
      <c r="G1740" s="1280">
        <v>6.5236575471682504E-2</v>
      </c>
      <c r="H1740" s="1271">
        <v>0.34158364437193001</v>
      </c>
      <c r="I1740" s="1257">
        <v>0.432036919266029</v>
      </c>
      <c r="J1740" s="1280">
        <v>0.114339249554226</v>
      </c>
      <c r="K1740" s="1271">
        <v>6.1783183626787398E-3</v>
      </c>
      <c r="L1740" s="1257">
        <v>1.36221468708339E-3</v>
      </c>
      <c r="M1740" s="1280">
        <v>4.1729071377394502E-4</v>
      </c>
      <c r="N1740" s="1271">
        <v>7.4375925411813799E-3</v>
      </c>
      <c r="O1740" s="1257">
        <v>3.0000008598028201E-3</v>
      </c>
      <c r="P1740" s="1257">
        <v>8.6984472514647707E-3</v>
      </c>
      <c r="Q1740" s="1280">
        <v>7.4375925411813799E-3</v>
      </c>
      <c r="R1740" s="1271">
        <v>3.8500011034136201E-2</v>
      </c>
      <c r="S1740" s="1257">
        <v>3.8500011034136201E-2</v>
      </c>
      <c r="T1740" s="1257">
        <v>3.8500011034136201E-2</v>
      </c>
      <c r="U1740" s="1280">
        <v>1.9250005517068101E-2</v>
      </c>
      <c r="V1740" s="1293">
        <v>6.4576745031573804E-3</v>
      </c>
    </row>
    <row r="1741" spans="1:22" s="212" customFormat="1" ht="15.5" x14ac:dyDescent="0.35">
      <c r="A1741" s="198">
        <v>2043</v>
      </c>
      <c r="B1741" s="197" t="s">
        <v>5833</v>
      </c>
      <c r="C1741" s="197">
        <v>2016</v>
      </c>
      <c r="D1741" s="225" t="str">
        <f t="shared" si="10"/>
        <v>2043_2016</v>
      </c>
      <c r="E1741" s="1226">
        <v>6.2964751342046807E-2</v>
      </c>
      <c r="F1741" s="1257">
        <v>1.39776570608351E-2</v>
      </c>
      <c r="G1741" s="1280">
        <v>6.5236575471682504E-2</v>
      </c>
      <c r="H1741" s="1271">
        <v>0.34158364437193001</v>
      </c>
      <c r="I1741" s="1257">
        <v>0.432036919266029</v>
      </c>
      <c r="J1741" s="1280">
        <v>0.114339249554226</v>
      </c>
      <c r="K1741" s="1271">
        <v>6.1783183626787398E-3</v>
      </c>
      <c r="L1741" s="1257">
        <v>1.36221468708339E-3</v>
      </c>
      <c r="M1741" s="1280">
        <v>4.1729071377394502E-4</v>
      </c>
      <c r="N1741" s="1271">
        <v>7.4375925411813799E-3</v>
      </c>
      <c r="O1741" s="1257">
        <v>3.0000008598028201E-3</v>
      </c>
      <c r="P1741" s="1257">
        <v>8.6984472514647707E-3</v>
      </c>
      <c r="Q1741" s="1280">
        <v>7.4375925411813799E-3</v>
      </c>
      <c r="R1741" s="1271">
        <v>3.8500011034136201E-2</v>
      </c>
      <c r="S1741" s="1257">
        <v>3.8500011034136201E-2</v>
      </c>
      <c r="T1741" s="1257">
        <v>3.8500011034136201E-2</v>
      </c>
      <c r="U1741" s="1280">
        <v>1.9250005517068101E-2</v>
      </c>
      <c r="V1741" s="1293">
        <v>6.4576745031573804E-3</v>
      </c>
    </row>
    <row r="1742" spans="1:22" s="212" customFormat="1" ht="15.5" x14ac:dyDescent="0.35">
      <c r="A1742" s="198">
        <v>2043</v>
      </c>
      <c r="B1742" s="197" t="s">
        <v>5833</v>
      </c>
      <c r="C1742" s="197">
        <v>2017</v>
      </c>
      <c r="D1742" s="225" t="str">
        <f t="shared" si="10"/>
        <v>2043_2017</v>
      </c>
      <c r="E1742" s="1226">
        <v>6.2964751342046807E-2</v>
      </c>
      <c r="F1742" s="1257">
        <v>1.39776570608351E-2</v>
      </c>
      <c r="G1742" s="1280">
        <v>6.5236575471682504E-2</v>
      </c>
      <c r="H1742" s="1271">
        <v>0.34158364437193001</v>
      </c>
      <c r="I1742" s="1257">
        <v>0.432036919266029</v>
      </c>
      <c r="J1742" s="1280">
        <v>0.114339249554226</v>
      </c>
      <c r="K1742" s="1271">
        <v>6.1783183626787398E-3</v>
      </c>
      <c r="L1742" s="1257">
        <v>1.36221468708339E-3</v>
      </c>
      <c r="M1742" s="1280">
        <v>4.1729071377394502E-4</v>
      </c>
      <c r="N1742" s="1271">
        <v>7.4375925411813799E-3</v>
      </c>
      <c r="O1742" s="1257">
        <v>3.0000008598028201E-3</v>
      </c>
      <c r="P1742" s="1257">
        <v>8.6984472514647707E-3</v>
      </c>
      <c r="Q1742" s="1280">
        <v>7.4375925411813799E-3</v>
      </c>
      <c r="R1742" s="1271">
        <v>3.8500011034136201E-2</v>
      </c>
      <c r="S1742" s="1257">
        <v>3.8500011034136201E-2</v>
      </c>
      <c r="T1742" s="1257">
        <v>3.8500011034136201E-2</v>
      </c>
      <c r="U1742" s="1280">
        <v>1.9250005517068101E-2</v>
      </c>
      <c r="V1742" s="1293">
        <v>6.4576745031573804E-3</v>
      </c>
    </row>
    <row r="1743" spans="1:22" s="212" customFormat="1" ht="15.5" x14ac:dyDescent="0.35">
      <c r="A1743" s="198">
        <v>2043</v>
      </c>
      <c r="B1743" s="197" t="s">
        <v>5833</v>
      </c>
      <c r="C1743" s="197">
        <v>2018</v>
      </c>
      <c r="D1743" s="225" t="str">
        <f t="shared" si="10"/>
        <v>2043_2018</v>
      </c>
      <c r="E1743" s="1226">
        <v>6.2964751342046807E-2</v>
      </c>
      <c r="F1743" s="1257">
        <v>1.39776570608351E-2</v>
      </c>
      <c r="G1743" s="1280">
        <v>6.5236575471682504E-2</v>
      </c>
      <c r="H1743" s="1271">
        <v>0.34158364437193001</v>
      </c>
      <c r="I1743" s="1257">
        <v>0.432036919266029</v>
      </c>
      <c r="J1743" s="1280">
        <v>0.114339249554226</v>
      </c>
      <c r="K1743" s="1271">
        <v>6.1783183626787398E-3</v>
      </c>
      <c r="L1743" s="1257">
        <v>1.36221468708339E-3</v>
      </c>
      <c r="M1743" s="1280">
        <v>4.1729071377394502E-4</v>
      </c>
      <c r="N1743" s="1271">
        <v>7.4375925411813799E-3</v>
      </c>
      <c r="O1743" s="1257">
        <v>3.0000008598028201E-3</v>
      </c>
      <c r="P1743" s="1257">
        <v>8.6984472514647707E-3</v>
      </c>
      <c r="Q1743" s="1280">
        <v>7.4375925411813799E-3</v>
      </c>
      <c r="R1743" s="1271">
        <v>3.8500011034136201E-2</v>
      </c>
      <c r="S1743" s="1257">
        <v>3.8500011034136201E-2</v>
      </c>
      <c r="T1743" s="1257">
        <v>3.8500011034136201E-2</v>
      </c>
      <c r="U1743" s="1280">
        <v>1.9250005517068101E-2</v>
      </c>
      <c r="V1743" s="1293">
        <v>6.4576745031573804E-3</v>
      </c>
    </row>
    <row r="1744" spans="1:22" s="212" customFormat="1" ht="15.5" x14ac:dyDescent="0.35">
      <c r="A1744" s="198">
        <v>2043</v>
      </c>
      <c r="B1744" s="197" t="s">
        <v>5833</v>
      </c>
      <c r="C1744" s="197">
        <v>2019</v>
      </c>
      <c r="D1744" s="225" t="str">
        <f t="shared" si="10"/>
        <v>2043_2019</v>
      </c>
      <c r="E1744" s="1226">
        <v>6.2964751342046807E-2</v>
      </c>
      <c r="F1744" s="1257">
        <v>1.39776570608351E-2</v>
      </c>
      <c r="G1744" s="1280">
        <v>6.5236575471682504E-2</v>
      </c>
      <c r="H1744" s="1271">
        <v>0.34158364437193001</v>
      </c>
      <c r="I1744" s="1257">
        <v>0.432036919266029</v>
      </c>
      <c r="J1744" s="1280">
        <v>0.114339249554226</v>
      </c>
      <c r="K1744" s="1271">
        <v>6.1783183626787398E-3</v>
      </c>
      <c r="L1744" s="1257">
        <v>1.36221468708339E-3</v>
      </c>
      <c r="M1744" s="1280">
        <v>4.1729071377394502E-4</v>
      </c>
      <c r="N1744" s="1271">
        <v>7.4375925411813799E-3</v>
      </c>
      <c r="O1744" s="1257">
        <v>3.0000008598028201E-3</v>
      </c>
      <c r="P1744" s="1257">
        <v>8.6984472514647707E-3</v>
      </c>
      <c r="Q1744" s="1280">
        <v>7.4375925411813799E-3</v>
      </c>
      <c r="R1744" s="1271">
        <v>3.8500011034136201E-2</v>
      </c>
      <c r="S1744" s="1257">
        <v>3.8500011034136201E-2</v>
      </c>
      <c r="T1744" s="1257">
        <v>3.8500011034136201E-2</v>
      </c>
      <c r="U1744" s="1280">
        <v>1.9250005517068101E-2</v>
      </c>
      <c r="V1744" s="1293">
        <v>6.4576745031573804E-3</v>
      </c>
    </row>
    <row r="1745" spans="1:22" s="212" customFormat="1" ht="15.5" x14ac:dyDescent="0.35">
      <c r="A1745" s="198">
        <v>2043</v>
      </c>
      <c r="B1745" s="197" t="s">
        <v>5833</v>
      </c>
      <c r="C1745" s="197">
        <v>2020</v>
      </c>
      <c r="D1745" s="225" t="str">
        <f t="shared" si="10"/>
        <v>2043_2020</v>
      </c>
      <c r="E1745" s="1226">
        <v>6.2964751342046807E-2</v>
      </c>
      <c r="F1745" s="1257">
        <v>1.39776570608351E-2</v>
      </c>
      <c r="G1745" s="1280">
        <v>6.5236575471682504E-2</v>
      </c>
      <c r="H1745" s="1271">
        <v>0.34158364437193001</v>
      </c>
      <c r="I1745" s="1257">
        <v>0.432036919266029</v>
      </c>
      <c r="J1745" s="1280">
        <v>0.114339249554226</v>
      </c>
      <c r="K1745" s="1271">
        <v>6.1783183626787398E-3</v>
      </c>
      <c r="L1745" s="1257">
        <v>1.36221468708339E-3</v>
      </c>
      <c r="M1745" s="1280">
        <v>4.1729071377394502E-4</v>
      </c>
      <c r="N1745" s="1271">
        <v>7.4375925411813799E-3</v>
      </c>
      <c r="O1745" s="1257">
        <v>3.0000008598028201E-3</v>
      </c>
      <c r="P1745" s="1257">
        <v>8.6984472514647707E-3</v>
      </c>
      <c r="Q1745" s="1280">
        <v>7.4375925411813799E-3</v>
      </c>
      <c r="R1745" s="1271">
        <v>3.8500011034136201E-2</v>
      </c>
      <c r="S1745" s="1257">
        <v>3.8500011034136201E-2</v>
      </c>
      <c r="T1745" s="1257">
        <v>3.8500011034136201E-2</v>
      </c>
      <c r="U1745" s="1280">
        <v>1.9250005517068101E-2</v>
      </c>
      <c r="V1745" s="1293">
        <v>6.4576745031573804E-3</v>
      </c>
    </row>
    <row r="1746" spans="1:22" s="212" customFormat="1" ht="15.5" x14ac:dyDescent="0.35">
      <c r="A1746" s="198">
        <v>2043</v>
      </c>
      <c r="B1746" s="197" t="s">
        <v>5833</v>
      </c>
      <c r="C1746" s="197">
        <v>2021</v>
      </c>
      <c r="D1746" s="225" t="str">
        <f t="shared" si="10"/>
        <v>2043_2021</v>
      </c>
      <c r="E1746" s="1226">
        <v>6.2964751342046807E-2</v>
      </c>
      <c r="F1746" s="1257">
        <v>1.39776570608351E-2</v>
      </c>
      <c r="G1746" s="1280">
        <v>6.5236575471682504E-2</v>
      </c>
      <c r="H1746" s="1271">
        <v>0.34158364437193001</v>
      </c>
      <c r="I1746" s="1257">
        <v>0.432036919266029</v>
      </c>
      <c r="J1746" s="1280">
        <v>0.114339249554226</v>
      </c>
      <c r="K1746" s="1271">
        <v>6.1783183626787398E-3</v>
      </c>
      <c r="L1746" s="1257">
        <v>1.36221468708339E-3</v>
      </c>
      <c r="M1746" s="1280">
        <v>4.1729071377394502E-4</v>
      </c>
      <c r="N1746" s="1271">
        <v>7.4375925411813799E-3</v>
      </c>
      <c r="O1746" s="1257">
        <v>3.0000008598028201E-3</v>
      </c>
      <c r="P1746" s="1257">
        <v>8.6984472514647707E-3</v>
      </c>
      <c r="Q1746" s="1280">
        <v>7.4375925411813799E-3</v>
      </c>
      <c r="R1746" s="1271">
        <v>3.8500011034136201E-2</v>
      </c>
      <c r="S1746" s="1257">
        <v>3.8500011034136201E-2</v>
      </c>
      <c r="T1746" s="1257">
        <v>3.8500011034136201E-2</v>
      </c>
      <c r="U1746" s="1280">
        <v>1.9250005517068101E-2</v>
      </c>
      <c r="V1746" s="1293">
        <v>6.4576745031573804E-3</v>
      </c>
    </row>
    <row r="1747" spans="1:22" s="212" customFormat="1" ht="15.5" x14ac:dyDescent="0.35">
      <c r="A1747" s="198">
        <v>2043</v>
      </c>
      <c r="B1747" s="197" t="s">
        <v>5833</v>
      </c>
      <c r="C1747" s="197">
        <v>2022</v>
      </c>
      <c r="D1747" s="225" t="str">
        <f t="shared" si="10"/>
        <v>2043_2022</v>
      </c>
      <c r="E1747" s="1226">
        <v>6.2964751342046807E-2</v>
      </c>
      <c r="F1747" s="1257">
        <v>1.39776570608351E-2</v>
      </c>
      <c r="G1747" s="1280">
        <v>6.5236575471682504E-2</v>
      </c>
      <c r="H1747" s="1271">
        <v>0.34158364437193001</v>
      </c>
      <c r="I1747" s="1257">
        <v>0.432036919266029</v>
      </c>
      <c r="J1747" s="1280">
        <v>0.114339249554226</v>
      </c>
      <c r="K1747" s="1271">
        <v>6.1783183626787398E-3</v>
      </c>
      <c r="L1747" s="1257">
        <v>1.36221468708339E-3</v>
      </c>
      <c r="M1747" s="1280">
        <v>4.1729071377394502E-4</v>
      </c>
      <c r="N1747" s="1271">
        <v>7.4375925411813799E-3</v>
      </c>
      <c r="O1747" s="1257">
        <v>3.0000008598028201E-3</v>
      </c>
      <c r="P1747" s="1257">
        <v>8.6984472514647707E-3</v>
      </c>
      <c r="Q1747" s="1280">
        <v>7.4375925411813799E-3</v>
      </c>
      <c r="R1747" s="1271">
        <v>3.8500011034136201E-2</v>
      </c>
      <c r="S1747" s="1257">
        <v>3.8500011034136201E-2</v>
      </c>
      <c r="T1747" s="1257">
        <v>3.8500011034136201E-2</v>
      </c>
      <c r="U1747" s="1280">
        <v>1.9250005517068101E-2</v>
      </c>
      <c r="V1747" s="1293">
        <v>6.4576745031573804E-3</v>
      </c>
    </row>
    <row r="1748" spans="1:22" s="212" customFormat="1" ht="15.5" x14ac:dyDescent="0.35">
      <c r="A1748" s="198">
        <v>2043</v>
      </c>
      <c r="B1748" s="197" t="s">
        <v>5833</v>
      </c>
      <c r="C1748" s="197">
        <v>2023</v>
      </c>
      <c r="D1748" s="225" t="str">
        <f t="shared" si="10"/>
        <v>2043_2023</v>
      </c>
      <c r="E1748" s="1226">
        <v>6.2964751342046807E-2</v>
      </c>
      <c r="F1748" s="1257">
        <v>1.39776570608351E-2</v>
      </c>
      <c r="G1748" s="1280">
        <v>6.5236575471682504E-2</v>
      </c>
      <c r="H1748" s="1271">
        <v>0.34158364437193001</v>
      </c>
      <c r="I1748" s="1257">
        <v>0.432036919266029</v>
      </c>
      <c r="J1748" s="1280">
        <v>0.114339249554226</v>
      </c>
      <c r="K1748" s="1271">
        <v>6.1783183626787398E-3</v>
      </c>
      <c r="L1748" s="1257">
        <v>1.36221468708339E-3</v>
      </c>
      <c r="M1748" s="1280">
        <v>4.1729071377394502E-4</v>
      </c>
      <c r="N1748" s="1271">
        <v>7.4375925411813799E-3</v>
      </c>
      <c r="O1748" s="1257">
        <v>3.0000008598028201E-3</v>
      </c>
      <c r="P1748" s="1257">
        <v>8.6984472514647707E-3</v>
      </c>
      <c r="Q1748" s="1280">
        <v>7.4375925411813799E-3</v>
      </c>
      <c r="R1748" s="1271">
        <v>3.8500011034136201E-2</v>
      </c>
      <c r="S1748" s="1257">
        <v>3.8500011034136201E-2</v>
      </c>
      <c r="T1748" s="1257">
        <v>3.8500011034136201E-2</v>
      </c>
      <c r="U1748" s="1280">
        <v>1.9250005517068101E-2</v>
      </c>
      <c r="V1748" s="1293">
        <v>6.4576745031573804E-3</v>
      </c>
    </row>
    <row r="1749" spans="1:22" s="212" customFormat="1" ht="15.5" x14ac:dyDescent="0.35">
      <c r="A1749" s="198">
        <v>2043</v>
      </c>
      <c r="B1749" s="197" t="s">
        <v>5833</v>
      </c>
      <c r="C1749" s="197">
        <v>2024</v>
      </c>
      <c r="D1749" s="225" t="str">
        <f t="shared" si="10"/>
        <v>2043_2024</v>
      </c>
      <c r="E1749" s="1226">
        <v>6.2964751342046807E-2</v>
      </c>
      <c r="F1749" s="1257">
        <v>1.39776570608351E-2</v>
      </c>
      <c r="G1749" s="1280">
        <v>6.5236575471682504E-2</v>
      </c>
      <c r="H1749" s="1271">
        <v>0.34158364437193001</v>
      </c>
      <c r="I1749" s="1257">
        <v>0.432036919266029</v>
      </c>
      <c r="J1749" s="1280">
        <v>0.114339249554226</v>
      </c>
      <c r="K1749" s="1271">
        <v>6.1783183626787398E-3</v>
      </c>
      <c r="L1749" s="1257">
        <v>1.36221468708339E-3</v>
      </c>
      <c r="M1749" s="1280">
        <v>4.1729071377394502E-4</v>
      </c>
      <c r="N1749" s="1271">
        <v>7.4375925411813799E-3</v>
      </c>
      <c r="O1749" s="1257">
        <v>3.0000008598028201E-3</v>
      </c>
      <c r="P1749" s="1257">
        <v>8.6984472514647707E-3</v>
      </c>
      <c r="Q1749" s="1280">
        <v>7.4375925411813799E-3</v>
      </c>
      <c r="R1749" s="1271">
        <v>3.8500011034136201E-2</v>
      </c>
      <c r="S1749" s="1257">
        <v>3.8500011034136201E-2</v>
      </c>
      <c r="T1749" s="1257">
        <v>3.8500011034136201E-2</v>
      </c>
      <c r="U1749" s="1280">
        <v>1.9250005517068101E-2</v>
      </c>
      <c r="V1749" s="1293">
        <v>6.4576745031573804E-3</v>
      </c>
    </row>
    <row r="1750" spans="1:22" s="212" customFormat="1" ht="15.5" x14ac:dyDescent="0.35">
      <c r="A1750" s="198">
        <v>2043</v>
      </c>
      <c r="B1750" s="197" t="s">
        <v>5833</v>
      </c>
      <c r="C1750" s="197">
        <v>2025</v>
      </c>
      <c r="D1750" s="225" t="str">
        <f t="shared" si="10"/>
        <v>2043_2025</v>
      </c>
      <c r="E1750" s="1226">
        <v>6.2964751342046807E-2</v>
      </c>
      <c r="F1750" s="1257">
        <v>1.39776570608351E-2</v>
      </c>
      <c r="G1750" s="1280">
        <v>6.5236575471682504E-2</v>
      </c>
      <c r="H1750" s="1271">
        <v>0.34158364437193001</v>
      </c>
      <c r="I1750" s="1257">
        <v>0.432036919266029</v>
      </c>
      <c r="J1750" s="1280">
        <v>0.114339249554226</v>
      </c>
      <c r="K1750" s="1271">
        <v>6.1783183626787398E-3</v>
      </c>
      <c r="L1750" s="1257">
        <v>1.36221468708339E-3</v>
      </c>
      <c r="M1750" s="1280">
        <v>4.1729071377394502E-4</v>
      </c>
      <c r="N1750" s="1271">
        <v>7.4375925411813799E-3</v>
      </c>
      <c r="O1750" s="1257">
        <v>3.0000008598028201E-3</v>
      </c>
      <c r="P1750" s="1257">
        <v>8.6984472514647707E-3</v>
      </c>
      <c r="Q1750" s="1280">
        <v>7.4375925411813799E-3</v>
      </c>
      <c r="R1750" s="1271">
        <v>3.8500011034136201E-2</v>
      </c>
      <c r="S1750" s="1257">
        <v>3.8500011034136201E-2</v>
      </c>
      <c r="T1750" s="1257">
        <v>3.8500011034136201E-2</v>
      </c>
      <c r="U1750" s="1280">
        <v>1.9250005517068101E-2</v>
      </c>
      <c r="V1750" s="1293">
        <v>6.4576745031573804E-3</v>
      </c>
    </row>
    <row r="1751" spans="1:22" s="212" customFormat="1" ht="15.5" x14ac:dyDescent="0.35">
      <c r="A1751" s="198">
        <v>2043</v>
      </c>
      <c r="B1751" s="197" t="s">
        <v>5833</v>
      </c>
      <c r="C1751" s="197">
        <v>2026</v>
      </c>
      <c r="D1751" s="225" t="str">
        <f t="shared" si="10"/>
        <v>2043_2026</v>
      </c>
      <c r="E1751" s="1226">
        <v>6.2964751342046807E-2</v>
      </c>
      <c r="F1751" s="1257">
        <v>1.39776570608351E-2</v>
      </c>
      <c r="G1751" s="1280">
        <v>6.5236575471682504E-2</v>
      </c>
      <c r="H1751" s="1271">
        <v>0.34158364437193001</v>
      </c>
      <c r="I1751" s="1257">
        <v>0.432036919266029</v>
      </c>
      <c r="J1751" s="1280">
        <v>0.114339249554226</v>
      </c>
      <c r="K1751" s="1271">
        <v>6.1783183626787398E-3</v>
      </c>
      <c r="L1751" s="1257">
        <v>1.36221468708339E-3</v>
      </c>
      <c r="M1751" s="1280">
        <v>4.1729071377394502E-4</v>
      </c>
      <c r="N1751" s="1271">
        <v>7.4375925411813799E-3</v>
      </c>
      <c r="O1751" s="1257">
        <v>3.0000008598028201E-3</v>
      </c>
      <c r="P1751" s="1257">
        <v>8.6984472514647707E-3</v>
      </c>
      <c r="Q1751" s="1280">
        <v>7.4375925411813799E-3</v>
      </c>
      <c r="R1751" s="1271">
        <v>3.8500011034136201E-2</v>
      </c>
      <c r="S1751" s="1257">
        <v>3.8500011034136201E-2</v>
      </c>
      <c r="T1751" s="1257">
        <v>3.8500011034136201E-2</v>
      </c>
      <c r="U1751" s="1280">
        <v>1.9250005517068101E-2</v>
      </c>
      <c r="V1751" s="1293">
        <v>6.4576745031573804E-3</v>
      </c>
    </row>
    <row r="1752" spans="1:22" s="212" customFormat="1" ht="15.5" x14ac:dyDescent="0.35">
      <c r="A1752" s="198">
        <v>2043</v>
      </c>
      <c r="B1752" s="197" t="s">
        <v>5833</v>
      </c>
      <c r="C1752" s="197">
        <v>2027</v>
      </c>
      <c r="D1752" s="225" t="str">
        <f t="shared" si="10"/>
        <v>2043_2027</v>
      </c>
      <c r="E1752" s="1226">
        <v>6.2964751342046807E-2</v>
      </c>
      <c r="F1752" s="1257">
        <v>1.39776570608351E-2</v>
      </c>
      <c r="G1752" s="1280">
        <v>6.5236575471682504E-2</v>
      </c>
      <c r="H1752" s="1271">
        <v>0.34158364437193001</v>
      </c>
      <c r="I1752" s="1257">
        <v>0.432036919266029</v>
      </c>
      <c r="J1752" s="1280">
        <v>0.114339249554226</v>
      </c>
      <c r="K1752" s="1271">
        <v>6.1783183626787398E-3</v>
      </c>
      <c r="L1752" s="1257">
        <v>1.36221468708339E-3</v>
      </c>
      <c r="M1752" s="1280">
        <v>4.1729071377394502E-4</v>
      </c>
      <c r="N1752" s="1271">
        <v>7.4375925411813799E-3</v>
      </c>
      <c r="O1752" s="1257">
        <v>3.0000008598028201E-3</v>
      </c>
      <c r="P1752" s="1257">
        <v>8.6984472514647707E-3</v>
      </c>
      <c r="Q1752" s="1280">
        <v>7.4375925411813799E-3</v>
      </c>
      <c r="R1752" s="1271">
        <v>3.8500011034136201E-2</v>
      </c>
      <c r="S1752" s="1257">
        <v>3.8500011034136201E-2</v>
      </c>
      <c r="T1752" s="1257">
        <v>3.8500011034136201E-2</v>
      </c>
      <c r="U1752" s="1280">
        <v>1.9250005517068101E-2</v>
      </c>
      <c r="V1752" s="1293">
        <v>6.4576745031573804E-3</v>
      </c>
    </row>
    <row r="1753" spans="1:22" s="212" customFormat="1" ht="15.5" x14ac:dyDescent="0.35">
      <c r="A1753" s="198">
        <v>2043</v>
      </c>
      <c r="B1753" s="197" t="s">
        <v>5833</v>
      </c>
      <c r="C1753" s="197">
        <v>2028</v>
      </c>
      <c r="D1753" s="225" t="str">
        <f t="shared" si="10"/>
        <v>2043_2028</v>
      </c>
      <c r="E1753" s="1226">
        <v>6.2964751342046807E-2</v>
      </c>
      <c r="F1753" s="1257">
        <v>1.39776570608351E-2</v>
      </c>
      <c r="G1753" s="1280">
        <v>6.5236575471682504E-2</v>
      </c>
      <c r="H1753" s="1271">
        <v>0.34158364437193001</v>
      </c>
      <c r="I1753" s="1257">
        <v>0.432036919266029</v>
      </c>
      <c r="J1753" s="1280">
        <v>0.114339249554226</v>
      </c>
      <c r="K1753" s="1271">
        <v>6.1783183626787398E-3</v>
      </c>
      <c r="L1753" s="1257">
        <v>1.36221468708339E-3</v>
      </c>
      <c r="M1753" s="1280">
        <v>4.1729071377394502E-4</v>
      </c>
      <c r="N1753" s="1271">
        <v>7.4375925411813799E-3</v>
      </c>
      <c r="O1753" s="1257">
        <v>3.0000008598028201E-3</v>
      </c>
      <c r="P1753" s="1257">
        <v>8.6984472514647707E-3</v>
      </c>
      <c r="Q1753" s="1280">
        <v>7.4375925411813799E-3</v>
      </c>
      <c r="R1753" s="1271">
        <v>3.8500011034136201E-2</v>
      </c>
      <c r="S1753" s="1257">
        <v>3.8500011034136201E-2</v>
      </c>
      <c r="T1753" s="1257">
        <v>3.8500011034136201E-2</v>
      </c>
      <c r="U1753" s="1280">
        <v>1.9250005517068101E-2</v>
      </c>
      <c r="V1753" s="1293">
        <v>6.4576745031573804E-3</v>
      </c>
    </row>
    <row r="1754" spans="1:22" s="212" customFormat="1" ht="15.5" x14ac:dyDescent="0.35">
      <c r="A1754" s="198">
        <v>2043</v>
      </c>
      <c r="B1754" s="197" t="s">
        <v>5833</v>
      </c>
      <c r="C1754" s="197">
        <v>2029</v>
      </c>
      <c r="D1754" s="225" t="str">
        <f t="shared" si="10"/>
        <v>2043_2029</v>
      </c>
      <c r="E1754" s="1231">
        <v>6.2964751342046807E-2</v>
      </c>
      <c r="F1754" s="1288">
        <v>1.39776570608351E-2</v>
      </c>
      <c r="G1754" s="1306">
        <v>6.5236575471682504E-2</v>
      </c>
      <c r="H1754" s="1303">
        <v>0.34158364437193001</v>
      </c>
      <c r="I1754" s="1288">
        <v>0.432036919266029</v>
      </c>
      <c r="J1754" s="1306">
        <v>0.114339249554226</v>
      </c>
      <c r="K1754" s="1303">
        <v>6.1783183626787398E-3</v>
      </c>
      <c r="L1754" s="1288">
        <v>1.36221468708339E-3</v>
      </c>
      <c r="M1754" s="1306">
        <v>4.1729071377394502E-4</v>
      </c>
      <c r="N1754" s="1303">
        <v>7.4375925411813799E-3</v>
      </c>
      <c r="O1754" s="1288">
        <v>3.0000008598028201E-3</v>
      </c>
      <c r="P1754" s="1288">
        <v>8.6984472514647707E-3</v>
      </c>
      <c r="Q1754" s="1306">
        <v>8.3085958763830601E-3</v>
      </c>
      <c r="R1754" s="1303">
        <v>3.8500011034136201E-2</v>
      </c>
      <c r="S1754" s="1288">
        <v>3.8500011034136201E-2</v>
      </c>
      <c r="T1754" s="1288">
        <v>3.8500011034136201E-2</v>
      </c>
      <c r="U1754" s="1306">
        <v>1.9250005517068101E-2</v>
      </c>
      <c r="V1754" s="1294">
        <v>6.4576745031573804E-3</v>
      </c>
    </row>
    <row r="1755" spans="1:22" s="212" customFormat="1" ht="15.5" x14ac:dyDescent="0.35">
      <c r="A1755" s="198">
        <v>2043</v>
      </c>
      <c r="B1755" s="197" t="s">
        <v>5833</v>
      </c>
      <c r="C1755" s="197">
        <v>2030</v>
      </c>
      <c r="D1755" s="225" t="str">
        <f t="shared" si="10"/>
        <v>2043_2030</v>
      </c>
      <c r="E1755" s="1226">
        <v>8.5639214609989411E-2</v>
      </c>
      <c r="F1755" s="1227">
        <v>8.108732462814355E-3</v>
      </c>
      <c r="G1755" s="1230">
        <v>7.3006979123103749E-2</v>
      </c>
      <c r="H1755" s="1289">
        <v>0.29529649626207599</v>
      </c>
      <c r="I1755" s="1227">
        <v>0.22405650464410881</v>
      </c>
      <c r="J1755" s="1230">
        <v>0.15562706574142698</v>
      </c>
      <c r="K1755" s="1289">
        <v>1.457003858372747E-2</v>
      </c>
      <c r="L1755" s="1227">
        <v>1.234526909756455E-3</v>
      </c>
      <c r="M1755" s="1230">
        <v>9.1488083116541725E-3</v>
      </c>
      <c r="N1755" s="1289">
        <v>5.2187967004920996E-3</v>
      </c>
      <c r="O1755" s="1227">
        <v>2.5000007165023501E-3</v>
      </c>
      <c r="P1755" s="1227">
        <v>5.8492240556337954E-3</v>
      </c>
      <c r="Q1755" s="1306">
        <v>7.8222780240651494E-3</v>
      </c>
      <c r="R1755" s="1289">
        <v>3.5175010081188049E-2</v>
      </c>
      <c r="S1755" s="1227">
        <v>3.5175010081188049E-2</v>
      </c>
      <c r="T1755" s="1227">
        <v>3.5175010081188049E-2</v>
      </c>
      <c r="U1755" s="1306">
        <v>1.9250005517068101E-2</v>
      </c>
      <c r="V1755" s="1237">
        <v>1.5228831074894941E-2</v>
      </c>
    </row>
    <row r="1756" spans="1:22" s="212" customFormat="1" ht="15.5" x14ac:dyDescent="0.35">
      <c r="A1756" s="198">
        <v>2043</v>
      </c>
      <c r="B1756" s="197" t="s">
        <v>5833</v>
      </c>
      <c r="C1756" s="197">
        <v>2031</v>
      </c>
      <c r="D1756" s="225" t="str">
        <f t="shared" si="10"/>
        <v>2043_2031</v>
      </c>
      <c r="E1756" s="1226">
        <v>8.5639214609989411E-2</v>
      </c>
      <c r="F1756" s="1227">
        <v>8.108732462814355E-3</v>
      </c>
      <c r="G1756" s="1230">
        <v>7.3006979123103749E-2</v>
      </c>
      <c r="H1756" s="1289">
        <v>0.29529649626207599</v>
      </c>
      <c r="I1756" s="1227">
        <v>0.22405650464410881</v>
      </c>
      <c r="J1756" s="1230">
        <v>0.15562706574142698</v>
      </c>
      <c r="K1756" s="1289">
        <v>1.457003858372747E-2</v>
      </c>
      <c r="L1756" s="1227">
        <v>1.234526909756455E-3</v>
      </c>
      <c r="M1756" s="1230">
        <v>9.1488083116541725E-3</v>
      </c>
      <c r="N1756" s="1289">
        <v>5.2187967004920996E-3</v>
      </c>
      <c r="O1756" s="1227">
        <v>2.5000007165023501E-3</v>
      </c>
      <c r="P1756" s="1227">
        <v>5.8492240556337954E-3</v>
      </c>
      <c r="Q1756" s="1306">
        <v>8.1120328320053899E-3</v>
      </c>
      <c r="R1756" s="1289">
        <v>3.5175010081188049E-2</v>
      </c>
      <c r="S1756" s="1227">
        <v>3.5175010081188049E-2</v>
      </c>
      <c r="T1756" s="1227">
        <v>3.5175010081188049E-2</v>
      </c>
      <c r="U1756" s="1306">
        <v>1.9250005517068101E-2</v>
      </c>
      <c r="V1756" s="1237">
        <v>1.5228831074894941E-2</v>
      </c>
    </row>
    <row r="1757" spans="1:22" s="212" customFormat="1" ht="15.5" x14ac:dyDescent="0.35">
      <c r="A1757" s="198">
        <v>2043</v>
      </c>
      <c r="B1757" s="197" t="s">
        <v>5833</v>
      </c>
      <c r="C1757" s="197">
        <v>2032</v>
      </c>
      <c r="D1757" s="225" t="str">
        <f t="shared" si="10"/>
        <v>2043_2032</v>
      </c>
      <c r="E1757" s="1226">
        <v>8.5639214609989411E-2</v>
      </c>
      <c r="F1757" s="1227">
        <v>8.108732462814355E-3</v>
      </c>
      <c r="G1757" s="1230">
        <v>7.3006979123103749E-2</v>
      </c>
      <c r="H1757" s="1289">
        <v>0.29529649626207599</v>
      </c>
      <c r="I1757" s="1227">
        <v>0.22405650464410881</v>
      </c>
      <c r="J1757" s="1230">
        <v>0.15562706574142698</v>
      </c>
      <c r="K1757" s="1289">
        <v>1.457003858372747E-2</v>
      </c>
      <c r="L1757" s="1227">
        <v>1.234526909756455E-3</v>
      </c>
      <c r="M1757" s="1230">
        <v>9.1488083116541725E-3</v>
      </c>
      <c r="N1757" s="1289">
        <v>5.2187967004920996E-3</v>
      </c>
      <c r="O1757" s="1227">
        <v>2.5000007165023501E-3</v>
      </c>
      <c r="P1757" s="1227">
        <v>5.8492240556337954E-3</v>
      </c>
      <c r="Q1757" s="1306">
        <v>7.7480283451327701E-3</v>
      </c>
      <c r="R1757" s="1289">
        <v>3.5175010081188049E-2</v>
      </c>
      <c r="S1757" s="1227">
        <v>3.5175010081188049E-2</v>
      </c>
      <c r="T1757" s="1227">
        <v>3.5175010081188049E-2</v>
      </c>
      <c r="U1757" s="1306">
        <v>1.9250005517068101E-2</v>
      </c>
      <c r="V1757" s="1237">
        <v>1.5228831074894941E-2</v>
      </c>
    </row>
    <row r="1758" spans="1:22" s="212" customFormat="1" ht="15.5" x14ac:dyDescent="0.35">
      <c r="A1758" s="198">
        <v>2043</v>
      </c>
      <c r="B1758" s="197" t="s">
        <v>5833</v>
      </c>
      <c r="C1758" s="197">
        <v>2033</v>
      </c>
      <c r="D1758" s="225" t="str">
        <f t="shared" si="10"/>
        <v>2043_2033</v>
      </c>
      <c r="E1758" s="1231">
        <v>0.108313677877932</v>
      </c>
      <c r="F1758" s="1288">
        <v>2.2398078647936099E-3</v>
      </c>
      <c r="G1758" s="1306">
        <v>8.0777382774524994E-2</v>
      </c>
      <c r="H1758" s="1303">
        <v>0.249009348152222</v>
      </c>
      <c r="I1758" s="1288">
        <v>1.6076090022188599E-2</v>
      </c>
      <c r="J1758" s="1306">
        <v>0.19691488192862799</v>
      </c>
      <c r="K1758" s="1303">
        <v>2.2961758804776199E-2</v>
      </c>
      <c r="L1758" s="1288">
        <v>1.1068391324295199E-3</v>
      </c>
      <c r="M1758" s="1306">
        <v>1.7880325909534402E-2</v>
      </c>
      <c r="N1758" s="1303">
        <v>3.0000008598028201E-3</v>
      </c>
      <c r="O1758" s="1288">
        <v>2.0000005732018801E-3</v>
      </c>
      <c r="P1758" s="1288">
        <v>3.0000008598028201E-3</v>
      </c>
      <c r="Q1758" s="1306">
        <v>7.0779306122425202E-3</v>
      </c>
      <c r="R1758" s="1303">
        <v>3.1850009128239903E-2</v>
      </c>
      <c r="S1758" s="1288">
        <v>3.1850009128239903E-2</v>
      </c>
      <c r="T1758" s="1288">
        <v>3.1850009128239903E-2</v>
      </c>
      <c r="U1758" s="1306">
        <v>1.9250005517068101E-2</v>
      </c>
      <c r="V1758" s="1294">
        <v>2.3999987646632501E-2</v>
      </c>
    </row>
    <row r="1759" spans="1:22" s="212" customFormat="1" ht="15.5" x14ac:dyDescent="0.35">
      <c r="A1759" s="198">
        <v>2043</v>
      </c>
      <c r="B1759" s="197" t="s">
        <v>5833</v>
      </c>
      <c r="C1759" s="197">
        <v>2034</v>
      </c>
      <c r="D1759" s="225" t="str">
        <f t="shared" si="10"/>
        <v>2043_2034</v>
      </c>
      <c r="E1759" s="1231">
        <v>0.106407494426495</v>
      </c>
      <c r="F1759" s="1288">
        <v>2.86333474395979E-3</v>
      </c>
      <c r="G1759" s="1306">
        <v>7.1289203690076797E-2</v>
      </c>
      <c r="H1759" s="1303">
        <v>0.24111955230961099</v>
      </c>
      <c r="I1759" s="1288">
        <v>1.5629029436220899E-2</v>
      </c>
      <c r="J1759" s="1306">
        <v>0.19170462059229601</v>
      </c>
      <c r="K1759" s="1303">
        <v>2.1710923633560499E-2</v>
      </c>
      <c r="L1759" s="1288">
        <v>1.1784989541933099E-3</v>
      </c>
      <c r="M1759" s="1306">
        <v>1.6117299212157599E-2</v>
      </c>
      <c r="N1759" s="1303">
        <v>3.0000008598028201E-3</v>
      </c>
      <c r="O1759" s="1288">
        <v>2.0000005732018801E-3</v>
      </c>
      <c r="P1759" s="1288">
        <v>3.0000008598028201E-3</v>
      </c>
      <c r="Q1759" s="1306">
        <v>5.7121094500660798E-3</v>
      </c>
      <c r="R1759" s="1303">
        <v>3.1850009128239903E-2</v>
      </c>
      <c r="S1759" s="1288">
        <v>3.1850009128239903E-2</v>
      </c>
      <c r="T1759" s="1288">
        <v>3.1850009128239903E-2</v>
      </c>
      <c r="U1759" s="1306">
        <v>1.9250005517068101E-2</v>
      </c>
      <c r="V1759" s="1294">
        <v>2.26925952594733E-2</v>
      </c>
    </row>
    <row r="1760" spans="1:22" s="212" customFormat="1" ht="15.5" x14ac:dyDescent="0.35">
      <c r="A1760" s="198">
        <v>2043</v>
      </c>
      <c r="B1760" s="197" t="s">
        <v>5833</v>
      </c>
      <c r="C1760" s="197">
        <v>2035</v>
      </c>
      <c r="D1760" s="225" t="str">
        <f t="shared" si="10"/>
        <v>2043_2035</v>
      </c>
      <c r="E1760" s="1231">
        <v>0.10414350086527401</v>
      </c>
      <c r="F1760" s="1288">
        <v>1.7048999281699001E-3</v>
      </c>
      <c r="G1760" s="1306">
        <v>6.9695298114511806E-2</v>
      </c>
      <c r="H1760" s="1303">
        <v>0.23224253661359501</v>
      </c>
      <c r="I1760" s="1288">
        <v>1.6292908640680601E-2</v>
      </c>
      <c r="J1760" s="1306">
        <v>0.18824389392608301</v>
      </c>
      <c r="K1760" s="1303">
        <v>2.0320854488838701E-2</v>
      </c>
      <c r="L1760" s="1288">
        <v>1.0477085044710199E-3</v>
      </c>
      <c r="M1760" s="1306">
        <v>1.52273003543034E-2</v>
      </c>
      <c r="N1760" s="1303">
        <v>3.0000008598028201E-3</v>
      </c>
      <c r="O1760" s="1288">
        <v>2.0000005732018801E-3</v>
      </c>
      <c r="P1760" s="1288">
        <v>3.0000008598028201E-3</v>
      </c>
      <c r="Q1760" s="1306">
        <v>8.08268618211762E-3</v>
      </c>
      <c r="R1760" s="1303">
        <v>3.1850009128239903E-2</v>
      </c>
      <c r="S1760" s="1288">
        <v>3.1850009128239903E-2</v>
      </c>
      <c r="T1760" s="1288">
        <v>3.1850009128239903E-2</v>
      </c>
      <c r="U1760" s="1306">
        <v>1.9250005517068101E-2</v>
      </c>
      <c r="V1760" s="1294">
        <v>2.12396733563677E-2</v>
      </c>
    </row>
    <row r="1761" spans="1:22" s="212" customFormat="1" ht="15.5" x14ac:dyDescent="0.35">
      <c r="A1761" s="198">
        <v>2043</v>
      </c>
      <c r="B1761" s="197" t="s">
        <v>5833</v>
      </c>
      <c r="C1761" s="197">
        <v>2036</v>
      </c>
      <c r="D1761" s="225" t="str">
        <f t="shared" si="10"/>
        <v>2043_2036</v>
      </c>
      <c r="E1761" s="1231">
        <v>0.102360444150621</v>
      </c>
      <c r="F1761" s="1288">
        <v>2.64152826898409E-3</v>
      </c>
      <c r="G1761" s="1306">
        <v>7.3017869236986693E-2</v>
      </c>
      <c r="H1761" s="1303">
        <v>0.224232501383652</v>
      </c>
      <c r="I1761" s="1288">
        <v>1.5198128572060401E-2</v>
      </c>
      <c r="J1761" s="1306">
        <v>0.176240594661179</v>
      </c>
      <c r="K1761" s="1303">
        <v>1.8972226489127001E-2</v>
      </c>
      <c r="L1761" s="1288">
        <v>1.1505332344571E-3</v>
      </c>
      <c r="M1761" s="1306">
        <v>1.443497400926E-2</v>
      </c>
      <c r="N1761" s="1303">
        <v>3.0000008598028201E-3</v>
      </c>
      <c r="O1761" s="1288">
        <v>2.0000005732018801E-3</v>
      </c>
      <c r="P1761" s="1288">
        <v>3.0000008598028201E-3</v>
      </c>
      <c r="Q1761" s="1306">
        <v>7.3795799121639197E-3</v>
      </c>
      <c r="R1761" s="1303">
        <v>3.1850009128239903E-2</v>
      </c>
      <c r="S1761" s="1288">
        <v>3.1850009128239903E-2</v>
      </c>
      <c r="T1761" s="1288">
        <v>3.1850009128239903E-2</v>
      </c>
      <c r="U1761" s="1306">
        <v>1.9250005517068101E-2</v>
      </c>
      <c r="V1761" s="1294">
        <v>1.98300663829571E-2</v>
      </c>
    </row>
    <row r="1762" spans="1:22" s="212" customFormat="1" ht="15.5" x14ac:dyDescent="0.35">
      <c r="A1762" s="198">
        <v>2043</v>
      </c>
      <c r="B1762" s="197" t="s">
        <v>5833</v>
      </c>
      <c r="C1762" s="197">
        <v>2037</v>
      </c>
      <c r="D1762" s="225" t="str">
        <f t="shared" si="10"/>
        <v>2043_2037</v>
      </c>
      <c r="E1762" s="1231">
        <v>9.8924187462357802E-2</v>
      </c>
      <c r="F1762" s="1288">
        <v>2.1590106340493402E-3</v>
      </c>
      <c r="G1762" s="1306">
        <v>5.3963741100824802E-2</v>
      </c>
      <c r="H1762" s="1303">
        <v>0.211643394068952</v>
      </c>
      <c r="I1762" s="1288">
        <v>1.5647218572393901E-2</v>
      </c>
      <c r="J1762" s="1306">
        <v>0.145122524643682</v>
      </c>
      <c r="K1762" s="1303">
        <v>1.7274534623057398E-2</v>
      </c>
      <c r="L1762" s="1288">
        <v>1.1100550519912199E-3</v>
      </c>
      <c r="M1762" s="1306">
        <v>1.09045891532307E-2</v>
      </c>
      <c r="N1762" s="1303">
        <v>3.0000008598028201E-3</v>
      </c>
      <c r="O1762" s="1288">
        <v>2.0000005732018801E-3</v>
      </c>
      <c r="P1762" s="1288">
        <v>3.0000008598028201E-3</v>
      </c>
      <c r="Q1762" s="1306">
        <v>7.5861856395711197E-3</v>
      </c>
      <c r="R1762" s="1303">
        <v>3.1850009128239903E-2</v>
      </c>
      <c r="S1762" s="1288">
        <v>3.1850009128239903E-2</v>
      </c>
      <c r="T1762" s="1288">
        <v>3.1850009128239903E-2</v>
      </c>
      <c r="U1762" s="1306">
        <v>1.9250005517068101E-2</v>
      </c>
      <c r="V1762" s="1294">
        <v>1.80556124240999E-2</v>
      </c>
    </row>
    <row r="1763" spans="1:22" s="212" customFormat="1" ht="15.5" x14ac:dyDescent="0.35">
      <c r="A1763" s="198">
        <v>2043</v>
      </c>
      <c r="B1763" s="197" t="s">
        <v>5833</v>
      </c>
      <c r="C1763" s="197">
        <v>2038</v>
      </c>
      <c r="D1763" s="225" t="str">
        <f t="shared" si="10"/>
        <v>2043_2038</v>
      </c>
      <c r="E1763" s="1231">
        <v>9.7328389165681498E-2</v>
      </c>
      <c r="F1763" s="1288">
        <v>1.37880441883803E-3</v>
      </c>
      <c r="G1763" s="1306">
        <v>7.2448024783574705E-2</v>
      </c>
      <c r="H1763" s="1303">
        <v>0.203559921536727</v>
      </c>
      <c r="I1763" s="1288">
        <v>1.5868954233088799E-2</v>
      </c>
      <c r="J1763" s="1306">
        <v>0.16485123991377101</v>
      </c>
      <c r="K1763" s="1303">
        <v>1.5836929416932599E-2</v>
      </c>
      <c r="L1763" s="1288">
        <v>1.0119005220444999E-3</v>
      </c>
      <c r="M1763" s="1306">
        <v>1.24597633675713E-2</v>
      </c>
      <c r="N1763" s="1303">
        <v>3.0000008598028201E-3</v>
      </c>
      <c r="O1763" s="1288">
        <v>2.0000005732018801E-3</v>
      </c>
      <c r="P1763" s="1288">
        <v>3.0000008598028201E-3</v>
      </c>
      <c r="Q1763" s="1306">
        <v>7.8507146591203902E-3</v>
      </c>
      <c r="R1763" s="1303">
        <v>3.1850009128239903E-2</v>
      </c>
      <c r="S1763" s="1288">
        <v>3.1850009128239903E-2</v>
      </c>
      <c r="T1763" s="1288">
        <v>3.1850009128239903E-2</v>
      </c>
      <c r="U1763" s="1306">
        <v>1.9250005517068101E-2</v>
      </c>
      <c r="V1763" s="1294">
        <v>1.65530050898328E-2</v>
      </c>
    </row>
    <row r="1764" spans="1:22" s="212" customFormat="1" ht="15.5" x14ac:dyDescent="0.35">
      <c r="A1764" s="198">
        <v>2043</v>
      </c>
      <c r="B1764" s="197" t="s">
        <v>5833</v>
      </c>
      <c r="C1764" s="197">
        <v>2039</v>
      </c>
      <c r="D1764" s="225" t="str">
        <f t="shared" si="10"/>
        <v>2043_2039</v>
      </c>
      <c r="E1764" s="1231">
        <v>9.6154446992837705E-2</v>
      </c>
      <c r="F1764" s="1288">
        <v>2.6798147320421699E-3</v>
      </c>
      <c r="G1764" s="1306">
        <v>4.5258194382566903E-2</v>
      </c>
      <c r="H1764" s="1303">
        <v>0.196346602899925</v>
      </c>
      <c r="I1764" s="1288">
        <v>1.54906284225862E-2</v>
      </c>
      <c r="J1764" s="1306">
        <v>0.12347093741479601</v>
      </c>
      <c r="K1764" s="1303">
        <v>1.43837693156084E-2</v>
      </c>
      <c r="L1764" s="1288">
        <v>1.14152224330179E-3</v>
      </c>
      <c r="M1764" s="1306">
        <v>8.1802549167763298E-3</v>
      </c>
      <c r="N1764" s="1303">
        <v>3.0000008598028201E-3</v>
      </c>
      <c r="O1764" s="1288">
        <v>2.0000005732018801E-3</v>
      </c>
      <c r="P1764" s="1288">
        <v>3.0000008598028201E-3</v>
      </c>
      <c r="Q1764" s="1306">
        <v>7.5933065431310698E-3</v>
      </c>
      <c r="R1764" s="1303">
        <v>3.1850009128239903E-2</v>
      </c>
      <c r="S1764" s="1288">
        <v>3.1850009128239903E-2</v>
      </c>
      <c r="T1764" s="1288">
        <v>3.1850009128239903E-2</v>
      </c>
      <c r="U1764" s="1306">
        <v>1.9250005517068101E-2</v>
      </c>
      <c r="V1764" s="1294">
        <v>1.5034139537029201E-2</v>
      </c>
    </row>
    <row r="1765" spans="1:22" s="212" customFormat="1" ht="15.5" x14ac:dyDescent="0.35">
      <c r="A1765" s="198">
        <v>2043</v>
      </c>
      <c r="B1765" s="197" t="s">
        <v>5833</v>
      </c>
      <c r="C1765" s="197">
        <v>2040</v>
      </c>
      <c r="D1765" s="225" t="str">
        <f t="shared" si="10"/>
        <v>2043_2040</v>
      </c>
      <c r="E1765" s="1231">
        <v>9.3662916604425703E-2</v>
      </c>
      <c r="F1765" s="1288">
        <v>2.2358295420794902E-3</v>
      </c>
      <c r="G1765" s="1306">
        <v>5.3514858856544202E-2</v>
      </c>
      <c r="H1765" s="1303">
        <v>0.18533304047111401</v>
      </c>
      <c r="I1765" s="1288">
        <v>1.76943071606376E-2</v>
      </c>
      <c r="J1765" s="1306">
        <v>0.124349332574463</v>
      </c>
      <c r="K1765" s="1303">
        <v>1.26558676419659E-2</v>
      </c>
      <c r="L1765" s="1288">
        <v>1.0896549036963699E-3</v>
      </c>
      <c r="M1765" s="1306">
        <v>8.0748560485756696E-3</v>
      </c>
      <c r="N1765" s="1303">
        <v>3.0000008598028201E-3</v>
      </c>
      <c r="O1765" s="1288">
        <v>2.0000005732018801E-3</v>
      </c>
      <c r="P1765" s="1288">
        <v>3.0000008598028201E-3</v>
      </c>
      <c r="Q1765" s="1306">
        <v>7.6833188573584002E-3</v>
      </c>
      <c r="R1765" s="1303">
        <v>3.1850009128239903E-2</v>
      </c>
      <c r="S1765" s="1288">
        <v>3.1850009128239903E-2</v>
      </c>
      <c r="T1765" s="1288">
        <v>3.1850009128239903E-2</v>
      </c>
      <c r="U1765" s="1306">
        <v>1.9250005517068101E-2</v>
      </c>
      <c r="V1765" s="1294">
        <v>1.32281098171547E-2</v>
      </c>
    </row>
    <row r="1766" spans="1:22" s="212" customFormat="1" ht="15.5" x14ac:dyDescent="0.35">
      <c r="A1766" s="198">
        <v>2043</v>
      </c>
      <c r="B1766" s="197" t="s">
        <v>5833</v>
      </c>
      <c r="C1766" s="197">
        <v>2041</v>
      </c>
      <c r="D1766" s="225" t="str">
        <f t="shared" si="10"/>
        <v>2043_2041</v>
      </c>
      <c r="E1766" s="1231">
        <v>9.0765702724532493E-2</v>
      </c>
      <c r="F1766" s="1288">
        <v>2.9457174603905898E-3</v>
      </c>
      <c r="G1766" s="1306">
        <v>5.41784610829813E-2</v>
      </c>
      <c r="H1766" s="1303">
        <v>0.173140831988502</v>
      </c>
      <c r="I1766" s="1288">
        <v>1.92749793183934E-2</v>
      </c>
      <c r="J1766" s="1306">
        <v>0.123816964690814</v>
      </c>
      <c r="K1766" s="1303">
        <v>1.08149132357444E-2</v>
      </c>
      <c r="L1766" s="1288">
        <v>1.1160988011777E-3</v>
      </c>
      <c r="M1766" s="1306">
        <v>7.2453309802077703E-3</v>
      </c>
      <c r="N1766" s="1303">
        <v>3.0000008598028201E-3</v>
      </c>
      <c r="O1766" s="1288">
        <v>2.0000005732018801E-3</v>
      </c>
      <c r="P1766" s="1288">
        <v>3.0000008598028201E-3</v>
      </c>
      <c r="Q1766" s="1306">
        <v>8.1261048842491499E-3</v>
      </c>
      <c r="R1766" s="1303">
        <v>3.1850009128239903E-2</v>
      </c>
      <c r="S1766" s="1288">
        <v>3.1850009128239903E-2</v>
      </c>
      <c r="T1766" s="1288">
        <v>3.1850009128239903E-2</v>
      </c>
      <c r="U1766" s="1306">
        <v>1.9250005517068101E-2</v>
      </c>
      <c r="V1766" s="1294">
        <v>1.13039156217981E-2</v>
      </c>
    </row>
    <row r="1767" spans="1:22" s="212" customFormat="1" ht="15.5" x14ac:dyDescent="0.35">
      <c r="A1767" s="198">
        <v>2043</v>
      </c>
      <c r="B1767" s="197" t="s">
        <v>5833</v>
      </c>
      <c r="C1767" s="197">
        <v>2042</v>
      </c>
      <c r="D1767" s="225" t="str">
        <f t="shared" si="10"/>
        <v>2043_2042</v>
      </c>
      <c r="E1767" s="1231">
        <v>8.9521013257326906E-2</v>
      </c>
      <c r="F1767" s="1288">
        <v>2.9874170961004401E-3</v>
      </c>
      <c r="G1767" s="1306">
        <v>6.9550142957864103E-2</v>
      </c>
      <c r="H1767" s="1303">
        <v>0.16368544301558299</v>
      </c>
      <c r="I1767" s="1288">
        <v>2.18354561602291E-2</v>
      </c>
      <c r="J1767" s="1306">
        <v>0.13818874676396201</v>
      </c>
      <c r="K1767" s="1303">
        <v>9.0816070584231693E-3</v>
      </c>
      <c r="L1767" s="1288">
        <v>1.1022853757913099E-3</v>
      </c>
      <c r="M1767" s="1306">
        <v>7.4221872989236803E-3</v>
      </c>
      <c r="N1767" s="1303">
        <v>3.0000008598028201E-3</v>
      </c>
      <c r="O1767" s="1288">
        <v>2.0000005732018801E-3</v>
      </c>
      <c r="P1767" s="1288">
        <v>3.0000008598028201E-3</v>
      </c>
      <c r="Q1767" s="1306">
        <v>8.1542539330640706E-3</v>
      </c>
      <c r="R1767" s="1303">
        <v>3.1850009128239903E-2</v>
      </c>
      <c r="S1767" s="1288">
        <v>3.1850009128239903E-2</v>
      </c>
      <c r="T1767" s="1288">
        <v>3.1850009128239903E-2</v>
      </c>
      <c r="U1767" s="1306">
        <v>1.9250005517068101E-2</v>
      </c>
      <c r="V1767" s="1294">
        <v>9.4922370305705901E-3</v>
      </c>
    </row>
    <row r="1768" spans="1:22" s="212" customFormat="1" ht="15.5" x14ac:dyDescent="0.35">
      <c r="A1768" s="198">
        <v>2043</v>
      </c>
      <c r="B1768" s="197" t="s">
        <v>5833</v>
      </c>
      <c r="C1768" s="197">
        <v>2043</v>
      </c>
      <c r="D1768" s="225" t="str">
        <f t="shared" si="10"/>
        <v>2043_2043</v>
      </c>
      <c r="E1768" s="1231">
        <v>8.5376154707856006E-2</v>
      </c>
      <c r="F1768" s="1288">
        <v>2.8761414529547701E-3</v>
      </c>
      <c r="G1768" s="1306">
        <v>5.3640754070544097E-2</v>
      </c>
      <c r="H1768" s="1303">
        <v>0.14942474317518201</v>
      </c>
      <c r="I1768" s="1288">
        <v>2.0511029808322902E-2</v>
      </c>
      <c r="J1768" s="1306">
        <v>0.108372498880276</v>
      </c>
      <c r="K1768" s="1303">
        <v>6.9747598962534097E-3</v>
      </c>
      <c r="L1768" s="1288">
        <v>1.0925837034598E-3</v>
      </c>
      <c r="M1768" s="1306">
        <v>4.8154346137933299E-3</v>
      </c>
      <c r="N1768" s="1303">
        <v>3.0000008598028201E-3</v>
      </c>
      <c r="O1768" s="1288">
        <v>2.0000005732018801E-3</v>
      </c>
      <c r="P1768" s="1288">
        <v>3.0000008598028201E-3</v>
      </c>
      <c r="Q1768" s="1306">
        <v>8.1135182202519193E-3</v>
      </c>
      <c r="R1768" s="1303">
        <v>3.1850009128239903E-2</v>
      </c>
      <c r="S1768" s="1288">
        <v>3.1850009128239903E-2</v>
      </c>
      <c r="T1768" s="1288">
        <v>3.1850009128239903E-2</v>
      </c>
      <c r="U1768" s="1306">
        <v>1.9250005517068101E-2</v>
      </c>
      <c r="V1768" s="1294">
        <v>7.29012758872333E-3</v>
      </c>
    </row>
    <row r="1769" spans="1:22" s="212" customFormat="1" ht="15.5" x14ac:dyDescent="0.35">
      <c r="A1769" s="198">
        <v>2043</v>
      </c>
      <c r="B1769" s="197" t="s">
        <v>5833</v>
      </c>
      <c r="C1769" s="197">
        <v>2044</v>
      </c>
      <c r="D1769" s="225" t="str">
        <f t="shared" si="10"/>
        <v>2043_2044</v>
      </c>
      <c r="E1769" s="1226">
        <v>8.5376154707856006E-2</v>
      </c>
      <c r="F1769" s="1257">
        <v>2.8761414529547701E-3</v>
      </c>
      <c r="G1769" s="1280">
        <v>5.3640754070544097E-2</v>
      </c>
      <c r="H1769" s="1271">
        <v>0.14942474317518201</v>
      </c>
      <c r="I1769" s="1257">
        <v>2.0511029808322902E-2</v>
      </c>
      <c r="J1769" s="1280">
        <v>0.108372498880276</v>
      </c>
      <c r="K1769" s="1271">
        <v>6.9747598962534097E-3</v>
      </c>
      <c r="L1769" s="1257">
        <v>1.0925837034598E-3</v>
      </c>
      <c r="M1769" s="1280">
        <v>4.8154346137933299E-3</v>
      </c>
      <c r="N1769" s="1271">
        <v>3.0000008598028201E-3</v>
      </c>
      <c r="O1769" s="1257">
        <v>2.0000005732018801E-3</v>
      </c>
      <c r="P1769" s="1257">
        <v>3.0000008598028201E-3</v>
      </c>
      <c r="Q1769" s="1280">
        <v>8.1135182202519193E-3</v>
      </c>
      <c r="R1769" s="1271">
        <v>3.1850009128239903E-2</v>
      </c>
      <c r="S1769" s="1257">
        <v>3.1850009128239903E-2</v>
      </c>
      <c r="T1769" s="1257">
        <v>3.1850009128239903E-2</v>
      </c>
      <c r="U1769" s="1280">
        <v>1.9250005517068101E-2</v>
      </c>
      <c r="V1769" s="1293">
        <v>7.29012758872333E-3</v>
      </c>
    </row>
    <row r="1770" spans="1:22" s="212" customFormat="1" ht="15.5" x14ac:dyDescent="0.35">
      <c r="A1770" s="198">
        <v>2044</v>
      </c>
      <c r="B1770" s="197" t="s">
        <v>5833</v>
      </c>
      <c r="C1770" s="197">
        <v>1971</v>
      </c>
      <c r="D1770" s="225" t="str">
        <f t="shared" si="10"/>
        <v>2044_1971</v>
      </c>
      <c r="E1770" s="1226">
        <v>0.108154475030486</v>
      </c>
      <c r="F1770" s="1257">
        <v>2.8390009549499801E-3</v>
      </c>
      <c r="G1770" s="1280">
        <v>7.2459618018426097E-2</v>
      </c>
      <c r="H1770" s="1271">
        <v>0.248740058855004</v>
      </c>
      <c r="I1770" s="1257">
        <v>1.5713505683368802E-2</v>
      </c>
      <c r="J1770" s="1280">
        <v>0.19776338398171101</v>
      </c>
      <c r="K1770" s="1271">
        <v>2.2935079811309E-2</v>
      </c>
      <c r="L1770" s="1257">
        <v>1.1784989541933099E-3</v>
      </c>
      <c r="M1770" s="1280">
        <v>1.7026062548632499E-2</v>
      </c>
      <c r="N1770" s="1271">
        <v>3.0000008598028201E-3</v>
      </c>
      <c r="O1770" s="1257">
        <v>2.0000005732018801E-3</v>
      </c>
      <c r="P1770" s="1257">
        <v>3.0000008598028201E-3</v>
      </c>
      <c r="Q1770" s="1280">
        <v>3.0000008598028201E-3</v>
      </c>
      <c r="R1770" s="1271">
        <v>3.1850009128239903E-2</v>
      </c>
      <c r="S1770" s="1257">
        <v>3.1850009128239903E-2</v>
      </c>
      <c r="T1770" s="1257">
        <v>3.1850009128239903E-2</v>
      </c>
      <c r="U1770" s="1280">
        <v>1.5925004564119952E-2</v>
      </c>
      <c r="V1770" s="1293">
        <v>2.3972102347467099E-2</v>
      </c>
    </row>
    <row r="1771" spans="1:22" s="212" customFormat="1" ht="15.5" x14ac:dyDescent="0.35">
      <c r="A1771" s="198">
        <v>2044</v>
      </c>
      <c r="B1771" s="197" t="s">
        <v>5833</v>
      </c>
      <c r="C1771" s="197">
        <v>1972</v>
      </c>
      <c r="D1771" s="225" t="str">
        <f t="shared" si="10"/>
        <v>2044_1972</v>
      </c>
      <c r="E1771" s="1226">
        <v>0.108154475030486</v>
      </c>
      <c r="F1771" s="1257">
        <v>2.8390009549499801E-3</v>
      </c>
      <c r="G1771" s="1280">
        <v>7.2459618018426097E-2</v>
      </c>
      <c r="H1771" s="1271">
        <v>0.248740058855004</v>
      </c>
      <c r="I1771" s="1257">
        <v>1.5713505683368802E-2</v>
      </c>
      <c r="J1771" s="1280">
        <v>0.19776338398171101</v>
      </c>
      <c r="K1771" s="1271">
        <v>2.2935079811309E-2</v>
      </c>
      <c r="L1771" s="1257">
        <v>1.1784989541933099E-3</v>
      </c>
      <c r="M1771" s="1280">
        <v>1.7026062548632499E-2</v>
      </c>
      <c r="N1771" s="1271">
        <v>3.0000008598028201E-3</v>
      </c>
      <c r="O1771" s="1257">
        <v>2.0000005732018801E-3</v>
      </c>
      <c r="P1771" s="1257">
        <v>3.0000008598028201E-3</v>
      </c>
      <c r="Q1771" s="1280">
        <v>3.0000008598028201E-3</v>
      </c>
      <c r="R1771" s="1271">
        <v>3.1850009128239903E-2</v>
      </c>
      <c r="S1771" s="1257">
        <v>3.1850009128239903E-2</v>
      </c>
      <c r="T1771" s="1257">
        <v>3.1850009128239903E-2</v>
      </c>
      <c r="U1771" s="1280">
        <v>1.5925004564119952E-2</v>
      </c>
      <c r="V1771" s="1293">
        <v>2.3972102347467099E-2</v>
      </c>
    </row>
    <row r="1772" spans="1:22" s="212" customFormat="1" ht="15.5" x14ac:dyDescent="0.35">
      <c r="A1772" s="198">
        <v>2044</v>
      </c>
      <c r="B1772" s="197" t="s">
        <v>5833</v>
      </c>
      <c r="C1772" s="197">
        <v>1973</v>
      </c>
      <c r="D1772" s="225" t="str">
        <f t="shared" si="10"/>
        <v>2044_1973</v>
      </c>
      <c r="E1772" s="1226">
        <v>0.108154475030486</v>
      </c>
      <c r="F1772" s="1257">
        <v>2.8390009549499801E-3</v>
      </c>
      <c r="G1772" s="1280">
        <v>7.2459618018426097E-2</v>
      </c>
      <c r="H1772" s="1271">
        <v>0.248740058855004</v>
      </c>
      <c r="I1772" s="1257">
        <v>1.5713505683368802E-2</v>
      </c>
      <c r="J1772" s="1280">
        <v>0.19776338398171101</v>
      </c>
      <c r="K1772" s="1271">
        <v>2.2935079811309E-2</v>
      </c>
      <c r="L1772" s="1257">
        <v>1.1784989541933099E-3</v>
      </c>
      <c r="M1772" s="1280">
        <v>1.7026062548632499E-2</v>
      </c>
      <c r="N1772" s="1271">
        <v>3.0000008598028201E-3</v>
      </c>
      <c r="O1772" s="1257">
        <v>2.0000005732018801E-3</v>
      </c>
      <c r="P1772" s="1257">
        <v>3.0000008598028201E-3</v>
      </c>
      <c r="Q1772" s="1280">
        <v>3.0000008598028201E-3</v>
      </c>
      <c r="R1772" s="1271">
        <v>3.1850009128239903E-2</v>
      </c>
      <c r="S1772" s="1257">
        <v>3.1850009128239903E-2</v>
      </c>
      <c r="T1772" s="1257">
        <v>3.1850009128239903E-2</v>
      </c>
      <c r="U1772" s="1280">
        <v>1.5925004564119952E-2</v>
      </c>
      <c r="V1772" s="1293">
        <v>2.3972102347467099E-2</v>
      </c>
    </row>
    <row r="1773" spans="1:22" s="212" customFormat="1" ht="15.5" x14ac:dyDescent="0.35">
      <c r="A1773" s="198">
        <v>2044</v>
      </c>
      <c r="B1773" s="197" t="s">
        <v>5833</v>
      </c>
      <c r="C1773" s="197">
        <v>1974</v>
      </c>
      <c r="D1773" s="225" t="str">
        <f t="shared" si="10"/>
        <v>2044_1974</v>
      </c>
      <c r="E1773" s="1226">
        <v>0.108154475030486</v>
      </c>
      <c r="F1773" s="1257">
        <v>2.8390009549499801E-3</v>
      </c>
      <c r="G1773" s="1280">
        <v>7.2459618018426097E-2</v>
      </c>
      <c r="H1773" s="1271">
        <v>0.248740058855004</v>
      </c>
      <c r="I1773" s="1257">
        <v>1.5713505683368802E-2</v>
      </c>
      <c r="J1773" s="1280">
        <v>0.19776338398171101</v>
      </c>
      <c r="K1773" s="1271">
        <v>2.2935079811309E-2</v>
      </c>
      <c r="L1773" s="1257">
        <v>1.1784989541933099E-3</v>
      </c>
      <c r="M1773" s="1280">
        <v>1.7026062548632499E-2</v>
      </c>
      <c r="N1773" s="1271">
        <v>3.0000008598028201E-3</v>
      </c>
      <c r="O1773" s="1257">
        <v>2.0000005732018801E-3</v>
      </c>
      <c r="P1773" s="1257">
        <v>3.0000008598028201E-3</v>
      </c>
      <c r="Q1773" s="1280">
        <v>3.0000008598028201E-3</v>
      </c>
      <c r="R1773" s="1271">
        <v>3.1850009128239903E-2</v>
      </c>
      <c r="S1773" s="1257">
        <v>3.1850009128239903E-2</v>
      </c>
      <c r="T1773" s="1257">
        <v>3.1850009128239903E-2</v>
      </c>
      <c r="U1773" s="1280">
        <v>1.5925004564119952E-2</v>
      </c>
      <c r="V1773" s="1293">
        <v>2.3972102347467099E-2</v>
      </c>
    </row>
    <row r="1774" spans="1:22" s="212" customFormat="1" ht="15.5" x14ac:dyDescent="0.35">
      <c r="A1774" s="198">
        <v>2044</v>
      </c>
      <c r="B1774" s="197" t="s">
        <v>5833</v>
      </c>
      <c r="C1774" s="197">
        <v>1975</v>
      </c>
      <c r="D1774" s="225" t="str">
        <f t="shared" si="10"/>
        <v>2044_1975</v>
      </c>
      <c r="E1774" s="1226">
        <v>0.108154475030486</v>
      </c>
      <c r="F1774" s="1257">
        <v>2.8390009549499801E-3</v>
      </c>
      <c r="G1774" s="1280">
        <v>7.2459618018426097E-2</v>
      </c>
      <c r="H1774" s="1271">
        <v>0.248740058855004</v>
      </c>
      <c r="I1774" s="1257">
        <v>1.5713505683368802E-2</v>
      </c>
      <c r="J1774" s="1280">
        <v>0.19776338398171101</v>
      </c>
      <c r="K1774" s="1271">
        <v>2.2935079811309E-2</v>
      </c>
      <c r="L1774" s="1257">
        <v>1.1784989541933099E-3</v>
      </c>
      <c r="M1774" s="1280">
        <v>1.7026062548632499E-2</v>
      </c>
      <c r="N1774" s="1271">
        <v>3.0000008598028201E-3</v>
      </c>
      <c r="O1774" s="1257">
        <v>2.0000005732018801E-3</v>
      </c>
      <c r="P1774" s="1257">
        <v>3.0000008598028201E-3</v>
      </c>
      <c r="Q1774" s="1280">
        <v>3.0000008598028201E-3</v>
      </c>
      <c r="R1774" s="1271">
        <v>3.1850009128239903E-2</v>
      </c>
      <c r="S1774" s="1257">
        <v>3.1850009128239903E-2</v>
      </c>
      <c r="T1774" s="1257">
        <v>3.1850009128239903E-2</v>
      </c>
      <c r="U1774" s="1280">
        <v>1.5925004564119952E-2</v>
      </c>
      <c r="V1774" s="1293">
        <v>2.3972102347467099E-2</v>
      </c>
    </row>
    <row r="1775" spans="1:22" s="212" customFormat="1" ht="15.5" x14ac:dyDescent="0.35">
      <c r="A1775" s="198">
        <v>2044</v>
      </c>
      <c r="B1775" s="197" t="s">
        <v>5833</v>
      </c>
      <c r="C1775" s="197">
        <v>1976</v>
      </c>
      <c r="D1775" s="225" t="str">
        <f t="shared" si="10"/>
        <v>2044_1976</v>
      </c>
      <c r="E1775" s="1226">
        <v>0.108154475030486</v>
      </c>
      <c r="F1775" s="1257">
        <v>2.8390009549499801E-3</v>
      </c>
      <c r="G1775" s="1280">
        <v>7.2459618018426097E-2</v>
      </c>
      <c r="H1775" s="1271">
        <v>0.248740058855004</v>
      </c>
      <c r="I1775" s="1257">
        <v>1.5713505683368802E-2</v>
      </c>
      <c r="J1775" s="1280">
        <v>0.19776338398171101</v>
      </c>
      <c r="K1775" s="1271">
        <v>2.2935079811309E-2</v>
      </c>
      <c r="L1775" s="1257">
        <v>1.1784989541933099E-3</v>
      </c>
      <c r="M1775" s="1280">
        <v>1.7026062548632499E-2</v>
      </c>
      <c r="N1775" s="1271">
        <v>3.0000008598028201E-3</v>
      </c>
      <c r="O1775" s="1257">
        <v>2.0000005732018801E-3</v>
      </c>
      <c r="P1775" s="1257">
        <v>3.0000008598028201E-3</v>
      </c>
      <c r="Q1775" s="1280">
        <v>3.0000008598028201E-3</v>
      </c>
      <c r="R1775" s="1271">
        <v>3.1850009128239903E-2</v>
      </c>
      <c r="S1775" s="1257">
        <v>3.1850009128239903E-2</v>
      </c>
      <c r="T1775" s="1257">
        <v>3.1850009128239903E-2</v>
      </c>
      <c r="U1775" s="1280">
        <v>1.5925004564119952E-2</v>
      </c>
      <c r="V1775" s="1293">
        <v>2.3972102347467099E-2</v>
      </c>
    </row>
    <row r="1776" spans="1:22" s="212" customFormat="1" ht="15.5" x14ac:dyDescent="0.35">
      <c r="A1776" s="198">
        <v>2044</v>
      </c>
      <c r="B1776" s="197" t="s">
        <v>5833</v>
      </c>
      <c r="C1776" s="197">
        <v>1977</v>
      </c>
      <c r="D1776" s="225" t="str">
        <f t="shared" si="10"/>
        <v>2044_1977</v>
      </c>
      <c r="E1776" s="1226">
        <v>0.108154475030486</v>
      </c>
      <c r="F1776" s="1257">
        <v>2.8390009549499801E-3</v>
      </c>
      <c r="G1776" s="1280">
        <v>7.2459618018426097E-2</v>
      </c>
      <c r="H1776" s="1271">
        <v>0.248740058855004</v>
      </c>
      <c r="I1776" s="1257">
        <v>1.5713505683368802E-2</v>
      </c>
      <c r="J1776" s="1280">
        <v>0.19776338398171101</v>
      </c>
      <c r="K1776" s="1271">
        <v>2.2935079811309E-2</v>
      </c>
      <c r="L1776" s="1257">
        <v>1.1784989541933099E-3</v>
      </c>
      <c r="M1776" s="1280">
        <v>1.7026062548632499E-2</v>
      </c>
      <c r="N1776" s="1271">
        <v>3.0000008598028201E-3</v>
      </c>
      <c r="O1776" s="1257">
        <v>2.0000005732018801E-3</v>
      </c>
      <c r="P1776" s="1257">
        <v>3.0000008598028201E-3</v>
      </c>
      <c r="Q1776" s="1280">
        <v>3.0000008598028201E-3</v>
      </c>
      <c r="R1776" s="1271">
        <v>3.1850009128239903E-2</v>
      </c>
      <c r="S1776" s="1257">
        <v>3.1850009128239903E-2</v>
      </c>
      <c r="T1776" s="1257">
        <v>3.1850009128239903E-2</v>
      </c>
      <c r="U1776" s="1280">
        <v>1.5925004564119952E-2</v>
      </c>
      <c r="V1776" s="1293">
        <v>2.3972102347467099E-2</v>
      </c>
    </row>
    <row r="1777" spans="1:22" s="212" customFormat="1" ht="15.5" x14ac:dyDescent="0.35">
      <c r="A1777" s="198">
        <v>2044</v>
      </c>
      <c r="B1777" s="197" t="s">
        <v>5833</v>
      </c>
      <c r="C1777" s="197">
        <v>1978</v>
      </c>
      <c r="D1777" s="225" t="str">
        <f t="shared" si="10"/>
        <v>2044_1978</v>
      </c>
      <c r="E1777" s="1226">
        <v>0.108154475030486</v>
      </c>
      <c r="F1777" s="1257">
        <v>2.8390009549499801E-3</v>
      </c>
      <c r="G1777" s="1280">
        <v>7.2459618018426097E-2</v>
      </c>
      <c r="H1777" s="1271">
        <v>0.248740058855004</v>
      </c>
      <c r="I1777" s="1257">
        <v>1.5713505683368802E-2</v>
      </c>
      <c r="J1777" s="1280">
        <v>0.19776338398171101</v>
      </c>
      <c r="K1777" s="1271">
        <v>2.2935079811309E-2</v>
      </c>
      <c r="L1777" s="1257">
        <v>1.1784989541933099E-3</v>
      </c>
      <c r="M1777" s="1280">
        <v>1.7026062548632499E-2</v>
      </c>
      <c r="N1777" s="1271">
        <v>3.0000008598028201E-3</v>
      </c>
      <c r="O1777" s="1257">
        <v>2.0000005732018801E-3</v>
      </c>
      <c r="P1777" s="1257">
        <v>3.0000008598028201E-3</v>
      </c>
      <c r="Q1777" s="1280">
        <v>3.0000008598028201E-3</v>
      </c>
      <c r="R1777" s="1271">
        <v>3.1850009128239903E-2</v>
      </c>
      <c r="S1777" s="1257">
        <v>3.1850009128239903E-2</v>
      </c>
      <c r="T1777" s="1257">
        <v>3.1850009128239903E-2</v>
      </c>
      <c r="U1777" s="1280">
        <v>1.5925004564119952E-2</v>
      </c>
      <c r="V1777" s="1293">
        <v>2.3972102347467099E-2</v>
      </c>
    </row>
    <row r="1778" spans="1:22" s="212" customFormat="1" ht="15.5" x14ac:dyDescent="0.35">
      <c r="A1778" s="198">
        <v>2044</v>
      </c>
      <c r="B1778" s="197" t="s">
        <v>5833</v>
      </c>
      <c r="C1778" s="197">
        <v>1979</v>
      </c>
      <c r="D1778" s="225" t="str">
        <f t="shared" si="10"/>
        <v>2044_1979</v>
      </c>
      <c r="E1778" s="1226">
        <v>0.108154475030486</v>
      </c>
      <c r="F1778" s="1257">
        <v>2.8390009549499801E-3</v>
      </c>
      <c r="G1778" s="1280">
        <v>7.2459618018426097E-2</v>
      </c>
      <c r="H1778" s="1271">
        <v>0.248740058855004</v>
      </c>
      <c r="I1778" s="1257">
        <v>1.5713505683368802E-2</v>
      </c>
      <c r="J1778" s="1280">
        <v>0.19776338398171101</v>
      </c>
      <c r="K1778" s="1271">
        <v>2.2935079811309E-2</v>
      </c>
      <c r="L1778" s="1257">
        <v>1.1784989541933099E-3</v>
      </c>
      <c r="M1778" s="1280">
        <v>1.7026062548632499E-2</v>
      </c>
      <c r="N1778" s="1271">
        <v>3.0000008598028201E-3</v>
      </c>
      <c r="O1778" s="1257">
        <v>2.0000005732018801E-3</v>
      </c>
      <c r="P1778" s="1257">
        <v>3.0000008598028201E-3</v>
      </c>
      <c r="Q1778" s="1280">
        <v>3.0000008598028201E-3</v>
      </c>
      <c r="R1778" s="1271">
        <v>3.1850009128239903E-2</v>
      </c>
      <c r="S1778" s="1257">
        <v>3.1850009128239903E-2</v>
      </c>
      <c r="T1778" s="1257">
        <v>3.1850009128239903E-2</v>
      </c>
      <c r="U1778" s="1280">
        <v>1.5925004564119952E-2</v>
      </c>
      <c r="V1778" s="1293">
        <v>2.3972102347467099E-2</v>
      </c>
    </row>
    <row r="1779" spans="1:22" s="212" customFormat="1" ht="15.5" x14ac:dyDescent="0.35">
      <c r="A1779" s="198">
        <v>2044</v>
      </c>
      <c r="B1779" s="197" t="s">
        <v>5833</v>
      </c>
      <c r="C1779" s="197">
        <v>1980</v>
      </c>
      <c r="D1779" s="225" t="str">
        <f t="shared" si="10"/>
        <v>2044_1980</v>
      </c>
      <c r="E1779" s="1226">
        <v>0.108154475030486</v>
      </c>
      <c r="F1779" s="1257">
        <v>2.8390009549499801E-3</v>
      </c>
      <c r="G1779" s="1280">
        <v>7.2459618018426097E-2</v>
      </c>
      <c r="H1779" s="1271">
        <v>0.248740058855004</v>
      </c>
      <c r="I1779" s="1257">
        <v>1.5713505683368802E-2</v>
      </c>
      <c r="J1779" s="1280">
        <v>0.19776338398171101</v>
      </c>
      <c r="K1779" s="1271">
        <v>2.2935079811309E-2</v>
      </c>
      <c r="L1779" s="1257">
        <v>1.1784989541933099E-3</v>
      </c>
      <c r="M1779" s="1280">
        <v>1.7026062548632499E-2</v>
      </c>
      <c r="N1779" s="1271">
        <v>3.0000008598028201E-3</v>
      </c>
      <c r="O1779" s="1257">
        <v>2.0000005732018801E-3</v>
      </c>
      <c r="P1779" s="1257">
        <v>3.0000008598028201E-3</v>
      </c>
      <c r="Q1779" s="1280">
        <v>3.0000008598028201E-3</v>
      </c>
      <c r="R1779" s="1271">
        <v>3.1850009128239903E-2</v>
      </c>
      <c r="S1779" s="1257">
        <v>3.1850009128239903E-2</v>
      </c>
      <c r="T1779" s="1257">
        <v>3.1850009128239903E-2</v>
      </c>
      <c r="U1779" s="1280">
        <v>1.5925004564119952E-2</v>
      </c>
      <c r="V1779" s="1293">
        <v>2.3972102347467099E-2</v>
      </c>
    </row>
    <row r="1780" spans="1:22" s="212" customFormat="1" ht="15.5" x14ac:dyDescent="0.35">
      <c r="A1780" s="198">
        <v>2044</v>
      </c>
      <c r="B1780" s="197" t="s">
        <v>5833</v>
      </c>
      <c r="C1780" s="197">
        <v>1981</v>
      </c>
      <c r="D1780" s="225" t="str">
        <f t="shared" si="10"/>
        <v>2044_1981</v>
      </c>
      <c r="E1780" s="1226">
        <v>0.108154475030486</v>
      </c>
      <c r="F1780" s="1257">
        <v>2.8390009549499801E-3</v>
      </c>
      <c r="G1780" s="1280">
        <v>7.2459618018426097E-2</v>
      </c>
      <c r="H1780" s="1271">
        <v>0.248740058855004</v>
      </c>
      <c r="I1780" s="1257">
        <v>1.5713505683368802E-2</v>
      </c>
      <c r="J1780" s="1280">
        <v>0.19776338398171101</v>
      </c>
      <c r="K1780" s="1271">
        <v>2.2935079811309E-2</v>
      </c>
      <c r="L1780" s="1257">
        <v>1.1784989541933099E-3</v>
      </c>
      <c r="M1780" s="1280">
        <v>1.7026062548632499E-2</v>
      </c>
      <c r="N1780" s="1271">
        <v>3.0000008598028201E-3</v>
      </c>
      <c r="O1780" s="1257">
        <v>2.0000005732018801E-3</v>
      </c>
      <c r="P1780" s="1257">
        <v>3.0000008598028201E-3</v>
      </c>
      <c r="Q1780" s="1280">
        <v>3.0000008598028201E-3</v>
      </c>
      <c r="R1780" s="1271">
        <v>3.1850009128239903E-2</v>
      </c>
      <c r="S1780" s="1257">
        <v>3.1850009128239903E-2</v>
      </c>
      <c r="T1780" s="1257">
        <v>3.1850009128239903E-2</v>
      </c>
      <c r="U1780" s="1280">
        <v>1.5925004564119952E-2</v>
      </c>
      <c r="V1780" s="1293">
        <v>2.3972102347467099E-2</v>
      </c>
    </row>
    <row r="1781" spans="1:22" s="212" customFormat="1" ht="15.5" x14ac:dyDescent="0.35">
      <c r="A1781" s="198">
        <v>2044</v>
      </c>
      <c r="B1781" s="197" t="s">
        <v>5833</v>
      </c>
      <c r="C1781" s="197">
        <v>1982</v>
      </c>
      <c r="D1781" s="225" t="str">
        <f t="shared" si="10"/>
        <v>2044_1982</v>
      </c>
      <c r="E1781" s="1226">
        <v>0.108154475030486</v>
      </c>
      <c r="F1781" s="1257">
        <v>2.8390009549499801E-3</v>
      </c>
      <c r="G1781" s="1280">
        <v>7.2459618018426097E-2</v>
      </c>
      <c r="H1781" s="1271">
        <v>0.248740058855004</v>
      </c>
      <c r="I1781" s="1257">
        <v>1.5713505683368802E-2</v>
      </c>
      <c r="J1781" s="1280">
        <v>0.19776338398171101</v>
      </c>
      <c r="K1781" s="1271">
        <v>2.2935079811309E-2</v>
      </c>
      <c r="L1781" s="1257">
        <v>1.1784989541933099E-3</v>
      </c>
      <c r="M1781" s="1280">
        <v>1.7026062548632499E-2</v>
      </c>
      <c r="N1781" s="1271">
        <v>3.0000008598028201E-3</v>
      </c>
      <c r="O1781" s="1257">
        <v>2.0000005732018801E-3</v>
      </c>
      <c r="P1781" s="1257">
        <v>3.0000008598028201E-3</v>
      </c>
      <c r="Q1781" s="1280">
        <v>3.0000008598028201E-3</v>
      </c>
      <c r="R1781" s="1271">
        <v>3.1850009128239903E-2</v>
      </c>
      <c r="S1781" s="1257">
        <v>3.1850009128239903E-2</v>
      </c>
      <c r="T1781" s="1257">
        <v>3.1850009128239903E-2</v>
      </c>
      <c r="U1781" s="1280">
        <v>1.5925004564119952E-2</v>
      </c>
      <c r="V1781" s="1293">
        <v>2.3972102347467099E-2</v>
      </c>
    </row>
    <row r="1782" spans="1:22" s="212" customFormat="1" ht="15.5" x14ac:dyDescent="0.35">
      <c r="A1782" s="198">
        <v>2044</v>
      </c>
      <c r="B1782" s="197" t="s">
        <v>5833</v>
      </c>
      <c r="C1782" s="197">
        <v>1983</v>
      </c>
      <c r="D1782" s="225" t="str">
        <f t="shared" si="10"/>
        <v>2044_1983</v>
      </c>
      <c r="E1782" s="1226">
        <v>0.108154475030486</v>
      </c>
      <c r="F1782" s="1257">
        <v>2.8390009549499801E-3</v>
      </c>
      <c r="G1782" s="1280">
        <v>7.2459618018426097E-2</v>
      </c>
      <c r="H1782" s="1271">
        <v>0.248740058855004</v>
      </c>
      <c r="I1782" s="1257">
        <v>1.5713505683368802E-2</v>
      </c>
      <c r="J1782" s="1280">
        <v>0.19776338398171101</v>
      </c>
      <c r="K1782" s="1271">
        <v>2.2935079811309E-2</v>
      </c>
      <c r="L1782" s="1257">
        <v>1.1784989541933099E-3</v>
      </c>
      <c r="M1782" s="1280">
        <v>1.7026062548632499E-2</v>
      </c>
      <c r="N1782" s="1271">
        <v>3.0000008598028201E-3</v>
      </c>
      <c r="O1782" s="1257">
        <v>2.0000005732018801E-3</v>
      </c>
      <c r="P1782" s="1257">
        <v>3.0000008598028201E-3</v>
      </c>
      <c r="Q1782" s="1280">
        <v>3.0000008598028201E-3</v>
      </c>
      <c r="R1782" s="1271">
        <v>3.1850009128239903E-2</v>
      </c>
      <c r="S1782" s="1257">
        <v>3.1850009128239903E-2</v>
      </c>
      <c r="T1782" s="1257">
        <v>3.1850009128239903E-2</v>
      </c>
      <c r="U1782" s="1280">
        <v>1.5925004564119952E-2</v>
      </c>
      <c r="V1782" s="1293">
        <v>2.3972102347467099E-2</v>
      </c>
    </row>
    <row r="1783" spans="1:22" s="212" customFormat="1" ht="15.5" x14ac:dyDescent="0.35">
      <c r="A1783" s="198">
        <v>2044</v>
      </c>
      <c r="B1783" s="197" t="s">
        <v>5833</v>
      </c>
      <c r="C1783" s="197">
        <v>1984</v>
      </c>
      <c r="D1783" s="225" t="str">
        <f t="shared" si="10"/>
        <v>2044_1984</v>
      </c>
      <c r="E1783" s="1226">
        <v>0.108154475030486</v>
      </c>
      <c r="F1783" s="1257">
        <v>2.8390009549499801E-3</v>
      </c>
      <c r="G1783" s="1280">
        <v>7.2459618018426097E-2</v>
      </c>
      <c r="H1783" s="1271">
        <v>0.248740058855004</v>
      </c>
      <c r="I1783" s="1257">
        <v>1.5713505683368802E-2</v>
      </c>
      <c r="J1783" s="1280">
        <v>0.19776338398171101</v>
      </c>
      <c r="K1783" s="1271">
        <v>2.2935079811309E-2</v>
      </c>
      <c r="L1783" s="1257">
        <v>1.1784989541933099E-3</v>
      </c>
      <c r="M1783" s="1280">
        <v>1.7026062548632499E-2</v>
      </c>
      <c r="N1783" s="1271">
        <v>3.0000008598028201E-3</v>
      </c>
      <c r="O1783" s="1257">
        <v>2.0000005732018801E-3</v>
      </c>
      <c r="P1783" s="1257">
        <v>3.0000008598028201E-3</v>
      </c>
      <c r="Q1783" s="1280">
        <v>3.0000008598028201E-3</v>
      </c>
      <c r="R1783" s="1271">
        <v>3.1850009128239903E-2</v>
      </c>
      <c r="S1783" s="1257">
        <v>3.1850009128239903E-2</v>
      </c>
      <c r="T1783" s="1257">
        <v>3.1850009128239903E-2</v>
      </c>
      <c r="U1783" s="1280">
        <v>1.5925004564119952E-2</v>
      </c>
      <c r="V1783" s="1293">
        <v>2.3972102347467099E-2</v>
      </c>
    </row>
    <row r="1784" spans="1:22" s="212" customFormat="1" ht="15.5" x14ac:dyDescent="0.35">
      <c r="A1784" s="198">
        <v>2044</v>
      </c>
      <c r="B1784" s="197" t="s">
        <v>5833</v>
      </c>
      <c r="C1784" s="197">
        <v>1985</v>
      </c>
      <c r="D1784" s="225" t="str">
        <f t="shared" si="10"/>
        <v>2044_1985</v>
      </c>
      <c r="E1784" s="1226">
        <v>0.108154475030486</v>
      </c>
      <c r="F1784" s="1257">
        <v>2.8390009549499801E-3</v>
      </c>
      <c r="G1784" s="1280">
        <v>7.2459618018426097E-2</v>
      </c>
      <c r="H1784" s="1271">
        <v>0.248740058855004</v>
      </c>
      <c r="I1784" s="1257">
        <v>1.5713505683368802E-2</v>
      </c>
      <c r="J1784" s="1280">
        <v>0.19776338398171101</v>
      </c>
      <c r="K1784" s="1271">
        <v>2.2935079811309E-2</v>
      </c>
      <c r="L1784" s="1257">
        <v>1.1784989541933099E-3</v>
      </c>
      <c r="M1784" s="1280">
        <v>1.7026062548632499E-2</v>
      </c>
      <c r="N1784" s="1271">
        <v>3.0000008598028201E-3</v>
      </c>
      <c r="O1784" s="1257">
        <v>2.0000005732018801E-3</v>
      </c>
      <c r="P1784" s="1257">
        <v>3.0000008598028201E-3</v>
      </c>
      <c r="Q1784" s="1280">
        <v>3.0000008598028201E-3</v>
      </c>
      <c r="R1784" s="1271">
        <v>3.1850009128239903E-2</v>
      </c>
      <c r="S1784" s="1257">
        <v>3.1850009128239903E-2</v>
      </c>
      <c r="T1784" s="1257">
        <v>3.1850009128239903E-2</v>
      </c>
      <c r="U1784" s="1280">
        <v>1.5925004564119952E-2</v>
      </c>
      <c r="V1784" s="1293">
        <v>2.3972102347467099E-2</v>
      </c>
    </row>
    <row r="1785" spans="1:22" s="212" customFormat="1" ht="15.5" x14ac:dyDescent="0.35">
      <c r="A1785" s="198">
        <v>2044</v>
      </c>
      <c r="B1785" s="197" t="s">
        <v>5833</v>
      </c>
      <c r="C1785" s="197">
        <v>1986</v>
      </c>
      <c r="D1785" s="225" t="str">
        <f t="shared" si="10"/>
        <v>2044_1986</v>
      </c>
      <c r="E1785" s="1226">
        <v>0.108154475030486</v>
      </c>
      <c r="F1785" s="1257">
        <v>2.8390009549499801E-3</v>
      </c>
      <c r="G1785" s="1280">
        <v>7.2459618018426097E-2</v>
      </c>
      <c r="H1785" s="1271">
        <v>0.248740058855004</v>
      </c>
      <c r="I1785" s="1257">
        <v>1.5713505683368802E-2</v>
      </c>
      <c r="J1785" s="1280">
        <v>0.19776338398171101</v>
      </c>
      <c r="K1785" s="1271">
        <v>2.2935079811309E-2</v>
      </c>
      <c r="L1785" s="1257">
        <v>1.1784989541933099E-3</v>
      </c>
      <c r="M1785" s="1280">
        <v>1.7026062548632499E-2</v>
      </c>
      <c r="N1785" s="1271">
        <v>3.0000008598028201E-3</v>
      </c>
      <c r="O1785" s="1257">
        <v>2.0000005732018801E-3</v>
      </c>
      <c r="P1785" s="1257">
        <v>3.0000008598028201E-3</v>
      </c>
      <c r="Q1785" s="1280">
        <v>3.0000008598028201E-3</v>
      </c>
      <c r="R1785" s="1271">
        <v>3.1850009128239903E-2</v>
      </c>
      <c r="S1785" s="1257">
        <v>3.1850009128239903E-2</v>
      </c>
      <c r="T1785" s="1257">
        <v>3.1850009128239903E-2</v>
      </c>
      <c r="U1785" s="1280">
        <v>1.5925004564119952E-2</v>
      </c>
      <c r="V1785" s="1293">
        <v>2.3972102347467099E-2</v>
      </c>
    </row>
    <row r="1786" spans="1:22" s="212" customFormat="1" ht="15.5" x14ac:dyDescent="0.35">
      <c r="A1786" s="198">
        <v>2044</v>
      </c>
      <c r="B1786" s="197" t="s">
        <v>5833</v>
      </c>
      <c r="C1786" s="197">
        <v>1987</v>
      </c>
      <c r="D1786" s="225" t="str">
        <f t="shared" si="10"/>
        <v>2044_1987</v>
      </c>
      <c r="E1786" s="1226">
        <v>0.108154475030486</v>
      </c>
      <c r="F1786" s="1257">
        <v>2.8390009549499801E-3</v>
      </c>
      <c r="G1786" s="1280">
        <v>7.2459618018426097E-2</v>
      </c>
      <c r="H1786" s="1271">
        <v>0.248740058855004</v>
      </c>
      <c r="I1786" s="1257">
        <v>1.5713505683368802E-2</v>
      </c>
      <c r="J1786" s="1280">
        <v>0.19776338398171101</v>
      </c>
      <c r="K1786" s="1271">
        <v>2.2935079811309E-2</v>
      </c>
      <c r="L1786" s="1257">
        <v>1.1784989541933099E-3</v>
      </c>
      <c r="M1786" s="1280">
        <v>1.7026062548632499E-2</v>
      </c>
      <c r="N1786" s="1271">
        <v>3.0000008598028201E-3</v>
      </c>
      <c r="O1786" s="1257">
        <v>2.0000005732018801E-3</v>
      </c>
      <c r="P1786" s="1257">
        <v>3.0000008598028201E-3</v>
      </c>
      <c r="Q1786" s="1280">
        <v>3.0000008598028201E-3</v>
      </c>
      <c r="R1786" s="1271">
        <v>3.1850009128239903E-2</v>
      </c>
      <c r="S1786" s="1257">
        <v>3.1850009128239903E-2</v>
      </c>
      <c r="T1786" s="1257">
        <v>3.1850009128239903E-2</v>
      </c>
      <c r="U1786" s="1280">
        <v>1.5925004564119952E-2</v>
      </c>
      <c r="V1786" s="1293">
        <v>2.3972102347467099E-2</v>
      </c>
    </row>
    <row r="1787" spans="1:22" s="212" customFormat="1" ht="15.5" x14ac:dyDescent="0.35">
      <c r="A1787" s="198">
        <v>2044</v>
      </c>
      <c r="B1787" s="197" t="s">
        <v>5833</v>
      </c>
      <c r="C1787" s="197">
        <v>1988</v>
      </c>
      <c r="D1787" s="225" t="str">
        <f t="shared" si="10"/>
        <v>2044_1988</v>
      </c>
      <c r="E1787" s="1226">
        <v>0.108154475030486</v>
      </c>
      <c r="F1787" s="1257">
        <v>2.8390009549499801E-3</v>
      </c>
      <c r="G1787" s="1280">
        <v>7.2459618018426097E-2</v>
      </c>
      <c r="H1787" s="1271">
        <v>0.248740058855004</v>
      </c>
      <c r="I1787" s="1257">
        <v>1.5713505683368802E-2</v>
      </c>
      <c r="J1787" s="1280">
        <v>0.19776338398171101</v>
      </c>
      <c r="K1787" s="1271">
        <v>2.2935079811309E-2</v>
      </c>
      <c r="L1787" s="1257">
        <v>1.1784989541933099E-3</v>
      </c>
      <c r="M1787" s="1280">
        <v>1.7026062548632499E-2</v>
      </c>
      <c r="N1787" s="1271">
        <v>3.0000008598028201E-3</v>
      </c>
      <c r="O1787" s="1257">
        <v>2.0000005732018801E-3</v>
      </c>
      <c r="P1787" s="1257">
        <v>3.0000008598028201E-3</v>
      </c>
      <c r="Q1787" s="1280">
        <v>3.0000008598028201E-3</v>
      </c>
      <c r="R1787" s="1271">
        <v>3.1850009128239903E-2</v>
      </c>
      <c r="S1787" s="1257">
        <v>3.1850009128239903E-2</v>
      </c>
      <c r="T1787" s="1257">
        <v>3.1850009128239903E-2</v>
      </c>
      <c r="U1787" s="1280">
        <v>1.5925004564119952E-2</v>
      </c>
      <c r="V1787" s="1293">
        <v>2.3972102347467099E-2</v>
      </c>
    </row>
    <row r="1788" spans="1:22" s="212" customFormat="1" ht="15.5" x14ac:dyDescent="0.35">
      <c r="A1788" s="198">
        <v>2044</v>
      </c>
      <c r="B1788" s="197" t="s">
        <v>5833</v>
      </c>
      <c r="C1788" s="197">
        <v>1989</v>
      </c>
      <c r="D1788" s="225" t="str">
        <f t="shared" si="10"/>
        <v>2044_1989</v>
      </c>
      <c r="E1788" s="1226">
        <v>0.108154475030486</v>
      </c>
      <c r="F1788" s="1257">
        <v>2.8390009549499801E-3</v>
      </c>
      <c r="G1788" s="1280">
        <v>7.2459618018426097E-2</v>
      </c>
      <c r="H1788" s="1271">
        <v>0.248740058855004</v>
      </c>
      <c r="I1788" s="1257">
        <v>1.5713505683368802E-2</v>
      </c>
      <c r="J1788" s="1280">
        <v>0.19776338398171101</v>
      </c>
      <c r="K1788" s="1271">
        <v>2.2935079811309E-2</v>
      </c>
      <c r="L1788" s="1257">
        <v>1.1784989541933099E-3</v>
      </c>
      <c r="M1788" s="1280">
        <v>1.7026062548632499E-2</v>
      </c>
      <c r="N1788" s="1271">
        <v>3.0000008598028201E-3</v>
      </c>
      <c r="O1788" s="1257">
        <v>2.0000005732018801E-3</v>
      </c>
      <c r="P1788" s="1257">
        <v>3.0000008598028201E-3</v>
      </c>
      <c r="Q1788" s="1280">
        <v>3.0000008598028201E-3</v>
      </c>
      <c r="R1788" s="1271">
        <v>3.1850009128239903E-2</v>
      </c>
      <c r="S1788" s="1257">
        <v>3.1850009128239903E-2</v>
      </c>
      <c r="T1788" s="1257">
        <v>3.1850009128239903E-2</v>
      </c>
      <c r="U1788" s="1280">
        <v>1.5925004564119952E-2</v>
      </c>
      <c r="V1788" s="1293">
        <v>2.3972102347467099E-2</v>
      </c>
    </row>
    <row r="1789" spans="1:22" s="212" customFormat="1" ht="15.5" x14ac:dyDescent="0.35">
      <c r="A1789" s="198">
        <v>2044</v>
      </c>
      <c r="B1789" s="197" t="s">
        <v>5833</v>
      </c>
      <c r="C1789" s="197">
        <v>1990</v>
      </c>
      <c r="D1789" s="225" t="str">
        <f t="shared" si="10"/>
        <v>2044_1990</v>
      </c>
      <c r="E1789" s="1226">
        <v>0.108154475030486</v>
      </c>
      <c r="F1789" s="1257">
        <v>2.8390009549499801E-3</v>
      </c>
      <c r="G1789" s="1280">
        <v>7.2459618018426097E-2</v>
      </c>
      <c r="H1789" s="1271">
        <v>0.248740058855004</v>
      </c>
      <c r="I1789" s="1257">
        <v>1.5713505683368802E-2</v>
      </c>
      <c r="J1789" s="1280">
        <v>0.19776338398171101</v>
      </c>
      <c r="K1789" s="1271">
        <v>2.2935079811309E-2</v>
      </c>
      <c r="L1789" s="1257">
        <v>1.1784989541933099E-3</v>
      </c>
      <c r="M1789" s="1280">
        <v>1.7026062548632499E-2</v>
      </c>
      <c r="N1789" s="1271">
        <v>3.0000008598028201E-3</v>
      </c>
      <c r="O1789" s="1257">
        <v>2.0000005732018801E-3</v>
      </c>
      <c r="P1789" s="1257">
        <v>3.0000008598028201E-3</v>
      </c>
      <c r="Q1789" s="1280">
        <v>3.0000008598028201E-3</v>
      </c>
      <c r="R1789" s="1271">
        <v>3.1850009128239903E-2</v>
      </c>
      <c r="S1789" s="1257">
        <v>3.1850009128239903E-2</v>
      </c>
      <c r="T1789" s="1257">
        <v>3.1850009128239903E-2</v>
      </c>
      <c r="U1789" s="1280">
        <v>1.5925004564119952E-2</v>
      </c>
      <c r="V1789" s="1293">
        <v>2.3972102347467099E-2</v>
      </c>
    </row>
    <row r="1790" spans="1:22" s="212" customFormat="1" ht="15.5" x14ac:dyDescent="0.35">
      <c r="A1790" s="198">
        <v>2044</v>
      </c>
      <c r="B1790" s="197" t="s">
        <v>5833</v>
      </c>
      <c r="C1790" s="197">
        <v>1991</v>
      </c>
      <c r="D1790" s="225" t="str">
        <f t="shared" si="10"/>
        <v>2044_1991</v>
      </c>
      <c r="E1790" s="1226">
        <v>0.108154475030486</v>
      </c>
      <c r="F1790" s="1257">
        <v>2.8390009549499801E-3</v>
      </c>
      <c r="G1790" s="1280">
        <v>7.2459618018426097E-2</v>
      </c>
      <c r="H1790" s="1271">
        <v>0.248740058855004</v>
      </c>
      <c r="I1790" s="1257">
        <v>1.5713505683368802E-2</v>
      </c>
      <c r="J1790" s="1280">
        <v>0.19776338398171101</v>
      </c>
      <c r="K1790" s="1271">
        <v>2.2935079811309E-2</v>
      </c>
      <c r="L1790" s="1257">
        <v>1.1784989541933099E-3</v>
      </c>
      <c r="M1790" s="1280">
        <v>1.7026062548632499E-2</v>
      </c>
      <c r="N1790" s="1271">
        <v>3.0000008598028201E-3</v>
      </c>
      <c r="O1790" s="1257">
        <v>2.0000005732018801E-3</v>
      </c>
      <c r="P1790" s="1257">
        <v>3.0000008598028201E-3</v>
      </c>
      <c r="Q1790" s="1280">
        <v>3.0000008598028201E-3</v>
      </c>
      <c r="R1790" s="1271">
        <v>3.1850009128239903E-2</v>
      </c>
      <c r="S1790" s="1257">
        <v>3.1850009128239903E-2</v>
      </c>
      <c r="T1790" s="1257">
        <v>3.1850009128239903E-2</v>
      </c>
      <c r="U1790" s="1280">
        <v>1.5925004564119952E-2</v>
      </c>
      <c r="V1790" s="1293">
        <v>2.3972102347467099E-2</v>
      </c>
    </row>
    <row r="1791" spans="1:22" s="212" customFormat="1" ht="15.5" x14ac:dyDescent="0.35">
      <c r="A1791" s="198">
        <v>2044</v>
      </c>
      <c r="B1791" s="197" t="s">
        <v>5833</v>
      </c>
      <c r="C1791" s="197">
        <v>1992</v>
      </c>
      <c r="D1791" s="225" t="str">
        <f t="shared" si="10"/>
        <v>2044_1992</v>
      </c>
      <c r="E1791" s="1226">
        <v>0.108154475030486</v>
      </c>
      <c r="F1791" s="1257">
        <v>2.8390009549499801E-3</v>
      </c>
      <c r="G1791" s="1280">
        <v>7.2459618018426097E-2</v>
      </c>
      <c r="H1791" s="1271">
        <v>0.248740058855004</v>
      </c>
      <c r="I1791" s="1257">
        <v>1.5713505683368802E-2</v>
      </c>
      <c r="J1791" s="1280">
        <v>0.19776338398171101</v>
      </c>
      <c r="K1791" s="1271">
        <v>2.2935079811309E-2</v>
      </c>
      <c r="L1791" s="1257">
        <v>1.1784989541933099E-3</v>
      </c>
      <c r="M1791" s="1280">
        <v>1.7026062548632499E-2</v>
      </c>
      <c r="N1791" s="1271">
        <v>3.0000008598028201E-3</v>
      </c>
      <c r="O1791" s="1257">
        <v>2.0000005732018801E-3</v>
      </c>
      <c r="P1791" s="1257">
        <v>3.0000008598028201E-3</v>
      </c>
      <c r="Q1791" s="1280">
        <v>3.0000008598028201E-3</v>
      </c>
      <c r="R1791" s="1271">
        <v>3.1850009128239903E-2</v>
      </c>
      <c r="S1791" s="1257">
        <v>3.1850009128239903E-2</v>
      </c>
      <c r="T1791" s="1257">
        <v>3.1850009128239903E-2</v>
      </c>
      <c r="U1791" s="1280">
        <v>1.5925004564119952E-2</v>
      </c>
      <c r="V1791" s="1293">
        <v>2.3972102347467099E-2</v>
      </c>
    </row>
    <row r="1792" spans="1:22" s="212" customFormat="1" ht="15.5" x14ac:dyDescent="0.35">
      <c r="A1792" s="198">
        <v>2044</v>
      </c>
      <c r="B1792" s="197" t="s">
        <v>5833</v>
      </c>
      <c r="C1792" s="197">
        <v>1993</v>
      </c>
      <c r="D1792" s="225" t="str">
        <f t="shared" si="10"/>
        <v>2044_1993</v>
      </c>
      <c r="E1792" s="1226">
        <v>0.108154475030486</v>
      </c>
      <c r="F1792" s="1257">
        <v>2.8390009549499801E-3</v>
      </c>
      <c r="G1792" s="1280">
        <v>7.2459618018426097E-2</v>
      </c>
      <c r="H1792" s="1271">
        <v>0.248740058855004</v>
      </c>
      <c r="I1792" s="1257">
        <v>1.5713505683368802E-2</v>
      </c>
      <c r="J1792" s="1280">
        <v>0.19776338398171101</v>
      </c>
      <c r="K1792" s="1271">
        <v>2.2935079811309E-2</v>
      </c>
      <c r="L1792" s="1257">
        <v>1.1784989541933099E-3</v>
      </c>
      <c r="M1792" s="1280">
        <v>1.7026062548632499E-2</v>
      </c>
      <c r="N1792" s="1271">
        <v>3.0000008598028201E-3</v>
      </c>
      <c r="O1792" s="1257">
        <v>2.0000005732018801E-3</v>
      </c>
      <c r="P1792" s="1257">
        <v>3.0000008598028201E-3</v>
      </c>
      <c r="Q1792" s="1280">
        <v>3.0000008598028201E-3</v>
      </c>
      <c r="R1792" s="1271">
        <v>3.1850009128239903E-2</v>
      </c>
      <c r="S1792" s="1257">
        <v>3.1850009128239903E-2</v>
      </c>
      <c r="T1792" s="1257">
        <v>3.1850009128239903E-2</v>
      </c>
      <c r="U1792" s="1280">
        <v>1.5925004564119952E-2</v>
      </c>
      <c r="V1792" s="1293">
        <v>2.3972102347467099E-2</v>
      </c>
    </row>
    <row r="1793" spans="1:22" s="212" customFormat="1" ht="15.5" x14ac:dyDescent="0.35">
      <c r="A1793" s="198">
        <v>2044</v>
      </c>
      <c r="B1793" s="197" t="s">
        <v>5833</v>
      </c>
      <c r="C1793" s="197">
        <v>1994</v>
      </c>
      <c r="D1793" s="225" t="str">
        <f t="shared" si="10"/>
        <v>2044_1994</v>
      </c>
      <c r="E1793" s="1226">
        <v>0.108154475030486</v>
      </c>
      <c r="F1793" s="1257">
        <v>2.8390009549499801E-3</v>
      </c>
      <c r="G1793" s="1280">
        <v>7.2459618018426097E-2</v>
      </c>
      <c r="H1793" s="1271">
        <v>0.248740058855004</v>
      </c>
      <c r="I1793" s="1257">
        <v>1.5713505683368802E-2</v>
      </c>
      <c r="J1793" s="1280">
        <v>0.19776338398171101</v>
      </c>
      <c r="K1793" s="1271">
        <v>2.2935079811309E-2</v>
      </c>
      <c r="L1793" s="1257">
        <v>1.1784989541933099E-3</v>
      </c>
      <c r="M1793" s="1280">
        <v>1.7026062548632499E-2</v>
      </c>
      <c r="N1793" s="1271">
        <v>3.0000008598028201E-3</v>
      </c>
      <c r="O1793" s="1257">
        <v>2.0000005732018801E-3</v>
      </c>
      <c r="P1793" s="1257">
        <v>3.0000008598028201E-3</v>
      </c>
      <c r="Q1793" s="1280">
        <v>3.0000008598028201E-3</v>
      </c>
      <c r="R1793" s="1271">
        <v>3.1850009128239903E-2</v>
      </c>
      <c r="S1793" s="1257">
        <v>3.1850009128239903E-2</v>
      </c>
      <c r="T1793" s="1257">
        <v>3.1850009128239903E-2</v>
      </c>
      <c r="U1793" s="1280">
        <v>1.5925004564119952E-2</v>
      </c>
      <c r="V1793" s="1293">
        <v>2.3972102347467099E-2</v>
      </c>
    </row>
    <row r="1794" spans="1:22" s="212" customFormat="1" ht="15.5" x14ac:dyDescent="0.35">
      <c r="A1794" s="198">
        <v>2044</v>
      </c>
      <c r="B1794" s="197" t="s">
        <v>5833</v>
      </c>
      <c r="C1794" s="197">
        <v>1995</v>
      </c>
      <c r="D1794" s="225" t="str">
        <f t="shared" si="10"/>
        <v>2044_1995</v>
      </c>
      <c r="E1794" s="1226">
        <v>0.108154475030486</v>
      </c>
      <c r="F1794" s="1257">
        <v>2.8390009549499801E-3</v>
      </c>
      <c r="G1794" s="1280">
        <v>7.2459618018426097E-2</v>
      </c>
      <c r="H1794" s="1271">
        <v>0.248740058855004</v>
      </c>
      <c r="I1794" s="1257">
        <v>1.5713505683368802E-2</v>
      </c>
      <c r="J1794" s="1280">
        <v>0.19776338398171101</v>
      </c>
      <c r="K1794" s="1271">
        <v>2.2935079811309E-2</v>
      </c>
      <c r="L1794" s="1257">
        <v>1.1784989541933099E-3</v>
      </c>
      <c r="M1794" s="1280">
        <v>1.7026062548632499E-2</v>
      </c>
      <c r="N1794" s="1271">
        <v>3.0000008598028201E-3</v>
      </c>
      <c r="O1794" s="1257">
        <v>2.0000005732018801E-3</v>
      </c>
      <c r="P1794" s="1257">
        <v>3.0000008598028201E-3</v>
      </c>
      <c r="Q1794" s="1280">
        <v>3.0000008598028201E-3</v>
      </c>
      <c r="R1794" s="1271">
        <v>3.1850009128239903E-2</v>
      </c>
      <c r="S1794" s="1257">
        <v>3.1850009128239903E-2</v>
      </c>
      <c r="T1794" s="1257">
        <v>3.1850009128239903E-2</v>
      </c>
      <c r="U1794" s="1280">
        <v>1.5925004564119952E-2</v>
      </c>
      <c r="V1794" s="1293">
        <v>2.3972102347467099E-2</v>
      </c>
    </row>
    <row r="1795" spans="1:22" s="212" customFormat="1" ht="15.5" x14ac:dyDescent="0.35">
      <c r="A1795" s="198">
        <v>2044</v>
      </c>
      <c r="B1795" s="197" t="s">
        <v>5833</v>
      </c>
      <c r="C1795" s="197">
        <v>1996</v>
      </c>
      <c r="D1795" s="225" t="str">
        <f t="shared" si="10"/>
        <v>2044_1996</v>
      </c>
      <c r="E1795" s="1226">
        <v>0.108154475030486</v>
      </c>
      <c r="F1795" s="1257">
        <v>2.8390009549499801E-3</v>
      </c>
      <c r="G1795" s="1280">
        <v>7.2459618018426097E-2</v>
      </c>
      <c r="H1795" s="1271">
        <v>0.248740058855004</v>
      </c>
      <c r="I1795" s="1257">
        <v>1.5713505683368802E-2</v>
      </c>
      <c r="J1795" s="1280">
        <v>0.19776338398171101</v>
      </c>
      <c r="K1795" s="1271">
        <v>2.2935079811309E-2</v>
      </c>
      <c r="L1795" s="1257">
        <v>1.1784989541933099E-3</v>
      </c>
      <c r="M1795" s="1280">
        <v>1.7026062548632499E-2</v>
      </c>
      <c r="N1795" s="1271">
        <v>3.0000008598028201E-3</v>
      </c>
      <c r="O1795" s="1257">
        <v>2.0000005732018801E-3</v>
      </c>
      <c r="P1795" s="1257">
        <v>3.0000008598028201E-3</v>
      </c>
      <c r="Q1795" s="1280">
        <v>3.0000008598028201E-3</v>
      </c>
      <c r="R1795" s="1271">
        <v>3.1850009128239903E-2</v>
      </c>
      <c r="S1795" s="1257">
        <v>3.1850009128239903E-2</v>
      </c>
      <c r="T1795" s="1257">
        <v>3.1850009128239903E-2</v>
      </c>
      <c r="U1795" s="1280">
        <v>1.5925004564119952E-2</v>
      </c>
      <c r="V1795" s="1293">
        <v>2.3972102347467099E-2</v>
      </c>
    </row>
    <row r="1796" spans="1:22" s="212" customFormat="1" ht="15.5" x14ac:dyDescent="0.35">
      <c r="A1796" s="198">
        <v>2044</v>
      </c>
      <c r="B1796" s="197" t="s">
        <v>5833</v>
      </c>
      <c r="C1796" s="197">
        <v>1997</v>
      </c>
      <c r="D1796" s="225" t="str">
        <f t="shared" si="10"/>
        <v>2044_1997</v>
      </c>
      <c r="E1796" s="1226">
        <v>0.108154475030486</v>
      </c>
      <c r="F1796" s="1257">
        <v>2.8390009549499801E-3</v>
      </c>
      <c r="G1796" s="1280">
        <v>7.2459618018426097E-2</v>
      </c>
      <c r="H1796" s="1271">
        <v>0.248740058855004</v>
      </c>
      <c r="I1796" s="1257">
        <v>1.5713505683368802E-2</v>
      </c>
      <c r="J1796" s="1280">
        <v>0.19776338398171101</v>
      </c>
      <c r="K1796" s="1271">
        <v>2.2935079811309E-2</v>
      </c>
      <c r="L1796" s="1257">
        <v>1.1784989541933099E-3</v>
      </c>
      <c r="M1796" s="1280">
        <v>1.7026062548632499E-2</v>
      </c>
      <c r="N1796" s="1271">
        <v>3.0000008598028201E-3</v>
      </c>
      <c r="O1796" s="1257">
        <v>2.0000005732018801E-3</v>
      </c>
      <c r="P1796" s="1257">
        <v>3.0000008598028201E-3</v>
      </c>
      <c r="Q1796" s="1280">
        <v>3.0000008598028201E-3</v>
      </c>
      <c r="R1796" s="1271">
        <v>3.1850009128239903E-2</v>
      </c>
      <c r="S1796" s="1257">
        <v>3.1850009128239903E-2</v>
      </c>
      <c r="T1796" s="1257">
        <v>3.1850009128239903E-2</v>
      </c>
      <c r="U1796" s="1280">
        <v>1.5925004564119952E-2</v>
      </c>
      <c r="V1796" s="1293">
        <v>2.3972102347467099E-2</v>
      </c>
    </row>
    <row r="1797" spans="1:22" s="212" customFormat="1" ht="15.5" x14ac:dyDescent="0.35">
      <c r="A1797" s="198">
        <v>2044</v>
      </c>
      <c r="B1797" s="197" t="s">
        <v>5833</v>
      </c>
      <c r="C1797" s="197">
        <v>1998</v>
      </c>
      <c r="D1797" s="225" t="str">
        <f t="shared" ref="D1797:D1835" si="11">CONCATENATE(A1797,"_",C1797)</f>
        <v>2044_1998</v>
      </c>
      <c r="E1797" s="1226">
        <v>0.108154475030486</v>
      </c>
      <c r="F1797" s="1257">
        <v>2.8390009549499801E-3</v>
      </c>
      <c r="G1797" s="1280">
        <v>7.2459618018426097E-2</v>
      </c>
      <c r="H1797" s="1271">
        <v>0.248740058855004</v>
      </c>
      <c r="I1797" s="1257">
        <v>1.5713505683368802E-2</v>
      </c>
      <c r="J1797" s="1280">
        <v>0.19776338398171101</v>
      </c>
      <c r="K1797" s="1271">
        <v>2.2935079811309E-2</v>
      </c>
      <c r="L1797" s="1257">
        <v>1.1784989541933099E-3</v>
      </c>
      <c r="M1797" s="1280">
        <v>1.7026062548632499E-2</v>
      </c>
      <c r="N1797" s="1271">
        <v>3.0000008598028201E-3</v>
      </c>
      <c r="O1797" s="1257">
        <v>2.0000005732018801E-3</v>
      </c>
      <c r="P1797" s="1257">
        <v>3.0000008598028201E-3</v>
      </c>
      <c r="Q1797" s="1280">
        <v>3.0000008598028201E-3</v>
      </c>
      <c r="R1797" s="1271">
        <v>3.1850009128239903E-2</v>
      </c>
      <c r="S1797" s="1257">
        <v>3.1850009128239903E-2</v>
      </c>
      <c r="T1797" s="1257">
        <v>3.1850009128239903E-2</v>
      </c>
      <c r="U1797" s="1280">
        <v>1.5925004564119952E-2</v>
      </c>
      <c r="V1797" s="1293">
        <v>2.3972102347467099E-2</v>
      </c>
    </row>
    <row r="1798" spans="1:22" s="212" customFormat="1" ht="15.5" x14ac:dyDescent="0.35">
      <c r="A1798" s="198">
        <v>2044</v>
      </c>
      <c r="B1798" s="197" t="s">
        <v>5833</v>
      </c>
      <c r="C1798" s="197">
        <v>1999</v>
      </c>
      <c r="D1798" s="225" t="str">
        <f t="shared" si="11"/>
        <v>2044_1999</v>
      </c>
      <c r="E1798" s="1226">
        <v>0.108154475030486</v>
      </c>
      <c r="F1798" s="1257">
        <v>2.8390009549499801E-3</v>
      </c>
      <c r="G1798" s="1280">
        <v>7.2459618018426097E-2</v>
      </c>
      <c r="H1798" s="1271">
        <v>0.248740058855004</v>
      </c>
      <c r="I1798" s="1257">
        <v>1.5713505683368802E-2</v>
      </c>
      <c r="J1798" s="1280">
        <v>0.19776338398171101</v>
      </c>
      <c r="K1798" s="1271">
        <v>2.2935079811309E-2</v>
      </c>
      <c r="L1798" s="1257">
        <v>1.1784989541933099E-3</v>
      </c>
      <c r="M1798" s="1280">
        <v>1.7026062548632499E-2</v>
      </c>
      <c r="N1798" s="1271">
        <v>3.0000008598028201E-3</v>
      </c>
      <c r="O1798" s="1257">
        <v>2.0000005732018801E-3</v>
      </c>
      <c r="P1798" s="1257">
        <v>3.0000008598028201E-3</v>
      </c>
      <c r="Q1798" s="1280">
        <v>3.0000008598028201E-3</v>
      </c>
      <c r="R1798" s="1271">
        <v>3.1850009128239903E-2</v>
      </c>
      <c r="S1798" s="1257">
        <v>3.1850009128239903E-2</v>
      </c>
      <c r="T1798" s="1257">
        <v>3.1850009128239903E-2</v>
      </c>
      <c r="U1798" s="1280">
        <v>1.5925004564119952E-2</v>
      </c>
      <c r="V1798" s="1293">
        <v>2.3972102347467099E-2</v>
      </c>
    </row>
    <row r="1799" spans="1:22" s="212" customFormat="1" ht="15.5" x14ac:dyDescent="0.35">
      <c r="A1799" s="198">
        <v>2044</v>
      </c>
      <c r="B1799" s="197" t="s">
        <v>5833</v>
      </c>
      <c r="C1799" s="197">
        <v>2000</v>
      </c>
      <c r="D1799" s="225" t="str">
        <f t="shared" si="11"/>
        <v>2044_2000</v>
      </c>
      <c r="E1799" s="1226">
        <v>0.108154475030486</v>
      </c>
      <c r="F1799" s="1257">
        <v>2.8390009549499801E-3</v>
      </c>
      <c r="G1799" s="1280">
        <v>7.2459618018426097E-2</v>
      </c>
      <c r="H1799" s="1271">
        <v>0.248740058855004</v>
      </c>
      <c r="I1799" s="1257">
        <v>1.5713505683368802E-2</v>
      </c>
      <c r="J1799" s="1280">
        <v>0.19776338398171101</v>
      </c>
      <c r="K1799" s="1271">
        <v>2.2935079811309E-2</v>
      </c>
      <c r="L1799" s="1257">
        <v>1.1784989541933099E-3</v>
      </c>
      <c r="M1799" s="1280">
        <v>1.7026062548632499E-2</v>
      </c>
      <c r="N1799" s="1271">
        <v>3.0000008598028201E-3</v>
      </c>
      <c r="O1799" s="1257">
        <v>2.0000005732018801E-3</v>
      </c>
      <c r="P1799" s="1257">
        <v>3.0000008598028201E-3</v>
      </c>
      <c r="Q1799" s="1280">
        <v>3.0000008598028201E-3</v>
      </c>
      <c r="R1799" s="1271">
        <v>3.1850009128239903E-2</v>
      </c>
      <c r="S1799" s="1257">
        <v>3.1850009128239903E-2</v>
      </c>
      <c r="T1799" s="1257">
        <v>3.1850009128239903E-2</v>
      </c>
      <c r="U1799" s="1280">
        <v>1.5925004564119952E-2</v>
      </c>
      <c r="V1799" s="1293">
        <v>2.3972102347467099E-2</v>
      </c>
    </row>
    <row r="1800" spans="1:22" s="212" customFormat="1" ht="15.5" x14ac:dyDescent="0.35">
      <c r="A1800" s="198">
        <v>2044</v>
      </c>
      <c r="B1800" s="197" t="s">
        <v>5833</v>
      </c>
      <c r="C1800" s="197">
        <v>2001</v>
      </c>
      <c r="D1800" s="225" t="str">
        <f t="shared" si="11"/>
        <v>2044_2001</v>
      </c>
      <c r="E1800" s="1226">
        <v>0.108154475030486</v>
      </c>
      <c r="F1800" s="1257">
        <v>2.8390009549499801E-3</v>
      </c>
      <c r="G1800" s="1280">
        <v>7.2459618018426097E-2</v>
      </c>
      <c r="H1800" s="1271">
        <v>0.248740058855004</v>
      </c>
      <c r="I1800" s="1257">
        <v>1.5713505683368802E-2</v>
      </c>
      <c r="J1800" s="1280">
        <v>0.19776338398171101</v>
      </c>
      <c r="K1800" s="1271">
        <v>2.2935079811309E-2</v>
      </c>
      <c r="L1800" s="1257">
        <v>1.1784989541933099E-3</v>
      </c>
      <c r="M1800" s="1280">
        <v>1.7026062548632499E-2</v>
      </c>
      <c r="N1800" s="1271">
        <v>3.0000008598028201E-3</v>
      </c>
      <c r="O1800" s="1257">
        <v>2.0000005732018801E-3</v>
      </c>
      <c r="P1800" s="1257">
        <v>3.0000008598028201E-3</v>
      </c>
      <c r="Q1800" s="1280">
        <v>3.0000008598028201E-3</v>
      </c>
      <c r="R1800" s="1271">
        <v>3.1850009128239903E-2</v>
      </c>
      <c r="S1800" s="1257">
        <v>3.1850009128239903E-2</v>
      </c>
      <c r="T1800" s="1257">
        <v>3.1850009128239903E-2</v>
      </c>
      <c r="U1800" s="1280">
        <v>1.5925004564119952E-2</v>
      </c>
      <c r="V1800" s="1293">
        <v>2.3972102347467099E-2</v>
      </c>
    </row>
    <row r="1801" spans="1:22" s="212" customFormat="1" ht="15.5" x14ac:dyDescent="0.35">
      <c r="A1801" s="198">
        <v>2044</v>
      </c>
      <c r="B1801" s="197" t="s">
        <v>5833</v>
      </c>
      <c r="C1801" s="197">
        <v>2002</v>
      </c>
      <c r="D1801" s="225" t="str">
        <f t="shared" si="11"/>
        <v>2044_2002</v>
      </c>
      <c r="E1801" s="1226">
        <v>0.108154475030486</v>
      </c>
      <c r="F1801" s="1257">
        <v>2.8390009549499801E-3</v>
      </c>
      <c r="G1801" s="1280">
        <v>7.2459618018426097E-2</v>
      </c>
      <c r="H1801" s="1271">
        <v>0.248740058855004</v>
      </c>
      <c r="I1801" s="1257">
        <v>1.5713505683368802E-2</v>
      </c>
      <c r="J1801" s="1280">
        <v>0.19776338398171101</v>
      </c>
      <c r="K1801" s="1271">
        <v>2.2935079811309E-2</v>
      </c>
      <c r="L1801" s="1257">
        <v>1.1784989541933099E-3</v>
      </c>
      <c r="M1801" s="1280">
        <v>1.7026062548632499E-2</v>
      </c>
      <c r="N1801" s="1271">
        <v>3.0000008598028201E-3</v>
      </c>
      <c r="O1801" s="1257">
        <v>2.0000005732018801E-3</v>
      </c>
      <c r="P1801" s="1257">
        <v>3.0000008598028201E-3</v>
      </c>
      <c r="Q1801" s="1280">
        <v>3.0000008598028201E-3</v>
      </c>
      <c r="R1801" s="1271">
        <v>3.1850009128239903E-2</v>
      </c>
      <c r="S1801" s="1257">
        <v>3.1850009128239903E-2</v>
      </c>
      <c r="T1801" s="1257">
        <v>3.1850009128239903E-2</v>
      </c>
      <c r="U1801" s="1280">
        <v>1.5925004564119952E-2</v>
      </c>
      <c r="V1801" s="1293">
        <v>2.3972102347467099E-2</v>
      </c>
    </row>
    <row r="1802" spans="1:22" s="212" customFormat="1" ht="15.5" x14ac:dyDescent="0.35">
      <c r="A1802" s="198">
        <v>2044</v>
      </c>
      <c r="B1802" s="197" t="s">
        <v>5833</v>
      </c>
      <c r="C1802" s="197">
        <v>2003</v>
      </c>
      <c r="D1802" s="225" t="str">
        <f t="shared" si="11"/>
        <v>2044_2003</v>
      </c>
      <c r="E1802" s="1226">
        <v>0.108154475030486</v>
      </c>
      <c r="F1802" s="1257">
        <v>2.8390009549499801E-3</v>
      </c>
      <c r="G1802" s="1280">
        <v>7.2459618018426097E-2</v>
      </c>
      <c r="H1802" s="1271">
        <v>0.248740058855004</v>
      </c>
      <c r="I1802" s="1257">
        <v>1.5713505683368802E-2</v>
      </c>
      <c r="J1802" s="1280">
        <v>0.19776338398171101</v>
      </c>
      <c r="K1802" s="1271">
        <v>2.2935079811309E-2</v>
      </c>
      <c r="L1802" s="1257">
        <v>1.1784989541933099E-3</v>
      </c>
      <c r="M1802" s="1280">
        <v>1.7026062548632499E-2</v>
      </c>
      <c r="N1802" s="1271">
        <v>3.0000008598028201E-3</v>
      </c>
      <c r="O1802" s="1257">
        <v>2.0000005732018801E-3</v>
      </c>
      <c r="P1802" s="1257">
        <v>3.0000008598028201E-3</v>
      </c>
      <c r="Q1802" s="1280">
        <v>3.0000008598028201E-3</v>
      </c>
      <c r="R1802" s="1271">
        <v>3.1850009128239903E-2</v>
      </c>
      <c r="S1802" s="1257">
        <v>3.1850009128239903E-2</v>
      </c>
      <c r="T1802" s="1257">
        <v>3.1850009128239903E-2</v>
      </c>
      <c r="U1802" s="1280">
        <v>1.5925004564119952E-2</v>
      </c>
      <c r="V1802" s="1293">
        <v>2.3972102347467099E-2</v>
      </c>
    </row>
    <row r="1803" spans="1:22" s="212" customFormat="1" ht="15.5" x14ac:dyDescent="0.35">
      <c r="A1803" s="198">
        <v>2044</v>
      </c>
      <c r="B1803" s="197" t="s">
        <v>5833</v>
      </c>
      <c r="C1803" s="197">
        <v>2004</v>
      </c>
      <c r="D1803" s="225" t="str">
        <f t="shared" si="11"/>
        <v>2044_2004</v>
      </c>
      <c r="E1803" s="1226">
        <v>0.108154475030486</v>
      </c>
      <c r="F1803" s="1257">
        <v>2.8390009549499801E-3</v>
      </c>
      <c r="G1803" s="1280">
        <v>7.2459618018426097E-2</v>
      </c>
      <c r="H1803" s="1271">
        <v>0.248740058855004</v>
      </c>
      <c r="I1803" s="1257">
        <v>1.5713505683368802E-2</v>
      </c>
      <c r="J1803" s="1280">
        <v>0.19776338398171101</v>
      </c>
      <c r="K1803" s="1271">
        <v>2.2935079811309E-2</v>
      </c>
      <c r="L1803" s="1257">
        <v>1.1784989541933099E-3</v>
      </c>
      <c r="M1803" s="1280">
        <v>1.7026062548632499E-2</v>
      </c>
      <c r="N1803" s="1271">
        <v>3.0000008598028201E-3</v>
      </c>
      <c r="O1803" s="1257">
        <v>2.0000005732018801E-3</v>
      </c>
      <c r="P1803" s="1257">
        <v>3.0000008598028201E-3</v>
      </c>
      <c r="Q1803" s="1280">
        <v>3.0000008598028201E-3</v>
      </c>
      <c r="R1803" s="1271">
        <v>3.1850009128239903E-2</v>
      </c>
      <c r="S1803" s="1257">
        <v>3.1850009128239903E-2</v>
      </c>
      <c r="T1803" s="1257">
        <v>3.1850009128239903E-2</v>
      </c>
      <c r="U1803" s="1280">
        <v>1.5925004564119952E-2</v>
      </c>
      <c r="V1803" s="1293">
        <v>2.3972102347467099E-2</v>
      </c>
    </row>
    <row r="1804" spans="1:22" s="212" customFormat="1" ht="15.5" x14ac:dyDescent="0.35">
      <c r="A1804" s="198">
        <v>2044</v>
      </c>
      <c r="B1804" s="197" t="s">
        <v>5833</v>
      </c>
      <c r="C1804" s="197">
        <v>2005</v>
      </c>
      <c r="D1804" s="225" t="str">
        <f t="shared" si="11"/>
        <v>2044_2005</v>
      </c>
      <c r="E1804" s="1226">
        <v>0.108154475030486</v>
      </c>
      <c r="F1804" s="1257">
        <v>2.8390009549499801E-3</v>
      </c>
      <c r="G1804" s="1280">
        <v>7.2459618018426097E-2</v>
      </c>
      <c r="H1804" s="1271">
        <v>0.248740058855004</v>
      </c>
      <c r="I1804" s="1257">
        <v>1.5713505683368802E-2</v>
      </c>
      <c r="J1804" s="1280">
        <v>0.19776338398171101</v>
      </c>
      <c r="K1804" s="1271">
        <v>2.2935079811309E-2</v>
      </c>
      <c r="L1804" s="1257">
        <v>1.1784989541933099E-3</v>
      </c>
      <c r="M1804" s="1280">
        <v>1.7026062548632499E-2</v>
      </c>
      <c r="N1804" s="1271">
        <v>3.0000008598028201E-3</v>
      </c>
      <c r="O1804" s="1257">
        <v>2.0000005732018801E-3</v>
      </c>
      <c r="P1804" s="1257">
        <v>3.0000008598028201E-3</v>
      </c>
      <c r="Q1804" s="1280">
        <v>3.0000008598028201E-3</v>
      </c>
      <c r="R1804" s="1271">
        <v>3.1850009128239903E-2</v>
      </c>
      <c r="S1804" s="1257">
        <v>3.1850009128239903E-2</v>
      </c>
      <c r="T1804" s="1257">
        <v>3.1850009128239903E-2</v>
      </c>
      <c r="U1804" s="1280">
        <v>1.5925004564119952E-2</v>
      </c>
      <c r="V1804" s="1293">
        <v>2.3972102347467099E-2</v>
      </c>
    </row>
    <row r="1805" spans="1:22" s="212" customFormat="1" ht="15.5" x14ac:dyDescent="0.35">
      <c r="A1805" s="198">
        <v>2044</v>
      </c>
      <c r="B1805" s="197" t="s">
        <v>5833</v>
      </c>
      <c r="C1805" s="197">
        <v>2006</v>
      </c>
      <c r="D1805" s="225" t="str">
        <f t="shared" si="11"/>
        <v>2044_2006</v>
      </c>
      <c r="E1805" s="1226">
        <v>0.108154475030486</v>
      </c>
      <c r="F1805" s="1257">
        <v>2.8390009549499801E-3</v>
      </c>
      <c r="G1805" s="1280">
        <v>7.2459618018426097E-2</v>
      </c>
      <c r="H1805" s="1271">
        <v>0.248740058855004</v>
      </c>
      <c r="I1805" s="1257">
        <v>1.5713505683368802E-2</v>
      </c>
      <c r="J1805" s="1280">
        <v>0.19776338398171101</v>
      </c>
      <c r="K1805" s="1271">
        <v>2.2935079811309E-2</v>
      </c>
      <c r="L1805" s="1257">
        <v>1.1784989541933099E-3</v>
      </c>
      <c r="M1805" s="1280">
        <v>1.7026062548632499E-2</v>
      </c>
      <c r="N1805" s="1271">
        <v>3.0000008598028201E-3</v>
      </c>
      <c r="O1805" s="1257">
        <v>2.0000005732018801E-3</v>
      </c>
      <c r="P1805" s="1257">
        <v>3.0000008598028201E-3</v>
      </c>
      <c r="Q1805" s="1280">
        <v>3.0000008598028201E-3</v>
      </c>
      <c r="R1805" s="1271">
        <v>3.1850009128239903E-2</v>
      </c>
      <c r="S1805" s="1257">
        <v>3.1850009128239903E-2</v>
      </c>
      <c r="T1805" s="1257">
        <v>3.1850009128239903E-2</v>
      </c>
      <c r="U1805" s="1280">
        <v>1.5925004564119952E-2</v>
      </c>
      <c r="V1805" s="1293">
        <v>2.3972102347467099E-2</v>
      </c>
    </row>
    <row r="1806" spans="1:22" s="212" customFormat="1" ht="15.5" x14ac:dyDescent="0.35">
      <c r="A1806" s="198">
        <v>2044</v>
      </c>
      <c r="B1806" s="197" t="s">
        <v>5833</v>
      </c>
      <c r="C1806" s="197">
        <v>2007</v>
      </c>
      <c r="D1806" s="225" t="str">
        <f t="shared" si="11"/>
        <v>2044_2007</v>
      </c>
      <c r="E1806" s="1226">
        <v>0.108154475030486</v>
      </c>
      <c r="F1806" s="1257">
        <v>2.8390009549499801E-3</v>
      </c>
      <c r="G1806" s="1280">
        <v>7.2459618018426097E-2</v>
      </c>
      <c r="H1806" s="1271">
        <v>0.248740058855004</v>
      </c>
      <c r="I1806" s="1257">
        <v>1.5713505683368802E-2</v>
      </c>
      <c r="J1806" s="1280">
        <v>0.19776338398171101</v>
      </c>
      <c r="K1806" s="1271">
        <v>2.2935079811309E-2</v>
      </c>
      <c r="L1806" s="1257">
        <v>1.1784989541933099E-3</v>
      </c>
      <c r="M1806" s="1280">
        <v>1.7026062548632499E-2</v>
      </c>
      <c r="N1806" s="1271">
        <v>3.0000008598028201E-3</v>
      </c>
      <c r="O1806" s="1257">
        <v>2.0000005732018801E-3</v>
      </c>
      <c r="P1806" s="1257">
        <v>3.0000008598028201E-3</v>
      </c>
      <c r="Q1806" s="1280">
        <v>3.0000008598028201E-3</v>
      </c>
      <c r="R1806" s="1271">
        <v>3.1850009128239903E-2</v>
      </c>
      <c r="S1806" s="1257">
        <v>3.1850009128239903E-2</v>
      </c>
      <c r="T1806" s="1257">
        <v>3.1850009128239903E-2</v>
      </c>
      <c r="U1806" s="1280">
        <v>1.5925004564119952E-2</v>
      </c>
      <c r="V1806" s="1293">
        <v>2.3972102347467099E-2</v>
      </c>
    </row>
    <row r="1807" spans="1:22" s="212" customFormat="1" ht="15.5" x14ac:dyDescent="0.35">
      <c r="A1807" s="198">
        <v>2044</v>
      </c>
      <c r="B1807" s="197" t="s">
        <v>5833</v>
      </c>
      <c r="C1807" s="197">
        <v>2008</v>
      </c>
      <c r="D1807" s="225" t="str">
        <f t="shared" si="11"/>
        <v>2044_2008</v>
      </c>
      <c r="E1807" s="1226">
        <v>0.108154475030486</v>
      </c>
      <c r="F1807" s="1257">
        <v>2.8390009549499801E-3</v>
      </c>
      <c r="G1807" s="1280">
        <v>7.2459618018426097E-2</v>
      </c>
      <c r="H1807" s="1271">
        <v>0.248740058855004</v>
      </c>
      <c r="I1807" s="1257">
        <v>1.5713505683368802E-2</v>
      </c>
      <c r="J1807" s="1280">
        <v>0.19776338398171101</v>
      </c>
      <c r="K1807" s="1271">
        <v>2.2935079811309E-2</v>
      </c>
      <c r="L1807" s="1257">
        <v>1.1784989541933099E-3</v>
      </c>
      <c r="M1807" s="1280">
        <v>1.7026062548632499E-2</v>
      </c>
      <c r="N1807" s="1271">
        <v>3.0000008598028201E-3</v>
      </c>
      <c r="O1807" s="1257">
        <v>2.0000005732018801E-3</v>
      </c>
      <c r="P1807" s="1257">
        <v>3.0000008598028201E-3</v>
      </c>
      <c r="Q1807" s="1280">
        <v>3.0000008598028201E-3</v>
      </c>
      <c r="R1807" s="1271">
        <v>3.1850009128239903E-2</v>
      </c>
      <c r="S1807" s="1257">
        <v>3.1850009128239903E-2</v>
      </c>
      <c r="T1807" s="1257">
        <v>3.1850009128239903E-2</v>
      </c>
      <c r="U1807" s="1280">
        <v>1.5925004564119952E-2</v>
      </c>
      <c r="V1807" s="1293">
        <v>2.3972102347467099E-2</v>
      </c>
    </row>
    <row r="1808" spans="1:22" s="212" customFormat="1" ht="15.5" x14ac:dyDescent="0.35">
      <c r="A1808" s="198">
        <v>2044</v>
      </c>
      <c r="B1808" s="197" t="s">
        <v>5833</v>
      </c>
      <c r="C1808" s="197">
        <v>2009</v>
      </c>
      <c r="D1808" s="225" t="str">
        <f t="shared" si="11"/>
        <v>2044_2009</v>
      </c>
      <c r="E1808" s="1226">
        <v>0.108154475030486</v>
      </c>
      <c r="F1808" s="1257">
        <v>2.8390009549499801E-3</v>
      </c>
      <c r="G1808" s="1280">
        <v>7.2459618018426097E-2</v>
      </c>
      <c r="H1808" s="1271">
        <v>0.248740058855004</v>
      </c>
      <c r="I1808" s="1257">
        <v>1.5713505683368802E-2</v>
      </c>
      <c r="J1808" s="1280">
        <v>0.19776338398171101</v>
      </c>
      <c r="K1808" s="1271">
        <v>2.2935079811309E-2</v>
      </c>
      <c r="L1808" s="1257">
        <v>1.1784989541933099E-3</v>
      </c>
      <c r="M1808" s="1280">
        <v>1.7026062548632499E-2</v>
      </c>
      <c r="N1808" s="1271">
        <v>3.0000008598028201E-3</v>
      </c>
      <c r="O1808" s="1257">
        <v>2.0000005732018801E-3</v>
      </c>
      <c r="P1808" s="1257">
        <v>3.0000008598028201E-3</v>
      </c>
      <c r="Q1808" s="1280">
        <v>3.0000008598028201E-3</v>
      </c>
      <c r="R1808" s="1271">
        <v>3.1850009128239903E-2</v>
      </c>
      <c r="S1808" s="1257">
        <v>3.1850009128239903E-2</v>
      </c>
      <c r="T1808" s="1257">
        <v>3.1850009128239903E-2</v>
      </c>
      <c r="U1808" s="1280">
        <v>1.5925004564119952E-2</v>
      </c>
      <c r="V1808" s="1293">
        <v>2.3972102347467099E-2</v>
      </c>
    </row>
    <row r="1809" spans="1:22" s="212" customFormat="1" ht="15.5" x14ac:dyDescent="0.35">
      <c r="A1809" s="198">
        <v>2044</v>
      </c>
      <c r="B1809" s="197" t="s">
        <v>5833</v>
      </c>
      <c r="C1809" s="197">
        <v>2010</v>
      </c>
      <c r="D1809" s="225" t="str">
        <f t="shared" si="11"/>
        <v>2044_2010</v>
      </c>
      <c r="E1809" s="1226">
        <v>0.108154475030486</v>
      </c>
      <c r="F1809" s="1257">
        <v>2.8390009549499801E-3</v>
      </c>
      <c r="G1809" s="1280">
        <v>7.2459618018426097E-2</v>
      </c>
      <c r="H1809" s="1271">
        <v>0.248740058855004</v>
      </c>
      <c r="I1809" s="1257">
        <v>1.5713505683368802E-2</v>
      </c>
      <c r="J1809" s="1280">
        <v>0.19776338398171101</v>
      </c>
      <c r="K1809" s="1271">
        <v>2.2935079811309E-2</v>
      </c>
      <c r="L1809" s="1257">
        <v>1.1784989541933099E-3</v>
      </c>
      <c r="M1809" s="1280">
        <v>1.7026062548632499E-2</v>
      </c>
      <c r="N1809" s="1271">
        <v>3.0000008598028201E-3</v>
      </c>
      <c r="O1809" s="1257">
        <v>2.0000005732018801E-3</v>
      </c>
      <c r="P1809" s="1257">
        <v>3.0000008598028201E-3</v>
      </c>
      <c r="Q1809" s="1280">
        <v>3.0000008598028201E-3</v>
      </c>
      <c r="R1809" s="1271">
        <v>3.1850009128239903E-2</v>
      </c>
      <c r="S1809" s="1257">
        <v>3.1850009128239903E-2</v>
      </c>
      <c r="T1809" s="1257">
        <v>3.1850009128239903E-2</v>
      </c>
      <c r="U1809" s="1280">
        <v>1.5925004564119952E-2</v>
      </c>
      <c r="V1809" s="1293">
        <v>2.3972102347467099E-2</v>
      </c>
    </row>
    <row r="1810" spans="1:22" s="212" customFormat="1" ht="15.5" x14ac:dyDescent="0.35">
      <c r="A1810" s="198">
        <v>2044</v>
      </c>
      <c r="B1810" s="197" t="s">
        <v>5833</v>
      </c>
      <c r="C1810" s="197">
        <v>2011</v>
      </c>
      <c r="D1810" s="225" t="str">
        <f t="shared" si="11"/>
        <v>2044_2011</v>
      </c>
      <c r="E1810" s="1226">
        <v>0.108154475030486</v>
      </c>
      <c r="F1810" s="1257">
        <v>2.8390009549499801E-3</v>
      </c>
      <c r="G1810" s="1280">
        <v>7.2459618018426097E-2</v>
      </c>
      <c r="H1810" s="1271">
        <v>0.248740058855004</v>
      </c>
      <c r="I1810" s="1257">
        <v>1.5713505683368802E-2</v>
      </c>
      <c r="J1810" s="1280">
        <v>0.19776338398171101</v>
      </c>
      <c r="K1810" s="1271">
        <v>2.2935079811309E-2</v>
      </c>
      <c r="L1810" s="1257">
        <v>1.1784989541933099E-3</v>
      </c>
      <c r="M1810" s="1280">
        <v>1.7026062548632499E-2</v>
      </c>
      <c r="N1810" s="1271">
        <v>3.0000008598028201E-3</v>
      </c>
      <c r="O1810" s="1257">
        <v>2.0000005732018801E-3</v>
      </c>
      <c r="P1810" s="1257">
        <v>3.0000008598028201E-3</v>
      </c>
      <c r="Q1810" s="1280">
        <v>3.0000008598028201E-3</v>
      </c>
      <c r="R1810" s="1271">
        <v>3.1850009128239903E-2</v>
      </c>
      <c r="S1810" s="1257">
        <v>3.1850009128239903E-2</v>
      </c>
      <c r="T1810" s="1257">
        <v>3.1850009128239903E-2</v>
      </c>
      <c r="U1810" s="1280">
        <v>1.5925004564119952E-2</v>
      </c>
      <c r="V1810" s="1293">
        <v>2.3972102347467099E-2</v>
      </c>
    </row>
    <row r="1811" spans="1:22" s="212" customFormat="1" ht="15.5" x14ac:dyDescent="0.35">
      <c r="A1811" s="198">
        <v>2044</v>
      </c>
      <c r="B1811" s="197" t="s">
        <v>5833</v>
      </c>
      <c r="C1811" s="197">
        <v>2012</v>
      </c>
      <c r="D1811" s="225" t="str">
        <f t="shared" si="11"/>
        <v>2044_2012</v>
      </c>
      <c r="E1811" s="1226">
        <v>0.108154475030486</v>
      </c>
      <c r="F1811" s="1257">
        <v>2.8390009549499801E-3</v>
      </c>
      <c r="G1811" s="1280">
        <v>7.2459618018426097E-2</v>
      </c>
      <c r="H1811" s="1271">
        <v>0.248740058855004</v>
      </c>
      <c r="I1811" s="1257">
        <v>1.5713505683368802E-2</v>
      </c>
      <c r="J1811" s="1280">
        <v>0.19776338398171101</v>
      </c>
      <c r="K1811" s="1271">
        <v>2.2935079811309E-2</v>
      </c>
      <c r="L1811" s="1257">
        <v>1.1784989541933099E-3</v>
      </c>
      <c r="M1811" s="1280">
        <v>1.7026062548632499E-2</v>
      </c>
      <c r="N1811" s="1271">
        <v>3.0000008598028201E-3</v>
      </c>
      <c r="O1811" s="1257">
        <v>2.0000005732018801E-3</v>
      </c>
      <c r="P1811" s="1257">
        <v>3.0000008598028201E-3</v>
      </c>
      <c r="Q1811" s="1280">
        <v>3.0000008598028201E-3</v>
      </c>
      <c r="R1811" s="1271">
        <v>3.1850009128239903E-2</v>
      </c>
      <c r="S1811" s="1257">
        <v>3.1850009128239903E-2</v>
      </c>
      <c r="T1811" s="1257">
        <v>3.1850009128239903E-2</v>
      </c>
      <c r="U1811" s="1280">
        <v>1.5925004564119952E-2</v>
      </c>
      <c r="V1811" s="1293">
        <v>2.3972102347467099E-2</v>
      </c>
    </row>
    <row r="1812" spans="1:22" s="212" customFormat="1" ht="15.5" x14ac:dyDescent="0.35">
      <c r="A1812" s="198">
        <v>2044</v>
      </c>
      <c r="B1812" s="197" t="s">
        <v>5833</v>
      </c>
      <c r="C1812" s="197">
        <v>2013</v>
      </c>
      <c r="D1812" s="225" t="str">
        <f t="shared" si="11"/>
        <v>2044_2013</v>
      </c>
      <c r="E1812" s="1226">
        <v>0.108154475030486</v>
      </c>
      <c r="F1812" s="1257">
        <v>2.8390009549499801E-3</v>
      </c>
      <c r="G1812" s="1280">
        <v>7.2459618018426097E-2</v>
      </c>
      <c r="H1812" s="1271">
        <v>0.248740058855004</v>
      </c>
      <c r="I1812" s="1257">
        <v>1.5713505683368802E-2</v>
      </c>
      <c r="J1812" s="1280">
        <v>0.19776338398171101</v>
      </c>
      <c r="K1812" s="1271">
        <v>2.2935079811309E-2</v>
      </c>
      <c r="L1812" s="1257">
        <v>1.1784989541933099E-3</v>
      </c>
      <c r="M1812" s="1280">
        <v>1.7026062548632499E-2</v>
      </c>
      <c r="N1812" s="1271">
        <v>3.0000008598028201E-3</v>
      </c>
      <c r="O1812" s="1257">
        <v>2.0000005732018801E-3</v>
      </c>
      <c r="P1812" s="1257">
        <v>3.0000008598028201E-3</v>
      </c>
      <c r="Q1812" s="1280">
        <v>3.0000008598028201E-3</v>
      </c>
      <c r="R1812" s="1271">
        <v>3.1850009128239903E-2</v>
      </c>
      <c r="S1812" s="1257">
        <v>3.1850009128239903E-2</v>
      </c>
      <c r="T1812" s="1257">
        <v>3.1850009128239903E-2</v>
      </c>
      <c r="U1812" s="1280">
        <v>1.5925004564119952E-2</v>
      </c>
      <c r="V1812" s="1293">
        <v>2.3972102347467099E-2</v>
      </c>
    </row>
    <row r="1813" spans="1:22" s="212" customFormat="1" ht="15.5" x14ac:dyDescent="0.35">
      <c r="A1813" s="198">
        <v>2044</v>
      </c>
      <c r="B1813" s="197" t="s">
        <v>5833</v>
      </c>
      <c r="C1813" s="197">
        <v>2014</v>
      </c>
      <c r="D1813" s="225" t="str">
        <f t="shared" si="11"/>
        <v>2044_2014</v>
      </c>
      <c r="E1813" s="1226">
        <v>0.108154475030486</v>
      </c>
      <c r="F1813" s="1257">
        <v>2.8390009549499801E-3</v>
      </c>
      <c r="G1813" s="1280">
        <v>7.2459618018426097E-2</v>
      </c>
      <c r="H1813" s="1271">
        <v>0.248740058855004</v>
      </c>
      <c r="I1813" s="1257">
        <v>1.5713505683368802E-2</v>
      </c>
      <c r="J1813" s="1280">
        <v>0.19776338398171101</v>
      </c>
      <c r="K1813" s="1271">
        <v>2.2935079811309E-2</v>
      </c>
      <c r="L1813" s="1257">
        <v>1.1784989541933099E-3</v>
      </c>
      <c r="M1813" s="1280">
        <v>1.7026062548632499E-2</v>
      </c>
      <c r="N1813" s="1271">
        <v>3.0000008598028201E-3</v>
      </c>
      <c r="O1813" s="1257">
        <v>2.0000005732018801E-3</v>
      </c>
      <c r="P1813" s="1257">
        <v>3.0000008598028201E-3</v>
      </c>
      <c r="Q1813" s="1280">
        <v>3.0000008598028201E-3</v>
      </c>
      <c r="R1813" s="1271">
        <v>3.1850009128239903E-2</v>
      </c>
      <c r="S1813" s="1257">
        <v>3.1850009128239903E-2</v>
      </c>
      <c r="T1813" s="1257">
        <v>3.1850009128239903E-2</v>
      </c>
      <c r="U1813" s="1280">
        <v>1.5925004564119952E-2</v>
      </c>
      <c r="V1813" s="1293">
        <v>2.3972102347467099E-2</v>
      </c>
    </row>
    <row r="1814" spans="1:22" s="212" customFormat="1" ht="15.5" x14ac:dyDescent="0.35">
      <c r="A1814" s="198">
        <v>2044</v>
      </c>
      <c r="B1814" s="197" t="s">
        <v>5833</v>
      </c>
      <c r="C1814" s="197">
        <v>2015</v>
      </c>
      <c r="D1814" s="225" t="str">
        <f t="shared" si="11"/>
        <v>2044_2015</v>
      </c>
      <c r="E1814" s="1226">
        <v>0.108154475030486</v>
      </c>
      <c r="F1814" s="1257">
        <v>2.8390009549499801E-3</v>
      </c>
      <c r="G1814" s="1280">
        <v>7.2459618018426097E-2</v>
      </c>
      <c r="H1814" s="1271">
        <v>0.248740058855004</v>
      </c>
      <c r="I1814" s="1257">
        <v>1.5713505683368802E-2</v>
      </c>
      <c r="J1814" s="1280">
        <v>0.19776338398171101</v>
      </c>
      <c r="K1814" s="1271">
        <v>2.2935079811309E-2</v>
      </c>
      <c r="L1814" s="1257">
        <v>1.1784989541933099E-3</v>
      </c>
      <c r="M1814" s="1280">
        <v>1.7026062548632499E-2</v>
      </c>
      <c r="N1814" s="1271">
        <v>3.0000008598028201E-3</v>
      </c>
      <c r="O1814" s="1257">
        <v>2.0000005732018801E-3</v>
      </c>
      <c r="P1814" s="1257">
        <v>3.0000008598028201E-3</v>
      </c>
      <c r="Q1814" s="1280">
        <v>3.0000008598028201E-3</v>
      </c>
      <c r="R1814" s="1271">
        <v>3.1850009128239903E-2</v>
      </c>
      <c r="S1814" s="1257">
        <v>3.1850009128239903E-2</v>
      </c>
      <c r="T1814" s="1257">
        <v>3.1850009128239903E-2</v>
      </c>
      <c r="U1814" s="1280">
        <v>1.5925004564119952E-2</v>
      </c>
      <c r="V1814" s="1293">
        <v>2.3972102347467099E-2</v>
      </c>
    </row>
    <row r="1815" spans="1:22" s="212" customFormat="1" ht="15.5" x14ac:dyDescent="0.35">
      <c r="A1815" s="198">
        <v>2044</v>
      </c>
      <c r="B1815" s="197" t="s">
        <v>5833</v>
      </c>
      <c r="C1815" s="197">
        <v>2016</v>
      </c>
      <c r="D1815" s="225" t="str">
        <f t="shared" si="11"/>
        <v>2044_2016</v>
      </c>
      <c r="E1815" s="1226">
        <v>0.108154475030486</v>
      </c>
      <c r="F1815" s="1257">
        <v>2.8390009549499801E-3</v>
      </c>
      <c r="G1815" s="1280">
        <v>7.2459618018426097E-2</v>
      </c>
      <c r="H1815" s="1271">
        <v>0.248740058855004</v>
      </c>
      <c r="I1815" s="1257">
        <v>1.5713505683368802E-2</v>
      </c>
      <c r="J1815" s="1280">
        <v>0.19776338398171101</v>
      </c>
      <c r="K1815" s="1271">
        <v>2.2935079811309E-2</v>
      </c>
      <c r="L1815" s="1257">
        <v>1.1784989541933099E-3</v>
      </c>
      <c r="M1815" s="1280">
        <v>1.7026062548632499E-2</v>
      </c>
      <c r="N1815" s="1271">
        <v>3.0000008598028201E-3</v>
      </c>
      <c r="O1815" s="1257">
        <v>2.0000005732018801E-3</v>
      </c>
      <c r="P1815" s="1257">
        <v>3.0000008598028201E-3</v>
      </c>
      <c r="Q1815" s="1280">
        <v>3.0000008598028201E-3</v>
      </c>
      <c r="R1815" s="1271">
        <v>3.1850009128239903E-2</v>
      </c>
      <c r="S1815" s="1257">
        <v>3.1850009128239903E-2</v>
      </c>
      <c r="T1815" s="1257">
        <v>3.1850009128239903E-2</v>
      </c>
      <c r="U1815" s="1280">
        <v>1.5925004564119952E-2</v>
      </c>
      <c r="V1815" s="1293">
        <v>2.3972102347467099E-2</v>
      </c>
    </row>
    <row r="1816" spans="1:22" s="212" customFormat="1" ht="15.5" x14ac:dyDescent="0.35">
      <c r="A1816" s="198">
        <v>2044</v>
      </c>
      <c r="B1816" s="197" t="s">
        <v>5833</v>
      </c>
      <c r="C1816" s="197">
        <v>2017</v>
      </c>
      <c r="D1816" s="225" t="str">
        <f t="shared" si="11"/>
        <v>2044_2017</v>
      </c>
      <c r="E1816" s="1226">
        <v>0.108154475030486</v>
      </c>
      <c r="F1816" s="1257">
        <v>2.8390009549499801E-3</v>
      </c>
      <c r="G1816" s="1280">
        <v>7.2459618018426097E-2</v>
      </c>
      <c r="H1816" s="1271">
        <v>0.248740058855004</v>
      </c>
      <c r="I1816" s="1257">
        <v>1.5713505683368802E-2</v>
      </c>
      <c r="J1816" s="1280">
        <v>0.19776338398171101</v>
      </c>
      <c r="K1816" s="1271">
        <v>2.2935079811309E-2</v>
      </c>
      <c r="L1816" s="1257">
        <v>1.1784989541933099E-3</v>
      </c>
      <c r="M1816" s="1280">
        <v>1.7026062548632499E-2</v>
      </c>
      <c r="N1816" s="1271">
        <v>3.0000008598028201E-3</v>
      </c>
      <c r="O1816" s="1257">
        <v>2.0000005732018801E-3</v>
      </c>
      <c r="P1816" s="1257">
        <v>3.0000008598028201E-3</v>
      </c>
      <c r="Q1816" s="1280">
        <v>3.0000008598028201E-3</v>
      </c>
      <c r="R1816" s="1271">
        <v>3.1850009128239903E-2</v>
      </c>
      <c r="S1816" s="1257">
        <v>3.1850009128239903E-2</v>
      </c>
      <c r="T1816" s="1257">
        <v>3.1850009128239903E-2</v>
      </c>
      <c r="U1816" s="1280">
        <v>1.5925004564119952E-2</v>
      </c>
      <c r="V1816" s="1293">
        <v>2.3972102347467099E-2</v>
      </c>
    </row>
    <row r="1817" spans="1:22" s="212" customFormat="1" ht="15.5" x14ac:dyDescent="0.35">
      <c r="A1817" s="198">
        <v>2044</v>
      </c>
      <c r="B1817" s="197" t="s">
        <v>5833</v>
      </c>
      <c r="C1817" s="197">
        <v>2018</v>
      </c>
      <c r="D1817" s="225" t="str">
        <f t="shared" si="11"/>
        <v>2044_2018</v>
      </c>
      <c r="E1817" s="1226">
        <v>0.108154475030486</v>
      </c>
      <c r="F1817" s="1257">
        <v>2.8390009549499801E-3</v>
      </c>
      <c r="G1817" s="1280">
        <v>7.2459618018426097E-2</v>
      </c>
      <c r="H1817" s="1271">
        <v>0.248740058855004</v>
      </c>
      <c r="I1817" s="1257">
        <v>1.5713505683368802E-2</v>
      </c>
      <c r="J1817" s="1280">
        <v>0.19776338398171101</v>
      </c>
      <c r="K1817" s="1271">
        <v>2.2935079811309E-2</v>
      </c>
      <c r="L1817" s="1257">
        <v>1.1784989541933099E-3</v>
      </c>
      <c r="M1817" s="1280">
        <v>1.7026062548632499E-2</v>
      </c>
      <c r="N1817" s="1271">
        <v>3.0000008598028201E-3</v>
      </c>
      <c r="O1817" s="1257">
        <v>2.0000005732018801E-3</v>
      </c>
      <c r="P1817" s="1257">
        <v>3.0000008598028201E-3</v>
      </c>
      <c r="Q1817" s="1280">
        <v>3.0000008598028201E-3</v>
      </c>
      <c r="R1817" s="1271">
        <v>3.1850009128239903E-2</v>
      </c>
      <c r="S1817" s="1257">
        <v>3.1850009128239903E-2</v>
      </c>
      <c r="T1817" s="1257">
        <v>3.1850009128239903E-2</v>
      </c>
      <c r="U1817" s="1280">
        <v>1.5925004564119952E-2</v>
      </c>
      <c r="V1817" s="1293">
        <v>2.3972102347467099E-2</v>
      </c>
    </row>
    <row r="1818" spans="1:22" s="212" customFormat="1" ht="15.5" x14ac:dyDescent="0.35">
      <c r="A1818" s="198">
        <v>2044</v>
      </c>
      <c r="B1818" s="197" t="s">
        <v>5833</v>
      </c>
      <c r="C1818" s="197">
        <v>2019</v>
      </c>
      <c r="D1818" s="225" t="str">
        <f t="shared" si="11"/>
        <v>2044_2019</v>
      </c>
      <c r="E1818" s="1226">
        <v>0.108154475030486</v>
      </c>
      <c r="F1818" s="1257">
        <v>2.8390009549499801E-3</v>
      </c>
      <c r="G1818" s="1280">
        <v>7.2459618018426097E-2</v>
      </c>
      <c r="H1818" s="1271">
        <v>0.248740058855004</v>
      </c>
      <c r="I1818" s="1257">
        <v>1.5713505683368802E-2</v>
      </c>
      <c r="J1818" s="1280">
        <v>0.19776338398171101</v>
      </c>
      <c r="K1818" s="1271">
        <v>2.2935079811309E-2</v>
      </c>
      <c r="L1818" s="1257">
        <v>1.1784989541933099E-3</v>
      </c>
      <c r="M1818" s="1280">
        <v>1.7026062548632499E-2</v>
      </c>
      <c r="N1818" s="1271">
        <v>3.0000008598028201E-3</v>
      </c>
      <c r="O1818" s="1257">
        <v>2.0000005732018801E-3</v>
      </c>
      <c r="P1818" s="1257">
        <v>3.0000008598028201E-3</v>
      </c>
      <c r="Q1818" s="1280">
        <v>3.0000008598028201E-3</v>
      </c>
      <c r="R1818" s="1271">
        <v>3.1850009128239903E-2</v>
      </c>
      <c r="S1818" s="1257">
        <v>3.1850009128239903E-2</v>
      </c>
      <c r="T1818" s="1257">
        <v>3.1850009128239903E-2</v>
      </c>
      <c r="U1818" s="1280">
        <v>1.5925004564119952E-2</v>
      </c>
      <c r="V1818" s="1293">
        <v>2.3972102347467099E-2</v>
      </c>
    </row>
    <row r="1819" spans="1:22" s="212" customFormat="1" ht="15.5" x14ac:dyDescent="0.35">
      <c r="A1819" s="198">
        <v>2044</v>
      </c>
      <c r="B1819" s="197" t="s">
        <v>5833</v>
      </c>
      <c r="C1819" s="197">
        <v>2020</v>
      </c>
      <c r="D1819" s="225" t="str">
        <f t="shared" si="11"/>
        <v>2044_2020</v>
      </c>
      <c r="E1819" s="1226">
        <v>0.108154475030486</v>
      </c>
      <c r="F1819" s="1257">
        <v>2.8390009549499801E-3</v>
      </c>
      <c r="G1819" s="1280">
        <v>7.2459618018426097E-2</v>
      </c>
      <c r="H1819" s="1271">
        <v>0.248740058855004</v>
      </c>
      <c r="I1819" s="1257">
        <v>1.5713505683368802E-2</v>
      </c>
      <c r="J1819" s="1280">
        <v>0.19776338398171101</v>
      </c>
      <c r="K1819" s="1271">
        <v>2.2935079811309E-2</v>
      </c>
      <c r="L1819" s="1257">
        <v>1.1784989541933099E-3</v>
      </c>
      <c r="M1819" s="1280">
        <v>1.7026062548632499E-2</v>
      </c>
      <c r="N1819" s="1271">
        <v>3.0000008598028201E-3</v>
      </c>
      <c r="O1819" s="1257">
        <v>2.0000005732018801E-3</v>
      </c>
      <c r="P1819" s="1257">
        <v>3.0000008598028201E-3</v>
      </c>
      <c r="Q1819" s="1280">
        <v>3.0000008598028201E-3</v>
      </c>
      <c r="R1819" s="1271">
        <v>3.1850009128239903E-2</v>
      </c>
      <c r="S1819" s="1257">
        <v>3.1850009128239903E-2</v>
      </c>
      <c r="T1819" s="1257">
        <v>3.1850009128239903E-2</v>
      </c>
      <c r="U1819" s="1280">
        <v>1.5925004564119952E-2</v>
      </c>
      <c r="V1819" s="1293">
        <v>2.3972102347467099E-2</v>
      </c>
    </row>
    <row r="1820" spans="1:22" s="212" customFormat="1" ht="15.5" x14ac:dyDescent="0.35">
      <c r="A1820" s="198">
        <v>2044</v>
      </c>
      <c r="B1820" s="197" t="s">
        <v>5833</v>
      </c>
      <c r="C1820" s="197">
        <v>2021</v>
      </c>
      <c r="D1820" s="225" t="str">
        <f t="shared" si="11"/>
        <v>2044_2021</v>
      </c>
      <c r="E1820" s="1226">
        <v>0.108154475030486</v>
      </c>
      <c r="F1820" s="1257">
        <v>2.8390009549499801E-3</v>
      </c>
      <c r="G1820" s="1280">
        <v>7.2459618018426097E-2</v>
      </c>
      <c r="H1820" s="1271">
        <v>0.248740058855004</v>
      </c>
      <c r="I1820" s="1257">
        <v>1.5713505683368802E-2</v>
      </c>
      <c r="J1820" s="1280">
        <v>0.19776338398171101</v>
      </c>
      <c r="K1820" s="1271">
        <v>2.2935079811309E-2</v>
      </c>
      <c r="L1820" s="1257">
        <v>1.1784989541933099E-3</v>
      </c>
      <c r="M1820" s="1280">
        <v>1.7026062548632499E-2</v>
      </c>
      <c r="N1820" s="1271">
        <v>3.0000008598028201E-3</v>
      </c>
      <c r="O1820" s="1257">
        <v>2.0000005732018801E-3</v>
      </c>
      <c r="P1820" s="1257">
        <v>3.0000008598028201E-3</v>
      </c>
      <c r="Q1820" s="1280">
        <v>3.0000008598028201E-3</v>
      </c>
      <c r="R1820" s="1271">
        <v>3.1850009128239903E-2</v>
      </c>
      <c r="S1820" s="1257">
        <v>3.1850009128239903E-2</v>
      </c>
      <c r="T1820" s="1257">
        <v>3.1850009128239903E-2</v>
      </c>
      <c r="U1820" s="1280">
        <v>1.5925004564119952E-2</v>
      </c>
      <c r="V1820" s="1293">
        <v>2.3972102347467099E-2</v>
      </c>
    </row>
    <row r="1821" spans="1:22" s="212" customFormat="1" ht="15.5" x14ac:dyDescent="0.35">
      <c r="A1821" s="198">
        <v>2044</v>
      </c>
      <c r="B1821" s="197" t="s">
        <v>5833</v>
      </c>
      <c r="C1821" s="197">
        <v>2022</v>
      </c>
      <c r="D1821" s="225" t="str">
        <f t="shared" si="11"/>
        <v>2044_2022</v>
      </c>
      <c r="E1821" s="1226">
        <v>0.108154475030486</v>
      </c>
      <c r="F1821" s="1257">
        <v>2.8390009549499801E-3</v>
      </c>
      <c r="G1821" s="1280">
        <v>7.2459618018426097E-2</v>
      </c>
      <c r="H1821" s="1271">
        <v>0.248740058855004</v>
      </c>
      <c r="I1821" s="1257">
        <v>1.5713505683368802E-2</v>
      </c>
      <c r="J1821" s="1280">
        <v>0.19776338398171101</v>
      </c>
      <c r="K1821" s="1271">
        <v>2.2935079811309E-2</v>
      </c>
      <c r="L1821" s="1257">
        <v>1.1784989541933099E-3</v>
      </c>
      <c r="M1821" s="1280">
        <v>1.7026062548632499E-2</v>
      </c>
      <c r="N1821" s="1271">
        <v>3.0000008598028201E-3</v>
      </c>
      <c r="O1821" s="1257">
        <v>2.0000005732018801E-3</v>
      </c>
      <c r="P1821" s="1257">
        <v>3.0000008598028201E-3</v>
      </c>
      <c r="Q1821" s="1280">
        <v>3.0000008598028201E-3</v>
      </c>
      <c r="R1821" s="1271">
        <v>3.1850009128239903E-2</v>
      </c>
      <c r="S1821" s="1257">
        <v>3.1850009128239903E-2</v>
      </c>
      <c r="T1821" s="1257">
        <v>3.1850009128239903E-2</v>
      </c>
      <c r="U1821" s="1280">
        <v>1.5925004564119952E-2</v>
      </c>
      <c r="V1821" s="1293">
        <v>2.3972102347467099E-2</v>
      </c>
    </row>
    <row r="1822" spans="1:22" s="212" customFormat="1" ht="15.5" x14ac:dyDescent="0.35">
      <c r="A1822" s="198">
        <v>2044</v>
      </c>
      <c r="B1822" s="197" t="s">
        <v>5833</v>
      </c>
      <c r="C1822" s="197">
        <v>2023</v>
      </c>
      <c r="D1822" s="225" t="str">
        <f t="shared" si="11"/>
        <v>2044_2023</v>
      </c>
      <c r="E1822" s="1226">
        <v>0.108154475030486</v>
      </c>
      <c r="F1822" s="1257">
        <v>2.8390009549499801E-3</v>
      </c>
      <c r="G1822" s="1280">
        <v>7.2459618018426097E-2</v>
      </c>
      <c r="H1822" s="1271">
        <v>0.248740058855004</v>
      </c>
      <c r="I1822" s="1257">
        <v>1.5713505683368802E-2</v>
      </c>
      <c r="J1822" s="1280">
        <v>0.19776338398171101</v>
      </c>
      <c r="K1822" s="1271">
        <v>2.2935079811309E-2</v>
      </c>
      <c r="L1822" s="1257">
        <v>1.1784989541933099E-3</v>
      </c>
      <c r="M1822" s="1280">
        <v>1.7026062548632499E-2</v>
      </c>
      <c r="N1822" s="1271">
        <v>3.0000008598028201E-3</v>
      </c>
      <c r="O1822" s="1257">
        <v>2.0000005732018801E-3</v>
      </c>
      <c r="P1822" s="1257">
        <v>3.0000008598028201E-3</v>
      </c>
      <c r="Q1822" s="1280">
        <v>3.0000008598028201E-3</v>
      </c>
      <c r="R1822" s="1271">
        <v>3.1850009128239903E-2</v>
      </c>
      <c r="S1822" s="1257">
        <v>3.1850009128239903E-2</v>
      </c>
      <c r="T1822" s="1257">
        <v>3.1850009128239903E-2</v>
      </c>
      <c r="U1822" s="1280">
        <v>1.5925004564119952E-2</v>
      </c>
      <c r="V1822" s="1293">
        <v>2.3972102347467099E-2</v>
      </c>
    </row>
    <row r="1823" spans="1:22" s="212" customFormat="1" ht="15.5" x14ac:dyDescent="0.35">
      <c r="A1823" s="198">
        <v>2044</v>
      </c>
      <c r="B1823" s="197" t="s">
        <v>5833</v>
      </c>
      <c r="C1823" s="197">
        <v>2024</v>
      </c>
      <c r="D1823" s="225" t="str">
        <f t="shared" si="11"/>
        <v>2044_2024</v>
      </c>
      <c r="E1823" s="1226">
        <v>0.108154475030486</v>
      </c>
      <c r="F1823" s="1257">
        <v>2.8390009549499801E-3</v>
      </c>
      <c r="G1823" s="1280">
        <v>7.2459618018426097E-2</v>
      </c>
      <c r="H1823" s="1271">
        <v>0.248740058855004</v>
      </c>
      <c r="I1823" s="1257">
        <v>1.5713505683368802E-2</v>
      </c>
      <c r="J1823" s="1280">
        <v>0.19776338398171101</v>
      </c>
      <c r="K1823" s="1271">
        <v>2.2935079811309E-2</v>
      </c>
      <c r="L1823" s="1257">
        <v>1.1784989541933099E-3</v>
      </c>
      <c r="M1823" s="1280">
        <v>1.7026062548632499E-2</v>
      </c>
      <c r="N1823" s="1271">
        <v>3.0000008598028201E-3</v>
      </c>
      <c r="O1823" s="1257">
        <v>2.0000005732018801E-3</v>
      </c>
      <c r="P1823" s="1257">
        <v>3.0000008598028201E-3</v>
      </c>
      <c r="Q1823" s="1280">
        <v>3.0000008598028201E-3</v>
      </c>
      <c r="R1823" s="1271">
        <v>3.1850009128239903E-2</v>
      </c>
      <c r="S1823" s="1257">
        <v>3.1850009128239903E-2</v>
      </c>
      <c r="T1823" s="1257">
        <v>3.1850009128239903E-2</v>
      </c>
      <c r="U1823" s="1280">
        <v>1.5925004564119952E-2</v>
      </c>
      <c r="V1823" s="1293">
        <v>2.3972102347467099E-2</v>
      </c>
    </row>
    <row r="1824" spans="1:22" s="212" customFormat="1" ht="15.5" x14ac:dyDescent="0.35">
      <c r="A1824" s="198">
        <v>2044</v>
      </c>
      <c r="B1824" s="197" t="s">
        <v>5833</v>
      </c>
      <c r="C1824" s="197">
        <v>2025</v>
      </c>
      <c r="D1824" s="225" t="str">
        <f t="shared" si="11"/>
        <v>2044_2025</v>
      </c>
      <c r="E1824" s="1226">
        <v>0.108154475030486</v>
      </c>
      <c r="F1824" s="1257">
        <v>2.8390009549499801E-3</v>
      </c>
      <c r="G1824" s="1280">
        <v>7.2459618018426097E-2</v>
      </c>
      <c r="H1824" s="1271">
        <v>0.248740058855004</v>
      </c>
      <c r="I1824" s="1257">
        <v>1.5713505683368802E-2</v>
      </c>
      <c r="J1824" s="1280">
        <v>0.19776338398171101</v>
      </c>
      <c r="K1824" s="1271">
        <v>2.2935079811309E-2</v>
      </c>
      <c r="L1824" s="1257">
        <v>1.1784989541933099E-3</v>
      </c>
      <c r="M1824" s="1280">
        <v>1.7026062548632499E-2</v>
      </c>
      <c r="N1824" s="1271">
        <v>3.0000008598028201E-3</v>
      </c>
      <c r="O1824" s="1257">
        <v>2.0000005732018801E-3</v>
      </c>
      <c r="P1824" s="1257">
        <v>3.0000008598028201E-3</v>
      </c>
      <c r="Q1824" s="1280">
        <v>3.0000008598028201E-3</v>
      </c>
      <c r="R1824" s="1271">
        <v>3.1850009128239903E-2</v>
      </c>
      <c r="S1824" s="1257">
        <v>3.1850009128239903E-2</v>
      </c>
      <c r="T1824" s="1257">
        <v>3.1850009128239903E-2</v>
      </c>
      <c r="U1824" s="1280">
        <v>1.5925004564119952E-2</v>
      </c>
      <c r="V1824" s="1293">
        <v>2.3972102347467099E-2</v>
      </c>
    </row>
    <row r="1825" spans="1:22" s="212" customFormat="1" ht="15.5" x14ac:dyDescent="0.35">
      <c r="A1825" s="198">
        <v>2044</v>
      </c>
      <c r="B1825" s="197" t="s">
        <v>5833</v>
      </c>
      <c r="C1825" s="197">
        <v>2026</v>
      </c>
      <c r="D1825" s="225" t="str">
        <f t="shared" si="11"/>
        <v>2044_2026</v>
      </c>
      <c r="E1825" s="1226">
        <v>0.108154475030486</v>
      </c>
      <c r="F1825" s="1257">
        <v>2.8390009549499801E-3</v>
      </c>
      <c r="G1825" s="1280">
        <v>7.2459618018426097E-2</v>
      </c>
      <c r="H1825" s="1271">
        <v>0.248740058855004</v>
      </c>
      <c r="I1825" s="1257">
        <v>1.5713505683368802E-2</v>
      </c>
      <c r="J1825" s="1280">
        <v>0.19776338398171101</v>
      </c>
      <c r="K1825" s="1271">
        <v>2.2935079811309E-2</v>
      </c>
      <c r="L1825" s="1257">
        <v>1.1784989541933099E-3</v>
      </c>
      <c r="M1825" s="1280">
        <v>1.7026062548632499E-2</v>
      </c>
      <c r="N1825" s="1271">
        <v>3.0000008598028201E-3</v>
      </c>
      <c r="O1825" s="1257">
        <v>2.0000005732018801E-3</v>
      </c>
      <c r="P1825" s="1257">
        <v>3.0000008598028201E-3</v>
      </c>
      <c r="Q1825" s="1280">
        <v>3.0000008598028201E-3</v>
      </c>
      <c r="R1825" s="1271">
        <v>3.1850009128239903E-2</v>
      </c>
      <c r="S1825" s="1257">
        <v>3.1850009128239903E-2</v>
      </c>
      <c r="T1825" s="1257">
        <v>3.1850009128239903E-2</v>
      </c>
      <c r="U1825" s="1280">
        <v>1.5925004564119952E-2</v>
      </c>
      <c r="V1825" s="1293">
        <v>2.3972102347467099E-2</v>
      </c>
    </row>
    <row r="1826" spans="1:22" s="212" customFormat="1" ht="15.5" x14ac:dyDescent="0.35">
      <c r="A1826" s="198">
        <v>2044</v>
      </c>
      <c r="B1826" s="197" t="s">
        <v>5833</v>
      </c>
      <c r="C1826" s="197">
        <v>2027</v>
      </c>
      <c r="D1826" s="225" t="str">
        <f t="shared" si="11"/>
        <v>2044_2027</v>
      </c>
      <c r="E1826" s="1226">
        <v>0.108154475030486</v>
      </c>
      <c r="F1826" s="1257">
        <v>2.8390009549499801E-3</v>
      </c>
      <c r="G1826" s="1280">
        <v>7.2459618018426097E-2</v>
      </c>
      <c r="H1826" s="1271">
        <v>0.248740058855004</v>
      </c>
      <c r="I1826" s="1257">
        <v>1.5713505683368802E-2</v>
      </c>
      <c r="J1826" s="1280">
        <v>0.19776338398171101</v>
      </c>
      <c r="K1826" s="1271">
        <v>2.2935079811309E-2</v>
      </c>
      <c r="L1826" s="1257">
        <v>1.1784989541933099E-3</v>
      </c>
      <c r="M1826" s="1280">
        <v>1.7026062548632499E-2</v>
      </c>
      <c r="N1826" s="1271">
        <v>3.0000008598028201E-3</v>
      </c>
      <c r="O1826" s="1257">
        <v>2.0000005732018801E-3</v>
      </c>
      <c r="P1826" s="1257">
        <v>3.0000008598028201E-3</v>
      </c>
      <c r="Q1826" s="1280">
        <v>3.0000008598028201E-3</v>
      </c>
      <c r="R1826" s="1271">
        <v>3.1850009128239903E-2</v>
      </c>
      <c r="S1826" s="1257">
        <v>3.1850009128239903E-2</v>
      </c>
      <c r="T1826" s="1257">
        <v>3.1850009128239903E-2</v>
      </c>
      <c r="U1826" s="1280">
        <v>1.5925004564119952E-2</v>
      </c>
      <c r="V1826" s="1293">
        <v>2.3972102347467099E-2</v>
      </c>
    </row>
    <row r="1827" spans="1:22" s="212" customFormat="1" ht="15.5" x14ac:dyDescent="0.35">
      <c r="A1827" s="198">
        <v>2044</v>
      </c>
      <c r="B1827" s="197" t="s">
        <v>5833</v>
      </c>
      <c r="C1827" s="197">
        <v>2028</v>
      </c>
      <c r="D1827" s="225" t="str">
        <f t="shared" si="11"/>
        <v>2044_2028</v>
      </c>
      <c r="E1827" s="1226">
        <v>0.108154475030486</v>
      </c>
      <c r="F1827" s="1257">
        <v>2.8390009549499801E-3</v>
      </c>
      <c r="G1827" s="1280">
        <v>7.2459618018426097E-2</v>
      </c>
      <c r="H1827" s="1271">
        <v>0.248740058855004</v>
      </c>
      <c r="I1827" s="1257">
        <v>1.5713505683368802E-2</v>
      </c>
      <c r="J1827" s="1280">
        <v>0.19776338398171101</v>
      </c>
      <c r="K1827" s="1271">
        <v>2.2935079811309E-2</v>
      </c>
      <c r="L1827" s="1257">
        <v>1.1784989541933099E-3</v>
      </c>
      <c r="M1827" s="1280">
        <v>1.7026062548632499E-2</v>
      </c>
      <c r="N1827" s="1271">
        <v>3.0000008598028201E-3</v>
      </c>
      <c r="O1827" s="1257">
        <v>2.0000005732018801E-3</v>
      </c>
      <c r="P1827" s="1257">
        <v>3.0000008598028201E-3</v>
      </c>
      <c r="Q1827" s="1280">
        <v>3.0000008598028201E-3</v>
      </c>
      <c r="R1827" s="1271">
        <v>3.1850009128239903E-2</v>
      </c>
      <c r="S1827" s="1257">
        <v>3.1850009128239903E-2</v>
      </c>
      <c r="T1827" s="1257">
        <v>3.1850009128239903E-2</v>
      </c>
      <c r="U1827" s="1280">
        <v>1.5925004564119952E-2</v>
      </c>
      <c r="V1827" s="1293">
        <v>2.3972102347467099E-2</v>
      </c>
    </row>
    <row r="1828" spans="1:22" s="212" customFormat="1" ht="15.5" x14ac:dyDescent="0.35">
      <c r="A1828" s="198">
        <v>2044</v>
      </c>
      <c r="B1828" s="197" t="s">
        <v>5833</v>
      </c>
      <c r="C1828" s="197">
        <v>2029</v>
      </c>
      <c r="D1828" s="225" t="str">
        <f t="shared" si="11"/>
        <v>2044_2029</v>
      </c>
      <c r="E1828" s="1226">
        <v>0.108154475030486</v>
      </c>
      <c r="F1828" s="1257">
        <v>2.8390009549499801E-3</v>
      </c>
      <c r="G1828" s="1280">
        <v>7.2459618018426097E-2</v>
      </c>
      <c r="H1828" s="1271">
        <v>0.248740058855004</v>
      </c>
      <c r="I1828" s="1257">
        <v>1.5713505683368802E-2</v>
      </c>
      <c r="J1828" s="1280">
        <v>0.19776338398171101</v>
      </c>
      <c r="K1828" s="1271">
        <v>2.2935079811309E-2</v>
      </c>
      <c r="L1828" s="1257">
        <v>1.1784989541933099E-3</v>
      </c>
      <c r="M1828" s="1280">
        <v>1.7026062548632499E-2</v>
      </c>
      <c r="N1828" s="1271">
        <v>3.0000008598028201E-3</v>
      </c>
      <c r="O1828" s="1257">
        <v>2.0000005732018801E-3</v>
      </c>
      <c r="P1828" s="1257">
        <v>3.0000008598028201E-3</v>
      </c>
      <c r="Q1828" s="1280">
        <v>3.0000008598028201E-3</v>
      </c>
      <c r="R1828" s="1271">
        <v>3.1850009128239903E-2</v>
      </c>
      <c r="S1828" s="1257">
        <v>3.1850009128239903E-2</v>
      </c>
      <c r="T1828" s="1257">
        <v>3.1850009128239903E-2</v>
      </c>
      <c r="U1828" s="1280">
        <v>1.5925004564119952E-2</v>
      </c>
      <c r="V1828" s="1293">
        <v>2.3972102347467099E-2</v>
      </c>
    </row>
    <row r="1829" spans="1:22" s="212" customFormat="1" ht="15.5" x14ac:dyDescent="0.35">
      <c r="A1829" s="198">
        <v>2044</v>
      </c>
      <c r="B1829" s="197" t="s">
        <v>5833</v>
      </c>
      <c r="C1829" s="197">
        <v>2030</v>
      </c>
      <c r="D1829" s="225" t="str">
        <f t="shared" si="11"/>
        <v>2044_2030</v>
      </c>
      <c r="E1829" s="1226">
        <v>0.108154475030486</v>
      </c>
      <c r="F1829" s="1257">
        <v>2.8390009549499801E-3</v>
      </c>
      <c r="G1829" s="1280">
        <v>7.2459618018426097E-2</v>
      </c>
      <c r="H1829" s="1271">
        <v>0.248740058855004</v>
      </c>
      <c r="I1829" s="1257">
        <v>1.5713505683368802E-2</v>
      </c>
      <c r="J1829" s="1280">
        <v>0.19776338398171101</v>
      </c>
      <c r="K1829" s="1271">
        <v>2.2935079811309E-2</v>
      </c>
      <c r="L1829" s="1257">
        <v>1.1784989541933099E-3</v>
      </c>
      <c r="M1829" s="1280">
        <v>1.7026062548632499E-2</v>
      </c>
      <c r="N1829" s="1271">
        <v>3.0000008598028201E-3</v>
      </c>
      <c r="O1829" s="1257">
        <v>2.0000005732018801E-3</v>
      </c>
      <c r="P1829" s="1257">
        <v>3.0000008598028201E-3</v>
      </c>
      <c r="Q1829" s="1306">
        <v>7.8222780240651494E-3</v>
      </c>
      <c r="R1829" s="1271">
        <v>3.1850009128239903E-2</v>
      </c>
      <c r="S1829" s="1257">
        <v>3.1850009128239903E-2</v>
      </c>
      <c r="T1829" s="1257">
        <v>3.1850009128239903E-2</v>
      </c>
      <c r="U1829" s="1306">
        <v>1.9250005517068101E-2</v>
      </c>
      <c r="V1829" s="1293">
        <v>2.3972102347467099E-2</v>
      </c>
    </row>
    <row r="1830" spans="1:22" s="212" customFormat="1" ht="15.5" x14ac:dyDescent="0.35">
      <c r="A1830" s="198">
        <v>2044</v>
      </c>
      <c r="B1830" s="197" t="s">
        <v>5833</v>
      </c>
      <c r="C1830" s="197">
        <v>2031</v>
      </c>
      <c r="D1830" s="225" t="str">
        <f t="shared" si="11"/>
        <v>2044_2031</v>
      </c>
      <c r="E1830" s="1226">
        <v>0.108154475030486</v>
      </c>
      <c r="F1830" s="1257">
        <v>2.8390009549499801E-3</v>
      </c>
      <c r="G1830" s="1280">
        <v>7.2459618018426097E-2</v>
      </c>
      <c r="H1830" s="1271">
        <v>0.248740058855004</v>
      </c>
      <c r="I1830" s="1257">
        <v>1.5713505683368802E-2</v>
      </c>
      <c r="J1830" s="1280">
        <v>0.19776338398171101</v>
      </c>
      <c r="K1830" s="1271">
        <v>2.2935079811309E-2</v>
      </c>
      <c r="L1830" s="1257">
        <v>1.1784989541933099E-3</v>
      </c>
      <c r="M1830" s="1280">
        <v>1.7026062548632499E-2</v>
      </c>
      <c r="N1830" s="1271">
        <v>3.0000008598028201E-3</v>
      </c>
      <c r="O1830" s="1257">
        <v>2.0000005732018801E-3</v>
      </c>
      <c r="P1830" s="1257">
        <v>3.0000008598028201E-3</v>
      </c>
      <c r="Q1830" s="1306">
        <v>8.1120328320053899E-3</v>
      </c>
      <c r="R1830" s="1271">
        <v>3.1850009128239903E-2</v>
      </c>
      <c r="S1830" s="1257">
        <v>3.1850009128239903E-2</v>
      </c>
      <c r="T1830" s="1257">
        <v>3.1850009128239903E-2</v>
      </c>
      <c r="U1830" s="1306">
        <v>1.9250005517068101E-2</v>
      </c>
      <c r="V1830" s="1293">
        <v>2.3972102347467099E-2</v>
      </c>
    </row>
    <row r="1831" spans="1:22" s="212" customFormat="1" ht="15.5" x14ac:dyDescent="0.35">
      <c r="A1831" s="198">
        <v>2044</v>
      </c>
      <c r="B1831" s="197" t="s">
        <v>5833</v>
      </c>
      <c r="C1831" s="197">
        <v>2032</v>
      </c>
      <c r="D1831" s="225" t="str">
        <f t="shared" si="11"/>
        <v>2044_2032</v>
      </c>
      <c r="E1831" s="1226">
        <v>0.108154475030486</v>
      </c>
      <c r="F1831" s="1257">
        <v>2.8390009549499801E-3</v>
      </c>
      <c r="G1831" s="1280">
        <v>7.2459618018426097E-2</v>
      </c>
      <c r="H1831" s="1271">
        <v>0.248740058855004</v>
      </c>
      <c r="I1831" s="1257">
        <v>1.5713505683368802E-2</v>
      </c>
      <c r="J1831" s="1280">
        <v>0.19776338398171101</v>
      </c>
      <c r="K1831" s="1271">
        <v>2.2935079811309E-2</v>
      </c>
      <c r="L1831" s="1257">
        <v>1.1784989541933099E-3</v>
      </c>
      <c r="M1831" s="1280">
        <v>1.7026062548632499E-2</v>
      </c>
      <c r="N1831" s="1271">
        <v>3.0000008598028201E-3</v>
      </c>
      <c r="O1831" s="1257">
        <v>2.0000005732018801E-3</v>
      </c>
      <c r="P1831" s="1257">
        <v>3.0000008598028201E-3</v>
      </c>
      <c r="Q1831" s="1306">
        <v>7.7480283451327701E-3</v>
      </c>
      <c r="R1831" s="1271">
        <v>3.1850009128239903E-2</v>
      </c>
      <c r="S1831" s="1257">
        <v>3.1850009128239903E-2</v>
      </c>
      <c r="T1831" s="1257">
        <v>3.1850009128239903E-2</v>
      </c>
      <c r="U1831" s="1306">
        <v>1.9250005517068101E-2</v>
      </c>
      <c r="V1831" s="1293">
        <v>2.3972102347467099E-2</v>
      </c>
    </row>
    <row r="1832" spans="1:22" s="212" customFormat="1" ht="15.5" x14ac:dyDescent="0.35">
      <c r="A1832" s="198">
        <v>2044</v>
      </c>
      <c r="B1832" s="197" t="s">
        <v>5833</v>
      </c>
      <c r="C1832" s="197">
        <v>2033</v>
      </c>
      <c r="D1832" s="225" t="str">
        <f t="shared" si="11"/>
        <v>2044_2033</v>
      </c>
      <c r="E1832" s="1226">
        <v>0.108154475030486</v>
      </c>
      <c r="F1832" s="1257">
        <v>2.8390009549499801E-3</v>
      </c>
      <c r="G1832" s="1280">
        <v>7.2459618018426097E-2</v>
      </c>
      <c r="H1832" s="1271">
        <v>0.248740058855004</v>
      </c>
      <c r="I1832" s="1257">
        <v>1.5713505683368802E-2</v>
      </c>
      <c r="J1832" s="1280">
        <v>0.19776338398171101</v>
      </c>
      <c r="K1832" s="1271">
        <v>2.2935079811309E-2</v>
      </c>
      <c r="L1832" s="1257">
        <v>1.1784989541933099E-3</v>
      </c>
      <c r="M1832" s="1280">
        <v>1.7026062548632499E-2</v>
      </c>
      <c r="N1832" s="1271">
        <v>3.0000008598028201E-3</v>
      </c>
      <c r="O1832" s="1257">
        <v>2.0000005732018801E-3</v>
      </c>
      <c r="P1832" s="1257">
        <v>3.0000008598028201E-3</v>
      </c>
      <c r="Q1832" s="1306">
        <v>7.0779306122425202E-3</v>
      </c>
      <c r="R1832" s="1271">
        <v>3.1850009128239903E-2</v>
      </c>
      <c r="S1832" s="1257">
        <v>3.1850009128239903E-2</v>
      </c>
      <c r="T1832" s="1257">
        <v>3.1850009128239903E-2</v>
      </c>
      <c r="U1832" s="1306">
        <v>1.9250005517068101E-2</v>
      </c>
      <c r="V1832" s="1293">
        <v>2.3972102347467099E-2</v>
      </c>
    </row>
    <row r="1833" spans="1:22" s="212" customFormat="1" ht="15.5" x14ac:dyDescent="0.35">
      <c r="A1833" s="198">
        <v>2044</v>
      </c>
      <c r="B1833" s="197" t="s">
        <v>5833</v>
      </c>
      <c r="C1833" s="197">
        <v>2034</v>
      </c>
      <c r="D1833" s="225" t="str">
        <f t="shared" si="11"/>
        <v>2044_2034</v>
      </c>
      <c r="E1833" s="1231">
        <v>0.108154475030486</v>
      </c>
      <c r="F1833" s="1288">
        <v>2.8390009549499801E-3</v>
      </c>
      <c r="G1833" s="1306">
        <v>7.2459618018426097E-2</v>
      </c>
      <c r="H1833" s="1303">
        <v>0.248740058855004</v>
      </c>
      <c r="I1833" s="1288">
        <v>1.5713505683368802E-2</v>
      </c>
      <c r="J1833" s="1306">
        <v>0.19776338398171101</v>
      </c>
      <c r="K1833" s="1303">
        <v>2.2935079811309E-2</v>
      </c>
      <c r="L1833" s="1288">
        <v>1.1784989541933099E-3</v>
      </c>
      <c r="M1833" s="1306">
        <v>1.7026062548632499E-2</v>
      </c>
      <c r="N1833" s="1303">
        <v>3.0000008598028201E-3</v>
      </c>
      <c r="O1833" s="1288">
        <v>2.0000005732018801E-3</v>
      </c>
      <c r="P1833" s="1288">
        <v>3.0000008598028201E-3</v>
      </c>
      <c r="Q1833" s="1306">
        <v>5.7121094500660798E-3</v>
      </c>
      <c r="R1833" s="1303">
        <v>3.1850009128239903E-2</v>
      </c>
      <c r="S1833" s="1288">
        <v>3.1850009128239903E-2</v>
      </c>
      <c r="T1833" s="1288">
        <v>3.1850009128239903E-2</v>
      </c>
      <c r="U1833" s="1306">
        <v>1.9250005517068101E-2</v>
      </c>
      <c r="V1833" s="1294">
        <v>2.3972102347467099E-2</v>
      </c>
    </row>
    <row r="1834" spans="1:22" s="212" customFormat="1" ht="15.5" x14ac:dyDescent="0.35">
      <c r="A1834" s="198">
        <v>2044</v>
      </c>
      <c r="B1834" s="197" t="s">
        <v>5833</v>
      </c>
      <c r="C1834" s="197">
        <v>2035</v>
      </c>
      <c r="D1834" s="225" t="str">
        <f t="shared" si="11"/>
        <v>2044_2035</v>
      </c>
      <c r="E1834" s="1231">
        <v>0.106001241148222</v>
      </c>
      <c r="F1834" s="1288">
        <v>1.69765533075763E-3</v>
      </c>
      <c r="G1834" s="1306">
        <v>7.0938541924866205E-2</v>
      </c>
      <c r="H1834" s="1303">
        <v>0.24035132784805099</v>
      </c>
      <c r="I1834" s="1288">
        <v>1.64938447857488E-2</v>
      </c>
      <c r="J1834" s="1306">
        <v>0.194816464391705</v>
      </c>
      <c r="K1834" s="1303">
        <v>2.16222764348671E-2</v>
      </c>
      <c r="L1834" s="1288">
        <v>1.0477085044710199E-3</v>
      </c>
      <c r="M1834" s="1306">
        <v>1.62025124385561E-2</v>
      </c>
      <c r="N1834" s="1303">
        <v>3.0000008598028201E-3</v>
      </c>
      <c r="O1834" s="1288">
        <v>2.0000005732018801E-3</v>
      </c>
      <c r="P1834" s="1288">
        <v>3.0000008598028201E-3</v>
      </c>
      <c r="Q1834" s="1306">
        <v>8.08268618211762E-3</v>
      </c>
      <c r="R1834" s="1303">
        <v>3.1850009128239903E-2</v>
      </c>
      <c r="S1834" s="1288">
        <v>3.1850009128239903E-2</v>
      </c>
      <c r="T1834" s="1288">
        <v>3.1850009128239903E-2</v>
      </c>
      <c r="U1834" s="1306">
        <v>1.9250005517068101E-2</v>
      </c>
      <c r="V1834" s="1294">
        <v>2.2599939827821099E-2</v>
      </c>
    </row>
    <row r="1835" spans="1:22" s="212" customFormat="1" ht="15.5" x14ac:dyDescent="0.35">
      <c r="A1835" s="198">
        <v>2044</v>
      </c>
      <c r="B1835" s="197" t="s">
        <v>5833</v>
      </c>
      <c r="C1835" s="197">
        <v>2036</v>
      </c>
      <c r="D1835" s="225" t="str">
        <f t="shared" si="11"/>
        <v>2044_2036</v>
      </c>
      <c r="E1835" s="1231">
        <v>0.104339327937908</v>
      </c>
      <c r="F1835" s="1288">
        <v>2.64110031769209E-3</v>
      </c>
      <c r="G1835" s="1306">
        <v>7.4429487551213105E-2</v>
      </c>
      <c r="H1835" s="1303">
        <v>0.23287742526386099</v>
      </c>
      <c r="I1835" s="1288">
        <v>1.5494685585123499E-2</v>
      </c>
      <c r="J1835" s="1306">
        <v>0.18303526767266101</v>
      </c>
      <c r="K1835" s="1303">
        <v>2.0358474109822701E-2</v>
      </c>
      <c r="L1835" s="1288">
        <v>1.1505332344571E-3</v>
      </c>
      <c r="M1835" s="1306">
        <v>1.54896972588802E-2</v>
      </c>
      <c r="N1835" s="1303">
        <v>3.0000008598028201E-3</v>
      </c>
      <c r="O1835" s="1288">
        <v>2.0000005732018801E-3</v>
      </c>
      <c r="P1835" s="1288">
        <v>3.0000008598028201E-3</v>
      </c>
      <c r="Q1835" s="1306">
        <v>7.3795799121639197E-3</v>
      </c>
      <c r="R1835" s="1303">
        <v>3.1850009128239903E-2</v>
      </c>
      <c r="S1835" s="1288">
        <v>3.1850009128239903E-2</v>
      </c>
      <c r="T1835" s="1288">
        <v>3.1850009128239903E-2</v>
      </c>
      <c r="U1835" s="1306">
        <v>1.9250005517068101E-2</v>
      </c>
      <c r="V1835" s="1294">
        <v>2.1278993969678001E-2</v>
      </c>
    </row>
    <row r="1836" spans="1:22" s="212" customFormat="1" ht="15.5" x14ac:dyDescent="0.35">
      <c r="A1836" s="198">
        <v>2044</v>
      </c>
      <c r="B1836" s="197" t="s">
        <v>5833</v>
      </c>
      <c r="C1836" s="197">
        <v>2037</v>
      </c>
      <c r="D1836" s="225" t="str">
        <f t="shared" si="10"/>
        <v>2044_2037</v>
      </c>
      <c r="E1836" s="1231">
        <v>0.100992707727212</v>
      </c>
      <c r="F1836" s="1288">
        <v>2.15645942214185E-3</v>
      </c>
      <c r="G1836" s="1306">
        <v>5.5092131385323498E-2</v>
      </c>
      <c r="H1836" s="1303">
        <v>0.22065620783153</v>
      </c>
      <c r="I1836" s="1288">
        <v>1.59672423421716E-2</v>
      </c>
      <c r="J1836" s="1306">
        <v>0.15130255352255301</v>
      </c>
      <c r="K1836" s="1303">
        <v>1.8723981675807098E-2</v>
      </c>
      <c r="L1836" s="1288">
        <v>1.1100550519912199E-3</v>
      </c>
      <c r="M1836" s="1306">
        <v>1.1819555892103199E-2</v>
      </c>
      <c r="N1836" s="1303">
        <v>3.0000008598028201E-3</v>
      </c>
      <c r="O1836" s="1288">
        <v>2.0000005732018801E-3</v>
      </c>
      <c r="P1836" s="1288">
        <v>3.0000008598028201E-3</v>
      </c>
      <c r="Q1836" s="1306">
        <v>7.5861856395711197E-3</v>
      </c>
      <c r="R1836" s="1303">
        <v>3.1850009128239903E-2</v>
      </c>
      <c r="S1836" s="1288">
        <v>3.1850009128239903E-2</v>
      </c>
      <c r="T1836" s="1288">
        <v>3.1850009128239903E-2</v>
      </c>
      <c r="U1836" s="1306">
        <v>1.9250005517068101E-2</v>
      </c>
      <c r="V1836" s="1294">
        <v>1.9570597040749E-2</v>
      </c>
    </row>
    <row r="1837" spans="1:22" s="212" customFormat="1" ht="15.5" x14ac:dyDescent="0.35">
      <c r="A1837" s="198">
        <v>2044</v>
      </c>
      <c r="B1837" s="197" t="s">
        <v>5833</v>
      </c>
      <c r="C1837" s="197">
        <v>2038</v>
      </c>
      <c r="D1837" s="225" t="str">
        <f t="shared" si="10"/>
        <v>2044_2038</v>
      </c>
      <c r="E1837" s="1231">
        <v>9.9526284118563901E-2</v>
      </c>
      <c r="F1837" s="1288">
        <v>1.3600299571527601E-3</v>
      </c>
      <c r="G1837" s="1306">
        <v>7.4084064888451498E-2</v>
      </c>
      <c r="H1837" s="1303">
        <v>0.21314608645854499</v>
      </c>
      <c r="I1837" s="1288">
        <v>1.5963756624852901E-2</v>
      </c>
      <c r="J1837" s="1306">
        <v>0.17261451257299401</v>
      </c>
      <c r="K1837" s="1303">
        <v>1.73767744523959E-2</v>
      </c>
      <c r="L1837" s="1288">
        <v>1.0119005220444999E-3</v>
      </c>
      <c r="M1837" s="1306">
        <v>1.3671242200336E-2</v>
      </c>
      <c r="N1837" s="1303">
        <v>3.0000008598028201E-3</v>
      </c>
      <c r="O1837" s="1288">
        <v>2.0000005732018801E-3</v>
      </c>
      <c r="P1837" s="1288">
        <v>3.0000008598028201E-3</v>
      </c>
      <c r="Q1837" s="1306">
        <v>7.8507146591203902E-3</v>
      </c>
      <c r="R1837" s="1303">
        <v>3.1850009128239903E-2</v>
      </c>
      <c r="S1837" s="1288">
        <v>3.1850009128239903E-2</v>
      </c>
      <c r="T1837" s="1288">
        <v>3.1850009128239903E-2</v>
      </c>
      <c r="U1837" s="1306">
        <v>1.9250005517068101E-2</v>
      </c>
      <c r="V1837" s="1294">
        <v>1.8162475084838699E-2</v>
      </c>
    </row>
    <row r="1838" spans="1:22" s="212" customFormat="1" ht="15.5" x14ac:dyDescent="0.35">
      <c r="A1838" s="198">
        <v>2044</v>
      </c>
      <c r="B1838" s="197" t="s">
        <v>5833</v>
      </c>
      <c r="C1838" s="197">
        <v>2039</v>
      </c>
      <c r="D1838" s="225" t="str">
        <f t="shared" si="10"/>
        <v>2044_2039</v>
      </c>
      <c r="E1838" s="1231">
        <v>9.8496916814384994E-2</v>
      </c>
      <c r="F1838" s="1288">
        <v>2.5695123714846E-3</v>
      </c>
      <c r="G1838" s="1306">
        <v>4.6360753419974497E-2</v>
      </c>
      <c r="H1838" s="1303">
        <v>0.206592528669029</v>
      </c>
      <c r="I1838" s="1288">
        <v>1.50232961583853E-2</v>
      </c>
      <c r="J1838" s="1306">
        <v>0.12991400309919901</v>
      </c>
      <c r="K1838" s="1303">
        <v>1.6024656558748501E-2</v>
      </c>
      <c r="L1838" s="1288">
        <v>1.14152224330179E-3</v>
      </c>
      <c r="M1838" s="1306">
        <v>9.1134509131836298E-3</v>
      </c>
      <c r="N1838" s="1303">
        <v>3.0000008598028201E-3</v>
      </c>
      <c r="O1838" s="1288">
        <v>2.0000005732018801E-3</v>
      </c>
      <c r="P1838" s="1288">
        <v>3.0000008598028201E-3</v>
      </c>
      <c r="Q1838" s="1306">
        <v>7.5933065431310698E-3</v>
      </c>
      <c r="R1838" s="1303">
        <v>3.1850009128239903E-2</v>
      </c>
      <c r="S1838" s="1288">
        <v>3.1850009128239903E-2</v>
      </c>
      <c r="T1838" s="1288">
        <v>3.1850009128239903E-2</v>
      </c>
      <c r="U1838" s="1306">
        <v>1.9250005517068101E-2</v>
      </c>
      <c r="V1838" s="1294">
        <v>1.67492204199748E-2</v>
      </c>
    </row>
    <row r="1839" spans="1:22" s="212" customFormat="1" ht="15.5" x14ac:dyDescent="0.35">
      <c r="A1839" s="198">
        <v>2044</v>
      </c>
      <c r="B1839" s="197" t="s">
        <v>5833</v>
      </c>
      <c r="C1839" s="197">
        <v>2040</v>
      </c>
      <c r="D1839" s="225" t="str">
        <f t="shared" si="10"/>
        <v>2044_2040</v>
      </c>
      <c r="E1839" s="1231">
        <v>9.6122762471784098E-2</v>
      </c>
      <c r="F1839" s="1288">
        <v>2.0615907926347901E-3</v>
      </c>
      <c r="G1839" s="1306">
        <v>5.4920306275574503E-2</v>
      </c>
      <c r="H1839" s="1303">
        <v>0.196081375105461</v>
      </c>
      <c r="I1839" s="1288">
        <v>1.6277716262193501E-2</v>
      </c>
      <c r="J1839" s="1306">
        <v>0.13156093518277601</v>
      </c>
      <c r="K1839" s="1303">
        <v>1.4378968881975301E-2</v>
      </c>
      <c r="L1839" s="1288">
        <v>1.0896549036963699E-3</v>
      </c>
      <c r="M1839" s="1306">
        <v>9.1742508007822497E-3</v>
      </c>
      <c r="N1839" s="1303">
        <v>3.0000008598028201E-3</v>
      </c>
      <c r="O1839" s="1288">
        <v>2.0000005732018801E-3</v>
      </c>
      <c r="P1839" s="1288">
        <v>3.0000008598028201E-3</v>
      </c>
      <c r="Q1839" s="1306">
        <v>7.6833188573584002E-3</v>
      </c>
      <c r="R1839" s="1303">
        <v>3.1850009128239903E-2</v>
      </c>
      <c r="S1839" s="1288">
        <v>3.1850009128239903E-2</v>
      </c>
      <c r="T1839" s="1288">
        <v>3.1850009128239903E-2</v>
      </c>
      <c r="U1839" s="1306">
        <v>1.9250005517068101E-2</v>
      </c>
      <c r="V1839" s="1294">
        <v>1.50291220490888E-2</v>
      </c>
    </row>
    <row r="1840" spans="1:22" s="212" customFormat="1" ht="15.5" x14ac:dyDescent="0.35">
      <c r="A1840" s="198">
        <v>2044</v>
      </c>
      <c r="B1840" s="197" t="s">
        <v>5833</v>
      </c>
      <c r="C1840" s="197">
        <v>2041</v>
      </c>
      <c r="D1840" s="225" t="str">
        <f t="shared" si="10"/>
        <v>2044_2041</v>
      </c>
      <c r="E1840" s="1231">
        <v>9.3334661574849001E-2</v>
      </c>
      <c r="F1840" s="1288">
        <v>2.6374265905357002E-3</v>
      </c>
      <c r="G1840" s="1306">
        <v>5.5711884313538497E-2</v>
      </c>
      <c r="H1840" s="1303">
        <v>0.18434538596830499</v>
      </c>
      <c r="I1840" s="1288">
        <v>1.70279226548706E-2</v>
      </c>
      <c r="J1840" s="1306">
        <v>0.13182959723139101</v>
      </c>
      <c r="K1840" s="1303">
        <v>1.26149355043192E-2</v>
      </c>
      <c r="L1840" s="1288">
        <v>1.1160988011777E-3</v>
      </c>
      <c r="M1840" s="1306">
        <v>8.4512359027239005E-3</v>
      </c>
      <c r="N1840" s="1303">
        <v>3.0000008598028201E-3</v>
      </c>
      <c r="O1840" s="1288">
        <v>2.0000005732018801E-3</v>
      </c>
      <c r="P1840" s="1288">
        <v>3.0000008598028201E-3</v>
      </c>
      <c r="Q1840" s="1306">
        <v>8.1261048842491499E-3</v>
      </c>
      <c r="R1840" s="1303">
        <v>3.1850009128239903E-2</v>
      </c>
      <c r="S1840" s="1288">
        <v>3.1850009128239903E-2</v>
      </c>
      <c r="T1840" s="1288">
        <v>3.1850009128239903E-2</v>
      </c>
      <c r="U1840" s="1306">
        <v>1.9250005517068101E-2</v>
      </c>
      <c r="V1840" s="1294">
        <v>1.3185326909877299E-2</v>
      </c>
    </row>
    <row r="1841" spans="1:22" s="212" customFormat="1" ht="15.5" x14ac:dyDescent="0.35">
      <c r="A1841" s="198">
        <v>2044</v>
      </c>
      <c r="B1841" s="197" t="s">
        <v>5833</v>
      </c>
      <c r="C1841" s="197">
        <v>2042</v>
      </c>
      <c r="D1841" s="225" t="str">
        <f t="shared" si="10"/>
        <v>2044_2042</v>
      </c>
      <c r="E1841" s="1231">
        <v>9.2251691701441194E-2</v>
      </c>
      <c r="F1841" s="1288">
        <v>2.7166619373000501E-3</v>
      </c>
      <c r="G1841" s="1306">
        <v>7.1671645711795004E-2</v>
      </c>
      <c r="H1841" s="1303">
        <v>0.17556774700425601</v>
      </c>
      <c r="I1841" s="1288">
        <v>1.9645145669368501E-2</v>
      </c>
      <c r="J1841" s="1306">
        <v>0.14822018674184001</v>
      </c>
      <c r="K1841" s="1303">
        <v>1.09955695254306E-2</v>
      </c>
      <c r="L1841" s="1288">
        <v>1.1022853757913099E-3</v>
      </c>
      <c r="M1841" s="1306">
        <v>8.9864245337932004E-3</v>
      </c>
      <c r="N1841" s="1303">
        <v>3.0000008598028201E-3</v>
      </c>
      <c r="O1841" s="1288">
        <v>2.0000005732018801E-3</v>
      </c>
      <c r="P1841" s="1288">
        <v>3.0000008598028201E-3</v>
      </c>
      <c r="Q1841" s="1306">
        <v>8.1542539330640602E-3</v>
      </c>
      <c r="R1841" s="1303">
        <v>3.1850009128239903E-2</v>
      </c>
      <c r="S1841" s="1288">
        <v>3.1850009128239903E-2</v>
      </c>
      <c r="T1841" s="1288">
        <v>3.1850009128239903E-2</v>
      </c>
      <c r="U1841" s="1306">
        <v>1.9250005517068101E-2</v>
      </c>
      <c r="V1841" s="1294">
        <v>1.1492740387253401E-2</v>
      </c>
    </row>
    <row r="1842" spans="1:22" s="212" customFormat="1" ht="15.5" x14ac:dyDescent="0.35">
      <c r="A1842" s="198">
        <v>2044</v>
      </c>
      <c r="B1842" s="197" t="s">
        <v>5833</v>
      </c>
      <c r="C1842" s="197">
        <v>2043</v>
      </c>
      <c r="D1842" s="225" t="str">
        <f t="shared" si="10"/>
        <v>2044_2043</v>
      </c>
      <c r="E1842" s="1231">
        <v>8.8183921660448902E-2</v>
      </c>
      <c r="F1842" s="1288">
        <v>2.9550337908970498E-3</v>
      </c>
      <c r="G1842" s="1306">
        <v>5.5404838399556199E-2</v>
      </c>
      <c r="H1842" s="1303">
        <v>0.161675438066431</v>
      </c>
      <c r="I1842" s="1288">
        <v>2.1562509928087399E-2</v>
      </c>
      <c r="J1842" s="1306">
        <v>0.11725749603786199</v>
      </c>
      <c r="K1842" s="1303">
        <v>8.9418494971521805E-3</v>
      </c>
      <c r="L1842" s="1288">
        <v>1.0925837034598E-3</v>
      </c>
      <c r="M1842" s="1306">
        <v>6.17353030360898E-3</v>
      </c>
      <c r="N1842" s="1303">
        <v>3.0000008598028201E-3</v>
      </c>
      <c r="O1842" s="1288">
        <v>2.0000005732018801E-3</v>
      </c>
      <c r="P1842" s="1288">
        <v>3.0000008598028201E-3</v>
      </c>
      <c r="Q1842" s="1306">
        <v>8.1135182202519193E-3</v>
      </c>
      <c r="R1842" s="1303">
        <v>3.1850009128239903E-2</v>
      </c>
      <c r="S1842" s="1288">
        <v>3.1850009128239903E-2</v>
      </c>
      <c r="T1842" s="1288">
        <v>3.1850009128239903E-2</v>
      </c>
      <c r="U1842" s="1306">
        <v>1.9250005517068101E-2</v>
      </c>
      <c r="V1842" s="1294">
        <v>9.3461602525439294E-3</v>
      </c>
    </row>
    <row r="1843" spans="1:22" s="212" customFormat="1" ht="15.5" x14ac:dyDescent="0.35">
      <c r="A1843" s="198">
        <v>2044</v>
      </c>
      <c r="B1843" s="197" t="s">
        <v>5833</v>
      </c>
      <c r="C1843" s="197">
        <v>2044</v>
      </c>
      <c r="D1843" s="225" t="str">
        <f t="shared" si="10"/>
        <v>2044_2044</v>
      </c>
      <c r="E1843" s="1231">
        <v>8.5512666030072307E-2</v>
      </c>
      <c r="F1843" s="1288">
        <v>2.6846673467213898E-3</v>
      </c>
      <c r="G1843" s="1306">
        <v>5.4291677121189597E-2</v>
      </c>
      <c r="H1843" s="1303">
        <v>0.14957165996327401</v>
      </c>
      <c r="I1843" s="1288">
        <v>2.06486809510418E-2</v>
      </c>
      <c r="J1843" s="1306">
        <v>0.10838586209197699</v>
      </c>
      <c r="K1843" s="1303">
        <v>6.9851320329611596E-3</v>
      </c>
      <c r="L1843" s="1288">
        <v>1.0757415723173099E-3</v>
      </c>
      <c r="M1843" s="1306">
        <v>4.8429996369277004E-3</v>
      </c>
      <c r="N1843" s="1303">
        <v>3.0000008598028201E-3</v>
      </c>
      <c r="O1843" s="1288">
        <v>2.0000005732018801E-3</v>
      </c>
      <c r="P1843" s="1288">
        <v>3.0000008598028201E-3</v>
      </c>
      <c r="Q1843" s="1306">
        <v>8.3295984317365498E-3</v>
      </c>
      <c r="R1843" s="1303">
        <v>3.1850009128239903E-2</v>
      </c>
      <c r="S1843" s="1288">
        <v>3.1850009128239903E-2</v>
      </c>
      <c r="T1843" s="1288">
        <v>3.1850009128239903E-2</v>
      </c>
      <c r="U1843" s="1306">
        <v>1.9250005517068101E-2</v>
      </c>
      <c r="V1843" s="1294">
        <v>7.30096870742733E-3</v>
      </c>
    </row>
    <row r="1844" spans="1:22" s="212" customFormat="1" ht="15.5" x14ac:dyDescent="0.35">
      <c r="A1844" s="198">
        <v>2044</v>
      </c>
      <c r="B1844" s="197" t="s">
        <v>5833</v>
      </c>
      <c r="C1844" s="197">
        <v>2045</v>
      </c>
      <c r="D1844" s="225" t="str">
        <f t="shared" si="10"/>
        <v>2044_2045</v>
      </c>
      <c r="E1844" s="1226">
        <v>8.5512666030072307E-2</v>
      </c>
      <c r="F1844" s="1257">
        <v>2.6846673467213898E-3</v>
      </c>
      <c r="G1844" s="1280">
        <v>5.4291677121189597E-2</v>
      </c>
      <c r="H1844" s="1271">
        <v>0.14957165996327401</v>
      </c>
      <c r="I1844" s="1257">
        <v>2.06486809510418E-2</v>
      </c>
      <c r="J1844" s="1280">
        <v>0.10838586209197699</v>
      </c>
      <c r="K1844" s="1271">
        <v>6.9851320329611596E-3</v>
      </c>
      <c r="L1844" s="1257">
        <v>1.0757415723173099E-3</v>
      </c>
      <c r="M1844" s="1280">
        <v>4.8429996369277004E-3</v>
      </c>
      <c r="N1844" s="1271">
        <v>3.0000008598028201E-3</v>
      </c>
      <c r="O1844" s="1257">
        <v>2.0000005732018801E-3</v>
      </c>
      <c r="P1844" s="1257">
        <v>3.0000008598028201E-3</v>
      </c>
      <c r="Q1844" s="1280">
        <v>8.3295984317365498E-3</v>
      </c>
      <c r="R1844" s="1271">
        <v>3.1850009128239903E-2</v>
      </c>
      <c r="S1844" s="1257">
        <v>3.1850009128239903E-2</v>
      </c>
      <c r="T1844" s="1257">
        <v>3.1850009128239903E-2</v>
      </c>
      <c r="U1844" s="1280">
        <v>1.9250005517068101E-2</v>
      </c>
      <c r="V1844" s="1293">
        <v>7.30096870742733E-3</v>
      </c>
    </row>
    <row r="1845" spans="1:22" s="212" customFormat="1" ht="15.5" x14ac:dyDescent="0.35">
      <c r="A1845" s="198">
        <v>2045</v>
      </c>
      <c r="B1845" s="197" t="s">
        <v>5833</v>
      </c>
      <c r="C1845" s="197">
        <v>1971</v>
      </c>
      <c r="D1845" s="225" t="str">
        <f t="shared" si="10"/>
        <v>2045_1971</v>
      </c>
      <c r="E1845" s="1226">
        <v>0.10774155195323599</v>
      </c>
      <c r="F1845" s="1257">
        <v>1.6832279618594699E-3</v>
      </c>
      <c r="G1845" s="1280">
        <v>7.2103199146484498E-2</v>
      </c>
      <c r="H1845" s="1271">
        <v>0.24794755490436199</v>
      </c>
      <c r="I1845" s="1257">
        <v>1.6582995434176899E-2</v>
      </c>
      <c r="J1845" s="1280">
        <v>0.20097357661187401</v>
      </c>
      <c r="K1845" s="1271">
        <v>2.2841434298506502E-2</v>
      </c>
      <c r="L1845" s="1257">
        <v>1.0477085044710199E-3</v>
      </c>
      <c r="M1845" s="1280">
        <v>1.7116080466866301E-2</v>
      </c>
      <c r="N1845" s="1271">
        <v>3.0000008598028201E-3</v>
      </c>
      <c r="O1845" s="1257">
        <v>2.0000005732018801E-3</v>
      </c>
      <c r="P1845" s="1257">
        <v>3.0000008598028201E-3</v>
      </c>
      <c r="Q1845" s="1280">
        <v>3.0000008598028201E-3</v>
      </c>
      <c r="R1845" s="1271">
        <v>3.1850009128239903E-2</v>
      </c>
      <c r="S1845" s="1257">
        <v>3.1850009128239903E-2</v>
      </c>
      <c r="T1845" s="1257">
        <v>3.1850009128239903E-2</v>
      </c>
      <c r="U1845" s="1280">
        <v>1.5925004564119952E-2</v>
      </c>
      <c r="V1845" s="1293">
        <v>2.3874222600121401E-2</v>
      </c>
    </row>
    <row r="1846" spans="1:22" s="212" customFormat="1" ht="15.5" x14ac:dyDescent="0.35">
      <c r="A1846" s="198">
        <v>2045</v>
      </c>
      <c r="B1846" s="197" t="s">
        <v>5833</v>
      </c>
      <c r="C1846" s="197">
        <v>1972</v>
      </c>
      <c r="D1846" s="225" t="str">
        <f t="shared" ref="D1846:D2155" si="12">CONCATENATE(A1846,"_",C1846)</f>
        <v>2045_1972</v>
      </c>
      <c r="E1846" s="1226">
        <v>0.10774155195323599</v>
      </c>
      <c r="F1846" s="1257">
        <v>1.6832279618594699E-3</v>
      </c>
      <c r="G1846" s="1280">
        <v>7.2103199146484498E-2</v>
      </c>
      <c r="H1846" s="1271">
        <v>0.24794755490436199</v>
      </c>
      <c r="I1846" s="1257">
        <v>1.6582995434176899E-2</v>
      </c>
      <c r="J1846" s="1280">
        <v>0.20097357661187401</v>
      </c>
      <c r="K1846" s="1271">
        <v>2.2841434298506502E-2</v>
      </c>
      <c r="L1846" s="1257">
        <v>1.0477085044710199E-3</v>
      </c>
      <c r="M1846" s="1280">
        <v>1.7116080466866301E-2</v>
      </c>
      <c r="N1846" s="1271">
        <v>3.0000008598028201E-3</v>
      </c>
      <c r="O1846" s="1257">
        <v>2.0000005732018801E-3</v>
      </c>
      <c r="P1846" s="1257">
        <v>3.0000008598028201E-3</v>
      </c>
      <c r="Q1846" s="1280">
        <v>3.0000008598028201E-3</v>
      </c>
      <c r="R1846" s="1271">
        <v>3.1850009128239903E-2</v>
      </c>
      <c r="S1846" s="1257">
        <v>3.1850009128239903E-2</v>
      </c>
      <c r="T1846" s="1257">
        <v>3.1850009128239903E-2</v>
      </c>
      <c r="U1846" s="1280">
        <v>1.5925004564119952E-2</v>
      </c>
      <c r="V1846" s="1293">
        <v>2.3874222600121401E-2</v>
      </c>
    </row>
    <row r="1847" spans="1:22" s="212" customFormat="1" ht="15.5" x14ac:dyDescent="0.35">
      <c r="A1847" s="198">
        <v>2045</v>
      </c>
      <c r="B1847" s="197" t="s">
        <v>5833</v>
      </c>
      <c r="C1847" s="197">
        <v>1973</v>
      </c>
      <c r="D1847" s="225" t="str">
        <f t="shared" si="12"/>
        <v>2045_1973</v>
      </c>
      <c r="E1847" s="1226">
        <v>0.10774155195323599</v>
      </c>
      <c r="F1847" s="1257">
        <v>1.6832279618594699E-3</v>
      </c>
      <c r="G1847" s="1280">
        <v>7.2103199146484498E-2</v>
      </c>
      <c r="H1847" s="1271">
        <v>0.24794755490436199</v>
      </c>
      <c r="I1847" s="1257">
        <v>1.6582995434176899E-2</v>
      </c>
      <c r="J1847" s="1280">
        <v>0.20097357661187401</v>
      </c>
      <c r="K1847" s="1271">
        <v>2.2841434298506502E-2</v>
      </c>
      <c r="L1847" s="1257">
        <v>1.0477085044710199E-3</v>
      </c>
      <c r="M1847" s="1280">
        <v>1.7116080466866301E-2</v>
      </c>
      <c r="N1847" s="1271">
        <v>3.0000008598028201E-3</v>
      </c>
      <c r="O1847" s="1257">
        <v>2.0000005732018801E-3</v>
      </c>
      <c r="P1847" s="1257">
        <v>3.0000008598028201E-3</v>
      </c>
      <c r="Q1847" s="1280">
        <v>3.0000008598028201E-3</v>
      </c>
      <c r="R1847" s="1271">
        <v>3.1850009128239903E-2</v>
      </c>
      <c r="S1847" s="1257">
        <v>3.1850009128239903E-2</v>
      </c>
      <c r="T1847" s="1257">
        <v>3.1850009128239903E-2</v>
      </c>
      <c r="U1847" s="1280">
        <v>1.5925004564119952E-2</v>
      </c>
      <c r="V1847" s="1293">
        <v>2.3874222600121401E-2</v>
      </c>
    </row>
    <row r="1848" spans="1:22" s="212" customFormat="1" ht="15.5" x14ac:dyDescent="0.35">
      <c r="A1848" s="198">
        <v>2045</v>
      </c>
      <c r="B1848" s="197" t="s">
        <v>5833</v>
      </c>
      <c r="C1848" s="197">
        <v>1974</v>
      </c>
      <c r="D1848" s="225" t="str">
        <f t="shared" si="12"/>
        <v>2045_1974</v>
      </c>
      <c r="E1848" s="1226">
        <v>0.10774155195323599</v>
      </c>
      <c r="F1848" s="1257">
        <v>1.6832279618594699E-3</v>
      </c>
      <c r="G1848" s="1280">
        <v>7.2103199146484498E-2</v>
      </c>
      <c r="H1848" s="1271">
        <v>0.24794755490436199</v>
      </c>
      <c r="I1848" s="1257">
        <v>1.6582995434176899E-2</v>
      </c>
      <c r="J1848" s="1280">
        <v>0.20097357661187401</v>
      </c>
      <c r="K1848" s="1271">
        <v>2.2841434298506502E-2</v>
      </c>
      <c r="L1848" s="1257">
        <v>1.0477085044710199E-3</v>
      </c>
      <c r="M1848" s="1280">
        <v>1.7116080466866301E-2</v>
      </c>
      <c r="N1848" s="1271">
        <v>3.0000008598028201E-3</v>
      </c>
      <c r="O1848" s="1257">
        <v>2.0000005732018801E-3</v>
      </c>
      <c r="P1848" s="1257">
        <v>3.0000008598028201E-3</v>
      </c>
      <c r="Q1848" s="1280">
        <v>3.0000008598028201E-3</v>
      </c>
      <c r="R1848" s="1271">
        <v>3.1850009128239903E-2</v>
      </c>
      <c r="S1848" s="1257">
        <v>3.1850009128239903E-2</v>
      </c>
      <c r="T1848" s="1257">
        <v>3.1850009128239903E-2</v>
      </c>
      <c r="U1848" s="1280">
        <v>1.5925004564119952E-2</v>
      </c>
      <c r="V1848" s="1293">
        <v>2.3874222600121401E-2</v>
      </c>
    </row>
    <row r="1849" spans="1:22" s="212" customFormat="1" ht="15.5" x14ac:dyDescent="0.35">
      <c r="A1849" s="198">
        <v>2045</v>
      </c>
      <c r="B1849" s="197" t="s">
        <v>5833</v>
      </c>
      <c r="C1849" s="197">
        <v>1975</v>
      </c>
      <c r="D1849" s="225" t="str">
        <f t="shared" si="12"/>
        <v>2045_1975</v>
      </c>
      <c r="E1849" s="1226">
        <v>0.10774155195323599</v>
      </c>
      <c r="F1849" s="1257">
        <v>1.6832279618594699E-3</v>
      </c>
      <c r="G1849" s="1280">
        <v>7.2103199146484498E-2</v>
      </c>
      <c r="H1849" s="1271">
        <v>0.24794755490436199</v>
      </c>
      <c r="I1849" s="1257">
        <v>1.6582995434176899E-2</v>
      </c>
      <c r="J1849" s="1280">
        <v>0.20097357661187401</v>
      </c>
      <c r="K1849" s="1271">
        <v>2.2841434298506502E-2</v>
      </c>
      <c r="L1849" s="1257">
        <v>1.0477085044710199E-3</v>
      </c>
      <c r="M1849" s="1280">
        <v>1.7116080466866301E-2</v>
      </c>
      <c r="N1849" s="1271">
        <v>3.0000008598028201E-3</v>
      </c>
      <c r="O1849" s="1257">
        <v>2.0000005732018801E-3</v>
      </c>
      <c r="P1849" s="1257">
        <v>3.0000008598028201E-3</v>
      </c>
      <c r="Q1849" s="1280">
        <v>3.0000008598028201E-3</v>
      </c>
      <c r="R1849" s="1271">
        <v>3.1850009128239903E-2</v>
      </c>
      <c r="S1849" s="1257">
        <v>3.1850009128239903E-2</v>
      </c>
      <c r="T1849" s="1257">
        <v>3.1850009128239903E-2</v>
      </c>
      <c r="U1849" s="1280">
        <v>1.5925004564119952E-2</v>
      </c>
      <c r="V1849" s="1293">
        <v>2.3874222600121401E-2</v>
      </c>
    </row>
    <row r="1850" spans="1:22" s="212" customFormat="1" ht="15.5" x14ac:dyDescent="0.35">
      <c r="A1850" s="198">
        <v>2045</v>
      </c>
      <c r="B1850" s="197" t="s">
        <v>5833</v>
      </c>
      <c r="C1850" s="197">
        <v>1976</v>
      </c>
      <c r="D1850" s="225" t="str">
        <f t="shared" si="12"/>
        <v>2045_1976</v>
      </c>
      <c r="E1850" s="1226">
        <v>0.10774155195323599</v>
      </c>
      <c r="F1850" s="1257">
        <v>1.6832279618594699E-3</v>
      </c>
      <c r="G1850" s="1280">
        <v>7.2103199146484498E-2</v>
      </c>
      <c r="H1850" s="1271">
        <v>0.24794755490436199</v>
      </c>
      <c r="I1850" s="1257">
        <v>1.6582995434176899E-2</v>
      </c>
      <c r="J1850" s="1280">
        <v>0.20097357661187401</v>
      </c>
      <c r="K1850" s="1271">
        <v>2.2841434298506502E-2</v>
      </c>
      <c r="L1850" s="1257">
        <v>1.0477085044710199E-3</v>
      </c>
      <c r="M1850" s="1280">
        <v>1.7116080466866301E-2</v>
      </c>
      <c r="N1850" s="1271">
        <v>3.0000008598028201E-3</v>
      </c>
      <c r="O1850" s="1257">
        <v>2.0000005732018801E-3</v>
      </c>
      <c r="P1850" s="1257">
        <v>3.0000008598028201E-3</v>
      </c>
      <c r="Q1850" s="1280">
        <v>3.0000008598028201E-3</v>
      </c>
      <c r="R1850" s="1271">
        <v>3.1850009128239903E-2</v>
      </c>
      <c r="S1850" s="1257">
        <v>3.1850009128239903E-2</v>
      </c>
      <c r="T1850" s="1257">
        <v>3.1850009128239903E-2</v>
      </c>
      <c r="U1850" s="1280">
        <v>1.5925004564119952E-2</v>
      </c>
      <c r="V1850" s="1293">
        <v>2.3874222600121401E-2</v>
      </c>
    </row>
    <row r="1851" spans="1:22" s="212" customFormat="1" ht="15.5" x14ac:dyDescent="0.35">
      <c r="A1851" s="198">
        <v>2045</v>
      </c>
      <c r="B1851" s="197" t="s">
        <v>5833</v>
      </c>
      <c r="C1851" s="197">
        <v>1977</v>
      </c>
      <c r="D1851" s="225" t="str">
        <f t="shared" si="12"/>
        <v>2045_1977</v>
      </c>
      <c r="E1851" s="1226">
        <v>0.10774155195323599</v>
      </c>
      <c r="F1851" s="1257">
        <v>1.6832279618594699E-3</v>
      </c>
      <c r="G1851" s="1280">
        <v>7.2103199146484498E-2</v>
      </c>
      <c r="H1851" s="1271">
        <v>0.24794755490436199</v>
      </c>
      <c r="I1851" s="1257">
        <v>1.6582995434176899E-2</v>
      </c>
      <c r="J1851" s="1280">
        <v>0.20097357661187401</v>
      </c>
      <c r="K1851" s="1271">
        <v>2.2841434298506502E-2</v>
      </c>
      <c r="L1851" s="1257">
        <v>1.0477085044710199E-3</v>
      </c>
      <c r="M1851" s="1280">
        <v>1.7116080466866301E-2</v>
      </c>
      <c r="N1851" s="1271">
        <v>3.0000008598028201E-3</v>
      </c>
      <c r="O1851" s="1257">
        <v>2.0000005732018801E-3</v>
      </c>
      <c r="P1851" s="1257">
        <v>3.0000008598028201E-3</v>
      </c>
      <c r="Q1851" s="1280">
        <v>3.0000008598028201E-3</v>
      </c>
      <c r="R1851" s="1271">
        <v>3.1850009128239903E-2</v>
      </c>
      <c r="S1851" s="1257">
        <v>3.1850009128239903E-2</v>
      </c>
      <c r="T1851" s="1257">
        <v>3.1850009128239903E-2</v>
      </c>
      <c r="U1851" s="1280">
        <v>1.5925004564119952E-2</v>
      </c>
      <c r="V1851" s="1293">
        <v>2.3874222600121401E-2</v>
      </c>
    </row>
    <row r="1852" spans="1:22" s="212" customFormat="1" ht="15.5" x14ac:dyDescent="0.35">
      <c r="A1852" s="198">
        <v>2045</v>
      </c>
      <c r="B1852" s="197" t="s">
        <v>5833</v>
      </c>
      <c r="C1852" s="197">
        <v>1978</v>
      </c>
      <c r="D1852" s="225" t="str">
        <f t="shared" si="12"/>
        <v>2045_1978</v>
      </c>
      <c r="E1852" s="1226">
        <v>0.10774155195323599</v>
      </c>
      <c r="F1852" s="1257">
        <v>1.6832279618594699E-3</v>
      </c>
      <c r="G1852" s="1280">
        <v>7.2103199146484498E-2</v>
      </c>
      <c r="H1852" s="1271">
        <v>0.24794755490436199</v>
      </c>
      <c r="I1852" s="1257">
        <v>1.6582995434176899E-2</v>
      </c>
      <c r="J1852" s="1280">
        <v>0.20097357661187401</v>
      </c>
      <c r="K1852" s="1271">
        <v>2.2841434298506502E-2</v>
      </c>
      <c r="L1852" s="1257">
        <v>1.0477085044710199E-3</v>
      </c>
      <c r="M1852" s="1280">
        <v>1.7116080466866301E-2</v>
      </c>
      <c r="N1852" s="1271">
        <v>3.0000008598028201E-3</v>
      </c>
      <c r="O1852" s="1257">
        <v>2.0000005732018801E-3</v>
      </c>
      <c r="P1852" s="1257">
        <v>3.0000008598028201E-3</v>
      </c>
      <c r="Q1852" s="1280">
        <v>3.0000008598028201E-3</v>
      </c>
      <c r="R1852" s="1271">
        <v>3.1850009128239903E-2</v>
      </c>
      <c r="S1852" s="1257">
        <v>3.1850009128239903E-2</v>
      </c>
      <c r="T1852" s="1257">
        <v>3.1850009128239903E-2</v>
      </c>
      <c r="U1852" s="1280">
        <v>1.5925004564119952E-2</v>
      </c>
      <c r="V1852" s="1293">
        <v>2.3874222600121401E-2</v>
      </c>
    </row>
    <row r="1853" spans="1:22" s="212" customFormat="1" ht="15.5" x14ac:dyDescent="0.35">
      <c r="A1853" s="198">
        <v>2045</v>
      </c>
      <c r="B1853" s="197" t="s">
        <v>5833</v>
      </c>
      <c r="C1853" s="197">
        <v>1979</v>
      </c>
      <c r="D1853" s="225" t="str">
        <f t="shared" si="12"/>
        <v>2045_1979</v>
      </c>
      <c r="E1853" s="1226">
        <v>0.10774155195323599</v>
      </c>
      <c r="F1853" s="1257">
        <v>1.6832279618594699E-3</v>
      </c>
      <c r="G1853" s="1280">
        <v>7.2103199146484498E-2</v>
      </c>
      <c r="H1853" s="1271">
        <v>0.24794755490436199</v>
      </c>
      <c r="I1853" s="1257">
        <v>1.6582995434176899E-2</v>
      </c>
      <c r="J1853" s="1280">
        <v>0.20097357661187401</v>
      </c>
      <c r="K1853" s="1271">
        <v>2.2841434298506502E-2</v>
      </c>
      <c r="L1853" s="1257">
        <v>1.0477085044710199E-3</v>
      </c>
      <c r="M1853" s="1280">
        <v>1.7116080466866301E-2</v>
      </c>
      <c r="N1853" s="1271">
        <v>3.0000008598028201E-3</v>
      </c>
      <c r="O1853" s="1257">
        <v>2.0000005732018801E-3</v>
      </c>
      <c r="P1853" s="1257">
        <v>3.0000008598028201E-3</v>
      </c>
      <c r="Q1853" s="1280">
        <v>3.0000008598028201E-3</v>
      </c>
      <c r="R1853" s="1271">
        <v>3.1850009128239903E-2</v>
      </c>
      <c r="S1853" s="1257">
        <v>3.1850009128239903E-2</v>
      </c>
      <c r="T1853" s="1257">
        <v>3.1850009128239903E-2</v>
      </c>
      <c r="U1853" s="1280">
        <v>1.5925004564119952E-2</v>
      </c>
      <c r="V1853" s="1293">
        <v>2.3874222600121401E-2</v>
      </c>
    </row>
    <row r="1854" spans="1:22" s="212" customFormat="1" ht="15.5" x14ac:dyDescent="0.35">
      <c r="A1854" s="198">
        <v>2045</v>
      </c>
      <c r="B1854" s="197" t="s">
        <v>5833</v>
      </c>
      <c r="C1854" s="197">
        <v>1980</v>
      </c>
      <c r="D1854" s="225" t="str">
        <f t="shared" si="12"/>
        <v>2045_1980</v>
      </c>
      <c r="E1854" s="1226">
        <v>0.10774155195323599</v>
      </c>
      <c r="F1854" s="1257">
        <v>1.6832279618594699E-3</v>
      </c>
      <c r="G1854" s="1280">
        <v>7.2103199146484498E-2</v>
      </c>
      <c r="H1854" s="1271">
        <v>0.24794755490436199</v>
      </c>
      <c r="I1854" s="1257">
        <v>1.6582995434176899E-2</v>
      </c>
      <c r="J1854" s="1280">
        <v>0.20097357661187401</v>
      </c>
      <c r="K1854" s="1271">
        <v>2.2841434298506502E-2</v>
      </c>
      <c r="L1854" s="1257">
        <v>1.0477085044710199E-3</v>
      </c>
      <c r="M1854" s="1280">
        <v>1.7116080466866301E-2</v>
      </c>
      <c r="N1854" s="1271">
        <v>3.0000008598028201E-3</v>
      </c>
      <c r="O1854" s="1257">
        <v>2.0000005732018801E-3</v>
      </c>
      <c r="P1854" s="1257">
        <v>3.0000008598028201E-3</v>
      </c>
      <c r="Q1854" s="1280">
        <v>3.0000008598028201E-3</v>
      </c>
      <c r="R1854" s="1271">
        <v>3.1850009128239903E-2</v>
      </c>
      <c r="S1854" s="1257">
        <v>3.1850009128239903E-2</v>
      </c>
      <c r="T1854" s="1257">
        <v>3.1850009128239903E-2</v>
      </c>
      <c r="U1854" s="1280">
        <v>1.5925004564119952E-2</v>
      </c>
      <c r="V1854" s="1293">
        <v>2.3874222600121401E-2</v>
      </c>
    </row>
    <row r="1855" spans="1:22" s="212" customFormat="1" ht="15.5" x14ac:dyDescent="0.35">
      <c r="A1855" s="198">
        <v>2045</v>
      </c>
      <c r="B1855" s="197" t="s">
        <v>5833</v>
      </c>
      <c r="C1855" s="197">
        <v>1981</v>
      </c>
      <c r="D1855" s="225" t="str">
        <f t="shared" si="12"/>
        <v>2045_1981</v>
      </c>
      <c r="E1855" s="1226">
        <v>0.10774155195323599</v>
      </c>
      <c r="F1855" s="1257">
        <v>1.6832279618594699E-3</v>
      </c>
      <c r="G1855" s="1280">
        <v>7.2103199146484498E-2</v>
      </c>
      <c r="H1855" s="1271">
        <v>0.24794755490436199</v>
      </c>
      <c r="I1855" s="1257">
        <v>1.6582995434176899E-2</v>
      </c>
      <c r="J1855" s="1280">
        <v>0.20097357661187401</v>
      </c>
      <c r="K1855" s="1271">
        <v>2.2841434298506502E-2</v>
      </c>
      <c r="L1855" s="1257">
        <v>1.0477085044710199E-3</v>
      </c>
      <c r="M1855" s="1280">
        <v>1.7116080466866301E-2</v>
      </c>
      <c r="N1855" s="1271">
        <v>3.0000008598028201E-3</v>
      </c>
      <c r="O1855" s="1257">
        <v>2.0000005732018801E-3</v>
      </c>
      <c r="P1855" s="1257">
        <v>3.0000008598028201E-3</v>
      </c>
      <c r="Q1855" s="1280">
        <v>3.0000008598028201E-3</v>
      </c>
      <c r="R1855" s="1271">
        <v>3.1850009128239903E-2</v>
      </c>
      <c r="S1855" s="1257">
        <v>3.1850009128239903E-2</v>
      </c>
      <c r="T1855" s="1257">
        <v>3.1850009128239903E-2</v>
      </c>
      <c r="U1855" s="1280">
        <v>1.5925004564119952E-2</v>
      </c>
      <c r="V1855" s="1293">
        <v>2.3874222600121401E-2</v>
      </c>
    </row>
    <row r="1856" spans="1:22" s="212" customFormat="1" ht="15.5" x14ac:dyDescent="0.35">
      <c r="A1856" s="198">
        <v>2045</v>
      </c>
      <c r="B1856" s="197" t="s">
        <v>5833</v>
      </c>
      <c r="C1856" s="197">
        <v>1982</v>
      </c>
      <c r="D1856" s="225" t="str">
        <f t="shared" si="12"/>
        <v>2045_1982</v>
      </c>
      <c r="E1856" s="1226">
        <v>0.10774155195323599</v>
      </c>
      <c r="F1856" s="1257">
        <v>1.6832279618594699E-3</v>
      </c>
      <c r="G1856" s="1280">
        <v>7.2103199146484498E-2</v>
      </c>
      <c r="H1856" s="1271">
        <v>0.24794755490436199</v>
      </c>
      <c r="I1856" s="1257">
        <v>1.6582995434176899E-2</v>
      </c>
      <c r="J1856" s="1280">
        <v>0.20097357661187401</v>
      </c>
      <c r="K1856" s="1271">
        <v>2.2841434298506502E-2</v>
      </c>
      <c r="L1856" s="1257">
        <v>1.0477085044710199E-3</v>
      </c>
      <c r="M1856" s="1280">
        <v>1.7116080466866301E-2</v>
      </c>
      <c r="N1856" s="1271">
        <v>3.0000008598028201E-3</v>
      </c>
      <c r="O1856" s="1257">
        <v>2.0000005732018801E-3</v>
      </c>
      <c r="P1856" s="1257">
        <v>3.0000008598028201E-3</v>
      </c>
      <c r="Q1856" s="1280">
        <v>3.0000008598028201E-3</v>
      </c>
      <c r="R1856" s="1271">
        <v>3.1850009128239903E-2</v>
      </c>
      <c r="S1856" s="1257">
        <v>3.1850009128239903E-2</v>
      </c>
      <c r="T1856" s="1257">
        <v>3.1850009128239903E-2</v>
      </c>
      <c r="U1856" s="1280">
        <v>1.5925004564119952E-2</v>
      </c>
      <c r="V1856" s="1293">
        <v>2.3874222600121401E-2</v>
      </c>
    </row>
    <row r="1857" spans="1:22" s="212" customFormat="1" ht="15.5" x14ac:dyDescent="0.35">
      <c r="A1857" s="198">
        <v>2045</v>
      </c>
      <c r="B1857" s="197" t="s">
        <v>5833</v>
      </c>
      <c r="C1857" s="197">
        <v>1983</v>
      </c>
      <c r="D1857" s="225" t="str">
        <f t="shared" si="12"/>
        <v>2045_1983</v>
      </c>
      <c r="E1857" s="1226">
        <v>0.10774155195323599</v>
      </c>
      <c r="F1857" s="1257">
        <v>1.6832279618594699E-3</v>
      </c>
      <c r="G1857" s="1280">
        <v>7.2103199146484498E-2</v>
      </c>
      <c r="H1857" s="1271">
        <v>0.24794755490436199</v>
      </c>
      <c r="I1857" s="1257">
        <v>1.6582995434176899E-2</v>
      </c>
      <c r="J1857" s="1280">
        <v>0.20097357661187401</v>
      </c>
      <c r="K1857" s="1271">
        <v>2.2841434298506502E-2</v>
      </c>
      <c r="L1857" s="1257">
        <v>1.0477085044710199E-3</v>
      </c>
      <c r="M1857" s="1280">
        <v>1.7116080466866301E-2</v>
      </c>
      <c r="N1857" s="1271">
        <v>3.0000008598028201E-3</v>
      </c>
      <c r="O1857" s="1257">
        <v>2.0000005732018801E-3</v>
      </c>
      <c r="P1857" s="1257">
        <v>3.0000008598028201E-3</v>
      </c>
      <c r="Q1857" s="1280">
        <v>3.0000008598028201E-3</v>
      </c>
      <c r="R1857" s="1271">
        <v>3.1850009128239903E-2</v>
      </c>
      <c r="S1857" s="1257">
        <v>3.1850009128239903E-2</v>
      </c>
      <c r="T1857" s="1257">
        <v>3.1850009128239903E-2</v>
      </c>
      <c r="U1857" s="1280">
        <v>1.5925004564119952E-2</v>
      </c>
      <c r="V1857" s="1293">
        <v>2.3874222600121401E-2</v>
      </c>
    </row>
    <row r="1858" spans="1:22" s="212" customFormat="1" ht="15.5" x14ac:dyDescent="0.35">
      <c r="A1858" s="198">
        <v>2045</v>
      </c>
      <c r="B1858" s="197" t="s">
        <v>5833</v>
      </c>
      <c r="C1858" s="197">
        <v>1984</v>
      </c>
      <c r="D1858" s="225" t="str">
        <f t="shared" si="12"/>
        <v>2045_1984</v>
      </c>
      <c r="E1858" s="1226">
        <v>0.10774155195323599</v>
      </c>
      <c r="F1858" s="1257">
        <v>1.6832279618594699E-3</v>
      </c>
      <c r="G1858" s="1280">
        <v>7.2103199146484498E-2</v>
      </c>
      <c r="H1858" s="1271">
        <v>0.24794755490436199</v>
      </c>
      <c r="I1858" s="1257">
        <v>1.6582995434176899E-2</v>
      </c>
      <c r="J1858" s="1280">
        <v>0.20097357661187401</v>
      </c>
      <c r="K1858" s="1271">
        <v>2.2841434298506502E-2</v>
      </c>
      <c r="L1858" s="1257">
        <v>1.0477085044710199E-3</v>
      </c>
      <c r="M1858" s="1280">
        <v>1.7116080466866301E-2</v>
      </c>
      <c r="N1858" s="1271">
        <v>3.0000008598028201E-3</v>
      </c>
      <c r="O1858" s="1257">
        <v>2.0000005732018801E-3</v>
      </c>
      <c r="P1858" s="1257">
        <v>3.0000008598028201E-3</v>
      </c>
      <c r="Q1858" s="1280">
        <v>3.0000008598028201E-3</v>
      </c>
      <c r="R1858" s="1271">
        <v>3.1850009128239903E-2</v>
      </c>
      <c r="S1858" s="1257">
        <v>3.1850009128239903E-2</v>
      </c>
      <c r="T1858" s="1257">
        <v>3.1850009128239903E-2</v>
      </c>
      <c r="U1858" s="1280">
        <v>1.5925004564119952E-2</v>
      </c>
      <c r="V1858" s="1293">
        <v>2.3874222600121401E-2</v>
      </c>
    </row>
    <row r="1859" spans="1:22" s="212" customFormat="1" ht="15.5" x14ac:dyDescent="0.35">
      <c r="A1859" s="198">
        <v>2045</v>
      </c>
      <c r="B1859" s="197" t="s">
        <v>5833</v>
      </c>
      <c r="C1859" s="197">
        <v>1985</v>
      </c>
      <c r="D1859" s="225" t="str">
        <f t="shared" si="12"/>
        <v>2045_1985</v>
      </c>
      <c r="E1859" s="1226">
        <v>0.10774155195323599</v>
      </c>
      <c r="F1859" s="1257">
        <v>1.6832279618594699E-3</v>
      </c>
      <c r="G1859" s="1280">
        <v>7.2103199146484498E-2</v>
      </c>
      <c r="H1859" s="1271">
        <v>0.24794755490436199</v>
      </c>
      <c r="I1859" s="1257">
        <v>1.6582995434176899E-2</v>
      </c>
      <c r="J1859" s="1280">
        <v>0.20097357661187401</v>
      </c>
      <c r="K1859" s="1271">
        <v>2.2841434298506502E-2</v>
      </c>
      <c r="L1859" s="1257">
        <v>1.0477085044710199E-3</v>
      </c>
      <c r="M1859" s="1280">
        <v>1.7116080466866301E-2</v>
      </c>
      <c r="N1859" s="1271">
        <v>3.0000008598028201E-3</v>
      </c>
      <c r="O1859" s="1257">
        <v>2.0000005732018801E-3</v>
      </c>
      <c r="P1859" s="1257">
        <v>3.0000008598028201E-3</v>
      </c>
      <c r="Q1859" s="1280">
        <v>3.0000008598028201E-3</v>
      </c>
      <c r="R1859" s="1271">
        <v>3.1850009128239903E-2</v>
      </c>
      <c r="S1859" s="1257">
        <v>3.1850009128239903E-2</v>
      </c>
      <c r="T1859" s="1257">
        <v>3.1850009128239903E-2</v>
      </c>
      <c r="U1859" s="1280">
        <v>1.5925004564119952E-2</v>
      </c>
      <c r="V1859" s="1293">
        <v>2.3874222600121401E-2</v>
      </c>
    </row>
    <row r="1860" spans="1:22" s="212" customFormat="1" ht="15.5" x14ac:dyDescent="0.35">
      <c r="A1860" s="198">
        <v>2045</v>
      </c>
      <c r="B1860" s="197" t="s">
        <v>5833</v>
      </c>
      <c r="C1860" s="197">
        <v>1986</v>
      </c>
      <c r="D1860" s="225" t="str">
        <f t="shared" si="12"/>
        <v>2045_1986</v>
      </c>
      <c r="E1860" s="1226">
        <v>0.10774155195323599</v>
      </c>
      <c r="F1860" s="1257">
        <v>1.6832279618594699E-3</v>
      </c>
      <c r="G1860" s="1280">
        <v>7.2103199146484498E-2</v>
      </c>
      <c r="H1860" s="1271">
        <v>0.24794755490436199</v>
      </c>
      <c r="I1860" s="1257">
        <v>1.6582995434176899E-2</v>
      </c>
      <c r="J1860" s="1280">
        <v>0.20097357661187401</v>
      </c>
      <c r="K1860" s="1271">
        <v>2.2841434298506502E-2</v>
      </c>
      <c r="L1860" s="1257">
        <v>1.0477085044710199E-3</v>
      </c>
      <c r="M1860" s="1280">
        <v>1.7116080466866301E-2</v>
      </c>
      <c r="N1860" s="1271">
        <v>3.0000008598028201E-3</v>
      </c>
      <c r="O1860" s="1257">
        <v>2.0000005732018801E-3</v>
      </c>
      <c r="P1860" s="1257">
        <v>3.0000008598028201E-3</v>
      </c>
      <c r="Q1860" s="1280">
        <v>3.0000008598028201E-3</v>
      </c>
      <c r="R1860" s="1271">
        <v>3.1850009128239903E-2</v>
      </c>
      <c r="S1860" s="1257">
        <v>3.1850009128239903E-2</v>
      </c>
      <c r="T1860" s="1257">
        <v>3.1850009128239903E-2</v>
      </c>
      <c r="U1860" s="1280">
        <v>1.5925004564119952E-2</v>
      </c>
      <c r="V1860" s="1293">
        <v>2.3874222600121401E-2</v>
      </c>
    </row>
    <row r="1861" spans="1:22" s="212" customFormat="1" ht="15.5" x14ac:dyDescent="0.35">
      <c r="A1861" s="198">
        <v>2045</v>
      </c>
      <c r="B1861" s="197" t="s">
        <v>5833</v>
      </c>
      <c r="C1861" s="197">
        <v>1987</v>
      </c>
      <c r="D1861" s="225" t="str">
        <f t="shared" si="12"/>
        <v>2045_1987</v>
      </c>
      <c r="E1861" s="1226">
        <v>0.10774155195323599</v>
      </c>
      <c r="F1861" s="1257">
        <v>1.6832279618594699E-3</v>
      </c>
      <c r="G1861" s="1280">
        <v>7.2103199146484498E-2</v>
      </c>
      <c r="H1861" s="1271">
        <v>0.24794755490436199</v>
      </c>
      <c r="I1861" s="1257">
        <v>1.6582995434176899E-2</v>
      </c>
      <c r="J1861" s="1280">
        <v>0.20097357661187401</v>
      </c>
      <c r="K1861" s="1271">
        <v>2.2841434298506502E-2</v>
      </c>
      <c r="L1861" s="1257">
        <v>1.0477085044710199E-3</v>
      </c>
      <c r="M1861" s="1280">
        <v>1.7116080466866301E-2</v>
      </c>
      <c r="N1861" s="1271">
        <v>3.0000008598028201E-3</v>
      </c>
      <c r="O1861" s="1257">
        <v>2.0000005732018801E-3</v>
      </c>
      <c r="P1861" s="1257">
        <v>3.0000008598028201E-3</v>
      </c>
      <c r="Q1861" s="1280">
        <v>3.0000008598028201E-3</v>
      </c>
      <c r="R1861" s="1271">
        <v>3.1850009128239903E-2</v>
      </c>
      <c r="S1861" s="1257">
        <v>3.1850009128239903E-2</v>
      </c>
      <c r="T1861" s="1257">
        <v>3.1850009128239903E-2</v>
      </c>
      <c r="U1861" s="1280">
        <v>1.5925004564119952E-2</v>
      </c>
      <c r="V1861" s="1293">
        <v>2.3874222600121401E-2</v>
      </c>
    </row>
    <row r="1862" spans="1:22" s="212" customFormat="1" ht="15.5" x14ac:dyDescent="0.35">
      <c r="A1862" s="198">
        <v>2045</v>
      </c>
      <c r="B1862" s="197" t="s">
        <v>5833</v>
      </c>
      <c r="C1862" s="197">
        <v>1988</v>
      </c>
      <c r="D1862" s="225" t="str">
        <f t="shared" si="12"/>
        <v>2045_1988</v>
      </c>
      <c r="E1862" s="1226">
        <v>0.10774155195323599</v>
      </c>
      <c r="F1862" s="1257">
        <v>1.6832279618594699E-3</v>
      </c>
      <c r="G1862" s="1280">
        <v>7.2103199146484498E-2</v>
      </c>
      <c r="H1862" s="1271">
        <v>0.24794755490436199</v>
      </c>
      <c r="I1862" s="1257">
        <v>1.6582995434176899E-2</v>
      </c>
      <c r="J1862" s="1280">
        <v>0.20097357661187401</v>
      </c>
      <c r="K1862" s="1271">
        <v>2.2841434298506502E-2</v>
      </c>
      <c r="L1862" s="1257">
        <v>1.0477085044710199E-3</v>
      </c>
      <c r="M1862" s="1280">
        <v>1.7116080466866301E-2</v>
      </c>
      <c r="N1862" s="1271">
        <v>3.0000008598028201E-3</v>
      </c>
      <c r="O1862" s="1257">
        <v>2.0000005732018801E-3</v>
      </c>
      <c r="P1862" s="1257">
        <v>3.0000008598028201E-3</v>
      </c>
      <c r="Q1862" s="1280">
        <v>3.0000008598028201E-3</v>
      </c>
      <c r="R1862" s="1271">
        <v>3.1850009128239903E-2</v>
      </c>
      <c r="S1862" s="1257">
        <v>3.1850009128239903E-2</v>
      </c>
      <c r="T1862" s="1257">
        <v>3.1850009128239903E-2</v>
      </c>
      <c r="U1862" s="1280">
        <v>1.5925004564119952E-2</v>
      </c>
      <c r="V1862" s="1293">
        <v>2.3874222600121401E-2</v>
      </c>
    </row>
    <row r="1863" spans="1:22" s="212" customFormat="1" ht="15.5" x14ac:dyDescent="0.35">
      <c r="A1863" s="198">
        <v>2045</v>
      </c>
      <c r="B1863" s="197" t="s">
        <v>5833</v>
      </c>
      <c r="C1863" s="197">
        <v>1989</v>
      </c>
      <c r="D1863" s="225" t="str">
        <f t="shared" si="12"/>
        <v>2045_1989</v>
      </c>
      <c r="E1863" s="1226">
        <v>0.10774155195323599</v>
      </c>
      <c r="F1863" s="1257">
        <v>1.6832279618594699E-3</v>
      </c>
      <c r="G1863" s="1280">
        <v>7.2103199146484498E-2</v>
      </c>
      <c r="H1863" s="1271">
        <v>0.24794755490436199</v>
      </c>
      <c r="I1863" s="1257">
        <v>1.6582995434176899E-2</v>
      </c>
      <c r="J1863" s="1280">
        <v>0.20097357661187401</v>
      </c>
      <c r="K1863" s="1271">
        <v>2.2841434298506502E-2</v>
      </c>
      <c r="L1863" s="1257">
        <v>1.0477085044710199E-3</v>
      </c>
      <c r="M1863" s="1280">
        <v>1.7116080466866301E-2</v>
      </c>
      <c r="N1863" s="1271">
        <v>3.0000008598028201E-3</v>
      </c>
      <c r="O1863" s="1257">
        <v>2.0000005732018801E-3</v>
      </c>
      <c r="P1863" s="1257">
        <v>3.0000008598028201E-3</v>
      </c>
      <c r="Q1863" s="1280">
        <v>3.0000008598028201E-3</v>
      </c>
      <c r="R1863" s="1271">
        <v>3.1850009128239903E-2</v>
      </c>
      <c r="S1863" s="1257">
        <v>3.1850009128239903E-2</v>
      </c>
      <c r="T1863" s="1257">
        <v>3.1850009128239903E-2</v>
      </c>
      <c r="U1863" s="1280">
        <v>1.5925004564119952E-2</v>
      </c>
      <c r="V1863" s="1293">
        <v>2.3874222600121401E-2</v>
      </c>
    </row>
    <row r="1864" spans="1:22" s="212" customFormat="1" ht="15.5" x14ac:dyDescent="0.35">
      <c r="A1864" s="198">
        <v>2045</v>
      </c>
      <c r="B1864" s="197" t="s">
        <v>5833</v>
      </c>
      <c r="C1864" s="197">
        <v>1990</v>
      </c>
      <c r="D1864" s="225" t="str">
        <f t="shared" si="12"/>
        <v>2045_1990</v>
      </c>
      <c r="E1864" s="1226">
        <v>0.10774155195323599</v>
      </c>
      <c r="F1864" s="1257">
        <v>1.6832279618594699E-3</v>
      </c>
      <c r="G1864" s="1280">
        <v>7.2103199146484498E-2</v>
      </c>
      <c r="H1864" s="1271">
        <v>0.24794755490436199</v>
      </c>
      <c r="I1864" s="1257">
        <v>1.6582995434176899E-2</v>
      </c>
      <c r="J1864" s="1280">
        <v>0.20097357661187401</v>
      </c>
      <c r="K1864" s="1271">
        <v>2.2841434298506502E-2</v>
      </c>
      <c r="L1864" s="1257">
        <v>1.0477085044710199E-3</v>
      </c>
      <c r="M1864" s="1280">
        <v>1.7116080466866301E-2</v>
      </c>
      <c r="N1864" s="1271">
        <v>3.0000008598028201E-3</v>
      </c>
      <c r="O1864" s="1257">
        <v>2.0000005732018801E-3</v>
      </c>
      <c r="P1864" s="1257">
        <v>3.0000008598028201E-3</v>
      </c>
      <c r="Q1864" s="1280">
        <v>3.0000008598028201E-3</v>
      </c>
      <c r="R1864" s="1271">
        <v>3.1850009128239903E-2</v>
      </c>
      <c r="S1864" s="1257">
        <v>3.1850009128239903E-2</v>
      </c>
      <c r="T1864" s="1257">
        <v>3.1850009128239903E-2</v>
      </c>
      <c r="U1864" s="1280">
        <v>1.5925004564119952E-2</v>
      </c>
      <c r="V1864" s="1293">
        <v>2.3874222600121401E-2</v>
      </c>
    </row>
    <row r="1865" spans="1:22" s="212" customFormat="1" ht="15.5" x14ac:dyDescent="0.35">
      <c r="A1865" s="198">
        <v>2045</v>
      </c>
      <c r="B1865" s="197" t="s">
        <v>5833</v>
      </c>
      <c r="C1865" s="197">
        <v>1991</v>
      </c>
      <c r="D1865" s="225" t="str">
        <f t="shared" si="12"/>
        <v>2045_1991</v>
      </c>
      <c r="E1865" s="1226">
        <v>0.10774155195323599</v>
      </c>
      <c r="F1865" s="1257">
        <v>1.6832279618594699E-3</v>
      </c>
      <c r="G1865" s="1280">
        <v>7.2103199146484498E-2</v>
      </c>
      <c r="H1865" s="1271">
        <v>0.24794755490436199</v>
      </c>
      <c r="I1865" s="1257">
        <v>1.6582995434176899E-2</v>
      </c>
      <c r="J1865" s="1280">
        <v>0.20097357661187401</v>
      </c>
      <c r="K1865" s="1271">
        <v>2.2841434298506502E-2</v>
      </c>
      <c r="L1865" s="1257">
        <v>1.0477085044710199E-3</v>
      </c>
      <c r="M1865" s="1280">
        <v>1.7116080466866301E-2</v>
      </c>
      <c r="N1865" s="1271">
        <v>3.0000008598028201E-3</v>
      </c>
      <c r="O1865" s="1257">
        <v>2.0000005732018801E-3</v>
      </c>
      <c r="P1865" s="1257">
        <v>3.0000008598028201E-3</v>
      </c>
      <c r="Q1865" s="1280">
        <v>3.0000008598028201E-3</v>
      </c>
      <c r="R1865" s="1271">
        <v>3.1850009128239903E-2</v>
      </c>
      <c r="S1865" s="1257">
        <v>3.1850009128239903E-2</v>
      </c>
      <c r="T1865" s="1257">
        <v>3.1850009128239903E-2</v>
      </c>
      <c r="U1865" s="1280">
        <v>1.5925004564119952E-2</v>
      </c>
      <c r="V1865" s="1293">
        <v>2.3874222600121401E-2</v>
      </c>
    </row>
    <row r="1866" spans="1:22" s="212" customFormat="1" ht="15.5" x14ac:dyDescent="0.35">
      <c r="A1866" s="198">
        <v>2045</v>
      </c>
      <c r="B1866" s="197" t="s">
        <v>5833</v>
      </c>
      <c r="C1866" s="197">
        <v>1992</v>
      </c>
      <c r="D1866" s="225" t="str">
        <f t="shared" si="12"/>
        <v>2045_1992</v>
      </c>
      <c r="E1866" s="1226">
        <v>0.10774155195323599</v>
      </c>
      <c r="F1866" s="1257">
        <v>1.6832279618594699E-3</v>
      </c>
      <c r="G1866" s="1280">
        <v>7.2103199146484498E-2</v>
      </c>
      <c r="H1866" s="1271">
        <v>0.24794755490436199</v>
      </c>
      <c r="I1866" s="1257">
        <v>1.6582995434176899E-2</v>
      </c>
      <c r="J1866" s="1280">
        <v>0.20097357661187401</v>
      </c>
      <c r="K1866" s="1271">
        <v>2.2841434298506502E-2</v>
      </c>
      <c r="L1866" s="1257">
        <v>1.0477085044710199E-3</v>
      </c>
      <c r="M1866" s="1280">
        <v>1.7116080466866301E-2</v>
      </c>
      <c r="N1866" s="1271">
        <v>3.0000008598028201E-3</v>
      </c>
      <c r="O1866" s="1257">
        <v>2.0000005732018801E-3</v>
      </c>
      <c r="P1866" s="1257">
        <v>3.0000008598028201E-3</v>
      </c>
      <c r="Q1866" s="1280">
        <v>3.0000008598028201E-3</v>
      </c>
      <c r="R1866" s="1271">
        <v>3.1850009128239903E-2</v>
      </c>
      <c r="S1866" s="1257">
        <v>3.1850009128239903E-2</v>
      </c>
      <c r="T1866" s="1257">
        <v>3.1850009128239903E-2</v>
      </c>
      <c r="U1866" s="1280">
        <v>1.5925004564119952E-2</v>
      </c>
      <c r="V1866" s="1293">
        <v>2.3874222600121401E-2</v>
      </c>
    </row>
    <row r="1867" spans="1:22" s="212" customFormat="1" ht="15.5" x14ac:dyDescent="0.35">
      <c r="A1867" s="198">
        <v>2045</v>
      </c>
      <c r="B1867" s="197" t="s">
        <v>5833</v>
      </c>
      <c r="C1867" s="197">
        <v>1993</v>
      </c>
      <c r="D1867" s="225" t="str">
        <f t="shared" si="12"/>
        <v>2045_1993</v>
      </c>
      <c r="E1867" s="1226">
        <v>0.10774155195323599</v>
      </c>
      <c r="F1867" s="1257">
        <v>1.6832279618594699E-3</v>
      </c>
      <c r="G1867" s="1280">
        <v>7.2103199146484498E-2</v>
      </c>
      <c r="H1867" s="1271">
        <v>0.24794755490436199</v>
      </c>
      <c r="I1867" s="1257">
        <v>1.6582995434176899E-2</v>
      </c>
      <c r="J1867" s="1280">
        <v>0.20097357661187401</v>
      </c>
      <c r="K1867" s="1271">
        <v>2.2841434298506502E-2</v>
      </c>
      <c r="L1867" s="1257">
        <v>1.0477085044710199E-3</v>
      </c>
      <c r="M1867" s="1280">
        <v>1.7116080466866301E-2</v>
      </c>
      <c r="N1867" s="1271">
        <v>3.0000008598028201E-3</v>
      </c>
      <c r="O1867" s="1257">
        <v>2.0000005732018801E-3</v>
      </c>
      <c r="P1867" s="1257">
        <v>3.0000008598028201E-3</v>
      </c>
      <c r="Q1867" s="1280">
        <v>3.0000008598028201E-3</v>
      </c>
      <c r="R1867" s="1271">
        <v>3.1850009128239903E-2</v>
      </c>
      <c r="S1867" s="1257">
        <v>3.1850009128239903E-2</v>
      </c>
      <c r="T1867" s="1257">
        <v>3.1850009128239903E-2</v>
      </c>
      <c r="U1867" s="1280">
        <v>1.5925004564119952E-2</v>
      </c>
      <c r="V1867" s="1293">
        <v>2.3874222600121401E-2</v>
      </c>
    </row>
    <row r="1868" spans="1:22" s="212" customFormat="1" ht="15.5" x14ac:dyDescent="0.35">
      <c r="A1868" s="198">
        <v>2045</v>
      </c>
      <c r="B1868" s="197" t="s">
        <v>5833</v>
      </c>
      <c r="C1868" s="197">
        <v>1994</v>
      </c>
      <c r="D1868" s="225" t="str">
        <f t="shared" si="12"/>
        <v>2045_1994</v>
      </c>
      <c r="E1868" s="1226">
        <v>0.10774155195323599</v>
      </c>
      <c r="F1868" s="1257">
        <v>1.6832279618594699E-3</v>
      </c>
      <c r="G1868" s="1280">
        <v>7.2103199146484498E-2</v>
      </c>
      <c r="H1868" s="1271">
        <v>0.24794755490436199</v>
      </c>
      <c r="I1868" s="1257">
        <v>1.6582995434176899E-2</v>
      </c>
      <c r="J1868" s="1280">
        <v>0.20097357661187401</v>
      </c>
      <c r="K1868" s="1271">
        <v>2.2841434298506502E-2</v>
      </c>
      <c r="L1868" s="1257">
        <v>1.0477085044710199E-3</v>
      </c>
      <c r="M1868" s="1280">
        <v>1.7116080466866301E-2</v>
      </c>
      <c r="N1868" s="1271">
        <v>3.0000008598028201E-3</v>
      </c>
      <c r="O1868" s="1257">
        <v>2.0000005732018801E-3</v>
      </c>
      <c r="P1868" s="1257">
        <v>3.0000008598028201E-3</v>
      </c>
      <c r="Q1868" s="1280">
        <v>3.0000008598028201E-3</v>
      </c>
      <c r="R1868" s="1271">
        <v>3.1850009128239903E-2</v>
      </c>
      <c r="S1868" s="1257">
        <v>3.1850009128239903E-2</v>
      </c>
      <c r="T1868" s="1257">
        <v>3.1850009128239903E-2</v>
      </c>
      <c r="U1868" s="1280">
        <v>1.5925004564119952E-2</v>
      </c>
      <c r="V1868" s="1293">
        <v>2.3874222600121401E-2</v>
      </c>
    </row>
    <row r="1869" spans="1:22" s="212" customFormat="1" ht="15.5" x14ac:dyDescent="0.35">
      <c r="A1869" s="198">
        <v>2045</v>
      </c>
      <c r="B1869" s="197" t="s">
        <v>5833</v>
      </c>
      <c r="C1869" s="197">
        <v>1995</v>
      </c>
      <c r="D1869" s="225" t="str">
        <f t="shared" si="12"/>
        <v>2045_1995</v>
      </c>
      <c r="E1869" s="1226">
        <v>0.10774155195323599</v>
      </c>
      <c r="F1869" s="1257">
        <v>1.6832279618594699E-3</v>
      </c>
      <c r="G1869" s="1280">
        <v>7.2103199146484498E-2</v>
      </c>
      <c r="H1869" s="1271">
        <v>0.24794755490436199</v>
      </c>
      <c r="I1869" s="1257">
        <v>1.6582995434176899E-2</v>
      </c>
      <c r="J1869" s="1280">
        <v>0.20097357661187401</v>
      </c>
      <c r="K1869" s="1271">
        <v>2.2841434298506502E-2</v>
      </c>
      <c r="L1869" s="1257">
        <v>1.0477085044710199E-3</v>
      </c>
      <c r="M1869" s="1280">
        <v>1.7116080466866301E-2</v>
      </c>
      <c r="N1869" s="1271">
        <v>3.0000008598028201E-3</v>
      </c>
      <c r="O1869" s="1257">
        <v>2.0000005732018801E-3</v>
      </c>
      <c r="P1869" s="1257">
        <v>3.0000008598028201E-3</v>
      </c>
      <c r="Q1869" s="1280">
        <v>3.0000008598028201E-3</v>
      </c>
      <c r="R1869" s="1271">
        <v>3.1850009128239903E-2</v>
      </c>
      <c r="S1869" s="1257">
        <v>3.1850009128239903E-2</v>
      </c>
      <c r="T1869" s="1257">
        <v>3.1850009128239903E-2</v>
      </c>
      <c r="U1869" s="1280">
        <v>1.5925004564119952E-2</v>
      </c>
      <c r="V1869" s="1293">
        <v>2.3874222600121401E-2</v>
      </c>
    </row>
    <row r="1870" spans="1:22" s="212" customFormat="1" ht="15.5" x14ac:dyDescent="0.35">
      <c r="A1870" s="198">
        <v>2045</v>
      </c>
      <c r="B1870" s="197" t="s">
        <v>5833</v>
      </c>
      <c r="C1870" s="197">
        <v>1996</v>
      </c>
      <c r="D1870" s="225" t="str">
        <f t="shared" si="12"/>
        <v>2045_1996</v>
      </c>
      <c r="E1870" s="1226">
        <v>0.10774155195323599</v>
      </c>
      <c r="F1870" s="1257">
        <v>1.6832279618594699E-3</v>
      </c>
      <c r="G1870" s="1280">
        <v>7.2103199146484498E-2</v>
      </c>
      <c r="H1870" s="1271">
        <v>0.24794755490436199</v>
      </c>
      <c r="I1870" s="1257">
        <v>1.6582995434176899E-2</v>
      </c>
      <c r="J1870" s="1280">
        <v>0.20097357661187401</v>
      </c>
      <c r="K1870" s="1271">
        <v>2.2841434298506502E-2</v>
      </c>
      <c r="L1870" s="1257">
        <v>1.0477085044710199E-3</v>
      </c>
      <c r="M1870" s="1280">
        <v>1.7116080466866301E-2</v>
      </c>
      <c r="N1870" s="1271">
        <v>3.0000008598028201E-3</v>
      </c>
      <c r="O1870" s="1257">
        <v>2.0000005732018801E-3</v>
      </c>
      <c r="P1870" s="1257">
        <v>3.0000008598028201E-3</v>
      </c>
      <c r="Q1870" s="1280">
        <v>3.0000008598028201E-3</v>
      </c>
      <c r="R1870" s="1271">
        <v>3.1850009128239903E-2</v>
      </c>
      <c r="S1870" s="1257">
        <v>3.1850009128239903E-2</v>
      </c>
      <c r="T1870" s="1257">
        <v>3.1850009128239903E-2</v>
      </c>
      <c r="U1870" s="1280">
        <v>1.5925004564119952E-2</v>
      </c>
      <c r="V1870" s="1293">
        <v>2.3874222600121401E-2</v>
      </c>
    </row>
    <row r="1871" spans="1:22" s="212" customFormat="1" ht="15.5" x14ac:dyDescent="0.35">
      <c r="A1871" s="198">
        <v>2045</v>
      </c>
      <c r="B1871" s="197" t="s">
        <v>5833</v>
      </c>
      <c r="C1871" s="197">
        <v>1997</v>
      </c>
      <c r="D1871" s="225" t="str">
        <f t="shared" si="12"/>
        <v>2045_1997</v>
      </c>
      <c r="E1871" s="1226">
        <v>0.10774155195323599</v>
      </c>
      <c r="F1871" s="1257">
        <v>1.6832279618594699E-3</v>
      </c>
      <c r="G1871" s="1280">
        <v>7.2103199146484498E-2</v>
      </c>
      <c r="H1871" s="1271">
        <v>0.24794755490436199</v>
      </c>
      <c r="I1871" s="1257">
        <v>1.6582995434176899E-2</v>
      </c>
      <c r="J1871" s="1280">
        <v>0.20097357661187401</v>
      </c>
      <c r="K1871" s="1271">
        <v>2.2841434298506502E-2</v>
      </c>
      <c r="L1871" s="1257">
        <v>1.0477085044710199E-3</v>
      </c>
      <c r="M1871" s="1280">
        <v>1.7116080466866301E-2</v>
      </c>
      <c r="N1871" s="1271">
        <v>3.0000008598028201E-3</v>
      </c>
      <c r="O1871" s="1257">
        <v>2.0000005732018801E-3</v>
      </c>
      <c r="P1871" s="1257">
        <v>3.0000008598028201E-3</v>
      </c>
      <c r="Q1871" s="1280">
        <v>3.0000008598028201E-3</v>
      </c>
      <c r="R1871" s="1271">
        <v>3.1850009128239903E-2</v>
      </c>
      <c r="S1871" s="1257">
        <v>3.1850009128239903E-2</v>
      </c>
      <c r="T1871" s="1257">
        <v>3.1850009128239903E-2</v>
      </c>
      <c r="U1871" s="1280">
        <v>1.5925004564119952E-2</v>
      </c>
      <c r="V1871" s="1293">
        <v>2.3874222600121401E-2</v>
      </c>
    </row>
    <row r="1872" spans="1:22" s="212" customFormat="1" ht="15.5" x14ac:dyDescent="0.35">
      <c r="A1872" s="198">
        <v>2045</v>
      </c>
      <c r="B1872" s="197" t="s">
        <v>5833</v>
      </c>
      <c r="C1872" s="197">
        <v>1998</v>
      </c>
      <c r="D1872" s="225" t="str">
        <f t="shared" si="12"/>
        <v>2045_1998</v>
      </c>
      <c r="E1872" s="1226">
        <v>0.10774155195323599</v>
      </c>
      <c r="F1872" s="1257">
        <v>1.6832279618594699E-3</v>
      </c>
      <c r="G1872" s="1280">
        <v>7.2103199146484498E-2</v>
      </c>
      <c r="H1872" s="1271">
        <v>0.24794755490436199</v>
      </c>
      <c r="I1872" s="1257">
        <v>1.6582995434176899E-2</v>
      </c>
      <c r="J1872" s="1280">
        <v>0.20097357661187401</v>
      </c>
      <c r="K1872" s="1271">
        <v>2.2841434298506502E-2</v>
      </c>
      <c r="L1872" s="1257">
        <v>1.0477085044710199E-3</v>
      </c>
      <c r="M1872" s="1280">
        <v>1.7116080466866301E-2</v>
      </c>
      <c r="N1872" s="1271">
        <v>3.0000008598028201E-3</v>
      </c>
      <c r="O1872" s="1257">
        <v>2.0000005732018801E-3</v>
      </c>
      <c r="P1872" s="1257">
        <v>3.0000008598028201E-3</v>
      </c>
      <c r="Q1872" s="1280">
        <v>3.0000008598028201E-3</v>
      </c>
      <c r="R1872" s="1271">
        <v>3.1850009128239903E-2</v>
      </c>
      <c r="S1872" s="1257">
        <v>3.1850009128239903E-2</v>
      </c>
      <c r="T1872" s="1257">
        <v>3.1850009128239903E-2</v>
      </c>
      <c r="U1872" s="1280">
        <v>1.5925004564119952E-2</v>
      </c>
      <c r="V1872" s="1293">
        <v>2.3874222600121401E-2</v>
      </c>
    </row>
    <row r="1873" spans="1:22" s="212" customFormat="1" ht="15.5" x14ac:dyDescent="0.35">
      <c r="A1873" s="198">
        <v>2045</v>
      </c>
      <c r="B1873" s="197" t="s">
        <v>5833</v>
      </c>
      <c r="C1873" s="197">
        <v>1999</v>
      </c>
      <c r="D1873" s="225" t="str">
        <f t="shared" si="12"/>
        <v>2045_1999</v>
      </c>
      <c r="E1873" s="1226">
        <v>0.10774155195323599</v>
      </c>
      <c r="F1873" s="1257">
        <v>1.6832279618594699E-3</v>
      </c>
      <c r="G1873" s="1280">
        <v>7.2103199146484498E-2</v>
      </c>
      <c r="H1873" s="1271">
        <v>0.24794755490436199</v>
      </c>
      <c r="I1873" s="1257">
        <v>1.6582995434176899E-2</v>
      </c>
      <c r="J1873" s="1280">
        <v>0.20097357661187401</v>
      </c>
      <c r="K1873" s="1271">
        <v>2.2841434298506502E-2</v>
      </c>
      <c r="L1873" s="1257">
        <v>1.0477085044710199E-3</v>
      </c>
      <c r="M1873" s="1280">
        <v>1.7116080466866301E-2</v>
      </c>
      <c r="N1873" s="1271">
        <v>3.0000008598028201E-3</v>
      </c>
      <c r="O1873" s="1257">
        <v>2.0000005732018801E-3</v>
      </c>
      <c r="P1873" s="1257">
        <v>3.0000008598028201E-3</v>
      </c>
      <c r="Q1873" s="1280">
        <v>3.0000008598028201E-3</v>
      </c>
      <c r="R1873" s="1271">
        <v>3.1850009128239903E-2</v>
      </c>
      <c r="S1873" s="1257">
        <v>3.1850009128239903E-2</v>
      </c>
      <c r="T1873" s="1257">
        <v>3.1850009128239903E-2</v>
      </c>
      <c r="U1873" s="1280">
        <v>1.5925004564119952E-2</v>
      </c>
      <c r="V1873" s="1293">
        <v>2.3874222600121401E-2</v>
      </c>
    </row>
    <row r="1874" spans="1:22" s="212" customFormat="1" ht="15.5" x14ac:dyDescent="0.35">
      <c r="A1874" s="198">
        <v>2045</v>
      </c>
      <c r="B1874" s="197" t="s">
        <v>5833</v>
      </c>
      <c r="C1874" s="197">
        <v>2000</v>
      </c>
      <c r="D1874" s="225" t="str">
        <f t="shared" si="12"/>
        <v>2045_2000</v>
      </c>
      <c r="E1874" s="1226">
        <v>0.10774155195323599</v>
      </c>
      <c r="F1874" s="1257">
        <v>1.6832279618594699E-3</v>
      </c>
      <c r="G1874" s="1280">
        <v>7.2103199146484498E-2</v>
      </c>
      <c r="H1874" s="1271">
        <v>0.24794755490436199</v>
      </c>
      <c r="I1874" s="1257">
        <v>1.6582995434176899E-2</v>
      </c>
      <c r="J1874" s="1280">
        <v>0.20097357661187401</v>
      </c>
      <c r="K1874" s="1271">
        <v>2.2841434298506502E-2</v>
      </c>
      <c r="L1874" s="1257">
        <v>1.0477085044710199E-3</v>
      </c>
      <c r="M1874" s="1280">
        <v>1.7116080466866301E-2</v>
      </c>
      <c r="N1874" s="1271">
        <v>3.0000008598028201E-3</v>
      </c>
      <c r="O1874" s="1257">
        <v>2.0000005732018801E-3</v>
      </c>
      <c r="P1874" s="1257">
        <v>3.0000008598028201E-3</v>
      </c>
      <c r="Q1874" s="1280">
        <v>3.0000008598028201E-3</v>
      </c>
      <c r="R1874" s="1271">
        <v>3.1850009128239903E-2</v>
      </c>
      <c r="S1874" s="1257">
        <v>3.1850009128239903E-2</v>
      </c>
      <c r="T1874" s="1257">
        <v>3.1850009128239903E-2</v>
      </c>
      <c r="U1874" s="1280">
        <v>1.5925004564119952E-2</v>
      </c>
      <c r="V1874" s="1293">
        <v>2.3874222600121401E-2</v>
      </c>
    </row>
    <row r="1875" spans="1:22" s="212" customFormat="1" ht="15.5" x14ac:dyDescent="0.35">
      <c r="A1875" s="198">
        <v>2045</v>
      </c>
      <c r="B1875" s="197" t="s">
        <v>5833</v>
      </c>
      <c r="C1875" s="197">
        <v>2001</v>
      </c>
      <c r="D1875" s="225" t="str">
        <f t="shared" si="12"/>
        <v>2045_2001</v>
      </c>
      <c r="E1875" s="1226">
        <v>0.10774155195323599</v>
      </c>
      <c r="F1875" s="1257">
        <v>1.6832279618594699E-3</v>
      </c>
      <c r="G1875" s="1280">
        <v>7.2103199146484498E-2</v>
      </c>
      <c r="H1875" s="1271">
        <v>0.24794755490436199</v>
      </c>
      <c r="I1875" s="1257">
        <v>1.6582995434176899E-2</v>
      </c>
      <c r="J1875" s="1280">
        <v>0.20097357661187401</v>
      </c>
      <c r="K1875" s="1271">
        <v>2.2841434298506502E-2</v>
      </c>
      <c r="L1875" s="1257">
        <v>1.0477085044710199E-3</v>
      </c>
      <c r="M1875" s="1280">
        <v>1.7116080466866301E-2</v>
      </c>
      <c r="N1875" s="1271">
        <v>3.0000008598028201E-3</v>
      </c>
      <c r="O1875" s="1257">
        <v>2.0000005732018801E-3</v>
      </c>
      <c r="P1875" s="1257">
        <v>3.0000008598028201E-3</v>
      </c>
      <c r="Q1875" s="1280">
        <v>3.0000008598028201E-3</v>
      </c>
      <c r="R1875" s="1271">
        <v>3.1850009128239903E-2</v>
      </c>
      <c r="S1875" s="1257">
        <v>3.1850009128239903E-2</v>
      </c>
      <c r="T1875" s="1257">
        <v>3.1850009128239903E-2</v>
      </c>
      <c r="U1875" s="1280">
        <v>1.5925004564119952E-2</v>
      </c>
      <c r="V1875" s="1293">
        <v>2.3874222600121401E-2</v>
      </c>
    </row>
    <row r="1876" spans="1:22" s="212" customFormat="1" ht="15.5" x14ac:dyDescent="0.35">
      <c r="A1876" s="198">
        <v>2045</v>
      </c>
      <c r="B1876" s="197" t="s">
        <v>5833</v>
      </c>
      <c r="C1876" s="197">
        <v>2002</v>
      </c>
      <c r="D1876" s="225" t="str">
        <f t="shared" si="12"/>
        <v>2045_2002</v>
      </c>
      <c r="E1876" s="1226">
        <v>0.10774155195323599</v>
      </c>
      <c r="F1876" s="1257">
        <v>1.6832279618594699E-3</v>
      </c>
      <c r="G1876" s="1280">
        <v>7.2103199146484498E-2</v>
      </c>
      <c r="H1876" s="1271">
        <v>0.24794755490436199</v>
      </c>
      <c r="I1876" s="1257">
        <v>1.6582995434176899E-2</v>
      </c>
      <c r="J1876" s="1280">
        <v>0.20097357661187401</v>
      </c>
      <c r="K1876" s="1271">
        <v>2.2841434298506502E-2</v>
      </c>
      <c r="L1876" s="1257">
        <v>1.0477085044710199E-3</v>
      </c>
      <c r="M1876" s="1280">
        <v>1.7116080466866301E-2</v>
      </c>
      <c r="N1876" s="1271">
        <v>3.0000008598028201E-3</v>
      </c>
      <c r="O1876" s="1257">
        <v>2.0000005732018801E-3</v>
      </c>
      <c r="P1876" s="1257">
        <v>3.0000008598028201E-3</v>
      </c>
      <c r="Q1876" s="1280">
        <v>3.0000008598028201E-3</v>
      </c>
      <c r="R1876" s="1271">
        <v>3.1850009128239903E-2</v>
      </c>
      <c r="S1876" s="1257">
        <v>3.1850009128239903E-2</v>
      </c>
      <c r="T1876" s="1257">
        <v>3.1850009128239903E-2</v>
      </c>
      <c r="U1876" s="1280">
        <v>1.5925004564119952E-2</v>
      </c>
      <c r="V1876" s="1293">
        <v>2.3874222600121401E-2</v>
      </c>
    </row>
    <row r="1877" spans="1:22" s="212" customFormat="1" ht="15.5" x14ac:dyDescent="0.35">
      <c r="A1877" s="198">
        <v>2045</v>
      </c>
      <c r="B1877" s="197" t="s">
        <v>5833</v>
      </c>
      <c r="C1877" s="197">
        <v>2003</v>
      </c>
      <c r="D1877" s="225" t="str">
        <f t="shared" si="12"/>
        <v>2045_2003</v>
      </c>
      <c r="E1877" s="1226">
        <v>0.10774155195323599</v>
      </c>
      <c r="F1877" s="1257">
        <v>1.6832279618594699E-3</v>
      </c>
      <c r="G1877" s="1280">
        <v>7.2103199146484498E-2</v>
      </c>
      <c r="H1877" s="1271">
        <v>0.24794755490436199</v>
      </c>
      <c r="I1877" s="1257">
        <v>1.6582995434176899E-2</v>
      </c>
      <c r="J1877" s="1280">
        <v>0.20097357661187401</v>
      </c>
      <c r="K1877" s="1271">
        <v>2.2841434298506502E-2</v>
      </c>
      <c r="L1877" s="1257">
        <v>1.0477085044710199E-3</v>
      </c>
      <c r="M1877" s="1280">
        <v>1.7116080466866301E-2</v>
      </c>
      <c r="N1877" s="1271">
        <v>3.0000008598028201E-3</v>
      </c>
      <c r="O1877" s="1257">
        <v>2.0000005732018801E-3</v>
      </c>
      <c r="P1877" s="1257">
        <v>3.0000008598028201E-3</v>
      </c>
      <c r="Q1877" s="1280">
        <v>3.0000008598028201E-3</v>
      </c>
      <c r="R1877" s="1271">
        <v>3.1850009128239903E-2</v>
      </c>
      <c r="S1877" s="1257">
        <v>3.1850009128239903E-2</v>
      </c>
      <c r="T1877" s="1257">
        <v>3.1850009128239903E-2</v>
      </c>
      <c r="U1877" s="1280">
        <v>1.5925004564119952E-2</v>
      </c>
      <c r="V1877" s="1293">
        <v>2.3874222600121401E-2</v>
      </c>
    </row>
    <row r="1878" spans="1:22" s="212" customFormat="1" ht="15.5" x14ac:dyDescent="0.35">
      <c r="A1878" s="198">
        <v>2045</v>
      </c>
      <c r="B1878" s="197" t="s">
        <v>5833</v>
      </c>
      <c r="C1878" s="197">
        <v>2004</v>
      </c>
      <c r="D1878" s="225" t="str">
        <f t="shared" si="12"/>
        <v>2045_2004</v>
      </c>
      <c r="E1878" s="1226">
        <v>0.10774155195323599</v>
      </c>
      <c r="F1878" s="1257">
        <v>1.6832279618594699E-3</v>
      </c>
      <c r="G1878" s="1280">
        <v>7.2103199146484498E-2</v>
      </c>
      <c r="H1878" s="1271">
        <v>0.24794755490436199</v>
      </c>
      <c r="I1878" s="1257">
        <v>1.6582995434176899E-2</v>
      </c>
      <c r="J1878" s="1280">
        <v>0.20097357661187401</v>
      </c>
      <c r="K1878" s="1271">
        <v>2.2841434298506502E-2</v>
      </c>
      <c r="L1878" s="1257">
        <v>1.0477085044710199E-3</v>
      </c>
      <c r="M1878" s="1280">
        <v>1.7116080466866301E-2</v>
      </c>
      <c r="N1878" s="1271">
        <v>3.0000008598028201E-3</v>
      </c>
      <c r="O1878" s="1257">
        <v>2.0000005732018801E-3</v>
      </c>
      <c r="P1878" s="1257">
        <v>3.0000008598028201E-3</v>
      </c>
      <c r="Q1878" s="1280">
        <v>3.0000008598028201E-3</v>
      </c>
      <c r="R1878" s="1271">
        <v>3.1850009128239903E-2</v>
      </c>
      <c r="S1878" s="1257">
        <v>3.1850009128239903E-2</v>
      </c>
      <c r="T1878" s="1257">
        <v>3.1850009128239903E-2</v>
      </c>
      <c r="U1878" s="1280">
        <v>1.5925004564119952E-2</v>
      </c>
      <c r="V1878" s="1293">
        <v>2.3874222600121401E-2</v>
      </c>
    </row>
    <row r="1879" spans="1:22" s="212" customFormat="1" ht="15.5" x14ac:dyDescent="0.35">
      <c r="A1879" s="198">
        <v>2045</v>
      </c>
      <c r="B1879" s="197" t="s">
        <v>5833</v>
      </c>
      <c r="C1879" s="197">
        <v>2005</v>
      </c>
      <c r="D1879" s="225" t="str">
        <f t="shared" si="12"/>
        <v>2045_2005</v>
      </c>
      <c r="E1879" s="1226">
        <v>0.10774155195323599</v>
      </c>
      <c r="F1879" s="1257">
        <v>1.6832279618594699E-3</v>
      </c>
      <c r="G1879" s="1280">
        <v>7.2103199146484498E-2</v>
      </c>
      <c r="H1879" s="1271">
        <v>0.24794755490436199</v>
      </c>
      <c r="I1879" s="1257">
        <v>1.6582995434176899E-2</v>
      </c>
      <c r="J1879" s="1280">
        <v>0.20097357661187401</v>
      </c>
      <c r="K1879" s="1271">
        <v>2.2841434298506502E-2</v>
      </c>
      <c r="L1879" s="1257">
        <v>1.0477085044710199E-3</v>
      </c>
      <c r="M1879" s="1280">
        <v>1.7116080466866301E-2</v>
      </c>
      <c r="N1879" s="1271">
        <v>3.0000008598028201E-3</v>
      </c>
      <c r="O1879" s="1257">
        <v>2.0000005732018801E-3</v>
      </c>
      <c r="P1879" s="1257">
        <v>3.0000008598028201E-3</v>
      </c>
      <c r="Q1879" s="1280">
        <v>3.0000008598028201E-3</v>
      </c>
      <c r="R1879" s="1271">
        <v>3.1850009128239903E-2</v>
      </c>
      <c r="S1879" s="1257">
        <v>3.1850009128239903E-2</v>
      </c>
      <c r="T1879" s="1257">
        <v>3.1850009128239903E-2</v>
      </c>
      <c r="U1879" s="1280">
        <v>1.5925004564119952E-2</v>
      </c>
      <c r="V1879" s="1293">
        <v>2.3874222600121401E-2</v>
      </c>
    </row>
    <row r="1880" spans="1:22" s="212" customFormat="1" ht="15.5" x14ac:dyDescent="0.35">
      <c r="A1880" s="198">
        <v>2045</v>
      </c>
      <c r="B1880" s="197" t="s">
        <v>5833</v>
      </c>
      <c r="C1880" s="197">
        <v>2006</v>
      </c>
      <c r="D1880" s="225" t="str">
        <f t="shared" si="12"/>
        <v>2045_2006</v>
      </c>
      <c r="E1880" s="1226">
        <v>0.10774155195323599</v>
      </c>
      <c r="F1880" s="1257">
        <v>1.6832279618594699E-3</v>
      </c>
      <c r="G1880" s="1280">
        <v>7.2103199146484498E-2</v>
      </c>
      <c r="H1880" s="1271">
        <v>0.24794755490436199</v>
      </c>
      <c r="I1880" s="1257">
        <v>1.6582995434176899E-2</v>
      </c>
      <c r="J1880" s="1280">
        <v>0.20097357661187401</v>
      </c>
      <c r="K1880" s="1271">
        <v>2.2841434298506502E-2</v>
      </c>
      <c r="L1880" s="1257">
        <v>1.0477085044710199E-3</v>
      </c>
      <c r="M1880" s="1280">
        <v>1.7116080466866301E-2</v>
      </c>
      <c r="N1880" s="1271">
        <v>3.0000008598028201E-3</v>
      </c>
      <c r="O1880" s="1257">
        <v>2.0000005732018801E-3</v>
      </c>
      <c r="P1880" s="1257">
        <v>3.0000008598028201E-3</v>
      </c>
      <c r="Q1880" s="1280">
        <v>3.0000008598028201E-3</v>
      </c>
      <c r="R1880" s="1271">
        <v>3.1850009128239903E-2</v>
      </c>
      <c r="S1880" s="1257">
        <v>3.1850009128239903E-2</v>
      </c>
      <c r="T1880" s="1257">
        <v>3.1850009128239903E-2</v>
      </c>
      <c r="U1880" s="1280">
        <v>1.5925004564119952E-2</v>
      </c>
      <c r="V1880" s="1293">
        <v>2.3874222600121401E-2</v>
      </c>
    </row>
    <row r="1881" spans="1:22" s="212" customFormat="1" ht="15.5" x14ac:dyDescent="0.35">
      <c r="A1881" s="198">
        <v>2045</v>
      </c>
      <c r="B1881" s="197" t="s">
        <v>5833</v>
      </c>
      <c r="C1881" s="197">
        <v>2007</v>
      </c>
      <c r="D1881" s="225" t="str">
        <f t="shared" si="12"/>
        <v>2045_2007</v>
      </c>
      <c r="E1881" s="1226">
        <v>0.10774155195323599</v>
      </c>
      <c r="F1881" s="1257">
        <v>1.6832279618594699E-3</v>
      </c>
      <c r="G1881" s="1280">
        <v>7.2103199146484498E-2</v>
      </c>
      <c r="H1881" s="1271">
        <v>0.24794755490436199</v>
      </c>
      <c r="I1881" s="1257">
        <v>1.6582995434176899E-2</v>
      </c>
      <c r="J1881" s="1280">
        <v>0.20097357661187401</v>
      </c>
      <c r="K1881" s="1271">
        <v>2.2841434298506502E-2</v>
      </c>
      <c r="L1881" s="1257">
        <v>1.0477085044710199E-3</v>
      </c>
      <c r="M1881" s="1280">
        <v>1.7116080466866301E-2</v>
      </c>
      <c r="N1881" s="1271">
        <v>3.0000008598028201E-3</v>
      </c>
      <c r="O1881" s="1257">
        <v>2.0000005732018801E-3</v>
      </c>
      <c r="P1881" s="1257">
        <v>3.0000008598028201E-3</v>
      </c>
      <c r="Q1881" s="1280">
        <v>3.0000008598028201E-3</v>
      </c>
      <c r="R1881" s="1271">
        <v>3.1850009128239903E-2</v>
      </c>
      <c r="S1881" s="1257">
        <v>3.1850009128239903E-2</v>
      </c>
      <c r="T1881" s="1257">
        <v>3.1850009128239903E-2</v>
      </c>
      <c r="U1881" s="1280">
        <v>1.5925004564119952E-2</v>
      </c>
      <c r="V1881" s="1293">
        <v>2.3874222600121401E-2</v>
      </c>
    </row>
    <row r="1882" spans="1:22" s="212" customFormat="1" ht="15.5" x14ac:dyDescent="0.35">
      <c r="A1882" s="198">
        <v>2045</v>
      </c>
      <c r="B1882" s="197" t="s">
        <v>5833</v>
      </c>
      <c r="C1882" s="197">
        <v>2008</v>
      </c>
      <c r="D1882" s="225" t="str">
        <f t="shared" si="12"/>
        <v>2045_2008</v>
      </c>
      <c r="E1882" s="1226">
        <v>0.10774155195323599</v>
      </c>
      <c r="F1882" s="1257">
        <v>1.6832279618594699E-3</v>
      </c>
      <c r="G1882" s="1280">
        <v>7.2103199146484498E-2</v>
      </c>
      <c r="H1882" s="1271">
        <v>0.24794755490436199</v>
      </c>
      <c r="I1882" s="1257">
        <v>1.6582995434176899E-2</v>
      </c>
      <c r="J1882" s="1280">
        <v>0.20097357661187401</v>
      </c>
      <c r="K1882" s="1271">
        <v>2.2841434298506502E-2</v>
      </c>
      <c r="L1882" s="1257">
        <v>1.0477085044710199E-3</v>
      </c>
      <c r="M1882" s="1280">
        <v>1.7116080466866301E-2</v>
      </c>
      <c r="N1882" s="1271">
        <v>3.0000008598028201E-3</v>
      </c>
      <c r="O1882" s="1257">
        <v>2.0000005732018801E-3</v>
      </c>
      <c r="P1882" s="1257">
        <v>3.0000008598028201E-3</v>
      </c>
      <c r="Q1882" s="1280">
        <v>3.0000008598028201E-3</v>
      </c>
      <c r="R1882" s="1271">
        <v>3.1850009128239903E-2</v>
      </c>
      <c r="S1882" s="1257">
        <v>3.1850009128239903E-2</v>
      </c>
      <c r="T1882" s="1257">
        <v>3.1850009128239903E-2</v>
      </c>
      <c r="U1882" s="1280">
        <v>1.5925004564119952E-2</v>
      </c>
      <c r="V1882" s="1293">
        <v>2.3874222600121401E-2</v>
      </c>
    </row>
    <row r="1883" spans="1:22" s="212" customFormat="1" ht="15.5" x14ac:dyDescent="0.35">
      <c r="A1883" s="198">
        <v>2045</v>
      </c>
      <c r="B1883" s="197" t="s">
        <v>5833</v>
      </c>
      <c r="C1883" s="197">
        <v>2009</v>
      </c>
      <c r="D1883" s="225" t="str">
        <f t="shared" si="12"/>
        <v>2045_2009</v>
      </c>
      <c r="E1883" s="1226">
        <v>0.10774155195323599</v>
      </c>
      <c r="F1883" s="1257">
        <v>1.6832279618594699E-3</v>
      </c>
      <c r="G1883" s="1280">
        <v>7.2103199146484498E-2</v>
      </c>
      <c r="H1883" s="1271">
        <v>0.24794755490436199</v>
      </c>
      <c r="I1883" s="1257">
        <v>1.6582995434176899E-2</v>
      </c>
      <c r="J1883" s="1280">
        <v>0.20097357661187401</v>
      </c>
      <c r="K1883" s="1271">
        <v>2.2841434298506502E-2</v>
      </c>
      <c r="L1883" s="1257">
        <v>1.0477085044710199E-3</v>
      </c>
      <c r="M1883" s="1280">
        <v>1.7116080466866301E-2</v>
      </c>
      <c r="N1883" s="1271">
        <v>3.0000008598028201E-3</v>
      </c>
      <c r="O1883" s="1257">
        <v>2.0000005732018801E-3</v>
      </c>
      <c r="P1883" s="1257">
        <v>3.0000008598028201E-3</v>
      </c>
      <c r="Q1883" s="1280">
        <v>3.0000008598028201E-3</v>
      </c>
      <c r="R1883" s="1271">
        <v>3.1850009128239903E-2</v>
      </c>
      <c r="S1883" s="1257">
        <v>3.1850009128239903E-2</v>
      </c>
      <c r="T1883" s="1257">
        <v>3.1850009128239903E-2</v>
      </c>
      <c r="U1883" s="1280">
        <v>1.5925004564119952E-2</v>
      </c>
      <c r="V1883" s="1293">
        <v>2.3874222600121401E-2</v>
      </c>
    </row>
    <row r="1884" spans="1:22" s="212" customFormat="1" ht="15.5" x14ac:dyDescent="0.35">
      <c r="A1884" s="198">
        <v>2045</v>
      </c>
      <c r="B1884" s="197" t="s">
        <v>5833</v>
      </c>
      <c r="C1884" s="197">
        <v>2010</v>
      </c>
      <c r="D1884" s="225" t="str">
        <f t="shared" si="12"/>
        <v>2045_2010</v>
      </c>
      <c r="E1884" s="1226">
        <v>0.10774155195323599</v>
      </c>
      <c r="F1884" s="1257">
        <v>1.6832279618594699E-3</v>
      </c>
      <c r="G1884" s="1280">
        <v>7.2103199146484498E-2</v>
      </c>
      <c r="H1884" s="1271">
        <v>0.24794755490436199</v>
      </c>
      <c r="I1884" s="1257">
        <v>1.6582995434176899E-2</v>
      </c>
      <c r="J1884" s="1280">
        <v>0.20097357661187401</v>
      </c>
      <c r="K1884" s="1271">
        <v>2.2841434298506502E-2</v>
      </c>
      <c r="L1884" s="1257">
        <v>1.0477085044710199E-3</v>
      </c>
      <c r="M1884" s="1280">
        <v>1.7116080466866301E-2</v>
      </c>
      <c r="N1884" s="1271">
        <v>3.0000008598028201E-3</v>
      </c>
      <c r="O1884" s="1257">
        <v>2.0000005732018801E-3</v>
      </c>
      <c r="P1884" s="1257">
        <v>3.0000008598028201E-3</v>
      </c>
      <c r="Q1884" s="1280">
        <v>3.0000008598028201E-3</v>
      </c>
      <c r="R1884" s="1271">
        <v>3.1850009128239903E-2</v>
      </c>
      <c r="S1884" s="1257">
        <v>3.1850009128239903E-2</v>
      </c>
      <c r="T1884" s="1257">
        <v>3.1850009128239903E-2</v>
      </c>
      <c r="U1884" s="1280">
        <v>1.5925004564119952E-2</v>
      </c>
      <c r="V1884" s="1293">
        <v>2.3874222600121401E-2</v>
      </c>
    </row>
    <row r="1885" spans="1:22" s="212" customFormat="1" ht="15.5" x14ac:dyDescent="0.35">
      <c r="A1885" s="198">
        <v>2045</v>
      </c>
      <c r="B1885" s="197" t="s">
        <v>5833</v>
      </c>
      <c r="C1885" s="197">
        <v>2011</v>
      </c>
      <c r="D1885" s="225" t="str">
        <f t="shared" si="12"/>
        <v>2045_2011</v>
      </c>
      <c r="E1885" s="1226">
        <v>0.10774155195323599</v>
      </c>
      <c r="F1885" s="1257">
        <v>1.6832279618594699E-3</v>
      </c>
      <c r="G1885" s="1280">
        <v>7.2103199146484498E-2</v>
      </c>
      <c r="H1885" s="1271">
        <v>0.24794755490436199</v>
      </c>
      <c r="I1885" s="1257">
        <v>1.6582995434176899E-2</v>
      </c>
      <c r="J1885" s="1280">
        <v>0.20097357661187401</v>
      </c>
      <c r="K1885" s="1271">
        <v>2.2841434298506502E-2</v>
      </c>
      <c r="L1885" s="1257">
        <v>1.0477085044710199E-3</v>
      </c>
      <c r="M1885" s="1280">
        <v>1.7116080466866301E-2</v>
      </c>
      <c r="N1885" s="1271">
        <v>3.0000008598028201E-3</v>
      </c>
      <c r="O1885" s="1257">
        <v>2.0000005732018801E-3</v>
      </c>
      <c r="P1885" s="1257">
        <v>3.0000008598028201E-3</v>
      </c>
      <c r="Q1885" s="1280">
        <v>3.0000008598028201E-3</v>
      </c>
      <c r="R1885" s="1271">
        <v>3.1850009128239903E-2</v>
      </c>
      <c r="S1885" s="1257">
        <v>3.1850009128239903E-2</v>
      </c>
      <c r="T1885" s="1257">
        <v>3.1850009128239903E-2</v>
      </c>
      <c r="U1885" s="1280">
        <v>1.5925004564119952E-2</v>
      </c>
      <c r="V1885" s="1293">
        <v>2.3874222600121401E-2</v>
      </c>
    </row>
    <row r="1886" spans="1:22" s="212" customFormat="1" ht="15.5" x14ac:dyDescent="0.35">
      <c r="A1886" s="198">
        <v>2045</v>
      </c>
      <c r="B1886" s="197" t="s">
        <v>5833</v>
      </c>
      <c r="C1886" s="197">
        <v>2012</v>
      </c>
      <c r="D1886" s="225" t="str">
        <f t="shared" si="12"/>
        <v>2045_2012</v>
      </c>
      <c r="E1886" s="1226">
        <v>0.10774155195323599</v>
      </c>
      <c r="F1886" s="1257">
        <v>1.6832279618594699E-3</v>
      </c>
      <c r="G1886" s="1280">
        <v>7.2103199146484498E-2</v>
      </c>
      <c r="H1886" s="1271">
        <v>0.24794755490436199</v>
      </c>
      <c r="I1886" s="1257">
        <v>1.6582995434176899E-2</v>
      </c>
      <c r="J1886" s="1280">
        <v>0.20097357661187401</v>
      </c>
      <c r="K1886" s="1271">
        <v>2.2841434298506502E-2</v>
      </c>
      <c r="L1886" s="1257">
        <v>1.0477085044710199E-3</v>
      </c>
      <c r="M1886" s="1280">
        <v>1.7116080466866301E-2</v>
      </c>
      <c r="N1886" s="1271">
        <v>3.0000008598028201E-3</v>
      </c>
      <c r="O1886" s="1257">
        <v>2.0000005732018801E-3</v>
      </c>
      <c r="P1886" s="1257">
        <v>3.0000008598028201E-3</v>
      </c>
      <c r="Q1886" s="1280">
        <v>3.0000008598028201E-3</v>
      </c>
      <c r="R1886" s="1271">
        <v>3.1850009128239903E-2</v>
      </c>
      <c r="S1886" s="1257">
        <v>3.1850009128239903E-2</v>
      </c>
      <c r="T1886" s="1257">
        <v>3.1850009128239903E-2</v>
      </c>
      <c r="U1886" s="1280">
        <v>1.5925004564119952E-2</v>
      </c>
      <c r="V1886" s="1293">
        <v>2.3874222600121401E-2</v>
      </c>
    </row>
    <row r="1887" spans="1:22" s="212" customFormat="1" ht="15.5" x14ac:dyDescent="0.35">
      <c r="A1887" s="198">
        <v>2045</v>
      </c>
      <c r="B1887" s="197" t="s">
        <v>5833</v>
      </c>
      <c r="C1887" s="197">
        <v>2013</v>
      </c>
      <c r="D1887" s="225" t="str">
        <f t="shared" si="12"/>
        <v>2045_2013</v>
      </c>
      <c r="E1887" s="1226">
        <v>0.10774155195323599</v>
      </c>
      <c r="F1887" s="1257">
        <v>1.6832279618594699E-3</v>
      </c>
      <c r="G1887" s="1280">
        <v>7.2103199146484498E-2</v>
      </c>
      <c r="H1887" s="1271">
        <v>0.24794755490436199</v>
      </c>
      <c r="I1887" s="1257">
        <v>1.6582995434176899E-2</v>
      </c>
      <c r="J1887" s="1280">
        <v>0.20097357661187401</v>
      </c>
      <c r="K1887" s="1271">
        <v>2.2841434298506502E-2</v>
      </c>
      <c r="L1887" s="1257">
        <v>1.0477085044710199E-3</v>
      </c>
      <c r="M1887" s="1280">
        <v>1.7116080466866301E-2</v>
      </c>
      <c r="N1887" s="1271">
        <v>3.0000008598028201E-3</v>
      </c>
      <c r="O1887" s="1257">
        <v>2.0000005732018801E-3</v>
      </c>
      <c r="P1887" s="1257">
        <v>3.0000008598028201E-3</v>
      </c>
      <c r="Q1887" s="1280">
        <v>3.0000008598028201E-3</v>
      </c>
      <c r="R1887" s="1271">
        <v>3.1850009128239903E-2</v>
      </c>
      <c r="S1887" s="1257">
        <v>3.1850009128239903E-2</v>
      </c>
      <c r="T1887" s="1257">
        <v>3.1850009128239903E-2</v>
      </c>
      <c r="U1887" s="1280">
        <v>1.5925004564119952E-2</v>
      </c>
      <c r="V1887" s="1293">
        <v>2.3874222600121401E-2</v>
      </c>
    </row>
    <row r="1888" spans="1:22" s="212" customFormat="1" ht="15.5" x14ac:dyDescent="0.35">
      <c r="A1888" s="198">
        <v>2045</v>
      </c>
      <c r="B1888" s="197" t="s">
        <v>5833</v>
      </c>
      <c r="C1888" s="197">
        <v>2014</v>
      </c>
      <c r="D1888" s="225" t="str">
        <f t="shared" si="12"/>
        <v>2045_2014</v>
      </c>
      <c r="E1888" s="1226">
        <v>0.10774155195323599</v>
      </c>
      <c r="F1888" s="1257">
        <v>1.6832279618594699E-3</v>
      </c>
      <c r="G1888" s="1280">
        <v>7.2103199146484498E-2</v>
      </c>
      <c r="H1888" s="1271">
        <v>0.24794755490436199</v>
      </c>
      <c r="I1888" s="1257">
        <v>1.6582995434176899E-2</v>
      </c>
      <c r="J1888" s="1280">
        <v>0.20097357661187401</v>
      </c>
      <c r="K1888" s="1271">
        <v>2.2841434298506502E-2</v>
      </c>
      <c r="L1888" s="1257">
        <v>1.0477085044710199E-3</v>
      </c>
      <c r="M1888" s="1280">
        <v>1.7116080466866301E-2</v>
      </c>
      <c r="N1888" s="1271">
        <v>3.0000008598028201E-3</v>
      </c>
      <c r="O1888" s="1257">
        <v>2.0000005732018801E-3</v>
      </c>
      <c r="P1888" s="1257">
        <v>3.0000008598028201E-3</v>
      </c>
      <c r="Q1888" s="1280">
        <v>3.0000008598028201E-3</v>
      </c>
      <c r="R1888" s="1271">
        <v>3.1850009128239903E-2</v>
      </c>
      <c r="S1888" s="1257">
        <v>3.1850009128239903E-2</v>
      </c>
      <c r="T1888" s="1257">
        <v>3.1850009128239903E-2</v>
      </c>
      <c r="U1888" s="1280">
        <v>1.5925004564119952E-2</v>
      </c>
      <c r="V1888" s="1293">
        <v>2.3874222600121401E-2</v>
      </c>
    </row>
    <row r="1889" spans="1:22" s="212" customFormat="1" ht="15.5" x14ac:dyDescent="0.35">
      <c r="A1889" s="198">
        <v>2045</v>
      </c>
      <c r="B1889" s="197" t="s">
        <v>5833</v>
      </c>
      <c r="C1889" s="197">
        <v>2015</v>
      </c>
      <c r="D1889" s="225" t="str">
        <f t="shared" si="12"/>
        <v>2045_2015</v>
      </c>
      <c r="E1889" s="1226">
        <v>0.10774155195323599</v>
      </c>
      <c r="F1889" s="1257">
        <v>1.6832279618594699E-3</v>
      </c>
      <c r="G1889" s="1280">
        <v>7.2103199146484498E-2</v>
      </c>
      <c r="H1889" s="1271">
        <v>0.24794755490436199</v>
      </c>
      <c r="I1889" s="1257">
        <v>1.6582995434176899E-2</v>
      </c>
      <c r="J1889" s="1280">
        <v>0.20097357661187401</v>
      </c>
      <c r="K1889" s="1271">
        <v>2.2841434298506502E-2</v>
      </c>
      <c r="L1889" s="1257">
        <v>1.0477085044710199E-3</v>
      </c>
      <c r="M1889" s="1280">
        <v>1.7116080466866301E-2</v>
      </c>
      <c r="N1889" s="1271">
        <v>3.0000008598028201E-3</v>
      </c>
      <c r="O1889" s="1257">
        <v>2.0000005732018801E-3</v>
      </c>
      <c r="P1889" s="1257">
        <v>3.0000008598028201E-3</v>
      </c>
      <c r="Q1889" s="1280">
        <v>3.0000008598028201E-3</v>
      </c>
      <c r="R1889" s="1271">
        <v>3.1850009128239903E-2</v>
      </c>
      <c r="S1889" s="1257">
        <v>3.1850009128239903E-2</v>
      </c>
      <c r="T1889" s="1257">
        <v>3.1850009128239903E-2</v>
      </c>
      <c r="U1889" s="1280">
        <v>1.5925004564119952E-2</v>
      </c>
      <c r="V1889" s="1293">
        <v>2.3874222600121401E-2</v>
      </c>
    </row>
    <row r="1890" spans="1:22" s="212" customFormat="1" ht="15.5" x14ac:dyDescent="0.35">
      <c r="A1890" s="198">
        <v>2045</v>
      </c>
      <c r="B1890" s="197" t="s">
        <v>5833</v>
      </c>
      <c r="C1890" s="197">
        <v>2016</v>
      </c>
      <c r="D1890" s="225" t="str">
        <f t="shared" si="12"/>
        <v>2045_2016</v>
      </c>
      <c r="E1890" s="1226">
        <v>0.10774155195323599</v>
      </c>
      <c r="F1890" s="1257">
        <v>1.6832279618594699E-3</v>
      </c>
      <c r="G1890" s="1280">
        <v>7.2103199146484498E-2</v>
      </c>
      <c r="H1890" s="1271">
        <v>0.24794755490436199</v>
      </c>
      <c r="I1890" s="1257">
        <v>1.6582995434176899E-2</v>
      </c>
      <c r="J1890" s="1280">
        <v>0.20097357661187401</v>
      </c>
      <c r="K1890" s="1271">
        <v>2.2841434298506502E-2</v>
      </c>
      <c r="L1890" s="1257">
        <v>1.0477085044710199E-3</v>
      </c>
      <c r="M1890" s="1280">
        <v>1.7116080466866301E-2</v>
      </c>
      <c r="N1890" s="1271">
        <v>3.0000008598028201E-3</v>
      </c>
      <c r="O1890" s="1257">
        <v>2.0000005732018801E-3</v>
      </c>
      <c r="P1890" s="1257">
        <v>3.0000008598028201E-3</v>
      </c>
      <c r="Q1890" s="1280">
        <v>3.0000008598028201E-3</v>
      </c>
      <c r="R1890" s="1271">
        <v>3.1850009128239903E-2</v>
      </c>
      <c r="S1890" s="1257">
        <v>3.1850009128239903E-2</v>
      </c>
      <c r="T1890" s="1257">
        <v>3.1850009128239903E-2</v>
      </c>
      <c r="U1890" s="1280">
        <v>1.5925004564119952E-2</v>
      </c>
      <c r="V1890" s="1293">
        <v>2.3874222600121401E-2</v>
      </c>
    </row>
    <row r="1891" spans="1:22" s="212" customFormat="1" ht="15.5" x14ac:dyDescent="0.35">
      <c r="A1891" s="198">
        <v>2045</v>
      </c>
      <c r="B1891" s="197" t="s">
        <v>5833</v>
      </c>
      <c r="C1891" s="197">
        <v>2017</v>
      </c>
      <c r="D1891" s="225" t="str">
        <f t="shared" si="12"/>
        <v>2045_2017</v>
      </c>
      <c r="E1891" s="1226">
        <v>0.10774155195323599</v>
      </c>
      <c r="F1891" s="1257">
        <v>1.6832279618594699E-3</v>
      </c>
      <c r="G1891" s="1280">
        <v>7.2103199146484498E-2</v>
      </c>
      <c r="H1891" s="1271">
        <v>0.24794755490436199</v>
      </c>
      <c r="I1891" s="1257">
        <v>1.6582995434176899E-2</v>
      </c>
      <c r="J1891" s="1280">
        <v>0.20097357661187401</v>
      </c>
      <c r="K1891" s="1271">
        <v>2.2841434298506502E-2</v>
      </c>
      <c r="L1891" s="1257">
        <v>1.0477085044710199E-3</v>
      </c>
      <c r="M1891" s="1280">
        <v>1.7116080466866301E-2</v>
      </c>
      <c r="N1891" s="1271">
        <v>3.0000008598028201E-3</v>
      </c>
      <c r="O1891" s="1257">
        <v>2.0000005732018801E-3</v>
      </c>
      <c r="P1891" s="1257">
        <v>3.0000008598028201E-3</v>
      </c>
      <c r="Q1891" s="1280">
        <v>3.0000008598028201E-3</v>
      </c>
      <c r="R1891" s="1271">
        <v>3.1850009128239903E-2</v>
      </c>
      <c r="S1891" s="1257">
        <v>3.1850009128239903E-2</v>
      </c>
      <c r="T1891" s="1257">
        <v>3.1850009128239903E-2</v>
      </c>
      <c r="U1891" s="1280">
        <v>1.5925004564119952E-2</v>
      </c>
      <c r="V1891" s="1293">
        <v>2.3874222600121401E-2</v>
      </c>
    </row>
    <row r="1892" spans="1:22" s="212" customFormat="1" ht="15.5" x14ac:dyDescent="0.35">
      <c r="A1892" s="198">
        <v>2045</v>
      </c>
      <c r="B1892" s="197" t="s">
        <v>5833</v>
      </c>
      <c r="C1892" s="197">
        <v>2018</v>
      </c>
      <c r="D1892" s="225" t="str">
        <f t="shared" si="12"/>
        <v>2045_2018</v>
      </c>
      <c r="E1892" s="1226">
        <v>0.10774155195323599</v>
      </c>
      <c r="F1892" s="1257">
        <v>1.6832279618594699E-3</v>
      </c>
      <c r="G1892" s="1280">
        <v>7.2103199146484498E-2</v>
      </c>
      <c r="H1892" s="1271">
        <v>0.24794755490436199</v>
      </c>
      <c r="I1892" s="1257">
        <v>1.6582995434176899E-2</v>
      </c>
      <c r="J1892" s="1280">
        <v>0.20097357661187401</v>
      </c>
      <c r="K1892" s="1271">
        <v>2.2841434298506502E-2</v>
      </c>
      <c r="L1892" s="1257">
        <v>1.0477085044710199E-3</v>
      </c>
      <c r="M1892" s="1280">
        <v>1.7116080466866301E-2</v>
      </c>
      <c r="N1892" s="1271">
        <v>3.0000008598028201E-3</v>
      </c>
      <c r="O1892" s="1257">
        <v>2.0000005732018801E-3</v>
      </c>
      <c r="P1892" s="1257">
        <v>3.0000008598028201E-3</v>
      </c>
      <c r="Q1892" s="1280">
        <v>3.0000008598028201E-3</v>
      </c>
      <c r="R1892" s="1271">
        <v>3.1850009128239903E-2</v>
      </c>
      <c r="S1892" s="1257">
        <v>3.1850009128239903E-2</v>
      </c>
      <c r="T1892" s="1257">
        <v>3.1850009128239903E-2</v>
      </c>
      <c r="U1892" s="1280">
        <v>1.5925004564119952E-2</v>
      </c>
      <c r="V1892" s="1293">
        <v>2.3874222600121401E-2</v>
      </c>
    </row>
    <row r="1893" spans="1:22" s="212" customFormat="1" ht="15.5" x14ac:dyDescent="0.35">
      <c r="A1893" s="198">
        <v>2045</v>
      </c>
      <c r="B1893" s="197" t="s">
        <v>5833</v>
      </c>
      <c r="C1893" s="197">
        <v>2019</v>
      </c>
      <c r="D1893" s="225" t="str">
        <f t="shared" si="12"/>
        <v>2045_2019</v>
      </c>
      <c r="E1893" s="1226">
        <v>0.10774155195323599</v>
      </c>
      <c r="F1893" s="1257">
        <v>1.6832279618594699E-3</v>
      </c>
      <c r="G1893" s="1280">
        <v>7.2103199146484498E-2</v>
      </c>
      <c r="H1893" s="1271">
        <v>0.24794755490436199</v>
      </c>
      <c r="I1893" s="1257">
        <v>1.6582995434176899E-2</v>
      </c>
      <c r="J1893" s="1280">
        <v>0.20097357661187401</v>
      </c>
      <c r="K1893" s="1271">
        <v>2.2841434298506502E-2</v>
      </c>
      <c r="L1893" s="1257">
        <v>1.0477085044710199E-3</v>
      </c>
      <c r="M1893" s="1280">
        <v>1.7116080466866301E-2</v>
      </c>
      <c r="N1893" s="1271">
        <v>3.0000008598028201E-3</v>
      </c>
      <c r="O1893" s="1257">
        <v>2.0000005732018801E-3</v>
      </c>
      <c r="P1893" s="1257">
        <v>3.0000008598028201E-3</v>
      </c>
      <c r="Q1893" s="1280">
        <v>3.0000008598028201E-3</v>
      </c>
      <c r="R1893" s="1271">
        <v>3.1850009128239903E-2</v>
      </c>
      <c r="S1893" s="1257">
        <v>3.1850009128239903E-2</v>
      </c>
      <c r="T1893" s="1257">
        <v>3.1850009128239903E-2</v>
      </c>
      <c r="U1893" s="1280">
        <v>1.5925004564119952E-2</v>
      </c>
      <c r="V1893" s="1293">
        <v>2.3874222600121401E-2</v>
      </c>
    </row>
    <row r="1894" spans="1:22" s="212" customFormat="1" ht="15.5" x14ac:dyDescent="0.35">
      <c r="A1894" s="198">
        <v>2045</v>
      </c>
      <c r="B1894" s="197" t="s">
        <v>5833</v>
      </c>
      <c r="C1894" s="197">
        <v>2020</v>
      </c>
      <c r="D1894" s="225" t="str">
        <f t="shared" si="12"/>
        <v>2045_2020</v>
      </c>
      <c r="E1894" s="1226">
        <v>0.10774155195323599</v>
      </c>
      <c r="F1894" s="1257">
        <v>1.6832279618594699E-3</v>
      </c>
      <c r="G1894" s="1280">
        <v>7.2103199146484498E-2</v>
      </c>
      <c r="H1894" s="1271">
        <v>0.24794755490436199</v>
      </c>
      <c r="I1894" s="1257">
        <v>1.6582995434176899E-2</v>
      </c>
      <c r="J1894" s="1280">
        <v>0.20097357661187401</v>
      </c>
      <c r="K1894" s="1271">
        <v>2.2841434298506502E-2</v>
      </c>
      <c r="L1894" s="1257">
        <v>1.0477085044710199E-3</v>
      </c>
      <c r="M1894" s="1280">
        <v>1.7116080466866301E-2</v>
      </c>
      <c r="N1894" s="1271">
        <v>3.0000008598028201E-3</v>
      </c>
      <c r="O1894" s="1257">
        <v>2.0000005732018801E-3</v>
      </c>
      <c r="P1894" s="1257">
        <v>3.0000008598028201E-3</v>
      </c>
      <c r="Q1894" s="1280">
        <v>3.0000008598028201E-3</v>
      </c>
      <c r="R1894" s="1271">
        <v>3.1850009128239903E-2</v>
      </c>
      <c r="S1894" s="1257">
        <v>3.1850009128239903E-2</v>
      </c>
      <c r="T1894" s="1257">
        <v>3.1850009128239903E-2</v>
      </c>
      <c r="U1894" s="1280">
        <v>1.5925004564119952E-2</v>
      </c>
      <c r="V1894" s="1293">
        <v>2.3874222600121401E-2</v>
      </c>
    </row>
    <row r="1895" spans="1:22" s="212" customFormat="1" ht="15.5" x14ac:dyDescent="0.35">
      <c r="A1895" s="198">
        <v>2045</v>
      </c>
      <c r="B1895" s="197" t="s">
        <v>5833</v>
      </c>
      <c r="C1895" s="197">
        <v>2021</v>
      </c>
      <c r="D1895" s="225" t="str">
        <f t="shared" si="12"/>
        <v>2045_2021</v>
      </c>
      <c r="E1895" s="1226">
        <v>0.10774155195323599</v>
      </c>
      <c r="F1895" s="1257">
        <v>1.6832279618594699E-3</v>
      </c>
      <c r="G1895" s="1280">
        <v>7.2103199146484498E-2</v>
      </c>
      <c r="H1895" s="1271">
        <v>0.24794755490436199</v>
      </c>
      <c r="I1895" s="1257">
        <v>1.6582995434176899E-2</v>
      </c>
      <c r="J1895" s="1280">
        <v>0.20097357661187401</v>
      </c>
      <c r="K1895" s="1271">
        <v>2.2841434298506502E-2</v>
      </c>
      <c r="L1895" s="1257">
        <v>1.0477085044710199E-3</v>
      </c>
      <c r="M1895" s="1280">
        <v>1.7116080466866301E-2</v>
      </c>
      <c r="N1895" s="1271">
        <v>3.0000008598028201E-3</v>
      </c>
      <c r="O1895" s="1257">
        <v>2.0000005732018801E-3</v>
      </c>
      <c r="P1895" s="1257">
        <v>3.0000008598028201E-3</v>
      </c>
      <c r="Q1895" s="1280">
        <v>3.0000008598028201E-3</v>
      </c>
      <c r="R1895" s="1271">
        <v>3.1850009128239903E-2</v>
      </c>
      <c r="S1895" s="1257">
        <v>3.1850009128239903E-2</v>
      </c>
      <c r="T1895" s="1257">
        <v>3.1850009128239903E-2</v>
      </c>
      <c r="U1895" s="1280">
        <v>1.5925004564119952E-2</v>
      </c>
      <c r="V1895" s="1293">
        <v>2.3874222600121401E-2</v>
      </c>
    </row>
    <row r="1896" spans="1:22" s="212" customFormat="1" ht="15.5" x14ac:dyDescent="0.35">
      <c r="A1896" s="198">
        <v>2045</v>
      </c>
      <c r="B1896" s="197" t="s">
        <v>5833</v>
      </c>
      <c r="C1896" s="197">
        <v>2022</v>
      </c>
      <c r="D1896" s="225" t="str">
        <f t="shared" si="12"/>
        <v>2045_2022</v>
      </c>
      <c r="E1896" s="1226">
        <v>0.10774155195323599</v>
      </c>
      <c r="F1896" s="1257">
        <v>1.6832279618594699E-3</v>
      </c>
      <c r="G1896" s="1280">
        <v>7.2103199146484498E-2</v>
      </c>
      <c r="H1896" s="1271">
        <v>0.24794755490436199</v>
      </c>
      <c r="I1896" s="1257">
        <v>1.6582995434176899E-2</v>
      </c>
      <c r="J1896" s="1280">
        <v>0.20097357661187401</v>
      </c>
      <c r="K1896" s="1271">
        <v>2.2841434298506502E-2</v>
      </c>
      <c r="L1896" s="1257">
        <v>1.0477085044710199E-3</v>
      </c>
      <c r="M1896" s="1280">
        <v>1.7116080466866301E-2</v>
      </c>
      <c r="N1896" s="1271">
        <v>3.0000008598028201E-3</v>
      </c>
      <c r="O1896" s="1257">
        <v>2.0000005732018801E-3</v>
      </c>
      <c r="P1896" s="1257">
        <v>3.0000008598028201E-3</v>
      </c>
      <c r="Q1896" s="1280">
        <v>3.0000008598028201E-3</v>
      </c>
      <c r="R1896" s="1271">
        <v>3.1850009128239903E-2</v>
      </c>
      <c r="S1896" s="1257">
        <v>3.1850009128239903E-2</v>
      </c>
      <c r="T1896" s="1257">
        <v>3.1850009128239903E-2</v>
      </c>
      <c r="U1896" s="1280">
        <v>1.5925004564119952E-2</v>
      </c>
      <c r="V1896" s="1293">
        <v>2.3874222600121401E-2</v>
      </c>
    </row>
    <row r="1897" spans="1:22" s="212" customFormat="1" ht="15.5" x14ac:dyDescent="0.35">
      <c r="A1897" s="198">
        <v>2045</v>
      </c>
      <c r="B1897" s="197" t="s">
        <v>5833</v>
      </c>
      <c r="C1897" s="197">
        <v>2023</v>
      </c>
      <c r="D1897" s="225" t="str">
        <f t="shared" si="12"/>
        <v>2045_2023</v>
      </c>
      <c r="E1897" s="1226">
        <v>0.10774155195323599</v>
      </c>
      <c r="F1897" s="1257">
        <v>1.6832279618594699E-3</v>
      </c>
      <c r="G1897" s="1280">
        <v>7.2103199146484498E-2</v>
      </c>
      <c r="H1897" s="1271">
        <v>0.24794755490436199</v>
      </c>
      <c r="I1897" s="1257">
        <v>1.6582995434176899E-2</v>
      </c>
      <c r="J1897" s="1280">
        <v>0.20097357661187401</v>
      </c>
      <c r="K1897" s="1271">
        <v>2.2841434298506502E-2</v>
      </c>
      <c r="L1897" s="1257">
        <v>1.0477085044710199E-3</v>
      </c>
      <c r="M1897" s="1280">
        <v>1.7116080466866301E-2</v>
      </c>
      <c r="N1897" s="1271">
        <v>3.0000008598028201E-3</v>
      </c>
      <c r="O1897" s="1257">
        <v>2.0000005732018801E-3</v>
      </c>
      <c r="P1897" s="1257">
        <v>3.0000008598028201E-3</v>
      </c>
      <c r="Q1897" s="1280">
        <v>3.0000008598028201E-3</v>
      </c>
      <c r="R1897" s="1271">
        <v>3.1850009128239903E-2</v>
      </c>
      <c r="S1897" s="1257">
        <v>3.1850009128239903E-2</v>
      </c>
      <c r="T1897" s="1257">
        <v>3.1850009128239903E-2</v>
      </c>
      <c r="U1897" s="1280">
        <v>1.5925004564119952E-2</v>
      </c>
      <c r="V1897" s="1293">
        <v>2.3874222600121401E-2</v>
      </c>
    </row>
    <row r="1898" spans="1:22" s="212" customFormat="1" ht="15.5" x14ac:dyDescent="0.35">
      <c r="A1898" s="198">
        <v>2045</v>
      </c>
      <c r="B1898" s="197" t="s">
        <v>5833</v>
      </c>
      <c r="C1898" s="197">
        <v>2024</v>
      </c>
      <c r="D1898" s="225" t="str">
        <f t="shared" si="12"/>
        <v>2045_2024</v>
      </c>
      <c r="E1898" s="1226">
        <v>0.10774155195323599</v>
      </c>
      <c r="F1898" s="1257">
        <v>1.6832279618594699E-3</v>
      </c>
      <c r="G1898" s="1280">
        <v>7.2103199146484498E-2</v>
      </c>
      <c r="H1898" s="1271">
        <v>0.24794755490436199</v>
      </c>
      <c r="I1898" s="1257">
        <v>1.6582995434176899E-2</v>
      </c>
      <c r="J1898" s="1280">
        <v>0.20097357661187401</v>
      </c>
      <c r="K1898" s="1271">
        <v>2.2841434298506502E-2</v>
      </c>
      <c r="L1898" s="1257">
        <v>1.0477085044710199E-3</v>
      </c>
      <c r="M1898" s="1280">
        <v>1.7116080466866301E-2</v>
      </c>
      <c r="N1898" s="1271">
        <v>3.0000008598028201E-3</v>
      </c>
      <c r="O1898" s="1257">
        <v>2.0000005732018801E-3</v>
      </c>
      <c r="P1898" s="1257">
        <v>3.0000008598028201E-3</v>
      </c>
      <c r="Q1898" s="1280">
        <v>3.0000008598028201E-3</v>
      </c>
      <c r="R1898" s="1271">
        <v>3.1850009128239903E-2</v>
      </c>
      <c r="S1898" s="1257">
        <v>3.1850009128239903E-2</v>
      </c>
      <c r="T1898" s="1257">
        <v>3.1850009128239903E-2</v>
      </c>
      <c r="U1898" s="1280">
        <v>1.5925004564119952E-2</v>
      </c>
      <c r="V1898" s="1293">
        <v>2.3874222600121401E-2</v>
      </c>
    </row>
    <row r="1899" spans="1:22" s="212" customFormat="1" ht="15.5" x14ac:dyDescent="0.35">
      <c r="A1899" s="198">
        <v>2045</v>
      </c>
      <c r="B1899" s="197" t="s">
        <v>5833</v>
      </c>
      <c r="C1899" s="197">
        <v>2025</v>
      </c>
      <c r="D1899" s="225" t="str">
        <f t="shared" si="12"/>
        <v>2045_2025</v>
      </c>
      <c r="E1899" s="1226">
        <v>0.10774155195323599</v>
      </c>
      <c r="F1899" s="1257">
        <v>1.6832279618594699E-3</v>
      </c>
      <c r="G1899" s="1280">
        <v>7.2103199146484498E-2</v>
      </c>
      <c r="H1899" s="1271">
        <v>0.24794755490436199</v>
      </c>
      <c r="I1899" s="1257">
        <v>1.6582995434176899E-2</v>
      </c>
      <c r="J1899" s="1280">
        <v>0.20097357661187401</v>
      </c>
      <c r="K1899" s="1271">
        <v>2.2841434298506502E-2</v>
      </c>
      <c r="L1899" s="1257">
        <v>1.0477085044710199E-3</v>
      </c>
      <c r="M1899" s="1280">
        <v>1.7116080466866301E-2</v>
      </c>
      <c r="N1899" s="1271">
        <v>3.0000008598028201E-3</v>
      </c>
      <c r="O1899" s="1257">
        <v>2.0000005732018801E-3</v>
      </c>
      <c r="P1899" s="1257">
        <v>3.0000008598028201E-3</v>
      </c>
      <c r="Q1899" s="1280">
        <v>3.0000008598028201E-3</v>
      </c>
      <c r="R1899" s="1271">
        <v>3.1850009128239903E-2</v>
      </c>
      <c r="S1899" s="1257">
        <v>3.1850009128239903E-2</v>
      </c>
      <c r="T1899" s="1257">
        <v>3.1850009128239903E-2</v>
      </c>
      <c r="U1899" s="1280">
        <v>1.5925004564119952E-2</v>
      </c>
      <c r="V1899" s="1293">
        <v>2.3874222600121401E-2</v>
      </c>
    </row>
    <row r="1900" spans="1:22" s="212" customFormat="1" ht="15.5" x14ac:dyDescent="0.35">
      <c r="A1900" s="198">
        <v>2045</v>
      </c>
      <c r="B1900" s="197" t="s">
        <v>5833</v>
      </c>
      <c r="C1900" s="197">
        <v>2026</v>
      </c>
      <c r="D1900" s="225" t="str">
        <f t="shared" si="12"/>
        <v>2045_2026</v>
      </c>
      <c r="E1900" s="1226">
        <v>0.10774155195323599</v>
      </c>
      <c r="F1900" s="1257">
        <v>1.6832279618594699E-3</v>
      </c>
      <c r="G1900" s="1280">
        <v>7.2103199146484498E-2</v>
      </c>
      <c r="H1900" s="1271">
        <v>0.24794755490436199</v>
      </c>
      <c r="I1900" s="1257">
        <v>1.6582995434176899E-2</v>
      </c>
      <c r="J1900" s="1280">
        <v>0.20097357661187401</v>
      </c>
      <c r="K1900" s="1271">
        <v>2.2841434298506502E-2</v>
      </c>
      <c r="L1900" s="1257">
        <v>1.0477085044710199E-3</v>
      </c>
      <c r="M1900" s="1280">
        <v>1.7116080466866301E-2</v>
      </c>
      <c r="N1900" s="1271">
        <v>3.0000008598028201E-3</v>
      </c>
      <c r="O1900" s="1257">
        <v>2.0000005732018801E-3</v>
      </c>
      <c r="P1900" s="1257">
        <v>3.0000008598028201E-3</v>
      </c>
      <c r="Q1900" s="1280">
        <v>3.0000008598028201E-3</v>
      </c>
      <c r="R1900" s="1271">
        <v>3.1850009128239903E-2</v>
      </c>
      <c r="S1900" s="1257">
        <v>3.1850009128239903E-2</v>
      </c>
      <c r="T1900" s="1257">
        <v>3.1850009128239903E-2</v>
      </c>
      <c r="U1900" s="1280">
        <v>1.5925004564119952E-2</v>
      </c>
      <c r="V1900" s="1293">
        <v>2.3874222600121401E-2</v>
      </c>
    </row>
    <row r="1901" spans="1:22" s="212" customFormat="1" ht="15.5" x14ac:dyDescent="0.35">
      <c r="A1901" s="198">
        <v>2045</v>
      </c>
      <c r="B1901" s="197" t="s">
        <v>5833</v>
      </c>
      <c r="C1901" s="197">
        <v>2027</v>
      </c>
      <c r="D1901" s="225" t="str">
        <f t="shared" si="12"/>
        <v>2045_2027</v>
      </c>
      <c r="E1901" s="1226">
        <v>0.10774155195323599</v>
      </c>
      <c r="F1901" s="1257">
        <v>1.6832279618594699E-3</v>
      </c>
      <c r="G1901" s="1280">
        <v>7.2103199146484498E-2</v>
      </c>
      <c r="H1901" s="1271">
        <v>0.24794755490436199</v>
      </c>
      <c r="I1901" s="1257">
        <v>1.6582995434176899E-2</v>
      </c>
      <c r="J1901" s="1280">
        <v>0.20097357661187401</v>
      </c>
      <c r="K1901" s="1271">
        <v>2.2841434298506502E-2</v>
      </c>
      <c r="L1901" s="1257">
        <v>1.0477085044710199E-3</v>
      </c>
      <c r="M1901" s="1280">
        <v>1.7116080466866301E-2</v>
      </c>
      <c r="N1901" s="1271">
        <v>3.0000008598028201E-3</v>
      </c>
      <c r="O1901" s="1257">
        <v>2.0000005732018801E-3</v>
      </c>
      <c r="P1901" s="1257">
        <v>3.0000008598028201E-3</v>
      </c>
      <c r="Q1901" s="1280">
        <v>3.0000008598028201E-3</v>
      </c>
      <c r="R1901" s="1271">
        <v>3.1850009128239903E-2</v>
      </c>
      <c r="S1901" s="1257">
        <v>3.1850009128239903E-2</v>
      </c>
      <c r="T1901" s="1257">
        <v>3.1850009128239903E-2</v>
      </c>
      <c r="U1901" s="1280">
        <v>1.5925004564119952E-2</v>
      </c>
      <c r="V1901" s="1293">
        <v>2.3874222600121401E-2</v>
      </c>
    </row>
    <row r="1902" spans="1:22" s="212" customFormat="1" ht="15.5" x14ac:dyDescent="0.35">
      <c r="A1902" s="198">
        <v>2045</v>
      </c>
      <c r="B1902" s="197" t="s">
        <v>5833</v>
      </c>
      <c r="C1902" s="197">
        <v>2028</v>
      </c>
      <c r="D1902" s="225" t="str">
        <f t="shared" si="12"/>
        <v>2045_2028</v>
      </c>
      <c r="E1902" s="1226">
        <v>0.10774155195323599</v>
      </c>
      <c r="F1902" s="1257">
        <v>1.6832279618594699E-3</v>
      </c>
      <c r="G1902" s="1280">
        <v>7.2103199146484498E-2</v>
      </c>
      <c r="H1902" s="1271">
        <v>0.24794755490436199</v>
      </c>
      <c r="I1902" s="1257">
        <v>1.6582995434176899E-2</v>
      </c>
      <c r="J1902" s="1280">
        <v>0.20097357661187401</v>
      </c>
      <c r="K1902" s="1271">
        <v>2.2841434298506502E-2</v>
      </c>
      <c r="L1902" s="1257">
        <v>1.0477085044710199E-3</v>
      </c>
      <c r="M1902" s="1280">
        <v>1.7116080466866301E-2</v>
      </c>
      <c r="N1902" s="1271">
        <v>3.0000008598028201E-3</v>
      </c>
      <c r="O1902" s="1257">
        <v>2.0000005732018801E-3</v>
      </c>
      <c r="P1902" s="1257">
        <v>3.0000008598028201E-3</v>
      </c>
      <c r="Q1902" s="1280">
        <v>3.0000008598028201E-3</v>
      </c>
      <c r="R1902" s="1271">
        <v>3.1850009128239903E-2</v>
      </c>
      <c r="S1902" s="1257">
        <v>3.1850009128239903E-2</v>
      </c>
      <c r="T1902" s="1257">
        <v>3.1850009128239903E-2</v>
      </c>
      <c r="U1902" s="1280">
        <v>1.5925004564119952E-2</v>
      </c>
      <c r="V1902" s="1293">
        <v>2.3874222600121401E-2</v>
      </c>
    </row>
    <row r="1903" spans="1:22" s="212" customFormat="1" ht="15.5" x14ac:dyDescent="0.35">
      <c r="A1903" s="198">
        <v>2045</v>
      </c>
      <c r="B1903" s="197" t="s">
        <v>5833</v>
      </c>
      <c r="C1903" s="197">
        <v>2029</v>
      </c>
      <c r="D1903" s="225" t="str">
        <f t="shared" si="12"/>
        <v>2045_2029</v>
      </c>
      <c r="E1903" s="1226">
        <v>0.10774155195323599</v>
      </c>
      <c r="F1903" s="1257">
        <v>1.6832279618594699E-3</v>
      </c>
      <c r="G1903" s="1280">
        <v>7.2103199146484498E-2</v>
      </c>
      <c r="H1903" s="1271">
        <v>0.24794755490436199</v>
      </c>
      <c r="I1903" s="1257">
        <v>1.6582995434176899E-2</v>
      </c>
      <c r="J1903" s="1280">
        <v>0.20097357661187401</v>
      </c>
      <c r="K1903" s="1271">
        <v>2.2841434298506502E-2</v>
      </c>
      <c r="L1903" s="1257">
        <v>1.0477085044710199E-3</v>
      </c>
      <c r="M1903" s="1280">
        <v>1.7116080466866301E-2</v>
      </c>
      <c r="N1903" s="1271">
        <v>3.0000008598028201E-3</v>
      </c>
      <c r="O1903" s="1257">
        <v>2.0000005732018801E-3</v>
      </c>
      <c r="P1903" s="1257">
        <v>3.0000008598028201E-3</v>
      </c>
      <c r="Q1903" s="1280">
        <v>3.0000008598028201E-3</v>
      </c>
      <c r="R1903" s="1271">
        <v>3.1850009128239903E-2</v>
      </c>
      <c r="S1903" s="1257">
        <v>3.1850009128239903E-2</v>
      </c>
      <c r="T1903" s="1257">
        <v>3.1850009128239903E-2</v>
      </c>
      <c r="U1903" s="1280">
        <v>1.5925004564119952E-2</v>
      </c>
      <c r="V1903" s="1293">
        <v>2.3874222600121401E-2</v>
      </c>
    </row>
    <row r="1904" spans="1:22" s="212" customFormat="1" ht="15.5" x14ac:dyDescent="0.35">
      <c r="A1904" s="198">
        <v>2045</v>
      </c>
      <c r="B1904" s="197" t="s">
        <v>5833</v>
      </c>
      <c r="C1904" s="197">
        <v>2030</v>
      </c>
      <c r="D1904" s="225" t="str">
        <f t="shared" si="12"/>
        <v>2045_2030</v>
      </c>
      <c r="E1904" s="1226">
        <v>0.10774155195323599</v>
      </c>
      <c r="F1904" s="1257">
        <v>1.6832279618594699E-3</v>
      </c>
      <c r="G1904" s="1280">
        <v>7.2103199146484498E-2</v>
      </c>
      <c r="H1904" s="1271">
        <v>0.24794755490436199</v>
      </c>
      <c r="I1904" s="1257">
        <v>1.6582995434176899E-2</v>
      </c>
      <c r="J1904" s="1280">
        <v>0.20097357661187401</v>
      </c>
      <c r="K1904" s="1271">
        <v>2.2841434298506502E-2</v>
      </c>
      <c r="L1904" s="1257">
        <v>1.0477085044710199E-3</v>
      </c>
      <c r="M1904" s="1280">
        <v>1.7116080466866301E-2</v>
      </c>
      <c r="N1904" s="1271">
        <v>3.0000008598028201E-3</v>
      </c>
      <c r="O1904" s="1257">
        <v>2.0000005732018801E-3</v>
      </c>
      <c r="P1904" s="1257">
        <v>3.0000008598028201E-3</v>
      </c>
      <c r="Q1904" s="1280">
        <v>3.0000008598028201E-3</v>
      </c>
      <c r="R1904" s="1271">
        <v>3.1850009128239903E-2</v>
      </c>
      <c r="S1904" s="1257">
        <v>3.1850009128239903E-2</v>
      </c>
      <c r="T1904" s="1257">
        <v>3.1850009128239903E-2</v>
      </c>
      <c r="U1904" s="1280">
        <v>1.5925004564119952E-2</v>
      </c>
      <c r="V1904" s="1293">
        <v>2.3874222600121401E-2</v>
      </c>
    </row>
    <row r="1905" spans="1:22" s="212" customFormat="1" ht="15.5" x14ac:dyDescent="0.35">
      <c r="A1905" s="198">
        <v>2045</v>
      </c>
      <c r="B1905" s="197" t="s">
        <v>5833</v>
      </c>
      <c r="C1905" s="197">
        <v>2031</v>
      </c>
      <c r="D1905" s="225" t="str">
        <f t="shared" si="12"/>
        <v>2045_2031</v>
      </c>
      <c r="E1905" s="1226">
        <v>0.10774155195323599</v>
      </c>
      <c r="F1905" s="1257">
        <v>1.6832279618594699E-3</v>
      </c>
      <c r="G1905" s="1280">
        <v>7.2103199146484498E-2</v>
      </c>
      <c r="H1905" s="1271">
        <v>0.24794755490436199</v>
      </c>
      <c r="I1905" s="1257">
        <v>1.6582995434176899E-2</v>
      </c>
      <c r="J1905" s="1280">
        <v>0.20097357661187401</v>
      </c>
      <c r="K1905" s="1271">
        <v>2.2841434298506502E-2</v>
      </c>
      <c r="L1905" s="1257">
        <v>1.0477085044710199E-3</v>
      </c>
      <c r="M1905" s="1280">
        <v>1.7116080466866301E-2</v>
      </c>
      <c r="N1905" s="1271">
        <v>3.0000008598028201E-3</v>
      </c>
      <c r="O1905" s="1257">
        <v>2.0000005732018801E-3</v>
      </c>
      <c r="P1905" s="1257">
        <v>3.0000008598028201E-3</v>
      </c>
      <c r="Q1905" s="1306">
        <v>8.1120328320053899E-3</v>
      </c>
      <c r="R1905" s="1271">
        <v>3.1850009128239903E-2</v>
      </c>
      <c r="S1905" s="1257">
        <v>3.1850009128239903E-2</v>
      </c>
      <c r="T1905" s="1257">
        <v>3.1850009128239903E-2</v>
      </c>
      <c r="U1905" s="1306">
        <v>1.9250005517068101E-2</v>
      </c>
      <c r="V1905" s="1293">
        <v>2.3874222600121401E-2</v>
      </c>
    </row>
    <row r="1906" spans="1:22" s="212" customFormat="1" ht="15.5" x14ac:dyDescent="0.35">
      <c r="A1906" s="198">
        <v>2045</v>
      </c>
      <c r="B1906" s="197" t="s">
        <v>5833</v>
      </c>
      <c r="C1906" s="197">
        <v>2032</v>
      </c>
      <c r="D1906" s="225" t="str">
        <f t="shared" si="12"/>
        <v>2045_2032</v>
      </c>
      <c r="E1906" s="1226">
        <v>0.10774155195323599</v>
      </c>
      <c r="F1906" s="1257">
        <v>1.6832279618594699E-3</v>
      </c>
      <c r="G1906" s="1280">
        <v>7.2103199146484498E-2</v>
      </c>
      <c r="H1906" s="1271">
        <v>0.24794755490436199</v>
      </c>
      <c r="I1906" s="1257">
        <v>1.6582995434176899E-2</v>
      </c>
      <c r="J1906" s="1280">
        <v>0.20097357661187401</v>
      </c>
      <c r="K1906" s="1271">
        <v>2.2841434298506502E-2</v>
      </c>
      <c r="L1906" s="1257">
        <v>1.0477085044710199E-3</v>
      </c>
      <c r="M1906" s="1280">
        <v>1.7116080466866301E-2</v>
      </c>
      <c r="N1906" s="1271">
        <v>3.0000008598028201E-3</v>
      </c>
      <c r="O1906" s="1257">
        <v>2.0000005732018801E-3</v>
      </c>
      <c r="P1906" s="1257">
        <v>3.0000008598028201E-3</v>
      </c>
      <c r="Q1906" s="1306">
        <v>7.7480283451327701E-3</v>
      </c>
      <c r="R1906" s="1271">
        <v>3.1850009128239903E-2</v>
      </c>
      <c r="S1906" s="1257">
        <v>3.1850009128239903E-2</v>
      </c>
      <c r="T1906" s="1257">
        <v>3.1850009128239903E-2</v>
      </c>
      <c r="U1906" s="1306">
        <v>1.9250005517068E-2</v>
      </c>
      <c r="V1906" s="1293">
        <v>2.3874222600121401E-2</v>
      </c>
    </row>
    <row r="1907" spans="1:22" s="212" customFormat="1" ht="15.5" x14ac:dyDescent="0.35">
      <c r="A1907" s="198">
        <v>2045</v>
      </c>
      <c r="B1907" s="197" t="s">
        <v>5833</v>
      </c>
      <c r="C1907" s="197">
        <v>2033</v>
      </c>
      <c r="D1907" s="225" t="str">
        <f t="shared" si="12"/>
        <v>2045_2033</v>
      </c>
      <c r="E1907" s="1226">
        <v>0.10774155195323599</v>
      </c>
      <c r="F1907" s="1257">
        <v>1.6832279618594699E-3</v>
      </c>
      <c r="G1907" s="1280">
        <v>7.2103199146484498E-2</v>
      </c>
      <c r="H1907" s="1271">
        <v>0.24794755490436199</v>
      </c>
      <c r="I1907" s="1257">
        <v>1.6582995434176899E-2</v>
      </c>
      <c r="J1907" s="1280">
        <v>0.20097357661187401</v>
      </c>
      <c r="K1907" s="1271">
        <v>2.2841434298506502E-2</v>
      </c>
      <c r="L1907" s="1257">
        <v>1.0477085044710199E-3</v>
      </c>
      <c r="M1907" s="1280">
        <v>1.7116080466866301E-2</v>
      </c>
      <c r="N1907" s="1271">
        <v>3.0000008598028201E-3</v>
      </c>
      <c r="O1907" s="1257">
        <v>2.0000005732018801E-3</v>
      </c>
      <c r="P1907" s="1257">
        <v>3.0000008598028201E-3</v>
      </c>
      <c r="Q1907" s="1306">
        <v>7.0779306122425202E-3</v>
      </c>
      <c r="R1907" s="1271">
        <v>3.1850009128239903E-2</v>
      </c>
      <c r="S1907" s="1257">
        <v>3.1850009128239903E-2</v>
      </c>
      <c r="T1907" s="1257">
        <v>3.1850009128239903E-2</v>
      </c>
      <c r="U1907" s="1306">
        <v>1.9250005517068101E-2</v>
      </c>
      <c r="V1907" s="1293">
        <v>2.3874222600121401E-2</v>
      </c>
    </row>
    <row r="1908" spans="1:22" s="212" customFormat="1" ht="15.5" x14ac:dyDescent="0.35">
      <c r="A1908" s="198">
        <v>2045</v>
      </c>
      <c r="B1908" s="197" t="s">
        <v>5833</v>
      </c>
      <c r="C1908" s="197">
        <v>2034</v>
      </c>
      <c r="D1908" s="225" t="str">
        <f t="shared" si="12"/>
        <v>2045_2034</v>
      </c>
      <c r="E1908" s="1226">
        <v>0.10774155195323599</v>
      </c>
      <c r="F1908" s="1257">
        <v>1.6832279618594699E-3</v>
      </c>
      <c r="G1908" s="1280">
        <v>7.2103199146484498E-2</v>
      </c>
      <c r="H1908" s="1271">
        <v>0.24794755490436199</v>
      </c>
      <c r="I1908" s="1257">
        <v>1.6582995434176899E-2</v>
      </c>
      <c r="J1908" s="1280">
        <v>0.20097357661187401</v>
      </c>
      <c r="K1908" s="1271">
        <v>2.2841434298506502E-2</v>
      </c>
      <c r="L1908" s="1257">
        <v>1.0477085044710199E-3</v>
      </c>
      <c r="M1908" s="1280">
        <v>1.7116080466866301E-2</v>
      </c>
      <c r="N1908" s="1271">
        <v>3.0000008598028201E-3</v>
      </c>
      <c r="O1908" s="1257">
        <v>2.0000005732018801E-3</v>
      </c>
      <c r="P1908" s="1257">
        <v>3.0000008598028201E-3</v>
      </c>
      <c r="Q1908" s="1306">
        <v>5.7121094500660798E-3</v>
      </c>
      <c r="R1908" s="1271">
        <v>3.1850009128239903E-2</v>
      </c>
      <c r="S1908" s="1257">
        <v>3.1850009128239903E-2</v>
      </c>
      <c r="T1908" s="1257">
        <v>3.1850009128239903E-2</v>
      </c>
      <c r="U1908" s="1306">
        <v>1.9250005517068101E-2</v>
      </c>
      <c r="V1908" s="1293">
        <v>2.3874222600121401E-2</v>
      </c>
    </row>
    <row r="1909" spans="1:22" s="212" customFormat="1" ht="15.5" x14ac:dyDescent="0.35">
      <c r="A1909" s="198">
        <v>2045</v>
      </c>
      <c r="B1909" s="197" t="s">
        <v>5833</v>
      </c>
      <c r="C1909" s="197">
        <v>2035</v>
      </c>
      <c r="D1909" s="225" t="str">
        <f t="shared" si="12"/>
        <v>2045_2035</v>
      </c>
      <c r="E1909" s="1231">
        <v>0.10774155195323599</v>
      </c>
      <c r="F1909" s="1288">
        <v>1.6832279618594699E-3</v>
      </c>
      <c r="G1909" s="1306">
        <v>7.2103199146484498E-2</v>
      </c>
      <c r="H1909" s="1303">
        <v>0.24794755490436199</v>
      </c>
      <c r="I1909" s="1288">
        <v>1.6582995434176899E-2</v>
      </c>
      <c r="J1909" s="1306">
        <v>0.20097357661187401</v>
      </c>
      <c r="K1909" s="1303">
        <v>2.2841434298506502E-2</v>
      </c>
      <c r="L1909" s="1288">
        <v>1.0477085044710199E-3</v>
      </c>
      <c r="M1909" s="1306">
        <v>1.7116080466866301E-2</v>
      </c>
      <c r="N1909" s="1303">
        <v>3.0000008598028201E-3</v>
      </c>
      <c r="O1909" s="1288">
        <v>2.0000005732018801E-3</v>
      </c>
      <c r="P1909" s="1288">
        <v>3.0000008598028201E-3</v>
      </c>
      <c r="Q1909" s="1306">
        <v>8.08268618211762E-3</v>
      </c>
      <c r="R1909" s="1303">
        <v>3.1850009128239903E-2</v>
      </c>
      <c r="S1909" s="1288">
        <v>3.1850009128239903E-2</v>
      </c>
      <c r="T1909" s="1288">
        <v>3.1850009128239903E-2</v>
      </c>
      <c r="U1909" s="1306">
        <v>1.9250005517068101E-2</v>
      </c>
      <c r="V1909" s="1294">
        <v>2.3874222600121401E-2</v>
      </c>
    </row>
    <row r="1910" spans="1:22" s="212" customFormat="1" ht="15.5" x14ac:dyDescent="0.35">
      <c r="A1910" s="198">
        <v>2045</v>
      </c>
      <c r="B1910" s="197" t="s">
        <v>5833</v>
      </c>
      <c r="C1910" s="197">
        <v>2036</v>
      </c>
      <c r="D1910" s="225" t="str">
        <f t="shared" si="12"/>
        <v>2045_2036</v>
      </c>
      <c r="E1910" s="1231">
        <v>0.10620056143779499</v>
      </c>
      <c r="F1910" s="1288">
        <v>2.6298775425538201E-3</v>
      </c>
      <c r="G1910" s="1306">
        <v>7.5757181128961404E-2</v>
      </c>
      <c r="H1910" s="1303">
        <v>0.24100838375327899</v>
      </c>
      <c r="I1910" s="1288">
        <v>1.5685777455776099E-2</v>
      </c>
      <c r="J1910" s="1306">
        <v>0.18942597798672201</v>
      </c>
      <c r="K1910" s="1303">
        <v>2.1662305354159701E-2</v>
      </c>
      <c r="L1910" s="1288">
        <v>1.1505332344571E-3</v>
      </c>
      <c r="M1910" s="1306">
        <v>1.6481714201923299E-2</v>
      </c>
      <c r="N1910" s="1303">
        <v>3.0000008598028201E-3</v>
      </c>
      <c r="O1910" s="1288">
        <v>2.0000005732018801E-3</v>
      </c>
      <c r="P1910" s="1288">
        <v>3.0000008598028201E-3</v>
      </c>
      <c r="Q1910" s="1306">
        <v>7.3795799121639197E-3</v>
      </c>
      <c r="R1910" s="1303">
        <v>3.1850009128239903E-2</v>
      </c>
      <c r="S1910" s="1288">
        <v>3.1850009128239903E-2</v>
      </c>
      <c r="T1910" s="1288">
        <v>3.1850009128239903E-2</v>
      </c>
      <c r="U1910" s="1306">
        <v>1.9250005517068101E-2</v>
      </c>
      <c r="V1910" s="1294">
        <v>2.2641778677218501E-2</v>
      </c>
    </row>
    <row r="1911" spans="1:22" s="212" customFormat="1" ht="15.5" x14ac:dyDescent="0.35">
      <c r="A1911" s="198">
        <v>2045</v>
      </c>
      <c r="B1911" s="197" t="s">
        <v>5833</v>
      </c>
      <c r="C1911" s="197">
        <v>2037</v>
      </c>
      <c r="D1911" s="225" t="str">
        <f t="shared" si="12"/>
        <v>2045_2037</v>
      </c>
      <c r="E1911" s="1231">
        <v>0.102945149743404</v>
      </c>
      <c r="F1911" s="1288">
        <v>2.1561100563573898E-3</v>
      </c>
      <c r="G1911" s="1306">
        <v>5.6157200284840197E-2</v>
      </c>
      <c r="H1911" s="1303">
        <v>0.229163253458851</v>
      </c>
      <c r="I1911" s="1288">
        <v>1.6278806866277199E-2</v>
      </c>
      <c r="J1911" s="1306">
        <v>0.157135780418799</v>
      </c>
      <c r="K1911" s="1303">
        <v>2.0092090741072301E-2</v>
      </c>
      <c r="L1911" s="1288">
        <v>1.1100550519912199E-3</v>
      </c>
      <c r="M1911" s="1306">
        <v>1.26831778419306E-2</v>
      </c>
      <c r="N1911" s="1303">
        <v>3.0000008598028201E-3</v>
      </c>
      <c r="O1911" s="1288">
        <v>2.0000005732018801E-3</v>
      </c>
      <c r="P1911" s="1288">
        <v>3.0000008598028201E-3</v>
      </c>
      <c r="Q1911" s="1306">
        <v>7.5861856395711197E-3</v>
      </c>
      <c r="R1911" s="1303">
        <v>3.1850009128239903E-2</v>
      </c>
      <c r="S1911" s="1288">
        <v>3.1850009128239903E-2</v>
      </c>
      <c r="T1911" s="1288">
        <v>3.1850009128239903E-2</v>
      </c>
      <c r="U1911" s="1306">
        <v>1.9250005517068E-2</v>
      </c>
      <c r="V1911" s="1294">
        <v>2.10005659270514E-2</v>
      </c>
    </row>
    <row r="1912" spans="1:22" s="212" customFormat="1" ht="15.5" x14ac:dyDescent="0.35">
      <c r="A1912" s="198">
        <v>2045</v>
      </c>
      <c r="B1912" s="197" t="s">
        <v>5833</v>
      </c>
      <c r="C1912" s="197">
        <v>2038</v>
      </c>
      <c r="D1912" s="225" t="str">
        <f t="shared" si="12"/>
        <v>2045_2038</v>
      </c>
      <c r="E1912" s="1231">
        <v>0.10160739431887</v>
      </c>
      <c r="F1912" s="1288">
        <v>1.35842286705023E-3</v>
      </c>
      <c r="G1912" s="1306">
        <v>7.5633174296935807E-2</v>
      </c>
      <c r="H1912" s="1303">
        <v>0.222222892233297</v>
      </c>
      <c r="I1912" s="1288">
        <v>1.6290254369564699E-2</v>
      </c>
      <c r="J1912" s="1306">
        <v>0.17996528513729901</v>
      </c>
      <c r="K1912" s="1303">
        <v>1.8834800099159499E-2</v>
      </c>
      <c r="L1912" s="1288">
        <v>1.0119005220444999E-3</v>
      </c>
      <c r="M1912" s="1306">
        <v>1.48183493234567E-2</v>
      </c>
      <c r="N1912" s="1303">
        <v>3.0000008598028201E-3</v>
      </c>
      <c r="O1912" s="1288">
        <v>2.0000005732018801E-3</v>
      </c>
      <c r="P1912" s="1288">
        <v>3.0000008598028201E-3</v>
      </c>
      <c r="Q1912" s="1306">
        <v>7.8507146591203798E-3</v>
      </c>
      <c r="R1912" s="1303">
        <v>3.1850009128239903E-2</v>
      </c>
      <c r="S1912" s="1288">
        <v>3.1850009128239903E-2</v>
      </c>
      <c r="T1912" s="1288">
        <v>3.1850009128239903E-2</v>
      </c>
      <c r="U1912" s="1306">
        <v>1.9250005517068101E-2</v>
      </c>
      <c r="V1912" s="1294">
        <v>1.9686426181455899E-2</v>
      </c>
    </row>
    <row r="1913" spans="1:22" s="212" customFormat="1" ht="15.5" x14ac:dyDescent="0.35">
      <c r="A1913" s="198">
        <v>2045</v>
      </c>
      <c r="B1913" s="197" t="s">
        <v>5833</v>
      </c>
      <c r="C1913" s="197">
        <v>2039</v>
      </c>
      <c r="D1913" s="225" t="str">
        <f t="shared" si="12"/>
        <v>2045_2039</v>
      </c>
      <c r="E1913" s="1231">
        <v>0.100721199762007</v>
      </c>
      <c r="F1913" s="1288">
        <v>2.53452465973291E-3</v>
      </c>
      <c r="G1913" s="1306">
        <v>4.7407683990048202E-2</v>
      </c>
      <c r="H1913" s="1303">
        <v>0.21632150693000399</v>
      </c>
      <c r="I1913" s="1288">
        <v>1.51130465217095E-2</v>
      </c>
      <c r="J1913" s="1306">
        <v>0.136031990618357</v>
      </c>
      <c r="K1913" s="1303">
        <v>1.7582754545888001E-2</v>
      </c>
      <c r="L1913" s="1288">
        <v>1.14152224330179E-3</v>
      </c>
      <c r="M1913" s="1306">
        <v>9.9995634780094995E-3</v>
      </c>
      <c r="N1913" s="1303">
        <v>3.0000008598028201E-3</v>
      </c>
      <c r="O1913" s="1288">
        <v>2.0000005732018801E-3</v>
      </c>
      <c r="P1913" s="1288">
        <v>3.0000008598028201E-3</v>
      </c>
      <c r="Q1913" s="1306">
        <v>7.5933065431310698E-3</v>
      </c>
      <c r="R1913" s="1303">
        <v>3.1850009128239903E-2</v>
      </c>
      <c r="S1913" s="1288">
        <v>3.1850009128239903E-2</v>
      </c>
      <c r="T1913" s="1288">
        <v>3.1850009128239903E-2</v>
      </c>
      <c r="U1913" s="1306">
        <v>1.9250005517068101E-2</v>
      </c>
      <c r="V1913" s="1294">
        <v>1.83777686841353E-2</v>
      </c>
    </row>
    <row r="1914" spans="1:22" s="212" customFormat="1" ht="15.5" x14ac:dyDescent="0.35">
      <c r="A1914" s="198">
        <v>2045</v>
      </c>
      <c r="B1914" s="197" t="s">
        <v>5833</v>
      </c>
      <c r="C1914" s="197">
        <v>2040</v>
      </c>
      <c r="D1914" s="225" t="str">
        <f t="shared" si="12"/>
        <v>2045_2040</v>
      </c>
      <c r="E1914" s="1231">
        <v>9.8464460409797297E-2</v>
      </c>
      <c r="F1914" s="1288">
        <v>1.9767348030723798E-3</v>
      </c>
      <c r="G1914" s="1306">
        <v>5.6258249179559502E-2</v>
      </c>
      <c r="H1914" s="1303">
        <v>0.20631346053175301</v>
      </c>
      <c r="I1914" s="1288">
        <v>1.5786638573844901E-2</v>
      </c>
      <c r="J1914" s="1306">
        <v>0.138426160025416</v>
      </c>
      <c r="K1914" s="1303">
        <v>1.6019308496038699E-2</v>
      </c>
      <c r="L1914" s="1288">
        <v>1.0896549036963699E-3</v>
      </c>
      <c r="M1914" s="1306">
        <v>1.02208409381835E-2</v>
      </c>
      <c r="N1914" s="1303">
        <v>3.0000008598028201E-3</v>
      </c>
      <c r="O1914" s="1288">
        <v>2.0000005732018801E-3</v>
      </c>
      <c r="P1914" s="1288">
        <v>3.0000008598028201E-3</v>
      </c>
      <c r="Q1914" s="1306">
        <v>7.6833188573584002E-3</v>
      </c>
      <c r="R1914" s="1303">
        <v>3.1850009128239903E-2</v>
      </c>
      <c r="S1914" s="1288">
        <v>3.1850009128239903E-2</v>
      </c>
      <c r="T1914" s="1288">
        <v>3.1850009128239903E-2</v>
      </c>
      <c r="U1914" s="1306">
        <v>1.9250005517068101E-2</v>
      </c>
      <c r="V1914" s="1294">
        <v>1.6743630541600898E-2</v>
      </c>
    </row>
    <row r="1915" spans="1:22" s="212" customFormat="1" ht="15.5" x14ac:dyDescent="0.35">
      <c r="A1915" s="198">
        <v>2045</v>
      </c>
      <c r="B1915" s="197" t="s">
        <v>5833</v>
      </c>
      <c r="C1915" s="197">
        <v>2041</v>
      </c>
      <c r="D1915" s="225" t="str">
        <f t="shared" si="12"/>
        <v>2045_2041</v>
      </c>
      <c r="E1915" s="1231">
        <v>9.5785886562063799E-2</v>
      </c>
      <c r="F1915" s="1288">
        <v>2.43189128373421E-3</v>
      </c>
      <c r="G1915" s="1306">
        <v>5.71750316653361E-2</v>
      </c>
      <c r="H1915" s="1303">
        <v>0.195036441873114</v>
      </c>
      <c r="I1915" s="1288">
        <v>1.5664681922508899E-2</v>
      </c>
      <c r="J1915" s="1306">
        <v>0.13947501556668701</v>
      </c>
      <c r="K1915" s="1303">
        <v>1.43324638180679E-2</v>
      </c>
      <c r="L1915" s="1288">
        <v>1.1160988011777E-3</v>
      </c>
      <c r="M1915" s="1306">
        <v>9.60187491662352E-3</v>
      </c>
      <c r="N1915" s="1303">
        <v>3.0000008598028201E-3</v>
      </c>
      <c r="O1915" s="1288">
        <v>2.0000005732018801E-3</v>
      </c>
      <c r="P1915" s="1288">
        <v>3.0000008598028201E-3</v>
      </c>
      <c r="Q1915" s="1306">
        <v>8.1261048842491499E-3</v>
      </c>
      <c r="R1915" s="1303">
        <v>3.1850009128239903E-2</v>
      </c>
      <c r="S1915" s="1288">
        <v>3.1850009128239903E-2</v>
      </c>
      <c r="T1915" s="1288">
        <v>3.1850009128239903E-2</v>
      </c>
      <c r="U1915" s="1306">
        <v>1.9250005517068101E-2</v>
      </c>
      <c r="V1915" s="1294">
        <v>1.4980514232554599E-2</v>
      </c>
    </row>
    <row r="1916" spans="1:22" s="212" customFormat="1" ht="15.5" x14ac:dyDescent="0.35">
      <c r="A1916" s="198">
        <v>2045</v>
      </c>
      <c r="B1916" s="197" t="s">
        <v>5833</v>
      </c>
      <c r="C1916" s="197">
        <v>2042</v>
      </c>
      <c r="D1916" s="225" t="str">
        <f t="shared" si="12"/>
        <v>2045_2042</v>
      </c>
      <c r="E1916" s="1231">
        <v>9.4862708778809396E-2</v>
      </c>
      <c r="F1916" s="1288">
        <v>2.4323434026769599E-3</v>
      </c>
      <c r="G1916" s="1306">
        <v>7.3700181855307995E-2</v>
      </c>
      <c r="H1916" s="1303">
        <v>0.186929355215496</v>
      </c>
      <c r="I1916" s="1288">
        <v>1.7354935404909001E-2</v>
      </c>
      <c r="J1916" s="1306">
        <v>0.157812037861948</v>
      </c>
      <c r="K1916" s="1303">
        <v>1.28256600282395E-2</v>
      </c>
      <c r="L1916" s="1288">
        <v>1.1022853757913099E-3</v>
      </c>
      <c r="M1916" s="1306">
        <v>1.0482115153134601E-2</v>
      </c>
      <c r="N1916" s="1303">
        <v>3.0000008598028201E-3</v>
      </c>
      <c r="O1916" s="1288">
        <v>2.0000005732018801E-3</v>
      </c>
      <c r="P1916" s="1288">
        <v>3.0000008598028201E-3</v>
      </c>
      <c r="Q1916" s="1306">
        <v>8.1542539330640706E-3</v>
      </c>
      <c r="R1916" s="1303">
        <v>3.1850009128239903E-2</v>
      </c>
      <c r="S1916" s="1288">
        <v>3.1850009128239903E-2</v>
      </c>
      <c r="T1916" s="1288">
        <v>3.1850009128239903E-2</v>
      </c>
      <c r="U1916" s="1306">
        <v>1.9250005517068101E-2</v>
      </c>
      <c r="V1916" s="1294">
        <v>1.3405579461693001E-2</v>
      </c>
    </row>
    <row r="1917" spans="1:22" s="212" customFormat="1" ht="15.5" x14ac:dyDescent="0.35">
      <c r="A1917" s="198">
        <v>2045</v>
      </c>
      <c r="B1917" s="197" t="s">
        <v>5833</v>
      </c>
      <c r="C1917" s="197">
        <v>2043</v>
      </c>
      <c r="D1917" s="225" t="str">
        <f t="shared" si="12"/>
        <v>2045_2043</v>
      </c>
      <c r="E1917" s="1231">
        <v>9.0873814516145998E-2</v>
      </c>
      <c r="F1917" s="1288">
        <v>2.6872135911803E-3</v>
      </c>
      <c r="G1917" s="1306">
        <v>5.7094863930013701E-2</v>
      </c>
      <c r="H1917" s="1303">
        <v>0.173411831158052</v>
      </c>
      <c r="I1917" s="1288">
        <v>1.93995786223152E-2</v>
      </c>
      <c r="J1917" s="1306">
        <v>0.12576948822973799</v>
      </c>
      <c r="K1917" s="1303">
        <v>1.08263578460688E-2</v>
      </c>
      <c r="L1917" s="1288">
        <v>1.0925837034598E-3</v>
      </c>
      <c r="M1917" s="1306">
        <v>7.4746111821393504E-3</v>
      </c>
      <c r="N1917" s="1303">
        <v>3.0000008598028201E-3</v>
      </c>
      <c r="O1917" s="1288">
        <v>2.0000005732018801E-3</v>
      </c>
      <c r="P1917" s="1288">
        <v>3.0000008598028201E-3</v>
      </c>
      <c r="Q1917" s="1306">
        <v>8.1135182202519106E-3</v>
      </c>
      <c r="R1917" s="1303">
        <v>3.1850009128239903E-2</v>
      </c>
      <c r="S1917" s="1288">
        <v>3.1850009128239903E-2</v>
      </c>
      <c r="T1917" s="1288">
        <v>3.1850009128239903E-2</v>
      </c>
      <c r="U1917" s="1306">
        <v>1.9250005517068101E-2</v>
      </c>
      <c r="V1917" s="1294">
        <v>1.1315877706616601E-2</v>
      </c>
    </row>
    <row r="1918" spans="1:22" s="212" customFormat="1" ht="15.5" x14ac:dyDescent="0.35">
      <c r="A1918" s="198">
        <v>2045</v>
      </c>
      <c r="B1918" s="197" t="s">
        <v>5833</v>
      </c>
      <c r="C1918" s="197">
        <v>2044</v>
      </c>
      <c r="D1918" s="225" t="str">
        <f t="shared" si="12"/>
        <v>2045_2044</v>
      </c>
      <c r="E1918" s="1231">
        <v>8.8324922432681904E-2</v>
      </c>
      <c r="F1918" s="1288">
        <v>2.7583075647164201E-3</v>
      </c>
      <c r="G1918" s="1306">
        <v>5.6077168366881598E-2</v>
      </c>
      <c r="H1918" s="1303">
        <v>0.16183439993291601</v>
      </c>
      <c r="I1918" s="1288">
        <v>2.1707217637023799E-2</v>
      </c>
      <c r="J1918" s="1306">
        <v>0.11727195484207199</v>
      </c>
      <c r="K1918" s="1303">
        <v>8.9551468847015904E-3</v>
      </c>
      <c r="L1918" s="1288">
        <v>1.0757415723173099E-3</v>
      </c>
      <c r="M1918" s="1306">
        <v>6.2088694825799401E-3</v>
      </c>
      <c r="N1918" s="1303">
        <v>3.0000008598028201E-3</v>
      </c>
      <c r="O1918" s="1288">
        <v>2.0000005732018801E-3</v>
      </c>
      <c r="P1918" s="1288">
        <v>3.0000008598028201E-3</v>
      </c>
      <c r="Q1918" s="1306">
        <v>8.3295984317365498E-3</v>
      </c>
      <c r="R1918" s="1303">
        <v>3.1850009128239903E-2</v>
      </c>
      <c r="S1918" s="1288">
        <v>3.1850009128239903E-2</v>
      </c>
      <c r="T1918" s="1288">
        <v>3.1850009128239903E-2</v>
      </c>
      <c r="U1918" s="1306">
        <v>1.9250005517068101E-2</v>
      </c>
      <c r="V1918" s="1294">
        <v>9.3600588889520293E-3</v>
      </c>
    </row>
    <row r="1919" spans="1:22" s="212" customFormat="1" ht="15.5" x14ac:dyDescent="0.35">
      <c r="A1919" s="198">
        <v>2045</v>
      </c>
      <c r="B1919" s="197" t="s">
        <v>5833</v>
      </c>
      <c r="C1919" s="197">
        <v>2045</v>
      </c>
      <c r="D1919" s="225" t="str">
        <f t="shared" si="12"/>
        <v>2045_2045</v>
      </c>
      <c r="E1919" s="1231">
        <v>8.5400051525631696E-2</v>
      </c>
      <c r="F1919" s="1288">
        <v>3.2437618264328301E-3</v>
      </c>
      <c r="G1919" s="1306">
        <v>4.82022392785421E-2</v>
      </c>
      <c r="H1919" s="1303">
        <v>0.14943392667184899</v>
      </c>
      <c r="I1919" s="1288">
        <v>2.0332252450736499E-2</v>
      </c>
      <c r="J1919" s="1306">
        <v>0.10531210262728199</v>
      </c>
      <c r="K1919" s="1303">
        <v>6.9780210827205501E-3</v>
      </c>
      <c r="L1919" s="1288">
        <v>1.1234905244532701E-3</v>
      </c>
      <c r="M1919" s="1306">
        <v>4.5282500989908703E-3</v>
      </c>
      <c r="N1919" s="1303">
        <v>3.0000008598028201E-3</v>
      </c>
      <c r="O1919" s="1288">
        <v>2.0000005732018801E-3</v>
      </c>
      <c r="P1919" s="1288">
        <v>3.0000008598028201E-3</v>
      </c>
      <c r="Q1919" s="1306">
        <v>7.8859969065633705E-3</v>
      </c>
      <c r="R1919" s="1303">
        <v>3.1850009128239903E-2</v>
      </c>
      <c r="S1919" s="1288">
        <v>3.1850009128239903E-2</v>
      </c>
      <c r="T1919" s="1288">
        <v>3.1850009128239903E-2</v>
      </c>
      <c r="U1919" s="1306">
        <v>1.9250005517068101E-2</v>
      </c>
      <c r="V1919" s="1294">
        <v>7.2935362315712203E-3</v>
      </c>
    </row>
    <row r="1920" spans="1:22" s="212" customFormat="1" ht="15.5" x14ac:dyDescent="0.35">
      <c r="A1920" s="198">
        <v>2045</v>
      </c>
      <c r="B1920" s="197" t="s">
        <v>5833</v>
      </c>
      <c r="C1920" s="197">
        <v>2046</v>
      </c>
      <c r="D1920" s="225" t="str">
        <f t="shared" si="12"/>
        <v>2045_2046</v>
      </c>
      <c r="E1920" s="1226">
        <v>8.5400051525631696E-2</v>
      </c>
      <c r="F1920" s="1257">
        <v>3.2437618264328301E-3</v>
      </c>
      <c r="G1920" s="1280">
        <v>4.82022392785421E-2</v>
      </c>
      <c r="H1920" s="1271">
        <v>0.14943392667184899</v>
      </c>
      <c r="I1920" s="1257">
        <v>2.0332252450736499E-2</v>
      </c>
      <c r="J1920" s="1280">
        <v>0.10531210262728199</v>
      </c>
      <c r="K1920" s="1271">
        <v>6.9780210827205501E-3</v>
      </c>
      <c r="L1920" s="1257">
        <v>1.1234905244532701E-3</v>
      </c>
      <c r="M1920" s="1280">
        <v>4.5282500989908703E-3</v>
      </c>
      <c r="N1920" s="1271">
        <v>3.0000008598028201E-3</v>
      </c>
      <c r="O1920" s="1257">
        <v>2.0000005732018801E-3</v>
      </c>
      <c r="P1920" s="1257">
        <v>3.0000008598028201E-3</v>
      </c>
      <c r="Q1920" s="1280">
        <v>7.8859969065633705E-3</v>
      </c>
      <c r="R1920" s="1271">
        <v>3.1850009128239903E-2</v>
      </c>
      <c r="S1920" s="1257">
        <v>3.1850009128239903E-2</v>
      </c>
      <c r="T1920" s="1257">
        <v>3.1850009128239903E-2</v>
      </c>
      <c r="U1920" s="1280">
        <v>1.9250005517068101E-2</v>
      </c>
      <c r="V1920" s="1293">
        <v>7.2935362315712203E-3</v>
      </c>
    </row>
    <row r="1921" spans="1:22" s="212" customFormat="1" ht="15.5" x14ac:dyDescent="0.35">
      <c r="A1921" s="198">
        <v>2046</v>
      </c>
      <c r="B1921" s="197" t="s">
        <v>5833</v>
      </c>
      <c r="C1921" s="197">
        <v>1971</v>
      </c>
      <c r="D1921" s="225" t="str">
        <f t="shared" si="12"/>
        <v>2046_1971</v>
      </c>
      <c r="E1921" s="1226">
        <v>0.107944144650282</v>
      </c>
      <c r="F1921" s="1257">
        <v>2.6075277682645402E-3</v>
      </c>
      <c r="G1921" s="1280">
        <v>7.7000949970231797E-2</v>
      </c>
      <c r="H1921" s="1271">
        <v>0.248625376851905</v>
      </c>
      <c r="I1921" s="1257">
        <v>1.5770560430846198E-2</v>
      </c>
      <c r="J1921" s="1280">
        <v>0.19541272560336301</v>
      </c>
      <c r="K1921" s="1271">
        <v>2.2883720222137999E-2</v>
      </c>
      <c r="L1921" s="1257">
        <v>1.1505332344571E-3</v>
      </c>
      <c r="M1921" s="1280">
        <v>1.74110248383894E-2</v>
      </c>
      <c r="N1921" s="1271">
        <v>3.0000008598028201E-3</v>
      </c>
      <c r="O1921" s="1257">
        <v>2.0000005732018801E-3</v>
      </c>
      <c r="P1921" s="1257">
        <v>3.0000008598028201E-3</v>
      </c>
      <c r="Q1921" s="1280">
        <v>3.0000008598028201E-3</v>
      </c>
      <c r="R1921" s="1271">
        <v>3.1850009128239903E-2</v>
      </c>
      <c r="S1921" s="1257">
        <v>3.1850009128239903E-2</v>
      </c>
      <c r="T1921" s="1257">
        <v>3.1850009128239903E-2</v>
      </c>
      <c r="U1921" s="1280">
        <v>1.5925004564119952E-2</v>
      </c>
      <c r="V1921" s="1293">
        <v>2.3918420505578498E-2</v>
      </c>
    </row>
    <row r="1922" spans="1:22" s="212" customFormat="1" ht="15.5" x14ac:dyDescent="0.35">
      <c r="A1922" s="198">
        <v>2046</v>
      </c>
      <c r="B1922" s="197" t="s">
        <v>5833</v>
      </c>
      <c r="C1922" s="197">
        <v>1972</v>
      </c>
      <c r="D1922" s="225" t="str">
        <f t="shared" si="12"/>
        <v>2046_1972</v>
      </c>
      <c r="E1922" s="1226">
        <v>0.107944144650282</v>
      </c>
      <c r="F1922" s="1257">
        <v>2.6075277682645402E-3</v>
      </c>
      <c r="G1922" s="1280">
        <v>7.7000949970231797E-2</v>
      </c>
      <c r="H1922" s="1271">
        <v>0.248625376851905</v>
      </c>
      <c r="I1922" s="1257">
        <v>1.5770560430846198E-2</v>
      </c>
      <c r="J1922" s="1280">
        <v>0.19541272560336301</v>
      </c>
      <c r="K1922" s="1271">
        <v>2.2883720222137999E-2</v>
      </c>
      <c r="L1922" s="1257">
        <v>1.1505332344571E-3</v>
      </c>
      <c r="M1922" s="1280">
        <v>1.74110248383894E-2</v>
      </c>
      <c r="N1922" s="1271">
        <v>3.0000008598028201E-3</v>
      </c>
      <c r="O1922" s="1257">
        <v>2.0000005732018801E-3</v>
      </c>
      <c r="P1922" s="1257">
        <v>3.0000008598028201E-3</v>
      </c>
      <c r="Q1922" s="1280">
        <v>3.0000008598028201E-3</v>
      </c>
      <c r="R1922" s="1271">
        <v>3.1850009128239903E-2</v>
      </c>
      <c r="S1922" s="1257">
        <v>3.1850009128239903E-2</v>
      </c>
      <c r="T1922" s="1257">
        <v>3.1850009128239903E-2</v>
      </c>
      <c r="U1922" s="1280">
        <v>1.5925004564119952E-2</v>
      </c>
      <c r="V1922" s="1293">
        <v>2.3918420505578498E-2</v>
      </c>
    </row>
    <row r="1923" spans="1:22" s="212" customFormat="1" ht="15.5" x14ac:dyDescent="0.35">
      <c r="A1923" s="198">
        <v>2046</v>
      </c>
      <c r="B1923" s="197" t="s">
        <v>5833</v>
      </c>
      <c r="C1923" s="197">
        <v>1973</v>
      </c>
      <c r="D1923" s="225" t="str">
        <f t="shared" si="12"/>
        <v>2046_1973</v>
      </c>
      <c r="E1923" s="1226">
        <v>0.107944144650282</v>
      </c>
      <c r="F1923" s="1257">
        <v>2.6075277682645402E-3</v>
      </c>
      <c r="G1923" s="1280">
        <v>7.7000949970231797E-2</v>
      </c>
      <c r="H1923" s="1271">
        <v>0.248625376851905</v>
      </c>
      <c r="I1923" s="1257">
        <v>1.5770560430846198E-2</v>
      </c>
      <c r="J1923" s="1280">
        <v>0.19541272560336301</v>
      </c>
      <c r="K1923" s="1271">
        <v>2.2883720222137999E-2</v>
      </c>
      <c r="L1923" s="1257">
        <v>1.1505332344571E-3</v>
      </c>
      <c r="M1923" s="1280">
        <v>1.74110248383894E-2</v>
      </c>
      <c r="N1923" s="1271">
        <v>3.0000008598028201E-3</v>
      </c>
      <c r="O1923" s="1257">
        <v>2.0000005732018801E-3</v>
      </c>
      <c r="P1923" s="1257">
        <v>3.0000008598028201E-3</v>
      </c>
      <c r="Q1923" s="1280">
        <v>3.0000008598028201E-3</v>
      </c>
      <c r="R1923" s="1271">
        <v>3.1850009128239903E-2</v>
      </c>
      <c r="S1923" s="1257">
        <v>3.1850009128239903E-2</v>
      </c>
      <c r="T1923" s="1257">
        <v>3.1850009128239903E-2</v>
      </c>
      <c r="U1923" s="1280">
        <v>1.5925004564119952E-2</v>
      </c>
      <c r="V1923" s="1293">
        <v>2.3918420505578498E-2</v>
      </c>
    </row>
    <row r="1924" spans="1:22" s="212" customFormat="1" ht="15.5" x14ac:dyDescent="0.35">
      <c r="A1924" s="198">
        <v>2046</v>
      </c>
      <c r="B1924" s="197" t="s">
        <v>5833</v>
      </c>
      <c r="C1924" s="197">
        <v>1974</v>
      </c>
      <c r="D1924" s="225" t="str">
        <f t="shared" si="12"/>
        <v>2046_1974</v>
      </c>
      <c r="E1924" s="1226">
        <v>0.107944144650282</v>
      </c>
      <c r="F1924" s="1257">
        <v>2.6075277682645402E-3</v>
      </c>
      <c r="G1924" s="1280">
        <v>7.7000949970231797E-2</v>
      </c>
      <c r="H1924" s="1271">
        <v>0.248625376851905</v>
      </c>
      <c r="I1924" s="1257">
        <v>1.5770560430846198E-2</v>
      </c>
      <c r="J1924" s="1280">
        <v>0.19541272560336301</v>
      </c>
      <c r="K1924" s="1271">
        <v>2.2883720222137999E-2</v>
      </c>
      <c r="L1924" s="1257">
        <v>1.1505332344571E-3</v>
      </c>
      <c r="M1924" s="1280">
        <v>1.74110248383894E-2</v>
      </c>
      <c r="N1924" s="1271">
        <v>3.0000008598028201E-3</v>
      </c>
      <c r="O1924" s="1257">
        <v>2.0000005732018801E-3</v>
      </c>
      <c r="P1924" s="1257">
        <v>3.0000008598028201E-3</v>
      </c>
      <c r="Q1924" s="1280">
        <v>3.0000008598028201E-3</v>
      </c>
      <c r="R1924" s="1271">
        <v>3.1850009128239903E-2</v>
      </c>
      <c r="S1924" s="1257">
        <v>3.1850009128239903E-2</v>
      </c>
      <c r="T1924" s="1257">
        <v>3.1850009128239903E-2</v>
      </c>
      <c r="U1924" s="1280">
        <v>1.5925004564119952E-2</v>
      </c>
      <c r="V1924" s="1293">
        <v>2.3918420505578498E-2</v>
      </c>
    </row>
    <row r="1925" spans="1:22" s="212" customFormat="1" ht="15.5" x14ac:dyDescent="0.35">
      <c r="A1925" s="198">
        <v>2046</v>
      </c>
      <c r="B1925" s="197" t="s">
        <v>5833</v>
      </c>
      <c r="C1925" s="197">
        <v>1975</v>
      </c>
      <c r="D1925" s="225" t="str">
        <f t="shared" si="12"/>
        <v>2046_1975</v>
      </c>
      <c r="E1925" s="1226">
        <v>0.107944144650282</v>
      </c>
      <c r="F1925" s="1257">
        <v>2.6075277682645402E-3</v>
      </c>
      <c r="G1925" s="1280">
        <v>7.7000949970231797E-2</v>
      </c>
      <c r="H1925" s="1271">
        <v>0.248625376851905</v>
      </c>
      <c r="I1925" s="1257">
        <v>1.5770560430846198E-2</v>
      </c>
      <c r="J1925" s="1280">
        <v>0.19541272560336301</v>
      </c>
      <c r="K1925" s="1271">
        <v>2.2883720222137999E-2</v>
      </c>
      <c r="L1925" s="1257">
        <v>1.1505332344571E-3</v>
      </c>
      <c r="M1925" s="1280">
        <v>1.74110248383894E-2</v>
      </c>
      <c r="N1925" s="1271">
        <v>3.0000008598028201E-3</v>
      </c>
      <c r="O1925" s="1257">
        <v>2.0000005732018801E-3</v>
      </c>
      <c r="P1925" s="1257">
        <v>3.0000008598028201E-3</v>
      </c>
      <c r="Q1925" s="1280">
        <v>3.0000008598028201E-3</v>
      </c>
      <c r="R1925" s="1271">
        <v>3.1850009128239903E-2</v>
      </c>
      <c r="S1925" s="1257">
        <v>3.1850009128239903E-2</v>
      </c>
      <c r="T1925" s="1257">
        <v>3.1850009128239903E-2</v>
      </c>
      <c r="U1925" s="1280">
        <v>1.5925004564119952E-2</v>
      </c>
      <c r="V1925" s="1293">
        <v>2.3918420505578498E-2</v>
      </c>
    </row>
    <row r="1926" spans="1:22" s="212" customFormat="1" ht="15.5" x14ac:dyDescent="0.35">
      <c r="A1926" s="198">
        <v>2046</v>
      </c>
      <c r="B1926" s="197" t="s">
        <v>5833</v>
      </c>
      <c r="C1926" s="197">
        <v>1976</v>
      </c>
      <c r="D1926" s="225" t="str">
        <f t="shared" si="12"/>
        <v>2046_1976</v>
      </c>
      <c r="E1926" s="1226">
        <v>0.107944144650282</v>
      </c>
      <c r="F1926" s="1257">
        <v>2.6075277682645402E-3</v>
      </c>
      <c r="G1926" s="1280">
        <v>7.7000949970231797E-2</v>
      </c>
      <c r="H1926" s="1271">
        <v>0.248625376851905</v>
      </c>
      <c r="I1926" s="1257">
        <v>1.5770560430846198E-2</v>
      </c>
      <c r="J1926" s="1280">
        <v>0.19541272560336301</v>
      </c>
      <c r="K1926" s="1271">
        <v>2.2883720222137999E-2</v>
      </c>
      <c r="L1926" s="1257">
        <v>1.1505332344571E-3</v>
      </c>
      <c r="M1926" s="1280">
        <v>1.74110248383894E-2</v>
      </c>
      <c r="N1926" s="1271">
        <v>3.0000008598028201E-3</v>
      </c>
      <c r="O1926" s="1257">
        <v>2.0000005732018801E-3</v>
      </c>
      <c r="P1926" s="1257">
        <v>3.0000008598028201E-3</v>
      </c>
      <c r="Q1926" s="1280">
        <v>3.0000008598028201E-3</v>
      </c>
      <c r="R1926" s="1271">
        <v>3.1850009128239903E-2</v>
      </c>
      <c r="S1926" s="1257">
        <v>3.1850009128239903E-2</v>
      </c>
      <c r="T1926" s="1257">
        <v>3.1850009128239903E-2</v>
      </c>
      <c r="U1926" s="1280">
        <v>1.5925004564119952E-2</v>
      </c>
      <c r="V1926" s="1293">
        <v>2.3918420505578498E-2</v>
      </c>
    </row>
    <row r="1927" spans="1:22" s="212" customFormat="1" ht="15.5" x14ac:dyDescent="0.35">
      <c r="A1927" s="198">
        <v>2046</v>
      </c>
      <c r="B1927" s="197" t="s">
        <v>5833</v>
      </c>
      <c r="C1927" s="197">
        <v>1977</v>
      </c>
      <c r="D1927" s="225" t="str">
        <f t="shared" si="12"/>
        <v>2046_1977</v>
      </c>
      <c r="E1927" s="1226">
        <v>0.107944144650282</v>
      </c>
      <c r="F1927" s="1257">
        <v>2.6075277682645402E-3</v>
      </c>
      <c r="G1927" s="1280">
        <v>7.7000949970231797E-2</v>
      </c>
      <c r="H1927" s="1271">
        <v>0.248625376851905</v>
      </c>
      <c r="I1927" s="1257">
        <v>1.5770560430846198E-2</v>
      </c>
      <c r="J1927" s="1280">
        <v>0.19541272560336301</v>
      </c>
      <c r="K1927" s="1271">
        <v>2.2883720222137999E-2</v>
      </c>
      <c r="L1927" s="1257">
        <v>1.1505332344571E-3</v>
      </c>
      <c r="M1927" s="1280">
        <v>1.74110248383894E-2</v>
      </c>
      <c r="N1927" s="1271">
        <v>3.0000008598028201E-3</v>
      </c>
      <c r="O1927" s="1257">
        <v>2.0000005732018801E-3</v>
      </c>
      <c r="P1927" s="1257">
        <v>3.0000008598028201E-3</v>
      </c>
      <c r="Q1927" s="1280">
        <v>3.0000008598028201E-3</v>
      </c>
      <c r="R1927" s="1271">
        <v>3.1850009128239903E-2</v>
      </c>
      <c r="S1927" s="1257">
        <v>3.1850009128239903E-2</v>
      </c>
      <c r="T1927" s="1257">
        <v>3.1850009128239903E-2</v>
      </c>
      <c r="U1927" s="1280">
        <v>1.5925004564119952E-2</v>
      </c>
      <c r="V1927" s="1293">
        <v>2.3918420505578498E-2</v>
      </c>
    </row>
    <row r="1928" spans="1:22" s="212" customFormat="1" ht="15.5" x14ac:dyDescent="0.35">
      <c r="A1928" s="198">
        <v>2046</v>
      </c>
      <c r="B1928" s="197" t="s">
        <v>5833</v>
      </c>
      <c r="C1928" s="197">
        <v>1978</v>
      </c>
      <c r="D1928" s="225" t="str">
        <f t="shared" si="12"/>
        <v>2046_1978</v>
      </c>
      <c r="E1928" s="1226">
        <v>0.107944144650282</v>
      </c>
      <c r="F1928" s="1257">
        <v>2.6075277682645402E-3</v>
      </c>
      <c r="G1928" s="1280">
        <v>7.7000949970231797E-2</v>
      </c>
      <c r="H1928" s="1271">
        <v>0.248625376851905</v>
      </c>
      <c r="I1928" s="1257">
        <v>1.5770560430846198E-2</v>
      </c>
      <c r="J1928" s="1280">
        <v>0.19541272560336301</v>
      </c>
      <c r="K1928" s="1271">
        <v>2.2883720222137999E-2</v>
      </c>
      <c r="L1928" s="1257">
        <v>1.1505332344571E-3</v>
      </c>
      <c r="M1928" s="1280">
        <v>1.74110248383894E-2</v>
      </c>
      <c r="N1928" s="1271">
        <v>3.0000008598028201E-3</v>
      </c>
      <c r="O1928" s="1257">
        <v>2.0000005732018801E-3</v>
      </c>
      <c r="P1928" s="1257">
        <v>3.0000008598028201E-3</v>
      </c>
      <c r="Q1928" s="1280">
        <v>3.0000008598028201E-3</v>
      </c>
      <c r="R1928" s="1271">
        <v>3.1850009128239903E-2</v>
      </c>
      <c r="S1928" s="1257">
        <v>3.1850009128239903E-2</v>
      </c>
      <c r="T1928" s="1257">
        <v>3.1850009128239903E-2</v>
      </c>
      <c r="U1928" s="1280">
        <v>1.5925004564119952E-2</v>
      </c>
      <c r="V1928" s="1293">
        <v>2.3918420505578498E-2</v>
      </c>
    </row>
    <row r="1929" spans="1:22" s="212" customFormat="1" ht="15.5" x14ac:dyDescent="0.35">
      <c r="A1929" s="198">
        <v>2046</v>
      </c>
      <c r="B1929" s="197" t="s">
        <v>5833</v>
      </c>
      <c r="C1929" s="197">
        <v>1979</v>
      </c>
      <c r="D1929" s="225" t="str">
        <f t="shared" si="12"/>
        <v>2046_1979</v>
      </c>
      <c r="E1929" s="1226">
        <v>0.107944144650282</v>
      </c>
      <c r="F1929" s="1257">
        <v>2.6075277682645402E-3</v>
      </c>
      <c r="G1929" s="1280">
        <v>7.7000949970231797E-2</v>
      </c>
      <c r="H1929" s="1271">
        <v>0.248625376851905</v>
      </c>
      <c r="I1929" s="1257">
        <v>1.5770560430846198E-2</v>
      </c>
      <c r="J1929" s="1280">
        <v>0.19541272560336301</v>
      </c>
      <c r="K1929" s="1271">
        <v>2.2883720222137999E-2</v>
      </c>
      <c r="L1929" s="1257">
        <v>1.1505332344571E-3</v>
      </c>
      <c r="M1929" s="1280">
        <v>1.74110248383894E-2</v>
      </c>
      <c r="N1929" s="1271">
        <v>3.0000008598028201E-3</v>
      </c>
      <c r="O1929" s="1257">
        <v>2.0000005732018801E-3</v>
      </c>
      <c r="P1929" s="1257">
        <v>3.0000008598028201E-3</v>
      </c>
      <c r="Q1929" s="1280">
        <v>3.0000008598028201E-3</v>
      </c>
      <c r="R1929" s="1271">
        <v>3.1850009128239903E-2</v>
      </c>
      <c r="S1929" s="1257">
        <v>3.1850009128239903E-2</v>
      </c>
      <c r="T1929" s="1257">
        <v>3.1850009128239903E-2</v>
      </c>
      <c r="U1929" s="1280">
        <v>1.5925004564119952E-2</v>
      </c>
      <c r="V1929" s="1293">
        <v>2.3918420505578498E-2</v>
      </c>
    </row>
    <row r="1930" spans="1:22" s="212" customFormat="1" ht="15.5" x14ac:dyDescent="0.35">
      <c r="A1930" s="198">
        <v>2046</v>
      </c>
      <c r="B1930" s="197" t="s">
        <v>5833</v>
      </c>
      <c r="C1930" s="197">
        <v>1980</v>
      </c>
      <c r="D1930" s="225" t="str">
        <f t="shared" si="12"/>
        <v>2046_1980</v>
      </c>
      <c r="E1930" s="1226">
        <v>0.107944144650282</v>
      </c>
      <c r="F1930" s="1257">
        <v>2.6075277682645402E-3</v>
      </c>
      <c r="G1930" s="1280">
        <v>7.7000949970231797E-2</v>
      </c>
      <c r="H1930" s="1271">
        <v>0.248625376851905</v>
      </c>
      <c r="I1930" s="1257">
        <v>1.5770560430846198E-2</v>
      </c>
      <c r="J1930" s="1280">
        <v>0.19541272560336301</v>
      </c>
      <c r="K1930" s="1271">
        <v>2.2883720222137999E-2</v>
      </c>
      <c r="L1930" s="1257">
        <v>1.1505332344571E-3</v>
      </c>
      <c r="M1930" s="1280">
        <v>1.74110248383894E-2</v>
      </c>
      <c r="N1930" s="1271">
        <v>3.0000008598028201E-3</v>
      </c>
      <c r="O1930" s="1257">
        <v>2.0000005732018801E-3</v>
      </c>
      <c r="P1930" s="1257">
        <v>3.0000008598028201E-3</v>
      </c>
      <c r="Q1930" s="1280">
        <v>3.0000008598028201E-3</v>
      </c>
      <c r="R1930" s="1271">
        <v>3.1850009128239903E-2</v>
      </c>
      <c r="S1930" s="1257">
        <v>3.1850009128239903E-2</v>
      </c>
      <c r="T1930" s="1257">
        <v>3.1850009128239903E-2</v>
      </c>
      <c r="U1930" s="1280">
        <v>1.5925004564119952E-2</v>
      </c>
      <c r="V1930" s="1293">
        <v>2.3918420505578498E-2</v>
      </c>
    </row>
    <row r="1931" spans="1:22" s="212" customFormat="1" ht="15.5" x14ac:dyDescent="0.35">
      <c r="A1931" s="198">
        <v>2046</v>
      </c>
      <c r="B1931" s="197" t="s">
        <v>5833</v>
      </c>
      <c r="C1931" s="197">
        <v>1981</v>
      </c>
      <c r="D1931" s="225" t="str">
        <f t="shared" si="12"/>
        <v>2046_1981</v>
      </c>
      <c r="E1931" s="1226">
        <v>0.107944144650282</v>
      </c>
      <c r="F1931" s="1257">
        <v>2.6075277682645402E-3</v>
      </c>
      <c r="G1931" s="1280">
        <v>7.7000949970231797E-2</v>
      </c>
      <c r="H1931" s="1271">
        <v>0.248625376851905</v>
      </c>
      <c r="I1931" s="1257">
        <v>1.5770560430846198E-2</v>
      </c>
      <c r="J1931" s="1280">
        <v>0.19541272560336301</v>
      </c>
      <c r="K1931" s="1271">
        <v>2.2883720222137999E-2</v>
      </c>
      <c r="L1931" s="1257">
        <v>1.1505332344571E-3</v>
      </c>
      <c r="M1931" s="1280">
        <v>1.74110248383894E-2</v>
      </c>
      <c r="N1931" s="1271">
        <v>3.0000008598028201E-3</v>
      </c>
      <c r="O1931" s="1257">
        <v>2.0000005732018801E-3</v>
      </c>
      <c r="P1931" s="1257">
        <v>3.0000008598028201E-3</v>
      </c>
      <c r="Q1931" s="1280">
        <v>3.0000008598028201E-3</v>
      </c>
      <c r="R1931" s="1271">
        <v>3.1850009128239903E-2</v>
      </c>
      <c r="S1931" s="1257">
        <v>3.1850009128239903E-2</v>
      </c>
      <c r="T1931" s="1257">
        <v>3.1850009128239903E-2</v>
      </c>
      <c r="U1931" s="1280">
        <v>1.5925004564119952E-2</v>
      </c>
      <c r="V1931" s="1293">
        <v>2.3918420505578498E-2</v>
      </c>
    </row>
    <row r="1932" spans="1:22" s="212" customFormat="1" ht="15.5" x14ac:dyDescent="0.35">
      <c r="A1932" s="198">
        <v>2046</v>
      </c>
      <c r="B1932" s="197" t="s">
        <v>5833</v>
      </c>
      <c r="C1932" s="197">
        <v>1982</v>
      </c>
      <c r="D1932" s="225" t="str">
        <f t="shared" si="12"/>
        <v>2046_1982</v>
      </c>
      <c r="E1932" s="1226">
        <v>0.107944144650282</v>
      </c>
      <c r="F1932" s="1257">
        <v>2.6075277682645402E-3</v>
      </c>
      <c r="G1932" s="1280">
        <v>7.7000949970231797E-2</v>
      </c>
      <c r="H1932" s="1271">
        <v>0.248625376851905</v>
      </c>
      <c r="I1932" s="1257">
        <v>1.5770560430846198E-2</v>
      </c>
      <c r="J1932" s="1280">
        <v>0.19541272560336301</v>
      </c>
      <c r="K1932" s="1271">
        <v>2.2883720222137999E-2</v>
      </c>
      <c r="L1932" s="1257">
        <v>1.1505332344571E-3</v>
      </c>
      <c r="M1932" s="1280">
        <v>1.74110248383894E-2</v>
      </c>
      <c r="N1932" s="1271">
        <v>3.0000008598028201E-3</v>
      </c>
      <c r="O1932" s="1257">
        <v>2.0000005732018801E-3</v>
      </c>
      <c r="P1932" s="1257">
        <v>3.0000008598028201E-3</v>
      </c>
      <c r="Q1932" s="1280">
        <v>3.0000008598028201E-3</v>
      </c>
      <c r="R1932" s="1271">
        <v>3.1850009128239903E-2</v>
      </c>
      <c r="S1932" s="1257">
        <v>3.1850009128239903E-2</v>
      </c>
      <c r="T1932" s="1257">
        <v>3.1850009128239903E-2</v>
      </c>
      <c r="U1932" s="1280">
        <v>1.5925004564119952E-2</v>
      </c>
      <c r="V1932" s="1293">
        <v>2.3918420505578498E-2</v>
      </c>
    </row>
    <row r="1933" spans="1:22" s="212" customFormat="1" ht="15.5" x14ac:dyDescent="0.35">
      <c r="A1933" s="198">
        <v>2046</v>
      </c>
      <c r="B1933" s="197" t="s">
        <v>5833</v>
      </c>
      <c r="C1933" s="197">
        <v>1983</v>
      </c>
      <c r="D1933" s="225" t="str">
        <f t="shared" si="12"/>
        <v>2046_1983</v>
      </c>
      <c r="E1933" s="1226">
        <v>0.107944144650282</v>
      </c>
      <c r="F1933" s="1257">
        <v>2.6075277682645402E-3</v>
      </c>
      <c r="G1933" s="1280">
        <v>7.7000949970231797E-2</v>
      </c>
      <c r="H1933" s="1271">
        <v>0.248625376851905</v>
      </c>
      <c r="I1933" s="1257">
        <v>1.5770560430846198E-2</v>
      </c>
      <c r="J1933" s="1280">
        <v>0.19541272560336301</v>
      </c>
      <c r="K1933" s="1271">
        <v>2.2883720222137999E-2</v>
      </c>
      <c r="L1933" s="1257">
        <v>1.1505332344571E-3</v>
      </c>
      <c r="M1933" s="1280">
        <v>1.74110248383894E-2</v>
      </c>
      <c r="N1933" s="1271">
        <v>3.0000008598028201E-3</v>
      </c>
      <c r="O1933" s="1257">
        <v>2.0000005732018801E-3</v>
      </c>
      <c r="P1933" s="1257">
        <v>3.0000008598028201E-3</v>
      </c>
      <c r="Q1933" s="1280">
        <v>3.0000008598028201E-3</v>
      </c>
      <c r="R1933" s="1271">
        <v>3.1850009128239903E-2</v>
      </c>
      <c r="S1933" s="1257">
        <v>3.1850009128239903E-2</v>
      </c>
      <c r="T1933" s="1257">
        <v>3.1850009128239903E-2</v>
      </c>
      <c r="U1933" s="1280">
        <v>1.5925004564119952E-2</v>
      </c>
      <c r="V1933" s="1293">
        <v>2.3918420505578498E-2</v>
      </c>
    </row>
    <row r="1934" spans="1:22" s="212" customFormat="1" ht="15.5" x14ac:dyDescent="0.35">
      <c r="A1934" s="198">
        <v>2046</v>
      </c>
      <c r="B1934" s="197" t="s">
        <v>5833</v>
      </c>
      <c r="C1934" s="197">
        <v>1984</v>
      </c>
      <c r="D1934" s="225" t="str">
        <f t="shared" si="12"/>
        <v>2046_1984</v>
      </c>
      <c r="E1934" s="1226">
        <v>0.107944144650282</v>
      </c>
      <c r="F1934" s="1257">
        <v>2.6075277682645402E-3</v>
      </c>
      <c r="G1934" s="1280">
        <v>7.7000949970231797E-2</v>
      </c>
      <c r="H1934" s="1271">
        <v>0.248625376851905</v>
      </c>
      <c r="I1934" s="1257">
        <v>1.5770560430846198E-2</v>
      </c>
      <c r="J1934" s="1280">
        <v>0.19541272560336301</v>
      </c>
      <c r="K1934" s="1271">
        <v>2.2883720222137999E-2</v>
      </c>
      <c r="L1934" s="1257">
        <v>1.1505332344571E-3</v>
      </c>
      <c r="M1934" s="1280">
        <v>1.74110248383894E-2</v>
      </c>
      <c r="N1934" s="1271">
        <v>3.0000008598028201E-3</v>
      </c>
      <c r="O1934" s="1257">
        <v>2.0000005732018801E-3</v>
      </c>
      <c r="P1934" s="1257">
        <v>3.0000008598028201E-3</v>
      </c>
      <c r="Q1934" s="1280">
        <v>3.0000008598028201E-3</v>
      </c>
      <c r="R1934" s="1271">
        <v>3.1850009128239903E-2</v>
      </c>
      <c r="S1934" s="1257">
        <v>3.1850009128239903E-2</v>
      </c>
      <c r="T1934" s="1257">
        <v>3.1850009128239903E-2</v>
      </c>
      <c r="U1934" s="1280">
        <v>1.5925004564119952E-2</v>
      </c>
      <c r="V1934" s="1293">
        <v>2.3918420505578498E-2</v>
      </c>
    </row>
    <row r="1935" spans="1:22" s="212" customFormat="1" ht="15.5" x14ac:dyDescent="0.35">
      <c r="A1935" s="198">
        <v>2046</v>
      </c>
      <c r="B1935" s="197" t="s">
        <v>5833</v>
      </c>
      <c r="C1935" s="197">
        <v>1985</v>
      </c>
      <c r="D1935" s="225" t="str">
        <f t="shared" si="12"/>
        <v>2046_1985</v>
      </c>
      <c r="E1935" s="1226">
        <v>0.107944144650282</v>
      </c>
      <c r="F1935" s="1257">
        <v>2.6075277682645402E-3</v>
      </c>
      <c r="G1935" s="1280">
        <v>7.7000949970231797E-2</v>
      </c>
      <c r="H1935" s="1271">
        <v>0.248625376851905</v>
      </c>
      <c r="I1935" s="1257">
        <v>1.5770560430846198E-2</v>
      </c>
      <c r="J1935" s="1280">
        <v>0.19541272560336301</v>
      </c>
      <c r="K1935" s="1271">
        <v>2.2883720222137999E-2</v>
      </c>
      <c r="L1935" s="1257">
        <v>1.1505332344571E-3</v>
      </c>
      <c r="M1935" s="1280">
        <v>1.74110248383894E-2</v>
      </c>
      <c r="N1935" s="1271">
        <v>3.0000008598028201E-3</v>
      </c>
      <c r="O1935" s="1257">
        <v>2.0000005732018801E-3</v>
      </c>
      <c r="P1935" s="1257">
        <v>3.0000008598028201E-3</v>
      </c>
      <c r="Q1935" s="1280">
        <v>3.0000008598028201E-3</v>
      </c>
      <c r="R1935" s="1271">
        <v>3.1850009128239903E-2</v>
      </c>
      <c r="S1935" s="1257">
        <v>3.1850009128239903E-2</v>
      </c>
      <c r="T1935" s="1257">
        <v>3.1850009128239903E-2</v>
      </c>
      <c r="U1935" s="1280">
        <v>1.5925004564119952E-2</v>
      </c>
      <c r="V1935" s="1293">
        <v>2.3918420505578498E-2</v>
      </c>
    </row>
    <row r="1936" spans="1:22" s="212" customFormat="1" ht="15.5" x14ac:dyDescent="0.35">
      <c r="A1936" s="198">
        <v>2046</v>
      </c>
      <c r="B1936" s="197" t="s">
        <v>5833</v>
      </c>
      <c r="C1936" s="197">
        <v>1986</v>
      </c>
      <c r="D1936" s="225" t="str">
        <f t="shared" si="12"/>
        <v>2046_1986</v>
      </c>
      <c r="E1936" s="1226">
        <v>0.107944144650282</v>
      </c>
      <c r="F1936" s="1257">
        <v>2.6075277682645402E-3</v>
      </c>
      <c r="G1936" s="1280">
        <v>7.7000949970231797E-2</v>
      </c>
      <c r="H1936" s="1271">
        <v>0.248625376851905</v>
      </c>
      <c r="I1936" s="1257">
        <v>1.5770560430846198E-2</v>
      </c>
      <c r="J1936" s="1280">
        <v>0.19541272560336301</v>
      </c>
      <c r="K1936" s="1271">
        <v>2.2883720222137999E-2</v>
      </c>
      <c r="L1936" s="1257">
        <v>1.1505332344571E-3</v>
      </c>
      <c r="M1936" s="1280">
        <v>1.74110248383894E-2</v>
      </c>
      <c r="N1936" s="1271">
        <v>3.0000008598028201E-3</v>
      </c>
      <c r="O1936" s="1257">
        <v>2.0000005732018801E-3</v>
      </c>
      <c r="P1936" s="1257">
        <v>3.0000008598028201E-3</v>
      </c>
      <c r="Q1936" s="1280">
        <v>3.0000008598028201E-3</v>
      </c>
      <c r="R1936" s="1271">
        <v>3.1850009128239903E-2</v>
      </c>
      <c r="S1936" s="1257">
        <v>3.1850009128239903E-2</v>
      </c>
      <c r="T1936" s="1257">
        <v>3.1850009128239903E-2</v>
      </c>
      <c r="U1936" s="1280">
        <v>1.5925004564119952E-2</v>
      </c>
      <c r="V1936" s="1293">
        <v>2.3918420505578498E-2</v>
      </c>
    </row>
    <row r="1937" spans="1:22" s="212" customFormat="1" ht="15.5" x14ac:dyDescent="0.35">
      <c r="A1937" s="198">
        <v>2046</v>
      </c>
      <c r="B1937" s="197" t="s">
        <v>5833</v>
      </c>
      <c r="C1937" s="197">
        <v>1987</v>
      </c>
      <c r="D1937" s="225" t="str">
        <f t="shared" si="12"/>
        <v>2046_1987</v>
      </c>
      <c r="E1937" s="1226">
        <v>0.107944144650282</v>
      </c>
      <c r="F1937" s="1257">
        <v>2.6075277682645402E-3</v>
      </c>
      <c r="G1937" s="1280">
        <v>7.7000949970231797E-2</v>
      </c>
      <c r="H1937" s="1271">
        <v>0.248625376851905</v>
      </c>
      <c r="I1937" s="1257">
        <v>1.5770560430846198E-2</v>
      </c>
      <c r="J1937" s="1280">
        <v>0.19541272560336301</v>
      </c>
      <c r="K1937" s="1271">
        <v>2.2883720222137999E-2</v>
      </c>
      <c r="L1937" s="1257">
        <v>1.1505332344571E-3</v>
      </c>
      <c r="M1937" s="1280">
        <v>1.74110248383894E-2</v>
      </c>
      <c r="N1937" s="1271">
        <v>3.0000008598028201E-3</v>
      </c>
      <c r="O1937" s="1257">
        <v>2.0000005732018801E-3</v>
      </c>
      <c r="P1937" s="1257">
        <v>3.0000008598028201E-3</v>
      </c>
      <c r="Q1937" s="1280">
        <v>3.0000008598028201E-3</v>
      </c>
      <c r="R1937" s="1271">
        <v>3.1850009128239903E-2</v>
      </c>
      <c r="S1937" s="1257">
        <v>3.1850009128239903E-2</v>
      </c>
      <c r="T1937" s="1257">
        <v>3.1850009128239903E-2</v>
      </c>
      <c r="U1937" s="1280">
        <v>1.5925004564119952E-2</v>
      </c>
      <c r="V1937" s="1293">
        <v>2.3918420505578498E-2</v>
      </c>
    </row>
    <row r="1938" spans="1:22" s="212" customFormat="1" ht="15.5" x14ac:dyDescent="0.35">
      <c r="A1938" s="198">
        <v>2046</v>
      </c>
      <c r="B1938" s="197" t="s">
        <v>5833</v>
      </c>
      <c r="C1938" s="197">
        <v>1988</v>
      </c>
      <c r="D1938" s="225" t="str">
        <f t="shared" si="12"/>
        <v>2046_1988</v>
      </c>
      <c r="E1938" s="1226">
        <v>0.107944144650282</v>
      </c>
      <c r="F1938" s="1257">
        <v>2.6075277682645402E-3</v>
      </c>
      <c r="G1938" s="1280">
        <v>7.7000949970231797E-2</v>
      </c>
      <c r="H1938" s="1271">
        <v>0.248625376851905</v>
      </c>
      <c r="I1938" s="1257">
        <v>1.5770560430846198E-2</v>
      </c>
      <c r="J1938" s="1280">
        <v>0.19541272560336301</v>
      </c>
      <c r="K1938" s="1271">
        <v>2.2883720222137999E-2</v>
      </c>
      <c r="L1938" s="1257">
        <v>1.1505332344571E-3</v>
      </c>
      <c r="M1938" s="1280">
        <v>1.74110248383894E-2</v>
      </c>
      <c r="N1938" s="1271">
        <v>3.0000008598028201E-3</v>
      </c>
      <c r="O1938" s="1257">
        <v>2.0000005732018801E-3</v>
      </c>
      <c r="P1938" s="1257">
        <v>3.0000008598028201E-3</v>
      </c>
      <c r="Q1938" s="1280">
        <v>3.0000008598028201E-3</v>
      </c>
      <c r="R1938" s="1271">
        <v>3.1850009128239903E-2</v>
      </c>
      <c r="S1938" s="1257">
        <v>3.1850009128239903E-2</v>
      </c>
      <c r="T1938" s="1257">
        <v>3.1850009128239903E-2</v>
      </c>
      <c r="U1938" s="1280">
        <v>1.5925004564119952E-2</v>
      </c>
      <c r="V1938" s="1293">
        <v>2.3918420505578498E-2</v>
      </c>
    </row>
    <row r="1939" spans="1:22" s="212" customFormat="1" ht="15.5" x14ac:dyDescent="0.35">
      <c r="A1939" s="198">
        <v>2046</v>
      </c>
      <c r="B1939" s="197" t="s">
        <v>5833</v>
      </c>
      <c r="C1939" s="197">
        <v>1989</v>
      </c>
      <c r="D1939" s="225" t="str">
        <f t="shared" si="12"/>
        <v>2046_1989</v>
      </c>
      <c r="E1939" s="1226">
        <v>0.107944144650282</v>
      </c>
      <c r="F1939" s="1257">
        <v>2.6075277682645402E-3</v>
      </c>
      <c r="G1939" s="1280">
        <v>7.7000949970231797E-2</v>
      </c>
      <c r="H1939" s="1271">
        <v>0.248625376851905</v>
      </c>
      <c r="I1939" s="1257">
        <v>1.5770560430846198E-2</v>
      </c>
      <c r="J1939" s="1280">
        <v>0.19541272560336301</v>
      </c>
      <c r="K1939" s="1271">
        <v>2.2883720222137999E-2</v>
      </c>
      <c r="L1939" s="1257">
        <v>1.1505332344571E-3</v>
      </c>
      <c r="M1939" s="1280">
        <v>1.74110248383894E-2</v>
      </c>
      <c r="N1939" s="1271">
        <v>3.0000008598028201E-3</v>
      </c>
      <c r="O1939" s="1257">
        <v>2.0000005732018801E-3</v>
      </c>
      <c r="P1939" s="1257">
        <v>3.0000008598028201E-3</v>
      </c>
      <c r="Q1939" s="1280">
        <v>3.0000008598028201E-3</v>
      </c>
      <c r="R1939" s="1271">
        <v>3.1850009128239903E-2</v>
      </c>
      <c r="S1939" s="1257">
        <v>3.1850009128239903E-2</v>
      </c>
      <c r="T1939" s="1257">
        <v>3.1850009128239903E-2</v>
      </c>
      <c r="U1939" s="1280">
        <v>1.5925004564119952E-2</v>
      </c>
      <c r="V1939" s="1293">
        <v>2.3918420505578498E-2</v>
      </c>
    </row>
    <row r="1940" spans="1:22" s="212" customFormat="1" ht="15.5" x14ac:dyDescent="0.35">
      <c r="A1940" s="198">
        <v>2046</v>
      </c>
      <c r="B1940" s="197" t="s">
        <v>5833</v>
      </c>
      <c r="C1940" s="197">
        <v>1990</v>
      </c>
      <c r="D1940" s="225" t="str">
        <f t="shared" si="12"/>
        <v>2046_1990</v>
      </c>
      <c r="E1940" s="1226">
        <v>0.107944144650282</v>
      </c>
      <c r="F1940" s="1257">
        <v>2.6075277682645402E-3</v>
      </c>
      <c r="G1940" s="1280">
        <v>7.7000949970231797E-2</v>
      </c>
      <c r="H1940" s="1271">
        <v>0.248625376851905</v>
      </c>
      <c r="I1940" s="1257">
        <v>1.5770560430846198E-2</v>
      </c>
      <c r="J1940" s="1280">
        <v>0.19541272560336301</v>
      </c>
      <c r="K1940" s="1271">
        <v>2.2883720222137999E-2</v>
      </c>
      <c r="L1940" s="1257">
        <v>1.1505332344571E-3</v>
      </c>
      <c r="M1940" s="1280">
        <v>1.74110248383894E-2</v>
      </c>
      <c r="N1940" s="1271">
        <v>3.0000008598028201E-3</v>
      </c>
      <c r="O1940" s="1257">
        <v>2.0000005732018801E-3</v>
      </c>
      <c r="P1940" s="1257">
        <v>3.0000008598028201E-3</v>
      </c>
      <c r="Q1940" s="1280">
        <v>3.0000008598028201E-3</v>
      </c>
      <c r="R1940" s="1271">
        <v>3.1850009128239903E-2</v>
      </c>
      <c r="S1940" s="1257">
        <v>3.1850009128239903E-2</v>
      </c>
      <c r="T1940" s="1257">
        <v>3.1850009128239903E-2</v>
      </c>
      <c r="U1940" s="1280">
        <v>1.5925004564119952E-2</v>
      </c>
      <c r="V1940" s="1293">
        <v>2.3918420505578498E-2</v>
      </c>
    </row>
    <row r="1941" spans="1:22" s="212" customFormat="1" ht="15.5" x14ac:dyDescent="0.35">
      <c r="A1941" s="198">
        <v>2046</v>
      </c>
      <c r="B1941" s="197" t="s">
        <v>5833</v>
      </c>
      <c r="C1941" s="197">
        <v>1991</v>
      </c>
      <c r="D1941" s="225" t="str">
        <f t="shared" si="12"/>
        <v>2046_1991</v>
      </c>
      <c r="E1941" s="1226">
        <v>0.107944144650282</v>
      </c>
      <c r="F1941" s="1257">
        <v>2.6075277682645402E-3</v>
      </c>
      <c r="G1941" s="1280">
        <v>7.7000949970231797E-2</v>
      </c>
      <c r="H1941" s="1271">
        <v>0.248625376851905</v>
      </c>
      <c r="I1941" s="1257">
        <v>1.5770560430846198E-2</v>
      </c>
      <c r="J1941" s="1280">
        <v>0.19541272560336301</v>
      </c>
      <c r="K1941" s="1271">
        <v>2.2883720222137999E-2</v>
      </c>
      <c r="L1941" s="1257">
        <v>1.1505332344571E-3</v>
      </c>
      <c r="M1941" s="1280">
        <v>1.74110248383894E-2</v>
      </c>
      <c r="N1941" s="1271">
        <v>3.0000008598028201E-3</v>
      </c>
      <c r="O1941" s="1257">
        <v>2.0000005732018801E-3</v>
      </c>
      <c r="P1941" s="1257">
        <v>3.0000008598028201E-3</v>
      </c>
      <c r="Q1941" s="1280">
        <v>3.0000008598028201E-3</v>
      </c>
      <c r="R1941" s="1271">
        <v>3.1850009128239903E-2</v>
      </c>
      <c r="S1941" s="1257">
        <v>3.1850009128239903E-2</v>
      </c>
      <c r="T1941" s="1257">
        <v>3.1850009128239903E-2</v>
      </c>
      <c r="U1941" s="1280">
        <v>1.5925004564119952E-2</v>
      </c>
      <c r="V1941" s="1293">
        <v>2.3918420505578498E-2</v>
      </c>
    </row>
    <row r="1942" spans="1:22" s="212" customFormat="1" ht="15.5" x14ac:dyDescent="0.35">
      <c r="A1942" s="198">
        <v>2046</v>
      </c>
      <c r="B1942" s="197" t="s">
        <v>5833</v>
      </c>
      <c r="C1942" s="197">
        <v>1992</v>
      </c>
      <c r="D1942" s="225" t="str">
        <f t="shared" si="12"/>
        <v>2046_1992</v>
      </c>
      <c r="E1942" s="1226">
        <v>0.107944144650282</v>
      </c>
      <c r="F1942" s="1257">
        <v>2.6075277682645402E-3</v>
      </c>
      <c r="G1942" s="1280">
        <v>7.7000949970231797E-2</v>
      </c>
      <c r="H1942" s="1271">
        <v>0.248625376851905</v>
      </c>
      <c r="I1942" s="1257">
        <v>1.5770560430846198E-2</v>
      </c>
      <c r="J1942" s="1280">
        <v>0.19541272560336301</v>
      </c>
      <c r="K1942" s="1271">
        <v>2.2883720222137999E-2</v>
      </c>
      <c r="L1942" s="1257">
        <v>1.1505332344571E-3</v>
      </c>
      <c r="M1942" s="1280">
        <v>1.74110248383894E-2</v>
      </c>
      <c r="N1942" s="1271">
        <v>3.0000008598028201E-3</v>
      </c>
      <c r="O1942" s="1257">
        <v>2.0000005732018801E-3</v>
      </c>
      <c r="P1942" s="1257">
        <v>3.0000008598028201E-3</v>
      </c>
      <c r="Q1942" s="1280">
        <v>3.0000008598028201E-3</v>
      </c>
      <c r="R1942" s="1271">
        <v>3.1850009128239903E-2</v>
      </c>
      <c r="S1942" s="1257">
        <v>3.1850009128239903E-2</v>
      </c>
      <c r="T1942" s="1257">
        <v>3.1850009128239903E-2</v>
      </c>
      <c r="U1942" s="1280">
        <v>1.5925004564119952E-2</v>
      </c>
      <c r="V1942" s="1293">
        <v>2.3918420505578498E-2</v>
      </c>
    </row>
    <row r="1943" spans="1:22" s="212" customFormat="1" ht="15.5" x14ac:dyDescent="0.35">
      <c r="A1943" s="198">
        <v>2046</v>
      </c>
      <c r="B1943" s="197" t="s">
        <v>5833</v>
      </c>
      <c r="C1943" s="197">
        <v>1993</v>
      </c>
      <c r="D1943" s="225" t="str">
        <f t="shared" si="12"/>
        <v>2046_1993</v>
      </c>
      <c r="E1943" s="1226">
        <v>0.107944144650282</v>
      </c>
      <c r="F1943" s="1257">
        <v>2.6075277682645402E-3</v>
      </c>
      <c r="G1943" s="1280">
        <v>7.7000949970231797E-2</v>
      </c>
      <c r="H1943" s="1271">
        <v>0.248625376851905</v>
      </c>
      <c r="I1943" s="1257">
        <v>1.5770560430846198E-2</v>
      </c>
      <c r="J1943" s="1280">
        <v>0.19541272560336301</v>
      </c>
      <c r="K1943" s="1271">
        <v>2.2883720222137999E-2</v>
      </c>
      <c r="L1943" s="1257">
        <v>1.1505332344571E-3</v>
      </c>
      <c r="M1943" s="1280">
        <v>1.74110248383894E-2</v>
      </c>
      <c r="N1943" s="1271">
        <v>3.0000008598028201E-3</v>
      </c>
      <c r="O1943" s="1257">
        <v>2.0000005732018801E-3</v>
      </c>
      <c r="P1943" s="1257">
        <v>3.0000008598028201E-3</v>
      </c>
      <c r="Q1943" s="1280">
        <v>3.0000008598028201E-3</v>
      </c>
      <c r="R1943" s="1271">
        <v>3.1850009128239903E-2</v>
      </c>
      <c r="S1943" s="1257">
        <v>3.1850009128239903E-2</v>
      </c>
      <c r="T1943" s="1257">
        <v>3.1850009128239903E-2</v>
      </c>
      <c r="U1943" s="1280">
        <v>1.5925004564119952E-2</v>
      </c>
      <c r="V1943" s="1293">
        <v>2.3918420505578498E-2</v>
      </c>
    </row>
    <row r="1944" spans="1:22" s="212" customFormat="1" ht="15.5" x14ac:dyDescent="0.35">
      <c r="A1944" s="198">
        <v>2046</v>
      </c>
      <c r="B1944" s="197" t="s">
        <v>5833</v>
      </c>
      <c r="C1944" s="197">
        <v>1994</v>
      </c>
      <c r="D1944" s="225" t="str">
        <f t="shared" si="12"/>
        <v>2046_1994</v>
      </c>
      <c r="E1944" s="1226">
        <v>0.107944144650282</v>
      </c>
      <c r="F1944" s="1257">
        <v>2.6075277682645402E-3</v>
      </c>
      <c r="G1944" s="1280">
        <v>7.7000949970231797E-2</v>
      </c>
      <c r="H1944" s="1271">
        <v>0.248625376851905</v>
      </c>
      <c r="I1944" s="1257">
        <v>1.5770560430846198E-2</v>
      </c>
      <c r="J1944" s="1280">
        <v>0.19541272560336301</v>
      </c>
      <c r="K1944" s="1271">
        <v>2.2883720222137999E-2</v>
      </c>
      <c r="L1944" s="1257">
        <v>1.1505332344571E-3</v>
      </c>
      <c r="M1944" s="1280">
        <v>1.74110248383894E-2</v>
      </c>
      <c r="N1944" s="1271">
        <v>3.0000008598028201E-3</v>
      </c>
      <c r="O1944" s="1257">
        <v>2.0000005732018801E-3</v>
      </c>
      <c r="P1944" s="1257">
        <v>3.0000008598028201E-3</v>
      </c>
      <c r="Q1944" s="1280">
        <v>3.0000008598028201E-3</v>
      </c>
      <c r="R1944" s="1271">
        <v>3.1850009128239903E-2</v>
      </c>
      <c r="S1944" s="1257">
        <v>3.1850009128239903E-2</v>
      </c>
      <c r="T1944" s="1257">
        <v>3.1850009128239903E-2</v>
      </c>
      <c r="U1944" s="1280">
        <v>1.5925004564119952E-2</v>
      </c>
      <c r="V1944" s="1293">
        <v>2.3918420505578498E-2</v>
      </c>
    </row>
    <row r="1945" spans="1:22" s="212" customFormat="1" ht="15.5" x14ac:dyDescent="0.35">
      <c r="A1945" s="198">
        <v>2046</v>
      </c>
      <c r="B1945" s="197" t="s">
        <v>5833</v>
      </c>
      <c r="C1945" s="197">
        <v>1995</v>
      </c>
      <c r="D1945" s="225" t="str">
        <f t="shared" si="12"/>
        <v>2046_1995</v>
      </c>
      <c r="E1945" s="1226">
        <v>0.107944144650282</v>
      </c>
      <c r="F1945" s="1257">
        <v>2.6075277682645402E-3</v>
      </c>
      <c r="G1945" s="1280">
        <v>7.7000949970231797E-2</v>
      </c>
      <c r="H1945" s="1271">
        <v>0.248625376851905</v>
      </c>
      <c r="I1945" s="1257">
        <v>1.5770560430846198E-2</v>
      </c>
      <c r="J1945" s="1280">
        <v>0.19541272560336301</v>
      </c>
      <c r="K1945" s="1271">
        <v>2.2883720222137999E-2</v>
      </c>
      <c r="L1945" s="1257">
        <v>1.1505332344571E-3</v>
      </c>
      <c r="M1945" s="1280">
        <v>1.74110248383894E-2</v>
      </c>
      <c r="N1945" s="1271">
        <v>3.0000008598028201E-3</v>
      </c>
      <c r="O1945" s="1257">
        <v>2.0000005732018801E-3</v>
      </c>
      <c r="P1945" s="1257">
        <v>3.0000008598028201E-3</v>
      </c>
      <c r="Q1945" s="1280">
        <v>3.0000008598028201E-3</v>
      </c>
      <c r="R1945" s="1271">
        <v>3.1850009128239903E-2</v>
      </c>
      <c r="S1945" s="1257">
        <v>3.1850009128239903E-2</v>
      </c>
      <c r="T1945" s="1257">
        <v>3.1850009128239903E-2</v>
      </c>
      <c r="U1945" s="1280">
        <v>1.5925004564119952E-2</v>
      </c>
      <c r="V1945" s="1293">
        <v>2.3918420505578498E-2</v>
      </c>
    </row>
    <row r="1946" spans="1:22" s="212" customFormat="1" ht="15.5" x14ac:dyDescent="0.35">
      <c r="A1946" s="198">
        <v>2046</v>
      </c>
      <c r="B1946" s="197" t="s">
        <v>5833</v>
      </c>
      <c r="C1946" s="197">
        <v>1996</v>
      </c>
      <c r="D1946" s="225" t="str">
        <f t="shared" si="12"/>
        <v>2046_1996</v>
      </c>
      <c r="E1946" s="1226">
        <v>0.107944144650282</v>
      </c>
      <c r="F1946" s="1257">
        <v>2.6075277682645402E-3</v>
      </c>
      <c r="G1946" s="1280">
        <v>7.7000949970231797E-2</v>
      </c>
      <c r="H1946" s="1271">
        <v>0.248625376851905</v>
      </c>
      <c r="I1946" s="1257">
        <v>1.5770560430846198E-2</v>
      </c>
      <c r="J1946" s="1280">
        <v>0.19541272560336301</v>
      </c>
      <c r="K1946" s="1271">
        <v>2.2883720222137999E-2</v>
      </c>
      <c r="L1946" s="1257">
        <v>1.1505332344571E-3</v>
      </c>
      <c r="M1946" s="1280">
        <v>1.74110248383894E-2</v>
      </c>
      <c r="N1946" s="1271">
        <v>3.0000008598028201E-3</v>
      </c>
      <c r="O1946" s="1257">
        <v>2.0000005732018801E-3</v>
      </c>
      <c r="P1946" s="1257">
        <v>3.0000008598028201E-3</v>
      </c>
      <c r="Q1946" s="1280">
        <v>3.0000008598028201E-3</v>
      </c>
      <c r="R1946" s="1271">
        <v>3.1850009128239903E-2</v>
      </c>
      <c r="S1946" s="1257">
        <v>3.1850009128239903E-2</v>
      </c>
      <c r="T1946" s="1257">
        <v>3.1850009128239903E-2</v>
      </c>
      <c r="U1946" s="1280">
        <v>1.5925004564119952E-2</v>
      </c>
      <c r="V1946" s="1293">
        <v>2.3918420505578498E-2</v>
      </c>
    </row>
    <row r="1947" spans="1:22" s="212" customFormat="1" ht="15.5" x14ac:dyDescent="0.35">
      <c r="A1947" s="198">
        <v>2046</v>
      </c>
      <c r="B1947" s="197" t="s">
        <v>5833</v>
      </c>
      <c r="C1947" s="197">
        <v>1997</v>
      </c>
      <c r="D1947" s="225" t="str">
        <f t="shared" si="12"/>
        <v>2046_1997</v>
      </c>
      <c r="E1947" s="1226">
        <v>0.107944144650282</v>
      </c>
      <c r="F1947" s="1257">
        <v>2.6075277682645402E-3</v>
      </c>
      <c r="G1947" s="1280">
        <v>7.7000949970231797E-2</v>
      </c>
      <c r="H1947" s="1271">
        <v>0.248625376851905</v>
      </c>
      <c r="I1947" s="1257">
        <v>1.5770560430846198E-2</v>
      </c>
      <c r="J1947" s="1280">
        <v>0.19541272560336301</v>
      </c>
      <c r="K1947" s="1271">
        <v>2.2883720222137999E-2</v>
      </c>
      <c r="L1947" s="1257">
        <v>1.1505332344571E-3</v>
      </c>
      <c r="M1947" s="1280">
        <v>1.74110248383894E-2</v>
      </c>
      <c r="N1947" s="1271">
        <v>3.0000008598028201E-3</v>
      </c>
      <c r="O1947" s="1257">
        <v>2.0000005732018801E-3</v>
      </c>
      <c r="P1947" s="1257">
        <v>3.0000008598028201E-3</v>
      </c>
      <c r="Q1947" s="1280">
        <v>3.0000008598028201E-3</v>
      </c>
      <c r="R1947" s="1271">
        <v>3.1850009128239903E-2</v>
      </c>
      <c r="S1947" s="1257">
        <v>3.1850009128239903E-2</v>
      </c>
      <c r="T1947" s="1257">
        <v>3.1850009128239903E-2</v>
      </c>
      <c r="U1947" s="1280">
        <v>1.5925004564119952E-2</v>
      </c>
      <c r="V1947" s="1293">
        <v>2.3918420505578498E-2</v>
      </c>
    </row>
    <row r="1948" spans="1:22" s="212" customFormat="1" ht="15.5" x14ac:dyDescent="0.35">
      <c r="A1948" s="198">
        <v>2046</v>
      </c>
      <c r="B1948" s="197" t="s">
        <v>5833</v>
      </c>
      <c r="C1948" s="197">
        <v>1998</v>
      </c>
      <c r="D1948" s="225" t="str">
        <f t="shared" si="12"/>
        <v>2046_1998</v>
      </c>
      <c r="E1948" s="1226">
        <v>0.107944144650282</v>
      </c>
      <c r="F1948" s="1257">
        <v>2.6075277682645402E-3</v>
      </c>
      <c r="G1948" s="1280">
        <v>7.7000949970231797E-2</v>
      </c>
      <c r="H1948" s="1271">
        <v>0.248625376851905</v>
      </c>
      <c r="I1948" s="1257">
        <v>1.5770560430846198E-2</v>
      </c>
      <c r="J1948" s="1280">
        <v>0.19541272560336301</v>
      </c>
      <c r="K1948" s="1271">
        <v>2.2883720222137999E-2</v>
      </c>
      <c r="L1948" s="1257">
        <v>1.1505332344571E-3</v>
      </c>
      <c r="M1948" s="1280">
        <v>1.74110248383894E-2</v>
      </c>
      <c r="N1948" s="1271">
        <v>3.0000008598028201E-3</v>
      </c>
      <c r="O1948" s="1257">
        <v>2.0000005732018801E-3</v>
      </c>
      <c r="P1948" s="1257">
        <v>3.0000008598028201E-3</v>
      </c>
      <c r="Q1948" s="1280">
        <v>3.0000008598028201E-3</v>
      </c>
      <c r="R1948" s="1271">
        <v>3.1850009128239903E-2</v>
      </c>
      <c r="S1948" s="1257">
        <v>3.1850009128239903E-2</v>
      </c>
      <c r="T1948" s="1257">
        <v>3.1850009128239903E-2</v>
      </c>
      <c r="U1948" s="1280">
        <v>1.5925004564119952E-2</v>
      </c>
      <c r="V1948" s="1293">
        <v>2.3918420505578498E-2</v>
      </c>
    </row>
    <row r="1949" spans="1:22" s="212" customFormat="1" ht="15.5" x14ac:dyDescent="0.35">
      <c r="A1949" s="198">
        <v>2046</v>
      </c>
      <c r="B1949" s="197" t="s">
        <v>5833</v>
      </c>
      <c r="C1949" s="197">
        <v>1999</v>
      </c>
      <c r="D1949" s="225" t="str">
        <f t="shared" si="12"/>
        <v>2046_1999</v>
      </c>
      <c r="E1949" s="1226">
        <v>0.107944144650282</v>
      </c>
      <c r="F1949" s="1257">
        <v>2.6075277682645402E-3</v>
      </c>
      <c r="G1949" s="1280">
        <v>7.7000949970231797E-2</v>
      </c>
      <c r="H1949" s="1271">
        <v>0.248625376851905</v>
      </c>
      <c r="I1949" s="1257">
        <v>1.5770560430846198E-2</v>
      </c>
      <c r="J1949" s="1280">
        <v>0.19541272560336301</v>
      </c>
      <c r="K1949" s="1271">
        <v>2.2883720222137999E-2</v>
      </c>
      <c r="L1949" s="1257">
        <v>1.1505332344571E-3</v>
      </c>
      <c r="M1949" s="1280">
        <v>1.74110248383894E-2</v>
      </c>
      <c r="N1949" s="1271">
        <v>3.0000008598028201E-3</v>
      </c>
      <c r="O1949" s="1257">
        <v>2.0000005732018801E-3</v>
      </c>
      <c r="P1949" s="1257">
        <v>3.0000008598028201E-3</v>
      </c>
      <c r="Q1949" s="1280">
        <v>3.0000008598028201E-3</v>
      </c>
      <c r="R1949" s="1271">
        <v>3.1850009128239903E-2</v>
      </c>
      <c r="S1949" s="1257">
        <v>3.1850009128239903E-2</v>
      </c>
      <c r="T1949" s="1257">
        <v>3.1850009128239903E-2</v>
      </c>
      <c r="U1949" s="1280">
        <v>1.5925004564119952E-2</v>
      </c>
      <c r="V1949" s="1293">
        <v>2.3918420505578498E-2</v>
      </c>
    </row>
    <row r="1950" spans="1:22" s="212" customFormat="1" ht="15.5" x14ac:dyDescent="0.35">
      <c r="A1950" s="198">
        <v>2046</v>
      </c>
      <c r="B1950" s="197" t="s">
        <v>5833</v>
      </c>
      <c r="C1950" s="197">
        <v>2000</v>
      </c>
      <c r="D1950" s="225" t="str">
        <f t="shared" si="12"/>
        <v>2046_2000</v>
      </c>
      <c r="E1950" s="1226">
        <v>0.107944144650282</v>
      </c>
      <c r="F1950" s="1257">
        <v>2.6075277682645402E-3</v>
      </c>
      <c r="G1950" s="1280">
        <v>7.7000949970231797E-2</v>
      </c>
      <c r="H1950" s="1271">
        <v>0.248625376851905</v>
      </c>
      <c r="I1950" s="1257">
        <v>1.5770560430846198E-2</v>
      </c>
      <c r="J1950" s="1280">
        <v>0.19541272560336301</v>
      </c>
      <c r="K1950" s="1271">
        <v>2.2883720222137999E-2</v>
      </c>
      <c r="L1950" s="1257">
        <v>1.1505332344571E-3</v>
      </c>
      <c r="M1950" s="1280">
        <v>1.74110248383894E-2</v>
      </c>
      <c r="N1950" s="1271">
        <v>3.0000008598028201E-3</v>
      </c>
      <c r="O1950" s="1257">
        <v>2.0000005732018801E-3</v>
      </c>
      <c r="P1950" s="1257">
        <v>3.0000008598028201E-3</v>
      </c>
      <c r="Q1950" s="1280">
        <v>3.0000008598028201E-3</v>
      </c>
      <c r="R1950" s="1271">
        <v>3.1850009128239903E-2</v>
      </c>
      <c r="S1950" s="1257">
        <v>3.1850009128239903E-2</v>
      </c>
      <c r="T1950" s="1257">
        <v>3.1850009128239903E-2</v>
      </c>
      <c r="U1950" s="1280">
        <v>1.5925004564119952E-2</v>
      </c>
      <c r="V1950" s="1293">
        <v>2.3918420505578498E-2</v>
      </c>
    </row>
    <row r="1951" spans="1:22" s="212" customFormat="1" ht="15.5" x14ac:dyDescent="0.35">
      <c r="A1951" s="198">
        <v>2046</v>
      </c>
      <c r="B1951" s="197" t="s">
        <v>5833</v>
      </c>
      <c r="C1951" s="197">
        <v>2001</v>
      </c>
      <c r="D1951" s="225" t="str">
        <f t="shared" si="12"/>
        <v>2046_2001</v>
      </c>
      <c r="E1951" s="1226">
        <v>0.107944144650282</v>
      </c>
      <c r="F1951" s="1257">
        <v>2.6075277682645402E-3</v>
      </c>
      <c r="G1951" s="1280">
        <v>7.7000949970231797E-2</v>
      </c>
      <c r="H1951" s="1271">
        <v>0.248625376851905</v>
      </c>
      <c r="I1951" s="1257">
        <v>1.5770560430846198E-2</v>
      </c>
      <c r="J1951" s="1280">
        <v>0.19541272560336301</v>
      </c>
      <c r="K1951" s="1271">
        <v>2.2883720222137999E-2</v>
      </c>
      <c r="L1951" s="1257">
        <v>1.1505332344571E-3</v>
      </c>
      <c r="M1951" s="1280">
        <v>1.74110248383894E-2</v>
      </c>
      <c r="N1951" s="1271">
        <v>3.0000008598028201E-3</v>
      </c>
      <c r="O1951" s="1257">
        <v>2.0000005732018801E-3</v>
      </c>
      <c r="P1951" s="1257">
        <v>3.0000008598028201E-3</v>
      </c>
      <c r="Q1951" s="1280">
        <v>3.0000008598028201E-3</v>
      </c>
      <c r="R1951" s="1271">
        <v>3.1850009128239903E-2</v>
      </c>
      <c r="S1951" s="1257">
        <v>3.1850009128239903E-2</v>
      </c>
      <c r="T1951" s="1257">
        <v>3.1850009128239903E-2</v>
      </c>
      <c r="U1951" s="1280">
        <v>1.5925004564119952E-2</v>
      </c>
      <c r="V1951" s="1293">
        <v>2.3918420505578498E-2</v>
      </c>
    </row>
    <row r="1952" spans="1:22" s="212" customFormat="1" ht="15.5" x14ac:dyDescent="0.35">
      <c r="A1952" s="198">
        <v>2046</v>
      </c>
      <c r="B1952" s="197" t="s">
        <v>5833</v>
      </c>
      <c r="C1952" s="197">
        <v>2002</v>
      </c>
      <c r="D1952" s="225" t="str">
        <f t="shared" si="12"/>
        <v>2046_2002</v>
      </c>
      <c r="E1952" s="1226">
        <v>0.107944144650282</v>
      </c>
      <c r="F1952" s="1257">
        <v>2.6075277682645402E-3</v>
      </c>
      <c r="G1952" s="1280">
        <v>7.7000949970231797E-2</v>
      </c>
      <c r="H1952" s="1271">
        <v>0.248625376851905</v>
      </c>
      <c r="I1952" s="1257">
        <v>1.5770560430846198E-2</v>
      </c>
      <c r="J1952" s="1280">
        <v>0.19541272560336301</v>
      </c>
      <c r="K1952" s="1271">
        <v>2.2883720222137999E-2</v>
      </c>
      <c r="L1952" s="1257">
        <v>1.1505332344571E-3</v>
      </c>
      <c r="M1952" s="1280">
        <v>1.74110248383894E-2</v>
      </c>
      <c r="N1952" s="1271">
        <v>3.0000008598028201E-3</v>
      </c>
      <c r="O1952" s="1257">
        <v>2.0000005732018801E-3</v>
      </c>
      <c r="P1952" s="1257">
        <v>3.0000008598028201E-3</v>
      </c>
      <c r="Q1952" s="1280">
        <v>3.0000008598028201E-3</v>
      </c>
      <c r="R1952" s="1271">
        <v>3.1850009128239903E-2</v>
      </c>
      <c r="S1952" s="1257">
        <v>3.1850009128239903E-2</v>
      </c>
      <c r="T1952" s="1257">
        <v>3.1850009128239903E-2</v>
      </c>
      <c r="U1952" s="1280">
        <v>1.5925004564119952E-2</v>
      </c>
      <c r="V1952" s="1293">
        <v>2.3918420505578498E-2</v>
      </c>
    </row>
    <row r="1953" spans="1:22" s="212" customFormat="1" ht="15.5" x14ac:dyDescent="0.35">
      <c r="A1953" s="198">
        <v>2046</v>
      </c>
      <c r="B1953" s="197" t="s">
        <v>5833</v>
      </c>
      <c r="C1953" s="197">
        <v>2003</v>
      </c>
      <c r="D1953" s="225" t="str">
        <f t="shared" si="12"/>
        <v>2046_2003</v>
      </c>
      <c r="E1953" s="1226">
        <v>0.107944144650282</v>
      </c>
      <c r="F1953" s="1257">
        <v>2.6075277682645402E-3</v>
      </c>
      <c r="G1953" s="1280">
        <v>7.7000949970231797E-2</v>
      </c>
      <c r="H1953" s="1271">
        <v>0.248625376851905</v>
      </c>
      <c r="I1953" s="1257">
        <v>1.5770560430846198E-2</v>
      </c>
      <c r="J1953" s="1280">
        <v>0.19541272560336301</v>
      </c>
      <c r="K1953" s="1271">
        <v>2.2883720222137999E-2</v>
      </c>
      <c r="L1953" s="1257">
        <v>1.1505332344571E-3</v>
      </c>
      <c r="M1953" s="1280">
        <v>1.74110248383894E-2</v>
      </c>
      <c r="N1953" s="1271">
        <v>3.0000008598028201E-3</v>
      </c>
      <c r="O1953" s="1257">
        <v>2.0000005732018801E-3</v>
      </c>
      <c r="P1953" s="1257">
        <v>3.0000008598028201E-3</v>
      </c>
      <c r="Q1953" s="1280">
        <v>3.0000008598028201E-3</v>
      </c>
      <c r="R1953" s="1271">
        <v>3.1850009128239903E-2</v>
      </c>
      <c r="S1953" s="1257">
        <v>3.1850009128239903E-2</v>
      </c>
      <c r="T1953" s="1257">
        <v>3.1850009128239903E-2</v>
      </c>
      <c r="U1953" s="1280">
        <v>1.5925004564119952E-2</v>
      </c>
      <c r="V1953" s="1293">
        <v>2.3918420505578498E-2</v>
      </c>
    </row>
    <row r="1954" spans="1:22" s="212" customFormat="1" ht="15.5" x14ac:dyDescent="0.35">
      <c r="A1954" s="198">
        <v>2046</v>
      </c>
      <c r="B1954" s="197" t="s">
        <v>5833</v>
      </c>
      <c r="C1954" s="197">
        <v>2004</v>
      </c>
      <c r="D1954" s="225" t="str">
        <f t="shared" si="12"/>
        <v>2046_2004</v>
      </c>
      <c r="E1954" s="1226">
        <v>0.107944144650282</v>
      </c>
      <c r="F1954" s="1257">
        <v>2.6075277682645402E-3</v>
      </c>
      <c r="G1954" s="1280">
        <v>7.7000949970231797E-2</v>
      </c>
      <c r="H1954" s="1271">
        <v>0.248625376851905</v>
      </c>
      <c r="I1954" s="1257">
        <v>1.5770560430846198E-2</v>
      </c>
      <c r="J1954" s="1280">
        <v>0.19541272560336301</v>
      </c>
      <c r="K1954" s="1271">
        <v>2.2883720222137999E-2</v>
      </c>
      <c r="L1954" s="1257">
        <v>1.1505332344571E-3</v>
      </c>
      <c r="M1954" s="1280">
        <v>1.74110248383894E-2</v>
      </c>
      <c r="N1954" s="1271">
        <v>3.0000008598028201E-3</v>
      </c>
      <c r="O1954" s="1257">
        <v>2.0000005732018801E-3</v>
      </c>
      <c r="P1954" s="1257">
        <v>3.0000008598028201E-3</v>
      </c>
      <c r="Q1954" s="1280">
        <v>3.0000008598028201E-3</v>
      </c>
      <c r="R1954" s="1271">
        <v>3.1850009128239903E-2</v>
      </c>
      <c r="S1954" s="1257">
        <v>3.1850009128239903E-2</v>
      </c>
      <c r="T1954" s="1257">
        <v>3.1850009128239903E-2</v>
      </c>
      <c r="U1954" s="1280">
        <v>1.5925004564119952E-2</v>
      </c>
      <c r="V1954" s="1293">
        <v>2.3918420505578498E-2</v>
      </c>
    </row>
    <row r="1955" spans="1:22" s="212" customFormat="1" ht="15.5" x14ac:dyDescent="0.35">
      <c r="A1955" s="198">
        <v>2046</v>
      </c>
      <c r="B1955" s="197" t="s">
        <v>5833</v>
      </c>
      <c r="C1955" s="197">
        <v>2005</v>
      </c>
      <c r="D1955" s="225" t="str">
        <f t="shared" si="12"/>
        <v>2046_2005</v>
      </c>
      <c r="E1955" s="1226">
        <v>0.107944144650282</v>
      </c>
      <c r="F1955" s="1257">
        <v>2.6075277682645402E-3</v>
      </c>
      <c r="G1955" s="1280">
        <v>7.7000949970231797E-2</v>
      </c>
      <c r="H1955" s="1271">
        <v>0.248625376851905</v>
      </c>
      <c r="I1955" s="1257">
        <v>1.5770560430846198E-2</v>
      </c>
      <c r="J1955" s="1280">
        <v>0.19541272560336301</v>
      </c>
      <c r="K1955" s="1271">
        <v>2.2883720222137999E-2</v>
      </c>
      <c r="L1955" s="1257">
        <v>1.1505332344571E-3</v>
      </c>
      <c r="M1955" s="1280">
        <v>1.74110248383894E-2</v>
      </c>
      <c r="N1955" s="1271">
        <v>3.0000008598028201E-3</v>
      </c>
      <c r="O1955" s="1257">
        <v>2.0000005732018801E-3</v>
      </c>
      <c r="P1955" s="1257">
        <v>3.0000008598028201E-3</v>
      </c>
      <c r="Q1955" s="1280">
        <v>3.0000008598028201E-3</v>
      </c>
      <c r="R1955" s="1271">
        <v>3.1850009128239903E-2</v>
      </c>
      <c r="S1955" s="1257">
        <v>3.1850009128239903E-2</v>
      </c>
      <c r="T1955" s="1257">
        <v>3.1850009128239903E-2</v>
      </c>
      <c r="U1955" s="1280">
        <v>1.5925004564119952E-2</v>
      </c>
      <c r="V1955" s="1293">
        <v>2.3918420505578498E-2</v>
      </c>
    </row>
    <row r="1956" spans="1:22" s="212" customFormat="1" ht="15.5" x14ac:dyDescent="0.35">
      <c r="A1956" s="198">
        <v>2046</v>
      </c>
      <c r="B1956" s="197" t="s">
        <v>5833</v>
      </c>
      <c r="C1956" s="197">
        <v>2006</v>
      </c>
      <c r="D1956" s="225" t="str">
        <f t="shared" si="12"/>
        <v>2046_2006</v>
      </c>
      <c r="E1956" s="1226">
        <v>0.107944144650282</v>
      </c>
      <c r="F1956" s="1257">
        <v>2.6075277682645402E-3</v>
      </c>
      <c r="G1956" s="1280">
        <v>7.7000949970231797E-2</v>
      </c>
      <c r="H1956" s="1271">
        <v>0.248625376851905</v>
      </c>
      <c r="I1956" s="1257">
        <v>1.5770560430846198E-2</v>
      </c>
      <c r="J1956" s="1280">
        <v>0.19541272560336301</v>
      </c>
      <c r="K1956" s="1271">
        <v>2.2883720222137999E-2</v>
      </c>
      <c r="L1956" s="1257">
        <v>1.1505332344571E-3</v>
      </c>
      <c r="M1956" s="1280">
        <v>1.74110248383894E-2</v>
      </c>
      <c r="N1956" s="1271">
        <v>3.0000008598028201E-3</v>
      </c>
      <c r="O1956" s="1257">
        <v>2.0000005732018801E-3</v>
      </c>
      <c r="P1956" s="1257">
        <v>3.0000008598028201E-3</v>
      </c>
      <c r="Q1956" s="1280">
        <v>3.0000008598028201E-3</v>
      </c>
      <c r="R1956" s="1271">
        <v>3.1850009128239903E-2</v>
      </c>
      <c r="S1956" s="1257">
        <v>3.1850009128239903E-2</v>
      </c>
      <c r="T1956" s="1257">
        <v>3.1850009128239903E-2</v>
      </c>
      <c r="U1956" s="1280">
        <v>1.5925004564119952E-2</v>
      </c>
      <c r="V1956" s="1293">
        <v>2.3918420505578498E-2</v>
      </c>
    </row>
    <row r="1957" spans="1:22" s="212" customFormat="1" ht="15.5" x14ac:dyDescent="0.35">
      <c r="A1957" s="198">
        <v>2046</v>
      </c>
      <c r="B1957" s="197" t="s">
        <v>5833</v>
      </c>
      <c r="C1957" s="197">
        <v>2007</v>
      </c>
      <c r="D1957" s="225" t="str">
        <f t="shared" si="12"/>
        <v>2046_2007</v>
      </c>
      <c r="E1957" s="1226">
        <v>0.107944144650282</v>
      </c>
      <c r="F1957" s="1257">
        <v>2.6075277682645402E-3</v>
      </c>
      <c r="G1957" s="1280">
        <v>7.7000949970231797E-2</v>
      </c>
      <c r="H1957" s="1271">
        <v>0.248625376851905</v>
      </c>
      <c r="I1957" s="1257">
        <v>1.5770560430846198E-2</v>
      </c>
      <c r="J1957" s="1280">
        <v>0.19541272560336301</v>
      </c>
      <c r="K1957" s="1271">
        <v>2.2883720222137999E-2</v>
      </c>
      <c r="L1957" s="1257">
        <v>1.1505332344571E-3</v>
      </c>
      <c r="M1957" s="1280">
        <v>1.74110248383894E-2</v>
      </c>
      <c r="N1957" s="1271">
        <v>3.0000008598028201E-3</v>
      </c>
      <c r="O1957" s="1257">
        <v>2.0000005732018801E-3</v>
      </c>
      <c r="P1957" s="1257">
        <v>3.0000008598028201E-3</v>
      </c>
      <c r="Q1957" s="1280">
        <v>3.0000008598028201E-3</v>
      </c>
      <c r="R1957" s="1271">
        <v>3.1850009128239903E-2</v>
      </c>
      <c r="S1957" s="1257">
        <v>3.1850009128239903E-2</v>
      </c>
      <c r="T1957" s="1257">
        <v>3.1850009128239903E-2</v>
      </c>
      <c r="U1957" s="1280">
        <v>1.5925004564119952E-2</v>
      </c>
      <c r="V1957" s="1293">
        <v>2.3918420505578498E-2</v>
      </c>
    </row>
    <row r="1958" spans="1:22" s="212" customFormat="1" ht="15.5" x14ac:dyDescent="0.35">
      <c r="A1958" s="198">
        <v>2046</v>
      </c>
      <c r="B1958" s="197" t="s">
        <v>5833</v>
      </c>
      <c r="C1958" s="197">
        <v>2008</v>
      </c>
      <c r="D1958" s="225" t="str">
        <f t="shared" si="12"/>
        <v>2046_2008</v>
      </c>
      <c r="E1958" s="1226">
        <v>0.107944144650282</v>
      </c>
      <c r="F1958" s="1257">
        <v>2.6075277682645402E-3</v>
      </c>
      <c r="G1958" s="1280">
        <v>7.7000949970231797E-2</v>
      </c>
      <c r="H1958" s="1271">
        <v>0.248625376851905</v>
      </c>
      <c r="I1958" s="1257">
        <v>1.5770560430846198E-2</v>
      </c>
      <c r="J1958" s="1280">
        <v>0.19541272560336301</v>
      </c>
      <c r="K1958" s="1271">
        <v>2.2883720222137999E-2</v>
      </c>
      <c r="L1958" s="1257">
        <v>1.1505332344571E-3</v>
      </c>
      <c r="M1958" s="1280">
        <v>1.74110248383894E-2</v>
      </c>
      <c r="N1958" s="1271">
        <v>3.0000008598028201E-3</v>
      </c>
      <c r="O1958" s="1257">
        <v>2.0000005732018801E-3</v>
      </c>
      <c r="P1958" s="1257">
        <v>3.0000008598028201E-3</v>
      </c>
      <c r="Q1958" s="1280">
        <v>3.0000008598028201E-3</v>
      </c>
      <c r="R1958" s="1271">
        <v>3.1850009128239903E-2</v>
      </c>
      <c r="S1958" s="1257">
        <v>3.1850009128239903E-2</v>
      </c>
      <c r="T1958" s="1257">
        <v>3.1850009128239903E-2</v>
      </c>
      <c r="U1958" s="1280">
        <v>1.5925004564119952E-2</v>
      </c>
      <c r="V1958" s="1293">
        <v>2.3918420505578498E-2</v>
      </c>
    </row>
    <row r="1959" spans="1:22" s="212" customFormat="1" ht="15.5" x14ac:dyDescent="0.35">
      <c r="A1959" s="198">
        <v>2046</v>
      </c>
      <c r="B1959" s="197" t="s">
        <v>5833</v>
      </c>
      <c r="C1959" s="197">
        <v>2009</v>
      </c>
      <c r="D1959" s="225" t="str">
        <f t="shared" si="12"/>
        <v>2046_2009</v>
      </c>
      <c r="E1959" s="1226">
        <v>0.107944144650282</v>
      </c>
      <c r="F1959" s="1257">
        <v>2.6075277682645402E-3</v>
      </c>
      <c r="G1959" s="1280">
        <v>7.7000949970231797E-2</v>
      </c>
      <c r="H1959" s="1271">
        <v>0.248625376851905</v>
      </c>
      <c r="I1959" s="1257">
        <v>1.5770560430846198E-2</v>
      </c>
      <c r="J1959" s="1280">
        <v>0.19541272560336301</v>
      </c>
      <c r="K1959" s="1271">
        <v>2.2883720222137999E-2</v>
      </c>
      <c r="L1959" s="1257">
        <v>1.1505332344571E-3</v>
      </c>
      <c r="M1959" s="1280">
        <v>1.74110248383894E-2</v>
      </c>
      <c r="N1959" s="1271">
        <v>3.0000008598028201E-3</v>
      </c>
      <c r="O1959" s="1257">
        <v>2.0000005732018801E-3</v>
      </c>
      <c r="P1959" s="1257">
        <v>3.0000008598028201E-3</v>
      </c>
      <c r="Q1959" s="1280">
        <v>3.0000008598028201E-3</v>
      </c>
      <c r="R1959" s="1271">
        <v>3.1850009128239903E-2</v>
      </c>
      <c r="S1959" s="1257">
        <v>3.1850009128239903E-2</v>
      </c>
      <c r="T1959" s="1257">
        <v>3.1850009128239903E-2</v>
      </c>
      <c r="U1959" s="1280">
        <v>1.5925004564119952E-2</v>
      </c>
      <c r="V1959" s="1293">
        <v>2.3918420505578498E-2</v>
      </c>
    </row>
    <row r="1960" spans="1:22" s="212" customFormat="1" ht="15.5" x14ac:dyDescent="0.35">
      <c r="A1960" s="198">
        <v>2046</v>
      </c>
      <c r="B1960" s="197" t="s">
        <v>5833</v>
      </c>
      <c r="C1960" s="197">
        <v>2010</v>
      </c>
      <c r="D1960" s="225" t="str">
        <f t="shared" si="12"/>
        <v>2046_2010</v>
      </c>
      <c r="E1960" s="1226">
        <v>0.107944144650282</v>
      </c>
      <c r="F1960" s="1257">
        <v>2.6075277682645402E-3</v>
      </c>
      <c r="G1960" s="1280">
        <v>7.7000949970231797E-2</v>
      </c>
      <c r="H1960" s="1271">
        <v>0.248625376851905</v>
      </c>
      <c r="I1960" s="1257">
        <v>1.5770560430846198E-2</v>
      </c>
      <c r="J1960" s="1280">
        <v>0.19541272560336301</v>
      </c>
      <c r="K1960" s="1271">
        <v>2.2883720222137999E-2</v>
      </c>
      <c r="L1960" s="1257">
        <v>1.1505332344571E-3</v>
      </c>
      <c r="M1960" s="1280">
        <v>1.74110248383894E-2</v>
      </c>
      <c r="N1960" s="1271">
        <v>3.0000008598028201E-3</v>
      </c>
      <c r="O1960" s="1257">
        <v>2.0000005732018801E-3</v>
      </c>
      <c r="P1960" s="1257">
        <v>3.0000008598028201E-3</v>
      </c>
      <c r="Q1960" s="1280">
        <v>3.0000008598028201E-3</v>
      </c>
      <c r="R1960" s="1271">
        <v>3.1850009128239903E-2</v>
      </c>
      <c r="S1960" s="1257">
        <v>3.1850009128239903E-2</v>
      </c>
      <c r="T1960" s="1257">
        <v>3.1850009128239903E-2</v>
      </c>
      <c r="U1960" s="1280">
        <v>1.5925004564119952E-2</v>
      </c>
      <c r="V1960" s="1293">
        <v>2.3918420505578498E-2</v>
      </c>
    </row>
    <row r="1961" spans="1:22" s="212" customFormat="1" ht="15.5" x14ac:dyDescent="0.35">
      <c r="A1961" s="198">
        <v>2046</v>
      </c>
      <c r="B1961" s="197" t="s">
        <v>5833</v>
      </c>
      <c r="C1961" s="197">
        <v>2011</v>
      </c>
      <c r="D1961" s="225" t="str">
        <f t="shared" si="12"/>
        <v>2046_2011</v>
      </c>
      <c r="E1961" s="1226">
        <v>0.107944144650282</v>
      </c>
      <c r="F1961" s="1257">
        <v>2.6075277682645402E-3</v>
      </c>
      <c r="G1961" s="1280">
        <v>7.7000949970231797E-2</v>
      </c>
      <c r="H1961" s="1271">
        <v>0.248625376851905</v>
      </c>
      <c r="I1961" s="1257">
        <v>1.5770560430846198E-2</v>
      </c>
      <c r="J1961" s="1280">
        <v>0.19541272560336301</v>
      </c>
      <c r="K1961" s="1271">
        <v>2.2883720222137999E-2</v>
      </c>
      <c r="L1961" s="1257">
        <v>1.1505332344571E-3</v>
      </c>
      <c r="M1961" s="1280">
        <v>1.74110248383894E-2</v>
      </c>
      <c r="N1961" s="1271">
        <v>3.0000008598028201E-3</v>
      </c>
      <c r="O1961" s="1257">
        <v>2.0000005732018801E-3</v>
      </c>
      <c r="P1961" s="1257">
        <v>3.0000008598028201E-3</v>
      </c>
      <c r="Q1961" s="1280">
        <v>3.0000008598028201E-3</v>
      </c>
      <c r="R1961" s="1271">
        <v>3.1850009128239903E-2</v>
      </c>
      <c r="S1961" s="1257">
        <v>3.1850009128239903E-2</v>
      </c>
      <c r="T1961" s="1257">
        <v>3.1850009128239903E-2</v>
      </c>
      <c r="U1961" s="1280">
        <v>1.5925004564119952E-2</v>
      </c>
      <c r="V1961" s="1293">
        <v>2.3918420505578498E-2</v>
      </c>
    </row>
    <row r="1962" spans="1:22" s="212" customFormat="1" ht="15.5" x14ac:dyDescent="0.35">
      <c r="A1962" s="198">
        <v>2046</v>
      </c>
      <c r="B1962" s="197" t="s">
        <v>5833</v>
      </c>
      <c r="C1962" s="197">
        <v>2012</v>
      </c>
      <c r="D1962" s="225" t="str">
        <f t="shared" si="12"/>
        <v>2046_2012</v>
      </c>
      <c r="E1962" s="1226">
        <v>0.107944144650282</v>
      </c>
      <c r="F1962" s="1257">
        <v>2.6075277682645402E-3</v>
      </c>
      <c r="G1962" s="1280">
        <v>7.7000949970231797E-2</v>
      </c>
      <c r="H1962" s="1271">
        <v>0.248625376851905</v>
      </c>
      <c r="I1962" s="1257">
        <v>1.5770560430846198E-2</v>
      </c>
      <c r="J1962" s="1280">
        <v>0.19541272560336301</v>
      </c>
      <c r="K1962" s="1271">
        <v>2.2883720222137999E-2</v>
      </c>
      <c r="L1962" s="1257">
        <v>1.1505332344571E-3</v>
      </c>
      <c r="M1962" s="1280">
        <v>1.74110248383894E-2</v>
      </c>
      <c r="N1962" s="1271">
        <v>3.0000008598028201E-3</v>
      </c>
      <c r="O1962" s="1257">
        <v>2.0000005732018801E-3</v>
      </c>
      <c r="P1962" s="1257">
        <v>3.0000008598028201E-3</v>
      </c>
      <c r="Q1962" s="1280">
        <v>3.0000008598028201E-3</v>
      </c>
      <c r="R1962" s="1271">
        <v>3.1850009128239903E-2</v>
      </c>
      <c r="S1962" s="1257">
        <v>3.1850009128239903E-2</v>
      </c>
      <c r="T1962" s="1257">
        <v>3.1850009128239903E-2</v>
      </c>
      <c r="U1962" s="1280">
        <v>1.5925004564119952E-2</v>
      </c>
      <c r="V1962" s="1293">
        <v>2.3918420505578498E-2</v>
      </c>
    </row>
    <row r="1963" spans="1:22" s="212" customFormat="1" ht="15.5" x14ac:dyDescent="0.35">
      <c r="A1963" s="198">
        <v>2046</v>
      </c>
      <c r="B1963" s="197" t="s">
        <v>5833</v>
      </c>
      <c r="C1963" s="197">
        <v>2013</v>
      </c>
      <c r="D1963" s="225" t="str">
        <f t="shared" si="12"/>
        <v>2046_2013</v>
      </c>
      <c r="E1963" s="1226">
        <v>0.107944144650282</v>
      </c>
      <c r="F1963" s="1257">
        <v>2.6075277682645402E-3</v>
      </c>
      <c r="G1963" s="1280">
        <v>7.7000949970231797E-2</v>
      </c>
      <c r="H1963" s="1271">
        <v>0.248625376851905</v>
      </c>
      <c r="I1963" s="1257">
        <v>1.5770560430846198E-2</v>
      </c>
      <c r="J1963" s="1280">
        <v>0.19541272560336301</v>
      </c>
      <c r="K1963" s="1271">
        <v>2.2883720222137999E-2</v>
      </c>
      <c r="L1963" s="1257">
        <v>1.1505332344571E-3</v>
      </c>
      <c r="M1963" s="1280">
        <v>1.74110248383894E-2</v>
      </c>
      <c r="N1963" s="1271">
        <v>3.0000008598028201E-3</v>
      </c>
      <c r="O1963" s="1257">
        <v>2.0000005732018801E-3</v>
      </c>
      <c r="P1963" s="1257">
        <v>3.0000008598028201E-3</v>
      </c>
      <c r="Q1963" s="1280">
        <v>3.0000008598028201E-3</v>
      </c>
      <c r="R1963" s="1271">
        <v>3.1850009128239903E-2</v>
      </c>
      <c r="S1963" s="1257">
        <v>3.1850009128239903E-2</v>
      </c>
      <c r="T1963" s="1257">
        <v>3.1850009128239903E-2</v>
      </c>
      <c r="U1963" s="1280">
        <v>1.5925004564119952E-2</v>
      </c>
      <c r="V1963" s="1293">
        <v>2.3918420505578498E-2</v>
      </c>
    </row>
    <row r="1964" spans="1:22" s="212" customFormat="1" ht="15.5" x14ac:dyDescent="0.35">
      <c r="A1964" s="198">
        <v>2046</v>
      </c>
      <c r="B1964" s="197" t="s">
        <v>5833</v>
      </c>
      <c r="C1964" s="197">
        <v>2014</v>
      </c>
      <c r="D1964" s="225" t="str">
        <f t="shared" si="12"/>
        <v>2046_2014</v>
      </c>
      <c r="E1964" s="1226">
        <v>0.107944144650282</v>
      </c>
      <c r="F1964" s="1257">
        <v>2.6075277682645402E-3</v>
      </c>
      <c r="G1964" s="1280">
        <v>7.7000949970231797E-2</v>
      </c>
      <c r="H1964" s="1271">
        <v>0.248625376851905</v>
      </c>
      <c r="I1964" s="1257">
        <v>1.5770560430846198E-2</v>
      </c>
      <c r="J1964" s="1280">
        <v>0.19541272560336301</v>
      </c>
      <c r="K1964" s="1271">
        <v>2.2883720222137999E-2</v>
      </c>
      <c r="L1964" s="1257">
        <v>1.1505332344571E-3</v>
      </c>
      <c r="M1964" s="1280">
        <v>1.74110248383894E-2</v>
      </c>
      <c r="N1964" s="1271">
        <v>3.0000008598028201E-3</v>
      </c>
      <c r="O1964" s="1257">
        <v>2.0000005732018801E-3</v>
      </c>
      <c r="P1964" s="1257">
        <v>3.0000008598028201E-3</v>
      </c>
      <c r="Q1964" s="1280">
        <v>3.0000008598028201E-3</v>
      </c>
      <c r="R1964" s="1271">
        <v>3.1850009128239903E-2</v>
      </c>
      <c r="S1964" s="1257">
        <v>3.1850009128239903E-2</v>
      </c>
      <c r="T1964" s="1257">
        <v>3.1850009128239903E-2</v>
      </c>
      <c r="U1964" s="1280">
        <v>1.5925004564119952E-2</v>
      </c>
      <c r="V1964" s="1293">
        <v>2.3918420505578498E-2</v>
      </c>
    </row>
    <row r="1965" spans="1:22" s="212" customFormat="1" ht="15.5" x14ac:dyDescent="0.35">
      <c r="A1965" s="198">
        <v>2046</v>
      </c>
      <c r="B1965" s="197" t="s">
        <v>5833</v>
      </c>
      <c r="C1965" s="197">
        <v>2015</v>
      </c>
      <c r="D1965" s="225" t="str">
        <f t="shared" si="12"/>
        <v>2046_2015</v>
      </c>
      <c r="E1965" s="1226">
        <v>0.107944144650282</v>
      </c>
      <c r="F1965" s="1257">
        <v>2.6075277682645402E-3</v>
      </c>
      <c r="G1965" s="1280">
        <v>7.7000949970231797E-2</v>
      </c>
      <c r="H1965" s="1271">
        <v>0.248625376851905</v>
      </c>
      <c r="I1965" s="1257">
        <v>1.5770560430846198E-2</v>
      </c>
      <c r="J1965" s="1280">
        <v>0.19541272560336301</v>
      </c>
      <c r="K1965" s="1271">
        <v>2.2883720222137999E-2</v>
      </c>
      <c r="L1965" s="1257">
        <v>1.1505332344571E-3</v>
      </c>
      <c r="M1965" s="1280">
        <v>1.74110248383894E-2</v>
      </c>
      <c r="N1965" s="1271">
        <v>3.0000008598028201E-3</v>
      </c>
      <c r="O1965" s="1257">
        <v>2.0000005732018801E-3</v>
      </c>
      <c r="P1965" s="1257">
        <v>3.0000008598028201E-3</v>
      </c>
      <c r="Q1965" s="1280">
        <v>3.0000008598028201E-3</v>
      </c>
      <c r="R1965" s="1271">
        <v>3.1850009128239903E-2</v>
      </c>
      <c r="S1965" s="1257">
        <v>3.1850009128239903E-2</v>
      </c>
      <c r="T1965" s="1257">
        <v>3.1850009128239903E-2</v>
      </c>
      <c r="U1965" s="1280">
        <v>1.5925004564119952E-2</v>
      </c>
      <c r="V1965" s="1293">
        <v>2.3918420505578498E-2</v>
      </c>
    </row>
    <row r="1966" spans="1:22" s="212" customFormat="1" ht="15.5" x14ac:dyDescent="0.35">
      <c r="A1966" s="198">
        <v>2046</v>
      </c>
      <c r="B1966" s="197" t="s">
        <v>5833</v>
      </c>
      <c r="C1966" s="197">
        <v>2016</v>
      </c>
      <c r="D1966" s="225" t="str">
        <f t="shared" si="12"/>
        <v>2046_2016</v>
      </c>
      <c r="E1966" s="1226">
        <v>0.107944144650282</v>
      </c>
      <c r="F1966" s="1257">
        <v>2.6075277682645402E-3</v>
      </c>
      <c r="G1966" s="1280">
        <v>7.7000949970231797E-2</v>
      </c>
      <c r="H1966" s="1271">
        <v>0.248625376851905</v>
      </c>
      <c r="I1966" s="1257">
        <v>1.5770560430846198E-2</v>
      </c>
      <c r="J1966" s="1280">
        <v>0.19541272560336301</v>
      </c>
      <c r="K1966" s="1271">
        <v>2.2883720222137999E-2</v>
      </c>
      <c r="L1966" s="1257">
        <v>1.1505332344571E-3</v>
      </c>
      <c r="M1966" s="1280">
        <v>1.74110248383894E-2</v>
      </c>
      <c r="N1966" s="1271">
        <v>3.0000008598028201E-3</v>
      </c>
      <c r="O1966" s="1257">
        <v>2.0000005732018801E-3</v>
      </c>
      <c r="P1966" s="1257">
        <v>3.0000008598028201E-3</v>
      </c>
      <c r="Q1966" s="1280">
        <v>3.0000008598028201E-3</v>
      </c>
      <c r="R1966" s="1271">
        <v>3.1850009128239903E-2</v>
      </c>
      <c r="S1966" s="1257">
        <v>3.1850009128239903E-2</v>
      </c>
      <c r="T1966" s="1257">
        <v>3.1850009128239903E-2</v>
      </c>
      <c r="U1966" s="1280">
        <v>1.5925004564119952E-2</v>
      </c>
      <c r="V1966" s="1293">
        <v>2.3918420505578498E-2</v>
      </c>
    </row>
    <row r="1967" spans="1:22" s="212" customFormat="1" ht="15.5" x14ac:dyDescent="0.35">
      <c r="A1967" s="198">
        <v>2046</v>
      </c>
      <c r="B1967" s="197" t="s">
        <v>5833</v>
      </c>
      <c r="C1967" s="197">
        <v>2017</v>
      </c>
      <c r="D1967" s="225" t="str">
        <f t="shared" si="12"/>
        <v>2046_2017</v>
      </c>
      <c r="E1967" s="1226">
        <v>0.107944144650282</v>
      </c>
      <c r="F1967" s="1257">
        <v>2.6075277682645402E-3</v>
      </c>
      <c r="G1967" s="1280">
        <v>7.7000949970231797E-2</v>
      </c>
      <c r="H1967" s="1271">
        <v>0.248625376851905</v>
      </c>
      <c r="I1967" s="1257">
        <v>1.5770560430846198E-2</v>
      </c>
      <c r="J1967" s="1280">
        <v>0.19541272560336301</v>
      </c>
      <c r="K1967" s="1271">
        <v>2.2883720222137999E-2</v>
      </c>
      <c r="L1967" s="1257">
        <v>1.1505332344571E-3</v>
      </c>
      <c r="M1967" s="1280">
        <v>1.74110248383894E-2</v>
      </c>
      <c r="N1967" s="1271">
        <v>3.0000008598028201E-3</v>
      </c>
      <c r="O1967" s="1257">
        <v>2.0000005732018801E-3</v>
      </c>
      <c r="P1967" s="1257">
        <v>3.0000008598028201E-3</v>
      </c>
      <c r="Q1967" s="1280">
        <v>3.0000008598028201E-3</v>
      </c>
      <c r="R1967" s="1271">
        <v>3.1850009128239903E-2</v>
      </c>
      <c r="S1967" s="1257">
        <v>3.1850009128239903E-2</v>
      </c>
      <c r="T1967" s="1257">
        <v>3.1850009128239903E-2</v>
      </c>
      <c r="U1967" s="1280">
        <v>1.5925004564119952E-2</v>
      </c>
      <c r="V1967" s="1293">
        <v>2.3918420505578498E-2</v>
      </c>
    </row>
    <row r="1968" spans="1:22" s="212" customFormat="1" ht="15.5" x14ac:dyDescent="0.35">
      <c r="A1968" s="198">
        <v>2046</v>
      </c>
      <c r="B1968" s="197" t="s">
        <v>5833</v>
      </c>
      <c r="C1968" s="197">
        <v>2018</v>
      </c>
      <c r="D1968" s="225" t="str">
        <f t="shared" si="12"/>
        <v>2046_2018</v>
      </c>
      <c r="E1968" s="1226">
        <v>0.107944144650282</v>
      </c>
      <c r="F1968" s="1257">
        <v>2.6075277682645402E-3</v>
      </c>
      <c r="G1968" s="1280">
        <v>7.7000949970231797E-2</v>
      </c>
      <c r="H1968" s="1271">
        <v>0.248625376851905</v>
      </c>
      <c r="I1968" s="1257">
        <v>1.5770560430846198E-2</v>
      </c>
      <c r="J1968" s="1280">
        <v>0.19541272560336301</v>
      </c>
      <c r="K1968" s="1271">
        <v>2.2883720222137999E-2</v>
      </c>
      <c r="L1968" s="1257">
        <v>1.1505332344571E-3</v>
      </c>
      <c r="M1968" s="1280">
        <v>1.74110248383894E-2</v>
      </c>
      <c r="N1968" s="1271">
        <v>3.0000008598028201E-3</v>
      </c>
      <c r="O1968" s="1257">
        <v>2.0000005732018801E-3</v>
      </c>
      <c r="P1968" s="1257">
        <v>3.0000008598028201E-3</v>
      </c>
      <c r="Q1968" s="1280">
        <v>3.0000008598028201E-3</v>
      </c>
      <c r="R1968" s="1271">
        <v>3.1850009128239903E-2</v>
      </c>
      <c r="S1968" s="1257">
        <v>3.1850009128239903E-2</v>
      </c>
      <c r="T1968" s="1257">
        <v>3.1850009128239903E-2</v>
      </c>
      <c r="U1968" s="1280">
        <v>1.5925004564119952E-2</v>
      </c>
      <c r="V1968" s="1293">
        <v>2.3918420505578498E-2</v>
      </c>
    </row>
    <row r="1969" spans="1:22" s="212" customFormat="1" ht="15.5" x14ac:dyDescent="0.35">
      <c r="A1969" s="198">
        <v>2046</v>
      </c>
      <c r="B1969" s="197" t="s">
        <v>5833</v>
      </c>
      <c r="C1969" s="197">
        <v>2019</v>
      </c>
      <c r="D1969" s="225" t="str">
        <f t="shared" si="12"/>
        <v>2046_2019</v>
      </c>
      <c r="E1969" s="1226">
        <v>0.107944144650282</v>
      </c>
      <c r="F1969" s="1257">
        <v>2.6075277682645402E-3</v>
      </c>
      <c r="G1969" s="1280">
        <v>7.7000949970231797E-2</v>
      </c>
      <c r="H1969" s="1271">
        <v>0.248625376851905</v>
      </c>
      <c r="I1969" s="1257">
        <v>1.5770560430846198E-2</v>
      </c>
      <c r="J1969" s="1280">
        <v>0.19541272560336301</v>
      </c>
      <c r="K1969" s="1271">
        <v>2.2883720222137999E-2</v>
      </c>
      <c r="L1969" s="1257">
        <v>1.1505332344571E-3</v>
      </c>
      <c r="M1969" s="1280">
        <v>1.74110248383894E-2</v>
      </c>
      <c r="N1969" s="1271">
        <v>3.0000008598028201E-3</v>
      </c>
      <c r="O1969" s="1257">
        <v>2.0000005732018801E-3</v>
      </c>
      <c r="P1969" s="1257">
        <v>3.0000008598028201E-3</v>
      </c>
      <c r="Q1969" s="1280">
        <v>3.0000008598028201E-3</v>
      </c>
      <c r="R1969" s="1271">
        <v>3.1850009128239903E-2</v>
      </c>
      <c r="S1969" s="1257">
        <v>3.1850009128239903E-2</v>
      </c>
      <c r="T1969" s="1257">
        <v>3.1850009128239903E-2</v>
      </c>
      <c r="U1969" s="1280">
        <v>1.5925004564119952E-2</v>
      </c>
      <c r="V1969" s="1293">
        <v>2.3918420505578498E-2</v>
      </c>
    </row>
    <row r="1970" spans="1:22" s="212" customFormat="1" ht="15.5" x14ac:dyDescent="0.35">
      <c r="A1970" s="198">
        <v>2046</v>
      </c>
      <c r="B1970" s="197" t="s">
        <v>5833</v>
      </c>
      <c r="C1970" s="197">
        <v>2020</v>
      </c>
      <c r="D1970" s="225" t="str">
        <f t="shared" si="12"/>
        <v>2046_2020</v>
      </c>
      <c r="E1970" s="1226">
        <v>0.107944144650282</v>
      </c>
      <c r="F1970" s="1257">
        <v>2.6075277682645402E-3</v>
      </c>
      <c r="G1970" s="1280">
        <v>7.7000949970231797E-2</v>
      </c>
      <c r="H1970" s="1271">
        <v>0.248625376851905</v>
      </c>
      <c r="I1970" s="1257">
        <v>1.5770560430846198E-2</v>
      </c>
      <c r="J1970" s="1280">
        <v>0.19541272560336301</v>
      </c>
      <c r="K1970" s="1271">
        <v>2.2883720222137999E-2</v>
      </c>
      <c r="L1970" s="1257">
        <v>1.1505332344571E-3</v>
      </c>
      <c r="M1970" s="1280">
        <v>1.74110248383894E-2</v>
      </c>
      <c r="N1970" s="1271">
        <v>3.0000008598028201E-3</v>
      </c>
      <c r="O1970" s="1257">
        <v>2.0000005732018801E-3</v>
      </c>
      <c r="P1970" s="1257">
        <v>3.0000008598028201E-3</v>
      </c>
      <c r="Q1970" s="1280">
        <v>3.0000008598028201E-3</v>
      </c>
      <c r="R1970" s="1271">
        <v>3.1850009128239903E-2</v>
      </c>
      <c r="S1970" s="1257">
        <v>3.1850009128239903E-2</v>
      </c>
      <c r="T1970" s="1257">
        <v>3.1850009128239903E-2</v>
      </c>
      <c r="U1970" s="1280">
        <v>1.5925004564119952E-2</v>
      </c>
      <c r="V1970" s="1293">
        <v>2.3918420505578498E-2</v>
      </c>
    </row>
    <row r="1971" spans="1:22" s="212" customFormat="1" ht="15.5" x14ac:dyDescent="0.35">
      <c r="A1971" s="198">
        <v>2046</v>
      </c>
      <c r="B1971" s="197" t="s">
        <v>5833</v>
      </c>
      <c r="C1971" s="197">
        <v>2021</v>
      </c>
      <c r="D1971" s="225" t="str">
        <f t="shared" si="12"/>
        <v>2046_2021</v>
      </c>
      <c r="E1971" s="1226">
        <v>0.107944144650282</v>
      </c>
      <c r="F1971" s="1257">
        <v>2.6075277682645402E-3</v>
      </c>
      <c r="G1971" s="1280">
        <v>7.7000949970231797E-2</v>
      </c>
      <c r="H1971" s="1271">
        <v>0.248625376851905</v>
      </c>
      <c r="I1971" s="1257">
        <v>1.5770560430846198E-2</v>
      </c>
      <c r="J1971" s="1280">
        <v>0.19541272560336301</v>
      </c>
      <c r="K1971" s="1271">
        <v>2.2883720222137999E-2</v>
      </c>
      <c r="L1971" s="1257">
        <v>1.1505332344571E-3</v>
      </c>
      <c r="M1971" s="1280">
        <v>1.74110248383894E-2</v>
      </c>
      <c r="N1971" s="1271">
        <v>3.0000008598028201E-3</v>
      </c>
      <c r="O1971" s="1257">
        <v>2.0000005732018801E-3</v>
      </c>
      <c r="P1971" s="1257">
        <v>3.0000008598028201E-3</v>
      </c>
      <c r="Q1971" s="1280">
        <v>3.0000008598028201E-3</v>
      </c>
      <c r="R1971" s="1271">
        <v>3.1850009128239903E-2</v>
      </c>
      <c r="S1971" s="1257">
        <v>3.1850009128239903E-2</v>
      </c>
      <c r="T1971" s="1257">
        <v>3.1850009128239903E-2</v>
      </c>
      <c r="U1971" s="1280">
        <v>1.5925004564119952E-2</v>
      </c>
      <c r="V1971" s="1293">
        <v>2.3918420505578498E-2</v>
      </c>
    </row>
    <row r="1972" spans="1:22" s="212" customFormat="1" ht="15.5" x14ac:dyDescent="0.35">
      <c r="A1972" s="198">
        <v>2046</v>
      </c>
      <c r="B1972" s="197" t="s">
        <v>5833</v>
      </c>
      <c r="C1972" s="197">
        <v>2022</v>
      </c>
      <c r="D1972" s="225" t="str">
        <f t="shared" si="12"/>
        <v>2046_2022</v>
      </c>
      <c r="E1972" s="1226">
        <v>0.107944144650282</v>
      </c>
      <c r="F1972" s="1257">
        <v>2.6075277682645402E-3</v>
      </c>
      <c r="G1972" s="1280">
        <v>7.7000949970231797E-2</v>
      </c>
      <c r="H1972" s="1271">
        <v>0.248625376851905</v>
      </c>
      <c r="I1972" s="1257">
        <v>1.5770560430846198E-2</v>
      </c>
      <c r="J1972" s="1280">
        <v>0.19541272560336301</v>
      </c>
      <c r="K1972" s="1271">
        <v>2.2883720222137999E-2</v>
      </c>
      <c r="L1972" s="1257">
        <v>1.1505332344571E-3</v>
      </c>
      <c r="M1972" s="1280">
        <v>1.74110248383894E-2</v>
      </c>
      <c r="N1972" s="1271">
        <v>3.0000008598028201E-3</v>
      </c>
      <c r="O1972" s="1257">
        <v>2.0000005732018801E-3</v>
      </c>
      <c r="P1972" s="1257">
        <v>3.0000008598028201E-3</v>
      </c>
      <c r="Q1972" s="1280">
        <v>3.0000008598028201E-3</v>
      </c>
      <c r="R1972" s="1271">
        <v>3.1850009128239903E-2</v>
      </c>
      <c r="S1972" s="1257">
        <v>3.1850009128239903E-2</v>
      </c>
      <c r="T1972" s="1257">
        <v>3.1850009128239903E-2</v>
      </c>
      <c r="U1972" s="1280">
        <v>1.5925004564119952E-2</v>
      </c>
      <c r="V1972" s="1293">
        <v>2.3918420505578498E-2</v>
      </c>
    </row>
    <row r="1973" spans="1:22" s="212" customFormat="1" ht="15.5" x14ac:dyDescent="0.35">
      <c r="A1973" s="198">
        <v>2046</v>
      </c>
      <c r="B1973" s="197" t="s">
        <v>5833</v>
      </c>
      <c r="C1973" s="197">
        <v>2023</v>
      </c>
      <c r="D1973" s="225" t="str">
        <f t="shared" si="12"/>
        <v>2046_2023</v>
      </c>
      <c r="E1973" s="1226">
        <v>0.107944144650282</v>
      </c>
      <c r="F1973" s="1257">
        <v>2.6075277682645402E-3</v>
      </c>
      <c r="G1973" s="1280">
        <v>7.7000949970231797E-2</v>
      </c>
      <c r="H1973" s="1271">
        <v>0.248625376851905</v>
      </c>
      <c r="I1973" s="1257">
        <v>1.5770560430846198E-2</v>
      </c>
      <c r="J1973" s="1280">
        <v>0.19541272560336301</v>
      </c>
      <c r="K1973" s="1271">
        <v>2.2883720222137999E-2</v>
      </c>
      <c r="L1973" s="1257">
        <v>1.1505332344571E-3</v>
      </c>
      <c r="M1973" s="1280">
        <v>1.74110248383894E-2</v>
      </c>
      <c r="N1973" s="1271">
        <v>3.0000008598028201E-3</v>
      </c>
      <c r="O1973" s="1257">
        <v>2.0000005732018801E-3</v>
      </c>
      <c r="P1973" s="1257">
        <v>3.0000008598028201E-3</v>
      </c>
      <c r="Q1973" s="1280">
        <v>3.0000008598028201E-3</v>
      </c>
      <c r="R1973" s="1271">
        <v>3.1850009128239903E-2</v>
      </c>
      <c r="S1973" s="1257">
        <v>3.1850009128239903E-2</v>
      </c>
      <c r="T1973" s="1257">
        <v>3.1850009128239903E-2</v>
      </c>
      <c r="U1973" s="1280">
        <v>1.5925004564119952E-2</v>
      </c>
      <c r="V1973" s="1293">
        <v>2.3918420505578498E-2</v>
      </c>
    </row>
    <row r="1974" spans="1:22" s="212" customFormat="1" ht="15.5" x14ac:dyDescent="0.35">
      <c r="A1974" s="198">
        <v>2046</v>
      </c>
      <c r="B1974" s="197" t="s">
        <v>5833</v>
      </c>
      <c r="C1974" s="197">
        <v>2024</v>
      </c>
      <c r="D1974" s="225" t="str">
        <f t="shared" si="12"/>
        <v>2046_2024</v>
      </c>
      <c r="E1974" s="1226">
        <v>0.107944144650282</v>
      </c>
      <c r="F1974" s="1257">
        <v>2.6075277682645402E-3</v>
      </c>
      <c r="G1974" s="1280">
        <v>7.7000949970231797E-2</v>
      </c>
      <c r="H1974" s="1271">
        <v>0.248625376851905</v>
      </c>
      <c r="I1974" s="1257">
        <v>1.5770560430846198E-2</v>
      </c>
      <c r="J1974" s="1280">
        <v>0.19541272560336301</v>
      </c>
      <c r="K1974" s="1271">
        <v>2.2883720222137999E-2</v>
      </c>
      <c r="L1974" s="1257">
        <v>1.1505332344571E-3</v>
      </c>
      <c r="M1974" s="1280">
        <v>1.74110248383894E-2</v>
      </c>
      <c r="N1974" s="1271">
        <v>3.0000008598028201E-3</v>
      </c>
      <c r="O1974" s="1257">
        <v>2.0000005732018801E-3</v>
      </c>
      <c r="P1974" s="1257">
        <v>3.0000008598028201E-3</v>
      </c>
      <c r="Q1974" s="1280">
        <v>3.0000008598028201E-3</v>
      </c>
      <c r="R1974" s="1271">
        <v>3.1850009128239903E-2</v>
      </c>
      <c r="S1974" s="1257">
        <v>3.1850009128239903E-2</v>
      </c>
      <c r="T1974" s="1257">
        <v>3.1850009128239903E-2</v>
      </c>
      <c r="U1974" s="1280">
        <v>1.5925004564119952E-2</v>
      </c>
      <c r="V1974" s="1293">
        <v>2.3918420505578498E-2</v>
      </c>
    </row>
    <row r="1975" spans="1:22" s="212" customFormat="1" ht="15.5" x14ac:dyDescent="0.35">
      <c r="A1975" s="198">
        <v>2046</v>
      </c>
      <c r="B1975" s="197" t="s">
        <v>5833</v>
      </c>
      <c r="C1975" s="197">
        <v>2025</v>
      </c>
      <c r="D1975" s="225" t="str">
        <f t="shared" si="12"/>
        <v>2046_2025</v>
      </c>
      <c r="E1975" s="1226">
        <v>0.107944144650282</v>
      </c>
      <c r="F1975" s="1257">
        <v>2.6075277682645402E-3</v>
      </c>
      <c r="G1975" s="1280">
        <v>7.7000949970231797E-2</v>
      </c>
      <c r="H1975" s="1271">
        <v>0.248625376851905</v>
      </c>
      <c r="I1975" s="1257">
        <v>1.5770560430846198E-2</v>
      </c>
      <c r="J1975" s="1280">
        <v>0.19541272560336301</v>
      </c>
      <c r="K1975" s="1271">
        <v>2.2883720222137999E-2</v>
      </c>
      <c r="L1975" s="1257">
        <v>1.1505332344571E-3</v>
      </c>
      <c r="M1975" s="1280">
        <v>1.74110248383894E-2</v>
      </c>
      <c r="N1975" s="1271">
        <v>3.0000008598028201E-3</v>
      </c>
      <c r="O1975" s="1257">
        <v>2.0000005732018801E-3</v>
      </c>
      <c r="P1975" s="1257">
        <v>3.0000008598028201E-3</v>
      </c>
      <c r="Q1975" s="1280">
        <v>3.0000008598028201E-3</v>
      </c>
      <c r="R1975" s="1271">
        <v>3.1850009128239903E-2</v>
      </c>
      <c r="S1975" s="1257">
        <v>3.1850009128239903E-2</v>
      </c>
      <c r="T1975" s="1257">
        <v>3.1850009128239903E-2</v>
      </c>
      <c r="U1975" s="1280">
        <v>1.5925004564119952E-2</v>
      </c>
      <c r="V1975" s="1293">
        <v>2.3918420505578498E-2</v>
      </c>
    </row>
    <row r="1976" spans="1:22" s="212" customFormat="1" ht="15.5" x14ac:dyDescent="0.35">
      <c r="A1976" s="198">
        <v>2046</v>
      </c>
      <c r="B1976" s="197" t="s">
        <v>5833</v>
      </c>
      <c r="C1976" s="197">
        <v>2026</v>
      </c>
      <c r="D1976" s="225" t="str">
        <f t="shared" si="12"/>
        <v>2046_2026</v>
      </c>
      <c r="E1976" s="1226">
        <v>0.107944144650282</v>
      </c>
      <c r="F1976" s="1257">
        <v>2.6075277682645402E-3</v>
      </c>
      <c r="G1976" s="1280">
        <v>7.7000949970231797E-2</v>
      </c>
      <c r="H1976" s="1271">
        <v>0.248625376851905</v>
      </c>
      <c r="I1976" s="1257">
        <v>1.5770560430846198E-2</v>
      </c>
      <c r="J1976" s="1280">
        <v>0.19541272560336301</v>
      </c>
      <c r="K1976" s="1271">
        <v>2.2883720222137999E-2</v>
      </c>
      <c r="L1976" s="1257">
        <v>1.1505332344571E-3</v>
      </c>
      <c r="M1976" s="1280">
        <v>1.74110248383894E-2</v>
      </c>
      <c r="N1976" s="1271">
        <v>3.0000008598028201E-3</v>
      </c>
      <c r="O1976" s="1257">
        <v>2.0000005732018801E-3</v>
      </c>
      <c r="P1976" s="1257">
        <v>3.0000008598028201E-3</v>
      </c>
      <c r="Q1976" s="1280">
        <v>3.0000008598028201E-3</v>
      </c>
      <c r="R1976" s="1271">
        <v>3.1850009128239903E-2</v>
      </c>
      <c r="S1976" s="1257">
        <v>3.1850009128239903E-2</v>
      </c>
      <c r="T1976" s="1257">
        <v>3.1850009128239903E-2</v>
      </c>
      <c r="U1976" s="1280">
        <v>1.5925004564119952E-2</v>
      </c>
      <c r="V1976" s="1293">
        <v>2.3918420505578498E-2</v>
      </c>
    </row>
    <row r="1977" spans="1:22" s="212" customFormat="1" ht="15.5" x14ac:dyDescent="0.35">
      <c r="A1977" s="198">
        <v>2046</v>
      </c>
      <c r="B1977" s="197" t="s">
        <v>5833</v>
      </c>
      <c r="C1977" s="197">
        <v>2027</v>
      </c>
      <c r="D1977" s="225" t="str">
        <f t="shared" si="12"/>
        <v>2046_2027</v>
      </c>
      <c r="E1977" s="1226">
        <v>0.107944144650282</v>
      </c>
      <c r="F1977" s="1257">
        <v>2.6075277682645402E-3</v>
      </c>
      <c r="G1977" s="1280">
        <v>7.7000949970231797E-2</v>
      </c>
      <c r="H1977" s="1271">
        <v>0.248625376851905</v>
      </c>
      <c r="I1977" s="1257">
        <v>1.5770560430846198E-2</v>
      </c>
      <c r="J1977" s="1280">
        <v>0.19541272560336301</v>
      </c>
      <c r="K1977" s="1271">
        <v>2.2883720222137999E-2</v>
      </c>
      <c r="L1977" s="1257">
        <v>1.1505332344571E-3</v>
      </c>
      <c r="M1977" s="1280">
        <v>1.74110248383894E-2</v>
      </c>
      <c r="N1977" s="1271">
        <v>3.0000008598028201E-3</v>
      </c>
      <c r="O1977" s="1257">
        <v>2.0000005732018801E-3</v>
      </c>
      <c r="P1977" s="1257">
        <v>3.0000008598028201E-3</v>
      </c>
      <c r="Q1977" s="1280">
        <v>3.0000008598028201E-3</v>
      </c>
      <c r="R1977" s="1271">
        <v>3.1850009128239903E-2</v>
      </c>
      <c r="S1977" s="1257">
        <v>3.1850009128239903E-2</v>
      </c>
      <c r="T1977" s="1257">
        <v>3.1850009128239903E-2</v>
      </c>
      <c r="U1977" s="1280">
        <v>1.5925004564119952E-2</v>
      </c>
      <c r="V1977" s="1293">
        <v>2.3918420505578498E-2</v>
      </c>
    </row>
    <row r="1978" spans="1:22" s="212" customFormat="1" ht="15.5" x14ac:dyDescent="0.35">
      <c r="A1978" s="198">
        <v>2046</v>
      </c>
      <c r="B1978" s="197" t="s">
        <v>5833</v>
      </c>
      <c r="C1978" s="197">
        <v>2028</v>
      </c>
      <c r="D1978" s="225" t="str">
        <f t="shared" si="12"/>
        <v>2046_2028</v>
      </c>
      <c r="E1978" s="1226">
        <v>0.107944144650282</v>
      </c>
      <c r="F1978" s="1257">
        <v>2.6075277682645402E-3</v>
      </c>
      <c r="G1978" s="1280">
        <v>7.7000949970231797E-2</v>
      </c>
      <c r="H1978" s="1271">
        <v>0.248625376851905</v>
      </c>
      <c r="I1978" s="1257">
        <v>1.5770560430846198E-2</v>
      </c>
      <c r="J1978" s="1280">
        <v>0.19541272560336301</v>
      </c>
      <c r="K1978" s="1271">
        <v>2.2883720222137999E-2</v>
      </c>
      <c r="L1978" s="1257">
        <v>1.1505332344571E-3</v>
      </c>
      <c r="M1978" s="1280">
        <v>1.74110248383894E-2</v>
      </c>
      <c r="N1978" s="1271">
        <v>3.0000008598028201E-3</v>
      </c>
      <c r="O1978" s="1257">
        <v>2.0000005732018801E-3</v>
      </c>
      <c r="P1978" s="1257">
        <v>3.0000008598028201E-3</v>
      </c>
      <c r="Q1978" s="1280">
        <v>3.0000008598028201E-3</v>
      </c>
      <c r="R1978" s="1271">
        <v>3.1850009128239903E-2</v>
      </c>
      <c r="S1978" s="1257">
        <v>3.1850009128239903E-2</v>
      </c>
      <c r="T1978" s="1257">
        <v>3.1850009128239903E-2</v>
      </c>
      <c r="U1978" s="1280">
        <v>1.5925004564119952E-2</v>
      </c>
      <c r="V1978" s="1293">
        <v>2.3918420505578498E-2</v>
      </c>
    </row>
    <row r="1979" spans="1:22" s="212" customFormat="1" ht="15.5" x14ac:dyDescent="0.35">
      <c r="A1979" s="198">
        <v>2046</v>
      </c>
      <c r="B1979" s="197" t="s">
        <v>5833</v>
      </c>
      <c r="C1979" s="197">
        <v>2029</v>
      </c>
      <c r="D1979" s="225" t="str">
        <f t="shared" si="12"/>
        <v>2046_2029</v>
      </c>
      <c r="E1979" s="1226">
        <v>0.107944144650282</v>
      </c>
      <c r="F1979" s="1257">
        <v>2.6075277682645402E-3</v>
      </c>
      <c r="G1979" s="1280">
        <v>7.7000949970231797E-2</v>
      </c>
      <c r="H1979" s="1271">
        <v>0.248625376851905</v>
      </c>
      <c r="I1979" s="1257">
        <v>1.5770560430846198E-2</v>
      </c>
      <c r="J1979" s="1280">
        <v>0.19541272560336301</v>
      </c>
      <c r="K1979" s="1271">
        <v>2.2883720222137999E-2</v>
      </c>
      <c r="L1979" s="1257">
        <v>1.1505332344571E-3</v>
      </c>
      <c r="M1979" s="1280">
        <v>1.74110248383894E-2</v>
      </c>
      <c r="N1979" s="1271">
        <v>3.0000008598028201E-3</v>
      </c>
      <c r="O1979" s="1257">
        <v>2.0000005732018801E-3</v>
      </c>
      <c r="P1979" s="1257">
        <v>3.0000008598028201E-3</v>
      </c>
      <c r="Q1979" s="1280">
        <v>3.0000008598028201E-3</v>
      </c>
      <c r="R1979" s="1271">
        <v>3.1850009128239903E-2</v>
      </c>
      <c r="S1979" s="1257">
        <v>3.1850009128239903E-2</v>
      </c>
      <c r="T1979" s="1257">
        <v>3.1850009128239903E-2</v>
      </c>
      <c r="U1979" s="1280">
        <v>1.5925004564119952E-2</v>
      </c>
      <c r="V1979" s="1293">
        <v>2.3918420505578498E-2</v>
      </c>
    </row>
    <row r="1980" spans="1:22" s="212" customFormat="1" ht="15.5" x14ac:dyDescent="0.35">
      <c r="A1980" s="198">
        <v>2046</v>
      </c>
      <c r="B1980" s="197" t="s">
        <v>5833</v>
      </c>
      <c r="C1980" s="197">
        <v>2030</v>
      </c>
      <c r="D1980" s="225" t="str">
        <f t="shared" si="12"/>
        <v>2046_2030</v>
      </c>
      <c r="E1980" s="1226">
        <v>0.107944144650282</v>
      </c>
      <c r="F1980" s="1257">
        <v>2.6075277682645402E-3</v>
      </c>
      <c r="G1980" s="1280">
        <v>7.7000949970231797E-2</v>
      </c>
      <c r="H1980" s="1271">
        <v>0.248625376851905</v>
      </c>
      <c r="I1980" s="1257">
        <v>1.5770560430846198E-2</v>
      </c>
      <c r="J1980" s="1280">
        <v>0.19541272560336301</v>
      </c>
      <c r="K1980" s="1271">
        <v>2.2883720222137999E-2</v>
      </c>
      <c r="L1980" s="1257">
        <v>1.1505332344571E-3</v>
      </c>
      <c r="M1980" s="1280">
        <v>1.74110248383894E-2</v>
      </c>
      <c r="N1980" s="1271">
        <v>3.0000008598028201E-3</v>
      </c>
      <c r="O1980" s="1257">
        <v>2.0000005732018801E-3</v>
      </c>
      <c r="P1980" s="1257">
        <v>3.0000008598028201E-3</v>
      </c>
      <c r="Q1980" s="1280">
        <v>3.0000008598028201E-3</v>
      </c>
      <c r="R1980" s="1271">
        <v>3.1850009128239903E-2</v>
      </c>
      <c r="S1980" s="1257">
        <v>3.1850009128239903E-2</v>
      </c>
      <c r="T1980" s="1257">
        <v>3.1850009128239903E-2</v>
      </c>
      <c r="U1980" s="1280">
        <v>1.5925004564119952E-2</v>
      </c>
      <c r="V1980" s="1293">
        <v>2.3918420505578498E-2</v>
      </c>
    </row>
    <row r="1981" spans="1:22" s="212" customFormat="1" ht="15.5" x14ac:dyDescent="0.35">
      <c r="A1981" s="198">
        <v>2046</v>
      </c>
      <c r="B1981" s="197" t="s">
        <v>5833</v>
      </c>
      <c r="C1981" s="197">
        <v>2031</v>
      </c>
      <c r="D1981" s="225" t="str">
        <f t="shared" si="12"/>
        <v>2046_2031</v>
      </c>
      <c r="E1981" s="1226">
        <v>0.107944144650282</v>
      </c>
      <c r="F1981" s="1257">
        <v>2.6075277682645402E-3</v>
      </c>
      <c r="G1981" s="1280">
        <v>7.7000949970231797E-2</v>
      </c>
      <c r="H1981" s="1271">
        <v>0.248625376851905</v>
      </c>
      <c r="I1981" s="1257">
        <v>1.5770560430846198E-2</v>
      </c>
      <c r="J1981" s="1280">
        <v>0.19541272560336301</v>
      </c>
      <c r="K1981" s="1271">
        <v>2.2883720222137999E-2</v>
      </c>
      <c r="L1981" s="1257">
        <v>1.1505332344571E-3</v>
      </c>
      <c r="M1981" s="1280">
        <v>1.74110248383894E-2</v>
      </c>
      <c r="N1981" s="1271">
        <v>3.0000008598028201E-3</v>
      </c>
      <c r="O1981" s="1257">
        <v>2.0000005732018801E-3</v>
      </c>
      <c r="P1981" s="1257">
        <v>3.0000008598028201E-3</v>
      </c>
      <c r="Q1981" s="1280">
        <v>3.0000008598028201E-3</v>
      </c>
      <c r="R1981" s="1271">
        <v>3.1850009128239903E-2</v>
      </c>
      <c r="S1981" s="1257">
        <v>3.1850009128239903E-2</v>
      </c>
      <c r="T1981" s="1257">
        <v>3.1850009128239903E-2</v>
      </c>
      <c r="U1981" s="1280">
        <v>1.5925004564119952E-2</v>
      </c>
      <c r="V1981" s="1293">
        <v>2.3918420505578498E-2</v>
      </c>
    </row>
    <row r="1982" spans="1:22" s="212" customFormat="1" ht="15.5" x14ac:dyDescent="0.35">
      <c r="A1982" s="198">
        <v>2046</v>
      </c>
      <c r="B1982" s="197" t="s">
        <v>5833</v>
      </c>
      <c r="C1982" s="197">
        <v>2032</v>
      </c>
      <c r="D1982" s="225" t="str">
        <f t="shared" si="12"/>
        <v>2046_2032</v>
      </c>
      <c r="E1982" s="1226">
        <v>0.107944144650282</v>
      </c>
      <c r="F1982" s="1257">
        <v>2.6075277682645402E-3</v>
      </c>
      <c r="G1982" s="1280">
        <v>7.7000949970231797E-2</v>
      </c>
      <c r="H1982" s="1271">
        <v>0.248625376851905</v>
      </c>
      <c r="I1982" s="1257">
        <v>1.5770560430846198E-2</v>
      </c>
      <c r="J1982" s="1280">
        <v>0.19541272560336301</v>
      </c>
      <c r="K1982" s="1271">
        <v>2.2883720222137999E-2</v>
      </c>
      <c r="L1982" s="1257">
        <v>1.1505332344571E-3</v>
      </c>
      <c r="M1982" s="1280">
        <v>1.74110248383894E-2</v>
      </c>
      <c r="N1982" s="1271">
        <v>3.0000008598028201E-3</v>
      </c>
      <c r="O1982" s="1257">
        <v>2.0000005732018801E-3</v>
      </c>
      <c r="P1982" s="1257">
        <v>3.0000008598028201E-3</v>
      </c>
      <c r="Q1982" s="1306">
        <v>7.7480283451327701E-3</v>
      </c>
      <c r="R1982" s="1271">
        <v>3.1850009128239903E-2</v>
      </c>
      <c r="S1982" s="1257">
        <v>3.1850009128239903E-2</v>
      </c>
      <c r="T1982" s="1257">
        <v>3.1850009128239903E-2</v>
      </c>
      <c r="U1982" s="1306">
        <v>1.9250005517068E-2</v>
      </c>
      <c r="V1982" s="1293">
        <v>2.3918420505578498E-2</v>
      </c>
    </row>
    <row r="1983" spans="1:22" s="212" customFormat="1" ht="15.5" x14ac:dyDescent="0.35">
      <c r="A1983" s="198">
        <v>2046</v>
      </c>
      <c r="B1983" s="197" t="s">
        <v>5833</v>
      </c>
      <c r="C1983" s="197">
        <v>2033</v>
      </c>
      <c r="D1983" s="225" t="str">
        <f t="shared" si="12"/>
        <v>2046_2033</v>
      </c>
      <c r="E1983" s="1226">
        <v>0.107944144650282</v>
      </c>
      <c r="F1983" s="1257">
        <v>2.6075277682645402E-3</v>
      </c>
      <c r="G1983" s="1280">
        <v>7.7000949970231797E-2</v>
      </c>
      <c r="H1983" s="1271">
        <v>0.248625376851905</v>
      </c>
      <c r="I1983" s="1257">
        <v>1.5770560430846198E-2</v>
      </c>
      <c r="J1983" s="1280">
        <v>0.19541272560336301</v>
      </c>
      <c r="K1983" s="1271">
        <v>2.2883720222137999E-2</v>
      </c>
      <c r="L1983" s="1257">
        <v>1.1505332344571E-3</v>
      </c>
      <c r="M1983" s="1280">
        <v>1.74110248383894E-2</v>
      </c>
      <c r="N1983" s="1271">
        <v>3.0000008598028201E-3</v>
      </c>
      <c r="O1983" s="1257">
        <v>2.0000005732018801E-3</v>
      </c>
      <c r="P1983" s="1257">
        <v>3.0000008598028201E-3</v>
      </c>
      <c r="Q1983" s="1306">
        <v>7.0779306122425202E-3</v>
      </c>
      <c r="R1983" s="1271">
        <v>3.1850009128239903E-2</v>
      </c>
      <c r="S1983" s="1257">
        <v>3.1850009128239903E-2</v>
      </c>
      <c r="T1983" s="1257">
        <v>3.1850009128239903E-2</v>
      </c>
      <c r="U1983" s="1306">
        <v>1.9250005517068101E-2</v>
      </c>
      <c r="V1983" s="1293">
        <v>2.3918420505578498E-2</v>
      </c>
    </row>
    <row r="1984" spans="1:22" s="212" customFormat="1" ht="15.5" x14ac:dyDescent="0.35">
      <c r="A1984" s="198">
        <v>2046</v>
      </c>
      <c r="B1984" s="197" t="s">
        <v>5833</v>
      </c>
      <c r="C1984" s="197">
        <v>2034</v>
      </c>
      <c r="D1984" s="225" t="str">
        <f t="shared" si="12"/>
        <v>2046_2034</v>
      </c>
      <c r="E1984" s="1226">
        <v>0.107944144650282</v>
      </c>
      <c r="F1984" s="1257">
        <v>2.6075277682645402E-3</v>
      </c>
      <c r="G1984" s="1280">
        <v>7.7000949970231797E-2</v>
      </c>
      <c r="H1984" s="1271">
        <v>0.248625376851905</v>
      </c>
      <c r="I1984" s="1257">
        <v>1.5770560430846198E-2</v>
      </c>
      <c r="J1984" s="1280">
        <v>0.19541272560336301</v>
      </c>
      <c r="K1984" s="1271">
        <v>2.2883720222137999E-2</v>
      </c>
      <c r="L1984" s="1257">
        <v>1.1505332344571E-3</v>
      </c>
      <c r="M1984" s="1280">
        <v>1.74110248383894E-2</v>
      </c>
      <c r="N1984" s="1271">
        <v>3.0000008598028201E-3</v>
      </c>
      <c r="O1984" s="1257">
        <v>2.0000005732018801E-3</v>
      </c>
      <c r="P1984" s="1257">
        <v>3.0000008598028201E-3</v>
      </c>
      <c r="Q1984" s="1306">
        <v>5.7121094500660798E-3</v>
      </c>
      <c r="R1984" s="1271">
        <v>3.1850009128239903E-2</v>
      </c>
      <c r="S1984" s="1257">
        <v>3.1850009128239903E-2</v>
      </c>
      <c r="T1984" s="1257">
        <v>3.1850009128239903E-2</v>
      </c>
      <c r="U1984" s="1306">
        <v>1.9250005517068101E-2</v>
      </c>
      <c r="V1984" s="1293">
        <v>2.3918420505578498E-2</v>
      </c>
    </row>
    <row r="1985" spans="1:22" s="212" customFormat="1" ht="15.5" x14ac:dyDescent="0.35">
      <c r="A1985" s="198">
        <v>2046</v>
      </c>
      <c r="B1985" s="197" t="s">
        <v>5833</v>
      </c>
      <c r="C1985" s="197">
        <v>2035</v>
      </c>
      <c r="D1985" s="225" t="str">
        <f t="shared" si="12"/>
        <v>2046_2035</v>
      </c>
      <c r="E1985" s="1226">
        <v>0.107944144650282</v>
      </c>
      <c r="F1985" s="1257">
        <v>2.6075277682645402E-3</v>
      </c>
      <c r="G1985" s="1280">
        <v>7.7000949970231797E-2</v>
      </c>
      <c r="H1985" s="1271">
        <v>0.248625376851905</v>
      </c>
      <c r="I1985" s="1257">
        <v>1.5770560430846198E-2</v>
      </c>
      <c r="J1985" s="1280">
        <v>0.19541272560336301</v>
      </c>
      <c r="K1985" s="1271">
        <v>2.2883720222137999E-2</v>
      </c>
      <c r="L1985" s="1257">
        <v>1.1505332344571E-3</v>
      </c>
      <c r="M1985" s="1280">
        <v>1.74110248383894E-2</v>
      </c>
      <c r="N1985" s="1271">
        <v>3.0000008598028201E-3</v>
      </c>
      <c r="O1985" s="1257">
        <v>2.0000005732018801E-3</v>
      </c>
      <c r="P1985" s="1257">
        <v>3.0000008598028201E-3</v>
      </c>
      <c r="Q1985" s="1306">
        <v>8.08268618211762E-3</v>
      </c>
      <c r="R1985" s="1271">
        <v>3.1850009128239903E-2</v>
      </c>
      <c r="S1985" s="1257">
        <v>3.1850009128239903E-2</v>
      </c>
      <c r="T1985" s="1257">
        <v>3.1850009128239903E-2</v>
      </c>
      <c r="U1985" s="1306">
        <v>1.9250005517068101E-2</v>
      </c>
      <c r="V1985" s="1293">
        <v>2.3918420505578498E-2</v>
      </c>
    </row>
    <row r="1986" spans="1:22" s="212" customFormat="1" ht="15.5" x14ac:dyDescent="0.35">
      <c r="A1986" s="198">
        <v>2046</v>
      </c>
      <c r="B1986" s="197" t="s">
        <v>5833</v>
      </c>
      <c r="C1986" s="197">
        <v>2036</v>
      </c>
      <c r="D1986" s="225" t="str">
        <f t="shared" si="12"/>
        <v>2046_2036</v>
      </c>
      <c r="E1986" s="1231">
        <v>0.107944144650282</v>
      </c>
      <c r="F1986" s="1288">
        <v>2.6075277682645402E-3</v>
      </c>
      <c r="G1986" s="1306">
        <v>7.7000949970231797E-2</v>
      </c>
      <c r="H1986" s="1303">
        <v>0.248625376851905</v>
      </c>
      <c r="I1986" s="1288">
        <v>1.5770560430846198E-2</v>
      </c>
      <c r="J1986" s="1306">
        <v>0.19541272560336301</v>
      </c>
      <c r="K1986" s="1303">
        <v>2.2883720222137999E-2</v>
      </c>
      <c r="L1986" s="1288">
        <v>1.1505332344571E-3</v>
      </c>
      <c r="M1986" s="1306">
        <v>1.74110248383894E-2</v>
      </c>
      <c r="N1986" s="1303">
        <v>3.0000008598028201E-3</v>
      </c>
      <c r="O1986" s="1288">
        <v>2.0000005732018801E-3</v>
      </c>
      <c r="P1986" s="1288">
        <v>3.0000008598028201E-3</v>
      </c>
      <c r="Q1986" s="1306">
        <v>7.3795799121639197E-3</v>
      </c>
      <c r="R1986" s="1303">
        <v>3.1850009128239903E-2</v>
      </c>
      <c r="S1986" s="1288">
        <v>3.1850009128239903E-2</v>
      </c>
      <c r="T1986" s="1288">
        <v>3.1850009128239903E-2</v>
      </c>
      <c r="U1986" s="1306">
        <v>1.9250005517068101E-2</v>
      </c>
      <c r="V1986" s="1294">
        <v>2.3918420505578498E-2</v>
      </c>
    </row>
    <row r="1987" spans="1:22" s="212" customFormat="1" ht="15.5" x14ac:dyDescent="0.35">
      <c r="A1987" s="198">
        <v>2046</v>
      </c>
      <c r="B1987" s="197" t="s">
        <v>5833</v>
      </c>
      <c r="C1987" s="197">
        <v>2037</v>
      </c>
      <c r="D1987" s="225" t="str">
        <f t="shared" si="12"/>
        <v>2046_2037</v>
      </c>
      <c r="E1987" s="1231">
        <v>0.104781513510931</v>
      </c>
      <c r="F1987" s="1288">
        <v>2.14694814070664E-3</v>
      </c>
      <c r="G1987" s="1306">
        <v>5.7158947799374797E-2</v>
      </c>
      <c r="H1987" s="1303">
        <v>0.237164530950916</v>
      </c>
      <c r="I1987" s="1288">
        <v>1.6479569097881001E-2</v>
      </c>
      <c r="J1987" s="1306">
        <v>0.16262220533242</v>
      </c>
      <c r="K1987" s="1303">
        <v>2.1378861818852801E-2</v>
      </c>
      <c r="L1987" s="1288">
        <v>1.1100550519912199E-3</v>
      </c>
      <c r="M1987" s="1306">
        <v>1.3495455002713199E-2</v>
      </c>
      <c r="N1987" s="1303">
        <v>3.0000008598028201E-3</v>
      </c>
      <c r="O1987" s="1288">
        <v>2.0000005732018801E-3</v>
      </c>
      <c r="P1987" s="1288">
        <v>3.0000008598028201E-3</v>
      </c>
      <c r="Q1987" s="1306">
        <v>7.5861856395711197E-3</v>
      </c>
      <c r="R1987" s="1303">
        <v>3.1850009128239903E-2</v>
      </c>
      <c r="S1987" s="1288">
        <v>3.1850009128239903E-2</v>
      </c>
      <c r="T1987" s="1288">
        <v>3.1850009128239903E-2</v>
      </c>
      <c r="U1987" s="1306">
        <v>1.9250005517068101E-2</v>
      </c>
      <c r="V1987" s="1294">
        <v>2.2345519083007099E-2</v>
      </c>
    </row>
    <row r="1988" spans="1:22" s="212" customFormat="1" ht="15.5" x14ac:dyDescent="0.35">
      <c r="A1988" s="198">
        <v>2046</v>
      </c>
      <c r="B1988" s="197" t="s">
        <v>5833</v>
      </c>
      <c r="C1988" s="197">
        <v>2038</v>
      </c>
      <c r="D1988" s="225" t="str">
        <f t="shared" si="12"/>
        <v>2046_2038</v>
      </c>
      <c r="E1988" s="1231">
        <v>0.103571719766602</v>
      </c>
      <c r="F1988" s="1288">
        <v>1.3582027903514999E-3</v>
      </c>
      <c r="G1988" s="1306">
        <v>7.7095353009027701E-2</v>
      </c>
      <c r="H1988" s="1303">
        <v>0.23079033886098199</v>
      </c>
      <c r="I1988" s="1288">
        <v>1.6608121740864401E-2</v>
      </c>
      <c r="J1988" s="1306">
        <v>0.186903557606686</v>
      </c>
      <c r="K1988" s="1303">
        <v>2.0211006357223199E-2</v>
      </c>
      <c r="L1988" s="1288">
        <v>1.0119005220444999E-3</v>
      </c>
      <c r="M1988" s="1306">
        <v>1.59010847369335E-2</v>
      </c>
      <c r="N1988" s="1303">
        <v>3.0000008598028201E-3</v>
      </c>
      <c r="O1988" s="1288">
        <v>2.0000005732018801E-3</v>
      </c>
      <c r="P1988" s="1288">
        <v>3.0000008598028201E-3</v>
      </c>
      <c r="Q1988" s="1306">
        <v>7.8507146591203902E-3</v>
      </c>
      <c r="R1988" s="1303">
        <v>3.1850009128239903E-2</v>
      </c>
      <c r="S1988" s="1288">
        <v>3.1850009128239903E-2</v>
      </c>
      <c r="T1988" s="1288">
        <v>3.1850009128239903E-2</v>
      </c>
      <c r="U1988" s="1306">
        <v>1.9250005517068101E-2</v>
      </c>
      <c r="V1988" s="1294">
        <v>2.1124858379684398E-2</v>
      </c>
    </row>
    <row r="1989" spans="1:22" s="212" customFormat="1" ht="15.5" x14ac:dyDescent="0.35">
      <c r="A1989" s="198">
        <v>2046</v>
      </c>
      <c r="B1989" s="197" t="s">
        <v>5833</v>
      </c>
      <c r="C1989" s="197">
        <v>2039</v>
      </c>
      <c r="D1989" s="225" t="str">
        <f t="shared" si="12"/>
        <v>2046_2039</v>
      </c>
      <c r="E1989" s="1231">
        <v>0.102827295835705</v>
      </c>
      <c r="F1989" s="1288">
        <v>2.5315297187216098E-3</v>
      </c>
      <c r="G1989" s="1306">
        <v>4.8398986092788102E-2</v>
      </c>
      <c r="H1989" s="1303">
        <v>0.225533537682852</v>
      </c>
      <c r="I1989" s="1288">
        <v>1.5422145170669199E-2</v>
      </c>
      <c r="J1989" s="1306">
        <v>0.14182489997226999</v>
      </c>
      <c r="K1989" s="1303">
        <v>1.9058063277026999E-2</v>
      </c>
      <c r="L1989" s="1288">
        <v>1.14152224330179E-3</v>
      </c>
      <c r="M1989" s="1306">
        <v>1.0838592611253899E-2</v>
      </c>
      <c r="N1989" s="1303">
        <v>3.0000008598028201E-3</v>
      </c>
      <c r="O1989" s="1288">
        <v>2.0000005732018801E-3</v>
      </c>
      <c r="P1989" s="1288">
        <v>3.0000008598028201E-3</v>
      </c>
      <c r="Q1989" s="1306">
        <v>7.5933065431310698E-3</v>
      </c>
      <c r="R1989" s="1303">
        <v>3.1850009128239903E-2</v>
      </c>
      <c r="S1989" s="1288">
        <v>3.1850009128239903E-2</v>
      </c>
      <c r="T1989" s="1288">
        <v>3.1850009128239903E-2</v>
      </c>
      <c r="U1989" s="1306">
        <v>1.9250005517068101E-2</v>
      </c>
      <c r="V1989" s="1294">
        <v>1.9919784329510901E-2</v>
      </c>
    </row>
    <row r="1990" spans="1:22" s="212" customFormat="1" ht="15.5" x14ac:dyDescent="0.35">
      <c r="A1990" s="198">
        <v>2046</v>
      </c>
      <c r="B1990" s="197" t="s">
        <v>5833</v>
      </c>
      <c r="C1990" s="197">
        <v>2040</v>
      </c>
      <c r="D1990" s="225" t="str">
        <f t="shared" si="12"/>
        <v>2046_2040</v>
      </c>
      <c r="E1990" s="1231">
        <v>0.10068801041846499</v>
      </c>
      <c r="F1990" s="1288">
        <v>1.94981863474917E-3</v>
      </c>
      <c r="G1990" s="1306">
        <v>5.7528687568499298E-2</v>
      </c>
      <c r="H1990" s="1303">
        <v>0.21602929674999199</v>
      </c>
      <c r="I1990" s="1288">
        <v>1.5880949205328999E-2</v>
      </c>
      <c r="J1990" s="1306">
        <v>0.144945007102384</v>
      </c>
      <c r="K1990" s="1303">
        <v>1.7576886484155899E-2</v>
      </c>
      <c r="L1990" s="1288">
        <v>1.0896549036963699E-3</v>
      </c>
      <c r="M1990" s="1306">
        <v>1.12146264607795E-2</v>
      </c>
      <c r="N1990" s="1303">
        <v>3.0000008598028201E-3</v>
      </c>
      <c r="O1990" s="1288">
        <v>2.0000005732018801E-3</v>
      </c>
      <c r="P1990" s="1288">
        <v>3.0000008598028201E-3</v>
      </c>
      <c r="Q1990" s="1306">
        <v>7.6833188573584002E-3</v>
      </c>
      <c r="R1990" s="1303">
        <v>3.1850009128239903E-2</v>
      </c>
      <c r="S1990" s="1288">
        <v>3.1850009128239903E-2</v>
      </c>
      <c r="T1990" s="1288">
        <v>3.1850009128239903E-2</v>
      </c>
      <c r="U1990" s="1306">
        <v>1.9250005517068101E-2</v>
      </c>
      <c r="V1990" s="1294">
        <v>1.83716352946908E-2</v>
      </c>
    </row>
    <row r="1991" spans="1:22" s="212" customFormat="1" ht="15.5" x14ac:dyDescent="0.35">
      <c r="A1991" s="198">
        <v>2046</v>
      </c>
      <c r="B1991" s="197" t="s">
        <v>5833</v>
      </c>
      <c r="C1991" s="197">
        <v>2041</v>
      </c>
      <c r="D1991" s="225" t="str">
        <f t="shared" si="12"/>
        <v>2046_2041</v>
      </c>
      <c r="E1991" s="1231">
        <v>9.8119377686176998E-2</v>
      </c>
      <c r="F1991" s="1288">
        <v>2.33179356204924E-3</v>
      </c>
      <c r="G1991" s="1306">
        <v>5.8567903138374101E-2</v>
      </c>
      <c r="H1991" s="1303">
        <v>0.205213999702931</v>
      </c>
      <c r="I1991" s="1288">
        <v>1.5192098688883699E-2</v>
      </c>
      <c r="J1991" s="1306">
        <v>0.14675321969670299</v>
      </c>
      <c r="K1991" s="1303">
        <v>1.5967498176990301E-2</v>
      </c>
      <c r="L1991" s="1288">
        <v>1.1160988011777E-3</v>
      </c>
      <c r="M1991" s="1306">
        <v>1.0697248021906599E-2</v>
      </c>
      <c r="N1991" s="1303">
        <v>3.0000008598028201E-3</v>
      </c>
      <c r="O1991" s="1288">
        <v>2.0000005732018801E-3</v>
      </c>
      <c r="P1991" s="1288">
        <v>3.0000008598028201E-3</v>
      </c>
      <c r="Q1991" s="1306">
        <v>8.1261048842491499E-3</v>
      </c>
      <c r="R1991" s="1303">
        <v>3.1850009128239903E-2</v>
      </c>
      <c r="S1991" s="1288">
        <v>3.1850009128239903E-2</v>
      </c>
      <c r="T1991" s="1288">
        <v>3.1850009128239903E-2</v>
      </c>
      <c r="U1991" s="1306">
        <v>1.9250005517068101E-2</v>
      </c>
      <c r="V1991" s="1294">
        <v>1.6689477589829999E-2</v>
      </c>
    </row>
    <row r="1992" spans="1:22" s="212" customFormat="1" ht="15.5" x14ac:dyDescent="0.35">
      <c r="A1992" s="198">
        <v>2046</v>
      </c>
      <c r="B1992" s="197" t="s">
        <v>5833</v>
      </c>
      <c r="C1992" s="197">
        <v>2042</v>
      </c>
      <c r="D1992" s="225" t="str">
        <f t="shared" si="12"/>
        <v>2046_2042</v>
      </c>
      <c r="E1992" s="1231">
        <v>9.7354064489431805E-2</v>
      </c>
      <c r="F1992" s="1288">
        <v>2.2427902794507899E-3</v>
      </c>
      <c r="G1992" s="1306">
        <v>7.5635751388403005E-2</v>
      </c>
      <c r="H1992" s="1303">
        <v>0.197770267649304</v>
      </c>
      <c r="I1992" s="1288">
        <v>1.5965514315149001E-2</v>
      </c>
      <c r="J1992" s="1306">
        <v>0.16696430012428701</v>
      </c>
      <c r="K1992" s="1303">
        <v>1.4571878566849701E-2</v>
      </c>
      <c r="L1992" s="1288">
        <v>1.1022853757913099E-3</v>
      </c>
      <c r="M1992" s="1306">
        <v>1.1909259156948101E-2</v>
      </c>
      <c r="N1992" s="1303">
        <v>3.0000008598028201E-3</v>
      </c>
      <c r="O1992" s="1288">
        <v>2.0000005732018801E-3</v>
      </c>
      <c r="P1992" s="1288">
        <v>3.0000008598028201E-3</v>
      </c>
      <c r="Q1992" s="1306">
        <v>8.1542539330640706E-3</v>
      </c>
      <c r="R1992" s="1303">
        <v>3.1850009128239903E-2</v>
      </c>
      <c r="S1992" s="1288">
        <v>3.1850009128239903E-2</v>
      </c>
      <c r="T1992" s="1288">
        <v>3.1850009128239903E-2</v>
      </c>
      <c r="U1992" s="1306">
        <v>1.9250005517068101E-2</v>
      </c>
      <c r="V1992" s="1294">
        <v>1.52307542538892E-2</v>
      </c>
    </row>
    <row r="1993" spans="1:22" s="212" customFormat="1" ht="15.5" x14ac:dyDescent="0.35">
      <c r="A1993" s="198">
        <v>2046</v>
      </c>
      <c r="B1993" s="197" t="s">
        <v>5833</v>
      </c>
      <c r="C1993" s="197">
        <v>2043</v>
      </c>
      <c r="D1993" s="225" t="str">
        <f t="shared" si="12"/>
        <v>2046_2043</v>
      </c>
      <c r="E1993" s="1231">
        <v>9.3445833274947196E-2</v>
      </c>
      <c r="F1993" s="1288">
        <v>2.4059770412903402E-3</v>
      </c>
      <c r="G1993" s="1306">
        <v>5.8710830661916499E-2</v>
      </c>
      <c r="H1993" s="1303">
        <v>0.18463392245004701</v>
      </c>
      <c r="I1993" s="1288">
        <v>1.71379963039772E-2</v>
      </c>
      <c r="J1993" s="1306">
        <v>0.13390847545590401</v>
      </c>
      <c r="K1993" s="1303">
        <v>1.26282849430033E-2</v>
      </c>
      <c r="L1993" s="1288">
        <v>1.0925837034598E-3</v>
      </c>
      <c r="M1993" s="1306">
        <v>8.7186772493844204E-3</v>
      </c>
      <c r="N1993" s="1303">
        <v>3.0000008598028201E-3</v>
      </c>
      <c r="O1993" s="1288">
        <v>2.0000005732018801E-3</v>
      </c>
      <c r="P1993" s="1288">
        <v>3.0000008598028201E-3</v>
      </c>
      <c r="Q1993" s="1306">
        <v>8.1135182202519193E-3</v>
      </c>
      <c r="R1993" s="1303">
        <v>3.1850009128239903E-2</v>
      </c>
      <c r="S1993" s="1288">
        <v>3.1850009128239903E-2</v>
      </c>
      <c r="T1993" s="1288">
        <v>3.1850009128239903E-2</v>
      </c>
      <c r="U1993" s="1306">
        <v>1.9250005517068101E-2</v>
      </c>
      <c r="V1993" s="1294">
        <v>1.31992799509414E-2</v>
      </c>
    </row>
    <row r="1994" spans="1:22" s="212" customFormat="1" ht="15.5" x14ac:dyDescent="0.35">
      <c r="A1994" s="198">
        <v>2046</v>
      </c>
      <c r="B1994" s="197" t="s">
        <v>5833</v>
      </c>
      <c r="C1994" s="197">
        <v>2044</v>
      </c>
      <c r="D1994" s="225" t="str">
        <f t="shared" si="12"/>
        <v>2046_2044</v>
      </c>
      <c r="E1994" s="1231">
        <v>9.1019116264823896E-2</v>
      </c>
      <c r="F1994" s="1288">
        <v>2.50831702818238E-3</v>
      </c>
      <c r="G1994" s="1306">
        <v>5.77877021208534E-2</v>
      </c>
      <c r="H1994" s="1303">
        <v>0.173582332433207</v>
      </c>
      <c r="I1994" s="1288">
        <v>1.9529770728249501E-2</v>
      </c>
      <c r="J1994" s="1306">
        <v>0.12578499663190801</v>
      </c>
      <c r="K1994" s="1303">
        <v>1.08424576782202E-2</v>
      </c>
      <c r="L1994" s="1288">
        <v>1.0757415723173099E-3</v>
      </c>
      <c r="M1994" s="1306">
        <v>7.5173981466982601E-3</v>
      </c>
      <c r="N1994" s="1303">
        <v>3.0000008598028201E-3</v>
      </c>
      <c r="O1994" s="1288">
        <v>2.0000005732018801E-3</v>
      </c>
      <c r="P1994" s="1288">
        <v>3.0000008598028201E-3</v>
      </c>
      <c r="Q1994" s="1306">
        <v>8.3295984317365498E-3</v>
      </c>
      <c r="R1994" s="1303">
        <v>3.1850009128239903E-2</v>
      </c>
      <c r="S1994" s="1288">
        <v>3.1850009128239903E-2</v>
      </c>
      <c r="T1994" s="1288">
        <v>3.1850009128239903E-2</v>
      </c>
      <c r="U1994" s="1306">
        <v>1.9250005517068101E-2</v>
      </c>
      <c r="V1994" s="1294">
        <v>1.1332705501736E-2</v>
      </c>
    </row>
    <row r="1995" spans="1:22" s="212" customFormat="1" ht="15.5" x14ac:dyDescent="0.35">
      <c r="A1995" s="198">
        <v>2046</v>
      </c>
      <c r="B1995" s="197" t="s">
        <v>5833</v>
      </c>
      <c r="C1995" s="197">
        <v>2045</v>
      </c>
      <c r="D1995" s="225" t="str">
        <f t="shared" si="12"/>
        <v>2046_2045</v>
      </c>
      <c r="E1995" s="1231">
        <v>8.8208604373249497E-2</v>
      </c>
      <c r="F1995" s="1288">
        <v>3.3327379628298498E-3</v>
      </c>
      <c r="G1995" s="1306">
        <v>4.9787467085420797E-2</v>
      </c>
      <c r="H1995" s="1303">
        <v>0.16168537447866799</v>
      </c>
      <c r="I1995" s="1288">
        <v>2.1374567704615498E-2</v>
      </c>
      <c r="J1995" s="1306">
        <v>0.113946190999984</v>
      </c>
      <c r="K1995" s="1303">
        <v>8.9460304351350103E-3</v>
      </c>
      <c r="L1995" s="1288">
        <v>1.1234905244532701E-3</v>
      </c>
      <c r="M1995" s="1306">
        <v>5.8053512196729702E-3</v>
      </c>
      <c r="N1995" s="1303">
        <v>3.0000008598028201E-3</v>
      </c>
      <c r="O1995" s="1288">
        <v>2.0000005732018801E-3</v>
      </c>
      <c r="P1995" s="1288">
        <v>3.0000008598028201E-3</v>
      </c>
      <c r="Q1995" s="1306">
        <v>7.8859969065633705E-3</v>
      </c>
      <c r="R1995" s="1303">
        <v>3.1850009128239903E-2</v>
      </c>
      <c r="S1995" s="1288">
        <v>3.1850009128239903E-2</v>
      </c>
      <c r="T1995" s="1288">
        <v>3.1850009128239903E-2</v>
      </c>
      <c r="U1995" s="1306">
        <v>1.9250005517068101E-2</v>
      </c>
      <c r="V1995" s="1294">
        <v>9.3505302339897001E-3</v>
      </c>
    </row>
    <row r="1996" spans="1:22" s="212" customFormat="1" ht="15.5" x14ac:dyDescent="0.35">
      <c r="A1996" s="198">
        <v>2046</v>
      </c>
      <c r="B1996" s="197" t="s">
        <v>5833</v>
      </c>
      <c r="C1996" s="197">
        <v>2046</v>
      </c>
      <c r="D1996" s="225" t="str">
        <f t="shared" si="12"/>
        <v>2046_2046</v>
      </c>
      <c r="E1996" s="1231">
        <v>8.5058788842651598E-2</v>
      </c>
      <c r="F1996" s="1288">
        <v>2.3018931614857399E-3</v>
      </c>
      <c r="G1996" s="1306">
        <v>5.3877251698647599E-2</v>
      </c>
      <c r="H1996" s="1303">
        <v>0.148928174857276</v>
      </c>
      <c r="I1996" s="1288">
        <v>2.0929007892151699E-2</v>
      </c>
      <c r="J1996" s="1306">
        <v>0.115705693835624</v>
      </c>
      <c r="K1996" s="1303">
        <v>6.94835080738647E-3</v>
      </c>
      <c r="L1996" s="1288">
        <v>1.0452726825084099E-3</v>
      </c>
      <c r="M1996" s="1306">
        <v>4.9772710932356797E-3</v>
      </c>
      <c r="N1996" s="1303">
        <v>3.0000008598028201E-3</v>
      </c>
      <c r="O1996" s="1288">
        <v>2.0000005732018801E-3</v>
      </c>
      <c r="P1996" s="1288">
        <v>3.0000008598028201E-3</v>
      </c>
      <c r="Q1996" s="1306">
        <v>8.1105458892964302E-3</v>
      </c>
      <c r="R1996" s="1303">
        <v>3.1850009128239903E-2</v>
      </c>
      <c r="S1996" s="1288">
        <v>3.1850009128239903E-2</v>
      </c>
      <c r="T1996" s="1288">
        <v>3.1850009128239903E-2</v>
      </c>
      <c r="U1996" s="1306">
        <v>1.9250005517068101E-2</v>
      </c>
      <c r="V1996" s="1294">
        <v>7.2625243980464303E-3</v>
      </c>
    </row>
    <row r="1997" spans="1:22" s="212" customFormat="1" ht="15.5" x14ac:dyDescent="0.35">
      <c r="A1997" s="198">
        <v>2046</v>
      </c>
      <c r="B1997" s="197" t="s">
        <v>5833</v>
      </c>
      <c r="C1997" s="197">
        <v>2047</v>
      </c>
      <c r="D1997" s="225" t="str">
        <f t="shared" si="12"/>
        <v>2046_2047</v>
      </c>
      <c r="E1997" s="1226">
        <v>8.5058788842651598E-2</v>
      </c>
      <c r="F1997" s="1257">
        <v>2.3018931614857399E-3</v>
      </c>
      <c r="G1997" s="1280">
        <v>5.3877251698647599E-2</v>
      </c>
      <c r="H1997" s="1271">
        <v>0.148928174857276</v>
      </c>
      <c r="I1997" s="1257">
        <v>2.0929007892151699E-2</v>
      </c>
      <c r="J1997" s="1280">
        <v>0.115705693835624</v>
      </c>
      <c r="K1997" s="1271">
        <v>6.94835080738647E-3</v>
      </c>
      <c r="L1997" s="1257">
        <v>1.0452726825084099E-3</v>
      </c>
      <c r="M1997" s="1280">
        <v>4.9772710932356797E-3</v>
      </c>
      <c r="N1997" s="1271">
        <v>3.0000008598028201E-3</v>
      </c>
      <c r="O1997" s="1257">
        <v>2.0000005732018801E-3</v>
      </c>
      <c r="P1997" s="1257">
        <v>3.0000008598028201E-3</v>
      </c>
      <c r="Q1997" s="1280">
        <v>8.1105458892964302E-3</v>
      </c>
      <c r="R1997" s="1271">
        <v>3.1850009128239903E-2</v>
      </c>
      <c r="S1997" s="1257">
        <v>3.1850009128239903E-2</v>
      </c>
      <c r="T1997" s="1257">
        <v>3.1850009128239903E-2</v>
      </c>
      <c r="U1997" s="1280">
        <v>1.9250005517068101E-2</v>
      </c>
      <c r="V1997" s="1293">
        <v>7.2625243980464303E-3</v>
      </c>
    </row>
    <row r="1998" spans="1:22" s="212" customFormat="1" ht="15.5" x14ac:dyDescent="0.35">
      <c r="A1998" s="198">
        <v>2047</v>
      </c>
      <c r="B1998" s="197" t="s">
        <v>5833</v>
      </c>
      <c r="C1998" s="197">
        <v>1971</v>
      </c>
      <c r="D1998" s="225" t="str">
        <f t="shared" si="12"/>
        <v>2047_1971</v>
      </c>
      <c r="E1998" s="1226">
        <v>0.10650179902979399</v>
      </c>
      <c r="F1998" s="1257">
        <v>2.1287024978661898E-3</v>
      </c>
      <c r="G1998" s="1280">
        <v>5.8097373928927297E-2</v>
      </c>
      <c r="H1998" s="1271">
        <v>0.24466004030772501</v>
      </c>
      <c r="I1998" s="1257">
        <v>1.6568642584989399E-2</v>
      </c>
      <c r="J1998" s="1280">
        <v>0.16776182826341601</v>
      </c>
      <c r="K1998" s="1271">
        <v>2.2584294909148799E-2</v>
      </c>
      <c r="L1998" s="1257">
        <v>1.1100550519912199E-3</v>
      </c>
      <c r="M1998" s="1280">
        <v>1.4256387374450801E-2</v>
      </c>
      <c r="N1998" s="1271">
        <v>3.0000008598028201E-3</v>
      </c>
      <c r="O1998" s="1257">
        <v>2.0000005732018801E-3</v>
      </c>
      <c r="P1998" s="1257">
        <v>3.0000008598028201E-3</v>
      </c>
      <c r="Q1998" s="1280">
        <v>3.0000008598028201E-3</v>
      </c>
      <c r="R1998" s="1271">
        <v>3.1850009128239903E-2</v>
      </c>
      <c r="S1998" s="1257">
        <v>3.1850009128239903E-2</v>
      </c>
      <c r="T1998" s="1257">
        <v>3.1850009128239903E-2</v>
      </c>
      <c r="U1998" s="1280">
        <v>1.5925004564119952E-2</v>
      </c>
      <c r="V1998" s="1293">
        <v>2.3605456508616101E-2</v>
      </c>
    </row>
    <row r="1999" spans="1:22" s="212" customFormat="1" ht="15.5" x14ac:dyDescent="0.35">
      <c r="A1999" s="198">
        <v>2047</v>
      </c>
      <c r="B1999" s="197" t="s">
        <v>5833</v>
      </c>
      <c r="C1999" s="197">
        <v>1972</v>
      </c>
      <c r="D1999" s="225" t="str">
        <f t="shared" si="12"/>
        <v>2047_1972</v>
      </c>
      <c r="E1999" s="1226">
        <v>0.10650179902979399</v>
      </c>
      <c r="F1999" s="1257">
        <v>2.1287024978661898E-3</v>
      </c>
      <c r="G1999" s="1280">
        <v>5.8097373928927297E-2</v>
      </c>
      <c r="H1999" s="1271">
        <v>0.24466004030772501</v>
      </c>
      <c r="I1999" s="1257">
        <v>1.6568642584989399E-2</v>
      </c>
      <c r="J1999" s="1280">
        <v>0.16776182826341601</v>
      </c>
      <c r="K1999" s="1271">
        <v>2.2584294909148799E-2</v>
      </c>
      <c r="L1999" s="1257">
        <v>1.1100550519912199E-3</v>
      </c>
      <c r="M1999" s="1280">
        <v>1.4256387374450801E-2</v>
      </c>
      <c r="N1999" s="1271">
        <v>3.0000008598028201E-3</v>
      </c>
      <c r="O1999" s="1257">
        <v>2.0000005732018801E-3</v>
      </c>
      <c r="P1999" s="1257">
        <v>3.0000008598028201E-3</v>
      </c>
      <c r="Q1999" s="1280">
        <v>3.0000008598028201E-3</v>
      </c>
      <c r="R1999" s="1271">
        <v>3.1850009128239903E-2</v>
      </c>
      <c r="S1999" s="1257">
        <v>3.1850009128239903E-2</v>
      </c>
      <c r="T1999" s="1257">
        <v>3.1850009128239903E-2</v>
      </c>
      <c r="U1999" s="1280">
        <v>1.5925004564119952E-2</v>
      </c>
      <c r="V1999" s="1293">
        <v>2.3605456508616101E-2</v>
      </c>
    </row>
    <row r="2000" spans="1:22" s="212" customFormat="1" ht="15.5" x14ac:dyDescent="0.35">
      <c r="A2000" s="198">
        <v>2047</v>
      </c>
      <c r="B2000" s="197" t="s">
        <v>5833</v>
      </c>
      <c r="C2000" s="197">
        <v>1973</v>
      </c>
      <c r="D2000" s="225" t="str">
        <f t="shared" si="12"/>
        <v>2047_1973</v>
      </c>
      <c r="E2000" s="1226">
        <v>0.10650179902979399</v>
      </c>
      <c r="F2000" s="1257">
        <v>2.1287024978661898E-3</v>
      </c>
      <c r="G2000" s="1280">
        <v>5.8097373928927297E-2</v>
      </c>
      <c r="H2000" s="1271">
        <v>0.24466004030772501</v>
      </c>
      <c r="I2000" s="1257">
        <v>1.6568642584989399E-2</v>
      </c>
      <c r="J2000" s="1280">
        <v>0.16776182826341601</v>
      </c>
      <c r="K2000" s="1271">
        <v>2.2584294909148799E-2</v>
      </c>
      <c r="L2000" s="1257">
        <v>1.1100550519912199E-3</v>
      </c>
      <c r="M2000" s="1280">
        <v>1.4256387374450801E-2</v>
      </c>
      <c r="N2000" s="1271">
        <v>3.0000008598028201E-3</v>
      </c>
      <c r="O2000" s="1257">
        <v>2.0000005732018801E-3</v>
      </c>
      <c r="P2000" s="1257">
        <v>3.0000008598028201E-3</v>
      </c>
      <c r="Q2000" s="1280">
        <v>3.0000008598028201E-3</v>
      </c>
      <c r="R2000" s="1271">
        <v>3.1850009128239903E-2</v>
      </c>
      <c r="S2000" s="1257">
        <v>3.1850009128239903E-2</v>
      </c>
      <c r="T2000" s="1257">
        <v>3.1850009128239903E-2</v>
      </c>
      <c r="U2000" s="1280">
        <v>1.5925004564119952E-2</v>
      </c>
      <c r="V2000" s="1293">
        <v>2.3605456508616101E-2</v>
      </c>
    </row>
    <row r="2001" spans="1:22" s="212" customFormat="1" ht="15.5" x14ac:dyDescent="0.35">
      <c r="A2001" s="198">
        <v>2047</v>
      </c>
      <c r="B2001" s="197" t="s">
        <v>5833</v>
      </c>
      <c r="C2001" s="197">
        <v>1974</v>
      </c>
      <c r="D2001" s="225" t="str">
        <f t="shared" si="12"/>
        <v>2047_1974</v>
      </c>
      <c r="E2001" s="1226">
        <v>0.10650179902979399</v>
      </c>
      <c r="F2001" s="1257">
        <v>2.1287024978661898E-3</v>
      </c>
      <c r="G2001" s="1280">
        <v>5.8097373928927297E-2</v>
      </c>
      <c r="H2001" s="1271">
        <v>0.24466004030772501</v>
      </c>
      <c r="I2001" s="1257">
        <v>1.6568642584989399E-2</v>
      </c>
      <c r="J2001" s="1280">
        <v>0.16776182826341601</v>
      </c>
      <c r="K2001" s="1271">
        <v>2.2584294909148799E-2</v>
      </c>
      <c r="L2001" s="1257">
        <v>1.1100550519912199E-3</v>
      </c>
      <c r="M2001" s="1280">
        <v>1.4256387374450801E-2</v>
      </c>
      <c r="N2001" s="1271">
        <v>3.0000008598028201E-3</v>
      </c>
      <c r="O2001" s="1257">
        <v>2.0000005732018801E-3</v>
      </c>
      <c r="P2001" s="1257">
        <v>3.0000008598028201E-3</v>
      </c>
      <c r="Q2001" s="1280">
        <v>3.0000008598028201E-3</v>
      </c>
      <c r="R2001" s="1271">
        <v>3.1850009128239903E-2</v>
      </c>
      <c r="S2001" s="1257">
        <v>3.1850009128239903E-2</v>
      </c>
      <c r="T2001" s="1257">
        <v>3.1850009128239903E-2</v>
      </c>
      <c r="U2001" s="1280">
        <v>1.5925004564119952E-2</v>
      </c>
      <c r="V2001" s="1293">
        <v>2.3605456508616101E-2</v>
      </c>
    </row>
    <row r="2002" spans="1:22" s="212" customFormat="1" ht="15.5" x14ac:dyDescent="0.35">
      <c r="A2002" s="240">
        <v>2047</v>
      </c>
      <c r="B2002" s="241" t="s">
        <v>5833</v>
      </c>
      <c r="C2002" s="197">
        <v>1975</v>
      </c>
      <c r="D2002" s="225" t="str">
        <f t="shared" si="12"/>
        <v>2047_1975</v>
      </c>
      <c r="E2002" s="1226">
        <v>0.10650179902979399</v>
      </c>
      <c r="F2002" s="1257">
        <v>2.1287024978661898E-3</v>
      </c>
      <c r="G2002" s="1280">
        <v>5.8097373928927297E-2</v>
      </c>
      <c r="H2002" s="1271">
        <v>0.24466004030772501</v>
      </c>
      <c r="I2002" s="1257">
        <v>1.6568642584989399E-2</v>
      </c>
      <c r="J2002" s="1280">
        <v>0.16776182826341601</v>
      </c>
      <c r="K2002" s="1271">
        <v>2.2584294909148799E-2</v>
      </c>
      <c r="L2002" s="1257">
        <v>1.1100550519912199E-3</v>
      </c>
      <c r="M2002" s="1280">
        <v>1.4256387374450801E-2</v>
      </c>
      <c r="N2002" s="1271">
        <v>3.0000008598028201E-3</v>
      </c>
      <c r="O2002" s="1257">
        <v>2.0000005732018801E-3</v>
      </c>
      <c r="P2002" s="1257">
        <v>3.0000008598028201E-3</v>
      </c>
      <c r="Q2002" s="1280">
        <v>3.0000008598028201E-3</v>
      </c>
      <c r="R2002" s="1271">
        <v>3.1850009128239903E-2</v>
      </c>
      <c r="S2002" s="1257">
        <v>3.1850009128239903E-2</v>
      </c>
      <c r="T2002" s="1257">
        <v>3.1850009128239903E-2</v>
      </c>
      <c r="U2002" s="1280">
        <v>1.5925004564119952E-2</v>
      </c>
      <c r="V2002" s="1293">
        <v>2.3605456508616101E-2</v>
      </c>
    </row>
    <row r="2003" spans="1:22" s="212" customFormat="1" ht="15.5" x14ac:dyDescent="0.35">
      <c r="A2003" s="240">
        <v>2047</v>
      </c>
      <c r="B2003" s="241" t="s">
        <v>5833</v>
      </c>
      <c r="C2003" s="197">
        <v>1976</v>
      </c>
      <c r="D2003" s="225" t="str">
        <f t="shared" si="12"/>
        <v>2047_1976</v>
      </c>
      <c r="E2003" s="1226">
        <v>0.10650179902979399</v>
      </c>
      <c r="F2003" s="1257">
        <v>2.1287024978661898E-3</v>
      </c>
      <c r="G2003" s="1280">
        <v>5.8097373928927297E-2</v>
      </c>
      <c r="H2003" s="1271">
        <v>0.24466004030772501</v>
      </c>
      <c r="I2003" s="1257">
        <v>1.6568642584989399E-2</v>
      </c>
      <c r="J2003" s="1280">
        <v>0.16776182826341601</v>
      </c>
      <c r="K2003" s="1271">
        <v>2.2584294909148799E-2</v>
      </c>
      <c r="L2003" s="1257">
        <v>1.1100550519912199E-3</v>
      </c>
      <c r="M2003" s="1280">
        <v>1.4256387374450801E-2</v>
      </c>
      <c r="N2003" s="1271">
        <v>3.0000008598028201E-3</v>
      </c>
      <c r="O2003" s="1257">
        <v>2.0000005732018801E-3</v>
      </c>
      <c r="P2003" s="1257">
        <v>3.0000008598028201E-3</v>
      </c>
      <c r="Q2003" s="1280">
        <v>3.0000008598028201E-3</v>
      </c>
      <c r="R2003" s="1271">
        <v>3.1850009128239903E-2</v>
      </c>
      <c r="S2003" s="1257">
        <v>3.1850009128239903E-2</v>
      </c>
      <c r="T2003" s="1257">
        <v>3.1850009128239903E-2</v>
      </c>
      <c r="U2003" s="1280">
        <v>1.5925004564119952E-2</v>
      </c>
      <c r="V2003" s="1293">
        <v>2.3605456508616101E-2</v>
      </c>
    </row>
    <row r="2004" spans="1:22" s="212" customFormat="1" ht="15.5" x14ac:dyDescent="0.35">
      <c r="A2004" s="240">
        <v>2047</v>
      </c>
      <c r="B2004" s="241" t="s">
        <v>5833</v>
      </c>
      <c r="C2004" s="197">
        <v>1977</v>
      </c>
      <c r="D2004" s="225" t="str">
        <f t="shared" si="12"/>
        <v>2047_1977</v>
      </c>
      <c r="E2004" s="1226">
        <v>0.10650179902979399</v>
      </c>
      <c r="F2004" s="1257">
        <v>2.1287024978661898E-3</v>
      </c>
      <c r="G2004" s="1280">
        <v>5.8097373928927297E-2</v>
      </c>
      <c r="H2004" s="1271">
        <v>0.24466004030772501</v>
      </c>
      <c r="I2004" s="1257">
        <v>1.6568642584989399E-2</v>
      </c>
      <c r="J2004" s="1280">
        <v>0.16776182826341601</v>
      </c>
      <c r="K2004" s="1271">
        <v>2.2584294909148799E-2</v>
      </c>
      <c r="L2004" s="1257">
        <v>1.1100550519912199E-3</v>
      </c>
      <c r="M2004" s="1280">
        <v>1.4256387374450801E-2</v>
      </c>
      <c r="N2004" s="1271">
        <v>3.0000008598028201E-3</v>
      </c>
      <c r="O2004" s="1257">
        <v>2.0000005732018801E-3</v>
      </c>
      <c r="P2004" s="1257">
        <v>3.0000008598028201E-3</v>
      </c>
      <c r="Q2004" s="1280">
        <v>3.0000008598028201E-3</v>
      </c>
      <c r="R2004" s="1271">
        <v>3.1850009128239903E-2</v>
      </c>
      <c r="S2004" s="1257">
        <v>3.1850009128239903E-2</v>
      </c>
      <c r="T2004" s="1257">
        <v>3.1850009128239903E-2</v>
      </c>
      <c r="U2004" s="1280">
        <v>1.5925004564119952E-2</v>
      </c>
      <c r="V2004" s="1293">
        <v>2.3605456508616101E-2</v>
      </c>
    </row>
    <row r="2005" spans="1:22" s="212" customFormat="1" ht="15.5" x14ac:dyDescent="0.35">
      <c r="A2005" s="240">
        <v>2047</v>
      </c>
      <c r="B2005" s="241" t="s">
        <v>5833</v>
      </c>
      <c r="C2005" s="197">
        <v>1978</v>
      </c>
      <c r="D2005" s="225" t="str">
        <f t="shared" si="12"/>
        <v>2047_1978</v>
      </c>
      <c r="E2005" s="1226">
        <v>0.10650179902979399</v>
      </c>
      <c r="F2005" s="1257">
        <v>2.1287024978661898E-3</v>
      </c>
      <c r="G2005" s="1280">
        <v>5.8097373928927297E-2</v>
      </c>
      <c r="H2005" s="1271">
        <v>0.24466004030772501</v>
      </c>
      <c r="I2005" s="1257">
        <v>1.6568642584989399E-2</v>
      </c>
      <c r="J2005" s="1280">
        <v>0.16776182826341601</v>
      </c>
      <c r="K2005" s="1271">
        <v>2.2584294909148799E-2</v>
      </c>
      <c r="L2005" s="1257">
        <v>1.1100550519912199E-3</v>
      </c>
      <c r="M2005" s="1280">
        <v>1.4256387374450801E-2</v>
      </c>
      <c r="N2005" s="1271">
        <v>3.0000008598028201E-3</v>
      </c>
      <c r="O2005" s="1257">
        <v>2.0000005732018801E-3</v>
      </c>
      <c r="P2005" s="1257">
        <v>3.0000008598028201E-3</v>
      </c>
      <c r="Q2005" s="1280">
        <v>3.0000008598028201E-3</v>
      </c>
      <c r="R2005" s="1271">
        <v>3.1850009128239903E-2</v>
      </c>
      <c r="S2005" s="1257">
        <v>3.1850009128239903E-2</v>
      </c>
      <c r="T2005" s="1257">
        <v>3.1850009128239903E-2</v>
      </c>
      <c r="U2005" s="1280">
        <v>1.5925004564119952E-2</v>
      </c>
      <c r="V2005" s="1293">
        <v>2.3605456508616101E-2</v>
      </c>
    </row>
    <row r="2006" spans="1:22" s="212" customFormat="1" ht="15.5" x14ac:dyDescent="0.35">
      <c r="A2006" s="240">
        <v>2047</v>
      </c>
      <c r="B2006" s="241" t="s">
        <v>5833</v>
      </c>
      <c r="C2006" s="197">
        <v>1979</v>
      </c>
      <c r="D2006" s="225" t="str">
        <f t="shared" si="12"/>
        <v>2047_1979</v>
      </c>
      <c r="E2006" s="1226">
        <v>0.10650179902979399</v>
      </c>
      <c r="F2006" s="1257">
        <v>2.1287024978661898E-3</v>
      </c>
      <c r="G2006" s="1280">
        <v>5.8097373928927297E-2</v>
      </c>
      <c r="H2006" s="1271">
        <v>0.24466004030772501</v>
      </c>
      <c r="I2006" s="1257">
        <v>1.6568642584989399E-2</v>
      </c>
      <c r="J2006" s="1280">
        <v>0.16776182826341601</v>
      </c>
      <c r="K2006" s="1271">
        <v>2.2584294909148799E-2</v>
      </c>
      <c r="L2006" s="1257">
        <v>1.1100550519912199E-3</v>
      </c>
      <c r="M2006" s="1280">
        <v>1.4256387374450801E-2</v>
      </c>
      <c r="N2006" s="1271">
        <v>3.0000008598028201E-3</v>
      </c>
      <c r="O2006" s="1257">
        <v>2.0000005732018801E-3</v>
      </c>
      <c r="P2006" s="1257">
        <v>3.0000008598028201E-3</v>
      </c>
      <c r="Q2006" s="1280">
        <v>3.0000008598028201E-3</v>
      </c>
      <c r="R2006" s="1271">
        <v>3.1850009128239903E-2</v>
      </c>
      <c r="S2006" s="1257">
        <v>3.1850009128239903E-2</v>
      </c>
      <c r="T2006" s="1257">
        <v>3.1850009128239903E-2</v>
      </c>
      <c r="U2006" s="1280">
        <v>1.5925004564119952E-2</v>
      </c>
      <c r="V2006" s="1293">
        <v>2.3605456508616101E-2</v>
      </c>
    </row>
    <row r="2007" spans="1:22" s="212" customFormat="1" ht="15.5" x14ac:dyDescent="0.35">
      <c r="A2007" s="240">
        <v>2047</v>
      </c>
      <c r="B2007" s="241" t="s">
        <v>5833</v>
      </c>
      <c r="C2007" s="197">
        <v>1980</v>
      </c>
      <c r="D2007" s="225" t="str">
        <f t="shared" si="12"/>
        <v>2047_1980</v>
      </c>
      <c r="E2007" s="1226">
        <v>0.10650179902979399</v>
      </c>
      <c r="F2007" s="1257">
        <v>2.1287024978661898E-3</v>
      </c>
      <c r="G2007" s="1280">
        <v>5.8097373928927297E-2</v>
      </c>
      <c r="H2007" s="1271">
        <v>0.24466004030772501</v>
      </c>
      <c r="I2007" s="1257">
        <v>1.6568642584989399E-2</v>
      </c>
      <c r="J2007" s="1280">
        <v>0.16776182826341601</v>
      </c>
      <c r="K2007" s="1271">
        <v>2.2584294909148799E-2</v>
      </c>
      <c r="L2007" s="1257">
        <v>1.1100550519912199E-3</v>
      </c>
      <c r="M2007" s="1280">
        <v>1.4256387374450801E-2</v>
      </c>
      <c r="N2007" s="1271">
        <v>3.0000008598028201E-3</v>
      </c>
      <c r="O2007" s="1257">
        <v>2.0000005732018801E-3</v>
      </c>
      <c r="P2007" s="1257">
        <v>3.0000008598028201E-3</v>
      </c>
      <c r="Q2007" s="1280">
        <v>3.0000008598028201E-3</v>
      </c>
      <c r="R2007" s="1271">
        <v>3.1850009128239903E-2</v>
      </c>
      <c r="S2007" s="1257">
        <v>3.1850009128239903E-2</v>
      </c>
      <c r="T2007" s="1257">
        <v>3.1850009128239903E-2</v>
      </c>
      <c r="U2007" s="1280">
        <v>1.5925004564119952E-2</v>
      </c>
      <c r="V2007" s="1293">
        <v>2.3605456508616101E-2</v>
      </c>
    </row>
    <row r="2008" spans="1:22" s="212" customFormat="1" ht="15.5" x14ac:dyDescent="0.35">
      <c r="A2008" s="240">
        <v>2047</v>
      </c>
      <c r="B2008" s="241" t="s">
        <v>5833</v>
      </c>
      <c r="C2008" s="197">
        <v>1981</v>
      </c>
      <c r="D2008" s="225" t="str">
        <f t="shared" si="12"/>
        <v>2047_1981</v>
      </c>
      <c r="E2008" s="1226">
        <v>0.10650179902979399</v>
      </c>
      <c r="F2008" s="1257">
        <v>2.1287024978661898E-3</v>
      </c>
      <c r="G2008" s="1280">
        <v>5.8097373928927297E-2</v>
      </c>
      <c r="H2008" s="1271">
        <v>0.24466004030772501</v>
      </c>
      <c r="I2008" s="1257">
        <v>1.6568642584989399E-2</v>
      </c>
      <c r="J2008" s="1280">
        <v>0.16776182826341601</v>
      </c>
      <c r="K2008" s="1271">
        <v>2.2584294909148799E-2</v>
      </c>
      <c r="L2008" s="1257">
        <v>1.1100550519912199E-3</v>
      </c>
      <c r="M2008" s="1280">
        <v>1.4256387374450801E-2</v>
      </c>
      <c r="N2008" s="1271">
        <v>3.0000008598028201E-3</v>
      </c>
      <c r="O2008" s="1257">
        <v>2.0000005732018801E-3</v>
      </c>
      <c r="P2008" s="1257">
        <v>3.0000008598028201E-3</v>
      </c>
      <c r="Q2008" s="1280">
        <v>3.0000008598028201E-3</v>
      </c>
      <c r="R2008" s="1271">
        <v>3.1850009128239903E-2</v>
      </c>
      <c r="S2008" s="1257">
        <v>3.1850009128239903E-2</v>
      </c>
      <c r="T2008" s="1257">
        <v>3.1850009128239903E-2</v>
      </c>
      <c r="U2008" s="1280">
        <v>1.5925004564119952E-2</v>
      </c>
      <c r="V2008" s="1293">
        <v>2.3605456508616101E-2</v>
      </c>
    </row>
    <row r="2009" spans="1:22" s="212" customFormat="1" ht="15.5" x14ac:dyDescent="0.35">
      <c r="A2009" s="240">
        <v>2047</v>
      </c>
      <c r="B2009" s="241" t="s">
        <v>5833</v>
      </c>
      <c r="C2009" s="197">
        <v>1982</v>
      </c>
      <c r="D2009" s="225" t="str">
        <f t="shared" si="12"/>
        <v>2047_1982</v>
      </c>
      <c r="E2009" s="1226">
        <v>0.10650179902979399</v>
      </c>
      <c r="F2009" s="1257">
        <v>2.1287024978661898E-3</v>
      </c>
      <c r="G2009" s="1280">
        <v>5.8097373928927297E-2</v>
      </c>
      <c r="H2009" s="1271">
        <v>0.24466004030772501</v>
      </c>
      <c r="I2009" s="1257">
        <v>1.6568642584989399E-2</v>
      </c>
      <c r="J2009" s="1280">
        <v>0.16776182826341601</v>
      </c>
      <c r="K2009" s="1271">
        <v>2.2584294909148799E-2</v>
      </c>
      <c r="L2009" s="1257">
        <v>1.1100550519912199E-3</v>
      </c>
      <c r="M2009" s="1280">
        <v>1.4256387374450801E-2</v>
      </c>
      <c r="N2009" s="1271">
        <v>3.0000008598028201E-3</v>
      </c>
      <c r="O2009" s="1257">
        <v>2.0000005732018801E-3</v>
      </c>
      <c r="P2009" s="1257">
        <v>3.0000008598028201E-3</v>
      </c>
      <c r="Q2009" s="1280">
        <v>3.0000008598028201E-3</v>
      </c>
      <c r="R2009" s="1271">
        <v>3.1850009128239903E-2</v>
      </c>
      <c r="S2009" s="1257">
        <v>3.1850009128239903E-2</v>
      </c>
      <c r="T2009" s="1257">
        <v>3.1850009128239903E-2</v>
      </c>
      <c r="U2009" s="1280">
        <v>1.5925004564119952E-2</v>
      </c>
      <c r="V2009" s="1293">
        <v>2.3605456508616101E-2</v>
      </c>
    </row>
    <row r="2010" spans="1:22" s="212" customFormat="1" ht="15.5" x14ac:dyDescent="0.35">
      <c r="A2010" s="240">
        <v>2047</v>
      </c>
      <c r="B2010" s="241" t="s">
        <v>5833</v>
      </c>
      <c r="C2010" s="197">
        <v>1983</v>
      </c>
      <c r="D2010" s="225" t="str">
        <f t="shared" si="12"/>
        <v>2047_1983</v>
      </c>
      <c r="E2010" s="1226">
        <v>0.10650179902979399</v>
      </c>
      <c r="F2010" s="1257">
        <v>2.1287024978661898E-3</v>
      </c>
      <c r="G2010" s="1280">
        <v>5.8097373928927297E-2</v>
      </c>
      <c r="H2010" s="1271">
        <v>0.24466004030772501</v>
      </c>
      <c r="I2010" s="1257">
        <v>1.6568642584989399E-2</v>
      </c>
      <c r="J2010" s="1280">
        <v>0.16776182826341601</v>
      </c>
      <c r="K2010" s="1271">
        <v>2.2584294909148799E-2</v>
      </c>
      <c r="L2010" s="1257">
        <v>1.1100550519912199E-3</v>
      </c>
      <c r="M2010" s="1280">
        <v>1.4256387374450801E-2</v>
      </c>
      <c r="N2010" s="1271">
        <v>3.0000008598028201E-3</v>
      </c>
      <c r="O2010" s="1257">
        <v>2.0000005732018801E-3</v>
      </c>
      <c r="P2010" s="1257">
        <v>3.0000008598028201E-3</v>
      </c>
      <c r="Q2010" s="1280">
        <v>3.0000008598028201E-3</v>
      </c>
      <c r="R2010" s="1271">
        <v>3.1850009128239903E-2</v>
      </c>
      <c r="S2010" s="1257">
        <v>3.1850009128239903E-2</v>
      </c>
      <c r="T2010" s="1257">
        <v>3.1850009128239903E-2</v>
      </c>
      <c r="U2010" s="1280">
        <v>1.5925004564119952E-2</v>
      </c>
      <c r="V2010" s="1293">
        <v>2.3605456508616101E-2</v>
      </c>
    </row>
    <row r="2011" spans="1:22" s="212" customFormat="1" ht="15.5" x14ac:dyDescent="0.35">
      <c r="A2011" s="240">
        <v>2047</v>
      </c>
      <c r="B2011" s="241" t="s">
        <v>5833</v>
      </c>
      <c r="C2011" s="197">
        <v>1984</v>
      </c>
      <c r="D2011" s="225" t="str">
        <f t="shared" si="12"/>
        <v>2047_1984</v>
      </c>
      <c r="E2011" s="1226">
        <v>0.10650179902979399</v>
      </c>
      <c r="F2011" s="1257">
        <v>2.1287024978661898E-3</v>
      </c>
      <c r="G2011" s="1280">
        <v>5.8097373928927297E-2</v>
      </c>
      <c r="H2011" s="1271">
        <v>0.24466004030772501</v>
      </c>
      <c r="I2011" s="1257">
        <v>1.6568642584989399E-2</v>
      </c>
      <c r="J2011" s="1280">
        <v>0.16776182826341601</v>
      </c>
      <c r="K2011" s="1271">
        <v>2.2584294909148799E-2</v>
      </c>
      <c r="L2011" s="1257">
        <v>1.1100550519912199E-3</v>
      </c>
      <c r="M2011" s="1280">
        <v>1.4256387374450801E-2</v>
      </c>
      <c r="N2011" s="1271">
        <v>3.0000008598028201E-3</v>
      </c>
      <c r="O2011" s="1257">
        <v>2.0000005732018801E-3</v>
      </c>
      <c r="P2011" s="1257">
        <v>3.0000008598028201E-3</v>
      </c>
      <c r="Q2011" s="1280">
        <v>3.0000008598028201E-3</v>
      </c>
      <c r="R2011" s="1271">
        <v>3.1850009128239903E-2</v>
      </c>
      <c r="S2011" s="1257">
        <v>3.1850009128239903E-2</v>
      </c>
      <c r="T2011" s="1257">
        <v>3.1850009128239903E-2</v>
      </c>
      <c r="U2011" s="1280">
        <v>1.5925004564119952E-2</v>
      </c>
      <c r="V2011" s="1293">
        <v>2.3605456508616101E-2</v>
      </c>
    </row>
    <row r="2012" spans="1:22" s="212" customFormat="1" ht="15.5" x14ac:dyDescent="0.35">
      <c r="A2012" s="240">
        <v>2047</v>
      </c>
      <c r="B2012" s="241" t="s">
        <v>5833</v>
      </c>
      <c r="C2012" s="197">
        <v>1985</v>
      </c>
      <c r="D2012" s="225" t="str">
        <f t="shared" si="12"/>
        <v>2047_1985</v>
      </c>
      <c r="E2012" s="1226">
        <v>0.10650179902979399</v>
      </c>
      <c r="F2012" s="1257">
        <v>2.1287024978661898E-3</v>
      </c>
      <c r="G2012" s="1280">
        <v>5.8097373928927297E-2</v>
      </c>
      <c r="H2012" s="1271">
        <v>0.24466004030772501</v>
      </c>
      <c r="I2012" s="1257">
        <v>1.6568642584989399E-2</v>
      </c>
      <c r="J2012" s="1280">
        <v>0.16776182826341601</v>
      </c>
      <c r="K2012" s="1271">
        <v>2.2584294909148799E-2</v>
      </c>
      <c r="L2012" s="1257">
        <v>1.1100550519912199E-3</v>
      </c>
      <c r="M2012" s="1280">
        <v>1.4256387374450801E-2</v>
      </c>
      <c r="N2012" s="1271">
        <v>3.0000008598028201E-3</v>
      </c>
      <c r="O2012" s="1257">
        <v>2.0000005732018801E-3</v>
      </c>
      <c r="P2012" s="1257">
        <v>3.0000008598028201E-3</v>
      </c>
      <c r="Q2012" s="1280">
        <v>3.0000008598028201E-3</v>
      </c>
      <c r="R2012" s="1271">
        <v>3.1850009128239903E-2</v>
      </c>
      <c r="S2012" s="1257">
        <v>3.1850009128239903E-2</v>
      </c>
      <c r="T2012" s="1257">
        <v>3.1850009128239903E-2</v>
      </c>
      <c r="U2012" s="1280">
        <v>1.5925004564119952E-2</v>
      </c>
      <c r="V2012" s="1293">
        <v>2.3605456508616101E-2</v>
      </c>
    </row>
    <row r="2013" spans="1:22" s="212" customFormat="1" ht="15.5" x14ac:dyDescent="0.35">
      <c r="A2013" s="240">
        <v>2047</v>
      </c>
      <c r="B2013" s="241" t="s">
        <v>5833</v>
      </c>
      <c r="C2013" s="197">
        <v>1986</v>
      </c>
      <c r="D2013" s="225" t="str">
        <f t="shared" si="12"/>
        <v>2047_1986</v>
      </c>
      <c r="E2013" s="1226">
        <v>0.10650179902979399</v>
      </c>
      <c r="F2013" s="1257">
        <v>2.1287024978661898E-3</v>
      </c>
      <c r="G2013" s="1280">
        <v>5.8097373928927297E-2</v>
      </c>
      <c r="H2013" s="1271">
        <v>0.24466004030772501</v>
      </c>
      <c r="I2013" s="1257">
        <v>1.6568642584989399E-2</v>
      </c>
      <c r="J2013" s="1280">
        <v>0.16776182826341601</v>
      </c>
      <c r="K2013" s="1271">
        <v>2.2584294909148799E-2</v>
      </c>
      <c r="L2013" s="1257">
        <v>1.1100550519912199E-3</v>
      </c>
      <c r="M2013" s="1280">
        <v>1.4256387374450801E-2</v>
      </c>
      <c r="N2013" s="1271">
        <v>3.0000008598028201E-3</v>
      </c>
      <c r="O2013" s="1257">
        <v>2.0000005732018801E-3</v>
      </c>
      <c r="P2013" s="1257">
        <v>3.0000008598028201E-3</v>
      </c>
      <c r="Q2013" s="1280">
        <v>3.0000008598028201E-3</v>
      </c>
      <c r="R2013" s="1271">
        <v>3.1850009128239903E-2</v>
      </c>
      <c r="S2013" s="1257">
        <v>3.1850009128239903E-2</v>
      </c>
      <c r="T2013" s="1257">
        <v>3.1850009128239903E-2</v>
      </c>
      <c r="U2013" s="1280">
        <v>1.5925004564119952E-2</v>
      </c>
      <c r="V2013" s="1293">
        <v>2.3605456508616101E-2</v>
      </c>
    </row>
    <row r="2014" spans="1:22" s="212" customFormat="1" ht="15.5" x14ac:dyDescent="0.35">
      <c r="A2014" s="240">
        <v>2047</v>
      </c>
      <c r="B2014" s="241" t="s">
        <v>5833</v>
      </c>
      <c r="C2014" s="197">
        <v>1987</v>
      </c>
      <c r="D2014" s="225" t="str">
        <f t="shared" si="12"/>
        <v>2047_1987</v>
      </c>
      <c r="E2014" s="1226">
        <v>0.10650179902979399</v>
      </c>
      <c r="F2014" s="1257">
        <v>2.1287024978661898E-3</v>
      </c>
      <c r="G2014" s="1280">
        <v>5.8097373928927297E-2</v>
      </c>
      <c r="H2014" s="1271">
        <v>0.24466004030772501</v>
      </c>
      <c r="I2014" s="1257">
        <v>1.6568642584989399E-2</v>
      </c>
      <c r="J2014" s="1280">
        <v>0.16776182826341601</v>
      </c>
      <c r="K2014" s="1271">
        <v>2.2584294909148799E-2</v>
      </c>
      <c r="L2014" s="1257">
        <v>1.1100550519912199E-3</v>
      </c>
      <c r="M2014" s="1280">
        <v>1.4256387374450801E-2</v>
      </c>
      <c r="N2014" s="1271">
        <v>3.0000008598028201E-3</v>
      </c>
      <c r="O2014" s="1257">
        <v>2.0000005732018801E-3</v>
      </c>
      <c r="P2014" s="1257">
        <v>3.0000008598028201E-3</v>
      </c>
      <c r="Q2014" s="1280">
        <v>3.0000008598028201E-3</v>
      </c>
      <c r="R2014" s="1271">
        <v>3.1850009128239903E-2</v>
      </c>
      <c r="S2014" s="1257">
        <v>3.1850009128239903E-2</v>
      </c>
      <c r="T2014" s="1257">
        <v>3.1850009128239903E-2</v>
      </c>
      <c r="U2014" s="1280">
        <v>1.5925004564119952E-2</v>
      </c>
      <c r="V2014" s="1293">
        <v>2.3605456508616101E-2</v>
      </c>
    </row>
    <row r="2015" spans="1:22" s="212" customFormat="1" ht="15.5" x14ac:dyDescent="0.35">
      <c r="A2015" s="240">
        <v>2047</v>
      </c>
      <c r="B2015" s="241" t="s">
        <v>5833</v>
      </c>
      <c r="C2015" s="197">
        <v>1988</v>
      </c>
      <c r="D2015" s="225" t="str">
        <f t="shared" si="12"/>
        <v>2047_1988</v>
      </c>
      <c r="E2015" s="1226">
        <v>0.10650179902979399</v>
      </c>
      <c r="F2015" s="1257">
        <v>2.1287024978661898E-3</v>
      </c>
      <c r="G2015" s="1280">
        <v>5.8097373928927297E-2</v>
      </c>
      <c r="H2015" s="1271">
        <v>0.24466004030772501</v>
      </c>
      <c r="I2015" s="1257">
        <v>1.6568642584989399E-2</v>
      </c>
      <c r="J2015" s="1280">
        <v>0.16776182826341601</v>
      </c>
      <c r="K2015" s="1271">
        <v>2.2584294909148799E-2</v>
      </c>
      <c r="L2015" s="1257">
        <v>1.1100550519912199E-3</v>
      </c>
      <c r="M2015" s="1280">
        <v>1.4256387374450801E-2</v>
      </c>
      <c r="N2015" s="1271">
        <v>3.0000008598028201E-3</v>
      </c>
      <c r="O2015" s="1257">
        <v>2.0000005732018801E-3</v>
      </c>
      <c r="P2015" s="1257">
        <v>3.0000008598028201E-3</v>
      </c>
      <c r="Q2015" s="1280">
        <v>3.0000008598028201E-3</v>
      </c>
      <c r="R2015" s="1271">
        <v>3.1850009128239903E-2</v>
      </c>
      <c r="S2015" s="1257">
        <v>3.1850009128239903E-2</v>
      </c>
      <c r="T2015" s="1257">
        <v>3.1850009128239903E-2</v>
      </c>
      <c r="U2015" s="1280">
        <v>1.5925004564119952E-2</v>
      </c>
      <c r="V2015" s="1293">
        <v>2.3605456508616101E-2</v>
      </c>
    </row>
    <row r="2016" spans="1:22" s="212" customFormat="1" ht="15.5" x14ac:dyDescent="0.35">
      <c r="A2016" s="240">
        <v>2047</v>
      </c>
      <c r="B2016" s="241" t="s">
        <v>5833</v>
      </c>
      <c r="C2016" s="197">
        <v>1989</v>
      </c>
      <c r="D2016" s="225" t="str">
        <f t="shared" si="12"/>
        <v>2047_1989</v>
      </c>
      <c r="E2016" s="1226">
        <v>0.10650179902979399</v>
      </c>
      <c r="F2016" s="1257">
        <v>2.1287024978661898E-3</v>
      </c>
      <c r="G2016" s="1280">
        <v>5.8097373928927297E-2</v>
      </c>
      <c r="H2016" s="1271">
        <v>0.24466004030772501</v>
      </c>
      <c r="I2016" s="1257">
        <v>1.6568642584989399E-2</v>
      </c>
      <c r="J2016" s="1280">
        <v>0.16776182826341601</v>
      </c>
      <c r="K2016" s="1271">
        <v>2.2584294909148799E-2</v>
      </c>
      <c r="L2016" s="1257">
        <v>1.1100550519912199E-3</v>
      </c>
      <c r="M2016" s="1280">
        <v>1.4256387374450801E-2</v>
      </c>
      <c r="N2016" s="1271">
        <v>3.0000008598028201E-3</v>
      </c>
      <c r="O2016" s="1257">
        <v>2.0000005732018801E-3</v>
      </c>
      <c r="P2016" s="1257">
        <v>3.0000008598028201E-3</v>
      </c>
      <c r="Q2016" s="1280">
        <v>3.0000008598028201E-3</v>
      </c>
      <c r="R2016" s="1271">
        <v>3.1850009128239903E-2</v>
      </c>
      <c r="S2016" s="1257">
        <v>3.1850009128239903E-2</v>
      </c>
      <c r="T2016" s="1257">
        <v>3.1850009128239903E-2</v>
      </c>
      <c r="U2016" s="1280">
        <v>1.5925004564119952E-2</v>
      </c>
      <c r="V2016" s="1293">
        <v>2.3605456508616101E-2</v>
      </c>
    </row>
    <row r="2017" spans="1:22" s="212" customFormat="1" ht="15.5" x14ac:dyDescent="0.35">
      <c r="A2017" s="240">
        <v>2047</v>
      </c>
      <c r="B2017" s="241" t="s">
        <v>5833</v>
      </c>
      <c r="C2017" s="197">
        <v>1990</v>
      </c>
      <c r="D2017" s="225" t="str">
        <f t="shared" si="12"/>
        <v>2047_1990</v>
      </c>
      <c r="E2017" s="1226">
        <v>0.10650179902979399</v>
      </c>
      <c r="F2017" s="1257">
        <v>2.1287024978661898E-3</v>
      </c>
      <c r="G2017" s="1280">
        <v>5.8097373928927297E-2</v>
      </c>
      <c r="H2017" s="1271">
        <v>0.24466004030772501</v>
      </c>
      <c r="I2017" s="1257">
        <v>1.6568642584989399E-2</v>
      </c>
      <c r="J2017" s="1280">
        <v>0.16776182826341601</v>
      </c>
      <c r="K2017" s="1271">
        <v>2.2584294909148799E-2</v>
      </c>
      <c r="L2017" s="1257">
        <v>1.1100550519912199E-3</v>
      </c>
      <c r="M2017" s="1280">
        <v>1.4256387374450801E-2</v>
      </c>
      <c r="N2017" s="1271">
        <v>3.0000008598028201E-3</v>
      </c>
      <c r="O2017" s="1257">
        <v>2.0000005732018801E-3</v>
      </c>
      <c r="P2017" s="1257">
        <v>3.0000008598028201E-3</v>
      </c>
      <c r="Q2017" s="1280">
        <v>3.0000008598028201E-3</v>
      </c>
      <c r="R2017" s="1271">
        <v>3.1850009128239903E-2</v>
      </c>
      <c r="S2017" s="1257">
        <v>3.1850009128239903E-2</v>
      </c>
      <c r="T2017" s="1257">
        <v>3.1850009128239903E-2</v>
      </c>
      <c r="U2017" s="1280">
        <v>1.5925004564119952E-2</v>
      </c>
      <c r="V2017" s="1293">
        <v>2.3605456508616101E-2</v>
      </c>
    </row>
    <row r="2018" spans="1:22" s="212" customFormat="1" ht="15.5" x14ac:dyDescent="0.35">
      <c r="A2018" s="240">
        <v>2047</v>
      </c>
      <c r="B2018" s="241" t="s">
        <v>5833</v>
      </c>
      <c r="C2018" s="197">
        <v>1991</v>
      </c>
      <c r="D2018" s="225" t="str">
        <f t="shared" si="12"/>
        <v>2047_1991</v>
      </c>
      <c r="E2018" s="1226">
        <v>0.10650179902979399</v>
      </c>
      <c r="F2018" s="1257">
        <v>2.1287024978661898E-3</v>
      </c>
      <c r="G2018" s="1280">
        <v>5.8097373928927297E-2</v>
      </c>
      <c r="H2018" s="1271">
        <v>0.24466004030772501</v>
      </c>
      <c r="I2018" s="1257">
        <v>1.6568642584989399E-2</v>
      </c>
      <c r="J2018" s="1280">
        <v>0.16776182826341601</v>
      </c>
      <c r="K2018" s="1271">
        <v>2.2584294909148799E-2</v>
      </c>
      <c r="L2018" s="1257">
        <v>1.1100550519912199E-3</v>
      </c>
      <c r="M2018" s="1280">
        <v>1.4256387374450801E-2</v>
      </c>
      <c r="N2018" s="1271">
        <v>3.0000008598028201E-3</v>
      </c>
      <c r="O2018" s="1257">
        <v>2.0000005732018801E-3</v>
      </c>
      <c r="P2018" s="1257">
        <v>3.0000008598028201E-3</v>
      </c>
      <c r="Q2018" s="1280">
        <v>3.0000008598028201E-3</v>
      </c>
      <c r="R2018" s="1271">
        <v>3.1850009128239903E-2</v>
      </c>
      <c r="S2018" s="1257">
        <v>3.1850009128239903E-2</v>
      </c>
      <c r="T2018" s="1257">
        <v>3.1850009128239903E-2</v>
      </c>
      <c r="U2018" s="1280">
        <v>1.5925004564119952E-2</v>
      </c>
      <c r="V2018" s="1293">
        <v>2.3605456508616101E-2</v>
      </c>
    </row>
    <row r="2019" spans="1:22" s="212" customFormat="1" ht="15.5" x14ac:dyDescent="0.35">
      <c r="A2019" s="240">
        <v>2047</v>
      </c>
      <c r="B2019" s="241" t="s">
        <v>5833</v>
      </c>
      <c r="C2019" s="197">
        <v>1992</v>
      </c>
      <c r="D2019" s="225" t="str">
        <f t="shared" si="12"/>
        <v>2047_1992</v>
      </c>
      <c r="E2019" s="1226">
        <v>0.10650179902979399</v>
      </c>
      <c r="F2019" s="1257">
        <v>2.1287024978661898E-3</v>
      </c>
      <c r="G2019" s="1280">
        <v>5.8097373928927297E-2</v>
      </c>
      <c r="H2019" s="1271">
        <v>0.24466004030772501</v>
      </c>
      <c r="I2019" s="1257">
        <v>1.6568642584989399E-2</v>
      </c>
      <c r="J2019" s="1280">
        <v>0.16776182826341601</v>
      </c>
      <c r="K2019" s="1271">
        <v>2.2584294909148799E-2</v>
      </c>
      <c r="L2019" s="1257">
        <v>1.1100550519912199E-3</v>
      </c>
      <c r="M2019" s="1280">
        <v>1.4256387374450801E-2</v>
      </c>
      <c r="N2019" s="1271">
        <v>3.0000008598028201E-3</v>
      </c>
      <c r="O2019" s="1257">
        <v>2.0000005732018801E-3</v>
      </c>
      <c r="P2019" s="1257">
        <v>3.0000008598028201E-3</v>
      </c>
      <c r="Q2019" s="1280">
        <v>3.0000008598028201E-3</v>
      </c>
      <c r="R2019" s="1271">
        <v>3.1850009128239903E-2</v>
      </c>
      <c r="S2019" s="1257">
        <v>3.1850009128239903E-2</v>
      </c>
      <c r="T2019" s="1257">
        <v>3.1850009128239903E-2</v>
      </c>
      <c r="U2019" s="1280">
        <v>1.5925004564119952E-2</v>
      </c>
      <c r="V2019" s="1293">
        <v>2.3605456508616101E-2</v>
      </c>
    </row>
    <row r="2020" spans="1:22" s="212" customFormat="1" ht="15.5" x14ac:dyDescent="0.35">
      <c r="A2020" s="240">
        <v>2047</v>
      </c>
      <c r="B2020" s="241" t="s">
        <v>5833</v>
      </c>
      <c r="C2020" s="197">
        <v>1993</v>
      </c>
      <c r="D2020" s="225" t="str">
        <f t="shared" si="12"/>
        <v>2047_1993</v>
      </c>
      <c r="E2020" s="1226">
        <v>0.10650179902979399</v>
      </c>
      <c r="F2020" s="1257">
        <v>2.1287024978661898E-3</v>
      </c>
      <c r="G2020" s="1280">
        <v>5.8097373928927297E-2</v>
      </c>
      <c r="H2020" s="1271">
        <v>0.24466004030772501</v>
      </c>
      <c r="I2020" s="1257">
        <v>1.6568642584989399E-2</v>
      </c>
      <c r="J2020" s="1280">
        <v>0.16776182826341601</v>
      </c>
      <c r="K2020" s="1271">
        <v>2.2584294909148799E-2</v>
      </c>
      <c r="L2020" s="1257">
        <v>1.1100550519912199E-3</v>
      </c>
      <c r="M2020" s="1280">
        <v>1.4256387374450801E-2</v>
      </c>
      <c r="N2020" s="1271">
        <v>3.0000008598028201E-3</v>
      </c>
      <c r="O2020" s="1257">
        <v>2.0000005732018801E-3</v>
      </c>
      <c r="P2020" s="1257">
        <v>3.0000008598028201E-3</v>
      </c>
      <c r="Q2020" s="1280">
        <v>3.0000008598028201E-3</v>
      </c>
      <c r="R2020" s="1271">
        <v>3.1850009128239903E-2</v>
      </c>
      <c r="S2020" s="1257">
        <v>3.1850009128239903E-2</v>
      </c>
      <c r="T2020" s="1257">
        <v>3.1850009128239903E-2</v>
      </c>
      <c r="U2020" s="1280">
        <v>1.5925004564119952E-2</v>
      </c>
      <c r="V2020" s="1293">
        <v>2.3605456508616101E-2</v>
      </c>
    </row>
    <row r="2021" spans="1:22" s="212" customFormat="1" ht="15.5" x14ac:dyDescent="0.35">
      <c r="A2021" s="240">
        <v>2047</v>
      </c>
      <c r="B2021" s="241" t="s">
        <v>5833</v>
      </c>
      <c r="C2021" s="197">
        <v>1994</v>
      </c>
      <c r="D2021" s="225" t="str">
        <f t="shared" si="12"/>
        <v>2047_1994</v>
      </c>
      <c r="E2021" s="1226">
        <v>0.10650179902979399</v>
      </c>
      <c r="F2021" s="1257">
        <v>2.1287024978661898E-3</v>
      </c>
      <c r="G2021" s="1280">
        <v>5.8097373928927297E-2</v>
      </c>
      <c r="H2021" s="1271">
        <v>0.24466004030772501</v>
      </c>
      <c r="I2021" s="1257">
        <v>1.6568642584989399E-2</v>
      </c>
      <c r="J2021" s="1280">
        <v>0.16776182826341601</v>
      </c>
      <c r="K2021" s="1271">
        <v>2.2584294909148799E-2</v>
      </c>
      <c r="L2021" s="1257">
        <v>1.1100550519912199E-3</v>
      </c>
      <c r="M2021" s="1280">
        <v>1.4256387374450801E-2</v>
      </c>
      <c r="N2021" s="1271">
        <v>3.0000008598028201E-3</v>
      </c>
      <c r="O2021" s="1257">
        <v>2.0000005732018801E-3</v>
      </c>
      <c r="P2021" s="1257">
        <v>3.0000008598028201E-3</v>
      </c>
      <c r="Q2021" s="1280">
        <v>3.0000008598028201E-3</v>
      </c>
      <c r="R2021" s="1271">
        <v>3.1850009128239903E-2</v>
      </c>
      <c r="S2021" s="1257">
        <v>3.1850009128239903E-2</v>
      </c>
      <c r="T2021" s="1257">
        <v>3.1850009128239903E-2</v>
      </c>
      <c r="U2021" s="1280">
        <v>1.5925004564119952E-2</v>
      </c>
      <c r="V2021" s="1293">
        <v>2.3605456508616101E-2</v>
      </c>
    </row>
    <row r="2022" spans="1:22" s="212" customFormat="1" ht="15.5" x14ac:dyDescent="0.35">
      <c r="A2022" s="240">
        <v>2047</v>
      </c>
      <c r="B2022" s="241" t="s">
        <v>5833</v>
      </c>
      <c r="C2022" s="197">
        <v>1995</v>
      </c>
      <c r="D2022" s="225" t="str">
        <f t="shared" si="12"/>
        <v>2047_1995</v>
      </c>
      <c r="E2022" s="1226">
        <v>0.10650179902979399</v>
      </c>
      <c r="F2022" s="1257">
        <v>2.1287024978661898E-3</v>
      </c>
      <c r="G2022" s="1280">
        <v>5.8097373928927297E-2</v>
      </c>
      <c r="H2022" s="1271">
        <v>0.24466004030772501</v>
      </c>
      <c r="I2022" s="1257">
        <v>1.6568642584989399E-2</v>
      </c>
      <c r="J2022" s="1280">
        <v>0.16776182826341601</v>
      </c>
      <c r="K2022" s="1271">
        <v>2.2584294909148799E-2</v>
      </c>
      <c r="L2022" s="1257">
        <v>1.1100550519912199E-3</v>
      </c>
      <c r="M2022" s="1280">
        <v>1.4256387374450801E-2</v>
      </c>
      <c r="N2022" s="1271">
        <v>3.0000008598028201E-3</v>
      </c>
      <c r="O2022" s="1257">
        <v>2.0000005732018801E-3</v>
      </c>
      <c r="P2022" s="1257">
        <v>3.0000008598028201E-3</v>
      </c>
      <c r="Q2022" s="1280">
        <v>3.0000008598028201E-3</v>
      </c>
      <c r="R2022" s="1271">
        <v>3.1850009128239903E-2</v>
      </c>
      <c r="S2022" s="1257">
        <v>3.1850009128239903E-2</v>
      </c>
      <c r="T2022" s="1257">
        <v>3.1850009128239903E-2</v>
      </c>
      <c r="U2022" s="1280">
        <v>1.5925004564119952E-2</v>
      </c>
      <c r="V2022" s="1293">
        <v>2.3605456508616101E-2</v>
      </c>
    </row>
    <row r="2023" spans="1:22" s="212" customFormat="1" ht="15.5" x14ac:dyDescent="0.35">
      <c r="A2023" s="240">
        <v>2047</v>
      </c>
      <c r="B2023" s="241" t="s">
        <v>5833</v>
      </c>
      <c r="C2023" s="197">
        <v>1996</v>
      </c>
      <c r="D2023" s="225" t="str">
        <f t="shared" si="12"/>
        <v>2047_1996</v>
      </c>
      <c r="E2023" s="1226">
        <v>0.10650179902979399</v>
      </c>
      <c r="F2023" s="1257">
        <v>2.1287024978661898E-3</v>
      </c>
      <c r="G2023" s="1280">
        <v>5.8097373928927297E-2</v>
      </c>
      <c r="H2023" s="1271">
        <v>0.24466004030772501</v>
      </c>
      <c r="I2023" s="1257">
        <v>1.6568642584989399E-2</v>
      </c>
      <c r="J2023" s="1280">
        <v>0.16776182826341601</v>
      </c>
      <c r="K2023" s="1271">
        <v>2.2584294909148799E-2</v>
      </c>
      <c r="L2023" s="1257">
        <v>1.1100550519912199E-3</v>
      </c>
      <c r="M2023" s="1280">
        <v>1.4256387374450801E-2</v>
      </c>
      <c r="N2023" s="1271">
        <v>3.0000008598028201E-3</v>
      </c>
      <c r="O2023" s="1257">
        <v>2.0000005732018801E-3</v>
      </c>
      <c r="P2023" s="1257">
        <v>3.0000008598028201E-3</v>
      </c>
      <c r="Q2023" s="1280">
        <v>3.0000008598028201E-3</v>
      </c>
      <c r="R2023" s="1271">
        <v>3.1850009128239903E-2</v>
      </c>
      <c r="S2023" s="1257">
        <v>3.1850009128239903E-2</v>
      </c>
      <c r="T2023" s="1257">
        <v>3.1850009128239903E-2</v>
      </c>
      <c r="U2023" s="1280">
        <v>1.5925004564119952E-2</v>
      </c>
      <c r="V2023" s="1293">
        <v>2.3605456508616101E-2</v>
      </c>
    </row>
    <row r="2024" spans="1:22" s="212" customFormat="1" ht="15.5" x14ac:dyDescent="0.35">
      <c r="A2024" s="240">
        <v>2047</v>
      </c>
      <c r="B2024" s="241" t="s">
        <v>5833</v>
      </c>
      <c r="C2024" s="197">
        <v>1997</v>
      </c>
      <c r="D2024" s="225" t="str">
        <f t="shared" si="12"/>
        <v>2047_1997</v>
      </c>
      <c r="E2024" s="1226">
        <v>0.10650179902979399</v>
      </c>
      <c r="F2024" s="1257">
        <v>2.1287024978661898E-3</v>
      </c>
      <c r="G2024" s="1280">
        <v>5.8097373928927297E-2</v>
      </c>
      <c r="H2024" s="1271">
        <v>0.24466004030772501</v>
      </c>
      <c r="I2024" s="1257">
        <v>1.6568642584989399E-2</v>
      </c>
      <c r="J2024" s="1280">
        <v>0.16776182826341601</v>
      </c>
      <c r="K2024" s="1271">
        <v>2.2584294909148799E-2</v>
      </c>
      <c r="L2024" s="1257">
        <v>1.1100550519912199E-3</v>
      </c>
      <c r="M2024" s="1280">
        <v>1.4256387374450801E-2</v>
      </c>
      <c r="N2024" s="1271">
        <v>3.0000008598028201E-3</v>
      </c>
      <c r="O2024" s="1257">
        <v>2.0000005732018801E-3</v>
      </c>
      <c r="P2024" s="1257">
        <v>3.0000008598028201E-3</v>
      </c>
      <c r="Q2024" s="1280">
        <v>3.0000008598028201E-3</v>
      </c>
      <c r="R2024" s="1271">
        <v>3.1850009128239903E-2</v>
      </c>
      <c r="S2024" s="1257">
        <v>3.1850009128239903E-2</v>
      </c>
      <c r="T2024" s="1257">
        <v>3.1850009128239903E-2</v>
      </c>
      <c r="U2024" s="1280">
        <v>1.5925004564119952E-2</v>
      </c>
      <c r="V2024" s="1293">
        <v>2.3605456508616101E-2</v>
      </c>
    </row>
    <row r="2025" spans="1:22" s="212" customFormat="1" ht="15.5" x14ac:dyDescent="0.35">
      <c r="A2025" s="240">
        <v>2047</v>
      </c>
      <c r="B2025" s="241" t="s">
        <v>5833</v>
      </c>
      <c r="C2025" s="197">
        <v>1998</v>
      </c>
      <c r="D2025" s="225" t="str">
        <f t="shared" si="12"/>
        <v>2047_1998</v>
      </c>
      <c r="E2025" s="1226">
        <v>0.10650179902979399</v>
      </c>
      <c r="F2025" s="1257">
        <v>2.1287024978661898E-3</v>
      </c>
      <c r="G2025" s="1280">
        <v>5.8097373928927297E-2</v>
      </c>
      <c r="H2025" s="1271">
        <v>0.24466004030772501</v>
      </c>
      <c r="I2025" s="1257">
        <v>1.6568642584989399E-2</v>
      </c>
      <c r="J2025" s="1280">
        <v>0.16776182826341601</v>
      </c>
      <c r="K2025" s="1271">
        <v>2.2584294909148799E-2</v>
      </c>
      <c r="L2025" s="1257">
        <v>1.1100550519912199E-3</v>
      </c>
      <c r="M2025" s="1280">
        <v>1.4256387374450801E-2</v>
      </c>
      <c r="N2025" s="1271">
        <v>3.0000008598028201E-3</v>
      </c>
      <c r="O2025" s="1257">
        <v>2.0000005732018801E-3</v>
      </c>
      <c r="P2025" s="1257">
        <v>3.0000008598028201E-3</v>
      </c>
      <c r="Q2025" s="1280">
        <v>3.0000008598028201E-3</v>
      </c>
      <c r="R2025" s="1271">
        <v>3.1850009128239903E-2</v>
      </c>
      <c r="S2025" s="1257">
        <v>3.1850009128239903E-2</v>
      </c>
      <c r="T2025" s="1257">
        <v>3.1850009128239903E-2</v>
      </c>
      <c r="U2025" s="1280">
        <v>1.5925004564119952E-2</v>
      </c>
      <c r="V2025" s="1293">
        <v>2.3605456508616101E-2</v>
      </c>
    </row>
    <row r="2026" spans="1:22" s="212" customFormat="1" ht="15.5" x14ac:dyDescent="0.35">
      <c r="A2026" s="240">
        <v>2047</v>
      </c>
      <c r="B2026" s="241" t="s">
        <v>5833</v>
      </c>
      <c r="C2026" s="197">
        <v>1999</v>
      </c>
      <c r="D2026" s="225" t="str">
        <f t="shared" si="12"/>
        <v>2047_1999</v>
      </c>
      <c r="E2026" s="1226">
        <v>0.10650179902979399</v>
      </c>
      <c r="F2026" s="1257">
        <v>2.1287024978661898E-3</v>
      </c>
      <c r="G2026" s="1280">
        <v>5.8097373928927297E-2</v>
      </c>
      <c r="H2026" s="1271">
        <v>0.24466004030772501</v>
      </c>
      <c r="I2026" s="1257">
        <v>1.6568642584989399E-2</v>
      </c>
      <c r="J2026" s="1280">
        <v>0.16776182826341601</v>
      </c>
      <c r="K2026" s="1271">
        <v>2.2584294909148799E-2</v>
      </c>
      <c r="L2026" s="1257">
        <v>1.1100550519912199E-3</v>
      </c>
      <c r="M2026" s="1280">
        <v>1.4256387374450801E-2</v>
      </c>
      <c r="N2026" s="1271">
        <v>3.0000008598028201E-3</v>
      </c>
      <c r="O2026" s="1257">
        <v>2.0000005732018801E-3</v>
      </c>
      <c r="P2026" s="1257">
        <v>3.0000008598028201E-3</v>
      </c>
      <c r="Q2026" s="1280">
        <v>3.0000008598028201E-3</v>
      </c>
      <c r="R2026" s="1271">
        <v>3.1850009128239903E-2</v>
      </c>
      <c r="S2026" s="1257">
        <v>3.1850009128239903E-2</v>
      </c>
      <c r="T2026" s="1257">
        <v>3.1850009128239903E-2</v>
      </c>
      <c r="U2026" s="1280">
        <v>1.5925004564119952E-2</v>
      </c>
      <c r="V2026" s="1293">
        <v>2.3605456508616101E-2</v>
      </c>
    </row>
    <row r="2027" spans="1:22" s="212" customFormat="1" ht="15.5" x14ac:dyDescent="0.35">
      <c r="A2027" s="240">
        <v>2047</v>
      </c>
      <c r="B2027" s="241" t="s">
        <v>5833</v>
      </c>
      <c r="C2027" s="197">
        <v>2000</v>
      </c>
      <c r="D2027" s="225" t="str">
        <f t="shared" si="12"/>
        <v>2047_2000</v>
      </c>
      <c r="E2027" s="1226">
        <v>0.10650179902979399</v>
      </c>
      <c r="F2027" s="1257">
        <v>2.1287024978661898E-3</v>
      </c>
      <c r="G2027" s="1280">
        <v>5.8097373928927297E-2</v>
      </c>
      <c r="H2027" s="1271">
        <v>0.24466004030772501</v>
      </c>
      <c r="I2027" s="1257">
        <v>1.6568642584989399E-2</v>
      </c>
      <c r="J2027" s="1280">
        <v>0.16776182826341601</v>
      </c>
      <c r="K2027" s="1271">
        <v>2.2584294909148799E-2</v>
      </c>
      <c r="L2027" s="1257">
        <v>1.1100550519912199E-3</v>
      </c>
      <c r="M2027" s="1280">
        <v>1.4256387374450801E-2</v>
      </c>
      <c r="N2027" s="1271">
        <v>3.0000008598028201E-3</v>
      </c>
      <c r="O2027" s="1257">
        <v>2.0000005732018801E-3</v>
      </c>
      <c r="P2027" s="1257">
        <v>3.0000008598028201E-3</v>
      </c>
      <c r="Q2027" s="1280">
        <v>3.0000008598028201E-3</v>
      </c>
      <c r="R2027" s="1271">
        <v>3.1850009128239903E-2</v>
      </c>
      <c r="S2027" s="1257">
        <v>3.1850009128239903E-2</v>
      </c>
      <c r="T2027" s="1257">
        <v>3.1850009128239903E-2</v>
      </c>
      <c r="U2027" s="1280">
        <v>1.5925004564119952E-2</v>
      </c>
      <c r="V2027" s="1293">
        <v>2.3605456508616101E-2</v>
      </c>
    </row>
    <row r="2028" spans="1:22" s="212" customFormat="1" ht="15.5" x14ac:dyDescent="0.35">
      <c r="A2028" s="240">
        <v>2047</v>
      </c>
      <c r="B2028" s="241" t="s">
        <v>5833</v>
      </c>
      <c r="C2028" s="197">
        <v>2001</v>
      </c>
      <c r="D2028" s="225" t="str">
        <f t="shared" si="12"/>
        <v>2047_2001</v>
      </c>
      <c r="E2028" s="1226">
        <v>0.10650179902979399</v>
      </c>
      <c r="F2028" s="1257">
        <v>2.1287024978661898E-3</v>
      </c>
      <c r="G2028" s="1280">
        <v>5.8097373928927297E-2</v>
      </c>
      <c r="H2028" s="1271">
        <v>0.24466004030772501</v>
      </c>
      <c r="I2028" s="1257">
        <v>1.6568642584989399E-2</v>
      </c>
      <c r="J2028" s="1280">
        <v>0.16776182826341601</v>
      </c>
      <c r="K2028" s="1271">
        <v>2.2584294909148799E-2</v>
      </c>
      <c r="L2028" s="1257">
        <v>1.1100550519912199E-3</v>
      </c>
      <c r="M2028" s="1280">
        <v>1.4256387374450801E-2</v>
      </c>
      <c r="N2028" s="1271">
        <v>3.0000008598028201E-3</v>
      </c>
      <c r="O2028" s="1257">
        <v>2.0000005732018801E-3</v>
      </c>
      <c r="P2028" s="1257">
        <v>3.0000008598028201E-3</v>
      </c>
      <c r="Q2028" s="1280">
        <v>3.0000008598028201E-3</v>
      </c>
      <c r="R2028" s="1271">
        <v>3.1850009128239903E-2</v>
      </c>
      <c r="S2028" s="1257">
        <v>3.1850009128239903E-2</v>
      </c>
      <c r="T2028" s="1257">
        <v>3.1850009128239903E-2</v>
      </c>
      <c r="U2028" s="1280">
        <v>1.5925004564119952E-2</v>
      </c>
      <c r="V2028" s="1293">
        <v>2.3605456508616101E-2</v>
      </c>
    </row>
    <row r="2029" spans="1:22" s="212" customFormat="1" ht="15.5" x14ac:dyDescent="0.35">
      <c r="A2029" s="240">
        <v>2047</v>
      </c>
      <c r="B2029" s="241" t="s">
        <v>5833</v>
      </c>
      <c r="C2029" s="197">
        <v>2002</v>
      </c>
      <c r="D2029" s="225" t="str">
        <f t="shared" si="12"/>
        <v>2047_2002</v>
      </c>
      <c r="E2029" s="1226">
        <v>0.10650179902979399</v>
      </c>
      <c r="F2029" s="1257">
        <v>2.1287024978661898E-3</v>
      </c>
      <c r="G2029" s="1280">
        <v>5.8097373928927297E-2</v>
      </c>
      <c r="H2029" s="1271">
        <v>0.24466004030772501</v>
      </c>
      <c r="I2029" s="1257">
        <v>1.6568642584989399E-2</v>
      </c>
      <c r="J2029" s="1280">
        <v>0.16776182826341601</v>
      </c>
      <c r="K2029" s="1271">
        <v>2.2584294909148799E-2</v>
      </c>
      <c r="L2029" s="1257">
        <v>1.1100550519912199E-3</v>
      </c>
      <c r="M2029" s="1280">
        <v>1.4256387374450801E-2</v>
      </c>
      <c r="N2029" s="1271">
        <v>3.0000008598028201E-3</v>
      </c>
      <c r="O2029" s="1257">
        <v>2.0000005732018801E-3</v>
      </c>
      <c r="P2029" s="1257">
        <v>3.0000008598028201E-3</v>
      </c>
      <c r="Q2029" s="1280">
        <v>3.0000008598028201E-3</v>
      </c>
      <c r="R2029" s="1271">
        <v>3.1850009128239903E-2</v>
      </c>
      <c r="S2029" s="1257">
        <v>3.1850009128239903E-2</v>
      </c>
      <c r="T2029" s="1257">
        <v>3.1850009128239903E-2</v>
      </c>
      <c r="U2029" s="1280">
        <v>1.5925004564119952E-2</v>
      </c>
      <c r="V2029" s="1293">
        <v>2.3605456508616101E-2</v>
      </c>
    </row>
    <row r="2030" spans="1:22" s="212" customFormat="1" ht="15.5" x14ac:dyDescent="0.35">
      <c r="A2030" s="240">
        <v>2047</v>
      </c>
      <c r="B2030" s="241" t="s">
        <v>5833</v>
      </c>
      <c r="C2030" s="197">
        <v>2003</v>
      </c>
      <c r="D2030" s="225" t="str">
        <f t="shared" si="12"/>
        <v>2047_2003</v>
      </c>
      <c r="E2030" s="1226">
        <v>0.10650179902979399</v>
      </c>
      <c r="F2030" s="1257">
        <v>2.1287024978661898E-3</v>
      </c>
      <c r="G2030" s="1280">
        <v>5.8097373928927297E-2</v>
      </c>
      <c r="H2030" s="1271">
        <v>0.24466004030772501</v>
      </c>
      <c r="I2030" s="1257">
        <v>1.6568642584989399E-2</v>
      </c>
      <c r="J2030" s="1280">
        <v>0.16776182826341601</v>
      </c>
      <c r="K2030" s="1271">
        <v>2.2584294909148799E-2</v>
      </c>
      <c r="L2030" s="1257">
        <v>1.1100550519912199E-3</v>
      </c>
      <c r="M2030" s="1280">
        <v>1.4256387374450801E-2</v>
      </c>
      <c r="N2030" s="1271">
        <v>3.0000008598028201E-3</v>
      </c>
      <c r="O2030" s="1257">
        <v>2.0000005732018801E-3</v>
      </c>
      <c r="P2030" s="1257">
        <v>3.0000008598028201E-3</v>
      </c>
      <c r="Q2030" s="1280">
        <v>3.0000008598028201E-3</v>
      </c>
      <c r="R2030" s="1271">
        <v>3.1850009128239903E-2</v>
      </c>
      <c r="S2030" s="1257">
        <v>3.1850009128239903E-2</v>
      </c>
      <c r="T2030" s="1257">
        <v>3.1850009128239903E-2</v>
      </c>
      <c r="U2030" s="1280">
        <v>1.5925004564119952E-2</v>
      </c>
      <c r="V2030" s="1293">
        <v>2.3605456508616101E-2</v>
      </c>
    </row>
    <row r="2031" spans="1:22" s="212" customFormat="1" ht="15.5" x14ac:dyDescent="0.35">
      <c r="A2031" s="240">
        <v>2047</v>
      </c>
      <c r="B2031" s="241" t="s">
        <v>5833</v>
      </c>
      <c r="C2031" s="197">
        <v>2004</v>
      </c>
      <c r="D2031" s="225" t="str">
        <f t="shared" si="12"/>
        <v>2047_2004</v>
      </c>
      <c r="E2031" s="1226">
        <v>0.10650179902979399</v>
      </c>
      <c r="F2031" s="1257">
        <v>2.1287024978661898E-3</v>
      </c>
      <c r="G2031" s="1280">
        <v>5.8097373928927297E-2</v>
      </c>
      <c r="H2031" s="1271">
        <v>0.24466004030772501</v>
      </c>
      <c r="I2031" s="1257">
        <v>1.6568642584989399E-2</v>
      </c>
      <c r="J2031" s="1280">
        <v>0.16776182826341601</v>
      </c>
      <c r="K2031" s="1271">
        <v>2.2584294909148799E-2</v>
      </c>
      <c r="L2031" s="1257">
        <v>1.1100550519912199E-3</v>
      </c>
      <c r="M2031" s="1280">
        <v>1.4256387374450801E-2</v>
      </c>
      <c r="N2031" s="1271">
        <v>3.0000008598028201E-3</v>
      </c>
      <c r="O2031" s="1257">
        <v>2.0000005732018801E-3</v>
      </c>
      <c r="P2031" s="1257">
        <v>3.0000008598028201E-3</v>
      </c>
      <c r="Q2031" s="1280">
        <v>3.0000008598028201E-3</v>
      </c>
      <c r="R2031" s="1271">
        <v>3.1850009128239903E-2</v>
      </c>
      <c r="S2031" s="1257">
        <v>3.1850009128239903E-2</v>
      </c>
      <c r="T2031" s="1257">
        <v>3.1850009128239903E-2</v>
      </c>
      <c r="U2031" s="1280">
        <v>1.5925004564119952E-2</v>
      </c>
      <c r="V2031" s="1293">
        <v>2.3605456508616101E-2</v>
      </c>
    </row>
    <row r="2032" spans="1:22" s="212" customFormat="1" ht="15.5" x14ac:dyDescent="0.35">
      <c r="A2032" s="240">
        <v>2047</v>
      </c>
      <c r="B2032" s="241" t="s">
        <v>5833</v>
      </c>
      <c r="C2032" s="197">
        <v>2005</v>
      </c>
      <c r="D2032" s="225" t="str">
        <f t="shared" si="12"/>
        <v>2047_2005</v>
      </c>
      <c r="E2032" s="1226">
        <v>0.10650179902979399</v>
      </c>
      <c r="F2032" s="1257">
        <v>2.1287024978661898E-3</v>
      </c>
      <c r="G2032" s="1280">
        <v>5.8097373928927297E-2</v>
      </c>
      <c r="H2032" s="1271">
        <v>0.24466004030772501</v>
      </c>
      <c r="I2032" s="1257">
        <v>1.6568642584989399E-2</v>
      </c>
      <c r="J2032" s="1280">
        <v>0.16776182826341601</v>
      </c>
      <c r="K2032" s="1271">
        <v>2.2584294909148799E-2</v>
      </c>
      <c r="L2032" s="1257">
        <v>1.1100550519912199E-3</v>
      </c>
      <c r="M2032" s="1280">
        <v>1.4256387374450801E-2</v>
      </c>
      <c r="N2032" s="1271">
        <v>3.0000008598028201E-3</v>
      </c>
      <c r="O2032" s="1257">
        <v>2.0000005732018801E-3</v>
      </c>
      <c r="P2032" s="1257">
        <v>3.0000008598028201E-3</v>
      </c>
      <c r="Q2032" s="1280">
        <v>3.0000008598028201E-3</v>
      </c>
      <c r="R2032" s="1271">
        <v>3.1850009128239903E-2</v>
      </c>
      <c r="S2032" s="1257">
        <v>3.1850009128239903E-2</v>
      </c>
      <c r="T2032" s="1257">
        <v>3.1850009128239903E-2</v>
      </c>
      <c r="U2032" s="1280">
        <v>1.5925004564119952E-2</v>
      </c>
      <c r="V2032" s="1293">
        <v>2.3605456508616101E-2</v>
      </c>
    </row>
    <row r="2033" spans="1:22" s="212" customFormat="1" ht="15.5" x14ac:dyDescent="0.35">
      <c r="A2033" s="240">
        <v>2047</v>
      </c>
      <c r="B2033" s="241" t="s">
        <v>5833</v>
      </c>
      <c r="C2033" s="197">
        <v>2006</v>
      </c>
      <c r="D2033" s="225" t="str">
        <f t="shared" si="12"/>
        <v>2047_2006</v>
      </c>
      <c r="E2033" s="1226">
        <v>0.10650179902979399</v>
      </c>
      <c r="F2033" s="1257">
        <v>2.1287024978661898E-3</v>
      </c>
      <c r="G2033" s="1280">
        <v>5.8097373928927297E-2</v>
      </c>
      <c r="H2033" s="1271">
        <v>0.24466004030772501</v>
      </c>
      <c r="I2033" s="1257">
        <v>1.6568642584989399E-2</v>
      </c>
      <c r="J2033" s="1280">
        <v>0.16776182826341601</v>
      </c>
      <c r="K2033" s="1271">
        <v>2.2584294909148799E-2</v>
      </c>
      <c r="L2033" s="1257">
        <v>1.1100550519912199E-3</v>
      </c>
      <c r="M2033" s="1280">
        <v>1.4256387374450801E-2</v>
      </c>
      <c r="N2033" s="1271">
        <v>3.0000008598028201E-3</v>
      </c>
      <c r="O2033" s="1257">
        <v>2.0000005732018801E-3</v>
      </c>
      <c r="P2033" s="1257">
        <v>3.0000008598028201E-3</v>
      </c>
      <c r="Q2033" s="1280">
        <v>3.0000008598028201E-3</v>
      </c>
      <c r="R2033" s="1271">
        <v>3.1850009128239903E-2</v>
      </c>
      <c r="S2033" s="1257">
        <v>3.1850009128239903E-2</v>
      </c>
      <c r="T2033" s="1257">
        <v>3.1850009128239903E-2</v>
      </c>
      <c r="U2033" s="1280">
        <v>1.5925004564119952E-2</v>
      </c>
      <c r="V2033" s="1293">
        <v>2.3605456508616101E-2</v>
      </c>
    </row>
    <row r="2034" spans="1:22" s="212" customFormat="1" ht="15.5" x14ac:dyDescent="0.35">
      <c r="A2034" s="240">
        <v>2047</v>
      </c>
      <c r="B2034" s="241" t="s">
        <v>5833</v>
      </c>
      <c r="C2034" s="197">
        <v>2007</v>
      </c>
      <c r="D2034" s="225" t="str">
        <f t="shared" si="12"/>
        <v>2047_2007</v>
      </c>
      <c r="E2034" s="1226">
        <v>0.10650179902979399</v>
      </c>
      <c r="F2034" s="1257">
        <v>2.1287024978661898E-3</v>
      </c>
      <c r="G2034" s="1280">
        <v>5.8097373928927297E-2</v>
      </c>
      <c r="H2034" s="1271">
        <v>0.24466004030772501</v>
      </c>
      <c r="I2034" s="1257">
        <v>1.6568642584989399E-2</v>
      </c>
      <c r="J2034" s="1280">
        <v>0.16776182826341601</v>
      </c>
      <c r="K2034" s="1271">
        <v>2.2584294909148799E-2</v>
      </c>
      <c r="L2034" s="1257">
        <v>1.1100550519912199E-3</v>
      </c>
      <c r="M2034" s="1280">
        <v>1.4256387374450801E-2</v>
      </c>
      <c r="N2034" s="1271">
        <v>3.0000008598028201E-3</v>
      </c>
      <c r="O2034" s="1257">
        <v>2.0000005732018801E-3</v>
      </c>
      <c r="P2034" s="1257">
        <v>3.0000008598028201E-3</v>
      </c>
      <c r="Q2034" s="1280">
        <v>3.0000008598028201E-3</v>
      </c>
      <c r="R2034" s="1271">
        <v>3.1850009128239903E-2</v>
      </c>
      <c r="S2034" s="1257">
        <v>3.1850009128239903E-2</v>
      </c>
      <c r="T2034" s="1257">
        <v>3.1850009128239903E-2</v>
      </c>
      <c r="U2034" s="1280">
        <v>1.5925004564119952E-2</v>
      </c>
      <c r="V2034" s="1293">
        <v>2.3605456508616101E-2</v>
      </c>
    </row>
    <row r="2035" spans="1:22" s="212" customFormat="1" ht="15.5" x14ac:dyDescent="0.35">
      <c r="A2035" s="240">
        <v>2047</v>
      </c>
      <c r="B2035" s="241" t="s">
        <v>5833</v>
      </c>
      <c r="C2035" s="197">
        <v>2008</v>
      </c>
      <c r="D2035" s="225" t="str">
        <f t="shared" si="12"/>
        <v>2047_2008</v>
      </c>
      <c r="E2035" s="1226">
        <v>0.10650179902979399</v>
      </c>
      <c r="F2035" s="1257">
        <v>2.1287024978661898E-3</v>
      </c>
      <c r="G2035" s="1280">
        <v>5.8097373928927297E-2</v>
      </c>
      <c r="H2035" s="1271">
        <v>0.24466004030772501</v>
      </c>
      <c r="I2035" s="1257">
        <v>1.6568642584989399E-2</v>
      </c>
      <c r="J2035" s="1280">
        <v>0.16776182826341601</v>
      </c>
      <c r="K2035" s="1271">
        <v>2.2584294909148799E-2</v>
      </c>
      <c r="L2035" s="1257">
        <v>1.1100550519912199E-3</v>
      </c>
      <c r="M2035" s="1280">
        <v>1.4256387374450801E-2</v>
      </c>
      <c r="N2035" s="1271">
        <v>3.0000008598028201E-3</v>
      </c>
      <c r="O2035" s="1257">
        <v>2.0000005732018801E-3</v>
      </c>
      <c r="P2035" s="1257">
        <v>3.0000008598028201E-3</v>
      </c>
      <c r="Q2035" s="1280">
        <v>3.0000008598028201E-3</v>
      </c>
      <c r="R2035" s="1271">
        <v>3.1850009128239903E-2</v>
      </c>
      <c r="S2035" s="1257">
        <v>3.1850009128239903E-2</v>
      </c>
      <c r="T2035" s="1257">
        <v>3.1850009128239903E-2</v>
      </c>
      <c r="U2035" s="1280">
        <v>1.5925004564119952E-2</v>
      </c>
      <c r="V2035" s="1293">
        <v>2.3605456508616101E-2</v>
      </c>
    </row>
    <row r="2036" spans="1:22" s="212" customFormat="1" ht="15.5" x14ac:dyDescent="0.35">
      <c r="A2036" s="240">
        <v>2047</v>
      </c>
      <c r="B2036" s="241" t="s">
        <v>5833</v>
      </c>
      <c r="C2036" s="197">
        <v>2009</v>
      </c>
      <c r="D2036" s="225" t="str">
        <f t="shared" si="12"/>
        <v>2047_2009</v>
      </c>
      <c r="E2036" s="1226">
        <v>0.10650179902979399</v>
      </c>
      <c r="F2036" s="1257">
        <v>2.1287024978661898E-3</v>
      </c>
      <c r="G2036" s="1280">
        <v>5.8097373928927297E-2</v>
      </c>
      <c r="H2036" s="1271">
        <v>0.24466004030772501</v>
      </c>
      <c r="I2036" s="1257">
        <v>1.6568642584989399E-2</v>
      </c>
      <c r="J2036" s="1280">
        <v>0.16776182826341601</v>
      </c>
      <c r="K2036" s="1271">
        <v>2.2584294909148799E-2</v>
      </c>
      <c r="L2036" s="1257">
        <v>1.1100550519912199E-3</v>
      </c>
      <c r="M2036" s="1280">
        <v>1.4256387374450801E-2</v>
      </c>
      <c r="N2036" s="1271">
        <v>3.0000008598028201E-3</v>
      </c>
      <c r="O2036" s="1257">
        <v>2.0000005732018801E-3</v>
      </c>
      <c r="P2036" s="1257">
        <v>3.0000008598028201E-3</v>
      </c>
      <c r="Q2036" s="1280">
        <v>3.0000008598028201E-3</v>
      </c>
      <c r="R2036" s="1271">
        <v>3.1850009128239903E-2</v>
      </c>
      <c r="S2036" s="1257">
        <v>3.1850009128239903E-2</v>
      </c>
      <c r="T2036" s="1257">
        <v>3.1850009128239903E-2</v>
      </c>
      <c r="U2036" s="1280">
        <v>1.5925004564119952E-2</v>
      </c>
      <c r="V2036" s="1293">
        <v>2.3605456508616101E-2</v>
      </c>
    </row>
    <row r="2037" spans="1:22" s="212" customFormat="1" ht="15.5" x14ac:dyDescent="0.35">
      <c r="A2037" s="240">
        <v>2047</v>
      </c>
      <c r="B2037" s="241" t="s">
        <v>5833</v>
      </c>
      <c r="C2037" s="197">
        <v>2010</v>
      </c>
      <c r="D2037" s="225" t="str">
        <f t="shared" si="12"/>
        <v>2047_2010</v>
      </c>
      <c r="E2037" s="1226">
        <v>0.10650179902979399</v>
      </c>
      <c r="F2037" s="1257">
        <v>2.1287024978661898E-3</v>
      </c>
      <c r="G2037" s="1280">
        <v>5.8097373928927297E-2</v>
      </c>
      <c r="H2037" s="1271">
        <v>0.24466004030772501</v>
      </c>
      <c r="I2037" s="1257">
        <v>1.6568642584989399E-2</v>
      </c>
      <c r="J2037" s="1280">
        <v>0.16776182826341601</v>
      </c>
      <c r="K2037" s="1271">
        <v>2.2584294909148799E-2</v>
      </c>
      <c r="L2037" s="1257">
        <v>1.1100550519912199E-3</v>
      </c>
      <c r="M2037" s="1280">
        <v>1.4256387374450801E-2</v>
      </c>
      <c r="N2037" s="1271">
        <v>3.0000008598028201E-3</v>
      </c>
      <c r="O2037" s="1257">
        <v>2.0000005732018801E-3</v>
      </c>
      <c r="P2037" s="1257">
        <v>3.0000008598028201E-3</v>
      </c>
      <c r="Q2037" s="1280">
        <v>3.0000008598028201E-3</v>
      </c>
      <c r="R2037" s="1271">
        <v>3.1850009128239903E-2</v>
      </c>
      <c r="S2037" s="1257">
        <v>3.1850009128239903E-2</v>
      </c>
      <c r="T2037" s="1257">
        <v>3.1850009128239903E-2</v>
      </c>
      <c r="U2037" s="1280">
        <v>1.5925004564119952E-2</v>
      </c>
      <c r="V2037" s="1293">
        <v>2.3605456508616101E-2</v>
      </c>
    </row>
    <row r="2038" spans="1:22" s="212" customFormat="1" ht="15.5" x14ac:dyDescent="0.35">
      <c r="A2038" s="240">
        <v>2047</v>
      </c>
      <c r="B2038" s="241" t="s">
        <v>5833</v>
      </c>
      <c r="C2038" s="197">
        <v>2011</v>
      </c>
      <c r="D2038" s="225" t="str">
        <f t="shared" si="12"/>
        <v>2047_2011</v>
      </c>
      <c r="E2038" s="1226">
        <v>0.10650179902979399</v>
      </c>
      <c r="F2038" s="1257">
        <v>2.1287024978661898E-3</v>
      </c>
      <c r="G2038" s="1280">
        <v>5.8097373928927297E-2</v>
      </c>
      <c r="H2038" s="1271">
        <v>0.24466004030772501</v>
      </c>
      <c r="I2038" s="1257">
        <v>1.6568642584989399E-2</v>
      </c>
      <c r="J2038" s="1280">
        <v>0.16776182826341601</v>
      </c>
      <c r="K2038" s="1271">
        <v>2.2584294909148799E-2</v>
      </c>
      <c r="L2038" s="1257">
        <v>1.1100550519912199E-3</v>
      </c>
      <c r="M2038" s="1280">
        <v>1.4256387374450801E-2</v>
      </c>
      <c r="N2038" s="1271">
        <v>3.0000008598028201E-3</v>
      </c>
      <c r="O2038" s="1257">
        <v>2.0000005732018801E-3</v>
      </c>
      <c r="P2038" s="1257">
        <v>3.0000008598028201E-3</v>
      </c>
      <c r="Q2038" s="1280">
        <v>3.0000008598028201E-3</v>
      </c>
      <c r="R2038" s="1271">
        <v>3.1850009128239903E-2</v>
      </c>
      <c r="S2038" s="1257">
        <v>3.1850009128239903E-2</v>
      </c>
      <c r="T2038" s="1257">
        <v>3.1850009128239903E-2</v>
      </c>
      <c r="U2038" s="1280">
        <v>1.5925004564119952E-2</v>
      </c>
      <c r="V2038" s="1293">
        <v>2.3605456508616101E-2</v>
      </c>
    </row>
    <row r="2039" spans="1:22" s="212" customFormat="1" ht="15.5" x14ac:dyDescent="0.35">
      <c r="A2039" s="240">
        <v>2047</v>
      </c>
      <c r="B2039" s="241" t="s">
        <v>5833</v>
      </c>
      <c r="C2039" s="197">
        <v>2012</v>
      </c>
      <c r="D2039" s="225" t="str">
        <f t="shared" si="12"/>
        <v>2047_2012</v>
      </c>
      <c r="E2039" s="1226">
        <v>0.10650179902979399</v>
      </c>
      <c r="F2039" s="1257">
        <v>2.1287024978661898E-3</v>
      </c>
      <c r="G2039" s="1280">
        <v>5.8097373928927297E-2</v>
      </c>
      <c r="H2039" s="1271">
        <v>0.24466004030772501</v>
      </c>
      <c r="I2039" s="1257">
        <v>1.6568642584989399E-2</v>
      </c>
      <c r="J2039" s="1280">
        <v>0.16776182826341601</v>
      </c>
      <c r="K2039" s="1271">
        <v>2.2584294909148799E-2</v>
      </c>
      <c r="L2039" s="1257">
        <v>1.1100550519912199E-3</v>
      </c>
      <c r="M2039" s="1280">
        <v>1.4256387374450801E-2</v>
      </c>
      <c r="N2039" s="1271">
        <v>3.0000008598028201E-3</v>
      </c>
      <c r="O2039" s="1257">
        <v>2.0000005732018801E-3</v>
      </c>
      <c r="P2039" s="1257">
        <v>3.0000008598028201E-3</v>
      </c>
      <c r="Q2039" s="1280">
        <v>3.0000008598028201E-3</v>
      </c>
      <c r="R2039" s="1271">
        <v>3.1850009128239903E-2</v>
      </c>
      <c r="S2039" s="1257">
        <v>3.1850009128239903E-2</v>
      </c>
      <c r="T2039" s="1257">
        <v>3.1850009128239903E-2</v>
      </c>
      <c r="U2039" s="1280">
        <v>1.5925004564119952E-2</v>
      </c>
      <c r="V2039" s="1293">
        <v>2.3605456508616101E-2</v>
      </c>
    </row>
    <row r="2040" spans="1:22" s="212" customFormat="1" ht="15.5" x14ac:dyDescent="0.35">
      <c r="A2040" s="240">
        <v>2047</v>
      </c>
      <c r="B2040" s="241" t="s">
        <v>5833</v>
      </c>
      <c r="C2040" s="197">
        <v>2013</v>
      </c>
      <c r="D2040" s="225" t="str">
        <f t="shared" si="12"/>
        <v>2047_2013</v>
      </c>
      <c r="E2040" s="1226">
        <v>0.10650179902979399</v>
      </c>
      <c r="F2040" s="1257">
        <v>2.1287024978661898E-3</v>
      </c>
      <c r="G2040" s="1280">
        <v>5.8097373928927297E-2</v>
      </c>
      <c r="H2040" s="1271">
        <v>0.24466004030772501</v>
      </c>
      <c r="I2040" s="1257">
        <v>1.6568642584989399E-2</v>
      </c>
      <c r="J2040" s="1280">
        <v>0.16776182826341601</v>
      </c>
      <c r="K2040" s="1271">
        <v>2.2584294909148799E-2</v>
      </c>
      <c r="L2040" s="1257">
        <v>1.1100550519912199E-3</v>
      </c>
      <c r="M2040" s="1280">
        <v>1.4256387374450801E-2</v>
      </c>
      <c r="N2040" s="1271">
        <v>3.0000008598028201E-3</v>
      </c>
      <c r="O2040" s="1257">
        <v>2.0000005732018801E-3</v>
      </c>
      <c r="P2040" s="1257">
        <v>3.0000008598028201E-3</v>
      </c>
      <c r="Q2040" s="1280">
        <v>3.0000008598028201E-3</v>
      </c>
      <c r="R2040" s="1271">
        <v>3.1850009128239903E-2</v>
      </c>
      <c r="S2040" s="1257">
        <v>3.1850009128239903E-2</v>
      </c>
      <c r="T2040" s="1257">
        <v>3.1850009128239903E-2</v>
      </c>
      <c r="U2040" s="1280">
        <v>1.5925004564119952E-2</v>
      </c>
      <c r="V2040" s="1293">
        <v>2.3605456508616101E-2</v>
      </c>
    </row>
    <row r="2041" spans="1:22" s="212" customFormat="1" ht="15.5" x14ac:dyDescent="0.35">
      <c r="A2041" s="240">
        <v>2047</v>
      </c>
      <c r="B2041" s="241" t="s">
        <v>5833</v>
      </c>
      <c r="C2041" s="197">
        <v>2014</v>
      </c>
      <c r="D2041" s="225" t="str">
        <f t="shared" si="12"/>
        <v>2047_2014</v>
      </c>
      <c r="E2041" s="1226">
        <v>0.10650179902979399</v>
      </c>
      <c r="F2041" s="1257">
        <v>2.1287024978661898E-3</v>
      </c>
      <c r="G2041" s="1280">
        <v>5.8097373928927297E-2</v>
      </c>
      <c r="H2041" s="1271">
        <v>0.24466004030772501</v>
      </c>
      <c r="I2041" s="1257">
        <v>1.6568642584989399E-2</v>
      </c>
      <c r="J2041" s="1280">
        <v>0.16776182826341601</v>
      </c>
      <c r="K2041" s="1271">
        <v>2.2584294909148799E-2</v>
      </c>
      <c r="L2041" s="1257">
        <v>1.1100550519912199E-3</v>
      </c>
      <c r="M2041" s="1280">
        <v>1.4256387374450801E-2</v>
      </c>
      <c r="N2041" s="1271">
        <v>3.0000008598028201E-3</v>
      </c>
      <c r="O2041" s="1257">
        <v>2.0000005732018801E-3</v>
      </c>
      <c r="P2041" s="1257">
        <v>3.0000008598028201E-3</v>
      </c>
      <c r="Q2041" s="1280">
        <v>3.0000008598028201E-3</v>
      </c>
      <c r="R2041" s="1271">
        <v>3.1850009128239903E-2</v>
      </c>
      <c r="S2041" s="1257">
        <v>3.1850009128239903E-2</v>
      </c>
      <c r="T2041" s="1257">
        <v>3.1850009128239903E-2</v>
      </c>
      <c r="U2041" s="1280">
        <v>1.5925004564119952E-2</v>
      </c>
      <c r="V2041" s="1293">
        <v>2.3605456508616101E-2</v>
      </c>
    </row>
    <row r="2042" spans="1:22" s="212" customFormat="1" ht="15.5" x14ac:dyDescent="0.35">
      <c r="A2042" s="240">
        <v>2047</v>
      </c>
      <c r="B2042" s="241" t="s">
        <v>5833</v>
      </c>
      <c r="C2042" s="197">
        <v>2015</v>
      </c>
      <c r="D2042" s="225" t="str">
        <f t="shared" si="12"/>
        <v>2047_2015</v>
      </c>
      <c r="E2042" s="1226">
        <v>0.10650179902979399</v>
      </c>
      <c r="F2042" s="1257">
        <v>2.1287024978661898E-3</v>
      </c>
      <c r="G2042" s="1280">
        <v>5.8097373928927297E-2</v>
      </c>
      <c r="H2042" s="1271">
        <v>0.24466004030772501</v>
      </c>
      <c r="I2042" s="1257">
        <v>1.6568642584989399E-2</v>
      </c>
      <c r="J2042" s="1280">
        <v>0.16776182826341601</v>
      </c>
      <c r="K2042" s="1271">
        <v>2.2584294909148799E-2</v>
      </c>
      <c r="L2042" s="1257">
        <v>1.1100550519912199E-3</v>
      </c>
      <c r="M2042" s="1280">
        <v>1.4256387374450801E-2</v>
      </c>
      <c r="N2042" s="1271">
        <v>3.0000008598028201E-3</v>
      </c>
      <c r="O2042" s="1257">
        <v>2.0000005732018801E-3</v>
      </c>
      <c r="P2042" s="1257">
        <v>3.0000008598028201E-3</v>
      </c>
      <c r="Q2042" s="1280">
        <v>3.0000008598028201E-3</v>
      </c>
      <c r="R2042" s="1271">
        <v>3.1850009128239903E-2</v>
      </c>
      <c r="S2042" s="1257">
        <v>3.1850009128239903E-2</v>
      </c>
      <c r="T2042" s="1257">
        <v>3.1850009128239903E-2</v>
      </c>
      <c r="U2042" s="1280">
        <v>1.5925004564119952E-2</v>
      </c>
      <c r="V2042" s="1293">
        <v>2.3605456508616101E-2</v>
      </c>
    </row>
    <row r="2043" spans="1:22" s="212" customFormat="1" ht="15.5" x14ac:dyDescent="0.35">
      <c r="A2043" s="240">
        <v>2047</v>
      </c>
      <c r="B2043" s="241" t="s">
        <v>5833</v>
      </c>
      <c r="C2043" s="197">
        <v>2016</v>
      </c>
      <c r="D2043" s="225" t="str">
        <f t="shared" si="12"/>
        <v>2047_2016</v>
      </c>
      <c r="E2043" s="1226">
        <v>0.10650179902979399</v>
      </c>
      <c r="F2043" s="1257">
        <v>2.1287024978661898E-3</v>
      </c>
      <c r="G2043" s="1280">
        <v>5.8097373928927297E-2</v>
      </c>
      <c r="H2043" s="1271">
        <v>0.24466004030772501</v>
      </c>
      <c r="I2043" s="1257">
        <v>1.6568642584989399E-2</v>
      </c>
      <c r="J2043" s="1280">
        <v>0.16776182826341601</v>
      </c>
      <c r="K2043" s="1271">
        <v>2.2584294909148799E-2</v>
      </c>
      <c r="L2043" s="1257">
        <v>1.1100550519912199E-3</v>
      </c>
      <c r="M2043" s="1280">
        <v>1.4256387374450801E-2</v>
      </c>
      <c r="N2043" s="1271">
        <v>3.0000008598028201E-3</v>
      </c>
      <c r="O2043" s="1257">
        <v>2.0000005732018801E-3</v>
      </c>
      <c r="P2043" s="1257">
        <v>3.0000008598028201E-3</v>
      </c>
      <c r="Q2043" s="1280">
        <v>3.0000008598028201E-3</v>
      </c>
      <c r="R2043" s="1271">
        <v>3.1850009128239903E-2</v>
      </c>
      <c r="S2043" s="1257">
        <v>3.1850009128239903E-2</v>
      </c>
      <c r="T2043" s="1257">
        <v>3.1850009128239903E-2</v>
      </c>
      <c r="U2043" s="1280">
        <v>1.5925004564119952E-2</v>
      </c>
      <c r="V2043" s="1293">
        <v>2.3605456508616101E-2</v>
      </c>
    </row>
    <row r="2044" spans="1:22" s="212" customFormat="1" ht="15.5" x14ac:dyDescent="0.35">
      <c r="A2044" s="240">
        <v>2047</v>
      </c>
      <c r="B2044" s="241" t="s">
        <v>5833</v>
      </c>
      <c r="C2044" s="197">
        <v>2017</v>
      </c>
      <c r="D2044" s="225" t="str">
        <f t="shared" si="12"/>
        <v>2047_2017</v>
      </c>
      <c r="E2044" s="1226">
        <v>0.10650179902979399</v>
      </c>
      <c r="F2044" s="1257">
        <v>2.1287024978661898E-3</v>
      </c>
      <c r="G2044" s="1280">
        <v>5.8097373928927297E-2</v>
      </c>
      <c r="H2044" s="1271">
        <v>0.24466004030772501</v>
      </c>
      <c r="I2044" s="1257">
        <v>1.6568642584989399E-2</v>
      </c>
      <c r="J2044" s="1280">
        <v>0.16776182826341601</v>
      </c>
      <c r="K2044" s="1271">
        <v>2.2584294909148799E-2</v>
      </c>
      <c r="L2044" s="1257">
        <v>1.1100550519912199E-3</v>
      </c>
      <c r="M2044" s="1280">
        <v>1.4256387374450801E-2</v>
      </c>
      <c r="N2044" s="1271">
        <v>3.0000008598028201E-3</v>
      </c>
      <c r="O2044" s="1257">
        <v>2.0000005732018801E-3</v>
      </c>
      <c r="P2044" s="1257">
        <v>3.0000008598028201E-3</v>
      </c>
      <c r="Q2044" s="1280">
        <v>3.0000008598028201E-3</v>
      </c>
      <c r="R2044" s="1271">
        <v>3.1850009128239903E-2</v>
      </c>
      <c r="S2044" s="1257">
        <v>3.1850009128239903E-2</v>
      </c>
      <c r="T2044" s="1257">
        <v>3.1850009128239903E-2</v>
      </c>
      <c r="U2044" s="1280">
        <v>1.5925004564119952E-2</v>
      </c>
      <c r="V2044" s="1293">
        <v>2.3605456508616101E-2</v>
      </c>
    </row>
    <row r="2045" spans="1:22" s="212" customFormat="1" ht="15.5" x14ac:dyDescent="0.35">
      <c r="A2045" s="240">
        <v>2047</v>
      </c>
      <c r="B2045" s="241" t="s">
        <v>5833</v>
      </c>
      <c r="C2045" s="197">
        <v>2018</v>
      </c>
      <c r="D2045" s="225" t="str">
        <f t="shared" si="12"/>
        <v>2047_2018</v>
      </c>
      <c r="E2045" s="1226">
        <v>0.10650179902979399</v>
      </c>
      <c r="F2045" s="1257">
        <v>2.1287024978661898E-3</v>
      </c>
      <c r="G2045" s="1280">
        <v>5.8097373928927297E-2</v>
      </c>
      <c r="H2045" s="1271">
        <v>0.24466004030772501</v>
      </c>
      <c r="I2045" s="1257">
        <v>1.6568642584989399E-2</v>
      </c>
      <c r="J2045" s="1280">
        <v>0.16776182826341601</v>
      </c>
      <c r="K2045" s="1271">
        <v>2.2584294909148799E-2</v>
      </c>
      <c r="L2045" s="1257">
        <v>1.1100550519912199E-3</v>
      </c>
      <c r="M2045" s="1280">
        <v>1.4256387374450801E-2</v>
      </c>
      <c r="N2045" s="1271">
        <v>3.0000008598028201E-3</v>
      </c>
      <c r="O2045" s="1257">
        <v>2.0000005732018801E-3</v>
      </c>
      <c r="P2045" s="1257">
        <v>3.0000008598028201E-3</v>
      </c>
      <c r="Q2045" s="1280">
        <v>3.0000008598028201E-3</v>
      </c>
      <c r="R2045" s="1271">
        <v>3.1850009128239903E-2</v>
      </c>
      <c r="S2045" s="1257">
        <v>3.1850009128239903E-2</v>
      </c>
      <c r="T2045" s="1257">
        <v>3.1850009128239903E-2</v>
      </c>
      <c r="U2045" s="1280">
        <v>1.5925004564119952E-2</v>
      </c>
      <c r="V2045" s="1293">
        <v>2.3605456508616101E-2</v>
      </c>
    </row>
    <row r="2046" spans="1:22" s="212" customFormat="1" ht="15.5" x14ac:dyDescent="0.35">
      <c r="A2046" s="240">
        <v>2047</v>
      </c>
      <c r="B2046" s="241" t="s">
        <v>5833</v>
      </c>
      <c r="C2046" s="197">
        <v>2019</v>
      </c>
      <c r="D2046" s="225" t="str">
        <f t="shared" si="12"/>
        <v>2047_2019</v>
      </c>
      <c r="E2046" s="1226">
        <v>0.10650179902979399</v>
      </c>
      <c r="F2046" s="1257">
        <v>2.1287024978661898E-3</v>
      </c>
      <c r="G2046" s="1280">
        <v>5.8097373928927297E-2</v>
      </c>
      <c r="H2046" s="1271">
        <v>0.24466004030772501</v>
      </c>
      <c r="I2046" s="1257">
        <v>1.6568642584989399E-2</v>
      </c>
      <c r="J2046" s="1280">
        <v>0.16776182826341601</v>
      </c>
      <c r="K2046" s="1271">
        <v>2.2584294909148799E-2</v>
      </c>
      <c r="L2046" s="1257">
        <v>1.1100550519912199E-3</v>
      </c>
      <c r="M2046" s="1280">
        <v>1.4256387374450801E-2</v>
      </c>
      <c r="N2046" s="1271">
        <v>3.0000008598028201E-3</v>
      </c>
      <c r="O2046" s="1257">
        <v>2.0000005732018801E-3</v>
      </c>
      <c r="P2046" s="1257">
        <v>3.0000008598028201E-3</v>
      </c>
      <c r="Q2046" s="1280">
        <v>3.0000008598028201E-3</v>
      </c>
      <c r="R2046" s="1271">
        <v>3.1850009128239903E-2</v>
      </c>
      <c r="S2046" s="1257">
        <v>3.1850009128239903E-2</v>
      </c>
      <c r="T2046" s="1257">
        <v>3.1850009128239903E-2</v>
      </c>
      <c r="U2046" s="1280">
        <v>1.5925004564119952E-2</v>
      </c>
      <c r="V2046" s="1293">
        <v>2.3605456508616101E-2</v>
      </c>
    </row>
    <row r="2047" spans="1:22" s="212" customFormat="1" ht="15.5" x14ac:dyDescent="0.35">
      <c r="A2047" s="240">
        <v>2047</v>
      </c>
      <c r="B2047" s="241" t="s">
        <v>5833</v>
      </c>
      <c r="C2047" s="197">
        <v>2020</v>
      </c>
      <c r="D2047" s="225" t="str">
        <f t="shared" si="12"/>
        <v>2047_2020</v>
      </c>
      <c r="E2047" s="1226">
        <v>0.10650179902979399</v>
      </c>
      <c r="F2047" s="1257">
        <v>2.1287024978661898E-3</v>
      </c>
      <c r="G2047" s="1280">
        <v>5.8097373928927297E-2</v>
      </c>
      <c r="H2047" s="1271">
        <v>0.24466004030772501</v>
      </c>
      <c r="I2047" s="1257">
        <v>1.6568642584989399E-2</v>
      </c>
      <c r="J2047" s="1280">
        <v>0.16776182826341601</v>
      </c>
      <c r="K2047" s="1271">
        <v>2.2584294909148799E-2</v>
      </c>
      <c r="L2047" s="1257">
        <v>1.1100550519912199E-3</v>
      </c>
      <c r="M2047" s="1280">
        <v>1.4256387374450801E-2</v>
      </c>
      <c r="N2047" s="1271">
        <v>3.0000008598028201E-3</v>
      </c>
      <c r="O2047" s="1257">
        <v>2.0000005732018801E-3</v>
      </c>
      <c r="P2047" s="1257">
        <v>3.0000008598028201E-3</v>
      </c>
      <c r="Q2047" s="1280">
        <v>3.0000008598028201E-3</v>
      </c>
      <c r="R2047" s="1271">
        <v>3.1850009128239903E-2</v>
      </c>
      <c r="S2047" s="1257">
        <v>3.1850009128239903E-2</v>
      </c>
      <c r="T2047" s="1257">
        <v>3.1850009128239903E-2</v>
      </c>
      <c r="U2047" s="1280">
        <v>1.5925004564119952E-2</v>
      </c>
      <c r="V2047" s="1293">
        <v>2.3605456508616101E-2</v>
      </c>
    </row>
    <row r="2048" spans="1:22" s="212" customFormat="1" ht="15.5" x14ac:dyDescent="0.35">
      <c r="A2048" s="240">
        <v>2047</v>
      </c>
      <c r="B2048" s="241" t="s">
        <v>5833</v>
      </c>
      <c r="C2048" s="197">
        <v>2021</v>
      </c>
      <c r="D2048" s="225" t="str">
        <f t="shared" si="12"/>
        <v>2047_2021</v>
      </c>
      <c r="E2048" s="1226">
        <v>0.10650179902979399</v>
      </c>
      <c r="F2048" s="1257">
        <v>2.1287024978661898E-3</v>
      </c>
      <c r="G2048" s="1280">
        <v>5.8097373928927297E-2</v>
      </c>
      <c r="H2048" s="1271">
        <v>0.24466004030772501</v>
      </c>
      <c r="I2048" s="1257">
        <v>1.6568642584989399E-2</v>
      </c>
      <c r="J2048" s="1280">
        <v>0.16776182826341601</v>
      </c>
      <c r="K2048" s="1271">
        <v>2.2584294909148799E-2</v>
      </c>
      <c r="L2048" s="1257">
        <v>1.1100550519912199E-3</v>
      </c>
      <c r="M2048" s="1280">
        <v>1.4256387374450801E-2</v>
      </c>
      <c r="N2048" s="1271">
        <v>3.0000008598028201E-3</v>
      </c>
      <c r="O2048" s="1257">
        <v>2.0000005732018801E-3</v>
      </c>
      <c r="P2048" s="1257">
        <v>3.0000008598028201E-3</v>
      </c>
      <c r="Q2048" s="1280">
        <v>3.0000008598028201E-3</v>
      </c>
      <c r="R2048" s="1271">
        <v>3.1850009128239903E-2</v>
      </c>
      <c r="S2048" s="1257">
        <v>3.1850009128239903E-2</v>
      </c>
      <c r="T2048" s="1257">
        <v>3.1850009128239903E-2</v>
      </c>
      <c r="U2048" s="1280">
        <v>1.5925004564119952E-2</v>
      </c>
      <c r="V2048" s="1293">
        <v>2.3605456508616101E-2</v>
      </c>
    </row>
    <row r="2049" spans="1:22" s="212" customFormat="1" ht="15.5" x14ac:dyDescent="0.35">
      <c r="A2049" s="240">
        <v>2047</v>
      </c>
      <c r="B2049" s="241" t="s">
        <v>5833</v>
      </c>
      <c r="C2049" s="197">
        <v>2022</v>
      </c>
      <c r="D2049" s="225" t="str">
        <f t="shared" si="12"/>
        <v>2047_2022</v>
      </c>
      <c r="E2049" s="1226">
        <v>0.10650179902979399</v>
      </c>
      <c r="F2049" s="1257">
        <v>2.1287024978661898E-3</v>
      </c>
      <c r="G2049" s="1280">
        <v>5.8097373928927297E-2</v>
      </c>
      <c r="H2049" s="1271">
        <v>0.24466004030772501</v>
      </c>
      <c r="I2049" s="1257">
        <v>1.6568642584989399E-2</v>
      </c>
      <c r="J2049" s="1280">
        <v>0.16776182826341601</v>
      </c>
      <c r="K2049" s="1271">
        <v>2.2584294909148799E-2</v>
      </c>
      <c r="L2049" s="1257">
        <v>1.1100550519912199E-3</v>
      </c>
      <c r="M2049" s="1280">
        <v>1.4256387374450801E-2</v>
      </c>
      <c r="N2049" s="1271">
        <v>3.0000008598028201E-3</v>
      </c>
      <c r="O2049" s="1257">
        <v>2.0000005732018801E-3</v>
      </c>
      <c r="P2049" s="1257">
        <v>3.0000008598028201E-3</v>
      </c>
      <c r="Q2049" s="1280">
        <v>3.0000008598028201E-3</v>
      </c>
      <c r="R2049" s="1271">
        <v>3.1850009128239903E-2</v>
      </c>
      <c r="S2049" s="1257">
        <v>3.1850009128239903E-2</v>
      </c>
      <c r="T2049" s="1257">
        <v>3.1850009128239903E-2</v>
      </c>
      <c r="U2049" s="1280">
        <v>1.5925004564119952E-2</v>
      </c>
      <c r="V2049" s="1293">
        <v>2.3605456508616101E-2</v>
      </c>
    </row>
    <row r="2050" spans="1:22" s="212" customFormat="1" ht="15.5" x14ac:dyDescent="0.35">
      <c r="A2050" s="240">
        <v>2047</v>
      </c>
      <c r="B2050" s="241" t="s">
        <v>5833</v>
      </c>
      <c r="C2050" s="197">
        <v>2023</v>
      </c>
      <c r="D2050" s="225" t="str">
        <f t="shared" si="12"/>
        <v>2047_2023</v>
      </c>
      <c r="E2050" s="1226">
        <v>0.10650179902979399</v>
      </c>
      <c r="F2050" s="1257">
        <v>2.1287024978661898E-3</v>
      </c>
      <c r="G2050" s="1280">
        <v>5.8097373928927297E-2</v>
      </c>
      <c r="H2050" s="1271">
        <v>0.24466004030772501</v>
      </c>
      <c r="I2050" s="1257">
        <v>1.6568642584989399E-2</v>
      </c>
      <c r="J2050" s="1280">
        <v>0.16776182826341601</v>
      </c>
      <c r="K2050" s="1271">
        <v>2.2584294909148799E-2</v>
      </c>
      <c r="L2050" s="1257">
        <v>1.1100550519912199E-3</v>
      </c>
      <c r="M2050" s="1280">
        <v>1.4256387374450801E-2</v>
      </c>
      <c r="N2050" s="1271">
        <v>3.0000008598028201E-3</v>
      </c>
      <c r="O2050" s="1257">
        <v>2.0000005732018801E-3</v>
      </c>
      <c r="P2050" s="1257">
        <v>3.0000008598028201E-3</v>
      </c>
      <c r="Q2050" s="1280">
        <v>3.0000008598028201E-3</v>
      </c>
      <c r="R2050" s="1271">
        <v>3.1850009128239903E-2</v>
      </c>
      <c r="S2050" s="1257">
        <v>3.1850009128239903E-2</v>
      </c>
      <c r="T2050" s="1257">
        <v>3.1850009128239903E-2</v>
      </c>
      <c r="U2050" s="1280">
        <v>1.5925004564119952E-2</v>
      </c>
      <c r="V2050" s="1293">
        <v>2.3605456508616101E-2</v>
      </c>
    </row>
    <row r="2051" spans="1:22" s="212" customFormat="1" ht="15.5" x14ac:dyDescent="0.35">
      <c r="A2051" s="240">
        <v>2047</v>
      </c>
      <c r="B2051" s="241" t="s">
        <v>5833</v>
      </c>
      <c r="C2051" s="197">
        <v>2024</v>
      </c>
      <c r="D2051" s="225" t="str">
        <f t="shared" si="12"/>
        <v>2047_2024</v>
      </c>
      <c r="E2051" s="1226">
        <v>0.10650179902979399</v>
      </c>
      <c r="F2051" s="1257">
        <v>2.1287024978661898E-3</v>
      </c>
      <c r="G2051" s="1280">
        <v>5.8097373928927297E-2</v>
      </c>
      <c r="H2051" s="1271">
        <v>0.24466004030772501</v>
      </c>
      <c r="I2051" s="1257">
        <v>1.6568642584989399E-2</v>
      </c>
      <c r="J2051" s="1280">
        <v>0.16776182826341601</v>
      </c>
      <c r="K2051" s="1271">
        <v>2.2584294909148799E-2</v>
      </c>
      <c r="L2051" s="1257">
        <v>1.1100550519912199E-3</v>
      </c>
      <c r="M2051" s="1280">
        <v>1.4256387374450801E-2</v>
      </c>
      <c r="N2051" s="1271">
        <v>3.0000008598028201E-3</v>
      </c>
      <c r="O2051" s="1257">
        <v>2.0000005732018801E-3</v>
      </c>
      <c r="P2051" s="1257">
        <v>3.0000008598028201E-3</v>
      </c>
      <c r="Q2051" s="1280">
        <v>3.0000008598028201E-3</v>
      </c>
      <c r="R2051" s="1271">
        <v>3.1850009128239903E-2</v>
      </c>
      <c r="S2051" s="1257">
        <v>3.1850009128239903E-2</v>
      </c>
      <c r="T2051" s="1257">
        <v>3.1850009128239903E-2</v>
      </c>
      <c r="U2051" s="1280">
        <v>1.5925004564119952E-2</v>
      </c>
      <c r="V2051" s="1293">
        <v>2.3605456508616101E-2</v>
      </c>
    </row>
    <row r="2052" spans="1:22" s="212" customFormat="1" ht="15.5" x14ac:dyDescent="0.35">
      <c r="A2052" s="240">
        <v>2047</v>
      </c>
      <c r="B2052" s="241" t="s">
        <v>5833</v>
      </c>
      <c r="C2052" s="197">
        <v>2025</v>
      </c>
      <c r="D2052" s="225" t="str">
        <f t="shared" si="12"/>
        <v>2047_2025</v>
      </c>
      <c r="E2052" s="1226">
        <v>0.10650179902979399</v>
      </c>
      <c r="F2052" s="1257">
        <v>2.1287024978661898E-3</v>
      </c>
      <c r="G2052" s="1280">
        <v>5.8097373928927297E-2</v>
      </c>
      <c r="H2052" s="1271">
        <v>0.24466004030772501</v>
      </c>
      <c r="I2052" s="1257">
        <v>1.6568642584989399E-2</v>
      </c>
      <c r="J2052" s="1280">
        <v>0.16776182826341601</v>
      </c>
      <c r="K2052" s="1271">
        <v>2.2584294909148799E-2</v>
      </c>
      <c r="L2052" s="1257">
        <v>1.1100550519912199E-3</v>
      </c>
      <c r="M2052" s="1280">
        <v>1.4256387374450801E-2</v>
      </c>
      <c r="N2052" s="1271">
        <v>3.0000008598028201E-3</v>
      </c>
      <c r="O2052" s="1257">
        <v>2.0000005732018801E-3</v>
      </c>
      <c r="P2052" s="1257">
        <v>3.0000008598028201E-3</v>
      </c>
      <c r="Q2052" s="1280">
        <v>3.0000008598028201E-3</v>
      </c>
      <c r="R2052" s="1271">
        <v>3.1850009128239903E-2</v>
      </c>
      <c r="S2052" s="1257">
        <v>3.1850009128239903E-2</v>
      </c>
      <c r="T2052" s="1257">
        <v>3.1850009128239903E-2</v>
      </c>
      <c r="U2052" s="1280">
        <v>1.5925004564119952E-2</v>
      </c>
      <c r="V2052" s="1293">
        <v>2.3605456508616101E-2</v>
      </c>
    </row>
    <row r="2053" spans="1:22" s="212" customFormat="1" ht="15.5" x14ac:dyDescent="0.35">
      <c r="A2053" s="240">
        <v>2047</v>
      </c>
      <c r="B2053" s="241" t="s">
        <v>5833</v>
      </c>
      <c r="C2053" s="197">
        <v>2026</v>
      </c>
      <c r="D2053" s="225" t="str">
        <f t="shared" si="12"/>
        <v>2047_2026</v>
      </c>
      <c r="E2053" s="1226">
        <v>0.10650179902979399</v>
      </c>
      <c r="F2053" s="1257">
        <v>2.1287024978661898E-3</v>
      </c>
      <c r="G2053" s="1280">
        <v>5.8097373928927297E-2</v>
      </c>
      <c r="H2053" s="1271">
        <v>0.24466004030772501</v>
      </c>
      <c r="I2053" s="1257">
        <v>1.6568642584989399E-2</v>
      </c>
      <c r="J2053" s="1280">
        <v>0.16776182826341601</v>
      </c>
      <c r="K2053" s="1271">
        <v>2.2584294909148799E-2</v>
      </c>
      <c r="L2053" s="1257">
        <v>1.1100550519912199E-3</v>
      </c>
      <c r="M2053" s="1280">
        <v>1.4256387374450801E-2</v>
      </c>
      <c r="N2053" s="1271">
        <v>3.0000008598028201E-3</v>
      </c>
      <c r="O2053" s="1257">
        <v>2.0000005732018801E-3</v>
      </c>
      <c r="P2053" s="1257">
        <v>3.0000008598028201E-3</v>
      </c>
      <c r="Q2053" s="1280">
        <v>3.0000008598028201E-3</v>
      </c>
      <c r="R2053" s="1271">
        <v>3.1850009128239903E-2</v>
      </c>
      <c r="S2053" s="1257">
        <v>3.1850009128239903E-2</v>
      </c>
      <c r="T2053" s="1257">
        <v>3.1850009128239903E-2</v>
      </c>
      <c r="U2053" s="1280">
        <v>1.5925004564119952E-2</v>
      </c>
      <c r="V2053" s="1293">
        <v>2.3605456508616101E-2</v>
      </c>
    </row>
    <row r="2054" spans="1:22" s="212" customFormat="1" ht="15.5" x14ac:dyDescent="0.35">
      <c r="A2054" s="240">
        <v>2047</v>
      </c>
      <c r="B2054" s="241" t="s">
        <v>5833</v>
      </c>
      <c r="C2054" s="197">
        <v>2027</v>
      </c>
      <c r="D2054" s="225" t="str">
        <f t="shared" si="12"/>
        <v>2047_2027</v>
      </c>
      <c r="E2054" s="1226">
        <v>0.10650179902979399</v>
      </c>
      <c r="F2054" s="1257">
        <v>2.1287024978661898E-3</v>
      </c>
      <c r="G2054" s="1280">
        <v>5.8097373928927297E-2</v>
      </c>
      <c r="H2054" s="1271">
        <v>0.24466004030772501</v>
      </c>
      <c r="I2054" s="1257">
        <v>1.6568642584989399E-2</v>
      </c>
      <c r="J2054" s="1280">
        <v>0.16776182826341601</v>
      </c>
      <c r="K2054" s="1271">
        <v>2.2584294909148799E-2</v>
      </c>
      <c r="L2054" s="1257">
        <v>1.1100550519912199E-3</v>
      </c>
      <c r="M2054" s="1280">
        <v>1.4256387374450801E-2</v>
      </c>
      <c r="N2054" s="1271">
        <v>3.0000008598028201E-3</v>
      </c>
      <c r="O2054" s="1257">
        <v>2.0000005732018801E-3</v>
      </c>
      <c r="P2054" s="1257">
        <v>3.0000008598028201E-3</v>
      </c>
      <c r="Q2054" s="1280">
        <v>3.0000008598028201E-3</v>
      </c>
      <c r="R2054" s="1271">
        <v>3.1850009128239903E-2</v>
      </c>
      <c r="S2054" s="1257">
        <v>3.1850009128239903E-2</v>
      </c>
      <c r="T2054" s="1257">
        <v>3.1850009128239903E-2</v>
      </c>
      <c r="U2054" s="1280">
        <v>1.5925004564119952E-2</v>
      </c>
      <c r="V2054" s="1293">
        <v>2.3605456508616101E-2</v>
      </c>
    </row>
    <row r="2055" spans="1:22" s="212" customFormat="1" ht="15.5" x14ac:dyDescent="0.35">
      <c r="A2055" s="240">
        <v>2047</v>
      </c>
      <c r="B2055" s="241" t="s">
        <v>5833</v>
      </c>
      <c r="C2055" s="197">
        <v>2028</v>
      </c>
      <c r="D2055" s="225" t="str">
        <f t="shared" si="12"/>
        <v>2047_2028</v>
      </c>
      <c r="E2055" s="1226">
        <v>0.10650179902979399</v>
      </c>
      <c r="F2055" s="1257">
        <v>2.1287024978661898E-3</v>
      </c>
      <c r="G2055" s="1280">
        <v>5.8097373928927297E-2</v>
      </c>
      <c r="H2055" s="1271">
        <v>0.24466004030772501</v>
      </c>
      <c r="I2055" s="1257">
        <v>1.6568642584989399E-2</v>
      </c>
      <c r="J2055" s="1280">
        <v>0.16776182826341601</v>
      </c>
      <c r="K2055" s="1271">
        <v>2.2584294909148799E-2</v>
      </c>
      <c r="L2055" s="1257">
        <v>1.1100550519912199E-3</v>
      </c>
      <c r="M2055" s="1280">
        <v>1.4256387374450801E-2</v>
      </c>
      <c r="N2055" s="1271">
        <v>3.0000008598028201E-3</v>
      </c>
      <c r="O2055" s="1257">
        <v>2.0000005732018801E-3</v>
      </c>
      <c r="P2055" s="1257">
        <v>3.0000008598028201E-3</v>
      </c>
      <c r="Q2055" s="1280">
        <v>3.0000008598028201E-3</v>
      </c>
      <c r="R2055" s="1271">
        <v>3.1850009128239903E-2</v>
      </c>
      <c r="S2055" s="1257">
        <v>3.1850009128239903E-2</v>
      </c>
      <c r="T2055" s="1257">
        <v>3.1850009128239903E-2</v>
      </c>
      <c r="U2055" s="1280">
        <v>1.5925004564119952E-2</v>
      </c>
      <c r="V2055" s="1293">
        <v>2.3605456508616101E-2</v>
      </c>
    </row>
    <row r="2056" spans="1:22" s="212" customFormat="1" ht="15.5" x14ac:dyDescent="0.35">
      <c r="A2056" s="240">
        <v>2047</v>
      </c>
      <c r="B2056" s="241" t="s">
        <v>5833</v>
      </c>
      <c r="C2056" s="197">
        <v>2029</v>
      </c>
      <c r="D2056" s="225" t="str">
        <f t="shared" si="12"/>
        <v>2047_2029</v>
      </c>
      <c r="E2056" s="1226">
        <v>0.10650179902979399</v>
      </c>
      <c r="F2056" s="1257">
        <v>2.1287024978661898E-3</v>
      </c>
      <c r="G2056" s="1280">
        <v>5.8097373928927297E-2</v>
      </c>
      <c r="H2056" s="1271">
        <v>0.24466004030772501</v>
      </c>
      <c r="I2056" s="1257">
        <v>1.6568642584989399E-2</v>
      </c>
      <c r="J2056" s="1280">
        <v>0.16776182826341601</v>
      </c>
      <c r="K2056" s="1271">
        <v>2.2584294909148799E-2</v>
      </c>
      <c r="L2056" s="1257">
        <v>1.1100550519912199E-3</v>
      </c>
      <c r="M2056" s="1280">
        <v>1.4256387374450801E-2</v>
      </c>
      <c r="N2056" s="1271">
        <v>3.0000008598028201E-3</v>
      </c>
      <c r="O2056" s="1257">
        <v>2.0000005732018801E-3</v>
      </c>
      <c r="P2056" s="1257">
        <v>3.0000008598028201E-3</v>
      </c>
      <c r="Q2056" s="1280">
        <v>3.0000008598028201E-3</v>
      </c>
      <c r="R2056" s="1271">
        <v>3.1850009128239903E-2</v>
      </c>
      <c r="S2056" s="1257">
        <v>3.1850009128239903E-2</v>
      </c>
      <c r="T2056" s="1257">
        <v>3.1850009128239903E-2</v>
      </c>
      <c r="U2056" s="1280">
        <v>1.5925004564119952E-2</v>
      </c>
      <c r="V2056" s="1293">
        <v>2.3605456508616101E-2</v>
      </c>
    </row>
    <row r="2057" spans="1:22" s="212" customFormat="1" ht="15.5" x14ac:dyDescent="0.35">
      <c r="A2057" s="240">
        <v>2047</v>
      </c>
      <c r="B2057" s="241" t="s">
        <v>5833</v>
      </c>
      <c r="C2057" s="197">
        <v>2030</v>
      </c>
      <c r="D2057" s="225" t="str">
        <f t="shared" si="12"/>
        <v>2047_2030</v>
      </c>
      <c r="E2057" s="1226">
        <v>0.10650179902979399</v>
      </c>
      <c r="F2057" s="1257">
        <v>2.1287024978661898E-3</v>
      </c>
      <c r="G2057" s="1280">
        <v>5.8097373928927297E-2</v>
      </c>
      <c r="H2057" s="1271">
        <v>0.24466004030772501</v>
      </c>
      <c r="I2057" s="1257">
        <v>1.6568642584989399E-2</v>
      </c>
      <c r="J2057" s="1280">
        <v>0.16776182826341601</v>
      </c>
      <c r="K2057" s="1271">
        <v>2.2584294909148799E-2</v>
      </c>
      <c r="L2057" s="1257">
        <v>1.1100550519912199E-3</v>
      </c>
      <c r="M2057" s="1280">
        <v>1.4256387374450801E-2</v>
      </c>
      <c r="N2057" s="1271">
        <v>3.0000008598028201E-3</v>
      </c>
      <c r="O2057" s="1257">
        <v>2.0000005732018801E-3</v>
      </c>
      <c r="P2057" s="1257">
        <v>3.0000008598028201E-3</v>
      </c>
      <c r="Q2057" s="1280">
        <v>3.0000008598028201E-3</v>
      </c>
      <c r="R2057" s="1271">
        <v>3.1850009128239903E-2</v>
      </c>
      <c r="S2057" s="1257">
        <v>3.1850009128239903E-2</v>
      </c>
      <c r="T2057" s="1257">
        <v>3.1850009128239903E-2</v>
      </c>
      <c r="U2057" s="1280">
        <v>1.5925004564119952E-2</v>
      </c>
      <c r="V2057" s="1293">
        <v>2.3605456508616101E-2</v>
      </c>
    </row>
    <row r="2058" spans="1:22" s="212" customFormat="1" ht="15.5" x14ac:dyDescent="0.35">
      <c r="A2058" s="240">
        <v>2047</v>
      </c>
      <c r="B2058" s="241" t="s">
        <v>5833</v>
      </c>
      <c r="C2058" s="197">
        <v>2031</v>
      </c>
      <c r="D2058" s="225" t="str">
        <f t="shared" si="12"/>
        <v>2047_2031</v>
      </c>
      <c r="E2058" s="1226">
        <v>0.10650179902979399</v>
      </c>
      <c r="F2058" s="1257">
        <v>2.1287024978661898E-3</v>
      </c>
      <c r="G2058" s="1280">
        <v>5.8097373928927297E-2</v>
      </c>
      <c r="H2058" s="1271">
        <v>0.24466004030772501</v>
      </c>
      <c r="I2058" s="1257">
        <v>1.6568642584989399E-2</v>
      </c>
      <c r="J2058" s="1280">
        <v>0.16776182826341601</v>
      </c>
      <c r="K2058" s="1271">
        <v>2.2584294909148799E-2</v>
      </c>
      <c r="L2058" s="1257">
        <v>1.1100550519912199E-3</v>
      </c>
      <c r="M2058" s="1280">
        <v>1.4256387374450801E-2</v>
      </c>
      <c r="N2058" s="1271">
        <v>3.0000008598028201E-3</v>
      </c>
      <c r="O2058" s="1257">
        <v>2.0000005732018801E-3</v>
      </c>
      <c r="P2058" s="1257">
        <v>3.0000008598028201E-3</v>
      </c>
      <c r="Q2058" s="1280">
        <v>3.0000008598028201E-3</v>
      </c>
      <c r="R2058" s="1271">
        <v>3.1850009128239903E-2</v>
      </c>
      <c r="S2058" s="1257">
        <v>3.1850009128239903E-2</v>
      </c>
      <c r="T2058" s="1257">
        <v>3.1850009128239903E-2</v>
      </c>
      <c r="U2058" s="1280">
        <v>1.5925004564119952E-2</v>
      </c>
      <c r="V2058" s="1293">
        <v>2.3605456508616101E-2</v>
      </c>
    </row>
    <row r="2059" spans="1:22" s="212" customFormat="1" ht="15.5" x14ac:dyDescent="0.35">
      <c r="A2059" s="240">
        <v>2047</v>
      </c>
      <c r="B2059" s="241" t="s">
        <v>5833</v>
      </c>
      <c r="C2059" s="197">
        <v>2032</v>
      </c>
      <c r="D2059" s="225" t="str">
        <f t="shared" si="12"/>
        <v>2047_2032</v>
      </c>
      <c r="E2059" s="1226">
        <v>0.10650179902979399</v>
      </c>
      <c r="F2059" s="1257">
        <v>2.1287024978661898E-3</v>
      </c>
      <c r="G2059" s="1280">
        <v>5.8097373928927297E-2</v>
      </c>
      <c r="H2059" s="1271">
        <v>0.24466004030772501</v>
      </c>
      <c r="I2059" s="1257">
        <v>1.6568642584989399E-2</v>
      </c>
      <c r="J2059" s="1280">
        <v>0.16776182826341601</v>
      </c>
      <c r="K2059" s="1271">
        <v>2.2584294909148799E-2</v>
      </c>
      <c r="L2059" s="1257">
        <v>1.1100550519912199E-3</v>
      </c>
      <c r="M2059" s="1280">
        <v>1.4256387374450801E-2</v>
      </c>
      <c r="N2059" s="1271">
        <v>3.0000008598028201E-3</v>
      </c>
      <c r="O2059" s="1257">
        <v>2.0000005732018801E-3</v>
      </c>
      <c r="P2059" s="1257">
        <v>3.0000008598028201E-3</v>
      </c>
      <c r="Q2059" s="1280">
        <v>3.0000008598028201E-3</v>
      </c>
      <c r="R2059" s="1271">
        <v>3.1850009128239903E-2</v>
      </c>
      <c r="S2059" s="1257">
        <v>3.1850009128239903E-2</v>
      </c>
      <c r="T2059" s="1257">
        <v>3.1850009128239903E-2</v>
      </c>
      <c r="U2059" s="1280">
        <v>1.5925004564119952E-2</v>
      </c>
      <c r="V2059" s="1293">
        <v>2.3605456508616101E-2</v>
      </c>
    </row>
    <row r="2060" spans="1:22" s="212" customFormat="1" ht="15.5" x14ac:dyDescent="0.35">
      <c r="A2060" s="240">
        <v>2047</v>
      </c>
      <c r="B2060" s="241" t="s">
        <v>5833</v>
      </c>
      <c r="C2060" s="197">
        <v>2033</v>
      </c>
      <c r="D2060" s="225" t="str">
        <f t="shared" si="12"/>
        <v>2047_2033</v>
      </c>
      <c r="E2060" s="1226">
        <v>0.10650179902979399</v>
      </c>
      <c r="F2060" s="1257">
        <v>2.1287024978661898E-3</v>
      </c>
      <c r="G2060" s="1280">
        <v>5.8097373928927297E-2</v>
      </c>
      <c r="H2060" s="1271">
        <v>0.24466004030772501</v>
      </c>
      <c r="I2060" s="1257">
        <v>1.6568642584989399E-2</v>
      </c>
      <c r="J2060" s="1280">
        <v>0.16776182826341601</v>
      </c>
      <c r="K2060" s="1271">
        <v>2.2584294909148799E-2</v>
      </c>
      <c r="L2060" s="1257">
        <v>1.1100550519912199E-3</v>
      </c>
      <c r="M2060" s="1280">
        <v>1.4256387374450801E-2</v>
      </c>
      <c r="N2060" s="1271">
        <v>3.0000008598028201E-3</v>
      </c>
      <c r="O2060" s="1257">
        <v>2.0000005732018801E-3</v>
      </c>
      <c r="P2060" s="1257">
        <v>3.0000008598028201E-3</v>
      </c>
      <c r="Q2060" s="1306">
        <v>7.0779306122425202E-3</v>
      </c>
      <c r="R2060" s="1271">
        <v>3.1850009128239903E-2</v>
      </c>
      <c r="S2060" s="1257">
        <v>3.1850009128239903E-2</v>
      </c>
      <c r="T2060" s="1257">
        <v>3.1850009128239903E-2</v>
      </c>
      <c r="U2060" s="1306">
        <v>1.9250005517068101E-2</v>
      </c>
      <c r="V2060" s="1293">
        <v>2.3605456508616101E-2</v>
      </c>
    </row>
    <row r="2061" spans="1:22" s="212" customFormat="1" ht="15.5" x14ac:dyDescent="0.35">
      <c r="A2061" s="240">
        <v>2047</v>
      </c>
      <c r="B2061" s="241" t="s">
        <v>5833</v>
      </c>
      <c r="C2061" s="197">
        <v>2034</v>
      </c>
      <c r="D2061" s="225" t="str">
        <f t="shared" si="12"/>
        <v>2047_2034</v>
      </c>
      <c r="E2061" s="1226">
        <v>0.10650179902979399</v>
      </c>
      <c r="F2061" s="1257">
        <v>2.1287024978661898E-3</v>
      </c>
      <c r="G2061" s="1280">
        <v>5.8097373928927297E-2</v>
      </c>
      <c r="H2061" s="1271">
        <v>0.24466004030772501</v>
      </c>
      <c r="I2061" s="1257">
        <v>1.6568642584989399E-2</v>
      </c>
      <c r="J2061" s="1280">
        <v>0.16776182826341601</v>
      </c>
      <c r="K2061" s="1271">
        <v>2.2584294909148799E-2</v>
      </c>
      <c r="L2061" s="1257">
        <v>1.1100550519912199E-3</v>
      </c>
      <c r="M2061" s="1280">
        <v>1.4256387374450801E-2</v>
      </c>
      <c r="N2061" s="1271">
        <v>3.0000008598028201E-3</v>
      </c>
      <c r="O2061" s="1257">
        <v>2.0000005732018801E-3</v>
      </c>
      <c r="P2061" s="1257">
        <v>3.0000008598028201E-3</v>
      </c>
      <c r="Q2061" s="1306">
        <v>5.7121094500660798E-3</v>
      </c>
      <c r="R2061" s="1271">
        <v>3.1850009128239903E-2</v>
      </c>
      <c r="S2061" s="1257">
        <v>3.1850009128239903E-2</v>
      </c>
      <c r="T2061" s="1257">
        <v>3.1850009128239903E-2</v>
      </c>
      <c r="U2061" s="1306">
        <v>1.9250005517068101E-2</v>
      </c>
      <c r="V2061" s="1293">
        <v>2.3605456508616101E-2</v>
      </c>
    </row>
    <row r="2062" spans="1:22" s="212" customFormat="1" ht="15.5" x14ac:dyDescent="0.35">
      <c r="A2062" s="240">
        <v>2047</v>
      </c>
      <c r="B2062" s="241" t="s">
        <v>5833</v>
      </c>
      <c r="C2062" s="197">
        <v>2035</v>
      </c>
      <c r="D2062" s="225" t="str">
        <f t="shared" si="12"/>
        <v>2047_2035</v>
      </c>
      <c r="E2062" s="1226">
        <v>0.10650179902979399</v>
      </c>
      <c r="F2062" s="1257">
        <v>2.1287024978661898E-3</v>
      </c>
      <c r="G2062" s="1280">
        <v>5.8097373928927297E-2</v>
      </c>
      <c r="H2062" s="1271">
        <v>0.24466004030772501</v>
      </c>
      <c r="I2062" s="1257">
        <v>1.6568642584989399E-2</v>
      </c>
      <c r="J2062" s="1280">
        <v>0.16776182826341601</v>
      </c>
      <c r="K2062" s="1271">
        <v>2.2584294909148799E-2</v>
      </c>
      <c r="L2062" s="1257">
        <v>1.1100550519912199E-3</v>
      </c>
      <c r="M2062" s="1280">
        <v>1.4256387374450801E-2</v>
      </c>
      <c r="N2062" s="1271">
        <v>3.0000008598028201E-3</v>
      </c>
      <c r="O2062" s="1257">
        <v>2.0000005732018801E-3</v>
      </c>
      <c r="P2062" s="1257">
        <v>3.0000008598028201E-3</v>
      </c>
      <c r="Q2062" s="1306">
        <v>8.08268618211762E-3</v>
      </c>
      <c r="R2062" s="1271">
        <v>3.1850009128239903E-2</v>
      </c>
      <c r="S2062" s="1257">
        <v>3.1850009128239903E-2</v>
      </c>
      <c r="T2062" s="1257">
        <v>3.1850009128239903E-2</v>
      </c>
      <c r="U2062" s="1306">
        <v>1.9250005517068101E-2</v>
      </c>
      <c r="V2062" s="1293">
        <v>2.3605456508616101E-2</v>
      </c>
    </row>
    <row r="2063" spans="1:22" s="212" customFormat="1" ht="15.5" x14ac:dyDescent="0.35">
      <c r="A2063" s="240">
        <v>2047</v>
      </c>
      <c r="B2063" s="241" t="s">
        <v>5833</v>
      </c>
      <c r="C2063" s="197">
        <v>2036</v>
      </c>
      <c r="D2063" s="225" t="str">
        <f t="shared" si="12"/>
        <v>2047_2036</v>
      </c>
      <c r="E2063" s="1226">
        <v>0.10650179902979399</v>
      </c>
      <c r="F2063" s="1257">
        <v>2.1287024978661898E-3</v>
      </c>
      <c r="G2063" s="1280">
        <v>5.8097373928927297E-2</v>
      </c>
      <c r="H2063" s="1271">
        <v>0.24466004030772501</v>
      </c>
      <c r="I2063" s="1257">
        <v>1.6568642584989399E-2</v>
      </c>
      <c r="J2063" s="1280">
        <v>0.16776182826341601</v>
      </c>
      <c r="K2063" s="1271">
        <v>2.2584294909148799E-2</v>
      </c>
      <c r="L2063" s="1257">
        <v>1.1100550519912199E-3</v>
      </c>
      <c r="M2063" s="1280">
        <v>1.4256387374450801E-2</v>
      </c>
      <c r="N2063" s="1271">
        <v>3.0000008598028201E-3</v>
      </c>
      <c r="O2063" s="1257">
        <v>2.0000005732018801E-3</v>
      </c>
      <c r="P2063" s="1257">
        <v>3.0000008598028201E-3</v>
      </c>
      <c r="Q2063" s="1306">
        <v>7.3795799121639197E-3</v>
      </c>
      <c r="R2063" s="1271">
        <v>3.1850009128239903E-2</v>
      </c>
      <c r="S2063" s="1257">
        <v>3.1850009128239903E-2</v>
      </c>
      <c r="T2063" s="1257">
        <v>3.1850009128239903E-2</v>
      </c>
      <c r="U2063" s="1306">
        <v>1.9250005517068101E-2</v>
      </c>
      <c r="V2063" s="1293">
        <v>2.3605456508616101E-2</v>
      </c>
    </row>
    <row r="2064" spans="1:22" s="212" customFormat="1" ht="15.5" x14ac:dyDescent="0.35">
      <c r="A2064" s="198">
        <v>2047</v>
      </c>
      <c r="B2064" s="197" t="s">
        <v>5833</v>
      </c>
      <c r="C2064" s="197">
        <v>2037</v>
      </c>
      <c r="D2064" s="225" t="str">
        <f t="shared" si="12"/>
        <v>2047_2037</v>
      </c>
      <c r="E2064" s="1231">
        <v>0.10650179902979399</v>
      </c>
      <c r="F2064" s="1288">
        <v>2.1287024978661898E-3</v>
      </c>
      <c r="G2064" s="1306">
        <v>5.8097373928927297E-2</v>
      </c>
      <c r="H2064" s="1303">
        <v>0.24466004030772501</v>
      </c>
      <c r="I2064" s="1288">
        <v>1.6568642584989399E-2</v>
      </c>
      <c r="J2064" s="1306">
        <v>0.16776182826341601</v>
      </c>
      <c r="K2064" s="1303">
        <v>2.2584294909148799E-2</v>
      </c>
      <c r="L2064" s="1288">
        <v>1.1100550519912199E-3</v>
      </c>
      <c r="M2064" s="1306">
        <v>1.4256387374450801E-2</v>
      </c>
      <c r="N2064" s="1303">
        <v>3.0000008598028201E-3</v>
      </c>
      <c r="O2064" s="1288">
        <v>2.0000005732018801E-3</v>
      </c>
      <c r="P2064" s="1288">
        <v>3.0000008598028201E-3</v>
      </c>
      <c r="Q2064" s="1306">
        <v>7.5861856395711197E-3</v>
      </c>
      <c r="R2064" s="1303">
        <v>3.1850009128239903E-2</v>
      </c>
      <c r="S2064" s="1288">
        <v>3.1850009128239903E-2</v>
      </c>
      <c r="T2064" s="1288">
        <v>3.1850009128239903E-2</v>
      </c>
      <c r="U2064" s="1306">
        <v>1.9250005517068101E-2</v>
      </c>
      <c r="V2064" s="1294">
        <v>2.3605456508616101E-2</v>
      </c>
    </row>
    <row r="2065" spans="1:22" s="212" customFormat="1" ht="15.5" x14ac:dyDescent="0.35">
      <c r="A2065" s="198">
        <v>2047</v>
      </c>
      <c r="B2065" s="197" t="s">
        <v>5833</v>
      </c>
      <c r="C2065" s="197">
        <v>2038</v>
      </c>
      <c r="D2065" s="225" t="str">
        <f t="shared" si="12"/>
        <v>2047_2038</v>
      </c>
      <c r="E2065" s="1231">
        <v>0.10541926046175799</v>
      </c>
      <c r="F2065" s="1288">
        <v>1.3524314062029401E-3</v>
      </c>
      <c r="G2065" s="1306">
        <v>7.8470601024727096E-2</v>
      </c>
      <c r="H2065" s="1303">
        <v>0.2388484263416</v>
      </c>
      <c r="I2065" s="1288">
        <v>1.68129453259609E-2</v>
      </c>
      <c r="J2065" s="1306">
        <v>0.193429329981155</v>
      </c>
      <c r="K2065" s="1303">
        <v>2.1505393226587202E-2</v>
      </c>
      <c r="L2065" s="1288">
        <v>1.0119005220444999E-3</v>
      </c>
      <c r="M2065" s="1306">
        <v>1.6919448440766299E-2</v>
      </c>
      <c r="N2065" s="1303">
        <v>3.0000008598028201E-3</v>
      </c>
      <c r="O2065" s="1288">
        <v>2.0000005732018801E-3</v>
      </c>
      <c r="P2065" s="1288">
        <v>3.0000008598028201E-3</v>
      </c>
      <c r="Q2065" s="1306">
        <v>7.8507146591203902E-3</v>
      </c>
      <c r="R2065" s="1303">
        <v>3.1850009128239903E-2</v>
      </c>
      <c r="S2065" s="1288">
        <v>3.1850009128239903E-2</v>
      </c>
      <c r="T2065" s="1288">
        <v>3.1850009128239903E-2</v>
      </c>
      <c r="U2065" s="1306">
        <v>1.9250005517068101E-2</v>
      </c>
      <c r="V2065" s="1294">
        <v>2.2477771679524399E-2</v>
      </c>
    </row>
    <row r="2066" spans="1:22" s="212" customFormat="1" ht="15.5" x14ac:dyDescent="0.35">
      <c r="A2066" s="198">
        <v>2047</v>
      </c>
      <c r="B2066" s="197" t="s">
        <v>5833</v>
      </c>
      <c r="C2066" s="197">
        <v>2039</v>
      </c>
      <c r="D2066" s="225" t="str">
        <f t="shared" si="12"/>
        <v>2047_2039</v>
      </c>
      <c r="E2066" s="1231">
        <v>0.104815205035479</v>
      </c>
      <c r="F2066" s="1288">
        <v>2.5311195881821801E-3</v>
      </c>
      <c r="G2066" s="1306">
        <v>4.9334659728194001E-2</v>
      </c>
      <c r="H2066" s="1303">
        <v>0.23422862092757099</v>
      </c>
      <c r="I2066" s="1288">
        <v>1.5723073359633698E-2</v>
      </c>
      <c r="J2066" s="1306">
        <v>0.147292731160938</v>
      </c>
      <c r="K2066" s="1303">
        <v>2.0450582752165498E-2</v>
      </c>
      <c r="L2066" s="1288">
        <v>1.14152224330179E-3</v>
      </c>
      <c r="M2066" s="1306">
        <v>1.16305383129169E-2</v>
      </c>
      <c r="N2066" s="1303">
        <v>3.0000008598028201E-3</v>
      </c>
      <c r="O2066" s="1288">
        <v>2.0000005732018801E-3</v>
      </c>
      <c r="P2066" s="1288">
        <v>3.0000008598028201E-3</v>
      </c>
      <c r="Q2066" s="1306">
        <v>7.5933065431310698E-3</v>
      </c>
      <c r="R2066" s="1303">
        <v>3.1850009128239903E-2</v>
      </c>
      <c r="S2066" s="1288">
        <v>3.1850009128239903E-2</v>
      </c>
      <c r="T2066" s="1288">
        <v>3.1850009128239903E-2</v>
      </c>
      <c r="U2066" s="1306">
        <v>1.9250005517068101E-2</v>
      </c>
      <c r="V2066" s="1294">
        <v>2.1375267356101499E-2</v>
      </c>
    </row>
    <row r="2067" spans="1:22" s="212" customFormat="1" ht="15.5" x14ac:dyDescent="0.35">
      <c r="A2067" s="198">
        <v>2047</v>
      </c>
      <c r="B2067" s="197" t="s">
        <v>5833</v>
      </c>
      <c r="C2067" s="197">
        <v>2040</v>
      </c>
      <c r="D2067" s="225" t="str">
        <f t="shared" si="12"/>
        <v>2047_2040</v>
      </c>
      <c r="E2067" s="1231">
        <v>0.10279341249778701</v>
      </c>
      <c r="F2067" s="1288">
        <v>1.9475146162140299E-3</v>
      </c>
      <c r="G2067" s="1306">
        <v>5.87316214423938E-2</v>
      </c>
      <c r="H2067" s="1303">
        <v>0.225228883760177</v>
      </c>
      <c r="I2067" s="1288">
        <v>1.62057533364162E-2</v>
      </c>
      <c r="J2067" s="1306">
        <v>0.15111747641368101</v>
      </c>
      <c r="K2067" s="1303">
        <v>1.9051702846326998E-2</v>
      </c>
      <c r="L2067" s="1288">
        <v>1.0896549036963699E-3</v>
      </c>
      <c r="M2067" s="1306">
        <v>1.2155607368570199E-2</v>
      </c>
      <c r="N2067" s="1303">
        <v>3.0000008598028201E-3</v>
      </c>
      <c r="O2067" s="1288">
        <v>2.0000005732018801E-3</v>
      </c>
      <c r="P2067" s="1288">
        <v>3.0000008598028201E-3</v>
      </c>
      <c r="Q2067" s="1306">
        <v>7.6833188573584002E-3</v>
      </c>
      <c r="R2067" s="1303">
        <v>3.1850009128239903E-2</v>
      </c>
      <c r="S2067" s="1288">
        <v>3.1850009128239903E-2</v>
      </c>
      <c r="T2067" s="1288">
        <v>3.1850009128239903E-2</v>
      </c>
      <c r="U2067" s="1306">
        <v>1.9250005517068101E-2</v>
      </c>
      <c r="V2067" s="1294">
        <v>1.9913136308358701E-2</v>
      </c>
    </row>
    <row r="2068" spans="1:22" s="212" customFormat="1" ht="15.5" x14ac:dyDescent="0.35">
      <c r="A2068" s="198">
        <v>2047</v>
      </c>
      <c r="B2068" s="197" t="s">
        <v>5833</v>
      </c>
      <c r="C2068" s="197">
        <v>2041</v>
      </c>
      <c r="D2068" s="225" t="str">
        <f t="shared" si="12"/>
        <v>2047_2041</v>
      </c>
      <c r="E2068" s="1231">
        <v>0.100335134947188</v>
      </c>
      <c r="F2068" s="1288">
        <v>2.3000427435208599E-3</v>
      </c>
      <c r="G2068" s="1306">
        <v>5.9890498732652397E-2</v>
      </c>
      <c r="H2068" s="1303">
        <v>0.21487805945775501</v>
      </c>
      <c r="I2068" s="1288">
        <v>1.5282857491919301E-2</v>
      </c>
      <c r="J2068" s="1306">
        <v>0.15366420962143901</v>
      </c>
      <c r="K2068" s="1303">
        <v>1.75200385810865E-2</v>
      </c>
      <c r="L2068" s="1288">
        <v>1.1160988011777E-3</v>
      </c>
      <c r="M2068" s="1306">
        <v>1.1737355218573199E-2</v>
      </c>
      <c r="N2068" s="1303">
        <v>3.0000008598028201E-3</v>
      </c>
      <c r="O2068" s="1288">
        <v>2.0000005732018801E-3</v>
      </c>
      <c r="P2068" s="1288">
        <v>3.0000008598028201E-3</v>
      </c>
      <c r="Q2068" s="1306">
        <v>8.1261048842491499E-3</v>
      </c>
      <c r="R2068" s="1303">
        <v>3.1850009128239903E-2</v>
      </c>
      <c r="S2068" s="1288">
        <v>3.1850009128239903E-2</v>
      </c>
      <c r="T2068" s="1288">
        <v>3.1850009128239903E-2</v>
      </c>
      <c r="U2068" s="1306">
        <v>1.9250005517068101E-2</v>
      </c>
      <c r="V2068" s="1294">
        <v>1.8312216981703499E-2</v>
      </c>
    </row>
    <row r="2069" spans="1:22" s="212" customFormat="1" ht="15.5" x14ac:dyDescent="0.35">
      <c r="A2069" s="198">
        <v>2047</v>
      </c>
      <c r="B2069" s="197" t="s">
        <v>5833</v>
      </c>
      <c r="C2069" s="197">
        <v>2042</v>
      </c>
      <c r="D2069" s="225" t="str">
        <f t="shared" si="12"/>
        <v>2047_2042</v>
      </c>
      <c r="E2069" s="1231">
        <v>9.9725758833308101E-2</v>
      </c>
      <c r="F2069" s="1288">
        <v>2.1504760388053302E-3</v>
      </c>
      <c r="G2069" s="1306">
        <v>7.7478354311079994E-2</v>
      </c>
      <c r="H2069" s="1303">
        <v>0.208090484305679</v>
      </c>
      <c r="I2069" s="1288">
        <v>1.54838553565524E-2</v>
      </c>
      <c r="J2069" s="1306">
        <v>0.175676973528857</v>
      </c>
      <c r="K2069" s="1303">
        <v>1.62342251412614E-2</v>
      </c>
      <c r="L2069" s="1288">
        <v>1.1022853757913099E-3</v>
      </c>
      <c r="M2069" s="1306">
        <v>1.32678565452334E-2</v>
      </c>
      <c r="N2069" s="1303">
        <v>3.0000008598028201E-3</v>
      </c>
      <c r="O2069" s="1288">
        <v>2.0000005732018801E-3</v>
      </c>
      <c r="P2069" s="1288">
        <v>3.0000008598028201E-3</v>
      </c>
      <c r="Q2069" s="1306">
        <v>8.1542539330640706E-3</v>
      </c>
      <c r="R2069" s="1303">
        <v>3.1850009128239903E-2</v>
      </c>
      <c r="S2069" s="1288">
        <v>3.1850009128239903E-2</v>
      </c>
      <c r="T2069" s="1288">
        <v>3.1850009128239903E-2</v>
      </c>
      <c r="U2069" s="1306">
        <v>1.9250005517068101E-2</v>
      </c>
      <c r="V2069" s="1294">
        <v>1.6968264763842101E-2</v>
      </c>
    </row>
    <row r="2070" spans="1:22" s="212" customFormat="1" ht="15.5" x14ac:dyDescent="0.35">
      <c r="A2070" s="198">
        <v>2047</v>
      </c>
      <c r="B2070" s="197" t="s">
        <v>5833</v>
      </c>
      <c r="C2070" s="197">
        <v>2043</v>
      </c>
      <c r="D2070" s="225" t="str">
        <f t="shared" si="12"/>
        <v>2047_2043</v>
      </c>
      <c r="E2070" s="1231">
        <v>9.5899977936852607E-2</v>
      </c>
      <c r="F2070" s="1288">
        <v>2.2184786551310899E-3</v>
      </c>
      <c r="G2070" s="1306">
        <v>6.0252738595264699E-2</v>
      </c>
      <c r="H2070" s="1303">
        <v>0.19534171194241401</v>
      </c>
      <c r="I2070" s="1288">
        <v>1.57659431706514E-2</v>
      </c>
      <c r="J2070" s="1306">
        <v>0.141674457716361</v>
      </c>
      <c r="K2070" s="1303">
        <v>1.4347630787955701E-2</v>
      </c>
      <c r="L2070" s="1288">
        <v>1.0925837034598E-3</v>
      </c>
      <c r="M2070" s="1306">
        <v>9.9057285053441996E-3</v>
      </c>
      <c r="N2070" s="1303">
        <v>3.0000008598028201E-3</v>
      </c>
      <c r="O2070" s="1288">
        <v>2.0000005732018801E-3</v>
      </c>
      <c r="P2070" s="1288">
        <v>3.0000008598028201E-3</v>
      </c>
      <c r="Q2070" s="1306">
        <v>8.1135182202519193E-3</v>
      </c>
      <c r="R2070" s="1303">
        <v>3.1850009128239903E-2</v>
      </c>
      <c r="S2070" s="1288">
        <v>3.1850009128239903E-2</v>
      </c>
      <c r="T2070" s="1288">
        <v>3.1850009128239903E-2</v>
      </c>
      <c r="U2070" s="1306">
        <v>1.9250005517068101E-2</v>
      </c>
      <c r="V2070" s="1294">
        <v>1.49963669855184E-2</v>
      </c>
    </row>
    <row r="2071" spans="1:22" s="212" customFormat="1" ht="15.5" x14ac:dyDescent="0.35">
      <c r="A2071" s="198">
        <v>2047</v>
      </c>
      <c r="B2071" s="197" t="s">
        <v>5833</v>
      </c>
      <c r="C2071" s="197">
        <v>2044</v>
      </c>
      <c r="D2071" s="225" t="str">
        <f t="shared" si="12"/>
        <v>2047_2044</v>
      </c>
      <c r="E2071" s="1231">
        <v>9.3595247526498296E-2</v>
      </c>
      <c r="F2071" s="1288">
        <v>2.2458033116130901E-3</v>
      </c>
      <c r="G2071" s="1306">
        <v>5.9423278383104898E-2</v>
      </c>
      <c r="H2071" s="1303">
        <v>0.18481545746414799</v>
      </c>
      <c r="I2071" s="1288">
        <v>1.72530107521645E-2</v>
      </c>
      <c r="J2071" s="1306">
        <v>0.13392498746148301</v>
      </c>
      <c r="K2071" s="1303">
        <v>1.2647064413517199E-2</v>
      </c>
      <c r="L2071" s="1288">
        <v>1.0757415723173099E-3</v>
      </c>
      <c r="M2071" s="1306">
        <v>8.7685856292826804E-3</v>
      </c>
      <c r="N2071" s="1303">
        <v>3.0000008598028201E-3</v>
      </c>
      <c r="O2071" s="1288">
        <v>2.0000005732018801E-3</v>
      </c>
      <c r="P2071" s="1288">
        <v>3.0000008598028201E-3</v>
      </c>
      <c r="Q2071" s="1306">
        <v>8.3295984317365498E-3</v>
      </c>
      <c r="R2071" s="1303">
        <v>3.1850009128239903E-2</v>
      </c>
      <c r="S2071" s="1288">
        <v>3.1850009128239903E-2</v>
      </c>
      <c r="T2071" s="1288">
        <v>3.1850009128239903E-2</v>
      </c>
      <c r="U2071" s="1306">
        <v>1.9250005517068101E-2</v>
      </c>
      <c r="V2071" s="1294">
        <v>1.32189085457793E-2</v>
      </c>
    </row>
    <row r="2072" spans="1:22" s="212" customFormat="1" ht="15.5" x14ac:dyDescent="0.35">
      <c r="A2072" s="198">
        <v>2047</v>
      </c>
      <c r="B2072" s="197" t="s">
        <v>5833</v>
      </c>
      <c r="C2072" s="197">
        <v>2045</v>
      </c>
      <c r="D2072" s="225" t="str">
        <f t="shared" si="12"/>
        <v>2047_2045</v>
      </c>
      <c r="E2072" s="1231">
        <v>9.0899250130967404E-2</v>
      </c>
      <c r="F2072" s="1288">
        <v>3.0306857326461399E-3</v>
      </c>
      <c r="G2072" s="1306">
        <v>5.1306144747908899E-2</v>
      </c>
      <c r="H2072" s="1303">
        <v>0.17342248887738099</v>
      </c>
      <c r="I2072" s="1288">
        <v>1.9230488847847602E-2</v>
      </c>
      <c r="J2072" s="1306">
        <v>0.122217807918809</v>
      </c>
      <c r="K2072" s="1303">
        <v>1.08314199230752E-2</v>
      </c>
      <c r="L2072" s="1288">
        <v>1.1234905244532701E-3</v>
      </c>
      <c r="M2072" s="1306">
        <v>7.0288377976288402E-3</v>
      </c>
      <c r="N2072" s="1303">
        <v>3.0000008598028201E-3</v>
      </c>
      <c r="O2072" s="1288">
        <v>2.0000005732018801E-3</v>
      </c>
      <c r="P2072" s="1288">
        <v>3.0000008598028201E-3</v>
      </c>
      <c r="Q2072" s="1306">
        <v>7.8859969065633705E-3</v>
      </c>
      <c r="R2072" s="1303">
        <v>3.1850009128239903E-2</v>
      </c>
      <c r="S2072" s="1288">
        <v>3.1850009128239903E-2</v>
      </c>
      <c r="T2072" s="1288">
        <v>3.1850009128239903E-2</v>
      </c>
      <c r="U2072" s="1306">
        <v>1.9250005517068101E-2</v>
      </c>
      <c r="V2072" s="1294">
        <v>1.1321168668282601E-2</v>
      </c>
    </row>
    <row r="2073" spans="1:22" s="212" customFormat="1" ht="15.5" x14ac:dyDescent="0.35">
      <c r="A2073" s="198">
        <v>2047</v>
      </c>
      <c r="B2073" s="197" t="s">
        <v>5833</v>
      </c>
      <c r="C2073" s="197">
        <v>2046</v>
      </c>
      <c r="D2073" s="225" t="str">
        <f t="shared" si="12"/>
        <v>2047_2046</v>
      </c>
      <c r="E2073" s="1231">
        <v>8.78561185790072E-2</v>
      </c>
      <c r="F2073" s="1288">
        <v>2.3650339131398002E-3</v>
      </c>
      <c r="G2073" s="1306">
        <v>5.5649113728902203E-2</v>
      </c>
      <c r="H2073" s="1303">
        <v>0.161138158238329</v>
      </c>
      <c r="I2073" s="1288">
        <v>2.2001915295175499E-2</v>
      </c>
      <c r="J2073" s="1306">
        <v>0.12519190824857901</v>
      </c>
      <c r="K2073" s="1303">
        <v>8.9079922602698196E-3</v>
      </c>
      <c r="L2073" s="1288">
        <v>1.0452726825084099E-3</v>
      </c>
      <c r="M2073" s="1306">
        <v>6.3810094805050697E-3</v>
      </c>
      <c r="N2073" s="1303">
        <v>3.0000008598028201E-3</v>
      </c>
      <c r="O2073" s="1288">
        <v>2.0000005732018801E-3</v>
      </c>
      <c r="P2073" s="1288">
        <v>3.0000008598028201E-3</v>
      </c>
      <c r="Q2073" s="1306">
        <v>8.1105458892964302E-3</v>
      </c>
      <c r="R2073" s="1303">
        <v>3.1850009128239903E-2</v>
      </c>
      <c r="S2073" s="1288">
        <v>3.1850009128239903E-2</v>
      </c>
      <c r="T2073" s="1288">
        <v>3.1850009128239903E-2</v>
      </c>
      <c r="U2073" s="1306">
        <v>1.9250005517068101E-2</v>
      </c>
      <c r="V2073" s="1294">
        <v>9.310772141649E-3</v>
      </c>
    </row>
    <row r="2074" spans="1:22" s="212" customFormat="1" ht="15.5" x14ac:dyDescent="0.35">
      <c r="A2074" s="198">
        <v>2047</v>
      </c>
      <c r="B2074" s="197" t="s">
        <v>5833</v>
      </c>
      <c r="C2074" s="197">
        <v>2047</v>
      </c>
      <c r="D2074" s="225" t="str">
        <f t="shared" si="12"/>
        <v>2047_2047</v>
      </c>
      <c r="E2074" s="1231">
        <v>8.5221265752410194E-2</v>
      </c>
      <c r="F2074" s="1288">
        <v>3.4052273930410301E-3</v>
      </c>
      <c r="G2074" s="1306">
        <v>5.5381648393842603E-2</v>
      </c>
      <c r="H2074" s="1303">
        <v>0.149338812640124</v>
      </c>
      <c r="I2074" s="1288">
        <v>2.00540926073699E-2</v>
      </c>
      <c r="J2074" s="1306">
        <v>0.111126379490704</v>
      </c>
      <c r="K2074" s="1303">
        <v>6.9614208449328401E-3</v>
      </c>
      <c r="L2074" s="1288">
        <v>1.1337027053715399E-3</v>
      </c>
      <c r="M2074" s="1306">
        <v>4.9440293545807198E-3</v>
      </c>
      <c r="N2074" s="1303">
        <v>3.0000008598028201E-3</v>
      </c>
      <c r="O2074" s="1288">
        <v>2.0000005732018801E-3</v>
      </c>
      <c r="P2074" s="1288">
        <v>3.0000008598028201E-3</v>
      </c>
      <c r="Q2074" s="1306">
        <v>7.8612197989545197E-3</v>
      </c>
      <c r="R2074" s="1303">
        <v>3.1850009128239903E-2</v>
      </c>
      <c r="S2074" s="1288">
        <v>3.1850009128239903E-2</v>
      </c>
      <c r="T2074" s="1288">
        <v>3.1850009128239903E-2</v>
      </c>
      <c r="U2074" s="1306">
        <v>1.9250005517068101E-2</v>
      </c>
      <c r="V2074" s="1294">
        <v>7.2761854046932096E-3</v>
      </c>
    </row>
    <row r="2075" spans="1:22" s="212" customFormat="1" ht="15.5" x14ac:dyDescent="0.35">
      <c r="A2075" s="198">
        <v>2047</v>
      </c>
      <c r="B2075" s="197" t="s">
        <v>5833</v>
      </c>
      <c r="C2075" s="197">
        <v>2048</v>
      </c>
      <c r="D2075" s="225" t="str">
        <f t="shared" si="12"/>
        <v>2047_2048</v>
      </c>
      <c r="E2075" s="1226">
        <v>8.5221265752410194E-2</v>
      </c>
      <c r="F2075" s="1257">
        <v>3.4052273930410301E-3</v>
      </c>
      <c r="G2075" s="1280">
        <v>5.5381648393842603E-2</v>
      </c>
      <c r="H2075" s="1271">
        <v>0.149338812640124</v>
      </c>
      <c r="I2075" s="1257">
        <v>2.00540926073699E-2</v>
      </c>
      <c r="J2075" s="1280">
        <v>0.111126379490704</v>
      </c>
      <c r="K2075" s="1271">
        <v>6.9614208449328401E-3</v>
      </c>
      <c r="L2075" s="1257">
        <v>1.1337027053715399E-3</v>
      </c>
      <c r="M2075" s="1280">
        <v>4.9440293545807198E-3</v>
      </c>
      <c r="N2075" s="1271">
        <v>3.0000008598028201E-3</v>
      </c>
      <c r="O2075" s="1257">
        <v>2.0000005732018801E-3</v>
      </c>
      <c r="P2075" s="1257">
        <v>3.0000008598028201E-3</v>
      </c>
      <c r="Q2075" s="1280">
        <v>7.8612197989545197E-3</v>
      </c>
      <c r="R2075" s="1271">
        <v>3.1850009128239903E-2</v>
      </c>
      <c r="S2075" s="1257">
        <v>3.1850009128239903E-2</v>
      </c>
      <c r="T2075" s="1257">
        <v>3.1850009128239903E-2</v>
      </c>
      <c r="U2075" s="1280">
        <v>1.9250005517068101E-2</v>
      </c>
      <c r="V2075" s="1293">
        <v>7.2761854046932096E-3</v>
      </c>
    </row>
    <row r="2076" spans="1:22" s="212" customFormat="1" ht="15.5" x14ac:dyDescent="0.35">
      <c r="A2076" s="198">
        <v>2048</v>
      </c>
      <c r="B2076" s="197" t="s">
        <v>5833</v>
      </c>
      <c r="C2076" s="197">
        <v>1971</v>
      </c>
      <c r="D2076" s="225" t="str">
        <f t="shared" si="12"/>
        <v>2048_1971</v>
      </c>
      <c r="E2076" s="1226">
        <v>0.10715001640433799</v>
      </c>
      <c r="F2076" s="1257">
        <v>1.3409378913220101E-3</v>
      </c>
      <c r="G2076" s="1280">
        <v>7.9758918344033994E-2</v>
      </c>
      <c r="H2076" s="1271">
        <v>0.246397154675151</v>
      </c>
      <c r="I2076" s="1257">
        <v>1.6903820740229999E-2</v>
      </c>
      <c r="J2076" s="1280">
        <v>0.199542602260707</v>
      </c>
      <c r="K2076" s="1271">
        <v>2.2717960707251399E-2</v>
      </c>
      <c r="L2076" s="1257">
        <v>1.0119005220444999E-3</v>
      </c>
      <c r="M2076" s="1280">
        <v>1.7873440434955201E-2</v>
      </c>
      <c r="N2076" s="1271">
        <v>3.0000008598028201E-3</v>
      </c>
      <c r="O2076" s="1257">
        <v>2.0000005732018801E-3</v>
      </c>
      <c r="P2076" s="1257">
        <v>3.0000008598028201E-3</v>
      </c>
      <c r="Q2076" s="1280">
        <v>3.0000008598028201E-3</v>
      </c>
      <c r="R2076" s="1271">
        <v>3.1850009128239903E-2</v>
      </c>
      <c r="S2076" s="1257">
        <v>3.1850009128239903E-2</v>
      </c>
      <c r="T2076" s="1257">
        <v>3.1850009128239903E-2</v>
      </c>
      <c r="U2076" s="1280">
        <v>1.5925004564119952E-2</v>
      </c>
      <c r="V2076" s="1293">
        <v>2.37451660809757E-2</v>
      </c>
    </row>
    <row r="2077" spans="1:22" s="212" customFormat="1" ht="15.5" x14ac:dyDescent="0.35">
      <c r="A2077" s="198">
        <v>2048</v>
      </c>
      <c r="B2077" s="197" t="s">
        <v>5833</v>
      </c>
      <c r="C2077" s="197">
        <v>1972</v>
      </c>
      <c r="D2077" s="225" t="str">
        <f t="shared" si="12"/>
        <v>2048_1972</v>
      </c>
      <c r="E2077" s="1226">
        <v>0.10715001640433799</v>
      </c>
      <c r="F2077" s="1257">
        <v>1.3409378913220101E-3</v>
      </c>
      <c r="G2077" s="1280">
        <v>7.9758918344033994E-2</v>
      </c>
      <c r="H2077" s="1271">
        <v>0.246397154675151</v>
      </c>
      <c r="I2077" s="1257">
        <v>1.6903820740229999E-2</v>
      </c>
      <c r="J2077" s="1280">
        <v>0.199542602260707</v>
      </c>
      <c r="K2077" s="1271">
        <v>2.2717960707251399E-2</v>
      </c>
      <c r="L2077" s="1257">
        <v>1.0119005220444999E-3</v>
      </c>
      <c r="M2077" s="1280">
        <v>1.7873440434955201E-2</v>
      </c>
      <c r="N2077" s="1271">
        <v>3.0000008598028201E-3</v>
      </c>
      <c r="O2077" s="1257">
        <v>2.0000005732018801E-3</v>
      </c>
      <c r="P2077" s="1257">
        <v>3.0000008598028201E-3</v>
      </c>
      <c r="Q2077" s="1280">
        <v>3.0000008598028201E-3</v>
      </c>
      <c r="R2077" s="1271">
        <v>3.1850009128239903E-2</v>
      </c>
      <c r="S2077" s="1257">
        <v>3.1850009128239903E-2</v>
      </c>
      <c r="T2077" s="1257">
        <v>3.1850009128239903E-2</v>
      </c>
      <c r="U2077" s="1280">
        <v>1.5925004564119952E-2</v>
      </c>
      <c r="V2077" s="1293">
        <v>2.37451660809757E-2</v>
      </c>
    </row>
    <row r="2078" spans="1:22" s="212" customFormat="1" ht="15.5" x14ac:dyDescent="0.35">
      <c r="A2078" s="198">
        <v>2048</v>
      </c>
      <c r="B2078" s="197" t="s">
        <v>5833</v>
      </c>
      <c r="C2078" s="197">
        <v>1973</v>
      </c>
      <c r="D2078" s="225" t="str">
        <f t="shared" si="12"/>
        <v>2048_1973</v>
      </c>
      <c r="E2078" s="1226">
        <v>0.10715001640433799</v>
      </c>
      <c r="F2078" s="1257">
        <v>1.3409378913220101E-3</v>
      </c>
      <c r="G2078" s="1280">
        <v>7.9758918344033994E-2</v>
      </c>
      <c r="H2078" s="1271">
        <v>0.246397154675151</v>
      </c>
      <c r="I2078" s="1257">
        <v>1.6903820740229999E-2</v>
      </c>
      <c r="J2078" s="1280">
        <v>0.199542602260707</v>
      </c>
      <c r="K2078" s="1271">
        <v>2.2717960707251399E-2</v>
      </c>
      <c r="L2078" s="1257">
        <v>1.0119005220444999E-3</v>
      </c>
      <c r="M2078" s="1280">
        <v>1.7873440434955201E-2</v>
      </c>
      <c r="N2078" s="1271">
        <v>3.0000008598028201E-3</v>
      </c>
      <c r="O2078" s="1257">
        <v>2.0000005732018801E-3</v>
      </c>
      <c r="P2078" s="1257">
        <v>3.0000008598028201E-3</v>
      </c>
      <c r="Q2078" s="1280">
        <v>3.0000008598028201E-3</v>
      </c>
      <c r="R2078" s="1271">
        <v>3.1850009128239903E-2</v>
      </c>
      <c r="S2078" s="1257">
        <v>3.1850009128239903E-2</v>
      </c>
      <c r="T2078" s="1257">
        <v>3.1850009128239903E-2</v>
      </c>
      <c r="U2078" s="1280">
        <v>1.5925004564119952E-2</v>
      </c>
      <c r="V2078" s="1293">
        <v>2.37451660809757E-2</v>
      </c>
    </row>
    <row r="2079" spans="1:22" s="212" customFormat="1" ht="15.5" x14ac:dyDescent="0.35">
      <c r="A2079" s="198">
        <v>2048</v>
      </c>
      <c r="B2079" s="197" t="s">
        <v>5833</v>
      </c>
      <c r="C2079" s="197">
        <v>1974</v>
      </c>
      <c r="D2079" s="225" t="str">
        <f t="shared" si="12"/>
        <v>2048_1974</v>
      </c>
      <c r="E2079" s="1226">
        <v>0.10715001640433799</v>
      </c>
      <c r="F2079" s="1257">
        <v>1.3409378913220101E-3</v>
      </c>
      <c r="G2079" s="1280">
        <v>7.9758918344033994E-2</v>
      </c>
      <c r="H2079" s="1271">
        <v>0.246397154675151</v>
      </c>
      <c r="I2079" s="1257">
        <v>1.6903820740229999E-2</v>
      </c>
      <c r="J2079" s="1280">
        <v>0.199542602260707</v>
      </c>
      <c r="K2079" s="1271">
        <v>2.2717960707251399E-2</v>
      </c>
      <c r="L2079" s="1257">
        <v>1.0119005220444999E-3</v>
      </c>
      <c r="M2079" s="1280">
        <v>1.7873440434955201E-2</v>
      </c>
      <c r="N2079" s="1271">
        <v>3.0000008598028201E-3</v>
      </c>
      <c r="O2079" s="1257">
        <v>2.0000005732018801E-3</v>
      </c>
      <c r="P2079" s="1257">
        <v>3.0000008598028201E-3</v>
      </c>
      <c r="Q2079" s="1280">
        <v>3.0000008598028201E-3</v>
      </c>
      <c r="R2079" s="1271">
        <v>3.1850009128239903E-2</v>
      </c>
      <c r="S2079" s="1257">
        <v>3.1850009128239903E-2</v>
      </c>
      <c r="T2079" s="1257">
        <v>3.1850009128239903E-2</v>
      </c>
      <c r="U2079" s="1280">
        <v>1.5925004564119952E-2</v>
      </c>
      <c r="V2079" s="1293">
        <v>2.37451660809757E-2</v>
      </c>
    </row>
    <row r="2080" spans="1:22" s="212" customFormat="1" ht="15.5" x14ac:dyDescent="0.35">
      <c r="A2080" s="198">
        <v>2048</v>
      </c>
      <c r="B2080" s="197" t="s">
        <v>5833</v>
      </c>
      <c r="C2080" s="197">
        <v>1975</v>
      </c>
      <c r="D2080" s="225" t="str">
        <f t="shared" si="12"/>
        <v>2048_1975</v>
      </c>
      <c r="E2080" s="1226">
        <v>0.10715001640433799</v>
      </c>
      <c r="F2080" s="1257">
        <v>1.3409378913220101E-3</v>
      </c>
      <c r="G2080" s="1280">
        <v>7.9758918344033994E-2</v>
      </c>
      <c r="H2080" s="1271">
        <v>0.246397154675151</v>
      </c>
      <c r="I2080" s="1257">
        <v>1.6903820740229999E-2</v>
      </c>
      <c r="J2080" s="1280">
        <v>0.199542602260707</v>
      </c>
      <c r="K2080" s="1271">
        <v>2.2717960707251399E-2</v>
      </c>
      <c r="L2080" s="1257">
        <v>1.0119005220444999E-3</v>
      </c>
      <c r="M2080" s="1280">
        <v>1.7873440434955201E-2</v>
      </c>
      <c r="N2080" s="1271">
        <v>3.0000008598028201E-3</v>
      </c>
      <c r="O2080" s="1257">
        <v>2.0000005732018801E-3</v>
      </c>
      <c r="P2080" s="1257">
        <v>3.0000008598028201E-3</v>
      </c>
      <c r="Q2080" s="1280">
        <v>3.0000008598028201E-3</v>
      </c>
      <c r="R2080" s="1271">
        <v>3.1850009128239903E-2</v>
      </c>
      <c r="S2080" s="1257">
        <v>3.1850009128239903E-2</v>
      </c>
      <c r="T2080" s="1257">
        <v>3.1850009128239903E-2</v>
      </c>
      <c r="U2080" s="1280">
        <v>1.5925004564119952E-2</v>
      </c>
      <c r="V2080" s="1293">
        <v>2.37451660809757E-2</v>
      </c>
    </row>
    <row r="2081" spans="1:22" s="212" customFormat="1" ht="15.5" x14ac:dyDescent="0.35">
      <c r="A2081" s="198">
        <v>2048</v>
      </c>
      <c r="B2081" s="197" t="s">
        <v>5833</v>
      </c>
      <c r="C2081" s="197">
        <v>1976</v>
      </c>
      <c r="D2081" s="225" t="str">
        <f t="shared" si="12"/>
        <v>2048_1976</v>
      </c>
      <c r="E2081" s="1226">
        <v>0.10715001640433799</v>
      </c>
      <c r="F2081" s="1257">
        <v>1.3409378913220101E-3</v>
      </c>
      <c r="G2081" s="1280">
        <v>7.9758918344033994E-2</v>
      </c>
      <c r="H2081" s="1271">
        <v>0.246397154675151</v>
      </c>
      <c r="I2081" s="1257">
        <v>1.6903820740229999E-2</v>
      </c>
      <c r="J2081" s="1280">
        <v>0.199542602260707</v>
      </c>
      <c r="K2081" s="1271">
        <v>2.2717960707251399E-2</v>
      </c>
      <c r="L2081" s="1257">
        <v>1.0119005220444999E-3</v>
      </c>
      <c r="M2081" s="1280">
        <v>1.7873440434955201E-2</v>
      </c>
      <c r="N2081" s="1271">
        <v>3.0000008598028201E-3</v>
      </c>
      <c r="O2081" s="1257">
        <v>2.0000005732018801E-3</v>
      </c>
      <c r="P2081" s="1257">
        <v>3.0000008598028201E-3</v>
      </c>
      <c r="Q2081" s="1280">
        <v>3.0000008598028201E-3</v>
      </c>
      <c r="R2081" s="1271">
        <v>3.1850009128239903E-2</v>
      </c>
      <c r="S2081" s="1257">
        <v>3.1850009128239903E-2</v>
      </c>
      <c r="T2081" s="1257">
        <v>3.1850009128239903E-2</v>
      </c>
      <c r="U2081" s="1280">
        <v>1.5925004564119952E-2</v>
      </c>
      <c r="V2081" s="1293">
        <v>2.37451660809757E-2</v>
      </c>
    </row>
    <row r="2082" spans="1:22" s="212" customFormat="1" ht="15.5" x14ac:dyDescent="0.35">
      <c r="A2082" s="198">
        <v>2048</v>
      </c>
      <c r="B2082" s="197" t="s">
        <v>5833</v>
      </c>
      <c r="C2082" s="197">
        <v>1977</v>
      </c>
      <c r="D2082" s="225" t="str">
        <f t="shared" si="12"/>
        <v>2048_1977</v>
      </c>
      <c r="E2082" s="1226">
        <v>0.10715001640433799</v>
      </c>
      <c r="F2082" s="1257">
        <v>1.3409378913220101E-3</v>
      </c>
      <c r="G2082" s="1280">
        <v>7.9758918344033994E-2</v>
      </c>
      <c r="H2082" s="1271">
        <v>0.246397154675151</v>
      </c>
      <c r="I2082" s="1257">
        <v>1.6903820740229999E-2</v>
      </c>
      <c r="J2082" s="1280">
        <v>0.199542602260707</v>
      </c>
      <c r="K2082" s="1271">
        <v>2.2717960707251399E-2</v>
      </c>
      <c r="L2082" s="1257">
        <v>1.0119005220444999E-3</v>
      </c>
      <c r="M2082" s="1280">
        <v>1.7873440434955201E-2</v>
      </c>
      <c r="N2082" s="1271">
        <v>3.0000008598028201E-3</v>
      </c>
      <c r="O2082" s="1257">
        <v>2.0000005732018801E-3</v>
      </c>
      <c r="P2082" s="1257">
        <v>3.0000008598028201E-3</v>
      </c>
      <c r="Q2082" s="1280">
        <v>3.0000008598028201E-3</v>
      </c>
      <c r="R2082" s="1271">
        <v>3.1850009128239903E-2</v>
      </c>
      <c r="S2082" s="1257">
        <v>3.1850009128239903E-2</v>
      </c>
      <c r="T2082" s="1257">
        <v>3.1850009128239903E-2</v>
      </c>
      <c r="U2082" s="1280">
        <v>1.5925004564119952E-2</v>
      </c>
      <c r="V2082" s="1293">
        <v>2.37451660809757E-2</v>
      </c>
    </row>
    <row r="2083" spans="1:22" s="212" customFormat="1" ht="15.5" x14ac:dyDescent="0.35">
      <c r="A2083" s="198">
        <v>2048</v>
      </c>
      <c r="B2083" s="197" t="s">
        <v>5833</v>
      </c>
      <c r="C2083" s="197">
        <v>1978</v>
      </c>
      <c r="D2083" s="225" t="str">
        <f t="shared" si="12"/>
        <v>2048_1978</v>
      </c>
      <c r="E2083" s="1226">
        <v>0.10715001640433799</v>
      </c>
      <c r="F2083" s="1257">
        <v>1.3409378913220101E-3</v>
      </c>
      <c r="G2083" s="1280">
        <v>7.9758918344033994E-2</v>
      </c>
      <c r="H2083" s="1271">
        <v>0.246397154675151</v>
      </c>
      <c r="I2083" s="1257">
        <v>1.6903820740229999E-2</v>
      </c>
      <c r="J2083" s="1280">
        <v>0.199542602260707</v>
      </c>
      <c r="K2083" s="1271">
        <v>2.2717960707251399E-2</v>
      </c>
      <c r="L2083" s="1257">
        <v>1.0119005220444999E-3</v>
      </c>
      <c r="M2083" s="1280">
        <v>1.7873440434955201E-2</v>
      </c>
      <c r="N2083" s="1271">
        <v>3.0000008598028201E-3</v>
      </c>
      <c r="O2083" s="1257">
        <v>2.0000005732018801E-3</v>
      </c>
      <c r="P2083" s="1257">
        <v>3.0000008598028201E-3</v>
      </c>
      <c r="Q2083" s="1280">
        <v>3.0000008598028201E-3</v>
      </c>
      <c r="R2083" s="1271">
        <v>3.1850009128239903E-2</v>
      </c>
      <c r="S2083" s="1257">
        <v>3.1850009128239903E-2</v>
      </c>
      <c r="T2083" s="1257">
        <v>3.1850009128239903E-2</v>
      </c>
      <c r="U2083" s="1280">
        <v>1.5925004564119952E-2</v>
      </c>
      <c r="V2083" s="1293">
        <v>2.37451660809757E-2</v>
      </c>
    </row>
    <row r="2084" spans="1:22" s="212" customFormat="1" ht="15.5" x14ac:dyDescent="0.35">
      <c r="A2084" s="198">
        <v>2048</v>
      </c>
      <c r="B2084" s="197" t="s">
        <v>5833</v>
      </c>
      <c r="C2084" s="197">
        <v>1979</v>
      </c>
      <c r="D2084" s="225" t="str">
        <f t="shared" si="12"/>
        <v>2048_1979</v>
      </c>
      <c r="E2084" s="1226">
        <v>0.10715001640433799</v>
      </c>
      <c r="F2084" s="1257">
        <v>1.3409378913220101E-3</v>
      </c>
      <c r="G2084" s="1280">
        <v>7.9758918344033994E-2</v>
      </c>
      <c r="H2084" s="1271">
        <v>0.246397154675151</v>
      </c>
      <c r="I2084" s="1257">
        <v>1.6903820740229999E-2</v>
      </c>
      <c r="J2084" s="1280">
        <v>0.199542602260707</v>
      </c>
      <c r="K2084" s="1271">
        <v>2.2717960707251399E-2</v>
      </c>
      <c r="L2084" s="1257">
        <v>1.0119005220444999E-3</v>
      </c>
      <c r="M2084" s="1280">
        <v>1.7873440434955201E-2</v>
      </c>
      <c r="N2084" s="1271">
        <v>3.0000008598028201E-3</v>
      </c>
      <c r="O2084" s="1257">
        <v>2.0000005732018801E-3</v>
      </c>
      <c r="P2084" s="1257">
        <v>3.0000008598028201E-3</v>
      </c>
      <c r="Q2084" s="1280">
        <v>3.0000008598028201E-3</v>
      </c>
      <c r="R2084" s="1271">
        <v>3.1850009128239903E-2</v>
      </c>
      <c r="S2084" s="1257">
        <v>3.1850009128239903E-2</v>
      </c>
      <c r="T2084" s="1257">
        <v>3.1850009128239903E-2</v>
      </c>
      <c r="U2084" s="1280">
        <v>1.5925004564119952E-2</v>
      </c>
      <c r="V2084" s="1293">
        <v>2.37451660809757E-2</v>
      </c>
    </row>
    <row r="2085" spans="1:22" s="212" customFormat="1" ht="15.5" x14ac:dyDescent="0.35">
      <c r="A2085" s="198">
        <v>2048</v>
      </c>
      <c r="B2085" s="197" t="s">
        <v>5833</v>
      </c>
      <c r="C2085" s="197">
        <v>1980</v>
      </c>
      <c r="D2085" s="225" t="str">
        <f t="shared" si="12"/>
        <v>2048_1980</v>
      </c>
      <c r="E2085" s="1226">
        <v>0.10715001640433799</v>
      </c>
      <c r="F2085" s="1257">
        <v>1.3409378913220101E-3</v>
      </c>
      <c r="G2085" s="1280">
        <v>7.9758918344033994E-2</v>
      </c>
      <c r="H2085" s="1271">
        <v>0.246397154675151</v>
      </c>
      <c r="I2085" s="1257">
        <v>1.6903820740229999E-2</v>
      </c>
      <c r="J2085" s="1280">
        <v>0.199542602260707</v>
      </c>
      <c r="K2085" s="1271">
        <v>2.2717960707251399E-2</v>
      </c>
      <c r="L2085" s="1257">
        <v>1.0119005220444999E-3</v>
      </c>
      <c r="M2085" s="1280">
        <v>1.7873440434955201E-2</v>
      </c>
      <c r="N2085" s="1271">
        <v>3.0000008598028201E-3</v>
      </c>
      <c r="O2085" s="1257">
        <v>2.0000005732018801E-3</v>
      </c>
      <c r="P2085" s="1257">
        <v>3.0000008598028201E-3</v>
      </c>
      <c r="Q2085" s="1280">
        <v>3.0000008598028201E-3</v>
      </c>
      <c r="R2085" s="1271">
        <v>3.1850009128239903E-2</v>
      </c>
      <c r="S2085" s="1257">
        <v>3.1850009128239903E-2</v>
      </c>
      <c r="T2085" s="1257">
        <v>3.1850009128239903E-2</v>
      </c>
      <c r="U2085" s="1280">
        <v>1.5925004564119952E-2</v>
      </c>
      <c r="V2085" s="1293">
        <v>2.37451660809757E-2</v>
      </c>
    </row>
    <row r="2086" spans="1:22" s="212" customFormat="1" ht="15.5" x14ac:dyDescent="0.35">
      <c r="A2086" s="198">
        <v>2048</v>
      </c>
      <c r="B2086" s="197" t="s">
        <v>5833</v>
      </c>
      <c r="C2086" s="197">
        <v>1981</v>
      </c>
      <c r="D2086" s="225" t="str">
        <f t="shared" si="12"/>
        <v>2048_1981</v>
      </c>
      <c r="E2086" s="1226">
        <v>0.10715001640433799</v>
      </c>
      <c r="F2086" s="1257">
        <v>1.3409378913220101E-3</v>
      </c>
      <c r="G2086" s="1280">
        <v>7.9758918344033994E-2</v>
      </c>
      <c r="H2086" s="1271">
        <v>0.246397154675151</v>
      </c>
      <c r="I2086" s="1257">
        <v>1.6903820740229999E-2</v>
      </c>
      <c r="J2086" s="1280">
        <v>0.199542602260707</v>
      </c>
      <c r="K2086" s="1271">
        <v>2.2717960707251399E-2</v>
      </c>
      <c r="L2086" s="1257">
        <v>1.0119005220444999E-3</v>
      </c>
      <c r="M2086" s="1280">
        <v>1.7873440434955201E-2</v>
      </c>
      <c r="N2086" s="1271">
        <v>3.0000008598028201E-3</v>
      </c>
      <c r="O2086" s="1257">
        <v>2.0000005732018801E-3</v>
      </c>
      <c r="P2086" s="1257">
        <v>3.0000008598028201E-3</v>
      </c>
      <c r="Q2086" s="1280">
        <v>3.0000008598028201E-3</v>
      </c>
      <c r="R2086" s="1271">
        <v>3.1850009128239903E-2</v>
      </c>
      <c r="S2086" s="1257">
        <v>3.1850009128239903E-2</v>
      </c>
      <c r="T2086" s="1257">
        <v>3.1850009128239903E-2</v>
      </c>
      <c r="U2086" s="1280">
        <v>1.5925004564119952E-2</v>
      </c>
      <c r="V2086" s="1293">
        <v>2.37451660809757E-2</v>
      </c>
    </row>
    <row r="2087" spans="1:22" s="212" customFormat="1" ht="15.5" x14ac:dyDescent="0.35">
      <c r="A2087" s="198">
        <v>2048</v>
      </c>
      <c r="B2087" s="197" t="s">
        <v>5833</v>
      </c>
      <c r="C2087" s="197">
        <v>1982</v>
      </c>
      <c r="D2087" s="225" t="str">
        <f t="shared" ref="D2087:D2141" si="13">CONCATENATE(A2087,"_",C2087)</f>
        <v>2048_1982</v>
      </c>
      <c r="E2087" s="1226">
        <v>0.10715001640433799</v>
      </c>
      <c r="F2087" s="1257">
        <v>1.3409378913220101E-3</v>
      </c>
      <c r="G2087" s="1280">
        <v>7.9758918344033994E-2</v>
      </c>
      <c r="H2087" s="1271">
        <v>0.246397154675151</v>
      </c>
      <c r="I2087" s="1257">
        <v>1.6903820740229999E-2</v>
      </c>
      <c r="J2087" s="1280">
        <v>0.199542602260707</v>
      </c>
      <c r="K2087" s="1271">
        <v>2.2717960707251399E-2</v>
      </c>
      <c r="L2087" s="1257">
        <v>1.0119005220444999E-3</v>
      </c>
      <c r="M2087" s="1280">
        <v>1.7873440434955201E-2</v>
      </c>
      <c r="N2087" s="1271">
        <v>3.0000008598028201E-3</v>
      </c>
      <c r="O2087" s="1257">
        <v>2.0000005732018801E-3</v>
      </c>
      <c r="P2087" s="1257">
        <v>3.0000008598028201E-3</v>
      </c>
      <c r="Q2087" s="1280">
        <v>3.0000008598028201E-3</v>
      </c>
      <c r="R2087" s="1271">
        <v>3.1850009128239903E-2</v>
      </c>
      <c r="S2087" s="1257">
        <v>3.1850009128239903E-2</v>
      </c>
      <c r="T2087" s="1257">
        <v>3.1850009128239903E-2</v>
      </c>
      <c r="U2087" s="1280">
        <v>1.5925004564119952E-2</v>
      </c>
      <c r="V2087" s="1293">
        <v>2.37451660809757E-2</v>
      </c>
    </row>
    <row r="2088" spans="1:22" s="212" customFormat="1" ht="15.5" x14ac:dyDescent="0.35">
      <c r="A2088" s="198">
        <v>2048</v>
      </c>
      <c r="B2088" s="197" t="s">
        <v>5833</v>
      </c>
      <c r="C2088" s="197">
        <v>1983</v>
      </c>
      <c r="D2088" s="225" t="str">
        <f t="shared" si="13"/>
        <v>2048_1983</v>
      </c>
      <c r="E2088" s="1226">
        <v>0.10715001640433799</v>
      </c>
      <c r="F2088" s="1257">
        <v>1.3409378913220101E-3</v>
      </c>
      <c r="G2088" s="1280">
        <v>7.9758918344033994E-2</v>
      </c>
      <c r="H2088" s="1271">
        <v>0.246397154675151</v>
      </c>
      <c r="I2088" s="1257">
        <v>1.6903820740229999E-2</v>
      </c>
      <c r="J2088" s="1280">
        <v>0.199542602260707</v>
      </c>
      <c r="K2088" s="1271">
        <v>2.2717960707251399E-2</v>
      </c>
      <c r="L2088" s="1257">
        <v>1.0119005220444999E-3</v>
      </c>
      <c r="M2088" s="1280">
        <v>1.7873440434955201E-2</v>
      </c>
      <c r="N2088" s="1271">
        <v>3.0000008598028201E-3</v>
      </c>
      <c r="O2088" s="1257">
        <v>2.0000005732018801E-3</v>
      </c>
      <c r="P2088" s="1257">
        <v>3.0000008598028201E-3</v>
      </c>
      <c r="Q2088" s="1280">
        <v>3.0000008598028201E-3</v>
      </c>
      <c r="R2088" s="1271">
        <v>3.1850009128239903E-2</v>
      </c>
      <c r="S2088" s="1257">
        <v>3.1850009128239903E-2</v>
      </c>
      <c r="T2088" s="1257">
        <v>3.1850009128239903E-2</v>
      </c>
      <c r="U2088" s="1280">
        <v>1.5925004564119952E-2</v>
      </c>
      <c r="V2088" s="1293">
        <v>2.37451660809757E-2</v>
      </c>
    </row>
    <row r="2089" spans="1:22" s="212" customFormat="1" ht="15.5" x14ac:dyDescent="0.35">
      <c r="A2089" s="198">
        <v>2048</v>
      </c>
      <c r="B2089" s="197" t="s">
        <v>5833</v>
      </c>
      <c r="C2089" s="197">
        <v>1984</v>
      </c>
      <c r="D2089" s="225" t="str">
        <f t="shared" si="13"/>
        <v>2048_1984</v>
      </c>
      <c r="E2089" s="1226">
        <v>0.10715001640433799</v>
      </c>
      <c r="F2089" s="1257">
        <v>1.3409378913220101E-3</v>
      </c>
      <c r="G2089" s="1280">
        <v>7.9758918344033994E-2</v>
      </c>
      <c r="H2089" s="1271">
        <v>0.246397154675151</v>
      </c>
      <c r="I2089" s="1257">
        <v>1.6903820740229999E-2</v>
      </c>
      <c r="J2089" s="1280">
        <v>0.199542602260707</v>
      </c>
      <c r="K2089" s="1271">
        <v>2.2717960707251399E-2</v>
      </c>
      <c r="L2089" s="1257">
        <v>1.0119005220444999E-3</v>
      </c>
      <c r="M2089" s="1280">
        <v>1.7873440434955201E-2</v>
      </c>
      <c r="N2089" s="1271">
        <v>3.0000008598028201E-3</v>
      </c>
      <c r="O2089" s="1257">
        <v>2.0000005732018801E-3</v>
      </c>
      <c r="P2089" s="1257">
        <v>3.0000008598028201E-3</v>
      </c>
      <c r="Q2089" s="1280">
        <v>3.0000008598028201E-3</v>
      </c>
      <c r="R2089" s="1271">
        <v>3.1850009128239903E-2</v>
      </c>
      <c r="S2089" s="1257">
        <v>3.1850009128239903E-2</v>
      </c>
      <c r="T2089" s="1257">
        <v>3.1850009128239903E-2</v>
      </c>
      <c r="U2089" s="1280">
        <v>1.5925004564119952E-2</v>
      </c>
      <c r="V2089" s="1293">
        <v>2.37451660809757E-2</v>
      </c>
    </row>
    <row r="2090" spans="1:22" s="212" customFormat="1" ht="15.5" x14ac:dyDescent="0.35">
      <c r="A2090" s="198">
        <v>2048</v>
      </c>
      <c r="B2090" s="197" t="s">
        <v>5833</v>
      </c>
      <c r="C2090" s="197">
        <v>1985</v>
      </c>
      <c r="D2090" s="225" t="str">
        <f t="shared" si="13"/>
        <v>2048_1985</v>
      </c>
      <c r="E2090" s="1226">
        <v>0.10715001640433799</v>
      </c>
      <c r="F2090" s="1257">
        <v>1.3409378913220101E-3</v>
      </c>
      <c r="G2090" s="1280">
        <v>7.9758918344033994E-2</v>
      </c>
      <c r="H2090" s="1271">
        <v>0.246397154675151</v>
      </c>
      <c r="I2090" s="1257">
        <v>1.6903820740229999E-2</v>
      </c>
      <c r="J2090" s="1280">
        <v>0.199542602260707</v>
      </c>
      <c r="K2090" s="1271">
        <v>2.2717960707251399E-2</v>
      </c>
      <c r="L2090" s="1257">
        <v>1.0119005220444999E-3</v>
      </c>
      <c r="M2090" s="1280">
        <v>1.7873440434955201E-2</v>
      </c>
      <c r="N2090" s="1271">
        <v>3.0000008598028201E-3</v>
      </c>
      <c r="O2090" s="1257">
        <v>2.0000005732018801E-3</v>
      </c>
      <c r="P2090" s="1257">
        <v>3.0000008598028201E-3</v>
      </c>
      <c r="Q2090" s="1280">
        <v>3.0000008598028201E-3</v>
      </c>
      <c r="R2090" s="1271">
        <v>3.1850009128239903E-2</v>
      </c>
      <c r="S2090" s="1257">
        <v>3.1850009128239903E-2</v>
      </c>
      <c r="T2090" s="1257">
        <v>3.1850009128239903E-2</v>
      </c>
      <c r="U2090" s="1280">
        <v>1.5925004564119952E-2</v>
      </c>
      <c r="V2090" s="1293">
        <v>2.37451660809757E-2</v>
      </c>
    </row>
    <row r="2091" spans="1:22" s="212" customFormat="1" ht="15.5" x14ac:dyDescent="0.35">
      <c r="A2091" s="198">
        <v>2048</v>
      </c>
      <c r="B2091" s="197" t="s">
        <v>5833</v>
      </c>
      <c r="C2091" s="197">
        <v>1986</v>
      </c>
      <c r="D2091" s="225" t="str">
        <f t="shared" si="13"/>
        <v>2048_1986</v>
      </c>
      <c r="E2091" s="1226">
        <v>0.10715001640433799</v>
      </c>
      <c r="F2091" s="1257">
        <v>1.3409378913220101E-3</v>
      </c>
      <c r="G2091" s="1280">
        <v>7.9758918344033994E-2</v>
      </c>
      <c r="H2091" s="1271">
        <v>0.246397154675151</v>
      </c>
      <c r="I2091" s="1257">
        <v>1.6903820740229999E-2</v>
      </c>
      <c r="J2091" s="1280">
        <v>0.199542602260707</v>
      </c>
      <c r="K2091" s="1271">
        <v>2.2717960707251399E-2</v>
      </c>
      <c r="L2091" s="1257">
        <v>1.0119005220444999E-3</v>
      </c>
      <c r="M2091" s="1280">
        <v>1.7873440434955201E-2</v>
      </c>
      <c r="N2091" s="1271">
        <v>3.0000008598028201E-3</v>
      </c>
      <c r="O2091" s="1257">
        <v>2.0000005732018801E-3</v>
      </c>
      <c r="P2091" s="1257">
        <v>3.0000008598028201E-3</v>
      </c>
      <c r="Q2091" s="1280">
        <v>3.0000008598028201E-3</v>
      </c>
      <c r="R2091" s="1271">
        <v>3.1850009128239903E-2</v>
      </c>
      <c r="S2091" s="1257">
        <v>3.1850009128239903E-2</v>
      </c>
      <c r="T2091" s="1257">
        <v>3.1850009128239903E-2</v>
      </c>
      <c r="U2091" s="1280">
        <v>1.5925004564119952E-2</v>
      </c>
      <c r="V2091" s="1293">
        <v>2.37451660809757E-2</v>
      </c>
    </row>
    <row r="2092" spans="1:22" s="212" customFormat="1" ht="15.5" x14ac:dyDescent="0.35">
      <c r="A2092" s="198">
        <v>2048</v>
      </c>
      <c r="B2092" s="197" t="s">
        <v>5833</v>
      </c>
      <c r="C2092" s="197">
        <v>1987</v>
      </c>
      <c r="D2092" s="225" t="str">
        <f t="shared" si="13"/>
        <v>2048_1987</v>
      </c>
      <c r="E2092" s="1226">
        <v>0.10715001640433799</v>
      </c>
      <c r="F2092" s="1257">
        <v>1.3409378913220101E-3</v>
      </c>
      <c r="G2092" s="1280">
        <v>7.9758918344033994E-2</v>
      </c>
      <c r="H2092" s="1271">
        <v>0.246397154675151</v>
      </c>
      <c r="I2092" s="1257">
        <v>1.6903820740229999E-2</v>
      </c>
      <c r="J2092" s="1280">
        <v>0.199542602260707</v>
      </c>
      <c r="K2092" s="1271">
        <v>2.2717960707251399E-2</v>
      </c>
      <c r="L2092" s="1257">
        <v>1.0119005220444999E-3</v>
      </c>
      <c r="M2092" s="1280">
        <v>1.7873440434955201E-2</v>
      </c>
      <c r="N2092" s="1271">
        <v>3.0000008598028201E-3</v>
      </c>
      <c r="O2092" s="1257">
        <v>2.0000005732018801E-3</v>
      </c>
      <c r="P2092" s="1257">
        <v>3.0000008598028201E-3</v>
      </c>
      <c r="Q2092" s="1280">
        <v>3.0000008598028201E-3</v>
      </c>
      <c r="R2092" s="1271">
        <v>3.1850009128239903E-2</v>
      </c>
      <c r="S2092" s="1257">
        <v>3.1850009128239903E-2</v>
      </c>
      <c r="T2092" s="1257">
        <v>3.1850009128239903E-2</v>
      </c>
      <c r="U2092" s="1280">
        <v>1.5925004564119952E-2</v>
      </c>
      <c r="V2092" s="1293">
        <v>2.37451660809757E-2</v>
      </c>
    </row>
    <row r="2093" spans="1:22" s="212" customFormat="1" ht="15.5" x14ac:dyDescent="0.35">
      <c r="A2093" s="198">
        <v>2048</v>
      </c>
      <c r="B2093" s="197" t="s">
        <v>5833</v>
      </c>
      <c r="C2093" s="197">
        <v>1988</v>
      </c>
      <c r="D2093" s="225" t="str">
        <f t="shared" si="13"/>
        <v>2048_1988</v>
      </c>
      <c r="E2093" s="1226">
        <v>0.10715001640433799</v>
      </c>
      <c r="F2093" s="1257">
        <v>1.3409378913220101E-3</v>
      </c>
      <c r="G2093" s="1280">
        <v>7.9758918344033994E-2</v>
      </c>
      <c r="H2093" s="1271">
        <v>0.246397154675151</v>
      </c>
      <c r="I2093" s="1257">
        <v>1.6903820740229999E-2</v>
      </c>
      <c r="J2093" s="1280">
        <v>0.199542602260707</v>
      </c>
      <c r="K2093" s="1271">
        <v>2.2717960707251399E-2</v>
      </c>
      <c r="L2093" s="1257">
        <v>1.0119005220444999E-3</v>
      </c>
      <c r="M2093" s="1280">
        <v>1.7873440434955201E-2</v>
      </c>
      <c r="N2093" s="1271">
        <v>3.0000008598028201E-3</v>
      </c>
      <c r="O2093" s="1257">
        <v>2.0000005732018801E-3</v>
      </c>
      <c r="P2093" s="1257">
        <v>3.0000008598028201E-3</v>
      </c>
      <c r="Q2093" s="1280">
        <v>3.0000008598028201E-3</v>
      </c>
      <c r="R2093" s="1271">
        <v>3.1850009128239903E-2</v>
      </c>
      <c r="S2093" s="1257">
        <v>3.1850009128239903E-2</v>
      </c>
      <c r="T2093" s="1257">
        <v>3.1850009128239903E-2</v>
      </c>
      <c r="U2093" s="1280">
        <v>1.5925004564119952E-2</v>
      </c>
      <c r="V2093" s="1293">
        <v>2.37451660809757E-2</v>
      </c>
    </row>
    <row r="2094" spans="1:22" s="212" customFormat="1" ht="15.5" x14ac:dyDescent="0.35">
      <c r="A2094" s="198">
        <v>2048</v>
      </c>
      <c r="B2094" s="197" t="s">
        <v>5833</v>
      </c>
      <c r="C2094" s="197">
        <v>1989</v>
      </c>
      <c r="D2094" s="225" t="str">
        <f t="shared" si="13"/>
        <v>2048_1989</v>
      </c>
      <c r="E2094" s="1226">
        <v>0.10715001640433799</v>
      </c>
      <c r="F2094" s="1257">
        <v>1.3409378913220101E-3</v>
      </c>
      <c r="G2094" s="1280">
        <v>7.9758918344033994E-2</v>
      </c>
      <c r="H2094" s="1271">
        <v>0.246397154675151</v>
      </c>
      <c r="I2094" s="1257">
        <v>1.6903820740229999E-2</v>
      </c>
      <c r="J2094" s="1280">
        <v>0.199542602260707</v>
      </c>
      <c r="K2094" s="1271">
        <v>2.2717960707251399E-2</v>
      </c>
      <c r="L2094" s="1257">
        <v>1.0119005220444999E-3</v>
      </c>
      <c r="M2094" s="1280">
        <v>1.7873440434955201E-2</v>
      </c>
      <c r="N2094" s="1271">
        <v>3.0000008598028201E-3</v>
      </c>
      <c r="O2094" s="1257">
        <v>2.0000005732018801E-3</v>
      </c>
      <c r="P2094" s="1257">
        <v>3.0000008598028201E-3</v>
      </c>
      <c r="Q2094" s="1280">
        <v>3.0000008598028201E-3</v>
      </c>
      <c r="R2094" s="1271">
        <v>3.1850009128239903E-2</v>
      </c>
      <c r="S2094" s="1257">
        <v>3.1850009128239903E-2</v>
      </c>
      <c r="T2094" s="1257">
        <v>3.1850009128239903E-2</v>
      </c>
      <c r="U2094" s="1280">
        <v>1.5925004564119952E-2</v>
      </c>
      <c r="V2094" s="1293">
        <v>2.37451660809757E-2</v>
      </c>
    </row>
    <row r="2095" spans="1:22" s="212" customFormat="1" ht="15.5" x14ac:dyDescent="0.35">
      <c r="A2095" s="198">
        <v>2048</v>
      </c>
      <c r="B2095" s="197" t="s">
        <v>5833</v>
      </c>
      <c r="C2095" s="197">
        <v>1990</v>
      </c>
      <c r="D2095" s="225" t="str">
        <f t="shared" si="13"/>
        <v>2048_1990</v>
      </c>
      <c r="E2095" s="1226">
        <v>0.10715001640433799</v>
      </c>
      <c r="F2095" s="1257">
        <v>1.3409378913220101E-3</v>
      </c>
      <c r="G2095" s="1280">
        <v>7.9758918344033994E-2</v>
      </c>
      <c r="H2095" s="1271">
        <v>0.246397154675151</v>
      </c>
      <c r="I2095" s="1257">
        <v>1.6903820740229999E-2</v>
      </c>
      <c r="J2095" s="1280">
        <v>0.199542602260707</v>
      </c>
      <c r="K2095" s="1271">
        <v>2.2717960707251399E-2</v>
      </c>
      <c r="L2095" s="1257">
        <v>1.0119005220444999E-3</v>
      </c>
      <c r="M2095" s="1280">
        <v>1.7873440434955201E-2</v>
      </c>
      <c r="N2095" s="1271">
        <v>3.0000008598028201E-3</v>
      </c>
      <c r="O2095" s="1257">
        <v>2.0000005732018801E-3</v>
      </c>
      <c r="P2095" s="1257">
        <v>3.0000008598028201E-3</v>
      </c>
      <c r="Q2095" s="1280">
        <v>3.0000008598028201E-3</v>
      </c>
      <c r="R2095" s="1271">
        <v>3.1850009128239903E-2</v>
      </c>
      <c r="S2095" s="1257">
        <v>3.1850009128239903E-2</v>
      </c>
      <c r="T2095" s="1257">
        <v>3.1850009128239903E-2</v>
      </c>
      <c r="U2095" s="1280">
        <v>1.5925004564119952E-2</v>
      </c>
      <c r="V2095" s="1293">
        <v>2.37451660809757E-2</v>
      </c>
    </row>
    <row r="2096" spans="1:22" s="212" customFormat="1" ht="15.5" x14ac:dyDescent="0.35">
      <c r="A2096" s="198">
        <v>2048</v>
      </c>
      <c r="B2096" s="197" t="s">
        <v>5833</v>
      </c>
      <c r="C2096" s="197">
        <v>1991</v>
      </c>
      <c r="D2096" s="225" t="str">
        <f t="shared" si="13"/>
        <v>2048_1991</v>
      </c>
      <c r="E2096" s="1226">
        <v>0.10715001640433799</v>
      </c>
      <c r="F2096" s="1257">
        <v>1.3409378913220101E-3</v>
      </c>
      <c r="G2096" s="1280">
        <v>7.9758918344033994E-2</v>
      </c>
      <c r="H2096" s="1271">
        <v>0.246397154675151</v>
      </c>
      <c r="I2096" s="1257">
        <v>1.6903820740229999E-2</v>
      </c>
      <c r="J2096" s="1280">
        <v>0.199542602260707</v>
      </c>
      <c r="K2096" s="1271">
        <v>2.2717960707251399E-2</v>
      </c>
      <c r="L2096" s="1257">
        <v>1.0119005220444999E-3</v>
      </c>
      <c r="M2096" s="1280">
        <v>1.7873440434955201E-2</v>
      </c>
      <c r="N2096" s="1271">
        <v>3.0000008598028201E-3</v>
      </c>
      <c r="O2096" s="1257">
        <v>2.0000005732018801E-3</v>
      </c>
      <c r="P2096" s="1257">
        <v>3.0000008598028201E-3</v>
      </c>
      <c r="Q2096" s="1280">
        <v>3.0000008598028201E-3</v>
      </c>
      <c r="R2096" s="1271">
        <v>3.1850009128239903E-2</v>
      </c>
      <c r="S2096" s="1257">
        <v>3.1850009128239903E-2</v>
      </c>
      <c r="T2096" s="1257">
        <v>3.1850009128239903E-2</v>
      </c>
      <c r="U2096" s="1280">
        <v>1.5925004564119952E-2</v>
      </c>
      <c r="V2096" s="1293">
        <v>2.37451660809757E-2</v>
      </c>
    </row>
    <row r="2097" spans="1:22" s="212" customFormat="1" ht="15.5" x14ac:dyDescent="0.35">
      <c r="A2097" s="198">
        <v>2048</v>
      </c>
      <c r="B2097" s="197" t="s">
        <v>5833</v>
      </c>
      <c r="C2097" s="197">
        <v>1992</v>
      </c>
      <c r="D2097" s="225" t="str">
        <f t="shared" si="13"/>
        <v>2048_1992</v>
      </c>
      <c r="E2097" s="1226">
        <v>0.10715001640433799</v>
      </c>
      <c r="F2097" s="1257">
        <v>1.3409378913220101E-3</v>
      </c>
      <c r="G2097" s="1280">
        <v>7.9758918344033994E-2</v>
      </c>
      <c r="H2097" s="1271">
        <v>0.246397154675151</v>
      </c>
      <c r="I2097" s="1257">
        <v>1.6903820740229999E-2</v>
      </c>
      <c r="J2097" s="1280">
        <v>0.199542602260707</v>
      </c>
      <c r="K2097" s="1271">
        <v>2.2717960707251399E-2</v>
      </c>
      <c r="L2097" s="1257">
        <v>1.0119005220444999E-3</v>
      </c>
      <c r="M2097" s="1280">
        <v>1.7873440434955201E-2</v>
      </c>
      <c r="N2097" s="1271">
        <v>3.0000008598028201E-3</v>
      </c>
      <c r="O2097" s="1257">
        <v>2.0000005732018801E-3</v>
      </c>
      <c r="P2097" s="1257">
        <v>3.0000008598028201E-3</v>
      </c>
      <c r="Q2097" s="1280">
        <v>3.0000008598028201E-3</v>
      </c>
      <c r="R2097" s="1271">
        <v>3.1850009128239903E-2</v>
      </c>
      <c r="S2097" s="1257">
        <v>3.1850009128239903E-2</v>
      </c>
      <c r="T2097" s="1257">
        <v>3.1850009128239903E-2</v>
      </c>
      <c r="U2097" s="1280">
        <v>1.5925004564119952E-2</v>
      </c>
      <c r="V2097" s="1293">
        <v>2.37451660809757E-2</v>
      </c>
    </row>
    <row r="2098" spans="1:22" s="212" customFormat="1" ht="15.5" x14ac:dyDescent="0.35">
      <c r="A2098" s="198">
        <v>2048</v>
      </c>
      <c r="B2098" s="197" t="s">
        <v>5833</v>
      </c>
      <c r="C2098" s="197">
        <v>1993</v>
      </c>
      <c r="D2098" s="225" t="str">
        <f t="shared" si="13"/>
        <v>2048_1993</v>
      </c>
      <c r="E2098" s="1226">
        <v>0.10715001640433799</v>
      </c>
      <c r="F2098" s="1257">
        <v>1.3409378913220101E-3</v>
      </c>
      <c r="G2098" s="1280">
        <v>7.9758918344033994E-2</v>
      </c>
      <c r="H2098" s="1271">
        <v>0.246397154675151</v>
      </c>
      <c r="I2098" s="1257">
        <v>1.6903820740229999E-2</v>
      </c>
      <c r="J2098" s="1280">
        <v>0.199542602260707</v>
      </c>
      <c r="K2098" s="1271">
        <v>2.2717960707251399E-2</v>
      </c>
      <c r="L2098" s="1257">
        <v>1.0119005220444999E-3</v>
      </c>
      <c r="M2098" s="1280">
        <v>1.7873440434955201E-2</v>
      </c>
      <c r="N2098" s="1271">
        <v>3.0000008598028201E-3</v>
      </c>
      <c r="O2098" s="1257">
        <v>2.0000005732018801E-3</v>
      </c>
      <c r="P2098" s="1257">
        <v>3.0000008598028201E-3</v>
      </c>
      <c r="Q2098" s="1280">
        <v>3.0000008598028201E-3</v>
      </c>
      <c r="R2098" s="1271">
        <v>3.1850009128239903E-2</v>
      </c>
      <c r="S2098" s="1257">
        <v>3.1850009128239903E-2</v>
      </c>
      <c r="T2098" s="1257">
        <v>3.1850009128239903E-2</v>
      </c>
      <c r="U2098" s="1280">
        <v>1.5925004564119952E-2</v>
      </c>
      <c r="V2098" s="1293">
        <v>2.37451660809757E-2</v>
      </c>
    </row>
    <row r="2099" spans="1:22" s="212" customFormat="1" ht="15.5" x14ac:dyDescent="0.35">
      <c r="A2099" s="198">
        <v>2048</v>
      </c>
      <c r="B2099" s="197" t="s">
        <v>5833</v>
      </c>
      <c r="C2099" s="197">
        <v>1994</v>
      </c>
      <c r="D2099" s="225" t="str">
        <f t="shared" si="13"/>
        <v>2048_1994</v>
      </c>
      <c r="E2099" s="1226">
        <v>0.10715001640433799</v>
      </c>
      <c r="F2099" s="1257">
        <v>1.3409378913220101E-3</v>
      </c>
      <c r="G2099" s="1280">
        <v>7.9758918344033994E-2</v>
      </c>
      <c r="H2099" s="1271">
        <v>0.246397154675151</v>
      </c>
      <c r="I2099" s="1257">
        <v>1.6903820740229999E-2</v>
      </c>
      <c r="J2099" s="1280">
        <v>0.199542602260707</v>
      </c>
      <c r="K2099" s="1271">
        <v>2.2717960707251399E-2</v>
      </c>
      <c r="L2099" s="1257">
        <v>1.0119005220444999E-3</v>
      </c>
      <c r="M2099" s="1280">
        <v>1.7873440434955201E-2</v>
      </c>
      <c r="N2099" s="1271">
        <v>3.0000008598028201E-3</v>
      </c>
      <c r="O2099" s="1257">
        <v>2.0000005732018801E-3</v>
      </c>
      <c r="P2099" s="1257">
        <v>3.0000008598028201E-3</v>
      </c>
      <c r="Q2099" s="1280">
        <v>3.0000008598028201E-3</v>
      </c>
      <c r="R2099" s="1271">
        <v>3.1850009128239903E-2</v>
      </c>
      <c r="S2099" s="1257">
        <v>3.1850009128239903E-2</v>
      </c>
      <c r="T2099" s="1257">
        <v>3.1850009128239903E-2</v>
      </c>
      <c r="U2099" s="1280">
        <v>1.5925004564119952E-2</v>
      </c>
      <c r="V2099" s="1293">
        <v>2.37451660809757E-2</v>
      </c>
    </row>
    <row r="2100" spans="1:22" s="212" customFormat="1" ht="15.5" x14ac:dyDescent="0.35">
      <c r="A2100" s="198">
        <v>2048</v>
      </c>
      <c r="B2100" s="197" t="s">
        <v>5833</v>
      </c>
      <c r="C2100" s="197">
        <v>1995</v>
      </c>
      <c r="D2100" s="225" t="str">
        <f t="shared" si="13"/>
        <v>2048_1995</v>
      </c>
      <c r="E2100" s="1226">
        <v>0.10715001640433799</v>
      </c>
      <c r="F2100" s="1257">
        <v>1.3409378913220101E-3</v>
      </c>
      <c r="G2100" s="1280">
        <v>7.9758918344033994E-2</v>
      </c>
      <c r="H2100" s="1271">
        <v>0.246397154675151</v>
      </c>
      <c r="I2100" s="1257">
        <v>1.6903820740229999E-2</v>
      </c>
      <c r="J2100" s="1280">
        <v>0.199542602260707</v>
      </c>
      <c r="K2100" s="1271">
        <v>2.2717960707251399E-2</v>
      </c>
      <c r="L2100" s="1257">
        <v>1.0119005220444999E-3</v>
      </c>
      <c r="M2100" s="1280">
        <v>1.7873440434955201E-2</v>
      </c>
      <c r="N2100" s="1271">
        <v>3.0000008598028201E-3</v>
      </c>
      <c r="O2100" s="1257">
        <v>2.0000005732018801E-3</v>
      </c>
      <c r="P2100" s="1257">
        <v>3.0000008598028201E-3</v>
      </c>
      <c r="Q2100" s="1280">
        <v>3.0000008598028201E-3</v>
      </c>
      <c r="R2100" s="1271">
        <v>3.1850009128239903E-2</v>
      </c>
      <c r="S2100" s="1257">
        <v>3.1850009128239903E-2</v>
      </c>
      <c r="T2100" s="1257">
        <v>3.1850009128239903E-2</v>
      </c>
      <c r="U2100" s="1280">
        <v>1.5925004564119952E-2</v>
      </c>
      <c r="V2100" s="1293">
        <v>2.37451660809757E-2</v>
      </c>
    </row>
    <row r="2101" spans="1:22" s="212" customFormat="1" ht="15.5" x14ac:dyDescent="0.35">
      <c r="A2101" s="198">
        <v>2048</v>
      </c>
      <c r="B2101" s="197" t="s">
        <v>5833</v>
      </c>
      <c r="C2101" s="197">
        <v>1996</v>
      </c>
      <c r="D2101" s="225" t="str">
        <f t="shared" si="13"/>
        <v>2048_1996</v>
      </c>
      <c r="E2101" s="1226">
        <v>0.10715001640433799</v>
      </c>
      <c r="F2101" s="1257">
        <v>1.3409378913220101E-3</v>
      </c>
      <c r="G2101" s="1280">
        <v>7.9758918344033994E-2</v>
      </c>
      <c r="H2101" s="1271">
        <v>0.246397154675151</v>
      </c>
      <c r="I2101" s="1257">
        <v>1.6903820740229999E-2</v>
      </c>
      <c r="J2101" s="1280">
        <v>0.199542602260707</v>
      </c>
      <c r="K2101" s="1271">
        <v>2.2717960707251399E-2</v>
      </c>
      <c r="L2101" s="1257">
        <v>1.0119005220444999E-3</v>
      </c>
      <c r="M2101" s="1280">
        <v>1.7873440434955201E-2</v>
      </c>
      <c r="N2101" s="1271">
        <v>3.0000008598028201E-3</v>
      </c>
      <c r="O2101" s="1257">
        <v>2.0000005732018801E-3</v>
      </c>
      <c r="P2101" s="1257">
        <v>3.0000008598028201E-3</v>
      </c>
      <c r="Q2101" s="1280">
        <v>3.0000008598028201E-3</v>
      </c>
      <c r="R2101" s="1271">
        <v>3.1850009128239903E-2</v>
      </c>
      <c r="S2101" s="1257">
        <v>3.1850009128239903E-2</v>
      </c>
      <c r="T2101" s="1257">
        <v>3.1850009128239903E-2</v>
      </c>
      <c r="U2101" s="1280">
        <v>1.5925004564119952E-2</v>
      </c>
      <c r="V2101" s="1293">
        <v>2.37451660809757E-2</v>
      </c>
    </row>
    <row r="2102" spans="1:22" s="212" customFormat="1" ht="15.5" x14ac:dyDescent="0.35">
      <c r="A2102" s="198">
        <v>2048</v>
      </c>
      <c r="B2102" s="197" t="s">
        <v>5833</v>
      </c>
      <c r="C2102" s="197">
        <v>1997</v>
      </c>
      <c r="D2102" s="225" t="str">
        <f t="shared" si="13"/>
        <v>2048_1997</v>
      </c>
      <c r="E2102" s="1226">
        <v>0.10715001640433799</v>
      </c>
      <c r="F2102" s="1257">
        <v>1.3409378913220101E-3</v>
      </c>
      <c r="G2102" s="1280">
        <v>7.9758918344033994E-2</v>
      </c>
      <c r="H2102" s="1271">
        <v>0.246397154675151</v>
      </c>
      <c r="I2102" s="1257">
        <v>1.6903820740229999E-2</v>
      </c>
      <c r="J2102" s="1280">
        <v>0.199542602260707</v>
      </c>
      <c r="K2102" s="1271">
        <v>2.2717960707251399E-2</v>
      </c>
      <c r="L2102" s="1257">
        <v>1.0119005220444999E-3</v>
      </c>
      <c r="M2102" s="1280">
        <v>1.7873440434955201E-2</v>
      </c>
      <c r="N2102" s="1271">
        <v>3.0000008598028201E-3</v>
      </c>
      <c r="O2102" s="1257">
        <v>2.0000005732018801E-3</v>
      </c>
      <c r="P2102" s="1257">
        <v>3.0000008598028201E-3</v>
      </c>
      <c r="Q2102" s="1280">
        <v>3.0000008598028201E-3</v>
      </c>
      <c r="R2102" s="1271">
        <v>3.1850009128239903E-2</v>
      </c>
      <c r="S2102" s="1257">
        <v>3.1850009128239903E-2</v>
      </c>
      <c r="T2102" s="1257">
        <v>3.1850009128239903E-2</v>
      </c>
      <c r="U2102" s="1280">
        <v>1.5925004564119952E-2</v>
      </c>
      <c r="V2102" s="1293">
        <v>2.37451660809757E-2</v>
      </c>
    </row>
    <row r="2103" spans="1:22" s="212" customFormat="1" ht="15.5" x14ac:dyDescent="0.35">
      <c r="A2103" s="198">
        <v>2048</v>
      </c>
      <c r="B2103" s="197" t="s">
        <v>5833</v>
      </c>
      <c r="C2103" s="197">
        <v>1998</v>
      </c>
      <c r="D2103" s="225" t="str">
        <f t="shared" si="13"/>
        <v>2048_1998</v>
      </c>
      <c r="E2103" s="1226">
        <v>0.10715001640433799</v>
      </c>
      <c r="F2103" s="1257">
        <v>1.3409378913220101E-3</v>
      </c>
      <c r="G2103" s="1280">
        <v>7.9758918344033994E-2</v>
      </c>
      <c r="H2103" s="1271">
        <v>0.246397154675151</v>
      </c>
      <c r="I2103" s="1257">
        <v>1.6903820740229999E-2</v>
      </c>
      <c r="J2103" s="1280">
        <v>0.199542602260707</v>
      </c>
      <c r="K2103" s="1271">
        <v>2.2717960707251399E-2</v>
      </c>
      <c r="L2103" s="1257">
        <v>1.0119005220444999E-3</v>
      </c>
      <c r="M2103" s="1280">
        <v>1.7873440434955201E-2</v>
      </c>
      <c r="N2103" s="1271">
        <v>3.0000008598028201E-3</v>
      </c>
      <c r="O2103" s="1257">
        <v>2.0000005732018801E-3</v>
      </c>
      <c r="P2103" s="1257">
        <v>3.0000008598028201E-3</v>
      </c>
      <c r="Q2103" s="1280">
        <v>3.0000008598028201E-3</v>
      </c>
      <c r="R2103" s="1271">
        <v>3.1850009128239903E-2</v>
      </c>
      <c r="S2103" s="1257">
        <v>3.1850009128239903E-2</v>
      </c>
      <c r="T2103" s="1257">
        <v>3.1850009128239903E-2</v>
      </c>
      <c r="U2103" s="1280">
        <v>1.5925004564119952E-2</v>
      </c>
      <c r="V2103" s="1293">
        <v>2.37451660809757E-2</v>
      </c>
    </row>
    <row r="2104" spans="1:22" s="212" customFormat="1" ht="15.5" x14ac:dyDescent="0.35">
      <c r="A2104" s="198">
        <v>2048</v>
      </c>
      <c r="B2104" s="197" t="s">
        <v>5833</v>
      </c>
      <c r="C2104" s="197">
        <v>1999</v>
      </c>
      <c r="D2104" s="225" t="str">
        <f t="shared" si="13"/>
        <v>2048_1999</v>
      </c>
      <c r="E2104" s="1226">
        <v>0.10715001640433799</v>
      </c>
      <c r="F2104" s="1257">
        <v>1.3409378913220101E-3</v>
      </c>
      <c r="G2104" s="1280">
        <v>7.9758918344033994E-2</v>
      </c>
      <c r="H2104" s="1271">
        <v>0.246397154675151</v>
      </c>
      <c r="I2104" s="1257">
        <v>1.6903820740229999E-2</v>
      </c>
      <c r="J2104" s="1280">
        <v>0.199542602260707</v>
      </c>
      <c r="K2104" s="1271">
        <v>2.2717960707251399E-2</v>
      </c>
      <c r="L2104" s="1257">
        <v>1.0119005220444999E-3</v>
      </c>
      <c r="M2104" s="1280">
        <v>1.7873440434955201E-2</v>
      </c>
      <c r="N2104" s="1271">
        <v>3.0000008598028201E-3</v>
      </c>
      <c r="O2104" s="1257">
        <v>2.0000005732018801E-3</v>
      </c>
      <c r="P2104" s="1257">
        <v>3.0000008598028201E-3</v>
      </c>
      <c r="Q2104" s="1280">
        <v>3.0000008598028201E-3</v>
      </c>
      <c r="R2104" s="1271">
        <v>3.1850009128239903E-2</v>
      </c>
      <c r="S2104" s="1257">
        <v>3.1850009128239903E-2</v>
      </c>
      <c r="T2104" s="1257">
        <v>3.1850009128239903E-2</v>
      </c>
      <c r="U2104" s="1280">
        <v>1.5925004564119952E-2</v>
      </c>
      <c r="V2104" s="1293">
        <v>2.37451660809757E-2</v>
      </c>
    </row>
    <row r="2105" spans="1:22" s="212" customFormat="1" ht="15.5" x14ac:dyDescent="0.35">
      <c r="A2105" s="198">
        <v>2048</v>
      </c>
      <c r="B2105" s="197" t="s">
        <v>5833</v>
      </c>
      <c r="C2105" s="197">
        <v>2000</v>
      </c>
      <c r="D2105" s="225" t="str">
        <f t="shared" si="13"/>
        <v>2048_2000</v>
      </c>
      <c r="E2105" s="1226">
        <v>0.10715001640433799</v>
      </c>
      <c r="F2105" s="1257">
        <v>1.3409378913220101E-3</v>
      </c>
      <c r="G2105" s="1280">
        <v>7.9758918344033994E-2</v>
      </c>
      <c r="H2105" s="1271">
        <v>0.246397154675151</v>
      </c>
      <c r="I2105" s="1257">
        <v>1.6903820740229999E-2</v>
      </c>
      <c r="J2105" s="1280">
        <v>0.199542602260707</v>
      </c>
      <c r="K2105" s="1271">
        <v>2.2717960707251399E-2</v>
      </c>
      <c r="L2105" s="1257">
        <v>1.0119005220444999E-3</v>
      </c>
      <c r="M2105" s="1280">
        <v>1.7873440434955201E-2</v>
      </c>
      <c r="N2105" s="1271">
        <v>3.0000008598028201E-3</v>
      </c>
      <c r="O2105" s="1257">
        <v>2.0000005732018801E-3</v>
      </c>
      <c r="P2105" s="1257">
        <v>3.0000008598028201E-3</v>
      </c>
      <c r="Q2105" s="1280">
        <v>3.0000008598028201E-3</v>
      </c>
      <c r="R2105" s="1271">
        <v>3.1850009128239903E-2</v>
      </c>
      <c r="S2105" s="1257">
        <v>3.1850009128239903E-2</v>
      </c>
      <c r="T2105" s="1257">
        <v>3.1850009128239903E-2</v>
      </c>
      <c r="U2105" s="1280">
        <v>1.5925004564119952E-2</v>
      </c>
      <c r="V2105" s="1293">
        <v>2.37451660809757E-2</v>
      </c>
    </row>
    <row r="2106" spans="1:22" s="212" customFormat="1" ht="15.5" x14ac:dyDescent="0.35">
      <c r="A2106" s="198">
        <v>2048</v>
      </c>
      <c r="B2106" s="197" t="s">
        <v>5833</v>
      </c>
      <c r="C2106" s="197">
        <v>2001</v>
      </c>
      <c r="D2106" s="225" t="str">
        <f t="shared" si="13"/>
        <v>2048_2001</v>
      </c>
      <c r="E2106" s="1226">
        <v>0.10715001640433799</v>
      </c>
      <c r="F2106" s="1257">
        <v>1.3409378913220101E-3</v>
      </c>
      <c r="G2106" s="1280">
        <v>7.9758918344033994E-2</v>
      </c>
      <c r="H2106" s="1271">
        <v>0.246397154675151</v>
      </c>
      <c r="I2106" s="1257">
        <v>1.6903820740229999E-2</v>
      </c>
      <c r="J2106" s="1280">
        <v>0.199542602260707</v>
      </c>
      <c r="K2106" s="1271">
        <v>2.2717960707251399E-2</v>
      </c>
      <c r="L2106" s="1257">
        <v>1.0119005220444999E-3</v>
      </c>
      <c r="M2106" s="1280">
        <v>1.7873440434955201E-2</v>
      </c>
      <c r="N2106" s="1271">
        <v>3.0000008598028201E-3</v>
      </c>
      <c r="O2106" s="1257">
        <v>2.0000005732018801E-3</v>
      </c>
      <c r="P2106" s="1257">
        <v>3.0000008598028201E-3</v>
      </c>
      <c r="Q2106" s="1280">
        <v>3.0000008598028201E-3</v>
      </c>
      <c r="R2106" s="1271">
        <v>3.1850009128239903E-2</v>
      </c>
      <c r="S2106" s="1257">
        <v>3.1850009128239903E-2</v>
      </c>
      <c r="T2106" s="1257">
        <v>3.1850009128239903E-2</v>
      </c>
      <c r="U2106" s="1280">
        <v>1.5925004564119952E-2</v>
      </c>
      <c r="V2106" s="1293">
        <v>2.37451660809757E-2</v>
      </c>
    </row>
    <row r="2107" spans="1:22" s="212" customFormat="1" ht="15.5" x14ac:dyDescent="0.35">
      <c r="A2107" s="198">
        <v>2048</v>
      </c>
      <c r="B2107" s="197" t="s">
        <v>5833</v>
      </c>
      <c r="C2107" s="197">
        <v>2002</v>
      </c>
      <c r="D2107" s="225" t="str">
        <f t="shared" si="13"/>
        <v>2048_2002</v>
      </c>
      <c r="E2107" s="1226">
        <v>0.10715001640433799</v>
      </c>
      <c r="F2107" s="1257">
        <v>1.3409378913220101E-3</v>
      </c>
      <c r="G2107" s="1280">
        <v>7.9758918344033994E-2</v>
      </c>
      <c r="H2107" s="1271">
        <v>0.246397154675151</v>
      </c>
      <c r="I2107" s="1257">
        <v>1.6903820740229999E-2</v>
      </c>
      <c r="J2107" s="1280">
        <v>0.199542602260707</v>
      </c>
      <c r="K2107" s="1271">
        <v>2.2717960707251399E-2</v>
      </c>
      <c r="L2107" s="1257">
        <v>1.0119005220444999E-3</v>
      </c>
      <c r="M2107" s="1280">
        <v>1.7873440434955201E-2</v>
      </c>
      <c r="N2107" s="1271">
        <v>3.0000008598028201E-3</v>
      </c>
      <c r="O2107" s="1257">
        <v>2.0000005732018801E-3</v>
      </c>
      <c r="P2107" s="1257">
        <v>3.0000008598028201E-3</v>
      </c>
      <c r="Q2107" s="1280">
        <v>3.0000008598028201E-3</v>
      </c>
      <c r="R2107" s="1271">
        <v>3.1850009128239903E-2</v>
      </c>
      <c r="S2107" s="1257">
        <v>3.1850009128239903E-2</v>
      </c>
      <c r="T2107" s="1257">
        <v>3.1850009128239903E-2</v>
      </c>
      <c r="U2107" s="1280">
        <v>1.5925004564119952E-2</v>
      </c>
      <c r="V2107" s="1293">
        <v>2.37451660809757E-2</v>
      </c>
    </row>
    <row r="2108" spans="1:22" s="212" customFormat="1" ht="15.5" x14ac:dyDescent="0.35">
      <c r="A2108" s="198">
        <v>2048</v>
      </c>
      <c r="B2108" s="197" t="s">
        <v>5833</v>
      </c>
      <c r="C2108" s="197">
        <v>2003</v>
      </c>
      <c r="D2108" s="225" t="str">
        <f t="shared" si="13"/>
        <v>2048_2003</v>
      </c>
      <c r="E2108" s="1226">
        <v>0.10715001640433799</v>
      </c>
      <c r="F2108" s="1257">
        <v>1.3409378913220101E-3</v>
      </c>
      <c r="G2108" s="1280">
        <v>7.9758918344033994E-2</v>
      </c>
      <c r="H2108" s="1271">
        <v>0.246397154675151</v>
      </c>
      <c r="I2108" s="1257">
        <v>1.6903820740229999E-2</v>
      </c>
      <c r="J2108" s="1280">
        <v>0.199542602260707</v>
      </c>
      <c r="K2108" s="1271">
        <v>2.2717960707251399E-2</v>
      </c>
      <c r="L2108" s="1257">
        <v>1.0119005220444999E-3</v>
      </c>
      <c r="M2108" s="1280">
        <v>1.7873440434955201E-2</v>
      </c>
      <c r="N2108" s="1271">
        <v>3.0000008598028201E-3</v>
      </c>
      <c r="O2108" s="1257">
        <v>2.0000005732018801E-3</v>
      </c>
      <c r="P2108" s="1257">
        <v>3.0000008598028201E-3</v>
      </c>
      <c r="Q2108" s="1280">
        <v>3.0000008598028201E-3</v>
      </c>
      <c r="R2108" s="1271">
        <v>3.1850009128239903E-2</v>
      </c>
      <c r="S2108" s="1257">
        <v>3.1850009128239903E-2</v>
      </c>
      <c r="T2108" s="1257">
        <v>3.1850009128239903E-2</v>
      </c>
      <c r="U2108" s="1280">
        <v>1.5925004564119952E-2</v>
      </c>
      <c r="V2108" s="1293">
        <v>2.37451660809757E-2</v>
      </c>
    </row>
    <row r="2109" spans="1:22" s="212" customFormat="1" ht="15.5" x14ac:dyDescent="0.35">
      <c r="A2109" s="198">
        <v>2048</v>
      </c>
      <c r="B2109" s="197" t="s">
        <v>5833</v>
      </c>
      <c r="C2109" s="197">
        <v>2004</v>
      </c>
      <c r="D2109" s="225" t="str">
        <f t="shared" si="13"/>
        <v>2048_2004</v>
      </c>
      <c r="E2109" s="1226">
        <v>0.10715001640433799</v>
      </c>
      <c r="F2109" s="1257">
        <v>1.3409378913220101E-3</v>
      </c>
      <c r="G2109" s="1280">
        <v>7.9758918344033994E-2</v>
      </c>
      <c r="H2109" s="1271">
        <v>0.246397154675151</v>
      </c>
      <c r="I2109" s="1257">
        <v>1.6903820740229999E-2</v>
      </c>
      <c r="J2109" s="1280">
        <v>0.199542602260707</v>
      </c>
      <c r="K2109" s="1271">
        <v>2.2717960707251399E-2</v>
      </c>
      <c r="L2109" s="1257">
        <v>1.0119005220444999E-3</v>
      </c>
      <c r="M2109" s="1280">
        <v>1.7873440434955201E-2</v>
      </c>
      <c r="N2109" s="1271">
        <v>3.0000008598028201E-3</v>
      </c>
      <c r="O2109" s="1257">
        <v>2.0000005732018801E-3</v>
      </c>
      <c r="P2109" s="1257">
        <v>3.0000008598028201E-3</v>
      </c>
      <c r="Q2109" s="1280">
        <v>3.0000008598028201E-3</v>
      </c>
      <c r="R2109" s="1271">
        <v>3.1850009128239903E-2</v>
      </c>
      <c r="S2109" s="1257">
        <v>3.1850009128239903E-2</v>
      </c>
      <c r="T2109" s="1257">
        <v>3.1850009128239903E-2</v>
      </c>
      <c r="U2109" s="1280">
        <v>1.5925004564119952E-2</v>
      </c>
      <c r="V2109" s="1293">
        <v>2.37451660809757E-2</v>
      </c>
    </row>
    <row r="2110" spans="1:22" s="212" customFormat="1" ht="15.5" x14ac:dyDescent="0.35">
      <c r="A2110" s="198">
        <v>2048</v>
      </c>
      <c r="B2110" s="197" t="s">
        <v>5833</v>
      </c>
      <c r="C2110" s="197">
        <v>2005</v>
      </c>
      <c r="D2110" s="225" t="str">
        <f t="shared" si="13"/>
        <v>2048_2005</v>
      </c>
      <c r="E2110" s="1226">
        <v>0.10715001640433799</v>
      </c>
      <c r="F2110" s="1257">
        <v>1.3409378913220101E-3</v>
      </c>
      <c r="G2110" s="1280">
        <v>7.9758918344033994E-2</v>
      </c>
      <c r="H2110" s="1271">
        <v>0.246397154675151</v>
      </c>
      <c r="I2110" s="1257">
        <v>1.6903820740229999E-2</v>
      </c>
      <c r="J2110" s="1280">
        <v>0.199542602260707</v>
      </c>
      <c r="K2110" s="1271">
        <v>2.2717960707251399E-2</v>
      </c>
      <c r="L2110" s="1257">
        <v>1.0119005220444999E-3</v>
      </c>
      <c r="M2110" s="1280">
        <v>1.7873440434955201E-2</v>
      </c>
      <c r="N2110" s="1271">
        <v>3.0000008598028201E-3</v>
      </c>
      <c r="O2110" s="1257">
        <v>2.0000005732018801E-3</v>
      </c>
      <c r="P2110" s="1257">
        <v>3.0000008598028201E-3</v>
      </c>
      <c r="Q2110" s="1280">
        <v>3.0000008598028201E-3</v>
      </c>
      <c r="R2110" s="1271">
        <v>3.1850009128239903E-2</v>
      </c>
      <c r="S2110" s="1257">
        <v>3.1850009128239903E-2</v>
      </c>
      <c r="T2110" s="1257">
        <v>3.1850009128239903E-2</v>
      </c>
      <c r="U2110" s="1280">
        <v>1.5925004564119952E-2</v>
      </c>
      <c r="V2110" s="1293">
        <v>2.37451660809757E-2</v>
      </c>
    </row>
    <row r="2111" spans="1:22" s="212" customFormat="1" ht="15.5" x14ac:dyDescent="0.35">
      <c r="A2111" s="198">
        <v>2048</v>
      </c>
      <c r="B2111" s="197" t="s">
        <v>5833</v>
      </c>
      <c r="C2111" s="197">
        <v>2006</v>
      </c>
      <c r="D2111" s="225" t="str">
        <f t="shared" si="13"/>
        <v>2048_2006</v>
      </c>
      <c r="E2111" s="1226">
        <v>0.10715001640433799</v>
      </c>
      <c r="F2111" s="1257">
        <v>1.3409378913220101E-3</v>
      </c>
      <c r="G2111" s="1280">
        <v>7.9758918344033994E-2</v>
      </c>
      <c r="H2111" s="1271">
        <v>0.246397154675151</v>
      </c>
      <c r="I2111" s="1257">
        <v>1.6903820740229999E-2</v>
      </c>
      <c r="J2111" s="1280">
        <v>0.199542602260707</v>
      </c>
      <c r="K2111" s="1271">
        <v>2.2717960707251399E-2</v>
      </c>
      <c r="L2111" s="1257">
        <v>1.0119005220444999E-3</v>
      </c>
      <c r="M2111" s="1280">
        <v>1.7873440434955201E-2</v>
      </c>
      <c r="N2111" s="1271">
        <v>3.0000008598028201E-3</v>
      </c>
      <c r="O2111" s="1257">
        <v>2.0000005732018801E-3</v>
      </c>
      <c r="P2111" s="1257">
        <v>3.0000008598028201E-3</v>
      </c>
      <c r="Q2111" s="1280">
        <v>3.0000008598028201E-3</v>
      </c>
      <c r="R2111" s="1271">
        <v>3.1850009128239903E-2</v>
      </c>
      <c r="S2111" s="1257">
        <v>3.1850009128239903E-2</v>
      </c>
      <c r="T2111" s="1257">
        <v>3.1850009128239903E-2</v>
      </c>
      <c r="U2111" s="1280">
        <v>1.5925004564119952E-2</v>
      </c>
      <c r="V2111" s="1293">
        <v>2.37451660809757E-2</v>
      </c>
    </row>
    <row r="2112" spans="1:22" s="212" customFormat="1" ht="15.5" x14ac:dyDescent="0.35">
      <c r="A2112" s="198">
        <v>2048</v>
      </c>
      <c r="B2112" s="197" t="s">
        <v>5833</v>
      </c>
      <c r="C2112" s="197">
        <v>2007</v>
      </c>
      <c r="D2112" s="225" t="str">
        <f t="shared" si="13"/>
        <v>2048_2007</v>
      </c>
      <c r="E2112" s="1226">
        <v>0.10715001640433799</v>
      </c>
      <c r="F2112" s="1257">
        <v>1.3409378913220101E-3</v>
      </c>
      <c r="G2112" s="1280">
        <v>7.9758918344033994E-2</v>
      </c>
      <c r="H2112" s="1271">
        <v>0.246397154675151</v>
      </c>
      <c r="I2112" s="1257">
        <v>1.6903820740229999E-2</v>
      </c>
      <c r="J2112" s="1280">
        <v>0.199542602260707</v>
      </c>
      <c r="K2112" s="1271">
        <v>2.2717960707251399E-2</v>
      </c>
      <c r="L2112" s="1257">
        <v>1.0119005220444999E-3</v>
      </c>
      <c r="M2112" s="1280">
        <v>1.7873440434955201E-2</v>
      </c>
      <c r="N2112" s="1271">
        <v>3.0000008598028201E-3</v>
      </c>
      <c r="O2112" s="1257">
        <v>2.0000005732018801E-3</v>
      </c>
      <c r="P2112" s="1257">
        <v>3.0000008598028201E-3</v>
      </c>
      <c r="Q2112" s="1280">
        <v>3.0000008598028201E-3</v>
      </c>
      <c r="R2112" s="1271">
        <v>3.1850009128239903E-2</v>
      </c>
      <c r="S2112" s="1257">
        <v>3.1850009128239903E-2</v>
      </c>
      <c r="T2112" s="1257">
        <v>3.1850009128239903E-2</v>
      </c>
      <c r="U2112" s="1280">
        <v>1.5925004564119952E-2</v>
      </c>
      <c r="V2112" s="1293">
        <v>2.37451660809757E-2</v>
      </c>
    </row>
    <row r="2113" spans="1:22" s="212" customFormat="1" ht="15.5" x14ac:dyDescent="0.35">
      <c r="A2113" s="198">
        <v>2048</v>
      </c>
      <c r="B2113" s="197" t="s">
        <v>5833</v>
      </c>
      <c r="C2113" s="197">
        <v>2008</v>
      </c>
      <c r="D2113" s="225" t="str">
        <f t="shared" si="13"/>
        <v>2048_2008</v>
      </c>
      <c r="E2113" s="1226">
        <v>0.10715001640433799</v>
      </c>
      <c r="F2113" s="1257">
        <v>1.3409378913220101E-3</v>
      </c>
      <c r="G2113" s="1280">
        <v>7.9758918344033994E-2</v>
      </c>
      <c r="H2113" s="1271">
        <v>0.246397154675151</v>
      </c>
      <c r="I2113" s="1257">
        <v>1.6903820740229999E-2</v>
      </c>
      <c r="J2113" s="1280">
        <v>0.199542602260707</v>
      </c>
      <c r="K2113" s="1271">
        <v>2.2717960707251399E-2</v>
      </c>
      <c r="L2113" s="1257">
        <v>1.0119005220444999E-3</v>
      </c>
      <c r="M2113" s="1280">
        <v>1.7873440434955201E-2</v>
      </c>
      <c r="N2113" s="1271">
        <v>3.0000008598028201E-3</v>
      </c>
      <c r="O2113" s="1257">
        <v>2.0000005732018801E-3</v>
      </c>
      <c r="P2113" s="1257">
        <v>3.0000008598028201E-3</v>
      </c>
      <c r="Q2113" s="1280">
        <v>3.0000008598028201E-3</v>
      </c>
      <c r="R2113" s="1271">
        <v>3.1850009128239903E-2</v>
      </c>
      <c r="S2113" s="1257">
        <v>3.1850009128239903E-2</v>
      </c>
      <c r="T2113" s="1257">
        <v>3.1850009128239903E-2</v>
      </c>
      <c r="U2113" s="1280">
        <v>1.5925004564119952E-2</v>
      </c>
      <c r="V2113" s="1293">
        <v>2.37451660809757E-2</v>
      </c>
    </row>
    <row r="2114" spans="1:22" s="212" customFormat="1" ht="15.5" x14ac:dyDescent="0.35">
      <c r="A2114" s="198">
        <v>2048</v>
      </c>
      <c r="B2114" s="197" t="s">
        <v>5833</v>
      </c>
      <c r="C2114" s="197">
        <v>2009</v>
      </c>
      <c r="D2114" s="225" t="str">
        <f t="shared" si="13"/>
        <v>2048_2009</v>
      </c>
      <c r="E2114" s="1226">
        <v>0.10715001640433799</v>
      </c>
      <c r="F2114" s="1257">
        <v>1.3409378913220101E-3</v>
      </c>
      <c r="G2114" s="1280">
        <v>7.9758918344033994E-2</v>
      </c>
      <c r="H2114" s="1271">
        <v>0.246397154675151</v>
      </c>
      <c r="I2114" s="1257">
        <v>1.6903820740229999E-2</v>
      </c>
      <c r="J2114" s="1280">
        <v>0.199542602260707</v>
      </c>
      <c r="K2114" s="1271">
        <v>2.2717960707251399E-2</v>
      </c>
      <c r="L2114" s="1257">
        <v>1.0119005220444999E-3</v>
      </c>
      <c r="M2114" s="1280">
        <v>1.7873440434955201E-2</v>
      </c>
      <c r="N2114" s="1271">
        <v>3.0000008598028201E-3</v>
      </c>
      <c r="O2114" s="1257">
        <v>2.0000005732018801E-3</v>
      </c>
      <c r="P2114" s="1257">
        <v>3.0000008598028201E-3</v>
      </c>
      <c r="Q2114" s="1280">
        <v>3.0000008598028201E-3</v>
      </c>
      <c r="R2114" s="1271">
        <v>3.1850009128239903E-2</v>
      </c>
      <c r="S2114" s="1257">
        <v>3.1850009128239903E-2</v>
      </c>
      <c r="T2114" s="1257">
        <v>3.1850009128239903E-2</v>
      </c>
      <c r="U2114" s="1280">
        <v>1.5925004564119952E-2</v>
      </c>
      <c r="V2114" s="1293">
        <v>2.37451660809757E-2</v>
      </c>
    </row>
    <row r="2115" spans="1:22" s="212" customFormat="1" ht="15.5" x14ac:dyDescent="0.35">
      <c r="A2115" s="198">
        <v>2048</v>
      </c>
      <c r="B2115" s="197" t="s">
        <v>5833</v>
      </c>
      <c r="C2115" s="197">
        <v>2010</v>
      </c>
      <c r="D2115" s="225" t="str">
        <f t="shared" si="13"/>
        <v>2048_2010</v>
      </c>
      <c r="E2115" s="1226">
        <v>0.10715001640433799</v>
      </c>
      <c r="F2115" s="1257">
        <v>1.3409378913220101E-3</v>
      </c>
      <c r="G2115" s="1280">
        <v>7.9758918344033994E-2</v>
      </c>
      <c r="H2115" s="1271">
        <v>0.246397154675151</v>
      </c>
      <c r="I2115" s="1257">
        <v>1.6903820740229999E-2</v>
      </c>
      <c r="J2115" s="1280">
        <v>0.199542602260707</v>
      </c>
      <c r="K2115" s="1271">
        <v>2.2717960707251399E-2</v>
      </c>
      <c r="L2115" s="1257">
        <v>1.0119005220444999E-3</v>
      </c>
      <c r="M2115" s="1280">
        <v>1.7873440434955201E-2</v>
      </c>
      <c r="N2115" s="1271">
        <v>3.0000008598028201E-3</v>
      </c>
      <c r="O2115" s="1257">
        <v>2.0000005732018801E-3</v>
      </c>
      <c r="P2115" s="1257">
        <v>3.0000008598028201E-3</v>
      </c>
      <c r="Q2115" s="1280">
        <v>3.0000008598028201E-3</v>
      </c>
      <c r="R2115" s="1271">
        <v>3.1850009128239903E-2</v>
      </c>
      <c r="S2115" s="1257">
        <v>3.1850009128239903E-2</v>
      </c>
      <c r="T2115" s="1257">
        <v>3.1850009128239903E-2</v>
      </c>
      <c r="U2115" s="1280">
        <v>1.5925004564119952E-2</v>
      </c>
      <c r="V2115" s="1293">
        <v>2.37451660809757E-2</v>
      </c>
    </row>
    <row r="2116" spans="1:22" s="212" customFormat="1" ht="15.5" x14ac:dyDescent="0.35">
      <c r="A2116" s="198">
        <v>2048</v>
      </c>
      <c r="B2116" s="197" t="s">
        <v>5833</v>
      </c>
      <c r="C2116" s="197">
        <v>2011</v>
      </c>
      <c r="D2116" s="225" t="str">
        <f t="shared" si="13"/>
        <v>2048_2011</v>
      </c>
      <c r="E2116" s="1226">
        <v>0.10715001640433799</v>
      </c>
      <c r="F2116" s="1257">
        <v>1.3409378913220101E-3</v>
      </c>
      <c r="G2116" s="1280">
        <v>7.9758918344033994E-2</v>
      </c>
      <c r="H2116" s="1271">
        <v>0.246397154675151</v>
      </c>
      <c r="I2116" s="1257">
        <v>1.6903820740229999E-2</v>
      </c>
      <c r="J2116" s="1280">
        <v>0.199542602260707</v>
      </c>
      <c r="K2116" s="1271">
        <v>2.2717960707251399E-2</v>
      </c>
      <c r="L2116" s="1257">
        <v>1.0119005220444999E-3</v>
      </c>
      <c r="M2116" s="1280">
        <v>1.7873440434955201E-2</v>
      </c>
      <c r="N2116" s="1271">
        <v>3.0000008598028201E-3</v>
      </c>
      <c r="O2116" s="1257">
        <v>2.0000005732018801E-3</v>
      </c>
      <c r="P2116" s="1257">
        <v>3.0000008598028201E-3</v>
      </c>
      <c r="Q2116" s="1280">
        <v>3.0000008598028201E-3</v>
      </c>
      <c r="R2116" s="1271">
        <v>3.1850009128239903E-2</v>
      </c>
      <c r="S2116" s="1257">
        <v>3.1850009128239903E-2</v>
      </c>
      <c r="T2116" s="1257">
        <v>3.1850009128239903E-2</v>
      </c>
      <c r="U2116" s="1280">
        <v>1.5925004564119952E-2</v>
      </c>
      <c r="V2116" s="1293">
        <v>2.37451660809757E-2</v>
      </c>
    </row>
    <row r="2117" spans="1:22" s="212" customFormat="1" ht="15.5" x14ac:dyDescent="0.35">
      <c r="A2117" s="198">
        <v>2048</v>
      </c>
      <c r="B2117" s="197" t="s">
        <v>5833</v>
      </c>
      <c r="C2117" s="197">
        <v>2012</v>
      </c>
      <c r="D2117" s="225" t="str">
        <f t="shared" si="13"/>
        <v>2048_2012</v>
      </c>
      <c r="E2117" s="1226">
        <v>0.10715001640433799</v>
      </c>
      <c r="F2117" s="1257">
        <v>1.3409378913220101E-3</v>
      </c>
      <c r="G2117" s="1280">
        <v>7.9758918344033994E-2</v>
      </c>
      <c r="H2117" s="1271">
        <v>0.246397154675151</v>
      </c>
      <c r="I2117" s="1257">
        <v>1.6903820740229999E-2</v>
      </c>
      <c r="J2117" s="1280">
        <v>0.199542602260707</v>
      </c>
      <c r="K2117" s="1271">
        <v>2.2717960707251399E-2</v>
      </c>
      <c r="L2117" s="1257">
        <v>1.0119005220444999E-3</v>
      </c>
      <c r="M2117" s="1280">
        <v>1.7873440434955201E-2</v>
      </c>
      <c r="N2117" s="1271">
        <v>3.0000008598028201E-3</v>
      </c>
      <c r="O2117" s="1257">
        <v>2.0000005732018801E-3</v>
      </c>
      <c r="P2117" s="1257">
        <v>3.0000008598028201E-3</v>
      </c>
      <c r="Q2117" s="1280">
        <v>3.0000008598028201E-3</v>
      </c>
      <c r="R2117" s="1271">
        <v>3.1850009128239903E-2</v>
      </c>
      <c r="S2117" s="1257">
        <v>3.1850009128239903E-2</v>
      </c>
      <c r="T2117" s="1257">
        <v>3.1850009128239903E-2</v>
      </c>
      <c r="U2117" s="1280">
        <v>1.5925004564119952E-2</v>
      </c>
      <c r="V2117" s="1293">
        <v>2.37451660809757E-2</v>
      </c>
    </row>
    <row r="2118" spans="1:22" s="212" customFormat="1" ht="15.5" x14ac:dyDescent="0.35">
      <c r="A2118" s="198">
        <v>2048</v>
      </c>
      <c r="B2118" s="197" t="s">
        <v>5833</v>
      </c>
      <c r="C2118" s="197">
        <v>2013</v>
      </c>
      <c r="D2118" s="225" t="str">
        <f t="shared" si="13"/>
        <v>2048_2013</v>
      </c>
      <c r="E2118" s="1226">
        <v>0.10715001640433799</v>
      </c>
      <c r="F2118" s="1257">
        <v>1.3409378913220101E-3</v>
      </c>
      <c r="G2118" s="1280">
        <v>7.9758918344033994E-2</v>
      </c>
      <c r="H2118" s="1271">
        <v>0.246397154675151</v>
      </c>
      <c r="I2118" s="1257">
        <v>1.6903820740229999E-2</v>
      </c>
      <c r="J2118" s="1280">
        <v>0.199542602260707</v>
      </c>
      <c r="K2118" s="1271">
        <v>2.2717960707251399E-2</v>
      </c>
      <c r="L2118" s="1257">
        <v>1.0119005220444999E-3</v>
      </c>
      <c r="M2118" s="1280">
        <v>1.7873440434955201E-2</v>
      </c>
      <c r="N2118" s="1271">
        <v>3.0000008598028201E-3</v>
      </c>
      <c r="O2118" s="1257">
        <v>2.0000005732018801E-3</v>
      </c>
      <c r="P2118" s="1257">
        <v>3.0000008598028201E-3</v>
      </c>
      <c r="Q2118" s="1280">
        <v>3.0000008598028201E-3</v>
      </c>
      <c r="R2118" s="1271">
        <v>3.1850009128239903E-2</v>
      </c>
      <c r="S2118" s="1257">
        <v>3.1850009128239903E-2</v>
      </c>
      <c r="T2118" s="1257">
        <v>3.1850009128239903E-2</v>
      </c>
      <c r="U2118" s="1280">
        <v>1.5925004564119952E-2</v>
      </c>
      <c r="V2118" s="1293">
        <v>2.37451660809757E-2</v>
      </c>
    </row>
    <row r="2119" spans="1:22" s="212" customFormat="1" ht="15.5" x14ac:dyDescent="0.35">
      <c r="A2119" s="198">
        <v>2048</v>
      </c>
      <c r="B2119" s="197" t="s">
        <v>5833</v>
      </c>
      <c r="C2119" s="197">
        <v>2014</v>
      </c>
      <c r="D2119" s="225" t="str">
        <f t="shared" si="13"/>
        <v>2048_2014</v>
      </c>
      <c r="E2119" s="1226">
        <v>0.10715001640433799</v>
      </c>
      <c r="F2119" s="1257">
        <v>1.3409378913220101E-3</v>
      </c>
      <c r="G2119" s="1280">
        <v>7.9758918344033994E-2</v>
      </c>
      <c r="H2119" s="1271">
        <v>0.246397154675151</v>
      </c>
      <c r="I2119" s="1257">
        <v>1.6903820740229999E-2</v>
      </c>
      <c r="J2119" s="1280">
        <v>0.199542602260707</v>
      </c>
      <c r="K2119" s="1271">
        <v>2.2717960707251399E-2</v>
      </c>
      <c r="L2119" s="1257">
        <v>1.0119005220444999E-3</v>
      </c>
      <c r="M2119" s="1280">
        <v>1.7873440434955201E-2</v>
      </c>
      <c r="N2119" s="1271">
        <v>3.0000008598028201E-3</v>
      </c>
      <c r="O2119" s="1257">
        <v>2.0000005732018801E-3</v>
      </c>
      <c r="P2119" s="1257">
        <v>3.0000008598028201E-3</v>
      </c>
      <c r="Q2119" s="1280">
        <v>3.0000008598028201E-3</v>
      </c>
      <c r="R2119" s="1271">
        <v>3.1850009128239903E-2</v>
      </c>
      <c r="S2119" s="1257">
        <v>3.1850009128239903E-2</v>
      </c>
      <c r="T2119" s="1257">
        <v>3.1850009128239903E-2</v>
      </c>
      <c r="U2119" s="1280">
        <v>1.5925004564119952E-2</v>
      </c>
      <c r="V2119" s="1293">
        <v>2.37451660809757E-2</v>
      </c>
    </row>
    <row r="2120" spans="1:22" s="212" customFormat="1" ht="15.5" x14ac:dyDescent="0.35">
      <c r="A2120" s="198">
        <v>2048</v>
      </c>
      <c r="B2120" s="197" t="s">
        <v>5833</v>
      </c>
      <c r="C2120" s="197">
        <v>2015</v>
      </c>
      <c r="D2120" s="225" t="str">
        <f t="shared" si="13"/>
        <v>2048_2015</v>
      </c>
      <c r="E2120" s="1226">
        <v>0.10715001640433799</v>
      </c>
      <c r="F2120" s="1257">
        <v>1.3409378913220101E-3</v>
      </c>
      <c r="G2120" s="1280">
        <v>7.9758918344033994E-2</v>
      </c>
      <c r="H2120" s="1271">
        <v>0.246397154675151</v>
      </c>
      <c r="I2120" s="1257">
        <v>1.6903820740229999E-2</v>
      </c>
      <c r="J2120" s="1280">
        <v>0.199542602260707</v>
      </c>
      <c r="K2120" s="1271">
        <v>2.2717960707251399E-2</v>
      </c>
      <c r="L2120" s="1257">
        <v>1.0119005220444999E-3</v>
      </c>
      <c r="M2120" s="1280">
        <v>1.7873440434955201E-2</v>
      </c>
      <c r="N2120" s="1271">
        <v>3.0000008598028201E-3</v>
      </c>
      <c r="O2120" s="1257">
        <v>2.0000005732018801E-3</v>
      </c>
      <c r="P2120" s="1257">
        <v>3.0000008598028201E-3</v>
      </c>
      <c r="Q2120" s="1280">
        <v>3.0000008598028201E-3</v>
      </c>
      <c r="R2120" s="1271">
        <v>3.1850009128239903E-2</v>
      </c>
      <c r="S2120" s="1257">
        <v>3.1850009128239903E-2</v>
      </c>
      <c r="T2120" s="1257">
        <v>3.1850009128239903E-2</v>
      </c>
      <c r="U2120" s="1280">
        <v>1.5925004564119952E-2</v>
      </c>
      <c r="V2120" s="1293">
        <v>2.37451660809757E-2</v>
      </c>
    </row>
    <row r="2121" spans="1:22" s="212" customFormat="1" ht="15.5" x14ac:dyDescent="0.35">
      <c r="A2121" s="198">
        <v>2048</v>
      </c>
      <c r="B2121" s="197" t="s">
        <v>5833</v>
      </c>
      <c r="C2121" s="197">
        <v>2016</v>
      </c>
      <c r="D2121" s="225" t="str">
        <f t="shared" si="13"/>
        <v>2048_2016</v>
      </c>
      <c r="E2121" s="1226">
        <v>0.10715001640433799</v>
      </c>
      <c r="F2121" s="1257">
        <v>1.3409378913220101E-3</v>
      </c>
      <c r="G2121" s="1280">
        <v>7.9758918344033994E-2</v>
      </c>
      <c r="H2121" s="1271">
        <v>0.246397154675151</v>
      </c>
      <c r="I2121" s="1257">
        <v>1.6903820740229999E-2</v>
      </c>
      <c r="J2121" s="1280">
        <v>0.199542602260707</v>
      </c>
      <c r="K2121" s="1271">
        <v>2.2717960707251399E-2</v>
      </c>
      <c r="L2121" s="1257">
        <v>1.0119005220444999E-3</v>
      </c>
      <c r="M2121" s="1280">
        <v>1.7873440434955201E-2</v>
      </c>
      <c r="N2121" s="1271">
        <v>3.0000008598028201E-3</v>
      </c>
      <c r="O2121" s="1257">
        <v>2.0000005732018801E-3</v>
      </c>
      <c r="P2121" s="1257">
        <v>3.0000008598028201E-3</v>
      </c>
      <c r="Q2121" s="1280">
        <v>3.0000008598028201E-3</v>
      </c>
      <c r="R2121" s="1271">
        <v>3.1850009128239903E-2</v>
      </c>
      <c r="S2121" s="1257">
        <v>3.1850009128239903E-2</v>
      </c>
      <c r="T2121" s="1257">
        <v>3.1850009128239903E-2</v>
      </c>
      <c r="U2121" s="1280">
        <v>1.5925004564119952E-2</v>
      </c>
      <c r="V2121" s="1293">
        <v>2.37451660809757E-2</v>
      </c>
    </row>
    <row r="2122" spans="1:22" s="212" customFormat="1" ht="15.5" x14ac:dyDescent="0.35">
      <c r="A2122" s="198">
        <v>2048</v>
      </c>
      <c r="B2122" s="197" t="s">
        <v>5833</v>
      </c>
      <c r="C2122" s="197">
        <v>2017</v>
      </c>
      <c r="D2122" s="225" t="str">
        <f t="shared" si="13"/>
        <v>2048_2017</v>
      </c>
      <c r="E2122" s="1226">
        <v>0.10715001640433799</v>
      </c>
      <c r="F2122" s="1257">
        <v>1.3409378913220101E-3</v>
      </c>
      <c r="G2122" s="1280">
        <v>7.9758918344033994E-2</v>
      </c>
      <c r="H2122" s="1271">
        <v>0.246397154675151</v>
      </c>
      <c r="I2122" s="1257">
        <v>1.6903820740229999E-2</v>
      </c>
      <c r="J2122" s="1280">
        <v>0.199542602260707</v>
      </c>
      <c r="K2122" s="1271">
        <v>2.2717960707251399E-2</v>
      </c>
      <c r="L2122" s="1257">
        <v>1.0119005220444999E-3</v>
      </c>
      <c r="M2122" s="1280">
        <v>1.7873440434955201E-2</v>
      </c>
      <c r="N2122" s="1271">
        <v>3.0000008598028201E-3</v>
      </c>
      <c r="O2122" s="1257">
        <v>2.0000005732018801E-3</v>
      </c>
      <c r="P2122" s="1257">
        <v>3.0000008598028201E-3</v>
      </c>
      <c r="Q2122" s="1280">
        <v>3.0000008598028201E-3</v>
      </c>
      <c r="R2122" s="1271">
        <v>3.1850009128239903E-2</v>
      </c>
      <c r="S2122" s="1257">
        <v>3.1850009128239903E-2</v>
      </c>
      <c r="T2122" s="1257">
        <v>3.1850009128239903E-2</v>
      </c>
      <c r="U2122" s="1280">
        <v>1.5925004564119952E-2</v>
      </c>
      <c r="V2122" s="1293">
        <v>2.37451660809757E-2</v>
      </c>
    </row>
    <row r="2123" spans="1:22" s="212" customFormat="1" ht="15.5" x14ac:dyDescent="0.35">
      <c r="A2123" s="198">
        <v>2048</v>
      </c>
      <c r="B2123" s="197" t="s">
        <v>5833</v>
      </c>
      <c r="C2123" s="197">
        <v>2018</v>
      </c>
      <c r="D2123" s="225" t="str">
        <f t="shared" si="13"/>
        <v>2048_2018</v>
      </c>
      <c r="E2123" s="1226">
        <v>0.10715001640433799</v>
      </c>
      <c r="F2123" s="1257">
        <v>1.3409378913220101E-3</v>
      </c>
      <c r="G2123" s="1280">
        <v>7.9758918344033994E-2</v>
      </c>
      <c r="H2123" s="1271">
        <v>0.246397154675151</v>
      </c>
      <c r="I2123" s="1257">
        <v>1.6903820740229999E-2</v>
      </c>
      <c r="J2123" s="1280">
        <v>0.199542602260707</v>
      </c>
      <c r="K2123" s="1271">
        <v>2.2717960707251399E-2</v>
      </c>
      <c r="L2123" s="1257">
        <v>1.0119005220444999E-3</v>
      </c>
      <c r="M2123" s="1280">
        <v>1.7873440434955201E-2</v>
      </c>
      <c r="N2123" s="1271">
        <v>3.0000008598028201E-3</v>
      </c>
      <c r="O2123" s="1257">
        <v>2.0000005732018801E-3</v>
      </c>
      <c r="P2123" s="1257">
        <v>3.0000008598028201E-3</v>
      </c>
      <c r="Q2123" s="1280">
        <v>3.0000008598028201E-3</v>
      </c>
      <c r="R2123" s="1271">
        <v>3.1850009128239903E-2</v>
      </c>
      <c r="S2123" s="1257">
        <v>3.1850009128239903E-2</v>
      </c>
      <c r="T2123" s="1257">
        <v>3.1850009128239903E-2</v>
      </c>
      <c r="U2123" s="1280">
        <v>1.5925004564119952E-2</v>
      </c>
      <c r="V2123" s="1293">
        <v>2.37451660809757E-2</v>
      </c>
    </row>
    <row r="2124" spans="1:22" s="212" customFormat="1" ht="15.5" x14ac:dyDescent="0.35">
      <c r="A2124" s="198">
        <v>2048</v>
      </c>
      <c r="B2124" s="197" t="s">
        <v>5833</v>
      </c>
      <c r="C2124" s="197">
        <v>2019</v>
      </c>
      <c r="D2124" s="225" t="str">
        <f t="shared" si="13"/>
        <v>2048_2019</v>
      </c>
      <c r="E2124" s="1226">
        <v>0.10715001640433799</v>
      </c>
      <c r="F2124" s="1257">
        <v>1.3409378913220101E-3</v>
      </c>
      <c r="G2124" s="1280">
        <v>7.9758918344033994E-2</v>
      </c>
      <c r="H2124" s="1271">
        <v>0.246397154675151</v>
      </c>
      <c r="I2124" s="1257">
        <v>1.6903820740229999E-2</v>
      </c>
      <c r="J2124" s="1280">
        <v>0.199542602260707</v>
      </c>
      <c r="K2124" s="1271">
        <v>2.2717960707251399E-2</v>
      </c>
      <c r="L2124" s="1257">
        <v>1.0119005220444999E-3</v>
      </c>
      <c r="M2124" s="1280">
        <v>1.7873440434955201E-2</v>
      </c>
      <c r="N2124" s="1271">
        <v>3.0000008598028201E-3</v>
      </c>
      <c r="O2124" s="1257">
        <v>2.0000005732018801E-3</v>
      </c>
      <c r="P2124" s="1257">
        <v>3.0000008598028201E-3</v>
      </c>
      <c r="Q2124" s="1280">
        <v>3.0000008598028201E-3</v>
      </c>
      <c r="R2124" s="1271">
        <v>3.1850009128239903E-2</v>
      </c>
      <c r="S2124" s="1257">
        <v>3.1850009128239903E-2</v>
      </c>
      <c r="T2124" s="1257">
        <v>3.1850009128239903E-2</v>
      </c>
      <c r="U2124" s="1280">
        <v>1.5925004564119952E-2</v>
      </c>
      <c r="V2124" s="1293">
        <v>2.37451660809757E-2</v>
      </c>
    </row>
    <row r="2125" spans="1:22" s="212" customFormat="1" ht="15.5" x14ac:dyDescent="0.35">
      <c r="A2125" s="198">
        <v>2048</v>
      </c>
      <c r="B2125" s="197" t="s">
        <v>5833</v>
      </c>
      <c r="C2125" s="197">
        <v>2020</v>
      </c>
      <c r="D2125" s="225" t="str">
        <f t="shared" si="13"/>
        <v>2048_2020</v>
      </c>
      <c r="E2125" s="1226">
        <v>0.10715001640433799</v>
      </c>
      <c r="F2125" s="1257">
        <v>1.3409378913220101E-3</v>
      </c>
      <c r="G2125" s="1280">
        <v>7.9758918344033994E-2</v>
      </c>
      <c r="H2125" s="1271">
        <v>0.246397154675151</v>
      </c>
      <c r="I2125" s="1257">
        <v>1.6903820740229999E-2</v>
      </c>
      <c r="J2125" s="1280">
        <v>0.199542602260707</v>
      </c>
      <c r="K2125" s="1271">
        <v>2.2717960707251399E-2</v>
      </c>
      <c r="L2125" s="1257">
        <v>1.0119005220444999E-3</v>
      </c>
      <c r="M2125" s="1280">
        <v>1.7873440434955201E-2</v>
      </c>
      <c r="N2125" s="1271">
        <v>3.0000008598028201E-3</v>
      </c>
      <c r="O2125" s="1257">
        <v>2.0000005732018801E-3</v>
      </c>
      <c r="P2125" s="1257">
        <v>3.0000008598028201E-3</v>
      </c>
      <c r="Q2125" s="1280">
        <v>3.0000008598028201E-3</v>
      </c>
      <c r="R2125" s="1271">
        <v>3.1850009128239903E-2</v>
      </c>
      <c r="S2125" s="1257">
        <v>3.1850009128239903E-2</v>
      </c>
      <c r="T2125" s="1257">
        <v>3.1850009128239903E-2</v>
      </c>
      <c r="U2125" s="1280">
        <v>1.5925004564119952E-2</v>
      </c>
      <c r="V2125" s="1293">
        <v>2.37451660809757E-2</v>
      </c>
    </row>
    <row r="2126" spans="1:22" s="212" customFormat="1" ht="15.5" x14ac:dyDescent="0.35">
      <c r="A2126" s="198">
        <v>2048</v>
      </c>
      <c r="B2126" s="197" t="s">
        <v>5833</v>
      </c>
      <c r="C2126" s="197">
        <v>2021</v>
      </c>
      <c r="D2126" s="225" t="str">
        <f t="shared" si="13"/>
        <v>2048_2021</v>
      </c>
      <c r="E2126" s="1226">
        <v>0.10715001640433799</v>
      </c>
      <c r="F2126" s="1257">
        <v>1.3409378913220101E-3</v>
      </c>
      <c r="G2126" s="1280">
        <v>7.9758918344033994E-2</v>
      </c>
      <c r="H2126" s="1271">
        <v>0.246397154675151</v>
      </c>
      <c r="I2126" s="1257">
        <v>1.6903820740229999E-2</v>
      </c>
      <c r="J2126" s="1280">
        <v>0.199542602260707</v>
      </c>
      <c r="K2126" s="1271">
        <v>2.2717960707251399E-2</v>
      </c>
      <c r="L2126" s="1257">
        <v>1.0119005220444999E-3</v>
      </c>
      <c r="M2126" s="1280">
        <v>1.7873440434955201E-2</v>
      </c>
      <c r="N2126" s="1271">
        <v>3.0000008598028201E-3</v>
      </c>
      <c r="O2126" s="1257">
        <v>2.0000005732018801E-3</v>
      </c>
      <c r="P2126" s="1257">
        <v>3.0000008598028201E-3</v>
      </c>
      <c r="Q2126" s="1280">
        <v>3.0000008598028201E-3</v>
      </c>
      <c r="R2126" s="1271">
        <v>3.1850009128239903E-2</v>
      </c>
      <c r="S2126" s="1257">
        <v>3.1850009128239903E-2</v>
      </c>
      <c r="T2126" s="1257">
        <v>3.1850009128239903E-2</v>
      </c>
      <c r="U2126" s="1280">
        <v>1.5925004564119952E-2</v>
      </c>
      <c r="V2126" s="1293">
        <v>2.37451660809757E-2</v>
      </c>
    </row>
    <row r="2127" spans="1:22" s="212" customFormat="1" ht="15.5" x14ac:dyDescent="0.35">
      <c r="A2127" s="198">
        <v>2048</v>
      </c>
      <c r="B2127" s="197" t="s">
        <v>5833</v>
      </c>
      <c r="C2127" s="197">
        <v>2022</v>
      </c>
      <c r="D2127" s="225" t="str">
        <f t="shared" si="13"/>
        <v>2048_2022</v>
      </c>
      <c r="E2127" s="1226">
        <v>0.10715001640433799</v>
      </c>
      <c r="F2127" s="1257">
        <v>1.3409378913220101E-3</v>
      </c>
      <c r="G2127" s="1280">
        <v>7.9758918344033994E-2</v>
      </c>
      <c r="H2127" s="1271">
        <v>0.246397154675151</v>
      </c>
      <c r="I2127" s="1257">
        <v>1.6903820740229999E-2</v>
      </c>
      <c r="J2127" s="1280">
        <v>0.199542602260707</v>
      </c>
      <c r="K2127" s="1271">
        <v>2.2717960707251399E-2</v>
      </c>
      <c r="L2127" s="1257">
        <v>1.0119005220444999E-3</v>
      </c>
      <c r="M2127" s="1280">
        <v>1.7873440434955201E-2</v>
      </c>
      <c r="N2127" s="1271">
        <v>3.0000008598028201E-3</v>
      </c>
      <c r="O2127" s="1257">
        <v>2.0000005732018801E-3</v>
      </c>
      <c r="P2127" s="1257">
        <v>3.0000008598028201E-3</v>
      </c>
      <c r="Q2127" s="1280">
        <v>3.0000008598028201E-3</v>
      </c>
      <c r="R2127" s="1271">
        <v>3.1850009128239903E-2</v>
      </c>
      <c r="S2127" s="1257">
        <v>3.1850009128239903E-2</v>
      </c>
      <c r="T2127" s="1257">
        <v>3.1850009128239903E-2</v>
      </c>
      <c r="U2127" s="1280">
        <v>1.5925004564119952E-2</v>
      </c>
      <c r="V2127" s="1293">
        <v>2.37451660809757E-2</v>
      </c>
    </row>
    <row r="2128" spans="1:22" s="212" customFormat="1" ht="15.5" x14ac:dyDescent="0.35">
      <c r="A2128" s="198">
        <v>2048</v>
      </c>
      <c r="B2128" s="197" t="s">
        <v>5833</v>
      </c>
      <c r="C2128" s="197">
        <v>2023</v>
      </c>
      <c r="D2128" s="225" t="str">
        <f t="shared" si="13"/>
        <v>2048_2023</v>
      </c>
      <c r="E2128" s="1226">
        <v>0.10715001640433799</v>
      </c>
      <c r="F2128" s="1257">
        <v>1.3409378913220101E-3</v>
      </c>
      <c r="G2128" s="1280">
        <v>7.9758918344033994E-2</v>
      </c>
      <c r="H2128" s="1271">
        <v>0.246397154675151</v>
      </c>
      <c r="I2128" s="1257">
        <v>1.6903820740229999E-2</v>
      </c>
      <c r="J2128" s="1280">
        <v>0.199542602260707</v>
      </c>
      <c r="K2128" s="1271">
        <v>2.2717960707251399E-2</v>
      </c>
      <c r="L2128" s="1257">
        <v>1.0119005220444999E-3</v>
      </c>
      <c r="M2128" s="1280">
        <v>1.7873440434955201E-2</v>
      </c>
      <c r="N2128" s="1271">
        <v>3.0000008598028201E-3</v>
      </c>
      <c r="O2128" s="1257">
        <v>2.0000005732018801E-3</v>
      </c>
      <c r="P2128" s="1257">
        <v>3.0000008598028201E-3</v>
      </c>
      <c r="Q2128" s="1280">
        <v>3.0000008598028201E-3</v>
      </c>
      <c r="R2128" s="1271">
        <v>3.1850009128239903E-2</v>
      </c>
      <c r="S2128" s="1257">
        <v>3.1850009128239903E-2</v>
      </c>
      <c r="T2128" s="1257">
        <v>3.1850009128239903E-2</v>
      </c>
      <c r="U2128" s="1280">
        <v>1.5925004564119952E-2</v>
      </c>
      <c r="V2128" s="1293">
        <v>2.37451660809757E-2</v>
      </c>
    </row>
    <row r="2129" spans="1:22" s="212" customFormat="1" ht="15.5" x14ac:dyDescent="0.35">
      <c r="A2129" s="198">
        <v>2048</v>
      </c>
      <c r="B2129" s="197" t="s">
        <v>5833</v>
      </c>
      <c r="C2129" s="197">
        <v>2024</v>
      </c>
      <c r="D2129" s="225" t="str">
        <f t="shared" si="13"/>
        <v>2048_2024</v>
      </c>
      <c r="E2129" s="1226">
        <v>0.10715001640433799</v>
      </c>
      <c r="F2129" s="1257">
        <v>1.3409378913220101E-3</v>
      </c>
      <c r="G2129" s="1280">
        <v>7.9758918344033994E-2</v>
      </c>
      <c r="H2129" s="1271">
        <v>0.246397154675151</v>
      </c>
      <c r="I2129" s="1257">
        <v>1.6903820740229999E-2</v>
      </c>
      <c r="J2129" s="1280">
        <v>0.199542602260707</v>
      </c>
      <c r="K2129" s="1271">
        <v>2.2717960707251399E-2</v>
      </c>
      <c r="L2129" s="1257">
        <v>1.0119005220444999E-3</v>
      </c>
      <c r="M2129" s="1280">
        <v>1.7873440434955201E-2</v>
      </c>
      <c r="N2129" s="1271">
        <v>3.0000008598028201E-3</v>
      </c>
      <c r="O2129" s="1257">
        <v>2.0000005732018801E-3</v>
      </c>
      <c r="P2129" s="1257">
        <v>3.0000008598028201E-3</v>
      </c>
      <c r="Q2129" s="1280">
        <v>3.0000008598028201E-3</v>
      </c>
      <c r="R2129" s="1271">
        <v>3.1850009128239903E-2</v>
      </c>
      <c r="S2129" s="1257">
        <v>3.1850009128239903E-2</v>
      </c>
      <c r="T2129" s="1257">
        <v>3.1850009128239903E-2</v>
      </c>
      <c r="U2129" s="1280">
        <v>1.5925004564119952E-2</v>
      </c>
      <c r="V2129" s="1293">
        <v>2.37451660809757E-2</v>
      </c>
    </row>
    <row r="2130" spans="1:22" s="212" customFormat="1" ht="15.5" x14ac:dyDescent="0.35">
      <c r="A2130" s="198">
        <v>2048</v>
      </c>
      <c r="B2130" s="197" t="s">
        <v>5833</v>
      </c>
      <c r="C2130" s="197">
        <v>2025</v>
      </c>
      <c r="D2130" s="225" t="str">
        <f t="shared" si="13"/>
        <v>2048_2025</v>
      </c>
      <c r="E2130" s="1226">
        <v>0.10715001640433799</v>
      </c>
      <c r="F2130" s="1257">
        <v>1.3409378913220101E-3</v>
      </c>
      <c r="G2130" s="1280">
        <v>7.9758918344033994E-2</v>
      </c>
      <c r="H2130" s="1271">
        <v>0.246397154675151</v>
      </c>
      <c r="I2130" s="1257">
        <v>1.6903820740229999E-2</v>
      </c>
      <c r="J2130" s="1280">
        <v>0.199542602260707</v>
      </c>
      <c r="K2130" s="1271">
        <v>2.2717960707251399E-2</v>
      </c>
      <c r="L2130" s="1257">
        <v>1.0119005220444999E-3</v>
      </c>
      <c r="M2130" s="1280">
        <v>1.7873440434955201E-2</v>
      </c>
      <c r="N2130" s="1271">
        <v>3.0000008598028201E-3</v>
      </c>
      <c r="O2130" s="1257">
        <v>2.0000005732018801E-3</v>
      </c>
      <c r="P2130" s="1257">
        <v>3.0000008598028201E-3</v>
      </c>
      <c r="Q2130" s="1280">
        <v>3.0000008598028201E-3</v>
      </c>
      <c r="R2130" s="1271">
        <v>3.1850009128239903E-2</v>
      </c>
      <c r="S2130" s="1257">
        <v>3.1850009128239903E-2</v>
      </c>
      <c r="T2130" s="1257">
        <v>3.1850009128239903E-2</v>
      </c>
      <c r="U2130" s="1280">
        <v>1.5925004564119952E-2</v>
      </c>
      <c r="V2130" s="1293">
        <v>2.37451660809757E-2</v>
      </c>
    </row>
    <row r="2131" spans="1:22" s="212" customFormat="1" ht="15.5" x14ac:dyDescent="0.35">
      <c r="A2131" s="198">
        <v>2048</v>
      </c>
      <c r="B2131" s="197" t="s">
        <v>5833</v>
      </c>
      <c r="C2131" s="197">
        <v>2026</v>
      </c>
      <c r="D2131" s="225" t="str">
        <f t="shared" si="13"/>
        <v>2048_2026</v>
      </c>
      <c r="E2131" s="1226">
        <v>0.10715001640433799</v>
      </c>
      <c r="F2131" s="1257">
        <v>1.3409378913220101E-3</v>
      </c>
      <c r="G2131" s="1280">
        <v>7.9758918344033994E-2</v>
      </c>
      <c r="H2131" s="1271">
        <v>0.246397154675151</v>
      </c>
      <c r="I2131" s="1257">
        <v>1.6903820740229999E-2</v>
      </c>
      <c r="J2131" s="1280">
        <v>0.199542602260707</v>
      </c>
      <c r="K2131" s="1271">
        <v>2.2717960707251399E-2</v>
      </c>
      <c r="L2131" s="1257">
        <v>1.0119005220444999E-3</v>
      </c>
      <c r="M2131" s="1280">
        <v>1.7873440434955201E-2</v>
      </c>
      <c r="N2131" s="1271">
        <v>3.0000008598028201E-3</v>
      </c>
      <c r="O2131" s="1257">
        <v>2.0000005732018801E-3</v>
      </c>
      <c r="P2131" s="1257">
        <v>3.0000008598028201E-3</v>
      </c>
      <c r="Q2131" s="1280">
        <v>3.0000008598028201E-3</v>
      </c>
      <c r="R2131" s="1271">
        <v>3.1850009128239903E-2</v>
      </c>
      <c r="S2131" s="1257">
        <v>3.1850009128239903E-2</v>
      </c>
      <c r="T2131" s="1257">
        <v>3.1850009128239903E-2</v>
      </c>
      <c r="U2131" s="1280">
        <v>1.5925004564119952E-2</v>
      </c>
      <c r="V2131" s="1293">
        <v>2.37451660809757E-2</v>
      </c>
    </row>
    <row r="2132" spans="1:22" s="212" customFormat="1" ht="15.5" x14ac:dyDescent="0.35">
      <c r="A2132" s="198">
        <v>2048</v>
      </c>
      <c r="B2132" s="197" t="s">
        <v>5833</v>
      </c>
      <c r="C2132" s="197">
        <v>2027</v>
      </c>
      <c r="D2132" s="225" t="str">
        <f t="shared" si="13"/>
        <v>2048_2027</v>
      </c>
      <c r="E2132" s="1226">
        <v>0.10715001640433799</v>
      </c>
      <c r="F2132" s="1257">
        <v>1.3409378913220101E-3</v>
      </c>
      <c r="G2132" s="1280">
        <v>7.9758918344033994E-2</v>
      </c>
      <c r="H2132" s="1271">
        <v>0.246397154675151</v>
      </c>
      <c r="I2132" s="1257">
        <v>1.6903820740229999E-2</v>
      </c>
      <c r="J2132" s="1280">
        <v>0.199542602260707</v>
      </c>
      <c r="K2132" s="1271">
        <v>2.2717960707251399E-2</v>
      </c>
      <c r="L2132" s="1257">
        <v>1.0119005220444999E-3</v>
      </c>
      <c r="M2132" s="1280">
        <v>1.7873440434955201E-2</v>
      </c>
      <c r="N2132" s="1271">
        <v>3.0000008598028201E-3</v>
      </c>
      <c r="O2132" s="1257">
        <v>2.0000005732018801E-3</v>
      </c>
      <c r="P2132" s="1257">
        <v>3.0000008598028201E-3</v>
      </c>
      <c r="Q2132" s="1280">
        <v>3.0000008598028201E-3</v>
      </c>
      <c r="R2132" s="1271">
        <v>3.1850009128239903E-2</v>
      </c>
      <c r="S2132" s="1257">
        <v>3.1850009128239903E-2</v>
      </c>
      <c r="T2132" s="1257">
        <v>3.1850009128239903E-2</v>
      </c>
      <c r="U2132" s="1280">
        <v>1.5925004564119952E-2</v>
      </c>
      <c r="V2132" s="1293">
        <v>2.37451660809757E-2</v>
      </c>
    </row>
    <row r="2133" spans="1:22" s="212" customFormat="1" ht="15.5" x14ac:dyDescent="0.35">
      <c r="A2133" s="198">
        <v>2048</v>
      </c>
      <c r="B2133" s="197" t="s">
        <v>5833</v>
      </c>
      <c r="C2133" s="197">
        <v>2028</v>
      </c>
      <c r="D2133" s="225" t="str">
        <f t="shared" si="13"/>
        <v>2048_2028</v>
      </c>
      <c r="E2133" s="1226">
        <v>0.10715001640433799</v>
      </c>
      <c r="F2133" s="1257">
        <v>1.3409378913220101E-3</v>
      </c>
      <c r="G2133" s="1280">
        <v>7.9758918344033994E-2</v>
      </c>
      <c r="H2133" s="1271">
        <v>0.246397154675151</v>
      </c>
      <c r="I2133" s="1257">
        <v>1.6903820740229999E-2</v>
      </c>
      <c r="J2133" s="1280">
        <v>0.199542602260707</v>
      </c>
      <c r="K2133" s="1271">
        <v>2.2717960707251399E-2</v>
      </c>
      <c r="L2133" s="1257">
        <v>1.0119005220444999E-3</v>
      </c>
      <c r="M2133" s="1280">
        <v>1.7873440434955201E-2</v>
      </c>
      <c r="N2133" s="1271">
        <v>3.0000008598028201E-3</v>
      </c>
      <c r="O2133" s="1257">
        <v>2.0000005732018801E-3</v>
      </c>
      <c r="P2133" s="1257">
        <v>3.0000008598028201E-3</v>
      </c>
      <c r="Q2133" s="1280">
        <v>3.0000008598028201E-3</v>
      </c>
      <c r="R2133" s="1271">
        <v>3.1850009128239903E-2</v>
      </c>
      <c r="S2133" s="1257">
        <v>3.1850009128239903E-2</v>
      </c>
      <c r="T2133" s="1257">
        <v>3.1850009128239903E-2</v>
      </c>
      <c r="U2133" s="1280">
        <v>1.5925004564119952E-2</v>
      </c>
      <c r="V2133" s="1293">
        <v>2.37451660809757E-2</v>
      </c>
    </row>
    <row r="2134" spans="1:22" s="212" customFormat="1" ht="15.5" x14ac:dyDescent="0.35">
      <c r="A2134" s="198">
        <v>2048</v>
      </c>
      <c r="B2134" s="197" t="s">
        <v>5833</v>
      </c>
      <c r="C2134" s="197">
        <v>2029</v>
      </c>
      <c r="D2134" s="225" t="str">
        <f t="shared" si="13"/>
        <v>2048_2029</v>
      </c>
      <c r="E2134" s="1226">
        <v>0.10715001640433799</v>
      </c>
      <c r="F2134" s="1257">
        <v>1.3409378913220101E-3</v>
      </c>
      <c r="G2134" s="1280">
        <v>7.9758918344033994E-2</v>
      </c>
      <c r="H2134" s="1271">
        <v>0.246397154675151</v>
      </c>
      <c r="I2134" s="1257">
        <v>1.6903820740229999E-2</v>
      </c>
      <c r="J2134" s="1280">
        <v>0.199542602260707</v>
      </c>
      <c r="K2134" s="1271">
        <v>2.2717960707251399E-2</v>
      </c>
      <c r="L2134" s="1257">
        <v>1.0119005220444999E-3</v>
      </c>
      <c r="M2134" s="1280">
        <v>1.7873440434955201E-2</v>
      </c>
      <c r="N2134" s="1271">
        <v>3.0000008598028201E-3</v>
      </c>
      <c r="O2134" s="1257">
        <v>2.0000005732018801E-3</v>
      </c>
      <c r="P2134" s="1257">
        <v>3.0000008598028201E-3</v>
      </c>
      <c r="Q2134" s="1280">
        <v>3.0000008598028201E-3</v>
      </c>
      <c r="R2134" s="1271">
        <v>3.1850009128239903E-2</v>
      </c>
      <c r="S2134" s="1257">
        <v>3.1850009128239903E-2</v>
      </c>
      <c r="T2134" s="1257">
        <v>3.1850009128239903E-2</v>
      </c>
      <c r="U2134" s="1280">
        <v>1.5925004564119952E-2</v>
      </c>
      <c r="V2134" s="1293">
        <v>2.37451660809757E-2</v>
      </c>
    </row>
    <row r="2135" spans="1:22" s="212" customFormat="1" ht="15.5" x14ac:dyDescent="0.35">
      <c r="A2135" s="198">
        <v>2048</v>
      </c>
      <c r="B2135" s="197" t="s">
        <v>5833</v>
      </c>
      <c r="C2135" s="197">
        <v>2030</v>
      </c>
      <c r="D2135" s="225" t="str">
        <f t="shared" si="13"/>
        <v>2048_2030</v>
      </c>
      <c r="E2135" s="1226">
        <v>0.10715001640433799</v>
      </c>
      <c r="F2135" s="1257">
        <v>1.3409378913220101E-3</v>
      </c>
      <c r="G2135" s="1280">
        <v>7.9758918344033994E-2</v>
      </c>
      <c r="H2135" s="1271">
        <v>0.246397154675151</v>
      </c>
      <c r="I2135" s="1257">
        <v>1.6903820740229999E-2</v>
      </c>
      <c r="J2135" s="1280">
        <v>0.199542602260707</v>
      </c>
      <c r="K2135" s="1271">
        <v>2.2717960707251399E-2</v>
      </c>
      <c r="L2135" s="1257">
        <v>1.0119005220444999E-3</v>
      </c>
      <c r="M2135" s="1280">
        <v>1.7873440434955201E-2</v>
      </c>
      <c r="N2135" s="1271">
        <v>3.0000008598028201E-3</v>
      </c>
      <c r="O2135" s="1257">
        <v>2.0000005732018801E-3</v>
      </c>
      <c r="P2135" s="1257">
        <v>3.0000008598028201E-3</v>
      </c>
      <c r="Q2135" s="1280">
        <v>3.0000008598028201E-3</v>
      </c>
      <c r="R2135" s="1271">
        <v>3.1850009128239903E-2</v>
      </c>
      <c r="S2135" s="1257">
        <v>3.1850009128239903E-2</v>
      </c>
      <c r="T2135" s="1257">
        <v>3.1850009128239903E-2</v>
      </c>
      <c r="U2135" s="1280">
        <v>1.5925004564119952E-2</v>
      </c>
      <c r="V2135" s="1293">
        <v>2.37451660809757E-2</v>
      </c>
    </row>
    <row r="2136" spans="1:22" s="212" customFormat="1" ht="15.5" x14ac:dyDescent="0.35">
      <c r="A2136" s="198">
        <v>2048</v>
      </c>
      <c r="B2136" s="197" t="s">
        <v>5833</v>
      </c>
      <c r="C2136" s="197">
        <v>2031</v>
      </c>
      <c r="D2136" s="225" t="str">
        <f t="shared" si="13"/>
        <v>2048_2031</v>
      </c>
      <c r="E2136" s="1226">
        <v>0.10715001640433799</v>
      </c>
      <c r="F2136" s="1257">
        <v>1.3409378913220101E-3</v>
      </c>
      <c r="G2136" s="1280">
        <v>7.9758918344033994E-2</v>
      </c>
      <c r="H2136" s="1271">
        <v>0.246397154675151</v>
      </c>
      <c r="I2136" s="1257">
        <v>1.6903820740229999E-2</v>
      </c>
      <c r="J2136" s="1280">
        <v>0.199542602260707</v>
      </c>
      <c r="K2136" s="1271">
        <v>2.2717960707251399E-2</v>
      </c>
      <c r="L2136" s="1257">
        <v>1.0119005220444999E-3</v>
      </c>
      <c r="M2136" s="1280">
        <v>1.7873440434955201E-2</v>
      </c>
      <c r="N2136" s="1271">
        <v>3.0000008598028201E-3</v>
      </c>
      <c r="O2136" s="1257">
        <v>2.0000005732018801E-3</v>
      </c>
      <c r="P2136" s="1257">
        <v>3.0000008598028201E-3</v>
      </c>
      <c r="Q2136" s="1280">
        <v>3.0000008598028201E-3</v>
      </c>
      <c r="R2136" s="1271">
        <v>3.1850009128239903E-2</v>
      </c>
      <c r="S2136" s="1257">
        <v>3.1850009128239903E-2</v>
      </c>
      <c r="T2136" s="1257">
        <v>3.1850009128239903E-2</v>
      </c>
      <c r="U2136" s="1280">
        <v>1.5925004564119952E-2</v>
      </c>
      <c r="V2136" s="1293">
        <v>2.37451660809757E-2</v>
      </c>
    </row>
    <row r="2137" spans="1:22" s="212" customFormat="1" ht="15.5" x14ac:dyDescent="0.35">
      <c r="A2137" s="198">
        <v>2048</v>
      </c>
      <c r="B2137" s="197" t="s">
        <v>5833</v>
      </c>
      <c r="C2137" s="197">
        <v>2032</v>
      </c>
      <c r="D2137" s="225" t="str">
        <f t="shared" si="13"/>
        <v>2048_2032</v>
      </c>
      <c r="E2137" s="1226">
        <v>0.10715001640433799</v>
      </c>
      <c r="F2137" s="1257">
        <v>1.3409378913220101E-3</v>
      </c>
      <c r="G2137" s="1280">
        <v>7.9758918344033994E-2</v>
      </c>
      <c r="H2137" s="1271">
        <v>0.246397154675151</v>
      </c>
      <c r="I2137" s="1257">
        <v>1.6903820740229999E-2</v>
      </c>
      <c r="J2137" s="1280">
        <v>0.199542602260707</v>
      </c>
      <c r="K2137" s="1271">
        <v>2.2717960707251399E-2</v>
      </c>
      <c r="L2137" s="1257">
        <v>1.0119005220444999E-3</v>
      </c>
      <c r="M2137" s="1280">
        <v>1.7873440434955201E-2</v>
      </c>
      <c r="N2137" s="1271">
        <v>3.0000008598028201E-3</v>
      </c>
      <c r="O2137" s="1257">
        <v>2.0000005732018801E-3</v>
      </c>
      <c r="P2137" s="1257">
        <v>3.0000008598028201E-3</v>
      </c>
      <c r="Q2137" s="1280">
        <v>3.0000008598028201E-3</v>
      </c>
      <c r="R2137" s="1271">
        <v>3.1850009128239903E-2</v>
      </c>
      <c r="S2137" s="1257">
        <v>3.1850009128239903E-2</v>
      </c>
      <c r="T2137" s="1257">
        <v>3.1850009128239903E-2</v>
      </c>
      <c r="U2137" s="1280">
        <v>1.5925004564119952E-2</v>
      </c>
      <c r="V2137" s="1293">
        <v>2.37451660809757E-2</v>
      </c>
    </row>
    <row r="2138" spans="1:22" s="212" customFormat="1" ht="15.5" x14ac:dyDescent="0.35">
      <c r="A2138" s="198">
        <v>2048</v>
      </c>
      <c r="B2138" s="197" t="s">
        <v>5833</v>
      </c>
      <c r="C2138" s="197">
        <v>2033</v>
      </c>
      <c r="D2138" s="225" t="str">
        <f t="shared" si="13"/>
        <v>2048_2033</v>
      </c>
      <c r="E2138" s="1226">
        <v>0.10715001640433799</v>
      </c>
      <c r="F2138" s="1257">
        <v>1.3409378913220101E-3</v>
      </c>
      <c r="G2138" s="1280">
        <v>7.9758918344033994E-2</v>
      </c>
      <c r="H2138" s="1271">
        <v>0.246397154675151</v>
      </c>
      <c r="I2138" s="1257">
        <v>1.6903820740229999E-2</v>
      </c>
      <c r="J2138" s="1280">
        <v>0.199542602260707</v>
      </c>
      <c r="K2138" s="1271">
        <v>2.2717960707251399E-2</v>
      </c>
      <c r="L2138" s="1257">
        <v>1.0119005220444999E-3</v>
      </c>
      <c r="M2138" s="1280">
        <v>1.7873440434955201E-2</v>
      </c>
      <c r="N2138" s="1271">
        <v>3.0000008598028201E-3</v>
      </c>
      <c r="O2138" s="1257">
        <v>2.0000005732018801E-3</v>
      </c>
      <c r="P2138" s="1257">
        <v>3.0000008598028201E-3</v>
      </c>
      <c r="Q2138" s="1280">
        <v>3.0000008598028201E-3</v>
      </c>
      <c r="R2138" s="1271">
        <v>3.1850009128239903E-2</v>
      </c>
      <c r="S2138" s="1257">
        <v>3.1850009128239903E-2</v>
      </c>
      <c r="T2138" s="1257">
        <v>3.1850009128239903E-2</v>
      </c>
      <c r="U2138" s="1280">
        <v>1.5925004564119952E-2</v>
      </c>
      <c r="V2138" s="1293">
        <v>2.37451660809757E-2</v>
      </c>
    </row>
    <row r="2139" spans="1:22" s="212" customFormat="1" ht="15.5" x14ac:dyDescent="0.35">
      <c r="A2139" s="198">
        <v>2048</v>
      </c>
      <c r="B2139" s="197" t="s">
        <v>5833</v>
      </c>
      <c r="C2139" s="197">
        <v>2034</v>
      </c>
      <c r="D2139" s="225" t="str">
        <f t="shared" si="13"/>
        <v>2048_2034</v>
      </c>
      <c r="E2139" s="1226">
        <v>0.10715001640433799</v>
      </c>
      <c r="F2139" s="1257">
        <v>1.3409378913220101E-3</v>
      </c>
      <c r="G2139" s="1280">
        <v>7.9758918344033994E-2</v>
      </c>
      <c r="H2139" s="1271">
        <v>0.246397154675151</v>
      </c>
      <c r="I2139" s="1257">
        <v>1.6903820740229999E-2</v>
      </c>
      <c r="J2139" s="1280">
        <v>0.199542602260707</v>
      </c>
      <c r="K2139" s="1271">
        <v>2.2717960707251399E-2</v>
      </c>
      <c r="L2139" s="1257">
        <v>1.0119005220444999E-3</v>
      </c>
      <c r="M2139" s="1280">
        <v>1.7873440434955201E-2</v>
      </c>
      <c r="N2139" s="1271">
        <v>3.0000008598028201E-3</v>
      </c>
      <c r="O2139" s="1257">
        <v>2.0000005732018801E-3</v>
      </c>
      <c r="P2139" s="1257">
        <v>3.0000008598028201E-3</v>
      </c>
      <c r="Q2139" s="1306">
        <v>5.7121094500660798E-3</v>
      </c>
      <c r="R2139" s="1271">
        <v>3.1850009128239903E-2</v>
      </c>
      <c r="S2139" s="1257">
        <v>3.1850009128239903E-2</v>
      </c>
      <c r="T2139" s="1257">
        <v>3.1850009128239903E-2</v>
      </c>
      <c r="U2139" s="1306">
        <v>1.9250005517068101E-2</v>
      </c>
      <c r="V2139" s="1293">
        <v>2.37451660809757E-2</v>
      </c>
    </row>
    <row r="2140" spans="1:22" s="212" customFormat="1" ht="15.5" x14ac:dyDescent="0.35">
      <c r="A2140" s="198">
        <v>2048</v>
      </c>
      <c r="B2140" s="197" t="s">
        <v>5833</v>
      </c>
      <c r="C2140" s="197">
        <v>2035</v>
      </c>
      <c r="D2140" s="225" t="str">
        <f t="shared" si="13"/>
        <v>2048_2035</v>
      </c>
      <c r="E2140" s="1226">
        <v>0.10715001640433799</v>
      </c>
      <c r="F2140" s="1257">
        <v>1.3409378913220101E-3</v>
      </c>
      <c r="G2140" s="1280">
        <v>7.9758918344033994E-2</v>
      </c>
      <c r="H2140" s="1271">
        <v>0.246397154675151</v>
      </c>
      <c r="I2140" s="1257">
        <v>1.6903820740229999E-2</v>
      </c>
      <c r="J2140" s="1280">
        <v>0.199542602260707</v>
      </c>
      <c r="K2140" s="1271">
        <v>2.2717960707251399E-2</v>
      </c>
      <c r="L2140" s="1257">
        <v>1.0119005220444999E-3</v>
      </c>
      <c r="M2140" s="1280">
        <v>1.7873440434955201E-2</v>
      </c>
      <c r="N2140" s="1271">
        <v>3.0000008598028201E-3</v>
      </c>
      <c r="O2140" s="1257">
        <v>2.0000005732018801E-3</v>
      </c>
      <c r="P2140" s="1257">
        <v>3.0000008598028201E-3</v>
      </c>
      <c r="Q2140" s="1306">
        <v>8.08268618211762E-3</v>
      </c>
      <c r="R2140" s="1271">
        <v>3.1850009128239903E-2</v>
      </c>
      <c r="S2140" s="1257">
        <v>3.1850009128239903E-2</v>
      </c>
      <c r="T2140" s="1257">
        <v>3.1850009128239903E-2</v>
      </c>
      <c r="U2140" s="1306">
        <v>1.9250005517068101E-2</v>
      </c>
      <c r="V2140" s="1293">
        <v>2.37451660809757E-2</v>
      </c>
    </row>
    <row r="2141" spans="1:22" s="212" customFormat="1" ht="15.5" x14ac:dyDescent="0.35">
      <c r="A2141" s="198">
        <v>2048</v>
      </c>
      <c r="B2141" s="197" t="s">
        <v>5833</v>
      </c>
      <c r="C2141" s="197">
        <v>2036</v>
      </c>
      <c r="D2141" s="225" t="str">
        <f t="shared" si="13"/>
        <v>2048_2036</v>
      </c>
      <c r="E2141" s="1226">
        <v>0.10715001640433799</v>
      </c>
      <c r="F2141" s="1257">
        <v>1.3409378913220101E-3</v>
      </c>
      <c r="G2141" s="1280">
        <v>7.9758918344033994E-2</v>
      </c>
      <c r="H2141" s="1271">
        <v>0.246397154675151</v>
      </c>
      <c r="I2141" s="1257">
        <v>1.6903820740229999E-2</v>
      </c>
      <c r="J2141" s="1280">
        <v>0.199542602260707</v>
      </c>
      <c r="K2141" s="1271">
        <v>2.2717960707251399E-2</v>
      </c>
      <c r="L2141" s="1257">
        <v>1.0119005220444999E-3</v>
      </c>
      <c r="M2141" s="1280">
        <v>1.7873440434955201E-2</v>
      </c>
      <c r="N2141" s="1271">
        <v>3.0000008598028201E-3</v>
      </c>
      <c r="O2141" s="1257">
        <v>2.0000005732018801E-3</v>
      </c>
      <c r="P2141" s="1257">
        <v>3.0000008598028201E-3</v>
      </c>
      <c r="Q2141" s="1306">
        <v>7.3795799121639197E-3</v>
      </c>
      <c r="R2141" s="1271">
        <v>3.1850009128239903E-2</v>
      </c>
      <c r="S2141" s="1257">
        <v>3.1850009128239903E-2</v>
      </c>
      <c r="T2141" s="1257">
        <v>3.1850009128239903E-2</v>
      </c>
      <c r="U2141" s="1306">
        <v>1.9250005517068101E-2</v>
      </c>
      <c r="V2141" s="1293">
        <v>2.37451660809757E-2</v>
      </c>
    </row>
    <row r="2142" spans="1:22" s="212" customFormat="1" ht="15.5" x14ac:dyDescent="0.35">
      <c r="A2142" s="198">
        <v>2048</v>
      </c>
      <c r="B2142" s="197" t="s">
        <v>5833</v>
      </c>
      <c r="C2142" s="197">
        <v>2037</v>
      </c>
      <c r="D2142" s="225" t="str">
        <f t="shared" si="12"/>
        <v>2048_2037</v>
      </c>
      <c r="E2142" s="1226">
        <v>0.10715001640433799</v>
      </c>
      <c r="F2142" s="1257">
        <v>1.3409378913220101E-3</v>
      </c>
      <c r="G2142" s="1280">
        <v>7.9758918344033994E-2</v>
      </c>
      <c r="H2142" s="1271">
        <v>0.246397154675151</v>
      </c>
      <c r="I2142" s="1257">
        <v>1.6903820740229999E-2</v>
      </c>
      <c r="J2142" s="1280">
        <v>0.199542602260707</v>
      </c>
      <c r="K2142" s="1271">
        <v>2.2717960707251399E-2</v>
      </c>
      <c r="L2142" s="1257">
        <v>1.0119005220444999E-3</v>
      </c>
      <c r="M2142" s="1280">
        <v>1.7873440434955201E-2</v>
      </c>
      <c r="N2142" s="1271">
        <v>3.0000008598028201E-3</v>
      </c>
      <c r="O2142" s="1257">
        <v>2.0000005732018801E-3</v>
      </c>
      <c r="P2142" s="1257">
        <v>3.0000008598028201E-3</v>
      </c>
      <c r="Q2142" s="1306">
        <v>7.5861856395711197E-3</v>
      </c>
      <c r="R2142" s="1271">
        <v>3.1850009128239903E-2</v>
      </c>
      <c r="S2142" s="1257">
        <v>3.1850009128239903E-2</v>
      </c>
      <c r="T2142" s="1257">
        <v>3.1850009128239903E-2</v>
      </c>
      <c r="U2142" s="1306">
        <v>1.9250005517068101E-2</v>
      </c>
      <c r="V2142" s="1293">
        <v>2.37451660809757E-2</v>
      </c>
    </row>
    <row r="2143" spans="1:22" s="212" customFormat="1" ht="15.5" x14ac:dyDescent="0.35">
      <c r="A2143" s="198">
        <v>2048</v>
      </c>
      <c r="B2143" s="197" t="s">
        <v>5833</v>
      </c>
      <c r="C2143" s="197">
        <v>2038</v>
      </c>
      <c r="D2143" s="225" t="str">
        <f t="shared" si="12"/>
        <v>2048_2038</v>
      </c>
      <c r="E2143" s="1231">
        <v>0.10715001640433799</v>
      </c>
      <c r="F2143" s="1288">
        <v>1.3409378913220101E-3</v>
      </c>
      <c r="G2143" s="1306">
        <v>7.9758918344033994E-2</v>
      </c>
      <c r="H2143" s="1303">
        <v>0.246397154675151</v>
      </c>
      <c r="I2143" s="1288">
        <v>1.6903820740229999E-2</v>
      </c>
      <c r="J2143" s="1306">
        <v>0.199542602260707</v>
      </c>
      <c r="K2143" s="1303">
        <v>2.2717960707251399E-2</v>
      </c>
      <c r="L2143" s="1288">
        <v>1.0119005220444999E-3</v>
      </c>
      <c r="M2143" s="1306">
        <v>1.7873440434955201E-2</v>
      </c>
      <c r="N2143" s="1303">
        <v>3.0000008598028201E-3</v>
      </c>
      <c r="O2143" s="1288">
        <v>2.0000005732018801E-3</v>
      </c>
      <c r="P2143" s="1288">
        <v>3.0000008598028201E-3</v>
      </c>
      <c r="Q2143" s="1306">
        <v>7.8507146591203902E-3</v>
      </c>
      <c r="R2143" s="1303">
        <v>3.1850009128239903E-2</v>
      </c>
      <c r="S2143" s="1288">
        <v>3.1850009128239903E-2</v>
      </c>
      <c r="T2143" s="1288">
        <v>3.1850009128239903E-2</v>
      </c>
      <c r="U2143" s="1306">
        <v>1.9250005517068101E-2</v>
      </c>
      <c r="V2143" s="1294">
        <v>2.37451660809757E-2</v>
      </c>
    </row>
    <row r="2144" spans="1:22" s="212" customFormat="1" ht="15.5" x14ac:dyDescent="0.35">
      <c r="A2144" s="198">
        <v>2048</v>
      </c>
      <c r="B2144" s="197" t="s">
        <v>5833</v>
      </c>
      <c r="C2144" s="197">
        <v>2039</v>
      </c>
      <c r="D2144" s="225" t="str">
        <f t="shared" si="12"/>
        <v>2048_2039</v>
      </c>
      <c r="E2144" s="1231">
        <v>0.10668492736132699</v>
      </c>
      <c r="F2144" s="1288">
        <v>2.5203641519740399E-3</v>
      </c>
      <c r="G2144" s="1306">
        <v>5.0214704896265998E-2</v>
      </c>
      <c r="H2144" s="1303">
        <v>0.242406756664162</v>
      </c>
      <c r="I2144" s="1288">
        <v>1.5916981876472801E-2</v>
      </c>
      <c r="J2144" s="1306">
        <v>0.15243548418436001</v>
      </c>
      <c r="K2144" s="1303">
        <v>2.1760312971303399E-2</v>
      </c>
      <c r="L2144" s="1288">
        <v>1.14152224330179E-3</v>
      </c>
      <c r="M2144" s="1306">
        <v>1.23754005829985E-2</v>
      </c>
      <c r="N2144" s="1303">
        <v>3.0000008598028201E-3</v>
      </c>
      <c r="O2144" s="1288">
        <v>2.0000005732018801E-3</v>
      </c>
      <c r="P2144" s="1288">
        <v>3.0000008598028201E-3</v>
      </c>
      <c r="Q2144" s="1306">
        <v>7.5933065431310698E-3</v>
      </c>
      <c r="R2144" s="1303">
        <v>3.1850009128239903E-2</v>
      </c>
      <c r="S2144" s="1288">
        <v>3.1850009128239903E-2</v>
      </c>
      <c r="T2144" s="1288">
        <v>3.1850009128239903E-2</v>
      </c>
      <c r="U2144" s="1306">
        <v>1.9250005517068101E-2</v>
      </c>
      <c r="V2144" s="1294">
        <v>2.2744217763907101E-2</v>
      </c>
    </row>
    <row r="2145" spans="1:22" s="212" customFormat="1" ht="15.5" x14ac:dyDescent="0.35">
      <c r="A2145" s="198">
        <v>2048</v>
      </c>
      <c r="B2145" s="197" t="s">
        <v>5833</v>
      </c>
      <c r="C2145" s="197">
        <v>2040</v>
      </c>
      <c r="D2145" s="225" t="str">
        <f t="shared" si="12"/>
        <v>2048_2040</v>
      </c>
      <c r="E2145" s="1231">
        <v>0.104780666647765</v>
      </c>
      <c r="F2145" s="1288">
        <v>1.9471991013637799E-3</v>
      </c>
      <c r="G2145" s="1306">
        <v>5.9867050801243098E-2</v>
      </c>
      <c r="H2145" s="1303">
        <v>0.23391222156230801</v>
      </c>
      <c r="I2145" s="1288">
        <v>1.6521971861683901E-2</v>
      </c>
      <c r="J2145" s="1306">
        <v>0.156943567959305</v>
      </c>
      <c r="K2145" s="1303">
        <v>2.04437575825521E-2</v>
      </c>
      <c r="L2145" s="1288">
        <v>1.0896549036963699E-3</v>
      </c>
      <c r="M2145" s="1306">
        <v>1.3043783661555499E-2</v>
      </c>
      <c r="N2145" s="1303">
        <v>3.0000008598028201E-3</v>
      </c>
      <c r="O2145" s="1288">
        <v>2.0000005732018801E-3</v>
      </c>
      <c r="P2145" s="1288">
        <v>3.0000008598028201E-3</v>
      </c>
      <c r="Q2145" s="1306">
        <v>7.6833188573584002E-3</v>
      </c>
      <c r="R2145" s="1303">
        <v>3.1850009128239903E-2</v>
      </c>
      <c r="S2145" s="1288">
        <v>3.1850009128239903E-2</v>
      </c>
      <c r="T2145" s="1288">
        <v>3.1850009128239903E-2</v>
      </c>
      <c r="U2145" s="1306">
        <v>1.9250005517068101E-2</v>
      </c>
      <c r="V2145" s="1294">
        <v>2.13681335826044E-2</v>
      </c>
    </row>
    <row r="2146" spans="1:22" s="212" customFormat="1" ht="15.5" x14ac:dyDescent="0.35">
      <c r="A2146" s="198">
        <v>2048</v>
      </c>
      <c r="B2146" s="197" t="s">
        <v>5833</v>
      </c>
      <c r="C2146" s="197">
        <v>2041</v>
      </c>
      <c r="D2146" s="225" t="str">
        <f t="shared" si="12"/>
        <v>2048_2041</v>
      </c>
      <c r="E2146" s="1231">
        <v>0.102433158345098</v>
      </c>
      <c r="F2146" s="1288">
        <v>2.2973248799112601E-3</v>
      </c>
      <c r="G2146" s="1306">
        <v>6.1142818448171099E-2</v>
      </c>
      <c r="H2146" s="1303">
        <v>0.22402862113758601</v>
      </c>
      <c r="I2146" s="1288">
        <v>1.55954291892412E-2</v>
      </c>
      <c r="J2146" s="1306">
        <v>0.160207985340895</v>
      </c>
      <c r="K2146" s="1303">
        <v>1.8990085030356599E-2</v>
      </c>
      <c r="L2146" s="1288">
        <v>1.1160988011777E-3</v>
      </c>
      <c r="M2146" s="1306">
        <v>1.27221965066233E-2</v>
      </c>
      <c r="N2146" s="1303">
        <v>3.0000008598028201E-3</v>
      </c>
      <c r="O2146" s="1288">
        <v>2.0000005732018801E-3</v>
      </c>
      <c r="P2146" s="1288">
        <v>3.0000008598028201E-3</v>
      </c>
      <c r="Q2146" s="1306">
        <v>8.1261048842491499E-3</v>
      </c>
      <c r="R2146" s="1303">
        <v>3.1850009128239903E-2</v>
      </c>
      <c r="S2146" s="1288">
        <v>3.1850009128239903E-2</v>
      </c>
      <c r="T2146" s="1288">
        <v>3.1850009128239903E-2</v>
      </c>
      <c r="U2146" s="1306">
        <v>1.9250005517068101E-2</v>
      </c>
      <c r="V2146" s="1294">
        <v>1.9848732408175002E-2</v>
      </c>
    </row>
    <row r="2147" spans="1:22" s="212" customFormat="1" ht="15.5" x14ac:dyDescent="0.35">
      <c r="A2147" s="198">
        <v>2048</v>
      </c>
      <c r="B2147" s="197" t="s">
        <v>5833</v>
      </c>
      <c r="C2147" s="197">
        <v>2042</v>
      </c>
      <c r="D2147" s="225" t="str">
        <f t="shared" si="12"/>
        <v>2048_2042</v>
      </c>
      <c r="E2147" s="1231">
        <v>0.10197779181043801</v>
      </c>
      <c r="F2147" s="1288">
        <v>2.1211941265601802E-3</v>
      </c>
      <c r="G2147" s="1306">
        <v>7.9227990623338906E-2</v>
      </c>
      <c r="H2147" s="1303">
        <v>0.21789000518462301</v>
      </c>
      <c r="I2147" s="1288">
        <v>1.55763571370711E-2</v>
      </c>
      <c r="J2147" s="1306">
        <v>0.18395005807565801</v>
      </c>
      <c r="K2147" s="1303">
        <v>1.7812699751474498E-2</v>
      </c>
      <c r="L2147" s="1288">
        <v>1.1022853757913099E-3</v>
      </c>
      <c r="M2147" s="1306">
        <v>1.45579073179908E-2</v>
      </c>
      <c r="N2147" s="1303">
        <v>3.0000008598028201E-3</v>
      </c>
      <c r="O2147" s="1288">
        <v>2.0000005732018801E-3</v>
      </c>
      <c r="P2147" s="1288">
        <v>3.0000008598028201E-3</v>
      </c>
      <c r="Q2147" s="1306">
        <v>8.1542539330640706E-3</v>
      </c>
      <c r="R2147" s="1303">
        <v>3.1850009128239903E-2</v>
      </c>
      <c r="S2147" s="1288">
        <v>3.1850009128239903E-2</v>
      </c>
      <c r="T2147" s="1288">
        <v>3.1850009128239903E-2</v>
      </c>
      <c r="U2147" s="1306">
        <v>1.9250005517068101E-2</v>
      </c>
      <c r="V2147" s="1294">
        <v>1.8618110991551699E-2</v>
      </c>
    </row>
    <row r="2148" spans="1:22" s="212" customFormat="1" ht="15.5" x14ac:dyDescent="0.35">
      <c r="A2148" s="198">
        <v>2048</v>
      </c>
      <c r="B2148" s="197" t="s">
        <v>5833</v>
      </c>
      <c r="C2148" s="197">
        <v>2043</v>
      </c>
      <c r="D2148" s="225" t="str">
        <f t="shared" si="12"/>
        <v>2048_2043</v>
      </c>
      <c r="E2148" s="1231">
        <v>9.8236248501862106E-2</v>
      </c>
      <c r="F2148" s="1288">
        <v>2.1271650917038701E-3</v>
      </c>
      <c r="G2148" s="1306">
        <v>6.1720587730058202E-2</v>
      </c>
      <c r="H2148" s="1303">
        <v>0.20553519963515399</v>
      </c>
      <c r="I2148" s="1288">
        <v>1.5290305015877701E-2</v>
      </c>
      <c r="J2148" s="1306">
        <v>0.149067435011109</v>
      </c>
      <c r="K2148" s="1303">
        <v>1.5984395380926001E-2</v>
      </c>
      <c r="L2148" s="1288">
        <v>1.0925837034598E-3</v>
      </c>
      <c r="M2148" s="1306">
        <v>1.10357649500186E-2</v>
      </c>
      <c r="N2148" s="1303">
        <v>3.0000008598028201E-3</v>
      </c>
      <c r="O2148" s="1288">
        <v>2.0000005732018801E-3</v>
      </c>
      <c r="P2148" s="1288">
        <v>3.0000008598028201E-3</v>
      </c>
      <c r="Q2148" s="1306">
        <v>8.1135182202519106E-3</v>
      </c>
      <c r="R2148" s="1303">
        <v>3.1850009128239903E-2</v>
      </c>
      <c r="S2148" s="1288">
        <v>3.1850009128239903E-2</v>
      </c>
      <c r="T2148" s="1288">
        <v>3.1850009128239903E-2</v>
      </c>
      <c r="U2148" s="1306">
        <v>1.9250005517068101E-2</v>
      </c>
      <c r="V2148" s="1294">
        <v>1.67071388103474E-2</v>
      </c>
    </row>
    <row r="2149" spans="1:22" s="212" customFormat="1" ht="15.5" x14ac:dyDescent="0.35">
      <c r="A2149" s="198">
        <v>2048</v>
      </c>
      <c r="B2149" s="197" t="s">
        <v>5833</v>
      </c>
      <c r="C2149" s="197">
        <v>2044</v>
      </c>
      <c r="D2149" s="225" t="str">
        <f t="shared" si="12"/>
        <v>2048_2044</v>
      </c>
      <c r="E2149" s="1231">
        <v>9.6053316217704895E-2</v>
      </c>
      <c r="F2149" s="1288">
        <v>2.07078730384075E-3</v>
      </c>
      <c r="G2149" s="1306">
        <v>6.0983897153636099E-2</v>
      </c>
      <c r="H2149" s="1303">
        <v>0.19553377502573799</v>
      </c>
      <c r="I2149" s="1288">
        <v>1.5871749661781401E-2</v>
      </c>
      <c r="J2149" s="1306">
        <v>0.14169192733079899</v>
      </c>
      <c r="K2149" s="1303">
        <v>1.43689670905924E-2</v>
      </c>
      <c r="L2149" s="1288">
        <v>1.0757415723173099E-3</v>
      </c>
      <c r="M2149" s="1306">
        <v>9.9624319303332001E-3</v>
      </c>
      <c r="N2149" s="1303">
        <v>3.0000008598028201E-3</v>
      </c>
      <c r="O2149" s="1288">
        <v>2.0000005732018801E-3</v>
      </c>
      <c r="P2149" s="1288">
        <v>3.0000008598028201E-3</v>
      </c>
      <c r="Q2149" s="1306">
        <v>8.3295984317365498E-3</v>
      </c>
      <c r="R2149" s="1303">
        <v>3.1850009128239903E-2</v>
      </c>
      <c r="S2149" s="1288">
        <v>3.1850009128239903E-2</v>
      </c>
      <c r="T2149" s="1288">
        <v>3.1850009128239903E-2</v>
      </c>
      <c r="U2149" s="1306">
        <v>1.9250005517068101E-2</v>
      </c>
      <c r="V2149" s="1294">
        <v>1.5018668021081901E-2</v>
      </c>
    </row>
    <row r="2150" spans="1:22" s="212" customFormat="1" ht="15.5" x14ac:dyDescent="0.35">
      <c r="A2150" s="198">
        <v>2048</v>
      </c>
      <c r="B2150" s="197" t="s">
        <v>5833</v>
      </c>
      <c r="C2150" s="197">
        <v>2045</v>
      </c>
      <c r="D2150" s="225" t="str">
        <f t="shared" si="12"/>
        <v>2048_2045</v>
      </c>
      <c r="E2150" s="1231">
        <v>9.3471988798785405E-2</v>
      </c>
      <c r="F2150" s="1288">
        <v>2.7135023118538401E-3</v>
      </c>
      <c r="G2150" s="1306">
        <v>5.2758272266006503E-2</v>
      </c>
      <c r="H2150" s="1303">
        <v>0.18464526986798799</v>
      </c>
      <c r="I2150" s="1288">
        <v>1.6988618836235099E-2</v>
      </c>
      <c r="J2150" s="1306">
        <v>0.13012695338375899</v>
      </c>
      <c r="K2150" s="1303">
        <v>1.26341895465412E-2</v>
      </c>
      <c r="L2150" s="1288">
        <v>1.1234905244532701E-3</v>
      </c>
      <c r="M2150" s="1306">
        <v>8.1987098328584803E-3</v>
      </c>
      <c r="N2150" s="1303">
        <v>3.0000008598028201E-3</v>
      </c>
      <c r="O2150" s="1288">
        <v>2.0000005732018801E-3</v>
      </c>
      <c r="P2150" s="1288">
        <v>3.0000008598028201E-3</v>
      </c>
      <c r="Q2150" s="1306">
        <v>7.8859969065633792E-3</v>
      </c>
      <c r="R2150" s="1303">
        <v>3.1850009128239903E-2</v>
      </c>
      <c r="S2150" s="1288">
        <v>3.1850009128239903E-2</v>
      </c>
      <c r="T2150" s="1288">
        <v>3.1850009128239903E-2</v>
      </c>
      <c r="U2150" s="1306">
        <v>1.9250005517068101E-2</v>
      </c>
      <c r="V2150" s="1294">
        <v>1.320545153445E-2</v>
      </c>
    </row>
    <row r="2151" spans="1:22" s="212" customFormat="1" ht="15.5" x14ac:dyDescent="0.35">
      <c r="A2151" s="198">
        <v>2048</v>
      </c>
      <c r="B2151" s="197" t="s">
        <v>5833</v>
      </c>
      <c r="C2151" s="197">
        <v>2046</v>
      </c>
      <c r="D2151" s="225" t="str">
        <f t="shared" si="12"/>
        <v>2048_2046</v>
      </c>
      <c r="E2151" s="1231">
        <v>9.0536012387823106E-2</v>
      </c>
      <c r="F2151" s="1288">
        <v>2.1506864979240399E-3</v>
      </c>
      <c r="G2151" s="1306">
        <v>5.7346590441512399E-2</v>
      </c>
      <c r="H2151" s="1303">
        <v>0.172835548947535</v>
      </c>
      <c r="I2151" s="1288">
        <v>1.9794907319870401E-2</v>
      </c>
      <c r="J2151" s="1306">
        <v>0.13427987773032499</v>
      </c>
      <c r="K2151" s="1303">
        <v>1.07853651451422E-2</v>
      </c>
      <c r="L2151" s="1288">
        <v>1.0452726825084099E-3</v>
      </c>
      <c r="M2151" s="1306">
        <v>7.72581691037266E-3</v>
      </c>
      <c r="N2151" s="1303">
        <v>3.0000008598028201E-3</v>
      </c>
      <c r="O2151" s="1288">
        <v>2.0000005732018801E-3</v>
      </c>
      <c r="P2151" s="1288">
        <v>3.0000008598028201E-3</v>
      </c>
      <c r="Q2151" s="1306">
        <v>8.1105458892964302E-3</v>
      </c>
      <c r="R2151" s="1303">
        <v>3.1850009128239903E-2</v>
      </c>
      <c r="S2151" s="1288">
        <v>3.1850009128239903E-2</v>
      </c>
      <c r="T2151" s="1288">
        <v>3.1850009128239903E-2</v>
      </c>
      <c r="U2151" s="1306">
        <v>1.9250005517068101E-2</v>
      </c>
      <c r="V2151" s="1294">
        <v>1.12730314976565E-2</v>
      </c>
    </row>
    <row r="2152" spans="1:22" s="212" customFormat="1" ht="15.5" x14ac:dyDescent="0.35">
      <c r="A2152" s="198">
        <v>2048</v>
      </c>
      <c r="B2152" s="197" t="s">
        <v>5833</v>
      </c>
      <c r="C2152" s="197">
        <v>2047</v>
      </c>
      <c r="D2152" s="225" t="str">
        <f t="shared" si="12"/>
        <v>2048_2047</v>
      </c>
      <c r="E2152" s="1231">
        <v>8.8023938869471394E-2</v>
      </c>
      <c r="F2152" s="1288">
        <v>3.4986325174608101E-3</v>
      </c>
      <c r="G2152" s="1306">
        <v>5.7202985542048002E-2</v>
      </c>
      <c r="H2152" s="1303">
        <v>0.16158246245473801</v>
      </c>
      <c r="I2152" s="1288">
        <v>2.1082148238589799E-2</v>
      </c>
      <c r="J2152" s="1306">
        <v>0.120237155528068</v>
      </c>
      <c r="K2152" s="1303">
        <v>8.9247484368837997E-3</v>
      </c>
      <c r="L2152" s="1288">
        <v>1.1337027053715399E-3</v>
      </c>
      <c r="M2152" s="1306">
        <v>6.3383925835082296E-3</v>
      </c>
      <c r="N2152" s="1303">
        <v>3.0000008598028201E-3</v>
      </c>
      <c r="O2152" s="1288">
        <v>2.0000005732018801E-3</v>
      </c>
      <c r="P2152" s="1288">
        <v>3.0000008598028201E-3</v>
      </c>
      <c r="Q2152" s="1306">
        <v>7.8612197989545197E-3</v>
      </c>
      <c r="R2152" s="1303">
        <v>3.1850009128239903E-2</v>
      </c>
      <c r="S2152" s="1288">
        <v>3.1850009128239903E-2</v>
      </c>
      <c r="T2152" s="1288">
        <v>3.1850009128239903E-2</v>
      </c>
      <c r="U2152" s="1306">
        <v>1.9250005517068101E-2</v>
      </c>
      <c r="V2152" s="1294">
        <v>9.3282859582150407E-3</v>
      </c>
    </row>
    <row r="2153" spans="1:22" s="212" customFormat="1" ht="15.5" x14ac:dyDescent="0.35">
      <c r="A2153" s="198">
        <v>2048</v>
      </c>
      <c r="B2153" s="197" t="s">
        <v>5833</v>
      </c>
      <c r="C2153" s="197">
        <v>2048</v>
      </c>
      <c r="D2153" s="225" t="str">
        <f t="shared" si="12"/>
        <v>2048_2048</v>
      </c>
      <c r="E2153" s="1231">
        <v>8.4142500561992795E-2</v>
      </c>
      <c r="F2153" s="1288">
        <v>2.80394884059926E-3</v>
      </c>
      <c r="G2153" s="1306">
        <v>4.4875278376470901E-2</v>
      </c>
      <c r="H2153" s="1303">
        <v>0.147072161323444</v>
      </c>
      <c r="I2153" s="1288">
        <v>2.0935289162502601E-2</v>
      </c>
      <c r="J2153" s="1306">
        <v>9.9493331311667696E-2</v>
      </c>
      <c r="K2153" s="1303">
        <v>6.87515684717269E-3</v>
      </c>
      <c r="L2153" s="1288">
        <v>1.0964770410690199E-3</v>
      </c>
      <c r="M2153" s="1306">
        <v>4.2696381082179598E-3</v>
      </c>
      <c r="N2153" s="1303">
        <v>3.0000008598028201E-3</v>
      </c>
      <c r="O2153" s="1288">
        <v>2.0000005732018801E-3</v>
      </c>
      <c r="P2153" s="1288">
        <v>3.0000008598028201E-3</v>
      </c>
      <c r="Q2153" s="1306">
        <v>7.4475394357702103E-3</v>
      </c>
      <c r="R2153" s="1303">
        <v>3.1850009128239903E-2</v>
      </c>
      <c r="S2153" s="1288">
        <v>3.1850009128239903E-2</v>
      </c>
      <c r="T2153" s="1288">
        <v>3.1850009128239903E-2</v>
      </c>
      <c r="U2153" s="1306">
        <v>1.9250005517068101E-2</v>
      </c>
      <c r="V2153" s="1294">
        <v>7.1860209317451702E-3</v>
      </c>
    </row>
    <row r="2154" spans="1:22" s="212" customFormat="1" ht="15.5" x14ac:dyDescent="0.35">
      <c r="A2154" s="198">
        <v>2048</v>
      </c>
      <c r="B2154" s="197" t="s">
        <v>5833</v>
      </c>
      <c r="C2154" s="197">
        <v>2049</v>
      </c>
      <c r="D2154" s="225" t="str">
        <f t="shared" si="12"/>
        <v>2048_2049</v>
      </c>
      <c r="E2154" s="1226">
        <v>8.4142500561992795E-2</v>
      </c>
      <c r="F2154" s="1257">
        <v>2.80394884059926E-3</v>
      </c>
      <c r="G2154" s="1280">
        <v>4.4875278376470901E-2</v>
      </c>
      <c r="H2154" s="1271">
        <v>0.147072161323444</v>
      </c>
      <c r="I2154" s="1257">
        <v>2.0935289162502601E-2</v>
      </c>
      <c r="J2154" s="1280">
        <v>9.9493331311667696E-2</v>
      </c>
      <c r="K2154" s="1271">
        <v>6.87515684717269E-3</v>
      </c>
      <c r="L2154" s="1257">
        <v>1.0964770410690199E-3</v>
      </c>
      <c r="M2154" s="1280">
        <v>4.2696381082179598E-3</v>
      </c>
      <c r="N2154" s="1271">
        <v>3.0000008598028201E-3</v>
      </c>
      <c r="O2154" s="1257">
        <v>2.0000005732018801E-3</v>
      </c>
      <c r="P2154" s="1257">
        <v>3.0000008598028201E-3</v>
      </c>
      <c r="Q2154" s="1280">
        <v>7.4475394357702103E-3</v>
      </c>
      <c r="R2154" s="1271">
        <v>3.1850009128239903E-2</v>
      </c>
      <c r="S2154" s="1257">
        <v>3.1850009128239903E-2</v>
      </c>
      <c r="T2154" s="1257">
        <v>3.1850009128239903E-2</v>
      </c>
      <c r="U2154" s="1280">
        <v>1.9250005517068101E-2</v>
      </c>
      <c r="V2154" s="1293">
        <v>7.1860209317451702E-3</v>
      </c>
    </row>
    <row r="2155" spans="1:22" s="212" customFormat="1" ht="15.5" x14ac:dyDescent="0.35">
      <c r="A2155" s="198">
        <v>2049</v>
      </c>
      <c r="B2155" s="197" t="s">
        <v>5833</v>
      </c>
      <c r="C2155" s="197">
        <v>1971</v>
      </c>
      <c r="D2155" s="225" t="str">
        <f t="shared" si="12"/>
        <v>2049_1971</v>
      </c>
      <c r="E2155" s="1226">
        <v>0.10843646281325101</v>
      </c>
      <c r="F2155" s="1257">
        <v>2.49894506724027E-3</v>
      </c>
      <c r="G2155" s="1280">
        <v>5.1039121597004203E-2</v>
      </c>
      <c r="H2155" s="1271">
        <v>0.25006794489262402</v>
      </c>
      <c r="I2155" s="1257">
        <v>1.6003014531304802E-2</v>
      </c>
      <c r="J2155" s="1280">
        <v>0.15725315904253701</v>
      </c>
      <c r="K2155" s="1271">
        <v>2.2987253934440899E-2</v>
      </c>
      <c r="L2155" s="1257">
        <v>1.14152224330179E-3</v>
      </c>
      <c r="M2155" s="1280">
        <v>1.3073179421498601E-2</v>
      </c>
      <c r="N2155" s="1271">
        <v>3.0000008598028201E-3</v>
      </c>
      <c r="O2155" s="1257">
        <v>2.0000005732018801E-3</v>
      </c>
      <c r="P2155" s="1257">
        <v>3.0000008598028201E-3</v>
      </c>
      <c r="Q2155" s="1280">
        <v>3.0000008598028201E-3</v>
      </c>
      <c r="R2155" s="1271">
        <v>3.1850009128239903E-2</v>
      </c>
      <c r="S2155" s="1257">
        <v>3.1850009128239903E-2</v>
      </c>
      <c r="T2155" s="1257">
        <v>3.1850009128239903E-2</v>
      </c>
      <c r="U2155" s="1280">
        <v>1.5925004564119952E-2</v>
      </c>
      <c r="V2155" s="1293">
        <v>2.4026635552927701E-2</v>
      </c>
    </row>
    <row r="2156" spans="1:22" s="212" customFormat="1" ht="15.5" x14ac:dyDescent="0.35">
      <c r="A2156" s="198">
        <v>2049</v>
      </c>
      <c r="B2156" s="197" t="s">
        <v>5833</v>
      </c>
      <c r="C2156" s="197">
        <v>1972</v>
      </c>
      <c r="D2156" s="225" t="str">
        <f t="shared" ref="D2156:D2315" si="14">CONCATENATE(A2156,"_",C2156)</f>
        <v>2049_1972</v>
      </c>
      <c r="E2156" s="1226">
        <v>0.10843646281325101</v>
      </c>
      <c r="F2156" s="1257">
        <v>2.49894506724027E-3</v>
      </c>
      <c r="G2156" s="1280">
        <v>5.1039121597004203E-2</v>
      </c>
      <c r="H2156" s="1271">
        <v>0.25006794489262402</v>
      </c>
      <c r="I2156" s="1257">
        <v>1.6003014531304802E-2</v>
      </c>
      <c r="J2156" s="1280">
        <v>0.15725315904253701</v>
      </c>
      <c r="K2156" s="1271">
        <v>2.2987253934440899E-2</v>
      </c>
      <c r="L2156" s="1257">
        <v>1.14152224330179E-3</v>
      </c>
      <c r="M2156" s="1280">
        <v>1.3073179421498601E-2</v>
      </c>
      <c r="N2156" s="1271">
        <v>3.0000008598028201E-3</v>
      </c>
      <c r="O2156" s="1257">
        <v>2.0000005732018801E-3</v>
      </c>
      <c r="P2156" s="1257">
        <v>3.0000008598028201E-3</v>
      </c>
      <c r="Q2156" s="1280">
        <v>3.0000008598028201E-3</v>
      </c>
      <c r="R2156" s="1271">
        <v>3.1850009128239903E-2</v>
      </c>
      <c r="S2156" s="1257">
        <v>3.1850009128239903E-2</v>
      </c>
      <c r="T2156" s="1257">
        <v>3.1850009128239903E-2</v>
      </c>
      <c r="U2156" s="1280">
        <v>1.5925004564119952E-2</v>
      </c>
      <c r="V2156" s="1293">
        <v>2.4026635552927701E-2</v>
      </c>
    </row>
    <row r="2157" spans="1:22" s="212" customFormat="1" ht="15.5" x14ac:dyDescent="0.35">
      <c r="A2157" s="198">
        <v>2049</v>
      </c>
      <c r="B2157" s="197" t="s">
        <v>5833</v>
      </c>
      <c r="C2157" s="197">
        <v>1973</v>
      </c>
      <c r="D2157" s="225" t="str">
        <f t="shared" si="14"/>
        <v>2049_1973</v>
      </c>
      <c r="E2157" s="1226">
        <v>0.10843646281325101</v>
      </c>
      <c r="F2157" s="1257">
        <v>2.49894506724027E-3</v>
      </c>
      <c r="G2157" s="1280">
        <v>5.1039121597004203E-2</v>
      </c>
      <c r="H2157" s="1271">
        <v>0.25006794489262402</v>
      </c>
      <c r="I2157" s="1257">
        <v>1.6003014531304802E-2</v>
      </c>
      <c r="J2157" s="1280">
        <v>0.15725315904253701</v>
      </c>
      <c r="K2157" s="1271">
        <v>2.2987253934440899E-2</v>
      </c>
      <c r="L2157" s="1257">
        <v>1.14152224330179E-3</v>
      </c>
      <c r="M2157" s="1280">
        <v>1.3073179421498601E-2</v>
      </c>
      <c r="N2157" s="1271">
        <v>3.0000008598028201E-3</v>
      </c>
      <c r="O2157" s="1257">
        <v>2.0000005732018801E-3</v>
      </c>
      <c r="P2157" s="1257">
        <v>3.0000008598028201E-3</v>
      </c>
      <c r="Q2157" s="1280">
        <v>3.0000008598028201E-3</v>
      </c>
      <c r="R2157" s="1271">
        <v>3.1850009128239903E-2</v>
      </c>
      <c r="S2157" s="1257">
        <v>3.1850009128239903E-2</v>
      </c>
      <c r="T2157" s="1257">
        <v>3.1850009128239903E-2</v>
      </c>
      <c r="U2157" s="1280">
        <v>1.5925004564119952E-2</v>
      </c>
      <c r="V2157" s="1293">
        <v>2.4026635552927701E-2</v>
      </c>
    </row>
    <row r="2158" spans="1:22" s="212" customFormat="1" ht="15.5" x14ac:dyDescent="0.35">
      <c r="A2158" s="198">
        <v>2049</v>
      </c>
      <c r="B2158" s="197" t="s">
        <v>5833</v>
      </c>
      <c r="C2158" s="197">
        <v>1974</v>
      </c>
      <c r="D2158" s="225" t="str">
        <f t="shared" si="14"/>
        <v>2049_1974</v>
      </c>
      <c r="E2158" s="1226">
        <v>0.10843646281325101</v>
      </c>
      <c r="F2158" s="1257">
        <v>2.49894506724027E-3</v>
      </c>
      <c r="G2158" s="1280">
        <v>5.1039121597004203E-2</v>
      </c>
      <c r="H2158" s="1271">
        <v>0.25006794489262402</v>
      </c>
      <c r="I2158" s="1257">
        <v>1.6003014531304802E-2</v>
      </c>
      <c r="J2158" s="1280">
        <v>0.15725315904253701</v>
      </c>
      <c r="K2158" s="1271">
        <v>2.2987253934440899E-2</v>
      </c>
      <c r="L2158" s="1257">
        <v>1.14152224330179E-3</v>
      </c>
      <c r="M2158" s="1280">
        <v>1.3073179421498601E-2</v>
      </c>
      <c r="N2158" s="1271">
        <v>3.0000008598028201E-3</v>
      </c>
      <c r="O2158" s="1257">
        <v>2.0000005732018801E-3</v>
      </c>
      <c r="P2158" s="1257">
        <v>3.0000008598028201E-3</v>
      </c>
      <c r="Q2158" s="1280">
        <v>3.0000008598028201E-3</v>
      </c>
      <c r="R2158" s="1271">
        <v>3.1850009128239903E-2</v>
      </c>
      <c r="S2158" s="1257">
        <v>3.1850009128239903E-2</v>
      </c>
      <c r="T2158" s="1257">
        <v>3.1850009128239903E-2</v>
      </c>
      <c r="U2158" s="1280">
        <v>1.5925004564119952E-2</v>
      </c>
      <c r="V2158" s="1293">
        <v>2.4026635552927701E-2</v>
      </c>
    </row>
    <row r="2159" spans="1:22" s="212" customFormat="1" ht="15.5" x14ac:dyDescent="0.35">
      <c r="A2159" s="198">
        <v>2049</v>
      </c>
      <c r="B2159" s="197" t="s">
        <v>5833</v>
      </c>
      <c r="C2159" s="197">
        <v>1975</v>
      </c>
      <c r="D2159" s="225" t="str">
        <f t="shared" si="14"/>
        <v>2049_1975</v>
      </c>
      <c r="E2159" s="1226">
        <v>0.10843646281325101</v>
      </c>
      <c r="F2159" s="1257">
        <v>2.49894506724027E-3</v>
      </c>
      <c r="G2159" s="1280">
        <v>5.1039121597004203E-2</v>
      </c>
      <c r="H2159" s="1271">
        <v>0.25006794489262402</v>
      </c>
      <c r="I2159" s="1257">
        <v>1.6003014531304802E-2</v>
      </c>
      <c r="J2159" s="1280">
        <v>0.15725315904253701</v>
      </c>
      <c r="K2159" s="1271">
        <v>2.2987253934440899E-2</v>
      </c>
      <c r="L2159" s="1257">
        <v>1.14152224330179E-3</v>
      </c>
      <c r="M2159" s="1280">
        <v>1.3073179421498601E-2</v>
      </c>
      <c r="N2159" s="1271">
        <v>3.0000008598028201E-3</v>
      </c>
      <c r="O2159" s="1257">
        <v>2.0000005732018801E-3</v>
      </c>
      <c r="P2159" s="1257">
        <v>3.0000008598028201E-3</v>
      </c>
      <c r="Q2159" s="1280">
        <v>3.0000008598028201E-3</v>
      </c>
      <c r="R2159" s="1271">
        <v>3.1850009128239903E-2</v>
      </c>
      <c r="S2159" s="1257">
        <v>3.1850009128239903E-2</v>
      </c>
      <c r="T2159" s="1257">
        <v>3.1850009128239903E-2</v>
      </c>
      <c r="U2159" s="1280">
        <v>1.5925004564119952E-2</v>
      </c>
      <c r="V2159" s="1293">
        <v>2.4026635552927701E-2</v>
      </c>
    </row>
    <row r="2160" spans="1:22" s="212" customFormat="1" ht="15.5" x14ac:dyDescent="0.35">
      <c r="A2160" s="198">
        <v>2049</v>
      </c>
      <c r="B2160" s="197" t="s">
        <v>5833</v>
      </c>
      <c r="C2160" s="197">
        <v>1976</v>
      </c>
      <c r="D2160" s="225" t="str">
        <f t="shared" si="14"/>
        <v>2049_1976</v>
      </c>
      <c r="E2160" s="1226">
        <v>0.10843646281325101</v>
      </c>
      <c r="F2160" s="1257">
        <v>2.49894506724027E-3</v>
      </c>
      <c r="G2160" s="1280">
        <v>5.1039121597004203E-2</v>
      </c>
      <c r="H2160" s="1271">
        <v>0.25006794489262402</v>
      </c>
      <c r="I2160" s="1257">
        <v>1.6003014531304802E-2</v>
      </c>
      <c r="J2160" s="1280">
        <v>0.15725315904253701</v>
      </c>
      <c r="K2160" s="1271">
        <v>2.2987253934440899E-2</v>
      </c>
      <c r="L2160" s="1257">
        <v>1.14152224330179E-3</v>
      </c>
      <c r="M2160" s="1280">
        <v>1.3073179421498601E-2</v>
      </c>
      <c r="N2160" s="1271">
        <v>3.0000008598028201E-3</v>
      </c>
      <c r="O2160" s="1257">
        <v>2.0000005732018801E-3</v>
      </c>
      <c r="P2160" s="1257">
        <v>3.0000008598028201E-3</v>
      </c>
      <c r="Q2160" s="1280">
        <v>3.0000008598028201E-3</v>
      </c>
      <c r="R2160" s="1271">
        <v>3.1850009128239903E-2</v>
      </c>
      <c r="S2160" s="1257">
        <v>3.1850009128239903E-2</v>
      </c>
      <c r="T2160" s="1257">
        <v>3.1850009128239903E-2</v>
      </c>
      <c r="U2160" s="1280">
        <v>1.5925004564119952E-2</v>
      </c>
      <c r="V2160" s="1293">
        <v>2.4026635552927701E-2</v>
      </c>
    </row>
    <row r="2161" spans="1:22" s="212" customFormat="1" ht="15.5" x14ac:dyDescent="0.35">
      <c r="A2161" s="198">
        <v>2049</v>
      </c>
      <c r="B2161" s="197" t="s">
        <v>5833</v>
      </c>
      <c r="C2161" s="197">
        <v>1977</v>
      </c>
      <c r="D2161" s="225" t="str">
        <f t="shared" si="14"/>
        <v>2049_1977</v>
      </c>
      <c r="E2161" s="1226">
        <v>0.10843646281325101</v>
      </c>
      <c r="F2161" s="1257">
        <v>2.49894506724027E-3</v>
      </c>
      <c r="G2161" s="1280">
        <v>5.1039121597004203E-2</v>
      </c>
      <c r="H2161" s="1271">
        <v>0.25006794489262402</v>
      </c>
      <c r="I2161" s="1257">
        <v>1.6003014531304802E-2</v>
      </c>
      <c r="J2161" s="1280">
        <v>0.15725315904253701</v>
      </c>
      <c r="K2161" s="1271">
        <v>2.2987253934440899E-2</v>
      </c>
      <c r="L2161" s="1257">
        <v>1.14152224330179E-3</v>
      </c>
      <c r="M2161" s="1280">
        <v>1.3073179421498601E-2</v>
      </c>
      <c r="N2161" s="1271">
        <v>3.0000008598028201E-3</v>
      </c>
      <c r="O2161" s="1257">
        <v>2.0000005732018801E-3</v>
      </c>
      <c r="P2161" s="1257">
        <v>3.0000008598028201E-3</v>
      </c>
      <c r="Q2161" s="1280">
        <v>3.0000008598028201E-3</v>
      </c>
      <c r="R2161" s="1271">
        <v>3.1850009128239903E-2</v>
      </c>
      <c r="S2161" s="1257">
        <v>3.1850009128239903E-2</v>
      </c>
      <c r="T2161" s="1257">
        <v>3.1850009128239903E-2</v>
      </c>
      <c r="U2161" s="1280">
        <v>1.5925004564119952E-2</v>
      </c>
      <c r="V2161" s="1293">
        <v>2.4026635552927701E-2</v>
      </c>
    </row>
    <row r="2162" spans="1:22" s="212" customFormat="1" ht="15.5" x14ac:dyDescent="0.35">
      <c r="A2162" s="198">
        <v>2049</v>
      </c>
      <c r="B2162" s="197" t="s">
        <v>5833</v>
      </c>
      <c r="C2162" s="197">
        <v>1978</v>
      </c>
      <c r="D2162" s="225" t="str">
        <f t="shared" si="14"/>
        <v>2049_1978</v>
      </c>
      <c r="E2162" s="1226">
        <v>0.10843646281325101</v>
      </c>
      <c r="F2162" s="1257">
        <v>2.49894506724027E-3</v>
      </c>
      <c r="G2162" s="1280">
        <v>5.1039121597004203E-2</v>
      </c>
      <c r="H2162" s="1271">
        <v>0.25006794489262402</v>
      </c>
      <c r="I2162" s="1257">
        <v>1.6003014531304802E-2</v>
      </c>
      <c r="J2162" s="1280">
        <v>0.15725315904253701</v>
      </c>
      <c r="K2162" s="1271">
        <v>2.2987253934440899E-2</v>
      </c>
      <c r="L2162" s="1257">
        <v>1.14152224330179E-3</v>
      </c>
      <c r="M2162" s="1280">
        <v>1.3073179421498601E-2</v>
      </c>
      <c r="N2162" s="1271">
        <v>3.0000008598028201E-3</v>
      </c>
      <c r="O2162" s="1257">
        <v>2.0000005732018801E-3</v>
      </c>
      <c r="P2162" s="1257">
        <v>3.0000008598028201E-3</v>
      </c>
      <c r="Q2162" s="1280">
        <v>3.0000008598028201E-3</v>
      </c>
      <c r="R2162" s="1271">
        <v>3.1850009128239903E-2</v>
      </c>
      <c r="S2162" s="1257">
        <v>3.1850009128239903E-2</v>
      </c>
      <c r="T2162" s="1257">
        <v>3.1850009128239903E-2</v>
      </c>
      <c r="U2162" s="1280">
        <v>1.5925004564119952E-2</v>
      </c>
      <c r="V2162" s="1293">
        <v>2.4026635552927701E-2</v>
      </c>
    </row>
    <row r="2163" spans="1:22" s="212" customFormat="1" ht="15.5" x14ac:dyDescent="0.35">
      <c r="A2163" s="198">
        <v>2049</v>
      </c>
      <c r="B2163" s="197" t="s">
        <v>5833</v>
      </c>
      <c r="C2163" s="197">
        <v>1979</v>
      </c>
      <c r="D2163" s="225" t="str">
        <f t="shared" si="14"/>
        <v>2049_1979</v>
      </c>
      <c r="E2163" s="1226">
        <v>0.10843646281325101</v>
      </c>
      <c r="F2163" s="1257">
        <v>2.49894506724027E-3</v>
      </c>
      <c r="G2163" s="1280">
        <v>5.1039121597004203E-2</v>
      </c>
      <c r="H2163" s="1271">
        <v>0.25006794489262402</v>
      </c>
      <c r="I2163" s="1257">
        <v>1.6003014531304802E-2</v>
      </c>
      <c r="J2163" s="1280">
        <v>0.15725315904253701</v>
      </c>
      <c r="K2163" s="1271">
        <v>2.2987253934440899E-2</v>
      </c>
      <c r="L2163" s="1257">
        <v>1.14152224330179E-3</v>
      </c>
      <c r="M2163" s="1280">
        <v>1.3073179421498601E-2</v>
      </c>
      <c r="N2163" s="1271">
        <v>3.0000008598028201E-3</v>
      </c>
      <c r="O2163" s="1257">
        <v>2.0000005732018801E-3</v>
      </c>
      <c r="P2163" s="1257">
        <v>3.0000008598028201E-3</v>
      </c>
      <c r="Q2163" s="1280">
        <v>3.0000008598028201E-3</v>
      </c>
      <c r="R2163" s="1271">
        <v>3.1850009128239903E-2</v>
      </c>
      <c r="S2163" s="1257">
        <v>3.1850009128239903E-2</v>
      </c>
      <c r="T2163" s="1257">
        <v>3.1850009128239903E-2</v>
      </c>
      <c r="U2163" s="1280">
        <v>1.5925004564119952E-2</v>
      </c>
      <c r="V2163" s="1293">
        <v>2.4026635552927701E-2</v>
      </c>
    </row>
    <row r="2164" spans="1:22" s="212" customFormat="1" ht="15.5" x14ac:dyDescent="0.35">
      <c r="A2164" s="198">
        <v>2049</v>
      </c>
      <c r="B2164" s="197" t="s">
        <v>5833</v>
      </c>
      <c r="C2164" s="197">
        <v>1980</v>
      </c>
      <c r="D2164" s="225" t="str">
        <f t="shared" si="14"/>
        <v>2049_1980</v>
      </c>
      <c r="E2164" s="1226">
        <v>0.10843646281325101</v>
      </c>
      <c r="F2164" s="1257">
        <v>2.49894506724027E-3</v>
      </c>
      <c r="G2164" s="1280">
        <v>5.1039121597004203E-2</v>
      </c>
      <c r="H2164" s="1271">
        <v>0.25006794489262402</v>
      </c>
      <c r="I2164" s="1257">
        <v>1.6003014531304802E-2</v>
      </c>
      <c r="J2164" s="1280">
        <v>0.15725315904253701</v>
      </c>
      <c r="K2164" s="1271">
        <v>2.2987253934440899E-2</v>
      </c>
      <c r="L2164" s="1257">
        <v>1.14152224330179E-3</v>
      </c>
      <c r="M2164" s="1280">
        <v>1.3073179421498601E-2</v>
      </c>
      <c r="N2164" s="1271">
        <v>3.0000008598028201E-3</v>
      </c>
      <c r="O2164" s="1257">
        <v>2.0000005732018801E-3</v>
      </c>
      <c r="P2164" s="1257">
        <v>3.0000008598028201E-3</v>
      </c>
      <c r="Q2164" s="1280">
        <v>3.0000008598028201E-3</v>
      </c>
      <c r="R2164" s="1271">
        <v>3.1850009128239903E-2</v>
      </c>
      <c r="S2164" s="1257">
        <v>3.1850009128239903E-2</v>
      </c>
      <c r="T2164" s="1257">
        <v>3.1850009128239903E-2</v>
      </c>
      <c r="U2164" s="1280">
        <v>1.5925004564119952E-2</v>
      </c>
      <c r="V2164" s="1293">
        <v>2.4026635552927701E-2</v>
      </c>
    </row>
    <row r="2165" spans="1:22" s="212" customFormat="1" ht="15.5" x14ac:dyDescent="0.35">
      <c r="A2165" s="198">
        <v>2049</v>
      </c>
      <c r="B2165" s="197" t="s">
        <v>5833</v>
      </c>
      <c r="C2165" s="197">
        <v>1981</v>
      </c>
      <c r="D2165" s="225" t="str">
        <f t="shared" si="14"/>
        <v>2049_1981</v>
      </c>
      <c r="E2165" s="1226">
        <v>0.10843646281325101</v>
      </c>
      <c r="F2165" s="1257">
        <v>2.49894506724027E-3</v>
      </c>
      <c r="G2165" s="1280">
        <v>5.1039121597004203E-2</v>
      </c>
      <c r="H2165" s="1271">
        <v>0.25006794489262402</v>
      </c>
      <c r="I2165" s="1257">
        <v>1.6003014531304802E-2</v>
      </c>
      <c r="J2165" s="1280">
        <v>0.15725315904253701</v>
      </c>
      <c r="K2165" s="1271">
        <v>2.2987253934440899E-2</v>
      </c>
      <c r="L2165" s="1257">
        <v>1.14152224330179E-3</v>
      </c>
      <c r="M2165" s="1280">
        <v>1.3073179421498601E-2</v>
      </c>
      <c r="N2165" s="1271">
        <v>3.0000008598028201E-3</v>
      </c>
      <c r="O2165" s="1257">
        <v>2.0000005732018801E-3</v>
      </c>
      <c r="P2165" s="1257">
        <v>3.0000008598028201E-3</v>
      </c>
      <c r="Q2165" s="1280">
        <v>3.0000008598028201E-3</v>
      </c>
      <c r="R2165" s="1271">
        <v>3.1850009128239903E-2</v>
      </c>
      <c r="S2165" s="1257">
        <v>3.1850009128239903E-2</v>
      </c>
      <c r="T2165" s="1257">
        <v>3.1850009128239903E-2</v>
      </c>
      <c r="U2165" s="1280">
        <v>1.5925004564119952E-2</v>
      </c>
      <c r="V2165" s="1293">
        <v>2.4026635552927701E-2</v>
      </c>
    </row>
    <row r="2166" spans="1:22" s="212" customFormat="1" ht="15.5" x14ac:dyDescent="0.35">
      <c r="A2166" s="198">
        <v>2049</v>
      </c>
      <c r="B2166" s="197" t="s">
        <v>5833</v>
      </c>
      <c r="C2166" s="197">
        <v>1982</v>
      </c>
      <c r="D2166" s="225" t="str">
        <f t="shared" si="14"/>
        <v>2049_1982</v>
      </c>
      <c r="E2166" s="1226">
        <v>0.10843646281325101</v>
      </c>
      <c r="F2166" s="1257">
        <v>2.49894506724027E-3</v>
      </c>
      <c r="G2166" s="1280">
        <v>5.1039121597004203E-2</v>
      </c>
      <c r="H2166" s="1271">
        <v>0.25006794489262402</v>
      </c>
      <c r="I2166" s="1257">
        <v>1.6003014531304802E-2</v>
      </c>
      <c r="J2166" s="1280">
        <v>0.15725315904253701</v>
      </c>
      <c r="K2166" s="1271">
        <v>2.2987253934440899E-2</v>
      </c>
      <c r="L2166" s="1257">
        <v>1.14152224330179E-3</v>
      </c>
      <c r="M2166" s="1280">
        <v>1.3073179421498601E-2</v>
      </c>
      <c r="N2166" s="1271">
        <v>3.0000008598028201E-3</v>
      </c>
      <c r="O2166" s="1257">
        <v>2.0000005732018801E-3</v>
      </c>
      <c r="P2166" s="1257">
        <v>3.0000008598028201E-3</v>
      </c>
      <c r="Q2166" s="1280">
        <v>3.0000008598028201E-3</v>
      </c>
      <c r="R2166" s="1271">
        <v>3.1850009128239903E-2</v>
      </c>
      <c r="S2166" s="1257">
        <v>3.1850009128239903E-2</v>
      </c>
      <c r="T2166" s="1257">
        <v>3.1850009128239903E-2</v>
      </c>
      <c r="U2166" s="1280">
        <v>1.5925004564119952E-2</v>
      </c>
      <c r="V2166" s="1293">
        <v>2.4026635552927701E-2</v>
      </c>
    </row>
    <row r="2167" spans="1:22" s="212" customFormat="1" ht="15.5" x14ac:dyDescent="0.35">
      <c r="A2167" s="198">
        <v>2049</v>
      </c>
      <c r="B2167" s="197" t="s">
        <v>5833</v>
      </c>
      <c r="C2167" s="197">
        <v>1983</v>
      </c>
      <c r="D2167" s="225" t="str">
        <f t="shared" si="14"/>
        <v>2049_1983</v>
      </c>
      <c r="E2167" s="1226">
        <v>0.10843646281325101</v>
      </c>
      <c r="F2167" s="1257">
        <v>2.49894506724027E-3</v>
      </c>
      <c r="G2167" s="1280">
        <v>5.1039121597004203E-2</v>
      </c>
      <c r="H2167" s="1271">
        <v>0.25006794489262402</v>
      </c>
      <c r="I2167" s="1257">
        <v>1.6003014531304802E-2</v>
      </c>
      <c r="J2167" s="1280">
        <v>0.15725315904253701</v>
      </c>
      <c r="K2167" s="1271">
        <v>2.2987253934440899E-2</v>
      </c>
      <c r="L2167" s="1257">
        <v>1.14152224330179E-3</v>
      </c>
      <c r="M2167" s="1280">
        <v>1.3073179421498601E-2</v>
      </c>
      <c r="N2167" s="1271">
        <v>3.0000008598028201E-3</v>
      </c>
      <c r="O2167" s="1257">
        <v>2.0000005732018801E-3</v>
      </c>
      <c r="P2167" s="1257">
        <v>3.0000008598028201E-3</v>
      </c>
      <c r="Q2167" s="1280">
        <v>3.0000008598028201E-3</v>
      </c>
      <c r="R2167" s="1271">
        <v>3.1850009128239903E-2</v>
      </c>
      <c r="S2167" s="1257">
        <v>3.1850009128239903E-2</v>
      </c>
      <c r="T2167" s="1257">
        <v>3.1850009128239903E-2</v>
      </c>
      <c r="U2167" s="1280">
        <v>1.5925004564119952E-2</v>
      </c>
      <c r="V2167" s="1293">
        <v>2.4026635552927701E-2</v>
      </c>
    </row>
    <row r="2168" spans="1:22" s="212" customFormat="1" ht="15.5" x14ac:dyDescent="0.35">
      <c r="A2168" s="198">
        <v>2049</v>
      </c>
      <c r="B2168" s="197" t="s">
        <v>5833</v>
      </c>
      <c r="C2168" s="197">
        <v>1984</v>
      </c>
      <c r="D2168" s="225" t="str">
        <f t="shared" si="14"/>
        <v>2049_1984</v>
      </c>
      <c r="E2168" s="1226">
        <v>0.10843646281325101</v>
      </c>
      <c r="F2168" s="1257">
        <v>2.49894506724027E-3</v>
      </c>
      <c r="G2168" s="1280">
        <v>5.1039121597004203E-2</v>
      </c>
      <c r="H2168" s="1271">
        <v>0.25006794489262402</v>
      </c>
      <c r="I2168" s="1257">
        <v>1.6003014531304802E-2</v>
      </c>
      <c r="J2168" s="1280">
        <v>0.15725315904253701</v>
      </c>
      <c r="K2168" s="1271">
        <v>2.2987253934440899E-2</v>
      </c>
      <c r="L2168" s="1257">
        <v>1.14152224330179E-3</v>
      </c>
      <c r="M2168" s="1280">
        <v>1.3073179421498601E-2</v>
      </c>
      <c r="N2168" s="1271">
        <v>3.0000008598028201E-3</v>
      </c>
      <c r="O2168" s="1257">
        <v>2.0000005732018801E-3</v>
      </c>
      <c r="P2168" s="1257">
        <v>3.0000008598028201E-3</v>
      </c>
      <c r="Q2168" s="1280">
        <v>3.0000008598028201E-3</v>
      </c>
      <c r="R2168" s="1271">
        <v>3.1850009128239903E-2</v>
      </c>
      <c r="S2168" s="1257">
        <v>3.1850009128239903E-2</v>
      </c>
      <c r="T2168" s="1257">
        <v>3.1850009128239903E-2</v>
      </c>
      <c r="U2168" s="1280">
        <v>1.5925004564119952E-2</v>
      </c>
      <c r="V2168" s="1293">
        <v>2.4026635552927701E-2</v>
      </c>
    </row>
    <row r="2169" spans="1:22" s="212" customFormat="1" ht="15.5" x14ac:dyDescent="0.35">
      <c r="A2169" s="198">
        <v>2049</v>
      </c>
      <c r="B2169" s="197" t="s">
        <v>5833</v>
      </c>
      <c r="C2169" s="197">
        <v>1985</v>
      </c>
      <c r="D2169" s="225" t="str">
        <f t="shared" si="14"/>
        <v>2049_1985</v>
      </c>
      <c r="E2169" s="1226">
        <v>0.10843646281325101</v>
      </c>
      <c r="F2169" s="1257">
        <v>2.49894506724027E-3</v>
      </c>
      <c r="G2169" s="1280">
        <v>5.1039121597004203E-2</v>
      </c>
      <c r="H2169" s="1271">
        <v>0.25006794489262402</v>
      </c>
      <c r="I2169" s="1257">
        <v>1.6003014531304802E-2</v>
      </c>
      <c r="J2169" s="1280">
        <v>0.15725315904253701</v>
      </c>
      <c r="K2169" s="1271">
        <v>2.2987253934440899E-2</v>
      </c>
      <c r="L2169" s="1257">
        <v>1.14152224330179E-3</v>
      </c>
      <c r="M2169" s="1280">
        <v>1.3073179421498601E-2</v>
      </c>
      <c r="N2169" s="1271">
        <v>3.0000008598028201E-3</v>
      </c>
      <c r="O2169" s="1257">
        <v>2.0000005732018801E-3</v>
      </c>
      <c r="P2169" s="1257">
        <v>3.0000008598028201E-3</v>
      </c>
      <c r="Q2169" s="1280">
        <v>3.0000008598028201E-3</v>
      </c>
      <c r="R2169" s="1271">
        <v>3.1850009128239903E-2</v>
      </c>
      <c r="S2169" s="1257">
        <v>3.1850009128239903E-2</v>
      </c>
      <c r="T2169" s="1257">
        <v>3.1850009128239903E-2</v>
      </c>
      <c r="U2169" s="1280">
        <v>1.5925004564119952E-2</v>
      </c>
      <c r="V2169" s="1293">
        <v>2.4026635552927701E-2</v>
      </c>
    </row>
    <row r="2170" spans="1:22" s="212" customFormat="1" ht="15.5" x14ac:dyDescent="0.35">
      <c r="A2170" s="198">
        <v>2049</v>
      </c>
      <c r="B2170" s="197" t="s">
        <v>5833</v>
      </c>
      <c r="C2170" s="197">
        <v>1986</v>
      </c>
      <c r="D2170" s="225" t="str">
        <f t="shared" si="14"/>
        <v>2049_1986</v>
      </c>
      <c r="E2170" s="1226">
        <v>0.10843646281325101</v>
      </c>
      <c r="F2170" s="1257">
        <v>2.49894506724027E-3</v>
      </c>
      <c r="G2170" s="1280">
        <v>5.1039121597004203E-2</v>
      </c>
      <c r="H2170" s="1271">
        <v>0.25006794489262402</v>
      </c>
      <c r="I2170" s="1257">
        <v>1.6003014531304802E-2</v>
      </c>
      <c r="J2170" s="1280">
        <v>0.15725315904253701</v>
      </c>
      <c r="K2170" s="1271">
        <v>2.2987253934440899E-2</v>
      </c>
      <c r="L2170" s="1257">
        <v>1.14152224330179E-3</v>
      </c>
      <c r="M2170" s="1280">
        <v>1.3073179421498601E-2</v>
      </c>
      <c r="N2170" s="1271">
        <v>3.0000008598028201E-3</v>
      </c>
      <c r="O2170" s="1257">
        <v>2.0000005732018801E-3</v>
      </c>
      <c r="P2170" s="1257">
        <v>3.0000008598028201E-3</v>
      </c>
      <c r="Q2170" s="1280">
        <v>3.0000008598028201E-3</v>
      </c>
      <c r="R2170" s="1271">
        <v>3.1850009128239903E-2</v>
      </c>
      <c r="S2170" s="1257">
        <v>3.1850009128239903E-2</v>
      </c>
      <c r="T2170" s="1257">
        <v>3.1850009128239903E-2</v>
      </c>
      <c r="U2170" s="1280">
        <v>1.5925004564119952E-2</v>
      </c>
      <c r="V2170" s="1293">
        <v>2.4026635552927701E-2</v>
      </c>
    </row>
    <row r="2171" spans="1:22" s="212" customFormat="1" ht="15.5" x14ac:dyDescent="0.35">
      <c r="A2171" s="198">
        <v>2049</v>
      </c>
      <c r="B2171" s="197" t="s">
        <v>5833</v>
      </c>
      <c r="C2171" s="197">
        <v>1987</v>
      </c>
      <c r="D2171" s="225" t="str">
        <f t="shared" si="14"/>
        <v>2049_1987</v>
      </c>
      <c r="E2171" s="1226">
        <v>0.10843646281325101</v>
      </c>
      <c r="F2171" s="1257">
        <v>2.49894506724027E-3</v>
      </c>
      <c r="G2171" s="1280">
        <v>5.1039121597004203E-2</v>
      </c>
      <c r="H2171" s="1271">
        <v>0.25006794489262402</v>
      </c>
      <c r="I2171" s="1257">
        <v>1.6003014531304802E-2</v>
      </c>
      <c r="J2171" s="1280">
        <v>0.15725315904253701</v>
      </c>
      <c r="K2171" s="1271">
        <v>2.2987253934440899E-2</v>
      </c>
      <c r="L2171" s="1257">
        <v>1.14152224330179E-3</v>
      </c>
      <c r="M2171" s="1280">
        <v>1.3073179421498601E-2</v>
      </c>
      <c r="N2171" s="1271">
        <v>3.0000008598028201E-3</v>
      </c>
      <c r="O2171" s="1257">
        <v>2.0000005732018801E-3</v>
      </c>
      <c r="P2171" s="1257">
        <v>3.0000008598028201E-3</v>
      </c>
      <c r="Q2171" s="1280">
        <v>3.0000008598028201E-3</v>
      </c>
      <c r="R2171" s="1271">
        <v>3.1850009128239903E-2</v>
      </c>
      <c r="S2171" s="1257">
        <v>3.1850009128239903E-2</v>
      </c>
      <c r="T2171" s="1257">
        <v>3.1850009128239903E-2</v>
      </c>
      <c r="U2171" s="1280">
        <v>1.5925004564119952E-2</v>
      </c>
      <c r="V2171" s="1293">
        <v>2.4026635552927701E-2</v>
      </c>
    </row>
    <row r="2172" spans="1:22" s="212" customFormat="1" ht="15.5" x14ac:dyDescent="0.35">
      <c r="A2172" s="198">
        <v>2049</v>
      </c>
      <c r="B2172" s="197" t="s">
        <v>5833</v>
      </c>
      <c r="C2172" s="197">
        <v>1988</v>
      </c>
      <c r="D2172" s="225" t="str">
        <f t="shared" si="14"/>
        <v>2049_1988</v>
      </c>
      <c r="E2172" s="1226">
        <v>0.10843646281325101</v>
      </c>
      <c r="F2172" s="1257">
        <v>2.49894506724027E-3</v>
      </c>
      <c r="G2172" s="1280">
        <v>5.1039121597004203E-2</v>
      </c>
      <c r="H2172" s="1271">
        <v>0.25006794489262402</v>
      </c>
      <c r="I2172" s="1257">
        <v>1.6003014531304802E-2</v>
      </c>
      <c r="J2172" s="1280">
        <v>0.15725315904253701</v>
      </c>
      <c r="K2172" s="1271">
        <v>2.2987253934440899E-2</v>
      </c>
      <c r="L2172" s="1257">
        <v>1.14152224330179E-3</v>
      </c>
      <c r="M2172" s="1280">
        <v>1.3073179421498601E-2</v>
      </c>
      <c r="N2172" s="1271">
        <v>3.0000008598028201E-3</v>
      </c>
      <c r="O2172" s="1257">
        <v>2.0000005732018801E-3</v>
      </c>
      <c r="P2172" s="1257">
        <v>3.0000008598028201E-3</v>
      </c>
      <c r="Q2172" s="1280">
        <v>3.0000008598028201E-3</v>
      </c>
      <c r="R2172" s="1271">
        <v>3.1850009128239903E-2</v>
      </c>
      <c r="S2172" s="1257">
        <v>3.1850009128239903E-2</v>
      </c>
      <c r="T2172" s="1257">
        <v>3.1850009128239903E-2</v>
      </c>
      <c r="U2172" s="1280">
        <v>1.5925004564119952E-2</v>
      </c>
      <c r="V2172" s="1293">
        <v>2.4026635552927701E-2</v>
      </c>
    </row>
    <row r="2173" spans="1:22" s="212" customFormat="1" ht="15.5" x14ac:dyDescent="0.35">
      <c r="A2173" s="198">
        <v>2049</v>
      </c>
      <c r="B2173" s="197" t="s">
        <v>5833</v>
      </c>
      <c r="C2173" s="197">
        <v>1989</v>
      </c>
      <c r="D2173" s="225" t="str">
        <f t="shared" si="14"/>
        <v>2049_1989</v>
      </c>
      <c r="E2173" s="1226">
        <v>0.10843646281325101</v>
      </c>
      <c r="F2173" s="1257">
        <v>2.49894506724027E-3</v>
      </c>
      <c r="G2173" s="1280">
        <v>5.1039121597004203E-2</v>
      </c>
      <c r="H2173" s="1271">
        <v>0.25006794489262402</v>
      </c>
      <c r="I2173" s="1257">
        <v>1.6003014531304802E-2</v>
      </c>
      <c r="J2173" s="1280">
        <v>0.15725315904253701</v>
      </c>
      <c r="K2173" s="1271">
        <v>2.2987253934440899E-2</v>
      </c>
      <c r="L2173" s="1257">
        <v>1.14152224330179E-3</v>
      </c>
      <c r="M2173" s="1280">
        <v>1.3073179421498601E-2</v>
      </c>
      <c r="N2173" s="1271">
        <v>3.0000008598028201E-3</v>
      </c>
      <c r="O2173" s="1257">
        <v>2.0000005732018801E-3</v>
      </c>
      <c r="P2173" s="1257">
        <v>3.0000008598028201E-3</v>
      </c>
      <c r="Q2173" s="1280">
        <v>3.0000008598028201E-3</v>
      </c>
      <c r="R2173" s="1271">
        <v>3.1850009128239903E-2</v>
      </c>
      <c r="S2173" s="1257">
        <v>3.1850009128239903E-2</v>
      </c>
      <c r="T2173" s="1257">
        <v>3.1850009128239903E-2</v>
      </c>
      <c r="U2173" s="1280">
        <v>1.5925004564119952E-2</v>
      </c>
      <c r="V2173" s="1293">
        <v>2.4026635552927701E-2</v>
      </c>
    </row>
    <row r="2174" spans="1:22" s="212" customFormat="1" ht="15.5" x14ac:dyDescent="0.35">
      <c r="A2174" s="198">
        <v>2049</v>
      </c>
      <c r="B2174" s="197" t="s">
        <v>5833</v>
      </c>
      <c r="C2174" s="197">
        <v>1990</v>
      </c>
      <c r="D2174" s="225" t="str">
        <f t="shared" si="14"/>
        <v>2049_1990</v>
      </c>
      <c r="E2174" s="1226">
        <v>0.10843646281325101</v>
      </c>
      <c r="F2174" s="1257">
        <v>2.49894506724027E-3</v>
      </c>
      <c r="G2174" s="1280">
        <v>5.1039121597004203E-2</v>
      </c>
      <c r="H2174" s="1271">
        <v>0.25006794489262402</v>
      </c>
      <c r="I2174" s="1257">
        <v>1.6003014531304802E-2</v>
      </c>
      <c r="J2174" s="1280">
        <v>0.15725315904253701</v>
      </c>
      <c r="K2174" s="1271">
        <v>2.2987253934440899E-2</v>
      </c>
      <c r="L2174" s="1257">
        <v>1.14152224330179E-3</v>
      </c>
      <c r="M2174" s="1280">
        <v>1.3073179421498601E-2</v>
      </c>
      <c r="N2174" s="1271">
        <v>3.0000008598028201E-3</v>
      </c>
      <c r="O2174" s="1257">
        <v>2.0000005732018801E-3</v>
      </c>
      <c r="P2174" s="1257">
        <v>3.0000008598028201E-3</v>
      </c>
      <c r="Q2174" s="1280">
        <v>3.0000008598028201E-3</v>
      </c>
      <c r="R2174" s="1271">
        <v>3.1850009128239903E-2</v>
      </c>
      <c r="S2174" s="1257">
        <v>3.1850009128239903E-2</v>
      </c>
      <c r="T2174" s="1257">
        <v>3.1850009128239903E-2</v>
      </c>
      <c r="U2174" s="1280">
        <v>1.5925004564119952E-2</v>
      </c>
      <c r="V2174" s="1293">
        <v>2.4026635552927701E-2</v>
      </c>
    </row>
    <row r="2175" spans="1:22" s="212" customFormat="1" ht="15.5" x14ac:dyDescent="0.35">
      <c r="A2175" s="198">
        <v>2049</v>
      </c>
      <c r="B2175" s="197" t="s">
        <v>5833</v>
      </c>
      <c r="C2175" s="197">
        <v>1991</v>
      </c>
      <c r="D2175" s="225" t="str">
        <f t="shared" si="14"/>
        <v>2049_1991</v>
      </c>
      <c r="E2175" s="1226">
        <v>0.10843646281325101</v>
      </c>
      <c r="F2175" s="1257">
        <v>2.49894506724027E-3</v>
      </c>
      <c r="G2175" s="1280">
        <v>5.1039121597004203E-2</v>
      </c>
      <c r="H2175" s="1271">
        <v>0.25006794489262402</v>
      </c>
      <c r="I2175" s="1257">
        <v>1.6003014531304802E-2</v>
      </c>
      <c r="J2175" s="1280">
        <v>0.15725315904253701</v>
      </c>
      <c r="K2175" s="1271">
        <v>2.2987253934440899E-2</v>
      </c>
      <c r="L2175" s="1257">
        <v>1.14152224330179E-3</v>
      </c>
      <c r="M2175" s="1280">
        <v>1.3073179421498601E-2</v>
      </c>
      <c r="N2175" s="1271">
        <v>3.0000008598028201E-3</v>
      </c>
      <c r="O2175" s="1257">
        <v>2.0000005732018801E-3</v>
      </c>
      <c r="P2175" s="1257">
        <v>3.0000008598028201E-3</v>
      </c>
      <c r="Q2175" s="1280">
        <v>3.0000008598028201E-3</v>
      </c>
      <c r="R2175" s="1271">
        <v>3.1850009128239903E-2</v>
      </c>
      <c r="S2175" s="1257">
        <v>3.1850009128239903E-2</v>
      </c>
      <c r="T2175" s="1257">
        <v>3.1850009128239903E-2</v>
      </c>
      <c r="U2175" s="1280">
        <v>1.5925004564119952E-2</v>
      </c>
      <c r="V2175" s="1293">
        <v>2.4026635552927701E-2</v>
      </c>
    </row>
    <row r="2176" spans="1:22" s="212" customFormat="1" ht="15.5" x14ac:dyDescent="0.35">
      <c r="A2176" s="198">
        <v>2049</v>
      </c>
      <c r="B2176" s="197" t="s">
        <v>5833</v>
      </c>
      <c r="C2176" s="197">
        <v>1992</v>
      </c>
      <c r="D2176" s="225" t="str">
        <f t="shared" si="14"/>
        <v>2049_1992</v>
      </c>
      <c r="E2176" s="1226">
        <v>0.10843646281325101</v>
      </c>
      <c r="F2176" s="1257">
        <v>2.49894506724027E-3</v>
      </c>
      <c r="G2176" s="1280">
        <v>5.1039121597004203E-2</v>
      </c>
      <c r="H2176" s="1271">
        <v>0.25006794489262402</v>
      </c>
      <c r="I2176" s="1257">
        <v>1.6003014531304802E-2</v>
      </c>
      <c r="J2176" s="1280">
        <v>0.15725315904253701</v>
      </c>
      <c r="K2176" s="1271">
        <v>2.2987253934440899E-2</v>
      </c>
      <c r="L2176" s="1257">
        <v>1.14152224330179E-3</v>
      </c>
      <c r="M2176" s="1280">
        <v>1.3073179421498601E-2</v>
      </c>
      <c r="N2176" s="1271">
        <v>3.0000008598028201E-3</v>
      </c>
      <c r="O2176" s="1257">
        <v>2.0000005732018801E-3</v>
      </c>
      <c r="P2176" s="1257">
        <v>3.0000008598028201E-3</v>
      </c>
      <c r="Q2176" s="1280">
        <v>3.0000008598028201E-3</v>
      </c>
      <c r="R2176" s="1271">
        <v>3.1850009128239903E-2</v>
      </c>
      <c r="S2176" s="1257">
        <v>3.1850009128239903E-2</v>
      </c>
      <c r="T2176" s="1257">
        <v>3.1850009128239903E-2</v>
      </c>
      <c r="U2176" s="1280">
        <v>1.5925004564119952E-2</v>
      </c>
      <c r="V2176" s="1293">
        <v>2.4026635552927701E-2</v>
      </c>
    </row>
    <row r="2177" spans="1:22" s="212" customFormat="1" ht="15.5" x14ac:dyDescent="0.35">
      <c r="A2177" s="198">
        <v>2049</v>
      </c>
      <c r="B2177" s="197" t="s">
        <v>5833</v>
      </c>
      <c r="C2177" s="197">
        <v>1993</v>
      </c>
      <c r="D2177" s="225" t="str">
        <f t="shared" si="14"/>
        <v>2049_1993</v>
      </c>
      <c r="E2177" s="1226">
        <v>0.10843646281325101</v>
      </c>
      <c r="F2177" s="1257">
        <v>2.49894506724027E-3</v>
      </c>
      <c r="G2177" s="1280">
        <v>5.1039121597004203E-2</v>
      </c>
      <c r="H2177" s="1271">
        <v>0.25006794489262402</v>
      </c>
      <c r="I2177" s="1257">
        <v>1.6003014531304802E-2</v>
      </c>
      <c r="J2177" s="1280">
        <v>0.15725315904253701</v>
      </c>
      <c r="K2177" s="1271">
        <v>2.2987253934440899E-2</v>
      </c>
      <c r="L2177" s="1257">
        <v>1.14152224330179E-3</v>
      </c>
      <c r="M2177" s="1280">
        <v>1.3073179421498601E-2</v>
      </c>
      <c r="N2177" s="1271">
        <v>3.0000008598028201E-3</v>
      </c>
      <c r="O2177" s="1257">
        <v>2.0000005732018801E-3</v>
      </c>
      <c r="P2177" s="1257">
        <v>3.0000008598028201E-3</v>
      </c>
      <c r="Q2177" s="1280">
        <v>3.0000008598028201E-3</v>
      </c>
      <c r="R2177" s="1271">
        <v>3.1850009128239903E-2</v>
      </c>
      <c r="S2177" s="1257">
        <v>3.1850009128239903E-2</v>
      </c>
      <c r="T2177" s="1257">
        <v>3.1850009128239903E-2</v>
      </c>
      <c r="U2177" s="1280">
        <v>1.5925004564119952E-2</v>
      </c>
      <c r="V2177" s="1293">
        <v>2.4026635552927701E-2</v>
      </c>
    </row>
    <row r="2178" spans="1:22" s="212" customFormat="1" ht="15.5" x14ac:dyDescent="0.35">
      <c r="A2178" s="198">
        <v>2049</v>
      </c>
      <c r="B2178" s="197" t="s">
        <v>5833</v>
      </c>
      <c r="C2178" s="197">
        <v>1994</v>
      </c>
      <c r="D2178" s="225" t="str">
        <f t="shared" si="14"/>
        <v>2049_1994</v>
      </c>
      <c r="E2178" s="1226">
        <v>0.10843646281325101</v>
      </c>
      <c r="F2178" s="1257">
        <v>2.49894506724027E-3</v>
      </c>
      <c r="G2178" s="1280">
        <v>5.1039121597004203E-2</v>
      </c>
      <c r="H2178" s="1271">
        <v>0.25006794489262402</v>
      </c>
      <c r="I2178" s="1257">
        <v>1.6003014531304802E-2</v>
      </c>
      <c r="J2178" s="1280">
        <v>0.15725315904253701</v>
      </c>
      <c r="K2178" s="1271">
        <v>2.2987253934440899E-2</v>
      </c>
      <c r="L2178" s="1257">
        <v>1.14152224330179E-3</v>
      </c>
      <c r="M2178" s="1280">
        <v>1.3073179421498601E-2</v>
      </c>
      <c r="N2178" s="1271">
        <v>3.0000008598028201E-3</v>
      </c>
      <c r="O2178" s="1257">
        <v>2.0000005732018801E-3</v>
      </c>
      <c r="P2178" s="1257">
        <v>3.0000008598028201E-3</v>
      </c>
      <c r="Q2178" s="1280">
        <v>3.0000008598028201E-3</v>
      </c>
      <c r="R2178" s="1271">
        <v>3.1850009128239903E-2</v>
      </c>
      <c r="S2178" s="1257">
        <v>3.1850009128239903E-2</v>
      </c>
      <c r="T2178" s="1257">
        <v>3.1850009128239903E-2</v>
      </c>
      <c r="U2178" s="1280">
        <v>1.5925004564119952E-2</v>
      </c>
      <c r="V2178" s="1293">
        <v>2.4026635552927701E-2</v>
      </c>
    </row>
    <row r="2179" spans="1:22" s="212" customFormat="1" ht="15.5" x14ac:dyDescent="0.35">
      <c r="A2179" s="198">
        <v>2049</v>
      </c>
      <c r="B2179" s="197" t="s">
        <v>5833</v>
      </c>
      <c r="C2179" s="197">
        <v>1995</v>
      </c>
      <c r="D2179" s="225" t="str">
        <f t="shared" si="14"/>
        <v>2049_1995</v>
      </c>
      <c r="E2179" s="1226">
        <v>0.10843646281325101</v>
      </c>
      <c r="F2179" s="1257">
        <v>2.49894506724027E-3</v>
      </c>
      <c r="G2179" s="1280">
        <v>5.1039121597004203E-2</v>
      </c>
      <c r="H2179" s="1271">
        <v>0.25006794489262402</v>
      </c>
      <c r="I2179" s="1257">
        <v>1.6003014531304802E-2</v>
      </c>
      <c r="J2179" s="1280">
        <v>0.15725315904253701</v>
      </c>
      <c r="K2179" s="1271">
        <v>2.2987253934440899E-2</v>
      </c>
      <c r="L2179" s="1257">
        <v>1.14152224330179E-3</v>
      </c>
      <c r="M2179" s="1280">
        <v>1.3073179421498601E-2</v>
      </c>
      <c r="N2179" s="1271">
        <v>3.0000008598028201E-3</v>
      </c>
      <c r="O2179" s="1257">
        <v>2.0000005732018801E-3</v>
      </c>
      <c r="P2179" s="1257">
        <v>3.0000008598028201E-3</v>
      </c>
      <c r="Q2179" s="1280">
        <v>3.0000008598028201E-3</v>
      </c>
      <c r="R2179" s="1271">
        <v>3.1850009128239903E-2</v>
      </c>
      <c r="S2179" s="1257">
        <v>3.1850009128239903E-2</v>
      </c>
      <c r="T2179" s="1257">
        <v>3.1850009128239903E-2</v>
      </c>
      <c r="U2179" s="1280">
        <v>1.5925004564119952E-2</v>
      </c>
      <c r="V2179" s="1293">
        <v>2.4026635552927701E-2</v>
      </c>
    </row>
    <row r="2180" spans="1:22" s="212" customFormat="1" ht="15.5" x14ac:dyDescent="0.35">
      <c r="A2180" s="198">
        <v>2049</v>
      </c>
      <c r="B2180" s="197" t="s">
        <v>5833</v>
      </c>
      <c r="C2180" s="197">
        <v>1996</v>
      </c>
      <c r="D2180" s="225" t="str">
        <f t="shared" si="14"/>
        <v>2049_1996</v>
      </c>
      <c r="E2180" s="1226">
        <v>0.10843646281325101</v>
      </c>
      <c r="F2180" s="1257">
        <v>2.49894506724027E-3</v>
      </c>
      <c r="G2180" s="1280">
        <v>5.1039121597004203E-2</v>
      </c>
      <c r="H2180" s="1271">
        <v>0.25006794489262402</v>
      </c>
      <c r="I2180" s="1257">
        <v>1.6003014531304802E-2</v>
      </c>
      <c r="J2180" s="1280">
        <v>0.15725315904253701</v>
      </c>
      <c r="K2180" s="1271">
        <v>2.2987253934440899E-2</v>
      </c>
      <c r="L2180" s="1257">
        <v>1.14152224330179E-3</v>
      </c>
      <c r="M2180" s="1280">
        <v>1.3073179421498601E-2</v>
      </c>
      <c r="N2180" s="1271">
        <v>3.0000008598028201E-3</v>
      </c>
      <c r="O2180" s="1257">
        <v>2.0000005732018801E-3</v>
      </c>
      <c r="P2180" s="1257">
        <v>3.0000008598028201E-3</v>
      </c>
      <c r="Q2180" s="1280">
        <v>3.0000008598028201E-3</v>
      </c>
      <c r="R2180" s="1271">
        <v>3.1850009128239903E-2</v>
      </c>
      <c r="S2180" s="1257">
        <v>3.1850009128239903E-2</v>
      </c>
      <c r="T2180" s="1257">
        <v>3.1850009128239903E-2</v>
      </c>
      <c r="U2180" s="1280">
        <v>1.5925004564119952E-2</v>
      </c>
      <c r="V2180" s="1293">
        <v>2.4026635552927701E-2</v>
      </c>
    </row>
    <row r="2181" spans="1:22" s="212" customFormat="1" ht="15.5" x14ac:dyDescent="0.35">
      <c r="A2181" s="198">
        <v>2049</v>
      </c>
      <c r="B2181" s="197" t="s">
        <v>5833</v>
      </c>
      <c r="C2181" s="197">
        <v>1997</v>
      </c>
      <c r="D2181" s="225" t="str">
        <f t="shared" si="14"/>
        <v>2049_1997</v>
      </c>
      <c r="E2181" s="1226">
        <v>0.10843646281325101</v>
      </c>
      <c r="F2181" s="1257">
        <v>2.49894506724027E-3</v>
      </c>
      <c r="G2181" s="1280">
        <v>5.1039121597004203E-2</v>
      </c>
      <c r="H2181" s="1271">
        <v>0.25006794489262402</v>
      </c>
      <c r="I2181" s="1257">
        <v>1.6003014531304802E-2</v>
      </c>
      <c r="J2181" s="1280">
        <v>0.15725315904253701</v>
      </c>
      <c r="K2181" s="1271">
        <v>2.2987253934440899E-2</v>
      </c>
      <c r="L2181" s="1257">
        <v>1.14152224330179E-3</v>
      </c>
      <c r="M2181" s="1280">
        <v>1.3073179421498601E-2</v>
      </c>
      <c r="N2181" s="1271">
        <v>3.0000008598028201E-3</v>
      </c>
      <c r="O2181" s="1257">
        <v>2.0000005732018801E-3</v>
      </c>
      <c r="P2181" s="1257">
        <v>3.0000008598028201E-3</v>
      </c>
      <c r="Q2181" s="1280">
        <v>3.0000008598028201E-3</v>
      </c>
      <c r="R2181" s="1271">
        <v>3.1850009128239903E-2</v>
      </c>
      <c r="S2181" s="1257">
        <v>3.1850009128239903E-2</v>
      </c>
      <c r="T2181" s="1257">
        <v>3.1850009128239903E-2</v>
      </c>
      <c r="U2181" s="1280">
        <v>1.5925004564119952E-2</v>
      </c>
      <c r="V2181" s="1293">
        <v>2.4026635552927701E-2</v>
      </c>
    </row>
    <row r="2182" spans="1:22" s="212" customFormat="1" ht="15.5" x14ac:dyDescent="0.35">
      <c r="A2182" s="198">
        <v>2049</v>
      </c>
      <c r="B2182" s="197" t="s">
        <v>5833</v>
      </c>
      <c r="C2182" s="197">
        <v>1998</v>
      </c>
      <c r="D2182" s="225" t="str">
        <f t="shared" si="14"/>
        <v>2049_1998</v>
      </c>
      <c r="E2182" s="1226">
        <v>0.10843646281325101</v>
      </c>
      <c r="F2182" s="1257">
        <v>2.49894506724027E-3</v>
      </c>
      <c r="G2182" s="1280">
        <v>5.1039121597004203E-2</v>
      </c>
      <c r="H2182" s="1271">
        <v>0.25006794489262402</v>
      </c>
      <c r="I2182" s="1257">
        <v>1.6003014531304802E-2</v>
      </c>
      <c r="J2182" s="1280">
        <v>0.15725315904253701</v>
      </c>
      <c r="K2182" s="1271">
        <v>2.2987253934440899E-2</v>
      </c>
      <c r="L2182" s="1257">
        <v>1.14152224330179E-3</v>
      </c>
      <c r="M2182" s="1280">
        <v>1.3073179421498601E-2</v>
      </c>
      <c r="N2182" s="1271">
        <v>3.0000008598028201E-3</v>
      </c>
      <c r="O2182" s="1257">
        <v>2.0000005732018801E-3</v>
      </c>
      <c r="P2182" s="1257">
        <v>3.0000008598028201E-3</v>
      </c>
      <c r="Q2182" s="1280">
        <v>3.0000008598028201E-3</v>
      </c>
      <c r="R2182" s="1271">
        <v>3.1850009128239903E-2</v>
      </c>
      <c r="S2182" s="1257">
        <v>3.1850009128239903E-2</v>
      </c>
      <c r="T2182" s="1257">
        <v>3.1850009128239903E-2</v>
      </c>
      <c r="U2182" s="1280">
        <v>1.5925004564119952E-2</v>
      </c>
      <c r="V2182" s="1293">
        <v>2.4026635552927701E-2</v>
      </c>
    </row>
    <row r="2183" spans="1:22" s="212" customFormat="1" ht="15.5" x14ac:dyDescent="0.35">
      <c r="A2183" s="198">
        <v>2049</v>
      </c>
      <c r="B2183" s="197" t="s">
        <v>5833</v>
      </c>
      <c r="C2183" s="197">
        <v>1999</v>
      </c>
      <c r="D2183" s="225" t="str">
        <f t="shared" si="14"/>
        <v>2049_1999</v>
      </c>
      <c r="E2183" s="1226">
        <v>0.10843646281325101</v>
      </c>
      <c r="F2183" s="1257">
        <v>2.49894506724027E-3</v>
      </c>
      <c r="G2183" s="1280">
        <v>5.1039121597004203E-2</v>
      </c>
      <c r="H2183" s="1271">
        <v>0.25006794489262402</v>
      </c>
      <c r="I2183" s="1257">
        <v>1.6003014531304802E-2</v>
      </c>
      <c r="J2183" s="1280">
        <v>0.15725315904253701</v>
      </c>
      <c r="K2183" s="1271">
        <v>2.2987253934440899E-2</v>
      </c>
      <c r="L2183" s="1257">
        <v>1.14152224330179E-3</v>
      </c>
      <c r="M2183" s="1280">
        <v>1.3073179421498601E-2</v>
      </c>
      <c r="N2183" s="1271">
        <v>3.0000008598028201E-3</v>
      </c>
      <c r="O2183" s="1257">
        <v>2.0000005732018801E-3</v>
      </c>
      <c r="P2183" s="1257">
        <v>3.0000008598028201E-3</v>
      </c>
      <c r="Q2183" s="1280">
        <v>3.0000008598028201E-3</v>
      </c>
      <c r="R2183" s="1271">
        <v>3.1850009128239903E-2</v>
      </c>
      <c r="S2183" s="1257">
        <v>3.1850009128239903E-2</v>
      </c>
      <c r="T2183" s="1257">
        <v>3.1850009128239903E-2</v>
      </c>
      <c r="U2183" s="1280">
        <v>1.5925004564119952E-2</v>
      </c>
      <c r="V2183" s="1293">
        <v>2.4026635552927701E-2</v>
      </c>
    </row>
    <row r="2184" spans="1:22" s="212" customFormat="1" ht="15.5" x14ac:dyDescent="0.35">
      <c r="A2184" s="198">
        <v>2049</v>
      </c>
      <c r="B2184" s="197" t="s">
        <v>5833</v>
      </c>
      <c r="C2184" s="197">
        <v>2000</v>
      </c>
      <c r="D2184" s="225" t="str">
        <f t="shared" si="14"/>
        <v>2049_2000</v>
      </c>
      <c r="E2184" s="1226">
        <v>0.10843646281325101</v>
      </c>
      <c r="F2184" s="1257">
        <v>2.49894506724027E-3</v>
      </c>
      <c r="G2184" s="1280">
        <v>5.1039121597004203E-2</v>
      </c>
      <c r="H2184" s="1271">
        <v>0.25006794489262402</v>
      </c>
      <c r="I2184" s="1257">
        <v>1.6003014531304802E-2</v>
      </c>
      <c r="J2184" s="1280">
        <v>0.15725315904253701</v>
      </c>
      <c r="K2184" s="1271">
        <v>2.2987253934440899E-2</v>
      </c>
      <c r="L2184" s="1257">
        <v>1.14152224330179E-3</v>
      </c>
      <c r="M2184" s="1280">
        <v>1.3073179421498601E-2</v>
      </c>
      <c r="N2184" s="1271">
        <v>3.0000008598028201E-3</v>
      </c>
      <c r="O2184" s="1257">
        <v>2.0000005732018801E-3</v>
      </c>
      <c r="P2184" s="1257">
        <v>3.0000008598028201E-3</v>
      </c>
      <c r="Q2184" s="1280">
        <v>3.0000008598028201E-3</v>
      </c>
      <c r="R2184" s="1271">
        <v>3.1850009128239903E-2</v>
      </c>
      <c r="S2184" s="1257">
        <v>3.1850009128239903E-2</v>
      </c>
      <c r="T2184" s="1257">
        <v>3.1850009128239903E-2</v>
      </c>
      <c r="U2184" s="1280">
        <v>1.5925004564119952E-2</v>
      </c>
      <c r="V2184" s="1293">
        <v>2.4026635552927701E-2</v>
      </c>
    </row>
    <row r="2185" spans="1:22" s="212" customFormat="1" ht="15.5" x14ac:dyDescent="0.35">
      <c r="A2185" s="198">
        <v>2049</v>
      </c>
      <c r="B2185" s="197" t="s">
        <v>5833</v>
      </c>
      <c r="C2185" s="197">
        <v>2001</v>
      </c>
      <c r="D2185" s="225" t="str">
        <f t="shared" si="14"/>
        <v>2049_2001</v>
      </c>
      <c r="E2185" s="1226">
        <v>0.10843646281325101</v>
      </c>
      <c r="F2185" s="1257">
        <v>2.49894506724027E-3</v>
      </c>
      <c r="G2185" s="1280">
        <v>5.1039121597004203E-2</v>
      </c>
      <c r="H2185" s="1271">
        <v>0.25006794489262402</v>
      </c>
      <c r="I2185" s="1257">
        <v>1.6003014531304802E-2</v>
      </c>
      <c r="J2185" s="1280">
        <v>0.15725315904253701</v>
      </c>
      <c r="K2185" s="1271">
        <v>2.2987253934440899E-2</v>
      </c>
      <c r="L2185" s="1257">
        <v>1.14152224330179E-3</v>
      </c>
      <c r="M2185" s="1280">
        <v>1.3073179421498601E-2</v>
      </c>
      <c r="N2185" s="1271">
        <v>3.0000008598028201E-3</v>
      </c>
      <c r="O2185" s="1257">
        <v>2.0000005732018801E-3</v>
      </c>
      <c r="P2185" s="1257">
        <v>3.0000008598028201E-3</v>
      </c>
      <c r="Q2185" s="1280">
        <v>3.0000008598028201E-3</v>
      </c>
      <c r="R2185" s="1271">
        <v>3.1850009128239903E-2</v>
      </c>
      <c r="S2185" s="1257">
        <v>3.1850009128239903E-2</v>
      </c>
      <c r="T2185" s="1257">
        <v>3.1850009128239903E-2</v>
      </c>
      <c r="U2185" s="1280">
        <v>1.5925004564119952E-2</v>
      </c>
      <c r="V2185" s="1293">
        <v>2.4026635552927701E-2</v>
      </c>
    </row>
    <row r="2186" spans="1:22" s="212" customFormat="1" ht="15.5" x14ac:dyDescent="0.35">
      <c r="A2186" s="198">
        <v>2049</v>
      </c>
      <c r="B2186" s="197" t="s">
        <v>5833</v>
      </c>
      <c r="C2186" s="197">
        <v>2002</v>
      </c>
      <c r="D2186" s="225" t="str">
        <f t="shared" si="14"/>
        <v>2049_2002</v>
      </c>
      <c r="E2186" s="1226">
        <v>0.10843646281325101</v>
      </c>
      <c r="F2186" s="1257">
        <v>2.49894506724027E-3</v>
      </c>
      <c r="G2186" s="1280">
        <v>5.1039121597004203E-2</v>
      </c>
      <c r="H2186" s="1271">
        <v>0.25006794489262402</v>
      </c>
      <c r="I2186" s="1257">
        <v>1.6003014531304802E-2</v>
      </c>
      <c r="J2186" s="1280">
        <v>0.15725315904253701</v>
      </c>
      <c r="K2186" s="1271">
        <v>2.2987253934440899E-2</v>
      </c>
      <c r="L2186" s="1257">
        <v>1.14152224330179E-3</v>
      </c>
      <c r="M2186" s="1280">
        <v>1.3073179421498601E-2</v>
      </c>
      <c r="N2186" s="1271">
        <v>3.0000008598028201E-3</v>
      </c>
      <c r="O2186" s="1257">
        <v>2.0000005732018801E-3</v>
      </c>
      <c r="P2186" s="1257">
        <v>3.0000008598028201E-3</v>
      </c>
      <c r="Q2186" s="1280">
        <v>3.0000008598028201E-3</v>
      </c>
      <c r="R2186" s="1271">
        <v>3.1850009128239903E-2</v>
      </c>
      <c r="S2186" s="1257">
        <v>3.1850009128239903E-2</v>
      </c>
      <c r="T2186" s="1257">
        <v>3.1850009128239903E-2</v>
      </c>
      <c r="U2186" s="1280">
        <v>1.5925004564119952E-2</v>
      </c>
      <c r="V2186" s="1293">
        <v>2.4026635552927701E-2</v>
      </c>
    </row>
    <row r="2187" spans="1:22" s="212" customFormat="1" ht="15.5" x14ac:dyDescent="0.35">
      <c r="A2187" s="198">
        <v>2049</v>
      </c>
      <c r="B2187" s="197" t="s">
        <v>5833</v>
      </c>
      <c r="C2187" s="197">
        <v>2003</v>
      </c>
      <c r="D2187" s="225" t="str">
        <f t="shared" si="14"/>
        <v>2049_2003</v>
      </c>
      <c r="E2187" s="1226">
        <v>0.10843646281325101</v>
      </c>
      <c r="F2187" s="1257">
        <v>2.49894506724027E-3</v>
      </c>
      <c r="G2187" s="1280">
        <v>5.1039121597004203E-2</v>
      </c>
      <c r="H2187" s="1271">
        <v>0.25006794489262402</v>
      </c>
      <c r="I2187" s="1257">
        <v>1.6003014531304802E-2</v>
      </c>
      <c r="J2187" s="1280">
        <v>0.15725315904253701</v>
      </c>
      <c r="K2187" s="1271">
        <v>2.2987253934440899E-2</v>
      </c>
      <c r="L2187" s="1257">
        <v>1.14152224330179E-3</v>
      </c>
      <c r="M2187" s="1280">
        <v>1.3073179421498601E-2</v>
      </c>
      <c r="N2187" s="1271">
        <v>3.0000008598028201E-3</v>
      </c>
      <c r="O2187" s="1257">
        <v>2.0000005732018801E-3</v>
      </c>
      <c r="P2187" s="1257">
        <v>3.0000008598028201E-3</v>
      </c>
      <c r="Q2187" s="1280">
        <v>3.0000008598028201E-3</v>
      </c>
      <c r="R2187" s="1271">
        <v>3.1850009128239903E-2</v>
      </c>
      <c r="S2187" s="1257">
        <v>3.1850009128239903E-2</v>
      </c>
      <c r="T2187" s="1257">
        <v>3.1850009128239903E-2</v>
      </c>
      <c r="U2187" s="1280">
        <v>1.5925004564119952E-2</v>
      </c>
      <c r="V2187" s="1293">
        <v>2.4026635552927701E-2</v>
      </c>
    </row>
    <row r="2188" spans="1:22" s="212" customFormat="1" ht="15.5" x14ac:dyDescent="0.35">
      <c r="A2188" s="198">
        <v>2049</v>
      </c>
      <c r="B2188" s="197" t="s">
        <v>5833</v>
      </c>
      <c r="C2188" s="197">
        <v>2004</v>
      </c>
      <c r="D2188" s="225" t="str">
        <f t="shared" si="14"/>
        <v>2049_2004</v>
      </c>
      <c r="E2188" s="1226">
        <v>0.10843646281325101</v>
      </c>
      <c r="F2188" s="1257">
        <v>2.49894506724027E-3</v>
      </c>
      <c r="G2188" s="1280">
        <v>5.1039121597004203E-2</v>
      </c>
      <c r="H2188" s="1271">
        <v>0.25006794489262402</v>
      </c>
      <c r="I2188" s="1257">
        <v>1.6003014531304802E-2</v>
      </c>
      <c r="J2188" s="1280">
        <v>0.15725315904253701</v>
      </c>
      <c r="K2188" s="1271">
        <v>2.2987253934440899E-2</v>
      </c>
      <c r="L2188" s="1257">
        <v>1.14152224330179E-3</v>
      </c>
      <c r="M2188" s="1280">
        <v>1.3073179421498601E-2</v>
      </c>
      <c r="N2188" s="1271">
        <v>3.0000008598028201E-3</v>
      </c>
      <c r="O2188" s="1257">
        <v>2.0000005732018801E-3</v>
      </c>
      <c r="P2188" s="1257">
        <v>3.0000008598028201E-3</v>
      </c>
      <c r="Q2188" s="1280">
        <v>3.0000008598028201E-3</v>
      </c>
      <c r="R2188" s="1271">
        <v>3.1850009128239903E-2</v>
      </c>
      <c r="S2188" s="1257">
        <v>3.1850009128239903E-2</v>
      </c>
      <c r="T2188" s="1257">
        <v>3.1850009128239903E-2</v>
      </c>
      <c r="U2188" s="1280">
        <v>1.5925004564119952E-2</v>
      </c>
      <c r="V2188" s="1293">
        <v>2.4026635552927701E-2</v>
      </c>
    </row>
    <row r="2189" spans="1:22" s="212" customFormat="1" ht="15.5" x14ac:dyDescent="0.35">
      <c r="A2189" s="198">
        <v>2049</v>
      </c>
      <c r="B2189" s="197" t="s">
        <v>5833</v>
      </c>
      <c r="C2189" s="197">
        <v>2005</v>
      </c>
      <c r="D2189" s="225" t="str">
        <f t="shared" si="14"/>
        <v>2049_2005</v>
      </c>
      <c r="E2189" s="1226">
        <v>0.10843646281325101</v>
      </c>
      <c r="F2189" s="1257">
        <v>2.49894506724027E-3</v>
      </c>
      <c r="G2189" s="1280">
        <v>5.1039121597004203E-2</v>
      </c>
      <c r="H2189" s="1271">
        <v>0.25006794489262402</v>
      </c>
      <c r="I2189" s="1257">
        <v>1.6003014531304802E-2</v>
      </c>
      <c r="J2189" s="1280">
        <v>0.15725315904253701</v>
      </c>
      <c r="K2189" s="1271">
        <v>2.2987253934440899E-2</v>
      </c>
      <c r="L2189" s="1257">
        <v>1.14152224330179E-3</v>
      </c>
      <c r="M2189" s="1280">
        <v>1.3073179421498601E-2</v>
      </c>
      <c r="N2189" s="1271">
        <v>3.0000008598028201E-3</v>
      </c>
      <c r="O2189" s="1257">
        <v>2.0000005732018801E-3</v>
      </c>
      <c r="P2189" s="1257">
        <v>3.0000008598028201E-3</v>
      </c>
      <c r="Q2189" s="1280">
        <v>3.0000008598028201E-3</v>
      </c>
      <c r="R2189" s="1271">
        <v>3.1850009128239903E-2</v>
      </c>
      <c r="S2189" s="1257">
        <v>3.1850009128239903E-2</v>
      </c>
      <c r="T2189" s="1257">
        <v>3.1850009128239903E-2</v>
      </c>
      <c r="U2189" s="1280">
        <v>1.5925004564119952E-2</v>
      </c>
      <c r="V2189" s="1293">
        <v>2.4026635552927701E-2</v>
      </c>
    </row>
    <row r="2190" spans="1:22" s="212" customFormat="1" ht="15.5" x14ac:dyDescent="0.35">
      <c r="A2190" s="198">
        <v>2049</v>
      </c>
      <c r="B2190" s="197" t="s">
        <v>5833</v>
      </c>
      <c r="C2190" s="197">
        <v>2006</v>
      </c>
      <c r="D2190" s="225" t="str">
        <f t="shared" si="14"/>
        <v>2049_2006</v>
      </c>
      <c r="E2190" s="1226">
        <v>0.10843646281325101</v>
      </c>
      <c r="F2190" s="1257">
        <v>2.49894506724027E-3</v>
      </c>
      <c r="G2190" s="1280">
        <v>5.1039121597004203E-2</v>
      </c>
      <c r="H2190" s="1271">
        <v>0.25006794489262402</v>
      </c>
      <c r="I2190" s="1257">
        <v>1.6003014531304802E-2</v>
      </c>
      <c r="J2190" s="1280">
        <v>0.15725315904253701</v>
      </c>
      <c r="K2190" s="1271">
        <v>2.2987253934440899E-2</v>
      </c>
      <c r="L2190" s="1257">
        <v>1.14152224330179E-3</v>
      </c>
      <c r="M2190" s="1280">
        <v>1.3073179421498601E-2</v>
      </c>
      <c r="N2190" s="1271">
        <v>3.0000008598028201E-3</v>
      </c>
      <c r="O2190" s="1257">
        <v>2.0000005732018801E-3</v>
      </c>
      <c r="P2190" s="1257">
        <v>3.0000008598028201E-3</v>
      </c>
      <c r="Q2190" s="1280">
        <v>3.0000008598028201E-3</v>
      </c>
      <c r="R2190" s="1271">
        <v>3.1850009128239903E-2</v>
      </c>
      <c r="S2190" s="1257">
        <v>3.1850009128239903E-2</v>
      </c>
      <c r="T2190" s="1257">
        <v>3.1850009128239903E-2</v>
      </c>
      <c r="U2190" s="1280">
        <v>1.5925004564119952E-2</v>
      </c>
      <c r="V2190" s="1293">
        <v>2.4026635552927701E-2</v>
      </c>
    </row>
    <row r="2191" spans="1:22" s="212" customFormat="1" ht="15.5" x14ac:dyDescent="0.35">
      <c r="A2191" s="198">
        <v>2049</v>
      </c>
      <c r="B2191" s="197" t="s">
        <v>5833</v>
      </c>
      <c r="C2191" s="197">
        <v>2007</v>
      </c>
      <c r="D2191" s="225" t="str">
        <f t="shared" si="14"/>
        <v>2049_2007</v>
      </c>
      <c r="E2191" s="1226">
        <v>0.10843646281325101</v>
      </c>
      <c r="F2191" s="1257">
        <v>2.49894506724027E-3</v>
      </c>
      <c r="G2191" s="1280">
        <v>5.1039121597004203E-2</v>
      </c>
      <c r="H2191" s="1271">
        <v>0.25006794489262402</v>
      </c>
      <c r="I2191" s="1257">
        <v>1.6003014531304802E-2</v>
      </c>
      <c r="J2191" s="1280">
        <v>0.15725315904253701</v>
      </c>
      <c r="K2191" s="1271">
        <v>2.2987253934440899E-2</v>
      </c>
      <c r="L2191" s="1257">
        <v>1.14152224330179E-3</v>
      </c>
      <c r="M2191" s="1280">
        <v>1.3073179421498601E-2</v>
      </c>
      <c r="N2191" s="1271">
        <v>3.0000008598028201E-3</v>
      </c>
      <c r="O2191" s="1257">
        <v>2.0000005732018801E-3</v>
      </c>
      <c r="P2191" s="1257">
        <v>3.0000008598028201E-3</v>
      </c>
      <c r="Q2191" s="1280">
        <v>3.0000008598028201E-3</v>
      </c>
      <c r="R2191" s="1271">
        <v>3.1850009128239903E-2</v>
      </c>
      <c r="S2191" s="1257">
        <v>3.1850009128239903E-2</v>
      </c>
      <c r="T2191" s="1257">
        <v>3.1850009128239903E-2</v>
      </c>
      <c r="U2191" s="1280">
        <v>1.5925004564119952E-2</v>
      </c>
      <c r="V2191" s="1293">
        <v>2.4026635552927701E-2</v>
      </c>
    </row>
    <row r="2192" spans="1:22" s="212" customFormat="1" ht="15.5" x14ac:dyDescent="0.35">
      <c r="A2192" s="198">
        <v>2049</v>
      </c>
      <c r="B2192" s="197" t="s">
        <v>5833</v>
      </c>
      <c r="C2192" s="197">
        <v>2008</v>
      </c>
      <c r="D2192" s="225" t="str">
        <f t="shared" si="14"/>
        <v>2049_2008</v>
      </c>
      <c r="E2192" s="1226">
        <v>0.10843646281325101</v>
      </c>
      <c r="F2192" s="1257">
        <v>2.49894506724027E-3</v>
      </c>
      <c r="G2192" s="1280">
        <v>5.1039121597004203E-2</v>
      </c>
      <c r="H2192" s="1271">
        <v>0.25006794489262402</v>
      </c>
      <c r="I2192" s="1257">
        <v>1.6003014531304802E-2</v>
      </c>
      <c r="J2192" s="1280">
        <v>0.15725315904253701</v>
      </c>
      <c r="K2192" s="1271">
        <v>2.2987253934440899E-2</v>
      </c>
      <c r="L2192" s="1257">
        <v>1.14152224330179E-3</v>
      </c>
      <c r="M2192" s="1280">
        <v>1.3073179421498601E-2</v>
      </c>
      <c r="N2192" s="1271">
        <v>3.0000008598028201E-3</v>
      </c>
      <c r="O2192" s="1257">
        <v>2.0000005732018801E-3</v>
      </c>
      <c r="P2192" s="1257">
        <v>3.0000008598028201E-3</v>
      </c>
      <c r="Q2192" s="1280">
        <v>3.0000008598028201E-3</v>
      </c>
      <c r="R2192" s="1271">
        <v>3.1850009128239903E-2</v>
      </c>
      <c r="S2192" s="1257">
        <v>3.1850009128239903E-2</v>
      </c>
      <c r="T2192" s="1257">
        <v>3.1850009128239903E-2</v>
      </c>
      <c r="U2192" s="1280">
        <v>1.5925004564119952E-2</v>
      </c>
      <c r="V2192" s="1293">
        <v>2.4026635552927701E-2</v>
      </c>
    </row>
    <row r="2193" spans="1:22" s="212" customFormat="1" ht="15.5" x14ac:dyDescent="0.35">
      <c r="A2193" s="198">
        <v>2049</v>
      </c>
      <c r="B2193" s="197" t="s">
        <v>5833</v>
      </c>
      <c r="C2193" s="197">
        <v>2009</v>
      </c>
      <c r="D2193" s="225" t="str">
        <f t="shared" si="14"/>
        <v>2049_2009</v>
      </c>
      <c r="E2193" s="1226">
        <v>0.10843646281325101</v>
      </c>
      <c r="F2193" s="1257">
        <v>2.49894506724027E-3</v>
      </c>
      <c r="G2193" s="1280">
        <v>5.1039121597004203E-2</v>
      </c>
      <c r="H2193" s="1271">
        <v>0.25006794489262402</v>
      </c>
      <c r="I2193" s="1257">
        <v>1.6003014531304802E-2</v>
      </c>
      <c r="J2193" s="1280">
        <v>0.15725315904253701</v>
      </c>
      <c r="K2193" s="1271">
        <v>2.2987253934440899E-2</v>
      </c>
      <c r="L2193" s="1257">
        <v>1.14152224330179E-3</v>
      </c>
      <c r="M2193" s="1280">
        <v>1.3073179421498601E-2</v>
      </c>
      <c r="N2193" s="1271">
        <v>3.0000008598028201E-3</v>
      </c>
      <c r="O2193" s="1257">
        <v>2.0000005732018801E-3</v>
      </c>
      <c r="P2193" s="1257">
        <v>3.0000008598028201E-3</v>
      </c>
      <c r="Q2193" s="1280">
        <v>3.0000008598028201E-3</v>
      </c>
      <c r="R2193" s="1271">
        <v>3.1850009128239903E-2</v>
      </c>
      <c r="S2193" s="1257">
        <v>3.1850009128239903E-2</v>
      </c>
      <c r="T2193" s="1257">
        <v>3.1850009128239903E-2</v>
      </c>
      <c r="U2193" s="1280">
        <v>1.5925004564119952E-2</v>
      </c>
      <c r="V2193" s="1293">
        <v>2.4026635552927701E-2</v>
      </c>
    </row>
    <row r="2194" spans="1:22" s="212" customFormat="1" ht="15.5" x14ac:dyDescent="0.35">
      <c r="A2194" s="198">
        <v>2049</v>
      </c>
      <c r="B2194" s="197" t="s">
        <v>5833</v>
      </c>
      <c r="C2194" s="197">
        <v>2010</v>
      </c>
      <c r="D2194" s="225" t="str">
        <f t="shared" si="14"/>
        <v>2049_2010</v>
      </c>
      <c r="E2194" s="1226">
        <v>0.10843646281325101</v>
      </c>
      <c r="F2194" s="1257">
        <v>2.49894506724027E-3</v>
      </c>
      <c r="G2194" s="1280">
        <v>5.1039121597004203E-2</v>
      </c>
      <c r="H2194" s="1271">
        <v>0.25006794489262402</v>
      </c>
      <c r="I2194" s="1257">
        <v>1.6003014531304802E-2</v>
      </c>
      <c r="J2194" s="1280">
        <v>0.15725315904253701</v>
      </c>
      <c r="K2194" s="1271">
        <v>2.2987253934440899E-2</v>
      </c>
      <c r="L2194" s="1257">
        <v>1.14152224330179E-3</v>
      </c>
      <c r="M2194" s="1280">
        <v>1.3073179421498601E-2</v>
      </c>
      <c r="N2194" s="1271">
        <v>3.0000008598028201E-3</v>
      </c>
      <c r="O2194" s="1257">
        <v>2.0000005732018801E-3</v>
      </c>
      <c r="P2194" s="1257">
        <v>3.0000008598028201E-3</v>
      </c>
      <c r="Q2194" s="1280">
        <v>3.0000008598028201E-3</v>
      </c>
      <c r="R2194" s="1271">
        <v>3.1850009128239903E-2</v>
      </c>
      <c r="S2194" s="1257">
        <v>3.1850009128239903E-2</v>
      </c>
      <c r="T2194" s="1257">
        <v>3.1850009128239903E-2</v>
      </c>
      <c r="U2194" s="1280">
        <v>1.5925004564119952E-2</v>
      </c>
      <c r="V2194" s="1293">
        <v>2.4026635552927701E-2</v>
      </c>
    </row>
    <row r="2195" spans="1:22" s="212" customFormat="1" ht="15.5" x14ac:dyDescent="0.35">
      <c r="A2195" s="198">
        <v>2049</v>
      </c>
      <c r="B2195" s="197" t="s">
        <v>5833</v>
      </c>
      <c r="C2195" s="197">
        <v>2011</v>
      </c>
      <c r="D2195" s="225" t="str">
        <f t="shared" si="14"/>
        <v>2049_2011</v>
      </c>
      <c r="E2195" s="1226">
        <v>0.10843646281325101</v>
      </c>
      <c r="F2195" s="1257">
        <v>2.49894506724027E-3</v>
      </c>
      <c r="G2195" s="1280">
        <v>5.1039121597004203E-2</v>
      </c>
      <c r="H2195" s="1271">
        <v>0.25006794489262402</v>
      </c>
      <c r="I2195" s="1257">
        <v>1.6003014531304802E-2</v>
      </c>
      <c r="J2195" s="1280">
        <v>0.15725315904253701</v>
      </c>
      <c r="K2195" s="1271">
        <v>2.2987253934440899E-2</v>
      </c>
      <c r="L2195" s="1257">
        <v>1.14152224330179E-3</v>
      </c>
      <c r="M2195" s="1280">
        <v>1.3073179421498601E-2</v>
      </c>
      <c r="N2195" s="1271">
        <v>3.0000008598028201E-3</v>
      </c>
      <c r="O2195" s="1257">
        <v>2.0000005732018801E-3</v>
      </c>
      <c r="P2195" s="1257">
        <v>3.0000008598028201E-3</v>
      </c>
      <c r="Q2195" s="1280">
        <v>3.0000008598028201E-3</v>
      </c>
      <c r="R2195" s="1271">
        <v>3.1850009128239903E-2</v>
      </c>
      <c r="S2195" s="1257">
        <v>3.1850009128239903E-2</v>
      </c>
      <c r="T2195" s="1257">
        <v>3.1850009128239903E-2</v>
      </c>
      <c r="U2195" s="1280">
        <v>1.5925004564119952E-2</v>
      </c>
      <c r="V2195" s="1293">
        <v>2.4026635552927701E-2</v>
      </c>
    </row>
    <row r="2196" spans="1:22" s="212" customFormat="1" ht="15.5" x14ac:dyDescent="0.35">
      <c r="A2196" s="198">
        <v>2049</v>
      </c>
      <c r="B2196" s="197" t="s">
        <v>5833</v>
      </c>
      <c r="C2196" s="197">
        <v>2012</v>
      </c>
      <c r="D2196" s="225" t="str">
        <f t="shared" si="14"/>
        <v>2049_2012</v>
      </c>
      <c r="E2196" s="1226">
        <v>0.10843646281325101</v>
      </c>
      <c r="F2196" s="1257">
        <v>2.49894506724027E-3</v>
      </c>
      <c r="G2196" s="1280">
        <v>5.1039121597004203E-2</v>
      </c>
      <c r="H2196" s="1271">
        <v>0.25006794489262402</v>
      </c>
      <c r="I2196" s="1257">
        <v>1.6003014531304802E-2</v>
      </c>
      <c r="J2196" s="1280">
        <v>0.15725315904253701</v>
      </c>
      <c r="K2196" s="1271">
        <v>2.2987253934440899E-2</v>
      </c>
      <c r="L2196" s="1257">
        <v>1.14152224330179E-3</v>
      </c>
      <c r="M2196" s="1280">
        <v>1.3073179421498601E-2</v>
      </c>
      <c r="N2196" s="1271">
        <v>3.0000008598028201E-3</v>
      </c>
      <c r="O2196" s="1257">
        <v>2.0000005732018801E-3</v>
      </c>
      <c r="P2196" s="1257">
        <v>3.0000008598028201E-3</v>
      </c>
      <c r="Q2196" s="1280">
        <v>3.0000008598028201E-3</v>
      </c>
      <c r="R2196" s="1271">
        <v>3.1850009128239903E-2</v>
      </c>
      <c r="S2196" s="1257">
        <v>3.1850009128239903E-2</v>
      </c>
      <c r="T2196" s="1257">
        <v>3.1850009128239903E-2</v>
      </c>
      <c r="U2196" s="1280">
        <v>1.5925004564119952E-2</v>
      </c>
      <c r="V2196" s="1293">
        <v>2.4026635552927701E-2</v>
      </c>
    </row>
    <row r="2197" spans="1:22" s="212" customFormat="1" ht="15.5" x14ac:dyDescent="0.35">
      <c r="A2197" s="198">
        <v>2049</v>
      </c>
      <c r="B2197" s="197" t="s">
        <v>5833</v>
      </c>
      <c r="C2197" s="197">
        <v>2013</v>
      </c>
      <c r="D2197" s="225" t="str">
        <f t="shared" si="14"/>
        <v>2049_2013</v>
      </c>
      <c r="E2197" s="1226">
        <v>0.10843646281325101</v>
      </c>
      <c r="F2197" s="1257">
        <v>2.49894506724027E-3</v>
      </c>
      <c r="G2197" s="1280">
        <v>5.1039121597004203E-2</v>
      </c>
      <c r="H2197" s="1271">
        <v>0.25006794489262402</v>
      </c>
      <c r="I2197" s="1257">
        <v>1.6003014531304802E-2</v>
      </c>
      <c r="J2197" s="1280">
        <v>0.15725315904253701</v>
      </c>
      <c r="K2197" s="1271">
        <v>2.2987253934440899E-2</v>
      </c>
      <c r="L2197" s="1257">
        <v>1.14152224330179E-3</v>
      </c>
      <c r="M2197" s="1280">
        <v>1.3073179421498601E-2</v>
      </c>
      <c r="N2197" s="1271">
        <v>3.0000008598028201E-3</v>
      </c>
      <c r="O2197" s="1257">
        <v>2.0000005732018801E-3</v>
      </c>
      <c r="P2197" s="1257">
        <v>3.0000008598028201E-3</v>
      </c>
      <c r="Q2197" s="1280">
        <v>3.0000008598028201E-3</v>
      </c>
      <c r="R2197" s="1271">
        <v>3.1850009128239903E-2</v>
      </c>
      <c r="S2197" s="1257">
        <v>3.1850009128239903E-2</v>
      </c>
      <c r="T2197" s="1257">
        <v>3.1850009128239903E-2</v>
      </c>
      <c r="U2197" s="1280">
        <v>1.5925004564119952E-2</v>
      </c>
      <c r="V2197" s="1293">
        <v>2.4026635552927701E-2</v>
      </c>
    </row>
    <row r="2198" spans="1:22" s="212" customFormat="1" ht="15.5" x14ac:dyDescent="0.35">
      <c r="A2198" s="198">
        <v>2049</v>
      </c>
      <c r="B2198" s="197" t="s">
        <v>5833</v>
      </c>
      <c r="C2198" s="197">
        <v>2014</v>
      </c>
      <c r="D2198" s="225" t="str">
        <f t="shared" si="14"/>
        <v>2049_2014</v>
      </c>
      <c r="E2198" s="1226">
        <v>0.10843646281325101</v>
      </c>
      <c r="F2198" s="1257">
        <v>2.49894506724027E-3</v>
      </c>
      <c r="G2198" s="1280">
        <v>5.1039121597004203E-2</v>
      </c>
      <c r="H2198" s="1271">
        <v>0.25006794489262402</v>
      </c>
      <c r="I2198" s="1257">
        <v>1.6003014531304802E-2</v>
      </c>
      <c r="J2198" s="1280">
        <v>0.15725315904253701</v>
      </c>
      <c r="K2198" s="1271">
        <v>2.2987253934440899E-2</v>
      </c>
      <c r="L2198" s="1257">
        <v>1.14152224330179E-3</v>
      </c>
      <c r="M2198" s="1280">
        <v>1.3073179421498601E-2</v>
      </c>
      <c r="N2198" s="1271">
        <v>3.0000008598028201E-3</v>
      </c>
      <c r="O2198" s="1257">
        <v>2.0000005732018801E-3</v>
      </c>
      <c r="P2198" s="1257">
        <v>3.0000008598028201E-3</v>
      </c>
      <c r="Q2198" s="1280">
        <v>3.0000008598028201E-3</v>
      </c>
      <c r="R2198" s="1271">
        <v>3.1850009128239903E-2</v>
      </c>
      <c r="S2198" s="1257">
        <v>3.1850009128239903E-2</v>
      </c>
      <c r="T2198" s="1257">
        <v>3.1850009128239903E-2</v>
      </c>
      <c r="U2198" s="1280">
        <v>1.5925004564119952E-2</v>
      </c>
      <c r="V2198" s="1293">
        <v>2.4026635552927701E-2</v>
      </c>
    </row>
    <row r="2199" spans="1:22" s="212" customFormat="1" ht="15.5" x14ac:dyDescent="0.35">
      <c r="A2199" s="198">
        <v>2049</v>
      </c>
      <c r="B2199" s="197" t="s">
        <v>5833</v>
      </c>
      <c r="C2199" s="197">
        <v>2015</v>
      </c>
      <c r="D2199" s="225" t="str">
        <f t="shared" si="14"/>
        <v>2049_2015</v>
      </c>
      <c r="E2199" s="1226">
        <v>0.10843646281325101</v>
      </c>
      <c r="F2199" s="1257">
        <v>2.49894506724027E-3</v>
      </c>
      <c r="G2199" s="1280">
        <v>5.1039121597004203E-2</v>
      </c>
      <c r="H2199" s="1271">
        <v>0.25006794489262402</v>
      </c>
      <c r="I2199" s="1257">
        <v>1.6003014531304802E-2</v>
      </c>
      <c r="J2199" s="1280">
        <v>0.15725315904253701</v>
      </c>
      <c r="K2199" s="1271">
        <v>2.2987253934440899E-2</v>
      </c>
      <c r="L2199" s="1257">
        <v>1.14152224330179E-3</v>
      </c>
      <c r="M2199" s="1280">
        <v>1.3073179421498601E-2</v>
      </c>
      <c r="N2199" s="1271">
        <v>3.0000008598028201E-3</v>
      </c>
      <c r="O2199" s="1257">
        <v>2.0000005732018801E-3</v>
      </c>
      <c r="P2199" s="1257">
        <v>3.0000008598028201E-3</v>
      </c>
      <c r="Q2199" s="1280">
        <v>3.0000008598028201E-3</v>
      </c>
      <c r="R2199" s="1271">
        <v>3.1850009128239903E-2</v>
      </c>
      <c r="S2199" s="1257">
        <v>3.1850009128239903E-2</v>
      </c>
      <c r="T2199" s="1257">
        <v>3.1850009128239903E-2</v>
      </c>
      <c r="U2199" s="1280">
        <v>1.5925004564119952E-2</v>
      </c>
      <c r="V2199" s="1293">
        <v>2.4026635552927701E-2</v>
      </c>
    </row>
    <row r="2200" spans="1:22" s="212" customFormat="1" ht="15.5" x14ac:dyDescent="0.35">
      <c r="A2200" s="198">
        <v>2049</v>
      </c>
      <c r="B2200" s="197" t="s">
        <v>5833</v>
      </c>
      <c r="C2200" s="197">
        <v>2016</v>
      </c>
      <c r="D2200" s="225" t="str">
        <f t="shared" si="14"/>
        <v>2049_2016</v>
      </c>
      <c r="E2200" s="1226">
        <v>0.10843646281325101</v>
      </c>
      <c r="F2200" s="1257">
        <v>2.49894506724027E-3</v>
      </c>
      <c r="G2200" s="1280">
        <v>5.1039121597004203E-2</v>
      </c>
      <c r="H2200" s="1271">
        <v>0.25006794489262402</v>
      </c>
      <c r="I2200" s="1257">
        <v>1.6003014531304802E-2</v>
      </c>
      <c r="J2200" s="1280">
        <v>0.15725315904253701</v>
      </c>
      <c r="K2200" s="1271">
        <v>2.2987253934440899E-2</v>
      </c>
      <c r="L2200" s="1257">
        <v>1.14152224330179E-3</v>
      </c>
      <c r="M2200" s="1280">
        <v>1.3073179421498601E-2</v>
      </c>
      <c r="N2200" s="1271">
        <v>3.0000008598028201E-3</v>
      </c>
      <c r="O2200" s="1257">
        <v>2.0000005732018801E-3</v>
      </c>
      <c r="P2200" s="1257">
        <v>3.0000008598028201E-3</v>
      </c>
      <c r="Q2200" s="1280">
        <v>3.0000008598028201E-3</v>
      </c>
      <c r="R2200" s="1271">
        <v>3.1850009128239903E-2</v>
      </c>
      <c r="S2200" s="1257">
        <v>3.1850009128239903E-2</v>
      </c>
      <c r="T2200" s="1257">
        <v>3.1850009128239903E-2</v>
      </c>
      <c r="U2200" s="1280">
        <v>1.5925004564119952E-2</v>
      </c>
      <c r="V2200" s="1293">
        <v>2.4026635552927701E-2</v>
      </c>
    </row>
    <row r="2201" spans="1:22" s="212" customFormat="1" ht="15.5" x14ac:dyDescent="0.35">
      <c r="A2201" s="198">
        <v>2049</v>
      </c>
      <c r="B2201" s="197" t="s">
        <v>5833</v>
      </c>
      <c r="C2201" s="197">
        <v>2017</v>
      </c>
      <c r="D2201" s="225" t="str">
        <f t="shared" si="14"/>
        <v>2049_2017</v>
      </c>
      <c r="E2201" s="1226">
        <v>0.10843646281325101</v>
      </c>
      <c r="F2201" s="1257">
        <v>2.49894506724027E-3</v>
      </c>
      <c r="G2201" s="1280">
        <v>5.1039121597004203E-2</v>
      </c>
      <c r="H2201" s="1271">
        <v>0.25006794489262402</v>
      </c>
      <c r="I2201" s="1257">
        <v>1.6003014531304802E-2</v>
      </c>
      <c r="J2201" s="1280">
        <v>0.15725315904253701</v>
      </c>
      <c r="K2201" s="1271">
        <v>2.2987253934440899E-2</v>
      </c>
      <c r="L2201" s="1257">
        <v>1.14152224330179E-3</v>
      </c>
      <c r="M2201" s="1280">
        <v>1.3073179421498601E-2</v>
      </c>
      <c r="N2201" s="1271">
        <v>3.0000008598028201E-3</v>
      </c>
      <c r="O2201" s="1257">
        <v>2.0000005732018801E-3</v>
      </c>
      <c r="P2201" s="1257">
        <v>3.0000008598028201E-3</v>
      </c>
      <c r="Q2201" s="1280">
        <v>3.0000008598028201E-3</v>
      </c>
      <c r="R2201" s="1271">
        <v>3.1850009128239903E-2</v>
      </c>
      <c r="S2201" s="1257">
        <v>3.1850009128239903E-2</v>
      </c>
      <c r="T2201" s="1257">
        <v>3.1850009128239903E-2</v>
      </c>
      <c r="U2201" s="1280">
        <v>1.5925004564119952E-2</v>
      </c>
      <c r="V2201" s="1293">
        <v>2.4026635552927701E-2</v>
      </c>
    </row>
    <row r="2202" spans="1:22" s="212" customFormat="1" ht="15.5" x14ac:dyDescent="0.35">
      <c r="A2202" s="198">
        <v>2049</v>
      </c>
      <c r="B2202" s="197" t="s">
        <v>5833</v>
      </c>
      <c r="C2202" s="197">
        <v>2018</v>
      </c>
      <c r="D2202" s="225" t="str">
        <f t="shared" si="14"/>
        <v>2049_2018</v>
      </c>
      <c r="E2202" s="1226">
        <v>0.10843646281325101</v>
      </c>
      <c r="F2202" s="1257">
        <v>2.49894506724027E-3</v>
      </c>
      <c r="G2202" s="1280">
        <v>5.1039121597004203E-2</v>
      </c>
      <c r="H2202" s="1271">
        <v>0.25006794489262402</v>
      </c>
      <c r="I2202" s="1257">
        <v>1.6003014531304802E-2</v>
      </c>
      <c r="J2202" s="1280">
        <v>0.15725315904253701</v>
      </c>
      <c r="K2202" s="1271">
        <v>2.2987253934440899E-2</v>
      </c>
      <c r="L2202" s="1257">
        <v>1.14152224330179E-3</v>
      </c>
      <c r="M2202" s="1280">
        <v>1.3073179421498601E-2</v>
      </c>
      <c r="N2202" s="1271">
        <v>3.0000008598028201E-3</v>
      </c>
      <c r="O2202" s="1257">
        <v>2.0000005732018801E-3</v>
      </c>
      <c r="P2202" s="1257">
        <v>3.0000008598028201E-3</v>
      </c>
      <c r="Q2202" s="1280">
        <v>3.0000008598028201E-3</v>
      </c>
      <c r="R2202" s="1271">
        <v>3.1850009128239903E-2</v>
      </c>
      <c r="S2202" s="1257">
        <v>3.1850009128239903E-2</v>
      </c>
      <c r="T2202" s="1257">
        <v>3.1850009128239903E-2</v>
      </c>
      <c r="U2202" s="1280">
        <v>1.5925004564119952E-2</v>
      </c>
      <c r="V2202" s="1293">
        <v>2.4026635552927701E-2</v>
      </c>
    </row>
    <row r="2203" spans="1:22" s="212" customFormat="1" ht="15.5" x14ac:dyDescent="0.35">
      <c r="A2203" s="198">
        <v>2049</v>
      </c>
      <c r="B2203" s="197" t="s">
        <v>5833</v>
      </c>
      <c r="C2203" s="197">
        <v>2019</v>
      </c>
      <c r="D2203" s="225" t="str">
        <f t="shared" si="14"/>
        <v>2049_2019</v>
      </c>
      <c r="E2203" s="1226">
        <v>0.10843646281325101</v>
      </c>
      <c r="F2203" s="1257">
        <v>2.49894506724027E-3</v>
      </c>
      <c r="G2203" s="1280">
        <v>5.1039121597004203E-2</v>
      </c>
      <c r="H2203" s="1271">
        <v>0.25006794489262402</v>
      </c>
      <c r="I2203" s="1257">
        <v>1.6003014531304802E-2</v>
      </c>
      <c r="J2203" s="1280">
        <v>0.15725315904253701</v>
      </c>
      <c r="K2203" s="1271">
        <v>2.2987253934440899E-2</v>
      </c>
      <c r="L2203" s="1257">
        <v>1.14152224330179E-3</v>
      </c>
      <c r="M2203" s="1280">
        <v>1.3073179421498601E-2</v>
      </c>
      <c r="N2203" s="1271">
        <v>3.0000008598028201E-3</v>
      </c>
      <c r="O2203" s="1257">
        <v>2.0000005732018801E-3</v>
      </c>
      <c r="P2203" s="1257">
        <v>3.0000008598028201E-3</v>
      </c>
      <c r="Q2203" s="1280">
        <v>3.0000008598028201E-3</v>
      </c>
      <c r="R2203" s="1271">
        <v>3.1850009128239903E-2</v>
      </c>
      <c r="S2203" s="1257">
        <v>3.1850009128239903E-2</v>
      </c>
      <c r="T2203" s="1257">
        <v>3.1850009128239903E-2</v>
      </c>
      <c r="U2203" s="1280">
        <v>1.5925004564119952E-2</v>
      </c>
      <c r="V2203" s="1293">
        <v>2.4026635552927701E-2</v>
      </c>
    </row>
    <row r="2204" spans="1:22" s="212" customFormat="1" ht="15.5" x14ac:dyDescent="0.35">
      <c r="A2204" s="198">
        <v>2049</v>
      </c>
      <c r="B2204" s="197" t="s">
        <v>5833</v>
      </c>
      <c r="C2204" s="197">
        <v>2020</v>
      </c>
      <c r="D2204" s="225" t="str">
        <f t="shared" si="14"/>
        <v>2049_2020</v>
      </c>
      <c r="E2204" s="1226">
        <v>0.10843646281325101</v>
      </c>
      <c r="F2204" s="1257">
        <v>2.49894506724027E-3</v>
      </c>
      <c r="G2204" s="1280">
        <v>5.1039121597004203E-2</v>
      </c>
      <c r="H2204" s="1271">
        <v>0.25006794489262402</v>
      </c>
      <c r="I2204" s="1257">
        <v>1.6003014531304802E-2</v>
      </c>
      <c r="J2204" s="1280">
        <v>0.15725315904253701</v>
      </c>
      <c r="K2204" s="1271">
        <v>2.2987253934440899E-2</v>
      </c>
      <c r="L2204" s="1257">
        <v>1.14152224330179E-3</v>
      </c>
      <c r="M2204" s="1280">
        <v>1.3073179421498601E-2</v>
      </c>
      <c r="N2204" s="1271">
        <v>3.0000008598028201E-3</v>
      </c>
      <c r="O2204" s="1257">
        <v>2.0000005732018801E-3</v>
      </c>
      <c r="P2204" s="1257">
        <v>3.0000008598028201E-3</v>
      </c>
      <c r="Q2204" s="1280">
        <v>3.0000008598028201E-3</v>
      </c>
      <c r="R2204" s="1271">
        <v>3.1850009128239903E-2</v>
      </c>
      <c r="S2204" s="1257">
        <v>3.1850009128239903E-2</v>
      </c>
      <c r="T2204" s="1257">
        <v>3.1850009128239903E-2</v>
      </c>
      <c r="U2204" s="1280">
        <v>1.5925004564119952E-2</v>
      </c>
      <c r="V2204" s="1293">
        <v>2.4026635552927701E-2</v>
      </c>
    </row>
    <row r="2205" spans="1:22" s="212" customFormat="1" ht="15.5" x14ac:dyDescent="0.35">
      <c r="A2205" s="198">
        <v>2049</v>
      </c>
      <c r="B2205" s="197" t="s">
        <v>5833</v>
      </c>
      <c r="C2205" s="197">
        <v>2021</v>
      </c>
      <c r="D2205" s="225" t="str">
        <f t="shared" si="14"/>
        <v>2049_2021</v>
      </c>
      <c r="E2205" s="1226">
        <v>0.10843646281325101</v>
      </c>
      <c r="F2205" s="1257">
        <v>2.49894506724027E-3</v>
      </c>
      <c r="G2205" s="1280">
        <v>5.1039121597004203E-2</v>
      </c>
      <c r="H2205" s="1271">
        <v>0.25006794489262402</v>
      </c>
      <c r="I2205" s="1257">
        <v>1.6003014531304802E-2</v>
      </c>
      <c r="J2205" s="1280">
        <v>0.15725315904253701</v>
      </c>
      <c r="K2205" s="1271">
        <v>2.2987253934440899E-2</v>
      </c>
      <c r="L2205" s="1257">
        <v>1.14152224330179E-3</v>
      </c>
      <c r="M2205" s="1280">
        <v>1.3073179421498601E-2</v>
      </c>
      <c r="N2205" s="1271">
        <v>3.0000008598028201E-3</v>
      </c>
      <c r="O2205" s="1257">
        <v>2.0000005732018801E-3</v>
      </c>
      <c r="P2205" s="1257">
        <v>3.0000008598028201E-3</v>
      </c>
      <c r="Q2205" s="1280">
        <v>3.0000008598028201E-3</v>
      </c>
      <c r="R2205" s="1271">
        <v>3.1850009128239903E-2</v>
      </c>
      <c r="S2205" s="1257">
        <v>3.1850009128239903E-2</v>
      </c>
      <c r="T2205" s="1257">
        <v>3.1850009128239903E-2</v>
      </c>
      <c r="U2205" s="1280">
        <v>1.5925004564119952E-2</v>
      </c>
      <c r="V2205" s="1293">
        <v>2.4026635552927701E-2</v>
      </c>
    </row>
    <row r="2206" spans="1:22" s="212" customFormat="1" ht="15.5" x14ac:dyDescent="0.35">
      <c r="A2206" s="198">
        <v>2049</v>
      </c>
      <c r="B2206" s="197" t="s">
        <v>5833</v>
      </c>
      <c r="C2206" s="197">
        <v>2022</v>
      </c>
      <c r="D2206" s="225" t="str">
        <f t="shared" si="14"/>
        <v>2049_2022</v>
      </c>
      <c r="E2206" s="1226">
        <v>0.10843646281325101</v>
      </c>
      <c r="F2206" s="1257">
        <v>2.49894506724027E-3</v>
      </c>
      <c r="G2206" s="1280">
        <v>5.1039121597004203E-2</v>
      </c>
      <c r="H2206" s="1271">
        <v>0.25006794489262402</v>
      </c>
      <c r="I2206" s="1257">
        <v>1.6003014531304802E-2</v>
      </c>
      <c r="J2206" s="1280">
        <v>0.15725315904253701</v>
      </c>
      <c r="K2206" s="1271">
        <v>2.2987253934440899E-2</v>
      </c>
      <c r="L2206" s="1257">
        <v>1.14152224330179E-3</v>
      </c>
      <c r="M2206" s="1280">
        <v>1.3073179421498601E-2</v>
      </c>
      <c r="N2206" s="1271">
        <v>3.0000008598028201E-3</v>
      </c>
      <c r="O2206" s="1257">
        <v>2.0000005732018801E-3</v>
      </c>
      <c r="P2206" s="1257">
        <v>3.0000008598028201E-3</v>
      </c>
      <c r="Q2206" s="1280">
        <v>3.0000008598028201E-3</v>
      </c>
      <c r="R2206" s="1271">
        <v>3.1850009128239903E-2</v>
      </c>
      <c r="S2206" s="1257">
        <v>3.1850009128239903E-2</v>
      </c>
      <c r="T2206" s="1257">
        <v>3.1850009128239903E-2</v>
      </c>
      <c r="U2206" s="1280">
        <v>1.5925004564119952E-2</v>
      </c>
      <c r="V2206" s="1293">
        <v>2.4026635552927701E-2</v>
      </c>
    </row>
    <row r="2207" spans="1:22" s="212" customFormat="1" ht="15.5" x14ac:dyDescent="0.35">
      <c r="A2207" s="198">
        <v>2049</v>
      </c>
      <c r="B2207" s="197" t="s">
        <v>5833</v>
      </c>
      <c r="C2207" s="197">
        <v>2023</v>
      </c>
      <c r="D2207" s="225" t="str">
        <f t="shared" si="14"/>
        <v>2049_2023</v>
      </c>
      <c r="E2207" s="1226">
        <v>0.10843646281325101</v>
      </c>
      <c r="F2207" s="1257">
        <v>2.49894506724027E-3</v>
      </c>
      <c r="G2207" s="1280">
        <v>5.1039121597004203E-2</v>
      </c>
      <c r="H2207" s="1271">
        <v>0.25006794489262402</v>
      </c>
      <c r="I2207" s="1257">
        <v>1.6003014531304802E-2</v>
      </c>
      <c r="J2207" s="1280">
        <v>0.15725315904253701</v>
      </c>
      <c r="K2207" s="1271">
        <v>2.2987253934440899E-2</v>
      </c>
      <c r="L2207" s="1257">
        <v>1.14152224330179E-3</v>
      </c>
      <c r="M2207" s="1280">
        <v>1.3073179421498601E-2</v>
      </c>
      <c r="N2207" s="1271">
        <v>3.0000008598028201E-3</v>
      </c>
      <c r="O2207" s="1257">
        <v>2.0000005732018801E-3</v>
      </c>
      <c r="P2207" s="1257">
        <v>3.0000008598028201E-3</v>
      </c>
      <c r="Q2207" s="1280">
        <v>3.0000008598028201E-3</v>
      </c>
      <c r="R2207" s="1271">
        <v>3.1850009128239903E-2</v>
      </c>
      <c r="S2207" s="1257">
        <v>3.1850009128239903E-2</v>
      </c>
      <c r="T2207" s="1257">
        <v>3.1850009128239903E-2</v>
      </c>
      <c r="U2207" s="1280">
        <v>1.5925004564119952E-2</v>
      </c>
      <c r="V2207" s="1293">
        <v>2.4026635552927701E-2</v>
      </c>
    </row>
    <row r="2208" spans="1:22" s="212" customFormat="1" ht="15.5" x14ac:dyDescent="0.35">
      <c r="A2208" s="198">
        <v>2049</v>
      </c>
      <c r="B2208" s="197" t="s">
        <v>5833</v>
      </c>
      <c r="C2208" s="197">
        <v>2024</v>
      </c>
      <c r="D2208" s="225" t="str">
        <f t="shared" si="14"/>
        <v>2049_2024</v>
      </c>
      <c r="E2208" s="1226">
        <v>0.10843646281325101</v>
      </c>
      <c r="F2208" s="1257">
        <v>2.49894506724027E-3</v>
      </c>
      <c r="G2208" s="1280">
        <v>5.1039121597004203E-2</v>
      </c>
      <c r="H2208" s="1271">
        <v>0.25006794489262402</v>
      </c>
      <c r="I2208" s="1257">
        <v>1.6003014531304802E-2</v>
      </c>
      <c r="J2208" s="1280">
        <v>0.15725315904253701</v>
      </c>
      <c r="K2208" s="1271">
        <v>2.2987253934440899E-2</v>
      </c>
      <c r="L2208" s="1257">
        <v>1.14152224330179E-3</v>
      </c>
      <c r="M2208" s="1280">
        <v>1.3073179421498601E-2</v>
      </c>
      <c r="N2208" s="1271">
        <v>3.0000008598028201E-3</v>
      </c>
      <c r="O2208" s="1257">
        <v>2.0000005732018801E-3</v>
      </c>
      <c r="P2208" s="1257">
        <v>3.0000008598028201E-3</v>
      </c>
      <c r="Q2208" s="1280">
        <v>3.0000008598028201E-3</v>
      </c>
      <c r="R2208" s="1271">
        <v>3.1850009128239903E-2</v>
      </c>
      <c r="S2208" s="1257">
        <v>3.1850009128239903E-2</v>
      </c>
      <c r="T2208" s="1257">
        <v>3.1850009128239903E-2</v>
      </c>
      <c r="U2208" s="1280">
        <v>1.5925004564119952E-2</v>
      </c>
      <c r="V2208" s="1293">
        <v>2.4026635552927701E-2</v>
      </c>
    </row>
    <row r="2209" spans="1:22" s="212" customFormat="1" ht="15.5" x14ac:dyDescent="0.35">
      <c r="A2209" s="198">
        <v>2049</v>
      </c>
      <c r="B2209" s="197" t="s">
        <v>5833</v>
      </c>
      <c r="C2209" s="197">
        <v>2025</v>
      </c>
      <c r="D2209" s="225" t="str">
        <f t="shared" si="14"/>
        <v>2049_2025</v>
      </c>
      <c r="E2209" s="1226">
        <v>0.10843646281325101</v>
      </c>
      <c r="F2209" s="1257">
        <v>2.49894506724027E-3</v>
      </c>
      <c r="G2209" s="1280">
        <v>5.1039121597004203E-2</v>
      </c>
      <c r="H2209" s="1271">
        <v>0.25006794489262402</v>
      </c>
      <c r="I2209" s="1257">
        <v>1.6003014531304802E-2</v>
      </c>
      <c r="J2209" s="1280">
        <v>0.15725315904253701</v>
      </c>
      <c r="K2209" s="1271">
        <v>2.2987253934440899E-2</v>
      </c>
      <c r="L2209" s="1257">
        <v>1.14152224330179E-3</v>
      </c>
      <c r="M2209" s="1280">
        <v>1.3073179421498601E-2</v>
      </c>
      <c r="N2209" s="1271">
        <v>3.0000008598028201E-3</v>
      </c>
      <c r="O2209" s="1257">
        <v>2.0000005732018801E-3</v>
      </c>
      <c r="P2209" s="1257">
        <v>3.0000008598028201E-3</v>
      </c>
      <c r="Q2209" s="1280">
        <v>3.0000008598028201E-3</v>
      </c>
      <c r="R2209" s="1271">
        <v>3.1850009128239903E-2</v>
      </c>
      <c r="S2209" s="1257">
        <v>3.1850009128239903E-2</v>
      </c>
      <c r="T2209" s="1257">
        <v>3.1850009128239903E-2</v>
      </c>
      <c r="U2209" s="1280">
        <v>1.5925004564119952E-2</v>
      </c>
      <c r="V2209" s="1293">
        <v>2.4026635552927701E-2</v>
      </c>
    </row>
    <row r="2210" spans="1:22" s="212" customFormat="1" ht="15.5" x14ac:dyDescent="0.35">
      <c r="A2210" s="198">
        <v>2049</v>
      </c>
      <c r="B2210" s="197" t="s">
        <v>5833</v>
      </c>
      <c r="C2210" s="197">
        <v>2026</v>
      </c>
      <c r="D2210" s="225" t="str">
        <f t="shared" si="14"/>
        <v>2049_2026</v>
      </c>
      <c r="E2210" s="1226">
        <v>0.10843646281325101</v>
      </c>
      <c r="F2210" s="1257">
        <v>2.49894506724027E-3</v>
      </c>
      <c r="G2210" s="1280">
        <v>5.1039121597004203E-2</v>
      </c>
      <c r="H2210" s="1271">
        <v>0.25006794489262402</v>
      </c>
      <c r="I2210" s="1257">
        <v>1.6003014531304802E-2</v>
      </c>
      <c r="J2210" s="1280">
        <v>0.15725315904253701</v>
      </c>
      <c r="K2210" s="1271">
        <v>2.2987253934440899E-2</v>
      </c>
      <c r="L2210" s="1257">
        <v>1.14152224330179E-3</v>
      </c>
      <c r="M2210" s="1280">
        <v>1.3073179421498601E-2</v>
      </c>
      <c r="N2210" s="1271">
        <v>3.0000008598028201E-3</v>
      </c>
      <c r="O2210" s="1257">
        <v>2.0000005732018801E-3</v>
      </c>
      <c r="P2210" s="1257">
        <v>3.0000008598028201E-3</v>
      </c>
      <c r="Q2210" s="1280">
        <v>3.0000008598028201E-3</v>
      </c>
      <c r="R2210" s="1271">
        <v>3.1850009128239903E-2</v>
      </c>
      <c r="S2210" s="1257">
        <v>3.1850009128239903E-2</v>
      </c>
      <c r="T2210" s="1257">
        <v>3.1850009128239903E-2</v>
      </c>
      <c r="U2210" s="1280">
        <v>1.5925004564119952E-2</v>
      </c>
      <c r="V2210" s="1293">
        <v>2.4026635552927701E-2</v>
      </c>
    </row>
    <row r="2211" spans="1:22" s="212" customFormat="1" ht="15.5" x14ac:dyDescent="0.35">
      <c r="A2211" s="198">
        <v>2049</v>
      </c>
      <c r="B2211" s="197" t="s">
        <v>5833</v>
      </c>
      <c r="C2211" s="197">
        <v>2027</v>
      </c>
      <c r="D2211" s="225" t="str">
        <f t="shared" si="14"/>
        <v>2049_2027</v>
      </c>
      <c r="E2211" s="1226">
        <v>0.10843646281325101</v>
      </c>
      <c r="F2211" s="1257">
        <v>2.49894506724027E-3</v>
      </c>
      <c r="G2211" s="1280">
        <v>5.1039121597004203E-2</v>
      </c>
      <c r="H2211" s="1271">
        <v>0.25006794489262402</v>
      </c>
      <c r="I2211" s="1257">
        <v>1.6003014531304802E-2</v>
      </c>
      <c r="J2211" s="1280">
        <v>0.15725315904253701</v>
      </c>
      <c r="K2211" s="1271">
        <v>2.2987253934440899E-2</v>
      </c>
      <c r="L2211" s="1257">
        <v>1.14152224330179E-3</v>
      </c>
      <c r="M2211" s="1280">
        <v>1.3073179421498601E-2</v>
      </c>
      <c r="N2211" s="1271">
        <v>3.0000008598028201E-3</v>
      </c>
      <c r="O2211" s="1257">
        <v>2.0000005732018801E-3</v>
      </c>
      <c r="P2211" s="1257">
        <v>3.0000008598028201E-3</v>
      </c>
      <c r="Q2211" s="1280">
        <v>3.0000008598028201E-3</v>
      </c>
      <c r="R2211" s="1271">
        <v>3.1850009128239903E-2</v>
      </c>
      <c r="S2211" s="1257">
        <v>3.1850009128239903E-2</v>
      </c>
      <c r="T2211" s="1257">
        <v>3.1850009128239903E-2</v>
      </c>
      <c r="U2211" s="1280">
        <v>1.5925004564119952E-2</v>
      </c>
      <c r="V2211" s="1293">
        <v>2.4026635552927701E-2</v>
      </c>
    </row>
    <row r="2212" spans="1:22" s="212" customFormat="1" ht="15.5" x14ac:dyDescent="0.35">
      <c r="A2212" s="198">
        <v>2049</v>
      </c>
      <c r="B2212" s="197" t="s">
        <v>5833</v>
      </c>
      <c r="C2212" s="197">
        <v>2028</v>
      </c>
      <c r="D2212" s="225" t="str">
        <f t="shared" si="14"/>
        <v>2049_2028</v>
      </c>
      <c r="E2212" s="1226">
        <v>0.10843646281325101</v>
      </c>
      <c r="F2212" s="1257">
        <v>2.49894506724027E-3</v>
      </c>
      <c r="G2212" s="1280">
        <v>5.1039121597004203E-2</v>
      </c>
      <c r="H2212" s="1271">
        <v>0.25006794489262402</v>
      </c>
      <c r="I2212" s="1257">
        <v>1.6003014531304802E-2</v>
      </c>
      <c r="J2212" s="1280">
        <v>0.15725315904253701</v>
      </c>
      <c r="K2212" s="1271">
        <v>2.2987253934440899E-2</v>
      </c>
      <c r="L2212" s="1257">
        <v>1.14152224330179E-3</v>
      </c>
      <c r="M2212" s="1280">
        <v>1.3073179421498601E-2</v>
      </c>
      <c r="N2212" s="1271">
        <v>3.0000008598028201E-3</v>
      </c>
      <c r="O2212" s="1257">
        <v>2.0000005732018801E-3</v>
      </c>
      <c r="P2212" s="1257">
        <v>3.0000008598028201E-3</v>
      </c>
      <c r="Q2212" s="1280">
        <v>3.0000008598028201E-3</v>
      </c>
      <c r="R2212" s="1271">
        <v>3.1850009128239903E-2</v>
      </c>
      <c r="S2212" s="1257">
        <v>3.1850009128239903E-2</v>
      </c>
      <c r="T2212" s="1257">
        <v>3.1850009128239903E-2</v>
      </c>
      <c r="U2212" s="1280">
        <v>1.5925004564119952E-2</v>
      </c>
      <c r="V2212" s="1293">
        <v>2.4026635552927701E-2</v>
      </c>
    </row>
    <row r="2213" spans="1:22" s="212" customFormat="1" ht="15.5" x14ac:dyDescent="0.35">
      <c r="A2213" s="198">
        <v>2049</v>
      </c>
      <c r="B2213" s="197" t="s">
        <v>5833</v>
      </c>
      <c r="C2213" s="197">
        <v>2029</v>
      </c>
      <c r="D2213" s="225" t="str">
        <f t="shared" si="14"/>
        <v>2049_2029</v>
      </c>
      <c r="E2213" s="1226">
        <v>0.10843646281325101</v>
      </c>
      <c r="F2213" s="1257">
        <v>2.49894506724027E-3</v>
      </c>
      <c r="G2213" s="1280">
        <v>5.1039121597004203E-2</v>
      </c>
      <c r="H2213" s="1271">
        <v>0.25006794489262402</v>
      </c>
      <c r="I2213" s="1257">
        <v>1.6003014531304802E-2</v>
      </c>
      <c r="J2213" s="1280">
        <v>0.15725315904253701</v>
      </c>
      <c r="K2213" s="1271">
        <v>2.2987253934440899E-2</v>
      </c>
      <c r="L2213" s="1257">
        <v>1.14152224330179E-3</v>
      </c>
      <c r="M2213" s="1280">
        <v>1.3073179421498601E-2</v>
      </c>
      <c r="N2213" s="1271">
        <v>3.0000008598028201E-3</v>
      </c>
      <c r="O2213" s="1257">
        <v>2.0000005732018801E-3</v>
      </c>
      <c r="P2213" s="1257">
        <v>3.0000008598028201E-3</v>
      </c>
      <c r="Q2213" s="1280">
        <v>3.0000008598028201E-3</v>
      </c>
      <c r="R2213" s="1271">
        <v>3.1850009128239903E-2</v>
      </c>
      <c r="S2213" s="1257">
        <v>3.1850009128239903E-2</v>
      </c>
      <c r="T2213" s="1257">
        <v>3.1850009128239903E-2</v>
      </c>
      <c r="U2213" s="1280">
        <v>1.5925004564119952E-2</v>
      </c>
      <c r="V2213" s="1293">
        <v>2.4026635552927701E-2</v>
      </c>
    </row>
    <row r="2214" spans="1:22" s="212" customFormat="1" ht="15.5" x14ac:dyDescent="0.35">
      <c r="A2214" s="198">
        <v>2049</v>
      </c>
      <c r="B2214" s="197" t="s">
        <v>5833</v>
      </c>
      <c r="C2214" s="197">
        <v>2030</v>
      </c>
      <c r="D2214" s="225" t="str">
        <f t="shared" si="14"/>
        <v>2049_2030</v>
      </c>
      <c r="E2214" s="1226">
        <v>0.10843646281325101</v>
      </c>
      <c r="F2214" s="1257">
        <v>2.49894506724027E-3</v>
      </c>
      <c r="G2214" s="1280">
        <v>5.1039121597004203E-2</v>
      </c>
      <c r="H2214" s="1271">
        <v>0.25006794489262402</v>
      </c>
      <c r="I2214" s="1257">
        <v>1.6003014531304802E-2</v>
      </c>
      <c r="J2214" s="1280">
        <v>0.15725315904253701</v>
      </c>
      <c r="K2214" s="1271">
        <v>2.2987253934440899E-2</v>
      </c>
      <c r="L2214" s="1257">
        <v>1.14152224330179E-3</v>
      </c>
      <c r="M2214" s="1280">
        <v>1.3073179421498601E-2</v>
      </c>
      <c r="N2214" s="1271">
        <v>3.0000008598028201E-3</v>
      </c>
      <c r="O2214" s="1257">
        <v>2.0000005732018801E-3</v>
      </c>
      <c r="P2214" s="1257">
        <v>3.0000008598028201E-3</v>
      </c>
      <c r="Q2214" s="1280">
        <v>3.0000008598028201E-3</v>
      </c>
      <c r="R2214" s="1271">
        <v>3.1850009128239903E-2</v>
      </c>
      <c r="S2214" s="1257">
        <v>3.1850009128239903E-2</v>
      </c>
      <c r="T2214" s="1257">
        <v>3.1850009128239903E-2</v>
      </c>
      <c r="U2214" s="1280">
        <v>1.5925004564119952E-2</v>
      </c>
      <c r="V2214" s="1293">
        <v>2.4026635552927701E-2</v>
      </c>
    </row>
    <row r="2215" spans="1:22" s="212" customFormat="1" ht="15.5" x14ac:dyDescent="0.35">
      <c r="A2215" s="198">
        <v>2049</v>
      </c>
      <c r="B2215" s="197" t="s">
        <v>5833</v>
      </c>
      <c r="C2215" s="197">
        <v>2031</v>
      </c>
      <c r="D2215" s="225" t="str">
        <f t="shared" si="14"/>
        <v>2049_2031</v>
      </c>
      <c r="E2215" s="1226">
        <v>0.10843646281325101</v>
      </c>
      <c r="F2215" s="1257">
        <v>2.49894506724027E-3</v>
      </c>
      <c r="G2215" s="1280">
        <v>5.1039121597004203E-2</v>
      </c>
      <c r="H2215" s="1271">
        <v>0.25006794489262402</v>
      </c>
      <c r="I2215" s="1257">
        <v>1.6003014531304802E-2</v>
      </c>
      <c r="J2215" s="1280">
        <v>0.15725315904253701</v>
      </c>
      <c r="K2215" s="1271">
        <v>2.2987253934440899E-2</v>
      </c>
      <c r="L2215" s="1257">
        <v>1.14152224330179E-3</v>
      </c>
      <c r="M2215" s="1280">
        <v>1.3073179421498601E-2</v>
      </c>
      <c r="N2215" s="1271">
        <v>3.0000008598028201E-3</v>
      </c>
      <c r="O2215" s="1257">
        <v>2.0000005732018801E-3</v>
      </c>
      <c r="P2215" s="1257">
        <v>3.0000008598028201E-3</v>
      </c>
      <c r="Q2215" s="1280">
        <v>3.0000008598028201E-3</v>
      </c>
      <c r="R2215" s="1271">
        <v>3.1850009128239903E-2</v>
      </c>
      <c r="S2215" s="1257">
        <v>3.1850009128239903E-2</v>
      </c>
      <c r="T2215" s="1257">
        <v>3.1850009128239903E-2</v>
      </c>
      <c r="U2215" s="1280">
        <v>1.5925004564119952E-2</v>
      </c>
      <c r="V2215" s="1293">
        <v>2.4026635552927701E-2</v>
      </c>
    </row>
    <row r="2216" spans="1:22" s="212" customFormat="1" ht="15.5" x14ac:dyDescent="0.35">
      <c r="A2216" s="198">
        <v>2049</v>
      </c>
      <c r="B2216" s="197" t="s">
        <v>5833</v>
      </c>
      <c r="C2216" s="197">
        <v>2032</v>
      </c>
      <c r="D2216" s="225" t="str">
        <f t="shared" si="14"/>
        <v>2049_2032</v>
      </c>
      <c r="E2216" s="1226">
        <v>0.10843646281325101</v>
      </c>
      <c r="F2216" s="1257">
        <v>2.49894506724027E-3</v>
      </c>
      <c r="G2216" s="1280">
        <v>5.1039121597004203E-2</v>
      </c>
      <c r="H2216" s="1271">
        <v>0.25006794489262402</v>
      </c>
      <c r="I2216" s="1257">
        <v>1.6003014531304802E-2</v>
      </c>
      <c r="J2216" s="1280">
        <v>0.15725315904253701</v>
      </c>
      <c r="K2216" s="1271">
        <v>2.2987253934440899E-2</v>
      </c>
      <c r="L2216" s="1257">
        <v>1.14152224330179E-3</v>
      </c>
      <c r="M2216" s="1280">
        <v>1.3073179421498601E-2</v>
      </c>
      <c r="N2216" s="1271">
        <v>3.0000008598028201E-3</v>
      </c>
      <c r="O2216" s="1257">
        <v>2.0000005732018801E-3</v>
      </c>
      <c r="P2216" s="1257">
        <v>3.0000008598028201E-3</v>
      </c>
      <c r="Q2216" s="1280">
        <v>3.0000008598028201E-3</v>
      </c>
      <c r="R2216" s="1271">
        <v>3.1850009128239903E-2</v>
      </c>
      <c r="S2216" s="1257">
        <v>3.1850009128239903E-2</v>
      </c>
      <c r="T2216" s="1257">
        <v>3.1850009128239903E-2</v>
      </c>
      <c r="U2216" s="1280">
        <v>1.5925004564119952E-2</v>
      </c>
      <c r="V2216" s="1293">
        <v>2.4026635552927701E-2</v>
      </c>
    </row>
    <row r="2217" spans="1:22" s="212" customFormat="1" ht="15.5" x14ac:dyDescent="0.35">
      <c r="A2217" s="198">
        <v>2049</v>
      </c>
      <c r="B2217" s="197" t="s">
        <v>5833</v>
      </c>
      <c r="C2217" s="197">
        <v>2033</v>
      </c>
      <c r="D2217" s="225" t="str">
        <f t="shared" si="14"/>
        <v>2049_2033</v>
      </c>
      <c r="E2217" s="1226">
        <v>0.10843646281325101</v>
      </c>
      <c r="F2217" s="1257">
        <v>2.49894506724027E-3</v>
      </c>
      <c r="G2217" s="1280">
        <v>5.1039121597004203E-2</v>
      </c>
      <c r="H2217" s="1271">
        <v>0.25006794489262402</v>
      </c>
      <c r="I2217" s="1257">
        <v>1.6003014531304802E-2</v>
      </c>
      <c r="J2217" s="1280">
        <v>0.15725315904253701</v>
      </c>
      <c r="K2217" s="1271">
        <v>2.2987253934440899E-2</v>
      </c>
      <c r="L2217" s="1257">
        <v>1.14152224330179E-3</v>
      </c>
      <c r="M2217" s="1280">
        <v>1.3073179421498601E-2</v>
      </c>
      <c r="N2217" s="1271">
        <v>3.0000008598028201E-3</v>
      </c>
      <c r="O2217" s="1257">
        <v>2.0000005732018801E-3</v>
      </c>
      <c r="P2217" s="1257">
        <v>3.0000008598028201E-3</v>
      </c>
      <c r="Q2217" s="1280">
        <v>3.0000008598028201E-3</v>
      </c>
      <c r="R2217" s="1271">
        <v>3.1850009128239903E-2</v>
      </c>
      <c r="S2217" s="1257">
        <v>3.1850009128239903E-2</v>
      </c>
      <c r="T2217" s="1257">
        <v>3.1850009128239903E-2</v>
      </c>
      <c r="U2217" s="1280">
        <v>1.5925004564119952E-2</v>
      </c>
      <c r="V2217" s="1293">
        <v>2.4026635552927701E-2</v>
      </c>
    </row>
    <row r="2218" spans="1:22" s="212" customFormat="1" ht="15.5" x14ac:dyDescent="0.35">
      <c r="A2218" s="198">
        <v>2049</v>
      </c>
      <c r="B2218" s="197" t="s">
        <v>5833</v>
      </c>
      <c r="C2218" s="197">
        <v>2034</v>
      </c>
      <c r="D2218" s="225" t="str">
        <f t="shared" si="14"/>
        <v>2049_2034</v>
      </c>
      <c r="E2218" s="1226">
        <v>0.10843646281325101</v>
      </c>
      <c r="F2218" s="1257">
        <v>2.49894506724027E-3</v>
      </c>
      <c r="G2218" s="1280">
        <v>5.1039121597004203E-2</v>
      </c>
      <c r="H2218" s="1271">
        <v>0.25006794489262402</v>
      </c>
      <c r="I2218" s="1257">
        <v>1.6003014531304802E-2</v>
      </c>
      <c r="J2218" s="1280">
        <v>0.15725315904253701</v>
      </c>
      <c r="K2218" s="1271">
        <v>2.2987253934440899E-2</v>
      </c>
      <c r="L2218" s="1257">
        <v>1.14152224330179E-3</v>
      </c>
      <c r="M2218" s="1280">
        <v>1.3073179421498601E-2</v>
      </c>
      <c r="N2218" s="1271">
        <v>3.0000008598028201E-3</v>
      </c>
      <c r="O2218" s="1257">
        <v>2.0000005732018801E-3</v>
      </c>
      <c r="P2218" s="1257">
        <v>3.0000008598028201E-3</v>
      </c>
      <c r="Q2218" s="1280">
        <v>3.0000008598028201E-3</v>
      </c>
      <c r="R2218" s="1271">
        <v>3.1850009128239903E-2</v>
      </c>
      <c r="S2218" s="1257">
        <v>3.1850009128239903E-2</v>
      </c>
      <c r="T2218" s="1257">
        <v>3.1850009128239903E-2</v>
      </c>
      <c r="U2218" s="1280">
        <v>1.5925004564119952E-2</v>
      </c>
      <c r="V2218" s="1293">
        <v>2.4026635552927701E-2</v>
      </c>
    </row>
    <row r="2219" spans="1:22" s="212" customFormat="1" ht="15.5" x14ac:dyDescent="0.35">
      <c r="A2219" s="198">
        <v>2049</v>
      </c>
      <c r="B2219" s="197" t="s">
        <v>5833</v>
      </c>
      <c r="C2219" s="197">
        <v>2035</v>
      </c>
      <c r="D2219" s="225" t="str">
        <f t="shared" si="14"/>
        <v>2049_2035</v>
      </c>
      <c r="E2219" s="1226">
        <v>0.10843646281325101</v>
      </c>
      <c r="F2219" s="1257">
        <v>2.49894506724027E-3</v>
      </c>
      <c r="G2219" s="1280">
        <v>5.1039121597004203E-2</v>
      </c>
      <c r="H2219" s="1271">
        <v>0.25006794489262402</v>
      </c>
      <c r="I2219" s="1257">
        <v>1.6003014531304802E-2</v>
      </c>
      <c r="J2219" s="1280">
        <v>0.15725315904253701</v>
      </c>
      <c r="K2219" s="1271">
        <v>2.2987253934440899E-2</v>
      </c>
      <c r="L2219" s="1257">
        <v>1.14152224330179E-3</v>
      </c>
      <c r="M2219" s="1280">
        <v>1.3073179421498601E-2</v>
      </c>
      <c r="N2219" s="1271">
        <v>3.0000008598028201E-3</v>
      </c>
      <c r="O2219" s="1257">
        <v>2.0000005732018801E-3</v>
      </c>
      <c r="P2219" s="1257">
        <v>3.0000008598028201E-3</v>
      </c>
      <c r="Q2219" s="1306">
        <v>8.08268618211762E-3</v>
      </c>
      <c r="R2219" s="1271">
        <v>3.1850009128239903E-2</v>
      </c>
      <c r="S2219" s="1257">
        <v>3.1850009128239903E-2</v>
      </c>
      <c r="T2219" s="1257">
        <v>3.1850009128239903E-2</v>
      </c>
      <c r="U2219" s="1306">
        <v>1.9250005517068101E-2</v>
      </c>
      <c r="V2219" s="1293">
        <v>2.4026635552927701E-2</v>
      </c>
    </row>
    <row r="2220" spans="1:22" s="212" customFormat="1" ht="15.5" x14ac:dyDescent="0.35">
      <c r="A2220" s="198">
        <v>2049</v>
      </c>
      <c r="B2220" s="197" t="s">
        <v>5833</v>
      </c>
      <c r="C2220" s="197">
        <v>2036</v>
      </c>
      <c r="D2220" s="225" t="str">
        <f t="shared" si="14"/>
        <v>2049_2036</v>
      </c>
      <c r="E2220" s="1226">
        <v>0.10843646281325101</v>
      </c>
      <c r="F2220" s="1257">
        <v>2.49894506724027E-3</v>
      </c>
      <c r="G2220" s="1280">
        <v>5.1039121597004203E-2</v>
      </c>
      <c r="H2220" s="1271">
        <v>0.25006794489262402</v>
      </c>
      <c r="I2220" s="1257">
        <v>1.6003014531304802E-2</v>
      </c>
      <c r="J2220" s="1280">
        <v>0.15725315904253701</v>
      </c>
      <c r="K2220" s="1271">
        <v>2.2987253934440899E-2</v>
      </c>
      <c r="L2220" s="1257">
        <v>1.14152224330179E-3</v>
      </c>
      <c r="M2220" s="1280">
        <v>1.3073179421498601E-2</v>
      </c>
      <c r="N2220" s="1271">
        <v>3.0000008598028201E-3</v>
      </c>
      <c r="O2220" s="1257">
        <v>2.0000005732018801E-3</v>
      </c>
      <c r="P2220" s="1257">
        <v>3.0000008598028201E-3</v>
      </c>
      <c r="Q2220" s="1306">
        <v>7.3795799121639197E-3</v>
      </c>
      <c r="R2220" s="1271">
        <v>3.1850009128239903E-2</v>
      </c>
      <c r="S2220" s="1257">
        <v>3.1850009128239903E-2</v>
      </c>
      <c r="T2220" s="1257">
        <v>3.1850009128239903E-2</v>
      </c>
      <c r="U2220" s="1306">
        <v>1.9250005517068101E-2</v>
      </c>
      <c r="V2220" s="1293">
        <v>2.4026635552927701E-2</v>
      </c>
    </row>
    <row r="2221" spans="1:22" s="212" customFormat="1" ht="15.5" x14ac:dyDescent="0.35">
      <c r="A2221" s="198">
        <v>2049</v>
      </c>
      <c r="B2221" s="197" t="s">
        <v>5833</v>
      </c>
      <c r="C2221" s="197">
        <v>2037</v>
      </c>
      <c r="D2221" s="225" t="str">
        <f t="shared" si="14"/>
        <v>2049_2037</v>
      </c>
      <c r="E2221" s="1226">
        <v>0.10843646281325101</v>
      </c>
      <c r="F2221" s="1257">
        <v>2.49894506724027E-3</v>
      </c>
      <c r="G2221" s="1280">
        <v>5.1039121597004203E-2</v>
      </c>
      <c r="H2221" s="1271">
        <v>0.25006794489262402</v>
      </c>
      <c r="I2221" s="1257">
        <v>1.6003014531304802E-2</v>
      </c>
      <c r="J2221" s="1280">
        <v>0.15725315904253701</v>
      </c>
      <c r="K2221" s="1271">
        <v>2.2987253934440899E-2</v>
      </c>
      <c r="L2221" s="1257">
        <v>1.14152224330179E-3</v>
      </c>
      <c r="M2221" s="1280">
        <v>1.3073179421498601E-2</v>
      </c>
      <c r="N2221" s="1271">
        <v>3.0000008598028201E-3</v>
      </c>
      <c r="O2221" s="1257">
        <v>2.0000005732018801E-3</v>
      </c>
      <c r="P2221" s="1257">
        <v>3.0000008598028201E-3</v>
      </c>
      <c r="Q2221" s="1306">
        <v>7.5861856395711197E-3</v>
      </c>
      <c r="R2221" s="1271">
        <v>3.1850009128239903E-2</v>
      </c>
      <c r="S2221" s="1257">
        <v>3.1850009128239903E-2</v>
      </c>
      <c r="T2221" s="1257">
        <v>3.1850009128239903E-2</v>
      </c>
      <c r="U2221" s="1306">
        <v>1.9250005517068101E-2</v>
      </c>
      <c r="V2221" s="1293">
        <v>2.4026635552927701E-2</v>
      </c>
    </row>
    <row r="2222" spans="1:22" s="212" customFormat="1" ht="15.5" x14ac:dyDescent="0.35">
      <c r="A2222" s="198">
        <v>2049</v>
      </c>
      <c r="B2222" s="197" t="s">
        <v>5833</v>
      </c>
      <c r="C2222" s="197">
        <v>2038</v>
      </c>
      <c r="D2222" s="225" t="str">
        <f t="shared" si="14"/>
        <v>2049_2038</v>
      </c>
      <c r="E2222" s="1226">
        <v>0.10843646281325101</v>
      </c>
      <c r="F2222" s="1257">
        <v>2.49894506724027E-3</v>
      </c>
      <c r="G2222" s="1280">
        <v>5.1039121597004203E-2</v>
      </c>
      <c r="H2222" s="1271">
        <v>0.25006794489262402</v>
      </c>
      <c r="I2222" s="1257">
        <v>1.6003014531304802E-2</v>
      </c>
      <c r="J2222" s="1280">
        <v>0.15725315904253701</v>
      </c>
      <c r="K2222" s="1271">
        <v>2.2987253934440899E-2</v>
      </c>
      <c r="L2222" s="1257">
        <v>1.14152224330179E-3</v>
      </c>
      <c r="M2222" s="1280">
        <v>1.3073179421498601E-2</v>
      </c>
      <c r="N2222" s="1271">
        <v>3.0000008598028201E-3</v>
      </c>
      <c r="O2222" s="1257">
        <v>2.0000005732018801E-3</v>
      </c>
      <c r="P2222" s="1257">
        <v>3.0000008598028201E-3</v>
      </c>
      <c r="Q2222" s="1306">
        <v>7.8507146591203902E-3</v>
      </c>
      <c r="R2222" s="1271">
        <v>3.1850009128239903E-2</v>
      </c>
      <c r="S2222" s="1257">
        <v>3.1850009128239903E-2</v>
      </c>
      <c r="T2222" s="1257">
        <v>3.1850009128239903E-2</v>
      </c>
      <c r="U2222" s="1306">
        <v>1.9250005517068101E-2</v>
      </c>
      <c r="V2222" s="1293">
        <v>2.4026635552927701E-2</v>
      </c>
    </row>
    <row r="2223" spans="1:22" s="212" customFormat="1" ht="15.5" x14ac:dyDescent="0.35">
      <c r="A2223" s="198">
        <v>2049</v>
      </c>
      <c r="B2223" s="197" t="s">
        <v>5833</v>
      </c>
      <c r="C2223" s="197">
        <v>2039</v>
      </c>
      <c r="D2223" s="225" t="str">
        <f t="shared" si="14"/>
        <v>2049_2039</v>
      </c>
      <c r="E2223" s="1231">
        <v>0.10843646281325101</v>
      </c>
      <c r="F2223" s="1288">
        <v>2.49894506724027E-3</v>
      </c>
      <c r="G2223" s="1306">
        <v>5.1039121597004203E-2</v>
      </c>
      <c r="H2223" s="1303">
        <v>0.25006794489262402</v>
      </c>
      <c r="I2223" s="1288">
        <v>1.6003014531304802E-2</v>
      </c>
      <c r="J2223" s="1306">
        <v>0.15725315904253701</v>
      </c>
      <c r="K2223" s="1303">
        <v>2.2987253934440899E-2</v>
      </c>
      <c r="L2223" s="1288">
        <v>1.14152224330179E-3</v>
      </c>
      <c r="M2223" s="1306">
        <v>1.3073179421498601E-2</v>
      </c>
      <c r="N2223" s="1303">
        <v>3.0000008598028201E-3</v>
      </c>
      <c r="O2223" s="1288">
        <v>2.0000005732018801E-3</v>
      </c>
      <c r="P2223" s="1288">
        <v>3.0000008598028201E-3</v>
      </c>
      <c r="Q2223" s="1306">
        <v>7.5933065431310698E-3</v>
      </c>
      <c r="R2223" s="1303">
        <v>3.1850009128239903E-2</v>
      </c>
      <c r="S2223" s="1288">
        <v>3.1850009128239903E-2</v>
      </c>
      <c r="T2223" s="1288">
        <v>3.1850009128239903E-2</v>
      </c>
      <c r="U2223" s="1306">
        <v>1.9250005517068101E-2</v>
      </c>
      <c r="V2223" s="1294">
        <v>2.4026635552927701E-2</v>
      </c>
    </row>
    <row r="2224" spans="1:22" s="212" customFormat="1" ht="15.5" x14ac:dyDescent="0.35">
      <c r="A2224" s="198">
        <v>2049</v>
      </c>
      <c r="B2224" s="197" t="s">
        <v>5833</v>
      </c>
      <c r="C2224" s="197">
        <v>2040</v>
      </c>
      <c r="D2224" s="225" t="str">
        <f t="shared" si="14"/>
        <v>2049_2040</v>
      </c>
      <c r="E2224" s="1231">
        <v>0.106649772868397</v>
      </c>
      <c r="F2224" s="1288">
        <v>1.9389249068859501E-3</v>
      </c>
      <c r="G2224" s="1306">
        <v>6.0934975645047199E-2</v>
      </c>
      <c r="H2224" s="1303">
        <v>0.24207931015638601</v>
      </c>
      <c r="I2224" s="1288">
        <v>1.67257329830422E-2</v>
      </c>
      <c r="J2224" s="1306">
        <v>0.16242328173925799</v>
      </c>
      <c r="K2224" s="1303">
        <v>2.1753050692831E-2</v>
      </c>
      <c r="L2224" s="1288">
        <v>1.0896549036963699E-3</v>
      </c>
      <c r="M2224" s="1306">
        <v>1.38791553397356E-2</v>
      </c>
      <c r="N2224" s="1303">
        <v>3.0000008598028201E-3</v>
      </c>
      <c r="O2224" s="1288">
        <v>2.0000005732018801E-3</v>
      </c>
      <c r="P2224" s="1288">
        <v>3.0000008598028201E-3</v>
      </c>
      <c r="Q2224" s="1306">
        <v>7.6833188573584002E-3</v>
      </c>
      <c r="R2224" s="1303">
        <v>3.1850009128239903E-2</v>
      </c>
      <c r="S2224" s="1288">
        <v>3.1850009128239903E-2</v>
      </c>
      <c r="T2224" s="1288">
        <v>3.1850009128239903E-2</v>
      </c>
      <c r="U2224" s="1306">
        <v>1.9250005517068101E-2</v>
      </c>
      <c r="V2224" s="1294">
        <v>2.2736627117428E-2</v>
      </c>
    </row>
    <row r="2225" spans="1:22" s="212" customFormat="1" ht="15.5" x14ac:dyDescent="0.35">
      <c r="A2225" s="198">
        <v>2049</v>
      </c>
      <c r="B2225" s="197" t="s">
        <v>5833</v>
      </c>
      <c r="C2225" s="197">
        <v>2041</v>
      </c>
      <c r="D2225" s="225" t="str">
        <f t="shared" si="14"/>
        <v>2049_2041</v>
      </c>
      <c r="E2225" s="1231">
        <v>0.104413447879906</v>
      </c>
      <c r="F2225" s="1288">
        <v>2.2969526926581302E-3</v>
      </c>
      <c r="G2225" s="1306">
        <v>6.2324862284930102E-2</v>
      </c>
      <c r="H2225" s="1303">
        <v>0.23266568474242499</v>
      </c>
      <c r="I2225" s="1288">
        <v>1.5899738622857901E-2</v>
      </c>
      <c r="J2225" s="1306">
        <v>0.16638454685507101</v>
      </c>
      <c r="K2225" s="1303">
        <v>2.0377637524800402E-2</v>
      </c>
      <c r="L2225" s="1288">
        <v>1.1160988011777E-3</v>
      </c>
      <c r="M2225" s="1306">
        <v>1.36517718860569E-2</v>
      </c>
      <c r="N2225" s="1303">
        <v>3.0000008598028201E-3</v>
      </c>
      <c r="O2225" s="1288">
        <v>2.0000005732018801E-3</v>
      </c>
      <c r="P2225" s="1288">
        <v>3.0000008598028201E-3</v>
      </c>
      <c r="Q2225" s="1306">
        <v>8.1261048842491499E-3</v>
      </c>
      <c r="R2225" s="1303">
        <v>3.1850009128239903E-2</v>
      </c>
      <c r="S2225" s="1288">
        <v>3.1850009128239903E-2</v>
      </c>
      <c r="T2225" s="1288">
        <v>3.1850009128239903E-2</v>
      </c>
      <c r="U2225" s="1306">
        <v>1.9250005517068101E-2</v>
      </c>
      <c r="V2225" s="1294">
        <v>2.12990238692446E-2</v>
      </c>
    </row>
    <row r="2226" spans="1:22" s="212" customFormat="1" ht="15.5" x14ac:dyDescent="0.35">
      <c r="A2226" s="198">
        <v>2049</v>
      </c>
      <c r="B2226" s="197" t="s">
        <v>5833</v>
      </c>
      <c r="C2226" s="197">
        <v>2042</v>
      </c>
      <c r="D2226" s="225" t="str">
        <f t="shared" si="14"/>
        <v>2049_2042</v>
      </c>
      <c r="E2226" s="1231">
        <v>0.10411016342082199</v>
      </c>
      <c r="F2226" s="1288">
        <v>2.1186876008263801E-3</v>
      </c>
      <c r="G2226" s="1306">
        <v>8.0884660325180005E-2</v>
      </c>
      <c r="H2226" s="1303">
        <v>0.22716883028613399</v>
      </c>
      <c r="I2226" s="1288">
        <v>1.5894931617726999E-2</v>
      </c>
      <c r="J2226" s="1306">
        <v>0.19178355376469</v>
      </c>
      <c r="K2226" s="1303">
        <v>1.9307302397489099E-2</v>
      </c>
      <c r="L2226" s="1288">
        <v>1.1022853757913099E-3</v>
      </c>
      <c r="M2226" s="1306">
        <v>1.5779411475219999E-2</v>
      </c>
      <c r="N2226" s="1303">
        <v>3.0000008598028201E-3</v>
      </c>
      <c r="O2226" s="1288">
        <v>2.0000005732018801E-3</v>
      </c>
      <c r="P2226" s="1288">
        <v>3.0000008598028201E-3</v>
      </c>
      <c r="Q2226" s="1306">
        <v>8.1542539330640706E-3</v>
      </c>
      <c r="R2226" s="1303">
        <v>3.1850009128239903E-2</v>
      </c>
      <c r="S2226" s="1288">
        <v>3.1850009128239903E-2</v>
      </c>
      <c r="T2226" s="1288">
        <v>3.1850009128239903E-2</v>
      </c>
      <c r="U2226" s="1306">
        <v>1.9250005517068101E-2</v>
      </c>
      <c r="V2226" s="1294">
        <v>2.0180292937018E-2</v>
      </c>
    </row>
    <row r="2227" spans="1:22" s="212" customFormat="1" ht="15.5" x14ac:dyDescent="0.35">
      <c r="A2227" s="198">
        <v>2049</v>
      </c>
      <c r="B2227" s="197" t="s">
        <v>5833</v>
      </c>
      <c r="C2227" s="197">
        <v>2043</v>
      </c>
      <c r="D2227" s="225" t="str">
        <f t="shared" si="14"/>
        <v>2049_2043</v>
      </c>
      <c r="E2227" s="1231">
        <v>0.100454644969975</v>
      </c>
      <c r="F2227" s="1288">
        <v>2.0982005924849801E-3</v>
      </c>
      <c r="G2227" s="1306">
        <v>6.3114378066297203E-2</v>
      </c>
      <c r="H2227" s="1303">
        <v>0.21521438552826599</v>
      </c>
      <c r="I2227" s="1288">
        <v>1.53816505113033E-2</v>
      </c>
      <c r="J2227" s="1306">
        <v>0.15608740734014601</v>
      </c>
      <c r="K2227" s="1303">
        <v>1.7538578721914101E-2</v>
      </c>
      <c r="L2227" s="1288">
        <v>1.0925837034598E-3</v>
      </c>
      <c r="M2227" s="1306">
        <v>1.2108786583407799E-2</v>
      </c>
      <c r="N2227" s="1303">
        <v>3.0000008598028201E-3</v>
      </c>
      <c r="O2227" s="1288">
        <v>2.0000005732018801E-3</v>
      </c>
      <c r="P2227" s="1288">
        <v>3.0000008598028201E-3</v>
      </c>
      <c r="Q2227" s="1306">
        <v>8.1135182202519193E-3</v>
      </c>
      <c r="R2227" s="1303">
        <v>3.1850009128239903E-2</v>
      </c>
      <c r="S2227" s="1288">
        <v>3.1850009128239903E-2</v>
      </c>
      <c r="T2227" s="1288">
        <v>3.1850009128239903E-2</v>
      </c>
      <c r="U2227" s="1306">
        <v>1.9250005517068101E-2</v>
      </c>
      <c r="V2227" s="1294">
        <v>1.8331595425428601E-2</v>
      </c>
    </row>
    <row r="2228" spans="1:22" s="212" customFormat="1" ht="15.5" x14ac:dyDescent="0.35">
      <c r="A2228" s="198">
        <v>2049</v>
      </c>
      <c r="B2228" s="197" t="s">
        <v>5833</v>
      </c>
      <c r="C2228" s="197">
        <v>2044</v>
      </c>
      <c r="D2228" s="225" t="str">
        <f t="shared" si="14"/>
        <v>2049_2044</v>
      </c>
      <c r="E2228" s="1231">
        <v>9.8393322338444E-2</v>
      </c>
      <c r="F2228" s="1288">
        <v>1.9855527818063799E-3</v>
      </c>
      <c r="G2228" s="1306">
        <v>6.24695584324471E-2</v>
      </c>
      <c r="H2228" s="1303">
        <v>0.20573728511797701</v>
      </c>
      <c r="I2228" s="1288">
        <v>1.53929194617454E-2</v>
      </c>
      <c r="J2228" s="1306">
        <v>0.14908581623985601</v>
      </c>
      <c r="K2228" s="1303">
        <v>1.6008165709445899E-2</v>
      </c>
      <c r="L2228" s="1288">
        <v>1.0757415723173099E-3</v>
      </c>
      <c r="M2228" s="1306">
        <v>1.1098937049849799E-2</v>
      </c>
      <c r="N2228" s="1303">
        <v>3.0000008598028201E-3</v>
      </c>
      <c r="O2228" s="1288">
        <v>2.0000005732018801E-3</v>
      </c>
      <c r="P2228" s="1288">
        <v>3.0000008598028201E-3</v>
      </c>
      <c r="Q2228" s="1306">
        <v>8.3295984317365498E-3</v>
      </c>
      <c r="R2228" s="1303">
        <v>3.1850009128239903E-2</v>
      </c>
      <c r="S2228" s="1288">
        <v>3.1850009128239903E-2</v>
      </c>
      <c r="T2228" s="1288">
        <v>3.1850009128239903E-2</v>
      </c>
      <c r="U2228" s="1306">
        <v>1.9250005517068101E-2</v>
      </c>
      <c r="V2228" s="1294">
        <v>1.6731983927643801E-2</v>
      </c>
    </row>
    <row r="2229" spans="1:22" s="212" customFormat="1" ht="15.5" x14ac:dyDescent="0.35">
      <c r="A2229" s="198">
        <v>2049</v>
      </c>
      <c r="B2229" s="197" t="s">
        <v>5833</v>
      </c>
      <c r="C2229" s="197">
        <v>2045</v>
      </c>
      <c r="D2229" s="225" t="str">
        <f t="shared" si="14"/>
        <v>2049_2045</v>
      </c>
      <c r="E2229" s="1231">
        <v>9.5926820376703595E-2</v>
      </c>
      <c r="F2229" s="1288">
        <v>2.5020384052659599E-3</v>
      </c>
      <c r="G2229" s="1306">
        <v>5.4143849639713602E-2</v>
      </c>
      <c r="H2229" s="1303">
        <v>0.19535371745048799</v>
      </c>
      <c r="I2229" s="1288">
        <v>1.5628524733535001E-2</v>
      </c>
      <c r="J2229" s="1306">
        <v>0.13767362739483299</v>
      </c>
      <c r="K2229" s="1303">
        <v>1.4354339305533001E-2</v>
      </c>
      <c r="L2229" s="1288">
        <v>1.1234905244532701E-3</v>
      </c>
      <c r="M2229" s="1306">
        <v>9.3149673253618993E-3</v>
      </c>
      <c r="N2229" s="1303">
        <v>3.0000008598028201E-3</v>
      </c>
      <c r="O2229" s="1288">
        <v>2.0000005732018801E-3</v>
      </c>
      <c r="P2229" s="1288">
        <v>3.0000008598028201E-3</v>
      </c>
      <c r="Q2229" s="1306">
        <v>7.8859969065633792E-3</v>
      </c>
      <c r="R2229" s="1303">
        <v>3.1850009128239903E-2</v>
      </c>
      <c r="S2229" s="1288">
        <v>3.1850009128239903E-2</v>
      </c>
      <c r="T2229" s="1288">
        <v>3.1850009128239903E-2</v>
      </c>
      <c r="U2229" s="1306">
        <v>1.9250005517068101E-2</v>
      </c>
      <c r="V2229" s="1294">
        <v>1.50033788324919E-2</v>
      </c>
    </row>
    <row r="2230" spans="1:22" s="212" customFormat="1" ht="15.5" x14ac:dyDescent="0.35">
      <c r="A2230" s="198">
        <v>2049</v>
      </c>
      <c r="B2230" s="197" t="s">
        <v>5833</v>
      </c>
      <c r="C2230" s="197">
        <v>2046</v>
      </c>
      <c r="D2230" s="225" t="str">
        <f t="shared" si="14"/>
        <v>2049_2046</v>
      </c>
      <c r="E2230" s="1231">
        <v>9.3098470269099495E-2</v>
      </c>
      <c r="F2230" s="1288">
        <v>1.9256014311633499E-3</v>
      </c>
      <c r="G2230" s="1306">
        <v>5.8969681836478001E-2</v>
      </c>
      <c r="H2230" s="1303">
        <v>0.184020346984892</v>
      </c>
      <c r="I2230" s="1288">
        <v>1.7487238000895598E-2</v>
      </c>
      <c r="J2230" s="1306">
        <v>0.142969602280861</v>
      </c>
      <c r="K2230" s="1303">
        <v>1.2580469462003601E-2</v>
      </c>
      <c r="L2230" s="1288">
        <v>1.0452726825084099E-3</v>
      </c>
      <c r="M2230" s="1306">
        <v>9.01169338283846E-3</v>
      </c>
      <c r="N2230" s="1303">
        <v>3.0000008598028201E-3</v>
      </c>
      <c r="O2230" s="1288">
        <v>2.0000005732018801E-3</v>
      </c>
      <c r="P2230" s="1288">
        <v>3.0000008598028201E-3</v>
      </c>
      <c r="Q2230" s="1306">
        <v>8.1105458892964302E-3</v>
      </c>
      <c r="R2230" s="1303">
        <v>3.1850009128239903E-2</v>
      </c>
      <c r="S2230" s="1288">
        <v>3.1850009128239903E-2</v>
      </c>
      <c r="T2230" s="1288">
        <v>3.1850009128239903E-2</v>
      </c>
      <c r="U2230" s="1306">
        <v>1.9250005517068101E-2</v>
      </c>
      <c r="V2230" s="1294">
        <v>1.3149302466068999E-2</v>
      </c>
    </row>
    <row r="2231" spans="1:22" s="212" customFormat="1" ht="15.5" x14ac:dyDescent="0.35">
      <c r="A2231" s="198">
        <v>2049</v>
      </c>
      <c r="B2231" s="197" t="s">
        <v>5833</v>
      </c>
      <c r="C2231" s="197">
        <v>2047</v>
      </c>
      <c r="D2231" s="225" t="str">
        <f t="shared" si="14"/>
        <v>2049_2047</v>
      </c>
      <c r="E2231" s="1231">
        <v>9.0708951736182E-2</v>
      </c>
      <c r="F2231" s="1288">
        <v>3.18154495573874E-3</v>
      </c>
      <c r="G2231" s="1306">
        <v>5.8947860335965302E-2</v>
      </c>
      <c r="H2231" s="1303">
        <v>0.17331210623217999</v>
      </c>
      <c r="I2231" s="1288">
        <v>1.8967401923330001E-2</v>
      </c>
      <c r="J2231" s="1306">
        <v>0.12896544807746599</v>
      </c>
      <c r="K2231" s="1303">
        <v>1.08056527114016E-2</v>
      </c>
      <c r="L2231" s="1288">
        <v>1.1337027053715399E-3</v>
      </c>
      <c r="M2231" s="1306">
        <v>7.6742184376714902E-3</v>
      </c>
      <c r="N2231" s="1303">
        <v>3.0000008598028201E-3</v>
      </c>
      <c r="O2231" s="1288">
        <v>2.0000005732018801E-3</v>
      </c>
      <c r="P2231" s="1288">
        <v>3.0000008598028201E-3</v>
      </c>
      <c r="Q2231" s="1306">
        <v>7.8612197989545197E-3</v>
      </c>
      <c r="R2231" s="1303">
        <v>3.1850009128239903E-2</v>
      </c>
      <c r="S2231" s="1288">
        <v>3.1850009128239903E-2</v>
      </c>
      <c r="T2231" s="1288">
        <v>3.1850009128239903E-2</v>
      </c>
      <c r="U2231" s="1306">
        <v>1.9250005517068101E-2</v>
      </c>
      <c r="V2231" s="1294">
        <v>1.12942363776374E-2</v>
      </c>
    </row>
    <row r="2232" spans="1:22" s="212" customFormat="1" ht="15.5" x14ac:dyDescent="0.35">
      <c r="A2232" s="198">
        <v>2049</v>
      </c>
      <c r="B2232" s="197" t="s">
        <v>5833</v>
      </c>
      <c r="C2232" s="197">
        <v>2048</v>
      </c>
      <c r="D2232" s="225" t="str">
        <f t="shared" si="14"/>
        <v>2049_2048</v>
      </c>
      <c r="E2232" s="1231">
        <v>8.6909696311144494E-2</v>
      </c>
      <c r="F2232" s="1288">
        <v>2.8808609407597599E-3</v>
      </c>
      <c r="G2232" s="1306">
        <v>4.6351092367450199E-2</v>
      </c>
      <c r="H2232" s="1303">
        <v>0.15912997810187299</v>
      </c>
      <c r="I2232" s="1288">
        <v>2.2008518569392701E-2</v>
      </c>
      <c r="J2232" s="1306">
        <v>0.10765036353881501</v>
      </c>
      <c r="K2232" s="1303">
        <v>8.8141554277383106E-3</v>
      </c>
      <c r="L2232" s="1288">
        <v>1.0964770410690199E-3</v>
      </c>
      <c r="M2232" s="1306">
        <v>5.4738029608013602E-3</v>
      </c>
      <c r="N2232" s="1303">
        <v>3.0000008598028201E-3</v>
      </c>
      <c r="O2232" s="1288">
        <v>2.0000005732018801E-3</v>
      </c>
      <c r="P2232" s="1288">
        <v>3.0000008598028201E-3</v>
      </c>
      <c r="Q2232" s="1306">
        <v>7.4475394357702103E-3</v>
      </c>
      <c r="R2232" s="1303">
        <v>3.1850009128239903E-2</v>
      </c>
      <c r="S2232" s="1288">
        <v>3.1850009128239903E-2</v>
      </c>
      <c r="T2232" s="1288">
        <v>3.1850009128239903E-2</v>
      </c>
      <c r="U2232" s="1306">
        <v>1.9250005517068101E-2</v>
      </c>
      <c r="V2232" s="1294">
        <v>9.2126924239451895E-3</v>
      </c>
    </row>
    <row r="2233" spans="1:22" s="212" customFormat="1" ht="15.5" x14ac:dyDescent="0.35">
      <c r="A2233" s="198">
        <v>2049</v>
      </c>
      <c r="B2233" s="197" t="s">
        <v>5833</v>
      </c>
      <c r="C2233" s="197">
        <v>2049</v>
      </c>
      <c r="D2233" s="225" t="str">
        <f t="shared" si="14"/>
        <v>2049_2049</v>
      </c>
      <c r="E2233" s="1231">
        <v>8.4600872319422302E-2</v>
      </c>
      <c r="F2233" s="1288">
        <v>1.8758973891975E-3</v>
      </c>
      <c r="G2233" s="1306">
        <v>5.7425319148435003E-2</v>
      </c>
      <c r="H2233" s="1303">
        <v>0.14801398169050001</v>
      </c>
      <c r="I2233" s="1288">
        <v>2.12886523702179E-2</v>
      </c>
      <c r="J2233" s="1306">
        <v>0.113460503759871</v>
      </c>
      <c r="K2233" s="1303">
        <v>6.9115240201174499E-3</v>
      </c>
      <c r="L2233" s="1288">
        <v>1.01315061388051E-3</v>
      </c>
      <c r="M2233" s="1306">
        <v>5.0762728290247696E-3</v>
      </c>
      <c r="N2233" s="1303">
        <v>3.0000008598028201E-3</v>
      </c>
      <c r="O2233" s="1288">
        <v>2.0000005732018801E-3</v>
      </c>
      <c r="P2233" s="1288">
        <v>3.0000008598028201E-3</v>
      </c>
      <c r="Q2233" s="1306">
        <v>7.07482285642674E-3</v>
      </c>
      <c r="R2233" s="1303">
        <v>3.1850009128239903E-2</v>
      </c>
      <c r="S2233" s="1288">
        <v>3.1850009128239903E-2</v>
      </c>
      <c r="T2233" s="1288">
        <v>3.1850009128239903E-2</v>
      </c>
      <c r="U2233" s="1306">
        <v>1.9250005517068101E-2</v>
      </c>
      <c r="V2233" s="1294">
        <v>7.2240324668735503E-3</v>
      </c>
    </row>
    <row r="2234" spans="1:22" s="212" customFormat="1" ht="15.5" x14ac:dyDescent="0.35">
      <c r="A2234" s="198">
        <v>2049</v>
      </c>
      <c r="B2234" s="197" t="s">
        <v>5833</v>
      </c>
      <c r="C2234" s="197">
        <v>2050</v>
      </c>
      <c r="D2234" s="225" t="str">
        <f t="shared" si="14"/>
        <v>2049_2050</v>
      </c>
      <c r="E2234" s="1226">
        <v>8.4600872319422302E-2</v>
      </c>
      <c r="F2234" s="1257">
        <v>1.8758973891975E-3</v>
      </c>
      <c r="G2234" s="1280">
        <v>5.7425319148435003E-2</v>
      </c>
      <c r="H2234" s="1271">
        <v>0.14801398169050001</v>
      </c>
      <c r="I2234" s="1257">
        <v>2.12886523702179E-2</v>
      </c>
      <c r="J2234" s="1280">
        <v>0.113460503759871</v>
      </c>
      <c r="K2234" s="1271">
        <v>6.9115240201174499E-3</v>
      </c>
      <c r="L2234" s="1257">
        <v>1.01315061388051E-3</v>
      </c>
      <c r="M2234" s="1280">
        <v>5.0762728290247696E-3</v>
      </c>
      <c r="N2234" s="1271">
        <v>3.0000008598028201E-3</v>
      </c>
      <c r="O2234" s="1257">
        <v>2.0000005732018801E-3</v>
      </c>
      <c r="P2234" s="1257">
        <v>3.0000008598028201E-3</v>
      </c>
      <c r="Q2234" s="1280">
        <v>7.07482285642674E-3</v>
      </c>
      <c r="R2234" s="1271">
        <v>3.1850009128239903E-2</v>
      </c>
      <c r="S2234" s="1257">
        <v>3.1850009128239903E-2</v>
      </c>
      <c r="T2234" s="1257">
        <v>3.1850009128239903E-2</v>
      </c>
      <c r="U2234" s="1280">
        <v>1.9250005517068101E-2</v>
      </c>
      <c r="V2234" s="1293">
        <v>7.2240324668735503E-3</v>
      </c>
    </row>
    <row r="2235" spans="1:22" s="212" customFormat="1" ht="15.5" x14ac:dyDescent="0.35">
      <c r="A2235" s="198">
        <v>2050</v>
      </c>
      <c r="B2235" s="197" t="s">
        <v>5833</v>
      </c>
      <c r="C2235" s="197">
        <v>1971</v>
      </c>
      <c r="D2235" s="225" t="str">
        <f t="shared" si="14"/>
        <v>2050_1971</v>
      </c>
      <c r="E2235" s="1226">
        <v>0.108400731159683</v>
      </c>
      <c r="F2235" s="1257">
        <v>1.9224471305136399E-3</v>
      </c>
      <c r="G2235" s="1280">
        <v>6.1935395973805998E-2</v>
      </c>
      <c r="H2235" s="1271">
        <v>0.24973014954240999</v>
      </c>
      <c r="I2235" s="1257">
        <v>1.68161370071034E-2</v>
      </c>
      <c r="J2235" s="1280">
        <v>0.167556617753538</v>
      </c>
      <c r="K2235" s="1271">
        <v>2.2979582177163799E-2</v>
      </c>
      <c r="L2235" s="1257">
        <v>1.0896549036963699E-3</v>
      </c>
      <c r="M2235" s="1280">
        <v>1.46617224031104E-2</v>
      </c>
      <c r="N2235" s="1271">
        <v>3.0000008598028201E-3</v>
      </c>
      <c r="O2235" s="1257">
        <v>2.0000005732018801E-3</v>
      </c>
      <c r="P2235" s="1257">
        <v>3.0000008598028201E-3</v>
      </c>
      <c r="Q2235" s="1280">
        <v>3.0000008598028201E-3</v>
      </c>
      <c r="R2235" s="1271">
        <v>3.1850009128239903E-2</v>
      </c>
      <c r="S2235" s="1257">
        <v>3.1850009128239903E-2</v>
      </c>
      <c r="T2235" s="1257">
        <v>3.1850009128239903E-2</v>
      </c>
      <c r="U2235" s="1280">
        <v>1.5925004564119952E-2</v>
      </c>
      <c r="V2235" s="1293">
        <v>2.4018616912829499E-2</v>
      </c>
    </row>
    <row r="2236" spans="1:22" s="212" customFormat="1" ht="15.5" x14ac:dyDescent="0.35">
      <c r="A2236" s="198">
        <v>2050</v>
      </c>
      <c r="B2236" s="197" t="s">
        <v>5833</v>
      </c>
      <c r="C2236" s="197">
        <v>1972</v>
      </c>
      <c r="D2236" s="225" t="str">
        <f t="shared" si="14"/>
        <v>2050_1972</v>
      </c>
      <c r="E2236" s="1226">
        <v>0.108400731159683</v>
      </c>
      <c r="F2236" s="1257">
        <v>1.9224471305136399E-3</v>
      </c>
      <c r="G2236" s="1280">
        <v>6.1935395973805998E-2</v>
      </c>
      <c r="H2236" s="1271">
        <v>0.24973014954240999</v>
      </c>
      <c r="I2236" s="1257">
        <v>1.68161370071034E-2</v>
      </c>
      <c r="J2236" s="1280">
        <v>0.167556617753538</v>
      </c>
      <c r="K2236" s="1271">
        <v>2.2979582177163799E-2</v>
      </c>
      <c r="L2236" s="1257">
        <v>1.0896549036963699E-3</v>
      </c>
      <c r="M2236" s="1280">
        <v>1.46617224031104E-2</v>
      </c>
      <c r="N2236" s="1271">
        <v>3.0000008598028201E-3</v>
      </c>
      <c r="O2236" s="1257">
        <v>2.0000005732018801E-3</v>
      </c>
      <c r="P2236" s="1257">
        <v>3.0000008598028201E-3</v>
      </c>
      <c r="Q2236" s="1280">
        <v>3.0000008598028201E-3</v>
      </c>
      <c r="R2236" s="1271">
        <v>3.1850009128239903E-2</v>
      </c>
      <c r="S2236" s="1257">
        <v>3.1850009128239903E-2</v>
      </c>
      <c r="T2236" s="1257">
        <v>3.1850009128239903E-2</v>
      </c>
      <c r="U2236" s="1280">
        <v>1.5925004564119952E-2</v>
      </c>
      <c r="V2236" s="1293">
        <v>2.4018616912829499E-2</v>
      </c>
    </row>
    <row r="2237" spans="1:22" s="212" customFormat="1" ht="15.5" x14ac:dyDescent="0.35">
      <c r="A2237" s="198">
        <v>2050</v>
      </c>
      <c r="B2237" s="197" t="s">
        <v>5833</v>
      </c>
      <c r="C2237" s="197">
        <v>1973</v>
      </c>
      <c r="D2237" s="225" t="str">
        <f t="shared" si="14"/>
        <v>2050_1973</v>
      </c>
      <c r="E2237" s="1226">
        <v>0.108400731159683</v>
      </c>
      <c r="F2237" s="1257">
        <v>1.9224471305136399E-3</v>
      </c>
      <c r="G2237" s="1280">
        <v>6.1935395973805998E-2</v>
      </c>
      <c r="H2237" s="1271">
        <v>0.24973014954240999</v>
      </c>
      <c r="I2237" s="1257">
        <v>1.68161370071034E-2</v>
      </c>
      <c r="J2237" s="1280">
        <v>0.167556617753538</v>
      </c>
      <c r="K2237" s="1271">
        <v>2.2979582177163799E-2</v>
      </c>
      <c r="L2237" s="1257">
        <v>1.0896549036963699E-3</v>
      </c>
      <c r="M2237" s="1280">
        <v>1.46617224031104E-2</v>
      </c>
      <c r="N2237" s="1271">
        <v>3.0000008598028201E-3</v>
      </c>
      <c r="O2237" s="1257">
        <v>2.0000005732018801E-3</v>
      </c>
      <c r="P2237" s="1257">
        <v>3.0000008598028201E-3</v>
      </c>
      <c r="Q2237" s="1280">
        <v>3.0000008598028201E-3</v>
      </c>
      <c r="R2237" s="1271">
        <v>3.1850009128239903E-2</v>
      </c>
      <c r="S2237" s="1257">
        <v>3.1850009128239903E-2</v>
      </c>
      <c r="T2237" s="1257">
        <v>3.1850009128239903E-2</v>
      </c>
      <c r="U2237" s="1280">
        <v>1.5925004564119952E-2</v>
      </c>
      <c r="V2237" s="1293">
        <v>2.4018616912829499E-2</v>
      </c>
    </row>
    <row r="2238" spans="1:22" s="212" customFormat="1" ht="15.5" x14ac:dyDescent="0.35">
      <c r="A2238" s="198">
        <v>2050</v>
      </c>
      <c r="B2238" s="197" t="s">
        <v>5833</v>
      </c>
      <c r="C2238" s="197">
        <v>1974</v>
      </c>
      <c r="D2238" s="225" t="str">
        <f t="shared" si="14"/>
        <v>2050_1974</v>
      </c>
      <c r="E2238" s="1226">
        <v>0.108400731159683</v>
      </c>
      <c r="F2238" s="1257">
        <v>1.9224471305136399E-3</v>
      </c>
      <c r="G2238" s="1280">
        <v>6.1935395973805998E-2</v>
      </c>
      <c r="H2238" s="1271">
        <v>0.24973014954240999</v>
      </c>
      <c r="I2238" s="1257">
        <v>1.68161370071034E-2</v>
      </c>
      <c r="J2238" s="1280">
        <v>0.167556617753538</v>
      </c>
      <c r="K2238" s="1271">
        <v>2.2979582177163799E-2</v>
      </c>
      <c r="L2238" s="1257">
        <v>1.0896549036963699E-3</v>
      </c>
      <c r="M2238" s="1280">
        <v>1.46617224031104E-2</v>
      </c>
      <c r="N2238" s="1271">
        <v>3.0000008598028201E-3</v>
      </c>
      <c r="O2238" s="1257">
        <v>2.0000005732018801E-3</v>
      </c>
      <c r="P2238" s="1257">
        <v>3.0000008598028201E-3</v>
      </c>
      <c r="Q2238" s="1280">
        <v>3.0000008598028201E-3</v>
      </c>
      <c r="R2238" s="1271">
        <v>3.1850009128239903E-2</v>
      </c>
      <c r="S2238" s="1257">
        <v>3.1850009128239903E-2</v>
      </c>
      <c r="T2238" s="1257">
        <v>3.1850009128239903E-2</v>
      </c>
      <c r="U2238" s="1280">
        <v>1.5925004564119952E-2</v>
      </c>
      <c r="V2238" s="1293">
        <v>2.4018616912829499E-2</v>
      </c>
    </row>
    <row r="2239" spans="1:22" s="212" customFormat="1" ht="15.5" x14ac:dyDescent="0.35">
      <c r="A2239" s="198">
        <v>2050</v>
      </c>
      <c r="B2239" s="197" t="s">
        <v>5833</v>
      </c>
      <c r="C2239" s="197">
        <v>1975</v>
      </c>
      <c r="D2239" s="225" t="str">
        <f t="shared" si="14"/>
        <v>2050_1975</v>
      </c>
      <c r="E2239" s="1226">
        <v>0.108400731159683</v>
      </c>
      <c r="F2239" s="1257">
        <v>1.9224471305136399E-3</v>
      </c>
      <c r="G2239" s="1280">
        <v>6.1935395973805998E-2</v>
      </c>
      <c r="H2239" s="1271">
        <v>0.24973014954240999</v>
      </c>
      <c r="I2239" s="1257">
        <v>1.68161370071034E-2</v>
      </c>
      <c r="J2239" s="1280">
        <v>0.167556617753538</v>
      </c>
      <c r="K2239" s="1271">
        <v>2.2979582177163799E-2</v>
      </c>
      <c r="L2239" s="1257">
        <v>1.0896549036963699E-3</v>
      </c>
      <c r="M2239" s="1280">
        <v>1.46617224031104E-2</v>
      </c>
      <c r="N2239" s="1271">
        <v>3.0000008598028201E-3</v>
      </c>
      <c r="O2239" s="1257">
        <v>2.0000005732018801E-3</v>
      </c>
      <c r="P2239" s="1257">
        <v>3.0000008598028201E-3</v>
      </c>
      <c r="Q2239" s="1280">
        <v>3.0000008598028201E-3</v>
      </c>
      <c r="R2239" s="1271">
        <v>3.1850009128239903E-2</v>
      </c>
      <c r="S2239" s="1257">
        <v>3.1850009128239903E-2</v>
      </c>
      <c r="T2239" s="1257">
        <v>3.1850009128239903E-2</v>
      </c>
      <c r="U2239" s="1280">
        <v>1.5925004564119952E-2</v>
      </c>
      <c r="V2239" s="1293">
        <v>2.4018616912829499E-2</v>
      </c>
    </row>
    <row r="2240" spans="1:22" s="212" customFormat="1" ht="15.5" x14ac:dyDescent="0.35">
      <c r="A2240" s="198">
        <v>2050</v>
      </c>
      <c r="B2240" s="197" t="s">
        <v>5833</v>
      </c>
      <c r="C2240" s="197">
        <v>1976</v>
      </c>
      <c r="D2240" s="225" t="str">
        <f t="shared" si="14"/>
        <v>2050_1976</v>
      </c>
      <c r="E2240" s="1226">
        <v>0.108400731159683</v>
      </c>
      <c r="F2240" s="1257">
        <v>1.9224471305136399E-3</v>
      </c>
      <c r="G2240" s="1280">
        <v>6.1935395973805998E-2</v>
      </c>
      <c r="H2240" s="1271">
        <v>0.24973014954240999</v>
      </c>
      <c r="I2240" s="1257">
        <v>1.68161370071034E-2</v>
      </c>
      <c r="J2240" s="1280">
        <v>0.167556617753538</v>
      </c>
      <c r="K2240" s="1271">
        <v>2.2979582177163799E-2</v>
      </c>
      <c r="L2240" s="1257">
        <v>1.0896549036963699E-3</v>
      </c>
      <c r="M2240" s="1280">
        <v>1.46617224031104E-2</v>
      </c>
      <c r="N2240" s="1271">
        <v>3.0000008598028201E-3</v>
      </c>
      <c r="O2240" s="1257">
        <v>2.0000005732018801E-3</v>
      </c>
      <c r="P2240" s="1257">
        <v>3.0000008598028201E-3</v>
      </c>
      <c r="Q2240" s="1280">
        <v>3.0000008598028201E-3</v>
      </c>
      <c r="R2240" s="1271">
        <v>3.1850009128239903E-2</v>
      </c>
      <c r="S2240" s="1257">
        <v>3.1850009128239903E-2</v>
      </c>
      <c r="T2240" s="1257">
        <v>3.1850009128239903E-2</v>
      </c>
      <c r="U2240" s="1280">
        <v>1.5925004564119952E-2</v>
      </c>
      <c r="V2240" s="1293">
        <v>2.4018616912829499E-2</v>
      </c>
    </row>
    <row r="2241" spans="1:22" s="212" customFormat="1" ht="15.5" x14ac:dyDescent="0.35">
      <c r="A2241" s="198">
        <v>2050</v>
      </c>
      <c r="B2241" s="197" t="s">
        <v>5833</v>
      </c>
      <c r="C2241" s="197">
        <v>1977</v>
      </c>
      <c r="D2241" s="225" t="str">
        <f t="shared" si="14"/>
        <v>2050_1977</v>
      </c>
      <c r="E2241" s="1226">
        <v>0.108400731159683</v>
      </c>
      <c r="F2241" s="1257">
        <v>1.9224471305136399E-3</v>
      </c>
      <c r="G2241" s="1280">
        <v>6.1935395973805998E-2</v>
      </c>
      <c r="H2241" s="1271">
        <v>0.24973014954240999</v>
      </c>
      <c r="I2241" s="1257">
        <v>1.68161370071034E-2</v>
      </c>
      <c r="J2241" s="1280">
        <v>0.167556617753538</v>
      </c>
      <c r="K2241" s="1271">
        <v>2.2979582177163799E-2</v>
      </c>
      <c r="L2241" s="1257">
        <v>1.0896549036963699E-3</v>
      </c>
      <c r="M2241" s="1280">
        <v>1.46617224031104E-2</v>
      </c>
      <c r="N2241" s="1271">
        <v>3.0000008598028201E-3</v>
      </c>
      <c r="O2241" s="1257">
        <v>2.0000005732018801E-3</v>
      </c>
      <c r="P2241" s="1257">
        <v>3.0000008598028201E-3</v>
      </c>
      <c r="Q2241" s="1280">
        <v>3.0000008598028201E-3</v>
      </c>
      <c r="R2241" s="1271">
        <v>3.1850009128239903E-2</v>
      </c>
      <c r="S2241" s="1257">
        <v>3.1850009128239903E-2</v>
      </c>
      <c r="T2241" s="1257">
        <v>3.1850009128239903E-2</v>
      </c>
      <c r="U2241" s="1280">
        <v>1.5925004564119952E-2</v>
      </c>
      <c r="V2241" s="1293">
        <v>2.4018616912829499E-2</v>
      </c>
    </row>
    <row r="2242" spans="1:22" s="212" customFormat="1" ht="15.5" x14ac:dyDescent="0.35">
      <c r="A2242" s="198">
        <v>2050</v>
      </c>
      <c r="B2242" s="197" t="s">
        <v>5833</v>
      </c>
      <c r="C2242" s="197">
        <v>1978</v>
      </c>
      <c r="D2242" s="225" t="str">
        <f t="shared" si="14"/>
        <v>2050_1978</v>
      </c>
      <c r="E2242" s="1226">
        <v>0.108400731159683</v>
      </c>
      <c r="F2242" s="1257">
        <v>1.9224471305136399E-3</v>
      </c>
      <c r="G2242" s="1280">
        <v>6.1935395973805998E-2</v>
      </c>
      <c r="H2242" s="1271">
        <v>0.24973014954240999</v>
      </c>
      <c r="I2242" s="1257">
        <v>1.68161370071034E-2</v>
      </c>
      <c r="J2242" s="1280">
        <v>0.167556617753538</v>
      </c>
      <c r="K2242" s="1271">
        <v>2.2979582177163799E-2</v>
      </c>
      <c r="L2242" s="1257">
        <v>1.0896549036963699E-3</v>
      </c>
      <c r="M2242" s="1280">
        <v>1.46617224031104E-2</v>
      </c>
      <c r="N2242" s="1271">
        <v>3.0000008598028201E-3</v>
      </c>
      <c r="O2242" s="1257">
        <v>2.0000005732018801E-3</v>
      </c>
      <c r="P2242" s="1257">
        <v>3.0000008598028201E-3</v>
      </c>
      <c r="Q2242" s="1280">
        <v>3.0000008598028201E-3</v>
      </c>
      <c r="R2242" s="1271">
        <v>3.1850009128239903E-2</v>
      </c>
      <c r="S2242" s="1257">
        <v>3.1850009128239903E-2</v>
      </c>
      <c r="T2242" s="1257">
        <v>3.1850009128239903E-2</v>
      </c>
      <c r="U2242" s="1280">
        <v>1.5925004564119952E-2</v>
      </c>
      <c r="V2242" s="1293">
        <v>2.4018616912829499E-2</v>
      </c>
    </row>
    <row r="2243" spans="1:22" s="212" customFormat="1" ht="15.5" x14ac:dyDescent="0.35">
      <c r="A2243" s="198">
        <v>2050</v>
      </c>
      <c r="B2243" s="197" t="s">
        <v>5833</v>
      </c>
      <c r="C2243" s="197">
        <v>1979</v>
      </c>
      <c r="D2243" s="225" t="str">
        <f t="shared" si="14"/>
        <v>2050_1979</v>
      </c>
      <c r="E2243" s="1226">
        <v>0.108400731159683</v>
      </c>
      <c r="F2243" s="1257">
        <v>1.9224471305136399E-3</v>
      </c>
      <c r="G2243" s="1280">
        <v>6.1935395973805998E-2</v>
      </c>
      <c r="H2243" s="1271">
        <v>0.24973014954240999</v>
      </c>
      <c r="I2243" s="1257">
        <v>1.68161370071034E-2</v>
      </c>
      <c r="J2243" s="1280">
        <v>0.167556617753538</v>
      </c>
      <c r="K2243" s="1271">
        <v>2.2979582177163799E-2</v>
      </c>
      <c r="L2243" s="1257">
        <v>1.0896549036963699E-3</v>
      </c>
      <c r="M2243" s="1280">
        <v>1.46617224031104E-2</v>
      </c>
      <c r="N2243" s="1271">
        <v>3.0000008598028201E-3</v>
      </c>
      <c r="O2243" s="1257">
        <v>2.0000005732018801E-3</v>
      </c>
      <c r="P2243" s="1257">
        <v>3.0000008598028201E-3</v>
      </c>
      <c r="Q2243" s="1280">
        <v>3.0000008598028201E-3</v>
      </c>
      <c r="R2243" s="1271">
        <v>3.1850009128239903E-2</v>
      </c>
      <c r="S2243" s="1257">
        <v>3.1850009128239903E-2</v>
      </c>
      <c r="T2243" s="1257">
        <v>3.1850009128239903E-2</v>
      </c>
      <c r="U2243" s="1280">
        <v>1.5925004564119952E-2</v>
      </c>
      <c r="V2243" s="1293">
        <v>2.4018616912829499E-2</v>
      </c>
    </row>
    <row r="2244" spans="1:22" s="212" customFormat="1" ht="15.5" x14ac:dyDescent="0.35">
      <c r="A2244" s="198">
        <v>2050</v>
      </c>
      <c r="B2244" s="197" t="s">
        <v>5833</v>
      </c>
      <c r="C2244" s="197">
        <v>1980</v>
      </c>
      <c r="D2244" s="225" t="str">
        <f t="shared" si="14"/>
        <v>2050_1980</v>
      </c>
      <c r="E2244" s="1226">
        <v>0.108400731159683</v>
      </c>
      <c r="F2244" s="1257">
        <v>1.9224471305136399E-3</v>
      </c>
      <c r="G2244" s="1280">
        <v>6.1935395973805998E-2</v>
      </c>
      <c r="H2244" s="1271">
        <v>0.24973014954240999</v>
      </c>
      <c r="I2244" s="1257">
        <v>1.68161370071034E-2</v>
      </c>
      <c r="J2244" s="1280">
        <v>0.167556617753538</v>
      </c>
      <c r="K2244" s="1271">
        <v>2.2979582177163799E-2</v>
      </c>
      <c r="L2244" s="1257">
        <v>1.0896549036963699E-3</v>
      </c>
      <c r="M2244" s="1280">
        <v>1.46617224031104E-2</v>
      </c>
      <c r="N2244" s="1271">
        <v>3.0000008598028201E-3</v>
      </c>
      <c r="O2244" s="1257">
        <v>2.0000005732018801E-3</v>
      </c>
      <c r="P2244" s="1257">
        <v>3.0000008598028201E-3</v>
      </c>
      <c r="Q2244" s="1280">
        <v>3.0000008598028201E-3</v>
      </c>
      <c r="R2244" s="1271">
        <v>3.1850009128239903E-2</v>
      </c>
      <c r="S2244" s="1257">
        <v>3.1850009128239903E-2</v>
      </c>
      <c r="T2244" s="1257">
        <v>3.1850009128239903E-2</v>
      </c>
      <c r="U2244" s="1280">
        <v>1.5925004564119952E-2</v>
      </c>
      <c r="V2244" s="1293">
        <v>2.4018616912829499E-2</v>
      </c>
    </row>
    <row r="2245" spans="1:22" s="212" customFormat="1" ht="15.5" x14ac:dyDescent="0.35">
      <c r="A2245" s="198">
        <v>2050</v>
      </c>
      <c r="B2245" s="197" t="s">
        <v>5833</v>
      </c>
      <c r="C2245" s="197">
        <v>1981</v>
      </c>
      <c r="D2245" s="225" t="str">
        <f t="shared" si="14"/>
        <v>2050_1981</v>
      </c>
      <c r="E2245" s="1226">
        <v>0.108400731159683</v>
      </c>
      <c r="F2245" s="1257">
        <v>1.9224471305136399E-3</v>
      </c>
      <c r="G2245" s="1280">
        <v>6.1935395973805998E-2</v>
      </c>
      <c r="H2245" s="1271">
        <v>0.24973014954240999</v>
      </c>
      <c r="I2245" s="1257">
        <v>1.68161370071034E-2</v>
      </c>
      <c r="J2245" s="1280">
        <v>0.167556617753538</v>
      </c>
      <c r="K2245" s="1271">
        <v>2.2979582177163799E-2</v>
      </c>
      <c r="L2245" s="1257">
        <v>1.0896549036963699E-3</v>
      </c>
      <c r="M2245" s="1280">
        <v>1.46617224031104E-2</v>
      </c>
      <c r="N2245" s="1271">
        <v>3.0000008598028201E-3</v>
      </c>
      <c r="O2245" s="1257">
        <v>2.0000005732018801E-3</v>
      </c>
      <c r="P2245" s="1257">
        <v>3.0000008598028201E-3</v>
      </c>
      <c r="Q2245" s="1280">
        <v>3.0000008598028201E-3</v>
      </c>
      <c r="R2245" s="1271">
        <v>3.1850009128239903E-2</v>
      </c>
      <c r="S2245" s="1257">
        <v>3.1850009128239903E-2</v>
      </c>
      <c r="T2245" s="1257">
        <v>3.1850009128239903E-2</v>
      </c>
      <c r="U2245" s="1280">
        <v>1.5925004564119952E-2</v>
      </c>
      <c r="V2245" s="1293">
        <v>2.4018616912829499E-2</v>
      </c>
    </row>
    <row r="2246" spans="1:22" s="212" customFormat="1" ht="15.5" x14ac:dyDescent="0.35">
      <c r="A2246" s="198">
        <v>2050</v>
      </c>
      <c r="B2246" s="197" t="s">
        <v>5833</v>
      </c>
      <c r="C2246" s="197">
        <v>1982</v>
      </c>
      <c r="D2246" s="225" t="str">
        <f t="shared" si="14"/>
        <v>2050_1982</v>
      </c>
      <c r="E2246" s="1226">
        <v>0.108400731159683</v>
      </c>
      <c r="F2246" s="1257">
        <v>1.9224471305136399E-3</v>
      </c>
      <c r="G2246" s="1280">
        <v>6.1935395973805998E-2</v>
      </c>
      <c r="H2246" s="1271">
        <v>0.24973014954240999</v>
      </c>
      <c r="I2246" s="1257">
        <v>1.68161370071034E-2</v>
      </c>
      <c r="J2246" s="1280">
        <v>0.167556617753538</v>
      </c>
      <c r="K2246" s="1271">
        <v>2.2979582177163799E-2</v>
      </c>
      <c r="L2246" s="1257">
        <v>1.0896549036963699E-3</v>
      </c>
      <c r="M2246" s="1280">
        <v>1.46617224031104E-2</v>
      </c>
      <c r="N2246" s="1271">
        <v>3.0000008598028201E-3</v>
      </c>
      <c r="O2246" s="1257">
        <v>2.0000005732018801E-3</v>
      </c>
      <c r="P2246" s="1257">
        <v>3.0000008598028201E-3</v>
      </c>
      <c r="Q2246" s="1280">
        <v>3.0000008598028201E-3</v>
      </c>
      <c r="R2246" s="1271">
        <v>3.1850009128239903E-2</v>
      </c>
      <c r="S2246" s="1257">
        <v>3.1850009128239903E-2</v>
      </c>
      <c r="T2246" s="1257">
        <v>3.1850009128239903E-2</v>
      </c>
      <c r="U2246" s="1280">
        <v>1.5925004564119952E-2</v>
      </c>
      <c r="V2246" s="1293">
        <v>2.4018616912829499E-2</v>
      </c>
    </row>
    <row r="2247" spans="1:22" s="212" customFormat="1" ht="15.5" x14ac:dyDescent="0.35">
      <c r="A2247" s="198">
        <v>2050</v>
      </c>
      <c r="B2247" s="197" t="s">
        <v>5833</v>
      </c>
      <c r="C2247" s="197">
        <v>1983</v>
      </c>
      <c r="D2247" s="225" t="str">
        <f t="shared" si="14"/>
        <v>2050_1983</v>
      </c>
      <c r="E2247" s="1226">
        <v>0.108400731159683</v>
      </c>
      <c r="F2247" s="1257">
        <v>1.9224471305136399E-3</v>
      </c>
      <c r="G2247" s="1280">
        <v>6.1935395973805998E-2</v>
      </c>
      <c r="H2247" s="1271">
        <v>0.24973014954240999</v>
      </c>
      <c r="I2247" s="1257">
        <v>1.68161370071034E-2</v>
      </c>
      <c r="J2247" s="1280">
        <v>0.167556617753538</v>
      </c>
      <c r="K2247" s="1271">
        <v>2.2979582177163799E-2</v>
      </c>
      <c r="L2247" s="1257">
        <v>1.0896549036963699E-3</v>
      </c>
      <c r="M2247" s="1280">
        <v>1.46617224031104E-2</v>
      </c>
      <c r="N2247" s="1271">
        <v>3.0000008598028201E-3</v>
      </c>
      <c r="O2247" s="1257">
        <v>2.0000005732018801E-3</v>
      </c>
      <c r="P2247" s="1257">
        <v>3.0000008598028201E-3</v>
      </c>
      <c r="Q2247" s="1280">
        <v>3.0000008598028201E-3</v>
      </c>
      <c r="R2247" s="1271">
        <v>3.1850009128239903E-2</v>
      </c>
      <c r="S2247" s="1257">
        <v>3.1850009128239903E-2</v>
      </c>
      <c r="T2247" s="1257">
        <v>3.1850009128239903E-2</v>
      </c>
      <c r="U2247" s="1280">
        <v>1.5925004564119952E-2</v>
      </c>
      <c r="V2247" s="1293">
        <v>2.4018616912829499E-2</v>
      </c>
    </row>
    <row r="2248" spans="1:22" s="212" customFormat="1" ht="15.5" x14ac:dyDescent="0.35">
      <c r="A2248" s="198">
        <v>2050</v>
      </c>
      <c r="B2248" s="197" t="s">
        <v>5833</v>
      </c>
      <c r="C2248" s="197">
        <v>1984</v>
      </c>
      <c r="D2248" s="225" t="str">
        <f t="shared" si="14"/>
        <v>2050_1984</v>
      </c>
      <c r="E2248" s="1226">
        <v>0.108400731159683</v>
      </c>
      <c r="F2248" s="1257">
        <v>1.9224471305136399E-3</v>
      </c>
      <c r="G2248" s="1280">
        <v>6.1935395973805998E-2</v>
      </c>
      <c r="H2248" s="1271">
        <v>0.24973014954240999</v>
      </c>
      <c r="I2248" s="1257">
        <v>1.68161370071034E-2</v>
      </c>
      <c r="J2248" s="1280">
        <v>0.167556617753538</v>
      </c>
      <c r="K2248" s="1271">
        <v>2.2979582177163799E-2</v>
      </c>
      <c r="L2248" s="1257">
        <v>1.0896549036963699E-3</v>
      </c>
      <c r="M2248" s="1280">
        <v>1.46617224031104E-2</v>
      </c>
      <c r="N2248" s="1271">
        <v>3.0000008598028201E-3</v>
      </c>
      <c r="O2248" s="1257">
        <v>2.0000005732018801E-3</v>
      </c>
      <c r="P2248" s="1257">
        <v>3.0000008598028201E-3</v>
      </c>
      <c r="Q2248" s="1280">
        <v>3.0000008598028201E-3</v>
      </c>
      <c r="R2248" s="1271">
        <v>3.1850009128239903E-2</v>
      </c>
      <c r="S2248" s="1257">
        <v>3.1850009128239903E-2</v>
      </c>
      <c r="T2248" s="1257">
        <v>3.1850009128239903E-2</v>
      </c>
      <c r="U2248" s="1280">
        <v>1.5925004564119952E-2</v>
      </c>
      <c r="V2248" s="1293">
        <v>2.4018616912829499E-2</v>
      </c>
    </row>
    <row r="2249" spans="1:22" s="212" customFormat="1" ht="15.5" x14ac:dyDescent="0.35">
      <c r="A2249" s="198">
        <v>2050</v>
      </c>
      <c r="B2249" s="197" t="s">
        <v>5833</v>
      </c>
      <c r="C2249" s="197">
        <v>1985</v>
      </c>
      <c r="D2249" s="225" t="str">
        <f t="shared" si="14"/>
        <v>2050_1985</v>
      </c>
      <c r="E2249" s="1226">
        <v>0.108400731159683</v>
      </c>
      <c r="F2249" s="1257">
        <v>1.9224471305136399E-3</v>
      </c>
      <c r="G2249" s="1280">
        <v>6.1935395973805998E-2</v>
      </c>
      <c r="H2249" s="1271">
        <v>0.24973014954240999</v>
      </c>
      <c r="I2249" s="1257">
        <v>1.68161370071034E-2</v>
      </c>
      <c r="J2249" s="1280">
        <v>0.167556617753538</v>
      </c>
      <c r="K2249" s="1271">
        <v>2.2979582177163799E-2</v>
      </c>
      <c r="L2249" s="1257">
        <v>1.0896549036963699E-3</v>
      </c>
      <c r="M2249" s="1280">
        <v>1.46617224031104E-2</v>
      </c>
      <c r="N2249" s="1271">
        <v>3.0000008598028201E-3</v>
      </c>
      <c r="O2249" s="1257">
        <v>2.0000005732018801E-3</v>
      </c>
      <c r="P2249" s="1257">
        <v>3.0000008598028201E-3</v>
      </c>
      <c r="Q2249" s="1280">
        <v>3.0000008598028201E-3</v>
      </c>
      <c r="R2249" s="1271">
        <v>3.1850009128239903E-2</v>
      </c>
      <c r="S2249" s="1257">
        <v>3.1850009128239903E-2</v>
      </c>
      <c r="T2249" s="1257">
        <v>3.1850009128239903E-2</v>
      </c>
      <c r="U2249" s="1280">
        <v>1.5925004564119952E-2</v>
      </c>
      <c r="V2249" s="1293">
        <v>2.4018616912829499E-2</v>
      </c>
    </row>
    <row r="2250" spans="1:22" s="212" customFormat="1" ht="15.5" x14ac:dyDescent="0.35">
      <c r="A2250" s="198">
        <v>2050</v>
      </c>
      <c r="B2250" s="197" t="s">
        <v>5833</v>
      </c>
      <c r="C2250" s="197">
        <v>1986</v>
      </c>
      <c r="D2250" s="225" t="str">
        <f t="shared" si="14"/>
        <v>2050_1986</v>
      </c>
      <c r="E2250" s="1226">
        <v>0.108400731159683</v>
      </c>
      <c r="F2250" s="1257">
        <v>1.9224471305136399E-3</v>
      </c>
      <c r="G2250" s="1280">
        <v>6.1935395973805998E-2</v>
      </c>
      <c r="H2250" s="1271">
        <v>0.24973014954240999</v>
      </c>
      <c r="I2250" s="1257">
        <v>1.68161370071034E-2</v>
      </c>
      <c r="J2250" s="1280">
        <v>0.167556617753538</v>
      </c>
      <c r="K2250" s="1271">
        <v>2.2979582177163799E-2</v>
      </c>
      <c r="L2250" s="1257">
        <v>1.0896549036963699E-3</v>
      </c>
      <c r="M2250" s="1280">
        <v>1.46617224031104E-2</v>
      </c>
      <c r="N2250" s="1271">
        <v>3.0000008598028201E-3</v>
      </c>
      <c r="O2250" s="1257">
        <v>2.0000005732018801E-3</v>
      </c>
      <c r="P2250" s="1257">
        <v>3.0000008598028201E-3</v>
      </c>
      <c r="Q2250" s="1280">
        <v>3.0000008598028201E-3</v>
      </c>
      <c r="R2250" s="1271">
        <v>3.1850009128239903E-2</v>
      </c>
      <c r="S2250" s="1257">
        <v>3.1850009128239903E-2</v>
      </c>
      <c r="T2250" s="1257">
        <v>3.1850009128239903E-2</v>
      </c>
      <c r="U2250" s="1280">
        <v>1.5925004564119952E-2</v>
      </c>
      <c r="V2250" s="1293">
        <v>2.4018616912829499E-2</v>
      </c>
    </row>
    <row r="2251" spans="1:22" s="212" customFormat="1" ht="15.5" x14ac:dyDescent="0.35">
      <c r="A2251" s="198">
        <v>2050</v>
      </c>
      <c r="B2251" s="197" t="s">
        <v>5833</v>
      </c>
      <c r="C2251" s="197">
        <v>1987</v>
      </c>
      <c r="D2251" s="225" t="str">
        <f t="shared" si="14"/>
        <v>2050_1987</v>
      </c>
      <c r="E2251" s="1226">
        <v>0.108400731159683</v>
      </c>
      <c r="F2251" s="1257">
        <v>1.9224471305136399E-3</v>
      </c>
      <c r="G2251" s="1280">
        <v>6.1935395973805998E-2</v>
      </c>
      <c r="H2251" s="1271">
        <v>0.24973014954240999</v>
      </c>
      <c r="I2251" s="1257">
        <v>1.68161370071034E-2</v>
      </c>
      <c r="J2251" s="1280">
        <v>0.167556617753538</v>
      </c>
      <c r="K2251" s="1271">
        <v>2.2979582177163799E-2</v>
      </c>
      <c r="L2251" s="1257">
        <v>1.0896549036963699E-3</v>
      </c>
      <c r="M2251" s="1280">
        <v>1.46617224031104E-2</v>
      </c>
      <c r="N2251" s="1271">
        <v>3.0000008598028201E-3</v>
      </c>
      <c r="O2251" s="1257">
        <v>2.0000005732018801E-3</v>
      </c>
      <c r="P2251" s="1257">
        <v>3.0000008598028201E-3</v>
      </c>
      <c r="Q2251" s="1280">
        <v>3.0000008598028201E-3</v>
      </c>
      <c r="R2251" s="1271">
        <v>3.1850009128239903E-2</v>
      </c>
      <c r="S2251" s="1257">
        <v>3.1850009128239903E-2</v>
      </c>
      <c r="T2251" s="1257">
        <v>3.1850009128239903E-2</v>
      </c>
      <c r="U2251" s="1280">
        <v>1.5925004564119952E-2</v>
      </c>
      <c r="V2251" s="1293">
        <v>2.4018616912829499E-2</v>
      </c>
    </row>
    <row r="2252" spans="1:22" s="212" customFormat="1" ht="15.5" x14ac:dyDescent="0.35">
      <c r="A2252" s="198">
        <v>2050</v>
      </c>
      <c r="B2252" s="197" t="s">
        <v>5833</v>
      </c>
      <c r="C2252" s="197">
        <v>1988</v>
      </c>
      <c r="D2252" s="225" t="str">
        <f t="shared" si="14"/>
        <v>2050_1988</v>
      </c>
      <c r="E2252" s="1226">
        <v>0.108400731159683</v>
      </c>
      <c r="F2252" s="1257">
        <v>1.9224471305136399E-3</v>
      </c>
      <c r="G2252" s="1280">
        <v>6.1935395973805998E-2</v>
      </c>
      <c r="H2252" s="1271">
        <v>0.24973014954240999</v>
      </c>
      <c r="I2252" s="1257">
        <v>1.68161370071034E-2</v>
      </c>
      <c r="J2252" s="1280">
        <v>0.167556617753538</v>
      </c>
      <c r="K2252" s="1271">
        <v>2.2979582177163799E-2</v>
      </c>
      <c r="L2252" s="1257">
        <v>1.0896549036963699E-3</v>
      </c>
      <c r="M2252" s="1280">
        <v>1.46617224031104E-2</v>
      </c>
      <c r="N2252" s="1271">
        <v>3.0000008598028201E-3</v>
      </c>
      <c r="O2252" s="1257">
        <v>2.0000005732018801E-3</v>
      </c>
      <c r="P2252" s="1257">
        <v>3.0000008598028201E-3</v>
      </c>
      <c r="Q2252" s="1280">
        <v>3.0000008598028201E-3</v>
      </c>
      <c r="R2252" s="1271">
        <v>3.1850009128239903E-2</v>
      </c>
      <c r="S2252" s="1257">
        <v>3.1850009128239903E-2</v>
      </c>
      <c r="T2252" s="1257">
        <v>3.1850009128239903E-2</v>
      </c>
      <c r="U2252" s="1280">
        <v>1.5925004564119952E-2</v>
      </c>
      <c r="V2252" s="1293">
        <v>2.4018616912829499E-2</v>
      </c>
    </row>
    <row r="2253" spans="1:22" s="212" customFormat="1" ht="15.5" x14ac:dyDescent="0.35">
      <c r="A2253" s="198">
        <v>2050</v>
      </c>
      <c r="B2253" s="197" t="s">
        <v>5833</v>
      </c>
      <c r="C2253" s="197">
        <v>1989</v>
      </c>
      <c r="D2253" s="225" t="str">
        <f t="shared" si="14"/>
        <v>2050_1989</v>
      </c>
      <c r="E2253" s="1226">
        <v>0.108400731159683</v>
      </c>
      <c r="F2253" s="1257">
        <v>1.9224471305136399E-3</v>
      </c>
      <c r="G2253" s="1280">
        <v>6.1935395973805998E-2</v>
      </c>
      <c r="H2253" s="1271">
        <v>0.24973014954240999</v>
      </c>
      <c r="I2253" s="1257">
        <v>1.68161370071034E-2</v>
      </c>
      <c r="J2253" s="1280">
        <v>0.167556617753538</v>
      </c>
      <c r="K2253" s="1271">
        <v>2.2979582177163799E-2</v>
      </c>
      <c r="L2253" s="1257">
        <v>1.0896549036963699E-3</v>
      </c>
      <c r="M2253" s="1280">
        <v>1.46617224031104E-2</v>
      </c>
      <c r="N2253" s="1271">
        <v>3.0000008598028201E-3</v>
      </c>
      <c r="O2253" s="1257">
        <v>2.0000005732018801E-3</v>
      </c>
      <c r="P2253" s="1257">
        <v>3.0000008598028201E-3</v>
      </c>
      <c r="Q2253" s="1280">
        <v>3.0000008598028201E-3</v>
      </c>
      <c r="R2253" s="1271">
        <v>3.1850009128239903E-2</v>
      </c>
      <c r="S2253" s="1257">
        <v>3.1850009128239903E-2</v>
      </c>
      <c r="T2253" s="1257">
        <v>3.1850009128239903E-2</v>
      </c>
      <c r="U2253" s="1280">
        <v>1.5925004564119952E-2</v>
      </c>
      <c r="V2253" s="1293">
        <v>2.4018616912829499E-2</v>
      </c>
    </row>
    <row r="2254" spans="1:22" s="212" customFormat="1" ht="15.5" x14ac:dyDescent="0.35">
      <c r="A2254" s="198">
        <v>2050</v>
      </c>
      <c r="B2254" s="197" t="s">
        <v>5833</v>
      </c>
      <c r="C2254" s="197">
        <v>1990</v>
      </c>
      <c r="D2254" s="225" t="str">
        <f t="shared" si="14"/>
        <v>2050_1990</v>
      </c>
      <c r="E2254" s="1226">
        <v>0.108400731159683</v>
      </c>
      <c r="F2254" s="1257">
        <v>1.9224471305136399E-3</v>
      </c>
      <c r="G2254" s="1280">
        <v>6.1935395973805998E-2</v>
      </c>
      <c r="H2254" s="1271">
        <v>0.24973014954240999</v>
      </c>
      <c r="I2254" s="1257">
        <v>1.68161370071034E-2</v>
      </c>
      <c r="J2254" s="1280">
        <v>0.167556617753538</v>
      </c>
      <c r="K2254" s="1271">
        <v>2.2979582177163799E-2</v>
      </c>
      <c r="L2254" s="1257">
        <v>1.0896549036963699E-3</v>
      </c>
      <c r="M2254" s="1280">
        <v>1.46617224031104E-2</v>
      </c>
      <c r="N2254" s="1271">
        <v>3.0000008598028201E-3</v>
      </c>
      <c r="O2254" s="1257">
        <v>2.0000005732018801E-3</v>
      </c>
      <c r="P2254" s="1257">
        <v>3.0000008598028201E-3</v>
      </c>
      <c r="Q2254" s="1280">
        <v>3.0000008598028201E-3</v>
      </c>
      <c r="R2254" s="1271">
        <v>3.1850009128239903E-2</v>
      </c>
      <c r="S2254" s="1257">
        <v>3.1850009128239903E-2</v>
      </c>
      <c r="T2254" s="1257">
        <v>3.1850009128239903E-2</v>
      </c>
      <c r="U2254" s="1280">
        <v>1.5925004564119952E-2</v>
      </c>
      <c r="V2254" s="1293">
        <v>2.4018616912829499E-2</v>
      </c>
    </row>
    <row r="2255" spans="1:22" s="212" customFormat="1" ht="15.5" x14ac:dyDescent="0.35">
      <c r="A2255" s="198">
        <v>2050</v>
      </c>
      <c r="B2255" s="197" t="s">
        <v>5833</v>
      </c>
      <c r="C2255" s="197">
        <v>1991</v>
      </c>
      <c r="D2255" s="225" t="str">
        <f t="shared" si="14"/>
        <v>2050_1991</v>
      </c>
      <c r="E2255" s="1226">
        <v>0.108400731159683</v>
      </c>
      <c r="F2255" s="1257">
        <v>1.9224471305136399E-3</v>
      </c>
      <c r="G2255" s="1280">
        <v>6.1935395973805998E-2</v>
      </c>
      <c r="H2255" s="1271">
        <v>0.24973014954240999</v>
      </c>
      <c r="I2255" s="1257">
        <v>1.68161370071034E-2</v>
      </c>
      <c r="J2255" s="1280">
        <v>0.167556617753538</v>
      </c>
      <c r="K2255" s="1271">
        <v>2.2979582177163799E-2</v>
      </c>
      <c r="L2255" s="1257">
        <v>1.0896549036963699E-3</v>
      </c>
      <c r="M2255" s="1280">
        <v>1.46617224031104E-2</v>
      </c>
      <c r="N2255" s="1271">
        <v>3.0000008598028201E-3</v>
      </c>
      <c r="O2255" s="1257">
        <v>2.0000005732018801E-3</v>
      </c>
      <c r="P2255" s="1257">
        <v>3.0000008598028201E-3</v>
      </c>
      <c r="Q2255" s="1280">
        <v>3.0000008598028201E-3</v>
      </c>
      <c r="R2255" s="1271">
        <v>3.1850009128239903E-2</v>
      </c>
      <c r="S2255" s="1257">
        <v>3.1850009128239903E-2</v>
      </c>
      <c r="T2255" s="1257">
        <v>3.1850009128239903E-2</v>
      </c>
      <c r="U2255" s="1280">
        <v>1.5925004564119952E-2</v>
      </c>
      <c r="V2255" s="1293">
        <v>2.4018616912829499E-2</v>
      </c>
    </row>
    <row r="2256" spans="1:22" s="212" customFormat="1" ht="15.5" x14ac:dyDescent="0.35">
      <c r="A2256" s="198">
        <v>2050</v>
      </c>
      <c r="B2256" s="197" t="s">
        <v>5833</v>
      </c>
      <c r="C2256" s="197">
        <v>1992</v>
      </c>
      <c r="D2256" s="225" t="str">
        <f t="shared" si="14"/>
        <v>2050_1992</v>
      </c>
      <c r="E2256" s="1226">
        <v>0.108400731159683</v>
      </c>
      <c r="F2256" s="1257">
        <v>1.9224471305136399E-3</v>
      </c>
      <c r="G2256" s="1280">
        <v>6.1935395973805998E-2</v>
      </c>
      <c r="H2256" s="1271">
        <v>0.24973014954240999</v>
      </c>
      <c r="I2256" s="1257">
        <v>1.68161370071034E-2</v>
      </c>
      <c r="J2256" s="1280">
        <v>0.167556617753538</v>
      </c>
      <c r="K2256" s="1271">
        <v>2.2979582177163799E-2</v>
      </c>
      <c r="L2256" s="1257">
        <v>1.0896549036963699E-3</v>
      </c>
      <c r="M2256" s="1280">
        <v>1.46617224031104E-2</v>
      </c>
      <c r="N2256" s="1271">
        <v>3.0000008598028201E-3</v>
      </c>
      <c r="O2256" s="1257">
        <v>2.0000005732018801E-3</v>
      </c>
      <c r="P2256" s="1257">
        <v>3.0000008598028201E-3</v>
      </c>
      <c r="Q2256" s="1280">
        <v>3.0000008598028201E-3</v>
      </c>
      <c r="R2256" s="1271">
        <v>3.1850009128239903E-2</v>
      </c>
      <c r="S2256" s="1257">
        <v>3.1850009128239903E-2</v>
      </c>
      <c r="T2256" s="1257">
        <v>3.1850009128239903E-2</v>
      </c>
      <c r="U2256" s="1280">
        <v>1.5925004564119952E-2</v>
      </c>
      <c r="V2256" s="1293">
        <v>2.4018616912829499E-2</v>
      </c>
    </row>
    <row r="2257" spans="1:22" s="212" customFormat="1" ht="15.5" x14ac:dyDescent="0.35">
      <c r="A2257" s="198">
        <v>2050</v>
      </c>
      <c r="B2257" s="197" t="s">
        <v>5833</v>
      </c>
      <c r="C2257" s="197">
        <v>1993</v>
      </c>
      <c r="D2257" s="225" t="str">
        <f t="shared" si="14"/>
        <v>2050_1993</v>
      </c>
      <c r="E2257" s="1226">
        <v>0.108400731159683</v>
      </c>
      <c r="F2257" s="1257">
        <v>1.9224471305136399E-3</v>
      </c>
      <c r="G2257" s="1280">
        <v>6.1935395973805998E-2</v>
      </c>
      <c r="H2257" s="1271">
        <v>0.24973014954240999</v>
      </c>
      <c r="I2257" s="1257">
        <v>1.68161370071034E-2</v>
      </c>
      <c r="J2257" s="1280">
        <v>0.167556617753538</v>
      </c>
      <c r="K2257" s="1271">
        <v>2.2979582177163799E-2</v>
      </c>
      <c r="L2257" s="1257">
        <v>1.0896549036963699E-3</v>
      </c>
      <c r="M2257" s="1280">
        <v>1.46617224031104E-2</v>
      </c>
      <c r="N2257" s="1271">
        <v>3.0000008598028201E-3</v>
      </c>
      <c r="O2257" s="1257">
        <v>2.0000005732018801E-3</v>
      </c>
      <c r="P2257" s="1257">
        <v>3.0000008598028201E-3</v>
      </c>
      <c r="Q2257" s="1280">
        <v>3.0000008598028201E-3</v>
      </c>
      <c r="R2257" s="1271">
        <v>3.1850009128239903E-2</v>
      </c>
      <c r="S2257" s="1257">
        <v>3.1850009128239903E-2</v>
      </c>
      <c r="T2257" s="1257">
        <v>3.1850009128239903E-2</v>
      </c>
      <c r="U2257" s="1280">
        <v>1.5925004564119952E-2</v>
      </c>
      <c r="V2257" s="1293">
        <v>2.4018616912829499E-2</v>
      </c>
    </row>
    <row r="2258" spans="1:22" s="212" customFormat="1" ht="15.5" x14ac:dyDescent="0.35">
      <c r="A2258" s="198">
        <v>2050</v>
      </c>
      <c r="B2258" s="197" t="s">
        <v>5833</v>
      </c>
      <c r="C2258" s="197">
        <v>1994</v>
      </c>
      <c r="D2258" s="225" t="str">
        <f t="shared" si="14"/>
        <v>2050_1994</v>
      </c>
      <c r="E2258" s="1226">
        <v>0.108400731159683</v>
      </c>
      <c r="F2258" s="1257">
        <v>1.9224471305136399E-3</v>
      </c>
      <c r="G2258" s="1280">
        <v>6.1935395973805998E-2</v>
      </c>
      <c r="H2258" s="1271">
        <v>0.24973014954240999</v>
      </c>
      <c r="I2258" s="1257">
        <v>1.68161370071034E-2</v>
      </c>
      <c r="J2258" s="1280">
        <v>0.167556617753538</v>
      </c>
      <c r="K2258" s="1271">
        <v>2.2979582177163799E-2</v>
      </c>
      <c r="L2258" s="1257">
        <v>1.0896549036963699E-3</v>
      </c>
      <c r="M2258" s="1280">
        <v>1.46617224031104E-2</v>
      </c>
      <c r="N2258" s="1271">
        <v>3.0000008598028201E-3</v>
      </c>
      <c r="O2258" s="1257">
        <v>2.0000005732018801E-3</v>
      </c>
      <c r="P2258" s="1257">
        <v>3.0000008598028201E-3</v>
      </c>
      <c r="Q2258" s="1280">
        <v>3.0000008598028201E-3</v>
      </c>
      <c r="R2258" s="1271">
        <v>3.1850009128239903E-2</v>
      </c>
      <c r="S2258" s="1257">
        <v>3.1850009128239903E-2</v>
      </c>
      <c r="T2258" s="1257">
        <v>3.1850009128239903E-2</v>
      </c>
      <c r="U2258" s="1280">
        <v>1.5925004564119952E-2</v>
      </c>
      <c r="V2258" s="1293">
        <v>2.4018616912829499E-2</v>
      </c>
    </row>
    <row r="2259" spans="1:22" s="212" customFormat="1" ht="15.5" x14ac:dyDescent="0.35">
      <c r="A2259" s="198">
        <v>2050</v>
      </c>
      <c r="B2259" s="197" t="s">
        <v>5833</v>
      </c>
      <c r="C2259" s="197">
        <v>1995</v>
      </c>
      <c r="D2259" s="225" t="str">
        <f t="shared" si="14"/>
        <v>2050_1995</v>
      </c>
      <c r="E2259" s="1226">
        <v>0.108400731159683</v>
      </c>
      <c r="F2259" s="1257">
        <v>1.9224471305136399E-3</v>
      </c>
      <c r="G2259" s="1280">
        <v>6.1935395973805998E-2</v>
      </c>
      <c r="H2259" s="1271">
        <v>0.24973014954240999</v>
      </c>
      <c r="I2259" s="1257">
        <v>1.68161370071034E-2</v>
      </c>
      <c r="J2259" s="1280">
        <v>0.167556617753538</v>
      </c>
      <c r="K2259" s="1271">
        <v>2.2979582177163799E-2</v>
      </c>
      <c r="L2259" s="1257">
        <v>1.0896549036963699E-3</v>
      </c>
      <c r="M2259" s="1280">
        <v>1.46617224031104E-2</v>
      </c>
      <c r="N2259" s="1271">
        <v>3.0000008598028201E-3</v>
      </c>
      <c r="O2259" s="1257">
        <v>2.0000005732018801E-3</v>
      </c>
      <c r="P2259" s="1257">
        <v>3.0000008598028201E-3</v>
      </c>
      <c r="Q2259" s="1280">
        <v>3.0000008598028201E-3</v>
      </c>
      <c r="R2259" s="1271">
        <v>3.1850009128239903E-2</v>
      </c>
      <c r="S2259" s="1257">
        <v>3.1850009128239903E-2</v>
      </c>
      <c r="T2259" s="1257">
        <v>3.1850009128239903E-2</v>
      </c>
      <c r="U2259" s="1280">
        <v>1.5925004564119952E-2</v>
      </c>
      <c r="V2259" s="1293">
        <v>2.4018616912829499E-2</v>
      </c>
    </row>
    <row r="2260" spans="1:22" s="212" customFormat="1" ht="15.5" x14ac:dyDescent="0.35">
      <c r="A2260" s="198">
        <v>2050</v>
      </c>
      <c r="B2260" s="197" t="s">
        <v>5833</v>
      </c>
      <c r="C2260" s="197">
        <v>1996</v>
      </c>
      <c r="D2260" s="225" t="str">
        <f t="shared" si="14"/>
        <v>2050_1996</v>
      </c>
      <c r="E2260" s="1226">
        <v>0.108400731159683</v>
      </c>
      <c r="F2260" s="1257">
        <v>1.9224471305136399E-3</v>
      </c>
      <c r="G2260" s="1280">
        <v>6.1935395973805998E-2</v>
      </c>
      <c r="H2260" s="1271">
        <v>0.24973014954240999</v>
      </c>
      <c r="I2260" s="1257">
        <v>1.68161370071034E-2</v>
      </c>
      <c r="J2260" s="1280">
        <v>0.167556617753538</v>
      </c>
      <c r="K2260" s="1271">
        <v>2.2979582177163799E-2</v>
      </c>
      <c r="L2260" s="1257">
        <v>1.0896549036963699E-3</v>
      </c>
      <c r="M2260" s="1280">
        <v>1.46617224031104E-2</v>
      </c>
      <c r="N2260" s="1271">
        <v>3.0000008598028201E-3</v>
      </c>
      <c r="O2260" s="1257">
        <v>2.0000005732018801E-3</v>
      </c>
      <c r="P2260" s="1257">
        <v>3.0000008598028201E-3</v>
      </c>
      <c r="Q2260" s="1280">
        <v>3.0000008598028201E-3</v>
      </c>
      <c r="R2260" s="1271">
        <v>3.1850009128239903E-2</v>
      </c>
      <c r="S2260" s="1257">
        <v>3.1850009128239903E-2</v>
      </c>
      <c r="T2260" s="1257">
        <v>3.1850009128239903E-2</v>
      </c>
      <c r="U2260" s="1280">
        <v>1.5925004564119952E-2</v>
      </c>
      <c r="V2260" s="1293">
        <v>2.4018616912829499E-2</v>
      </c>
    </row>
    <row r="2261" spans="1:22" s="212" customFormat="1" ht="15.5" x14ac:dyDescent="0.35">
      <c r="A2261" s="198">
        <v>2050</v>
      </c>
      <c r="B2261" s="197" t="s">
        <v>5833</v>
      </c>
      <c r="C2261" s="197">
        <v>1997</v>
      </c>
      <c r="D2261" s="225" t="str">
        <f t="shared" si="14"/>
        <v>2050_1997</v>
      </c>
      <c r="E2261" s="1226">
        <v>0.108400731159683</v>
      </c>
      <c r="F2261" s="1257">
        <v>1.9224471305136399E-3</v>
      </c>
      <c r="G2261" s="1280">
        <v>6.1935395973805998E-2</v>
      </c>
      <c r="H2261" s="1271">
        <v>0.24973014954240999</v>
      </c>
      <c r="I2261" s="1257">
        <v>1.68161370071034E-2</v>
      </c>
      <c r="J2261" s="1280">
        <v>0.167556617753538</v>
      </c>
      <c r="K2261" s="1271">
        <v>2.2979582177163799E-2</v>
      </c>
      <c r="L2261" s="1257">
        <v>1.0896549036963699E-3</v>
      </c>
      <c r="M2261" s="1280">
        <v>1.46617224031104E-2</v>
      </c>
      <c r="N2261" s="1271">
        <v>3.0000008598028201E-3</v>
      </c>
      <c r="O2261" s="1257">
        <v>2.0000005732018801E-3</v>
      </c>
      <c r="P2261" s="1257">
        <v>3.0000008598028201E-3</v>
      </c>
      <c r="Q2261" s="1280">
        <v>3.0000008598028201E-3</v>
      </c>
      <c r="R2261" s="1271">
        <v>3.1850009128239903E-2</v>
      </c>
      <c r="S2261" s="1257">
        <v>3.1850009128239903E-2</v>
      </c>
      <c r="T2261" s="1257">
        <v>3.1850009128239903E-2</v>
      </c>
      <c r="U2261" s="1280">
        <v>1.5925004564119952E-2</v>
      </c>
      <c r="V2261" s="1293">
        <v>2.4018616912829499E-2</v>
      </c>
    </row>
    <row r="2262" spans="1:22" s="212" customFormat="1" ht="15.5" x14ac:dyDescent="0.35">
      <c r="A2262" s="198">
        <v>2050</v>
      </c>
      <c r="B2262" s="197" t="s">
        <v>5833</v>
      </c>
      <c r="C2262" s="197">
        <v>1998</v>
      </c>
      <c r="D2262" s="225" t="str">
        <f t="shared" si="14"/>
        <v>2050_1998</v>
      </c>
      <c r="E2262" s="1226">
        <v>0.108400731159683</v>
      </c>
      <c r="F2262" s="1257">
        <v>1.9224471305136399E-3</v>
      </c>
      <c r="G2262" s="1280">
        <v>6.1935395973805998E-2</v>
      </c>
      <c r="H2262" s="1271">
        <v>0.24973014954240999</v>
      </c>
      <c r="I2262" s="1257">
        <v>1.68161370071034E-2</v>
      </c>
      <c r="J2262" s="1280">
        <v>0.167556617753538</v>
      </c>
      <c r="K2262" s="1271">
        <v>2.2979582177163799E-2</v>
      </c>
      <c r="L2262" s="1257">
        <v>1.0896549036963699E-3</v>
      </c>
      <c r="M2262" s="1280">
        <v>1.46617224031104E-2</v>
      </c>
      <c r="N2262" s="1271">
        <v>3.0000008598028201E-3</v>
      </c>
      <c r="O2262" s="1257">
        <v>2.0000005732018801E-3</v>
      </c>
      <c r="P2262" s="1257">
        <v>3.0000008598028201E-3</v>
      </c>
      <c r="Q2262" s="1280">
        <v>3.0000008598028201E-3</v>
      </c>
      <c r="R2262" s="1271">
        <v>3.1850009128239903E-2</v>
      </c>
      <c r="S2262" s="1257">
        <v>3.1850009128239903E-2</v>
      </c>
      <c r="T2262" s="1257">
        <v>3.1850009128239903E-2</v>
      </c>
      <c r="U2262" s="1280">
        <v>1.5925004564119952E-2</v>
      </c>
      <c r="V2262" s="1293">
        <v>2.4018616912829499E-2</v>
      </c>
    </row>
    <row r="2263" spans="1:22" s="212" customFormat="1" ht="15.5" x14ac:dyDescent="0.35">
      <c r="A2263" s="198">
        <v>2050</v>
      </c>
      <c r="B2263" s="197" t="s">
        <v>5833</v>
      </c>
      <c r="C2263" s="197">
        <v>1999</v>
      </c>
      <c r="D2263" s="225" t="str">
        <f t="shared" si="14"/>
        <v>2050_1999</v>
      </c>
      <c r="E2263" s="1226">
        <v>0.108400731159683</v>
      </c>
      <c r="F2263" s="1257">
        <v>1.9224471305136399E-3</v>
      </c>
      <c r="G2263" s="1280">
        <v>6.1935395973805998E-2</v>
      </c>
      <c r="H2263" s="1271">
        <v>0.24973014954240999</v>
      </c>
      <c r="I2263" s="1257">
        <v>1.68161370071034E-2</v>
      </c>
      <c r="J2263" s="1280">
        <v>0.167556617753538</v>
      </c>
      <c r="K2263" s="1271">
        <v>2.2979582177163799E-2</v>
      </c>
      <c r="L2263" s="1257">
        <v>1.0896549036963699E-3</v>
      </c>
      <c r="M2263" s="1280">
        <v>1.46617224031104E-2</v>
      </c>
      <c r="N2263" s="1271">
        <v>3.0000008598028201E-3</v>
      </c>
      <c r="O2263" s="1257">
        <v>2.0000005732018801E-3</v>
      </c>
      <c r="P2263" s="1257">
        <v>3.0000008598028201E-3</v>
      </c>
      <c r="Q2263" s="1280">
        <v>3.0000008598028201E-3</v>
      </c>
      <c r="R2263" s="1271">
        <v>3.1850009128239903E-2</v>
      </c>
      <c r="S2263" s="1257">
        <v>3.1850009128239903E-2</v>
      </c>
      <c r="T2263" s="1257">
        <v>3.1850009128239903E-2</v>
      </c>
      <c r="U2263" s="1280">
        <v>1.5925004564119952E-2</v>
      </c>
      <c r="V2263" s="1293">
        <v>2.4018616912829499E-2</v>
      </c>
    </row>
    <row r="2264" spans="1:22" s="212" customFormat="1" ht="15.5" x14ac:dyDescent="0.35">
      <c r="A2264" s="198">
        <v>2050</v>
      </c>
      <c r="B2264" s="197" t="s">
        <v>5833</v>
      </c>
      <c r="C2264" s="197">
        <v>2000</v>
      </c>
      <c r="D2264" s="225" t="str">
        <f t="shared" si="14"/>
        <v>2050_2000</v>
      </c>
      <c r="E2264" s="1226">
        <v>0.108400731159683</v>
      </c>
      <c r="F2264" s="1257">
        <v>1.9224471305136399E-3</v>
      </c>
      <c r="G2264" s="1280">
        <v>6.1935395973805998E-2</v>
      </c>
      <c r="H2264" s="1271">
        <v>0.24973014954240999</v>
      </c>
      <c r="I2264" s="1257">
        <v>1.68161370071034E-2</v>
      </c>
      <c r="J2264" s="1280">
        <v>0.167556617753538</v>
      </c>
      <c r="K2264" s="1271">
        <v>2.2979582177163799E-2</v>
      </c>
      <c r="L2264" s="1257">
        <v>1.0896549036963699E-3</v>
      </c>
      <c r="M2264" s="1280">
        <v>1.46617224031104E-2</v>
      </c>
      <c r="N2264" s="1271">
        <v>3.0000008598028201E-3</v>
      </c>
      <c r="O2264" s="1257">
        <v>2.0000005732018801E-3</v>
      </c>
      <c r="P2264" s="1257">
        <v>3.0000008598028201E-3</v>
      </c>
      <c r="Q2264" s="1280">
        <v>3.0000008598028201E-3</v>
      </c>
      <c r="R2264" s="1271">
        <v>3.1850009128239903E-2</v>
      </c>
      <c r="S2264" s="1257">
        <v>3.1850009128239903E-2</v>
      </c>
      <c r="T2264" s="1257">
        <v>3.1850009128239903E-2</v>
      </c>
      <c r="U2264" s="1280">
        <v>1.5925004564119952E-2</v>
      </c>
      <c r="V2264" s="1293">
        <v>2.4018616912829499E-2</v>
      </c>
    </row>
    <row r="2265" spans="1:22" s="212" customFormat="1" ht="15.5" x14ac:dyDescent="0.35">
      <c r="A2265" s="198">
        <v>2050</v>
      </c>
      <c r="B2265" s="197" t="s">
        <v>5833</v>
      </c>
      <c r="C2265" s="197">
        <v>2001</v>
      </c>
      <c r="D2265" s="225" t="str">
        <f t="shared" si="14"/>
        <v>2050_2001</v>
      </c>
      <c r="E2265" s="1226">
        <v>0.108400731159683</v>
      </c>
      <c r="F2265" s="1257">
        <v>1.9224471305136399E-3</v>
      </c>
      <c r="G2265" s="1280">
        <v>6.1935395973805998E-2</v>
      </c>
      <c r="H2265" s="1271">
        <v>0.24973014954240999</v>
      </c>
      <c r="I2265" s="1257">
        <v>1.68161370071034E-2</v>
      </c>
      <c r="J2265" s="1280">
        <v>0.167556617753538</v>
      </c>
      <c r="K2265" s="1271">
        <v>2.2979582177163799E-2</v>
      </c>
      <c r="L2265" s="1257">
        <v>1.0896549036963699E-3</v>
      </c>
      <c r="M2265" s="1280">
        <v>1.46617224031104E-2</v>
      </c>
      <c r="N2265" s="1271">
        <v>3.0000008598028201E-3</v>
      </c>
      <c r="O2265" s="1257">
        <v>2.0000005732018801E-3</v>
      </c>
      <c r="P2265" s="1257">
        <v>3.0000008598028201E-3</v>
      </c>
      <c r="Q2265" s="1280">
        <v>3.0000008598028201E-3</v>
      </c>
      <c r="R2265" s="1271">
        <v>3.1850009128239903E-2</v>
      </c>
      <c r="S2265" s="1257">
        <v>3.1850009128239903E-2</v>
      </c>
      <c r="T2265" s="1257">
        <v>3.1850009128239903E-2</v>
      </c>
      <c r="U2265" s="1280">
        <v>1.5925004564119952E-2</v>
      </c>
      <c r="V2265" s="1293">
        <v>2.4018616912829499E-2</v>
      </c>
    </row>
    <row r="2266" spans="1:22" s="212" customFormat="1" ht="15.5" x14ac:dyDescent="0.35">
      <c r="A2266" s="198">
        <v>2050</v>
      </c>
      <c r="B2266" s="197" t="s">
        <v>5833</v>
      </c>
      <c r="C2266" s="197">
        <v>2002</v>
      </c>
      <c r="D2266" s="225" t="str">
        <f t="shared" si="14"/>
        <v>2050_2002</v>
      </c>
      <c r="E2266" s="1226">
        <v>0.108400731159683</v>
      </c>
      <c r="F2266" s="1257">
        <v>1.9224471305136399E-3</v>
      </c>
      <c r="G2266" s="1280">
        <v>6.1935395973805998E-2</v>
      </c>
      <c r="H2266" s="1271">
        <v>0.24973014954240999</v>
      </c>
      <c r="I2266" s="1257">
        <v>1.68161370071034E-2</v>
      </c>
      <c r="J2266" s="1280">
        <v>0.167556617753538</v>
      </c>
      <c r="K2266" s="1271">
        <v>2.2979582177163799E-2</v>
      </c>
      <c r="L2266" s="1257">
        <v>1.0896549036963699E-3</v>
      </c>
      <c r="M2266" s="1280">
        <v>1.46617224031104E-2</v>
      </c>
      <c r="N2266" s="1271">
        <v>3.0000008598028201E-3</v>
      </c>
      <c r="O2266" s="1257">
        <v>2.0000005732018801E-3</v>
      </c>
      <c r="P2266" s="1257">
        <v>3.0000008598028201E-3</v>
      </c>
      <c r="Q2266" s="1280">
        <v>3.0000008598028201E-3</v>
      </c>
      <c r="R2266" s="1271">
        <v>3.1850009128239903E-2</v>
      </c>
      <c r="S2266" s="1257">
        <v>3.1850009128239903E-2</v>
      </c>
      <c r="T2266" s="1257">
        <v>3.1850009128239903E-2</v>
      </c>
      <c r="U2266" s="1280">
        <v>1.5925004564119952E-2</v>
      </c>
      <c r="V2266" s="1293">
        <v>2.4018616912829499E-2</v>
      </c>
    </row>
    <row r="2267" spans="1:22" s="212" customFormat="1" ht="15.5" x14ac:dyDescent="0.35">
      <c r="A2267" s="198">
        <v>2050</v>
      </c>
      <c r="B2267" s="197" t="s">
        <v>5833</v>
      </c>
      <c r="C2267" s="197">
        <v>2003</v>
      </c>
      <c r="D2267" s="225" t="str">
        <f t="shared" si="14"/>
        <v>2050_2003</v>
      </c>
      <c r="E2267" s="1226">
        <v>0.108400731159683</v>
      </c>
      <c r="F2267" s="1257">
        <v>1.9224471305136399E-3</v>
      </c>
      <c r="G2267" s="1280">
        <v>6.1935395973805998E-2</v>
      </c>
      <c r="H2267" s="1271">
        <v>0.24973014954240999</v>
      </c>
      <c r="I2267" s="1257">
        <v>1.68161370071034E-2</v>
      </c>
      <c r="J2267" s="1280">
        <v>0.167556617753538</v>
      </c>
      <c r="K2267" s="1271">
        <v>2.2979582177163799E-2</v>
      </c>
      <c r="L2267" s="1257">
        <v>1.0896549036963699E-3</v>
      </c>
      <c r="M2267" s="1280">
        <v>1.46617224031104E-2</v>
      </c>
      <c r="N2267" s="1271">
        <v>3.0000008598028201E-3</v>
      </c>
      <c r="O2267" s="1257">
        <v>2.0000005732018801E-3</v>
      </c>
      <c r="P2267" s="1257">
        <v>3.0000008598028201E-3</v>
      </c>
      <c r="Q2267" s="1280">
        <v>3.0000008598028201E-3</v>
      </c>
      <c r="R2267" s="1271">
        <v>3.1850009128239903E-2</v>
      </c>
      <c r="S2267" s="1257">
        <v>3.1850009128239903E-2</v>
      </c>
      <c r="T2267" s="1257">
        <v>3.1850009128239903E-2</v>
      </c>
      <c r="U2267" s="1280">
        <v>1.5925004564119952E-2</v>
      </c>
      <c r="V2267" s="1293">
        <v>2.4018616912829499E-2</v>
      </c>
    </row>
    <row r="2268" spans="1:22" s="212" customFormat="1" ht="15.5" x14ac:dyDescent="0.35">
      <c r="A2268" s="198">
        <v>2050</v>
      </c>
      <c r="B2268" s="197" t="s">
        <v>5833</v>
      </c>
      <c r="C2268" s="197">
        <v>2004</v>
      </c>
      <c r="D2268" s="225" t="str">
        <f t="shared" si="14"/>
        <v>2050_2004</v>
      </c>
      <c r="E2268" s="1226">
        <v>0.108400731159683</v>
      </c>
      <c r="F2268" s="1257">
        <v>1.9224471305136399E-3</v>
      </c>
      <c r="G2268" s="1280">
        <v>6.1935395973805998E-2</v>
      </c>
      <c r="H2268" s="1271">
        <v>0.24973014954240999</v>
      </c>
      <c r="I2268" s="1257">
        <v>1.68161370071034E-2</v>
      </c>
      <c r="J2268" s="1280">
        <v>0.167556617753538</v>
      </c>
      <c r="K2268" s="1271">
        <v>2.2979582177163799E-2</v>
      </c>
      <c r="L2268" s="1257">
        <v>1.0896549036963699E-3</v>
      </c>
      <c r="M2268" s="1280">
        <v>1.46617224031104E-2</v>
      </c>
      <c r="N2268" s="1271">
        <v>3.0000008598028201E-3</v>
      </c>
      <c r="O2268" s="1257">
        <v>2.0000005732018801E-3</v>
      </c>
      <c r="P2268" s="1257">
        <v>3.0000008598028201E-3</v>
      </c>
      <c r="Q2268" s="1280">
        <v>3.0000008598028201E-3</v>
      </c>
      <c r="R2268" s="1271">
        <v>3.1850009128239903E-2</v>
      </c>
      <c r="S2268" s="1257">
        <v>3.1850009128239903E-2</v>
      </c>
      <c r="T2268" s="1257">
        <v>3.1850009128239903E-2</v>
      </c>
      <c r="U2268" s="1280">
        <v>1.5925004564119952E-2</v>
      </c>
      <c r="V2268" s="1293">
        <v>2.4018616912829499E-2</v>
      </c>
    </row>
    <row r="2269" spans="1:22" s="212" customFormat="1" ht="15.5" x14ac:dyDescent="0.35">
      <c r="A2269" s="198">
        <v>2050</v>
      </c>
      <c r="B2269" s="197" t="s">
        <v>5833</v>
      </c>
      <c r="C2269" s="197">
        <v>2005</v>
      </c>
      <c r="D2269" s="225" t="str">
        <f t="shared" si="14"/>
        <v>2050_2005</v>
      </c>
      <c r="E2269" s="1226">
        <v>0.108400731159683</v>
      </c>
      <c r="F2269" s="1257">
        <v>1.9224471305136399E-3</v>
      </c>
      <c r="G2269" s="1280">
        <v>6.1935395973805998E-2</v>
      </c>
      <c r="H2269" s="1271">
        <v>0.24973014954240999</v>
      </c>
      <c r="I2269" s="1257">
        <v>1.68161370071034E-2</v>
      </c>
      <c r="J2269" s="1280">
        <v>0.167556617753538</v>
      </c>
      <c r="K2269" s="1271">
        <v>2.2979582177163799E-2</v>
      </c>
      <c r="L2269" s="1257">
        <v>1.0896549036963699E-3</v>
      </c>
      <c r="M2269" s="1280">
        <v>1.46617224031104E-2</v>
      </c>
      <c r="N2269" s="1271">
        <v>3.0000008598028201E-3</v>
      </c>
      <c r="O2269" s="1257">
        <v>2.0000005732018801E-3</v>
      </c>
      <c r="P2269" s="1257">
        <v>3.0000008598028201E-3</v>
      </c>
      <c r="Q2269" s="1280">
        <v>3.0000008598028201E-3</v>
      </c>
      <c r="R2269" s="1271">
        <v>3.1850009128239903E-2</v>
      </c>
      <c r="S2269" s="1257">
        <v>3.1850009128239903E-2</v>
      </c>
      <c r="T2269" s="1257">
        <v>3.1850009128239903E-2</v>
      </c>
      <c r="U2269" s="1280">
        <v>1.5925004564119952E-2</v>
      </c>
      <c r="V2269" s="1293">
        <v>2.4018616912829499E-2</v>
      </c>
    </row>
    <row r="2270" spans="1:22" s="212" customFormat="1" ht="15.5" x14ac:dyDescent="0.35">
      <c r="A2270" s="198">
        <v>2050</v>
      </c>
      <c r="B2270" s="197" t="s">
        <v>5833</v>
      </c>
      <c r="C2270" s="197">
        <v>2006</v>
      </c>
      <c r="D2270" s="225" t="str">
        <f t="shared" si="14"/>
        <v>2050_2006</v>
      </c>
      <c r="E2270" s="1226">
        <v>0.108400731159683</v>
      </c>
      <c r="F2270" s="1257">
        <v>1.9224471305136399E-3</v>
      </c>
      <c r="G2270" s="1280">
        <v>6.1935395973805998E-2</v>
      </c>
      <c r="H2270" s="1271">
        <v>0.24973014954240999</v>
      </c>
      <c r="I2270" s="1257">
        <v>1.68161370071034E-2</v>
      </c>
      <c r="J2270" s="1280">
        <v>0.167556617753538</v>
      </c>
      <c r="K2270" s="1271">
        <v>2.2979582177163799E-2</v>
      </c>
      <c r="L2270" s="1257">
        <v>1.0896549036963699E-3</v>
      </c>
      <c r="M2270" s="1280">
        <v>1.46617224031104E-2</v>
      </c>
      <c r="N2270" s="1271">
        <v>3.0000008598028201E-3</v>
      </c>
      <c r="O2270" s="1257">
        <v>2.0000005732018801E-3</v>
      </c>
      <c r="P2270" s="1257">
        <v>3.0000008598028201E-3</v>
      </c>
      <c r="Q2270" s="1280">
        <v>3.0000008598028201E-3</v>
      </c>
      <c r="R2270" s="1271">
        <v>3.1850009128239903E-2</v>
      </c>
      <c r="S2270" s="1257">
        <v>3.1850009128239903E-2</v>
      </c>
      <c r="T2270" s="1257">
        <v>3.1850009128239903E-2</v>
      </c>
      <c r="U2270" s="1280">
        <v>1.5925004564119952E-2</v>
      </c>
      <c r="V2270" s="1293">
        <v>2.4018616912829499E-2</v>
      </c>
    </row>
    <row r="2271" spans="1:22" s="212" customFormat="1" ht="15.5" x14ac:dyDescent="0.35">
      <c r="A2271" s="198">
        <v>2050</v>
      </c>
      <c r="B2271" s="197" t="s">
        <v>5833</v>
      </c>
      <c r="C2271" s="197">
        <v>2007</v>
      </c>
      <c r="D2271" s="225" t="str">
        <f t="shared" si="14"/>
        <v>2050_2007</v>
      </c>
      <c r="E2271" s="1226">
        <v>0.108400731159683</v>
      </c>
      <c r="F2271" s="1257">
        <v>1.9224471305136399E-3</v>
      </c>
      <c r="G2271" s="1280">
        <v>6.1935395973805998E-2</v>
      </c>
      <c r="H2271" s="1271">
        <v>0.24973014954240999</v>
      </c>
      <c r="I2271" s="1257">
        <v>1.68161370071034E-2</v>
      </c>
      <c r="J2271" s="1280">
        <v>0.167556617753538</v>
      </c>
      <c r="K2271" s="1271">
        <v>2.2979582177163799E-2</v>
      </c>
      <c r="L2271" s="1257">
        <v>1.0896549036963699E-3</v>
      </c>
      <c r="M2271" s="1280">
        <v>1.46617224031104E-2</v>
      </c>
      <c r="N2271" s="1271">
        <v>3.0000008598028201E-3</v>
      </c>
      <c r="O2271" s="1257">
        <v>2.0000005732018801E-3</v>
      </c>
      <c r="P2271" s="1257">
        <v>3.0000008598028201E-3</v>
      </c>
      <c r="Q2271" s="1280">
        <v>3.0000008598028201E-3</v>
      </c>
      <c r="R2271" s="1271">
        <v>3.1850009128239903E-2</v>
      </c>
      <c r="S2271" s="1257">
        <v>3.1850009128239903E-2</v>
      </c>
      <c r="T2271" s="1257">
        <v>3.1850009128239903E-2</v>
      </c>
      <c r="U2271" s="1280">
        <v>1.5925004564119952E-2</v>
      </c>
      <c r="V2271" s="1293">
        <v>2.4018616912829499E-2</v>
      </c>
    </row>
    <row r="2272" spans="1:22" s="212" customFormat="1" ht="15.5" x14ac:dyDescent="0.35">
      <c r="A2272" s="198">
        <v>2050</v>
      </c>
      <c r="B2272" s="197" t="s">
        <v>5833</v>
      </c>
      <c r="C2272" s="197">
        <v>2008</v>
      </c>
      <c r="D2272" s="225" t="str">
        <f t="shared" si="14"/>
        <v>2050_2008</v>
      </c>
      <c r="E2272" s="1226">
        <v>0.108400731159683</v>
      </c>
      <c r="F2272" s="1257">
        <v>1.9224471305136399E-3</v>
      </c>
      <c r="G2272" s="1280">
        <v>6.1935395973805998E-2</v>
      </c>
      <c r="H2272" s="1271">
        <v>0.24973014954240999</v>
      </c>
      <c r="I2272" s="1257">
        <v>1.68161370071034E-2</v>
      </c>
      <c r="J2272" s="1280">
        <v>0.167556617753538</v>
      </c>
      <c r="K2272" s="1271">
        <v>2.2979582177163799E-2</v>
      </c>
      <c r="L2272" s="1257">
        <v>1.0896549036963699E-3</v>
      </c>
      <c r="M2272" s="1280">
        <v>1.46617224031104E-2</v>
      </c>
      <c r="N2272" s="1271">
        <v>3.0000008598028201E-3</v>
      </c>
      <c r="O2272" s="1257">
        <v>2.0000005732018801E-3</v>
      </c>
      <c r="P2272" s="1257">
        <v>3.0000008598028201E-3</v>
      </c>
      <c r="Q2272" s="1280">
        <v>3.0000008598028201E-3</v>
      </c>
      <c r="R2272" s="1271">
        <v>3.1850009128239903E-2</v>
      </c>
      <c r="S2272" s="1257">
        <v>3.1850009128239903E-2</v>
      </c>
      <c r="T2272" s="1257">
        <v>3.1850009128239903E-2</v>
      </c>
      <c r="U2272" s="1280">
        <v>1.5925004564119952E-2</v>
      </c>
      <c r="V2272" s="1293">
        <v>2.4018616912829499E-2</v>
      </c>
    </row>
    <row r="2273" spans="1:22" s="212" customFormat="1" ht="15.5" x14ac:dyDescent="0.35">
      <c r="A2273" s="198">
        <v>2050</v>
      </c>
      <c r="B2273" s="197" t="s">
        <v>5833</v>
      </c>
      <c r="C2273" s="197">
        <v>2009</v>
      </c>
      <c r="D2273" s="225" t="str">
        <f t="shared" si="14"/>
        <v>2050_2009</v>
      </c>
      <c r="E2273" s="1226">
        <v>0.108400731159683</v>
      </c>
      <c r="F2273" s="1257">
        <v>1.9224471305136399E-3</v>
      </c>
      <c r="G2273" s="1280">
        <v>6.1935395973805998E-2</v>
      </c>
      <c r="H2273" s="1271">
        <v>0.24973014954240999</v>
      </c>
      <c r="I2273" s="1257">
        <v>1.68161370071034E-2</v>
      </c>
      <c r="J2273" s="1280">
        <v>0.167556617753538</v>
      </c>
      <c r="K2273" s="1271">
        <v>2.2979582177163799E-2</v>
      </c>
      <c r="L2273" s="1257">
        <v>1.0896549036963699E-3</v>
      </c>
      <c r="M2273" s="1280">
        <v>1.46617224031104E-2</v>
      </c>
      <c r="N2273" s="1271">
        <v>3.0000008598028201E-3</v>
      </c>
      <c r="O2273" s="1257">
        <v>2.0000005732018801E-3</v>
      </c>
      <c r="P2273" s="1257">
        <v>3.0000008598028201E-3</v>
      </c>
      <c r="Q2273" s="1280">
        <v>3.0000008598028201E-3</v>
      </c>
      <c r="R2273" s="1271">
        <v>3.1850009128239903E-2</v>
      </c>
      <c r="S2273" s="1257">
        <v>3.1850009128239903E-2</v>
      </c>
      <c r="T2273" s="1257">
        <v>3.1850009128239903E-2</v>
      </c>
      <c r="U2273" s="1280">
        <v>1.5925004564119952E-2</v>
      </c>
      <c r="V2273" s="1293">
        <v>2.4018616912829499E-2</v>
      </c>
    </row>
    <row r="2274" spans="1:22" s="212" customFormat="1" ht="15.5" x14ac:dyDescent="0.35">
      <c r="A2274" s="198">
        <v>2050</v>
      </c>
      <c r="B2274" s="197" t="s">
        <v>5833</v>
      </c>
      <c r="C2274" s="197">
        <v>2010</v>
      </c>
      <c r="D2274" s="225" t="str">
        <f t="shared" si="14"/>
        <v>2050_2010</v>
      </c>
      <c r="E2274" s="1226">
        <v>0.108400731159683</v>
      </c>
      <c r="F2274" s="1257">
        <v>1.9224471305136399E-3</v>
      </c>
      <c r="G2274" s="1280">
        <v>6.1935395973805998E-2</v>
      </c>
      <c r="H2274" s="1271">
        <v>0.24973014954240999</v>
      </c>
      <c r="I2274" s="1257">
        <v>1.68161370071034E-2</v>
      </c>
      <c r="J2274" s="1280">
        <v>0.167556617753538</v>
      </c>
      <c r="K2274" s="1271">
        <v>2.2979582177163799E-2</v>
      </c>
      <c r="L2274" s="1257">
        <v>1.0896549036963699E-3</v>
      </c>
      <c r="M2274" s="1280">
        <v>1.46617224031104E-2</v>
      </c>
      <c r="N2274" s="1271">
        <v>3.0000008598028201E-3</v>
      </c>
      <c r="O2274" s="1257">
        <v>2.0000005732018801E-3</v>
      </c>
      <c r="P2274" s="1257">
        <v>3.0000008598028201E-3</v>
      </c>
      <c r="Q2274" s="1280">
        <v>3.0000008598028201E-3</v>
      </c>
      <c r="R2274" s="1271">
        <v>3.1850009128239903E-2</v>
      </c>
      <c r="S2274" s="1257">
        <v>3.1850009128239903E-2</v>
      </c>
      <c r="T2274" s="1257">
        <v>3.1850009128239903E-2</v>
      </c>
      <c r="U2274" s="1280">
        <v>1.5925004564119952E-2</v>
      </c>
      <c r="V2274" s="1293">
        <v>2.4018616912829499E-2</v>
      </c>
    </row>
    <row r="2275" spans="1:22" s="212" customFormat="1" ht="15.5" x14ac:dyDescent="0.35">
      <c r="A2275" s="198">
        <v>2050</v>
      </c>
      <c r="B2275" s="197" t="s">
        <v>5833</v>
      </c>
      <c r="C2275" s="197">
        <v>2011</v>
      </c>
      <c r="D2275" s="225" t="str">
        <f t="shared" si="14"/>
        <v>2050_2011</v>
      </c>
      <c r="E2275" s="1226">
        <v>0.108400731159683</v>
      </c>
      <c r="F2275" s="1257">
        <v>1.9224471305136399E-3</v>
      </c>
      <c r="G2275" s="1280">
        <v>6.1935395973805998E-2</v>
      </c>
      <c r="H2275" s="1271">
        <v>0.24973014954240999</v>
      </c>
      <c r="I2275" s="1257">
        <v>1.68161370071034E-2</v>
      </c>
      <c r="J2275" s="1280">
        <v>0.167556617753538</v>
      </c>
      <c r="K2275" s="1271">
        <v>2.2979582177163799E-2</v>
      </c>
      <c r="L2275" s="1257">
        <v>1.0896549036963699E-3</v>
      </c>
      <c r="M2275" s="1280">
        <v>1.46617224031104E-2</v>
      </c>
      <c r="N2275" s="1271">
        <v>3.0000008598028201E-3</v>
      </c>
      <c r="O2275" s="1257">
        <v>2.0000005732018801E-3</v>
      </c>
      <c r="P2275" s="1257">
        <v>3.0000008598028201E-3</v>
      </c>
      <c r="Q2275" s="1280">
        <v>3.0000008598028201E-3</v>
      </c>
      <c r="R2275" s="1271">
        <v>3.1850009128239903E-2</v>
      </c>
      <c r="S2275" s="1257">
        <v>3.1850009128239903E-2</v>
      </c>
      <c r="T2275" s="1257">
        <v>3.1850009128239903E-2</v>
      </c>
      <c r="U2275" s="1280">
        <v>1.5925004564119952E-2</v>
      </c>
      <c r="V2275" s="1293">
        <v>2.4018616912829499E-2</v>
      </c>
    </row>
    <row r="2276" spans="1:22" s="212" customFormat="1" ht="15.5" x14ac:dyDescent="0.35">
      <c r="A2276" s="198">
        <v>2050</v>
      </c>
      <c r="B2276" s="197" t="s">
        <v>5833</v>
      </c>
      <c r="C2276" s="197">
        <v>2012</v>
      </c>
      <c r="D2276" s="225" t="str">
        <f t="shared" si="14"/>
        <v>2050_2012</v>
      </c>
      <c r="E2276" s="1226">
        <v>0.108400731159683</v>
      </c>
      <c r="F2276" s="1257">
        <v>1.9224471305136399E-3</v>
      </c>
      <c r="G2276" s="1280">
        <v>6.1935395973805998E-2</v>
      </c>
      <c r="H2276" s="1271">
        <v>0.24973014954240999</v>
      </c>
      <c r="I2276" s="1257">
        <v>1.68161370071034E-2</v>
      </c>
      <c r="J2276" s="1280">
        <v>0.167556617753538</v>
      </c>
      <c r="K2276" s="1271">
        <v>2.2979582177163799E-2</v>
      </c>
      <c r="L2276" s="1257">
        <v>1.0896549036963699E-3</v>
      </c>
      <c r="M2276" s="1280">
        <v>1.46617224031104E-2</v>
      </c>
      <c r="N2276" s="1271">
        <v>3.0000008598028201E-3</v>
      </c>
      <c r="O2276" s="1257">
        <v>2.0000005732018801E-3</v>
      </c>
      <c r="P2276" s="1257">
        <v>3.0000008598028201E-3</v>
      </c>
      <c r="Q2276" s="1280">
        <v>3.0000008598028201E-3</v>
      </c>
      <c r="R2276" s="1271">
        <v>3.1850009128239903E-2</v>
      </c>
      <c r="S2276" s="1257">
        <v>3.1850009128239903E-2</v>
      </c>
      <c r="T2276" s="1257">
        <v>3.1850009128239903E-2</v>
      </c>
      <c r="U2276" s="1280">
        <v>1.5925004564119952E-2</v>
      </c>
      <c r="V2276" s="1293">
        <v>2.4018616912829499E-2</v>
      </c>
    </row>
    <row r="2277" spans="1:22" s="212" customFormat="1" ht="15.5" x14ac:dyDescent="0.35">
      <c r="A2277" s="198">
        <v>2050</v>
      </c>
      <c r="B2277" s="197" t="s">
        <v>5833</v>
      </c>
      <c r="C2277" s="197">
        <v>2013</v>
      </c>
      <c r="D2277" s="225" t="str">
        <f t="shared" si="14"/>
        <v>2050_2013</v>
      </c>
      <c r="E2277" s="1226">
        <v>0.108400731159683</v>
      </c>
      <c r="F2277" s="1257">
        <v>1.9224471305136399E-3</v>
      </c>
      <c r="G2277" s="1280">
        <v>6.1935395973805998E-2</v>
      </c>
      <c r="H2277" s="1271">
        <v>0.24973014954240999</v>
      </c>
      <c r="I2277" s="1257">
        <v>1.68161370071034E-2</v>
      </c>
      <c r="J2277" s="1280">
        <v>0.167556617753538</v>
      </c>
      <c r="K2277" s="1271">
        <v>2.2979582177163799E-2</v>
      </c>
      <c r="L2277" s="1257">
        <v>1.0896549036963699E-3</v>
      </c>
      <c r="M2277" s="1280">
        <v>1.46617224031104E-2</v>
      </c>
      <c r="N2277" s="1271">
        <v>3.0000008598028201E-3</v>
      </c>
      <c r="O2277" s="1257">
        <v>2.0000005732018801E-3</v>
      </c>
      <c r="P2277" s="1257">
        <v>3.0000008598028201E-3</v>
      </c>
      <c r="Q2277" s="1280">
        <v>3.0000008598028201E-3</v>
      </c>
      <c r="R2277" s="1271">
        <v>3.1850009128239903E-2</v>
      </c>
      <c r="S2277" s="1257">
        <v>3.1850009128239903E-2</v>
      </c>
      <c r="T2277" s="1257">
        <v>3.1850009128239903E-2</v>
      </c>
      <c r="U2277" s="1280">
        <v>1.5925004564119952E-2</v>
      </c>
      <c r="V2277" s="1293">
        <v>2.4018616912829499E-2</v>
      </c>
    </row>
    <row r="2278" spans="1:22" s="212" customFormat="1" ht="15.5" x14ac:dyDescent="0.35">
      <c r="A2278" s="198">
        <v>2050</v>
      </c>
      <c r="B2278" s="197" t="s">
        <v>5833</v>
      </c>
      <c r="C2278" s="197">
        <v>2014</v>
      </c>
      <c r="D2278" s="225" t="str">
        <f t="shared" si="14"/>
        <v>2050_2014</v>
      </c>
      <c r="E2278" s="1226">
        <v>0.108400731159683</v>
      </c>
      <c r="F2278" s="1257">
        <v>1.9224471305136399E-3</v>
      </c>
      <c r="G2278" s="1280">
        <v>6.1935395973805998E-2</v>
      </c>
      <c r="H2278" s="1271">
        <v>0.24973014954240999</v>
      </c>
      <c r="I2278" s="1257">
        <v>1.68161370071034E-2</v>
      </c>
      <c r="J2278" s="1280">
        <v>0.167556617753538</v>
      </c>
      <c r="K2278" s="1271">
        <v>2.2979582177163799E-2</v>
      </c>
      <c r="L2278" s="1257">
        <v>1.0896549036963699E-3</v>
      </c>
      <c r="M2278" s="1280">
        <v>1.46617224031104E-2</v>
      </c>
      <c r="N2278" s="1271">
        <v>3.0000008598028201E-3</v>
      </c>
      <c r="O2278" s="1257">
        <v>2.0000005732018801E-3</v>
      </c>
      <c r="P2278" s="1257">
        <v>3.0000008598028201E-3</v>
      </c>
      <c r="Q2278" s="1280">
        <v>3.0000008598028201E-3</v>
      </c>
      <c r="R2278" s="1271">
        <v>3.1850009128239903E-2</v>
      </c>
      <c r="S2278" s="1257">
        <v>3.1850009128239903E-2</v>
      </c>
      <c r="T2278" s="1257">
        <v>3.1850009128239903E-2</v>
      </c>
      <c r="U2278" s="1280">
        <v>1.5925004564119952E-2</v>
      </c>
      <c r="V2278" s="1293">
        <v>2.4018616912829499E-2</v>
      </c>
    </row>
    <row r="2279" spans="1:22" s="212" customFormat="1" ht="15.5" x14ac:dyDescent="0.35">
      <c r="A2279" s="198">
        <v>2050</v>
      </c>
      <c r="B2279" s="197" t="s">
        <v>5833</v>
      </c>
      <c r="C2279" s="197">
        <v>2015</v>
      </c>
      <c r="D2279" s="225" t="str">
        <f t="shared" si="14"/>
        <v>2050_2015</v>
      </c>
      <c r="E2279" s="1226">
        <v>0.108400731159683</v>
      </c>
      <c r="F2279" s="1257">
        <v>1.9224471305136399E-3</v>
      </c>
      <c r="G2279" s="1280">
        <v>6.1935395973805998E-2</v>
      </c>
      <c r="H2279" s="1271">
        <v>0.24973014954240999</v>
      </c>
      <c r="I2279" s="1257">
        <v>1.68161370071034E-2</v>
      </c>
      <c r="J2279" s="1280">
        <v>0.167556617753538</v>
      </c>
      <c r="K2279" s="1271">
        <v>2.2979582177163799E-2</v>
      </c>
      <c r="L2279" s="1257">
        <v>1.0896549036963699E-3</v>
      </c>
      <c r="M2279" s="1280">
        <v>1.46617224031104E-2</v>
      </c>
      <c r="N2279" s="1271">
        <v>3.0000008598028201E-3</v>
      </c>
      <c r="O2279" s="1257">
        <v>2.0000005732018801E-3</v>
      </c>
      <c r="P2279" s="1257">
        <v>3.0000008598028201E-3</v>
      </c>
      <c r="Q2279" s="1280">
        <v>3.0000008598028201E-3</v>
      </c>
      <c r="R2279" s="1271">
        <v>3.1850009128239903E-2</v>
      </c>
      <c r="S2279" s="1257">
        <v>3.1850009128239903E-2</v>
      </c>
      <c r="T2279" s="1257">
        <v>3.1850009128239903E-2</v>
      </c>
      <c r="U2279" s="1280">
        <v>1.5925004564119952E-2</v>
      </c>
      <c r="V2279" s="1293">
        <v>2.4018616912829499E-2</v>
      </c>
    </row>
    <row r="2280" spans="1:22" s="212" customFormat="1" ht="15.5" x14ac:dyDescent="0.35">
      <c r="A2280" s="198">
        <v>2050</v>
      </c>
      <c r="B2280" s="197" t="s">
        <v>5833</v>
      </c>
      <c r="C2280" s="197">
        <v>2016</v>
      </c>
      <c r="D2280" s="225" t="str">
        <f t="shared" si="14"/>
        <v>2050_2016</v>
      </c>
      <c r="E2280" s="1226">
        <v>0.108400731159683</v>
      </c>
      <c r="F2280" s="1257">
        <v>1.9224471305136399E-3</v>
      </c>
      <c r="G2280" s="1280">
        <v>6.1935395973805998E-2</v>
      </c>
      <c r="H2280" s="1271">
        <v>0.24973014954240999</v>
      </c>
      <c r="I2280" s="1257">
        <v>1.68161370071034E-2</v>
      </c>
      <c r="J2280" s="1280">
        <v>0.167556617753538</v>
      </c>
      <c r="K2280" s="1271">
        <v>2.2979582177163799E-2</v>
      </c>
      <c r="L2280" s="1257">
        <v>1.0896549036963699E-3</v>
      </c>
      <c r="M2280" s="1280">
        <v>1.46617224031104E-2</v>
      </c>
      <c r="N2280" s="1271">
        <v>3.0000008598028201E-3</v>
      </c>
      <c r="O2280" s="1257">
        <v>2.0000005732018801E-3</v>
      </c>
      <c r="P2280" s="1257">
        <v>3.0000008598028201E-3</v>
      </c>
      <c r="Q2280" s="1280">
        <v>3.0000008598028201E-3</v>
      </c>
      <c r="R2280" s="1271">
        <v>3.1850009128239903E-2</v>
      </c>
      <c r="S2280" s="1257">
        <v>3.1850009128239903E-2</v>
      </c>
      <c r="T2280" s="1257">
        <v>3.1850009128239903E-2</v>
      </c>
      <c r="U2280" s="1280">
        <v>1.5925004564119952E-2</v>
      </c>
      <c r="V2280" s="1293">
        <v>2.4018616912829499E-2</v>
      </c>
    </row>
    <row r="2281" spans="1:22" s="212" customFormat="1" ht="15.5" x14ac:dyDescent="0.35">
      <c r="A2281" s="198">
        <v>2050</v>
      </c>
      <c r="B2281" s="197" t="s">
        <v>5833</v>
      </c>
      <c r="C2281" s="197">
        <v>2017</v>
      </c>
      <c r="D2281" s="225" t="str">
        <f t="shared" si="14"/>
        <v>2050_2017</v>
      </c>
      <c r="E2281" s="1226">
        <v>0.108400731159683</v>
      </c>
      <c r="F2281" s="1257">
        <v>1.9224471305136399E-3</v>
      </c>
      <c r="G2281" s="1280">
        <v>6.1935395973805998E-2</v>
      </c>
      <c r="H2281" s="1271">
        <v>0.24973014954240999</v>
      </c>
      <c r="I2281" s="1257">
        <v>1.68161370071034E-2</v>
      </c>
      <c r="J2281" s="1280">
        <v>0.167556617753538</v>
      </c>
      <c r="K2281" s="1271">
        <v>2.2979582177163799E-2</v>
      </c>
      <c r="L2281" s="1257">
        <v>1.0896549036963699E-3</v>
      </c>
      <c r="M2281" s="1280">
        <v>1.46617224031104E-2</v>
      </c>
      <c r="N2281" s="1271">
        <v>3.0000008598028201E-3</v>
      </c>
      <c r="O2281" s="1257">
        <v>2.0000005732018801E-3</v>
      </c>
      <c r="P2281" s="1257">
        <v>3.0000008598028201E-3</v>
      </c>
      <c r="Q2281" s="1280">
        <v>3.0000008598028201E-3</v>
      </c>
      <c r="R2281" s="1271">
        <v>3.1850009128239903E-2</v>
      </c>
      <c r="S2281" s="1257">
        <v>3.1850009128239903E-2</v>
      </c>
      <c r="T2281" s="1257">
        <v>3.1850009128239903E-2</v>
      </c>
      <c r="U2281" s="1280">
        <v>1.5925004564119952E-2</v>
      </c>
      <c r="V2281" s="1293">
        <v>2.4018616912829499E-2</v>
      </c>
    </row>
    <row r="2282" spans="1:22" s="212" customFormat="1" ht="15.5" x14ac:dyDescent="0.35">
      <c r="A2282" s="198">
        <v>2050</v>
      </c>
      <c r="B2282" s="197" t="s">
        <v>5833</v>
      </c>
      <c r="C2282" s="197">
        <v>2018</v>
      </c>
      <c r="D2282" s="225" t="str">
        <f t="shared" si="14"/>
        <v>2050_2018</v>
      </c>
      <c r="E2282" s="1226">
        <v>0.108400731159683</v>
      </c>
      <c r="F2282" s="1257">
        <v>1.9224471305136399E-3</v>
      </c>
      <c r="G2282" s="1280">
        <v>6.1935395973805998E-2</v>
      </c>
      <c r="H2282" s="1271">
        <v>0.24973014954240999</v>
      </c>
      <c r="I2282" s="1257">
        <v>1.68161370071034E-2</v>
      </c>
      <c r="J2282" s="1280">
        <v>0.167556617753538</v>
      </c>
      <c r="K2282" s="1271">
        <v>2.2979582177163799E-2</v>
      </c>
      <c r="L2282" s="1257">
        <v>1.0896549036963699E-3</v>
      </c>
      <c r="M2282" s="1280">
        <v>1.46617224031104E-2</v>
      </c>
      <c r="N2282" s="1271">
        <v>3.0000008598028201E-3</v>
      </c>
      <c r="O2282" s="1257">
        <v>2.0000005732018801E-3</v>
      </c>
      <c r="P2282" s="1257">
        <v>3.0000008598028201E-3</v>
      </c>
      <c r="Q2282" s="1280">
        <v>3.0000008598028201E-3</v>
      </c>
      <c r="R2282" s="1271">
        <v>3.1850009128239903E-2</v>
      </c>
      <c r="S2282" s="1257">
        <v>3.1850009128239903E-2</v>
      </c>
      <c r="T2282" s="1257">
        <v>3.1850009128239903E-2</v>
      </c>
      <c r="U2282" s="1280">
        <v>1.5925004564119952E-2</v>
      </c>
      <c r="V2282" s="1293">
        <v>2.4018616912829499E-2</v>
      </c>
    </row>
    <row r="2283" spans="1:22" s="212" customFormat="1" ht="15.5" x14ac:dyDescent="0.35">
      <c r="A2283" s="198">
        <v>2050</v>
      </c>
      <c r="B2283" s="197" t="s">
        <v>5833</v>
      </c>
      <c r="C2283" s="197">
        <v>2019</v>
      </c>
      <c r="D2283" s="225" t="str">
        <f t="shared" si="14"/>
        <v>2050_2019</v>
      </c>
      <c r="E2283" s="1226">
        <v>0.108400731159683</v>
      </c>
      <c r="F2283" s="1257">
        <v>1.9224471305136399E-3</v>
      </c>
      <c r="G2283" s="1280">
        <v>6.1935395973805998E-2</v>
      </c>
      <c r="H2283" s="1271">
        <v>0.24973014954240999</v>
      </c>
      <c r="I2283" s="1257">
        <v>1.68161370071034E-2</v>
      </c>
      <c r="J2283" s="1280">
        <v>0.167556617753538</v>
      </c>
      <c r="K2283" s="1271">
        <v>2.2979582177163799E-2</v>
      </c>
      <c r="L2283" s="1257">
        <v>1.0896549036963699E-3</v>
      </c>
      <c r="M2283" s="1280">
        <v>1.46617224031104E-2</v>
      </c>
      <c r="N2283" s="1271">
        <v>3.0000008598028201E-3</v>
      </c>
      <c r="O2283" s="1257">
        <v>2.0000005732018801E-3</v>
      </c>
      <c r="P2283" s="1257">
        <v>3.0000008598028201E-3</v>
      </c>
      <c r="Q2283" s="1280">
        <v>3.0000008598028201E-3</v>
      </c>
      <c r="R2283" s="1271">
        <v>3.1850009128239903E-2</v>
      </c>
      <c r="S2283" s="1257">
        <v>3.1850009128239903E-2</v>
      </c>
      <c r="T2283" s="1257">
        <v>3.1850009128239903E-2</v>
      </c>
      <c r="U2283" s="1280">
        <v>1.5925004564119952E-2</v>
      </c>
      <c r="V2283" s="1293">
        <v>2.4018616912829499E-2</v>
      </c>
    </row>
    <row r="2284" spans="1:22" s="212" customFormat="1" ht="15.5" x14ac:dyDescent="0.35">
      <c r="A2284" s="198">
        <v>2050</v>
      </c>
      <c r="B2284" s="197" t="s">
        <v>5833</v>
      </c>
      <c r="C2284" s="197">
        <v>2020</v>
      </c>
      <c r="D2284" s="225" t="str">
        <f t="shared" si="14"/>
        <v>2050_2020</v>
      </c>
      <c r="E2284" s="1226">
        <v>0.108400731159683</v>
      </c>
      <c r="F2284" s="1257">
        <v>1.9224471305136399E-3</v>
      </c>
      <c r="G2284" s="1280">
        <v>6.1935395973805998E-2</v>
      </c>
      <c r="H2284" s="1271">
        <v>0.24973014954240999</v>
      </c>
      <c r="I2284" s="1257">
        <v>1.68161370071034E-2</v>
      </c>
      <c r="J2284" s="1280">
        <v>0.167556617753538</v>
      </c>
      <c r="K2284" s="1271">
        <v>2.2979582177163799E-2</v>
      </c>
      <c r="L2284" s="1257">
        <v>1.0896549036963699E-3</v>
      </c>
      <c r="M2284" s="1280">
        <v>1.46617224031104E-2</v>
      </c>
      <c r="N2284" s="1271">
        <v>3.0000008598028201E-3</v>
      </c>
      <c r="O2284" s="1257">
        <v>2.0000005732018801E-3</v>
      </c>
      <c r="P2284" s="1257">
        <v>3.0000008598028201E-3</v>
      </c>
      <c r="Q2284" s="1280">
        <v>3.0000008598028201E-3</v>
      </c>
      <c r="R2284" s="1271">
        <v>3.1850009128239903E-2</v>
      </c>
      <c r="S2284" s="1257">
        <v>3.1850009128239903E-2</v>
      </c>
      <c r="T2284" s="1257">
        <v>3.1850009128239903E-2</v>
      </c>
      <c r="U2284" s="1280">
        <v>1.5925004564119952E-2</v>
      </c>
      <c r="V2284" s="1293">
        <v>2.4018616912829499E-2</v>
      </c>
    </row>
    <row r="2285" spans="1:22" s="212" customFormat="1" ht="15.5" x14ac:dyDescent="0.35">
      <c r="A2285" s="198">
        <v>2050</v>
      </c>
      <c r="B2285" s="197" t="s">
        <v>5833</v>
      </c>
      <c r="C2285" s="197">
        <v>2021</v>
      </c>
      <c r="D2285" s="225" t="str">
        <f t="shared" si="14"/>
        <v>2050_2021</v>
      </c>
      <c r="E2285" s="1226">
        <v>0.108400731159683</v>
      </c>
      <c r="F2285" s="1257">
        <v>1.9224471305136399E-3</v>
      </c>
      <c r="G2285" s="1280">
        <v>6.1935395973805998E-2</v>
      </c>
      <c r="H2285" s="1271">
        <v>0.24973014954240999</v>
      </c>
      <c r="I2285" s="1257">
        <v>1.68161370071034E-2</v>
      </c>
      <c r="J2285" s="1280">
        <v>0.167556617753538</v>
      </c>
      <c r="K2285" s="1271">
        <v>2.2979582177163799E-2</v>
      </c>
      <c r="L2285" s="1257">
        <v>1.0896549036963699E-3</v>
      </c>
      <c r="M2285" s="1280">
        <v>1.46617224031104E-2</v>
      </c>
      <c r="N2285" s="1271">
        <v>3.0000008598028201E-3</v>
      </c>
      <c r="O2285" s="1257">
        <v>2.0000005732018801E-3</v>
      </c>
      <c r="P2285" s="1257">
        <v>3.0000008598028201E-3</v>
      </c>
      <c r="Q2285" s="1280">
        <v>3.0000008598028201E-3</v>
      </c>
      <c r="R2285" s="1271">
        <v>3.1850009128239903E-2</v>
      </c>
      <c r="S2285" s="1257">
        <v>3.1850009128239903E-2</v>
      </c>
      <c r="T2285" s="1257">
        <v>3.1850009128239903E-2</v>
      </c>
      <c r="U2285" s="1280">
        <v>1.5925004564119952E-2</v>
      </c>
      <c r="V2285" s="1293">
        <v>2.4018616912829499E-2</v>
      </c>
    </row>
    <row r="2286" spans="1:22" s="212" customFormat="1" ht="15.5" x14ac:dyDescent="0.35">
      <c r="A2286" s="198">
        <v>2050</v>
      </c>
      <c r="B2286" s="197" t="s">
        <v>5833</v>
      </c>
      <c r="C2286" s="197">
        <v>2022</v>
      </c>
      <c r="D2286" s="225" t="str">
        <f t="shared" si="14"/>
        <v>2050_2022</v>
      </c>
      <c r="E2286" s="1226">
        <v>0.108400731159683</v>
      </c>
      <c r="F2286" s="1257">
        <v>1.9224471305136399E-3</v>
      </c>
      <c r="G2286" s="1280">
        <v>6.1935395973805998E-2</v>
      </c>
      <c r="H2286" s="1271">
        <v>0.24973014954240999</v>
      </c>
      <c r="I2286" s="1257">
        <v>1.68161370071034E-2</v>
      </c>
      <c r="J2286" s="1280">
        <v>0.167556617753538</v>
      </c>
      <c r="K2286" s="1271">
        <v>2.2979582177163799E-2</v>
      </c>
      <c r="L2286" s="1257">
        <v>1.0896549036963699E-3</v>
      </c>
      <c r="M2286" s="1280">
        <v>1.46617224031104E-2</v>
      </c>
      <c r="N2286" s="1271">
        <v>3.0000008598028201E-3</v>
      </c>
      <c r="O2286" s="1257">
        <v>2.0000005732018801E-3</v>
      </c>
      <c r="P2286" s="1257">
        <v>3.0000008598028201E-3</v>
      </c>
      <c r="Q2286" s="1280">
        <v>3.0000008598028201E-3</v>
      </c>
      <c r="R2286" s="1271">
        <v>3.1850009128239903E-2</v>
      </c>
      <c r="S2286" s="1257">
        <v>3.1850009128239903E-2</v>
      </c>
      <c r="T2286" s="1257">
        <v>3.1850009128239903E-2</v>
      </c>
      <c r="U2286" s="1280">
        <v>1.5925004564119952E-2</v>
      </c>
      <c r="V2286" s="1293">
        <v>2.4018616912829499E-2</v>
      </c>
    </row>
    <row r="2287" spans="1:22" s="212" customFormat="1" ht="15.5" x14ac:dyDescent="0.35">
      <c r="A2287" s="198">
        <v>2050</v>
      </c>
      <c r="B2287" s="197" t="s">
        <v>5833</v>
      </c>
      <c r="C2287" s="197">
        <v>2023</v>
      </c>
      <c r="D2287" s="225" t="str">
        <f t="shared" si="14"/>
        <v>2050_2023</v>
      </c>
      <c r="E2287" s="1226">
        <v>0.108400731159683</v>
      </c>
      <c r="F2287" s="1257">
        <v>1.9224471305136399E-3</v>
      </c>
      <c r="G2287" s="1280">
        <v>6.1935395973805998E-2</v>
      </c>
      <c r="H2287" s="1271">
        <v>0.24973014954240999</v>
      </c>
      <c r="I2287" s="1257">
        <v>1.68161370071034E-2</v>
      </c>
      <c r="J2287" s="1280">
        <v>0.167556617753538</v>
      </c>
      <c r="K2287" s="1271">
        <v>2.2979582177163799E-2</v>
      </c>
      <c r="L2287" s="1257">
        <v>1.0896549036963699E-3</v>
      </c>
      <c r="M2287" s="1280">
        <v>1.46617224031104E-2</v>
      </c>
      <c r="N2287" s="1271">
        <v>3.0000008598028201E-3</v>
      </c>
      <c r="O2287" s="1257">
        <v>2.0000005732018801E-3</v>
      </c>
      <c r="P2287" s="1257">
        <v>3.0000008598028201E-3</v>
      </c>
      <c r="Q2287" s="1280">
        <v>3.0000008598028201E-3</v>
      </c>
      <c r="R2287" s="1271">
        <v>3.1850009128239903E-2</v>
      </c>
      <c r="S2287" s="1257">
        <v>3.1850009128239903E-2</v>
      </c>
      <c r="T2287" s="1257">
        <v>3.1850009128239903E-2</v>
      </c>
      <c r="U2287" s="1280">
        <v>1.5925004564119952E-2</v>
      </c>
      <c r="V2287" s="1293">
        <v>2.4018616912829499E-2</v>
      </c>
    </row>
    <row r="2288" spans="1:22" s="212" customFormat="1" ht="15.5" x14ac:dyDescent="0.35">
      <c r="A2288" s="198">
        <v>2050</v>
      </c>
      <c r="B2288" s="197" t="s">
        <v>5833</v>
      </c>
      <c r="C2288" s="197">
        <v>2024</v>
      </c>
      <c r="D2288" s="225" t="str">
        <f t="shared" si="14"/>
        <v>2050_2024</v>
      </c>
      <c r="E2288" s="1226">
        <v>0.108400731159683</v>
      </c>
      <c r="F2288" s="1257">
        <v>1.9224471305136399E-3</v>
      </c>
      <c r="G2288" s="1280">
        <v>6.1935395973805998E-2</v>
      </c>
      <c r="H2288" s="1271">
        <v>0.24973014954240999</v>
      </c>
      <c r="I2288" s="1257">
        <v>1.68161370071034E-2</v>
      </c>
      <c r="J2288" s="1280">
        <v>0.167556617753538</v>
      </c>
      <c r="K2288" s="1271">
        <v>2.2979582177163799E-2</v>
      </c>
      <c r="L2288" s="1257">
        <v>1.0896549036963699E-3</v>
      </c>
      <c r="M2288" s="1280">
        <v>1.46617224031104E-2</v>
      </c>
      <c r="N2288" s="1271">
        <v>3.0000008598028201E-3</v>
      </c>
      <c r="O2288" s="1257">
        <v>2.0000005732018801E-3</v>
      </c>
      <c r="P2288" s="1257">
        <v>3.0000008598028201E-3</v>
      </c>
      <c r="Q2288" s="1280">
        <v>3.0000008598028201E-3</v>
      </c>
      <c r="R2288" s="1271">
        <v>3.1850009128239903E-2</v>
      </c>
      <c r="S2288" s="1257">
        <v>3.1850009128239903E-2</v>
      </c>
      <c r="T2288" s="1257">
        <v>3.1850009128239903E-2</v>
      </c>
      <c r="U2288" s="1280">
        <v>1.5925004564119952E-2</v>
      </c>
      <c r="V2288" s="1293">
        <v>2.4018616912829499E-2</v>
      </c>
    </row>
    <row r="2289" spans="1:22" s="212" customFormat="1" ht="15.5" x14ac:dyDescent="0.35">
      <c r="A2289" s="198">
        <v>2050</v>
      </c>
      <c r="B2289" s="197" t="s">
        <v>5833</v>
      </c>
      <c r="C2289" s="197">
        <v>2025</v>
      </c>
      <c r="D2289" s="225" t="str">
        <f t="shared" si="14"/>
        <v>2050_2025</v>
      </c>
      <c r="E2289" s="1226">
        <v>0.108400731159683</v>
      </c>
      <c r="F2289" s="1257">
        <v>1.9224471305136399E-3</v>
      </c>
      <c r="G2289" s="1280">
        <v>6.1935395973805998E-2</v>
      </c>
      <c r="H2289" s="1271">
        <v>0.24973014954240999</v>
      </c>
      <c r="I2289" s="1257">
        <v>1.68161370071034E-2</v>
      </c>
      <c r="J2289" s="1280">
        <v>0.167556617753538</v>
      </c>
      <c r="K2289" s="1271">
        <v>2.2979582177163799E-2</v>
      </c>
      <c r="L2289" s="1257">
        <v>1.0896549036963699E-3</v>
      </c>
      <c r="M2289" s="1280">
        <v>1.46617224031104E-2</v>
      </c>
      <c r="N2289" s="1271">
        <v>3.0000008598028201E-3</v>
      </c>
      <c r="O2289" s="1257">
        <v>2.0000005732018801E-3</v>
      </c>
      <c r="P2289" s="1257">
        <v>3.0000008598028201E-3</v>
      </c>
      <c r="Q2289" s="1280">
        <v>3.0000008598028201E-3</v>
      </c>
      <c r="R2289" s="1271">
        <v>3.1850009128239903E-2</v>
      </c>
      <c r="S2289" s="1257">
        <v>3.1850009128239903E-2</v>
      </c>
      <c r="T2289" s="1257">
        <v>3.1850009128239903E-2</v>
      </c>
      <c r="U2289" s="1280">
        <v>1.5925004564119952E-2</v>
      </c>
      <c r="V2289" s="1293">
        <v>2.4018616912829499E-2</v>
      </c>
    </row>
    <row r="2290" spans="1:22" s="212" customFormat="1" ht="15.5" x14ac:dyDescent="0.35">
      <c r="A2290" s="198">
        <v>2050</v>
      </c>
      <c r="B2290" s="197" t="s">
        <v>5833</v>
      </c>
      <c r="C2290" s="197">
        <v>2026</v>
      </c>
      <c r="D2290" s="225" t="str">
        <f t="shared" si="14"/>
        <v>2050_2026</v>
      </c>
      <c r="E2290" s="1226">
        <v>0.108400731159683</v>
      </c>
      <c r="F2290" s="1257">
        <v>1.9224471305136399E-3</v>
      </c>
      <c r="G2290" s="1280">
        <v>6.1935395973805998E-2</v>
      </c>
      <c r="H2290" s="1271">
        <v>0.24973014954240999</v>
      </c>
      <c r="I2290" s="1257">
        <v>1.68161370071034E-2</v>
      </c>
      <c r="J2290" s="1280">
        <v>0.167556617753538</v>
      </c>
      <c r="K2290" s="1271">
        <v>2.2979582177163799E-2</v>
      </c>
      <c r="L2290" s="1257">
        <v>1.0896549036963699E-3</v>
      </c>
      <c r="M2290" s="1280">
        <v>1.46617224031104E-2</v>
      </c>
      <c r="N2290" s="1271">
        <v>3.0000008598028201E-3</v>
      </c>
      <c r="O2290" s="1257">
        <v>2.0000005732018801E-3</v>
      </c>
      <c r="P2290" s="1257">
        <v>3.0000008598028201E-3</v>
      </c>
      <c r="Q2290" s="1280">
        <v>3.0000008598028201E-3</v>
      </c>
      <c r="R2290" s="1271">
        <v>3.1850009128239903E-2</v>
      </c>
      <c r="S2290" s="1257">
        <v>3.1850009128239903E-2</v>
      </c>
      <c r="T2290" s="1257">
        <v>3.1850009128239903E-2</v>
      </c>
      <c r="U2290" s="1280">
        <v>1.5925004564119952E-2</v>
      </c>
      <c r="V2290" s="1293">
        <v>2.4018616912829499E-2</v>
      </c>
    </row>
    <row r="2291" spans="1:22" s="212" customFormat="1" ht="15.5" x14ac:dyDescent="0.35">
      <c r="A2291" s="198">
        <v>2050</v>
      </c>
      <c r="B2291" s="197" t="s">
        <v>5833</v>
      </c>
      <c r="C2291" s="197">
        <v>2027</v>
      </c>
      <c r="D2291" s="225" t="str">
        <f t="shared" si="14"/>
        <v>2050_2027</v>
      </c>
      <c r="E2291" s="1226">
        <v>0.108400731159683</v>
      </c>
      <c r="F2291" s="1257">
        <v>1.9224471305136399E-3</v>
      </c>
      <c r="G2291" s="1280">
        <v>6.1935395973805998E-2</v>
      </c>
      <c r="H2291" s="1271">
        <v>0.24973014954240999</v>
      </c>
      <c r="I2291" s="1257">
        <v>1.68161370071034E-2</v>
      </c>
      <c r="J2291" s="1280">
        <v>0.167556617753538</v>
      </c>
      <c r="K2291" s="1271">
        <v>2.2979582177163799E-2</v>
      </c>
      <c r="L2291" s="1257">
        <v>1.0896549036963699E-3</v>
      </c>
      <c r="M2291" s="1280">
        <v>1.46617224031104E-2</v>
      </c>
      <c r="N2291" s="1271">
        <v>3.0000008598028201E-3</v>
      </c>
      <c r="O2291" s="1257">
        <v>2.0000005732018801E-3</v>
      </c>
      <c r="P2291" s="1257">
        <v>3.0000008598028201E-3</v>
      </c>
      <c r="Q2291" s="1280">
        <v>3.0000008598028201E-3</v>
      </c>
      <c r="R2291" s="1271">
        <v>3.1850009128239903E-2</v>
      </c>
      <c r="S2291" s="1257">
        <v>3.1850009128239903E-2</v>
      </c>
      <c r="T2291" s="1257">
        <v>3.1850009128239903E-2</v>
      </c>
      <c r="U2291" s="1280">
        <v>1.5925004564119952E-2</v>
      </c>
      <c r="V2291" s="1293">
        <v>2.4018616912829499E-2</v>
      </c>
    </row>
    <row r="2292" spans="1:22" s="212" customFormat="1" ht="15.5" x14ac:dyDescent="0.35">
      <c r="A2292" s="198">
        <v>2050</v>
      </c>
      <c r="B2292" s="197" t="s">
        <v>5833</v>
      </c>
      <c r="C2292" s="197">
        <v>2028</v>
      </c>
      <c r="D2292" s="225" t="str">
        <f t="shared" si="14"/>
        <v>2050_2028</v>
      </c>
      <c r="E2292" s="1226">
        <v>0.108400731159683</v>
      </c>
      <c r="F2292" s="1257">
        <v>1.9224471305136399E-3</v>
      </c>
      <c r="G2292" s="1280">
        <v>6.1935395973805998E-2</v>
      </c>
      <c r="H2292" s="1271">
        <v>0.24973014954240999</v>
      </c>
      <c r="I2292" s="1257">
        <v>1.68161370071034E-2</v>
      </c>
      <c r="J2292" s="1280">
        <v>0.167556617753538</v>
      </c>
      <c r="K2292" s="1271">
        <v>2.2979582177163799E-2</v>
      </c>
      <c r="L2292" s="1257">
        <v>1.0896549036963699E-3</v>
      </c>
      <c r="M2292" s="1280">
        <v>1.46617224031104E-2</v>
      </c>
      <c r="N2292" s="1271">
        <v>3.0000008598028201E-3</v>
      </c>
      <c r="O2292" s="1257">
        <v>2.0000005732018801E-3</v>
      </c>
      <c r="P2292" s="1257">
        <v>3.0000008598028201E-3</v>
      </c>
      <c r="Q2292" s="1280">
        <v>3.0000008598028201E-3</v>
      </c>
      <c r="R2292" s="1271">
        <v>3.1850009128239903E-2</v>
      </c>
      <c r="S2292" s="1257">
        <v>3.1850009128239903E-2</v>
      </c>
      <c r="T2292" s="1257">
        <v>3.1850009128239903E-2</v>
      </c>
      <c r="U2292" s="1280">
        <v>1.5925004564119952E-2</v>
      </c>
      <c r="V2292" s="1293">
        <v>2.4018616912829499E-2</v>
      </c>
    </row>
    <row r="2293" spans="1:22" s="212" customFormat="1" ht="15.5" x14ac:dyDescent="0.35">
      <c r="A2293" s="198">
        <v>2050</v>
      </c>
      <c r="B2293" s="197" t="s">
        <v>5833</v>
      </c>
      <c r="C2293" s="197">
        <v>2029</v>
      </c>
      <c r="D2293" s="225" t="str">
        <f t="shared" si="14"/>
        <v>2050_2029</v>
      </c>
      <c r="E2293" s="1226">
        <v>0.108400731159683</v>
      </c>
      <c r="F2293" s="1257">
        <v>1.9224471305136399E-3</v>
      </c>
      <c r="G2293" s="1280">
        <v>6.1935395973805998E-2</v>
      </c>
      <c r="H2293" s="1271">
        <v>0.24973014954240999</v>
      </c>
      <c r="I2293" s="1257">
        <v>1.68161370071034E-2</v>
      </c>
      <c r="J2293" s="1280">
        <v>0.167556617753538</v>
      </c>
      <c r="K2293" s="1271">
        <v>2.2979582177163799E-2</v>
      </c>
      <c r="L2293" s="1257">
        <v>1.0896549036963699E-3</v>
      </c>
      <c r="M2293" s="1280">
        <v>1.46617224031104E-2</v>
      </c>
      <c r="N2293" s="1271">
        <v>3.0000008598028201E-3</v>
      </c>
      <c r="O2293" s="1257">
        <v>2.0000005732018801E-3</v>
      </c>
      <c r="P2293" s="1257">
        <v>3.0000008598028201E-3</v>
      </c>
      <c r="Q2293" s="1280">
        <v>3.0000008598028201E-3</v>
      </c>
      <c r="R2293" s="1271">
        <v>3.1850009128239903E-2</v>
      </c>
      <c r="S2293" s="1257">
        <v>3.1850009128239903E-2</v>
      </c>
      <c r="T2293" s="1257">
        <v>3.1850009128239903E-2</v>
      </c>
      <c r="U2293" s="1280">
        <v>1.5925004564119952E-2</v>
      </c>
      <c r="V2293" s="1293">
        <v>2.4018616912829499E-2</v>
      </c>
    </row>
    <row r="2294" spans="1:22" s="212" customFormat="1" ht="15.5" x14ac:dyDescent="0.35">
      <c r="A2294" s="198">
        <v>2050</v>
      </c>
      <c r="B2294" s="197" t="s">
        <v>5833</v>
      </c>
      <c r="C2294" s="197">
        <v>2030</v>
      </c>
      <c r="D2294" s="225" t="str">
        <f t="shared" si="14"/>
        <v>2050_2030</v>
      </c>
      <c r="E2294" s="1226">
        <v>0.108400731159683</v>
      </c>
      <c r="F2294" s="1257">
        <v>1.9224471305136399E-3</v>
      </c>
      <c r="G2294" s="1280">
        <v>6.1935395973805998E-2</v>
      </c>
      <c r="H2294" s="1271">
        <v>0.24973014954240999</v>
      </c>
      <c r="I2294" s="1257">
        <v>1.68161370071034E-2</v>
      </c>
      <c r="J2294" s="1280">
        <v>0.167556617753538</v>
      </c>
      <c r="K2294" s="1271">
        <v>2.2979582177163799E-2</v>
      </c>
      <c r="L2294" s="1257">
        <v>1.0896549036963699E-3</v>
      </c>
      <c r="M2294" s="1280">
        <v>1.46617224031104E-2</v>
      </c>
      <c r="N2294" s="1271">
        <v>3.0000008598028201E-3</v>
      </c>
      <c r="O2294" s="1257">
        <v>2.0000005732018801E-3</v>
      </c>
      <c r="P2294" s="1257">
        <v>3.0000008598028201E-3</v>
      </c>
      <c r="Q2294" s="1280">
        <v>3.0000008598028201E-3</v>
      </c>
      <c r="R2294" s="1271">
        <v>3.1850009128239903E-2</v>
      </c>
      <c r="S2294" s="1257">
        <v>3.1850009128239903E-2</v>
      </c>
      <c r="T2294" s="1257">
        <v>3.1850009128239903E-2</v>
      </c>
      <c r="U2294" s="1280">
        <v>1.5925004564119952E-2</v>
      </c>
      <c r="V2294" s="1293">
        <v>2.4018616912829499E-2</v>
      </c>
    </row>
    <row r="2295" spans="1:22" s="212" customFormat="1" ht="15.5" x14ac:dyDescent="0.35">
      <c r="A2295" s="198">
        <v>2050</v>
      </c>
      <c r="B2295" s="197" t="s">
        <v>5833</v>
      </c>
      <c r="C2295" s="197">
        <v>2031</v>
      </c>
      <c r="D2295" s="225" t="str">
        <f t="shared" si="14"/>
        <v>2050_2031</v>
      </c>
      <c r="E2295" s="1226">
        <v>0.108400731159683</v>
      </c>
      <c r="F2295" s="1257">
        <v>1.9224471305136399E-3</v>
      </c>
      <c r="G2295" s="1280">
        <v>6.1935395973805998E-2</v>
      </c>
      <c r="H2295" s="1271">
        <v>0.24973014954240999</v>
      </c>
      <c r="I2295" s="1257">
        <v>1.68161370071034E-2</v>
      </c>
      <c r="J2295" s="1280">
        <v>0.167556617753538</v>
      </c>
      <c r="K2295" s="1271">
        <v>2.2979582177163799E-2</v>
      </c>
      <c r="L2295" s="1257">
        <v>1.0896549036963699E-3</v>
      </c>
      <c r="M2295" s="1280">
        <v>1.46617224031104E-2</v>
      </c>
      <c r="N2295" s="1271">
        <v>3.0000008598028201E-3</v>
      </c>
      <c r="O2295" s="1257">
        <v>2.0000005732018801E-3</v>
      </c>
      <c r="P2295" s="1257">
        <v>3.0000008598028201E-3</v>
      </c>
      <c r="Q2295" s="1280">
        <v>3.0000008598028201E-3</v>
      </c>
      <c r="R2295" s="1271">
        <v>3.1850009128239903E-2</v>
      </c>
      <c r="S2295" s="1257">
        <v>3.1850009128239903E-2</v>
      </c>
      <c r="T2295" s="1257">
        <v>3.1850009128239903E-2</v>
      </c>
      <c r="U2295" s="1280">
        <v>1.5925004564119952E-2</v>
      </c>
      <c r="V2295" s="1293">
        <v>2.4018616912829499E-2</v>
      </c>
    </row>
    <row r="2296" spans="1:22" s="212" customFormat="1" ht="15.5" x14ac:dyDescent="0.35">
      <c r="A2296" s="198">
        <v>2050</v>
      </c>
      <c r="B2296" s="197" t="s">
        <v>5833</v>
      </c>
      <c r="C2296" s="197">
        <v>2032</v>
      </c>
      <c r="D2296" s="225" t="str">
        <f t="shared" si="14"/>
        <v>2050_2032</v>
      </c>
      <c r="E2296" s="1226">
        <v>0.108400731159683</v>
      </c>
      <c r="F2296" s="1257">
        <v>1.9224471305136399E-3</v>
      </c>
      <c r="G2296" s="1280">
        <v>6.1935395973805998E-2</v>
      </c>
      <c r="H2296" s="1271">
        <v>0.24973014954240999</v>
      </c>
      <c r="I2296" s="1257">
        <v>1.68161370071034E-2</v>
      </c>
      <c r="J2296" s="1280">
        <v>0.167556617753538</v>
      </c>
      <c r="K2296" s="1271">
        <v>2.2979582177163799E-2</v>
      </c>
      <c r="L2296" s="1257">
        <v>1.0896549036963699E-3</v>
      </c>
      <c r="M2296" s="1280">
        <v>1.46617224031104E-2</v>
      </c>
      <c r="N2296" s="1271">
        <v>3.0000008598028201E-3</v>
      </c>
      <c r="O2296" s="1257">
        <v>2.0000005732018801E-3</v>
      </c>
      <c r="P2296" s="1257">
        <v>3.0000008598028201E-3</v>
      </c>
      <c r="Q2296" s="1280">
        <v>3.0000008598028201E-3</v>
      </c>
      <c r="R2296" s="1271">
        <v>3.1850009128239903E-2</v>
      </c>
      <c r="S2296" s="1257">
        <v>3.1850009128239903E-2</v>
      </c>
      <c r="T2296" s="1257">
        <v>3.1850009128239903E-2</v>
      </c>
      <c r="U2296" s="1280">
        <v>1.5925004564119952E-2</v>
      </c>
      <c r="V2296" s="1293">
        <v>2.4018616912829499E-2</v>
      </c>
    </row>
    <row r="2297" spans="1:22" s="212" customFormat="1" ht="15.5" x14ac:dyDescent="0.35">
      <c r="A2297" s="198">
        <v>2050</v>
      </c>
      <c r="B2297" s="197" t="s">
        <v>5833</v>
      </c>
      <c r="C2297" s="197">
        <v>2033</v>
      </c>
      <c r="D2297" s="225" t="str">
        <f t="shared" si="14"/>
        <v>2050_2033</v>
      </c>
      <c r="E2297" s="1226">
        <v>0.108400731159683</v>
      </c>
      <c r="F2297" s="1257">
        <v>1.9224471305136399E-3</v>
      </c>
      <c r="G2297" s="1280">
        <v>6.1935395973805998E-2</v>
      </c>
      <c r="H2297" s="1271">
        <v>0.24973014954240999</v>
      </c>
      <c r="I2297" s="1257">
        <v>1.68161370071034E-2</v>
      </c>
      <c r="J2297" s="1280">
        <v>0.167556617753538</v>
      </c>
      <c r="K2297" s="1271">
        <v>2.2979582177163799E-2</v>
      </c>
      <c r="L2297" s="1257">
        <v>1.0896549036963699E-3</v>
      </c>
      <c r="M2297" s="1280">
        <v>1.46617224031104E-2</v>
      </c>
      <c r="N2297" s="1271">
        <v>3.0000008598028201E-3</v>
      </c>
      <c r="O2297" s="1257">
        <v>2.0000005732018801E-3</v>
      </c>
      <c r="P2297" s="1257">
        <v>3.0000008598028201E-3</v>
      </c>
      <c r="Q2297" s="1280">
        <v>3.0000008598028201E-3</v>
      </c>
      <c r="R2297" s="1271">
        <v>3.1850009128239903E-2</v>
      </c>
      <c r="S2297" s="1257">
        <v>3.1850009128239903E-2</v>
      </c>
      <c r="T2297" s="1257">
        <v>3.1850009128239903E-2</v>
      </c>
      <c r="U2297" s="1280">
        <v>1.5925004564119952E-2</v>
      </c>
      <c r="V2297" s="1293">
        <v>2.4018616912829499E-2</v>
      </c>
    </row>
    <row r="2298" spans="1:22" s="212" customFormat="1" ht="15.5" x14ac:dyDescent="0.35">
      <c r="A2298" s="198">
        <v>2050</v>
      </c>
      <c r="B2298" s="197" t="s">
        <v>5833</v>
      </c>
      <c r="C2298" s="197">
        <v>2034</v>
      </c>
      <c r="D2298" s="225" t="str">
        <f t="shared" si="14"/>
        <v>2050_2034</v>
      </c>
      <c r="E2298" s="1226">
        <v>0.108400731159683</v>
      </c>
      <c r="F2298" s="1257">
        <v>1.9224471305136399E-3</v>
      </c>
      <c r="G2298" s="1280">
        <v>6.1935395973805998E-2</v>
      </c>
      <c r="H2298" s="1271">
        <v>0.24973014954240999</v>
      </c>
      <c r="I2298" s="1257">
        <v>1.68161370071034E-2</v>
      </c>
      <c r="J2298" s="1280">
        <v>0.167556617753538</v>
      </c>
      <c r="K2298" s="1271">
        <v>2.2979582177163799E-2</v>
      </c>
      <c r="L2298" s="1257">
        <v>1.0896549036963699E-3</v>
      </c>
      <c r="M2298" s="1280">
        <v>1.46617224031104E-2</v>
      </c>
      <c r="N2298" s="1271">
        <v>3.0000008598028201E-3</v>
      </c>
      <c r="O2298" s="1257">
        <v>2.0000005732018801E-3</v>
      </c>
      <c r="P2298" s="1257">
        <v>3.0000008598028201E-3</v>
      </c>
      <c r="Q2298" s="1280">
        <v>3.0000008598028201E-3</v>
      </c>
      <c r="R2298" s="1271">
        <v>3.1850009128239903E-2</v>
      </c>
      <c r="S2298" s="1257">
        <v>3.1850009128239903E-2</v>
      </c>
      <c r="T2298" s="1257">
        <v>3.1850009128239903E-2</v>
      </c>
      <c r="U2298" s="1280">
        <v>1.5925004564119952E-2</v>
      </c>
      <c r="V2298" s="1293">
        <v>2.4018616912829499E-2</v>
      </c>
    </row>
    <row r="2299" spans="1:22" s="212" customFormat="1" ht="15.5" x14ac:dyDescent="0.35">
      <c r="A2299" s="198">
        <v>2050</v>
      </c>
      <c r="B2299" s="197" t="s">
        <v>5833</v>
      </c>
      <c r="C2299" s="197">
        <v>2035</v>
      </c>
      <c r="D2299" s="225" t="str">
        <f t="shared" si="14"/>
        <v>2050_2035</v>
      </c>
      <c r="E2299" s="1226">
        <v>0.108400731159683</v>
      </c>
      <c r="F2299" s="1257">
        <v>1.9224471305136399E-3</v>
      </c>
      <c r="G2299" s="1280">
        <v>6.1935395973805998E-2</v>
      </c>
      <c r="H2299" s="1271">
        <v>0.24973014954240999</v>
      </c>
      <c r="I2299" s="1257">
        <v>1.68161370071034E-2</v>
      </c>
      <c r="J2299" s="1280">
        <v>0.167556617753538</v>
      </c>
      <c r="K2299" s="1271">
        <v>2.2979582177163799E-2</v>
      </c>
      <c r="L2299" s="1257">
        <v>1.0896549036963699E-3</v>
      </c>
      <c r="M2299" s="1280">
        <v>1.46617224031104E-2</v>
      </c>
      <c r="N2299" s="1271">
        <v>3.0000008598028201E-3</v>
      </c>
      <c r="O2299" s="1257">
        <v>2.0000005732018801E-3</v>
      </c>
      <c r="P2299" s="1257">
        <v>3.0000008598028201E-3</v>
      </c>
      <c r="Q2299" s="1280">
        <v>3.0000008598028201E-3</v>
      </c>
      <c r="R2299" s="1271">
        <v>3.1850009128239903E-2</v>
      </c>
      <c r="S2299" s="1257">
        <v>3.1850009128239903E-2</v>
      </c>
      <c r="T2299" s="1257">
        <v>3.1850009128239903E-2</v>
      </c>
      <c r="U2299" s="1280">
        <v>1.5925004564119952E-2</v>
      </c>
      <c r="V2299" s="1293">
        <v>2.4018616912829499E-2</v>
      </c>
    </row>
    <row r="2300" spans="1:22" s="212" customFormat="1" ht="15.5" x14ac:dyDescent="0.35">
      <c r="A2300" s="198">
        <v>2050</v>
      </c>
      <c r="B2300" s="197" t="s">
        <v>5833</v>
      </c>
      <c r="C2300" s="197">
        <v>2036</v>
      </c>
      <c r="D2300" s="225" t="str">
        <f t="shared" si="14"/>
        <v>2050_2036</v>
      </c>
      <c r="E2300" s="1226">
        <v>0.108400731159683</v>
      </c>
      <c r="F2300" s="1257">
        <v>1.9224471305136399E-3</v>
      </c>
      <c r="G2300" s="1280">
        <v>6.1935395973805998E-2</v>
      </c>
      <c r="H2300" s="1271">
        <v>0.24973014954240999</v>
      </c>
      <c r="I2300" s="1257">
        <v>1.68161370071034E-2</v>
      </c>
      <c r="J2300" s="1280">
        <v>0.167556617753538</v>
      </c>
      <c r="K2300" s="1271">
        <v>2.2979582177163799E-2</v>
      </c>
      <c r="L2300" s="1257">
        <v>1.0896549036963699E-3</v>
      </c>
      <c r="M2300" s="1280">
        <v>1.46617224031104E-2</v>
      </c>
      <c r="N2300" s="1271">
        <v>3.0000008598028201E-3</v>
      </c>
      <c r="O2300" s="1257">
        <v>2.0000005732018801E-3</v>
      </c>
      <c r="P2300" s="1257">
        <v>3.0000008598028201E-3</v>
      </c>
      <c r="Q2300" s="1306">
        <v>7.3795799121639197E-3</v>
      </c>
      <c r="R2300" s="1271">
        <v>3.1850009128239903E-2</v>
      </c>
      <c r="S2300" s="1257">
        <v>3.1850009128239903E-2</v>
      </c>
      <c r="T2300" s="1257">
        <v>3.1850009128239903E-2</v>
      </c>
      <c r="U2300" s="1306">
        <v>1.9250005517068101E-2</v>
      </c>
      <c r="V2300" s="1293">
        <v>2.4018616912829499E-2</v>
      </c>
    </row>
    <row r="2301" spans="1:22" s="212" customFormat="1" ht="15.5" x14ac:dyDescent="0.35">
      <c r="A2301" s="198">
        <v>2050</v>
      </c>
      <c r="B2301" s="197" t="s">
        <v>5833</v>
      </c>
      <c r="C2301" s="197">
        <v>2037</v>
      </c>
      <c r="D2301" s="225" t="str">
        <f t="shared" si="14"/>
        <v>2050_2037</v>
      </c>
      <c r="E2301" s="1226">
        <v>0.108400731159683</v>
      </c>
      <c r="F2301" s="1257">
        <v>1.9224471305136399E-3</v>
      </c>
      <c r="G2301" s="1280">
        <v>6.1935395973805998E-2</v>
      </c>
      <c r="H2301" s="1271">
        <v>0.24973014954240999</v>
      </c>
      <c r="I2301" s="1257">
        <v>1.68161370071034E-2</v>
      </c>
      <c r="J2301" s="1280">
        <v>0.167556617753538</v>
      </c>
      <c r="K2301" s="1271">
        <v>2.2979582177163799E-2</v>
      </c>
      <c r="L2301" s="1257">
        <v>1.0896549036963699E-3</v>
      </c>
      <c r="M2301" s="1280">
        <v>1.46617224031104E-2</v>
      </c>
      <c r="N2301" s="1271">
        <v>3.0000008598028201E-3</v>
      </c>
      <c r="O2301" s="1257">
        <v>2.0000005732018801E-3</v>
      </c>
      <c r="P2301" s="1257">
        <v>3.0000008598028201E-3</v>
      </c>
      <c r="Q2301" s="1306">
        <v>7.5861856395711197E-3</v>
      </c>
      <c r="R2301" s="1271">
        <v>3.1850009128239903E-2</v>
      </c>
      <c r="S2301" s="1257">
        <v>3.1850009128239903E-2</v>
      </c>
      <c r="T2301" s="1257">
        <v>3.1850009128239903E-2</v>
      </c>
      <c r="U2301" s="1306">
        <v>1.9250005517068101E-2</v>
      </c>
      <c r="V2301" s="1293">
        <v>2.4018616912829499E-2</v>
      </c>
    </row>
    <row r="2302" spans="1:22" s="212" customFormat="1" ht="15.5" x14ac:dyDescent="0.35">
      <c r="A2302" s="198">
        <v>2050</v>
      </c>
      <c r="B2302" s="197" t="s">
        <v>5833</v>
      </c>
      <c r="C2302" s="197">
        <v>2038</v>
      </c>
      <c r="D2302" s="225" t="str">
        <f t="shared" si="14"/>
        <v>2050_2038</v>
      </c>
      <c r="E2302" s="1226">
        <v>0.108400731159683</v>
      </c>
      <c r="F2302" s="1257">
        <v>1.9224471305136399E-3</v>
      </c>
      <c r="G2302" s="1280">
        <v>6.1935395973805998E-2</v>
      </c>
      <c r="H2302" s="1271">
        <v>0.24973014954240999</v>
      </c>
      <c r="I2302" s="1257">
        <v>1.68161370071034E-2</v>
      </c>
      <c r="J2302" s="1280">
        <v>0.167556617753538</v>
      </c>
      <c r="K2302" s="1271">
        <v>2.2979582177163799E-2</v>
      </c>
      <c r="L2302" s="1257">
        <v>1.0896549036963699E-3</v>
      </c>
      <c r="M2302" s="1280">
        <v>1.46617224031104E-2</v>
      </c>
      <c r="N2302" s="1271">
        <v>3.0000008598028201E-3</v>
      </c>
      <c r="O2302" s="1257">
        <v>2.0000005732018801E-3</v>
      </c>
      <c r="P2302" s="1257">
        <v>3.0000008598028201E-3</v>
      </c>
      <c r="Q2302" s="1306">
        <v>7.8507146591203902E-3</v>
      </c>
      <c r="R2302" s="1271">
        <v>3.1850009128239903E-2</v>
      </c>
      <c r="S2302" s="1257">
        <v>3.1850009128239903E-2</v>
      </c>
      <c r="T2302" s="1257">
        <v>3.1850009128239903E-2</v>
      </c>
      <c r="U2302" s="1306">
        <v>1.9250005517068101E-2</v>
      </c>
      <c r="V2302" s="1293">
        <v>2.4018616912829499E-2</v>
      </c>
    </row>
    <row r="2303" spans="1:22" s="212" customFormat="1" ht="15.5" x14ac:dyDescent="0.35">
      <c r="A2303" s="198">
        <v>2050</v>
      </c>
      <c r="B2303" s="197" t="s">
        <v>5833</v>
      </c>
      <c r="C2303" s="197">
        <v>2039</v>
      </c>
      <c r="D2303" s="225" t="str">
        <f t="shared" si="14"/>
        <v>2050_2039</v>
      </c>
      <c r="E2303" s="1226">
        <v>0.108400731159683</v>
      </c>
      <c r="F2303" s="1257">
        <v>1.9224471305136399E-3</v>
      </c>
      <c r="G2303" s="1280">
        <v>6.1935395973805998E-2</v>
      </c>
      <c r="H2303" s="1271">
        <v>0.24973014954240999</v>
      </c>
      <c r="I2303" s="1257">
        <v>1.68161370071034E-2</v>
      </c>
      <c r="J2303" s="1280">
        <v>0.167556617753538</v>
      </c>
      <c r="K2303" s="1271">
        <v>2.2979582177163799E-2</v>
      </c>
      <c r="L2303" s="1257">
        <v>1.0896549036963699E-3</v>
      </c>
      <c r="M2303" s="1280">
        <v>1.46617224031104E-2</v>
      </c>
      <c r="N2303" s="1271">
        <v>3.0000008598028201E-3</v>
      </c>
      <c r="O2303" s="1257">
        <v>2.0000005732018801E-3</v>
      </c>
      <c r="P2303" s="1257">
        <v>3.0000008598028201E-3</v>
      </c>
      <c r="Q2303" s="1306">
        <v>7.5933065431310698E-3</v>
      </c>
      <c r="R2303" s="1271">
        <v>3.1850009128239903E-2</v>
      </c>
      <c r="S2303" s="1257">
        <v>3.1850009128239903E-2</v>
      </c>
      <c r="T2303" s="1257">
        <v>3.1850009128239903E-2</v>
      </c>
      <c r="U2303" s="1306">
        <v>1.9250005517068101E-2</v>
      </c>
      <c r="V2303" s="1293">
        <v>2.4018616912829499E-2</v>
      </c>
    </row>
    <row r="2304" spans="1:22" s="212" customFormat="1" ht="15.5" x14ac:dyDescent="0.35">
      <c r="A2304" s="198">
        <v>2050</v>
      </c>
      <c r="B2304" s="197" t="s">
        <v>5833</v>
      </c>
      <c r="C2304" s="197">
        <v>2040</v>
      </c>
      <c r="D2304" s="225" t="str">
        <f t="shared" si="14"/>
        <v>2050_2040</v>
      </c>
      <c r="E2304" s="1231">
        <v>0.108400731159683</v>
      </c>
      <c r="F2304" s="1288">
        <v>1.9224471305136399E-3</v>
      </c>
      <c r="G2304" s="1306">
        <v>6.1935395973805998E-2</v>
      </c>
      <c r="H2304" s="1303">
        <v>0.24973014954240999</v>
      </c>
      <c r="I2304" s="1288">
        <v>1.68161370071034E-2</v>
      </c>
      <c r="J2304" s="1306">
        <v>0.167556617753538</v>
      </c>
      <c r="K2304" s="1303">
        <v>2.2979582177163799E-2</v>
      </c>
      <c r="L2304" s="1288">
        <v>1.0896549036963699E-3</v>
      </c>
      <c r="M2304" s="1306">
        <v>1.46617224031104E-2</v>
      </c>
      <c r="N2304" s="1303">
        <v>3.0000008598028201E-3</v>
      </c>
      <c r="O2304" s="1288">
        <v>2.0000005732018801E-3</v>
      </c>
      <c r="P2304" s="1288">
        <v>3.0000008598028201E-3</v>
      </c>
      <c r="Q2304" s="1306">
        <v>7.6833188573584002E-3</v>
      </c>
      <c r="R2304" s="1303">
        <v>3.1850009128239903E-2</v>
      </c>
      <c r="S2304" s="1288">
        <v>3.1850009128239903E-2</v>
      </c>
      <c r="T2304" s="1288">
        <v>3.1850009128239903E-2</v>
      </c>
      <c r="U2304" s="1306">
        <v>1.9250005517068101E-2</v>
      </c>
      <c r="V2304" s="1294">
        <v>2.4018616912829499E-2</v>
      </c>
    </row>
    <row r="2305" spans="1:22" s="212" customFormat="1" ht="15.5" x14ac:dyDescent="0.35">
      <c r="A2305" s="198">
        <v>2050</v>
      </c>
      <c r="B2305" s="197" t="s">
        <v>5833</v>
      </c>
      <c r="C2305" s="197">
        <v>2041</v>
      </c>
      <c r="D2305" s="225" t="str">
        <f t="shared" si="14"/>
        <v>2050_2041</v>
      </c>
      <c r="E2305" s="1231">
        <v>0.106276003551612</v>
      </c>
      <c r="F2305" s="1288">
        <v>2.2871922971895199E-3</v>
      </c>
      <c r="G2305" s="1306">
        <v>6.3436630242929504E-2</v>
      </c>
      <c r="H2305" s="1303">
        <v>0.24078925027226999</v>
      </c>
      <c r="I2305" s="1288">
        <v>1.6095825905793601E-2</v>
      </c>
      <c r="J2305" s="1306">
        <v>0.17219389416396699</v>
      </c>
      <c r="K2305" s="1303">
        <v>2.1682696064418E-2</v>
      </c>
      <c r="L2305" s="1288">
        <v>1.1160988011777E-3</v>
      </c>
      <c r="M2305" s="1306">
        <v>1.4526081356874001E-2</v>
      </c>
      <c r="N2305" s="1303">
        <v>3.0000008598028201E-3</v>
      </c>
      <c r="O2305" s="1288">
        <v>2.0000005732018801E-3</v>
      </c>
      <c r="P2305" s="1288">
        <v>3.0000008598028201E-3</v>
      </c>
      <c r="Q2305" s="1306">
        <v>8.1261048842491499E-3</v>
      </c>
      <c r="R2305" s="1303">
        <v>3.1850009128239903E-2</v>
      </c>
      <c r="S2305" s="1288">
        <v>3.1850009128239903E-2</v>
      </c>
      <c r="T2305" s="1288">
        <v>3.1850009128239903E-2</v>
      </c>
      <c r="U2305" s="1306">
        <v>1.9250005517068101E-2</v>
      </c>
      <c r="V2305" s="1294">
        <v>2.2663091364912201E-2</v>
      </c>
    </row>
    <row r="2306" spans="1:22" s="212" customFormat="1" ht="15.5" x14ac:dyDescent="0.35">
      <c r="A2306" s="198">
        <v>2050</v>
      </c>
      <c r="B2306" s="197" t="s">
        <v>5833</v>
      </c>
      <c r="C2306" s="197">
        <v>2042</v>
      </c>
      <c r="D2306" s="225" t="str">
        <f t="shared" si="14"/>
        <v>2050_2042</v>
      </c>
      <c r="E2306" s="1231">
        <v>0.10612287366446101</v>
      </c>
      <c r="F2306" s="1288">
        <v>2.1183443544160502E-3</v>
      </c>
      <c r="G2306" s="1306">
        <v>8.2448363416603096E-2</v>
      </c>
      <c r="H2306" s="1303">
        <v>0.23592695961021201</v>
      </c>
      <c r="I2306" s="1288">
        <v>1.6205085162029901E-2</v>
      </c>
      <c r="J2306" s="1306">
        <v>0.19917746059595201</v>
      </c>
      <c r="K2306" s="1303">
        <v>2.0718033079305E-2</v>
      </c>
      <c r="L2306" s="1288">
        <v>1.1022853757913099E-3</v>
      </c>
      <c r="M2306" s="1306">
        <v>1.69323690169213E-2</v>
      </c>
      <c r="N2306" s="1303">
        <v>3.0000008598028201E-3</v>
      </c>
      <c r="O2306" s="1288">
        <v>2.0000005732018801E-3</v>
      </c>
      <c r="P2306" s="1288">
        <v>3.0000008598028201E-3</v>
      </c>
      <c r="Q2306" s="1306">
        <v>8.1542539330640706E-3</v>
      </c>
      <c r="R2306" s="1303">
        <v>3.1850009128239903E-2</v>
      </c>
      <c r="S2306" s="1288">
        <v>3.1850009128239903E-2</v>
      </c>
      <c r="T2306" s="1288">
        <v>3.1850009128239903E-2</v>
      </c>
      <c r="U2306" s="1306">
        <v>1.9250005517068101E-2</v>
      </c>
      <c r="V2306" s="1294">
        <v>2.1654810600240999E-2</v>
      </c>
    </row>
    <row r="2307" spans="1:22" s="212" customFormat="1" ht="15.5" x14ac:dyDescent="0.35">
      <c r="A2307" s="198">
        <v>2050</v>
      </c>
      <c r="B2307" s="197" t="s">
        <v>5833</v>
      </c>
      <c r="C2307" s="197">
        <v>2043</v>
      </c>
      <c r="D2307" s="225" t="str">
        <f t="shared" si="14"/>
        <v>2050_2043</v>
      </c>
      <c r="E2307" s="1231">
        <v>0.10255516734119299</v>
      </c>
      <c r="F2307" s="1288">
        <v>2.0957212372416799E-3</v>
      </c>
      <c r="G2307" s="1306">
        <v>6.4434109603981493E-2</v>
      </c>
      <c r="H2307" s="1303">
        <v>0.224379269621752</v>
      </c>
      <c r="I2307" s="1288">
        <v>1.5696242766741898E-2</v>
      </c>
      <c r="J2307" s="1306">
        <v>0.16273437470347399</v>
      </c>
      <c r="K2307" s="1303">
        <v>1.90101808109201E-2</v>
      </c>
      <c r="L2307" s="1288">
        <v>1.0925837034598E-3</v>
      </c>
      <c r="M2307" s="1306">
        <v>1.31247934055117E-2</v>
      </c>
      <c r="N2307" s="1303">
        <v>3.0000008598028201E-3</v>
      </c>
      <c r="O2307" s="1288">
        <v>2.0000005732018801E-3</v>
      </c>
      <c r="P2307" s="1288">
        <v>3.0000008598028201E-3</v>
      </c>
      <c r="Q2307" s="1306">
        <v>8.1135182202519193E-3</v>
      </c>
      <c r="R2307" s="1303">
        <v>3.1850009128239903E-2</v>
      </c>
      <c r="S2307" s="1288">
        <v>3.1850009128239903E-2</v>
      </c>
      <c r="T2307" s="1288">
        <v>3.1850009128239903E-2</v>
      </c>
      <c r="U2307" s="1306">
        <v>1.9250005517068101E-2</v>
      </c>
      <c r="V2307" s="1294">
        <v>1.9869736830761899E-2</v>
      </c>
    </row>
    <row r="2308" spans="1:22" s="212" customFormat="1" ht="15.5" x14ac:dyDescent="0.35">
      <c r="A2308" s="198">
        <v>2050</v>
      </c>
      <c r="B2308" s="197" t="s">
        <v>5833</v>
      </c>
      <c r="C2308" s="197">
        <v>2044</v>
      </c>
      <c r="D2308" s="225" t="str">
        <f t="shared" si="14"/>
        <v>2050_2044</v>
      </c>
      <c r="E2308" s="1231">
        <v>0.100615265888715</v>
      </c>
      <c r="F2308" s="1288">
        <v>1.9585165436591901E-3</v>
      </c>
      <c r="G2308" s="1306">
        <v>6.3880262219537798E-2</v>
      </c>
      <c r="H2308" s="1303">
        <v>0.21542598774086699</v>
      </c>
      <c r="I2308" s="1288">
        <v>1.54848779840129E-2</v>
      </c>
      <c r="J2308" s="1306">
        <v>0.15610665418865199</v>
      </c>
      <c r="K2308" s="1303">
        <v>1.7564660270077598E-2</v>
      </c>
      <c r="L2308" s="1288">
        <v>1.0757415723173099E-3</v>
      </c>
      <c r="M2308" s="1306">
        <v>1.2178100987832501E-2</v>
      </c>
      <c r="N2308" s="1303">
        <v>3.0000008598028201E-3</v>
      </c>
      <c r="O2308" s="1288">
        <v>2.0000005732018801E-3</v>
      </c>
      <c r="P2308" s="1288">
        <v>3.0000008598028201E-3</v>
      </c>
      <c r="Q2308" s="1306">
        <v>8.3295984317365498E-3</v>
      </c>
      <c r="R2308" s="1303">
        <v>3.1850009128239903E-2</v>
      </c>
      <c r="S2308" s="1288">
        <v>3.1850009128239903E-2</v>
      </c>
      <c r="T2308" s="1288">
        <v>3.1850009128239903E-2</v>
      </c>
      <c r="U2308" s="1306">
        <v>1.9250005517068101E-2</v>
      </c>
      <c r="V2308" s="1294">
        <v>1.8358856265465E-2</v>
      </c>
    </row>
    <row r="2309" spans="1:22" s="212" customFormat="1" ht="15.5" x14ac:dyDescent="0.35">
      <c r="A2309" s="198">
        <v>2050</v>
      </c>
      <c r="B2309" s="197" t="s">
        <v>5833</v>
      </c>
      <c r="C2309" s="197">
        <v>2045</v>
      </c>
      <c r="D2309" s="225" t="str">
        <f t="shared" si="14"/>
        <v>2050_2045</v>
      </c>
      <c r="E2309" s="1231">
        <v>9.8263744864722002E-2</v>
      </c>
      <c r="F2309" s="1288">
        <v>2.3990533970089899E-3</v>
      </c>
      <c r="G2309" s="1306">
        <v>5.5462876869030203E-2</v>
      </c>
      <c r="H2309" s="1303">
        <v>0.20554783162488199</v>
      </c>
      <c r="I2309" s="1288">
        <v>1.51570323156294E-2</v>
      </c>
      <c r="J2309" s="1306">
        <v>0.14485782995203</v>
      </c>
      <c r="K2309" s="1303">
        <v>1.5991869200050499E-2</v>
      </c>
      <c r="L2309" s="1288">
        <v>1.1234905244532701E-3</v>
      </c>
      <c r="M2309" s="1306">
        <v>1.0377610275139001E-2</v>
      </c>
      <c r="N2309" s="1303">
        <v>3.0000008598028201E-3</v>
      </c>
      <c r="O2309" s="1288">
        <v>2.0000005732018801E-3</v>
      </c>
      <c r="P2309" s="1288">
        <v>3.0000008598028201E-3</v>
      </c>
      <c r="Q2309" s="1306">
        <v>7.8859969065633705E-3</v>
      </c>
      <c r="R2309" s="1303">
        <v>3.1850009128239903E-2</v>
      </c>
      <c r="S2309" s="1288">
        <v>3.1850009128239903E-2</v>
      </c>
      <c r="T2309" s="1288">
        <v>3.1850009128239903E-2</v>
      </c>
      <c r="U2309" s="1306">
        <v>1.9250005517068101E-2</v>
      </c>
      <c r="V2309" s="1294">
        <v>1.6714950562408199E-2</v>
      </c>
    </row>
    <row r="2310" spans="1:22" s="212" customFormat="1" ht="15.5" x14ac:dyDescent="0.35">
      <c r="A2310" s="198">
        <v>2050</v>
      </c>
      <c r="B2310" s="197" t="s">
        <v>5833</v>
      </c>
      <c r="C2310" s="197">
        <v>2046</v>
      </c>
      <c r="D2310" s="225" t="str">
        <f t="shared" si="14"/>
        <v>2050_2046</v>
      </c>
      <c r="E2310" s="1231">
        <v>9.5543492222836202E-2</v>
      </c>
      <c r="F2310" s="1288">
        <v>1.77553883516474E-3</v>
      </c>
      <c r="G2310" s="1306">
        <v>6.0518387913799203E-2</v>
      </c>
      <c r="H2310" s="1303">
        <v>0.194692552350403</v>
      </c>
      <c r="I2310" s="1288">
        <v>1.6087224879946498E-2</v>
      </c>
      <c r="J2310" s="1306">
        <v>0.151261081900188</v>
      </c>
      <c r="K2310" s="1303">
        <v>1.4293305210854101E-2</v>
      </c>
      <c r="L2310" s="1288">
        <v>1.0452726825084099E-3</v>
      </c>
      <c r="M2310" s="1306">
        <v>1.02386388979024E-2</v>
      </c>
      <c r="N2310" s="1303">
        <v>3.0000008598028201E-3</v>
      </c>
      <c r="O2310" s="1288">
        <v>2.0000005732018801E-3</v>
      </c>
      <c r="P2310" s="1288">
        <v>3.0000008598028201E-3</v>
      </c>
      <c r="Q2310" s="1306">
        <v>8.1105458892964302E-3</v>
      </c>
      <c r="R2310" s="1303">
        <v>3.1850009128239903E-2</v>
      </c>
      <c r="S2310" s="1288">
        <v>3.1850009128239903E-2</v>
      </c>
      <c r="T2310" s="1288">
        <v>3.1850009128239903E-2</v>
      </c>
      <c r="U2310" s="1306">
        <v>1.9250005517068101E-2</v>
      </c>
      <c r="V2310" s="1294">
        <v>1.4939585046886399E-2</v>
      </c>
    </row>
    <row r="2311" spans="1:22" s="212" customFormat="1" ht="15.5" x14ac:dyDescent="0.35">
      <c r="A2311" s="198">
        <v>2050</v>
      </c>
      <c r="B2311" s="197" t="s">
        <v>5833</v>
      </c>
      <c r="C2311" s="197">
        <v>2047</v>
      </c>
      <c r="D2311" s="225" t="str">
        <f t="shared" si="14"/>
        <v>2050_2047</v>
      </c>
      <c r="E2311" s="1231">
        <v>9.3276304352542194E-2</v>
      </c>
      <c r="F2311" s="1288">
        <v>2.84857301424199E-3</v>
      </c>
      <c r="G2311" s="1306">
        <v>6.0616272775594601E-2</v>
      </c>
      <c r="H2311" s="1303">
        <v>0.184527743972449</v>
      </c>
      <c r="I2311" s="1288">
        <v>1.6756202306588398E-2</v>
      </c>
      <c r="J2311" s="1306">
        <v>0.137311257138897</v>
      </c>
      <c r="K2311" s="1303">
        <v>1.26041336684862E-2</v>
      </c>
      <c r="L2311" s="1288">
        <v>1.1337027053715399E-3</v>
      </c>
      <c r="M2311" s="1306">
        <v>8.9515069170704904E-3</v>
      </c>
      <c r="N2311" s="1303">
        <v>3.0000008598028201E-3</v>
      </c>
      <c r="O2311" s="1288">
        <v>2.0000005732018801E-3</v>
      </c>
      <c r="P2311" s="1288">
        <v>3.0000008598028201E-3</v>
      </c>
      <c r="Q2311" s="1306">
        <v>7.8612197989545197E-3</v>
      </c>
      <c r="R2311" s="1303">
        <v>3.1850009128239903E-2</v>
      </c>
      <c r="S2311" s="1288">
        <v>3.1850009128239903E-2</v>
      </c>
      <c r="T2311" s="1288">
        <v>3.1850009128239903E-2</v>
      </c>
      <c r="U2311" s="1306">
        <v>1.9250005517068101E-2</v>
      </c>
      <c r="V2311" s="1294">
        <v>1.31740366629603E-2</v>
      </c>
    </row>
    <row r="2312" spans="1:22" s="212" customFormat="1" ht="15.5" x14ac:dyDescent="0.35">
      <c r="A2312" s="198">
        <v>2050</v>
      </c>
      <c r="B2312" s="197" t="s">
        <v>5833</v>
      </c>
      <c r="C2312" s="197">
        <v>2048</v>
      </c>
      <c r="D2312" s="225" t="str">
        <f t="shared" si="14"/>
        <v>2050_2048</v>
      </c>
      <c r="E2312" s="1231">
        <v>8.9560721200900695E-2</v>
      </c>
      <c r="F2312" s="1288">
        <v>2.6197631641836599E-3</v>
      </c>
      <c r="G2312" s="1306">
        <v>4.7764949563471E-2</v>
      </c>
      <c r="H2312" s="1303">
        <v>0.170681590381391</v>
      </c>
      <c r="I2312" s="1288">
        <v>1.9800848220895801E-2</v>
      </c>
      <c r="J2312" s="1306">
        <v>0.115464951815535</v>
      </c>
      <c r="K2312" s="1303">
        <v>1.06717520577768E-2</v>
      </c>
      <c r="L2312" s="1288">
        <v>1.0964770410690199E-3</v>
      </c>
      <c r="M2312" s="1306">
        <v>6.6274152401447003E-3</v>
      </c>
      <c r="N2312" s="1303">
        <v>3.0000008598028201E-3</v>
      </c>
      <c r="O2312" s="1288">
        <v>2.0000005732018801E-3</v>
      </c>
      <c r="P2312" s="1288">
        <v>3.0000008598028201E-3</v>
      </c>
      <c r="Q2312" s="1306">
        <v>7.4475394357702103E-3</v>
      </c>
      <c r="R2312" s="1303">
        <v>3.1850009128239903E-2</v>
      </c>
      <c r="S2312" s="1288">
        <v>3.1850009128239903E-2</v>
      </c>
      <c r="T2312" s="1288">
        <v>3.1850009128239903E-2</v>
      </c>
      <c r="U2312" s="1306">
        <v>1.9250005517068101E-2</v>
      </c>
      <c r="V2312" s="1294">
        <v>1.1154281330631099E-2</v>
      </c>
    </row>
    <row r="2313" spans="1:22" s="212" customFormat="1" ht="15.5" x14ac:dyDescent="0.35">
      <c r="A2313" s="198">
        <v>2050</v>
      </c>
      <c r="B2313" s="197" t="s">
        <v>5833</v>
      </c>
      <c r="C2313" s="197">
        <v>2049</v>
      </c>
      <c r="D2313" s="225" t="str">
        <f t="shared" si="14"/>
        <v>2050_2049</v>
      </c>
      <c r="E2313" s="1231">
        <v>8.7383142547823103E-2</v>
      </c>
      <c r="F2313" s="1288">
        <v>1.92735310971554E-3</v>
      </c>
      <c r="G2313" s="1306">
        <v>5.9313866529126999E-2</v>
      </c>
      <c r="H2313" s="1303">
        <v>0.16014901428816899</v>
      </c>
      <c r="I2313" s="1288">
        <v>2.2379996634891399E-2</v>
      </c>
      <c r="J2313" s="1306">
        <v>0.122762644651892</v>
      </c>
      <c r="K2313" s="1303">
        <v>8.8607792243916798E-3</v>
      </c>
      <c r="L2313" s="1288">
        <v>1.01315061388051E-3</v>
      </c>
      <c r="M2313" s="1306">
        <v>6.5079326484063001E-3</v>
      </c>
      <c r="N2313" s="1303">
        <v>3.0000008598028201E-3</v>
      </c>
      <c r="O2313" s="1288">
        <v>2.0000005732018801E-3</v>
      </c>
      <c r="P2313" s="1288">
        <v>3.0000008598028201E-3</v>
      </c>
      <c r="Q2313" s="1306">
        <v>7.07482285642674E-3</v>
      </c>
      <c r="R2313" s="1303">
        <v>3.1850009128239903E-2</v>
      </c>
      <c r="S2313" s="1288">
        <v>3.1850009128239903E-2</v>
      </c>
      <c r="T2313" s="1288">
        <v>3.1850009128239903E-2</v>
      </c>
      <c r="U2313" s="1306">
        <v>1.9250005517068101E-2</v>
      </c>
      <c r="V2313" s="1294">
        <v>9.26142434179319E-3</v>
      </c>
    </row>
    <row r="2314" spans="1:22" s="212" customFormat="1" ht="15.5" x14ac:dyDescent="0.35">
      <c r="A2314" s="198">
        <v>2050</v>
      </c>
      <c r="B2314" s="197" t="s">
        <v>5833</v>
      </c>
      <c r="C2314" s="197">
        <v>2050</v>
      </c>
      <c r="D2314" s="225" t="str">
        <f t="shared" si="14"/>
        <v>2050_2050</v>
      </c>
      <c r="E2314" s="1231">
        <v>8.5612620342568502E-2</v>
      </c>
      <c r="F2314" s="1288">
        <v>3.1975472892063301E-3</v>
      </c>
      <c r="G2314" s="1306">
        <v>4.0346828762055899E-2</v>
      </c>
      <c r="H2314" s="1303">
        <v>0.150205213644765</v>
      </c>
      <c r="I2314" s="1288">
        <v>2.0367102067396201E-2</v>
      </c>
      <c r="J2314" s="1306">
        <v>9.4445663930417201E-2</v>
      </c>
      <c r="K2314" s="1303">
        <v>6.9931346255376701E-3</v>
      </c>
      <c r="L2314" s="1288">
        <v>1.1198788436239701E-3</v>
      </c>
      <c r="M2314" s="1306">
        <v>3.9788449758633498E-3</v>
      </c>
      <c r="N2314" s="1303">
        <v>3.0000008598028201E-3</v>
      </c>
      <c r="O2314" s="1288">
        <v>2.0000005732018801E-3</v>
      </c>
      <c r="P2314" s="1288">
        <v>3.0000008598028201E-3</v>
      </c>
      <c r="Q2314" s="1306">
        <v>8.0868361634682008E-3</v>
      </c>
      <c r="R2314" s="1303">
        <v>3.1850009128239903E-2</v>
      </c>
      <c r="S2314" s="1288">
        <v>3.1850009128239903E-2</v>
      </c>
      <c r="T2314" s="1288">
        <v>3.1850009128239903E-2</v>
      </c>
      <c r="U2314" s="1306">
        <v>1.9250005517068101E-2</v>
      </c>
      <c r="V2314" s="1294">
        <v>7.3093331417291704E-3</v>
      </c>
    </row>
    <row r="2315" spans="1:22" s="212" customFormat="1" ht="16" thickBot="1" x14ac:dyDescent="0.4">
      <c r="A2315" s="214">
        <v>2050</v>
      </c>
      <c r="B2315" s="215" t="s">
        <v>5833</v>
      </c>
      <c r="C2315" s="215">
        <v>2051</v>
      </c>
      <c r="D2315" s="230" t="str">
        <f t="shared" si="14"/>
        <v>2050_2051</v>
      </c>
      <c r="E2315" s="1322">
        <v>8.5612620342568502E-2</v>
      </c>
      <c r="F2315" s="1297">
        <v>3.1975472892063301E-3</v>
      </c>
      <c r="G2315" s="1299">
        <v>4.0346828762055899E-2</v>
      </c>
      <c r="H2315" s="1304">
        <v>0.150205213644765</v>
      </c>
      <c r="I2315" s="1297">
        <v>2.0367102067396201E-2</v>
      </c>
      <c r="J2315" s="1299">
        <v>9.4445663930417201E-2</v>
      </c>
      <c r="K2315" s="1304">
        <v>6.9931346255376701E-3</v>
      </c>
      <c r="L2315" s="1297">
        <v>1.1198788436239701E-3</v>
      </c>
      <c r="M2315" s="1299">
        <v>3.9788449758633498E-3</v>
      </c>
      <c r="N2315" s="1304">
        <v>3.0000008598028201E-3</v>
      </c>
      <c r="O2315" s="1297">
        <v>2.0000005732018801E-3</v>
      </c>
      <c r="P2315" s="1297">
        <v>3.0000008598028201E-3</v>
      </c>
      <c r="Q2315" s="1299">
        <v>8.0868361634682008E-3</v>
      </c>
      <c r="R2315" s="1304">
        <v>3.1850009128239903E-2</v>
      </c>
      <c r="S2315" s="1297">
        <v>3.1850009128239903E-2</v>
      </c>
      <c r="T2315" s="1297">
        <v>3.1850009128239903E-2</v>
      </c>
      <c r="U2315" s="1299">
        <v>1.9250005517068101E-2</v>
      </c>
      <c r="V2315" s="1324">
        <v>7.3093331417291704E-3</v>
      </c>
    </row>
    <row r="2316" spans="1:22" ht="14.25" customHeight="1" x14ac:dyDescent="0.3"/>
  </sheetData>
  <phoneticPr fontId="95" type="noConversion"/>
  <hyperlinks>
    <hyperlink ref="A24" r:id="rId1" tooltip="EMFAC2021 Database" xr:uid="{ED00EE69-C0F4-4922-B049-962F5F560800}"/>
  </hyperlinks>
  <pageMargins left="0.7" right="0.7" top="0.75" bottom="0.75" header="0.3" footer="0.3"/>
  <pageSetup scale="59" orientation="portrait" r:id="rId2"/>
  <headerFooter>
    <oddFooter>&amp;L&amp;"Avenir LT Std 55 Roman,Regular"&amp;12December 30, 2020&amp;C&amp;"Avenir LT Std 55 Roman,Regular"&amp;12&amp;P of &amp;N&amp;R&amp;"Avenir LT Std 55 Roman,Regular"&amp;12&amp;A</oddFooter>
  </headerFooter>
  <drawing r:id="rId3"/>
  <legacyDrawingHF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tabColor theme="1"/>
  </sheetPr>
  <dimension ref="A1:Q2315"/>
  <sheetViews>
    <sheetView showGridLines="0" zoomScaleNormal="100" zoomScalePageLayoutView="70" workbookViewId="0"/>
  </sheetViews>
  <sheetFormatPr defaultColWidth="9.08984375" defaultRowHeight="14" x14ac:dyDescent="0.3"/>
  <cols>
    <col min="1" max="1" width="16" style="186" customWidth="1"/>
    <col min="2" max="2" width="14.453125" style="186" bestFit="1" customWidth="1"/>
    <col min="3" max="3" width="14" style="186" customWidth="1"/>
    <col min="4" max="4" width="20.90625" style="186" customWidth="1"/>
    <col min="5" max="10" width="15.453125" style="186" customWidth="1"/>
    <col min="11" max="16" width="16" style="186" customWidth="1"/>
    <col min="17" max="17" width="15.453125" style="186" customWidth="1"/>
    <col min="18" max="16384" width="9.08984375" style="186"/>
  </cols>
  <sheetData>
    <row r="1" spans="1:17" ht="15" customHeight="1" x14ac:dyDescent="0.3">
      <c r="A1" s="168"/>
      <c r="B1" s="168"/>
      <c r="C1" s="168"/>
      <c r="D1" s="168"/>
      <c r="E1" s="168"/>
      <c r="F1" s="168"/>
      <c r="G1" s="168"/>
      <c r="H1" s="168"/>
      <c r="I1" s="168"/>
      <c r="J1" s="168"/>
      <c r="K1" s="168"/>
      <c r="L1" s="168"/>
      <c r="M1" s="168"/>
      <c r="N1" s="168"/>
      <c r="O1" s="168"/>
      <c r="P1" s="168"/>
      <c r="Q1" s="168"/>
    </row>
    <row r="2" spans="1:17" ht="15" customHeight="1" x14ac:dyDescent="0.35">
      <c r="A2" s="261"/>
      <c r="B2" s="261"/>
      <c r="C2" s="261"/>
      <c r="D2" s="261"/>
      <c r="E2" s="261"/>
      <c r="F2" s="117"/>
      <c r="G2" s="117"/>
      <c r="H2" s="117"/>
      <c r="I2" s="117"/>
    </row>
    <row r="3" spans="1:17" ht="20.5" x14ac:dyDescent="0.3">
      <c r="A3" s="168"/>
      <c r="B3" s="168"/>
      <c r="C3" s="168"/>
      <c r="D3" s="168"/>
      <c r="E3" s="168"/>
      <c r="F3" s="168"/>
      <c r="G3" s="168"/>
      <c r="H3" s="168"/>
      <c r="I3" s="168"/>
      <c r="J3" s="168"/>
      <c r="K3" s="168"/>
      <c r="L3" s="168"/>
      <c r="M3" s="168"/>
      <c r="N3" s="168"/>
      <c r="O3" s="168"/>
      <c r="P3" s="168"/>
      <c r="Q3" s="168"/>
    </row>
    <row r="4" spans="1:17" ht="20.5" x14ac:dyDescent="0.3">
      <c r="A4" s="170"/>
      <c r="B4" s="170"/>
      <c r="C4" s="170"/>
      <c r="D4" s="170"/>
      <c r="E4" s="170"/>
      <c r="F4" s="170"/>
      <c r="G4" s="170"/>
      <c r="H4" s="170"/>
      <c r="I4" s="170"/>
      <c r="J4" s="170"/>
      <c r="K4" s="170"/>
      <c r="L4" s="170"/>
      <c r="M4" s="170"/>
      <c r="N4" s="170"/>
      <c r="O4" s="170"/>
      <c r="P4" s="170"/>
      <c r="Q4" s="170"/>
    </row>
    <row r="5" spans="1:17" ht="15" customHeight="1" x14ac:dyDescent="0.35">
      <c r="A5" s="261"/>
      <c r="B5" s="261"/>
      <c r="C5" s="261"/>
      <c r="D5" s="261"/>
      <c r="E5" s="261"/>
      <c r="F5" s="117"/>
      <c r="G5" s="117"/>
      <c r="H5" s="117"/>
      <c r="I5" s="117"/>
    </row>
    <row r="6" spans="1:17" ht="15" customHeight="1" x14ac:dyDescent="0.3">
      <c r="A6" s="168"/>
      <c r="B6" s="168"/>
      <c r="C6" s="168"/>
      <c r="D6" s="168"/>
      <c r="E6" s="168"/>
      <c r="F6" s="168"/>
      <c r="G6" s="168"/>
      <c r="H6" s="168"/>
      <c r="I6" s="168"/>
      <c r="J6" s="168"/>
      <c r="K6" s="168"/>
      <c r="L6" s="168"/>
      <c r="M6" s="168"/>
      <c r="N6" s="168"/>
      <c r="O6" s="168"/>
      <c r="P6" s="168"/>
      <c r="Q6" s="168"/>
    </row>
    <row r="7" spans="1:17" ht="15" customHeight="1" x14ac:dyDescent="0.3">
      <c r="A7" s="171"/>
      <c r="B7" s="171"/>
      <c r="C7" s="171"/>
      <c r="D7" s="171"/>
      <c r="E7" s="171"/>
      <c r="F7" s="171"/>
      <c r="G7" s="171"/>
      <c r="H7" s="171"/>
      <c r="I7" s="171"/>
    </row>
    <row r="8" spans="1:17" ht="15" customHeight="1" x14ac:dyDescent="0.3">
      <c r="A8" s="171"/>
      <c r="B8" s="171"/>
      <c r="C8" s="171"/>
      <c r="D8" s="171"/>
      <c r="E8" s="171"/>
      <c r="F8" s="171"/>
      <c r="G8" s="171"/>
      <c r="H8" s="171"/>
      <c r="I8" s="171"/>
    </row>
    <row r="9" spans="1:17" ht="15" customHeight="1" x14ac:dyDescent="0.3">
      <c r="A9" s="172"/>
      <c r="B9" s="171"/>
      <c r="C9" s="171"/>
      <c r="D9" s="171"/>
      <c r="E9" s="171"/>
      <c r="F9" s="171"/>
      <c r="G9" s="171"/>
      <c r="H9" s="171"/>
      <c r="I9" s="171"/>
    </row>
    <row r="10" spans="1:17" ht="15" customHeight="1" thickBot="1" x14ac:dyDescent="0.35">
      <c r="A10" s="171"/>
      <c r="B10" s="171"/>
      <c r="C10" s="171"/>
      <c r="D10" s="171"/>
      <c r="E10" s="171"/>
      <c r="F10" s="171"/>
      <c r="G10" s="171"/>
      <c r="H10" s="171"/>
      <c r="I10" s="171"/>
    </row>
    <row r="11" spans="1:17" ht="15.5" x14ac:dyDescent="0.35">
      <c r="A11" s="656" t="s">
        <v>5835</v>
      </c>
      <c r="B11" s="657"/>
      <c r="C11" s="657"/>
      <c r="D11" s="657"/>
      <c r="E11" s="657"/>
      <c r="F11" s="657"/>
      <c r="G11" s="657"/>
      <c r="H11" s="657"/>
      <c r="I11" s="657"/>
      <c r="J11" s="657"/>
      <c r="K11" s="657"/>
      <c r="L11" s="657"/>
      <c r="M11" s="657"/>
      <c r="N11" s="657"/>
      <c r="O11" s="657"/>
      <c r="P11" s="657"/>
      <c r="Q11" s="658"/>
    </row>
    <row r="12" spans="1:17" ht="15.5" x14ac:dyDescent="0.35">
      <c r="A12" s="537" t="s">
        <v>748</v>
      </c>
      <c r="B12" s="538"/>
      <c r="C12" s="538"/>
      <c r="D12" s="538"/>
      <c r="E12" s="538"/>
      <c r="F12" s="538"/>
      <c r="G12" s="538"/>
      <c r="H12" s="538"/>
      <c r="I12" s="538"/>
      <c r="J12" s="538"/>
      <c r="K12" s="538"/>
      <c r="L12" s="538"/>
      <c r="M12" s="538"/>
      <c r="N12" s="538"/>
      <c r="O12" s="538"/>
      <c r="P12" s="538"/>
      <c r="Q12" s="539"/>
    </row>
    <row r="13" spans="1:17" ht="15.5" x14ac:dyDescent="0.35">
      <c r="A13" s="174" t="s">
        <v>976</v>
      </c>
      <c r="B13" s="175"/>
      <c r="C13" s="175"/>
      <c r="D13" s="175"/>
      <c r="E13" s="175"/>
      <c r="F13" s="175"/>
      <c r="G13" s="175"/>
      <c r="H13" s="175"/>
      <c r="I13" s="175"/>
      <c r="Q13" s="203"/>
    </row>
    <row r="14" spans="1:17" ht="15.5" x14ac:dyDescent="0.35">
      <c r="A14" s="177" t="s">
        <v>977</v>
      </c>
      <c r="B14" s="175"/>
      <c r="C14" s="175"/>
      <c r="D14" s="175"/>
      <c r="E14" s="175"/>
      <c r="F14" s="175"/>
      <c r="G14" s="175"/>
      <c r="H14" s="175"/>
      <c r="I14" s="175"/>
      <c r="Q14" s="203"/>
    </row>
    <row r="15" spans="1:17" ht="15.5" x14ac:dyDescent="0.35">
      <c r="A15" s="177" t="s">
        <v>978</v>
      </c>
      <c r="B15" s="175"/>
      <c r="C15" s="175"/>
      <c r="D15" s="175"/>
      <c r="E15" s="175"/>
      <c r="F15" s="175"/>
      <c r="G15" s="175"/>
      <c r="H15" s="175"/>
      <c r="I15" s="175"/>
      <c r="Q15" s="203"/>
    </row>
    <row r="16" spans="1:17" ht="15.75" customHeight="1" x14ac:dyDescent="0.35">
      <c r="A16" s="177" t="s">
        <v>979</v>
      </c>
      <c r="B16" s="178"/>
      <c r="C16" s="178"/>
      <c r="D16" s="178"/>
      <c r="E16" s="178"/>
      <c r="F16" s="178"/>
      <c r="G16" s="178"/>
      <c r="H16" s="178"/>
      <c r="I16" s="178"/>
      <c r="J16" s="178"/>
      <c r="K16" s="178"/>
      <c r="L16" s="178"/>
      <c r="M16" s="178"/>
      <c r="N16" s="178"/>
      <c r="O16" s="178"/>
      <c r="P16" s="178"/>
      <c r="Q16" s="655"/>
    </row>
    <row r="17" spans="1:17" ht="15.5" x14ac:dyDescent="0.35">
      <c r="A17" s="177" t="s">
        <v>980</v>
      </c>
      <c r="B17" s="175"/>
      <c r="C17" s="175"/>
      <c r="D17" s="175"/>
      <c r="E17" s="175"/>
      <c r="F17" s="175"/>
      <c r="G17" s="175"/>
      <c r="H17" s="175"/>
      <c r="I17" s="175"/>
      <c r="Q17" s="203"/>
    </row>
    <row r="18" spans="1:17" ht="15.5" x14ac:dyDescent="0.35">
      <c r="A18" s="1171" t="s">
        <v>981</v>
      </c>
      <c r="B18" s="175"/>
      <c r="C18" s="175"/>
      <c r="D18" s="175"/>
      <c r="E18" s="175"/>
      <c r="F18" s="175"/>
      <c r="G18" s="175"/>
      <c r="H18" s="175"/>
      <c r="I18" s="175"/>
      <c r="Q18" s="203"/>
    </row>
    <row r="19" spans="1:17" ht="15.5" x14ac:dyDescent="0.35">
      <c r="A19" s="96" t="s">
        <v>982</v>
      </c>
      <c r="B19" s="175"/>
      <c r="C19" s="175"/>
      <c r="D19" s="175"/>
      <c r="E19" s="175"/>
      <c r="F19" s="175"/>
      <c r="G19" s="175"/>
      <c r="H19" s="175"/>
      <c r="I19" s="175"/>
      <c r="Q19" s="203"/>
    </row>
    <row r="20" spans="1:17" ht="15.5" x14ac:dyDescent="0.35">
      <c r="A20" s="177" t="s">
        <v>983</v>
      </c>
      <c r="B20" s="175"/>
      <c r="C20" s="175"/>
      <c r="D20" s="175"/>
      <c r="E20" s="175"/>
      <c r="F20" s="175"/>
      <c r="G20" s="175"/>
      <c r="H20" s="175"/>
      <c r="I20" s="175"/>
      <c r="Q20" s="203"/>
    </row>
    <row r="21" spans="1:17" ht="15.5" x14ac:dyDescent="0.35">
      <c r="A21" s="177" t="s">
        <v>984</v>
      </c>
      <c r="B21" s="175"/>
      <c r="C21" s="175"/>
      <c r="D21" s="175"/>
      <c r="E21" s="175"/>
      <c r="F21" s="175"/>
      <c r="G21" s="175"/>
      <c r="H21" s="175"/>
      <c r="I21" s="175"/>
      <c r="Q21" s="203"/>
    </row>
    <row r="22" spans="1:17" ht="15.5" x14ac:dyDescent="0.35">
      <c r="A22" s="177" t="s">
        <v>5819</v>
      </c>
      <c r="B22" s="175"/>
      <c r="C22" s="175"/>
      <c r="D22" s="175"/>
      <c r="E22" s="175"/>
      <c r="F22" s="175"/>
      <c r="G22" s="175"/>
      <c r="H22" s="175"/>
      <c r="I22" s="175"/>
      <c r="Q22" s="203"/>
    </row>
    <row r="23" spans="1:17" ht="15.5" x14ac:dyDescent="0.3">
      <c r="A23" s="179" t="s">
        <v>767</v>
      </c>
      <c r="B23" s="180"/>
      <c r="C23" s="180"/>
      <c r="D23" s="180"/>
      <c r="E23" s="180"/>
      <c r="F23" s="180"/>
      <c r="G23" s="180"/>
      <c r="H23" s="180"/>
      <c r="I23" s="180"/>
      <c r="Q23" s="203"/>
    </row>
    <row r="24" spans="1:17" ht="16" thickBot="1" x14ac:dyDescent="0.4">
      <c r="A24" s="182" t="s">
        <v>768</v>
      </c>
      <c r="B24" s="183"/>
      <c r="C24" s="183"/>
      <c r="D24" s="183"/>
      <c r="E24" s="183"/>
      <c r="F24" s="183"/>
      <c r="G24" s="183"/>
      <c r="H24" s="183"/>
      <c r="I24" s="183"/>
      <c r="J24" s="204"/>
      <c r="K24" s="204"/>
      <c r="L24" s="204"/>
      <c r="M24" s="204"/>
      <c r="N24" s="204"/>
      <c r="O24" s="204"/>
      <c r="P24" s="204"/>
      <c r="Q24" s="205"/>
    </row>
    <row r="25" spans="1:17" ht="15.5" x14ac:dyDescent="0.35">
      <c r="A25" s="206"/>
      <c r="B25" s="175"/>
      <c r="C25" s="175"/>
      <c r="D25" s="175"/>
      <c r="E25" s="175"/>
      <c r="F25" s="175"/>
      <c r="G25" s="175"/>
      <c r="H25" s="175"/>
      <c r="I25" s="175"/>
    </row>
    <row r="26" spans="1:17" ht="20.25" customHeight="1" x14ac:dyDescent="0.3">
      <c r="A26" s="541" t="s">
        <v>5836</v>
      </c>
      <c r="B26" s="541"/>
      <c r="C26" s="541"/>
      <c r="D26" s="541"/>
      <c r="E26" s="541"/>
      <c r="F26" s="541"/>
      <c r="G26" s="541"/>
      <c r="H26" s="541"/>
      <c r="I26" s="541"/>
      <c r="J26" s="541"/>
      <c r="K26" s="541"/>
      <c r="L26" s="541"/>
      <c r="M26" s="541"/>
      <c r="N26" s="541"/>
      <c r="O26" s="541"/>
      <c r="P26" s="541"/>
      <c r="Q26" s="541"/>
    </row>
    <row r="27" spans="1:17" ht="14.5" thickBot="1" x14ac:dyDescent="0.35"/>
    <row r="28" spans="1:17" s="212" customFormat="1" ht="33" x14ac:dyDescent="0.35">
      <c r="A28" s="564" t="s">
        <v>3293</v>
      </c>
      <c r="B28" s="562" t="s">
        <v>5837</v>
      </c>
      <c r="C28" s="562" t="s">
        <v>119</v>
      </c>
      <c r="D28" s="563" t="s">
        <v>988</v>
      </c>
      <c r="E28" s="666" t="s">
        <v>5822</v>
      </c>
      <c r="F28" s="667" t="s">
        <v>5822</v>
      </c>
      <c r="G28" s="666" t="s">
        <v>5823</v>
      </c>
      <c r="H28" s="669" t="s">
        <v>5824</v>
      </c>
      <c r="I28" s="670" t="s">
        <v>5825</v>
      </c>
      <c r="J28" s="667" t="s">
        <v>5826</v>
      </c>
      <c r="K28" s="666" t="s">
        <v>5827</v>
      </c>
      <c r="L28" s="667" t="s">
        <v>5828</v>
      </c>
      <c r="M28" s="667" t="s">
        <v>5828</v>
      </c>
      <c r="N28" s="666" t="s">
        <v>5829</v>
      </c>
      <c r="O28" s="667" t="s">
        <v>5830</v>
      </c>
      <c r="P28" s="669" t="s">
        <v>5830</v>
      </c>
      <c r="Q28" s="671" t="s">
        <v>5831</v>
      </c>
    </row>
    <row r="29" spans="1:17" s="212" customFormat="1" ht="16" thickBot="1" x14ac:dyDescent="0.4">
      <c r="A29" s="663"/>
      <c r="B29" s="661"/>
      <c r="C29" s="661"/>
      <c r="D29" s="662"/>
      <c r="E29" s="217" t="s">
        <v>739</v>
      </c>
      <c r="F29" s="218" t="s">
        <v>992</v>
      </c>
      <c r="G29" s="217" t="s">
        <v>739</v>
      </c>
      <c r="H29" s="219" t="s">
        <v>992</v>
      </c>
      <c r="I29" s="664" t="s">
        <v>739</v>
      </c>
      <c r="J29" s="218" t="s">
        <v>992</v>
      </c>
      <c r="K29" s="217" t="s">
        <v>739</v>
      </c>
      <c r="L29" s="218" t="s">
        <v>992</v>
      </c>
      <c r="M29" s="218" t="s">
        <v>5832</v>
      </c>
      <c r="N29" s="217" t="s">
        <v>739</v>
      </c>
      <c r="O29" s="218" t="s">
        <v>992</v>
      </c>
      <c r="P29" s="219" t="s">
        <v>5832</v>
      </c>
      <c r="Q29" s="220" t="s">
        <v>739</v>
      </c>
    </row>
    <row r="30" spans="1:17" s="212" customFormat="1" ht="15.5" x14ac:dyDescent="0.35">
      <c r="A30" s="221">
        <v>2015</v>
      </c>
      <c r="B30" s="222" t="s">
        <v>5838</v>
      </c>
      <c r="C30" s="222">
        <v>1971</v>
      </c>
      <c r="D30" s="223" t="str">
        <f>CONCATENATE(A30,"_",C30)</f>
        <v>2015_1971</v>
      </c>
      <c r="E30" s="1283">
        <v>0.59563838313396178</v>
      </c>
      <c r="F30" s="1308">
        <v>5.7445824751065011</v>
      </c>
      <c r="G30" s="1302">
        <v>3.1846277921254607</v>
      </c>
      <c r="H30" s="1308">
        <v>3.7258454962565875</v>
      </c>
      <c r="I30" s="1302">
        <v>0.42127307805284819</v>
      </c>
      <c r="J30" s="1308">
        <v>5.1966979746320835E-2</v>
      </c>
      <c r="K30" s="1302">
        <v>2.3416383568573358E-3</v>
      </c>
      <c r="L30" s="1285">
        <v>2.000001163095619E-3</v>
      </c>
      <c r="M30" s="1225">
        <v>2.000001163095619E-3</v>
      </c>
      <c r="N30" s="1302">
        <v>1.1563215308289743E-2</v>
      </c>
      <c r="O30" s="1285">
        <v>1.4309621881317108E-2</v>
      </c>
      <c r="P30" s="1225">
        <v>7.1548109406585538E-3</v>
      </c>
      <c r="Q30" s="1286">
        <v>0.44032117727080078</v>
      </c>
    </row>
    <row r="31" spans="1:17" s="212" customFormat="1" ht="15.5" x14ac:dyDescent="0.35">
      <c r="A31" s="198">
        <v>2015</v>
      </c>
      <c r="B31" s="197" t="s">
        <v>5838</v>
      </c>
      <c r="C31" s="197">
        <v>1972</v>
      </c>
      <c r="D31" s="225" t="str">
        <f t="shared" ref="D31:D226" si="0">CONCATENATE(A31,"_",C31)</f>
        <v>2015_1972</v>
      </c>
      <c r="E31" s="1287">
        <v>0.61351065377230229</v>
      </c>
      <c r="F31" s="1306">
        <v>5.3368225452172124</v>
      </c>
      <c r="G31" s="1303">
        <v>3.0034135369393939</v>
      </c>
      <c r="H31" s="1306">
        <v>3.9436371027014099</v>
      </c>
      <c r="I31" s="1303">
        <v>0.43353665437131955</v>
      </c>
      <c r="J31" s="1306">
        <v>5.2501391738845098E-2</v>
      </c>
      <c r="K31" s="1303">
        <v>2.315119629557493E-3</v>
      </c>
      <c r="L31" s="1288">
        <v>2.0000013517215776E-3</v>
      </c>
      <c r="M31" s="1230">
        <v>2.0000013517215776E-3</v>
      </c>
      <c r="N31" s="1303">
        <v>1.1165480415037921E-2</v>
      </c>
      <c r="O31" s="1288">
        <v>1.3338455306114612E-2</v>
      </c>
      <c r="P31" s="1237">
        <v>6.6692276530573059E-3</v>
      </c>
      <c r="Q31" s="1290">
        <v>0.45313925809157929</v>
      </c>
    </row>
    <row r="32" spans="1:17" s="212" customFormat="1" ht="15.5" x14ac:dyDescent="0.35">
      <c r="A32" s="198">
        <v>2015</v>
      </c>
      <c r="B32" s="197" t="s">
        <v>5838</v>
      </c>
      <c r="C32" s="197">
        <v>1973</v>
      </c>
      <c r="D32" s="225" t="str">
        <f t="shared" si="0"/>
        <v>2015_1973</v>
      </c>
      <c r="E32" s="1287">
        <v>0.62475039740245042</v>
      </c>
      <c r="F32" s="1306">
        <v>5.150985062268056</v>
      </c>
      <c r="G32" s="1303">
        <v>3.1097116269580747</v>
      </c>
      <c r="H32" s="1306">
        <v>3.871203062643334</v>
      </c>
      <c r="I32" s="1303">
        <v>0.44140195405346799</v>
      </c>
      <c r="J32" s="1306">
        <v>5.2691573382511785E-2</v>
      </c>
      <c r="K32" s="1303">
        <v>2.3408562841413616E-3</v>
      </c>
      <c r="L32" s="1288">
        <v>2.0000012779037481E-3</v>
      </c>
      <c r="M32" s="1230">
        <v>2.0000012779037481E-3</v>
      </c>
      <c r="N32" s="1303">
        <v>1.2097933372593149E-2</v>
      </c>
      <c r="O32" s="1288">
        <v>1.284378693114614E-2</v>
      </c>
      <c r="P32" s="1237">
        <v>6.4218934655730702E-3</v>
      </c>
      <c r="Q32" s="1290">
        <v>0.46136019172360337</v>
      </c>
    </row>
    <row r="33" spans="1:17" s="212" customFormat="1" ht="15.5" x14ac:dyDescent="0.35">
      <c r="A33" s="198">
        <v>2015</v>
      </c>
      <c r="B33" s="197" t="s">
        <v>5838</v>
      </c>
      <c r="C33" s="197">
        <v>1974</v>
      </c>
      <c r="D33" s="225" t="str">
        <f t="shared" si="0"/>
        <v>2015_1974</v>
      </c>
      <c r="E33" s="1287">
        <v>0.67288792993281243</v>
      </c>
      <c r="F33" s="1306">
        <v>5.3888357821488153</v>
      </c>
      <c r="G33" s="1303">
        <v>2.8256183247625106</v>
      </c>
      <c r="H33" s="1306">
        <v>4.1375831637079106</v>
      </c>
      <c r="I33" s="1303">
        <v>0.47337242041098815</v>
      </c>
      <c r="J33" s="1306">
        <v>5.4134217179123215E-2</v>
      </c>
      <c r="K33" s="1303">
        <v>2.2484897810365338E-3</v>
      </c>
      <c r="L33" s="1288">
        <v>2.0000013742545657E-3</v>
      </c>
      <c r="M33" s="1230">
        <v>2.0000013742545657E-3</v>
      </c>
      <c r="N33" s="1303">
        <v>1.001741628448318E-2</v>
      </c>
      <c r="O33" s="1288">
        <v>1.0331348616777635E-2</v>
      </c>
      <c r="P33" s="1237">
        <v>5.1656743083888174E-3</v>
      </c>
      <c r="Q33" s="1290">
        <v>0.49477622070296784</v>
      </c>
    </row>
    <row r="34" spans="1:17" s="212" customFormat="1" ht="15.5" x14ac:dyDescent="0.35">
      <c r="A34" s="198">
        <v>2015</v>
      </c>
      <c r="B34" s="197" t="s">
        <v>5838</v>
      </c>
      <c r="C34" s="197">
        <v>1975</v>
      </c>
      <c r="D34" s="225" t="str">
        <f t="shared" si="0"/>
        <v>2015_1975</v>
      </c>
      <c r="E34" s="1287">
        <v>0.57406590650037259</v>
      </c>
      <c r="F34" s="1306">
        <v>5.3166099183145539</v>
      </c>
      <c r="G34" s="1303">
        <v>3.356769352408365</v>
      </c>
      <c r="H34" s="1306">
        <v>4.4910796810850346</v>
      </c>
      <c r="I34" s="1303">
        <v>0.40694981176716111</v>
      </c>
      <c r="J34" s="1306">
        <v>5.4614537010326321E-2</v>
      </c>
      <c r="K34" s="1303">
        <v>2.4072471609146938E-3</v>
      </c>
      <c r="L34" s="1288">
        <v>2.0000013930037445E-3</v>
      </c>
      <c r="M34" s="1230">
        <v>2.0000013930037445E-3</v>
      </c>
      <c r="N34" s="1303">
        <v>1.3530225359667266E-2</v>
      </c>
      <c r="O34" s="1288">
        <v>9.5851283949607187E-3</v>
      </c>
      <c r="P34" s="1237">
        <v>4.7925641974803593E-3</v>
      </c>
      <c r="Q34" s="1290">
        <v>0.4253502764422275</v>
      </c>
    </row>
    <row r="35" spans="1:17" s="212" customFormat="1" ht="15.5" x14ac:dyDescent="0.35">
      <c r="A35" s="198">
        <v>2015</v>
      </c>
      <c r="B35" s="197" t="s">
        <v>5838</v>
      </c>
      <c r="C35" s="197">
        <v>1976</v>
      </c>
      <c r="D35" s="225" t="str">
        <f t="shared" si="0"/>
        <v>2015_1976</v>
      </c>
      <c r="E35" s="1287">
        <v>0.52810244668829232</v>
      </c>
      <c r="F35" s="1306">
        <v>7.8073675654737977</v>
      </c>
      <c r="G35" s="1303">
        <v>3.4173391916440257</v>
      </c>
      <c r="H35" s="1306">
        <v>10.460450822330536</v>
      </c>
      <c r="I35" s="1303">
        <v>0.3737512429507962</v>
      </c>
      <c r="J35" s="1306">
        <v>5.4968205397476273E-2</v>
      </c>
      <c r="K35" s="1303">
        <v>2.428048817788451E-3</v>
      </c>
      <c r="L35" s="1288">
        <v>2.0000013641689857E-3</v>
      </c>
      <c r="M35" s="1230">
        <v>2.0000013641689857E-3</v>
      </c>
      <c r="N35" s="1303">
        <v>1.393661534351239E-2</v>
      </c>
      <c r="O35" s="1288">
        <v>8.5173925078094737E-3</v>
      </c>
      <c r="P35" s="1237">
        <v>4.2586962539047368E-3</v>
      </c>
      <c r="Q35" s="1290">
        <v>0.39065061566045395</v>
      </c>
    </row>
    <row r="36" spans="1:17" s="212" customFormat="1" ht="15.5" x14ac:dyDescent="0.35">
      <c r="A36" s="198">
        <v>2015</v>
      </c>
      <c r="B36" s="197" t="s">
        <v>5838</v>
      </c>
      <c r="C36" s="197">
        <v>1977</v>
      </c>
      <c r="D36" s="225" t="str">
        <f t="shared" si="0"/>
        <v>2015_1977</v>
      </c>
      <c r="E36" s="1287">
        <v>0.57289871858225461</v>
      </c>
      <c r="F36" s="1306">
        <v>7.6687700921671862</v>
      </c>
      <c r="G36" s="1303">
        <v>3.2238115395160083</v>
      </c>
      <c r="H36" s="1306">
        <v>11.149288520238377</v>
      </c>
      <c r="I36" s="1303">
        <v>0.40439900873924273</v>
      </c>
      <c r="J36" s="1306">
        <v>5.1025038591855594E-2</v>
      </c>
      <c r="K36" s="1303">
        <v>2.3753662687380529E-3</v>
      </c>
      <c r="L36" s="1288">
        <v>2.0000013816718403E-3</v>
      </c>
      <c r="M36" s="1230">
        <v>2.0000013816718403E-3</v>
      </c>
      <c r="N36" s="1303">
        <v>1.2738874314934753E-2</v>
      </c>
      <c r="O36" s="1288">
        <v>7.3210746895452311E-3</v>
      </c>
      <c r="P36" s="1237">
        <v>3.6605373447726156E-3</v>
      </c>
      <c r="Q36" s="1290">
        <v>0.4226841374204075</v>
      </c>
    </row>
    <row r="37" spans="1:17" s="212" customFormat="1" ht="15.5" x14ac:dyDescent="0.35">
      <c r="A37" s="198">
        <v>2015</v>
      </c>
      <c r="B37" s="197" t="s">
        <v>5838</v>
      </c>
      <c r="C37" s="197">
        <v>1978</v>
      </c>
      <c r="D37" s="225" t="str">
        <f t="shared" si="0"/>
        <v>2015_1978</v>
      </c>
      <c r="E37" s="1287">
        <v>0.62440185944499393</v>
      </c>
      <c r="F37" s="1306">
        <v>1.7721711336637909</v>
      </c>
      <c r="G37" s="1303">
        <v>2.9314340264022185</v>
      </c>
      <c r="H37" s="1306">
        <v>4.628045566452986</v>
      </c>
      <c r="I37" s="1303">
        <v>0.43902801451200918</v>
      </c>
      <c r="J37" s="1306">
        <v>4.447149747287224E-2</v>
      </c>
      <c r="K37" s="1303">
        <v>2.2779793923240928E-3</v>
      </c>
      <c r="L37" s="1288">
        <v>2.0000013075683483E-3</v>
      </c>
      <c r="M37" s="1230">
        <v>2.0000013075683483E-3</v>
      </c>
      <c r="N37" s="1303">
        <v>1.0449080642806124E-2</v>
      </c>
      <c r="O37" s="1288">
        <v>8.7784089175862064E-3</v>
      </c>
      <c r="P37" s="1237">
        <v>4.3892044587931032E-3</v>
      </c>
      <c r="Q37" s="1290">
        <v>0.45887891317028101</v>
      </c>
    </row>
    <row r="38" spans="1:17" s="212" customFormat="1" ht="15.5" x14ac:dyDescent="0.35">
      <c r="A38" s="198">
        <v>2015</v>
      </c>
      <c r="B38" s="197" t="s">
        <v>5838</v>
      </c>
      <c r="C38" s="197">
        <v>1979</v>
      </c>
      <c r="D38" s="225" t="str">
        <f t="shared" si="0"/>
        <v>2015_1979</v>
      </c>
      <c r="E38" s="1287">
        <v>0.4949400778800716</v>
      </c>
      <c r="F38" s="1306">
        <v>1.7772087956180871</v>
      </c>
      <c r="G38" s="1303">
        <v>3.6187627472916821</v>
      </c>
      <c r="H38" s="1306">
        <v>4.465891704362063</v>
      </c>
      <c r="I38" s="1303">
        <v>0.35205475357119276</v>
      </c>
      <c r="J38" s="1306">
        <v>4.3960107751616607E-2</v>
      </c>
      <c r="K38" s="1303">
        <v>2.5142139332604515E-3</v>
      </c>
      <c r="L38" s="1288">
        <v>2.0000012805570649E-3</v>
      </c>
      <c r="M38" s="1230">
        <v>2.0000012805570649E-3</v>
      </c>
      <c r="N38" s="1303">
        <v>1.5745877809652992E-2</v>
      </c>
      <c r="O38" s="1288">
        <v>9.0975644166441678E-3</v>
      </c>
      <c r="P38" s="1237">
        <v>4.5487822083220839E-3</v>
      </c>
      <c r="Q38" s="1290">
        <v>0.36797310730784993</v>
      </c>
    </row>
    <row r="39" spans="1:17" s="212" customFormat="1" ht="15.5" x14ac:dyDescent="0.35">
      <c r="A39" s="198">
        <v>2015</v>
      </c>
      <c r="B39" s="197" t="s">
        <v>5838</v>
      </c>
      <c r="C39" s="197">
        <v>1980</v>
      </c>
      <c r="D39" s="225" t="str">
        <f t="shared" si="0"/>
        <v>2015_1980</v>
      </c>
      <c r="E39" s="1287">
        <v>0.31982408905195486</v>
      </c>
      <c r="F39" s="1306">
        <v>2.1459941881591775</v>
      </c>
      <c r="G39" s="1303">
        <v>2.5978139562350284</v>
      </c>
      <c r="H39" s="1306">
        <v>4.2860051741266822</v>
      </c>
      <c r="I39" s="1303">
        <v>0.253791012678454</v>
      </c>
      <c r="J39" s="1306">
        <v>3.6291467989553509E-2</v>
      </c>
      <c r="K39" s="1303">
        <v>2.2288233214510992E-3</v>
      </c>
      <c r="L39" s="1288">
        <v>2.0000010453323463E-3</v>
      </c>
      <c r="M39" s="1230">
        <v>2.0000010453323463E-3</v>
      </c>
      <c r="N39" s="1303">
        <v>9.1876939127989651E-3</v>
      </c>
      <c r="O39" s="1288">
        <v>1.393119759862735E-2</v>
      </c>
      <c r="P39" s="1237">
        <v>6.9655987993136751E-3</v>
      </c>
      <c r="Q39" s="1290">
        <v>0.26526631609083401</v>
      </c>
    </row>
    <row r="40" spans="1:17" s="212" customFormat="1" ht="15.5" x14ac:dyDescent="0.35">
      <c r="A40" s="198">
        <v>2015</v>
      </c>
      <c r="B40" s="197" t="s">
        <v>5838</v>
      </c>
      <c r="C40" s="197">
        <v>1981</v>
      </c>
      <c r="D40" s="225" t="str">
        <f t="shared" si="0"/>
        <v>2015_1981</v>
      </c>
      <c r="E40" s="1287">
        <v>0.31783482712029298</v>
      </c>
      <c r="F40" s="1306">
        <v>2.1962614143509347</v>
      </c>
      <c r="G40" s="1303">
        <v>2.6546766478328498</v>
      </c>
      <c r="H40" s="1306">
        <v>3.7943680464896077</v>
      </c>
      <c r="I40" s="1303">
        <v>0.25211390132618638</v>
      </c>
      <c r="J40" s="1306">
        <v>1.7558440996796834E-2</v>
      </c>
      <c r="K40" s="1303">
        <v>2.2460327752273925E-3</v>
      </c>
      <c r="L40" s="1288">
        <v>2.0000008854210911E-3</v>
      </c>
      <c r="M40" s="1230">
        <v>2.0000008854210911E-3</v>
      </c>
      <c r="N40" s="1303">
        <v>9.8029861145937144E-3</v>
      </c>
      <c r="O40" s="1288">
        <v>1.7159381015973689E-2</v>
      </c>
      <c r="P40" s="1237">
        <v>8.5796905079868445E-3</v>
      </c>
      <c r="Q40" s="1290">
        <v>0.26351337320528906</v>
      </c>
    </row>
    <row r="41" spans="1:17" s="212" customFormat="1" ht="15.5" x14ac:dyDescent="0.35">
      <c r="A41" s="198">
        <v>2015</v>
      </c>
      <c r="B41" s="197" t="s">
        <v>5838</v>
      </c>
      <c r="C41" s="197">
        <v>1982</v>
      </c>
      <c r="D41" s="225" t="str">
        <f t="shared" si="0"/>
        <v>2015_1982</v>
      </c>
      <c r="E41" s="1287">
        <v>0.27932118134843309</v>
      </c>
      <c r="F41" s="1306">
        <v>2.0410775474533223</v>
      </c>
      <c r="G41" s="1303">
        <v>3.6486396479748171</v>
      </c>
      <c r="H41" s="1306">
        <v>3.4861012515949943</v>
      </c>
      <c r="I41" s="1303">
        <v>0.21809992584502069</v>
      </c>
      <c r="J41" s="1306">
        <v>1.7694605851855415E-2</v>
      </c>
      <c r="K41" s="1303">
        <v>2.5322245680479147E-3</v>
      </c>
      <c r="L41" s="1288">
        <v>2.0000010236190966E-3</v>
      </c>
      <c r="M41" s="1230">
        <v>2.0000010236190966E-3</v>
      </c>
      <c r="N41" s="1303">
        <v>1.6278984896798802E-2</v>
      </c>
      <c r="O41" s="1288">
        <v>1.6059528914312837E-2</v>
      </c>
      <c r="P41" s="1237">
        <v>8.0297644571564186E-3</v>
      </c>
      <c r="Q41" s="1290">
        <v>0.22796143668764493</v>
      </c>
    </row>
    <row r="42" spans="1:17" s="212" customFormat="1" ht="15.5" x14ac:dyDescent="0.35">
      <c r="A42" s="198">
        <v>2015</v>
      </c>
      <c r="B42" s="197" t="s">
        <v>5838</v>
      </c>
      <c r="C42" s="197">
        <v>1983</v>
      </c>
      <c r="D42" s="225" t="str">
        <f t="shared" si="0"/>
        <v>2015_1983</v>
      </c>
      <c r="E42" s="1287">
        <v>0.22012919378303555</v>
      </c>
      <c r="F42" s="1306">
        <v>1.6950314310614714</v>
      </c>
      <c r="G42" s="1303">
        <v>3.9403269224878339</v>
      </c>
      <c r="H42" s="1306">
        <v>3.2701700064538426</v>
      </c>
      <c r="I42" s="1303">
        <v>0.19928858035960517</v>
      </c>
      <c r="J42" s="1306">
        <v>1.7304095363886045E-2</v>
      </c>
      <c r="K42" s="1303">
        <v>2.6656870827604234E-3</v>
      </c>
      <c r="L42" s="1288">
        <v>2.000001015646762E-3</v>
      </c>
      <c r="M42" s="1230">
        <v>2.000001015646762E-3</v>
      </c>
      <c r="N42" s="1303">
        <v>1.9418822033379839E-2</v>
      </c>
      <c r="O42" s="1288">
        <v>1.4352889138131578E-2</v>
      </c>
      <c r="P42" s="1237">
        <v>7.176444569065789E-3</v>
      </c>
      <c r="Q42" s="1290">
        <v>0.20829952563348816</v>
      </c>
    </row>
    <row r="43" spans="1:17" s="212" customFormat="1" ht="15.5" x14ac:dyDescent="0.35">
      <c r="A43" s="198">
        <v>2015</v>
      </c>
      <c r="B43" s="197" t="s">
        <v>5838</v>
      </c>
      <c r="C43" s="197">
        <v>1984</v>
      </c>
      <c r="D43" s="225" t="str">
        <f t="shared" si="0"/>
        <v>2015_1984</v>
      </c>
      <c r="E43" s="1287">
        <v>0.25166858061676295</v>
      </c>
      <c r="F43" s="1306">
        <v>1.3316185763417432</v>
      </c>
      <c r="G43" s="1303">
        <v>4.4214149033455223</v>
      </c>
      <c r="H43" s="1306">
        <v>3.3829767385296465</v>
      </c>
      <c r="I43" s="1303">
        <v>0.18133043228718163</v>
      </c>
      <c r="J43" s="1306">
        <v>1.802306787726797E-2</v>
      </c>
      <c r="K43" s="1303">
        <v>2.8143842791438795E-3</v>
      </c>
      <c r="L43" s="1288">
        <v>2.0000010459945037E-3</v>
      </c>
      <c r="M43" s="1230">
        <v>2.0000010459945037E-3</v>
      </c>
      <c r="N43" s="1303">
        <v>2.2920581180206616E-2</v>
      </c>
      <c r="O43" s="1288">
        <v>1.4356114483363302E-2</v>
      </c>
      <c r="P43" s="1237">
        <v>7.1780572416816511E-3</v>
      </c>
      <c r="Q43" s="1290">
        <v>0.18952938979333131</v>
      </c>
    </row>
    <row r="44" spans="1:17" s="212" customFormat="1" ht="15.5" x14ac:dyDescent="0.35">
      <c r="A44" s="198">
        <v>2015</v>
      </c>
      <c r="B44" s="197" t="s">
        <v>5838</v>
      </c>
      <c r="C44" s="197">
        <v>1985</v>
      </c>
      <c r="D44" s="225" t="str">
        <f t="shared" si="0"/>
        <v>2015_1985</v>
      </c>
      <c r="E44" s="1287">
        <v>0.24394281889104941</v>
      </c>
      <c r="F44" s="1306">
        <v>1.2031434921436881</v>
      </c>
      <c r="G44" s="1303">
        <v>4.7311261261636544</v>
      </c>
      <c r="H44" s="1306">
        <v>2.9117645980786371</v>
      </c>
      <c r="I44" s="1303">
        <v>0.1794358535726609</v>
      </c>
      <c r="J44" s="1306">
        <v>1.64734832743475E-2</v>
      </c>
      <c r="K44" s="1303">
        <v>2.9013799857944833E-3</v>
      </c>
      <c r="L44" s="1288">
        <v>2.0000011001964466E-3</v>
      </c>
      <c r="M44" s="1230">
        <v>2.0000011001964466E-3</v>
      </c>
      <c r="N44" s="1303">
        <v>2.4979891866683233E-2</v>
      </c>
      <c r="O44" s="1288">
        <v>1.4488554841314526E-2</v>
      </c>
      <c r="P44" s="1237">
        <v>7.2442774206572629E-3</v>
      </c>
      <c r="Q44" s="1290">
        <v>0.18754914663640879</v>
      </c>
    </row>
    <row r="45" spans="1:17" s="212" customFormat="1" ht="15.5" x14ac:dyDescent="0.35">
      <c r="A45" s="198">
        <v>2015</v>
      </c>
      <c r="B45" s="197" t="s">
        <v>5838</v>
      </c>
      <c r="C45" s="197">
        <v>1986</v>
      </c>
      <c r="D45" s="225" t="str">
        <f t="shared" si="0"/>
        <v>2015_1986</v>
      </c>
      <c r="E45" s="1287">
        <v>0.24056325850622234</v>
      </c>
      <c r="F45" s="1306">
        <v>0.96560968829949656</v>
      </c>
      <c r="G45" s="1303">
        <v>4.8852738179740012</v>
      </c>
      <c r="H45" s="1306">
        <v>2.9494339538420453</v>
      </c>
      <c r="I45" s="1303">
        <v>0.17887670225100469</v>
      </c>
      <c r="J45" s="1306">
        <v>1.664923567671486E-2</v>
      </c>
      <c r="K45" s="1303">
        <v>2.9462644748538486E-3</v>
      </c>
      <c r="L45" s="1288">
        <v>2.0000011168432603E-3</v>
      </c>
      <c r="M45" s="1230">
        <v>2.0000011168432603E-3</v>
      </c>
      <c r="N45" s="1303">
        <v>2.6034967873440073E-2</v>
      </c>
      <c r="O45" s="1288">
        <v>1.3564846424773428E-2</v>
      </c>
      <c r="P45" s="1237">
        <v>6.7824232123867142E-3</v>
      </c>
      <c r="Q45" s="1290">
        <v>0.18696471297318534</v>
      </c>
    </row>
    <row r="46" spans="1:17" s="212" customFormat="1" ht="15.5" x14ac:dyDescent="0.35">
      <c r="A46" s="198">
        <v>2015</v>
      </c>
      <c r="B46" s="197" t="s">
        <v>5838</v>
      </c>
      <c r="C46" s="197">
        <v>1987</v>
      </c>
      <c r="D46" s="225" t="str">
        <f t="shared" si="0"/>
        <v>2015_1987</v>
      </c>
      <c r="E46" s="1287">
        <v>0.29483409304683283</v>
      </c>
      <c r="F46" s="1306">
        <v>1.0501538114952285</v>
      </c>
      <c r="G46" s="1303">
        <v>5.0847346134590943</v>
      </c>
      <c r="H46" s="1306">
        <v>2.8602583092088834</v>
      </c>
      <c r="I46" s="1303">
        <v>0.20017833377078445</v>
      </c>
      <c r="J46" s="1306">
        <v>1.6918641055492407E-2</v>
      </c>
      <c r="K46" s="1303">
        <v>2.9702737952449669E-3</v>
      </c>
      <c r="L46" s="1288">
        <v>2.0000012309912022E-3</v>
      </c>
      <c r="M46" s="1230">
        <v>2.0000012309912022E-3</v>
      </c>
      <c r="N46" s="1303">
        <v>2.6601625500619681E-2</v>
      </c>
      <c r="O46" s="1288">
        <v>1.2165260059150123E-2</v>
      </c>
      <c r="P46" s="1237">
        <v>6.0826300295750615E-3</v>
      </c>
      <c r="Q46" s="1290">
        <v>0.20922950974569945</v>
      </c>
    </row>
    <row r="47" spans="1:17" s="212" customFormat="1" ht="15.5" x14ac:dyDescent="0.35">
      <c r="A47" s="198">
        <v>2015</v>
      </c>
      <c r="B47" s="197" t="s">
        <v>5838</v>
      </c>
      <c r="C47" s="197">
        <v>1988</v>
      </c>
      <c r="D47" s="225" t="str">
        <f t="shared" si="0"/>
        <v>2015_1988</v>
      </c>
      <c r="E47" s="1287">
        <v>0.29201667730560138</v>
      </c>
      <c r="F47" s="1306">
        <v>0.49786101472326877</v>
      </c>
      <c r="G47" s="1303">
        <v>5.144544492231268</v>
      </c>
      <c r="H47" s="1306">
        <v>1.7087016794085805</v>
      </c>
      <c r="I47" s="1303">
        <v>0.19843423627802409</v>
      </c>
      <c r="J47" s="1306">
        <v>1.6270442061098161E-2</v>
      </c>
      <c r="K47" s="1303">
        <v>2.9788026391802487E-3</v>
      </c>
      <c r="L47" s="1288">
        <v>2.0000012525313009E-3</v>
      </c>
      <c r="M47" s="1230">
        <v>2.0000012525313009E-3</v>
      </c>
      <c r="N47" s="1303">
        <v>2.6804119335873938E-2</v>
      </c>
      <c r="O47" s="1288">
        <v>1.2545021593271864E-2</v>
      </c>
      <c r="P47" s="1237">
        <v>6.2725107966359319E-3</v>
      </c>
      <c r="Q47" s="1290">
        <v>0.20740655190363486</v>
      </c>
    </row>
    <row r="48" spans="1:17" s="212" customFormat="1" ht="15.5" x14ac:dyDescent="0.35">
      <c r="A48" s="198">
        <v>2015</v>
      </c>
      <c r="B48" s="197" t="s">
        <v>5838</v>
      </c>
      <c r="C48" s="197">
        <v>1989</v>
      </c>
      <c r="D48" s="225" t="str">
        <f t="shared" si="0"/>
        <v>2015_1989</v>
      </c>
      <c r="E48" s="1287">
        <v>0.2939840809507353</v>
      </c>
      <c r="F48" s="1306">
        <v>0.43649749860033216</v>
      </c>
      <c r="G48" s="1303">
        <v>5.1501836560273482</v>
      </c>
      <c r="H48" s="1306">
        <v>1.8693893226110931</v>
      </c>
      <c r="I48" s="1303">
        <v>0.19991192137611685</v>
      </c>
      <c r="J48" s="1306">
        <v>1.6099919805359075E-2</v>
      </c>
      <c r="K48" s="1303">
        <v>2.9851797014690336E-3</v>
      </c>
      <c r="L48" s="1288">
        <v>2.0000011957180632E-3</v>
      </c>
      <c r="M48" s="1230">
        <v>2.0000011957180632E-3</v>
      </c>
      <c r="N48" s="1303">
        <v>2.6949983813828893E-2</v>
      </c>
      <c r="O48" s="1288">
        <v>1.3710185632123376E-2</v>
      </c>
      <c r="P48" s="1237">
        <v>6.855092816061688E-3</v>
      </c>
      <c r="Q48" s="1290">
        <v>0.2089510513647316</v>
      </c>
    </row>
    <row r="49" spans="1:17" s="212" customFormat="1" ht="15.5" x14ac:dyDescent="0.35">
      <c r="A49" s="198">
        <v>2015</v>
      </c>
      <c r="B49" s="197" t="s">
        <v>5838</v>
      </c>
      <c r="C49" s="197">
        <v>1990</v>
      </c>
      <c r="D49" s="225" t="str">
        <f t="shared" si="0"/>
        <v>2015_1990</v>
      </c>
      <c r="E49" s="1287">
        <v>0.29779106297254476</v>
      </c>
      <c r="F49" s="1306">
        <v>0.48312669585732504</v>
      </c>
      <c r="G49" s="1303">
        <v>5.1021480335545117</v>
      </c>
      <c r="H49" s="1306">
        <v>1.8588288879451755</v>
      </c>
      <c r="I49" s="1303">
        <v>0.20252725964304277</v>
      </c>
      <c r="J49" s="1306">
        <v>1.6356815783662659E-2</v>
      </c>
      <c r="K49" s="1303">
        <v>2.9865731516871717E-3</v>
      </c>
      <c r="L49" s="1288">
        <v>2.0000012151436667E-3</v>
      </c>
      <c r="M49" s="1230">
        <v>2.0000012151436667E-3</v>
      </c>
      <c r="N49" s="1303">
        <v>2.698415245873418E-2</v>
      </c>
      <c r="O49" s="1288">
        <v>1.2527990499095781E-2</v>
      </c>
      <c r="P49" s="1237">
        <v>6.2639952495478907E-3</v>
      </c>
      <c r="Q49" s="1290">
        <v>0.21168464362269734</v>
      </c>
    </row>
    <row r="50" spans="1:17" s="212" customFormat="1" ht="15.5" x14ac:dyDescent="0.35">
      <c r="A50" s="198">
        <v>2015</v>
      </c>
      <c r="B50" s="197" t="s">
        <v>5838</v>
      </c>
      <c r="C50" s="197">
        <v>1991</v>
      </c>
      <c r="D50" s="225" t="str">
        <f t="shared" si="0"/>
        <v>2015_1991</v>
      </c>
      <c r="E50" s="1287">
        <v>0.38083411122246308</v>
      </c>
      <c r="F50" s="1306">
        <v>0.49508878102224518</v>
      </c>
      <c r="G50" s="1303">
        <v>8.9705671890902963</v>
      </c>
      <c r="H50" s="1306">
        <v>2.289438484753036</v>
      </c>
      <c r="I50" s="1303">
        <v>5.6788490434442555E-2</v>
      </c>
      <c r="J50" s="1306">
        <v>9.1998364850287024E-3</v>
      </c>
      <c r="K50" s="1303">
        <v>2.9824274586639911E-3</v>
      </c>
      <c r="L50" s="1288">
        <v>2.0000012464665854E-3</v>
      </c>
      <c r="M50" s="1230">
        <v>2.0000012464665854E-3</v>
      </c>
      <c r="N50" s="1303">
        <v>2.6886257341264656E-2</v>
      </c>
      <c r="O50" s="1288">
        <v>1.1290339424208228E-2</v>
      </c>
      <c r="P50" s="1237">
        <v>5.6451697121041138E-3</v>
      </c>
      <c r="Q50" s="1290">
        <v>5.935621397669389E-2</v>
      </c>
    </row>
    <row r="51" spans="1:17" s="212" customFormat="1" ht="15.5" x14ac:dyDescent="0.35">
      <c r="A51" s="198">
        <v>2015</v>
      </c>
      <c r="B51" s="197" t="s">
        <v>5838</v>
      </c>
      <c r="C51" s="197">
        <v>1992</v>
      </c>
      <c r="D51" s="225" t="str">
        <f t="shared" si="0"/>
        <v>2015_1992</v>
      </c>
      <c r="E51" s="1287">
        <v>0.38135880958264107</v>
      </c>
      <c r="F51" s="1306">
        <v>0.4933075012245341</v>
      </c>
      <c r="G51" s="1303">
        <v>8.9427624055640003</v>
      </c>
      <c r="H51" s="1306">
        <v>2.2150510486350936</v>
      </c>
      <c r="I51" s="1303">
        <v>5.7176629866480526E-2</v>
      </c>
      <c r="J51" s="1306">
        <v>9.3367487147240375E-3</v>
      </c>
      <c r="K51" s="1303">
        <v>2.9809402032788209E-3</v>
      </c>
      <c r="L51" s="1288">
        <v>2.0000013037891349E-3</v>
      </c>
      <c r="M51" s="1230">
        <v>2.0000013037891349E-3</v>
      </c>
      <c r="N51" s="1303">
        <v>2.6850473854166133E-2</v>
      </c>
      <c r="O51" s="1288">
        <v>9.9177611365160682E-3</v>
      </c>
      <c r="P51" s="1237">
        <v>4.9588805682580341E-3</v>
      </c>
      <c r="Q51" s="1290">
        <v>5.9761903351505392E-2</v>
      </c>
    </row>
    <row r="52" spans="1:17" s="212" customFormat="1" ht="15.5" x14ac:dyDescent="0.35">
      <c r="A52" s="198">
        <v>2015</v>
      </c>
      <c r="B52" s="197" t="s">
        <v>5838</v>
      </c>
      <c r="C52" s="197">
        <v>1993</v>
      </c>
      <c r="D52" s="225" t="str">
        <f t="shared" si="0"/>
        <v>2015_1993</v>
      </c>
      <c r="E52" s="1287">
        <v>0.37267281214883174</v>
      </c>
      <c r="F52" s="1306">
        <v>0.49101186099596134</v>
      </c>
      <c r="G52" s="1303">
        <v>8.9218833482086595</v>
      </c>
      <c r="H52" s="1306">
        <v>2.1510433132120554</v>
      </c>
      <c r="I52" s="1303">
        <v>5.3894611729485002E-2</v>
      </c>
      <c r="J52" s="1306">
        <v>9.4614169511327718E-3</v>
      </c>
      <c r="K52" s="1303">
        <v>2.9753142271238104E-3</v>
      </c>
      <c r="L52" s="1288">
        <v>2.0000013116971481E-3</v>
      </c>
      <c r="M52" s="1230">
        <v>2.0000013116971481E-3</v>
      </c>
      <c r="N52" s="1303">
        <v>2.6716270584959192E-2</v>
      </c>
      <c r="O52" s="1288">
        <v>9.1175738727350721E-3</v>
      </c>
      <c r="P52" s="1237">
        <v>4.558786936367536E-3</v>
      </c>
      <c r="Q52" s="1290">
        <v>5.6331486918094691E-2</v>
      </c>
    </row>
    <row r="53" spans="1:17" s="212" customFormat="1" ht="15.5" x14ac:dyDescent="0.35">
      <c r="A53" s="198">
        <v>2015</v>
      </c>
      <c r="B53" s="197" t="s">
        <v>5838</v>
      </c>
      <c r="C53" s="197">
        <v>1994</v>
      </c>
      <c r="D53" s="225" t="str">
        <f t="shared" si="0"/>
        <v>2015_1994</v>
      </c>
      <c r="E53" s="1287">
        <v>0.36547310854064036</v>
      </c>
      <c r="F53" s="1306">
        <v>0.48390816079471166</v>
      </c>
      <c r="G53" s="1303">
        <v>8.8845999017180457</v>
      </c>
      <c r="H53" s="1306">
        <v>2.0759925845981551</v>
      </c>
      <c r="I53" s="1303">
        <v>5.379753298998554E-2</v>
      </c>
      <c r="J53" s="1306">
        <v>9.5790293064544237E-3</v>
      </c>
      <c r="K53" s="1303">
        <v>2.9669101198537312E-3</v>
      </c>
      <c r="L53" s="1288">
        <v>2.000001438471663E-3</v>
      </c>
      <c r="M53" s="1230">
        <v>2.000001438471663E-3</v>
      </c>
      <c r="N53" s="1303">
        <v>2.6517117499089308E-2</v>
      </c>
      <c r="O53" s="1288">
        <v>7.7837589803999982E-3</v>
      </c>
      <c r="P53" s="1237">
        <v>3.8918794901999991E-3</v>
      </c>
      <c r="Q53" s="1290">
        <v>5.6230018708775587E-2</v>
      </c>
    </row>
    <row r="54" spans="1:17" s="212" customFormat="1" ht="15.5" x14ac:dyDescent="0.35">
      <c r="A54" s="198">
        <v>2015</v>
      </c>
      <c r="B54" s="197" t="s">
        <v>5838</v>
      </c>
      <c r="C54" s="197">
        <v>1995</v>
      </c>
      <c r="D54" s="225" t="str">
        <f t="shared" si="0"/>
        <v>2015_1995</v>
      </c>
      <c r="E54" s="1287">
        <v>0.35917903036392479</v>
      </c>
      <c r="F54" s="1306">
        <v>0.36064145295974909</v>
      </c>
      <c r="G54" s="1303">
        <v>9.010573445240567</v>
      </c>
      <c r="H54" s="1306">
        <v>1.6310499584728202</v>
      </c>
      <c r="I54" s="1303">
        <v>5.281056916757812E-2</v>
      </c>
      <c r="J54" s="1306">
        <v>8.9162411731857245E-3</v>
      </c>
      <c r="K54" s="1303">
        <v>2.9723573765863902E-3</v>
      </c>
      <c r="L54" s="1288">
        <v>2.0000013815204762E-3</v>
      </c>
      <c r="M54" s="1230">
        <v>2.0000013815204762E-3</v>
      </c>
      <c r="N54" s="1303">
        <v>2.6646450819428284E-2</v>
      </c>
      <c r="O54" s="1288">
        <v>8.6172265688443089E-3</v>
      </c>
      <c r="P54" s="1237">
        <v>4.3086132844221544E-3</v>
      </c>
      <c r="Q54" s="1290">
        <v>5.5198428761906046E-2</v>
      </c>
    </row>
    <row r="55" spans="1:17" s="212" customFormat="1" ht="15.5" x14ac:dyDescent="0.35">
      <c r="A55" s="198">
        <v>2015</v>
      </c>
      <c r="B55" s="197" t="s">
        <v>5838</v>
      </c>
      <c r="C55" s="197">
        <v>1996</v>
      </c>
      <c r="D55" s="225" t="str">
        <f t="shared" si="0"/>
        <v>2015_1996</v>
      </c>
      <c r="E55" s="1287">
        <v>0.3569201074972721</v>
      </c>
      <c r="F55" s="1306">
        <v>0.13255510531278578</v>
      </c>
      <c r="G55" s="1303">
        <v>8.9575267492819926</v>
      </c>
      <c r="H55" s="1306">
        <v>1.0265377218288261</v>
      </c>
      <c r="I55" s="1303">
        <v>5.2677139713145207E-2</v>
      </c>
      <c r="J55" s="1306">
        <v>2.7105115275572484E-3</v>
      </c>
      <c r="K55" s="1303">
        <v>2.9714855325482423E-3</v>
      </c>
      <c r="L55" s="1288">
        <v>2.0000013631398215E-3</v>
      </c>
      <c r="M55" s="1230">
        <v>2.0000013631398215E-3</v>
      </c>
      <c r="N55" s="1303">
        <v>2.6625558994972785E-2</v>
      </c>
      <c r="O55" s="1288">
        <v>8.87551821865727E-3</v>
      </c>
      <c r="P55" s="1237">
        <v>4.437759109328635E-3</v>
      </c>
      <c r="Q55" s="1290">
        <v>5.505896621962815E-2</v>
      </c>
    </row>
    <row r="56" spans="1:17" s="212" customFormat="1" ht="15.5" x14ac:dyDescent="0.35">
      <c r="A56" s="198">
        <v>2015</v>
      </c>
      <c r="B56" s="197" t="s">
        <v>5838</v>
      </c>
      <c r="C56" s="197">
        <v>1997</v>
      </c>
      <c r="D56" s="225" t="str">
        <f t="shared" si="0"/>
        <v>2015_1997</v>
      </c>
      <c r="E56" s="1287">
        <v>0.35502381072276151</v>
      </c>
      <c r="F56" s="1306">
        <v>0.13593706727482724</v>
      </c>
      <c r="G56" s="1303">
        <v>8.9737199415468147</v>
      </c>
      <c r="H56" s="1306">
        <v>1.0513032543407235</v>
      </c>
      <c r="I56" s="1303">
        <v>5.2360450655098027E-2</v>
      </c>
      <c r="J56" s="1306">
        <v>2.7273044411187677E-3</v>
      </c>
      <c r="K56" s="1303">
        <v>2.9779534501268171E-3</v>
      </c>
      <c r="L56" s="1288">
        <v>2.0000013976784106E-3</v>
      </c>
      <c r="M56" s="1230">
        <v>2.0000013976784106E-3</v>
      </c>
      <c r="N56" s="1303">
        <v>2.6780177599732249E-2</v>
      </c>
      <c r="O56" s="1288">
        <v>8.086698800655873E-3</v>
      </c>
      <c r="P56" s="1237">
        <v>4.0433494003279365E-3</v>
      </c>
      <c r="Q56" s="1290">
        <v>5.4727957887662916E-2</v>
      </c>
    </row>
    <row r="57" spans="1:17" s="212" customFormat="1" ht="15.5" x14ac:dyDescent="0.35">
      <c r="A57" s="198">
        <v>2015</v>
      </c>
      <c r="B57" s="197" t="s">
        <v>5838</v>
      </c>
      <c r="C57" s="197">
        <v>1998</v>
      </c>
      <c r="D57" s="225" t="str">
        <f t="shared" si="0"/>
        <v>2015_1998</v>
      </c>
      <c r="E57" s="1287">
        <v>0.34818462197901434</v>
      </c>
      <c r="F57" s="1306">
        <v>0.13309367896770802</v>
      </c>
      <c r="G57" s="1303">
        <v>8.9484504972598415</v>
      </c>
      <c r="H57" s="1306">
        <v>1.0331398341562443</v>
      </c>
      <c r="I57" s="1303">
        <v>5.1687985573857523E-2</v>
      </c>
      <c r="J57" s="1306">
        <v>2.7683521045374629E-3</v>
      </c>
      <c r="K57" s="1303">
        <v>2.9756542243443455E-3</v>
      </c>
      <c r="L57" s="1288">
        <v>2.0000014916907128E-3</v>
      </c>
      <c r="M57" s="1230">
        <v>2.0000014916907128E-3</v>
      </c>
      <c r="N57" s="1303">
        <v>2.6724619581464552E-2</v>
      </c>
      <c r="O57" s="1288">
        <v>6.8891739421899981E-3</v>
      </c>
      <c r="P57" s="1237">
        <v>3.444586971094999E-3</v>
      </c>
      <c r="Q57" s="1290">
        <v>5.40250869194683E-2</v>
      </c>
    </row>
    <row r="58" spans="1:17" s="212" customFormat="1" ht="15.5" x14ac:dyDescent="0.35">
      <c r="A58" s="198">
        <v>2015</v>
      </c>
      <c r="B58" s="197" t="s">
        <v>5838</v>
      </c>
      <c r="C58" s="197">
        <v>1999</v>
      </c>
      <c r="D58" s="225" t="str">
        <f t="shared" si="0"/>
        <v>2015_1999</v>
      </c>
      <c r="E58" s="1287">
        <v>0.34584239764070424</v>
      </c>
      <c r="F58" s="1306">
        <v>0.12408568475353077</v>
      </c>
      <c r="G58" s="1303">
        <v>9.0694718610486351</v>
      </c>
      <c r="H58" s="1306">
        <v>0.97283755119342064</v>
      </c>
      <c r="I58" s="1303">
        <v>5.0984672638453743E-2</v>
      </c>
      <c r="J58" s="1306">
        <v>2.7811005971573408E-3</v>
      </c>
      <c r="K58" s="1303">
        <v>2.9923989115896998E-3</v>
      </c>
      <c r="L58" s="1288">
        <v>2.0000015144560901E-3</v>
      </c>
      <c r="M58" s="1230">
        <v>2.0000015144560901E-3</v>
      </c>
      <c r="N58" s="1303">
        <v>2.711994807551436E-2</v>
      </c>
      <c r="O58" s="1288">
        <v>6.9939553905395725E-3</v>
      </c>
      <c r="P58" s="1237">
        <v>3.4969776952697863E-3</v>
      </c>
      <c r="Q58" s="1290">
        <v>5.3289973294030561E-2</v>
      </c>
    </row>
    <row r="59" spans="1:17" s="212" customFormat="1" ht="15.5" x14ac:dyDescent="0.35">
      <c r="A59" s="198">
        <v>2015</v>
      </c>
      <c r="B59" s="197" t="s">
        <v>5838</v>
      </c>
      <c r="C59" s="197">
        <v>2000</v>
      </c>
      <c r="D59" s="225" t="str">
        <f t="shared" si="0"/>
        <v>2015_2000</v>
      </c>
      <c r="E59" s="1287">
        <v>0.3375243854272918</v>
      </c>
      <c r="F59" s="1306">
        <v>0.11393462836443492</v>
      </c>
      <c r="G59" s="1303">
        <v>9.1249068705549963</v>
      </c>
      <c r="H59" s="1306">
        <v>0.89851707026400207</v>
      </c>
      <c r="I59" s="1303">
        <v>4.9911422791354389E-2</v>
      </c>
      <c r="J59" s="1306">
        <v>2.7853289285234731E-3</v>
      </c>
      <c r="K59" s="1303">
        <v>2.9969155089956409E-3</v>
      </c>
      <c r="L59" s="1288">
        <v>2.0000015920725671E-3</v>
      </c>
      <c r="M59" s="1230">
        <v>2.0000015920725671E-3</v>
      </c>
      <c r="N59" s="1303">
        <v>2.7226746769897909E-2</v>
      </c>
      <c r="O59" s="1288">
        <v>7.1966782218886062E-3</v>
      </c>
      <c r="P59" s="1237">
        <v>3.5983391109443031E-3</v>
      </c>
      <c r="Q59" s="1290">
        <v>5.2168195851321007E-2</v>
      </c>
    </row>
    <row r="60" spans="1:17" s="212" customFormat="1" ht="15.5" x14ac:dyDescent="0.35">
      <c r="A60" s="198">
        <v>2015</v>
      </c>
      <c r="B60" s="197" t="s">
        <v>5838</v>
      </c>
      <c r="C60" s="197">
        <v>2001</v>
      </c>
      <c r="D60" s="225" t="str">
        <f t="shared" si="0"/>
        <v>2015_2001</v>
      </c>
      <c r="E60" s="1287">
        <v>0.33027367602157198</v>
      </c>
      <c r="F60" s="1306">
        <v>0.10442928598264621</v>
      </c>
      <c r="G60" s="1303">
        <v>9.0501948637986853</v>
      </c>
      <c r="H60" s="1306">
        <v>0.81613314550052962</v>
      </c>
      <c r="I60" s="1303">
        <v>4.9314472683990335E-2</v>
      </c>
      <c r="J60" s="1306">
        <v>2.8061139022925218E-3</v>
      </c>
      <c r="K60" s="1303">
        <v>2.9941644730549408E-3</v>
      </c>
      <c r="L60" s="1288">
        <v>2.0000015701362051E-3</v>
      </c>
      <c r="M60" s="1230">
        <v>2.0000015701362051E-3</v>
      </c>
      <c r="N60" s="1303">
        <v>2.7161183088602447E-2</v>
      </c>
      <c r="O60" s="1288">
        <v>6.6659637259441655E-3</v>
      </c>
      <c r="P60" s="1237">
        <v>3.3329818629720827E-3</v>
      </c>
      <c r="Q60" s="1290">
        <v>5.1544254309028883E-2</v>
      </c>
    </row>
    <row r="61" spans="1:17" s="212" customFormat="1" ht="15.5" x14ac:dyDescent="0.35">
      <c r="A61" s="198">
        <v>2015</v>
      </c>
      <c r="B61" s="197" t="s">
        <v>5838</v>
      </c>
      <c r="C61" s="197">
        <v>2002</v>
      </c>
      <c r="D61" s="225" t="str">
        <f t="shared" si="0"/>
        <v>2015_2002</v>
      </c>
      <c r="E61" s="1287">
        <v>0.25826871937686302</v>
      </c>
      <c r="F61" s="1306">
        <v>0.10152786434076505</v>
      </c>
      <c r="G61" s="1303">
        <v>7.0166849247326342</v>
      </c>
      <c r="H61" s="1306">
        <v>0.76839597837783769</v>
      </c>
      <c r="I61" s="1303">
        <v>5.0513517871487598E-2</v>
      </c>
      <c r="J61" s="1306">
        <v>2.8356164268817227E-3</v>
      </c>
      <c r="K61" s="1303">
        <v>2.9953209229259944E-3</v>
      </c>
      <c r="L61" s="1288">
        <v>2.0000017082415604E-3</v>
      </c>
      <c r="M61" s="1230">
        <v>2.0000017082415604E-3</v>
      </c>
      <c r="N61" s="1303">
        <v>2.7188372264533155E-2</v>
      </c>
      <c r="O61" s="1288">
        <v>5.8695327640774864E-3</v>
      </c>
      <c r="P61" s="1237">
        <v>2.9347663820387432E-3</v>
      </c>
      <c r="Q61" s="1290">
        <v>5.2797514999220502E-2</v>
      </c>
    </row>
    <row r="62" spans="1:17" s="212" customFormat="1" ht="15.5" x14ac:dyDescent="0.35">
      <c r="A62" s="198">
        <v>2015</v>
      </c>
      <c r="B62" s="197" t="s">
        <v>5838</v>
      </c>
      <c r="C62" s="197">
        <v>2003</v>
      </c>
      <c r="D62" s="225" t="str">
        <f t="shared" si="0"/>
        <v>2015_2003</v>
      </c>
      <c r="E62" s="1287">
        <v>0.25075931179893024</v>
      </c>
      <c r="F62" s="1306">
        <v>8.1314767630131762E-2</v>
      </c>
      <c r="G62" s="1303">
        <v>7.0208243676800226</v>
      </c>
      <c r="H62" s="1306">
        <v>0.58388432346732511</v>
      </c>
      <c r="I62" s="1303">
        <v>4.9561681442963842E-2</v>
      </c>
      <c r="J62" s="1306">
        <v>2.8213369987234367E-3</v>
      </c>
      <c r="K62" s="1303">
        <v>2.9936381630523198E-3</v>
      </c>
      <c r="L62" s="1288">
        <v>2.0000016905903761E-3</v>
      </c>
      <c r="M62" s="1230">
        <v>2.0000016905903761E-3</v>
      </c>
      <c r="N62" s="1303">
        <v>2.7147903298620622E-2</v>
      </c>
      <c r="O62" s="1288">
        <v>6.276959907002797E-3</v>
      </c>
      <c r="P62" s="1237">
        <v>3.1384799535013985E-3</v>
      </c>
      <c r="Q62" s="1290">
        <v>5.1802640751110428E-2</v>
      </c>
    </row>
    <row r="63" spans="1:17" s="212" customFormat="1" ht="15.5" x14ac:dyDescent="0.35">
      <c r="A63" s="198">
        <v>2015</v>
      </c>
      <c r="B63" s="197" t="s">
        <v>5838</v>
      </c>
      <c r="C63" s="197">
        <v>2004</v>
      </c>
      <c r="D63" s="225" t="str">
        <f t="shared" si="0"/>
        <v>2015_2004</v>
      </c>
      <c r="E63" s="1287">
        <v>0.50229427753572975</v>
      </c>
      <c r="F63" s="1306">
        <v>1.6629409459778869E-2</v>
      </c>
      <c r="G63" s="1303">
        <v>4.1255421259906049</v>
      </c>
      <c r="H63" s="1306">
        <v>0.10221448915415673</v>
      </c>
      <c r="I63" s="1303">
        <v>0.13897529395282832</v>
      </c>
      <c r="J63" s="1306">
        <v>1.887793895342317E-4</v>
      </c>
      <c r="K63" s="1303">
        <v>2.9892018706913284E-3</v>
      </c>
      <c r="L63" s="1288">
        <v>2.000001778869311E-3</v>
      </c>
      <c r="M63" s="1230">
        <v>2.000001778869311E-3</v>
      </c>
      <c r="N63" s="1303">
        <v>2.704180877051237E-2</v>
      </c>
      <c r="O63" s="1288">
        <v>5.7873014093700959E-3</v>
      </c>
      <c r="P63" s="1237">
        <v>2.8936507046850479E-3</v>
      </c>
      <c r="Q63" s="1290">
        <v>0.14525914005164214</v>
      </c>
    </row>
    <row r="64" spans="1:17" s="212" customFormat="1" ht="15.5" x14ac:dyDescent="0.35">
      <c r="A64" s="198">
        <v>2015</v>
      </c>
      <c r="B64" s="197" t="s">
        <v>5838</v>
      </c>
      <c r="C64" s="197">
        <v>2005</v>
      </c>
      <c r="D64" s="225" t="str">
        <f t="shared" si="0"/>
        <v>2015_2005</v>
      </c>
      <c r="E64" s="1287">
        <v>0.48027353046226284</v>
      </c>
      <c r="F64" s="1306">
        <v>1.4647705396285977E-2</v>
      </c>
      <c r="G64" s="1303">
        <v>4.0783363363010077</v>
      </c>
      <c r="H64" s="1306">
        <v>8.3734926265096252E-2</v>
      </c>
      <c r="I64" s="1303">
        <v>0.13486577990851387</v>
      </c>
      <c r="J64" s="1306">
        <v>1.8947573805186199E-4</v>
      </c>
      <c r="K64" s="1303">
        <v>2.9816837141783815E-3</v>
      </c>
      <c r="L64" s="1288">
        <v>2.000001818540903E-3</v>
      </c>
      <c r="M64" s="1230">
        <v>2.000001818540903E-3</v>
      </c>
      <c r="N64" s="1303">
        <v>2.686164103551051E-2</v>
      </c>
      <c r="O64" s="1288">
        <v>4.9493031310888537E-3</v>
      </c>
      <c r="P64" s="1237">
        <v>2.4746515655444268E-3</v>
      </c>
      <c r="Q64" s="1290">
        <v>0.14096381201794153</v>
      </c>
    </row>
    <row r="65" spans="1:17" s="212" customFormat="1" ht="15.5" x14ac:dyDescent="0.35">
      <c r="A65" s="198">
        <v>2015</v>
      </c>
      <c r="B65" s="197" t="s">
        <v>5838</v>
      </c>
      <c r="C65" s="197">
        <v>2006</v>
      </c>
      <c r="D65" s="225" t="str">
        <f t="shared" si="0"/>
        <v>2015_2006</v>
      </c>
      <c r="E65" s="1287">
        <v>0.46174352251775752</v>
      </c>
      <c r="F65" s="1306">
        <v>5.4885710972086285E-3</v>
      </c>
      <c r="G65" s="1303">
        <v>4.0469070224630448</v>
      </c>
      <c r="H65" s="1306">
        <v>4.1932141681375545E-2</v>
      </c>
      <c r="I65" s="1303">
        <v>0.13161961055395555</v>
      </c>
      <c r="J65" s="1306">
        <v>1.8678183675901959E-4</v>
      </c>
      <c r="K65" s="1303">
        <v>2.9739664143124786E-3</v>
      </c>
      <c r="L65" s="1288">
        <v>2.0000017785711194E-3</v>
      </c>
      <c r="M65" s="1230">
        <v>2.0000017785711194E-3</v>
      </c>
      <c r="N65" s="1303">
        <v>2.6674021572232292E-2</v>
      </c>
      <c r="O65" s="1288">
        <v>6.8352498304540543E-3</v>
      </c>
      <c r="P65" s="1237">
        <v>3.4176249152270272E-3</v>
      </c>
      <c r="Q65" s="1290">
        <v>0.13757086528983359</v>
      </c>
    </row>
    <row r="66" spans="1:17" s="212" customFormat="1" ht="15.5" x14ac:dyDescent="0.35">
      <c r="A66" s="198">
        <v>2015</v>
      </c>
      <c r="B66" s="197" t="s">
        <v>5838</v>
      </c>
      <c r="C66" s="197">
        <v>2007</v>
      </c>
      <c r="D66" s="225" t="str">
        <f t="shared" si="0"/>
        <v>2015_2007</v>
      </c>
      <c r="E66" s="1287">
        <v>0.24720348814192672</v>
      </c>
      <c r="F66" s="1306">
        <v>7.5596033333912589E-3</v>
      </c>
      <c r="G66" s="1303">
        <v>2.188565703937372</v>
      </c>
      <c r="H66" s="1306">
        <v>4.1117015274397851E-2</v>
      </c>
      <c r="I66" s="1303">
        <v>6.8553216024202432E-2</v>
      </c>
      <c r="J66" s="1306">
        <v>1.8906055417204661E-4</v>
      </c>
      <c r="K66" s="1303">
        <v>2.9410041062209046E-3</v>
      </c>
      <c r="L66" s="1288">
        <v>2.0000017711193641E-3</v>
      </c>
      <c r="M66" s="1230">
        <v>2.0000017711193641E-3</v>
      </c>
      <c r="N66" s="1303">
        <v>2.5877136195144916E-2</v>
      </c>
      <c r="O66" s="1288">
        <v>5.0984654158530776E-3</v>
      </c>
      <c r="P66" s="1237">
        <v>2.5492327079265388E-3</v>
      </c>
      <c r="Q66" s="1290">
        <v>7.1652888252426064E-2</v>
      </c>
    </row>
    <row r="67" spans="1:17" s="212" customFormat="1" ht="15.5" x14ac:dyDescent="0.35">
      <c r="A67" s="198">
        <v>2015</v>
      </c>
      <c r="B67" s="197" t="s">
        <v>5838</v>
      </c>
      <c r="C67" s="197">
        <v>2008</v>
      </c>
      <c r="D67" s="225" t="str">
        <f t="shared" si="0"/>
        <v>2015_2008</v>
      </c>
      <c r="E67" s="1287">
        <v>0.24364274055564392</v>
      </c>
      <c r="F67" s="1306">
        <v>7.172624168824999E-3</v>
      </c>
      <c r="G67" s="1303">
        <v>2.2192638307284014</v>
      </c>
      <c r="H67" s="1306">
        <v>3.3455581791344835E-2</v>
      </c>
      <c r="I67" s="1303">
        <v>6.8161834117040979E-2</v>
      </c>
      <c r="J67" s="1306">
        <v>2.1466017905483458E-4</v>
      </c>
      <c r="K67" s="1303">
        <v>2.9612856179150192E-3</v>
      </c>
      <c r="L67" s="1288">
        <v>2.0000019411233155E-3</v>
      </c>
      <c r="M67" s="1230">
        <v>2.0000019411233155E-3</v>
      </c>
      <c r="N67" s="1303">
        <v>2.6364759698396044E-2</v>
      </c>
      <c r="O67" s="1288">
        <v>5.014412590597519E-3</v>
      </c>
      <c r="P67" s="1237">
        <v>2.5072062952987595E-3</v>
      </c>
      <c r="Q67" s="1290">
        <v>7.1243809792154278E-2</v>
      </c>
    </row>
    <row r="68" spans="1:17" s="212" customFormat="1" ht="15.5" x14ac:dyDescent="0.35">
      <c r="A68" s="198">
        <v>2015</v>
      </c>
      <c r="B68" s="197" t="s">
        <v>5838</v>
      </c>
      <c r="C68" s="197">
        <v>2009</v>
      </c>
      <c r="D68" s="225" t="str">
        <f t="shared" si="0"/>
        <v>2015_2009</v>
      </c>
      <c r="E68" s="1287">
        <v>0.20593243563559982</v>
      </c>
      <c r="F68" s="1306">
        <v>6.9262778796063346E-3</v>
      </c>
      <c r="G68" s="1303">
        <v>1.8989704316572678</v>
      </c>
      <c r="H68" s="1306">
        <v>2.7062544565809171E-2</v>
      </c>
      <c r="I68" s="1303">
        <v>5.8061876617139754E-2</v>
      </c>
      <c r="J68" s="1306">
        <v>2.4171688528095559E-4</v>
      </c>
      <c r="K68" s="1303">
        <v>2.8177025339868786E-3</v>
      </c>
      <c r="L68" s="1288">
        <v>2.0000019147710124E-3</v>
      </c>
      <c r="M68" s="1230">
        <v>2.0000019147710124E-3</v>
      </c>
      <c r="N68" s="1303">
        <v>2.2902117512581355E-2</v>
      </c>
      <c r="O68" s="1288">
        <v>4.2304088849353253E-3</v>
      </c>
      <c r="P68" s="1237">
        <v>2.1152044424676626E-3</v>
      </c>
      <c r="Q68" s="1290">
        <v>6.068717703200522E-2</v>
      </c>
    </row>
    <row r="69" spans="1:17" s="212" customFormat="1" ht="15.5" x14ac:dyDescent="0.35">
      <c r="A69" s="198">
        <v>2015</v>
      </c>
      <c r="B69" s="197" t="s">
        <v>5838</v>
      </c>
      <c r="C69" s="197">
        <v>2010</v>
      </c>
      <c r="D69" s="225" t="str">
        <f t="shared" si="0"/>
        <v>2015_2010</v>
      </c>
      <c r="E69" s="1287">
        <v>4.7299495808026185E-2</v>
      </c>
      <c r="F69" s="1306">
        <v>5.9900370129434954E-3</v>
      </c>
      <c r="G69" s="1303">
        <v>0.33783184617786055</v>
      </c>
      <c r="H69" s="1306">
        <v>2.3790254955539641E-2</v>
      </c>
      <c r="I69" s="1303">
        <v>8.639062280887887E-3</v>
      </c>
      <c r="J69" s="1306">
        <v>2.9664581771416553E-4</v>
      </c>
      <c r="K69" s="1303">
        <v>2.6782615299364939E-3</v>
      </c>
      <c r="L69" s="1288">
        <v>2.0000020370814545E-3</v>
      </c>
      <c r="M69" s="1230">
        <v>2.0000020370814545E-3</v>
      </c>
      <c r="N69" s="1303">
        <v>1.951742208514386E-2</v>
      </c>
      <c r="O69" s="1288">
        <v>3.7752637788246316E-3</v>
      </c>
      <c r="P69" s="1237">
        <v>1.8876318894123158E-3</v>
      </c>
      <c r="Q69" s="1290">
        <v>9.0296823419585316E-3</v>
      </c>
    </row>
    <row r="70" spans="1:17" s="212" customFormat="1" ht="15.5" x14ac:dyDescent="0.35">
      <c r="A70" s="198">
        <v>2015</v>
      </c>
      <c r="B70" s="197" t="s">
        <v>5838</v>
      </c>
      <c r="C70" s="197">
        <v>2011</v>
      </c>
      <c r="D70" s="225" t="str">
        <f t="shared" si="0"/>
        <v>2015_2011</v>
      </c>
      <c r="E70" s="1287">
        <v>4.7562856082702033E-2</v>
      </c>
      <c r="F70" s="1306">
        <v>5.9731810413986243E-3</v>
      </c>
      <c r="G70" s="1303">
        <v>0.33433266224105024</v>
      </c>
      <c r="H70" s="1306">
        <v>2.275908291920381E-2</v>
      </c>
      <c r="I70" s="1303">
        <v>7.9848269616018264E-3</v>
      </c>
      <c r="J70" s="1306">
        <v>4.0213612528575013E-4</v>
      </c>
      <c r="K70" s="1303">
        <v>2.7096497571180741E-3</v>
      </c>
      <c r="L70" s="1288">
        <v>2.0000020381140079E-3</v>
      </c>
      <c r="M70" s="1230">
        <v>2.0000020381140079E-3</v>
      </c>
      <c r="N70" s="1303">
        <v>2.0246020965748714E-2</v>
      </c>
      <c r="O70" s="1288">
        <v>3.8180601634602439E-3</v>
      </c>
      <c r="P70" s="1237">
        <v>1.9090300817301219E-3</v>
      </c>
      <c r="Q70" s="1290">
        <v>8.34586540466053E-3</v>
      </c>
    </row>
    <row r="71" spans="1:17" s="212" customFormat="1" ht="15.5" x14ac:dyDescent="0.35">
      <c r="A71" s="198">
        <v>2015</v>
      </c>
      <c r="B71" s="197" t="s">
        <v>5838</v>
      </c>
      <c r="C71" s="197">
        <v>2012</v>
      </c>
      <c r="D71" s="225" t="str">
        <f t="shared" si="0"/>
        <v>2015_2012</v>
      </c>
      <c r="E71" s="1287">
        <v>3.8809289985647179E-2</v>
      </c>
      <c r="F71" s="1306">
        <v>5.4650352258909943E-3</v>
      </c>
      <c r="G71" s="1303">
        <v>0.25495253746203483</v>
      </c>
      <c r="H71" s="1306">
        <v>2.0807007973890318E-2</v>
      </c>
      <c r="I71" s="1303">
        <v>6.2982029181543209E-3</v>
      </c>
      <c r="J71" s="1306">
        <v>5.8296620408077732E-4</v>
      </c>
      <c r="K71" s="1303">
        <v>2.5581504965226957E-3</v>
      </c>
      <c r="L71" s="1288">
        <v>2.0000020026872331E-3</v>
      </c>
      <c r="M71" s="1230">
        <v>2.0000020026872331E-3</v>
      </c>
      <c r="N71" s="1303">
        <v>1.6503268189332683E-2</v>
      </c>
      <c r="O71" s="1288">
        <v>4.2028170582551604E-3</v>
      </c>
      <c r="P71" s="1237">
        <v>2.1014085291275802E-3</v>
      </c>
      <c r="Q71" s="1290">
        <v>6.5829797062517265E-3</v>
      </c>
    </row>
    <row r="72" spans="1:17" s="212" customFormat="1" ht="15.5" x14ac:dyDescent="0.35">
      <c r="A72" s="198">
        <v>2015</v>
      </c>
      <c r="B72" s="197" t="s">
        <v>5838</v>
      </c>
      <c r="C72" s="197">
        <v>2013</v>
      </c>
      <c r="D72" s="225" t="str">
        <f t="shared" si="0"/>
        <v>2015_2013</v>
      </c>
      <c r="E72" s="1287">
        <v>4.6176940709134334E-2</v>
      </c>
      <c r="F72" s="1306">
        <v>5.9712907250405603E-3</v>
      </c>
      <c r="G72" s="1303">
        <v>0.30633111762074899</v>
      </c>
      <c r="H72" s="1306">
        <v>2.0235581396615347E-2</v>
      </c>
      <c r="I72" s="1303">
        <v>6.2553409209641711E-3</v>
      </c>
      <c r="J72" s="1306">
        <v>8.7189978700066351E-4</v>
      </c>
      <c r="K72" s="1303">
        <v>2.7318566959410933E-3</v>
      </c>
      <c r="L72" s="1288">
        <v>2.000002026403669E-3</v>
      </c>
      <c r="M72" s="1230">
        <v>2.000002026403669E-3</v>
      </c>
      <c r="N72" s="1303">
        <v>2.0755551688523412E-2</v>
      </c>
      <c r="O72" s="1288">
        <v>4.3087751679029666E-3</v>
      </c>
      <c r="P72" s="1237">
        <v>2.1543875839514833E-3</v>
      </c>
      <c r="Q72" s="1290">
        <v>6.5381796797459339E-3</v>
      </c>
    </row>
    <row r="73" spans="1:17" s="212" customFormat="1" ht="15.5" x14ac:dyDescent="0.35">
      <c r="A73" s="198">
        <v>2015</v>
      </c>
      <c r="B73" s="197" t="s">
        <v>5838</v>
      </c>
      <c r="C73" s="197">
        <v>2014</v>
      </c>
      <c r="D73" s="225" t="str">
        <f t="shared" si="0"/>
        <v>2015_2014</v>
      </c>
      <c r="E73" s="1287">
        <v>3.8589546994035863E-2</v>
      </c>
      <c r="F73" s="1306">
        <v>5.8958078374248173E-3</v>
      </c>
      <c r="G73" s="1303">
        <v>0.24135568390770132</v>
      </c>
      <c r="H73" s="1306">
        <v>1.8555759292404755E-2</v>
      </c>
      <c r="I73" s="1303">
        <v>4.8229810156067525E-3</v>
      </c>
      <c r="J73" s="1306">
        <v>1.2340484938945253E-3</v>
      </c>
      <c r="K73" s="1303">
        <v>2.6083287815774738E-3</v>
      </c>
      <c r="L73" s="1288">
        <v>2.0000020131367563E-3</v>
      </c>
      <c r="M73" s="1230">
        <v>2.0000020131367563E-3</v>
      </c>
      <c r="N73" s="1303">
        <v>1.7687295887861984E-2</v>
      </c>
      <c r="O73" s="1288">
        <v>3.5027117677779579E-3</v>
      </c>
      <c r="P73" s="1237">
        <v>1.7513558838889789E-3</v>
      </c>
      <c r="Q73" s="1290">
        <v>5.0410548154712007E-3</v>
      </c>
    </row>
    <row r="74" spans="1:17" s="212" customFormat="1" ht="15.5" x14ac:dyDescent="0.35">
      <c r="A74" s="198">
        <v>2015</v>
      </c>
      <c r="B74" s="197" t="s">
        <v>5838</v>
      </c>
      <c r="C74" s="197">
        <v>2015</v>
      </c>
      <c r="D74" s="225" t="str">
        <f t="shared" si="0"/>
        <v>2015_2015</v>
      </c>
      <c r="E74" s="1287">
        <v>3.5662039323401507E-2</v>
      </c>
      <c r="F74" s="1306">
        <v>5.6532665227096513E-3</v>
      </c>
      <c r="G74" s="1303">
        <v>0.21380697016612038</v>
      </c>
      <c r="H74" s="1306">
        <v>1.6741253403498031E-2</v>
      </c>
      <c r="I74" s="1303">
        <v>3.8240851055846535E-3</v>
      </c>
      <c r="J74" s="1306">
        <v>1.5417137506933828E-3</v>
      </c>
      <c r="K74" s="1303">
        <v>2.5801846266804711E-3</v>
      </c>
      <c r="L74" s="1288">
        <v>2.0000019440661134E-3</v>
      </c>
      <c r="M74" s="1230">
        <v>2.0000019440661134E-3</v>
      </c>
      <c r="N74" s="1303">
        <v>1.6939045692200966E-2</v>
      </c>
      <c r="O74" s="1288">
        <v>4.19247473777114E-3</v>
      </c>
      <c r="P74" s="1237">
        <v>2.09623736888557E-3</v>
      </c>
      <c r="Q74" s="1290">
        <v>3.9969932649328603E-3</v>
      </c>
    </row>
    <row r="75" spans="1:17" s="212" customFormat="1" ht="15.5" x14ac:dyDescent="0.35">
      <c r="A75" s="198">
        <v>2015</v>
      </c>
      <c r="B75" s="197" t="s">
        <v>5838</v>
      </c>
      <c r="C75" s="197">
        <v>2016</v>
      </c>
      <c r="D75" s="225" t="str">
        <f t="shared" si="0"/>
        <v>2015_2016</v>
      </c>
      <c r="E75" s="1291">
        <v>3.5662039323401507E-2</v>
      </c>
      <c r="F75" s="1280">
        <v>5.6532665227096513E-3</v>
      </c>
      <c r="G75" s="1271">
        <v>0.21380697016612038</v>
      </c>
      <c r="H75" s="1280">
        <v>1.6741253403498031E-2</v>
      </c>
      <c r="I75" s="1271">
        <v>3.8240851055846535E-3</v>
      </c>
      <c r="J75" s="1280">
        <v>1.5417137506933828E-3</v>
      </c>
      <c r="K75" s="1271">
        <v>2.5801846266804711E-3</v>
      </c>
      <c r="L75" s="1257">
        <v>2.0000019440661134E-3</v>
      </c>
      <c r="M75" s="1230">
        <v>2.0000019440661134E-3</v>
      </c>
      <c r="N75" s="1271">
        <v>1.6939045692200966E-2</v>
      </c>
      <c r="O75" s="1257">
        <v>4.19247473777114E-3</v>
      </c>
      <c r="P75" s="1237">
        <v>2.09623736888557E-3</v>
      </c>
      <c r="Q75" s="1292">
        <v>3.9969932649328603E-3</v>
      </c>
    </row>
    <row r="76" spans="1:17" s="212" customFormat="1" ht="15.5" x14ac:dyDescent="0.35">
      <c r="A76" s="198">
        <v>2016</v>
      </c>
      <c r="B76" s="197" t="s">
        <v>5838</v>
      </c>
      <c r="C76" s="197">
        <v>1971</v>
      </c>
      <c r="D76" s="225" t="str">
        <f t="shared" si="0"/>
        <v>2016_1971</v>
      </c>
      <c r="E76" s="1291">
        <v>0.69997677831548077</v>
      </c>
      <c r="F76" s="1280">
        <v>5.3775072173629228</v>
      </c>
      <c r="G76" s="1271">
        <v>2.5526672851609979</v>
      </c>
      <c r="H76" s="1280">
        <v>3.913775506227025</v>
      </c>
      <c r="I76" s="1271">
        <v>0.49123208508590077</v>
      </c>
      <c r="J76" s="1280">
        <v>5.2378373090638933E-2</v>
      </c>
      <c r="K76" s="1271">
        <v>2.1715784741958852E-3</v>
      </c>
      <c r="L76" s="1257">
        <v>2.0000013789886984E-3</v>
      </c>
      <c r="M76" s="1230">
        <v>2.0000013789886984E-3</v>
      </c>
      <c r="N76" s="1271">
        <v>8.0153272323571136E-3</v>
      </c>
      <c r="O76" s="1257">
        <v>1.3475135644619607E-2</v>
      </c>
      <c r="P76" s="1237">
        <v>6.7375678223098034E-3</v>
      </c>
      <c r="Q76" s="1292">
        <v>0.51344342016339173</v>
      </c>
    </row>
    <row r="77" spans="1:17" s="212" customFormat="1" ht="15.5" x14ac:dyDescent="0.35">
      <c r="A77" s="198">
        <v>2016</v>
      </c>
      <c r="B77" s="197" t="s">
        <v>5838</v>
      </c>
      <c r="C77" s="197">
        <v>1972</v>
      </c>
      <c r="D77" s="225" t="str">
        <f t="shared" si="0"/>
        <v>2016_1972</v>
      </c>
      <c r="E77" s="1291">
        <v>0.69997677831548077</v>
      </c>
      <c r="F77" s="1306">
        <v>5.3775072173629228</v>
      </c>
      <c r="G77" s="1271">
        <v>2.5526672851609979</v>
      </c>
      <c r="H77" s="1306">
        <v>3.913775506227025</v>
      </c>
      <c r="I77" s="1271">
        <v>0.49123208508590077</v>
      </c>
      <c r="J77" s="1306">
        <v>5.2378373090638933E-2</v>
      </c>
      <c r="K77" s="1271">
        <v>2.1715784741958852E-3</v>
      </c>
      <c r="L77" s="1288">
        <v>2.0000013789886984E-3</v>
      </c>
      <c r="M77" s="1230">
        <v>2.0000013789886984E-3</v>
      </c>
      <c r="N77" s="1271">
        <v>8.0153272323571136E-3</v>
      </c>
      <c r="O77" s="1288">
        <v>1.3475135644619607E-2</v>
      </c>
      <c r="P77" s="1237">
        <v>6.7375678223098034E-3</v>
      </c>
      <c r="Q77" s="1292">
        <v>0.51344342016339173</v>
      </c>
    </row>
    <row r="78" spans="1:17" s="212" customFormat="1" ht="15.5" x14ac:dyDescent="0.35">
      <c r="A78" s="198">
        <v>2016</v>
      </c>
      <c r="B78" s="197" t="s">
        <v>5838</v>
      </c>
      <c r="C78" s="197">
        <v>1973</v>
      </c>
      <c r="D78" s="225" t="str">
        <f t="shared" si="0"/>
        <v>2016_1973</v>
      </c>
      <c r="E78" s="1291">
        <v>0.69997677831548077</v>
      </c>
      <c r="F78" s="1306">
        <v>5.1709548851011355</v>
      </c>
      <c r="G78" s="1271">
        <v>2.5526672851609979</v>
      </c>
      <c r="H78" s="1306">
        <v>3.8521840654243693</v>
      </c>
      <c r="I78" s="1271">
        <v>0.49123208508590077</v>
      </c>
      <c r="J78" s="1306">
        <v>5.2702294077568684E-2</v>
      </c>
      <c r="K78" s="1271">
        <v>2.1715784741958852E-3</v>
      </c>
      <c r="L78" s="1288">
        <v>2.0000012513985209E-3</v>
      </c>
      <c r="M78" s="1230">
        <v>2.0000012513985209E-3</v>
      </c>
      <c r="N78" s="1271">
        <v>8.0153272323571136E-3</v>
      </c>
      <c r="O78" s="1288">
        <v>1.283679129472385E-2</v>
      </c>
      <c r="P78" s="1237">
        <v>6.4183956473619248E-3</v>
      </c>
      <c r="Q78" s="1292">
        <v>0.51344342016339173</v>
      </c>
    </row>
    <row r="79" spans="1:17" s="212" customFormat="1" ht="15.5" x14ac:dyDescent="0.35">
      <c r="A79" s="198">
        <v>2016</v>
      </c>
      <c r="B79" s="197" t="s">
        <v>5838</v>
      </c>
      <c r="C79" s="197">
        <v>1974</v>
      </c>
      <c r="D79" s="225" t="str">
        <f t="shared" si="0"/>
        <v>2016_1974</v>
      </c>
      <c r="E79" s="1287">
        <v>0.69997677831548077</v>
      </c>
      <c r="F79" s="1306">
        <v>5.4772427022606163</v>
      </c>
      <c r="G79" s="1303">
        <v>2.5526672851609979</v>
      </c>
      <c r="H79" s="1306">
        <v>4.125024759724166</v>
      </c>
      <c r="I79" s="1303">
        <v>0.49123208508590077</v>
      </c>
      <c r="J79" s="1306">
        <v>5.4218167179558387E-2</v>
      </c>
      <c r="K79" s="1303">
        <v>2.1715784741958852E-3</v>
      </c>
      <c r="L79" s="1288">
        <v>2.0000013969685439E-3</v>
      </c>
      <c r="M79" s="1230">
        <v>2.0000013969685439E-3</v>
      </c>
      <c r="N79" s="1303">
        <v>8.0153272323571136E-3</v>
      </c>
      <c r="O79" s="1288">
        <v>1.0307538873898816E-2</v>
      </c>
      <c r="P79" s="1237">
        <v>5.153769436949408E-3</v>
      </c>
      <c r="Q79" s="1290">
        <v>0.51344342016339173</v>
      </c>
    </row>
    <row r="80" spans="1:17" s="212" customFormat="1" ht="15.5" x14ac:dyDescent="0.35">
      <c r="A80" s="198">
        <v>2016</v>
      </c>
      <c r="B80" s="197" t="s">
        <v>5838</v>
      </c>
      <c r="C80" s="197">
        <v>1975</v>
      </c>
      <c r="D80" s="225" t="str">
        <f t="shared" si="0"/>
        <v>2016_1975</v>
      </c>
      <c r="E80" s="1287">
        <v>0.48983327929492754</v>
      </c>
      <c r="F80" s="1306">
        <v>5.3782570008935613</v>
      </c>
      <c r="G80" s="1303">
        <v>3.96216101322982</v>
      </c>
      <c r="H80" s="1306">
        <v>4.5307864085910152</v>
      </c>
      <c r="I80" s="1303">
        <v>0.34872245677436181</v>
      </c>
      <c r="J80" s="1306">
        <v>5.4563963796863062E-2</v>
      </c>
      <c r="K80" s="1303">
        <v>2.5184753073021413E-3</v>
      </c>
      <c r="L80" s="1288">
        <v>2.0000014090904034E-3</v>
      </c>
      <c r="M80" s="1230">
        <v>2.0000014090904034E-3</v>
      </c>
      <c r="N80" s="1303">
        <v>1.60979241745405E-2</v>
      </c>
      <c r="O80" s="1288">
        <v>9.7296294454894943E-3</v>
      </c>
      <c r="P80" s="1237">
        <v>4.8648147227447472E-3</v>
      </c>
      <c r="Q80" s="1290">
        <v>0.36449013883671477</v>
      </c>
    </row>
    <row r="81" spans="1:17" s="212" customFormat="1" ht="15.5" x14ac:dyDescent="0.35">
      <c r="A81" s="198">
        <v>2016</v>
      </c>
      <c r="B81" s="197" t="s">
        <v>5838</v>
      </c>
      <c r="C81" s="197">
        <v>1976</v>
      </c>
      <c r="D81" s="225" t="str">
        <f t="shared" si="0"/>
        <v>2016_1976</v>
      </c>
      <c r="E81" s="1287">
        <v>0.68330667414939272</v>
      </c>
      <c r="F81" s="1306">
        <v>7.8003914240423313</v>
      </c>
      <c r="G81" s="1303">
        <v>2.5751031150646235</v>
      </c>
      <c r="H81" s="1306">
        <v>10.420069374663417</v>
      </c>
      <c r="I81" s="1303">
        <v>0.47871560777087951</v>
      </c>
      <c r="J81" s="1306">
        <v>5.5003620827168677E-2</v>
      </c>
      <c r="K81" s="1303">
        <v>2.1691086414874034E-3</v>
      </c>
      <c r="L81" s="1288">
        <v>2.0000013607775766E-3</v>
      </c>
      <c r="M81" s="1230">
        <v>2.0000013607775766E-3</v>
      </c>
      <c r="N81" s="1303">
        <v>8.0132308400112113E-3</v>
      </c>
      <c r="O81" s="1288">
        <v>8.6000295616048255E-3</v>
      </c>
      <c r="P81" s="1237">
        <v>4.3000147808024127E-3</v>
      </c>
      <c r="Q81" s="1290">
        <v>0.50036100328523014</v>
      </c>
    </row>
    <row r="82" spans="1:17" s="212" customFormat="1" ht="15.5" x14ac:dyDescent="0.35">
      <c r="A82" s="198">
        <v>2016</v>
      </c>
      <c r="B82" s="197" t="s">
        <v>5838</v>
      </c>
      <c r="C82" s="197">
        <v>1977</v>
      </c>
      <c r="D82" s="225" t="str">
        <f t="shared" si="0"/>
        <v>2016_1977</v>
      </c>
      <c r="E82" s="1287">
        <v>0.64458354035957721</v>
      </c>
      <c r="F82" s="1306">
        <v>7.7037537064073147</v>
      </c>
      <c r="G82" s="1303">
        <v>2.8109223032531241</v>
      </c>
      <c r="H82" s="1306">
        <v>11.195210713232695</v>
      </c>
      <c r="I82" s="1303">
        <v>0.45233830641367817</v>
      </c>
      <c r="J82" s="1306">
        <v>5.129691400083862E-2</v>
      </c>
      <c r="K82" s="1303">
        <v>2.2262481557979797E-3</v>
      </c>
      <c r="L82" s="1288">
        <v>2.000001400594227E-3</v>
      </c>
      <c r="M82" s="1230">
        <v>2.000001400594227E-3</v>
      </c>
      <c r="N82" s="1303">
        <v>9.1465881292599159E-3</v>
      </c>
      <c r="O82" s="1288">
        <v>7.1822911229278809E-3</v>
      </c>
      <c r="P82" s="1237">
        <v>3.5911455614639405E-3</v>
      </c>
      <c r="Q82" s="1290">
        <v>0.47279103740819761</v>
      </c>
    </row>
    <row r="83" spans="1:17" s="212" customFormat="1" ht="15.5" x14ac:dyDescent="0.35">
      <c r="A83" s="198">
        <v>2016</v>
      </c>
      <c r="B83" s="197" t="s">
        <v>5838</v>
      </c>
      <c r="C83" s="197">
        <v>1978</v>
      </c>
      <c r="D83" s="225" t="str">
        <f t="shared" si="0"/>
        <v>2016_1978</v>
      </c>
      <c r="E83" s="1287">
        <v>0.69755559420681379</v>
      </c>
      <c r="F83" s="1306">
        <v>1.7729142779693334</v>
      </c>
      <c r="G83" s="1303">
        <v>2.5649171404093232</v>
      </c>
      <c r="H83" s="1306">
        <v>4.6253568020255775</v>
      </c>
      <c r="I83" s="1303">
        <v>0.48843360010223547</v>
      </c>
      <c r="J83" s="1306">
        <v>4.4545974213209334E-2</v>
      </c>
      <c r="K83" s="1303">
        <v>2.156278646764142E-3</v>
      </c>
      <c r="L83" s="1288">
        <v>2.0000013308536469E-3</v>
      </c>
      <c r="M83" s="1230">
        <v>2.0000013308536469E-3</v>
      </c>
      <c r="N83" s="1303">
        <v>7.5546784946467068E-3</v>
      </c>
      <c r="O83" s="1288">
        <v>8.7621504307950696E-3</v>
      </c>
      <c r="P83" s="1237">
        <v>4.3810752153975348E-3</v>
      </c>
      <c r="Q83" s="1290">
        <v>0.51051840010685823</v>
      </c>
    </row>
    <row r="84" spans="1:17" s="212" customFormat="1" ht="15.5" x14ac:dyDescent="0.35">
      <c r="A84" s="198">
        <v>2016</v>
      </c>
      <c r="B84" s="197" t="s">
        <v>5838</v>
      </c>
      <c r="C84" s="197">
        <v>1979</v>
      </c>
      <c r="D84" s="225" t="str">
        <f t="shared" si="0"/>
        <v>2016_1979</v>
      </c>
      <c r="E84" s="1287">
        <v>0.66483041278675958</v>
      </c>
      <c r="F84" s="1306">
        <v>1.774132872915225</v>
      </c>
      <c r="G84" s="1303">
        <v>2.5988730492816057</v>
      </c>
      <c r="H84" s="1306">
        <v>4.4668566888344916</v>
      </c>
      <c r="I84" s="1303">
        <v>0.46621945494082828</v>
      </c>
      <c r="J84" s="1306">
        <v>4.4145106800691676E-2</v>
      </c>
      <c r="K84" s="1303">
        <v>2.1829896704373851E-3</v>
      </c>
      <c r="L84" s="1288">
        <v>2.0000012604004412E-3</v>
      </c>
      <c r="M84" s="1230">
        <v>2.0000012604004412E-3</v>
      </c>
      <c r="N84" s="1303">
        <v>8.1528728981511301E-3</v>
      </c>
      <c r="O84" s="1288">
        <v>8.9989605203375737E-3</v>
      </c>
      <c r="P84" s="1237">
        <v>4.4994802601687868E-3</v>
      </c>
      <c r="Q84" s="1290">
        <v>0.48729982987506176</v>
      </c>
    </row>
    <row r="85" spans="1:17" s="212" customFormat="1" ht="15.5" x14ac:dyDescent="0.35">
      <c r="A85" s="198">
        <v>2016</v>
      </c>
      <c r="B85" s="197" t="s">
        <v>5838</v>
      </c>
      <c r="C85" s="197">
        <v>1980</v>
      </c>
      <c r="D85" s="225" t="str">
        <f t="shared" si="0"/>
        <v>2016_1980</v>
      </c>
      <c r="E85" s="1287">
        <v>0.32455973781052883</v>
      </c>
      <c r="F85" s="1306">
        <v>2.1343644426195856</v>
      </c>
      <c r="G85" s="1303">
        <v>2.4368591388320264</v>
      </c>
      <c r="H85" s="1306">
        <v>4.2980943220709751</v>
      </c>
      <c r="I85" s="1303">
        <v>0.25823885577677469</v>
      </c>
      <c r="J85" s="1306">
        <v>3.6682346672401181E-2</v>
      </c>
      <c r="K85" s="1303">
        <v>2.1750722585824871E-3</v>
      </c>
      <c r="L85" s="1288">
        <v>2.0000010298625924E-3</v>
      </c>
      <c r="M85" s="1230">
        <v>2.0000010298625924E-3</v>
      </c>
      <c r="N85" s="1303">
        <v>7.9297698547904621E-3</v>
      </c>
      <c r="O85" s="1288">
        <v>1.3671844688382506E-2</v>
      </c>
      <c r="P85" s="1237">
        <v>6.8359223441912531E-3</v>
      </c>
      <c r="Q85" s="1290">
        <v>0.26991527091705048</v>
      </c>
    </row>
    <row r="86" spans="1:17" s="212" customFormat="1" ht="15.5" x14ac:dyDescent="0.35">
      <c r="A86" s="198">
        <v>2016</v>
      </c>
      <c r="B86" s="197" t="s">
        <v>5838</v>
      </c>
      <c r="C86" s="197">
        <v>1981</v>
      </c>
      <c r="D86" s="225" t="str">
        <f t="shared" si="0"/>
        <v>2016_1981</v>
      </c>
      <c r="E86" s="1287">
        <v>0.31075207954702744</v>
      </c>
      <c r="F86" s="1306">
        <v>2.2024801441647863</v>
      </c>
      <c r="G86" s="1303">
        <v>2.8699633817465493</v>
      </c>
      <c r="H86" s="1306">
        <v>3.8054837495948046</v>
      </c>
      <c r="I86" s="1303">
        <v>0.24584078730570366</v>
      </c>
      <c r="J86" s="1306">
        <v>1.7511587458784485E-2</v>
      </c>
      <c r="K86" s="1303">
        <v>2.3067240116326471E-3</v>
      </c>
      <c r="L86" s="1288">
        <v>2.0000008929052268E-3</v>
      </c>
      <c r="M86" s="1230">
        <v>2.0000008929052268E-3</v>
      </c>
      <c r="N86" s="1303">
        <v>1.126119699542587E-2</v>
      </c>
      <c r="O86" s="1288">
        <v>1.7334599369483516E-2</v>
      </c>
      <c r="P86" s="1237">
        <v>8.6672996847417579E-3</v>
      </c>
      <c r="Q86" s="1290">
        <v>0.25695661680533088</v>
      </c>
    </row>
    <row r="87" spans="1:17" s="212" customFormat="1" ht="15.5" x14ac:dyDescent="0.35">
      <c r="A87" s="198">
        <v>2016</v>
      </c>
      <c r="B87" s="197" t="s">
        <v>5838</v>
      </c>
      <c r="C87" s="197">
        <v>1982</v>
      </c>
      <c r="D87" s="225" t="str">
        <f t="shared" si="0"/>
        <v>2016_1982</v>
      </c>
      <c r="E87" s="1287">
        <v>0.28255768820230759</v>
      </c>
      <c r="F87" s="1306">
        <v>2.0503992465661525</v>
      </c>
      <c r="G87" s="1303">
        <v>3.5589948656286747</v>
      </c>
      <c r="H87" s="1306">
        <v>3.4933792535820865</v>
      </c>
      <c r="I87" s="1303">
        <v>0.22095294393316886</v>
      </c>
      <c r="J87" s="1306">
        <v>1.7673985760970363E-2</v>
      </c>
      <c r="K87" s="1303">
        <v>2.5072135256243881E-3</v>
      </c>
      <c r="L87" s="1288">
        <v>2.0000010228030693E-3</v>
      </c>
      <c r="M87" s="1230">
        <v>2.0000010228030693E-3</v>
      </c>
      <c r="N87" s="1303">
        <v>1.5686444332009282E-2</v>
      </c>
      <c r="O87" s="1288">
        <v>1.6222548077261777E-2</v>
      </c>
      <c r="P87" s="1237">
        <v>8.1112740386308883E-3</v>
      </c>
      <c r="Q87" s="1290">
        <v>0.23094345559365884</v>
      </c>
    </row>
    <row r="88" spans="1:17" s="212" customFormat="1" ht="15.5" x14ac:dyDescent="0.35">
      <c r="A88" s="198">
        <v>2016</v>
      </c>
      <c r="B88" s="197" t="s">
        <v>5838</v>
      </c>
      <c r="C88" s="197">
        <v>1983</v>
      </c>
      <c r="D88" s="225" t="str">
        <f t="shared" si="0"/>
        <v>2016_1983</v>
      </c>
      <c r="E88" s="1287">
        <v>0.21958686946651385</v>
      </c>
      <c r="F88" s="1306">
        <v>1.7026442511849633</v>
      </c>
      <c r="G88" s="1303">
        <v>3.8694636295811882</v>
      </c>
      <c r="H88" s="1306">
        <v>3.2845037304789924</v>
      </c>
      <c r="I88" s="1303">
        <v>0.20077693433044413</v>
      </c>
      <c r="J88" s="1306">
        <v>1.7304078658028254E-2</v>
      </c>
      <c r="K88" s="1303">
        <v>2.647109970213766E-3</v>
      </c>
      <c r="L88" s="1288">
        <v>2.0000010204333958E-3</v>
      </c>
      <c r="M88" s="1230">
        <v>2.0000010204333958E-3</v>
      </c>
      <c r="N88" s="1303">
        <v>1.8977800028026539E-2</v>
      </c>
      <c r="O88" s="1288">
        <v>1.4506313132136807E-2</v>
      </c>
      <c r="P88" s="1237">
        <v>7.2531565660684033E-3</v>
      </c>
      <c r="Q88" s="1290">
        <v>0.20985517636641596</v>
      </c>
    </row>
    <row r="89" spans="1:17" s="212" customFormat="1" ht="15.5" x14ac:dyDescent="0.35">
      <c r="A89" s="198">
        <v>2016</v>
      </c>
      <c r="B89" s="197" t="s">
        <v>5838</v>
      </c>
      <c r="C89" s="197">
        <v>1984</v>
      </c>
      <c r="D89" s="225" t="str">
        <f t="shared" si="0"/>
        <v>2016_1984</v>
      </c>
      <c r="E89" s="1287">
        <v>0.25230756211483474</v>
      </c>
      <c r="F89" s="1306">
        <v>1.3325530125477134</v>
      </c>
      <c r="G89" s="1303">
        <v>4.3922963582310555</v>
      </c>
      <c r="H89" s="1306">
        <v>3.3813628260771145</v>
      </c>
      <c r="I89" s="1303">
        <v>0.1814406206837505</v>
      </c>
      <c r="J89" s="1306">
        <v>1.80459257926208E-2</v>
      </c>
      <c r="K89" s="1303">
        <v>2.8062140623354185E-3</v>
      </c>
      <c r="L89" s="1288">
        <v>2.0000010364030992E-3</v>
      </c>
      <c r="M89" s="1230">
        <v>2.0000010364030992E-3</v>
      </c>
      <c r="N89" s="1303">
        <v>2.2732793032313597E-2</v>
      </c>
      <c r="O89" s="1288">
        <v>1.4345721998274078E-2</v>
      </c>
      <c r="P89" s="1237">
        <v>7.1728609991370392E-3</v>
      </c>
      <c r="Q89" s="1290">
        <v>0.18964456042023944</v>
      </c>
    </row>
    <row r="90" spans="1:17" s="212" customFormat="1" ht="15.5" x14ac:dyDescent="0.35">
      <c r="A90" s="198">
        <v>2016</v>
      </c>
      <c r="B90" s="197" t="s">
        <v>5838</v>
      </c>
      <c r="C90" s="197">
        <v>1985</v>
      </c>
      <c r="D90" s="225" t="str">
        <f t="shared" si="0"/>
        <v>2016_1985</v>
      </c>
      <c r="E90" s="1287">
        <v>0.24434961503854216</v>
      </c>
      <c r="F90" s="1306">
        <v>1.2020787517492326</v>
      </c>
      <c r="G90" s="1303">
        <v>4.721981346910515</v>
      </c>
      <c r="H90" s="1306">
        <v>2.9132414454291315</v>
      </c>
      <c r="I90" s="1303">
        <v>0.17959736482668676</v>
      </c>
      <c r="J90" s="1306">
        <v>1.6481901948379746E-2</v>
      </c>
      <c r="K90" s="1303">
        <v>2.8983927098242745E-3</v>
      </c>
      <c r="L90" s="1288">
        <v>2.0000011115897135E-3</v>
      </c>
      <c r="M90" s="1230">
        <v>2.0000011115897135E-3</v>
      </c>
      <c r="N90" s="1303">
        <v>2.4906637683589215E-2</v>
      </c>
      <c r="O90" s="1288">
        <v>1.4481667627952397E-2</v>
      </c>
      <c r="P90" s="1237">
        <v>7.2408338139761984E-3</v>
      </c>
      <c r="Q90" s="1290">
        <v>0.1877179607126456</v>
      </c>
    </row>
    <row r="91" spans="1:17" s="212" customFormat="1" ht="15.5" x14ac:dyDescent="0.35">
      <c r="A91" s="198">
        <v>2016</v>
      </c>
      <c r="B91" s="197" t="s">
        <v>5838</v>
      </c>
      <c r="C91" s="197">
        <v>1986</v>
      </c>
      <c r="D91" s="225" t="str">
        <f t="shared" si="0"/>
        <v>2016_1986</v>
      </c>
      <c r="E91" s="1287">
        <v>0.24133467358790506</v>
      </c>
      <c r="F91" s="1306">
        <v>0.96740209246922748</v>
      </c>
      <c r="G91" s="1303">
        <v>4.8569269097422847</v>
      </c>
      <c r="H91" s="1306">
        <v>2.9590494510153946</v>
      </c>
      <c r="I91" s="1303">
        <v>0.17915745765538696</v>
      </c>
      <c r="J91" s="1306">
        <v>1.6639179107345234E-2</v>
      </c>
      <c r="K91" s="1303">
        <v>2.9396972466650914E-3</v>
      </c>
      <c r="L91" s="1288">
        <v>2.0000011119235875E-3</v>
      </c>
      <c r="M91" s="1230">
        <v>2.0000011119235875E-3</v>
      </c>
      <c r="N91" s="1303">
        <v>2.5880261329925422E-2</v>
      </c>
      <c r="O91" s="1288">
        <v>1.363779051097379E-2</v>
      </c>
      <c r="P91" s="1237">
        <v>6.8188952554868948E-3</v>
      </c>
      <c r="Q91" s="1290">
        <v>0.1872581628911196</v>
      </c>
    </row>
    <row r="92" spans="1:17" s="212" customFormat="1" ht="15.5" x14ac:dyDescent="0.35">
      <c r="A92" s="198">
        <v>2016</v>
      </c>
      <c r="B92" s="197" t="s">
        <v>5838</v>
      </c>
      <c r="C92" s="197">
        <v>1987</v>
      </c>
      <c r="D92" s="225" t="str">
        <f t="shared" si="0"/>
        <v>2016_1987</v>
      </c>
      <c r="E92" s="1287">
        <v>0.29562978364887832</v>
      </c>
      <c r="F92" s="1306">
        <v>1.0452062215415103</v>
      </c>
      <c r="G92" s="1303">
        <v>5.0628879318865279</v>
      </c>
      <c r="H92" s="1306">
        <v>2.8527935064154963</v>
      </c>
      <c r="I92" s="1303">
        <v>0.20066043197803193</v>
      </c>
      <c r="J92" s="1306">
        <v>1.6924706212494499E-2</v>
      </c>
      <c r="K92" s="1303">
        <v>2.9674149587338616E-3</v>
      </c>
      <c r="L92" s="1288">
        <v>2.0000012376556607E-3</v>
      </c>
      <c r="M92" s="1230">
        <v>2.0000012376556607E-3</v>
      </c>
      <c r="N92" s="1303">
        <v>2.6535524956877082E-2</v>
      </c>
      <c r="O92" s="1288">
        <v>1.2097407402800799E-2</v>
      </c>
      <c r="P92" s="1237">
        <v>6.0487037014003995E-3</v>
      </c>
      <c r="Q92" s="1290">
        <v>0.20973340629459863</v>
      </c>
    </row>
    <row r="93" spans="1:17" s="212" customFormat="1" ht="15.5" x14ac:dyDescent="0.35">
      <c r="A93" s="198">
        <v>2016</v>
      </c>
      <c r="B93" s="197" t="s">
        <v>5838</v>
      </c>
      <c r="C93" s="197">
        <v>1988</v>
      </c>
      <c r="D93" s="225" t="str">
        <f t="shared" si="0"/>
        <v>2016_1988</v>
      </c>
      <c r="E93" s="1287">
        <v>0.29248444243629268</v>
      </c>
      <c r="F93" s="1306">
        <v>0.49835094780443395</v>
      </c>
      <c r="G93" s="1303">
        <v>5.1394352612463772</v>
      </c>
      <c r="H93" s="1306">
        <v>1.7056574750277542</v>
      </c>
      <c r="I93" s="1303">
        <v>0.19874723140173001</v>
      </c>
      <c r="J93" s="1306">
        <v>1.626682458977018E-2</v>
      </c>
      <c r="K93" s="1303">
        <v>2.978746998933972E-3</v>
      </c>
      <c r="L93" s="1288">
        <v>2.0000012432094512E-3</v>
      </c>
      <c r="M93" s="1230">
        <v>2.0000012432094512E-3</v>
      </c>
      <c r="N93" s="1303">
        <v>2.6803996963262119E-2</v>
      </c>
      <c r="O93" s="1288">
        <v>1.2665317720224558E-2</v>
      </c>
      <c r="P93" s="1237">
        <v>6.3326588601122788E-3</v>
      </c>
      <c r="Q93" s="1290">
        <v>0.2077336992779388</v>
      </c>
    </row>
    <row r="94" spans="1:17" s="212" customFormat="1" ht="15.5" x14ac:dyDescent="0.35">
      <c r="A94" s="198">
        <v>2016</v>
      </c>
      <c r="B94" s="197" t="s">
        <v>5838</v>
      </c>
      <c r="C94" s="197">
        <v>1989</v>
      </c>
      <c r="D94" s="225" t="str">
        <f t="shared" si="0"/>
        <v>2016_1989</v>
      </c>
      <c r="E94" s="1287">
        <v>0.29381854585780459</v>
      </c>
      <c r="F94" s="1306">
        <v>0.43582447046992662</v>
      </c>
      <c r="G94" s="1303">
        <v>5.154391149891838</v>
      </c>
      <c r="H94" s="1306">
        <v>1.8683062779360777</v>
      </c>
      <c r="I94" s="1303">
        <v>0.19981011242397978</v>
      </c>
      <c r="J94" s="1306">
        <v>1.6089238414321971E-2</v>
      </c>
      <c r="K94" s="1303">
        <v>2.9857940515745857E-3</v>
      </c>
      <c r="L94" s="1288">
        <v>2.0000011808048311E-3</v>
      </c>
      <c r="M94" s="1230">
        <v>2.0000011808048311E-3</v>
      </c>
      <c r="N94" s="1303">
        <v>2.6964970827478139E-2</v>
      </c>
      <c r="O94" s="1288">
        <v>1.3840720044886465E-2</v>
      </c>
      <c r="P94" s="1237">
        <v>6.9203600224432326E-3</v>
      </c>
      <c r="Q94" s="1290">
        <v>0.20884463906354933</v>
      </c>
    </row>
    <row r="95" spans="1:17" s="212" customFormat="1" ht="15.5" x14ac:dyDescent="0.35">
      <c r="A95" s="198">
        <v>2016</v>
      </c>
      <c r="B95" s="197" t="s">
        <v>5838</v>
      </c>
      <c r="C95" s="197">
        <v>1990</v>
      </c>
      <c r="D95" s="225" t="str">
        <f t="shared" si="0"/>
        <v>2016_1990</v>
      </c>
      <c r="E95" s="1287">
        <v>0.29815576816575989</v>
      </c>
      <c r="F95" s="1306">
        <v>0.48335910417492617</v>
      </c>
      <c r="G95" s="1303">
        <v>5.0977889109841543</v>
      </c>
      <c r="H95" s="1306">
        <v>1.8579743275212095</v>
      </c>
      <c r="I95" s="1303">
        <v>0.20277103064898996</v>
      </c>
      <c r="J95" s="1306">
        <v>1.6353138254494807E-2</v>
      </c>
      <c r="K95" s="1303">
        <v>2.9864917014924908E-3</v>
      </c>
      <c r="L95" s="1288">
        <v>2.0000012132740125E-3</v>
      </c>
      <c r="M95" s="1230">
        <v>2.0000012132740125E-3</v>
      </c>
      <c r="N95" s="1303">
        <v>2.6982434871675239E-2</v>
      </c>
      <c r="O95" s="1288">
        <v>1.2690437561487973E-2</v>
      </c>
      <c r="P95" s="1237">
        <v>6.3452187807439865E-3</v>
      </c>
      <c r="Q95" s="1290">
        <v>0.2119394368718146</v>
      </c>
    </row>
    <row r="96" spans="1:17" s="212" customFormat="1" ht="15.5" x14ac:dyDescent="0.35">
      <c r="A96" s="198">
        <v>2016</v>
      </c>
      <c r="B96" s="197" t="s">
        <v>5838</v>
      </c>
      <c r="C96" s="197">
        <v>1991</v>
      </c>
      <c r="D96" s="225" t="str">
        <f t="shared" si="0"/>
        <v>2016_1991</v>
      </c>
      <c r="E96" s="1287">
        <v>0.38099845818740702</v>
      </c>
      <c r="F96" s="1306">
        <v>0.49591170313147892</v>
      </c>
      <c r="G96" s="1303">
        <v>8.976985728708442</v>
      </c>
      <c r="H96" s="1306">
        <v>2.2953968691906383</v>
      </c>
      <c r="I96" s="1303">
        <v>5.6647769447775824E-2</v>
      </c>
      <c r="J96" s="1306">
        <v>9.1903262248065245E-3</v>
      </c>
      <c r="K96" s="1303">
        <v>2.9835532468056986E-3</v>
      </c>
      <c r="L96" s="1288">
        <v>2.00000123222263E-3</v>
      </c>
      <c r="M96" s="1230">
        <v>2.00000123222263E-3</v>
      </c>
      <c r="N96" s="1303">
        <v>2.6912112760210157E-2</v>
      </c>
      <c r="O96" s="1288">
        <v>1.1405906647049284E-2</v>
      </c>
      <c r="P96" s="1237">
        <v>5.7029533235246422E-3</v>
      </c>
      <c r="Q96" s="1290">
        <v>5.920913021145028E-2</v>
      </c>
    </row>
    <row r="97" spans="1:17" s="212" customFormat="1" ht="15.5" x14ac:dyDescent="0.35">
      <c r="A97" s="198">
        <v>2016</v>
      </c>
      <c r="B97" s="197" t="s">
        <v>5838</v>
      </c>
      <c r="C97" s="197">
        <v>1992</v>
      </c>
      <c r="D97" s="225" t="str">
        <f t="shared" si="0"/>
        <v>2016_1992</v>
      </c>
      <c r="E97" s="1287">
        <v>0.38142767482377254</v>
      </c>
      <c r="F97" s="1306">
        <v>0.49584347642406756</v>
      </c>
      <c r="G97" s="1303">
        <v>8.8814922545798716</v>
      </c>
      <c r="H97" s="1306">
        <v>2.2193427404501849</v>
      </c>
      <c r="I97" s="1303">
        <v>5.8485109144974408E-2</v>
      </c>
      <c r="J97" s="1306">
        <v>9.3281918144000869E-3</v>
      </c>
      <c r="K97" s="1303">
        <v>2.9726082828084037E-3</v>
      </c>
      <c r="L97" s="1288">
        <v>2.0000012905742981E-3</v>
      </c>
      <c r="M97" s="1230">
        <v>2.0000012905742981E-3</v>
      </c>
      <c r="N97" s="1303">
        <v>2.665375647949586E-2</v>
      </c>
      <c r="O97" s="1288">
        <v>9.9905319534077577E-3</v>
      </c>
      <c r="P97" s="1237">
        <v>4.9952659767038788E-3</v>
      </c>
      <c r="Q97" s="1290">
        <v>6.1129546256681946E-2</v>
      </c>
    </row>
    <row r="98" spans="1:17" s="212" customFormat="1" ht="15.5" x14ac:dyDescent="0.35">
      <c r="A98" s="198">
        <v>2016</v>
      </c>
      <c r="B98" s="197" t="s">
        <v>5838</v>
      </c>
      <c r="C98" s="197">
        <v>1993</v>
      </c>
      <c r="D98" s="225" t="str">
        <f t="shared" si="0"/>
        <v>2016_1993</v>
      </c>
      <c r="E98" s="1287">
        <v>0.37450415669717968</v>
      </c>
      <c r="F98" s="1306">
        <v>0.49613595630627588</v>
      </c>
      <c r="G98" s="1303">
        <v>8.9387640424488541</v>
      </c>
      <c r="H98" s="1306">
        <v>2.1606552299835102</v>
      </c>
      <c r="I98" s="1303">
        <v>5.4014502891326019E-2</v>
      </c>
      <c r="J98" s="1306">
        <v>9.4578841347744292E-3</v>
      </c>
      <c r="K98" s="1303">
        <v>2.9769523991000804E-3</v>
      </c>
      <c r="L98" s="1288">
        <v>2.0000013013870654E-3</v>
      </c>
      <c r="M98" s="1230">
        <v>2.0000013013870654E-3</v>
      </c>
      <c r="N98" s="1303">
        <v>2.6755221970655645E-2</v>
      </c>
      <c r="O98" s="1288">
        <v>9.2662277236410569E-3</v>
      </c>
      <c r="P98" s="1237">
        <v>4.6331138618205285E-3</v>
      </c>
      <c r="Q98" s="1290">
        <v>5.6456799026264978E-2</v>
      </c>
    </row>
    <row r="99" spans="1:17" s="212" customFormat="1" ht="15.5" x14ac:dyDescent="0.35">
      <c r="A99" s="198">
        <v>2016</v>
      </c>
      <c r="B99" s="197" t="s">
        <v>5838</v>
      </c>
      <c r="C99" s="197">
        <v>1994</v>
      </c>
      <c r="D99" s="225" t="str">
        <f t="shared" si="0"/>
        <v>2016_1994</v>
      </c>
      <c r="E99" s="1287">
        <v>0.3670421459408359</v>
      </c>
      <c r="F99" s="1306">
        <v>0.49140628325894947</v>
      </c>
      <c r="G99" s="1303">
        <v>8.8759224084955477</v>
      </c>
      <c r="H99" s="1306">
        <v>2.0858316325127788</v>
      </c>
      <c r="I99" s="1303">
        <v>5.4013295819107243E-2</v>
      </c>
      <c r="J99" s="1306">
        <v>9.5769541927917569E-3</v>
      </c>
      <c r="K99" s="1303">
        <v>2.9646895819931706E-3</v>
      </c>
      <c r="L99" s="1288">
        <v>2.0000014203083983E-3</v>
      </c>
      <c r="M99" s="1230">
        <v>2.0000014203083983E-3</v>
      </c>
      <c r="N99" s="1303">
        <v>2.6464653347033826E-2</v>
      </c>
      <c r="O99" s="1288">
        <v>7.8939785686955553E-3</v>
      </c>
      <c r="P99" s="1237">
        <v>3.9469892843477777E-3</v>
      </c>
      <c r="Q99" s="1290">
        <v>5.6455537375596845E-2</v>
      </c>
    </row>
    <row r="100" spans="1:17" s="212" customFormat="1" ht="15.5" x14ac:dyDescent="0.35">
      <c r="A100" s="198">
        <v>2016</v>
      </c>
      <c r="B100" s="197" t="s">
        <v>5838</v>
      </c>
      <c r="C100" s="197">
        <v>1995</v>
      </c>
      <c r="D100" s="225" t="str">
        <f t="shared" si="0"/>
        <v>2016_1995</v>
      </c>
      <c r="E100" s="1287">
        <v>0.36263243775545462</v>
      </c>
      <c r="F100" s="1306">
        <v>0.36746899001112682</v>
      </c>
      <c r="G100" s="1303">
        <v>9.005043659870557</v>
      </c>
      <c r="H100" s="1306">
        <v>1.6379401329242163</v>
      </c>
      <c r="I100" s="1303">
        <v>5.3197736686114057E-2</v>
      </c>
      <c r="J100" s="1306">
        <v>8.8968785048338522E-3</v>
      </c>
      <c r="K100" s="1303">
        <v>2.9719289130803296E-3</v>
      </c>
      <c r="L100" s="1288">
        <v>2.0000013710701316E-3</v>
      </c>
      <c r="M100" s="1230">
        <v>2.0000013710701316E-3</v>
      </c>
      <c r="N100" s="1303">
        <v>2.6638150894437277E-2</v>
      </c>
      <c r="O100" s="1288">
        <v>8.7317558552270896E-3</v>
      </c>
      <c r="P100" s="1237">
        <v>4.3658779276135448E-3</v>
      </c>
      <c r="Q100" s="1290">
        <v>5.5603102277599736E-2</v>
      </c>
    </row>
    <row r="101" spans="1:17" s="212" customFormat="1" ht="15.5" x14ac:dyDescent="0.35">
      <c r="A101" s="198">
        <v>2016</v>
      </c>
      <c r="B101" s="197" t="s">
        <v>5838</v>
      </c>
      <c r="C101" s="197">
        <v>1996</v>
      </c>
      <c r="D101" s="225" t="str">
        <f t="shared" si="0"/>
        <v>2016_1996</v>
      </c>
      <c r="E101" s="1287">
        <v>0.36161143547802588</v>
      </c>
      <c r="F101" s="1306">
        <v>0.1322878371972723</v>
      </c>
      <c r="G101" s="1303">
        <v>8.9894856597399446</v>
      </c>
      <c r="H101" s="1306">
        <v>1.0232560401392454</v>
      </c>
      <c r="I101" s="1303">
        <v>5.3078757236887701E-2</v>
      </c>
      <c r="J101" s="1306">
        <v>2.708751277519671E-3</v>
      </c>
      <c r="K101" s="1303">
        <v>2.9743569861061837E-3</v>
      </c>
      <c r="L101" s="1288">
        <v>2.0000013515767533E-3</v>
      </c>
      <c r="M101" s="1230">
        <v>2.0000013515767533E-3</v>
      </c>
      <c r="N101" s="1303">
        <v>2.6694466268579135E-2</v>
      </c>
      <c r="O101" s="1288">
        <v>8.998591102598744E-3</v>
      </c>
      <c r="P101" s="1237">
        <v>4.499295551299372E-3</v>
      </c>
      <c r="Q101" s="1290">
        <v>5.5478743105642887E-2</v>
      </c>
    </row>
    <row r="102" spans="1:17" s="212" customFormat="1" ht="15.5" x14ac:dyDescent="0.35">
      <c r="A102" s="198">
        <v>2016</v>
      </c>
      <c r="B102" s="197" t="s">
        <v>5838</v>
      </c>
      <c r="C102" s="197">
        <v>1997</v>
      </c>
      <c r="D102" s="225" t="str">
        <f t="shared" si="0"/>
        <v>2016_1997</v>
      </c>
      <c r="E102" s="1287">
        <v>0.36018507748048989</v>
      </c>
      <c r="F102" s="1306">
        <v>0.13609448739894903</v>
      </c>
      <c r="G102" s="1303">
        <v>8.9885722354780757</v>
      </c>
      <c r="H102" s="1306">
        <v>1.0499491462193418</v>
      </c>
      <c r="I102" s="1303">
        <v>5.2870747336335164E-2</v>
      </c>
      <c r="J102" s="1306">
        <v>2.7263073870963635E-3</v>
      </c>
      <c r="K102" s="1303">
        <v>2.9788566974971072E-3</v>
      </c>
      <c r="L102" s="1288">
        <v>2.0000013764289309E-3</v>
      </c>
      <c r="M102" s="1230">
        <v>2.0000013764289309E-3</v>
      </c>
      <c r="N102" s="1303">
        <v>2.6800492487001934E-2</v>
      </c>
      <c r="O102" s="1288">
        <v>8.1708505794607662E-3</v>
      </c>
      <c r="P102" s="1237">
        <v>4.0854252897303831E-3</v>
      </c>
      <c r="Q102" s="1290">
        <v>5.5261327920417574E-2</v>
      </c>
    </row>
    <row r="103" spans="1:17" s="212" customFormat="1" ht="15.5" x14ac:dyDescent="0.35">
      <c r="A103" s="198">
        <v>2016</v>
      </c>
      <c r="B103" s="197" t="s">
        <v>5838</v>
      </c>
      <c r="C103" s="197">
        <v>1998</v>
      </c>
      <c r="D103" s="225" t="str">
        <f t="shared" si="0"/>
        <v>2016_1998</v>
      </c>
      <c r="E103" s="1287">
        <v>0.35343051884150467</v>
      </c>
      <c r="F103" s="1306">
        <v>0.13402705472147761</v>
      </c>
      <c r="G103" s="1303">
        <v>8.9611222671174087</v>
      </c>
      <c r="H103" s="1306">
        <v>1.0374867912002694</v>
      </c>
      <c r="I103" s="1303">
        <v>5.2235219100305846E-2</v>
      </c>
      <c r="J103" s="1306">
        <v>2.7679768317098608E-3</v>
      </c>
      <c r="K103" s="1303">
        <v>2.9750361871746385E-3</v>
      </c>
      <c r="L103" s="1288">
        <v>2.0000014860935035E-3</v>
      </c>
      <c r="M103" s="1230">
        <v>2.0000014860935035E-3</v>
      </c>
      <c r="N103" s="1303">
        <v>2.6710172239140424E-2</v>
      </c>
      <c r="O103" s="1288">
        <v>6.9785967530470424E-3</v>
      </c>
      <c r="P103" s="1237">
        <v>3.4892983765235212E-3</v>
      </c>
      <c r="Q103" s="1290">
        <v>5.4597063917669865E-2</v>
      </c>
    </row>
    <row r="104" spans="1:17" s="212" customFormat="1" ht="15.5" x14ac:dyDescent="0.35">
      <c r="A104" s="198">
        <v>2016</v>
      </c>
      <c r="B104" s="197" t="s">
        <v>5838</v>
      </c>
      <c r="C104" s="197">
        <v>1999</v>
      </c>
      <c r="D104" s="225" t="str">
        <f t="shared" si="0"/>
        <v>2016_1999</v>
      </c>
      <c r="E104" s="1287">
        <v>0.35236420040546873</v>
      </c>
      <c r="F104" s="1306">
        <v>0.12557756201616924</v>
      </c>
      <c r="G104" s="1303">
        <v>9.0865355424286172</v>
      </c>
      <c r="H104" s="1306">
        <v>0.98322277815748527</v>
      </c>
      <c r="I104" s="1303">
        <v>5.1651784305416962E-2</v>
      </c>
      <c r="J104" s="1306">
        <v>2.7795499151684962E-3</v>
      </c>
      <c r="K104" s="1303">
        <v>2.9924713566563178E-3</v>
      </c>
      <c r="L104" s="1288">
        <v>2.0000015034711276E-3</v>
      </c>
      <c r="M104" s="1230">
        <v>2.0000015034711276E-3</v>
      </c>
      <c r="N104" s="1303">
        <v>2.7122069294710862E-2</v>
      </c>
      <c r="O104" s="1288">
        <v>7.1045593859382855E-3</v>
      </c>
      <c r="P104" s="1237">
        <v>3.5522796929691428E-3</v>
      </c>
      <c r="Q104" s="1290">
        <v>5.3987248790309646E-2</v>
      </c>
    </row>
    <row r="105" spans="1:17" s="212" customFormat="1" ht="15.5" x14ac:dyDescent="0.35">
      <c r="A105" s="198">
        <v>2016</v>
      </c>
      <c r="B105" s="197" t="s">
        <v>5838</v>
      </c>
      <c r="C105" s="197">
        <v>2000</v>
      </c>
      <c r="D105" s="225" t="str">
        <f t="shared" si="0"/>
        <v>2016_2000</v>
      </c>
      <c r="E105" s="1287">
        <v>0.34511369352413968</v>
      </c>
      <c r="F105" s="1306">
        <v>0.11633091990195815</v>
      </c>
      <c r="G105" s="1303">
        <v>9.1429480932757237</v>
      </c>
      <c r="H105" s="1306">
        <v>0.91775407405650167</v>
      </c>
      <c r="I105" s="1303">
        <v>5.0685891136381798E-2</v>
      </c>
      <c r="J105" s="1306">
        <v>2.784135472409085E-3</v>
      </c>
      <c r="K105" s="1303">
        <v>2.9972875271876294E-3</v>
      </c>
      <c r="L105" s="1288">
        <v>2.0000015744874346E-3</v>
      </c>
      <c r="M105" s="1230">
        <v>2.0000015744874346E-3</v>
      </c>
      <c r="N105" s="1303">
        <v>2.7235515853158154E-2</v>
      </c>
      <c r="O105" s="1288">
        <v>7.2661731835086665E-3</v>
      </c>
      <c r="P105" s="1237">
        <v>3.6330865917543332E-3</v>
      </c>
      <c r="Q105" s="1290">
        <v>5.297768221825816E-2</v>
      </c>
    </row>
    <row r="106" spans="1:17" s="212" customFormat="1" ht="15.5" x14ac:dyDescent="0.35">
      <c r="A106" s="198">
        <v>2016</v>
      </c>
      <c r="B106" s="197" t="s">
        <v>5838</v>
      </c>
      <c r="C106" s="197">
        <v>2001</v>
      </c>
      <c r="D106" s="225" t="str">
        <f t="shared" si="0"/>
        <v>2016_2001</v>
      </c>
      <c r="E106" s="1287">
        <v>0.33773438988913279</v>
      </c>
      <c r="F106" s="1306">
        <v>0.1076648115484979</v>
      </c>
      <c r="G106" s="1303">
        <v>9.0465013539618528</v>
      </c>
      <c r="H106" s="1306">
        <v>0.84428808959236401</v>
      </c>
      <c r="I106" s="1303">
        <v>5.0173055855282936E-2</v>
      </c>
      <c r="J106" s="1306">
        <v>2.8060837888892465E-3</v>
      </c>
      <c r="K106" s="1303">
        <v>2.9909101476253293E-3</v>
      </c>
      <c r="L106" s="1288">
        <v>2.000001557817814E-3</v>
      </c>
      <c r="M106" s="1230">
        <v>2.000001557817814E-3</v>
      </c>
      <c r="N106" s="1303">
        <v>2.7084242889726242E-2</v>
      </c>
      <c r="O106" s="1288">
        <v>6.7035012366331199E-3</v>
      </c>
      <c r="P106" s="1237">
        <v>3.35175061831656E-3</v>
      </c>
      <c r="Q106" s="1290">
        <v>5.2441658801420911E-2</v>
      </c>
    </row>
    <row r="107" spans="1:17" s="212" customFormat="1" ht="15.5" x14ac:dyDescent="0.35">
      <c r="A107" s="198">
        <v>2016</v>
      </c>
      <c r="B107" s="197" t="s">
        <v>5838</v>
      </c>
      <c r="C107" s="197">
        <v>2002</v>
      </c>
      <c r="D107" s="225" t="str">
        <f t="shared" si="0"/>
        <v>2016_2002</v>
      </c>
      <c r="E107" s="1287">
        <v>0.26361009676529856</v>
      </c>
      <c r="F107" s="1306">
        <v>0.10477935149555884</v>
      </c>
      <c r="G107" s="1303">
        <v>7.0325328528976669</v>
      </c>
      <c r="H107" s="1306">
        <v>0.79675781968201309</v>
      </c>
      <c r="I107" s="1303">
        <v>5.1117142566792305E-2</v>
      </c>
      <c r="J107" s="1306">
        <v>2.8343633726728074E-3</v>
      </c>
      <c r="K107" s="1303">
        <v>2.9958584508934841E-3</v>
      </c>
      <c r="L107" s="1288">
        <v>2.0000016966300583E-3</v>
      </c>
      <c r="M107" s="1230">
        <v>2.0000016966300583E-3</v>
      </c>
      <c r="N107" s="1303">
        <v>2.7201397532859713E-2</v>
      </c>
      <c r="O107" s="1288">
        <v>5.9840125783327388E-3</v>
      </c>
      <c r="P107" s="1237">
        <v>2.9920062891663694E-3</v>
      </c>
      <c r="Q107" s="1290">
        <v>5.3428432924701945E-2</v>
      </c>
    </row>
    <row r="108" spans="1:17" s="212" customFormat="1" ht="15.5" x14ac:dyDescent="0.35">
      <c r="A108" s="198">
        <v>2016</v>
      </c>
      <c r="B108" s="197" t="s">
        <v>5838</v>
      </c>
      <c r="C108" s="197">
        <v>2003</v>
      </c>
      <c r="D108" s="225" t="str">
        <f t="shared" si="0"/>
        <v>2016_2003</v>
      </c>
      <c r="E108" s="1287">
        <v>0.25608170847644413</v>
      </c>
      <c r="F108" s="1306">
        <v>8.3869708622519162E-2</v>
      </c>
      <c r="G108" s="1303">
        <v>7.0185646401901565</v>
      </c>
      <c r="H108" s="1306">
        <v>0.60582190984418116</v>
      </c>
      <c r="I108" s="1303">
        <v>5.0238013805196269E-2</v>
      </c>
      <c r="J108" s="1306">
        <v>2.819827648519571E-3</v>
      </c>
      <c r="K108" s="1303">
        <v>2.9909355146284528E-3</v>
      </c>
      <c r="L108" s="1288">
        <v>2.0000016755606881E-3</v>
      </c>
      <c r="M108" s="1230">
        <v>2.0000016755606881E-3</v>
      </c>
      <c r="N108" s="1303">
        <v>2.7083961804813355E-2</v>
      </c>
      <c r="O108" s="1288">
        <v>6.3791863101060192E-3</v>
      </c>
      <c r="P108" s="1237">
        <v>3.1895931550530096E-3</v>
      </c>
      <c r="Q108" s="1290">
        <v>5.2509553861582625E-2</v>
      </c>
    </row>
    <row r="109" spans="1:17" s="212" customFormat="1" ht="15.5" x14ac:dyDescent="0.35">
      <c r="A109" s="198">
        <v>2016</v>
      </c>
      <c r="B109" s="197" t="s">
        <v>5838</v>
      </c>
      <c r="C109" s="197">
        <v>2004</v>
      </c>
      <c r="D109" s="225" t="str">
        <f t="shared" si="0"/>
        <v>2016_2004</v>
      </c>
      <c r="E109" s="1287">
        <v>0.51484435985587529</v>
      </c>
      <c r="F109" s="1306">
        <v>1.6900026094301735E-2</v>
      </c>
      <c r="G109" s="1303">
        <v>4.1314571840550913</v>
      </c>
      <c r="H109" s="1306">
        <v>0.1042141989777982</v>
      </c>
      <c r="I109" s="1303">
        <v>0.14100769349035355</v>
      </c>
      <c r="J109" s="1306">
        <v>1.8872411453975589E-4</v>
      </c>
      <c r="K109" s="1303">
        <v>2.9874933404200207E-3</v>
      </c>
      <c r="L109" s="1288">
        <v>2.0000017594025616E-3</v>
      </c>
      <c r="M109" s="1230">
        <v>2.0000017594025616E-3</v>
      </c>
      <c r="N109" s="1303">
        <v>2.7001599836608766E-2</v>
      </c>
      <c r="O109" s="1288">
        <v>5.866512905248358E-3</v>
      </c>
      <c r="P109" s="1237">
        <v>2.933256452624179E-3</v>
      </c>
      <c r="Q109" s="1290">
        <v>0.14738343567761494</v>
      </c>
    </row>
    <row r="110" spans="1:17" s="212" customFormat="1" ht="15.5" x14ac:dyDescent="0.35">
      <c r="A110" s="198">
        <v>2016</v>
      </c>
      <c r="B110" s="197" t="s">
        <v>5838</v>
      </c>
      <c r="C110" s="197">
        <v>2005</v>
      </c>
      <c r="D110" s="225" t="str">
        <f t="shared" si="0"/>
        <v>2016_2005</v>
      </c>
      <c r="E110" s="1287">
        <v>0.49171420433978835</v>
      </c>
      <c r="F110" s="1306">
        <v>1.4897336751636217E-2</v>
      </c>
      <c r="G110" s="1303">
        <v>4.0752485986555795</v>
      </c>
      <c r="H110" s="1306">
        <v>8.6025772318808563E-2</v>
      </c>
      <c r="I110" s="1303">
        <v>0.13661561286674473</v>
      </c>
      <c r="J110" s="1306">
        <v>1.8930493757941596E-4</v>
      </c>
      <c r="K110" s="1303">
        <v>2.9769465890877242E-3</v>
      </c>
      <c r="L110" s="1288">
        <v>2.000001805550944E-3</v>
      </c>
      <c r="M110" s="1230">
        <v>2.000001805550944E-3</v>
      </c>
      <c r="N110" s="1303">
        <v>2.6749124566439096E-2</v>
      </c>
      <c r="O110" s="1288">
        <v>5.0984073399716256E-3</v>
      </c>
      <c r="P110" s="1237">
        <v>2.5492036699858128E-3</v>
      </c>
      <c r="Q110" s="1290">
        <v>0.14279276465777577</v>
      </c>
    </row>
    <row r="111" spans="1:17" s="212" customFormat="1" ht="15.5" x14ac:dyDescent="0.35">
      <c r="A111" s="198">
        <v>2016</v>
      </c>
      <c r="B111" s="197" t="s">
        <v>5838</v>
      </c>
      <c r="C111" s="197">
        <v>2006</v>
      </c>
      <c r="D111" s="225" t="str">
        <f t="shared" si="0"/>
        <v>2016_2006</v>
      </c>
      <c r="E111" s="1287">
        <v>0.47688988930484238</v>
      </c>
      <c r="F111" s="1306">
        <v>5.6533924597835291E-3</v>
      </c>
      <c r="G111" s="1303">
        <v>4.0598676153479829</v>
      </c>
      <c r="H111" s="1306">
        <v>4.5149438339298402E-2</v>
      </c>
      <c r="I111" s="1303">
        <v>0.13412289748959624</v>
      </c>
      <c r="J111" s="1306">
        <v>1.8653409381319368E-4</v>
      </c>
      <c r="K111" s="1303">
        <v>2.9748272806560854E-3</v>
      </c>
      <c r="L111" s="1288">
        <v>2.0000017746316951E-3</v>
      </c>
      <c r="M111" s="1230">
        <v>2.0000017746316951E-3</v>
      </c>
      <c r="N111" s="1303">
        <v>2.6696167538318966E-2</v>
      </c>
      <c r="O111" s="1288">
        <v>7.1109344877747765E-3</v>
      </c>
      <c r="P111" s="1237">
        <v>3.5554672438873882E-3</v>
      </c>
      <c r="Q111" s="1290">
        <v>0.140187339752533</v>
      </c>
    </row>
    <row r="112" spans="1:17" s="212" customFormat="1" ht="15.5" x14ac:dyDescent="0.35">
      <c r="A112" s="198">
        <v>2016</v>
      </c>
      <c r="B112" s="197" t="s">
        <v>5838</v>
      </c>
      <c r="C112" s="197">
        <v>2007</v>
      </c>
      <c r="D112" s="225" t="str">
        <f t="shared" si="0"/>
        <v>2016_2007</v>
      </c>
      <c r="E112" s="1287">
        <v>0.2556685417792563</v>
      </c>
      <c r="F112" s="1306">
        <v>7.679772100907107E-3</v>
      </c>
      <c r="G112" s="1303">
        <v>2.2072050249492743</v>
      </c>
      <c r="H112" s="1306">
        <v>4.2879260811366032E-2</v>
      </c>
      <c r="I112" s="1303">
        <v>7.0314053657745165E-2</v>
      </c>
      <c r="J112" s="1306">
        <v>1.8904898368223157E-4</v>
      </c>
      <c r="K112" s="1303">
        <v>2.9433480664170847E-3</v>
      </c>
      <c r="L112" s="1288">
        <v>2.0000017955427453E-3</v>
      </c>
      <c r="M112" s="1230">
        <v>2.0000017955427453E-3</v>
      </c>
      <c r="N112" s="1303">
        <v>2.5937126668091073E-2</v>
      </c>
      <c r="O112" s="1288">
        <v>5.1511313633171556E-3</v>
      </c>
      <c r="P112" s="1237">
        <v>2.5755656816585778E-3</v>
      </c>
      <c r="Q112" s="1290">
        <v>7.3493343150156321E-2</v>
      </c>
    </row>
    <row r="113" spans="1:17" s="212" customFormat="1" ht="15.5" x14ac:dyDescent="0.35">
      <c r="A113" s="198">
        <v>2016</v>
      </c>
      <c r="B113" s="197" t="s">
        <v>5838</v>
      </c>
      <c r="C113" s="197">
        <v>2008</v>
      </c>
      <c r="D113" s="225" t="str">
        <f t="shared" si="0"/>
        <v>2016_2008</v>
      </c>
      <c r="E113" s="1287">
        <v>0.25176774368289478</v>
      </c>
      <c r="F113" s="1306">
        <v>7.3103255873984618E-3</v>
      </c>
      <c r="G113" s="1303">
        <v>2.2285558712743789</v>
      </c>
      <c r="H113" s="1306">
        <v>3.5452944885815386E-2</v>
      </c>
      <c r="I113" s="1303">
        <v>6.9772595246681127E-2</v>
      </c>
      <c r="J113" s="1306">
        <v>2.1416140561021543E-4</v>
      </c>
      <c r="K113" s="1303">
        <v>2.9585158353284216E-3</v>
      </c>
      <c r="L113" s="1288">
        <v>2.0000019329058545E-3</v>
      </c>
      <c r="M113" s="1230">
        <v>2.0000019329058545E-3</v>
      </c>
      <c r="N113" s="1303">
        <v>2.6300348856844541E-2</v>
      </c>
      <c r="O113" s="1288">
        <v>5.2420682282184787E-3</v>
      </c>
      <c r="P113" s="1237">
        <v>2.6210341141092394E-3</v>
      </c>
      <c r="Q113" s="1290">
        <v>7.2927402392430118E-2</v>
      </c>
    </row>
    <row r="114" spans="1:17" s="212" customFormat="1" ht="15.5" x14ac:dyDescent="0.35">
      <c r="A114" s="198">
        <v>2016</v>
      </c>
      <c r="B114" s="197" t="s">
        <v>5838</v>
      </c>
      <c r="C114" s="197">
        <v>2009</v>
      </c>
      <c r="D114" s="225" t="str">
        <f t="shared" si="0"/>
        <v>2016_2009</v>
      </c>
      <c r="E114" s="1287">
        <v>0.21225455681287964</v>
      </c>
      <c r="F114" s="1306">
        <v>7.0050042482566032E-3</v>
      </c>
      <c r="G114" s="1303">
        <v>1.8975783990296531</v>
      </c>
      <c r="H114" s="1306">
        <v>2.8167785811395368E-2</v>
      </c>
      <c r="I114" s="1303">
        <v>5.9241700265574126E-2</v>
      </c>
      <c r="J114" s="1306">
        <v>2.3992497588888752E-4</v>
      </c>
      <c r="K114" s="1303">
        <v>2.8116329558412292E-3</v>
      </c>
      <c r="L114" s="1288">
        <v>2.0000018935600419E-3</v>
      </c>
      <c r="M114" s="1230">
        <v>2.0000018935600419E-3</v>
      </c>
      <c r="N114" s="1303">
        <v>2.276592949455692E-2</v>
      </c>
      <c r="O114" s="1288">
        <v>4.7289682024378469E-3</v>
      </c>
      <c r="P114" s="1237">
        <v>2.3644841012189235E-3</v>
      </c>
      <c r="Q114" s="1290">
        <v>6.1920347070431855E-2</v>
      </c>
    </row>
    <row r="115" spans="1:17" s="212" customFormat="1" ht="15.5" x14ac:dyDescent="0.35">
      <c r="A115" s="198">
        <v>2016</v>
      </c>
      <c r="B115" s="197" t="s">
        <v>5838</v>
      </c>
      <c r="C115" s="197">
        <v>2010</v>
      </c>
      <c r="D115" s="225" t="str">
        <f t="shared" si="0"/>
        <v>2016_2010</v>
      </c>
      <c r="E115" s="1287">
        <v>4.9045728543133736E-2</v>
      </c>
      <c r="F115" s="1306">
        <v>6.1348385957372799E-3</v>
      </c>
      <c r="G115" s="1303">
        <v>0.35784181177128616</v>
      </c>
      <c r="H115" s="1306">
        <v>2.5017053349120726E-2</v>
      </c>
      <c r="I115" s="1303">
        <v>9.5108275043094305E-3</v>
      </c>
      <c r="J115" s="1306">
        <v>2.9620048245053557E-4</v>
      </c>
      <c r="K115" s="1303">
        <v>2.6863993285915788E-3</v>
      </c>
      <c r="L115" s="1288">
        <v>2.0000021006900512E-3</v>
      </c>
      <c r="M115" s="1230">
        <v>2.0000021006900512E-3</v>
      </c>
      <c r="N115" s="1303">
        <v>1.973255346936708E-2</v>
      </c>
      <c r="O115" s="1288">
        <v>4.1586713517659871E-3</v>
      </c>
      <c r="P115" s="1237">
        <v>2.0793356758829935E-3</v>
      </c>
      <c r="Q115" s="1290">
        <v>9.9408649203822867E-3</v>
      </c>
    </row>
    <row r="116" spans="1:17" s="212" customFormat="1" ht="15.5" x14ac:dyDescent="0.35">
      <c r="A116" s="198">
        <v>2016</v>
      </c>
      <c r="B116" s="197" t="s">
        <v>5838</v>
      </c>
      <c r="C116" s="197">
        <v>2011</v>
      </c>
      <c r="D116" s="225" t="str">
        <f t="shared" si="0"/>
        <v>2016_2011</v>
      </c>
      <c r="E116" s="1287">
        <v>4.856518214977372E-2</v>
      </c>
      <c r="F116" s="1306">
        <v>6.0973015274509608E-3</v>
      </c>
      <c r="G116" s="1303">
        <v>0.34985228375738403</v>
      </c>
      <c r="H116" s="1306">
        <v>2.4034496453872647E-2</v>
      </c>
      <c r="I116" s="1303">
        <v>8.8112841828052544E-3</v>
      </c>
      <c r="J116" s="1306">
        <v>4.0039255576001029E-4</v>
      </c>
      <c r="K116" s="1303">
        <v>2.706130025435976E-3</v>
      </c>
      <c r="L116" s="1288">
        <v>2.0000020250739879E-3</v>
      </c>
      <c r="M116" s="1230">
        <v>2.0000020250739879E-3</v>
      </c>
      <c r="N116" s="1303">
        <v>2.0178628839845759E-2</v>
      </c>
      <c r="O116" s="1288">
        <v>4.2381622657164161E-3</v>
      </c>
      <c r="P116" s="1237">
        <v>2.119081132858208E-3</v>
      </c>
      <c r="Q116" s="1290">
        <v>9.2096913540572183E-3</v>
      </c>
    </row>
    <row r="117" spans="1:17" s="212" customFormat="1" ht="15.5" x14ac:dyDescent="0.35">
      <c r="A117" s="198">
        <v>2016</v>
      </c>
      <c r="B117" s="197" t="s">
        <v>5838</v>
      </c>
      <c r="C117" s="197">
        <v>2012</v>
      </c>
      <c r="D117" s="225" t="str">
        <f t="shared" si="0"/>
        <v>2016_2012</v>
      </c>
      <c r="E117" s="1287">
        <v>4.0112534453419071E-2</v>
      </c>
      <c r="F117" s="1306">
        <v>5.5931460377821604E-3</v>
      </c>
      <c r="G117" s="1303">
        <v>0.27154252597825007</v>
      </c>
      <c r="H117" s="1306">
        <v>2.2068556900836863E-2</v>
      </c>
      <c r="I117" s="1303">
        <v>7.0802940462825819E-3</v>
      </c>
      <c r="J117" s="1306">
        <v>5.8107804458542439E-4</v>
      </c>
      <c r="K117" s="1303">
        <v>2.5640458608977672E-3</v>
      </c>
      <c r="L117" s="1288">
        <v>2.0000019671697648E-3</v>
      </c>
      <c r="M117" s="1230">
        <v>2.0000019671697648E-3</v>
      </c>
      <c r="N117" s="1303">
        <v>1.6678025854159371E-2</v>
      </c>
      <c r="O117" s="1288">
        <v>4.4787700262435533E-3</v>
      </c>
      <c r="P117" s="1237">
        <v>2.2393850131217767E-3</v>
      </c>
      <c r="Q117" s="1290">
        <v>7.4004335247159587E-3</v>
      </c>
    </row>
    <row r="118" spans="1:17" s="212" customFormat="1" ht="15.5" x14ac:dyDescent="0.35">
      <c r="A118" s="198">
        <v>2016</v>
      </c>
      <c r="B118" s="197" t="s">
        <v>5838</v>
      </c>
      <c r="C118" s="197">
        <v>2013</v>
      </c>
      <c r="D118" s="225" t="str">
        <f t="shared" si="0"/>
        <v>2016_2013</v>
      </c>
      <c r="E118" s="1287">
        <v>4.8038045529462163E-2</v>
      </c>
      <c r="F118" s="1306">
        <v>6.0870029152983252E-3</v>
      </c>
      <c r="G118" s="1303">
        <v>0.32992689413793413</v>
      </c>
      <c r="H118" s="1306">
        <v>2.1562767545673833E-2</v>
      </c>
      <c r="I118" s="1303">
        <v>7.2712853015471741E-3</v>
      </c>
      <c r="J118" s="1306">
        <v>8.6933604110476896E-4</v>
      </c>
      <c r="K118" s="1303">
        <v>2.7422153241620758E-3</v>
      </c>
      <c r="L118" s="1288">
        <v>2.0000020522874008E-3</v>
      </c>
      <c r="M118" s="1230">
        <v>2.0000020522874008E-3</v>
      </c>
      <c r="N118" s="1303">
        <v>2.102406154706123E-2</v>
      </c>
      <c r="O118" s="1288">
        <v>4.6668395890271733E-3</v>
      </c>
      <c r="P118" s="1237">
        <v>2.3334197945135866E-3</v>
      </c>
      <c r="Q118" s="1290">
        <v>7.6000605570324901E-3</v>
      </c>
    </row>
    <row r="119" spans="1:17" s="212" customFormat="1" ht="15.5" x14ac:dyDescent="0.35">
      <c r="A119" s="198">
        <v>2016</v>
      </c>
      <c r="B119" s="197" t="s">
        <v>5838</v>
      </c>
      <c r="C119" s="197">
        <v>2014</v>
      </c>
      <c r="D119" s="225" t="str">
        <f t="shared" si="0"/>
        <v>2016_2014</v>
      </c>
      <c r="E119" s="1287">
        <v>4.0473715233220998E-2</v>
      </c>
      <c r="F119" s="1306">
        <v>6.0174888640777552E-3</v>
      </c>
      <c r="G119" s="1303">
        <v>0.26257033410309821</v>
      </c>
      <c r="H119" s="1306">
        <v>2.0061549109438855E-2</v>
      </c>
      <c r="I119" s="1303">
        <v>5.753245264854016E-3</v>
      </c>
      <c r="J119" s="1306">
        <v>1.2257336632551176E-3</v>
      </c>
      <c r="K119" s="1303">
        <v>2.6184625754603606E-3</v>
      </c>
      <c r="L119" s="1288">
        <v>2.0000019440276624E-3</v>
      </c>
      <c r="M119" s="1230">
        <v>2.0000019440276624E-3</v>
      </c>
      <c r="N119" s="1303">
        <v>1.7964993563803332E-2</v>
      </c>
      <c r="O119" s="1288">
        <v>3.6876045247537011E-3</v>
      </c>
      <c r="P119" s="1237">
        <v>1.8438022623768506E-3</v>
      </c>
      <c r="Q119" s="1290">
        <v>6.0133814860829577E-3</v>
      </c>
    </row>
    <row r="120" spans="1:17" s="212" customFormat="1" ht="15.5" x14ac:dyDescent="0.35">
      <c r="A120" s="198">
        <v>2016</v>
      </c>
      <c r="B120" s="197" t="s">
        <v>5838</v>
      </c>
      <c r="C120" s="197">
        <v>2015</v>
      </c>
      <c r="D120" s="225" t="str">
        <f t="shared" si="0"/>
        <v>2016_2015</v>
      </c>
      <c r="E120" s="1287">
        <v>3.7709932745457191E-2</v>
      </c>
      <c r="F120" s="1306">
        <v>5.8007498620983007E-3</v>
      </c>
      <c r="G120" s="1303">
        <v>0.23667954442215147</v>
      </c>
      <c r="H120" s="1306">
        <v>1.8566344917830976E-2</v>
      </c>
      <c r="I120" s="1303">
        <v>4.7581022054687845E-3</v>
      </c>
      <c r="J120" s="1306">
        <v>1.5189861810003683E-3</v>
      </c>
      <c r="K120" s="1303">
        <v>2.5981182932237877E-3</v>
      </c>
      <c r="L120" s="1288">
        <v>2.0000019461811173E-3</v>
      </c>
      <c r="M120" s="1230">
        <v>2.0000019461811173E-3</v>
      </c>
      <c r="N120" s="1303">
        <v>1.7415669710430823E-2</v>
      </c>
      <c r="O120" s="1288">
        <v>4.6379622548446669E-3</v>
      </c>
      <c r="P120" s="1237">
        <v>2.3189811274223334E-3</v>
      </c>
      <c r="Q120" s="1290">
        <v>4.9732424734342442E-3</v>
      </c>
    </row>
    <row r="121" spans="1:17" s="212" customFormat="1" ht="15.5" x14ac:dyDescent="0.35">
      <c r="A121" s="198">
        <v>2016</v>
      </c>
      <c r="B121" s="197" t="s">
        <v>5838</v>
      </c>
      <c r="C121" s="197">
        <v>2016</v>
      </c>
      <c r="D121" s="225" t="str">
        <f t="shared" si="0"/>
        <v>2016_2016</v>
      </c>
      <c r="E121" s="1287">
        <v>4.4518781102288692E-2</v>
      </c>
      <c r="F121" s="1306">
        <v>5.5961085690439585E-3</v>
      </c>
      <c r="G121" s="1303">
        <v>0.24510087526391144</v>
      </c>
      <c r="H121" s="1306">
        <v>1.7135804655757675E-2</v>
      </c>
      <c r="I121" s="1303">
        <v>4.2333023827138888E-3</v>
      </c>
      <c r="J121" s="1306">
        <v>1.7390855304333006E-3</v>
      </c>
      <c r="K121" s="1303">
        <v>2.7756197819755863E-3</v>
      </c>
      <c r="L121" s="1288">
        <v>2.0000018686833153E-3</v>
      </c>
      <c r="M121" s="1230">
        <v>2.0000018686833153E-3</v>
      </c>
      <c r="N121" s="1303">
        <v>2.1763919292115654E-2</v>
      </c>
      <c r="O121" s="1288">
        <v>5.5156626514049753E-3</v>
      </c>
      <c r="P121" s="1237">
        <v>2.7578313257024876E-3</v>
      </c>
      <c r="Q121" s="1290">
        <v>4.4247135314591018E-3</v>
      </c>
    </row>
    <row r="122" spans="1:17" s="212" customFormat="1" ht="15.5" x14ac:dyDescent="0.35">
      <c r="A122" s="198">
        <v>2016</v>
      </c>
      <c r="B122" s="197" t="s">
        <v>5838</v>
      </c>
      <c r="C122" s="197">
        <v>2017</v>
      </c>
      <c r="D122" s="225" t="str">
        <f t="shared" si="0"/>
        <v>2016_2017</v>
      </c>
      <c r="E122" s="1291">
        <v>4.4518781102288692E-2</v>
      </c>
      <c r="F122" s="1280">
        <v>5.5961085690439585E-3</v>
      </c>
      <c r="G122" s="1271">
        <v>0.24510087526391144</v>
      </c>
      <c r="H122" s="1280">
        <v>1.7135804655757675E-2</v>
      </c>
      <c r="I122" s="1271">
        <v>4.2333023827138888E-3</v>
      </c>
      <c r="J122" s="1280">
        <v>1.7390855304333006E-3</v>
      </c>
      <c r="K122" s="1271">
        <v>2.7756197819755863E-3</v>
      </c>
      <c r="L122" s="1257">
        <v>2.0000018686833153E-3</v>
      </c>
      <c r="M122" s="1230">
        <v>2.0000018686833153E-3</v>
      </c>
      <c r="N122" s="1271">
        <v>2.1763919292115654E-2</v>
      </c>
      <c r="O122" s="1257">
        <v>5.5156626514049753E-3</v>
      </c>
      <c r="P122" s="1237">
        <v>2.7578313257024876E-3</v>
      </c>
      <c r="Q122" s="1292">
        <v>4.4247135314591018E-3</v>
      </c>
    </row>
    <row r="123" spans="1:17" s="212" customFormat="1" ht="15.5" x14ac:dyDescent="0.35">
      <c r="A123" s="198">
        <v>2017</v>
      </c>
      <c r="B123" s="197" t="s">
        <v>5838</v>
      </c>
      <c r="C123" s="197">
        <v>1971</v>
      </c>
      <c r="D123" s="225" t="str">
        <f t="shared" si="0"/>
        <v>2017_1971</v>
      </c>
      <c r="E123" s="1291">
        <v>0.48353922952788225</v>
      </c>
      <c r="F123" s="1280">
        <v>5.24798269085949</v>
      </c>
      <c r="G123" s="1271">
        <v>3.9772876173832965</v>
      </c>
      <c r="H123" s="1280">
        <v>3.8253602650576055</v>
      </c>
      <c r="I123" s="1271">
        <v>0.34737029774753492</v>
      </c>
      <c r="J123" s="1280">
        <v>5.2730860696675395E-2</v>
      </c>
      <c r="K123" s="1271">
        <v>2.5970590427518534E-3</v>
      </c>
      <c r="L123" s="1257">
        <v>2.0000012733985988E-3</v>
      </c>
      <c r="M123" s="1230">
        <v>2.0000012733985988E-3</v>
      </c>
      <c r="N123" s="1271">
        <v>1.7755718045625184E-2</v>
      </c>
      <c r="O123" s="1257">
        <v>1.2864829248368433E-2</v>
      </c>
      <c r="P123" s="1237">
        <v>6.4324146241842165E-3</v>
      </c>
      <c r="Q123" s="1292">
        <v>0.36307684117881178</v>
      </c>
    </row>
    <row r="124" spans="1:17" s="212" customFormat="1" ht="15.5" x14ac:dyDescent="0.35">
      <c r="A124" s="198">
        <v>2017</v>
      </c>
      <c r="B124" s="197" t="s">
        <v>5838</v>
      </c>
      <c r="C124" s="197">
        <v>1972</v>
      </c>
      <c r="D124" s="225" t="str">
        <f t="shared" si="0"/>
        <v>2017_1972</v>
      </c>
      <c r="E124" s="1291">
        <v>0.48353922952788225</v>
      </c>
      <c r="F124" s="1280">
        <v>5.24798269085949</v>
      </c>
      <c r="G124" s="1271">
        <v>3.9772876173832965</v>
      </c>
      <c r="H124" s="1280">
        <v>3.8253602650576055</v>
      </c>
      <c r="I124" s="1271">
        <v>0.34737029774753492</v>
      </c>
      <c r="J124" s="1280">
        <v>5.2730860696675395E-2</v>
      </c>
      <c r="K124" s="1271">
        <v>2.5970590427518534E-3</v>
      </c>
      <c r="L124" s="1257">
        <v>2.0000012733985988E-3</v>
      </c>
      <c r="M124" s="1230">
        <v>2.0000012733985988E-3</v>
      </c>
      <c r="N124" s="1271">
        <v>1.7755718045625184E-2</v>
      </c>
      <c r="O124" s="1257">
        <v>1.2864829248368433E-2</v>
      </c>
      <c r="P124" s="1237">
        <v>6.4324146241842165E-3</v>
      </c>
      <c r="Q124" s="1292">
        <v>0.36307684117881178</v>
      </c>
    </row>
    <row r="125" spans="1:17" s="212" customFormat="1" ht="15.5" x14ac:dyDescent="0.35">
      <c r="A125" s="198">
        <v>2017</v>
      </c>
      <c r="B125" s="197" t="s">
        <v>5838</v>
      </c>
      <c r="C125" s="197">
        <v>1973</v>
      </c>
      <c r="D125" s="225" t="str">
        <f t="shared" si="0"/>
        <v>2017_1973</v>
      </c>
      <c r="E125" s="1287">
        <v>0.48353922952788225</v>
      </c>
      <c r="F125" s="1306">
        <v>5.24798269085949</v>
      </c>
      <c r="G125" s="1303">
        <v>3.9772876173832965</v>
      </c>
      <c r="H125" s="1306">
        <v>3.8253602650576055</v>
      </c>
      <c r="I125" s="1303">
        <v>0.34737029774753492</v>
      </c>
      <c r="J125" s="1306">
        <v>5.2730860696675395E-2</v>
      </c>
      <c r="K125" s="1303">
        <v>2.5970590427518534E-3</v>
      </c>
      <c r="L125" s="1288">
        <v>2.0000012733985988E-3</v>
      </c>
      <c r="M125" s="1230">
        <v>2.0000012733985988E-3</v>
      </c>
      <c r="N125" s="1303">
        <v>1.7755718045625184E-2</v>
      </c>
      <c r="O125" s="1288">
        <v>1.2864829248368433E-2</v>
      </c>
      <c r="P125" s="1237">
        <v>6.4324146241842165E-3</v>
      </c>
      <c r="Q125" s="1290">
        <v>0.36307684117881178</v>
      </c>
    </row>
    <row r="126" spans="1:17" s="212" customFormat="1" ht="15.5" x14ac:dyDescent="0.35">
      <c r="A126" s="198">
        <v>2017</v>
      </c>
      <c r="B126" s="197" t="s">
        <v>5838</v>
      </c>
      <c r="C126" s="197">
        <v>1974</v>
      </c>
      <c r="D126" s="225" t="str">
        <f t="shared" si="0"/>
        <v>2017_1974</v>
      </c>
      <c r="E126" s="1287">
        <v>0.5355313348084112</v>
      </c>
      <c r="F126" s="1306">
        <v>5.5575300753859729</v>
      </c>
      <c r="G126" s="1303">
        <v>3.6408186366832944</v>
      </c>
      <c r="H126" s="1306">
        <v>4.0833944553579098</v>
      </c>
      <c r="I126" s="1303">
        <v>0.38183719471793037</v>
      </c>
      <c r="J126" s="1306">
        <v>5.4168137529978282E-2</v>
      </c>
      <c r="K126" s="1303">
        <v>2.4941375288905711E-3</v>
      </c>
      <c r="L126" s="1288">
        <v>2.0000014084853661E-3</v>
      </c>
      <c r="M126" s="1230">
        <v>2.0000014084853661E-3</v>
      </c>
      <c r="N126" s="1303">
        <v>1.5485793344767981E-2</v>
      </c>
      <c r="O126" s="1288">
        <v>1.0239570764212579E-2</v>
      </c>
      <c r="P126" s="1237">
        <v>5.1197853821062893E-3</v>
      </c>
      <c r="Q126" s="1290">
        <v>0.39910217828561806</v>
      </c>
    </row>
    <row r="127" spans="1:17" s="212" customFormat="1" ht="15.5" x14ac:dyDescent="0.35">
      <c r="A127" s="198">
        <v>2017</v>
      </c>
      <c r="B127" s="197" t="s">
        <v>5838</v>
      </c>
      <c r="C127" s="197">
        <v>1975</v>
      </c>
      <c r="D127" s="225" t="str">
        <f t="shared" si="0"/>
        <v>2017_1975</v>
      </c>
      <c r="E127" s="1287">
        <v>0.50620405271177316</v>
      </c>
      <c r="F127" s="1306">
        <v>5.4474162244513629</v>
      </c>
      <c r="G127" s="1303">
        <v>3.8923102671168661</v>
      </c>
      <c r="H127" s="1306">
        <v>4.5576253433377714</v>
      </c>
      <c r="I127" s="1303">
        <v>0.36144563114273803</v>
      </c>
      <c r="J127" s="1306">
        <v>5.4559732969245843E-2</v>
      </c>
      <c r="K127" s="1303">
        <v>2.5387868362540802E-3</v>
      </c>
      <c r="L127" s="1288">
        <v>2.0000014111292296E-3</v>
      </c>
      <c r="M127" s="1230">
        <v>2.0000014111292296E-3</v>
      </c>
      <c r="N127" s="1303">
        <v>1.6557284644981018E-2</v>
      </c>
      <c r="O127" s="1288">
        <v>9.7504487153943688E-3</v>
      </c>
      <c r="P127" s="1237">
        <v>4.8752243576971844E-3</v>
      </c>
      <c r="Q127" s="1290">
        <v>0.37778859869177817</v>
      </c>
    </row>
    <row r="128" spans="1:17" s="212" customFormat="1" ht="15.5" x14ac:dyDescent="0.35">
      <c r="A128" s="198">
        <v>2017</v>
      </c>
      <c r="B128" s="197" t="s">
        <v>5838</v>
      </c>
      <c r="C128" s="197">
        <v>1976</v>
      </c>
      <c r="D128" s="225" t="str">
        <f t="shared" si="0"/>
        <v>2017_1976</v>
      </c>
      <c r="E128" s="1287">
        <v>0.58644243173056443</v>
      </c>
      <c r="F128" s="1306">
        <v>7.7775581472089588</v>
      </c>
      <c r="G128" s="1303">
        <v>3.1119056591915886</v>
      </c>
      <c r="H128" s="1306">
        <v>10.358711368582636</v>
      </c>
      <c r="I128" s="1303">
        <v>0.4132416294891455</v>
      </c>
      <c r="J128" s="1306">
        <v>5.4948264023982861E-2</v>
      </c>
      <c r="K128" s="1303">
        <v>2.3321320632919678E-3</v>
      </c>
      <c r="L128" s="1288">
        <v>2.0000013540576794E-3</v>
      </c>
      <c r="M128" s="1230">
        <v>2.0000013540576794E-3</v>
      </c>
      <c r="N128" s="1303">
        <v>1.1651655526703171E-2</v>
      </c>
      <c r="O128" s="1288">
        <v>8.7299424708752564E-3</v>
      </c>
      <c r="P128" s="1237">
        <v>4.3649712354376282E-3</v>
      </c>
      <c r="Q128" s="1290">
        <v>0.43192658224207148</v>
      </c>
    </row>
    <row r="129" spans="1:17" s="212" customFormat="1" ht="15.5" x14ac:dyDescent="0.35">
      <c r="A129" s="198">
        <v>2017</v>
      </c>
      <c r="B129" s="197" t="s">
        <v>5838</v>
      </c>
      <c r="C129" s="197">
        <v>1977</v>
      </c>
      <c r="D129" s="225" t="str">
        <f t="shared" si="0"/>
        <v>2017_1977</v>
      </c>
      <c r="E129" s="1287">
        <v>0.5581506541755803</v>
      </c>
      <c r="F129" s="1306">
        <v>7.6586508863783544</v>
      </c>
      <c r="G129" s="1303">
        <v>3.2947544439203229</v>
      </c>
      <c r="H129" s="1306">
        <v>11.132944508459969</v>
      </c>
      <c r="I129" s="1303">
        <v>0.39462947855370245</v>
      </c>
      <c r="J129" s="1306">
        <v>5.10199752824185E-2</v>
      </c>
      <c r="K129" s="1303">
        <v>2.4086311957766658E-3</v>
      </c>
      <c r="L129" s="1288">
        <v>2.0000013817643783E-3</v>
      </c>
      <c r="M129" s="1230">
        <v>2.0000013817643783E-3</v>
      </c>
      <c r="N129" s="1303">
        <v>1.3543167887504695E-2</v>
      </c>
      <c r="O129" s="1288">
        <v>7.3535815662043365E-3</v>
      </c>
      <c r="P129" s="1237">
        <v>3.6767907831021683E-3</v>
      </c>
      <c r="Q129" s="1290">
        <v>0.41247287243152525</v>
      </c>
    </row>
    <row r="130" spans="1:17" s="212" customFormat="1" ht="15.5" x14ac:dyDescent="0.35">
      <c r="A130" s="198">
        <v>2017</v>
      </c>
      <c r="B130" s="197" t="s">
        <v>5838</v>
      </c>
      <c r="C130" s="197">
        <v>1978</v>
      </c>
      <c r="D130" s="225" t="str">
        <f t="shared" si="0"/>
        <v>2017_1978</v>
      </c>
      <c r="E130" s="1287">
        <v>0.59992417306470536</v>
      </c>
      <c r="F130" s="1306">
        <v>1.7755429390721249</v>
      </c>
      <c r="G130" s="1303">
        <v>3.0783488679253166</v>
      </c>
      <c r="H130" s="1306">
        <v>4.6221784006250122</v>
      </c>
      <c r="I130" s="1303">
        <v>0.42241867574064879</v>
      </c>
      <c r="J130" s="1306">
        <v>4.4440087019437025E-2</v>
      </c>
      <c r="K130" s="1303">
        <v>2.3185678506435926E-3</v>
      </c>
      <c r="L130" s="1288">
        <v>2.0000013417512679E-3</v>
      </c>
      <c r="M130" s="1230">
        <v>2.0000013417512679E-3</v>
      </c>
      <c r="N130" s="1303">
        <v>1.1328970414427755E-2</v>
      </c>
      <c r="O130" s="1288">
        <v>8.8568569784259598E-3</v>
      </c>
      <c r="P130" s="1237">
        <v>4.4284284892129799E-3</v>
      </c>
      <c r="Q130" s="1290">
        <v>0.44151857380252868</v>
      </c>
    </row>
    <row r="131" spans="1:17" s="212" customFormat="1" ht="15.5" x14ac:dyDescent="0.35">
      <c r="A131" s="198">
        <v>2017</v>
      </c>
      <c r="B131" s="197" t="s">
        <v>5838</v>
      </c>
      <c r="C131" s="197">
        <v>1979</v>
      </c>
      <c r="D131" s="225" t="str">
        <f t="shared" si="0"/>
        <v>2017_1979</v>
      </c>
      <c r="E131" s="1287">
        <v>0.51820484431785652</v>
      </c>
      <c r="F131" s="1306">
        <v>1.7782071229829834</v>
      </c>
      <c r="G131" s="1303">
        <v>3.4753439458475297</v>
      </c>
      <c r="H131" s="1306">
        <v>4.4629223816591637</v>
      </c>
      <c r="I131" s="1303">
        <v>0.36757364503600187</v>
      </c>
      <c r="J131" s="1306">
        <v>4.4046931329698703E-2</v>
      </c>
      <c r="K131" s="1303">
        <v>2.4626444412610199E-3</v>
      </c>
      <c r="L131" s="1288">
        <v>2.0000012417007709E-3</v>
      </c>
      <c r="M131" s="1230">
        <v>2.0000012417007709E-3</v>
      </c>
      <c r="N131" s="1303">
        <v>1.4502718990902665E-2</v>
      </c>
      <c r="O131" s="1288">
        <v>9.0792185244175892E-3</v>
      </c>
      <c r="P131" s="1237">
        <v>4.5396092622087946E-3</v>
      </c>
      <c r="Q131" s="1290">
        <v>0.38419369418063726</v>
      </c>
    </row>
    <row r="132" spans="1:17" s="212" customFormat="1" ht="15.5" x14ac:dyDescent="0.35">
      <c r="A132" s="198">
        <v>2017</v>
      </c>
      <c r="B132" s="197" t="s">
        <v>5838</v>
      </c>
      <c r="C132" s="197">
        <v>1980</v>
      </c>
      <c r="D132" s="225" t="str">
        <f t="shared" si="0"/>
        <v>2017_1980</v>
      </c>
      <c r="E132" s="1287">
        <v>0.31982657057873259</v>
      </c>
      <c r="F132" s="1306">
        <v>2.1489082213936359</v>
      </c>
      <c r="G132" s="1303">
        <v>2.595152454868908</v>
      </c>
      <c r="H132" s="1306">
        <v>4.2802856502649131</v>
      </c>
      <c r="I132" s="1303">
        <v>0.25371828607438413</v>
      </c>
      <c r="J132" s="1306">
        <v>3.620704404363019E-2</v>
      </c>
      <c r="K132" s="1303">
        <v>2.2339152036114094E-3</v>
      </c>
      <c r="L132" s="1288">
        <v>2.0000010401310052E-3</v>
      </c>
      <c r="M132" s="1230">
        <v>2.0000010401310052E-3</v>
      </c>
      <c r="N132" s="1303">
        <v>9.3420169499941873E-3</v>
      </c>
      <c r="O132" s="1288">
        <v>1.4019616129872738E-2</v>
      </c>
      <c r="P132" s="1237">
        <v>7.009808064936369E-3</v>
      </c>
      <c r="Q132" s="1290">
        <v>0.26519030111244835</v>
      </c>
    </row>
    <row r="133" spans="1:17" s="212" customFormat="1" ht="15.5" x14ac:dyDescent="0.35">
      <c r="A133" s="198">
        <v>2017</v>
      </c>
      <c r="B133" s="197" t="s">
        <v>5838</v>
      </c>
      <c r="C133" s="197">
        <v>1981</v>
      </c>
      <c r="D133" s="225" t="str">
        <f t="shared" si="0"/>
        <v>2017_1981</v>
      </c>
      <c r="E133" s="1287">
        <v>0.29548144152306738</v>
      </c>
      <c r="F133" s="1306">
        <v>2.2136802930878177</v>
      </c>
      <c r="G133" s="1303">
        <v>3.1693602796308005</v>
      </c>
      <c r="H133" s="1306">
        <v>3.8143989006269439</v>
      </c>
      <c r="I133" s="1303">
        <v>0.23271316693065305</v>
      </c>
      <c r="J133" s="1306">
        <v>1.748737910316624E-2</v>
      </c>
      <c r="K133" s="1303">
        <v>2.3893602527989854E-3</v>
      </c>
      <c r="L133" s="1288">
        <v>2.0000008811626594E-3</v>
      </c>
      <c r="M133" s="1230">
        <v>2.0000008811626594E-3</v>
      </c>
      <c r="N133" s="1303">
        <v>1.3019812494733793E-2</v>
      </c>
      <c r="O133" s="1288">
        <v>1.7550245089411085E-2</v>
      </c>
      <c r="P133" s="1237">
        <v>8.7751225447055426E-3</v>
      </c>
      <c r="Q133" s="1290">
        <v>0.24323542368987316</v>
      </c>
    </row>
    <row r="134" spans="1:17" s="212" customFormat="1" ht="15.5" x14ac:dyDescent="0.35">
      <c r="A134" s="198">
        <v>2017</v>
      </c>
      <c r="B134" s="197" t="s">
        <v>5838</v>
      </c>
      <c r="C134" s="197">
        <v>1982</v>
      </c>
      <c r="D134" s="225" t="str">
        <f t="shared" si="0"/>
        <v>2017_1982</v>
      </c>
      <c r="E134" s="1287">
        <v>0.27983690845847542</v>
      </c>
      <c r="F134" s="1306">
        <v>2.0558037745291342</v>
      </c>
      <c r="G134" s="1303">
        <v>3.6290809524231298</v>
      </c>
      <c r="H134" s="1306">
        <v>3.4931014014064061</v>
      </c>
      <c r="I134" s="1303">
        <v>0.2185594072829514</v>
      </c>
      <c r="J134" s="1306">
        <v>1.7660822106172178E-2</v>
      </c>
      <c r="K134" s="1303">
        <v>2.5268457725818269E-3</v>
      </c>
      <c r="L134" s="1288">
        <v>2.0000010225451515E-3</v>
      </c>
      <c r="M134" s="1230">
        <v>2.0000010225451515E-3</v>
      </c>
      <c r="N134" s="1303">
        <v>1.6133760555346571E-2</v>
      </c>
      <c r="O134" s="1288">
        <v>1.6317357838838503E-2</v>
      </c>
      <c r="P134" s="1237">
        <v>8.1586789194192516E-3</v>
      </c>
      <c r="Q134" s="1290">
        <v>0.22844169383728041</v>
      </c>
    </row>
    <row r="135" spans="1:17" s="212" customFormat="1" ht="15.5" x14ac:dyDescent="0.35">
      <c r="A135" s="198">
        <v>2017</v>
      </c>
      <c r="B135" s="197" t="s">
        <v>5838</v>
      </c>
      <c r="C135" s="197">
        <v>1983</v>
      </c>
      <c r="D135" s="225" t="str">
        <f t="shared" si="0"/>
        <v>2017_1983</v>
      </c>
      <c r="E135" s="1287">
        <v>0.21994938459946001</v>
      </c>
      <c r="F135" s="1306">
        <v>1.7122769423411901</v>
      </c>
      <c r="G135" s="1303">
        <v>3.8684454282116887</v>
      </c>
      <c r="H135" s="1306">
        <v>3.2997955307755631</v>
      </c>
      <c r="I135" s="1303">
        <v>0.20103830420745966</v>
      </c>
      <c r="J135" s="1306">
        <v>1.728686068388895E-2</v>
      </c>
      <c r="K135" s="1303">
        <v>2.6474123624608929E-3</v>
      </c>
      <c r="L135" s="1288">
        <v>2.0000009989722934E-3</v>
      </c>
      <c r="M135" s="1230">
        <v>2.0000009989722934E-3</v>
      </c>
      <c r="N135" s="1303">
        <v>1.8987137594040367E-2</v>
      </c>
      <c r="O135" s="1288">
        <v>1.4696031070433452E-2</v>
      </c>
      <c r="P135" s="1237">
        <v>7.3480155352167262E-3</v>
      </c>
      <c r="Q135" s="1290">
        <v>0.2101283642294586</v>
      </c>
    </row>
    <row r="136" spans="1:17" s="212" customFormat="1" ht="15.5" x14ac:dyDescent="0.35">
      <c r="A136" s="198">
        <v>2017</v>
      </c>
      <c r="B136" s="197" t="s">
        <v>5838</v>
      </c>
      <c r="C136" s="197">
        <v>1984</v>
      </c>
      <c r="D136" s="225" t="str">
        <f t="shared" si="0"/>
        <v>2017_1984</v>
      </c>
      <c r="E136" s="1287">
        <v>0.25327727384631216</v>
      </c>
      <c r="F136" s="1306">
        <v>1.3372792757470409</v>
      </c>
      <c r="G136" s="1303">
        <v>4.3589310271869355</v>
      </c>
      <c r="H136" s="1306">
        <v>3.3861883842976943</v>
      </c>
      <c r="I136" s="1303">
        <v>0.18180674427164359</v>
      </c>
      <c r="J136" s="1306">
        <v>1.798446881942279E-2</v>
      </c>
      <c r="K136" s="1303">
        <v>2.7979857403780915E-3</v>
      </c>
      <c r="L136" s="1288">
        <v>2.0000010457356557E-3</v>
      </c>
      <c r="M136" s="1230">
        <v>2.0000010457356557E-3</v>
      </c>
      <c r="N136" s="1303">
        <v>2.2534348133794142E-2</v>
      </c>
      <c r="O136" s="1288">
        <v>1.462002696508659E-2</v>
      </c>
      <c r="P136" s="1237">
        <v>7.310013482543295E-3</v>
      </c>
      <c r="Q136" s="1290">
        <v>0.19002723849212805</v>
      </c>
    </row>
    <row r="137" spans="1:17" s="212" customFormat="1" ht="15.5" x14ac:dyDescent="0.35">
      <c r="A137" s="198">
        <v>2017</v>
      </c>
      <c r="B137" s="197" t="s">
        <v>5838</v>
      </c>
      <c r="C137" s="197">
        <v>1985</v>
      </c>
      <c r="D137" s="225" t="str">
        <f t="shared" si="0"/>
        <v>2017_1985</v>
      </c>
      <c r="E137" s="1287">
        <v>0.24457354702438416</v>
      </c>
      <c r="F137" s="1306">
        <v>1.2170422935695626</v>
      </c>
      <c r="G137" s="1303">
        <v>4.7047990520324454</v>
      </c>
      <c r="H137" s="1306">
        <v>2.9326693625778515</v>
      </c>
      <c r="I137" s="1303">
        <v>0.17946642484233399</v>
      </c>
      <c r="J137" s="1306">
        <v>1.6459161618104189E-2</v>
      </c>
      <c r="K137" s="1303">
        <v>2.8919912330717269E-3</v>
      </c>
      <c r="L137" s="1288">
        <v>2.0000010960475618E-3</v>
      </c>
      <c r="M137" s="1230">
        <v>2.0000010960475618E-3</v>
      </c>
      <c r="N137" s="1303">
        <v>2.4760251981045565E-2</v>
      </c>
      <c r="O137" s="1288">
        <v>1.4716354178666664E-2</v>
      </c>
      <c r="P137" s="1237">
        <v>7.358177089333332E-3</v>
      </c>
      <c r="Q137" s="1290">
        <v>0.18758110020323912</v>
      </c>
    </row>
    <row r="138" spans="1:17" s="212" customFormat="1" ht="15.5" x14ac:dyDescent="0.35">
      <c r="A138" s="198">
        <v>2017</v>
      </c>
      <c r="B138" s="197" t="s">
        <v>5838</v>
      </c>
      <c r="C138" s="197">
        <v>1986</v>
      </c>
      <c r="D138" s="225" t="str">
        <f t="shared" si="0"/>
        <v>2017_1986</v>
      </c>
      <c r="E138" s="1287">
        <v>0.24193776603412534</v>
      </c>
      <c r="F138" s="1306">
        <v>0.96611132897777996</v>
      </c>
      <c r="G138" s="1303">
        <v>4.8389035756409973</v>
      </c>
      <c r="H138" s="1306">
        <v>2.9616771876551349</v>
      </c>
      <c r="I138" s="1303">
        <v>0.17938552611912084</v>
      </c>
      <c r="J138" s="1306">
        <v>1.6633229543016131E-2</v>
      </c>
      <c r="K138" s="1303">
        <v>2.9347010087329376E-3</v>
      </c>
      <c r="L138" s="1288">
        <v>2.0000011128395953E-3</v>
      </c>
      <c r="M138" s="1230">
        <v>2.0000011128395953E-3</v>
      </c>
      <c r="N138" s="1303">
        <v>2.5763301199361401E-2</v>
      </c>
      <c r="O138" s="1288">
        <v>1.3650307966170425E-2</v>
      </c>
      <c r="P138" s="1237">
        <v>6.8251539830852127E-3</v>
      </c>
      <c r="Q138" s="1290">
        <v>0.18749654359874468</v>
      </c>
    </row>
    <row r="139" spans="1:17" s="212" customFormat="1" ht="15.5" x14ac:dyDescent="0.35">
      <c r="A139" s="198">
        <v>2017</v>
      </c>
      <c r="B139" s="197" t="s">
        <v>5838</v>
      </c>
      <c r="C139" s="197">
        <v>1987</v>
      </c>
      <c r="D139" s="225" t="str">
        <f t="shared" si="0"/>
        <v>2017_1987</v>
      </c>
      <c r="E139" s="1287">
        <v>0.29582717453816199</v>
      </c>
      <c r="F139" s="1306">
        <v>1.0565614420741083</v>
      </c>
      <c r="G139" s="1303">
        <v>5.0630483451177808</v>
      </c>
      <c r="H139" s="1306">
        <v>2.8694390574463844</v>
      </c>
      <c r="I139" s="1303">
        <v>0.20080035928154427</v>
      </c>
      <c r="J139" s="1306">
        <v>1.6925250395089436E-2</v>
      </c>
      <c r="K139" s="1303">
        <v>2.968072638968844E-3</v>
      </c>
      <c r="L139" s="1288">
        <v>2.0000012571370096E-3</v>
      </c>
      <c r="M139" s="1230">
        <v>2.0000012571370096E-3</v>
      </c>
      <c r="N139" s="1303">
        <v>2.6552745554557035E-2</v>
      </c>
      <c r="O139" s="1288">
        <v>1.2254457962994137E-2</v>
      </c>
      <c r="P139" s="1237">
        <v>6.1272289814970687E-3</v>
      </c>
      <c r="Q139" s="1290">
        <v>0.20987966048985898</v>
      </c>
    </row>
    <row r="140" spans="1:17" s="212" customFormat="1" ht="15.5" x14ac:dyDescent="0.35">
      <c r="A140" s="198">
        <v>2017</v>
      </c>
      <c r="B140" s="197" t="s">
        <v>5838</v>
      </c>
      <c r="C140" s="197">
        <v>1988</v>
      </c>
      <c r="D140" s="225" t="str">
        <f t="shared" si="0"/>
        <v>2017_1988</v>
      </c>
      <c r="E140" s="1287">
        <v>0.29241785765220857</v>
      </c>
      <c r="F140" s="1306">
        <v>0.49911606654224855</v>
      </c>
      <c r="G140" s="1303">
        <v>5.1354401883639955</v>
      </c>
      <c r="H140" s="1306">
        <v>1.6983758968987095</v>
      </c>
      <c r="I140" s="1303">
        <v>0.19867762099593198</v>
      </c>
      <c r="J140" s="1306">
        <v>1.625979853083195E-2</v>
      </c>
      <c r="K140" s="1303">
        <v>2.9775737823444989E-3</v>
      </c>
      <c r="L140" s="1288">
        <v>2.0000012594192239E-3</v>
      </c>
      <c r="M140" s="1230">
        <v>2.0000012594192239E-3</v>
      </c>
      <c r="N140" s="1303">
        <v>2.677677502505512E-2</v>
      </c>
      <c r="O140" s="1288">
        <v>1.2903127089891032E-2</v>
      </c>
      <c r="P140" s="1237">
        <v>6.4515635449455162E-3</v>
      </c>
      <c r="Q140" s="1290">
        <v>0.20766094139848296</v>
      </c>
    </row>
    <row r="141" spans="1:17" s="212" customFormat="1" ht="15.5" x14ac:dyDescent="0.35">
      <c r="A141" s="198">
        <v>2017</v>
      </c>
      <c r="B141" s="197" t="s">
        <v>5838</v>
      </c>
      <c r="C141" s="197">
        <v>1989</v>
      </c>
      <c r="D141" s="225" t="str">
        <f t="shared" si="0"/>
        <v>2017_1989</v>
      </c>
      <c r="E141" s="1287">
        <v>0.29422238969651893</v>
      </c>
      <c r="F141" s="1306">
        <v>0.43468935359807803</v>
      </c>
      <c r="G141" s="1303">
        <v>5.1307064311787176</v>
      </c>
      <c r="H141" s="1306">
        <v>1.865380119391056</v>
      </c>
      <c r="I141" s="1303">
        <v>0.19994908736052619</v>
      </c>
      <c r="J141" s="1306">
        <v>1.6060667149176963E-2</v>
      </c>
      <c r="K141" s="1303">
        <v>2.9794515997610908E-3</v>
      </c>
      <c r="L141" s="1288">
        <v>2.0000011699515038E-3</v>
      </c>
      <c r="M141" s="1230">
        <v>2.0000011699515038E-3</v>
      </c>
      <c r="N141" s="1303">
        <v>2.6817177437718477E-2</v>
      </c>
      <c r="O141" s="1288">
        <v>1.3996730760665297E-2</v>
      </c>
      <c r="P141" s="1237">
        <v>6.9983653803326485E-3</v>
      </c>
      <c r="Q141" s="1290">
        <v>0.20898989783003474</v>
      </c>
    </row>
    <row r="142" spans="1:17" s="212" customFormat="1" ht="15.5" x14ac:dyDescent="0.35">
      <c r="A142" s="198">
        <v>2017</v>
      </c>
      <c r="B142" s="197" t="s">
        <v>5838</v>
      </c>
      <c r="C142" s="197">
        <v>1990</v>
      </c>
      <c r="D142" s="225" t="str">
        <f t="shared" si="0"/>
        <v>2017_1990</v>
      </c>
      <c r="E142" s="1287">
        <v>0.29760941370742677</v>
      </c>
      <c r="F142" s="1306">
        <v>0.48328838601522106</v>
      </c>
      <c r="G142" s="1303">
        <v>5.0960682894519547</v>
      </c>
      <c r="H142" s="1306">
        <v>1.8554414059956184</v>
      </c>
      <c r="I142" s="1303">
        <v>0.20233189262255102</v>
      </c>
      <c r="J142" s="1306">
        <v>1.6334679539049747E-2</v>
      </c>
      <c r="K142" s="1303">
        <v>2.9834214893732719E-3</v>
      </c>
      <c r="L142" s="1288">
        <v>2.0000012049809918E-3</v>
      </c>
      <c r="M142" s="1230">
        <v>2.0000012049809918E-3</v>
      </c>
      <c r="N142" s="1303">
        <v>2.6912412685138606E-2</v>
      </c>
      <c r="O142" s="1288">
        <v>1.2903391806452643E-2</v>
      </c>
      <c r="P142" s="1237">
        <v>6.4516959032263213E-3</v>
      </c>
      <c r="Q142" s="1290">
        <v>0.21148044297246654</v>
      </c>
    </row>
    <row r="143" spans="1:17" s="212" customFormat="1" ht="15.5" x14ac:dyDescent="0.35">
      <c r="A143" s="198">
        <v>2017</v>
      </c>
      <c r="B143" s="197" t="s">
        <v>5838</v>
      </c>
      <c r="C143" s="197">
        <v>1991</v>
      </c>
      <c r="D143" s="225" t="str">
        <f t="shared" si="0"/>
        <v>2017_1991</v>
      </c>
      <c r="E143" s="1287">
        <v>0.38014198253585985</v>
      </c>
      <c r="F143" s="1306">
        <v>0.49607311617591365</v>
      </c>
      <c r="G143" s="1303">
        <v>8.9331715142070962</v>
      </c>
      <c r="H143" s="1306">
        <v>2.3073627084060124</v>
      </c>
      <c r="I143" s="1303">
        <v>5.7711779861184795E-2</v>
      </c>
      <c r="J143" s="1306">
        <v>9.1721826212085317E-3</v>
      </c>
      <c r="K143" s="1303">
        <v>2.9763595625584773E-3</v>
      </c>
      <c r="L143" s="1288">
        <v>2.0000012178796366E-3</v>
      </c>
      <c r="M143" s="1230">
        <v>2.0000012178796366E-3</v>
      </c>
      <c r="N143" s="1303">
        <v>2.6744019290476449E-2</v>
      </c>
      <c r="O143" s="1288">
        <v>1.1685098192556004E-2</v>
      </c>
      <c r="P143" s="1237">
        <v>5.8425490962780019E-3</v>
      </c>
      <c r="Q143" s="1290">
        <v>6.032125045427731E-2</v>
      </c>
    </row>
    <row r="144" spans="1:17" s="212" customFormat="1" ht="15.5" x14ac:dyDescent="0.35">
      <c r="A144" s="198">
        <v>2017</v>
      </c>
      <c r="B144" s="197" t="s">
        <v>5838</v>
      </c>
      <c r="C144" s="197">
        <v>1992</v>
      </c>
      <c r="D144" s="225" t="str">
        <f t="shared" si="0"/>
        <v>2017_1992</v>
      </c>
      <c r="E144" s="1287">
        <v>0.38067534433426131</v>
      </c>
      <c r="F144" s="1306">
        <v>0.49731700127695821</v>
      </c>
      <c r="G144" s="1303">
        <v>8.8253049492129332</v>
      </c>
      <c r="H144" s="1306">
        <v>2.2308997559030734</v>
      </c>
      <c r="I144" s="1303">
        <v>5.9728759982974666E-2</v>
      </c>
      <c r="J144" s="1306">
        <v>9.3196572007186087E-3</v>
      </c>
      <c r="K144" s="1303">
        <v>2.9645550045637251E-3</v>
      </c>
      <c r="L144" s="1288">
        <v>2.0000012785012572E-3</v>
      </c>
      <c r="M144" s="1230">
        <v>2.0000012785012572E-3</v>
      </c>
      <c r="N144" s="1303">
        <v>2.6465197353230566E-2</v>
      </c>
      <c r="O144" s="1288">
        <v>1.0215915809987392E-2</v>
      </c>
      <c r="P144" s="1237">
        <v>5.1079579049936961E-3</v>
      </c>
      <c r="Q144" s="1290">
        <v>6.242942946695778E-2</v>
      </c>
    </row>
    <row r="145" spans="1:17" s="212" customFormat="1" ht="15.5" x14ac:dyDescent="0.35">
      <c r="A145" s="198">
        <v>2017</v>
      </c>
      <c r="B145" s="197" t="s">
        <v>5838</v>
      </c>
      <c r="C145" s="197">
        <v>1993</v>
      </c>
      <c r="D145" s="225" t="str">
        <f t="shared" si="0"/>
        <v>2017_1993</v>
      </c>
      <c r="E145" s="1287">
        <v>0.37305113993576849</v>
      </c>
      <c r="F145" s="1306">
        <v>0.49916002844889062</v>
      </c>
      <c r="G145" s="1303">
        <v>8.8943051223104224</v>
      </c>
      <c r="H145" s="1306">
        <v>2.1734539114561002</v>
      </c>
      <c r="I145" s="1303">
        <v>5.4035833426037218E-2</v>
      </c>
      <c r="J145" s="1306">
        <v>9.4424276237987451E-3</v>
      </c>
      <c r="K145" s="1303">
        <v>2.9704135620191572E-3</v>
      </c>
      <c r="L145" s="1288">
        <v>2.0000013098017103E-3</v>
      </c>
      <c r="M145" s="1230">
        <v>2.0000013098017103E-3</v>
      </c>
      <c r="N145" s="1303">
        <v>2.6601369347139355E-2</v>
      </c>
      <c r="O145" s="1288">
        <v>9.5147393260513607E-3</v>
      </c>
      <c r="P145" s="1237">
        <v>4.7573696630256804E-3</v>
      </c>
      <c r="Q145" s="1290">
        <v>5.647909403310309E-2</v>
      </c>
    </row>
    <row r="146" spans="1:17" s="212" customFormat="1" ht="15.5" x14ac:dyDescent="0.35">
      <c r="A146" s="198">
        <v>2017</v>
      </c>
      <c r="B146" s="197" t="s">
        <v>5838</v>
      </c>
      <c r="C146" s="197">
        <v>1994</v>
      </c>
      <c r="D146" s="225" t="str">
        <f t="shared" si="0"/>
        <v>2017_1994</v>
      </c>
      <c r="E146" s="1287">
        <v>0.36901171069373856</v>
      </c>
      <c r="F146" s="1306">
        <v>0.49708033289247056</v>
      </c>
      <c r="G146" s="1303">
        <v>8.8780870358774244</v>
      </c>
      <c r="H146" s="1306">
        <v>2.0958923045230997</v>
      </c>
      <c r="I146" s="1303">
        <v>5.4210092130554881E-2</v>
      </c>
      <c r="J146" s="1306">
        <v>9.5764511962061535E-3</v>
      </c>
      <c r="K146" s="1303">
        <v>2.9652776272372813E-3</v>
      </c>
      <c r="L146" s="1288">
        <v>2.0000014215832349E-3</v>
      </c>
      <c r="M146" s="1230">
        <v>2.0000014215832349E-3</v>
      </c>
      <c r="N146" s="1303">
        <v>2.6478867737157671E-2</v>
      </c>
      <c r="O146" s="1288">
        <v>8.0503421700000143E-3</v>
      </c>
      <c r="P146" s="1237">
        <v>4.0251710850000072E-3</v>
      </c>
      <c r="Q146" s="1290">
        <v>5.6661231942977397E-2</v>
      </c>
    </row>
    <row r="147" spans="1:17" s="212" customFormat="1" ht="15.5" x14ac:dyDescent="0.35">
      <c r="A147" s="198">
        <v>2017</v>
      </c>
      <c r="B147" s="197" t="s">
        <v>5838</v>
      </c>
      <c r="C147" s="197">
        <v>1995</v>
      </c>
      <c r="D147" s="225" t="str">
        <f t="shared" si="0"/>
        <v>2017_1995</v>
      </c>
      <c r="E147" s="1287">
        <v>0.36527005576896437</v>
      </c>
      <c r="F147" s="1306">
        <v>0.37225535547118171</v>
      </c>
      <c r="G147" s="1303">
        <v>9.0203768029535958</v>
      </c>
      <c r="H147" s="1306">
        <v>1.6432279545867541</v>
      </c>
      <c r="I147" s="1303">
        <v>5.3434382834768035E-2</v>
      </c>
      <c r="J147" s="1306">
        <v>8.860787636486055E-3</v>
      </c>
      <c r="K147" s="1303">
        <v>2.9732051361608396E-3</v>
      </c>
      <c r="L147" s="1288">
        <v>2.0000013631146676E-3</v>
      </c>
      <c r="M147" s="1230">
        <v>2.0000013631146676E-3</v>
      </c>
      <c r="N147" s="1303">
        <v>2.6668223164125902E-2</v>
      </c>
      <c r="O147" s="1288">
        <v>8.9542279165770525E-3</v>
      </c>
      <c r="P147" s="1237">
        <v>4.4771139582885262E-3</v>
      </c>
      <c r="Q147" s="1290">
        <v>5.5850448514994128E-2</v>
      </c>
    </row>
    <row r="148" spans="1:17" s="212" customFormat="1" ht="15.5" x14ac:dyDescent="0.35">
      <c r="A148" s="198">
        <v>2017</v>
      </c>
      <c r="B148" s="197" t="s">
        <v>5838</v>
      </c>
      <c r="C148" s="197">
        <v>1996</v>
      </c>
      <c r="D148" s="225" t="str">
        <f t="shared" si="0"/>
        <v>2017_1996</v>
      </c>
      <c r="E148" s="1287">
        <v>0.36512619355125014</v>
      </c>
      <c r="F148" s="1306">
        <v>0.13131925276422776</v>
      </c>
      <c r="G148" s="1303">
        <v>9.0011129503768288</v>
      </c>
      <c r="H148" s="1306">
        <v>1.0158723288454072</v>
      </c>
      <c r="I148" s="1303">
        <v>5.3424361910056728E-2</v>
      </c>
      <c r="J148" s="1306">
        <v>2.7054010157609217E-3</v>
      </c>
      <c r="K148" s="1303">
        <v>2.9751701848691088E-3</v>
      </c>
      <c r="L148" s="1288">
        <v>2.0000013430998592E-3</v>
      </c>
      <c r="M148" s="1230">
        <v>2.0000013430998592E-3</v>
      </c>
      <c r="N148" s="1303">
        <v>2.67142079588382E-2</v>
      </c>
      <c r="O148" s="1288">
        <v>9.2325460130031241E-3</v>
      </c>
      <c r="P148" s="1237">
        <v>4.616273006501562E-3</v>
      </c>
      <c r="Q148" s="1290">
        <v>5.5839974488534637E-2</v>
      </c>
    </row>
    <row r="149" spans="1:17" s="212" customFormat="1" ht="15.5" x14ac:dyDescent="0.35">
      <c r="A149" s="198">
        <v>2017</v>
      </c>
      <c r="B149" s="197" t="s">
        <v>5838</v>
      </c>
      <c r="C149" s="197">
        <v>1997</v>
      </c>
      <c r="D149" s="225" t="str">
        <f t="shared" si="0"/>
        <v>2017_1997</v>
      </c>
      <c r="E149" s="1287">
        <v>0.36438344524159288</v>
      </c>
      <c r="F149" s="1306">
        <v>0.1347945417842086</v>
      </c>
      <c r="G149" s="1303">
        <v>9.0098489018900239</v>
      </c>
      <c r="H149" s="1306">
        <v>1.0399949442897316</v>
      </c>
      <c r="I149" s="1303">
        <v>5.3265681347347348E-2</v>
      </c>
      <c r="J149" s="1306">
        <v>2.7205249186568075E-3</v>
      </c>
      <c r="K149" s="1303">
        <v>2.9800191527084483E-3</v>
      </c>
      <c r="L149" s="1288">
        <v>2.0000013589157634E-3</v>
      </c>
      <c r="M149" s="1230">
        <v>2.0000013589157634E-3</v>
      </c>
      <c r="N149" s="1303">
        <v>2.6828826628270977E-2</v>
      </c>
      <c r="O149" s="1288">
        <v>8.4942304981666245E-3</v>
      </c>
      <c r="P149" s="1237">
        <v>4.2471152490833122E-3</v>
      </c>
      <c r="Q149" s="1290">
        <v>5.5674119094913994E-2</v>
      </c>
    </row>
    <row r="150" spans="1:17" s="212" customFormat="1" ht="15.5" x14ac:dyDescent="0.35">
      <c r="A150" s="198">
        <v>2017</v>
      </c>
      <c r="B150" s="197" t="s">
        <v>5838</v>
      </c>
      <c r="C150" s="197">
        <v>1998</v>
      </c>
      <c r="D150" s="225" t="str">
        <f t="shared" si="0"/>
        <v>2017_1998</v>
      </c>
      <c r="E150" s="1287">
        <v>0.35933665189279118</v>
      </c>
      <c r="F150" s="1306">
        <v>0.1339110340855782</v>
      </c>
      <c r="G150" s="1303">
        <v>8.9864417929761888</v>
      </c>
      <c r="H150" s="1306">
        <v>1.0361150453425041</v>
      </c>
      <c r="I150" s="1303">
        <v>5.2774873082738247E-2</v>
      </c>
      <c r="J150" s="1306">
        <v>2.762336626850213E-3</v>
      </c>
      <c r="K150" s="1303">
        <v>2.977865473065651E-3</v>
      </c>
      <c r="L150" s="1288">
        <v>2.0000014620241342E-3</v>
      </c>
      <c r="M150" s="1230">
        <v>2.0000014620241342E-3</v>
      </c>
      <c r="N150" s="1303">
        <v>2.6778200431880193E-2</v>
      </c>
      <c r="O150" s="1288">
        <v>7.2047926525853415E-3</v>
      </c>
      <c r="P150" s="1237">
        <v>3.6023963262926707E-3</v>
      </c>
      <c r="Q150" s="1290">
        <v>5.5161118658508687E-2</v>
      </c>
    </row>
    <row r="151" spans="1:17" s="212" customFormat="1" ht="15.5" x14ac:dyDescent="0.35">
      <c r="A151" s="198">
        <v>2017</v>
      </c>
      <c r="B151" s="197" t="s">
        <v>5838</v>
      </c>
      <c r="C151" s="197">
        <v>1999</v>
      </c>
      <c r="D151" s="225" t="str">
        <f t="shared" si="0"/>
        <v>2017_1999</v>
      </c>
      <c r="E151" s="1287">
        <v>0.35823535313184945</v>
      </c>
      <c r="F151" s="1306">
        <v>0.12626288085095105</v>
      </c>
      <c r="G151" s="1303">
        <v>9.105406508128695</v>
      </c>
      <c r="H151" s="1306">
        <v>0.98864735337001375</v>
      </c>
      <c r="I151" s="1303">
        <v>5.2239072986977046E-2</v>
      </c>
      <c r="J151" s="1306">
        <v>2.7757879195446414E-3</v>
      </c>
      <c r="K151" s="1303">
        <v>2.993068288087793E-3</v>
      </c>
      <c r="L151" s="1288">
        <v>2.0000014921809708E-3</v>
      </c>
      <c r="M151" s="1230">
        <v>2.0000014921809708E-3</v>
      </c>
      <c r="N151" s="1303">
        <v>2.7136504860586993E-2</v>
      </c>
      <c r="O151" s="1288">
        <v>7.318743490842044E-3</v>
      </c>
      <c r="P151" s="1237">
        <v>3.659371745421022E-3</v>
      </c>
      <c r="Q151" s="1290">
        <v>5.4601092059994964E-2</v>
      </c>
    </row>
    <row r="152" spans="1:17" s="212" customFormat="1" ht="15.5" x14ac:dyDescent="0.35">
      <c r="A152" s="198">
        <v>2017</v>
      </c>
      <c r="B152" s="197" t="s">
        <v>5838</v>
      </c>
      <c r="C152" s="197">
        <v>2000</v>
      </c>
      <c r="D152" s="225" t="str">
        <f t="shared" si="0"/>
        <v>2017_2000</v>
      </c>
      <c r="E152" s="1287">
        <v>0.3519549581515079</v>
      </c>
      <c r="F152" s="1306">
        <v>0.11807191853518131</v>
      </c>
      <c r="G152" s="1303">
        <v>9.1530680333540815</v>
      </c>
      <c r="H152" s="1306">
        <v>0.9326942042475862</v>
      </c>
      <c r="I152" s="1303">
        <v>5.139793814927418E-2</v>
      </c>
      <c r="J152" s="1306">
        <v>2.7811548426160369E-3</v>
      </c>
      <c r="K152" s="1303">
        <v>2.997410164312177E-3</v>
      </c>
      <c r="L152" s="1288">
        <v>2.0000015597323598E-3</v>
      </c>
      <c r="M152" s="1230">
        <v>2.0000015597323598E-3</v>
      </c>
      <c r="N152" s="1303">
        <v>2.7238628159084625E-2</v>
      </c>
      <c r="O152" s="1288">
        <v>7.4035888288179917E-3</v>
      </c>
      <c r="P152" s="1237">
        <v>3.7017944144089958E-3</v>
      </c>
      <c r="Q152" s="1290">
        <v>5.3721924837411734E-2</v>
      </c>
    </row>
    <row r="153" spans="1:17" s="212" customFormat="1" ht="15.5" x14ac:dyDescent="0.35">
      <c r="A153" s="198">
        <v>2017</v>
      </c>
      <c r="B153" s="197" t="s">
        <v>5838</v>
      </c>
      <c r="C153" s="197">
        <v>2001</v>
      </c>
      <c r="D153" s="225" t="str">
        <f t="shared" si="0"/>
        <v>2017_2001</v>
      </c>
      <c r="E153" s="1287">
        <v>0.34517870867347306</v>
      </c>
      <c r="F153" s="1306">
        <v>0.11006681087569639</v>
      </c>
      <c r="G153" s="1303">
        <v>9.0702856366482756</v>
      </c>
      <c r="H153" s="1306">
        <v>0.86690712349221655</v>
      </c>
      <c r="I153" s="1303">
        <v>5.0915894407247496E-2</v>
      </c>
      <c r="J153" s="1306">
        <v>2.8028998157911471E-3</v>
      </c>
      <c r="K153" s="1303">
        <v>2.9916072321146785E-3</v>
      </c>
      <c r="L153" s="1288">
        <v>2.0000015389938148E-3</v>
      </c>
      <c r="M153" s="1230">
        <v>2.0000015389938148E-3</v>
      </c>
      <c r="N153" s="1303">
        <v>2.7101249413326246E-2</v>
      </c>
      <c r="O153" s="1288">
        <v>6.8571849020948169E-3</v>
      </c>
      <c r="P153" s="1237">
        <v>3.4285924510474085E-3</v>
      </c>
      <c r="Q153" s="1290">
        <v>5.3218085216408043E-2</v>
      </c>
    </row>
    <row r="154" spans="1:17" s="212" customFormat="1" ht="15.5" x14ac:dyDescent="0.35">
      <c r="A154" s="198">
        <v>2017</v>
      </c>
      <c r="B154" s="197" t="s">
        <v>5838</v>
      </c>
      <c r="C154" s="197">
        <v>2002</v>
      </c>
      <c r="D154" s="225" t="str">
        <f t="shared" si="0"/>
        <v>2017_2002</v>
      </c>
      <c r="E154" s="1287">
        <v>0.26848441568507392</v>
      </c>
      <c r="F154" s="1306">
        <v>0.10788442201873356</v>
      </c>
      <c r="G154" s="1303">
        <v>7.0411834116613932</v>
      </c>
      <c r="H154" s="1306">
        <v>0.82360189096799696</v>
      </c>
      <c r="I154" s="1303">
        <v>5.1685836471890789E-2</v>
      </c>
      <c r="J154" s="1306">
        <v>2.8334568765362076E-3</v>
      </c>
      <c r="K154" s="1303">
        <v>2.9958948622909069E-3</v>
      </c>
      <c r="L154" s="1288">
        <v>2.0000016771877867E-3</v>
      </c>
      <c r="M154" s="1230">
        <v>2.0000016771877867E-3</v>
      </c>
      <c r="N154" s="1303">
        <v>2.7202356197277979E-2</v>
      </c>
      <c r="O154" s="1288">
        <v>6.0461735875675495E-3</v>
      </c>
      <c r="P154" s="1237">
        <v>3.0230867937837747E-3</v>
      </c>
      <c r="Q154" s="1290">
        <v>5.4022840644647213E-2</v>
      </c>
    </row>
    <row r="155" spans="1:17" s="212" customFormat="1" ht="15.5" x14ac:dyDescent="0.35">
      <c r="A155" s="198">
        <v>2017</v>
      </c>
      <c r="B155" s="197" t="s">
        <v>5838</v>
      </c>
      <c r="C155" s="197">
        <v>2003</v>
      </c>
      <c r="D155" s="225" t="str">
        <f t="shared" si="0"/>
        <v>2017_2003</v>
      </c>
      <c r="E155" s="1287">
        <v>0.26150399805294944</v>
      </c>
      <c r="F155" s="1306">
        <v>8.6358336365742402E-2</v>
      </c>
      <c r="G155" s="1303">
        <v>7.0341456091395207</v>
      </c>
      <c r="H155" s="1306">
        <v>0.62685223509271404</v>
      </c>
      <c r="I155" s="1303">
        <v>5.0850260676641501E-2</v>
      </c>
      <c r="J155" s="1306">
        <v>2.8197288287619558E-3</v>
      </c>
      <c r="K155" s="1303">
        <v>2.9918296049104673E-3</v>
      </c>
      <c r="L155" s="1288">
        <v>2.0000016663564717E-3</v>
      </c>
      <c r="M155" s="1230">
        <v>2.0000016663564717E-3</v>
      </c>
      <c r="N155" s="1303">
        <v>2.7105564394116252E-2</v>
      </c>
      <c r="O155" s="1288">
        <v>6.4278243718144433E-3</v>
      </c>
      <c r="P155" s="1237">
        <v>3.2139121859072217E-3</v>
      </c>
      <c r="Q155" s="1290">
        <v>5.314948381974937E-2</v>
      </c>
    </row>
    <row r="156" spans="1:17" s="212" customFormat="1" ht="15.5" x14ac:dyDescent="0.35">
      <c r="A156" s="198">
        <v>2017</v>
      </c>
      <c r="B156" s="197" t="s">
        <v>5838</v>
      </c>
      <c r="C156" s="197">
        <v>2004</v>
      </c>
      <c r="D156" s="225" t="str">
        <f t="shared" si="0"/>
        <v>2017_2004</v>
      </c>
      <c r="E156" s="1287">
        <v>0.52740437264634954</v>
      </c>
      <c r="F156" s="1306">
        <v>1.713274938398238E-2</v>
      </c>
      <c r="G156" s="1303">
        <v>4.1419720650187157</v>
      </c>
      <c r="H156" s="1306">
        <v>0.10594051391141858</v>
      </c>
      <c r="I156" s="1303">
        <v>0.14308674480348482</v>
      </c>
      <c r="J156" s="1306">
        <v>1.8869621244671294E-4</v>
      </c>
      <c r="K156" s="1303">
        <v>2.9877968372151293E-3</v>
      </c>
      <c r="L156" s="1288">
        <v>2.0000017520327858E-3</v>
      </c>
      <c r="M156" s="1230">
        <v>2.0000017520327858E-3</v>
      </c>
      <c r="N156" s="1303">
        <v>2.7009639311292227E-2</v>
      </c>
      <c r="O156" s="1288">
        <v>5.9256975497754549E-3</v>
      </c>
      <c r="P156" s="1237">
        <v>2.9628487748877275E-3</v>
      </c>
      <c r="Q156" s="1290">
        <v>0.1495564924654712</v>
      </c>
    </row>
    <row r="157" spans="1:17" s="212" customFormat="1" ht="15.5" x14ac:dyDescent="0.35">
      <c r="A157" s="198">
        <v>2017</v>
      </c>
      <c r="B157" s="197" t="s">
        <v>5838</v>
      </c>
      <c r="C157" s="197">
        <v>2005</v>
      </c>
      <c r="D157" s="225" t="str">
        <f t="shared" si="0"/>
        <v>2017_2005</v>
      </c>
      <c r="E157" s="1287">
        <v>0.50493800670685396</v>
      </c>
      <c r="F157" s="1306">
        <v>1.5113063569111872E-2</v>
      </c>
      <c r="G157" s="1303">
        <v>4.0859503117376379</v>
      </c>
      <c r="H157" s="1306">
        <v>8.7249245848170939E-2</v>
      </c>
      <c r="I157" s="1303">
        <v>0.13881280152982936</v>
      </c>
      <c r="J157" s="1306">
        <v>1.8941028187567278E-4</v>
      </c>
      <c r="K157" s="1303">
        <v>2.9768851553051028E-3</v>
      </c>
      <c r="L157" s="1288">
        <v>2.0000017738475671E-3</v>
      </c>
      <c r="M157" s="1230">
        <v>2.0000017738475671E-3</v>
      </c>
      <c r="N157" s="1303">
        <v>2.6748725338716032E-2</v>
      </c>
      <c r="O157" s="1288">
        <v>5.0801467333119249E-3</v>
      </c>
      <c r="P157" s="1237">
        <v>2.5400733666559624E-3</v>
      </c>
      <c r="Q157" s="1290">
        <v>0.14508930044232432</v>
      </c>
    </row>
    <row r="158" spans="1:17" s="212" customFormat="1" ht="15.5" x14ac:dyDescent="0.35">
      <c r="A158" s="198">
        <v>2017</v>
      </c>
      <c r="B158" s="197" t="s">
        <v>5838</v>
      </c>
      <c r="C158" s="197">
        <v>2006</v>
      </c>
      <c r="D158" s="225" t="str">
        <f t="shared" si="0"/>
        <v>2017_2006</v>
      </c>
      <c r="E158" s="1287">
        <v>0.49148676925273432</v>
      </c>
      <c r="F158" s="1306">
        <v>5.6481284337455114E-3</v>
      </c>
      <c r="G158" s="1303">
        <v>4.0733080718657622</v>
      </c>
      <c r="H158" s="1306">
        <v>4.5746882891341031E-2</v>
      </c>
      <c r="I158" s="1303">
        <v>0.13656816550612347</v>
      </c>
      <c r="J158" s="1306">
        <v>1.8662294876040566E-4</v>
      </c>
      <c r="K158" s="1303">
        <v>2.9752439760393906E-3</v>
      </c>
      <c r="L158" s="1288">
        <v>2.0000017407894523E-3</v>
      </c>
      <c r="M158" s="1230">
        <v>2.0000017407894523E-3</v>
      </c>
      <c r="N158" s="1303">
        <v>2.6707124902521272E-2</v>
      </c>
      <c r="O158" s="1288">
        <v>7.0262283559499846E-3</v>
      </c>
      <c r="P158" s="1237">
        <v>3.5131141779749923E-3</v>
      </c>
      <c r="Q158" s="1290">
        <v>0.14274317193805131</v>
      </c>
    </row>
    <row r="159" spans="1:17" s="212" customFormat="1" ht="15.5" x14ac:dyDescent="0.35">
      <c r="A159" s="198">
        <v>2017</v>
      </c>
      <c r="B159" s="197" t="s">
        <v>5838</v>
      </c>
      <c r="C159" s="197">
        <v>2007</v>
      </c>
      <c r="D159" s="225" t="str">
        <f t="shared" si="0"/>
        <v>2017_2007</v>
      </c>
      <c r="E159" s="1287">
        <v>0.26422414269000455</v>
      </c>
      <c r="F159" s="1306">
        <v>7.8184959937420608E-3</v>
      </c>
      <c r="G159" s="1303">
        <v>2.2266456291987735</v>
      </c>
      <c r="H159" s="1306">
        <v>4.5171619692865775E-2</v>
      </c>
      <c r="I159" s="1303">
        <v>7.2097869809625709E-2</v>
      </c>
      <c r="J159" s="1306">
        <v>1.8883748400394171E-4</v>
      </c>
      <c r="K159" s="1303">
        <v>2.9452936497023742E-3</v>
      </c>
      <c r="L159" s="1288">
        <v>2.0000017169694156E-3</v>
      </c>
      <c r="M159" s="1230">
        <v>2.0000017169694156E-3</v>
      </c>
      <c r="N159" s="1303">
        <v>2.5986788305613684E-2</v>
      </c>
      <c r="O159" s="1288">
        <v>5.2761249796856495E-3</v>
      </c>
      <c r="P159" s="1237">
        <v>2.6380624898428248E-3</v>
      </c>
      <c r="Q159" s="1290">
        <v>7.5357815552857976E-2</v>
      </c>
    </row>
    <row r="160" spans="1:17" s="212" customFormat="1" ht="15.5" x14ac:dyDescent="0.35">
      <c r="A160" s="198">
        <v>2017</v>
      </c>
      <c r="B160" s="197" t="s">
        <v>5838</v>
      </c>
      <c r="C160" s="197">
        <v>2008</v>
      </c>
      <c r="D160" s="225" t="str">
        <f t="shared" si="0"/>
        <v>2017_2008</v>
      </c>
      <c r="E160" s="1287">
        <v>0.2604498500800646</v>
      </c>
      <c r="F160" s="1306">
        <v>7.4130989152380719E-3</v>
      </c>
      <c r="G160" s="1303">
        <v>2.2444001544400098</v>
      </c>
      <c r="H160" s="1306">
        <v>3.6746975909432565E-2</v>
      </c>
      <c r="I160" s="1303">
        <v>7.1546933760789425E-2</v>
      </c>
      <c r="J160" s="1306">
        <v>2.1409176187367089E-4</v>
      </c>
      <c r="K160" s="1303">
        <v>2.9583278954605076E-3</v>
      </c>
      <c r="L160" s="1288">
        <v>2.000001873084703E-3</v>
      </c>
      <c r="M160" s="1230">
        <v>2.000001873084703E-3</v>
      </c>
      <c r="N160" s="1303">
        <v>2.6298523197895642E-2</v>
      </c>
      <c r="O160" s="1288">
        <v>5.2428185410848156E-3</v>
      </c>
      <c r="P160" s="1237">
        <v>2.6214092705424078E-3</v>
      </c>
      <c r="Q160" s="1290">
        <v>7.4781968620635755E-2</v>
      </c>
    </row>
    <row r="161" spans="1:17" s="212" customFormat="1" ht="15.5" x14ac:dyDescent="0.35">
      <c r="A161" s="198">
        <v>2017</v>
      </c>
      <c r="B161" s="197" t="s">
        <v>5838</v>
      </c>
      <c r="C161" s="197">
        <v>2009</v>
      </c>
      <c r="D161" s="225" t="str">
        <f t="shared" si="0"/>
        <v>2017_2009</v>
      </c>
      <c r="E161" s="1287">
        <v>0.22276277772271952</v>
      </c>
      <c r="F161" s="1306">
        <v>7.1314619562890024E-3</v>
      </c>
      <c r="G161" s="1303">
        <v>1.9381377389204171</v>
      </c>
      <c r="H161" s="1306">
        <v>2.9421101769156292E-2</v>
      </c>
      <c r="I161" s="1303">
        <v>6.1597003011327506E-2</v>
      </c>
      <c r="J161" s="1306">
        <v>2.4099769691210041E-4</v>
      </c>
      <c r="K161" s="1303">
        <v>2.8239139938428179E-3</v>
      </c>
      <c r="L161" s="1288">
        <v>2.0000018742894945E-3</v>
      </c>
      <c r="M161" s="1230">
        <v>2.0000018742894945E-3</v>
      </c>
      <c r="N161" s="1303">
        <v>2.3071181597190685E-2</v>
      </c>
      <c r="O161" s="1288">
        <v>4.4394398471483323E-3</v>
      </c>
      <c r="P161" s="1237">
        <v>2.2197199235741661E-3</v>
      </c>
      <c r="Q161" s="1290">
        <v>6.4382146154847025E-2</v>
      </c>
    </row>
    <row r="162" spans="1:17" s="212" customFormat="1" ht="15.5" x14ac:dyDescent="0.35">
      <c r="A162" s="198">
        <v>2017</v>
      </c>
      <c r="B162" s="197" t="s">
        <v>5838</v>
      </c>
      <c r="C162" s="197">
        <v>2010</v>
      </c>
      <c r="D162" s="225" t="str">
        <f t="shared" si="0"/>
        <v>2017_2010</v>
      </c>
      <c r="E162" s="1287">
        <v>5.195108697726572E-2</v>
      </c>
      <c r="F162" s="1306">
        <v>6.2494092739027634E-3</v>
      </c>
      <c r="G162" s="1303">
        <v>0.3884214532341862</v>
      </c>
      <c r="H162" s="1306">
        <v>2.6250336195979447E-2</v>
      </c>
      <c r="I162" s="1303">
        <v>1.0551741067484174E-2</v>
      </c>
      <c r="J162" s="1306">
        <v>2.961499301757215E-4</v>
      </c>
      <c r="K162" s="1303">
        <v>2.7158554207932922E-3</v>
      </c>
      <c r="L162" s="1288">
        <v>2.0000019748484415E-3</v>
      </c>
      <c r="M162" s="1230">
        <v>2.0000019748484415E-3</v>
      </c>
      <c r="N162" s="1303">
        <v>2.046118821260267E-2</v>
      </c>
      <c r="O162" s="1288">
        <v>3.9524958921730632E-3</v>
      </c>
      <c r="P162" s="1237">
        <v>1.9762479460865316E-3</v>
      </c>
      <c r="Q162" s="1290">
        <v>1.1028843975898324E-2</v>
      </c>
    </row>
    <row r="163" spans="1:17" s="212" customFormat="1" ht="15.5" x14ac:dyDescent="0.35">
      <c r="A163" s="198">
        <v>2017</v>
      </c>
      <c r="B163" s="197" t="s">
        <v>5838</v>
      </c>
      <c r="C163" s="197">
        <v>2011</v>
      </c>
      <c r="D163" s="225" t="str">
        <f t="shared" si="0"/>
        <v>2017_2011</v>
      </c>
      <c r="E163" s="1287">
        <v>5.0947622093261563E-2</v>
      </c>
      <c r="F163" s="1306">
        <v>6.224336154448046E-3</v>
      </c>
      <c r="G163" s="1303">
        <v>0.37718205214070455</v>
      </c>
      <c r="H163" s="1306">
        <v>2.5316112114864085E-2</v>
      </c>
      <c r="I163" s="1303">
        <v>9.8039042403304574E-3</v>
      </c>
      <c r="J163" s="1306">
        <v>4.0089453802536786E-4</v>
      </c>
      <c r="K163" s="1303">
        <v>2.7295648568726829E-3</v>
      </c>
      <c r="L163" s="1288">
        <v>2.0000019870380498E-3</v>
      </c>
      <c r="M163" s="1230">
        <v>2.0000019870380498E-3</v>
      </c>
      <c r="N163" s="1303">
        <v>2.0764431925339014E-2</v>
      </c>
      <c r="O163" s="1288">
        <v>4.0283402706824028E-3</v>
      </c>
      <c r="P163" s="1237">
        <v>2.0141701353412014E-3</v>
      </c>
      <c r="Q163" s="1290">
        <v>1.0247193285897474E-2</v>
      </c>
    </row>
    <row r="164" spans="1:17" s="212" customFormat="1" ht="15.5" x14ac:dyDescent="0.35">
      <c r="A164" s="198">
        <v>2017</v>
      </c>
      <c r="B164" s="197" t="s">
        <v>5838</v>
      </c>
      <c r="C164" s="197">
        <v>2012</v>
      </c>
      <c r="D164" s="225" t="str">
        <f t="shared" si="0"/>
        <v>2017_2012</v>
      </c>
      <c r="E164" s="1287">
        <v>4.263045155706581E-2</v>
      </c>
      <c r="F164" s="1306">
        <v>5.7122763480892602E-3</v>
      </c>
      <c r="G164" s="1303">
        <v>0.29861018705466585</v>
      </c>
      <c r="H164" s="1306">
        <v>2.3303987555508797E-2</v>
      </c>
      <c r="I164" s="1303">
        <v>8.0043964506054319E-3</v>
      </c>
      <c r="J164" s="1306">
        <v>5.8044538905695675E-4</v>
      </c>
      <c r="K164" s="1303">
        <v>2.5942569640210683E-3</v>
      </c>
      <c r="L164" s="1288">
        <v>2.0000019601460694E-3</v>
      </c>
      <c r="M164" s="1230">
        <v>2.0000019601460694E-3</v>
      </c>
      <c r="N164" s="1303">
        <v>1.7439998365388898E-2</v>
      </c>
      <c r="O164" s="1288">
        <v>4.464249489413416E-3</v>
      </c>
      <c r="P164" s="1237">
        <v>2.232124744706708E-3</v>
      </c>
      <c r="Q164" s="1290">
        <v>8.3663197391186071E-3</v>
      </c>
    </row>
    <row r="165" spans="1:17" s="212" customFormat="1" ht="15.5" x14ac:dyDescent="0.35">
      <c r="A165" s="198">
        <v>2017</v>
      </c>
      <c r="B165" s="197" t="s">
        <v>5838</v>
      </c>
      <c r="C165" s="197">
        <v>2013</v>
      </c>
      <c r="D165" s="225" t="str">
        <f t="shared" si="0"/>
        <v>2017_2013</v>
      </c>
      <c r="E165" s="1287">
        <v>4.9765234969142508E-2</v>
      </c>
      <c r="F165" s="1306">
        <v>6.1781974336131314E-3</v>
      </c>
      <c r="G165" s="1303">
        <v>0.3516016923365336</v>
      </c>
      <c r="H165" s="1306">
        <v>2.2819581325545516E-2</v>
      </c>
      <c r="I165" s="1303">
        <v>8.2498540670030724E-3</v>
      </c>
      <c r="J165" s="1306">
        <v>8.6738637801241449E-4</v>
      </c>
      <c r="K165" s="1303">
        <v>2.7474821738638689E-3</v>
      </c>
      <c r="L165" s="1288">
        <v>2.0000019842630803E-3</v>
      </c>
      <c r="M165" s="1230">
        <v>2.0000019842630803E-3</v>
      </c>
      <c r="N165" s="1303">
        <v>2.117058405539041E-2</v>
      </c>
      <c r="O165" s="1288">
        <v>4.484591061112795E-3</v>
      </c>
      <c r="P165" s="1237">
        <v>2.2422955305563975E-3</v>
      </c>
      <c r="Q165" s="1290">
        <v>8.6228758597277043E-3</v>
      </c>
    </row>
    <row r="166" spans="1:17" s="212" customFormat="1" ht="15.5" x14ac:dyDescent="0.35">
      <c r="A166" s="198">
        <v>2017</v>
      </c>
      <c r="B166" s="197" t="s">
        <v>5838</v>
      </c>
      <c r="C166" s="197">
        <v>2014</v>
      </c>
      <c r="D166" s="225" t="str">
        <f t="shared" si="0"/>
        <v>2017_2014</v>
      </c>
      <c r="E166" s="1287">
        <v>4.2261524940134687E-2</v>
      </c>
      <c r="F166" s="1306">
        <v>6.1307750780076201E-3</v>
      </c>
      <c r="G166" s="1303">
        <v>0.28365938586856526</v>
      </c>
      <c r="H166" s="1306">
        <v>2.146471836107542E-2</v>
      </c>
      <c r="I166" s="1303">
        <v>6.6611041164643453E-3</v>
      </c>
      <c r="J166" s="1306">
        <v>1.2217671290485478E-3</v>
      </c>
      <c r="K166" s="1303">
        <v>2.6297558356332441E-3</v>
      </c>
      <c r="L166" s="1288">
        <v>2.0000019854902033E-3</v>
      </c>
      <c r="M166" s="1230">
        <v>2.0000019854902033E-3</v>
      </c>
      <c r="N166" s="1303">
        <v>1.8266381692880997E-2</v>
      </c>
      <c r="O166" s="1288">
        <v>3.8146062116973722E-3</v>
      </c>
      <c r="P166" s="1237">
        <v>1.9073031058486861E-3</v>
      </c>
      <c r="Q166" s="1290">
        <v>6.9622896863991111E-3</v>
      </c>
    </row>
    <row r="167" spans="1:17" s="212" customFormat="1" ht="15.5" x14ac:dyDescent="0.35">
      <c r="A167" s="198">
        <v>2017</v>
      </c>
      <c r="B167" s="197" t="s">
        <v>5838</v>
      </c>
      <c r="C167" s="197">
        <v>2015</v>
      </c>
      <c r="D167" s="225" t="str">
        <f t="shared" si="0"/>
        <v>2017_2015</v>
      </c>
      <c r="E167" s="1287">
        <v>3.9147732793827952E-2</v>
      </c>
      <c r="F167" s="1306">
        <v>5.9033426710155016E-3</v>
      </c>
      <c r="G167" s="1303">
        <v>0.25460608566699439</v>
      </c>
      <c r="H167" s="1306">
        <v>1.9937282294754971E-2</v>
      </c>
      <c r="I167" s="1303">
        <v>5.6367651593696643E-3</v>
      </c>
      <c r="J167" s="1306">
        <v>1.5068512078321807E-3</v>
      </c>
      <c r="K167" s="1303">
        <v>2.601168923812226E-3</v>
      </c>
      <c r="L167" s="1288">
        <v>2.0000019146984172E-3</v>
      </c>
      <c r="M167" s="1230">
        <v>2.0000019146984172E-3</v>
      </c>
      <c r="N167" s="1303">
        <v>1.7523596019706402E-2</v>
      </c>
      <c r="O167" s="1288">
        <v>5.0327914616290466E-3</v>
      </c>
      <c r="P167" s="1237">
        <v>2.5163957308145233E-3</v>
      </c>
      <c r="Q167" s="1290">
        <v>5.8916346671014112E-3</v>
      </c>
    </row>
    <row r="168" spans="1:17" s="212" customFormat="1" ht="15.5" x14ac:dyDescent="0.35">
      <c r="A168" s="198">
        <v>2017</v>
      </c>
      <c r="B168" s="197" t="s">
        <v>5838</v>
      </c>
      <c r="C168" s="197">
        <v>2016</v>
      </c>
      <c r="D168" s="225" t="str">
        <f t="shared" si="0"/>
        <v>2017_2016</v>
      </c>
      <c r="E168" s="1287">
        <v>4.7700977739403967E-2</v>
      </c>
      <c r="F168" s="1306">
        <v>5.7657731548132786E-3</v>
      </c>
      <c r="G168" s="1303">
        <v>0.27573305063125692</v>
      </c>
      <c r="H168" s="1306">
        <v>1.8897230292283174E-2</v>
      </c>
      <c r="I168" s="1303">
        <v>5.4351943302720735E-3</v>
      </c>
      <c r="J168" s="1306">
        <v>1.7201590399833163E-3</v>
      </c>
      <c r="K168" s="1303">
        <v>2.8110477188675906E-3</v>
      </c>
      <c r="L168" s="1288">
        <v>2.0000018907107048E-3</v>
      </c>
      <c r="M168" s="1230">
        <v>2.0000018907107048E-3</v>
      </c>
      <c r="N168" s="1303">
        <v>2.2654791962156567E-2</v>
      </c>
      <c r="O168" s="1288">
        <v>5.8811463417569104E-3</v>
      </c>
      <c r="P168" s="1237">
        <v>2.9405731708784552E-3</v>
      </c>
      <c r="Q168" s="1290">
        <v>5.680949699569335E-3</v>
      </c>
    </row>
    <row r="169" spans="1:17" s="212" customFormat="1" ht="15.5" x14ac:dyDescent="0.35">
      <c r="A169" s="198">
        <v>2017</v>
      </c>
      <c r="B169" s="197" t="s">
        <v>5838</v>
      </c>
      <c r="C169" s="197">
        <v>2017</v>
      </c>
      <c r="D169" s="225" t="str">
        <f t="shared" si="0"/>
        <v>2017_2017</v>
      </c>
      <c r="E169" s="1287">
        <v>5.1758048805020586E-2</v>
      </c>
      <c r="F169" s="1306">
        <v>5.2909811378897701E-3</v>
      </c>
      <c r="G169" s="1303">
        <v>0.2520155242089977</v>
      </c>
      <c r="H169" s="1306">
        <v>1.6788420277816671E-2</v>
      </c>
      <c r="I169" s="1303">
        <v>4.5744712861680225E-3</v>
      </c>
      <c r="J169" s="1306">
        <v>1.863037584775172E-3</v>
      </c>
      <c r="K169" s="1303">
        <v>2.9325141523880599E-3</v>
      </c>
      <c r="L169" s="1288">
        <v>2.000001837037696E-3</v>
      </c>
      <c r="M169" s="1230">
        <v>2.000001837037696E-3</v>
      </c>
      <c r="N169" s="1303">
        <v>2.564405906891562E-2</v>
      </c>
      <c r="O169" s="1288">
        <v>5.4772400689324097E-3</v>
      </c>
      <c r="P169" s="1237">
        <v>2.7386200344662048E-3</v>
      </c>
      <c r="Q169" s="1290">
        <v>4.7813085788128359E-3</v>
      </c>
    </row>
    <row r="170" spans="1:17" s="212" customFormat="1" ht="15.5" x14ac:dyDescent="0.35">
      <c r="A170" s="198">
        <v>2017</v>
      </c>
      <c r="B170" s="197" t="s">
        <v>5838</v>
      </c>
      <c r="C170" s="197">
        <v>2018</v>
      </c>
      <c r="D170" s="225" t="str">
        <f t="shared" si="0"/>
        <v>2017_2018</v>
      </c>
      <c r="E170" s="1291">
        <v>5.1758048805020586E-2</v>
      </c>
      <c r="F170" s="1280">
        <v>5.2909811378897701E-3</v>
      </c>
      <c r="G170" s="1271">
        <v>0.2520155242089977</v>
      </c>
      <c r="H170" s="1280">
        <v>1.6788420277816671E-2</v>
      </c>
      <c r="I170" s="1271">
        <v>4.5744712861680225E-3</v>
      </c>
      <c r="J170" s="1280">
        <v>1.863037584775172E-3</v>
      </c>
      <c r="K170" s="1271">
        <v>2.9325141523880599E-3</v>
      </c>
      <c r="L170" s="1257">
        <v>2.000001837037696E-3</v>
      </c>
      <c r="M170" s="1230">
        <v>2.000001837037696E-3</v>
      </c>
      <c r="N170" s="1271">
        <v>2.564405906891562E-2</v>
      </c>
      <c r="O170" s="1257">
        <v>5.4772400689324097E-3</v>
      </c>
      <c r="P170" s="1237">
        <v>2.7386200344662048E-3</v>
      </c>
      <c r="Q170" s="1292">
        <v>4.7813085788128359E-3</v>
      </c>
    </row>
    <row r="171" spans="1:17" s="212" customFormat="1" ht="15.5" x14ac:dyDescent="0.35">
      <c r="A171" s="198">
        <v>2018</v>
      </c>
      <c r="B171" s="197" t="s">
        <v>5838</v>
      </c>
      <c r="C171" s="197">
        <v>1971</v>
      </c>
      <c r="D171" s="225" t="str">
        <f t="shared" si="0"/>
        <v>2018_1971</v>
      </c>
      <c r="E171" s="1291">
        <v>0.53032691719760172</v>
      </c>
      <c r="F171" s="1280">
        <v>5.6495875375813602</v>
      </c>
      <c r="G171" s="1271">
        <v>3.6724067523569865</v>
      </c>
      <c r="H171" s="1280">
        <v>3.9782532642470545</v>
      </c>
      <c r="I171" s="1271">
        <v>0.37866063877219597</v>
      </c>
      <c r="J171" s="1280">
        <v>5.4145185128813902E-2</v>
      </c>
      <c r="K171" s="1271">
        <v>2.5094685528828987E-3</v>
      </c>
      <c r="L171" s="1257">
        <v>2.0000013952399345E-3</v>
      </c>
      <c r="M171" s="1230">
        <v>2.0000013952399345E-3</v>
      </c>
      <c r="N171" s="1271">
        <v>1.5858953226248532E-2</v>
      </c>
      <c r="O171" s="1257">
        <v>1.0221326207047949E-2</v>
      </c>
      <c r="P171" s="1237">
        <v>5.1106631035239746E-3</v>
      </c>
      <c r="Q171" s="1292">
        <v>0.39578199257577595</v>
      </c>
    </row>
    <row r="172" spans="1:17" s="212" customFormat="1" ht="15.5" x14ac:dyDescent="0.35">
      <c r="A172" s="198">
        <v>2018</v>
      </c>
      <c r="B172" s="197" t="s">
        <v>5838</v>
      </c>
      <c r="C172" s="197">
        <v>1972</v>
      </c>
      <c r="D172" s="225" t="str">
        <f t="shared" si="0"/>
        <v>2018_1972</v>
      </c>
      <c r="E172" s="1291">
        <v>0.53032691719760172</v>
      </c>
      <c r="F172" s="1280">
        <v>5.6495875375813602</v>
      </c>
      <c r="G172" s="1271">
        <v>3.6724067523569865</v>
      </c>
      <c r="H172" s="1280">
        <v>3.9782532642470545</v>
      </c>
      <c r="I172" s="1271">
        <v>0.37866063877219597</v>
      </c>
      <c r="J172" s="1280">
        <v>5.4145185128813902E-2</v>
      </c>
      <c r="K172" s="1271">
        <v>2.5094685528828987E-3</v>
      </c>
      <c r="L172" s="1257">
        <v>2.0000013952399345E-3</v>
      </c>
      <c r="M172" s="1230">
        <v>2.0000013952399345E-3</v>
      </c>
      <c r="N172" s="1271">
        <v>1.5858953226248532E-2</v>
      </c>
      <c r="O172" s="1257">
        <v>1.0221326207047949E-2</v>
      </c>
      <c r="P172" s="1237">
        <v>5.1106631035239746E-3</v>
      </c>
      <c r="Q172" s="1292">
        <v>0.39578199257577595</v>
      </c>
    </row>
    <row r="173" spans="1:17" s="212" customFormat="1" ht="15.5" x14ac:dyDescent="0.35">
      <c r="A173" s="198">
        <v>2018</v>
      </c>
      <c r="B173" s="197" t="s">
        <v>5838</v>
      </c>
      <c r="C173" s="197">
        <v>1973</v>
      </c>
      <c r="D173" s="225" t="str">
        <f t="shared" si="0"/>
        <v>2018_1973</v>
      </c>
      <c r="E173" s="1291">
        <v>0.53032691719760172</v>
      </c>
      <c r="F173" s="1280">
        <v>5.6495875375813602</v>
      </c>
      <c r="G173" s="1271">
        <v>3.6724067523569865</v>
      </c>
      <c r="H173" s="1280">
        <v>3.9782532642470545</v>
      </c>
      <c r="I173" s="1271">
        <v>0.37866063877219597</v>
      </c>
      <c r="J173" s="1280">
        <v>5.4145185128813902E-2</v>
      </c>
      <c r="K173" s="1271">
        <v>2.5094685528828987E-3</v>
      </c>
      <c r="L173" s="1257">
        <v>2.0000013952399345E-3</v>
      </c>
      <c r="M173" s="1230">
        <v>2.0000013952399345E-3</v>
      </c>
      <c r="N173" s="1271">
        <v>1.5858953226248532E-2</v>
      </c>
      <c r="O173" s="1257">
        <v>1.0221326207047949E-2</v>
      </c>
      <c r="P173" s="1237">
        <v>5.1106631035239746E-3</v>
      </c>
      <c r="Q173" s="1292">
        <v>0.39578199257577595</v>
      </c>
    </row>
    <row r="174" spans="1:17" s="212" customFormat="1" ht="15.5" x14ac:dyDescent="0.35">
      <c r="A174" s="198">
        <v>2018</v>
      </c>
      <c r="B174" s="197" t="s">
        <v>5838</v>
      </c>
      <c r="C174" s="197">
        <v>1974</v>
      </c>
      <c r="D174" s="225" t="str">
        <f t="shared" si="0"/>
        <v>2018_1974</v>
      </c>
      <c r="E174" s="1287">
        <v>0.53032691719760172</v>
      </c>
      <c r="F174" s="1306">
        <v>5.6495875375813602</v>
      </c>
      <c r="G174" s="1303">
        <v>3.6724067523569865</v>
      </c>
      <c r="H174" s="1306">
        <v>3.9782532642470545</v>
      </c>
      <c r="I174" s="1303">
        <v>0.37866063877219597</v>
      </c>
      <c r="J174" s="1306">
        <v>5.4145185128813902E-2</v>
      </c>
      <c r="K174" s="1303">
        <v>2.5094685528828987E-3</v>
      </c>
      <c r="L174" s="1288">
        <v>2.0000013952399345E-3</v>
      </c>
      <c r="M174" s="1230">
        <v>2.0000013952399345E-3</v>
      </c>
      <c r="N174" s="1303">
        <v>1.5858953226248532E-2</v>
      </c>
      <c r="O174" s="1288">
        <v>1.0221326207047949E-2</v>
      </c>
      <c r="P174" s="1237">
        <v>5.1106631035239746E-3</v>
      </c>
      <c r="Q174" s="1290">
        <v>0.39578199257577595</v>
      </c>
    </row>
    <row r="175" spans="1:17" s="212" customFormat="1" ht="15.5" x14ac:dyDescent="0.35">
      <c r="A175" s="198">
        <v>2018</v>
      </c>
      <c r="B175" s="197" t="s">
        <v>5838</v>
      </c>
      <c r="C175" s="197">
        <v>1975</v>
      </c>
      <c r="D175" s="225" t="str">
        <f t="shared" si="0"/>
        <v>2018_1975</v>
      </c>
      <c r="E175" s="1287">
        <v>0.50923874569101357</v>
      </c>
      <c r="F175" s="1306">
        <v>5.5258334071615876</v>
      </c>
      <c r="G175" s="1303">
        <v>3.8794782721501764</v>
      </c>
      <c r="H175" s="1306">
        <v>4.5586331925411034</v>
      </c>
      <c r="I175" s="1303">
        <v>0.36354245315521544</v>
      </c>
      <c r="J175" s="1306">
        <v>5.4602402440554768E-2</v>
      </c>
      <c r="K175" s="1303">
        <v>2.5333114012472285E-3</v>
      </c>
      <c r="L175" s="1288">
        <v>2.0000014119879723E-3</v>
      </c>
      <c r="M175" s="1230">
        <v>2.0000014119879723E-3</v>
      </c>
      <c r="N175" s="1303">
        <v>1.6398021371911268E-2</v>
      </c>
      <c r="O175" s="1288">
        <v>9.6453270404958935E-3</v>
      </c>
      <c r="P175" s="1237">
        <v>4.8226635202479468E-3</v>
      </c>
      <c r="Q175" s="1290">
        <v>0.37998022969115025</v>
      </c>
    </row>
    <row r="176" spans="1:17" s="212" customFormat="1" ht="15.5" x14ac:dyDescent="0.35">
      <c r="A176" s="198">
        <v>2018</v>
      </c>
      <c r="B176" s="197" t="s">
        <v>5838</v>
      </c>
      <c r="C176" s="197">
        <v>1976</v>
      </c>
      <c r="D176" s="225" t="str">
        <f t="shared" si="0"/>
        <v>2018_1976</v>
      </c>
      <c r="E176" s="1287">
        <v>0.59514736743473817</v>
      </c>
      <c r="F176" s="1306">
        <v>7.7854350877173086</v>
      </c>
      <c r="G176" s="1303">
        <v>3.0619928085917345</v>
      </c>
      <c r="H176" s="1306">
        <v>10.393802780882552</v>
      </c>
      <c r="I176" s="1303">
        <v>0.41886029782923656</v>
      </c>
      <c r="J176" s="1306">
        <v>5.4967886367992186E-2</v>
      </c>
      <c r="K176" s="1303">
        <v>2.3074303817536002E-3</v>
      </c>
      <c r="L176" s="1288">
        <v>2.0000013818925197E-3</v>
      </c>
      <c r="M176" s="1230">
        <v>2.0000013818925197E-3</v>
      </c>
      <c r="N176" s="1303">
        <v>1.1117414419754119E-2</v>
      </c>
      <c r="O176" s="1288">
        <v>8.6395771191030823E-3</v>
      </c>
      <c r="P176" s="1237">
        <v>4.3197885595515411E-3</v>
      </c>
      <c r="Q176" s="1290">
        <v>0.43779930183203031</v>
      </c>
    </row>
    <row r="177" spans="1:17" s="212" customFormat="1" ht="15.5" x14ac:dyDescent="0.35">
      <c r="A177" s="198">
        <v>2018</v>
      </c>
      <c r="B177" s="197" t="s">
        <v>5838</v>
      </c>
      <c r="C177" s="197">
        <v>1977</v>
      </c>
      <c r="D177" s="225" t="str">
        <f t="shared" si="0"/>
        <v>2018_1977</v>
      </c>
      <c r="E177" s="1287">
        <v>0.58539040634840889</v>
      </c>
      <c r="F177" s="1306">
        <v>7.6444355962493562</v>
      </c>
      <c r="G177" s="1303">
        <v>3.137028141218424</v>
      </c>
      <c r="H177" s="1306">
        <v>11.13428112137392</v>
      </c>
      <c r="I177" s="1303">
        <v>0.41284480310956112</v>
      </c>
      <c r="J177" s="1306">
        <v>5.0958448765604632E-2</v>
      </c>
      <c r="K177" s="1303">
        <v>2.3508204963266339E-3</v>
      </c>
      <c r="L177" s="1288">
        <v>2.0000014058310835E-3</v>
      </c>
      <c r="M177" s="1230">
        <v>2.0000014058310835E-3</v>
      </c>
      <c r="N177" s="1303">
        <v>1.2105704543982155E-2</v>
      </c>
      <c r="O177" s="1288">
        <v>7.3522473220310261E-3</v>
      </c>
      <c r="P177" s="1237">
        <v>3.676123661015513E-3</v>
      </c>
      <c r="Q177" s="1290">
        <v>0.43151181313449416</v>
      </c>
    </row>
    <row r="178" spans="1:17" s="212" customFormat="1" ht="15.5" x14ac:dyDescent="0.35">
      <c r="A178" s="198">
        <v>2018</v>
      </c>
      <c r="B178" s="197" t="s">
        <v>5838</v>
      </c>
      <c r="C178" s="197">
        <v>1978</v>
      </c>
      <c r="D178" s="225" t="str">
        <f t="shared" si="0"/>
        <v>2018_1978</v>
      </c>
      <c r="E178" s="1287">
        <v>0.65379942489745069</v>
      </c>
      <c r="F178" s="1306">
        <v>1.7691568325438516</v>
      </c>
      <c r="G178" s="1303">
        <v>2.7367703352111907</v>
      </c>
      <c r="H178" s="1306">
        <v>4.6218451324342986</v>
      </c>
      <c r="I178" s="1303">
        <v>0.45885870625193764</v>
      </c>
      <c r="J178" s="1306">
        <v>4.4456947145112655E-2</v>
      </c>
      <c r="K178" s="1303">
        <v>2.219177941072016E-3</v>
      </c>
      <c r="L178" s="1288">
        <v>2.0000013378812338E-3</v>
      </c>
      <c r="M178" s="1230">
        <v>2.0000013378812338E-3</v>
      </c>
      <c r="N178" s="1303">
        <v>8.9785547820984083E-3</v>
      </c>
      <c r="O178" s="1288">
        <v>8.8101103773042706E-3</v>
      </c>
      <c r="P178" s="1237">
        <v>4.4050551886521353E-3</v>
      </c>
      <c r="Q178" s="1290">
        <v>0.47960626079329799</v>
      </c>
    </row>
    <row r="179" spans="1:17" s="212" customFormat="1" ht="15.5" x14ac:dyDescent="0.35">
      <c r="A179" s="198">
        <v>2018</v>
      </c>
      <c r="B179" s="197" t="s">
        <v>5838</v>
      </c>
      <c r="C179" s="197">
        <v>1979</v>
      </c>
      <c r="D179" s="225" t="str">
        <f t="shared" si="0"/>
        <v>2018_1979</v>
      </c>
      <c r="E179" s="1287">
        <v>0.57276407127918472</v>
      </c>
      <c r="F179" s="1306">
        <v>1.7709393790183052</v>
      </c>
      <c r="G179" s="1303">
        <v>3.1554614149065685</v>
      </c>
      <c r="H179" s="1306">
        <v>4.4626634795460998</v>
      </c>
      <c r="I179" s="1303">
        <v>0.40443557255655388</v>
      </c>
      <c r="J179" s="1306">
        <v>4.4082602201775387E-2</v>
      </c>
      <c r="K179" s="1303">
        <v>2.3646059846300369E-3</v>
      </c>
      <c r="L179" s="1288">
        <v>2.0000012513375753E-3</v>
      </c>
      <c r="M179" s="1230">
        <v>2.0000012513375753E-3</v>
      </c>
      <c r="N179" s="1303">
        <v>1.2223881029387722E-2</v>
      </c>
      <c r="O179" s="1288">
        <v>9.0305360025830783E-3</v>
      </c>
      <c r="P179" s="1237">
        <v>4.5152680012915392E-3</v>
      </c>
      <c r="Q179" s="1290">
        <v>0.42272235449128787</v>
      </c>
    </row>
    <row r="180" spans="1:17" s="212" customFormat="1" ht="15.5" x14ac:dyDescent="0.35">
      <c r="A180" s="198">
        <v>2018</v>
      </c>
      <c r="B180" s="197" t="s">
        <v>5838</v>
      </c>
      <c r="C180" s="197">
        <v>1980</v>
      </c>
      <c r="D180" s="225" t="str">
        <f t="shared" si="0"/>
        <v>2018_1980</v>
      </c>
      <c r="E180" s="1287">
        <v>0.32200362816847777</v>
      </c>
      <c r="F180" s="1306">
        <v>2.1508201044422588</v>
      </c>
      <c r="G180" s="1303">
        <v>2.5409448143461959</v>
      </c>
      <c r="H180" s="1306">
        <v>4.2734730684767523</v>
      </c>
      <c r="I180" s="1303">
        <v>0.25565932073837327</v>
      </c>
      <c r="J180" s="1306">
        <v>3.6111437976545278E-2</v>
      </c>
      <c r="K180" s="1303">
        <v>2.217024429282823E-3</v>
      </c>
      <c r="L180" s="1288">
        <v>2.0000010601602869E-3</v>
      </c>
      <c r="M180" s="1230">
        <v>2.0000010601602869E-3</v>
      </c>
      <c r="N180" s="1303">
        <v>8.9603581571559322E-3</v>
      </c>
      <c r="O180" s="1288">
        <v>1.4077495575649329E-2</v>
      </c>
      <c r="P180" s="1237">
        <v>7.0387477878246646E-3</v>
      </c>
      <c r="Q180" s="1290">
        <v>0.26721910075072858</v>
      </c>
    </row>
    <row r="181" spans="1:17" s="212" customFormat="1" ht="15.5" x14ac:dyDescent="0.35">
      <c r="A181" s="198">
        <v>2018</v>
      </c>
      <c r="B181" s="197" t="s">
        <v>5838</v>
      </c>
      <c r="C181" s="197">
        <v>1981</v>
      </c>
      <c r="D181" s="225" t="str">
        <f t="shared" si="0"/>
        <v>2018_1981</v>
      </c>
      <c r="E181" s="1287">
        <v>0.29699588163738838</v>
      </c>
      <c r="F181" s="1306">
        <v>2.209593092261199</v>
      </c>
      <c r="G181" s="1303">
        <v>3.1429168773101432</v>
      </c>
      <c r="H181" s="1306">
        <v>3.8207273460870765</v>
      </c>
      <c r="I181" s="1303">
        <v>0.2339728614485849</v>
      </c>
      <c r="J181" s="1306">
        <v>1.7427017524017464E-2</v>
      </c>
      <c r="K181" s="1303">
        <v>2.383439127618325E-3</v>
      </c>
      <c r="L181" s="1288">
        <v>2.0000008699586997E-3</v>
      </c>
      <c r="M181" s="1230">
        <v>2.0000008699586997E-3</v>
      </c>
      <c r="N181" s="1303">
        <v>1.2880716343968033E-2</v>
      </c>
      <c r="O181" s="1288">
        <v>1.7588147243371804E-2</v>
      </c>
      <c r="P181" s="1237">
        <v>8.7940736216859019E-3</v>
      </c>
      <c r="Q181" s="1290">
        <v>0.24455207600409418</v>
      </c>
    </row>
    <row r="182" spans="1:17" s="212" customFormat="1" ht="15.5" x14ac:dyDescent="0.35">
      <c r="A182" s="198">
        <v>2018</v>
      </c>
      <c r="B182" s="197" t="s">
        <v>5838</v>
      </c>
      <c r="C182" s="197">
        <v>1982</v>
      </c>
      <c r="D182" s="225" t="str">
        <f t="shared" si="0"/>
        <v>2018_1982</v>
      </c>
      <c r="E182" s="1287">
        <v>0.28130315759329888</v>
      </c>
      <c r="F182" s="1306">
        <v>2.0637095639097804</v>
      </c>
      <c r="G182" s="1303">
        <v>3.5978232581014122</v>
      </c>
      <c r="H182" s="1306">
        <v>3.5032148405778032</v>
      </c>
      <c r="I182" s="1303">
        <v>0.21978345164263796</v>
      </c>
      <c r="J182" s="1306">
        <v>1.7573172798763304E-2</v>
      </c>
      <c r="K182" s="1303">
        <v>2.520911602682141E-3</v>
      </c>
      <c r="L182" s="1288">
        <v>2.000001006197856E-3</v>
      </c>
      <c r="M182" s="1230">
        <v>2.000001006197856E-3</v>
      </c>
      <c r="N182" s="1303">
        <v>1.6011540187461721E-2</v>
      </c>
      <c r="O182" s="1288">
        <v>1.658948903670792E-2</v>
      </c>
      <c r="P182" s="1237">
        <v>8.2947445183539602E-3</v>
      </c>
      <c r="Q182" s="1290">
        <v>0.22972108405129571</v>
      </c>
    </row>
    <row r="183" spans="1:17" s="212" customFormat="1" ht="15.5" x14ac:dyDescent="0.35">
      <c r="A183" s="198">
        <v>2018</v>
      </c>
      <c r="B183" s="197" t="s">
        <v>5838</v>
      </c>
      <c r="C183" s="197">
        <v>1983</v>
      </c>
      <c r="D183" s="225" t="str">
        <f t="shared" si="0"/>
        <v>2018_1983</v>
      </c>
      <c r="E183" s="1287">
        <v>0.21984013899566152</v>
      </c>
      <c r="F183" s="1306">
        <v>1.6992811984017981</v>
      </c>
      <c r="G183" s="1303">
        <v>3.8464248256595313</v>
      </c>
      <c r="H183" s="1306">
        <v>3.2856275073535302</v>
      </c>
      <c r="I183" s="1303">
        <v>0.20150307479444476</v>
      </c>
      <c r="J183" s="1306">
        <v>1.728749839195725E-2</v>
      </c>
      <c r="K183" s="1303">
        <v>2.6416667528213417E-3</v>
      </c>
      <c r="L183" s="1288">
        <v>2.0000010304273967E-3</v>
      </c>
      <c r="M183" s="1230">
        <v>2.0000010304273967E-3</v>
      </c>
      <c r="N183" s="1303">
        <v>1.8860050175669142E-2</v>
      </c>
      <c r="O183" s="1288">
        <v>1.4512851884082516E-2</v>
      </c>
      <c r="P183" s="1237">
        <v>7.2564259420412579E-3</v>
      </c>
      <c r="Q183" s="1290">
        <v>0.21061414967999834</v>
      </c>
    </row>
    <row r="184" spans="1:17" s="212" customFormat="1" ht="15.5" x14ac:dyDescent="0.35">
      <c r="A184" s="198">
        <v>2018</v>
      </c>
      <c r="B184" s="197" t="s">
        <v>5838</v>
      </c>
      <c r="C184" s="197">
        <v>1984</v>
      </c>
      <c r="D184" s="225" t="str">
        <f t="shared" si="0"/>
        <v>2018_1984</v>
      </c>
      <c r="E184" s="1287">
        <v>0.2530500038902786</v>
      </c>
      <c r="F184" s="1306">
        <v>1.3372342484204365</v>
      </c>
      <c r="G184" s="1303">
        <v>4.369335779028205</v>
      </c>
      <c r="H184" s="1306">
        <v>3.3939086009984343</v>
      </c>
      <c r="I184" s="1303">
        <v>0.18174444831564696</v>
      </c>
      <c r="J184" s="1306">
        <v>1.78806676439449E-2</v>
      </c>
      <c r="K184" s="1303">
        <v>2.8007867153508671E-3</v>
      </c>
      <c r="L184" s="1288">
        <v>2.0000009958534501E-3</v>
      </c>
      <c r="M184" s="1230">
        <v>2.0000009958534501E-3</v>
      </c>
      <c r="N184" s="1303">
        <v>2.2603291779550352E-2</v>
      </c>
      <c r="O184" s="1288">
        <v>1.4820294875579747E-2</v>
      </c>
      <c r="P184" s="1237">
        <v>7.4101474377898735E-3</v>
      </c>
      <c r="Q184" s="1290">
        <v>0.18996212578943478</v>
      </c>
    </row>
    <row r="185" spans="1:17" s="212" customFormat="1" ht="15.5" x14ac:dyDescent="0.35">
      <c r="A185" s="198">
        <v>2018</v>
      </c>
      <c r="B185" s="197" t="s">
        <v>5838</v>
      </c>
      <c r="C185" s="197">
        <v>1985</v>
      </c>
      <c r="D185" s="225" t="str">
        <f t="shared" si="0"/>
        <v>2018_1985</v>
      </c>
      <c r="E185" s="1287">
        <v>0.24583408607203547</v>
      </c>
      <c r="F185" s="1306">
        <v>1.2229935700603476</v>
      </c>
      <c r="G185" s="1303">
        <v>4.6602378629736201</v>
      </c>
      <c r="H185" s="1306">
        <v>2.9403627697921935</v>
      </c>
      <c r="I185" s="1303">
        <v>0.17996119883248315</v>
      </c>
      <c r="J185" s="1306">
        <v>1.6421208776837868E-2</v>
      </c>
      <c r="K185" s="1303">
        <v>2.8816904720600587E-3</v>
      </c>
      <c r="L185" s="1288">
        <v>2.000001109745856E-3</v>
      </c>
      <c r="M185" s="1230">
        <v>2.000001109745856E-3</v>
      </c>
      <c r="N185" s="1303">
        <v>2.4515450480450073E-2</v>
      </c>
      <c r="O185" s="1288">
        <v>1.4821971595188034E-2</v>
      </c>
      <c r="P185" s="1237">
        <v>7.410985797594017E-3</v>
      </c>
      <c r="Q185" s="1290">
        <v>0.1880982456776959</v>
      </c>
    </row>
    <row r="186" spans="1:17" s="212" customFormat="1" ht="15.5" x14ac:dyDescent="0.35">
      <c r="A186" s="198">
        <v>2018</v>
      </c>
      <c r="B186" s="197" t="s">
        <v>5838</v>
      </c>
      <c r="C186" s="197">
        <v>1986</v>
      </c>
      <c r="D186" s="225" t="str">
        <f t="shared" si="0"/>
        <v>2018_1986</v>
      </c>
      <c r="E186" s="1287">
        <v>0.24216320107348352</v>
      </c>
      <c r="F186" s="1306">
        <v>0.96814761198182686</v>
      </c>
      <c r="G186" s="1303">
        <v>4.826817839496135</v>
      </c>
      <c r="H186" s="1306">
        <v>2.9720485956025642</v>
      </c>
      <c r="I186" s="1303">
        <v>0.17934524701968085</v>
      </c>
      <c r="J186" s="1306">
        <v>1.658923574544138E-2</v>
      </c>
      <c r="K186" s="1303">
        <v>2.9303039905477892E-3</v>
      </c>
      <c r="L186" s="1288">
        <v>2.0000011178881853E-3</v>
      </c>
      <c r="M186" s="1230">
        <v>2.0000011178881853E-3</v>
      </c>
      <c r="N186" s="1303">
        <v>2.5661271495384195E-2</v>
      </c>
      <c r="O186" s="1288">
        <v>1.3737957086539057E-2</v>
      </c>
      <c r="P186" s="1237">
        <v>6.8689785432695287E-3</v>
      </c>
      <c r="Q186" s="1290">
        <v>0.18745444325716354</v>
      </c>
    </row>
    <row r="187" spans="1:17" s="212" customFormat="1" ht="15.5" x14ac:dyDescent="0.35">
      <c r="A187" s="198">
        <v>2018</v>
      </c>
      <c r="B187" s="197" t="s">
        <v>5838</v>
      </c>
      <c r="C187" s="197">
        <v>1987</v>
      </c>
      <c r="D187" s="225" t="str">
        <f t="shared" si="0"/>
        <v>2018_1987</v>
      </c>
      <c r="E187" s="1287">
        <v>0.2959275288319948</v>
      </c>
      <c r="F187" s="1306">
        <v>1.0588912913244395</v>
      </c>
      <c r="G187" s="1303">
        <v>5.0461105759576315</v>
      </c>
      <c r="H187" s="1306">
        <v>2.8761569427361713</v>
      </c>
      <c r="I187" s="1303">
        <v>0.20076032552584286</v>
      </c>
      <c r="J187" s="1306">
        <v>1.6891026028323351E-2</v>
      </c>
      <c r="K187" s="1303">
        <v>2.962840096039521E-3</v>
      </c>
      <c r="L187" s="1288">
        <v>2.0000012306314549E-3</v>
      </c>
      <c r="M187" s="1230">
        <v>2.0000012306314549E-3</v>
      </c>
      <c r="N187" s="1303">
        <v>2.6431065682851227E-2</v>
      </c>
      <c r="O187" s="1288">
        <v>1.2313152067830223E-2</v>
      </c>
      <c r="P187" s="1237">
        <v>6.1565760339151116E-3</v>
      </c>
      <c r="Q187" s="1290">
        <v>0.20983781658537015</v>
      </c>
    </row>
    <row r="188" spans="1:17" s="212" customFormat="1" ht="15.5" x14ac:dyDescent="0.35">
      <c r="A188" s="198">
        <v>2018</v>
      </c>
      <c r="B188" s="197" t="s">
        <v>5838</v>
      </c>
      <c r="C188" s="197">
        <v>1988</v>
      </c>
      <c r="D188" s="225" t="str">
        <f t="shared" si="0"/>
        <v>2018_1988</v>
      </c>
      <c r="E188" s="1287">
        <v>0.29220667568714359</v>
      </c>
      <c r="F188" s="1306">
        <v>0.49778217294387772</v>
      </c>
      <c r="G188" s="1303">
        <v>5.1470525529224949</v>
      </c>
      <c r="H188" s="1306">
        <v>1.6941882133720263</v>
      </c>
      <c r="I188" s="1303">
        <v>0.19857046013704652</v>
      </c>
      <c r="J188" s="1306">
        <v>1.6205695340123217E-2</v>
      </c>
      <c r="K188" s="1303">
        <v>2.9794550226995217E-3</v>
      </c>
      <c r="L188" s="1288">
        <v>2.000001248484705E-3</v>
      </c>
      <c r="M188" s="1230">
        <v>2.000001248484705E-3</v>
      </c>
      <c r="N188" s="1303">
        <v>2.6821582949877437E-2</v>
      </c>
      <c r="O188" s="1288">
        <v>1.2980434287290388E-2</v>
      </c>
      <c r="P188" s="1237">
        <v>6.4902171436451942E-3</v>
      </c>
      <c r="Q188" s="1290">
        <v>0.20754893520107645</v>
      </c>
    </row>
    <row r="189" spans="1:17" s="212" customFormat="1" ht="15.5" x14ac:dyDescent="0.35">
      <c r="A189" s="198">
        <v>2018</v>
      </c>
      <c r="B189" s="197" t="s">
        <v>5838</v>
      </c>
      <c r="C189" s="197">
        <v>1989</v>
      </c>
      <c r="D189" s="225" t="str">
        <f t="shared" si="0"/>
        <v>2018_1989</v>
      </c>
      <c r="E189" s="1287">
        <v>0.2943564955824603</v>
      </c>
      <c r="F189" s="1306">
        <v>0.43483875815641826</v>
      </c>
      <c r="G189" s="1303">
        <v>5.1156041714485445</v>
      </c>
      <c r="H189" s="1306">
        <v>1.8659527269169001</v>
      </c>
      <c r="I189" s="1303">
        <v>0.19997119711725422</v>
      </c>
      <c r="J189" s="1306">
        <v>1.6063166309973946E-2</v>
      </c>
      <c r="K189" s="1303">
        <v>2.9759931258839796E-3</v>
      </c>
      <c r="L189" s="1288">
        <v>2.0000011825340091E-3</v>
      </c>
      <c r="M189" s="1230">
        <v>2.0000011825340091E-3</v>
      </c>
      <c r="N189" s="1303">
        <v>2.673454545808289E-2</v>
      </c>
      <c r="O189" s="1288">
        <v>1.3951534338307078E-2</v>
      </c>
      <c r="P189" s="1237">
        <v>6.9757671691535392E-3</v>
      </c>
      <c r="Q189" s="1290">
        <v>0.20901300729185202</v>
      </c>
    </row>
    <row r="190" spans="1:17" s="212" customFormat="1" ht="15.5" x14ac:dyDescent="0.35">
      <c r="A190" s="198">
        <v>2018</v>
      </c>
      <c r="B190" s="197" t="s">
        <v>5838</v>
      </c>
      <c r="C190" s="197">
        <v>1990</v>
      </c>
      <c r="D190" s="225" t="str">
        <f t="shared" si="0"/>
        <v>2018_1990</v>
      </c>
      <c r="E190" s="1287">
        <v>0.29710241363658563</v>
      </c>
      <c r="F190" s="1306">
        <v>0.48255479420901715</v>
      </c>
      <c r="G190" s="1303">
        <v>5.0964466253855907</v>
      </c>
      <c r="H190" s="1306">
        <v>1.8530981961959734</v>
      </c>
      <c r="I190" s="1303">
        <v>0.20194867892592569</v>
      </c>
      <c r="J190" s="1306">
        <v>1.6300737738111207E-2</v>
      </c>
      <c r="K190" s="1303">
        <v>2.9814536945873514E-3</v>
      </c>
      <c r="L190" s="1288">
        <v>2.0000012126575356E-3</v>
      </c>
      <c r="M190" s="1230">
        <v>2.0000012126575356E-3</v>
      </c>
      <c r="N190" s="1303">
        <v>2.6866298097319084E-2</v>
      </c>
      <c r="O190" s="1288">
        <v>1.301413468287162E-2</v>
      </c>
      <c r="P190" s="1237">
        <v>6.5070673414358102E-3</v>
      </c>
      <c r="Q190" s="1290">
        <v>0.21107990205296631</v>
      </c>
    </row>
    <row r="191" spans="1:17" s="212" customFormat="1" ht="15.5" x14ac:dyDescent="0.35">
      <c r="A191" s="198">
        <v>2018</v>
      </c>
      <c r="B191" s="197" t="s">
        <v>5838</v>
      </c>
      <c r="C191" s="197">
        <v>1991</v>
      </c>
      <c r="D191" s="225" t="str">
        <f t="shared" si="0"/>
        <v>2018_1991</v>
      </c>
      <c r="E191" s="1287">
        <v>0.37975825807693658</v>
      </c>
      <c r="F191" s="1306">
        <v>0.49608202078230024</v>
      </c>
      <c r="G191" s="1303">
        <v>8.9176870949673628</v>
      </c>
      <c r="H191" s="1306">
        <v>2.3052237929761286</v>
      </c>
      <c r="I191" s="1303">
        <v>5.8023479349094569E-2</v>
      </c>
      <c r="J191" s="1306">
        <v>9.1758713765338288E-3</v>
      </c>
      <c r="K191" s="1303">
        <v>2.9738916261687499E-3</v>
      </c>
      <c r="L191" s="1288">
        <v>2.0000012505151737E-3</v>
      </c>
      <c r="M191" s="1230">
        <v>2.0000012505151737E-3</v>
      </c>
      <c r="N191" s="1303">
        <v>2.6685792165174655E-2</v>
      </c>
      <c r="O191" s="1288">
        <v>1.1635999513044993E-2</v>
      </c>
      <c r="P191" s="1237">
        <v>5.8179997565224965E-3</v>
      </c>
      <c r="Q191" s="1290">
        <v>6.0647043609884412E-2</v>
      </c>
    </row>
    <row r="192" spans="1:17" s="212" customFormat="1" ht="15.5" x14ac:dyDescent="0.35">
      <c r="A192" s="198">
        <v>2018</v>
      </c>
      <c r="B192" s="197" t="s">
        <v>5838</v>
      </c>
      <c r="C192" s="197">
        <v>1992</v>
      </c>
      <c r="D192" s="225" t="str">
        <f t="shared" si="0"/>
        <v>2018_1992</v>
      </c>
      <c r="E192" s="1287">
        <v>0.3811776070891964</v>
      </c>
      <c r="F192" s="1306">
        <v>0.49629669198944742</v>
      </c>
      <c r="G192" s="1303">
        <v>8.8339521078254677</v>
      </c>
      <c r="H192" s="1306">
        <v>2.2342087811331406</v>
      </c>
      <c r="I192" s="1303">
        <v>5.9448631960467326E-2</v>
      </c>
      <c r="J192" s="1306">
        <v>9.2944326407736269E-3</v>
      </c>
      <c r="K192" s="1303">
        <v>2.9666163447795873E-3</v>
      </c>
      <c r="L192" s="1288">
        <v>2.00000129182153E-3</v>
      </c>
      <c r="M192" s="1230">
        <v>2.00000129182153E-3</v>
      </c>
      <c r="N192" s="1303">
        <v>2.6514081141678844E-2</v>
      </c>
      <c r="O192" s="1288">
        <v>1.0324830264174755E-2</v>
      </c>
      <c r="P192" s="1237">
        <v>5.1624151320873776E-3</v>
      </c>
      <c r="Q192" s="1290">
        <v>6.2136635298322265E-2</v>
      </c>
    </row>
    <row r="193" spans="1:17" s="212" customFormat="1" ht="15.5" x14ac:dyDescent="0.35">
      <c r="A193" s="198">
        <v>2018</v>
      </c>
      <c r="B193" s="197" t="s">
        <v>5838</v>
      </c>
      <c r="C193" s="197">
        <v>1993</v>
      </c>
      <c r="D193" s="225" t="str">
        <f t="shared" si="0"/>
        <v>2018_1993</v>
      </c>
      <c r="E193" s="1287">
        <v>0.37408113458849351</v>
      </c>
      <c r="F193" s="1306">
        <v>0.50015665503773221</v>
      </c>
      <c r="G193" s="1303">
        <v>8.9082142554473762</v>
      </c>
      <c r="H193" s="1306">
        <v>2.1762695416115161</v>
      </c>
      <c r="I193" s="1303">
        <v>5.4083296896172313E-2</v>
      </c>
      <c r="J193" s="1306">
        <v>9.4387008131295892E-3</v>
      </c>
      <c r="K193" s="1303">
        <v>2.9729843825338519E-3</v>
      </c>
      <c r="L193" s="1288">
        <v>2.0000013014669768E-3</v>
      </c>
      <c r="M193" s="1230">
        <v>2.0000013014669768E-3</v>
      </c>
      <c r="N193" s="1303">
        <v>2.6663793721617545E-2</v>
      </c>
      <c r="O193" s="1288">
        <v>9.5555744133480267E-3</v>
      </c>
      <c r="P193" s="1237">
        <v>4.7777872066740133E-3</v>
      </c>
      <c r="Q193" s="1290">
        <v>5.6528703590741601E-2</v>
      </c>
    </row>
    <row r="194" spans="1:17" s="212" customFormat="1" ht="15.5" x14ac:dyDescent="0.35">
      <c r="A194" s="198">
        <v>2018</v>
      </c>
      <c r="B194" s="197" t="s">
        <v>5838</v>
      </c>
      <c r="C194" s="197">
        <v>1994</v>
      </c>
      <c r="D194" s="225" t="str">
        <f t="shared" si="0"/>
        <v>2018_1994</v>
      </c>
      <c r="E194" s="1287">
        <v>0.37022847917605833</v>
      </c>
      <c r="F194" s="1306">
        <v>0.49959439298123515</v>
      </c>
      <c r="G194" s="1303">
        <v>8.9008495179519898</v>
      </c>
      <c r="H194" s="1306">
        <v>2.0997244029984508</v>
      </c>
      <c r="I194" s="1303">
        <v>5.4266391281793315E-2</v>
      </c>
      <c r="J194" s="1306">
        <v>9.5612634586904055E-3</v>
      </c>
      <c r="K194" s="1303">
        <v>2.9675143199893073E-3</v>
      </c>
      <c r="L194" s="1288">
        <v>2.0000014192278199E-3</v>
      </c>
      <c r="M194" s="1230">
        <v>2.0000014192278199E-3</v>
      </c>
      <c r="N194" s="1303">
        <v>2.6531208077707903E-2</v>
      </c>
      <c r="O194" s="1288">
        <v>8.0985430225444504E-3</v>
      </c>
      <c r="P194" s="1237">
        <v>4.0492715112722252E-3</v>
      </c>
      <c r="Q194" s="1290">
        <v>5.6720076692011102E-2</v>
      </c>
    </row>
    <row r="195" spans="1:17" s="212" customFormat="1" ht="15.5" x14ac:dyDescent="0.35">
      <c r="A195" s="198">
        <v>2018</v>
      </c>
      <c r="B195" s="197" t="s">
        <v>5838</v>
      </c>
      <c r="C195" s="197">
        <v>1995</v>
      </c>
      <c r="D195" s="225" t="str">
        <f t="shared" si="0"/>
        <v>2018_1995</v>
      </c>
      <c r="E195" s="1287">
        <v>0.36678410346260981</v>
      </c>
      <c r="F195" s="1306">
        <v>0.37582888587420699</v>
      </c>
      <c r="G195" s="1303">
        <v>9.0248067820392492</v>
      </c>
      <c r="H195" s="1306">
        <v>1.6459648331816532</v>
      </c>
      <c r="I195" s="1303">
        <v>5.3585581235566559E-2</v>
      </c>
      <c r="J195" s="1306">
        <v>8.8455598034102786E-3</v>
      </c>
      <c r="K195" s="1303">
        <v>2.9733407719412241E-3</v>
      </c>
      <c r="L195" s="1288">
        <v>2.0000013689114196E-3</v>
      </c>
      <c r="M195" s="1230">
        <v>2.0000013689114196E-3</v>
      </c>
      <c r="N195" s="1303">
        <v>2.6671391023234282E-2</v>
      </c>
      <c r="O195" s="1288">
        <v>8.9813962156072569E-3</v>
      </c>
      <c r="P195" s="1237">
        <v>4.4906981078036284E-3</v>
      </c>
      <c r="Q195" s="1290">
        <v>5.6008483436543861E-2</v>
      </c>
    </row>
    <row r="196" spans="1:17" s="212" customFormat="1" ht="15.5" x14ac:dyDescent="0.35">
      <c r="A196" s="198">
        <v>2018</v>
      </c>
      <c r="B196" s="197" t="s">
        <v>5838</v>
      </c>
      <c r="C196" s="197">
        <v>1996</v>
      </c>
      <c r="D196" s="225" t="str">
        <f t="shared" si="0"/>
        <v>2018_1996</v>
      </c>
      <c r="E196" s="1287">
        <v>0.36735649271582149</v>
      </c>
      <c r="F196" s="1306">
        <v>0.1311059573466698</v>
      </c>
      <c r="G196" s="1303">
        <v>9.0150963956876851</v>
      </c>
      <c r="H196" s="1306">
        <v>1.0142984481203383</v>
      </c>
      <c r="I196" s="1303">
        <v>5.3630354748438074E-2</v>
      </c>
      <c r="J196" s="1306">
        <v>2.7030140946909154E-3</v>
      </c>
      <c r="K196" s="1303">
        <v>2.9756626622056016E-3</v>
      </c>
      <c r="L196" s="1288">
        <v>2.0000013340655586E-3</v>
      </c>
      <c r="M196" s="1230">
        <v>2.0000013340655586E-3</v>
      </c>
      <c r="N196" s="1303">
        <v>2.6726227433516127E-2</v>
      </c>
      <c r="O196" s="1288">
        <v>9.2842616533923301E-3</v>
      </c>
      <c r="P196" s="1237">
        <v>4.642130826696165E-3</v>
      </c>
      <c r="Q196" s="1290">
        <v>5.6055281408987863E-2</v>
      </c>
    </row>
    <row r="197" spans="1:17" s="212" customFormat="1" ht="15.5" x14ac:dyDescent="0.35">
      <c r="A197" s="198">
        <v>2018</v>
      </c>
      <c r="B197" s="197" t="s">
        <v>5838</v>
      </c>
      <c r="C197" s="197">
        <v>1997</v>
      </c>
      <c r="D197" s="225" t="str">
        <f t="shared" si="0"/>
        <v>2018_1997</v>
      </c>
      <c r="E197" s="1287">
        <v>0.36772443926048887</v>
      </c>
      <c r="F197" s="1306">
        <v>0.13457431308106155</v>
      </c>
      <c r="G197" s="1303">
        <v>9.027297483414582</v>
      </c>
      <c r="H197" s="1306">
        <v>1.0378750777221675</v>
      </c>
      <c r="I197" s="1303">
        <v>5.3573983215768735E-2</v>
      </c>
      <c r="J197" s="1306">
        <v>2.7168427807403627E-3</v>
      </c>
      <c r="K197" s="1303">
        <v>2.9811070632328527E-3</v>
      </c>
      <c r="L197" s="1288">
        <v>2.0000013595487384E-3</v>
      </c>
      <c r="M197" s="1230">
        <v>2.0000013595487384E-3</v>
      </c>
      <c r="N197" s="1303">
        <v>2.6854304003666826E-2</v>
      </c>
      <c r="O197" s="1288">
        <v>8.5696032531736403E-3</v>
      </c>
      <c r="P197" s="1237">
        <v>4.2848016265868202E-3</v>
      </c>
      <c r="Q197" s="1290">
        <v>5.5996361005756154E-2</v>
      </c>
    </row>
    <row r="198" spans="1:17" s="212" customFormat="1" ht="15.5" x14ac:dyDescent="0.35">
      <c r="A198" s="198">
        <v>2018</v>
      </c>
      <c r="B198" s="197" t="s">
        <v>5838</v>
      </c>
      <c r="C198" s="197">
        <v>1998</v>
      </c>
      <c r="D198" s="225" t="str">
        <f t="shared" si="0"/>
        <v>2018_1998</v>
      </c>
      <c r="E198" s="1287">
        <v>0.36298844577665007</v>
      </c>
      <c r="F198" s="1306">
        <v>0.13404556763080519</v>
      </c>
      <c r="G198" s="1303">
        <v>8.988491846660855</v>
      </c>
      <c r="H198" s="1306">
        <v>1.0373163865528934</v>
      </c>
      <c r="I198" s="1303">
        <v>5.3183619644988536E-2</v>
      </c>
      <c r="J198" s="1306">
        <v>2.7564016157071796E-3</v>
      </c>
      <c r="K198" s="1303">
        <v>2.9766972174761872E-3</v>
      </c>
      <c r="L198" s="1288">
        <v>2.0000014411887283E-3</v>
      </c>
      <c r="M198" s="1230">
        <v>2.0000014411887283E-3</v>
      </c>
      <c r="N198" s="1303">
        <v>2.6751684009090337E-2</v>
      </c>
      <c r="O198" s="1288">
        <v>7.3076200058054775E-3</v>
      </c>
      <c r="P198" s="1237">
        <v>3.6538100029027388E-3</v>
      </c>
      <c r="Q198" s="1290">
        <v>5.5588346926518005E-2</v>
      </c>
    </row>
    <row r="199" spans="1:17" s="212" customFormat="1" ht="15.5" x14ac:dyDescent="0.35">
      <c r="A199" s="198">
        <v>2018</v>
      </c>
      <c r="B199" s="197" t="s">
        <v>5838</v>
      </c>
      <c r="C199" s="197">
        <v>1999</v>
      </c>
      <c r="D199" s="225" t="str">
        <f t="shared" si="0"/>
        <v>2018_1999</v>
      </c>
      <c r="E199" s="1287">
        <v>0.36359319106855131</v>
      </c>
      <c r="F199" s="1306">
        <v>0.12696565554899486</v>
      </c>
      <c r="G199" s="1303">
        <v>9.116586134925889</v>
      </c>
      <c r="H199" s="1306">
        <v>0.9950210564416011</v>
      </c>
      <c r="I199" s="1303">
        <v>5.2780422619920372E-2</v>
      </c>
      <c r="J199" s="1306">
        <v>2.7697443042038979E-3</v>
      </c>
      <c r="K199" s="1303">
        <v>2.9938435976682842E-3</v>
      </c>
      <c r="L199" s="1288">
        <v>2.0000014861574853E-3</v>
      </c>
      <c r="M199" s="1230">
        <v>2.0000014861574853E-3</v>
      </c>
      <c r="N199" s="1303">
        <v>2.715496921696341E-2</v>
      </c>
      <c r="O199" s="1288">
        <v>7.4274744793823098E-3</v>
      </c>
      <c r="P199" s="1237">
        <v>3.7137372396911549E-3</v>
      </c>
      <c r="Q199" s="1290">
        <v>5.5166919121136519E-2</v>
      </c>
    </row>
    <row r="200" spans="1:17" s="212" customFormat="1" ht="15.5" x14ac:dyDescent="0.35">
      <c r="A200" s="198">
        <v>2018</v>
      </c>
      <c r="B200" s="197" t="s">
        <v>5838</v>
      </c>
      <c r="C200" s="197">
        <v>2000</v>
      </c>
      <c r="D200" s="225" t="str">
        <f t="shared" si="0"/>
        <v>2018_2000</v>
      </c>
      <c r="E200" s="1287">
        <v>0.35770949855300804</v>
      </c>
      <c r="F200" s="1306">
        <v>0.11964852174212354</v>
      </c>
      <c r="G200" s="1303">
        <v>9.1688199157575223</v>
      </c>
      <c r="H200" s="1306">
        <v>0.94703930013964155</v>
      </c>
      <c r="I200" s="1303">
        <v>5.1985085696928154E-2</v>
      </c>
      <c r="J200" s="1306">
        <v>2.7763110631963007E-3</v>
      </c>
      <c r="K200" s="1303">
        <v>2.997603388665609E-3</v>
      </c>
      <c r="L200" s="1288">
        <v>2.00000155788835E-3</v>
      </c>
      <c r="M200" s="1230">
        <v>2.00000155788835E-3</v>
      </c>
      <c r="N200" s="1303">
        <v>2.7243131105963363E-2</v>
      </c>
      <c r="O200" s="1288">
        <v>7.4652384376927743E-3</v>
      </c>
      <c r="P200" s="1237">
        <v>3.7326192188463871E-3</v>
      </c>
      <c r="Q200" s="1290">
        <v>5.4335620591741948E-2</v>
      </c>
    </row>
    <row r="201" spans="1:17" s="212" customFormat="1" ht="15.5" x14ac:dyDescent="0.35">
      <c r="A201" s="198">
        <v>2018</v>
      </c>
      <c r="B201" s="197" t="s">
        <v>5838</v>
      </c>
      <c r="C201" s="197">
        <v>2001</v>
      </c>
      <c r="D201" s="225" t="str">
        <f t="shared" si="0"/>
        <v>2018_2001</v>
      </c>
      <c r="E201" s="1287">
        <v>0.35205123394220506</v>
      </c>
      <c r="F201" s="1306">
        <v>0.11235206604362917</v>
      </c>
      <c r="G201" s="1303">
        <v>9.0843641716301882</v>
      </c>
      <c r="H201" s="1306">
        <v>0.88863394906897575</v>
      </c>
      <c r="I201" s="1303">
        <v>5.1623286840347754E-2</v>
      </c>
      <c r="J201" s="1306">
        <v>2.7975677879213926E-3</v>
      </c>
      <c r="K201" s="1303">
        <v>2.9919694995784825E-3</v>
      </c>
      <c r="L201" s="1288">
        <v>2.0000015272035182E-3</v>
      </c>
      <c r="M201" s="1230">
        <v>2.0000015272035182E-3</v>
      </c>
      <c r="N201" s="1303">
        <v>2.7110166318737104E-2</v>
      </c>
      <c r="O201" s="1288">
        <v>6.9110829284615765E-3</v>
      </c>
      <c r="P201" s="1237">
        <v>3.4555414642307883E-3</v>
      </c>
      <c r="Q201" s="1290">
        <v>5.3957462796325649E-2</v>
      </c>
    </row>
    <row r="202" spans="1:17" s="212" customFormat="1" ht="15.5" x14ac:dyDescent="0.35">
      <c r="A202" s="198">
        <v>2018</v>
      </c>
      <c r="B202" s="197" t="s">
        <v>5838</v>
      </c>
      <c r="C202" s="197">
        <v>2002</v>
      </c>
      <c r="D202" s="225" t="str">
        <f t="shared" si="0"/>
        <v>2018_2002</v>
      </c>
      <c r="E202" s="1287">
        <v>0.27294594257861426</v>
      </c>
      <c r="F202" s="1306">
        <v>0.11046780672307244</v>
      </c>
      <c r="G202" s="1303">
        <v>7.0515818299592237</v>
      </c>
      <c r="H202" s="1306">
        <v>0.8475421997237842</v>
      </c>
      <c r="I202" s="1303">
        <v>5.220160897726648E-2</v>
      </c>
      <c r="J202" s="1306">
        <v>2.8275176691472197E-3</v>
      </c>
      <c r="K202" s="1303">
        <v>2.9962247824721687E-3</v>
      </c>
      <c r="L202" s="1288">
        <v>2.000001665263327E-3</v>
      </c>
      <c r="M202" s="1230">
        <v>2.000001665263327E-3</v>
      </c>
      <c r="N202" s="1303">
        <v>2.721026691876275E-2</v>
      </c>
      <c r="O202" s="1288">
        <v>6.0969261132480914E-3</v>
      </c>
      <c r="P202" s="1237">
        <v>3.0484630566240457E-3</v>
      </c>
      <c r="Q202" s="1290">
        <v>5.4561934094009397E-2</v>
      </c>
    </row>
    <row r="203" spans="1:17" s="212" customFormat="1" ht="15.5" x14ac:dyDescent="0.35">
      <c r="A203" s="198">
        <v>2018</v>
      </c>
      <c r="B203" s="197" t="s">
        <v>5838</v>
      </c>
      <c r="C203" s="197">
        <v>2003</v>
      </c>
      <c r="D203" s="225" t="str">
        <f t="shared" si="0"/>
        <v>2018_2003</v>
      </c>
      <c r="E203" s="1287">
        <v>0.26643280657735252</v>
      </c>
      <c r="F203" s="1306">
        <v>8.8405854018777777E-2</v>
      </c>
      <c r="G203" s="1303">
        <v>7.0468102640157628</v>
      </c>
      <c r="H203" s="1306">
        <v>0.64553907924689169</v>
      </c>
      <c r="I203" s="1303">
        <v>5.141794227302892E-2</v>
      </c>
      <c r="J203" s="1306">
        <v>2.8137130719068141E-3</v>
      </c>
      <c r="K203" s="1303">
        <v>2.9922940013143067E-3</v>
      </c>
      <c r="L203" s="1288">
        <v>2.0000016566945008E-3</v>
      </c>
      <c r="M203" s="1230">
        <v>2.0000016566945008E-3</v>
      </c>
      <c r="N203" s="1303">
        <v>2.7116916058128607E-2</v>
      </c>
      <c r="O203" s="1288">
        <v>6.4815257889131979E-3</v>
      </c>
      <c r="P203" s="1237">
        <v>3.240762894456599E-3</v>
      </c>
      <c r="Q203" s="1290">
        <v>5.3742833458875691E-2</v>
      </c>
    </row>
    <row r="204" spans="1:17" s="212" customFormat="1" ht="15.5" x14ac:dyDescent="0.35">
      <c r="A204" s="198">
        <v>2018</v>
      </c>
      <c r="B204" s="197" t="s">
        <v>5838</v>
      </c>
      <c r="C204" s="197">
        <v>2004</v>
      </c>
      <c r="D204" s="225" t="str">
        <f t="shared" si="0"/>
        <v>2018_2004</v>
      </c>
      <c r="E204" s="1287">
        <v>0.53831269445069607</v>
      </c>
      <c r="F204" s="1306">
        <v>1.7301861220642849E-2</v>
      </c>
      <c r="G204" s="1303">
        <v>4.149828923695158</v>
      </c>
      <c r="H204" s="1306">
        <v>0.10743067275416436</v>
      </c>
      <c r="I204" s="1303">
        <v>0.14485150185302928</v>
      </c>
      <c r="J204" s="1306">
        <v>1.8836134546205396E-4</v>
      </c>
      <c r="K204" s="1303">
        <v>2.9883823726317058E-3</v>
      </c>
      <c r="L204" s="1288">
        <v>2.0000017363067972E-3</v>
      </c>
      <c r="M204" s="1230">
        <v>2.0000017363067972E-3</v>
      </c>
      <c r="N204" s="1303">
        <v>2.7024239790090384E-2</v>
      </c>
      <c r="O204" s="1288">
        <v>5.9710234290214726E-3</v>
      </c>
      <c r="P204" s="1237">
        <v>2.9855117145107363E-3</v>
      </c>
      <c r="Q204" s="1290">
        <v>0.15140104399780366</v>
      </c>
    </row>
    <row r="205" spans="1:17" s="212" customFormat="1" ht="15.5" x14ac:dyDescent="0.35">
      <c r="A205" s="198">
        <v>2018</v>
      </c>
      <c r="B205" s="197" t="s">
        <v>5838</v>
      </c>
      <c r="C205" s="197">
        <v>2005</v>
      </c>
      <c r="D205" s="225" t="str">
        <f t="shared" si="0"/>
        <v>2018_2005</v>
      </c>
      <c r="E205" s="1287">
        <v>0.51726494455823491</v>
      </c>
      <c r="F205" s="1306">
        <v>1.5265643248860931E-2</v>
      </c>
      <c r="G205" s="1303">
        <v>4.0970197069816692</v>
      </c>
      <c r="H205" s="1306">
        <v>8.8665144816987562E-2</v>
      </c>
      <c r="I205" s="1303">
        <v>0.14085490710676254</v>
      </c>
      <c r="J205" s="1306">
        <v>1.8905332444299827E-4</v>
      </c>
      <c r="K205" s="1303">
        <v>2.9776985542474938E-3</v>
      </c>
      <c r="L205" s="1288">
        <v>2.0000017610540925E-3</v>
      </c>
      <c r="M205" s="1230">
        <v>2.0000017610540925E-3</v>
      </c>
      <c r="N205" s="1303">
        <v>2.6768905264383077E-2</v>
      </c>
      <c r="O205" s="1288">
        <v>5.1253549719124823E-3</v>
      </c>
      <c r="P205" s="1237">
        <v>2.5626774859562411E-3</v>
      </c>
      <c r="Q205" s="1290">
        <v>0.14722374097173707</v>
      </c>
    </row>
    <row r="206" spans="1:17" s="212" customFormat="1" ht="15.5" x14ac:dyDescent="0.35">
      <c r="A206" s="198">
        <v>2018</v>
      </c>
      <c r="B206" s="197" t="s">
        <v>5838</v>
      </c>
      <c r="C206" s="197">
        <v>2006</v>
      </c>
      <c r="D206" s="225" t="str">
        <f t="shared" si="0"/>
        <v>2018_2006</v>
      </c>
      <c r="E206" s="1287">
        <v>0.50400393689269529</v>
      </c>
      <c r="F206" s="1306">
        <v>5.6828205630189872E-3</v>
      </c>
      <c r="G206" s="1303">
        <v>4.0810927020264458</v>
      </c>
      <c r="H206" s="1306">
        <v>4.7476699154313018E-2</v>
      </c>
      <c r="I206" s="1303">
        <v>0.13860339095331486</v>
      </c>
      <c r="J206" s="1306">
        <v>1.8623323813282648E-4</v>
      </c>
      <c r="K206" s="1303">
        <v>2.9746289300415273E-3</v>
      </c>
      <c r="L206" s="1288">
        <v>2.0000017280966415E-3</v>
      </c>
      <c r="M206" s="1230">
        <v>2.0000017280966415E-3</v>
      </c>
      <c r="N206" s="1303">
        <v>2.6693469797895341E-2</v>
      </c>
      <c r="O206" s="1288">
        <v>7.0925381434803958E-3</v>
      </c>
      <c r="P206" s="1237">
        <v>3.5462690717401979E-3</v>
      </c>
      <c r="Q206" s="1290">
        <v>0.14487042124878521</v>
      </c>
    </row>
    <row r="207" spans="1:17" s="212" customFormat="1" ht="15.5" x14ac:dyDescent="0.35">
      <c r="A207" s="198">
        <v>2018</v>
      </c>
      <c r="B207" s="197" t="s">
        <v>5838</v>
      </c>
      <c r="C207" s="197">
        <v>2007</v>
      </c>
      <c r="D207" s="225" t="str">
        <f t="shared" si="0"/>
        <v>2018_2007</v>
      </c>
      <c r="E207" s="1287">
        <v>0.27117502621684081</v>
      </c>
      <c r="F207" s="1306">
        <v>7.9045621871389974E-3</v>
      </c>
      <c r="G207" s="1303">
        <v>2.2365388311321737</v>
      </c>
      <c r="H207" s="1306">
        <v>4.6913149978264172E-2</v>
      </c>
      <c r="I207" s="1303">
        <v>7.3492341439113984E-2</v>
      </c>
      <c r="J207" s="1306">
        <v>1.8844281579362071E-4</v>
      </c>
      <c r="K207" s="1303">
        <v>2.94381979356586E-3</v>
      </c>
      <c r="L207" s="1288">
        <v>2.0000016983668331E-3</v>
      </c>
      <c r="M207" s="1230">
        <v>2.0000016983668331E-3</v>
      </c>
      <c r="N207" s="1303">
        <v>2.5954102095960666E-2</v>
      </c>
      <c r="O207" s="1288">
        <v>5.3361411503207758E-3</v>
      </c>
      <c r="P207" s="1237">
        <v>2.6680705751603879E-3</v>
      </c>
      <c r="Q207" s="1290">
        <v>7.6815339001555516E-2</v>
      </c>
    </row>
    <row r="208" spans="1:17" s="212" customFormat="1" ht="15.5" x14ac:dyDescent="0.35">
      <c r="A208" s="198">
        <v>2018</v>
      </c>
      <c r="B208" s="197" t="s">
        <v>5838</v>
      </c>
      <c r="C208" s="197">
        <v>2008</v>
      </c>
      <c r="D208" s="225" t="str">
        <f t="shared" si="0"/>
        <v>2018_2008</v>
      </c>
      <c r="E208" s="1287">
        <v>0.26835993927414631</v>
      </c>
      <c r="F208" s="1306">
        <v>7.503505624901023E-3</v>
      </c>
      <c r="G208" s="1303">
        <v>2.2584093783867925</v>
      </c>
      <c r="H208" s="1306">
        <v>3.8158066247925275E-2</v>
      </c>
      <c r="I208" s="1303">
        <v>7.3158716161993084E-2</v>
      </c>
      <c r="J208" s="1306">
        <v>2.1364564882040356E-4</v>
      </c>
      <c r="K208" s="1303">
        <v>2.958102514855026E-3</v>
      </c>
      <c r="L208" s="1288">
        <v>2.0000018590369067E-3</v>
      </c>
      <c r="M208" s="1230">
        <v>2.0000018590369067E-3</v>
      </c>
      <c r="N208" s="1303">
        <v>2.6295307803043316E-2</v>
      </c>
      <c r="O208" s="1288">
        <v>5.30530140435438E-3</v>
      </c>
      <c r="P208" s="1237">
        <v>2.65265070217719E-3</v>
      </c>
      <c r="Q208" s="1290">
        <v>7.6466628669843453E-2</v>
      </c>
    </row>
    <row r="209" spans="1:17" s="212" customFormat="1" ht="15.5" x14ac:dyDescent="0.35">
      <c r="A209" s="198">
        <v>2018</v>
      </c>
      <c r="B209" s="197" t="s">
        <v>5838</v>
      </c>
      <c r="C209" s="197">
        <v>2009</v>
      </c>
      <c r="D209" s="225" t="str">
        <f t="shared" si="0"/>
        <v>2018_2009</v>
      </c>
      <c r="E209" s="1287">
        <v>0.23372047782560032</v>
      </c>
      <c r="F209" s="1306">
        <v>7.2191742402266754E-3</v>
      </c>
      <c r="G209" s="1303">
        <v>1.9820547344146962</v>
      </c>
      <c r="H209" s="1306">
        <v>3.0498865518906328E-2</v>
      </c>
      <c r="I209" s="1303">
        <v>6.4071641070117161E-2</v>
      </c>
      <c r="J209" s="1306">
        <v>2.4051030656400699E-4</v>
      </c>
      <c r="K209" s="1303">
        <v>2.8369470805143905E-3</v>
      </c>
      <c r="L209" s="1288">
        <v>2.0000018450817107E-3</v>
      </c>
      <c r="M209" s="1230">
        <v>2.0000018450817107E-3</v>
      </c>
      <c r="N209" s="1303">
        <v>2.3392956424282893E-2</v>
      </c>
      <c r="O209" s="1288">
        <v>4.4935592574608559E-3</v>
      </c>
      <c r="P209" s="1237">
        <v>2.2467796287304279E-3</v>
      </c>
      <c r="Q209" s="1290">
        <v>6.6968676365611379E-2</v>
      </c>
    </row>
    <row r="210" spans="1:17" s="212" customFormat="1" ht="15.5" x14ac:dyDescent="0.35">
      <c r="A210" s="198">
        <v>2018</v>
      </c>
      <c r="B210" s="197" t="s">
        <v>5838</v>
      </c>
      <c r="C210" s="197">
        <v>2010</v>
      </c>
      <c r="D210" s="225" t="str">
        <f t="shared" si="0"/>
        <v>2018_2010</v>
      </c>
      <c r="E210" s="1287">
        <v>5.418222326085978E-2</v>
      </c>
      <c r="F210" s="1306">
        <v>6.3568558027779325E-3</v>
      </c>
      <c r="G210" s="1303">
        <v>0.41425337795380807</v>
      </c>
      <c r="H210" s="1306">
        <v>2.7385483366472702E-2</v>
      </c>
      <c r="I210" s="1303">
        <v>1.1492402395004406E-2</v>
      </c>
      <c r="J210" s="1306">
        <v>2.955977458685769E-4</v>
      </c>
      <c r="K210" s="1303">
        <v>2.7369965063618442E-3</v>
      </c>
      <c r="L210" s="1288">
        <v>2.0000019618692686E-3</v>
      </c>
      <c r="M210" s="1230">
        <v>2.0000019618692686E-3</v>
      </c>
      <c r="N210" s="1303">
        <v>2.0984643665267963E-2</v>
      </c>
      <c r="O210" s="1288">
        <v>4.0025140610964122E-3</v>
      </c>
      <c r="P210" s="1237">
        <v>2.0012570305482061E-3</v>
      </c>
      <c r="Q210" s="1290">
        <v>1.2012037834526219E-2</v>
      </c>
    </row>
    <row r="211" spans="1:17" s="212" customFormat="1" ht="15.5" x14ac:dyDescent="0.35">
      <c r="A211" s="198">
        <v>2018</v>
      </c>
      <c r="B211" s="197" t="s">
        <v>5838</v>
      </c>
      <c r="C211" s="197">
        <v>2011</v>
      </c>
      <c r="D211" s="225" t="str">
        <f t="shared" si="0"/>
        <v>2018_2011</v>
      </c>
      <c r="E211" s="1287">
        <v>5.3350140759994037E-2</v>
      </c>
      <c r="F211" s="1306">
        <v>6.335335261689716E-3</v>
      </c>
      <c r="G211" s="1303">
        <v>0.40448884774967087</v>
      </c>
      <c r="H211" s="1306">
        <v>2.6508104891986493E-2</v>
      </c>
      <c r="I211" s="1303">
        <v>1.0796962520057813E-2</v>
      </c>
      <c r="J211" s="1306">
        <v>3.9992354686196673E-4</v>
      </c>
      <c r="K211" s="1303">
        <v>2.7514747185560275E-3</v>
      </c>
      <c r="L211" s="1288">
        <v>2.0000019645122278E-3</v>
      </c>
      <c r="M211" s="1230">
        <v>2.0000019645122278E-3</v>
      </c>
      <c r="N211" s="1303">
        <v>2.130944109204988E-2</v>
      </c>
      <c r="O211" s="1288">
        <v>4.1130930180844341E-3</v>
      </c>
      <c r="P211" s="1237">
        <v>2.056546509042217E-3</v>
      </c>
      <c r="Q211" s="1290">
        <v>1.1285153254403258E-2</v>
      </c>
    </row>
    <row r="212" spans="1:17" s="212" customFormat="1" ht="15.5" x14ac:dyDescent="0.35">
      <c r="A212" s="198">
        <v>2018</v>
      </c>
      <c r="B212" s="197" t="s">
        <v>5838</v>
      </c>
      <c r="C212" s="197">
        <v>2012</v>
      </c>
      <c r="D212" s="225" t="str">
        <f t="shared" si="0"/>
        <v>2018_2012</v>
      </c>
      <c r="E212" s="1287">
        <v>4.4294822126953563E-2</v>
      </c>
      <c r="F212" s="1306">
        <v>5.8290849908564498E-3</v>
      </c>
      <c r="G212" s="1303">
        <v>0.31731475143290622</v>
      </c>
      <c r="H212" s="1306">
        <v>2.4513392975051132E-2</v>
      </c>
      <c r="I212" s="1303">
        <v>8.8098040003103915E-3</v>
      </c>
      <c r="J212" s="1306">
        <v>5.790353698410922E-4</v>
      </c>
      <c r="K212" s="1303">
        <v>2.6035203501618368E-3</v>
      </c>
      <c r="L212" s="1288">
        <v>2.0000019376745096E-3</v>
      </c>
      <c r="M212" s="1230">
        <v>2.0000019376745096E-3</v>
      </c>
      <c r="N212" s="1303">
        <v>1.7691160904846164E-2</v>
      </c>
      <c r="O212" s="1288">
        <v>4.5397231212972837E-3</v>
      </c>
      <c r="P212" s="1237">
        <v>2.2698615606486418E-3</v>
      </c>
      <c r="Q212" s="1290">
        <v>9.2081442442781356E-3</v>
      </c>
    </row>
    <row r="213" spans="1:17" s="212" customFormat="1" ht="15.5" x14ac:dyDescent="0.35">
      <c r="A213" s="198">
        <v>2018</v>
      </c>
      <c r="B213" s="197" t="s">
        <v>5838</v>
      </c>
      <c r="C213" s="197">
        <v>2013</v>
      </c>
      <c r="D213" s="225" t="str">
        <f t="shared" si="0"/>
        <v>2018_2013</v>
      </c>
      <c r="E213" s="1287">
        <v>5.1223683312837165E-2</v>
      </c>
      <c r="F213" s="1306">
        <v>6.2891009534251328E-3</v>
      </c>
      <c r="G213" s="1303">
        <v>0.37099404332145003</v>
      </c>
      <c r="H213" s="1306">
        <v>2.4097334851509153E-2</v>
      </c>
      <c r="I213" s="1303">
        <v>9.1676736110500069E-3</v>
      </c>
      <c r="J213" s="1306">
        <v>8.6537433093232779E-4</v>
      </c>
      <c r="K213" s="1303">
        <v>2.7497263930690353E-3</v>
      </c>
      <c r="L213" s="1288">
        <v>2.0000019690539516E-3</v>
      </c>
      <c r="M213" s="1230">
        <v>2.0000019690539516E-3</v>
      </c>
      <c r="N213" s="1303">
        <v>2.1242360529539529E-2</v>
      </c>
      <c r="O213" s="1288">
        <v>4.5648172737370544E-3</v>
      </c>
      <c r="P213" s="1237">
        <v>2.2824086368685272E-3</v>
      </c>
      <c r="Q213" s="1290">
        <v>9.5821951307925347E-3</v>
      </c>
    </row>
    <row r="214" spans="1:17" s="212" customFormat="1" ht="15.5" x14ac:dyDescent="0.35">
      <c r="A214" s="198">
        <v>2018</v>
      </c>
      <c r="B214" s="197" t="s">
        <v>5838</v>
      </c>
      <c r="C214" s="197">
        <v>2014</v>
      </c>
      <c r="D214" s="225" t="str">
        <f t="shared" si="0"/>
        <v>2018_2014</v>
      </c>
      <c r="E214" s="1287">
        <v>4.3541269048254741E-2</v>
      </c>
      <c r="F214" s="1306">
        <v>6.2453516370349245E-3</v>
      </c>
      <c r="G214" s="1303">
        <v>0.3000938950743961</v>
      </c>
      <c r="H214" s="1306">
        <v>2.281982976788299E-2</v>
      </c>
      <c r="I214" s="1303">
        <v>7.4937534325753589E-3</v>
      </c>
      <c r="J214" s="1306">
        <v>1.2187402558069499E-3</v>
      </c>
      <c r="K214" s="1303">
        <v>2.6299304453905395E-3</v>
      </c>
      <c r="L214" s="1288">
        <v>2.0000019688662667E-3</v>
      </c>
      <c r="M214" s="1230">
        <v>2.0000019688662667E-3</v>
      </c>
      <c r="N214" s="1303">
        <v>1.8295526595646802E-2</v>
      </c>
      <c r="O214" s="1288">
        <v>3.8808283633518198E-3</v>
      </c>
      <c r="P214" s="1237">
        <v>1.9404141816759099E-3</v>
      </c>
      <c r="Q214" s="1290">
        <v>7.8325877097580009E-3</v>
      </c>
    </row>
    <row r="215" spans="1:17" s="212" customFormat="1" ht="15.5" x14ac:dyDescent="0.35">
      <c r="A215" s="198">
        <v>2018</v>
      </c>
      <c r="B215" s="197" t="s">
        <v>5838</v>
      </c>
      <c r="C215" s="197">
        <v>2015</v>
      </c>
      <c r="D215" s="225" t="str">
        <f t="shared" si="0"/>
        <v>2018_2015</v>
      </c>
      <c r="E215" s="1287">
        <v>4.0696121020835703E-2</v>
      </c>
      <c r="F215" s="1306">
        <v>5.9744054034939417E-3</v>
      </c>
      <c r="G215" s="1303">
        <v>0.27292946865123141</v>
      </c>
      <c r="H215" s="1306">
        <v>2.109670462508589E-2</v>
      </c>
      <c r="I215" s="1303">
        <v>6.5000777699301794E-3</v>
      </c>
      <c r="J215" s="1306">
        <v>1.4990719317715456E-3</v>
      </c>
      <c r="K215" s="1303">
        <v>2.6058648770147302E-3</v>
      </c>
      <c r="L215" s="1288">
        <v>2.0000019047482615E-3</v>
      </c>
      <c r="M215" s="1230">
        <v>2.0000019047482615E-3</v>
      </c>
      <c r="N215" s="1303">
        <v>1.7665834479029075E-2</v>
      </c>
      <c r="O215" s="1288">
        <v>5.1222153555745831E-3</v>
      </c>
      <c r="P215" s="1237">
        <v>2.5611076777872915E-3</v>
      </c>
      <c r="Q215" s="1290">
        <v>6.7939824430185026E-3</v>
      </c>
    </row>
    <row r="216" spans="1:17" s="212" customFormat="1" ht="15.5" x14ac:dyDescent="0.35">
      <c r="A216" s="198">
        <v>2018</v>
      </c>
      <c r="B216" s="197" t="s">
        <v>5838</v>
      </c>
      <c r="C216" s="197">
        <v>2016</v>
      </c>
      <c r="D216" s="225" t="str">
        <f t="shared" si="0"/>
        <v>2018_2016</v>
      </c>
      <c r="E216" s="1287">
        <v>4.9046570173763127E-2</v>
      </c>
      <c r="F216" s="1306">
        <v>5.8332761602748794E-3</v>
      </c>
      <c r="G216" s="1303">
        <v>0.29416427188272598</v>
      </c>
      <c r="H216" s="1306">
        <v>2.0011785402923889E-2</v>
      </c>
      <c r="I216" s="1303">
        <v>6.5006390727134038E-3</v>
      </c>
      <c r="J216" s="1306">
        <v>1.7083862598370634E-3</v>
      </c>
      <c r="K216" s="1303">
        <v>2.8064662909687093E-3</v>
      </c>
      <c r="L216" s="1288">
        <v>2.0000018766076736E-3</v>
      </c>
      <c r="M216" s="1230">
        <v>2.0000018766076736E-3</v>
      </c>
      <c r="N216" s="1303">
        <v>2.2558106604584807E-2</v>
      </c>
      <c r="O216" s="1288">
        <v>6.0794093091994456E-3</v>
      </c>
      <c r="P216" s="1237">
        <v>3.0397046545997228E-3</v>
      </c>
      <c r="Q216" s="1290">
        <v>6.7945691254228486E-3</v>
      </c>
    </row>
    <row r="217" spans="1:17" s="212" customFormat="1" ht="15.5" x14ac:dyDescent="0.35">
      <c r="A217" s="198">
        <v>2018</v>
      </c>
      <c r="B217" s="197" t="s">
        <v>5838</v>
      </c>
      <c r="C217" s="197">
        <v>2017</v>
      </c>
      <c r="D217" s="225" t="str">
        <f t="shared" si="0"/>
        <v>2018_2017</v>
      </c>
      <c r="E217" s="1287">
        <v>4.9536557688964832E-2</v>
      </c>
      <c r="F217" s="1306">
        <v>5.462563462827111E-3</v>
      </c>
      <c r="G217" s="1303">
        <v>0.25061169680244572</v>
      </c>
      <c r="H217" s="1306">
        <v>1.8497614783759317E-2</v>
      </c>
      <c r="I217" s="1303">
        <v>5.5637100345128287E-3</v>
      </c>
      <c r="J217" s="1306">
        <v>1.8413487831230677E-3</v>
      </c>
      <c r="K217" s="1303">
        <v>2.8502311376078656E-3</v>
      </c>
      <c r="L217" s="1288">
        <v>2.0000018550097422E-3</v>
      </c>
      <c r="M217" s="1230">
        <v>2.0000018550097422E-3</v>
      </c>
      <c r="N217" s="1303">
        <v>2.3622960516523229E-2</v>
      </c>
      <c r="O217" s="1288">
        <v>5.8674623594929349E-3</v>
      </c>
      <c r="P217" s="1237">
        <v>2.9337311797464675E-3</v>
      </c>
      <c r="Q217" s="1290">
        <v>5.8152763136758651E-3</v>
      </c>
    </row>
    <row r="218" spans="1:17" s="212" customFormat="1" ht="15.5" x14ac:dyDescent="0.35">
      <c r="A218" s="198">
        <v>2018</v>
      </c>
      <c r="B218" s="197" t="s">
        <v>5838</v>
      </c>
      <c r="C218" s="197">
        <v>2018</v>
      </c>
      <c r="D218" s="225" t="str">
        <f t="shared" si="0"/>
        <v>2018_2018</v>
      </c>
      <c r="E218" s="1287">
        <v>4.6262341318778807E-2</v>
      </c>
      <c r="F218" s="1306">
        <v>5.0043854819500945E-3</v>
      </c>
      <c r="G218" s="1303">
        <v>0.18520015066045514</v>
      </c>
      <c r="H218" s="1306">
        <v>1.6279296930505113E-2</v>
      </c>
      <c r="I218" s="1303">
        <v>4.3183886755773357E-3</v>
      </c>
      <c r="J218" s="1306">
        <v>1.9645425925142426E-3</v>
      </c>
      <c r="K218" s="1303">
        <v>2.8114648948020112E-3</v>
      </c>
      <c r="L218" s="1288">
        <v>2.0000018688285264E-3</v>
      </c>
      <c r="M218" s="1230">
        <v>2.0000018688285264E-3</v>
      </c>
      <c r="N218" s="1303">
        <v>2.2648143812297801E-2</v>
      </c>
      <c r="O218" s="1288">
        <v>4.8281030109679031E-3</v>
      </c>
      <c r="P218" s="1237">
        <v>2.4140515054839515E-3</v>
      </c>
      <c r="Q218" s="1290">
        <v>4.5136470489209983E-3</v>
      </c>
    </row>
    <row r="219" spans="1:17" s="212" customFormat="1" ht="15.5" x14ac:dyDescent="0.35">
      <c r="A219" s="198">
        <v>2018</v>
      </c>
      <c r="B219" s="197" t="s">
        <v>5838</v>
      </c>
      <c r="C219" s="197">
        <v>2019</v>
      </c>
      <c r="D219" s="225" t="str">
        <f t="shared" si="0"/>
        <v>2018_2019</v>
      </c>
      <c r="E219" s="1291">
        <v>4.6262341318778807E-2</v>
      </c>
      <c r="F219" s="1280">
        <v>5.0043854819500945E-3</v>
      </c>
      <c r="G219" s="1271">
        <v>0.18520015066045514</v>
      </c>
      <c r="H219" s="1280">
        <v>1.6279296930505113E-2</v>
      </c>
      <c r="I219" s="1271">
        <v>4.3183886755773357E-3</v>
      </c>
      <c r="J219" s="1280">
        <v>1.9645425925142426E-3</v>
      </c>
      <c r="K219" s="1271">
        <v>2.8114648948020112E-3</v>
      </c>
      <c r="L219" s="1257">
        <v>2.0000018688285264E-3</v>
      </c>
      <c r="M219" s="1230">
        <v>2.0000018688285264E-3</v>
      </c>
      <c r="N219" s="1271">
        <v>2.2648143812297801E-2</v>
      </c>
      <c r="O219" s="1257">
        <v>4.8281030109679031E-3</v>
      </c>
      <c r="P219" s="1237">
        <v>2.4140515054839515E-3</v>
      </c>
      <c r="Q219" s="1292">
        <v>4.5136470489209983E-3</v>
      </c>
    </row>
    <row r="220" spans="1:17" s="212" customFormat="1" ht="15.5" x14ac:dyDescent="0.35">
      <c r="A220" s="198">
        <v>2019</v>
      </c>
      <c r="B220" s="197" t="s">
        <v>5838</v>
      </c>
      <c r="C220" s="197">
        <v>1971</v>
      </c>
      <c r="D220" s="225" t="str">
        <f t="shared" si="0"/>
        <v>2019_1971</v>
      </c>
      <c r="E220" s="1291">
        <v>0.76022914345214654</v>
      </c>
      <c r="F220" s="1280">
        <v>5.521879944180478</v>
      </c>
      <c r="G220" s="1271">
        <v>2.1783610187875611</v>
      </c>
      <c r="H220" s="1280">
        <v>4.3078163913161536</v>
      </c>
      <c r="I220" s="1271">
        <v>0.53082199050690271</v>
      </c>
      <c r="J220" s="1280">
        <v>5.3726912365786479E-2</v>
      </c>
      <c r="K220" s="1271">
        <v>2.0440142758923392E-3</v>
      </c>
      <c r="L220" s="1257">
        <v>2.0000012751644294E-3</v>
      </c>
      <c r="M220" s="1230">
        <v>2.0000012751644294E-3</v>
      </c>
      <c r="N220" s="1271">
        <v>5.0031912325078426E-3</v>
      </c>
      <c r="O220" s="1257">
        <v>1.1015116514921616E-2</v>
      </c>
      <c r="P220" s="1237">
        <v>5.507558257460808E-3</v>
      </c>
      <c r="Q220" s="1292">
        <v>0.55482340542992847</v>
      </c>
    </row>
    <row r="221" spans="1:17" s="212" customFormat="1" ht="15.5" x14ac:dyDescent="0.35">
      <c r="A221" s="198">
        <v>2019</v>
      </c>
      <c r="B221" s="197" t="s">
        <v>5838</v>
      </c>
      <c r="C221" s="197">
        <v>1972</v>
      </c>
      <c r="D221" s="225" t="str">
        <f t="shared" si="0"/>
        <v>2019_1972</v>
      </c>
      <c r="E221" s="1291">
        <v>0.76022914345214654</v>
      </c>
      <c r="F221" s="1280">
        <v>5.521879944180478</v>
      </c>
      <c r="G221" s="1271">
        <v>2.1783610187875611</v>
      </c>
      <c r="H221" s="1280">
        <v>4.3078163913161536</v>
      </c>
      <c r="I221" s="1271">
        <v>0.53082199050690271</v>
      </c>
      <c r="J221" s="1280">
        <v>5.3726912365786479E-2</v>
      </c>
      <c r="K221" s="1271">
        <v>2.0440142758923392E-3</v>
      </c>
      <c r="L221" s="1257">
        <v>2.0000012751644294E-3</v>
      </c>
      <c r="M221" s="1230">
        <v>2.0000012751644294E-3</v>
      </c>
      <c r="N221" s="1271">
        <v>5.0031912325078426E-3</v>
      </c>
      <c r="O221" s="1257">
        <v>1.1015116514921616E-2</v>
      </c>
      <c r="P221" s="1237">
        <v>5.507558257460808E-3</v>
      </c>
      <c r="Q221" s="1292">
        <v>0.55482340542992847</v>
      </c>
    </row>
    <row r="222" spans="1:17" s="212" customFormat="1" ht="15.5" x14ac:dyDescent="0.35">
      <c r="A222" s="198">
        <v>2019</v>
      </c>
      <c r="B222" s="197" t="s">
        <v>5838</v>
      </c>
      <c r="C222" s="197">
        <v>1973</v>
      </c>
      <c r="D222" s="225" t="str">
        <f t="shared" si="0"/>
        <v>2019_1973</v>
      </c>
      <c r="E222" s="1291">
        <v>0.76022914345214654</v>
      </c>
      <c r="F222" s="1280">
        <v>5.521879944180478</v>
      </c>
      <c r="G222" s="1271">
        <v>2.1783610187875611</v>
      </c>
      <c r="H222" s="1280">
        <v>4.3078163913161536</v>
      </c>
      <c r="I222" s="1271">
        <v>0.53082199050690271</v>
      </c>
      <c r="J222" s="1280">
        <v>5.3726912365786479E-2</v>
      </c>
      <c r="K222" s="1271">
        <v>2.0440142758923392E-3</v>
      </c>
      <c r="L222" s="1257">
        <v>2.0000012751644294E-3</v>
      </c>
      <c r="M222" s="1230">
        <v>2.0000012751644294E-3</v>
      </c>
      <c r="N222" s="1271">
        <v>5.0031912325078426E-3</v>
      </c>
      <c r="O222" s="1257">
        <v>1.1015116514921616E-2</v>
      </c>
      <c r="P222" s="1237">
        <v>5.507558257460808E-3</v>
      </c>
      <c r="Q222" s="1292">
        <v>0.55482340542992847</v>
      </c>
    </row>
    <row r="223" spans="1:17" s="212" customFormat="1" ht="15.5" x14ac:dyDescent="0.35">
      <c r="A223" s="198">
        <v>2019</v>
      </c>
      <c r="B223" s="197" t="s">
        <v>5838</v>
      </c>
      <c r="C223" s="197">
        <v>1974</v>
      </c>
      <c r="D223" s="225" t="str">
        <f t="shared" si="0"/>
        <v>2019_1974</v>
      </c>
      <c r="E223" s="1291">
        <v>0.76022914345214654</v>
      </c>
      <c r="F223" s="1280">
        <v>5.521879944180478</v>
      </c>
      <c r="G223" s="1271">
        <v>2.1783610187875611</v>
      </c>
      <c r="H223" s="1280">
        <v>4.3078163913161536</v>
      </c>
      <c r="I223" s="1271">
        <v>0.53082199050690271</v>
      </c>
      <c r="J223" s="1280">
        <v>5.3726912365786479E-2</v>
      </c>
      <c r="K223" s="1271">
        <v>2.0440142758923392E-3</v>
      </c>
      <c r="L223" s="1257">
        <v>2.0000012751644294E-3</v>
      </c>
      <c r="M223" s="1230">
        <v>2.0000012751644294E-3</v>
      </c>
      <c r="N223" s="1271">
        <v>5.0031912325078426E-3</v>
      </c>
      <c r="O223" s="1257">
        <v>1.1015116514921616E-2</v>
      </c>
      <c r="P223" s="1237">
        <v>5.507558257460808E-3</v>
      </c>
      <c r="Q223" s="1292">
        <v>0.55482340542992847</v>
      </c>
    </row>
    <row r="224" spans="1:17" s="212" customFormat="1" ht="15.5" x14ac:dyDescent="0.35">
      <c r="A224" s="198">
        <v>2019</v>
      </c>
      <c r="B224" s="197" t="s">
        <v>5838</v>
      </c>
      <c r="C224" s="197">
        <v>1975</v>
      </c>
      <c r="D224" s="225" t="str">
        <f t="shared" si="0"/>
        <v>2019_1975</v>
      </c>
      <c r="E224" s="1291">
        <v>0.76022914345214654</v>
      </c>
      <c r="F224" s="1306">
        <v>5.521879944180478</v>
      </c>
      <c r="G224" s="1271">
        <v>2.1783610187875611</v>
      </c>
      <c r="H224" s="1306">
        <v>4.3078163913161536</v>
      </c>
      <c r="I224" s="1271">
        <v>0.53082199050690271</v>
      </c>
      <c r="J224" s="1306">
        <v>5.3726912365786479E-2</v>
      </c>
      <c r="K224" s="1271">
        <v>2.0440142758923392E-3</v>
      </c>
      <c r="L224" s="1288">
        <v>2.0000012751644294E-3</v>
      </c>
      <c r="M224" s="1230">
        <v>2.0000012751644294E-3</v>
      </c>
      <c r="N224" s="1271">
        <v>5.0031912325078426E-3</v>
      </c>
      <c r="O224" s="1288">
        <v>1.1015116514921616E-2</v>
      </c>
      <c r="P224" s="1237">
        <v>5.507558257460808E-3</v>
      </c>
      <c r="Q224" s="1292">
        <v>0.55482340542992847</v>
      </c>
    </row>
    <row r="225" spans="1:17" s="212" customFormat="1" ht="15.5" x14ac:dyDescent="0.35">
      <c r="A225" s="198">
        <v>2019</v>
      </c>
      <c r="B225" s="197" t="s">
        <v>5838</v>
      </c>
      <c r="C225" s="197">
        <v>1976</v>
      </c>
      <c r="D225" s="225" t="str">
        <f t="shared" si="0"/>
        <v>2019_1976</v>
      </c>
      <c r="E225" s="1291">
        <v>0.76022914345214654</v>
      </c>
      <c r="F225" s="1306">
        <v>8.0323274172745371</v>
      </c>
      <c r="G225" s="1271">
        <v>2.1783610187875611</v>
      </c>
      <c r="H225" s="1306">
        <v>11.088644362400625</v>
      </c>
      <c r="I225" s="1271">
        <v>0.53082199050690271</v>
      </c>
      <c r="J225" s="1306">
        <v>5.580425967029571E-2</v>
      </c>
      <c r="K225" s="1271">
        <v>2.0440142758923392E-3</v>
      </c>
      <c r="L225" s="1288">
        <v>2.0000015711645063E-3</v>
      </c>
      <c r="M225" s="1230">
        <v>2.0000015711645063E-3</v>
      </c>
      <c r="N225" s="1271">
        <v>5.0031912325078426E-3</v>
      </c>
      <c r="O225" s="1288">
        <v>7.009545898335144E-3</v>
      </c>
      <c r="P225" s="1237">
        <v>3.504772949167572E-3</v>
      </c>
      <c r="Q225" s="1292">
        <v>0.55482340542992847</v>
      </c>
    </row>
    <row r="226" spans="1:17" s="212" customFormat="1" ht="15.5" x14ac:dyDescent="0.35">
      <c r="A226" s="198">
        <v>2019</v>
      </c>
      <c r="B226" s="197" t="s">
        <v>5838</v>
      </c>
      <c r="C226" s="197">
        <v>1977</v>
      </c>
      <c r="D226" s="225" t="str">
        <f t="shared" si="0"/>
        <v>2019_1977</v>
      </c>
      <c r="E226" s="1287">
        <v>0.76022914345214654</v>
      </c>
      <c r="F226" s="1306">
        <v>7.8630813320244055</v>
      </c>
      <c r="G226" s="1303">
        <v>2.1783610187875611</v>
      </c>
      <c r="H226" s="1306">
        <v>11.403914751556069</v>
      </c>
      <c r="I226" s="1303">
        <v>0.53082199050690271</v>
      </c>
      <c r="J226" s="1306">
        <v>5.2493439266088467E-2</v>
      </c>
      <c r="K226" s="1303">
        <v>2.0440142758923392E-3</v>
      </c>
      <c r="L226" s="1288">
        <v>2.0000014312979812E-3</v>
      </c>
      <c r="M226" s="1230">
        <v>2.0000014312979812E-3</v>
      </c>
      <c r="N226" s="1303">
        <v>5.0031912325078426E-3</v>
      </c>
      <c r="O226" s="1288">
        <v>6.5349759259506124E-3</v>
      </c>
      <c r="P226" s="1237">
        <v>3.2674879629753062E-3</v>
      </c>
      <c r="Q226" s="1290">
        <v>0.55482340542992847</v>
      </c>
    </row>
    <row r="227" spans="1:17" s="212" customFormat="1" ht="15.5" x14ac:dyDescent="0.35">
      <c r="A227" s="198">
        <v>2019</v>
      </c>
      <c r="B227" s="197" t="s">
        <v>5838</v>
      </c>
      <c r="C227" s="197">
        <v>1978</v>
      </c>
      <c r="D227" s="225" t="str">
        <f t="shared" ref="D227:D294" si="1">CONCATENATE(A227,"_",C227)</f>
        <v>2019_1978</v>
      </c>
      <c r="E227" s="1287">
        <v>0.7308376638886761</v>
      </c>
      <c r="F227" s="1306">
        <v>1.7088551785818069</v>
      </c>
      <c r="G227" s="1303">
        <v>2.3518615035263029</v>
      </c>
      <c r="H227" s="1306">
        <v>4.6271386896760562</v>
      </c>
      <c r="I227" s="1303">
        <v>0.51081993263209091</v>
      </c>
      <c r="J227" s="1306">
        <v>4.6271647163735649E-2</v>
      </c>
      <c r="K227" s="1303">
        <v>2.0897684404667383E-3</v>
      </c>
      <c r="L227" s="1288">
        <v>2.0000013742718097E-3</v>
      </c>
      <c r="M227" s="1230">
        <v>2.0000013742718097E-3</v>
      </c>
      <c r="N227" s="1303">
        <v>5.9796544374812856E-3</v>
      </c>
      <c r="O227" s="1288">
        <v>7.6248696811910023E-3</v>
      </c>
      <c r="P227" s="1237">
        <v>3.8124348405955012E-3</v>
      </c>
      <c r="Q227" s="1290">
        <v>0.53391694325583505</v>
      </c>
    </row>
    <row r="228" spans="1:17" s="212" customFormat="1" ht="15.5" x14ac:dyDescent="0.35">
      <c r="A228" s="198">
        <v>2019</v>
      </c>
      <c r="B228" s="197" t="s">
        <v>5838</v>
      </c>
      <c r="C228" s="197">
        <v>1979</v>
      </c>
      <c r="D228" s="225" t="str">
        <f t="shared" si="1"/>
        <v>2019_1979</v>
      </c>
      <c r="E228" s="1287">
        <v>0.72845527332435911</v>
      </c>
      <c r="F228" s="1306">
        <v>1.7531569120145094</v>
      </c>
      <c r="G228" s="1303">
        <v>2.3325881533811761</v>
      </c>
      <c r="H228" s="1306">
        <v>4.4731794282539683</v>
      </c>
      <c r="I228" s="1303">
        <v>0.50861027370257283</v>
      </c>
      <c r="J228" s="1306">
        <v>4.4713524940589097E-2</v>
      </c>
      <c r="K228" s="1303">
        <v>2.0532613113488332E-3</v>
      </c>
      <c r="L228" s="1288">
        <v>2.000001312802225E-3</v>
      </c>
      <c r="M228" s="1230">
        <v>2.000001312802225E-3</v>
      </c>
      <c r="N228" s="1303">
        <v>4.7299481850839953E-3</v>
      </c>
      <c r="O228" s="1288">
        <v>8.6216659569586934E-3</v>
      </c>
      <c r="P228" s="1237">
        <v>4.3108329784793467E-3</v>
      </c>
      <c r="Q228" s="1290">
        <v>0.53160737335473984</v>
      </c>
    </row>
    <row r="229" spans="1:17" s="212" customFormat="1" ht="15.5" x14ac:dyDescent="0.35">
      <c r="A229" s="198">
        <v>2019</v>
      </c>
      <c r="B229" s="197" t="s">
        <v>5838</v>
      </c>
      <c r="C229" s="197">
        <v>1980</v>
      </c>
      <c r="D229" s="225" t="str">
        <f t="shared" si="1"/>
        <v>2019_1980</v>
      </c>
      <c r="E229" s="1287">
        <v>0.30467741726517644</v>
      </c>
      <c r="F229" s="1306">
        <v>2.1806190325509984</v>
      </c>
      <c r="G229" s="1303">
        <v>2.9705500415332189</v>
      </c>
      <c r="H229" s="1306">
        <v>4.2422893768061822</v>
      </c>
      <c r="I229" s="1303">
        <v>0.24071630065726307</v>
      </c>
      <c r="J229" s="1306">
        <v>3.4169899990667142E-2</v>
      </c>
      <c r="K229" s="1303">
        <v>2.3300070616661889E-3</v>
      </c>
      <c r="L229" s="1288">
        <v>2.0000011090545171E-3</v>
      </c>
      <c r="M229" s="1230">
        <v>2.0000011090545171E-3</v>
      </c>
      <c r="N229" s="1303">
        <v>1.1638177533653907E-2</v>
      </c>
      <c r="O229" s="1288">
        <v>1.5296571055430331E-2</v>
      </c>
      <c r="P229" s="1237">
        <v>7.6482855277151653E-3</v>
      </c>
      <c r="Q229" s="1290">
        <v>0.25160042361022011</v>
      </c>
    </row>
    <row r="230" spans="1:17" s="212" customFormat="1" ht="15.5" x14ac:dyDescent="0.35">
      <c r="A230" s="198">
        <v>2019</v>
      </c>
      <c r="B230" s="197" t="s">
        <v>5838</v>
      </c>
      <c r="C230" s="197">
        <v>1981</v>
      </c>
      <c r="D230" s="225" t="str">
        <f t="shared" si="1"/>
        <v>2019_1981</v>
      </c>
      <c r="E230" s="1287">
        <v>0.33990178783824082</v>
      </c>
      <c r="F230" s="1306">
        <v>2.160058337878954</v>
      </c>
      <c r="G230" s="1303">
        <v>1.9283981143727531</v>
      </c>
      <c r="H230" s="1306">
        <v>3.8032912716507021</v>
      </c>
      <c r="I230" s="1303">
        <v>0.27206193342704948</v>
      </c>
      <c r="J230" s="1306">
        <v>1.7458996327580065E-2</v>
      </c>
      <c r="K230" s="1303">
        <v>2.0300462117647158E-3</v>
      </c>
      <c r="L230" s="1288">
        <v>2.0000009735685301E-3</v>
      </c>
      <c r="M230" s="1230">
        <v>2.0000009735685301E-3</v>
      </c>
      <c r="N230" s="1303">
        <v>4.5626958608947655E-3</v>
      </c>
      <c r="O230" s="1288">
        <v>1.6866989336057965E-2</v>
      </c>
      <c r="P230" s="1237">
        <v>8.4334946680289825E-3</v>
      </c>
      <c r="Q230" s="1290">
        <v>0.28436336679967172</v>
      </c>
    </row>
    <row r="231" spans="1:17" s="212" customFormat="1" ht="15.5" x14ac:dyDescent="0.35">
      <c r="A231" s="198">
        <v>2019</v>
      </c>
      <c r="B231" s="197" t="s">
        <v>5838</v>
      </c>
      <c r="C231" s="197">
        <v>1982</v>
      </c>
      <c r="D231" s="225" t="str">
        <f t="shared" si="1"/>
        <v>2019_1982</v>
      </c>
      <c r="E231" s="1287">
        <v>0.27740131908181481</v>
      </c>
      <c r="F231" s="1306">
        <v>2.1625658472125897</v>
      </c>
      <c r="G231" s="1303">
        <v>3.7020972673316477</v>
      </c>
      <c r="H231" s="1306">
        <v>3.5844735833587129</v>
      </c>
      <c r="I231" s="1303">
        <v>0.21634286316639734</v>
      </c>
      <c r="J231" s="1306">
        <v>1.7148887001760989E-2</v>
      </c>
      <c r="K231" s="1303">
        <v>2.5505565595446318E-3</v>
      </c>
      <c r="L231" s="1288">
        <v>2.0000009630404113E-3</v>
      </c>
      <c r="M231" s="1230">
        <v>2.0000009630404113E-3</v>
      </c>
      <c r="N231" s="1303">
        <v>1.6701114056568992E-2</v>
      </c>
      <c r="O231" s="1288">
        <v>1.8608358884559893E-2</v>
      </c>
      <c r="P231" s="1237">
        <v>9.3041794422799463E-3</v>
      </c>
      <c r="Q231" s="1290">
        <v>0.22612492743154469</v>
      </c>
    </row>
    <row r="232" spans="1:17" s="212" customFormat="1" ht="15.5" x14ac:dyDescent="0.35">
      <c r="A232" s="198">
        <v>2019</v>
      </c>
      <c r="B232" s="197" t="s">
        <v>5838</v>
      </c>
      <c r="C232" s="197">
        <v>1983</v>
      </c>
      <c r="D232" s="225" t="str">
        <f t="shared" si="1"/>
        <v>2019_1983</v>
      </c>
      <c r="E232" s="1287">
        <v>0.21837601635523712</v>
      </c>
      <c r="F232" s="1306">
        <v>1.8005099756562628</v>
      </c>
      <c r="G232" s="1303">
        <v>3.7892689459500186</v>
      </c>
      <c r="H232" s="1306">
        <v>3.4889777231104664</v>
      </c>
      <c r="I232" s="1303">
        <v>0.20240113490171135</v>
      </c>
      <c r="J232" s="1306">
        <v>1.6979893144391314E-2</v>
      </c>
      <c r="K232" s="1303">
        <v>2.6221502914524982E-3</v>
      </c>
      <c r="L232" s="1288">
        <v>2.0000009478976922E-3</v>
      </c>
      <c r="M232" s="1230">
        <v>2.0000009478976922E-3</v>
      </c>
      <c r="N232" s="1303">
        <v>1.841347030222832E-2</v>
      </c>
      <c r="O232" s="1288">
        <v>1.6514656616879245E-2</v>
      </c>
      <c r="P232" s="1237">
        <v>8.2573283084396223E-3</v>
      </c>
      <c r="Q232" s="1290">
        <v>0.21155281608023208</v>
      </c>
    </row>
    <row r="233" spans="1:17" s="212" customFormat="1" ht="15.5" x14ac:dyDescent="0.35">
      <c r="A233" s="198">
        <v>2019</v>
      </c>
      <c r="B233" s="197" t="s">
        <v>5838</v>
      </c>
      <c r="C233" s="197">
        <v>1984</v>
      </c>
      <c r="D233" s="225" t="str">
        <f t="shared" si="1"/>
        <v>2019_1984</v>
      </c>
      <c r="E233" s="1287">
        <v>0.2537205964878958</v>
      </c>
      <c r="F233" s="1306">
        <v>1.3928057476844615</v>
      </c>
      <c r="G233" s="1303">
        <v>4.3396851490611867</v>
      </c>
      <c r="H233" s="1306">
        <v>3.4494761466911008</v>
      </c>
      <c r="I233" s="1303">
        <v>0.18181402194062402</v>
      </c>
      <c r="J233" s="1306">
        <v>1.743264002382465E-2</v>
      </c>
      <c r="K233" s="1303">
        <v>2.7909909113814058E-3</v>
      </c>
      <c r="L233" s="1288">
        <v>2.0000009034272636E-3</v>
      </c>
      <c r="M233" s="1230">
        <v>2.0000009034272636E-3</v>
      </c>
      <c r="N233" s="1303">
        <v>2.2369071326168773E-2</v>
      </c>
      <c r="O233" s="1288">
        <v>1.7123925761008497E-2</v>
      </c>
      <c r="P233" s="1237">
        <v>8.5619628805042487E-3</v>
      </c>
      <c r="Q233" s="1290">
        <v>0.19003484522500516</v>
      </c>
    </row>
    <row r="234" spans="1:17" s="212" customFormat="1" ht="15.5" x14ac:dyDescent="0.35">
      <c r="A234" s="198">
        <v>2019</v>
      </c>
      <c r="B234" s="197" t="s">
        <v>5838</v>
      </c>
      <c r="C234" s="197">
        <v>1985</v>
      </c>
      <c r="D234" s="225" t="str">
        <f t="shared" si="1"/>
        <v>2019_1985</v>
      </c>
      <c r="E234" s="1287">
        <v>0.24621091645554097</v>
      </c>
      <c r="F234" s="1306">
        <v>1.3717300105977648</v>
      </c>
      <c r="G234" s="1303">
        <v>4.6418652332247854</v>
      </c>
      <c r="H234" s="1306">
        <v>3.1398883145158276</v>
      </c>
      <c r="I234" s="1303">
        <v>0.17980482873017287</v>
      </c>
      <c r="J234" s="1306">
        <v>1.61892537480023E-2</v>
      </c>
      <c r="K234" s="1303">
        <v>2.8728167994518362E-3</v>
      </c>
      <c r="L234" s="1288">
        <v>2.0000009887845074E-3</v>
      </c>
      <c r="M234" s="1230">
        <v>2.0000009887845074E-3</v>
      </c>
      <c r="N234" s="1303">
        <v>2.431728657968384E-2</v>
      </c>
      <c r="O234" s="1288">
        <v>1.7156810300441624E-2</v>
      </c>
      <c r="P234" s="1237">
        <v>8.5784051502208122E-3</v>
      </c>
      <c r="Q234" s="1290">
        <v>0.18793480521324057</v>
      </c>
    </row>
    <row r="235" spans="1:17" s="212" customFormat="1" ht="15.5" x14ac:dyDescent="0.35">
      <c r="A235" s="198">
        <v>2019</v>
      </c>
      <c r="B235" s="197" t="s">
        <v>5838</v>
      </c>
      <c r="C235" s="197">
        <v>1986</v>
      </c>
      <c r="D235" s="225" t="str">
        <f t="shared" si="1"/>
        <v>2019_1986</v>
      </c>
      <c r="E235" s="1287">
        <v>0.24400045060570522</v>
      </c>
      <c r="F235" s="1306">
        <v>1.0939035081047741</v>
      </c>
      <c r="G235" s="1303">
        <v>4.7636122031237438</v>
      </c>
      <c r="H235" s="1306">
        <v>3.2315617299253363</v>
      </c>
      <c r="I235" s="1303">
        <v>0.17985943975054117</v>
      </c>
      <c r="J235" s="1306">
        <v>1.6348815994204697E-2</v>
      </c>
      <c r="K235" s="1303">
        <v>2.9115819170165342E-3</v>
      </c>
      <c r="L235" s="1288">
        <v>2.0000009912527856E-3</v>
      </c>
      <c r="M235" s="1230">
        <v>2.0000009912527856E-3</v>
      </c>
      <c r="N235" s="1303">
        <v>2.5222837883803976E-2</v>
      </c>
      <c r="O235" s="1288">
        <v>1.6385766039506242E-2</v>
      </c>
      <c r="P235" s="1237">
        <v>8.1928830197531208E-3</v>
      </c>
      <c r="Q235" s="1290">
        <v>0.18799188550161694</v>
      </c>
    </row>
    <row r="236" spans="1:17" s="212" customFormat="1" ht="15.5" x14ac:dyDescent="0.35">
      <c r="A236" s="198">
        <v>2019</v>
      </c>
      <c r="B236" s="197" t="s">
        <v>5838</v>
      </c>
      <c r="C236" s="197">
        <v>1987</v>
      </c>
      <c r="D236" s="225" t="str">
        <f t="shared" si="1"/>
        <v>2019_1987</v>
      </c>
      <c r="E236" s="1287">
        <v>0.29450815943502934</v>
      </c>
      <c r="F236" s="1306">
        <v>1.1978741163437867</v>
      </c>
      <c r="G236" s="1303">
        <v>5.0981315303963406</v>
      </c>
      <c r="H236" s="1306">
        <v>3.112605372241898</v>
      </c>
      <c r="I236" s="1303">
        <v>0.19996666799679505</v>
      </c>
      <c r="J236" s="1306">
        <v>1.6667040960838288E-2</v>
      </c>
      <c r="K236" s="1303">
        <v>2.9712978710337437E-3</v>
      </c>
      <c r="L236" s="1288">
        <v>2.0000011436954088E-3</v>
      </c>
      <c r="M236" s="1230">
        <v>2.0000011436954088E-3</v>
      </c>
      <c r="N236" s="1303">
        <v>2.6626849782823123E-2</v>
      </c>
      <c r="O236" s="1288">
        <v>1.448281883900332E-2</v>
      </c>
      <c r="P236" s="1237">
        <v>7.2414094195016598E-3</v>
      </c>
      <c r="Q236" s="1290">
        <v>0.20900827338466293</v>
      </c>
    </row>
    <row r="237" spans="1:17" s="212" customFormat="1" ht="15.5" x14ac:dyDescent="0.35">
      <c r="A237" s="198">
        <v>2019</v>
      </c>
      <c r="B237" s="197" t="s">
        <v>5838</v>
      </c>
      <c r="C237" s="197">
        <v>1988</v>
      </c>
      <c r="D237" s="225" t="str">
        <f t="shared" si="1"/>
        <v>2019_1988</v>
      </c>
      <c r="E237" s="1287">
        <v>0.29242485130094376</v>
      </c>
      <c r="F237" s="1306">
        <v>0.49646704565639627</v>
      </c>
      <c r="G237" s="1303">
        <v>5.1408473025856933</v>
      </c>
      <c r="H237" s="1306">
        <v>1.6463150707634877</v>
      </c>
      <c r="I237" s="1303">
        <v>0.19868968644665214</v>
      </c>
      <c r="J237" s="1306">
        <v>1.595655716561966E-2</v>
      </c>
      <c r="K237" s="1303">
        <v>2.978217602314853E-3</v>
      </c>
      <c r="L237" s="1288">
        <v>2.0000011798242019E-3</v>
      </c>
      <c r="M237" s="1230">
        <v>2.0000011798242019E-3</v>
      </c>
      <c r="N237" s="1303">
        <v>2.6792528192551523E-2</v>
      </c>
      <c r="O237" s="1288">
        <v>1.4419337899600707E-2</v>
      </c>
      <c r="P237" s="1237">
        <v>7.2096689498003536E-3</v>
      </c>
      <c r="Q237" s="1290">
        <v>0.2076735523953433</v>
      </c>
    </row>
    <row r="238" spans="1:17" s="212" customFormat="1" ht="15.5" x14ac:dyDescent="0.35">
      <c r="A238" s="198">
        <v>2019</v>
      </c>
      <c r="B238" s="197" t="s">
        <v>5838</v>
      </c>
      <c r="C238" s="197">
        <v>1989</v>
      </c>
      <c r="D238" s="225" t="str">
        <f t="shared" si="1"/>
        <v>2019_1989</v>
      </c>
      <c r="E238" s="1287">
        <v>0.29539008165962305</v>
      </c>
      <c r="F238" s="1306">
        <v>0.43815530470829073</v>
      </c>
      <c r="G238" s="1303">
        <v>5.0541104743196472</v>
      </c>
      <c r="H238" s="1306">
        <v>1.8732067056120063</v>
      </c>
      <c r="I238" s="1303">
        <v>0.20033764459266959</v>
      </c>
      <c r="J238" s="1306">
        <v>1.6119841723299447E-2</v>
      </c>
      <c r="K238" s="1303">
        <v>2.9601583428341643E-3</v>
      </c>
      <c r="L238" s="1288">
        <v>2.0000012189012113E-3</v>
      </c>
      <c r="M238" s="1230">
        <v>2.0000012189012113E-3</v>
      </c>
      <c r="N238" s="1303">
        <v>2.6368041709397369E-2</v>
      </c>
      <c r="O238" s="1288">
        <v>1.33634155177581E-2</v>
      </c>
      <c r="P238" s="1237">
        <v>6.6817077588790501E-3</v>
      </c>
      <c r="Q238" s="1290">
        <v>0.20939602389601797</v>
      </c>
    </row>
    <row r="239" spans="1:17" s="212" customFormat="1" ht="15.5" x14ac:dyDescent="0.35">
      <c r="A239" s="198">
        <v>2019</v>
      </c>
      <c r="B239" s="197" t="s">
        <v>5838</v>
      </c>
      <c r="C239" s="197">
        <v>1990</v>
      </c>
      <c r="D239" s="225" t="str">
        <f t="shared" si="1"/>
        <v>2019_1990</v>
      </c>
      <c r="E239" s="1287">
        <v>0.29725143660139475</v>
      </c>
      <c r="F239" s="1306">
        <v>0.4826890702948155</v>
      </c>
      <c r="G239" s="1303">
        <v>5.0538151142392573</v>
      </c>
      <c r="H239" s="1306">
        <v>1.8553210677934788</v>
      </c>
      <c r="I239" s="1303">
        <v>0.20177644039087123</v>
      </c>
      <c r="J239" s="1306">
        <v>1.632064156053234E-2</v>
      </c>
      <c r="K239" s="1303">
        <v>2.9684494100268083E-3</v>
      </c>
      <c r="L239" s="1288">
        <v>2.0000011892622373E-3</v>
      </c>
      <c r="M239" s="1230">
        <v>2.0000011892622373E-3</v>
      </c>
      <c r="N239" s="1303">
        <v>2.6560766129069314E-2</v>
      </c>
      <c r="O239" s="1288">
        <v>1.2808669197051854E-2</v>
      </c>
      <c r="P239" s="1237">
        <v>6.404334598525927E-3</v>
      </c>
      <c r="Q239" s="1290">
        <v>0.21089987565565321</v>
      </c>
    </row>
    <row r="240" spans="1:17" s="212" customFormat="1" ht="15.5" x14ac:dyDescent="0.35">
      <c r="A240" s="198">
        <v>2019</v>
      </c>
      <c r="B240" s="197" t="s">
        <v>5838</v>
      </c>
      <c r="C240" s="197">
        <v>1991</v>
      </c>
      <c r="D240" s="225" t="str">
        <f t="shared" si="1"/>
        <v>2019_1991</v>
      </c>
      <c r="E240" s="1287">
        <v>0.37835872367222129</v>
      </c>
      <c r="F240" s="1306">
        <v>0.49486157442814588</v>
      </c>
      <c r="G240" s="1303">
        <v>8.9874150883642532</v>
      </c>
      <c r="H240" s="1306">
        <v>2.3129386326535233</v>
      </c>
      <c r="I240" s="1303">
        <v>5.7082366623643216E-2</v>
      </c>
      <c r="J240" s="1306">
        <v>9.1371819564717051E-3</v>
      </c>
      <c r="K240" s="1303">
        <v>2.9787854814084065E-3</v>
      </c>
      <c r="L240" s="1288">
        <v>2.0000012108359259E-3</v>
      </c>
      <c r="M240" s="1230">
        <v>2.0000012108359259E-3</v>
      </c>
      <c r="N240" s="1303">
        <v>2.6800298375483159E-2</v>
      </c>
      <c r="O240" s="1288">
        <v>1.1872644169353228E-2</v>
      </c>
      <c r="P240" s="1237">
        <v>5.9363220846766138E-3</v>
      </c>
      <c r="Q240" s="1290">
        <v>5.9663377943113959E-2</v>
      </c>
    </row>
    <row r="241" spans="1:17" s="212" customFormat="1" ht="15.5" x14ac:dyDescent="0.35">
      <c r="A241" s="198">
        <v>2019</v>
      </c>
      <c r="B241" s="197" t="s">
        <v>5838</v>
      </c>
      <c r="C241" s="197">
        <v>1992</v>
      </c>
      <c r="D241" s="225" t="str">
        <f t="shared" si="1"/>
        <v>2019_1992</v>
      </c>
      <c r="E241" s="1287">
        <v>0.37906140648121783</v>
      </c>
      <c r="F241" s="1306">
        <v>0.49644162412965859</v>
      </c>
      <c r="G241" s="1303">
        <v>8.7166158207331694</v>
      </c>
      <c r="H241" s="1306">
        <v>2.2183691353299162</v>
      </c>
      <c r="I241" s="1303">
        <v>6.2134310116442895E-2</v>
      </c>
      <c r="J241" s="1306">
        <v>9.3245153700980687E-3</v>
      </c>
      <c r="K241" s="1303">
        <v>2.9481231349337569E-3</v>
      </c>
      <c r="L241" s="1288">
        <v>2.0000012918255255E-3</v>
      </c>
      <c r="M241" s="1230">
        <v>2.0000012918255255E-3</v>
      </c>
      <c r="N241" s="1303">
        <v>2.6078904906428581E-2</v>
      </c>
      <c r="O241" s="1288">
        <v>9.9663722327237858E-3</v>
      </c>
      <c r="P241" s="1237">
        <v>4.9831861163618929E-3</v>
      </c>
      <c r="Q241" s="1290">
        <v>6.4943747902990762E-2</v>
      </c>
    </row>
    <row r="242" spans="1:17" s="212" customFormat="1" ht="15.5" x14ac:dyDescent="0.35">
      <c r="A242" s="198">
        <v>2019</v>
      </c>
      <c r="B242" s="197" t="s">
        <v>5838</v>
      </c>
      <c r="C242" s="197">
        <v>1993</v>
      </c>
      <c r="D242" s="225" t="str">
        <f t="shared" si="1"/>
        <v>2019_1993</v>
      </c>
      <c r="E242" s="1287">
        <v>0.3776628927391128</v>
      </c>
      <c r="F242" s="1306">
        <v>0.50052883101751877</v>
      </c>
      <c r="G242" s="1303">
        <v>9.0207672562448487</v>
      </c>
      <c r="H242" s="1306">
        <v>2.2390402528739068</v>
      </c>
      <c r="I242" s="1303">
        <v>5.4045027738217663E-2</v>
      </c>
      <c r="J242" s="1306">
        <v>9.3407990227751727E-3</v>
      </c>
      <c r="K242" s="1303">
        <v>2.9868478104155337E-3</v>
      </c>
      <c r="L242" s="1288">
        <v>2.0000012606972654E-3</v>
      </c>
      <c r="M242" s="1230">
        <v>2.0000012606972654E-3</v>
      </c>
      <c r="N242" s="1303">
        <v>2.6991156909006712E-2</v>
      </c>
      <c r="O242" s="1288">
        <v>1.0922788163608393E-2</v>
      </c>
      <c r="P242" s="1237">
        <v>5.4613940818041967E-3</v>
      </c>
      <c r="Q242" s="1290">
        <v>5.6488704071281148E-2</v>
      </c>
    </row>
    <row r="243" spans="1:17" s="212" customFormat="1" ht="15.5" x14ac:dyDescent="0.35">
      <c r="A243" s="198">
        <v>2019</v>
      </c>
      <c r="B243" s="197" t="s">
        <v>5838</v>
      </c>
      <c r="C243" s="197">
        <v>1994</v>
      </c>
      <c r="D243" s="225" t="str">
        <f t="shared" si="1"/>
        <v>2019_1994</v>
      </c>
      <c r="E243" s="1287">
        <v>0.35806330702945244</v>
      </c>
      <c r="F243" s="1306">
        <v>0.50025427817610968</v>
      </c>
      <c r="G243" s="1303">
        <v>8.5973289096105177</v>
      </c>
      <c r="H243" s="1306">
        <v>2.0936413392502482</v>
      </c>
      <c r="I243" s="1303">
        <v>5.414204230615409E-2</v>
      </c>
      <c r="J243" s="1306">
        <v>9.5650684158793166E-3</v>
      </c>
      <c r="K243" s="1303">
        <v>2.9257680508395036E-3</v>
      </c>
      <c r="L243" s="1288">
        <v>2.0000014325073875E-3</v>
      </c>
      <c r="M243" s="1230">
        <v>2.0000014325073875E-3</v>
      </c>
      <c r="N243" s="1303">
        <v>2.5548101116756185E-2</v>
      </c>
      <c r="O243" s="1288">
        <v>7.9719237618927873E-3</v>
      </c>
      <c r="P243" s="1237">
        <v>3.9859618809463936E-3</v>
      </c>
      <c r="Q243" s="1290">
        <v>5.65901052074839E-2</v>
      </c>
    </row>
    <row r="244" spans="1:17" s="212" customFormat="1" ht="15.5" x14ac:dyDescent="0.35">
      <c r="A244" s="198">
        <v>2019</v>
      </c>
      <c r="B244" s="197" t="s">
        <v>5838</v>
      </c>
      <c r="C244" s="197">
        <v>1995</v>
      </c>
      <c r="D244" s="225" t="str">
        <f t="shared" si="1"/>
        <v>2019_1995</v>
      </c>
      <c r="E244" s="1287">
        <v>0.37156983211402422</v>
      </c>
      <c r="F244" s="1306">
        <v>0.37221111646631933</v>
      </c>
      <c r="G244" s="1303">
        <v>9.1462893523449207</v>
      </c>
      <c r="H244" s="1306">
        <v>1.6502676152088913</v>
      </c>
      <c r="I244" s="1303">
        <v>5.3651383651009528E-2</v>
      </c>
      <c r="J244" s="1306">
        <v>8.6490855784313314E-3</v>
      </c>
      <c r="K244" s="1303">
        <v>2.9886013173499428E-3</v>
      </c>
      <c r="L244" s="1288">
        <v>2.0000013169453653E-3</v>
      </c>
      <c r="M244" s="1230">
        <v>2.0000013169453653E-3</v>
      </c>
      <c r="N244" s="1303">
        <v>2.703279510567011E-2</v>
      </c>
      <c r="O244" s="1288">
        <v>1.0018868122073681E-2</v>
      </c>
      <c r="P244" s="1237">
        <v>5.0094340610368406E-3</v>
      </c>
      <c r="Q244" s="1290">
        <v>5.607726114521925E-2</v>
      </c>
    </row>
    <row r="245" spans="1:17" s="212" customFormat="1" ht="15.5" x14ac:dyDescent="0.35">
      <c r="A245" s="198">
        <v>2019</v>
      </c>
      <c r="B245" s="197" t="s">
        <v>5838</v>
      </c>
      <c r="C245" s="197">
        <v>1996</v>
      </c>
      <c r="D245" s="225" t="str">
        <f t="shared" si="1"/>
        <v>2019_1996</v>
      </c>
      <c r="E245" s="1287">
        <v>0.37381557176399116</v>
      </c>
      <c r="F245" s="1306">
        <v>0.12797591004272091</v>
      </c>
      <c r="G245" s="1303">
        <v>9.1526558239483258</v>
      </c>
      <c r="H245" s="1306">
        <v>0.99576584393913037</v>
      </c>
      <c r="I245" s="1303">
        <v>5.3817771384526876E-2</v>
      </c>
      <c r="J245" s="1306">
        <v>2.6903014648015202E-3</v>
      </c>
      <c r="K245" s="1303">
        <v>2.9932054636807827E-3</v>
      </c>
      <c r="L245" s="1288">
        <v>2.0000013049550555E-3</v>
      </c>
      <c r="M245" s="1230">
        <v>2.0000013049550555E-3</v>
      </c>
      <c r="N245" s="1303">
        <v>2.7139591503333477E-2</v>
      </c>
      <c r="O245" s="1288">
        <v>9.8310532692232489E-3</v>
      </c>
      <c r="P245" s="1237">
        <v>4.9155266346116245E-3</v>
      </c>
      <c r="Q245" s="1290">
        <v>5.625117219371157E-2</v>
      </c>
    </row>
    <row r="246" spans="1:17" s="212" customFormat="1" ht="15.5" x14ac:dyDescent="0.35">
      <c r="A246" s="198">
        <v>2019</v>
      </c>
      <c r="B246" s="197" t="s">
        <v>5838</v>
      </c>
      <c r="C246" s="197">
        <v>1997</v>
      </c>
      <c r="D246" s="225" t="str">
        <f t="shared" si="1"/>
        <v>2019_1997</v>
      </c>
      <c r="E246" s="1287">
        <v>0.37468260061935321</v>
      </c>
      <c r="F246" s="1306">
        <v>0.12833057590978594</v>
      </c>
      <c r="G246" s="1303">
        <v>9.1629247090580606</v>
      </c>
      <c r="H246" s="1306">
        <v>1.0010873414498829</v>
      </c>
      <c r="I246" s="1303">
        <v>5.3827681384266912E-2</v>
      </c>
      <c r="J246" s="1306">
        <v>2.6913687328522073E-3</v>
      </c>
      <c r="K246" s="1303">
        <v>2.9977413310939946E-3</v>
      </c>
      <c r="L246" s="1288">
        <v>2.0000012939906421E-3</v>
      </c>
      <c r="M246" s="1230">
        <v>2.0000012939906421E-3</v>
      </c>
      <c r="N246" s="1303">
        <v>2.7246989188008431E-2</v>
      </c>
      <c r="O246" s="1288">
        <v>9.6611046103303368E-3</v>
      </c>
      <c r="P246" s="1237">
        <v>4.8305523051651684E-3</v>
      </c>
      <c r="Q246" s="1290">
        <v>5.6261530279664865E-2</v>
      </c>
    </row>
    <row r="247" spans="1:17" s="212" customFormat="1" ht="15.5" x14ac:dyDescent="0.35">
      <c r="A247" s="198">
        <v>2019</v>
      </c>
      <c r="B247" s="197" t="s">
        <v>5838</v>
      </c>
      <c r="C247" s="197">
        <v>1998</v>
      </c>
      <c r="D247" s="225" t="str">
        <f t="shared" si="1"/>
        <v>2019_1998</v>
      </c>
      <c r="E247" s="1287">
        <v>0.37163253060994428</v>
      </c>
      <c r="F247" s="1306">
        <v>0.13025066790591019</v>
      </c>
      <c r="G247" s="1303">
        <v>9.1657586954756667</v>
      </c>
      <c r="H247" s="1306">
        <v>1.0152944329996383</v>
      </c>
      <c r="I247" s="1303">
        <v>5.3487059911534775E-2</v>
      </c>
      <c r="J247" s="1306">
        <v>2.7338990742588796E-3</v>
      </c>
      <c r="K247" s="1303">
        <v>2.9976488087575912E-3</v>
      </c>
      <c r="L247" s="1288">
        <v>2.0000013946280494E-3</v>
      </c>
      <c r="M247" s="1230">
        <v>2.0000013946280494E-3</v>
      </c>
      <c r="N247" s="1303">
        <v>2.7244046560219559E-2</v>
      </c>
      <c r="O247" s="1288">
        <v>8.1013818099012012E-3</v>
      </c>
      <c r="P247" s="1237">
        <v>4.0506909049506006E-3</v>
      </c>
      <c r="Q247" s="1290">
        <v>5.5905507415421218E-2</v>
      </c>
    </row>
    <row r="248" spans="1:17" s="212" customFormat="1" ht="15.5" x14ac:dyDescent="0.35">
      <c r="A248" s="198">
        <v>2019</v>
      </c>
      <c r="B248" s="197" t="s">
        <v>5838</v>
      </c>
      <c r="C248" s="197">
        <v>1999</v>
      </c>
      <c r="D248" s="225" t="str">
        <f t="shared" si="1"/>
        <v>2019_1999</v>
      </c>
      <c r="E248" s="1287">
        <v>0.36889353930605889</v>
      </c>
      <c r="F248" s="1306">
        <v>0.12661267527946093</v>
      </c>
      <c r="G248" s="1303">
        <v>9.1706380783134041</v>
      </c>
      <c r="H248" s="1306">
        <v>0.99452349114120209</v>
      </c>
      <c r="I248" s="1303">
        <v>5.3185483196422995E-2</v>
      </c>
      <c r="J248" s="1306">
        <v>2.7622732720436944E-3</v>
      </c>
      <c r="K248" s="1303">
        <v>2.9987492783991603E-3</v>
      </c>
      <c r="L248" s="1288">
        <v>2.000001452063362E-3</v>
      </c>
      <c r="M248" s="1230">
        <v>2.000001452063362E-3</v>
      </c>
      <c r="N248" s="1303">
        <v>2.7270654179840616E-2</v>
      </c>
      <c r="O248" s="1288">
        <v>7.7138557076696368E-3</v>
      </c>
      <c r="P248" s="1237">
        <v>3.8569278538348184E-3</v>
      </c>
      <c r="Q248" s="1290">
        <v>5.5590294739478886E-2</v>
      </c>
    </row>
    <row r="249" spans="1:17" s="212" customFormat="1" ht="15.5" x14ac:dyDescent="0.35">
      <c r="A249" s="198">
        <v>2019</v>
      </c>
      <c r="B249" s="197" t="s">
        <v>5838</v>
      </c>
      <c r="C249" s="197">
        <v>2000</v>
      </c>
      <c r="D249" s="225" t="str">
        <f t="shared" si="1"/>
        <v>2019_2000</v>
      </c>
      <c r="E249" s="1287">
        <v>0.36323387785926298</v>
      </c>
      <c r="F249" s="1306">
        <v>0.11960980450641581</v>
      </c>
      <c r="G249" s="1303">
        <v>9.2002046621807878</v>
      </c>
      <c r="H249" s="1306">
        <v>0.95076140349960636</v>
      </c>
      <c r="I249" s="1303">
        <v>5.2500508468906228E-2</v>
      </c>
      <c r="J249" s="1306">
        <v>2.7656429298890941E-3</v>
      </c>
      <c r="K249" s="1303">
        <v>2.9996588581373837E-3</v>
      </c>
      <c r="L249" s="1288">
        <v>2.0000015113070552E-3</v>
      </c>
      <c r="M249" s="1230">
        <v>2.0000015113070552E-3</v>
      </c>
      <c r="N249" s="1303">
        <v>2.7291894325755017E-2</v>
      </c>
      <c r="O249" s="1288">
        <v>7.8231886397500758E-3</v>
      </c>
      <c r="P249" s="1237">
        <v>3.9115943198750379E-3</v>
      </c>
      <c r="Q249" s="1290">
        <v>5.4874348494314273E-2</v>
      </c>
    </row>
    <row r="250" spans="1:17" s="212" customFormat="1" ht="15.5" x14ac:dyDescent="0.35">
      <c r="A250" s="198">
        <v>2019</v>
      </c>
      <c r="B250" s="197" t="s">
        <v>5838</v>
      </c>
      <c r="C250" s="197">
        <v>2001</v>
      </c>
      <c r="D250" s="225" t="str">
        <f t="shared" si="1"/>
        <v>2019_2001</v>
      </c>
      <c r="E250" s="1287">
        <v>0.36000213886380883</v>
      </c>
      <c r="F250" s="1306">
        <v>0.11371441126763203</v>
      </c>
      <c r="G250" s="1303">
        <v>9.1597521519124427</v>
      </c>
      <c r="H250" s="1306">
        <v>0.90343984487526852</v>
      </c>
      <c r="I250" s="1303">
        <v>5.222906455269466E-2</v>
      </c>
      <c r="J250" s="1306">
        <v>2.791346031143325E-3</v>
      </c>
      <c r="K250" s="1303">
        <v>2.9998949148338006E-3</v>
      </c>
      <c r="L250" s="1288">
        <v>2.0000014916721621E-3</v>
      </c>
      <c r="M250" s="1230">
        <v>2.0000014916721621E-3</v>
      </c>
      <c r="N250" s="1303">
        <v>2.7297528102384599E-2</v>
      </c>
      <c r="O250" s="1288">
        <v>7.1295301006487292E-3</v>
      </c>
      <c r="P250" s="1237">
        <v>3.5647650503243646E-3</v>
      </c>
      <c r="Q250" s="1290">
        <v>5.4590631088726034E-2</v>
      </c>
    </row>
    <row r="251" spans="1:17" s="212" customFormat="1" ht="15.5" x14ac:dyDescent="0.35">
      <c r="A251" s="198">
        <v>2019</v>
      </c>
      <c r="B251" s="197" t="s">
        <v>5838</v>
      </c>
      <c r="C251" s="197">
        <v>2002</v>
      </c>
      <c r="D251" s="225" t="str">
        <f t="shared" si="1"/>
        <v>2019_2002</v>
      </c>
      <c r="E251" s="1287">
        <v>0.27749547852834083</v>
      </c>
      <c r="F251" s="1306">
        <v>0.11098324223577416</v>
      </c>
      <c r="G251" s="1303">
        <v>7.0839499823569705</v>
      </c>
      <c r="H251" s="1306">
        <v>0.8576770715360027</v>
      </c>
      <c r="I251" s="1303">
        <v>5.2655575554692906E-2</v>
      </c>
      <c r="J251" s="1306">
        <v>2.8095231300652298E-3</v>
      </c>
      <c r="K251" s="1303">
        <v>2.9998929581149551E-3</v>
      </c>
      <c r="L251" s="1288">
        <v>2.0000015881887503E-3</v>
      </c>
      <c r="M251" s="1230">
        <v>2.0000015881887503E-3</v>
      </c>
      <c r="N251" s="1303">
        <v>2.7297478215138216E-2</v>
      </c>
      <c r="O251" s="1288">
        <v>6.5492604922252678E-3</v>
      </c>
      <c r="P251" s="1237">
        <v>3.2746302461126339E-3</v>
      </c>
      <c r="Q251" s="1290">
        <v>5.5036427025620095E-2</v>
      </c>
    </row>
    <row r="252" spans="1:17" s="212" customFormat="1" ht="15.5" x14ac:dyDescent="0.35">
      <c r="A252" s="198">
        <v>2019</v>
      </c>
      <c r="B252" s="197" t="s">
        <v>5838</v>
      </c>
      <c r="C252" s="197">
        <v>2003</v>
      </c>
      <c r="D252" s="225" t="str">
        <f t="shared" si="1"/>
        <v>2019_2003</v>
      </c>
      <c r="E252" s="1287">
        <v>0.27211958581974077</v>
      </c>
      <c r="F252" s="1306">
        <v>8.9260334624653589E-2</v>
      </c>
      <c r="G252" s="1303">
        <v>7.1015360247917458</v>
      </c>
      <c r="H252" s="1306">
        <v>0.65681922289098782</v>
      </c>
      <c r="I252" s="1303">
        <v>5.19172981893695E-2</v>
      </c>
      <c r="J252" s="1306">
        <v>2.8002656106291164E-3</v>
      </c>
      <c r="K252" s="1303">
        <v>2.9999129928140939E-3</v>
      </c>
      <c r="L252" s="1288">
        <v>2.0000016145958247E-3</v>
      </c>
      <c r="M252" s="1230">
        <v>2.0000016145958247E-3</v>
      </c>
      <c r="N252" s="1303">
        <v>2.7297977505833161E-2</v>
      </c>
      <c r="O252" s="1288">
        <v>6.8399694006022124E-3</v>
      </c>
      <c r="P252" s="1237">
        <v>3.4199847003011062E-3</v>
      </c>
      <c r="Q252" s="1290">
        <v>5.4264768033894073E-2</v>
      </c>
    </row>
    <row r="253" spans="1:17" s="212" customFormat="1" ht="15.5" x14ac:dyDescent="0.35">
      <c r="A253" s="198">
        <v>2019</v>
      </c>
      <c r="B253" s="197" t="s">
        <v>5838</v>
      </c>
      <c r="C253" s="197">
        <v>2004</v>
      </c>
      <c r="D253" s="225" t="str">
        <f t="shared" si="1"/>
        <v>2019_2004</v>
      </c>
      <c r="E253" s="1287">
        <v>0.55268548042467558</v>
      </c>
      <c r="F253" s="1306">
        <v>1.7407866275478752E-2</v>
      </c>
      <c r="G253" s="1303">
        <v>4.1806631937192176</v>
      </c>
      <c r="H253" s="1306">
        <v>0.11061124486684544</v>
      </c>
      <c r="I253" s="1303">
        <v>0.14739493547528751</v>
      </c>
      <c r="J253" s="1306">
        <v>1.875071361004882E-4</v>
      </c>
      <c r="K253" s="1303">
        <v>2.9987670467292384E-3</v>
      </c>
      <c r="L253" s="1288">
        <v>2.0000016918856793E-3</v>
      </c>
      <c r="M253" s="1230">
        <v>2.0000016918856793E-3</v>
      </c>
      <c r="N253" s="1303">
        <v>2.7270800929883241E-2</v>
      </c>
      <c r="O253" s="1288">
        <v>6.3135090790425183E-3</v>
      </c>
      <c r="P253" s="1237">
        <v>3.1567545395212592E-3</v>
      </c>
      <c r="Q253" s="1290">
        <v>0.15405948040214013</v>
      </c>
    </row>
    <row r="254" spans="1:17" s="212" customFormat="1" ht="15.5" x14ac:dyDescent="0.35">
      <c r="A254" s="198">
        <v>2019</v>
      </c>
      <c r="B254" s="197" t="s">
        <v>5838</v>
      </c>
      <c r="C254" s="197">
        <v>2005</v>
      </c>
      <c r="D254" s="225" t="str">
        <f t="shared" si="1"/>
        <v>2019_2005</v>
      </c>
      <c r="E254" s="1287">
        <v>0.49617990476510093</v>
      </c>
      <c r="F254" s="1306">
        <v>1.5392139606453276E-2</v>
      </c>
      <c r="G254" s="1303">
        <v>3.9275900040135703</v>
      </c>
      <c r="H254" s="1306">
        <v>9.4053017766631761E-2</v>
      </c>
      <c r="I254" s="1303">
        <v>0.1361226643961978</v>
      </c>
      <c r="J254" s="1306">
        <v>1.8782228019116465E-4</v>
      </c>
      <c r="K254" s="1303">
        <v>2.8974492941743163E-3</v>
      </c>
      <c r="L254" s="1288">
        <v>2.0000017015528561E-3</v>
      </c>
      <c r="M254" s="1230">
        <v>2.0000017015528561E-3</v>
      </c>
      <c r="N254" s="1303">
        <v>2.4857152399996571E-2</v>
      </c>
      <c r="O254" s="1288">
        <v>5.8049098975738725E-3</v>
      </c>
      <c r="P254" s="1237">
        <v>2.9024549487869362E-3</v>
      </c>
      <c r="Q254" s="1290">
        <v>0.14227752724481665</v>
      </c>
    </row>
    <row r="255" spans="1:17" s="212" customFormat="1" ht="15.5" x14ac:dyDescent="0.35">
      <c r="A255" s="198">
        <v>2019</v>
      </c>
      <c r="B255" s="197" t="s">
        <v>5838</v>
      </c>
      <c r="C255" s="197">
        <v>2006</v>
      </c>
      <c r="D255" s="225" t="str">
        <f t="shared" si="1"/>
        <v>2019_2006</v>
      </c>
      <c r="E255" s="1287">
        <v>0.50236901441077719</v>
      </c>
      <c r="F255" s="1306">
        <v>6.2144947989778892E-3</v>
      </c>
      <c r="G255" s="1303">
        <v>4.0114352124592498</v>
      </c>
      <c r="H255" s="1306">
        <v>5.9213166327598911E-2</v>
      </c>
      <c r="I255" s="1303">
        <v>0.13782482920508138</v>
      </c>
      <c r="J255" s="1306">
        <v>1.8336064790545323E-4</v>
      </c>
      <c r="K255" s="1303">
        <v>2.9376260652103896E-3</v>
      </c>
      <c r="L255" s="1288">
        <v>2.0000016077815121E-3</v>
      </c>
      <c r="M255" s="1230">
        <v>2.0000016077815121E-3</v>
      </c>
      <c r="N255" s="1303">
        <v>2.5811666763383749E-2</v>
      </c>
      <c r="O255" s="1288">
        <v>8.3233816837607038E-3</v>
      </c>
      <c r="P255" s="1237">
        <v>4.1616908418803519E-3</v>
      </c>
      <c r="Q255" s="1290">
        <v>0.14405665639311424</v>
      </c>
    </row>
    <row r="256" spans="1:17" s="212" customFormat="1" ht="15.5" x14ac:dyDescent="0.35">
      <c r="A256" s="198">
        <v>2019</v>
      </c>
      <c r="B256" s="197" t="s">
        <v>5838</v>
      </c>
      <c r="C256" s="197">
        <v>2007</v>
      </c>
      <c r="D256" s="225" t="str">
        <f t="shared" si="1"/>
        <v>2019_2007</v>
      </c>
      <c r="E256" s="1287">
        <v>0.26856893629613104</v>
      </c>
      <c r="F256" s="1306">
        <v>8.1416827378724653E-3</v>
      </c>
      <c r="G256" s="1303">
        <v>2.1578225249088701</v>
      </c>
      <c r="H256" s="1306">
        <v>5.2966021995400125E-2</v>
      </c>
      <c r="I256" s="1303">
        <v>7.2290012477115514E-2</v>
      </c>
      <c r="J256" s="1306">
        <v>1.8702545868811625E-4</v>
      </c>
      <c r="K256" s="1303">
        <v>2.9006807374238942E-3</v>
      </c>
      <c r="L256" s="1288">
        <v>2.0000016181211371E-3</v>
      </c>
      <c r="M256" s="1230">
        <v>2.0000016181211371E-3</v>
      </c>
      <c r="N256" s="1303">
        <v>2.4927229163331167E-2</v>
      </c>
      <c r="O256" s="1288">
        <v>5.9542715099188785E-3</v>
      </c>
      <c r="P256" s="1237">
        <v>2.9771357549594393E-3</v>
      </c>
      <c r="Q256" s="1290">
        <v>7.5558646059151247E-2</v>
      </c>
    </row>
    <row r="257" spans="1:17" s="212" customFormat="1" ht="15.5" x14ac:dyDescent="0.35">
      <c r="A257" s="198">
        <v>2019</v>
      </c>
      <c r="B257" s="197" t="s">
        <v>5838</v>
      </c>
      <c r="C257" s="197">
        <v>2008</v>
      </c>
      <c r="D257" s="225" t="str">
        <f t="shared" si="1"/>
        <v>2019_2008</v>
      </c>
      <c r="E257" s="1287">
        <v>0.27270500415684146</v>
      </c>
      <c r="F257" s="1306">
        <v>7.6316700659362462E-3</v>
      </c>
      <c r="G257" s="1303">
        <v>2.2383407783103282</v>
      </c>
      <c r="H257" s="1306">
        <v>4.1044358329158738E-2</v>
      </c>
      <c r="I257" s="1303">
        <v>7.3803564479904896E-2</v>
      </c>
      <c r="J257" s="1306">
        <v>2.1201547401034131E-4</v>
      </c>
      <c r="K257" s="1303">
        <v>2.9410313149175228E-3</v>
      </c>
      <c r="L257" s="1288">
        <v>2.0000017925852183E-3</v>
      </c>
      <c r="M257" s="1230">
        <v>2.0000017925852183E-3</v>
      </c>
      <c r="N257" s="1303">
        <v>2.5889886429947905E-2</v>
      </c>
      <c r="O257" s="1288">
        <v>5.8182346184240457E-3</v>
      </c>
      <c r="P257" s="1237">
        <v>2.9091173092120229E-3</v>
      </c>
      <c r="Q257" s="1290">
        <v>7.7140634167219266E-2</v>
      </c>
    </row>
    <row r="258" spans="1:17" s="212" customFormat="1" ht="15.5" x14ac:dyDescent="0.35">
      <c r="A258" s="198">
        <v>2019</v>
      </c>
      <c r="B258" s="197" t="s">
        <v>5838</v>
      </c>
      <c r="C258" s="197">
        <v>2009</v>
      </c>
      <c r="D258" s="225" t="str">
        <f t="shared" si="1"/>
        <v>2019_2009</v>
      </c>
      <c r="E258" s="1287">
        <v>0.24800982085253498</v>
      </c>
      <c r="F258" s="1306">
        <v>7.3279265452606398E-3</v>
      </c>
      <c r="G258" s="1303">
        <v>2.0527562131609272</v>
      </c>
      <c r="H258" s="1306">
        <v>3.1520558355767343E-2</v>
      </c>
      <c r="I258" s="1303">
        <v>6.742546016571288E-2</v>
      </c>
      <c r="J258" s="1306">
        <v>2.4084533801990588E-4</v>
      </c>
      <c r="K258" s="1303">
        <v>2.8597042440283993E-3</v>
      </c>
      <c r="L258" s="1288">
        <v>2.0000018314715665E-3</v>
      </c>
      <c r="M258" s="1230">
        <v>2.0000018314715665E-3</v>
      </c>
      <c r="N258" s="1303">
        <v>2.3942203590729218E-2</v>
      </c>
      <c r="O258" s="1288">
        <v>4.5487777453753469E-3</v>
      </c>
      <c r="P258" s="1237">
        <v>2.2743888726876734E-3</v>
      </c>
      <c r="Q258" s="1290">
        <v>7.0474140278358147E-2</v>
      </c>
    </row>
    <row r="259" spans="1:17" s="212" customFormat="1" ht="15.5" x14ac:dyDescent="0.35">
      <c r="A259" s="198">
        <v>2019</v>
      </c>
      <c r="B259" s="197" t="s">
        <v>5838</v>
      </c>
      <c r="C259" s="197">
        <v>2010</v>
      </c>
      <c r="D259" s="225" t="str">
        <f t="shared" si="1"/>
        <v>2019_2010</v>
      </c>
      <c r="E259" s="1287">
        <v>5.3666438310972585E-2</v>
      </c>
      <c r="F259" s="1306">
        <v>6.47984530546081E-3</v>
      </c>
      <c r="G259" s="1303">
        <v>0.41403902218725908</v>
      </c>
      <c r="H259" s="1306">
        <v>2.8515987098290896E-2</v>
      </c>
      <c r="I259" s="1303">
        <v>1.1926897926132683E-2</v>
      </c>
      <c r="J259" s="1306">
        <v>2.9663137347312726E-4</v>
      </c>
      <c r="K259" s="1303">
        <v>2.7087415492408414E-3</v>
      </c>
      <c r="L259" s="1288">
        <v>2.0000019380875477E-3</v>
      </c>
      <c r="M259" s="1230">
        <v>2.0000019380875477E-3</v>
      </c>
      <c r="N259" s="1303">
        <v>2.0308553038611059E-2</v>
      </c>
      <c r="O259" s="1288">
        <v>3.8911642626862984E-3</v>
      </c>
      <c r="P259" s="1237">
        <v>1.9455821313431492E-3</v>
      </c>
      <c r="Q259" s="1290">
        <v>1.2466179325526695E-2</v>
      </c>
    </row>
    <row r="260" spans="1:17" s="212" customFormat="1" ht="15.5" x14ac:dyDescent="0.35">
      <c r="A260" s="198">
        <v>2019</v>
      </c>
      <c r="B260" s="197" t="s">
        <v>5838</v>
      </c>
      <c r="C260" s="197">
        <v>2011</v>
      </c>
      <c r="D260" s="225" t="str">
        <f t="shared" si="1"/>
        <v>2019_2011</v>
      </c>
      <c r="E260" s="1287">
        <v>5.9274002660867464E-2</v>
      </c>
      <c r="F260" s="1306">
        <v>6.4240400691762374E-3</v>
      </c>
      <c r="G260" s="1303">
        <v>0.46435945140092111</v>
      </c>
      <c r="H260" s="1306">
        <v>2.7544252753432395E-2</v>
      </c>
      <c r="I260" s="1303">
        <v>1.2391650799827897E-2</v>
      </c>
      <c r="J260" s="1306">
        <v>3.9622328629020526E-4</v>
      </c>
      <c r="K260" s="1303">
        <v>2.8341048480874233E-3</v>
      </c>
      <c r="L260" s="1288">
        <v>2.0000018811767249E-3</v>
      </c>
      <c r="M260" s="1230">
        <v>2.0000018811767249E-3</v>
      </c>
      <c r="N260" s="1303">
        <v>2.3318244401973474E-2</v>
      </c>
      <c r="O260" s="1288">
        <v>4.6136261468855541E-3</v>
      </c>
      <c r="P260" s="1237">
        <v>2.306813073442777E-3</v>
      </c>
      <c r="Q260" s="1290">
        <v>1.2951946261860052E-2</v>
      </c>
    </row>
    <row r="261" spans="1:17" s="212" customFormat="1" ht="15.5" x14ac:dyDescent="0.35">
      <c r="A261" s="198">
        <v>2019</v>
      </c>
      <c r="B261" s="197" t="s">
        <v>5838</v>
      </c>
      <c r="C261" s="197">
        <v>2012</v>
      </c>
      <c r="D261" s="225" t="str">
        <f t="shared" si="1"/>
        <v>2019_2012</v>
      </c>
      <c r="E261" s="1287">
        <v>4.1116723192938597E-2</v>
      </c>
      <c r="F261" s="1306">
        <v>5.9539020012805812E-3</v>
      </c>
      <c r="G261" s="1303">
        <v>0.2919094846602337</v>
      </c>
      <c r="H261" s="1306">
        <v>2.5608486331449187E-2</v>
      </c>
      <c r="I261" s="1303">
        <v>8.8129575503037398E-3</v>
      </c>
      <c r="J261" s="1306">
        <v>5.7553419516204727E-4</v>
      </c>
      <c r="K261" s="1303">
        <v>2.5259652782207457E-3</v>
      </c>
      <c r="L261" s="1288">
        <v>2.0000019228590639E-3</v>
      </c>
      <c r="M261" s="1230">
        <v>2.0000019228590639E-3</v>
      </c>
      <c r="N261" s="1303">
        <v>1.5849016586688726E-2</v>
      </c>
      <c r="O261" s="1288">
        <v>4.9734948797752684E-3</v>
      </c>
      <c r="P261" s="1237">
        <v>2.4867474398876342E-3</v>
      </c>
      <c r="Q261" s="1290">
        <v>9.211440383808521E-3</v>
      </c>
    </row>
    <row r="262" spans="1:17" s="212" customFormat="1" ht="15.5" x14ac:dyDescent="0.35">
      <c r="A262" s="198">
        <v>2019</v>
      </c>
      <c r="B262" s="197" t="s">
        <v>5838</v>
      </c>
      <c r="C262" s="197">
        <v>2013</v>
      </c>
      <c r="D262" s="225" t="str">
        <f t="shared" si="1"/>
        <v>2019_2013</v>
      </c>
      <c r="E262" s="1287">
        <v>5.4717266269290091E-2</v>
      </c>
      <c r="F262" s="1306">
        <v>6.399657096188973E-3</v>
      </c>
      <c r="G262" s="1303">
        <v>0.40849546042287627</v>
      </c>
      <c r="H262" s="1306">
        <v>2.5296757937821757E-2</v>
      </c>
      <c r="I262" s="1303">
        <v>1.0358534571161206E-2</v>
      </c>
      <c r="J262" s="1306">
        <v>8.602910438690899E-4</v>
      </c>
      <c r="K262" s="1303">
        <v>2.7909012011758738E-3</v>
      </c>
      <c r="L262" s="1288">
        <v>2.0000019235111807E-3</v>
      </c>
      <c r="M262" s="1230">
        <v>2.0000019235111807E-3</v>
      </c>
      <c r="N262" s="1303">
        <v>2.2252545915193E-2</v>
      </c>
      <c r="O262" s="1288">
        <v>4.9601179216511374E-3</v>
      </c>
      <c r="P262" s="1237">
        <v>2.4800589608255687E-3</v>
      </c>
      <c r="Q262" s="1290">
        <v>1.0826901539152712E-2</v>
      </c>
    </row>
    <row r="263" spans="1:17" s="212" customFormat="1" ht="15.5" x14ac:dyDescent="0.35">
      <c r="A263" s="198">
        <v>2019</v>
      </c>
      <c r="B263" s="197" t="s">
        <v>5838</v>
      </c>
      <c r="C263" s="197">
        <v>2014</v>
      </c>
      <c r="D263" s="225" t="str">
        <f t="shared" si="1"/>
        <v>2019_2014</v>
      </c>
      <c r="E263" s="1287">
        <v>4.5027453351836728E-2</v>
      </c>
      <c r="F263" s="1306">
        <v>6.3619200132107295E-3</v>
      </c>
      <c r="G263" s="1303">
        <v>0.31813972336735657</v>
      </c>
      <c r="H263" s="1306">
        <v>2.4120433071988832E-2</v>
      </c>
      <c r="I263" s="1303">
        <v>8.3257308897046554E-3</v>
      </c>
      <c r="J263" s="1306">
        <v>1.213433386770829E-3</v>
      </c>
      <c r="K263" s="1303">
        <v>2.6346405693249224E-3</v>
      </c>
      <c r="L263" s="1288">
        <v>2.000001925306714E-3</v>
      </c>
      <c r="M263" s="1230">
        <v>2.000001925306714E-3</v>
      </c>
      <c r="N263" s="1303">
        <v>1.8435519213279808E-2</v>
      </c>
      <c r="O263" s="1288">
        <v>4.1539622659841043E-3</v>
      </c>
      <c r="P263" s="1237">
        <v>2.0769811329920521E-3</v>
      </c>
      <c r="Q263" s="1290">
        <v>8.7021834956534337E-3</v>
      </c>
    </row>
    <row r="264" spans="1:17" s="212" customFormat="1" ht="15.5" x14ac:dyDescent="0.35">
      <c r="A264" s="198">
        <v>2019</v>
      </c>
      <c r="B264" s="197" t="s">
        <v>5838</v>
      </c>
      <c r="C264" s="197">
        <v>2015</v>
      </c>
      <c r="D264" s="225" t="str">
        <f t="shared" si="1"/>
        <v>2019_2015</v>
      </c>
      <c r="E264" s="1287">
        <v>4.0343782364060797E-2</v>
      </c>
      <c r="F264" s="1306">
        <v>6.1056805496255157E-3</v>
      </c>
      <c r="G264" s="1303">
        <v>0.27526402704055719</v>
      </c>
      <c r="H264" s="1306">
        <v>2.2323317155668924E-2</v>
      </c>
      <c r="I264" s="1303">
        <v>7.1150402585964962E-3</v>
      </c>
      <c r="J264" s="1306">
        <v>1.507684284505295E-3</v>
      </c>
      <c r="K264" s="1303">
        <v>2.5738649124468242E-3</v>
      </c>
      <c r="L264" s="1288">
        <v>2.0000019013326977E-3</v>
      </c>
      <c r="M264" s="1230">
        <v>2.0000019013326977E-3</v>
      </c>
      <c r="N264" s="1303">
        <v>1.6915324226231196E-2</v>
      </c>
      <c r="O264" s="1288">
        <v>4.8554743834972828E-3</v>
      </c>
      <c r="P264" s="1237">
        <v>2.4277371917486414E-3</v>
      </c>
      <c r="Q264" s="1290">
        <v>7.4367508065666527E-3</v>
      </c>
    </row>
    <row r="265" spans="1:17" s="212" customFormat="1" ht="15.5" x14ac:dyDescent="0.35">
      <c r="A265" s="198">
        <v>2019</v>
      </c>
      <c r="B265" s="197" t="s">
        <v>5838</v>
      </c>
      <c r="C265" s="197">
        <v>2016</v>
      </c>
      <c r="D265" s="225" t="str">
        <f t="shared" si="1"/>
        <v>2019_2016</v>
      </c>
      <c r="E265" s="1287">
        <v>4.8733502554443711E-2</v>
      </c>
      <c r="F265" s="1306">
        <v>5.921840538520874E-3</v>
      </c>
      <c r="G265" s="1303">
        <v>0.30081761680541108</v>
      </c>
      <c r="H265" s="1306">
        <v>2.1006142826982575E-2</v>
      </c>
      <c r="I265" s="1303">
        <v>7.3490838542026628E-3</v>
      </c>
      <c r="J265" s="1306">
        <v>1.7189507991785188E-3</v>
      </c>
      <c r="K265" s="1303">
        <v>2.770814675204365E-3</v>
      </c>
      <c r="L265" s="1288">
        <v>2.0000018435007471E-3</v>
      </c>
      <c r="M265" s="1230">
        <v>2.0000018435007471E-3</v>
      </c>
      <c r="N265" s="1303">
        <v>2.1700613660523123E-2</v>
      </c>
      <c r="O265" s="1288">
        <v>5.6078876898516539E-3</v>
      </c>
      <c r="P265" s="1237">
        <v>2.8039438449258269E-3</v>
      </c>
      <c r="Q265" s="1290">
        <v>7.6813768150130867E-3</v>
      </c>
    </row>
    <row r="266" spans="1:17" s="212" customFormat="1" ht="15.5" x14ac:dyDescent="0.35">
      <c r="A266" s="198">
        <v>2019</v>
      </c>
      <c r="B266" s="197" t="s">
        <v>5838</v>
      </c>
      <c r="C266" s="197">
        <v>2017</v>
      </c>
      <c r="D266" s="225" t="str">
        <f t="shared" si="1"/>
        <v>2019_2017</v>
      </c>
      <c r="E266" s="1287">
        <v>4.9692325428311597E-2</v>
      </c>
      <c r="F266" s="1306">
        <v>5.5599570172931764E-3</v>
      </c>
      <c r="G266" s="1303">
        <v>0.26025486364798056</v>
      </c>
      <c r="H266" s="1306">
        <v>1.9544546610740187E-2</v>
      </c>
      <c r="I266" s="1303">
        <v>6.5646376270762537E-3</v>
      </c>
      <c r="J266" s="1306">
        <v>1.8496038368255299E-3</v>
      </c>
      <c r="K266" s="1303">
        <v>2.8186985052397204E-3</v>
      </c>
      <c r="L266" s="1288">
        <v>2.0000018385561077E-3</v>
      </c>
      <c r="M266" s="1230">
        <v>2.0000018385561077E-3</v>
      </c>
      <c r="N266" s="1303">
        <v>2.2860669309260857E-2</v>
      </c>
      <c r="O266" s="1288">
        <v>5.5522653509593135E-3</v>
      </c>
      <c r="P266" s="1237">
        <v>2.7761326754796567E-3</v>
      </c>
      <c r="Q266" s="1290">
        <v>6.8614614104245998E-3</v>
      </c>
    </row>
    <row r="267" spans="1:17" s="212" customFormat="1" ht="15.5" x14ac:dyDescent="0.35">
      <c r="A267" s="198">
        <v>2019</v>
      </c>
      <c r="B267" s="197" t="s">
        <v>5838</v>
      </c>
      <c r="C267" s="197">
        <v>2018</v>
      </c>
      <c r="D267" s="225" t="str">
        <f t="shared" si="1"/>
        <v>2019_2018</v>
      </c>
      <c r="E267" s="1287">
        <v>4.4243005204257883E-2</v>
      </c>
      <c r="F267" s="1306">
        <v>5.1816922873204052E-3</v>
      </c>
      <c r="G267" s="1303">
        <v>0.18372864000346206</v>
      </c>
      <c r="H267" s="1306">
        <v>1.7872533673424403E-2</v>
      </c>
      <c r="I267" s="1303">
        <v>5.2071063084094503E-3</v>
      </c>
      <c r="J267" s="1306">
        <v>1.9538941347425598E-3</v>
      </c>
      <c r="K267" s="1303">
        <v>2.7333482187803103E-3</v>
      </c>
      <c r="L267" s="1288">
        <v>2.0000018435411874E-3</v>
      </c>
      <c r="M267" s="1230">
        <v>2.0000018435411874E-3</v>
      </c>
      <c r="N267" s="1303">
        <v>2.0744114642632962E-2</v>
      </c>
      <c r="O267" s="1288">
        <v>4.9115742600080899E-3</v>
      </c>
      <c r="P267" s="1237">
        <v>2.4557871300040449E-3</v>
      </c>
      <c r="Q267" s="1290">
        <v>5.442548549483694E-3</v>
      </c>
    </row>
    <row r="268" spans="1:17" s="212" customFormat="1" ht="15.5" x14ac:dyDescent="0.35">
      <c r="A268" s="198">
        <v>2019</v>
      </c>
      <c r="B268" s="197" t="s">
        <v>5838</v>
      </c>
      <c r="C268" s="197">
        <v>2019</v>
      </c>
      <c r="D268" s="225" t="str">
        <f t="shared" si="1"/>
        <v>2019_2019</v>
      </c>
      <c r="E268" s="1287">
        <v>5.0564680424863423E-2</v>
      </c>
      <c r="F268" s="1306">
        <v>4.7898888933362669E-3</v>
      </c>
      <c r="G268" s="1303">
        <v>0.17751658491392325</v>
      </c>
      <c r="H268" s="1306">
        <v>1.6007412178905642E-2</v>
      </c>
      <c r="I268" s="1303">
        <v>4.5186554594543711E-3</v>
      </c>
      <c r="J268" s="1306">
        <v>1.8729605464180266E-3</v>
      </c>
      <c r="K268" s="1303">
        <v>2.9088663609262828E-3</v>
      </c>
      <c r="L268" s="1288">
        <v>2.0000018420110351E-3</v>
      </c>
      <c r="M268" s="1230">
        <v>2.0000018420110351E-3</v>
      </c>
      <c r="N268" s="1303">
        <v>2.5055703908678725E-2</v>
      </c>
      <c r="O268" s="1288">
        <v>4.582020670752438E-3</v>
      </c>
      <c r="P268" s="1237">
        <v>2.291010335376219E-3</v>
      </c>
      <c r="Q268" s="1290">
        <v>4.7229690080942644E-3</v>
      </c>
    </row>
    <row r="269" spans="1:17" s="212" customFormat="1" ht="15.5" x14ac:dyDescent="0.35">
      <c r="A269" s="198">
        <v>2019</v>
      </c>
      <c r="B269" s="197" t="s">
        <v>5838</v>
      </c>
      <c r="C269" s="197">
        <v>2020</v>
      </c>
      <c r="D269" s="225" t="str">
        <f t="shared" si="1"/>
        <v>2019_2020</v>
      </c>
      <c r="E269" s="1291">
        <v>5.0564680424863423E-2</v>
      </c>
      <c r="F269" s="1280">
        <v>4.7898888933362669E-3</v>
      </c>
      <c r="G269" s="1271">
        <v>0.17751658491392325</v>
      </c>
      <c r="H269" s="1280">
        <v>1.6007412178905642E-2</v>
      </c>
      <c r="I269" s="1271">
        <v>4.5186554594543711E-3</v>
      </c>
      <c r="J269" s="1280">
        <v>1.8729605464180266E-3</v>
      </c>
      <c r="K269" s="1271">
        <v>2.9088663609262828E-3</v>
      </c>
      <c r="L269" s="1257">
        <v>2.0000018420110351E-3</v>
      </c>
      <c r="M269" s="1230">
        <v>2.0000018420110351E-3</v>
      </c>
      <c r="N269" s="1271">
        <v>2.5055703908678725E-2</v>
      </c>
      <c r="O269" s="1257">
        <v>4.582020670752438E-3</v>
      </c>
      <c r="P269" s="1237">
        <v>2.291010335376219E-3</v>
      </c>
      <c r="Q269" s="1292">
        <v>4.7229690080942644E-3</v>
      </c>
    </row>
    <row r="270" spans="1:17" s="212" customFormat="1" ht="15.5" x14ac:dyDescent="0.35">
      <c r="A270" s="198">
        <v>2020</v>
      </c>
      <c r="B270" s="197" t="s">
        <v>5838</v>
      </c>
      <c r="C270" s="197">
        <v>1971</v>
      </c>
      <c r="D270" s="225" t="str">
        <f t="shared" si="1"/>
        <v>2020_1971</v>
      </c>
      <c r="E270" s="1291">
        <v>0.76201518927088019</v>
      </c>
      <c r="F270" s="1280">
        <v>8.0342402672915547</v>
      </c>
      <c r="G270" s="1271">
        <v>2.1719061029341407</v>
      </c>
      <c r="H270" s="1280">
        <v>11.080161277836647</v>
      </c>
      <c r="I270" s="1271">
        <v>0.53204238014256611</v>
      </c>
      <c r="J270" s="1280">
        <v>5.5831397285305236E-2</v>
      </c>
      <c r="K270" s="1271">
        <v>2.0421976121180107E-3</v>
      </c>
      <c r="L270" s="1257">
        <v>2.0000015653782485E-3</v>
      </c>
      <c r="M270" s="1230">
        <v>2.0000015653782485E-3</v>
      </c>
      <c r="N270" s="1271">
        <v>4.970460886764505E-3</v>
      </c>
      <c r="O270" s="1257">
        <v>7.0183708451138959E-3</v>
      </c>
      <c r="P270" s="1237">
        <v>3.5091854225569479E-3</v>
      </c>
      <c r="Q270" s="1292">
        <v>0.55609897566951727</v>
      </c>
    </row>
    <row r="271" spans="1:17" s="212" customFormat="1" ht="15.5" x14ac:dyDescent="0.35">
      <c r="A271" s="198">
        <v>2020</v>
      </c>
      <c r="B271" s="197" t="s">
        <v>5838</v>
      </c>
      <c r="C271" s="197">
        <v>1972</v>
      </c>
      <c r="D271" s="225" t="str">
        <f t="shared" si="1"/>
        <v>2020_1972</v>
      </c>
      <c r="E271" s="1291">
        <v>0.76201518927088019</v>
      </c>
      <c r="F271" s="1280">
        <v>8.0342402672915547</v>
      </c>
      <c r="G271" s="1271">
        <v>2.1719061029341407</v>
      </c>
      <c r="H271" s="1280">
        <v>11.080161277836647</v>
      </c>
      <c r="I271" s="1271">
        <v>0.53204238014256611</v>
      </c>
      <c r="J271" s="1280">
        <v>5.5831397285305236E-2</v>
      </c>
      <c r="K271" s="1271">
        <v>2.0421976121180107E-3</v>
      </c>
      <c r="L271" s="1257">
        <v>2.0000015653782485E-3</v>
      </c>
      <c r="M271" s="1230">
        <v>2.0000015653782485E-3</v>
      </c>
      <c r="N271" s="1271">
        <v>4.970460886764505E-3</v>
      </c>
      <c r="O271" s="1257">
        <v>7.0183708451138959E-3</v>
      </c>
      <c r="P271" s="1237">
        <v>3.5091854225569479E-3</v>
      </c>
      <c r="Q271" s="1292">
        <v>0.55609897566951727</v>
      </c>
    </row>
    <row r="272" spans="1:17" s="212" customFormat="1" ht="15.5" x14ac:dyDescent="0.35">
      <c r="A272" s="198">
        <v>2020</v>
      </c>
      <c r="B272" s="197" t="s">
        <v>5838</v>
      </c>
      <c r="C272" s="197">
        <v>1973</v>
      </c>
      <c r="D272" s="225" t="str">
        <f t="shared" si="1"/>
        <v>2020_1973</v>
      </c>
      <c r="E272" s="1291">
        <v>0.76201518927088019</v>
      </c>
      <c r="F272" s="1280">
        <v>8.0342402672915547</v>
      </c>
      <c r="G272" s="1271">
        <v>2.1719061029341407</v>
      </c>
      <c r="H272" s="1280">
        <v>11.080161277836647</v>
      </c>
      <c r="I272" s="1271">
        <v>0.53204238014256611</v>
      </c>
      <c r="J272" s="1280">
        <v>5.5831397285305236E-2</v>
      </c>
      <c r="K272" s="1271">
        <v>2.0421976121180107E-3</v>
      </c>
      <c r="L272" s="1257">
        <v>2.0000015653782485E-3</v>
      </c>
      <c r="M272" s="1230">
        <v>2.0000015653782485E-3</v>
      </c>
      <c r="N272" s="1271">
        <v>4.970460886764505E-3</v>
      </c>
      <c r="O272" s="1257">
        <v>7.0183708451138959E-3</v>
      </c>
      <c r="P272" s="1237">
        <v>3.5091854225569479E-3</v>
      </c>
      <c r="Q272" s="1292">
        <v>0.55609897566951727</v>
      </c>
    </row>
    <row r="273" spans="1:17" s="212" customFormat="1" ht="15.5" x14ac:dyDescent="0.35">
      <c r="A273" s="198">
        <v>2020</v>
      </c>
      <c r="B273" s="197" t="s">
        <v>5838</v>
      </c>
      <c r="C273" s="197">
        <v>1974</v>
      </c>
      <c r="D273" s="225" t="str">
        <f t="shared" si="1"/>
        <v>2020_1974</v>
      </c>
      <c r="E273" s="1291">
        <v>0.76201518927088019</v>
      </c>
      <c r="F273" s="1280">
        <v>8.0342402672915547</v>
      </c>
      <c r="G273" s="1271">
        <v>2.1719061029341407</v>
      </c>
      <c r="H273" s="1280">
        <v>11.080161277836647</v>
      </c>
      <c r="I273" s="1271">
        <v>0.53204238014256611</v>
      </c>
      <c r="J273" s="1280">
        <v>5.5831397285305236E-2</v>
      </c>
      <c r="K273" s="1271">
        <v>2.0421976121180107E-3</v>
      </c>
      <c r="L273" s="1257">
        <v>2.0000015653782485E-3</v>
      </c>
      <c r="M273" s="1230">
        <v>2.0000015653782485E-3</v>
      </c>
      <c r="N273" s="1271">
        <v>4.970460886764505E-3</v>
      </c>
      <c r="O273" s="1257">
        <v>7.0183708451138959E-3</v>
      </c>
      <c r="P273" s="1237">
        <v>3.5091854225569479E-3</v>
      </c>
      <c r="Q273" s="1292">
        <v>0.55609897566951727</v>
      </c>
    </row>
    <row r="274" spans="1:17" s="212" customFormat="1" ht="15.5" x14ac:dyDescent="0.35">
      <c r="A274" s="198">
        <v>2020</v>
      </c>
      <c r="B274" s="197" t="s">
        <v>5838</v>
      </c>
      <c r="C274" s="197">
        <v>1975</v>
      </c>
      <c r="D274" s="225" t="str">
        <f t="shared" si="1"/>
        <v>2020_1975</v>
      </c>
      <c r="E274" s="1291">
        <v>0.76201518927088019</v>
      </c>
      <c r="F274" s="1280">
        <v>8.0342402672915547</v>
      </c>
      <c r="G274" s="1271">
        <v>2.1719061029341407</v>
      </c>
      <c r="H274" s="1280">
        <v>11.080161277836647</v>
      </c>
      <c r="I274" s="1271">
        <v>0.53204238014256611</v>
      </c>
      <c r="J274" s="1280">
        <v>5.5831397285305236E-2</v>
      </c>
      <c r="K274" s="1271">
        <v>2.0421976121180107E-3</v>
      </c>
      <c r="L274" s="1257">
        <v>2.0000015653782485E-3</v>
      </c>
      <c r="M274" s="1230">
        <v>2.0000015653782485E-3</v>
      </c>
      <c r="N274" s="1271">
        <v>4.970460886764505E-3</v>
      </c>
      <c r="O274" s="1257">
        <v>7.0183708451138959E-3</v>
      </c>
      <c r="P274" s="1237">
        <v>3.5091854225569479E-3</v>
      </c>
      <c r="Q274" s="1292">
        <v>0.55609897566951727</v>
      </c>
    </row>
    <row r="275" spans="1:17" s="212" customFormat="1" ht="15.5" x14ac:dyDescent="0.35">
      <c r="A275" s="198">
        <v>2020</v>
      </c>
      <c r="B275" s="197" t="s">
        <v>5838</v>
      </c>
      <c r="C275" s="197">
        <v>1976</v>
      </c>
      <c r="D275" s="225" t="str">
        <f t="shared" si="1"/>
        <v>2020_1976</v>
      </c>
      <c r="E275" s="1291">
        <v>0.76201518927088019</v>
      </c>
      <c r="F275" s="1306">
        <v>8.0342402672915547</v>
      </c>
      <c r="G275" s="1271">
        <v>2.1719061029341407</v>
      </c>
      <c r="H275" s="1306">
        <v>11.080161277836647</v>
      </c>
      <c r="I275" s="1271">
        <v>0.53204238014256611</v>
      </c>
      <c r="J275" s="1306">
        <v>5.5831397285305236E-2</v>
      </c>
      <c r="K275" s="1271">
        <v>2.0421976121180107E-3</v>
      </c>
      <c r="L275" s="1288">
        <v>2.0000015653782485E-3</v>
      </c>
      <c r="M275" s="1230">
        <v>2.0000015653782485E-3</v>
      </c>
      <c r="N275" s="1271">
        <v>4.970460886764505E-3</v>
      </c>
      <c r="O275" s="1288">
        <v>7.0183708451138959E-3</v>
      </c>
      <c r="P275" s="1237">
        <v>3.5091854225569479E-3</v>
      </c>
      <c r="Q275" s="1292">
        <v>0.55609897566951727</v>
      </c>
    </row>
    <row r="276" spans="1:17" s="212" customFormat="1" ht="15.5" x14ac:dyDescent="0.35">
      <c r="A276" s="198">
        <v>2020</v>
      </c>
      <c r="B276" s="197" t="s">
        <v>5838</v>
      </c>
      <c r="C276" s="197">
        <v>1977</v>
      </c>
      <c r="D276" s="225" t="str">
        <f t="shared" si="1"/>
        <v>2020_1977</v>
      </c>
      <c r="E276" s="1287">
        <v>0.76201518927088019</v>
      </c>
      <c r="F276" s="1306">
        <v>7.8661220971395966</v>
      </c>
      <c r="G276" s="1303">
        <v>2.1719061029341407</v>
      </c>
      <c r="H276" s="1306">
        <v>11.395380425079754</v>
      </c>
      <c r="I276" s="1303">
        <v>0.53204238014256611</v>
      </c>
      <c r="J276" s="1306">
        <v>5.2530855346505631E-2</v>
      </c>
      <c r="K276" s="1303">
        <v>2.0421976121180107E-3</v>
      </c>
      <c r="L276" s="1288">
        <v>2.0000014286611452E-3</v>
      </c>
      <c r="M276" s="1230">
        <v>2.0000014286611452E-3</v>
      </c>
      <c r="N276" s="1303">
        <v>4.970460886764505E-3</v>
      </c>
      <c r="O276" s="1288">
        <v>6.5441023211718118E-3</v>
      </c>
      <c r="P276" s="1237">
        <v>3.2720511605859059E-3</v>
      </c>
      <c r="Q276" s="1290">
        <v>0.55609897566951727</v>
      </c>
    </row>
    <row r="277" spans="1:17" s="212" customFormat="1" ht="15.5" x14ac:dyDescent="0.35">
      <c r="A277" s="198">
        <v>2020</v>
      </c>
      <c r="B277" s="197" t="s">
        <v>5838</v>
      </c>
      <c r="C277" s="197">
        <v>1978</v>
      </c>
      <c r="D277" s="225" t="str">
        <f t="shared" si="1"/>
        <v>2020_1978</v>
      </c>
      <c r="E277" s="1287">
        <v>0.74006950213523415</v>
      </c>
      <c r="F277" s="1306">
        <v>1.7082972246349919</v>
      </c>
      <c r="G277" s="1303">
        <v>2.3009449186454325</v>
      </c>
      <c r="H277" s="1306">
        <v>4.6238458390758588</v>
      </c>
      <c r="I277" s="1303">
        <v>0.51706593342161111</v>
      </c>
      <c r="J277" s="1306">
        <v>4.6304349193873794E-2</v>
      </c>
      <c r="K277" s="1303">
        <v>2.0741956113685127E-3</v>
      </c>
      <c r="L277" s="1288">
        <v>2.0000013708486083E-3</v>
      </c>
      <c r="M277" s="1230">
        <v>2.0000013708486083E-3</v>
      </c>
      <c r="N277" s="1303">
        <v>5.6247325985700272E-3</v>
      </c>
      <c r="O277" s="1288">
        <v>7.6340646111158466E-3</v>
      </c>
      <c r="P277" s="1237">
        <v>3.8170323055579233E-3</v>
      </c>
      <c r="Q277" s="1290">
        <v>0.54044536048483816</v>
      </c>
    </row>
    <row r="278" spans="1:17" s="212" customFormat="1" ht="15.5" x14ac:dyDescent="0.35">
      <c r="A278" s="198">
        <v>2020</v>
      </c>
      <c r="B278" s="197" t="s">
        <v>5838</v>
      </c>
      <c r="C278" s="197">
        <v>1979</v>
      </c>
      <c r="D278" s="225" t="str">
        <f t="shared" si="1"/>
        <v>2020_1979</v>
      </c>
      <c r="E278" s="1287">
        <v>0.73190052203074862</v>
      </c>
      <c r="F278" s="1306">
        <v>1.7524578102423469</v>
      </c>
      <c r="G278" s="1303">
        <v>2.3114879517091684</v>
      </c>
      <c r="H278" s="1306">
        <v>4.470163100262301</v>
      </c>
      <c r="I278" s="1303">
        <v>0.51095680973080837</v>
      </c>
      <c r="J278" s="1306">
        <v>4.4742158525157921E-2</v>
      </c>
      <c r="K278" s="1303">
        <v>2.047922819876106E-3</v>
      </c>
      <c r="L278" s="1288">
        <v>2.0000013099531443E-3</v>
      </c>
      <c r="M278" s="1230">
        <v>2.0000013099531443E-3</v>
      </c>
      <c r="N278" s="1303">
        <v>4.6108367997474966E-3</v>
      </c>
      <c r="O278" s="1288">
        <v>8.6305241127265057E-3</v>
      </c>
      <c r="P278" s="1237">
        <v>4.3152620563632529E-3</v>
      </c>
      <c r="Q278" s="1290">
        <v>0.53406000932957276</v>
      </c>
    </row>
    <row r="279" spans="1:17" s="212" customFormat="1" ht="15.5" x14ac:dyDescent="0.35">
      <c r="A279" s="198">
        <v>2020</v>
      </c>
      <c r="B279" s="197" t="s">
        <v>5838</v>
      </c>
      <c r="C279" s="197">
        <v>1980</v>
      </c>
      <c r="D279" s="225" t="str">
        <f t="shared" si="1"/>
        <v>2020_1980</v>
      </c>
      <c r="E279" s="1287">
        <v>0.31167731721616421</v>
      </c>
      <c r="F279" s="1306">
        <v>2.1804324992553159</v>
      </c>
      <c r="G279" s="1303">
        <v>2.7846383586432863</v>
      </c>
      <c r="H279" s="1306">
        <v>4.2389838508546678</v>
      </c>
      <c r="I279" s="1303">
        <v>0.24687534277240034</v>
      </c>
      <c r="J279" s="1306">
        <v>3.4132746387708586E-2</v>
      </c>
      <c r="K279" s="1303">
        <v>2.2771882123558294E-3</v>
      </c>
      <c r="L279" s="1288">
        <v>2.0000011094725629E-3</v>
      </c>
      <c r="M279" s="1230">
        <v>2.0000011094725629E-3</v>
      </c>
      <c r="N279" s="1303">
        <v>1.041116218913108E-2</v>
      </c>
      <c r="O279" s="1288">
        <v>1.5340966050659868E-2</v>
      </c>
      <c r="P279" s="1237">
        <v>7.670483025329934E-3</v>
      </c>
      <c r="Q279" s="1290">
        <v>0.25803795027945953</v>
      </c>
    </row>
    <row r="280" spans="1:17" s="212" customFormat="1" ht="15.5" x14ac:dyDescent="0.35">
      <c r="A280" s="198">
        <v>2020</v>
      </c>
      <c r="B280" s="197" t="s">
        <v>5838</v>
      </c>
      <c r="C280" s="197">
        <v>1981</v>
      </c>
      <c r="D280" s="225" t="str">
        <f t="shared" si="1"/>
        <v>2020_1981</v>
      </c>
      <c r="E280" s="1287">
        <v>0.34048244612640111</v>
      </c>
      <c r="F280" s="1306">
        <v>2.1659480888234581</v>
      </c>
      <c r="G280" s="1303">
        <v>1.9185293557704062</v>
      </c>
      <c r="H280" s="1306">
        <v>3.8045828519820044</v>
      </c>
      <c r="I280" s="1303">
        <v>0.27255090918915792</v>
      </c>
      <c r="J280" s="1306">
        <v>1.7469240845848395E-2</v>
      </c>
      <c r="K280" s="1303">
        <v>2.0276069061322707E-3</v>
      </c>
      <c r="L280" s="1288">
        <v>2.0000009665884998E-3</v>
      </c>
      <c r="M280" s="1230">
        <v>2.0000009665884998E-3</v>
      </c>
      <c r="N280" s="1303">
        <v>4.5126269245831102E-3</v>
      </c>
      <c r="O280" s="1288">
        <v>1.6938759315196991E-2</v>
      </c>
      <c r="P280" s="1237">
        <v>8.4693796575984956E-3</v>
      </c>
      <c r="Q280" s="1290">
        <v>0.28487445187594429</v>
      </c>
    </row>
    <row r="281" spans="1:17" s="212" customFormat="1" ht="15.5" x14ac:dyDescent="0.35">
      <c r="A281" s="198">
        <v>2020</v>
      </c>
      <c r="B281" s="197" t="s">
        <v>5838</v>
      </c>
      <c r="C281" s="197">
        <v>1982</v>
      </c>
      <c r="D281" s="225" t="str">
        <f t="shared" si="1"/>
        <v>2020_1982</v>
      </c>
      <c r="E281" s="1287">
        <v>0.28219865631426133</v>
      </c>
      <c r="F281" s="1306">
        <v>2.1659764368938696</v>
      </c>
      <c r="G281" s="1303">
        <v>3.5588950099839605</v>
      </c>
      <c r="H281" s="1306">
        <v>3.5842263901765739</v>
      </c>
      <c r="I281" s="1303">
        <v>0.22064470736695024</v>
      </c>
      <c r="J281" s="1306">
        <v>1.7159489634067243E-2</v>
      </c>
      <c r="K281" s="1303">
        <v>2.5083507164296451E-3</v>
      </c>
      <c r="L281" s="1288">
        <v>2.0000009566432586E-3</v>
      </c>
      <c r="M281" s="1230">
        <v>2.0000009566432586E-3</v>
      </c>
      <c r="N281" s="1303">
        <v>1.5709900851766816E-2</v>
      </c>
      <c r="O281" s="1288">
        <v>1.8644161198149531E-2</v>
      </c>
      <c r="P281" s="1237">
        <v>9.3220805990747654E-3</v>
      </c>
      <c r="Q281" s="1290">
        <v>0.23062128193769549</v>
      </c>
    </row>
    <row r="282" spans="1:17" s="212" customFormat="1" ht="15.5" x14ac:dyDescent="0.35">
      <c r="A282" s="198">
        <v>2020</v>
      </c>
      <c r="B282" s="197" t="s">
        <v>5838</v>
      </c>
      <c r="C282" s="197">
        <v>1983</v>
      </c>
      <c r="D282" s="225" t="str">
        <f t="shared" si="1"/>
        <v>2020_1983</v>
      </c>
      <c r="E282" s="1287">
        <v>0.2178117952749129</v>
      </c>
      <c r="F282" s="1306">
        <v>1.7937428301012071</v>
      </c>
      <c r="G282" s="1303">
        <v>3.7355049704243108</v>
      </c>
      <c r="H282" s="1306">
        <v>3.4713114953047897</v>
      </c>
      <c r="I282" s="1303">
        <v>0.20352763115920963</v>
      </c>
      <c r="J282" s="1306">
        <v>1.7024444071918735E-2</v>
      </c>
      <c r="K282" s="1303">
        <v>2.6069115749138561E-3</v>
      </c>
      <c r="L282" s="1288">
        <v>2.000000947689309E-3</v>
      </c>
      <c r="M282" s="1230">
        <v>2.000000947689309E-3</v>
      </c>
      <c r="N282" s="1303">
        <v>1.8057785467393745E-2</v>
      </c>
      <c r="O282" s="1288">
        <v>1.6354005094715011E-2</v>
      </c>
      <c r="P282" s="1237">
        <v>8.1770025473575057E-3</v>
      </c>
      <c r="Q282" s="1290">
        <v>0.21273024749974159</v>
      </c>
    </row>
    <row r="283" spans="1:17" s="212" customFormat="1" ht="15.5" x14ac:dyDescent="0.35">
      <c r="A283" s="198">
        <v>2020</v>
      </c>
      <c r="B283" s="197" t="s">
        <v>5838</v>
      </c>
      <c r="C283" s="197">
        <v>1984</v>
      </c>
      <c r="D283" s="225" t="str">
        <f t="shared" si="1"/>
        <v>2020_1984</v>
      </c>
      <c r="E283" s="1287">
        <v>0.25591120698046838</v>
      </c>
      <c r="F283" s="1306">
        <v>1.3891270393698658</v>
      </c>
      <c r="G283" s="1303">
        <v>4.2602839754963373</v>
      </c>
      <c r="H283" s="1306">
        <v>3.4457549547385122</v>
      </c>
      <c r="I283" s="1303">
        <v>0.18251161580564032</v>
      </c>
      <c r="J283" s="1306">
        <v>1.7465964420819012E-2</v>
      </c>
      <c r="K283" s="1303">
        <v>2.7700011082993502E-3</v>
      </c>
      <c r="L283" s="1288">
        <v>2.0000009049472803E-3</v>
      </c>
      <c r="M283" s="1230">
        <v>2.0000009049472803E-3</v>
      </c>
      <c r="N283" s="1303">
        <v>2.1876139586082012E-2</v>
      </c>
      <c r="O283" s="1288">
        <v>1.6981703748872926E-2</v>
      </c>
      <c r="P283" s="1237">
        <v>8.4908518744364631E-3</v>
      </c>
      <c r="Q283" s="1290">
        <v>0.19076398118907037</v>
      </c>
    </row>
    <row r="284" spans="1:17" s="212" customFormat="1" ht="15.5" x14ac:dyDescent="0.35">
      <c r="A284" s="198">
        <v>2020</v>
      </c>
      <c r="B284" s="197" t="s">
        <v>5838</v>
      </c>
      <c r="C284" s="197">
        <v>1985</v>
      </c>
      <c r="D284" s="225" t="str">
        <f t="shared" si="1"/>
        <v>2020_1985</v>
      </c>
      <c r="E284" s="1287">
        <v>0.24654855526148114</v>
      </c>
      <c r="F284" s="1306">
        <v>1.3656809216964647</v>
      </c>
      <c r="G284" s="1303">
        <v>4.6289016115967119</v>
      </c>
      <c r="H284" s="1306">
        <v>3.1299787705018365</v>
      </c>
      <c r="I284" s="1303">
        <v>0.17989485079444062</v>
      </c>
      <c r="J284" s="1306">
        <v>1.6222094221521967E-2</v>
      </c>
      <c r="K284" s="1303">
        <v>2.869299166450733E-3</v>
      </c>
      <c r="L284" s="1288">
        <v>2.0000009897024971E-3</v>
      </c>
      <c r="M284" s="1230">
        <v>2.0000009897024971E-3</v>
      </c>
      <c r="N284" s="1303">
        <v>2.4235760990675807E-2</v>
      </c>
      <c r="O284" s="1288">
        <v>1.704702655527654E-2</v>
      </c>
      <c r="P284" s="1237">
        <v>8.5235132776382699E-3</v>
      </c>
      <c r="Q284" s="1290">
        <v>0.18802889767578773</v>
      </c>
    </row>
    <row r="285" spans="1:17" s="212" customFormat="1" ht="15.5" x14ac:dyDescent="0.35">
      <c r="A285" s="198">
        <v>2020</v>
      </c>
      <c r="B285" s="197" t="s">
        <v>5838</v>
      </c>
      <c r="C285" s="197">
        <v>1986</v>
      </c>
      <c r="D285" s="225" t="str">
        <f t="shared" si="1"/>
        <v>2020_1986</v>
      </c>
      <c r="E285" s="1287">
        <v>0.24478006848344336</v>
      </c>
      <c r="F285" s="1306">
        <v>1.0901433472369233</v>
      </c>
      <c r="G285" s="1303">
        <v>4.7351301723441912</v>
      </c>
      <c r="H285" s="1306">
        <v>3.2229308993315513</v>
      </c>
      <c r="I285" s="1303">
        <v>0.18009338115298631</v>
      </c>
      <c r="J285" s="1306">
        <v>1.6370492266751618E-2</v>
      </c>
      <c r="K285" s="1303">
        <v>2.9039209086532906E-3</v>
      </c>
      <c r="L285" s="1288">
        <v>2.000000990918703E-3</v>
      </c>
      <c r="M285" s="1230">
        <v>2.000000990918703E-3</v>
      </c>
      <c r="N285" s="1303">
        <v>2.5043577308595227E-2</v>
      </c>
      <c r="O285" s="1288">
        <v>1.6304112258833145E-2</v>
      </c>
      <c r="P285" s="1237">
        <v>8.1520561294165725E-3</v>
      </c>
      <c r="Q285" s="1290">
        <v>0.18823640469618214</v>
      </c>
    </row>
    <row r="286" spans="1:17" s="212" customFormat="1" ht="15.5" x14ac:dyDescent="0.35">
      <c r="A286" s="198">
        <v>2020</v>
      </c>
      <c r="B286" s="197" t="s">
        <v>5838</v>
      </c>
      <c r="C286" s="197">
        <v>1987</v>
      </c>
      <c r="D286" s="225" t="str">
        <f t="shared" si="1"/>
        <v>2020_1987</v>
      </c>
      <c r="E286" s="1287">
        <v>0.29440797908528654</v>
      </c>
      <c r="F286" s="1306">
        <v>1.1998834330892563</v>
      </c>
      <c r="G286" s="1303">
        <v>5.0959179353013857</v>
      </c>
      <c r="H286" s="1306">
        <v>3.114092129712394</v>
      </c>
      <c r="I286" s="1303">
        <v>0.19987923658457868</v>
      </c>
      <c r="J286" s="1306">
        <v>1.6687191026555963E-2</v>
      </c>
      <c r="K286" s="1303">
        <v>2.9704060515480879E-3</v>
      </c>
      <c r="L286" s="1288">
        <v>2.0000011389404372E-3</v>
      </c>
      <c r="M286" s="1230">
        <v>2.0000011389404372E-3</v>
      </c>
      <c r="N286" s="1303">
        <v>2.6606128609325E-2</v>
      </c>
      <c r="O286" s="1288">
        <v>1.4505279624894557E-2</v>
      </c>
      <c r="P286" s="1237">
        <v>7.2526398124472787E-3</v>
      </c>
      <c r="Q286" s="1290">
        <v>0.20891688871195749</v>
      </c>
    </row>
    <row r="287" spans="1:17" s="212" customFormat="1" ht="15.5" x14ac:dyDescent="0.35">
      <c r="A287" s="198">
        <v>2020</v>
      </c>
      <c r="B287" s="197" t="s">
        <v>5838</v>
      </c>
      <c r="C287" s="197">
        <v>1988</v>
      </c>
      <c r="D287" s="225" t="str">
        <f t="shared" si="1"/>
        <v>2020_1988</v>
      </c>
      <c r="E287" s="1287">
        <v>0.29230546089046355</v>
      </c>
      <c r="F287" s="1306">
        <v>0.49704354635672243</v>
      </c>
      <c r="G287" s="1303">
        <v>5.140005324463643</v>
      </c>
      <c r="H287" s="1306">
        <v>1.649430854132832</v>
      </c>
      <c r="I287" s="1303">
        <v>0.19859653292726387</v>
      </c>
      <c r="J287" s="1306">
        <v>1.5990945535697035E-2</v>
      </c>
      <c r="K287" s="1303">
        <v>2.9776723874866593E-3</v>
      </c>
      <c r="L287" s="1288">
        <v>2.0000011845061798E-3</v>
      </c>
      <c r="M287" s="1230">
        <v>2.0000011845061798E-3</v>
      </c>
      <c r="N287" s="1303">
        <v>2.6779986693306349E-2</v>
      </c>
      <c r="O287" s="1288">
        <v>1.4339771406810373E-2</v>
      </c>
      <c r="P287" s="1237">
        <v>7.1698857034051865E-3</v>
      </c>
      <c r="Q287" s="1290">
        <v>0.20757618688717175</v>
      </c>
    </row>
    <row r="288" spans="1:17" s="212" customFormat="1" ht="15.5" x14ac:dyDescent="0.35">
      <c r="A288" s="198">
        <v>2020</v>
      </c>
      <c r="B288" s="197" t="s">
        <v>5838</v>
      </c>
      <c r="C288" s="197">
        <v>1989</v>
      </c>
      <c r="D288" s="225" t="str">
        <f t="shared" si="1"/>
        <v>2020_1989</v>
      </c>
      <c r="E288" s="1287">
        <v>0.2953581357353689</v>
      </c>
      <c r="F288" s="1306">
        <v>0.43874909251913197</v>
      </c>
      <c r="G288" s="1303">
        <v>5.0489687907205836</v>
      </c>
      <c r="H288" s="1306">
        <v>1.8737537799349377</v>
      </c>
      <c r="I288" s="1303">
        <v>0.20028408660974253</v>
      </c>
      <c r="J288" s="1306">
        <v>1.614281747880213E-2</v>
      </c>
      <c r="K288" s="1303">
        <v>2.958660479236461E-3</v>
      </c>
      <c r="L288" s="1288">
        <v>2.0000012144463972E-3</v>
      </c>
      <c r="M288" s="1230">
        <v>2.0000012144463972E-3</v>
      </c>
      <c r="N288" s="1303">
        <v>2.6333234559725832E-2</v>
      </c>
      <c r="O288" s="1288">
        <v>1.3364496992215907E-2</v>
      </c>
      <c r="P288" s="1237">
        <v>6.6822484961079533E-3</v>
      </c>
      <c r="Q288" s="1290">
        <v>0.20934004425876399</v>
      </c>
    </row>
    <row r="289" spans="1:17" s="212" customFormat="1" ht="15.5" x14ac:dyDescent="0.35">
      <c r="A289" s="198">
        <v>2020</v>
      </c>
      <c r="B289" s="197" t="s">
        <v>5838</v>
      </c>
      <c r="C289" s="197">
        <v>1990</v>
      </c>
      <c r="D289" s="225" t="str">
        <f t="shared" si="1"/>
        <v>2020_1990</v>
      </c>
      <c r="E289" s="1287">
        <v>0.29711193522550799</v>
      </c>
      <c r="F289" s="1306">
        <v>0.48281739225366882</v>
      </c>
      <c r="G289" s="1303">
        <v>5.0580902031499768</v>
      </c>
      <c r="H289" s="1306">
        <v>1.8553584247601722</v>
      </c>
      <c r="I289" s="1303">
        <v>0.20169980867940032</v>
      </c>
      <c r="J289" s="1306">
        <v>1.6326613367665527E-2</v>
      </c>
      <c r="K289" s="1303">
        <v>2.9693520570710018E-3</v>
      </c>
      <c r="L289" s="1288">
        <v>2.0000011816539605E-3</v>
      </c>
      <c r="M289" s="1230">
        <v>2.0000011816539605E-3</v>
      </c>
      <c r="N289" s="1303">
        <v>2.6582156349377793E-2</v>
      </c>
      <c r="O289" s="1288">
        <v>1.2829367506261933E-2</v>
      </c>
      <c r="P289" s="1237">
        <v>6.4146837531309665E-3</v>
      </c>
      <c r="Q289" s="1290">
        <v>0.21081977899823739</v>
      </c>
    </row>
    <row r="290" spans="1:17" s="212" customFormat="1" ht="15.5" x14ac:dyDescent="0.35">
      <c r="A290" s="198">
        <v>2020</v>
      </c>
      <c r="B290" s="197" t="s">
        <v>5838</v>
      </c>
      <c r="C290" s="197">
        <v>1991</v>
      </c>
      <c r="D290" s="225" t="str">
        <f t="shared" si="1"/>
        <v>2020_1991</v>
      </c>
      <c r="E290" s="1287">
        <v>0.37827280669707519</v>
      </c>
      <c r="F290" s="1306">
        <v>0.49542863081667243</v>
      </c>
      <c r="G290" s="1303">
        <v>8.9948884723664619</v>
      </c>
      <c r="H290" s="1306">
        <v>2.315681842073027</v>
      </c>
      <c r="I290" s="1303">
        <v>5.6937089558906778E-2</v>
      </c>
      <c r="J290" s="1306">
        <v>9.1452321245376941E-3</v>
      </c>
      <c r="K290" s="1303">
        <v>2.9796124330201913E-3</v>
      </c>
      <c r="L290" s="1288">
        <v>2.0000012092599639E-3</v>
      </c>
      <c r="M290" s="1230">
        <v>2.0000012092599639E-3</v>
      </c>
      <c r="N290" s="1303">
        <v>2.6819939039744091E-2</v>
      </c>
      <c r="O290" s="1288">
        <v>1.1923566265170438E-2</v>
      </c>
      <c r="P290" s="1237">
        <v>5.9617831325852189E-3</v>
      </c>
      <c r="Q290" s="1290">
        <v>5.9511532094167645E-2</v>
      </c>
    </row>
    <row r="291" spans="1:17" s="212" customFormat="1" ht="15.5" x14ac:dyDescent="0.35">
      <c r="A291" s="198">
        <v>2020</v>
      </c>
      <c r="B291" s="197" t="s">
        <v>5838</v>
      </c>
      <c r="C291" s="197">
        <v>1992</v>
      </c>
      <c r="D291" s="225" t="str">
        <f t="shared" si="1"/>
        <v>2020_1992</v>
      </c>
      <c r="E291" s="1287">
        <v>0.37910037698750054</v>
      </c>
      <c r="F291" s="1306">
        <v>0.49691798411665</v>
      </c>
      <c r="G291" s="1303">
        <v>8.7437273168975445</v>
      </c>
      <c r="H291" s="1306">
        <v>2.2199667041041358</v>
      </c>
      <c r="I291" s="1303">
        <v>6.1597101555936958E-2</v>
      </c>
      <c r="J291" s="1306">
        <v>9.3331677558321467E-3</v>
      </c>
      <c r="K291" s="1303">
        <v>2.9514826430226686E-3</v>
      </c>
      <c r="L291" s="1288">
        <v>2.0000012833763909E-3</v>
      </c>
      <c r="M291" s="1230">
        <v>2.0000012833763909E-3</v>
      </c>
      <c r="N291" s="1303">
        <v>2.6158170215822937E-2</v>
      </c>
      <c r="O291" s="1288">
        <v>9.9868662458211382E-3</v>
      </c>
      <c r="P291" s="1237">
        <v>4.9934331229105691E-3</v>
      </c>
      <c r="Q291" s="1290">
        <v>6.4382249155206434E-2</v>
      </c>
    </row>
    <row r="292" spans="1:17" s="212" customFormat="1" ht="15.5" x14ac:dyDescent="0.35">
      <c r="A292" s="198">
        <v>2020</v>
      </c>
      <c r="B292" s="197" t="s">
        <v>5838</v>
      </c>
      <c r="C292" s="197">
        <v>1993</v>
      </c>
      <c r="D292" s="225" t="str">
        <f t="shared" si="1"/>
        <v>2020_1993</v>
      </c>
      <c r="E292" s="1287">
        <v>0.37755167062318473</v>
      </c>
      <c r="F292" s="1306">
        <v>0.50094584096764683</v>
      </c>
      <c r="G292" s="1303">
        <v>9.0214164579091367</v>
      </c>
      <c r="H292" s="1306">
        <v>2.240652901872719</v>
      </c>
      <c r="I292" s="1303">
        <v>5.4030986049999195E-2</v>
      </c>
      <c r="J292" s="1306">
        <v>9.3482396734819503E-3</v>
      </c>
      <c r="K292" s="1303">
        <v>2.9868180275922818E-3</v>
      </c>
      <c r="L292" s="1288">
        <v>2.0000012603951615E-3</v>
      </c>
      <c r="M292" s="1230">
        <v>2.0000012603951615E-3</v>
      </c>
      <c r="N292" s="1303">
        <v>2.6990531458155751E-2</v>
      </c>
      <c r="O292" s="1288">
        <v>1.0957808199576142E-2</v>
      </c>
      <c r="P292" s="1237">
        <v>5.4789040997880708E-3</v>
      </c>
      <c r="Q292" s="1290">
        <v>5.6474027480230476E-2</v>
      </c>
    </row>
    <row r="293" spans="1:17" s="212" customFormat="1" ht="15.5" x14ac:dyDescent="0.35">
      <c r="A293" s="198">
        <v>2020</v>
      </c>
      <c r="B293" s="197" t="s">
        <v>5838</v>
      </c>
      <c r="C293" s="197">
        <v>1994</v>
      </c>
      <c r="D293" s="225" t="str">
        <f t="shared" si="1"/>
        <v>2020_1994</v>
      </c>
      <c r="E293" s="1287">
        <v>0.35866006297123515</v>
      </c>
      <c r="F293" s="1306">
        <v>0.50074920403097223</v>
      </c>
      <c r="G293" s="1303">
        <v>8.6147905669274589</v>
      </c>
      <c r="H293" s="1306">
        <v>2.0990841474086777</v>
      </c>
      <c r="I293" s="1303">
        <v>5.4139793777975752E-2</v>
      </c>
      <c r="J293" s="1306">
        <v>9.5680454166529056E-3</v>
      </c>
      <c r="K293" s="1303">
        <v>2.9280787495019247E-3</v>
      </c>
      <c r="L293" s="1288">
        <v>2.0000014276139798E-3</v>
      </c>
      <c r="M293" s="1230">
        <v>2.0000014276139798E-3</v>
      </c>
      <c r="N293" s="1303">
        <v>2.5603042185938476E-2</v>
      </c>
      <c r="O293" s="1288">
        <v>8.091099205255298E-3</v>
      </c>
      <c r="P293" s="1237">
        <v>4.045549602627649E-3</v>
      </c>
      <c r="Q293" s="1290">
        <v>5.6587755010839028E-2</v>
      </c>
    </row>
    <row r="294" spans="1:17" s="212" customFormat="1" ht="15.5" x14ac:dyDescent="0.35">
      <c r="A294" s="198">
        <v>2020</v>
      </c>
      <c r="B294" s="197" t="s">
        <v>5838</v>
      </c>
      <c r="C294" s="197">
        <v>1995</v>
      </c>
      <c r="D294" s="225" t="str">
        <f t="shared" si="1"/>
        <v>2020_1995</v>
      </c>
      <c r="E294" s="1287">
        <v>0.37154305675782934</v>
      </c>
      <c r="F294" s="1306">
        <v>0.37247803906788235</v>
      </c>
      <c r="G294" s="1303">
        <v>9.1505216964780196</v>
      </c>
      <c r="H294" s="1306">
        <v>1.6514615935519215</v>
      </c>
      <c r="I294" s="1303">
        <v>5.3632367733144622E-2</v>
      </c>
      <c r="J294" s="1306">
        <v>8.6311947431779151E-3</v>
      </c>
      <c r="K294" s="1303">
        <v>2.9889991193007511E-3</v>
      </c>
      <c r="L294" s="1288">
        <v>2.0000013122951944E-3</v>
      </c>
      <c r="M294" s="1230">
        <v>2.0000013122951944E-3</v>
      </c>
      <c r="N294" s="1303">
        <v>2.7042224216206966E-2</v>
      </c>
      <c r="O294" s="1288">
        <v>1.0178787596090123E-2</v>
      </c>
      <c r="P294" s="1237">
        <v>5.0893937980450617E-3</v>
      </c>
      <c r="Q294" s="1290">
        <v>5.6057385411930324E-2</v>
      </c>
    </row>
    <row r="295" spans="1:17" s="212" customFormat="1" ht="15.5" x14ac:dyDescent="0.35">
      <c r="A295" s="198">
        <v>2020</v>
      </c>
      <c r="B295" s="197" t="s">
        <v>5838</v>
      </c>
      <c r="C295" s="197">
        <v>1996</v>
      </c>
      <c r="D295" s="225" t="str">
        <f t="shared" ref="D295:D369" si="2">CONCATENATE(A295,"_",C295)</f>
        <v>2020_1996</v>
      </c>
      <c r="E295" s="1287">
        <v>0.37449676943275351</v>
      </c>
      <c r="F295" s="1306">
        <v>0.12749562623182972</v>
      </c>
      <c r="G295" s="1303">
        <v>9.1567919454047821</v>
      </c>
      <c r="H295" s="1306">
        <v>0.99161276189629066</v>
      </c>
      <c r="I295" s="1303">
        <v>5.3876683021196921E-2</v>
      </c>
      <c r="J295" s="1306">
        <v>2.6907752072955686E-3</v>
      </c>
      <c r="K295" s="1303">
        <v>2.9934949345901021E-3</v>
      </c>
      <c r="L295" s="1288">
        <v>2.0000012972601639E-3</v>
      </c>
      <c r="M295" s="1230">
        <v>2.0000012972601639E-3</v>
      </c>
      <c r="N295" s="1303">
        <v>2.7146555335994145E-2</v>
      </c>
      <c r="O295" s="1288">
        <v>9.9658782557565297E-3</v>
      </c>
      <c r="P295" s="1237">
        <v>4.9829391278782649E-3</v>
      </c>
      <c r="Q295" s="1290">
        <v>5.6312747553175363E-2</v>
      </c>
    </row>
    <row r="296" spans="1:17" s="212" customFormat="1" ht="15.5" x14ac:dyDescent="0.35">
      <c r="A296" s="198">
        <v>2020</v>
      </c>
      <c r="B296" s="197" t="s">
        <v>5838</v>
      </c>
      <c r="C296" s="197">
        <v>1997</v>
      </c>
      <c r="D296" s="225" t="str">
        <f t="shared" si="2"/>
        <v>2020_1997</v>
      </c>
      <c r="E296" s="1287">
        <v>0.37616146797569672</v>
      </c>
      <c r="F296" s="1306">
        <v>0.12806781590269561</v>
      </c>
      <c r="G296" s="1303">
        <v>9.1677050047460078</v>
      </c>
      <c r="H296" s="1306">
        <v>0.9980044091734821</v>
      </c>
      <c r="I296" s="1303">
        <v>5.3973630944280371E-2</v>
      </c>
      <c r="J296" s="1306">
        <v>2.6923124282335125E-3</v>
      </c>
      <c r="K296" s="1303">
        <v>2.9978457375505283E-3</v>
      </c>
      <c r="L296" s="1288">
        <v>2.0000012862563268E-3</v>
      </c>
      <c r="M296" s="1230">
        <v>2.0000012862563268E-3</v>
      </c>
      <c r="N296" s="1303">
        <v>2.7249493737931427E-2</v>
      </c>
      <c r="O296" s="1288">
        <v>9.7731817185127672E-3</v>
      </c>
      <c r="P296" s="1237">
        <v>4.8865908592563836E-3</v>
      </c>
      <c r="Q296" s="1290">
        <v>5.6414079031140651E-2</v>
      </c>
    </row>
    <row r="297" spans="1:17" s="212" customFormat="1" ht="15.5" x14ac:dyDescent="0.35">
      <c r="A297" s="198">
        <v>2020</v>
      </c>
      <c r="B297" s="197" t="s">
        <v>5838</v>
      </c>
      <c r="C297" s="197">
        <v>1998</v>
      </c>
      <c r="D297" s="225" t="str">
        <f t="shared" si="2"/>
        <v>2020_1998</v>
      </c>
      <c r="E297" s="1287">
        <v>0.37397674579904239</v>
      </c>
      <c r="F297" s="1306">
        <v>0.13048198128661487</v>
      </c>
      <c r="G297" s="1303">
        <v>9.1718537958922823</v>
      </c>
      <c r="H297" s="1306">
        <v>1.0155141768332254</v>
      </c>
      <c r="I297" s="1303">
        <v>5.3723633080011331E-2</v>
      </c>
      <c r="J297" s="1306">
        <v>2.7352702530717902E-3</v>
      </c>
      <c r="K297" s="1303">
        <v>2.9977430871833744E-3</v>
      </c>
      <c r="L297" s="1288">
        <v>2.0000013894508634E-3</v>
      </c>
      <c r="M297" s="1230">
        <v>2.0000013894508634E-3</v>
      </c>
      <c r="N297" s="1303">
        <v>2.7246339545115173E-2</v>
      </c>
      <c r="O297" s="1288">
        <v>8.1947790421618445E-3</v>
      </c>
      <c r="P297" s="1237">
        <v>4.0973895210809222E-3</v>
      </c>
      <c r="Q297" s="1290">
        <v>5.6152777372798453E-2</v>
      </c>
    </row>
    <row r="298" spans="1:17" s="212" customFormat="1" ht="15.5" x14ac:dyDescent="0.35">
      <c r="A298" s="198">
        <v>2020</v>
      </c>
      <c r="B298" s="197" t="s">
        <v>5838</v>
      </c>
      <c r="C298" s="197">
        <v>1999</v>
      </c>
      <c r="D298" s="225" t="str">
        <f t="shared" si="2"/>
        <v>2020_1999</v>
      </c>
      <c r="E298" s="1287">
        <v>0.37209956050747939</v>
      </c>
      <c r="F298" s="1306">
        <v>0.12744698438451751</v>
      </c>
      <c r="G298" s="1303">
        <v>9.1779495290742403</v>
      </c>
      <c r="H298" s="1306">
        <v>0.99967727726823929</v>
      </c>
      <c r="I298" s="1303">
        <v>5.3512770580970058E-2</v>
      </c>
      <c r="J298" s="1306">
        <v>2.7643934705430225E-3</v>
      </c>
      <c r="K298" s="1303">
        <v>2.9988018627156157E-3</v>
      </c>
      <c r="L298" s="1288">
        <v>2.0000014476872813E-3</v>
      </c>
      <c r="M298" s="1230">
        <v>2.0000014476872813E-3</v>
      </c>
      <c r="N298" s="1303">
        <v>2.7271912802563143E-2</v>
      </c>
      <c r="O298" s="1288">
        <v>7.7771309565783176E-3</v>
      </c>
      <c r="P298" s="1237">
        <v>3.8885654782891588E-3</v>
      </c>
      <c r="Q298" s="1290">
        <v>5.5932380607238902E-2</v>
      </c>
    </row>
    <row r="299" spans="1:17" s="212" customFormat="1" ht="15.5" x14ac:dyDescent="0.35">
      <c r="A299" s="198">
        <v>2020</v>
      </c>
      <c r="B299" s="197" t="s">
        <v>5838</v>
      </c>
      <c r="C299" s="197">
        <v>2000</v>
      </c>
      <c r="D299" s="225" t="str">
        <f t="shared" si="2"/>
        <v>2020_2000</v>
      </c>
      <c r="E299" s="1287">
        <v>0.36723241656796513</v>
      </c>
      <c r="F299" s="1306">
        <v>0.12079856694471329</v>
      </c>
      <c r="G299" s="1303">
        <v>9.2096289429058427</v>
      </c>
      <c r="H299" s="1306">
        <v>0.96013165953894086</v>
      </c>
      <c r="I299" s="1303">
        <v>5.2909529474103316E-2</v>
      </c>
      <c r="J299" s="1306">
        <v>2.7666079846612518E-3</v>
      </c>
      <c r="K299" s="1303">
        <v>2.9996703246003751E-3</v>
      </c>
      <c r="L299" s="1288">
        <v>2.0000015070234744E-3</v>
      </c>
      <c r="M299" s="1230">
        <v>2.0000015070234744E-3</v>
      </c>
      <c r="N299" s="1303">
        <v>2.7292169983530682E-2</v>
      </c>
      <c r="O299" s="1288">
        <v>7.9177033254628579E-3</v>
      </c>
      <c r="P299" s="1237">
        <v>3.958851662731429E-3</v>
      </c>
      <c r="Q299" s="1290">
        <v>5.530186361436238E-2</v>
      </c>
    </row>
    <row r="300" spans="1:17" s="212" customFormat="1" ht="15.5" x14ac:dyDescent="0.35">
      <c r="A300" s="198">
        <v>2020</v>
      </c>
      <c r="B300" s="197" t="s">
        <v>5838</v>
      </c>
      <c r="C300" s="197">
        <v>2001</v>
      </c>
      <c r="D300" s="225" t="str">
        <f t="shared" si="2"/>
        <v>2020_2001</v>
      </c>
      <c r="E300" s="1287">
        <v>0.36488895631376089</v>
      </c>
      <c r="F300" s="1306">
        <v>0.11557627943949472</v>
      </c>
      <c r="G300" s="1303">
        <v>9.1707123062601248</v>
      </c>
      <c r="H300" s="1306">
        <v>0.91959044099411535</v>
      </c>
      <c r="I300" s="1303">
        <v>5.2730810174781748E-2</v>
      </c>
      <c r="J300" s="1306">
        <v>2.792651481124073E-3</v>
      </c>
      <c r="K300" s="1303">
        <v>2.999898227360099E-3</v>
      </c>
      <c r="L300" s="1288">
        <v>2.0000014863179312E-3</v>
      </c>
      <c r="M300" s="1230">
        <v>2.0000014863179312E-3</v>
      </c>
      <c r="N300" s="1303">
        <v>2.7297608976170101E-2</v>
      </c>
      <c r="O300" s="1288">
        <v>7.2030589442405261E-3</v>
      </c>
      <c r="P300" s="1237">
        <v>3.601529472120263E-3</v>
      </c>
      <c r="Q300" s="1290">
        <v>5.51150634213807E-2</v>
      </c>
    </row>
    <row r="301" spans="1:17" s="212" customFormat="1" ht="15.5" x14ac:dyDescent="0.35">
      <c r="A301" s="198">
        <v>2020</v>
      </c>
      <c r="B301" s="197" t="s">
        <v>5838</v>
      </c>
      <c r="C301" s="197">
        <v>2002</v>
      </c>
      <c r="D301" s="225" t="str">
        <f t="shared" si="2"/>
        <v>2020_2002</v>
      </c>
      <c r="E301" s="1287">
        <v>0.28079827645056421</v>
      </c>
      <c r="F301" s="1306">
        <v>0.11299839128984702</v>
      </c>
      <c r="G301" s="1303">
        <v>7.0914448938322554</v>
      </c>
      <c r="H301" s="1306">
        <v>0.87519326458423508</v>
      </c>
      <c r="I301" s="1303">
        <v>5.303438449506194E-2</v>
      </c>
      <c r="J301" s="1306">
        <v>2.8099644864221862E-3</v>
      </c>
      <c r="K301" s="1303">
        <v>2.9998991221543664E-3</v>
      </c>
      <c r="L301" s="1288">
        <v>2.0000015797771759E-3</v>
      </c>
      <c r="M301" s="1230">
        <v>2.0000015797771759E-3</v>
      </c>
      <c r="N301" s="1303">
        <v>2.7297626792598579E-2</v>
      </c>
      <c r="O301" s="1288">
        <v>6.6522811140734064E-3</v>
      </c>
      <c r="P301" s="1237">
        <v>3.3261405570367032E-3</v>
      </c>
      <c r="Q301" s="1290">
        <v>5.5432364025332949E-2</v>
      </c>
    </row>
    <row r="302" spans="1:17" s="212" customFormat="1" ht="15.5" x14ac:dyDescent="0.35">
      <c r="A302" s="198">
        <v>2020</v>
      </c>
      <c r="B302" s="197" t="s">
        <v>5838</v>
      </c>
      <c r="C302" s="197">
        <v>2003</v>
      </c>
      <c r="D302" s="225" t="str">
        <f t="shared" si="2"/>
        <v>2020_2003</v>
      </c>
      <c r="E302" s="1287">
        <v>0.27586734270686647</v>
      </c>
      <c r="F302" s="1306">
        <v>9.0954924893699787E-2</v>
      </c>
      <c r="G302" s="1303">
        <v>7.1105543757271192</v>
      </c>
      <c r="H302" s="1306">
        <v>0.67131460399871212</v>
      </c>
      <c r="I302" s="1303">
        <v>5.2345845947425779E-2</v>
      </c>
      <c r="J302" s="1306">
        <v>2.8009428846293982E-3</v>
      </c>
      <c r="K302" s="1303">
        <v>2.999916023127382E-3</v>
      </c>
      <c r="L302" s="1288">
        <v>2.0000016094144338E-3</v>
      </c>
      <c r="M302" s="1230">
        <v>2.0000016094144338E-3</v>
      </c>
      <c r="N302" s="1303">
        <v>2.729805074792678E-2</v>
      </c>
      <c r="O302" s="1288">
        <v>6.9370817704892725E-3</v>
      </c>
      <c r="P302" s="1237">
        <v>3.4685408852446363E-3</v>
      </c>
      <c r="Q302" s="1290">
        <v>5.4712692819917162E-2</v>
      </c>
    </row>
    <row r="303" spans="1:17" s="212" customFormat="1" ht="15.5" x14ac:dyDescent="0.35">
      <c r="A303" s="198">
        <v>2020</v>
      </c>
      <c r="B303" s="197" t="s">
        <v>5838</v>
      </c>
      <c r="C303" s="197">
        <v>2004</v>
      </c>
      <c r="D303" s="225" t="str">
        <f t="shared" si="2"/>
        <v>2020_2004</v>
      </c>
      <c r="E303" s="1287">
        <v>0.5613201033392945</v>
      </c>
      <c r="F303" s="1306">
        <v>1.7554964346560738E-2</v>
      </c>
      <c r="G303" s="1303">
        <v>4.1854202613398703</v>
      </c>
      <c r="H303" s="1306">
        <v>0.11210687841647274</v>
      </c>
      <c r="I303" s="1303">
        <v>0.14876912143259163</v>
      </c>
      <c r="J303" s="1306">
        <v>1.875930597710029E-4</v>
      </c>
      <c r="K303" s="1303">
        <v>2.9988125374575151E-3</v>
      </c>
      <c r="L303" s="1288">
        <v>2.0000016876024589E-3</v>
      </c>
      <c r="M303" s="1230">
        <v>2.0000016876024589E-3</v>
      </c>
      <c r="N303" s="1303">
        <v>2.7271922432006414E-2</v>
      </c>
      <c r="O303" s="1288">
        <v>6.3852678487683334E-3</v>
      </c>
      <c r="P303" s="1237">
        <v>3.1926339243841667E-3</v>
      </c>
      <c r="Q303" s="1290">
        <v>0.15549580095057386</v>
      </c>
    </row>
    <row r="304" spans="1:17" s="212" customFormat="1" ht="15.5" x14ac:dyDescent="0.35">
      <c r="A304" s="198">
        <v>2020</v>
      </c>
      <c r="B304" s="197" t="s">
        <v>5838</v>
      </c>
      <c r="C304" s="197">
        <v>2005</v>
      </c>
      <c r="D304" s="225" t="str">
        <f t="shared" si="2"/>
        <v>2020_2005</v>
      </c>
      <c r="E304" s="1287">
        <v>0.50596339051735462</v>
      </c>
      <c r="F304" s="1306">
        <v>1.5522238467308691E-2</v>
      </c>
      <c r="G304" s="1303">
        <v>3.9382692112865794</v>
      </c>
      <c r="H304" s="1306">
        <v>9.5610018537187022E-2</v>
      </c>
      <c r="I304" s="1303">
        <v>0.13773575769494664</v>
      </c>
      <c r="J304" s="1306">
        <v>1.8788883999198129E-4</v>
      </c>
      <c r="K304" s="1303">
        <v>2.8999295549415102E-3</v>
      </c>
      <c r="L304" s="1288">
        <v>2.0000016975952879E-3</v>
      </c>
      <c r="M304" s="1230">
        <v>2.0000016975952879E-3</v>
      </c>
      <c r="N304" s="1303">
        <v>2.49202261352535E-2</v>
      </c>
      <c r="O304" s="1288">
        <v>5.8765662782829745E-3</v>
      </c>
      <c r="P304" s="1237">
        <v>2.9382831391414873E-3</v>
      </c>
      <c r="Q304" s="1290">
        <v>0.14396355746453951</v>
      </c>
    </row>
    <row r="305" spans="1:17" s="212" customFormat="1" ht="15.5" x14ac:dyDescent="0.35">
      <c r="A305" s="198">
        <v>2020</v>
      </c>
      <c r="B305" s="197" t="s">
        <v>5838</v>
      </c>
      <c r="C305" s="197">
        <v>2006</v>
      </c>
      <c r="D305" s="225" t="str">
        <f t="shared" si="2"/>
        <v>2020_2006</v>
      </c>
      <c r="E305" s="1287">
        <v>0.51306730514012866</v>
      </c>
      <c r="F305" s="1306">
        <v>6.2443030684294397E-3</v>
      </c>
      <c r="G305" s="1303">
        <v>4.0210953157817642</v>
      </c>
      <c r="H305" s="1306">
        <v>6.1479725994848439E-2</v>
      </c>
      <c r="I305" s="1303">
        <v>0.13956799691418609</v>
      </c>
      <c r="J305" s="1306">
        <v>1.8337954504297983E-4</v>
      </c>
      <c r="K305" s="1303">
        <v>2.9394214495280491E-3</v>
      </c>
      <c r="L305" s="1288">
        <v>2.0000016033478421E-3</v>
      </c>
      <c r="M305" s="1230">
        <v>2.0000016033478421E-3</v>
      </c>
      <c r="N305" s="1303">
        <v>2.5857114464838755E-2</v>
      </c>
      <c r="O305" s="1288">
        <v>8.4064711455623994E-3</v>
      </c>
      <c r="P305" s="1237">
        <v>4.2032355727811997E-3</v>
      </c>
      <c r="Q305" s="1290">
        <v>0.14587864241083226</v>
      </c>
    </row>
    <row r="306" spans="1:17" s="212" customFormat="1" ht="15.5" x14ac:dyDescent="0.35">
      <c r="A306" s="198">
        <v>2020</v>
      </c>
      <c r="B306" s="197" t="s">
        <v>5838</v>
      </c>
      <c r="C306" s="197">
        <v>2007</v>
      </c>
      <c r="D306" s="225" t="str">
        <f t="shared" si="2"/>
        <v>2020_2007</v>
      </c>
      <c r="E306" s="1287">
        <v>0.27473309277438845</v>
      </c>
      <c r="F306" s="1306">
        <v>8.2183407237661436E-3</v>
      </c>
      <c r="G306" s="1303">
        <v>2.1712474051698183</v>
      </c>
      <c r="H306" s="1306">
        <v>5.4797782941364108E-2</v>
      </c>
      <c r="I306" s="1303">
        <v>7.3567517116556583E-2</v>
      </c>
      <c r="J306" s="1306">
        <v>1.8710585124035657E-4</v>
      </c>
      <c r="K306" s="1303">
        <v>2.9024431169789285E-3</v>
      </c>
      <c r="L306" s="1288">
        <v>2.0000016172091735E-3</v>
      </c>
      <c r="M306" s="1230">
        <v>2.0000016172091735E-3</v>
      </c>
      <c r="N306" s="1303">
        <v>2.4973874760126216E-2</v>
      </c>
      <c r="O306" s="1288">
        <v>6.0196824286745674E-3</v>
      </c>
      <c r="P306" s="1237">
        <v>3.0098412143372837E-3</v>
      </c>
      <c r="Q306" s="1290">
        <v>7.6893913789544924E-2</v>
      </c>
    </row>
    <row r="307" spans="1:17" s="212" customFormat="1" ht="15.5" x14ac:dyDescent="0.35">
      <c r="A307" s="198">
        <v>2020</v>
      </c>
      <c r="B307" s="197" t="s">
        <v>5838</v>
      </c>
      <c r="C307" s="197">
        <v>2008</v>
      </c>
      <c r="D307" s="225" t="str">
        <f t="shared" si="2"/>
        <v>2020_2008</v>
      </c>
      <c r="E307" s="1287">
        <v>0.27940009966118146</v>
      </c>
      <c r="F307" s="1306">
        <v>7.7138506549921373E-3</v>
      </c>
      <c r="G307" s="1303">
        <v>2.251701715802771</v>
      </c>
      <c r="H307" s="1306">
        <v>4.2412153653160457E-2</v>
      </c>
      <c r="I307" s="1303">
        <v>7.5177602798197685E-2</v>
      </c>
      <c r="J307" s="1306">
        <v>2.1209471917728326E-4</v>
      </c>
      <c r="K307" s="1303">
        <v>2.9423578516295577E-3</v>
      </c>
      <c r="L307" s="1288">
        <v>2.0000017900525971E-3</v>
      </c>
      <c r="M307" s="1230">
        <v>2.0000017900525971E-3</v>
      </c>
      <c r="N307" s="1303">
        <v>2.5924566915258202E-2</v>
      </c>
      <c r="O307" s="1288">
        <v>5.8865279266781343E-3</v>
      </c>
      <c r="P307" s="1237">
        <v>2.9432639633390672E-3</v>
      </c>
      <c r="Q307" s="1290">
        <v>7.8576800401060465E-2</v>
      </c>
    </row>
    <row r="308" spans="1:17" s="212" customFormat="1" ht="15.5" x14ac:dyDescent="0.35">
      <c r="A308" s="198">
        <v>2020</v>
      </c>
      <c r="B308" s="197" t="s">
        <v>5838</v>
      </c>
      <c r="C308" s="197">
        <v>2009</v>
      </c>
      <c r="D308" s="225" t="str">
        <f t="shared" si="2"/>
        <v>2020_2009</v>
      </c>
      <c r="E308" s="1287">
        <v>0.25489523015998417</v>
      </c>
      <c r="F308" s="1306">
        <v>7.4166790555340372E-3</v>
      </c>
      <c r="G308" s="1303">
        <v>2.067175468518748</v>
      </c>
      <c r="H308" s="1306">
        <v>3.2461359336141721E-2</v>
      </c>
      <c r="I308" s="1303">
        <v>6.885013253404651E-2</v>
      </c>
      <c r="J308" s="1306">
        <v>2.4094774483445478E-4</v>
      </c>
      <c r="K308" s="1303">
        <v>2.861407158256302E-3</v>
      </c>
      <c r="L308" s="1288">
        <v>2.000001830409247E-3</v>
      </c>
      <c r="M308" s="1230">
        <v>2.000001830409247E-3</v>
      </c>
      <c r="N308" s="1303">
        <v>2.3990403528502381E-2</v>
      </c>
      <c r="O308" s="1288">
        <v>4.6195371297165959E-3</v>
      </c>
      <c r="P308" s="1237">
        <v>2.309768564858298E-3</v>
      </c>
      <c r="Q308" s="1290">
        <v>7.1963230009297843E-2</v>
      </c>
    </row>
    <row r="309" spans="1:17" s="212" customFormat="1" ht="15.5" x14ac:dyDescent="0.35">
      <c r="A309" s="198">
        <v>2020</v>
      </c>
      <c r="B309" s="197" t="s">
        <v>5838</v>
      </c>
      <c r="C309" s="197">
        <v>2010</v>
      </c>
      <c r="D309" s="225" t="str">
        <f t="shared" si="2"/>
        <v>2020_2010</v>
      </c>
      <c r="E309" s="1287">
        <v>5.4801594382047486E-2</v>
      </c>
      <c r="F309" s="1306">
        <v>6.588118277997268E-3</v>
      </c>
      <c r="G309" s="1303">
        <v>0.42901990533968687</v>
      </c>
      <c r="H309" s="1306">
        <v>2.9528404586097574E-2</v>
      </c>
      <c r="I309" s="1303">
        <v>1.2611870913972261E-2</v>
      </c>
      <c r="J309" s="1306">
        <v>2.967676670704203E-4</v>
      </c>
      <c r="K309" s="1303">
        <v>2.7127779738816624E-3</v>
      </c>
      <c r="L309" s="1288">
        <v>2.0000019340711689E-3</v>
      </c>
      <c r="M309" s="1230">
        <v>2.0000019340711689E-3</v>
      </c>
      <c r="N309" s="1303">
        <v>2.0421923870922058E-2</v>
      </c>
      <c r="O309" s="1288">
        <v>3.9523094960729364E-3</v>
      </c>
      <c r="P309" s="1237">
        <v>1.9761547480364682E-3</v>
      </c>
      <c r="Q309" s="1290">
        <v>1.3182123752353817E-2</v>
      </c>
    </row>
    <row r="310" spans="1:17" s="212" customFormat="1" ht="15.5" x14ac:dyDescent="0.35">
      <c r="A310" s="198">
        <v>2020</v>
      </c>
      <c r="B310" s="197" t="s">
        <v>5838</v>
      </c>
      <c r="C310" s="197">
        <v>2011</v>
      </c>
      <c r="D310" s="225" t="str">
        <f t="shared" si="2"/>
        <v>2020_2011</v>
      </c>
      <c r="E310" s="1287">
        <v>6.0387544120732384E-2</v>
      </c>
      <c r="F310" s="1306">
        <v>6.5343384240236597E-3</v>
      </c>
      <c r="G310" s="1303">
        <v>0.48084011346572686</v>
      </c>
      <c r="H310" s="1306">
        <v>2.8606051661333742E-2</v>
      </c>
      <c r="I310" s="1303">
        <v>1.3172520187566063E-2</v>
      </c>
      <c r="J310" s="1306">
        <v>3.9652665235572751E-4</v>
      </c>
      <c r="K310" s="1303">
        <v>2.8352655892041278E-3</v>
      </c>
      <c r="L310" s="1288">
        <v>2.0000018854239199E-3</v>
      </c>
      <c r="M310" s="1230">
        <v>2.0000018854239199E-3</v>
      </c>
      <c r="N310" s="1303">
        <v>2.3356504339352609E-2</v>
      </c>
      <c r="O310" s="1288">
        <v>4.6718616358950122E-3</v>
      </c>
      <c r="P310" s="1237">
        <v>2.3359308179475061E-3</v>
      </c>
      <c r="Q310" s="1290">
        <v>1.3768123098255139E-2</v>
      </c>
    </row>
    <row r="311" spans="1:17" s="212" customFormat="1" ht="15.5" x14ac:dyDescent="0.35">
      <c r="A311" s="198">
        <v>2020</v>
      </c>
      <c r="B311" s="197" t="s">
        <v>5838</v>
      </c>
      <c r="C311" s="197">
        <v>2012</v>
      </c>
      <c r="D311" s="225" t="str">
        <f t="shared" si="2"/>
        <v>2020_2012</v>
      </c>
      <c r="E311" s="1287">
        <v>4.2141829063644158E-2</v>
      </c>
      <c r="F311" s="1306">
        <v>6.0727286004408857E-3</v>
      </c>
      <c r="G311" s="1303">
        <v>0.30414926623716854</v>
      </c>
      <c r="H311" s="1306">
        <v>2.6708980539507762E-2</v>
      </c>
      <c r="I311" s="1303">
        <v>9.4233069515941691E-3</v>
      </c>
      <c r="J311" s="1306">
        <v>5.758168032441944E-4</v>
      </c>
      <c r="K311" s="1303">
        <v>2.5287867865729711E-3</v>
      </c>
      <c r="L311" s="1288">
        <v>2.0000019232921332E-3</v>
      </c>
      <c r="M311" s="1230">
        <v>2.0000019232921332E-3</v>
      </c>
      <c r="N311" s="1303">
        <v>1.5947492836021499E-2</v>
      </c>
      <c r="O311" s="1288">
        <v>5.0405250340122311E-3</v>
      </c>
      <c r="P311" s="1237">
        <v>2.5202625170061155E-3</v>
      </c>
      <c r="Q311" s="1290">
        <v>9.8493870766399854E-3</v>
      </c>
    </row>
    <row r="312" spans="1:17" s="212" customFormat="1" ht="15.5" x14ac:dyDescent="0.35">
      <c r="A312" s="198">
        <v>2020</v>
      </c>
      <c r="B312" s="197" t="s">
        <v>5838</v>
      </c>
      <c r="C312" s="197">
        <v>2013</v>
      </c>
      <c r="D312" s="225" t="str">
        <f t="shared" si="2"/>
        <v>2020_2013</v>
      </c>
      <c r="E312" s="1287">
        <v>5.5979010292047195E-2</v>
      </c>
      <c r="F312" s="1306">
        <v>6.5199759822465002E-3</v>
      </c>
      <c r="G312" s="1303">
        <v>0.42652499774029629</v>
      </c>
      <c r="H312" s="1306">
        <v>2.6503244437575901E-2</v>
      </c>
      <c r="I312" s="1303">
        <v>1.1210480194593583E-2</v>
      </c>
      <c r="J312" s="1306">
        <v>8.6046365895856296E-4</v>
      </c>
      <c r="K312" s="1303">
        <v>2.7929372796995878E-3</v>
      </c>
      <c r="L312" s="1288">
        <v>2.0000019211064688E-3</v>
      </c>
      <c r="M312" s="1230">
        <v>2.0000019211064688E-3</v>
      </c>
      <c r="N312" s="1303">
        <v>2.2316032073381162E-2</v>
      </c>
      <c r="O312" s="1288">
        <v>5.0344372190953054E-3</v>
      </c>
      <c r="P312" s="1237">
        <v>2.5172186095476527E-3</v>
      </c>
      <c r="Q312" s="1290">
        <v>1.1717368363224047E-2</v>
      </c>
    </row>
    <row r="313" spans="1:17" s="212" customFormat="1" ht="15.5" x14ac:dyDescent="0.35">
      <c r="A313" s="198">
        <v>2020</v>
      </c>
      <c r="B313" s="197" t="s">
        <v>5838</v>
      </c>
      <c r="C313" s="197">
        <v>2014</v>
      </c>
      <c r="D313" s="225" t="str">
        <f t="shared" si="2"/>
        <v>2020_2014</v>
      </c>
      <c r="E313" s="1287">
        <v>4.6287854544760539E-2</v>
      </c>
      <c r="F313" s="1306">
        <v>6.4885773565970545E-3</v>
      </c>
      <c r="G313" s="1303">
        <v>0.33432383305915392</v>
      </c>
      <c r="H313" s="1306">
        <v>2.5406771541316327E-2</v>
      </c>
      <c r="I313" s="1303">
        <v>9.1007777386593203E-3</v>
      </c>
      <c r="J313" s="1306">
        <v>1.2133417058916326E-3</v>
      </c>
      <c r="K313" s="1303">
        <v>2.6381031805123682E-3</v>
      </c>
      <c r="L313" s="1288">
        <v>2.0000019182100084E-3</v>
      </c>
      <c r="M313" s="1230">
        <v>2.0000019182100084E-3</v>
      </c>
      <c r="N313" s="1303">
        <v>1.8545000762830145E-2</v>
      </c>
      <c r="O313" s="1288">
        <v>4.2368296029615038E-3</v>
      </c>
      <c r="P313" s="1237">
        <v>2.1184148014807519E-3</v>
      </c>
      <c r="Q313" s="1290">
        <v>9.5122745238983564E-3</v>
      </c>
    </row>
    <row r="314" spans="1:17" s="212" customFormat="1" ht="15.5" x14ac:dyDescent="0.35">
      <c r="A314" s="198">
        <v>2020</v>
      </c>
      <c r="B314" s="197" t="s">
        <v>5838</v>
      </c>
      <c r="C314" s="197">
        <v>2015</v>
      </c>
      <c r="D314" s="225" t="str">
        <f t="shared" si="2"/>
        <v>2020_2015</v>
      </c>
      <c r="E314" s="1287">
        <v>4.1379640294559414E-2</v>
      </c>
      <c r="F314" s="1306">
        <v>6.2272710274687464E-3</v>
      </c>
      <c r="G314" s="1303">
        <v>0.28887255006945844</v>
      </c>
      <c r="H314" s="1306">
        <v>2.3592420599317744E-2</v>
      </c>
      <c r="I314" s="1303">
        <v>7.8406225844580568E-3</v>
      </c>
      <c r="J314" s="1306">
        <v>1.5081400416640583E-3</v>
      </c>
      <c r="K314" s="1303">
        <v>2.5733342039831984E-3</v>
      </c>
      <c r="L314" s="1288">
        <v>2.0000018944914071E-3</v>
      </c>
      <c r="M314" s="1230">
        <v>2.0000018944914071E-3</v>
      </c>
      <c r="N314" s="1303">
        <v>1.6933582947212249E-2</v>
      </c>
      <c r="O314" s="1288">
        <v>4.9174632169734942E-3</v>
      </c>
      <c r="P314" s="1237">
        <v>2.4587316084867471E-3</v>
      </c>
      <c r="Q314" s="1290">
        <v>8.1951407454798151E-3</v>
      </c>
    </row>
    <row r="315" spans="1:17" s="212" customFormat="1" ht="15.5" x14ac:dyDescent="0.35">
      <c r="A315" s="198">
        <v>2020</v>
      </c>
      <c r="B315" s="197" t="s">
        <v>5838</v>
      </c>
      <c r="C315" s="197">
        <v>2016</v>
      </c>
      <c r="D315" s="225" t="str">
        <f t="shared" si="2"/>
        <v>2020_2016</v>
      </c>
      <c r="E315" s="1287">
        <v>4.999244898495462E-2</v>
      </c>
      <c r="F315" s="1306">
        <v>6.0195539460415988E-3</v>
      </c>
      <c r="G315" s="1303">
        <v>0.3175245694403418</v>
      </c>
      <c r="H315" s="1306">
        <v>2.2152437301865648E-2</v>
      </c>
      <c r="I315" s="1303">
        <v>8.2884804392012856E-3</v>
      </c>
      <c r="J315" s="1306">
        <v>1.7185125883574643E-3</v>
      </c>
      <c r="K315" s="1303">
        <v>2.7699135585911292E-3</v>
      </c>
      <c r="L315" s="1288">
        <v>2.0000018260727817E-3</v>
      </c>
      <c r="M315" s="1230">
        <v>2.0000018260727817E-3</v>
      </c>
      <c r="N315" s="1303">
        <v>2.1696102499005988E-2</v>
      </c>
      <c r="O315" s="1288">
        <v>5.6759058037128786E-3</v>
      </c>
      <c r="P315" s="1237">
        <v>2.8379529018564393E-3</v>
      </c>
      <c r="Q315" s="1290">
        <v>8.6632487450746896E-3</v>
      </c>
    </row>
    <row r="316" spans="1:17" s="212" customFormat="1" ht="15.5" x14ac:dyDescent="0.35">
      <c r="A316" s="198">
        <v>2020</v>
      </c>
      <c r="B316" s="197" t="s">
        <v>5838</v>
      </c>
      <c r="C316" s="197">
        <v>2017</v>
      </c>
      <c r="D316" s="225" t="str">
        <f t="shared" si="2"/>
        <v>2020_2017</v>
      </c>
      <c r="E316" s="1287">
        <v>5.1090789211746333E-2</v>
      </c>
      <c r="F316" s="1306">
        <v>5.6446090005435401E-3</v>
      </c>
      <c r="G316" s="1303">
        <v>0.27664344790771545</v>
      </c>
      <c r="H316" s="1306">
        <v>2.0623511697703052E-2</v>
      </c>
      <c r="I316" s="1303">
        <v>7.601418533137656E-3</v>
      </c>
      <c r="J316" s="1306">
        <v>1.8469291750694303E-3</v>
      </c>
      <c r="K316" s="1303">
        <v>2.8183862990278619E-3</v>
      </c>
      <c r="L316" s="1288">
        <v>2.0000018044204026E-3</v>
      </c>
      <c r="M316" s="1230">
        <v>2.0000018044204026E-3</v>
      </c>
      <c r="N316" s="1303">
        <v>2.2867312061398016E-2</v>
      </c>
      <c r="O316" s="1288">
        <v>5.6418889304595543E-3</v>
      </c>
      <c r="P316" s="1237">
        <v>2.8209444652297772E-3</v>
      </c>
      <c r="Q316" s="1290">
        <v>7.9451209484109643E-3</v>
      </c>
    </row>
    <row r="317" spans="1:17" s="212" customFormat="1" ht="15.5" x14ac:dyDescent="0.35">
      <c r="A317" s="198">
        <v>2020</v>
      </c>
      <c r="B317" s="197" t="s">
        <v>5838</v>
      </c>
      <c r="C317" s="197">
        <v>2018</v>
      </c>
      <c r="D317" s="225" t="str">
        <f t="shared" si="2"/>
        <v>2020_2018</v>
      </c>
      <c r="E317" s="1287">
        <v>4.557464888565068E-2</v>
      </c>
      <c r="F317" s="1306">
        <v>5.3069633660110579E-3</v>
      </c>
      <c r="G317" s="1303">
        <v>0.19634082555165375</v>
      </c>
      <c r="H317" s="1306">
        <v>1.9110474888330214E-2</v>
      </c>
      <c r="I317" s="1303">
        <v>6.2036031370537731E-3</v>
      </c>
      <c r="J317" s="1306">
        <v>1.9515766835712404E-3</v>
      </c>
      <c r="K317" s="1303">
        <v>2.7320940813818301E-3</v>
      </c>
      <c r="L317" s="1288">
        <v>2.0000018178985119E-3</v>
      </c>
      <c r="M317" s="1230">
        <v>2.0000018178985119E-3</v>
      </c>
      <c r="N317" s="1303">
        <v>2.0735253836665562E-2</v>
      </c>
      <c r="O317" s="1288">
        <v>5.0144228226298437E-3</v>
      </c>
      <c r="P317" s="1237">
        <v>2.5072114113149219E-3</v>
      </c>
      <c r="Q317" s="1290">
        <v>6.4841025428301301E-3</v>
      </c>
    </row>
    <row r="318" spans="1:17" s="212" customFormat="1" ht="15.5" x14ac:dyDescent="0.35">
      <c r="A318" s="198">
        <v>2020</v>
      </c>
      <c r="B318" s="197" t="s">
        <v>5838</v>
      </c>
      <c r="C318" s="197">
        <v>2019</v>
      </c>
      <c r="D318" s="225" t="str">
        <f t="shared" si="2"/>
        <v>2020_2019</v>
      </c>
      <c r="E318" s="1287">
        <v>5.260739410843808E-2</v>
      </c>
      <c r="F318" s="1306">
        <v>4.9642184729611063E-3</v>
      </c>
      <c r="G318" s="1303">
        <v>0.19338981701730237</v>
      </c>
      <c r="H318" s="1306">
        <v>1.7617953113890483E-2</v>
      </c>
      <c r="I318" s="1303">
        <v>5.7734832401862045E-3</v>
      </c>
      <c r="J318" s="1306">
        <v>1.8540980301670112E-3</v>
      </c>
      <c r="K318" s="1303">
        <v>2.9175015828825988E-3</v>
      </c>
      <c r="L318" s="1288">
        <v>2.0000017484063789E-3</v>
      </c>
      <c r="M318" s="1230">
        <v>2.0000017484063789E-3</v>
      </c>
      <c r="N318" s="1303">
        <v>2.5274876092600554E-2</v>
      </c>
      <c r="O318" s="1288">
        <v>5.0041703058915279E-3</v>
      </c>
      <c r="P318" s="1237">
        <v>2.5020851529457639E-3</v>
      </c>
      <c r="Q318" s="1290">
        <v>6.0345345328549765E-3</v>
      </c>
    </row>
    <row r="319" spans="1:17" s="212" customFormat="1" ht="15.5" x14ac:dyDescent="0.35">
      <c r="A319" s="198">
        <v>2020</v>
      </c>
      <c r="B319" s="197" t="s">
        <v>5838</v>
      </c>
      <c r="C319" s="197">
        <v>2020</v>
      </c>
      <c r="D319" s="225" t="str">
        <f t="shared" si="2"/>
        <v>2020_2020</v>
      </c>
      <c r="E319" s="1287">
        <v>4.3157428049298299E-2</v>
      </c>
      <c r="F319" s="1306">
        <v>4.4691924953576094E-3</v>
      </c>
      <c r="G319" s="1303">
        <v>0.13475986110660096</v>
      </c>
      <c r="H319" s="1306">
        <v>1.5684740135942555E-2</v>
      </c>
      <c r="I319" s="1303">
        <v>4.099740511091232E-3</v>
      </c>
      <c r="J319" s="1306">
        <v>1.3776434722666865E-3</v>
      </c>
      <c r="K319" s="1303">
        <v>2.8537229822052485E-3</v>
      </c>
      <c r="L319" s="1288">
        <v>2.0000019240887135E-3</v>
      </c>
      <c r="M319" s="1230">
        <v>2.0000019240887135E-3</v>
      </c>
      <c r="N319" s="1303">
        <v>2.3705939892844363E-2</v>
      </c>
      <c r="O319" s="1288">
        <v>4.6969728746825892E-3</v>
      </c>
      <c r="P319" s="1237">
        <v>2.3484864373412946E-3</v>
      </c>
      <c r="Q319" s="1290">
        <v>4.2851125846736903E-3</v>
      </c>
    </row>
    <row r="320" spans="1:17" s="212" customFormat="1" ht="15.5" x14ac:dyDescent="0.35">
      <c r="A320" s="198">
        <v>2020</v>
      </c>
      <c r="B320" s="197" t="s">
        <v>5838</v>
      </c>
      <c r="C320" s="197">
        <v>2021</v>
      </c>
      <c r="D320" s="225" t="str">
        <f t="shared" si="2"/>
        <v>2020_2021</v>
      </c>
      <c r="E320" s="1291">
        <v>4.3157428049298299E-2</v>
      </c>
      <c r="F320" s="1280">
        <v>4.4691924953576094E-3</v>
      </c>
      <c r="G320" s="1271">
        <v>0.13475986110660096</v>
      </c>
      <c r="H320" s="1280">
        <v>1.5684740135942555E-2</v>
      </c>
      <c r="I320" s="1271">
        <v>4.099740511091232E-3</v>
      </c>
      <c r="J320" s="1280">
        <v>1.3776434722666865E-3</v>
      </c>
      <c r="K320" s="1271">
        <v>2.8537229822052485E-3</v>
      </c>
      <c r="L320" s="1257">
        <v>2.0000019240887135E-3</v>
      </c>
      <c r="M320" s="1230">
        <v>2.0000019240887135E-3</v>
      </c>
      <c r="N320" s="1271">
        <v>2.3705939892844363E-2</v>
      </c>
      <c r="O320" s="1257">
        <v>4.6969728746825892E-3</v>
      </c>
      <c r="P320" s="1237">
        <v>2.3484864373412946E-3</v>
      </c>
      <c r="Q320" s="1292">
        <v>4.2851125846736903E-3</v>
      </c>
    </row>
    <row r="321" spans="1:17" s="212" customFormat="1" ht="15.5" x14ac:dyDescent="0.35">
      <c r="A321" s="198">
        <v>2021</v>
      </c>
      <c r="B321" s="197" t="s">
        <v>5838</v>
      </c>
      <c r="C321" s="197">
        <v>1971</v>
      </c>
      <c r="D321" s="225" t="str">
        <f t="shared" si="2"/>
        <v>2021_1971</v>
      </c>
      <c r="E321" s="1291">
        <v>0.76268840169270091</v>
      </c>
      <c r="F321" s="1280">
        <v>7.8652721881729004</v>
      </c>
      <c r="G321" s="1271">
        <v>2.1679692543423386</v>
      </c>
      <c r="H321" s="1280">
        <v>11.390368970006019</v>
      </c>
      <c r="I321" s="1271">
        <v>0.53249573238015158</v>
      </c>
      <c r="J321" s="1280">
        <v>5.2538628843426395E-2</v>
      </c>
      <c r="K321" s="1271">
        <v>2.0410282660127087E-3</v>
      </c>
      <c r="L321" s="1257">
        <v>2.0000013483926033E-3</v>
      </c>
      <c r="M321" s="1230">
        <v>2.0000013483926033E-3</v>
      </c>
      <c r="N321" s="1271">
        <v>4.94438580057839E-3</v>
      </c>
      <c r="O321" s="1257">
        <v>6.5466403064565167E-3</v>
      </c>
      <c r="P321" s="1237">
        <v>3.2733201532282583E-3</v>
      </c>
      <c r="Q321" s="1292">
        <v>0.55657282648356599</v>
      </c>
    </row>
    <row r="322" spans="1:17" s="212" customFormat="1" ht="15.5" x14ac:dyDescent="0.35">
      <c r="A322" s="198">
        <v>2021</v>
      </c>
      <c r="B322" s="197" t="s">
        <v>5838</v>
      </c>
      <c r="C322" s="197">
        <v>1972</v>
      </c>
      <c r="D322" s="225" t="str">
        <f t="shared" si="2"/>
        <v>2021_1972</v>
      </c>
      <c r="E322" s="1291">
        <v>0.76268840169270091</v>
      </c>
      <c r="F322" s="1280">
        <v>7.8652721881729004</v>
      </c>
      <c r="G322" s="1271">
        <v>2.1679692543423386</v>
      </c>
      <c r="H322" s="1280">
        <v>11.390368970006019</v>
      </c>
      <c r="I322" s="1271">
        <v>0.53249573238015158</v>
      </c>
      <c r="J322" s="1280">
        <v>5.2538628843426395E-2</v>
      </c>
      <c r="K322" s="1271">
        <v>2.0410282660127087E-3</v>
      </c>
      <c r="L322" s="1257">
        <v>2.0000013483926033E-3</v>
      </c>
      <c r="M322" s="1230">
        <v>2.0000013483926033E-3</v>
      </c>
      <c r="N322" s="1271">
        <v>4.94438580057839E-3</v>
      </c>
      <c r="O322" s="1257">
        <v>6.5466403064565167E-3</v>
      </c>
      <c r="P322" s="1237">
        <v>3.2733201532282583E-3</v>
      </c>
      <c r="Q322" s="1292">
        <v>0.55657282648356599</v>
      </c>
    </row>
    <row r="323" spans="1:17" s="212" customFormat="1" ht="15.5" x14ac:dyDescent="0.35">
      <c r="A323" s="198">
        <v>2021</v>
      </c>
      <c r="B323" s="197" t="s">
        <v>5838</v>
      </c>
      <c r="C323" s="197">
        <v>1973</v>
      </c>
      <c r="D323" s="225" t="str">
        <f t="shared" si="2"/>
        <v>2021_1973</v>
      </c>
      <c r="E323" s="1291">
        <v>0.76268840169270091</v>
      </c>
      <c r="F323" s="1280">
        <v>7.8652721881729004</v>
      </c>
      <c r="G323" s="1271">
        <v>2.1679692543423386</v>
      </c>
      <c r="H323" s="1280">
        <v>11.390368970006019</v>
      </c>
      <c r="I323" s="1271">
        <v>0.53249573238015158</v>
      </c>
      <c r="J323" s="1280">
        <v>5.2538628843426395E-2</v>
      </c>
      <c r="K323" s="1271">
        <v>2.0410282660127087E-3</v>
      </c>
      <c r="L323" s="1257">
        <v>2.0000013483926033E-3</v>
      </c>
      <c r="M323" s="1230">
        <v>2.0000013483926033E-3</v>
      </c>
      <c r="N323" s="1271">
        <v>4.94438580057839E-3</v>
      </c>
      <c r="O323" s="1257">
        <v>6.5466403064565167E-3</v>
      </c>
      <c r="P323" s="1237">
        <v>3.2733201532282583E-3</v>
      </c>
      <c r="Q323" s="1292">
        <v>0.55657282648356599</v>
      </c>
    </row>
    <row r="324" spans="1:17" s="212" customFormat="1" ht="15.5" x14ac:dyDescent="0.35">
      <c r="A324" s="198">
        <v>2021</v>
      </c>
      <c r="B324" s="197" t="s">
        <v>5838</v>
      </c>
      <c r="C324" s="197">
        <v>1974</v>
      </c>
      <c r="D324" s="225" t="str">
        <f t="shared" si="2"/>
        <v>2021_1974</v>
      </c>
      <c r="E324" s="1291">
        <v>0.76268840169270091</v>
      </c>
      <c r="F324" s="1280">
        <v>7.8652721881729004</v>
      </c>
      <c r="G324" s="1271">
        <v>2.1679692543423386</v>
      </c>
      <c r="H324" s="1280">
        <v>11.390368970006019</v>
      </c>
      <c r="I324" s="1271">
        <v>0.53249573238015158</v>
      </c>
      <c r="J324" s="1280">
        <v>5.2538628843426395E-2</v>
      </c>
      <c r="K324" s="1271">
        <v>2.0410282660127087E-3</v>
      </c>
      <c r="L324" s="1257">
        <v>2.0000013483926033E-3</v>
      </c>
      <c r="M324" s="1230">
        <v>2.0000013483926033E-3</v>
      </c>
      <c r="N324" s="1271">
        <v>4.94438580057839E-3</v>
      </c>
      <c r="O324" s="1257">
        <v>6.5466403064565167E-3</v>
      </c>
      <c r="P324" s="1237">
        <v>3.2733201532282583E-3</v>
      </c>
      <c r="Q324" s="1292">
        <v>0.55657282648356599</v>
      </c>
    </row>
    <row r="325" spans="1:17" s="212" customFormat="1" ht="15.5" x14ac:dyDescent="0.35">
      <c r="A325" s="198">
        <v>2021</v>
      </c>
      <c r="B325" s="197" t="s">
        <v>5838</v>
      </c>
      <c r="C325" s="197">
        <v>1975</v>
      </c>
      <c r="D325" s="225" t="str">
        <f t="shared" si="2"/>
        <v>2021_1975</v>
      </c>
      <c r="E325" s="1291">
        <v>0.76268840169270091</v>
      </c>
      <c r="F325" s="1280">
        <v>7.8652721881729004</v>
      </c>
      <c r="G325" s="1271">
        <v>2.1679692543423386</v>
      </c>
      <c r="H325" s="1280">
        <v>11.390368970006019</v>
      </c>
      <c r="I325" s="1271">
        <v>0.53249573238015158</v>
      </c>
      <c r="J325" s="1280">
        <v>5.2538628843426395E-2</v>
      </c>
      <c r="K325" s="1271">
        <v>2.0410282660127087E-3</v>
      </c>
      <c r="L325" s="1257">
        <v>2.0000013483926033E-3</v>
      </c>
      <c r="M325" s="1230">
        <v>2.0000013483926033E-3</v>
      </c>
      <c r="N325" s="1271">
        <v>4.94438580057839E-3</v>
      </c>
      <c r="O325" s="1257">
        <v>6.5466403064565167E-3</v>
      </c>
      <c r="P325" s="1237">
        <v>3.2733201532282583E-3</v>
      </c>
      <c r="Q325" s="1292">
        <v>0.55657282648356599</v>
      </c>
    </row>
    <row r="326" spans="1:17" s="212" customFormat="1" ht="15.5" x14ac:dyDescent="0.35">
      <c r="A326" s="198">
        <v>2021</v>
      </c>
      <c r="B326" s="197" t="s">
        <v>5838</v>
      </c>
      <c r="C326" s="197">
        <v>1976</v>
      </c>
      <c r="D326" s="225" t="str">
        <f t="shared" si="2"/>
        <v>2021_1976</v>
      </c>
      <c r="E326" s="1291">
        <v>0.76268840169270091</v>
      </c>
      <c r="F326" s="1280">
        <v>7.8652721881729004</v>
      </c>
      <c r="G326" s="1271">
        <v>2.1679692543423386</v>
      </c>
      <c r="H326" s="1280">
        <v>11.390368970006019</v>
      </c>
      <c r="I326" s="1271">
        <v>0.53249573238015158</v>
      </c>
      <c r="J326" s="1280">
        <v>5.2538628843426395E-2</v>
      </c>
      <c r="K326" s="1271">
        <v>2.0410282660127087E-3</v>
      </c>
      <c r="L326" s="1257">
        <v>2.0000013483926033E-3</v>
      </c>
      <c r="M326" s="1230">
        <v>2.0000013483926033E-3</v>
      </c>
      <c r="N326" s="1271">
        <v>4.94438580057839E-3</v>
      </c>
      <c r="O326" s="1257">
        <v>6.5466403064565167E-3</v>
      </c>
      <c r="P326" s="1237">
        <v>3.2733201532282583E-3</v>
      </c>
      <c r="Q326" s="1292">
        <v>0.55657282648356599</v>
      </c>
    </row>
    <row r="327" spans="1:17" s="212" customFormat="1" ht="15.5" x14ac:dyDescent="0.35">
      <c r="A327" s="198">
        <v>2021</v>
      </c>
      <c r="B327" s="197" t="s">
        <v>5838</v>
      </c>
      <c r="C327" s="197">
        <v>1977</v>
      </c>
      <c r="D327" s="225" t="str">
        <f t="shared" si="2"/>
        <v>2021_1977</v>
      </c>
      <c r="E327" s="1287">
        <v>0.76268840169270091</v>
      </c>
      <c r="F327" s="1306">
        <v>7.8652721881729004</v>
      </c>
      <c r="G327" s="1303">
        <v>2.1679692543423386</v>
      </c>
      <c r="H327" s="1306">
        <v>11.390368970006019</v>
      </c>
      <c r="I327" s="1303">
        <v>0.53249573238015158</v>
      </c>
      <c r="J327" s="1306">
        <v>5.2538628843426395E-2</v>
      </c>
      <c r="K327" s="1303">
        <v>2.0410282660127087E-3</v>
      </c>
      <c r="L327" s="1288">
        <v>2.0000013483926033E-3</v>
      </c>
      <c r="M327" s="1230">
        <v>2.0000013483926033E-3</v>
      </c>
      <c r="N327" s="1303">
        <v>4.94438580057839E-3</v>
      </c>
      <c r="O327" s="1288">
        <v>6.5466403064565167E-3</v>
      </c>
      <c r="P327" s="1237">
        <v>3.2733201532282583E-3</v>
      </c>
      <c r="Q327" s="1290">
        <v>0.55657282648356599</v>
      </c>
    </row>
    <row r="328" spans="1:17" s="212" customFormat="1" ht="15.5" x14ac:dyDescent="0.35">
      <c r="A328" s="198">
        <v>2021</v>
      </c>
      <c r="B328" s="197" t="s">
        <v>5838</v>
      </c>
      <c r="C328" s="197">
        <v>1978</v>
      </c>
      <c r="D328" s="225" t="str">
        <f t="shared" si="2"/>
        <v>2021_1978</v>
      </c>
      <c r="E328" s="1287">
        <v>0.74197863843136513</v>
      </c>
      <c r="F328" s="1306">
        <v>1.7083982299311937</v>
      </c>
      <c r="G328" s="1303">
        <v>2.2903089558030101</v>
      </c>
      <c r="H328" s="1306">
        <v>4.6216267459211773</v>
      </c>
      <c r="I328" s="1303">
        <v>0.51836151731321156</v>
      </c>
      <c r="J328" s="1306">
        <v>4.6313946136573469E-2</v>
      </c>
      <c r="K328" s="1303">
        <v>2.071225878592613E-3</v>
      </c>
      <c r="L328" s="1288">
        <v>2.0000012814346936E-3</v>
      </c>
      <c r="M328" s="1230">
        <v>2.0000012814346936E-3</v>
      </c>
      <c r="N328" s="1303">
        <v>5.5581736079470846E-3</v>
      </c>
      <c r="O328" s="1288">
        <v>7.6366951441558494E-3</v>
      </c>
      <c r="P328" s="1237">
        <v>3.8183475720779247E-3</v>
      </c>
      <c r="Q328" s="1290">
        <v>0.54179952493094974</v>
      </c>
    </row>
    <row r="329" spans="1:17" s="212" customFormat="1" ht="15.5" x14ac:dyDescent="0.35">
      <c r="A329" s="198">
        <v>2021</v>
      </c>
      <c r="B329" s="197" t="s">
        <v>5838</v>
      </c>
      <c r="C329" s="197">
        <v>1979</v>
      </c>
      <c r="D329" s="225" t="str">
        <f t="shared" si="2"/>
        <v>2021_1979</v>
      </c>
      <c r="E329" s="1287">
        <v>0.73686457467888344</v>
      </c>
      <c r="F329" s="1306">
        <v>1.752618746927713</v>
      </c>
      <c r="G329" s="1303">
        <v>2.2793263432436386</v>
      </c>
      <c r="H329" s="1306">
        <v>4.4680858962467678</v>
      </c>
      <c r="I329" s="1303">
        <v>0.51432851867772811</v>
      </c>
      <c r="J329" s="1306">
        <v>4.4753131634622099E-2</v>
      </c>
      <c r="K329" s="1303">
        <v>2.0392957002052406E-3</v>
      </c>
      <c r="L329" s="1288">
        <v>2.0000012336349811E-3</v>
      </c>
      <c r="M329" s="1230">
        <v>2.0000012336349811E-3</v>
      </c>
      <c r="N329" s="1303">
        <v>4.3990336018576064E-3</v>
      </c>
      <c r="O329" s="1288">
        <v>8.6326931383966538E-3</v>
      </c>
      <c r="P329" s="1237">
        <v>4.3163465691983269E-3</v>
      </c>
      <c r="Q329" s="1290">
        <v>0.53758417199333541</v>
      </c>
    </row>
    <row r="330" spans="1:17" s="212" customFormat="1" ht="15.5" x14ac:dyDescent="0.35">
      <c r="A330" s="198">
        <v>2021</v>
      </c>
      <c r="B330" s="197" t="s">
        <v>5838</v>
      </c>
      <c r="C330" s="197">
        <v>1980</v>
      </c>
      <c r="D330" s="225" t="str">
        <f t="shared" si="2"/>
        <v>2021_1980</v>
      </c>
      <c r="E330" s="1287">
        <v>0.31457885117659212</v>
      </c>
      <c r="F330" s="1306">
        <v>2.1809144542116261</v>
      </c>
      <c r="G330" s="1303">
        <v>2.7073787625031218</v>
      </c>
      <c r="H330" s="1306">
        <v>4.237487219577182</v>
      </c>
      <c r="I330" s="1303">
        <v>0.24942466596189011</v>
      </c>
      <c r="J330" s="1306">
        <v>3.4139710279204698E-2</v>
      </c>
      <c r="K330" s="1303">
        <v>2.2554187450879726E-3</v>
      </c>
      <c r="L330" s="1288">
        <v>2.000001063806245E-3</v>
      </c>
      <c r="M330" s="1230">
        <v>2.000001063806245E-3</v>
      </c>
      <c r="N330" s="1303">
        <v>9.9050672372787835E-3</v>
      </c>
      <c r="O330" s="1288">
        <v>1.53433965681251E-2</v>
      </c>
      <c r="P330" s="1237">
        <v>7.6716982840625498E-3</v>
      </c>
      <c r="Q330" s="1290">
        <v>0.26070254255112357</v>
      </c>
    </row>
    <row r="331" spans="1:17" s="212" customFormat="1" ht="15.5" x14ac:dyDescent="0.35">
      <c r="A331" s="198">
        <v>2021</v>
      </c>
      <c r="B331" s="197" t="s">
        <v>5838</v>
      </c>
      <c r="C331" s="197">
        <v>1981</v>
      </c>
      <c r="D331" s="225" t="str">
        <f t="shared" si="2"/>
        <v>2021_1981</v>
      </c>
      <c r="E331" s="1287">
        <v>0.34158950561771001</v>
      </c>
      <c r="F331" s="1306">
        <v>2.1680344340877795</v>
      </c>
      <c r="G331" s="1303">
        <v>1.8956386045555669</v>
      </c>
      <c r="H331" s="1306">
        <v>3.8049818382675142</v>
      </c>
      <c r="I331" s="1303">
        <v>0.27349597784362717</v>
      </c>
      <c r="J331" s="1306">
        <v>1.7469889947356172E-2</v>
      </c>
      <c r="K331" s="1303">
        <v>2.0216679103601653E-3</v>
      </c>
      <c r="L331" s="1288">
        <v>2.0000009255452616E-3</v>
      </c>
      <c r="M331" s="1230">
        <v>2.0000009255452616E-3</v>
      </c>
      <c r="N331" s="1303">
        <v>4.3794088786750264E-3</v>
      </c>
      <c r="O331" s="1288">
        <v>1.697465134482316E-2</v>
      </c>
      <c r="P331" s="1237">
        <v>8.48732567241158E-3</v>
      </c>
      <c r="Q331" s="1290">
        <v>0.28586225234128848</v>
      </c>
    </row>
    <row r="332" spans="1:17" s="212" customFormat="1" ht="15.5" x14ac:dyDescent="0.35">
      <c r="A332" s="198">
        <v>2021</v>
      </c>
      <c r="B332" s="197" t="s">
        <v>5838</v>
      </c>
      <c r="C332" s="197">
        <v>1982</v>
      </c>
      <c r="D332" s="225" t="str">
        <f t="shared" si="2"/>
        <v>2021_1982</v>
      </c>
      <c r="E332" s="1287">
        <v>0.28476647150978701</v>
      </c>
      <c r="F332" s="1306">
        <v>2.1765033499868185</v>
      </c>
      <c r="G332" s="1303">
        <v>3.4841307691252612</v>
      </c>
      <c r="H332" s="1306">
        <v>3.5843489637049579</v>
      </c>
      <c r="I332" s="1303">
        <v>0.22293727565703858</v>
      </c>
      <c r="J332" s="1306">
        <v>1.7182051827669746E-2</v>
      </c>
      <c r="K332" s="1303">
        <v>2.4864423784681081E-3</v>
      </c>
      <c r="L332" s="1288">
        <v>2.0000009108889763E-3</v>
      </c>
      <c r="M332" s="1230">
        <v>2.0000009108889763E-3</v>
      </c>
      <c r="N332" s="1303">
        <v>1.5194580522351422E-2</v>
      </c>
      <c r="O332" s="1288">
        <v>1.8727444320562413E-2</v>
      </c>
      <c r="P332" s="1237">
        <v>9.3637221602812064E-3</v>
      </c>
      <c r="Q332" s="1290">
        <v>0.23301750999274048</v>
      </c>
    </row>
    <row r="333" spans="1:17" s="212" customFormat="1" ht="15.5" x14ac:dyDescent="0.35">
      <c r="A333" s="198">
        <v>2021</v>
      </c>
      <c r="B333" s="197" t="s">
        <v>5838</v>
      </c>
      <c r="C333" s="197">
        <v>1983</v>
      </c>
      <c r="D333" s="225" t="str">
        <f t="shared" si="2"/>
        <v>2021_1983</v>
      </c>
      <c r="E333" s="1287">
        <v>0.21643674385830078</v>
      </c>
      <c r="F333" s="1306">
        <v>1.7985866344477484</v>
      </c>
      <c r="G333" s="1303">
        <v>3.587251117907249</v>
      </c>
      <c r="H333" s="1306">
        <v>3.4718980174154459</v>
      </c>
      <c r="I333" s="1303">
        <v>0.20662815493700093</v>
      </c>
      <c r="J333" s="1306">
        <v>1.7045315293282383E-2</v>
      </c>
      <c r="K333" s="1303">
        <v>2.5656343475596857E-3</v>
      </c>
      <c r="L333" s="1288">
        <v>2.0000008910605049E-3</v>
      </c>
      <c r="M333" s="1230">
        <v>2.0000008910605049E-3</v>
      </c>
      <c r="N333" s="1303">
        <v>1.7088619298533756E-2</v>
      </c>
      <c r="O333" s="1288">
        <v>1.6381042329613155E-2</v>
      </c>
      <c r="P333" s="1237">
        <v>8.1905211648065773E-3</v>
      </c>
      <c r="Q333" s="1290">
        <v>0.21597096320439413</v>
      </c>
    </row>
    <row r="334" spans="1:17" s="212" customFormat="1" ht="15.5" x14ac:dyDescent="0.35">
      <c r="A334" s="198">
        <v>2021</v>
      </c>
      <c r="B334" s="197" t="s">
        <v>5838</v>
      </c>
      <c r="C334" s="197">
        <v>1984</v>
      </c>
      <c r="D334" s="225" t="str">
        <f t="shared" si="2"/>
        <v>2021_1984</v>
      </c>
      <c r="E334" s="1287">
        <v>0.25717017196576375</v>
      </c>
      <c r="F334" s="1306">
        <v>1.3883125794981637</v>
      </c>
      <c r="G334" s="1303">
        <v>4.2161493220297386</v>
      </c>
      <c r="H334" s="1306">
        <v>3.4397801374414128</v>
      </c>
      <c r="I334" s="1303">
        <v>0.18293852804605176</v>
      </c>
      <c r="J334" s="1306">
        <v>1.7523083136647605E-2</v>
      </c>
      <c r="K334" s="1303">
        <v>2.7584818477833289E-3</v>
      </c>
      <c r="L334" s="1288">
        <v>2.0000008428179838E-3</v>
      </c>
      <c r="M334" s="1230">
        <v>2.0000008428179838E-3</v>
      </c>
      <c r="N334" s="1303">
        <v>2.1604673001780265E-2</v>
      </c>
      <c r="O334" s="1288">
        <v>1.6822284994019644E-2</v>
      </c>
      <c r="P334" s="1237">
        <v>8.4111424970098221E-3</v>
      </c>
      <c r="Q334" s="1290">
        <v>0.19121019650659826</v>
      </c>
    </row>
    <row r="335" spans="1:17" s="212" customFormat="1" ht="15.5" x14ac:dyDescent="0.35">
      <c r="A335" s="198">
        <v>2021</v>
      </c>
      <c r="B335" s="197" t="s">
        <v>5838</v>
      </c>
      <c r="C335" s="197">
        <v>1985</v>
      </c>
      <c r="D335" s="225" t="str">
        <f t="shared" si="2"/>
        <v>2021_1985</v>
      </c>
      <c r="E335" s="1287">
        <v>0.24815259787814228</v>
      </c>
      <c r="F335" s="1306">
        <v>1.3585698868158251</v>
      </c>
      <c r="G335" s="1303">
        <v>4.5731970426685074</v>
      </c>
      <c r="H335" s="1306">
        <v>3.11772916716814</v>
      </c>
      <c r="I335" s="1303">
        <v>0.18043834588254257</v>
      </c>
      <c r="J335" s="1306">
        <v>1.625422284299503E-2</v>
      </c>
      <c r="K335" s="1303">
        <v>2.8547211647867291E-3</v>
      </c>
      <c r="L335" s="1288">
        <v>2.0000009474958383E-3</v>
      </c>
      <c r="M335" s="1230">
        <v>2.0000009474958383E-3</v>
      </c>
      <c r="N335" s="1303">
        <v>2.3894457335246633E-2</v>
      </c>
      <c r="O335" s="1288">
        <v>1.691078674814538E-2</v>
      </c>
      <c r="P335" s="1237">
        <v>8.4553933740726898E-3</v>
      </c>
      <c r="Q335" s="1290">
        <v>0.18859696720004998</v>
      </c>
    </row>
    <row r="336" spans="1:17" s="212" customFormat="1" ht="15.5" x14ac:dyDescent="0.35">
      <c r="A336" s="198">
        <v>2021</v>
      </c>
      <c r="B336" s="197" t="s">
        <v>5838</v>
      </c>
      <c r="C336" s="197">
        <v>1986</v>
      </c>
      <c r="D336" s="225" t="str">
        <f t="shared" si="2"/>
        <v>2021_1986</v>
      </c>
      <c r="E336" s="1287">
        <v>0.24508436003780915</v>
      </c>
      <c r="F336" s="1306">
        <v>1.0871888995185428</v>
      </c>
      <c r="G336" s="1303">
        <v>4.7254143579911014</v>
      </c>
      <c r="H336" s="1306">
        <v>3.2098710289523216</v>
      </c>
      <c r="I336" s="1303">
        <v>0.18020517093861585</v>
      </c>
      <c r="J336" s="1306">
        <v>1.6412172155900101E-2</v>
      </c>
      <c r="K336" s="1303">
        <v>2.9013919110747965E-3</v>
      </c>
      <c r="L336" s="1288">
        <v>2.0000009392087481E-3</v>
      </c>
      <c r="M336" s="1230">
        <v>2.0000009392087481E-3</v>
      </c>
      <c r="N336" s="1303">
        <v>2.4984467986133123E-2</v>
      </c>
      <c r="O336" s="1288">
        <v>1.6190365727536949E-2</v>
      </c>
      <c r="P336" s="1237">
        <v>8.0951828637684745E-3</v>
      </c>
      <c r="Q336" s="1290">
        <v>0.18835324911985699</v>
      </c>
    </row>
    <row r="337" spans="1:17" s="212" customFormat="1" ht="15.5" x14ac:dyDescent="0.35">
      <c r="A337" s="198">
        <v>2021</v>
      </c>
      <c r="B337" s="197" t="s">
        <v>5838</v>
      </c>
      <c r="C337" s="197">
        <v>1987</v>
      </c>
      <c r="D337" s="225" t="str">
        <f t="shared" si="2"/>
        <v>2021_1987</v>
      </c>
      <c r="E337" s="1287">
        <v>0.29457788734466028</v>
      </c>
      <c r="F337" s="1306">
        <v>1.1959593350094062</v>
      </c>
      <c r="G337" s="1303">
        <v>5.0855897277329332</v>
      </c>
      <c r="H337" s="1306">
        <v>3.1037982958551078</v>
      </c>
      <c r="I337" s="1303">
        <v>0.19993859766565714</v>
      </c>
      <c r="J337" s="1306">
        <v>1.6714873485240873E-2</v>
      </c>
      <c r="K337" s="1303">
        <v>2.9677668143752527E-3</v>
      </c>
      <c r="L337" s="1288">
        <v>2.0000010753476135E-3</v>
      </c>
      <c r="M337" s="1230">
        <v>2.0000010753476135E-3</v>
      </c>
      <c r="N337" s="1303">
        <v>2.6544324329419621E-2</v>
      </c>
      <c r="O337" s="1288">
        <v>1.4421961401762388E-2</v>
      </c>
      <c r="P337" s="1237">
        <v>7.2109807008811939E-3</v>
      </c>
      <c r="Q337" s="1290">
        <v>0.20897893383771032</v>
      </c>
    </row>
    <row r="338" spans="1:17" s="212" customFormat="1" ht="15.5" x14ac:dyDescent="0.35">
      <c r="A338" s="198">
        <v>2021</v>
      </c>
      <c r="B338" s="197" t="s">
        <v>5838</v>
      </c>
      <c r="C338" s="197">
        <v>1988</v>
      </c>
      <c r="D338" s="225" t="str">
        <f t="shared" si="2"/>
        <v>2021_1988</v>
      </c>
      <c r="E338" s="1287">
        <v>0.29239922431664628</v>
      </c>
      <c r="F338" s="1306">
        <v>0.49807624168681847</v>
      </c>
      <c r="G338" s="1303">
        <v>5.1366774644212176</v>
      </c>
      <c r="H338" s="1306">
        <v>1.6495134462267125</v>
      </c>
      <c r="I338" s="1303">
        <v>0.19864351298028796</v>
      </c>
      <c r="J338" s="1306">
        <v>1.6020447287956534E-2</v>
      </c>
      <c r="K338" s="1303">
        <v>2.9769090883007194E-3</v>
      </c>
      <c r="L338" s="1288">
        <v>2.0000010960490593E-3</v>
      </c>
      <c r="M338" s="1230">
        <v>2.0000010960490593E-3</v>
      </c>
      <c r="N338" s="1303">
        <v>2.6762348280952464E-2</v>
      </c>
      <c r="O338" s="1288">
        <v>1.4363035187574572E-2</v>
      </c>
      <c r="P338" s="1237">
        <v>7.1815175937872859E-3</v>
      </c>
      <c r="Q338" s="1290">
        <v>0.20762529116972317</v>
      </c>
    </row>
    <row r="339" spans="1:17" s="212" customFormat="1" ht="15.5" x14ac:dyDescent="0.35">
      <c r="A339" s="198">
        <v>2021</v>
      </c>
      <c r="B339" s="197" t="s">
        <v>5838</v>
      </c>
      <c r="C339" s="197">
        <v>1989</v>
      </c>
      <c r="D339" s="225" t="str">
        <f t="shared" si="2"/>
        <v>2021_1989</v>
      </c>
      <c r="E339" s="1287">
        <v>0.29544857071348479</v>
      </c>
      <c r="F339" s="1306">
        <v>0.44006648365686413</v>
      </c>
      <c r="G339" s="1303">
        <v>5.0450812569769283</v>
      </c>
      <c r="H339" s="1306">
        <v>1.8754770732165575</v>
      </c>
      <c r="I339" s="1303">
        <v>0.20032535314850455</v>
      </c>
      <c r="J339" s="1306">
        <v>1.6184124781597555E-2</v>
      </c>
      <c r="K339" s="1303">
        <v>2.9577222378120629E-3</v>
      </c>
      <c r="L339" s="1288">
        <v>2.000001152869382E-3</v>
      </c>
      <c r="M339" s="1230">
        <v>2.000001152869382E-3</v>
      </c>
      <c r="N339" s="1303">
        <v>2.6311479327188789E-2</v>
      </c>
      <c r="O339" s="1288">
        <v>1.3286265819261962E-2</v>
      </c>
      <c r="P339" s="1237">
        <v>6.6431329096309812E-3</v>
      </c>
      <c r="Q339" s="1290">
        <v>0.20938317668729059</v>
      </c>
    </row>
    <row r="340" spans="1:17" s="212" customFormat="1" ht="15.5" x14ac:dyDescent="0.35">
      <c r="A340" s="198">
        <v>2021</v>
      </c>
      <c r="B340" s="197" t="s">
        <v>5838</v>
      </c>
      <c r="C340" s="197">
        <v>1990</v>
      </c>
      <c r="D340" s="225" t="str">
        <f t="shared" si="2"/>
        <v>2021_1990</v>
      </c>
      <c r="E340" s="1287">
        <v>0.29719482013621845</v>
      </c>
      <c r="F340" s="1306">
        <v>0.48359187810908943</v>
      </c>
      <c r="G340" s="1303">
        <v>5.0535198263535257</v>
      </c>
      <c r="H340" s="1306">
        <v>1.8559821620919636</v>
      </c>
      <c r="I340" s="1303">
        <v>0.20173159050985628</v>
      </c>
      <c r="J340" s="1306">
        <v>1.6352161181851739E-2</v>
      </c>
      <c r="K340" s="1303">
        <v>2.9681950843850899E-3</v>
      </c>
      <c r="L340" s="1288">
        <v>2.0000011010158996E-3</v>
      </c>
      <c r="M340" s="1230">
        <v>2.0000011010158996E-3</v>
      </c>
      <c r="N340" s="1303">
        <v>2.6555204176539098E-2</v>
      </c>
      <c r="O340" s="1288">
        <v>1.2829225514702709E-2</v>
      </c>
      <c r="P340" s="1237">
        <v>6.4146127573513545E-3</v>
      </c>
      <c r="Q340" s="1290">
        <v>0.21085299786203721</v>
      </c>
    </row>
    <row r="341" spans="1:17" s="212" customFormat="1" ht="15.5" x14ac:dyDescent="0.35">
      <c r="A341" s="198">
        <v>2021</v>
      </c>
      <c r="B341" s="197" t="s">
        <v>5838</v>
      </c>
      <c r="C341" s="197">
        <v>1991</v>
      </c>
      <c r="D341" s="225" t="str">
        <f t="shared" si="2"/>
        <v>2021_1991</v>
      </c>
      <c r="E341" s="1287">
        <v>0.37833171397821241</v>
      </c>
      <c r="F341" s="1306">
        <v>0.49573704412758401</v>
      </c>
      <c r="G341" s="1303">
        <v>8.9995043539186295</v>
      </c>
      <c r="H341" s="1306">
        <v>2.3167761307144241</v>
      </c>
      <c r="I341" s="1303">
        <v>5.6840485561377649E-2</v>
      </c>
      <c r="J341" s="1306">
        <v>9.1499663877984833E-3</v>
      </c>
      <c r="K341" s="1303">
        <v>2.9802464409914818E-3</v>
      </c>
      <c r="L341" s="1288">
        <v>2.000001133024322E-3</v>
      </c>
      <c r="M341" s="1230">
        <v>2.000001133024322E-3</v>
      </c>
      <c r="N341" s="1303">
        <v>2.6834823048921236E-2</v>
      </c>
      <c r="O341" s="1288">
        <v>1.1941007804398917E-2</v>
      </c>
      <c r="P341" s="1237">
        <v>5.9705039021994586E-3</v>
      </c>
      <c r="Q341" s="1290">
        <v>5.9410560092544085E-2</v>
      </c>
    </row>
    <row r="342" spans="1:17" s="212" customFormat="1" ht="15.5" x14ac:dyDescent="0.35">
      <c r="A342" s="198">
        <v>2021</v>
      </c>
      <c r="B342" s="197" t="s">
        <v>5838</v>
      </c>
      <c r="C342" s="197">
        <v>1992</v>
      </c>
      <c r="D342" s="225" t="str">
        <f t="shared" si="2"/>
        <v>2021_1992</v>
      </c>
      <c r="E342" s="1287">
        <v>0.37921199621204016</v>
      </c>
      <c r="F342" s="1306">
        <v>0.49756754063252356</v>
      </c>
      <c r="G342" s="1303">
        <v>8.7571242155720466</v>
      </c>
      <c r="H342" s="1306">
        <v>2.2223389983010069</v>
      </c>
      <c r="I342" s="1303">
        <v>6.132991762464049E-2</v>
      </c>
      <c r="J342" s="1306">
        <v>9.3420194021216051E-3</v>
      </c>
      <c r="K342" s="1303">
        <v>2.9532390617180632E-3</v>
      </c>
      <c r="L342" s="1288">
        <v>2.0000011832145507E-3</v>
      </c>
      <c r="M342" s="1230">
        <v>2.0000011832145507E-3</v>
      </c>
      <c r="N342" s="1303">
        <v>2.6199524226952008E-2</v>
      </c>
      <c r="O342" s="1288">
        <v>1.0023791026683122E-2</v>
      </c>
      <c r="P342" s="1237">
        <v>5.0118955133415608E-3</v>
      </c>
      <c r="Q342" s="1290">
        <v>6.4102984352147868E-2</v>
      </c>
    </row>
    <row r="343" spans="1:17" s="212" customFormat="1" ht="15.5" x14ac:dyDescent="0.35">
      <c r="A343" s="198">
        <v>2021</v>
      </c>
      <c r="B343" s="197" t="s">
        <v>5838</v>
      </c>
      <c r="C343" s="197">
        <v>1993</v>
      </c>
      <c r="D343" s="225" t="str">
        <f t="shared" si="2"/>
        <v>2021_1993</v>
      </c>
      <c r="E343" s="1287">
        <v>0.37783202396314364</v>
      </c>
      <c r="F343" s="1306">
        <v>0.50150539687395834</v>
      </c>
      <c r="G343" s="1303">
        <v>9.0276401376385049</v>
      </c>
      <c r="H343" s="1306">
        <v>2.2430081584374144</v>
      </c>
      <c r="I343" s="1303">
        <v>5.4036364249421313E-2</v>
      </c>
      <c r="J343" s="1306">
        <v>9.3558627743131079E-3</v>
      </c>
      <c r="K343" s="1303">
        <v>2.9876853056653037E-3</v>
      </c>
      <c r="L343" s="1288">
        <v>2.0000011565314453E-3</v>
      </c>
      <c r="M343" s="1230">
        <v>2.0000011565314453E-3</v>
      </c>
      <c r="N343" s="1303">
        <v>2.7010929304959318E-2</v>
      </c>
      <c r="O343" s="1288">
        <v>1.0983908075835281E-2</v>
      </c>
      <c r="P343" s="1237">
        <v>5.4919540379176407E-3</v>
      </c>
      <c r="Q343" s="1290">
        <v>5.6479648857965033E-2</v>
      </c>
    </row>
    <row r="344" spans="1:17" s="212" customFormat="1" ht="15.5" x14ac:dyDescent="0.35">
      <c r="A344" s="198">
        <v>2021</v>
      </c>
      <c r="B344" s="197" t="s">
        <v>5838</v>
      </c>
      <c r="C344" s="197">
        <v>1994</v>
      </c>
      <c r="D344" s="225" t="str">
        <f t="shared" si="2"/>
        <v>2021_1994</v>
      </c>
      <c r="E344" s="1287">
        <v>0.35870330093094543</v>
      </c>
      <c r="F344" s="1306">
        <v>0.50125038604747796</v>
      </c>
      <c r="G344" s="1303">
        <v>8.6146547794761137</v>
      </c>
      <c r="H344" s="1306">
        <v>2.1004233641031287</v>
      </c>
      <c r="I344" s="1303">
        <v>5.414575717513765E-2</v>
      </c>
      <c r="J344" s="1306">
        <v>9.5761187259017742E-3</v>
      </c>
      <c r="K344" s="1303">
        <v>2.9281042560477186E-3</v>
      </c>
      <c r="L344" s="1288">
        <v>2.0000013443383204E-3</v>
      </c>
      <c r="M344" s="1230">
        <v>2.0000013443383204E-3</v>
      </c>
      <c r="N344" s="1303">
        <v>2.5603725325906952E-2</v>
      </c>
      <c r="O344" s="1288">
        <v>8.1147843814399715E-3</v>
      </c>
      <c r="P344" s="1237">
        <v>4.0573921907199858E-3</v>
      </c>
      <c r="Q344" s="1290">
        <v>5.6593988046358325E-2</v>
      </c>
    </row>
    <row r="345" spans="1:17" s="212" customFormat="1" ht="15.5" x14ac:dyDescent="0.35">
      <c r="A345" s="198">
        <v>2021</v>
      </c>
      <c r="B345" s="197" t="s">
        <v>5838</v>
      </c>
      <c r="C345" s="197">
        <v>1995</v>
      </c>
      <c r="D345" s="225" t="str">
        <f t="shared" si="2"/>
        <v>2021_1995</v>
      </c>
      <c r="E345" s="1287">
        <v>0.37170292015899237</v>
      </c>
      <c r="F345" s="1306">
        <v>0.37185997629666862</v>
      </c>
      <c r="G345" s="1303">
        <v>9.1531451530329324</v>
      </c>
      <c r="H345" s="1306">
        <v>1.6520692998714666</v>
      </c>
      <c r="I345" s="1303">
        <v>5.3639192980177386E-2</v>
      </c>
      <c r="J345" s="1306">
        <v>8.609341103443989E-3</v>
      </c>
      <c r="K345" s="1303">
        <v>2.9894063818699623E-3</v>
      </c>
      <c r="L345" s="1288">
        <v>2.0000012293272494E-3</v>
      </c>
      <c r="M345" s="1230">
        <v>2.0000012293272494E-3</v>
      </c>
      <c r="N345" s="1303">
        <v>2.7051776778134924E-2</v>
      </c>
      <c r="O345" s="1288">
        <v>1.0334722125543268E-2</v>
      </c>
      <c r="P345" s="1237">
        <v>5.1673610627716339E-3</v>
      </c>
      <c r="Q345" s="1290">
        <v>5.6064519266347354E-2</v>
      </c>
    </row>
    <row r="346" spans="1:17" s="212" customFormat="1" ht="15.5" x14ac:dyDescent="0.35">
      <c r="A346" s="198">
        <v>2021</v>
      </c>
      <c r="B346" s="197" t="s">
        <v>5838</v>
      </c>
      <c r="C346" s="197">
        <v>1996</v>
      </c>
      <c r="D346" s="225" t="str">
        <f t="shared" si="2"/>
        <v>2021_1996</v>
      </c>
      <c r="E346" s="1287">
        <v>0.37460237996912321</v>
      </c>
      <c r="F346" s="1306">
        <v>0.12676788761317476</v>
      </c>
      <c r="G346" s="1303">
        <v>9.1582097967127112</v>
      </c>
      <c r="H346" s="1306">
        <v>0.98638937036020224</v>
      </c>
      <c r="I346" s="1303">
        <v>5.388283509510805E-2</v>
      </c>
      <c r="J346" s="1306">
        <v>2.6908747299050312E-3</v>
      </c>
      <c r="K346" s="1303">
        <v>2.9937306811994046E-3</v>
      </c>
      <c r="L346" s="1288">
        <v>2.0000012174249222E-3</v>
      </c>
      <c r="M346" s="1230">
        <v>2.0000012174249222E-3</v>
      </c>
      <c r="N346" s="1303">
        <v>2.7152157671794883E-2</v>
      </c>
      <c r="O346" s="1288">
        <v>1.0119627872650604E-2</v>
      </c>
      <c r="P346" s="1237">
        <v>5.0598139363253018E-3</v>
      </c>
      <c r="Q346" s="1290">
        <v>5.6319177796569253E-2</v>
      </c>
    </row>
    <row r="347" spans="1:17" s="212" customFormat="1" ht="15.5" x14ac:dyDescent="0.35">
      <c r="A347" s="198">
        <v>2021</v>
      </c>
      <c r="B347" s="197" t="s">
        <v>5838</v>
      </c>
      <c r="C347" s="197">
        <v>1997</v>
      </c>
      <c r="D347" s="225" t="str">
        <f t="shared" si="2"/>
        <v>2021_1997</v>
      </c>
      <c r="E347" s="1287">
        <v>0.3769192111240422</v>
      </c>
      <c r="F347" s="1306">
        <v>0.12757392722253602</v>
      </c>
      <c r="G347" s="1303">
        <v>9.1695919608673453</v>
      </c>
      <c r="H347" s="1306">
        <v>0.99384930062566135</v>
      </c>
      <c r="I347" s="1303">
        <v>5.4050870168196312E-2</v>
      </c>
      <c r="J347" s="1306">
        <v>2.6925795586075444E-3</v>
      </c>
      <c r="K347" s="1303">
        <v>2.9979348029144401E-3</v>
      </c>
      <c r="L347" s="1288">
        <v>2.0000012056397131E-3</v>
      </c>
      <c r="M347" s="1230">
        <v>2.0000012056397131E-3</v>
      </c>
      <c r="N347" s="1303">
        <v>2.7251605596697419E-2</v>
      </c>
      <c r="O347" s="1288">
        <v>9.9008644095103047E-3</v>
      </c>
      <c r="P347" s="1237">
        <v>4.9504322047551523E-3</v>
      </c>
      <c r="Q347" s="1290">
        <v>5.6494810670018027E-2</v>
      </c>
    </row>
    <row r="348" spans="1:17" s="212" customFormat="1" ht="15.5" x14ac:dyDescent="0.35">
      <c r="A348" s="198">
        <v>2021</v>
      </c>
      <c r="B348" s="197" t="s">
        <v>5838</v>
      </c>
      <c r="C348" s="197">
        <v>1998</v>
      </c>
      <c r="D348" s="225" t="str">
        <f t="shared" si="2"/>
        <v>2021_1998</v>
      </c>
      <c r="E348" s="1287">
        <v>0.37558713578832342</v>
      </c>
      <c r="F348" s="1306">
        <v>0.13050837532458734</v>
      </c>
      <c r="G348" s="1303">
        <v>9.17549596618362</v>
      </c>
      <c r="H348" s="1306">
        <v>1.0148041474163552</v>
      </c>
      <c r="I348" s="1303">
        <v>5.3889311293001632E-2</v>
      </c>
      <c r="J348" s="1306">
        <v>2.7363066030433674E-3</v>
      </c>
      <c r="K348" s="1303">
        <v>2.9978293506214794E-3</v>
      </c>
      <c r="L348" s="1288">
        <v>2.0000012944165028E-3</v>
      </c>
      <c r="M348" s="1230">
        <v>2.0000012944165028E-3</v>
      </c>
      <c r="N348" s="1303">
        <v>2.7248405630368375E-2</v>
      </c>
      <c r="O348" s="1288">
        <v>8.2818778696595371E-3</v>
      </c>
      <c r="P348" s="1237">
        <v>4.1409389348297685E-3</v>
      </c>
      <c r="Q348" s="1290">
        <v>5.6325946819393992E-2</v>
      </c>
    </row>
    <row r="349" spans="1:17" s="212" customFormat="1" ht="15.5" x14ac:dyDescent="0.35">
      <c r="A349" s="198">
        <v>2021</v>
      </c>
      <c r="B349" s="197" t="s">
        <v>5838</v>
      </c>
      <c r="C349" s="197">
        <v>1999</v>
      </c>
      <c r="D349" s="225" t="str">
        <f t="shared" si="2"/>
        <v>2021_1999</v>
      </c>
      <c r="E349" s="1287">
        <v>0.37455171281742045</v>
      </c>
      <c r="F349" s="1306">
        <v>0.12786143267457134</v>
      </c>
      <c r="G349" s="1303">
        <v>9.1833049946713867</v>
      </c>
      <c r="H349" s="1306">
        <v>1.0022651758428034</v>
      </c>
      <c r="I349" s="1303">
        <v>5.3765809473372048E-2</v>
      </c>
      <c r="J349" s="1306">
        <v>2.7655722276889202E-3</v>
      </c>
      <c r="K349" s="1303">
        <v>2.9988609578329327E-3</v>
      </c>
      <c r="L349" s="1288">
        <v>2.0000013565430576E-3</v>
      </c>
      <c r="M349" s="1230">
        <v>2.0000013565430576E-3</v>
      </c>
      <c r="N349" s="1303">
        <v>2.7273313971763132E-2</v>
      </c>
      <c r="O349" s="1288">
        <v>7.8650403546598052E-3</v>
      </c>
      <c r="P349" s="1237">
        <v>3.9325201773299026E-3</v>
      </c>
      <c r="Q349" s="1290">
        <v>5.6196860795511873E-2</v>
      </c>
    </row>
    <row r="350" spans="1:17" s="212" customFormat="1" ht="15.5" x14ac:dyDescent="0.35">
      <c r="A350" s="198">
        <v>2021</v>
      </c>
      <c r="B350" s="197" t="s">
        <v>5838</v>
      </c>
      <c r="C350" s="197">
        <v>2000</v>
      </c>
      <c r="D350" s="225" t="str">
        <f t="shared" si="2"/>
        <v>2021_2000</v>
      </c>
      <c r="E350" s="1287">
        <v>0.37051113956697362</v>
      </c>
      <c r="F350" s="1306">
        <v>0.12182152917369832</v>
      </c>
      <c r="G350" s="1303">
        <v>9.2164300951604652</v>
      </c>
      <c r="H350" s="1306">
        <v>0.96810592584963118</v>
      </c>
      <c r="I350" s="1303">
        <v>5.3249557781978263E-2</v>
      </c>
      <c r="J350" s="1306">
        <v>2.7681131705604768E-3</v>
      </c>
      <c r="K350" s="1303">
        <v>2.9996788826059792E-3</v>
      </c>
      <c r="L350" s="1288">
        <v>2.0000014149196342E-3</v>
      </c>
      <c r="M350" s="1230">
        <v>2.0000014149196342E-3</v>
      </c>
      <c r="N350" s="1303">
        <v>2.7292381188889298E-2</v>
      </c>
      <c r="O350" s="1288">
        <v>7.9774555244447615E-3</v>
      </c>
      <c r="P350" s="1237">
        <v>3.9887277622223808E-3</v>
      </c>
      <c r="Q350" s="1290">
        <v>5.5657266493466313E-2</v>
      </c>
    </row>
    <row r="351" spans="1:17" s="212" customFormat="1" ht="15.5" x14ac:dyDescent="0.35">
      <c r="A351" s="198">
        <v>2021</v>
      </c>
      <c r="B351" s="197" t="s">
        <v>5838</v>
      </c>
      <c r="C351" s="197">
        <v>2001</v>
      </c>
      <c r="D351" s="225" t="str">
        <f t="shared" si="2"/>
        <v>2021_2001</v>
      </c>
      <c r="E351" s="1287">
        <v>0.36903262529996361</v>
      </c>
      <c r="F351" s="1306">
        <v>0.11704177909334335</v>
      </c>
      <c r="G351" s="1303">
        <v>9.1792880798191518</v>
      </c>
      <c r="H351" s="1306">
        <v>0.93251302718178741</v>
      </c>
      <c r="I351" s="1303">
        <v>5.3160282688829955E-2</v>
      </c>
      <c r="J351" s="1306">
        <v>2.7934229936727893E-3</v>
      </c>
      <c r="K351" s="1303">
        <v>2.9999014479605728E-3</v>
      </c>
      <c r="L351" s="1288">
        <v>2.0000014032487677E-3</v>
      </c>
      <c r="M351" s="1230">
        <v>2.0000014032487677E-3</v>
      </c>
      <c r="N351" s="1303">
        <v>2.7297686191960595E-2</v>
      </c>
      <c r="O351" s="1288">
        <v>7.2860761241235073E-3</v>
      </c>
      <c r="P351" s="1237">
        <v>3.6430380620617537E-3</v>
      </c>
      <c r="Q351" s="1290">
        <v>5.5563954776758073E-2</v>
      </c>
    </row>
    <row r="352" spans="1:17" s="212" customFormat="1" ht="15.5" x14ac:dyDescent="0.35">
      <c r="A352" s="198">
        <v>2021</v>
      </c>
      <c r="B352" s="197" t="s">
        <v>5838</v>
      </c>
      <c r="C352" s="197">
        <v>2002</v>
      </c>
      <c r="D352" s="225" t="str">
        <f t="shared" si="2"/>
        <v>2021_2002</v>
      </c>
      <c r="E352" s="1287">
        <v>0.28369804348940442</v>
      </c>
      <c r="F352" s="1306">
        <v>0.11481494875266837</v>
      </c>
      <c r="G352" s="1303">
        <v>7.0974352598380612</v>
      </c>
      <c r="H352" s="1306">
        <v>0.89084994037319065</v>
      </c>
      <c r="I352" s="1303">
        <v>5.3373049437469365E-2</v>
      </c>
      <c r="J352" s="1306">
        <v>2.8108183750899414E-3</v>
      </c>
      <c r="K352" s="1303">
        <v>2.9999030848978296E-3</v>
      </c>
      <c r="L352" s="1288">
        <v>2.0000014854860341E-3</v>
      </c>
      <c r="M352" s="1230">
        <v>2.0000014854860341E-3</v>
      </c>
      <c r="N352" s="1303">
        <v>2.7297720241181548E-2</v>
      </c>
      <c r="O352" s="1288">
        <v>6.7174249952515292E-3</v>
      </c>
      <c r="P352" s="1237">
        <v>3.3587124976257646E-3</v>
      </c>
      <c r="Q352" s="1290">
        <v>5.5786341893632602E-2</v>
      </c>
    </row>
    <row r="353" spans="1:17" s="212" customFormat="1" ht="15.5" x14ac:dyDescent="0.35">
      <c r="A353" s="198">
        <v>2021</v>
      </c>
      <c r="B353" s="197" t="s">
        <v>5838</v>
      </c>
      <c r="C353" s="197">
        <v>2003</v>
      </c>
      <c r="D353" s="225" t="str">
        <f t="shared" si="2"/>
        <v>2021_2003</v>
      </c>
      <c r="E353" s="1287">
        <v>0.27924845332197518</v>
      </c>
      <c r="F353" s="1306">
        <v>9.2328832055337026E-2</v>
      </c>
      <c r="G353" s="1303">
        <v>7.1175200595964849</v>
      </c>
      <c r="H353" s="1306">
        <v>0.68362019110839467</v>
      </c>
      <c r="I353" s="1303">
        <v>5.2740950931575103E-2</v>
      </c>
      <c r="J353" s="1306">
        <v>2.8004388903074499E-3</v>
      </c>
      <c r="K353" s="1303">
        <v>2.9999200206704754E-3</v>
      </c>
      <c r="L353" s="1288">
        <v>2.0000015116939151E-3</v>
      </c>
      <c r="M353" s="1230">
        <v>2.0000015116939151E-3</v>
      </c>
      <c r="N353" s="1303">
        <v>2.729814547330589E-2</v>
      </c>
      <c r="O353" s="1288">
        <v>7.043787252392809E-3</v>
      </c>
      <c r="P353" s="1237">
        <v>3.5218936261964045E-3</v>
      </c>
      <c r="Q353" s="1290">
        <v>5.5125662698197256E-2</v>
      </c>
    </row>
    <row r="354" spans="1:17" s="212" customFormat="1" ht="15.5" x14ac:dyDescent="0.35">
      <c r="A354" s="198">
        <v>2021</v>
      </c>
      <c r="B354" s="197" t="s">
        <v>5838</v>
      </c>
      <c r="C354" s="197">
        <v>2004</v>
      </c>
      <c r="D354" s="225" t="str">
        <f t="shared" si="2"/>
        <v>2021_2004</v>
      </c>
      <c r="E354" s="1287">
        <v>0.56935249908739671</v>
      </c>
      <c r="F354" s="1306">
        <v>1.7675325268296987E-2</v>
      </c>
      <c r="G354" s="1303">
        <v>4.1910164646191523</v>
      </c>
      <c r="H354" s="1306">
        <v>0.11364029489323821</v>
      </c>
      <c r="I354" s="1303">
        <v>0.15007880090686232</v>
      </c>
      <c r="J354" s="1306">
        <v>1.8761864880590025E-4</v>
      </c>
      <c r="K354" s="1303">
        <v>2.9988607781848606E-3</v>
      </c>
      <c r="L354" s="1288">
        <v>2.0000015923963403E-3</v>
      </c>
      <c r="M354" s="1230">
        <v>2.0000015923963403E-3</v>
      </c>
      <c r="N354" s="1303">
        <v>2.7273100050006695E-2</v>
      </c>
      <c r="O354" s="1288">
        <v>6.4717692976748644E-3</v>
      </c>
      <c r="P354" s="1237">
        <v>3.2358846488374322E-3</v>
      </c>
      <c r="Q354" s="1290">
        <v>0.15686469831905583</v>
      </c>
    </row>
    <row r="355" spans="1:17" s="212" customFormat="1" ht="15.5" x14ac:dyDescent="0.35">
      <c r="A355" s="198">
        <v>2021</v>
      </c>
      <c r="B355" s="197" t="s">
        <v>5838</v>
      </c>
      <c r="C355" s="197">
        <v>2005</v>
      </c>
      <c r="D355" s="225" t="str">
        <f t="shared" si="2"/>
        <v>2021_2005</v>
      </c>
      <c r="E355" s="1287">
        <v>0.51571137110986454</v>
      </c>
      <c r="F355" s="1306">
        <v>1.5634777971110153E-2</v>
      </c>
      <c r="G355" s="1303">
        <v>3.9521130589760989</v>
      </c>
      <c r="H355" s="1306">
        <v>9.7057021243595817E-2</v>
      </c>
      <c r="I355" s="1303">
        <v>0.13939281450075905</v>
      </c>
      <c r="J355" s="1306">
        <v>1.8795376910574023E-4</v>
      </c>
      <c r="K355" s="1303">
        <v>2.9033654238315382E-3</v>
      </c>
      <c r="L355" s="1288">
        <v>2.000001604105405E-3</v>
      </c>
      <c r="M355" s="1230">
        <v>2.000001604105405E-3</v>
      </c>
      <c r="N355" s="1303">
        <v>2.5005430282134106E-2</v>
      </c>
      <c r="O355" s="1288">
        <v>5.9396228069101839E-3</v>
      </c>
      <c r="P355" s="1237">
        <v>2.969811403455092E-3</v>
      </c>
      <c r="Q355" s="1290">
        <v>0.14569553902602961</v>
      </c>
    </row>
    <row r="356" spans="1:17" s="212" customFormat="1" ht="15.5" x14ac:dyDescent="0.35">
      <c r="A356" s="198">
        <v>2021</v>
      </c>
      <c r="B356" s="197" t="s">
        <v>5838</v>
      </c>
      <c r="C356" s="197">
        <v>2006</v>
      </c>
      <c r="D356" s="225" t="str">
        <f t="shared" si="2"/>
        <v>2021_2006</v>
      </c>
      <c r="E356" s="1287">
        <v>0.52315151741689392</v>
      </c>
      <c r="F356" s="1306">
        <v>6.2847150632988165E-3</v>
      </c>
      <c r="G356" s="1303">
        <v>4.0311098910202139</v>
      </c>
      <c r="H356" s="1306">
        <v>6.3905434109191459E-2</v>
      </c>
      <c r="I356" s="1303">
        <v>0.14124039718453521</v>
      </c>
      <c r="J356" s="1306">
        <v>1.8337871682320056E-4</v>
      </c>
      <c r="K356" s="1303">
        <v>2.9409582540502145E-3</v>
      </c>
      <c r="L356" s="1288">
        <v>2.0000015133712569E-3</v>
      </c>
      <c r="M356" s="1230">
        <v>2.0000015133712569E-3</v>
      </c>
      <c r="N356" s="1303">
        <v>2.5896037159309531E-2</v>
      </c>
      <c r="O356" s="1288">
        <v>8.5013380380762876E-3</v>
      </c>
      <c r="P356" s="1237">
        <v>4.2506690190381438E-3</v>
      </c>
      <c r="Q356" s="1290">
        <v>0.14762666120023973</v>
      </c>
    </row>
    <row r="357" spans="1:17" s="212" customFormat="1" ht="15.5" x14ac:dyDescent="0.35">
      <c r="A357" s="198">
        <v>2021</v>
      </c>
      <c r="B357" s="197" t="s">
        <v>5838</v>
      </c>
      <c r="C357" s="197">
        <v>2007</v>
      </c>
      <c r="D357" s="225" t="str">
        <f t="shared" si="2"/>
        <v>2021_2007</v>
      </c>
      <c r="E357" s="1287">
        <v>0.28092591457205324</v>
      </c>
      <c r="F357" s="1306">
        <v>8.2903465378440077E-3</v>
      </c>
      <c r="G357" s="1303">
        <v>2.1870408416752203</v>
      </c>
      <c r="H357" s="1306">
        <v>5.6598035668839128E-2</v>
      </c>
      <c r="I357" s="1303">
        <v>7.4874913655234271E-2</v>
      </c>
      <c r="J357" s="1306">
        <v>1.8717245473985164E-4</v>
      </c>
      <c r="K357" s="1303">
        <v>2.9051465378082892E-3</v>
      </c>
      <c r="L357" s="1288">
        <v>2.000001526113879E-3</v>
      </c>
      <c r="M357" s="1230">
        <v>2.000001526113879E-3</v>
      </c>
      <c r="N357" s="1303">
        <v>2.5042386933959371E-2</v>
      </c>
      <c r="O357" s="1288">
        <v>6.0846357181025259E-3</v>
      </c>
      <c r="P357" s="1237">
        <v>3.042317859051263E-3</v>
      </c>
      <c r="Q357" s="1290">
        <v>7.826042499821545E-2</v>
      </c>
    </row>
    <row r="358" spans="1:17" s="212" customFormat="1" ht="15.5" x14ac:dyDescent="0.35">
      <c r="A358" s="198">
        <v>2021</v>
      </c>
      <c r="B358" s="197" t="s">
        <v>5838</v>
      </c>
      <c r="C358" s="197">
        <v>2008</v>
      </c>
      <c r="D358" s="225" t="str">
        <f t="shared" si="2"/>
        <v>2021_2008</v>
      </c>
      <c r="E358" s="1287">
        <v>0.2858271242351218</v>
      </c>
      <c r="F358" s="1306">
        <v>7.7868539918251314E-3</v>
      </c>
      <c r="G358" s="1303">
        <v>2.2648809173363511</v>
      </c>
      <c r="H358" s="1306">
        <v>4.3708868807138604E-2</v>
      </c>
      <c r="I358" s="1303">
        <v>7.6503194316624237E-2</v>
      </c>
      <c r="J358" s="1306">
        <v>2.121502045405442E-4</v>
      </c>
      <c r="K358" s="1303">
        <v>2.9434436172597056E-3</v>
      </c>
      <c r="L358" s="1288">
        <v>2.0000016916279172E-3</v>
      </c>
      <c r="M358" s="1230">
        <v>2.0000016916279172E-3</v>
      </c>
      <c r="N358" s="1303">
        <v>2.5953095684196226E-2</v>
      </c>
      <c r="O358" s="1288">
        <v>5.9494772827883135E-3</v>
      </c>
      <c r="P358" s="1237">
        <v>2.9747386413941567E-3</v>
      </c>
      <c r="Q358" s="1290">
        <v>7.996232928572504E-2</v>
      </c>
    </row>
    <row r="359" spans="1:17" s="212" customFormat="1" ht="15.5" x14ac:dyDescent="0.35">
      <c r="A359" s="198">
        <v>2021</v>
      </c>
      <c r="B359" s="197" t="s">
        <v>5838</v>
      </c>
      <c r="C359" s="197">
        <v>2009</v>
      </c>
      <c r="D359" s="225" t="str">
        <f t="shared" si="2"/>
        <v>2021_2009</v>
      </c>
      <c r="E359" s="1287">
        <v>0.26190057500464597</v>
      </c>
      <c r="F359" s="1306">
        <v>7.4984496369840392E-3</v>
      </c>
      <c r="G359" s="1303">
        <v>2.0844991051986144</v>
      </c>
      <c r="H359" s="1306">
        <v>3.3332075345204944E-2</v>
      </c>
      <c r="I359" s="1303">
        <v>7.0325137958615738E-2</v>
      </c>
      <c r="J359" s="1306">
        <v>2.4103858702602456E-4</v>
      </c>
      <c r="K359" s="1303">
        <v>2.8642146345211534E-3</v>
      </c>
      <c r="L359" s="1288">
        <v>2.0000017340814874E-3</v>
      </c>
      <c r="M359" s="1230">
        <v>2.0000017340814874E-3</v>
      </c>
      <c r="N359" s="1303">
        <v>2.4064267193517327E-2</v>
      </c>
      <c r="O359" s="1288">
        <v>4.6795746520619614E-3</v>
      </c>
      <c r="P359" s="1237">
        <v>2.3397873260309807E-3</v>
      </c>
      <c r="Q359" s="1290">
        <v>7.3504928633926395E-2</v>
      </c>
    </row>
    <row r="360" spans="1:17" s="212" customFormat="1" ht="15.5" x14ac:dyDescent="0.35">
      <c r="A360" s="198">
        <v>2021</v>
      </c>
      <c r="B360" s="197" t="s">
        <v>5838</v>
      </c>
      <c r="C360" s="197">
        <v>2010</v>
      </c>
      <c r="D360" s="225" t="str">
        <f t="shared" si="2"/>
        <v>2021_2010</v>
      </c>
      <c r="E360" s="1287">
        <v>5.5856535562381723E-2</v>
      </c>
      <c r="F360" s="1306">
        <v>6.6890392409424109E-3</v>
      </c>
      <c r="G360" s="1303">
        <v>0.4427025145740397</v>
      </c>
      <c r="H360" s="1306">
        <v>3.0468843006533887E-2</v>
      </c>
      <c r="I360" s="1303">
        <v>1.3249799922676393E-2</v>
      </c>
      <c r="J360" s="1306">
        <v>2.9687215743928486E-4</v>
      </c>
      <c r="K360" s="1303">
        <v>2.715333771271671E-3</v>
      </c>
      <c r="L360" s="1288">
        <v>2.0000018257053764E-3</v>
      </c>
      <c r="M360" s="1230">
        <v>2.0000018257053764E-3</v>
      </c>
      <c r="N360" s="1303">
        <v>2.0497911891237355E-2</v>
      </c>
      <c r="O360" s="1288">
        <v>4.0113688897192986E-3</v>
      </c>
      <c r="P360" s="1237">
        <v>2.0056844448596493E-3</v>
      </c>
      <c r="Q360" s="1290">
        <v>1.3848897080063418E-2</v>
      </c>
    </row>
    <row r="361" spans="1:17" s="212" customFormat="1" ht="15.5" x14ac:dyDescent="0.35">
      <c r="A361" s="198">
        <v>2021</v>
      </c>
      <c r="B361" s="197" t="s">
        <v>5838</v>
      </c>
      <c r="C361" s="197">
        <v>2011</v>
      </c>
      <c r="D361" s="225" t="str">
        <f t="shared" si="2"/>
        <v>2021_2011</v>
      </c>
      <c r="E361" s="1287">
        <v>6.1611167783808894E-2</v>
      </c>
      <c r="F361" s="1306">
        <v>6.6340954060266208E-3</v>
      </c>
      <c r="G361" s="1303">
        <v>0.49778421456763683</v>
      </c>
      <c r="H361" s="1306">
        <v>2.9588589085276784E-2</v>
      </c>
      <c r="I361" s="1303">
        <v>1.3937123926182094E-2</v>
      </c>
      <c r="J361" s="1306">
        <v>3.9656113586202928E-4</v>
      </c>
      <c r="K361" s="1303">
        <v>2.8384073592368077E-3</v>
      </c>
      <c r="L361" s="1288">
        <v>2.0000017722411768E-3</v>
      </c>
      <c r="M361" s="1230">
        <v>2.0000017722411768E-3</v>
      </c>
      <c r="N361" s="1303">
        <v>2.3440488268548301E-2</v>
      </c>
      <c r="O361" s="1288">
        <v>4.7359210563257832E-3</v>
      </c>
      <c r="P361" s="1237">
        <v>2.3679605281628916E-3</v>
      </c>
      <c r="Q361" s="1290">
        <v>1.4567298825052552E-2</v>
      </c>
    </row>
    <row r="362" spans="1:17" s="212" customFormat="1" ht="15.5" x14ac:dyDescent="0.35">
      <c r="A362" s="198">
        <v>2021</v>
      </c>
      <c r="B362" s="197" t="s">
        <v>5838</v>
      </c>
      <c r="C362" s="197">
        <v>2012</v>
      </c>
      <c r="D362" s="225" t="str">
        <f t="shared" si="2"/>
        <v>2021_2012</v>
      </c>
      <c r="E362" s="1287">
        <v>4.309685623249792E-2</v>
      </c>
      <c r="F362" s="1306">
        <v>6.1838852422119728E-3</v>
      </c>
      <c r="G362" s="1303">
        <v>0.31530699175768828</v>
      </c>
      <c r="H362" s="1306">
        <v>2.7738055539057668E-2</v>
      </c>
      <c r="I362" s="1303">
        <v>9.9949661355262717E-3</v>
      </c>
      <c r="J362" s="1306">
        <v>5.7617589808583026E-4</v>
      </c>
      <c r="K362" s="1303">
        <v>2.5301577564967497E-3</v>
      </c>
      <c r="L362" s="1288">
        <v>2.0000018217597119E-3</v>
      </c>
      <c r="M362" s="1230">
        <v>2.0000018217597119E-3</v>
      </c>
      <c r="N362" s="1303">
        <v>1.600823309671227E-2</v>
      </c>
      <c r="O362" s="1288">
        <v>5.0952267142460898E-3</v>
      </c>
      <c r="P362" s="1237">
        <v>2.5476133571230449E-3</v>
      </c>
      <c r="Q362" s="1290">
        <v>1.0446894152169416E-2</v>
      </c>
    </row>
    <row r="363" spans="1:17" s="212" customFormat="1" ht="15.5" x14ac:dyDescent="0.35">
      <c r="A363" s="198">
        <v>2021</v>
      </c>
      <c r="B363" s="197" t="s">
        <v>5838</v>
      </c>
      <c r="C363" s="197">
        <v>2013</v>
      </c>
      <c r="D363" s="225" t="str">
        <f t="shared" si="2"/>
        <v>2021_2013</v>
      </c>
      <c r="E363" s="1287">
        <v>5.7275597958748238E-2</v>
      </c>
      <c r="F363" s="1306">
        <v>6.6359250667386085E-3</v>
      </c>
      <c r="G363" s="1303">
        <v>0.44427500247812257</v>
      </c>
      <c r="H363" s="1306">
        <v>2.764566085340589E-2</v>
      </c>
      <c r="I363" s="1303">
        <v>1.203213603565516E-2</v>
      </c>
      <c r="J363" s="1306">
        <v>8.6084906325996141E-4</v>
      </c>
      <c r="K363" s="1303">
        <v>2.7955586020340312E-3</v>
      </c>
      <c r="L363" s="1288">
        <v>2.0000018155222109E-3</v>
      </c>
      <c r="M363" s="1230">
        <v>2.0000018155222109E-3</v>
      </c>
      <c r="N363" s="1303">
        <v>2.2391814951800908E-2</v>
      </c>
      <c r="O363" s="1288">
        <v>5.0992328511056517E-3</v>
      </c>
      <c r="P363" s="1237">
        <v>2.5496164255528258E-3</v>
      </c>
      <c r="Q363" s="1290">
        <v>1.2576175835374584E-2</v>
      </c>
    </row>
    <row r="364" spans="1:17" s="212" customFormat="1" ht="15.5" x14ac:dyDescent="0.35">
      <c r="A364" s="198">
        <v>2021</v>
      </c>
      <c r="B364" s="197" t="s">
        <v>5838</v>
      </c>
      <c r="C364" s="197">
        <v>2014</v>
      </c>
      <c r="D364" s="225" t="str">
        <f t="shared" si="2"/>
        <v>2021_2014</v>
      </c>
      <c r="E364" s="1287">
        <v>4.7479452144980588E-2</v>
      </c>
      <c r="F364" s="1306">
        <v>6.6132357131640047E-3</v>
      </c>
      <c r="G364" s="1303">
        <v>0.34943702298242041</v>
      </c>
      <c r="H364" s="1306">
        <v>2.6639691434026419E-2</v>
      </c>
      <c r="I364" s="1303">
        <v>9.8357205033494915E-3</v>
      </c>
      <c r="J364" s="1306">
        <v>1.2135709750817224E-3</v>
      </c>
      <c r="K364" s="1303">
        <v>2.6402321417365007E-3</v>
      </c>
      <c r="L364" s="1288">
        <v>2.0000018142200811E-3</v>
      </c>
      <c r="M364" s="1230">
        <v>2.0000018142200811E-3</v>
      </c>
      <c r="N364" s="1303">
        <v>1.8619790461674574E-2</v>
      </c>
      <c r="O364" s="1288">
        <v>4.3063007788530106E-3</v>
      </c>
      <c r="P364" s="1237">
        <v>2.1531503894265053E-3</v>
      </c>
      <c r="Q364" s="1290">
        <v>1.028044813914763E-2</v>
      </c>
    </row>
    <row r="365" spans="1:17" s="212" customFormat="1" ht="15.5" x14ac:dyDescent="0.35">
      <c r="A365" s="198">
        <v>2021</v>
      </c>
      <c r="B365" s="197" t="s">
        <v>5838</v>
      </c>
      <c r="C365" s="197">
        <v>2015</v>
      </c>
      <c r="D365" s="225" t="str">
        <f t="shared" si="2"/>
        <v>2021_2015</v>
      </c>
      <c r="E365" s="1287">
        <v>4.2604306907247771E-2</v>
      </c>
      <c r="F365" s="1306">
        <v>6.3516672314034009E-3</v>
      </c>
      <c r="G365" s="1303">
        <v>0.30369853255450163</v>
      </c>
      <c r="H365" s="1306">
        <v>2.4846518868655559E-2</v>
      </c>
      <c r="I365" s="1303">
        <v>8.5624849434691903E-3</v>
      </c>
      <c r="J365" s="1306">
        <v>1.5076557470344507E-3</v>
      </c>
      <c r="K365" s="1303">
        <v>2.576449506642643E-3</v>
      </c>
      <c r="L365" s="1288">
        <v>2.0000017870461699E-3</v>
      </c>
      <c r="M365" s="1230">
        <v>2.0000017870461699E-3</v>
      </c>
      <c r="N365" s="1303">
        <v>1.7038248734324597E-2</v>
      </c>
      <c r="O365" s="1288">
        <v>5.0058441949209446E-3</v>
      </c>
      <c r="P365" s="1237">
        <v>2.5029220974604723E-3</v>
      </c>
      <c r="Q365" s="1290">
        <v>8.9496425171486423E-3</v>
      </c>
    </row>
    <row r="366" spans="1:17" s="212" customFormat="1" ht="15.5" x14ac:dyDescent="0.35">
      <c r="A366" s="198">
        <v>2021</v>
      </c>
      <c r="B366" s="197" t="s">
        <v>5838</v>
      </c>
      <c r="C366" s="197">
        <v>2016</v>
      </c>
      <c r="D366" s="225" t="str">
        <f t="shared" si="2"/>
        <v>2021_2016</v>
      </c>
      <c r="E366" s="1287">
        <v>5.1283293925717795E-2</v>
      </c>
      <c r="F366" s="1306">
        <v>6.1366575024362317E-3</v>
      </c>
      <c r="G366" s="1303">
        <v>0.33392892579905675</v>
      </c>
      <c r="H366" s="1306">
        <v>2.3355631697034855E-2</v>
      </c>
      <c r="I366" s="1303">
        <v>9.192449022575799E-3</v>
      </c>
      <c r="J366" s="1306">
        <v>1.7188459068770297E-3</v>
      </c>
      <c r="K366" s="1303">
        <v>2.7698516217950346E-3</v>
      </c>
      <c r="L366" s="1288">
        <v>2.0000017294657473E-3</v>
      </c>
      <c r="M366" s="1230">
        <v>2.0000017294657473E-3</v>
      </c>
      <c r="N366" s="1303">
        <v>2.1711127202622731E-2</v>
      </c>
      <c r="O366" s="1288">
        <v>5.7329248325678987E-3</v>
      </c>
      <c r="P366" s="1237">
        <v>2.8664624162839493E-3</v>
      </c>
      <c r="Q366" s="1290">
        <v>9.6080907764882258E-3</v>
      </c>
    </row>
    <row r="367" spans="1:17" s="212" customFormat="1" ht="15.5" x14ac:dyDescent="0.35">
      <c r="A367" s="198">
        <v>2021</v>
      </c>
      <c r="B367" s="197" t="s">
        <v>5838</v>
      </c>
      <c r="C367" s="197">
        <v>2017</v>
      </c>
      <c r="D367" s="225" t="str">
        <f t="shared" si="2"/>
        <v>2021_2017</v>
      </c>
      <c r="E367" s="1287">
        <v>5.243234386067594E-2</v>
      </c>
      <c r="F367" s="1306">
        <v>5.7470085637514948E-3</v>
      </c>
      <c r="G367" s="1303">
        <v>0.2921458059740073</v>
      </c>
      <c r="H367" s="1306">
        <v>2.1750801706719045E-2</v>
      </c>
      <c r="I367" s="1303">
        <v>8.5895564762550978E-3</v>
      </c>
      <c r="J367" s="1306">
        <v>1.8460057063322958E-3</v>
      </c>
      <c r="K367" s="1303">
        <v>2.817091893888402E-3</v>
      </c>
      <c r="L367" s="1288">
        <v>2.000001702423552E-3</v>
      </c>
      <c r="M367" s="1230">
        <v>2.000001702423552E-3</v>
      </c>
      <c r="N367" s="1303">
        <v>2.2849378707123572E-2</v>
      </c>
      <c r="O367" s="1288">
        <v>5.707260671169989E-3</v>
      </c>
      <c r="P367" s="1237">
        <v>2.8536303355849945E-3</v>
      </c>
      <c r="Q367" s="1290">
        <v>8.9779381045189729E-3</v>
      </c>
    </row>
    <row r="368" spans="1:17" s="212" customFormat="1" ht="15.5" x14ac:dyDescent="0.35">
      <c r="A368" s="198">
        <v>2021</v>
      </c>
      <c r="B368" s="197" t="s">
        <v>5838</v>
      </c>
      <c r="C368" s="197">
        <v>2018</v>
      </c>
      <c r="D368" s="225" t="str">
        <f t="shared" si="2"/>
        <v>2021_2018</v>
      </c>
      <c r="E368" s="1287">
        <v>4.6917777242888911E-2</v>
      </c>
      <c r="F368" s="1306">
        <v>5.4177283946590911E-3</v>
      </c>
      <c r="G368" s="1303">
        <v>0.2086212726999197</v>
      </c>
      <c r="H368" s="1306">
        <v>2.0269183750191256E-2</v>
      </c>
      <c r="I368" s="1303">
        <v>7.1605884683504165E-3</v>
      </c>
      <c r="J368" s="1306">
        <v>1.9482117889811092E-3</v>
      </c>
      <c r="K368" s="1303">
        <v>2.7313976373144217E-3</v>
      </c>
      <c r="L368" s="1288">
        <v>2.0000017021148467E-3</v>
      </c>
      <c r="M368" s="1230">
        <v>2.0000017021148467E-3</v>
      </c>
      <c r="N368" s="1303">
        <v>2.0738748874336032E-2</v>
      </c>
      <c r="O368" s="1288">
        <v>5.0996222080168666E-3</v>
      </c>
      <c r="P368" s="1237">
        <v>2.5498111040084333E-3</v>
      </c>
      <c r="Q368" s="1290">
        <v>7.484358504248491E-3</v>
      </c>
    </row>
    <row r="369" spans="1:17" s="212" customFormat="1" ht="15.5" x14ac:dyDescent="0.35">
      <c r="A369" s="198">
        <v>2021</v>
      </c>
      <c r="B369" s="197" t="s">
        <v>5838</v>
      </c>
      <c r="C369" s="197">
        <v>2019</v>
      </c>
      <c r="D369" s="225" t="str">
        <f t="shared" si="2"/>
        <v>2021_2019</v>
      </c>
      <c r="E369" s="1287">
        <v>5.4239338928677938E-2</v>
      </c>
      <c r="F369" s="1306">
        <v>5.1004821894022768E-3</v>
      </c>
      <c r="G369" s="1303">
        <v>0.20731084135725777</v>
      </c>
      <c r="H369" s="1306">
        <v>1.8836274441033061E-2</v>
      </c>
      <c r="I369" s="1303">
        <v>6.9617653843711312E-3</v>
      </c>
      <c r="J369" s="1306">
        <v>1.8509677658440531E-3</v>
      </c>
      <c r="K369" s="1303">
        <v>2.9172333125697218E-3</v>
      </c>
      <c r="L369" s="1288">
        <v>2.0000016464715351E-3</v>
      </c>
      <c r="M369" s="1230">
        <v>2.0000016464715351E-3</v>
      </c>
      <c r="N369" s="1303">
        <v>2.527490644869157E-2</v>
      </c>
      <c r="O369" s="1288">
        <v>5.1034182445730634E-3</v>
      </c>
      <c r="P369" s="1237">
        <v>2.5517091222865317E-3</v>
      </c>
      <c r="Q369" s="1290">
        <v>7.2765455226760246E-3</v>
      </c>
    </row>
    <row r="370" spans="1:17" s="212" customFormat="1" ht="15.5" x14ac:dyDescent="0.35">
      <c r="A370" s="198">
        <v>2021</v>
      </c>
      <c r="B370" s="197" t="s">
        <v>5838</v>
      </c>
      <c r="C370" s="197">
        <v>2020</v>
      </c>
      <c r="D370" s="225" t="str">
        <f t="shared" ref="D370:D440" si="3">CONCATENATE(A370,"_",C370)</f>
        <v>2021_2020</v>
      </c>
      <c r="E370" s="1287">
        <v>4.5281666362747219E-2</v>
      </c>
      <c r="F370" s="1306">
        <v>4.6572060934463701E-3</v>
      </c>
      <c r="G370" s="1303">
        <v>0.14788259366891349</v>
      </c>
      <c r="H370" s="1306">
        <v>1.722834987501954E-2</v>
      </c>
      <c r="I370" s="1303">
        <v>5.2302943710249529E-3</v>
      </c>
      <c r="J370" s="1306">
        <v>1.3677756656852891E-3</v>
      </c>
      <c r="K370" s="1303">
        <v>2.870053254749498E-3</v>
      </c>
      <c r="L370" s="1288">
        <v>2.0000017554216432E-3</v>
      </c>
      <c r="M370" s="1230">
        <v>2.0000017554216432E-3</v>
      </c>
      <c r="N370" s="1303">
        <v>2.4116976274516658E-2</v>
      </c>
      <c r="O370" s="1288">
        <v>5.1461880478624097E-3</v>
      </c>
      <c r="P370" s="1237">
        <v>2.5730940239312048E-3</v>
      </c>
      <c r="Q370" s="1290">
        <v>5.4667850733951702E-3</v>
      </c>
    </row>
    <row r="371" spans="1:17" s="212" customFormat="1" ht="15.5" x14ac:dyDescent="0.35">
      <c r="A371" s="198">
        <v>2021</v>
      </c>
      <c r="B371" s="197" t="s">
        <v>5838</v>
      </c>
      <c r="C371" s="197">
        <v>2021</v>
      </c>
      <c r="D371" s="225" t="str">
        <f t="shared" si="3"/>
        <v>2021_2021</v>
      </c>
      <c r="E371" s="1287">
        <v>4.222705289464302E-2</v>
      </c>
      <c r="F371" s="1306">
        <v>4.1751790030893727E-3</v>
      </c>
      <c r="G371" s="1303">
        <v>0.10845692722381897</v>
      </c>
      <c r="H371" s="1306">
        <v>1.535402288273344E-2</v>
      </c>
      <c r="I371" s="1303">
        <v>3.7820015023622977E-3</v>
      </c>
      <c r="J371" s="1306">
        <v>8.8918477793617848E-4</v>
      </c>
      <c r="K371" s="1303">
        <v>2.853722971363526E-3</v>
      </c>
      <c r="L371" s="1288">
        <v>2.0000018548581495E-3</v>
      </c>
      <c r="M371" s="1230">
        <v>2.0000018548581495E-3</v>
      </c>
      <c r="N371" s="1303">
        <v>2.3705729434789821E-2</v>
      </c>
      <c r="O371" s="1288">
        <v>4.7139933415534848E-3</v>
      </c>
      <c r="P371" s="1237">
        <v>2.3569966707767424E-3</v>
      </c>
      <c r="Q371" s="1290">
        <v>3.9530068279160077E-3</v>
      </c>
    </row>
    <row r="372" spans="1:17" s="212" customFormat="1" ht="15.5" x14ac:dyDescent="0.35">
      <c r="A372" s="198">
        <v>2021</v>
      </c>
      <c r="B372" s="197" t="s">
        <v>5838</v>
      </c>
      <c r="C372" s="197">
        <v>2022</v>
      </c>
      <c r="D372" s="225" t="str">
        <f t="shared" si="3"/>
        <v>2021_2022</v>
      </c>
      <c r="E372" s="1291">
        <v>4.222705289464302E-2</v>
      </c>
      <c r="F372" s="1280">
        <v>4.1751790030893727E-3</v>
      </c>
      <c r="G372" s="1271">
        <v>0.10845692722381897</v>
      </c>
      <c r="H372" s="1280">
        <v>1.535402288273344E-2</v>
      </c>
      <c r="I372" s="1271">
        <v>3.7820015023622977E-3</v>
      </c>
      <c r="J372" s="1280">
        <v>8.8918477793617848E-4</v>
      </c>
      <c r="K372" s="1271">
        <v>2.853722971363526E-3</v>
      </c>
      <c r="L372" s="1257">
        <v>2.0000018548581495E-3</v>
      </c>
      <c r="M372" s="1230">
        <v>2.0000018548581495E-3</v>
      </c>
      <c r="N372" s="1271">
        <v>2.3705729434789821E-2</v>
      </c>
      <c r="O372" s="1257">
        <v>4.7139933415534848E-3</v>
      </c>
      <c r="P372" s="1237">
        <v>2.3569966707767424E-3</v>
      </c>
      <c r="Q372" s="1292">
        <v>3.9530068279160077E-3</v>
      </c>
    </row>
    <row r="373" spans="1:17" s="212" customFormat="1" ht="15.5" x14ac:dyDescent="0.35">
      <c r="A373" s="198">
        <v>2022</v>
      </c>
      <c r="B373" s="197" t="s">
        <v>5838</v>
      </c>
      <c r="C373" s="197">
        <v>1971</v>
      </c>
      <c r="D373" s="225" t="str">
        <f t="shared" si="3"/>
        <v>2022_1971</v>
      </c>
      <c r="E373" s="1291">
        <v>0.74312495041736104</v>
      </c>
      <c r="F373" s="1280">
        <v>1.7085453583216028</v>
      </c>
      <c r="G373" s="1271">
        <v>2.2838241337565535</v>
      </c>
      <c r="H373" s="1280">
        <v>4.6205550276685994</v>
      </c>
      <c r="I373" s="1271">
        <v>0.51913821393410053</v>
      </c>
      <c r="J373" s="1280">
        <v>4.6317434178678223E-2</v>
      </c>
      <c r="K373" s="1271">
        <v>2.0693104546009203E-3</v>
      </c>
      <c r="L373" s="1257">
        <v>2.0000012798735726E-3</v>
      </c>
      <c r="M373" s="1230">
        <v>2.0000012798735726E-3</v>
      </c>
      <c r="N373" s="1271">
        <v>5.5150536278249602E-3</v>
      </c>
      <c r="O373" s="1257">
        <v>7.6379882161531363E-3</v>
      </c>
      <c r="P373" s="1237">
        <v>3.8189941080765681E-3</v>
      </c>
      <c r="Q373" s="1292">
        <v>0.54261134032649394</v>
      </c>
    </row>
    <row r="374" spans="1:17" s="212" customFormat="1" ht="15.5" x14ac:dyDescent="0.35">
      <c r="A374" s="198">
        <v>2022</v>
      </c>
      <c r="B374" s="197" t="s">
        <v>5838</v>
      </c>
      <c r="C374" s="197">
        <v>1972</v>
      </c>
      <c r="D374" s="225" t="str">
        <f t="shared" si="3"/>
        <v>2022_1972</v>
      </c>
      <c r="E374" s="1291">
        <v>0.74312495041736104</v>
      </c>
      <c r="F374" s="1280">
        <v>1.7085453583216028</v>
      </c>
      <c r="G374" s="1271">
        <v>2.2838241337565535</v>
      </c>
      <c r="H374" s="1280">
        <v>4.6205550276685994</v>
      </c>
      <c r="I374" s="1271">
        <v>0.51913821393410053</v>
      </c>
      <c r="J374" s="1280">
        <v>4.6317434178678223E-2</v>
      </c>
      <c r="K374" s="1271">
        <v>2.0693104546009203E-3</v>
      </c>
      <c r="L374" s="1257">
        <v>2.0000012798735726E-3</v>
      </c>
      <c r="M374" s="1230">
        <v>2.0000012798735726E-3</v>
      </c>
      <c r="N374" s="1271">
        <v>5.5150536278249602E-3</v>
      </c>
      <c r="O374" s="1257">
        <v>7.6379882161531363E-3</v>
      </c>
      <c r="P374" s="1237">
        <v>3.8189941080765681E-3</v>
      </c>
      <c r="Q374" s="1292">
        <v>0.54261134032649394</v>
      </c>
    </row>
    <row r="375" spans="1:17" s="212" customFormat="1" ht="15.5" x14ac:dyDescent="0.35">
      <c r="A375" s="198">
        <v>2022</v>
      </c>
      <c r="B375" s="197" t="s">
        <v>5838</v>
      </c>
      <c r="C375" s="197">
        <v>1973</v>
      </c>
      <c r="D375" s="225" t="str">
        <f t="shared" si="3"/>
        <v>2022_1973</v>
      </c>
      <c r="E375" s="1291">
        <v>0.74312495041736104</v>
      </c>
      <c r="F375" s="1280">
        <v>1.7085453583216028</v>
      </c>
      <c r="G375" s="1271">
        <v>2.2838241337565535</v>
      </c>
      <c r="H375" s="1280">
        <v>4.6205550276685994</v>
      </c>
      <c r="I375" s="1271">
        <v>0.51913821393410053</v>
      </c>
      <c r="J375" s="1280">
        <v>4.6317434178678223E-2</v>
      </c>
      <c r="K375" s="1271">
        <v>2.0693104546009203E-3</v>
      </c>
      <c r="L375" s="1257">
        <v>2.0000012798735726E-3</v>
      </c>
      <c r="M375" s="1230">
        <v>2.0000012798735726E-3</v>
      </c>
      <c r="N375" s="1271">
        <v>5.5150536278249602E-3</v>
      </c>
      <c r="O375" s="1257">
        <v>7.6379882161531363E-3</v>
      </c>
      <c r="P375" s="1237">
        <v>3.8189941080765681E-3</v>
      </c>
      <c r="Q375" s="1292">
        <v>0.54261134032649394</v>
      </c>
    </row>
    <row r="376" spans="1:17" s="212" customFormat="1" ht="15.5" x14ac:dyDescent="0.35">
      <c r="A376" s="198">
        <v>2022</v>
      </c>
      <c r="B376" s="197" t="s">
        <v>5838</v>
      </c>
      <c r="C376" s="197">
        <v>1974</v>
      </c>
      <c r="D376" s="225" t="str">
        <f t="shared" si="3"/>
        <v>2022_1974</v>
      </c>
      <c r="E376" s="1291">
        <v>0.74312495041736104</v>
      </c>
      <c r="F376" s="1280">
        <v>1.7085453583216028</v>
      </c>
      <c r="G376" s="1271">
        <v>2.2838241337565535</v>
      </c>
      <c r="H376" s="1280">
        <v>4.6205550276685994</v>
      </c>
      <c r="I376" s="1271">
        <v>0.51913821393410053</v>
      </c>
      <c r="J376" s="1280">
        <v>4.6317434178678223E-2</v>
      </c>
      <c r="K376" s="1271">
        <v>2.0693104546009203E-3</v>
      </c>
      <c r="L376" s="1257">
        <v>2.0000012798735726E-3</v>
      </c>
      <c r="M376" s="1230">
        <v>2.0000012798735726E-3</v>
      </c>
      <c r="N376" s="1271">
        <v>5.5150536278249602E-3</v>
      </c>
      <c r="O376" s="1257">
        <v>7.6379882161531363E-3</v>
      </c>
      <c r="P376" s="1237">
        <v>3.8189941080765681E-3</v>
      </c>
      <c r="Q376" s="1292">
        <v>0.54261134032649394</v>
      </c>
    </row>
    <row r="377" spans="1:17" s="212" customFormat="1" ht="15.5" x14ac:dyDescent="0.35">
      <c r="A377" s="198">
        <v>2022</v>
      </c>
      <c r="B377" s="197" t="s">
        <v>5838</v>
      </c>
      <c r="C377" s="197">
        <v>1975</v>
      </c>
      <c r="D377" s="225" t="str">
        <f t="shared" si="3"/>
        <v>2022_1975</v>
      </c>
      <c r="E377" s="1291">
        <v>0.74312495041736104</v>
      </c>
      <c r="F377" s="1280">
        <v>1.7085453583216028</v>
      </c>
      <c r="G377" s="1271">
        <v>2.2838241337565535</v>
      </c>
      <c r="H377" s="1280">
        <v>4.6205550276685994</v>
      </c>
      <c r="I377" s="1271">
        <v>0.51913821393410053</v>
      </c>
      <c r="J377" s="1280">
        <v>4.6317434178678223E-2</v>
      </c>
      <c r="K377" s="1271">
        <v>2.0693104546009203E-3</v>
      </c>
      <c r="L377" s="1257">
        <v>2.0000012798735726E-3</v>
      </c>
      <c r="M377" s="1230">
        <v>2.0000012798735726E-3</v>
      </c>
      <c r="N377" s="1271">
        <v>5.5150536278249602E-3</v>
      </c>
      <c r="O377" s="1257">
        <v>7.6379882161531363E-3</v>
      </c>
      <c r="P377" s="1237">
        <v>3.8189941080765681E-3</v>
      </c>
      <c r="Q377" s="1292">
        <v>0.54261134032649394</v>
      </c>
    </row>
    <row r="378" spans="1:17" s="212" customFormat="1" ht="15.5" x14ac:dyDescent="0.35">
      <c r="A378" s="198">
        <v>2022</v>
      </c>
      <c r="B378" s="197" t="s">
        <v>5838</v>
      </c>
      <c r="C378" s="197">
        <v>1976</v>
      </c>
      <c r="D378" s="225" t="str">
        <f t="shared" si="3"/>
        <v>2022_1976</v>
      </c>
      <c r="E378" s="1291">
        <v>0.74312495041736104</v>
      </c>
      <c r="F378" s="1280">
        <v>1.7085453583216028</v>
      </c>
      <c r="G378" s="1271">
        <v>2.2838241337565535</v>
      </c>
      <c r="H378" s="1280">
        <v>4.6205550276685994</v>
      </c>
      <c r="I378" s="1271">
        <v>0.51913821393410053</v>
      </c>
      <c r="J378" s="1280">
        <v>4.6317434178678223E-2</v>
      </c>
      <c r="K378" s="1271">
        <v>2.0693104546009203E-3</v>
      </c>
      <c r="L378" s="1257">
        <v>2.0000012798735726E-3</v>
      </c>
      <c r="M378" s="1230">
        <v>2.0000012798735726E-3</v>
      </c>
      <c r="N378" s="1271">
        <v>5.5150536278249602E-3</v>
      </c>
      <c r="O378" s="1257">
        <v>7.6379882161531363E-3</v>
      </c>
      <c r="P378" s="1237">
        <v>3.8189941080765681E-3</v>
      </c>
      <c r="Q378" s="1292">
        <v>0.54261134032649394</v>
      </c>
    </row>
    <row r="379" spans="1:17" s="212" customFormat="1" ht="15.5" x14ac:dyDescent="0.35">
      <c r="A379" s="198">
        <v>2022</v>
      </c>
      <c r="B379" s="197" t="s">
        <v>5838</v>
      </c>
      <c r="C379" s="197">
        <v>1977</v>
      </c>
      <c r="D379" s="225" t="str">
        <f t="shared" si="3"/>
        <v>2022_1977</v>
      </c>
      <c r="E379" s="1291">
        <v>0.74312495041736104</v>
      </c>
      <c r="F379" s="1280">
        <v>1.7085453583216028</v>
      </c>
      <c r="G379" s="1271">
        <v>2.2838241337565535</v>
      </c>
      <c r="H379" s="1280">
        <v>4.6205550276685994</v>
      </c>
      <c r="I379" s="1271">
        <v>0.51913821393410053</v>
      </c>
      <c r="J379" s="1280">
        <v>4.6317434178678223E-2</v>
      </c>
      <c r="K379" s="1271">
        <v>2.0693104546009203E-3</v>
      </c>
      <c r="L379" s="1257">
        <v>2.0000012798735726E-3</v>
      </c>
      <c r="M379" s="1230">
        <v>2.0000012798735726E-3</v>
      </c>
      <c r="N379" s="1271">
        <v>5.5150536278249602E-3</v>
      </c>
      <c r="O379" s="1257">
        <v>7.6379882161531363E-3</v>
      </c>
      <c r="P379" s="1237">
        <v>3.8189941080765681E-3</v>
      </c>
      <c r="Q379" s="1292">
        <v>0.54261134032649394</v>
      </c>
    </row>
    <row r="380" spans="1:17" s="212" customFormat="1" ht="15.5" x14ac:dyDescent="0.35">
      <c r="A380" s="198">
        <v>2022</v>
      </c>
      <c r="B380" s="197" t="s">
        <v>5838</v>
      </c>
      <c r="C380" s="197">
        <v>1978</v>
      </c>
      <c r="D380" s="225" t="str">
        <f t="shared" si="3"/>
        <v>2022_1978</v>
      </c>
      <c r="E380" s="1287">
        <v>0.74312495041736104</v>
      </c>
      <c r="F380" s="1306">
        <v>1.7085453583216028</v>
      </c>
      <c r="G380" s="1303">
        <v>2.2838241337565535</v>
      </c>
      <c r="H380" s="1306">
        <v>4.6205550276685994</v>
      </c>
      <c r="I380" s="1303">
        <v>0.51913821393410053</v>
      </c>
      <c r="J380" s="1306">
        <v>4.6317434178678223E-2</v>
      </c>
      <c r="K380" s="1303">
        <v>2.0693104546009203E-3</v>
      </c>
      <c r="L380" s="1288">
        <v>2.0000012798735726E-3</v>
      </c>
      <c r="M380" s="1230">
        <v>2.0000012798735726E-3</v>
      </c>
      <c r="N380" s="1303">
        <v>5.5150536278249602E-3</v>
      </c>
      <c r="O380" s="1288">
        <v>7.6379882161531363E-3</v>
      </c>
      <c r="P380" s="1237">
        <v>3.8189941080765681E-3</v>
      </c>
      <c r="Q380" s="1290">
        <v>0.54261134032649394</v>
      </c>
    </row>
    <row r="381" spans="1:17" s="212" customFormat="1" ht="15.5" x14ac:dyDescent="0.35">
      <c r="A381" s="198">
        <v>2022</v>
      </c>
      <c r="B381" s="197" t="s">
        <v>5838</v>
      </c>
      <c r="C381" s="197">
        <v>1979</v>
      </c>
      <c r="D381" s="225" t="str">
        <f t="shared" si="3"/>
        <v>2022_1979</v>
      </c>
      <c r="E381" s="1287">
        <v>0.73811274659508475</v>
      </c>
      <c r="F381" s="1306">
        <v>1.7528706048968117</v>
      </c>
      <c r="G381" s="1303">
        <v>2.273565451772749</v>
      </c>
      <c r="H381" s="1306">
        <v>4.4669856800454628</v>
      </c>
      <c r="I381" s="1303">
        <v>0.51518187497671974</v>
      </c>
      <c r="J381" s="1306">
        <v>4.4758487547200375E-2</v>
      </c>
      <c r="K381" s="1303">
        <v>2.0376660552187923E-3</v>
      </c>
      <c r="L381" s="1288">
        <v>2.0000012326565732E-3</v>
      </c>
      <c r="M381" s="1230">
        <v>2.0000012326565732E-3</v>
      </c>
      <c r="N381" s="1303">
        <v>4.3579775966738916E-3</v>
      </c>
      <c r="O381" s="1288">
        <v>8.6339652561449789E-3</v>
      </c>
      <c r="P381" s="1237">
        <v>4.3169826280724894E-3</v>
      </c>
      <c r="Q381" s="1290">
        <v>0.5384761132774557</v>
      </c>
    </row>
    <row r="382" spans="1:17" s="212" customFormat="1" ht="15.5" x14ac:dyDescent="0.35">
      <c r="A382" s="198">
        <v>2022</v>
      </c>
      <c r="B382" s="197" t="s">
        <v>5838</v>
      </c>
      <c r="C382" s="197">
        <v>1980</v>
      </c>
      <c r="D382" s="225" t="str">
        <f t="shared" si="3"/>
        <v>2022_1980</v>
      </c>
      <c r="E382" s="1287">
        <v>0.31952129503355714</v>
      </c>
      <c r="F382" s="1306">
        <v>2.1816781542607746</v>
      </c>
      <c r="G382" s="1303">
        <v>2.5750785046708944</v>
      </c>
      <c r="H382" s="1306">
        <v>4.2365531115052253</v>
      </c>
      <c r="I382" s="1303">
        <v>0.25377065365758944</v>
      </c>
      <c r="J382" s="1306">
        <v>3.4144739760832307E-2</v>
      </c>
      <c r="K382" s="1303">
        <v>2.2179903054232262E-3</v>
      </c>
      <c r="L382" s="1288">
        <v>2.0000010627192373E-3</v>
      </c>
      <c r="M382" s="1230">
        <v>2.0000010627192373E-3</v>
      </c>
      <c r="N382" s="1303">
        <v>9.0318818034594833E-3</v>
      </c>
      <c r="O382" s="1288">
        <v>1.5344432430629424E-2</v>
      </c>
      <c r="P382" s="1237">
        <v>7.6722162153147122E-3</v>
      </c>
      <c r="Q382" s="1290">
        <v>0.26524503652538828</v>
      </c>
    </row>
    <row r="383" spans="1:17" s="212" customFormat="1" ht="15.5" x14ac:dyDescent="0.35">
      <c r="A383" s="198">
        <v>2022</v>
      </c>
      <c r="B383" s="197" t="s">
        <v>5838</v>
      </c>
      <c r="C383" s="197">
        <v>1981</v>
      </c>
      <c r="D383" s="225" t="str">
        <f t="shared" si="3"/>
        <v>2022_1981</v>
      </c>
      <c r="E383" s="1287">
        <v>0.34192993437982655</v>
      </c>
      <c r="F383" s="1306">
        <v>2.1691574612095867</v>
      </c>
      <c r="G383" s="1303">
        <v>1.8871079669777646</v>
      </c>
      <c r="H383" s="1306">
        <v>3.8041218697603694</v>
      </c>
      <c r="I383" s="1303">
        <v>0.27379059648932524</v>
      </c>
      <c r="J383" s="1306">
        <v>1.7476877721611533E-2</v>
      </c>
      <c r="K383" s="1303">
        <v>2.0194271231318739E-3</v>
      </c>
      <c r="L383" s="1288">
        <v>2.0000009250225022E-3</v>
      </c>
      <c r="M383" s="1230">
        <v>2.0000009250225022E-3</v>
      </c>
      <c r="N383" s="1303">
        <v>4.3297943224613411E-3</v>
      </c>
      <c r="O383" s="1288">
        <v>1.6976354752293116E-2</v>
      </c>
      <c r="P383" s="1237">
        <v>8.4881773761465579E-3</v>
      </c>
      <c r="Q383" s="1290">
        <v>0.28617019233479374</v>
      </c>
    </row>
    <row r="384" spans="1:17" s="212" customFormat="1" ht="15.5" x14ac:dyDescent="0.35">
      <c r="A384" s="198">
        <v>2022</v>
      </c>
      <c r="B384" s="197" t="s">
        <v>5838</v>
      </c>
      <c r="C384" s="197">
        <v>1982</v>
      </c>
      <c r="D384" s="225" t="str">
        <f t="shared" si="3"/>
        <v>2022_1982</v>
      </c>
      <c r="E384" s="1287">
        <v>0.29182640042405728</v>
      </c>
      <c r="F384" s="1306">
        <v>2.1792158278237572</v>
      </c>
      <c r="G384" s="1303">
        <v>3.2759504433866109</v>
      </c>
      <c r="H384" s="1306">
        <v>3.5845271805482422</v>
      </c>
      <c r="I384" s="1303">
        <v>0.22925062089362694</v>
      </c>
      <c r="J384" s="1306">
        <v>1.7185669513001742E-2</v>
      </c>
      <c r="K384" s="1303">
        <v>2.4253428722413894E-3</v>
      </c>
      <c r="L384" s="1288">
        <v>2.0000009104592141E-3</v>
      </c>
      <c r="M384" s="1230">
        <v>2.0000009104592141E-3</v>
      </c>
      <c r="N384" s="1303">
        <v>1.3757378808098391E-2</v>
      </c>
      <c r="O384" s="1288">
        <v>1.8758977507135378E-2</v>
      </c>
      <c r="P384" s="1237">
        <v>9.3794887535676892E-3</v>
      </c>
      <c r="Q384" s="1290">
        <v>0.23961631668587277</v>
      </c>
    </row>
    <row r="385" spans="1:17" s="212" customFormat="1" ht="15.5" x14ac:dyDescent="0.35">
      <c r="A385" s="198">
        <v>2022</v>
      </c>
      <c r="B385" s="197" t="s">
        <v>5838</v>
      </c>
      <c r="C385" s="197">
        <v>1983</v>
      </c>
      <c r="D385" s="225" t="str">
        <f t="shared" si="3"/>
        <v>2022_1983</v>
      </c>
      <c r="E385" s="1287">
        <v>0.21574819486205052</v>
      </c>
      <c r="F385" s="1306">
        <v>1.8078734778432013</v>
      </c>
      <c r="G385" s="1303">
        <v>3.5068688035299136</v>
      </c>
      <c r="H385" s="1306">
        <v>3.478007168467613</v>
      </c>
      <c r="I385" s="1303">
        <v>0.20835329199400207</v>
      </c>
      <c r="J385" s="1306">
        <v>1.7066397225605694E-2</v>
      </c>
      <c r="K385" s="1303">
        <v>2.5433537737963984E-3</v>
      </c>
      <c r="L385" s="1288">
        <v>2.0000008858664865E-3</v>
      </c>
      <c r="M385" s="1230">
        <v>2.0000008858664865E-3</v>
      </c>
      <c r="N385" s="1303">
        <v>1.6565664684080016E-2</v>
      </c>
      <c r="O385" s="1288">
        <v>1.6467619834479384E-2</v>
      </c>
      <c r="P385" s="1237">
        <v>8.2338099172396921E-3</v>
      </c>
      <c r="Q385" s="1290">
        <v>0.21777410330393049</v>
      </c>
    </row>
    <row r="386" spans="1:17" s="212" customFormat="1" ht="15.5" x14ac:dyDescent="0.35">
      <c r="A386" s="198">
        <v>2022</v>
      </c>
      <c r="B386" s="197" t="s">
        <v>5838</v>
      </c>
      <c r="C386" s="197">
        <v>1984</v>
      </c>
      <c r="D386" s="225" t="str">
        <f t="shared" si="3"/>
        <v>2022_1984</v>
      </c>
      <c r="E386" s="1287">
        <v>0.26061349074415441</v>
      </c>
      <c r="F386" s="1306">
        <v>1.3919045875450471</v>
      </c>
      <c r="G386" s="1303">
        <v>4.0927164293473224</v>
      </c>
      <c r="H386" s="1306">
        <v>3.4383051482915792</v>
      </c>
      <c r="I386" s="1303">
        <v>0.18407994587451476</v>
      </c>
      <c r="J386" s="1306">
        <v>1.7546469623299105E-2</v>
      </c>
      <c r="K386" s="1303">
        <v>2.7262128650387047E-3</v>
      </c>
      <c r="L386" s="1288">
        <v>2.0000008380416665E-3</v>
      </c>
      <c r="M386" s="1230">
        <v>2.0000008380416665E-3</v>
      </c>
      <c r="N386" s="1303">
        <v>2.0844082225452018E-2</v>
      </c>
      <c r="O386" s="1288">
        <v>1.684530581709287E-2</v>
      </c>
      <c r="P386" s="1237">
        <v>8.4226529085464352E-3</v>
      </c>
      <c r="Q386" s="1290">
        <v>0.1924032241842982</v>
      </c>
    </row>
    <row r="387" spans="1:17" s="212" customFormat="1" ht="15.5" x14ac:dyDescent="0.35">
      <c r="A387" s="198">
        <v>2022</v>
      </c>
      <c r="B387" s="197" t="s">
        <v>5838</v>
      </c>
      <c r="C387" s="197">
        <v>1985</v>
      </c>
      <c r="D387" s="225" t="str">
        <f t="shared" si="3"/>
        <v>2022_1985</v>
      </c>
      <c r="E387" s="1287">
        <v>0.24905572512694293</v>
      </c>
      <c r="F387" s="1306">
        <v>1.3522890893734687</v>
      </c>
      <c r="G387" s="1303">
        <v>4.5420996477446725</v>
      </c>
      <c r="H387" s="1306">
        <v>3.1024875370886655</v>
      </c>
      <c r="I387" s="1303">
        <v>0.18075591717432052</v>
      </c>
      <c r="J387" s="1306">
        <v>1.6293930262753574E-2</v>
      </c>
      <c r="K387" s="1303">
        <v>2.8467074342892057E-3</v>
      </c>
      <c r="L387" s="1288">
        <v>2.0000009464523835E-3</v>
      </c>
      <c r="M387" s="1230">
        <v>2.0000009464523835E-3</v>
      </c>
      <c r="N387" s="1303">
        <v>2.3706343880051755E-2</v>
      </c>
      <c r="O387" s="1288">
        <v>1.6756745128652238E-2</v>
      </c>
      <c r="P387" s="1237">
        <v>8.3783725643261191E-3</v>
      </c>
      <c r="Q387" s="1290">
        <v>0.18892889765644028</v>
      </c>
    </row>
    <row r="388" spans="1:17" s="212" customFormat="1" ht="15.5" x14ac:dyDescent="0.35">
      <c r="A388" s="198">
        <v>2022</v>
      </c>
      <c r="B388" s="197" t="s">
        <v>5838</v>
      </c>
      <c r="C388" s="197">
        <v>1986</v>
      </c>
      <c r="D388" s="225" t="str">
        <f t="shared" si="3"/>
        <v>2022_1986</v>
      </c>
      <c r="E388" s="1287">
        <v>0.24634019483344174</v>
      </c>
      <c r="F388" s="1306">
        <v>1.0828118870236665</v>
      </c>
      <c r="G388" s="1303">
        <v>4.6826885232646216</v>
      </c>
      <c r="H388" s="1306">
        <v>3.1955554471510244</v>
      </c>
      <c r="I388" s="1303">
        <v>0.18064003842738788</v>
      </c>
      <c r="J388" s="1306">
        <v>1.6444536686705587E-2</v>
      </c>
      <c r="K388" s="1303">
        <v>2.8902307450592211E-3</v>
      </c>
      <c r="L388" s="1288">
        <v>2.0000009388370871E-3</v>
      </c>
      <c r="M388" s="1230">
        <v>2.0000009388370871E-3</v>
      </c>
      <c r="N388" s="1303">
        <v>2.4722411625641393E-2</v>
      </c>
      <c r="O388" s="1288">
        <v>1.6058765851207506E-2</v>
      </c>
      <c r="P388" s="1237">
        <v>8.0293829256037532E-3</v>
      </c>
      <c r="Q388" s="1290">
        <v>0.18880777938677576</v>
      </c>
    </row>
    <row r="389" spans="1:17" s="212" customFormat="1" ht="15.5" x14ac:dyDescent="0.35">
      <c r="A389" s="198">
        <v>2022</v>
      </c>
      <c r="B389" s="197" t="s">
        <v>5838</v>
      </c>
      <c r="C389" s="197">
        <v>1987</v>
      </c>
      <c r="D389" s="225" t="str">
        <f t="shared" si="3"/>
        <v>2022_1987</v>
      </c>
      <c r="E389" s="1287">
        <v>0.29468813593755333</v>
      </c>
      <c r="F389" s="1306">
        <v>1.1918690651607813</v>
      </c>
      <c r="G389" s="1303">
        <v>5.0818166638449833</v>
      </c>
      <c r="H389" s="1306">
        <v>3.0911070350568433</v>
      </c>
      <c r="I389" s="1303">
        <v>0.19999630268198931</v>
      </c>
      <c r="J389" s="1306">
        <v>1.6749492342823871E-2</v>
      </c>
      <c r="K389" s="1303">
        <v>2.9669463726457773E-3</v>
      </c>
      <c r="L389" s="1288">
        <v>2.0000010737859673E-3</v>
      </c>
      <c r="M389" s="1230">
        <v>2.0000010737859673E-3</v>
      </c>
      <c r="N389" s="1303">
        <v>2.6525061308621783E-2</v>
      </c>
      <c r="O389" s="1288">
        <v>1.4318948731976989E-2</v>
      </c>
      <c r="P389" s="1237">
        <v>7.1594743659884946E-3</v>
      </c>
      <c r="Q389" s="1290">
        <v>0.20903924801882012</v>
      </c>
    </row>
    <row r="390" spans="1:17" s="212" customFormat="1" ht="15.5" x14ac:dyDescent="0.35">
      <c r="A390" s="198">
        <v>2022</v>
      </c>
      <c r="B390" s="197" t="s">
        <v>5838</v>
      </c>
      <c r="C390" s="197">
        <v>1988</v>
      </c>
      <c r="D390" s="225" t="str">
        <f t="shared" si="3"/>
        <v>2022_1988</v>
      </c>
      <c r="E390" s="1287">
        <v>0.29261060852579146</v>
      </c>
      <c r="F390" s="1306">
        <v>0.49874528948167873</v>
      </c>
      <c r="G390" s="1303">
        <v>5.1272674714037922</v>
      </c>
      <c r="H390" s="1306">
        <v>1.6530474749580175</v>
      </c>
      <c r="I390" s="1303">
        <v>0.19874153437767103</v>
      </c>
      <c r="J390" s="1306">
        <v>1.6052472899663866E-2</v>
      </c>
      <c r="K390" s="1303">
        <v>2.9747430447382437E-3</v>
      </c>
      <c r="L390" s="1288">
        <v>2.0000010926529907E-3</v>
      </c>
      <c r="M390" s="1230">
        <v>2.0000010926529907E-3</v>
      </c>
      <c r="N390" s="1303">
        <v>2.6711886273467867E-2</v>
      </c>
      <c r="O390" s="1288">
        <v>1.4283307995046486E-2</v>
      </c>
      <c r="P390" s="1237">
        <v>7.1416539975232432E-3</v>
      </c>
      <c r="Q390" s="1290">
        <v>0.20772774465973171</v>
      </c>
    </row>
    <row r="391" spans="1:17" s="212" customFormat="1" ht="15.5" x14ac:dyDescent="0.35">
      <c r="A391" s="198">
        <v>2022</v>
      </c>
      <c r="B391" s="197" t="s">
        <v>5838</v>
      </c>
      <c r="C391" s="197">
        <v>1989</v>
      </c>
      <c r="D391" s="225" t="str">
        <f t="shared" si="3"/>
        <v>2022_1989</v>
      </c>
      <c r="E391" s="1287">
        <v>0.29560312139446743</v>
      </c>
      <c r="F391" s="1306">
        <v>0.44056185514464336</v>
      </c>
      <c r="G391" s="1303">
        <v>5.0382632776156271</v>
      </c>
      <c r="H391" s="1306">
        <v>1.8766265008343321</v>
      </c>
      <c r="I391" s="1303">
        <v>0.20039800730300744</v>
      </c>
      <c r="J391" s="1306">
        <v>1.6208108405677435E-2</v>
      </c>
      <c r="K391" s="1303">
        <v>2.9561649818652569E-3</v>
      </c>
      <c r="L391" s="1288">
        <v>2.0000011444217028E-3</v>
      </c>
      <c r="M391" s="1230">
        <v>2.0000011444217028E-3</v>
      </c>
      <c r="N391" s="1303">
        <v>2.6275059041387858E-2</v>
      </c>
      <c r="O391" s="1288">
        <v>1.330878420398097E-2</v>
      </c>
      <c r="P391" s="1237">
        <v>6.6543921019904849E-3</v>
      </c>
      <c r="Q391" s="1290">
        <v>0.2094591159402624</v>
      </c>
    </row>
    <row r="392" spans="1:17" s="212" customFormat="1" ht="15.5" x14ac:dyDescent="0.35">
      <c r="A392" s="198">
        <v>2022</v>
      </c>
      <c r="B392" s="197" t="s">
        <v>5838</v>
      </c>
      <c r="C392" s="197">
        <v>1990</v>
      </c>
      <c r="D392" s="225" t="str">
        <f t="shared" si="3"/>
        <v>2022_1990</v>
      </c>
      <c r="E392" s="1287">
        <v>0.29730494754042514</v>
      </c>
      <c r="F392" s="1306">
        <v>0.48440986418066462</v>
      </c>
      <c r="G392" s="1303">
        <v>5.0495275024579778</v>
      </c>
      <c r="H392" s="1306">
        <v>1.8578407761489004</v>
      </c>
      <c r="I392" s="1303">
        <v>0.20178757642520284</v>
      </c>
      <c r="J392" s="1306">
        <v>1.6385933958430327E-2</v>
      </c>
      <c r="K392" s="1303">
        <v>2.9673110776777803E-3</v>
      </c>
      <c r="L392" s="1288">
        <v>2.0000011036562619E-3</v>
      </c>
      <c r="M392" s="1230">
        <v>2.0000011036562619E-3</v>
      </c>
      <c r="N392" s="1303">
        <v>2.6534642137793829E-2</v>
      </c>
      <c r="O392" s="1288">
        <v>1.275165143354532E-2</v>
      </c>
      <c r="P392" s="1237">
        <v>6.3758257167726602E-3</v>
      </c>
      <c r="Q392" s="1290">
        <v>0.21091151521204168</v>
      </c>
    </row>
    <row r="393" spans="1:17" s="212" customFormat="1" ht="15.5" x14ac:dyDescent="0.35">
      <c r="A393" s="198">
        <v>2022</v>
      </c>
      <c r="B393" s="197" t="s">
        <v>5838</v>
      </c>
      <c r="C393" s="197">
        <v>1991</v>
      </c>
      <c r="D393" s="225" t="str">
        <f t="shared" si="3"/>
        <v>2022_1991</v>
      </c>
      <c r="E393" s="1287">
        <v>0.37839684309201832</v>
      </c>
      <c r="F393" s="1306">
        <v>0.4963827948443843</v>
      </c>
      <c r="G393" s="1303">
        <v>8.9926866461317339</v>
      </c>
      <c r="H393" s="1306">
        <v>2.3183245039137832</v>
      </c>
      <c r="I393" s="1303">
        <v>5.6965795012011086E-2</v>
      </c>
      <c r="J393" s="1306">
        <v>9.1604549828122137E-3</v>
      </c>
      <c r="K393" s="1303">
        <v>2.9795352128854716E-3</v>
      </c>
      <c r="L393" s="1288">
        <v>2.0000011269650096E-3</v>
      </c>
      <c r="M393" s="1230">
        <v>2.0000011269650096E-3</v>
      </c>
      <c r="N393" s="1303">
        <v>2.6818066364144324E-2</v>
      </c>
      <c r="O393" s="1288">
        <v>1.1942240963997377E-2</v>
      </c>
      <c r="P393" s="1237">
        <v>5.9711204819986883E-3</v>
      </c>
      <c r="Q393" s="1290">
        <v>5.9541535480482688E-2</v>
      </c>
    </row>
    <row r="394" spans="1:17" s="212" customFormat="1" ht="15.5" x14ac:dyDescent="0.35">
      <c r="A394" s="198">
        <v>2022</v>
      </c>
      <c r="B394" s="197" t="s">
        <v>5838</v>
      </c>
      <c r="C394" s="197">
        <v>1992</v>
      </c>
      <c r="D394" s="225" t="str">
        <f t="shared" si="3"/>
        <v>2022_1992</v>
      </c>
      <c r="E394" s="1287">
        <v>0.37933861061975399</v>
      </c>
      <c r="F394" s="1306">
        <v>0.4976614696298059</v>
      </c>
      <c r="G394" s="1303">
        <v>8.7650029208266798</v>
      </c>
      <c r="H394" s="1306">
        <v>2.2235042067104018</v>
      </c>
      <c r="I394" s="1303">
        <v>6.1159306580297376E-2</v>
      </c>
      <c r="J394" s="1306">
        <v>9.3429267488185745E-3</v>
      </c>
      <c r="K394" s="1303">
        <v>2.9543912815358062E-3</v>
      </c>
      <c r="L394" s="1288">
        <v>2.0000011724798476E-3</v>
      </c>
      <c r="M394" s="1230">
        <v>2.0000011724798476E-3</v>
      </c>
      <c r="N394" s="1303">
        <v>2.6226679985136128E-2</v>
      </c>
      <c r="O394" s="1288">
        <v>1.003436837079405E-2</v>
      </c>
      <c r="P394" s="1237">
        <v>5.017184185397025E-3</v>
      </c>
      <c r="Q394" s="1290">
        <v>6.3924659033454873E-2</v>
      </c>
    </row>
    <row r="395" spans="1:17" s="212" customFormat="1" ht="15.5" x14ac:dyDescent="0.35">
      <c r="A395" s="198">
        <v>2022</v>
      </c>
      <c r="B395" s="197" t="s">
        <v>5838</v>
      </c>
      <c r="C395" s="197">
        <v>1993</v>
      </c>
      <c r="D395" s="225" t="str">
        <f t="shared" si="3"/>
        <v>2022_1993</v>
      </c>
      <c r="E395" s="1287">
        <v>0.37802749523764628</v>
      </c>
      <c r="F395" s="1306">
        <v>0.50197444360130805</v>
      </c>
      <c r="G395" s="1303">
        <v>9.0298109908252115</v>
      </c>
      <c r="H395" s="1306">
        <v>2.2462370376514924</v>
      </c>
      <c r="I395" s="1303">
        <v>5.404732747964678E-2</v>
      </c>
      <c r="J395" s="1306">
        <v>9.3603982665507596E-3</v>
      </c>
      <c r="K395" s="1303">
        <v>2.9881074347096448E-3</v>
      </c>
      <c r="L395" s="1288">
        <v>2.0000011531124155E-3</v>
      </c>
      <c r="M395" s="1230">
        <v>2.0000011531124155E-3</v>
      </c>
      <c r="N395" s="1303">
        <v>2.7020843469546838E-2</v>
      </c>
      <c r="O395" s="1288">
        <v>1.1026445290561964E-2</v>
      </c>
      <c r="P395" s="1237">
        <v>5.5132226452809822E-3</v>
      </c>
      <c r="Q395" s="1290">
        <v>5.6491107796812663E-2</v>
      </c>
    </row>
    <row r="396" spans="1:17" s="212" customFormat="1" ht="15.5" x14ac:dyDescent="0.35">
      <c r="A396" s="198">
        <v>2022</v>
      </c>
      <c r="B396" s="197" t="s">
        <v>5838</v>
      </c>
      <c r="C396" s="197">
        <v>1994</v>
      </c>
      <c r="D396" s="225" t="str">
        <f t="shared" si="3"/>
        <v>2022_1994</v>
      </c>
      <c r="E396" s="1287">
        <v>0.36003590720249856</v>
      </c>
      <c r="F396" s="1306">
        <v>0.50136414380545702</v>
      </c>
      <c r="G396" s="1303">
        <v>8.6452821586608</v>
      </c>
      <c r="H396" s="1306">
        <v>2.1022440129003588</v>
      </c>
      <c r="I396" s="1303">
        <v>5.4169927532984843E-2</v>
      </c>
      <c r="J396" s="1306">
        <v>9.5760561326671909E-3</v>
      </c>
      <c r="K396" s="1303">
        <v>2.9323931973108054E-3</v>
      </c>
      <c r="L396" s="1288">
        <v>2.0000013309708314E-3</v>
      </c>
      <c r="M396" s="1230">
        <v>2.0000013309708314E-3</v>
      </c>
      <c r="N396" s="1303">
        <v>2.5704816896378355E-2</v>
      </c>
      <c r="O396" s="1288">
        <v>8.1309969197210438E-3</v>
      </c>
      <c r="P396" s="1237">
        <v>4.0654984598605219E-3</v>
      </c>
      <c r="Q396" s="1290">
        <v>5.6619251280532981E-2</v>
      </c>
    </row>
    <row r="397" spans="1:17" s="212" customFormat="1" ht="15.5" x14ac:dyDescent="0.35">
      <c r="A397" s="198">
        <v>2022</v>
      </c>
      <c r="B397" s="197" t="s">
        <v>5838</v>
      </c>
      <c r="C397" s="197">
        <v>1995</v>
      </c>
      <c r="D397" s="225" t="str">
        <f t="shared" si="3"/>
        <v>2022_1995</v>
      </c>
      <c r="E397" s="1287">
        <v>0.37180881353828066</v>
      </c>
      <c r="F397" s="1306">
        <v>0.37183894256967287</v>
      </c>
      <c r="G397" s="1303">
        <v>9.1519854233885614</v>
      </c>
      <c r="H397" s="1306">
        <v>1.6526369879713183</v>
      </c>
      <c r="I397" s="1303">
        <v>5.3653427372072411E-2</v>
      </c>
      <c r="J397" s="1306">
        <v>8.607158905465517E-3</v>
      </c>
      <c r="K397" s="1303">
        <v>2.9894314422540809E-3</v>
      </c>
      <c r="L397" s="1288">
        <v>2.0000012268013637E-3</v>
      </c>
      <c r="M397" s="1230">
        <v>2.0000012268013637E-3</v>
      </c>
      <c r="N397" s="1303">
        <v>2.7052376294355217E-2</v>
      </c>
      <c r="O397" s="1288">
        <v>1.0365580122278719E-2</v>
      </c>
      <c r="P397" s="1237">
        <v>5.1827900611393597E-3</v>
      </c>
      <c r="Q397" s="1290">
        <v>5.6079397274279734E-2</v>
      </c>
    </row>
    <row r="398" spans="1:17" s="212" customFormat="1" ht="15.5" x14ac:dyDescent="0.35">
      <c r="A398" s="198">
        <v>2022</v>
      </c>
      <c r="B398" s="197" t="s">
        <v>5838</v>
      </c>
      <c r="C398" s="197">
        <v>1996</v>
      </c>
      <c r="D398" s="225" t="str">
        <f t="shared" si="3"/>
        <v>2022_1996</v>
      </c>
      <c r="E398" s="1287">
        <v>0.37476018491701674</v>
      </c>
      <c r="F398" s="1306">
        <v>0.12589164077845547</v>
      </c>
      <c r="G398" s="1303">
        <v>9.1587916687813227</v>
      </c>
      <c r="H398" s="1306">
        <v>0.98141443224335279</v>
      </c>
      <c r="I398" s="1303">
        <v>5.3896194264471661E-2</v>
      </c>
      <c r="J398" s="1306">
        <v>2.6890910965436088E-3</v>
      </c>
      <c r="K398" s="1303">
        <v>2.9939701848232291E-3</v>
      </c>
      <c r="L398" s="1288">
        <v>2.0000012082037298E-3</v>
      </c>
      <c r="M398" s="1230">
        <v>2.0000012082037298E-3</v>
      </c>
      <c r="N398" s="1303">
        <v>2.7157807119997903E-2</v>
      </c>
      <c r="O398" s="1288">
        <v>1.0272713517171959E-2</v>
      </c>
      <c r="P398" s="1237">
        <v>5.1363567585859795E-3</v>
      </c>
      <c r="Q398" s="1290">
        <v>5.6333141008291107E-2</v>
      </c>
    </row>
    <row r="399" spans="1:17" s="212" customFormat="1" ht="15.5" x14ac:dyDescent="0.35">
      <c r="A399" s="198">
        <v>2022</v>
      </c>
      <c r="B399" s="197" t="s">
        <v>5838</v>
      </c>
      <c r="C399" s="197">
        <v>1997</v>
      </c>
      <c r="D399" s="225" t="str">
        <f t="shared" si="3"/>
        <v>2022_1997</v>
      </c>
      <c r="E399" s="1287">
        <v>0.37702387212412058</v>
      </c>
      <c r="F399" s="1306">
        <v>0.12677848276662096</v>
      </c>
      <c r="G399" s="1303">
        <v>9.1690253439428417</v>
      </c>
      <c r="H399" s="1306">
        <v>0.98897286730942158</v>
      </c>
      <c r="I399" s="1303">
        <v>5.4062969354952868E-2</v>
      </c>
      <c r="J399" s="1306">
        <v>2.6913303013114784E-3</v>
      </c>
      <c r="K399" s="1303">
        <v>2.9980098473139992E-3</v>
      </c>
      <c r="L399" s="1288">
        <v>2.0000011982037168E-3</v>
      </c>
      <c r="M399" s="1230">
        <v>2.0000011982037168E-3</v>
      </c>
      <c r="N399" s="1303">
        <v>2.7253366577852624E-2</v>
      </c>
      <c r="O399" s="1288">
        <v>1.0051110954281055E-2</v>
      </c>
      <c r="P399" s="1237">
        <v>5.0255554771405277E-3</v>
      </c>
      <c r="Q399" s="1290">
        <v>5.6507456928310246E-2</v>
      </c>
    </row>
    <row r="400" spans="1:17" s="212" customFormat="1" ht="15.5" x14ac:dyDescent="0.35">
      <c r="A400" s="198">
        <v>2022</v>
      </c>
      <c r="B400" s="197" t="s">
        <v>5838</v>
      </c>
      <c r="C400" s="197">
        <v>1998</v>
      </c>
      <c r="D400" s="225" t="str">
        <f t="shared" si="3"/>
        <v>2022_1998</v>
      </c>
      <c r="E400" s="1287">
        <v>0.37639943713434765</v>
      </c>
      <c r="F400" s="1306">
        <v>0.13021313881452162</v>
      </c>
      <c r="G400" s="1303">
        <v>9.1763557296753717</v>
      </c>
      <c r="H400" s="1306">
        <v>1.0128836726976644</v>
      </c>
      <c r="I400" s="1303">
        <v>5.3974735062007347E-2</v>
      </c>
      <c r="J400" s="1306">
        <v>2.7354191742358274E-3</v>
      </c>
      <c r="K400" s="1303">
        <v>2.9979107896310818E-3</v>
      </c>
      <c r="L400" s="1288">
        <v>2.0000012828217764E-3</v>
      </c>
      <c r="M400" s="1230">
        <v>2.0000012828217764E-3</v>
      </c>
      <c r="N400" s="1303">
        <v>2.7250355862422908E-2</v>
      </c>
      <c r="O400" s="1288">
        <v>8.3840541490141744E-3</v>
      </c>
      <c r="P400" s="1237">
        <v>4.1920270745070872E-3</v>
      </c>
      <c r="Q400" s="1290">
        <v>5.641523307217166E-2</v>
      </c>
    </row>
    <row r="401" spans="1:17" s="212" customFormat="1" ht="15.5" x14ac:dyDescent="0.35">
      <c r="A401" s="198">
        <v>2022</v>
      </c>
      <c r="B401" s="197" t="s">
        <v>5838</v>
      </c>
      <c r="C401" s="197">
        <v>1999</v>
      </c>
      <c r="D401" s="225" t="str">
        <f t="shared" si="3"/>
        <v>2022_1999</v>
      </c>
      <c r="E401" s="1287">
        <v>0.37620072092090262</v>
      </c>
      <c r="F401" s="1306">
        <v>0.12796598492778472</v>
      </c>
      <c r="G401" s="1303">
        <v>9.1859897441539502</v>
      </c>
      <c r="H401" s="1306">
        <v>1.0035500741032966</v>
      </c>
      <c r="I401" s="1303">
        <v>5.3937820311862755E-2</v>
      </c>
      <c r="J401" s="1306">
        <v>2.7650430685336527E-3</v>
      </c>
      <c r="K401" s="1303">
        <v>2.9989200421697382E-3</v>
      </c>
      <c r="L401" s="1288">
        <v>2.0000013442462022E-3</v>
      </c>
      <c r="M401" s="1230">
        <v>2.0000013442462022E-3</v>
      </c>
      <c r="N401" s="1303">
        <v>2.7274707764812275E-2</v>
      </c>
      <c r="O401" s="1288">
        <v>7.9498602376986329E-3</v>
      </c>
      <c r="P401" s="1237">
        <v>3.9749301188493165E-3</v>
      </c>
      <c r="Q401" s="1290">
        <v>5.6376649200832393E-2</v>
      </c>
    </row>
    <row r="402" spans="1:17" s="212" customFormat="1" ht="15.5" x14ac:dyDescent="0.35">
      <c r="A402" s="198">
        <v>2022</v>
      </c>
      <c r="B402" s="197" t="s">
        <v>5838</v>
      </c>
      <c r="C402" s="197">
        <v>2000</v>
      </c>
      <c r="D402" s="225" t="str">
        <f t="shared" si="3"/>
        <v>2022_2000</v>
      </c>
      <c r="E402" s="1287">
        <v>0.37299368828728191</v>
      </c>
      <c r="F402" s="1306">
        <v>0.12233812635602896</v>
      </c>
      <c r="G402" s="1303">
        <v>9.2205602537753002</v>
      </c>
      <c r="H402" s="1306">
        <v>0.97309186115975788</v>
      </c>
      <c r="I402" s="1303">
        <v>5.3509203273809522E-2</v>
      </c>
      <c r="J402" s="1306">
        <v>2.7675065737078029E-3</v>
      </c>
      <c r="K402" s="1303">
        <v>2.9996921311158924E-3</v>
      </c>
      <c r="L402" s="1288">
        <v>2.0000014048390611E-3</v>
      </c>
      <c r="M402" s="1230">
        <v>2.0000014048390611E-3</v>
      </c>
      <c r="N402" s="1303">
        <v>2.7292698675594026E-2</v>
      </c>
      <c r="O402" s="1288">
        <v>8.0654444335297327E-3</v>
      </c>
      <c r="P402" s="1237">
        <v>4.0327222167648663E-3</v>
      </c>
      <c r="Q402" s="1290">
        <v>5.5928652002278263E-2</v>
      </c>
    </row>
    <row r="403" spans="1:17" s="212" customFormat="1" ht="15.5" x14ac:dyDescent="0.35">
      <c r="A403" s="198">
        <v>2022</v>
      </c>
      <c r="B403" s="197" t="s">
        <v>5838</v>
      </c>
      <c r="C403" s="197">
        <v>2001</v>
      </c>
      <c r="D403" s="225" t="str">
        <f t="shared" si="3"/>
        <v>2022_2001</v>
      </c>
      <c r="E403" s="1287">
        <v>0.3723728628279373</v>
      </c>
      <c r="F403" s="1306">
        <v>0.11823130555865496</v>
      </c>
      <c r="G403" s="1303">
        <v>9.1851749370325013</v>
      </c>
      <c r="H403" s="1306">
        <v>0.94340507733845436</v>
      </c>
      <c r="I403" s="1303">
        <v>5.3508699043665557E-2</v>
      </c>
      <c r="J403" s="1306">
        <v>2.7933331572740235E-3</v>
      </c>
      <c r="K403" s="1303">
        <v>2.9999042790479716E-3</v>
      </c>
      <c r="L403" s="1288">
        <v>2.0000013950313019E-3</v>
      </c>
      <c r="M403" s="1230">
        <v>2.0000013950313019E-3</v>
      </c>
      <c r="N403" s="1303">
        <v>2.7297753648869206E-2</v>
      </c>
      <c r="O403" s="1288">
        <v>7.340285128758995E-3</v>
      </c>
      <c r="P403" s="1237">
        <v>3.6701425643794975E-3</v>
      </c>
      <c r="Q403" s="1290">
        <v>5.5928124973084622E-2</v>
      </c>
    </row>
    <row r="404" spans="1:17" s="212" customFormat="1" ht="15.5" x14ac:dyDescent="0.35">
      <c r="A404" s="198">
        <v>2022</v>
      </c>
      <c r="B404" s="197" t="s">
        <v>5838</v>
      </c>
      <c r="C404" s="197">
        <v>2002</v>
      </c>
      <c r="D404" s="225" t="str">
        <f t="shared" si="3"/>
        <v>2022_2002</v>
      </c>
      <c r="E404" s="1287">
        <v>0.28614425076297212</v>
      </c>
      <c r="F404" s="1306">
        <v>0.11620888273033854</v>
      </c>
      <c r="G404" s="1303">
        <v>7.1016830858464566</v>
      </c>
      <c r="H404" s="1306">
        <v>0.90347364103138195</v>
      </c>
      <c r="I404" s="1303">
        <v>5.3661842027870124E-2</v>
      </c>
      <c r="J404" s="1306">
        <v>2.8100206058665786E-3</v>
      </c>
      <c r="K404" s="1303">
        <v>2.9999073070330583E-3</v>
      </c>
      <c r="L404" s="1288">
        <v>2.0000014774355221E-3</v>
      </c>
      <c r="M404" s="1230">
        <v>2.0000014774355221E-3</v>
      </c>
      <c r="N404" s="1303">
        <v>2.7297821307368523E-2</v>
      </c>
      <c r="O404" s="1288">
        <v>6.7919703258285799E-3</v>
      </c>
      <c r="P404" s="1237">
        <v>3.3959851629142899E-3</v>
      </c>
      <c r="Q404" s="1290">
        <v>5.6088192403473111E-2</v>
      </c>
    </row>
    <row r="405" spans="1:17" s="212" customFormat="1" ht="15.5" x14ac:dyDescent="0.35">
      <c r="A405" s="198">
        <v>2022</v>
      </c>
      <c r="B405" s="197" t="s">
        <v>5838</v>
      </c>
      <c r="C405" s="197">
        <v>2003</v>
      </c>
      <c r="D405" s="225" t="str">
        <f t="shared" si="3"/>
        <v>2022_2003</v>
      </c>
      <c r="E405" s="1287">
        <v>0.28218166650790216</v>
      </c>
      <c r="F405" s="1306">
        <v>9.3544692353710726E-2</v>
      </c>
      <c r="G405" s="1303">
        <v>7.12268345245913</v>
      </c>
      <c r="H405" s="1306">
        <v>0.69470806241759353</v>
      </c>
      <c r="I405" s="1303">
        <v>5.3087106722162901E-2</v>
      </c>
      <c r="J405" s="1306">
        <v>2.7994327690234713E-3</v>
      </c>
      <c r="K405" s="1303">
        <v>2.9999225028321248E-3</v>
      </c>
      <c r="L405" s="1288">
        <v>2.0000015009172508E-3</v>
      </c>
      <c r="M405" s="1230">
        <v>2.0000015009172508E-3</v>
      </c>
      <c r="N405" s="1303">
        <v>2.7298204748144102E-2</v>
      </c>
      <c r="O405" s="1288">
        <v>7.1108679711735399E-3</v>
      </c>
      <c r="P405" s="1237">
        <v>3.55543398558677E-3</v>
      </c>
      <c r="Q405" s="1290">
        <v>5.5487470117591912E-2</v>
      </c>
    </row>
    <row r="406" spans="1:17" s="212" customFormat="1" ht="15.5" x14ac:dyDescent="0.35">
      <c r="A406" s="198">
        <v>2022</v>
      </c>
      <c r="B406" s="197" t="s">
        <v>5838</v>
      </c>
      <c r="C406" s="197">
        <v>2004</v>
      </c>
      <c r="D406" s="225" t="str">
        <f t="shared" si="3"/>
        <v>2022_2004</v>
      </c>
      <c r="E406" s="1287">
        <v>0.57655777546410281</v>
      </c>
      <c r="F406" s="1306">
        <v>1.7760219611884977E-2</v>
      </c>
      <c r="G406" s="1303">
        <v>4.1965968891013006</v>
      </c>
      <c r="H406" s="1306">
        <v>0.11517669400879575</v>
      </c>
      <c r="I406" s="1303">
        <v>0.15126549985538776</v>
      </c>
      <c r="J406" s="1306">
        <v>1.8748207387298107E-4</v>
      </c>
      <c r="K406" s="1303">
        <v>2.998921297522101E-3</v>
      </c>
      <c r="L406" s="1288">
        <v>2.0000015783627314E-3</v>
      </c>
      <c r="M406" s="1230">
        <v>2.0000015783627314E-3</v>
      </c>
      <c r="N406" s="1303">
        <v>2.7274555729129193E-2</v>
      </c>
      <c r="O406" s="1288">
        <v>6.5673182785181278E-3</v>
      </c>
      <c r="P406" s="1237">
        <v>3.2836591392590639E-3</v>
      </c>
      <c r="Q406" s="1290">
        <v>0.15810505452813425</v>
      </c>
    </row>
    <row r="407" spans="1:17" s="212" customFormat="1" ht="15.5" x14ac:dyDescent="0.35">
      <c r="A407" s="198">
        <v>2022</v>
      </c>
      <c r="B407" s="197" t="s">
        <v>5838</v>
      </c>
      <c r="C407" s="197">
        <v>2005</v>
      </c>
      <c r="D407" s="225" t="str">
        <f t="shared" si="3"/>
        <v>2022_2005</v>
      </c>
      <c r="E407" s="1287">
        <v>0.52487262029910597</v>
      </c>
      <c r="F407" s="1306">
        <v>1.5722569034750753E-2</v>
      </c>
      <c r="G407" s="1303">
        <v>3.9665570670281736</v>
      </c>
      <c r="H407" s="1306">
        <v>9.8527550060001856E-2</v>
      </c>
      <c r="I407" s="1303">
        <v>0.14096888829273574</v>
      </c>
      <c r="J407" s="1306">
        <v>1.8787543993629049E-4</v>
      </c>
      <c r="K407" s="1303">
        <v>2.9070219667501444E-3</v>
      </c>
      <c r="L407" s="1288">
        <v>2.0000015945863757E-3</v>
      </c>
      <c r="M407" s="1230">
        <v>2.0000015945863757E-3</v>
      </c>
      <c r="N407" s="1303">
        <v>2.5095034415604123E-2</v>
      </c>
      <c r="O407" s="1288">
        <v>6.0155715206176063E-3</v>
      </c>
      <c r="P407" s="1237">
        <v>3.0077857603088031E-3</v>
      </c>
      <c r="Q407" s="1290">
        <v>0.14734287588115547</v>
      </c>
    </row>
    <row r="408" spans="1:17" s="212" customFormat="1" ht="15.5" x14ac:dyDescent="0.35">
      <c r="A408" s="198">
        <v>2022</v>
      </c>
      <c r="B408" s="197" t="s">
        <v>5838</v>
      </c>
      <c r="C408" s="197">
        <v>2006</v>
      </c>
      <c r="D408" s="225" t="str">
        <f t="shared" si="3"/>
        <v>2022_2006</v>
      </c>
      <c r="E408" s="1287">
        <v>0.5327568983869525</v>
      </c>
      <c r="F408" s="1306">
        <v>6.325534844252423E-3</v>
      </c>
      <c r="G408" s="1303">
        <v>4.0425489277269122</v>
      </c>
      <c r="H408" s="1306">
        <v>6.6246323909761318E-2</v>
      </c>
      <c r="I408" s="1303">
        <v>0.14285708626148755</v>
      </c>
      <c r="J408" s="1306">
        <v>1.8330134715153123E-4</v>
      </c>
      <c r="K408" s="1303">
        <v>2.9430696727273296E-3</v>
      </c>
      <c r="L408" s="1288">
        <v>2.0000015033919292E-3</v>
      </c>
      <c r="M408" s="1230">
        <v>2.0000015033919292E-3</v>
      </c>
      <c r="N408" s="1303">
        <v>2.5948106348468603E-2</v>
      </c>
      <c r="O408" s="1288">
        <v>8.5861032168205679E-3</v>
      </c>
      <c r="P408" s="1237">
        <v>4.2930516084102839E-3</v>
      </c>
      <c r="Q408" s="1290">
        <v>0.14931644978330014</v>
      </c>
    </row>
    <row r="409" spans="1:17" s="212" customFormat="1" ht="15.5" x14ac:dyDescent="0.35">
      <c r="A409" s="198">
        <v>2022</v>
      </c>
      <c r="B409" s="197" t="s">
        <v>5838</v>
      </c>
      <c r="C409" s="197">
        <v>2007</v>
      </c>
      <c r="D409" s="225" t="str">
        <f t="shared" si="3"/>
        <v>2022_2007</v>
      </c>
      <c r="E409" s="1287">
        <v>0.28662409537215705</v>
      </c>
      <c r="F409" s="1306">
        <v>8.3540451927972201E-3</v>
      </c>
      <c r="G409" s="1303">
        <v>2.2014475849838115</v>
      </c>
      <c r="H409" s="1306">
        <v>5.8378129378839502E-2</v>
      </c>
      <c r="I409" s="1303">
        <v>7.6076965469473526E-2</v>
      </c>
      <c r="J409" s="1306">
        <v>1.8708590387614814E-4</v>
      </c>
      <c r="K409" s="1303">
        <v>2.9074657682041298E-3</v>
      </c>
      <c r="L409" s="1288">
        <v>2.0000015161766404E-3</v>
      </c>
      <c r="M409" s="1230">
        <v>2.0000015161766404E-3</v>
      </c>
      <c r="N409" s="1303">
        <v>2.5100965215043829E-2</v>
      </c>
      <c r="O409" s="1288">
        <v>6.1547041423126456E-3</v>
      </c>
      <c r="P409" s="1237">
        <v>3.0773520711563228E-3</v>
      </c>
      <c r="Q409" s="1290">
        <v>7.9516828261468664E-2</v>
      </c>
    </row>
    <row r="410" spans="1:17" s="212" customFormat="1" ht="15.5" x14ac:dyDescent="0.35">
      <c r="A410" s="198">
        <v>2022</v>
      </c>
      <c r="B410" s="197" t="s">
        <v>5838</v>
      </c>
      <c r="C410" s="197">
        <v>2008</v>
      </c>
      <c r="D410" s="225" t="str">
        <f t="shared" si="3"/>
        <v>2022_2008</v>
      </c>
      <c r="E410" s="1287">
        <v>0.29201691321577522</v>
      </c>
      <c r="F410" s="1306">
        <v>7.8475353615165382E-3</v>
      </c>
      <c r="G410" s="1303">
        <v>2.278915741745474</v>
      </c>
      <c r="H410" s="1306">
        <v>4.4950782668486643E-2</v>
      </c>
      <c r="I410" s="1303">
        <v>7.7792375981205614E-2</v>
      </c>
      <c r="J410" s="1306">
        <v>2.1203240554072312E-4</v>
      </c>
      <c r="K410" s="1303">
        <v>2.9450959893032305E-3</v>
      </c>
      <c r="L410" s="1288">
        <v>2.0000016814536283E-3</v>
      </c>
      <c r="M410" s="1230">
        <v>2.0000016814536283E-3</v>
      </c>
      <c r="N410" s="1303">
        <v>2.5994641435868604E-2</v>
      </c>
      <c r="O410" s="1288">
        <v>6.0126278754511105E-3</v>
      </c>
      <c r="P410" s="1237">
        <v>3.0063139377255552E-3</v>
      </c>
      <c r="Q410" s="1290">
        <v>8.13098020245199E-2</v>
      </c>
    </row>
    <row r="411" spans="1:17" s="212" customFormat="1" ht="15.5" x14ac:dyDescent="0.35">
      <c r="A411" s="198">
        <v>2022</v>
      </c>
      <c r="B411" s="197" t="s">
        <v>5838</v>
      </c>
      <c r="C411" s="197">
        <v>2009</v>
      </c>
      <c r="D411" s="225" t="str">
        <f t="shared" si="3"/>
        <v>2022_2009</v>
      </c>
      <c r="E411" s="1287">
        <v>0.2683962299633329</v>
      </c>
      <c r="F411" s="1306">
        <v>7.5667959553775473E-3</v>
      </c>
      <c r="G411" s="1303">
        <v>2.1002580679582685</v>
      </c>
      <c r="H411" s="1306">
        <v>3.4134211007973946E-2</v>
      </c>
      <c r="I411" s="1303">
        <v>7.1691495339386846E-2</v>
      </c>
      <c r="J411" s="1306">
        <v>2.4092833114274699E-4</v>
      </c>
      <c r="K411" s="1303">
        <v>2.8665553033161229E-3</v>
      </c>
      <c r="L411" s="1288">
        <v>2.0000017262979527E-3</v>
      </c>
      <c r="M411" s="1230">
        <v>2.0000017262979527E-3</v>
      </c>
      <c r="N411" s="1303">
        <v>2.412591732445139E-2</v>
      </c>
      <c r="O411" s="1288">
        <v>4.7342597585037062E-3</v>
      </c>
      <c r="P411" s="1237">
        <v>2.3671298792518531E-3</v>
      </c>
      <c r="Q411" s="1290">
        <v>7.4933066632334941E-2</v>
      </c>
    </row>
    <row r="412" spans="1:17" s="212" customFormat="1" ht="15.5" x14ac:dyDescent="0.35">
      <c r="A412" s="198">
        <v>2022</v>
      </c>
      <c r="B412" s="197" t="s">
        <v>5838</v>
      </c>
      <c r="C412" s="197">
        <v>2010</v>
      </c>
      <c r="D412" s="225" t="str">
        <f t="shared" si="3"/>
        <v>2022_2010</v>
      </c>
      <c r="E412" s="1287">
        <v>5.6960402765078119E-2</v>
      </c>
      <c r="F412" s="1306">
        <v>6.7778882307430273E-3</v>
      </c>
      <c r="G412" s="1303">
        <v>0.45675628099377807</v>
      </c>
      <c r="H412" s="1306">
        <v>3.134319349636791E-2</v>
      </c>
      <c r="I412" s="1303">
        <v>1.3872437923639114E-2</v>
      </c>
      <c r="J412" s="1306">
        <v>2.9676269992946969E-4</v>
      </c>
      <c r="K412" s="1303">
        <v>2.7197489160741993E-3</v>
      </c>
      <c r="L412" s="1288">
        <v>2.0000018164291647E-3</v>
      </c>
      <c r="M412" s="1230">
        <v>2.0000018164291647E-3</v>
      </c>
      <c r="N412" s="1303">
        <v>2.0616802805933122E-2</v>
      </c>
      <c r="O412" s="1288">
        <v>4.0631295188647935E-3</v>
      </c>
      <c r="P412" s="1237">
        <v>2.0315647594323968E-3</v>
      </c>
      <c r="Q412" s="1290">
        <v>1.4499688008514497E-2</v>
      </c>
    </row>
    <row r="413" spans="1:17" s="212" customFormat="1" ht="15.5" x14ac:dyDescent="0.35">
      <c r="A413" s="198">
        <v>2022</v>
      </c>
      <c r="B413" s="197" t="s">
        <v>5838</v>
      </c>
      <c r="C413" s="197">
        <v>2011</v>
      </c>
      <c r="D413" s="225" t="str">
        <f t="shared" si="3"/>
        <v>2022_2011</v>
      </c>
      <c r="E413" s="1287">
        <v>6.2716122700644375E-2</v>
      </c>
      <c r="F413" s="1306">
        <v>6.7213176715420842E-3</v>
      </c>
      <c r="G413" s="1303">
        <v>0.51325631988868792</v>
      </c>
      <c r="H413" s="1306">
        <v>3.049802787924108E-2</v>
      </c>
      <c r="I413" s="1303">
        <v>1.4647064136402271E-2</v>
      </c>
      <c r="J413" s="1306">
        <v>3.9631182924836398E-4</v>
      </c>
      <c r="K413" s="1303">
        <v>2.8404256827548689E-3</v>
      </c>
      <c r="L413" s="1288">
        <v>2.0000017637475513E-3</v>
      </c>
      <c r="M413" s="1230">
        <v>2.0000017637475513E-3</v>
      </c>
      <c r="N413" s="1303">
        <v>2.3497061803133358E-2</v>
      </c>
      <c r="O413" s="1288">
        <v>4.8031759093419731E-3</v>
      </c>
      <c r="P413" s="1237">
        <v>2.4015879546709865E-3</v>
      </c>
      <c r="Q413" s="1290">
        <v>1.530933938126583E-2</v>
      </c>
    </row>
    <row r="414" spans="1:17" s="212" customFormat="1" ht="15.5" x14ac:dyDescent="0.35">
      <c r="A414" s="198">
        <v>2022</v>
      </c>
      <c r="B414" s="197" t="s">
        <v>5838</v>
      </c>
      <c r="C414" s="197">
        <v>2012</v>
      </c>
      <c r="D414" s="225" t="str">
        <f t="shared" si="3"/>
        <v>2022_2012</v>
      </c>
      <c r="E414" s="1287">
        <v>4.4152956281708101E-2</v>
      </c>
      <c r="F414" s="1306">
        <v>6.2792260311745011E-3</v>
      </c>
      <c r="G414" s="1303">
        <v>0.32754987187195278</v>
      </c>
      <c r="H414" s="1306">
        <v>2.868898052916179E-2</v>
      </c>
      <c r="I414" s="1303">
        <v>1.0567033117937346E-2</v>
      </c>
      <c r="J414" s="1306">
        <v>5.7575724329850004E-4</v>
      </c>
      <c r="K414" s="1303">
        <v>2.5345053023737543E-3</v>
      </c>
      <c r="L414" s="1288">
        <v>2.0000018098706601E-3</v>
      </c>
      <c r="M414" s="1230">
        <v>2.0000018098706601E-3</v>
      </c>
      <c r="N414" s="1303">
        <v>1.613779967544738E-2</v>
      </c>
      <c r="O414" s="1288">
        <v>5.1596969076115971E-3</v>
      </c>
      <c r="P414" s="1237">
        <v>2.5798484538057985E-3</v>
      </c>
      <c r="Q414" s="1290">
        <v>1.1044827465015488E-2</v>
      </c>
    </row>
    <row r="415" spans="1:17" s="212" customFormat="1" ht="15.5" x14ac:dyDescent="0.35">
      <c r="A415" s="198">
        <v>2022</v>
      </c>
      <c r="B415" s="197" t="s">
        <v>5838</v>
      </c>
      <c r="C415" s="197">
        <v>2013</v>
      </c>
      <c r="D415" s="225" t="str">
        <f t="shared" si="3"/>
        <v>2022_2013</v>
      </c>
      <c r="E415" s="1287">
        <v>5.8446182722791819E-2</v>
      </c>
      <c r="F415" s="1306">
        <v>6.7387149225871888E-3</v>
      </c>
      <c r="G415" s="1303">
        <v>0.46056529561839638</v>
      </c>
      <c r="H415" s="1306">
        <v>2.8715033084591099E-2</v>
      </c>
      <c r="I415" s="1303">
        <v>1.280055044162927E-2</v>
      </c>
      <c r="J415" s="1306">
        <v>8.6073745929166089E-4</v>
      </c>
      <c r="K415" s="1303">
        <v>2.7969466089308261E-3</v>
      </c>
      <c r="L415" s="1288">
        <v>2.0000018117694003E-3</v>
      </c>
      <c r="M415" s="1230">
        <v>2.0000018117694003E-3</v>
      </c>
      <c r="N415" s="1303">
        <v>2.2437242204786368E-2</v>
      </c>
      <c r="O415" s="1288">
        <v>5.1521542357954248E-3</v>
      </c>
      <c r="P415" s="1237">
        <v>2.5760771178977124E-3</v>
      </c>
      <c r="Q415" s="1290">
        <v>1.3379334530998358E-2</v>
      </c>
    </row>
    <row r="416" spans="1:17" s="212" customFormat="1" ht="15.5" x14ac:dyDescent="0.35">
      <c r="A416" s="198">
        <v>2022</v>
      </c>
      <c r="B416" s="197" t="s">
        <v>5838</v>
      </c>
      <c r="C416" s="197">
        <v>2014</v>
      </c>
      <c r="D416" s="225" t="str">
        <f t="shared" si="3"/>
        <v>2022_2014</v>
      </c>
      <c r="E416" s="1287">
        <v>4.8661890055770214E-2</v>
      </c>
      <c r="F416" s="1306">
        <v>6.7272841128850061E-3</v>
      </c>
      <c r="G416" s="1303">
        <v>0.36436656591979194</v>
      </c>
      <c r="H416" s="1306">
        <v>2.7806894983651857E-2</v>
      </c>
      <c r="I416" s="1303">
        <v>1.0544340439781343E-2</v>
      </c>
      <c r="J416" s="1306">
        <v>1.2131093278290052E-3</v>
      </c>
      <c r="K416" s="1303">
        <v>2.6432483527177378E-3</v>
      </c>
      <c r="L416" s="1288">
        <v>2.0000018067748331E-3</v>
      </c>
      <c r="M416" s="1230">
        <v>2.0000018067748331E-3</v>
      </c>
      <c r="N416" s="1303">
        <v>1.8714591040905875E-2</v>
      </c>
      <c r="O416" s="1288">
        <v>4.3688449005233497E-3</v>
      </c>
      <c r="P416" s="1237">
        <v>2.1844224502616748E-3</v>
      </c>
      <c r="Q416" s="1290">
        <v>1.1021108724650504E-2</v>
      </c>
    </row>
    <row r="417" spans="1:17" s="212" customFormat="1" ht="15.5" x14ac:dyDescent="0.35">
      <c r="A417" s="198">
        <v>2022</v>
      </c>
      <c r="B417" s="197" t="s">
        <v>5838</v>
      </c>
      <c r="C417" s="197">
        <v>2015</v>
      </c>
      <c r="D417" s="225" t="str">
        <f t="shared" si="3"/>
        <v>2022_2015</v>
      </c>
      <c r="E417" s="1287">
        <v>4.37077029483805E-2</v>
      </c>
      <c r="F417" s="1306">
        <v>6.4707849102828754E-3</v>
      </c>
      <c r="G417" s="1303">
        <v>0.31737321868748597</v>
      </c>
      <c r="H417" s="1306">
        <v>2.6059373793967291E-2</v>
      </c>
      <c r="I417" s="1303">
        <v>9.2429874270922776E-3</v>
      </c>
      <c r="J417" s="1306">
        <v>1.5065999195999534E-3</v>
      </c>
      <c r="K417" s="1303">
        <v>2.5783168504213147E-3</v>
      </c>
      <c r="L417" s="1288">
        <v>2.0000017767324513E-3</v>
      </c>
      <c r="M417" s="1230">
        <v>2.0000017767324513E-3</v>
      </c>
      <c r="N417" s="1303">
        <v>1.7110541492564607E-2</v>
      </c>
      <c r="O417" s="1288">
        <v>5.0761372770556212E-3</v>
      </c>
      <c r="P417" s="1237">
        <v>2.5380686385278106E-3</v>
      </c>
      <c r="Q417" s="1290">
        <v>9.6609143033961654E-3</v>
      </c>
    </row>
    <row r="418" spans="1:17" s="212" customFormat="1" ht="15.5" x14ac:dyDescent="0.35">
      <c r="A418" s="198">
        <v>2022</v>
      </c>
      <c r="B418" s="197" t="s">
        <v>5838</v>
      </c>
      <c r="C418" s="197">
        <v>2016</v>
      </c>
      <c r="D418" s="225" t="str">
        <f t="shared" si="3"/>
        <v>2022_2016</v>
      </c>
      <c r="E418" s="1287">
        <v>5.2655747345498251E-2</v>
      </c>
      <c r="F418" s="1306">
        <v>6.253223274346984E-3</v>
      </c>
      <c r="G418" s="1303">
        <v>0.35065477270978213</v>
      </c>
      <c r="H418" s="1306">
        <v>2.4562381348478234E-2</v>
      </c>
      <c r="I418" s="1303">
        <v>1.007366028330221E-2</v>
      </c>
      <c r="J418" s="1306">
        <v>1.7164691828299879E-3</v>
      </c>
      <c r="K418" s="1303">
        <v>2.7724001372468033E-3</v>
      </c>
      <c r="L418" s="1288">
        <v>2.000001715231329E-3</v>
      </c>
      <c r="M418" s="1230">
        <v>2.000001715231329E-3</v>
      </c>
      <c r="N418" s="1303">
        <v>2.1788279989179152E-2</v>
      </c>
      <c r="O418" s="1288">
        <v>5.8296871470095791E-3</v>
      </c>
      <c r="P418" s="1237">
        <v>2.9148435735047895E-3</v>
      </c>
      <c r="Q418" s="1290">
        <v>1.0529146500107681E-2</v>
      </c>
    </row>
    <row r="419" spans="1:17" s="212" customFormat="1" ht="15.5" x14ac:dyDescent="0.35">
      <c r="A419" s="198">
        <v>2022</v>
      </c>
      <c r="B419" s="197" t="s">
        <v>5838</v>
      </c>
      <c r="C419" s="197">
        <v>2017</v>
      </c>
      <c r="D419" s="225" t="str">
        <f t="shared" si="3"/>
        <v>2022_2017</v>
      </c>
      <c r="E419" s="1287">
        <v>5.3765529243749541E-2</v>
      </c>
      <c r="F419" s="1306">
        <v>5.8626488675066661E-3</v>
      </c>
      <c r="G419" s="1303">
        <v>0.30721112779782561</v>
      </c>
      <c r="H419" s="1306">
        <v>2.2933289779007653E-2</v>
      </c>
      <c r="I419" s="1303">
        <v>9.5365733640491116E-3</v>
      </c>
      <c r="J419" s="1306">
        <v>1.8450113174017591E-3</v>
      </c>
      <c r="K419" s="1303">
        <v>2.816722653901608E-3</v>
      </c>
      <c r="L419" s="1288">
        <v>2.000001689949348E-3</v>
      </c>
      <c r="M419" s="1230">
        <v>2.000001689949348E-3</v>
      </c>
      <c r="N419" s="1303">
        <v>2.2853504431346899E-2</v>
      </c>
      <c r="O419" s="1288">
        <v>5.7627484591319146E-3</v>
      </c>
      <c r="P419" s="1237">
        <v>2.8813742295659573E-3</v>
      </c>
      <c r="Q419" s="1290">
        <v>9.9677748936538198E-3</v>
      </c>
    </row>
    <row r="420" spans="1:17" s="212" customFormat="1" ht="15.5" x14ac:dyDescent="0.35">
      <c r="A420" s="198">
        <v>2022</v>
      </c>
      <c r="B420" s="197" t="s">
        <v>5838</v>
      </c>
      <c r="C420" s="197">
        <v>2018</v>
      </c>
      <c r="D420" s="225" t="str">
        <f t="shared" si="3"/>
        <v>2022_2018</v>
      </c>
      <c r="E420" s="1287">
        <v>4.8142368309880279E-2</v>
      </c>
      <c r="F420" s="1306">
        <v>5.5365104952620012E-3</v>
      </c>
      <c r="G420" s="1303">
        <v>0.22001530060580915</v>
      </c>
      <c r="H420" s="1306">
        <v>2.144913796935647E-2</v>
      </c>
      <c r="I420" s="1303">
        <v>8.0664282793094459E-3</v>
      </c>
      <c r="J420" s="1306">
        <v>1.9458623576663538E-3</v>
      </c>
      <c r="K420" s="1303">
        <v>2.7294436083870077E-3</v>
      </c>
      <c r="L420" s="1288">
        <v>2.0000016811167402E-3</v>
      </c>
      <c r="M420" s="1230">
        <v>2.0000016811167402E-3</v>
      </c>
      <c r="N420" s="1303">
        <v>2.0710957801328589E-2</v>
      </c>
      <c r="O420" s="1288">
        <v>5.1660570666273138E-3</v>
      </c>
      <c r="P420" s="1237">
        <v>2.5830285333136569E-3</v>
      </c>
      <c r="Q420" s="1290">
        <v>8.4311563718544556E-3</v>
      </c>
    </row>
    <row r="421" spans="1:17" s="212" customFormat="1" ht="15.5" x14ac:dyDescent="0.35">
      <c r="A421" s="198">
        <v>2022</v>
      </c>
      <c r="B421" s="197" t="s">
        <v>5838</v>
      </c>
      <c r="C421" s="197">
        <v>2019</v>
      </c>
      <c r="D421" s="225" t="str">
        <f t="shared" si="3"/>
        <v>2022_2019</v>
      </c>
      <c r="E421" s="1287">
        <v>5.5830475367582184E-2</v>
      </c>
      <c r="F421" s="1306">
        <v>5.2202879278981972E-3</v>
      </c>
      <c r="G421" s="1303">
        <v>0.22071806687229939</v>
      </c>
      <c r="H421" s="1306">
        <v>1.9981038274221787E-2</v>
      </c>
      <c r="I421" s="1303">
        <v>8.1012961775911042E-3</v>
      </c>
      <c r="J421" s="1306">
        <v>1.8467210461348255E-3</v>
      </c>
      <c r="K421" s="1303">
        <v>2.9172648312831106E-3</v>
      </c>
      <c r="L421" s="1288">
        <v>2.0000016141686855E-3</v>
      </c>
      <c r="M421" s="1230">
        <v>2.0000016141686855E-3</v>
      </c>
      <c r="N421" s="1303">
        <v>2.5281915578978471E-2</v>
      </c>
      <c r="O421" s="1288">
        <v>5.1887184827607395E-3</v>
      </c>
      <c r="P421" s="1237">
        <v>2.5943592413803698E-3</v>
      </c>
      <c r="Q421" s="1290">
        <v>8.4676008417724127E-3</v>
      </c>
    </row>
    <row r="422" spans="1:17" s="212" customFormat="1" ht="15.5" x14ac:dyDescent="0.35">
      <c r="A422" s="198">
        <v>2022</v>
      </c>
      <c r="B422" s="197" t="s">
        <v>5838</v>
      </c>
      <c r="C422" s="197">
        <v>2020</v>
      </c>
      <c r="D422" s="225" t="str">
        <f t="shared" si="3"/>
        <v>2022_2020</v>
      </c>
      <c r="E422" s="1287">
        <v>4.6752384528382936E-2</v>
      </c>
      <c r="F422" s="1306">
        <v>4.8108835476250054E-3</v>
      </c>
      <c r="G422" s="1303">
        <v>0.15862378975770106</v>
      </c>
      <c r="H422" s="1306">
        <v>1.8417856004080142E-2</v>
      </c>
      <c r="I422" s="1303">
        <v>6.2915039775450644E-3</v>
      </c>
      <c r="J422" s="1306">
        <v>1.36549620361464E-3</v>
      </c>
      <c r="K422" s="1303">
        <v>2.8709145920146001E-3</v>
      </c>
      <c r="L422" s="1288">
        <v>2.0000017316803105E-3</v>
      </c>
      <c r="M422" s="1230">
        <v>2.0000017316803105E-3</v>
      </c>
      <c r="N422" s="1303">
        <v>2.414850578377449E-2</v>
      </c>
      <c r="O422" s="1288">
        <v>5.2476703776460805E-3</v>
      </c>
      <c r="P422" s="1237">
        <v>2.6238351888230402E-3</v>
      </c>
      <c r="Q422" s="1290">
        <v>6.5759778692742387E-3</v>
      </c>
    </row>
    <row r="423" spans="1:17" s="212" customFormat="1" ht="15.5" x14ac:dyDescent="0.35">
      <c r="A423" s="198">
        <v>2022</v>
      </c>
      <c r="B423" s="197" t="s">
        <v>5838</v>
      </c>
      <c r="C423" s="197">
        <v>2021</v>
      </c>
      <c r="D423" s="225" t="str">
        <f t="shared" si="3"/>
        <v>2022_2021</v>
      </c>
      <c r="E423" s="1287">
        <v>4.4444007063473914E-2</v>
      </c>
      <c r="F423" s="1306">
        <v>4.3679114242783437E-3</v>
      </c>
      <c r="G423" s="1303">
        <v>0.11951300469845427</v>
      </c>
      <c r="H423" s="1306">
        <v>1.6833220254123354E-2</v>
      </c>
      <c r="I423" s="1303">
        <v>4.9215261137726578E-3</v>
      </c>
      <c r="J423" s="1306">
        <v>8.890510064772819E-4</v>
      </c>
      <c r="K423" s="1303">
        <v>2.870027120435722E-3</v>
      </c>
      <c r="L423" s="1288">
        <v>2.0000017645960375E-3</v>
      </c>
      <c r="M423" s="1230">
        <v>2.0000017645960375E-3</v>
      </c>
      <c r="N423" s="1303">
        <v>2.4116200618741132E-2</v>
      </c>
      <c r="O423" s="1288">
        <v>5.1663319981923601E-3</v>
      </c>
      <c r="P423" s="1237">
        <v>2.58316599909618E-3</v>
      </c>
      <c r="Q423" s="1290">
        <v>5.1440556856887773E-3</v>
      </c>
    </row>
    <row r="424" spans="1:17" s="212" customFormat="1" ht="15.5" x14ac:dyDescent="0.35">
      <c r="A424" s="198">
        <v>2022</v>
      </c>
      <c r="B424" s="197" t="s">
        <v>5838</v>
      </c>
      <c r="C424" s="197">
        <v>2022</v>
      </c>
      <c r="D424" s="225" t="str">
        <f t="shared" si="3"/>
        <v>2022_2022</v>
      </c>
      <c r="E424" s="1287">
        <v>4.2257330719557638E-2</v>
      </c>
      <c r="F424" s="1306">
        <v>3.8978887758364996E-3</v>
      </c>
      <c r="G424" s="1303">
        <v>8.4306973227707971E-2</v>
      </c>
      <c r="H424" s="1306">
        <v>1.5041764266106469E-2</v>
      </c>
      <c r="I424" s="1303">
        <v>3.7840154331993852E-3</v>
      </c>
      <c r="J424" s="1306">
        <v>8.8949152380484874E-4</v>
      </c>
      <c r="K424" s="1303">
        <v>2.8537229732467401E-3</v>
      </c>
      <c r="L424" s="1288">
        <v>2.000001864216542E-3</v>
      </c>
      <c r="M424" s="1230">
        <v>2.000001864216542E-3</v>
      </c>
      <c r="N424" s="1303">
        <v>2.3705577717014543E-2</v>
      </c>
      <c r="O424" s="1288">
        <v>4.7562187761711634E-3</v>
      </c>
      <c r="P424" s="1237">
        <v>2.3781093880855817E-3</v>
      </c>
      <c r="Q424" s="1290">
        <v>3.9551118197688681E-3</v>
      </c>
    </row>
    <row r="425" spans="1:17" s="212" customFormat="1" ht="15.5" x14ac:dyDescent="0.35">
      <c r="A425" s="198">
        <v>2022</v>
      </c>
      <c r="B425" s="197" t="s">
        <v>5838</v>
      </c>
      <c r="C425" s="197">
        <v>2023</v>
      </c>
      <c r="D425" s="225" t="str">
        <f t="shared" si="3"/>
        <v>2022_2023</v>
      </c>
      <c r="E425" s="1291">
        <v>4.2257330719557638E-2</v>
      </c>
      <c r="F425" s="1280">
        <v>3.8978887758364996E-3</v>
      </c>
      <c r="G425" s="1271">
        <v>8.4306973227707971E-2</v>
      </c>
      <c r="H425" s="1280">
        <v>1.5041764266106469E-2</v>
      </c>
      <c r="I425" s="1271">
        <v>3.7840154331993852E-3</v>
      </c>
      <c r="J425" s="1280">
        <v>8.8949152380484874E-4</v>
      </c>
      <c r="K425" s="1271">
        <v>2.8537229732467401E-3</v>
      </c>
      <c r="L425" s="1257">
        <v>2.000001864216542E-3</v>
      </c>
      <c r="M425" s="1230">
        <v>2.000001864216542E-3</v>
      </c>
      <c r="N425" s="1271">
        <v>2.3705577717014543E-2</v>
      </c>
      <c r="O425" s="1257">
        <v>4.7562187761711634E-3</v>
      </c>
      <c r="P425" s="1237">
        <v>2.3781093880855817E-3</v>
      </c>
      <c r="Q425" s="1292">
        <v>3.9551118197688681E-3</v>
      </c>
    </row>
    <row r="426" spans="1:17" s="212" customFormat="1" ht="15.5" x14ac:dyDescent="0.35">
      <c r="A426" s="198">
        <v>2023</v>
      </c>
      <c r="B426" s="197" t="s">
        <v>5838</v>
      </c>
      <c r="C426" s="197">
        <v>1971</v>
      </c>
      <c r="D426" s="225" t="str">
        <f t="shared" si="3"/>
        <v>2023_1971</v>
      </c>
      <c r="E426" s="1291">
        <v>0.73866130172631739</v>
      </c>
      <c r="F426" s="1280">
        <v>1.752234263191353</v>
      </c>
      <c r="G426" s="1271">
        <v>2.2699582753784231</v>
      </c>
      <c r="H426" s="1280">
        <v>4.4651106528876365</v>
      </c>
      <c r="I426" s="1271">
        <v>0.51555008418986437</v>
      </c>
      <c r="J426" s="1280">
        <v>4.4742265622713148E-2</v>
      </c>
      <c r="K426" s="1271">
        <v>2.0366175256936463E-3</v>
      </c>
      <c r="L426" s="1257">
        <v>2.0000012314671392E-3</v>
      </c>
      <c r="M426" s="1230">
        <v>2.0000012314671392E-3</v>
      </c>
      <c r="N426" s="1271">
        <v>4.3345388433234117E-3</v>
      </c>
      <c r="O426" s="1257">
        <v>8.6381670547529977E-3</v>
      </c>
      <c r="P426" s="1237">
        <v>4.3190835273764988E-3</v>
      </c>
      <c r="Q426" s="1292">
        <v>0.53886097127731336</v>
      </c>
    </row>
    <row r="427" spans="1:17" s="212" customFormat="1" ht="15.5" x14ac:dyDescent="0.35">
      <c r="A427" s="198">
        <v>2023</v>
      </c>
      <c r="B427" s="197" t="s">
        <v>5838</v>
      </c>
      <c r="C427" s="197">
        <v>1972</v>
      </c>
      <c r="D427" s="225" t="str">
        <f t="shared" si="3"/>
        <v>2023_1972</v>
      </c>
      <c r="E427" s="1291">
        <v>0.73866130172631739</v>
      </c>
      <c r="F427" s="1280">
        <v>1.752234263191353</v>
      </c>
      <c r="G427" s="1271">
        <v>2.2699582753784231</v>
      </c>
      <c r="H427" s="1280">
        <v>4.4651106528876365</v>
      </c>
      <c r="I427" s="1271">
        <v>0.51555008418986437</v>
      </c>
      <c r="J427" s="1280">
        <v>4.4742265622713148E-2</v>
      </c>
      <c r="K427" s="1271">
        <v>2.0366175256936463E-3</v>
      </c>
      <c r="L427" s="1257">
        <v>2.0000012314671392E-3</v>
      </c>
      <c r="M427" s="1230">
        <v>2.0000012314671392E-3</v>
      </c>
      <c r="N427" s="1271">
        <v>4.3345388433234117E-3</v>
      </c>
      <c r="O427" s="1257">
        <v>8.6381670547529977E-3</v>
      </c>
      <c r="P427" s="1237">
        <v>4.3190835273764988E-3</v>
      </c>
      <c r="Q427" s="1292">
        <v>0.53886097127731336</v>
      </c>
    </row>
    <row r="428" spans="1:17" s="212" customFormat="1" ht="15.5" x14ac:dyDescent="0.35">
      <c r="A428" s="198">
        <v>2023</v>
      </c>
      <c r="B428" s="197" t="s">
        <v>5838</v>
      </c>
      <c r="C428" s="197">
        <v>1973</v>
      </c>
      <c r="D428" s="225" t="str">
        <f t="shared" si="3"/>
        <v>2023_1973</v>
      </c>
      <c r="E428" s="1291">
        <v>0.73866130172631739</v>
      </c>
      <c r="F428" s="1280">
        <v>1.752234263191353</v>
      </c>
      <c r="G428" s="1271">
        <v>2.2699582753784231</v>
      </c>
      <c r="H428" s="1280">
        <v>4.4651106528876365</v>
      </c>
      <c r="I428" s="1271">
        <v>0.51555008418986437</v>
      </c>
      <c r="J428" s="1280">
        <v>4.4742265622713148E-2</v>
      </c>
      <c r="K428" s="1271">
        <v>2.0366175256936463E-3</v>
      </c>
      <c r="L428" s="1257">
        <v>2.0000012314671392E-3</v>
      </c>
      <c r="M428" s="1230">
        <v>2.0000012314671392E-3</v>
      </c>
      <c r="N428" s="1271">
        <v>4.3345388433234117E-3</v>
      </c>
      <c r="O428" s="1257">
        <v>8.6381670547529977E-3</v>
      </c>
      <c r="P428" s="1237">
        <v>4.3190835273764988E-3</v>
      </c>
      <c r="Q428" s="1292">
        <v>0.53886097127731336</v>
      </c>
    </row>
    <row r="429" spans="1:17" s="212" customFormat="1" ht="15.5" x14ac:dyDescent="0.35">
      <c r="A429" s="198">
        <v>2023</v>
      </c>
      <c r="B429" s="197" t="s">
        <v>5838</v>
      </c>
      <c r="C429" s="197">
        <v>1974</v>
      </c>
      <c r="D429" s="225" t="str">
        <f t="shared" si="3"/>
        <v>2023_1974</v>
      </c>
      <c r="E429" s="1291">
        <v>0.73866130172631739</v>
      </c>
      <c r="F429" s="1280">
        <v>1.752234263191353</v>
      </c>
      <c r="G429" s="1271">
        <v>2.2699582753784231</v>
      </c>
      <c r="H429" s="1280">
        <v>4.4651106528876365</v>
      </c>
      <c r="I429" s="1271">
        <v>0.51555008418986437</v>
      </c>
      <c r="J429" s="1280">
        <v>4.4742265622713148E-2</v>
      </c>
      <c r="K429" s="1271">
        <v>2.0366175256936463E-3</v>
      </c>
      <c r="L429" s="1257">
        <v>2.0000012314671392E-3</v>
      </c>
      <c r="M429" s="1230">
        <v>2.0000012314671392E-3</v>
      </c>
      <c r="N429" s="1271">
        <v>4.3345388433234117E-3</v>
      </c>
      <c r="O429" s="1257">
        <v>8.6381670547529977E-3</v>
      </c>
      <c r="P429" s="1237">
        <v>4.3190835273764988E-3</v>
      </c>
      <c r="Q429" s="1292">
        <v>0.53886097127731336</v>
      </c>
    </row>
    <row r="430" spans="1:17" s="212" customFormat="1" ht="15.5" x14ac:dyDescent="0.35">
      <c r="A430" s="198">
        <v>2023</v>
      </c>
      <c r="B430" s="197" t="s">
        <v>5838</v>
      </c>
      <c r="C430" s="197">
        <v>1975</v>
      </c>
      <c r="D430" s="225" t="str">
        <f t="shared" si="3"/>
        <v>2023_1975</v>
      </c>
      <c r="E430" s="1291">
        <v>0.73866130172631739</v>
      </c>
      <c r="F430" s="1280">
        <v>1.752234263191353</v>
      </c>
      <c r="G430" s="1271">
        <v>2.2699582753784231</v>
      </c>
      <c r="H430" s="1280">
        <v>4.4651106528876365</v>
      </c>
      <c r="I430" s="1271">
        <v>0.51555008418986437</v>
      </c>
      <c r="J430" s="1280">
        <v>4.4742265622713148E-2</v>
      </c>
      <c r="K430" s="1271">
        <v>2.0366175256936463E-3</v>
      </c>
      <c r="L430" s="1257">
        <v>2.0000012314671392E-3</v>
      </c>
      <c r="M430" s="1230">
        <v>2.0000012314671392E-3</v>
      </c>
      <c r="N430" s="1271">
        <v>4.3345388433234117E-3</v>
      </c>
      <c r="O430" s="1257">
        <v>8.6381670547529977E-3</v>
      </c>
      <c r="P430" s="1237">
        <v>4.3190835273764988E-3</v>
      </c>
      <c r="Q430" s="1292">
        <v>0.53886097127731336</v>
      </c>
    </row>
    <row r="431" spans="1:17" s="212" customFormat="1" ht="15.5" x14ac:dyDescent="0.35">
      <c r="A431" s="198">
        <v>2023</v>
      </c>
      <c r="B431" s="197" t="s">
        <v>5838</v>
      </c>
      <c r="C431" s="197">
        <v>1976</v>
      </c>
      <c r="D431" s="225" t="str">
        <f t="shared" si="3"/>
        <v>2023_1976</v>
      </c>
      <c r="E431" s="1291">
        <v>0.73866130172631739</v>
      </c>
      <c r="F431" s="1280">
        <v>1.752234263191353</v>
      </c>
      <c r="G431" s="1271">
        <v>2.2699582753784231</v>
      </c>
      <c r="H431" s="1280">
        <v>4.4651106528876365</v>
      </c>
      <c r="I431" s="1271">
        <v>0.51555008418986437</v>
      </c>
      <c r="J431" s="1280">
        <v>4.4742265622713148E-2</v>
      </c>
      <c r="K431" s="1271">
        <v>2.0366175256936463E-3</v>
      </c>
      <c r="L431" s="1257">
        <v>2.0000012314671392E-3</v>
      </c>
      <c r="M431" s="1230">
        <v>2.0000012314671392E-3</v>
      </c>
      <c r="N431" s="1271">
        <v>4.3345388433234117E-3</v>
      </c>
      <c r="O431" s="1257">
        <v>8.6381670547529977E-3</v>
      </c>
      <c r="P431" s="1237">
        <v>4.3190835273764988E-3</v>
      </c>
      <c r="Q431" s="1292">
        <v>0.53886097127731336</v>
      </c>
    </row>
    <row r="432" spans="1:17" s="212" customFormat="1" ht="15.5" x14ac:dyDescent="0.35">
      <c r="A432" s="198">
        <v>2023</v>
      </c>
      <c r="B432" s="197" t="s">
        <v>5838</v>
      </c>
      <c r="C432" s="197">
        <v>1977</v>
      </c>
      <c r="D432" s="225" t="str">
        <f t="shared" si="3"/>
        <v>2023_1977</v>
      </c>
      <c r="E432" s="1291">
        <v>0.73866130172631739</v>
      </c>
      <c r="F432" s="1280">
        <v>1.752234263191353</v>
      </c>
      <c r="G432" s="1271">
        <v>2.2699582753784231</v>
      </c>
      <c r="H432" s="1280">
        <v>4.4651106528876365</v>
      </c>
      <c r="I432" s="1271">
        <v>0.51555008418986437</v>
      </c>
      <c r="J432" s="1280">
        <v>4.4742265622713148E-2</v>
      </c>
      <c r="K432" s="1271">
        <v>2.0366175256936463E-3</v>
      </c>
      <c r="L432" s="1257">
        <v>2.0000012314671392E-3</v>
      </c>
      <c r="M432" s="1230">
        <v>2.0000012314671392E-3</v>
      </c>
      <c r="N432" s="1271">
        <v>4.3345388433234117E-3</v>
      </c>
      <c r="O432" s="1257">
        <v>8.6381670547529977E-3</v>
      </c>
      <c r="P432" s="1237">
        <v>4.3190835273764988E-3</v>
      </c>
      <c r="Q432" s="1292">
        <v>0.53886097127731336</v>
      </c>
    </row>
    <row r="433" spans="1:17" s="212" customFormat="1" ht="15.5" x14ac:dyDescent="0.35">
      <c r="A433" s="198">
        <v>2023</v>
      </c>
      <c r="B433" s="197" t="s">
        <v>5838</v>
      </c>
      <c r="C433" s="197">
        <v>1978</v>
      </c>
      <c r="D433" s="225" t="str">
        <f t="shared" si="3"/>
        <v>2023_1978</v>
      </c>
      <c r="E433" s="1291">
        <v>0.73866130172631739</v>
      </c>
      <c r="F433" s="1280">
        <v>1.752234263191353</v>
      </c>
      <c r="G433" s="1271">
        <v>2.2699582753784231</v>
      </c>
      <c r="H433" s="1280">
        <v>4.4651106528876365</v>
      </c>
      <c r="I433" s="1271">
        <v>0.51555008418986437</v>
      </c>
      <c r="J433" s="1280">
        <v>4.4742265622713148E-2</v>
      </c>
      <c r="K433" s="1271">
        <v>2.0366175256936463E-3</v>
      </c>
      <c r="L433" s="1257">
        <v>2.0000012314671392E-3</v>
      </c>
      <c r="M433" s="1230">
        <v>2.0000012314671392E-3</v>
      </c>
      <c r="N433" s="1271">
        <v>4.3345388433234117E-3</v>
      </c>
      <c r="O433" s="1257">
        <v>8.6381670547529977E-3</v>
      </c>
      <c r="P433" s="1237">
        <v>4.3190835273764988E-3</v>
      </c>
      <c r="Q433" s="1292">
        <v>0.53886097127731336</v>
      </c>
    </row>
    <row r="434" spans="1:17" s="212" customFormat="1" ht="15.5" x14ac:dyDescent="0.35">
      <c r="A434" s="198">
        <v>2023</v>
      </c>
      <c r="B434" s="197" t="s">
        <v>5838</v>
      </c>
      <c r="C434" s="197">
        <v>1979</v>
      </c>
      <c r="D434" s="225" t="str">
        <f t="shared" si="3"/>
        <v>2023_1979</v>
      </c>
      <c r="E434" s="1287">
        <v>0.73866130172631739</v>
      </c>
      <c r="F434" s="1306">
        <v>1.752234263191353</v>
      </c>
      <c r="G434" s="1303">
        <v>2.2699582753784231</v>
      </c>
      <c r="H434" s="1306">
        <v>4.4651106528876365</v>
      </c>
      <c r="I434" s="1303">
        <v>0.51555008418986437</v>
      </c>
      <c r="J434" s="1306">
        <v>4.4742265622713148E-2</v>
      </c>
      <c r="K434" s="1303">
        <v>2.0366175256936463E-3</v>
      </c>
      <c r="L434" s="1288">
        <v>2.0000012314671392E-3</v>
      </c>
      <c r="M434" s="1230">
        <v>2.0000012314671392E-3</v>
      </c>
      <c r="N434" s="1303">
        <v>4.3345388433234117E-3</v>
      </c>
      <c r="O434" s="1288">
        <v>8.6381670547529977E-3</v>
      </c>
      <c r="P434" s="1237">
        <v>4.3190835273764988E-3</v>
      </c>
      <c r="Q434" s="1290">
        <v>0.53886097127731336</v>
      </c>
    </row>
    <row r="435" spans="1:17" s="212" customFormat="1" ht="15.5" x14ac:dyDescent="0.35">
      <c r="A435" s="198">
        <v>2023</v>
      </c>
      <c r="B435" s="197" t="s">
        <v>5838</v>
      </c>
      <c r="C435" s="197">
        <v>1980</v>
      </c>
      <c r="D435" s="225" t="str">
        <f t="shared" si="3"/>
        <v>2023_1980</v>
      </c>
      <c r="E435" s="1287">
        <v>0.32040340734862582</v>
      </c>
      <c r="F435" s="1306">
        <v>2.1815095058714964</v>
      </c>
      <c r="G435" s="1303">
        <v>2.5486627707360516</v>
      </c>
      <c r="H435" s="1306">
        <v>4.2351753373614143</v>
      </c>
      <c r="I435" s="1303">
        <v>0.25455411214201373</v>
      </c>
      <c r="J435" s="1306">
        <v>3.4136356686463261E-2</v>
      </c>
      <c r="K435" s="1303">
        <v>2.2105742150941208E-3</v>
      </c>
      <c r="L435" s="1288">
        <v>2.0000010614102484E-3</v>
      </c>
      <c r="M435" s="1230">
        <v>2.0000010614102484E-3</v>
      </c>
      <c r="N435" s="1303">
        <v>8.8618457955191021E-3</v>
      </c>
      <c r="O435" s="1288">
        <v>1.5346953466819399E-2</v>
      </c>
      <c r="P435" s="1237">
        <v>7.6734767334096995E-3</v>
      </c>
      <c r="Q435" s="1290">
        <v>0.26606391952593228</v>
      </c>
    </row>
    <row r="436" spans="1:17" s="212" customFormat="1" ht="15.5" x14ac:dyDescent="0.35">
      <c r="A436" s="198">
        <v>2023</v>
      </c>
      <c r="B436" s="197" t="s">
        <v>5838</v>
      </c>
      <c r="C436" s="197">
        <v>1981</v>
      </c>
      <c r="D436" s="225" t="str">
        <f t="shared" si="3"/>
        <v>2023_1981</v>
      </c>
      <c r="E436" s="1287">
        <v>0.34228174942102418</v>
      </c>
      <c r="F436" s="1306">
        <v>2.1692619994908475</v>
      </c>
      <c r="G436" s="1303">
        <v>1.8735355127515818</v>
      </c>
      <c r="H436" s="1306">
        <v>3.802988632733058</v>
      </c>
      <c r="I436" s="1303">
        <v>0.2741074355563527</v>
      </c>
      <c r="J436" s="1306">
        <v>1.7476559300655763E-2</v>
      </c>
      <c r="K436" s="1303">
        <v>2.0158446007782055E-3</v>
      </c>
      <c r="L436" s="1288">
        <v>2.0000009243449205E-3</v>
      </c>
      <c r="M436" s="1230">
        <v>2.0000009243449205E-3</v>
      </c>
      <c r="N436" s="1303">
        <v>4.2508748493479513E-3</v>
      </c>
      <c r="O436" s="1288">
        <v>1.6978526857598143E-2</v>
      </c>
      <c r="P436" s="1237">
        <v>8.4892634287990713E-3</v>
      </c>
      <c r="Q436" s="1290">
        <v>0.28650135745848049</v>
      </c>
    </row>
    <row r="437" spans="1:17" s="212" customFormat="1" ht="15.5" x14ac:dyDescent="0.35">
      <c r="A437" s="198">
        <v>2023</v>
      </c>
      <c r="B437" s="197" t="s">
        <v>5838</v>
      </c>
      <c r="C437" s="197">
        <v>1982</v>
      </c>
      <c r="D437" s="225" t="str">
        <f t="shared" si="3"/>
        <v>2023_1982</v>
      </c>
      <c r="E437" s="1287">
        <v>0.2948572006127364</v>
      </c>
      <c r="F437" s="1306">
        <v>2.1794673793441341</v>
      </c>
      <c r="G437" s="1303">
        <v>3.1836450152035152</v>
      </c>
      <c r="H437" s="1306">
        <v>3.5836614697017</v>
      </c>
      <c r="I437" s="1303">
        <v>0.23196937161367848</v>
      </c>
      <c r="J437" s="1306">
        <v>1.7185950667727001E-2</v>
      </c>
      <c r="K437" s="1303">
        <v>2.3983525377517419E-3</v>
      </c>
      <c r="L437" s="1288">
        <v>2.0000009097839791E-3</v>
      </c>
      <c r="M437" s="1230">
        <v>2.0000009097839791E-3</v>
      </c>
      <c r="N437" s="1303">
        <v>1.3124158151905494E-2</v>
      </c>
      <c r="O437" s="1288">
        <v>1.8761573300965225E-2</v>
      </c>
      <c r="P437" s="1237">
        <v>9.3807866504826126E-3</v>
      </c>
      <c r="Q437" s="1290">
        <v>0.24245799724920739</v>
      </c>
    </row>
    <row r="438" spans="1:17" s="212" customFormat="1" ht="15.5" x14ac:dyDescent="0.35">
      <c r="A438" s="198">
        <v>2023</v>
      </c>
      <c r="B438" s="197" t="s">
        <v>5838</v>
      </c>
      <c r="C438" s="197">
        <v>1983</v>
      </c>
      <c r="D438" s="225" t="str">
        <f t="shared" si="3"/>
        <v>2023_1983</v>
      </c>
      <c r="E438" s="1287">
        <v>0.21368153114002084</v>
      </c>
      <c r="F438" s="1306">
        <v>1.8096930794864108</v>
      </c>
      <c r="G438" s="1303">
        <v>3.2854595511016282</v>
      </c>
      <c r="H438" s="1306">
        <v>3.4799236482534281</v>
      </c>
      <c r="I438" s="1303">
        <v>0.21298022190211571</v>
      </c>
      <c r="J438" s="1306">
        <v>1.7067174922331996E-2</v>
      </c>
      <c r="K438" s="1303">
        <v>2.4816966878733024E-3</v>
      </c>
      <c r="L438" s="1288">
        <v>2.00000088658977E-3</v>
      </c>
      <c r="M438" s="1230">
        <v>2.00000088658977E-3</v>
      </c>
      <c r="N438" s="1303">
        <v>1.5119777693039278E-2</v>
      </c>
      <c r="O438" s="1288">
        <v>1.6501588963749734E-2</v>
      </c>
      <c r="P438" s="1237">
        <v>8.2507944818748669E-3</v>
      </c>
      <c r="Q438" s="1290">
        <v>0.22261024245079197</v>
      </c>
    </row>
    <row r="439" spans="1:17" s="212" customFormat="1" ht="15.5" x14ac:dyDescent="0.35">
      <c r="A439" s="198">
        <v>2023</v>
      </c>
      <c r="B439" s="197" t="s">
        <v>5838</v>
      </c>
      <c r="C439" s="197">
        <v>1984</v>
      </c>
      <c r="D439" s="225" t="str">
        <f t="shared" si="3"/>
        <v>2023_1984</v>
      </c>
      <c r="E439" s="1287">
        <v>0.2625164163811648</v>
      </c>
      <c r="F439" s="1306">
        <v>1.3970468810732775</v>
      </c>
      <c r="G439" s="1303">
        <v>4.0223998066607818</v>
      </c>
      <c r="H439" s="1306">
        <v>3.4373865666465129</v>
      </c>
      <c r="I439" s="1303">
        <v>0.18469361646876736</v>
      </c>
      <c r="J439" s="1306">
        <v>1.7559907064540907E-2</v>
      </c>
      <c r="K439" s="1303">
        <v>2.7078785208483102E-3</v>
      </c>
      <c r="L439" s="1288">
        <v>2.0000008332160413E-3</v>
      </c>
      <c r="M439" s="1230">
        <v>2.0000008332160413E-3</v>
      </c>
      <c r="N439" s="1303">
        <v>2.0413015167600686E-2</v>
      </c>
      <c r="O439" s="1288">
        <v>1.6925923316044613E-2</v>
      </c>
      <c r="P439" s="1237">
        <v>8.4629616580223065E-3</v>
      </c>
      <c r="Q439" s="1290">
        <v>0.19304464223969983</v>
      </c>
    </row>
    <row r="440" spans="1:17" s="212" customFormat="1" ht="15.5" x14ac:dyDescent="0.35">
      <c r="A440" s="198">
        <v>2023</v>
      </c>
      <c r="B440" s="197" t="s">
        <v>5838</v>
      </c>
      <c r="C440" s="197">
        <v>1985</v>
      </c>
      <c r="D440" s="225" t="str">
        <f t="shared" si="3"/>
        <v>2023_1985</v>
      </c>
      <c r="E440" s="1287">
        <v>0.25151180623816038</v>
      </c>
      <c r="F440" s="1306">
        <v>1.3567134757970867</v>
      </c>
      <c r="G440" s="1303">
        <v>4.4538414438619451</v>
      </c>
      <c r="H440" s="1306">
        <v>3.1016701531059176</v>
      </c>
      <c r="I440" s="1303">
        <v>0.18156464149493795</v>
      </c>
      <c r="J440" s="1306">
        <v>1.6316041730910537E-2</v>
      </c>
      <c r="K440" s="1303">
        <v>2.8236706525946393E-3</v>
      </c>
      <c r="L440" s="1288">
        <v>2.0000009412297023E-3</v>
      </c>
      <c r="M440" s="1230">
        <v>2.0000009412297023E-3</v>
      </c>
      <c r="N440" s="1303">
        <v>2.3167034976187901E-2</v>
      </c>
      <c r="O440" s="1288">
        <v>1.6778659013742921E-2</v>
      </c>
      <c r="P440" s="1237">
        <v>8.3893295068714607E-3</v>
      </c>
      <c r="Q440" s="1290">
        <v>0.18977418890217468</v>
      </c>
    </row>
    <row r="441" spans="1:17" s="212" customFormat="1" ht="15.5" x14ac:dyDescent="0.35">
      <c r="A441" s="198">
        <v>2023</v>
      </c>
      <c r="B441" s="197" t="s">
        <v>5838</v>
      </c>
      <c r="C441" s="197">
        <v>1986</v>
      </c>
      <c r="D441" s="225" t="str">
        <f t="shared" ref="D441:D521" si="4">CONCATENATE(A441,"_",C441)</f>
        <v>2023_1986</v>
      </c>
      <c r="E441" s="1287">
        <v>0.24699408469805606</v>
      </c>
      <c r="F441" s="1306">
        <v>1.0785979703851838</v>
      </c>
      <c r="G441" s="1303">
        <v>4.6590162676623992</v>
      </c>
      <c r="H441" s="1306">
        <v>3.1777801083171542</v>
      </c>
      <c r="I441" s="1303">
        <v>0.18085523246402246</v>
      </c>
      <c r="J441" s="1306">
        <v>1.648216517173489E-2</v>
      </c>
      <c r="K441" s="1303">
        <v>2.8840819301558726E-3</v>
      </c>
      <c r="L441" s="1288">
        <v>2.0000009367922419E-3</v>
      </c>
      <c r="M441" s="1230">
        <v>2.0000009367922419E-3</v>
      </c>
      <c r="N441" s="1303">
        <v>2.4578133710572068E-2</v>
      </c>
      <c r="O441" s="1288">
        <v>1.5913413068301536E-2</v>
      </c>
      <c r="P441" s="1237">
        <v>7.9567065341507679E-3</v>
      </c>
      <c r="Q441" s="1290">
        <v>0.18903270354283694</v>
      </c>
    </row>
    <row r="442" spans="1:17" s="212" customFormat="1" ht="15.5" x14ac:dyDescent="0.35">
      <c r="A442" s="198">
        <v>2023</v>
      </c>
      <c r="B442" s="197" t="s">
        <v>5838</v>
      </c>
      <c r="C442" s="197">
        <v>1987</v>
      </c>
      <c r="D442" s="225" t="str">
        <f t="shared" si="4"/>
        <v>2023_1987</v>
      </c>
      <c r="E442" s="1287">
        <v>0.29490583144489807</v>
      </c>
      <c r="F442" s="1306">
        <v>1.1846262312382074</v>
      </c>
      <c r="G442" s="1303">
        <v>5.0659683251900525</v>
      </c>
      <c r="H442" s="1306">
        <v>3.0756527815228014</v>
      </c>
      <c r="I442" s="1303">
        <v>0.20006116675550145</v>
      </c>
      <c r="J442" s="1306">
        <v>1.677431907258559E-2</v>
      </c>
      <c r="K442" s="1303">
        <v>2.9629706635865682E-3</v>
      </c>
      <c r="L442" s="1288">
        <v>2.0000010732174325E-3</v>
      </c>
      <c r="M442" s="1230">
        <v>2.0000010732174325E-3</v>
      </c>
      <c r="N442" s="1303">
        <v>2.6432060291512387E-2</v>
      </c>
      <c r="O442" s="1288">
        <v>1.4188865097957927E-2</v>
      </c>
      <c r="P442" s="1237">
        <v>7.0944325489789633E-3</v>
      </c>
      <c r="Q442" s="1290">
        <v>0.20910704495790583</v>
      </c>
    </row>
    <row r="443" spans="1:17" s="212" customFormat="1" ht="15.5" x14ac:dyDescent="0.35">
      <c r="A443" s="198">
        <v>2023</v>
      </c>
      <c r="B443" s="197" t="s">
        <v>5838</v>
      </c>
      <c r="C443" s="197">
        <v>1988</v>
      </c>
      <c r="D443" s="225" t="str">
        <f t="shared" si="4"/>
        <v>2023_1988</v>
      </c>
      <c r="E443" s="1287">
        <v>0.29268372398696729</v>
      </c>
      <c r="F443" s="1306">
        <v>0.49969593961571673</v>
      </c>
      <c r="G443" s="1303">
        <v>5.1237761425888886</v>
      </c>
      <c r="H443" s="1306">
        <v>1.6573609880762543</v>
      </c>
      <c r="I443" s="1303">
        <v>0.19877631633797088</v>
      </c>
      <c r="J443" s="1306">
        <v>1.6096559860920404E-2</v>
      </c>
      <c r="K443" s="1303">
        <v>2.9740256007054458E-3</v>
      </c>
      <c r="L443" s="1288">
        <v>2.0000010896726894E-3</v>
      </c>
      <c r="M443" s="1230">
        <v>2.0000010896726894E-3</v>
      </c>
      <c r="N443" s="1303">
        <v>2.6695265451923873E-2</v>
      </c>
      <c r="O443" s="1288">
        <v>1.4182126428510125E-2</v>
      </c>
      <c r="P443" s="1237">
        <v>7.0910632142550624E-3</v>
      </c>
      <c r="Q443" s="1290">
        <v>0.20776409930593379</v>
      </c>
    </row>
    <row r="444" spans="1:17" s="212" customFormat="1" ht="15.5" x14ac:dyDescent="0.35">
      <c r="A444" s="198">
        <v>2023</v>
      </c>
      <c r="B444" s="197" t="s">
        <v>5838</v>
      </c>
      <c r="C444" s="197">
        <v>1989</v>
      </c>
      <c r="D444" s="225" t="str">
        <f t="shared" si="4"/>
        <v>2023_1989</v>
      </c>
      <c r="E444" s="1287">
        <v>0.29583024026584037</v>
      </c>
      <c r="F444" s="1306">
        <v>0.4413969655654042</v>
      </c>
      <c r="G444" s="1303">
        <v>5.0220722426721212</v>
      </c>
      <c r="H444" s="1306">
        <v>1.8783234701621112</v>
      </c>
      <c r="I444" s="1303">
        <v>0.2004694355277829</v>
      </c>
      <c r="J444" s="1306">
        <v>1.6233773022098313E-2</v>
      </c>
      <c r="K444" s="1303">
        <v>2.9521809813165913E-3</v>
      </c>
      <c r="L444" s="1288">
        <v>2.0000011414420364E-3</v>
      </c>
      <c r="M444" s="1230">
        <v>2.0000011414420364E-3</v>
      </c>
      <c r="N444" s="1303">
        <v>2.6182055989345577E-2</v>
      </c>
      <c r="O444" s="1288">
        <v>1.3236514581559417E-2</v>
      </c>
      <c r="P444" s="1237">
        <v>6.6182572907797083E-3</v>
      </c>
      <c r="Q444" s="1290">
        <v>0.20953377383240401</v>
      </c>
    </row>
    <row r="445" spans="1:17" s="212" customFormat="1" ht="15.5" x14ac:dyDescent="0.35">
      <c r="A445" s="198">
        <v>2023</v>
      </c>
      <c r="B445" s="197" t="s">
        <v>5838</v>
      </c>
      <c r="C445" s="197">
        <v>1990</v>
      </c>
      <c r="D445" s="225" t="str">
        <f t="shared" si="4"/>
        <v>2023_1990</v>
      </c>
      <c r="E445" s="1287">
        <v>0.29739299216265325</v>
      </c>
      <c r="F445" s="1306">
        <v>0.48499963323897943</v>
      </c>
      <c r="G445" s="1303">
        <v>5.0437957021068325</v>
      </c>
      <c r="H445" s="1306">
        <v>1.8585654477182116</v>
      </c>
      <c r="I445" s="1303">
        <v>0.20181864413763548</v>
      </c>
      <c r="J445" s="1306">
        <v>1.6404213792612046E-2</v>
      </c>
      <c r="K445" s="1303">
        <v>2.9659426454661402E-3</v>
      </c>
      <c r="L445" s="1288">
        <v>2.0000010952330987E-3</v>
      </c>
      <c r="M445" s="1230">
        <v>2.0000010952330987E-3</v>
      </c>
      <c r="N445" s="1303">
        <v>2.6502788749750029E-2</v>
      </c>
      <c r="O445" s="1288">
        <v>1.2776021693881277E-2</v>
      </c>
      <c r="P445" s="1237">
        <v>6.3880108469406387E-3</v>
      </c>
      <c r="Q445" s="1290">
        <v>0.21094398766856953</v>
      </c>
    </row>
    <row r="446" spans="1:17" s="212" customFormat="1" ht="15.5" x14ac:dyDescent="0.35">
      <c r="A446" s="198">
        <v>2023</v>
      </c>
      <c r="B446" s="197" t="s">
        <v>5838</v>
      </c>
      <c r="C446" s="197">
        <v>1991</v>
      </c>
      <c r="D446" s="225" t="str">
        <f t="shared" si="4"/>
        <v>2023_1991</v>
      </c>
      <c r="E446" s="1287">
        <v>0.37840992608733337</v>
      </c>
      <c r="F446" s="1306">
        <v>0.49694225997744812</v>
      </c>
      <c r="G446" s="1303">
        <v>8.9873982904252099</v>
      </c>
      <c r="H446" s="1306">
        <v>2.3161620557892992</v>
      </c>
      <c r="I446" s="1303">
        <v>5.7053129631008538E-2</v>
      </c>
      <c r="J446" s="1306">
        <v>9.1756562148474496E-3</v>
      </c>
      <c r="K446" s="1303">
        <v>2.9790088468620154E-3</v>
      </c>
      <c r="L446" s="1288">
        <v>2.0000011293830377E-3</v>
      </c>
      <c r="M446" s="1230">
        <v>2.0000011293830377E-3</v>
      </c>
      <c r="N446" s="1303">
        <v>2.6805819341006717E-2</v>
      </c>
      <c r="O446" s="1288">
        <v>1.1877778980776719E-2</v>
      </c>
      <c r="P446" s="1237">
        <v>5.9388894903883594E-3</v>
      </c>
      <c r="Q446" s="1290">
        <v>5.9632818983409615E-2</v>
      </c>
    </row>
    <row r="447" spans="1:17" s="212" customFormat="1" ht="15.5" x14ac:dyDescent="0.35">
      <c r="A447" s="198">
        <v>2023</v>
      </c>
      <c r="B447" s="197" t="s">
        <v>5838</v>
      </c>
      <c r="C447" s="197">
        <v>1992</v>
      </c>
      <c r="D447" s="225" t="str">
        <f t="shared" si="4"/>
        <v>2023_1992</v>
      </c>
      <c r="E447" s="1287">
        <v>0.37929190402629998</v>
      </c>
      <c r="F447" s="1306">
        <v>0.49800471176483502</v>
      </c>
      <c r="G447" s="1303">
        <v>8.7496084971132078</v>
      </c>
      <c r="H447" s="1306">
        <v>2.2240014319072459</v>
      </c>
      <c r="I447" s="1303">
        <v>6.1450708950659877E-2</v>
      </c>
      <c r="J447" s="1306">
        <v>9.3486085083295499E-3</v>
      </c>
      <c r="K447" s="1303">
        <v>2.9525402459427857E-3</v>
      </c>
      <c r="L447" s="1288">
        <v>2.000001165429195E-3</v>
      </c>
      <c r="M447" s="1230">
        <v>2.000001165429195E-3</v>
      </c>
      <c r="N447" s="1303">
        <v>2.6183256069129943E-2</v>
      </c>
      <c r="O447" s="1288">
        <v>1.0033617039889304E-2</v>
      </c>
      <c r="P447" s="1237">
        <v>5.0168085199446518E-3</v>
      </c>
      <c r="Q447" s="1290">
        <v>6.4229237325926281E-2</v>
      </c>
    </row>
    <row r="448" spans="1:17" s="212" customFormat="1" ht="15.5" x14ac:dyDescent="0.35">
      <c r="A448" s="198">
        <v>2023</v>
      </c>
      <c r="B448" s="197" t="s">
        <v>5838</v>
      </c>
      <c r="C448" s="197">
        <v>1993</v>
      </c>
      <c r="D448" s="225" t="str">
        <f t="shared" si="4"/>
        <v>2023_1993</v>
      </c>
      <c r="E448" s="1287">
        <v>0.37813076200098439</v>
      </c>
      <c r="F448" s="1306">
        <v>0.50195163497079176</v>
      </c>
      <c r="G448" s="1303">
        <v>9.0311666135400834</v>
      </c>
      <c r="H448" s="1306">
        <v>2.2473675736509557</v>
      </c>
      <c r="I448" s="1303">
        <v>5.4050060820118824E-2</v>
      </c>
      <c r="J448" s="1306">
        <v>9.3586027335397746E-3</v>
      </c>
      <c r="K448" s="1303">
        <v>2.9884002602914364E-3</v>
      </c>
      <c r="L448" s="1288">
        <v>2.0000011429124765E-3</v>
      </c>
      <c r="M448" s="1230">
        <v>2.0000011429124765E-3</v>
      </c>
      <c r="N448" s="1303">
        <v>2.7027743182230644E-2</v>
      </c>
      <c r="O448" s="1288">
        <v>1.1046199099047872E-2</v>
      </c>
      <c r="P448" s="1237">
        <v>5.523099549523936E-3</v>
      </c>
      <c r="Q448" s="1290">
        <v>5.6493964726811841E-2</v>
      </c>
    </row>
    <row r="449" spans="1:17" s="212" customFormat="1" ht="15.5" x14ac:dyDescent="0.35">
      <c r="A449" s="198">
        <v>2023</v>
      </c>
      <c r="B449" s="197" t="s">
        <v>5838</v>
      </c>
      <c r="C449" s="197">
        <v>1994</v>
      </c>
      <c r="D449" s="225" t="str">
        <f t="shared" si="4"/>
        <v>2023_1994</v>
      </c>
      <c r="E449" s="1287">
        <v>0.36070881190106047</v>
      </c>
      <c r="F449" s="1306">
        <v>0.50152156397493508</v>
      </c>
      <c r="G449" s="1303">
        <v>8.660536640572456</v>
      </c>
      <c r="H449" s="1306">
        <v>2.1041910538222255</v>
      </c>
      <c r="I449" s="1303">
        <v>5.4180534738629223E-2</v>
      </c>
      <c r="J449" s="1306">
        <v>9.5759010770566366E-3</v>
      </c>
      <c r="K449" s="1303">
        <v>2.9345867537747088E-3</v>
      </c>
      <c r="L449" s="1288">
        <v>2.0000013278156535E-3</v>
      </c>
      <c r="M449" s="1230">
        <v>2.0000013278156535E-3</v>
      </c>
      <c r="N449" s="1303">
        <v>2.5756767158639615E-2</v>
      </c>
      <c r="O449" s="1288">
        <v>8.165065305855616E-3</v>
      </c>
      <c r="P449" s="1237">
        <v>4.082532652927808E-3</v>
      </c>
      <c r="Q449" s="1290">
        <v>5.6630338096947903E-2</v>
      </c>
    </row>
    <row r="450" spans="1:17" s="212" customFormat="1" ht="15.5" x14ac:dyDescent="0.35">
      <c r="A450" s="198">
        <v>2023</v>
      </c>
      <c r="B450" s="197" t="s">
        <v>5838</v>
      </c>
      <c r="C450" s="197">
        <v>1995</v>
      </c>
      <c r="D450" s="225" t="str">
        <f t="shared" si="4"/>
        <v>2023_1995</v>
      </c>
      <c r="E450" s="1287">
        <v>0.37204528851716534</v>
      </c>
      <c r="F450" s="1306">
        <v>0.37166295897399543</v>
      </c>
      <c r="G450" s="1303">
        <v>9.1562855151881646</v>
      </c>
      <c r="H450" s="1306">
        <v>1.6532488060510884</v>
      </c>
      <c r="I450" s="1303">
        <v>5.3658798247719457E-2</v>
      </c>
      <c r="J450" s="1306">
        <v>8.6006672432345273E-3</v>
      </c>
      <c r="K450" s="1303">
        <v>2.9901528657005055E-3</v>
      </c>
      <c r="L450" s="1288">
        <v>2.000001215384252E-3</v>
      </c>
      <c r="M450" s="1230">
        <v>2.000001215384252E-3</v>
      </c>
      <c r="N450" s="1303">
        <v>2.7069284045250882E-2</v>
      </c>
      <c r="O450" s="1288">
        <v>1.0396923201124618E-2</v>
      </c>
      <c r="P450" s="1237">
        <v>5.1984616005623088E-3</v>
      </c>
      <c r="Q450" s="1290">
        <v>5.6085010997090519E-2</v>
      </c>
    </row>
    <row r="451" spans="1:17" s="212" customFormat="1" ht="15.5" x14ac:dyDescent="0.35">
      <c r="A451" s="198">
        <v>2023</v>
      </c>
      <c r="B451" s="197" t="s">
        <v>5838</v>
      </c>
      <c r="C451" s="197">
        <v>1996</v>
      </c>
      <c r="D451" s="225" t="str">
        <f t="shared" si="4"/>
        <v>2023_1996</v>
      </c>
      <c r="E451" s="1287">
        <v>0.37479139978165688</v>
      </c>
      <c r="F451" s="1306">
        <v>0.12571045106920029</v>
      </c>
      <c r="G451" s="1303">
        <v>9.1578596029263242</v>
      </c>
      <c r="H451" s="1306">
        <v>0.98026465433206345</v>
      </c>
      <c r="I451" s="1303">
        <v>5.3899788996160172E-2</v>
      </c>
      <c r="J451" s="1306">
        <v>2.6892627562178778E-3</v>
      </c>
      <c r="K451" s="1303">
        <v>2.9939914657884444E-3</v>
      </c>
      <c r="L451" s="1288">
        <v>2.00000120591872E-3</v>
      </c>
      <c r="M451" s="1230">
        <v>2.00000120591872E-3</v>
      </c>
      <c r="N451" s="1303">
        <v>2.7158333758338246E-2</v>
      </c>
      <c r="O451" s="1288">
        <v>1.0307117618385056E-2</v>
      </c>
      <c r="P451" s="1237">
        <v>5.153558809192528E-3</v>
      </c>
      <c r="Q451" s="1290">
        <v>5.6336898277795193E-2</v>
      </c>
    </row>
    <row r="452" spans="1:17" s="212" customFormat="1" ht="15.5" x14ac:dyDescent="0.35">
      <c r="A452" s="198">
        <v>2023</v>
      </c>
      <c r="B452" s="197" t="s">
        <v>5838</v>
      </c>
      <c r="C452" s="197">
        <v>1997</v>
      </c>
      <c r="D452" s="225" t="str">
        <f t="shared" si="4"/>
        <v>2023_1997</v>
      </c>
      <c r="E452" s="1287">
        <v>0.37707243457804535</v>
      </c>
      <c r="F452" s="1306">
        <v>0.12589946212288691</v>
      </c>
      <c r="G452" s="1303">
        <v>9.1684899256696735</v>
      </c>
      <c r="H452" s="1306">
        <v>0.98382720722085015</v>
      </c>
      <c r="I452" s="1303">
        <v>5.4066950267490879E-2</v>
      </c>
      <c r="J452" s="1306">
        <v>2.6887191810805989E-3</v>
      </c>
      <c r="K452" s="1303">
        <v>2.9980856925078472E-3</v>
      </c>
      <c r="L452" s="1288">
        <v>2.0000011894014094E-3</v>
      </c>
      <c r="M452" s="1230">
        <v>2.0000011894014094E-3</v>
      </c>
      <c r="N452" s="1303">
        <v>2.7255151269807813E-2</v>
      </c>
      <c r="O452" s="1288">
        <v>1.020332221026192E-2</v>
      </c>
      <c r="P452" s="1237">
        <v>5.1016611051309599E-3</v>
      </c>
      <c r="Q452" s="1290">
        <v>5.6511617840048274E-2</v>
      </c>
    </row>
    <row r="453" spans="1:17" s="212" customFormat="1" ht="15.5" x14ac:dyDescent="0.35">
      <c r="A453" s="198">
        <v>2023</v>
      </c>
      <c r="B453" s="197" t="s">
        <v>5838</v>
      </c>
      <c r="C453" s="197">
        <v>1998</v>
      </c>
      <c r="D453" s="225" t="str">
        <f t="shared" si="4"/>
        <v>2023_1998</v>
      </c>
      <c r="E453" s="1287">
        <v>0.3764502021103146</v>
      </c>
      <c r="F453" s="1306">
        <v>0.12963527798657543</v>
      </c>
      <c r="G453" s="1303">
        <v>9.1757460605677466</v>
      </c>
      <c r="H453" s="1306">
        <v>1.0092633458791407</v>
      </c>
      <c r="I453" s="1303">
        <v>5.3979598192697251E-2</v>
      </c>
      <c r="J453" s="1306">
        <v>2.7335740371964082E-3</v>
      </c>
      <c r="K453" s="1303">
        <v>2.997974972955631E-3</v>
      </c>
      <c r="L453" s="1288">
        <v>2.0000012758245671E-3</v>
      </c>
      <c r="M453" s="1230">
        <v>2.0000012758245671E-3</v>
      </c>
      <c r="N453" s="1303">
        <v>2.7251889012562626E-2</v>
      </c>
      <c r="O453" s="1288">
        <v>8.5087038481566016E-3</v>
      </c>
      <c r="P453" s="1237">
        <v>4.2543519240783008E-3</v>
      </c>
      <c r="Q453" s="1290">
        <v>5.6420316092051656E-2</v>
      </c>
    </row>
    <row r="454" spans="1:17" s="212" customFormat="1" ht="15.5" x14ac:dyDescent="0.35">
      <c r="A454" s="198">
        <v>2023</v>
      </c>
      <c r="B454" s="197" t="s">
        <v>5838</v>
      </c>
      <c r="C454" s="197">
        <v>1999</v>
      </c>
      <c r="D454" s="225" t="str">
        <f t="shared" si="4"/>
        <v>2023_1999</v>
      </c>
      <c r="E454" s="1287">
        <v>0.37693372111767548</v>
      </c>
      <c r="F454" s="1306">
        <v>0.12776824973158316</v>
      </c>
      <c r="G454" s="1303">
        <v>9.1868299052955216</v>
      </c>
      <c r="H454" s="1306">
        <v>1.0026302089250227</v>
      </c>
      <c r="I454" s="1303">
        <v>5.401291784709359E-2</v>
      </c>
      <c r="J454" s="1306">
        <v>2.7634858962251158E-3</v>
      </c>
      <c r="K454" s="1303">
        <v>2.998970972441044E-3</v>
      </c>
      <c r="L454" s="1288">
        <v>2.0000013325139399E-3</v>
      </c>
      <c r="M454" s="1230">
        <v>2.0000013325139399E-3</v>
      </c>
      <c r="N454" s="1303">
        <v>2.7275909661641794E-2</v>
      </c>
      <c r="O454" s="1288">
        <v>8.0524402833125775E-3</v>
      </c>
      <c r="P454" s="1237">
        <v>4.0262201416562888E-3</v>
      </c>
      <c r="Q454" s="1290">
        <v>5.6455142313365972E-2</v>
      </c>
    </row>
    <row r="455" spans="1:17" s="212" customFormat="1" ht="15.5" x14ac:dyDescent="0.35">
      <c r="A455" s="198">
        <v>2023</v>
      </c>
      <c r="B455" s="197" t="s">
        <v>5838</v>
      </c>
      <c r="C455" s="197">
        <v>2000</v>
      </c>
      <c r="D455" s="225" t="str">
        <f t="shared" si="4"/>
        <v>2023_2000</v>
      </c>
      <c r="E455" s="1287">
        <v>0.3745624349086995</v>
      </c>
      <c r="F455" s="1306">
        <v>0.12255692122332036</v>
      </c>
      <c r="G455" s="1303">
        <v>9.2228017178358197</v>
      </c>
      <c r="H455" s="1306">
        <v>0.97587006445691638</v>
      </c>
      <c r="I455" s="1303">
        <v>5.3671807629264906E-2</v>
      </c>
      <c r="J455" s="1306">
        <v>2.7659858217843622E-3</v>
      </c>
      <c r="K455" s="1303">
        <v>2.9997048414662146E-3</v>
      </c>
      <c r="L455" s="1288">
        <v>2.0000013921619699E-3</v>
      </c>
      <c r="M455" s="1230">
        <v>2.0000013921619699E-3</v>
      </c>
      <c r="N455" s="1303">
        <v>2.7293001379142166E-2</v>
      </c>
      <c r="O455" s="1288">
        <v>8.1541512927961225E-3</v>
      </c>
      <c r="P455" s="1237">
        <v>4.0770756463980613E-3</v>
      </c>
      <c r="Q455" s="1290">
        <v>5.6098608605141244E-2</v>
      </c>
    </row>
    <row r="456" spans="1:17" s="212" customFormat="1" ht="15.5" x14ac:dyDescent="0.35">
      <c r="A456" s="198">
        <v>2023</v>
      </c>
      <c r="B456" s="197" t="s">
        <v>5838</v>
      </c>
      <c r="C456" s="197">
        <v>2001</v>
      </c>
      <c r="D456" s="225" t="str">
        <f t="shared" si="4"/>
        <v>2023_2001</v>
      </c>
      <c r="E456" s="1287">
        <v>0.37480296518490069</v>
      </c>
      <c r="F456" s="1306">
        <v>0.11895578573533026</v>
      </c>
      <c r="G456" s="1303">
        <v>9.1892341705657365</v>
      </c>
      <c r="H456" s="1306">
        <v>0.95076081216951647</v>
      </c>
      <c r="I456" s="1303">
        <v>5.3760688281320204E-2</v>
      </c>
      <c r="J456" s="1306">
        <v>2.7920393087971381E-3</v>
      </c>
      <c r="K456" s="1303">
        <v>2.9999078132956014E-3</v>
      </c>
      <c r="L456" s="1288">
        <v>2.0000013860035338E-3</v>
      </c>
      <c r="M456" s="1230">
        <v>2.0000013860035338E-3</v>
      </c>
      <c r="N456" s="1303">
        <v>2.7297837419259802E-2</v>
      </c>
      <c r="O456" s="1288">
        <v>7.4230265793787074E-3</v>
      </c>
      <c r="P456" s="1237">
        <v>3.7115132896893537E-3</v>
      </c>
      <c r="Q456" s="1290">
        <v>5.6191508045880356E-2</v>
      </c>
    </row>
    <row r="457" spans="1:17" s="212" customFormat="1" ht="15.5" x14ac:dyDescent="0.35">
      <c r="A457" s="198">
        <v>2023</v>
      </c>
      <c r="B457" s="197" t="s">
        <v>5838</v>
      </c>
      <c r="C457" s="197">
        <v>2002</v>
      </c>
      <c r="D457" s="225" t="str">
        <f t="shared" si="4"/>
        <v>2023_2002</v>
      </c>
      <c r="E457" s="1287">
        <v>0.28805247398679318</v>
      </c>
      <c r="F457" s="1306">
        <v>0.11737035293193496</v>
      </c>
      <c r="G457" s="1303">
        <v>7.1048481749213224</v>
      </c>
      <c r="H457" s="1306">
        <v>0.91406521694402021</v>
      </c>
      <c r="I457" s="1303">
        <v>5.3884923649110149E-2</v>
      </c>
      <c r="J457" s="1306">
        <v>2.8091469863304641E-3</v>
      </c>
      <c r="K457" s="1303">
        <v>2.9999116362171788E-3</v>
      </c>
      <c r="L457" s="1288">
        <v>2.0000014688430299E-3</v>
      </c>
      <c r="M457" s="1230">
        <v>2.0000014688430299E-3</v>
      </c>
      <c r="N457" s="1303">
        <v>2.7297924621863517E-2</v>
      </c>
      <c r="O457" s="1288">
        <v>6.8445564171520402E-3</v>
      </c>
      <c r="P457" s="1237">
        <v>3.4222782085760201E-3</v>
      </c>
      <c r="Q457" s="1290">
        <v>5.6321360785715577E-2</v>
      </c>
    </row>
    <row r="458" spans="1:17" s="212" customFormat="1" ht="15.5" x14ac:dyDescent="0.35">
      <c r="A458" s="198">
        <v>2023</v>
      </c>
      <c r="B458" s="197" t="s">
        <v>5838</v>
      </c>
      <c r="C458" s="197">
        <v>2003</v>
      </c>
      <c r="D458" s="225" t="str">
        <f t="shared" si="4"/>
        <v>2023_2003</v>
      </c>
      <c r="E458" s="1287">
        <v>0.28457341841819039</v>
      </c>
      <c r="F458" s="1306">
        <v>9.4483317065440608E-2</v>
      </c>
      <c r="G458" s="1303">
        <v>7.1268478583304695</v>
      </c>
      <c r="H458" s="1306">
        <v>0.70359333054506534</v>
      </c>
      <c r="I458" s="1303">
        <v>5.3366655970367861E-2</v>
      </c>
      <c r="J458" s="1306">
        <v>2.797620047697741E-3</v>
      </c>
      <c r="K458" s="1303">
        <v>2.9999249115316476E-3</v>
      </c>
      <c r="L458" s="1288">
        <v>2.0000014924311835E-3</v>
      </c>
      <c r="M458" s="1230">
        <v>2.0000014924311835E-3</v>
      </c>
      <c r="N458" s="1303">
        <v>2.7298261993376122E-2</v>
      </c>
      <c r="O458" s="1288">
        <v>7.1931680827391669E-3</v>
      </c>
      <c r="P458" s="1237">
        <v>3.5965840413695834E-3</v>
      </c>
      <c r="Q458" s="1290">
        <v>5.5779659342319272E-2</v>
      </c>
    </row>
    <row r="459" spans="1:17" s="212" customFormat="1" ht="15.5" x14ac:dyDescent="0.35">
      <c r="A459" s="198">
        <v>2023</v>
      </c>
      <c r="B459" s="197" t="s">
        <v>5838</v>
      </c>
      <c r="C459" s="197">
        <v>2004</v>
      </c>
      <c r="D459" s="225" t="str">
        <f t="shared" si="4"/>
        <v>2023_2004</v>
      </c>
      <c r="E459" s="1287">
        <v>0.58261506318145073</v>
      </c>
      <c r="F459" s="1306">
        <v>1.7828347101275441E-2</v>
      </c>
      <c r="G459" s="1303">
        <v>4.2009988765236201</v>
      </c>
      <c r="H459" s="1306">
        <v>0.11637847162423376</v>
      </c>
      <c r="I459" s="1303">
        <v>0.15225208129357243</v>
      </c>
      <c r="J459" s="1306">
        <v>1.8737360977790437E-4</v>
      </c>
      <c r="K459" s="1303">
        <v>2.998957799929685E-3</v>
      </c>
      <c r="L459" s="1288">
        <v>2.0000015673799902E-3</v>
      </c>
      <c r="M459" s="1230">
        <v>2.0000015673799902E-3</v>
      </c>
      <c r="N459" s="1303">
        <v>2.7275442114358756E-2</v>
      </c>
      <c r="O459" s="1288">
        <v>6.6317867706467354E-3</v>
      </c>
      <c r="P459" s="1237">
        <v>3.3158933853233677E-3</v>
      </c>
      <c r="Q459" s="1290">
        <v>0.15913624480106334</v>
      </c>
    </row>
    <row r="460" spans="1:17" s="212" customFormat="1" ht="15.5" x14ac:dyDescent="0.35">
      <c r="A460" s="198">
        <v>2023</v>
      </c>
      <c r="B460" s="197" t="s">
        <v>5838</v>
      </c>
      <c r="C460" s="197">
        <v>2005</v>
      </c>
      <c r="D460" s="225" t="str">
        <f t="shared" si="4"/>
        <v>2023_2005</v>
      </c>
      <c r="E460" s="1287">
        <v>0.5335413675614783</v>
      </c>
      <c r="F460" s="1306">
        <v>1.579341496547541E-2</v>
      </c>
      <c r="G460" s="1303">
        <v>3.9823960014102187</v>
      </c>
      <c r="H460" s="1306">
        <v>9.9988592432987772E-2</v>
      </c>
      <c r="I460" s="1303">
        <v>0.14247171423378099</v>
      </c>
      <c r="J460" s="1306">
        <v>1.8771879523056946E-4</v>
      </c>
      <c r="K460" s="1303">
        <v>2.911655708191008E-3</v>
      </c>
      <c r="L460" s="1288">
        <v>2.0000015812229035E-3</v>
      </c>
      <c r="M460" s="1230">
        <v>2.0000015812229035E-3</v>
      </c>
      <c r="N460" s="1303">
        <v>2.5207642742017509E-2</v>
      </c>
      <c r="O460" s="1288">
        <v>6.1033772139767193E-3</v>
      </c>
      <c r="P460" s="1237">
        <v>3.0516886069883596E-3</v>
      </c>
      <c r="Q460" s="1290">
        <v>0.14891365294256437</v>
      </c>
    </row>
    <row r="461" spans="1:17" s="212" customFormat="1" ht="15.5" x14ac:dyDescent="0.35">
      <c r="A461" s="198">
        <v>2023</v>
      </c>
      <c r="B461" s="197" t="s">
        <v>5838</v>
      </c>
      <c r="C461" s="197">
        <v>2006</v>
      </c>
      <c r="D461" s="225" t="str">
        <f t="shared" si="4"/>
        <v>2023_2006</v>
      </c>
      <c r="E461" s="1287">
        <v>0.54139688251329643</v>
      </c>
      <c r="F461" s="1306">
        <v>6.3879868754739329E-3</v>
      </c>
      <c r="G461" s="1303">
        <v>4.0532539400845682</v>
      </c>
      <c r="H461" s="1306">
        <v>6.8834423157772301E-2</v>
      </c>
      <c r="I461" s="1303">
        <v>0.14430615908523864</v>
      </c>
      <c r="J461" s="1306">
        <v>1.8314543778796266E-4</v>
      </c>
      <c r="K461" s="1303">
        <v>2.9453146839004589E-3</v>
      </c>
      <c r="L461" s="1288">
        <v>2.0000014926411383E-3</v>
      </c>
      <c r="M461" s="1230">
        <v>2.0000014926411383E-3</v>
      </c>
      <c r="N461" s="1303">
        <v>2.6003306186704316E-2</v>
      </c>
      <c r="O461" s="1288">
        <v>8.7038804874709375E-3</v>
      </c>
      <c r="P461" s="1237">
        <v>4.3519402437354688E-3</v>
      </c>
      <c r="Q461" s="1290">
        <v>0.15083104324997612</v>
      </c>
    </row>
    <row r="462" spans="1:17" s="212" customFormat="1" ht="15.5" x14ac:dyDescent="0.35">
      <c r="A462" s="198">
        <v>2023</v>
      </c>
      <c r="B462" s="197" t="s">
        <v>5838</v>
      </c>
      <c r="C462" s="197">
        <v>2007</v>
      </c>
      <c r="D462" s="225" t="str">
        <f t="shared" si="4"/>
        <v>2023_2007</v>
      </c>
      <c r="E462" s="1287">
        <v>0.29205876682258403</v>
      </c>
      <c r="F462" s="1306">
        <v>8.4131151727136824E-3</v>
      </c>
      <c r="G462" s="1303">
        <v>2.216875383347765</v>
      </c>
      <c r="H462" s="1306">
        <v>6.0008555742273512E-2</v>
      </c>
      <c r="I462" s="1303">
        <v>7.723563433517576E-2</v>
      </c>
      <c r="J462" s="1306">
        <v>1.8698776769317864E-4</v>
      </c>
      <c r="K462" s="1303">
        <v>2.9106662599314992E-3</v>
      </c>
      <c r="L462" s="1288">
        <v>2.0000015076834833E-3</v>
      </c>
      <c r="M462" s="1230">
        <v>2.0000015076834833E-3</v>
      </c>
      <c r="N462" s="1303">
        <v>2.5180397569950278E-2</v>
      </c>
      <c r="O462" s="1288">
        <v>6.2201437248310858E-3</v>
      </c>
      <c r="P462" s="1237">
        <v>3.1100718624155429E-3</v>
      </c>
      <c r="Q462" s="1290">
        <v>8.0727886991760936E-2</v>
      </c>
    </row>
    <row r="463" spans="1:17" s="212" customFormat="1" ht="15.5" x14ac:dyDescent="0.35">
      <c r="A463" s="198">
        <v>2023</v>
      </c>
      <c r="B463" s="197" t="s">
        <v>5838</v>
      </c>
      <c r="C463" s="197">
        <v>2008</v>
      </c>
      <c r="D463" s="225" t="str">
        <f t="shared" si="4"/>
        <v>2023_2008</v>
      </c>
      <c r="E463" s="1287">
        <v>0.29758022365241787</v>
      </c>
      <c r="F463" s="1306">
        <v>7.9012896921989342E-3</v>
      </c>
      <c r="G463" s="1303">
        <v>2.2912421684617805</v>
      </c>
      <c r="H463" s="1306">
        <v>4.6146933314791957E-2</v>
      </c>
      <c r="I463" s="1303">
        <v>7.8945727327481563E-2</v>
      </c>
      <c r="J463" s="1306">
        <v>2.1182711458916979E-4</v>
      </c>
      <c r="K463" s="1303">
        <v>2.9465074367977752E-3</v>
      </c>
      <c r="L463" s="1288">
        <v>2.0000016707643954E-3</v>
      </c>
      <c r="M463" s="1230">
        <v>2.0000016707643954E-3</v>
      </c>
      <c r="N463" s="1303">
        <v>2.6030380676187251E-2</v>
      </c>
      <c r="O463" s="1288">
        <v>6.0845918583155752E-3</v>
      </c>
      <c r="P463" s="1237">
        <v>3.0422959291577876E-3</v>
      </c>
      <c r="Q463" s="1290">
        <v>8.2515302800753615E-2</v>
      </c>
    </row>
    <row r="464" spans="1:17" s="212" customFormat="1" ht="15.5" x14ac:dyDescent="0.35">
      <c r="A464" s="198">
        <v>2023</v>
      </c>
      <c r="B464" s="197" t="s">
        <v>5838</v>
      </c>
      <c r="C464" s="197">
        <v>2009</v>
      </c>
      <c r="D464" s="225" t="str">
        <f t="shared" si="4"/>
        <v>2023_2009</v>
      </c>
      <c r="E464" s="1287">
        <v>0.27474436242549582</v>
      </c>
      <c r="F464" s="1306">
        <v>7.6261218459475668E-3</v>
      </c>
      <c r="G464" s="1303">
        <v>2.1178895028000806</v>
      </c>
      <c r="H464" s="1306">
        <v>3.4868807933987826E-2</v>
      </c>
      <c r="I464" s="1303">
        <v>7.3045004830988136E-2</v>
      </c>
      <c r="J464" s="1306">
        <v>2.4073009956569841E-4</v>
      </c>
      <c r="K464" s="1303">
        <v>2.8701040411204322E-3</v>
      </c>
      <c r="L464" s="1288">
        <v>2.0000017169436511E-3</v>
      </c>
      <c r="M464" s="1230">
        <v>2.0000017169436511E-3</v>
      </c>
      <c r="N464" s="1303">
        <v>2.4215969724070203E-2</v>
      </c>
      <c r="O464" s="1288">
        <v>4.7913833478985587E-3</v>
      </c>
      <c r="P464" s="1237">
        <v>2.3956916739492793E-3</v>
      </c>
      <c r="Q464" s="1290">
        <v>7.6347775817037056E-2</v>
      </c>
    </row>
    <row r="465" spans="1:17" s="212" customFormat="1" ht="15.5" x14ac:dyDescent="0.35">
      <c r="A465" s="198">
        <v>2023</v>
      </c>
      <c r="B465" s="197" t="s">
        <v>5838</v>
      </c>
      <c r="C465" s="197">
        <v>2010</v>
      </c>
      <c r="D465" s="225" t="str">
        <f t="shared" si="4"/>
        <v>2023_2010</v>
      </c>
      <c r="E465" s="1287">
        <v>5.7956335518888048E-2</v>
      </c>
      <c r="F465" s="1306">
        <v>6.8585789087889613E-3</v>
      </c>
      <c r="G465" s="1303">
        <v>0.46954789357470056</v>
      </c>
      <c r="H465" s="1306">
        <v>3.2149718164669314E-2</v>
      </c>
      <c r="I465" s="1303">
        <v>1.444578886149678E-2</v>
      </c>
      <c r="J465" s="1306">
        <v>2.9659733520956497E-4</v>
      </c>
      <c r="K465" s="1303">
        <v>2.7234762423280091E-3</v>
      </c>
      <c r="L465" s="1288">
        <v>2.0000018083528356E-3</v>
      </c>
      <c r="M465" s="1230">
        <v>2.0000018083528356E-3</v>
      </c>
      <c r="N465" s="1303">
        <v>2.0718477169770752E-2</v>
      </c>
      <c r="O465" s="1288">
        <v>4.1141204527672098E-3</v>
      </c>
      <c r="P465" s="1237">
        <v>2.0570602263836049E-3</v>
      </c>
      <c r="Q465" s="1290">
        <v>1.5098963331575007E-2</v>
      </c>
    </row>
    <row r="466" spans="1:17" s="212" customFormat="1" ht="15.5" x14ac:dyDescent="0.35">
      <c r="A466" s="198">
        <v>2023</v>
      </c>
      <c r="B466" s="197" t="s">
        <v>5838</v>
      </c>
      <c r="C466" s="197">
        <v>2011</v>
      </c>
      <c r="D466" s="225" t="str">
        <f t="shared" si="4"/>
        <v>2023_2011</v>
      </c>
      <c r="E466" s="1287">
        <v>6.3823179770104474E-2</v>
      </c>
      <c r="F466" s="1306">
        <v>6.8003224845584707E-3</v>
      </c>
      <c r="G466" s="1303">
        <v>0.52843794736441896</v>
      </c>
      <c r="H466" s="1306">
        <v>3.1340633452706809E-2</v>
      </c>
      <c r="I466" s="1303">
        <v>1.5324550167619383E-2</v>
      </c>
      <c r="J466" s="1306">
        <v>3.9601004545184197E-4</v>
      </c>
      <c r="K466" s="1303">
        <v>2.8437592156349404E-3</v>
      </c>
      <c r="L466" s="1288">
        <v>2.0000017545840085E-3</v>
      </c>
      <c r="M466" s="1230">
        <v>2.0000017545840085E-3</v>
      </c>
      <c r="N466" s="1303">
        <v>2.3584461759155986E-2</v>
      </c>
      <c r="O466" s="1288">
        <v>4.8634655693201813E-3</v>
      </c>
      <c r="P466" s="1237">
        <v>2.4317327846600906E-3</v>
      </c>
      <c r="Q466" s="1290">
        <v>1.6017458324514913E-2</v>
      </c>
    </row>
    <row r="467" spans="1:17" s="212" customFormat="1" ht="15.5" x14ac:dyDescent="0.35">
      <c r="A467" s="198">
        <v>2023</v>
      </c>
      <c r="B467" s="197" t="s">
        <v>5838</v>
      </c>
      <c r="C467" s="197">
        <v>2012</v>
      </c>
      <c r="D467" s="225" t="str">
        <f t="shared" si="4"/>
        <v>2023_2012</v>
      </c>
      <c r="E467" s="1287">
        <v>4.5064689847475949E-2</v>
      </c>
      <c r="F467" s="1306">
        <v>6.3648284155845402E-3</v>
      </c>
      <c r="G467" s="1303">
        <v>0.3383016665177902</v>
      </c>
      <c r="H467" s="1306">
        <v>2.9565326276758643E-2</v>
      </c>
      <c r="I467" s="1303">
        <v>1.1090423580380846E-2</v>
      </c>
      <c r="J467" s="1306">
        <v>5.7519389779484183E-4</v>
      </c>
      <c r="K467" s="1303">
        <v>2.5372496890587234E-3</v>
      </c>
      <c r="L467" s="1288">
        <v>2.0000018013034463E-3</v>
      </c>
      <c r="M467" s="1230">
        <v>2.0000018013034463E-3</v>
      </c>
      <c r="N467" s="1303">
        <v>1.6228103216953088E-2</v>
      </c>
      <c r="O467" s="1288">
        <v>5.2326309944433803E-3</v>
      </c>
      <c r="P467" s="1237">
        <v>2.6163154972216902E-3</v>
      </c>
      <c r="Q467" s="1290">
        <v>1.1591883321659856E-2</v>
      </c>
    </row>
    <row r="468" spans="1:17" s="212" customFormat="1" ht="15.5" x14ac:dyDescent="0.35">
      <c r="A468" s="198">
        <v>2023</v>
      </c>
      <c r="B468" s="197" t="s">
        <v>5838</v>
      </c>
      <c r="C468" s="197">
        <v>2013</v>
      </c>
      <c r="D468" s="225" t="str">
        <f t="shared" si="4"/>
        <v>2023_2013</v>
      </c>
      <c r="E468" s="1287">
        <v>5.9673676903278426E-2</v>
      </c>
      <c r="F468" s="1306">
        <v>6.828452243171166E-3</v>
      </c>
      <c r="G468" s="1303">
        <v>0.47716231056010439</v>
      </c>
      <c r="H468" s="1306">
        <v>2.9701412906291694E-2</v>
      </c>
      <c r="I468" s="1303">
        <v>1.3547867345568478E-2</v>
      </c>
      <c r="J468" s="1306">
        <v>8.5993438380021039E-4</v>
      </c>
      <c r="K468" s="1303">
        <v>2.8007063185567309E-3</v>
      </c>
      <c r="L468" s="1288">
        <v>2.0000017997897678E-3</v>
      </c>
      <c r="M468" s="1230">
        <v>2.0000017997897678E-3</v>
      </c>
      <c r="N468" s="1303">
        <v>2.2538621211570666E-2</v>
      </c>
      <c r="O468" s="1288">
        <v>5.2183362333638557E-3</v>
      </c>
      <c r="P468" s="1237">
        <v>2.6091681166819278E-3</v>
      </c>
      <c r="Q468" s="1290">
        <v>1.4160441789164096E-2</v>
      </c>
    </row>
    <row r="469" spans="1:17" s="212" customFormat="1" ht="15.5" x14ac:dyDescent="0.35">
      <c r="A469" s="198">
        <v>2023</v>
      </c>
      <c r="B469" s="197" t="s">
        <v>5838</v>
      </c>
      <c r="C469" s="197">
        <v>2014</v>
      </c>
      <c r="D469" s="225" t="str">
        <f t="shared" si="4"/>
        <v>2023_2014</v>
      </c>
      <c r="E469" s="1287">
        <v>4.9702970567561774E-2</v>
      </c>
      <c r="F469" s="1306">
        <v>6.8330341900143324E-3</v>
      </c>
      <c r="G469" s="1303">
        <v>0.37775633159291283</v>
      </c>
      <c r="H469" s="1306">
        <v>2.8901483636293308E-2</v>
      </c>
      <c r="I469" s="1303">
        <v>1.1201314100171486E-2</v>
      </c>
      <c r="J469" s="1306">
        <v>1.2126638323683638E-3</v>
      </c>
      <c r="K469" s="1303">
        <v>2.6447857392133921E-3</v>
      </c>
      <c r="L469" s="1288">
        <v>2.0000018031923442E-3</v>
      </c>
      <c r="M469" s="1230">
        <v>2.0000018031923442E-3</v>
      </c>
      <c r="N469" s="1303">
        <v>1.8773082836328663E-2</v>
      </c>
      <c r="O469" s="1288">
        <v>4.4257727937914949E-3</v>
      </c>
      <c r="P469" s="1237">
        <v>2.2128863968957475E-3</v>
      </c>
      <c r="Q469" s="1290">
        <v>1.1707787818686076E-2</v>
      </c>
    </row>
    <row r="470" spans="1:17" s="212" customFormat="1" ht="15.5" x14ac:dyDescent="0.35">
      <c r="A470" s="198">
        <v>2023</v>
      </c>
      <c r="B470" s="197" t="s">
        <v>5838</v>
      </c>
      <c r="C470" s="197">
        <v>2015</v>
      </c>
      <c r="D470" s="225" t="str">
        <f t="shared" si="4"/>
        <v>2023_2015</v>
      </c>
      <c r="E470" s="1287">
        <v>4.4809861461047207E-2</v>
      </c>
      <c r="F470" s="1306">
        <v>6.5834298156137571E-3</v>
      </c>
      <c r="G470" s="1303">
        <v>0.33086721732193497</v>
      </c>
      <c r="H470" s="1306">
        <v>2.7207088859567949E-2</v>
      </c>
      <c r="I470" s="1303">
        <v>9.898376949195804E-3</v>
      </c>
      <c r="J470" s="1306">
        <v>1.5056372472478801E-3</v>
      </c>
      <c r="K470" s="1303">
        <v>2.5811716242796932E-3</v>
      </c>
      <c r="L470" s="1288">
        <v>2.0000017696740432E-3</v>
      </c>
      <c r="M470" s="1230">
        <v>2.0000017696740432E-3</v>
      </c>
      <c r="N470" s="1303">
        <v>1.720595840258482E-2</v>
      </c>
      <c r="O470" s="1288">
        <v>5.1406327102120047E-3</v>
      </c>
      <c r="P470" s="1237">
        <v>2.5703163551060023E-3</v>
      </c>
      <c r="Q470" s="1290">
        <v>1.0345937631441269E-2</v>
      </c>
    </row>
    <row r="471" spans="1:17" s="212" customFormat="1" ht="15.5" x14ac:dyDescent="0.35">
      <c r="A471" s="198">
        <v>2023</v>
      </c>
      <c r="B471" s="197" t="s">
        <v>5838</v>
      </c>
      <c r="C471" s="197">
        <v>2016</v>
      </c>
      <c r="D471" s="225" t="str">
        <f t="shared" si="4"/>
        <v>2023_2016</v>
      </c>
      <c r="E471" s="1287">
        <v>5.3911855481465654E-2</v>
      </c>
      <c r="F471" s="1306">
        <v>6.3698712650636299E-3</v>
      </c>
      <c r="G471" s="1303">
        <v>0.36615296691074761</v>
      </c>
      <c r="H471" s="1306">
        <v>2.5738232637255214E-2</v>
      </c>
      <c r="I471" s="1303">
        <v>1.0904231630531887E-2</v>
      </c>
      <c r="J471" s="1306">
        <v>1.7146562111484266E-3</v>
      </c>
      <c r="K471" s="1303">
        <v>2.7739796387013021E-3</v>
      </c>
      <c r="L471" s="1288">
        <v>2.0000017060406851E-3</v>
      </c>
      <c r="M471" s="1230">
        <v>2.0000017060406851E-3</v>
      </c>
      <c r="N471" s="1303">
        <v>2.1841518767480333E-2</v>
      </c>
      <c r="O471" s="1288">
        <v>5.906532076255671E-3</v>
      </c>
      <c r="P471" s="1237">
        <v>2.9532660381278355E-3</v>
      </c>
      <c r="Q471" s="1290">
        <v>1.139727259805332E-2</v>
      </c>
    </row>
    <row r="472" spans="1:17" s="212" customFormat="1" ht="15.5" x14ac:dyDescent="0.35">
      <c r="A472" s="198">
        <v>2023</v>
      </c>
      <c r="B472" s="197" t="s">
        <v>5838</v>
      </c>
      <c r="C472" s="197">
        <v>2017</v>
      </c>
      <c r="D472" s="225" t="str">
        <f t="shared" si="4"/>
        <v>2023_2017</v>
      </c>
      <c r="E472" s="1287">
        <v>5.5145103581674938E-2</v>
      </c>
      <c r="F472" s="1306">
        <v>5.9792112325485472E-3</v>
      </c>
      <c r="G472" s="1303">
        <v>0.32225951467140013</v>
      </c>
      <c r="H472" s="1306">
        <v>2.4114563793391018E-2</v>
      </c>
      <c r="I472" s="1303">
        <v>1.0452493848195474E-2</v>
      </c>
      <c r="J472" s="1306">
        <v>1.8420057569673224E-3</v>
      </c>
      <c r="K472" s="1303">
        <v>2.8186343947722778E-3</v>
      </c>
      <c r="L472" s="1288">
        <v>2.0000016762366352E-3</v>
      </c>
      <c r="M472" s="1230">
        <v>2.0000016762366352E-3</v>
      </c>
      <c r="N472" s="1303">
        <v>2.2912572808935251E-2</v>
      </c>
      <c r="O472" s="1288">
        <v>5.8612852815273023E-3</v>
      </c>
      <c r="P472" s="1237">
        <v>2.9306426407636511E-3</v>
      </c>
      <c r="Q472" s="1290">
        <v>1.0925109237756353E-2</v>
      </c>
    </row>
    <row r="473" spans="1:17" s="212" customFormat="1" ht="15.5" x14ac:dyDescent="0.35">
      <c r="A473" s="198">
        <v>2023</v>
      </c>
      <c r="B473" s="197" t="s">
        <v>5838</v>
      </c>
      <c r="C473" s="197">
        <v>2018</v>
      </c>
      <c r="D473" s="225" t="str">
        <f t="shared" si="4"/>
        <v>2023_2018</v>
      </c>
      <c r="E473" s="1287">
        <v>4.9364883500271989E-2</v>
      </c>
      <c r="F473" s="1306">
        <v>5.6645788054355047E-3</v>
      </c>
      <c r="G473" s="1303">
        <v>0.23109807978946587</v>
      </c>
      <c r="H473" s="1306">
        <v>2.2651935454290759E-2</v>
      </c>
      <c r="I473" s="1303">
        <v>8.9336627049162714E-3</v>
      </c>
      <c r="J473" s="1306">
        <v>1.9443169121996094E-3</v>
      </c>
      <c r="K473" s="1303">
        <v>2.7287786523668587E-3</v>
      </c>
      <c r="L473" s="1288">
        <v>2.0000016696561976E-3</v>
      </c>
      <c r="M473" s="1230">
        <v>2.0000016696561976E-3</v>
      </c>
      <c r="N473" s="1303">
        <v>2.071441468892625E-2</v>
      </c>
      <c r="O473" s="1288">
        <v>5.2263013756661675E-3</v>
      </c>
      <c r="P473" s="1237">
        <v>2.6131506878330837E-3</v>
      </c>
      <c r="Q473" s="1290">
        <v>9.3376032898914649E-3</v>
      </c>
    </row>
    <row r="474" spans="1:17" s="212" customFormat="1" ht="15.5" x14ac:dyDescent="0.35">
      <c r="A474" s="198">
        <v>2023</v>
      </c>
      <c r="B474" s="197" t="s">
        <v>5838</v>
      </c>
      <c r="C474" s="197">
        <v>2019</v>
      </c>
      <c r="D474" s="225" t="str">
        <f t="shared" si="4"/>
        <v>2023_2019</v>
      </c>
      <c r="E474" s="1287">
        <v>5.7316822229547919E-2</v>
      </c>
      <c r="F474" s="1306">
        <v>5.3485523464441983E-3</v>
      </c>
      <c r="G474" s="1303">
        <v>0.2333395425554107</v>
      </c>
      <c r="H474" s="1306">
        <v>2.1143442439716977E-2</v>
      </c>
      <c r="I474" s="1303">
        <v>9.1848739389553125E-3</v>
      </c>
      <c r="J474" s="1306">
        <v>1.8441761136900883E-3</v>
      </c>
      <c r="K474" s="1303">
        <v>2.9166968146619164E-3</v>
      </c>
      <c r="L474" s="1288">
        <v>2.0000015958480223E-3</v>
      </c>
      <c r="M474" s="1230">
        <v>2.0000015958480223E-3</v>
      </c>
      <c r="N474" s="1303">
        <v>2.5274346840751999E-2</v>
      </c>
      <c r="O474" s="1288">
        <v>5.2567755928355844E-3</v>
      </c>
      <c r="P474" s="1237">
        <v>2.6283877964177922E-3</v>
      </c>
      <c r="Q474" s="1290">
        <v>9.6001731812004002E-3</v>
      </c>
    </row>
    <row r="475" spans="1:17" s="212" customFormat="1" ht="15.5" x14ac:dyDescent="0.35">
      <c r="A475" s="198">
        <v>2023</v>
      </c>
      <c r="B475" s="197" t="s">
        <v>5838</v>
      </c>
      <c r="C475" s="197">
        <v>2020</v>
      </c>
      <c r="D475" s="225" t="str">
        <f t="shared" si="4"/>
        <v>2023_2020</v>
      </c>
      <c r="E475" s="1287">
        <v>4.8170618695156188E-2</v>
      </c>
      <c r="F475" s="1306">
        <v>4.9478854765079841E-3</v>
      </c>
      <c r="G475" s="1303">
        <v>0.16896204495836756</v>
      </c>
      <c r="H475" s="1306">
        <v>1.9533772027413382E-2</v>
      </c>
      <c r="I475" s="1303">
        <v>7.308926633972721E-3</v>
      </c>
      <c r="J475" s="1306">
        <v>1.3623875687391403E-3</v>
      </c>
      <c r="K475" s="1303">
        <v>2.8723358537259065E-3</v>
      </c>
      <c r="L475" s="1288">
        <v>2.0000017000963385E-3</v>
      </c>
      <c r="M475" s="1230">
        <v>2.0000017000963385E-3</v>
      </c>
      <c r="N475" s="1303">
        <v>2.4193183504991344E-2</v>
      </c>
      <c r="O475" s="1288">
        <v>5.3386211356270122E-3</v>
      </c>
      <c r="P475" s="1237">
        <v>2.6693105678135061E-3</v>
      </c>
      <c r="Q475" s="1290">
        <v>7.6394038634793717E-3</v>
      </c>
    </row>
    <row r="476" spans="1:17" s="212" customFormat="1" ht="15.5" x14ac:dyDescent="0.35">
      <c r="A476" s="198">
        <v>2023</v>
      </c>
      <c r="B476" s="197" t="s">
        <v>5838</v>
      </c>
      <c r="C476" s="197">
        <v>2021</v>
      </c>
      <c r="D476" s="225" t="str">
        <f t="shared" si="4"/>
        <v>2023_2021</v>
      </c>
      <c r="E476" s="1287">
        <v>4.587606348797605E-2</v>
      </c>
      <c r="F476" s="1306">
        <v>4.5324250923387422E-3</v>
      </c>
      <c r="G476" s="1303">
        <v>0.12830620790038919</v>
      </c>
      <c r="H476" s="1306">
        <v>1.8009527296827029E-2</v>
      </c>
      <c r="I476" s="1303">
        <v>5.9563175552253518E-3</v>
      </c>
      <c r="J476" s="1306">
        <v>8.879439193056509E-4</v>
      </c>
      <c r="K476" s="1303">
        <v>2.8708802653909329E-3</v>
      </c>
      <c r="L476" s="1288">
        <v>2.0000017398953173E-3</v>
      </c>
      <c r="M476" s="1230">
        <v>2.0000017398953173E-3</v>
      </c>
      <c r="N476" s="1303">
        <v>2.4147816328146301E-2</v>
      </c>
      <c r="O476" s="1288">
        <v>5.2698918981689729E-3</v>
      </c>
      <c r="P476" s="1237">
        <v>2.6349459490844864E-3</v>
      </c>
      <c r="Q476" s="1290">
        <v>6.2256358043049397E-3</v>
      </c>
    </row>
    <row r="477" spans="1:17" s="212" customFormat="1" ht="15.5" x14ac:dyDescent="0.35">
      <c r="A477" s="198">
        <v>2023</v>
      </c>
      <c r="B477" s="197" t="s">
        <v>5838</v>
      </c>
      <c r="C477" s="197">
        <v>2022</v>
      </c>
      <c r="D477" s="225" t="str">
        <f t="shared" si="4"/>
        <v>2023_2022</v>
      </c>
      <c r="E477" s="1287">
        <v>4.4461679069242019E-2</v>
      </c>
      <c r="F477" s="1306">
        <v>4.0983906236688314E-3</v>
      </c>
      <c r="G477" s="1303">
        <v>9.2846089392235334E-2</v>
      </c>
      <c r="H477" s="1306">
        <v>1.6454386865270065E-2</v>
      </c>
      <c r="I477" s="1303">
        <v>4.9226584495009927E-3</v>
      </c>
      <c r="J477" s="1306">
        <v>8.8916548374009369E-4</v>
      </c>
      <c r="K477" s="1303">
        <v>2.8700029747485414E-3</v>
      </c>
      <c r="L477" s="1288">
        <v>2.0000017716179062E-3</v>
      </c>
      <c r="M477" s="1230">
        <v>2.0000017716179062E-3</v>
      </c>
      <c r="N477" s="1303">
        <v>2.4115756602540769E-2</v>
      </c>
      <c r="O477" s="1288">
        <v>5.2174764298701009E-3</v>
      </c>
      <c r="P477" s="1237">
        <v>2.6087382149350504E-3</v>
      </c>
      <c r="Q477" s="1290">
        <v>5.1452392206140733E-3</v>
      </c>
    </row>
    <row r="478" spans="1:17" s="212" customFormat="1" ht="15.5" x14ac:dyDescent="0.35">
      <c r="A478" s="198">
        <v>2023</v>
      </c>
      <c r="B478" s="197" t="s">
        <v>5838</v>
      </c>
      <c r="C478" s="197">
        <v>2023</v>
      </c>
      <c r="D478" s="225" t="str">
        <f t="shared" si="4"/>
        <v>2023_2023</v>
      </c>
      <c r="E478" s="1287">
        <v>4.2274797974022733E-2</v>
      </c>
      <c r="F478" s="1306">
        <v>3.5670384503225872E-3</v>
      </c>
      <c r="G478" s="1303">
        <v>8.4318637385537687E-2</v>
      </c>
      <c r="H478" s="1306">
        <v>1.4802867114020145E-2</v>
      </c>
      <c r="I478" s="1303">
        <v>3.7849469033360587E-3</v>
      </c>
      <c r="J478" s="1306">
        <v>8.893443173532997E-4</v>
      </c>
      <c r="K478" s="1303">
        <v>2.8537229750018062E-3</v>
      </c>
      <c r="L478" s="1288">
        <v>2.0000018737582849E-3</v>
      </c>
      <c r="M478" s="1230">
        <v>2.0000018737582849E-3</v>
      </c>
      <c r="N478" s="1303">
        <v>2.3705726030782474E-2</v>
      </c>
      <c r="O478" s="1288">
        <v>4.7823667528492106E-3</v>
      </c>
      <c r="P478" s="1237">
        <v>2.3911833764246053E-3</v>
      </c>
      <c r="Q478" s="1290">
        <v>3.9560854068517795E-3</v>
      </c>
    </row>
    <row r="479" spans="1:17" s="212" customFormat="1" ht="15.5" x14ac:dyDescent="0.35">
      <c r="A479" s="198">
        <v>2023</v>
      </c>
      <c r="B479" s="197" t="s">
        <v>5838</v>
      </c>
      <c r="C479" s="197">
        <v>2024</v>
      </c>
      <c r="D479" s="225" t="str">
        <f t="shared" si="4"/>
        <v>2023_2024</v>
      </c>
      <c r="E479" s="1291">
        <v>4.2274797974022733E-2</v>
      </c>
      <c r="F479" s="1280">
        <v>3.5670384503225872E-3</v>
      </c>
      <c r="G479" s="1271">
        <v>8.4318637385537687E-2</v>
      </c>
      <c r="H479" s="1280">
        <v>1.4802867114020145E-2</v>
      </c>
      <c r="I479" s="1271">
        <v>3.7849469033360587E-3</v>
      </c>
      <c r="J479" s="1280">
        <v>8.893443173532997E-4</v>
      </c>
      <c r="K479" s="1271">
        <v>2.8537229750018062E-3</v>
      </c>
      <c r="L479" s="1257">
        <v>2.0000018737582849E-3</v>
      </c>
      <c r="M479" s="1230">
        <v>2.0000018737582849E-3</v>
      </c>
      <c r="N479" s="1271">
        <v>2.3705726030782474E-2</v>
      </c>
      <c r="O479" s="1257">
        <v>4.7823667528492106E-3</v>
      </c>
      <c r="P479" s="1237">
        <v>2.3911833764246053E-3</v>
      </c>
      <c r="Q479" s="1292">
        <v>3.9560854068517795E-3</v>
      </c>
    </row>
    <row r="480" spans="1:17" s="212" customFormat="1" ht="15.5" x14ac:dyDescent="0.35">
      <c r="A480" s="198">
        <v>2024</v>
      </c>
      <c r="B480" s="197" t="s">
        <v>5838</v>
      </c>
      <c r="C480" s="197">
        <v>1971</v>
      </c>
      <c r="D480" s="225" t="str">
        <f t="shared" si="4"/>
        <v>2024_1971</v>
      </c>
      <c r="E480" s="1291">
        <v>0.32074811239079309</v>
      </c>
      <c r="F480" s="1280">
        <v>2.1810122408894728</v>
      </c>
      <c r="G480" s="1271">
        <v>2.533613468676513</v>
      </c>
      <c r="H480" s="1280">
        <v>4.2385672812467465</v>
      </c>
      <c r="I480" s="1271">
        <v>0.25487919277276111</v>
      </c>
      <c r="J480" s="1280">
        <v>3.4107462846993848E-2</v>
      </c>
      <c r="K480" s="1271">
        <v>2.2057413610075552E-3</v>
      </c>
      <c r="L480" s="1257">
        <v>2.0000010596336088E-3</v>
      </c>
      <c r="M480" s="1230">
        <v>2.0000010596336088E-3</v>
      </c>
      <c r="N480" s="1271">
        <v>8.7425283347905055E-3</v>
      </c>
      <c r="O480" s="1257">
        <v>1.5342831759996314E-2</v>
      </c>
      <c r="P480" s="1237">
        <v>7.6714158799981568E-3</v>
      </c>
      <c r="Q480" s="1292">
        <v>0.2664036988602777</v>
      </c>
    </row>
    <row r="481" spans="1:17" s="212" customFormat="1" ht="15.5" x14ac:dyDescent="0.35">
      <c r="A481" s="198">
        <v>2024</v>
      </c>
      <c r="B481" s="197" t="s">
        <v>5838</v>
      </c>
      <c r="C481" s="197">
        <v>1972</v>
      </c>
      <c r="D481" s="225" t="str">
        <f t="shared" si="4"/>
        <v>2024_1972</v>
      </c>
      <c r="E481" s="1291">
        <v>0.32074811239079309</v>
      </c>
      <c r="F481" s="1280">
        <v>2.1810122408894728</v>
      </c>
      <c r="G481" s="1271">
        <v>2.533613468676513</v>
      </c>
      <c r="H481" s="1280">
        <v>4.2385672812467465</v>
      </c>
      <c r="I481" s="1271">
        <v>0.25487919277276111</v>
      </c>
      <c r="J481" s="1280">
        <v>3.4107462846993848E-2</v>
      </c>
      <c r="K481" s="1271">
        <v>2.2057413610075552E-3</v>
      </c>
      <c r="L481" s="1257">
        <v>2.0000010596336088E-3</v>
      </c>
      <c r="M481" s="1230">
        <v>2.0000010596336088E-3</v>
      </c>
      <c r="N481" s="1271">
        <v>8.7425283347905055E-3</v>
      </c>
      <c r="O481" s="1257">
        <v>1.5342831759996314E-2</v>
      </c>
      <c r="P481" s="1237">
        <v>7.6714158799981568E-3</v>
      </c>
      <c r="Q481" s="1292">
        <v>0.2664036988602777</v>
      </c>
    </row>
    <row r="482" spans="1:17" s="212" customFormat="1" ht="15.5" x14ac:dyDescent="0.35">
      <c r="A482" s="198">
        <v>2024</v>
      </c>
      <c r="B482" s="197" t="s">
        <v>5838</v>
      </c>
      <c r="C482" s="197">
        <v>1973</v>
      </c>
      <c r="D482" s="225" t="str">
        <f t="shared" si="4"/>
        <v>2024_1973</v>
      </c>
      <c r="E482" s="1291">
        <v>0.32074811239079309</v>
      </c>
      <c r="F482" s="1280">
        <v>2.1810122408894728</v>
      </c>
      <c r="G482" s="1271">
        <v>2.533613468676513</v>
      </c>
      <c r="H482" s="1280">
        <v>4.2385672812467465</v>
      </c>
      <c r="I482" s="1271">
        <v>0.25487919277276111</v>
      </c>
      <c r="J482" s="1280">
        <v>3.4107462846993848E-2</v>
      </c>
      <c r="K482" s="1271">
        <v>2.2057413610075552E-3</v>
      </c>
      <c r="L482" s="1257">
        <v>2.0000010596336088E-3</v>
      </c>
      <c r="M482" s="1230">
        <v>2.0000010596336088E-3</v>
      </c>
      <c r="N482" s="1271">
        <v>8.7425283347905055E-3</v>
      </c>
      <c r="O482" s="1257">
        <v>1.5342831759996314E-2</v>
      </c>
      <c r="P482" s="1237">
        <v>7.6714158799981568E-3</v>
      </c>
      <c r="Q482" s="1292">
        <v>0.2664036988602777</v>
      </c>
    </row>
    <row r="483" spans="1:17" s="212" customFormat="1" ht="15.5" x14ac:dyDescent="0.35">
      <c r="A483" s="198">
        <v>2024</v>
      </c>
      <c r="B483" s="197" t="s">
        <v>5838</v>
      </c>
      <c r="C483" s="197">
        <v>1974</v>
      </c>
      <c r="D483" s="225" t="str">
        <f t="shared" si="4"/>
        <v>2024_1974</v>
      </c>
      <c r="E483" s="1291">
        <v>0.32074811239079309</v>
      </c>
      <c r="F483" s="1280">
        <v>2.1810122408894728</v>
      </c>
      <c r="G483" s="1271">
        <v>2.533613468676513</v>
      </c>
      <c r="H483" s="1280">
        <v>4.2385672812467465</v>
      </c>
      <c r="I483" s="1271">
        <v>0.25487919277276111</v>
      </c>
      <c r="J483" s="1280">
        <v>3.4107462846993848E-2</v>
      </c>
      <c r="K483" s="1271">
        <v>2.2057413610075552E-3</v>
      </c>
      <c r="L483" s="1257">
        <v>2.0000010596336088E-3</v>
      </c>
      <c r="M483" s="1230">
        <v>2.0000010596336088E-3</v>
      </c>
      <c r="N483" s="1271">
        <v>8.7425283347905055E-3</v>
      </c>
      <c r="O483" s="1257">
        <v>1.5342831759996314E-2</v>
      </c>
      <c r="P483" s="1237">
        <v>7.6714158799981568E-3</v>
      </c>
      <c r="Q483" s="1292">
        <v>0.2664036988602777</v>
      </c>
    </row>
    <row r="484" spans="1:17" s="212" customFormat="1" ht="15.5" x14ac:dyDescent="0.35">
      <c r="A484" s="198">
        <v>2024</v>
      </c>
      <c r="B484" s="197" t="s">
        <v>5838</v>
      </c>
      <c r="C484" s="197">
        <v>1975</v>
      </c>
      <c r="D484" s="225" t="str">
        <f t="shared" si="4"/>
        <v>2024_1975</v>
      </c>
      <c r="E484" s="1291">
        <v>0.32074811239079309</v>
      </c>
      <c r="F484" s="1280">
        <v>2.1810122408894728</v>
      </c>
      <c r="G484" s="1271">
        <v>2.533613468676513</v>
      </c>
      <c r="H484" s="1280">
        <v>4.2385672812467465</v>
      </c>
      <c r="I484" s="1271">
        <v>0.25487919277276111</v>
      </c>
      <c r="J484" s="1280">
        <v>3.4107462846993848E-2</v>
      </c>
      <c r="K484" s="1271">
        <v>2.2057413610075552E-3</v>
      </c>
      <c r="L484" s="1257">
        <v>2.0000010596336088E-3</v>
      </c>
      <c r="M484" s="1230">
        <v>2.0000010596336088E-3</v>
      </c>
      <c r="N484" s="1271">
        <v>8.7425283347905055E-3</v>
      </c>
      <c r="O484" s="1257">
        <v>1.5342831759996314E-2</v>
      </c>
      <c r="P484" s="1237">
        <v>7.6714158799981568E-3</v>
      </c>
      <c r="Q484" s="1292">
        <v>0.2664036988602777</v>
      </c>
    </row>
    <row r="485" spans="1:17" s="212" customFormat="1" ht="15.5" x14ac:dyDescent="0.35">
      <c r="A485" s="198">
        <v>2024</v>
      </c>
      <c r="B485" s="197" t="s">
        <v>5838</v>
      </c>
      <c r="C485" s="197">
        <v>1976</v>
      </c>
      <c r="D485" s="225" t="str">
        <f t="shared" si="4"/>
        <v>2024_1976</v>
      </c>
      <c r="E485" s="1291">
        <v>0.32074811239079309</v>
      </c>
      <c r="F485" s="1280">
        <v>2.1810122408894728</v>
      </c>
      <c r="G485" s="1271">
        <v>2.533613468676513</v>
      </c>
      <c r="H485" s="1280">
        <v>4.2385672812467465</v>
      </c>
      <c r="I485" s="1271">
        <v>0.25487919277276111</v>
      </c>
      <c r="J485" s="1280">
        <v>3.4107462846993848E-2</v>
      </c>
      <c r="K485" s="1271">
        <v>2.2057413610075552E-3</v>
      </c>
      <c r="L485" s="1257">
        <v>2.0000010596336088E-3</v>
      </c>
      <c r="M485" s="1230">
        <v>2.0000010596336088E-3</v>
      </c>
      <c r="N485" s="1271">
        <v>8.7425283347905055E-3</v>
      </c>
      <c r="O485" s="1257">
        <v>1.5342831759996314E-2</v>
      </c>
      <c r="P485" s="1237">
        <v>7.6714158799981568E-3</v>
      </c>
      <c r="Q485" s="1292">
        <v>0.2664036988602777</v>
      </c>
    </row>
    <row r="486" spans="1:17" s="212" customFormat="1" ht="15.5" x14ac:dyDescent="0.35">
      <c r="A486" s="198">
        <v>2024</v>
      </c>
      <c r="B486" s="197" t="s">
        <v>5838</v>
      </c>
      <c r="C486" s="197">
        <v>1977</v>
      </c>
      <c r="D486" s="225" t="str">
        <f t="shared" si="4"/>
        <v>2024_1977</v>
      </c>
      <c r="E486" s="1291">
        <v>0.32074811239079309</v>
      </c>
      <c r="F486" s="1280">
        <v>2.1810122408894728</v>
      </c>
      <c r="G486" s="1271">
        <v>2.533613468676513</v>
      </c>
      <c r="H486" s="1280">
        <v>4.2385672812467465</v>
      </c>
      <c r="I486" s="1271">
        <v>0.25487919277276111</v>
      </c>
      <c r="J486" s="1280">
        <v>3.4107462846993848E-2</v>
      </c>
      <c r="K486" s="1271">
        <v>2.2057413610075552E-3</v>
      </c>
      <c r="L486" s="1257">
        <v>2.0000010596336088E-3</v>
      </c>
      <c r="M486" s="1230">
        <v>2.0000010596336088E-3</v>
      </c>
      <c r="N486" s="1271">
        <v>8.7425283347905055E-3</v>
      </c>
      <c r="O486" s="1257">
        <v>1.5342831759996314E-2</v>
      </c>
      <c r="P486" s="1237">
        <v>7.6714158799981568E-3</v>
      </c>
      <c r="Q486" s="1292">
        <v>0.2664036988602777</v>
      </c>
    </row>
    <row r="487" spans="1:17" s="212" customFormat="1" ht="15.5" x14ac:dyDescent="0.35">
      <c r="A487" s="198">
        <v>2024</v>
      </c>
      <c r="B487" s="197" t="s">
        <v>5838</v>
      </c>
      <c r="C487" s="197">
        <v>1978</v>
      </c>
      <c r="D487" s="225" t="str">
        <f t="shared" si="4"/>
        <v>2024_1978</v>
      </c>
      <c r="E487" s="1291">
        <v>0.32074811239079309</v>
      </c>
      <c r="F487" s="1280">
        <v>2.1810122408894728</v>
      </c>
      <c r="G487" s="1271">
        <v>2.533613468676513</v>
      </c>
      <c r="H487" s="1280">
        <v>4.2385672812467465</v>
      </c>
      <c r="I487" s="1271">
        <v>0.25487919277276111</v>
      </c>
      <c r="J487" s="1280">
        <v>3.4107462846993848E-2</v>
      </c>
      <c r="K487" s="1271">
        <v>2.2057413610075552E-3</v>
      </c>
      <c r="L487" s="1257">
        <v>2.0000010596336088E-3</v>
      </c>
      <c r="M487" s="1230">
        <v>2.0000010596336088E-3</v>
      </c>
      <c r="N487" s="1271">
        <v>8.7425283347905055E-3</v>
      </c>
      <c r="O487" s="1257">
        <v>1.5342831759996314E-2</v>
      </c>
      <c r="P487" s="1237">
        <v>7.6714158799981568E-3</v>
      </c>
      <c r="Q487" s="1292">
        <v>0.2664036988602777</v>
      </c>
    </row>
    <row r="488" spans="1:17" s="212" customFormat="1" ht="15.5" x14ac:dyDescent="0.35">
      <c r="A488" s="198">
        <v>2024</v>
      </c>
      <c r="B488" s="197" t="s">
        <v>5838</v>
      </c>
      <c r="C488" s="197">
        <v>1979</v>
      </c>
      <c r="D488" s="225" t="str">
        <f t="shared" si="4"/>
        <v>2024_1979</v>
      </c>
      <c r="E488" s="1291">
        <v>0.32074811239079309</v>
      </c>
      <c r="F488" s="1280">
        <v>2.1810122408894728</v>
      </c>
      <c r="G488" s="1271">
        <v>2.533613468676513</v>
      </c>
      <c r="H488" s="1280">
        <v>4.2385672812467465</v>
      </c>
      <c r="I488" s="1271">
        <v>0.25487919277276111</v>
      </c>
      <c r="J488" s="1280">
        <v>3.4107462846993848E-2</v>
      </c>
      <c r="K488" s="1271">
        <v>2.2057413610075552E-3</v>
      </c>
      <c r="L488" s="1257">
        <v>2.0000010596336088E-3</v>
      </c>
      <c r="M488" s="1230">
        <v>2.0000010596336088E-3</v>
      </c>
      <c r="N488" s="1271">
        <v>8.7425283347905055E-3</v>
      </c>
      <c r="O488" s="1257">
        <v>1.5342831759996314E-2</v>
      </c>
      <c r="P488" s="1237">
        <v>7.6714158799981568E-3</v>
      </c>
      <c r="Q488" s="1292">
        <v>0.2664036988602777</v>
      </c>
    </row>
    <row r="489" spans="1:17" s="212" customFormat="1" ht="15.5" x14ac:dyDescent="0.35">
      <c r="A489" s="198">
        <v>2024</v>
      </c>
      <c r="B489" s="197" t="s">
        <v>5838</v>
      </c>
      <c r="C489" s="197">
        <v>1980</v>
      </c>
      <c r="D489" s="225" t="str">
        <f t="shared" si="4"/>
        <v>2024_1980</v>
      </c>
      <c r="E489" s="1287">
        <v>0.32074811239079309</v>
      </c>
      <c r="F489" s="1306">
        <v>2.1810122408894728</v>
      </c>
      <c r="G489" s="1303">
        <v>2.533613468676513</v>
      </c>
      <c r="H489" s="1306">
        <v>4.2385672812467465</v>
      </c>
      <c r="I489" s="1303">
        <v>0.25487919277276111</v>
      </c>
      <c r="J489" s="1306">
        <v>3.4107462846993848E-2</v>
      </c>
      <c r="K489" s="1303">
        <v>2.2057413610075552E-3</v>
      </c>
      <c r="L489" s="1288">
        <v>2.0000010596336088E-3</v>
      </c>
      <c r="M489" s="1230">
        <v>2.0000010596336088E-3</v>
      </c>
      <c r="N489" s="1303">
        <v>8.7425283347905055E-3</v>
      </c>
      <c r="O489" s="1288">
        <v>1.5342831759996314E-2</v>
      </c>
      <c r="P489" s="1237">
        <v>7.6714158799981568E-3</v>
      </c>
      <c r="Q489" s="1290">
        <v>0.2664036988602777</v>
      </c>
    </row>
    <row r="490" spans="1:17" s="212" customFormat="1" ht="15.5" x14ac:dyDescent="0.35">
      <c r="A490" s="198">
        <v>2024</v>
      </c>
      <c r="B490" s="197" t="s">
        <v>5838</v>
      </c>
      <c r="C490" s="197">
        <v>1981</v>
      </c>
      <c r="D490" s="225" t="str">
        <f t="shared" si="4"/>
        <v>2024_1981</v>
      </c>
      <c r="E490" s="1287">
        <v>0.34191760973785729</v>
      </c>
      <c r="F490" s="1306">
        <v>2.169064975579472</v>
      </c>
      <c r="G490" s="1303">
        <v>1.8720494633465063</v>
      </c>
      <c r="H490" s="1306">
        <v>3.8070967474089774</v>
      </c>
      <c r="I490" s="1303">
        <v>0.27382202797820071</v>
      </c>
      <c r="J490" s="1306">
        <v>1.7469025077415545E-2</v>
      </c>
      <c r="K490" s="1303">
        <v>2.0151721787722171E-3</v>
      </c>
      <c r="L490" s="1288">
        <v>2.0000009234093391E-3</v>
      </c>
      <c r="M490" s="1230">
        <v>2.0000009234093391E-3</v>
      </c>
      <c r="N490" s="1303">
        <v>4.2303374022780926E-3</v>
      </c>
      <c r="O490" s="1288">
        <v>1.6974670693487012E-2</v>
      </c>
      <c r="P490" s="1237">
        <v>8.4873353467435058E-3</v>
      </c>
      <c r="Q490" s="1290">
        <v>0.28620304501612226</v>
      </c>
    </row>
    <row r="491" spans="1:17" s="212" customFormat="1" ht="15.5" x14ac:dyDescent="0.35">
      <c r="A491" s="198">
        <v>2024</v>
      </c>
      <c r="B491" s="197" t="s">
        <v>5838</v>
      </c>
      <c r="C491" s="197">
        <v>1982</v>
      </c>
      <c r="D491" s="225" t="str">
        <f t="shared" si="4"/>
        <v>2024_1982</v>
      </c>
      <c r="E491" s="1287">
        <v>0.30021019068299498</v>
      </c>
      <c r="F491" s="1306">
        <v>2.1795954910750601</v>
      </c>
      <c r="G491" s="1303">
        <v>3.0205582777375048</v>
      </c>
      <c r="H491" s="1306">
        <v>3.5873766531628171</v>
      </c>
      <c r="I491" s="1303">
        <v>0.23677974538437352</v>
      </c>
      <c r="J491" s="1306">
        <v>1.718070918704518E-2</v>
      </c>
      <c r="K491" s="1303">
        <v>2.3498192062144942E-3</v>
      </c>
      <c r="L491" s="1288">
        <v>2.0000009088267869E-3</v>
      </c>
      <c r="M491" s="1230">
        <v>2.0000009088267869E-3</v>
      </c>
      <c r="N491" s="1303">
        <v>1.1977881094770975E-2</v>
      </c>
      <c r="O491" s="1288">
        <v>1.875887969463863E-2</v>
      </c>
      <c r="P491" s="1237">
        <v>9.3794398473193152E-3</v>
      </c>
      <c r="Q491" s="1290">
        <v>0.24748587477609599</v>
      </c>
    </row>
    <row r="492" spans="1:17" s="212" customFormat="1" ht="15.5" x14ac:dyDescent="0.35">
      <c r="A492" s="198">
        <v>2024</v>
      </c>
      <c r="B492" s="197" t="s">
        <v>5838</v>
      </c>
      <c r="C492" s="197">
        <v>1983</v>
      </c>
      <c r="D492" s="225" t="str">
        <f t="shared" si="4"/>
        <v>2024_1983</v>
      </c>
      <c r="E492" s="1287">
        <v>0.21265703581610632</v>
      </c>
      <c r="F492" s="1306">
        <v>1.8095357079772105</v>
      </c>
      <c r="G492" s="1303">
        <v>3.1875675399260386</v>
      </c>
      <c r="H492" s="1306">
        <v>3.483083079805974</v>
      </c>
      <c r="I492" s="1303">
        <v>0.21492848703756706</v>
      </c>
      <c r="J492" s="1306">
        <v>1.7056503446620352E-2</v>
      </c>
      <c r="K492" s="1303">
        <v>2.4539557983452582E-3</v>
      </c>
      <c r="L492" s="1288">
        <v>2.0000008867980608E-3</v>
      </c>
      <c r="M492" s="1230">
        <v>2.0000008867980608E-3</v>
      </c>
      <c r="N492" s="1303">
        <v>1.4466230204338253E-2</v>
      </c>
      <c r="O492" s="1288">
        <v>1.6499204917535898E-2</v>
      </c>
      <c r="P492" s="1237">
        <v>8.249602458767949E-3</v>
      </c>
      <c r="Q492" s="1290">
        <v>0.22464659949037002</v>
      </c>
    </row>
    <row r="493" spans="1:17" s="212" customFormat="1" ht="15.5" x14ac:dyDescent="0.35">
      <c r="A493" s="198">
        <v>2024</v>
      </c>
      <c r="B493" s="197" t="s">
        <v>5838</v>
      </c>
      <c r="C493" s="197">
        <v>1984</v>
      </c>
      <c r="D493" s="225" t="str">
        <f t="shared" si="4"/>
        <v>2024_1984</v>
      </c>
      <c r="E493" s="1287">
        <v>0.26817378437059891</v>
      </c>
      <c r="F493" s="1306">
        <v>1.3975934613645067</v>
      </c>
      <c r="G493" s="1303">
        <v>3.8197781175376875</v>
      </c>
      <c r="H493" s="1306">
        <v>3.4408359207507218</v>
      </c>
      <c r="I493" s="1303">
        <v>0.18654137410422572</v>
      </c>
      <c r="J493" s="1306">
        <v>1.7549557650941957E-2</v>
      </c>
      <c r="K493" s="1303">
        <v>2.6541063433434026E-3</v>
      </c>
      <c r="L493" s="1288">
        <v>2.0000008336871836E-3</v>
      </c>
      <c r="M493" s="1230">
        <v>2.0000008336871836E-3</v>
      </c>
      <c r="N493" s="1303">
        <v>1.9144558329866408E-2</v>
      </c>
      <c r="O493" s="1288">
        <v>1.6955623653695084E-2</v>
      </c>
      <c r="P493" s="1237">
        <v>8.4778118268475419E-3</v>
      </c>
      <c r="Q493" s="1290">
        <v>0.19497594727613035</v>
      </c>
    </row>
    <row r="494" spans="1:17" s="212" customFormat="1" ht="15.5" x14ac:dyDescent="0.35">
      <c r="A494" s="198">
        <v>2024</v>
      </c>
      <c r="B494" s="197" t="s">
        <v>5838</v>
      </c>
      <c r="C494" s="197">
        <v>1985</v>
      </c>
      <c r="D494" s="225" t="str">
        <f t="shared" si="4"/>
        <v>2024_1985</v>
      </c>
      <c r="E494" s="1287">
        <v>0.25296023832357084</v>
      </c>
      <c r="F494" s="1306">
        <v>1.365323462404733</v>
      </c>
      <c r="G494" s="1303">
        <v>4.4043198099850223</v>
      </c>
      <c r="H494" s="1306">
        <v>3.1079160728184938</v>
      </c>
      <c r="I494" s="1303">
        <v>0.18204733458038871</v>
      </c>
      <c r="J494" s="1306">
        <v>1.6326460097517776E-2</v>
      </c>
      <c r="K494" s="1303">
        <v>2.8100863524098711E-3</v>
      </c>
      <c r="L494" s="1288">
        <v>2.0000009344704273E-3</v>
      </c>
      <c r="M494" s="1230">
        <v>2.0000009344704273E-3</v>
      </c>
      <c r="N494" s="1303">
        <v>2.2847057509424472E-2</v>
      </c>
      <c r="O494" s="1288">
        <v>1.6847842151975097E-2</v>
      </c>
      <c r="P494" s="1237">
        <v>8.4239210759875487E-3</v>
      </c>
      <c r="Q494" s="1290">
        <v>0.19027870722703025</v>
      </c>
    </row>
    <row r="495" spans="1:17" s="212" customFormat="1" ht="15.5" x14ac:dyDescent="0.35">
      <c r="A495" s="198">
        <v>2024</v>
      </c>
      <c r="B495" s="197" t="s">
        <v>5838</v>
      </c>
      <c r="C495" s="197">
        <v>1986</v>
      </c>
      <c r="D495" s="225" t="str">
        <f t="shared" si="4"/>
        <v>2024_1986</v>
      </c>
      <c r="E495" s="1287">
        <v>0.24892495282012059</v>
      </c>
      <c r="F495" s="1306">
        <v>1.0815132755270958</v>
      </c>
      <c r="G495" s="1303">
        <v>4.5932787716774035</v>
      </c>
      <c r="H495" s="1306">
        <v>3.1801327948736362</v>
      </c>
      <c r="I495" s="1303">
        <v>0.18149706974110794</v>
      </c>
      <c r="J495" s="1306">
        <v>1.6486005872683833E-2</v>
      </c>
      <c r="K495" s="1303">
        <v>2.8661521877802413E-3</v>
      </c>
      <c r="L495" s="1288">
        <v>2.0000009311925185E-3</v>
      </c>
      <c r="M495" s="1230">
        <v>2.0000009311925185E-3</v>
      </c>
      <c r="N495" s="1303">
        <v>2.4156112758095309E-2</v>
      </c>
      <c r="O495" s="1288">
        <v>1.5928889868575595E-2</v>
      </c>
      <c r="P495" s="1237">
        <v>7.9644449342877975E-3</v>
      </c>
      <c r="Q495" s="1290">
        <v>0.18970356185348256</v>
      </c>
    </row>
    <row r="496" spans="1:17" s="212" customFormat="1" ht="15.5" x14ac:dyDescent="0.35">
      <c r="A496" s="198">
        <v>2024</v>
      </c>
      <c r="B496" s="197" t="s">
        <v>5838</v>
      </c>
      <c r="C496" s="197">
        <v>1987</v>
      </c>
      <c r="D496" s="225" t="str">
        <f t="shared" si="4"/>
        <v>2024_1987</v>
      </c>
      <c r="E496" s="1287">
        <v>0.29505854188658465</v>
      </c>
      <c r="F496" s="1306">
        <v>1.1780027381763662</v>
      </c>
      <c r="G496" s="1303">
        <v>5.0598421123855388</v>
      </c>
      <c r="H496" s="1306">
        <v>3.0603221896615276</v>
      </c>
      <c r="I496" s="1303">
        <v>0.20012122793379059</v>
      </c>
      <c r="J496" s="1306">
        <v>1.6788788324423775E-2</v>
      </c>
      <c r="K496" s="1303">
        <v>2.9608375436139048E-3</v>
      </c>
      <c r="L496" s="1288">
        <v>2.0000010699193433E-3</v>
      </c>
      <c r="M496" s="1230">
        <v>2.0000010699193433E-3</v>
      </c>
      <c r="N496" s="1303">
        <v>2.6381526988137831E-2</v>
      </c>
      <c r="O496" s="1288">
        <v>1.4045074202268477E-2</v>
      </c>
      <c r="P496" s="1237">
        <v>7.0225371011342387E-3</v>
      </c>
      <c r="Q496" s="1290">
        <v>0.20916982183615954</v>
      </c>
    </row>
    <row r="497" spans="1:17" s="212" customFormat="1" ht="15.5" x14ac:dyDescent="0.35">
      <c r="A497" s="198">
        <v>2024</v>
      </c>
      <c r="B497" s="197" t="s">
        <v>5838</v>
      </c>
      <c r="C497" s="197">
        <v>1988</v>
      </c>
      <c r="D497" s="225" t="str">
        <f t="shared" si="4"/>
        <v>2024_1988</v>
      </c>
      <c r="E497" s="1287">
        <v>0.29295373398180141</v>
      </c>
      <c r="F497" s="1306">
        <v>0.49959715451987791</v>
      </c>
      <c r="G497" s="1303">
        <v>5.1139397723147564</v>
      </c>
      <c r="H497" s="1306">
        <v>1.6619071737430187</v>
      </c>
      <c r="I497" s="1303">
        <v>0.19889368177650296</v>
      </c>
      <c r="J497" s="1306">
        <v>1.6109945147611486E-2</v>
      </c>
      <c r="K497" s="1303">
        <v>2.9708665389053075E-3</v>
      </c>
      <c r="L497" s="1288">
        <v>2.0000010875970511E-3</v>
      </c>
      <c r="M497" s="1230">
        <v>2.0000010875970511E-3</v>
      </c>
      <c r="N497" s="1303">
        <v>2.6621371746823105E-2</v>
      </c>
      <c r="O497" s="1288">
        <v>1.4052448573623217E-2</v>
      </c>
      <c r="P497" s="1237">
        <v>7.0262242868116085E-3</v>
      </c>
      <c r="Q497" s="1290">
        <v>0.20788677148879525</v>
      </c>
    </row>
    <row r="498" spans="1:17" s="212" customFormat="1" ht="15.5" x14ac:dyDescent="0.35">
      <c r="A498" s="198">
        <v>2024</v>
      </c>
      <c r="B498" s="197" t="s">
        <v>5838</v>
      </c>
      <c r="C498" s="197">
        <v>1989</v>
      </c>
      <c r="D498" s="225" t="str">
        <f t="shared" si="4"/>
        <v>2024_1989</v>
      </c>
      <c r="E498" s="1287">
        <v>0.29595958294477903</v>
      </c>
      <c r="F498" s="1306">
        <v>0.44198213290538635</v>
      </c>
      <c r="G498" s="1303">
        <v>5.0188896229205975</v>
      </c>
      <c r="H498" s="1306">
        <v>1.8806177385767171</v>
      </c>
      <c r="I498" s="1303">
        <v>0.20053046645559258</v>
      </c>
      <c r="J498" s="1306">
        <v>1.6249680848558233E-2</v>
      </c>
      <c r="K498" s="1303">
        <v>2.9508443806641892E-3</v>
      </c>
      <c r="L498" s="1288">
        <v>2.0000011388504831E-3</v>
      </c>
      <c r="M498" s="1230">
        <v>2.0000011388504831E-3</v>
      </c>
      <c r="N498" s="1303">
        <v>2.6150427229382902E-2</v>
      </c>
      <c r="O498" s="1288">
        <v>1.3137627472490514E-2</v>
      </c>
      <c r="P498" s="1237">
        <v>6.5688137362452572E-3</v>
      </c>
      <c r="Q498" s="1290">
        <v>0.20959756430794832</v>
      </c>
    </row>
    <row r="499" spans="1:17" s="212" customFormat="1" ht="15.5" x14ac:dyDescent="0.35">
      <c r="A499" s="198">
        <v>2024</v>
      </c>
      <c r="B499" s="197" t="s">
        <v>5838</v>
      </c>
      <c r="C499" s="197">
        <v>1990</v>
      </c>
      <c r="D499" s="225" t="str">
        <f t="shared" si="4"/>
        <v>2024_1990</v>
      </c>
      <c r="E499" s="1287">
        <v>0.29761476768799344</v>
      </c>
      <c r="F499" s="1306">
        <v>0.48480218245617329</v>
      </c>
      <c r="G499" s="1303">
        <v>5.0325083085527824</v>
      </c>
      <c r="H499" s="1306">
        <v>1.8597693936256565</v>
      </c>
      <c r="I499" s="1303">
        <v>0.20189854295919363</v>
      </c>
      <c r="J499" s="1306">
        <v>1.6402893301945908E-2</v>
      </c>
      <c r="K499" s="1303">
        <v>2.9625192974708516E-3</v>
      </c>
      <c r="L499" s="1288">
        <v>2.0000010917759371E-3</v>
      </c>
      <c r="M499" s="1230">
        <v>2.0000010917759371E-3</v>
      </c>
      <c r="N499" s="1303">
        <v>2.6422325411402617E-2</v>
      </c>
      <c r="O499" s="1288">
        <v>1.2698551661293987E-2</v>
      </c>
      <c r="P499" s="1237">
        <v>6.3492758306469936E-3</v>
      </c>
      <c r="Q499" s="1290">
        <v>0.21102749916029323</v>
      </c>
    </row>
    <row r="500" spans="1:17" s="212" customFormat="1" ht="15.5" x14ac:dyDescent="0.35">
      <c r="A500" s="198">
        <v>2024</v>
      </c>
      <c r="B500" s="197" t="s">
        <v>5838</v>
      </c>
      <c r="C500" s="197">
        <v>1991</v>
      </c>
      <c r="D500" s="225" t="str">
        <f t="shared" si="4"/>
        <v>2024_1991</v>
      </c>
      <c r="E500" s="1287">
        <v>0.37847224296725912</v>
      </c>
      <c r="F500" s="1306">
        <v>0.49684220761708431</v>
      </c>
      <c r="G500" s="1303">
        <v>8.9846329352854912</v>
      </c>
      <c r="H500" s="1306">
        <v>2.3184267800384779</v>
      </c>
      <c r="I500" s="1303">
        <v>5.7188712902524141E-2</v>
      </c>
      <c r="J500" s="1306">
        <v>9.1706423098820589E-3</v>
      </c>
      <c r="K500" s="1303">
        <v>2.9782130666235807E-3</v>
      </c>
      <c r="L500" s="1288">
        <v>2.000001120915433E-3</v>
      </c>
      <c r="M500" s="1230">
        <v>2.000001120915433E-3</v>
      </c>
      <c r="N500" s="1303">
        <v>2.6786917481186945E-2</v>
      </c>
      <c r="O500" s="1288">
        <v>1.1900892144213389E-2</v>
      </c>
      <c r="P500" s="1237">
        <v>5.9504460721066946E-3</v>
      </c>
      <c r="Q500" s="1290">
        <v>5.9774532728821196E-2</v>
      </c>
    </row>
    <row r="501" spans="1:17" s="212" customFormat="1" ht="15.5" x14ac:dyDescent="0.35">
      <c r="A501" s="198">
        <v>2024</v>
      </c>
      <c r="B501" s="197" t="s">
        <v>5838</v>
      </c>
      <c r="C501" s="197">
        <v>1992</v>
      </c>
      <c r="D501" s="225" t="str">
        <f t="shared" si="4"/>
        <v>2024_1992</v>
      </c>
      <c r="E501" s="1287">
        <v>0.37931894016030865</v>
      </c>
      <c r="F501" s="1306">
        <v>0.49771599391274635</v>
      </c>
      <c r="G501" s="1303">
        <v>8.7427620874521299</v>
      </c>
      <c r="H501" s="1306">
        <v>2.2214479402851972</v>
      </c>
      <c r="I501" s="1303">
        <v>6.1655839163099371E-2</v>
      </c>
      <c r="J501" s="1306">
        <v>9.3474266456894904E-3</v>
      </c>
      <c r="K501" s="1303">
        <v>2.951278091754743E-3</v>
      </c>
      <c r="L501" s="1288">
        <v>2.0000011675413527E-3</v>
      </c>
      <c r="M501" s="1230">
        <v>2.0000011675413527E-3</v>
      </c>
      <c r="N501" s="1303">
        <v>2.6153413337706186E-2</v>
      </c>
      <c r="O501" s="1288">
        <v>9.9667688058233447E-3</v>
      </c>
      <c r="P501" s="1237">
        <v>4.9833844029116723E-3</v>
      </c>
      <c r="Q501" s="1290">
        <v>6.4443642616320435E-2</v>
      </c>
    </row>
    <row r="502" spans="1:17" s="212" customFormat="1" ht="15.5" x14ac:dyDescent="0.35">
      <c r="A502" s="198">
        <v>2024</v>
      </c>
      <c r="B502" s="197" t="s">
        <v>5838</v>
      </c>
      <c r="C502" s="197">
        <v>1993</v>
      </c>
      <c r="D502" s="225" t="str">
        <f t="shared" si="4"/>
        <v>2024_1993</v>
      </c>
      <c r="E502" s="1287">
        <v>0.37807605242204434</v>
      </c>
      <c r="F502" s="1306">
        <v>0.50154744622760661</v>
      </c>
      <c r="G502" s="1303">
        <v>9.0307593192955942</v>
      </c>
      <c r="H502" s="1306">
        <v>2.2477831642366244</v>
      </c>
      <c r="I502" s="1303">
        <v>5.4060452299709655E-2</v>
      </c>
      <c r="J502" s="1306">
        <v>9.3494571286604246E-3</v>
      </c>
      <c r="K502" s="1303">
        <v>2.9879327114674292E-3</v>
      </c>
      <c r="L502" s="1288">
        <v>2.000001136164904E-3</v>
      </c>
      <c r="M502" s="1230">
        <v>2.000001136164904E-3</v>
      </c>
      <c r="N502" s="1303">
        <v>2.7016724346458732E-2</v>
      </c>
      <c r="O502" s="1288">
        <v>1.1042999305662379E-2</v>
      </c>
      <c r="P502" s="1237">
        <v>5.5214996528311893E-3</v>
      </c>
      <c r="Q502" s="1290">
        <v>5.6504826062998309E-2</v>
      </c>
    </row>
    <row r="503" spans="1:17" s="212" customFormat="1" ht="15.5" x14ac:dyDescent="0.35">
      <c r="A503" s="198">
        <v>2024</v>
      </c>
      <c r="B503" s="197" t="s">
        <v>5838</v>
      </c>
      <c r="C503" s="197">
        <v>1994</v>
      </c>
      <c r="D503" s="225" t="str">
        <f t="shared" si="4"/>
        <v>2024_1994</v>
      </c>
      <c r="E503" s="1287">
        <v>0.36116682514615106</v>
      </c>
      <c r="F503" s="1306">
        <v>0.50054217103566423</v>
      </c>
      <c r="G503" s="1303">
        <v>8.6730177614785582</v>
      </c>
      <c r="H503" s="1306">
        <v>2.1044696038008937</v>
      </c>
      <c r="I503" s="1303">
        <v>5.4193615847248557E-2</v>
      </c>
      <c r="J503" s="1306">
        <v>9.5559793602755828E-3</v>
      </c>
      <c r="K503" s="1303">
        <v>2.9358748628931239E-3</v>
      </c>
      <c r="L503" s="1288">
        <v>2.0000013162385696E-3</v>
      </c>
      <c r="M503" s="1230">
        <v>2.0000013162385696E-3</v>
      </c>
      <c r="N503" s="1303">
        <v>2.5786756738989891E-2</v>
      </c>
      <c r="O503" s="1288">
        <v>8.1715619789227596E-3</v>
      </c>
      <c r="P503" s="1237">
        <v>4.0857809894613798E-3</v>
      </c>
      <c r="Q503" s="1290">
        <v>5.6644010675252522E-2</v>
      </c>
    </row>
    <row r="504" spans="1:17" s="212" customFormat="1" ht="15.5" x14ac:dyDescent="0.35">
      <c r="A504" s="198">
        <v>2024</v>
      </c>
      <c r="B504" s="197" t="s">
        <v>5838</v>
      </c>
      <c r="C504" s="197">
        <v>1995</v>
      </c>
      <c r="D504" s="225" t="str">
        <f t="shared" si="4"/>
        <v>2024_1995</v>
      </c>
      <c r="E504" s="1287">
        <v>0.37226026874067142</v>
      </c>
      <c r="F504" s="1306">
        <v>0.37083816197837649</v>
      </c>
      <c r="G504" s="1303">
        <v>9.1629833129930489</v>
      </c>
      <c r="H504" s="1306">
        <v>1.6533404216447909</v>
      </c>
      <c r="I504" s="1303">
        <v>5.3674800449298433E-2</v>
      </c>
      <c r="J504" s="1306">
        <v>8.5783381288873917E-3</v>
      </c>
      <c r="K504" s="1303">
        <v>2.990524012640796E-3</v>
      </c>
      <c r="L504" s="1288">
        <v>2.0000012120646332E-3</v>
      </c>
      <c r="M504" s="1230">
        <v>2.0000012120646332E-3</v>
      </c>
      <c r="N504" s="1303">
        <v>2.7077915419310348E-2</v>
      </c>
      <c r="O504" s="1288">
        <v>1.0436365825209345E-2</v>
      </c>
      <c r="P504" s="1237">
        <v>5.2181829126046724E-3</v>
      </c>
      <c r="Q504" s="1290">
        <v>5.6101736747216281E-2</v>
      </c>
    </row>
    <row r="505" spans="1:17" s="212" customFormat="1" ht="15.5" x14ac:dyDescent="0.35">
      <c r="A505" s="198">
        <v>2024</v>
      </c>
      <c r="B505" s="197" t="s">
        <v>5838</v>
      </c>
      <c r="C505" s="197">
        <v>1996</v>
      </c>
      <c r="D505" s="225" t="str">
        <f t="shared" si="4"/>
        <v>2024_1996</v>
      </c>
      <c r="E505" s="1287">
        <v>0.37501555728322139</v>
      </c>
      <c r="F505" s="1306">
        <v>0.12521737160540572</v>
      </c>
      <c r="G505" s="1303">
        <v>9.1646361799391993</v>
      </c>
      <c r="H505" s="1306">
        <v>0.97915830306823703</v>
      </c>
      <c r="I505" s="1303">
        <v>5.391575452853456E-2</v>
      </c>
      <c r="J505" s="1306">
        <v>2.6847502913197453E-3</v>
      </c>
      <c r="K505" s="1303">
        <v>2.994400408061169E-3</v>
      </c>
      <c r="L505" s="1288">
        <v>2.0000011945810223E-3</v>
      </c>
      <c r="M505" s="1230">
        <v>2.0000011945810223E-3</v>
      </c>
      <c r="N505" s="1303">
        <v>2.7167931715893306E-2</v>
      </c>
      <c r="O505" s="1288">
        <v>1.0331002381834707E-2</v>
      </c>
      <c r="P505" s="1237">
        <v>5.1655011909173534E-3</v>
      </c>
      <c r="Q505" s="1290">
        <v>5.6353585700697574E-2</v>
      </c>
    </row>
    <row r="506" spans="1:17" s="212" customFormat="1" ht="15.5" x14ac:dyDescent="0.35">
      <c r="A506" s="198">
        <v>2024</v>
      </c>
      <c r="B506" s="197" t="s">
        <v>5838</v>
      </c>
      <c r="C506" s="197">
        <v>1997</v>
      </c>
      <c r="D506" s="225" t="str">
        <f t="shared" si="4"/>
        <v>2024_1997</v>
      </c>
      <c r="E506" s="1287">
        <v>0.37717363303038742</v>
      </c>
      <c r="F506" s="1306">
        <v>0.12546812479408212</v>
      </c>
      <c r="G506" s="1303">
        <v>9.1721221000408821</v>
      </c>
      <c r="H506" s="1306">
        <v>0.98261779273588723</v>
      </c>
      <c r="I506" s="1303">
        <v>5.4081098238670099E-2</v>
      </c>
      <c r="J506" s="1306">
        <v>2.6842413717520787E-3</v>
      </c>
      <c r="K506" s="1303">
        <v>2.9980930602001967E-3</v>
      </c>
      <c r="L506" s="1288">
        <v>2.0000011870303217E-3</v>
      </c>
      <c r="M506" s="1230">
        <v>2.0000011870303217E-3</v>
      </c>
      <c r="N506" s="1303">
        <v>2.7255309324583286E-2</v>
      </c>
      <c r="O506" s="1288">
        <v>1.0228260530141163E-2</v>
      </c>
      <c r="P506" s="1237">
        <v>5.1141302650705815E-3</v>
      </c>
      <c r="Q506" s="1290">
        <v>5.6526405519703483E-2</v>
      </c>
    </row>
    <row r="507" spans="1:17" s="212" customFormat="1" ht="15.5" x14ac:dyDescent="0.35">
      <c r="A507" s="198">
        <v>2024</v>
      </c>
      <c r="B507" s="197" t="s">
        <v>5838</v>
      </c>
      <c r="C507" s="197">
        <v>1998</v>
      </c>
      <c r="D507" s="225" t="str">
        <f t="shared" si="4"/>
        <v>2024_1998</v>
      </c>
      <c r="E507" s="1287">
        <v>0.37657387950588367</v>
      </c>
      <c r="F507" s="1306">
        <v>0.12870168616651642</v>
      </c>
      <c r="G507" s="1303">
        <v>9.179852206000179</v>
      </c>
      <c r="H507" s="1306">
        <v>1.005164082631971</v>
      </c>
      <c r="I507" s="1303">
        <v>5.3994804819316004E-2</v>
      </c>
      <c r="J507" s="1306">
        <v>2.7262562626030069E-3</v>
      </c>
      <c r="K507" s="1303">
        <v>2.9980385367690643E-3</v>
      </c>
      <c r="L507" s="1288">
        <v>2.0000012668768634E-3</v>
      </c>
      <c r="M507" s="1230">
        <v>2.0000012668768634E-3</v>
      </c>
      <c r="N507" s="1303">
        <v>2.7253384131361597E-2</v>
      </c>
      <c r="O507" s="1288">
        <v>8.6233360176099089E-3</v>
      </c>
      <c r="P507" s="1237">
        <v>4.3116680088049544E-3</v>
      </c>
      <c r="Q507" s="1290">
        <v>5.6436210294847654E-2</v>
      </c>
    </row>
    <row r="508" spans="1:17" s="212" customFormat="1" ht="15.5" x14ac:dyDescent="0.35">
      <c r="A508" s="198">
        <v>2024</v>
      </c>
      <c r="B508" s="197" t="s">
        <v>5838</v>
      </c>
      <c r="C508" s="197">
        <v>1999</v>
      </c>
      <c r="D508" s="225" t="str">
        <f t="shared" si="4"/>
        <v>2024_1999</v>
      </c>
      <c r="E508" s="1287">
        <v>0.37704695201685795</v>
      </c>
      <c r="F508" s="1306">
        <v>0.12700093022370162</v>
      </c>
      <c r="G508" s="1303">
        <v>9.190725117176914</v>
      </c>
      <c r="H508" s="1306">
        <v>0.99941138800651275</v>
      </c>
      <c r="I508" s="1303">
        <v>5.4027517250993903E-2</v>
      </c>
      <c r="J508" s="1306">
        <v>2.7565280359620023E-3</v>
      </c>
      <c r="K508" s="1303">
        <v>2.9990121323855783E-3</v>
      </c>
      <c r="L508" s="1288">
        <v>2.0000013253057931E-3</v>
      </c>
      <c r="M508" s="1230">
        <v>2.0000013253057931E-3</v>
      </c>
      <c r="N508" s="1303">
        <v>2.7276859070438881E-2</v>
      </c>
      <c r="O508" s="1288">
        <v>8.1627723436092491E-3</v>
      </c>
      <c r="P508" s="1237">
        <v>4.0813861718046246E-3</v>
      </c>
      <c r="Q508" s="1290">
        <v>5.6470401837526732E-2</v>
      </c>
    </row>
    <row r="509" spans="1:17" s="212" customFormat="1" ht="15.5" x14ac:dyDescent="0.35">
      <c r="A509" s="198">
        <v>2024</v>
      </c>
      <c r="B509" s="197" t="s">
        <v>5838</v>
      </c>
      <c r="C509" s="197">
        <v>2000</v>
      </c>
      <c r="D509" s="225" t="str">
        <f t="shared" si="4"/>
        <v>2024_2000</v>
      </c>
      <c r="E509" s="1287">
        <v>0.37537157671943927</v>
      </c>
      <c r="F509" s="1306">
        <v>0.12219116965158511</v>
      </c>
      <c r="G509" s="1303">
        <v>9.2282667574088073</v>
      </c>
      <c r="H509" s="1306">
        <v>0.9756243532348069</v>
      </c>
      <c r="I509" s="1303">
        <v>5.375954863529149E-2</v>
      </c>
      <c r="J509" s="1306">
        <v>2.7590091578584045E-3</v>
      </c>
      <c r="K509" s="1303">
        <v>2.9997153408469618E-3</v>
      </c>
      <c r="L509" s="1288">
        <v>2.0000013796033383E-3</v>
      </c>
      <c r="M509" s="1230">
        <v>2.0000013796033383E-3</v>
      </c>
      <c r="N509" s="1303">
        <v>2.7293251203171567E-2</v>
      </c>
      <c r="O509" s="1288">
        <v>8.2488563132585239E-3</v>
      </c>
      <c r="P509" s="1237">
        <v>4.1244281566292619E-3</v>
      </c>
      <c r="Q509" s="1290">
        <v>5.619031687011538E-2</v>
      </c>
    </row>
    <row r="510" spans="1:17" s="212" customFormat="1" ht="15.5" x14ac:dyDescent="0.35">
      <c r="A510" s="198">
        <v>2024</v>
      </c>
      <c r="B510" s="197" t="s">
        <v>5838</v>
      </c>
      <c r="C510" s="197">
        <v>2001</v>
      </c>
      <c r="D510" s="225" t="str">
        <f t="shared" si="4"/>
        <v>2024_2001</v>
      </c>
      <c r="E510" s="1287">
        <v>0.37646691762242412</v>
      </c>
      <c r="F510" s="1306">
        <v>0.11912040145579747</v>
      </c>
      <c r="G510" s="1303">
        <v>9.1963444121454927</v>
      </c>
      <c r="H510" s="1306">
        <v>0.95499638738149517</v>
      </c>
      <c r="I510" s="1303">
        <v>5.3936977327457128E-2</v>
      </c>
      <c r="J510" s="1306">
        <v>2.7854729889485153E-3</v>
      </c>
      <c r="K510" s="1303">
        <v>2.9999106301723806E-3</v>
      </c>
      <c r="L510" s="1288">
        <v>2.0000013741972838E-3</v>
      </c>
      <c r="M510" s="1230">
        <v>2.0000013741972838E-3</v>
      </c>
      <c r="N510" s="1303">
        <v>2.7297902915429148E-2</v>
      </c>
      <c r="O510" s="1288">
        <v>7.4945070010287813E-3</v>
      </c>
      <c r="P510" s="1237">
        <v>3.7472535005143907E-3</v>
      </c>
      <c r="Q510" s="1290">
        <v>5.6375768100412511E-2</v>
      </c>
    </row>
    <row r="511" spans="1:17" s="212" customFormat="1" ht="15.5" x14ac:dyDescent="0.35">
      <c r="A511" s="198">
        <v>2024</v>
      </c>
      <c r="B511" s="197" t="s">
        <v>5838</v>
      </c>
      <c r="C511" s="197">
        <v>2002</v>
      </c>
      <c r="D511" s="225" t="str">
        <f t="shared" si="4"/>
        <v>2024_2002</v>
      </c>
      <c r="E511" s="1287">
        <v>0.28953800182871148</v>
      </c>
      <c r="F511" s="1306">
        <v>0.11787342791689576</v>
      </c>
      <c r="G511" s="1303">
        <v>7.1111305189294169</v>
      </c>
      <c r="H511" s="1306">
        <v>0.92086650435460204</v>
      </c>
      <c r="I511" s="1303">
        <v>5.4063884237625474E-2</v>
      </c>
      <c r="J511" s="1306">
        <v>2.8024424694212016E-3</v>
      </c>
      <c r="K511" s="1303">
        <v>2.999916228518475E-3</v>
      </c>
      <c r="L511" s="1288">
        <v>2.0000014589847482E-3</v>
      </c>
      <c r="M511" s="1230">
        <v>2.0000014589847482E-3</v>
      </c>
      <c r="N511" s="1303">
        <v>2.7298032739769496E-2</v>
      </c>
      <c r="O511" s="1288">
        <v>6.9093516421470198E-3</v>
      </c>
      <c r="P511" s="1237">
        <v>3.4546758210735099E-3</v>
      </c>
      <c r="Q511" s="1290">
        <v>5.6508413177917702E-2</v>
      </c>
    </row>
    <row r="512" spans="1:17" s="212" customFormat="1" ht="15.5" x14ac:dyDescent="0.35">
      <c r="A512" s="198">
        <v>2024</v>
      </c>
      <c r="B512" s="197" t="s">
        <v>5838</v>
      </c>
      <c r="C512" s="197">
        <v>2003</v>
      </c>
      <c r="D512" s="225" t="str">
        <f t="shared" si="4"/>
        <v>2024_2003</v>
      </c>
      <c r="E512" s="1287">
        <v>0.28655357668596215</v>
      </c>
      <c r="F512" s="1306">
        <v>9.5092164907951082E-2</v>
      </c>
      <c r="G512" s="1303">
        <v>7.1345044382006888</v>
      </c>
      <c r="H512" s="1306">
        <v>0.71077865362664372</v>
      </c>
      <c r="I512" s="1303">
        <v>5.3604000756108723E-2</v>
      </c>
      <c r="J512" s="1306">
        <v>2.7911772664890367E-3</v>
      </c>
      <c r="K512" s="1303">
        <v>2.9999270164515314E-3</v>
      </c>
      <c r="L512" s="1288">
        <v>2.0000014830634902E-3</v>
      </c>
      <c r="M512" s="1230">
        <v>2.0000014830634902E-3</v>
      </c>
      <c r="N512" s="1303">
        <v>2.7298311210088341E-2</v>
      </c>
      <c r="O512" s="1288">
        <v>7.2375446466499535E-3</v>
      </c>
      <c r="P512" s="1237">
        <v>3.6187723233249767E-3</v>
      </c>
      <c r="Q512" s="1290">
        <v>5.6027735806069581E-2</v>
      </c>
    </row>
    <row r="513" spans="1:17" s="212" customFormat="1" ht="15.5" x14ac:dyDescent="0.35">
      <c r="A513" s="198">
        <v>2024</v>
      </c>
      <c r="B513" s="197" t="s">
        <v>5838</v>
      </c>
      <c r="C513" s="197">
        <v>2004</v>
      </c>
      <c r="D513" s="225" t="str">
        <f t="shared" si="4"/>
        <v>2024_2004</v>
      </c>
      <c r="E513" s="1287">
        <v>0.58719003777301726</v>
      </c>
      <c r="F513" s="1306">
        <v>1.7846377507841876E-2</v>
      </c>
      <c r="G513" s="1303">
        <v>4.2033303439192418</v>
      </c>
      <c r="H513" s="1306">
        <v>0.1174933864442101</v>
      </c>
      <c r="I513" s="1303">
        <v>0.15300109057953568</v>
      </c>
      <c r="J513" s="1306">
        <v>1.8690263649971689E-4</v>
      </c>
      <c r="K513" s="1303">
        <v>2.9989986574512919E-3</v>
      </c>
      <c r="L513" s="1288">
        <v>2.0000015585648072E-3</v>
      </c>
      <c r="M513" s="1230">
        <v>2.0000015585648072E-3</v>
      </c>
      <c r="N513" s="1303">
        <v>2.72764139963656E-2</v>
      </c>
      <c r="O513" s="1288">
        <v>6.696082937078165E-3</v>
      </c>
      <c r="P513" s="1237">
        <v>3.3480414685390825E-3</v>
      </c>
      <c r="Q513" s="1290">
        <v>0.15991912096325775</v>
      </c>
    </row>
    <row r="514" spans="1:17" s="212" customFormat="1" ht="15.5" x14ac:dyDescent="0.35">
      <c r="A514" s="198">
        <v>2024</v>
      </c>
      <c r="B514" s="197" t="s">
        <v>5838</v>
      </c>
      <c r="C514" s="197">
        <v>2005</v>
      </c>
      <c r="D514" s="225" t="str">
        <f t="shared" si="4"/>
        <v>2024_2005</v>
      </c>
      <c r="E514" s="1287">
        <v>0.5399979609676745</v>
      </c>
      <c r="F514" s="1306">
        <v>1.5826230058443573E-2</v>
      </c>
      <c r="G514" s="1303">
        <v>3.9919913615826075</v>
      </c>
      <c r="H514" s="1306">
        <v>0.10110567001065125</v>
      </c>
      <c r="I514" s="1303">
        <v>0.14357932834774365</v>
      </c>
      <c r="J514" s="1306">
        <v>1.8726024982448913E-4</v>
      </c>
      <c r="K514" s="1303">
        <v>2.9144700904064095E-3</v>
      </c>
      <c r="L514" s="1288">
        <v>2.0000015702099578E-3</v>
      </c>
      <c r="M514" s="1230">
        <v>2.0000015702099578E-3</v>
      </c>
      <c r="N514" s="1303">
        <v>2.5275491728864605E-2</v>
      </c>
      <c r="O514" s="1288">
        <v>6.1512965539078836E-3</v>
      </c>
      <c r="P514" s="1237">
        <v>3.0756482769539418E-3</v>
      </c>
      <c r="Q514" s="1290">
        <v>0.15007134845179487</v>
      </c>
    </row>
    <row r="515" spans="1:17" s="212" customFormat="1" ht="15.5" x14ac:dyDescent="0.35">
      <c r="A515" s="198">
        <v>2024</v>
      </c>
      <c r="B515" s="197" t="s">
        <v>5838</v>
      </c>
      <c r="C515" s="197">
        <v>2006</v>
      </c>
      <c r="D515" s="225" t="str">
        <f t="shared" si="4"/>
        <v>2024_2006</v>
      </c>
      <c r="E515" s="1287">
        <v>0.5489385129688783</v>
      </c>
      <c r="F515" s="1306">
        <v>6.4625710546417801E-3</v>
      </c>
      <c r="G515" s="1303">
        <v>4.0634570393452485</v>
      </c>
      <c r="H515" s="1306">
        <v>7.1556447532246756E-2</v>
      </c>
      <c r="I515" s="1303">
        <v>0.14559060089961198</v>
      </c>
      <c r="J515" s="1306">
        <v>1.8261774581400091E-4</v>
      </c>
      <c r="K515" s="1303">
        <v>2.9481499926694047E-3</v>
      </c>
      <c r="L515" s="1288">
        <v>2.0000014773463447E-3</v>
      </c>
      <c r="M515" s="1230">
        <v>2.0000014773463447E-3</v>
      </c>
      <c r="N515" s="1303">
        <v>2.6071383821897384E-2</v>
      </c>
      <c r="O515" s="1288">
        <v>8.8320963449652762E-3</v>
      </c>
      <c r="P515" s="1237">
        <v>4.4160481724826381E-3</v>
      </c>
      <c r="Q515" s="1290">
        <v>0.15217356182356945</v>
      </c>
    </row>
    <row r="516" spans="1:17" s="212" customFormat="1" ht="15.5" x14ac:dyDescent="0.35">
      <c r="A516" s="198">
        <v>2024</v>
      </c>
      <c r="B516" s="197" t="s">
        <v>5838</v>
      </c>
      <c r="C516" s="197">
        <v>2007</v>
      </c>
      <c r="D516" s="225" t="str">
        <f t="shared" si="4"/>
        <v>2024_2007</v>
      </c>
      <c r="E516" s="1287">
        <v>0.29679944924543883</v>
      </c>
      <c r="F516" s="1306">
        <v>8.4642425480323212E-3</v>
      </c>
      <c r="G516" s="1303">
        <v>2.2313708103401768</v>
      </c>
      <c r="H516" s="1306">
        <v>6.1697630346782883E-2</v>
      </c>
      <c r="I516" s="1303">
        <v>7.8272691362343091E-2</v>
      </c>
      <c r="J516" s="1306">
        <v>1.8652172921868388E-4</v>
      </c>
      <c r="K516" s="1303">
        <v>2.9140720679558876E-3</v>
      </c>
      <c r="L516" s="1288">
        <v>2.0000014986453819E-3</v>
      </c>
      <c r="M516" s="1230">
        <v>2.0000014986453819E-3</v>
      </c>
      <c r="N516" s="1303">
        <v>2.5262989672957294E-2</v>
      </c>
      <c r="O516" s="1288">
        <v>6.294221967524093E-3</v>
      </c>
      <c r="P516" s="1237">
        <v>3.1471109837620465E-3</v>
      </c>
      <c r="Q516" s="1290">
        <v>8.1811835135824545E-2</v>
      </c>
    </row>
    <row r="517" spans="1:17" s="212" customFormat="1" ht="15.5" x14ac:dyDescent="0.35">
      <c r="A517" s="198">
        <v>2024</v>
      </c>
      <c r="B517" s="197" t="s">
        <v>5838</v>
      </c>
      <c r="C517" s="197">
        <v>2008</v>
      </c>
      <c r="D517" s="225" t="str">
        <f t="shared" si="4"/>
        <v>2024_2008</v>
      </c>
      <c r="E517" s="1287">
        <v>0.30248614438818239</v>
      </c>
      <c r="F517" s="1306">
        <v>7.9388091968531551E-3</v>
      </c>
      <c r="G517" s="1303">
        <v>2.3032454712064268</v>
      </c>
      <c r="H517" s="1306">
        <v>4.7236604318823386E-2</v>
      </c>
      <c r="I517" s="1303">
        <v>7.9990693292979878E-2</v>
      </c>
      <c r="J517" s="1306">
        <v>2.1128633117863482E-4</v>
      </c>
      <c r="K517" s="1303">
        <v>2.9484435196211484E-3</v>
      </c>
      <c r="L517" s="1288">
        <v>2.0000016608939914E-3</v>
      </c>
      <c r="M517" s="1230">
        <v>2.0000016608939914E-3</v>
      </c>
      <c r="N517" s="1303">
        <v>2.6077528165412298E-2</v>
      </c>
      <c r="O517" s="1288">
        <v>6.1403856329890023E-3</v>
      </c>
      <c r="P517" s="1237">
        <v>3.0701928164945011E-3</v>
      </c>
      <c r="Q517" s="1290">
        <v>8.3607517490244032E-2</v>
      </c>
    </row>
    <row r="518" spans="1:17" s="212" customFormat="1" ht="15.5" x14ac:dyDescent="0.35">
      <c r="A518" s="198">
        <v>2024</v>
      </c>
      <c r="B518" s="197" t="s">
        <v>5838</v>
      </c>
      <c r="C518" s="197">
        <v>2009</v>
      </c>
      <c r="D518" s="225" t="str">
        <f t="shared" si="4"/>
        <v>2024_2009</v>
      </c>
      <c r="E518" s="1287">
        <v>0.28022285744136666</v>
      </c>
      <c r="F518" s="1306">
        <v>7.6651349654713822E-3</v>
      </c>
      <c r="G518" s="1303">
        <v>2.132880379351386</v>
      </c>
      <c r="H518" s="1306">
        <v>3.552721333388352E-2</v>
      </c>
      <c r="I518" s="1303">
        <v>7.422569855587216E-2</v>
      </c>
      <c r="J518" s="1306">
        <v>2.40088944204547E-4</v>
      </c>
      <c r="K518" s="1303">
        <v>2.8731239123869269E-3</v>
      </c>
      <c r="L518" s="1288">
        <v>2.0000017066966968E-3</v>
      </c>
      <c r="M518" s="1230">
        <v>2.0000017066966968E-3</v>
      </c>
      <c r="N518" s="1303">
        <v>2.4291442957633299E-2</v>
      </c>
      <c r="O518" s="1288">
        <v>4.8394823838172297E-3</v>
      </c>
      <c r="P518" s="1237">
        <v>2.4197411919086149E-3</v>
      </c>
      <c r="Q518" s="1290">
        <v>7.7581855272909436E-2</v>
      </c>
    </row>
    <row r="519" spans="1:17" s="212" customFormat="1" ht="15.5" x14ac:dyDescent="0.35">
      <c r="A519" s="198">
        <v>2024</v>
      </c>
      <c r="B519" s="197" t="s">
        <v>5838</v>
      </c>
      <c r="C519" s="197">
        <v>2010</v>
      </c>
      <c r="D519" s="225" t="str">
        <f t="shared" si="4"/>
        <v>2024_2010</v>
      </c>
      <c r="E519" s="1287">
        <v>5.8901582480004981E-2</v>
      </c>
      <c r="F519" s="1306">
        <v>6.9203527456836913E-3</v>
      </c>
      <c r="G519" s="1303">
        <v>0.48287847157569297</v>
      </c>
      <c r="H519" s="1306">
        <v>3.2880612861445314E-2</v>
      </c>
      <c r="I519" s="1303">
        <v>1.4994268472860965E-2</v>
      </c>
      <c r="J519" s="1306">
        <v>2.9591218631417444E-4</v>
      </c>
      <c r="K519" s="1303">
        <v>2.729281022972401E-3</v>
      </c>
      <c r="L519" s="1288">
        <v>2.0000017981096963E-3</v>
      </c>
      <c r="M519" s="1230">
        <v>2.0000017981096963E-3</v>
      </c>
      <c r="N519" s="1303">
        <v>2.0865914096668405E-2</v>
      </c>
      <c r="O519" s="1288">
        <v>4.1528764119325998E-3</v>
      </c>
      <c r="P519" s="1237">
        <v>2.0764382059662999E-3</v>
      </c>
      <c r="Q519" s="1290">
        <v>1.5672242757122843E-2</v>
      </c>
    </row>
    <row r="520" spans="1:17" s="212" customFormat="1" ht="15.5" x14ac:dyDescent="0.35">
      <c r="A520" s="198">
        <v>2024</v>
      </c>
      <c r="B520" s="197" t="s">
        <v>5838</v>
      </c>
      <c r="C520" s="197">
        <v>2011</v>
      </c>
      <c r="D520" s="225" t="str">
        <f t="shared" si="4"/>
        <v>2024_2011</v>
      </c>
      <c r="E520" s="1287">
        <v>6.4704615270751081E-2</v>
      </c>
      <c r="F520" s="1306">
        <v>6.8622181839903306E-3</v>
      </c>
      <c r="G520" s="1303">
        <v>0.54242654956456327</v>
      </c>
      <c r="H520" s="1306">
        <v>3.2110837690295588E-2</v>
      </c>
      <c r="I520" s="1303">
        <v>1.5936070321750481E-2</v>
      </c>
      <c r="J520" s="1306">
        <v>3.9510150913358894E-4</v>
      </c>
      <c r="K520" s="1303">
        <v>2.846556375403458E-3</v>
      </c>
      <c r="L520" s="1288">
        <v>2.0000017461485543E-3</v>
      </c>
      <c r="M520" s="1230">
        <v>2.0000017461485543E-3</v>
      </c>
      <c r="N520" s="1303">
        <v>2.365663237875127E-2</v>
      </c>
      <c r="O520" s="1288">
        <v>4.9113703996306645E-3</v>
      </c>
      <c r="P520" s="1237">
        <v>2.4556851998153322E-3</v>
      </c>
      <c r="Q520" s="1290">
        <v>1.6656628706435247E-2</v>
      </c>
    </row>
    <row r="521" spans="1:17" s="212" customFormat="1" ht="15.5" x14ac:dyDescent="0.35">
      <c r="A521" s="198">
        <v>2024</v>
      </c>
      <c r="B521" s="197" t="s">
        <v>5838</v>
      </c>
      <c r="C521" s="197">
        <v>2012</v>
      </c>
      <c r="D521" s="225" t="str">
        <f t="shared" si="4"/>
        <v>2024_2012</v>
      </c>
      <c r="E521" s="1287">
        <v>4.594636367339576E-2</v>
      </c>
      <c r="F521" s="1306">
        <v>6.433862301335005E-3</v>
      </c>
      <c r="G521" s="1303">
        <v>0.34975341809110377</v>
      </c>
      <c r="H521" s="1306">
        <v>3.0372513948295182E-2</v>
      </c>
      <c r="I521" s="1303">
        <v>1.1597387094690666E-2</v>
      </c>
      <c r="J521" s="1306">
        <v>5.7384142930038686E-4</v>
      </c>
      <c r="K521" s="1303">
        <v>2.5421231208793763E-3</v>
      </c>
      <c r="L521" s="1288">
        <v>2.0000017916337177E-3</v>
      </c>
      <c r="M521" s="1230">
        <v>2.0000017916337177E-3</v>
      </c>
      <c r="N521" s="1303">
        <v>1.6363774003302332E-2</v>
      </c>
      <c r="O521" s="1288">
        <v>5.2855691888532451E-3</v>
      </c>
      <c r="P521" s="1237">
        <v>2.6427845944266225E-3</v>
      </c>
      <c r="Q521" s="1290">
        <v>1.2121769476469523E-2</v>
      </c>
    </row>
    <row r="522" spans="1:17" s="212" customFormat="1" ht="15.5" x14ac:dyDescent="0.35">
      <c r="A522" s="198">
        <v>2024</v>
      </c>
      <c r="B522" s="197" t="s">
        <v>5838</v>
      </c>
      <c r="C522" s="197">
        <v>2013</v>
      </c>
      <c r="D522" s="225" t="str">
        <f t="shared" ref="D522:D595" si="5">CONCATENATE(A522,"_",C522)</f>
        <v>2024_2013</v>
      </c>
      <c r="E522" s="1287">
        <v>6.0641704165897363E-2</v>
      </c>
      <c r="F522" s="1306">
        <v>6.8992875210157692E-3</v>
      </c>
      <c r="G522" s="1303">
        <v>0.49218544701154443</v>
      </c>
      <c r="H522" s="1306">
        <v>3.060590412070183E-2</v>
      </c>
      <c r="I522" s="1303">
        <v>1.4224937818786051E-2</v>
      </c>
      <c r="J522" s="1306">
        <v>8.578017877552401E-4</v>
      </c>
      <c r="K522" s="1303">
        <v>2.8031286659207805E-3</v>
      </c>
      <c r="L522" s="1288">
        <v>2.0000017907323905E-3</v>
      </c>
      <c r="M522" s="1230">
        <v>2.0000017907323905E-3</v>
      </c>
      <c r="N522" s="1303">
        <v>2.2604933688098773E-2</v>
      </c>
      <c r="O522" s="1288">
        <v>5.2822829955226505E-3</v>
      </c>
      <c r="P522" s="1237">
        <v>2.6411414977613253E-3</v>
      </c>
      <c r="Q522" s="1290">
        <v>1.4868126384724841E-2</v>
      </c>
    </row>
    <row r="523" spans="1:17" s="212" customFormat="1" ht="15.5" x14ac:dyDescent="0.35">
      <c r="A523" s="198">
        <v>2024</v>
      </c>
      <c r="B523" s="197" t="s">
        <v>5838</v>
      </c>
      <c r="C523" s="197">
        <v>2014</v>
      </c>
      <c r="D523" s="225" t="str">
        <f t="shared" si="5"/>
        <v>2024_2014</v>
      </c>
      <c r="E523" s="1287">
        <v>5.0741773924120832E-2</v>
      </c>
      <c r="F523" s="1306">
        <v>6.9166796026147335E-3</v>
      </c>
      <c r="G523" s="1303">
        <v>0.39208068688118941</v>
      </c>
      <c r="H523" s="1306">
        <v>2.9909796682234233E-2</v>
      </c>
      <c r="I523" s="1303">
        <v>1.1841965818208336E-2</v>
      </c>
      <c r="J523" s="1306">
        <v>1.2096529639948361E-3</v>
      </c>
      <c r="K523" s="1303">
        <v>2.6492786338911858E-3</v>
      </c>
      <c r="L523" s="1288">
        <v>2.000001791154241E-3</v>
      </c>
      <c r="M523" s="1230">
        <v>2.000001791154241E-3</v>
      </c>
      <c r="N523" s="1303">
        <v>1.8897491646621373E-2</v>
      </c>
      <c r="O523" s="1288">
        <v>4.4787542434991555E-3</v>
      </c>
      <c r="P523" s="1237">
        <v>2.2393771217495777E-3</v>
      </c>
      <c r="Q523" s="1290">
        <v>1.2377406964562646E-2</v>
      </c>
    </row>
    <row r="524" spans="1:17" s="212" customFormat="1" ht="15.5" x14ac:dyDescent="0.35">
      <c r="A524" s="198">
        <v>2024</v>
      </c>
      <c r="B524" s="197" t="s">
        <v>5838</v>
      </c>
      <c r="C524" s="197">
        <v>2015</v>
      </c>
      <c r="D524" s="225" t="str">
        <f t="shared" si="5"/>
        <v>2024_2015</v>
      </c>
      <c r="E524" s="1287">
        <v>4.567568429111294E-2</v>
      </c>
      <c r="F524" s="1306">
        <v>6.678032958610026E-3</v>
      </c>
      <c r="G524" s="1303">
        <v>0.34300927122588193</v>
      </c>
      <c r="H524" s="1306">
        <v>2.8275179288116851E-2</v>
      </c>
      <c r="I524" s="1303">
        <v>1.049664015506529E-2</v>
      </c>
      <c r="J524" s="1306">
        <v>1.5027414002160508E-3</v>
      </c>
      <c r="K524" s="1303">
        <v>2.582582688869271E-3</v>
      </c>
      <c r="L524" s="1288">
        <v>2.0000017659243616E-3</v>
      </c>
      <c r="M524" s="1230">
        <v>2.0000017659243616E-3</v>
      </c>
      <c r="N524" s="1303">
        <v>1.7261835355941443E-2</v>
      </c>
      <c r="O524" s="1288">
        <v>5.1862577795467307E-3</v>
      </c>
      <c r="P524" s="1237">
        <v>2.5931288897733653E-3</v>
      </c>
      <c r="Q524" s="1290">
        <v>1.0971251644726496E-2</v>
      </c>
    </row>
    <row r="525" spans="1:17" s="212" customFormat="1" ht="15.5" x14ac:dyDescent="0.35">
      <c r="A525" s="198">
        <v>2024</v>
      </c>
      <c r="B525" s="197" t="s">
        <v>5838</v>
      </c>
      <c r="C525" s="197">
        <v>2016</v>
      </c>
      <c r="D525" s="225" t="str">
        <f t="shared" si="5"/>
        <v>2024_2016</v>
      </c>
      <c r="E525" s="1287">
        <v>5.5017427575222058E-2</v>
      </c>
      <c r="F525" s="1306">
        <v>6.4712522665117556E-3</v>
      </c>
      <c r="G525" s="1303">
        <v>0.38122141901763962</v>
      </c>
      <c r="H525" s="1306">
        <v>2.6848721705957739E-2</v>
      </c>
      <c r="I525" s="1303">
        <v>1.1687018548206701E-2</v>
      </c>
      <c r="J525" s="1306">
        <v>1.7107961569198691E-3</v>
      </c>
      <c r="K525" s="1303">
        <v>2.7761970238468076E-3</v>
      </c>
      <c r="L525" s="1288">
        <v>2.0000016993189968E-3</v>
      </c>
      <c r="M525" s="1230">
        <v>2.0000016993189968E-3</v>
      </c>
      <c r="N525" s="1303">
        <v>2.1907313068220802E-2</v>
      </c>
      <c r="O525" s="1288">
        <v>5.964892549162497E-3</v>
      </c>
      <c r="P525" s="1237">
        <v>2.9824462745812485E-3</v>
      </c>
      <c r="Q525" s="1290">
        <v>1.2215453666579895E-2</v>
      </c>
    </row>
    <row r="526" spans="1:17" s="212" customFormat="1" ht="15.5" x14ac:dyDescent="0.35">
      <c r="A526" s="198">
        <v>2024</v>
      </c>
      <c r="B526" s="197" t="s">
        <v>5838</v>
      </c>
      <c r="C526" s="197">
        <v>2017</v>
      </c>
      <c r="D526" s="225" t="str">
        <f t="shared" si="5"/>
        <v>2024_2017</v>
      </c>
      <c r="E526" s="1287">
        <v>5.6295432266487574E-2</v>
      </c>
      <c r="F526" s="1306">
        <v>6.0865334185888033E-3</v>
      </c>
      <c r="G526" s="1303">
        <v>0.33637581521127002</v>
      </c>
      <c r="H526" s="1306">
        <v>2.5262992266739451E-2</v>
      </c>
      <c r="I526" s="1303">
        <v>1.1307017532979902E-2</v>
      </c>
      <c r="J526" s="1306">
        <v>1.8371240495835353E-3</v>
      </c>
      <c r="K526" s="1303">
        <v>2.8197997146946836E-3</v>
      </c>
      <c r="L526" s="1288">
        <v>2.000001666975549E-3</v>
      </c>
      <c r="M526" s="1230">
        <v>2.000001666975549E-3</v>
      </c>
      <c r="N526" s="1303">
        <v>2.2951113198724647E-2</v>
      </c>
      <c r="O526" s="1288">
        <v>5.9283076137090201E-3</v>
      </c>
      <c r="P526" s="1237">
        <v>2.96415380685451E-3</v>
      </c>
      <c r="Q526" s="1290">
        <v>1.1818270691674043E-2</v>
      </c>
    </row>
    <row r="527" spans="1:17" s="212" customFormat="1" ht="15.5" x14ac:dyDescent="0.35">
      <c r="A527" s="198">
        <v>2024</v>
      </c>
      <c r="B527" s="197" t="s">
        <v>5838</v>
      </c>
      <c r="C527" s="197">
        <v>2018</v>
      </c>
      <c r="D527" s="225" t="str">
        <f t="shared" si="5"/>
        <v>2024_2018</v>
      </c>
      <c r="E527" s="1287">
        <v>5.0574665265881509E-2</v>
      </c>
      <c r="F527" s="1306">
        <v>5.7807993917477615E-3</v>
      </c>
      <c r="G527" s="1303">
        <v>0.24250954619987741</v>
      </c>
      <c r="H527" s="1306">
        <v>2.3829170528692607E-2</v>
      </c>
      <c r="I527" s="1303">
        <v>9.7716157997247977E-3</v>
      </c>
      <c r="J527" s="1306">
        <v>1.9380387228920934E-3</v>
      </c>
      <c r="K527" s="1303">
        <v>2.7311408164995268E-3</v>
      </c>
      <c r="L527" s="1288">
        <v>2.0000016568615265E-3</v>
      </c>
      <c r="M527" s="1230">
        <v>2.0000016568615265E-3</v>
      </c>
      <c r="N527" s="1303">
        <v>2.0788344747571106E-2</v>
      </c>
      <c r="O527" s="1288">
        <v>5.3108861772756056E-3</v>
      </c>
      <c r="P527" s="1237">
        <v>2.6554430886378028E-3</v>
      </c>
      <c r="Q527" s="1290">
        <v>1.0213444905285444E-2</v>
      </c>
    </row>
    <row r="528" spans="1:17" s="212" customFormat="1" ht="15.5" x14ac:dyDescent="0.35">
      <c r="A528" s="198">
        <v>2024</v>
      </c>
      <c r="B528" s="197" t="s">
        <v>5838</v>
      </c>
      <c r="C528" s="197">
        <v>2019</v>
      </c>
      <c r="D528" s="225" t="str">
        <f t="shared" si="5"/>
        <v>2024_2019</v>
      </c>
      <c r="E528" s="1287">
        <v>5.861663054337609E-2</v>
      </c>
      <c r="F528" s="1306">
        <v>5.4750527840334694E-3</v>
      </c>
      <c r="G528" s="1303">
        <v>0.24547699942036369</v>
      </c>
      <c r="H528" s="1306">
        <v>2.2320778823587711E-2</v>
      </c>
      <c r="I528" s="1303">
        <v>1.0208734688451687E-2</v>
      </c>
      <c r="J528" s="1306">
        <v>1.8393705606333474E-3</v>
      </c>
      <c r="K528" s="1303">
        <v>2.9165445326036891E-3</v>
      </c>
      <c r="L528" s="1288">
        <v>2.0000015855748442E-3</v>
      </c>
      <c r="M528" s="1230">
        <v>2.0000015855748442E-3</v>
      </c>
      <c r="N528" s="1303">
        <v>2.5276016328259952E-2</v>
      </c>
      <c r="O528" s="1288">
        <v>5.3073480890321817E-3</v>
      </c>
      <c r="P528" s="1237">
        <v>2.6536740445160909E-3</v>
      </c>
      <c r="Q528" s="1290">
        <v>1.0670328370474292E-2</v>
      </c>
    </row>
    <row r="529" spans="1:17" s="212" customFormat="1" ht="15.5" x14ac:dyDescent="0.35">
      <c r="A529" s="198">
        <v>2024</v>
      </c>
      <c r="B529" s="197" t="s">
        <v>5838</v>
      </c>
      <c r="C529" s="197">
        <v>2020</v>
      </c>
      <c r="D529" s="225" t="str">
        <f t="shared" si="5"/>
        <v>2024_2020</v>
      </c>
      <c r="E529" s="1287">
        <v>4.9267423903402489E-2</v>
      </c>
      <c r="F529" s="1306">
        <v>5.0823121486419818E-3</v>
      </c>
      <c r="G529" s="1303">
        <v>0.17867752089384786</v>
      </c>
      <c r="H529" s="1306">
        <v>2.0661745153665929E-2</v>
      </c>
      <c r="I529" s="1303">
        <v>8.2612664092561756E-3</v>
      </c>
      <c r="J529" s="1306">
        <v>1.3580558370819855E-3</v>
      </c>
      <c r="K529" s="1303">
        <v>2.872454931654631E-3</v>
      </c>
      <c r="L529" s="1288">
        <v>2.0000016818797258E-3</v>
      </c>
      <c r="M529" s="1230">
        <v>2.0000016818797258E-3</v>
      </c>
      <c r="N529" s="1303">
        <v>2.4204538333238237E-2</v>
      </c>
      <c r="O529" s="1288">
        <v>5.3983804105744342E-3</v>
      </c>
      <c r="P529" s="1237">
        <v>2.6991902052872171E-3</v>
      </c>
      <c r="Q529" s="1290">
        <v>8.6348042174559884E-3</v>
      </c>
    </row>
    <row r="530" spans="1:17" s="212" customFormat="1" ht="15.5" x14ac:dyDescent="0.35">
      <c r="A530" s="198">
        <v>2024</v>
      </c>
      <c r="B530" s="197" t="s">
        <v>5838</v>
      </c>
      <c r="C530" s="197">
        <v>2021</v>
      </c>
      <c r="D530" s="225" t="str">
        <f t="shared" si="5"/>
        <v>2024_2021</v>
      </c>
      <c r="E530" s="1287">
        <v>4.7081212386780175E-2</v>
      </c>
      <c r="F530" s="1306">
        <v>4.6720844574218027E-3</v>
      </c>
      <c r="G530" s="1303">
        <v>0.13684873433921901</v>
      </c>
      <c r="H530" s="1306">
        <v>1.9111570260771114E-2</v>
      </c>
      <c r="I530" s="1303">
        <v>6.9398553141963365E-3</v>
      </c>
      <c r="J530" s="1306">
        <v>8.8490126873133211E-4</v>
      </c>
      <c r="K530" s="1303">
        <v>2.8722918633695988E-3</v>
      </c>
      <c r="L530" s="1288">
        <v>2.0000017070643064E-3</v>
      </c>
      <c r="M530" s="1230">
        <v>2.0000017070643064E-3</v>
      </c>
      <c r="N530" s="1303">
        <v>2.4190927595833075E-2</v>
      </c>
      <c r="O530" s="1288">
        <v>5.3514300380419653E-3</v>
      </c>
      <c r="P530" s="1237">
        <v>2.6757150190209827E-3</v>
      </c>
      <c r="Q530" s="1290">
        <v>7.2536447763524147E-3</v>
      </c>
    </row>
    <row r="531" spans="1:17" s="212" customFormat="1" ht="15.5" x14ac:dyDescent="0.35">
      <c r="A531" s="198">
        <v>2024</v>
      </c>
      <c r="B531" s="197" t="s">
        <v>5838</v>
      </c>
      <c r="C531" s="197">
        <v>2022</v>
      </c>
      <c r="D531" s="225" t="str">
        <f t="shared" si="5"/>
        <v>2024_2022</v>
      </c>
      <c r="E531" s="1287">
        <v>4.5704828945972026E-2</v>
      </c>
      <c r="F531" s="1306">
        <v>4.2683707612627382E-3</v>
      </c>
      <c r="G531" s="1303">
        <v>9.9700334385428011E-2</v>
      </c>
      <c r="H531" s="1306">
        <v>1.7612856991369229E-2</v>
      </c>
      <c r="I531" s="1303">
        <v>5.9473685943273284E-3</v>
      </c>
      <c r="J531" s="1306">
        <v>8.8656274048324094E-4</v>
      </c>
      <c r="K531" s="1303">
        <v>2.8708484681310531E-3</v>
      </c>
      <c r="L531" s="1288">
        <v>2.0000017457041169E-3</v>
      </c>
      <c r="M531" s="1230">
        <v>2.0000017457041169E-3</v>
      </c>
      <c r="N531" s="1303">
        <v>2.4145859569209838E-2</v>
      </c>
      <c r="O531" s="1288">
        <v>5.3120957122230507E-3</v>
      </c>
      <c r="P531" s="1237">
        <v>2.6560478561115253E-3</v>
      </c>
      <c r="Q531" s="1290">
        <v>6.2162822111055411E-3</v>
      </c>
    </row>
    <row r="532" spans="1:17" s="212" customFormat="1" ht="15.5" x14ac:dyDescent="0.35">
      <c r="A532" s="198">
        <v>2024</v>
      </c>
      <c r="B532" s="197" t="s">
        <v>5838</v>
      </c>
      <c r="C532" s="197">
        <v>2023</v>
      </c>
      <c r="D532" s="225" t="str">
        <f t="shared" si="5"/>
        <v>2024_2023</v>
      </c>
      <c r="E532" s="1287">
        <v>4.4296116633149737E-2</v>
      </c>
      <c r="F532" s="1306">
        <v>3.7722660669703466E-3</v>
      </c>
      <c r="G532" s="1303">
        <v>9.2878741473094287E-2</v>
      </c>
      <c r="H532" s="1306">
        <v>1.6182595281732333E-2</v>
      </c>
      <c r="I532" s="1303">
        <v>4.9152841525030751E-3</v>
      </c>
      <c r="J532" s="1306">
        <v>8.8757878882187141E-4</v>
      </c>
      <c r="K532" s="1303">
        <v>2.8699811214237107E-3</v>
      </c>
      <c r="L532" s="1288">
        <v>2.0000017788103096E-3</v>
      </c>
      <c r="M532" s="1230">
        <v>2.0000017788103096E-3</v>
      </c>
      <c r="N532" s="1303">
        <v>2.4114059408325714E-2</v>
      </c>
      <c r="O532" s="1288">
        <v>5.2385632770485724E-3</v>
      </c>
      <c r="P532" s="1237">
        <v>2.6192816385242862E-3</v>
      </c>
      <c r="Q532" s="1290">
        <v>5.1375314906288725E-3</v>
      </c>
    </row>
    <row r="533" spans="1:17" s="212" customFormat="1" ht="15.5" x14ac:dyDescent="0.35">
      <c r="A533" s="198">
        <v>2024</v>
      </c>
      <c r="B533" s="197" t="s">
        <v>5838</v>
      </c>
      <c r="C533" s="197">
        <v>2024</v>
      </c>
      <c r="D533" s="225" t="str">
        <f t="shared" si="5"/>
        <v>2024_2024</v>
      </c>
      <c r="E533" s="1287">
        <v>4.1816505192681576E-2</v>
      </c>
      <c r="F533" s="1306">
        <v>3.0398422997087232E-3</v>
      </c>
      <c r="G533" s="1303">
        <v>8.3745956541876582E-2</v>
      </c>
      <c r="H533" s="1306">
        <v>1.4344580581459283E-2</v>
      </c>
      <c r="I533" s="1303">
        <v>3.753767515828732E-3</v>
      </c>
      <c r="J533" s="1306">
        <v>8.8673159504461501E-4</v>
      </c>
      <c r="K533" s="1303">
        <v>2.8472005266266379E-3</v>
      </c>
      <c r="L533" s="1288">
        <v>2.0000018880838911E-3</v>
      </c>
      <c r="M533" s="1305">
        <v>2.0000005733085192E-3</v>
      </c>
      <c r="N533" s="1303">
        <v>2.354412075065589E-2</v>
      </c>
      <c r="O533" s="1288">
        <v>4.6985575425276286E-3</v>
      </c>
      <c r="P533" s="1301">
        <v>3.0675437471972939E-3</v>
      </c>
      <c r="Q533" s="1290">
        <v>3.9234962257978503E-3</v>
      </c>
    </row>
    <row r="534" spans="1:17" s="212" customFormat="1" ht="15.5" x14ac:dyDescent="0.35">
      <c r="A534" s="198">
        <v>2024</v>
      </c>
      <c r="B534" s="197" t="s">
        <v>5838</v>
      </c>
      <c r="C534" s="197">
        <v>2025</v>
      </c>
      <c r="D534" s="225" t="str">
        <f t="shared" si="5"/>
        <v>2024_2025</v>
      </c>
      <c r="E534" s="1291">
        <v>4.1816505192681576E-2</v>
      </c>
      <c r="F534" s="1280">
        <v>3.0398422997087232E-3</v>
      </c>
      <c r="G534" s="1271">
        <v>8.3745956541876582E-2</v>
      </c>
      <c r="H534" s="1280">
        <v>1.4344580581459283E-2</v>
      </c>
      <c r="I534" s="1271">
        <v>3.753767515828732E-3</v>
      </c>
      <c r="J534" s="1280">
        <v>8.8673159504461501E-4</v>
      </c>
      <c r="K534" s="1271">
        <v>2.8472005266266379E-3</v>
      </c>
      <c r="L534" s="1257">
        <v>2.0000018880838911E-3</v>
      </c>
      <c r="M534" s="1230">
        <v>2.0000005733085192E-3</v>
      </c>
      <c r="N534" s="1271">
        <v>2.354412075065589E-2</v>
      </c>
      <c r="O534" s="1257">
        <v>4.6985575425276286E-3</v>
      </c>
      <c r="P534" s="1237">
        <v>3.0675437471972939E-3</v>
      </c>
      <c r="Q534" s="1292">
        <v>3.9234962257978503E-3</v>
      </c>
    </row>
    <row r="535" spans="1:17" s="212" customFormat="1" ht="15.5" x14ac:dyDescent="0.35">
      <c r="A535" s="198">
        <v>2025</v>
      </c>
      <c r="B535" s="197" t="s">
        <v>5838</v>
      </c>
      <c r="C535" s="197">
        <v>1971</v>
      </c>
      <c r="D535" s="225" t="str">
        <f t="shared" si="5"/>
        <v>2025_1971</v>
      </c>
      <c r="E535" s="1291">
        <v>0.34204025681068384</v>
      </c>
      <c r="F535" s="1280">
        <v>2.1694793736903049</v>
      </c>
      <c r="G535" s="1271">
        <v>1.8702238658342085</v>
      </c>
      <c r="H535" s="1280">
        <v>3.8063810936718365</v>
      </c>
      <c r="I535" s="1271">
        <v>0.27392452976452369</v>
      </c>
      <c r="J535" s="1280">
        <v>1.7472876883885703E-2</v>
      </c>
      <c r="K535" s="1271">
        <v>2.0147402556440308E-3</v>
      </c>
      <c r="L535" s="1257">
        <v>2.0000009222533965E-3</v>
      </c>
      <c r="M535" s="1230">
        <v>2.0000009222533965E-3</v>
      </c>
      <c r="N535" s="1271">
        <v>4.2222694486796879E-3</v>
      </c>
      <c r="O535" s="1257">
        <v>1.6975278490581443E-2</v>
      </c>
      <c r="P535" s="1237">
        <v>8.4876392452907217E-3</v>
      </c>
      <c r="Q535" s="1292">
        <v>0.28631018147837711</v>
      </c>
    </row>
    <row r="536" spans="1:17" s="212" customFormat="1" ht="15.5" x14ac:dyDescent="0.35">
      <c r="A536" s="198">
        <v>2025</v>
      </c>
      <c r="B536" s="197" t="s">
        <v>5838</v>
      </c>
      <c r="C536" s="197">
        <v>1972</v>
      </c>
      <c r="D536" s="225" t="str">
        <f t="shared" si="5"/>
        <v>2025_1972</v>
      </c>
      <c r="E536" s="1291">
        <v>0.34204025681068384</v>
      </c>
      <c r="F536" s="1280">
        <v>2.1694793736903049</v>
      </c>
      <c r="G536" s="1271">
        <v>1.8702238658342085</v>
      </c>
      <c r="H536" s="1280">
        <v>3.8063810936718365</v>
      </c>
      <c r="I536" s="1271">
        <v>0.27392452976452369</v>
      </c>
      <c r="J536" s="1280">
        <v>1.7472876883885703E-2</v>
      </c>
      <c r="K536" s="1271">
        <v>2.0147402556440308E-3</v>
      </c>
      <c r="L536" s="1257">
        <v>2.0000009222533965E-3</v>
      </c>
      <c r="M536" s="1230">
        <v>2.0000009222533965E-3</v>
      </c>
      <c r="N536" s="1271">
        <v>4.2222694486796879E-3</v>
      </c>
      <c r="O536" s="1257">
        <v>1.6975278490581443E-2</v>
      </c>
      <c r="P536" s="1237">
        <v>8.4876392452907217E-3</v>
      </c>
      <c r="Q536" s="1292">
        <v>0.28631018147837711</v>
      </c>
    </row>
    <row r="537" spans="1:17" s="212" customFormat="1" ht="15.5" x14ac:dyDescent="0.35">
      <c r="A537" s="198">
        <v>2025</v>
      </c>
      <c r="B537" s="197" t="s">
        <v>5838</v>
      </c>
      <c r="C537" s="197">
        <v>1973</v>
      </c>
      <c r="D537" s="225" t="str">
        <f t="shared" si="5"/>
        <v>2025_1973</v>
      </c>
      <c r="E537" s="1291">
        <v>0.34204025681068384</v>
      </c>
      <c r="F537" s="1280">
        <v>2.1694793736903049</v>
      </c>
      <c r="G537" s="1271">
        <v>1.8702238658342085</v>
      </c>
      <c r="H537" s="1280">
        <v>3.8063810936718365</v>
      </c>
      <c r="I537" s="1271">
        <v>0.27392452976452369</v>
      </c>
      <c r="J537" s="1280">
        <v>1.7472876883885703E-2</v>
      </c>
      <c r="K537" s="1271">
        <v>2.0147402556440308E-3</v>
      </c>
      <c r="L537" s="1257">
        <v>2.0000009222533965E-3</v>
      </c>
      <c r="M537" s="1230">
        <v>2.0000009222533965E-3</v>
      </c>
      <c r="N537" s="1271">
        <v>4.2222694486796879E-3</v>
      </c>
      <c r="O537" s="1257">
        <v>1.6975278490581443E-2</v>
      </c>
      <c r="P537" s="1237">
        <v>8.4876392452907217E-3</v>
      </c>
      <c r="Q537" s="1292">
        <v>0.28631018147837711</v>
      </c>
    </row>
    <row r="538" spans="1:17" s="212" customFormat="1" ht="15.5" x14ac:dyDescent="0.35">
      <c r="A538" s="198">
        <v>2025</v>
      </c>
      <c r="B538" s="197" t="s">
        <v>5838</v>
      </c>
      <c r="C538" s="197">
        <v>1974</v>
      </c>
      <c r="D538" s="225" t="str">
        <f t="shared" si="5"/>
        <v>2025_1974</v>
      </c>
      <c r="E538" s="1291">
        <v>0.34204025681068384</v>
      </c>
      <c r="F538" s="1280">
        <v>2.1694793736903049</v>
      </c>
      <c r="G538" s="1271">
        <v>1.8702238658342085</v>
      </c>
      <c r="H538" s="1280">
        <v>3.8063810936718365</v>
      </c>
      <c r="I538" s="1271">
        <v>0.27392452976452369</v>
      </c>
      <c r="J538" s="1280">
        <v>1.7472876883885703E-2</v>
      </c>
      <c r="K538" s="1271">
        <v>2.0147402556440308E-3</v>
      </c>
      <c r="L538" s="1257">
        <v>2.0000009222533965E-3</v>
      </c>
      <c r="M538" s="1230">
        <v>2.0000009222533965E-3</v>
      </c>
      <c r="N538" s="1271">
        <v>4.2222694486796879E-3</v>
      </c>
      <c r="O538" s="1257">
        <v>1.6975278490581443E-2</v>
      </c>
      <c r="P538" s="1237">
        <v>8.4876392452907217E-3</v>
      </c>
      <c r="Q538" s="1292">
        <v>0.28631018147837711</v>
      </c>
    </row>
    <row r="539" spans="1:17" s="212" customFormat="1" ht="15.5" x14ac:dyDescent="0.35">
      <c r="A539" s="198">
        <v>2025</v>
      </c>
      <c r="B539" s="197" t="s">
        <v>5838</v>
      </c>
      <c r="C539" s="197">
        <v>1975</v>
      </c>
      <c r="D539" s="225" t="str">
        <f t="shared" si="5"/>
        <v>2025_1975</v>
      </c>
      <c r="E539" s="1291">
        <v>0.34204025681068384</v>
      </c>
      <c r="F539" s="1280">
        <v>2.1694793736903049</v>
      </c>
      <c r="G539" s="1271">
        <v>1.8702238658342085</v>
      </c>
      <c r="H539" s="1280">
        <v>3.8063810936718365</v>
      </c>
      <c r="I539" s="1271">
        <v>0.27392452976452369</v>
      </c>
      <c r="J539" s="1280">
        <v>1.7472876883885703E-2</v>
      </c>
      <c r="K539" s="1271">
        <v>2.0147402556440308E-3</v>
      </c>
      <c r="L539" s="1257">
        <v>2.0000009222533965E-3</v>
      </c>
      <c r="M539" s="1230">
        <v>2.0000009222533965E-3</v>
      </c>
      <c r="N539" s="1271">
        <v>4.2222694486796879E-3</v>
      </c>
      <c r="O539" s="1257">
        <v>1.6975278490581443E-2</v>
      </c>
      <c r="P539" s="1237">
        <v>8.4876392452907217E-3</v>
      </c>
      <c r="Q539" s="1292">
        <v>0.28631018147837711</v>
      </c>
    </row>
    <row r="540" spans="1:17" s="212" customFormat="1" ht="15.5" x14ac:dyDescent="0.35">
      <c r="A540" s="198">
        <v>2025</v>
      </c>
      <c r="B540" s="197" t="s">
        <v>5838</v>
      </c>
      <c r="C540" s="197">
        <v>1976</v>
      </c>
      <c r="D540" s="225" t="str">
        <f t="shared" si="5"/>
        <v>2025_1976</v>
      </c>
      <c r="E540" s="1291">
        <v>0.34204025681068384</v>
      </c>
      <c r="F540" s="1280">
        <v>2.1694793736903049</v>
      </c>
      <c r="G540" s="1271">
        <v>1.8702238658342085</v>
      </c>
      <c r="H540" s="1280">
        <v>3.8063810936718365</v>
      </c>
      <c r="I540" s="1271">
        <v>0.27392452976452369</v>
      </c>
      <c r="J540" s="1280">
        <v>1.7472876883885703E-2</v>
      </c>
      <c r="K540" s="1271">
        <v>2.0147402556440308E-3</v>
      </c>
      <c r="L540" s="1257">
        <v>2.0000009222533965E-3</v>
      </c>
      <c r="M540" s="1230">
        <v>2.0000009222533965E-3</v>
      </c>
      <c r="N540" s="1271">
        <v>4.2222694486796879E-3</v>
      </c>
      <c r="O540" s="1257">
        <v>1.6975278490581443E-2</v>
      </c>
      <c r="P540" s="1237">
        <v>8.4876392452907217E-3</v>
      </c>
      <c r="Q540" s="1292">
        <v>0.28631018147837711</v>
      </c>
    </row>
    <row r="541" spans="1:17" s="212" customFormat="1" ht="15.5" x14ac:dyDescent="0.35">
      <c r="A541" s="198">
        <v>2025</v>
      </c>
      <c r="B541" s="197" t="s">
        <v>5838</v>
      </c>
      <c r="C541" s="197">
        <v>1977</v>
      </c>
      <c r="D541" s="225" t="str">
        <f t="shared" si="5"/>
        <v>2025_1977</v>
      </c>
      <c r="E541" s="1291">
        <v>0.34204025681068384</v>
      </c>
      <c r="F541" s="1280">
        <v>2.1694793736903049</v>
      </c>
      <c r="G541" s="1271">
        <v>1.8702238658342085</v>
      </c>
      <c r="H541" s="1280">
        <v>3.8063810936718365</v>
      </c>
      <c r="I541" s="1271">
        <v>0.27392452976452369</v>
      </c>
      <c r="J541" s="1280">
        <v>1.7472876883885703E-2</v>
      </c>
      <c r="K541" s="1271">
        <v>2.0147402556440308E-3</v>
      </c>
      <c r="L541" s="1257">
        <v>2.0000009222533965E-3</v>
      </c>
      <c r="M541" s="1230">
        <v>2.0000009222533965E-3</v>
      </c>
      <c r="N541" s="1271">
        <v>4.2222694486796879E-3</v>
      </c>
      <c r="O541" s="1257">
        <v>1.6975278490581443E-2</v>
      </c>
      <c r="P541" s="1237">
        <v>8.4876392452907217E-3</v>
      </c>
      <c r="Q541" s="1292">
        <v>0.28631018147837711</v>
      </c>
    </row>
    <row r="542" spans="1:17" s="212" customFormat="1" ht="15.5" x14ac:dyDescent="0.35">
      <c r="A542" s="198">
        <v>2025</v>
      </c>
      <c r="B542" s="197" t="s">
        <v>5838</v>
      </c>
      <c r="C542" s="197">
        <v>1978</v>
      </c>
      <c r="D542" s="225" t="str">
        <f t="shared" si="5"/>
        <v>2025_1978</v>
      </c>
      <c r="E542" s="1291">
        <v>0.34204025681068384</v>
      </c>
      <c r="F542" s="1280">
        <v>2.1694793736903049</v>
      </c>
      <c r="G542" s="1271">
        <v>1.8702238658342085</v>
      </c>
      <c r="H542" s="1280">
        <v>3.8063810936718365</v>
      </c>
      <c r="I542" s="1271">
        <v>0.27392452976452369</v>
      </c>
      <c r="J542" s="1280">
        <v>1.7472876883885703E-2</v>
      </c>
      <c r="K542" s="1271">
        <v>2.0147402556440308E-3</v>
      </c>
      <c r="L542" s="1257">
        <v>2.0000009222533965E-3</v>
      </c>
      <c r="M542" s="1230">
        <v>2.0000009222533965E-3</v>
      </c>
      <c r="N542" s="1271">
        <v>4.2222694486796879E-3</v>
      </c>
      <c r="O542" s="1257">
        <v>1.6975278490581443E-2</v>
      </c>
      <c r="P542" s="1237">
        <v>8.4876392452907217E-3</v>
      </c>
      <c r="Q542" s="1292">
        <v>0.28631018147837711</v>
      </c>
    </row>
    <row r="543" spans="1:17" s="212" customFormat="1" ht="15.5" x14ac:dyDescent="0.35">
      <c r="A543" s="198">
        <v>2025</v>
      </c>
      <c r="B543" s="197" t="s">
        <v>5838</v>
      </c>
      <c r="C543" s="197">
        <v>1979</v>
      </c>
      <c r="D543" s="225" t="str">
        <f t="shared" si="5"/>
        <v>2025_1979</v>
      </c>
      <c r="E543" s="1291">
        <v>0.34204025681068384</v>
      </c>
      <c r="F543" s="1280">
        <v>2.1694793736903049</v>
      </c>
      <c r="G543" s="1271">
        <v>1.8702238658342085</v>
      </c>
      <c r="H543" s="1280">
        <v>3.8063810936718365</v>
      </c>
      <c r="I543" s="1271">
        <v>0.27392452976452369</v>
      </c>
      <c r="J543" s="1280">
        <v>1.7472876883885703E-2</v>
      </c>
      <c r="K543" s="1271">
        <v>2.0147402556440308E-3</v>
      </c>
      <c r="L543" s="1257">
        <v>2.0000009222533965E-3</v>
      </c>
      <c r="M543" s="1230">
        <v>2.0000009222533965E-3</v>
      </c>
      <c r="N543" s="1271">
        <v>4.2222694486796879E-3</v>
      </c>
      <c r="O543" s="1257">
        <v>1.6975278490581443E-2</v>
      </c>
      <c r="P543" s="1237">
        <v>8.4876392452907217E-3</v>
      </c>
      <c r="Q543" s="1292">
        <v>0.28631018147837711</v>
      </c>
    </row>
    <row r="544" spans="1:17" s="212" customFormat="1" ht="15.5" x14ac:dyDescent="0.35">
      <c r="A544" s="198">
        <v>2025</v>
      </c>
      <c r="B544" s="197" t="s">
        <v>5838</v>
      </c>
      <c r="C544" s="197">
        <v>1980</v>
      </c>
      <c r="D544" s="225" t="str">
        <f t="shared" si="5"/>
        <v>2025_1980</v>
      </c>
      <c r="E544" s="1291">
        <v>0.34204025681068384</v>
      </c>
      <c r="F544" s="1280">
        <v>2.1694793736903049</v>
      </c>
      <c r="G544" s="1271">
        <v>1.8702238658342085</v>
      </c>
      <c r="H544" s="1280">
        <v>3.8063810936718365</v>
      </c>
      <c r="I544" s="1271">
        <v>0.27392452976452369</v>
      </c>
      <c r="J544" s="1280">
        <v>1.7472876883885703E-2</v>
      </c>
      <c r="K544" s="1271">
        <v>2.0147402556440308E-3</v>
      </c>
      <c r="L544" s="1257">
        <v>2.0000009222533965E-3</v>
      </c>
      <c r="M544" s="1230">
        <v>2.0000009222533965E-3</v>
      </c>
      <c r="N544" s="1271">
        <v>4.2222694486796879E-3</v>
      </c>
      <c r="O544" s="1257">
        <v>1.6975278490581443E-2</v>
      </c>
      <c r="P544" s="1237">
        <v>8.4876392452907217E-3</v>
      </c>
      <c r="Q544" s="1292">
        <v>0.28631018147837711</v>
      </c>
    </row>
    <row r="545" spans="1:17" s="212" customFormat="1" ht="15.5" x14ac:dyDescent="0.35">
      <c r="A545" s="198">
        <v>2025</v>
      </c>
      <c r="B545" s="197" t="s">
        <v>5838</v>
      </c>
      <c r="C545" s="197">
        <v>1981</v>
      </c>
      <c r="D545" s="225" t="str">
        <f t="shared" si="5"/>
        <v>2025_1981</v>
      </c>
      <c r="E545" s="1287">
        <v>0.34204025681068384</v>
      </c>
      <c r="F545" s="1306">
        <v>2.1694793736903049</v>
      </c>
      <c r="G545" s="1303">
        <v>1.8702238658342085</v>
      </c>
      <c r="H545" s="1306">
        <v>3.8063810936718365</v>
      </c>
      <c r="I545" s="1303">
        <v>0.27392452976452369</v>
      </c>
      <c r="J545" s="1306">
        <v>1.7472876883885703E-2</v>
      </c>
      <c r="K545" s="1303">
        <v>2.0147402556440308E-3</v>
      </c>
      <c r="L545" s="1288">
        <v>2.0000009222533965E-3</v>
      </c>
      <c r="M545" s="1230">
        <v>2.0000009222533965E-3</v>
      </c>
      <c r="N545" s="1303">
        <v>4.2222694486796879E-3</v>
      </c>
      <c r="O545" s="1288">
        <v>1.6975278490581443E-2</v>
      </c>
      <c r="P545" s="1237">
        <v>8.4876392452907217E-3</v>
      </c>
      <c r="Q545" s="1290">
        <v>0.28631018147837711</v>
      </c>
    </row>
    <row r="546" spans="1:17" s="212" customFormat="1" ht="15.5" x14ac:dyDescent="0.35">
      <c r="A546" s="198">
        <v>2025</v>
      </c>
      <c r="B546" s="197" t="s">
        <v>5838</v>
      </c>
      <c r="C546" s="197">
        <v>1982</v>
      </c>
      <c r="D546" s="225" t="str">
        <f t="shared" si="5"/>
        <v>2025_1982</v>
      </c>
      <c r="E546" s="1287">
        <v>0.30137764912093401</v>
      </c>
      <c r="F546" s="1306">
        <v>2.1801051405297165</v>
      </c>
      <c r="G546" s="1303">
        <v>2.9864877572108375</v>
      </c>
      <c r="H546" s="1306">
        <v>3.5867959099591302</v>
      </c>
      <c r="I546" s="1303">
        <v>0.23782190167188319</v>
      </c>
      <c r="J546" s="1306">
        <v>1.7185037324592107E-2</v>
      </c>
      <c r="K546" s="1303">
        <v>2.339867371447142E-3</v>
      </c>
      <c r="L546" s="1288">
        <v>2.0000009076785157E-3</v>
      </c>
      <c r="M546" s="1230">
        <v>2.0000009076785157E-3</v>
      </c>
      <c r="N546" s="1303">
        <v>1.1744163364926228E-2</v>
      </c>
      <c r="O546" s="1288">
        <v>1.875960661862652E-2</v>
      </c>
      <c r="P546" s="1237">
        <v>9.3798033093132598E-3</v>
      </c>
      <c r="Q546" s="1290">
        <v>0.24857515274642616</v>
      </c>
    </row>
    <row r="547" spans="1:17" s="212" customFormat="1" ht="15.5" x14ac:dyDescent="0.35">
      <c r="A547" s="198">
        <v>2025</v>
      </c>
      <c r="B547" s="197" t="s">
        <v>5838</v>
      </c>
      <c r="C547" s="197">
        <v>1983</v>
      </c>
      <c r="D547" s="225" t="str">
        <f t="shared" si="5"/>
        <v>2025_1983</v>
      </c>
      <c r="E547" s="1287">
        <v>0.21093466102525424</v>
      </c>
      <c r="F547" s="1306">
        <v>1.8098453339170113</v>
      </c>
      <c r="G547" s="1303">
        <v>3.0054596175755339</v>
      </c>
      <c r="H547" s="1306">
        <v>3.4825749553722138</v>
      </c>
      <c r="I547" s="1303">
        <v>0.21871578602216696</v>
      </c>
      <c r="J547" s="1306">
        <v>1.7060379286965816E-2</v>
      </c>
      <c r="K547" s="1303">
        <v>2.4031878126538953E-3</v>
      </c>
      <c r="L547" s="1288">
        <v>2.0000008868583281E-3</v>
      </c>
      <c r="M547" s="1230">
        <v>2.0000008868583281E-3</v>
      </c>
      <c r="N547" s="1303">
        <v>1.3273874665798156E-2</v>
      </c>
      <c r="O547" s="1288">
        <v>1.6500234105813374E-2</v>
      </c>
      <c r="P547" s="1237">
        <v>8.2501170529066872E-3</v>
      </c>
      <c r="Q547" s="1290">
        <v>0.22860514332916249</v>
      </c>
    </row>
    <row r="548" spans="1:17" s="212" customFormat="1" ht="15.5" x14ac:dyDescent="0.35">
      <c r="A548" s="198">
        <v>2025</v>
      </c>
      <c r="B548" s="197" t="s">
        <v>5838</v>
      </c>
      <c r="C548" s="197">
        <v>1984</v>
      </c>
      <c r="D548" s="225" t="str">
        <f t="shared" si="5"/>
        <v>2025_1984</v>
      </c>
      <c r="E548" s="1287">
        <v>0.27089168522959828</v>
      </c>
      <c r="F548" s="1306">
        <v>1.3977558911445163</v>
      </c>
      <c r="G548" s="1303">
        <v>3.7219865668129635</v>
      </c>
      <c r="H548" s="1306">
        <v>3.4401618581366917</v>
      </c>
      <c r="I548" s="1303">
        <v>0.18743408324882779</v>
      </c>
      <c r="J548" s="1306">
        <v>1.7552788915535751E-2</v>
      </c>
      <c r="K548" s="1303">
        <v>2.6284856375974452E-3</v>
      </c>
      <c r="L548" s="1288">
        <v>2.0000008339964362E-3</v>
      </c>
      <c r="M548" s="1230">
        <v>2.0000008339964362E-3</v>
      </c>
      <c r="N548" s="1303">
        <v>1.8540984089217425E-2</v>
      </c>
      <c r="O548" s="1288">
        <v>1.6957219238156056E-2</v>
      </c>
      <c r="P548" s="1237">
        <v>8.4786096190780282E-3</v>
      </c>
      <c r="Q548" s="1290">
        <v>0.19590902076691316</v>
      </c>
    </row>
    <row r="549" spans="1:17" s="212" customFormat="1" ht="15.5" x14ac:dyDescent="0.35">
      <c r="A549" s="198">
        <v>2025</v>
      </c>
      <c r="B549" s="197" t="s">
        <v>5838</v>
      </c>
      <c r="C549" s="197">
        <v>1985</v>
      </c>
      <c r="D549" s="225" t="str">
        <f t="shared" si="5"/>
        <v>2025_1985</v>
      </c>
      <c r="E549" s="1287">
        <v>0.25740314960068472</v>
      </c>
      <c r="F549" s="1306">
        <v>1.3680286634306595</v>
      </c>
      <c r="G549" s="1303">
        <v>4.247077074717895</v>
      </c>
      <c r="H549" s="1306">
        <v>3.1101666283039977</v>
      </c>
      <c r="I549" s="1303">
        <v>0.18352100448440423</v>
      </c>
      <c r="J549" s="1306">
        <v>1.6332503566951141E-2</v>
      </c>
      <c r="K549" s="1303">
        <v>2.7688807867643521E-3</v>
      </c>
      <c r="L549" s="1288">
        <v>2.0000009349096033E-3</v>
      </c>
      <c r="M549" s="1230">
        <v>2.0000009349096033E-3</v>
      </c>
      <c r="N549" s="1303">
        <v>2.1881839915310272E-2</v>
      </c>
      <c r="O549" s="1288">
        <v>1.6882146387267018E-2</v>
      </c>
      <c r="P549" s="1237">
        <v>8.4410731936335089E-3</v>
      </c>
      <c r="Q549" s="1290">
        <v>0.19181900994479237</v>
      </c>
    </row>
    <row r="550" spans="1:17" s="212" customFormat="1" ht="15.5" x14ac:dyDescent="0.35">
      <c r="A550" s="198">
        <v>2025</v>
      </c>
      <c r="B550" s="197" t="s">
        <v>5838</v>
      </c>
      <c r="C550" s="197">
        <v>1986</v>
      </c>
      <c r="D550" s="225" t="str">
        <f t="shared" si="5"/>
        <v>2025_1986</v>
      </c>
      <c r="E550" s="1287">
        <v>0.25009523951668278</v>
      </c>
      <c r="F550" s="1306">
        <v>1.0883528005735164</v>
      </c>
      <c r="G550" s="1303">
        <v>4.5527162447277814</v>
      </c>
      <c r="H550" s="1306">
        <v>3.1855283466431308</v>
      </c>
      <c r="I550" s="1303">
        <v>0.18188974236104088</v>
      </c>
      <c r="J550" s="1306">
        <v>1.6509916891862226E-2</v>
      </c>
      <c r="K550" s="1303">
        <v>2.8554649186326923E-3</v>
      </c>
      <c r="L550" s="1288">
        <v>2.0000009245921598E-3</v>
      </c>
      <c r="M550" s="1230">
        <v>2.0000009245921598E-3</v>
      </c>
      <c r="N550" s="1303">
        <v>2.3904755743383174E-2</v>
      </c>
      <c r="O550" s="1288">
        <v>1.6009026754716906E-2</v>
      </c>
      <c r="P550" s="1237">
        <v>8.0045133773584531E-3</v>
      </c>
      <c r="Q550" s="1290">
        <v>0.19011398938682889</v>
      </c>
    </row>
    <row r="551" spans="1:17" s="212" customFormat="1" ht="15.5" x14ac:dyDescent="0.35">
      <c r="A551" s="198">
        <v>2025</v>
      </c>
      <c r="B551" s="197" t="s">
        <v>5838</v>
      </c>
      <c r="C551" s="197">
        <v>1987</v>
      </c>
      <c r="D551" s="225" t="str">
        <f t="shared" si="5"/>
        <v>2025_1987</v>
      </c>
      <c r="E551" s="1287">
        <v>0.29542058050019288</v>
      </c>
      <c r="F551" s="1306">
        <v>1.1817805383391633</v>
      </c>
      <c r="G551" s="1303">
        <v>5.0339415672968792</v>
      </c>
      <c r="H551" s="1306">
        <v>3.060882204690885</v>
      </c>
      <c r="I551" s="1303">
        <v>0.2002288112017821</v>
      </c>
      <c r="J551" s="1306">
        <v>1.6805681760147705E-2</v>
      </c>
      <c r="K551" s="1303">
        <v>2.9542330324467208E-3</v>
      </c>
      <c r="L551" s="1288">
        <v>2.0000010625600795E-3</v>
      </c>
      <c r="M551" s="1230">
        <v>2.0000010625600795E-3</v>
      </c>
      <c r="N551" s="1303">
        <v>2.6226680750935486E-2</v>
      </c>
      <c r="O551" s="1288">
        <v>1.4066418225612835E-2</v>
      </c>
      <c r="P551" s="1237">
        <v>7.0332091128064173E-3</v>
      </c>
      <c r="Q551" s="1290">
        <v>0.20928226954213625</v>
      </c>
    </row>
    <row r="552" spans="1:17" s="212" customFormat="1" ht="15.5" x14ac:dyDescent="0.35">
      <c r="A552" s="198">
        <v>2025</v>
      </c>
      <c r="B552" s="197" t="s">
        <v>5838</v>
      </c>
      <c r="C552" s="197">
        <v>1988</v>
      </c>
      <c r="D552" s="225" t="str">
        <f t="shared" si="5"/>
        <v>2025_1988</v>
      </c>
      <c r="E552" s="1287">
        <v>0.29308746694863169</v>
      </c>
      <c r="F552" s="1306">
        <v>0.50065948305051322</v>
      </c>
      <c r="G552" s="1303">
        <v>5.1067715528944353</v>
      </c>
      <c r="H552" s="1306">
        <v>1.6676549728769978</v>
      </c>
      <c r="I552" s="1303">
        <v>0.19894822683567553</v>
      </c>
      <c r="J552" s="1306">
        <v>1.6160437887030425E-2</v>
      </c>
      <c r="K552" s="1303">
        <v>2.9691403699443003E-3</v>
      </c>
      <c r="L552" s="1288">
        <v>2.0000010827801416E-3</v>
      </c>
      <c r="M552" s="1230">
        <v>2.0000010827801416E-3</v>
      </c>
      <c r="N552" s="1303">
        <v>2.6581162296612344E-2</v>
      </c>
      <c r="O552" s="1288">
        <v>1.3917212439290928E-2</v>
      </c>
      <c r="P552" s="1237">
        <v>6.9586062196454641E-3</v>
      </c>
      <c r="Q552" s="1290">
        <v>0.20794378283350318</v>
      </c>
    </row>
    <row r="553" spans="1:17" s="212" customFormat="1" ht="15.5" x14ac:dyDescent="0.35">
      <c r="A553" s="198">
        <v>2025</v>
      </c>
      <c r="B553" s="197" t="s">
        <v>5838</v>
      </c>
      <c r="C553" s="197">
        <v>1989</v>
      </c>
      <c r="D553" s="225" t="str">
        <f t="shared" si="5"/>
        <v>2025_1989</v>
      </c>
      <c r="E553" s="1287">
        <v>0.29628921118808182</v>
      </c>
      <c r="F553" s="1306">
        <v>0.44323809280243964</v>
      </c>
      <c r="G553" s="1303">
        <v>4.9950977300852415</v>
      </c>
      <c r="H553" s="1306">
        <v>1.8833742514788478</v>
      </c>
      <c r="I553" s="1303">
        <v>0.20062895704275219</v>
      </c>
      <c r="J553" s="1306">
        <v>1.6286329340290565E-2</v>
      </c>
      <c r="K553" s="1303">
        <v>2.9448269587213118E-3</v>
      </c>
      <c r="L553" s="1288">
        <v>2.0000011370692457E-3</v>
      </c>
      <c r="M553" s="1230">
        <v>2.0000011370692457E-3</v>
      </c>
      <c r="N553" s="1303">
        <v>2.6009739116153448E-2</v>
      </c>
      <c r="O553" s="1288">
        <v>1.3020123588852215E-2</v>
      </c>
      <c r="P553" s="1237">
        <v>6.5100617944261075E-3</v>
      </c>
      <c r="Q553" s="1290">
        <v>0.20970050820241343</v>
      </c>
    </row>
    <row r="554" spans="1:17" s="212" customFormat="1" ht="15.5" x14ac:dyDescent="0.35">
      <c r="A554" s="198">
        <v>2025</v>
      </c>
      <c r="B554" s="197" t="s">
        <v>5838</v>
      </c>
      <c r="C554" s="197">
        <v>1990</v>
      </c>
      <c r="D554" s="225" t="str">
        <f t="shared" si="5"/>
        <v>2025_1990</v>
      </c>
      <c r="E554" s="1287">
        <v>0.29770827214486745</v>
      </c>
      <c r="F554" s="1306">
        <v>0.48569870350826533</v>
      </c>
      <c r="G554" s="1303">
        <v>5.027067742124407</v>
      </c>
      <c r="H554" s="1306">
        <v>1.8621972466830086</v>
      </c>
      <c r="I554" s="1303">
        <v>0.20193344805879584</v>
      </c>
      <c r="J554" s="1306">
        <v>1.6440762447040364E-2</v>
      </c>
      <c r="K554" s="1303">
        <v>2.9611658882898236E-3</v>
      </c>
      <c r="L554" s="1288">
        <v>2.0000010886761111E-3</v>
      </c>
      <c r="M554" s="1230">
        <v>2.0000010886761111E-3</v>
      </c>
      <c r="N554" s="1303">
        <v>2.6390750805200716E-2</v>
      </c>
      <c r="O554" s="1288">
        <v>1.2606211665264733E-2</v>
      </c>
      <c r="P554" s="1237">
        <v>6.3031058326323665E-3</v>
      </c>
      <c r="Q554" s="1290">
        <v>0.21106398251361042</v>
      </c>
    </row>
    <row r="555" spans="1:17" s="212" customFormat="1" ht="15.5" x14ac:dyDescent="0.35">
      <c r="A555" s="198">
        <v>2025</v>
      </c>
      <c r="B555" s="197" t="s">
        <v>5838</v>
      </c>
      <c r="C555" s="197">
        <v>1991</v>
      </c>
      <c r="D555" s="225" t="str">
        <f t="shared" si="5"/>
        <v>2025_1991</v>
      </c>
      <c r="E555" s="1287">
        <v>0.37843284204006972</v>
      </c>
      <c r="F555" s="1306">
        <v>0.497277786083687</v>
      </c>
      <c r="G555" s="1303">
        <v>8.9680986313604514</v>
      </c>
      <c r="H555" s="1306">
        <v>2.3169517338201269</v>
      </c>
      <c r="I555" s="1303">
        <v>5.7516902905954528E-2</v>
      </c>
      <c r="J555" s="1306">
        <v>9.1833144428330304E-3</v>
      </c>
      <c r="K555" s="1303">
        <v>2.9761676321762706E-3</v>
      </c>
      <c r="L555" s="1288">
        <v>2.0000011170229173E-3</v>
      </c>
      <c r="M555" s="1230">
        <v>2.0000011170229173E-3</v>
      </c>
      <c r="N555" s="1303">
        <v>2.673877281221573E-2</v>
      </c>
      <c r="O555" s="1288">
        <v>1.1835759907604411E-2</v>
      </c>
      <c r="P555" s="1237">
        <v>5.9178799538022056E-3</v>
      </c>
      <c r="Q555" s="1290">
        <v>6.0117562027885166E-2</v>
      </c>
    </row>
    <row r="556" spans="1:17" s="212" customFormat="1" ht="15.5" x14ac:dyDescent="0.35">
      <c r="A556" s="198">
        <v>2025</v>
      </c>
      <c r="B556" s="197" t="s">
        <v>5838</v>
      </c>
      <c r="C556" s="197">
        <v>1992</v>
      </c>
      <c r="D556" s="225" t="str">
        <f t="shared" si="5"/>
        <v>2025_1992</v>
      </c>
      <c r="E556" s="1287">
        <v>0.37926183556245641</v>
      </c>
      <c r="F556" s="1306">
        <v>0.4982428656080472</v>
      </c>
      <c r="G556" s="1303">
        <v>8.7254749655808723</v>
      </c>
      <c r="H556" s="1306">
        <v>2.22347146410501</v>
      </c>
      <c r="I556" s="1303">
        <v>6.1998708664716275E-2</v>
      </c>
      <c r="J556" s="1306">
        <v>9.3560419916584245E-3</v>
      </c>
      <c r="K556" s="1303">
        <v>2.9491173147068632E-3</v>
      </c>
      <c r="L556" s="1288">
        <v>2.0000011576265385E-3</v>
      </c>
      <c r="M556" s="1230">
        <v>2.0000011576265385E-3</v>
      </c>
      <c r="N556" s="1303">
        <v>2.6102658294933651E-2</v>
      </c>
      <c r="O556" s="1288">
        <v>9.981962835224038E-3</v>
      </c>
      <c r="P556" s="1237">
        <v>4.990981417612019E-3</v>
      </c>
      <c r="Q556" s="1290">
        <v>6.4802015155339704E-2</v>
      </c>
    </row>
    <row r="557" spans="1:17" s="212" customFormat="1" ht="15.5" x14ac:dyDescent="0.35">
      <c r="A557" s="198">
        <v>2025</v>
      </c>
      <c r="B557" s="197" t="s">
        <v>5838</v>
      </c>
      <c r="C557" s="197">
        <v>1993</v>
      </c>
      <c r="D557" s="225" t="str">
        <f t="shared" si="5"/>
        <v>2025_1993</v>
      </c>
      <c r="E557" s="1287">
        <v>0.37798247757142805</v>
      </c>
      <c r="F557" s="1306">
        <v>0.50211904197765023</v>
      </c>
      <c r="G557" s="1303">
        <v>9.0273906032689339</v>
      </c>
      <c r="H557" s="1306">
        <v>2.245583077668265</v>
      </c>
      <c r="I557" s="1303">
        <v>5.4063652762932748E-2</v>
      </c>
      <c r="J557" s="1306">
        <v>9.3650987648239651E-3</v>
      </c>
      <c r="K557" s="1303">
        <v>2.9875200461662609E-3</v>
      </c>
      <c r="L557" s="1288">
        <v>2.0000011389153366E-3</v>
      </c>
      <c r="M557" s="1230">
        <v>2.0000011389153366E-3</v>
      </c>
      <c r="N557" s="1303">
        <v>2.7007051300077314E-2</v>
      </c>
      <c r="O557" s="1288">
        <v>1.0975839691155488E-2</v>
      </c>
      <c r="P557" s="1237">
        <v>5.4879198455777441E-3</v>
      </c>
      <c r="Q557" s="1290">
        <v>5.6508171236966491E-2</v>
      </c>
    </row>
    <row r="558" spans="1:17" s="212" customFormat="1" ht="15.5" x14ac:dyDescent="0.35">
      <c r="A558" s="198">
        <v>2025</v>
      </c>
      <c r="B558" s="197" t="s">
        <v>5838</v>
      </c>
      <c r="C558" s="197">
        <v>1994</v>
      </c>
      <c r="D558" s="225" t="str">
        <f t="shared" si="5"/>
        <v>2025_1994</v>
      </c>
      <c r="E558" s="1287">
        <v>0.36039025471198294</v>
      </c>
      <c r="F558" s="1306">
        <v>0.50081939727407387</v>
      </c>
      <c r="G558" s="1303">
        <v>8.6520945218365561</v>
      </c>
      <c r="H558" s="1306">
        <v>2.1051039581619722</v>
      </c>
      <c r="I558" s="1303">
        <v>5.4189080292727398E-2</v>
      </c>
      <c r="J558" s="1306">
        <v>9.5605746894204431E-3</v>
      </c>
      <c r="K558" s="1303">
        <v>2.9331063864521142E-3</v>
      </c>
      <c r="L558" s="1288">
        <v>2.0000013088603851E-3</v>
      </c>
      <c r="M558" s="1230">
        <v>2.0000013088603851E-3</v>
      </c>
      <c r="N558" s="1303">
        <v>2.5721372344723228E-2</v>
      </c>
      <c r="O558" s="1288">
        <v>8.1710348130426044E-3</v>
      </c>
      <c r="P558" s="1237">
        <v>4.0855174065213022E-3</v>
      </c>
      <c r="Q558" s="1290">
        <v>5.6639270043082106E-2</v>
      </c>
    </row>
    <row r="559" spans="1:17" s="212" customFormat="1" ht="15.5" x14ac:dyDescent="0.35">
      <c r="A559" s="198">
        <v>2025</v>
      </c>
      <c r="B559" s="197" t="s">
        <v>5838</v>
      </c>
      <c r="C559" s="197">
        <v>1995</v>
      </c>
      <c r="D559" s="225" t="str">
        <f t="shared" si="5"/>
        <v>2025_1995</v>
      </c>
      <c r="E559" s="1287">
        <v>0.37238137210954692</v>
      </c>
      <c r="F559" s="1306">
        <v>0.37070065483519937</v>
      </c>
      <c r="G559" s="1303">
        <v>9.1645948878162784</v>
      </c>
      <c r="H559" s="1306">
        <v>1.6537297944751603</v>
      </c>
      <c r="I559" s="1303">
        <v>5.3680958913944719E-2</v>
      </c>
      <c r="J559" s="1306">
        <v>8.5741151820712576E-3</v>
      </c>
      <c r="K559" s="1303">
        <v>2.9908092207251063E-3</v>
      </c>
      <c r="L559" s="1288">
        <v>2.0000012018836265E-3</v>
      </c>
      <c r="M559" s="1230">
        <v>2.0000012018836265E-3</v>
      </c>
      <c r="N559" s="1303">
        <v>2.7084596493903736E-2</v>
      </c>
      <c r="O559" s="1288">
        <v>1.0458332474330704E-2</v>
      </c>
      <c r="P559" s="1237">
        <v>5.229166237165352E-3</v>
      </c>
      <c r="Q559" s="1290">
        <v>5.6108173670306079E-2</v>
      </c>
    </row>
    <row r="560" spans="1:17" s="212" customFormat="1" ht="15.5" x14ac:dyDescent="0.35">
      <c r="A560" s="198">
        <v>2025</v>
      </c>
      <c r="B560" s="197" t="s">
        <v>5838</v>
      </c>
      <c r="C560" s="197">
        <v>1996</v>
      </c>
      <c r="D560" s="225" t="str">
        <f t="shared" si="5"/>
        <v>2025_1996</v>
      </c>
      <c r="E560" s="1287">
        <v>0.37511352208921178</v>
      </c>
      <c r="F560" s="1306">
        <v>0.12495568583349743</v>
      </c>
      <c r="G560" s="1303">
        <v>9.1657324312261412</v>
      </c>
      <c r="H560" s="1306">
        <v>0.97776291795354264</v>
      </c>
      <c r="I560" s="1303">
        <v>5.3921538540286709E-2</v>
      </c>
      <c r="J560" s="1306">
        <v>2.6855766411643723E-3</v>
      </c>
      <c r="K560" s="1303">
        <v>2.9946136855429481E-3</v>
      </c>
      <c r="L560" s="1288">
        <v>2.0000011914866008E-3</v>
      </c>
      <c r="M560" s="1230">
        <v>2.0000011914866008E-3</v>
      </c>
      <c r="N560" s="1303">
        <v>2.7172955618967216E-2</v>
      </c>
      <c r="O560" s="1288">
        <v>1.0376805013938804E-2</v>
      </c>
      <c r="P560" s="1237">
        <v>5.1884025069694022E-3</v>
      </c>
      <c r="Q560" s="1290">
        <v>5.6359631239794913E-2</v>
      </c>
    </row>
    <row r="561" spans="1:17" s="212" customFormat="1" ht="15.5" x14ac:dyDescent="0.35">
      <c r="A561" s="198">
        <v>2025</v>
      </c>
      <c r="B561" s="197" t="s">
        <v>5838</v>
      </c>
      <c r="C561" s="197">
        <v>1997</v>
      </c>
      <c r="D561" s="225" t="str">
        <f t="shared" si="5"/>
        <v>2025_1997</v>
      </c>
      <c r="E561" s="1287">
        <v>0.37724513380183322</v>
      </c>
      <c r="F561" s="1306">
        <v>0.12525088552105637</v>
      </c>
      <c r="G561" s="1303">
        <v>9.1726396489667259</v>
      </c>
      <c r="H561" s="1306">
        <v>0.98183142762781028</v>
      </c>
      <c r="I561" s="1303">
        <v>5.4086232843035577E-2</v>
      </c>
      <c r="J561" s="1306">
        <v>2.6846743421370788E-3</v>
      </c>
      <c r="K561" s="1303">
        <v>2.9982237723815497E-3</v>
      </c>
      <c r="L561" s="1288">
        <v>2.0000011760297285E-3</v>
      </c>
      <c r="M561" s="1230">
        <v>2.0000011760297285E-3</v>
      </c>
      <c r="N561" s="1303">
        <v>2.7258369133294137E-2</v>
      </c>
      <c r="O561" s="1288">
        <v>1.0256747100652518E-2</v>
      </c>
      <c r="P561" s="1237">
        <v>5.1283735503262588E-3</v>
      </c>
      <c r="Q561" s="1290">
        <v>5.6531772288093932E-2</v>
      </c>
    </row>
    <row r="562" spans="1:17" s="212" customFormat="1" ht="15.5" x14ac:dyDescent="0.35">
      <c r="A562" s="198">
        <v>2025</v>
      </c>
      <c r="B562" s="197" t="s">
        <v>5838</v>
      </c>
      <c r="C562" s="197">
        <v>1998</v>
      </c>
      <c r="D562" s="225" t="str">
        <f t="shared" si="5"/>
        <v>2025_1998</v>
      </c>
      <c r="E562" s="1287">
        <v>0.37661095796393329</v>
      </c>
      <c r="F562" s="1306">
        <v>0.12860315017647794</v>
      </c>
      <c r="G562" s="1303">
        <v>9.1792758141453188</v>
      </c>
      <c r="H562" s="1306">
        <v>1.0045777877001538</v>
      </c>
      <c r="I562" s="1303">
        <v>5.4000293131338278E-2</v>
      </c>
      <c r="J562" s="1306">
        <v>2.7268115886342E-3</v>
      </c>
      <c r="K562" s="1303">
        <v>2.9980335468080765E-3</v>
      </c>
      <c r="L562" s="1288">
        <v>2.0000012647116883E-3</v>
      </c>
      <c r="M562" s="1230">
        <v>2.0000012647116883E-3</v>
      </c>
      <c r="N562" s="1303">
        <v>2.7253269459132728E-2</v>
      </c>
      <c r="O562" s="1288">
        <v>8.6452088582679998E-3</v>
      </c>
      <c r="P562" s="1237">
        <v>4.3226044291339999E-3</v>
      </c>
      <c r="Q562" s="1290">
        <v>5.644194676398559E-2</v>
      </c>
    </row>
    <row r="563" spans="1:17" s="212" customFormat="1" ht="15.5" x14ac:dyDescent="0.35">
      <c r="A563" s="198">
        <v>2025</v>
      </c>
      <c r="B563" s="197" t="s">
        <v>5838</v>
      </c>
      <c r="C563" s="197">
        <v>1999</v>
      </c>
      <c r="D563" s="225" t="str">
        <f t="shared" si="5"/>
        <v>2025_1999</v>
      </c>
      <c r="E563" s="1287">
        <v>0.37709169428109429</v>
      </c>
      <c r="F563" s="1306">
        <v>0.12639972075959963</v>
      </c>
      <c r="G563" s="1303">
        <v>9.1906186280305491</v>
      </c>
      <c r="H563" s="1306">
        <v>0.99589997306906652</v>
      </c>
      <c r="I563" s="1303">
        <v>5.4032233433245418E-2</v>
      </c>
      <c r="J563" s="1306">
        <v>2.7547645336733098E-3</v>
      </c>
      <c r="K563" s="1303">
        <v>2.9990554402809415E-3</v>
      </c>
      <c r="L563" s="1288">
        <v>2.0000013163735211E-3</v>
      </c>
      <c r="M563" s="1230">
        <v>2.0000013163735211E-3</v>
      </c>
      <c r="N563" s="1303">
        <v>2.7277873392477406E-2</v>
      </c>
      <c r="O563" s="1288">
        <v>8.2800767342845454E-3</v>
      </c>
      <c r="P563" s="1237">
        <v>4.1400383671422727E-3</v>
      </c>
      <c r="Q563" s="1290">
        <v>5.6475331264611968E-2</v>
      </c>
    </row>
    <row r="564" spans="1:17" s="212" customFormat="1" ht="15.5" x14ac:dyDescent="0.35">
      <c r="A564" s="198">
        <v>2025</v>
      </c>
      <c r="B564" s="197" t="s">
        <v>5838</v>
      </c>
      <c r="C564" s="197">
        <v>2000</v>
      </c>
      <c r="D564" s="225" t="str">
        <f t="shared" si="5"/>
        <v>2025_2000</v>
      </c>
      <c r="E564" s="1287">
        <v>0.37541044477568686</v>
      </c>
      <c r="F564" s="1306">
        <v>0.12175429671696678</v>
      </c>
      <c r="G564" s="1303">
        <v>9.2278380166005611</v>
      </c>
      <c r="H564" s="1306">
        <v>0.97315210604199942</v>
      </c>
      <c r="I564" s="1303">
        <v>5.3764776462205517E-2</v>
      </c>
      <c r="J564" s="1306">
        <v>2.7575706700802621E-3</v>
      </c>
      <c r="K564" s="1303">
        <v>2.999724589315357E-3</v>
      </c>
      <c r="L564" s="1288">
        <v>2.0000013721313994E-3</v>
      </c>
      <c r="M564" s="1230">
        <v>2.0000013721313994E-3</v>
      </c>
      <c r="N564" s="1303">
        <v>2.7293469327838549E-2</v>
      </c>
      <c r="O564" s="1288">
        <v>8.3680739041753095E-3</v>
      </c>
      <c r="P564" s="1237">
        <v>4.1840369520876547E-3</v>
      </c>
      <c r="Q564" s="1290">
        <v>5.6195781076164388E-2</v>
      </c>
    </row>
    <row r="565" spans="1:17" s="212" customFormat="1" ht="15.5" x14ac:dyDescent="0.35">
      <c r="A565" s="198">
        <v>2025</v>
      </c>
      <c r="B565" s="197" t="s">
        <v>5838</v>
      </c>
      <c r="C565" s="197">
        <v>2001</v>
      </c>
      <c r="D565" s="225" t="str">
        <f t="shared" si="5"/>
        <v>2025_2001</v>
      </c>
      <c r="E565" s="1287">
        <v>0.37720320314621658</v>
      </c>
      <c r="F565" s="1306">
        <v>0.11919121985845134</v>
      </c>
      <c r="G565" s="1303">
        <v>9.1973520606226291</v>
      </c>
      <c r="H565" s="1306">
        <v>0.95653940112038338</v>
      </c>
      <c r="I565" s="1303">
        <v>5.4014437591369917E-2</v>
      </c>
      <c r="J565" s="1306">
        <v>2.7844844261127781E-3</v>
      </c>
      <c r="K565" s="1303">
        <v>2.999912890515986E-3</v>
      </c>
      <c r="L565" s="1288">
        <v>2.0000013629769588E-3</v>
      </c>
      <c r="M565" s="1230">
        <v>2.0000013629769588E-3</v>
      </c>
      <c r="N565" s="1303">
        <v>2.7297956035053219E-2</v>
      </c>
      <c r="O565" s="1288">
        <v>7.5858480184962333E-3</v>
      </c>
      <c r="P565" s="1237">
        <v>3.7929240092481166E-3</v>
      </c>
      <c r="Q565" s="1290">
        <v>5.6456730773734649E-2</v>
      </c>
    </row>
    <row r="566" spans="1:17" s="212" customFormat="1" ht="15.5" x14ac:dyDescent="0.35">
      <c r="A566" s="198">
        <v>2025</v>
      </c>
      <c r="B566" s="197" t="s">
        <v>5838</v>
      </c>
      <c r="C566" s="197">
        <v>2002</v>
      </c>
      <c r="D566" s="225" t="str">
        <f t="shared" si="5"/>
        <v>2025_2002</v>
      </c>
      <c r="E566" s="1287">
        <v>0.29046714164821885</v>
      </c>
      <c r="F566" s="1306">
        <v>0.11834232457161104</v>
      </c>
      <c r="G566" s="1303">
        <v>7.1126834047241942</v>
      </c>
      <c r="H566" s="1306">
        <v>0.92552847878904987</v>
      </c>
      <c r="I566" s="1303">
        <v>5.4173779742191598E-2</v>
      </c>
      <c r="J566" s="1306">
        <v>2.8017307123212095E-3</v>
      </c>
      <c r="K566" s="1303">
        <v>2.9999206331061327E-3</v>
      </c>
      <c r="L566" s="1288">
        <v>2.0000014465329651E-3</v>
      </c>
      <c r="M566" s="1230">
        <v>2.0000014465329651E-3</v>
      </c>
      <c r="N566" s="1303">
        <v>2.7298136526569483E-2</v>
      </c>
      <c r="O566" s="1288">
        <v>6.9789893536584052E-3</v>
      </c>
      <c r="P566" s="1237">
        <v>3.4894946768292026E-3</v>
      </c>
      <c r="Q566" s="1290">
        <v>5.662327766954621E-2</v>
      </c>
    </row>
    <row r="567" spans="1:17" s="212" customFormat="1" ht="15.5" x14ac:dyDescent="0.35">
      <c r="A567" s="198">
        <v>2025</v>
      </c>
      <c r="B567" s="197" t="s">
        <v>5838</v>
      </c>
      <c r="C567" s="197">
        <v>2003</v>
      </c>
      <c r="D567" s="225" t="str">
        <f t="shared" si="5"/>
        <v>2025_2003</v>
      </c>
      <c r="E567" s="1287">
        <v>0.28797387569010258</v>
      </c>
      <c r="F567" s="1306">
        <v>9.5612637676466911E-2</v>
      </c>
      <c r="G567" s="1303">
        <v>7.1370364002574522</v>
      </c>
      <c r="H567" s="1306">
        <v>0.71591028681230806</v>
      </c>
      <c r="I567" s="1303">
        <v>5.3771366826252248E-2</v>
      </c>
      <c r="J567" s="1306">
        <v>2.790409034230197E-3</v>
      </c>
      <c r="K567" s="1303">
        <v>2.9999296637162501E-3</v>
      </c>
      <c r="L567" s="1288">
        <v>2.0000014726442462E-3</v>
      </c>
      <c r="M567" s="1230">
        <v>2.0000014726442462E-3</v>
      </c>
      <c r="N567" s="1303">
        <v>2.7298373050877359E-2</v>
      </c>
      <c r="O567" s="1288">
        <v>7.3145063692492962E-3</v>
      </c>
      <c r="P567" s="1237">
        <v>3.6572531846246481E-3</v>
      </c>
      <c r="Q567" s="1290">
        <v>5.6202669427228957E-2</v>
      </c>
    </row>
    <row r="568" spans="1:17" s="212" customFormat="1" ht="15.5" x14ac:dyDescent="0.35">
      <c r="A568" s="198">
        <v>2025</v>
      </c>
      <c r="B568" s="197" t="s">
        <v>5838</v>
      </c>
      <c r="C568" s="197">
        <v>2004</v>
      </c>
      <c r="D568" s="225" t="str">
        <f t="shared" si="5"/>
        <v>2025_2004</v>
      </c>
      <c r="E568" s="1287">
        <v>0.59119834178931463</v>
      </c>
      <c r="F568" s="1306">
        <v>1.7892514443373309E-2</v>
      </c>
      <c r="G568" s="1303">
        <v>4.2063344091210348</v>
      </c>
      <c r="H568" s="1306">
        <v>0.11837973692320988</v>
      </c>
      <c r="I568" s="1303">
        <v>0.15365900631049112</v>
      </c>
      <c r="J568" s="1306">
        <v>1.8688065994838389E-4</v>
      </c>
      <c r="K568" s="1303">
        <v>2.9990366651246143E-3</v>
      </c>
      <c r="L568" s="1288">
        <v>2.0000015490077012E-3</v>
      </c>
      <c r="M568" s="1230">
        <v>2.0000015490077012E-3</v>
      </c>
      <c r="N568" s="1303">
        <v>2.7277324773954361E-2</v>
      </c>
      <c r="O568" s="1288">
        <v>6.7433057099204928E-3</v>
      </c>
      <c r="P568" s="1237">
        <v>3.3716528549602464E-3</v>
      </c>
      <c r="Q568" s="1290">
        <v>0.16060678472410947</v>
      </c>
    </row>
    <row r="569" spans="1:17" s="212" customFormat="1" ht="15.5" x14ac:dyDescent="0.35">
      <c r="A569" s="198">
        <v>2025</v>
      </c>
      <c r="B569" s="197" t="s">
        <v>5838</v>
      </c>
      <c r="C569" s="197">
        <v>2005</v>
      </c>
      <c r="D569" s="225" t="str">
        <f t="shared" si="5"/>
        <v>2025_2005</v>
      </c>
      <c r="E569" s="1287">
        <v>0.54615779281380816</v>
      </c>
      <c r="F569" s="1306">
        <v>1.5884863682231173E-2</v>
      </c>
      <c r="G569" s="1303">
        <v>4.0030309137172448</v>
      </c>
      <c r="H569" s="1306">
        <v>0.10222738216872465</v>
      </c>
      <c r="I569" s="1303">
        <v>0.14465019744846724</v>
      </c>
      <c r="J569" s="1306">
        <v>1.8720575876638758E-4</v>
      </c>
      <c r="K569" s="1303">
        <v>2.9176393721400233E-3</v>
      </c>
      <c r="L569" s="1288">
        <v>2.0000015620977606E-3</v>
      </c>
      <c r="M569" s="1230">
        <v>2.0000015620977606E-3</v>
      </c>
      <c r="N569" s="1303">
        <v>2.5352056003470864E-2</v>
      </c>
      <c r="O569" s="1288">
        <v>6.2154200608714643E-3</v>
      </c>
      <c r="P569" s="1237">
        <v>3.1077100304357321E-3</v>
      </c>
      <c r="Q569" s="1290">
        <v>0.15119063750134157</v>
      </c>
    </row>
    <row r="570" spans="1:17" s="212" customFormat="1" ht="15.5" x14ac:dyDescent="0.35">
      <c r="A570" s="198">
        <v>2025</v>
      </c>
      <c r="B570" s="197" t="s">
        <v>5838</v>
      </c>
      <c r="C570" s="197">
        <v>2006</v>
      </c>
      <c r="D570" s="225" t="str">
        <f t="shared" si="5"/>
        <v>2025_2006</v>
      </c>
      <c r="E570" s="1287">
        <v>0.55545053873911232</v>
      </c>
      <c r="F570" s="1306">
        <v>6.5332962195681415E-3</v>
      </c>
      <c r="G570" s="1303">
        <v>4.0716082818613168</v>
      </c>
      <c r="H570" s="1306">
        <v>7.3680816281213077E-2</v>
      </c>
      <c r="I570" s="1303">
        <v>0.14668802977566925</v>
      </c>
      <c r="J570" s="1306">
        <v>1.8253624501944268E-4</v>
      </c>
      <c r="K570" s="1303">
        <v>2.9498641014596609E-3</v>
      </c>
      <c r="L570" s="1288">
        <v>2.0000014659146475E-3</v>
      </c>
      <c r="M570" s="1230">
        <v>2.0000014659146475E-3</v>
      </c>
      <c r="N570" s="1303">
        <v>2.6113077999753834E-2</v>
      </c>
      <c r="O570" s="1288">
        <v>8.9144476381592848E-3</v>
      </c>
      <c r="P570" s="1237">
        <v>4.4572238190796424E-3</v>
      </c>
      <c r="Q570" s="1290">
        <v>0.15332061156363372</v>
      </c>
    </row>
    <row r="571" spans="1:17" s="212" customFormat="1" ht="15.5" x14ac:dyDescent="0.35">
      <c r="A571" s="198">
        <v>2025</v>
      </c>
      <c r="B571" s="197" t="s">
        <v>5838</v>
      </c>
      <c r="C571" s="197">
        <v>2007</v>
      </c>
      <c r="D571" s="225" t="str">
        <f t="shared" si="5"/>
        <v>2025_2007</v>
      </c>
      <c r="E571" s="1287">
        <v>0.30161402169793922</v>
      </c>
      <c r="F571" s="1306">
        <v>8.535768756304284E-3</v>
      </c>
      <c r="G571" s="1303">
        <v>2.2478472381121954</v>
      </c>
      <c r="H571" s="1306">
        <v>6.3424302975225111E-2</v>
      </c>
      <c r="I571" s="1303">
        <v>7.9326436550744908E-2</v>
      </c>
      <c r="J571" s="1306">
        <v>1.8639900964373372E-4</v>
      </c>
      <c r="K571" s="1303">
        <v>2.9183923418923292E-3</v>
      </c>
      <c r="L571" s="1288">
        <v>2.0000014860022618E-3</v>
      </c>
      <c r="M571" s="1230">
        <v>2.0000014860022618E-3</v>
      </c>
      <c r="N571" s="1303">
        <v>2.5367435790954667E-2</v>
      </c>
      <c r="O571" s="1288">
        <v>6.3841388224591964E-3</v>
      </c>
      <c r="P571" s="1237">
        <v>3.1920694112295982E-3</v>
      </c>
      <c r="Q571" s="1290">
        <v>8.2913226005720819E-2</v>
      </c>
    </row>
    <row r="572" spans="1:17" s="212" customFormat="1" ht="15.5" x14ac:dyDescent="0.35">
      <c r="A572" s="198">
        <v>2025</v>
      </c>
      <c r="B572" s="197" t="s">
        <v>5838</v>
      </c>
      <c r="C572" s="197">
        <v>2008</v>
      </c>
      <c r="D572" s="225" t="str">
        <f t="shared" si="5"/>
        <v>2025_2008</v>
      </c>
      <c r="E572" s="1287">
        <v>0.30722085874585259</v>
      </c>
      <c r="F572" s="1306">
        <v>7.9927724687156622E-3</v>
      </c>
      <c r="G572" s="1303">
        <v>2.3153543040552496</v>
      </c>
      <c r="H572" s="1306">
        <v>4.8346947436695827E-2</v>
      </c>
      <c r="I572" s="1303">
        <v>8.0988712271680044E-2</v>
      </c>
      <c r="J572" s="1306">
        <v>2.1111610360072524E-4</v>
      </c>
      <c r="K572" s="1303">
        <v>2.9505013800358543E-3</v>
      </c>
      <c r="L572" s="1288">
        <v>2.0000016508216569E-3</v>
      </c>
      <c r="M572" s="1230">
        <v>2.0000016508216569E-3</v>
      </c>
      <c r="N572" s="1303">
        <v>2.6127780289932831E-2</v>
      </c>
      <c r="O572" s="1288">
        <v>6.219725030884732E-3</v>
      </c>
      <c r="P572" s="1237">
        <v>3.109862515442366E-3</v>
      </c>
      <c r="Q572" s="1290">
        <v>8.4650662458517351E-2</v>
      </c>
    </row>
    <row r="573" spans="1:17" s="212" customFormat="1" ht="15.5" x14ac:dyDescent="0.35">
      <c r="A573" s="198">
        <v>2025</v>
      </c>
      <c r="B573" s="197" t="s">
        <v>5838</v>
      </c>
      <c r="C573" s="197">
        <v>2009</v>
      </c>
      <c r="D573" s="225" t="str">
        <f t="shared" si="5"/>
        <v>2025_2009</v>
      </c>
      <c r="E573" s="1287">
        <v>0.28583900344875168</v>
      </c>
      <c r="F573" s="1306">
        <v>7.7157408907318542E-3</v>
      </c>
      <c r="G573" s="1303">
        <v>2.1504251719991685</v>
      </c>
      <c r="H573" s="1306">
        <v>3.6140695971849858E-2</v>
      </c>
      <c r="I573" s="1303">
        <v>7.5441503535985249E-2</v>
      </c>
      <c r="J573" s="1306">
        <v>2.3996286908587429E-4</v>
      </c>
      <c r="K573" s="1303">
        <v>2.8772975719093055E-3</v>
      </c>
      <c r="L573" s="1288">
        <v>2.0000016976291775E-3</v>
      </c>
      <c r="M573" s="1230">
        <v>2.0000016976291775E-3</v>
      </c>
      <c r="N573" s="1303">
        <v>2.4394429177765603E-2</v>
      </c>
      <c r="O573" s="1288">
        <v>4.8899382233620961E-3</v>
      </c>
      <c r="P573" s="1237">
        <v>2.4449691116810481E-3</v>
      </c>
      <c r="Q573" s="1290">
        <v>7.885263355916855E-2</v>
      </c>
    </row>
    <row r="574" spans="1:17" s="212" customFormat="1" ht="15.5" x14ac:dyDescent="0.35">
      <c r="A574" s="198">
        <v>2025</v>
      </c>
      <c r="B574" s="197" t="s">
        <v>5838</v>
      </c>
      <c r="C574" s="197">
        <v>2010</v>
      </c>
      <c r="D574" s="225" t="str">
        <f t="shared" si="5"/>
        <v>2025_2010</v>
      </c>
      <c r="E574" s="1287">
        <v>5.9844660457168207E-2</v>
      </c>
      <c r="F574" s="1306">
        <v>6.9886765370510339E-3</v>
      </c>
      <c r="G574" s="1303">
        <v>0.49489795391398322</v>
      </c>
      <c r="H574" s="1306">
        <v>3.355894780172896E-2</v>
      </c>
      <c r="I574" s="1303">
        <v>1.5503299501790697E-2</v>
      </c>
      <c r="J574" s="1306">
        <v>2.9577197717244144E-4</v>
      </c>
      <c r="K574" s="1303">
        <v>2.7342443703484267E-3</v>
      </c>
      <c r="L574" s="1288">
        <v>2.0000017876267797E-3</v>
      </c>
      <c r="M574" s="1230">
        <v>2.0000017876267797E-3</v>
      </c>
      <c r="N574" s="1303">
        <v>2.0993525826876826E-2</v>
      </c>
      <c r="O574" s="1288">
        <v>4.1977558821202745E-3</v>
      </c>
      <c r="P574" s="1237">
        <v>2.0988779410601372E-3</v>
      </c>
      <c r="Q574" s="1290">
        <v>1.6204289910388976E-2</v>
      </c>
    </row>
    <row r="575" spans="1:17" s="212" customFormat="1" ht="15.5" x14ac:dyDescent="0.35">
      <c r="A575" s="198">
        <v>2025</v>
      </c>
      <c r="B575" s="197" t="s">
        <v>5838</v>
      </c>
      <c r="C575" s="197">
        <v>2011</v>
      </c>
      <c r="D575" s="225" t="str">
        <f t="shared" si="5"/>
        <v>2025_2011</v>
      </c>
      <c r="E575" s="1287">
        <v>6.5715907471418131E-2</v>
      </c>
      <c r="F575" s="1306">
        <v>6.9311239081247785E-3</v>
      </c>
      <c r="G575" s="1303">
        <v>0.55624686547233837</v>
      </c>
      <c r="H575" s="1306">
        <v>3.2830258589068163E-2</v>
      </c>
      <c r="I575" s="1303">
        <v>1.6530762021304164E-2</v>
      </c>
      <c r="J575" s="1306">
        <v>3.9486917927784827E-4</v>
      </c>
      <c r="K575" s="1303">
        <v>2.8507074536473958E-3</v>
      </c>
      <c r="L575" s="1288">
        <v>2.000001735982782E-3</v>
      </c>
      <c r="M575" s="1230">
        <v>2.000001735982782E-3</v>
      </c>
      <c r="N575" s="1303">
        <v>2.3761315563507118E-2</v>
      </c>
      <c r="O575" s="1288">
        <v>4.9652046416677189E-3</v>
      </c>
      <c r="P575" s="1237">
        <v>2.4826023208338595E-3</v>
      </c>
      <c r="Q575" s="1290">
        <v>1.7278209725737504E-2</v>
      </c>
    </row>
    <row r="576" spans="1:17" s="212" customFormat="1" ht="15.5" x14ac:dyDescent="0.35">
      <c r="A576" s="198">
        <v>2025</v>
      </c>
      <c r="B576" s="197" t="s">
        <v>5838</v>
      </c>
      <c r="C576" s="197">
        <v>2012</v>
      </c>
      <c r="D576" s="225" t="str">
        <f t="shared" si="5"/>
        <v>2025_2012</v>
      </c>
      <c r="E576" s="1287">
        <v>4.6835368189241666E-2</v>
      </c>
      <c r="F576" s="1306">
        <v>6.509156147282708E-3</v>
      </c>
      <c r="G576" s="1303">
        <v>0.36021529029584642</v>
      </c>
      <c r="H576" s="1306">
        <v>3.1127779342858795E-2</v>
      </c>
      <c r="I576" s="1303">
        <v>1.2074110782581863E-2</v>
      </c>
      <c r="J576" s="1306">
        <v>5.7351611640752288E-4</v>
      </c>
      <c r="K576" s="1303">
        <v>2.5462505209201186E-3</v>
      </c>
      <c r="L576" s="1288">
        <v>2.0000017829673298E-3</v>
      </c>
      <c r="M576" s="1230">
        <v>2.0000017829673298E-3</v>
      </c>
      <c r="N576" s="1303">
        <v>1.6481827505704313E-2</v>
      </c>
      <c r="O576" s="1288">
        <v>5.3421610395028817E-3</v>
      </c>
      <c r="P576" s="1237">
        <v>2.6710805197514408E-3</v>
      </c>
      <c r="Q576" s="1290">
        <v>1.2620048494097126E-2</v>
      </c>
    </row>
    <row r="577" spans="1:17" s="212" customFormat="1" ht="15.5" x14ac:dyDescent="0.35">
      <c r="A577" s="198">
        <v>2025</v>
      </c>
      <c r="B577" s="197" t="s">
        <v>5838</v>
      </c>
      <c r="C577" s="197">
        <v>2013</v>
      </c>
      <c r="D577" s="225" t="str">
        <f t="shared" si="5"/>
        <v>2025_2013</v>
      </c>
      <c r="E577" s="1287">
        <v>6.1749616412034025E-2</v>
      </c>
      <c r="F577" s="1306">
        <v>6.9770756394947116E-3</v>
      </c>
      <c r="G577" s="1303">
        <v>0.50719601645103596</v>
      </c>
      <c r="H577" s="1306">
        <v>3.1455125610308055E-2</v>
      </c>
      <c r="I577" s="1303">
        <v>1.4887519535711428E-2</v>
      </c>
      <c r="J577" s="1306">
        <v>8.5729174803577161E-4</v>
      </c>
      <c r="K577" s="1303">
        <v>2.8071115235379623E-3</v>
      </c>
      <c r="L577" s="1288">
        <v>2.0000017810565362E-3</v>
      </c>
      <c r="M577" s="1230">
        <v>2.0000017810565362E-3</v>
      </c>
      <c r="N577" s="1303">
        <v>2.2709183524760569E-2</v>
      </c>
      <c r="O577" s="1288">
        <v>5.3411972833812393E-3</v>
      </c>
      <c r="P577" s="1237">
        <v>2.6705986416906196E-3</v>
      </c>
      <c r="Q577" s="1290">
        <v>1.5560667106726765E-2</v>
      </c>
    </row>
    <row r="578" spans="1:17" s="212" customFormat="1" ht="15.5" x14ac:dyDescent="0.35">
      <c r="A578" s="198">
        <v>2025</v>
      </c>
      <c r="B578" s="197" t="s">
        <v>5838</v>
      </c>
      <c r="C578" s="197">
        <v>2014</v>
      </c>
      <c r="D578" s="225" t="str">
        <f t="shared" si="5"/>
        <v>2025_2014</v>
      </c>
      <c r="E578" s="1287">
        <v>5.1737415832678005E-2</v>
      </c>
      <c r="F578" s="1306">
        <v>7.0062946486308892E-3</v>
      </c>
      <c r="G578" s="1303">
        <v>0.40482433278724139</v>
      </c>
      <c r="H578" s="1306">
        <v>3.0855148856591987E-2</v>
      </c>
      <c r="I578" s="1303">
        <v>1.2438742817489383E-2</v>
      </c>
      <c r="J578" s="1306">
        <v>1.2089230194001347E-3</v>
      </c>
      <c r="K578" s="1303">
        <v>2.6521591503099505E-3</v>
      </c>
      <c r="L578" s="1288">
        <v>2.000001782695637E-3</v>
      </c>
      <c r="M578" s="1230">
        <v>2.000001782695637E-3</v>
      </c>
      <c r="N578" s="1303">
        <v>1.8984025905601203E-2</v>
      </c>
      <c r="O578" s="1288">
        <v>4.5416753638615349E-3</v>
      </c>
      <c r="P578" s="1237">
        <v>2.2708376819307674E-3</v>
      </c>
      <c r="Q578" s="1290">
        <v>1.3001167571592536E-2</v>
      </c>
    </row>
    <row r="579" spans="1:17" s="212" customFormat="1" ht="15.5" x14ac:dyDescent="0.35">
      <c r="A579" s="198">
        <v>2025</v>
      </c>
      <c r="B579" s="197" t="s">
        <v>5838</v>
      </c>
      <c r="C579" s="197">
        <v>2015</v>
      </c>
      <c r="D579" s="225" t="str">
        <f t="shared" si="5"/>
        <v>2025_2015</v>
      </c>
      <c r="E579" s="1287">
        <v>4.6747739210651729E-2</v>
      </c>
      <c r="F579" s="1306">
        <v>6.7735716826883988E-3</v>
      </c>
      <c r="G579" s="1303">
        <v>0.35609500068435912</v>
      </c>
      <c r="H579" s="1306">
        <v>2.9268723082722978E-2</v>
      </c>
      <c r="I579" s="1303">
        <v>1.1099747492883677E-2</v>
      </c>
      <c r="J579" s="1306">
        <v>1.5015978924351808E-3</v>
      </c>
      <c r="K579" s="1303">
        <v>2.5869251715285868E-3</v>
      </c>
      <c r="L579" s="1288">
        <v>2.0000017540820814E-3</v>
      </c>
      <c r="M579" s="1230">
        <v>2.0000017540820814E-3</v>
      </c>
      <c r="N579" s="1303">
        <v>1.7387935263640537E-2</v>
      </c>
      <c r="O579" s="1288">
        <v>5.24892105402583E-3</v>
      </c>
      <c r="P579" s="1237">
        <v>2.624460527012915E-3</v>
      </c>
      <c r="Q579" s="1290">
        <v>1.1601628820111809E-2</v>
      </c>
    </row>
    <row r="580" spans="1:17" s="212" customFormat="1" ht="15.5" x14ac:dyDescent="0.35">
      <c r="A580" s="198">
        <v>2025</v>
      </c>
      <c r="B580" s="197" t="s">
        <v>5838</v>
      </c>
      <c r="C580" s="197">
        <v>2016</v>
      </c>
      <c r="D580" s="225" t="str">
        <f t="shared" si="5"/>
        <v>2025_2016</v>
      </c>
      <c r="E580" s="1287">
        <v>5.6118244713134632E-2</v>
      </c>
      <c r="F580" s="1306">
        <v>6.5770817993285741E-3</v>
      </c>
      <c r="G580" s="1303">
        <v>0.3950079044024597</v>
      </c>
      <c r="H580" s="1306">
        <v>2.7890519064545285E-2</v>
      </c>
      <c r="I580" s="1303">
        <v>1.2426417963074752E-2</v>
      </c>
      <c r="J580" s="1306">
        <v>1.7105053555017745E-3</v>
      </c>
      <c r="K580" s="1303">
        <v>2.7773579694538612E-3</v>
      </c>
      <c r="L580" s="1288">
        <v>2.0000016960906989E-3</v>
      </c>
      <c r="M580" s="1230">
        <v>2.0000016960906989E-3</v>
      </c>
      <c r="N580" s="1303">
        <v>2.194804636146952E-2</v>
      </c>
      <c r="O580" s="1288">
        <v>6.0155988213902592E-3</v>
      </c>
      <c r="P580" s="1237">
        <v>3.0077994106951296E-3</v>
      </c>
      <c r="Q580" s="1290">
        <v>1.298828544195188E-2</v>
      </c>
    </row>
    <row r="581" spans="1:17" s="212" customFormat="1" ht="15.5" x14ac:dyDescent="0.35">
      <c r="A581" s="198">
        <v>2025</v>
      </c>
      <c r="B581" s="197" t="s">
        <v>5838</v>
      </c>
      <c r="C581" s="197">
        <v>2017</v>
      </c>
      <c r="D581" s="225" t="str">
        <f t="shared" si="5"/>
        <v>2025_2017</v>
      </c>
      <c r="E581" s="1287">
        <v>5.7527108394620045E-2</v>
      </c>
      <c r="F581" s="1306">
        <v>6.2007569259007736E-3</v>
      </c>
      <c r="G581" s="1303">
        <v>0.34995070783137011</v>
      </c>
      <c r="H581" s="1306">
        <v>2.635618207358487E-2</v>
      </c>
      <c r="I581" s="1303">
        <v>1.2130248689752727E-2</v>
      </c>
      <c r="J581" s="1306">
        <v>1.8361923278637235E-3</v>
      </c>
      <c r="K581" s="1303">
        <v>2.8215145693706927E-3</v>
      </c>
      <c r="L581" s="1288">
        <v>2.0000016604460264E-3</v>
      </c>
      <c r="M581" s="1230">
        <v>2.0000016604460264E-3</v>
      </c>
      <c r="N581" s="1303">
        <v>2.3003318390301054E-2</v>
      </c>
      <c r="O581" s="1288">
        <v>5.9924403324041441E-3</v>
      </c>
      <c r="P581" s="1237">
        <v>2.996220166202072E-3</v>
      </c>
      <c r="Q581" s="1290">
        <v>1.267872470832199E-2</v>
      </c>
    </row>
    <row r="582" spans="1:17" s="212" customFormat="1" ht="15.5" x14ac:dyDescent="0.35">
      <c r="A582" s="198">
        <v>2025</v>
      </c>
      <c r="B582" s="197" t="s">
        <v>5838</v>
      </c>
      <c r="C582" s="197">
        <v>2018</v>
      </c>
      <c r="D582" s="225" t="str">
        <f t="shared" si="5"/>
        <v>2025_2018</v>
      </c>
      <c r="E582" s="1287">
        <v>5.1773255048690292E-2</v>
      </c>
      <c r="F582" s="1306">
        <v>5.9078445798579063E-3</v>
      </c>
      <c r="G582" s="1303">
        <v>0.25310486849441849</v>
      </c>
      <c r="H582" s="1306">
        <v>2.4976132246971938E-2</v>
      </c>
      <c r="I582" s="1303">
        <v>1.0568611189108382E-2</v>
      </c>
      <c r="J582" s="1306">
        <v>1.9365632972137303E-3</v>
      </c>
      <c r="K582" s="1303">
        <v>2.7325178471287966E-3</v>
      </c>
      <c r="L582" s="1288">
        <v>2.0000016484155525E-3</v>
      </c>
      <c r="M582" s="1230">
        <v>2.0000016484155525E-3</v>
      </c>
      <c r="N582" s="1303">
        <v>2.0838624498967763E-2</v>
      </c>
      <c r="O582" s="1288">
        <v>5.3830897972413187E-3</v>
      </c>
      <c r="P582" s="1237">
        <v>2.6915448986206594E-3</v>
      </c>
      <c r="Q582" s="1290">
        <v>1.1046476889562304E-2</v>
      </c>
    </row>
    <row r="583" spans="1:17" s="212" customFormat="1" ht="15.5" x14ac:dyDescent="0.35">
      <c r="A583" s="198">
        <v>2025</v>
      </c>
      <c r="B583" s="197" t="s">
        <v>5838</v>
      </c>
      <c r="C583" s="197">
        <v>2019</v>
      </c>
      <c r="D583" s="225" t="str">
        <f t="shared" si="5"/>
        <v>2025_2019</v>
      </c>
      <c r="E583" s="1287">
        <v>6.0026543736847959E-2</v>
      </c>
      <c r="F583" s="1306">
        <v>5.6105979836082471E-3</v>
      </c>
      <c r="G583" s="1303">
        <v>0.25725589989280689</v>
      </c>
      <c r="H583" s="1306">
        <v>2.3480433299000562E-2</v>
      </c>
      <c r="I583" s="1303">
        <v>1.1197933543580707E-2</v>
      </c>
      <c r="J583" s="1306">
        <v>1.8371584151891918E-3</v>
      </c>
      <c r="K583" s="1303">
        <v>2.9175301050572791E-3</v>
      </c>
      <c r="L583" s="1288">
        <v>2.0000015742708739E-3</v>
      </c>
      <c r="M583" s="1230">
        <v>2.0000015742708739E-3</v>
      </c>
      <c r="N583" s="1303">
        <v>2.5305445327700234E-2</v>
      </c>
      <c r="O583" s="1288">
        <v>5.3992724449142115E-3</v>
      </c>
      <c r="P583" s="1237">
        <v>2.6996362224571057E-3</v>
      </c>
      <c r="Q583" s="1290">
        <v>1.1704254408327218E-2</v>
      </c>
    </row>
    <row r="584" spans="1:17" s="212" customFormat="1" ht="15.5" x14ac:dyDescent="0.35">
      <c r="A584" s="198">
        <v>2025</v>
      </c>
      <c r="B584" s="197" t="s">
        <v>5838</v>
      </c>
      <c r="C584" s="197">
        <v>2020</v>
      </c>
      <c r="D584" s="225" t="str">
        <f t="shared" si="5"/>
        <v>2025_2020</v>
      </c>
      <c r="E584" s="1287">
        <v>5.052871185037746E-2</v>
      </c>
      <c r="F584" s="1306">
        <v>5.2357310684786607E-3</v>
      </c>
      <c r="G584" s="1303">
        <v>0.18799698660739253</v>
      </c>
      <c r="H584" s="1306">
        <v>2.1814502831676717E-2</v>
      </c>
      <c r="I584" s="1303">
        <v>9.1837337590274775E-3</v>
      </c>
      <c r="J584" s="1306">
        <v>1.3573272621472438E-3</v>
      </c>
      <c r="K584" s="1303">
        <v>2.8729170192479357E-3</v>
      </c>
      <c r="L584" s="1288">
        <v>2.0000016720966777E-3</v>
      </c>
      <c r="M584" s="1230">
        <v>2.0000016720966777E-3</v>
      </c>
      <c r="N584" s="1303">
        <v>2.4224890726046132E-2</v>
      </c>
      <c r="O584" s="1288">
        <v>5.4562077003668967E-3</v>
      </c>
      <c r="P584" s="1237">
        <v>2.7281038501834483E-3</v>
      </c>
      <c r="Q584" s="1290">
        <v>9.5989814473956981E-3</v>
      </c>
    </row>
    <row r="585" spans="1:17" s="212" customFormat="1" ht="15.5" x14ac:dyDescent="0.35">
      <c r="A585" s="198">
        <v>2025</v>
      </c>
      <c r="B585" s="197" t="s">
        <v>5838</v>
      </c>
      <c r="C585" s="197">
        <v>2021</v>
      </c>
      <c r="D585" s="225" t="str">
        <f t="shared" si="5"/>
        <v>2025_2021</v>
      </c>
      <c r="E585" s="1287">
        <v>4.8360297054118179E-2</v>
      </c>
      <c r="F585" s="1306">
        <v>4.8287424672586177E-3</v>
      </c>
      <c r="G585" s="1303">
        <v>0.14482685207431312</v>
      </c>
      <c r="H585" s="1306">
        <v>2.0231044697928656E-2</v>
      </c>
      <c r="I585" s="1303">
        <v>7.8819879101362893E-3</v>
      </c>
      <c r="J585" s="1306">
        <v>8.8402981522683628E-4</v>
      </c>
      <c r="K585" s="1303">
        <v>2.8724049813772137E-3</v>
      </c>
      <c r="L585" s="1288">
        <v>2.0000016882634423E-3</v>
      </c>
      <c r="M585" s="1230">
        <v>2.0000016882634423E-3</v>
      </c>
      <c r="N585" s="1303">
        <v>2.420313516987482E-2</v>
      </c>
      <c r="O585" s="1288">
        <v>5.4181133523574249E-3</v>
      </c>
      <c r="P585" s="1237">
        <v>2.7090566761787125E-3</v>
      </c>
      <c r="Q585" s="1290">
        <v>8.2383764276293056E-3</v>
      </c>
    </row>
    <row r="586" spans="1:17" s="212" customFormat="1" ht="15.5" x14ac:dyDescent="0.35">
      <c r="A586" s="198">
        <v>2025</v>
      </c>
      <c r="B586" s="197" t="s">
        <v>5838</v>
      </c>
      <c r="C586" s="197">
        <v>2022</v>
      </c>
      <c r="D586" s="225" t="str">
        <f t="shared" si="5"/>
        <v>2025_2022</v>
      </c>
      <c r="E586" s="1287">
        <v>4.7106700407935881E-2</v>
      </c>
      <c r="F586" s="1306">
        <v>4.433129481503627E-3</v>
      </c>
      <c r="G586" s="1303">
        <v>0.10633147491506371</v>
      </c>
      <c r="H586" s="1306">
        <v>1.8709078606996939E-2</v>
      </c>
      <c r="I586" s="1303">
        <v>6.9425180914865353E-3</v>
      </c>
      <c r="J586" s="1306">
        <v>8.8527286252575491E-4</v>
      </c>
      <c r="K586" s="1303">
        <v>2.8722509602757602E-3</v>
      </c>
      <c r="L586" s="1288">
        <v>2.0000017121367727E-3</v>
      </c>
      <c r="M586" s="1230">
        <v>2.0000017121367727E-3</v>
      </c>
      <c r="N586" s="1303">
        <v>2.4189749561457644E-2</v>
      </c>
      <c r="O586" s="1288">
        <v>5.4007261748579396E-3</v>
      </c>
      <c r="P586" s="1237">
        <v>2.7003630874289698E-3</v>
      </c>
      <c r="Q586" s="1290">
        <v>7.2564279526157937E-3</v>
      </c>
    </row>
    <row r="587" spans="1:17" s="212" customFormat="1" ht="15.5" x14ac:dyDescent="0.35">
      <c r="A587" s="198">
        <v>2025</v>
      </c>
      <c r="B587" s="197" t="s">
        <v>5838</v>
      </c>
      <c r="C587" s="197">
        <v>2023</v>
      </c>
      <c r="D587" s="225" t="str">
        <f t="shared" si="5"/>
        <v>2025_2023</v>
      </c>
      <c r="E587" s="1287">
        <v>4.5729644383769676E-2</v>
      </c>
      <c r="F587" s="1306">
        <v>3.9575923331160922E-3</v>
      </c>
      <c r="G587" s="1303">
        <v>9.9730723381847311E-2</v>
      </c>
      <c r="H587" s="1306">
        <v>1.7310487260613353E-2</v>
      </c>
      <c r="I587" s="1303">
        <v>5.9496676976193118E-3</v>
      </c>
      <c r="J587" s="1306">
        <v>8.8674023398829826E-4</v>
      </c>
      <c r="K587" s="1303">
        <v>2.8708195790257836E-3</v>
      </c>
      <c r="L587" s="1288">
        <v>2.0000017521428371E-3</v>
      </c>
      <c r="M587" s="1230">
        <v>2.0000017521428371E-3</v>
      </c>
      <c r="N587" s="1303">
        <v>2.4144980482766202E-2</v>
      </c>
      <c r="O587" s="1288">
        <v>5.3401933315699235E-3</v>
      </c>
      <c r="P587" s="1237">
        <v>2.6700966657849617E-3</v>
      </c>
      <c r="Q587" s="1290">
        <v>6.2186852696462609E-3</v>
      </c>
    </row>
    <row r="588" spans="1:17" s="212" customFormat="1" ht="15.5" x14ac:dyDescent="0.35">
      <c r="A588" s="198">
        <v>2025</v>
      </c>
      <c r="B588" s="197" t="s">
        <v>5838</v>
      </c>
      <c r="C588" s="197">
        <v>2024</v>
      </c>
      <c r="D588" s="225" t="str">
        <f t="shared" si="5"/>
        <v>2025_2024</v>
      </c>
      <c r="E588" s="1287">
        <v>4.4039063538584146E-2</v>
      </c>
      <c r="F588" s="1306">
        <v>3.2618891271942361E-3</v>
      </c>
      <c r="G588" s="1303">
        <v>9.2315554471607039E-2</v>
      </c>
      <c r="H588" s="1306">
        <v>1.5688470404906365E-2</v>
      </c>
      <c r="I588" s="1303">
        <v>4.886990148571713E-3</v>
      </c>
      <c r="J588" s="1306">
        <v>8.8669155663040691E-4</v>
      </c>
      <c r="K588" s="1303">
        <v>2.8640480335811315E-3</v>
      </c>
      <c r="L588" s="1288">
        <v>2.0000017919866563E-3</v>
      </c>
      <c r="M588" s="1305">
        <v>2.0000005733263643E-3</v>
      </c>
      <c r="N588" s="1303">
        <v>2.3968506697945497E-2</v>
      </c>
      <c r="O588" s="1288">
        <v>5.1485958962837362E-3</v>
      </c>
      <c r="P588" s="1301">
        <v>3.3162443807632888E-3</v>
      </c>
      <c r="Q588" s="1290">
        <v>5.1079581573925201E-3</v>
      </c>
    </row>
    <row r="589" spans="1:17" s="212" customFormat="1" ht="15.5" x14ac:dyDescent="0.35">
      <c r="A589" s="198">
        <v>2025</v>
      </c>
      <c r="B589" s="197" t="s">
        <v>5838</v>
      </c>
      <c r="C589" s="197">
        <v>2025</v>
      </c>
      <c r="D589" s="225" t="str">
        <f t="shared" si="5"/>
        <v>2025_2025</v>
      </c>
      <c r="E589" s="1287">
        <v>4.1710448326061467E-2</v>
      </c>
      <c r="F589" s="1306">
        <v>2.6587237735615E-3</v>
      </c>
      <c r="G589" s="1303">
        <v>8.3515120625907616E-2</v>
      </c>
      <c r="H589" s="1306">
        <v>1.3971714726528221E-2</v>
      </c>
      <c r="I589" s="1303">
        <v>3.7443248550726401E-3</v>
      </c>
      <c r="J589" s="1306">
        <v>8.8641449209063633E-4</v>
      </c>
      <c r="K589" s="1303">
        <v>2.8444257244572271E-3</v>
      </c>
      <c r="L589" s="1288">
        <v>2.0000018990023651E-3</v>
      </c>
      <c r="M589" s="1305">
        <v>2.0000005733351481E-3</v>
      </c>
      <c r="N589" s="1303">
        <v>2.347573392750495E-2</v>
      </c>
      <c r="O589" s="1288">
        <v>4.6697946318631067E-3</v>
      </c>
      <c r="P589" s="1301">
        <v>3.4488050360820394E-3</v>
      </c>
      <c r="Q589" s="1290">
        <v>3.9136266098235596E-3</v>
      </c>
    </row>
    <row r="590" spans="1:17" s="212" customFormat="1" ht="15.5" x14ac:dyDescent="0.35">
      <c r="A590" s="198">
        <v>2025</v>
      </c>
      <c r="B590" s="197" t="s">
        <v>5838</v>
      </c>
      <c r="C590" s="197">
        <v>2026</v>
      </c>
      <c r="D590" s="225" t="str">
        <f t="shared" si="5"/>
        <v>2025_2026</v>
      </c>
      <c r="E590" s="1291">
        <v>4.1710448326061467E-2</v>
      </c>
      <c r="F590" s="1280">
        <v>2.6587237735615E-3</v>
      </c>
      <c r="G590" s="1271">
        <v>8.3515120625907616E-2</v>
      </c>
      <c r="H590" s="1280">
        <v>1.3971714726528221E-2</v>
      </c>
      <c r="I590" s="1271">
        <v>3.7443248550726401E-3</v>
      </c>
      <c r="J590" s="1280">
        <v>8.8641449209063633E-4</v>
      </c>
      <c r="K590" s="1271">
        <v>2.8444257244572271E-3</v>
      </c>
      <c r="L590" s="1257">
        <v>2.0000018990023651E-3</v>
      </c>
      <c r="M590" s="1230">
        <v>2.0000005733351481E-3</v>
      </c>
      <c r="N590" s="1271">
        <v>2.347573392750495E-2</v>
      </c>
      <c r="O590" s="1257">
        <v>4.6697946318631067E-3</v>
      </c>
      <c r="P590" s="1237">
        <v>3.4488050360820394E-3</v>
      </c>
      <c r="Q590" s="1292">
        <v>3.9136266098235596E-3</v>
      </c>
    </row>
    <row r="591" spans="1:17" s="212" customFormat="1" ht="15.5" x14ac:dyDescent="0.35">
      <c r="A591" s="198">
        <v>2026</v>
      </c>
      <c r="B591" s="197" t="s">
        <v>5838</v>
      </c>
      <c r="C591" s="197">
        <v>1971</v>
      </c>
      <c r="D591" s="225" t="str">
        <f t="shared" si="5"/>
        <v>2026_1971</v>
      </c>
      <c r="E591" s="1291">
        <v>0.30220577827837192</v>
      </c>
      <c r="F591" s="1280">
        <v>2.1806508182436253</v>
      </c>
      <c r="G591" s="1271">
        <v>2.9633825652075281</v>
      </c>
      <c r="H591" s="1280">
        <v>3.5864309923541571</v>
      </c>
      <c r="I591" s="1271">
        <v>0.2385506629970193</v>
      </c>
      <c r="J591" s="1280">
        <v>1.7187836688752799E-2</v>
      </c>
      <c r="K591" s="1271">
        <v>2.3333200221138479E-3</v>
      </c>
      <c r="L591" s="1257">
        <v>2.0000009030956838E-3</v>
      </c>
      <c r="M591" s="1230">
        <v>2.0000009030956838E-3</v>
      </c>
      <c r="N591" s="1271">
        <v>1.1586648886919492E-2</v>
      </c>
      <c r="O591" s="1257">
        <v>1.8757720847447468E-2</v>
      </c>
      <c r="P591" s="1237">
        <v>9.3788604237237342E-3</v>
      </c>
      <c r="Q591" s="1292">
        <v>0.24933686542485467</v>
      </c>
    </row>
    <row r="592" spans="1:17" s="212" customFormat="1" ht="15.5" x14ac:dyDescent="0.35">
      <c r="A592" s="198">
        <v>2026</v>
      </c>
      <c r="B592" s="197" t="s">
        <v>5838</v>
      </c>
      <c r="C592" s="197">
        <v>1972</v>
      </c>
      <c r="D592" s="225" t="str">
        <f t="shared" si="5"/>
        <v>2026_1972</v>
      </c>
      <c r="E592" s="1291">
        <v>0.30220577827837192</v>
      </c>
      <c r="F592" s="1280">
        <v>2.1806508182436253</v>
      </c>
      <c r="G592" s="1271">
        <v>2.9633825652075281</v>
      </c>
      <c r="H592" s="1280">
        <v>3.5864309923541571</v>
      </c>
      <c r="I592" s="1271">
        <v>0.2385506629970193</v>
      </c>
      <c r="J592" s="1280">
        <v>1.7187836688752799E-2</v>
      </c>
      <c r="K592" s="1271">
        <v>2.3333200221138479E-3</v>
      </c>
      <c r="L592" s="1257">
        <v>2.0000009030956838E-3</v>
      </c>
      <c r="M592" s="1230">
        <v>2.0000009030956838E-3</v>
      </c>
      <c r="N592" s="1271">
        <v>1.1586648886919492E-2</v>
      </c>
      <c r="O592" s="1257">
        <v>1.8757720847447468E-2</v>
      </c>
      <c r="P592" s="1237">
        <v>9.3788604237237342E-3</v>
      </c>
      <c r="Q592" s="1292">
        <v>0.24933686542485467</v>
      </c>
    </row>
    <row r="593" spans="1:17" s="212" customFormat="1" ht="15.5" x14ac:dyDescent="0.35">
      <c r="A593" s="198">
        <v>2026</v>
      </c>
      <c r="B593" s="197" t="s">
        <v>5838</v>
      </c>
      <c r="C593" s="197">
        <v>1973</v>
      </c>
      <c r="D593" s="225" t="str">
        <f t="shared" si="5"/>
        <v>2026_1973</v>
      </c>
      <c r="E593" s="1291">
        <v>0.30220577827837192</v>
      </c>
      <c r="F593" s="1280">
        <v>2.1806508182436253</v>
      </c>
      <c r="G593" s="1271">
        <v>2.9633825652075281</v>
      </c>
      <c r="H593" s="1280">
        <v>3.5864309923541571</v>
      </c>
      <c r="I593" s="1271">
        <v>0.2385506629970193</v>
      </c>
      <c r="J593" s="1280">
        <v>1.7187836688752799E-2</v>
      </c>
      <c r="K593" s="1271">
        <v>2.3333200221138479E-3</v>
      </c>
      <c r="L593" s="1257">
        <v>2.0000009030956838E-3</v>
      </c>
      <c r="M593" s="1230">
        <v>2.0000009030956838E-3</v>
      </c>
      <c r="N593" s="1271">
        <v>1.1586648886919492E-2</v>
      </c>
      <c r="O593" s="1257">
        <v>1.8757720847447468E-2</v>
      </c>
      <c r="P593" s="1237">
        <v>9.3788604237237342E-3</v>
      </c>
      <c r="Q593" s="1292">
        <v>0.24933686542485467</v>
      </c>
    </row>
    <row r="594" spans="1:17" s="212" customFormat="1" ht="15.5" x14ac:dyDescent="0.35">
      <c r="A594" s="198">
        <v>2026</v>
      </c>
      <c r="B594" s="197" t="s">
        <v>5838</v>
      </c>
      <c r="C594" s="197">
        <v>1974</v>
      </c>
      <c r="D594" s="225" t="str">
        <f t="shared" si="5"/>
        <v>2026_1974</v>
      </c>
      <c r="E594" s="1291">
        <v>0.30220577827837192</v>
      </c>
      <c r="F594" s="1280">
        <v>2.1806508182436253</v>
      </c>
      <c r="G594" s="1271">
        <v>2.9633825652075281</v>
      </c>
      <c r="H594" s="1280">
        <v>3.5864309923541571</v>
      </c>
      <c r="I594" s="1271">
        <v>0.2385506629970193</v>
      </c>
      <c r="J594" s="1280">
        <v>1.7187836688752799E-2</v>
      </c>
      <c r="K594" s="1271">
        <v>2.3333200221138479E-3</v>
      </c>
      <c r="L594" s="1257">
        <v>2.0000009030956838E-3</v>
      </c>
      <c r="M594" s="1230">
        <v>2.0000009030956838E-3</v>
      </c>
      <c r="N594" s="1271">
        <v>1.1586648886919492E-2</v>
      </c>
      <c r="O594" s="1257">
        <v>1.8757720847447468E-2</v>
      </c>
      <c r="P594" s="1237">
        <v>9.3788604237237342E-3</v>
      </c>
      <c r="Q594" s="1292">
        <v>0.24933686542485467</v>
      </c>
    </row>
    <row r="595" spans="1:17" s="212" customFormat="1" ht="15.5" x14ac:dyDescent="0.35">
      <c r="A595" s="198">
        <v>2026</v>
      </c>
      <c r="B595" s="197" t="s">
        <v>5838</v>
      </c>
      <c r="C595" s="197">
        <v>1975</v>
      </c>
      <c r="D595" s="225" t="str">
        <f t="shared" si="5"/>
        <v>2026_1975</v>
      </c>
      <c r="E595" s="1291">
        <v>0.30220577827837192</v>
      </c>
      <c r="F595" s="1280">
        <v>2.1806508182436253</v>
      </c>
      <c r="G595" s="1271">
        <v>2.9633825652075281</v>
      </c>
      <c r="H595" s="1280">
        <v>3.5864309923541571</v>
      </c>
      <c r="I595" s="1271">
        <v>0.2385506629970193</v>
      </c>
      <c r="J595" s="1280">
        <v>1.7187836688752799E-2</v>
      </c>
      <c r="K595" s="1271">
        <v>2.3333200221138479E-3</v>
      </c>
      <c r="L595" s="1257">
        <v>2.0000009030956838E-3</v>
      </c>
      <c r="M595" s="1230">
        <v>2.0000009030956838E-3</v>
      </c>
      <c r="N595" s="1271">
        <v>1.1586648886919492E-2</v>
      </c>
      <c r="O595" s="1257">
        <v>1.8757720847447468E-2</v>
      </c>
      <c r="P595" s="1237">
        <v>9.3788604237237342E-3</v>
      </c>
      <c r="Q595" s="1292">
        <v>0.24933686542485467</v>
      </c>
    </row>
    <row r="596" spans="1:17" s="212" customFormat="1" ht="15.5" x14ac:dyDescent="0.35">
      <c r="A596" s="198">
        <v>2026</v>
      </c>
      <c r="B596" s="197" t="s">
        <v>5838</v>
      </c>
      <c r="C596" s="197">
        <v>1976</v>
      </c>
      <c r="D596" s="225" t="str">
        <f t="shared" ref="D596:D670" si="6">CONCATENATE(A596,"_",C596)</f>
        <v>2026_1976</v>
      </c>
      <c r="E596" s="1291">
        <v>0.30220577827837192</v>
      </c>
      <c r="F596" s="1280">
        <v>2.1806508182436253</v>
      </c>
      <c r="G596" s="1271">
        <v>2.9633825652075281</v>
      </c>
      <c r="H596" s="1280">
        <v>3.5864309923541571</v>
      </c>
      <c r="I596" s="1271">
        <v>0.2385506629970193</v>
      </c>
      <c r="J596" s="1280">
        <v>1.7187836688752799E-2</v>
      </c>
      <c r="K596" s="1271">
        <v>2.3333200221138479E-3</v>
      </c>
      <c r="L596" s="1257">
        <v>2.0000009030956838E-3</v>
      </c>
      <c r="M596" s="1230">
        <v>2.0000009030956838E-3</v>
      </c>
      <c r="N596" s="1271">
        <v>1.1586648886919492E-2</v>
      </c>
      <c r="O596" s="1257">
        <v>1.8757720847447468E-2</v>
      </c>
      <c r="P596" s="1237">
        <v>9.3788604237237342E-3</v>
      </c>
      <c r="Q596" s="1292">
        <v>0.24933686542485467</v>
      </c>
    </row>
    <row r="597" spans="1:17" s="212" customFormat="1" ht="15.5" x14ac:dyDescent="0.35">
      <c r="A597" s="198">
        <v>2026</v>
      </c>
      <c r="B597" s="197" t="s">
        <v>5838</v>
      </c>
      <c r="C597" s="197">
        <v>1977</v>
      </c>
      <c r="D597" s="225" t="str">
        <f t="shared" si="6"/>
        <v>2026_1977</v>
      </c>
      <c r="E597" s="1291">
        <v>0.30220577827837192</v>
      </c>
      <c r="F597" s="1280">
        <v>2.1806508182436253</v>
      </c>
      <c r="G597" s="1271">
        <v>2.9633825652075281</v>
      </c>
      <c r="H597" s="1280">
        <v>3.5864309923541571</v>
      </c>
      <c r="I597" s="1271">
        <v>0.2385506629970193</v>
      </c>
      <c r="J597" s="1280">
        <v>1.7187836688752799E-2</v>
      </c>
      <c r="K597" s="1271">
        <v>2.3333200221138479E-3</v>
      </c>
      <c r="L597" s="1257">
        <v>2.0000009030956838E-3</v>
      </c>
      <c r="M597" s="1230">
        <v>2.0000009030956838E-3</v>
      </c>
      <c r="N597" s="1271">
        <v>1.1586648886919492E-2</v>
      </c>
      <c r="O597" s="1257">
        <v>1.8757720847447468E-2</v>
      </c>
      <c r="P597" s="1237">
        <v>9.3788604237237342E-3</v>
      </c>
      <c r="Q597" s="1292">
        <v>0.24933686542485467</v>
      </c>
    </row>
    <row r="598" spans="1:17" s="212" customFormat="1" ht="15.5" x14ac:dyDescent="0.35">
      <c r="A598" s="198">
        <v>2026</v>
      </c>
      <c r="B598" s="197" t="s">
        <v>5838</v>
      </c>
      <c r="C598" s="197">
        <v>1978</v>
      </c>
      <c r="D598" s="225" t="str">
        <f t="shared" si="6"/>
        <v>2026_1978</v>
      </c>
      <c r="E598" s="1291">
        <v>0.30220577827837192</v>
      </c>
      <c r="F598" s="1280">
        <v>2.1806508182436253</v>
      </c>
      <c r="G598" s="1271">
        <v>2.9633825652075281</v>
      </c>
      <c r="H598" s="1280">
        <v>3.5864309923541571</v>
      </c>
      <c r="I598" s="1271">
        <v>0.2385506629970193</v>
      </c>
      <c r="J598" s="1280">
        <v>1.7187836688752799E-2</v>
      </c>
      <c r="K598" s="1271">
        <v>2.3333200221138479E-3</v>
      </c>
      <c r="L598" s="1257">
        <v>2.0000009030956838E-3</v>
      </c>
      <c r="M598" s="1230">
        <v>2.0000009030956838E-3</v>
      </c>
      <c r="N598" s="1271">
        <v>1.1586648886919492E-2</v>
      </c>
      <c r="O598" s="1257">
        <v>1.8757720847447468E-2</v>
      </c>
      <c r="P598" s="1237">
        <v>9.3788604237237342E-3</v>
      </c>
      <c r="Q598" s="1292">
        <v>0.24933686542485467</v>
      </c>
    </row>
    <row r="599" spans="1:17" s="212" customFormat="1" ht="15.5" x14ac:dyDescent="0.35">
      <c r="A599" s="198">
        <v>2026</v>
      </c>
      <c r="B599" s="197" t="s">
        <v>5838</v>
      </c>
      <c r="C599" s="197">
        <v>1979</v>
      </c>
      <c r="D599" s="225" t="str">
        <f t="shared" si="6"/>
        <v>2026_1979</v>
      </c>
      <c r="E599" s="1291">
        <v>0.30220577827837192</v>
      </c>
      <c r="F599" s="1280">
        <v>2.1806508182436253</v>
      </c>
      <c r="G599" s="1271">
        <v>2.9633825652075281</v>
      </c>
      <c r="H599" s="1280">
        <v>3.5864309923541571</v>
      </c>
      <c r="I599" s="1271">
        <v>0.2385506629970193</v>
      </c>
      <c r="J599" s="1280">
        <v>1.7187836688752799E-2</v>
      </c>
      <c r="K599" s="1271">
        <v>2.3333200221138479E-3</v>
      </c>
      <c r="L599" s="1257">
        <v>2.0000009030956838E-3</v>
      </c>
      <c r="M599" s="1230">
        <v>2.0000009030956838E-3</v>
      </c>
      <c r="N599" s="1271">
        <v>1.1586648886919492E-2</v>
      </c>
      <c r="O599" s="1257">
        <v>1.8757720847447468E-2</v>
      </c>
      <c r="P599" s="1237">
        <v>9.3788604237237342E-3</v>
      </c>
      <c r="Q599" s="1292">
        <v>0.24933686542485467</v>
      </c>
    </row>
    <row r="600" spans="1:17" s="212" customFormat="1" ht="15.5" x14ac:dyDescent="0.35">
      <c r="A600" s="198">
        <v>2026</v>
      </c>
      <c r="B600" s="197" t="s">
        <v>5838</v>
      </c>
      <c r="C600" s="197">
        <v>1980</v>
      </c>
      <c r="D600" s="225" t="str">
        <f t="shared" si="6"/>
        <v>2026_1980</v>
      </c>
      <c r="E600" s="1291">
        <v>0.30220577827837192</v>
      </c>
      <c r="F600" s="1280">
        <v>2.1806508182436253</v>
      </c>
      <c r="G600" s="1271">
        <v>2.9633825652075281</v>
      </c>
      <c r="H600" s="1280">
        <v>3.5864309923541571</v>
      </c>
      <c r="I600" s="1271">
        <v>0.2385506629970193</v>
      </c>
      <c r="J600" s="1280">
        <v>1.7187836688752799E-2</v>
      </c>
      <c r="K600" s="1271">
        <v>2.3333200221138479E-3</v>
      </c>
      <c r="L600" s="1257">
        <v>2.0000009030956838E-3</v>
      </c>
      <c r="M600" s="1230">
        <v>2.0000009030956838E-3</v>
      </c>
      <c r="N600" s="1271">
        <v>1.1586648886919492E-2</v>
      </c>
      <c r="O600" s="1257">
        <v>1.8757720847447468E-2</v>
      </c>
      <c r="P600" s="1237">
        <v>9.3788604237237342E-3</v>
      </c>
      <c r="Q600" s="1292">
        <v>0.24933686542485467</v>
      </c>
    </row>
    <row r="601" spans="1:17" s="212" customFormat="1" ht="15.5" x14ac:dyDescent="0.35">
      <c r="A601" s="198">
        <v>2026</v>
      </c>
      <c r="B601" s="197" t="s">
        <v>5838</v>
      </c>
      <c r="C601" s="197">
        <v>1981</v>
      </c>
      <c r="D601" s="225" t="str">
        <f t="shared" si="6"/>
        <v>2026_1981</v>
      </c>
      <c r="E601" s="1291">
        <v>0.30220577827837192</v>
      </c>
      <c r="F601" s="1280">
        <v>2.1806508182436253</v>
      </c>
      <c r="G601" s="1271">
        <v>2.9633825652075281</v>
      </c>
      <c r="H601" s="1280">
        <v>3.5864309923541571</v>
      </c>
      <c r="I601" s="1271">
        <v>0.2385506629970193</v>
      </c>
      <c r="J601" s="1280">
        <v>1.7187836688752799E-2</v>
      </c>
      <c r="K601" s="1271">
        <v>2.3333200221138479E-3</v>
      </c>
      <c r="L601" s="1257">
        <v>2.0000009030956838E-3</v>
      </c>
      <c r="M601" s="1230">
        <v>2.0000009030956838E-3</v>
      </c>
      <c r="N601" s="1271">
        <v>1.1586648886919492E-2</v>
      </c>
      <c r="O601" s="1257">
        <v>1.8757720847447468E-2</v>
      </c>
      <c r="P601" s="1237">
        <v>9.3788604237237342E-3</v>
      </c>
      <c r="Q601" s="1292">
        <v>0.24933686542485467</v>
      </c>
    </row>
    <row r="602" spans="1:17" s="212" customFormat="1" ht="15.5" x14ac:dyDescent="0.35">
      <c r="A602" s="198">
        <v>2026</v>
      </c>
      <c r="B602" s="197" t="s">
        <v>5838</v>
      </c>
      <c r="C602" s="197">
        <v>1982</v>
      </c>
      <c r="D602" s="225" t="str">
        <f t="shared" si="6"/>
        <v>2026_1982</v>
      </c>
      <c r="E602" s="1287">
        <v>0.30220577827837192</v>
      </c>
      <c r="F602" s="1306">
        <v>2.1806508182436253</v>
      </c>
      <c r="G602" s="1303">
        <v>2.9633825652075281</v>
      </c>
      <c r="H602" s="1306">
        <v>3.5864309923541571</v>
      </c>
      <c r="I602" s="1303">
        <v>0.2385506629970193</v>
      </c>
      <c r="J602" s="1306">
        <v>1.7187836688752799E-2</v>
      </c>
      <c r="K602" s="1303">
        <v>2.3333200221138479E-3</v>
      </c>
      <c r="L602" s="1288">
        <v>2.0000009030956838E-3</v>
      </c>
      <c r="M602" s="1230">
        <v>2.0000009030956838E-3</v>
      </c>
      <c r="N602" s="1303">
        <v>1.1586648886919492E-2</v>
      </c>
      <c r="O602" s="1288">
        <v>1.8757720847447468E-2</v>
      </c>
      <c r="P602" s="1237">
        <v>9.3788604237237342E-3</v>
      </c>
      <c r="Q602" s="1290">
        <v>0.24933686542485467</v>
      </c>
    </row>
    <row r="603" spans="1:17" s="212" customFormat="1" ht="15.5" x14ac:dyDescent="0.35">
      <c r="A603" s="198">
        <v>2026</v>
      </c>
      <c r="B603" s="197" t="s">
        <v>5838</v>
      </c>
      <c r="C603" s="197">
        <v>1983</v>
      </c>
      <c r="D603" s="225" t="str">
        <f t="shared" si="6"/>
        <v>2026_1983</v>
      </c>
      <c r="E603" s="1287">
        <v>0.21069827846409719</v>
      </c>
      <c r="F603" s="1306">
        <v>1.8100786011475234</v>
      </c>
      <c r="G603" s="1303">
        <v>2.9665479954296816</v>
      </c>
      <c r="H603" s="1306">
        <v>3.4819564066540574</v>
      </c>
      <c r="I603" s="1303">
        <v>0.21958408003327543</v>
      </c>
      <c r="J603" s="1306">
        <v>1.7060897636531527E-2</v>
      </c>
      <c r="K603" s="1303">
        <v>2.3926345607035017E-3</v>
      </c>
      <c r="L603" s="1288">
        <v>2.0000008835009361E-3</v>
      </c>
      <c r="M603" s="1230">
        <v>2.0000008835009361E-3</v>
      </c>
      <c r="N603" s="1303">
        <v>1.3023392590470828E-2</v>
      </c>
      <c r="O603" s="1288">
        <v>1.6498563593005274E-2</v>
      </c>
      <c r="P603" s="1237">
        <v>8.2492817965026371E-3</v>
      </c>
      <c r="Q603" s="1290">
        <v>0.22951269774245595</v>
      </c>
    </row>
    <row r="604" spans="1:17" s="212" customFormat="1" ht="15.5" x14ac:dyDescent="0.35">
      <c r="A604" s="198">
        <v>2026</v>
      </c>
      <c r="B604" s="197" t="s">
        <v>5838</v>
      </c>
      <c r="C604" s="197">
        <v>1984</v>
      </c>
      <c r="D604" s="225" t="str">
        <f t="shared" si="6"/>
        <v>2026_1984</v>
      </c>
      <c r="E604" s="1287">
        <v>0.27625830728696615</v>
      </c>
      <c r="F604" s="1306">
        <v>1.3978683922006223</v>
      </c>
      <c r="G604" s="1303">
        <v>3.53160454331391</v>
      </c>
      <c r="H604" s="1306">
        <v>3.4398002262653842</v>
      </c>
      <c r="I604" s="1303">
        <v>0.18924676674494462</v>
      </c>
      <c r="J604" s="1306">
        <v>1.7554663661596127E-2</v>
      </c>
      <c r="K604" s="1303">
        <v>2.578891719863708E-3</v>
      </c>
      <c r="L604" s="1288">
        <v>2.000000831299619E-3</v>
      </c>
      <c r="M604" s="1230">
        <v>2.000000831299619E-3</v>
      </c>
      <c r="N604" s="1303">
        <v>1.7370493411453823E-2</v>
      </c>
      <c r="O604" s="1288">
        <v>1.6954981664642203E-2</v>
      </c>
      <c r="P604" s="1237">
        <v>8.4774908323211016E-3</v>
      </c>
      <c r="Q604" s="1290">
        <v>0.19780366576706074</v>
      </c>
    </row>
    <row r="605" spans="1:17" s="212" customFormat="1" ht="15.5" x14ac:dyDescent="0.35">
      <c r="A605" s="198">
        <v>2026</v>
      </c>
      <c r="B605" s="197" t="s">
        <v>5838</v>
      </c>
      <c r="C605" s="197">
        <v>1985</v>
      </c>
      <c r="D605" s="225" t="str">
        <f t="shared" si="6"/>
        <v>2026_1985</v>
      </c>
      <c r="E605" s="1287">
        <v>0.25978259654486457</v>
      </c>
      <c r="F605" s="1306">
        <v>1.3684046502047369</v>
      </c>
      <c r="G605" s="1303">
        <v>4.1673604952186238</v>
      </c>
      <c r="H605" s="1306">
        <v>3.1096333908071121</v>
      </c>
      <c r="I605" s="1303">
        <v>0.18439064543536726</v>
      </c>
      <c r="J605" s="1306">
        <v>1.6330889089351316E-2</v>
      </c>
      <c r="K605" s="1303">
        <v>2.7484894518083705E-3</v>
      </c>
      <c r="L605" s="1288">
        <v>2.000000931240736E-3</v>
      </c>
      <c r="M605" s="1230">
        <v>2.000000931240736E-3</v>
      </c>
      <c r="N605" s="1303">
        <v>2.1402072678511862E-2</v>
      </c>
      <c r="O605" s="1288">
        <v>1.6881004097851374E-2</v>
      </c>
      <c r="P605" s="1237">
        <v>8.4405020489256872E-3</v>
      </c>
      <c r="Q605" s="1290">
        <v>0.1927279722005841</v>
      </c>
    </row>
    <row r="606" spans="1:17" s="212" customFormat="1" ht="15.5" x14ac:dyDescent="0.35">
      <c r="A606" s="198">
        <v>2026</v>
      </c>
      <c r="B606" s="197" t="s">
        <v>5838</v>
      </c>
      <c r="C606" s="197">
        <v>1986</v>
      </c>
      <c r="D606" s="225" t="str">
        <f t="shared" si="6"/>
        <v>2026_1986</v>
      </c>
      <c r="E606" s="1287">
        <v>0.25393899538516246</v>
      </c>
      <c r="F606" s="1306">
        <v>1.0901949762843455</v>
      </c>
      <c r="G606" s="1303">
        <v>4.423638568325055</v>
      </c>
      <c r="H606" s="1306">
        <v>3.1879827091450874</v>
      </c>
      <c r="I606" s="1303">
        <v>0.18325026364997246</v>
      </c>
      <c r="J606" s="1306">
        <v>1.6509208290326302E-2</v>
      </c>
      <c r="K606" s="1303">
        <v>2.8218897616999524E-3</v>
      </c>
      <c r="L606" s="1288">
        <v>2.0000009218270332E-3</v>
      </c>
      <c r="M606" s="1230">
        <v>2.0000009218270332E-3</v>
      </c>
      <c r="N606" s="1303">
        <v>2.3115410733289009E-2</v>
      </c>
      <c r="O606" s="1288">
        <v>1.6039779322018222E-2</v>
      </c>
      <c r="P606" s="1237">
        <v>8.0198896610091108E-3</v>
      </c>
      <c r="Q606" s="1290">
        <v>0.19153602741122244</v>
      </c>
    </row>
    <row r="607" spans="1:17" s="212" customFormat="1" ht="15.5" x14ac:dyDescent="0.35">
      <c r="A607" s="198">
        <v>2026</v>
      </c>
      <c r="B607" s="197" t="s">
        <v>5838</v>
      </c>
      <c r="C607" s="197">
        <v>1987</v>
      </c>
      <c r="D607" s="225" t="str">
        <f t="shared" si="6"/>
        <v>2026_1987</v>
      </c>
      <c r="E607" s="1287">
        <v>0.29594108258278828</v>
      </c>
      <c r="F607" s="1306">
        <v>1.1906914687199655</v>
      </c>
      <c r="G607" s="1303">
        <v>5.0162687858288679</v>
      </c>
      <c r="H607" s="1306">
        <v>3.068357988918565</v>
      </c>
      <c r="I607" s="1303">
        <v>0.20050130563037533</v>
      </c>
      <c r="J607" s="1306">
        <v>1.6816473668788377E-2</v>
      </c>
      <c r="K607" s="1303">
        <v>2.9503235576205061E-3</v>
      </c>
      <c r="L607" s="1288">
        <v>2.0000010495024459E-3</v>
      </c>
      <c r="M607" s="1230">
        <v>2.0000010495024459E-3</v>
      </c>
      <c r="N607" s="1303">
        <v>2.6134593867798383E-2</v>
      </c>
      <c r="O607" s="1288">
        <v>1.4153785114596067E-2</v>
      </c>
      <c r="P607" s="1237">
        <v>7.0768925572980337E-3</v>
      </c>
      <c r="Q607" s="1290">
        <v>0.2095670849596144</v>
      </c>
    </row>
    <row r="608" spans="1:17" s="212" customFormat="1" ht="15.5" x14ac:dyDescent="0.35">
      <c r="A608" s="198">
        <v>2026</v>
      </c>
      <c r="B608" s="197" t="s">
        <v>5838</v>
      </c>
      <c r="C608" s="197">
        <v>1988</v>
      </c>
      <c r="D608" s="225" t="str">
        <f t="shared" si="6"/>
        <v>2026_1988</v>
      </c>
      <c r="E608" s="1287">
        <v>0.29370014273505357</v>
      </c>
      <c r="F608" s="1306">
        <v>0.50134947449427636</v>
      </c>
      <c r="G608" s="1303">
        <v>5.0833109801636107</v>
      </c>
      <c r="H608" s="1306">
        <v>1.6676779643757249</v>
      </c>
      <c r="I608" s="1303">
        <v>0.19925277584619694</v>
      </c>
      <c r="J608" s="1306">
        <v>1.6174779264339974E-2</v>
      </c>
      <c r="K608" s="1303">
        <v>2.9637985156983453E-3</v>
      </c>
      <c r="L608" s="1288">
        <v>2.0000010692459227E-3</v>
      </c>
      <c r="M608" s="1230">
        <v>2.0000010692459227E-3</v>
      </c>
      <c r="N608" s="1303">
        <v>2.6456142120045458E-2</v>
      </c>
      <c r="O608" s="1288">
        <v>1.3941735659134261E-2</v>
      </c>
      <c r="P608" s="1237">
        <v>6.9708678295671306E-3</v>
      </c>
      <c r="Q608" s="1290">
        <v>0.20826210219886498</v>
      </c>
    </row>
    <row r="609" spans="1:17" s="212" customFormat="1" ht="15.5" x14ac:dyDescent="0.35">
      <c r="A609" s="198">
        <v>2026</v>
      </c>
      <c r="B609" s="197" t="s">
        <v>5838</v>
      </c>
      <c r="C609" s="197">
        <v>1989</v>
      </c>
      <c r="D609" s="225" t="str">
        <f t="shared" si="6"/>
        <v>2026_1989</v>
      </c>
      <c r="E609" s="1287">
        <v>0.29679385513434065</v>
      </c>
      <c r="F609" s="1306">
        <v>0.44450722881029137</v>
      </c>
      <c r="G609" s="1303">
        <v>4.9796717016309202</v>
      </c>
      <c r="H609" s="1306">
        <v>1.8869018922050911</v>
      </c>
      <c r="I609" s="1303">
        <v>0.20090591088249923</v>
      </c>
      <c r="J609" s="1306">
        <v>1.6324428970121721E-2</v>
      </c>
      <c r="K609" s="1303">
        <v>2.9416128588753221E-3</v>
      </c>
      <c r="L609" s="1288">
        <v>2.0000011267716118E-3</v>
      </c>
      <c r="M609" s="1230">
        <v>2.0000011267716118E-3</v>
      </c>
      <c r="N609" s="1303">
        <v>2.5934339364671991E-2</v>
      </c>
      <c r="O609" s="1288">
        <v>1.2889346932640261E-2</v>
      </c>
      <c r="P609" s="1237">
        <v>6.4446734663201307E-3</v>
      </c>
      <c r="Q609" s="1290">
        <v>0.20998998466583019</v>
      </c>
    </row>
    <row r="610" spans="1:17" s="212" customFormat="1" ht="15.5" x14ac:dyDescent="0.35">
      <c r="A610" s="198">
        <v>2026</v>
      </c>
      <c r="B610" s="197" t="s">
        <v>5838</v>
      </c>
      <c r="C610" s="197">
        <v>1990</v>
      </c>
      <c r="D610" s="225" t="str">
        <f t="shared" si="6"/>
        <v>2026_1990</v>
      </c>
      <c r="E610" s="1287">
        <v>0.29833291092328074</v>
      </c>
      <c r="F610" s="1306">
        <v>0.48619054757226721</v>
      </c>
      <c r="G610" s="1303">
        <v>5.0048452264298824</v>
      </c>
      <c r="H610" s="1306">
        <v>1.8645761563908976</v>
      </c>
      <c r="I610" s="1303">
        <v>0.20225382359209071</v>
      </c>
      <c r="J610" s="1306">
        <v>1.6466315556062993E-2</v>
      </c>
      <c r="K610" s="1303">
        <v>2.9561659179575613E-3</v>
      </c>
      <c r="L610" s="1288">
        <v>2.0000010808313659E-3</v>
      </c>
      <c r="M610" s="1230">
        <v>2.0000010808313659E-3</v>
      </c>
      <c r="N610" s="1303">
        <v>2.6273620610764832E-2</v>
      </c>
      <c r="O610" s="1288">
        <v>1.2489415403407455E-2</v>
      </c>
      <c r="P610" s="1237">
        <v>6.2447077017037276E-3</v>
      </c>
      <c r="Q610" s="1290">
        <v>0.21139884400687556</v>
      </c>
    </row>
    <row r="611" spans="1:17" s="212" customFormat="1" ht="15.5" x14ac:dyDescent="0.35">
      <c r="A611" s="198">
        <v>2026</v>
      </c>
      <c r="B611" s="197" t="s">
        <v>5838</v>
      </c>
      <c r="C611" s="197">
        <v>1991</v>
      </c>
      <c r="D611" s="225" t="str">
        <f t="shared" si="6"/>
        <v>2026_1991</v>
      </c>
      <c r="E611" s="1287">
        <v>0.37892180913988271</v>
      </c>
      <c r="F611" s="1306">
        <v>0.49777299957025045</v>
      </c>
      <c r="G611" s="1303">
        <v>8.9563799062318452</v>
      </c>
      <c r="H611" s="1306">
        <v>2.3152667176864505</v>
      </c>
      <c r="I611" s="1303">
        <v>5.7711874982744556E-2</v>
      </c>
      <c r="J611" s="1306">
        <v>9.1979405843638055E-3</v>
      </c>
      <c r="K611" s="1303">
        <v>2.9753918494192944E-3</v>
      </c>
      <c r="L611" s="1288">
        <v>2.0000011082620711E-3</v>
      </c>
      <c r="M611" s="1230">
        <v>2.0000011082620711E-3</v>
      </c>
      <c r="N611" s="1303">
        <v>2.6720431605223114E-2</v>
      </c>
      <c r="O611" s="1288">
        <v>1.1747279294650269E-2</v>
      </c>
      <c r="P611" s="1237">
        <v>5.8736396473251344E-3</v>
      </c>
      <c r="Q611" s="1290">
        <v>6.0321349876811807E-2</v>
      </c>
    </row>
    <row r="612" spans="1:17" s="212" customFormat="1" ht="15.5" x14ac:dyDescent="0.35">
      <c r="A612" s="198">
        <v>2026</v>
      </c>
      <c r="B612" s="197" t="s">
        <v>5838</v>
      </c>
      <c r="C612" s="197">
        <v>1992</v>
      </c>
      <c r="D612" s="225" t="str">
        <f t="shared" si="6"/>
        <v>2026_1992</v>
      </c>
      <c r="E612" s="1287">
        <v>0.37953121518105049</v>
      </c>
      <c r="F612" s="1306">
        <v>0.49825457099338505</v>
      </c>
      <c r="G612" s="1303">
        <v>8.6810557468546179</v>
      </c>
      <c r="H612" s="1306">
        <v>2.2215864686242388</v>
      </c>
      <c r="I612" s="1303">
        <v>6.2848923716675067E-2</v>
      </c>
      <c r="J612" s="1306">
        <v>9.3605570200402128E-3</v>
      </c>
      <c r="K612" s="1303">
        <v>2.9440946960736149E-3</v>
      </c>
      <c r="L612" s="1288">
        <v>2.0000011462259146E-3</v>
      </c>
      <c r="M612" s="1230">
        <v>2.0000011462259146E-3</v>
      </c>
      <c r="N612" s="1303">
        <v>2.5984143577290612E-2</v>
      </c>
      <c r="O612" s="1288">
        <v>9.9123341966126082E-3</v>
      </c>
      <c r="P612" s="1237">
        <v>4.9561670983063041E-3</v>
      </c>
      <c r="Q612" s="1290">
        <v>6.5690673159174637E-2</v>
      </c>
    </row>
    <row r="613" spans="1:17" s="212" customFormat="1" ht="15.5" x14ac:dyDescent="0.35">
      <c r="A613" s="198">
        <v>2026</v>
      </c>
      <c r="B613" s="197" t="s">
        <v>5838</v>
      </c>
      <c r="C613" s="197">
        <v>1993</v>
      </c>
      <c r="D613" s="225" t="str">
        <f t="shared" si="6"/>
        <v>2026_1993</v>
      </c>
      <c r="E613" s="1287">
        <v>0.37833377271992019</v>
      </c>
      <c r="F613" s="1306">
        <v>0.50244372608717336</v>
      </c>
      <c r="G613" s="1303">
        <v>9.01703167372977</v>
      </c>
      <c r="H613" s="1306">
        <v>2.2482681610879816</v>
      </c>
      <c r="I613" s="1303">
        <v>5.4138580592290479E-2</v>
      </c>
      <c r="J613" s="1306">
        <v>9.3683781294976436E-3</v>
      </c>
      <c r="K613" s="1303">
        <v>2.9868889153140976E-3</v>
      </c>
      <c r="L613" s="1288">
        <v>2.0000011240169269E-3</v>
      </c>
      <c r="M613" s="1230">
        <v>2.0000011240169269E-3</v>
      </c>
      <c r="N613" s="1303">
        <v>2.6992243093724565E-2</v>
      </c>
      <c r="O613" s="1288">
        <v>1.099891481460533E-2</v>
      </c>
      <c r="P613" s="1237">
        <v>5.4994574073026648E-3</v>
      </c>
      <c r="Q613" s="1290">
        <v>5.6586486970280465E-2</v>
      </c>
    </row>
    <row r="614" spans="1:17" s="212" customFormat="1" ht="15.5" x14ac:dyDescent="0.35">
      <c r="A614" s="198">
        <v>2026</v>
      </c>
      <c r="B614" s="197" t="s">
        <v>5838</v>
      </c>
      <c r="C614" s="197">
        <v>1994</v>
      </c>
      <c r="D614" s="225" t="str">
        <f t="shared" si="6"/>
        <v>2026_1994</v>
      </c>
      <c r="E614" s="1287">
        <v>0.3603338251984915</v>
      </c>
      <c r="F614" s="1306">
        <v>0.50101459567056239</v>
      </c>
      <c r="G614" s="1303">
        <v>8.6318845077451947</v>
      </c>
      <c r="H614" s="1306">
        <v>2.1036206490201366</v>
      </c>
      <c r="I614" s="1303">
        <v>5.4257258954479408E-2</v>
      </c>
      <c r="J614" s="1306">
        <v>9.5670975803274494E-3</v>
      </c>
      <c r="K614" s="1303">
        <v>2.9311305602082401E-3</v>
      </c>
      <c r="L614" s="1288">
        <v>2.0000013036069078E-3</v>
      </c>
      <c r="M614" s="1230">
        <v>2.0000013036069078E-3</v>
      </c>
      <c r="N614" s="1303">
        <v>2.5674509702960584E-2</v>
      </c>
      <c r="O614" s="1288">
        <v>8.1224021765242006E-3</v>
      </c>
      <c r="P614" s="1237">
        <v>4.0612010882621003E-3</v>
      </c>
      <c r="Q614" s="1290">
        <v>5.6710531441380135E-2</v>
      </c>
    </row>
    <row r="615" spans="1:17" s="212" customFormat="1" ht="15.5" x14ac:dyDescent="0.35">
      <c r="A615" s="198">
        <v>2026</v>
      </c>
      <c r="B615" s="197" t="s">
        <v>5838</v>
      </c>
      <c r="C615" s="197">
        <v>1995</v>
      </c>
      <c r="D615" s="225" t="str">
        <f t="shared" si="6"/>
        <v>2026_1995</v>
      </c>
      <c r="E615" s="1287">
        <v>0.37278297730703497</v>
      </c>
      <c r="F615" s="1306">
        <v>0.37065780974281626</v>
      </c>
      <c r="G615" s="1303">
        <v>9.1563510305931892</v>
      </c>
      <c r="H615" s="1306">
        <v>1.6541900346224556</v>
      </c>
      <c r="I615" s="1303">
        <v>5.3752422176688783E-2</v>
      </c>
      <c r="J615" s="1306">
        <v>8.5718400943015256E-3</v>
      </c>
      <c r="K615" s="1303">
        <v>2.9904512815141357E-3</v>
      </c>
      <c r="L615" s="1288">
        <v>2.0000011891559886E-3</v>
      </c>
      <c r="M615" s="1230">
        <v>2.0000011891559886E-3</v>
      </c>
      <c r="N615" s="1303">
        <v>2.7076147025323401E-2</v>
      </c>
      <c r="O615" s="1288">
        <v>1.0459406138285528E-2</v>
      </c>
      <c r="P615" s="1237">
        <v>5.229703069142764E-3</v>
      </c>
      <c r="Q615" s="1290">
        <v>5.6182868184677916E-2</v>
      </c>
    </row>
    <row r="616" spans="1:17" s="212" customFormat="1" ht="15.5" x14ac:dyDescent="0.35">
      <c r="A616" s="198">
        <v>2026</v>
      </c>
      <c r="B616" s="197" t="s">
        <v>5838</v>
      </c>
      <c r="C616" s="197">
        <v>1996</v>
      </c>
      <c r="D616" s="225" t="str">
        <f t="shared" si="6"/>
        <v>2026_1996</v>
      </c>
      <c r="E616" s="1287">
        <v>0.37567713297045474</v>
      </c>
      <c r="F616" s="1306">
        <v>0.12472130622728185</v>
      </c>
      <c r="G616" s="1303">
        <v>9.1612298046564007</v>
      </c>
      <c r="H616" s="1306">
        <v>0.97720469109770591</v>
      </c>
      <c r="I616" s="1303">
        <v>5.3995927728800963E-2</v>
      </c>
      <c r="J616" s="1306">
        <v>2.6838089442309527E-3</v>
      </c>
      <c r="K616" s="1303">
        <v>2.9947746239307941E-3</v>
      </c>
      <c r="L616" s="1288">
        <v>2.0000011755351762E-3</v>
      </c>
      <c r="M616" s="1230">
        <v>2.0000011755351762E-3</v>
      </c>
      <c r="N616" s="1303">
        <v>2.7176704697172656E-2</v>
      </c>
      <c r="O616" s="1288">
        <v>1.0393168565910415E-2</v>
      </c>
      <c r="P616" s="1237">
        <v>5.1965842829552076E-3</v>
      </c>
      <c r="Q616" s="1290">
        <v>5.6437383977316673E-2</v>
      </c>
    </row>
    <row r="617" spans="1:17" s="212" customFormat="1" ht="15.5" x14ac:dyDescent="0.35">
      <c r="A617" s="198">
        <v>2026</v>
      </c>
      <c r="B617" s="197" t="s">
        <v>5838</v>
      </c>
      <c r="C617" s="197">
        <v>1997</v>
      </c>
      <c r="D617" s="225" t="str">
        <f t="shared" si="6"/>
        <v>2026_1997</v>
      </c>
      <c r="E617" s="1287">
        <v>0.37775855886685705</v>
      </c>
      <c r="F617" s="1306">
        <v>0.12490252470613604</v>
      </c>
      <c r="G617" s="1303">
        <v>9.1676190534138176</v>
      </c>
      <c r="H617" s="1306">
        <v>0.98047381849128368</v>
      </c>
      <c r="I617" s="1303">
        <v>5.4157025408836969E-2</v>
      </c>
      <c r="J617" s="1306">
        <v>2.6839241668093067E-3</v>
      </c>
      <c r="K617" s="1303">
        <v>2.9982928605283786E-3</v>
      </c>
      <c r="L617" s="1288">
        <v>2.0000011670109315E-3</v>
      </c>
      <c r="M617" s="1230">
        <v>2.0000011670109315E-3</v>
      </c>
      <c r="N617" s="1303">
        <v>2.7259967013560659E-2</v>
      </c>
      <c r="O617" s="1288">
        <v>1.0296596821104453E-2</v>
      </c>
      <c r="P617" s="1237">
        <v>5.1482984105522267E-3</v>
      </c>
      <c r="Q617" s="1290">
        <v>5.6605765779583476E-2</v>
      </c>
    </row>
    <row r="618" spans="1:17" s="212" customFormat="1" ht="15.5" x14ac:dyDescent="0.35">
      <c r="A618" s="198">
        <v>2026</v>
      </c>
      <c r="B618" s="197" t="s">
        <v>5838</v>
      </c>
      <c r="C618" s="197">
        <v>1998</v>
      </c>
      <c r="D618" s="225" t="str">
        <f t="shared" si="6"/>
        <v>2026_1998</v>
      </c>
      <c r="E618" s="1287">
        <v>0.37712104272270763</v>
      </c>
      <c r="F618" s="1306">
        <v>0.12834418977295911</v>
      </c>
      <c r="G618" s="1303">
        <v>9.1747110467397803</v>
      </c>
      <c r="H618" s="1306">
        <v>1.0040534465648718</v>
      </c>
      <c r="I618" s="1303">
        <v>5.4069481708454846E-2</v>
      </c>
      <c r="J618" s="1306">
        <v>2.7251541787070752E-3</v>
      </c>
      <c r="K618" s="1303">
        <v>2.9981367254550213E-3</v>
      </c>
      <c r="L618" s="1288">
        <v>2.0000012452763847E-3</v>
      </c>
      <c r="M618" s="1230">
        <v>2.0000012452763847E-3</v>
      </c>
      <c r="N618" s="1303">
        <v>2.7255722112703065E-2</v>
      </c>
      <c r="O618" s="1288">
        <v>8.6597152731068931E-3</v>
      </c>
      <c r="P618" s="1237">
        <v>4.3298576365534466E-3</v>
      </c>
      <c r="Q618" s="1290">
        <v>5.651426374153961E-2</v>
      </c>
    </row>
    <row r="619" spans="1:17" s="212" customFormat="1" ht="15.5" x14ac:dyDescent="0.35">
      <c r="A619" s="198">
        <v>2026</v>
      </c>
      <c r="B619" s="197" t="s">
        <v>5838</v>
      </c>
      <c r="C619" s="197">
        <v>1999</v>
      </c>
      <c r="D619" s="225" t="str">
        <f t="shared" si="6"/>
        <v>2026_1999</v>
      </c>
      <c r="E619" s="1287">
        <v>0.37757168736237473</v>
      </c>
      <c r="F619" s="1306">
        <v>0.12619724903873791</v>
      </c>
      <c r="G619" s="1303">
        <v>9.1851392328295454</v>
      </c>
      <c r="H619" s="1306">
        <v>0.99515848742718593</v>
      </c>
      <c r="I619" s="1303">
        <v>5.4100674095986144E-2</v>
      </c>
      <c r="J619" s="1306">
        <v>2.7534286510278927E-3</v>
      </c>
      <c r="K619" s="1303">
        <v>2.9990627638306934E-3</v>
      </c>
      <c r="L619" s="1288">
        <v>2.0000013065608153E-3</v>
      </c>
      <c r="M619" s="1230">
        <v>2.0000013065608153E-3</v>
      </c>
      <c r="N619" s="1303">
        <v>2.7278039263557194E-2</v>
      </c>
      <c r="O619" s="1288">
        <v>8.2993024150823623E-3</v>
      </c>
      <c r="P619" s="1237">
        <v>4.1496512075411811E-3</v>
      </c>
      <c r="Q619" s="1290">
        <v>5.6546866510420832E-2</v>
      </c>
    </row>
    <row r="620" spans="1:17" s="212" customFormat="1" ht="15.5" x14ac:dyDescent="0.35">
      <c r="A620" s="198">
        <v>2026</v>
      </c>
      <c r="B620" s="197" t="s">
        <v>5838</v>
      </c>
      <c r="C620" s="197">
        <v>2000</v>
      </c>
      <c r="D620" s="225" t="str">
        <f t="shared" si="6"/>
        <v>2026_2000</v>
      </c>
      <c r="E620" s="1287">
        <v>0.37591674702409894</v>
      </c>
      <c r="F620" s="1306">
        <v>0.1210656414356802</v>
      </c>
      <c r="G620" s="1303">
        <v>9.2220698058262744</v>
      </c>
      <c r="H620" s="1306">
        <v>0.96950778925020276</v>
      </c>
      <c r="I620" s="1303">
        <v>5.3836922977476553E-2</v>
      </c>
      <c r="J620" s="1306">
        <v>2.7536985491987491E-3</v>
      </c>
      <c r="K620" s="1303">
        <v>2.9997341976294068E-3</v>
      </c>
      <c r="L620" s="1288">
        <v>2.0000013549022577E-3</v>
      </c>
      <c r="M620" s="1230">
        <v>2.0000013549022577E-3</v>
      </c>
      <c r="N620" s="1303">
        <v>2.7293695580455676E-2</v>
      </c>
      <c r="O620" s="1288">
        <v>8.483397552818038E-3</v>
      </c>
      <c r="P620" s="1237">
        <v>4.241698776409019E-3</v>
      </c>
      <c r="Q620" s="1290">
        <v>5.6271189736710463E-2</v>
      </c>
    </row>
    <row r="621" spans="1:17" s="212" customFormat="1" ht="15.5" x14ac:dyDescent="0.35">
      <c r="A621" s="198">
        <v>2026</v>
      </c>
      <c r="B621" s="197" t="s">
        <v>5838</v>
      </c>
      <c r="C621" s="197">
        <v>2001</v>
      </c>
      <c r="D621" s="225" t="str">
        <f t="shared" si="6"/>
        <v>2026_2001</v>
      </c>
      <c r="E621" s="1287">
        <v>0.37772447692597511</v>
      </c>
      <c r="F621" s="1306">
        <v>0.11879106318491554</v>
      </c>
      <c r="G621" s="1303">
        <v>9.1914413746715429</v>
      </c>
      <c r="H621" s="1306">
        <v>0.95476022177487785</v>
      </c>
      <c r="I621" s="1303">
        <v>5.4089009216767084E-2</v>
      </c>
      <c r="J621" s="1306">
        <v>2.7815665030527801E-3</v>
      </c>
      <c r="K621" s="1303">
        <v>2.9999147187916584E-3</v>
      </c>
      <c r="L621" s="1288">
        <v>2.0000013489943616E-3</v>
      </c>
      <c r="M621" s="1230">
        <v>2.0000013489943616E-3</v>
      </c>
      <c r="N621" s="1303">
        <v>2.7297998699017029E-2</v>
      </c>
      <c r="O621" s="1288">
        <v>7.6880086815279891E-3</v>
      </c>
      <c r="P621" s="1237">
        <v>3.8440043407639945E-3</v>
      </c>
      <c r="Q621" s="1290">
        <v>5.6534674197125649E-2</v>
      </c>
    </row>
    <row r="622" spans="1:17" s="212" customFormat="1" ht="15.5" x14ac:dyDescent="0.35">
      <c r="A622" s="198">
        <v>2026</v>
      </c>
      <c r="B622" s="197" t="s">
        <v>5838</v>
      </c>
      <c r="C622" s="197">
        <v>2002</v>
      </c>
      <c r="D622" s="225" t="str">
        <f t="shared" si="6"/>
        <v>2026_2002</v>
      </c>
      <c r="E622" s="1287">
        <v>0.29127712257242555</v>
      </c>
      <c r="F622" s="1306">
        <v>0.1183730068110031</v>
      </c>
      <c r="G622" s="1303">
        <v>7.1089188287973872</v>
      </c>
      <c r="H622" s="1306">
        <v>0.92692501713415654</v>
      </c>
      <c r="I622" s="1303">
        <v>5.4296162360939565E-2</v>
      </c>
      <c r="J622" s="1306">
        <v>2.7989383864154183E-3</v>
      </c>
      <c r="K622" s="1303">
        <v>2.9999246875627612E-3</v>
      </c>
      <c r="L622" s="1288">
        <v>2.0000014261129791E-3</v>
      </c>
      <c r="M622" s="1230">
        <v>2.0000014261129791E-3</v>
      </c>
      <c r="N622" s="1303">
        <v>2.7298231677704701E-2</v>
      </c>
      <c r="O622" s="1288">
        <v>7.0555046208109042E-3</v>
      </c>
      <c r="P622" s="1237">
        <v>3.5277523104054521E-3</v>
      </c>
      <c r="Q622" s="1290">
        <v>5.6751193887249141E-2</v>
      </c>
    </row>
    <row r="623" spans="1:17" s="212" customFormat="1" ht="15.5" x14ac:dyDescent="0.35">
      <c r="A623" s="198">
        <v>2026</v>
      </c>
      <c r="B623" s="197" t="s">
        <v>5838</v>
      </c>
      <c r="C623" s="197">
        <v>2003</v>
      </c>
      <c r="D623" s="225" t="str">
        <f t="shared" si="6"/>
        <v>2026_2003</v>
      </c>
      <c r="E623" s="1287">
        <v>0.28927897219516002</v>
      </c>
      <c r="F623" s="1306">
        <v>9.5835640943005007E-2</v>
      </c>
      <c r="G623" s="1303">
        <v>7.1342622854684077</v>
      </c>
      <c r="H623" s="1306">
        <v>0.71902845391698145</v>
      </c>
      <c r="I623" s="1303">
        <v>5.3951799517403982E-2</v>
      </c>
      <c r="J623" s="1306">
        <v>2.7875354821596896E-3</v>
      </c>
      <c r="K623" s="1303">
        <v>2.9999317289219479E-3</v>
      </c>
      <c r="L623" s="1288">
        <v>2.0000014509499587E-3</v>
      </c>
      <c r="M623" s="1230">
        <v>2.0000014509499587E-3</v>
      </c>
      <c r="N623" s="1303">
        <v>2.7298420957820504E-2</v>
      </c>
      <c r="O623" s="1288">
        <v>7.3842188310650168E-3</v>
      </c>
      <c r="P623" s="1237">
        <v>3.6921094155325084E-3</v>
      </c>
      <c r="Q623" s="1290">
        <v>5.6391260484016291E-2</v>
      </c>
    </row>
    <row r="624" spans="1:17" s="212" customFormat="1" ht="15.5" x14ac:dyDescent="0.35">
      <c r="A624" s="198">
        <v>2026</v>
      </c>
      <c r="B624" s="197" t="s">
        <v>5838</v>
      </c>
      <c r="C624" s="197">
        <v>2004</v>
      </c>
      <c r="D624" s="225" t="str">
        <f t="shared" si="6"/>
        <v>2026_2004</v>
      </c>
      <c r="E624" s="1287">
        <v>0.59542386577219009</v>
      </c>
      <c r="F624" s="1306">
        <v>1.7913234125416445E-2</v>
      </c>
      <c r="G624" s="1303">
        <v>4.2127544084237689</v>
      </c>
      <c r="H624" s="1306">
        <v>0.11929478666575964</v>
      </c>
      <c r="I624" s="1303">
        <v>0.15444203104631041</v>
      </c>
      <c r="J624" s="1306">
        <v>1.8670448511711298E-4</v>
      </c>
      <c r="K624" s="1303">
        <v>2.9990803552284954E-3</v>
      </c>
      <c r="L624" s="1288">
        <v>2.0000015291008716E-3</v>
      </c>
      <c r="M624" s="1230">
        <v>2.0000015291008716E-3</v>
      </c>
      <c r="N624" s="1303">
        <v>2.7278356590263231E-2</v>
      </c>
      <c r="O624" s="1288">
        <v>6.8071268185705787E-3</v>
      </c>
      <c r="P624" s="1237">
        <v>3.4035634092852893E-3</v>
      </c>
      <c r="Q624" s="1290">
        <v>0.16142521436386156</v>
      </c>
    </row>
    <row r="625" spans="1:17" s="212" customFormat="1" ht="15.5" x14ac:dyDescent="0.35">
      <c r="A625" s="198">
        <v>2026</v>
      </c>
      <c r="B625" s="197" t="s">
        <v>5838</v>
      </c>
      <c r="C625" s="197">
        <v>2005</v>
      </c>
      <c r="D625" s="225" t="str">
        <f t="shared" si="6"/>
        <v>2026_2005</v>
      </c>
      <c r="E625" s="1287">
        <v>0.5525320980222177</v>
      </c>
      <c r="F625" s="1306">
        <v>1.5924684171178906E-2</v>
      </c>
      <c r="G625" s="1303">
        <v>4.0170779618889423</v>
      </c>
      <c r="H625" s="1306">
        <v>0.10306643188341448</v>
      </c>
      <c r="I625" s="1303">
        <v>0.14584091496795368</v>
      </c>
      <c r="J625" s="1306">
        <v>1.8705512618534675E-4</v>
      </c>
      <c r="K625" s="1303">
        <v>2.9205885205236233E-3</v>
      </c>
      <c r="L625" s="1288">
        <v>2.0000015434428558E-3</v>
      </c>
      <c r="M625" s="1230">
        <v>2.0000015434428558E-3</v>
      </c>
      <c r="N625" s="1303">
        <v>2.5422626914431801E-2</v>
      </c>
      <c r="O625" s="1288">
        <v>6.252451097339338E-3</v>
      </c>
      <c r="P625" s="1237">
        <v>3.126225548669669E-3</v>
      </c>
      <c r="Q625" s="1290">
        <v>0.15243519398332842</v>
      </c>
    </row>
    <row r="626" spans="1:17" s="212" customFormat="1" ht="15.5" x14ac:dyDescent="0.35">
      <c r="A626" s="198">
        <v>2026</v>
      </c>
      <c r="B626" s="197" t="s">
        <v>5838</v>
      </c>
      <c r="C626" s="197">
        <v>2006</v>
      </c>
      <c r="D626" s="225" t="str">
        <f t="shared" si="6"/>
        <v>2026_2006</v>
      </c>
      <c r="E626" s="1287">
        <v>0.56237395116970623</v>
      </c>
      <c r="F626" s="1306">
        <v>6.6168087183551176E-3</v>
      </c>
      <c r="G626" s="1303">
        <v>4.0838608862693793</v>
      </c>
      <c r="H626" s="1306">
        <v>7.5849835048941869E-2</v>
      </c>
      <c r="I626" s="1303">
        <v>0.1479486937344644</v>
      </c>
      <c r="J626" s="1306">
        <v>1.8232312544219601E-4</v>
      </c>
      <c r="K626" s="1303">
        <v>2.9517874165791709E-3</v>
      </c>
      <c r="L626" s="1288">
        <v>2.0000014479140947E-3</v>
      </c>
      <c r="M626" s="1230">
        <v>2.0000014479140947E-3</v>
      </c>
      <c r="N626" s="1303">
        <v>2.6159179485036873E-2</v>
      </c>
      <c r="O626" s="1288">
        <v>9.0111938679919013E-3</v>
      </c>
      <c r="P626" s="1237">
        <v>4.5055969339959506E-3</v>
      </c>
      <c r="Q626" s="1290">
        <v>0.15463827715253201</v>
      </c>
    </row>
    <row r="627" spans="1:17" s="212" customFormat="1" ht="15.5" x14ac:dyDescent="0.35">
      <c r="A627" s="198">
        <v>2026</v>
      </c>
      <c r="B627" s="197" t="s">
        <v>5838</v>
      </c>
      <c r="C627" s="197">
        <v>2007</v>
      </c>
      <c r="D627" s="225" t="str">
        <f t="shared" si="6"/>
        <v>2026_2007</v>
      </c>
      <c r="E627" s="1287">
        <v>0.30618249593032215</v>
      </c>
      <c r="F627" s="1306">
        <v>8.5951118936769735E-3</v>
      </c>
      <c r="G627" s="1303">
        <v>2.2622921901636883</v>
      </c>
      <c r="H627" s="1306">
        <v>6.4735204010073696E-2</v>
      </c>
      <c r="I627" s="1303">
        <v>8.0326845476053468E-2</v>
      </c>
      <c r="J627" s="1306">
        <v>1.8621383151962639E-4</v>
      </c>
      <c r="K627" s="1303">
        <v>2.9210102738369899E-3</v>
      </c>
      <c r="L627" s="1288">
        <v>2.0000014672416472E-3</v>
      </c>
      <c r="M627" s="1230">
        <v>2.0000014672416472E-3</v>
      </c>
      <c r="N627" s="1303">
        <v>2.5430686449137097E-2</v>
      </c>
      <c r="O627" s="1288">
        <v>6.4359264154097602E-3</v>
      </c>
      <c r="P627" s="1237">
        <v>3.2179632077048801E-3</v>
      </c>
      <c r="Q627" s="1290">
        <v>8.3958868983382978E-2</v>
      </c>
    </row>
    <row r="628" spans="1:17" s="212" customFormat="1" ht="15.5" x14ac:dyDescent="0.35">
      <c r="A628" s="198">
        <v>2026</v>
      </c>
      <c r="B628" s="197" t="s">
        <v>5838</v>
      </c>
      <c r="C628" s="197">
        <v>2008</v>
      </c>
      <c r="D628" s="225" t="str">
        <f t="shared" si="6"/>
        <v>2026_2008</v>
      </c>
      <c r="E628" s="1287">
        <v>0.31236007223216666</v>
      </c>
      <c r="F628" s="1306">
        <v>8.0409651784226523E-3</v>
      </c>
      <c r="G628" s="1303">
        <v>2.3307181217895625</v>
      </c>
      <c r="H628" s="1306">
        <v>4.9429381559724823E-2</v>
      </c>
      <c r="I628" s="1303">
        <v>8.2103843426354475E-2</v>
      </c>
      <c r="J628" s="1306">
        <v>2.1072048672392282E-4</v>
      </c>
      <c r="K628" s="1303">
        <v>2.9530900746696765E-3</v>
      </c>
      <c r="L628" s="1288">
        <v>2.000001626094719E-3</v>
      </c>
      <c r="M628" s="1230">
        <v>2.000001626094719E-3</v>
      </c>
      <c r="N628" s="1303">
        <v>2.6190084651620496E-2</v>
      </c>
      <c r="O628" s="1288">
        <v>6.3029507909256694E-3</v>
      </c>
      <c r="P628" s="1237">
        <v>3.1514753954628347E-3</v>
      </c>
      <c r="Q628" s="1290">
        <v>8.5816214895684861E-2</v>
      </c>
    </row>
    <row r="629" spans="1:17" s="212" customFormat="1" ht="15.5" x14ac:dyDescent="0.35">
      <c r="A629" s="198">
        <v>2026</v>
      </c>
      <c r="B629" s="197" t="s">
        <v>5838</v>
      </c>
      <c r="C629" s="197">
        <v>2009</v>
      </c>
      <c r="D629" s="225" t="str">
        <f t="shared" si="6"/>
        <v>2026_2009</v>
      </c>
      <c r="E629" s="1287">
        <v>0.29184024600054681</v>
      </c>
      <c r="F629" s="1306">
        <v>7.7549198226323215E-3</v>
      </c>
      <c r="G629" s="1303">
        <v>2.1708362629978488</v>
      </c>
      <c r="H629" s="1306">
        <v>3.6679800587266706E-2</v>
      </c>
      <c r="I629" s="1303">
        <v>7.6768111842556511E-2</v>
      </c>
      <c r="J629" s="1306">
        <v>2.3960831891729352E-4</v>
      </c>
      <c r="K629" s="1303">
        <v>2.8817816171814495E-3</v>
      </c>
      <c r="L629" s="1288">
        <v>2.0000016781421643E-3</v>
      </c>
      <c r="M629" s="1230">
        <v>2.0000016781421643E-3</v>
      </c>
      <c r="N629" s="1303">
        <v>2.4502920632425096E-2</v>
      </c>
      <c r="O629" s="1288">
        <v>4.9420711222002067E-3</v>
      </c>
      <c r="P629" s="1237">
        <v>2.4710355611001033E-3</v>
      </c>
      <c r="Q629" s="1290">
        <v>8.0239225206625894E-2</v>
      </c>
    </row>
    <row r="630" spans="1:17" s="212" customFormat="1" ht="15.5" x14ac:dyDescent="0.35">
      <c r="A630" s="198">
        <v>2026</v>
      </c>
      <c r="B630" s="197" t="s">
        <v>5838</v>
      </c>
      <c r="C630" s="197">
        <v>2010</v>
      </c>
      <c r="D630" s="225" t="str">
        <f t="shared" si="6"/>
        <v>2026_2010</v>
      </c>
      <c r="E630" s="1287">
        <v>6.0961187964490779E-2</v>
      </c>
      <c r="F630" s="1306">
        <v>7.0460860035415811E-3</v>
      </c>
      <c r="G630" s="1303">
        <v>0.50828341329041138</v>
      </c>
      <c r="H630" s="1306">
        <v>3.4168597569596573E-2</v>
      </c>
      <c r="I630" s="1303">
        <v>1.602594988493922E-2</v>
      </c>
      <c r="J630" s="1306">
        <v>2.9543360020916243E-4</v>
      </c>
      <c r="K630" s="1303">
        <v>2.7412859897503403E-3</v>
      </c>
      <c r="L630" s="1288">
        <v>2.0000017666330781E-3</v>
      </c>
      <c r="M630" s="1230">
        <v>2.0000017666330781E-3</v>
      </c>
      <c r="N630" s="1303">
        <v>2.1167315511363815E-2</v>
      </c>
      <c r="O630" s="1288">
        <v>4.2328226875998414E-3</v>
      </c>
      <c r="P630" s="1237">
        <v>2.1164113437999207E-3</v>
      </c>
      <c r="Q630" s="1290">
        <v>1.6750572224636794E-2</v>
      </c>
    </row>
    <row r="631" spans="1:17" s="212" customFormat="1" ht="15.5" x14ac:dyDescent="0.35">
      <c r="A631" s="198">
        <v>2026</v>
      </c>
      <c r="B631" s="197" t="s">
        <v>5838</v>
      </c>
      <c r="C631" s="197">
        <v>2011</v>
      </c>
      <c r="D631" s="225" t="str">
        <f t="shared" si="6"/>
        <v>2026_2011</v>
      </c>
      <c r="E631" s="1287">
        <v>6.67644903472321E-2</v>
      </c>
      <c r="F631" s="1306">
        <v>6.9887808371571335E-3</v>
      </c>
      <c r="G631" s="1303">
        <v>0.56979327271182867</v>
      </c>
      <c r="H631" s="1306">
        <v>3.3481064435323525E-2</v>
      </c>
      <c r="I631" s="1303">
        <v>1.7102394906860763E-2</v>
      </c>
      <c r="J631" s="1306">
        <v>3.9426141500139867E-4</v>
      </c>
      <c r="K631" s="1303">
        <v>2.8542519872259615E-3</v>
      </c>
      <c r="L631" s="1288">
        <v>2.0000017141048637E-3</v>
      </c>
      <c r="M631" s="1230">
        <v>2.0000017141048637E-3</v>
      </c>
      <c r="N631" s="1303">
        <v>2.3849637696986815E-2</v>
      </c>
      <c r="O631" s="1288">
        <v>5.0156645279105022E-3</v>
      </c>
      <c r="P631" s="1237">
        <v>2.5078322639552511E-3</v>
      </c>
      <c r="Q631" s="1290">
        <v>1.7875689313795573E-2</v>
      </c>
    </row>
    <row r="632" spans="1:17" s="212" customFormat="1" ht="15.5" x14ac:dyDescent="0.35">
      <c r="A632" s="198">
        <v>2026</v>
      </c>
      <c r="B632" s="197" t="s">
        <v>5838</v>
      </c>
      <c r="C632" s="197">
        <v>2012</v>
      </c>
      <c r="D632" s="225" t="str">
        <f t="shared" si="6"/>
        <v>2026_2012</v>
      </c>
      <c r="E632" s="1287">
        <v>4.7903560806986573E-2</v>
      </c>
      <c r="F632" s="1306">
        <v>6.5744164561068264E-3</v>
      </c>
      <c r="G632" s="1303">
        <v>0.37233058326106816</v>
      </c>
      <c r="H632" s="1306">
        <v>3.1819746542815719E-2</v>
      </c>
      <c r="I632" s="1303">
        <v>1.2571252472364694E-2</v>
      </c>
      <c r="J632" s="1306">
        <v>5.7267323964053441E-4</v>
      </c>
      <c r="K632" s="1303">
        <v>2.5529643565540168E-3</v>
      </c>
      <c r="L632" s="1288">
        <v>2.0000017608446303E-3</v>
      </c>
      <c r="M632" s="1230">
        <v>2.0000017608446303E-3</v>
      </c>
      <c r="N632" s="1303">
        <v>1.6657237893387935E-2</v>
      </c>
      <c r="O632" s="1288">
        <v>5.3930275496035475E-3</v>
      </c>
      <c r="P632" s="1237">
        <v>2.6965137748017737E-3</v>
      </c>
      <c r="Q632" s="1290">
        <v>1.3139668725058356E-2</v>
      </c>
    </row>
    <row r="633" spans="1:17" s="212" customFormat="1" ht="15.5" x14ac:dyDescent="0.35">
      <c r="A633" s="198">
        <v>2026</v>
      </c>
      <c r="B633" s="197" t="s">
        <v>5838</v>
      </c>
      <c r="C633" s="197">
        <v>2013</v>
      </c>
      <c r="D633" s="225" t="str">
        <f t="shared" si="6"/>
        <v>2026_2013</v>
      </c>
      <c r="E633" s="1287">
        <v>6.2880349793613663E-2</v>
      </c>
      <c r="F633" s="1306">
        <v>7.0444069856676374E-3</v>
      </c>
      <c r="G633" s="1303">
        <v>0.52190477420936576</v>
      </c>
      <c r="H633" s="1306">
        <v>3.2236020180982559E-2</v>
      </c>
      <c r="I633" s="1303">
        <v>1.552569988354126E-2</v>
      </c>
      <c r="J633" s="1306">
        <v>8.560927851298082E-4</v>
      </c>
      <c r="K633" s="1303">
        <v>2.8104670822741086E-3</v>
      </c>
      <c r="L633" s="1288">
        <v>2.0000017608305196E-3</v>
      </c>
      <c r="M633" s="1230">
        <v>2.0000017608305196E-3</v>
      </c>
      <c r="N633" s="1303">
        <v>2.2795435977092184E-2</v>
      </c>
      <c r="O633" s="1288">
        <v>5.3920982189529969E-3</v>
      </c>
      <c r="P633" s="1237">
        <v>2.6960491094764985E-3</v>
      </c>
      <c r="Q633" s="1290">
        <v>1.6227703138002182E-2</v>
      </c>
    </row>
    <row r="634" spans="1:17" s="212" customFormat="1" ht="15.5" x14ac:dyDescent="0.35">
      <c r="A634" s="198">
        <v>2026</v>
      </c>
      <c r="B634" s="197" t="s">
        <v>5838</v>
      </c>
      <c r="C634" s="197">
        <v>2014</v>
      </c>
      <c r="D634" s="225" t="str">
        <f t="shared" si="6"/>
        <v>2026_2014</v>
      </c>
      <c r="E634" s="1287">
        <v>5.2882207887967013E-2</v>
      </c>
      <c r="F634" s="1306">
        <v>7.0846156973954615E-3</v>
      </c>
      <c r="G634" s="1303">
        <v>0.41875917777764005</v>
      </c>
      <c r="H634" s="1306">
        <v>3.1729218718250893E-2</v>
      </c>
      <c r="I634" s="1303">
        <v>1.3042363509377467E-2</v>
      </c>
      <c r="J634" s="1306">
        <v>1.2073548138354382E-3</v>
      </c>
      <c r="K634" s="1303">
        <v>2.6571041400325146E-3</v>
      </c>
      <c r="L634" s="1288">
        <v>2.0000017618056259E-3</v>
      </c>
      <c r="M634" s="1230">
        <v>2.0000017618056259E-3</v>
      </c>
      <c r="N634" s="1303">
        <v>1.9115669187881813E-2</v>
      </c>
      <c r="O634" s="1288">
        <v>4.5906536536891298E-3</v>
      </c>
      <c r="P634" s="1237">
        <v>2.2953268268445649E-3</v>
      </c>
      <c r="Q634" s="1290">
        <v>1.3632081312640531E-2</v>
      </c>
    </row>
    <row r="635" spans="1:17" s="212" customFormat="1" ht="15.5" x14ac:dyDescent="0.35">
      <c r="A635" s="198">
        <v>2026</v>
      </c>
      <c r="B635" s="197" t="s">
        <v>5838</v>
      </c>
      <c r="C635" s="197">
        <v>2015</v>
      </c>
      <c r="D635" s="225" t="str">
        <f t="shared" si="6"/>
        <v>2026_2015</v>
      </c>
      <c r="E635" s="1287">
        <v>4.7755831331270079E-2</v>
      </c>
      <c r="F635" s="1306">
        <v>6.8565471353081225E-3</v>
      </c>
      <c r="G635" s="1303">
        <v>0.36832141838912269</v>
      </c>
      <c r="H635" s="1306">
        <v>3.0181658433728092E-2</v>
      </c>
      <c r="I635" s="1303">
        <v>1.166925268742325E-2</v>
      </c>
      <c r="J635" s="1306">
        <v>1.4992535104345591E-3</v>
      </c>
      <c r="K635" s="1303">
        <v>2.5897146401160742E-3</v>
      </c>
      <c r="L635" s="1288">
        <v>2.0000017341029021E-3</v>
      </c>
      <c r="M635" s="1230">
        <v>2.0000017341029021E-3</v>
      </c>
      <c r="N635" s="1303">
        <v>1.7472284198212538E-2</v>
      </c>
      <c r="O635" s="1288">
        <v>5.3141375152618679E-3</v>
      </c>
      <c r="P635" s="1237">
        <v>2.657068757630934E-3</v>
      </c>
      <c r="Q635" s="1290">
        <v>1.2196884512406679E-2</v>
      </c>
    </row>
    <row r="636" spans="1:17" s="212" customFormat="1" ht="15.5" x14ac:dyDescent="0.35">
      <c r="A636" s="198">
        <v>2026</v>
      </c>
      <c r="B636" s="197" t="s">
        <v>5838</v>
      </c>
      <c r="C636" s="197">
        <v>2016</v>
      </c>
      <c r="D636" s="225" t="str">
        <f t="shared" si="6"/>
        <v>2026_2016</v>
      </c>
      <c r="E636" s="1287">
        <v>5.7376073614431304E-2</v>
      </c>
      <c r="F636" s="1306">
        <v>6.6660680574331856E-3</v>
      </c>
      <c r="G636" s="1303">
        <v>0.40968584360943017</v>
      </c>
      <c r="H636" s="1306">
        <v>2.8840129036578292E-2</v>
      </c>
      <c r="I636" s="1303">
        <v>1.3165029398555746E-2</v>
      </c>
      <c r="J636" s="1306">
        <v>1.7077302830988757E-3</v>
      </c>
      <c r="K636" s="1303">
        <v>2.7806352726615197E-3</v>
      </c>
      <c r="L636" s="1288">
        <v>2.0000016743613805E-3</v>
      </c>
      <c r="M636" s="1230">
        <v>2.0000016743613805E-3</v>
      </c>
      <c r="N636" s="1303">
        <v>2.2036722468036053E-2</v>
      </c>
      <c r="O636" s="1288">
        <v>6.0795352307174456E-3</v>
      </c>
      <c r="P636" s="1237">
        <v>3.0397676153587228E-3</v>
      </c>
      <c r="Q636" s="1290">
        <v>1.3760293609005705E-2</v>
      </c>
    </row>
    <row r="637" spans="1:17" s="212" customFormat="1" ht="15.5" x14ac:dyDescent="0.35">
      <c r="A637" s="198">
        <v>2026</v>
      </c>
      <c r="B637" s="197" t="s">
        <v>5838</v>
      </c>
      <c r="C637" s="197">
        <v>2017</v>
      </c>
      <c r="D637" s="225" t="str">
        <f t="shared" si="6"/>
        <v>2026_2017</v>
      </c>
      <c r="E637" s="1287">
        <v>5.8760726843160659E-2</v>
      </c>
      <c r="F637" s="1306">
        <v>6.3033561534402175E-3</v>
      </c>
      <c r="G637" s="1303">
        <v>0.36306500684594473</v>
      </c>
      <c r="H637" s="1306">
        <v>2.7371998504639346E-2</v>
      </c>
      <c r="I637" s="1303">
        <v>1.292081077034613E-2</v>
      </c>
      <c r="J637" s="1306">
        <v>1.8345241844525736E-3</v>
      </c>
      <c r="K637" s="1303">
        <v>2.822360951692339E-3</v>
      </c>
      <c r="L637" s="1288">
        <v>2.0000016469201658E-3</v>
      </c>
      <c r="M637" s="1230">
        <v>2.0000016469201658E-3</v>
      </c>
      <c r="N637" s="1303">
        <v>2.3032949800342133E-2</v>
      </c>
      <c r="O637" s="1288">
        <v>6.0377505258855961E-3</v>
      </c>
      <c r="P637" s="1237">
        <v>3.018875262942798E-3</v>
      </c>
      <c r="Q637" s="1290">
        <v>1.3505032498132563E-2</v>
      </c>
    </row>
    <row r="638" spans="1:17" s="212" customFormat="1" ht="15.5" x14ac:dyDescent="0.35">
      <c r="A638" s="198">
        <v>2026</v>
      </c>
      <c r="B638" s="197" t="s">
        <v>5838</v>
      </c>
      <c r="C638" s="197">
        <v>2018</v>
      </c>
      <c r="D638" s="225" t="str">
        <f t="shared" si="6"/>
        <v>2026_2018</v>
      </c>
      <c r="E638" s="1287">
        <v>5.3060375452151885E-2</v>
      </c>
      <c r="F638" s="1306">
        <v>6.025573434354327E-3</v>
      </c>
      <c r="G638" s="1303">
        <v>0.26387856637154061</v>
      </c>
      <c r="H638" s="1306">
        <v>2.6058020553745384E-2</v>
      </c>
      <c r="I638" s="1303">
        <v>1.1350455539875548E-2</v>
      </c>
      <c r="J638" s="1306">
        <v>1.9343059386376484E-3</v>
      </c>
      <c r="K638" s="1303">
        <v>2.7346810446970066E-3</v>
      </c>
      <c r="L638" s="1288">
        <v>2.000001632291941E-3</v>
      </c>
      <c r="M638" s="1230">
        <v>2.000001632291941E-3</v>
      </c>
      <c r="N638" s="1303">
        <v>2.0905457028248392E-2</v>
      </c>
      <c r="O638" s="1288">
        <v>5.4419504459398216E-3</v>
      </c>
      <c r="P638" s="1237">
        <v>2.7209752229699108E-3</v>
      </c>
      <c r="Q638" s="1290">
        <v>1.1863672772488213E-2</v>
      </c>
    </row>
    <row r="639" spans="1:17" s="212" customFormat="1" ht="15.5" x14ac:dyDescent="0.35">
      <c r="A639" s="198">
        <v>2026</v>
      </c>
      <c r="B639" s="197" t="s">
        <v>5838</v>
      </c>
      <c r="C639" s="197">
        <v>2019</v>
      </c>
      <c r="D639" s="225" t="str">
        <f t="shared" si="6"/>
        <v>2026_2019</v>
      </c>
      <c r="E639" s="1287">
        <v>6.1480657545448757E-2</v>
      </c>
      <c r="F639" s="1306">
        <v>5.7409460136271274E-3</v>
      </c>
      <c r="G639" s="1303">
        <v>0.26883245585565779</v>
      </c>
      <c r="H639" s="1306">
        <v>2.459927168002737E-2</v>
      </c>
      <c r="I639" s="1303">
        <v>1.2156195993254605E-2</v>
      </c>
      <c r="J639" s="1306">
        <v>1.8345591708412963E-3</v>
      </c>
      <c r="K639" s="1303">
        <v>2.9181191993796632E-3</v>
      </c>
      <c r="L639" s="1288">
        <v>2.0000015573455993E-3</v>
      </c>
      <c r="M639" s="1230">
        <v>2.0000015573455993E-3</v>
      </c>
      <c r="N639" s="1303">
        <v>2.5324205276591686E-2</v>
      </c>
      <c r="O639" s="1288">
        <v>5.4686063697927416E-3</v>
      </c>
      <c r="P639" s="1237">
        <v>2.7343031848963708E-3</v>
      </c>
      <c r="Q639" s="1290">
        <v>1.270584523374876E-2</v>
      </c>
    </row>
    <row r="640" spans="1:17" s="212" customFormat="1" ht="15.5" x14ac:dyDescent="0.35">
      <c r="A640" s="198">
        <v>2026</v>
      </c>
      <c r="B640" s="197" t="s">
        <v>5838</v>
      </c>
      <c r="C640" s="197">
        <v>2020</v>
      </c>
      <c r="D640" s="225" t="str">
        <f t="shared" si="6"/>
        <v>2026_2020</v>
      </c>
      <c r="E640" s="1287">
        <v>5.1863793936295845E-2</v>
      </c>
      <c r="F640" s="1306">
        <v>5.3807346499870493E-3</v>
      </c>
      <c r="G640" s="1303">
        <v>0.19738493256446552</v>
      </c>
      <c r="H640" s="1306">
        <v>2.2935012390637569E-2</v>
      </c>
      <c r="I640" s="1303">
        <v>1.0082387897389125E-2</v>
      </c>
      <c r="J640" s="1306">
        <v>1.3551867076884026E-3</v>
      </c>
      <c r="K640" s="1303">
        <v>2.8750370572802088E-3</v>
      </c>
      <c r="L640" s="1288">
        <v>2.0000016507347681E-3</v>
      </c>
      <c r="M640" s="1230">
        <v>2.0000016507347681E-3</v>
      </c>
      <c r="N640" s="1303">
        <v>2.4284114646267587E-2</v>
      </c>
      <c r="O640" s="1288">
        <v>5.5470729100370441E-3</v>
      </c>
      <c r="P640" s="1237">
        <v>2.773536455018522E-3</v>
      </c>
      <c r="Q640" s="1290">
        <v>1.0538268738175425E-2</v>
      </c>
    </row>
    <row r="641" spans="1:17" s="212" customFormat="1" ht="15.5" x14ac:dyDescent="0.35">
      <c r="A641" s="198">
        <v>2026</v>
      </c>
      <c r="B641" s="197" t="s">
        <v>5838</v>
      </c>
      <c r="C641" s="197">
        <v>2021</v>
      </c>
      <c r="D641" s="225" t="str">
        <f t="shared" si="6"/>
        <v>2026_2021</v>
      </c>
      <c r="E641" s="1287">
        <v>4.9658496202350438E-2</v>
      </c>
      <c r="F641" s="1306">
        <v>4.9875252311694391E-3</v>
      </c>
      <c r="G641" s="1303">
        <v>0.15264666718155259</v>
      </c>
      <c r="H641" s="1306">
        <v>2.1359044888892842E-2</v>
      </c>
      <c r="I641" s="1303">
        <v>8.7921811137870939E-3</v>
      </c>
      <c r="J641" s="1306">
        <v>8.8288454907446017E-4</v>
      </c>
      <c r="K641" s="1303">
        <v>2.8728635302439787E-3</v>
      </c>
      <c r="L641" s="1288">
        <v>2.0000016675837604E-3</v>
      </c>
      <c r="M641" s="1230">
        <v>2.0000016675837604E-3</v>
      </c>
      <c r="N641" s="1303">
        <v>2.4222794777763249E-2</v>
      </c>
      <c r="O641" s="1288">
        <v>5.4714899983142121E-3</v>
      </c>
      <c r="P641" s="1237">
        <v>2.735744999157106E-3</v>
      </c>
      <c r="Q641" s="1290">
        <v>9.1897245290266834E-3</v>
      </c>
    </row>
    <row r="642" spans="1:17" s="212" customFormat="1" ht="15.5" x14ac:dyDescent="0.35">
      <c r="A642" s="198">
        <v>2026</v>
      </c>
      <c r="B642" s="197" t="s">
        <v>5838</v>
      </c>
      <c r="C642" s="197">
        <v>2022</v>
      </c>
      <c r="D642" s="225" t="str">
        <f t="shared" si="6"/>
        <v>2026_2022</v>
      </c>
      <c r="E642" s="1287">
        <v>4.844582539445378E-2</v>
      </c>
      <c r="F642" s="1306">
        <v>4.5992758217417665E-3</v>
      </c>
      <c r="G642" s="1303">
        <v>0.11265022013193386</v>
      </c>
      <c r="H642" s="1306">
        <v>1.9809312668798769E-2</v>
      </c>
      <c r="I642" s="1303">
        <v>7.89350685993968E-3</v>
      </c>
      <c r="J642" s="1306">
        <v>8.837944686455794E-4</v>
      </c>
      <c r="K642" s="1303">
        <v>2.8723584558397095E-3</v>
      </c>
      <c r="L642" s="1288">
        <v>2.0000016822490168E-3</v>
      </c>
      <c r="M642" s="1230">
        <v>2.0000016822490168E-3</v>
      </c>
      <c r="N642" s="1303">
        <v>2.4201227010525517E-2</v>
      </c>
      <c r="O642" s="1288">
        <v>5.4630108946241819E-3</v>
      </c>
      <c r="P642" s="1237">
        <v>2.731505447312091E-3</v>
      </c>
      <c r="Q642" s="1290">
        <v>8.2504162132282267E-3</v>
      </c>
    </row>
    <row r="643" spans="1:17" s="212" customFormat="1" ht="15.5" x14ac:dyDescent="0.35">
      <c r="A643" s="198">
        <v>2026</v>
      </c>
      <c r="B643" s="197" t="s">
        <v>5838</v>
      </c>
      <c r="C643" s="197">
        <v>2023</v>
      </c>
      <c r="D643" s="225" t="str">
        <f t="shared" si="6"/>
        <v>2026_2023</v>
      </c>
      <c r="E643" s="1287">
        <v>4.7190282732220451E-2</v>
      </c>
      <c r="F643" s="1306">
        <v>4.1247907013258712E-3</v>
      </c>
      <c r="G643" s="1303">
        <v>0.10647595928348291</v>
      </c>
      <c r="H643" s="1306">
        <v>1.8369285239222707E-2</v>
      </c>
      <c r="I643" s="1303">
        <v>6.9526825904101331E-3</v>
      </c>
      <c r="J643" s="1306">
        <v>8.8484114077614707E-4</v>
      </c>
      <c r="K643" s="1303">
        <v>2.872213579893109E-3</v>
      </c>
      <c r="L643" s="1288">
        <v>2.0000017071037744E-3</v>
      </c>
      <c r="M643" s="1230">
        <v>2.0000017071037744E-3</v>
      </c>
      <c r="N643" s="1303">
        <v>2.4188085218840909E-2</v>
      </c>
      <c r="O643" s="1288">
        <v>5.4247660966076092E-3</v>
      </c>
      <c r="P643" s="1237">
        <v>2.7123830483038046E-3</v>
      </c>
      <c r="Q643" s="1290">
        <v>7.267052045076417E-3</v>
      </c>
    </row>
    <row r="644" spans="1:17" s="212" customFormat="1" ht="15.5" x14ac:dyDescent="0.35">
      <c r="A644" s="198">
        <v>2026</v>
      </c>
      <c r="B644" s="197" t="s">
        <v>5838</v>
      </c>
      <c r="C644" s="197">
        <v>2024</v>
      </c>
      <c r="D644" s="225" t="str">
        <f t="shared" si="6"/>
        <v>2026_2024</v>
      </c>
      <c r="E644" s="1287">
        <v>4.5524023309571511E-2</v>
      </c>
      <c r="F644" s="1306">
        <v>3.4446228378083275E-3</v>
      </c>
      <c r="G644" s="1303">
        <v>9.9235141395767099E-2</v>
      </c>
      <c r="H644" s="1306">
        <v>1.6774691385423774E-2</v>
      </c>
      <c r="I644" s="1303">
        <v>5.9216439897533477E-3</v>
      </c>
      <c r="J644" s="1306">
        <v>8.8520627990902308E-4</v>
      </c>
      <c r="K644" s="1303">
        <v>2.8649120616737953E-3</v>
      </c>
      <c r="L644" s="1288">
        <v>2.0000017533848284E-3</v>
      </c>
      <c r="M644" s="1305">
        <v>2.000000573329325E-3</v>
      </c>
      <c r="N644" s="1303">
        <v>2.3999925052115356E-2</v>
      </c>
      <c r="O644" s="1288">
        <v>5.2454811722861096E-3</v>
      </c>
      <c r="P644" s="1301">
        <v>3.3358465234399996E-3</v>
      </c>
      <c r="Q644" s="1290">
        <v>6.1893944540639626E-3</v>
      </c>
    </row>
    <row r="645" spans="1:17" s="212" customFormat="1" ht="15.5" x14ac:dyDescent="0.35">
      <c r="A645" s="198">
        <v>2026</v>
      </c>
      <c r="B645" s="197" t="s">
        <v>5838</v>
      </c>
      <c r="C645" s="197">
        <v>2025</v>
      </c>
      <c r="D645" s="225" t="str">
        <f t="shared" si="6"/>
        <v>2026_2025</v>
      </c>
      <c r="E645" s="1287">
        <v>4.3996893723000162E-2</v>
      </c>
      <c r="F645" s="1306">
        <v>2.8800506655068904E-3</v>
      </c>
      <c r="G645" s="1303">
        <v>9.2188393810471322E-2</v>
      </c>
      <c r="H645" s="1306">
        <v>1.5282566672312019E-2</v>
      </c>
      <c r="I645" s="1303">
        <v>4.8812111318790787E-3</v>
      </c>
      <c r="J645" s="1306">
        <v>8.8568782363526786E-4</v>
      </c>
      <c r="K645" s="1303">
        <v>2.8615115700422475E-3</v>
      </c>
      <c r="L645" s="1288">
        <v>2.0000017901663863E-3</v>
      </c>
      <c r="M645" s="1305">
        <v>2.0000005733565572E-3</v>
      </c>
      <c r="N645" s="1303">
        <v>2.3905583135383636E-2</v>
      </c>
      <c r="O645" s="1288">
        <v>5.1109524430416097E-3</v>
      </c>
      <c r="P645" s="1301">
        <v>3.7450377613670524E-3</v>
      </c>
      <c r="Q645" s="1290">
        <v>5.1019178392090461E-3</v>
      </c>
    </row>
    <row r="646" spans="1:17" s="212" customFormat="1" ht="15.5" x14ac:dyDescent="0.35">
      <c r="A646" s="198">
        <v>2026</v>
      </c>
      <c r="B646" s="197" t="s">
        <v>5838</v>
      </c>
      <c r="C646" s="197">
        <v>2026</v>
      </c>
      <c r="D646" s="225" t="str">
        <f t="shared" si="6"/>
        <v>2026_2026</v>
      </c>
      <c r="E646" s="1287">
        <v>4.1583027839158966E-2</v>
      </c>
      <c r="F646" s="1306">
        <v>2.6822397898032847E-3</v>
      </c>
      <c r="G646" s="1303">
        <v>8.3226179660591676E-2</v>
      </c>
      <c r="H646" s="1306">
        <v>1.3993429455736195E-2</v>
      </c>
      <c r="I646" s="1303">
        <v>3.7326916709440844E-3</v>
      </c>
      <c r="J646" s="1306">
        <v>7.6775832000946956E-4</v>
      </c>
      <c r="K646" s="1303">
        <v>2.8400692662229631E-3</v>
      </c>
      <c r="L646" s="1288">
        <v>2.0000018992457477E-3</v>
      </c>
      <c r="M646" s="1305">
        <v>2.0000005733872986E-3</v>
      </c>
      <c r="N646" s="1303">
        <v>2.3367760473885123E-2</v>
      </c>
      <c r="O646" s="1288">
        <v>4.5984608064245812E-3</v>
      </c>
      <c r="P646" s="1301">
        <v>4.1961091578045567E-3</v>
      </c>
      <c r="Q646" s="1290">
        <v>3.9014674247301964E-3</v>
      </c>
    </row>
    <row r="647" spans="1:17" s="212" customFormat="1" ht="15.5" x14ac:dyDescent="0.35">
      <c r="A647" s="198">
        <v>2026</v>
      </c>
      <c r="B647" s="197" t="s">
        <v>5838</v>
      </c>
      <c r="C647" s="197">
        <v>2027</v>
      </c>
      <c r="D647" s="225" t="str">
        <f t="shared" si="6"/>
        <v>2026_2027</v>
      </c>
      <c r="E647" s="1291">
        <v>4.1583027839158966E-2</v>
      </c>
      <c r="F647" s="1280">
        <v>2.6822397898032847E-3</v>
      </c>
      <c r="G647" s="1271">
        <v>8.3226179660591676E-2</v>
      </c>
      <c r="H647" s="1280">
        <v>1.3993429455736195E-2</v>
      </c>
      <c r="I647" s="1271">
        <v>3.7326916709440844E-3</v>
      </c>
      <c r="J647" s="1280">
        <v>7.6775832000946956E-4</v>
      </c>
      <c r="K647" s="1271">
        <v>2.8400692662229631E-3</v>
      </c>
      <c r="L647" s="1257">
        <v>2.0000018992457477E-3</v>
      </c>
      <c r="M647" s="1230">
        <v>2.0000005733872986E-3</v>
      </c>
      <c r="N647" s="1271">
        <v>2.3367760473885123E-2</v>
      </c>
      <c r="O647" s="1257">
        <v>4.5984608064245812E-3</v>
      </c>
      <c r="P647" s="1237">
        <v>4.1961091578045567E-3</v>
      </c>
      <c r="Q647" s="1292">
        <v>3.9014674247301964E-3</v>
      </c>
    </row>
    <row r="648" spans="1:17" s="212" customFormat="1" ht="15.5" x14ac:dyDescent="0.35">
      <c r="A648" s="198">
        <v>2027</v>
      </c>
      <c r="B648" s="197" t="s">
        <v>5838</v>
      </c>
      <c r="C648" s="197">
        <v>1971</v>
      </c>
      <c r="D648" s="225" t="str">
        <f t="shared" si="6"/>
        <v>2027_1971</v>
      </c>
      <c r="E648" s="1291">
        <v>0.21049263094732262</v>
      </c>
      <c r="F648" s="1280">
        <v>1.8115769786651204</v>
      </c>
      <c r="G648" s="1271">
        <v>2.9444675129695317</v>
      </c>
      <c r="H648" s="1280">
        <v>3.4857508498086451</v>
      </c>
      <c r="I648" s="1271">
        <v>0.22018377097229744</v>
      </c>
      <c r="J648" s="1280">
        <v>1.7074873804127866E-2</v>
      </c>
      <c r="K648" s="1271">
        <v>2.3856645644153053E-3</v>
      </c>
      <c r="L648" s="1257">
        <v>2.0000008855731348E-3</v>
      </c>
      <c r="M648" s="1230">
        <v>2.0000008855731348E-3</v>
      </c>
      <c r="N648" s="1271">
        <v>1.2855783078252603E-2</v>
      </c>
      <c r="O648" s="1257">
        <v>1.6496712760168165E-2</v>
      </c>
      <c r="P648" s="1237">
        <v>8.2483563800840824E-3</v>
      </c>
      <c r="Q648" s="1292">
        <v>0.23013950404465189</v>
      </c>
    </row>
    <row r="649" spans="1:17" s="212" customFormat="1" ht="15.5" x14ac:dyDescent="0.35">
      <c r="A649" s="198">
        <v>2027</v>
      </c>
      <c r="B649" s="197" t="s">
        <v>5838</v>
      </c>
      <c r="C649" s="197">
        <v>1972</v>
      </c>
      <c r="D649" s="225" t="str">
        <f t="shared" si="6"/>
        <v>2027_1972</v>
      </c>
      <c r="E649" s="1291">
        <v>0.21049263094732262</v>
      </c>
      <c r="F649" s="1280">
        <v>1.8115769786651204</v>
      </c>
      <c r="G649" s="1271">
        <v>2.9444675129695317</v>
      </c>
      <c r="H649" s="1280">
        <v>3.4857508498086451</v>
      </c>
      <c r="I649" s="1271">
        <v>0.22018377097229744</v>
      </c>
      <c r="J649" s="1280">
        <v>1.7074873804127866E-2</v>
      </c>
      <c r="K649" s="1271">
        <v>2.3856645644153053E-3</v>
      </c>
      <c r="L649" s="1257">
        <v>2.0000008855731348E-3</v>
      </c>
      <c r="M649" s="1230">
        <v>2.0000008855731348E-3</v>
      </c>
      <c r="N649" s="1271">
        <v>1.2855783078252603E-2</v>
      </c>
      <c r="O649" s="1257">
        <v>1.6496712760168165E-2</v>
      </c>
      <c r="P649" s="1237">
        <v>8.2483563800840824E-3</v>
      </c>
      <c r="Q649" s="1292">
        <v>0.23013950404465189</v>
      </c>
    </row>
    <row r="650" spans="1:17" s="212" customFormat="1" ht="15.5" x14ac:dyDescent="0.35">
      <c r="A650" s="198">
        <v>2027</v>
      </c>
      <c r="B650" s="197" t="s">
        <v>5838</v>
      </c>
      <c r="C650" s="197">
        <v>1973</v>
      </c>
      <c r="D650" s="225" t="str">
        <f t="shared" si="6"/>
        <v>2027_1973</v>
      </c>
      <c r="E650" s="1291">
        <v>0.21049263094732262</v>
      </c>
      <c r="F650" s="1280">
        <v>1.8115769786651204</v>
      </c>
      <c r="G650" s="1271">
        <v>2.9444675129695317</v>
      </c>
      <c r="H650" s="1280">
        <v>3.4857508498086451</v>
      </c>
      <c r="I650" s="1271">
        <v>0.22018377097229744</v>
      </c>
      <c r="J650" s="1280">
        <v>1.7074873804127866E-2</v>
      </c>
      <c r="K650" s="1271">
        <v>2.3856645644153053E-3</v>
      </c>
      <c r="L650" s="1257">
        <v>2.0000008855731348E-3</v>
      </c>
      <c r="M650" s="1230">
        <v>2.0000008855731348E-3</v>
      </c>
      <c r="N650" s="1271">
        <v>1.2855783078252603E-2</v>
      </c>
      <c r="O650" s="1257">
        <v>1.6496712760168165E-2</v>
      </c>
      <c r="P650" s="1237">
        <v>8.2483563800840824E-3</v>
      </c>
      <c r="Q650" s="1292">
        <v>0.23013950404465189</v>
      </c>
    </row>
    <row r="651" spans="1:17" s="212" customFormat="1" ht="15.5" x14ac:dyDescent="0.35">
      <c r="A651" s="198">
        <v>2027</v>
      </c>
      <c r="B651" s="197" t="s">
        <v>5838</v>
      </c>
      <c r="C651" s="197">
        <v>1974</v>
      </c>
      <c r="D651" s="225" t="str">
        <f t="shared" si="6"/>
        <v>2027_1974</v>
      </c>
      <c r="E651" s="1291">
        <v>0.21049263094732262</v>
      </c>
      <c r="F651" s="1280">
        <v>1.8115769786651204</v>
      </c>
      <c r="G651" s="1271">
        <v>2.9444675129695317</v>
      </c>
      <c r="H651" s="1280">
        <v>3.4857508498086451</v>
      </c>
      <c r="I651" s="1271">
        <v>0.22018377097229744</v>
      </c>
      <c r="J651" s="1280">
        <v>1.7074873804127866E-2</v>
      </c>
      <c r="K651" s="1271">
        <v>2.3856645644153053E-3</v>
      </c>
      <c r="L651" s="1257">
        <v>2.0000008855731348E-3</v>
      </c>
      <c r="M651" s="1230">
        <v>2.0000008855731348E-3</v>
      </c>
      <c r="N651" s="1271">
        <v>1.2855783078252603E-2</v>
      </c>
      <c r="O651" s="1257">
        <v>1.6496712760168165E-2</v>
      </c>
      <c r="P651" s="1237">
        <v>8.2483563800840824E-3</v>
      </c>
      <c r="Q651" s="1292">
        <v>0.23013950404465189</v>
      </c>
    </row>
    <row r="652" spans="1:17" s="212" customFormat="1" ht="15.5" x14ac:dyDescent="0.35">
      <c r="A652" s="198">
        <v>2027</v>
      </c>
      <c r="B652" s="197" t="s">
        <v>5838</v>
      </c>
      <c r="C652" s="197">
        <v>1975</v>
      </c>
      <c r="D652" s="225" t="str">
        <f t="shared" si="6"/>
        <v>2027_1975</v>
      </c>
      <c r="E652" s="1291">
        <v>0.21049263094732262</v>
      </c>
      <c r="F652" s="1280">
        <v>1.8115769786651204</v>
      </c>
      <c r="G652" s="1271">
        <v>2.9444675129695317</v>
      </c>
      <c r="H652" s="1280">
        <v>3.4857508498086451</v>
      </c>
      <c r="I652" s="1271">
        <v>0.22018377097229744</v>
      </c>
      <c r="J652" s="1280">
        <v>1.7074873804127866E-2</v>
      </c>
      <c r="K652" s="1271">
        <v>2.3856645644153053E-3</v>
      </c>
      <c r="L652" s="1257">
        <v>2.0000008855731348E-3</v>
      </c>
      <c r="M652" s="1230">
        <v>2.0000008855731348E-3</v>
      </c>
      <c r="N652" s="1271">
        <v>1.2855783078252603E-2</v>
      </c>
      <c r="O652" s="1257">
        <v>1.6496712760168165E-2</v>
      </c>
      <c r="P652" s="1237">
        <v>8.2483563800840824E-3</v>
      </c>
      <c r="Q652" s="1292">
        <v>0.23013950404465189</v>
      </c>
    </row>
    <row r="653" spans="1:17" s="212" customFormat="1" ht="15.5" x14ac:dyDescent="0.35">
      <c r="A653" s="198">
        <v>2027</v>
      </c>
      <c r="B653" s="197" t="s">
        <v>5838</v>
      </c>
      <c r="C653" s="197">
        <v>1976</v>
      </c>
      <c r="D653" s="225" t="str">
        <f t="shared" si="6"/>
        <v>2027_1976</v>
      </c>
      <c r="E653" s="1291">
        <v>0.21049263094732262</v>
      </c>
      <c r="F653" s="1280">
        <v>1.8115769786651204</v>
      </c>
      <c r="G653" s="1271">
        <v>2.9444675129695317</v>
      </c>
      <c r="H653" s="1280">
        <v>3.4857508498086451</v>
      </c>
      <c r="I653" s="1271">
        <v>0.22018377097229744</v>
      </c>
      <c r="J653" s="1280">
        <v>1.7074873804127866E-2</v>
      </c>
      <c r="K653" s="1271">
        <v>2.3856645644153053E-3</v>
      </c>
      <c r="L653" s="1257">
        <v>2.0000008855731348E-3</v>
      </c>
      <c r="M653" s="1230">
        <v>2.0000008855731348E-3</v>
      </c>
      <c r="N653" s="1271">
        <v>1.2855783078252603E-2</v>
      </c>
      <c r="O653" s="1257">
        <v>1.6496712760168165E-2</v>
      </c>
      <c r="P653" s="1237">
        <v>8.2483563800840824E-3</v>
      </c>
      <c r="Q653" s="1292">
        <v>0.23013950404465189</v>
      </c>
    </row>
    <row r="654" spans="1:17" s="212" customFormat="1" ht="15.5" x14ac:dyDescent="0.35">
      <c r="A654" s="198">
        <v>2027</v>
      </c>
      <c r="B654" s="197" t="s">
        <v>5838</v>
      </c>
      <c r="C654" s="197">
        <v>1977</v>
      </c>
      <c r="D654" s="225" t="str">
        <f t="shared" si="6"/>
        <v>2027_1977</v>
      </c>
      <c r="E654" s="1291">
        <v>0.21049263094732262</v>
      </c>
      <c r="F654" s="1280">
        <v>1.8115769786651204</v>
      </c>
      <c r="G654" s="1271">
        <v>2.9444675129695317</v>
      </c>
      <c r="H654" s="1280">
        <v>3.4857508498086451</v>
      </c>
      <c r="I654" s="1271">
        <v>0.22018377097229744</v>
      </c>
      <c r="J654" s="1280">
        <v>1.7074873804127866E-2</v>
      </c>
      <c r="K654" s="1271">
        <v>2.3856645644153053E-3</v>
      </c>
      <c r="L654" s="1257">
        <v>2.0000008855731348E-3</v>
      </c>
      <c r="M654" s="1230">
        <v>2.0000008855731348E-3</v>
      </c>
      <c r="N654" s="1271">
        <v>1.2855783078252603E-2</v>
      </c>
      <c r="O654" s="1257">
        <v>1.6496712760168165E-2</v>
      </c>
      <c r="P654" s="1237">
        <v>8.2483563800840824E-3</v>
      </c>
      <c r="Q654" s="1292">
        <v>0.23013950404465189</v>
      </c>
    </row>
    <row r="655" spans="1:17" s="212" customFormat="1" ht="15.5" x14ac:dyDescent="0.35">
      <c r="A655" s="198">
        <v>2027</v>
      </c>
      <c r="B655" s="197" t="s">
        <v>5838</v>
      </c>
      <c r="C655" s="197">
        <v>1978</v>
      </c>
      <c r="D655" s="225" t="str">
        <f t="shared" si="6"/>
        <v>2027_1978</v>
      </c>
      <c r="E655" s="1291">
        <v>0.21049263094732262</v>
      </c>
      <c r="F655" s="1280">
        <v>1.8115769786651204</v>
      </c>
      <c r="G655" s="1271">
        <v>2.9444675129695317</v>
      </c>
      <c r="H655" s="1280">
        <v>3.4857508498086451</v>
      </c>
      <c r="I655" s="1271">
        <v>0.22018377097229744</v>
      </c>
      <c r="J655" s="1280">
        <v>1.7074873804127866E-2</v>
      </c>
      <c r="K655" s="1271">
        <v>2.3856645644153053E-3</v>
      </c>
      <c r="L655" s="1257">
        <v>2.0000008855731348E-3</v>
      </c>
      <c r="M655" s="1230">
        <v>2.0000008855731348E-3</v>
      </c>
      <c r="N655" s="1271">
        <v>1.2855783078252603E-2</v>
      </c>
      <c r="O655" s="1257">
        <v>1.6496712760168165E-2</v>
      </c>
      <c r="P655" s="1237">
        <v>8.2483563800840824E-3</v>
      </c>
      <c r="Q655" s="1292">
        <v>0.23013950404465189</v>
      </c>
    </row>
    <row r="656" spans="1:17" s="212" customFormat="1" ht="15.5" x14ac:dyDescent="0.35">
      <c r="A656" s="198">
        <v>2027</v>
      </c>
      <c r="B656" s="197" t="s">
        <v>5838</v>
      </c>
      <c r="C656" s="197">
        <v>1979</v>
      </c>
      <c r="D656" s="225" t="str">
        <f t="shared" si="6"/>
        <v>2027_1979</v>
      </c>
      <c r="E656" s="1291">
        <v>0.21049263094732262</v>
      </c>
      <c r="F656" s="1280">
        <v>1.8115769786651204</v>
      </c>
      <c r="G656" s="1271">
        <v>2.9444675129695317</v>
      </c>
      <c r="H656" s="1280">
        <v>3.4857508498086451</v>
      </c>
      <c r="I656" s="1271">
        <v>0.22018377097229744</v>
      </c>
      <c r="J656" s="1280">
        <v>1.7074873804127866E-2</v>
      </c>
      <c r="K656" s="1271">
        <v>2.3856645644153053E-3</v>
      </c>
      <c r="L656" s="1257">
        <v>2.0000008855731348E-3</v>
      </c>
      <c r="M656" s="1230">
        <v>2.0000008855731348E-3</v>
      </c>
      <c r="N656" s="1271">
        <v>1.2855783078252603E-2</v>
      </c>
      <c r="O656" s="1257">
        <v>1.6496712760168165E-2</v>
      </c>
      <c r="P656" s="1237">
        <v>8.2483563800840824E-3</v>
      </c>
      <c r="Q656" s="1292">
        <v>0.23013950404465189</v>
      </c>
    </row>
    <row r="657" spans="1:17" s="212" customFormat="1" ht="15.5" x14ac:dyDescent="0.35">
      <c r="A657" s="198">
        <v>2027</v>
      </c>
      <c r="B657" s="197" t="s">
        <v>5838</v>
      </c>
      <c r="C657" s="197">
        <v>1980</v>
      </c>
      <c r="D657" s="225" t="str">
        <f t="shared" si="6"/>
        <v>2027_1980</v>
      </c>
      <c r="E657" s="1291">
        <v>0.21049263094732262</v>
      </c>
      <c r="F657" s="1280">
        <v>1.8115769786651204</v>
      </c>
      <c r="G657" s="1271">
        <v>2.9444675129695317</v>
      </c>
      <c r="H657" s="1280">
        <v>3.4857508498086451</v>
      </c>
      <c r="I657" s="1271">
        <v>0.22018377097229744</v>
      </c>
      <c r="J657" s="1280">
        <v>1.7074873804127866E-2</v>
      </c>
      <c r="K657" s="1271">
        <v>2.3856645644153053E-3</v>
      </c>
      <c r="L657" s="1257">
        <v>2.0000008855731348E-3</v>
      </c>
      <c r="M657" s="1230">
        <v>2.0000008855731348E-3</v>
      </c>
      <c r="N657" s="1271">
        <v>1.2855783078252603E-2</v>
      </c>
      <c r="O657" s="1257">
        <v>1.6496712760168165E-2</v>
      </c>
      <c r="P657" s="1237">
        <v>8.2483563800840824E-3</v>
      </c>
      <c r="Q657" s="1292">
        <v>0.23013950404465189</v>
      </c>
    </row>
    <row r="658" spans="1:17" s="212" customFormat="1" ht="15.5" x14ac:dyDescent="0.35">
      <c r="A658" s="198">
        <v>2027</v>
      </c>
      <c r="B658" s="197" t="s">
        <v>5838</v>
      </c>
      <c r="C658" s="197">
        <v>1981</v>
      </c>
      <c r="D658" s="225" t="str">
        <f t="shared" si="6"/>
        <v>2027_1981</v>
      </c>
      <c r="E658" s="1291">
        <v>0.21049263094732262</v>
      </c>
      <c r="F658" s="1280">
        <v>1.8115769786651204</v>
      </c>
      <c r="G658" s="1271">
        <v>2.9444675129695317</v>
      </c>
      <c r="H658" s="1280">
        <v>3.4857508498086451</v>
      </c>
      <c r="I658" s="1271">
        <v>0.22018377097229744</v>
      </c>
      <c r="J658" s="1280">
        <v>1.7074873804127866E-2</v>
      </c>
      <c r="K658" s="1271">
        <v>2.3856645644153053E-3</v>
      </c>
      <c r="L658" s="1257">
        <v>2.0000008855731348E-3</v>
      </c>
      <c r="M658" s="1230">
        <v>2.0000008855731348E-3</v>
      </c>
      <c r="N658" s="1271">
        <v>1.2855783078252603E-2</v>
      </c>
      <c r="O658" s="1257">
        <v>1.6496712760168165E-2</v>
      </c>
      <c r="P658" s="1237">
        <v>8.2483563800840824E-3</v>
      </c>
      <c r="Q658" s="1292">
        <v>0.23013950404465189</v>
      </c>
    </row>
    <row r="659" spans="1:17" s="212" customFormat="1" ht="15.5" x14ac:dyDescent="0.35">
      <c r="A659" s="198">
        <v>2027</v>
      </c>
      <c r="B659" s="197" t="s">
        <v>5838</v>
      </c>
      <c r="C659" s="197">
        <v>1982</v>
      </c>
      <c r="D659" s="225" t="str">
        <f t="shared" si="6"/>
        <v>2027_1982</v>
      </c>
      <c r="E659" s="1291">
        <v>0.21049263094732262</v>
      </c>
      <c r="F659" s="1280">
        <v>1.8115769786651204</v>
      </c>
      <c r="G659" s="1271">
        <v>2.9444675129695317</v>
      </c>
      <c r="H659" s="1280">
        <v>3.4857508498086451</v>
      </c>
      <c r="I659" s="1271">
        <v>0.22018377097229744</v>
      </c>
      <c r="J659" s="1280">
        <v>1.7074873804127866E-2</v>
      </c>
      <c r="K659" s="1271">
        <v>2.3856645644153053E-3</v>
      </c>
      <c r="L659" s="1257">
        <v>2.0000008855731348E-3</v>
      </c>
      <c r="M659" s="1230">
        <v>2.0000008855731348E-3</v>
      </c>
      <c r="N659" s="1271">
        <v>1.2855783078252603E-2</v>
      </c>
      <c r="O659" s="1257">
        <v>1.6496712760168165E-2</v>
      </c>
      <c r="P659" s="1237">
        <v>8.2483563800840824E-3</v>
      </c>
      <c r="Q659" s="1292">
        <v>0.23013950404465189</v>
      </c>
    </row>
    <row r="660" spans="1:17" s="212" customFormat="1" ht="15.5" x14ac:dyDescent="0.35">
      <c r="A660" s="198">
        <v>2027</v>
      </c>
      <c r="B660" s="197" t="s">
        <v>5838</v>
      </c>
      <c r="C660" s="197">
        <v>1983</v>
      </c>
      <c r="D660" s="225" t="str">
        <f t="shared" si="6"/>
        <v>2027_1983</v>
      </c>
      <c r="E660" s="1287">
        <v>0.21049263094732262</v>
      </c>
      <c r="F660" s="1306">
        <v>1.8115769786651204</v>
      </c>
      <c r="G660" s="1303">
        <v>2.9444675129695317</v>
      </c>
      <c r="H660" s="1306">
        <v>3.4857508498086451</v>
      </c>
      <c r="I660" s="1303">
        <v>0.22018377097229744</v>
      </c>
      <c r="J660" s="1306">
        <v>1.7074873804127866E-2</v>
      </c>
      <c r="K660" s="1303">
        <v>2.3856645644153053E-3</v>
      </c>
      <c r="L660" s="1288">
        <v>2.0000008855731348E-3</v>
      </c>
      <c r="M660" s="1230">
        <v>2.0000008855731348E-3</v>
      </c>
      <c r="N660" s="1303">
        <v>1.2855783078252603E-2</v>
      </c>
      <c r="O660" s="1288">
        <v>1.6496712760168165E-2</v>
      </c>
      <c r="P660" s="1237">
        <v>8.2483563800840824E-3</v>
      </c>
      <c r="Q660" s="1290">
        <v>0.23013950404465189</v>
      </c>
    </row>
    <row r="661" spans="1:17" s="212" customFormat="1" ht="15.5" x14ac:dyDescent="0.35">
      <c r="A661" s="198">
        <v>2027</v>
      </c>
      <c r="B661" s="197" t="s">
        <v>5838</v>
      </c>
      <c r="C661" s="197">
        <v>1984</v>
      </c>
      <c r="D661" s="225" t="str">
        <f t="shared" si="6"/>
        <v>2027_1984</v>
      </c>
      <c r="E661" s="1287">
        <v>0.27751965724709732</v>
      </c>
      <c r="F661" s="1306">
        <v>1.399135777533498</v>
      </c>
      <c r="G661" s="1303">
        <v>3.493951359205127</v>
      </c>
      <c r="H661" s="1306">
        <v>3.4427458771367139</v>
      </c>
      <c r="I661" s="1303">
        <v>0.18968329514617663</v>
      </c>
      <c r="J661" s="1306">
        <v>1.7573772110096107E-2</v>
      </c>
      <c r="K661" s="1303">
        <v>2.5681173396020205E-3</v>
      </c>
      <c r="L661" s="1288">
        <v>2.0000008335071735E-3</v>
      </c>
      <c r="M661" s="1230">
        <v>2.0000008335071735E-3</v>
      </c>
      <c r="N661" s="1303">
        <v>1.7117476896087527E-2</v>
      </c>
      <c r="O661" s="1288">
        <v>1.6952727362932216E-2</v>
      </c>
      <c r="P661" s="1237">
        <v>8.4763636814661081E-3</v>
      </c>
      <c r="Q661" s="1290">
        <v>0.19825993204553063</v>
      </c>
    </row>
    <row r="662" spans="1:17" s="212" customFormat="1" ht="15.5" x14ac:dyDescent="0.35">
      <c r="A662" s="198">
        <v>2027</v>
      </c>
      <c r="B662" s="197" t="s">
        <v>5838</v>
      </c>
      <c r="C662" s="197">
        <v>1985</v>
      </c>
      <c r="D662" s="225" t="str">
        <f t="shared" si="6"/>
        <v>2027_1985</v>
      </c>
      <c r="E662" s="1287">
        <v>0.26419758266124266</v>
      </c>
      <c r="F662" s="1306">
        <v>1.3695462664641191</v>
      </c>
      <c r="G662" s="1303">
        <v>4.0155689056391646</v>
      </c>
      <c r="H662" s="1306">
        <v>3.1133253941632142</v>
      </c>
      <c r="I662" s="1303">
        <v>0.18583449879862779</v>
      </c>
      <c r="J662" s="1306">
        <v>1.6341905006859034E-2</v>
      </c>
      <c r="K662" s="1303">
        <v>2.7074583508254362E-3</v>
      </c>
      <c r="L662" s="1288">
        <v>2.0000009336252336E-3</v>
      </c>
      <c r="M662" s="1230">
        <v>2.0000009336252336E-3</v>
      </c>
      <c r="N662" s="1303">
        <v>2.0438849642638E-2</v>
      </c>
      <c r="O662" s="1288">
        <v>1.6878643230595999E-2</v>
      </c>
      <c r="P662" s="1237">
        <v>8.4393216152979997E-3</v>
      </c>
      <c r="Q662" s="1290">
        <v>0.19423711020592604</v>
      </c>
    </row>
    <row r="663" spans="1:17" s="212" customFormat="1" ht="15.5" x14ac:dyDescent="0.35">
      <c r="A663" s="198">
        <v>2027</v>
      </c>
      <c r="B663" s="197" t="s">
        <v>5838</v>
      </c>
      <c r="C663" s="197">
        <v>1986</v>
      </c>
      <c r="D663" s="225" t="str">
        <f t="shared" si="6"/>
        <v>2027_1986</v>
      </c>
      <c r="E663" s="1287">
        <v>0.25573115350500758</v>
      </c>
      <c r="F663" s="1306">
        <v>1.0911722186754964</v>
      </c>
      <c r="G663" s="1303">
        <v>4.3642999311664354</v>
      </c>
      <c r="H663" s="1306">
        <v>3.1914231601070813</v>
      </c>
      <c r="I663" s="1303">
        <v>0.18381365322890844</v>
      </c>
      <c r="J663" s="1306">
        <v>1.6522352581996275E-2</v>
      </c>
      <c r="K663" s="1303">
        <v>2.8049971655354248E-3</v>
      </c>
      <c r="L663" s="1288">
        <v>2.0000009248305546E-3</v>
      </c>
      <c r="M663" s="1230">
        <v>2.0000009248305546E-3</v>
      </c>
      <c r="N663" s="1303">
        <v>2.2718491308691923E-2</v>
      </c>
      <c r="O663" s="1288">
        <v>1.6039202830064936E-2</v>
      </c>
      <c r="P663" s="1237">
        <v>8.0196014150324679E-3</v>
      </c>
      <c r="Q663" s="1290">
        <v>0.19212489096691338</v>
      </c>
    </row>
    <row r="664" spans="1:17" s="212" customFormat="1" ht="15.5" x14ac:dyDescent="0.35">
      <c r="A664" s="198">
        <v>2027</v>
      </c>
      <c r="B664" s="197" t="s">
        <v>5838</v>
      </c>
      <c r="C664" s="197">
        <v>1987</v>
      </c>
      <c r="D664" s="225" t="str">
        <f t="shared" si="6"/>
        <v>2027_1987</v>
      </c>
      <c r="E664" s="1287">
        <v>0.29649708547844267</v>
      </c>
      <c r="F664" s="1306">
        <v>1.1942880016042374</v>
      </c>
      <c r="G664" s="1303">
        <v>4.9701815767898161</v>
      </c>
      <c r="H664" s="1306">
        <v>3.0751708741267363</v>
      </c>
      <c r="I664" s="1303">
        <v>0.20059863345797491</v>
      </c>
      <c r="J664" s="1306">
        <v>1.6834832310261855E-2</v>
      </c>
      <c r="K664" s="1303">
        <v>2.9371283449068581E-3</v>
      </c>
      <c r="L664" s="1288">
        <v>2.000001054649681E-3</v>
      </c>
      <c r="M664" s="1230">
        <v>2.000001054649681E-3</v>
      </c>
      <c r="N664" s="1303">
        <v>2.582529027021746E-2</v>
      </c>
      <c r="O664" s="1288">
        <v>1.4189190252116344E-2</v>
      </c>
      <c r="P664" s="1237">
        <v>7.0945951260581721E-3</v>
      </c>
      <c r="Q664" s="1290">
        <v>0.2096688135196916</v>
      </c>
    </row>
    <row r="665" spans="1:17" s="212" customFormat="1" ht="15.5" x14ac:dyDescent="0.35">
      <c r="A665" s="198">
        <v>2027</v>
      </c>
      <c r="B665" s="197" t="s">
        <v>5838</v>
      </c>
      <c r="C665" s="197">
        <v>1988</v>
      </c>
      <c r="D665" s="225" t="str">
        <f t="shared" si="6"/>
        <v>2027_1988</v>
      </c>
      <c r="E665" s="1287">
        <v>0.29378390237519086</v>
      </c>
      <c r="F665" s="1306">
        <v>0.50275377393722009</v>
      </c>
      <c r="G665" s="1303">
        <v>5.0753708665724249</v>
      </c>
      <c r="H665" s="1306">
        <v>1.666867631570556</v>
      </c>
      <c r="I665" s="1303">
        <v>0.19923691620376699</v>
      </c>
      <c r="J665" s="1306">
        <v>1.6204614798158386E-2</v>
      </c>
      <c r="K665" s="1303">
        <v>2.9603945049556297E-3</v>
      </c>
      <c r="L665" s="1288">
        <v>2.0000010638342638E-3</v>
      </c>
      <c r="M665" s="1230">
        <v>2.0000010638342638E-3</v>
      </c>
      <c r="N665" s="1303">
        <v>2.6376870604349536E-2</v>
      </c>
      <c r="O665" s="1288">
        <v>1.402793572951744E-2</v>
      </c>
      <c r="P665" s="1237">
        <v>7.0139678647587198E-3</v>
      </c>
      <c r="Q665" s="1290">
        <v>0.20824552545377895</v>
      </c>
    </row>
    <row r="666" spans="1:17" s="212" customFormat="1" ht="15.5" x14ac:dyDescent="0.35">
      <c r="A666" s="198">
        <v>2027</v>
      </c>
      <c r="B666" s="197" t="s">
        <v>5838</v>
      </c>
      <c r="C666" s="197">
        <v>1989</v>
      </c>
      <c r="D666" s="225" t="str">
        <f t="shared" si="6"/>
        <v>2027_1989</v>
      </c>
      <c r="E666" s="1287">
        <v>0.29712289429323602</v>
      </c>
      <c r="F666" s="1306">
        <v>0.44507493429015499</v>
      </c>
      <c r="G666" s="1303">
        <v>4.9455440865255103</v>
      </c>
      <c r="H666" s="1306">
        <v>1.8883973598240931</v>
      </c>
      <c r="I666" s="1303">
        <v>0.20091599264715723</v>
      </c>
      <c r="J666" s="1306">
        <v>1.6350923284165552E-2</v>
      </c>
      <c r="K666" s="1303">
        <v>2.9314557484526544E-3</v>
      </c>
      <c r="L666" s="1288">
        <v>2.0000011224324257E-3</v>
      </c>
      <c r="M666" s="1230">
        <v>2.0000011224324257E-3</v>
      </c>
      <c r="N666" s="1303">
        <v>2.5696411758233926E-2</v>
      </c>
      <c r="O666" s="1288">
        <v>1.2917383049702476E-2</v>
      </c>
      <c r="P666" s="1237">
        <v>6.4586915248512379E-3</v>
      </c>
      <c r="Q666" s="1290">
        <v>0.21000052228314911</v>
      </c>
    </row>
    <row r="667" spans="1:17" s="212" customFormat="1" ht="15.5" x14ac:dyDescent="0.35">
      <c r="A667" s="198">
        <v>2027</v>
      </c>
      <c r="B667" s="197" t="s">
        <v>5838</v>
      </c>
      <c r="C667" s="197">
        <v>1990</v>
      </c>
      <c r="D667" s="225" t="str">
        <f t="shared" si="6"/>
        <v>2027_1990</v>
      </c>
      <c r="E667" s="1287">
        <v>0.29824722441725676</v>
      </c>
      <c r="F667" s="1306">
        <v>0.48742156593926672</v>
      </c>
      <c r="G667" s="1303">
        <v>4.9988831778995424</v>
      </c>
      <c r="H667" s="1306">
        <v>1.8683030046314457</v>
      </c>
      <c r="I667" s="1303">
        <v>0.20213315001648127</v>
      </c>
      <c r="J667" s="1306">
        <v>1.6516848446241895E-2</v>
      </c>
      <c r="K667" s="1303">
        <v>2.9532510114635285E-3</v>
      </c>
      <c r="L667" s="1288">
        <v>2.0000010795636833E-3</v>
      </c>
      <c r="M667" s="1230">
        <v>2.0000010795636833E-3</v>
      </c>
      <c r="N667" s="1303">
        <v>2.6205537970302641E-2</v>
      </c>
      <c r="O667" s="1288">
        <v>1.2366114292565058E-2</v>
      </c>
      <c r="P667" s="1237">
        <v>6.1830571462825291E-3</v>
      </c>
      <c r="Q667" s="1290">
        <v>0.21127271410765761</v>
      </c>
    </row>
    <row r="668" spans="1:17" s="212" customFormat="1" ht="15.5" x14ac:dyDescent="0.35">
      <c r="A668" s="198">
        <v>2027</v>
      </c>
      <c r="B668" s="197" t="s">
        <v>5838</v>
      </c>
      <c r="C668" s="197">
        <v>1991</v>
      </c>
      <c r="D668" s="225" t="str">
        <f t="shared" si="6"/>
        <v>2027_1991</v>
      </c>
      <c r="E668" s="1287">
        <v>0.37849228434039095</v>
      </c>
      <c r="F668" s="1306">
        <v>0.49858204742447654</v>
      </c>
      <c r="G668" s="1303">
        <v>8.9416125264984387</v>
      </c>
      <c r="H668" s="1306">
        <v>2.3131557664783973</v>
      </c>
      <c r="I668" s="1303">
        <v>5.8168297200902871E-2</v>
      </c>
      <c r="J668" s="1306">
        <v>9.2211161373464481E-3</v>
      </c>
      <c r="K668" s="1303">
        <v>2.9722665761756461E-3</v>
      </c>
      <c r="L668" s="1288">
        <v>2.0000011094205824E-3</v>
      </c>
      <c r="M668" s="1230">
        <v>2.0000011094205824E-3</v>
      </c>
      <c r="N668" s="1303">
        <v>2.6646826893750624E-2</v>
      </c>
      <c r="O668" s="1288">
        <v>1.1642656466881724E-2</v>
      </c>
      <c r="P668" s="1237">
        <v>5.8213282334408619E-3</v>
      </c>
      <c r="Q668" s="1290">
        <v>6.0798409482331728E-2</v>
      </c>
    </row>
    <row r="669" spans="1:17" s="212" customFormat="1" ht="15.5" x14ac:dyDescent="0.35">
      <c r="A669" s="198">
        <v>2027</v>
      </c>
      <c r="B669" s="197" t="s">
        <v>5838</v>
      </c>
      <c r="C669" s="197">
        <v>1992</v>
      </c>
      <c r="D669" s="225" t="str">
        <f t="shared" si="6"/>
        <v>2027_1992</v>
      </c>
      <c r="E669" s="1287">
        <v>0.37915108988305196</v>
      </c>
      <c r="F669" s="1306">
        <v>0.49915820607978839</v>
      </c>
      <c r="G669" s="1303">
        <v>8.6740500875325779</v>
      </c>
      <c r="H669" s="1306">
        <v>2.2203834638891813</v>
      </c>
      <c r="I669" s="1303">
        <v>6.3141111682286144E-2</v>
      </c>
      <c r="J669" s="1306">
        <v>9.3837735947516036E-3</v>
      </c>
      <c r="K669" s="1303">
        <v>2.9420241972246894E-3</v>
      </c>
      <c r="L669" s="1288">
        <v>2.0000011453266938E-3</v>
      </c>
      <c r="M669" s="1230">
        <v>2.0000011453266938E-3</v>
      </c>
      <c r="N669" s="1303">
        <v>2.5935503804789119E-2</v>
      </c>
      <c r="O669" s="1288">
        <v>9.8318812511154902E-3</v>
      </c>
      <c r="P669" s="1237">
        <v>4.9159406255577451E-3</v>
      </c>
      <c r="Q669" s="1290">
        <v>6.5996072568025754E-2</v>
      </c>
    </row>
    <row r="670" spans="1:17" s="212" customFormat="1" ht="15.5" x14ac:dyDescent="0.35">
      <c r="A670" s="198">
        <v>2027</v>
      </c>
      <c r="B670" s="197" t="s">
        <v>5838</v>
      </c>
      <c r="C670" s="197">
        <v>1993</v>
      </c>
      <c r="D670" s="225" t="str">
        <f t="shared" si="6"/>
        <v>2027_1993</v>
      </c>
      <c r="E670" s="1287">
        <v>0.377542967124048</v>
      </c>
      <c r="F670" s="1306">
        <v>0.50309457105956601</v>
      </c>
      <c r="G670" s="1303">
        <v>9.0160475785598724</v>
      </c>
      <c r="H670" s="1306">
        <v>2.2468924747005965</v>
      </c>
      <c r="I670" s="1303">
        <v>5.408399934782649E-2</v>
      </c>
      <c r="J670" s="1306">
        <v>9.3858185313851449E-3</v>
      </c>
      <c r="K670" s="1303">
        <v>2.98545753953875E-3</v>
      </c>
      <c r="L670" s="1288">
        <v>2.0000011241728694E-3</v>
      </c>
      <c r="M670" s="1230">
        <v>2.0000011241728694E-3</v>
      </c>
      <c r="N670" s="1303">
        <v>2.6958672765529129E-2</v>
      </c>
      <c r="O670" s="1288">
        <v>1.0928870583991033E-2</v>
      </c>
      <c r="P670" s="1237">
        <v>5.4644352919955164E-3</v>
      </c>
      <c r="Q670" s="1290">
        <v>5.6529437804142518E-2</v>
      </c>
    </row>
    <row r="671" spans="1:17" s="212" customFormat="1" ht="15.5" x14ac:dyDescent="0.35">
      <c r="A671" s="198">
        <v>2027</v>
      </c>
      <c r="B671" s="197" t="s">
        <v>5838</v>
      </c>
      <c r="C671" s="197">
        <v>1994</v>
      </c>
      <c r="D671" s="225" t="str">
        <f t="shared" ref="D671:D759" si="7">CONCATENATE(A671,"_",C671)</f>
        <v>2027_1994</v>
      </c>
      <c r="E671" s="1287">
        <v>0.35900268646847733</v>
      </c>
      <c r="F671" s="1306">
        <v>0.50183518903250779</v>
      </c>
      <c r="G671" s="1303">
        <v>8.6162483131574543</v>
      </c>
      <c r="H671" s="1306">
        <v>2.1064166697324289</v>
      </c>
      <c r="I671" s="1303">
        <v>5.4200593679063228E-2</v>
      </c>
      <c r="J671" s="1306">
        <v>9.5813886611344507E-3</v>
      </c>
      <c r="K671" s="1303">
        <v>2.9277423591373801E-3</v>
      </c>
      <c r="L671" s="1288">
        <v>2.0000012989783542E-3</v>
      </c>
      <c r="M671" s="1230">
        <v>2.0000012989783542E-3</v>
      </c>
      <c r="N671" s="1303">
        <v>2.5594605104482131E-2</v>
      </c>
      <c r="O671" s="1288">
        <v>8.1408444857229614E-3</v>
      </c>
      <c r="P671" s="1237">
        <v>4.0704222428614807E-3</v>
      </c>
      <c r="Q671" s="1290">
        <v>5.6651304013658005E-2</v>
      </c>
    </row>
    <row r="672" spans="1:17" s="212" customFormat="1" ht="15.5" x14ac:dyDescent="0.35">
      <c r="A672" s="198">
        <v>2027</v>
      </c>
      <c r="B672" s="197" t="s">
        <v>5838</v>
      </c>
      <c r="C672" s="197">
        <v>1995</v>
      </c>
      <c r="D672" s="225" t="str">
        <f t="shared" si="7"/>
        <v>2027_1995</v>
      </c>
      <c r="E672" s="1287">
        <v>0.37243412474417659</v>
      </c>
      <c r="F672" s="1306">
        <v>0.37169860137529703</v>
      </c>
      <c r="G672" s="1303">
        <v>9.1649754974706319</v>
      </c>
      <c r="H672" s="1306">
        <v>1.6551070863681454</v>
      </c>
      <c r="I672" s="1303">
        <v>5.3714186733009116E-2</v>
      </c>
      <c r="J672" s="1306">
        <v>8.599122657275908E-3</v>
      </c>
      <c r="K672" s="1303">
        <v>2.9901688807594923E-3</v>
      </c>
      <c r="L672" s="1288">
        <v>2.0000011964113966E-3</v>
      </c>
      <c r="M672" s="1230">
        <v>2.0000011964113966E-3</v>
      </c>
      <c r="N672" s="1303">
        <v>2.7069550700283912E-2</v>
      </c>
      <c r="O672" s="1288">
        <v>1.0398361826548647E-2</v>
      </c>
      <c r="P672" s="1237">
        <v>5.1991809132743236E-3</v>
      </c>
      <c r="Q672" s="1290">
        <v>5.6142903903902287E-2</v>
      </c>
    </row>
    <row r="673" spans="1:17" s="212" customFormat="1" ht="15.5" x14ac:dyDescent="0.35">
      <c r="A673" s="198">
        <v>2027</v>
      </c>
      <c r="B673" s="197" t="s">
        <v>5838</v>
      </c>
      <c r="C673" s="197">
        <v>1996</v>
      </c>
      <c r="D673" s="225" t="str">
        <f t="shared" si="7"/>
        <v>2027_1996</v>
      </c>
      <c r="E673" s="1287">
        <v>0.37532046799101659</v>
      </c>
      <c r="F673" s="1306">
        <v>0.12482493756498592</v>
      </c>
      <c r="G673" s="1303">
        <v>9.170058399099613</v>
      </c>
      <c r="H673" s="1306">
        <v>0.97768642852745347</v>
      </c>
      <c r="I673" s="1303">
        <v>5.3953050368513882E-2</v>
      </c>
      <c r="J673" s="1306">
        <v>2.6877220618524169E-3</v>
      </c>
      <c r="K673" s="1303">
        <v>2.994565761922086E-3</v>
      </c>
      <c r="L673" s="1288">
        <v>2.0000011735769145E-3</v>
      </c>
      <c r="M673" s="1230">
        <v>2.0000011735769145E-3</v>
      </c>
      <c r="N673" s="1303">
        <v>2.7171723122408516E-2</v>
      </c>
      <c r="O673" s="1288">
        <v>1.0397601624990385E-2</v>
      </c>
      <c r="P673" s="1237">
        <v>5.1988008124951926E-3</v>
      </c>
      <c r="Q673" s="1290">
        <v>5.6392567893062878E-2</v>
      </c>
    </row>
    <row r="674" spans="1:17" s="212" customFormat="1" ht="15.5" x14ac:dyDescent="0.35">
      <c r="A674" s="198">
        <v>2027</v>
      </c>
      <c r="B674" s="197" t="s">
        <v>5838</v>
      </c>
      <c r="C674" s="197">
        <v>1997</v>
      </c>
      <c r="D674" s="225" t="str">
        <f t="shared" si="7"/>
        <v>2027_1997</v>
      </c>
      <c r="E674" s="1287">
        <v>0.37748360070790954</v>
      </c>
      <c r="F674" s="1306">
        <v>0.12488186423515123</v>
      </c>
      <c r="G674" s="1303">
        <v>9.1781287896239512</v>
      </c>
      <c r="H674" s="1306">
        <v>0.98050103367298658</v>
      </c>
      <c r="I674" s="1303">
        <v>5.4115944814085798E-2</v>
      </c>
      <c r="J674" s="1306">
        <v>2.6857029302000336E-3</v>
      </c>
      <c r="K674" s="1303">
        <v>2.9983381604481666E-3</v>
      </c>
      <c r="L674" s="1288">
        <v>2.0000011618661268E-3</v>
      </c>
      <c r="M674" s="1230">
        <v>2.0000011618661268E-3</v>
      </c>
      <c r="N674" s="1303">
        <v>2.7261022814772339E-2</v>
      </c>
      <c r="O674" s="1288">
        <v>1.0314462472132233E-2</v>
      </c>
      <c r="P674" s="1237">
        <v>5.1572312360661163E-3</v>
      </c>
      <c r="Q674" s="1290">
        <v>5.6562827702630061E-2</v>
      </c>
    </row>
    <row r="675" spans="1:17" s="212" customFormat="1" ht="15.5" x14ac:dyDescent="0.35">
      <c r="A675" s="198">
        <v>2027</v>
      </c>
      <c r="B675" s="197" t="s">
        <v>5838</v>
      </c>
      <c r="C675" s="197">
        <v>1998</v>
      </c>
      <c r="D675" s="225" t="str">
        <f t="shared" si="7"/>
        <v>2027_1998</v>
      </c>
      <c r="E675" s="1287">
        <v>0.37687958094228718</v>
      </c>
      <c r="F675" s="1306">
        <v>0.12831180371220946</v>
      </c>
      <c r="G675" s="1303">
        <v>9.1851279713888498</v>
      </c>
      <c r="H675" s="1306">
        <v>1.0036663873799532</v>
      </c>
      <c r="I675" s="1303">
        <v>5.4032735984678837E-2</v>
      </c>
      <c r="J675" s="1306">
        <v>2.7282656345099408E-3</v>
      </c>
      <c r="K675" s="1303">
        <v>2.9981925362361161E-3</v>
      </c>
      <c r="L675" s="1288">
        <v>2.0000012471810113E-3</v>
      </c>
      <c r="M675" s="1230">
        <v>2.0000012471810113E-3</v>
      </c>
      <c r="N675" s="1303">
        <v>2.7257082995849127E-2</v>
      </c>
      <c r="O675" s="1288">
        <v>8.6893463181557575E-3</v>
      </c>
      <c r="P675" s="1237">
        <v>4.3446731590778788E-3</v>
      </c>
      <c r="Q675" s="1290">
        <v>5.6475856539191106E-2</v>
      </c>
    </row>
    <row r="676" spans="1:17" s="212" customFormat="1" ht="15.5" x14ac:dyDescent="0.35">
      <c r="A676" s="198">
        <v>2027</v>
      </c>
      <c r="B676" s="197" t="s">
        <v>5838</v>
      </c>
      <c r="C676" s="197">
        <v>1999</v>
      </c>
      <c r="D676" s="225" t="str">
        <f t="shared" si="7"/>
        <v>2027_1999</v>
      </c>
      <c r="E676" s="1287">
        <v>0.37731363393335415</v>
      </c>
      <c r="F676" s="1306">
        <v>0.12616491788703099</v>
      </c>
      <c r="G676" s="1303">
        <v>9.1957252794507003</v>
      </c>
      <c r="H676" s="1306">
        <v>0.9950409865016292</v>
      </c>
      <c r="I676" s="1303">
        <v>5.4060912184753576E-2</v>
      </c>
      <c r="J676" s="1306">
        <v>2.7559440677730205E-3</v>
      </c>
      <c r="K676" s="1303">
        <v>2.9991351636299889E-3</v>
      </c>
      <c r="L676" s="1288">
        <v>2.0000012987553685E-3</v>
      </c>
      <c r="M676" s="1230">
        <v>2.0000012987553685E-3</v>
      </c>
      <c r="N676" s="1303">
        <v>2.7279730504694573E-2</v>
      </c>
      <c r="O676" s="1288">
        <v>8.3192639389199265E-3</v>
      </c>
      <c r="P676" s="1237">
        <v>4.1596319694599633E-3</v>
      </c>
      <c r="Q676" s="1290">
        <v>5.65053067420032E-2</v>
      </c>
    </row>
    <row r="677" spans="1:17" s="212" customFormat="1" ht="15.5" x14ac:dyDescent="0.35">
      <c r="A677" s="198">
        <v>2027</v>
      </c>
      <c r="B677" s="197" t="s">
        <v>5838</v>
      </c>
      <c r="C677" s="197">
        <v>2000</v>
      </c>
      <c r="D677" s="225" t="str">
        <f t="shared" si="7"/>
        <v>2027_2000</v>
      </c>
      <c r="E677" s="1287">
        <v>0.37564197269966887</v>
      </c>
      <c r="F677" s="1306">
        <v>0.12112413208052546</v>
      </c>
      <c r="G677" s="1303">
        <v>9.2328786501130882</v>
      </c>
      <c r="H677" s="1306">
        <v>0.96928407849317122</v>
      </c>
      <c r="I677" s="1303">
        <v>5.3797517971046718E-2</v>
      </c>
      <c r="J677" s="1306">
        <v>2.7572098233872959E-3</v>
      </c>
      <c r="K677" s="1303">
        <v>2.9997355050414352E-3</v>
      </c>
      <c r="L677" s="1288">
        <v>2.0000013578740056E-3</v>
      </c>
      <c r="M677" s="1230">
        <v>2.0000013578740056E-3</v>
      </c>
      <c r="N677" s="1303">
        <v>2.7293712604356302E-2</v>
      </c>
      <c r="O677" s="1288">
        <v>8.5054892649473191E-3</v>
      </c>
      <c r="P677" s="1237">
        <v>4.2527446324736595E-3</v>
      </c>
      <c r="Q677" s="1290">
        <v>5.6230003010747064E-2</v>
      </c>
    </row>
    <row r="678" spans="1:17" s="212" customFormat="1" ht="15.5" x14ac:dyDescent="0.35">
      <c r="A678" s="198">
        <v>2027</v>
      </c>
      <c r="B678" s="197" t="s">
        <v>5838</v>
      </c>
      <c r="C678" s="197">
        <v>2001</v>
      </c>
      <c r="D678" s="225" t="str">
        <f t="shared" si="7"/>
        <v>2027_2001</v>
      </c>
      <c r="E678" s="1287">
        <v>0.37742141310925964</v>
      </c>
      <c r="F678" s="1306">
        <v>0.11845954063766354</v>
      </c>
      <c r="G678" s="1303">
        <v>9.2017397402092875</v>
      </c>
      <c r="H678" s="1306">
        <v>0.95217652603797531</v>
      </c>
      <c r="I678" s="1303">
        <v>5.4045539858493155E-2</v>
      </c>
      <c r="J678" s="1306">
        <v>2.783128930190767E-3</v>
      </c>
      <c r="K678" s="1303">
        <v>2.9999167586041765E-3</v>
      </c>
      <c r="L678" s="1288">
        <v>2.000001346250186E-3</v>
      </c>
      <c r="M678" s="1230">
        <v>2.000001346250186E-3</v>
      </c>
      <c r="N678" s="1303">
        <v>2.7298045618896625E-2</v>
      </c>
      <c r="O678" s="1288">
        <v>7.7930283778012673E-3</v>
      </c>
      <c r="P678" s="1237">
        <v>3.8965141889006336E-3</v>
      </c>
      <c r="Q678" s="1290">
        <v>5.6489239347363052E-2</v>
      </c>
    </row>
    <row r="679" spans="1:17" s="212" customFormat="1" ht="15.5" x14ac:dyDescent="0.35">
      <c r="A679" s="198">
        <v>2027</v>
      </c>
      <c r="B679" s="197" t="s">
        <v>5838</v>
      </c>
      <c r="C679" s="197">
        <v>2002</v>
      </c>
      <c r="D679" s="225" t="str">
        <f t="shared" si="7"/>
        <v>2027_2002</v>
      </c>
      <c r="E679" s="1287">
        <v>0.291060285138875</v>
      </c>
      <c r="F679" s="1306">
        <v>0.11830148119808188</v>
      </c>
      <c r="G679" s="1303">
        <v>7.1174396279383769</v>
      </c>
      <c r="H679" s="1306">
        <v>0.92580690384925224</v>
      </c>
      <c r="I679" s="1303">
        <v>5.4255640043128016E-2</v>
      </c>
      <c r="J679" s="1306">
        <v>2.8015849672488754E-3</v>
      </c>
      <c r="K679" s="1303">
        <v>2.9999276649902646E-3</v>
      </c>
      <c r="L679" s="1288">
        <v>2.0000014256767169E-3</v>
      </c>
      <c r="M679" s="1230">
        <v>2.0000014256767169E-3</v>
      </c>
      <c r="N679" s="1303">
        <v>2.7298300738586741E-2</v>
      </c>
      <c r="O679" s="1288">
        <v>7.1480918140279202E-3</v>
      </c>
      <c r="P679" s="1237">
        <v>3.5740459070139601E-3</v>
      </c>
      <c r="Q679" s="1290">
        <v>5.67088393300412E-2</v>
      </c>
    </row>
    <row r="680" spans="1:17" s="212" customFormat="1" ht="15.5" x14ac:dyDescent="0.35">
      <c r="A680" s="198">
        <v>2027</v>
      </c>
      <c r="B680" s="197" t="s">
        <v>5838</v>
      </c>
      <c r="C680" s="197">
        <v>2003</v>
      </c>
      <c r="D680" s="225" t="str">
        <f t="shared" si="7"/>
        <v>2027_2003</v>
      </c>
      <c r="E680" s="1287">
        <v>0.28948067206504613</v>
      </c>
      <c r="F680" s="1306">
        <v>9.6018811241746049E-2</v>
      </c>
      <c r="G680" s="1303">
        <v>7.143917990262497</v>
      </c>
      <c r="H680" s="1306">
        <v>0.72035255484305594</v>
      </c>
      <c r="I680" s="1303">
        <v>5.3961002173573122E-2</v>
      </c>
      <c r="J680" s="1306">
        <v>2.7900739442587854E-3</v>
      </c>
      <c r="K680" s="1303">
        <v>2.999933378743636E-3</v>
      </c>
      <c r="L680" s="1288">
        <v>2.0000014444093621E-3</v>
      </c>
      <c r="M680" s="1230">
        <v>2.0000014444093621E-3</v>
      </c>
      <c r="N680" s="1303">
        <v>2.7298458593893894E-2</v>
      </c>
      <c r="O680" s="1288">
        <v>7.4701394040159203E-3</v>
      </c>
      <c r="P680" s="1237">
        <v>3.7350697020079602E-3</v>
      </c>
      <c r="Q680" s="1290">
        <v>5.6400879243461252E-2</v>
      </c>
    </row>
    <row r="681" spans="1:17" s="212" customFormat="1" ht="15.5" x14ac:dyDescent="0.35">
      <c r="A681" s="198">
        <v>2027</v>
      </c>
      <c r="B681" s="197" t="s">
        <v>5838</v>
      </c>
      <c r="C681" s="197">
        <v>2004</v>
      </c>
      <c r="D681" s="225" t="str">
        <f t="shared" si="7"/>
        <v>2027_2004</v>
      </c>
      <c r="E681" s="1287">
        <v>0.59574697650381092</v>
      </c>
      <c r="F681" s="1306">
        <v>1.7959798228246573E-2</v>
      </c>
      <c r="G681" s="1303">
        <v>4.2091323241864078</v>
      </c>
      <c r="H681" s="1306">
        <v>0.12011107873542351</v>
      </c>
      <c r="I681" s="1303">
        <v>0.15442433533619204</v>
      </c>
      <c r="J681" s="1306">
        <v>1.8691926963499648E-4</v>
      </c>
      <c r="K681" s="1303">
        <v>2.9991233307113691E-3</v>
      </c>
      <c r="L681" s="1288">
        <v>2.0000015224518356E-3</v>
      </c>
      <c r="M681" s="1230">
        <v>2.0000015224518356E-3</v>
      </c>
      <c r="N681" s="1303">
        <v>2.7279368745556552E-2</v>
      </c>
      <c r="O681" s="1288">
        <v>6.8712629772219192E-3</v>
      </c>
      <c r="P681" s="1237">
        <v>3.4356314886109596E-3</v>
      </c>
      <c r="Q681" s="1290">
        <v>0.16140671853225608</v>
      </c>
    </row>
    <row r="682" spans="1:17" s="212" customFormat="1" ht="15.5" x14ac:dyDescent="0.35">
      <c r="A682" s="198">
        <v>2027</v>
      </c>
      <c r="B682" s="197" t="s">
        <v>5838</v>
      </c>
      <c r="C682" s="197">
        <v>2005</v>
      </c>
      <c r="D682" s="225" t="str">
        <f t="shared" si="7"/>
        <v>2027_2005</v>
      </c>
      <c r="E682" s="1287">
        <v>0.55542813947538527</v>
      </c>
      <c r="F682" s="1306">
        <v>1.5989173482100973E-2</v>
      </c>
      <c r="G682" s="1303">
        <v>4.0225047567119718</v>
      </c>
      <c r="H682" s="1306">
        <v>0.1039859782317355</v>
      </c>
      <c r="I682" s="1303">
        <v>0.14631423219144629</v>
      </c>
      <c r="J682" s="1306">
        <v>1.8729435948930181E-4</v>
      </c>
      <c r="K682" s="1303">
        <v>2.9241001342163674E-3</v>
      </c>
      <c r="L682" s="1288">
        <v>2.0000015402120552E-3</v>
      </c>
      <c r="M682" s="1230">
        <v>2.0000015402120552E-3</v>
      </c>
      <c r="N682" s="1303">
        <v>2.5506346512392503E-2</v>
      </c>
      <c r="O682" s="1288">
        <v>6.3115028742239121E-3</v>
      </c>
      <c r="P682" s="1237">
        <v>3.155751437111956E-3</v>
      </c>
      <c r="Q682" s="1290">
        <v>0.15292991251135377</v>
      </c>
    </row>
    <row r="683" spans="1:17" s="212" customFormat="1" ht="15.5" x14ac:dyDescent="0.35">
      <c r="A683" s="198">
        <v>2027</v>
      </c>
      <c r="B683" s="197" t="s">
        <v>5838</v>
      </c>
      <c r="C683" s="197">
        <v>2006</v>
      </c>
      <c r="D683" s="225" t="str">
        <f t="shared" si="7"/>
        <v>2027_2006</v>
      </c>
      <c r="E683" s="1287">
        <v>0.5653764584772456</v>
      </c>
      <c r="F683" s="1306">
        <v>6.6930875793883259E-3</v>
      </c>
      <c r="G683" s="1303">
        <v>4.0855562976722206</v>
      </c>
      <c r="H683" s="1306">
        <v>7.7466403644378137E-2</v>
      </c>
      <c r="I683" s="1303">
        <v>0.14840003199899213</v>
      </c>
      <c r="J683" s="1306">
        <v>1.8252984207807856E-4</v>
      </c>
      <c r="K683" s="1303">
        <v>2.9535748521476871E-3</v>
      </c>
      <c r="L683" s="1288">
        <v>2.0000014444322353E-3</v>
      </c>
      <c r="M683" s="1230">
        <v>2.0000014444322353E-3</v>
      </c>
      <c r="N683" s="1303">
        <v>2.6202026624333168E-2</v>
      </c>
      <c r="O683" s="1288">
        <v>9.0733715341569203E-3</v>
      </c>
      <c r="P683" s="1237">
        <v>4.5366857670784601E-3</v>
      </c>
      <c r="Q683" s="1290">
        <v>0.15511002293059747</v>
      </c>
    </row>
    <row r="684" spans="1:17" s="212" customFormat="1" ht="15.5" x14ac:dyDescent="0.35">
      <c r="A684" s="198">
        <v>2027</v>
      </c>
      <c r="B684" s="197" t="s">
        <v>5838</v>
      </c>
      <c r="C684" s="197">
        <v>2007</v>
      </c>
      <c r="D684" s="225" t="str">
        <f t="shared" si="7"/>
        <v>2027_2007</v>
      </c>
      <c r="E684" s="1287">
        <v>0.30857729677296336</v>
      </c>
      <c r="F684" s="1306">
        <v>8.6721373809606449E-3</v>
      </c>
      <c r="G684" s="1303">
        <v>2.2704136705278191</v>
      </c>
      <c r="H684" s="1306">
        <v>6.6047696026056965E-2</v>
      </c>
      <c r="I684" s="1303">
        <v>8.0857927369808388E-2</v>
      </c>
      <c r="J684" s="1306">
        <v>1.864001511891189E-4</v>
      </c>
      <c r="K684" s="1303">
        <v>2.9239536106371511E-3</v>
      </c>
      <c r="L684" s="1288">
        <v>2.00000146591504E-3</v>
      </c>
      <c r="M684" s="1230">
        <v>2.00000146591504E-3</v>
      </c>
      <c r="N684" s="1303">
        <v>2.5501643111425467E-2</v>
      </c>
      <c r="O684" s="1288">
        <v>6.5004763435455911E-3</v>
      </c>
      <c r="P684" s="1237">
        <v>3.2502381717727956E-3</v>
      </c>
      <c r="Q684" s="1290">
        <v>8.4513964043732417E-2</v>
      </c>
    </row>
    <row r="685" spans="1:17" s="212" customFormat="1" ht="15.5" x14ac:dyDescent="0.35">
      <c r="A685" s="198">
        <v>2027</v>
      </c>
      <c r="B685" s="197" t="s">
        <v>5838</v>
      </c>
      <c r="C685" s="197">
        <v>2008</v>
      </c>
      <c r="D685" s="225" t="str">
        <f t="shared" si="7"/>
        <v>2027_2008</v>
      </c>
      <c r="E685" s="1287">
        <v>0.31490623361898079</v>
      </c>
      <c r="F685" s="1306">
        <v>8.1033547829733443E-3</v>
      </c>
      <c r="G685" s="1303">
        <v>2.3365617339642539</v>
      </c>
      <c r="H685" s="1306">
        <v>5.0319867448576548E-2</v>
      </c>
      <c r="I685" s="1303">
        <v>8.2644497147379245E-2</v>
      </c>
      <c r="J685" s="1306">
        <v>2.1091266005338906E-4</v>
      </c>
      <c r="K685" s="1303">
        <v>2.9546594207670849E-3</v>
      </c>
      <c r="L685" s="1288">
        <v>2.0000016217612991E-3</v>
      </c>
      <c r="M685" s="1230">
        <v>2.0000016217612991E-3</v>
      </c>
      <c r="N685" s="1303">
        <v>2.6228084910565309E-2</v>
      </c>
      <c r="O685" s="1288">
        <v>6.3582482727850389E-3</v>
      </c>
      <c r="P685" s="1237">
        <v>3.1791241363925194E-3</v>
      </c>
      <c r="Q685" s="1290">
        <v>8.6381314578859114E-2</v>
      </c>
    </row>
    <row r="686" spans="1:17" s="212" customFormat="1" ht="15.5" x14ac:dyDescent="0.35">
      <c r="A686" s="198">
        <v>2027</v>
      </c>
      <c r="B686" s="197" t="s">
        <v>5838</v>
      </c>
      <c r="C686" s="197">
        <v>2009</v>
      </c>
      <c r="D686" s="225" t="str">
        <f t="shared" si="7"/>
        <v>2027_2009</v>
      </c>
      <c r="E686" s="1287">
        <v>0.29602784214976596</v>
      </c>
      <c r="F686" s="1306">
        <v>7.8059873439172119E-3</v>
      </c>
      <c r="G686" s="1303">
        <v>2.1870460233610225</v>
      </c>
      <c r="H686" s="1306">
        <v>3.7180263683282144E-2</v>
      </c>
      <c r="I686" s="1303">
        <v>7.7707443819729799E-2</v>
      </c>
      <c r="J686" s="1306">
        <v>2.397631135168833E-4</v>
      </c>
      <c r="K686" s="1303">
        <v>2.8874119400760065E-3</v>
      </c>
      <c r="L686" s="1288">
        <v>2.0000016725777816E-3</v>
      </c>
      <c r="M686" s="1230">
        <v>2.0000016725777816E-3</v>
      </c>
      <c r="N686" s="1303">
        <v>2.4638646062849712E-2</v>
      </c>
      <c r="O686" s="1288">
        <v>5.0022382989309278E-3</v>
      </c>
      <c r="P686" s="1237">
        <v>2.5011191494654639E-3</v>
      </c>
      <c r="Q686" s="1290">
        <v>8.1221029607583012E-2</v>
      </c>
    </row>
    <row r="687" spans="1:17" s="212" customFormat="1" ht="15.5" x14ac:dyDescent="0.35">
      <c r="A687" s="198">
        <v>2027</v>
      </c>
      <c r="B687" s="197" t="s">
        <v>5838</v>
      </c>
      <c r="C687" s="197">
        <v>2010</v>
      </c>
      <c r="D687" s="225" t="str">
        <f t="shared" si="7"/>
        <v>2027_2010</v>
      </c>
      <c r="E687" s="1287">
        <v>6.1744279107071913E-2</v>
      </c>
      <c r="F687" s="1306">
        <v>7.114289418623047E-3</v>
      </c>
      <c r="G687" s="1303">
        <v>0.51985459410159029</v>
      </c>
      <c r="H687" s="1306">
        <v>3.4736682724061156E-2</v>
      </c>
      <c r="I687" s="1303">
        <v>1.6458766180221122E-2</v>
      </c>
      <c r="J687" s="1306">
        <v>2.9581373346706862E-4</v>
      </c>
      <c r="K687" s="1303">
        <v>2.7490019425486442E-3</v>
      </c>
      <c r="L687" s="1288">
        <v>2.0000017660337516E-3</v>
      </c>
      <c r="M687" s="1230">
        <v>2.0000017660337516E-3</v>
      </c>
      <c r="N687" s="1303">
        <v>2.1357677118793255E-2</v>
      </c>
      <c r="O687" s="1288">
        <v>4.2741853901990404E-3</v>
      </c>
      <c r="P687" s="1237">
        <v>2.1370926950995202E-3</v>
      </c>
      <c r="Q687" s="1290">
        <v>1.7202958552197459E-2</v>
      </c>
    </row>
    <row r="688" spans="1:17" s="212" customFormat="1" ht="15.5" x14ac:dyDescent="0.35">
      <c r="A688" s="198">
        <v>2027</v>
      </c>
      <c r="B688" s="197" t="s">
        <v>5838</v>
      </c>
      <c r="C688" s="197">
        <v>2011</v>
      </c>
      <c r="D688" s="225" t="str">
        <f t="shared" si="7"/>
        <v>2027_2011</v>
      </c>
      <c r="E688" s="1287">
        <v>6.7414410969783303E-2</v>
      </c>
      <c r="F688" s="1306">
        <v>7.0592663911800422E-3</v>
      </c>
      <c r="G688" s="1303">
        <v>0.58130356073320077</v>
      </c>
      <c r="H688" s="1306">
        <v>3.4101451184611775E-2</v>
      </c>
      <c r="I688" s="1303">
        <v>1.7569756643034264E-2</v>
      </c>
      <c r="J688" s="1306">
        <v>3.9469446891165442E-4</v>
      </c>
      <c r="K688" s="1303">
        <v>2.8590667584920642E-3</v>
      </c>
      <c r="L688" s="1288">
        <v>2.0000017124633452E-3</v>
      </c>
      <c r="M688" s="1230">
        <v>2.0000017124633452E-3</v>
      </c>
      <c r="N688" s="1303">
        <v>2.3968782256731838E-2</v>
      </c>
      <c r="O688" s="1288">
        <v>5.0650591193828112E-3</v>
      </c>
      <c r="P688" s="1237">
        <v>2.5325295596914056E-3</v>
      </c>
      <c r="Q688" s="1290">
        <v>1.8364183073791927E-2</v>
      </c>
    </row>
    <row r="689" spans="1:17" s="212" customFormat="1" ht="15.5" x14ac:dyDescent="0.35">
      <c r="A689" s="198">
        <v>2027</v>
      </c>
      <c r="B689" s="197" t="s">
        <v>5838</v>
      </c>
      <c r="C689" s="197">
        <v>2012</v>
      </c>
      <c r="D689" s="225" t="str">
        <f t="shared" si="7"/>
        <v>2027_2012</v>
      </c>
      <c r="E689" s="1287">
        <v>4.8638204307692522E-2</v>
      </c>
      <c r="F689" s="1306">
        <v>6.6504086530636318E-3</v>
      </c>
      <c r="G689" s="1303">
        <v>0.38224676132967017</v>
      </c>
      <c r="H689" s="1306">
        <v>3.2479813025165484E-2</v>
      </c>
      <c r="I689" s="1303">
        <v>1.298271221988765E-2</v>
      </c>
      <c r="J689" s="1306">
        <v>5.7319985157239131E-4</v>
      </c>
      <c r="K689" s="1303">
        <v>2.5587595588123088E-3</v>
      </c>
      <c r="L689" s="1288">
        <v>2.000001757702314E-3</v>
      </c>
      <c r="M689" s="1230">
        <v>2.000001757702314E-3</v>
      </c>
      <c r="N689" s="1303">
        <v>1.6811610882867319E-2</v>
      </c>
      <c r="O689" s="1288">
        <v>5.4533744126616266E-3</v>
      </c>
      <c r="P689" s="1237">
        <v>2.7266872063308133E-3</v>
      </c>
      <c r="Q689" s="1290">
        <v>1.3569732856538693E-2</v>
      </c>
    </row>
    <row r="690" spans="1:17" s="212" customFormat="1" ht="15.5" x14ac:dyDescent="0.35">
      <c r="A690" s="198">
        <v>2027</v>
      </c>
      <c r="B690" s="197" t="s">
        <v>5838</v>
      </c>
      <c r="C690" s="197">
        <v>2013</v>
      </c>
      <c r="D690" s="225" t="str">
        <f t="shared" si="7"/>
        <v>2027_2013</v>
      </c>
      <c r="E690" s="1287">
        <v>6.3678205668365323E-2</v>
      </c>
      <c r="F690" s="1306">
        <v>7.1251146105025141E-3</v>
      </c>
      <c r="G690" s="1303">
        <v>0.53501400651797415</v>
      </c>
      <c r="H690" s="1306">
        <v>3.2986170191862764E-2</v>
      </c>
      <c r="I690" s="1303">
        <v>1.6075511817174766E-2</v>
      </c>
      <c r="J690" s="1306">
        <v>8.5709285534907775E-4</v>
      </c>
      <c r="K690" s="1303">
        <v>2.8154329866721586E-3</v>
      </c>
      <c r="L690" s="1288">
        <v>2.0000017583640729E-3</v>
      </c>
      <c r="M690" s="1230">
        <v>2.0000017583640729E-3</v>
      </c>
      <c r="N690" s="1303">
        <v>2.2921973373593165E-2</v>
      </c>
      <c r="O690" s="1288">
        <v>5.4483858576586204E-3</v>
      </c>
      <c r="P690" s="1237">
        <v>2.7241929288293102E-3</v>
      </c>
      <c r="Q690" s="1290">
        <v>1.6802375127520173E-2</v>
      </c>
    </row>
    <row r="691" spans="1:17" s="212" customFormat="1" ht="15.5" x14ac:dyDescent="0.35">
      <c r="A691" s="198">
        <v>2027</v>
      </c>
      <c r="B691" s="197" t="s">
        <v>5838</v>
      </c>
      <c r="C691" s="197">
        <v>2014</v>
      </c>
      <c r="D691" s="225" t="str">
        <f t="shared" si="7"/>
        <v>2027_2014</v>
      </c>
      <c r="E691" s="1287">
        <v>5.3664208381822405E-2</v>
      </c>
      <c r="F691" s="1306">
        <v>7.174838244864418E-3</v>
      </c>
      <c r="G691" s="1303">
        <v>0.43036632478650638</v>
      </c>
      <c r="H691" s="1306">
        <v>3.2562984086865782E-2</v>
      </c>
      <c r="I691" s="1303">
        <v>1.3554302245337978E-2</v>
      </c>
      <c r="J691" s="1306">
        <v>1.2088742830938474E-3</v>
      </c>
      <c r="K691" s="1303">
        <v>2.6612809216102688E-3</v>
      </c>
      <c r="L691" s="1288">
        <v>2.0000017614425045E-3</v>
      </c>
      <c r="M691" s="1230">
        <v>2.0000017614425045E-3</v>
      </c>
      <c r="N691" s="1303">
        <v>1.9230388022254481E-2</v>
      </c>
      <c r="O691" s="1288">
        <v>4.6409073219471847E-3</v>
      </c>
      <c r="P691" s="1237">
        <v>2.3204536609735924E-3</v>
      </c>
      <c r="Q691" s="1290">
        <v>1.4167167646546732E-2</v>
      </c>
    </row>
    <row r="692" spans="1:17" s="212" customFormat="1" ht="15.5" x14ac:dyDescent="0.35">
      <c r="A692" s="198">
        <v>2027</v>
      </c>
      <c r="B692" s="197" t="s">
        <v>5838</v>
      </c>
      <c r="C692" s="197">
        <v>2015</v>
      </c>
      <c r="D692" s="225" t="str">
        <f t="shared" si="7"/>
        <v>2027_2015</v>
      </c>
      <c r="E692" s="1287">
        <v>4.8601005877383564E-2</v>
      </c>
      <c r="F692" s="1306">
        <v>6.9509631981883712E-3</v>
      </c>
      <c r="G692" s="1303">
        <v>0.38010653711835418</v>
      </c>
      <c r="H692" s="1306">
        <v>3.1057846981148638E-2</v>
      </c>
      <c r="I692" s="1303">
        <v>1.2189932640592937E-2</v>
      </c>
      <c r="J692" s="1306">
        <v>1.5009894251813893E-3</v>
      </c>
      <c r="K692" s="1303">
        <v>2.594619653348707E-3</v>
      </c>
      <c r="L692" s="1288">
        <v>2.0000017325782641E-3</v>
      </c>
      <c r="M692" s="1230">
        <v>2.0000017325782641E-3</v>
      </c>
      <c r="N692" s="1303">
        <v>1.7607761614216261E-2</v>
      </c>
      <c r="O692" s="1288">
        <v>5.3712698762361389E-3</v>
      </c>
      <c r="P692" s="1237">
        <v>2.6856349381180694E-3</v>
      </c>
      <c r="Q692" s="1290">
        <v>1.2741107302575537E-2</v>
      </c>
    </row>
    <row r="693" spans="1:17" s="212" customFormat="1" ht="15.5" x14ac:dyDescent="0.35">
      <c r="A693" s="198">
        <v>2027</v>
      </c>
      <c r="B693" s="197" t="s">
        <v>5838</v>
      </c>
      <c r="C693" s="197">
        <v>2016</v>
      </c>
      <c r="D693" s="225" t="str">
        <f t="shared" si="7"/>
        <v>2027_2016</v>
      </c>
      <c r="E693" s="1287">
        <v>5.8183204356673728E-2</v>
      </c>
      <c r="F693" s="1306">
        <v>6.7627627927125539E-3</v>
      </c>
      <c r="G693" s="1303">
        <v>0.42190530541320653</v>
      </c>
      <c r="H693" s="1306">
        <v>2.9738918324023422E-2</v>
      </c>
      <c r="I693" s="1303">
        <v>1.3797300516757347E-2</v>
      </c>
      <c r="J693" s="1306">
        <v>1.709138131921866E-3</v>
      </c>
      <c r="K693" s="1303">
        <v>2.7827544457064901E-3</v>
      </c>
      <c r="L693" s="1288">
        <v>2.0000016732206719E-3</v>
      </c>
      <c r="M693" s="1230">
        <v>2.0000016732206719E-3</v>
      </c>
      <c r="N693" s="1303">
        <v>2.2098682865688946E-2</v>
      </c>
      <c r="O693" s="1288">
        <v>6.1581412802738864E-3</v>
      </c>
      <c r="P693" s="1237">
        <v>3.0790706401369432E-3</v>
      </c>
      <c r="Q693" s="1290">
        <v>1.4421153221510807E-2</v>
      </c>
    </row>
    <row r="694" spans="1:17" s="212" customFormat="1" ht="15.5" x14ac:dyDescent="0.35">
      <c r="A694" s="198">
        <v>2027</v>
      </c>
      <c r="B694" s="197" t="s">
        <v>5838</v>
      </c>
      <c r="C694" s="197">
        <v>2017</v>
      </c>
      <c r="D694" s="225" t="str">
        <f t="shared" si="7"/>
        <v>2027_2017</v>
      </c>
      <c r="E694" s="1287">
        <v>5.9673431278095164E-2</v>
      </c>
      <c r="F694" s="1306">
        <v>6.4086714960374918E-3</v>
      </c>
      <c r="G694" s="1303">
        <v>0.37512746800365315</v>
      </c>
      <c r="H694" s="1306">
        <v>2.8326432211455092E-2</v>
      </c>
      <c r="I694" s="1303">
        <v>1.3630885703485801E-2</v>
      </c>
      <c r="J694" s="1306">
        <v>1.8361190665776251E-3</v>
      </c>
      <c r="K694" s="1303">
        <v>2.8249427897708824E-3</v>
      </c>
      <c r="L694" s="1288">
        <v>2.0000016433200005E-3</v>
      </c>
      <c r="M694" s="1230">
        <v>2.0000016433200005E-3</v>
      </c>
      <c r="N694" s="1303">
        <v>2.3104502620433558E-2</v>
      </c>
      <c r="O694" s="1288">
        <v>6.1048728760626746E-3</v>
      </c>
      <c r="P694" s="1237">
        <v>3.0524364380313373E-3</v>
      </c>
      <c r="Q694" s="1290">
        <v>1.4247213868837936E-2</v>
      </c>
    </row>
    <row r="695" spans="1:17" s="212" customFormat="1" ht="15.5" x14ac:dyDescent="0.35">
      <c r="A695" s="198">
        <v>2027</v>
      </c>
      <c r="B695" s="197" t="s">
        <v>5838</v>
      </c>
      <c r="C695" s="197">
        <v>2018</v>
      </c>
      <c r="D695" s="225" t="str">
        <f t="shared" si="7"/>
        <v>2027_2018</v>
      </c>
      <c r="E695" s="1287">
        <v>5.3912195649828479E-2</v>
      </c>
      <c r="F695" s="1306">
        <v>6.1497652574230965E-3</v>
      </c>
      <c r="G695" s="1303">
        <v>0.27293530203160377</v>
      </c>
      <c r="H695" s="1306">
        <v>2.709213873683294E-2</v>
      </c>
      <c r="I695" s="1303">
        <v>1.2033537339786684E-2</v>
      </c>
      <c r="J695" s="1306">
        <v>1.9372233090479295E-3</v>
      </c>
      <c r="K695" s="1303">
        <v>2.7356598083413796E-3</v>
      </c>
      <c r="L695" s="1288">
        <v>2.000001636456378E-3</v>
      </c>
      <c r="M695" s="1230">
        <v>2.000001636456378E-3</v>
      </c>
      <c r="N695" s="1303">
        <v>2.0944689278050571E-2</v>
      </c>
      <c r="O695" s="1288">
        <v>5.4928339225485149E-3</v>
      </c>
      <c r="P695" s="1237">
        <v>2.7464169612742575E-3</v>
      </c>
      <c r="Q695" s="1290">
        <v>1.2577640500260709E-2</v>
      </c>
    </row>
    <row r="696" spans="1:17" s="212" customFormat="1" ht="15.5" x14ac:dyDescent="0.35">
      <c r="A696" s="198">
        <v>2027</v>
      </c>
      <c r="B696" s="197" t="s">
        <v>5838</v>
      </c>
      <c r="C696" s="197">
        <v>2019</v>
      </c>
      <c r="D696" s="225" t="str">
        <f t="shared" si="7"/>
        <v>2027_2019</v>
      </c>
      <c r="E696" s="1287">
        <v>6.2473347202102743E-2</v>
      </c>
      <c r="F696" s="1306">
        <v>5.8782589271240077E-3</v>
      </c>
      <c r="G696" s="1303">
        <v>0.27904285267786483</v>
      </c>
      <c r="H696" s="1306">
        <v>2.5678901007504352E-2</v>
      </c>
      <c r="I696" s="1303">
        <v>1.3010582826839048E-2</v>
      </c>
      <c r="J696" s="1306">
        <v>1.8367045223045245E-3</v>
      </c>
      <c r="K696" s="1303">
        <v>2.9189789425755892E-3</v>
      </c>
      <c r="L696" s="1288">
        <v>2.0000015587825592E-3</v>
      </c>
      <c r="M696" s="1230">
        <v>2.0000015587825592E-3</v>
      </c>
      <c r="N696" s="1303">
        <v>2.5349899252277285E-2</v>
      </c>
      <c r="O696" s="1288">
        <v>5.5308963574139886E-3</v>
      </c>
      <c r="P696" s="1237">
        <v>2.7654481787069943E-3</v>
      </c>
      <c r="Q696" s="1290">
        <v>1.3598863648662468E-2</v>
      </c>
    </row>
    <row r="697" spans="1:17" s="212" customFormat="1" ht="15.5" x14ac:dyDescent="0.35">
      <c r="A697" s="198">
        <v>2027</v>
      </c>
      <c r="B697" s="197" t="s">
        <v>5838</v>
      </c>
      <c r="C697" s="197">
        <v>2020</v>
      </c>
      <c r="D697" s="225" t="str">
        <f t="shared" si="7"/>
        <v>2027_2020</v>
      </c>
      <c r="E697" s="1287">
        <v>5.276377684473859E-2</v>
      </c>
      <c r="F697" s="1306">
        <v>5.5359104020673159E-3</v>
      </c>
      <c r="G697" s="1303">
        <v>0.20598658430377034</v>
      </c>
      <c r="H697" s="1306">
        <v>2.4040267615191162E-2</v>
      </c>
      <c r="I697" s="1303">
        <v>1.0896644397263998E-2</v>
      </c>
      <c r="J697" s="1306">
        <v>1.3567141500318827E-3</v>
      </c>
      <c r="K697" s="1303">
        <v>2.8764074676627528E-3</v>
      </c>
      <c r="L697" s="1288">
        <v>2.0000016507562527E-3</v>
      </c>
      <c r="M697" s="1230">
        <v>2.0000016507562527E-3</v>
      </c>
      <c r="N697" s="1303">
        <v>2.4325183392183546E-2</v>
      </c>
      <c r="O697" s="1288">
        <v>5.6221252858774497E-3</v>
      </c>
      <c r="P697" s="1237">
        <v>2.8110626429387249E-3</v>
      </c>
      <c r="Q697" s="1290">
        <v>1.1389342303764914E-2</v>
      </c>
    </row>
    <row r="698" spans="1:17" s="212" customFormat="1" ht="15.5" x14ac:dyDescent="0.35">
      <c r="A698" s="198">
        <v>2027</v>
      </c>
      <c r="B698" s="197" t="s">
        <v>5838</v>
      </c>
      <c r="C698" s="197">
        <v>2021</v>
      </c>
      <c r="D698" s="225" t="str">
        <f t="shared" si="7"/>
        <v>2027_2021</v>
      </c>
      <c r="E698" s="1287">
        <v>5.0645681357652191E-2</v>
      </c>
      <c r="F698" s="1306">
        <v>5.151894166840326E-3</v>
      </c>
      <c r="G698" s="1303">
        <v>0.160212331768529</v>
      </c>
      <c r="H698" s="1306">
        <v>2.2471510196602016E-2</v>
      </c>
      <c r="I698" s="1303">
        <v>9.6422034927361802E-3</v>
      </c>
      <c r="J698" s="1306">
        <v>8.8424942051000966E-4</v>
      </c>
      <c r="K698" s="1303">
        <v>2.8749807780453092E-3</v>
      </c>
      <c r="L698" s="1288">
        <v>2.0000016636795206E-3</v>
      </c>
      <c r="M698" s="1230">
        <v>2.0000016636795206E-3</v>
      </c>
      <c r="N698" s="1303">
        <v>2.4282504094239436E-2</v>
      </c>
      <c r="O698" s="1288">
        <v>5.5664180902360184E-3</v>
      </c>
      <c r="P698" s="1237">
        <v>2.7832090451180092E-3</v>
      </c>
      <c r="Q698" s="1290">
        <v>1.0078181148033428E-2</v>
      </c>
    </row>
    <row r="699" spans="1:17" s="212" customFormat="1" ht="15.5" x14ac:dyDescent="0.35">
      <c r="A699" s="198">
        <v>2027</v>
      </c>
      <c r="B699" s="197" t="s">
        <v>5838</v>
      </c>
      <c r="C699" s="197">
        <v>2022</v>
      </c>
      <c r="D699" s="225" t="str">
        <f t="shared" si="7"/>
        <v>2027_2022</v>
      </c>
      <c r="E699" s="1287">
        <v>4.9412042992224979E-2</v>
      </c>
      <c r="F699" s="1306">
        <v>4.7801270541343588E-3</v>
      </c>
      <c r="G699" s="1303">
        <v>0.11859488811452377</v>
      </c>
      <c r="H699" s="1306">
        <v>2.0933481355964945E-2</v>
      </c>
      <c r="I699" s="1303">
        <v>8.7731247860158793E-3</v>
      </c>
      <c r="J699" s="1306">
        <v>8.8475549876101999E-4</v>
      </c>
      <c r="K699" s="1303">
        <v>2.8728136868691485E-3</v>
      </c>
      <c r="L699" s="1288">
        <v>2.0000016793228106E-3</v>
      </c>
      <c r="M699" s="1230">
        <v>2.0000016793228106E-3</v>
      </c>
      <c r="N699" s="1303">
        <v>2.4221353973704247E-2</v>
      </c>
      <c r="O699" s="1288">
        <v>5.5199517650003083E-3</v>
      </c>
      <c r="P699" s="1237">
        <v>2.7599758825001541E-3</v>
      </c>
      <c r="Q699" s="1290">
        <v>9.1698065586748364E-3</v>
      </c>
    </row>
    <row r="700" spans="1:17" s="212" customFormat="1" ht="15.5" x14ac:dyDescent="0.35">
      <c r="A700" s="198">
        <v>2027</v>
      </c>
      <c r="B700" s="197" t="s">
        <v>5838</v>
      </c>
      <c r="C700" s="197">
        <v>2023</v>
      </c>
      <c r="D700" s="225" t="str">
        <f t="shared" si="7"/>
        <v>2027_2023</v>
      </c>
      <c r="E700" s="1287">
        <v>4.8205247471200342E-2</v>
      </c>
      <c r="F700" s="1306">
        <v>4.3056543001470425E-3</v>
      </c>
      <c r="G700" s="1303">
        <v>0.11267144910473061</v>
      </c>
      <c r="H700" s="1306">
        <v>1.9453766873276154E-2</v>
      </c>
      <c r="I700" s="1303">
        <v>7.8763913452415558E-3</v>
      </c>
      <c r="J700" s="1306">
        <v>8.8548713043477996E-4</v>
      </c>
      <c r="K700" s="1303">
        <v>2.8723158301315111E-3</v>
      </c>
      <c r="L700" s="1288">
        <v>2.0000016952145564E-3</v>
      </c>
      <c r="M700" s="1230">
        <v>2.0000016952145564E-3</v>
      </c>
      <c r="N700" s="1303">
        <v>2.4199978839413615E-2</v>
      </c>
      <c r="O700" s="1288">
        <v>5.4907320367473793E-3</v>
      </c>
      <c r="P700" s="1237">
        <v>2.7453660183736897E-3</v>
      </c>
      <c r="Q700" s="1290">
        <v>8.232526810904417E-3</v>
      </c>
    </row>
    <row r="701" spans="1:17" s="212" customFormat="1" ht="15.5" x14ac:dyDescent="0.35">
      <c r="A701" s="198">
        <v>2027</v>
      </c>
      <c r="B701" s="197" t="s">
        <v>5838</v>
      </c>
      <c r="C701" s="197">
        <v>2024</v>
      </c>
      <c r="D701" s="225" t="str">
        <f t="shared" si="7"/>
        <v>2027_2024</v>
      </c>
      <c r="E701" s="1287">
        <v>4.6666363345683838E-2</v>
      </c>
      <c r="F701" s="1306">
        <v>3.620413183115948E-3</v>
      </c>
      <c r="G701" s="1303">
        <v>0.10582960307277518</v>
      </c>
      <c r="H701" s="1306">
        <v>1.7812660276452848E-2</v>
      </c>
      <c r="I701" s="1303">
        <v>6.8949756228131416E-3</v>
      </c>
      <c r="J701" s="1306">
        <v>8.8543499542014198E-4</v>
      </c>
      <c r="K701" s="1303">
        <v>2.866351673864528E-3</v>
      </c>
      <c r="L701" s="1288">
        <v>2.0000017266623127E-3</v>
      </c>
      <c r="M701" s="1305">
        <v>2.000000573331375E-3</v>
      </c>
      <c r="N701" s="1303">
        <v>2.404513271925194E-2</v>
      </c>
      <c r="O701" s="1288">
        <v>5.3333742890918634E-3</v>
      </c>
      <c r="P701" s="1301">
        <v>3.3547122799568924E-3</v>
      </c>
      <c r="Q701" s="1290">
        <v>7.2067358244755691E-3</v>
      </c>
    </row>
    <row r="702" spans="1:17" s="212" customFormat="1" ht="15.5" x14ac:dyDescent="0.35">
      <c r="A702" s="198">
        <v>2027</v>
      </c>
      <c r="B702" s="197" t="s">
        <v>5838</v>
      </c>
      <c r="C702" s="197">
        <v>2025</v>
      </c>
      <c r="D702" s="225" t="str">
        <f t="shared" si="7"/>
        <v>2027_2025</v>
      </c>
      <c r="E702" s="1287">
        <v>4.5175640035250104E-2</v>
      </c>
      <c r="F702" s="1306">
        <v>3.0649386647182125E-3</v>
      </c>
      <c r="G702" s="1303">
        <v>9.8983502266512438E-2</v>
      </c>
      <c r="H702" s="1306">
        <v>1.6352092273247545E-2</v>
      </c>
      <c r="I702" s="1303">
        <v>5.8931570938689547E-3</v>
      </c>
      <c r="J702" s="1306">
        <v>8.8637293009201812E-4</v>
      </c>
      <c r="K702" s="1303">
        <v>2.8623831131851076E-3</v>
      </c>
      <c r="L702" s="1288">
        <v>2.0000017706781584E-3</v>
      </c>
      <c r="M702" s="1305">
        <v>2.0000005733601662E-3</v>
      </c>
      <c r="N702" s="1303">
        <v>2.3937960945146799E-2</v>
      </c>
      <c r="O702" s="1288">
        <v>5.2113613194745461E-3</v>
      </c>
      <c r="P702" s="1301">
        <v>3.7676319003929724E-3</v>
      </c>
      <c r="Q702" s="1290">
        <v>6.1596195071564087E-3</v>
      </c>
    </row>
    <row r="703" spans="1:17" s="212" customFormat="1" ht="15.5" x14ac:dyDescent="0.35">
      <c r="A703" s="198">
        <v>2027</v>
      </c>
      <c r="B703" s="197" t="s">
        <v>5838</v>
      </c>
      <c r="C703" s="197">
        <v>2026</v>
      </c>
      <c r="D703" s="225" t="str">
        <f t="shared" si="7"/>
        <v>2027_2026</v>
      </c>
      <c r="E703" s="1287">
        <v>4.3590587280594444E-2</v>
      </c>
      <c r="F703" s="1306">
        <v>2.9124097980709998E-3</v>
      </c>
      <c r="G703" s="1303">
        <v>9.1808258335339871E-2</v>
      </c>
      <c r="H703" s="1306">
        <v>1.532197774371633E-2</v>
      </c>
      <c r="I703" s="1303">
        <v>4.8504631913110011E-3</v>
      </c>
      <c r="J703" s="1306">
        <v>7.7134487655646758E-4</v>
      </c>
      <c r="K703" s="1303">
        <v>2.8575348341193063E-3</v>
      </c>
      <c r="L703" s="1288">
        <v>2.0000018105398934E-3</v>
      </c>
      <c r="M703" s="1305">
        <v>2.0000005734146912E-3</v>
      </c>
      <c r="N703" s="1303">
        <v>2.3807938074150721E-2</v>
      </c>
      <c r="O703" s="1288">
        <v>5.0320976711256188E-3</v>
      </c>
      <c r="P703" s="1301">
        <v>4.5715939791827389E-3</v>
      </c>
      <c r="Q703" s="1290">
        <v>5.0697796132104503E-3</v>
      </c>
    </row>
    <row r="704" spans="1:17" s="212" customFormat="1" ht="15.5" x14ac:dyDescent="0.35">
      <c r="A704" s="198">
        <v>2027</v>
      </c>
      <c r="B704" s="197" t="s">
        <v>5838</v>
      </c>
      <c r="C704" s="197">
        <v>2027</v>
      </c>
      <c r="D704" s="225" t="str">
        <f t="shared" si="7"/>
        <v>2027_2027</v>
      </c>
      <c r="E704" s="1287">
        <v>4.1017344984547441E-2</v>
      </c>
      <c r="F704" s="1306">
        <v>2.7304841447320046E-3</v>
      </c>
      <c r="G704" s="1303">
        <v>8.2517842535058131E-2</v>
      </c>
      <c r="H704" s="1306">
        <v>1.4046843314167603E-2</v>
      </c>
      <c r="I704" s="1303">
        <v>3.6941175509523521E-3</v>
      </c>
      <c r="J704" s="1306">
        <v>6.3016287526145996E-4</v>
      </c>
      <c r="K704" s="1303">
        <v>2.8322397831552684E-3</v>
      </c>
      <c r="L704" s="1288">
        <v>2.0000019221965023E-3</v>
      </c>
      <c r="M704" s="1305">
        <v>2.0000005734430054E-3</v>
      </c>
      <c r="N704" s="1303">
        <v>2.3175085123012695E-2</v>
      </c>
      <c r="O704" s="1288">
        <v>4.5080435884149112E-3</v>
      </c>
      <c r="P704" s="1301">
        <v>4.9904276933376828E-3</v>
      </c>
      <c r="Q704" s="1290">
        <v>3.8611491542025578E-3</v>
      </c>
    </row>
    <row r="705" spans="1:17" s="212" customFormat="1" ht="15.5" x14ac:dyDescent="0.35">
      <c r="A705" s="198">
        <v>2027</v>
      </c>
      <c r="B705" s="197" t="s">
        <v>5838</v>
      </c>
      <c r="C705" s="197">
        <v>2028</v>
      </c>
      <c r="D705" s="225" t="str">
        <f t="shared" si="7"/>
        <v>2027_2028</v>
      </c>
      <c r="E705" s="1291">
        <v>4.1017344984547441E-2</v>
      </c>
      <c r="F705" s="1280">
        <v>2.7304841447320046E-3</v>
      </c>
      <c r="G705" s="1271">
        <v>8.2517842535058131E-2</v>
      </c>
      <c r="H705" s="1280">
        <v>1.4046843314167603E-2</v>
      </c>
      <c r="I705" s="1271">
        <v>3.6941175509523521E-3</v>
      </c>
      <c r="J705" s="1280">
        <v>6.3016287526145996E-4</v>
      </c>
      <c r="K705" s="1271">
        <v>2.8322397831552684E-3</v>
      </c>
      <c r="L705" s="1257">
        <v>2.0000019221965023E-3</v>
      </c>
      <c r="M705" s="1230">
        <v>2.0000005734430054E-3</v>
      </c>
      <c r="N705" s="1271">
        <v>2.3175085123012695E-2</v>
      </c>
      <c r="O705" s="1257">
        <v>4.5080435884149112E-3</v>
      </c>
      <c r="P705" s="1237">
        <v>4.9904276933376828E-3</v>
      </c>
      <c r="Q705" s="1292">
        <v>3.8611491542025578E-3</v>
      </c>
    </row>
    <row r="706" spans="1:17" s="212" customFormat="1" ht="15.5" x14ac:dyDescent="0.35">
      <c r="A706" s="198">
        <v>2028</v>
      </c>
      <c r="B706" s="197" t="s">
        <v>5838</v>
      </c>
      <c r="C706" s="197">
        <v>1971</v>
      </c>
      <c r="D706" s="225" t="str">
        <f t="shared" si="7"/>
        <v>2028_1971</v>
      </c>
      <c r="E706" s="1291">
        <v>0.27828077342517904</v>
      </c>
      <c r="F706" s="1280">
        <v>1.3991586228137738</v>
      </c>
      <c r="G706" s="1271">
        <v>3.466134017438836</v>
      </c>
      <c r="H706" s="1280">
        <v>3.4419142181163727</v>
      </c>
      <c r="I706" s="1271">
        <v>0.18993292192212485</v>
      </c>
      <c r="J706" s="1280">
        <v>1.757566202042023E-2</v>
      </c>
      <c r="K706" s="1271">
        <v>2.5609090563918717E-3</v>
      </c>
      <c r="L706" s="1257">
        <v>2.0000008332611806E-3</v>
      </c>
      <c r="M706" s="1230">
        <v>2.0000008332611806E-3</v>
      </c>
      <c r="N706" s="1271">
        <v>1.6950726430236211E-2</v>
      </c>
      <c r="O706" s="1257">
        <v>1.69547887889177E-2</v>
      </c>
      <c r="P706" s="1237">
        <v>8.4773943944588502E-3</v>
      </c>
      <c r="Q706" s="1292">
        <v>0.19852084583658441</v>
      </c>
    </row>
    <row r="707" spans="1:17" s="212" customFormat="1" ht="15.5" x14ac:dyDescent="0.35">
      <c r="A707" s="198">
        <v>2028</v>
      </c>
      <c r="B707" s="197" t="s">
        <v>5838</v>
      </c>
      <c r="C707" s="197">
        <v>1972</v>
      </c>
      <c r="D707" s="225" t="str">
        <f t="shared" si="7"/>
        <v>2028_1972</v>
      </c>
      <c r="E707" s="1291">
        <v>0.27828077342517904</v>
      </c>
      <c r="F707" s="1280">
        <v>1.3991586228137738</v>
      </c>
      <c r="G707" s="1271">
        <v>3.466134017438836</v>
      </c>
      <c r="H707" s="1280">
        <v>3.4419142181163727</v>
      </c>
      <c r="I707" s="1271">
        <v>0.18993292192212485</v>
      </c>
      <c r="J707" s="1280">
        <v>1.757566202042023E-2</v>
      </c>
      <c r="K707" s="1271">
        <v>2.5609090563918717E-3</v>
      </c>
      <c r="L707" s="1257">
        <v>2.0000008332611806E-3</v>
      </c>
      <c r="M707" s="1230">
        <v>2.0000008332611806E-3</v>
      </c>
      <c r="N707" s="1271">
        <v>1.6950726430236211E-2</v>
      </c>
      <c r="O707" s="1257">
        <v>1.69547887889177E-2</v>
      </c>
      <c r="P707" s="1237">
        <v>8.4773943944588502E-3</v>
      </c>
      <c r="Q707" s="1292">
        <v>0.19852084583658441</v>
      </c>
    </row>
    <row r="708" spans="1:17" s="212" customFormat="1" ht="15.5" x14ac:dyDescent="0.35">
      <c r="A708" s="198">
        <v>2028</v>
      </c>
      <c r="B708" s="197" t="s">
        <v>5838</v>
      </c>
      <c r="C708" s="197">
        <v>1973</v>
      </c>
      <c r="D708" s="225" t="str">
        <f t="shared" si="7"/>
        <v>2028_1973</v>
      </c>
      <c r="E708" s="1291">
        <v>0.27828077342517904</v>
      </c>
      <c r="F708" s="1280">
        <v>1.3991586228137738</v>
      </c>
      <c r="G708" s="1271">
        <v>3.466134017438836</v>
      </c>
      <c r="H708" s="1280">
        <v>3.4419142181163727</v>
      </c>
      <c r="I708" s="1271">
        <v>0.18993292192212485</v>
      </c>
      <c r="J708" s="1280">
        <v>1.757566202042023E-2</v>
      </c>
      <c r="K708" s="1271">
        <v>2.5609090563918717E-3</v>
      </c>
      <c r="L708" s="1257">
        <v>2.0000008332611806E-3</v>
      </c>
      <c r="M708" s="1230">
        <v>2.0000008332611806E-3</v>
      </c>
      <c r="N708" s="1271">
        <v>1.6950726430236211E-2</v>
      </c>
      <c r="O708" s="1257">
        <v>1.69547887889177E-2</v>
      </c>
      <c r="P708" s="1237">
        <v>8.4773943944588502E-3</v>
      </c>
      <c r="Q708" s="1292">
        <v>0.19852084583658441</v>
      </c>
    </row>
    <row r="709" spans="1:17" s="212" customFormat="1" ht="15.5" x14ac:dyDescent="0.35">
      <c r="A709" s="198">
        <v>2028</v>
      </c>
      <c r="B709" s="197" t="s">
        <v>5838</v>
      </c>
      <c r="C709" s="197">
        <v>1974</v>
      </c>
      <c r="D709" s="225" t="str">
        <f t="shared" si="7"/>
        <v>2028_1974</v>
      </c>
      <c r="E709" s="1291">
        <v>0.27828077342517904</v>
      </c>
      <c r="F709" s="1280">
        <v>1.3991586228137738</v>
      </c>
      <c r="G709" s="1271">
        <v>3.466134017438836</v>
      </c>
      <c r="H709" s="1280">
        <v>3.4419142181163727</v>
      </c>
      <c r="I709" s="1271">
        <v>0.18993292192212485</v>
      </c>
      <c r="J709" s="1280">
        <v>1.757566202042023E-2</v>
      </c>
      <c r="K709" s="1271">
        <v>2.5609090563918717E-3</v>
      </c>
      <c r="L709" s="1257">
        <v>2.0000008332611806E-3</v>
      </c>
      <c r="M709" s="1230">
        <v>2.0000008332611806E-3</v>
      </c>
      <c r="N709" s="1271">
        <v>1.6950726430236211E-2</v>
      </c>
      <c r="O709" s="1257">
        <v>1.69547887889177E-2</v>
      </c>
      <c r="P709" s="1237">
        <v>8.4773943944588502E-3</v>
      </c>
      <c r="Q709" s="1292">
        <v>0.19852084583658441</v>
      </c>
    </row>
    <row r="710" spans="1:17" s="212" customFormat="1" ht="15.5" x14ac:dyDescent="0.35">
      <c r="A710" s="198">
        <v>2028</v>
      </c>
      <c r="B710" s="197" t="s">
        <v>5838</v>
      </c>
      <c r="C710" s="197">
        <v>1975</v>
      </c>
      <c r="D710" s="225" t="str">
        <f t="shared" si="7"/>
        <v>2028_1975</v>
      </c>
      <c r="E710" s="1291">
        <v>0.27828077342517904</v>
      </c>
      <c r="F710" s="1280">
        <v>1.3991586228137738</v>
      </c>
      <c r="G710" s="1271">
        <v>3.466134017438836</v>
      </c>
      <c r="H710" s="1280">
        <v>3.4419142181163727</v>
      </c>
      <c r="I710" s="1271">
        <v>0.18993292192212485</v>
      </c>
      <c r="J710" s="1280">
        <v>1.757566202042023E-2</v>
      </c>
      <c r="K710" s="1271">
        <v>2.5609090563918717E-3</v>
      </c>
      <c r="L710" s="1257">
        <v>2.0000008332611806E-3</v>
      </c>
      <c r="M710" s="1230">
        <v>2.0000008332611806E-3</v>
      </c>
      <c r="N710" s="1271">
        <v>1.6950726430236211E-2</v>
      </c>
      <c r="O710" s="1257">
        <v>1.69547887889177E-2</v>
      </c>
      <c r="P710" s="1237">
        <v>8.4773943944588502E-3</v>
      </c>
      <c r="Q710" s="1292">
        <v>0.19852084583658441</v>
      </c>
    </row>
    <row r="711" spans="1:17" s="212" customFormat="1" ht="15.5" x14ac:dyDescent="0.35">
      <c r="A711" s="198">
        <v>2028</v>
      </c>
      <c r="B711" s="197" t="s">
        <v>5838</v>
      </c>
      <c r="C711" s="197">
        <v>1976</v>
      </c>
      <c r="D711" s="225" t="str">
        <f t="shared" si="7"/>
        <v>2028_1976</v>
      </c>
      <c r="E711" s="1291">
        <v>0.27828077342517904</v>
      </c>
      <c r="F711" s="1280">
        <v>1.3991586228137738</v>
      </c>
      <c r="G711" s="1271">
        <v>3.466134017438836</v>
      </c>
      <c r="H711" s="1280">
        <v>3.4419142181163727</v>
      </c>
      <c r="I711" s="1271">
        <v>0.18993292192212485</v>
      </c>
      <c r="J711" s="1280">
        <v>1.757566202042023E-2</v>
      </c>
      <c r="K711" s="1271">
        <v>2.5609090563918717E-3</v>
      </c>
      <c r="L711" s="1257">
        <v>2.0000008332611806E-3</v>
      </c>
      <c r="M711" s="1230">
        <v>2.0000008332611806E-3</v>
      </c>
      <c r="N711" s="1271">
        <v>1.6950726430236211E-2</v>
      </c>
      <c r="O711" s="1257">
        <v>1.69547887889177E-2</v>
      </c>
      <c r="P711" s="1237">
        <v>8.4773943944588502E-3</v>
      </c>
      <c r="Q711" s="1292">
        <v>0.19852084583658441</v>
      </c>
    </row>
    <row r="712" spans="1:17" s="212" customFormat="1" ht="15.5" x14ac:dyDescent="0.35">
      <c r="A712" s="198">
        <v>2028</v>
      </c>
      <c r="B712" s="197" t="s">
        <v>5838</v>
      </c>
      <c r="C712" s="197">
        <v>1977</v>
      </c>
      <c r="D712" s="225" t="str">
        <f t="shared" si="7"/>
        <v>2028_1977</v>
      </c>
      <c r="E712" s="1291">
        <v>0.27828077342517904</v>
      </c>
      <c r="F712" s="1280">
        <v>1.3991586228137738</v>
      </c>
      <c r="G712" s="1271">
        <v>3.466134017438836</v>
      </c>
      <c r="H712" s="1280">
        <v>3.4419142181163727</v>
      </c>
      <c r="I712" s="1271">
        <v>0.18993292192212485</v>
      </c>
      <c r="J712" s="1280">
        <v>1.757566202042023E-2</v>
      </c>
      <c r="K712" s="1271">
        <v>2.5609090563918717E-3</v>
      </c>
      <c r="L712" s="1257">
        <v>2.0000008332611806E-3</v>
      </c>
      <c r="M712" s="1230">
        <v>2.0000008332611806E-3</v>
      </c>
      <c r="N712" s="1271">
        <v>1.6950726430236211E-2</v>
      </c>
      <c r="O712" s="1257">
        <v>1.69547887889177E-2</v>
      </c>
      <c r="P712" s="1237">
        <v>8.4773943944588502E-3</v>
      </c>
      <c r="Q712" s="1292">
        <v>0.19852084583658441</v>
      </c>
    </row>
    <row r="713" spans="1:17" s="212" customFormat="1" ht="15.5" x14ac:dyDescent="0.35">
      <c r="A713" s="198">
        <v>2028</v>
      </c>
      <c r="B713" s="197" t="s">
        <v>5838</v>
      </c>
      <c r="C713" s="197">
        <v>1978</v>
      </c>
      <c r="D713" s="225" t="str">
        <f t="shared" si="7"/>
        <v>2028_1978</v>
      </c>
      <c r="E713" s="1291">
        <v>0.27828077342517904</v>
      </c>
      <c r="F713" s="1280">
        <v>1.3991586228137738</v>
      </c>
      <c r="G713" s="1271">
        <v>3.466134017438836</v>
      </c>
      <c r="H713" s="1280">
        <v>3.4419142181163727</v>
      </c>
      <c r="I713" s="1271">
        <v>0.18993292192212485</v>
      </c>
      <c r="J713" s="1280">
        <v>1.757566202042023E-2</v>
      </c>
      <c r="K713" s="1271">
        <v>2.5609090563918717E-3</v>
      </c>
      <c r="L713" s="1257">
        <v>2.0000008332611806E-3</v>
      </c>
      <c r="M713" s="1230">
        <v>2.0000008332611806E-3</v>
      </c>
      <c r="N713" s="1271">
        <v>1.6950726430236211E-2</v>
      </c>
      <c r="O713" s="1257">
        <v>1.69547887889177E-2</v>
      </c>
      <c r="P713" s="1237">
        <v>8.4773943944588502E-3</v>
      </c>
      <c r="Q713" s="1292">
        <v>0.19852084583658441</v>
      </c>
    </row>
    <row r="714" spans="1:17" s="212" customFormat="1" ht="15.5" x14ac:dyDescent="0.35">
      <c r="A714" s="198">
        <v>2028</v>
      </c>
      <c r="B714" s="197" t="s">
        <v>5838</v>
      </c>
      <c r="C714" s="197">
        <v>1979</v>
      </c>
      <c r="D714" s="225" t="str">
        <f t="shared" si="7"/>
        <v>2028_1979</v>
      </c>
      <c r="E714" s="1291">
        <v>0.27828077342517904</v>
      </c>
      <c r="F714" s="1280">
        <v>1.3991586228137738</v>
      </c>
      <c r="G714" s="1271">
        <v>3.466134017438836</v>
      </c>
      <c r="H714" s="1280">
        <v>3.4419142181163727</v>
      </c>
      <c r="I714" s="1271">
        <v>0.18993292192212485</v>
      </c>
      <c r="J714" s="1280">
        <v>1.757566202042023E-2</v>
      </c>
      <c r="K714" s="1271">
        <v>2.5609090563918717E-3</v>
      </c>
      <c r="L714" s="1257">
        <v>2.0000008332611806E-3</v>
      </c>
      <c r="M714" s="1230">
        <v>2.0000008332611806E-3</v>
      </c>
      <c r="N714" s="1271">
        <v>1.6950726430236211E-2</v>
      </c>
      <c r="O714" s="1257">
        <v>1.69547887889177E-2</v>
      </c>
      <c r="P714" s="1237">
        <v>8.4773943944588502E-3</v>
      </c>
      <c r="Q714" s="1292">
        <v>0.19852084583658441</v>
      </c>
    </row>
    <row r="715" spans="1:17" s="212" customFormat="1" ht="15.5" x14ac:dyDescent="0.35">
      <c r="A715" s="198">
        <v>2028</v>
      </c>
      <c r="B715" s="197" t="s">
        <v>5838</v>
      </c>
      <c r="C715" s="197">
        <v>1980</v>
      </c>
      <c r="D715" s="225" t="str">
        <f t="shared" si="7"/>
        <v>2028_1980</v>
      </c>
      <c r="E715" s="1291">
        <v>0.27828077342517904</v>
      </c>
      <c r="F715" s="1280">
        <v>1.3991586228137738</v>
      </c>
      <c r="G715" s="1271">
        <v>3.466134017438836</v>
      </c>
      <c r="H715" s="1280">
        <v>3.4419142181163727</v>
      </c>
      <c r="I715" s="1271">
        <v>0.18993292192212485</v>
      </c>
      <c r="J715" s="1280">
        <v>1.757566202042023E-2</v>
      </c>
      <c r="K715" s="1271">
        <v>2.5609090563918717E-3</v>
      </c>
      <c r="L715" s="1257">
        <v>2.0000008332611806E-3</v>
      </c>
      <c r="M715" s="1230">
        <v>2.0000008332611806E-3</v>
      </c>
      <c r="N715" s="1271">
        <v>1.6950726430236211E-2</v>
      </c>
      <c r="O715" s="1257">
        <v>1.69547887889177E-2</v>
      </c>
      <c r="P715" s="1237">
        <v>8.4773943944588502E-3</v>
      </c>
      <c r="Q715" s="1292">
        <v>0.19852084583658441</v>
      </c>
    </row>
    <row r="716" spans="1:17" s="212" customFormat="1" ht="15.5" x14ac:dyDescent="0.35">
      <c r="A716" s="198">
        <v>2028</v>
      </c>
      <c r="B716" s="197" t="s">
        <v>5838</v>
      </c>
      <c r="C716" s="197">
        <v>1981</v>
      </c>
      <c r="D716" s="225" t="str">
        <f t="shared" si="7"/>
        <v>2028_1981</v>
      </c>
      <c r="E716" s="1291">
        <v>0.27828077342517904</v>
      </c>
      <c r="F716" s="1280">
        <v>1.3991586228137738</v>
      </c>
      <c r="G716" s="1271">
        <v>3.466134017438836</v>
      </c>
      <c r="H716" s="1280">
        <v>3.4419142181163727</v>
      </c>
      <c r="I716" s="1271">
        <v>0.18993292192212485</v>
      </c>
      <c r="J716" s="1280">
        <v>1.757566202042023E-2</v>
      </c>
      <c r="K716" s="1271">
        <v>2.5609090563918717E-3</v>
      </c>
      <c r="L716" s="1257">
        <v>2.0000008332611806E-3</v>
      </c>
      <c r="M716" s="1230">
        <v>2.0000008332611806E-3</v>
      </c>
      <c r="N716" s="1271">
        <v>1.6950726430236211E-2</v>
      </c>
      <c r="O716" s="1257">
        <v>1.69547887889177E-2</v>
      </c>
      <c r="P716" s="1237">
        <v>8.4773943944588502E-3</v>
      </c>
      <c r="Q716" s="1292">
        <v>0.19852084583658441</v>
      </c>
    </row>
    <row r="717" spans="1:17" s="212" customFormat="1" ht="15.5" x14ac:dyDescent="0.35">
      <c r="A717" s="198">
        <v>2028</v>
      </c>
      <c r="B717" s="197" t="s">
        <v>5838</v>
      </c>
      <c r="C717" s="197">
        <v>1982</v>
      </c>
      <c r="D717" s="225" t="str">
        <f t="shared" si="7"/>
        <v>2028_1982</v>
      </c>
      <c r="E717" s="1291">
        <v>0.27828077342517904</v>
      </c>
      <c r="F717" s="1280">
        <v>1.3991586228137738</v>
      </c>
      <c r="G717" s="1271">
        <v>3.466134017438836</v>
      </c>
      <c r="H717" s="1280">
        <v>3.4419142181163727</v>
      </c>
      <c r="I717" s="1271">
        <v>0.18993292192212485</v>
      </c>
      <c r="J717" s="1280">
        <v>1.757566202042023E-2</v>
      </c>
      <c r="K717" s="1271">
        <v>2.5609090563918717E-3</v>
      </c>
      <c r="L717" s="1257">
        <v>2.0000008332611806E-3</v>
      </c>
      <c r="M717" s="1230">
        <v>2.0000008332611806E-3</v>
      </c>
      <c r="N717" s="1271">
        <v>1.6950726430236211E-2</v>
      </c>
      <c r="O717" s="1257">
        <v>1.69547887889177E-2</v>
      </c>
      <c r="P717" s="1237">
        <v>8.4773943944588502E-3</v>
      </c>
      <c r="Q717" s="1292">
        <v>0.19852084583658441</v>
      </c>
    </row>
    <row r="718" spans="1:17" s="212" customFormat="1" ht="15.5" x14ac:dyDescent="0.35">
      <c r="A718" s="198">
        <v>2028</v>
      </c>
      <c r="B718" s="197" t="s">
        <v>5838</v>
      </c>
      <c r="C718" s="197">
        <v>1983</v>
      </c>
      <c r="D718" s="225" t="str">
        <f t="shared" si="7"/>
        <v>2028_1983</v>
      </c>
      <c r="E718" s="1291">
        <v>0.27828077342517904</v>
      </c>
      <c r="F718" s="1280">
        <v>1.3991586228137738</v>
      </c>
      <c r="G718" s="1271">
        <v>3.466134017438836</v>
      </c>
      <c r="H718" s="1280">
        <v>3.4419142181163727</v>
      </c>
      <c r="I718" s="1271">
        <v>0.18993292192212485</v>
      </c>
      <c r="J718" s="1280">
        <v>1.757566202042023E-2</v>
      </c>
      <c r="K718" s="1271">
        <v>2.5609090563918717E-3</v>
      </c>
      <c r="L718" s="1257">
        <v>2.0000008332611806E-3</v>
      </c>
      <c r="M718" s="1230">
        <v>2.0000008332611806E-3</v>
      </c>
      <c r="N718" s="1271">
        <v>1.6950726430236211E-2</v>
      </c>
      <c r="O718" s="1257">
        <v>1.69547887889177E-2</v>
      </c>
      <c r="P718" s="1237">
        <v>8.4773943944588502E-3</v>
      </c>
      <c r="Q718" s="1292">
        <v>0.19852084583658441</v>
      </c>
    </row>
    <row r="719" spans="1:17" s="212" customFormat="1" ht="15.5" x14ac:dyDescent="0.35">
      <c r="A719" s="198">
        <v>2028</v>
      </c>
      <c r="B719" s="197" t="s">
        <v>5838</v>
      </c>
      <c r="C719" s="197">
        <v>1984</v>
      </c>
      <c r="D719" s="225" t="str">
        <f t="shared" si="7"/>
        <v>2028_1984</v>
      </c>
      <c r="E719" s="1287">
        <v>0.27828077342517904</v>
      </c>
      <c r="F719" s="1306">
        <v>1.3991586228137738</v>
      </c>
      <c r="G719" s="1303">
        <v>3.466134017438836</v>
      </c>
      <c r="H719" s="1306">
        <v>3.4419142181163727</v>
      </c>
      <c r="I719" s="1303">
        <v>0.18993292192212485</v>
      </c>
      <c r="J719" s="1306">
        <v>1.757566202042023E-2</v>
      </c>
      <c r="K719" s="1303">
        <v>2.5609090563918717E-3</v>
      </c>
      <c r="L719" s="1288">
        <v>2.0000008332611806E-3</v>
      </c>
      <c r="M719" s="1230">
        <v>2.0000008332611806E-3</v>
      </c>
      <c r="N719" s="1303">
        <v>1.6950726430236211E-2</v>
      </c>
      <c r="O719" s="1288">
        <v>1.69547887889177E-2</v>
      </c>
      <c r="P719" s="1237">
        <v>8.4773943944588502E-3</v>
      </c>
      <c r="Q719" s="1290">
        <v>0.19852084583658441</v>
      </c>
    </row>
    <row r="720" spans="1:17" s="212" customFormat="1" ht="15.5" x14ac:dyDescent="0.35">
      <c r="A720" s="198">
        <v>2028</v>
      </c>
      <c r="B720" s="197" t="s">
        <v>5838</v>
      </c>
      <c r="C720" s="197">
        <v>1985</v>
      </c>
      <c r="D720" s="225" t="str">
        <f t="shared" si="7"/>
        <v>2028_1985</v>
      </c>
      <c r="E720" s="1287">
        <v>0.2652000979973238</v>
      </c>
      <c r="F720" s="1306">
        <v>1.3698636746334234</v>
      </c>
      <c r="G720" s="1303">
        <v>3.9802387168127109</v>
      </c>
      <c r="H720" s="1306">
        <v>3.1128333563356771</v>
      </c>
      <c r="I720" s="1303">
        <v>0.18617091580915135</v>
      </c>
      <c r="J720" s="1306">
        <v>1.6345749781533817E-2</v>
      </c>
      <c r="K720" s="1303">
        <v>2.6982588273407231E-3</v>
      </c>
      <c r="L720" s="1288">
        <v>2.0000009329120519E-3</v>
      </c>
      <c r="M720" s="1230">
        <v>2.0000009329120519E-3</v>
      </c>
      <c r="N720" s="1303">
        <v>2.0224956593256984E-2</v>
      </c>
      <c r="O720" s="1288">
        <v>1.6880646579193165E-2</v>
      </c>
      <c r="P720" s="1237">
        <v>8.4403232895965824E-3</v>
      </c>
      <c r="Q720" s="1290">
        <v>0.19458873850083788</v>
      </c>
    </row>
    <row r="721" spans="1:17" s="212" customFormat="1" ht="15.5" x14ac:dyDescent="0.35">
      <c r="A721" s="198">
        <v>2028</v>
      </c>
      <c r="B721" s="197" t="s">
        <v>5838</v>
      </c>
      <c r="C721" s="197">
        <v>1986</v>
      </c>
      <c r="D721" s="225" t="str">
        <f t="shared" si="7"/>
        <v>2028_1986</v>
      </c>
      <c r="E721" s="1287">
        <v>0.2594825717358778</v>
      </c>
      <c r="F721" s="1306">
        <v>1.0914337122654845</v>
      </c>
      <c r="G721" s="1303">
        <v>4.2331574462553494</v>
      </c>
      <c r="H721" s="1306">
        <v>3.1909215874723911</v>
      </c>
      <c r="I721" s="1303">
        <v>0.18505301286085302</v>
      </c>
      <c r="J721" s="1306">
        <v>1.6526324662388913E-2</v>
      </c>
      <c r="K721" s="1303">
        <v>2.7703562687262252E-3</v>
      </c>
      <c r="L721" s="1288">
        <v>2.0000009247213737E-3</v>
      </c>
      <c r="M721" s="1230">
        <v>2.0000009247213737E-3</v>
      </c>
      <c r="N721" s="1303">
        <v>2.1905857802375063E-2</v>
      </c>
      <c r="O721" s="1288">
        <v>1.6041584707974135E-2</v>
      </c>
      <c r="P721" s="1237">
        <v>8.0207923539870676E-3</v>
      </c>
      <c r="Q721" s="1290">
        <v>0.19342028894183794</v>
      </c>
    </row>
    <row r="722" spans="1:17" s="212" customFormat="1" ht="15.5" x14ac:dyDescent="0.35">
      <c r="A722" s="198">
        <v>2028</v>
      </c>
      <c r="B722" s="197" t="s">
        <v>5838</v>
      </c>
      <c r="C722" s="197">
        <v>1987</v>
      </c>
      <c r="D722" s="225" t="str">
        <f t="shared" si="7"/>
        <v>2028_1987</v>
      </c>
      <c r="E722" s="1287">
        <v>0.29686888960675922</v>
      </c>
      <c r="F722" s="1306">
        <v>1.1946138200683705</v>
      </c>
      <c r="G722" s="1303">
        <v>4.9431846453459345</v>
      </c>
      <c r="H722" s="1306">
        <v>3.074752950992222</v>
      </c>
      <c r="I722" s="1303">
        <v>0.20070655168597473</v>
      </c>
      <c r="J722" s="1306">
        <v>1.6838591046324344E-2</v>
      </c>
      <c r="K722" s="1303">
        <v>2.9302364868606639E-3</v>
      </c>
      <c r="L722" s="1288">
        <v>2.0000010547435105E-3</v>
      </c>
      <c r="M722" s="1230">
        <v>2.0000010547435105E-3</v>
      </c>
      <c r="N722" s="1303">
        <v>2.5664033397709528E-2</v>
      </c>
      <c r="O722" s="1288">
        <v>1.4192850988398625E-2</v>
      </c>
      <c r="P722" s="1237">
        <v>7.0964254941993125E-3</v>
      </c>
      <c r="Q722" s="1290">
        <v>0.20978161133108172</v>
      </c>
    </row>
    <row r="723" spans="1:17" s="212" customFormat="1" ht="15.5" x14ac:dyDescent="0.35">
      <c r="A723" s="198">
        <v>2028</v>
      </c>
      <c r="B723" s="197" t="s">
        <v>5838</v>
      </c>
      <c r="C723" s="197">
        <v>1988</v>
      </c>
      <c r="D723" s="225" t="str">
        <f t="shared" si="7"/>
        <v>2028_1988</v>
      </c>
      <c r="E723" s="1287">
        <v>0.29441715588270251</v>
      </c>
      <c r="F723" s="1306">
        <v>0.50305197405487945</v>
      </c>
      <c r="G723" s="1303">
        <v>5.0325079095648615</v>
      </c>
      <c r="H723" s="1306">
        <v>1.6655767874163547</v>
      </c>
      <c r="I723" s="1303">
        <v>0.1994378928330412</v>
      </c>
      <c r="J723" s="1306">
        <v>1.6209712988661577E-2</v>
      </c>
      <c r="K723" s="1303">
        <v>2.9495503559491829E-3</v>
      </c>
      <c r="L723" s="1288">
        <v>2.0000010651064831E-3</v>
      </c>
      <c r="M723" s="1230">
        <v>2.0000010651064831E-3</v>
      </c>
      <c r="N723" s="1303">
        <v>2.6124314019774858E-2</v>
      </c>
      <c r="O723" s="1288">
        <v>1.406437602749558E-2</v>
      </c>
      <c r="P723" s="1237">
        <v>7.0321880137477902E-3</v>
      </c>
      <c r="Q723" s="1290">
        <v>0.20845558935440966</v>
      </c>
    </row>
    <row r="724" spans="1:17" s="212" customFormat="1" ht="15.5" x14ac:dyDescent="0.35">
      <c r="A724" s="198">
        <v>2028</v>
      </c>
      <c r="B724" s="197" t="s">
        <v>5838</v>
      </c>
      <c r="C724" s="197">
        <v>1989</v>
      </c>
      <c r="D724" s="225" t="str">
        <f t="shared" si="7"/>
        <v>2028_1989</v>
      </c>
      <c r="E724" s="1287">
        <v>0.29743816500130771</v>
      </c>
      <c r="F724" s="1306">
        <v>0.44520699279217396</v>
      </c>
      <c r="G724" s="1303">
        <v>4.9216167105625948</v>
      </c>
      <c r="H724" s="1306">
        <v>1.8883896153579687</v>
      </c>
      <c r="I724" s="1303">
        <v>0.20100387898433555</v>
      </c>
      <c r="J724" s="1306">
        <v>1.6368776141445766E-2</v>
      </c>
      <c r="K724" s="1303">
        <v>2.9253848958707327E-3</v>
      </c>
      <c r="L724" s="1288">
        <v>2.0000011127050345E-3</v>
      </c>
      <c r="M724" s="1230">
        <v>2.0000011127050345E-3</v>
      </c>
      <c r="N724" s="1303">
        <v>2.5554809519004993E-2</v>
      </c>
      <c r="O724" s="1288">
        <v>1.3010450328677566E-2</v>
      </c>
      <c r="P724" s="1237">
        <v>6.5052251643387829E-3</v>
      </c>
      <c r="Q724" s="1290">
        <v>0.21009238245050468</v>
      </c>
    </row>
    <row r="725" spans="1:17" s="212" customFormat="1" ht="15.5" x14ac:dyDescent="0.35">
      <c r="A725" s="198">
        <v>2028</v>
      </c>
      <c r="B725" s="197" t="s">
        <v>5838</v>
      </c>
      <c r="C725" s="197">
        <v>1990</v>
      </c>
      <c r="D725" s="225" t="str">
        <f t="shared" si="7"/>
        <v>2028_1990</v>
      </c>
      <c r="E725" s="1287">
        <v>0.2986549966038537</v>
      </c>
      <c r="F725" s="1306">
        <v>0.48799124106049513</v>
      </c>
      <c r="G725" s="1303">
        <v>4.9670872617136332</v>
      </c>
      <c r="H725" s="1306">
        <v>1.8687422101466429</v>
      </c>
      <c r="I725" s="1303">
        <v>0.20223867072919824</v>
      </c>
      <c r="J725" s="1306">
        <v>1.6533025370130124E-2</v>
      </c>
      <c r="K725" s="1303">
        <v>2.9450597360398032E-3</v>
      </c>
      <c r="L725" s="1288">
        <v>2.0000010710244823E-3</v>
      </c>
      <c r="M725" s="1230">
        <v>2.0000010710244823E-3</v>
      </c>
      <c r="N725" s="1303">
        <v>2.6013973624288533E-2</v>
      </c>
      <c r="O725" s="1288">
        <v>1.2400016040974366E-2</v>
      </c>
      <c r="P725" s="1237">
        <v>6.200008020487183E-3</v>
      </c>
      <c r="Q725" s="1290">
        <v>0.21138300599876272</v>
      </c>
    </row>
    <row r="726" spans="1:17" s="212" customFormat="1" ht="15.5" x14ac:dyDescent="0.35">
      <c r="A726" s="198">
        <v>2028</v>
      </c>
      <c r="B726" s="197" t="s">
        <v>5838</v>
      </c>
      <c r="C726" s="197">
        <v>1991</v>
      </c>
      <c r="D726" s="225" t="str">
        <f t="shared" si="7"/>
        <v>2028_1991</v>
      </c>
      <c r="E726" s="1287">
        <v>0.37844536497078463</v>
      </c>
      <c r="F726" s="1306">
        <v>0.49936679198183387</v>
      </c>
      <c r="G726" s="1303">
        <v>8.9269725174157628</v>
      </c>
      <c r="H726" s="1306">
        <v>2.3105830463317534</v>
      </c>
      <c r="I726" s="1303">
        <v>5.8457657368960039E-2</v>
      </c>
      <c r="J726" s="1306">
        <v>9.2426038918647542E-3</v>
      </c>
      <c r="K726" s="1303">
        <v>2.9704431656893725E-3</v>
      </c>
      <c r="L726" s="1288">
        <v>2.0000011032139109E-3</v>
      </c>
      <c r="M726" s="1230">
        <v>2.0000011032139109E-3</v>
      </c>
      <c r="N726" s="1303">
        <v>2.6603926556030714E-2</v>
      </c>
      <c r="O726" s="1288">
        <v>1.1533660814248909E-2</v>
      </c>
      <c r="P726" s="1237">
        <v>5.7668304071244545E-3</v>
      </c>
      <c r="Q726" s="1290">
        <v>6.1100853233171777E-2</v>
      </c>
    </row>
    <row r="727" spans="1:17" s="212" customFormat="1" ht="15.5" x14ac:dyDescent="0.35">
      <c r="A727" s="198">
        <v>2028</v>
      </c>
      <c r="B727" s="197" t="s">
        <v>5838</v>
      </c>
      <c r="C727" s="197">
        <v>1992</v>
      </c>
      <c r="D727" s="225" t="str">
        <f t="shared" si="7"/>
        <v>2028_1992</v>
      </c>
      <c r="E727" s="1287">
        <v>0.37885395591186649</v>
      </c>
      <c r="F727" s="1306">
        <v>0.49956286865847843</v>
      </c>
      <c r="G727" s="1303">
        <v>8.6154124701242498</v>
      </c>
      <c r="H727" s="1306">
        <v>2.2169905653009172</v>
      </c>
      <c r="I727" s="1303">
        <v>6.4311425164902042E-2</v>
      </c>
      <c r="J727" s="1306">
        <v>9.39899795525969E-3</v>
      </c>
      <c r="K727" s="1303">
        <v>2.9345465842090953E-3</v>
      </c>
      <c r="L727" s="1288">
        <v>2.0000011401946596E-3</v>
      </c>
      <c r="M727" s="1230">
        <v>2.0000011401946596E-3</v>
      </c>
      <c r="N727" s="1303">
        <v>2.5760001923081931E-2</v>
      </c>
      <c r="O727" s="1288">
        <v>9.7370248958546686E-3</v>
      </c>
      <c r="P727" s="1237">
        <v>4.8685124479273343E-3</v>
      </c>
      <c r="Q727" s="1290">
        <v>6.7219302433136258E-2</v>
      </c>
    </row>
    <row r="728" spans="1:17" s="212" customFormat="1" ht="15.5" x14ac:dyDescent="0.35">
      <c r="A728" s="198">
        <v>2028</v>
      </c>
      <c r="B728" s="197" t="s">
        <v>5838</v>
      </c>
      <c r="C728" s="197">
        <v>1993</v>
      </c>
      <c r="D728" s="225" t="str">
        <f t="shared" si="7"/>
        <v>2028_1993</v>
      </c>
      <c r="E728" s="1287">
        <v>0.37736595248065391</v>
      </c>
      <c r="F728" s="1306">
        <v>0.50373600088904313</v>
      </c>
      <c r="G728" s="1303">
        <v>9.0109266234812093</v>
      </c>
      <c r="H728" s="1306">
        <v>2.2449751889723073</v>
      </c>
      <c r="I728" s="1303">
        <v>5.4085740320364242E-2</v>
      </c>
      <c r="J728" s="1306">
        <v>9.4031703052879709E-3</v>
      </c>
      <c r="K728" s="1303">
        <v>2.9847915736852374E-3</v>
      </c>
      <c r="L728" s="1288">
        <v>2.0000011196719745E-3</v>
      </c>
      <c r="M728" s="1230">
        <v>2.0000011196719745E-3</v>
      </c>
      <c r="N728" s="1303">
        <v>2.6943102686275644E-2</v>
      </c>
      <c r="O728" s="1288">
        <v>1.0856451008834585E-2</v>
      </c>
      <c r="P728" s="1237">
        <v>5.4282255044172927E-3</v>
      </c>
      <c r="Q728" s="1290">
        <v>5.6531257495733046E-2</v>
      </c>
    </row>
    <row r="729" spans="1:17" s="212" customFormat="1" ht="15.5" x14ac:dyDescent="0.35">
      <c r="A729" s="198">
        <v>2028</v>
      </c>
      <c r="B729" s="197" t="s">
        <v>5838</v>
      </c>
      <c r="C729" s="197">
        <v>1994</v>
      </c>
      <c r="D729" s="225" t="str">
        <f t="shared" si="7"/>
        <v>2028_1994</v>
      </c>
      <c r="E729" s="1287">
        <v>0.35686889377772679</v>
      </c>
      <c r="F729" s="1306">
        <v>0.50207079565977208</v>
      </c>
      <c r="G729" s="1303">
        <v>8.5614683374410898</v>
      </c>
      <c r="H729" s="1306">
        <v>2.1050896258517078</v>
      </c>
      <c r="I729" s="1303">
        <v>5.417957916762095E-2</v>
      </c>
      <c r="J729" s="1306">
        <v>9.5888802145473583E-3</v>
      </c>
      <c r="K729" s="1303">
        <v>2.9203803070010689E-3</v>
      </c>
      <c r="L729" s="1288">
        <v>2.0000012922501234E-3</v>
      </c>
      <c r="M729" s="1230">
        <v>2.0000012922501234E-3</v>
      </c>
      <c r="N729" s="1303">
        <v>2.5421267777954729E-2</v>
      </c>
      <c r="O729" s="1288">
        <v>8.1001546533190465E-3</v>
      </c>
      <c r="P729" s="1237">
        <v>4.0500773266595232E-3</v>
      </c>
      <c r="Q729" s="1290">
        <v>5.6629339319258877E-2</v>
      </c>
    </row>
    <row r="730" spans="1:17" s="212" customFormat="1" ht="15.5" x14ac:dyDescent="0.35">
      <c r="A730" s="198">
        <v>2028</v>
      </c>
      <c r="B730" s="197" t="s">
        <v>5838</v>
      </c>
      <c r="C730" s="197">
        <v>1995</v>
      </c>
      <c r="D730" s="225" t="str">
        <f t="shared" si="7"/>
        <v>2028_1995</v>
      </c>
      <c r="E730" s="1287">
        <v>0.37233207644354704</v>
      </c>
      <c r="F730" s="1306">
        <v>0.37179460798689989</v>
      </c>
      <c r="G730" s="1303">
        <v>9.1612646815249477</v>
      </c>
      <c r="H730" s="1306">
        <v>1.6559595833053455</v>
      </c>
      <c r="I730" s="1303">
        <v>5.3717198416320597E-2</v>
      </c>
      <c r="J730" s="1306">
        <v>8.5995638606998336E-3</v>
      </c>
      <c r="K730" s="1303">
        <v>2.9897217667125011E-3</v>
      </c>
      <c r="L730" s="1288">
        <v>2.0000011874549118E-3</v>
      </c>
      <c r="M730" s="1230">
        <v>2.0000011874549118E-3</v>
      </c>
      <c r="N730" s="1303">
        <v>2.7059114558375633E-2</v>
      </c>
      <c r="O730" s="1288">
        <v>1.0434180794708359E-2</v>
      </c>
      <c r="P730" s="1237">
        <v>5.2170903973541797E-3</v>
      </c>
      <c r="Q730" s="1290">
        <v>5.614605176216899E-2</v>
      </c>
    </row>
    <row r="731" spans="1:17" s="212" customFormat="1" ht="15.5" x14ac:dyDescent="0.35">
      <c r="A731" s="198">
        <v>2028</v>
      </c>
      <c r="B731" s="197" t="s">
        <v>5838</v>
      </c>
      <c r="C731" s="197">
        <v>1996</v>
      </c>
      <c r="D731" s="225" t="str">
        <f t="shared" si="7"/>
        <v>2028_1996</v>
      </c>
      <c r="E731" s="1287">
        <v>0.37530233122320894</v>
      </c>
      <c r="F731" s="1306">
        <v>0.12527223186440617</v>
      </c>
      <c r="G731" s="1303">
        <v>9.1686232998198616</v>
      </c>
      <c r="H731" s="1306">
        <v>0.97975383407609129</v>
      </c>
      <c r="I731" s="1303">
        <v>5.3956272299182255E-2</v>
      </c>
      <c r="J731" s="1306">
        <v>2.6917714516469845E-3</v>
      </c>
      <c r="K731" s="1303">
        <v>2.9944188638048263E-3</v>
      </c>
      <c r="L731" s="1288">
        <v>2.0000011757511146E-3</v>
      </c>
      <c r="M731" s="1230">
        <v>2.0000011757511146E-3</v>
      </c>
      <c r="N731" s="1303">
        <v>2.7168302612962724E-2</v>
      </c>
      <c r="O731" s="1288">
        <v>1.0343141038701474E-2</v>
      </c>
      <c r="P731" s="1237">
        <v>5.1715705193507372E-3</v>
      </c>
      <c r="Q731" s="1290">
        <v>5.639593550513905E-2</v>
      </c>
    </row>
    <row r="732" spans="1:17" s="212" customFormat="1" ht="15.5" x14ac:dyDescent="0.35">
      <c r="A732" s="198">
        <v>2028</v>
      </c>
      <c r="B732" s="197" t="s">
        <v>5838</v>
      </c>
      <c r="C732" s="197">
        <v>1997</v>
      </c>
      <c r="D732" s="225" t="str">
        <f t="shared" si="7"/>
        <v>2028_1997</v>
      </c>
      <c r="E732" s="1287">
        <v>0.37748575786872118</v>
      </c>
      <c r="F732" s="1306">
        <v>0.12486643791437402</v>
      </c>
      <c r="G732" s="1303">
        <v>9.1772951054630596</v>
      </c>
      <c r="H732" s="1306">
        <v>0.98027258839791109</v>
      </c>
      <c r="I732" s="1303">
        <v>5.4118969075864845E-2</v>
      </c>
      <c r="J732" s="1306">
        <v>2.6875257242696218E-3</v>
      </c>
      <c r="K732" s="1303">
        <v>2.9982682277959133E-3</v>
      </c>
      <c r="L732" s="1288">
        <v>2.0000011552315814E-3</v>
      </c>
      <c r="M732" s="1230">
        <v>2.0000011552315814E-3</v>
      </c>
      <c r="N732" s="1303">
        <v>2.7259403379963177E-2</v>
      </c>
      <c r="O732" s="1288">
        <v>1.0324721840143582E-2</v>
      </c>
      <c r="P732" s="1237">
        <v>5.1623609200717908E-3</v>
      </c>
      <c r="Q732" s="1290">
        <v>5.6565988708106849E-2</v>
      </c>
    </row>
    <row r="733" spans="1:17" s="212" customFormat="1" ht="15.5" x14ac:dyDescent="0.35">
      <c r="A733" s="198">
        <v>2028</v>
      </c>
      <c r="B733" s="197" t="s">
        <v>5838</v>
      </c>
      <c r="C733" s="197">
        <v>1998</v>
      </c>
      <c r="D733" s="225" t="str">
        <f t="shared" si="7"/>
        <v>2028_1998</v>
      </c>
      <c r="E733" s="1287">
        <v>0.376918997774145</v>
      </c>
      <c r="F733" s="1306">
        <v>0.12821425553834598</v>
      </c>
      <c r="G733" s="1303">
        <v>9.1851443925255758</v>
      </c>
      <c r="H733" s="1306">
        <v>1.003240096900559</v>
      </c>
      <c r="I733" s="1303">
        <v>5.4036528754807009E-2</v>
      </c>
      <c r="J733" s="1306">
        <v>2.7278687098652157E-3</v>
      </c>
      <c r="K733" s="1303">
        <v>2.9982421528291247E-3</v>
      </c>
      <c r="L733" s="1288">
        <v>2.000001235954502E-3</v>
      </c>
      <c r="M733" s="1230">
        <v>2.000001235954502E-3</v>
      </c>
      <c r="N733" s="1303">
        <v>2.7258265305716772E-2</v>
      </c>
      <c r="O733" s="1288">
        <v>8.7069147008943266E-3</v>
      </c>
      <c r="P733" s="1237">
        <v>4.3534573504471633E-3</v>
      </c>
      <c r="Q733" s="1290">
        <v>5.6479820801554365E-2</v>
      </c>
    </row>
    <row r="734" spans="1:17" s="212" customFormat="1" ht="15.5" x14ac:dyDescent="0.35">
      <c r="A734" s="198">
        <v>2028</v>
      </c>
      <c r="B734" s="197" t="s">
        <v>5838</v>
      </c>
      <c r="C734" s="197">
        <v>1999</v>
      </c>
      <c r="D734" s="225" t="str">
        <f t="shared" si="7"/>
        <v>2028_1999</v>
      </c>
      <c r="E734" s="1287">
        <v>0.37734421617797503</v>
      </c>
      <c r="F734" s="1306">
        <v>0.125989418142579</v>
      </c>
      <c r="G734" s="1303">
        <v>9.1957432531428456</v>
      </c>
      <c r="H734" s="1306">
        <v>0.99402069065959819</v>
      </c>
      <c r="I734" s="1303">
        <v>5.4063815199525272E-2</v>
      </c>
      <c r="J734" s="1306">
        <v>2.75624469737617E-3</v>
      </c>
      <c r="K734" s="1303">
        <v>2.9991725605794709E-3</v>
      </c>
      <c r="L734" s="1288">
        <v>2.000001294793404E-3</v>
      </c>
      <c r="M734" s="1230">
        <v>2.000001294793404E-3</v>
      </c>
      <c r="N734" s="1303">
        <v>2.7280610949082205E-2</v>
      </c>
      <c r="O734" s="1288">
        <v>8.3556059959812058E-3</v>
      </c>
      <c r="P734" s="1237">
        <v>4.1778029979906029E-3</v>
      </c>
      <c r="Q734" s="1290">
        <v>5.6508341018220908E-2</v>
      </c>
    </row>
    <row r="735" spans="1:17" s="212" customFormat="1" ht="15.5" x14ac:dyDescent="0.35">
      <c r="A735" s="198">
        <v>2028</v>
      </c>
      <c r="B735" s="197" t="s">
        <v>5838</v>
      </c>
      <c r="C735" s="197">
        <v>2000</v>
      </c>
      <c r="D735" s="225" t="str">
        <f t="shared" si="7"/>
        <v>2028_2000</v>
      </c>
      <c r="E735" s="1287">
        <v>0.37566993605695642</v>
      </c>
      <c r="F735" s="1306">
        <v>0.12095341029405525</v>
      </c>
      <c r="G735" s="1303">
        <v>9.232643898189302</v>
      </c>
      <c r="H735" s="1306">
        <v>0.96868962820745963</v>
      </c>
      <c r="I735" s="1303">
        <v>5.3801006643128965E-2</v>
      </c>
      <c r="J735" s="1306">
        <v>2.7568222929381723E-3</v>
      </c>
      <c r="K735" s="1303">
        <v>2.9997493054024866E-3</v>
      </c>
      <c r="L735" s="1288">
        <v>2.0000013436297578E-3</v>
      </c>
      <c r="M735" s="1230">
        <v>2.0000013436297578E-3</v>
      </c>
      <c r="N735" s="1303">
        <v>2.7294042936434601E-2</v>
      </c>
      <c r="O735" s="1288">
        <v>8.5303077387587235E-3</v>
      </c>
      <c r="P735" s="1237">
        <v>4.2651538693793617E-3</v>
      </c>
      <c r="Q735" s="1290">
        <v>5.6233649425100084E-2</v>
      </c>
    </row>
    <row r="736" spans="1:17" s="212" customFormat="1" ht="15.5" x14ac:dyDescent="0.35">
      <c r="A736" s="198">
        <v>2028</v>
      </c>
      <c r="B736" s="197" t="s">
        <v>5838</v>
      </c>
      <c r="C736" s="197">
        <v>2001</v>
      </c>
      <c r="D736" s="225" t="str">
        <f t="shared" si="7"/>
        <v>2028_2001</v>
      </c>
      <c r="E736" s="1287">
        <v>0.37744580347501122</v>
      </c>
      <c r="F736" s="1306">
        <v>0.11836509608877845</v>
      </c>
      <c r="G736" s="1303">
        <v>9.2013808384603823</v>
      </c>
      <c r="H736" s="1306">
        <v>0.95163464747678861</v>
      </c>
      <c r="I736" s="1303">
        <v>5.4049029717569357E-2</v>
      </c>
      <c r="J736" s="1306">
        <v>2.7833231227555196E-3</v>
      </c>
      <c r="K736" s="1303">
        <v>2.9999169784717915E-3</v>
      </c>
      <c r="L736" s="1288">
        <v>2.0000013430836656E-3</v>
      </c>
      <c r="M736" s="1230">
        <v>2.0000013430836656E-3</v>
      </c>
      <c r="N736" s="1303">
        <v>2.7298051462167891E-2</v>
      </c>
      <c r="O736" s="1288">
        <v>7.8187957264319007E-3</v>
      </c>
      <c r="P736" s="1237">
        <v>3.9093978632159503E-3</v>
      </c>
      <c r="Q736" s="1290">
        <v>5.6492887002380601E-2</v>
      </c>
    </row>
    <row r="737" spans="1:17" s="212" customFormat="1" ht="15.5" x14ac:dyDescent="0.35">
      <c r="A737" s="198">
        <v>2028</v>
      </c>
      <c r="B737" s="197" t="s">
        <v>5838</v>
      </c>
      <c r="C737" s="197">
        <v>2002</v>
      </c>
      <c r="D737" s="225" t="str">
        <f t="shared" si="7"/>
        <v>2028_2002</v>
      </c>
      <c r="E737" s="1287">
        <v>0.29108143007786907</v>
      </c>
      <c r="F737" s="1306">
        <v>0.1178721456100425</v>
      </c>
      <c r="G737" s="1303">
        <v>7.1171581614796331</v>
      </c>
      <c r="H737" s="1306">
        <v>0.92306232523228215</v>
      </c>
      <c r="I737" s="1303">
        <v>5.4259467592684463E-2</v>
      </c>
      <c r="J737" s="1306">
        <v>2.7998239719718297E-3</v>
      </c>
      <c r="K737" s="1303">
        <v>2.9999308713208779E-3</v>
      </c>
      <c r="L737" s="1288">
        <v>2.0000014164934482E-3</v>
      </c>
      <c r="M737" s="1230">
        <v>2.0000014164934482E-3</v>
      </c>
      <c r="N737" s="1303">
        <v>2.7298375702020081E-2</v>
      </c>
      <c r="O737" s="1288">
        <v>7.2471017722455381E-3</v>
      </c>
      <c r="P737" s="1237">
        <v>3.623550886122769E-3</v>
      </c>
      <c r="Q737" s="1290">
        <v>5.6712839944404084E-2</v>
      </c>
    </row>
    <row r="738" spans="1:17" s="212" customFormat="1" ht="15.5" x14ac:dyDescent="0.35">
      <c r="A738" s="198">
        <v>2028</v>
      </c>
      <c r="B738" s="197" t="s">
        <v>5838</v>
      </c>
      <c r="C738" s="197">
        <v>2003</v>
      </c>
      <c r="D738" s="225" t="str">
        <f t="shared" si="7"/>
        <v>2028_2003</v>
      </c>
      <c r="E738" s="1287">
        <v>0.2895059741593054</v>
      </c>
      <c r="F738" s="1306">
        <v>9.5784609920765651E-2</v>
      </c>
      <c r="G738" s="1303">
        <v>7.1435480806710858</v>
      </c>
      <c r="H738" s="1306">
        <v>0.71923887186790647</v>
      </c>
      <c r="I738" s="1303">
        <v>5.3965671023920928E-2</v>
      </c>
      <c r="J738" s="1306">
        <v>2.7886539321445771E-3</v>
      </c>
      <c r="K738" s="1303">
        <v>2.9999347226418267E-3</v>
      </c>
      <c r="L738" s="1288">
        <v>2.0000014365000856E-3</v>
      </c>
      <c r="M738" s="1230">
        <v>2.0000014365000856E-3</v>
      </c>
      <c r="N738" s="1303">
        <v>2.7298489577747526E-2</v>
      </c>
      <c r="O738" s="1288">
        <v>7.5766965718840618E-3</v>
      </c>
      <c r="P738" s="1237">
        <v>3.7883482859420309E-3</v>
      </c>
      <c r="Q738" s="1290">
        <v>5.6405759198504005E-2</v>
      </c>
    </row>
    <row r="739" spans="1:17" s="212" customFormat="1" ht="15.5" x14ac:dyDescent="0.35">
      <c r="A739" s="198">
        <v>2028</v>
      </c>
      <c r="B739" s="197" t="s">
        <v>5838</v>
      </c>
      <c r="C739" s="197">
        <v>2004</v>
      </c>
      <c r="D739" s="225" t="str">
        <f t="shared" si="7"/>
        <v>2028_2004</v>
      </c>
      <c r="E739" s="1287">
        <v>0.59668916781064785</v>
      </c>
      <c r="F739" s="1306">
        <v>1.7969797740338831E-2</v>
      </c>
      <c r="G739" s="1303">
        <v>4.2100672536890569</v>
      </c>
      <c r="H739" s="1306">
        <v>0.12083338520283472</v>
      </c>
      <c r="I739" s="1303">
        <v>0.15458349999276763</v>
      </c>
      <c r="J739" s="1306">
        <v>1.8684701936870851E-4</v>
      </c>
      <c r="K739" s="1303">
        <v>2.9991613397162254E-3</v>
      </c>
      <c r="L739" s="1288">
        <v>2.0000015088147169E-3</v>
      </c>
      <c r="M739" s="1230">
        <v>2.0000015088147169E-3</v>
      </c>
      <c r="N739" s="1303">
        <v>2.728026916949244E-2</v>
      </c>
      <c r="O739" s="1288">
        <v>6.9521071825915772E-3</v>
      </c>
      <c r="P739" s="1237">
        <v>3.4760535912957886E-3</v>
      </c>
      <c r="Q739" s="1290">
        <v>0.16157307990831815</v>
      </c>
    </row>
    <row r="740" spans="1:17" s="212" customFormat="1" ht="15.5" x14ac:dyDescent="0.35">
      <c r="A740" s="198">
        <v>2028</v>
      </c>
      <c r="B740" s="197" t="s">
        <v>5838</v>
      </c>
      <c r="C740" s="197">
        <v>2005</v>
      </c>
      <c r="D740" s="225" t="str">
        <f t="shared" si="7"/>
        <v>2028_2005</v>
      </c>
      <c r="E740" s="1287">
        <v>0.5590674071745626</v>
      </c>
      <c r="F740" s="1306">
        <v>1.6018537573813035E-2</v>
      </c>
      <c r="G740" s="1303">
        <v>4.0328170775632888</v>
      </c>
      <c r="H740" s="1306">
        <v>0.10474739399793888</v>
      </c>
      <c r="I740" s="1303">
        <v>0.14698442400246042</v>
      </c>
      <c r="J740" s="1306">
        <v>1.8724806687086249E-4</v>
      </c>
      <c r="K740" s="1303">
        <v>2.9277427318723254E-3</v>
      </c>
      <c r="L740" s="1288">
        <v>2.000001526667045E-3</v>
      </c>
      <c r="M740" s="1230">
        <v>2.000001526667045E-3</v>
      </c>
      <c r="N740" s="1303">
        <v>2.5593215567900691E-2</v>
      </c>
      <c r="O740" s="1288">
        <v>6.3749058089150185E-3</v>
      </c>
      <c r="P740" s="1237">
        <v>3.1874529044575092E-3</v>
      </c>
      <c r="Q740" s="1290">
        <v>0.15363040742213013</v>
      </c>
    </row>
    <row r="741" spans="1:17" s="212" customFormat="1" ht="15.5" x14ac:dyDescent="0.35">
      <c r="A741" s="198">
        <v>2028</v>
      </c>
      <c r="B741" s="197" t="s">
        <v>5838</v>
      </c>
      <c r="C741" s="197">
        <v>2006</v>
      </c>
      <c r="D741" s="225" t="str">
        <f t="shared" si="7"/>
        <v>2028_2006</v>
      </c>
      <c r="E741" s="1287">
        <v>0.56923052771305993</v>
      </c>
      <c r="F741" s="1306">
        <v>6.7801898950334231E-3</v>
      </c>
      <c r="G741" s="1303">
        <v>4.092729144295002</v>
      </c>
      <c r="H741" s="1306">
        <v>7.9284050278110765E-2</v>
      </c>
      <c r="I741" s="1303">
        <v>0.14907307539041309</v>
      </c>
      <c r="J741" s="1306">
        <v>1.8245019709256716E-4</v>
      </c>
      <c r="K741" s="1303">
        <v>2.9556867879435966E-3</v>
      </c>
      <c r="L741" s="1288">
        <v>2.0000014324712879E-3</v>
      </c>
      <c r="M741" s="1230">
        <v>2.0000014324712879E-3</v>
      </c>
      <c r="N741" s="1303">
        <v>2.6252621915604013E-2</v>
      </c>
      <c r="O741" s="1288">
        <v>9.1776944612582921E-3</v>
      </c>
      <c r="P741" s="1237">
        <v>4.5888472306291461E-3</v>
      </c>
      <c r="Q741" s="1290">
        <v>0.15581349835759287</v>
      </c>
    </row>
    <row r="742" spans="1:17" s="212" customFormat="1" ht="15.5" x14ac:dyDescent="0.35">
      <c r="A742" s="198">
        <v>2028</v>
      </c>
      <c r="B742" s="197" t="s">
        <v>5838</v>
      </c>
      <c r="C742" s="197">
        <v>2007</v>
      </c>
      <c r="D742" s="225" t="str">
        <f t="shared" si="7"/>
        <v>2028_2007</v>
      </c>
      <c r="E742" s="1287">
        <v>0.31142094231867179</v>
      </c>
      <c r="F742" s="1306">
        <v>8.729566376084753E-3</v>
      </c>
      <c r="G742" s="1303">
        <v>2.2804969698165709</v>
      </c>
      <c r="H742" s="1306">
        <v>6.700576295804081E-2</v>
      </c>
      <c r="I742" s="1303">
        <v>8.1483247796123454E-2</v>
      </c>
      <c r="J742" s="1306">
        <v>1.8637600681922236E-4</v>
      </c>
      <c r="K742" s="1303">
        <v>2.9266848261816181E-3</v>
      </c>
      <c r="L742" s="1288">
        <v>2.0000014566089932E-3</v>
      </c>
      <c r="M742" s="1230">
        <v>2.0000014566089932E-3</v>
      </c>
      <c r="N742" s="1303">
        <v>2.5567563888722035E-2</v>
      </c>
      <c r="O742" s="1288">
        <v>6.5474139788084182E-3</v>
      </c>
      <c r="P742" s="1237">
        <v>3.2737069894042091E-3</v>
      </c>
      <c r="Q742" s="1290">
        <v>8.5167558684907163E-2</v>
      </c>
    </row>
    <row r="743" spans="1:17" s="212" customFormat="1" ht="15.5" x14ac:dyDescent="0.35">
      <c r="A743" s="198">
        <v>2028</v>
      </c>
      <c r="B743" s="197" t="s">
        <v>5838</v>
      </c>
      <c r="C743" s="197">
        <v>2008</v>
      </c>
      <c r="D743" s="225" t="str">
        <f t="shared" si="7"/>
        <v>2028_2008</v>
      </c>
      <c r="E743" s="1287">
        <v>0.31801522038577579</v>
      </c>
      <c r="F743" s="1306">
        <v>8.1539388517251152E-3</v>
      </c>
      <c r="G743" s="1303">
        <v>2.3452864778692866</v>
      </c>
      <c r="H743" s="1306">
        <v>5.1154337381742736E-2</v>
      </c>
      <c r="I743" s="1303">
        <v>8.3306670134304428E-2</v>
      </c>
      <c r="J743" s="1306">
        <v>2.1077337282491708E-4</v>
      </c>
      <c r="K743" s="1303">
        <v>2.9564181505729076E-3</v>
      </c>
      <c r="L743" s="1288">
        <v>2.0000016120609496E-3</v>
      </c>
      <c r="M743" s="1230">
        <v>2.0000016120609496E-3</v>
      </c>
      <c r="N743" s="1303">
        <v>2.6270639393875386E-2</v>
      </c>
      <c r="O743" s="1288">
        <v>6.4295463475553052E-3</v>
      </c>
      <c r="P743" s="1237">
        <v>3.2147731737776526E-3</v>
      </c>
      <c r="Q743" s="1290">
        <v>8.7073428089903926E-2</v>
      </c>
    </row>
    <row r="744" spans="1:17" s="212" customFormat="1" ht="15.5" x14ac:dyDescent="0.35">
      <c r="A744" s="198">
        <v>2028</v>
      </c>
      <c r="B744" s="197" t="s">
        <v>5838</v>
      </c>
      <c r="C744" s="197">
        <v>2009</v>
      </c>
      <c r="D744" s="225" t="str">
        <f t="shared" si="7"/>
        <v>2028_2009</v>
      </c>
      <c r="E744" s="1287">
        <v>0.30003016937765864</v>
      </c>
      <c r="F744" s="1306">
        <v>7.8428222708312664E-3</v>
      </c>
      <c r="G744" s="1303">
        <v>2.2004483391587768</v>
      </c>
      <c r="H744" s="1306">
        <v>3.761141331053014E-2</v>
      </c>
      <c r="I744" s="1303">
        <v>7.8581348946820784E-2</v>
      </c>
      <c r="J744" s="1306">
        <v>2.3961457869075967E-4</v>
      </c>
      <c r="K744" s="1303">
        <v>2.890862055171368E-3</v>
      </c>
      <c r="L744" s="1288">
        <v>2.0000016606886582E-3</v>
      </c>
      <c r="M744" s="1230">
        <v>2.0000016606886582E-3</v>
      </c>
      <c r="N744" s="1303">
        <v>2.4723000734560272E-2</v>
      </c>
      <c r="O744" s="1288">
        <v>5.0496968150274026E-3</v>
      </c>
      <c r="P744" s="1237">
        <v>2.5248484075137013E-3</v>
      </c>
      <c r="Q744" s="1290">
        <v>8.2134448846624436E-2</v>
      </c>
    </row>
    <row r="745" spans="1:17" s="212" customFormat="1" ht="15.5" x14ac:dyDescent="0.35">
      <c r="A745" s="198">
        <v>2028</v>
      </c>
      <c r="B745" s="197" t="s">
        <v>5838</v>
      </c>
      <c r="C745" s="197">
        <v>2010</v>
      </c>
      <c r="D745" s="225" t="str">
        <f t="shared" si="7"/>
        <v>2028_2010</v>
      </c>
      <c r="E745" s="1287">
        <v>6.2805362104487922E-2</v>
      </c>
      <c r="F745" s="1306">
        <v>7.1627475964371676E-3</v>
      </c>
      <c r="G745" s="1303">
        <v>0.53268277684949605</v>
      </c>
      <c r="H745" s="1306">
        <v>3.5224782208541944E-2</v>
      </c>
      <c r="I745" s="1303">
        <v>1.6917941781263747E-2</v>
      </c>
      <c r="J745" s="1306">
        <v>2.9562580434730885E-4</v>
      </c>
      <c r="K745" s="1303">
        <v>2.7588437982685723E-3</v>
      </c>
      <c r="L745" s="1288">
        <v>2.0000017515941202E-3</v>
      </c>
      <c r="M745" s="1230">
        <v>2.0000017515941202E-3</v>
      </c>
      <c r="N745" s="1303">
        <v>2.1597997172872585E-2</v>
      </c>
      <c r="O745" s="1288">
        <v>4.3209140516395333E-3</v>
      </c>
      <c r="P745" s="1237">
        <v>2.1604570258197666E-3</v>
      </c>
      <c r="Q745" s="1290">
        <v>1.7682896036357684E-2</v>
      </c>
    </row>
    <row r="746" spans="1:17" s="212" customFormat="1" ht="15.5" x14ac:dyDescent="0.35">
      <c r="A746" s="198">
        <v>2028</v>
      </c>
      <c r="B746" s="197" t="s">
        <v>5838</v>
      </c>
      <c r="C746" s="197">
        <v>2011</v>
      </c>
      <c r="D746" s="225" t="str">
        <f t="shared" si="7"/>
        <v>2028_2011</v>
      </c>
      <c r="E746" s="1287">
        <v>6.8284219428867185E-2</v>
      </c>
      <c r="F746" s="1306">
        <v>7.1121251070285808E-3</v>
      </c>
      <c r="G746" s="1303">
        <v>0.59291140922763352</v>
      </c>
      <c r="H746" s="1306">
        <v>3.4641183232618153E-2</v>
      </c>
      <c r="I746" s="1303">
        <v>1.8039011005173605E-2</v>
      </c>
      <c r="J746" s="1306">
        <v>3.9438122503577627E-4</v>
      </c>
      <c r="K746" s="1303">
        <v>2.8642283277758736E-3</v>
      </c>
      <c r="L746" s="1288">
        <v>2.0000017021151303E-3</v>
      </c>
      <c r="M746" s="1230">
        <v>2.0000017021151303E-3</v>
      </c>
      <c r="N746" s="1303">
        <v>2.4095414915711627E-2</v>
      </c>
      <c r="O746" s="1288">
        <v>5.1290987818217882E-3</v>
      </c>
      <c r="P746" s="1237">
        <v>2.5645493909108941E-3</v>
      </c>
      <c r="Q746" s="1290">
        <v>1.8854655035901738E-2</v>
      </c>
    </row>
    <row r="747" spans="1:17" s="212" customFormat="1" ht="15.5" x14ac:dyDescent="0.35">
      <c r="A747" s="198">
        <v>2028</v>
      </c>
      <c r="B747" s="197" t="s">
        <v>5838</v>
      </c>
      <c r="C747" s="197">
        <v>2012</v>
      </c>
      <c r="D747" s="225" t="str">
        <f t="shared" si="7"/>
        <v>2028_2012</v>
      </c>
      <c r="E747" s="1287">
        <v>4.9641168403410867E-2</v>
      </c>
      <c r="F747" s="1306">
        <v>6.7112599445696705E-3</v>
      </c>
      <c r="G747" s="1303">
        <v>0.39379728449018137</v>
      </c>
      <c r="H747" s="1306">
        <v>3.3071119015743396E-2</v>
      </c>
      <c r="I747" s="1303">
        <v>1.3426583905004404E-2</v>
      </c>
      <c r="J747" s="1306">
        <v>5.7279435055069443E-4</v>
      </c>
      <c r="K747" s="1303">
        <v>2.567254226383848E-3</v>
      </c>
      <c r="L747" s="1288">
        <v>2.000001746549795E-3</v>
      </c>
      <c r="M747" s="1230">
        <v>2.000001746549795E-3</v>
      </c>
      <c r="N747" s="1303">
        <v>1.7029963017987652E-2</v>
      </c>
      <c r="O747" s="1288">
        <v>5.5121660474381573E-3</v>
      </c>
      <c r="P747" s="1237">
        <v>2.7560830237190787E-3</v>
      </c>
      <c r="Q747" s="1290">
        <v>1.4033674449605033E-2</v>
      </c>
    </row>
    <row r="748" spans="1:17" s="212" customFormat="1" ht="15.5" x14ac:dyDescent="0.35">
      <c r="A748" s="198">
        <v>2028</v>
      </c>
      <c r="B748" s="197" t="s">
        <v>5838</v>
      </c>
      <c r="C748" s="197">
        <v>2013</v>
      </c>
      <c r="D748" s="225" t="str">
        <f t="shared" si="7"/>
        <v>2028_2013</v>
      </c>
      <c r="E748" s="1287">
        <v>6.4606839991954712E-2</v>
      </c>
      <c r="F748" s="1306">
        <v>7.1874844938800801E-3</v>
      </c>
      <c r="G748" s="1303">
        <v>0.54753081807348092</v>
      </c>
      <c r="H748" s="1306">
        <v>3.3657994421016912E-2</v>
      </c>
      <c r="I748" s="1303">
        <v>1.6609588289413838E-2</v>
      </c>
      <c r="J748" s="1306">
        <v>8.5630850937740556E-4</v>
      </c>
      <c r="K748" s="1303">
        <v>2.8196794479415418E-3</v>
      </c>
      <c r="L748" s="1288">
        <v>2.0000017459666166E-3</v>
      </c>
      <c r="M748" s="1230">
        <v>2.0000017459666166E-3</v>
      </c>
      <c r="N748" s="1303">
        <v>2.3030051720936105E-2</v>
      </c>
      <c r="O748" s="1288">
        <v>5.513920588256266E-3</v>
      </c>
      <c r="P748" s="1237">
        <v>2.756960294128133E-3</v>
      </c>
      <c r="Q748" s="1290">
        <v>1.7360600167904642E-2</v>
      </c>
    </row>
    <row r="749" spans="1:17" s="212" customFormat="1" ht="15.5" x14ac:dyDescent="0.35">
      <c r="A749" s="198">
        <v>2028</v>
      </c>
      <c r="B749" s="197" t="s">
        <v>5838</v>
      </c>
      <c r="C749" s="197">
        <v>2014</v>
      </c>
      <c r="D749" s="225" t="str">
        <f t="shared" si="7"/>
        <v>2028_2014</v>
      </c>
      <c r="E749" s="1287">
        <v>5.4706067050425501E-2</v>
      </c>
      <c r="F749" s="1306">
        <v>7.2469056520138575E-3</v>
      </c>
      <c r="G749" s="1303">
        <v>0.44323130964112989</v>
      </c>
      <c r="H749" s="1306">
        <v>3.3319184714808311E-2</v>
      </c>
      <c r="I749" s="1303">
        <v>1.4088114564182391E-2</v>
      </c>
      <c r="J749" s="1306">
        <v>1.208150560645861E-3</v>
      </c>
      <c r="K749" s="1303">
        <v>2.6678071992680512E-3</v>
      </c>
      <c r="L749" s="1288">
        <v>2.0000017500659962E-3</v>
      </c>
      <c r="M749" s="1230">
        <v>2.0000017500659962E-3</v>
      </c>
      <c r="N749" s="1303">
        <v>1.9400390744859077E-2</v>
      </c>
      <c r="O749" s="1288">
        <v>4.6954634824894455E-3</v>
      </c>
      <c r="P749" s="1237">
        <v>2.3477317412447228E-3</v>
      </c>
      <c r="Q749" s="1290">
        <v>1.472511658969218E-2</v>
      </c>
    </row>
    <row r="750" spans="1:17" s="212" customFormat="1" ht="15.5" x14ac:dyDescent="0.35">
      <c r="A750" s="198">
        <v>2028</v>
      </c>
      <c r="B750" s="197" t="s">
        <v>5838</v>
      </c>
      <c r="C750" s="197">
        <v>2015</v>
      </c>
      <c r="D750" s="225" t="str">
        <f t="shared" si="7"/>
        <v>2028_2015</v>
      </c>
      <c r="E750" s="1287">
        <v>4.9512454651954599E-2</v>
      </c>
      <c r="F750" s="1306">
        <v>7.0280957977286538E-3</v>
      </c>
      <c r="G750" s="1303">
        <v>0.3912923017285258</v>
      </c>
      <c r="H750" s="1306">
        <v>3.1857760505579556E-2</v>
      </c>
      <c r="I750" s="1303">
        <v>1.2693075676007769E-2</v>
      </c>
      <c r="J750" s="1306">
        <v>1.5000154966622555E-3</v>
      </c>
      <c r="K750" s="1303">
        <v>2.5987660257596472E-3</v>
      </c>
      <c r="L750" s="1288">
        <v>2.0000017228972052E-3</v>
      </c>
      <c r="M750" s="1230">
        <v>2.0000017228972052E-3</v>
      </c>
      <c r="N750" s="1303">
        <v>1.7725646155188297E-2</v>
      </c>
      <c r="O750" s="1288">
        <v>5.4315415205228885E-3</v>
      </c>
      <c r="P750" s="1237">
        <v>2.7157707602614442E-3</v>
      </c>
      <c r="Q750" s="1290">
        <v>1.3267000233387727E-2</v>
      </c>
    </row>
    <row r="751" spans="1:17" s="212" customFormat="1" ht="15.5" x14ac:dyDescent="0.35">
      <c r="A751" s="198">
        <v>2028</v>
      </c>
      <c r="B751" s="197" t="s">
        <v>5838</v>
      </c>
      <c r="C751" s="197">
        <v>2016</v>
      </c>
      <c r="D751" s="225" t="str">
        <f t="shared" si="7"/>
        <v>2028_2016</v>
      </c>
      <c r="E751" s="1287">
        <v>5.9230457928494011E-2</v>
      </c>
      <c r="F751" s="1306">
        <v>6.8429275086040048E-3</v>
      </c>
      <c r="G751" s="1303">
        <v>0.43457540986490967</v>
      </c>
      <c r="H751" s="1306">
        <v>3.0562353443670746E-2</v>
      </c>
      <c r="I751" s="1303">
        <v>1.4434166659897531E-2</v>
      </c>
      <c r="J751" s="1306">
        <v>1.7077706689745636E-3</v>
      </c>
      <c r="K751" s="1303">
        <v>2.7863504483492036E-3</v>
      </c>
      <c r="L751" s="1288">
        <v>2.0000016632076515E-3</v>
      </c>
      <c r="M751" s="1230">
        <v>2.0000016632076515E-3</v>
      </c>
      <c r="N751" s="1303">
        <v>2.2195578509138676E-2</v>
      </c>
      <c r="O751" s="1288">
        <v>6.2270626969296288E-3</v>
      </c>
      <c r="P751" s="1237">
        <v>3.1135313484648144E-3</v>
      </c>
      <c r="Q751" s="1290">
        <v>1.508681562559212E-2</v>
      </c>
    </row>
    <row r="752" spans="1:17" s="212" customFormat="1" ht="15.5" x14ac:dyDescent="0.35">
      <c r="A752" s="198">
        <v>2028</v>
      </c>
      <c r="B752" s="197" t="s">
        <v>5838</v>
      </c>
      <c r="C752" s="197">
        <v>2017</v>
      </c>
      <c r="D752" s="225" t="str">
        <f t="shared" si="7"/>
        <v>2028_2017</v>
      </c>
      <c r="E752" s="1287">
        <v>6.070348856677233E-2</v>
      </c>
      <c r="F752" s="1306">
        <v>6.4947899507542331E-3</v>
      </c>
      <c r="G752" s="1303">
        <v>0.38650411670764501</v>
      </c>
      <c r="H752" s="1306">
        <v>2.918930917404626E-2</v>
      </c>
      <c r="I752" s="1303">
        <v>1.431621639292033E-2</v>
      </c>
      <c r="J752" s="1306">
        <v>1.834224494355375E-3</v>
      </c>
      <c r="K752" s="1303">
        <v>2.8265677542959641E-3</v>
      </c>
      <c r="L752" s="1288">
        <v>2.0000016338738613E-3</v>
      </c>
      <c r="M752" s="1230">
        <v>2.0000016338738613E-3</v>
      </c>
      <c r="N752" s="1303">
        <v>2.3153473235191659E-2</v>
      </c>
      <c r="O752" s="1288">
        <v>6.1875762094792883E-3</v>
      </c>
      <c r="P752" s="1237">
        <v>3.0937881047396441E-3</v>
      </c>
      <c r="Q752" s="1290">
        <v>1.4963532170938824E-2</v>
      </c>
    </row>
    <row r="753" spans="1:17" s="212" customFormat="1" ht="15.5" x14ac:dyDescent="0.35">
      <c r="A753" s="198">
        <v>2028</v>
      </c>
      <c r="B753" s="197" t="s">
        <v>5838</v>
      </c>
      <c r="C753" s="197">
        <v>2018</v>
      </c>
      <c r="D753" s="225" t="str">
        <f t="shared" si="7"/>
        <v>2028_2018</v>
      </c>
      <c r="E753" s="1287">
        <v>5.5039667999561746E-2</v>
      </c>
      <c r="F753" s="1306">
        <v>6.2521949444175537E-3</v>
      </c>
      <c r="G753" s="1303">
        <v>0.28260723313773217</v>
      </c>
      <c r="H753" s="1306">
        <v>2.8031060590968493E-2</v>
      </c>
      <c r="I753" s="1303">
        <v>1.2726658064621154E-2</v>
      </c>
      <c r="J753" s="1306">
        <v>1.9355707809252029E-3</v>
      </c>
      <c r="K753" s="1303">
        <v>2.739036718200603E-3</v>
      </c>
      <c r="L753" s="1288">
        <v>2.000001625319086E-3</v>
      </c>
      <c r="M753" s="1230">
        <v>2.000001625319086E-3</v>
      </c>
      <c r="N753" s="1303">
        <v>2.1041274416264525E-2</v>
      </c>
      <c r="O753" s="1288">
        <v>5.561961409014101E-3</v>
      </c>
      <c r="P753" s="1237">
        <v>2.7809807045070505E-3</v>
      </c>
      <c r="Q753" s="1290">
        <v>1.3302101068594594E-2</v>
      </c>
    </row>
    <row r="754" spans="1:17" s="212" customFormat="1" ht="15.5" x14ac:dyDescent="0.35">
      <c r="A754" s="198">
        <v>2028</v>
      </c>
      <c r="B754" s="197" t="s">
        <v>5838</v>
      </c>
      <c r="C754" s="197">
        <v>2019</v>
      </c>
      <c r="D754" s="225" t="str">
        <f t="shared" si="7"/>
        <v>2028_2019</v>
      </c>
      <c r="E754" s="1287">
        <v>6.3639153332362669E-2</v>
      </c>
      <c r="F754" s="1306">
        <v>5.9990180349604643E-3</v>
      </c>
      <c r="G754" s="1303">
        <v>0.28889182018908832</v>
      </c>
      <c r="H754" s="1306">
        <v>2.6678960892398511E-2</v>
      </c>
      <c r="I754" s="1303">
        <v>1.3841861667926994E-2</v>
      </c>
      <c r="J754" s="1306">
        <v>1.8363288759031236E-3</v>
      </c>
      <c r="K754" s="1303">
        <v>2.9194085255201657E-3</v>
      </c>
      <c r="L754" s="1288">
        <v>2.000001555351219E-3</v>
      </c>
      <c r="M754" s="1230">
        <v>2.000001555351219E-3</v>
      </c>
      <c r="N754" s="1303">
        <v>2.5365287001731854E-2</v>
      </c>
      <c r="O754" s="1288">
        <v>5.58713651530465E-3</v>
      </c>
      <c r="P754" s="1237">
        <v>2.793568257652325E-3</v>
      </c>
      <c r="Q754" s="1290">
        <v>1.4467729230199159E-2</v>
      </c>
    </row>
    <row r="755" spans="1:17" s="212" customFormat="1" ht="15.5" x14ac:dyDescent="0.35">
      <c r="A755" s="198">
        <v>2028</v>
      </c>
      <c r="B755" s="197" t="s">
        <v>5838</v>
      </c>
      <c r="C755" s="197">
        <v>2020</v>
      </c>
      <c r="D755" s="225" t="str">
        <f t="shared" si="7"/>
        <v>2028_2020</v>
      </c>
      <c r="E755" s="1287">
        <v>5.3901097845983029E-2</v>
      </c>
      <c r="F755" s="1306">
        <v>5.6760780747488349E-3</v>
      </c>
      <c r="G755" s="1303">
        <v>0.21424063645340036</v>
      </c>
      <c r="H755" s="1306">
        <v>2.5076356961256725E-2</v>
      </c>
      <c r="I755" s="1303">
        <v>1.1694337654890266E-2</v>
      </c>
      <c r="J755" s="1306">
        <v>1.3562407336049705E-3</v>
      </c>
      <c r="K755" s="1303">
        <v>2.8781481921344291E-3</v>
      </c>
      <c r="L755" s="1288">
        <v>2.0000016447650868E-3</v>
      </c>
      <c r="M755" s="1230">
        <v>2.0000016447650868E-3</v>
      </c>
      <c r="N755" s="1303">
        <v>2.4375063562159731E-2</v>
      </c>
      <c r="O755" s="1288">
        <v>5.6897358045123842E-3</v>
      </c>
      <c r="P755" s="1237">
        <v>2.8448679022561921E-3</v>
      </c>
      <c r="Q755" s="1290">
        <v>1.2223103710789621E-2</v>
      </c>
    </row>
    <row r="756" spans="1:17" s="212" customFormat="1" ht="15.5" x14ac:dyDescent="0.35">
      <c r="A756" s="198">
        <v>2028</v>
      </c>
      <c r="B756" s="197" t="s">
        <v>5838</v>
      </c>
      <c r="C756" s="197">
        <v>2021</v>
      </c>
      <c r="D756" s="225" t="str">
        <f t="shared" si="7"/>
        <v>2028_2021</v>
      </c>
      <c r="E756" s="1287">
        <v>5.1811328315483823E-2</v>
      </c>
      <c r="F756" s="1306">
        <v>5.3050723785656251E-3</v>
      </c>
      <c r="G756" s="1303">
        <v>0.16730787506776709</v>
      </c>
      <c r="H756" s="1306">
        <v>2.3537373262433887E-2</v>
      </c>
      <c r="I756" s="1303">
        <v>1.0465254631279279E-2</v>
      </c>
      <c r="J756" s="1306">
        <v>8.8405345782390323E-4</v>
      </c>
      <c r="K756" s="1303">
        <v>2.8763493120967341E-3</v>
      </c>
      <c r="L756" s="1288">
        <v>2.0000016550771149E-3</v>
      </c>
      <c r="M756" s="1230">
        <v>2.0000016550771149E-3</v>
      </c>
      <c r="N756" s="1303">
        <v>2.4323996364982243E-2</v>
      </c>
      <c r="O756" s="1288">
        <v>5.6448856147417025E-3</v>
      </c>
      <c r="P756" s="1237">
        <v>2.8224428073708513E-3</v>
      </c>
      <c r="Q756" s="1290">
        <v>1.0938447006826134E-2</v>
      </c>
    </row>
    <row r="757" spans="1:17" s="212" customFormat="1" ht="15.5" x14ac:dyDescent="0.35">
      <c r="A757" s="198">
        <v>2028</v>
      </c>
      <c r="B757" s="197" t="s">
        <v>5838</v>
      </c>
      <c r="C757" s="197">
        <v>2022</v>
      </c>
      <c r="D757" s="225" t="str">
        <f t="shared" si="7"/>
        <v>2028_2022</v>
      </c>
      <c r="E757" s="1287">
        <v>5.0674286607159939E-2</v>
      </c>
      <c r="F757" s="1306">
        <v>4.9457214293539336E-3</v>
      </c>
      <c r="G757" s="1303">
        <v>0.1244812477592631</v>
      </c>
      <c r="H757" s="1306">
        <v>2.2007310030596489E-2</v>
      </c>
      <c r="I757" s="1303">
        <v>9.6459448145460296E-3</v>
      </c>
      <c r="J757" s="1306">
        <v>8.8458003528505487E-4</v>
      </c>
      <c r="K757" s="1303">
        <v>2.8749283533785188E-3</v>
      </c>
      <c r="L757" s="1288">
        <v>2.0000016666142087E-3</v>
      </c>
      <c r="M757" s="1230">
        <v>2.0000016666142087E-3</v>
      </c>
      <c r="N757" s="1303">
        <v>2.4281455644056874E-2</v>
      </c>
      <c r="O757" s="1288">
        <v>5.6185719312548642E-3</v>
      </c>
      <c r="P757" s="1237">
        <v>2.8092859656274321E-3</v>
      </c>
      <c r="Q757" s="1290">
        <v>1.008209163581365E-2</v>
      </c>
    </row>
    <row r="758" spans="1:17" s="212" customFormat="1" ht="15.5" x14ac:dyDescent="0.35">
      <c r="A758" s="198">
        <v>2028</v>
      </c>
      <c r="B758" s="197" t="s">
        <v>5838</v>
      </c>
      <c r="C758" s="197">
        <v>2023</v>
      </c>
      <c r="D758" s="225" t="str">
        <f t="shared" si="7"/>
        <v>2028_2023</v>
      </c>
      <c r="E758" s="1287">
        <v>4.943968753588162E-2</v>
      </c>
      <c r="F758" s="1306">
        <v>4.4831826762554696E-3</v>
      </c>
      <c r="G758" s="1303">
        <v>0.11862852881356051</v>
      </c>
      <c r="H758" s="1306">
        <v>2.0536699496882794E-2</v>
      </c>
      <c r="I758" s="1303">
        <v>8.7765037558608563E-3</v>
      </c>
      <c r="J758" s="1306">
        <v>8.8488337111780016E-4</v>
      </c>
      <c r="K758" s="1303">
        <v>2.872767982760024E-3</v>
      </c>
      <c r="L758" s="1288">
        <v>2.0000016833956603E-3</v>
      </c>
      <c r="M758" s="1230">
        <v>2.0000016833956603E-3</v>
      </c>
      <c r="N758" s="1303">
        <v>2.4220470097879171E-2</v>
      </c>
      <c r="O758" s="1288">
        <v>5.5505862785589621E-3</v>
      </c>
      <c r="P758" s="1237">
        <v>2.775293139279481E-3</v>
      </c>
      <c r="Q758" s="1290">
        <v>9.1733383105421992E-3</v>
      </c>
    </row>
    <row r="759" spans="1:17" s="212" customFormat="1" ht="15.5" x14ac:dyDescent="0.35">
      <c r="A759" s="198">
        <v>2028</v>
      </c>
      <c r="B759" s="197" t="s">
        <v>5838</v>
      </c>
      <c r="C759" s="197">
        <v>2024</v>
      </c>
      <c r="D759" s="225" t="str">
        <f t="shared" si="7"/>
        <v>2028_2024</v>
      </c>
      <c r="E759" s="1287">
        <v>4.793625426529495E-2</v>
      </c>
      <c r="F759" s="1306">
        <v>3.79330173378858E-3</v>
      </c>
      <c r="G759" s="1303">
        <v>0.11199920567071621</v>
      </c>
      <c r="H759" s="1306">
        <v>1.884890581500873E-2</v>
      </c>
      <c r="I759" s="1303">
        <v>7.8307623948920269E-3</v>
      </c>
      <c r="J759" s="1306">
        <v>8.8448628312460848E-4</v>
      </c>
      <c r="K759" s="1303">
        <v>2.8664528484775059E-3</v>
      </c>
      <c r="L759" s="1288">
        <v>2.0000017055067602E-3</v>
      </c>
      <c r="M759" s="1305">
        <v>2.0000005733321969E-3</v>
      </c>
      <c r="N759" s="1303">
        <v>2.405786557797495E-2</v>
      </c>
      <c r="O759" s="1288">
        <v>5.4025140867262882E-3</v>
      </c>
      <c r="P759" s="1301">
        <v>3.357637929919981E-3</v>
      </c>
      <c r="Q759" s="1290">
        <v>8.1848347218955574E-3</v>
      </c>
    </row>
    <row r="760" spans="1:17" s="212" customFormat="1" ht="15.5" x14ac:dyDescent="0.35">
      <c r="A760" s="198">
        <v>2028</v>
      </c>
      <c r="B760" s="197" t="s">
        <v>5838</v>
      </c>
      <c r="C760" s="197">
        <v>2025</v>
      </c>
      <c r="D760" s="225" t="str">
        <f t="shared" ref="D760:D837" si="8">CONCATENATE(A760,"_",C760)</f>
        <v>2028_2025</v>
      </c>
      <c r="E760" s="1287">
        <v>4.6567813049208935E-2</v>
      </c>
      <c r="F760" s="1306">
        <v>3.230412051446716E-3</v>
      </c>
      <c r="G760" s="1303">
        <v>0.10557465193078033</v>
      </c>
      <c r="H760" s="1306">
        <v>1.7349361110465783E-2</v>
      </c>
      <c r="I760" s="1303">
        <v>6.8793456581088454E-3</v>
      </c>
      <c r="J760" s="1306">
        <v>8.8498628742635121E-4</v>
      </c>
      <c r="K760" s="1303">
        <v>2.8638378477856738E-3</v>
      </c>
      <c r="L760" s="1288">
        <v>2.0000017342576828E-3</v>
      </c>
      <c r="M760" s="1305">
        <v>2.0000005733626404E-3</v>
      </c>
      <c r="N760" s="1303">
        <v>2.3984141714686082E-2</v>
      </c>
      <c r="O760" s="1288">
        <v>5.3017715256335569E-3</v>
      </c>
      <c r="P760" s="1301">
        <v>3.7893318056823554E-3</v>
      </c>
      <c r="Q760" s="1290">
        <v>7.1903991421242864E-3</v>
      </c>
    </row>
    <row r="761" spans="1:17" s="212" customFormat="1" ht="15.5" x14ac:dyDescent="0.35">
      <c r="A761" s="198">
        <v>2028</v>
      </c>
      <c r="B761" s="197" t="s">
        <v>5838</v>
      </c>
      <c r="C761" s="197">
        <v>2026</v>
      </c>
      <c r="D761" s="225" t="str">
        <f t="shared" si="8"/>
        <v>2028_2026</v>
      </c>
      <c r="E761" s="1287">
        <v>4.5008795636169233E-2</v>
      </c>
      <c r="F761" s="1306">
        <v>3.0964285397901328E-3</v>
      </c>
      <c r="G761" s="1303">
        <v>9.8588206568993086E-2</v>
      </c>
      <c r="H761" s="1306">
        <v>1.6391479628199715E-2</v>
      </c>
      <c r="I761" s="1303">
        <v>5.8708139945803147E-3</v>
      </c>
      <c r="J761" s="1306">
        <v>7.7072481410259586E-4</v>
      </c>
      <c r="K761" s="1303">
        <v>2.8584211015927024E-3</v>
      </c>
      <c r="L761" s="1288">
        <v>2.0000017810888355E-3</v>
      </c>
      <c r="M761" s="1305">
        <v>2.0000005734194751E-3</v>
      </c>
      <c r="N761" s="1303">
        <v>2.3841384192607989E-2</v>
      </c>
      <c r="O761" s="1288">
        <v>5.1343811345135057E-3</v>
      </c>
      <c r="P761" s="1301">
        <v>4.5990276293847833E-3</v>
      </c>
      <c r="Q761" s="1290">
        <v>6.136266152063966E-3</v>
      </c>
    </row>
    <row r="762" spans="1:17" s="212" customFormat="1" ht="15.5" x14ac:dyDescent="0.35">
      <c r="A762" s="198">
        <v>2028</v>
      </c>
      <c r="B762" s="197" t="s">
        <v>5838</v>
      </c>
      <c r="C762" s="197">
        <v>2027</v>
      </c>
      <c r="D762" s="225" t="str">
        <f t="shared" si="8"/>
        <v>2028_2027</v>
      </c>
      <c r="E762" s="1287">
        <v>4.3277543008468387E-2</v>
      </c>
      <c r="F762" s="1306">
        <v>2.9598153668611419E-3</v>
      </c>
      <c r="G762" s="1303">
        <v>9.1120966361465022E-2</v>
      </c>
      <c r="H762" s="1306">
        <v>1.5371607931994068E-2</v>
      </c>
      <c r="I762" s="1303">
        <v>4.8160000423174672E-3</v>
      </c>
      <c r="J762" s="1306">
        <v>6.3480284270046362E-4</v>
      </c>
      <c r="K762" s="1303">
        <v>2.8503885957481927E-3</v>
      </c>
      <c r="L762" s="1288">
        <v>2.0000018227171782E-3</v>
      </c>
      <c r="M762" s="1305">
        <v>2.0000005734753935E-3</v>
      </c>
      <c r="N762" s="1303">
        <v>2.3632982463641403E-2</v>
      </c>
      <c r="O762" s="1288">
        <v>4.9283120380466602E-3</v>
      </c>
      <c r="P762" s="1301">
        <v>5.4302966784364713E-3</v>
      </c>
      <c r="Q762" s="1290">
        <v>5.0337581935473849E-3</v>
      </c>
    </row>
    <row r="763" spans="1:17" s="212" customFormat="1" ht="15.5" x14ac:dyDescent="0.35">
      <c r="A763" s="198">
        <v>2028</v>
      </c>
      <c r="B763" s="197" t="s">
        <v>5838</v>
      </c>
      <c r="C763" s="197">
        <v>2028</v>
      </c>
      <c r="D763" s="225" t="str">
        <f t="shared" si="8"/>
        <v>2028_2028</v>
      </c>
      <c r="E763" s="1287">
        <v>4.0643336563007809E-2</v>
      </c>
      <c r="F763" s="1306">
        <v>2.7458883561063113E-3</v>
      </c>
      <c r="G763" s="1303">
        <v>8.1743624100143075E-2</v>
      </c>
      <c r="H763" s="1306">
        <v>1.4064576112935288E-2</v>
      </c>
      <c r="I763" s="1303">
        <v>3.6618065518977598E-3</v>
      </c>
      <c r="J763" s="1306">
        <v>5.0978618171807703E-4</v>
      </c>
      <c r="K763" s="1303">
        <v>2.8236042496900824E-3</v>
      </c>
      <c r="L763" s="1288">
        <v>2.0000019348615618E-3</v>
      </c>
      <c r="M763" s="1305">
        <v>2.0000005734862629E-3</v>
      </c>
      <c r="N763" s="1303">
        <v>2.2962951913846993E-2</v>
      </c>
      <c r="O763" s="1288">
        <v>4.4173178164819233E-3</v>
      </c>
      <c r="P763" s="1301">
        <v>5.6016876122863954E-3</v>
      </c>
      <c r="Q763" s="1290">
        <v>3.8273771951486545E-3</v>
      </c>
    </row>
    <row r="764" spans="1:17" s="212" customFormat="1" ht="15.5" x14ac:dyDescent="0.35">
      <c r="A764" s="198">
        <v>2028</v>
      </c>
      <c r="B764" s="197" t="s">
        <v>5838</v>
      </c>
      <c r="C764" s="197">
        <v>2029</v>
      </c>
      <c r="D764" s="225" t="str">
        <f t="shared" si="8"/>
        <v>2028_2029</v>
      </c>
      <c r="E764" s="1291">
        <v>4.0643336563007809E-2</v>
      </c>
      <c r="F764" s="1280">
        <v>2.7458883561063113E-3</v>
      </c>
      <c r="G764" s="1271">
        <v>8.1743624100143075E-2</v>
      </c>
      <c r="H764" s="1280">
        <v>1.4064576112935288E-2</v>
      </c>
      <c r="I764" s="1271">
        <v>3.6618065518977598E-3</v>
      </c>
      <c r="J764" s="1280">
        <v>5.0978618171807703E-4</v>
      </c>
      <c r="K764" s="1271">
        <v>2.8236042496900824E-3</v>
      </c>
      <c r="L764" s="1257">
        <v>2.0000019348615618E-3</v>
      </c>
      <c r="M764" s="1230">
        <v>2.0000005734862629E-3</v>
      </c>
      <c r="N764" s="1271">
        <v>2.2962951913846993E-2</v>
      </c>
      <c r="O764" s="1257">
        <v>4.4173178164819233E-3</v>
      </c>
      <c r="P764" s="1237">
        <v>5.6016876122863954E-3</v>
      </c>
      <c r="Q764" s="1292">
        <v>3.8273771951486545E-3</v>
      </c>
    </row>
    <row r="765" spans="1:17" s="212" customFormat="1" ht="15.5" x14ac:dyDescent="0.35">
      <c r="A765" s="198">
        <v>2029</v>
      </c>
      <c r="B765" s="197" t="s">
        <v>5838</v>
      </c>
      <c r="C765" s="197">
        <v>1971</v>
      </c>
      <c r="D765" s="225" t="str">
        <f t="shared" si="8"/>
        <v>2029_1971</v>
      </c>
      <c r="E765" s="1291">
        <v>0.26590040409411991</v>
      </c>
      <c r="F765" s="1280">
        <v>1.3701297439556275</v>
      </c>
      <c r="G765" s="1271">
        <v>3.9563853320505196</v>
      </c>
      <c r="H765" s="1280">
        <v>3.1125015228858857</v>
      </c>
      <c r="I765" s="1271">
        <v>0.18641276986606389</v>
      </c>
      <c r="J765" s="1280">
        <v>1.6348753834220749E-2</v>
      </c>
      <c r="K765" s="1271">
        <v>2.6920452278887145E-3</v>
      </c>
      <c r="L765" s="1257">
        <v>2.0000009318684188E-3</v>
      </c>
      <c r="M765" s="1230">
        <v>2.0000009318684188E-3</v>
      </c>
      <c r="N765" s="1271">
        <v>2.0080031183557924E-2</v>
      </c>
      <c r="O765" s="1257">
        <v>1.6881573397899662E-2</v>
      </c>
      <c r="P765" s="1237">
        <v>8.4407866989498308E-3</v>
      </c>
      <c r="Q765" s="1292">
        <v>0.19484152812499228</v>
      </c>
    </row>
    <row r="766" spans="1:17" s="212" customFormat="1" ht="15.5" x14ac:dyDescent="0.35">
      <c r="A766" s="198">
        <v>2029</v>
      </c>
      <c r="B766" s="197" t="s">
        <v>5838</v>
      </c>
      <c r="C766" s="197">
        <v>1972</v>
      </c>
      <c r="D766" s="225" t="str">
        <f t="shared" si="8"/>
        <v>2029_1972</v>
      </c>
      <c r="E766" s="1291">
        <v>0.26590040409411991</v>
      </c>
      <c r="F766" s="1280">
        <v>1.3701297439556275</v>
      </c>
      <c r="G766" s="1271">
        <v>3.9563853320505196</v>
      </c>
      <c r="H766" s="1280">
        <v>3.1125015228858857</v>
      </c>
      <c r="I766" s="1271">
        <v>0.18641276986606389</v>
      </c>
      <c r="J766" s="1280">
        <v>1.6348753834220749E-2</v>
      </c>
      <c r="K766" s="1271">
        <v>2.6920452278887145E-3</v>
      </c>
      <c r="L766" s="1257">
        <v>2.0000009318684188E-3</v>
      </c>
      <c r="M766" s="1230">
        <v>2.0000009318684188E-3</v>
      </c>
      <c r="N766" s="1271">
        <v>2.0080031183557924E-2</v>
      </c>
      <c r="O766" s="1257">
        <v>1.6881573397899662E-2</v>
      </c>
      <c r="P766" s="1237">
        <v>8.4407866989498308E-3</v>
      </c>
      <c r="Q766" s="1292">
        <v>0.19484152812499228</v>
      </c>
    </row>
    <row r="767" spans="1:17" s="212" customFormat="1" ht="15.5" x14ac:dyDescent="0.35">
      <c r="A767" s="198">
        <v>2029</v>
      </c>
      <c r="B767" s="197" t="s">
        <v>5838</v>
      </c>
      <c r="C767" s="197">
        <v>1973</v>
      </c>
      <c r="D767" s="225" t="str">
        <f t="shared" si="8"/>
        <v>2029_1973</v>
      </c>
      <c r="E767" s="1291">
        <v>0.26590040409411991</v>
      </c>
      <c r="F767" s="1280">
        <v>1.3701297439556275</v>
      </c>
      <c r="G767" s="1271">
        <v>3.9563853320505196</v>
      </c>
      <c r="H767" s="1280">
        <v>3.1125015228858857</v>
      </c>
      <c r="I767" s="1271">
        <v>0.18641276986606389</v>
      </c>
      <c r="J767" s="1280">
        <v>1.6348753834220749E-2</v>
      </c>
      <c r="K767" s="1271">
        <v>2.6920452278887145E-3</v>
      </c>
      <c r="L767" s="1257">
        <v>2.0000009318684188E-3</v>
      </c>
      <c r="M767" s="1230">
        <v>2.0000009318684188E-3</v>
      </c>
      <c r="N767" s="1271">
        <v>2.0080031183557924E-2</v>
      </c>
      <c r="O767" s="1257">
        <v>1.6881573397899662E-2</v>
      </c>
      <c r="P767" s="1237">
        <v>8.4407866989498308E-3</v>
      </c>
      <c r="Q767" s="1292">
        <v>0.19484152812499228</v>
      </c>
    </row>
    <row r="768" spans="1:17" s="212" customFormat="1" ht="15.5" x14ac:dyDescent="0.35">
      <c r="A768" s="198">
        <v>2029</v>
      </c>
      <c r="B768" s="197" t="s">
        <v>5838</v>
      </c>
      <c r="C768" s="197">
        <v>1974</v>
      </c>
      <c r="D768" s="225" t="str">
        <f t="shared" si="8"/>
        <v>2029_1974</v>
      </c>
      <c r="E768" s="1291">
        <v>0.26590040409411991</v>
      </c>
      <c r="F768" s="1280">
        <v>1.3701297439556275</v>
      </c>
      <c r="G768" s="1271">
        <v>3.9563853320505196</v>
      </c>
      <c r="H768" s="1280">
        <v>3.1125015228858857</v>
      </c>
      <c r="I768" s="1271">
        <v>0.18641276986606389</v>
      </c>
      <c r="J768" s="1280">
        <v>1.6348753834220749E-2</v>
      </c>
      <c r="K768" s="1271">
        <v>2.6920452278887145E-3</v>
      </c>
      <c r="L768" s="1257">
        <v>2.0000009318684188E-3</v>
      </c>
      <c r="M768" s="1230">
        <v>2.0000009318684188E-3</v>
      </c>
      <c r="N768" s="1271">
        <v>2.0080031183557924E-2</v>
      </c>
      <c r="O768" s="1257">
        <v>1.6881573397899662E-2</v>
      </c>
      <c r="P768" s="1237">
        <v>8.4407866989498308E-3</v>
      </c>
      <c r="Q768" s="1292">
        <v>0.19484152812499228</v>
      </c>
    </row>
    <row r="769" spans="1:17" s="212" customFormat="1" ht="15.5" x14ac:dyDescent="0.35">
      <c r="A769" s="198">
        <v>2029</v>
      </c>
      <c r="B769" s="197" t="s">
        <v>5838</v>
      </c>
      <c r="C769" s="197">
        <v>1975</v>
      </c>
      <c r="D769" s="225" t="str">
        <f t="shared" si="8"/>
        <v>2029_1975</v>
      </c>
      <c r="E769" s="1291">
        <v>0.26590040409411991</v>
      </c>
      <c r="F769" s="1280">
        <v>1.3701297439556275</v>
      </c>
      <c r="G769" s="1271">
        <v>3.9563853320505196</v>
      </c>
      <c r="H769" s="1280">
        <v>3.1125015228858857</v>
      </c>
      <c r="I769" s="1271">
        <v>0.18641276986606389</v>
      </c>
      <c r="J769" s="1280">
        <v>1.6348753834220749E-2</v>
      </c>
      <c r="K769" s="1271">
        <v>2.6920452278887145E-3</v>
      </c>
      <c r="L769" s="1257">
        <v>2.0000009318684188E-3</v>
      </c>
      <c r="M769" s="1230">
        <v>2.0000009318684188E-3</v>
      </c>
      <c r="N769" s="1271">
        <v>2.0080031183557924E-2</v>
      </c>
      <c r="O769" s="1257">
        <v>1.6881573397899662E-2</v>
      </c>
      <c r="P769" s="1237">
        <v>8.4407866989498308E-3</v>
      </c>
      <c r="Q769" s="1292">
        <v>0.19484152812499228</v>
      </c>
    </row>
    <row r="770" spans="1:17" s="212" customFormat="1" ht="15.5" x14ac:dyDescent="0.35">
      <c r="A770" s="198">
        <v>2029</v>
      </c>
      <c r="B770" s="197" t="s">
        <v>5838</v>
      </c>
      <c r="C770" s="197">
        <v>1976</v>
      </c>
      <c r="D770" s="225" t="str">
        <f t="shared" si="8"/>
        <v>2029_1976</v>
      </c>
      <c r="E770" s="1291">
        <v>0.26590040409411991</v>
      </c>
      <c r="F770" s="1280">
        <v>1.3701297439556275</v>
      </c>
      <c r="G770" s="1271">
        <v>3.9563853320505196</v>
      </c>
      <c r="H770" s="1280">
        <v>3.1125015228858857</v>
      </c>
      <c r="I770" s="1271">
        <v>0.18641276986606389</v>
      </c>
      <c r="J770" s="1280">
        <v>1.6348753834220749E-2</v>
      </c>
      <c r="K770" s="1271">
        <v>2.6920452278887145E-3</v>
      </c>
      <c r="L770" s="1257">
        <v>2.0000009318684188E-3</v>
      </c>
      <c r="M770" s="1230">
        <v>2.0000009318684188E-3</v>
      </c>
      <c r="N770" s="1271">
        <v>2.0080031183557924E-2</v>
      </c>
      <c r="O770" s="1257">
        <v>1.6881573397899662E-2</v>
      </c>
      <c r="P770" s="1237">
        <v>8.4407866989498308E-3</v>
      </c>
      <c r="Q770" s="1292">
        <v>0.19484152812499228</v>
      </c>
    </row>
    <row r="771" spans="1:17" s="212" customFormat="1" ht="15.5" x14ac:dyDescent="0.35">
      <c r="A771" s="198">
        <v>2029</v>
      </c>
      <c r="B771" s="197" t="s">
        <v>5838</v>
      </c>
      <c r="C771" s="197">
        <v>1977</v>
      </c>
      <c r="D771" s="225" t="str">
        <f t="shared" si="8"/>
        <v>2029_1977</v>
      </c>
      <c r="E771" s="1291">
        <v>0.26590040409411991</v>
      </c>
      <c r="F771" s="1280">
        <v>1.3701297439556275</v>
      </c>
      <c r="G771" s="1271">
        <v>3.9563853320505196</v>
      </c>
      <c r="H771" s="1280">
        <v>3.1125015228858857</v>
      </c>
      <c r="I771" s="1271">
        <v>0.18641276986606389</v>
      </c>
      <c r="J771" s="1280">
        <v>1.6348753834220749E-2</v>
      </c>
      <c r="K771" s="1271">
        <v>2.6920452278887145E-3</v>
      </c>
      <c r="L771" s="1257">
        <v>2.0000009318684188E-3</v>
      </c>
      <c r="M771" s="1230">
        <v>2.0000009318684188E-3</v>
      </c>
      <c r="N771" s="1271">
        <v>2.0080031183557924E-2</v>
      </c>
      <c r="O771" s="1257">
        <v>1.6881573397899662E-2</v>
      </c>
      <c r="P771" s="1237">
        <v>8.4407866989498308E-3</v>
      </c>
      <c r="Q771" s="1292">
        <v>0.19484152812499228</v>
      </c>
    </row>
    <row r="772" spans="1:17" s="212" customFormat="1" ht="15.5" x14ac:dyDescent="0.35">
      <c r="A772" s="198">
        <v>2029</v>
      </c>
      <c r="B772" s="197" t="s">
        <v>5838</v>
      </c>
      <c r="C772" s="197">
        <v>1978</v>
      </c>
      <c r="D772" s="225" t="str">
        <f t="shared" si="8"/>
        <v>2029_1978</v>
      </c>
      <c r="E772" s="1291">
        <v>0.26590040409411991</v>
      </c>
      <c r="F772" s="1280">
        <v>1.3701297439556275</v>
      </c>
      <c r="G772" s="1271">
        <v>3.9563853320505196</v>
      </c>
      <c r="H772" s="1280">
        <v>3.1125015228858857</v>
      </c>
      <c r="I772" s="1271">
        <v>0.18641276986606389</v>
      </c>
      <c r="J772" s="1280">
        <v>1.6348753834220749E-2</v>
      </c>
      <c r="K772" s="1271">
        <v>2.6920452278887145E-3</v>
      </c>
      <c r="L772" s="1257">
        <v>2.0000009318684188E-3</v>
      </c>
      <c r="M772" s="1230">
        <v>2.0000009318684188E-3</v>
      </c>
      <c r="N772" s="1271">
        <v>2.0080031183557924E-2</v>
      </c>
      <c r="O772" s="1257">
        <v>1.6881573397899662E-2</v>
      </c>
      <c r="P772" s="1237">
        <v>8.4407866989498308E-3</v>
      </c>
      <c r="Q772" s="1292">
        <v>0.19484152812499228</v>
      </c>
    </row>
    <row r="773" spans="1:17" s="212" customFormat="1" ht="15.5" x14ac:dyDescent="0.35">
      <c r="A773" s="198">
        <v>2029</v>
      </c>
      <c r="B773" s="197" t="s">
        <v>5838</v>
      </c>
      <c r="C773" s="197">
        <v>1979</v>
      </c>
      <c r="D773" s="225" t="str">
        <f t="shared" si="8"/>
        <v>2029_1979</v>
      </c>
      <c r="E773" s="1291">
        <v>0.26590040409411991</v>
      </c>
      <c r="F773" s="1280">
        <v>1.3701297439556275</v>
      </c>
      <c r="G773" s="1271">
        <v>3.9563853320505196</v>
      </c>
      <c r="H773" s="1280">
        <v>3.1125015228858857</v>
      </c>
      <c r="I773" s="1271">
        <v>0.18641276986606389</v>
      </c>
      <c r="J773" s="1280">
        <v>1.6348753834220749E-2</v>
      </c>
      <c r="K773" s="1271">
        <v>2.6920452278887145E-3</v>
      </c>
      <c r="L773" s="1257">
        <v>2.0000009318684188E-3</v>
      </c>
      <c r="M773" s="1230">
        <v>2.0000009318684188E-3</v>
      </c>
      <c r="N773" s="1271">
        <v>2.0080031183557924E-2</v>
      </c>
      <c r="O773" s="1257">
        <v>1.6881573397899662E-2</v>
      </c>
      <c r="P773" s="1237">
        <v>8.4407866989498308E-3</v>
      </c>
      <c r="Q773" s="1292">
        <v>0.19484152812499228</v>
      </c>
    </row>
    <row r="774" spans="1:17" s="212" customFormat="1" ht="15.5" x14ac:dyDescent="0.35">
      <c r="A774" s="198">
        <v>2029</v>
      </c>
      <c r="B774" s="197" t="s">
        <v>5838</v>
      </c>
      <c r="C774" s="197">
        <v>1980</v>
      </c>
      <c r="D774" s="225" t="str">
        <f t="shared" si="8"/>
        <v>2029_1980</v>
      </c>
      <c r="E774" s="1291">
        <v>0.26590040409411991</v>
      </c>
      <c r="F774" s="1280">
        <v>1.3701297439556275</v>
      </c>
      <c r="G774" s="1271">
        <v>3.9563853320505196</v>
      </c>
      <c r="H774" s="1280">
        <v>3.1125015228858857</v>
      </c>
      <c r="I774" s="1271">
        <v>0.18641276986606389</v>
      </c>
      <c r="J774" s="1280">
        <v>1.6348753834220749E-2</v>
      </c>
      <c r="K774" s="1271">
        <v>2.6920452278887145E-3</v>
      </c>
      <c r="L774" s="1257">
        <v>2.0000009318684188E-3</v>
      </c>
      <c r="M774" s="1230">
        <v>2.0000009318684188E-3</v>
      </c>
      <c r="N774" s="1271">
        <v>2.0080031183557924E-2</v>
      </c>
      <c r="O774" s="1257">
        <v>1.6881573397899662E-2</v>
      </c>
      <c r="P774" s="1237">
        <v>8.4407866989498308E-3</v>
      </c>
      <c r="Q774" s="1292">
        <v>0.19484152812499228</v>
      </c>
    </row>
    <row r="775" spans="1:17" s="212" customFormat="1" ht="15.5" x14ac:dyDescent="0.35">
      <c r="A775" s="198">
        <v>2029</v>
      </c>
      <c r="B775" s="197" t="s">
        <v>5838</v>
      </c>
      <c r="C775" s="197">
        <v>1981</v>
      </c>
      <c r="D775" s="225" t="str">
        <f t="shared" si="8"/>
        <v>2029_1981</v>
      </c>
      <c r="E775" s="1291">
        <v>0.26590040409411991</v>
      </c>
      <c r="F775" s="1280">
        <v>1.3701297439556275</v>
      </c>
      <c r="G775" s="1271">
        <v>3.9563853320505196</v>
      </c>
      <c r="H775" s="1280">
        <v>3.1125015228858857</v>
      </c>
      <c r="I775" s="1271">
        <v>0.18641276986606389</v>
      </c>
      <c r="J775" s="1280">
        <v>1.6348753834220749E-2</v>
      </c>
      <c r="K775" s="1271">
        <v>2.6920452278887145E-3</v>
      </c>
      <c r="L775" s="1257">
        <v>2.0000009318684188E-3</v>
      </c>
      <c r="M775" s="1230">
        <v>2.0000009318684188E-3</v>
      </c>
      <c r="N775" s="1271">
        <v>2.0080031183557924E-2</v>
      </c>
      <c r="O775" s="1257">
        <v>1.6881573397899662E-2</v>
      </c>
      <c r="P775" s="1237">
        <v>8.4407866989498308E-3</v>
      </c>
      <c r="Q775" s="1292">
        <v>0.19484152812499228</v>
      </c>
    </row>
    <row r="776" spans="1:17" s="212" customFormat="1" ht="15.5" x14ac:dyDescent="0.35">
      <c r="A776" s="198">
        <v>2029</v>
      </c>
      <c r="B776" s="197" t="s">
        <v>5838</v>
      </c>
      <c r="C776" s="197">
        <v>1982</v>
      </c>
      <c r="D776" s="225" t="str">
        <f t="shared" si="8"/>
        <v>2029_1982</v>
      </c>
      <c r="E776" s="1291">
        <v>0.26590040409411991</v>
      </c>
      <c r="F776" s="1280">
        <v>1.3701297439556275</v>
      </c>
      <c r="G776" s="1271">
        <v>3.9563853320505196</v>
      </c>
      <c r="H776" s="1280">
        <v>3.1125015228858857</v>
      </c>
      <c r="I776" s="1271">
        <v>0.18641276986606389</v>
      </c>
      <c r="J776" s="1280">
        <v>1.6348753834220749E-2</v>
      </c>
      <c r="K776" s="1271">
        <v>2.6920452278887145E-3</v>
      </c>
      <c r="L776" s="1257">
        <v>2.0000009318684188E-3</v>
      </c>
      <c r="M776" s="1230">
        <v>2.0000009318684188E-3</v>
      </c>
      <c r="N776" s="1271">
        <v>2.0080031183557924E-2</v>
      </c>
      <c r="O776" s="1257">
        <v>1.6881573397899662E-2</v>
      </c>
      <c r="P776" s="1237">
        <v>8.4407866989498308E-3</v>
      </c>
      <c r="Q776" s="1292">
        <v>0.19484152812499228</v>
      </c>
    </row>
    <row r="777" spans="1:17" s="212" customFormat="1" ht="15.5" x14ac:dyDescent="0.35">
      <c r="A777" s="198">
        <v>2029</v>
      </c>
      <c r="B777" s="197" t="s">
        <v>5838</v>
      </c>
      <c r="C777" s="197">
        <v>1983</v>
      </c>
      <c r="D777" s="225" t="str">
        <f t="shared" si="8"/>
        <v>2029_1983</v>
      </c>
      <c r="E777" s="1291">
        <v>0.26590040409411991</v>
      </c>
      <c r="F777" s="1280">
        <v>1.3701297439556275</v>
      </c>
      <c r="G777" s="1271">
        <v>3.9563853320505196</v>
      </c>
      <c r="H777" s="1280">
        <v>3.1125015228858857</v>
      </c>
      <c r="I777" s="1271">
        <v>0.18641276986606389</v>
      </c>
      <c r="J777" s="1280">
        <v>1.6348753834220749E-2</v>
      </c>
      <c r="K777" s="1271">
        <v>2.6920452278887145E-3</v>
      </c>
      <c r="L777" s="1257">
        <v>2.0000009318684188E-3</v>
      </c>
      <c r="M777" s="1230">
        <v>2.0000009318684188E-3</v>
      </c>
      <c r="N777" s="1271">
        <v>2.0080031183557924E-2</v>
      </c>
      <c r="O777" s="1257">
        <v>1.6881573397899662E-2</v>
      </c>
      <c r="P777" s="1237">
        <v>8.4407866989498308E-3</v>
      </c>
      <c r="Q777" s="1292">
        <v>0.19484152812499228</v>
      </c>
    </row>
    <row r="778" spans="1:17" s="212" customFormat="1" ht="15.5" x14ac:dyDescent="0.35">
      <c r="A778" s="198">
        <v>2029</v>
      </c>
      <c r="B778" s="197" t="s">
        <v>5838</v>
      </c>
      <c r="C778" s="197">
        <v>1984</v>
      </c>
      <c r="D778" s="225" t="str">
        <f t="shared" si="8"/>
        <v>2029_1984</v>
      </c>
      <c r="E778" s="1291">
        <v>0.26590040409411991</v>
      </c>
      <c r="F778" s="1280">
        <v>1.3701297439556275</v>
      </c>
      <c r="G778" s="1271">
        <v>3.9563853320505196</v>
      </c>
      <c r="H778" s="1280">
        <v>3.1125015228858857</v>
      </c>
      <c r="I778" s="1271">
        <v>0.18641276986606389</v>
      </c>
      <c r="J778" s="1280">
        <v>1.6348753834220749E-2</v>
      </c>
      <c r="K778" s="1271">
        <v>2.6920452278887145E-3</v>
      </c>
      <c r="L778" s="1257">
        <v>2.0000009318684188E-3</v>
      </c>
      <c r="M778" s="1230">
        <v>2.0000009318684188E-3</v>
      </c>
      <c r="N778" s="1271">
        <v>2.0080031183557924E-2</v>
      </c>
      <c r="O778" s="1257">
        <v>1.6881573397899662E-2</v>
      </c>
      <c r="P778" s="1237">
        <v>8.4407866989498308E-3</v>
      </c>
      <c r="Q778" s="1292">
        <v>0.19484152812499228</v>
      </c>
    </row>
    <row r="779" spans="1:17" s="212" customFormat="1" ht="15.5" x14ac:dyDescent="0.35">
      <c r="A779" s="198">
        <v>2029</v>
      </c>
      <c r="B779" s="197" t="s">
        <v>5838</v>
      </c>
      <c r="C779" s="197">
        <v>1985</v>
      </c>
      <c r="D779" s="225" t="str">
        <f t="shared" si="8"/>
        <v>2029_1985</v>
      </c>
      <c r="E779" s="1287">
        <v>0.26590040409411991</v>
      </c>
      <c r="F779" s="1306">
        <v>1.3701297439556275</v>
      </c>
      <c r="G779" s="1303">
        <v>3.9563853320505196</v>
      </c>
      <c r="H779" s="1306">
        <v>3.1125015228858857</v>
      </c>
      <c r="I779" s="1303">
        <v>0.18641276986606389</v>
      </c>
      <c r="J779" s="1306">
        <v>1.6348753834220749E-2</v>
      </c>
      <c r="K779" s="1303">
        <v>2.6920452278887145E-3</v>
      </c>
      <c r="L779" s="1288">
        <v>2.0000009318684188E-3</v>
      </c>
      <c r="M779" s="1230">
        <v>2.0000009318684188E-3</v>
      </c>
      <c r="N779" s="1303">
        <v>2.0080031183557924E-2</v>
      </c>
      <c r="O779" s="1288">
        <v>1.6881573397899662E-2</v>
      </c>
      <c r="P779" s="1237">
        <v>8.4407866989498308E-3</v>
      </c>
      <c r="Q779" s="1290">
        <v>0.19484152812499228</v>
      </c>
    </row>
    <row r="780" spans="1:17" s="212" customFormat="1" ht="15.5" x14ac:dyDescent="0.35">
      <c r="A780" s="198">
        <v>2029</v>
      </c>
      <c r="B780" s="197" t="s">
        <v>5838</v>
      </c>
      <c r="C780" s="197">
        <v>1986</v>
      </c>
      <c r="D780" s="225" t="str">
        <f t="shared" si="8"/>
        <v>2029_1986</v>
      </c>
      <c r="E780" s="1287">
        <v>0.26035456223531173</v>
      </c>
      <c r="F780" s="1306">
        <v>1.0916436988862614</v>
      </c>
      <c r="G780" s="1303">
        <v>4.2032165215433688</v>
      </c>
      <c r="H780" s="1306">
        <v>3.1905807162655266</v>
      </c>
      <c r="I780" s="1303">
        <v>0.18534721689628048</v>
      </c>
      <c r="J780" s="1306">
        <v>1.6529185929705637E-2</v>
      </c>
      <c r="K780" s="1303">
        <v>2.7624705857058193E-3</v>
      </c>
      <c r="L780" s="1288">
        <v>2.0000009243098279E-3</v>
      </c>
      <c r="M780" s="1230">
        <v>2.0000009243098279E-3</v>
      </c>
      <c r="N780" s="1303">
        <v>2.1721041043957709E-2</v>
      </c>
      <c r="O780" s="1288">
        <v>1.6042490150514708E-2</v>
      </c>
      <c r="P780" s="1237">
        <v>8.0212450752573539E-3</v>
      </c>
      <c r="Q780" s="1290">
        <v>0.19372779557823649</v>
      </c>
    </row>
    <row r="781" spans="1:17" s="212" customFormat="1" ht="15.5" x14ac:dyDescent="0.35">
      <c r="A781" s="198">
        <v>2029</v>
      </c>
      <c r="B781" s="197" t="s">
        <v>5838</v>
      </c>
      <c r="C781" s="197">
        <v>1987</v>
      </c>
      <c r="D781" s="225" t="str">
        <f t="shared" si="8"/>
        <v>2029_1987</v>
      </c>
      <c r="E781" s="1287">
        <v>0.2976501330308946</v>
      </c>
      <c r="F781" s="1306">
        <v>1.194846587884236</v>
      </c>
      <c r="G781" s="1303">
        <v>4.8856916971684763</v>
      </c>
      <c r="H781" s="1306">
        <v>3.0744083514987377</v>
      </c>
      <c r="I781" s="1303">
        <v>0.20092767900059558</v>
      </c>
      <c r="J781" s="1306">
        <v>1.6841563040522669E-2</v>
      </c>
      <c r="K781" s="1303">
        <v>2.9155082483705761E-3</v>
      </c>
      <c r="L781" s="1288">
        <v>2.0000010543758228E-3</v>
      </c>
      <c r="M781" s="1230">
        <v>2.0000010543758228E-3</v>
      </c>
      <c r="N781" s="1303">
        <v>2.5318792220893838E-2</v>
      </c>
      <c r="O781" s="1288">
        <v>1.4193857574939246E-2</v>
      </c>
      <c r="P781" s="1237">
        <v>7.0969287874696231E-3</v>
      </c>
      <c r="Q781" s="1290">
        <v>0.21001273704163226</v>
      </c>
    </row>
    <row r="782" spans="1:17" s="212" customFormat="1" ht="15.5" x14ac:dyDescent="0.35">
      <c r="A782" s="198">
        <v>2029</v>
      </c>
      <c r="B782" s="197" t="s">
        <v>5838</v>
      </c>
      <c r="C782" s="197">
        <v>1988</v>
      </c>
      <c r="D782" s="225" t="str">
        <f t="shared" si="8"/>
        <v>2029_1988</v>
      </c>
      <c r="E782" s="1287">
        <v>0.2947548407453342</v>
      </c>
      <c r="F782" s="1306">
        <v>0.503171990480067</v>
      </c>
      <c r="G782" s="1303">
        <v>5.0102307625611742</v>
      </c>
      <c r="H782" s="1306">
        <v>1.6653434458360676</v>
      </c>
      <c r="I782" s="1303">
        <v>0.19954856908301194</v>
      </c>
      <c r="J782" s="1306">
        <v>1.6212865342172797E-2</v>
      </c>
      <c r="K782" s="1303">
        <v>2.9439359181842426E-3</v>
      </c>
      <c r="L782" s="1288">
        <v>2.0000010651333496E-3</v>
      </c>
      <c r="M782" s="1230">
        <v>2.0000010651333496E-3</v>
      </c>
      <c r="N782" s="1303">
        <v>2.5993566604372284E-2</v>
      </c>
      <c r="O782" s="1288">
        <v>1.4066220422078935E-2</v>
      </c>
      <c r="P782" s="1237">
        <v>7.0331102110394676E-3</v>
      </c>
      <c r="Q782" s="1290">
        <v>0.20857126989328542</v>
      </c>
    </row>
    <row r="783" spans="1:17" s="212" customFormat="1" ht="15.5" x14ac:dyDescent="0.35">
      <c r="A783" s="198">
        <v>2029</v>
      </c>
      <c r="B783" s="197" t="s">
        <v>5838</v>
      </c>
      <c r="C783" s="197">
        <v>1989</v>
      </c>
      <c r="D783" s="225" t="str">
        <f t="shared" si="8"/>
        <v>2029_1989</v>
      </c>
      <c r="E783" s="1287">
        <v>0.2984157459786963</v>
      </c>
      <c r="F783" s="1306">
        <v>0.44525143730914768</v>
      </c>
      <c r="G783" s="1303">
        <v>4.8456595240997311</v>
      </c>
      <c r="H783" s="1306">
        <v>1.8878226672646319</v>
      </c>
      <c r="I783" s="1303">
        <v>0.20126236154058424</v>
      </c>
      <c r="J783" s="1306">
        <v>1.6373705535897978E-2</v>
      </c>
      <c r="K783" s="1303">
        <v>2.9059604020181193E-3</v>
      </c>
      <c r="L783" s="1288">
        <v>2.0000011134995747E-3</v>
      </c>
      <c r="M783" s="1230">
        <v>2.0000011134995747E-3</v>
      </c>
      <c r="N783" s="1303">
        <v>2.510075739911747E-2</v>
      </c>
      <c r="O783" s="1288">
        <v>1.304506559507243E-2</v>
      </c>
      <c r="P783" s="1237">
        <v>6.5225327975362152E-3</v>
      </c>
      <c r="Q783" s="1290">
        <v>0.21036255244094659</v>
      </c>
    </row>
    <row r="784" spans="1:17" s="212" customFormat="1" ht="15.5" x14ac:dyDescent="0.35">
      <c r="A784" s="198">
        <v>2029</v>
      </c>
      <c r="B784" s="197" t="s">
        <v>5838</v>
      </c>
      <c r="C784" s="197">
        <v>1990</v>
      </c>
      <c r="D784" s="225" t="str">
        <f t="shared" si="8"/>
        <v>2029_1990</v>
      </c>
      <c r="E784" s="1287">
        <v>0.29892337430010613</v>
      </c>
      <c r="F784" s="1306">
        <v>0.48868757626484283</v>
      </c>
      <c r="G784" s="1303">
        <v>4.9466921043936072</v>
      </c>
      <c r="H784" s="1306">
        <v>1.868964192601372</v>
      </c>
      <c r="I784" s="1303">
        <v>0.20231073237545996</v>
      </c>
      <c r="J784" s="1306">
        <v>1.6548006438862107E-2</v>
      </c>
      <c r="K784" s="1303">
        <v>2.9398059641354106E-3</v>
      </c>
      <c r="L784" s="1288">
        <v>2.0000010618830277E-3</v>
      </c>
      <c r="M784" s="1230">
        <v>2.0000010618830277E-3</v>
      </c>
      <c r="N784" s="1303">
        <v>2.5891007260007898E-2</v>
      </c>
      <c r="O784" s="1288">
        <v>1.2494224845279796E-2</v>
      </c>
      <c r="P784" s="1237">
        <v>6.2471124226398979E-3</v>
      </c>
      <c r="Q784" s="1290">
        <v>0.21145832595289954</v>
      </c>
    </row>
    <row r="785" spans="1:17" s="212" customFormat="1" ht="15.5" x14ac:dyDescent="0.35">
      <c r="A785" s="198">
        <v>2029</v>
      </c>
      <c r="B785" s="197" t="s">
        <v>5838</v>
      </c>
      <c r="C785" s="197">
        <v>1991</v>
      </c>
      <c r="D785" s="225" t="str">
        <f t="shared" si="8"/>
        <v>2029_1991</v>
      </c>
      <c r="E785" s="1287">
        <v>0.37826517004810423</v>
      </c>
      <c r="F785" s="1306">
        <v>0.50000891905966227</v>
      </c>
      <c r="G785" s="1303">
        <v>8.8859482624629038</v>
      </c>
      <c r="H785" s="1306">
        <v>2.3134275336239543</v>
      </c>
      <c r="I785" s="1303">
        <v>5.9279659836276956E-2</v>
      </c>
      <c r="J785" s="1306">
        <v>9.2510211316582346E-3</v>
      </c>
      <c r="K785" s="1303">
        <v>2.965242090245747E-3</v>
      </c>
      <c r="L785" s="1288">
        <v>2.0000010945584452E-3</v>
      </c>
      <c r="M785" s="1230">
        <v>2.0000010945584452E-3</v>
      </c>
      <c r="N785" s="1303">
        <v>2.6481517121527152E-2</v>
      </c>
      <c r="O785" s="1288">
        <v>1.1565438913832778E-2</v>
      </c>
      <c r="P785" s="1237">
        <v>5.7827194569163888E-3</v>
      </c>
      <c r="Q785" s="1290">
        <v>6.1960023004478809E-2</v>
      </c>
    </row>
    <row r="786" spans="1:17" s="212" customFormat="1" ht="15.5" x14ac:dyDescent="0.35">
      <c r="A786" s="198">
        <v>2029</v>
      </c>
      <c r="B786" s="197" t="s">
        <v>5838</v>
      </c>
      <c r="C786" s="197">
        <v>1992</v>
      </c>
      <c r="D786" s="225" t="str">
        <f t="shared" si="8"/>
        <v>2029_1992</v>
      </c>
      <c r="E786" s="1287">
        <v>0.37868814194649986</v>
      </c>
      <c r="F786" s="1306">
        <v>0.50006503301408378</v>
      </c>
      <c r="G786" s="1303">
        <v>8.5814793383083572</v>
      </c>
      <c r="H786" s="1306">
        <v>2.2141267032764</v>
      </c>
      <c r="I786" s="1303">
        <v>6.4989406748697839E-2</v>
      </c>
      <c r="J786" s="1306">
        <v>9.4151980203291893E-3</v>
      </c>
      <c r="K786" s="1303">
        <v>2.9302230025672576E-3</v>
      </c>
      <c r="L786" s="1288">
        <v>2.0000011317183931E-3</v>
      </c>
      <c r="M786" s="1230">
        <v>2.0000011317183931E-3</v>
      </c>
      <c r="N786" s="1303">
        <v>2.5658283181693737E-2</v>
      </c>
      <c r="O786" s="1288">
        <v>9.6321976275017974E-3</v>
      </c>
      <c r="P786" s="1237">
        <v>4.8160988137508987E-3</v>
      </c>
      <c r="Q786" s="1290">
        <v>6.7927939335652637E-2</v>
      </c>
    </row>
    <row r="787" spans="1:17" s="212" customFormat="1" ht="15.5" x14ac:dyDescent="0.35">
      <c r="A787" s="198">
        <v>2029</v>
      </c>
      <c r="B787" s="197" t="s">
        <v>5838</v>
      </c>
      <c r="C787" s="197">
        <v>1993</v>
      </c>
      <c r="D787" s="225" t="str">
        <f t="shared" si="8"/>
        <v>2029_1993</v>
      </c>
      <c r="E787" s="1287">
        <v>0.37676383018549758</v>
      </c>
      <c r="F787" s="1306">
        <v>0.50417314526976476</v>
      </c>
      <c r="G787" s="1303">
        <v>8.9952311890107239</v>
      </c>
      <c r="H787" s="1306">
        <v>2.2417582226141595</v>
      </c>
      <c r="I787" s="1303">
        <v>5.4084374693990002E-2</v>
      </c>
      <c r="J787" s="1306">
        <v>9.4187599126781592E-3</v>
      </c>
      <c r="K787" s="1303">
        <v>2.9826845761498364E-3</v>
      </c>
      <c r="L787" s="1288">
        <v>2.0000011153794425E-3</v>
      </c>
      <c r="M787" s="1230">
        <v>2.0000011153794425E-3</v>
      </c>
      <c r="N787" s="1303">
        <v>2.6893687579125101E-2</v>
      </c>
      <c r="O787" s="1288">
        <v>1.0759312168766095E-2</v>
      </c>
      <c r="P787" s="1237">
        <v>5.3796560843830474E-3</v>
      </c>
      <c r="Q787" s="1290">
        <v>5.6529830121793974E-2</v>
      </c>
    </row>
    <row r="788" spans="1:17" s="212" customFormat="1" ht="15.5" x14ac:dyDescent="0.35">
      <c r="A788" s="198">
        <v>2029</v>
      </c>
      <c r="B788" s="197" t="s">
        <v>5838</v>
      </c>
      <c r="C788" s="197">
        <v>1994</v>
      </c>
      <c r="D788" s="225" t="str">
        <f t="shared" si="8"/>
        <v>2029_1994</v>
      </c>
      <c r="E788" s="1287">
        <v>0.35591175678215697</v>
      </c>
      <c r="F788" s="1306">
        <v>0.50256149342456402</v>
      </c>
      <c r="G788" s="1303">
        <v>8.5365556586451827</v>
      </c>
      <c r="H788" s="1306">
        <v>2.1039848392721407</v>
      </c>
      <c r="I788" s="1303">
        <v>5.4172021402087794E-2</v>
      </c>
      <c r="J788" s="1306">
        <v>9.6017467710290839E-3</v>
      </c>
      <c r="K788" s="1303">
        <v>2.9170451251430527E-3</v>
      </c>
      <c r="L788" s="1288">
        <v>2.0000012856115947E-3</v>
      </c>
      <c r="M788" s="1230">
        <v>2.0000012856115947E-3</v>
      </c>
      <c r="N788" s="1303">
        <v>2.5342684396277612E-2</v>
      </c>
      <c r="O788" s="1288">
        <v>8.0506957760122771E-3</v>
      </c>
      <c r="P788" s="1237">
        <v>4.0253478880061385E-3</v>
      </c>
      <c r="Q788" s="1290">
        <v>5.662143982510548E-2</v>
      </c>
    </row>
    <row r="789" spans="1:17" s="212" customFormat="1" ht="15.5" x14ac:dyDescent="0.35">
      <c r="A789" s="198">
        <v>2029</v>
      </c>
      <c r="B789" s="197" t="s">
        <v>5838</v>
      </c>
      <c r="C789" s="197">
        <v>1995</v>
      </c>
      <c r="D789" s="225" t="str">
        <f t="shared" si="8"/>
        <v>2029_1995</v>
      </c>
      <c r="E789" s="1287">
        <v>0.37205060521566224</v>
      </c>
      <c r="F789" s="1306">
        <v>0.37230079470622185</v>
      </c>
      <c r="G789" s="1303">
        <v>9.1530507391212304</v>
      </c>
      <c r="H789" s="1306">
        <v>1.6564092690711012</v>
      </c>
      <c r="I789" s="1303">
        <v>5.3718572260287201E-2</v>
      </c>
      <c r="J789" s="1306">
        <v>8.6139219599227108E-3</v>
      </c>
      <c r="K789" s="1303">
        <v>2.98866386257757E-3</v>
      </c>
      <c r="L789" s="1288">
        <v>2.0000011825712341E-3</v>
      </c>
      <c r="M789" s="1230">
        <v>2.0000011825712341E-3</v>
      </c>
      <c r="N789" s="1303">
        <v>2.7034352340771825E-2</v>
      </c>
      <c r="O789" s="1288">
        <v>1.0378749914925767E-2</v>
      </c>
      <c r="P789" s="1237">
        <v>5.1893749574628834E-3</v>
      </c>
      <c r="Q789" s="1290">
        <v>5.6147487725263422E-2</v>
      </c>
    </row>
    <row r="790" spans="1:17" s="212" customFormat="1" ht="15.5" x14ac:dyDescent="0.35">
      <c r="A790" s="198">
        <v>2029</v>
      </c>
      <c r="B790" s="197" t="s">
        <v>5838</v>
      </c>
      <c r="C790" s="197">
        <v>1996</v>
      </c>
      <c r="D790" s="225" t="str">
        <f t="shared" si="8"/>
        <v>2029_1996</v>
      </c>
      <c r="E790" s="1287">
        <v>0.37525139065472518</v>
      </c>
      <c r="F790" s="1306">
        <v>0.12512714094525404</v>
      </c>
      <c r="G790" s="1303">
        <v>9.1665374925608774</v>
      </c>
      <c r="H790" s="1306">
        <v>0.97894885471669324</v>
      </c>
      <c r="I790" s="1303">
        <v>5.3958551586601081E-2</v>
      </c>
      <c r="J790" s="1306">
        <v>2.6936988738759139E-3</v>
      </c>
      <c r="K790" s="1303">
        <v>2.9941739834520786E-3</v>
      </c>
      <c r="L790" s="1288">
        <v>2.000001166712648E-3</v>
      </c>
      <c r="M790" s="1230">
        <v>2.000001166712648E-3</v>
      </c>
      <c r="N790" s="1303">
        <v>2.716253994894844E-2</v>
      </c>
      <c r="O790" s="1288">
        <v>1.0376617385762567E-2</v>
      </c>
      <c r="P790" s="1237">
        <v>5.1883086928812836E-3</v>
      </c>
      <c r="Q790" s="1290">
        <v>5.6398317851820735E-2</v>
      </c>
    </row>
    <row r="791" spans="1:17" s="212" customFormat="1" ht="15.5" x14ac:dyDescent="0.35">
      <c r="A791" s="198">
        <v>2029</v>
      </c>
      <c r="B791" s="197" t="s">
        <v>5838</v>
      </c>
      <c r="C791" s="197">
        <v>1997</v>
      </c>
      <c r="D791" s="225" t="str">
        <f t="shared" si="8"/>
        <v>2029_1997</v>
      </c>
      <c r="E791" s="1287">
        <v>0.37749148970944807</v>
      </c>
      <c r="F791" s="1306">
        <v>0.12531150018431719</v>
      </c>
      <c r="G791" s="1303">
        <v>9.1767268835794251</v>
      </c>
      <c r="H791" s="1306">
        <v>0.98247503142985904</v>
      </c>
      <c r="I791" s="1303">
        <v>5.4121544670842396E-2</v>
      </c>
      <c r="J791" s="1306">
        <v>2.691483666611625E-3</v>
      </c>
      <c r="K791" s="1303">
        <v>2.9982241468001309E-3</v>
      </c>
      <c r="L791" s="1288">
        <v>2.0000011568864738E-3</v>
      </c>
      <c r="M791" s="1230">
        <v>2.0000011568864738E-3</v>
      </c>
      <c r="N791" s="1303">
        <v>2.7258377329580096E-2</v>
      </c>
      <c r="O791" s="1288">
        <v>1.0266886946253599E-2</v>
      </c>
      <c r="P791" s="1237">
        <v>5.1334434731267996E-3</v>
      </c>
      <c r="Q791" s="1290">
        <v>5.6568680760060303E-2</v>
      </c>
    </row>
    <row r="792" spans="1:17" s="212" customFormat="1" ht="15.5" x14ac:dyDescent="0.35">
      <c r="A792" s="198">
        <v>2029</v>
      </c>
      <c r="B792" s="197" t="s">
        <v>5838</v>
      </c>
      <c r="C792" s="197">
        <v>1998</v>
      </c>
      <c r="D792" s="225" t="str">
        <f t="shared" si="8"/>
        <v>2029_1998</v>
      </c>
      <c r="E792" s="1287">
        <v>0.37691596390918575</v>
      </c>
      <c r="F792" s="1306">
        <v>0.12822098343896782</v>
      </c>
      <c r="G792" s="1303">
        <v>9.1842874637689569</v>
      </c>
      <c r="H792" s="1306">
        <v>1.0032735526401928</v>
      </c>
      <c r="I792" s="1303">
        <v>5.4039068603656738E-2</v>
      </c>
      <c r="J792" s="1306">
        <v>2.7293250952520635E-3</v>
      </c>
      <c r="K792" s="1303">
        <v>2.9981628044191684E-3</v>
      </c>
      <c r="L792" s="1288">
        <v>2.0000012281771048E-3</v>
      </c>
      <c r="M792" s="1230">
        <v>2.0000012281771048E-3</v>
      </c>
      <c r="N792" s="1303">
        <v>2.7256381757134698E-2</v>
      </c>
      <c r="O792" s="1288">
        <v>8.7100247108625132E-3</v>
      </c>
      <c r="P792" s="1237">
        <v>4.3550123554312566E-3</v>
      </c>
      <c r="Q792" s="1290">
        <v>5.6482475491098603E-2</v>
      </c>
    </row>
    <row r="793" spans="1:17" s="212" customFormat="1" ht="15.5" x14ac:dyDescent="0.35">
      <c r="A793" s="198">
        <v>2029</v>
      </c>
      <c r="B793" s="197" t="s">
        <v>5838</v>
      </c>
      <c r="C793" s="197">
        <v>1999</v>
      </c>
      <c r="D793" s="225" t="str">
        <f t="shared" si="8"/>
        <v>2029_1999</v>
      </c>
      <c r="E793" s="1287">
        <v>0.37736811869896525</v>
      </c>
      <c r="F793" s="1306">
        <v>0.12587583076232006</v>
      </c>
      <c r="G793" s="1303">
        <v>9.1957757934478792</v>
      </c>
      <c r="H793" s="1306">
        <v>0.99359898059061114</v>
      </c>
      <c r="I793" s="1303">
        <v>5.4066097225668089E-2</v>
      </c>
      <c r="J793" s="1306">
        <v>2.7557073116977523E-3</v>
      </c>
      <c r="K793" s="1303">
        <v>2.9992015159230325E-3</v>
      </c>
      <c r="L793" s="1288">
        <v>2.000001282689129E-3</v>
      </c>
      <c r="M793" s="1230">
        <v>2.000001282689129E-3</v>
      </c>
      <c r="N793" s="1303">
        <v>2.7281288646160608E-2</v>
      </c>
      <c r="O793" s="1288">
        <v>8.373054871113705E-3</v>
      </c>
      <c r="P793" s="1237">
        <v>4.1865274355568525E-3</v>
      </c>
      <c r="Q793" s="1290">
        <v>5.6510726227459618E-2</v>
      </c>
    </row>
    <row r="794" spans="1:17" s="212" customFormat="1" ht="15.5" x14ac:dyDescent="0.35">
      <c r="A794" s="198">
        <v>2029</v>
      </c>
      <c r="B794" s="197" t="s">
        <v>5838</v>
      </c>
      <c r="C794" s="197">
        <v>2000</v>
      </c>
      <c r="D794" s="225" t="str">
        <f t="shared" si="8"/>
        <v>2029_2000</v>
      </c>
      <c r="E794" s="1287">
        <v>0.37569222049121848</v>
      </c>
      <c r="F794" s="1306">
        <v>0.12079232716885803</v>
      </c>
      <c r="G794" s="1303">
        <v>9.2324532262246706</v>
      </c>
      <c r="H794" s="1306">
        <v>0.96778940566132321</v>
      </c>
      <c r="I794" s="1303">
        <v>5.3803854416854986E-2</v>
      </c>
      <c r="J794" s="1306">
        <v>2.7571456072965146E-3</v>
      </c>
      <c r="K794" s="1303">
        <v>2.9997585041401796E-3</v>
      </c>
      <c r="L794" s="1288">
        <v>2.0000013391710003E-3</v>
      </c>
      <c r="M794" s="1230">
        <v>2.0000013391710003E-3</v>
      </c>
      <c r="N794" s="1303">
        <v>2.7294261197072654E-2</v>
      </c>
      <c r="O794" s="1288">
        <v>8.5625365426752458E-3</v>
      </c>
      <c r="P794" s="1237">
        <v>4.2812682713376229E-3</v>
      </c>
      <c r="Q794" s="1290">
        <v>5.6236625962517224E-2</v>
      </c>
    </row>
    <row r="795" spans="1:17" s="212" customFormat="1" ht="15.5" x14ac:dyDescent="0.35">
      <c r="A795" s="198">
        <v>2029</v>
      </c>
      <c r="B795" s="197" t="s">
        <v>5838</v>
      </c>
      <c r="C795" s="197">
        <v>2001</v>
      </c>
      <c r="D795" s="225" t="str">
        <f t="shared" si="8"/>
        <v>2029_2001</v>
      </c>
      <c r="E795" s="1287">
        <v>0.37746699584003462</v>
      </c>
      <c r="F795" s="1306">
        <v>0.1182090325310626</v>
      </c>
      <c r="G795" s="1303">
        <v>9.201132558893514</v>
      </c>
      <c r="H795" s="1306">
        <v>0.95112065954948755</v>
      </c>
      <c r="I795" s="1303">
        <v>5.4051898014884532E-2</v>
      </c>
      <c r="J795" s="1306">
        <v>2.7827941406517722E-3</v>
      </c>
      <c r="K795" s="1303">
        <v>2.9999212843135267E-3</v>
      </c>
      <c r="L795" s="1288">
        <v>2.0000013292152678E-3</v>
      </c>
      <c r="M795" s="1230">
        <v>2.0000013292152678E-3</v>
      </c>
      <c r="N795" s="1303">
        <v>2.729815152209434E-2</v>
      </c>
      <c r="O795" s="1288">
        <v>7.8399546856900339E-3</v>
      </c>
      <c r="P795" s="1237">
        <v>3.919977342845017E-3</v>
      </c>
      <c r="Q795" s="1290">
        <v>5.6495884991372446E-2</v>
      </c>
    </row>
    <row r="796" spans="1:17" s="212" customFormat="1" ht="15.5" x14ac:dyDescent="0.35">
      <c r="A796" s="198">
        <v>2029</v>
      </c>
      <c r="B796" s="197" t="s">
        <v>5838</v>
      </c>
      <c r="C796" s="197">
        <v>2002</v>
      </c>
      <c r="D796" s="225" t="str">
        <f t="shared" si="8"/>
        <v>2029_2002</v>
      </c>
      <c r="E796" s="1287">
        <v>0.29109846803191686</v>
      </c>
      <c r="F796" s="1306">
        <v>0.11779722888911989</v>
      </c>
      <c r="G796" s="1303">
        <v>7.1169248734088377</v>
      </c>
      <c r="H796" s="1306">
        <v>0.92255499829398013</v>
      </c>
      <c r="I796" s="1303">
        <v>5.4262631604246971E-2</v>
      </c>
      <c r="J796" s="1306">
        <v>2.8000567649974937E-3</v>
      </c>
      <c r="K796" s="1303">
        <v>2.9999311981536514E-3</v>
      </c>
      <c r="L796" s="1288">
        <v>2.0000014127822189E-3</v>
      </c>
      <c r="M796" s="1230">
        <v>2.0000014127822189E-3</v>
      </c>
      <c r="N796" s="1303">
        <v>2.7298383266093709E-2</v>
      </c>
      <c r="O796" s="1288">
        <v>7.2671930840401038E-3</v>
      </c>
      <c r="P796" s="1237">
        <v>3.6335965420200519E-3</v>
      </c>
      <c r="Q796" s="1290">
        <v>5.6716147018529499E-2</v>
      </c>
    </row>
    <row r="797" spans="1:17" s="212" customFormat="1" ht="15.5" x14ac:dyDescent="0.35">
      <c r="A797" s="198">
        <v>2029</v>
      </c>
      <c r="B797" s="197" t="s">
        <v>5838</v>
      </c>
      <c r="C797" s="197">
        <v>2003</v>
      </c>
      <c r="D797" s="225" t="str">
        <f t="shared" si="8"/>
        <v>2029_2003</v>
      </c>
      <c r="E797" s="1287">
        <v>0.28952731274924909</v>
      </c>
      <c r="F797" s="1306">
        <v>9.5419058942334725E-2</v>
      </c>
      <c r="G797" s="1303">
        <v>7.1432507008579682</v>
      </c>
      <c r="H797" s="1306">
        <v>0.71722775527584293</v>
      </c>
      <c r="I797" s="1303">
        <v>5.3969595410316006E-2</v>
      </c>
      <c r="J797" s="1306">
        <v>2.7866079296802368E-3</v>
      </c>
      <c r="K797" s="1303">
        <v>2.9999362271644191E-3</v>
      </c>
      <c r="L797" s="1288">
        <v>2.0000014262233313E-3</v>
      </c>
      <c r="M797" s="1230">
        <v>2.0000014262233313E-3</v>
      </c>
      <c r="N797" s="1303">
        <v>2.7298524098083241E-2</v>
      </c>
      <c r="O797" s="1288">
        <v>7.6817585782100652E-3</v>
      </c>
      <c r="P797" s="1237">
        <v>3.8408792891050326E-3</v>
      </c>
      <c r="Q797" s="1290">
        <v>5.64098610282378E-2</v>
      </c>
    </row>
    <row r="798" spans="1:17" s="212" customFormat="1" ht="15.5" x14ac:dyDescent="0.35">
      <c r="A798" s="198">
        <v>2029</v>
      </c>
      <c r="B798" s="197" t="s">
        <v>5838</v>
      </c>
      <c r="C798" s="197">
        <v>2004</v>
      </c>
      <c r="D798" s="225" t="str">
        <f t="shared" si="8"/>
        <v>2029_2004</v>
      </c>
      <c r="E798" s="1287">
        <v>0.59678388923795611</v>
      </c>
      <c r="F798" s="1306">
        <v>1.7970963035004377E-2</v>
      </c>
      <c r="G798" s="1303">
        <v>4.2104027975450435</v>
      </c>
      <c r="H798" s="1306">
        <v>0.12154581854898501</v>
      </c>
      <c r="I798" s="1303">
        <v>0.15460440695046934</v>
      </c>
      <c r="J798" s="1306">
        <v>1.8677519987142925E-4</v>
      </c>
      <c r="K798" s="1303">
        <v>2.9991914105176529E-3</v>
      </c>
      <c r="L798" s="1288">
        <v>2.0000015008743524E-3</v>
      </c>
      <c r="M798" s="1230">
        <v>2.0000015008743524E-3</v>
      </c>
      <c r="N798" s="1303">
        <v>2.7280978479624671E-2</v>
      </c>
      <c r="O798" s="1288">
        <v>7.043694590338774E-3</v>
      </c>
      <c r="P798" s="1237">
        <v>3.521847295169387E-3</v>
      </c>
      <c r="Q798" s="1290">
        <v>0.16159493218587434</v>
      </c>
    </row>
    <row r="799" spans="1:17" s="212" customFormat="1" ht="15.5" x14ac:dyDescent="0.35">
      <c r="A799" s="198">
        <v>2029</v>
      </c>
      <c r="B799" s="197" t="s">
        <v>5838</v>
      </c>
      <c r="C799" s="197">
        <v>2005</v>
      </c>
      <c r="D799" s="225" t="str">
        <f t="shared" si="8"/>
        <v>2029_2005</v>
      </c>
      <c r="E799" s="1287">
        <v>0.56152258318348902</v>
      </c>
      <c r="F799" s="1306">
        <v>1.6037193265204069E-2</v>
      </c>
      <c r="G799" s="1303">
        <v>4.0413217788512821</v>
      </c>
      <c r="H799" s="1306">
        <v>0.10544445673899074</v>
      </c>
      <c r="I799" s="1303">
        <v>0.14745253886467921</v>
      </c>
      <c r="J799" s="1306">
        <v>1.8720008938828757E-4</v>
      </c>
      <c r="K799" s="1303">
        <v>2.930904511343682E-3</v>
      </c>
      <c r="L799" s="1288">
        <v>2.0000015133746895E-3</v>
      </c>
      <c r="M799" s="1230">
        <v>2.0000015133746895E-3</v>
      </c>
      <c r="N799" s="1303">
        <v>2.566829249051129E-2</v>
      </c>
      <c r="O799" s="1288">
        <v>6.4444338690182448E-3</v>
      </c>
      <c r="P799" s="1237">
        <v>3.2222169345091224E-3</v>
      </c>
      <c r="Q799" s="1290">
        <v>0.15411968836118972</v>
      </c>
    </row>
    <row r="800" spans="1:17" s="212" customFormat="1" ht="15.5" x14ac:dyDescent="0.35">
      <c r="A800" s="198">
        <v>2029</v>
      </c>
      <c r="B800" s="197" t="s">
        <v>5838</v>
      </c>
      <c r="C800" s="197">
        <v>2006</v>
      </c>
      <c r="D800" s="225" t="str">
        <f t="shared" si="8"/>
        <v>2029_2006</v>
      </c>
      <c r="E800" s="1287">
        <v>0.57215821515480114</v>
      </c>
      <c r="F800" s="1306">
        <v>6.8575929845173132E-3</v>
      </c>
      <c r="G800" s="1303">
        <v>4.0994376095476879</v>
      </c>
      <c r="H800" s="1306">
        <v>8.0860257938249913E-2</v>
      </c>
      <c r="I800" s="1303">
        <v>0.149596905647401</v>
      </c>
      <c r="J800" s="1306">
        <v>1.8236555334545402E-4</v>
      </c>
      <c r="K800" s="1303">
        <v>2.9578725638713717E-3</v>
      </c>
      <c r="L800" s="1288">
        <v>2.0000014175977849E-3</v>
      </c>
      <c r="M800" s="1230">
        <v>2.0000014175977849E-3</v>
      </c>
      <c r="N800" s="1303">
        <v>2.630465770850722E-2</v>
      </c>
      <c r="O800" s="1288">
        <v>9.2775611086453481E-3</v>
      </c>
      <c r="P800" s="1237">
        <v>4.638780554322674E-3</v>
      </c>
      <c r="Q800" s="1290">
        <v>0.15636101389433918</v>
      </c>
    </row>
    <row r="801" spans="1:17" s="212" customFormat="1" ht="15.5" x14ac:dyDescent="0.35">
      <c r="A801" s="198">
        <v>2029</v>
      </c>
      <c r="B801" s="197" t="s">
        <v>5838</v>
      </c>
      <c r="C801" s="197">
        <v>2007</v>
      </c>
      <c r="D801" s="225" t="str">
        <f t="shared" si="8"/>
        <v>2029_2007</v>
      </c>
      <c r="E801" s="1287">
        <v>0.31392708282753451</v>
      </c>
      <c r="F801" s="1306">
        <v>8.7887653125687942E-3</v>
      </c>
      <c r="G801" s="1303">
        <v>2.2909647138326936</v>
      </c>
      <c r="H801" s="1306">
        <v>6.8064125069584591E-2</v>
      </c>
      <c r="I801" s="1303">
        <v>8.2048510104173619E-2</v>
      </c>
      <c r="J801" s="1306">
        <v>1.8634576143450481E-4</v>
      </c>
      <c r="K801" s="1303">
        <v>2.9299345279406946E-3</v>
      </c>
      <c r="L801" s="1288">
        <v>2.0000014463564045E-3</v>
      </c>
      <c r="M801" s="1230">
        <v>2.0000014463564045E-3</v>
      </c>
      <c r="N801" s="1303">
        <v>2.5645205595123958E-2</v>
      </c>
      <c r="O801" s="1288">
        <v>6.6131309433191893E-3</v>
      </c>
      <c r="P801" s="1237">
        <v>3.3065654716595947E-3</v>
      </c>
      <c r="Q801" s="1290">
        <v>8.5758379646213023E-2</v>
      </c>
    </row>
    <row r="802" spans="1:17" s="212" customFormat="1" ht="15.5" x14ac:dyDescent="0.35">
      <c r="A802" s="198">
        <v>2029</v>
      </c>
      <c r="B802" s="197" t="s">
        <v>5838</v>
      </c>
      <c r="C802" s="197">
        <v>2008</v>
      </c>
      <c r="D802" s="225" t="str">
        <f t="shared" si="8"/>
        <v>2029_2008</v>
      </c>
      <c r="E802" s="1287">
        <v>0.32056762449833875</v>
      </c>
      <c r="F802" s="1306">
        <v>8.1989917925461078E-3</v>
      </c>
      <c r="G802" s="1303">
        <v>2.3528205597693703</v>
      </c>
      <c r="H802" s="1306">
        <v>5.1794591117520189E-2</v>
      </c>
      <c r="I802" s="1303">
        <v>8.3853618080835149E-2</v>
      </c>
      <c r="J802" s="1306">
        <v>2.1070437575839449E-4</v>
      </c>
      <c r="K802" s="1303">
        <v>2.9580578027729688E-3</v>
      </c>
      <c r="L802" s="1288">
        <v>2.0000016008851116E-3</v>
      </c>
      <c r="M802" s="1230">
        <v>2.0000016008851116E-3</v>
      </c>
      <c r="N802" s="1303">
        <v>2.6310048228152562E-2</v>
      </c>
      <c r="O802" s="1288">
        <v>6.4741050542964336E-3</v>
      </c>
      <c r="P802" s="1237">
        <v>3.2370525271482168E-3</v>
      </c>
      <c r="Q802" s="1290">
        <v>8.7645106595531166E-2</v>
      </c>
    </row>
    <row r="803" spans="1:17" s="212" customFormat="1" ht="15.5" x14ac:dyDescent="0.35">
      <c r="A803" s="198">
        <v>2029</v>
      </c>
      <c r="B803" s="197" t="s">
        <v>5838</v>
      </c>
      <c r="C803" s="197">
        <v>2009</v>
      </c>
      <c r="D803" s="225" t="str">
        <f t="shared" si="8"/>
        <v>2029_2009</v>
      </c>
      <c r="E803" s="1287">
        <v>0.30369802106354687</v>
      </c>
      <c r="F803" s="1306">
        <v>7.8758116593334367E-3</v>
      </c>
      <c r="G803" s="1303">
        <v>2.2141279905908826</v>
      </c>
      <c r="H803" s="1306">
        <v>3.7975040196377721E-2</v>
      </c>
      <c r="I803" s="1303">
        <v>7.93945160639766E-2</v>
      </c>
      <c r="J803" s="1306">
        <v>2.3949628343430612E-4</v>
      </c>
      <c r="K803" s="1303">
        <v>2.8947653276723E-3</v>
      </c>
      <c r="L803" s="1288">
        <v>2.000001651678269E-3</v>
      </c>
      <c r="M803" s="1230">
        <v>2.000001651678269E-3</v>
      </c>
      <c r="N803" s="1303">
        <v>2.481720000637937E-2</v>
      </c>
      <c r="O803" s="1288">
        <v>5.0977193713369695E-3</v>
      </c>
      <c r="P803" s="1237">
        <v>2.5488596856684848E-3</v>
      </c>
      <c r="Q803" s="1290">
        <v>8.2984383772442452E-2</v>
      </c>
    </row>
    <row r="804" spans="1:17" s="212" customFormat="1" ht="15.5" x14ac:dyDescent="0.35">
      <c r="A804" s="198">
        <v>2029</v>
      </c>
      <c r="B804" s="197" t="s">
        <v>5838</v>
      </c>
      <c r="C804" s="197">
        <v>2010</v>
      </c>
      <c r="D804" s="225" t="str">
        <f t="shared" si="8"/>
        <v>2029_2010</v>
      </c>
      <c r="E804" s="1287">
        <v>6.3568965772991079E-2</v>
      </c>
      <c r="F804" s="1306">
        <v>7.2064624862132835E-3</v>
      </c>
      <c r="G804" s="1303">
        <v>0.54217459399841128</v>
      </c>
      <c r="H804" s="1306">
        <v>3.5652893992465171E-2</v>
      </c>
      <c r="I804" s="1303">
        <v>1.727879038829145E-2</v>
      </c>
      <c r="J804" s="1306">
        <v>2.955221609631143E-4</v>
      </c>
      <c r="K804" s="1303">
        <v>2.764862347051103E-3</v>
      </c>
      <c r="L804" s="1288">
        <v>2.0000017388071495E-3</v>
      </c>
      <c r="M804" s="1230">
        <v>2.0000017388071495E-3</v>
      </c>
      <c r="N804" s="1303">
        <v>2.1745659672454679E-2</v>
      </c>
      <c r="O804" s="1288">
        <v>4.3531773445621685E-3</v>
      </c>
      <c r="P804" s="1237">
        <v>2.1765886722810842E-3</v>
      </c>
      <c r="Q804" s="1290">
        <v>1.8060060616153222E-2</v>
      </c>
    </row>
    <row r="805" spans="1:17" s="212" customFormat="1" ht="15.5" x14ac:dyDescent="0.35">
      <c r="A805" s="198">
        <v>2029</v>
      </c>
      <c r="B805" s="197" t="s">
        <v>5838</v>
      </c>
      <c r="C805" s="197">
        <v>2011</v>
      </c>
      <c r="D805" s="225" t="str">
        <f t="shared" si="8"/>
        <v>2029_2011</v>
      </c>
      <c r="E805" s="1287">
        <v>6.9159708387659502E-2</v>
      </c>
      <c r="F805" s="1306">
        <v>7.1578738265861358E-3</v>
      </c>
      <c r="G805" s="1303">
        <v>0.60436480640628176</v>
      </c>
      <c r="H805" s="1306">
        <v>3.5117817796042602E-2</v>
      </c>
      <c r="I805" s="1303">
        <v>1.8479174381062922E-2</v>
      </c>
      <c r="J805" s="1306">
        <v>3.9397080233786189E-4</v>
      </c>
      <c r="K805" s="1303">
        <v>2.8706390591603441E-3</v>
      </c>
      <c r="L805" s="1288">
        <v>2.000001686729111E-3</v>
      </c>
      <c r="M805" s="1230">
        <v>2.000001686729111E-3</v>
      </c>
      <c r="N805" s="1303">
        <v>2.4250209046252042E-2</v>
      </c>
      <c r="O805" s="1288">
        <v>5.1943066243935248E-3</v>
      </c>
      <c r="P805" s="1237">
        <v>2.5971533121967624E-3</v>
      </c>
      <c r="Q805" s="1290">
        <v>1.9314720646452808E-2</v>
      </c>
    </row>
    <row r="806" spans="1:17" s="212" customFormat="1" ht="15.5" x14ac:dyDescent="0.35">
      <c r="A806" s="198">
        <v>2029</v>
      </c>
      <c r="B806" s="197" t="s">
        <v>5838</v>
      </c>
      <c r="C806" s="197">
        <v>2012</v>
      </c>
      <c r="D806" s="225" t="str">
        <f t="shared" si="8"/>
        <v>2029_2012</v>
      </c>
      <c r="E806" s="1287">
        <v>5.0654547808054479E-2</v>
      </c>
      <c r="F806" s="1306">
        <v>6.7661475542700683E-3</v>
      </c>
      <c r="G806" s="1303">
        <v>0.40546319488295102</v>
      </c>
      <c r="H806" s="1306">
        <v>3.3600021098175697E-2</v>
      </c>
      <c r="I806" s="1303">
        <v>1.3854026503554566E-2</v>
      </c>
      <c r="J806" s="1306">
        <v>5.7226940967334899E-4</v>
      </c>
      <c r="K806" s="1303">
        <v>2.5767633011704412E-3</v>
      </c>
      <c r="L806" s="1288">
        <v>2.0000017349215827E-3</v>
      </c>
      <c r="M806" s="1230">
        <v>2.0000017349215827E-3</v>
      </c>
      <c r="N806" s="1303">
        <v>1.726819686824025E-2</v>
      </c>
      <c r="O806" s="1288">
        <v>5.57996091848946E-3</v>
      </c>
      <c r="P806" s="1237">
        <v>2.78998045924473E-3</v>
      </c>
      <c r="Q806" s="1290">
        <v>1.4480444105713211E-2</v>
      </c>
    </row>
    <row r="807" spans="1:17" s="212" customFormat="1" ht="15.5" x14ac:dyDescent="0.35">
      <c r="A807" s="198">
        <v>2029</v>
      </c>
      <c r="B807" s="197" t="s">
        <v>5838</v>
      </c>
      <c r="C807" s="197">
        <v>2013</v>
      </c>
      <c r="D807" s="225" t="str">
        <f t="shared" si="8"/>
        <v>2029_2013</v>
      </c>
      <c r="E807" s="1287">
        <v>6.5559998217160784E-2</v>
      </c>
      <c r="F807" s="1306">
        <v>7.2468262719257289E-3</v>
      </c>
      <c r="G807" s="1303">
        <v>0.56009756170731995</v>
      </c>
      <c r="H807" s="1306">
        <v>3.4276418780169848E-2</v>
      </c>
      <c r="I807" s="1303">
        <v>1.7119738414377368E-2</v>
      </c>
      <c r="J807" s="1306">
        <v>8.5573951404523184E-4</v>
      </c>
      <c r="K807" s="1303">
        <v>2.8254361854706165E-3</v>
      </c>
      <c r="L807" s="1288">
        <v>2.0000017343664782E-3</v>
      </c>
      <c r="M807" s="1230">
        <v>2.0000017343664782E-3</v>
      </c>
      <c r="N807" s="1303">
        <v>2.3172340479106351E-2</v>
      </c>
      <c r="O807" s="1288">
        <v>5.5691171158836813E-3</v>
      </c>
      <c r="P807" s="1237">
        <v>2.7845585579418406E-3</v>
      </c>
      <c r="Q807" s="1290">
        <v>1.7893817017761462E-2</v>
      </c>
    </row>
    <row r="808" spans="1:17" s="212" customFormat="1" ht="15.5" x14ac:dyDescent="0.35">
      <c r="A808" s="198">
        <v>2029</v>
      </c>
      <c r="B808" s="197" t="s">
        <v>5838</v>
      </c>
      <c r="C808" s="197">
        <v>2014</v>
      </c>
      <c r="D808" s="225" t="str">
        <f t="shared" si="8"/>
        <v>2029_2014</v>
      </c>
      <c r="E808" s="1287">
        <v>5.5636752770129597E-2</v>
      </c>
      <c r="F808" s="1306">
        <v>7.313155049885142E-3</v>
      </c>
      <c r="G808" s="1303">
        <v>0.45485159638671152</v>
      </c>
      <c r="H808" s="1306">
        <v>3.4012139060391848E-2</v>
      </c>
      <c r="I808" s="1303">
        <v>1.4573674756149945E-2</v>
      </c>
      <c r="J808" s="1306">
        <v>1.2073643896767881E-3</v>
      </c>
      <c r="K808" s="1303">
        <v>2.6734135765311947E-3</v>
      </c>
      <c r="L808" s="1288">
        <v>2.0000017377076397E-3</v>
      </c>
      <c r="M808" s="1230">
        <v>2.0000017377076397E-3</v>
      </c>
      <c r="N808" s="1303">
        <v>1.9545620652304387E-2</v>
      </c>
      <c r="O808" s="1288">
        <v>4.7475790532761552E-3</v>
      </c>
      <c r="P808" s="1237">
        <v>2.3737895266380776E-3</v>
      </c>
      <c r="Q808" s="1290">
        <v>1.5232631658899116E-2</v>
      </c>
    </row>
    <row r="809" spans="1:17" s="212" customFormat="1" ht="15.5" x14ac:dyDescent="0.35">
      <c r="A809" s="198">
        <v>2029</v>
      </c>
      <c r="B809" s="197" t="s">
        <v>5838</v>
      </c>
      <c r="C809" s="197">
        <v>2015</v>
      </c>
      <c r="D809" s="225" t="str">
        <f t="shared" si="8"/>
        <v>2029_2015</v>
      </c>
      <c r="E809" s="1287">
        <v>5.0517897833670687E-2</v>
      </c>
      <c r="F809" s="1306">
        <v>7.1003165165271637E-3</v>
      </c>
      <c r="G809" s="1303">
        <v>0.40339629451466374</v>
      </c>
      <c r="H809" s="1306">
        <v>3.2601115088704807E-2</v>
      </c>
      <c r="I809" s="1303">
        <v>1.3195077299168819E-2</v>
      </c>
      <c r="J809" s="1306">
        <v>1.4989787223278167E-3</v>
      </c>
      <c r="K809" s="1303">
        <v>2.6054379563258262E-3</v>
      </c>
      <c r="L809" s="1288">
        <v>2.0000017109342108E-3</v>
      </c>
      <c r="M809" s="1230">
        <v>2.0000017109342108E-3</v>
      </c>
      <c r="N809" s="1303">
        <v>1.7900333630139213E-2</v>
      </c>
      <c r="O809" s="1288">
        <v>5.4886073804600788E-3</v>
      </c>
      <c r="P809" s="1237">
        <v>2.7443036902300394E-3</v>
      </c>
      <c r="Q809" s="1290">
        <v>1.3791700142348904E-2</v>
      </c>
    </row>
    <row r="810" spans="1:17" s="212" customFormat="1" ht="15.5" x14ac:dyDescent="0.35">
      <c r="A810" s="198">
        <v>2029</v>
      </c>
      <c r="B810" s="197" t="s">
        <v>5838</v>
      </c>
      <c r="C810" s="197">
        <v>2016</v>
      </c>
      <c r="D810" s="225" t="str">
        <f t="shared" si="8"/>
        <v>2029_2016</v>
      </c>
      <c r="E810" s="1287">
        <v>6.0180779399887925E-2</v>
      </c>
      <c r="F810" s="1306">
        <v>6.9185745016023051E-3</v>
      </c>
      <c r="G810" s="1303">
        <v>0.44617775666401144</v>
      </c>
      <c r="H810" s="1306">
        <v>3.1331101605631739E-2</v>
      </c>
      <c r="I810" s="1303">
        <v>1.5021028777404461E-2</v>
      </c>
      <c r="J810" s="1306">
        <v>1.7065210876440241E-3</v>
      </c>
      <c r="K810" s="1303">
        <v>2.7893568992104147E-3</v>
      </c>
      <c r="L810" s="1288">
        <v>2.0000016534159593E-3</v>
      </c>
      <c r="M810" s="1230">
        <v>2.0000016534159593E-3</v>
      </c>
      <c r="N810" s="1303">
        <v>2.2276463349719347E-2</v>
      </c>
      <c r="O810" s="1288">
        <v>6.2905658689866384E-3</v>
      </c>
      <c r="P810" s="1237">
        <v>3.1452829344933192E-3</v>
      </c>
      <c r="Q810" s="1290">
        <v>1.5700213043890715E-2</v>
      </c>
    </row>
    <row r="811" spans="1:17" s="212" customFormat="1" ht="15.5" x14ac:dyDescent="0.35">
      <c r="A811" s="198">
        <v>2029</v>
      </c>
      <c r="B811" s="197" t="s">
        <v>5838</v>
      </c>
      <c r="C811" s="197">
        <v>2017</v>
      </c>
      <c r="D811" s="225" t="str">
        <f t="shared" si="8"/>
        <v>2029_2017</v>
      </c>
      <c r="E811" s="1287">
        <v>6.1736725324508065E-2</v>
      </c>
      <c r="F811" s="1306">
        <v>6.5763503912774652E-3</v>
      </c>
      <c r="G811" s="1303">
        <v>0.39768973231540655</v>
      </c>
      <c r="H811" s="1306">
        <v>2.9996792534172943E-2</v>
      </c>
      <c r="I811" s="1303">
        <v>1.4969800848814102E-2</v>
      </c>
      <c r="J811" s="1306">
        <v>1.8328575029463027E-3</v>
      </c>
      <c r="K811" s="1303">
        <v>2.8294298315623191E-3</v>
      </c>
      <c r="L811" s="1288">
        <v>2.0000016235474614E-3</v>
      </c>
      <c r="M811" s="1230">
        <v>2.0000016235474614E-3</v>
      </c>
      <c r="N811" s="1303">
        <v>2.3229940486319836E-2</v>
      </c>
      <c r="O811" s="1288">
        <v>6.2526624468719864E-3</v>
      </c>
      <c r="P811" s="1237">
        <v>3.1263312234359932E-3</v>
      </c>
      <c r="Q811" s="1290">
        <v>1.5646668815689962E-2</v>
      </c>
    </row>
    <row r="812" spans="1:17" s="212" customFormat="1" ht="15.5" x14ac:dyDescent="0.35">
      <c r="A812" s="198">
        <v>2029</v>
      </c>
      <c r="B812" s="197" t="s">
        <v>5838</v>
      </c>
      <c r="C812" s="197">
        <v>2018</v>
      </c>
      <c r="D812" s="225" t="str">
        <f t="shared" si="8"/>
        <v>2029_2018</v>
      </c>
      <c r="E812" s="1287">
        <v>5.6034576601566834E-2</v>
      </c>
      <c r="F812" s="1306">
        <v>6.3465665178422757E-3</v>
      </c>
      <c r="G812" s="1303">
        <v>0.29132104080911758</v>
      </c>
      <c r="H812" s="1306">
        <v>2.8898133974967339E-2</v>
      </c>
      <c r="I812" s="1303">
        <v>1.3364823167718354E-2</v>
      </c>
      <c r="J812" s="1306">
        <v>1.9339352084032659E-3</v>
      </c>
      <c r="K812" s="1303">
        <v>2.7411327643625909E-3</v>
      </c>
      <c r="L812" s="1288">
        <v>2.0000016161022286E-3</v>
      </c>
      <c r="M812" s="1230">
        <v>2.0000016161022286E-3</v>
      </c>
      <c r="N812" s="1303">
        <v>2.1104545886813167E-2</v>
      </c>
      <c r="O812" s="1288">
        <v>5.636627957311062E-3</v>
      </c>
      <c r="P812" s="1237">
        <v>2.818313978655531E-3</v>
      </c>
      <c r="Q812" s="1290">
        <v>1.3969121165838158E-2</v>
      </c>
    </row>
    <row r="813" spans="1:17" s="212" customFormat="1" ht="15.5" x14ac:dyDescent="0.35">
      <c r="A813" s="198">
        <v>2029</v>
      </c>
      <c r="B813" s="197" t="s">
        <v>5838</v>
      </c>
      <c r="C813" s="197">
        <v>2019</v>
      </c>
      <c r="D813" s="225" t="str">
        <f t="shared" si="8"/>
        <v>2029_2019</v>
      </c>
      <c r="E813" s="1287">
        <v>6.4782173008615843E-2</v>
      </c>
      <c r="F813" s="1306">
        <v>6.1077031637614349E-3</v>
      </c>
      <c r="G813" s="1303">
        <v>0.29839547944004974</v>
      </c>
      <c r="H813" s="1306">
        <v>2.7599206909502353E-2</v>
      </c>
      <c r="I813" s="1303">
        <v>1.4631118846854243E-2</v>
      </c>
      <c r="J813" s="1306">
        <v>1.8349258848096637E-3</v>
      </c>
      <c r="K813" s="1303">
        <v>2.9207402967621771E-3</v>
      </c>
      <c r="L813" s="1288">
        <v>2.0000015447272108E-3</v>
      </c>
      <c r="M813" s="1230">
        <v>2.0000015447272108E-3</v>
      </c>
      <c r="N813" s="1303">
        <v>2.5401490852677719E-2</v>
      </c>
      <c r="O813" s="1288">
        <v>5.6539582320487974E-3</v>
      </c>
      <c r="P813" s="1237">
        <v>2.8269791160243987E-3</v>
      </c>
      <c r="Q813" s="1290">
        <v>1.5292673116480646E-2</v>
      </c>
    </row>
    <row r="814" spans="1:17" s="212" customFormat="1" ht="15.5" x14ac:dyDescent="0.35">
      <c r="A814" s="198">
        <v>2029</v>
      </c>
      <c r="B814" s="197" t="s">
        <v>5838</v>
      </c>
      <c r="C814" s="197">
        <v>2020</v>
      </c>
      <c r="D814" s="225" t="str">
        <f t="shared" si="8"/>
        <v>2029_2020</v>
      </c>
      <c r="E814" s="1287">
        <v>5.4941394418362016E-2</v>
      </c>
      <c r="F814" s="1306">
        <v>5.8085080133487114E-3</v>
      </c>
      <c r="G814" s="1303">
        <v>0.22188344485583592</v>
      </c>
      <c r="H814" s="1306">
        <v>2.6048806223243078E-2</v>
      </c>
      <c r="I814" s="1303">
        <v>1.2440876929995581E-2</v>
      </c>
      <c r="J814" s="1306">
        <v>1.3560774445851567E-3</v>
      </c>
      <c r="K814" s="1303">
        <v>2.8791024784821624E-3</v>
      </c>
      <c r="L814" s="1288">
        <v>2.000001640771003E-3</v>
      </c>
      <c r="M814" s="1230">
        <v>2.000001640771003E-3</v>
      </c>
      <c r="N814" s="1303">
        <v>2.4405179006115076E-2</v>
      </c>
      <c r="O814" s="1288">
        <v>5.7443004843487954E-3</v>
      </c>
      <c r="P814" s="1237">
        <v>2.8721502421743977E-3</v>
      </c>
      <c r="Q814" s="1290">
        <v>1.3003398179196241E-2</v>
      </c>
    </row>
    <row r="815" spans="1:17" s="212" customFormat="1" ht="15.5" x14ac:dyDescent="0.35">
      <c r="A815" s="198">
        <v>2029</v>
      </c>
      <c r="B815" s="197" t="s">
        <v>5838</v>
      </c>
      <c r="C815" s="197">
        <v>2021</v>
      </c>
      <c r="D815" s="225" t="str">
        <f t="shared" si="8"/>
        <v>2029_2021</v>
      </c>
      <c r="E815" s="1287">
        <v>5.2938677880200811E-2</v>
      </c>
      <c r="F815" s="1306">
        <v>5.4518917040510618E-3</v>
      </c>
      <c r="G815" s="1303">
        <v>0.17410932694954778</v>
      </c>
      <c r="H815" s="1306">
        <v>2.4549530900229093E-2</v>
      </c>
      <c r="I815" s="1303">
        <v>1.1249913171027283E-2</v>
      </c>
      <c r="J815" s="1306">
        <v>8.8396812339469578E-4</v>
      </c>
      <c r="K815" s="1303">
        <v>2.8780889151042658E-3</v>
      </c>
      <c r="L815" s="1288">
        <v>2.0000016483728775E-3</v>
      </c>
      <c r="M815" s="1230">
        <v>2.0000016483728775E-3</v>
      </c>
      <c r="N815" s="1303">
        <v>2.4373485335704454E-2</v>
      </c>
      <c r="O815" s="1288">
        <v>5.7098322788883245E-3</v>
      </c>
      <c r="P815" s="1237">
        <v>2.8549161394441623E-3</v>
      </c>
      <c r="Q815" s="1290">
        <v>1.1758584323870787E-2</v>
      </c>
    </row>
    <row r="816" spans="1:17" s="212" customFormat="1" ht="15.5" x14ac:dyDescent="0.35">
      <c r="A816" s="198">
        <v>2029</v>
      </c>
      <c r="B816" s="197" t="s">
        <v>5838</v>
      </c>
      <c r="C816" s="197">
        <v>2022</v>
      </c>
      <c r="D816" s="225" t="str">
        <f t="shared" si="8"/>
        <v>2029_2022</v>
      </c>
      <c r="E816" s="1287">
        <v>5.1839547294168349E-2</v>
      </c>
      <c r="F816" s="1306">
        <v>5.1078652792551664E-3</v>
      </c>
      <c r="G816" s="1303">
        <v>0.12999097390951944</v>
      </c>
      <c r="H816" s="1306">
        <v>2.3047722517750849E-2</v>
      </c>
      <c r="I816" s="1303">
        <v>1.0469170240434452E-2</v>
      </c>
      <c r="J816" s="1306">
        <v>8.8442486394560307E-4</v>
      </c>
      <c r="K816" s="1303">
        <v>2.8762951389324767E-3</v>
      </c>
      <c r="L816" s="1288">
        <v>2.000001657277142E-3</v>
      </c>
      <c r="M816" s="1230">
        <v>2.000001657277142E-3</v>
      </c>
      <c r="N816" s="1303">
        <v>2.43225427562739E-2</v>
      </c>
      <c r="O816" s="1288">
        <v>5.6945413447138556E-3</v>
      </c>
      <c r="P816" s="1237">
        <v>2.8472706723569278E-3</v>
      </c>
      <c r="Q816" s="1290">
        <v>1.094253966245198E-2</v>
      </c>
    </row>
    <row r="817" spans="1:17" s="212" customFormat="1" ht="15.5" x14ac:dyDescent="0.35">
      <c r="A817" s="198">
        <v>2029</v>
      </c>
      <c r="B817" s="197" t="s">
        <v>5838</v>
      </c>
      <c r="C817" s="197">
        <v>2023</v>
      </c>
      <c r="D817" s="225" t="str">
        <f t="shared" si="8"/>
        <v>2029_2023</v>
      </c>
      <c r="E817" s="1287">
        <v>5.0701585892582585E-2</v>
      </c>
      <c r="F817" s="1306">
        <v>4.6537023623706682E-3</v>
      </c>
      <c r="G817" s="1303">
        <v>0.1245150536396767</v>
      </c>
      <c r="H817" s="1306">
        <v>2.1583681799554243E-2</v>
      </c>
      <c r="I817" s="1303">
        <v>9.6495198341505981E-3</v>
      </c>
      <c r="J817" s="1306">
        <v>8.8474830175486023E-4</v>
      </c>
      <c r="K817" s="1303">
        <v>2.874880315356443E-3</v>
      </c>
      <c r="L817" s="1288">
        <v>2.0000016699061405E-3</v>
      </c>
      <c r="M817" s="1230">
        <v>2.0000016699061405E-3</v>
      </c>
      <c r="N817" s="1303">
        <v>2.4280155348734681E-2</v>
      </c>
      <c r="O817" s="1288">
        <v>5.646888533211279E-3</v>
      </c>
      <c r="P817" s="1237">
        <v>2.8234442666056395E-3</v>
      </c>
      <c r="Q817" s="1290">
        <v>1.008582830194074E-2</v>
      </c>
    </row>
    <row r="818" spans="1:17" s="212" customFormat="1" ht="15.5" x14ac:dyDescent="0.35">
      <c r="A818" s="198">
        <v>2029</v>
      </c>
      <c r="B818" s="197" t="s">
        <v>5838</v>
      </c>
      <c r="C818" s="197">
        <v>2024</v>
      </c>
      <c r="D818" s="225" t="str">
        <f t="shared" si="8"/>
        <v>2029_2024</v>
      </c>
      <c r="E818" s="1287">
        <v>4.9165114512715748E-2</v>
      </c>
      <c r="F818" s="1306">
        <v>3.9692226770896627E-3</v>
      </c>
      <c r="G818" s="1303">
        <v>0.11792209476608961</v>
      </c>
      <c r="H818" s="1306">
        <v>1.9894572363991815E-2</v>
      </c>
      <c r="I818" s="1303">
        <v>8.7255060227699743E-3</v>
      </c>
      <c r="J818" s="1306">
        <v>8.8391323343716582E-4</v>
      </c>
      <c r="K818" s="1303">
        <v>2.8669195495307281E-3</v>
      </c>
      <c r="L818" s="1288">
        <v>2.0000016928361105E-3</v>
      </c>
      <c r="M818" s="1305">
        <v>2.0000005733328803E-3</v>
      </c>
      <c r="N818" s="1303">
        <v>2.4078775806863736E-2</v>
      </c>
      <c r="O818" s="1288">
        <v>5.4603735607185021E-3</v>
      </c>
      <c r="P818" s="1301">
        <v>3.3593028219834845E-3</v>
      </c>
      <c r="Q818" s="1290">
        <v>9.1200346862600461E-3</v>
      </c>
    </row>
    <row r="819" spans="1:17" s="212" customFormat="1" ht="15.5" x14ac:dyDescent="0.35">
      <c r="A819" s="198">
        <v>2029</v>
      </c>
      <c r="B819" s="197" t="s">
        <v>5838</v>
      </c>
      <c r="C819" s="197">
        <v>2025</v>
      </c>
      <c r="D819" s="225" t="str">
        <f t="shared" si="8"/>
        <v>2029_2025</v>
      </c>
      <c r="E819" s="1287">
        <v>4.7834592761718545E-2</v>
      </c>
      <c r="F819" s="1306">
        <v>3.3983810204897534E-3</v>
      </c>
      <c r="G819" s="1303">
        <v>0.11172809065818998</v>
      </c>
      <c r="H819" s="1306">
        <v>1.8356351496056692E-2</v>
      </c>
      <c r="I819" s="1303">
        <v>7.8127836438486239E-3</v>
      </c>
      <c r="J819" s="1306">
        <v>8.8406809948649912E-4</v>
      </c>
      <c r="K819" s="1303">
        <v>2.863936040352975E-3</v>
      </c>
      <c r="L819" s="1288">
        <v>2.000001712205881E-3</v>
      </c>
      <c r="M819" s="1305">
        <v>2.0000005733636448E-3</v>
      </c>
      <c r="N819" s="1303">
        <v>2.3996633189489473E-2</v>
      </c>
      <c r="O819" s="1288">
        <v>5.3685858778702812E-3</v>
      </c>
      <c r="P819" s="1301">
        <v>3.7921886097139514E-3</v>
      </c>
      <c r="Q819" s="1290">
        <v>8.1660430515094994E-3</v>
      </c>
    </row>
    <row r="820" spans="1:17" s="212" customFormat="1" ht="15.5" x14ac:dyDescent="0.35">
      <c r="A820" s="198">
        <v>2029</v>
      </c>
      <c r="B820" s="197" t="s">
        <v>5838</v>
      </c>
      <c r="C820" s="197">
        <v>2026</v>
      </c>
      <c r="D820" s="225" t="str">
        <f t="shared" si="8"/>
        <v>2029_2026</v>
      </c>
      <c r="E820" s="1287">
        <v>4.6397644133764827E-2</v>
      </c>
      <c r="F820" s="1306">
        <v>3.2659004917899603E-3</v>
      </c>
      <c r="G820" s="1303">
        <v>0.10515605058613682</v>
      </c>
      <c r="H820" s="1306">
        <v>1.7399811106970014E-2</v>
      </c>
      <c r="I820" s="1303">
        <v>6.8532131504586867E-3</v>
      </c>
      <c r="J820" s="1306">
        <v>7.6969571908497509E-4</v>
      </c>
      <c r="K820" s="1303">
        <v>2.8599031478242576E-3</v>
      </c>
      <c r="L820" s="1288">
        <v>2.0000017435782614E-3</v>
      </c>
      <c r="M820" s="1305">
        <v>2.0000005734226987E-3</v>
      </c>
      <c r="N820" s="1303">
        <v>2.3888188528501803E-2</v>
      </c>
      <c r="O820" s="1288">
        <v>5.2221171860144175E-3</v>
      </c>
      <c r="P820" s="1301">
        <v>4.6253003665729479E-3</v>
      </c>
      <c r="Q820" s="1290">
        <v>7.1630850384394665E-3</v>
      </c>
    </row>
    <row r="821" spans="1:17" s="212" customFormat="1" ht="15.5" x14ac:dyDescent="0.35">
      <c r="A821" s="198">
        <v>2029</v>
      </c>
      <c r="B821" s="197" t="s">
        <v>5838</v>
      </c>
      <c r="C821" s="197">
        <v>2027</v>
      </c>
      <c r="D821" s="225" t="str">
        <f t="shared" si="8"/>
        <v>2029_2027</v>
      </c>
      <c r="E821" s="1287">
        <v>4.4688574403159535E-2</v>
      </c>
      <c r="F821" s="1306">
        <v>3.14996625964213E-3</v>
      </c>
      <c r="G821" s="1303">
        <v>9.7853632291342502E-2</v>
      </c>
      <c r="H821" s="1306">
        <v>1.645663472745643E-2</v>
      </c>
      <c r="I821" s="1303">
        <v>5.8287767562739731E-3</v>
      </c>
      <c r="J821" s="1306">
        <v>6.3456744706338615E-4</v>
      </c>
      <c r="K821" s="1303">
        <v>2.8513048592011259E-3</v>
      </c>
      <c r="L821" s="1288">
        <v>2.0000017922122155E-3</v>
      </c>
      <c r="M821" s="1305">
        <v>2.0000005734812989E-3</v>
      </c>
      <c r="N821" s="1303">
        <v>2.3667399388909119E-2</v>
      </c>
      <c r="O821" s="1288">
        <v>5.0276102798251171E-3</v>
      </c>
      <c r="P821" s="1301">
        <v>5.4614156171979853E-3</v>
      </c>
      <c r="Q821" s="1290">
        <v>6.0923281763788995E-3</v>
      </c>
    </row>
    <row r="822" spans="1:17" s="212" customFormat="1" ht="15.5" x14ac:dyDescent="0.35">
      <c r="A822" s="198">
        <v>2029</v>
      </c>
      <c r="B822" s="197" t="s">
        <v>5838</v>
      </c>
      <c r="C822" s="197">
        <v>2028</v>
      </c>
      <c r="D822" s="225" t="str">
        <f t="shared" si="8"/>
        <v>2029_2028</v>
      </c>
      <c r="E822" s="1287">
        <v>4.292801062756562E-2</v>
      </c>
      <c r="F822" s="1306">
        <v>2.976940283332822E-3</v>
      </c>
      <c r="G822" s="1303">
        <v>9.0357213846117029E-2</v>
      </c>
      <c r="H822" s="1306">
        <v>1.539318284605855E-2</v>
      </c>
      <c r="I822" s="1303">
        <v>4.7776273112335168E-3</v>
      </c>
      <c r="J822" s="1306">
        <v>5.163515609723665E-4</v>
      </c>
      <c r="K822" s="1303">
        <v>2.8424901739392437E-3</v>
      </c>
      <c r="L822" s="1288">
        <v>2.0000018344122497E-3</v>
      </c>
      <c r="M822" s="1305">
        <v>2.0000005735215667E-3</v>
      </c>
      <c r="N822" s="1303">
        <v>2.3439241357159225E-2</v>
      </c>
      <c r="O822" s="1288">
        <v>4.8195473691181601E-3</v>
      </c>
      <c r="P822" s="1301">
        <v>6.0775463492801374E-3</v>
      </c>
      <c r="Q822" s="1290">
        <v>4.9936504178402898E-3</v>
      </c>
    </row>
    <row r="823" spans="1:17" s="212" customFormat="1" ht="15.5" x14ac:dyDescent="0.35">
      <c r="A823" s="198">
        <v>2029</v>
      </c>
      <c r="B823" s="197" t="s">
        <v>5838</v>
      </c>
      <c r="C823" s="197">
        <v>2029</v>
      </c>
      <c r="D823" s="225" t="str">
        <f t="shared" si="8"/>
        <v>2029_2029</v>
      </c>
      <c r="E823" s="1287">
        <v>4.0224994560568585E-2</v>
      </c>
      <c r="F823" s="1306">
        <v>2.7614822232797536E-3</v>
      </c>
      <c r="G823" s="1303">
        <v>8.0881277906601712E-2</v>
      </c>
      <c r="H823" s="1306">
        <v>1.408255948212569E-2</v>
      </c>
      <c r="I823" s="1303">
        <v>3.6257474157863896E-3</v>
      </c>
      <c r="J823" s="1306">
        <v>5.0735728656803672E-4</v>
      </c>
      <c r="K823" s="1303">
        <v>2.8140314378677068E-3</v>
      </c>
      <c r="L823" s="1288">
        <v>2.0000019468477456E-3</v>
      </c>
      <c r="M823" s="1305">
        <v>2.0000005735214808E-3</v>
      </c>
      <c r="N823" s="1303">
        <v>2.2727411272172197E-2</v>
      </c>
      <c r="O823" s="1288">
        <v>4.322583078188072E-3</v>
      </c>
      <c r="P823" s="1301">
        <v>6.0947494967413928E-3</v>
      </c>
      <c r="Q823" s="1290">
        <v>3.7896876249123744E-3</v>
      </c>
    </row>
    <row r="824" spans="1:17" s="212" customFormat="1" ht="15.5" x14ac:dyDescent="0.35">
      <c r="A824" s="198">
        <v>2029</v>
      </c>
      <c r="B824" s="197" t="s">
        <v>5838</v>
      </c>
      <c r="C824" s="197">
        <v>2030</v>
      </c>
      <c r="D824" s="225" t="str">
        <f t="shared" si="8"/>
        <v>2029_2030</v>
      </c>
      <c r="E824" s="1291">
        <v>4.0224994560568585E-2</v>
      </c>
      <c r="F824" s="1280">
        <v>2.7614822232797536E-3</v>
      </c>
      <c r="G824" s="1271">
        <v>8.0881277906601712E-2</v>
      </c>
      <c r="H824" s="1280">
        <v>1.408255948212569E-2</v>
      </c>
      <c r="I824" s="1271">
        <v>3.6257474157863896E-3</v>
      </c>
      <c r="J824" s="1280">
        <v>5.0735728656803672E-4</v>
      </c>
      <c r="K824" s="1271">
        <v>2.8140314378677068E-3</v>
      </c>
      <c r="L824" s="1257">
        <v>2.0000019468477456E-3</v>
      </c>
      <c r="M824" s="1230">
        <v>2.0000005735214808E-3</v>
      </c>
      <c r="N824" s="1271">
        <v>2.2727411272172197E-2</v>
      </c>
      <c r="O824" s="1257">
        <v>4.322583078188072E-3</v>
      </c>
      <c r="P824" s="1237">
        <v>6.0947494967413928E-3</v>
      </c>
      <c r="Q824" s="1292">
        <v>3.7896876249123744E-3</v>
      </c>
    </row>
    <row r="825" spans="1:17" s="212" customFormat="1" ht="15.5" x14ac:dyDescent="0.35">
      <c r="A825" s="198">
        <v>2030</v>
      </c>
      <c r="B825" s="197" t="s">
        <v>5838</v>
      </c>
      <c r="C825" s="197">
        <v>1971</v>
      </c>
      <c r="D825" s="225" t="str">
        <f t="shared" si="8"/>
        <v>2030_1971</v>
      </c>
      <c r="E825" s="1291">
        <v>0.26094620236410931</v>
      </c>
      <c r="F825" s="1280">
        <v>1.0918290405820588</v>
      </c>
      <c r="G825" s="1271">
        <v>4.1828589956788838</v>
      </c>
      <c r="H825" s="1280">
        <v>3.1902282141014968</v>
      </c>
      <c r="I825" s="1271">
        <v>0.18554703909297141</v>
      </c>
      <c r="J825" s="1280">
        <v>1.6531625713572643E-2</v>
      </c>
      <c r="K825" s="1271">
        <v>2.7571193216464011E-3</v>
      </c>
      <c r="L825" s="1257">
        <v>2.0000009235804964E-3</v>
      </c>
      <c r="M825" s="1230">
        <v>2.0000009235804964E-3</v>
      </c>
      <c r="N825" s="1271">
        <v>2.1595966667735896E-2</v>
      </c>
      <c r="O825" s="1257">
        <v>1.6043695838874831E-2</v>
      </c>
      <c r="P825" s="1237">
        <v>8.0218479194374154E-3</v>
      </c>
      <c r="Q825" s="1292">
        <v>0.19393665284796391</v>
      </c>
    </row>
    <row r="826" spans="1:17" s="212" customFormat="1" ht="15.5" x14ac:dyDescent="0.35">
      <c r="A826" s="198">
        <v>2030</v>
      </c>
      <c r="B826" s="197" t="s">
        <v>5838</v>
      </c>
      <c r="C826" s="197">
        <v>1972</v>
      </c>
      <c r="D826" s="225" t="str">
        <f t="shared" si="8"/>
        <v>2030_1972</v>
      </c>
      <c r="E826" s="1291">
        <v>0.26094620236410931</v>
      </c>
      <c r="F826" s="1280">
        <v>1.0918290405820588</v>
      </c>
      <c r="G826" s="1271">
        <v>4.1828589956788838</v>
      </c>
      <c r="H826" s="1280">
        <v>3.1902282141014968</v>
      </c>
      <c r="I826" s="1271">
        <v>0.18554703909297141</v>
      </c>
      <c r="J826" s="1280">
        <v>1.6531625713572643E-2</v>
      </c>
      <c r="K826" s="1271">
        <v>2.7571193216464011E-3</v>
      </c>
      <c r="L826" s="1257">
        <v>2.0000009235804964E-3</v>
      </c>
      <c r="M826" s="1230">
        <v>2.0000009235804964E-3</v>
      </c>
      <c r="N826" s="1271">
        <v>2.1595966667735896E-2</v>
      </c>
      <c r="O826" s="1257">
        <v>1.6043695838874831E-2</v>
      </c>
      <c r="P826" s="1237">
        <v>8.0218479194374154E-3</v>
      </c>
      <c r="Q826" s="1292">
        <v>0.19393665284796391</v>
      </c>
    </row>
    <row r="827" spans="1:17" s="212" customFormat="1" ht="15.5" x14ac:dyDescent="0.35">
      <c r="A827" s="198">
        <v>2030</v>
      </c>
      <c r="B827" s="197" t="s">
        <v>5838</v>
      </c>
      <c r="C827" s="197">
        <v>1973</v>
      </c>
      <c r="D827" s="225" t="str">
        <f t="shared" si="8"/>
        <v>2030_1973</v>
      </c>
      <c r="E827" s="1291">
        <v>0.26094620236410931</v>
      </c>
      <c r="F827" s="1280">
        <v>1.0918290405820588</v>
      </c>
      <c r="G827" s="1271">
        <v>4.1828589956788838</v>
      </c>
      <c r="H827" s="1280">
        <v>3.1902282141014968</v>
      </c>
      <c r="I827" s="1271">
        <v>0.18554703909297141</v>
      </c>
      <c r="J827" s="1280">
        <v>1.6531625713572643E-2</v>
      </c>
      <c r="K827" s="1271">
        <v>2.7571193216464011E-3</v>
      </c>
      <c r="L827" s="1257">
        <v>2.0000009235804964E-3</v>
      </c>
      <c r="M827" s="1230">
        <v>2.0000009235804964E-3</v>
      </c>
      <c r="N827" s="1271">
        <v>2.1595966667735896E-2</v>
      </c>
      <c r="O827" s="1257">
        <v>1.6043695838874831E-2</v>
      </c>
      <c r="P827" s="1237">
        <v>8.0218479194374154E-3</v>
      </c>
      <c r="Q827" s="1292">
        <v>0.19393665284796391</v>
      </c>
    </row>
    <row r="828" spans="1:17" s="212" customFormat="1" ht="15.5" x14ac:dyDescent="0.35">
      <c r="A828" s="198">
        <v>2030</v>
      </c>
      <c r="B828" s="197" t="s">
        <v>5838</v>
      </c>
      <c r="C828" s="197">
        <v>1974</v>
      </c>
      <c r="D828" s="225" t="str">
        <f t="shared" si="8"/>
        <v>2030_1974</v>
      </c>
      <c r="E828" s="1291">
        <v>0.26094620236410931</v>
      </c>
      <c r="F828" s="1280">
        <v>1.0918290405820588</v>
      </c>
      <c r="G828" s="1271">
        <v>4.1828589956788838</v>
      </c>
      <c r="H828" s="1280">
        <v>3.1902282141014968</v>
      </c>
      <c r="I828" s="1271">
        <v>0.18554703909297141</v>
      </c>
      <c r="J828" s="1280">
        <v>1.6531625713572643E-2</v>
      </c>
      <c r="K828" s="1271">
        <v>2.7571193216464011E-3</v>
      </c>
      <c r="L828" s="1257">
        <v>2.0000009235804964E-3</v>
      </c>
      <c r="M828" s="1230">
        <v>2.0000009235804964E-3</v>
      </c>
      <c r="N828" s="1271">
        <v>2.1595966667735896E-2</v>
      </c>
      <c r="O828" s="1257">
        <v>1.6043695838874831E-2</v>
      </c>
      <c r="P828" s="1237">
        <v>8.0218479194374154E-3</v>
      </c>
      <c r="Q828" s="1292">
        <v>0.19393665284796391</v>
      </c>
    </row>
    <row r="829" spans="1:17" s="212" customFormat="1" ht="15.5" x14ac:dyDescent="0.35">
      <c r="A829" s="198">
        <v>2030</v>
      </c>
      <c r="B829" s="197" t="s">
        <v>5838</v>
      </c>
      <c r="C829" s="197">
        <v>1975</v>
      </c>
      <c r="D829" s="225" t="str">
        <f t="shared" si="8"/>
        <v>2030_1975</v>
      </c>
      <c r="E829" s="1291">
        <v>0.26094620236410931</v>
      </c>
      <c r="F829" s="1280">
        <v>1.0918290405820588</v>
      </c>
      <c r="G829" s="1271">
        <v>4.1828589956788838</v>
      </c>
      <c r="H829" s="1280">
        <v>3.1902282141014968</v>
      </c>
      <c r="I829" s="1271">
        <v>0.18554703909297141</v>
      </c>
      <c r="J829" s="1280">
        <v>1.6531625713572643E-2</v>
      </c>
      <c r="K829" s="1271">
        <v>2.7571193216464011E-3</v>
      </c>
      <c r="L829" s="1257">
        <v>2.0000009235804964E-3</v>
      </c>
      <c r="M829" s="1230">
        <v>2.0000009235804964E-3</v>
      </c>
      <c r="N829" s="1271">
        <v>2.1595966667735896E-2</v>
      </c>
      <c r="O829" s="1257">
        <v>1.6043695838874831E-2</v>
      </c>
      <c r="P829" s="1237">
        <v>8.0218479194374154E-3</v>
      </c>
      <c r="Q829" s="1292">
        <v>0.19393665284796391</v>
      </c>
    </row>
    <row r="830" spans="1:17" s="212" customFormat="1" ht="15.5" x14ac:dyDescent="0.35">
      <c r="A830" s="198">
        <v>2030</v>
      </c>
      <c r="B830" s="197" t="s">
        <v>5838</v>
      </c>
      <c r="C830" s="197">
        <v>1976</v>
      </c>
      <c r="D830" s="225" t="str">
        <f t="shared" si="8"/>
        <v>2030_1976</v>
      </c>
      <c r="E830" s="1291">
        <v>0.26094620236410931</v>
      </c>
      <c r="F830" s="1280">
        <v>1.0918290405820588</v>
      </c>
      <c r="G830" s="1271">
        <v>4.1828589956788838</v>
      </c>
      <c r="H830" s="1280">
        <v>3.1902282141014968</v>
      </c>
      <c r="I830" s="1271">
        <v>0.18554703909297141</v>
      </c>
      <c r="J830" s="1280">
        <v>1.6531625713572643E-2</v>
      </c>
      <c r="K830" s="1271">
        <v>2.7571193216464011E-3</v>
      </c>
      <c r="L830" s="1257">
        <v>2.0000009235804964E-3</v>
      </c>
      <c r="M830" s="1230">
        <v>2.0000009235804964E-3</v>
      </c>
      <c r="N830" s="1271">
        <v>2.1595966667735896E-2</v>
      </c>
      <c r="O830" s="1257">
        <v>1.6043695838874831E-2</v>
      </c>
      <c r="P830" s="1237">
        <v>8.0218479194374154E-3</v>
      </c>
      <c r="Q830" s="1292">
        <v>0.19393665284796391</v>
      </c>
    </row>
    <row r="831" spans="1:17" s="212" customFormat="1" ht="15.5" x14ac:dyDescent="0.35">
      <c r="A831" s="198">
        <v>2030</v>
      </c>
      <c r="B831" s="197" t="s">
        <v>5838</v>
      </c>
      <c r="C831" s="197">
        <v>1977</v>
      </c>
      <c r="D831" s="225" t="str">
        <f t="shared" si="8"/>
        <v>2030_1977</v>
      </c>
      <c r="E831" s="1291">
        <v>0.26094620236410931</v>
      </c>
      <c r="F831" s="1280">
        <v>1.0918290405820588</v>
      </c>
      <c r="G831" s="1271">
        <v>4.1828589956788838</v>
      </c>
      <c r="H831" s="1280">
        <v>3.1902282141014968</v>
      </c>
      <c r="I831" s="1271">
        <v>0.18554703909297141</v>
      </c>
      <c r="J831" s="1280">
        <v>1.6531625713572643E-2</v>
      </c>
      <c r="K831" s="1271">
        <v>2.7571193216464011E-3</v>
      </c>
      <c r="L831" s="1257">
        <v>2.0000009235804964E-3</v>
      </c>
      <c r="M831" s="1230">
        <v>2.0000009235804964E-3</v>
      </c>
      <c r="N831" s="1271">
        <v>2.1595966667735896E-2</v>
      </c>
      <c r="O831" s="1257">
        <v>1.6043695838874831E-2</v>
      </c>
      <c r="P831" s="1237">
        <v>8.0218479194374154E-3</v>
      </c>
      <c r="Q831" s="1292">
        <v>0.19393665284796391</v>
      </c>
    </row>
    <row r="832" spans="1:17" s="212" customFormat="1" ht="15.5" x14ac:dyDescent="0.35">
      <c r="A832" s="198">
        <v>2030</v>
      </c>
      <c r="B832" s="197" t="s">
        <v>5838</v>
      </c>
      <c r="C832" s="197">
        <v>1978</v>
      </c>
      <c r="D832" s="225" t="str">
        <f t="shared" si="8"/>
        <v>2030_1978</v>
      </c>
      <c r="E832" s="1291">
        <v>0.26094620236410931</v>
      </c>
      <c r="F832" s="1280">
        <v>1.0918290405820588</v>
      </c>
      <c r="G832" s="1271">
        <v>4.1828589956788838</v>
      </c>
      <c r="H832" s="1280">
        <v>3.1902282141014968</v>
      </c>
      <c r="I832" s="1271">
        <v>0.18554703909297141</v>
      </c>
      <c r="J832" s="1280">
        <v>1.6531625713572643E-2</v>
      </c>
      <c r="K832" s="1271">
        <v>2.7571193216464011E-3</v>
      </c>
      <c r="L832" s="1257">
        <v>2.0000009235804964E-3</v>
      </c>
      <c r="M832" s="1230">
        <v>2.0000009235804964E-3</v>
      </c>
      <c r="N832" s="1271">
        <v>2.1595966667735896E-2</v>
      </c>
      <c r="O832" s="1257">
        <v>1.6043695838874831E-2</v>
      </c>
      <c r="P832" s="1237">
        <v>8.0218479194374154E-3</v>
      </c>
      <c r="Q832" s="1292">
        <v>0.19393665284796391</v>
      </c>
    </row>
    <row r="833" spans="1:17" s="212" customFormat="1" ht="15.5" x14ac:dyDescent="0.35">
      <c r="A833" s="198">
        <v>2030</v>
      </c>
      <c r="B833" s="197" t="s">
        <v>5838</v>
      </c>
      <c r="C833" s="197">
        <v>1979</v>
      </c>
      <c r="D833" s="225" t="str">
        <f t="shared" si="8"/>
        <v>2030_1979</v>
      </c>
      <c r="E833" s="1291">
        <v>0.26094620236410931</v>
      </c>
      <c r="F833" s="1280">
        <v>1.0918290405820588</v>
      </c>
      <c r="G833" s="1271">
        <v>4.1828589956788838</v>
      </c>
      <c r="H833" s="1280">
        <v>3.1902282141014968</v>
      </c>
      <c r="I833" s="1271">
        <v>0.18554703909297141</v>
      </c>
      <c r="J833" s="1280">
        <v>1.6531625713572643E-2</v>
      </c>
      <c r="K833" s="1271">
        <v>2.7571193216464011E-3</v>
      </c>
      <c r="L833" s="1257">
        <v>2.0000009235804964E-3</v>
      </c>
      <c r="M833" s="1230">
        <v>2.0000009235804964E-3</v>
      </c>
      <c r="N833" s="1271">
        <v>2.1595966667735896E-2</v>
      </c>
      <c r="O833" s="1257">
        <v>1.6043695838874831E-2</v>
      </c>
      <c r="P833" s="1237">
        <v>8.0218479194374154E-3</v>
      </c>
      <c r="Q833" s="1292">
        <v>0.19393665284796391</v>
      </c>
    </row>
    <row r="834" spans="1:17" s="212" customFormat="1" ht="15.5" x14ac:dyDescent="0.35">
      <c r="A834" s="198">
        <v>2030</v>
      </c>
      <c r="B834" s="197" t="s">
        <v>5838</v>
      </c>
      <c r="C834" s="197">
        <v>1980</v>
      </c>
      <c r="D834" s="225" t="str">
        <f t="shared" si="8"/>
        <v>2030_1980</v>
      </c>
      <c r="E834" s="1291">
        <v>0.26094620236410931</v>
      </c>
      <c r="F834" s="1280">
        <v>1.0918290405820588</v>
      </c>
      <c r="G834" s="1271">
        <v>4.1828589956788838</v>
      </c>
      <c r="H834" s="1280">
        <v>3.1902282141014968</v>
      </c>
      <c r="I834" s="1271">
        <v>0.18554703909297141</v>
      </c>
      <c r="J834" s="1280">
        <v>1.6531625713572643E-2</v>
      </c>
      <c r="K834" s="1271">
        <v>2.7571193216464011E-3</v>
      </c>
      <c r="L834" s="1257">
        <v>2.0000009235804964E-3</v>
      </c>
      <c r="M834" s="1230">
        <v>2.0000009235804964E-3</v>
      </c>
      <c r="N834" s="1271">
        <v>2.1595966667735896E-2</v>
      </c>
      <c r="O834" s="1257">
        <v>1.6043695838874831E-2</v>
      </c>
      <c r="P834" s="1237">
        <v>8.0218479194374154E-3</v>
      </c>
      <c r="Q834" s="1292">
        <v>0.19393665284796391</v>
      </c>
    </row>
    <row r="835" spans="1:17" s="212" customFormat="1" ht="15.5" x14ac:dyDescent="0.35">
      <c r="A835" s="198">
        <v>2030</v>
      </c>
      <c r="B835" s="197" t="s">
        <v>5838</v>
      </c>
      <c r="C835" s="197">
        <v>1981</v>
      </c>
      <c r="D835" s="225" t="str">
        <f t="shared" si="8"/>
        <v>2030_1981</v>
      </c>
      <c r="E835" s="1291">
        <v>0.26094620236410931</v>
      </c>
      <c r="F835" s="1280">
        <v>1.0918290405820588</v>
      </c>
      <c r="G835" s="1271">
        <v>4.1828589956788838</v>
      </c>
      <c r="H835" s="1280">
        <v>3.1902282141014968</v>
      </c>
      <c r="I835" s="1271">
        <v>0.18554703909297141</v>
      </c>
      <c r="J835" s="1280">
        <v>1.6531625713572643E-2</v>
      </c>
      <c r="K835" s="1271">
        <v>2.7571193216464011E-3</v>
      </c>
      <c r="L835" s="1257">
        <v>2.0000009235804964E-3</v>
      </c>
      <c r="M835" s="1230">
        <v>2.0000009235804964E-3</v>
      </c>
      <c r="N835" s="1271">
        <v>2.1595966667735896E-2</v>
      </c>
      <c r="O835" s="1257">
        <v>1.6043695838874831E-2</v>
      </c>
      <c r="P835" s="1237">
        <v>8.0218479194374154E-3</v>
      </c>
      <c r="Q835" s="1292">
        <v>0.19393665284796391</v>
      </c>
    </row>
    <row r="836" spans="1:17" s="212" customFormat="1" ht="15.5" x14ac:dyDescent="0.35">
      <c r="A836" s="198">
        <v>2030</v>
      </c>
      <c r="B836" s="197" t="s">
        <v>5838</v>
      </c>
      <c r="C836" s="197">
        <v>1982</v>
      </c>
      <c r="D836" s="225" t="str">
        <f t="shared" si="8"/>
        <v>2030_1982</v>
      </c>
      <c r="E836" s="1291">
        <v>0.26094620236410931</v>
      </c>
      <c r="F836" s="1280">
        <v>1.0918290405820588</v>
      </c>
      <c r="G836" s="1271">
        <v>4.1828589956788838</v>
      </c>
      <c r="H836" s="1280">
        <v>3.1902282141014968</v>
      </c>
      <c r="I836" s="1271">
        <v>0.18554703909297141</v>
      </c>
      <c r="J836" s="1280">
        <v>1.6531625713572643E-2</v>
      </c>
      <c r="K836" s="1271">
        <v>2.7571193216464011E-3</v>
      </c>
      <c r="L836" s="1257">
        <v>2.0000009235804964E-3</v>
      </c>
      <c r="M836" s="1230">
        <v>2.0000009235804964E-3</v>
      </c>
      <c r="N836" s="1271">
        <v>2.1595966667735896E-2</v>
      </c>
      <c r="O836" s="1257">
        <v>1.6043695838874831E-2</v>
      </c>
      <c r="P836" s="1237">
        <v>8.0218479194374154E-3</v>
      </c>
      <c r="Q836" s="1292">
        <v>0.19393665284796391</v>
      </c>
    </row>
    <row r="837" spans="1:17" s="212" customFormat="1" ht="15.5" x14ac:dyDescent="0.35">
      <c r="A837" s="198">
        <v>2030</v>
      </c>
      <c r="B837" s="197" t="s">
        <v>5838</v>
      </c>
      <c r="C837" s="197">
        <v>1983</v>
      </c>
      <c r="D837" s="225" t="str">
        <f t="shared" si="8"/>
        <v>2030_1983</v>
      </c>
      <c r="E837" s="1291">
        <v>0.26094620236410931</v>
      </c>
      <c r="F837" s="1280">
        <v>1.0918290405820588</v>
      </c>
      <c r="G837" s="1271">
        <v>4.1828589956788838</v>
      </c>
      <c r="H837" s="1280">
        <v>3.1902282141014968</v>
      </c>
      <c r="I837" s="1271">
        <v>0.18554703909297141</v>
      </c>
      <c r="J837" s="1280">
        <v>1.6531625713572643E-2</v>
      </c>
      <c r="K837" s="1271">
        <v>2.7571193216464011E-3</v>
      </c>
      <c r="L837" s="1257">
        <v>2.0000009235804964E-3</v>
      </c>
      <c r="M837" s="1230">
        <v>2.0000009235804964E-3</v>
      </c>
      <c r="N837" s="1271">
        <v>2.1595966667735896E-2</v>
      </c>
      <c r="O837" s="1257">
        <v>1.6043695838874831E-2</v>
      </c>
      <c r="P837" s="1237">
        <v>8.0218479194374154E-3</v>
      </c>
      <c r="Q837" s="1292">
        <v>0.19393665284796391</v>
      </c>
    </row>
    <row r="838" spans="1:17" s="212" customFormat="1" ht="15.5" x14ac:dyDescent="0.35">
      <c r="A838" s="198">
        <v>2030</v>
      </c>
      <c r="B838" s="197" t="s">
        <v>5838</v>
      </c>
      <c r="C838" s="197">
        <v>1984</v>
      </c>
      <c r="D838" s="225" t="str">
        <f t="shared" ref="D838:D932" si="9">CONCATENATE(A838,"_",C838)</f>
        <v>2030_1984</v>
      </c>
      <c r="E838" s="1291">
        <v>0.26094620236410931</v>
      </c>
      <c r="F838" s="1280">
        <v>1.0918290405820588</v>
      </c>
      <c r="G838" s="1271">
        <v>4.1828589956788838</v>
      </c>
      <c r="H838" s="1280">
        <v>3.1902282141014968</v>
      </c>
      <c r="I838" s="1271">
        <v>0.18554703909297141</v>
      </c>
      <c r="J838" s="1280">
        <v>1.6531625713572643E-2</v>
      </c>
      <c r="K838" s="1271">
        <v>2.7571193216464011E-3</v>
      </c>
      <c r="L838" s="1257">
        <v>2.0000009235804964E-3</v>
      </c>
      <c r="M838" s="1230">
        <v>2.0000009235804964E-3</v>
      </c>
      <c r="N838" s="1271">
        <v>2.1595966667735896E-2</v>
      </c>
      <c r="O838" s="1257">
        <v>1.6043695838874831E-2</v>
      </c>
      <c r="P838" s="1237">
        <v>8.0218479194374154E-3</v>
      </c>
      <c r="Q838" s="1292">
        <v>0.19393665284796391</v>
      </c>
    </row>
    <row r="839" spans="1:17" s="212" customFormat="1" ht="15.5" x14ac:dyDescent="0.35">
      <c r="A839" s="198">
        <v>2030</v>
      </c>
      <c r="B839" s="197" t="s">
        <v>5838</v>
      </c>
      <c r="C839" s="197">
        <v>1985</v>
      </c>
      <c r="D839" s="225" t="str">
        <f t="shared" si="9"/>
        <v>2030_1985</v>
      </c>
      <c r="E839" s="1291">
        <v>0.26094620236410931</v>
      </c>
      <c r="F839" s="1280">
        <v>1.0918290405820588</v>
      </c>
      <c r="G839" s="1271">
        <v>4.1828589956788838</v>
      </c>
      <c r="H839" s="1280">
        <v>3.1902282141014968</v>
      </c>
      <c r="I839" s="1271">
        <v>0.18554703909297141</v>
      </c>
      <c r="J839" s="1280">
        <v>1.6531625713572643E-2</v>
      </c>
      <c r="K839" s="1271">
        <v>2.7571193216464011E-3</v>
      </c>
      <c r="L839" s="1257">
        <v>2.0000009235804964E-3</v>
      </c>
      <c r="M839" s="1230">
        <v>2.0000009235804964E-3</v>
      </c>
      <c r="N839" s="1271">
        <v>2.1595966667735896E-2</v>
      </c>
      <c r="O839" s="1257">
        <v>1.6043695838874831E-2</v>
      </c>
      <c r="P839" s="1237">
        <v>8.0218479194374154E-3</v>
      </c>
      <c r="Q839" s="1292">
        <v>0.19393665284796391</v>
      </c>
    </row>
    <row r="840" spans="1:17" s="212" customFormat="1" ht="15.5" x14ac:dyDescent="0.35">
      <c r="A840" s="198">
        <v>2030</v>
      </c>
      <c r="B840" s="197" t="s">
        <v>5838</v>
      </c>
      <c r="C840" s="197">
        <v>1986</v>
      </c>
      <c r="D840" s="225" t="str">
        <f t="shared" si="9"/>
        <v>2030_1986</v>
      </c>
      <c r="E840" s="1287">
        <v>0.26094620236410931</v>
      </c>
      <c r="F840" s="1306">
        <v>1.0918290405820588</v>
      </c>
      <c r="G840" s="1303">
        <v>4.1828589956788838</v>
      </c>
      <c r="H840" s="1306">
        <v>3.1902282141014968</v>
      </c>
      <c r="I840" s="1303">
        <v>0.18554703909297141</v>
      </c>
      <c r="J840" s="1306">
        <v>1.6531625713572643E-2</v>
      </c>
      <c r="K840" s="1303">
        <v>2.7571193216464011E-3</v>
      </c>
      <c r="L840" s="1288">
        <v>2.0000009235804964E-3</v>
      </c>
      <c r="M840" s="1230">
        <v>2.0000009235804964E-3</v>
      </c>
      <c r="N840" s="1303">
        <v>2.1595966667735896E-2</v>
      </c>
      <c r="O840" s="1288">
        <v>1.6043695838874831E-2</v>
      </c>
      <c r="P840" s="1237">
        <v>8.0218479194374154E-3</v>
      </c>
      <c r="Q840" s="1290">
        <v>0.19393665284796391</v>
      </c>
    </row>
    <row r="841" spans="1:17" s="212" customFormat="1" ht="15.5" x14ac:dyDescent="0.35">
      <c r="A841" s="198">
        <v>2030</v>
      </c>
      <c r="B841" s="197" t="s">
        <v>5838</v>
      </c>
      <c r="C841" s="197">
        <v>1987</v>
      </c>
      <c r="D841" s="225" t="str">
        <f t="shared" si="9"/>
        <v>2030_1987</v>
      </c>
      <c r="E841" s="1287">
        <v>0.29784487781046459</v>
      </c>
      <c r="F841" s="1306">
        <v>1.195050494567671</v>
      </c>
      <c r="G841" s="1303">
        <v>4.8720920617519283</v>
      </c>
      <c r="H841" s="1306">
        <v>3.0740583619588011</v>
      </c>
      <c r="I841" s="1303">
        <v>0.20098684819371279</v>
      </c>
      <c r="J841" s="1306">
        <v>1.6844037229544726E-2</v>
      </c>
      <c r="K841" s="1303">
        <v>2.9120377505255346E-3</v>
      </c>
      <c r="L841" s="1288">
        <v>2.0000010535765281E-3</v>
      </c>
      <c r="M841" s="1230">
        <v>2.0000010535765281E-3</v>
      </c>
      <c r="N841" s="1303">
        <v>2.5237632657768128E-2</v>
      </c>
      <c r="O841" s="1288">
        <v>1.4195307750561201E-2</v>
      </c>
      <c r="P841" s="1237">
        <v>7.0976538752806004E-3</v>
      </c>
      <c r="Q841" s="1290">
        <v>0.2100745816031023</v>
      </c>
    </row>
    <row r="842" spans="1:17" s="212" customFormat="1" ht="15.5" x14ac:dyDescent="0.35">
      <c r="A842" s="198">
        <v>2030</v>
      </c>
      <c r="B842" s="197" t="s">
        <v>5838</v>
      </c>
      <c r="C842" s="197">
        <v>1988</v>
      </c>
      <c r="D842" s="225" t="str">
        <f t="shared" si="9"/>
        <v>2030_1988</v>
      </c>
      <c r="E842" s="1287">
        <v>0.29544849000292511</v>
      </c>
      <c r="F842" s="1306">
        <v>0.50327304522942806</v>
      </c>
      <c r="G842" s="1303">
        <v>4.9627320695627484</v>
      </c>
      <c r="H842" s="1306">
        <v>1.6651063195084286</v>
      </c>
      <c r="I842" s="1303">
        <v>0.19976508454860531</v>
      </c>
      <c r="J842" s="1306">
        <v>1.6215501894484403E-2</v>
      </c>
      <c r="K842" s="1303">
        <v>2.9318880558928109E-3</v>
      </c>
      <c r="L842" s="1288">
        <v>2.0000010646868162E-3</v>
      </c>
      <c r="M842" s="1230">
        <v>2.0000010646868162E-3</v>
      </c>
      <c r="N842" s="1303">
        <v>2.5712932641694816E-2</v>
      </c>
      <c r="O842" s="1288">
        <v>1.406757843708213E-2</v>
      </c>
      <c r="P842" s="1237">
        <v>7.0337892185410649E-3</v>
      </c>
      <c r="Q842" s="1290">
        <v>0.20879757522745881</v>
      </c>
    </row>
    <row r="843" spans="1:17" s="212" customFormat="1" ht="15.5" x14ac:dyDescent="0.35">
      <c r="A843" s="198">
        <v>2030</v>
      </c>
      <c r="B843" s="197" t="s">
        <v>5838</v>
      </c>
      <c r="C843" s="197">
        <v>1989</v>
      </c>
      <c r="D843" s="225" t="str">
        <f t="shared" si="9"/>
        <v>2030_1989</v>
      </c>
      <c r="E843" s="1287">
        <v>0.29892398506861856</v>
      </c>
      <c r="F843" s="1306">
        <v>0.44533367783330385</v>
      </c>
      <c r="G843" s="1303">
        <v>4.8067353817704097</v>
      </c>
      <c r="H843" s="1306">
        <v>1.8875617314982724</v>
      </c>
      <c r="I843" s="1303">
        <v>0.20140009646825169</v>
      </c>
      <c r="J843" s="1306">
        <v>1.6376413494975699E-2</v>
      </c>
      <c r="K843" s="1303">
        <v>2.8960257155549382E-3</v>
      </c>
      <c r="L843" s="1288">
        <v>2.0000011127384266E-3</v>
      </c>
      <c r="M843" s="1230">
        <v>2.0000011127384266E-3</v>
      </c>
      <c r="N843" s="1303">
        <v>2.4868740819794437E-2</v>
      </c>
      <c r="O843" s="1288">
        <v>1.3047286470558138E-2</v>
      </c>
      <c r="P843" s="1237">
        <v>6.5236432352790688E-3</v>
      </c>
      <c r="Q843" s="1290">
        <v>0.21050651513085347</v>
      </c>
    </row>
    <row r="844" spans="1:17" s="212" customFormat="1" ht="15.5" x14ac:dyDescent="0.35">
      <c r="A844" s="198">
        <v>2030</v>
      </c>
      <c r="B844" s="197" t="s">
        <v>5838</v>
      </c>
      <c r="C844" s="197">
        <v>1990</v>
      </c>
      <c r="D844" s="225" t="str">
        <f t="shared" si="9"/>
        <v>2030_1990</v>
      </c>
      <c r="E844" s="1287">
        <v>0.29971077968630533</v>
      </c>
      <c r="F844" s="1306">
        <v>0.48889560171307733</v>
      </c>
      <c r="G844" s="1303">
        <v>4.8853293931240245</v>
      </c>
      <c r="H844" s="1306">
        <v>1.868472766106585</v>
      </c>
      <c r="I844" s="1303">
        <v>0.20251272797253028</v>
      </c>
      <c r="J844" s="1306">
        <v>1.655265247507906E-2</v>
      </c>
      <c r="K844" s="1303">
        <v>2.923953619444366E-3</v>
      </c>
      <c r="L844" s="1288">
        <v>2.0000010629925252E-3</v>
      </c>
      <c r="M844" s="1230">
        <v>2.0000010629925252E-3</v>
      </c>
      <c r="N844" s="1303">
        <v>2.5520225737797667E-2</v>
      </c>
      <c r="O844" s="1288">
        <v>1.252917574515139E-2</v>
      </c>
      <c r="P844" s="1237">
        <v>6.2645878725756951E-3</v>
      </c>
      <c r="Q844" s="1290">
        <v>0.21166945489452704</v>
      </c>
    </row>
    <row r="845" spans="1:17" s="212" customFormat="1" ht="15.5" x14ac:dyDescent="0.35">
      <c r="A845" s="198">
        <v>2030</v>
      </c>
      <c r="B845" s="197" t="s">
        <v>5838</v>
      </c>
      <c r="C845" s="197">
        <v>1991</v>
      </c>
      <c r="D845" s="225" t="str">
        <f t="shared" si="9"/>
        <v>2030_1991</v>
      </c>
      <c r="E845" s="1287">
        <v>0.37815992296625028</v>
      </c>
      <c r="F845" s="1306">
        <v>0.50088412309985253</v>
      </c>
      <c r="G845" s="1303">
        <v>8.8603301502244882</v>
      </c>
      <c r="H845" s="1306">
        <v>2.319381138035213</v>
      </c>
      <c r="I845" s="1303">
        <v>5.9793634779728246E-2</v>
      </c>
      <c r="J845" s="1306">
        <v>9.2586391877820511E-3</v>
      </c>
      <c r="K845" s="1303">
        <v>2.9620014150291796E-3</v>
      </c>
      <c r="L845" s="1288">
        <v>2.0000010851150183E-3</v>
      </c>
      <c r="M845" s="1230">
        <v>2.0000010851150183E-3</v>
      </c>
      <c r="N845" s="1303">
        <v>2.6405202574909283E-2</v>
      </c>
      <c r="O845" s="1288">
        <v>1.1656495498677305E-2</v>
      </c>
      <c r="P845" s="1237">
        <v>5.8282477493386527E-3</v>
      </c>
      <c r="Q845" s="1290">
        <v>6.2497237614142852E-2</v>
      </c>
    </row>
    <row r="846" spans="1:17" s="212" customFormat="1" ht="15.5" x14ac:dyDescent="0.35">
      <c r="A846" s="198">
        <v>2030</v>
      </c>
      <c r="B846" s="197" t="s">
        <v>5838</v>
      </c>
      <c r="C846" s="197">
        <v>1992</v>
      </c>
      <c r="D846" s="225" t="str">
        <f t="shared" si="9"/>
        <v>2030_1992</v>
      </c>
      <c r="E846" s="1287">
        <v>0.37817806290943135</v>
      </c>
      <c r="F846" s="1306">
        <v>0.50048223338550679</v>
      </c>
      <c r="G846" s="1303">
        <v>8.4858754007773705</v>
      </c>
      <c r="H846" s="1306">
        <v>2.2162733956770455</v>
      </c>
      <c r="I846" s="1303">
        <v>6.6898692026752679E-2</v>
      </c>
      <c r="J846" s="1306">
        <v>9.4205035560382209E-3</v>
      </c>
      <c r="K846" s="1303">
        <v>2.9179903016955024E-3</v>
      </c>
      <c r="L846" s="1288">
        <v>2.0000011220303853E-3</v>
      </c>
      <c r="M846" s="1230">
        <v>2.0000011220303853E-3</v>
      </c>
      <c r="N846" s="1303">
        <v>2.5370594890463141E-2</v>
      </c>
      <c r="O846" s="1288">
        <v>9.6576188780760856E-3</v>
      </c>
      <c r="P846" s="1237">
        <v>4.8288094390380428E-3</v>
      </c>
      <c r="Q846" s="1290">
        <v>6.9923554021653164E-2</v>
      </c>
    </row>
    <row r="847" spans="1:17" s="212" customFormat="1" ht="15.5" x14ac:dyDescent="0.35">
      <c r="A847" s="198">
        <v>2030</v>
      </c>
      <c r="B847" s="197" t="s">
        <v>5838</v>
      </c>
      <c r="C847" s="197">
        <v>1993</v>
      </c>
      <c r="D847" s="225" t="str">
        <f t="shared" si="9"/>
        <v>2030_1993</v>
      </c>
      <c r="E847" s="1287">
        <v>0.37638766152179337</v>
      </c>
      <c r="F847" s="1306">
        <v>0.50478016017295824</v>
      </c>
      <c r="G847" s="1303">
        <v>8.985335246829921</v>
      </c>
      <c r="H847" s="1306">
        <v>2.2390033787157622</v>
      </c>
      <c r="I847" s="1303">
        <v>5.4083956192404435E-2</v>
      </c>
      <c r="J847" s="1306">
        <v>9.4364825398414228E-3</v>
      </c>
      <c r="K847" s="1303">
        <v>2.9813583047318265E-3</v>
      </c>
      <c r="L847" s="1288">
        <v>2.0000011079529816E-3</v>
      </c>
      <c r="M847" s="1230">
        <v>2.0000011079529816E-3</v>
      </c>
      <c r="N847" s="1303">
        <v>2.6862575013979956E-2</v>
      </c>
      <c r="O847" s="1288">
        <v>1.0655661949107815E-2</v>
      </c>
      <c r="P847" s="1237">
        <v>5.3278309745539076E-3</v>
      </c>
      <c r="Q847" s="1290">
        <v>5.6529392697423755E-2</v>
      </c>
    </row>
    <row r="848" spans="1:17" s="212" customFormat="1" ht="15.5" x14ac:dyDescent="0.35">
      <c r="A848" s="198">
        <v>2030</v>
      </c>
      <c r="B848" s="197" t="s">
        <v>5838</v>
      </c>
      <c r="C848" s="197">
        <v>1994</v>
      </c>
      <c r="D848" s="225" t="str">
        <f t="shared" si="9"/>
        <v>2030_1994</v>
      </c>
      <c r="E848" s="1287">
        <v>0.35275254578617193</v>
      </c>
      <c r="F848" s="1306">
        <v>0.50289071460373269</v>
      </c>
      <c r="G848" s="1303">
        <v>8.4561514054560902</v>
      </c>
      <c r="H848" s="1306">
        <v>2.101840123170712</v>
      </c>
      <c r="I848" s="1303">
        <v>5.4139231812414146E-2</v>
      </c>
      <c r="J848" s="1306">
        <v>9.6128935739705369E-3</v>
      </c>
      <c r="K848" s="1303">
        <v>2.9062014971948081E-3</v>
      </c>
      <c r="L848" s="1288">
        <v>2.0000012790873647E-3</v>
      </c>
      <c r="M848" s="1230">
        <v>2.0000012790873647E-3</v>
      </c>
      <c r="N848" s="1303">
        <v>2.5086976587945425E-2</v>
      </c>
      <c r="O848" s="1288">
        <v>7.9855839937752124E-3</v>
      </c>
      <c r="P848" s="1237">
        <v>3.9927919968876062E-3</v>
      </c>
      <c r="Q848" s="1290">
        <v>5.6587167635688308E-2</v>
      </c>
    </row>
    <row r="849" spans="1:17" s="212" customFormat="1" ht="15.5" x14ac:dyDescent="0.35">
      <c r="A849" s="198">
        <v>2030</v>
      </c>
      <c r="B849" s="197" t="s">
        <v>5838</v>
      </c>
      <c r="C849" s="197">
        <v>1995</v>
      </c>
      <c r="D849" s="225" t="str">
        <f t="shared" si="9"/>
        <v>2030_1995</v>
      </c>
      <c r="E849" s="1287">
        <v>0.3719366329238511</v>
      </c>
      <c r="F849" s="1306">
        <v>0.37305311910662337</v>
      </c>
      <c r="G849" s="1303">
        <v>9.1493432181611709</v>
      </c>
      <c r="H849" s="1306">
        <v>1.6571258475285904</v>
      </c>
      <c r="I849" s="1303">
        <v>5.3720623334176536E-2</v>
      </c>
      <c r="J849" s="1306">
        <v>8.6345868256112023E-3</v>
      </c>
      <c r="K849" s="1303">
        <v>2.9882004447077583E-3</v>
      </c>
      <c r="L849" s="1288">
        <v>2.0000011782021695E-3</v>
      </c>
      <c r="M849" s="1230">
        <v>2.0000011782021695E-3</v>
      </c>
      <c r="N849" s="1303">
        <v>2.7023525111027555E-2</v>
      </c>
      <c r="O849" s="1288">
        <v>1.0312265079762451E-2</v>
      </c>
      <c r="P849" s="1237">
        <v>5.1561325398812256E-3</v>
      </c>
      <c r="Q849" s="1290">
        <v>5.6149631539612443E-2</v>
      </c>
    </row>
    <row r="850" spans="1:17" s="212" customFormat="1" ht="15.5" x14ac:dyDescent="0.35">
      <c r="A850" s="198">
        <v>2030</v>
      </c>
      <c r="B850" s="197" t="s">
        <v>5838</v>
      </c>
      <c r="C850" s="197">
        <v>1996</v>
      </c>
      <c r="D850" s="225" t="str">
        <f t="shared" si="9"/>
        <v>2030_1996</v>
      </c>
      <c r="E850" s="1287">
        <v>0.37509534843506404</v>
      </c>
      <c r="F850" s="1306">
        <v>0.12545763904549961</v>
      </c>
      <c r="G850" s="1303">
        <v>9.1618638112814317</v>
      </c>
      <c r="H850" s="1306">
        <v>0.98097540458490273</v>
      </c>
      <c r="I850" s="1303">
        <v>5.3959504923491879E-2</v>
      </c>
      <c r="J850" s="1306">
        <v>2.696164668695353E-3</v>
      </c>
      <c r="K850" s="1303">
        <v>2.9935756591948333E-3</v>
      </c>
      <c r="L850" s="1288">
        <v>2.0000011616182426E-3</v>
      </c>
      <c r="M850" s="1230">
        <v>2.0000011616182426E-3</v>
      </c>
      <c r="N850" s="1303">
        <v>2.7148424779828314E-2</v>
      </c>
      <c r="O850" s="1288">
        <v>1.032277428615703E-2</v>
      </c>
      <c r="P850" s="1237">
        <v>5.1613871430785151E-3</v>
      </c>
      <c r="Q850" s="1290">
        <v>5.6399314294375294E-2</v>
      </c>
    </row>
    <row r="851" spans="1:17" s="212" customFormat="1" ht="15.5" x14ac:dyDescent="0.35">
      <c r="A851" s="198">
        <v>2030</v>
      </c>
      <c r="B851" s="197" t="s">
        <v>5838</v>
      </c>
      <c r="C851" s="197">
        <v>1997</v>
      </c>
      <c r="D851" s="225" t="str">
        <f t="shared" si="9"/>
        <v>2030_1997</v>
      </c>
      <c r="E851" s="1287">
        <v>0.37748458127510404</v>
      </c>
      <c r="F851" s="1306">
        <v>0.12518501911905314</v>
      </c>
      <c r="G851" s="1303">
        <v>9.1759472233539157</v>
      </c>
      <c r="H851" s="1306">
        <v>0.98180107097987757</v>
      </c>
      <c r="I851" s="1303">
        <v>5.4123613044764152E-2</v>
      </c>
      <c r="J851" s="1306">
        <v>2.6931753655522529E-3</v>
      </c>
      <c r="K851" s="1303">
        <v>2.9981459089135614E-3</v>
      </c>
      <c r="L851" s="1288">
        <v>2.0000011478303152E-3</v>
      </c>
      <c r="M851" s="1230">
        <v>2.0000011478303152E-3</v>
      </c>
      <c r="N851" s="1303">
        <v>2.7256547664861099E-2</v>
      </c>
      <c r="O851" s="1288">
        <v>1.0295922972636149E-2</v>
      </c>
      <c r="P851" s="1237">
        <v>5.1479614863180747E-3</v>
      </c>
      <c r="Q851" s="1290">
        <v>5.6570842656672539E-2</v>
      </c>
    </row>
    <row r="852" spans="1:17" s="212" customFormat="1" ht="15.5" x14ac:dyDescent="0.35">
      <c r="A852" s="198">
        <v>2030</v>
      </c>
      <c r="B852" s="197" t="s">
        <v>5838</v>
      </c>
      <c r="C852" s="197">
        <v>1998</v>
      </c>
      <c r="D852" s="225" t="str">
        <f t="shared" si="9"/>
        <v>2030_1998</v>
      </c>
      <c r="E852" s="1287">
        <v>0.37691356366425954</v>
      </c>
      <c r="F852" s="1306">
        <v>0.12859590446739985</v>
      </c>
      <c r="G852" s="1303">
        <v>9.1835743765016655</v>
      </c>
      <c r="H852" s="1306">
        <v>1.0051107992507768</v>
      </c>
      <c r="I852" s="1303">
        <v>5.404126776151099E-2</v>
      </c>
      <c r="J852" s="1306">
        <v>2.732767398092889E-3</v>
      </c>
      <c r="K852" s="1303">
        <v>2.9980959989304146E-3</v>
      </c>
      <c r="L852" s="1288">
        <v>2.0000012291113201E-3</v>
      </c>
      <c r="M852" s="1230">
        <v>2.0000012291113201E-3</v>
      </c>
      <c r="N852" s="1303">
        <v>2.7254799179467604E-2</v>
      </c>
      <c r="O852" s="1288">
        <v>8.6602294656183236E-3</v>
      </c>
      <c r="P852" s="1237">
        <v>4.3301147328091618E-3</v>
      </c>
      <c r="Q852" s="1290">
        <v>5.6484774085112474E-2</v>
      </c>
    </row>
    <row r="853" spans="1:17" s="212" customFormat="1" ht="15.5" x14ac:dyDescent="0.35">
      <c r="A853" s="198">
        <v>2030</v>
      </c>
      <c r="B853" s="197" t="s">
        <v>5838</v>
      </c>
      <c r="C853" s="197">
        <v>1999</v>
      </c>
      <c r="D853" s="225" t="str">
        <f t="shared" si="9"/>
        <v>2030_1999</v>
      </c>
      <c r="E853" s="1287">
        <v>0.37737290871911722</v>
      </c>
      <c r="F853" s="1306">
        <v>0.12585177304705694</v>
      </c>
      <c r="G853" s="1303">
        <v>9.1954349798627213</v>
      </c>
      <c r="H853" s="1306">
        <v>0.99350165689216663</v>
      </c>
      <c r="I853" s="1303">
        <v>5.4067849240135565E-2</v>
      </c>
      <c r="J853" s="1306">
        <v>2.7567259650354962E-3</v>
      </c>
      <c r="K853" s="1303">
        <v>2.9991742441508353E-3</v>
      </c>
      <c r="L853" s="1288">
        <v>2.0000012740870538E-3</v>
      </c>
      <c r="M853" s="1230">
        <v>2.0000012740870538E-3</v>
      </c>
      <c r="N853" s="1303">
        <v>2.7280652740369119E-2</v>
      </c>
      <c r="O853" s="1288">
        <v>8.3802538758667028E-3</v>
      </c>
      <c r="P853" s="1237">
        <v>4.1901269379333514E-3</v>
      </c>
      <c r="Q853" s="1290">
        <v>5.6512557460246866E-2</v>
      </c>
    </row>
    <row r="854" spans="1:17" s="212" customFormat="1" ht="15.5" x14ac:dyDescent="0.35">
      <c r="A854" s="198">
        <v>2030</v>
      </c>
      <c r="B854" s="197" t="s">
        <v>5838</v>
      </c>
      <c r="C854" s="197">
        <v>2000</v>
      </c>
      <c r="D854" s="225" t="str">
        <f t="shared" si="9"/>
        <v>2030_2000</v>
      </c>
      <c r="E854" s="1287">
        <v>0.37571092519025301</v>
      </c>
      <c r="F854" s="1306">
        <v>0.12067276195000395</v>
      </c>
      <c r="G854" s="1303">
        <v>9.2322961513290611</v>
      </c>
      <c r="H854" s="1306">
        <v>0.96736996467755199</v>
      </c>
      <c r="I854" s="1303">
        <v>5.3806262674569554E-2</v>
      </c>
      <c r="J854" s="1306">
        <v>2.7563256478257579E-3</v>
      </c>
      <c r="K854" s="1303">
        <v>2.999765700495489E-3</v>
      </c>
      <c r="L854" s="1288">
        <v>2.0000013259884757E-3</v>
      </c>
      <c r="M854" s="1230">
        <v>2.0000013259884757E-3</v>
      </c>
      <c r="N854" s="1303">
        <v>2.7294433542736335E-2</v>
      </c>
      <c r="O854" s="1288">
        <v>8.5801631135955271E-3</v>
      </c>
      <c r="P854" s="1237">
        <v>4.2900815567977636E-3</v>
      </c>
      <c r="Q854" s="1290">
        <v>5.623914311095915E-2</v>
      </c>
    </row>
    <row r="855" spans="1:17" s="212" customFormat="1" ht="15.5" x14ac:dyDescent="0.35">
      <c r="A855" s="198">
        <v>2030</v>
      </c>
      <c r="B855" s="197" t="s">
        <v>5838</v>
      </c>
      <c r="C855" s="197">
        <v>2001</v>
      </c>
      <c r="D855" s="225" t="str">
        <f t="shared" si="9"/>
        <v>2030_2001</v>
      </c>
      <c r="E855" s="1287">
        <v>0.37748478450721712</v>
      </c>
      <c r="F855" s="1306">
        <v>0.11805600389279199</v>
      </c>
      <c r="G855" s="1303">
        <v>9.2009198914345003</v>
      </c>
      <c r="H855" s="1306">
        <v>0.95030961514106382</v>
      </c>
      <c r="I855" s="1303">
        <v>5.4054351831615194E-2</v>
      </c>
      <c r="J855" s="1306">
        <v>2.7827756282503609E-3</v>
      </c>
      <c r="K855" s="1303">
        <v>2.9999238802481849E-3</v>
      </c>
      <c r="L855" s="1288">
        <v>2.0000013246191909E-3</v>
      </c>
      <c r="M855" s="1230">
        <v>2.0000013246191909E-3</v>
      </c>
      <c r="N855" s="1303">
        <v>2.729821268717748E-2</v>
      </c>
      <c r="O855" s="1288">
        <v>7.8707687326280296E-3</v>
      </c>
      <c r="P855" s="1237">
        <v>3.9353843663140148E-3</v>
      </c>
      <c r="Q855" s="1290">
        <v>5.6498449758807107E-2</v>
      </c>
    </row>
    <row r="856" spans="1:17" s="212" customFormat="1" ht="15.5" x14ac:dyDescent="0.35">
      <c r="A856" s="198">
        <v>2030</v>
      </c>
      <c r="B856" s="197" t="s">
        <v>5838</v>
      </c>
      <c r="C856" s="197">
        <v>2002</v>
      </c>
      <c r="D856" s="225" t="str">
        <f t="shared" si="9"/>
        <v>2030_2002</v>
      </c>
      <c r="E856" s="1287">
        <v>0.29111413303696743</v>
      </c>
      <c r="F856" s="1306">
        <v>0.11764278534846528</v>
      </c>
      <c r="G856" s="1303">
        <v>7.1167590352431134</v>
      </c>
      <c r="H856" s="1306">
        <v>0.92204633303016359</v>
      </c>
      <c r="I856" s="1303">
        <v>5.4265354127071237E-2</v>
      </c>
      <c r="J856" s="1306">
        <v>2.7990626694615146E-3</v>
      </c>
      <c r="K856" s="1303">
        <v>2.9999367013201828E-3</v>
      </c>
      <c r="L856" s="1288">
        <v>2.0000013975060185E-3</v>
      </c>
      <c r="M856" s="1230">
        <v>2.0000013975060185E-3</v>
      </c>
      <c r="N856" s="1303">
        <v>2.7298511301972854E-2</v>
      </c>
      <c r="O856" s="1288">
        <v>7.2860096944839239E-3</v>
      </c>
      <c r="P856" s="1237">
        <v>3.643004847241962E-3</v>
      </c>
      <c r="Q856" s="1290">
        <v>5.6718992641754777E-2</v>
      </c>
    </row>
    <row r="857" spans="1:17" s="212" customFormat="1" ht="15.5" x14ac:dyDescent="0.35">
      <c r="A857" s="198">
        <v>2030</v>
      </c>
      <c r="B857" s="197" t="s">
        <v>5838</v>
      </c>
      <c r="C857" s="197">
        <v>2003</v>
      </c>
      <c r="D857" s="225" t="str">
        <f t="shared" si="9"/>
        <v>2030_2003</v>
      </c>
      <c r="E857" s="1287">
        <v>0.28954558597362978</v>
      </c>
      <c r="F857" s="1306">
        <v>9.5347738823287537E-2</v>
      </c>
      <c r="G857" s="1303">
        <v>7.1429919640758808</v>
      </c>
      <c r="H857" s="1306">
        <v>0.71686451707391674</v>
      </c>
      <c r="I857" s="1303">
        <v>5.3972998246002116E-2</v>
      </c>
      <c r="J857" s="1306">
        <v>2.7865744570425579E-3</v>
      </c>
      <c r="K857" s="1303">
        <v>2.9999363677052915E-3</v>
      </c>
      <c r="L857" s="1288">
        <v>2.0000014219696319E-3</v>
      </c>
      <c r="M857" s="1230">
        <v>2.0000014219696319E-3</v>
      </c>
      <c r="N857" s="1303">
        <v>2.7298527293469845E-2</v>
      </c>
      <c r="O857" s="1288">
        <v>7.7039097079236694E-3</v>
      </c>
      <c r="P857" s="1237">
        <v>3.8519548539618347E-3</v>
      </c>
      <c r="Q857" s="1290">
        <v>5.6413417725053802E-2</v>
      </c>
    </row>
    <row r="858" spans="1:17" s="212" customFormat="1" ht="15.5" x14ac:dyDescent="0.35">
      <c r="A858" s="198">
        <v>2030</v>
      </c>
      <c r="B858" s="197" t="s">
        <v>5838</v>
      </c>
      <c r="C858" s="197">
        <v>2004</v>
      </c>
      <c r="D858" s="225" t="str">
        <f t="shared" si="9"/>
        <v>2030_2004</v>
      </c>
      <c r="E858" s="1287">
        <v>0.59686725485387848</v>
      </c>
      <c r="F858" s="1306">
        <v>1.7962015269393779E-2</v>
      </c>
      <c r="G858" s="1303">
        <v>4.2107000656723326</v>
      </c>
      <c r="H858" s="1306">
        <v>0.12225724621994828</v>
      </c>
      <c r="I858" s="1303">
        <v>0.15462279999488437</v>
      </c>
      <c r="J858" s="1306">
        <v>1.8664237389589194E-4</v>
      </c>
      <c r="K858" s="1303">
        <v>2.9992210431351819E-3</v>
      </c>
      <c r="L858" s="1288">
        <v>2.0000014904715765E-3</v>
      </c>
      <c r="M858" s="1230">
        <v>2.0000014904715765E-3</v>
      </c>
      <c r="N858" s="1303">
        <v>2.7281675558919437E-2</v>
      </c>
      <c r="O858" s="1288">
        <v>7.1365409001890373E-3</v>
      </c>
      <c r="P858" s="1237">
        <v>3.5682704500945186E-3</v>
      </c>
      <c r="Q858" s="1290">
        <v>0.16161415688214015</v>
      </c>
    </row>
    <row r="859" spans="1:17" s="212" customFormat="1" ht="15.5" x14ac:dyDescent="0.35">
      <c r="A859" s="198">
        <v>2030</v>
      </c>
      <c r="B859" s="197" t="s">
        <v>5838</v>
      </c>
      <c r="C859" s="197">
        <v>2005</v>
      </c>
      <c r="D859" s="225" t="str">
        <f t="shared" si="9"/>
        <v>2030_2005</v>
      </c>
      <c r="E859" s="1287">
        <v>0.56292065207710862</v>
      </c>
      <c r="F859" s="1306">
        <v>1.6043687796586176E-2</v>
      </c>
      <c r="G859" s="1303">
        <v>4.0479456776554112</v>
      </c>
      <c r="H859" s="1306">
        <v>0.1061267786317585</v>
      </c>
      <c r="I859" s="1303">
        <v>0.14773739711458092</v>
      </c>
      <c r="J859" s="1306">
        <v>1.8712753114414653E-4</v>
      </c>
      <c r="K859" s="1303">
        <v>2.9335169051695168E-3</v>
      </c>
      <c r="L859" s="1288">
        <v>2.0000015059495942E-3</v>
      </c>
      <c r="M859" s="1230">
        <v>2.0000015059495942E-3</v>
      </c>
      <c r="N859" s="1303">
        <v>2.5730245749773617E-2</v>
      </c>
      <c r="O859" s="1288">
        <v>6.5265708373780816E-3</v>
      </c>
      <c r="P859" s="1237">
        <v>3.2632854186890408E-3</v>
      </c>
      <c r="Q859" s="1290">
        <v>0.154417426637112</v>
      </c>
    </row>
    <row r="860" spans="1:17" s="212" customFormat="1" ht="15.5" x14ac:dyDescent="0.35">
      <c r="A860" s="198">
        <v>2030</v>
      </c>
      <c r="B860" s="197" t="s">
        <v>5838</v>
      </c>
      <c r="C860" s="197">
        <v>2006</v>
      </c>
      <c r="D860" s="225" t="str">
        <f t="shared" si="9"/>
        <v>2030_2006</v>
      </c>
      <c r="E860" s="1287">
        <v>0.573970623800241</v>
      </c>
      <c r="F860" s="1306">
        <v>6.9298447052724742E-3</v>
      </c>
      <c r="G860" s="1303">
        <v>4.1047800879645697</v>
      </c>
      <c r="H860" s="1306">
        <v>8.2385096961993892E-2</v>
      </c>
      <c r="I860" s="1303">
        <v>0.14993337510414162</v>
      </c>
      <c r="J860" s="1306">
        <v>1.822259120346673E-4</v>
      </c>
      <c r="K860" s="1303">
        <v>2.9597636191770519E-3</v>
      </c>
      <c r="L860" s="1288">
        <v>2.0000014025916505E-3</v>
      </c>
      <c r="M860" s="1230">
        <v>2.0000014025916505E-3</v>
      </c>
      <c r="N860" s="1303">
        <v>2.6349598761499098E-2</v>
      </c>
      <c r="O860" s="1288">
        <v>9.3972025694080974E-3</v>
      </c>
      <c r="P860" s="1237">
        <v>4.6986012847040487E-3</v>
      </c>
      <c r="Q860" s="1290">
        <v>0.15671269700685214</v>
      </c>
    </row>
    <row r="861" spans="1:17" s="212" customFormat="1" ht="15.5" x14ac:dyDescent="0.35">
      <c r="A861" s="198">
        <v>2030</v>
      </c>
      <c r="B861" s="197" t="s">
        <v>5838</v>
      </c>
      <c r="C861" s="197">
        <v>2007</v>
      </c>
      <c r="D861" s="225" t="str">
        <f t="shared" si="9"/>
        <v>2030_2007</v>
      </c>
      <c r="E861" s="1287">
        <v>0.3159695461237424</v>
      </c>
      <c r="F861" s="1306">
        <v>8.8357554616227876E-3</v>
      </c>
      <c r="G861" s="1303">
        <v>2.3008685262756381</v>
      </c>
      <c r="H861" s="1306">
        <v>6.8959873992872109E-2</v>
      </c>
      <c r="I861" s="1303">
        <v>8.2521555675654626E-2</v>
      </c>
      <c r="J861" s="1306">
        <v>1.8628816751454859E-4</v>
      </c>
      <c r="K861" s="1303">
        <v>2.9333104904203512E-3</v>
      </c>
      <c r="L861" s="1288">
        <v>2.0000014333247146E-3</v>
      </c>
      <c r="M861" s="1230">
        <v>2.0000014333247146E-3</v>
      </c>
      <c r="N861" s="1303">
        <v>2.5725587128375887E-2</v>
      </c>
      <c r="O861" s="1288">
        <v>6.6759900836218296E-3</v>
      </c>
      <c r="P861" s="1237">
        <v>3.3379950418109148E-3</v>
      </c>
      <c r="Q861" s="1290">
        <v>8.6252814239327721E-2</v>
      </c>
    </row>
    <row r="862" spans="1:17" s="212" customFormat="1" ht="15.5" x14ac:dyDescent="0.35">
      <c r="A862" s="198">
        <v>2030</v>
      </c>
      <c r="B862" s="197" t="s">
        <v>5838</v>
      </c>
      <c r="C862" s="197">
        <v>2008</v>
      </c>
      <c r="D862" s="225" t="str">
        <f t="shared" si="9"/>
        <v>2030_2008</v>
      </c>
      <c r="E862" s="1287">
        <v>0.32269379454053942</v>
      </c>
      <c r="F862" s="1306">
        <v>8.2394141015960532E-3</v>
      </c>
      <c r="G862" s="1303">
        <v>2.3601621609492156</v>
      </c>
      <c r="H862" s="1306">
        <v>5.2437939825033003E-2</v>
      </c>
      <c r="I862" s="1303">
        <v>8.4318847608107733E-2</v>
      </c>
      <c r="J862" s="1306">
        <v>2.1056209312922468E-4</v>
      </c>
      <c r="K862" s="1303">
        <v>2.9599887606071595E-3</v>
      </c>
      <c r="L862" s="1288">
        <v>2.0000015884984405E-3</v>
      </c>
      <c r="M862" s="1230">
        <v>2.0000015884984405E-3</v>
      </c>
      <c r="N862" s="1303">
        <v>2.6356180777952775E-2</v>
      </c>
      <c r="O862" s="1288">
        <v>6.5401755046768668E-3</v>
      </c>
      <c r="P862" s="1237">
        <v>3.2700877523384334E-3</v>
      </c>
      <c r="Q862" s="1290">
        <v>8.8131371737601577E-2</v>
      </c>
    </row>
    <row r="863" spans="1:17" s="212" customFormat="1" ht="15.5" x14ac:dyDescent="0.35">
      <c r="A863" s="198">
        <v>2030</v>
      </c>
      <c r="B863" s="197" t="s">
        <v>5838</v>
      </c>
      <c r="C863" s="197">
        <v>2009</v>
      </c>
      <c r="D863" s="225" t="str">
        <f t="shared" si="9"/>
        <v>2030_2009</v>
      </c>
      <c r="E863" s="1287">
        <v>0.30681589100017997</v>
      </c>
      <c r="F863" s="1306">
        <v>7.9037348688147952E-3</v>
      </c>
      <c r="G863" s="1303">
        <v>2.2264685642497399</v>
      </c>
      <c r="H863" s="1306">
        <v>3.8279230102016441E-2</v>
      </c>
      <c r="I863" s="1303">
        <v>8.0092092882564109E-2</v>
      </c>
      <c r="J863" s="1306">
        <v>2.3939061524672452E-4</v>
      </c>
      <c r="K863" s="1303">
        <v>2.8984584006401973E-3</v>
      </c>
      <c r="L863" s="1288">
        <v>2.0000016406384645E-3</v>
      </c>
      <c r="M863" s="1230">
        <v>2.0000016406384645E-3</v>
      </c>
      <c r="N863" s="1303">
        <v>2.4906070999737292E-2</v>
      </c>
      <c r="O863" s="1288">
        <v>5.1327042167018232E-3</v>
      </c>
      <c r="P863" s="1237">
        <v>2.5663521083509116E-3</v>
      </c>
      <c r="Q863" s="1290">
        <v>8.3713501919315189E-2</v>
      </c>
    </row>
    <row r="864" spans="1:17" s="212" customFormat="1" ht="15.5" x14ac:dyDescent="0.35">
      <c r="A864" s="198">
        <v>2030</v>
      </c>
      <c r="B864" s="197" t="s">
        <v>5838</v>
      </c>
      <c r="C864" s="197">
        <v>2010</v>
      </c>
      <c r="D864" s="225" t="str">
        <f t="shared" si="9"/>
        <v>2030_2010</v>
      </c>
      <c r="E864" s="1287">
        <v>6.4337062372345016E-2</v>
      </c>
      <c r="F864" s="1306">
        <v>7.243453742145748E-3</v>
      </c>
      <c r="G864" s="1303">
        <v>0.55151854217158547</v>
      </c>
      <c r="H864" s="1306">
        <v>3.6013365842372004E-2</v>
      </c>
      <c r="I864" s="1303">
        <v>1.7612902310181176E-2</v>
      </c>
      <c r="J864" s="1306">
        <v>2.954194611647044E-4</v>
      </c>
      <c r="K864" s="1303">
        <v>2.7719524091710146E-3</v>
      </c>
      <c r="L864" s="1288">
        <v>2.0000017294590691E-3</v>
      </c>
      <c r="M864" s="1230">
        <v>2.0000017294590691E-3</v>
      </c>
      <c r="N864" s="1303">
        <v>2.1917869715018756E-2</v>
      </c>
      <c r="O864" s="1288">
        <v>4.3871365224071061E-3</v>
      </c>
      <c r="P864" s="1237">
        <v>2.1935682612035531E-3</v>
      </c>
      <c r="Q864" s="1290">
        <v>1.8409279596551135E-2</v>
      </c>
    </row>
    <row r="865" spans="1:17" s="212" customFormat="1" ht="15.5" x14ac:dyDescent="0.35">
      <c r="A865" s="198">
        <v>2030</v>
      </c>
      <c r="B865" s="197" t="s">
        <v>5838</v>
      </c>
      <c r="C865" s="197">
        <v>2011</v>
      </c>
      <c r="D865" s="225" t="str">
        <f t="shared" si="9"/>
        <v>2030_2011</v>
      </c>
      <c r="E865" s="1287">
        <v>6.9821719858677952E-2</v>
      </c>
      <c r="F865" s="1306">
        <v>7.1989050734522801E-3</v>
      </c>
      <c r="G865" s="1303">
        <v>0.61324509009981398</v>
      </c>
      <c r="H865" s="1306">
        <v>3.5541064736012366E-2</v>
      </c>
      <c r="I865" s="1303">
        <v>1.8836171366438299E-2</v>
      </c>
      <c r="J865" s="1306">
        <v>3.9367504506150982E-4</v>
      </c>
      <c r="K865" s="1303">
        <v>2.8746309119456327E-3</v>
      </c>
      <c r="L865" s="1288">
        <v>2.0000016735201823E-3</v>
      </c>
      <c r="M865" s="1230">
        <v>2.0000016735201823E-3</v>
      </c>
      <c r="N865" s="1303">
        <v>2.4347368011162291E-2</v>
      </c>
      <c r="O865" s="1288">
        <v>5.23963250942762E-3</v>
      </c>
      <c r="P865" s="1237">
        <v>2.61981625471381E-3</v>
      </c>
      <c r="Q865" s="1290">
        <v>1.9687859451356191E-2</v>
      </c>
    </row>
    <row r="866" spans="1:17" s="212" customFormat="1" ht="15.5" x14ac:dyDescent="0.35">
      <c r="A866" s="198">
        <v>2030</v>
      </c>
      <c r="B866" s="197" t="s">
        <v>5838</v>
      </c>
      <c r="C866" s="197">
        <v>2012</v>
      </c>
      <c r="D866" s="225" t="str">
        <f t="shared" si="9"/>
        <v>2030_2012</v>
      </c>
      <c r="E866" s="1287">
        <v>5.1795645561445162E-2</v>
      </c>
      <c r="F866" s="1306">
        <v>6.8123419880180818E-3</v>
      </c>
      <c r="G866" s="1303">
        <v>0.41851882976679788</v>
      </c>
      <c r="H866" s="1306">
        <v>3.4065796772958103E-2</v>
      </c>
      <c r="I866" s="1303">
        <v>1.4293984524411316E-2</v>
      </c>
      <c r="J866" s="1306">
        <v>5.7146936809438431E-4</v>
      </c>
      <c r="K866" s="1303">
        <v>2.5892379621978525E-3</v>
      </c>
      <c r="L866" s="1288">
        <v>2.0000017181139658E-3</v>
      </c>
      <c r="M866" s="1230">
        <v>2.0000017181139658E-3</v>
      </c>
      <c r="N866" s="1303">
        <v>1.757477781665736E-2</v>
      </c>
      <c r="O866" s="1288">
        <v>5.6551434936715468E-3</v>
      </c>
      <c r="P866" s="1237">
        <v>2.8275717468357734E-3</v>
      </c>
      <c r="Q866" s="1290">
        <v>1.4940295075988295E-2</v>
      </c>
    </row>
    <row r="867" spans="1:17" s="212" customFormat="1" ht="15.5" x14ac:dyDescent="0.35">
      <c r="A867" s="198">
        <v>2030</v>
      </c>
      <c r="B867" s="197" t="s">
        <v>5838</v>
      </c>
      <c r="C867" s="197">
        <v>2013</v>
      </c>
      <c r="D867" s="225" t="str">
        <f t="shared" si="9"/>
        <v>2030_2013</v>
      </c>
      <c r="E867" s="1287">
        <v>6.6474741898870704E-2</v>
      </c>
      <c r="F867" s="1306">
        <v>7.2984646518971189E-3</v>
      </c>
      <c r="G867" s="1303">
        <v>0.57203999815786244</v>
      </c>
      <c r="H867" s="1306">
        <v>3.4826909311022315E-2</v>
      </c>
      <c r="I867" s="1303">
        <v>1.7591592698482289E-2</v>
      </c>
      <c r="J867" s="1306">
        <v>8.5482089792459769E-4</v>
      </c>
      <c r="K867" s="1303">
        <v>2.8316170666752008E-3</v>
      </c>
      <c r="L867" s="1288">
        <v>2.0000017224313304E-3</v>
      </c>
      <c r="M867" s="1230">
        <v>2.0000017224313304E-3</v>
      </c>
      <c r="N867" s="1303">
        <v>2.332373243129578E-2</v>
      </c>
      <c r="O867" s="1288">
        <v>5.6381761772475187E-3</v>
      </c>
      <c r="P867" s="1237">
        <v>2.8190880886237593E-3</v>
      </c>
      <c r="Q867" s="1290">
        <v>1.8387006458771185E-2</v>
      </c>
    </row>
    <row r="868" spans="1:17" s="212" customFormat="1" ht="15.5" x14ac:dyDescent="0.35">
      <c r="A868" s="198">
        <v>2030</v>
      </c>
      <c r="B868" s="197" t="s">
        <v>5838</v>
      </c>
      <c r="C868" s="197">
        <v>2014</v>
      </c>
      <c r="D868" s="225" t="str">
        <f t="shared" si="9"/>
        <v>2030_2014</v>
      </c>
      <c r="E868" s="1287">
        <v>5.6653596805923974E-2</v>
      </c>
      <c r="F868" s="1306">
        <v>7.3736243259486566E-3</v>
      </c>
      <c r="G868" s="1303">
        <v>0.46726796200173681</v>
      </c>
      <c r="H868" s="1306">
        <v>3.4644128294049628E-2</v>
      </c>
      <c r="I868" s="1303">
        <v>1.5055454718852449E-2</v>
      </c>
      <c r="J868" s="1306">
        <v>1.2065852100382384E-3</v>
      </c>
      <c r="K868" s="1303">
        <v>2.6813735919513355E-3</v>
      </c>
      <c r="L868" s="1288">
        <v>2.0000017260960556E-3</v>
      </c>
      <c r="M868" s="1230">
        <v>2.0000017260960556E-3</v>
      </c>
      <c r="N868" s="1303">
        <v>1.9745411239833692E-2</v>
      </c>
      <c r="O868" s="1288">
        <v>4.7960801147323186E-3</v>
      </c>
      <c r="P868" s="1237">
        <v>2.3980400573661593E-3</v>
      </c>
      <c r="Q868" s="1290">
        <v>1.5736195573648085E-2</v>
      </c>
    </row>
    <row r="869" spans="1:17" s="212" customFormat="1" ht="15.5" x14ac:dyDescent="0.35">
      <c r="A869" s="198">
        <v>2030</v>
      </c>
      <c r="B869" s="197" t="s">
        <v>5838</v>
      </c>
      <c r="C869" s="197">
        <v>2015</v>
      </c>
      <c r="D869" s="225" t="str">
        <f t="shared" si="9"/>
        <v>2030_2015</v>
      </c>
      <c r="E869" s="1287">
        <v>5.1415056132533478E-2</v>
      </c>
      <c r="F869" s="1306">
        <v>7.1654442398417272E-3</v>
      </c>
      <c r="G869" s="1303">
        <v>0.41431795946349453</v>
      </c>
      <c r="H869" s="1306">
        <v>3.3283629949788167E-2</v>
      </c>
      <c r="I869" s="1303">
        <v>1.3652012282126836E-2</v>
      </c>
      <c r="J869" s="1306">
        <v>1.4974645940794729E-3</v>
      </c>
      <c r="K869" s="1303">
        <v>2.6111537955000545E-3</v>
      </c>
      <c r="L869" s="1288">
        <v>2.0000016978898752E-3</v>
      </c>
      <c r="M869" s="1230">
        <v>2.0000016978898752E-3</v>
      </c>
      <c r="N869" s="1303">
        <v>1.805075764671123E-2</v>
      </c>
      <c r="O869" s="1288">
        <v>5.5513006241144245E-3</v>
      </c>
      <c r="P869" s="1237">
        <v>2.7756503120572123E-3</v>
      </c>
      <c r="Q869" s="1290">
        <v>1.4269295697617371E-2</v>
      </c>
    </row>
    <row r="870" spans="1:17" s="212" customFormat="1" ht="15.5" x14ac:dyDescent="0.35">
      <c r="A870" s="198">
        <v>2030</v>
      </c>
      <c r="B870" s="197" t="s">
        <v>5838</v>
      </c>
      <c r="C870" s="197">
        <v>2016</v>
      </c>
      <c r="D870" s="225" t="str">
        <f t="shared" si="9"/>
        <v>2030_2016</v>
      </c>
      <c r="E870" s="1287">
        <v>6.1167342051680319E-2</v>
      </c>
      <c r="F870" s="1306">
        <v>6.9886920446368224E-3</v>
      </c>
      <c r="G870" s="1303">
        <v>0.4579228446040986</v>
      </c>
      <c r="H870" s="1306">
        <v>3.2046965541185711E-2</v>
      </c>
      <c r="I870" s="1303">
        <v>1.5586844402093156E-2</v>
      </c>
      <c r="J870" s="1306">
        <v>1.7048699262499725E-3</v>
      </c>
      <c r="K870" s="1303">
        <v>2.7940834592412489E-3</v>
      </c>
      <c r="L870" s="1288">
        <v>2.0000016414795591E-3</v>
      </c>
      <c r="M870" s="1230">
        <v>2.0000016414795591E-3</v>
      </c>
      <c r="N870" s="1303">
        <v>2.2397410595910036E-2</v>
      </c>
      <c r="O870" s="1288">
        <v>6.3565608819200828E-3</v>
      </c>
      <c r="P870" s="1237">
        <v>3.1782804409600414E-3</v>
      </c>
      <c r="Q870" s="1290">
        <v>1.6291612340358131E-2</v>
      </c>
    </row>
    <row r="871" spans="1:17" s="212" customFormat="1" ht="15.5" x14ac:dyDescent="0.35">
      <c r="A871" s="198">
        <v>2030</v>
      </c>
      <c r="B871" s="197" t="s">
        <v>5838</v>
      </c>
      <c r="C871" s="197">
        <v>2017</v>
      </c>
      <c r="D871" s="225" t="str">
        <f t="shared" si="9"/>
        <v>2030_2017</v>
      </c>
      <c r="E871" s="1287">
        <v>6.2680653102478945E-2</v>
      </c>
      <c r="F871" s="1306">
        <v>6.6520271436113707E-3</v>
      </c>
      <c r="G871" s="1303">
        <v>0.40796719929509323</v>
      </c>
      <c r="H871" s="1306">
        <v>3.0749673157460217E-2</v>
      </c>
      <c r="I871" s="1303">
        <v>1.557287049664781E-2</v>
      </c>
      <c r="J871" s="1306">
        <v>1.8312955263291074E-3</v>
      </c>
      <c r="K871" s="1303">
        <v>2.8318588493887738E-3</v>
      </c>
      <c r="L871" s="1288">
        <v>2.0000016134458201E-3</v>
      </c>
      <c r="M871" s="1230">
        <v>2.0000016134458201E-3</v>
      </c>
      <c r="N871" s="1303">
        <v>2.3295350421033079E-2</v>
      </c>
      <c r="O871" s="1288">
        <v>6.3163526053633522E-3</v>
      </c>
      <c r="P871" s="1237">
        <v>3.1581763026816761E-3</v>
      </c>
      <c r="Q871" s="1290">
        <v>1.6277006596916804E-2</v>
      </c>
    </row>
    <row r="872" spans="1:17" s="212" customFormat="1" ht="15.5" x14ac:dyDescent="0.35">
      <c r="A872" s="198">
        <v>2030</v>
      </c>
      <c r="B872" s="197" t="s">
        <v>5838</v>
      </c>
      <c r="C872" s="197">
        <v>2018</v>
      </c>
      <c r="D872" s="225" t="str">
        <f t="shared" si="9"/>
        <v>2030_2018</v>
      </c>
      <c r="E872" s="1287">
        <v>5.7064829915422444E-2</v>
      </c>
      <c r="F872" s="1306">
        <v>6.4344634487290345E-3</v>
      </c>
      <c r="G872" s="1303">
        <v>0.30010077957273879</v>
      </c>
      <c r="H872" s="1306">
        <v>2.9708185649639264E-2</v>
      </c>
      <c r="I872" s="1303">
        <v>1.3981295288318561E-2</v>
      </c>
      <c r="J872" s="1306">
        <v>1.9324213586987059E-3</v>
      </c>
      <c r="K872" s="1303">
        <v>2.744896943841607E-3</v>
      </c>
      <c r="L872" s="1288">
        <v>2.0000016059791305E-3</v>
      </c>
      <c r="M872" s="1230">
        <v>2.0000016059791305E-3</v>
      </c>
      <c r="N872" s="1303">
        <v>2.1206727075527811E-2</v>
      </c>
      <c r="O872" s="1288">
        <v>5.6996157219701459E-3</v>
      </c>
      <c r="P872" s="1237">
        <v>2.8498078609850729E-3</v>
      </c>
      <c r="Q872" s="1290">
        <v>1.4613467420177349E-2</v>
      </c>
    </row>
    <row r="873" spans="1:17" s="212" customFormat="1" ht="15.5" x14ac:dyDescent="0.35">
      <c r="A873" s="198">
        <v>2030</v>
      </c>
      <c r="B873" s="197" t="s">
        <v>5838</v>
      </c>
      <c r="C873" s="197">
        <v>2019</v>
      </c>
      <c r="D873" s="225" t="str">
        <f t="shared" si="9"/>
        <v>2030_2019</v>
      </c>
      <c r="E873" s="1287">
        <v>6.5826804945659317E-2</v>
      </c>
      <c r="F873" s="1306">
        <v>6.2067840944421155E-3</v>
      </c>
      <c r="G873" s="1303">
        <v>0.3071583950909228</v>
      </c>
      <c r="H873" s="1306">
        <v>2.8447590681384159E-2</v>
      </c>
      <c r="I873" s="1303">
        <v>1.5364207847831284E-2</v>
      </c>
      <c r="J873" s="1306">
        <v>1.8332751335499913E-3</v>
      </c>
      <c r="K873" s="1303">
        <v>2.9215723114629248E-3</v>
      </c>
      <c r="L873" s="1288">
        <v>2.0000015359071138E-3</v>
      </c>
      <c r="M873" s="1230">
        <v>2.0000015359071138E-3</v>
      </c>
      <c r="N873" s="1303">
        <v>2.542541217692388E-2</v>
      </c>
      <c r="O873" s="1288">
        <v>5.7300465391854835E-3</v>
      </c>
      <c r="P873" s="1237">
        <v>2.8650232695927418E-3</v>
      </c>
      <c r="Q873" s="1290">
        <v>1.6058909149047659E-2</v>
      </c>
    </row>
    <row r="874" spans="1:17" s="212" customFormat="1" ht="15.5" x14ac:dyDescent="0.35">
      <c r="A874" s="198">
        <v>2030</v>
      </c>
      <c r="B874" s="197" t="s">
        <v>5838</v>
      </c>
      <c r="C874" s="197">
        <v>2020</v>
      </c>
      <c r="D874" s="225" t="str">
        <f t="shared" si="9"/>
        <v>2030_2020</v>
      </c>
      <c r="E874" s="1287">
        <v>5.598779537294421E-2</v>
      </c>
      <c r="F874" s="1306">
        <v>5.9270936306266547E-3</v>
      </c>
      <c r="G874" s="1303">
        <v>0.22939541731181112</v>
      </c>
      <c r="H874" s="1306">
        <v>2.6941912690587322E-2</v>
      </c>
      <c r="I874" s="1303">
        <v>1.3155790715007462E-2</v>
      </c>
      <c r="J874" s="1306">
        <v>1.3552173308718342E-3</v>
      </c>
      <c r="K874" s="1303">
        <v>2.8814941755328084E-3</v>
      </c>
      <c r="L874" s="1288">
        <v>2.0000016296480012E-3</v>
      </c>
      <c r="M874" s="1230">
        <v>2.0000016296480012E-3</v>
      </c>
      <c r="N874" s="1303">
        <v>2.4468969586495515E-2</v>
      </c>
      <c r="O874" s="1288">
        <v>5.8133624392349478E-3</v>
      </c>
      <c r="P874" s="1237">
        <v>2.9066812196174739E-3</v>
      </c>
      <c r="Q874" s="1290">
        <v>1.3750637193183379E-2</v>
      </c>
    </row>
    <row r="875" spans="1:17" s="212" customFormat="1" ht="15.5" x14ac:dyDescent="0.35">
      <c r="A875" s="198">
        <v>2030</v>
      </c>
      <c r="B875" s="197" t="s">
        <v>5838</v>
      </c>
      <c r="C875" s="197">
        <v>2021</v>
      </c>
      <c r="D875" s="225" t="str">
        <f t="shared" si="9"/>
        <v>2030_2021</v>
      </c>
      <c r="E875" s="1287">
        <v>5.3965136884861688E-2</v>
      </c>
      <c r="F875" s="1306">
        <v>5.5899959315742296E-3</v>
      </c>
      <c r="G875" s="1303">
        <v>0.18039789911111956</v>
      </c>
      <c r="H875" s="1306">
        <v>2.5500190345451763E-2</v>
      </c>
      <c r="I875" s="1303">
        <v>1.1982158723159176E-2</v>
      </c>
      <c r="J875" s="1306">
        <v>8.838147275953399E-4</v>
      </c>
      <c r="K875" s="1303">
        <v>2.8790425351290245E-3</v>
      </c>
      <c r="L875" s="1288">
        <v>2.0000016437729858E-3</v>
      </c>
      <c r="M875" s="1230">
        <v>2.0000016437729858E-3</v>
      </c>
      <c r="N875" s="1303">
        <v>2.4403647815263187E-2</v>
      </c>
      <c r="O875" s="1288">
        <v>5.7647532162578754E-3</v>
      </c>
      <c r="P875" s="1237">
        <v>2.8823766081289377E-3</v>
      </c>
      <c r="Q875" s="1290">
        <v>1.2523938770578592E-2</v>
      </c>
    </row>
    <row r="876" spans="1:17" s="212" customFormat="1" ht="15.5" x14ac:dyDescent="0.35">
      <c r="A876" s="198">
        <v>2030</v>
      </c>
      <c r="B876" s="197" t="s">
        <v>5838</v>
      </c>
      <c r="C876" s="197">
        <v>2022</v>
      </c>
      <c r="D876" s="225" t="str">
        <f t="shared" si="9"/>
        <v>2030_2022</v>
      </c>
      <c r="E876" s="1287">
        <v>5.2967281660090522E-2</v>
      </c>
      <c r="F876" s="1306">
        <v>5.2624296905309413E-3</v>
      </c>
      <c r="G876" s="1303">
        <v>0.13527199833333373</v>
      </c>
      <c r="H876" s="1306">
        <v>2.4035664923041294E-2</v>
      </c>
      <c r="I876" s="1303">
        <v>1.1254086371214302E-2</v>
      </c>
      <c r="J876" s="1306">
        <v>8.842665218893221E-4</v>
      </c>
      <c r="K876" s="1303">
        <v>2.8780337260000339E-3</v>
      </c>
      <c r="L876" s="1288">
        <v>2.0000016499426331E-3</v>
      </c>
      <c r="M876" s="1230">
        <v>2.0000016499426331E-3</v>
      </c>
      <c r="N876" s="1303">
        <v>2.4372070720586544E-2</v>
      </c>
      <c r="O876" s="1288">
        <v>5.7599632487268975E-3</v>
      </c>
      <c r="P876" s="1237">
        <v>2.8799816243634487E-3</v>
      </c>
      <c r="Q876" s="1290">
        <v>1.1762946217651974E-2</v>
      </c>
    </row>
    <row r="877" spans="1:17" s="212" customFormat="1" ht="15.5" x14ac:dyDescent="0.35">
      <c r="A877" s="198">
        <v>2030</v>
      </c>
      <c r="B877" s="197" t="s">
        <v>5838</v>
      </c>
      <c r="C877" s="197">
        <v>2023</v>
      </c>
      <c r="D877" s="225" t="str">
        <f t="shared" si="9"/>
        <v>2030_2023</v>
      </c>
      <c r="E877" s="1287">
        <v>5.1867209910522044E-2</v>
      </c>
      <c r="F877" s="1306">
        <v>4.8196475396895134E-3</v>
      </c>
      <c r="G877" s="1303">
        <v>0.1300257245204515</v>
      </c>
      <c r="H877" s="1306">
        <v>2.2598245755500661E-2</v>
      </c>
      <c r="I877" s="1303">
        <v>1.0473009616656639E-2</v>
      </c>
      <c r="J877" s="1306">
        <v>8.8451980719971522E-4</v>
      </c>
      <c r="K877" s="1303">
        <v>2.8762455025097798E-3</v>
      </c>
      <c r="L877" s="1288">
        <v>2.0000016599161763E-3</v>
      </c>
      <c r="M877" s="1230">
        <v>2.0000016599161763E-3</v>
      </c>
      <c r="N877" s="1303">
        <v>2.4321266682072792E-2</v>
      </c>
      <c r="O877" s="1288">
        <v>5.7233572297131791E-3</v>
      </c>
      <c r="P877" s="1237">
        <v>2.8616786148565896E-3</v>
      </c>
      <c r="Q877" s="1290">
        <v>1.0946552638229979E-2</v>
      </c>
    </row>
    <row r="878" spans="1:17" s="212" customFormat="1" ht="15.5" x14ac:dyDescent="0.35">
      <c r="A878" s="198">
        <v>2030</v>
      </c>
      <c r="B878" s="197" t="s">
        <v>5838</v>
      </c>
      <c r="C878" s="197">
        <v>2024</v>
      </c>
      <c r="D878" s="225" t="str">
        <f t="shared" si="9"/>
        <v>2030_2024</v>
      </c>
      <c r="E878" s="1287">
        <v>5.0425934108073577E-2</v>
      </c>
      <c r="F878" s="1306">
        <v>4.1385388417479645E-3</v>
      </c>
      <c r="G878" s="1303">
        <v>0.12378588192990117</v>
      </c>
      <c r="H878" s="1306">
        <v>2.090637194674632E-2</v>
      </c>
      <c r="I878" s="1303">
        <v>9.5942040686381579E-3</v>
      </c>
      <c r="J878" s="1306">
        <v>8.8368669995196624E-4</v>
      </c>
      <c r="K878" s="1303">
        <v>2.8691116435331601E-3</v>
      </c>
      <c r="L878" s="1288">
        <v>2.0000016786612452E-3</v>
      </c>
      <c r="M878" s="1305">
        <v>2.0000005733351988E-3</v>
      </c>
      <c r="N878" s="1303">
        <v>2.4140848644614916E-2</v>
      </c>
      <c r="O878" s="1288">
        <v>5.5562017570273577E-3</v>
      </c>
      <c r="P878" s="1301">
        <v>3.3881328691160667E-3</v>
      </c>
      <c r="Q878" s="1290">
        <v>1.0028011402971932E-2</v>
      </c>
    </row>
    <row r="879" spans="1:17" s="212" customFormat="1" ht="15.5" x14ac:dyDescent="0.35">
      <c r="A879" s="198">
        <v>2030</v>
      </c>
      <c r="B879" s="197" t="s">
        <v>5838</v>
      </c>
      <c r="C879" s="197">
        <v>2025</v>
      </c>
      <c r="D879" s="225" t="str">
        <f t="shared" si="9"/>
        <v>2030_2025</v>
      </c>
      <c r="E879" s="1287">
        <v>4.9061530790362268E-2</v>
      </c>
      <c r="F879" s="1306">
        <v>3.5687176485476807E-3</v>
      </c>
      <c r="G879" s="1303">
        <v>0.11763720560524145</v>
      </c>
      <c r="H879" s="1306">
        <v>1.9372829388552504E-2</v>
      </c>
      <c r="I879" s="1303">
        <v>8.7054187089084106E-3</v>
      </c>
      <c r="J879" s="1306">
        <v>8.8341784511179657E-4</v>
      </c>
      <c r="K879" s="1303">
        <v>2.8644074229890533E-3</v>
      </c>
      <c r="L879" s="1288">
        <v>2.0000016988090162E-3</v>
      </c>
      <c r="M879" s="1305">
        <v>2.0000005733644905E-3</v>
      </c>
      <c r="N879" s="1303">
        <v>2.4017899242149962E-2</v>
      </c>
      <c r="O879" s="1288">
        <v>5.4270417339836209E-3</v>
      </c>
      <c r="P879" s="1301">
        <v>3.7936053965403815E-3</v>
      </c>
      <c r="Q879" s="1290">
        <v>9.09903911320184E-3</v>
      </c>
    </row>
    <row r="880" spans="1:17" s="212" customFormat="1" ht="15.5" x14ac:dyDescent="0.35">
      <c r="A880" s="198">
        <v>2030</v>
      </c>
      <c r="B880" s="197" t="s">
        <v>5838</v>
      </c>
      <c r="C880" s="197">
        <v>2026</v>
      </c>
      <c r="D880" s="225" t="str">
        <f t="shared" si="9"/>
        <v>2030_2026</v>
      </c>
      <c r="E880" s="1287">
        <v>4.7660456705532192E-2</v>
      </c>
      <c r="F880" s="1306">
        <v>3.4370481131476447E-3</v>
      </c>
      <c r="G880" s="1303">
        <v>0.11128476426660758</v>
      </c>
      <c r="H880" s="1306">
        <v>1.8415306881161268E-2</v>
      </c>
      <c r="I880" s="1303">
        <v>7.7829026249775493E-3</v>
      </c>
      <c r="J880" s="1306">
        <v>7.6885370808979926E-4</v>
      </c>
      <c r="K880" s="1303">
        <v>2.8599990212811771E-3</v>
      </c>
      <c r="L880" s="1288">
        <v>2.0000017206739935E-3</v>
      </c>
      <c r="M880" s="1305">
        <v>2.0000005734240643E-3</v>
      </c>
      <c r="N880" s="1303">
        <v>2.3900977350295335E-2</v>
      </c>
      <c r="O880" s="1288">
        <v>5.2895494192007246E-3</v>
      </c>
      <c r="P880" s="1301">
        <v>4.6280185298585115E-3</v>
      </c>
      <c r="Q880" s="1290">
        <v>8.1348109455601277E-3</v>
      </c>
    </row>
    <row r="881" spans="1:17" s="212" customFormat="1" ht="15.5" x14ac:dyDescent="0.35">
      <c r="A881" s="198">
        <v>2030</v>
      </c>
      <c r="B881" s="197" t="s">
        <v>5838</v>
      </c>
      <c r="C881" s="197">
        <v>2027</v>
      </c>
      <c r="D881" s="225" t="str">
        <f t="shared" si="9"/>
        <v>2030_2027</v>
      </c>
      <c r="E881" s="1287">
        <v>4.6072400765877305E-2</v>
      </c>
      <c r="F881" s="1306">
        <v>3.3250910688745875E-3</v>
      </c>
      <c r="G881" s="1303">
        <v>0.10438004904382725</v>
      </c>
      <c r="H881" s="1306">
        <v>1.7480327825691748E-2</v>
      </c>
      <c r="I881" s="1303">
        <v>6.8042205192791376E-3</v>
      </c>
      <c r="J881" s="1306">
        <v>6.3385704313109433E-4</v>
      </c>
      <c r="K881" s="1303">
        <v>2.852840146911059E-3</v>
      </c>
      <c r="L881" s="1288">
        <v>2.0000017536758261E-3</v>
      </c>
      <c r="M881" s="1305">
        <v>2.0000005734852064E-3</v>
      </c>
      <c r="N881" s="1303">
        <v>2.3716102617658566E-2</v>
      </c>
      <c r="O881" s="1288">
        <v>5.1151823372100769E-3</v>
      </c>
      <c r="P881" s="1301">
        <v>5.4911238149764549E-3</v>
      </c>
      <c r="Q881" s="1290">
        <v>7.1118771778795531E-3</v>
      </c>
    </row>
    <row r="882" spans="1:17" s="212" customFormat="1" ht="15.5" x14ac:dyDescent="0.35">
      <c r="A882" s="198">
        <v>2030</v>
      </c>
      <c r="B882" s="197" t="s">
        <v>5838</v>
      </c>
      <c r="C882" s="197">
        <v>2028</v>
      </c>
      <c r="D882" s="225" t="str">
        <f t="shared" si="9"/>
        <v>2030_2028</v>
      </c>
      <c r="E882" s="1287">
        <v>4.4331695872633595E-2</v>
      </c>
      <c r="F882" s="1306">
        <v>3.1703824692872712E-3</v>
      </c>
      <c r="G882" s="1303">
        <v>9.7038048238960589E-2</v>
      </c>
      <c r="H882" s="1306">
        <v>1.6491373115076379E-2</v>
      </c>
      <c r="I882" s="1303">
        <v>5.7820392241257701E-3</v>
      </c>
      <c r="J882" s="1306">
        <v>5.1636700049214083E-4</v>
      </c>
      <c r="K882" s="1303">
        <v>2.8434388274937248E-3</v>
      </c>
      <c r="L882" s="1288">
        <v>2.0000018029517463E-3</v>
      </c>
      <c r="M882" s="1305">
        <v>2.0000005735282562E-3</v>
      </c>
      <c r="N882" s="1303">
        <v>2.347514721711632E-2</v>
      </c>
      <c r="O882" s="1288">
        <v>4.9183425396310907E-3</v>
      </c>
      <c r="P882" s="1301">
        <v>6.1105262576992949E-3</v>
      </c>
      <c r="Q882" s="1290">
        <v>6.0434773804216883E-3</v>
      </c>
    </row>
    <row r="883" spans="1:17" s="212" customFormat="1" ht="15.5" x14ac:dyDescent="0.35">
      <c r="A883" s="198">
        <v>2030</v>
      </c>
      <c r="B883" s="197" t="s">
        <v>5838</v>
      </c>
      <c r="C883" s="197">
        <v>2029</v>
      </c>
      <c r="D883" s="225" t="str">
        <f t="shared" si="9"/>
        <v>2030_2029</v>
      </c>
      <c r="E883" s="1287">
        <v>4.2536384198074664E-2</v>
      </c>
      <c r="F883" s="1306">
        <v>2.9939678608280748E-3</v>
      </c>
      <c r="G883" s="1303">
        <v>8.9504805376067004E-2</v>
      </c>
      <c r="H883" s="1306">
        <v>1.5414878304661506E-2</v>
      </c>
      <c r="I883" s="1303">
        <v>4.7347350036052718E-3</v>
      </c>
      <c r="J883" s="1306">
        <v>5.1343917536049097E-4</v>
      </c>
      <c r="K883" s="1303">
        <v>2.833713892831683E-3</v>
      </c>
      <c r="L883" s="1288">
        <v>2.0000018456118596E-3</v>
      </c>
      <c r="M883" s="1305">
        <v>2.0000005735585809E-3</v>
      </c>
      <c r="N883" s="1303">
        <v>2.3224030888302043E-2</v>
      </c>
      <c r="O883" s="1288">
        <v>4.7085167414666739E-3</v>
      </c>
      <c r="P883" s="1301">
        <v>6.5912635230516341E-3</v>
      </c>
      <c r="Q883" s="1290">
        <v>4.9488187103928893E-3</v>
      </c>
    </row>
    <row r="884" spans="1:17" s="212" customFormat="1" ht="15.5" x14ac:dyDescent="0.35">
      <c r="A884" s="198">
        <v>2030</v>
      </c>
      <c r="B884" s="197" t="s">
        <v>5838</v>
      </c>
      <c r="C884" s="197">
        <v>2030</v>
      </c>
      <c r="D884" s="225" t="str">
        <f t="shared" si="9"/>
        <v>2030_2030</v>
      </c>
      <c r="E884" s="1287">
        <v>3.975553819022886E-2</v>
      </c>
      <c r="F884" s="1306">
        <v>2.7848564540958374E-3</v>
      </c>
      <c r="G884" s="1303">
        <v>7.9916450285743693E-2</v>
      </c>
      <c r="H884" s="1306">
        <v>1.4107972485195849E-2</v>
      </c>
      <c r="I884" s="1303">
        <v>3.5853526965111526E-3</v>
      </c>
      <c r="J884" s="1306">
        <v>5.0488475067952401E-4</v>
      </c>
      <c r="K884" s="1303">
        <v>2.8033599968168726E-3</v>
      </c>
      <c r="L884" s="1288">
        <v>2.0000019582172312E-3</v>
      </c>
      <c r="M884" s="1305">
        <v>2.0000005735482792E-3</v>
      </c>
      <c r="N884" s="1303">
        <v>2.2464905841354434E-2</v>
      </c>
      <c r="O884" s="1288">
        <v>4.2279746599468929E-3</v>
      </c>
      <c r="P884" s="1301">
        <v>6.4648935191497095E-3</v>
      </c>
      <c r="Q884" s="1290">
        <v>3.7474664356804245E-3</v>
      </c>
    </row>
    <row r="885" spans="1:17" s="212" customFormat="1" ht="15.5" x14ac:dyDescent="0.35">
      <c r="A885" s="198">
        <v>2030</v>
      </c>
      <c r="B885" s="197" t="s">
        <v>5838</v>
      </c>
      <c r="C885" s="197">
        <v>2031</v>
      </c>
      <c r="D885" s="225" t="str">
        <f t="shared" si="9"/>
        <v>2030_2031</v>
      </c>
      <c r="E885" s="1291">
        <v>3.975553819022886E-2</v>
      </c>
      <c r="F885" s="1280">
        <v>2.7848564540958374E-3</v>
      </c>
      <c r="G885" s="1271">
        <v>7.9916450285743693E-2</v>
      </c>
      <c r="H885" s="1280">
        <v>1.4107972485195849E-2</v>
      </c>
      <c r="I885" s="1271">
        <v>3.5853526965111526E-3</v>
      </c>
      <c r="J885" s="1280">
        <v>5.0488475067952401E-4</v>
      </c>
      <c r="K885" s="1271">
        <v>2.8033599968168726E-3</v>
      </c>
      <c r="L885" s="1257">
        <v>2.0000019582172312E-3</v>
      </c>
      <c r="M885" s="1230">
        <v>2.0000005735482792E-3</v>
      </c>
      <c r="N885" s="1271">
        <v>2.2464905841354434E-2</v>
      </c>
      <c r="O885" s="1257">
        <v>4.2279746599468929E-3</v>
      </c>
      <c r="P885" s="1237">
        <v>6.4648935191497095E-3</v>
      </c>
      <c r="Q885" s="1292">
        <v>3.7474664356804245E-3</v>
      </c>
    </row>
    <row r="886" spans="1:17" s="212" customFormat="1" ht="15.5" x14ac:dyDescent="0.35">
      <c r="A886" s="198">
        <v>2031</v>
      </c>
      <c r="B886" s="197" t="s">
        <v>5838</v>
      </c>
      <c r="C886" s="197">
        <v>1971</v>
      </c>
      <c r="D886" s="225" t="str">
        <f t="shared" si="9"/>
        <v>2031_1971</v>
      </c>
      <c r="E886" s="1291">
        <v>0.2979621925834619</v>
      </c>
      <c r="F886" s="1280">
        <v>1.1953354686488065</v>
      </c>
      <c r="G886" s="1271">
        <v>4.862750718694631</v>
      </c>
      <c r="H886" s="1280">
        <v>3.0735887849455485</v>
      </c>
      <c r="I886" s="1271">
        <v>0.20101744596302323</v>
      </c>
      <c r="J886" s="1280">
        <v>1.6849929490736174E-2</v>
      </c>
      <c r="K886" s="1271">
        <v>2.9096568022246218E-3</v>
      </c>
      <c r="L886" s="1257">
        <v>2.0000010815717419E-3</v>
      </c>
      <c r="M886" s="1230">
        <v>2.0000010815717419E-3</v>
      </c>
      <c r="N886" s="1271">
        <v>2.5182025190076267E-2</v>
      </c>
      <c r="O886" s="1257">
        <v>1.4199091744058784E-2</v>
      </c>
      <c r="P886" s="1237">
        <v>7.0995458720293919E-3</v>
      </c>
      <c r="Q886" s="1292">
        <v>0.21010656286776519</v>
      </c>
    </row>
    <row r="887" spans="1:17" s="212" customFormat="1" ht="15.5" x14ac:dyDescent="0.35">
      <c r="A887" s="198">
        <v>2031</v>
      </c>
      <c r="B887" s="197" t="s">
        <v>5838</v>
      </c>
      <c r="C887" s="197">
        <v>1972</v>
      </c>
      <c r="D887" s="225" t="str">
        <f t="shared" si="9"/>
        <v>2031_1972</v>
      </c>
      <c r="E887" s="1291">
        <v>0.2979621925834619</v>
      </c>
      <c r="F887" s="1280">
        <v>1.1953354686488065</v>
      </c>
      <c r="G887" s="1271">
        <v>4.862750718694631</v>
      </c>
      <c r="H887" s="1280">
        <v>3.0735887849455485</v>
      </c>
      <c r="I887" s="1271">
        <v>0.20101744596302323</v>
      </c>
      <c r="J887" s="1280">
        <v>1.6849929490736174E-2</v>
      </c>
      <c r="K887" s="1271">
        <v>2.9096568022246218E-3</v>
      </c>
      <c r="L887" s="1257">
        <v>2.0000010815717419E-3</v>
      </c>
      <c r="M887" s="1230">
        <v>2.0000010815717419E-3</v>
      </c>
      <c r="N887" s="1271">
        <v>2.5182025190076267E-2</v>
      </c>
      <c r="O887" s="1257">
        <v>1.4199091744058784E-2</v>
      </c>
      <c r="P887" s="1237">
        <v>7.0995458720293919E-3</v>
      </c>
      <c r="Q887" s="1292">
        <v>0.21010656286776519</v>
      </c>
    </row>
    <row r="888" spans="1:17" s="212" customFormat="1" ht="15.5" x14ac:dyDescent="0.35">
      <c r="A888" s="198">
        <v>2031</v>
      </c>
      <c r="B888" s="197" t="s">
        <v>5838</v>
      </c>
      <c r="C888" s="197">
        <v>1973</v>
      </c>
      <c r="D888" s="225" t="str">
        <f t="shared" si="9"/>
        <v>2031_1973</v>
      </c>
      <c r="E888" s="1291">
        <v>0.2979621925834619</v>
      </c>
      <c r="F888" s="1280">
        <v>1.1953354686488065</v>
      </c>
      <c r="G888" s="1271">
        <v>4.862750718694631</v>
      </c>
      <c r="H888" s="1280">
        <v>3.0735887849455485</v>
      </c>
      <c r="I888" s="1271">
        <v>0.20101744596302323</v>
      </c>
      <c r="J888" s="1280">
        <v>1.6849929490736174E-2</v>
      </c>
      <c r="K888" s="1271">
        <v>2.9096568022246218E-3</v>
      </c>
      <c r="L888" s="1257">
        <v>2.0000010815717419E-3</v>
      </c>
      <c r="M888" s="1230">
        <v>2.0000010815717419E-3</v>
      </c>
      <c r="N888" s="1271">
        <v>2.5182025190076267E-2</v>
      </c>
      <c r="O888" s="1257">
        <v>1.4199091744058784E-2</v>
      </c>
      <c r="P888" s="1237">
        <v>7.0995458720293919E-3</v>
      </c>
      <c r="Q888" s="1292">
        <v>0.21010656286776519</v>
      </c>
    </row>
    <row r="889" spans="1:17" s="212" customFormat="1" ht="15.5" x14ac:dyDescent="0.35">
      <c r="A889" s="198">
        <v>2031</v>
      </c>
      <c r="B889" s="197" t="s">
        <v>5838</v>
      </c>
      <c r="C889" s="197">
        <v>1974</v>
      </c>
      <c r="D889" s="225" t="str">
        <f t="shared" si="9"/>
        <v>2031_1974</v>
      </c>
      <c r="E889" s="1291">
        <v>0.2979621925834619</v>
      </c>
      <c r="F889" s="1280">
        <v>1.1953354686488065</v>
      </c>
      <c r="G889" s="1271">
        <v>4.862750718694631</v>
      </c>
      <c r="H889" s="1280">
        <v>3.0735887849455485</v>
      </c>
      <c r="I889" s="1271">
        <v>0.20101744596302323</v>
      </c>
      <c r="J889" s="1280">
        <v>1.6849929490736174E-2</v>
      </c>
      <c r="K889" s="1271">
        <v>2.9096568022246218E-3</v>
      </c>
      <c r="L889" s="1257">
        <v>2.0000010815717419E-3</v>
      </c>
      <c r="M889" s="1230">
        <v>2.0000010815717419E-3</v>
      </c>
      <c r="N889" s="1271">
        <v>2.5182025190076267E-2</v>
      </c>
      <c r="O889" s="1257">
        <v>1.4199091744058784E-2</v>
      </c>
      <c r="P889" s="1237">
        <v>7.0995458720293919E-3</v>
      </c>
      <c r="Q889" s="1292">
        <v>0.21010656286776519</v>
      </c>
    </row>
    <row r="890" spans="1:17" s="212" customFormat="1" ht="15.5" x14ac:dyDescent="0.35">
      <c r="A890" s="198">
        <v>2031</v>
      </c>
      <c r="B890" s="197" t="s">
        <v>5838</v>
      </c>
      <c r="C890" s="197">
        <v>1975</v>
      </c>
      <c r="D890" s="225" t="str">
        <f t="shared" si="9"/>
        <v>2031_1975</v>
      </c>
      <c r="E890" s="1291">
        <v>0.2979621925834619</v>
      </c>
      <c r="F890" s="1280">
        <v>1.1953354686488065</v>
      </c>
      <c r="G890" s="1271">
        <v>4.862750718694631</v>
      </c>
      <c r="H890" s="1280">
        <v>3.0735887849455485</v>
      </c>
      <c r="I890" s="1271">
        <v>0.20101744596302323</v>
      </c>
      <c r="J890" s="1280">
        <v>1.6849929490736174E-2</v>
      </c>
      <c r="K890" s="1271">
        <v>2.9096568022246218E-3</v>
      </c>
      <c r="L890" s="1257">
        <v>2.0000010815717419E-3</v>
      </c>
      <c r="M890" s="1230">
        <v>2.0000010815717419E-3</v>
      </c>
      <c r="N890" s="1271">
        <v>2.5182025190076267E-2</v>
      </c>
      <c r="O890" s="1257">
        <v>1.4199091744058784E-2</v>
      </c>
      <c r="P890" s="1237">
        <v>7.0995458720293919E-3</v>
      </c>
      <c r="Q890" s="1292">
        <v>0.21010656286776519</v>
      </c>
    </row>
    <row r="891" spans="1:17" s="212" customFormat="1" ht="15.5" x14ac:dyDescent="0.35">
      <c r="A891" s="198">
        <v>2031</v>
      </c>
      <c r="B891" s="197" t="s">
        <v>5838</v>
      </c>
      <c r="C891" s="197">
        <v>1976</v>
      </c>
      <c r="D891" s="225" t="str">
        <f t="shared" si="9"/>
        <v>2031_1976</v>
      </c>
      <c r="E891" s="1291">
        <v>0.2979621925834619</v>
      </c>
      <c r="F891" s="1280">
        <v>1.1953354686488065</v>
      </c>
      <c r="G891" s="1271">
        <v>4.862750718694631</v>
      </c>
      <c r="H891" s="1280">
        <v>3.0735887849455485</v>
      </c>
      <c r="I891" s="1271">
        <v>0.20101744596302323</v>
      </c>
      <c r="J891" s="1280">
        <v>1.6849929490736174E-2</v>
      </c>
      <c r="K891" s="1271">
        <v>2.9096568022246218E-3</v>
      </c>
      <c r="L891" s="1257">
        <v>2.0000010815717419E-3</v>
      </c>
      <c r="M891" s="1230">
        <v>2.0000010815717419E-3</v>
      </c>
      <c r="N891" s="1271">
        <v>2.5182025190076267E-2</v>
      </c>
      <c r="O891" s="1257">
        <v>1.4199091744058784E-2</v>
      </c>
      <c r="P891" s="1237">
        <v>7.0995458720293919E-3</v>
      </c>
      <c r="Q891" s="1292">
        <v>0.21010656286776519</v>
      </c>
    </row>
    <row r="892" spans="1:17" s="212" customFormat="1" ht="15.5" x14ac:dyDescent="0.35">
      <c r="A892" s="198">
        <v>2031</v>
      </c>
      <c r="B892" s="197" t="s">
        <v>5838</v>
      </c>
      <c r="C892" s="197">
        <v>1977</v>
      </c>
      <c r="D892" s="225" t="str">
        <f t="shared" si="9"/>
        <v>2031_1977</v>
      </c>
      <c r="E892" s="1291">
        <v>0.2979621925834619</v>
      </c>
      <c r="F892" s="1280">
        <v>1.1953354686488065</v>
      </c>
      <c r="G892" s="1271">
        <v>4.862750718694631</v>
      </c>
      <c r="H892" s="1280">
        <v>3.0735887849455485</v>
      </c>
      <c r="I892" s="1271">
        <v>0.20101744596302323</v>
      </c>
      <c r="J892" s="1280">
        <v>1.6849929490736174E-2</v>
      </c>
      <c r="K892" s="1271">
        <v>2.9096568022246218E-3</v>
      </c>
      <c r="L892" s="1257">
        <v>2.0000010815717419E-3</v>
      </c>
      <c r="M892" s="1230">
        <v>2.0000010815717419E-3</v>
      </c>
      <c r="N892" s="1271">
        <v>2.5182025190076267E-2</v>
      </c>
      <c r="O892" s="1257">
        <v>1.4199091744058784E-2</v>
      </c>
      <c r="P892" s="1237">
        <v>7.0995458720293919E-3</v>
      </c>
      <c r="Q892" s="1292">
        <v>0.21010656286776519</v>
      </c>
    </row>
    <row r="893" spans="1:17" s="212" customFormat="1" ht="15.5" x14ac:dyDescent="0.35">
      <c r="A893" s="198">
        <v>2031</v>
      </c>
      <c r="B893" s="197" t="s">
        <v>5838</v>
      </c>
      <c r="C893" s="197">
        <v>1978</v>
      </c>
      <c r="D893" s="225" t="str">
        <f t="shared" si="9"/>
        <v>2031_1978</v>
      </c>
      <c r="E893" s="1291">
        <v>0.2979621925834619</v>
      </c>
      <c r="F893" s="1280">
        <v>1.1953354686488065</v>
      </c>
      <c r="G893" s="1271">
        <v>4.862750718694631</v>
      </c>
      <c r="H893" s="1280">
        <v>3.0735887849455485</v>
      </c>
      <c r="I893" s="1271">
        <v>0.20101744596302323</v>
      </c>
      <c r="J893" s="1280">
        <v>1.6849929490736174E-2</v>
      </c>
      <c r="K893" s="1271">
        <v>2.9096568022246218E-3</v>
      </c>
      <c r="L893" s="1257">
        <v>2.0000010815717419E-3</v>
      </c>
      <c r="M893" s="1230">
        <v>2.0000010815717419E-3</v>
      </c>
      <c r="N893" s="1271">
        <v>2.5182025190076267E-2</v>
      </c>
      <c r="O893" s="1257">
        <v>1.4199091744058784E-2</v>
      </c>
      <c r="P893" s="1237">
        <v>7.0995458720293919E-3</v>
      </c>
      <c r="Q893" s="1292">
        <v>0.21010656286776519</v>
      </c>
    </row>
    <row r="894" spans="1:17" s="212" customFormat="1" ht="15.5" x14ac:dyDescent="0.35">
      <c r="A894" s="198">
        <v>2031</v>
      </c>
      <c r="B894" s="197" t="s">
        <v>5838</v>
      </c>
      <c r="C894" s="197">
        <v>1979</v>
      </c>
      <c r="D894" s="225" t="str">
        <f t="shared" si="9"/>
        <v>2031_1979</v>
      </c>
      <c r="E894" s="1291">
        <v>0.2979621925834619</v>
      </c>
      <c r="F894" s="1280">
        <v>1.1953354686488065</v>
      </c>
      <c r="G894" s="1271">
        <v>4.862750718694631</v>
      </c>
      <c r="H894" s="1280">
        <v>3.0735887849455485</v>
      </c>
      <c r="I894" s="1271">
        <v>0.20101744596302323</v>
      </c>
      <c r="J894" s="1280">
        <v>1.6849929490736174E-2</v>
      </c>
      <c r="K894" s="1271">
        <v>2.9096568022246218E-3</v>
      </c>
      <c r="L894" s="1257">
        <v>2.0000010815717419E-3</v>
      </c>
      <c r="M894" s="1230">
        <v>2.0000010815717419E-3</v>
      </c>
      <c r="N894" s="1271">
        <v>2.5182025190076267E-2</v>
      </c>
      <c r="O894" s="1257">
        <v>1.4199091744058784E-2</v>
      </c>
      <c r="P894" s="1237">
        <v>7.0995458720293919E-3</v>
      </c>
      <c r="Q894" s="1292">
        <v>0.21010656286776519</v>
      </c>
    </row>
    <row r="895" spans="1:17" s="212" customFormat="1" ht="15.5" x14ac:dyDescent="0.35">
      <c r="A895" s="198">
        <v>2031</v>
      </c>
      <c r="B895" s="197" t="s">
        <v>5838</v>
      </c>
      <c r="C895" s="197">
        <v>1980</v>
      </c>
      <c r="D895" s="225" t="str">
        <f t="shared" si="9"/>
        <v>2031_1980</v>
      </c>
      <c r="E895" s="1291">
        <v>0.2979621925834619</v>
      </c>
      <c r="F895" s="1280">
        <v>1.1953354686488065</v>
      </c>
      <c r="G895" s="1271">
        <v>4.862750718694631</v>
      </c>
      <c r="H895" s="1280">
        <v>3.0735887849455485</v>
      </c>
      <c r="I895" s="1271">
        <v>0.20101744596302323</v>
      </c>
      <c r="J895" s="1280">
        <v>1.6849929490736174E-2</v>
      </c>
      <c r="K895" s="1271">
        <v>2.9096568022246218E-3</v>
      </c>
      <c r="L895" s="1257">
        <v>2.0000010815717419E-3</v>
      </c>
      <c r="M895" s="1230">
        <v>2.0000010815717419E-3</v>
      </c>
      <c r="N895" s="1271">
        <v>2.5182025190076267E-2</v>
      </c>
      <c r="O895" s="1257">
        <v>1.4199091744058784E-2</v>
      </c>
      <c r="P895" s="1237">
        <v>7.0995458720293919E-3</v>
      </c>
      <c r="Q895" s="1292">
        <v>0.21010656286776519</v>
      </c>
    </row>
    <row r="896" spans="1:17" s="212" customFormat="1" ht="15.5" x14ac:dyDescent="0.35">
      <c r="A896" s="198">
        <v>2031</v>
      </c>
      <c r="B896" s="197" t="s">
        <v>5838</v>
      </c>
      <c r="C896" s="197">
        <v>1981</v>
      </c>
      <c r="D896" s="225" t="str">
        <f t="shared" si="9"/>
        <v>2031_1981</v>
      </c>
      <c r="E896" s="1291">
        <v>0.2979621925834619</v>
      </c>
      <c r="F896" s="1280">
        <v>1.1953354686488065</v>
      </c>
      <c r="G896" s="1271">
        <v>4.862750718694631</v>
      </c>
      <c r="H896" s="1280">
        <v>3.0735887849455485</v>
      </c>
      <c r="I896" s="1271">
        <v>0.20101744596302323</v>
      </c>
      <c r="J896" s="1280">
        <v>1.6849929490736174E-2</v>
      </c>
      <c r="K896" s="1271">
        <v>2.9096568022246218E-3</v>
      </c>
      <c r="L896" s="1257">
        <v>2.0000010815717419E-3</v>
      </c>
      <c r="M896" s="1230">
        <v>2.0000010815717419E-3</v>
      </c>
      <c r="N896" s="1271">
        <v>2.5182025190076267E-2</v>
      </c>
      <c r="O896" s="1257">
        <v>1.4199091744058784E-2</v>
      </c>
      <c r="P896" s="1237">
        <v>7.0995458720293919E-3</v>
      </c>
      <c r="Q896" s="1292">
        <v>0.21010656286776519</v>
      </c>
    </row>
    <row r="897" spans="1:17" s="212" customFormat="1" ht="15.5" x14ac:dyDescent="0.35">
      <c r="A897" s="198">
        <v>2031</v>
      </c>
      <c r="B897" s="197" t="s">
        <v>5838</v>
      </c>
      <c r="C897" s="197">
        <v>1982</v>
      </c>
      <c r="D897" s="225" t="str">
        <f t="shared" si="9"/>
        <v>2031_1982</v>
      </c>
      <c r="E897" s="1291">
        <v>0.2979621925834619</v>
      </c>
      <c r="F897" s="1280">
        <v>1.1953354686488065</v>
      </c>
      <c r="G897" s="1271">
        <v>4.862750718694631</v>
      </c>
      <c r="H897" s="1280">
        <v>3.0735887849455485</v>
      </c>
      <c r="I897" s="1271">
        <v>0.20101744596302323</v>
      </c>
      <c r="J897" s="1280">
        <v>1.6849929490736174E-2</v>
      </c>
      <c r="K897" s="1271">
        <v>2.9096568022246218E-3</v>
      </c>
      <c r="L897" s="1257">
        <v>2.0000010815717419E-3</v>
      </c>
      <c r="M897" s="1230">
        <v>2.0000010815717419E-3</v>
      </c>
      <c r="N897" s="1271">
        <v>2.5182025190076267E-2</v>
      </c>
      <c r="O897" s="1257">
        <v>1.4199091744058784E-2</v>
      </c>
      <c r="P897" s="1237">
        <v>7.0995458720293919E-3</v>
      </c>
      <c r="Q897" s="1292">
        <v>0.21010656286776519</v>
      </c>
    </row>
    <row r="898" spans="1:17" s="212" customFormat="1" ht="15.5" x14ac:dyDescent="0.35">
      <c r="A898" s="198">
        <v>2031</v>
      </c>
      <c r="B898" s="197" t="s">
        <v>5838</v>
      </c>
      <c r="C898" s="197">
        <v>1983</v>
      </c>
      <c r="D898" s="225" t="str">
        <f t="shared" si="9"/>
        <v>2031_1983</v>
      </c>
      <c r="E898" s="1291">
        <v>0.2979621925834619</v>
      </c>
      <c r="F898" s="1280">
        <v>1.1953354686488065</v>
      </c>
      <c r="G898" s="1271">
        <v>4.862750718694631</v>
      </c>
      <c r="H898" s="1280">
        <v>3.0735887849455485</v>
      </c>
      <c r="I898" s="1271">
        <v>0.20101744596302323</v>
      </c>
      <c r="J898" s="1280">
        <v>1.6849929490736174E-2</v>
      </c>
      <c r="K898" s="1271">
        <v>2.9096568022246218E-3</v>
      </c>
      <c r="L898" s="1257">
        <v>2.0000010815717419E-3</v>
      </c>
      <c r="M898" s="1230">
        <v>2.0000010815717419E-3</v>
      </c>
      <c r="N898" s="1271">
        <v>2.5182025190076267E-2</v>
      </c>
      <c r="O898" s="1257">
        <v>1.4199091744058784E-2</v>
      </c>
      <c r="P898" s="1237">
        <v>7.0995458720293919E-3</v>
      </c>
      <c r="Q898" s="1292">
        <v>0.21010656286776519</v>
      </c>
    </row>
    <row r="899" spans="1:17" s="212" customFormat="1" ht="15.5" x14ac:dyDescent="0.35">
      <c r="A899" s="198">
        <v>2031</v>
      </c>
      <c r="B899" s="197" t="s">
        <v>5838</v>
      </c>
      <c r="C899" s="197">
        <v>1984</v>
      </c>
      <c r="D899" s="225" t="str">
        <f t="shared" si="9"/>
        <v>2031_1984</v>
      </c>
      <c r="E899" s="1291">
        <v>0.2979621925834619</v>
      </c>
      <c r="F899" s="1280">
        <v>1.1953354686488065</v>
      </c>
      <c r="G899" s="1271">
        <v>4.862750718694631</v>
      </c>
      <c r="H899" s="1280">
        <v>3.0735887849455485</v>
      </c>
      <c r="I899" s="1271">
        <v>0.20101744596302323</v>
      </c>
      <c r="J899" s="1280">
        <v>1.6849929490736174E-2</v>
      </c>
      <c r="K899" s="1271">
        <v>2.9096568022246218E-3</v>
      </c>
      <c r="L899" s="1257">
        <v>2.0000010815717419E-3</v>
      </c>
      <c r="M899" s="1230">
        <v>2.0000010815717419E-3</v>
      </c>
      <c r="N899" s="1271">
        <v>2.5182025190076267E-2</v>
      </c>
      <c r="O899" s="1257">
        <v>1.4199091744058784E-2</v>
      </c>
      <c r="P899" s="1237">
        <v>7.0995458720293919E-3</v>
      </c>
      <c r="Q899" s="1292">
        <v>0.21010656286776519</v>
      </c>
    </row>
    <row r="900" spans="1:17" s="212" customFormat="1" ht="15.5" x14ac:dyDescent="0.35">
      <c r="A900" s="198">
        <v>2031</v>
      </c>
      <c r="B900" s="197" t="s">
        <v>5838</v>
      </c>
      <c r="C900" s="197">
        <v>1985</v>
      </c>
      <c r="D900" s="225" t="str">
        <f t="shared" si="9"/>
        <v>2031_1985</v>
      </c>
      <c r="E900" s="1291">
        <v>0.2979621925834619</v>
      </c>
      <c r="F900" s="1280">
        <v>1.1953354686488065</v>
      </c>
      <c r="G900" s="1271">
        <v>4.862750718694631</v>
      </c>
      <c r="H900" s="1280">
        <v>3.0735887849455485</v>
      </c>
      <c r="I900" s="1271">
        <v>0.20101744596302323</v>
      </c>
      <c r="J900" s="1280">
        <v>1.6849929490736174E-2</v>
      </c>
      <c r="K900" s="1271">
        <v>2.9096568022246218E-3</v>
      </c>
      <c r="L900" s="1257">
        <v>2.0000010815717419E-3</v>
      </c>
      <c r="M900" s="1230">
        <v>2.0000010815717419E-3</v>
      </c>
      <c r="N900" s="1271">
        <v>2.5182025190076267E-2</v>
      </c>
      <c r="O900" s="1257">
        <v>1.4199091744058784E-2</v>
      </c>
      <c r="P900" s="1237">
        <v>7.0995458720293919E-3</v>
      </c>
      <c r="Q900" s="1292">
        <v>0.21010656286776519</v>
      </c>
    </row>
    <row r="901" spans="1:17" s="212" customFormat="1" ht="15.5" x14ac:dyDescent="0.35">
      <c r="A901" s="198">
        <v>2031</v>
      </c>
      <c r="B901" s="197" t="s">
        <v>5838</v>
      </c>
      <c r="C901" s="197">
        <v>1986</v>
      </c>
      <c r="D901" s="225" t="str">
        <f t="shared" si="9"/>
        <v>2031_1986</v>
      </c>
      <c r="E901" s="1291">
        <v>0.2979621925834619</v>
      </c>
      <c r="F901" s="1280">
        <v>1.1953354686488065</v>
      </c>
      <c r="G901" s="1271">
        <v>4.862750718694631</v>
      </c>
      <c r="H901" s="1280">
        <v>3.0735887849455485</v>
      </c>
      <c r="I901" s="1271">
        <v>0.20101744596302323</v>
      </c>
      <c r="J901" s="1280">
        <v>1.6849929490736174E-2</v>
      </c>
      <c r="K901" s="1271">
        <v>2.9096568022246218E-3</v>
      </c>
      <c r="L901" s="1257">
        <v>2.0000010815717419E-3</v>
      </c>
      <c r="M901" s="1230">
        <v>2.0000010815717419E-3</v>
      </c>
      <c r="N901" s="1271">
        <v>2.5182025190076267E-2</v>
      </c>
      <c r="O901" s="1257">
        <v>1.4199091744058784E-2</v>
      </c>
      <c r="P901" s="1237">
        <v>7.0995458720293919E-3</v>
      </c>
      <c r="Q901" s="1292">
        <v>0.21010656286776519</v>
      </c>
    </row>
    <row r="902" spans="1:17" s="212" customFormat="1" ht="15.5" x14ac:dyDescent="0.35">
      <c r="A902" s="198">
        <v>2031</v>
      </c>
      <c r="B902" s="197" t="s">
        <v>5838</v>
      </c>
      <c r="C902" s="197">
        <v>1987</v>
      </c>
      <c r="D902" s="225" t="str">
        <f t="shared" si="9"/>
        <v>2031_1987</v>
      </c>
      <c r="E902" s="1287">
        <v>0.2979621925834619</v>
      </c>
      <c r="F902" s="1306">
        <v>1.1953354686488065</v>
      </c>
      <c r="G902" s="1303">
        <v>4.862750718694631</v>
      </c>
      <c r="H902" s="1306">
        <v>3.0735887849455485</v>
      </c>
      <c r="I902" s="1303">
        <v>0.20101744596302323</v>
      </c>
      <c r="J902" s="1306">
        <v>1.6849929490736174E-2</v>
      </c>
      <c r="K902" s="1303">
        <v>2.9096568022246218E-3</v>
      </c>
      <c r="L902" s="1288">
        <v>2.0000010815717419E-3</v>
      </c>
      <c r="M902" s="1230">
        <v>2.0000010815717419E-3</v>
      </c>
      <c r="N902" s="1303">
        <v>2.5182025190076267E-2</v>
      </c>
      <c r="O902" s="1288">
        <v>1.4199091744058784E-2</v>
      </c>
      <c r="P902" s="1237">
        <v>7.0995458720293919E-3</v>
      </c>
      <c r="Q902" s="1290">
        <v>0.21010656286776519</v>
      </c>
    </row>
    <row r="903" spans="1:17" s="212" customFormat="1" ht="15.5" x14ac:dyDescent="0.35">
      <c r="A903" s="198">
        <v>2031</v>
      </c>
      <c r="B903" s="197" t="s">
        <v>5838</v>
      </c>
      <c r="C903" s="197">
        <v>1988</v>
      </c>
      <c r="D903" s="225" t="str">
        <f t="shared" si="9"/>
        <v>2031_1988</v>
      </c>
      <c r="E903" s="1287">
        <v>0.29561929736273229</v>
      </c>
      <c r="F903" s="1306">
        <v>0.50343338754376621</v>
      </c>
      <c r="G903" s="1303">
        <v>4.951369897290677</v>
      </c>
      <c r="H903" s="1306">
        <v>1.664640874061716</v>
      </c>
      <c r="I903" s="1303">
        <v>0.19982123837473204</v>
      </c>
      <c r="J903" s="1306">
        <v>1.6220286397426172E-2</v>
      </c>
      <c r="K903" s="1303">
        <v>2.9290382087649846E-3</v>
      </c>
      <c r="L903" s="1288">
        <v>2.0000010949930533E-3</v>
      </c>
      <c r="M903" s="1230">
        <v>2.0000010949930533E-3</v>
      </c>
      <c r="N903" s="1303">
        <v>2.5646532949179058E-2</v>
      </c>
      <c r="O903" s="1288">
        <v>1.4071069626314136E-2</v>
      </c>
      <c r="P903" s="1237">
        <v>7.0355348131570681E-3</v>
      </c>
      <c r="Q903" s="1290">
        <v>0.20885626808042496</v>
      </c>
    </row>
    <row r="904" spans="1:17" s="212" customFormat="1" ht="15.5" x14ac:dyDescent="0.35">
      <c r="A904" s="198">
        <v>2031</v>
      </c>
      <c r="B904" s="197" t="s">
        <v>5838</v>
      </c>
      <c r="C904" s="197">
        <v>1989</v>
      </c>
      <c r="D904" s="225" t="str">
        <f t="shared" si="9"/>
        <v>2031_1989</v>
      </c>
      <c r="E904" s="1287">
        <v>0.29996772279797712</v>
      </c>
      <c r="F904" s="1306">
        <v>0.4454925784838073</v>
      </c>
      <c r="G904" s="1303">
        <v>4.7247254818892692</v>
      </c>
      <c r="H904" s="1306">
        <v>1.8870994831080743</v>
      </c>
      <c r="I904" s="1303">
        <v>0.20167131032057922</v>
      </c>
      <c r="J904" s="1306">
        <v>1.6381726584761339E-2</v>
      </c>
      <c r="K904" s="1303">
        <v>2.875045268842464E-3</v>
      </c>
      <c r="L904" s="1288">
        <v>2.0000011441167944E-3</v>
      </c>
      <c r="M904" s="1230">
        <v>2.0000011441167944E-3</v>
      </c>
      <c r="N904" s="1303">
        <v>2.4378818674182977E-2</v>
      </c>
      <c r="O904" s="1288">
        <v>1.3050855154952313E-2</v>
      </c>
      <c r="P904" s="1237">
        <v>6.5254275774761566E-3</v>
      </c>
      <c r="Q904" s="1290">
        <v>0.21078999207009072</v>
      </c>
    </row>
    <row r="905" spans="1:17" s="212" customFormat="1" ht="15.5" x14ac:dyDescent="0.35">
      <c r="A905" s="198">
        <v>2031</v>
      </c>
      <c r="B905" s="197" t="s">
        <v>5838</v>
      </c>
      <c r="C905" s="197">
        <v>1990</v>
      </c>
      <c r="D905" s="225" t="str">
        <f t="shared" si="9"/>
        <v>2031_1990</v>
      </c>
      <c r="E905" s="1287">
        <v>0.30010548545206811</v>
      </c>
      <c r="F905" s="1306">
        <v>0.48910386573820996</v>
      </c>
      <c r="G905" s="1303">
        <v>4.8535220378738586</v>
      </c>
      <c r="H905" s="1306">
        <v>1.8680676108899648</v>
      </c>
      <c r="I905" s="1303">
        <v>0.20260943054817962</v>
      </c>
      <c r="J905" s="1306">
        <v>1.6559233299802956E-2</v>
      </c>
      <c r="K905" s="1303">
        <v>2.9157441949379309E-3</v>
      </c>
      <c r="L905" s="1288">
        <v>2.0000010934704978E-3</v>
      </c>
      <c r="M905" s="1230">
        <v>2.0000010934704978E-3</v>
      </c>
      <c r="N905" s="1303">
        <v>2.5328300379619854E-2</v>
      </c>
      <c r="O905" s="1288">
        <v>1.2533960516479875E-2</v>
      </c>
      <c r="P905" s="1237">
        <v>6.2669802582399374E-3</v>
      </c>
      <c r="Q905" s="1290">
        <v>0.21177052993153517</v>
      </c>
    </row>
    <row r="906" spans="1:17" s="212" customFormat="1" ht="15.5" x14ac:dyDescent="0.35">
      <c r="A906" s="198">
        <v>2031</v>
      </c>
      <c r="B906" s="197" t="s">
        <v>5838</v>
      </c>
      <c r="C906" s="197">
        <v>1991</v>
      </c>
      <c r="D906" s="225" t="str">
        <f t="shared" si="9"/>
        <v>2031_1991</v>
      </c>
      <c r="E906" s="1287">
        <v>0.37777511769521849</v>
      </c>
      <c r="F906" s="1306">
        <v>0.50129357254281059</v>
      </c>
      <c r="G906" s="1303">
        <v>8.7791976192602039</v>
      </c>
      <c r="H906" s="1306">
        <v>2.3206170217372422</v>
      </c>
      <c r="I906" s="1303">
        <v>6.1422259401908597E-2</v>
      </c>
      <c r="J906" s="1306">
        <v>9.2639134604271534E-3</v>
      </c>
      <c r="K906" s="1303">
        <v>2.9516726477915728E-3</v>
      </c>
      <c r="L906" s="1288">
        <v>2.0000011175636545E-3</v>
      </c>
      <c r="M906" s="1230">
        <v>2.0000011175636545E-3</v>
      </c>
      <c r="N906" s="1303">
        <v>2.6162331930560015E-2</v>
      </c>
      <c r="O906" s="1288">
        <v>1.1696630228672424E-2</v>
      </c>
      <c r="P906" s="1237">
        <v>5.8483151143362121E-3</v>
      </c>
      <c r="Q906" s="1290">
        <v>6.4199501414823473E-2</v>
      </c>
    </row>
    <row r="907" spans="1:17" s="212" customFormat="1" ht="15.5" x14ac:dyDescent="0.35">
      <c r="A907" s="198">
        <v>2031</v>
      </c>
      <c r="B907" s="197" t="s">
        <v>5838</v>
      </c>
      <c r="C907" s="197">
        <v>1992</v>
      </c>
      <c r="D907" s="225" t="str">
        <f t="shared" si="9"/>
        <v>2031_1992</v>
      </c>
      <c r="E907" s="1287">
        <v>0.37787610942898708</v>
      </c>
      <c r="F907" s="1306">
        <v>0.50127171069961207</v>
      </c>
      <c r="G907" s="1303">
        <v>8.4271816861342241</v>
      </c>
      <c r="H907" s="1306">
        <v>2.2210687418466342</v>
      </c>
      <c r="I907" s="1303">
        <v>6.8074407388314301E-2</v>
      </c>
      <c r="J907" s="1306">
        <v>9.4285030889023139E-3</v>
      </c>
      <c r="K907" s="1303">
        <v>2.9104895898827642E-3</v>
      </c>
      <c r="L907" s="1288">
        <v>2.0000011474959976E-3</v>
      </c>
      <c r="M907" s="1230">
        <v>2.0000011474959976E-3</v>
      </c>
      <c r="N907" s="1303">
        <v>2.5194618107713194E-2</v>
      </c>
      <c r="O907" s="1288">
        <v>9.7382566695835421E-3</v>
      </c>
      <c r="P907" s="1237">
        <v>4.869128334791771E-3</v>
      </c>
      <c r="Q907" s="1290">
        <v>7.115243001470492E-2</v>
      </c>
    </row>
    <row r="908" spans="1:17" s="212" customFormat="1" ht="15.5" x14ac:dyDescent="0.35">
      <c r="A908" s="198">
        <v>2031</v>
      </c>
      <c r="B908" s="197" t="s">
        <v>5838</v>
      </c>
      <c r="C908" s="197">
        <v>1993</v>
      </c>
      <c r="D908" s="225" t="str">
        <f t="shared" si="9"/>
        <v>2031_1993</v>
      </c>
      <c r="E908" s="1287">
        <v>0.37537125027426016</v>
      </c>
      <c r="F908" s="1306">
        <v>0.50538465008814992</v>
      </c>
      <c r="G908" s="1303">
        <v>8.9593277810981498</v>
      </c>
      <c r="H908" s="1306">
        <v>2.2418957726549027</v>
      </c>
      <c r="I908" s="1303">
        <v>5.4079201781665712E-2</v>
      </c>
      <c r="J908" s="1306">
        <v>9.4443046232642117E-3</v>
      </c>
      <c r="K908" s="1303">
        <v>2.9778500287117398E-3</v>
      </c>
      <c r="L908" s="1288">
        <v>2.0000011321665984E-3</v>
      </c>
      <c r="M908" s="1230">
        <v>2.0000011321665984E-3</v>
      </c>
      <c r="N908" s="1303">
        <v>2.6780467991714178E-2</v>
      </c>
      <c r="O908" s="1288">
        <v>1.0697474304853863E-2</v>
      </c>
      <c r="P908" s="1237">
        <v>5.3487371524269314E-3</v>
      </c>
      <c r="Q908" s="1290">
        <v>5.6524423313328832E-2</v>
      </c>
    </row>
    <row r="909" spans="1:17" s="212" customFormat="1" ht="15.5" x14ac:dyDescent="0.35">
      <c r="A909" s="198">
        <v>2031</v>
      </c>
      <c r="B909" s="197" t="s">
        <v>5838</v>
      </c>
      <c r="C909" s="197">
        <v>1994</v>
      </c>
      <c r="D909" s="225" t="str">
        <f t="shared" si="9"/>
        <v>2031_1994</v>
      </c>
      <c r="E909" s="1287">
        <v>0.35086566664522745</v>
      </c>
      <c r="F909" s="1306">
        <v>0.50334321330660259</v>
      </c>
      <c r="G909" s="1303">
        <v>8.4079961004656472</v>
      </c>
      <c r="H909" s="1306">
        <v>2.0998200554708064</v>
      </c>
      <c r="I909" s="1303">
        <v>5.411986231410388E-2</v>
      </c>
      <c r="J909" s="1306">
        <v>9.6256594766042005E-3</v>
      </c>
      <c r="K909" s="1303">
        <v>2.8997128618141821E-3</v>
      </c>
      <c r="L909" s="1288">
        <v>2.0000013103237788E-3</v>
      </c>
      <c r="M909" s="1230">
        <v>2.0000013103237788E-3</v>
      </c>
      <c r="N909" s="1303">
        <v>2.4933929838468847E-2</v>
      </c>
      <c r="O909" s="1288">
        <v>7.9173495188846563E-3</v>
      </c>
      <c r="P909" s="1237">
        <v>3.9586747594423282E-3</v>
      </c>
      <c r="Q909" s="1290">
        <v>5.656692233461548E-2</v>
      </c>
    </row>
    <row r="910" spans="1:17" s="212" customFormat="1" ht="15.5" x14ac:dyDescent="0.35">
      <c r="A910" s="198">
        <v>2031</v>
      </c>
      <c r="B910" s="197" t="s">
        <v>5838</v>
      </c>
      <c r="C910" s="197">
        <v>1995</v>
      </c>
      <c r="D910" s="225" t="str">
        <f t="shared" si="9"/>
        <v>2031_1995</v>
      </c>
      <c r="E910" s="1287">
        <v>0.37149458284710385</v>
      </c>
      <c r="F910" s="1306">
        <v>0.37393459337528218</v>
      </c>
      <c r="G910" s="1303">
        <v>9.1371309071840674</v>
      </c>
      <c r="H910" s="1306">
        <v>1.6575362487137666</v>
      </c>
      <c r="I910" s="1303">
        <v>5.3720337399452409E-2</v>
      </c>
      <c r="J910" s="1306">
        <v>8.6594986914440095E-3</v>
      </c>
      <c r="K910" s="1303">
        <v>2.9866010242595446E-3</v>
      </c>
      <c r="L910" s="1288">
        <v>2.0000012103276684E-3</v>
      </c>
      <c r="M910" s="1230">
        <v>2.0000012103276684E-3</v>
      </c>
      <c r="N910" s="1303">
        <v>2.6986224031762263E-2</v>
      </c>
      <c r="O910" s="1288">
        <v>1.0229058859191184E-2</v>
      </c>
      <c r="P910" s="1237">
        <v>5.1145294295955922E-3</v>
      </c>
      <c r="Q910" s="1290">
        <v>5.6149332676189025E-2</v>
      </c>
    </row>
    <row r="911" spans="1:17" s="212" customFormat="1" ht="15.5" x14ac:dyDescent="0.35">
      <c r="A911" s="198">
        <v>2031</v>
      </c>
      <c r="B911" s="197" t="s">
        <v>5838</v>
      </c>
      <c r="C911" s="197">
        <v>1996</v>
      </c>
      <c r="D911" s="225" t="str">
        <f t="shared" si="9"/>
        <v>2031_1996</v>
      </c>
      <c r="E911" s="1287">
        <v>0.37503869154043501</v>
      </c>
      <c r="F911" s="1306">
        <v>0.12593688044479645</v>
      </c>
      <c r="G911" s="1303">
        <v>9.1598356738254214</v>
      </c>
      <c r="H911" s="1306">
        <v>0.98324939493579966</v>
      </c>
      <c r="I911" s="1303">
        <v>5.396119305663663E-2</v>
      </c>
      <c r="J911" s="1306">
        <v>2.7011128249227762E-3</v>
      </c>
      <c r="K911" s="1303">
        <v>2.9933284361320441E-3</v>
      </c>
      <c r="L911" s="1288">
        <v>2.0000011923990355E-3</v>
      </c>
      <c r="M911" s="1230">
        <v>2.0000011923990355E-3</v>
      </c>
      <c r="N911" s="1303">
        <v>2.7142656313960477E-2</v>
      </c>
      <c r="O911" s="1288">
        <v>1.0265578393157728E-2</v>
      </c>
      <c r="P911" s="1237">
        <v>5.1327891965788639E-3</v>
      </c>
      <c r="Q911" s="1290">
        <v>5.6401078757409871E-2</v>
      </c>
    </row>
    <row r="912" spans="1:17" s="212" customFormat="1" ht="15.5" x14ac:dyDescent="0.35">
      <c r="A912" s="198">
        <v>2031</v>
      </c>
      <c r="B912" s="197" t="s">
        <v>5838</v>
      </c>
      <c r="C912" s="197">
        <v>1997</v>
      </c>
      <c r="D912" s="225" t="str">
        <f t="shared" si="9"/>
        <v>2031_1997</v>
      </c>
      <c r="E912" s="1287">
        <v>0.37744385500881694</v>
      </c>
      <c r="F912" s="1306">
        <v>0.1255682620459343</v>
      </c>
      <c r="G912" s="1303">
        <v>9.1743777884423512</v>
      </c>
      <c r="H912" s="1306">
        <v>0.98370257986132426</v>
      </c>
      <c r="I912" s="1303">
        <v>5.4125117853757169E-2</v>
      </c>
      <c r="J912" s="1306">
        <v>2.6964661742725415E-3</v>
      </c>
      <c r="K912" s="1303">
        <v>2.9979581626448054E-3</v>
      </c>
      <c r="L912" s="1288">
        <v>2.0000011770122893E-3</v>
      </c>
      <c r="M912" s="1230">
        <v>2.0000011770122893E-3</v>
      </c>
      <c r="N912" s="1303">
        <v>2.7252164206349745E-2</v>
      </c>
      <c r="O912" s="1288">
        <v>1.0245135180784119E-2</v>
      </c>
      <c r="P912" s="1237">
        <v>5.1225675903920596E-3</v>
      </c>
      <c r="Q912" s="1290">
        <v>5.6572415506450723E-2</v>
      </c>
    </row>
    <row r="913" spans="1:17" s="212" customFormat="1" ht="15.5" x14ac:dyDescent="0.35">
      <c r="A913" s="198">
        <v>2031</v>
      </c>
      <c r="B913" s="197" t="s">
        <v>5838</v>
      </c>
      <c r="C913" s="197">
        <v>1998</v>
      </c>
      <c r="D913" s="225" t="str">
        <f t="shared" si="9"/>
        <v>2031_1998</v>
      </c>
      <c r="E913" s="1287">
        <v>0.37689490369567946</v>
      </c>
      <c r="F913" s="1306">
        <v>0.12858826794423492</v>
      </c>
      <c r="G913" s="1303">
        <v>9.1825357246325989</v>
      </c>
      <c r="H913" s="1306">
        <v>1.004698503650568</v>
      </c>
      <c r="I913" s="1303">
        <v>5.4043011482251005E-2</v>
      </c>
      <c r="J913" s="1306">
        <v>2.7351336729588478E-3</v>
      </c>
      <c r="K913" s="1303">
        <v>2.9979813740336992E-3</v>
      </c>
      <c r="L913" s="1288">
        <v>2.0000012581698136E-3</v>
      </c>
      <c r="M913" s="1230">
        <v>2.0000012581698136E-3</v>
      </c>
      <c r="N913" s="1303">
        <v>2.7252114239456133E-2</v>
      </c>
      <c r="O913" s="1288">
        <v>8.6838698552920788E-3</v>
      </c>
      <c r="P913" s="1237">
        <v>4.3419349276460394E-3</v>
      </c>
      <c r="Q913" s="1290">
        <v>5.6486596649166679E-2</v>
      </c>
    </row>
    <row r="914" spans="1:17" s="212" customFormat="1" ht="15.5" x14ac:dyDescent="0.35">
      <c r="A914" s="198">
        <v>2031</v>
      </c>
      <c r="B914" s="197" t="s">
        <v>5838</v>
      </c>
      <c r="C914" s="197">
        <v>1999</v>
      </c>
      <c r="D914" s="225" t="str">
        <f t="shared" si="9"/>
        <v>2031_1999</v>
      </c>
      <c r="E914" s="1287">
        <v>0.37737827754795439</v>
      </c>
      <c r="F914" s="1306">
        <v>0.12622672327412696</v>
      </c>
      <c r="G914" s="1303">
        <v>9.1952021988281718</v>
      </c>
      <c r="H914" s="1306">
        <v>0.99505863623137503</v>
      </c>
      <c r="I914" s="1303">
        <v>5.406928592917272E-2</v>
      </c>
      <c r="J914" s="1306">
        <v>2.7608189195232535E-3</v>
      </c>
      <c r="K914" s="1303">
        <v>2.9991570691568349E-3</v>
      </c>
      <c r="L914" s="1288">
        <v>2.0000013167733037E-3</v>
      </c>
      <c r="M914" s="1230">
        <v>2.0000013167733037E-3</v>
      </c>
      <c r="N914" s="1303">
        <v>2.7280257581861096E-2</v>
      </c>
      <c r="O914" s="1288">
        <v>8.3395509047761544E-3</v>
      </c>
      <c r="P914" s="1237">
        <v>4.1697754523880772E-3</v>
      </c>
      <c r="Q914" s="1290">
        <v>5.6514059109986969E-2</v>
      </c>
    </row>
    <row r="915" spans="1:17" s="212" customFormat="1" ht="15.5" x14ac:dyDescent="0.35">
      <c r="A915" s="198">
        <v>2031</v>
      </c>
      <c r="B915" s="197" t="s">
        <v>5838</v>
      </c>
      <c r="C915" s="197">
        <v>2000</v>
      </c>
      <c r="D915" s="225" t="str">
        <f t="shared" si="9"/>
        <v>2031_2000</v>
      </c>
      <c r="E915" s="1287">
        <v>0.37572151552997801</v>
      </c>
      <c r="F915" s="1306">
        <v>0.1206877882665751</v>
      </c>
      <c r="G915" s="1303">
        <v>9.2320264865747035</v>
      </c>
      <c r="H915" s="1306">
        <v>0.96732780088856474</v>
      </c>
      <c r="I915" s="1303">
        <v>5.3808254044682702E-2</v>
      </c>
      <c r="J915" s="1306">
        <v>2.757981131929591E-3</v>
      </c>
      <c r="K915" s="1303">
        <v>2.9997532777351231E-3</v>
      </c>
      <c r="L915" s="1288">
        <v>2.00000136136035E-3</v>
      </c>
      <c r="M915" s="1230">
        <v>2.00000136136035E-3</v>
      </c>
      <c r="N915" s="1303">
        <v>2.7294139190356243E-2</v>
      </c>
      <c r="O915" s="1288">
        <v>8.5895179204845754E-3</v>
      </c>
      <c r="P915" s="1237">
        <v>4.2947589602422877E-3</v>
      </c>
      <c r="Q915" s="1290">
        <v>5.624122452199224E-2</v>
      </c>
    </row>
    <row r="916" spans="1:17" s="212" customFormat="1" ht="15.5" x14ac:dyDescent="0.35">
      <c r="A916" s="198">
        <v>2031</v>
      </c>
      <c r="B916" s="197" t="s">
        <v>5838</v>
      </c>
      <c r="C916" s="197">
        <v>2001</v>
      </c>
      <c r="D916" s="225" t="str">
        <f t="shared" si="9"/>
        <v>2031_2001</v>
      </c>
      <c r="E916" s="1287">
        <v>0.37750016717308421</v>
      </c>
      <c r="F916" s="1306">
        <v>0.11798212122528536</v>
      </c>
      <c r="G916" s="1303">
        <v>9.2007399378854693</v>
      </c>
      <c r="H916" s="1306">
        <v>0.95001973468937972</v>
      </c>
      <c r="I916" s="1303">
        <v>5.4056464098143603E-2</v>
      </c>
      <c r="J916" s="1306">
        <v>2.7826417471588276E-3</v>
      </c>
      <c r="K916" s="1303">
        <v>2.9999263144470005E-3</v>
      </c>
      <c r="L916" s="1288">
        <v>2.0000013555009368E-3</v>
      </c>
      <c r="M916" s="1230">
        <v>2.0000013555009368E-3</v>
      </c>
      <c r="N916" s="1303">
        <v>2.7298269688848565E-2</v>
      </c>
      <c r="O916" s="1288">
        <v>7.8909497432198272E-3</v>
      </c>
      <c r="P916" s="1237">
        <v>3.9454748716099136E-3</v>
      </c>
      <c r="Q916" s="1290">
        <v>5.6500657532654819E-2</v>
      </c>
    </row>
    <row r="917" spans="1:17" s="212" customFormat="1" ht="15.5" x14ac:dyDescent="0.35">
      <c r="A917" s="198">
        <v>2031</v>
      </c>
      <c r="B917" s="197" t="s">
        <v>5838</v>
      </c>
      <c r="C917" s="197">
        <v>2002</v>
      </c>
      <c r="D917" s="225" t="str">
        <f t="shared" si="9"/>
        <v>2031_2002</v>
      </c>
      <c r="E917" s="1287">
        <v>0.29112721344251125</v>
      </c>
      <c r="F917" s="1306">
        <v>0.11753077836132371</v>
      </c>
      <c r="G917" s="1303">
        <v>7.1166082511371265</v>
      </c>
      <c r="H917" s="1306">
        <v>0.92132786998260929</v>
      </c>
      <c r="I917" s="1303">
        <v>5.4267694962872197E-2</v>
      </c>
      <c r="J917" s="1306">
        <v>2.7992771825987488E-3</v>
      </c>
      <c r="K917" s="1303">
        <v>2.9999395289566086E-3</v>
      </c>
      <c r="L917" s="1288">
        <v>2.000001440908129E-3</v>
      </c>
      <c r="M917" s="1230">
        <v>2.000001440908129E-3</v>
      </c>
      <c r="N917" s="1303">
        <v>2.7298580402047887E-2</v>
      </c>
      <c r="O917" s="1288">
        <v>7.3153453131443672E-3</v>
      </c>
      <c r="P917" s="1237">
        <v>3.6576726565721836E-3</v>
      </c>
      <c r="Q917" s="1290">
        <v>5.6721439319763367E-2</v>
      </c>
    </row>
    <row r="918" spans="1:17" s="212" customFormat="1" ht="15.5" x14ac:dyDescent="0.35">
      <c r="A918" s="198">
        <v>2031</v>
      </c>
      <c r="B918" s="197" t="s">
        <v>5838</v>
      </c>
      <c r="C918" s="197">
        <v>2003</v>
      </c>
      <c r="D918" s="225" t="str">
        <f t="shared" si="9"/>
        <v>2031_2003</v>
      </c>
      <c r="E918" s="1287">
        <v>0.28956205543060448</v>
      </c>
      <c r="F918" s="1306">
        <v>9.5223586489284362E-2</v>
      </c>
      <c r="G918" s="1303">
        <v>7.1427857186176613</v>
      </c>
      <c r="H918" s="1306">
        <v>0.71651225454304324</v>
      </c>
      <c r="I918" s="1303">
        <v>5.3975953134649306E-2</v>
      </c>
      <c r="J918" s="1306">
        <v>2.7856682607489414E-3</v>
      </c>
      <c r="K918" s="1303">
        <v>2.9999395630029612E-3</v>
      </c>
      <c r="L918" s="1288">
        <v>2.0000014555704004E-3</v>
      </c>
      <c r="M918" s="1230">
        <v>2.0000014555704004E-3</v>
      </c>
      <c r="N918" s="1303">
        <v>2.7298600628267979E-2</v>
      </c>
      <c r="O918" s="1288">
        <v>7.727063596468943E-3</v>
      </c>
      <c r="P918" s="1237">
        <v>3.8635317982344715E-3</v>
      </c>
      <c r="Q918" s="1290">
        <v>5.6416506220653369E-2</v>
      </c>
    </row>
    <row r="919" spans="1:17" s="212" customFormat="1" ht="15.5" x14ac:dyDescent="0.35">
      <c r="A919" s="198">
        <v>2031</v>
      </c>
      <c r="B919" s="197" t="s">
        <v>5838</v>
      </c>
      <c r="C919" s="197">
        <v>2004</v>
      </c>
      <c r="D919" s="225" t="str">
        <f t="shared" si="9"/>
        <v>2031_2004</v>
      </c>
      <c r="E919" s="1287">
        <v>0.59692712636508016</v>
      </c>
      <c r="F919" s="1306">
        <v>1.7961580450879547E-2</v>
      </c>
      <c r="G919" s="1303">
        <v>4.2108970461261794</v>
      </c>
      <c r="H919" s="1306">
        <v>0.12242148730840094</v>
      </c>
      <c r="I919" s="1303">
        <v>0.1546362308255349</v>
      </c>
      <c r="J919" s="1306">
        <v>1.866315541506466E-4</v>
      </c>
      <c r="K919" s="1303">
        <v>2.999223189745266E-3</v>
      </c>
      <c r="L919" s="1288">
        <v>2.0000015391697396E-3</v>
      </c>
      <c r="M919" s="1230">
        <v>2.0000015391697396E-3</v>
      </c>
      <c r="N919" s="1303">
        <v>2.7281730268523735E-2</v>
      </c>
      <c r="O919" s="1288">
        <v>7.1591726128243079E-3</v>
      </c>
      <c r="P919" s="1237">
        <v>3.5795863064121539E-3</v>
      </c>
      <c r="Q919" s="1290">
        <v>0.16162819499535386</v>
      </c>
    </row>
    <row r="920" spans="1:17" s="212" customFormat="1" ht="15.5" x14ac:dyDescent="0.35">
      <c r="A920" s="198">
        <v>2031</v>
      </c>
      <c r="B920" s="197" t="s">
        <v>5838</v>
      </c>
      <c r="C920" s="197">
        <v>2005</v>
      </c>
      <c r="D920" s="225" t="str">
        <f t="shared" si="9"/>
        <v>2031_2005</v>
      </c>
      <c r="E920" s="1287">
        <v>0.56432817305144944</v>
      </c>
      <c r="F920" s="1306">
        <v>1.6043452656371082E-2</v>
      </c>
      <c r="G920" s="1303">
        <v>4.0546545241593694</v>
      </c>
      <c r="H920" s="1306">
        <v>0.1068047004331391</v>
      </c>
      <c r="I920" s="1303">
        <v>0.14802276390737765</v>
      </c>
      <c r="J920" s="1306">
        <v>1.8701610455006685E-4</v>
      </c>
      <c r="K920" s="1303">
        <v>2.9361710725399398E-3</v>
      </c>
      <c r="L920" s="1288">
        <v>2.0000015499786919E-3</v>
      </c>
      <c r="M920" s="1230">
        <v>2.0000015499786919E-3</v>
      </c>
      <c r="N920" s="1303">
        <v>2.5792920988904719E-2</v>
      </c>
      <c r="O920" s="1288">
        <v>6.6114515736730032E-3</v>
      </c>
      <c r="P920" s="1237">
        <v>3.3057257868365016E-3</v>
      </c>
      <c r="Q920" s="1290">
        <v>0.15471569644998251</v>
      </c>
    </row>
    <row r="921" spans="1:17" s="212" customFormat="1" ht="15.5" x14ac:dyDescent="0.35">
      <c r="A921" s="198">
        <v>2031</v>
      </c>
      <c r="B921" s="197" t="s">
        <v>5838</v>
      </c>
      <c r="C921" s="197">
        <v>2006</v>
      </c>
      <c r="D921" s="225" t="str">
        <f t="shared" si="9"/>
        <v>2031_2006</v>
      </c>
      <c r="E921" s="1287">
        <v>0.57481828639884003</v>
      </c>
      <c r="F921" s="1306">
        <v>7.0033045725314547E-3</v>
      </c>
      <c r="G921" s="1303">
        <v>4.1087891106376935</v>
      </c>
      <c r="H921" s="1306">
        <v>8.3962186838754213E-2</v>
      </c>
      <c r="I921" s="1303">
        <v>0.15010578988052861</v>
      </c>
      <c r="J921" s="1306">
        <v>1.8207304400079909E-4</v>
      </c>
      <c r="K921" s="1303">
        <v>2.9613266900725575E-3</v>
      </c>
      <c r="L921" s="1288">
        <v>2.0000014402069728E-3</v>
      </c>
      <c r="M921" s="1230">
        <v>2.0000014402069728E-3</v>
      </c>
      <c r="N921" s="1303">
        <v>2.6386606872098737E-2</v>
      </c>
      <c r="O921" s="1288">
        <v>9.542687688155034E-3</v>
      </c>
      <c r="P921" s="1237">
        <v>4.771343844077517E-3</v>
      </c>
      <c r="Q921" s="1290">
        <v>0.15689290761434782</v>
      </c>
    </row>
    <row r="922" spans="1:17" s="212" customFormat="1" ht="15.5" x14ac:dyDescent="0.35">
      <c r="A922" s="198">
        <v>2031</v>
      </c>
      <c r="B922" s="197" t="s">
        <v>5838</v>
      </c>
      <c r="C922" s="197">
        <v>2007</v>
      </c>
      <c r="D922" s="225" t="str">
        <f t="shared" si="9"/>
        <v>2031_2007</v>
      </c>
      <c r="E922" s="1287">
        <v>0.31735398157286832</v>
      </c>
      <c r="F922" s="1306">
        <v>8.8748841610365066E-3</v>
      </c>
      <c r="G922" s="1303">
        <v>2.3087823148437892</v>
      </c>
      <c r="H922" s="1306">
        <v>6.9816721175516183E-2</v>
      </c>
      <c r="I922" s="1303">
        <v>8.2853440146161916E-2</v>
      </c>
      <c r="J922" s="1306">
        <v>1.8624501990577091E-4</v>
      </c>
      <c r="K922" s="1303">
        <v>2.9362292917106299E-3</v>
      </c>
      <c r="L922" s="1288">
        <v>2.000001470308019E-3</v>
      </c>
      <c r="M922" s="1230">
        <v>2.000001470308019E-3</v>
      </c>
      <c r="N922" s="1303">
        <v>2.5794771861243248E-2</v>
      </c>
      <c r="O922" s="1288">
        <v>6.7521647041251494E-3</v>
      </c>
      <c r="P922" s="1237">
        <v>3.3760823520625747E-3</v>
      </c>
      <c r="Q922" s="1290">
        <v>8.6599705052875883E-2</v>
      </c>
    </row>
    <row r="923" spans="1:17" s="212" customFormat="1" ht="15.5" x14ac:dyDescent="0.35">
      <c r="A923" s="198">
        <v>2031</v>
      </c>
      <c r="B923" s="197" t="s">
        <v>5838</v>
      </c>
      <c r="C923" s="197">
        <v>2008</v>
      </c>
      <c r="D923" s="225" t="str">
        <f t="shared" si="9"/>
        <v>2031_2008</v>
      </c>
      <c r="E923" s="1287">
        <v>0.32431867069287795</v>
      </c>
      <c r="F923" s="1306">
        <v>8.2711672999884536E-3</v>
      </c>
      <c r="G923" s="1303">
        <v>2.3667583479051122</v>
      </c>
      <c r="H923" s="1306">
        <v>5.2975608355937107E-2</v>
      </c>
      <c r="I923" s="1303">
        <v>8.4683439585226589E-2</v>
      </c>
      <c r="J923" s="1306">
        <v>2.1042841115646974E-4</v>
      </c>
      <c r="K923" s="1303">
        <v>2.961983904834931E-3</v>
      </c>
      <c r="L923" s="1288">
        <v>2.0000016309759754E-3</v>
      </c>
      <c r="M923" s="1230">
        <v>2.0000016309759754E-3</v>
      </c>
      <c r="N923" s="1303">
        <v>2.6403624055414646E-2</v>
      </c>
      <c r="O923" s="1288">
        <v>6.6079349298682651E-3</v>
      </c>
      <c r="P923" s="1237">
        <v>3.3039674649341325E-3</v>
      </c>
      <c r="Q923" s="1290">
        <v>8.8512448946072797E-2</v>
      </c>
    </row>
    <row r="924" spans="1:17" s="212" customFormat="1" ht="15.5" x14ac:dyDescent="0.35">
      <c r="A924" s="198">
        <v>2031</v>
      </c>
      <c r="B924" s="197" t="s">
        <v>5838</v>
      </c>
      <c r="C924" s="197">
        <v>2009</v>
      </c>
      <c r="D924" s="225" t="str">
        <f t="shared" si="9"/>
        <v>2031_2009</v>
      </c>
      <c r="E924" s="1287">
        <v>0.30964612543106368</v>
      </c>
      <c r="F924" s="1306">
        <v>7.9262743805857769E-3</v>
      </c>
      <c r="G924" s="1303">
        <v>2.2394884368062802</v>
      </c>
      <c r="H924" s="1306">
        <v>3.8508954018240678E-2</v>
      </c>
      <c r="I924" s="1303">
        <v>8.0741732550033377E-2</v>
      </c>
      <c r="J924" s="1306">
        <v>2.3929687602579412E-4</v>
      </c>
      <c r="K924" s="1303">
        <v>2.9027718207693381E-3</v>
      </c>
      <c r="L924" s="1288">
        <v>2.0000016899603761E-3</v>
      </c>
      <c r="M924" s="1230">
        <v>2.0000016899603761E-3</v>
      </c>
      <c r="N924" s="1303">
        <v>2.5009342654396558E-2</v>
      </c>
      <c r="O924" s="1288">
        <v>5.182169994710069E-3</v>
      </c>
      <c r="P924" s="1237">
        <v>2.5910849973550345E-3</v>
      </c>
      <c r="Q924" s="1290">
        <v>8.4392515409814045E-2</v>
      </c>
    </row>
    <row r="925" spans="1:17" s="212" customFormat="1" ht="15.5" x14ac:dyDescent="0.35">
      <c r="A925" s="198">
        <v>2031</v>
      </c>
      <c r="B925" s="197" t="s">
        <v>5838</v>
      </c>
      <c r="C925" s="197">
        <v>2010</v>
      </c>
      <c r="D925" s="225" t="str">
        <f t="shared" si="9"/>
        <v>2031_2010</v>
      </c>
      <c r="E925" s="1287">
        <v>6.501918265919418E-2</v>
      </c>
      <c r="F925" s="1306">
        <v>7.2755945998183441E-3</v>
      </c>
      <c r="G925" s="1303">
        <v>0.55968243413954277</v>
      </c>
      <c r="H925" s="1306">
        <v>3.631366912139021E-2</v>
      </c>
      <c r="I925" s="1303">
        <v>1.7897094259566614E-2</v>
      </c>
      <c r="J925" s="1306">
        <v>2.9540426224294826E-4</v>
      </c>
      <c r="K925" s="1303">
        <v>2.7785875984143557E-3</v>
      </c>
      <c r="L925" s="1288">
        <v>2.0000017840903807E-3</v>
      </c>
      <c r="M925" s="1230">
        <v>2.0000017840903807E-3</v>
      </c>
      <c r="N925" s="1303">
        <v>2.2079882504597265E-2</v>
      </c>
      <c r="O925" s="1288">
        <v>4.4166520547478123E-3</v>
      </c>
      <c r="P925" s="1237">
        <v>2.2083260273739061E-3</v>
      </c>
      <c r="Q925" s="1290">
        <v>1.8706321444804719E-2</v>
      </c>
    </row>
    <row r="926" spans="1:17" s="212" customFormat="1" ht="15.5" x14ac:dyDescent="0.35">
      <c r="A926" s="198">
        <v>2031</v>
      </c>
      <c r="B926" s="197" t="s">
        <v>5838</v>
      </c>
      <c r="C926" s="197">
        <v>2011</v>
      </c>
      <c r="D926" s="225" t="str">
        <f t="shared" si="9"/>
        <v>2031_2011</v>
      </c>
      <c r="E926" s="1287">
        <v>7.0448019387424232E-2</v>
      </c>
      <c r="F926" s="1306">
        <v>7.2354679989904682E-3</v>
      </c>
      <c r="G926" s="1303">
        <v>0.62142994485134395</v>
      </c>
      <c r="H926" s="1306">
        <v>3.5898257318392322E-2</v>
      </c>
      <c r="I926" s="1303">
        <v>1.9152034872408338E-2</v>
      </c>
      <c r="J926" s="1306">
        <v>3.9348845731668604E-4</v>
      </c>
      <c r="K926" s="1303">
        <v>2.8791023788438232E-3</v>
      </c>
      <c r="L926" s="1288">
        <v>2.0000017270559779E-3</v>
      </c>
      <c r="M926" s="1230">
        <v>2.0000017270559779E-3</v>
      </c>
      <c r="N926" s="1303">
        <v>2.4456371957343612E-2</v>
      </c>
      <c r="O926" s="1288">
        <v>5.2947264294690025E-3</v>
      </c>
      <c r="P926" s="1237">
        <v>2.6473632147345012E-3</v>
      </c>
      <c r="Q926" s="1290">
        <v>2.0018004903442636E-2</v>
      </c>
    </row>
    <row r="927" spans="1:17" s="212" customFormat="1" ht="15.5" x14ac:dyDescent="0.35">
      <c r="A927" s="198">
        <v>2031</v>
      </c>
      <c r="B927" s="197" t="s">
        <v>5838</v>
      </c>
      <c r="C927" s="197">
        <v>2012</v>
      </c>
      <c r="D927" s="225" t="str">
        <f t="shared" si="9"/>
        <v>2031_2012</v>
      </c>
      <c r="E927" s="1287">
        <v>5.2595172987620183E-2</v>
      </c>
      <c r="F927" s="1306">
        <v>6.8560182070285525E-3</v>
      </c>
      <c r="G927" s="1303">
        <v>0.42779438827960548</v>
      </c>
      <c r="H927" s="1306">
        <v>3.4482500848958368E-2</v>
      </c>
      <c r="I927" s="1303">
        <v>1.4631155887995321E-2</v>
      </c>
      <c r="J927" s="1306">
        <v>5.7108896351457138E-4</v>
      </c>
      <c r="K927" s="1303">
        <v>2.5968018088634729E-3</v>
      </c>
      <c r="L927" s="1288">
        <v>2.0000017692774733E-3</v>
      </c>
      <c r="M927" s="1230">
        <v>2.0000017692774733E-3</v>
      </c>
      <c r="N927" s="1303">
        <v>1.7765227089611136E-2</v>
      </c>
      <c r="O927" s="1288">
        <v>5.7094975570776869E-3</v>
      </c>
      <c r="P927" s="1237">
        <v>2.8547487785388435E-3</v>
      </c>
      <c r="Q927" s="1290">
        <v>1.5292711832457798E-2</v>
      </c>
    </row>
    <row r="928" spans="1:17" s="212" customFormat="1" ht="15.5" x14ac:dyDescent="0.35">
      <c r="A928" s="198">
        <v>2031</v>
      </c>
      <c r="B928" s="197" t="s">
        <v>5838</v>
      </c>
      <c r="C928" s="197">
        <v>2013</v>
      </c>
      <c r="D928" s="225" t="str">
        <f t="shared" si="9"/>
        <v>2031_2013</v>
      </c>
      <c r="E928" s="1287">
        <v>6.7417895399190436E-2</v>
      </c>
      <c r="F928" s="1306">
        <v>7.3433343689170141E-3</v>
      </c>
      <c r="G928" s="1303">
        <v>0.58407536093832912</v>
      </c>
      <c r="H928" s="1306">
        <v>3.5311818117907193E-2</v>
      </c>
      <c r="I928" s="1303">
        <v>1.804147516484397E-2</v>
      </c>
      <c r="J928" s="1306">
        <v>8.5377172477847532E-4</v>
      </c>
      <c r="K928" s="1303">
        <v>2.8393257736418005E-3</v>
      </c>
      <c r="L928" s="1288">
        <v>2.0000017708895045E-3</v>
      </c>
      <c r="M928" s="1230">
        <v>2.0000017708895045E-3</v>
      </c>
      <c r="N928" s="1303">
        <v>2.3511428221796866E-2</v>
      </c>
      <c r="O928" s="1288">
        <v>5.7182406588705374E-3</v>
      </c>
      <c r="P928" s="1237">
        <v>2.8591203294352687E-3</v>
      </c>
      <c r="Q928" s="1290">
        <v>1.8857230613937844E-2</v>
      </c>
    </row>
    <row r="929" spans="1:17" s="212" customFormat="1" ht="15.5" x14ac:dyDescent="0.35">
      <c r="A929" s="198">
        <v>2031</v>
      </c>
      <c r="B929" s="197" t="s">
        <v>5838</v>
      </c>
      <c r="C929" s="197">
        <v>2014</v>
      </c>
      <c r="D929" s="225" t="str">
        <f t="shared" si="9"/>
        <v>2031_2014</v>
      </c>
      <c r="E929" s="1287">
        <v>5.7666588534290228E-2</v>
      </c>
      <c r="F929" s="1306">
        <v>7.4288308086946139E-3</v>
      </c>
      <c r="G929" s="1303">
        <v>0.47952787402532632</v>
      </c>
      <c r="H929" s="1306">
        <v>3.5208410029186364E-2</v>
      </c>
      <c r="I929" s="1303">
        <v>1.5513532082503608E-2</v>
      </c>
      <c r="J929" s="1306">
        <v>1.2058892980547995E-3</v>
      </c>
      <c r="K929" s="1303">
        <v>2.690137985123122E-3</v>
      </c>
      <c r="L929" s="1288">
        <v>2.0000017802276225E-3</v>
      </c>
      <c r="M929" s="1230">
        <v>2.0000017802276225E-3</v>
      </c>
      <c r="N929" s="1303">
        <v>1.9964106741994437E-2</v>
      </c>
      <c r="O929" s="1288">
        <v>4.8560183791693644E-3</v>
      </c>
      <c r="P929" s="1237">
        <v>2.4280091895846822E-3</v>
      </c>
      <c r="Q929" s="1290">
        <v>1.6214985162995372E-2</v>
      </c>
    </row>
    <row r="930" spans="1:17" s="212" customFormat="1" ht="15.5" x14ac:dyDescent="0.35">
      <c r="A930" s="198">
        <v>2031</v>
      </c>
      <c r="B930" s="197" t="s">
        <v>5838</v>
      </c>
      <c r="C930" s="197">
        <v>2015</v>
      </c>
      <c r="D930" s="225" t="str">
        <f t="shared" si="9"/>
        <v>2031_2015</v>
      </c>
      <c r="E930" s="1287">
        <v>5.2419998830917108E-2</v>
      </c>
      <c r="F930" s="1306">
        <v>7.2277335469407905E-3</v>
      </c>
      <c r="G930" s="1303">
        <v>0.42629305364103226</v>
      </c>
      <c r="H930" s="1306">
        <v>3.391125853211336E-2</v>
      </c>
      <c r="I930" s="1303">
        <v>1.411266287402105E-2</v>
      </c>
      <c r="J930" s="1306">
        <v>1.4965163196411387E-3</v>
      </c>
      <c r="K930" s="1303">
        <v>2.6195045729681989E-3</v>
      </c>
      <c r="L930" s="1288">
        <v>2.0000017497912859E-3</v>
      </c>
      <c r="M930" s="1230">
        <v>2.0000017497912859E-3</v>
      </c>
      <c r="N930" s="1303">
        <v>1.8263224019452639E-2</v>
      </c>
      <c r="O930" s="1288">
        <v>5.6119562617664848E-3</v>
      </c>
      <c r="P930" s="1237">
        <v>2.8059781308832424E-3</v>
      </c>
      <c r="Q930" s="1290">
        <v>1.475077486517032E-2</v>
      </c>
    </row>
    <row r="931" spans="1:17" s="212" customFormat="1" ht="15.5" x14ac:dyDescent="0.35">
      <c r="A931" s="198">
        <v>2031</v>
      </c>
      <c r="B931" s="197" t="s">
        <v>5838</v>
      </c>
      <c r="C931" s="197">
        <v>2016</v>
      </c>
      <c r="D931" s="225" t="str">
        <f t="shared" si="9"/>
        <v>2031_2016</v>
      </c>
      <c r="E931" s="1287">
        <v>6.2049558423178434E-2</v>
      </c>
      <c r="F931" s="1306">
        <v>7.0548097247546803E-3</v>
      </c>
      <c r="G931" s="1303">
        <v>0.4685415967199883</v>
      </c>
      <c r="H931" s="1306">
        <v>3.2707998930783404E-2</v>
      </c>
      <c r="I931" s="1303">
        <v>1.6101368446283799E-2</v>
      </c>
      <c r="J931" s="1306">
        <v>1.7032839499868558E-3</v>
      </c>
      <c r="K931" s="1303">
        <v>2.7981293341736019E-3</v>
      </c>
      <c r="L931" s="1288">
        <v>2.0000016889153063E-3</v>
      </c>
      <c r="M931" s="1230">
        <v>2.0000016889153063E-3</v>
      </c>
      <c r="N931" s="1303">
        <v>2.250163816749251E-2</v>
      </c>
      <c r="O931" s="1288">
        <v>6.435497146751277E-3</v>
      </c>
      <c r="P931" s="1237">
        <v>3.2177485733756385E-3</v>
      </c>
      <c r="Q931" s="1290">
        <v>1.6829400878660482E-2</v>
      </c>
    </row>
    <row r="932" spans="1:17" s="212" customFormat="1" ht="15.5" x14ac:dyDescent="0.35">
      <c r="A932" s="198">
        <v>2031</v>
      </c>
      <c r="B932" s="197" t="s">
        <v>5838</v>
      </c>
      <c r="C932" s="197">
        <v>2017</v>
      </c>
      <c r="D932" s="225" t="str">
        <f t="shared" si="9"/>
        <v>2031_2017</v>
      </c>
      <c r="E932" s="1287">
        <v>6.3643309264279704E-2</v>
      </c>
      <c r="F932" s="1306">
        <v>6.7242494939102901E-3</v>
      </c>
      <c r="G932" s="1303">
        <v>0.41817539792194597</v>
      </c>
      <c r="H932" s="1306">
        <v>3.1452112217821071E-2</v>
      </c>
      <c r="I932" s="1303">
        <v>1.614884305011428E-2</v>
      </c>
      <c r="J932" s="1306">
        <v>1.8299263814432198E-3</v>
      </c>
      <c r="K932" s="1303">
        <v>2.8357088180178446E-3</v>
      </c>
      <c r="L932" s="1288">
        <v>2.0000016601607637E-3</v>
      </c>
      <c r="M932" s="1230">
        <v>2.0000016601607637E-3</v>
      </c>
      <c r="N932" s="1303">
        <v>2.3394456659571912E-2</v>
      </c>
      <c r="O932" s="1288">
        <v>6.3864451745772642E-3</v>
      </c>
      <c r="P932" s="1237">
        <v>3.1932225872886321E-3</v>
      </c>
      <c r="Q932" s="1290">
        <v>1.687902207341074E-2</v>
      </c>
    </row>
    <row r="933" spans="1:17" s="212" customFormat="1" ht="15.5" x14ac:dyDescent="0.35">
      <c r="A933" s="198">
        <v>2031</v>
      </c>
      <c r="B933" s="197" t="s">
        <v>5838</v>
      </c>
      <c r="C933" s="197">
        <v>2018</v>
      </c>
      <c r="D933" s="225" t="str">
        <f t="shared" ref="D933:D1013" si="10">CONCATENATE(A933,"_",C933)</f>
        <v>2031_2018</v>
      </c>
      <c r="E933" s="1287">
        <v>5.8005546183703162E-2</v>
      </c>
      <c r="F933" s="1306">
        <v>6.5188433827984326E-3</v>
      </c>
      <c r="G933" s="1303">
        <v>0.30816922911668898</v>
      </c>
      <c r="H933" s="1306">
        <v>3.0464340356024161E-2</v>
      </c>
      <c r="I933" s="1303">
        <v>1.4551005683441228E-2</v>
      </c>
      <c r="J933" s="1306">
        <v>1.9316623605309662E-3</v>
      </c>
      <c r="K933" s="1303">
        <v>2.7481140277221283E-3</v>
      </c>
      <c r="L933" s="1288">
        <v>2.0000016545921547E-3</v>
      </c>
      <c r="M933" s="1230">
        <v>2.0000016545921547E-3</v>
      </c>
      <c r="N933" s="1303">
        <v>2.1295606701261717E-2</v>
      </c>
      <c r="O933" s="1288">
        <v>5.7653341994715387E-3</v>
      </c>
      <c r="P933" s="1237">
        <v>2.8826670997357693E-3</v>
      </c>
      <c r="Q933" s="1290">
        <v>1.5208937591315079E-2</v>
      </c>
    </row>
    <row r="934" spans="1:17" s="212" customFormat="1" ht="15.5" x14ac:dyDescent="0.35">
      <c r="A934" s="198">
        <v>2031</v>
      </c>
      <c r="B934" s="197" t="s">
        <v>5838</v>
      </c>
      <c r="C934" s="197">
        <v>2019</v>
      </c>
      <c r="D934" s="225" t="str">
        <f t="shared" si="10"/>
        <v>2031_2019</v>
      </c>
      <c r="E934" s="1287">
        <v>6.6836613628031769E-2</v>
      </c>
      <c r="F934" s="1306">
        <v>6.3023332414448375E-3</v>
      </c>
      <c r="G934" s="1303">
        <v>0.31550781673357631</v>
      </c>
      <c r="H934" s="1306">
        <v>2.9243587274321286E-2</v>
      </c>
      <c r="I934" s="1303">
        <v>1.6053494361429072E-2</v>
      </c>
      <c r="J934" s="1306">
        <v>1.8326524189843216E-3</v>
      </c>
      <c r="K934" s="1303">
        <v>2.9230084767683396E-3</v>
      </c>
      <c r="L934" s="1288">
        <v>2.0000015809165128E-3</v>
      </c>
      <c r="M934" s="1230">
        <v>2.0000015809165128E-3</v>
      </c>
      <c r="N934" s="1303">
        <v>2.5463839658593238E-2</v>
      </c>
      <c r="O934" s="1288">
        <v>5.798334998348499E-3</v>
      </c>
      <c r="P934" s="1237">
        <v>2.8991674991742495E-3</v>
      </c>
      <c r="Q934" s="1290">
        <v>1.6779362140126711E-2</v>
      </c>
    </row>
    <row r="935" spans="1:17" s="212" customFormat="1" ht="15.5" x14ac:dyDescent="0.35">
      <c r="A935" s="198">
        <v>2031</v>
      </c>
      <c r="B935" s="197" t="s">
        <v>5838</v>
      </c>
      <c r="C935" s="197">
        <v>2020</v>
      </c>
      <c r="D935" s="225" t="str">
        <f t="shared" si="10"/>
        <v>2031_2020</v>
      </c>
      <c r="E935" s="1287">
        <v>5.6938937800553542E-2</v>
      </c>
      <c r="F935" s="1306">
        <v>6.0399668339534453E-3</v>
      </c>
      <c r="G935" s="1303">
        <v>0.23628579743482206</v>
      </c>
      <c r="H935" s="1306">
        <v>2.7769320216860134E-2</v>
      </c>
      <c r="I935" s="1303">
        <v>1.3819173356038114E-2</v>
      </c>
      <c r="J935" s="1306">
        <v>1.3553368369027302E-3</v>
      </c>
      <c r="K935" s="1303">
        <v>2.8830633076088177E-3</v>
      </c>
      <c r="L935" s="1288">
        <v>2.0000016798032466E-3</v>
      </c>
      <c r="M935" s="1230">
        <v>2.0000016798032466E-3</v>
      </c>
      <c r="N935" s="1303">
        <v>2.4513444477568952E-2</v>
      </c>
      <c r="O935" s="1288">
        <v>5.8978797702587595E-3</v>
      </c>
      <c r="P935" s="1237">
        <v>2.9489398851293798E-3</v>
      </c>
      <c r="Q935" s="1290">
        <v>1.4444015053524597E-2</v>
      </c>
    </row>
    <row r="936" spans="1:17" s="212" customFormat="1" ht="15.5" x14ac:dyDescent="0.35">
      <c r="A936" s="198">
        <v>2031</v>
      </c>
      <c r="B936" s="197" t="s">
        <v>5838</v>
      </c>
      <c r="C936" s="197">
        <v>2021</v>
      </c>
      <c r="D936" s="225" t="str">
        <f t="shared" si="10"/>
        <v>2031_2021</v>
      </c>
      <c r="E936" s="1287">
        <v>5.5013402223139066E-2</v>
      </c>
      <c r="F936" s="1306">
        <v>5.7181826639069603E-3</v>
      </c>
      <c r="G936" s="1303">
        <v>0.1866032318414208</v>
      </c>
      <c r="H936" s="1306">
        <v>2.637714612604827E-2</v>
      </c>
      <c r="I936" s="1303">
        <v>1.2689958579504118E-2</v>
      </c>
      <c r="J936" s="1306">
        <v>8.8417510708025521E-4</v>
      </c>
      <c r="K936" s="1303">
        <v>2.8814322231836983E-3</v>
      </c>
      <c r="L936" s="1288">
        <v>2.0000016925455087E-3</v>
      </c>
      <c r="M936" s="1230">
        <v>2.0000016925455087E-3</v>
      </c>
      <c r="N936" s="1303">
        <v>2.4468257892540736E-2</v>
      </c>
      <c r="O936" s="1288">
        <v>5.840435138724483E-3</v>
      </c>
      <c r="P936" s="1237">
        <v>2.9202175693622415E-3</v>
      </c>
      <c r="Q936" s="1290">
        <v>1.3263742195612086E-2</v>
      </c>
    </row>
    <row r="937" spans="1:17" s="212" customFormat="1" ht="15.5" x14ac:dyDescent="0.35">
      <c r="A937" s="198">
        <v>2031</v>
      </c>
      <c r="B937" s="197" t="s">
        <v>5838</v>
      </c>
      <c r="C937" s="197">
        <v>2022</v>
      </c>
      <c r="D937" s="225" t="str">
        <f t="shared" si="10"/>
        <v>2031_2022</v>
      </c>
      <c r="E937" s="1287">
        <v>5.3995031215296085E-2</v>
      </c>
      <c r="F937" s="1306">
        <v>5.4120044067101506E-3</v>
      </c>
      <c r="G937" s="1303">
        <v>0.14015696016724066</v>
      </c>
      <c r="H937" s="1306">
        <v>2.4968951449789493E-2</v>
      </c>
      <c r="I937" s="1303">
        <v>1.1986599692216882E-2</v>
      </c>
      <c r="J937" s="1306">
        <v>8.846413983687111E-4</v>
      </c>
      <c r="K937" s="1303">
        <v>2.8789867342179989E-3</v>
      </c>
      <c r="L937" s="1288">
        <v>2.0000017060077769E-3</v>
      </c>
      <c r="M937" s="1230">
        <v>2.0000017060077769E-3</v>
      </c>
      <c r="N937" s="1303">
        <v>2.4403091074294486E-2</v>
      </c>
      <c r="O937" s="1288">
        <v>5.8211844594558233E-3</v>
      </c>
      <c r="P937" s="1237">
        <v>2.9105922297279116E-3</v>
      </c>
      <c r="Q937" s="1290">
        <v>1.2528580540550553E-2</v>
      </c>
    </row>
    <row r="938" spans="1:17" s="212" customFormat="1" ht="15.5" x14ac:dyDescent="0.35">
      <c r="A938" s="198">
        <v>2031</v>
      </c>
      <c r="B938" s="197" t="s">
        <v>5838</v>
      </c>
      <c r="C938" s="197">
        <v>2023</v>
      </c>
      <c r="D938" s="225" t="str">
        <f t="shared" si="10"/>
        <v>2031_2023</v>
      </c>
      <c r="E938" s="1287">
        <v>5.2996218228954783E-2</v>
      </c>
      <c r="F938" s="1306">
        <v>4.9812879866675472E-3</v>
      </c>
      <c r="G938" s="1303">
        <v>0.13530852683540109</v>
      </c>
      <c r="H938" s="1306">
        <v>2.3565591173290053E-2</v>
      </c>
      <c r="I938" s="1303">
        <v>1.1258208964873102E-2</v>
      </c>
      <c r="J938" s="1306">
        <v>8.8488476039815401E-4</v>
      </c>
      <c r="K938" s="1303">
        <v>2.8779831991678443E-3</v>
      </c>
      <c r="L938" s="1288">
        <v>2.0000017136437612E-3</v>
      </c>
      <c r="M938" s="1230">
        <v>2.0000017136437612E-3</v>
      </c>
      <c r="N938" s="1303">
        <v>2.4371636769653354E-2</v>
      </c>
      <c r="O938" s="1288">
        <v>5.7951230097800042E-3</v>
      </c>
      <c r="P938" s="1237">
        <v>2.8975615048900021E-3</v>
      </c>
      <c r="Q938" s="1290">
        <v>1.1767255216702337E-2</v>
      </c>
    </row>
    <row r="939" spans="1:17" s="212" customFormat="1" ht="15.5" x14ac:dyDescent="0.35">
      <c r="A939" s="198">
        <v>2031</v>
      </c>
      <c r="B939" s="197" t="s">
        <v>5838</v>
      </c>
      <c r="C939" s="197">
        <v>2024</v>
      </c>
      <c r="D939" s="225" t="str">
        <f t="shared" si="10"/>
        <v>2031_2024</v>
      </c>
      <c r="E939" s="1287">
        <v>5.1590277018615092E-2</v>
      </c>
      <c r="F939" s="1306">
        <v>4.3058807616360101E-3</v>
      </c>
      <c r="G939" s="1303">
        <v>0.12927339487359998</v>
      </c>
      <c r="H939" s="1306">
        <v>2.189003627349612E-2</v>
      </c>
      <c r="I939" s="1303">
        <v>1.0413503846369522E-2</v>
      </c>
      <c r="J939" s="1306">
        <v>8.8396874790313119E-4</v>
      </c>
      <c r="K939" s="1303">
        <v>2.8705285363237196E-3</v>
      </c>
      <c r="L939" s="1288">
        <v>2.0000017306131862E-3</v>
      </c>
      <c r="M939" s="1305">
        <v>2.0000005733367375E-3</v>
      </c>
      <c r="N939" s="1303">
        <v>2.4184482767920481E-2</v>
      </c>
      <c r="O939" s="1288">
        <v>5.6385760028615506E-3</v>
      </c>
      <c r="P939" s="1301">
        <v>3.4053799895336877E-3</v>
      </c>
      <c r="Q939" s="1290">
        <v>1.0884356281063412E-2</v>
      </c>
    </row>
    <row r="940" spans="1:17" s="212" customFormat="1" ht="15.5" x14ac:dyDescent="0.35">
      <c r="A940" s="198">
        <v>2031</v>
      </c>
      <c r="B940" s="197" t="s">
        <v>5838</v>
      </c>
      <c r="C940" s="197">
        <v>2025</v>
      </c>
      <c r="D940" s="225" t="str">
        <f t="shared" si="10"/>
        <v>2031_2025</v>
      </c>
      <c r="E940" s="1287">
        <v>5.0322915561841125E-2</v>
      </c>
      <c r="F940" s="1306">
        <v>3.736046671222782E-3</v>
      </c>
      <c r="G940" s="1303">
        <v>0.12349258972207952</v>
      </c>
      <c r="H940" s="1306">
        <v>2.0360939436055957E-2</v>
      </c>
      <c r="I940" s="1303">
        <v>9.5724496994956856E-3</v>
      </c>
      <c r="J940" s="1306">
        <v>8.8369578811960884E-4</v>
      </c>
      <c r="K940" s="1303">
        <v>2.8666321095577119E-3</v>
      </c>
      <c r="L940" s="1288">
        <v>2.0000017474665244E-3</v>
      </c>
      <c r="M940" s="1305">
        <v>2.0000005733672621E-3</v>
      </c>
      <c r="N940" s="1303">
        <v>2.4081834014629652E-2</v>
      </c>
      <c r="O940" s="1288">
        <v>5.528631770694294E-3</v>
      </c>
      <c r="P940" s="1301">
        <v>3.8272388178216712E-3</v>
      </c>
      <c r="Q940" s="1290">
        <v>1.0005273397790487E-2</v>
      </c>
    </row>
    <row r="941" spans="1:17" s="212" customFormat="1" ht="15.5" x14ac:dyDescent="0.35">
      <c r="A941" s="198">
        <v>2031</v>
      </c>
      <c r="B941" s="197" t="s">
        <v>5838</v>
      </c>
      <c r="C941" s="197">
        <v>2026</v>
      </c>
      <c r="D941" s="225" t="str">
        <f t="shared" si="10"/>
        <v>2031_2026</v>
      </c>
      <c r="E941" s="1287">
        <v>4.8885000494470102E-2</v>
      </c>
      <c r="F941" s="1306">
        <v>3.6125763308065884E-3</v>
      </c>
      <c r="G941" s="1303">
        <v>0.11717251261576399</v>
      </c>
      <c r="H941" s="1306">
        <v>1.9441108456348288E-2</v>
      </c>
      <c r="I941" s="1303">
        <v>8.6720992212998491E-3</v>
      </c>
      <c r="J941" s="1306">
        <v>7.6869216925737761E-4</v>
      </c>
      <c r="K941" s="1303">
        <v>2.8604790482418428E-3</v>
      </c>
      <c r="L941" s="1288">
        <v>2.0000017713080131E-3</v>
      </c>
      <c r="M941" s="1305">
        <v>2.0000005734252236E-3</v>
      </c>
      <c r="N941" s="1303">
        <v>2.3923657029983725E-2</v>
      </c>
      <c r="O941" s="1288">
        <v>5.3544286584795882E-3</v>
      </c>
      <c r="P941" s="1301">
        <v>4.6290047071841358E-3</v>
      </c>
      <c r="Q941" s="1290">
        <v>9.0642130662166292E-3</v>
      </c>
    </row>
    <row r="942" spans="1:17" s="212" customFormat="1" ht="15.5" x14ac:dyDescent="0.35">
      <c r="A942" s="198">
        <v>2031</v>
      </c>
      <c r="B942" s="197" t="s">
        <v>5838</v>
      </c>
      <c r="C942" s="197">
        <v>2027</v>
      </c>
      <c r="D942" s="225" t="str">
        <f t="shared" si="10"/>
        <v>2031_2027</v>
      </c>
      <c r="E942" s="1287">
        <v>4.732862869467102E-2</v>
      </c>
      <c r="F942" s="1306">
        <v>3.5036134501061442E-3</v>
      </c>
      <c r="G942" s="1303">
        <v>0.11046439006578296</v>
      </c>
      <c r="H942" s="1306">
        <v>1.851096666671577E-2</v>
      </c>
      <c r="I942" s="1303">
        <v>7.726976212553271E-3</v>
      </c>
      <c r="J942" s="1306">
        <v>6.3352131291673967E-4</v>
      </c>
      <c r="K942" s="1303">
        <v>2.8529348829293808E-3</v>
      </c>
      <c r="L942" s="1288">
        <v>2.0000017959962272E-3</v>
      </c>
      <c r="M942" s="1305">
        <v>2.0000005734869385E-3</v>
      </c>
      <c r="N942" s="1303">
        <v>2.3730325954708253E-2</v>
      </c>
      <c r="O942" s="1288">
        <v>5.1887145661033592E-3</v>
      </c>
      <c r="P942" s="1301">
        <v>5.493648863008474E-3</v>
      </c>
      <c r="Q942" s="1290">
        <v>8.0763557889358007E-3</v>
      </c>
    </row>
    <row r="943" spans="1:17" s="212" customFormat="1" ht="15.5" x14ac:dyDescent="0.35">
      <c r="A943" s="198">
        <v>2031</v>
      </c>
      <c r="B943" s="197" t="s">
        <v>5838</v>
      </c>
      <c r="C943" s="197">
        <v>2028</v>
      </c>
      <c r="D943" s="225" t="str">
        <f t="shared" si="10"/>
        <v>2031_2028</v>
      </c>
      <c r="E943" s="1287">
        <v>4.5710503572411923E-2</v>
      </c>
      <c r="F943" s="1306">
        <v>3.3508477177646091E-3</v>
      </c>
      <c r="G943" s="1303">
        <v>0.10351909822059653</v>
      </c>
      <c r="H943" s="1306">
        <v>1.753094301736885E-2</v>
      </c>
      <c r="I943" s="1303">
        <v>6.7497805981478051E-3</v>
      </c>
      <c r="J943" s="1306">
        <v>5.1621111093321859E-4</v>
      </c>
      <c r="K943" s="1303">
        <v>2.8450316740457849E-3</v>
      </c>
      <c r="L943" s="1288">
        <v>2.0000018313634893E-3</v>
      </c>
      <c r="M943" s="1305">
        <v>2.0000005735326125E-3</v>
      </c>
      <c r="N943" s="1303">
        <v>2.3526784320278424E-2</v>
      </c>
      <c r="O943" s="1288">
        <v>5.0108620626200953E-3</v>
      </c>
      <c r="P943" s="1301">
        <v>6.1419202154985829E-3</v>
      </c>
      <c r="Q943" s="1290">
        <v>7.054975725088247E-3</v>
      </c>
    </row>
    <row r="944" spans="1:17" s="212" customFormat="1" ht="15.5" x14ac:dyDescent="0.35">
      <c r="A944" s="198">
        <v>2031</v>
      </c>
      <c r="B944" s="197" t="s">
        <v>5838</v>
      </c>
      <c r="C944" s="197">
        <v>2029</v>
      </c>
      <c r="D944" s="225" t="str">
        <f t="shared" si="10"/>
        <v>2031_2029</v>
      </c>
      <c r="E944" s="1287">
        <v>4.3932305766567641E-2</v>
      </c>
      <c r="F944" s="1306">
        <v>3.1924551305657156E-3</v>
      </c>
      <c r="G944" s="1303">
        <v>9.6128398810257462E-2</v>
      </c>
      <c r="H944" s="1306">
        <v>1.6528608414269546E-2</v>
      </c>
      <c r="I944" s="1303">
        <v>5.7298316332588736E-3</v>
      </c>
      <c r="J944" s="1306">
        <v>5.1361692916456218E-4</v>
      </c>
      <c r="K944" s="1303">
        <v>2.8346975696872975E-3</v>
      </c>
      <c r="L944" s="1288">
        <v>2.0000018839201363E-3</v>
      </c>
      <c r="M944" s="1305">
        <v>2.0000005735658481E-3</v>
      </c>
      <c r="N944" s="1303">
        <v>2.3262423308008061E-2</v>
      </c>
      <c r="O944" s="1288">
        <v>4.8115509969532243E-3</v>
      </c>
      <c r="P944" s="1301">
        <v>6.6251554910131336E-3</v>
      </c>
      <c r="Q944" s="1290">
        <v>5.988909193963529E-3</v>
      </c>
    </row>
    <row r="945" spans="1:17" s="212" customFormat="1" ht="15.5" x14ac:dyDescent="0.35">
      <c r="A945" s="198">
        <v>2031</v>
      </c>
      <c r="B945" s="197" t="s">
        <v>5838</v>
      </c>
      <c r="C945" s="197">
        <v>2030</v>
      </c>
      <c r="D945" s="225" t="str">
        <f t="shared" si="10"/>
        <v>2031_2030</v>
      </c>
      <c r="E945" s="1287">
        <v>4.2095854234631684E-2</v>
      </c>
      <c r="F945" s="1306">
        <v>3.0208541942451077E-3</v>
      </c>
      <c r="G945" s="1303">
        <v>8.8548898501975087E-2</v>
      </c>
      <c r="H945" s="1306">
        <v>1.5446422684065582E-2</v>
      </c>
      <c r="I945" s="1303">
        <v>4.6865759737148892E-3</v>
      </c>
      <c r="J945" s="1306">
        <v>5.1070286360095467E-4</v>
      </c>
      <c r="K945" s="1303">
        <v>2.8239051314355129E-3</v>
      </c>
      <c r="L945" s="1288">
        <v>2.0000019293445999E-3</v>
      </c>
      <c r="M945" s="1305">
        <v>2.0000005735864084E-3</v>
      </c>
      <c r="N945" s="1303">
        <v>2.2984428088886913E-2</v>
      </c>
      <c r="O945" s="1288">
        <v>4.6019787953664338E-3</v>
      </c>
      <c r="P945" s="1301">
        <v>6.9720554138115228E-3</v>
      </c>
      <c r="Q945" s="1290">
        <v>4.8984821428733928E-3</v>
      </c>
    </row>
    <row r="946" spans="1:17" s="212" customFormat="1" ht="15.5" x14ac:dyDescent="0.35">
      <c r="A946" s="198">
        <v>2031</v>
      </c>
      <c r="B946" s="197" t="s">
        <v>5838</v>
      </c>
      <c r="C946" s="197">
        <v>2031</v>
      </c>
      <c r="D946" s="225" t="str">
        <f t="shared" si="10"/>
        <v>2031_2031</v>
      </c>
      <c r="E946" s="1287">
        <v>3.9226167631668946E-2</v>
      </c>
      <c r="F946" s="1306">
        <v>2.7842477985757005E-3</v>
      </c>
      <c r="G946" s="1303">
        <v>7.883130115177811E-2</v>
      </c>
      <c r="H946" s="1306">
        <v>1.4111117165740074E-2</v>
      </c>
      <c r="I946" s="1303">
        <v>3.5398835017807625E-3</v>
      </c>
      <c r="J946" s="1306">
        <v>5.023721616803777E-4</v>
      </c>
      <c r="K946" s="1303">
        <v>2.7913893035410057E-3</v>
      </c>
      <c r="L946" s="1288">
        <v>2.0000020485235154E-3</v>
      </c>
      <c r="M946" s="1305">
        <v>2.0000005735813248E-3</v>
      </c>
      <c r="N946" s="1303">
        <v>2.2171502425383145E-2</v>
      </c>
      <c r="O946" s="1288">
        <v>4.1301268772921708E-3</v>
      </c>
      <c r="P946" s="1301">
        <v>6.9219654088496863E-3</v>
      </c>
      <c r="Q946" s="1290">
        <v>3.6999413257308884E-3</v>
      </c>
    </row>
    <row r="947" spans="1:17" s="212" customFormat="1" ht="15.5" x14ac:dyDescent="0.35">
      <c r="A947" s="198">
        <v>2031</v>
      </c>
      <c r="B947" s="197" t="s">
        <v>5838</v>
      </c>
      <c r="C947" s="197">
        <v>2032</v>
      </c>
      <c r="D947" s="225" t="str">
        <f t="shared" si="10"/>
        <v>2031_2032</v>
      </c>
      <c r="E947" s="1291">
        <v>3.9226167631668946E-2</v>
      </c>
      <c r="F947" s="1280">
        <v>2.7842477985757005E-3</v>
      </c>
      <c r="G947" s="1271">
        <v>7.883130115177811E-2</v>
      </c>
      <c r="H947" s="1280">
        <v>1.4111117165740074E-2</v>
      </c>
      <c r="I947" s="1271">
        <v>3.5398835017807625E-3</v>
      </c>
      <c r="J947" s="1280">
        <v>5.023721616803777E-4</v>
      </c>
      <c r="K947" s="1271">
        <v>2.7913893035410057E-3</v>
      </c>
      <c r="L947" s="1257">
        <v>2.0000020485235154E-3</v>
      </c>
      <c r="M947" s="1230">
        <v>2.0000005735813248E-3</v>
      </c>
      <c r="N947" s="1271">
        <v>2.2171502425383145E-2</v>
      </c>
      <c r="O947" s="1257">
        <v>4.1301268772921708E-3</v>
      </c>
      <c r="P947" s="1237">
        <v>6.9219654088496863E-3</v>
      </c>
      <c r="Q947" s="1292">
        <v>3.6999413257308884E-3</v>
      </c>
    </row>
    <row r="948" spans="1:17" s="212" customFormat="1" ht="15.5" x14ac:dyDescent="0.35">
      <c r="A948" s="198">
        <v>2032</v>
      </c>
      <c r="B948" s="197" t="s">
        <v>5838</v>
      </c>
      <c r="C948" s="197">
        <v>1971</v>
      </c>
      <c r="D948" s="225" t="str">
        <f t="shared" si="10"/>
        <v>2032_1971</v>
      </c>
      <c r="E948" s="1291">
        <v>0.29573628338951591</v>
      </c>
      <c r="F948" s="1280">
        <v>0.50366760702800362</v>
      </c>
      <c r="G948" s="1271">
        <v>4.9433470418589733</v>
      </c>
      <c r="H948" s="1280">
        <v>1.6641887195919194</v>
      </c>
      <c r="I948" s="1271">
        <v>0.19985910447409147</v>
      </c>
      <c r="J948" s="1280">
        <v>1.622764228997044E-2</v>
      </c>
      <c r="K948" s="1271">
        <v>2.9270806233130178E-3</v>
      </c>
      <c r="L948" s="1257">
        <v>2.0000010935359081E-3</v>
      </c>
      <c r="M948" s="1230">
        <v>2.0000010935359081E-3</v>
      </c>
      <c r="N948" s="1271">
        <v>2.560116758481221E-2</v>
      </c>
      <c r="O948" s="1257">
        <v>1.4074952434959688E-2</v>
      </c>
      <c r="P948" s="1237">
        <v>7.037476217479844E-3</v>
      </c>
      <c r="Q948" s="1292">
        <v>0.20889584631676911</v>
      </c>
    </row>
    <row r="949" spans="1:17" s="212" customFormat="1" ht="15.5" x14ac:dyDescent="0.35">
      <c r="A949" s="198">
        <v>2032</v>
      </c>
      <c r="B949" s="197" t="s">
        <v>5838</v>
      </c>
      <c r="C949" s="197">
        <v>1972</v>
      </c>
      <c r="D949" s="225" t="str">
        <f t="shared" si="10"/>
        <v>2032_1972</v>
      </c>
      <c r="E949" s="1291">
        <v>0.29573628338951591</v>
      </c>
      <c r="F949" s="1280">
        <v>0.50366760702800362</v>
      </c>
      <c r="G949" s="1271">
        <v>4.9433470418589733</v>
      </c>
      <c r="H949" s="1280">
        <v>1.6641887195919194</v>
      </c>
      <c r="I949" s="1271">
        <v>0.19985910447409147</v>
      </c>
      <c r="J949" s="1280">
        <v>1.622764228997044E-2</v>
      </c>
      <c r="K949" s="1271">
        <v>2.9270806233130178E-3</v>
      </c>
      <c r="L949" s="1257">
        <v>2.0000010935359081E-3</v>
      </c>
      <c r="M949" s="1230">
        <v>2.0000010935359081E-3</v>
      </c>
      <c r="N949" s="1271">
        <v>2.560116758481221E-2</v>
      </c>
      <c r="O949" s="1257">
        <v>1.4074952434959688E-2</v>
      </c>
      <c r="P949" s="1237">
        <v>7.037476217479844E-3</v>
      </c>
      <c r="Q949" s="1292">
        <v>0.20889584631676911</v>
      </c>
    </row>
    <row r="950" spans="1:17" s="212" customFormat="1" ht="15.5" x14ac:dyDescent="0.35">
      <c r="A950" s="198">
        <v>2032</v>
      </c>
      <c r="B950" s="197" t="s">
        <v>5838</v>
      </c>
      <c r="C950" s="197">
        <v>1973</v>
      </c>
      <c r="D950" s="225" t="str">
        <f t="shared" si="10"/>
        <v>2032_1973</v>
      </c>
      <c r="E950" s="1291">
        <v>0.29573628338951591</v>
      </c>
      <c r="F950" s="1280">
        <v>0.50366760702800362</v>
      </c>
      <c r="G950" s="1271">
        <v>4.9433470418589733</v>
      </c>
      <c r="H950" s="1280">
        <v>1.6641887195919194</v>
      </c>
      <c r="I950" s="1271">
        <v>0.19985910447409147</v>
      </c>
      <c r="J950" s="1280">
        <v>1.622764228997044E-2</v>
      </c>
      <c r="K950" s="1271">
        <v>2.9270806233130178E-3</v>
      </c>
      <c r="L950" s="1257">
        <v>2.0000010935359081E-3</v>
      </c>
      <c r="M950" s="1230">
        <v>2.0000010935359081E-3</v>
      </c>
      <c r="N950" s="1271">
        <v>2.560116758481221E-2</v>
      </c>
      <c r="O950" s="1257">
        <v>1.4074952434959688E-2</v>
      </c>
      <c r="P950" s="1237">
        <v>7.037476217479844E-3</v>
      </c>
      <c r="Q950" s="1292">
        <v>0.20889584631676911</v>
      </c>
    </row>
    <row r="951" spans="1:17" s="212" customFormat="1" ht="15.5" x14ac:dyDescent="0.35">
      <c r="A951" s="198">
        <v>2032</v>
      </c>
      <c r="B951" s="197" t="s">
        <v>5838</v>
      </c>
      <c r="C951" s="197">
        <v>1974</v>
      </c>
      <c r="D951" s="225" t="str">
        <f t="shared" si="10"/>
        <v>2032_1974</v>
      </c>
      <c r="E951" s="1291">
        <v>0.29573628338951591</v>
      </c>
      <c r="F951" s="1280">
        <v>0.50366760702800362</v>
      </c>
      <c r="G951" s="1271">
        <v>4.9433470418589733</v>
      </c>
      <c r="H951" s="1280">
        <v>1.6641887195919194</v>
      </c>
      <c r="I951" s="1271">
        <v>0.19985910447409147</v>
      </c>
      <c r="J951" s="1280">
        <v>1.622764228997044E-2</v>
      </c>
      <c r="K951" s="1271">
        <v>2.9270806233130178E-3</v>
      </c>
      <c r="L951" s="1257">
        <v>2.0000010935359081E-3</v>
      </c>
      <c r="M951" s="1230">
        <v>2.0000010935359081E-3</v>
      </c>
      <c r="N951" s="1271">
        <v>2.560116758481221E-2</v>
      </c>
      <c r="O951" s="1257">
        <v>1.4074952434959688E-2</v>
      </c>
      <c r="P951" s="1237">
        <v>7.037476217479844E-3</v>
      </c>
      <c r="Q951" s="1292">
        <v>0.20889584631676911</v>
      </c>
    </row>
    <row r="952" spans="1:17" s="212" customFormat="1" ht="15.5" x14ac:dyDescent="0.35">
      <c r="A952" s="198">
        <v>2032</v>
      </c>
      <c r="B952" s="197" t="s">
        <v>5838</v>
      </c>
      <c r="C952" s="197">
        <v>1975</v>
      </c>
      <c r="D952" s="225" t="str">
        <f t="shared" si="10"/>
        <v>2032_1975</v>
      </c>
      <c r="E952" s="1291">
        <v>0.29573628338951591</v>
      </c>
      <c r="F952" s="1280">
        <v>0.50366760702800362</v>
      </c>
      <c r="G952" s="1271">
        <v>4.9433470418589733</v>
      </c>
      <c r="H952" s="1280">
        <v>1.6641887195919194</v>
      </c>
      <c r="I952" s="1271">
        <v>0.19985910447409147</v>
      </c>
      <c r="J952" s="1280">
        <v>1.622764228997044E-2</v>
      </c>
      <c r="K952" s="1271">
        <v>2.9270806233130178E-3</v>
      </c>
      <c r="L952" s="1257">
        <v>2.0000010935359081E-3</v>
      </c>
      <c r="M952" s="1230">
        <v>2.0000010935359081E-3</v>
      </c>
      <c r="N952" s="1271">
        <v>2.560116758481221E-2</v>
      </c>
      <c r="O952" s="1257">
        <v>1.4074952434959688E-2</v>
      </c>
      <c r="P952" s="1237">
        <v>7.037476217479844E-3</v>
      </c>
      <c r="Q952" s="1292">
        <v>0.20889584631676911</v>
      </c>
    </row>
    <row r="953" spans="1:17" s="212" customFormat="1" ht="15.5" x14ac:dyDescent="0.35">
      <c r="A953" s="198">
        <v>2032</v>
      </c>
      <c r="B953" s="197" t="s">
        <v>5838</v>
      </c>
      <c r="C953" s="197">
        <v>1976</v>
      </c>
      <c r="D953" s="225" t="str">
        <f t="shared" si="10"/>
        <v>2032_1976</v>
      </c>
      <c r="E953" s="1291">
        <v>0.29573628338951591</v>
      </c>
      <c r="F953" s="1280">
        <v>0.50366760702800362</v>
      </c>
      <c r="G953" s="1271">
        <v>4.9433470418589733</v>
      </c>
      <c r="H953" s="1280">
        <v>1.6641887195919194</v>
      </c>
      <c r="I953" s="1271">
        <v>0.19985910447409147</v>
      </c>
      <c r="J953" s="1280">
        <v>1.622764228997044E-2</v>
      </c>
      <c r="K953" s="1271">
        <v>2.9270806233130178E-3</v>
      </c>
      <c r="L953" s="1257">
        <v>2.0000010935359081E-3</v>
      </c>
      <c r="M953" s="1230">
        <v>2.0000010935359081E-3</v>
      </c>
      <c r="N953" s="1271">
        <v>2.560116758481221E-2</v>
      </c>
      <c r="O953" s="1257">
        <v>1.4074952434959688E-2</v>
      </c>
      <c r="P953" s="1237">
        <v>7.037476217479844E-3</v>
      </c>
      <c r="Q953" s="1292">
        <v>0.20889584631676911</v>
      </c>
    </row>
    <row r="954" spans="1:17" s="212" customFormat="1" ht="15.5" x14ac:dyDescent="0.35">
      <c r="A954" s="198">
        <v>2032</v>
      </c>
      <c r="B954" s="197" t="s">
        <v>5838</v>
      </c>
      <c r="C954" s="197">
        <v>1977</v>
      </c>
      <c r="D954" s="225" t="str">
        <f t="shared" si="10"/>
        <v>2032_1977</v>
      </c>
      <c r="E954" s="1291">
        <v>0.29573628338951591</v>
      </c>
      <c r="F954" s="1280">
        <v>0.50366760702800362</v>
      </c>
      <c r="G954" s="1271">
        <v>4.9433470418589733</v>
      </c>
      <c r="H954" s="1280">
        <v>1.6641887195919194</v>
      </c>
      <c r="I954" s="1271">
        <v>0.19985910447409147</v>
      </c>
      <c r="J954" s="1280">
        <v>1.622764228997044E-2</v>
      </c>
      <c r="K954" s="1271">
        <v>2.9270806233130178E-3</v>
      </c>
      <c r="L954" s="1257">
        <v>2.0000010935359081E-3</v>
      </c>
      <c r="M954" s="1230">
        <v>2.0000010935359081E-3</v>
      </c>
      <c r="N954" s="1271">
        <v>2.560116758481221E-2</v>
      </c>
      <c r="O954" s="1257">
        <v>1.4074952434959688E-2</v>
      </c>
      <c r="P954" s="1237">
        <v>7.037476217479844E-3</v>
      </c>
      <c r="Q954" s="1292">
        <v>0.20889584631676911</v>
      </c>
    </row>
    <row r="955" spans="1:17" s="212" customFormat="1" ht="15.5" x14ac:dyDescent="0.35">
      <c r="A955" s="198">
        <v>2032</v>
      </c>
      <c r="B955" s="197" t="s">
        <v>5838</v>
      </c>
      <c r="C955" s="197">
        <v>1978</v>
      </c>
      <c r="D955" s="225" t="str">
        <f t="shared" si="10"/>
        <v>2032_1978</v>
      </c>
      <c r="E955" s="1291">
        <v>0.29573628338951591</v>
      </c>
      <c r="F955" s="1280">
        <v>0.50366760702800362</v>
      </c>
      <c r="G955" s="1271">
        <v>4.9433470418589733</v>
      </c>
      <c r="H955" s="1280">
        <v>1.6641887195919194</v>
      </c>
      <c r="I955" s="1271">
        <v>0.19985910447409147</v>
      </c>
      <c r="J955" s="1280">
        <v>1.622764228997044E-2</v>
      </c>
      <c r="K955" s="1271">
        <v>2.9270806233130178E-3</v>
      </c>
      <c r="L955" s="1257">
        <v>2.0000010935359081E-3</v>
      </c>
      <c r="M955" s="1230">
        <v>2.0000010935359081E-3</v>
      </c>
      <c r="N955" s="1271">
        <v>2.560116758481221E-2</v>
      </c>
      <c r="O955" s="1257">
        <v>1.4074952434959688E-2</v>
      </c>
      <c r="P955" s="1237">
        <v>7.037476217479844E-3</v>
      </c>
      <c r="Q955" s="1292">
        <v>0.20889584631676911</v>
      </c>
    </row>
    <row r="956" spans="1:17" s="212" customFormat="1" ht="15.5" x14ac:dyDescent="0.35">
      <c r="A956" s="198">
        <v>2032</v>
      </c>
      <c r="B956" s="197" t="s">
        <v>5838</v>
      </c>
      <c r="C956" s="197">
        <v>1979</v>
      </c>
      <c r="D956" s="225" t="str">
        <f t="shared" si="10"/>
        <v>2032_1979</v>
      </c>
      <c r="E956" s="1291">
        <v>0.29573628338951591</v>
      </c>
      <c r="F956" s="1280">
        <v>0.50366760702800362</v>
      </c>
      <c r="G956" s="1271">
        <v>4.9433470418589733</v>
      </c>
      <c r="H956" s="1280">
        <v>1.6641887195919194</v>
      </c>
      <c r="I956" s="1271">
        <v>0.19985910447409147</v>
      </c>
      <c r="J956" s="1280">
        <v>1.622764228997044E-2</v>
      </c>
      <c r="K956" s="1271">
        <v>2.9270806233130178E-3</v>
      </c>
      <c r="L956" s="1257">
        <v>2.0000010935359081E-3</v>
      </c>
      <c r="M956" s="1230">
        <v>2.0000010935359081E-3</v>
      </c>
      <c r="N956" s="1271">
        <v>2.560116758481221E-2</v>
      </c>
      <c r="O956" s="1257">
        <v>1.4074952434959688E-2</v>
      </c>
      <c r="P956" s="1237">
        <v>7.037476217479844E-3</v>
      </c>
      <c r="Q956" s="1292">
        <v>0.20889584631676911</v>
      </c>
    </row>
    <row r="957" spans="1:17" s="212" customFormat="1" ht="15.5" x14ac:dyDescent="0.35">
      <c r="A957" s="198">
        <v>2032</v>
      </c>
      <c r="B957" s="197" t="s">
        <v>5838</v>
      </c>
      <c r="C957" s="197">
        <v>1980</v>
      </c>
      <c r="D957" s="225" t="str">
        <f t="shared" si="10"/>
        <v>2032_1980</v>
      </c>
      <c r="E957" s="1291">
        <v>0.29573628338951591</v>
      </c>
      <c r="F957" s="1280">
        <v>0.50366760702800362</v>
      </c>
      <c r="G957" s="1271">
        <v>4.9433470418589733</v>
      </c>
      <c r="H957" s="1280">
        <v>1.6641887195919194</v>
      </c>
      <c r="I957" s="1271">
        <v>0.19985910447409147</v>
      </c>
      <c r="J957" s="1280">
        <v>1.622764228997044E-2</v>
      </c>
      <c r="K957" s="1271">
        <v>2.9270806233130178E-3</v>
      </c>
      <c r="L957" s="1257">
        <v>2.0000010935359081E-3</v>
      </c>
      <c r="M957" s="1230">
        <v>2.0000010935359081E-3</v>
      </c>
      <c r="N957" s="1271">
        <v>2.560116758481221E-2</v>
      </c>
      <c r="O957" s="1257">
        <v>1.4074952434959688E-2</v>
      </c>
      <c r="P957" s="1237">
        <v>7.037476217479844E-3</v>
      </c>
      <c r="Q957" s="1292">
        <v>0.20889584631676911</v>
      </c>
    </row>
    <row r="958" spans="1:17" s="212" customFormat="1" ht="15.5" x14ac:dyDescent="0.35">
      <c r="A958" s="198">
        <v>2032</v>
      </c>
      <c r="B958" s="197" t="s">
        <v>5838</v>
      </c>
      <c r="C958" s="197">
        <v>1981</v>
      </c>
      <c r="D958" s="225" t="str">
        <f t="shared" si="10"/>
        <v>2032_1981</v>
      </c>
      <c r="E958" s="1291">
        <v>0.29573628338951591</v>
      </c>
      <c r="F958" s="1280">
        <v>0.50366760702800362</v>
      </c>
      <c r="G958" s="1271">
        <v>4.9433470418589733</v>
      </c>
      <c r="H958" s="1280">
        <v>1.6641887195919194</v>
      </c>
      <c r="I958" s="1271">
        <v>0.19985910447409147</v>
      </c>
      <c r="J958" s="1280">
        <v>1.622764228997044E-2</v>
      </c>
      <c r="K958" s="1271">
        <v>2.9270806233130178E-3</v>
      </c>
      <c r="L958" s="1257">
        <v>2.0000010935359081E-3</v>
      </c>
      <c r="M958" s="1230">
        <v>2.0000010935359081E-3</v>
      </c>
      <c r="N958" s="1271">
        <v>2.560116758481221E-2</v>
      </c>
      <c r="O958" s="1257">
        <v>1.4074952434959688E-2</v>
      </c>
      <c r="P958" s="1237">
        <v>7.037476217479844E-3</v>
      </c>
      <c r="Q958" s="1292">
        <v>0.20889584631676911</v>
      </c>
    </row>
    <row r="959" spans="1:17" s="212" customFormat="1" ht="15.5" x14ac:dyDescent="0.35">
      <c r="A959" s="198">
        <v>2032</v>
      </c>
      <c r="B959" s="197" t="s">
        <v>5838</v>
      </c>
      <c r="C959" s="197">
        <v>1982</v>
      </c>
      <c r="D959" s="225" t="str">
        <f t="shared" si="10"/>
        <v>2032_1982</v>
      </c>
      <c r="E959" s="1291">
        <v>0.29573628338951591</v>
      </c>
      <c r="F959" s="1280">
        <v>0.50366760702800362</v>
      </c>
      <c r="G959" s="1271">
        <v>4.9433470418589733</v>
      </c>
      <c r="H959" s="1280">
        <v>1.6641887195919194</v>
      </c>
      <c r="I959" s="1271">
        <v>0.19985910447409147</v>
      </c>
      <c r="J959" s="1280">
        <v>1.622764228997044E-2</v>
      </c>
      <c r="K959" s="1271">
        <v>2.9270806233130178E-3</v>
      </c>
      <c r="L959" s="1257">
        <v>2.0000010935359081E-3</v>
      </c>
      <c r="M959" s="1230">
        <v>2.0000010935359081E-3</v>
      </c>
      <c r="N959" s="1271">
        <v>2.560116758481221E-2</v>
      </c>
      <c r="O959" s="1257">
        <v>1.4074952434959688E-2</v>
      </c>
      <c r="P959" s="1237">
        <v>7.037476217479844E-3</v>
      </c>
      <c r="Q959" s="1292">
        <v>0.20889584631676911</v>
      </c>
    </row>
    <row r="960" spans="1:17" s="212" customFormat="1" ht="15.5" x14ac:dyDescent="0.35">
      <c r="A960" s="198">
        <v>2032</v>
      </c>
      <c r="B960" s="197" t="s">
        <v>5838</v>
      </c>
      <c r="C960" s="197">
        <v>1983</v>
      </c>
      <c r="D960" s="225" t="str">
        <f t="shared" si="10"/>
        <v>2032_1983</v>
      </c>
      <c r="E960" s="1291">
        <v>0.29573628338951591</v>
      </c>
      <c r="F960" s="1280">
        <v>0.50366760702800362</v>
      </c>
      <c r="G960" s="1271">
        <v>4.9433470418589733</v>
      </c>
      <c r="H960" s="1280">
        <v>1.6641887195919194</v>
      </c>
      <c r="I960" s="1271">
        <v>0.19985910447409147</v>
      </c>
      <c r="J960" s="1280">
        <v>1.622764228997044E-2</v>
      </c>
      <c r="K960" s="1271">
        <v>2.9270806233130178E-3</v>
      </c>
      <c r="L960" s="1257">
        <v>2.0000010935359081E-3</v>
      </c>
      <c r="M960" s="1230">
        <v>2.0000010935359081E-3</v>
      </c>
      <c r="N960" s="1271">
        <v>2.560116758481221E-2</v>
      </c>
      <c r="O960" s="1257">
        <v>1.4074952434959688E-2</v>
      </c>
      <c r="P960" s="1237">
        <v>7.037476217479844E-3</v>
      </c>
      <c r="Q960" s="1292">
        <v>0.20889584631676911</v>
      </c>
    </row>
    <row r="961" spans="1:17" s="212" customFormat="1" ht="15.5" x14ac:dyDescent="0.35">
      <c r="A961" s="198">
        <v>2032</v>
      </c>
      <c r="B961" s="197" t="s">
        <v>5838</v>
      </c>
      <c r="C961" s="197">
        <v>1984</v>
      </c>
      <c r="D961" s="225" t="str">
        <f t="shared" si="10"/>
        <v>2032_1984</v>
      </c>
      <c r="E961" s="1291">
        <v>0.29573628338951591</v>
      </c>
      <c r="F961" s="1280">
        <v>0.50366760702800362</v>
      </c>
      <c r="G961" s="1271">
        <v>4.9433470418589733</v>
      </c>
      <c r="H961" s="1280">
        <v>1.6641887195919194</v>
      </c>
      <c r="I961" s="1271">
        <v>0.19985910447409147</v>
      </c>
      <c r="J961" s="1280">
        <v>1.622764228997044E-2</v>
      </c>
      <c r="K961" s="1271">
        <v>2.9270806233130178E-3</v>
      </c>
      <c r="L961" s="1257">
        <v>2.0000010935359081E-3</v>
      </c>
      <c r="M961" s="1230">
        <v>2.0000010935359081E-3</v>
      </c>
      <c r="N961" s="1271">
        <v>2.560116758481221E-2</v>
      </c>
      <c r="O961" s="1257">
        <v>1.4074952434959688E-2</v>
      </c>
      <c r="P961" s="1237">
        <v>7.037476217479844E-3</v>
      </c>
      <c r="Q961" s="1292">
        <v>0.20889584631676911</v>
      </c>
    </row>
    <row r="962" spans="1:17" s="212" customFormat="1" ht="15.5" x14ac:dyDescent="0.35">
      <c r="A962" s="198">
        <v>2032</v>
      </c>
      <c r="B962" s="197" t="s">
        <v>5838</v>
      </c>
      <c r="C962" s="197">
        <v>1985</v>
      </c>
      <c r="D962" s="225" t="str">
        <f t="shared" si="10"/>
        <v>2032_1985</v>
      </c>
      <c r="E962" s="1291">
        <v>0.29573628338951591</v>
      </c>
      <c r="F962" s="1280">
        <v>0.50366760702800362</v>
      </c>
      <c r="G962" s="1271">
        <v>4.9433470418589733</v>
      </c>
      <c r="H962" s="1280">
        <v>1.6641887195919194</v>
      </c>
      <c r="I962" s="1271">
        <v>0.19985910447409147</v>
      </c>
      <c r="J962" s="1280">
        <v>1.622764228997044E-2</v>
      </c>
      <c r="K962" s="1271">
        <v>2.9270806233130178E-3</v>
      </c>
      <c r="L962" s="1257">
        <v>2.0000010935359081E-3</v>
      </c>
      <c r="M962" s="1230">
        <v>2.0000010935359081E-3</v>
      </c>
      <c r="N962" s="1271">
        <v>2.560116758481221E-2</v>
      </c>
      <c r="O962" s="1257">
        <v>1.4074952434959688E-2</v>
      </c>
      <c r="P962" s="1237">
        <v>7.037476217479844E-3</v>
      </c>
      <c r="Q962" s="1292">
        <v>0.20889584631676911</v>
      </c>
    </row>
    <row r="963" spans="1:17" s="212" customFormat="1" ht="15.5" x14ac:dyDescent="0.35">
      <c r="A963" s="198">
        <v>2032</v>
      </c>
      <c r="B963" s="197" t="s">
        <v>5838</v>
      </c>
      <c r="C963" s="197">
        <v>1986</v>
      </c>
      <c r="D963" s="225" t="str">
        <f t="shared" si="10"/>
        <v>2032_1986</v>
      </c>
      <c r="E963" s="1291">
        <v>0.29573628338951591</v>
      </c>
      <c r="F963" s="1280">
        <v>0.50366760702800362</v>
      </c>
      <c r="G963" s="1271">
        <v>4.9433470418589733</v>
      </c>
      <c r="H963" s="1280">
        <v>1.6641887195919194</v>
      </c>
      <c r="I963" s="1271">
        <v>0.19985910447409147</v>
      </c>
      <c r="J963" s="1280">
        <v>1.622764228997044E-2</v>
      </c>
      <c r="K963" s="1271">
        <v>2.9270806233130178E-3</v>
      </c>
      <c r="L963" s="1257">
        <v>2.0000010935359081E-3</v>
      </c>
      <c r="M963" s="1230">
        <v>2.0000010935359081E-3</v>
      </c>
      <c r="N963" s="1271">
        <v>2.560116758481221E-2</v>
      </c>
      <c r="O963" s="1257">
        <v>1.4074952434959688E-2</v>
      </c>
      <c r="P963" s="1237">
        <v>7.037476217479844E-3</v>
      </c>
      <c r="Q963" s="1292">
        <v>0.20889584631676911</v>
      </c>
    </row>
    <row r="964" spans="1:17" s="212" customFormat="1" ht="15.5" x14ac:dyDescent="0.35">
      <c r="A964" s="198">
        <v>2032</v>
      </c>
      <c r="B964" s="197" t="s">
        <v>5838</v>
      </c>
      <c r="C964" s="197">
        <v>1987</v>
      </c>
      <c r="D964" s="225" t="str">
        <f t="shared" si="10"/>
        <v>2032_1987</v>
      </c>
      <c r="E964" s="1291">
        <v>0.29573628338951591</v>
      </c>
      <c r="F964" s="1280">
        <v>0.50366760702800362</v>
      </c>
      <c r="G964" s="1271">
        <v>4.9433470418589733</v>
      </c>
      <c r="H964" s="1280">
        <v>1.6641887195919194</v>
      </c>
      <c r="I964" s="1271">
        <v>0.19985910447409147</v>
      </c>
      <c r="J964" s="1280">
        <v>1.622764228997044E-2</v>
      </c>
      <c r="K964" s="1271">
        <v>2.9270806233130178E-3</v>
      </c>
      <c r="L964" s="1257">
        <v>2.0000010935359081E-3</v>
      </c>
      <c r="M964" s="1230">
        <v>2.0000010935359081E-3</v>
      </c>
      <c r="N964" s="1271">
        <v>2.560116758481221E-2</v>
      </c>
      <c r="O964" s="1257">
        <v>1.4074952434959688E-2</v>
      </c>
      <c r="P964" s="1237">
        <v>7.037476217479844E-3</v>
      </c>
      <c r="Q964" s="1292">
        <v>0.20889584631676911</v>
      </c>
    </row>
    <row r="965" spans="1:17" s="212" customFormat="1" ht="15.5" x14ac:dyDescent="0.35">
      <c r="A965" s="198">
        <v>2032</v>
      </c>
      <c r="B965" s="197" t="s">
        <v>5838</v>
      </c>
      <c r="C965" s="197">
        <v>1988</v>
      </c>
      <c r="D965" s="225" t="str">
        <f t="shared" si="10"/>
        <v>2032_1988</v>
      </c>
      <c r="E965" s="1287">
        <v>0.29573628338951591</v>
      </c>
      <c r="F965" s="1306">
        <v>0.50366760702800362</v>
      </c>
      <c r="G965" s="1303">
        <v>4.9433470418589733</v>
      </c>
      <c r="H965" s="1306">
        <v>1.6641887195919194</v>
      </c>
      <c r="I965" s="1303">
        <v>0.19985910447409147</v>
      </c>
      <c r="J965" s="1306">
        <v>1.622764228997044E-2</v>
      </c>
      <c r="K965" s="1303">
        <v>2.9270806233130178E-3</v>
      </c>
      <c r="L965" s="1288">
        <v>2.0000010935359081E-3</v>
      </c>
      <c r="M965" s="1230">
        <v>2.0000010935359081E-3</v>
      </c>
      <c r="N965" s="1303">
        <v>2.560116758481221E-2</v>
      </c>
      <c r="O965" s="1288">
        <v>1.4074952434959688E-2</v>
      </c>
      <c r="P965" s="1237">
        <v>7.037476217479844E-3</v>
      </c>
      <c r="Q965" s="1290">
        <v>0.20889584631676911</v>
      </c>
    </row>
    <row r="966" spans="1:17" s="212" customFormat="1" ht="15.5" x14ac:dyDescent="0.35">
      <c r="A966" s="198">
        <v>2032</v>
      </c>
      <c r="B966" s="197" t="s">
        <v>5838</v>
      </c>
      <c r="C966" s="197">
        <v>1989</v>
      </c>
      <c r="D966" s="225" t="str">
        <f t="shared" si="10"/>
        <v>2032_1989</v>
      </c>
      <c r="E966" s="1287">
        <v>0.30022123897595748</v>
      </c>
      <c r="F966" s="1306">
        <v>0.44572991660235056</v>
      </c>
      <c r="G966" s="1303">
        <v>4.705280875789505</v>
      </c>
      <c r="H966" s="1306">
        <v>1.8866122011529578</v>
      </c>
      <c r="I966" s="1303">
        <v>0.20174056532559756</v>
      </c>
      <c r="J966" s="1306">
        <v>1.6389717066146902E-2</v>
      </c>
      <c r="K966" s="1303">
        <v>2.8701485047557241E-3</v>
      </c>
      <c r="L966" s="1288">
        <v>2.000001142211898E-3</v>
      </c>
      <c r="M966" s="1230">
        <v>2.000001142211898E-3</v>
      </c>
      <c r="N966" s="1303">
        <v>2.4265143775050565E-2</v>
      </c>
      <c r="O966" s="1288">
        <v>1.3055050777720735E-2</v>
      </c>
      <c r="P966" s="1237">
        <v>6.5275253888603677E-3</v>
      </c>
      <c r="Q966" s="1290">
        <v>0.21086237847912079</v>
      </c>
    </row>
    <row r="967" spans="1:17" s="212" customFormat="1" ht="15.5" x14ac:dyDescent="0.35">
      <c r="A967" s="198">
        <v>2032</v>
      </c>
      <c r="B967" s="197" t="s">
        <v>5838</v>
      </c>
      <c r="C967" s="197">
        <v>1990</v>
      </c>
      <c r="D967" s="225" t="str">
        <f t="shared" si="10"/>
        <v>2032_1990</v>
      </c>
      <c r="E967" s="1287">
        <v>0.30094433893577122</v>
      </c>
      <c r="F967" s="1306">
        <v>0.48932998665202088</v>
      </c>
      <c r="G967" s="1303">
        <v>4.7858351394942549</v>
      </c>
      <c r="H967" s="1306">
        <v>1.867610909577857</v>
      </c>
      <c r="I967" s="1303">
        <v>0.20281350618790314</v>
      </c>
      <c r="J967" s="1306">
        <v>1.6566429438880214E-2</v>
      </c>
      <c r="K967" s="1303">
        <v>2.8982909526285771E-3</v>
      </c>
      <c r="L967" s="1288">
        <v>2.0000010924949001E-3</v>
      </c>
      <c r="M967" s="1230">
        <v>2.0000010924949001E-3</v>
      </c>
      <c r="N967" s="1303">
        <v>2.4920409443954367E-2</v>
      </c>
      <c r="O967" s="1288">
        <v>1.2538179834631251E-2</v>
      </c>
      <c r="P967" s="1237">
        <v>6.2690899173156256E-3</v>
      </c>
      <c r="Q967" s="1290">
        <v>0.21198383296611609</v>
      </c>
    </row>
    <row r="968" spans="1:17" s="212" customFormat="1" ht="15.5" x14ac:dyDescent="0.35">
      <c r="A968" s="198">
        <v>2032</v>
      </c>
      <c r="B968" s="197" t="s">
        <v>5838</v>
      </c>
      <c r="C968" s="197">
        <v>1991</v>
      </c>
      <c r="D968" s="225" t="str">
        <f t="shared" si="10"/>
        <v>2032_1991</v>
      </c>
      <c r="E968" s="1287">
        <v>0.37756403064629251</v>
      </c>
      <c r="F968" s="1306">
        <v>0.50154774857460371</v>
      </c>
      <c r="G968" s="1303">
        <v>8.736481558836493</v>
      </c>
      <c r="H968" s="1306">
        <v>2.3201773354325215</v>
      </c>
      <c r="I968" s="1303">
        <v>6.2268065183556189E-2</v>
      </c>
      <c r="J968" s="1306">
        <v>9.2684362832372875E-3</v>
      </c>
      <c r="K968" s="1303">
        <v>2.9462852377226604E-3</v>
      </c>
      <c r="L968" s="1288">
        <v>2.0000011164629031E-3</v>
      </c>
      <c r="M968" s="1230">
        <v>2.0000011164629031E-3</v>
      </c>
      <c r="N968" s="1303">
        <v>2.6035848254824159E-2</v>
      </c>
      <c r="O968" s="1288">
        <v>1.1702028673115721E-2</v>
      </c>
      <c r="P968" s="1237">
        <v>5.8510143365578604E-3</v>
      </c>
      <c r="Q968" s="1290">
        <v>6.508355078070964E-2</v>
      </c>
    </row>
    <row r="969" spans="1:17" s="212" customFormat="1" ht="15.5" x14ac:dyDescent="0.35">
      <c r="A969" s="198">
        <v>2032</v>
      </c>
      <c r="B969" s="197" t="s">
        <v>5838</v>
      </c>
      <c r="C969" s="197">
        <v>1992</v>
      </c>
      <c r="D969" s="225" t="str">
        <f t="shared" si="10"/>
        <v>2032_1992</v>
      </c>
      <c r="E969" s="1287">
        <v>0.37692139842271832</v>
      </c>
      <c r="F969" s="1306">
        <v>0.50176339938886183</v>
      </c>
      <c r="G969" s="1303">
        <v>8.2495734443015891</v>
      </c>
      <c r="H969" s="1306">
        <v>2.2220432683481319</v>
      </c>
      <c r="I969" s="1303">
        <v>7.1629547419492873E-2</v>
      </c>
      <c r="J969" s="1306">
        <v>9.4358586512462185E-3</v>
      </c>
      <c r="K969" s="1303">
        <v>2.8877787287962249E-3</v>
      </c>
      <c r="L969" s="1288">
        <v>2.0000011494522071E-3</v>
      </c>
      <c r="M969" s="1230">
        <v>2.0000011494522071E-3</v>
      </c>
      <c r="N969" s="1303">
        <v>2.4661236083890831E-2</v>
      </c>
      <c r="O969" s="1288">
        <v>9.7745341578934653E-3</v>
      </c>
      <c r="P969" s="1237">
        <v>4.8872670789467327E-3</v>
      </c>
      <c r="Q969" s="1290">
        <v>7.4868317702393064E-2</v>
      </c>
    </row>
    <row r="970" spans="1:17" s="212" customFormat="1" ht="15.5" x14ac:dyDescent="0.35">
      <c r="A970" s="198">
        <v>2032</v>
      </c>
      <c r="B970" s="197" t="s">
        <v>5838</v>
      </c>
      <c r="C970" s="197">
        <v>1993</v>
      </c>
      <c r="D970" s="225" t="str">
        <f t="shared" si="10"/>
        <v>2032_1993</v>
      </c>
      <c r="E970" s="1287">
        <v>0.37469285529764174</v>
      </c>
      <c r="F970" s="1306">
        <v>0.50627231112835236</v>
      </c>
      <c r="G970" s="1303">
        <v>8.9420020501611841</v>
      </c>
      <c r="H970" s="1306">
        <v>2.247741451225258</v>
      </c>
      <c r="I970" s="1303">
        <v>5.4074361799486756E-2</v>
      </c>
      <c r="J970" s="1306">
        <v>9.4527560937257525E-3</v>
      </c>
      <c r="K970" s="1303">
        <v>2.9755534202681043E-3</v>
      </c>
      <c r="L970" s="1288">
        <v>2.0000011216582772E-3</v>
      </c>
      <c r="M970" s="1230">
        <v>2.0000011216582772E-3</v>
      </c>
      <c r="N970" s="1303">
        <v>2.6726673849057137E-2</v>
      </c>
      <c r="O970" s="1288">
        <v>1.0795386065280226E-2</v>
      </c>
      <c r="P970" s="1237">
        <v>5.3976930326401131E-3</v>
      </c>
      <c r="Q970" s="1290">
        <v>5.6519364488632831E-2</v>
      </c>
    </row>
    <row r="971" spans="1:17" s="212" customFormat="1" ht="15.5" x14ac:dyDescent="0.35">
      <c r="A971" s="198">
        <v>2032</v>
      </c>
      <c r="B971" s="197" t="s">
        <v>5838</v>
      </c>
      <c r="C971" s="197">
        <v>1994</v>
      </c>
      <c r="D971" s="225" t="str">
        <f t="shared" si="10"/>
        <v>2032_1994</v>
      </c>
      <c r="E971" s="1287">
        <v>0.34585650359930331</v>
      </c>
      <c r="F971" s="1306">
        <v>0.50381994063023683</v>
      </c>
      <c r="G971" s="1303">
        <v>8.2811856723662931</v>
      </c>
      <c r="H971" s="1306">
        <v>2.1015908019906986</v>
      </c>
      <c r="I971" s="1303">
        <v>5.4062768023945829E-2</v>
      </c>
      <c r="J971" s="1306">
        <v>9.6327705550263189E-3</v>
      </c>
      <c r="K971" s="1303">
        <v>2.8826256185364549E-3</v>
      </c>
      <c r="L971" s="1288">
        <v>2.000001298231789E-3</v>
      </c>
      <c r="M971" s="1230">
        <v>2.000001298231789E-3</v>
      </c>
      <c r="N971" s="1303">
        <v>2.4531303195368035E-2</v>
      </c>
      <c r="O971" s="1288">
        <v>7.9464353874719312E-3</v>
      </c>
      <c r="P971" s="1237">
        <v>3.9732176937359656E-3</v>
      </c>
      <c r="Q971" s="1290">
        <v>5.6507246494008637E-2</v>
      </c>
    </row>
    <row r="972" spans="1:17" s="212" customFormat="1" ht="15.5" x14ac:dyDescent="0.35">
      <c r="A972" s="198">
        <v>2032</v>
      </c>
      <c r="B972" s="197" t="s">
        <v>5838</v>
      </c>
      <c r="C972" s="197">
        <v>1995</v>
      </c>
      <c r="D972" s="225" t="str">
        <f t="shared" si="10"/>
        <v>2032_1995</v>
      </c>
      <c r="E972" s="1287">
        <v>0.37121221948766131</v>
      </c>
      <c r="F972" s="1306">
        <v>0.37493989309949222</v>
      </c>
      <c r="G972" s="1303">
        <v>9.1293532841162399</v>
      </c>
      <c r="H972" s="1306">
        <v>1.6582294535302013</v>
      </c>
      <c r="I972" s="1303">
        <v>5.371817043226939E-2</v>
      </c>
      <c r="J972" s="1306">
        <v>8.6866529902067981E-3</v>
      </c>
      <c r="K972" s="1303">
        <v>2.9856318355619507E-3</v>
      </c>
      <c r="L972" s="1288">
        <v>2.0000012019644061E-3</v>
      </c>
      <c r="M972" s="1230">
        <v>2.0000012019644061E-3</v>
      </c>
      <c r="N972" s="1303">
        <v>2.6963606835304337E-2</v>
      </c>
      <c r="O972" s="1288">
        <v>1.0139251331127735E-2</v>
      </c>
      <c r="P972" s="1237">
        <v>5.0696256655638674E-3</v>
      </c>
      <c r="Q972" s="1290">
        <v>5.6147067728365689E-2</v>
      </c>
    </row>
    <row r="973" spans="1:17" s="212" customFormat="1" ht="15.5" x14ac:dyDescent="0.35">
      <c r="A973" s="198">
        <v>2032</v>
      </c>
      <c r="B973" s="197" t="s">
        <v>5838</v>
      </c>
      <c r="C973" s="197">
        <v>1996</v>
      </c>
      <c r="D973" s="225" t="str">
        <f t="shared" si="10"/>
        <v>2032_1996</v>
      </c>
      <c r="E973" s="1287">
        <v>0.37477410926261034</v>
      </c>
      <c r="F973" s="1306">
        <v>0.126566593253154</v>
      </c>
      <c r="G973" s="1303">
        <v>9.1526102958195885</v>
      </c>
      <c r="H973" s="1306">
        <v>0.98624459820979793</v>
      </c>
      <c r="I973" s="1303">
        <v>5.395843499111095E-2</v>
      </c>
      <c r="J973" s="1306">
        <v>2.7060119859142295E-3</v>
      </c>
      <c r="K973" s="1303">
        <v>2.9924277015573983E-3</v>
      </c>
      <c r="L973" s="1288">
        <v>2.00000118760863E-3</v>
      </c>
      <c r="M973" s="1230">
        <v>2.00000118760863E-3</v>
      </c>
      <c r="N973" s="1303">
        <v>2.7121475958365861E-2</v>
      </c>
      <c r="O973" s="1288">
        <v>1.0184444059993273E-2</v>
      </c>
      <c r="P973" s="1237">
        <v>5.0922220299966367E-3</v>
      </c>
      <c r="Q973" s="1290">
        <v>5.6398195984399789E-2</v>
      </c>
    </row>
    <row r="974" spans="1:17" s="212" customFormat="1" ht="15.5" x14ac:dyDescent="0.35">
      <c r="A974" s="198">
        <v>2032</v>
      </c>
      <c r="B974" s="197" t="s">
        <v>5838</v>
      </c>
      <c r="C974" s="197">
        <v>1997</v>
      </c>
      <c r="D974" s="225" t="str">
        <f t="shared" si="10"/>
        <v>2032_1997</v>
      </c>
      <c r="E974" s="1287">
        <v>0.37741920498238379</v>
      </c>
      <c r="F974" s="1306">
        <v>0.12610586961745179</v>
      </c>
      <c r="G974" s="1303">
        <v>9.1733434987615059</v>
      </c>
      <c r="H974" s="1306">
        <v>0.98618586841504352</v>
      </c>
      <c r="I974" s="1303">
        <v>5.4124456287805385E-2</v>
      </c>
      <c r="J974" s="1306">
        <v>2.701810055677737E-3</v>
      </c>
      <c r="K974" s="1303">
        <v>2.9978847867658861E-3</v>
      </c>
      <c r="L974" s="1288">
        <v>2.0000011717870845E-3</v>
      </c>
      <c r="M974" s="1230">
        <v>2.0000011717870845E-3</v>
      </c>
      <c r="N974" s="1303">
        <v>2.7250460221875921E-2</v>
      </c>
      <c r="O974" s="1288">
        <v>1.0181625565772102E-2</v>
      </c>
      <c r="P974" s="1237">
        <v>5.0908127828860512E-3</v>
      </c>
      <c r="Q974" s="1290">
        <v>5.6571724027422172E-2</v>
      </c>
    </row>
    <row r="975" spans="1:17" s="212" customFormat="1" ht="15.5" x14ac:dyDescent="0.35">
      <c r="A975" s="198">
        <v>2032</v>
      </c>
      <c r="B975" s="197" t="s">
        <v>5838</v>
      </c>
      <c r="C975" s="197">
        <v>1998</v>
      </c>
      <c r="D975" s="225" t="str">
        <f t="shared" si="10"/>
        <v>2032_1998</v>
      </c>
      <c r="E975" s="1287">
        <v>0.37681829813742151</v>
      </c>
      <c r="F975" s="1306">
        <v>0.12894664429637384</v>
      </c>
      <c r="G975" s="1303">
        <v>9.1802622248647889</v>
      </c>
      <c r="H975" s="1306">
        <v>1.0063892009029509</v>
      </c>
      <c r="I975" s="1303">
        <v>5.4041087843537179E-2</v>
      </c>
      <c r="J975" s="1306">
        <v>2.7383572471604421E-3</v>
      </c>
      <c r="K975" s="1303">
        <v>2.9977374742880575E-3</v>
      </c>
      <c r="L975" s="1288">
        <v>2.0000012507990958E-3</v>
      </c>
      <c r="M975" s="1230">
        <v>2.0000012507990958E-3</v>
      </c>
      <c r="N975" s="1303">
        <v>2.7246350792423331E-2</v>
      </c>
      <c r="O975" s="1288">
        <v>8.6381997610969607E-3</v>
      </c>
      <c r="P975" s="1237">
        <v>4.3190998805484803E-3</v>
      </c>
      <c r="Q975" s="1290">
        <v>5.6484586032046209E-2</v>
      </c>
    </row>
    <row r="976" spans="1:17" s="212" customFormat="1" ht="15.5" x14ac:dyDescent="0.35">
      <c r="A976" s="198">
        <v>2032</v>
      </c>
      <c r="B976" s="197" t="s">
        <v>5838</v>
      </c>
      <c r="C976" s="197">
        <v>1999</v>
      </c>
      <c r="D976" s="225" t="str">
        <f t="shared" si="10"/>
        <v>2032_1999</v>
      </c>
      <c r="E976" s="1287">
        <v>0.37736011063957137</v>
      </c>
      <c r="F976" s="1306">
        <v>0.12619919138926075</v>
      </c>
      <c r="G976" s="1303">
        <v>9.1945498840178193</v>
      </c>
      <c r="H976" s="1306">
        <v>0.99453301138582761</v>
      </c>
      <c r="I976" s="1303">
        <v>5.4067732979145237E-2</v>
      </c>
      <c r="J976" s="1306">
        <v>2.7632525487053627E-3</v>
      </c>
      <c r="K976" s="1303">
        <v>2.9991306177864887E-3</v>
      </c>
      <c r="L976" s="1288">
        <v>2.0000013048022017E-3</v>
      </c>
      <c r="M976" s="1230">
        <v>2.0000013048022017E-3</v>
      </c>
      <c r="N976" s="1303">
        <v>2.7279646961612464E-2</v>
      </c>
      <c r="O976" s="1288">
        <v>8.3691455709801587E-3</v>
      </c>
      <c r="P976" s="1237">
        <v>4.1845727854900793E-3</v>
      </c>
      <c r="Q976" s="1290">
        <v>5.6512435942450409E-2</v>
      </c>
    </row>
    <row r="977" spans="1:17" s="212" customFormat="1" ht="15.5" x14ac:dyDescent="0.35">
      <c r="A977" s="198">
        <v>2032</v>
      </c>
      <c r="B977" s="197" t="s">
        <v>5838</v>
      </c>
      <c r="C977" s="197">
        <v>2000</v>
      </c>
      <c r="D977" s="225" t="str">
        <f t="shared" si="10"/>
        <v>2032_2000</v>
      </c>
      <c r="E977" s="1287">
        <v>0.3757135692192321</v>
      </c>
      <c r="F977" s="1306">
        <v>0.12108616677451951</v>
      </c>
      <c r="G977" s="1303">
        <v>9.2314000217493373</v>
      </c>
      <c r="H977" s="1306">
        <v>0.96901153239777593</v>
      </c>
      <c r="I977" s="1303">
        <v>5.3807359617851359E-2</v>
      </c>
      <c r="J977" s="1306">
        <v>2.7626745641017168E-3</v>
      </c>
      <c r="K977" s="1303">
        <v>2.9997473081718479E-3</v>
      </c>
      <c r="L977" s="1288">
        <v>2.0000013616106654E-3</v>
      </c>
      <c r="M977" s="1230">
        <v>2.0000013616106654E-3</v>
      </c>
      <c r="N977" s="1303">
        <v>2.7294004567728722E-2</v>
      </c>
      <c r="O977" s="1288">
        <v>8.5453706994622416E-3</v>
      </c>
      <c r="P977" s="1237">
        <v>4.2726853497311208E-3</v>
      </c>
      <c r="Q977" s="1290">
        <v>5.6240289653148492E-2</v>
      </c>
    </row>
    <row r="978" spans="1:17" s="212" customFormat="1" ht="15.5" x14ac:dyDescent="0.35">
      <c r="A978" s="198">
        <v>2032</v>
      </c>
      <c r="B978" s="197" t="s">
        <v>5838</v>
      </c>
      <c r="C978" s="197">
        <v>2001</v>
      </c>
      <c r="D978" s="225" t="str">
        <f t="shared" si="10"/>
        <v>2032_2001</v>
      </c>
      <c r="E978" s="1287">
        <v>0.37749458838646044</v>
      </c>
      <c r="F978" s="1306">
        <v>0.11802144615047842</v>
      </c>
      <c r="G978" s="1303">
        <v>9.2001601045546568</v>
      </c>
      <c r="H978" s="1306">
        <v>0.95002443414458537</v>
      </c>
      <c r="I978" s="1303">
        <v>5.4055805764512216E-2</v>
      </c>
      <c r="J978" s="1306">
        <v>2.7848120080928023E-3</v>
      </c>
      <c r="K978" s="1303">
        <v>2.9999226791966073E-3</v>
      </c>
      <c r="L978" s="1288">
        <v>2.0000013456435454E-3</v>
      </c>
      <c r="M978" s="1230">
        <v>2.0000013456435454E-3</v>
      </c>
      <c r="N978" s="1303">
        <v>2.7298185164684532E-2</v>
      </c>
      <c r="O978" s="1288">
        <v>7.9029926021832488E-3</v>
      </c>
      <c r="P978" s="1237">
        <v>3.9514963010916244E-3</v>
      </c>
      <c r="Q978" s="1290">
        <v>5.6499969432097889E-2</v>
      </c>
    </row>
    <row r="979" spans="1:17" s="212" customFormat="1" ht="15.5" x14ac:dyDescent="0.35">
      <c r="A979" s="198">
        <v>2032</v>
      </c>
      <c r="B979" s="197" t="s">
        <v>5838</v>
      </c>
      <c r="C979" s="197">
        <v>2002</v>
      </c>
      <c r="D979" s="225" t="str">
        <f t="shared" si="10"/>
        <v>2032_2002</v>
      </c>
      <c r="E979" s="1287">
        <v>0.29112303957322172</v>
      </c>
      <c r="F979" s="1306">
        <v>0.11749684942033443</v>
      </c>
      <c r="G979" s="1303">
        <v>7.1161598073530463</v>
      </c>
      <c r="H979" s="1306">
        <v>0.92105937572610108</v>
      </c>
      <c r="I979" s="1303">
        <v>5.4266831531506285E-2</v>
      </c>
      <c r="J979" s="1306">
        <v>2.7997916337929767E-3</v>
      </c>
      <c r="K979" s="1303">
        <v>2.9999419362812425E-3</v>
      </c>
      <c r="L979" s="1288">
        <v>2.0000014255864397E-3</v>
      </c>
      <c r="M979" s="1230">
        <v>2.0000014255864397E-3</v>
      </c>
      <c r="N979" s="1303">
        <v>2.7298636458761186E-2</v>
      </c>
      <c r="O979" s="1288">
        <v>7.3353170788838977E-3</v>
      </c>
      <c r="P979" s="1237">
        <v>3.6676585394419489E-3</v>
      </c>
      <c r="Q979" s="1290">
        <v>5.6720536847862553E-2</v>
      </c>
    </row>
    <row r="980" spans="1:17" s="212" customFormat="1" ht="15.5" x14ac:dyDescent="0.35">
      <c r="A980" s="198">
        <v>2032</v>
      </c>
      <c r="B980" s="197" t="s">
        <v>5838</v>
      </c>
      <c r="C980" s="197">
        <v>2003</v>
      </c>
      <c r="D980" s="225" t="str">
        <f t="shared" si="10"/>
        <v>2032_2003</v>
      </c>
      <c r="E980" s="1287">
        <v>0.28956013511615353</v>
      </c>
      <c r="F980" s="1306">
        <v>9.5174503222673165E-2</v>
      </c>
      <c r="G980" s="1303">
        <v>7.1422728043188641</v>
      </c>
      <c r="H980" s="1306">
        <v>0.7160707131143077</v>
      </c>
      <c r="I980" s="1303">
        <v>5.3975527464186657E-2</v>
      </c>
      <c r="J980" s="1306">
        <v>2.7869529935953402E-3</v>
      </c>
      <c r="K980" s="1303">
        <v>2.9999415184140061E-3</v>
      </c>
      <c r="L980" s="1288">
        <v>2.000001449386475E-3</v>
      </c>
      <c r="M980" s="1230">
        <v>2.000001449386475E-3</v>
      </c>
      <c r="N980" s="1303">
        <v>2.7298645522750249E-2</v>
      </c>
      <c r="O980" s="1288">
        <v>7.7590743154180748E-3</v>
      </c>
      <c r="P980" s="1237">
        <v>3.8795371577090374E-3</v>
      </c>
      <c r="Q980" s="1290">
        <v>5.6416061303261412E-2</v>
      </c>
    </row>
    <row r="981" spans="1:17" s="212" customFormat="1" ht="15.5" x14ac:dyDescent="0.35">
      <c r="A981" s="198">
        <v>2032</v>
      </c>
      <c r="B981" s="197" t="s">
        <v>5838</v>
      </c>
      <c r="C981" s="197">
        <v>2004</v>
      </c>
      <c r="D981" s="225" t="str">
        <f t="shared" si="10"/>
        <v>2032_2004</v>
      </c>
      <c r="E981" s="1287">
        <v>0.59700458665551304</v>
      </c>
      <c r="F981" s="1306">
        <v>1.7964928778500002E-2</v>
      </c>
      <c r="G981" s="1303">
        <v>4.2111770625885212</v>
      </c>
      <c r="H981" s="1306">
        <v>0.12260468314425342</v>
      </c>
      <c r="I981" s="1303">
        <v>0.15464854308483456</v>
      </c>
      <c r="J981" s="1306">
        <v>1.8665405605986592E-4</v>
      </c>
      <c r="K981" s="1303">
        <v>2.9992801239453601E-3</v>
      </c>
      <c r="L981" s="1288">
        <v>2.0000015212520133E-3</v>
      </c>
      <c r="M981" s="1230">
        <v>2.0000015212520133E-3</v>
      </c>
      <c r="N981" s="1303">
        <v>2.7283071094847552E-2</v>
      </c>
      <c r="O981" s="1288">
        <v>7.1801963367151868E-3</v>
      </c>
      <c r="P981" s="1237">
        <v>3.5900981683575934E-3</v>
      </c>
      <c r="Q981" s="1290">
        <v>0.16164106396038536</v>
      </c>
    </row>
    <row r="982" spans="1:17" s="212" customFormat="1" ht="15.5" x14ac:dyDescent="0.35">
      <c r="A982" s="198">
        <v>2032</v>
      </c>
      <c r="B982" s="197" t="s">
        <v>5838</v>
      </c>
      <c r="C982" s="197">
        <v>2005</v>
      </c>
      <c r="D982" s="225" t="str">
        <f t="shared" si="10"/>
        <v>2032_2005</v>
      </c>
      <c r="E982" s="1287">
        <v>0.56464645237507904</v>
      </c>
      <c r="F982" s="1306">
        <v>1.6053367733469069E-2</v>
      </c>
      <c r="G982" s="1303">
        <v>4.0560443091829121</v>
      </c>
      <c r="H982" s="1306">
        <v>0.10695963411923516</v>
      </c>
      <c r="I982" s="1303">
        <v>0.14808400607029704</v>
      </c>
      <c r="J982" s="1306">
        <v>1.8711263824977987E-4</v>
      </c>
      <c r="K982" s="1303">
        <v>2.9366961628737595E-3</v>
      </c>
      <c r="L982" s="1288">
        <v>2.0000015447058524E-3</v>
      </c>
      <c r="M982" s="1230">
        <v>2.0000015447058524E-3</v>
      </c>
      <c r="N982" s="1303">
        <v>2.5805790006619478E-2</v>
      </c>
      <c r="O982" s="1288">
        <v>6.633902502736458E-3</v>
      </c>
      <c r="P982" s="1237">
        <v>3.316951251368229E-3</v>
      </c>
      <c r="Q982" s="1290">
        <v>0.15477970771175101</v>
      </c>
    </row>
    <row r="983" spans="1:17" s="212" customFormat="1" ht="15.5" x14ac:dyDescent="0.35">
      <c r="A983" s="198">
        <v>2032</v>
      </c>
      <c r="B983" s="197" t="s">
        <v>5838</v>
      </c>
      <c r="C983" s="197">
        <v>2006</v>
      </c>
      <c r="D983" s="225" t="str">
        <f t="shared" si="10"/>
        <v>2032_2006</v>
      </c>
      <c r="E983" s="1287">
        <v>0.57566204731676052</v>
      </c>
      <c r="F983" s="1306">
        <v>7.0767110986604178E-3</v>
      </c>
      <c r="G983" s="1303">
        <v>4.1127435215838997</v>
      </c>
      <c r="H983" s="1306">
        <v>8.5543469285860332E-2</v>
      </c>
      <c r="I983" s="1303">
        <v>0.15027321318623479</v>
      </c>
      <c r="J983" s="1306">
        <v>1.8195628150331156E-4</v>
      </c>
      <c r="K983" s="1303">
        <v>2.9628979305795426E-3</v>
      </c>
      <c r="L983" s="1288">
        <v>2.0000014268886654E-3</v>
      </c>
      <c r="M983" s="1230">
        <v>2.0000014268886654E-3</v>
      </c>
      <c r="N983" s="1303">
        <v>2.6423990605184904E-2</v>
      </c>
      <c r="O983" s="1288">
        <v>9.6907797571080811E-3</v>
      </c>
      <c r="P983" s="1237">
        <v>4.8453898785540406E-3</v>
      </c>
      <c r="Q983" s="1290">
        <v>0.15706790105900917</v>
      </c>
    </row>
    <row r="984" spans="1:17" s="212" customFormat="1" ht="15.5" x14ac:dyDescent="0.35">
      <c r="A984" s="198">
        <v>2032</v>
      </c>
      <c r="B984" s="197" t="s">
        <v>5838</v>
      </c>
      <c r="C984" s="197">
        <v>2007</v>
      </c>
      <c r="D984" s="225" t="str">
        <f t="shared" si="10"/>
        <v>2032_2007</v>
      </c>
      <c r="E984" s="1287">
        <v>0.31816740373659957</v>
      </c>
      <c r="F984" s="1306">
        <v>8.9116058164292102E-3</v>
      </c>
      <c r="G984" s="1303">
        <v>2.3147209571443428</v>
      </c>
      <c r="H984" s="1306">
        <v>7.0713526926779666E-2</v>
      </c>
      <c r="I984" s="1303">
        <v>8.3056862800384698E-2</v>
      </c>
      <c r="J984" s="1306">
        <v>1.8627559351044575E-4</v>
      </c>
      <c r="K984" s="1303">
        <v>2.9386499030246488E-3</v>
      </c>
      <c r="L984" s="1288">
        <v>2.0000014622332642E-3</v>
      </c>
      <c r="M984" s="1230">
        <v>2.0000014622332642E-3</v>
      </c>
      <c r="N984" s="1303">
        <v>2.5852549606892945E-2</v>
      </c>
      <c r="O984" s="1288">
        <v>6.8457889939259071E-3</v>
      </c>
      <c r="P984" s="1237">
        <v>3.4228944969629535E-3</v>
      </c>
      <c r="Q984" s="1290">
        <v>8.6812325576847996E-2</v>
      </c>
    </row>
    <row r="985" spans="1:17" s="212" customFormat="1" ht="15.5" x14ac:dyDescent="0.35">
      <c r="A985" s="198">
        <v>2032</v>
      </c>
      <c r="B985" s="197" t="s">
        <v>5838</v>
      </c>
      <c r="C985" s="197">
        <v>2008</v>
      </c>
      <c r="D985" s="225" t="str">
        <f t="shared" si="10"/>
        <v>2032_2008</v>
      </c>
      <c r="E985" s="1287">
        <v>0.32533950010859153</v>
      </c>
      <c r="F985" s="1306">
        <v>8.2970864386792288E-3</v>
      </c>
      <c r="G985" s="1303">
        <v>2.3717591531961579</v>
      </c>
      <c r="H985" s="1306">
        <v>5.3448993846783532E-2</v>
      </c>
      <c r="I985" s="1303">
        <v>8.4917574879541852E-2</v>
      </c>
      <c r="J985" s="1306">
        <v>2.1037269065433582E-4</v>
      </c>
      <c r="K985" s="1303">
        <v>2.9637112093247641E-3</v>
      </c>
      <c r="L985" s="1288">
        <v>2.0000016149216834E-3</v>
      </c>
      <c r="M985" s="1230">
        <v>2.0000016149216834E-3</v>
      </c>
      <c r="N985" s="1303">
        <v>2.6444865159091401E-2</v>
      </c>
      <c r="O985" s="1288">
        <v>6.6871569112698171E-3</v>
      </c>
      <c r="P985" s="1237">
        <v>3.3435784556349085E-3</v>
      </c>
      <c r="Q985" s="1290">
        <v>8.875717079943711E-2</v>
      </c>
    </row>
    <row r="986" spans="1:17" s="212" customFormat="1" ht="15.5" x14ac:dyDescent="0.35">
      <c r="A986" s="198">
        <v>2032</v>
      </c>
      <c r="B986" s="197" t="s">
        <v>5838</v>
      </c>
      <c r="C986" s="197">
        <v>2009</v>
      </c>
      <c r="D986" s="225" t="str">
        <f t="shared" si="10"/>
        <v>2032_2009</v>
      </c>
      <c r="E986" s="1287">
        <v>0.31200694162353304</v>
      </c>
      <c r="F986" s="1306">
        <v>7.9448040380727322E-3</v>
      </c>
      <c r="G986" s="1303">
        <v>2.2517619231422863</v>
      </c>
      <c r="H986" s="1306">
        <v>3.8671663572427892E-2</v>
      </c>
      <c r="I986" s="1303">
        <v>8.1293526681482028E-2</v>
      </c>
      <c r="J986" s="1306">
        <v>2.3929151550434243E-4</v>
      </c>
      <c r="K986" s="1303">
        <v>2.9071422201293134E-3</v>
      </c>
      <c r="L986" s="1288">
        <v>2.0000016741481192E-3</v>
      </c>
      <c r="M986" s="1230">
        <v>2.0000016741481192E-3</v>
      </c>
      <c r="N986" s="1303">
        <v>2.5113787014973365E-2</v>
      </c>
      <c r="O986" s="1288">
        <v>5.2310751978891772E-3</v>
      </c>
      <c r="P986" s="1237">
        <v>2.6155375989445886E-3</v>
      </c>
      <c r="Q986" s="1290">
        <v>8.4969259223336618E-2</v>
      </c>
    </row>
    <row r="987" spans="1:17" s="212" customFormat="1" ht="15.5" x14ac:dyDescent="0.35">
      <c r="A987" s="198">
        <v>2032</v>
      </c>
      <c r="B987" s="197" t="s">
        <v>5838</v>
      </c>
      <c r="C987" s="197">
        <v>2010</v>
      </c>
      <c r="D987" s="225" t="str">
        <f t="shared" si="10"/>
        <v>2032_2010</v>
      </c>
      <c r="E987" s="1287">
        <v>6.5727752403023004E-2</v>
      </c>
      <c r="F987" s="1306">
        <v>7.3032131076088223E-3</v>
      </c>
      <c r="G987" s="1303">
        <v>0.56777919272034683</v>
      </c>
      <c r="H987" s="1306">
        <v>3.6546096535407024E-2</v>
      </c>
      <c r="I987" s="1303">
        <v>1.8156742578336302E-2</v>
      </c>
      <c r="J987" s="1306">
        <v>2.954854722177244E-4</v>
      </c>
      <c r="K987" s="1303">
        <v>2.7865326044458167E-3</v>
      </c>
      <c r="L987" s="1288">
        <v>2.0000017711168717E-3</v>
      </c>
      <c r="M987" s="1230">
        <v>2.0000017711168717E-3</v>
      </c>
      <c r="N987" s="1303">
        <v>2.2271381777856529E-2</v>
      </c>
      <c r="O987" s="1288">
        <v>4.4508948086950184E-3</v>
      </c>
      <c r="P987" s="1237">
        <v>2.2254474043475092E-3</v>
      </c>
      <c r="Q987" s="1290">
        <v>1.89777099083768E-2</v>
      </c>
    </row>
    <row r="988" spans="1:17" s="212" customFormat="1" ht="15.5" x14ac:dyDescent="0.35">
      <c r="A988" s="198">
        <v>2032</v>
      </c>
      <c r="B988" s="197" t="s">
        <v>5838</v>
      </c>
      <c r="C988" s="197">
        <v>2011</v>
      </c>
      <c r="D988" s="225" t="str">
        <f t="shared" si="10"/>
        <v>2032_2011</v>
      </c>
      <c r="E988" s="1287">
        <v>7.1003789953081875E-2</v>
      </c>
      <c r="F988" s="1306">
        <v>7.2688297768227928E-3</v>
      </c>
      <c r="G988" s="1303">
        <v>0.62843659360549597</v>
      </c>
      <c r="H988" s="1306">
        <v>3.61979926529329E-2</v>
      </c>
      <c r="I988" s="1303">
        <v>1.9416161615825569E-2</v>
      </c>
      <c r="J988" s="1306">
        <v>3.9351763221682449E-4</v>
      </c>
      <c r="K988" s="1303">
        <v>2.8834336744597419E-3</v>
      </c>
      <c r="L988" s="1288">
        <v>2.0000017141644085E-3</v>
      </c>
      <c r="M988" s="1230">
        <v>2.0000017141644085E-3</v>
      </c>
      <c r="N988" s="1303">
        <v>2.4560792075977382E-2</v>
      </c>
      <c r="O988" s="1288">
        <v>5.3358045581934277E-3</v>
      </c>
      <c r="P988" s="1237">
        <v>2.6679022790967138E-3</v>
      </c>
      <c r="Q988" s="1290">
        <v>2.0294074286152073E-2</v>
      </c>
    </row>
    <row r="989" spans="1:17" s="212" customFormat="1" ht="15.5" x14ac:dyDescent="0.35">
      <c r="A989" s="198">
        <v>2032</v>
      </c>
      <c r="B989" s="197" t="s">
        <v>5838</v>
      </c>
      <c r="C989" s="197">
        <v>2012</v>
      </c>
      <c r="D989" s="225" t="str">
        <f t="shared" si="10"/>
        <v>2032_2012</v>
      </c>
      <c r="E989" s="1287">
        <v>5.3463526485404846E-2</v>
      </c>
      <c r="F989" s="1306">
        <v>6.8949284340918751E-3</v>
      </c>
      <c r="G989" s="1303">
        <v>0.43755079522966978</v>
      </c>
      <c r="H989" s="1306">
        <v>3.4831830243029799E-2</v>
      </c>
      <c r="I989" s="1303">
        <v>1.4960254081660577E-2</v>
      </c>
      <c r="J989" s="1306">
        <v>5.7088360743022071E-4</v>
      </c>
      <c r="K989" s="1303">
        <v>2.6061002326892651E-3</v>
      </c>
      <c r="L989" s="1288">
        <v>2.0000017572533793E-3</v>
      </c>
      <c r="M989" s="1230">
        <v>2.0000017572533793E-3</v>
      </c>
      <c r="N989" s="1303">
        <v>1.799516565434418E-2</v>
      </c>
      <c r="O989" s="1288">
        <v>5.7723066849264173E-3</v>
      </c>
      <c r="P989" s="1237">
        <v>2.8861533424632086E-3</v>
      </c>
      <c r="Q989" s="1290">
        <v>1.5636690386088913E-2</v>
      </c>
    </row>
    <row r="990" spans="1:17" s="212" customFormat="1" ht="15.5" x14ac:dyDescent="0.35">
      <c r="A990" s="198">
        <v>2032</v>
      </c>
      <c r="B990" s="197" t="s">
        <v>5838</v>
      </c>
      <c r="C990" s="197">
        <v>2013</v>
      </c>
      <c r="D990" s="225" t="str">
        <f t="shared" si="10"/>
        <v>2032_2013</v>
      </c>
      <c r="E990" s="1287">
        <v>6.8128511473814948E-2</v>
      </c>
      <c r="F990" s="1306">
        <v>7.3872325649475138E-3</v>
      </c>
      <c r="G990" s="1303">
        <v>0.5932269341833194</v>
      </c>
      <c r="H990" s="1306">
        <v>3.5743602123107988E-2</v>
      </c>
      <c r="I990" s="1303">
        <v>1.840280519703854E-2</v>
      </c>
      <c r="J990" s="1306">
        <v>8.5346984436308773E-4</v>
      </c>
      <c r="K990" s="1303">
        <v>2.8441488810946238E-3</v>
      </c>
      <c r="L990" s="1288">
        <v>2.0000017554475829E-3</v>
      </c>
      <c r="M990" s="1230">
        <v>2.0000017554475829E-3</v>
      </c>
      <c r="N990" s="1303">
        <v>2.3629330407434087E-2</v>
      </c>
      <c r="O990" s="1288">
        <v>5.7735741182243549E-3</v>
      </c>
      <c r="P990" s="1237">
        <v>2.8867870591121774E-3</v>
      </c>
      <c r="Q990" s="1290">
        <v>1.923489838680998E-2</v>
      </c>
    </row>
    <row r="991" spans="1:17" s="212" customFormat="1" ht="15.5" x14ac:dyDescent="0.35">
      <c r="A991" s="198">
        <v>2032</v>
      </c>
      <c r="B991" s="197" t="s">
        <v>5838</v>
      </c>
      <c r="C991" s="197">
        <v>2014</v>
      </c>
      <c r="D991" s="225" t="str">
        <f t="shared" si="10"/>
        <v>2032_2014</v>
      </c>
      <c r="E991" s="1287">
        <v>5.8789088792367682E-2</v>
      </c>
      <c r="F991" s="1306">
        <v>7.4783364712722334E-3</v>
      </c>
      <c r="G991" s="1303">
        <v>0.49269419005558557</v>
      </c>
      <c r="H991" s="1306">
        <v>3.5705069546027209E-2</v>
      </c>
      <c r="I991" s="1303">
        <v>1.5971891472408861E-2</v>
      </c>
      <c r="J991" s="1306">
        <v>1.2052984414341974E-3</v>
      </c>
      <c r="K991" s="1303">
        <v>2.7014086478640746E-3</v>
      </c>
      <c r="L991" s="1288">
        <v>2.0000017627351905E-3</v>
      </c>
      <c r="M991" s="1230">
        <v>2.0000017627351905E-3</v>
      </c>
      <c r="N991" s="1303">
        <v>2.0240561300089367E-2</v>
      </c>
      <c r="O991" s="1288">
        <v>4.92050766286897E-3</v>
      </c>
      <c r="P991" s="1237">
        <v>2.460253831434485E-3</v>
      </c>
      <c r="Q991" s="1290">
        <v>1.6694069530572432E-2</v>
      </c>
    </row>
    <row r="992" spans="1:17" s="212" customFormat="1" ht="15.5" x14ac:dyDescent="0.35">
      <c r="A992" s="198">
        <v>2032</v>
      </c>
      <c r="B992" s="197" t="s">
        <v>5838</v>
      </c>
      <c r="C992" s="197">
        <v>2015</v>
      </c>
      <c r="D992" s="225" t="str">
        <f t="shared" si="10"/>
        <v>2032_2015</v>
      </c>
      <c r="E992" s="1287">
        <v>5.3452478163016341E-2</v>
      </c>
      <c r="F992" s="1306">
        <v>7.2850927631995964E-3</v>
      </c>
      <c r="G992" s="1303">
        <v>0.43823586817490612</v>
      </c>
      <c r="H992" s="1306">
        <v>3.4469803937683896E-2</v>
      </c>
      <c r="I992" s="1303">
        <v>1.4554648327629446E-2</v>
      </c>
      <c r="J992" s="1306">
        <v>1.4956760990770363E-3</v>
      </c>
      <c r="K992" s="1303">
        <v>2.6287788340919899E-3</v>
      </c>
      <c r="L992" s="1288">
        <v>2.0000017364344589E-3</v>
      </c>
      <c r="M992" s="1230">
        <v>2.0000017364344589E-3</v>
      </c>
      <c r="N992" s="1303">
        <v>1.8497266942230899E-2</v>
      </c>
      <c r="O992" s="1288">
        <v>5.6878150314185524E-3</v>
      </c>
      <c r="P992" s="1237">
        <v>2.8439075157092762E-3</v>
      </c>
      <c r="Q992" s="1290">
        <v>1.521274493970938E-2</v>
      </c>
    </row>
    <row r="993" spans="1:17" s="212" customFormat="1" ht="15.5" x14ac:dyDescent="0.35">
      <c r="A993" s="198">
        <v>2032</v>
      </c>
      <c r="B993" s="197" t="s">
        <v>5838</v>
      </c>
      <c r="C993" s="197">
        <v>2016</v>
      </c>
      <c r="D993" s="225" t="str">
        <f t="shared" si="10"/>
        <v>2032_2016</v>
      </c>
      <c r="E993" s="1287">
        <v>6.2984706268664578E-2</v>
      </c>
      <c r="F993" s="1306">
        <v>7.1188433378903499E-3</v>
      </c>
      <c r="G993" s="1303">
        <v>0.47926129527235511</v>
      </c>
      <c r="H993" s="1306">
        <v>3.3317986574246901E-2</v>
      </c>
      <c r="I993" s="1303">
        <v>1.659595336421112E-2</v>
      </c>
      <c r="J993" s="1306">
        <v>1.7024182909170002E-3</v>
      </c>
      <c r="K993" s="1303">
        <v>2.8038396005043965E-3</v>
      </c>
      <c r="L993" s="1288">
        <v>2.0000016757511828E-3</v>
      </c>
      <c r="M993" s="1230">
        <v>2.0000016757511828E-3</v>
      </c>
      <c r="N993" s="1303">
        <v>2.264487666066238E-2</v>
      </c>
      <c r="O993" s="1288">
        <v>6.5073744653764507E-3</v>
      </c>
      <c r="P993" s="1237">
        <v>3.2536872326882254E-3</v>
      </c>
      <c r="Q993" s="1290">
        <v>1.7346348731888381E-2</v>
      </c>
    </row>
    <row r="994" spans="1:17" s="212" customFormat="1" ht="15.5" x14ac:dyDescent="0.35">
      <c r="A994" s="198">
        <v>2032</v>
      </c>
      <c r="B994" s="197" t="s">
        <v>5838</v>
      </c>
      <c r="C994" s="197">
        <v>2017</v>
      </c>
      <c r="D994" s="225" t="str">
        <f t="shared" si="10"/>
        <v>2032_2017</v>
      </c>
      <c r="E994" s="1287">
        <v>6.4517924148208505E-2</v>
      </c>
      <c r="F994" s="1306">
        <v>6.7921020075107138E-3</v>
      </c>
      <c r="G994" s="1303">
        <v>0.42734592080151734</v>
      </c>
      <c r="H994" s="1306">
        <v>3.2098520966354273E-2</v>
      </c>
      <c r="I994" s="1303">
        <v>1.6671843415779496E-2</v>
      </c>
      <c r="J994" s="1306">
        <v>1.8286072636363056E-3</v>
      </c>
      <c r="K994" s="1303">
        <v>2.8389518854933767E-3</v>
      </c>
      <c r="L994" s="1288">
        <v>2.0000016460373438E-3</v>
      </c>
      <c r="M994" s="1230">
        <v>2.0000016460373438E-3</v>
      </c>
      <c r="N994" s="1303">
        <v>2.3478524763138293E-2</v>
      </c>
      <c r="O994" s="1288">
        <v>6.4656103348430111E-3</v>
      </c>
      <c r="P994" s="1237">
        <v>3.2328051674215055E-3</v>
      </c>
      <c r="Q994" s="1290">
        <v>1.7425670194831561E-2</v>
      </c>
    </row>
    <row r="995" spans="1:17" s="212" customFormat="1" ht="15.5" x14ac:dyDescent="0.35">
      <c r="A995" s="198">
        <v>2032</v>
      </c>
      <c r="B995" s="197" t="s">
        <v>5838</v>
      </c>
      <c r="C995" s="197">
        <v>2018</v>
      </c>
      <c r="D995" s="225" t="str">
        <f t="shared" si="10"/>
        <v>2032_2018</v>
      </c>
      <c r="E995" s="1287">
        <v>5.9014263638952333E-2</v>
      </c>
      <c r="F995" s="1306">
        <v>6.5983281755715457E-3</v>
      </c>
      <c r="G995" s="1303">
        <v>0.31641239549989525</v>
      </c>
      <c r="H995" s="1306">
        <v>3.1165438104951142E-2</v>
      </c>
      <c r="I995" s="1303">
        <v>1.5104916585087204E-2</v>
      </c>
      <c r="J995" s="1306">
        <v>1.9310061274390878E-3</v>
      </c>
      <c r="K995" s="1303">
        <v>2.753262651878119E-3</v>
      </c>
      <c r="L995" s="1288">
        <v>2.0000016418845658E-3</v>
      </c>
      <c r="M995" s="1230">
        <v>2.0000016418845658E-3</v>
      </c>
      <c r="N995" s="1303">
        <v>2.1429841068897552E-2</v>
      </c>
      <c r="O995" s="1288">
        <v>5.8321729907837815E-3</v>
      </c>
      <c r="P995" s="1237">
        <v>2.9160864953918907E-3</v>
      </c>
      <c r="Q995" s="1290">
        <v>1.5787893885990202E-2</v>
      </c>
    </row>
    <row r="996" spans="1:17" s="212" customFormat="1" ht="15.5" x14ac:dyDescent="0.35">
      <c r="A996" s="198">
        <v>2032</v>
      </c>
      <c r="B996" s="197" t="s">
        <v>5838</v>
      </c>
      <c r="C996" s="197">
        <v>2019</v>
      </c>
      <c r="D996" s="225" t="str">
        <f t="shared" si="10"/>
        <v>2032_2019</v>
      </c>
      <c r="E996" s="1287">
        <v>6.7771334925477891E-2</v>
      </c>
      <c r="F996" s="1306">
        <v>6.3925021642901566E-3</v>
      </c>
      <c r="G996" s="1303">
        <v>0.32315542505629596</v>
      </c>
      <c r="H996" s="1306">
        <v>2.9983931232099002E-2</v>
      </c>
      <c r="I996" s="1303">
        <v>1.6689140657107127E-2</v>
      </c>
      <c r="J996" s="1306">
        <v>1.8323395376363381E-3</v>
      </c>
      <c r="K996" s="1303">
        <v>2.924205913021667E-3</v>
      </c>
      <c r="L996" s="1288">
        <v>2.0000015706143838E-3</v>
      </c>
      <c r="M996" s="1230">
        <v>2.0000015706143838E-3</v>
      </c>
      <c r="N996" s="1303">
        <v>2.5495991078355588E-2</v>
      </c>
      <c r="O996" s="1288">
        <v>5.8646449468000546E-3</v>
      </c>
      <c r="P996" s="1237">
        <v>2.9323224734000273E-3</v>
      </c>
      <c r="Q996" s="1290">
        <v>1.7443749540656705E-2</v>
      </c>
    </row>
    <row r="997" spans="1:17" s="212" customFormat="1" ht="15.5" x14ac:dyDescent="0.35">
      <c r="A997" s="198">
        <v>2032</v>
      </c>
      <c r="B997" s="197" t="s">
        <v>5838</v>
      </c>
      <c r="C997" s="197">
        <v>2020</v>
      </c>
      <c r="D997" s="225" t="str">
        <f t="shared" si="10"/>
        <v>2032_2020</v>
      </c>
      <c r="E997" s="1287">
        <v>5.7883130744915419E-2</v>
      </c>
      <c r="F997" s="1306">
        <v>6.1454366489638252E-3</v>
      </c>
      <c r="G997" s="1303">
        <v>0.24292609577146279</v>
      </c>
      <c r="H997" s="1306">
        <v>2.8541625082031907E-2</v>
      </c>
      <c r="I997" s="1303">
        <v>1.4447475765069129E-2</v>
      </c>
      <c r="J997" s="1306">
        <v>1.3553528351948315E-3</v>
      </c>
      <c r="K997" s="1303">
        <v>2.8856039507349426E-3</v>
      </c>
      <c r="L997" s="1288">
        <v>2.0000016688058791E-3</v>
      </c>
      <c r="M997" s="1230">
        <v>2.0000016688058791E-3</v>
      </c>
      <c r="N997" s="1303">
        <v>2.4580096590734769E-2</v>
      </c>
      <c r="O997" s="1288">
        <v>5.967312610455946E-3</v>
      </c>
      <c r="P997" s="1237">
        <v>2.983656305227973E-3</v>
      </c>
      <c r="Q997" s="1290">
        <v>1.5100726509441272E-2</v>
      </c>
    </row>
    <row r="998" spans="1:17" s="212" customFormat="1" ht="15.5" x14ac:dyDescent="0.35">
      <c r="A998" s="198">
        <v>2032</v>
      </c>
      <c r="B998" s="197" t="s">
        <v>5838</v>
      </c>
      <c r="C998" s="197">
        <v>2021</v>
      </c>
      <c r="D998" s="225" t="str">
        <f t="shared" si="10"/>
        <v>2032_2021</v>
      </c>
      <c r="E998" s="1287">
        <v>5.596377501480343E-2</v>
      </c>
      <c r="F998" s="1306">
        <v>5.8354959043147156E-3</v>
      </c>
      <c r="G998" s="1303">
        <v>0.19225667233631274</v>
      </c>
      <c r="H998" s="1306">
        <v>2.7183135855445593E-2</v>
      </c>
      <c r="I998" s="1303">
        <v>1.334377299676996E-2</v>
      </c>
      <c r="J998" s="1306">
        <v>8.8464997645093632E-4</v>
      </c>
      <c r="K998" s="1303">
        <v>2.8830001360353285E-3</v>
      </c>
      <c r="L998" s="1288">
        <v>2.0000016815973206E-3</v>
      </c>
      <c r="M998" s="1230">
        <v>2.0000016815973206E-3</v>
      </c>
      <c r="N998" s="1303">
        <v>2.4512367870623504E-2</v>
      </c>
      <c r="O998" s="1288">
        <v>5.9225990021864044E-3</v>
      </c>
      <c r="P998" s="1237">
        <v>2.9612995010932022E-3</v>
      </c>
      <c r="Q998" s="1290">
        <v>1.3947119199568257E-2</v>
      </c>
    </row>
    <row r="999" spans="1:17" s="212" customFormat="1" ht="15.5" x14ac:dyDescent="0.35">
      <c r="A999" s="198">
        <v>2032</v>
      </c>
      <c r="B999" s="197" t="s">
        <v>5838</v>
      </c>
      <c r="C999" s="197">
        <v>2022</v>
      </c>
      <c r="D999" s="225" t="str">
        <f t="shared" si="10"/>
        <v>2032_2022</v>
      </c>
      <c r="E999" s="1287">
        <v>5.5049247818149821E-2</v>
      </c>
      <c r="F999" s="1306">
        <v>5.5467187798494315E-3</v>
      </c>
      <c r="G999" s="1303">
        <v>0.14495346730115652</v>
      </c>
      <c r="H999" s="1306">
        <v>2.5823515773764509E-2</v>
      </c>
      <c r="I999" s="1303">
        <v>1.2694311313154124E-2</v>
      </c>
      <c r="J999" s="1306">
        <v>8.8485403715651194E-4</v>
      </c>
      <c r="K999" s="1303">
        <v>2.8813745709740201E-3</v>
      </c>
      <c r="L999" s="1288">
        <v>2.000001692858913E-3</v>
      </c>
      <c r="M999" s="1230">
        <v>2.000001692858913E-3</v>
      </c>
      <c r="N999" s="1303">
        <v>2.4467316203214465E-2</v>
      </c>
      <c r="O999" s="1288">
        <v>5.8945876519071513E-3</v>
      </c>
      <c r="P999" s="1237">
        <v>2.9472938259535756E-3</v>
      </c>
      <c r="Q999" s="1290">
        <v>1.3268291740562807E-2</v>
      </c>
    </row>
    <row r="1000" spans="1:17" s="212" customFormat="1" ht="15.5" x14ac:dyDescent="0.35">
      <c r="A1000" s="198">
        <v>2032</v>
      </c>
      <c r="B1000" s="197" t="s">
        <v>5838</v>
      </c>
      <c r="C1000" s="197">
        <v>2023</v>
      </c>
      <c r="D1000" s="225" t="str">
        <f t="shared" si="10"/>
        <v>2032_2023</v>
      </c>
      <c r="E1000" s="1287">
        <v>5.4029906211589984E-2</v>
      </c>
      <c r="F1000" s="1306">
        <v>5.1335159152743797E-3</v>
      </c>
      <c r="G1000" s="1303">
        <v>0.14017579957240314</v>
      </c>
      <c r="H1000" s="1306">
        <v>2.447400592407669E-2</v>
      </c>
      <c r="I1000" s="1303">
        <v>1.1990677051368392E-2</v>
      </c>
      <c r="J1000" s="1306">
        <v>8.8511205183241463E-4</v>
      </c>
      <c r="K1000" s="1303">
        <v>2.8789356274268188E-3</v>
      </c>
      <c r="L1000" s="1288">
        <v>2.000001707456997E-3</v>
      </c>
      <c r="M1000" s="1230">
        <v>2.000001707456997E-3</v>
      </c>
      <c r="N1000" s="1303">
        <v>2.440231176645994E-2</v>
      </c>
      <c r="O1000" s="1288">
        <v>5.853808363009352E-3</v>
      </c>
      <c r="P1000" s="1237">
        <v>2.926904181504676E-3</v>
      </c>
      <c r="Q1000" s="1290">
        <v>1.25328422597899E-2</v>
      </c>
    </row>
    <row r="1001" spans="1:17" s="212" customFormat="1" ht="15.5" x14ac:dyDescent="0.35">
      <c r="A1001" s="198">
        <v>2032</v>
      </c>
      <c r="B1001" s="197" t="s">
        <v>5838</v>
      </c>
      <c r="C1001" s="197">
        <v>2024</v>
      </c>
      <c r="D1001" s="225" t="str">
        <f t="shared" si="10"/>
        <v>2032_2024</v>
      </c>
      <c r="E1001" s="1287">
        <v>5.2723881695459697E-2</v>
      </c>
      <c r="F1001" s="1306">
        <v>4.4650770157044104E-3</v>
      </c>
      <c r="G1001" s="1303">
        <v>0.13451898167804929</v>
      </c>
      <c r="H1001" s="1306">
        <v>2.282287856628561E-2</v>
      </c>
      <c r="I1001" s="1303">
        <v>1.1194763046216919E-2</v>
      </c>
      <c r="J1001" s="1306">
        <v>8.8418580765385623E-4</v>
      </c>
      <c r="K1001" s="1303">
        <v>2.8723334368300239E-3</v>
      </c>
      <c r="L1001" s="1288">
        <v>2.0000017214689535E-3</v>
      </c>
      <c r="M1001" s="1305">
        <v>2.0000005733380754E-3</v>
      </c>
      <c r="N1001" s="1303">
        <v>2.4236514687896206E-2</v>
      </c>
      <c r="O1001" s="1288">
        <v>5.7079291744543924E-3</v>
      </c>
      <c r="P1001" s="1301">
        <v>3.4212635745187376E-3</v>
      </c>
      <c r="Q1001" s="1290">
        <v>1.170094055514162E-2</v>
      </c>
    </row>
    <row r="1002" spans="1:17" s="212" customFormat="1" ht="15.5" x14ac:dyDescent="0.35">
      <c r="A1002" s="198">
        <v>2032</v>
      </c>
      <c r="B1002" s="197" t="s">
        <v>5838</v>
      </c>
      <c r="C1002" s="197">
        <v>2025</v>
      </c>
      <c r="D1002" s="225" t="str">
        <f t="shared" si="10"/>
        <v>2032_2025</v>
      </c>
      <c r="E1002" s="1287">
        <v>5.1491924760537176E-2</v>
      </c>
      <c r="F1002" s="1306">
        <v>3.8982479526475061E-3</v>
      </c>
      <c r="G1002" s="1303">
        <v>0.12895330693428039</v>
      </c>
      <c r="H1002" s="1306">
        <v>2.1317085565290605E-2</v>
      </c>
      <c r="I1002" s="1303">
        <v>1.0389840202062475E-2</v>
      </c>
      <c r="J1002" s="1306">
        <v>8.8384101222853959E-4</v>
      </c>
      <c r="K1002" s="1303">
        <v>2.8680700455052904E-3</v>
      </c>
      <c r="L1002" s="1288">
        <v>2.0000017354700225E-3</v>
      </c>
      <c r="M1002" s="1305">
        <v>2.000000573369104E-3</v>
      </c>
      <c r="N1002" s="1303">
        <v>2.4125807807089013E-2</v>
      </c>
      <c r="O1002" s="1288">
        <v>5.6085638095232926E-3</v>
      </c>
      <c r="P1002" s="1301">
        <v>3.8471540372114945E-3</v>
      </c>
      <c r="Q1002" s="1290">
        <v>1.0859622671766676E-2</v>
      </c>
    </row>
    <row r="1003" spans="1:17" s="212" customFormat="1" ht="15.5" x14ac:dyDescent="0.35">
      <c r="A1003" s="198">
        <v>2032</v>
      </c>
      <c r="B1003" s="197" t="s">
        <v>5838</v>
      </c>
      <c r="C1003" s="197">
        <v>2026</v>
      </c>
      <c r="D1003" s="225" t="str">
        <f t="shared" si="10"/>
        <v>2032_2026</v>
      </c>
      <c r="E1003" s="1287">
        <v>5.0151031008854402E-2</v>
      </c>
      <c r="F1003" s="1306">
        <v>3.7822622815082956E-3</v>
      </c>
      <c r="G1003" s="1303">
        <v>0.12299658333417494</v>
      </c>
      <c r="H1003" s="1306">
        <v>2.0433308055145417E-2</v>
      </c>
      <c r="I1003" s="1303">
        <v>9.5360777567984837E-3</v>
      </c>
      <c r="J1003" s="1306">
        <v>7.6903109503613997E-4</v>
      </c>
      <c r="K1003" s="1303">
        <v>2.862755455021839E-3</v>
      </c>
      <c r="L1003" s="1288">
        <v>2.0000017548584795E-3</v>
      </c>
      <c r="M1003" s="1305">
        <v>2.0000005734287429E-3</v>
      </c>
      <c r="N1003" s="1303">
        <v>2.398878077628885E-2</v>
      </c>
      <c r="O1003" s="1288">
        <v>5.4529855531337702E-3</v>
      </c>
      <c r="P1003" s="1301">
        <v>4.6703706873798996E-3</v>
      </c>
      <c r="Q1003" s="1290">
        <v>9.967256877242545E-3</v>
      </c>
    </row>
    <row r="1004" spans="1:17" s="212" customFormat="1" ht="15.5" x14ac:dyDescent="0.35">
      <c r="A1004" s="198">
        <v>2032</v>
      </c>
      <c r="B1004" s="197" t="s">
        <v>5838</v>
      </c>
      <c r="C1004" s="197">
        <v>2027</v>
      </c>
      <c r="D1004" s="225" t="str">
        <f t="shared" si="10"/>
        <v>2032_2027</v>
      </c>
      <c r="E1004" s="1287">
        <v>4.8552398397769939E-2</v>
      </c>
      <c r="F1004" s="1306">
        <v>3.6836494201247707E-3</v>
      </c>
      <c r="G1004" s="1303">
        <v>0.11629619789135501</v>
      </c>
      <c r="H1004" s="1306">
        <v>1.9545020007654471E-2</v>
      </c>
      <c r="I1004" s="1303">
        <v>8.6095042120444172E-3</v>
      </c>
      <c r="J1004" s="1306">
        <v>6.3326981143857345E-4</v>
      </c>
      <c r="K1004" s="1303">
        <v>2.853431902723609E-3</v>
      </c>
      <c r="L1004" s="1288">
        <v>2.0000017801861075E-3</v>
      </c>
      <c r="M1004" s="1305">
        <v>2.000000573488413E-3</v>
      </c>
      <c r="N1004" s="1303">
        <v>2.3753624106843532E-2</v>
      </c>
      <c r="O1004" s="1288">
        <v>5.2520652070077913E-3</v>
      </c>
      <c r="P1004" s="1301">
        <v>5.4942391796936017E-3</v>
      </c>
      <c r="Q1004" s="1290">
        <v>8.9987877884039232E-3</v>
      </c>
    </row>
    <row r="1005" spans="1:17" s="212" customFormat="1" ht="15.5" x14ac:dyDescent="0.35">
      <c r="A1005" s="198">
        <v>2032</v>
      </c>
      <c r="B1005" s="197" t="s">
        <v>5838</v>
      </c>
      <c r="C1005" s="197">
        <v>2028</v>
      </c>
      <c r="D1005" s="225" t="str">
        <f t="shared" si="10"/>
        <v>2032_2028</v>
      </c>
      <c r="E1005" s="1287">
        <v>4.6963744176142533E-2</v>
      </c>
      <c r="F1005" s="1306">
        <v>3.5323516415072939E-3</v>
      </c>
      <c r="G1005" s="1303">
        <v>0.10953906571815751</v>
      </c>
      <c r="H1005" s="1306">
        <v>1.857120561969659E-2</v>
      </c>
      <c r="I1005" s="1303">
        <v>7.6646170223060549E-3</v>
      </c>
      <c r="J1005" s="1306">
        <v>5.1590924975979569E-4</v>
      </c>
      <c r="K1005" s="1303">
        <v>2.8451250974369565E-3</v>
      </c>
      <c r="L1005" s="1288">
        <v>2.0000018052965577E-3</v>
      </c>
      <c r="M1005" s="1305">
        <v>2.0000005735346014E-3</v>
      </c>
      <c r="N1005" s="1303">
        <v>2.3541276761142264E-2</v>
      </c>
      <c r="O1005" s="1288">
        <v>5.0827844101456864E-3</v>
      </c>
      <c r="P1005" s="1301">
        <v>6.1442550450720819E-3</v>
      </c>
      <c r="Q1005" s="1290">
        <v>8.0111769928204214E-3</v>
      </c>
    </row>
    <row r="1006" spans="1:17" s="212" customFormat="1" ht="15.5" x14ac:dyDescent="0.35">
      <c r="A1006" s="198">
        <v>2032</v>
      </c>
      <c r="B1006" s="197" t="s">
        <v>5838</v>
      </c>
      <c r="C1006" s="197">
        <v>2029</v>
      </c>
      <c r="D1006" s="225" t="str">
        <f t="shared" si="10"/>
        <v>2032_2029</v>
      </c>
      <c r="E1006" s="1287">
        <v>4.5309774732341469E-2</v>
      </c>
      <c r="F1006" s="1306">
        <v>3.3766999777500428E-3</v>
      </c>
      <c r="G1006" s="1303">
        <v>0.10254455340367437</v>
      </c>
      <c r="H1006" s="1306">
        <v>1.7581487494779387E-2</v>
      </c>
      <c r="I1006" s="1303">
        <v>6.6887637116479224E-3</v>
      </c>
      <c r="J1006" s="1306">
        <v>5.1341046709764621E-4</v>
      </c>
      <c r="K1006" s="1303">
        <v>2.8363526939678496E-3</v>
      </c>
      <c r="L1006" s="1288">
        <v>2.0000018410850549E-3</v>
      </c>
      <c r="M1006" s="1305">
        <v>2.0000005735705101E-3</v>
      </c>
      <c r="N1006" s="1303">
        <v>2.3315985515829352E-2</v>
      </c>
      <c r="O1006" s="1288">
        <v>4.9018235232190458E-3</v>
      </c>
      <c r="P1006" s="1301">
        <v>6.6573302930245468E-3</v>
      </c>
      <c r="Q1006" s="1290">
        <v>6.9911999257392613E-3</v>
      </c>
    </row>
    <row r="1007" spans="1:17" s="212" customFormat="1" ht="15.5" x14ac:dyDescent="0.35">
      <c r="A1007" s="198">
        <v>2032</v>
      </c>
      <c r="B1007" s="197" t="s">
        <v>5838</v>
      </c>
      <c r="C1007" s="197">
        <v>2030</v>
      </c>
      <c r="D1007" s="225" t="str">
        <f t="shared" si="10"/>
        <v>2032_2030</v>
      </c>
      <c r="E1007" s="1287">
        <v>4.348737924594466E-2</v>
      </c>
      <c r="F1007" s="1306">
        <v>3.2239039542543589E-3</v>
      </c>
      <c r="G1007" s="1303">
        <v>9.5095199880021394E-2</v>
      </c>
      <c r="H1007" s="1306">
        <v>1.6574111537606399E-2</v>
      </c>
      <c r="I1007" s="1303">
        <v>5.6710374445120091E-3</v>
      </c>
      <c r="J1007" s="1306">
        <v>5.1083643026868871E-4</v>
      </c>
      <c r="K1007" s="1303">
        <v>2.8249267699185579E-3</v>
      </c>
      <c r="L1007" s="1288">
        <v>2.0000018941264729E-3</v>
      </c>
      <c r="M1007" s="1305">
        <v>2.0000005735940651E-3</v>
      </c>
      <c r="N1007" s="1303">
        <v>2.3024289582082455E-2</v>
      </c>
      <c r="O1007" s="1288">
        <v>4.7025375234345402E-3</v>
      </c>
      <c r="P1007" s="1301">
        <v>7.0062900078667507E-3</v>
      </c>
      <c r="Q1007" s="1290">
        <v>5.9274565928968898E-3</v>
      </c>
    </row>
    <row r="1008" spans="1:17" s="212" customFormat="1" ht="15.5" x14ac:dyDescent="0.35">
      <c r="A1008" s="198">
        <v>2032</v>
      </c>
      <c r="B1008" s="197" t="s">
        <v>5838</v>
      </c>
      <c r="C1008" s="197">
        <v>2031</v>
      </c>
      <c r="D1008" s="225" t="str">
        <f t="shared" si="10"/>
        <v>2032_2031</v>
      </c>
      <c r="E1008" s="1287">
        <v>4.1601624035406938E-2</v>
      </c>
      <c r="F1008" s="1306">
        <v>3.0209940089373738E-3</v>
      </c>
      <c r="G1008" s="1303">
        <v>8.7458306464447175E-2</v>
      </c>
      <c r="H1008" s="1306">
        <v>1.5452123133802934E-2</v>
      </c>
      <c r="I1008" s="1303">
        <v>4.6320289551069907E-3</v>
      </c>
      <c r="J1008" s="1306">
        <v>5.077157276186737E-4</v>
      </c>
      <c r="K1008" s="1303">
        <v>2.8128699300588532E-3</v>
      </c>
      <c r="L1008" s="1288">
        <v>2.0000019403206095E-3</v>
      </c>
      <c r="M1008" s="1305">
        <v>2.0000005736203136E-3</v>
      </c>
      <c r="N1008" s="1303">
        <v>2.2714509355463618E-2</v>
      </c>
      <c r="O1008" s="1288">
        <v>4.4840711100087504E-3</v>
      </c>
      <c r="P1008" s="1301">
        <v>7.4368483920517949E-3</v>
      </c>
      <c r="Q1008" s="1290">
        <v>4.8414687501328602E-3</v>
      </c>
    </row>
    <row r="1009" spans="1:17" s="212" customFormat="1" ht="15.5" x14ac:dyDescent="0.35">
      <c r="A1009" s="198">
        <v>2032</v>
      </c>
      <c r="B1009" s="197" t="s">
        <v>5838</v>
      </c>
      <c r="C1009" s="197">
        <v>2032</v>
      </c>
      <c r="D1009" s="225" t="str">
        <f t="shared" si="10"/>
        <v>2032_2032</v>
      </c>
      <c r="E1009" s="1287">
        <v>3.8628892415457798E-2</v>
      </c>
      <c r="F1009" s="1306">
        <v>2.7837264768026766E-3</v>
      </c>
      <c r="G1009" s="1303">
        <v>7.7591419551646612E-2</v>
      </c>
      <c r="H1009" s="1306">
        <v>1.4113816760073977E-2</v>
      </c>
      <c r="I1009" s="1303">
        <v>3.4881992183401524E-3</v>
      </c>
      <c r="J1009" s="1306">
        <v>4.9984638643078253E-4</v>
      </c>
      <c r="K1009" s="1303">
        <v>2.7778666598874107E-3</v>
      </c>
      <c r="L1009" s="1288">
        <v>2.0000020595189838E-3</v>
      </c>
      <c r="M1009" s="1305">
        <v>2.000000573610682E-3</v>
      </c>
      <c r="N1009" s="1303">
        <v>2.1839587003120751E-2</v>
      </c>
      <c r="O1009" s="1288">
        <v>4.0293899084174961E-3</v>
      </c>
      <c r="P1009" s="1301">
        <v>7.324363200333475E-3</v>
      </c>
      <c r="Q1009" s="1290">
        <v>3.6459201083387169E-3</v>
      </c>
    </row>
    <row r="1010" spans="1:17" s="212" customFormat="1" ht="15.5" x14ac:dyDescent="0.35">
      <c r="A1010" s="198">
        <v>2032</v>
      </c>
      <c r="B1010" s="197" t="s">
        <v>5838</v>
      </c>
      <c r="C1010" s="197">
        <v>2033</v>
      </c>
      <c r="D1010" s="225" t="str">
        <f t="shared" si="10"/>
        <v>2032_2033</v>
      </c>
      <c r="E1010" s="1291">
        <v>3.8628892415457798E-2</v>
      </c>
      <c r="F1010" s="1280">
        <v>2.7837264768026766E-3</v>
      </c>
      <c r="G1010" s="1271">
        <v>7.7591419551646612E-2</v>
      </c>
      <c r="H1010" s="1280">
        <v>1.4113816760073977E-2</v>
      </c>
      <c r="I1010" s="1271">
        <v>3.4881992183401524E-3</v>
      </c>
      <c r="J1010" s="1280">
        <v>4.9984638643078253E-4</v>
      </c>
      <c r="K1010" s="1271">
        <v>2.7778666598874107E-3</v>
      </c>
      <c r="L1010" s="1257">
        <v>2.0000020595189838E-3</v>
      </c>
      <c r="M1010" s="1230">
        <v>2.000000573610682E-3</v>
      </c>
      <c r="N1010" s="1271">
        <v>2.1839587003120751E-2</v>
      </c>
      <c r="O1010" s="1257">
        <v>4.0293899084174961E-3</v>
      </c>
      <c r="P1010" s="1237">
        <v>7.324363200333475E-3</v>
      </c>
      <c r="Q1010" s="1292">
        <v>3.6459201083387169E-3</v>
      </c>
    </row>
    <row r="1011" spans="1:17" s="212" customFormat="1" ht="15.5" x14ac:dyDescent="0.35">
      <c r="A1011" s="198">
        <v>2033</v>
      </c>
      <c r="B1011" s="197" t="s">
        <v>5838</v>
      </c>
      <c r="C1011" s="197">
        <v>1971</v>
      </c>
      <c r="D1011" s="225" t="str">
        <f t="shared" si="10"/>
        <v>2033_1971</v>
      </c>
      <c r="E1011" s="1291">
        <v>0.3003593628307496</v>
      </c>
      <c r="F1011" s="1280">
        <v>0.4459290293667289</v>
      </c>
      <c r="G1011" s="1271">
        <v>4.6933037789021288</v>
      </c>
      <c r="H1011" s="1280">
        <v>1.8860184081298108</v>
      </c>
      <c r="I1011" s="1271">
        <v>0.20176405624410884</v>
      </c>
      <c r="J1011" s="1280">
        <v>1.6395709439361549E-2</v>
      </c>
      <c r="K1011" s="1271">
        <v>2.8667992896592382E-3</v>
      </c>
      <c r="L1011" s="1257">
        <v>2.0000010909786681E-3</v>
      </c>
      <c r="M1011" s="1230">
        <v>2.0000010909786681E-3</v>
      </c>
      <c r="N1011" s="1271">
        <v>2.4187791458227907E-2</v>
      </c>
      <c r="O1011" s="1257">
        <v>1.3060453602753822E-2</v>
      </c>
      <c r="P1011" s="1237">
        <v>6.5302268013769111E-3</v>
      </c>
      <c r="Q1011" s="1292">
        <v>0.21088693155272792</v>
      </c>
    </row>
    <row r="1012" spans="1:17" s="212" customFormat="1" ht="15.5" x14ac:dyDescent="0.35">
      <c r="A1012" s="198">
        <v>2033</v>
      </c>
      <c r="B1012" s="197" t="s">
        <v>5838</v>
      </c>
      <c r="C1012" s="197">
        <v>1972</v>
      </c>
      <c r="D1012" s="225" t="str">
        <f t="shared" si="10"/>
        <v>2033_1972</v>
      </c>
      <c r="E1012" s="1291">
        <v>0.3003593628307496</v>
      </c>
      <c r="F1012" s="1280">
        <v>0.4459290293667289</v>
      </c>
      <c r="G1012" s="1271">
        <v>4.6933037789021288</v>
      </c>
      <c r="H1012" s="1280">
        <v>1.8860184081298108</v>
      </c>
      <c r="I1012" s="1271">
        <v>0.20176405624410884</v>
      </c>
      <c r="J1012" s="1280">
        <v>1.6395709439361549E-2</v>
      </c>
      <c r="K1012" s="1271">
        <v>2.8667992896592382E-3</v>
      </c>
      <c r="L1012" s="1257">
        <v>2.0000010909786681E-3</v>
      </c>
      <c r="M1012" s="1230">
        <v>2.0000010909786681E-3</v>
      </c>
      <c r="N1012" s="1271">
        <v>2.4187791458227907E-2</v>
      </c>
      <c r="O1012" s="1257">
        <v>1.3060453602753822E-2</v>
      </c>
      <c r="P1012" s="1237">
        <v>6.5302268013769111E-3</v>
      </c>
      <c r="Q1012" s="1292">
        <v>0.21088693155272792</v>
      </c>
    </row>
    <row r="1013" spans="1:17" s="212" customFormat="1" ht="15.5" x14ac:dyDescent="0.35">
      <c r="A1013" s="198">
        <v>2033</v>
      </c>
      <c r="B1013" s="197" t="s">
        <v>5838</v>
      </c>
      <c r="C1013" s="197">
        <v>1973</v>
      </c>
      <c r="D1013" s="225" t="str">
        <f t="shared" si="10"/>
        <v>2033_1973</v>
      </c>
      <c r="E1013" s="1291">
        <v>0.3003593628307496</v>
      </c>
      <c r="F1013" s="1280">
        <v>0.4459290293667289</v>
      </c>
      <c r="G1013" s="1271">
        <v>4.6933037789021288</v>
      </c>
      <c r="H1013" s="1280">
        <v>1.8860184081298108</v>
      </c>
      <c r="I1013" s="1271">
        <v>0.20176405624410884</v>
      </c>
      <c r="J1013" s="1280">
        <v>1.6395709439361549E-2</v>
      </c>
      <c r="K1013" s="1271">
        <v>2.8667992896592382E-3</v>
      </c>
      <c r="L1013" s="1257">
        <v>2.0000010909786681E-3</v>
      </c>
      <c r="M1013" s="1230">
        <v>2.0000010909786681E-3</v>
      </c>
      <c r="N1013" s="1271">
        <v>2.4187791458227907E-2</v>
      </c>
      <c r="O1013" s="1257">
        <v>1.3060453602753822E-2</v>
      </c>
      <c r="P1013" s="1237">
        <v>6.5302268013769111E-3</v>
      </c>
      <c r="Q1013" s="1292">
        <v>0.21088693155272792</v>
      </c>
    </row>
    <row r="1014" spans="1:17" s="212" customFormat="1" ht="15.5" x14ac:dyDescent="0.35">
      <c r="A1014" s="198">
        <v>2033</v>
      </c>
      <c r="B1014" s="197" t="s">
        <v>5838</v>
      </c>
      <c r="C1014" s="197">
        <v>1974</v>
      </c>
      <c r="D1014" s="225" t="str">
        <f t="shared" ref="D1014:D1114" si="11">CONCATENATE(A1014,"_",C1014)</f>
        <v>2033_1974</v>
      </c>
      <c r="E1014" s="1291">
        <v>0.3003593628307496</v>
      </c>
      <c r="F1014" s="1280">
        <v>0.4459290293667289</v>
      </c>
      <c r="G1014" s="1271">
        <v>4.6933037789021288</v>
      </c>
      <c r="H1014" s="1280">
        <v>1.8860184081298108</v>
      </c>
      <c r="I1014" s="1271">
        <v>0.20176405624410884</v>
      </c>
      <c r="J1014" s="1280">
        <v>1.6395709439361549E-2</v>
      </c>
      <c r="K1014" s="1271">
        <v>2.8667992896592382E-3</v>
      </c>
      <c r="L1014" s="1257">
        <v>2.0000010909786681E-3</v>
      </c>
      <c r="M1014" s="1230">
        <v>2.0000010909786681E-3</v>
      </c>
      <c r="N1014" s="1271">
        <v>2.4187791458227907E-2</v>
      </c>
      <c r="O1014" s="1257">
        <v>1.3060453602753822E-2</v>
      </c>
      <c r="P1014" s="1237">
        <v>6.5302268013769111E-3</v>
      </c>
      <c r="Q1014" s="1292">
        <v>0.21088693155272792</v>
      </c>
    </row>
    <row r="1015" spans="1:17" s="212" customFormat="1" ht="15.5" x14ac:dyDescent="0.35">
      <c r="A1015" s="198">
        <v>2033</v>
      </c>
      <c r="B1015" s="197" t="s">
        <v>5838</v>
      </c>
      <c r="C1015" s="197">
        <v>1975</v>
      </c>
      <c r="D1015" s="225" t="str">
        <f t="shared" si="11"/>
        <v>2033_1975</v>
      </c>
      <c r="E1015" s="1291">
        <v>0.3003593628307496</v>
      </c>
      <c r="F1015" s="1280">
        <v>0.4459290293667289</v>
      </c>
      <c r="G1015" s="1271">
        <v>4.6933037789021288</v>
      </c>
      <c r="H1015" s="1280">
        <v>1.8860184081298108</v>
      </c>
      <c r="I1015" s="1271">
        <v>0.20176405624410884</v>
      </c>
      <c r="J1015" s="1280">
        <v>1.6395709439361549E-2</v>
      </c>
      <c r="K1015" s="1271">
        <v>2.8667992896592382E-3</v>
      </c>
      <c r="L1015" s="1257">
        <v>2.0000010909786681E-3</v>
      </c>
      <c r="M1015" s="1230">
        <v>2.0000010909786681E-3</v>
      </c>
      <c r="N1015" s="1271">
        <v>2.4187791458227907E-2</v>
      </c>
      <c r="O1015" s="1257">
        <v>1.3060453602753822E-2</v>
      </c>
      <c r="P1015" s="1237">
        <v>6.5302268013769111E-3</v>
      </c>
      <c r="Q1015" s="1292">
        <v>0.21088693155272792</v>
      </c>
    </row>
    <row r="1016" spans="1:17" s="212" customFormat="1" ht="15.5" x14ac:dyDescent="0.35">
      <c r="A1016" s="198">
        <v>2033</v>
      </c>
      <c r="B1016" s="197" t="s">
        <v>5838</v>
      </c>
      <c r="C1016" s="197">
        <v>1976</v>
      </c>
      <c r="D1016" s="225" t="str">
        <f t="shared" si="11"/>
        <v>2033_1976</v>
      </c>
      <c r="E1016" s="1291">
        <v>0.3003593628307496</v>
      </c>
      <c r="F1016" s="1280">
        <v>0.4459290293667289</v>
      </c>
      <c r="G1016" s="1271">
        <v>4.6933037789021288</v>
      </c>
      <c r="H1016" s="1280">
        <v>1.8860184081298108</v>
      </c>
      <c r="I1016" s="1271">
        <v>0.20176405624410884</v>
      </c>
      <c r="J1016" s="1280">
        <v>1.6395709439361549E-2</v>
      </c>
      <c r="K1016" s="1271">
        <v>2.8667992896592382E-3</v>
      </c>
      <c r="L1016" s="1257">
        <v>2.0000010909786681E-3</v>
      </c>
      <c r="M1016" s="1230">
        <v>2.0000010909786681E-3</v>
      </c>
      <c r="N1016" s="1271">
        <v>2.4187791458227907E-2</v>
      </c>
      <c r="O1016" s="1257">
        <v>1.3060453602753822E-2</v>
      </c>
      <c r="P1016" s="1237">
        <v>6.5302268013769111E-3</v>
      </c>
      <c r="Q1016" s="1292">
        <v>0.21088693155272792</v>
      </c>
    </row>
    <row r="1017" spans="1:17" s="212" customFormat="1" ht="15.5" x14ac:dyDescent="0.35">
      <c r="A1017" s="198">
        <v>2033</v>
      </c>
      <c r="B1017" s="197" t="s">
        <v>5838</v>
      </c>
      <c r="C1017" s="197">
        <v>1977</v>
      </c>
      <c r="D1017" s="225" t="str">
        <f t="shared" si="11"/>
        <v>2033_1977</v>
      </c>
      <c r="E1017" s="1291">
        <v>0.3003593628307496</v>
      </c>
      <c r="F1017" s="1280">
        <v>0.4459290293667289</v>
      </c>
      <c r="G1017" s="1271">
        <v>4.6933037789021288</v>
      </c>
      <c r="H1017" s="1280">
        <v>1.8860184081298108</v>
      </c>
      <c r="I1017" s="1271">
        <v>0.20176405624410884</v>
      </c>
      <c r="J1017" s="1280">
        <v>1.6395709439361549E-2</v>
      </c>
      <c r="K1017" s="1271">
        <v>2.8667992896592382E-3</v>
      </c>
      <c r="L1017" s="1257">
        <v>2.0000010909786681E-3</v>
      </c>
      <c r="M1017" s="1230">
        <v>2.0000010909786681E-3</v>
      </c>
      <c r="N1017" s="1271">
        <v>2.4187791458227907E-2</v>
      </c>
      <c r="O1017" s="1257">
        <v>1.3060453602753822E-2</v>
      </c>
      <c r="P1017" s="1237">
        <v>6.5302268013769111E-3</v>
      </c>
      <c r="Q1017" s="1292">
        <v>0.21088693155272792</v>
      </c>
    </row>
    <row r="1018" spans="1:17" s="212" customFormat="1" ht="15.5" x14ac:dyDescent="0.35">
      <c r="A1018" s="198">
        <v>2033</v>
      </c>
      <c r="B1018" s="197" t="s">
        <v>5838</v>
      </c>
      <c r="C1018" s="197">
        <v>1978</v>
      </c>
      <c r="D1018" s="225" t="str">
        <f t="shared" si="11"/>
        <v>2033_1978</v>
      </c>
      <c r="E1018" s="1291">
        <v>0.3003593628307496</v>
      </c>
      <c r="F1018" s="1280">
        <v>0.4459290293667289</v>
      </c>
      <c r="G1018" s="1271">
        <v>4.6933037789021288</v>
      </c>
      <c r="H1018" s="1280">
        <v>1.8860184081298108</v>
      </c>
      <c r="I1018" s="1271">
        <v>0.20176405624410884</v>
      </c>
      <c r="J1018" s="1280">
        <v>1.6395709439361549E-2</v>
      </c>
      <c r="K1018" s="1271">
        <v>2.8667992896592382E-3</v>
      </c>
      <c r="L1018" s="1257">
        <v>2.0000010909786681E-3</v>
      </c>
      <c r="M1018" s="1230">
        <v>2.0000010909786681E-3</v>
      </c>
      <c r="N1018" s="1271">
        <v>2.4187791458227907E-2</v>
      </c>
      <c r="O1018" s="1257">
        <v>1.3060453602753822E-2</v>
      </c>
      <c r="P1018" s="1237">
        <v>6.5302268013769111E-3</v>
      </c>
      <c r="Q1018" s="1292">
        <v>0.21088693155272792</v>
      </c>
    </row>
    <row r="1019" spans="1:17" s="212" customFormat="1" ht="15.5" x14ac:dyDescent="0.35">
      <c r="A1019" s="198">
        <v>2033</v>
      </c>
      <c r="B1019" s="197" t="s">
        <v>5838</v>
      </c>
      <c r="C1019" s="197">
        <v>1979</v>
      </c>
      <c r="D1019" s="225" t="str">
        <f t="shared" si="11"/>
        <v>2033_1979</v>
      </c>
      <c r="E1019" s="1291">
        <v>0.3003593628307496</v>
      </c>
      <c r="F1019" s="1280">
        <v>0.4459290293667289</v>
      </c>
      <c r="G1019" s="1271">
        <v>4.6933037789021288</v>
      </c>
      <c r="H1019" s="1280">
        <v>1.8860184081298108</v>
      </c>
      <c r="I1019" s="1271">
        <v>0.20176405624410884</v>
      </c>
      <c r="J1019" s="1280">
        <v>1.6395709439361549E-2</v>
      </c>
      <c r="K1019" s="1271">
        <v>2.8667992896592382E-3</v>
      </c>
      <c r="L1019" s="1257">
        <v>2.0000010909786681E-3</v>
      </c>
      <c r="M1019" s="1230">
        <v>2.0000010909786681E-3</v>
      </c>
      <c r="N1019" s="1271">
        <v>2.4187791458227907E-2</v>
      </c>
      <c r="O1019" s="1257">
        <v>1.3060453602753822E-2</v>
      </c>
      <c r="P1019" s="1237">
        <v>6.5302268013769111E-3</v>
      </c>
      <c r="Q1019" s="1292">
        <v>0.21088693155272792</v>
      </c>
    </row>
    <row r="1020" spans="1:17" s="212" customFormat="1" ht="15.5" x14ac:dyDescent="0.35">
      <c r="A1020" s="198">
        <v>2033</v>
      </c>
      <c r="B1020" s="197" t="s">
        <v>5838</v>
      </c>
      <c r="C1020" s="197">
        <v>1980</v>
      </c>
      <c r="D1020" s="225" t="str">
        <f t="shared" si="11"/>
        <v>2033_1980</v>
      </c>
      <c r="E1020" s="1291">
        <v>0.3003593628307496</v>
      </c>
      <c r="F1020" s="1280">
        <v>0.4459290293667289</v>
      </c>
      <c r="G1020" s="1271">
        <v>4.6933037789021288</v>
      </c>
      <c r="H1020" s="1280">
        <v>1.8860184081298108</v>
      </c>
      <c r="I1020" s="1271">
        <v>0.20176405624410884</v>
      </c>
      <c r="J1020" s="1280">
        <v>1.6395709439361549E-2</v>
      </c>
      <c r="K1020" s="1271">
        <v>2.8667992896592382E-3</v>
      </c>
      <c r="L1020" s="1257">
        <v>2.0000010909786681E-3</v>
      </c>
      <c r="M1020" s="1230">
        <v>2.0000010909786681E-3</v>
      </c>
      <c r="N1020" s="1271">
        <v>2.4187791458227907E-2</v>
      </c>
      <c r="O1020" s="1257">
        <v>1.3060453602753822E-2</v>
      </c>
      <c r="P1020" s="1237">
        <v>6.5302268013769111E-3</v>
      </c>
      <c r="Q1020" s="1292">
        <v>0.21088693155272792</v>
      </c>
    </row>
    <row r="1021" spans="1:17" s="212" customFormat="1" ht="15.5" x14ac:dyDescent="0.35">
      <c r="A1021" s="198">
        <v>2033</v>
      </c>
      <c r="B1021" s="197" t="s">
        <v>5838</v>
      </c>
      <c r="C1021" s="197">
        <v>1981</v>
      </c>
      <c r="D1021" s="225" t="str">
        <f t="shared" si="11"/>
        <v>2033_1981</v>
      </c>
      <c r="E1021" s="1291">
        <v>0.3003593628307496</v>
      </c>
      <c r="F1021" s="1280">
        <v>0.4459290293667289</v>
      </c>
      <c r="G1021" s="1271">
        <v>4.6933037789021288</v>
      </c>
      <c r="H1021" s="1280">
        <v>1.8860184081298108</v>
      </c>
      <c r="I1021" s="1271">
        <v>0.20176405624410884</v>
      </c>
      <c r="J1021" s="1280">
        <v>1.6395709439361549E-2</v>
      </c>
      <c r="K1021" s="1271">
        <v>2.8667992896592382E-3</v>
      </c>
      <c r="L1021" s="1257">
        <v>2.0000010909786681E-3</v>
      </c>
      <c r="M1021" s="1230">
        <v>2.0000010909786681E-3</v>
      </c>
      <c r="N1021" s="1271">
        <v>2.4187791458227907E-2</v>
      </c>
      <c r="O1021" s="1257">
        <v>1.3060453602753822E-2</v>
      </c>
      <c r="P1021" s="1237">
        <v>6.5302268013769111E-3</v>
      </c>
      <c r="Q1021" s="1292">
        <v>0.21088693155272792</v>
      </c>
    </row>
    <row r="1022" spans="1:17" s="212" customFormat="1" ht="15.5" x14ac:dyDescent="0.35">
      <c r="A1022" s="198">
        <v>2033</v>
      </c>
      <c r="B1022" s="197" t="s">
        <v>5838</v>
      </c>
      <c r="C1022" s="197">
        <v>1982</v>
      </c>
      <c r="D1022" s="225" t="str">
        <f t="shared" si="11"/>
        <v>2033_1982</v>
      </c>
      <c r="E1022" s="1291">
        <v>0.3003593628307496</v>
      </c>
      <c r="F1022" s="1280">
        <v>0.4459290293667289</v>
      </c>
      <c r="G1022" s="1271">
        <v>4.6933037789021288</v>
      </c>
      <c r="H1022" s="1280">
        <v>1.8860184081298108</v>
      </c>
      <c r="I1022" s="1271">
        <v>0.20176405624410884</v>
      </c>
      <c r="J1022" s="1280">
        <v>1.6395709439361549E-2</v>
      </c>
      <c r="K1022" s="1271">
        <v>2.8667992896592382E-3</v>
      </c>
      <c r="L1022" s="1257">
        <v>2.0000010909786681E-3</v>
      </c>
      <c r="M1022" s="1230">
        <v>2.0000010909786681E-3</v>
      </c>
      <c r="N1022" s="1271">
        <v>2.4187791458227907E-2</v>
      </c>
      <c r="O1022" s="1257">
        <v>1.3060453602753822E-2</v>
      </c>
      <c r="P1022" s="1237">
        <v>6.5302268013769111E-3</v>
      </c>
      <c r="Q1022" s="1292">
        <v>0.21088693155272792</v>
      </c>
    </row>
    <row r="1023" spans="1:17" s="212" customFormat="1" ht="15.5" x14ac:dyDescent="0.35">
      <c r="A1023" s="198">
        <v>2033</v>
      </c>
      <c r="B1023" s="197" t="s">
        <v>5838</v>
      </c>
      <c r="C1023" s="197">
        <v>1983</v>
      </c>
      <c r="D1023" s="225" t="str">
        <f t="shared" si="11"/>
        <v>2033_1983</v>
      </c>
      <c r="E1023" s="1291">
        <v>0.3003593628307496</v>
      </c>
      <c r="F1023" s="1280">
        <v>0.4459290293667289</v>
      </c>
      <c r="G1023" s="1271">
        <v>4.6933037789021288</v>
      </c>
      <c r="H1023" s="1280">
        <v>1.8860184081298108</v>
      </c>
      <c r="I1023" s="1271">
        <v>0.20176405624410884</v>
      </c>
      <c r="J1023" s="1280">
        <v>1.6395709439361549E-2</v>
      </c>
      <c r="K1023" s="1271">
        <v>2.8667992896592382E-3</v>
      </c>
      <c r="L1023" s="1257">
        <v>2.0000010909786681E-3</v>
      </c>
      <c r="M1023" s="1230">
        <v>2.0000010909786681E-3</v>
      </c>
      <c r="N1023" s="1271">
        <v>2.4187791458227907E-2</v>
      </c>
      <c r="O1023" s="1257">
        <v>1.3060453602753822E-2</v>
      </c>
      <c r="P1023" s="1237">
        <v>6.5302268013769111E-3</v>
      </c>
      <c r="Q1023" s="1292">
        <v>0.21088693155272792</v>
      </c>
    </row>
    <row r="1024" spans="1:17" s="212" customFormat="1" ht="15.5" x14ac:dyDescent="0.35">
      <c r="A1024" s="198">
        <v>2033</v>
      </c>
      <c r="B1024" s="197" t="s">
        <v>5838</v>
      </c>
      <c r="C1024" s="197">
        <v>1984</v>
      </c>
      <c r="D1024" s="225" t="str">
        <f t="shared" si="11"/>
        <v>2033_1984</v>
      </c>
      <c r="E1024" s="1291">
        <v>0.3003593628307496</v>
      </c>
      <c r="F1024" s="1280">
        <v>0.4459290293667289</v>
      </c>
      <c r="G1024" s="1271">
        <v>4.6933037789021288</v>
      </c>
      <c r="H1024" s="1280">
        <v>1.8860184081298108</v>
      </c>
      <c r="I1024" s="1271">
        <v>0.20176405624410884</v>
      </c>
      <c r="J1024" s="1280">
        <v>1.6395709439361549E-2</v>
      </c>
      <c r="K1024" s="1271">
        <v>2.8667992896592382E-3</v>
      </c>
      <c r="L1024" s="1257">
        <v>2.0000010909786681E-3</v>
      </c>
      <c r="M1024" s="1230">
        <v>2.0000010909786681E-3</v>
      </c>
      <c r="N1024" s="1271">
        <v>2.4187791458227907E-2</v>
      </c>
      <c r="O1024" s="1257">
        <v>1.3060453602753822E-2</v>
      </c>
      <c r="P1024" s="1237">
        <v>6.5302268013769111E-3</v>
      </c>
      <c r="Q1024" s="1292">
        <v>0.21088693155272792</v>
      </c>
    </row>
    <row r="1025" spans="1:17" s="212" customFormat="1" ht="15.5" x14ac:dyDescent="0.35">
      <c r="A1025" s="198">
        <v>2033</v>
      </c>
      <c r="B1025" s="197" t="s">
        <v>5838</v>
      </c>
      <c r="C1025" s="197">
        <v>1985</v>
      </c>
      <c r="D1025" s="225" t="str">
        <f t="shared" si="11"/>
        <v>2033_1985</v>
      </c>
      <c r="E1025" s="1291">
        <v>0.3003593628307496</v>
      </c>
      <c r="F1025" s="1280">
        <v>0.4459290293667289</v>
      </c>
      <c r="G1025" s="1271">
        <v>4.6933037789021288</v>
      </c>
      <c r="H1025" s="1280">
        <v>1.8860184081298108</v>
      </c>
      <c r="I1025" s="1271">
        <v>0.20176405624410884</v>
      </c>
      <c r="J1025" s="1280">
        <v>1.6395709439361549E-2</v>
      </c>
      <c r="K1025" s="1271">
        <v>2.8667992896592382E-3</v>
      </c>
      <c r="L1025" s="1257">
        <v>2.0000010909786681E-3</v>
      </c>
      <c r="M1025" s="1230">
        <v>2.0000010909786681E-3</v>
      </c>
      <c r="N1025" s="1271">
        <v>2.4187791458227907E-2</v>
      </c>
      <c r="O1025" s="1257">
        <v>1.3060453602753822E-2</v>
      </c>
      <c r="P1025" s="1237">
        <v>6.5302268013769111E-3</v>
      </c>
      <c r="Q1025" s="1292">
        <v>0.21088693155272792</v>
      </c>
    </row>
    <row r="1026" spans="1:17" s="212" customFormat="1" ht="15.5" x14ac:dyDescent="0.35">
      <c r="A1026" s="198">
        <v>2033</v>
      </c>
      <c r="B1026" s="197" t="s">
        <v>5838</v>
      </c>
      <c r="C1026" s="197">
        <v>1986</v>
      </c>
      <c r="D1026" s="225" t="str">
        <f t="shared" si="11"/>
        <v>2033_1986</v>
      </c>
      <c r="E1026" s="1291">
        <v>0.3003593628307496</v>
      </c>
      <c r="F1026" s="1280">
        <v>0.4459290293667289</v>
      </c>
      <c r="G1026" s="1271">
        <v>4.6933037789021288</v>
      </c>
      <c r="H1026" s="1280">
        <v>1.8860184081298108</v>
      </c>
      <c r="I1026" s="1271">
        <v>0.20176405624410884</v>
      </c>
      <c r="J1026" s="1280">
        <v>1.6395709439361549E-2</v>
      </c>
      <c r="K1026" s="1271">
        <v>2.8667992896592382E-3</v>
      </c>
      <c r="L1026" s="1257">
        <v>2.0000010909786681E-3</v>
      </c>
      <c r="M1026" s="1230">
        <v>2.0000010909786681E-3</v>
      </c>
      <c r="N1026" s="1271">
        <v>2.4187791458227907E-2</v>
      </c>
      <c r="O1026" s="1257">
        <v>1.3060453602753822E-2</v>
      </c>
      <c r="P1026" s="1237">
        <v>6.5302268013769111E-3</v>
      </c>
      <c r="Q1026" s="1292">
        <v>0.21088693155272792</v>
      </c>
    </row>
    <row r="1027" spans="1:17" s="212" customFormat="1" ht="15.5" x14ac:dyDescent="0.35">
      <c r="A1027" s="198">
        <v>2033</v>
      </c>
      <c r="B1027" s="197" t="s">
        <v>5838</v>
      </c>
      <c r="C1027" s="197">
        <v>1987</v>
      </c>
      <c r="D1027" s="225" t="str">
        <f t="shared" si="11"/>
        <v>2033_1987</v>
      </c>
      <c r="E1027" s="1291">
        <v>0.3003593628307496</v>
      </c>
      <c r="F1027" s="1280">
        <v>0.4459290293667289</v>
      </c>
      <c r="G1027" s="1271">
        <v>4.6933037789021288</v>
      </c>
      <c r="H1027" s="1280">
        <v>1.8860184081298108</v>
      </c>
      <c r="I1027" s="1271">
        <v>0.20176405624410884</v>
      </c>
      <c r="J1027" s="1280">
        <v>1.6395709439361549E-2</v>
      </c>
      <c r="K1027" s="1271">
        <v>2.8667992896592382E-3</v>
      </c>
      <c r="L1027" s="1257">
        <v>2.0000010909786681E-3</v>
      </c>
      <c r="M1027" s="1230">
        <v>2.0000010909786681E-3</v>
      </c>
      <c r="N1027" s="1271">
        <v>2.4187791458227907E-2</v>
      </c>
      <c r="O1027" s="1257">
        <v>1.3060453602753822E-2</v>
      </c>
      <c r="P1027" s="1237">
        <v>6.5302268013769111E-3</v>
      </c>
      <c r="Q1027" s="1292">
        <v>0.21088693155272792</v>
      </c>
    </row>
    <row r="1028" spans="1:17" s="212" customFormat="1" ht="15.5" x14ac:dyDescent="0.35">
      <c r="A1028" s="198">
        <v>2033</v>
      </c>
      <c r="B1028" s="197" t="s">
        <v>5838</v>
      </c>
      <c r="C1028" s="197">
        <v>1988</v>
      </c>
      <c r="D1028" s="225" t="str">
        <f t="shared" si="11"/>
        <v>2033_1988</v>
      </c>
      <c r="E1028" s="1291">
        <v>0.3003593628307496</v>
      </c>
      <c r="F1028" s="1280">
        <v>0.4459290293667289</v>
      </c>
      <c r="G1028" s="1271">
        <v>4.6933037789021288</v>
      </c>
      <c r="H1028" s="1280">
        <v>1.8860184081298108</v>
      </c>
      <c r="I1028" s="1271">
        <v>0.20176405624410884</v>
      </c>
      <c r="J1028" s="1280">
        <v>1.6395709439361549E-2</v>
      </c>
      <c r="K1028" s="1271">
        <v>2.8667992896592382E-3</v>
      </c>
      <c r="L1028" s="1257">
        <v>2.0000010909786681E-3</v>
      </c>
      <c r="M1028" s="1230">
        <v>2.0000010909786681E-3</v>
      </c>
      <c r="N1028" s="1271">
        <v>2.4187791458227907E-2</v>
      </c>
      <c r="O1028" s="1257">
        <v>1.3060453602753822E-2</v>
      </c>
      <c r="P1028" s="1237">
        <v>6.5302268013769111E-3</v>
      </c>
      <c r="Q1028" s="1292">
        <v>0.21088693155272792</v>
      </c>
    </row>
    <row r="1029" spans="1:17" s="212" customFormat="1" ht="15.5" x14ac:dyDescent="0.35">
      <c r="A1029" s="198">
        <v>2033</v>
      </c>
      <c r="B1029" s="197" t="s">
        <v>5838</v>
      </c>
      <c r="C1029" s="197">
        <v>1989</v>
      </c>
      <c r="D1029" s="225" t="str">
        <f t="shared" si="11"/>
        <v>2033_1989</v>
      </c>
      <c r="E1029" s="1287">
        <v>0.3003593628307496</v>
      </c>
      <c r="F1029" s="1306">
        <v>0.4459290293667289</v>
      </c>
      <c r="G1029" s="1303">
        <v>4.6933037789021288</v>
      </c>
      <c r="H1029" s="1306">
        <v>1.8860184081298108</v>
      </c>
      <c r="I1029" s="1303">
        <v>0.20176405624410884</v>
      </c>
      <c r="J1029" s="1306">
        <v>1.6395709439361549E-2</v>
      </c>
      <c r="K1029" s="1303">
        <v>2.8667992896592382E-3</v>
      </c>
      <c r="L1029" s="1288">
        <v>2.0000010909786681E-3</v>
      </c>
      <c r="M1029" s="1230">
        <v>2.0000010909786681E-3</v>
      </c>
      <c r="N1029" s="1303">
        <v>2.4187791458227907E-2</v>
      </c>
      <c r="O1029" s="1288">
        <v>1.3060453602753822E-2</v>
      </c>
      <c r="P1029" s="1237">
        <v>6.5302268013769111E-3</v>
      </c>
      <c r="Q1029" s="1290">
        <v>0.21088693155272792</v>
      </c>
    </row>
    <row r="1030" spans="1:17" s="212" customFormat="1" ht="15.5" x14ac:dyDescent="0.35">
      <c r="A1030" s="198">
        <v>2033</v>
      </c>
      <c r="B1030" s="197" t="s">
        <v>5838</v>
      </c>
      <c r="C1030" s="197">
        <v>1990</v>
      </c>
      <c r="D1030" s="225" t="str">
        <f t="shared" si="11"/>
        <v>2033_1990</v>
      </c>
      <c r="E1030" s="1287">
        <v>0.30112013320434944</v>
      </c>
      <c r="F1030" s="1306">
        <v>0.48950111333456103</v>
      </c>
      <c r="G1030" s="1303">
        <v>4.7710202156795072</v>
      </c>
      <c r="H1030" s="1306">
        <v>1.8671197552486183</v>
      </c>
      <c r="I1030" s="1303">
        <v>0.20284637406789077</v>
      </c>
      <c r="J1030" s="1306">
        <v>1.6572254886819404E-2</v>
      </c>
      <c r="K1030" s="1303">
        <v>2.894194981893917E-3</v>
      </c>
      <c r="L1030" s="1288">
        <v>2.0000010448758174E-3</v>
      </c>
      <c r="M1030" s="1230">
        <v>2.0000010448758174E-3</v>
      </c>
      <c r="N1030" s="1303">
        <v>2.4825583304923227E-2</v>
      </c>
      <c r="O1030" s="1288">
        <v>1.2543263162532611E-2</v>
      </c>
      <c r="P1030" s="1237">
        <v>6.2716315812663057E-3</v>
      </c>
      <c r="Q1030" s="1290">
        <v>0.21201818698578623</v>
      </c>
    </row>
    <row r="1031" spans="1:17" s="212" customFormat="1" ht="15.5" x14ac:dyDescent="0.35">
      <c r="A1031" s="198">
        <v>2033</v>
      </c>
      <c r="B1031" s="197" t="s">
        <v>5838</v>
      </c>
      <c r="C1031" s="197">
        <v>1991</v>
      </c>
      <c r="D1031" s="225" t="str">
        <f t="shared" si="11"/>
        <v>2033_1991</v>
      </c>
      <c r="E1031" s="1287">
        <v>0.37709501380855837</v>
      </c>
      <c r="F1031" s="1306">
        <v>0.50177166227925218</v>
      </c>
      <c r="G1031" s="1303">
        <v>8.6478734648645794</v>
      </c>
      <c r="H1031" s="1306">
        <v>2.3195909137778457</v>
      </c>
      <c r="I1031" s="1303">
        <v>6.4096458390126065E-2</v>
      </c>
      <c r="J1031" s="1306">
        <v>9.2729183858327006E-3</v>
      </c>
      <c r="K1031" s="1303">
        <v>2.934707293460796E-3</v>
      </c>
      <c r="L1031" s="1288">
        <v>2.0000010675336483E-3</v>
      </c>
      <c r="M1031" s="1230">
        <v>2.0000010675336483E-3</v>
      </c>
      <c r="N1031" s="1303">
        <v>2.5763947885696047E-2</v>
      </c>
      <c r="O1031" s="1288">
        <v>1.1707664312963178E-2</v>
      </c>
      <c r="P1031" s="1237">
        <v>5.8538321564815888E-3</v>
      </c>
      <c r="Q1031" s="1290">
        <v>6.6994615814705935E-2</v>
      </c>
    </row>
    <row r="1032" spans="1:17" s="212" customFormat="1" ht="15.5" x14ac:dyDescent="0.35">
      <c r="A1032" s="198">
        <v>2033</v>
      </c>
      <c r="B1032" s="197" t="s">
        <v>5838</v>
      </c>
      <c r="C1032" s="197">
        <v>1992</v>
      </c>
      <c r="D1032" s="225" t="str">
        <f t="shared" si="11"/>
        <v>2033_1992</v>
      </c>
      <c r="E1032" s="1287">
        <v>0.37641018206433563</v>
      </c>
      <c r="F1032" s="1306">
        <v>0.50206146681991748</v>
      </c>
      <c r="G1032" s="1303">
        <v>8.1607628217757497</v>
      </c>
      <c r="H1032" s="1306">
        <v>2.2215598254538542</v>
      </c>
      <c r="I1032" s="1303">
        <v>7.3447384005143862E-2</v>
      </c>
      <c r="J1032" s="1306">
        <v>9.4415747686048095E-3</v>
      </c>
      <c r="K1032" s="1303">
        <v>2.876180769706221E-3</v>
      </c>
      <c r="L1032" s="1288">
        <v>2.0000010960466294E-3</v>
      </c>
      <c r="M1032" s="1230">
        <v>2.0000010960466294E-3</v>
      </c>
      <c r="N1032" s="1303">
        <v>2.438969949848788E-2</v>
      </c>
      <c r="O1032" s="1288">
        <v>9.7814105734564394E-3</v>
      </c>
      <c r="P1032" s="1237">
        <v>4.8907052867282197E-3</v>
      </c>
      <c r="Q1032" s="1290">
        <v>7.6768348791916907E-2</v>
      </c>
    </row>
    <row r="1033" spans="1:17" s="212" customFormat="1" ht="15.5" x14ac:dyDescent="0.35">
      <c r="A1033" s="198">
        <v>2033</v>
      </c>
      <c r="B1033" s="197" t="s">
        <v>5838</v>
      </c>
      <c r="C1033" s="197">
        <v>1993</v>
      </c>
      <c r="D1033" s="225" t="str">
        <f t="shared" si="11"/>
        <v>2033_1993</v>
      </c>
      <c r="E1033" s="1287">
        <v>0.37266684051598253</v>
      </c>
      <c r="F1033" s="1306">
        <v>0.50672585595905961</v>
      </c>
      <c r="G1033" s="1303">
        <v>8.8938161649777037</v>
      </c>
      <c r="H1033" s="1306">
        <v>2.2489897494503093</v>
      </c>
      <c r="I1033" s="1303">
        <v>5.4056282179925814E-2</v>
      </c>
      <c r="J1033" s="1306">
        <v>9.4595423568363778E-3</v>
      </c>
      <c r="K1033" s="1303">
        <v>2.9687700716427771E-3</v>
      </c>
      <c r="L1033" s="1288">
        <v>2.0000010721130434E-3</v>
      </c>
      <c r="M1033" s="1230">
        <v>2.0000010721130434E-3</v>
      </c>
      <c r="N1033" s="1303">
        <v>2.6567649562903656E-2</v>
      </c>
      <c r="O1033" s="1288">
        <v>1.0835507310806637E-2</v>
      </c>
      <c r="P1033" s="1237">
        <v>5.4177536554033184E-3</v>
      </c>
      <c r="Q1033" s="1290">
        <v>5.6500467388902506E-2</v>
      </c>
    </row>
    <row r="1034" spans="1:17" s="212" customFormat="1" ht="15.5" x14ac:dyDescent="0.35">
      <c r="A1034" s="198">
        <v>2033</v>
      </c>
      <c r="B1034" s="197" t="s">
        <v>5838</v>
      </c>
      <c r="C1034" s="197">
        <v>1994</v>
      </c>
      <c r="D1034" s="225" t="str">
        <f t="shared" si="11"/>
        <v>2033_1994</v>
      </c>
      <c r="E1034" s="1287">
        <v>0.34263882377221044</v>
      </c>
      <c r="F1034" s="1306">
        <v>0.50451628493848033</v>
      </c>
      <c r="G1034" s="1303">
        <v>8.2024506833003201</v>
      </c>
      <c r="H1034" s="1306">
        <v>2.1055613411624994</v>
      </c>
      <c r="I1034" s="1303">
        <v>5.4024654678573557E-2</v>
      </c>
      <c r="J1034" s="1306">
        <v>9.6409781062211115E-3</v>
      </c>
      <c r="K1034" s="1303">
        <v>2.8717513607777008E-3</v>
      </c>
      <c r="L1034" s="1288">
        <v>2.0000012246178885E-3</v>
      </c>
      <c r="M1034" s="1230">
        <v>2.0000012246178885E-3</v>
      </c>
      <c r="N1034" s="1303">
        <v>2.4275269004083527E-2</v>
      </c>
      <c r="O1034" s="1288">
        <v>8.0148392669583401E-3</v>
      </c>
      <c r="P1034" s="1237">
        <v>4.0074196334791701E-3</v>
      </c>
      <c r="Q1034" s="1290">
        <v>5.6467409832284071E-2</v>
      </c>
    </row>
    <row r="1035" spans="1:17" s="212" customFormat="1" ht="15.5" x14ac:dyDescent="0.35">
      <c r="A1035" s="198">
        <v>2033</v>
      </c>
      <c r="B1035" s="197" t="s">
        <v>5838</v>
      </c>
      <c r="C1035" s="197">
        <v>1995</v>
      </c>
      <c r="D1035" s="225" t="str">
        <f t="shared" si="11"/>
        <v>2033_1995</v>
      </c>
      <c r="E1035" s="1287">
        <v>0.37040764846041302</v>
      </c>
      <c r="F1035" s="1306">
        <v>0.37510097765236705</v>
      </c>
      <c r="G1035" s="1303">
        <v>9.112103298058015</v>
      </c>
      <c r="H1035" s="1306">
        <v>1.6589664930280015</v>
      </c>
      <c r="I1035" s="1303">
        <v>5.3707382167063743E-2</v>
      </c>
      <c r="J1035" s="1306">
        <v>8.6884629936186432E-3</v>
      </c>
      <c r="K1035" s="1303">
        <v>2.9829762650245748E-3</v>
      </c>
      <c r="L1035" s="1288">
        <v>2.00000113708654E-3</v>
      </c>
      <c r="M1035" s="1230">
        <v>2.00000113708654E-3</v>
      </c>
      <c r="N1035" s="1303">
        <v>2.6901558486196134E-2</v>
      </c>
      <c r="O1035" s="1288">
        <v>1.0181977465029074E-2</v>
      </c>
      <c r="P1035" s="1237">
        <v>5.0909887325145372E-3</v>
      </c>
      <c r="Q1035" s="1290">
        <v>5.6135791665679627E-2</v>
      </c>
    </row>
    <row r="1036" spans="1:17" s="212" customFormat="1" ht="15.5" x14ac:dyDescent="0.35">
      <c r="A1036" s="198">
        <v>2033</v>
      </c>
      <c r="B1036" s="197" t="s">
        <v>5838</v>
      </c>
      <c r="C1036" s="197">
        <v>1996</v>
      </c>
      <c r="D1036" s="225" t="str">
        <f t="shared" si="11"/>
        <v>2033_1996</v>
      </c>
      <c r="E1036" s="1287">
        <v>0.37457744653512476</v>
      </c>
      <c r="F1036" s="1306">
        <v>0.12721222504849133</v>
      </c>
      <c r="G1036" s="1303">
        <v>9.1510431241981802</v>
      </c>
      <c r="H1036" s="1306">
        <v>0.98965938136499987</v>
      </c>
      <c r="I1036" s="1303">
        <v>5.3951286040256625E-2</v>
      </c>
      <c r="J1036" s="1306">
        <v>2.7114427682727949E-3</v>
      </c>
      <c r="K1036" s="1303">
        <v>2.9918843078504654E-3</v>
      </c>
      <c r="L1036" s="1288">
        <v>2.000001126455403E-3</v>
      </c>
      <c r="M1036" s="1230">
        <v>2.000001126455403E-3</v>
      </c>
      <c r="N1036" s="1303">
        <v>2.710868975098887E-2</v>
      </c>
      <c r="O1036" s="1288">
        <v>1.0094616327425848E-2</v>
      </c>
      <c r="P1036" s="1237">
        <v>5.0473081637129238E-3</v>
      </c>
      <c r="Q1036" s="1290">
        <v>5.6390723789710905E-2</v>
      </c>
    </row>
    <row r="1037" spans="1:17" s="212" customFormat="1" ht="15.5" x14ac:dyDescent="0.35">
      <c r="A1037" s="198">
        <v>2033</v>
      </c>
      <c r="B1037" s="197" t="s">
        <v>5838</v>
      </c>
      <c r="C1037" s="197">
        <v>1997</v>
      </c>
      <c r="D1037" s="225" t="str">
        <f t="shared" si="11"/>
        <v>2033_1997</v>
      </c>
      <c r="E1037" s="1287">
        <v>0.37729773505800401</v>
      </c>
      <c r="F1037" s="1306">
        <v>0.12678527964845099</v>
      </c>
      <c r="G1037" s="1303">
        <v>9.1736070163720758</v>
      </c>
      <c r="H1037" s="1306">
        <v>0.98947943596241072</v>
      </c>
      <c r="I1037" s="1303">
        <v>5.4118233730292897E-2</v>
      </c>
      <c r="J1037" s="1306">
        <v>2.7065699510695662E-3</v>
      </c>
      <c r="K1037" s="1303">
        <v>2.9975986392496582E-3</v>
      </c>
      <c r="L1037" s="1288">
        <v>2.0000011152275254E-3</v>
      </c>
      <c r="M1037" s="1230">
        <v>2.0000011152275254E-3</v>
      </c>
      <c r="N1037" s="1303">
        <v>2.7243772040890686E-2</v>
      </c>
      <c r="O1037" s="1288">
        <v>1.0094166347103747E-2</v>
      </c>
      <c r="P1037" s="1237">
        <v>5.0470831735518733E-3</v>
      </c>
      <c r="Q1037" s="1290">
        <v>5.6565220113471253E-2</v>
      </c>
    </row>
    <row r="1038" spans="1:17" s="212" customFormat="1" ht="15.5" x14ac:dyDescent="0.35">
      <c r="A1038" s="198">
        <v>2033</v>
      </c>
      <c r="B1038" s="197" t="s">
        <v>5838</v>
      </c>
      <c r="C1038" s="197">
        <v>1998</v>
      </c>
      <c r="D1038" s="225" t="str">
        <f t="shared" si="11"/>
        <v>2033_1998</v>
      </c>
      <c r="E1038" s="1287">
        <v>0.37673598587605939</v>
      </c>
      <c r="F1038" s="1306">
        <v>0.1294534435871264</v>
      </c>
      <c r="G1038" s="1303">
        <v>9.1817201887689173</v>
      </c>
      <c r="H1038" s="1306">
        <v>1.0087399884279842</v>
      </c>
      <c r="I1038" s="1303">
        <v>5.403440104283902E-2</v>
      </c>
      <c r="J1038" s="1306">
        <v>2.7433824856780641E-3</v>
      </c>
      <c r="K1038" s="1303">
        <v>2.9976040028596683E-3</v>
      </c>
      <c r="L1038" s="1288">
        <v>2.0000011847597062E-3</v>
      </c>
      <c r="M1038" s="1230">
        <v>2.0000011847597062E-3</v>
      </c>
      <c r="N1038" s="1303">
        <v>2.7243194528377822E-2</v>
      </c>
      <c r="O1038" s="1288">
        <v>8.5799405673946758E-3</v>
      </c>
      <c r="P1038" s="1237">
        <v>4.2899702836973379E-3</v>
      </c>
      <c r="Q1038" s="1290">
        <v>5.6477596883892756E-2</v>
      </c>
    </row>
    <row r="1039" spans="1:17" s="212" customFormat="1" ht="15.5" x14ac:dyDescent="0.35">
      <c r="A1039" s="198">
        <v>2033</v>
      </c>
      <c r="B1039" s="197" t="s">
        <v>5838</v>
      </c>
      <c r="C1039" s="197">
        <v>1999</v>
      </c>
      <c r="D1039" s="225" t="str">
        <f t="shared" si="11"/>
        <v>2033_1999</v>
      </c>
      <c r="E1039" s="1287">
        <v>0.37729109885391038</v>
      </c>
      <c r="F1039" s="1306">
        <v>0.12651621044153843</v>
      </c>
      <c r="G1039" s="1303">
        <v>9.1963550748525744</v>
      </c>
      <c r="H1039" s="1306">
        <v>0.99603768090468592</v>
      </c>
      <c r="I1039" s="1303">
        <v>5.4060920772106884E-2</v>
      </c>
      <c r="J1039" s="1306">
        <v>2.7663795234165083E-3</v>
      </c>
      <c r="K1039" s="1303">
        <v>2.999053150188931E-3</v>
      </c>
      <c r="L1039" s="1288">
        <v>2.0000012338025714E-3</v>
      </c>
      <c r="M1039" s="1230">
        <v>2.0000012338025714E-3</v>
      </c>
      <c r="N1039" s="1303">
        <v>2.7277846553810825E-2</v>
      </c>
      <c r="O1039" s="1288">
        <v>8.3323986031729972E-3</v>
      </c>
      <c r="P1039" s="1237">
        <v>4.1661993015864986E-3</v>
      </c>
      <c r="Q1039" s="1290">
        <v>5.6505315717638518E-2</v>
      </c>
    </row>
    <row r="1040" spans="1:17" s="212" customFormat="1" ht="15.5" x14ac:dyDescent="0.35">
      <c r="A1040" s="198">
        <v>2033</v>
      </c>
      <c r="B1040" s="197" t="s">
        <v>5838</v>
      </c>
      <c r="C1040" s="197">
        <v>2000</v>
      </c>
      <c r="D1040" s="225" t="str">
        <f t="shared" si="11"/>
        <v>2033_2000</v>
      </c>
      <c r="E1040" s="1287">
        <v>0.37567154622898552</v>
      </c>
      <c r="F1040" s="1306">
        <v>0.12109387429948956</v>
      </c>
      <c r="G1040" s="1303">
        <v>9.2339573641748771</v>
      </c>
      <c r="H1040" s="1306">
        <v>0.96872239244135305</v>
      </c>
      <c r="I1040" s="1303">
        <v>5.3801907561924371E-2</v>
      </c>
      <c r="J1040" s="1306">
        <v>2.7652734746585815E-3</v>
      </c>
      <c r="K1040" s="1303">
        <v>2.9997326541972083E-3</v>
      </c>
      <c r="L1040" s="1288">
        <v>2.0000012823979865E-3</v>
      </c>
      <c r="M1040" s="1230">
        <v>2.0000012823979865E-3</v>
      </c>
      <c r="N1040" s="1303">
        <v>2.7293656914300482E-2</v>
      </c>
      <c r="O1040" s="1288">
        <v>8.5727743779485128E-3</v>
      </c>
      <c r="P1040" s="1237">
        <v>4.2863871889742564E-3</v>
      </c>
      <c r="Q1040" s="1290">
        <v>5.6234591079445652E-2</v>
      </c>
    </row>
    <row r="1041" spans="1:17" s="212" customFormat="1" ht="15.5" x14ac:dyDescent="0.35">
      <c r="A1041" s="198">
        <v>2033</v>
      </c>
      <c r="B1041" s="197" t="s">
        <v>5838</v>
      </c>
      <c r="C1041" s="197">
        <v>2001</v>
      </c>
      <c r="D1041" s="225" t="str">
        <f t="shared" si="11"/>
        <v>2033_2001</v>
      </c>
      <c r="E1041" s="1287">
        <v>0.37745766757841115</v>
      </c>
      <c r="F1041" s="1306">
        <v>0.11839147895781589</v>
      </c>
      <c r="G1041" s="1303">
        <v>9.202557085229186</v>
      </c>
      <c r="H1041" s="1306">
        <v>0.95152216829922875</v>
      </c>
      <c r="I1041" s="1303">
        <v>5.405064642137495E-2</v>
      </c>
      <c r="J1041" s="1306">
        <v>2.7896325636774847E-3</v>
      </c>
      <c r="K1041" s="1303">
        <v>2.9999193414865545E-3</v>
      </c>
      <c r="L1041" s="1288">
        <v>2.0000012799747877E-3</v>
      </c>
      <c r="M1041" s="1230">
        <v>2.0000012799747877E-3</v>
      </c>
      <c r="N1041" s="1303">
        <v>2.7298108017774377E-2</v>
      </c>
      <c r="O1041" s="1288">
        <v>7.8669547150033645E-3</v>
      </c>
      <c r="P1041" s="1237">
        <v>3.9334773575016822E-3</v>
      </c>
      <c r="Q1041" s="1290">
        <v>5.6494576806358228E-2</v>
      </c>
    </row>
    <row r="1042" spans="1:17" s="212" customFormat="1" ht="15.5" x14ac:dyDescent="0.35">
      <c r="A1042" s="198">
        <v>2033</v>
      </c>
      <c r="B1042" s="197" t="s">
        <v>5838</v>
      </c>
      <c r="C1042" s="197">
        <v>2002</v>
      </c>
      <c r="D1042" s="225" t="str">
        <f t="shared" si="11"/>
        <v>2033_2002</v>
      </c>
      <c r="E1042" s="1287">
        <v>0.29109327301087223</v>
      </c>
      <c r="F1042" s="1306">
        <v>0.11757605505282841</v>
      </c>
      <c r="G1042" s="1303">
        <v>7.1182701159975137</v>
      </c>
      <c r="H1042" s="1306">
        <v>0.92117911344282422</v>
      </c>
      <c r="I1042" s="1303">
        <v>5.4261341129203895E-2</v>
      </c>
      <c r="J1042" s="1306">
        <v>2.8022770491647085E-3</v>
      </c>
      <c r="K1042" s="1303">
        <v>2.9999402848571249E-3</v>
      </c>
      <c r="L1042" s="1288">
        <v>2.0000013431129317E-3</v>
      </c>
      <c r="M1042" s="1230">
        <v>2.0000013431129317E-3</v>
      </c>
      <c r="N1042" s="1303">
        <v>2.7298598412486885E-2</v>
      </c>
      <c r="O1042" s="1288">
        <v>7.3452815518738604E-3</v>
      </c>
      <c r="P1042" s="1237">
        <v>3.6726407759369302E-3</v>
      </c>
      <c r="Q1042" s="1290">
        <v>5.6714798193931347E-2</v>
      </c>
    </row>
    <row r="1043" spans="1:17" s="212" customFormat="1" ht="15.5" x14ac:dyDescent="0.35">
      <c r="A1043" s="198">
        <v>2033</v>
      </c>
      <c r="B1043" s="197" t="s">
        <v>5838</v>
      </c>
      <c r="C1043" s="197">
        <v>2003</v>
      </c>
      <c r="D1043" s="225" t="str">
        <f t="shared" si="11"/>
        <v>2033_2003</v>
      </c>
      <c r="E1043" s="1287">
        <v>0.28952994981373131</v>
      </c>
      <c r="F1043" s="1306">
        <v>9.5168495870740666E-2</v>
      </c>
      <c r="G1043" s="1303">
        <v>7.144577017131942</v>
      </c>
      <c r="H1043" s="1306">
        <v>0.71593584156020662</v>
      </c>
      <c r="I1043" s="1303">
        <v>5.3969834534415284E-2</v>
      </c>
      <c r="J1043" s="1306">
        <v>2.7877659993125587E-3</v>
      </c>
      <c r="K1043" s="1303">
        <v>2.9999433518801471E-3</v>
      </c>
      <c r="L1043" s="1288">
        <v>2.0000013608746448E-3</v>
      </c>
      <c r="M1043" s="1230">
        <v>2.0000013608746448E-3</v>
      </c>
      <c r="N1043" s="1303">
        <v>2.7298687798614944E-2</v>
      </c>
      <c r="O1043" s="1288">
        <v>7.780414853768047E-3</v>
      </c>
      <c r="P1043" s="1237">
        <v>3.8902074268840235E-3</v>
      </c>
      <c r="Q1043" s="1290">
        <v>5.6410110964467734E-2</v>
      </c>
    </row>
    <row r="1044" spans="1:17" s="212" customFormat="1" ht="15.5" x14ac:dyDescent="0.35">
      <c r="A1044" s="198">
        <v>2033</v>
      </c>
      <c r="B1044" s="197" t="s">
        <v>5838</v>
      </c>
      <c r="C1044" s="197">
        <v>2004</v>
      </c>
      <c r="D1044" s="225" t="str">
        <f t="shared" si="11"/>
        <v>2033_2004</v>
      </c>
      <c r="E1044" s="1287">
        <v>0.59659404288475837</v>
      </c>
      <c r="F1044" s="1306">
        <v>1.7979236302694421E-2</v>
      </c>
      <c r="G1044" s="1303">
        <v>4.209910035428269</v>
      </c>
      <c r="H1044" s="1306">
        <v>0.12282172272558936</v>
      </c>
      <c r="I1044" s="1303">
        <v>0.15456235901071294</v>
      </c>
      <c r="J1044" s="1306">
        <v>1.8678943724555566E-4</v>
      </c>
      <c r="K1044" s="1303">
        <v>2.9993084686125112E-3</v>
      </c>
      <c r="L1044" s="1288">
        <v>2.0000014354864663E-3</v>
      </c>
      <c r="M1044" s="1230">
        <v>2.0000014354864663E-3</v>
      </c>
      <c r="N1044" s="1303">
        <v>2.7283737101567587E-2</v>
      </c>
      <c r="O1044" s="1288">
        <v>7.2085084632278213E-3</v>
      </c>
      <c r="P1044" s="1237">
        <v>3.6042542316139107E-3</v>
      </c>
      <c r="Q1044" s="1290">
        <v>0.16155098302486667</v>
      </c>
    </row>
    <row r="1045" spans="1:17" s="212" customFormat="1" ht="15.5" x14ac:dyDescent="0.35">
      <c r="A1045" s="198">
        <v>2033</v>
      </c>
      <c r="B1045" s="197" t="s">
        <v>5838</v>
      </c>
      <c r="C1045" s="197">
        <v>2005</v>
      </c>
      <c r="D1045" s="225" t="str">
        <f t="shared" si="11"/>
        <v>2033_2005</v>
      </c>
      <c r="E1045" s="1287">
        <v>0.56656900902318197</v>
      </c>
      <c r="F1045" s="1306">
        <v>1.6063383311280478E-2</v>
      </c>
      <c r="G1045" s="1303">
        <v>4.0659478291856761</v>
      </c>
      <c r="H1045" s="1306">
        <v>0.10712896843645883</v>
      </c>
      <c r="I1045" s="1303">
        <v>0.1484719918907467</v>
      </c>
      <c r="J1045" s="1306">
        <v>1.8720315929212015E-4</v>
      </c>
      <c r="K1045" s="1303">
        <v>2.9412557113221802E-3</v>
      </c>
      <c r="L1045" s="1288">
        <v>2.0000014465206984E-3</v>
      </c>
      <c r="M1045" s="1230">
        <v>2.0000014465206984E-3</v>
      </c>
      <c r="N1045" s="1303">
        <v>2.5913719423967981E-2</v>
      </c>
      <c r="O1045" s="1288">
        <v>6.6529519867905978E-3</v>
      </c>
      <c r="P1045" s="1237">
        <v>3.3264759933952989E-3</v>
      </c>
      <c r="Q1045" s="1290">
        <v>0.1551852365293398</v>
      </c>
    </row>
    <row r="1046" spans="1:17" s="212" customFormat="1" ht="15.5" x14ac:dyDescent="0.35">
      <c r="A1046" s="198">
        <v>2033</v>
      </c>
      <c r="B1046" s="197" t="s">
        <v>5838</v>
      </c>
      <c r="C1046" s="197">
        <v>2006</v>
      </c>
      <c r="D1046" s="225" t="str">
        <f t="shared" si="11"/>
        <v>2033_2006</v>
      </c>
      <c r="E1046" s="1287">
        <v>0.5753908242538458</v>
      </c>
      <c r="F1046" s="1306">
        <v>7.093793360817436E-3</v>
      </c>
      <c r="G1046" s="1303">
        <v>4.1121069348469153</v>
      </c>
      <c r="H1046" s="1306">
        <v>8.5854425621066655E-2</v>
      </c>
      <c r="I1046" s="1303">
        <v>0.15021650074899232</v>
      </c>
      <c r="J1046" s="1306">
        <v>1.8207879958426868E-4</v>
      </c>
      <c r="K1046" s="1303">
        <v>2.9632009524827104E-3</v>
      </c>
      <c r="L1046" s="1288">
        <v>2.0000013502473905E-3</v>
      </c>
      <c r="M1046" s="1230">
        <v>2.0000013502473905E-3</v>
      </c>
      <c r="N1046" s="1303">
        <v>2.6431448058729965E-2</v>
      </c>
      <c r="O1046" s="1288">
        <v>9.7238104939021928E-3</v>
      </c>
      <c r="P1046" s="1237">
        <v>4.8619052469510964E-3</v>
      </c>
      <c r="Q1046" s="1290">
        <v>0.15700862433701171</v>
      </c>
    </row>
    <row r="1047" spans="1:17" s="212" customFormat="1" ht="15.5" x14ac:dyDescent="0.35">
      <c r="A1047" s="198">
        <v>2033</v>
      </c>
      <c r="B1047" s="197" t="s">
        <v>5838</v>
      </c>
      <c r="C1047" s="197">
        <v>2007</v>
      </c>
      <c r="D1047" s="225" t="str">
        <f t="shared" si="11"/>
        <v>2033_2007</v>
      </c>
      <c r="E1047" s="1287">
        <v>0.31872222105961645</v>
      </c>
      <c r="F1047" s="1306">
        <v>8.9441259822908483E-3</v>
      </c>
      <c r="G1047" s="1303">
        <v>2.3199493994264944</v>
      </c>
      <c r="H1047" s="1306">
        <v>7.1576261938115823E-2</v>
      </c>
      <c r="I1047" s="1303">
        <v>8.3210507662880712E-2</v>
      </c>
      <c r="J1047" s="1306">
        <v>1.8630847890997799E-4</v>
      </c>
      <c r="K1047" s="1303">
        <v>2.9411003692721188E-3</v>
      </c>
      <c r="L1047" s="1288">
        <v>2.0000013780758965E-3</v>
      </c>
      <c r="M1047" s="1230">
        <v>2.0000013780758965E-3</v>
      </c>
      <c r="N1047" s="1303">
        <v>2.5910883878779451E-2</v>
      </c>
      <c r="O1047" s="1288">
        <v>6.9369368946892414E-3</v>
      </c>
      <c r="P1047" s="1237">
        <v>3.4684684473446207E-3</v>
      </c>
      <c r="Q1047" s="1290">
        <v>8.6972917578237038E-2</v>
      </c>
    </row>
    <row r="1048" spans="1:17" s="212" customFormat="1" ht="15.5" x14ac:dyDescent="0.35">
      <c r="A1048" s="198">
        <v>2033</v>
      </c>
      <c r="B1048" s="197" t="s">
        <v>5838</v>
      </c>
      <c r="C1048" s="197">
        <v>2008</v>
      </c>
      <c r="D1048" s="225" t="str">
        <f t="shared" si="11"/>
        <v>2033_2008</v>
      </c>
      <c r="E1048" s="1287">
        <v>0.3255435051096619</v>
      </c>
      <c r="F1048" s="1306">
        <v>8.3169562801781814E-3</v>
      </c>
      <c r="G1048" s="1303">
        <v>2.3744272812464335</v>
      </c>
      <c r="H1048" s="1306">
        <v>5.3891776293999577E-2</v>
      </c>
      <c r="I1048" s="1303">
        <v>8.4982752253438459E-2</v>
      </c>
      <c r="J1048" s="1306">
        <v>2.1037302728495517E-4</v>
      </c>
      <c r="K1048" s="1303">
        <v>2.9651339810302406E-3</v>
      </c>
      <c r="L1048" s="1288">
        <v>2.0000015190760351E-3</v>
      </c>
      <c r="M1048" s="1230">
        <v>2.0000015190760351E-3</v>
      </c>
      <c r="N1048" s="1303">
        <v>2.6478781159682087E-2</v>
      </c>
      <c r="O1048" s="1288">
        <v>6.7797797431038845E-3</v>
      </c>
      <c r="P1048" s="1237">
        <v>3.3898898715519423E-3</v>
      </c>
      <c r="Q1048" s="1290">
        <v>8.8825295204961005E-2</v>
      </c>
    </row>
    <row r="1049" spans="1:17" s="212" customFormat="1" ht="15.5" x14ac:dyDescent="0.35">
      <c r="A1049" s="198">
        <v>2033</v>
      </c>
      <c r="B1049" s="197" t="s">
        <v>5838</v>
      </c>
      <c r="C1049" s="197">
        <v>2009</v>
      </c>
      <c r="D1049" s="225" t="str">
        <f t="shared" si="11"/>
        <v>2033_2009</v>
      </c>
      <c r="E1049" s="1287">
        <v>0.31346253206232549</v>
      </c>
      <c r="F1049" s="1306">
        <v>7.95913118267552E-3</v>
      </c>
      <c r="G1049" s="1303">
        <v>2.2612233307134155</v>
      </c>
      <c r="H1049" s="1306">
        <v>3.8763351447348042E-2</v>
      </c>
      <c r="I1049" s="1303">
        <v>8.165433420569361E-2</v>
      </c>
      <c r="J1049" s="1306">
        <v>2.393860859149059E-4</v>
      </c>
      <c r="K1049" s="1303">
        <v>2.9110012312417496E-3</v>
      </c>
      <c r="L1049" s="1288">
        <v>2.0000015694995117E-3</v>
      </c>
      <c r="M1049" s="1230">
        <v>2.0000015694995117E-3</v>
      </c>
      <c r="N1049" s="1303">
        <v>2.5205973218017465E-2</v>
      </c>
      <c r="O1049" s="1288">
        <v>5.2831075445739627E-3</v>
      </c>
      <c r="P1049" s="1237">
        <v>2.6415537722869814E-3</v>
      </c>
      <c r="Q1049" s="1290">
        <v>8.5346380862733301E-2</v>
      </c>
    </row>
    <row r="1050" spans="1:17" s="212" customFormat="1" ht="15.5" x14ac:dyDescent="0.35">
      <c r="A1050" s="198">
        <v>2033</v>
      </c>
      <c r="B1050" s="197" t="s">
        <v>5838</v>
      </c>
      <c r="C1050" s="197">
        <v>2010</v>
      </c>
      <c r="D1050" s="225" t="str">
        <f t="shared" si="11"/>
        <v>2033_2010</v>
      </c>
      <c r="E1050" s="1287">
        <v>6.630341704608736E-2</v>
      </c>
      <c r="F1050" s="1306">
        <v>7.3275611903621703E-3</v>
      </c>
      <c r="G1050" s="1303">
        <v>0.57483646557838486</v>
      </c>
      <c r="H1050" s="1306">
        <v>3.6719967883606784E-2</v>
      </c>
      <c r="I1050" s="1303">
        <v>1.836045462546344E-2</v>
      </c>
      <c r="J1050" s="1306">
        <v>2.9573844106656547E-4</v>
      </c>
      <c r="K1050" s="1303">
        <v>2.7945276770290485E-3</v>
      </c>
      <c r="L1050" s="1288">
        <v>2.0000016559310681E-3</v>
      </c>
      <c r="M1050" s="1230">
        <v>2.0000016559310681E-3</v>
      </c>
      <c r="N1050" s="1303">
        <v>2.2463071772742874E-2</v>
      </c>
      <c r="O1050" s="1288">
        <v>4.4822312295499118E-3</v>
      </c>
      <c r="P1050" s="1237">
        <v>2.2411156147749559E-3</v>
      </c>
      <c r="Q1050" s="1290">
        <v>1.9190632910316172E-2</v>
      </c>
    </row>
    <row r="1051" spans="1:17" s="212" customFormat="1" ht="15.5" x14ac:dyDescent="0.35">
      <c r="A1051" s="198">
        <v>2033</v>
      </c>
      <c r="B1051" s="197" t="s">
        <v>5838</v>
      </c>
      <c r="C1051" s="197">
        <v>2011</v>
      </c>
      <c r="D1051" s="225" t="str">
        <f t="shared" si="11"/>
        <v>2033_2011</v>
      </c>
      <c r="E1051" s="1287">
        <v>7.1444515735828634E-2</v>
      </c>
      <c r="F1051" s="1306">
        <v>7.2979477379364922E-3</v>
      </c>
      <c r="G1051" s="1303">
        <v>0.63463045802513518</v>
      </c>
      <c r="H1051" s="1306">
        <v>3.6430220622112444E-2</v>
      </c>
      <c r="I1051" s="1303">
        <v>1.9626559589681809E-2</v>
      </c>
      <c r="J1051" s="1306">
        <v>3.936967023559113E-4</v>
      </c>
      <c r="K1051" s="1303">
        <v>2.8883696432290776E-3</v>
      </c>
      <c r="L1051" s="1288">
        <v>2.0000016066391139E-3</v>
      </c>
      <c r="M1051" s="1230">
        <v>2.0000016066391139E-3</v>
      </c>
      <c r="N1051" s="1303">
        <v>2.4679199390624795E-2</v>
      </c>
      <c r="O1051" s="1288">
        <v>5.3882402671980587E-3</v>
      </c>
      <c r="P1051" s="1237">
        <v>2.6941201335990293E-3</v>
      </c>
      <c r="Q1051" s="1290">
        <v>2.0513985522758866E-2</v>
      </c>
    </row>
    <row r="1052" spans="1:17" s="212" customFormat="1" ht="15.5" x14ac:dyDescent="0.35">
      <c r="A1052" s="198">
        <v>2033</v>
      </c>
      <c r="B1052" s="197" t="s">
        <v>5838</v>
      </c>
      <c r="C1052" s="197">
        <v>2012</v>
      </c>
      <c r="D1052" s="225" t="str">
        <f t="shared" si="11"/>
        <v>2033_2012</v>
      </c>
      <c r="E1052" s="1287">
        <v>5.4178064273406983E-2</v>
      </c>
      <c r="F1052" s="1306">
        <v>6.9318276475805142E-3</v>
      </c>
      <c r="G1052" s="1303">
        <v>0.44600704535815744</v>
      </c>
      <c r="H1052" s="1306">
        <v>3.5131375355470791E-2</v>
      </c>
      <c r="I1052" s="1303">
        <v>1.5233545011013301E-2</v>
      </c>
      <c r="J1052" s="1306">
        <v>5.7121005044127285E-4</v>
      </c>
      <c r="K1052" s="1303">
        <v>2.6146045438486479E-3</v>
      </c>
      <c r="L1052" s="1288">
        <v>2.0000016465753674E-3</v>
      </c>
      <c r="M1052" s="1230">
        <v>2.0000016465753674E-3</v>
      </c>
      <c r="N1052" s="1303">
        <v>1.8204831999391474E-2</v>
      </c>
      <c r="O1052" s="1288">
        <v>5.8165048814569371E-3</v>
      </c>
      <c r="P1052" s="1237">
        <v>2.9082524407284685E-3</v>
      </c>
      <c r="Q1052" s="1290">
        <v>1.5922338318556484E-2</v>
      </c>
    </row>
    <row r="1053" spans="1:17" s="212" customFormat="1" ht="15.5" x14ac:dyDescent="0.35">
      <c r="A1053" s="198">
        <v>2033</v>
      </c>
      <c r="B1053" s="197" t="s">
        <v>5838</v>
      </c>
      <c r="C1053" s="197">
        <v>2013</v>
      </c>
      <c r="D1053" s="225" t="str">
        <f t="shared" si="11"/>
        <v>2033_2013</v>
      </c>
      <c r="E1053" s="1287">
        <v>6.8733120713155182E-2</v>
      </c>
      <c r="F1053" s="1306">
        <v>7.4281524175400064E-3</v>
      </c>
      <c r="G1053" s="1303">
        <v>0.60161672817647716</v>
      </c>
      <c r="H1053" s="1306">
        <v>3.6110194594705082E-2</v>
      </c>
      <c r="I1053" s="1303">
        <v>1.8713572734570322E-2</v>
      </c>
      <c r="J1053" s="1306">
        <v>8.5370847138527153E-4</v>
      </c>
      <c r="K1053" s="1303">
        <v>2.8495227569569851E-3</v>
      </c>
      <c r="L1053" s="1288">
        <v>2.0000016465157805E-3</v>
      </c>
      <c r="M1053" s="1230">
        <v>2.0000016465157805E-3</v>
      </c>
      <c r="N1053" s="1303">
        <v>2.3760336074256858E-2</v>
      </c>
      <c r="O1053" s="1288">
        <v>5.8368887976624371E-3</v>
      </c>
      <c r="P1053" s="1237">
        <v>2.9184443988312186E-3</v>
      </c>
      <c r="Q1053" s="1290">
        <v>1.9559717453378433E-2</v>
      </c>
    </row>
    <row r="1054" spans="1:17" s="212" customFormat="1" ht="15.5" x14ac:dyDescent="0.35">
      <c r="A1054" s="198">
        <v>2033</v>
      </c>
      <c r="B1054" s="197" t="s">
        <v>5838</v>
      </c>
      <c r="C1054" s="197">
        <v>2014</v>
      </c>
      <c r="D1054" s="225" t="str">
        <f t="shared" si="11"/>
        <v>2033_2014</v>
      </c>
      <c r="E1054" s="1287">
        <v>5.953276416489453E-2</v>
      </c>
      <c r="F1054" s="1306">
        <v>7.5276106777309214E-3</v>
      </c>
      <c r="G1054" s="1303">
        <v>0.50215770453367714</v>
      </c>
      <c r="H1054" s="1306">
        <v>3.6147926275950662E-2</v>
      </c>
      <c r="I1054" s="1303">
        <v>1.631905746850058E-2</v>
      </c>
      <c r="J1054" s="1306">
        <v>1.2059048196070953E-3</v>
      </c>
      <c r="K1054" s="1303">
        <v>2.7083248463969996E-3</v>
      </c>
      <c r="L1054" s="1288">
        <v>2.0000016507141804E-3</v>
      </c>
      <c r="M1054" s="1230">
        <v>2.0000016507141804E-3</v>
      </c>
      <c r="N1054" s="1303">
        <v>2.0413029827922261E-2</v>
      </c>
      <c r="O1054" s="1288">
        <v>4.9669418949816416E-3</v>
      </c>
      <c r="P1054" s="1237">
        <v>2.4834709474908208E-3</v>
      </c>
      <c r="Q1054" s="1290">
        <v>1.7056932832481105E-2</v>
      </c>
    </row>
    <row r="1055" spans="1:17" s="212" customFormat="1" ht="15.5" x14ac:dyDescent="0.35">
      <c r="A1055" s="198">
        <v>2033</v>
      </c>
      <c r="B1055" s="197" t="s">
        <v>5838</v>
      </c>
      <c r="C1055" s="197">
        <v>2015</v>
      </c>
      <c r="D1055" s="225" t="str">
        <f t="shared" si="11"/>
        <v>2033_2015</v>
      </c>
      <c r="E1055" s="1287">
        <v>5.4545489813067179E-2</v>
      </c>
      <c r="F1055" s="1306">
        <v>7.3376998760938924E-3</v>
      </c>
      <c r="G1055" s="1303">
        <v>0.45131114274106277</v>
      </c>
      <c r="H1055" s="1306">
        <v>3.4964669419521956E-2</v>
      </c>
      <c r="I1055" s="1303">
        <v>1.4995677324027505E-2</v>
      </c>
      <c r="J1055" s="1306">
        <v>1.4952840849456845E-3</v>
      </c>
      <c r="K1055" s="1303">
        <v>2.6409038919023046E-3</v>
      </c>
      <c r="L1055" s="1288">
        <v>2.0000016237650088E-3</v>
      </c>
      <c r="M1055" s="1230">
        <v>2.0000016237650088E-3</v>
      </c>
      <c r="N1055" s="1303">
        <v>1.8796238869867702E-2</v>
      </c>
      <c r="O1055" s="1288">
        <v>5.7699346515233405E-3</v>
      </c>
      <c r="P1055" s="1237">
        <v>2.8849673257616702E-3</v>
      </c>
      <c r="Q1055" s="1290">
        <v>1.5673715310287425E-2</v>
      </c>
    </row>
    <row r="1056" spans="1:17" s="212" customFormat="1" ht="15.5" x14ac:dyDescent="0.35">
      <c r="A1056" s="198">
        <v>2033</v>
      </c>
      <c r="B1056" s="197" t="s">
        <v>5838</v>
      </c>
      <c r="C1056" s="197">
        <v>2016</v>
      </c>
      <c r="D1056" s="225" t="str">
        <f t="shared" si="11"/>
        <v>2033_2016</v>
      </c>
      <c r="E1056" s="1287">
        <v>6.3813515733434842E-2</v>
      </c>
      <c r="F1056" s="1306">
        <v>7.1777718056759421E-3</v>
      </c>
      <c r="G1056" s="1303">
        <v>0.48938999692570312</v>
      </c>
      <c r="H1056" s="1306">
        <v>3.386351952256763E-2</v>
      </c>
      <c r="I1056" s="1303">
        <v>1.7043534072584608E-2</v>
      </c>
      <c r="J1056" s="1306">
        <v>1.7017860613687708E-3</v>
      </c>
      <c r="K1056" s="1303">
        <v>2.8100860627234734E-3</v>
      </c>
      <c r="L1056" s="1288">
        <v>2.00000157268486E-3</v>
      </c>
      <c r="M1056" s="1230">
        <v>2.00000157268486E-3</v>
      </c>
      <c r="N1056" s="1303">
        <v>2.2800229225103354E-2</v>
      </c>
      <c r="O1056" s="1288">
        <v>6.598020011640387E-3</v>
      </c>
      <c r="P1056" s="1237">
        <v>3.2990100058201935E-3</v>
      </c>
      <c r="Q1056" s="1290">
        <v>1.7814167053784538E-2</v>
      </c>
    </row>
    <row r="1057" spans="1:17" s="212" customFormat="1" ht="15.5" x14ac:dyDescent="0.35">
      <c r="A1057" s="198">
        <v>2033</v>
      </c>
      <c r="B1057" s="197" t="s">
        <v>5838</v>
      </c>
      <c r="C1057" s="197">
        <v>2017</v>
      </c>
      <c r="D1057" s="225" t="str">
        <f t="shared" si="11"/>
        <v>2033_2017</v>
      </c>
      <c r="E1057" s="1287">
        <v>6.53254554189341E-2</v>
      </c>
      <c r="F1057" s="1306">
        <v>6.8587471897837253E-3</v>
      </c>
      <c r="G1057" s="1303">
        <v>0.43634286741026956</v>
      </c>
      <c r="H1057" s="1306">
        <v>3.2701267034720177E-2</v>
      </c>
      <c r="I1057" s="1303">
        <v>1.7155831174745631E-2</v>
      </c>
      <c r="J1057" s="1306">
        <v>1.8285808893154537E-3</v>
      </c>
      <c r="K1057" s="1303">
        <v>2.8435982915244319E-3</v>
      </c>
      <c r="L1057" s="1288">
        <v>2.0000015460417886E-3</v>
      </c>
      <c r="M1057" s="1230">
        <v>2.0000015460417886E-3</v>
      </c>
      <c r="N1057" s="1303">
        <v>2.3594717157539281E-2</v>
      </c>
      <c r="O1057" s="1288">
        <v>6.5367285503380853E-3</v>
      </c>
      <c r="P1057" s="1237">
        <v>3.2683642751690427E-3</v>
      </c>
      <c r="Q1057" s="1290">
        <v>1.7931541732594269E-2</v>
      </c>
    </row>
    <row r="1058" spans="1:17" s="212" customFormat="1" ht="15.5" x14ac:dyDescent="0.35">
      <c r="A1058" s="198">
        <v>2033</v>
      </c>
      <c r="B1058" s="197" t="s">
        <v>5838</v>
      </c>
      <c r="C1058" s="197">
        <v>2018</v>
      </c>
      <c r="D1058" s="225" t="str">
        <f t="shared" si="11"/>
        <v>2033_2018</v>
      </c>
      <c r="E1058" s="1287">
        <v>5.9843904955737305E-2</v>
      </c>
      <c r="F1058" s="1306">
        <v>6.6729489538373318E-3</v>
      </c>
      <c r="G1058" s="1303">
        <v>0.32375370776488172</v>
      </c>
      <c r="H1058" s="1306">
        <v>3.1813055228090734E-2</v>
      </c>
      <c r="I1058" s="1303">
        <v>1.5597346918875512E-2</v>
      </c>
      <c r="J1058" s="1306">
        <v>1.9307641141670853E-3</v>
      </c>
      <c r="K1058" s="1303">
        <v>2.7575951857289802E-3</v>
      </c>
      <c r="L1058" s="1288">
        <v>2.0000015417873719E-3</v>
      </c>
      <c r="M1058" s="1230">
        <v>2.0000015417873719E-3</v>
      </c>
      <c r="N1058" s="1303">
        <v>2.1543170071897062E-2</v>
      </c>
      <c r="O1058" s="1288">
        <v>5.9047674108860726E-3</v>
      </c>
      <c r="P1058" s="1237">
        <v>2.9523837054430363E-3</v>
      </c>
      <c r="Q1058" s="1290">
        <v>1.6302589734345219E-2</v>
      </c>
    </row>
    <row r="1059" spans="1:17" s="212" customFormat="1" ht="15.5" x14ac:dyDescent="0.35">
      <c r="A1059" s="198">
        <v>2033</v>
      </c>
      <c r="B1059" s="197" t="s">
        <v>5838</v>
      </c>
      <c r="C1059" s="197">
        <v>2019</v>
      </c>
      <c r="D1059" s="225" t="str">
        <f t="shared" si="11"/>
        <v>2033_2019</v>
      </c>
      <c r="E1059" s="1287">
        <v>6.8580211507990735E-2</v>
      </c>
      <c r="F1059" s="1306">
        <v>6.4777204238928741E-3</v>
      </c>
      <c r="G1059" s="1303">
        <v>0.33034118288657571</v>
      </c>
      <c r="H1059" s="1306">
        <v>3.0675001101341814E-2</v>
      </c>
      <c r="I1059" s="1303">
        <v>1.7269407818124402E-2</v>
      </c>
      <c r="J1059" s="1306">
        <v>1.8324559704534062E-3</v>
      </c>
      <c r="K1059" s="1303">
        <v>2.9261024486345604E-3</v>
      </c>
      <c r="L1059" s="1288">
        <v>2.0000014776370085E-3</v>
      </c>
      <c r="M1059" s="1230">
        <v>2.0000014776370085E-3</v>
      </c>
      <c r="N1059" s="1303">
        <v>2.5544430003592307E-2</v>
      </c>
      <c r="O1059" s="1288">
        <v>5.9310471949184339E-3</v>
      </c>
      <c r="P1059" s="1237">
        <v>2.9655235974592169E-3</v>
      </c>
      <c r="Q1059" s="1290">
        <v>1.8050253807797813E-2</v>
      </c>
    </row>
    <row r="1060" spans="1:17" s="212" customFormat="1" ht="15.5" x14ac:dyDescent="0.35">
      <c r="A1060" s="198">
        <v>2033</v>
      </c>
      <c r="B1060" s="197" t="s">
        <v>5838</v>
      </c>
      <c r="C1060" s="197">
        <v>2020</v>
      </c>
      <c r="D1060" s="225" t="str">
        <f t="shared" si="11"/>
        <v>2033_2020</v>
      </c>
      <c r="E1060" s="1287">
        <v>5.8589070331101924E-2</v>
      </c>
      <c r="F1060" s="1306">
        <v>6.2449873942268079E-3</v>
      </c>
      <c r="G1060" s="1303">
        <v>0.24887822729238623</v>
      </c>
      <c r="H1060" s="1306">
        <v>2.9264057816570058E-2</v>
      </c>
      <c r="I1060" s="1303">
        <v>1.5004944523847128E-2</v>
      </c>
      <c r="J1060" s="1306">
        <v>1.355808547954686E-3</v>
      </c>
      <c r="K1060" s="1303">
        <v>2.8877266912992017E-3</v>
      </c>
      <c r="L1060" s="1288">
        <v>2.000001569015366E-3</v>
      </c>
      <c r="M1060" s="1230">
        <v>2.000001569015366E-3</v>
      </c>
      <c r="N1060" s="1303">
        <v>2.4636274919931207E-2</v>
      </c>
      <c r="O1060" s="1288">
        <v>6.0363279480313064E-3</v>
      </c>
      <c r="P1060" s="1237">
        <v>3.0181639740156532E-3</v>
      </c>
      <c r="Q1060" s="1290">
        <v>1.5683401531760299E-2</v>
      </c>
    </row>
    <row r="1061" spans="1:17" s="212" customFormat="1" ht="15.5" x14ac:dyDescent="0.35">
      <c r="A1061" s="198">
        <v>2033</v>
      </c>
      <c r="B1061" s="197" t="s">
        <v>5838</v>
      </c>
      <c r="C1061" s="197">
        <v>2021</v>
      </c>
      <c r="D1061" s="225" t="str">
        <f t="shared" si="11"/>
        <v>2033_2021</v>
      </c>
      <c r="E1061" s="1287">
        <v>5.6756839012914992E-2</v>
      </c>
      <c r="F1061" s="1306">
        <v>5.9474496914073121E-3</v>
      </c>
      <c r="G1061" s="1303">
        <v>0.1976307540296155</v>
      </c>
      <c r="H1061" s="1306">
        <v>2.7942778925471378E-2</v>
      </c>
      <c r="I1061" s="1303">
        <v>1.3947319408530338E-2</v>
      </c>
      <c r="J1061" s="1306">
        <v>8.8531854607266176E-4</v>
      </c>
      <c r="K1061" s="1303">
        <v>2.8855398514219927E-3</v>
      </c>
      <c r="L1061" s="1288">
        <v>2.0000015803814009E-3</v>
      </c>
      <c r="M1061" s="1230">
        <v>2.0000015803814009E-3</v>
      </c>
      <c r="N1061" s="1303">
        <v>2.4579107181986064E-2</v>
      </c>
      <c r="O1061" s="1288">
        <v>5.9930392642703082E-3</v>
      </c>
      <c r="P1061" s="1237">
        <v>2.9965196321351541E-3</v>
      </c>
      <c r="Q1061" s="1290">
        <v>1.457795530187083E-2</v>
      </c>
    </row>
    <row r="1062" spans="1:17" s="212" customFormat="1" ht="15.5" x14ac:dyDescent="0.35">
      <c r="A1062" s="198">
        <v>2033</v>
      </c>
      <c r="B1062" s="197" t="s">
        <v>5838</v>
      </c>
      <c r="C1062" s="197">
        <v>2022</v>
      </c>
      <c r="D1062" s="225" t="str">
        <f t="shared" si="11"/>
        <v>2033_2022</v>
      </c>
      <c r="E1062" s="1287">
        <v>5.5848201289122185E-2</v>
      </c>
      <c r="F1062" s="1306">
        <v>5.6723710784095382E-3</v>
      </c>
      <c r="G1062" s="1303">
        <v>0.14925522292631088</v>
      </c>
      <c r="H1062" s="1306">
        <v>2.6614728396500774E-2</v>
      </c>
      <c r="I1062" s="1303">
        <v>1.3328109368673425E-2</v>
      </c>
      <c r="J1062" s="1306">
        <v>8.8562082309671301E-4</v>
      </c>
      <c r="K1062" s="1303">
        <v>2.8829413606280812E-3</v>
      </c>
      <c r="L1062" s="1288">
        <v>2.0000015907670134E-3</v>
      </c>
      <c r="M1062" s="1230">
        <v>2.0000015907670134E-3</v>
      </c>
      <c r="N1062" s="1303">
        <v>2.451151902736479E-2</v>
      </c>
      <c r="O1062" s="1288">
        <v>5.9781262114518693E-3</v>
      </c>
      <c r="P1062" s="1237">
        <v>2.9890631057259347E-3</v>
      </c>
      <c r="Q1062" s="1290">
        <v>1.3930747331715487E-2</v>
      </c>
    </row>
    <row r="1063" spans="1:17" s="212" customFormat="1" ht="15.5" x14ac:dyDescent="0.35">
      <c r="A1063" s="198">
        <v>2033</v>
      </c>
      <c r="B1063" s="197" t="s">
        <v>5838</v>
      </c>
      <c r="C1063" s="197">
        <v>2023</v>
      </c>
      <c r="D1063" s="225" t="str">
        <f t="shared" si="11"/>
        <v>2033_2023</v>
      </c>
      <c r="E1063" s="1287">
        <v>5.4935499521203954E-2</v>
      </c>
      <c r="F1063" s="1306">
        <v>5.2731928173749623E-3</v>
      </c>
      <c r="G1063" s="1303">
        <v>0.14488874037880067</v>
      </c>
      <c r="H1063" s="1306">
        <v>2.5311835408407327E-2</v>
      </c>
      <c r="I1063" s="1303">
        <v>1.2679408413166475E-2</v>
      </c>
      <c r="J1063" s="1306">
        <v>8.8562664716780506E-4</v>
      </c>
      <c r="K1063" s="1303">
        <v>2.8813218087059491E-3</v>
      </c>
      <c r="L1063" s="1288">
        <v>2.000001602141296E-3</v>
      </c>
      <c r="M1063" s="1230">
        <v>2.000001602141296E-3</v>
      </c>
      <c r="N1063" s="1303">
        <v>2.4466621859383197E-2</v>
      </c>
      <c r="O1063" s="1288">
        <v>5.9283062872968134E-3</v>
      </c>
      <c r="P1063" s="1237">
        <v>2.9641531436484067E-3</v>
      </c>
      <c r="Q1063" s="1290">
        <v>1.3252714997568386E-2</v>
      </c>
    </row>
    <row r="1064" spans="1:17" s="212" customFormat="1" ht="15.5" x14ac:dyDescent="0.35">
      <c r="A1064" s="198">
        <v>2033</v>
      </c>
      <c r="B1064" s="197" t="s">
        <v>5838</v>
      </c>
      <c r="C1064" s="197">
        <v>2024</v>
      </c>
      <c r="D1064" s="225" t="str">
        <f t="shared" si="11"/>
        <v>2033_2024</v>
      </c>
      <c r="E1064" s="1287">
        <v>5.3610366134139512E-2</v>
      </c>
      <c r="F1064" s="1306">
        <v>4.6166990955749942E-3</v>
      </c>
      <c r="G1064" s="1303">
        <v>0.13928404725707297</v>
      </c>
      <c r="H1064" s="1306">
        <v>2.3704677722820415E-2</v>
      </c>
      <c r="I1064" s="1303">
        <v>1.1905557831825441E-2</v>
      </c>
      <c r="J1064" s="1306">
        <v>8.8472623306467581E-4</v>
      </c>
      <c r="K1064" s="1303">
        <v>2.8733227363701218E-3</v>
      </c>
      <c r="L1064" s="1288">
        <v>2.0000016214021298E-3</v>
      </c>
      <c r="M1064" s="1305">
        <v>2.0000005733386964E-3</v>
      </c>
      <c r="N1064" s="1303">
        <v>2.4268578109866316E-2</v>
      </c>
      <c r="O1064" s="1288">
        <v>5.7678336361610179E-3</v>
      </c>
      <c r="P1064" s="1301">
        <v>3.4290939923079214E-3</v>
      </c>
      <c r="Q1064" s="1290">
        <v>1.2443874326850124E-2</v>
      </c>
    </row>
    <row r="1065" spans="1:17" s="212" customFormat="1" ht="15.5" x14ac:dyDescent="0.35">
      <c r="A1065" s="198">
        <v>2033</v>
      </c>
      <c r="B1065" s="197" t="s">
        <v>5838</v>
      </c>
      <c r="C1065" s="197">
        <v>2025</v>
      </c>
      <c r="D1065" s="225" t="str">
        <f t="shared" si="11"/>
        <v>2033_2025</v>
      </c>
      <c r="E1065" s="1287">
        <v>5.2483657778039094E-2</v>
      </c>
      <c r="F1065" s="1306">
        <v>4.054019081395431E-3</v>
      </c>
      <c r="G1065" s="1303">
        <v>0.13411351944402294</v>
      </c>
      <c r="H1065" s="1306">
        <v>2.2229389371873708E-2</v>
      </c>
      <c r="I1065" s="1303">
        <v>1.1152853576588347E-2</v>
      </c>
      <c r="J1065" s="1306">
        <v>8.843841962439833E-4</v>
      </c>
      <c r="K1065" s="1303">
        <v>2.8699029232528927E-3</v>
      </c>
      <c r="L1065" s="1288">
        <v>2.0000016315216721E-3</v>
      </c>
      <c r="M1065" s="1305">
        <v>2.0000005733706982E-3</v>
      </c>
      <c r="N1065" s="1303">
        <v>2.4178822654892865E-2</v>
      </c>
      <c r="O1065" s="1288">
        <v>5.6789680743996049E-3</v>
      </c>
      <c r="P1065" s="1301">
        <v>3.8654880498317536E-3</v>
      </c>
      <c r="Q1065" s="1290">
        <v>1.1657136125266891E-2</v>
      </c>
    </row>
    <row r="1066" spans="1:17" s="212" customFormat="1" ht="15.5" x14ac:dyDescent="0.35">
      <c r="A1066" s="198">
        <v>2033</v>
      </c>
      <c r="B1066" s="197" t="s">
        <v>5838</v>
      </c>
      <c r="C1066" s="197">
        <v>2026</v>
      </c>
      <c r="D1066" s="225" t="str">
        <f t="shared" si="11"/>
        <v>2033_2026</v>
      </c>
      <c r="E1066" s="1287">
        <v>5.1180806734329579E-2</v>
      </c>
      <c r="F1066" s="1306">
        <v>3.9482120723089457E-3</v>
      </c>
      <c r="G1066" s="1303">
        <v>0.12836737332597628</v>
      </c>
      <c r="H1066" s="1306">
        <v>2.1398195422134829E-2</v>
      </c>
      <c r="I1066" s="1303">
        <v>1.0335165028421679E-2</v>
      </c>
      <c r="J1066" s="1306">
        <v>7.6955199875284154E-4</v>
      </c>
      <c r="K1066" s="1303">
        <v>2.8642268683187633E-3</v>
      </c>
      <c r="L1066" s="1288">
        <v>2.0000016466815199E-3</v>
      </c>
      <c r="M1066" s="1305">
        <v>2.0000005734311013E-3</v>
      </c>
      <c r="N1066" s="1303">
        <v>2.4033993985312817E-2</v>
      </c>
      <c r="O1066" s="1288">
        <v>5.5337427421393841E-3</v>
      </c>
      <c r="P1066" s="1301">
        <v>4.694552718329215E-3</v>
      </c>
      <c r="Q1066" s="1290">
        <v>1.0802475329391272E-2</v>
      </c>
    </row>
    <row r="1067" spans="1:17" s="212" customFormat="1" ht="15.5" x14ac:dyDescent="0.35">
      <c r="A1067" s="198">
        <v>2033</v>
      </c>
      <c r="B1067" s="197" t="s">
        <v>5838</v>
      </c>
      <c r="C1067" s="197">
        <v>2027</v>
      </c>
      <c r="D1067" s="225" t="str">
        <f t="shared" si="11"/>
        <v>2033_2027</v>
      </c>
      <c r="E1067" s="1287">
        <v>4.9683388768903609E-2</v>
      </c>
      <c r="F1067" s="1306">
        <v>3.8589380414816229E-3</v>
      </c>
      <c r="G1067" s="1303">
        <v>0.12202201673813311</v>
      </c>
      <c r="H1067" s="1306">
        <v>2.0549278920488662E-2</v>
      </c>
      <c r="I1067" s="1303">
        <v>9.4539943901928644E-3</v>
      </c>
      <c r="J1067" s="1306">
        <v>6.3405356487184785E-4</v>
      </c>
      <c r="K1067" s="1303">
        <v>2.8558012654727508E-3</v>
      </c>
      <c r="L1067" s="1288">
        <v>2.0000016658320522E-3</v>
      </c>
      <c r="M1067" s="1305">
        <v>2.0000005734925556E-3</v>
      </c>
      <c r="N1067" s="1303">
        <v>2.3821685753163728E-2</v>
      </c>
      <c r="O1067" s="1288">
        <v>5.3507486082425759E-3</v>
      </c>
      <c r="P1067" s="1301">
        <v>5.5415085043098713E-3</v>
      </c>
      <c r="Q1067" s="1290">
        <v>9.8814620650385879E-3</v>
      </c>
    </row>
    <row r="1068" spans="1:17" s="212" customFormat="1" ht="15.5" x14ac:dyDescent="0.35">
      <c r="A1068" s="198">
        <v>2033</v>
      </c>
      <c r="B1068" s="197" t="s">
        <v>5838</v>
      </c>
      <c r="C1068" s="197">
        <v>2028</v>
      </c>
      <c r="D1068" s="225" t="str">
        <f t="shared" si="11"/>
        <v>2033_2028</v>
      </c>
      <c r="E1068" s="1287">
        <v>4.8052041785672218E-2</v>
      </c>
      <c r="F1068" s="1306">
        <v>3.7162708952925287E-3</v>
      </c>
      <c r="G1068" s="1303">
        <v>0.11525972229767091</v>
      </c>
      <c r="H1068" s="1306">
        <v>1.9616690433656239E-2</v>
      </c>
      <c r="I1068" s="1303">
        <v>8.52721291153756E-3</v>
      </c>
      <c r="J1068" s="1306">
        <v>5.1586731965419389E-4</v>
      </c>
      <c r="K1068" s="1303">
        <v>2.8456404658700508E-3</v>
      </c>
      <c r="L1068" s="1288">
        <v>2.000001689388616E-3</v>
      </c>
      <c r="M1068" s="1305">
        <v>2.0000005735363066E-3</v>
      </c>
      <c r="N1068" s="1303">
        <v>2.3565829377500711E-2</v>
      </c>
      <c r="O1068" s="1288">
        <v>5.1480449505063031E-3</v>
      </c>
      <c r="P1068" s="1301">
        <v>6.144577715135869E-3</v>
      </c>
      <c r="Q1068" s="1290">
        <v>8.9127756404503607E-3</v>
      </c>
    </row>
    <row r="1069" spans="1:17" s="212" customFormat="1" ht="15.5" x14ac:dyDescent="0.35">
      <c r="A1069" s="198">
        <v>2033</v>
      </c>
      <c r="B1069" s="197" t="s">
        <v>5838</v>
      </c>
      <c r="C1069" s="197">
        <v>2029</v>
      </c>
      <c r="D1069" s="225" t="str">
        <f t="shared" si="11"/>
        <v>2033_2029</v>
      </c>
      <c r="E1069" s="1287">
        <v>4.6429788459243122E-2</v>
      </c>
      <c r="F1069" s="1306">
        <v>3.5627136008806446E-3</v>
      </c>
      <c r="G1069" s="1303">
        <v>0.108446796957905</v>
      </c>
      <c r="H1069" s="1306">
        <v>1.8636477179009917E-2</v>
      </c>
      <c r="I1069" s="1303">
        <v>7.5836569871122195E-3</v>
      </c>
      <c r="J1069" s="1306">
        <v>5.1331399112168976E-4</v>
      </c>
      <c r="K1069" s="1303">
        <v>2.8364445915134645E-3</v>
      </c>
      <c r="L1069" s="1288">
        <v>2.000001712767843E-3</v>
      </c>
      <c r="M1069" s="1305">
        <v>2.000000573572692E-3</v>
      </c>
      <c r="N1069" s="1303">
        <v>2.3331369828013961E-2</v>
      </c>
      <c r="O1069" s="1288">
        <v>4.9754695492008911E-3</v>
      </c>
      <c r="P1069" s="1301">
        <v>6.659483214689353E-3</v>
      </c>
      <c r="Q1069" s="1290">
        <v>7.9265563040899489E-3</v>
      </c>
    </row>
    <row r="1070" spans="1:17" s="212" customFormat="1" ht="15.5" x14ac:dyDescent="0.35">
      <c r="A1070" s="198">
        <v>2033</v>
      </c>
      <c r="B1070" s="197" t="s">
        <v>5838</v>
      </c>
      <c r="C1070" s="197">
        <v>2030</v>
      </c>
      <c r="D1070" s="225" t="str">
        <f t="shared" si="11"/>
        <v>2033_2030</v>
      </c>
      <c r="E1070" s="1287">
        <v>4.4738202261437619E-2</v>
      </c>
      <c r="F1070" s="1306">
        <v>3.4138851715842192E-3</v>
      </c>
      <c r="G1070" s="1303">
        <v>0.10139555005719382</v>
      </c>
      <c r="H1070" s="1306">
        <v>1.7645577860037325E-2</v>
      </c>
      <c r="I1070" s="1303">
        <v>6.610424929127545E-3</v>
      </c>
      <c r="J1070" s="1306">
        <v>5.1082266757058212E-4</v>
      </c>
      <c r="K1070" s="1303">
        <v>2.8266495162822237E-3</v>
      </c>
      <c r="L1070" s="1288">
        <v>2.000001746013504E-3</v>
      </c>
      <c r="M1070" s="1305">
        <v>2.0000005735989193E-3</v>
      </c>
      <c r="N1070" s="1303">
        <v>2.3080568171444334E-2</v>
      </c>
      <c r="O1070" s="1288">
        <v>4.7937931613267412E-3</v>
      </c>
      <c r="P1070" s="1301">
        <v>7.0387080561581513E-3</v>
      </c>
      <c r="Q1070" s="1290">
        <v>6.9093190110965106E-3</v>
      </c>
    </row>
    <row r="1071" spans="1:17" s="212" customFormat="1" ht="15.5" x14ac:dyDescent="0.35">
      <c r="A1071" s="198">
        <v>2033</v>
      </c>
      <c r="B1071" s="197" t="s">
        <v>5838</v>
      </c>
      <c r="C1071" s="197">
        <v>2031</v>
      </c>
      <c r="D1071" s="225" t="str">
        <f t="shared" si="11"/>
        <v>2033_2031</v>
      </c>
      <c r="E1071" s="1287">
        <v>4.2868465190689577E-2</v>
      </c>
      <c r="F1071" s="1306">
        <v>3.2277580904376594E-3</v>
      </c>
      <c r="G1071" s="1303">
        <v>9.3877852704838491E-2</v>
      </c>
      <c r="H1071" s="1306">
        <v>1.6597158597004925E-2</v>
      </c>
      <c r="I1071" s="1303">
        <v>5.5963489781308958E-3</v>
      </c>
      <c r="J1071" s="1306">
        <v>5.0804212238650035E-4</v>
      </c>
      <c r="K1071" s="1303">
        <v>2.8139326694705978E-3</v>
      </c>
      <c r="L1071" s="1288">
        <v>2.0000017956233653E-3</v>
      </c>
      <c r="M1071" s="1305">
        <v>2.0000005736284261E-3</v>
      </c>
      <c r="N1071" s="1303">
        <v>2.2756658188855212E-2</v>
      </c>
      <c r="O1071" s="1288">
        <v>4.5854107735427843E-3</v>
      </c>
      <c r="P1071" s="1301">
        <v>7.4711666135569028E-3</v>
      </c>
      <c r="Q1071" s="1290">
        <v>5.8493910454911835E-3</v>
      </c>
    </row>
    <row r="1072" spans="1:17" s="212" customFormat="1" ht="15.5" x14ac:dyDescent="0.35">
      <c r="A1072" s="198">
        <v>2033</v>
      </c>
      <c r="B1072" s="197" t="s">
        <v>5838</v>
      </c>
      <c r="C1072" s="197">
        <v>2032</v>
      </c>
      <c r="D1072" s="225" t="str">
        <f t="shared" si="11"/>
        <v>2033_2032</v>
      </c>
      <c r="E1072" s="1287">
        <v>4.0928093668034314E-2</v>
      </c>
      <c r="F1072" s="1306">
        <v>3.022242674782705E-3</v>
      </c>
      <c r="G1072" s="1303">
        <v>8.6171725849561107E-2</v>
      </c>
      <c r="H1072" s="1306">
        <v>1.5461677314110276E-2</v>
      </c>
      <c r="I1072" s="1303">
        <v>4.5632477766166576E-3</v>
      </c>
      <c r="J1072" s="1306">
        <v>5.0494866468597322E-4</v>
      </c>
      <c r="K1072" s="1303">
        <v>2.8003635966367961E-3</v>
      </c>
      <c r="L1072" s="1288">
        <v>2.0000018385473405E-3</v>
      </c>
      <c r="M1072" s="1305">
        <v>2.0000005736500763E-3</v>
      </c>
      <c r="N1072" s="1303">
        <v>2.2408982360375505E-2</v>
      </c>
      <c r="O1072" s="1288">
        <v>4.3666920878929838E-3</v>
      </c>
      <c r="P1072" s="1301">
        <v>7.8410518475321104E-3</v>
      </c>
      <c r="Q1072" s="1290">
        <v>4.7695775919631535E-3</v>
      </c>
    </row>
    <row r="1073" spans="1:17" s="212" customFormat="1" ht="15.5" x14ac:dyDescent="0.35">
      <c r="A1073" s="198">
        <v>2033</v>
      </c>
      <c r="B1073" s="197" t="s">
        <v>5838</v>
      </c>
      <c r="C1073" s="197">
        <v>2033</v>
      </c>
      <c r="D1073" s="225" t="str">
        <f t="shared" si="11"/>
        <v>2033_2033</v>
      </c>
      <c r="E1073" s="1287">
        <v>3.7844139377969099E-2</v>
      </c>
      <c r="F1073" s="1306">
        <v>2.7844393849195629E-3</v>
      </c>
      <c r="G1073" s="1303">
        <v>7.6135269860579002E-2</v>
      </c>
      <c r="H1073" s="1306">
        <v>1.4120083827608267E-2</v>
      </c>
      <c r="I1073" s="1303">
        <v>3.4241903470727366E-3</v>
      </c>
      <c r="J1073" s="1306">
        <v>4.9757367852454467E-4</v>
      </c>
      <c r="K1073" s="1303">
        <v>2.7624693337340946E-3</v>
      </c>
      <c r="L1073" s="1288">
        <v>2.000001948316254E-3</v>
      </c>
      <c r="M1073" s="1305">
        <v>2.0000005736369661E-3</v>
      </c>
      <c r="N1073" s="1303">
        <v>2.1462239430808307E-2</v>
      </c>
      <c r="O1073" s="1288">
        <v>3.9300813888264877E-3</v>
      </c>
      <c r="P1073" s="1301">
        <v>7.6813432990147559E-3</v>
      </c>
      <c r="Q1073" s="1290">
        <v>3.5790170399477381E-3</v>
      </c>
    </row>
    <row r="1074" spans="1:17" s="212" customFormat="1" ht="15.5" x14ac:dyDescent="0.35">
      <c r="A1074" s="198">
        <v>2033</v>
      </c>
      <c r="B1074" s="197" t="s">
        <v>5838</v>
      </c>
      <c r="C1074" s="197">
        <v>2034</v>
      </c>
      <c r="D1074" s="225" t="str">
        <f t="shared" si="11"/>
        <v>2033_2034</v>
      </c>
      <c r="E1074" s="1291">
        <v>3.7844139377969099E-2</v>
      </c>
      <c r="F1074" s="1280">
        <v>2.7844393849195629E-3</v>
      </c>
      <c r="G1074" s="1271">
        <v>7.6135269860579002E-2</v>
      </c>
      <c r="H1074" s="1280">
        <v>1.4120083827608267E-2</v>
      </c>
      <c r="I1074" s="1271">
        <v>3.4241903470727366E-3</v>
      </c>
      <c r="J1074" s="1280">
        <v>4.9757367852454467E-4</v>
      </c>
      <c r="K1074" s="1271">
        <v>2.7624693337340946E-3</v>
      </c>
      <c r="L1074" s="1257">
        <v>2.000001948316254E-3</v>
      </c>
      <c r="M1074" s="1230">
        <v>2.0000005736369661E-3</v>
      </c>
      <c r="N1074" s="1271">
        <v>2.1462239430808307E-2</v>
      </c>
      <c r="O1074" s="1257">
        <v>3.9300813888264877E-3</v>
      </c>
      <c r="P1074" s="1237">
        <v>7.6813432990147559E-3</v>
      </c>
      <c r="Q1074" s="1292">
        <v>3.5790170399477381E-3</v>
      </c>
    </row>
    <row r="1075" spans="1:17" s="212" customFormat="1" ht="15.5" x14ac:dyDescent="0.35">
      <c r="A1075" s="198">
        <v>2034</v>
      </c>
      <c r="B1075" s="197" t="s">
        <v>5838</v>
      </c>
      <c r="C1075" s="197">
        <v>1971</v>
      </c>
      <c r="D1075" s="225" t="str">
        <f t="shared" si="11"/>
        <v>2034_1971</v>
      </c>
      <c r="E1075" s="1291">
        <v>0.30125831505907213</v>
      </c>
      <c r="F1075" s="1280">
        <v>0.48958337578766092</v>
      </c>
      <c r="G1075" s="1271">
        <v>4.760141765213362</v>
      </c>
      <c r="H1075" s="1280">
        <v>1.8668348558194219</v>
      </c>
      <c r="I1075" s="1271">
        <v>0.20288147921720057</v>
      </c>
      <c r="J1075" s="1280">
        <v>1.6574436909988683E-2</v>
      </c>
      <c r="K1075" s="1271">
        <v>2.8913885792392737E-3</v>
      </c>
      <c r="L1075" s="1257">
        <v>2.0000010434525445E-3</v>
      </c>
      <c r="M1075" s="1230">
        <v>2.0000010434525445E-3</v>
      </c>
      <c r="N1075" s="1271">
        <v>2.4760196223920058E-2</v>
      </c>
      <c r="O1075" s="1257">
        <v>1.2544547518335159E-2</v>
      </c>
      <c r="P1075" s="1237">
        <v>6.2722737591675796E-3</v>
      </c>
      <c r="Q1075" s="1292">
        <v>0.21205487943417137</v>
      </c>
    </row>
    <row r="1076" spans="1:17" s="212" customFormat="1" ht="15.5" x14ac:dyDescent="0.35">
      <c r="A1076" s="198">
        <v>2034</v>
      </c>
      <c r="B1076" s="197" t="s">
        <v>5838</v>
      </c>
      <c r="C1076" s="197">
        <v>1972</v>
      </c>
      <c r="D1076" s="225" t="str">
        <f t="shared" si="11"/>
        <v>2034_1972</v>
      </c>
      <c r="E1076" s="1291">
        <v>0.30125831505907213</v>
      </c>
      <c r="F1076" s="1280">
        <v>0.48958337578766092</v>
      </c>
      <c r="G1076" s="1271">
        <v>4.760141765213362</v>
      </c>
      <c r="H1076" s="1280">
        <v>1.8668348558194219</v>
      </c>
      <c r="I1076" s="1271">
        <v>0.20288147921720057</v>
      </c>
      <c r="J1076" s="1280">
        <v>1.6574436909988683E-2</v>
      </c>
      <c r="K1076" s="1271">
        <v>2.8913885792392737E-3</v>
      </c>
      <c r="L1076" s="1257">
        <v>2.0000010434525445E-3</v>
      </c>
      <c r="M1076" s="1230">
        <v>2.0000010434525445E-3</v>
      </c>
      <c r="N1076" s="1271">
        <v>2.4760196223920058E-2</v>
      </c>
      <c r="O1076" s="1257">
        <v>1.2544547518335159E-2</v>
      </c>
      <c r="P1076" s="1237">
        <v>6.2722737591675796E-3</v>
      </c>
      <c r="Q1076" s="1292">
        <v>0.21205487943417137</v>
      </c>
    </row>
    <row r="1077" spans="1:17" s="212" customFormat="1" ht="15.5" x14ac:dyDescent="0.35">
      <c r="A1077" s="198">
        <v>2034</v>
      </c>
      <c r="B1077" s="197" t="s">
        <v>5838</v>
      </c>
      <c r="C1077" s="197">
        <v>1973</v>
      </c>
      <c r="D1077" s="225" t="str">
        <f t="shared" si="11"/>
        <v>2034_1973</v>
      </c>
      <c r="E1077" s="1291">
        <v>0.30125831505907213</v>
      </c>
      <c r="F1077" s="1280">
        <v>0.48958337578766092</v>
      </c>
      <c r="G1077" s="1271">
        <v>4.760141765213362</v>
      </c>
      <c r="H1077" s="1280">
        <v>1.8668348558194219</v>
      </c>
      <c r="I1077" s="1271">
        <v>0.20288147921720057</v>
      </c>
      <c r="J1077" s="1280">
        <v>1.6574436909988683E-2</v>
      </c>
      <c r="K1077" s="1271">
        <v>2.8913885792392737E-3</v>
      </c>
      <c r="L1077" s="1257">
        <v>2.0000010434525445E-3</v>
      </c>
      <c r="M1077" s="1230">
        <v>2.0000010434525445E-3</v>
      </c>
      <c r="N1077" s="1271">
        <v>2.4760196223920058E-2</v>
      </c>
      <c r="O1077" s="1257">
        <v>1.2544547518335159E-2</v>
      </c>
      <c r="P1077" s="1237">
        <v>6.2722737591675796E-3</v>
      </c>
      <c r="Q1077" s="1292">
        <v>0.21205487943417137</v>
      </c>
    </row>
    <row r="1078" spans="1:17" s="212" customFormat="1" ht="15.5" x14ac:dyDescent="0.35">
      <c r="A1078" s="198">
        <v>2034</v>
      </c>
      <c r="B1078" s="197" t="s">
        <v>5838</v>
      </c>
      <c r="C1078" s="197">
        <v>1974</v>
      </c>
      <c r="D1078" s="225" t="str">
        <f t="shared" si="11"/>
        <v>2034_1974</v>
      </c>
      <c r="E1078" s="1291">
        <v>0.30125831505907213</v>
      </c>
      <c r="F1078" s="1280">
        <v>0.48958337578766092</v>
      </c>
      <c r="G1078" s="1271">
        <v>4.760141765213362</v>
      </c>
      <c r="H1078" s="1280">
        <v>1.8668348558194219</v>
      </c>
      <c r="I1078" s="1271">
        <v>0.20288147921720057</v>
      </c>
      <c r="J1078" s="1280">
        <v>1.6574436909988683E-2</v>
      </c>
      <c r="K1078" s="1271">
        <v>2.8913885792392737E-3</v>
      </c>
      <c r="L1078" s="1257">
        <v>2.0000010434525445E-3</v>
      </c>
      <c r="M1078" s="1230">
        <v>2.0000010434525445E-3</v>
      </c>
      <c r="N1078" s="1271">
        <v>2.4760196223920058E-2</v>
      </c>
      <c r="O1078" s="1257">
        <v>1.2544547518335159E-2</v>
      </c>
      <c r="P1078" s="1237">
        <v>6.2722737591675796E-3</v>
      </c>
      <c r="Q1078" s="1292">
        <v>0.21205487943417137</v>
      </c>
    </row>
    <row r="1079" spans="1:17" s="212" customFormat="1" ht="15.5" x14ac:dyDescent="0.35">
      <c r="A1079" s="198">
        <v>2034</v>
      </c>
      <c r="B1079" s="197" t="s">
        <v>5838</v>
      </c>
      <c r="C1079" s="197">
        <v>1975</v>
      </c>
      <c r="D1079" s="225" t="str">
        <f t="shared" si="11"/>
        <v>2034_1975</v>
      </c>
      <c r="E1079" s="1291">
        <v>0.30125831505907213</v>
      </c>
      <c r="F1079" s="1280">
        <v>0.48958337578766092</v>
      </c>
      <c r="G1079" s="1271">
        <v>4.760141765213362</v>
      </c>
      <c r="H1079" s="1280">
        <v>1.8668348558194219</v>
      </c>
      <c r="I1079" s="1271">
        <v>0.20288147921720057</v>
      </c>
      <c r="J1079" s="1280">
        <v>1.6574436909988683E-2</v>
      </c>
      <c r="K1079" s="1271">
        <v>2.8913885792392737E-3</v>
      </c>
      <c r="L1079" s="1257">
        <v>2.0000010434525445E-3</v>
      </c>
      <c r="M1079" s="1230">
        <v>2.0000010434525445E-3</v>
      </c>
      <c r="N1079" s="1271">
        <v>2.4760196223920058E-2</v>
      </c>
      <c r="O1079" s="1257">
        <v>1.2544547518335159E-2</v>
      </c>
      <c r="P1079" s="1237">
        <v>6.2722737591675796E-3</v>
      </c>
      <c r="Q1079" s="1292">
        <v>0.21205487943417137</v>
      </c>
    </row>
    <row r="1080" spans="1:17" s="212" customFormat="1" ht="15.5" x14ac:dyDescent="0.35">
      <c r="A1080" s="198">
        <v>2034</v>
      </c>
      <c r="B1080" s="197" t="s">
        <v>5838</v>
      </c>
      <c r="C1080" s="197">
        <v>1976</v>
      </c>
      <c r="D1080" s="225" t="str">
        <f t="shared" si="11"/>
        <v>2034_1976</v>
      </c>
      <c r="E1080" s="1291">
        <v>0.30125831505907213</v>
      </c>
      <c r="F1080" s="1280">
        <v>0.48958337578766092</v>
      </c>
      <c r="G1080" s="1271">
        <v>4.760141765213362</v>
      </c>
      <c r="H1080" s="1280">
        <v>1.8668348558194219</v>
      </c>
      <c r="I1080" s="1271">
        <v>0.20288147921720057</v>
      </c>
      <c r="J1080" s="1280">
        <v>1.6574436909988683E-2</v>
      </c>
      <c r="K1080" s="1271">
        <v>2.8913885792392737E-3</v>
      </c>
      <c r="L1080" s="1257">
        <v>2.0000010434525445E-3</v>
      </c>
      <c r="M1080" s="1230">
        <v>2.0000010434525445E-3</v>
      </c>
      <c r="N1080" s="1271">
        <v>2.4760196223920058E-2</v>
      </c>
      <c r="O1080" s="1257">
        <v>1.2544547518335159E-2</v>
      </c>
      <c r="P1080" s="1237">
        <v>6.2722737591675796E-3</v>
      </c>
      <c r="Q1080" s="1292">
        <v>0.21205487943417137</v>
      </c>
    </row>
    <row r="1081" spans="1:17" s="212" customFormat="1" ht="15.5" x14ac:dyDescent="0.35">
      <c r="A1081" s="198">
        <v>2034</v>
      </c>
      <c r="B1081" s="197" t="s">
        <v>5838</v>
      </c>
      <c r="C1081" s="197">
        <v>1977</v>
      </c>
      <c r="D1081" s="225" t="str">
        <f t="shared" si="11"/>
        <v>2034_1977</v>
      </c>
      <c r="E1081" s="1291">
        <v>0.30125831505907213</v>
      </c>
      <c r="F1081" s="1280">
        <v>0.48958337578766092</v>
      </c>
      <c r="G1081" s="1271">
        <v>4.760141765213362</v>
      </c>
      <c r="H1081" s="1280">
        <v>1.8668348558194219</v>
      </c>
      <c r="I1081" s="1271">
        <v>0.20288147921720057</v>
      </c>
      <c r="J1081" s="1280">
        <v>1.6574436909988683E-2</v>
      </c>
      <c r="K1081" s="1271">
        <v>2.8913885792392737E-3</v>
      </c>
      <c r="L1081" s="1257">
        <v>2.0000010434525445E-3</v>
      </c>
      <c r="M1081" s="1230">
        <v>2.0000010434525445E-3</v>
      </c>
      <c r="N1081" s="1271">
        <v>2.4760196223920058E-2</v>
      </c>
      <c r="O1081" s="1257">
        <v>1.2544547518335159E-2</v>
      </c>
      <c r="P1081" s="1237">
        <v>6.2722737591675796E-3</v>
      </c>
      <c r="Q1081" s="1292">
        <v>0.21205487943417137</v>
      </c>
    </row>
    <row r="1082" spans="1:17" s="212" customFormat="1" ht="15.5" x14ac:dyDescent="0.35">
      <c r="A1082" s="198">
        <v>2034</v>
      </c>
      <c r="B1082" s="197" t="s">
        <v>5838</v>
      </c>
      <c r="C1082" s="197">
        <v>1978</v>
      </c>
      <c r="D1082" s="225" t="str">
        <f t="shared" si="11"/>
        <v>2034_1978</v>
      </c>
      <c r="E1082" s="1291">
        <v>0.30125831505907213</v>
      </c>
      <c r="F1082" s="1280">
        <v>0.48958337578766092</v>
      </c>
      <c r="G1082" s="1271">
        <v>4.760141765213362</v>
      </c>
      <c r="H1082" s="1280">
        <v>1.8668348558194219</v>
      </c>
      <c r="I1082" s="1271">
        <v>0.20288147921720057</v>
      </c>
      <c r="J1082" s="1280">
        <v>1.6574436909988683E-2</v>
      </c>
      <c r="K1082" s="1271">
        <v>2.8913885792392737E-3</v>
      </c>
      <c r="L1082" s="1257">
        <v>2.0000010434525445E-3</v>
      </c>
      <c r="M1082" s="1230">
        <v>2.0000010434525445E-3</v>
      </c>
      <c r="N1082" s="1271">
        <v>2.4760196223920058E-2</v>
      </c>
      <c r="O1082" s="1257">
        <v>1.2544547518335159E-2</v>
      </c>
      <c r="P1082" s="1237">
        <v>6.2722737591675796E-3</v>
      </c>
      <c r="Q1082" s="1292">
        <v>0.21205487943417137</v>
      </c>
    </row>
    <row r="1083" spans="1:17" s="212" customFormat="1" ht="15.5" x14ac:dyDescent="0.35">
      <c r="A1083" s="198">
        <v>2034</v>
      </c>
      <c r="B1083" s="197" t="s">
        <v>5838</v>
      </c>
      <c r="C1083" s="197">
        <v>1979</v>
      </c>
      <c r="D1083" s="225" t="str">
        <f t="shared" si="11"/>
        <v>2034_1979</v>
      </c>
      <c r="E1083" s="1291">
        <v>0.30125831505907213</v>
      </c>
      <c r="F1083" s="1280">
        <v>0.48958337578766092</v>
      </c>
      <c r="G1083" s="1271">
        <v>4.760141765213362</v>
      </c>
      <c r="H1083" s="1280">
        <v>1.8668348558194219</v>
      </c>
      <c r="I1083" s="1271">
        <v>0.20288147921720057</v>
      </c>
      <c r="J1083" s="1280">
        <v>1.6574436909988683E-2</v>
      </c>
      <c r="K1083" s="1271">
        <v>2.8913885792392737E-3</v>
      </c>
      <c r="L1083" s="1257">
        <v>2.0000010434525445E-3</v>
      </c>
      <c r="M1083" s="1230">
        <v>2.0000010434525445E-3</v>
      </c>
      <c r="N1083" s="1271">
        <v>2.4760196223920058E-2</v>
      </c>
      <c r="O1083" s="1257">
        <v>1.2544547518335159E-2</v>
      </c>
      <c r="P1083" s="1237">
        <v>6.2722737591675796E-3</v>
      </c>
      <c r="Q1083" s="1292">
        <v>0.21205487943417137</v>
      </c>
    </row>
    <row r="1084" spans="1:17" s="212" customFormat="1" ht="15.5" x14ac:dyDescent="0.35">
      <c r="A1084" s="198">
        <v>2034</v>
      </c>
      <c r="B1084" s="197" t="s">
        <v>5838</v>
      </c>
      <c r="C1084" s="197">
        <v>1980</v>
      </c>
      <c r="D1084" s="225" t="str">
        <f t="shared" si="11"/>
        <v>2034_1980</v>
      </c>
      <c r="E1084" s="1291">
        <v>0.30125831505907213</v>
      </c>
      <c r="F1084" s="1280">
        <v>0.48958337578766092</v>
      </c>
      <c r="G1084" s="1271">
        <v>4.760141765213362</v>
      </c>
      <c r="H1084" s="1280">
        <v>1.8668348558194219</v>
      </c>
      <c r="I1084" s="1271">
        <v>0.20288147921720057</v>
      </c>
      <c r="J1084" s="1280">
        <v>1.6574436909988683E-2</v>
      </c>
      <c r="K1084" s="1271">
        <v>2.8913885792392737E-3</v>
      </c>
      <c r="L1084" s="1257">
        <v>2.0000010434525445E-3</v>
      </c>
      <c r="M1084" s="1230">
        <v>2.0000010434525445E-3</v>
      </c>
      <c r="N1084" s="1271">
        <v>2.4760196223920058E-2</v>
      </c>
      <c r="O1084" s="1257">
        <v>1.2544547518335159E-2</v>
      </c>
      <c r="P1084" s="1237">
        <v>6.2722737591675796E-3</v>
      </c>
      <c r="Q1084" s="1292">
        <v>0.21205487943417137</v>
      </c>
    </row>
    <row r="1085" spans="1:17" s="212" customFormat="1" ht="15.5" x14ac:dyDescent="0.35">
      <c r="A1085" s="198">
        <v>2034</v>
      </c>
      <c r="B1085" s="197" t="s">
        <v>5838</v>
      </c>
      <c r="C1085" s="197">
        <v>1981</v>
      </c>
      <c r="D1085" s="225" t="str">
        <f t="shared" si="11"/>
        <v>2034_1981</v>
      </c>
      <c r="E1085" s="1291">
        <v>0.30125831505907213</v>
      </c>
      <c r="F1085" s="1280">
        <v>0.48958337578766092</v>
      </c>
      <c r="G1085" s="1271">
        <v>4.760141765213362</v>
      </c>
      <c r="H1085" s="1280">
        <v>1.8668348558194219</v>
      </c>
      <c r="I1085" s="1271">
        <v>0.20288147921720057</v>
      </c>
      <c r="J1085" s="1280">
        <v>1.6574436909988683E-2</v>
      </c>
      <c r="K1085" s="1271">
        <v>2.8913885792392737E-3</v>
      </c>
      <c r="L1085" s="1257">
        <v>2.0000010434525445E-3</v>
      </c>
      <c r="M1085" s="1230">
        <v>2.0000010434525445E-3</v>
      </c>
      <c r="N1085" s="1271">
        <v>2.4760196223920058E-2</v>
      </c>
      <c r="O1085" s="1257">
        <v>1.2544547518335159E-2</v>
      </c>
      <c r="P1085" s="1237">
        <v>6.2722737591675796E-3</v>
      </c>
      <c r="Q1085" s="1292">
        <v>0.21205487943417137</v>
      </c>
    </row>
    <row r="1086" spans="1:17" s="212" customFormat="1" ht="15.5" x14ac:dyDescent="0.35">
      <c r="A1086" s="198">
        <v>2034</v>
      </c>
      <c r="B1086" s="197" t="s">
        <v>5838</v>
      </c>
      <c r="C1086" s="197">
        <v>1982</v>
      </c>
      <c r="D1086" s="225" t="str">
        <f t="shared" si="11"/>
        <v>2034_1982</v>
      </c>
      <c r="E1086" s="1291">
        <v>0.30125831505907213</v>
      </c>
      <c r="F1086" s="1280">
        <v>0.48958337578766092</v>
      </c>
      <c r="G1086" s="1271">
        <v>4.760141765213362</v>
      </c>
      <c r="H1086" s="1280">
        <v>1.8668348558194219</v>
      </c>
      <c r="I1086" s="1271">
        <v>0.20288147921720057</v>
      </c>
      <c r="J1086" s="1280">
        <v>1.6574436909988683E-2</v>
      </c>
      <c r="K1086" s="1271">
        <v>2.8913885792392737E-3</v>
      </c>
      <c r="L1086" s="1257">
        <v>2.0000010434525445E-3</v>
      </c>
      <c r="M1086" s="1230">
        <v>2.0000010434525445E-3</v>
      </c>
      <c r="N1086" s="1271">
        <v>2.4760196223920058E-2</v>
      </c>
      <c r="O1086" s="1257">
        <v>1.2544547518335159E-2</v>
      </c>
      <c r="P1086" s="1237">
        <v>6.2722737591675796E-3</v>
      </c>
      <c r="Q1086" s="1292">
        <v>0.21205487943417137</v>
      </c>
    </row>
    <row r="1087" spans="1:17" s="212" customFormat="1" ht="15.5" x14ac:dyDescent="0.35">
      <c r="A1087" s="198">
        <v>2034</v>
      </c>
      <c r="B1087" s="197" t="s">
        <v>5838</v>
      </c>
      <c r="C1087" s="197">
        <v>1983</v>
      </c>
      <c r="D1087" s="225" t="str">
        <f t="shared" si="11"/>
        <v>2034_1983</v>
      </c>
      <c r="E1087" s="1291">
        <v>0.30125831505907213</v>
      </c>
      <c r="F1087" s="1280">
        <v>0.48958337578766092</v>
      </c>
      <c r="G1087" s="1271">
        <v>4.760141765213362</v>
      </c>
      <c r="H1087" s="1280">
        <v>1.8668348558194219</v>
      </c>
      <c r="I1087" s="1271">
        <v>0.20288147921720057</v>
      </c>
      <c r="J1087" s="1280">
        <v>1.6574436909988683E-2</v>
      </c>
      <c r="K1087" s="1271">
        <v>2.8913885792392737E-3</v>
      </c>
      <c r="L1087" s="1257">
        <v>2.0000010434525445E-3</v>
      </c>
      <c r="M1087" s="1230">
        <v>2.0000010434525445E-3</v>
      </c>
      <c r="N1087" s="1271">
        <v>2.4760196223920058E-2</v>
      </c>
      <c r="O1087" s="1257">
        <v>1.2544547518335159E-2</v>
      </c>
      <c r="P1087" s="1237">
        <v>6.2722737591675796E-3</v>
      </c>
      <c r="Q1087" s="1292">
        <v>0.21205487943417137</v>
      </c>
    </row>
    <row r="1088" spans="1:17" s="212" customFormat="1" ht="15.5" x14ac:dyDescent="0.35">
      <c r="A1088" s="198">
        <v>2034</v>
      </c>
      <c r="B1088" s="197" t="s">
        <v>5838</v>
      </c>
      <c r="C1088" s="197">
        <v>1984</v>
      </c>
      <c r="D1088" s="225" t="str">
        <f t="shared" si="11"/>
        <v>2034_1984</v>
      </c>
      <c r="E1088" s="1291">
        <v>0.30125831505907213</v>
      </c>
      <c r="F1088" s="1280">
        <v>0.48958337578766092</v>
      </c>
      <c r="G1088" s="1271">
        <v>4.760141765213362</v>
      </c>
      <c r="H1088" s="1280">
        <v>1.8668348558194219</v>
      </c>
      <c r="I1088" s="1271">
        <v>0.20288147921720057</v>
      </c>
      <c r="J1088" s="1280">
        <v>1.6574436909988683E-2</v>
      </c>
      <c r="K1088" s="1271">
        <v>2.8913885792392737E-3</v>
      </c>
      <c r="L1088" s="1257">
        <v>2.0000010434525445E-3</v>
      </c>
      <c r="M1088" s="1230">
        <v>2.0000010434525445E-3</v>
      </c>
      <c r="N1088" s="1271">
        <v>2.4760196223920058E-2</v>
      </c>
      <c r="O1088" s="1257">
        <v>1.2544547518335159E-2</v>
      </c>
      <c r="P1088" s="1237">
        <v>6.2722737591675796E-3</v>
      </c>
      <c r="Q1088" s="1292">
        <v>0.21205487943417137</v>
      </c>
    </row>
    <row r="1089" spans="1:17" s="212" customFormat="1" ht="15.5" x14ac:dyDescent="0.35">
      <c r="A1089" s="198">
        <v>2034</v>
      </c>
      <c r="B1089" s="197" t="s">
        <v>5838</v>
      </c>
      <c r="C1089" s="197">
        <v>1985</v>
      </c>
      <c r="D1089" s="225" t="str">
        <f t="shared" si="11"/>
        <v>2034_1985</v>
      </c>
      <c r="E1089" s="1291">
        <v>0.30125831505907213</v>
      </c>
      <c r="F1089" s="1280">
        <v>0.48958337578766092</v>
      </c>
      <c r="G1089" s="1271">
        <v>4.760141765213362</v>
      </c>
      <c r="H1089" s="1280">
        <v>1.8668348558194219</v>
      </c>
      <c r="I1089" s="1271">
        <v>0.20288147921720057</v>
      </c>
      <c r="J1089" s="1280">
        <v>1.6574436909988683E-2</v>
      </c>
      <c r="K1089" s="1271">
        <v>2.8913885792392737E-3</v>
      </c>
      <c r="L1089" s="1257">
        <v>2.0000010434525445E-3</v>
      </c>
      <c r="M1089" s="1230">
        <v>2.0000010434525445E-3</v>
      </c>
      <c r="N1089" s="1271">
        <v>2.4760196223920058E-2</v>
      </c>
      <c r="O1089" s="1257">
        <v>1.2544547518335159E-2</v>
      </c>
      <c r="P1089" s="1237">
        <v>6.2722737591675796E-3</v>
      </c>
      <c r="Q1089" s="1292">
        <v>0.21205487943417137</v>
      </c>
    </row>
    <row r="1090" spans="1:17" s="212" customFormat="1" ht="15.5" x14ac:dyDescent="0.35">
      <c r="A1090" s="198">
        <v>2034</v>
      </c>
      <c r="B1090" s="197" t="s">
        <v>5838</v>
      </c>
      <c r="C1090" s="197">
        <v>1986</v>
      </c>
      <c r="D1090" s="225" t="str">
        <f t="shared" si="11"/>
        <v>2034_1986</v>
      </c>
      <c r="E1090" s="1291">
        <v>0.30125831505907213</v>
      </c>
      <c r="F1090" s="1280">
        <v>0.48958337578766092</v>
      </c>
      <c r="G1090" s="1271">
        <v>4.760141765213362</v>
      </c>
      <c r="H1090" s="1280">
        <v>1.8668348558194219</v>
      </c>
      <c r="I1090" s="1271">
        <v>0.20288147921720057</v>
      </c>
      <c r="J1090" s="1280">
        <v>1.6574436909988683E-2</v>
      </c>
      <c r="K1090" s="1271">
        <v>2.8913885792392737E-3</v>
      </c>
      <c r="L1090" s="1257">
        <v>2.0000010434525445E-3</v>
      </c>
      <c r="M1090" s="1230">
        <v>2.0000010434525445E-3</v>
      </c>
      <c r="N1090" s="1271">
        <v>2.4760196223920058E-2</v>
      </c>
      <c r="O1090" s="1257">
        <v>1.2544547518335159E-2</v>
      </c>
      <c r="P1090" s="1237">
        <v>6.2722737591675796E-3</v>
      </c>
      <c r="Q1090" s="1292">
        <v>0.21205487943417137</v>
      </c>
    </row>
    <row r="1091" spans="1:17" s="212" customFormat="1" ht="15.5" x14ac:dyDescent="0.35">
      <c r="A1091" s="198">
        <v>2034</v>
      </c>
      <c r="B1091" s="197" t="s">
        <v>5838</v>
      </c>
      <c r="C1091" s="197">
        <v>1987</v>
      </c>
      <c r="D1091" s="225" t="str">
        <f t="shared" si="11"/>
        <v>2034_1987</v>
      </c>
      <c r="E1091" s="1291">
        <v>0.30125831505907213</v>
      </c>
      <c r="F1091" s="1280">
        <v>0.48958337578766092</v>
      </c>
      <c r="G1091" s="1271">
        <v>4.760141765213362</v>
      </c>
      <c r="H1091" s="1280">
        <v>1.8668348558194219</v>
      </c>
      <c r="I1091" s="1271">
        <v>0.20288147921720057</v>
      </c>
      <c r="J1091" s="1280">
        <v>1.6574436909988683E-2</v>
      </c>
      <c r="K1091" s="1271">
        <v>2.8913885792392737E-3</v>
      </c>
      <c r="L1091" s="1257">
        <v>2.0000010434525445E-3</v>
      </c>
      <c r="M1091" s="1230">
        <v>2.0000010434525445E-3</v>
      </c>
      <c r="N1091" s="1271">
        <v>2.4760196223920058E-2</v>
      </c>
      <c r="O1091" s="1257">
        <v>1.2544547518335159E-2</v>
      </c>
      <c r="P1091" s="1237">
        <v>6.2722737591675796E-3</v>
      </c>
      <c r="Q1091" s="1292">
        <v>0.21205487943417137</v>
      </c>
    </row>
    <row r="1092" spans="1:17" s="212" customFormat="1" ht="15.5" x14ac:dyDescent="0.35">
      <c r="A1092" s="198">
        <v>2034</v>
      </c>
      <c r="B1092" s="197" t="s">
        <v>5838</v>
      </c>
      <c r="C1092" s="197">
        <v>1988</v>
      </c>
      <c r="D1092" s="225" t="str">
        <f t="shared" si="11"/>
        <v>2034_1988</v>
      </c>
      <c r="E1092" s="1291">
        <v>0.30125831505907213</v>
      </c>
      <c r="F1092" s="1280">
        <v>0.48958337578766092</v>
      </c>
      <c r="G1092" s="1271">
        <v>4.760141765213362</v>
      </c>
      <c r="H1092" s="1280">
        <v>1.8668348558194219</v>
      </c>
      <c r="I1092" s="1271">
        <v>0.20288147921720057</v>
      </c>
      <c r="J1092" s="1280">
        <v>1.6574436909988683E-2</v>
      </c>
      <c r="K1092" s="1271">
        <v>2.8913885792392737E-3</v>
      </c>
      <c r="L1092" s="1257">
        <v>2.0000010434525445E-3</v>
      </c>
      <c r="M1092" s="1230">
        <v>2.0000010434525445E-3</v>
      </c>
      <c r="N1092" s="1271">
        <v>2.4760196223920058E-2</v>
      </c>
      <c r="O1092" s="1257">
        <v>1.2544547518335159E-2</v>
      </c>
      <c r="P1092" s="1237">
        <v>6.2722737591675796E-3</v>
      </c>
      <c r="Q1092" s="1292">
        <v>0.21205487943417137</v>
      </c>
    </row>
    <row r="1093" spans="1:17" s="212" customFormat="1" ht="15.5" x14ac:dyDescent="0.35">
      <c r="A1093" s="198">
        <v>2034</v>
      </c>
      <c r="B1093" s="197" t="s">
        <v>5838</v>
      </c>
      <c r="C1093" s="197">
        <v>1989</v>
      </c>
      <c r="D1093" s="225" t="str">
        <f t="shared" si="11"/>
        <v>2034_1989</v>
      </c>
      <c r="E1093" s="1291">
        <v>0.30125831505907213</v>
      </c>
      <c r="F1093" s="1280">
        <v>0.48958337578766092</v>
      </c>
      <c r="G1093" s="1271">
        <v>4.760141765213362</v>
      </c>
      <c r="H1093" s="1280">
        <v>1.8668348558194219</v>
      </c>
      <c r="I1093" s="1271">
        <v>0.20288147921720057</v>
      </c>
      <c r="J1093" s="1280">
        <v>1.6574436909988683E-2</v>
      </c>
      <c r="K1093" s="1271">
        <v>2.8913885792392737E-3</v>
      </c>
      <c r="L1093" s="1257">
        <v>2.0000010434525445E-3</v>
      </c>
      <c r="M1093" s="1230">
        <v>2.0000010434525445E-3</v>
      </c>
      <c r="N1093" s="1271">
        <v>2.4760196223920058E-2</v>
      </c>
      <c r="O1093" s="1257">
        <v>1.2544547518335159E-2</v>
      </c>
      <c r="P1093" s="1237">
        <v>6.2722737591675796E-3</v>
      </c>
      <c r="Q1093" s="1292">
        <v>0.21205487943417137</v>
      </c>
    </row>
    <row r="1094" spans="1:17" s="212" customFormat="1" ht="15.5" x14ac:dyDescent="0.35">
      <c r="A1094" s="198">
        <v>2034</v>
      </c>
      <c r="B1094" s="197" t="s">
        <v>5838</v>
      </c>
      <c r="C1094" s="197">
        <v>1990</v>
      </c>
      <c r="D1094" s="225" t="str">
        <f t="shared" si="11"/>
        <v>2034_1990</v>
      </c>
      <c r="E1094" s="1287">
        <v>0.30125831505907213</v>
      </c>
      <c r="F1094" s="1306">
        <v>0.48958337578766092</v>
      </c>
      <c r="G1094" s="1303">
        <v>4.760141765213362</v>
      </c>
      <c r="H1094" s="1306">
        <v>1.8668348558194219</v>
      </c>
      <c r="I1094" s="1303">
        <v>0.20288147921720057</v>
      </c>
      <c r="J1094" s="1306">
        <v>1.6574436909988683E-2</v>
      </c>
      <c r="K1094" s="1303">
        <v>2.8913885792392737E-3</v>
      </c>
      <c r="L1094" s="1288">
        <v>2.0000010434525445E-3</v>
      </c>
      <c r="M1094" s="1230">
        <v>2.0000010434525445E-3</v>
      </c>
      <c r="N1094" s="1303">
        <v>2.4760196223920058E-2</v>
      </c>
      <c r="O1094" s="1288">
        <v>1.2544547518335159E-2</v>
      </c>
      <c r="P1094" s="1237">
        <v>6.2722737591675796E-3</v>
      </c>
      <c r="Q1094" s="1290">
        <v>0.21205487943417137</v>
      </c>
    </row>
    <row r="1095" spans="1:17" s="212" customFormat="1" ht="15.5" x14ac:dyDescent="0.35">
      <c r="A1095" s="198">
        <v>2034</v>
      </c>
      <c r="B1095" s="197" t="s">
        <v>5838</v>
      </c>
      <c r="C1095" s="197">
        <v>1991</v>
      </c>
      <c r="D1095" s="225" t="str">
        <f t="shared" si="11"/>
        <v>2034_1991</v>
      </c>
      <c r="E1095" s="1287">
        <v>0.37699731968963285</v>
      </c>
      <c r="F1095" s="1306">
        <v>0.5018657434739725</v>
      </c>
      <c r="G1095" s="1303">
        <v>8.6263206188272967</v>
      </c>
      <c r="H1095" s="1306">
        <v>2.3193298556427155</v>
      </c>
      <c r="I1095" s="1303">
        <v>6.4529721551289262E-2</v>
      </c>
      <c r="J1095" s="1306">
        <v>9.2743667142046269E-3</v>
      </c>
      <c r="K1095" s="1303">
        <v>2.9319667855284572E-3</v>
      </c>
      <c r="L1095" s="1288">
        <v>2.0000010659625557E-3</v>
      </c>
      <c r="M1095" s="1230">
        <v>2.0000010659625557E-3</v>
      </c>
      <c r="N1095" s="1303">
        <v>2.5699608579177403E-2</v>
      </c>
      <c r="O1095" s="1288">
        <v>1.1709061271471928E-2</v>
      </c>
      <c r="P1095" s="1237">
        <v>5.854530635735964E-3</v>
      </c>
      <c r="Q1095" s="1290">
        <v>6.7447469213440178E-2</v>
      </c>
    </row>
    <row r="1096" spans="1:17" s="212" customFormat="1" ht="15.5" x14ac:dyDescent="0.35">
      <c r="A1096" s="198">
        <v>2034</v>
      </c>
      <c r="B1096" s="197" t="s">
        <v>5838</v>
      </c>
      <c r="C1096" s="197">
        <v>1992</v>
      </c>
      <c r="D1096" s="225" t="str">
        <f t="shared" si="11"/>
        <v>2034_1992</v>
      </c>
      <c r="E1096" s="1287">
        <v>0.37540215484329814</v>
      </c>
      <c r="F1096" s="1306">
        <v>0.50215980990694919</v>
      </c>
      <c r="G1096" s="1303">
        <v>7.9708708011771421</v>
      </c>
      <c r="H1096" s="1306">
        <v>2.2212557521261469</v>
      </c>
      <c r="I1096" s="1303">
        <v>7.7258685053520473E-2</v>
      </c>
      <c r="J1096" s="1306">
        <v>9.4430476390951774E-3</v>
      </c>
      <c r="K1096" s="1303">
        <v>2.8518579951317589E-3</v>
      </c>
      <c r="L1096" s="1288">
        <v>2.0000010956106695E-3</v>
      </c>
      <c r="M1096" s="1230">
        <v>2.0000010956106695E-3</v>
      </c>
      <c r="N1096" s="1303">
        <v>2.3818397115796409E-2</v>
      </c>
      <c r="O1096" s="1288">
        <v>9.7828089848445675E-3</v>
      </c>
      <c r="P1096" s="1237">
        <v>4.8914044924222837E-3</v>
      </c>
      <c r="Q1096" s="1290">
        <v>8.0751979961303219E-2</v>
      </c>
    </row>
    <row r="1097" spans="1:17" s="212" customFormat="1" ht="15.5" x14ac:dyDescent="0.35">
      <c r="A1097" s="198">
        <v>2034</v>
      </c>
      <c r="B1097" s="197" t="s">
        <v>5838</v>
      </c>
      <c r="C1097" s="197">
        <v>1993</v>
      </c>
      <c r="D1097" s="225" t="str">
        <f t="shared" si="11"/>
        <v>2034_1993</v>
      </c>
      <c r="E1097" s="1287">
        <v>0.3716281870731844</v>
      </c>
      <c r="F1097" s="1306">
        <v>0.5068306436206087</v>
      </c>
      <c r="G1097" s="1303">
        <v>8.867567614153252</v>
      </c>
      <c r="H1097" s="1306">
        <v>2.2487598370695081</v>
      </c>
      <c r="I1097" s="1303">
        <v>5.4049406680919503E-2</v>
      </c>
      <c r="J1097" s="1306">
        <v>9.4611462649068119E-3</v>
      </c>
      <c r="K1097" s="1303">
        <v>2.9652139951723759E-3</v>
      </c>
      <c r="L1097" s="1288">
        <v>2.0000010715081396E-3</v>
      </c>
      <c r="M1097" s="1230">
        <v>2.0000010715081396E-3</v>
      </c>
      <c r="N1097" s="1303">
        <v>2.6484235609045934E-2</v>
      </c>
      <c r="O1097" s="1288">
        <v>1.0837716190570765E-2</v>
      </c>
      <c r="P1097" s="1237">
        <v>5.4188580952853824E-3</v>
      </c>
      <c r="Q1097" s="1290">
        <v>5.6493281010340686E-2</v>
      </c>
    </row>
    <row r="1098" spans="1:17" s="212" customFormat="1" ht="15.5" x14ac:dyDescent="0.35">
      <c r="A1098" s="198">
        <v>2034</v>
      </c>
      <c r="B1098" s="197" t="s">
        <v>5838</v>
      </c>
      <c r="C1098" s="197">
        <v>1994</v>
      </c>
      <c r="D1098" s="225" t="str">
        <f t="shared" si="11"/>
        <v>2034_1994</v>
      </c>
      <c r="E1098" s="1287">
        <v>0.33363812703176265</v>
      </c>
      <c r="F1098" s="1306">
        <v>0.50485121603075878</v>
      </c>
      <c r="G1098" s="1303">
        <v>7.9746447726483289</v>
      </c>
      <c r="H1098" s="1306">
        <v>2.1065299490858438</v>
      </c>
      <c r="I1098" s="1303">
        <v>5.3928528230228298E-2</v>
      </c>
      <c r="J1098" s="1306">
        <v>9.6458860100215923E-3</v>
      </c>
      <c r="K1098" s="1303">
        <v>2.8409727238150819E-3</v>
      </c>
      <c r="L1098" s="1288">
        <v>2.0000012256473801E-3</v>
      </c>
      <c r="M1098" s="1230">
        <v>2.0000012256473801E-3</v>
      </c>
      <c r="N1098" s="1303">
        <v>2.3549791054008968E-2</v>
      </c>
      <c r="O1098" s="1288">
        <v>8.0415005463247771E-3</v>
      </c>
      <c r="P1098" s="1237">
        <v>4.0207502731623886E-3</v>
      </c>
      <c r="Q1098" s="1290">
        <v>5.6366936972499386E-2</v>
      </c>
    </row>
    <row r="1099" spans="1:17" s="212" customFormat="1" ht="15.5" x14ac:dyDescent="0.35">
      <c r="A1099" s="198">
        <v>2034</v>
      </c>
      <c r="B1099" s="197" t="s">
        <v>5838</v>
      </c>
      <c r="C1099" s="197">
        <v>1995</v>
      </c>
      <c r="D1099" s="225" t="str">
        <f t="shared" si="11"/>
        <v>2034_1995</v>
      </c>
      <c r="E1099" s="1287">
        <v>0.36993624413528525</v>
      </c>
      <c r="F1099" s="1306">
        <v>0.37488560394592352</v>
      </c>
      <c r="G1099" s="1303">
        <v>9.0994728204430331</v>
      </c>
      <c r="H1099" s="1306">
        <v>1.660125436905777</v>
      </c>
      <c r="I1099" s="1303">
        <v>5.3705801507786484E-2</v>
      </c>
      <c r="J1099" s="1306">
        <v>8.6779863504007956E-3</v>
      </c>
      <c r="K1099" s="1303">
        <v>2.9813034721929356E-3</v>
      </c>
      <c r="L1099" s="1288">
        <v>2.0000011270560887E-3</v>
      </c>
      <c r="M1099" s="1230">
        <v>2.0000011270560887E-3</v>
      </c>
      <c r="N1099" s="1303">
        <v>2.686243961121421E-2</v>
      </c>
      <c r="O1099" s="1288">
        <v>1.0274469871272389E-2</v>
      </c>
      <c r="P1099" s="1237">
        <v>5.1372349356361945E-3</v>
      </c>
      <c r="Q1099" s="1290">
        <v>5.6134139536003921E-2</v>
      </c>
    </row>
    <row r="1100" spans="1:17" s="212" customFormat="1" ht="15.5" x14ac:dyDescent="0.35">
      <c r="A1100" s="198">
        <v>2034</v>
      </c>
      <c r="B1100" s="197" t="s">
        <v>5838</v>
      </c>
      <c r="C1100" s="197">
        <v>1996</v>
      </c>
      <c r="D1100" s="225" t="str">
        <f t="shared" si="11"/>
        <v>2034_1996</v>
      </c>
      <c r="E1100" s="1287">
        <v>0.37414916424992833</v>
      </c>
      <c r="F1100" s="1306">
        <v>0.12700414836768728</v>
      </c>
      <c r="G1100" s="1303">
        <v>9.1397577398707668</v>
      </c>
      <c r="H1100" s="1306">
        <v>0.98856191487290079</v>
      </c>
      <c r="I1100" s="1303">
        <v>5.394856745959737E-2</v>
      </c>
      <c r="J1100" s="1306">
        <v>2.7128419777752632E-3</v>
      </c>
      <c r="K1100" s="1303">
        <v>2.9903796652789275E-3</v>
      </c>
      <c r="L1100" s="1288">
        <v>2.0000011164236445E-3</v>
      </c>
      <c r="M1100" s="1230">
        <v>2.0000011164236445E-3</v>
      </c>
      <c r="N1100" s="1303">
        <v>2.707325317452864E-2</v>
      </c>
      <c r="O1100" s="1288">
        <v>1.0133324590800453E-2</v>
      </c>
      <c r="P1100" s="1237">
        <v>5.0666622954002264E-3</v>
      </c>
      <c r="Q1100" s="1290">
        <v>5.6387882286897777E-2</v>
      </c>
    </row>
    <row r="1101" spans="1:17" s="212" customFormat="1" ht="15.5" x14ac:dyDescent="0.35">
      <c r="A1101" s="198">
        <v>2034</v>
      </c>
      <c r="B1101" s="197" t="s">
        <v>5838</v>
      </c>
      <c r="C1101" s="197">
        <v>1997</v>
      </c>
      <c r="D1101" s="225" t="str">
        <f t="shared" si="11"/>
        <v>2034_1997</v>
      </c>
      <c r="E1101" s="1287">
        <v>0.37725608520676251</v>
      </c>
      <c r="F1101" s="1306">
        <v>0.12739406098029227</v>
      </c>
      <c r="G1101" s="1303">
        <v>9.1723284759904384</v>
      </c>
      <c r="H1101" s="1306">
        <v>0.99323744472998066</v>
      </c>
      <c r="I1101" s="1303">
        <v>5.4118698029527165E-2</v>
      </c>
      <c r="J1101" s="1306">
        <v>2.7110138867086886E-3</v>
      </c>
      <c r="K1101" s="1303">
        <v>2.9974339738017583E-3</v>
      </c>
      <c r="L1101" s="1288">
        <v>2.0000011077399805E-3</v>
      </c>
      <c r="M1101" s="1230">
        <v>2.0000011077399805E-3</v>
      </c>
      <c r="N1101" s="1303">
        <v>2.7239918483550431E-2</v>
      </c>
      <c r="O1101" s="1288">
        <v>9.9913352947466876E-3</v>
      </c>
      <c r="P1101" s="1237">
        <v>4.9956676473733438E-3</v>
      </c>
      <c r="Q1101" s="1290">
        <v>5.6565705406256564E-2</v>
      </c>
    </row>
    <row r="1102" spans="1:17" s="212" customFormat="1" ht="15.5" x14ac:dyDescent="0.35">
      <c r="A1102" s="198">
        <v>2034</v>
      </c>
      <c r="B1102" s="197" t="s">
        <v>5838</v>
      </c>
      <c r="C1102" s="197">
        <v>1998</v>
      </c>
      <c r="D1102" s="225" t="str">
        <f t="shared" si="11"/>
        <v>2034_1998</v>
      </c>
      <c r="E1102" s="1287">
        <v>0.37663650059090364</v>
      </c>
      <c r="F1102" s="1306">
        <v>0.1299720292463897</v>
      </c>
      <c r="G1102" s="1303">
        <v>9.1789859367039739</v>
      </c>
      <c r="H1102" s="1306">
        <v>1.0116454373175636</v>
      </c>
      <c r="I1102" s="1303">
        <v>5.4033787419714041E-2</v>
      </c>
      <c r="J1102" s="1306">
        <v>2.7468511482794601E-3</v>
      </c>
      <c r="K1102" s="1303">
        <v>2.9972427286722191E-3</v>
      </c>
      <c r="L1102" s="1288">
        <v>2.0000011787182068E-3</v>
      </c>
      <c r="M1102" s="1230">
        <v>2.0000011787182068E-3</v>
      </c>
      <c r="N1102" s="1303">
        <v>2.7234629990659898E-2</v>
      </c>
      <c r="O1102" s="1288">
        <v>8.497077644347005E-3</v>
      </c>
      <c r="P1102" s="1237">
        <v>4.2485388221735025E-3</v>
      </c>
      <c r="Q1102" s="1290">
        <v>5.6476955515452898E-2</v>
      </c>
    </row>
    <row r="1103" spans="1:17" s="212" customFormat="1" ht="15.5" x14ac:dyDescent="0.35">
      <c r="A1103" s="198">
        <v>2034</v>
      </c>
      <c r="B1103" s="197" t="s">
        <v>5838</v>
      </c>
      <c r="C1103" s="197">
        <v>1999</v>
      </c>
      <c r="D1103" s="225" t="str">
        <f t="shared" si="11"/>
        <v>2034_1999</v>
      </c>
      <c r="E1103" s="1287">
        <v>0.37728735260342799</v>
      </c>
      <c r="F1103" s="1306">
        <v>0.12684834401146669</v>
      </c>
      <c r="G1103" s="1303">
        <v>9.1961944523509729</v>
      </c>
      <c r="H1103" s="1306">
        <v>0.99791279799512489</v>
      </c>
      <c r="I1103" s="1303">
        <v>5.4061293411893564E-2</v>
      </c>
      <c r="J1103" s="1306">
        <v>2.769743891894003E-3</v>
      </c>
      <c r="K1103" s="1303">
        <v>2.9990301585544328E-3</v>
      </c>
      <c r="L1103" s="1288">
        <v>2.0000012266022066E-3</v>
      </c>
      <c r="M1103" s="1230">
        <v>2.0000012266022066E-3</v>
      </c>
      <c r="N1103" s="1303">
        <v>2.7277310165320489E-2</v>
      </c>
      <c r="O1103" s="1288">
        <v>8.281432836364273E-3</v>
      </c>
      <c r="P1103" s="1237">
        <v>4.1407164181821365E-3</v>
      </c>
      <c r="Q1103" s="1290">
        <v>5.6505705206542772E-2</v>
      </c>
    </row>
    <row r="1104" spans="1:17" s="212" customFormat="1" ht="15.5" x14ac:dyDescent="0.35">
      <c r="A1104" s="198">
        <v>2034</v>
      </c>
      <c r="B1104" s="197" t="s">
        <v>5838</v>
      </c>
      <c r="C1104" s="197">
        <v>2000</v>
      </c>
      <c r="D1104" s="225" t="str">
        <f t="shared" si="11"/>
        <v>2034_2000</v>
      </c>
      <c r="E1104" s="1287">
        <v>0.37566845178876851</v>
      </c>
      <c r="F1104" s="1306">
        <v>0.12133808836213238</v>
      </c>
      <c r="G1104" s="1303">
        <v>9.2336657389049464</v>
      </c>
      <c r="H1104" s="1306">
        <v>0.9702587412662721</v>
      </c>
      <c r="I1104" s="1303">
        <v>5.3802677113292008E-2</v>
      </c>
      <c r="J1104" s="1306">
        <v>2.7672704989694561E-3</v>
      </c>
      <c r="K1104" s="1303">
        <v>2.99970065033104E-3</v>
      </c>
      <c r="L1104" s="1288">
        <v>2.0000012746117356E-3</v>
      </c>
      <c r="M1104" s="1230">
        <v>2.0000012746117356E-3</v>
      </c>
      <c r="N1104" s="1303">
        <v>2.7292897782578419E-2</v>
      </c>
      <c r="O1104" s="1288">
        <v>8.5264119734471538E-3</v>
      </c>
      <c r="P1104" s="1237">
        <v>4.2632059867235769E-3</v>
      </c>
      <c r="Q1104" s="1290">
        <v>5.6235395426511334E-2</v>
      </c>
    </row>
    <row r="1105" spans="1:17" s="212" customFormat="1" ht="15.5" x14ac:dyDescent="0.35">
      <c r="A1105" s="198">
        <v>2034</v>
      </c>
      <c r="B1105" s="197" t="s">
        <v>5838</v>
      </c>
      <c r="C1105" s="197">
        <v>2001</v>
      </c>
      <c r="D1105" s="225" t="str">
        <f t="shared" si="11"/>
        <v>2034_2001</v>
      </c>
      <c r="E1105" s="1287">
        <v>0.37746265646609994</v>
      </c>
      <c r="F1105" s="1306">
        <v>0.11831639034752951</v>
      </c>
      <c r="G1105" s="1303">
        <v>9.2024409883664529</v>
      </c>
      <c r="H1105" s="1306">
        <v>0.95114527946891914</v>
      </c>
      <c r="I1105" s="1303">
        <v>5.4051582381967452E-2</v>
      </c>
      <c r="J1105" s="1306">
        <v>2.790739586002258E-3</v>
      </c>
      <c r="K1105" s="1303">
        <v>2.9999134060509705E-3</v>
      </c>
      <c r="L1105" s="1288">
        <v>2.0000012690849179E-3</v>
      </c>
      <c r="M1105" s="1230">
        <v>2.0000012690849179E-3</v>
      </c>
      <c r="N1105" s="1303">
        <v>2.729796921280106E-2</v>
      </c>
      <c r="O1105" s="1288">
        <v>7.8897165038424935E-3</v>
      </c>
      <c r="P1105" s="1237">
        <v>3.9448582519212468E-3</v>
      </c>
      <c r="Q1105" s="1290">
        <v>5.6495555086935503E-2</v>
      </c>
    </row>
    <row r="1106" spans="1:17" s="212" customFormat="1" ht="15.5" x14ac:dyDescent="0.35">
      <c r="A1106" s="198">
        <v>2034</v>
      </c>
      <c r="B1106" s="197" t="s">
        <v>5838</v>
      </c>
      <c r="C1106" s="197">
        <v>2002</v>
      </c>
      <c r="D1106" s="225" t="str">
        <f t="shared" si="11"/>
        <v>2034_2002</v>
      </c>
      <c r="E1106" s="1287">
        <v>0.29109899152783902</v>
      </c>
      <c r="F1106" s="1306">
        <v>0.11783488282319331</v>
      </c>
      <c r="G1106" s="1303">
        <v>7.1181985409365733</v>
      </c>
      <c r="H1106" s="1306">
        <v>0.92244012003609088</v>
      </c>
      <c r="I1106" s="1303">
        <v>5.4262458560286178E-2</v>
      </c>
      <c r="J1106" s="1306">
        <v>2.8054384307028158E-3</v>
      </c>
      <c r="K1106" s="1303">
        <v>2.9999388695907837E-3</v>
      </c>
      <c r="L1106" s="1288">
        <v>2.0000013425877498E-3</v>
      </c>
      <c r="M1106" s="1230">
        <v>2.0000013425877498E-3</v>
      </c>
      <c r="N1106" s="1303">
        <v>2.7298565746369782E-2</v>
      </c>
      <c r="O1106" s="1288">
        <v>7.3081222389085217E-3</v>
      </c>
      <c r="P1106" s="1237">
        <v>3.6540611194542608E-3</v>
      </c>
      <c r="Q1106" s="1290">
        <v>5.6715966150288601E-2</v>
      </c>
    </row>
    <row r="1107" spans="1:17" s="212" customFormat="1" ht="15.5" x14ac:dyDescent="0.35">
      <c r="A1107" s="198">
        <v>2034</v>
      </c>
      <c r="B1107" s="197" t="s">
        <v>5838</v>
      </c>
      <c r="C1107" s="197">
        <v>2003</v>
      </c>
      <c r="D1107" s="225" t="str">
        <f t="shared" si="11"/>
        <v>2034_2003</v>
      </c>
      <c r="E1107" s="1287">
        <v>0.2895375884036549</v>
      </c>
      <c r="F1107" s="1306">
        <v>9.5166531311075692E-2</v>
      </c>
      <c r="G1107" s="1303">
        <v>7.1444578552895663</v>
      </c>
      <c r="H1107" s="1306">
        <v>0.71593126913143157</v>
      </c>
      <c r="I1107" s="1303">
        <v>5.3971361166647115E-2</v>
      </c>
      <c r="J1107" s="1306">
        <v>2.7887119524317439E-3</v>
      </c>
      <c r="K1107" s="1303">
        <v>2.9999404947596954E-3</v>
      </c>
      <c r="L1107" s="1288">
        <v>2.0000013506075495E-3</v>
      </c>
      <c r="M1107" s="1230">
        <v>2.0000013506075495E-3</v>
      </c>
      <c r="N1107" s="1303">
        <v>2.7298622203772972E-2</v>
      </c>
      <c r="O1107" s="1288">
        <v>7.7843960623876643E-3</v>
      </c>
      <c r="P1107" s="1237">
        <v>3.8921980311938322E-3</v>
      </c>
      <c r="Q1107" s="1290">
        <v>5.6411706624234711E-2</v>
      </c>
    </row>
    <row r="1108" spans="1:17" s="212" customFormat="1" ht="15.5" x14ac:dyDescent="0.35">
      <c r="A1108" s="198">
        <v>2034</v>
      </c>
      <c r="B1108" s="197" t="s">
        <v>5838</v>
      </c>
      <c r="C1108" s="197">
        <v>2004</v>
      </c>
      <c r="D1108" s="225" t="str">
        <f t="shared" si="11"/>
        <v>2034_2004</v>
      </c>
      <c r="E1108" s="1287">
        <v>0.59663387057451867</v>
      </c>
      <c r="F1108" s="1306">
        <v>1.7974815617283584E-2</v>
      </c>
      <c r="G1108" s="1303">
        <v>4.2100552656369858</v>
      </c>
      <c r="H1108" s="1306">
        <v>0.12293434045021968</v>
      </c>
      <c r="I1108" s="1303">
        <v>0.15457113477876366</v>
      </c>
      <c r="J1108" s="1306">
        <v>1.8673894199082336E-4</v>
      </c>
      <c r="K1108" s="1303">
        <v>2.9993295128222428E-3</v>
      </c>
      <c r="L1108" s="1288">
        <v>2.0000014199996839E-3</v>
      </c>
      <c r="M1108" s="1230">
        <v>2.0000014199996839E-3</v>
      </c>
      <c r="N1108" s="1303">
        <v>2.7284230137428804E-2</v>
      </c>
      <c r="O1108" s="1288">
        <v>7.2213050618022056E-3</v>
      </c>
      <c r="P1108" s="1237">
        <v>3.6106525309011028E-3</v>
      </c>
      <c r="Q1108" s="1290">
        <v>0.16156015559420728</v>
      </c>
    </row>
    <row r="1109" spans="1:17" s="212" customFormat="1" ht="15.5" x14ac:dyDescent="0.35">
      <c r="A1109" s="198">
        <v>2034</v>
      </c>
      <c r="B1109" s="197" t="s">
        <v>5838</v>
      </c>
      <c r="C1109" s="197">
        <v>2005</v>
      </c>
      <c r="D1109" s="225" t="str">
        <f t="shared" si="11"/>
        <v>2034_2005</v>
      </c>
      <c r="E1109" s="1287">
        <v>0.56777329600336435</v>
      </c>
      <c r="F1109" s="1306">
        <v>1.6067057747602333E-2</v>
      </c>
      <c r="G1109" s="1303">
        <v>4.0717225960825365</v>
      </c>
      <c r="H1109" s="1306">
        <v>0.10733662444723885</v>
      </c>
      <c r="I1109" s="1303">
        <v>0.14871673962556611</v>
      </c>
      <c r="J1109" s="1306">
        <v>1.8720536038685918E-4</v>
      </c>
      <c r="K1109" s="1303">
        <v>2.9435625162183843E-3</v>
      </c>
      <c r="L1109" s="1288">
        <v>2.0000014404362712E-3</v>
      </c>
      <c r="M1109" s="1230">
        <v>2.0000014404362712E-3</v>
      </c>
      <c r="N1109" s="1303">
        <v>2.5968081489960555E-2</v>
      </c>
      <c r="O1109" s="1288">
        <v>6.6739935624212732E-3</v>
      </c>
      <c r="P1109" s="1237">
        <v>3.3369967812106366E-3</v>
      </c>
      <c r="Q1109" s="1290">
        <v>0.15544105067067535</v>
      </c>
    </row>
    <row r="1110" spans="1:17" s="212" customFormat="1" ht="15.5" x14ac:dyDescent="0.35">
      <c r="A1110" s="198">
        <v>2034</v>
      </c>
      <c r="B1110" s="197" t="s">
        <v>5838</v>
      </c>
      <c r="C1110" s="197">
        <v>2006</v>
      </c>
      <c r="D1110" s="225" t="str">
        <f t="shared" si="11"/>
        <v>2034_2006</v>
      </c>
      <c r="E1110" s="1287">
        <v>0.57680243227333661</v>
      </c>
      <c r="F1110" s="1306">
        <v>7.116138864271029E-3</v>
      </c>
      <c r="G1110" s="1303">
        <v>4.1188997911746812</v>
      </c>
      <c r="H1110" s="1306">
        <v>8.6210476998413374E-2</v>
      </c>
      <c r="I1110" s="1303">
        <v>0.15050280875301716</v>
      </c>
      <c r="J1110" s="1306">
        <v>1.8207954959028043E-4</v>
      </c>
      <c r="K1110" s="1303">
        <v>2.9659323586671811E-3</v>
      </c>
      <c r="L1110" s="1288">
        <v>2.0000013345435191E-3</v>
      </c>
      <c r="M1110" s="1230">
        <v>2.0000013345435191E-3</v>
      </c>
      <c r="N1110" s="1303">
        <v>2.6495830686347987E-2</v>
      </c>
      <c r="O1110" s="1288">
        <v>9.7478583433988752E-3</v>
      </c>
      <c r="P1110" s="1237">
        <v>4.8739291716994376E-3</v>
      </c>
      <c r="Q1110" s="1290">
        <v>0.1573078779185057</v>
      </c>
    </row>
    <row r="1111" spans="1:17" s="212" customFormat="1" ht="15.5" x14ac:dyDescent="0.35">
      <c r="A1111" s="198">
        <v>2034</v>
      </c>
      <c r="B1111" s="197" t="s">
        <v>5838</v>
      </c>
      <c r="C1111" s="197">
        <v>2007</v>
      </c>
      <c r="D1111" s="225" t="str">
        <f t="shared" si="11"/>
        <v>2034_2007</v>
      </c>
      <c r="E1111" s="1287">
        <v>0.31889576869276937</v>
      </c>
      <c r="F1111" s="1306">
        <v>8.952407458822649E-3</v>
      </c>
      <c r="G1111" s="1303">
        <v>2.3211981068118757</v>
      </c>
      <c r="H1111" s="1306">
        <v>7.1764089485327531E-2</v>
      </c>
      <c r="I1111" s="1303">
        <v>8.3254433915736406E-2</v>
      </c>
      <c r="J1111" s="1306">
        <v>1.8632799270086432E-4</v>
      </c>
      <c r="K1111" s="1303">
        <v>2.9415912715372119E-3</v>
      </c>
      <c r="L1111" s="1288">
        <v>2.0000013735060138E-3</v>
      </c>
      <c r="M1111" s="1230">
        <v>2.0000013735060138E-3</v>
      </c>
      <c r="N1111" s="1303">
        <v>2.5922502645442668E-2</v>
      </c>
      <c r="O1111" s="1288">
        <v>6.9545685072602108E-3</v>
      </c>
      <c r="P1111" s="1237">
        <v>3.4772842536301054E-3</v>
      </c>
      <c r="Q1111" s="1290">
        <v>8.7018829981327026E-2</v>
      </c>
    </row>
    <row r="1112" spans="1:17" s="212" customFormat="1" ht="15.5" x14ac:dyDescent="0.35">
      <c r="A1112" s="198">
        <v>2034</v>
      </c>
      <c r="B1112" s="197" t="s">
        <v>5838</v>
      </c>
      <c r="C1112" s="197">
        <v>2008</v>
      </c>
      <c r="D1112" s="225" t="str">
        <f t="shared" si="11"/>
        <v>2034_2008</v>
      </c>
      <c r="E1112" s="1287">
        <v>0.32602604984307426</v>
      </c>
      <c r="F1112" s="1306">
        <v>8.3269446072710557E-3</v>
      </c>
      <c r="G1112" s="1303">
        <v>2.3779916734518647</v>
      </c>
      <c r="H1112" s="1306">
        <v>5.4307664358412548E-2</v>
      </c>
      <c r="I1112" s="1303">
        <v>8.5105452443239832E-2</v>
      </c>
      <c r="J1112" s="1306">
        <v>2.1015675224768824E-4</v>
      </c>
      <c r="K1112" s="1303">
        <v>2.9665723817848284E-3</v>
      </c>
      <c r="L1112" s="1288">
        <v>2.0000015078903695E-3</v>
      </c>
      <c r="M1112" s="1230">
        <v>2.0000015078903695E-3</v>
      </c>
      <c r="N1112" s="1303">
        <v>2.6512694136117763E-2</v>
      </c>
      <c r="O1112" s="1288">
        <v>6.8658773840800883E-3</v>
      </c>
      <c r="P1112" s="1237">
        <v>3.4329386920400442E-3</v>
      </c>
      <c r="Q1112" s="1290">
        <v>8.8953543352871062E-2</v>
      </c>
    </row>
    <row r="1113" spans="1:17" s="212" customFormat="1" ht="15.5" x14ac:dyDescent="0.35">
      <c r="A1113" s="198">
        <v>2034</v>
      </c>
      <c r="B1113" s="197" t="s">
        <v>5838</v>
      </c>
      <c r="C1113" s="197">
        <v>2009</v>
      </c>
      <c r="D1113" s="225" t="str">
        <f t="shared" si="11"/>
        <v>2034_2009</v>
      </c>
      <c r="E1113" s="1287">
        <v>0.31450576078779768</v>
      </c>
      <c r="F1113" s="1306">
        <v>7.9588498960501495E-3</v>
      </c>
      <c r="G1113" s="1303">
        <v>2.2689972136492069</v>
      </c>
      <c r="H1113" s="1306">
        <v>3.8767609692895832E-2</v>
      </c>
      <c r="I1113" s="1303">
        <v>8.1920541630196159E-2</v>
      </c>
      <c r="J1113" s="1306">
        <v>2.3923908074784356E-4</v>
      </c>
      <c r="K1113" s="1303">
        <v>2.914160212675025E-3</v>
      </c>
      <c r="L1113" s="1288">
        <v>2.0000015622422293E-3</v>
      </c>
      <c r="M1113" s="1230">
        <v>2.0000015622422293E-3</v>
      </c>
      <c r="N1113" s="1303">
        <v>2.5280550295646114E-2</v>
      </c>
      <c r="O1113" s="1288">
        <v>5.3352457749846491E-3</v>
      </c>
      <c r="P1113" s="1237">
        <v>2.6676228874923246E-3</v>
      </c>
      <c r="Q1113" s="1290">
        <v>8.5624625005694066E-2</v>
      </c>
    </row>
    <row r="1114" spans="1:17" s="212" customFormat="1" ht="15.5" x14ac:dyDescent="0.35">
      <c r="A1114" s="198">
        <v>2034</v>
      </c>
      <c r="B1114" s="197" t="s">
        <v>5838</v>
      </c>
      <c r="C1114" s="197">
        <v>2010</v>
      </c>
      <c r="D1114" s="225" t="str">
        <f t="shared" si="11"/>
        <v>2034_2010</v>
      </c>
      <c r="E1114" s="1287">
        <v>6.6816733866423936E-2</v>
      </c>
      <c r="F1114" s="1306">
        <v>7.3380387181394878E-3</v>
      </c>
      <c r="G1114" s="1303">
        <v>0.58058158443950081</v>
      </c>
      <c r="H1114" s="1306">
        <v>3.6812636524324295E-2</v>
      </c>
      <c r="I1114" s="1303">
        <v>1.8515049236067945E-2</v>
      </c>
      <c r="J1114" s="1306">
        <v>2.9570285509129504E-4</v>
      </c>
      <c r="K1114" s="1303">
        <v>2.8017336803948661E-3</v>
      </c>
      <c r="L1114" s="1288">
        <v>2.000001641823426E-3</v>
      </c>
      <c r="M1114" s="1230">
        <v>2.000001641823426E-3</v>
      </c>
      <c r="N1114" s="1303">
        <v>2.2633993012181317E-2</v>
      </c>
      <c r="O1114" s="1288">
        <v>4.507790959965504E-3</v>
      </c>
      <c r="P1114" s="1237">
        <v>2.253895479982752E-3</v>
      </c>
      <c r="Q1114" s="1290">
        <v>1.9352217603208779E-2</v>
      </c>
    </row>
    <row r="1115" spans="1:17" s="212" customFormat="1" ht="15.5" x14ac:dyDescent="0.35">
      <c r="A1115" s="198">
        <v>2034</v>
      </c>
      <c r="B1115" s="197" t="s">
        <v>5838</v>
      </c>
      <c r="C1115" s="197">
        <v>2011</v>
      </c>
      <c r="D1115" s="225" t="str">
        <f t="shared" ref="D1115:D1198" si="12">CONCATENATE(A1115,"_",C1115)</f>
        <v>2034_2011</v>
      </c>
      <c r="E1115" s="1287">
        <v>7.1880429347576907E-2</v>
      </c>
      <c r="F1115" s="1306">
        <v>7.312991143893023E-3</v>
      </c>
      <c r="G1115" s="1303">
        <v>0.63996549470592723</v>
      </c>
      <c r="H1115" s="1306">
        <v>3.6585676288030521E-2</v>
      </c>
      <c r="I1115" s="1303">
        <v>1.979804498985166E-2</v>
      </c>
      <c r="J1115" s="1306">
        <v>3.9347949301447621E-4</v>
      </c>
      <c r="K1115" s="1303">
        <v>2.8932907770581047E-3</v>
      </c>
      <c r="L1115" s="1288">
        <v>2.0000015911143449E-3</v>
      </c>
      <c r="M1115" s="1230">
        <v>2.0000015911143449E-3</v>
      </c>
      <c r="N1115" s="1303">
        <v>2.4795794827254317E-2</v>
      </c>
      <c r="O1115" s="1288">
        <v>5.4318491387436241E-3</v>
      </c>
      <c r="P1115" s="1237">
        <v>2.7159245693718121E-3</v>
      </c>
      <c r="Q1115" s="1290">
        <v>2.0693224731769246E-2</v>
      </c>
    </row>
    <row r="1116" spans="1:17" s="212" customFormat="1" ht="15.5" x14ac:dyDescent="0.35">
      <c r="A1116" s="198">
        <v>2034</v>
      </c>
      <c r="B1116" s="197" t="s">
        <v>5838</v>
      </c>
      <c r="C1116" s="197">
        <v>2012</v>
      </c>
      <c r="D1116" s="225" t="str">
        <f t="shared" si="12"/>
        <v>2034_2012</v>
      </c>
      <c r="E1116" s="1287">
        <v>5.5000608232110532E-2</v>
      </c>
      <c r="F1116" s="1306">
        <v>6.9540264464681692E-3</v>
      </c>
      <c r="G1116" s="1303">
        <v>0.45533159480335239</v>
      </c>
      <c r="H1116" s="1306">
        <v>3.53459041001217E-2</v>
      </c>
      <c r="I1116" s="1303">
        <v>1.5510330101800671E-2</v>
      </c>
      <c r="J1116" s="1306">
        <v>5.7080056834253297E-4</v>
      </c>
      <c r="K1116" s="1303">
        <v>2.6252249450710403E-3</v>
      </c>
      <c r="L1116" s="1288">
        <v>2.0000016334740097E-3</v>
      </c>
      <c r="M1116" s="1230">
        <v>2.0000016334740097E-3</v>
      </c>
      <c r="N1116" s="1303">
        <v>1.8460291531188399E-2</v>
      </c>
      <c r="O1116" s="1288">
        <v>5.8696824692049754E-3</v>
      </c>
      <c r="P1116" s="1237">
        <v>2.9348412346024877E-3</v>
      </c>
      <c r="Q1116" s="1290">
        <v>1.6211638402933611E-2</v>
      </c>
    </row>
    <row r="1117" spans="1:17" s="212" customFormat="1" ht="15.5" x14ac:dyDescent="0.35">
      <c r="A1117" s="198">
        <v>2034</v>
      </c>
      <c r="B1117" s="197" t="s">
        <v>5838</v>
      </c>
      <c r="C1117" s="197">
        <v>2013</v>
      </c>
      <c r="D1117" s="225" t="str">
        <f t="shared" si="12"/>
        <v>2034_2013</v>
      </c>
      <c r="E1117" s="1287">
        <v>6.9323265429717632E-2</v>
      </c>
      <c r="F1117" s="1306">
        <v>7.4567174563539597E-3</v>
      </c>
      <c r="G1117" s="1303">
        <v>0.60912392061659981</v>
      </c>
      <c r="H1117" s="1306">
        <v>3.6405844520249059E-2</v>
      </c>
      <c r="I1117" s="1303">
        <v>1.8985406001368429E-2</v>
      </c>
      <c r="J1117" s="1306">
        <v>8.5330251622866508E-4</v>
      </c>
      <c r="K1117" s="1303">
        <v>2.8547516943757765E-3</v>
      </c>
      <c r="L1117" s="1288">
        <v>2.0000016341929438E-3</v>
      </c>
      <c r="M1117" s="1230">
        <v>2.0000016341929438E-3</v>
      </c>
      <c r="N1117" s="1303">
        <v>2.3885854293743236E-2</v>
      </c>
      <c r="O1117" s="1288">
        <v>5.8746948352065304E-3</v>
      </c>
      <c r="P1117" s="1237">
        <v>2.9373474176032652E-3</v>
      </c>
      <c r="Q1117" s="1290">
        <v>1.9843841814258932E-2</v>
      </c>
    </row>
    <row r="1118" spans="1:17" s="212" customFormat="1" ht="15.5" x14ac:dyDescent="0.35">
      <c r="A1118" s="198">
        <v>2034</v>
      </c>
      <c r="B1118" s="197" t="s">
        <v>5838</v>
      </c>
      <c r="C1118" s="197">
        <v>2014</v>
      </c>
      <c r="D1118" s="225" t="str">
        <f t="shared" si="12"/>
        <v>2034_2014</v>
      </c>
      <c r="E1118" s="1287">
        <v>6.0335925730126444E-2</v>
      </c>
      <c r="F1118" s="1306">
        <v>7.5628530254876619E-3</v>
      </c>
      <c r="G1118" s="1303">
        <v>0.51181574743075753</v>
      </c>
      <c r="H1118" s="1306">
        <v>3.6507695109337289E-2</v>
      </c>
      <c r="I1118" s="1303">
        <v>1.6653375797528073E-2</v>
      </c>
      <c r="J1118" s="1306">
        <v>1.2053114534717876E-3</v>
      </c>
      <c r="K1118" s="1303">
        <v>2.7164825132318694E-3</v>
      </c>
      <c r="L1118" s="1288">
        <v>2.0000016404138408E-3</v>
      </c>
      <c r="M1118" s="1230">
        <v>2.0000016404138408E-3</v>
      </c>
      <c r="N1118" s="1303">
        <v>2.0611240642225612E-2</v>
      </c>
      <c r="O1118" s="1288">
        <v>5.0116199553468868E-3</v>
      </c>
      <c r="P1118" s="1237">
        <v>2.5058099776734434E-3</v>
      </c>
      <c r="Q1118" s="1290">
        <v>1.7406367552831682E-2</v>
      </c>
    </row>
    <row r="1119" spans="1:17" s="212" customFormat="1" ht="15.5" x14ac:dyDescent="0.35">
      <c r="A1119" s="198">
        <v>2034</v>
      </c>
      <c r="B1119" s="197" t="s">
        <v>5838</v>
      </c>
      <c r="C1119" s="197">
        <v>2015</v>
      </c>
      <c r="D1119" s="225" t="str">
        <f t="shared" si="12"/>
        <v>2034_2015</v>
      </c>
      <c r="E1119" s="1287">
        <v>5.533540791984233E-2</v>
      </c>
      <c r="F1119" s="1306">
        <v>7.3794332097011518E-3</v>
      </c>
      <c r="G1119" s="1303">
        <v>0.4607745743953171</v>
      </c>
      <c r="H1119" s="1306">
        <v>3.5390506682516046E-2</v>
      </c>
      <c r="I1119" s="1303">
        <v>1.5340284111759851E-2</v>
      </c>
      <c r="J1119" s="1306">
        <v>1.4941292644480603E-3</v>
      </c>
      <c r="K1119" s="1303">
        <v>2.6482756257640155E-3</v>
      </c>
      <c r="L1119" s="1288">
        <v>2.0000016097462391E-3</v>
      </c>
      <c r="M1119" s="1230">
        <v>2.0000016097462391E-3</v>
      </c>
      <c r="N1119" s="1303">
        <v>1.8978645643187894E-2</v>
      </c>
      <c r="O1119" s="1288">
        <v>5.8203280540986314E-3</v>
      </c>
      <c r="P1119" s="1237">
        <v>2.9101640270493157E-3</v>
      </c>
      <c r="Q1119" s="1290">
        <v>1.6033903687791094E-2</v>
      </c>
    </row>
    <row r="1120" spans="1:17" s="212" customFormat="1" ht="15.5" x14ac:dyDescent="0.35">
      <c r="A1120" s="198">
        <v>2034</v>
      </c>
      <c r="B1120" s="197" t="s">
        <v>5838</v>
      </c>
      <c r="C1120" s="197">
        <v>2016</v>
      </c>
      <c r="D1120" s="225" t="str">
        <f t="shared" si="12"/>
        <v>2034_2016</v>
      </c>
      <c r="E1120" s="1287">
        <v>6.4744140733853733E-2</v>
      </c>
      <c r="F1120" s="1306">
        <v>7.2216739655886616E-3</v>
      </c>
      <c r="G1120" s="1303">
        <v>0.49991166338042525</v>
      </c>
      <c r="H1120" s="1306">
        <v>3.4327177696705818E-2</v>
      </c>
      <c r="I1120" s="1303">
        <v>1.7483841018057052E-2</v>
      </c>
      <c r="J1120" s="1306">
        <v>1.6988415590238793E-3</v>
      </c>
      <c r="K1120" s="1303">
        <v>2.8180998913401381E-3</v>
      </c>
      <c r="L1120" s="1288">
        <v>2.0000015559687905E-3</v>
      </c>
      <c r="M1120" s="1230">
        <v>2.0000015559687905E-3</v>
      </c>
      <c r="N1120" s="1303">
        <v>2.2994813361309076E-2</v>
      </c>
      <c r="O1120" s="1288">
        <v>6.6946791644850612E-3</v>
      </c>
      <c r="P1120" s="1237">
        <v>3.3473395822425306E-3</v>
      </c>
      <c r="Q1120" s="1290">
        <v>1.8274382725498153E-2</v>
      </c>
    </row>
    <row r="1121" spans="1:17" s="212" customFormat="1" ht="15.5" x14ac:dyDescent="0.35">
      <c r="A1121" s="198">
        <v>2034</v>
      </c>
      <c r="B1121" s="197" t="s">
        <v>5838</v>
      </c>
      <c r="C1121" s="197">
        <v>2017</v>
      </c>
      <c r="D1121" s="225" t="str">
        <f t="shared" si="12"/>
        <v>2034_2017</v>
      </c>
      <c r="E1121" s="1287">
        <v>6.6167755031056333E-2</v>
      </c>
      <c r="F1121" s="1306">
        <v>6.9118905570840624E-3</v>
      </c>
      <c r="G1121" s="1303">
        <v>0.44500870378551077</v>
      </c>
      <c r="H1121" s="1306">
        <v>3.322376670431279E-2</v>
      </c>
      <c r="I1121" s="1303">
        <v>1.7612614951613641E-2</v>
      </c>
      <c r="J1121" s="1306">
        <v>1.8261654531055718E-3</v>
      </c>
      <c r="K1121" s="1303">
        <v>2.8487402348495246E-3</v>
      </c>
      <c r="L1121" s="1288">
        <v>2.0000015336737427E-3</v>
      </c>
      <c r="M1121" s="1230">
        <v>2.0000015336737427E-3</v>
      </c>
      <c r="N1121" s="1303">
        <v>2.3721061415030411E-2</v>
      </c>
      <c r="O1121" s="1288">
        <v>6.6223747428609892E-3</v>
      </c>
      <c r="P1121" s="1237">
        <v>3.3111873714304946E-3</v>
      </c>
      <c r="Q1121" s="1290">
        <v>1.8408979244904259E-2</v>
      </c>
    </row>
    <row r="1122" spans="1:17" s="212" customFormat="1" ht="15.5" x14ac:dyDescent="0.35">
      <c r="A1122" s="198">
        <v>2034</v>
      </c>
      <c r="B1122" s="197" t="s">
        <v>5838</v>
      </c>
      <c r="C1122" s="197">
        <v>2018</v>
      </c>
      <c r="D1122" s="225" t="str">
        <f t="shared" si="12"/>
        <v>2034_2018</v>
      </c>
      <c r="E1122" s="1287">
        <v>6.0785608443491491E-2</v>
      </c>
      <c r="F1122" s="1306">
        <v>6.7379412364922033E-3</v>
      </c>
      <c r="G1122" s="1303">
        <v>0.33143613652558357</v>
      </c>
      <c r="H1122" s="1306">
        <v>3.2399431712611629E-2</v>
      </c>
      <c r="I1122" s="1303">
        <v>1.6084748933864242E-2</v>
      </c>
      <c r="J1122" s="1306">
        <v>1.9292637328823981E-3</v>
      </c>
      <c r="K1122" s="1303">
        <v>2.7639111841413614E-3</v>
      </c>
      <c r="L1122" s="1288">
        <v>2.0000015302781829E-3</v>
      </c>
      <c r="M1122" s="1230">
        <v>2.0000015302781829E-3</v>
      </c>
      <c r="N1122" s="1303">
        <v>2.1700992011781554E-2</v>
      </c>
      <c r="O1122" s="1288">
        <v>5.9661240843915551E-3</v>
      </c>
      <c r="P1122" s="1237">
        <v>2.9830620421957776E-3</v>
      </c>
      <c r="Q1122" s="1290">
        <v>1.6812029905637283E-2</v>
      </c>
    </row>
    <row r="1123" spans="1:17" s="212" customFormat="1" ht="15.5" x14ac:dyDescent="0.35">
      <c r="A1123" s="198">
        <v>2034</v>
      </c>
      <c r="B1123" s="197" t="s">
        <v>5838</v>
      </c>
      <c r="C1123" s="197">
        <v>2019</v>
      </c>
      <c r="D1123" s="225" t="str">
        <f t="shared" si="12"/>
        <v>2034_2019</v>
      </c>
      <c r="E1123" s="1287">
        <v>6.9384819832256833E-2</v>
      </c>
      <c r="F1123" s="1306">
        <v>6.5508927718274969E-3</v>
      </c>
      <c r="G1123" s="1303">
        <v>0.33695207648874609</v>
      </c>
      <c r="H1123" s="1306">
        <v>3.1298716387732239E-2</v>
      </c>
      <c r="I1123" s="1303">
        <v>1.7807433882184247E-2</v>
      </c>
      <c r="J1123" s="1306">
        <v>1.8308275766635116E-3</v>
      </c>
      <c r="K1123" s="1303">
        <v>2.9277204464267462E-3</v>
      </c>
      <c r="L1123" s="1288">
        <v>2.0000014659676815E-3</v>
      </c>
      <c r="M1123" s="1230">
        <v>2.0000014659676815E-3</v>
      </c>
      <c r="N1123" s="1303">
        <v>2.5585522177782104E-2</v>
      </c>
      <c r="O1123" s="1288">
        <v>6.0000911704487349E-3</v>
      </c>
      <c r="P1123" s="1237">
        <v>3.0000455852243675E-3</v>
      </c>
      <c r="Q1123" s="1290">
        <v>1.8612607023019069E-2</v>
      </c>
    </row>
    <row r="1124" spans="1:17" s="212" customFormat="1" ht="15.5" x14ac:dyDescent="0.35">
      <c r="A1124" s="198">
        <v>2034</v>
      </c>
      <c r="B1124" s="197" t="s">
        <v>5838</v>
      </c>
      <c r="C1124" s="197">
        <v>2020</v>
      </c>
      <c r="D1124" s="225" t="str">
        <f t="shared" si="12"/>
        <v>2034_2020</v>
      </c>
      <c r="E1124" s="1287">
        <v>5.9430759720520525E-2</v>
      </c>
      <c r="F1124" s="1306">
        <v>6.333280031879612E-3</v>
      </c>
      <c r="G1124" s="1303">
        <v>0.25480775464526695</v>
      </c>
      <c r="H1124" s="1306">
        <v>2.9926230331471449E-2</v>
      </c>
      <c r="I1124" s="1303">
        <v>1.5550413416017853E-2</v>
      </c>
      <c r="J1124" s="1306">
        <v>1.3552455575689137E-3</v>
      </c>
      <c r="K1124" s="1303">
        <v>2.8908956436967713E-3</v>
      </c>
      <c r="L1124" s="1288">
        <v>2.0000015573860045E-3</v>
      </c>
      <c r="M1124" s="1230">
        <v>2.0000015573860045E-3</v>
      </c>
      <c r="N1124" s="1303">
        <v>2.4715964428779748E-2</v>
      </c>
      <c r="O1124" s="1288">
        <v>6.0996783828207177E-3</v>
      </c>
      <c r="P1124" s="1237">
        <v>3.0498391914103589E-3</v>
      </c>
      <c r="Q1124" s="1290">
        <v>1.6253534106752579E-2</v>
      </c>
    </row>
    <row r="1125" spans="1:17" s="212" customFormat="1" ht="15.5" x14ac:dyDescent="0.35">
      <c r="A1125" s="198">
        <v>2034</v>
      </c>
      <c r="B1125" s="197" t="s">
        <v>5838</v>
      </c>
      <c r="C1125" s="197">
        <v>2021</v>
      </c>
      <c r="D1125" s="225" t="str">
        <f t="shared" si="12"/>
        <v>2034_2021</v>
      </c>
      <c r="E1125" s="1287">
        <v>5.7611403056081777E-2</v>
      </c>
      <c r="F1125" s="1306">
        <v>6.0476328516749838E-3</v>
      </c>
      <c r="G1125" s="1303">
        <v>0.20268619918428071</v>
      </c>
      <c r="H1125" s="1306">
        <v>2.8640675282480887E-2</v>
      </c>
      <c r="I1125" s="1303">
        <v>1.4522099547078362E-2</v>
      </c>
      <c r="J1125" s="1306">
        <v>8.8542456923397983E-4</v>
      </c>
      <c r="K1125" s="1303">
        <v>2.8876618116443907E-3</v>
      </c>
      <c r="L1125" s="1288">
        <v>2.0000015700681766E-3</v>
      </c>
      <c r="M1125" s="1230">
        <v>2.0000015700681766E-3</v>
      </c>
      <c r="N1125" s="1303">
        <v>2.4634598015436396E-2</v>
      </c>
      <c r="O1125" s="1288">
        <v>6.0568853075586007E-3</v>
      </c>
      <c r="P1125" s="1237">
        <v>3.0284426537793003E-3</v>
      </c>
      <c r="Q1125" s="1290">
        <v>1.5178724447734946E-2</v>
      </c>
    </row>
    <row r="1126" spans="1:17" s="212" customFormat="1" ht="15.5" x14ac:dyDescent="0.35">
      <c r="A1126" s="198">
        <v>2034</v>
      </c>
      <c r="B1126" s="197" t="s">
        <v>5838</v>
      </c>
      <c r="C1126" s="197">
        <v>2022</v>
      </c>
      <c r="D1126" s="225" t="str">
        <f t="shared" si="12"/>
        <v>2034_2022</v>
      </c>
      <c r="E1126" s="1287">
        <v>5.6784999131355519E-2</v>
      </c>
      <c r="F1126" s="1306">
        <v>5.7868392479171454E-3</v>
      </c>
      <c r="G1126" s="1303">
        <v>0.15352721881152503</v>
      </c>
      <c r="H1126" s="1306">
        <v>2.73494294020508E-2</v>
      </c>
      <c r="I1126" s="1303">
        <v>1.3952014374307577E-2</v>
      </c>
      <c r="J1126" s="1306">
        <v>8.8568989782999486E-4</v>
      </c>
      <c r="K1126" s="1303">
        <v>2.8854802992004519E-3</v>
      </c>
      <c r="L1126" s="1288">
        <v>2.0000015800599861E-3</v>
      </c>
      <c r="M1126" s="1230">
        <v>2.0000015800599861E-3</v>
      </c>
      <c r="N1126" s="1303">
        <v>2.457755855174561E-2</v>
      </c>
      <c r="O1126" s="1288">
        <v>6.0435872052314451E-3</v>
      </c>
      <c r="P1126" s="1237">
        <v>3.0217936026157226E-3</v>
      </c>
      <c r="Q1126" s="1290">
        <v>1.458286255316691E-2</v>
      </c>
    </row>
    <row r="1127" spans="1:17" s="212" customFormat="1" ht="15.5" x14ac:dyDescent="0.35">
      <c r="A1127" s="198">
        <v>2034</v>
      </c>
      <c r="B1127" s="197" t="s">
        <v>5838</v>
      </c>
      <c r="C1127" s="197">
        <v>2023</v>
      </c>
      <c r="D1127" s="225" t="str">
        <f t="shared" si="12"/>
        <v>2034_2023</v>
      </c>
      <c r="E1127" s="1287">
        <v>5.5875500492275132E-2</v>
      </c>
      <c r="F1127" s="1306">
        <v>5.3984629480211613E-3</v>
      </c>
      <c r="G1127" s="1303">
        <v>0.14929056743923716</v>
      </c>
      <c r="H1127" s="1306">
        <v>2.6076492677855858E-2</v>
      </c>
      <c r="I1127" s="1303">
        <v>1.33325368243062E-2</v>
      </c>
      <c r="J1127" s="1306">
        <v>8.8578096293813967E-4</v>
      </c>
      <c r="K1127" s="1303">
        <v>2.882887605700941E-3</v>
      </c>
      <c r="L1127" s="1288">
        <v>2.0000015914734505E-3</v>
      </c>
      <c r="M1127" s="1230">
        <v>2.0000015914734505E-3</v>
      </c>
      <c r="N1127" s="1303">
        <v>2.4510112585075929E-2</v>
      </c>
      <c r="O1127" s="1288">
        <v>6.0068745783085952E-3</v>
      </c>
      <c r="P1127" s="1237">
        <v>3.0034372891542976E-3</v>
      </c>
      <c r="Q1127" s="1290">
        <v>1.3935374977245422E-2</v>
      </c>
    </row>
    <row r="1128" spans="1:17" s="212" customFormat="1" ht="15.5" x14ac:dyDescent="0.35">
      <c r="A1128" s="198">
        <v>2034</v>
      </c>
      <c r="B1128" s="197" t="s">
        <v>5838</v>
      </c>
      <c r="C1128" s="197">
        <v>2024</v>
      </c>
      <c r="D1128" s="225" t="str">
        <f t="shared" si="12"/>
        <v>2034_2024</v>
      </c>
      <c r="E1128" s="1287">
        <v>5.4655048561421449E-2</v>
      </c>
      <c r="F1128" s="1306">
        <v>4.7519666106379489E-3</v>
      </c>
      <c r="G1128" s="1303">
        <v>0.14408184041002531</v>
      </c>
      <c r="H1128" s="1306">
        <v>2.4508278059414069E-2</v>
      </c>
      <c r="I1128" s="1303">
        <v>1.2609692439565197E-2</v>
      </c>
      <c r="J1128" s="1306">
        <v>8.846034911689243E-4</v>
      </c>
      <c r="K1128" s="1303">
        <v>2.8758016206089118E-3</v>
      </c>
      <c r="L1128" s="1288">
        <v>2.0000016086677069E-3</v>
      </c>
      <c r="M1128" s="1305">
        <v>2.0000005733407131E-3</v>
      </c>
      <c r="N1128" s="1303">
        <v>2.433470791915093E-2</v>
      </c>
      <c r="O1128" s="1288">
        <v>5.8366671142656293E-3</v>
      </c>
      <c r="P1128" s="1301">
        <v>3.4539045538754232E-3</v>
      </c>
      <c r="Q1128" s="1290">
        <v>1.3179846777000806E-2</v>
      </c>
    </row>
    <row r="1129" spans="1:17" s="212" customFormat="1" ht="15.5" x14ac:dyDescent="0.35">
      <c r="A1129" s="198">
        <v>2034</v>
      </c>
      <c r="B1129" s="197" t="s">
        <v>5838</v>
      </c>
      <c r="C1129" s="197">
        <v>2025</v>
      </c>
      <c r="D1129" s="225" t="str">
        <f t="shared" si="12"/>
        <v>2034_2025</v>
      </c>
      <c r="E1129" s="1287">
        <v>5.3503496205351483E-2</v>
      </c>
      <c r="F1129" s="1306">
        <v>4.1982182898212357E-3</v>
      </c>
      <c r="G1129" s="1303">
        <v>0.13896134780634792</v>
      </c>
      <c r="H1129" s="1306">
        <v>2.3081510176222685E-2</v>
      </c>
      <c r="I1129" s="1303">
        <v>1.1878964530875977E-2</v>
      </c>
      <c r="J1129" s="1306">
        <v>8.8427875663532715E-4</v>
      </c>
      <c r="K1129" s="1303">
        <v>2.870907540055014E-3</v>
      </c>
      <c r="L1129" s="1288">
        <v>2.0000016252340043E-3</v>
      </c>
      <c r="M1129" s="1305">
        <v>2.0000005733714372E-3</v>
      </c>
      <c r="N1129" s="1303">
        <v>2.4210664669350037E-2</v>
      </c>
      <c r="O1129" s="1288">
        <v>5.7337508629667694E-3</v>
      </c>
      <c r="P1129" s="1301">
        <v>3.8743018980118608E-3</v>
      </c>
      <c r="Q1129" s="1290">
        <v>1.2416078594837761E-2</v>
      </c>
    </row>
    <row r="1130" spans="1:17" s="212" customFormat="1" ht="15.5" x14ac:dyDescent="0.35">
      <c r="A1130" s="198">
        <v>2034</v>
      </c>
      <c r="B1130" s="197" t="s">
        <v>5838</v>
      </c>
      <c r="C1130" s="197">
        <v>2026</v>
      </c>
      <c r="D1130" s="225" t="str">
        <f t="shared" si="12"/>
        <v>2034_2026</v>
      </c>
      <c r="E1130" s="1287">
        <v>5.2302715003635335E-2</v>
      </c>
      <c r="F1130" s="1306">
        <v>4.1036995041370166E-3</v>
      </c>
      <c r="G1130" s="1303">
        <v>0.13360215308913903</v>
      </c>
      <c r="H1130" s="1306">
        <v>2.23088313145519E-2</v>
      </c>
      <c r="I1130" s="1303">
        <v>1.1111295438421983E-2</v>
      </c>
      <c r="J1130" s="1306">
        <v>7.6951275743262115E-4</v>
      </c>
      <c r="K1130" s="1303">
        <v>2.8661037298630403E-3</v>
      </c>
      <c r="L1130" s="1288">
        <v>2.0000016376329698E-3</v>
      </c>
      <c r="M1130" s="1305">
        <v>2.0000005734331352E-3</v>
      </c>
      <c r="N1130" s="1303">
        <v>2.4087555497166124E-2</v>
      </c>
      <c r="O1130" s="1288">
        <v>5.5989724729723156E-3</v>
      </c>
      <c r="P1130" s="1301">
        <v>4.7167915135384762E-3</v>
      </c>
      <c r="Q1130" s="1290">
        <v>1.1613698912504153E-2</v>
      </c>
    </row>
    <row r="1131" spans="1:17" s="212" customFormat="1" ht="15.5" x14ac:dyDescent="0.35">
      <c r="A1131" s="198">
        <v>2034</v>
      </c>
      <c r="B1131" s="197" t="s">
        <v>5838</v>
      </c>
      <c r="C1131" s="197">
        <v>2027</v>
      </c>
      <c r="D1131" s="225" t="str">
        <f t="shared" si="12"/>
        <v>2034_2027</v>
      </c>
      <c r="E1131" s="1287">
        <v>5.083741634869042E-2</v>
      </c>
      <c r="F1131" s="1306">
        <v>4.0262160626593812E-3</v>
      </c>
      <c r="G1131" s="1303">
        <v>0.12744642419311239</v>
      </c>
      <c r="H1131" s="1306">
        <v>2.1515203520231892E-2</v>
      </c>
      <c r="I1131" s="1303">
        <v>1.0262103404035898E-2</v>
      </c>
      <c r="J1131" s="1306">
        <v>6.3414942315317589E-4</v>
      </c>
      <c r="K1131" s="1303">
        <v>2.8573329741015678E-3</v>
      </c>
      <c r="L1131" s="1288">
        <v>2.0000016541254495E-3</v>
      </c>
      <c r="M1131" s="1305">
        <v>2.0000005734953602E-3</v>
      </c>
      <c r="N1131" s="1303">
        <v>2.3868034425096617E-2</v>
      </c>
      <c r="O1131" s="1288">
        <v>5.4259996319707049E-3</v>
      </c>
      <c r="P1131" s="1301">
        <v>5.5688985927469297E-3</v>
      </c>
      <c r="Q1131" s="1290">
        <v>1.072611018255698E-2</v>
      </c>
    </row>
    <row r="1132" spans="1:17" s="212" customFormat="1" ht="15.5" x14ac:dyDescent="0.35">
      <c r="A1132" s="198">
        <v>2034</v>
      </c>
      <c r="B1132" s="197" t="s">
        <v>5838</v>
      </c>
      <c r="C1132" s="197">
        <v>2028</v>
      </c>
      <c r="D1132" s="225" t="str">
        <f t="shared" si="12"/>
        <v>2034_2028</v>
      </c>
      <c r="E1132" s="1287">
        <v>4.9303827888218535E-2</v>
      </c>
      <c r="F1132" s="1306">
        <v>3.8911720665548194E-3</v>
      </c>
      <c r="G1132" s="1303">
        <v>0.12103225489132559</v>
      </c>
      <c r="H1132" s="1306">
        <v>2.0621578334022353E-2</v>
      </c>
      <c r="I1132" s="1303">
        <v>9.3785494766502522E-3</v>
      </c>
      <c r="J1132" s="1306">
        <v>5.1638747859731075E-4</v>
      </c>
      <c r="K1132" s="1303">
        <v>2.8481105021176565E-3</v>
      </c>
      <c r="L1132" s="1288">
        <v>2.0000016735520322E-3</v>
      </c>
      <c r="M1132" s="1305">
        <v>2.0000005735408104E-3</v>
      </c>
      <c r="N1132" s="1303">
        <v>2.3636038247367187E-2</v>
      </c>
      <c r="O1132" s="1288">
        <v>5.2405212003599688E-3</v>
      </c>
      <c r="P1132" s="1301">
        <v>6.1948727303963108E-3</v>
      </c>
      <c r="Q1132" s="1290">
        <v>9.8026058672874665E-3</v>
      </c>
    </row>
    <row r="1133" spans="1:17" s="212" customFormat="1" ht="15.5" x14ac:dyDescent="0.35">
      <c r="A1133" s="198">
        <v>2034</v>
      </c>
      <c r="B1133" s="197" t="s">
        <v>5838</v>
      </c>
      <c r="C1133" s="197">
        <v>2029</v>
      </c>
      <c r="D1133" s="225" t="str">
        <f t="shared" si="12"/>
        <v>2034_2029</v>
      </c>
      <c r="E1133" s="1287">
        <v>4.7628936898735E-2</v>
      </c>
      <c r="F1133" s="1306">
        <v>3.7466791057005518E-3</v>
      </c>
      <c r="G1133" s="1303">
        <v>0.11419040446316343</v>
      </c>
      <c r="H1133" s="1306">
        <v>1.9684248950031829E-2</v>
      </c>
      <c r="I1133" s="1303">
        <v>8.4495478028792561E-3</v>
      </c>
      <c r="J1133" s="1306">
        <v>5.1290324921778822E-4</v>
      </c>
      <c r="K1133" s="1303">
        <v>2.8369798534202068E-3</v>
      </c>
      <c r="L1133" s="1288">
        <v>2.0000016972979168E-3</v>
      </c>
      <c r="M1133" s="1305">
        <v>2.0000005735745763E-3</v>
      </c>
      <c r="N1133" s="1303">
        <v>2.3356175800574103E-2</v>
      </c>
      <c r="O1133" s="1288">
        <v>5.0363059945912466E-3</v>
      </c>
      <c r="P1133" s="1301">
        <v>6.6596104917475982E-3</v>
      </c>
      <c r="Q1133" s="1290">
        <v>8.831598860212328E-3</v>
      </c>
    </row>
    <row r="1134" spans="1:17" s="212" customFormat="1" ht="15.5" x14ac:dyDescent="0.35">
      <c r="A1134" s="198">
        <v>2034</v>
      </c>
      <c r="B1134" s="197" t="s">
        <v>5838</v>
      </c>
      <c r="C1134" s="197">
        <v>2030</v>
      </c>
      <c r="D1134" s="225" t="str">
        <f t="shared" si="12"/>
        <v>2034_2030</v>
      </c>
      <c r="E1134" s="1287">
        <v>4.5961930010419781E-2</v>
      </c>
      <c r="F1134" s="1306">
        <v>3.601290212884389E-3</v>
      </c>
      <c r="G1134" s="1303">
        <v>0.10730357469769639</v>
      </c>
      <c r="H1134" s="1306">
        <v>1.8706873356621228E-2</v>
      </c>
      <c r="I1134" s="1303">
        <v>7.5054490234443905E-3</v>
      </c>
      <c r="J1134" s="1306">
        <v>5.1033591237048092E-4</v>
      </c>
      <c r="K1134" s="1303">
        <v>2.8267397130881514E-3</v>
      </c>
      <c r="L1134" s="1288">
        <v>2.0000017209127739E-3</v>
      </c>
      <c r="M1134" s="1305">
        <v>2.0000005736012429E-3</v>
      </c>
      <c r="N1134" s="1303">
        <v>2.3095736743488436E-2</v>
      </c>
      <c r="O1134" s="1288">
        <v>4.8627116817921397E-3</v>
      </c>
      <c r="P1134" s="1301">
        <v>7.0406987319956487E-3</v>
      </c>
      <c r="Q1134" s="1290">
        <v>7.8448121233477587E-3</v>
      </c>
    </row>
    <row r="1135" spans="1:17" s="212" customFormat="1" ht="15.5" x14ac:dyDescent="0.35">
      <c r="A1135" s="198">
        <v>2034</v>
      </c>
      <c r="B1135" s="197" t="s">
        <v>5838</v>
      </c>
      <c r="C1135" s="197">
        <v>2031</v>
      </c>
      <c r="D1135" s="225" t="str">
        <f t="shared" si="12"/>
        <v>2034_2031</v>
      </c>
      <c r="E1135" s="1287">
        <v>4.4219923903590107E-2</v>
      </c>
      <c r="F1135" s="1306">
        <v>3.4179473402938731E-3</v>
      </c>
      <c r="G1135" s="1303">
        <v>0.10017541029891507</v>
      </c>
      <c r="H1135" s="1306">
        <v>1.7677324034423212E-2</v>
      </c>
      <c r="I1135" s="1303">
        <v>6.533010224818862E-3</v>
      </c>
      <c r="J1135" s="1306">
        <v>5.0759551847552175E-4</v>
      </c>
      <c r="K1135" s="1303">
        <v>2.8157288391194211E-3</v>
      </c>
      <c r="L1135" s="1288">
        <v>2.000001754809971E-3</v>
      </c>
      <c r="M1135" s="1305">
        <v>2.0000005736334988E-3</v>
      </c>
      <c r="N1135" s="1303">
        <v>2.2814599911602184E-2</v>
      </c>
      <c r="O1135" s="1288">
        <v>4.6709334812740297E-3</v>
      </c>
      <c r="P1135" s="1301">
        <v>7.5035738318807391E-3</v>
      </c>
      <c r="Q1135" s="1290">
        <v>6.828403957381649E-3</v>
      </c>
    </row>
    <row r="1136" spans="1:17" s="212" customFormat="1" ht="15.5" x14ac:dyDescent="0.35">
      <c r="A1136" s="198">
        <v>2034</v>
      </c>
      <c r="B1136" s="197" t="s">
        <v>5838</v>
      </c>
      <c r="C1136" s="197">
        <v>2032</v>
      </c>
      <c r="D1136" s="225" t="str">
        <f t="shared" si="12"/>
        <v>2034_2032</v>
      </c>
      <c r="E1136" s="1287">
        <v>4.2286821131778028E-2</v>
      </c>
      <c r="F1136" s="1306">
        <v>3.2292754182692779E-3</v>
      </c>
      <c r="G1136" s="1303">
        <v>9.2565202198330102E-2</v>
      </c>
      <c r="H1136" s="1306">
        <v>1.6615441093413057E-2</v>
      </c>
      <c r="I1136" s="1303">
        <v>5.5207622334518033E-3</v>
      </c>
      <c r="J1136" s="1306">
        <v>5.0481647623919885E-4</v>
      </c>
      <c r="K1136" s="1303">
        <v>2.8014712182290328E-3</v>
      </c>
      <c r="L1136" s="1288">
        <v>2.0000018048956297E-3</v>
      </c>
      <c r="M1136" s="1305">
        <v>2.0000005736585686E-3</v>
      </c>
      <c r="N1136" s="1303">
        <v>2.2452214482225851E-2</v>
      </c>
      <c r="O1136" s="1288">
        <v>4.4619082168446816E-3</v>
      </c>
      <c r="P1136" s="1301">
        <v>7.8751177913144507E-3</v>
      </c>
      <c r="Q1136" s="1290">
        <v>5.770386603628914E-3</v>
      </c>
    </row>
    <row r="1137" spans="1:17" s="212" customFormat="1" ht="15.5" x14ac:dyDescent="0.35">
      <c r="A1137" s="198">
        <v>2034</v>
      </c>
      <c r="B1137" s="197" t="s">
        <v>5838</v>
      </c>
      <c r="C1137" s="197">
        <v>2033</v>
      </c>
      <c r="D1137" s="225" t="str">
        <f t="shared" si="12"/>
        <v>2034_2033</v>
      </c>
      <c r="E1137" s="1287">
        <v>4.0273585359150189E-2</v>
      </c>
      <c r="F1137" s="1306">
        <v>3.0212962877267349E-3</v>
      </c>
      <c r="G1137" s="1303">
        <v>8.4763106288636578E-2</v>
      </c>
      <c r="H1137" s="1306">
        <v>1.5466532069350621E-2</v>
      </c>
      <c r="I1137" s="1303">
        <v>4.4920438134502371E-3</v>
      </c>
      <c r="J1137" s="1306">
        <v>5.0173841254809351E-4</v>
      </c>
      <c r="K1137" s="1303">
        <v>2.786070818693677E-3</v>
      </c>
      <c r="L1137" s="1288">
        <v>2.0000018481916748E-3</v>
      </c>
      <c r="M1137" s="1305">
        <v>2.0000005736764571E-3</v>
      </c>
      <c r="N1137" s="1303">
        <v>2.2058644447187626E-2</v>
      </c>
      <c r="O1137" s="1288">
        <v>4.2429452297834134E-3</v>
      </c>
      <c r="P1137" s="1301">
        <v>8.195787994612418E-3</v>
      </c>
      <c r="Q1137" s="1290">
        <v>4.6951541015452548E-3</v>
      </c>
    </row>
    <row r="1138" spans="1:17" s="212" customFormat="1" ht="15.5" x14ac:dyDescent="0.35">
      <c r="A1138" s="198">
        <v>2034</v>
      </c>
      <c r="B1138" s="197" t="s">
        <v>5838</v>
      </c>
      <c r="C1138" s="197">
        <v>2034</v>
      </c>
      <c r="D1138" s="225" t="str">
        <f t="shared" si="12"/>
        <v>2034_2034</v>
      </c>
      <c r="E1138" s="1287">
        <v>3.7049329696867958E-2</v>
      </c>
      <c r="F1138" s="1306">
        <v>2.7829683689622091E-3</v>
      </c>
      <c r="G1138" s="1303">
        <v>7.4516475259150589E-2</v>
      </c>
      <c r="H1138" s="1306">
        <v>1.4122032752105836E-2</v>
      </c>
      <c r="I1138" s="1303">
        <v>3.3561496204203558E-3</v>
      </c>
      <c r="J1138" s="1306">
        <v>4.9484936329071956E-4</v>
      </c>
      <c r="K1138" s="1303">
        <v>2.7447785241262661E-3</v>
      </c>
      <c r="L1138" s="1288">
        <v>2.0000019579437052E-3</v>
      </c>
      <c r="M1138" s="1305">
        <v>2.0000005736606819E-3</v>
      </c>
      <c r="N1138" s="1303">
        <v>2.1027254858095347E-2</v>
      </c>
      <c r="O1138" s="1288">
        <v>3.8245338199806439E-3</v>
      </c>
      <c r="P1138" s="1301">
        <v>8.0001842320994599E-3</v>
      </c>
      <c r="Q1138" s="1290">
        <v>3.5078998135623942E-3</v>
      </c>
    </row>
    <row r="1139" spans="1:17" s="212" customFormat="1" ht="15.5" x14ac:dyDescent="0.35">
      <c r="A1139" s="198">
        <v>2034</v>
      </c>
      <c r="B1139" s="197" t="s">
        <v>5838</v>
      </c>
      <c r="C1139" s="197">
        <v>2035</v>
      </c>
      <c r="D1139" s="225" t="str">
        <f t="shared" si="12"/>
        <v>2034_2035</v>
      </c>
      <c r="E1139" s="1291">
        <v>3.7049329696867958E-2</v>
      </c>
      <c r="F1139" s="1280">
        <v>2.7829683689622091E-3</v>
      </c>
      <c r="G1139" s="1271">
        <v>7.4516475259150589E-2</v>
      </c>
      <c r="H1139" s="1280">
        <v>1.4122032752105836E-2</v>
      </c>
      <c r="I1139" s="1271">
        <v>3.3561496204203558E-3</v>
      </c>
      <c r="J1139" s="1280">
        <v>4.9484936329071956E-4</v>
      </c>
      <c r="K1139" s="1271">
        <v>2.7447785241262661E-3</v>
      </c>
      <c r="L1139" s="1257">
        <v>2.0000019579437052E-3</v>
      </c>
      <c r="M1139" s="1230">
        <v>2.0000005736606819E-3</v>
      </c>
      <c r="N1139" s="1271">
        <v>2.1027254858095347E-2</v>
      </c>
      <c r="O1139" s="1257">
        <v>3.8245338199806439E-3</v>
      </c>
      <c r="P1139" s="1237">
        <v>8.0001842320994599E-3</v>
      </c>
      <c r="Q1139" s="1292">
        <v>3.5078998135623942E-3</v>
      </c>
    </row>
    <row r="1140" spans="1:17" s="212" customFormat="1" ht="15.5" x14ac:dyDescent="0.35">
      <c r="A1140" s="198">
        <v>2035</v>
      </c>
      <c r="B1140" s="197" t="s">
        <v>5838</v>
      </c>
      <c r="C1140" s="197">
        <v>1971</v>
      </c>
      <c r="D1140" s="225" t="str">
        <f t="shared" si="12"/>
        <v>2035_1971</v>
      </c>
      <c r="E1140" s="1291">
        <v>0.37693162198304508</v>
      </c>
      <c r="F1140" s="1280">
        <v>0.50195922457769737</v>
      </c>
      <c r="G1140" s="1271">
        <v>8.6114904090293258</v>
      </c>
      <c r="H1140" s="1280">
        <v>2.3190629701659096</v>
      </c>
      <c r="I1140" s="1271">
        <v>6.4827432721961842E-2</v>
      </c>
      <c r="J1140" s="1280">
        <v>9.2758169881356038E-3</v>
      </c>
      <c r="K1140" s="1271">
        <v>2.930083908547335E-3</v>
      </c>
      <c r="L1140" s="1257">
        <v>2.0000010639914319E-3</v>
      </c>
      <c r="M1140" s="1230">
        <v>2.0000010639914319E-3</v>
      </c>
      <c r="N1140" s="1271">
        <v>2.5655461572429161E-2</v>
      </c>
      <c r="O1140" s="1257">
        <v>1.1710525062944859E-2</v>
      </c>
      <c r="P1140" s="1237">
        <v>5.8552625314724294E-3</v>
      </c>
      <c r="Q1140" s="1292">
        <v>6.7758641562176813E-2</v>
      </c>
    </row>
    <row r="1141" spans="1:17" s="212" customFormat="1" ht="15.5" x14ac:dyDescent="0.35">
      <c r="A1141" s="198">
        <v>2035</v>
      </c>
      <c r="B1141" s="197" t="s">
        <v>5838</v>
      </c>
      <c r="C1141" s="197">
        <v>1972</v>
      </c>
      <c r="D1141" s="225" t="str">
        <f t="shared" si="12"/>
        <v>2035_1972</v>
      </c>
      <c r="E1141" s="1291">
        <v>0.37693162198304508</v>
      </c>
      <c r="F1141" s="1280">
        <v>0.50195922457769737</v>
      </c>
      <c r="G1141" s="1271">
        <v>8.6114904090293258</v>
      </c>
      <c r="H1141" s="1280">
        <v>2.3190629701659096</v>
      </c>
      <c r="I1141" s="1271">
        <v>6.4827432721961842E-2</v>
      </c>
      <c r="J1141" s="1280">
        <v>9.2758169881356038E-3</v>
      </c>
      <c r="K1141" s="1271">
        <v>2.930083908547335E-3</v>
      </c>
      <c r="L1141" s="1257">
        <v>2.0000010639914319E-3</v>
      </c>
      <c r="M1141" s="1230">
        <v>2.0000010639914319E-3</v>
      </c>
      <c r="N1141" s="1271">
        <v>2.5655461572429161E-2</v>
      </c>
      <c r="O1141" s="1257">
        <v>1.1710525062944859E-2</v>
      </c>
      <c r="P1141" s="1237">
        <v>5.8552625314724294E-3</v>
      </c>
      <c r="Q1141" s="1292">
        <v>6.7758641562176813E-2</v>
      </c>
    </row>
    <row r="1142" spans="1:17" s="212" customFormat="1" ht="15.5" x14ac:dyDescent="0.35">
      <c r="A1142" s="198">
        <v>2035</v>
      </c>
      <c r="B1142" s="197" t="s">
        <v>5838</v>
      </c>
      <c r="C1142" s="197">
        <v>1973</v>
      </c>
      <c r="D1142" s="225" t="str">
        <f t="shared" si="12"/>
        <v>2035_1973</v>
      </c>
      <c r="E1142" s="1291">
        <v>0.37693162198304508</v>
      </c>
      <c r="F1142" s="1280">
        <v>0.50195922457769737</v>
      </c>
      <c r="G1142" s="1271">
        <v>8.6114904090293258</v>
      </c>
      <c r="H1142" s="1280">
        <v>2.3190629701659096</v>
      </c>
      <c r="I1142" s="1271">
        <v>6.4827432721961842E-2</v>
      </c>
      <c r="J1142" s="1280">
        <v>9.2758169881356038E-3</v>
      </c>
      <c r="K1142" s="1271">
        <v>2.930083908547335E-3</v>
      </c>
      <c r="L1142" s="1257">
        <v>2.0000010639914319E-3</v>
      </c>
      <c r="M1142" s="1230">
        <v>2.0000010639914319E-3</v>
      </c>
      <c r="N1142" s="1271">
        <v>2.5655461572429161E-2</v>
      </c>
      <c r="O1142" s="1257">
        <v>1.1710525062944859E-2</v>
      </c>
      <c r="P1142" s="1237">
        <v>5.8552625314724294E-3</v>
      </c>
      <c r="Q1142" s="1292">
        <v>6.7758641562176813E-2</v>
      </c>
    </row>
    <row r="1143" spans="1:17" s="212" customFormat="1" ht="15.5" x14ac:dyDescent="0.35">
      <c r="A1143" s="198">
        <v>2035</v>
      </c>
      <c r="B1143" s="197" t="s">
        <v>5838</v>
      </c>
      <c r="C1143" s="197">
        <v>1974</v>
      </c>
      <c r="D1143" s="225" t="str">
        <f t="shared" si="12"/>
        <v>2035_1974</v>
      </c>
      <c r="E1143" s="1291">
        <v>0.37693162198304508</v>
      </c>
      <c r="F1143" s="1280">
        <v>0.50195922457769737</v>
      </c>
      <c r="G1143" s="1271">
        <v>8.6114904090293258</v>
      </c>
      <c r="H1143" s="1280">
        <v>2.3190629701659096</v>
      </c>
      <c r="I1143" s="1271">
        <v>6.4827432721961842E-2</v>
      </c>
      <c r="J1143" s="1280">
        <v>9.2758169881356038E-3</v>
      </c>
      <c r="K1143" s="1271">
        <v>2.930083908547335E-3</v>
      </c>
      <c r="L1143" s="1257">
        <v>2.0000010639914319E-3</v>
      </c>
      <c r="M1143" s="1230">
        <v>2.0000010639914319E-3</v>
      </c>
      <c r="N1143" s="1271">
        <v>2.5655461572429161E-2</v>
      </c>
      <c r="O1143" s="1257">
        <v>1.1710525062944859E-2</v>
      </c>
      <c r="P1143" s="1237">
        <v>5.8552625314724294E-3</v>
      </c>
      <c r="Q1143" s="1292">
        <v>6.7758641562176813E-2</v>
      </c>
    </row>
    <row r="1144" spans="1:17" s="212" customFormat="1" ht="15.5" x14ac:dyDescent="0.35">
      <c r="A1144" s="198">
        <v>2035</v>
      </c>
      <c r="B1144" s="197" t="s">
        <v>5838</v>
      </c>
      <c r="C1144" s="197">
        <v>1975</v>
      </c>
      <c r="D1144" s="225" t="str">
        <f t="shared" si="12"/>
        <v>2035_1975</v>
      </c>
      <c r="E1144" s="1291">
        <v>0.37693162198304508</v>
      </c>
      <c r="F1144" s="1280">
        <v>0.50195922457769737</v>
      </c>
      <c r="G1144" s="1271">
        <v>8.6114904090293258</v>
      </c>
      <c r="H1144" s="1280">
        <v>2.3190629701659096</v>
      </c>
      <c r="I1144" s="1271">
        <v>6.4827432721961842E-2</v>
      </c>
      <c r="J1144" s="1280">
        <v>9.2758169881356038E-3</v>
      </c>
      <c r="K1144" s="1271">
        <v>2.930083908547335E-3</v>
      </c>
      <c r="L1144" s="1257">
        <v>2.0000010639914319E-3</v>
      </c>
      <c r="M1144" s="1230">
        <v>2.0000010639914319E-3</v>
      </c>
      <c r="N1144" s="1271">
        <v>2.5655461572429161E-2</v>
      </c>
      <c r="O1144" s="1257">
        <v>1.1710525062944859E-2</v>
      </c>
      <c r="P1144" s="1237">
        <v>5.8552625314724294E-3</v>
      </c>
      <c r="Q1144" s="1292">
        <v>6.7758641562176813E-2</v>
      </c>
    </row>
    <row r="1145" spans="1:17" s="212" customFormat="1" ht="15.5" x14ac:dyDescent="0.35">
      <c r="A1145" s="198">
        <v>2035</v>
      </c>
      <c r="B1145" s="197" t="s">
        <v>5838</v>
      </c>
      <c r="C1145" s="197">
        <v>1976</v>
      </c>
      <c r="D1145" s="225" t="str">
        <f t="shared" si="12"/>
        <v>2035_1976</v>
      </c>
      <c r="E1145" s="1291">
        <v>0.37693162198304508</v>
      </c>
      <c r="F1145" s="1280">
        <v>0.50195922457769737</v>
      </c>
      <c r="G1145" s="1271">
        <v>8.6114904090293258</v>
      </c>
      <c r="H1145" s="1280">
        <v>2.3190629701659096</v>
      </c>
      <c r="I1145" s="1271">
        <v>6.4827432721961842E-2</v>
      </c>
      <c r="J1145" s="1280">
        <v>9.2758169881356038E-3</v>
      </c>
      <c r="K1145" s="1271">
        <v>2.930083908547335E-3</v>
      </c>
      <c r="L1145" s="1257">
        <v>2.0000010639914319E-3</v>
      </c>
      <c r="M1145" s="1230">
        <v>2.0000010639914319E-3</v>
      </c>
      <c r="N1145" s="1271">
        <v>2.5655461572429161E-2</v>
      </c>
      <c r="O1145" s="1257">
        <v>1.1710525062944859E-2</v>
      </c>
      <c r="P1145" s="1237">
        <v>5.8552625314724294E-3</v>
      </c>
      <c r="Q1145" s="1292">
        <v>6.7758641562176813E-2</v>
      </c>
    </row>
    <row r="1146" spans="1:17" s="212" customFormat="1" ht="15.5" x14ac:dyDescent="0.35">
      <c r="A1146" s="198">
        <v>2035</v>
      </c>
      <c r="B1146" s="197" t="s">
        <v>5838</v>
      </c>
      <c r="C1146" s="197">
        <v>1977</v>
      </c>
      <c r="D1146" s="225" t="str">
        <f t="shared" si="12"/>
        <v>2035_1977</v>
      </c>
      <c r="E1146" s="1291">
        <v>0.37693162198304508</v>
      </c>
      <c r="F1146" s="1280">
        <v>0.50195922457769737</v>
      </c>
      <c r="G1146" s="1271">
        <v>8.6114904090293258</v>
      </c>
      <c r="H1146" s="1280">
        <v>2.3190629701659096</v>
      </c>
      <c r="I1146" s="1271">
        <v>6.4827432721961842E-2</v>
      </c>
      <c r="J1146" s="1280">
        <v>9.2758169881356038E-3</v>
      </c>
      <c r="K1146" s="1271">
        <v>2.930083908547335E-3</v>
      </c>
      <c r="L1146" s="1257">
        <v>2.0000010639914319E-3</v>
      </c>
      <c r="M1146" s="1230">
        <v>2.0000010639914319E-3</v>
      </c>
      <c r="N1146" s="1271">
        <v>2.5655461572429161E-2</v>
      </c>
      <c r="O1146" s="1257">
        <v>1.1710525062944859E-2</v>
      </c>
      <c r="P1146" s="1237">
        <v>5.8552625314724294E-3</v>
      </c>
      <c r="Q1146" s="1292">
        <v>6.7758641562176813E-2</v>
      </c>
    </row>
    <row r="1147" spans="1:17" s="212" customFormat="1" ht="15.5" x14ac:dyDescent="0.35">
      <c r="A1147" s="198">
        <v>2035</v>
      </c>
      <c r="B1147" s="197" t="s">
        <v>5838</v>
      </c>
      <c r="C1147" s="197">
        <v>1978</v>
      </c>
      <c r="D1147" s="225" t="str">
        <f t="shared" si="12"/>
        <v>2035_1978</v>
      </c>
      <c r="E1147" s="1291">
        <v>0.37693162198304508</v>
      </c>
      <c r="F1147" s="1280">
        <v>0.50195922457769737</v>
      </c>
      <c r="G1147" s="1271">
        <v>8.6114904090293258</v>
      </c>
      <c r="H1147" s="1280">
        <v>2.3190629701659096</v>
      </c>
      <c r="I1147" s="1271">
        <v>6.4827432721961842E-2</v>
      </c>
      <c r="J1147" s="1280">
        <v>9.2758169881356038E-3</v>
      </c>
      <c r="K1147" s="1271">
        <v>2.930083908547335E-3</v>
      </c>
      <c r="L1147" s="1257">
        <v>2.0000010639914319E-3</v>
      </c>
      <c r="M1147" s="1230">
        <v>2.0000010639914319E-3</v>
      </c>
      <c r="N1147" s="1271">
        <v>2.5655461572429161E-2</v>
      </c>
      <c r="O1147" s="1257">
        <v>1.1710525062944859E-2</v>
      </c>
      <c r="P1147" s="1237">
        <v>5.8552625314724294E-3</v>
      </c>
      <c r="Q1147" s="1292">
        <v>6.7758641562176813E-2</v>
      </c>
    </row>
    <row r="1148" spans="1:17" s="212" customFormat="1" ht="15.5" x14ac:dyDescent="0.35">
      <c r="A1148" s="198">
        <v>2035</v>
      </c>
      <c r="B1148" s="197" t="s">
        <v>5838</v>
      </c>
      <c r="C1148" s="197">
        <v>1979</v>
      </c>
      <c r="D1148" s="225" t="str">
        <f t="shared" si="12"/>
        <v>2035_1979</v>
      </c>
      <c r="E1148" s="1291">
        <v>0.37693162198304508</v>
      </c>
      <c r="F1148" s="1280">
        <v>0.50195922457769737</v>
      </c>
      <c r="G1148" s="1271">
        <v>8.6114904090293258</v>
      </c>
      <c r="H1148" s="1280">
        <v>2.3190629701659096</v>
      </c>
      <c r="I1148" s="1271">
        <v>6.4827432721961842E-2</v>
      </c>
      <c r="J1148" s="1280">
        <v>9.2758169881356038E-3</v>
      </c>
      <c r="K1148" s="1271">
        <v>2.930083908547335E-3</v>
      </c>
      <c r="L1148" s="1257">
        <v>2.0000010639914319E-3</v>
      </c>
      <c r="M1148" s="1230">
        <v>2.0000010639914319E-3</v>
      </c>
      <c r="N1148" s="1271">
        <v>2.5655461572429161E-2</v>
      </c>
      <c r="O1148" s="1257">
        <v>1.1710525062944859E-2</v>
      </c>
      <c r="P1148" s="1237">
        <v>5.8552625314724294E-3</v>
      </c>
      <c r="Q1148" s="1292">
        <v>6.7758641562176813E-2</v>
      </c>
    </row>
    <row r="1149" spans="1:17" s="212" customFormat="1" ht="15.5" x14ac:dyDescent="0.35">
      <c r="A1149" s="198">
        <v>2035</v>
      </c>
      <c r="B1149" s="197" t="s">
        <v>5838</v>
      </c>
      <c r="C1149" s="197">
        <v>1980</v>
      </c>
      <c r="D1149" s="225" t="str">
        <f t="shared" si="12"/>
        <v>2035_1980</v>
      </c>
      <c r="E1149" s="1291">
        <v>0.37693162198304508</v>
      </c>
      <c r="F1149" s="1280">
        <v>0.50195922457769737</v>
      </c>
      <c r="G1149" s="1271">
        <v>8.6114904090293258</v>
      </c>
      <c r="H1149" s="1280">
        <v>2.3190629701659096</v>
      </c>
      <c r="I1149" s="1271">
        <v>6.4827432721961842E-2</v>
      </c>
      <c r="J1149" s="1280">
        <v>9.2758169881356038E-3</v>
      </c>
      <c r="K1149" s="1271">
        <v>2.930083908547335E-3</v>
      </c>
      <c r="L1149" s="1257">
        <v>2.0000010639914319E-3</v>
      </c>
      <c r="M1149" s="1230">
        <v>2.0000010639914319E-3</v>
      </c>
      <c r="N1149" s="1271">
        <v>2.5655461572429161E-2</v>
      </c>
      <c r="O1149" s="1257">
        <v>1.1710525062944859E-2</v>
      </c>
      <c r="P1149" s="1237">
        <v>5.8552625314724294E-3</v>
      </c>
      <c r="Q1149" s="1292">
        <v>6.7758641562176813E-2</v>
      </c>
    </row>
    <row r="1150" spans="1:17" s="212" customFormat="1" ht="15.5" x14ac:dyDescent="0.35">
      <c r="A1150" s="198">
        <v>2035</v>
      </c>
      <c r="B1150" s="197" t="s">
        <v>5838</v>
      </c>
      <c r="C1150" s="197">
        <v>1981</v>
      </c>
      <c r="D1150" s="225" t="str">
        <f t="shared" si="12"/>
        <v>2035_1981</v>
      </c>
      <c r="E1150" s="1291">
        <v>0.37693162198304508</v>
      </c>
      <c r="F1150" s="1280">
        <v>0.50195922457769737</v>
      </c>
      <c r="G1150" s="1271">
        <v>8.6114904090293258</v>
      </c>
      <c r="H1150" s="1280">
        <v>2.3190629701659096</v>
      </c>
      <c r="I1150" s="1271">
        <v>6.4827432721961842E-2</v>
      </c>
      <c r="J1150" s="1280">
        <v>9.2758169881356038E-3</v>
      </c>
      <c r="K1150" s="1271">
        <v>2.930083908547335E-3</v>
      </c>
      <c r="L1150" s="1257">
        <v>2.0000010639914319E-3</v>
      </c>
      <c r="M1150" s="1230">
        <v>2.0000010639914319E-3</v>
      </c>
      <c r="N1150" s="1271">
        <v>2.5655461572429161E-2</v>
      </c>
      <c r="O1150" s="1257">
        <v>1.1710525062944859E-2</v>
      </c>
      <c r="P1150" s="1237">
        <v>5.8552625314724294E-3</v>
      </c>
      <c r="Q1150" s="1292">
        <v>6.7758641562176813E-2</v>
      </c>
    </row>
    <row r="1151" spans="1:17" s="212" customFormat="1" ht="15.5" x14ac:dyDescent="0.35">
      <c r="A1151" s="198">
        <v>2035</v>
      </c>
      <c r="B1151" s="197" t="s">
        <v>5838</v>
      </c>
      <c r="C1151" s="197">
        <v>1982</v>
      </c>
      <c r="D1151" s="225" t="str">
        <f t="shared" si="12"/>
        <v>2035_1982</v>
      </c>
      <c r="E1151" s="1291">
        <v>0.37693162198304508</v>
      </c>
      <c r="F1151" s="1280">
        <v>0.50195922457769737</v>
      </c>
      <c r="G1151" s="1271">
        <v>8.6114904090293258</v>
      </c>
      <c r="H1151" s="1280">
        <v>2.3190629701659096</v>
      </c>
      <c r="I1151" s="1271">
        <v>6.4827432721961842E-2</v>
      </c>
      <c r="J1151" s="1280">
        <v>9.2758169881356038E-3</v>
      </c>
      <c r="K1151" s="1271">
        <v>2.930083908547335E-3</v>
      </c>
      <c r="L1151" s="1257">
        <v>2.0000010639914319E-3</v>
      </c>
      <c r="M1151" s="1230">
        <v>2.0000010639914319E-3</v>
      </c>
      <c r="N1151" s="1271">
        <v>2.5655461572429161E-2</v>
      </c>
      <c r="O1151" s="1257">
        <v>1.1710525062944859E-2</v>
      </c>
      <c r="P1151" s="1237">
        <v>5.8552625314724294E-3</v>
      </c>
      <c r="Q1151" s="1292">
        <v>6.7758641562176813E-2</v>
      </c>
    </row>
    <row r="1152" spans="1:17" s="212" customFormat="1" ht="15.5" x14ac:dyDescent="0.35">
      <c r="A1152" s="198">
        <v>2035</v>
      </c>
      <c r="B1152" s="197" t="s">
        <v>5838</v>
      </c>
      <c r="C1152" s="197">
        <v>1983</v>
      </c>
      <c r="D1152" s="225" t="str">
        <f t="shared" si="12"/>
        <v>2035_1983</v>
      </c>
      <c r="E1152" s="1291">
        <v>0.37693162198304508</v>
      </c>
      <c r="F1152" s="1280">
        <v>0.50195922457769737</v>
      </c>
      <c r="G1152" s="1271">
        <v>8.6114904090293258</v>
      </c>
      <c r="H1152" s="1280">
        <v>2.3190629701659096</v>
      </c>
      <c r="I1152" s="1271">
        <v>6.4827432721961842E-2</v>
      </c>
      <c r="J1152" s="1280">
        <v>9.2758169881356038E-3</v>
      </c>
      <c r="K1152" s="1271">
        <v>2.930083908547335E-3</v>
      </c>
      <c r="L1152" s="1257">
        <v>2.0000010639914319E-3</v>
      </c>
      <c r="M1152" s="1230">
        <v>2.0000010639914319E-3</v>
      </c>
      <c r="N1152" s="1271">
        <v>2.5655461572429161E-2</v>
      </c>
      <c r="O1152" s="1257">
        <v>1.1710525062944859E-2</v>
      </c>
      <c r="P1152" s="1237">
        <v>5.8552625314724294E-3</v>
      </c>
      <c r="Q1152" s="1292">
        <v>6.7758641562176813E-2</v>
      </c>
    </row>
    <row r="1153" spans="1:17" s="212" customFormat="1" ht="15.5" x14ac:dyDescent="0.35">
      <c r="A1153" s="198">
        <v>2035</v>
      </c>
      <c r="B1153" s="197" t="s">
        <v>5838</v>
      </c>
      <c r="C1153" s="197">
        <v>1984</v>
      </c>
      <c r="D1153" s="225" t="str">
        <f t="shared" si="12"/>
        <v>2035_1984</v>
      </c>
      <c r="E1153" s="1291">
        <v>0.37693162198304508</v>
      </c>
      <c r="F1153" s="1280">
        <v>0.50195922457769737</v>
      </c>
      <c r="G1153" s="1271">
        <v>8.6114904090293258</v>
      </c>
      <c r="H1153" s="1280">
        <v>2.3190629701659096</v>
      </c>
      <c r="I1153" s="1271">
        <v>6.4827432721961842E-2</v>
      </c>
      <c r="J1153" s="1280">
        <v>9.2758169881356038E-3</v>
      </c>
      <c r="K1153" s="1271">
        <v>2.930083908547335E-3</v>
      </c>
      <c r="L1153" s="1257">
        <v>2.0000010639914319E-3</v>
      </c>
      <c r="M1153" s="1230">
        <v>2.0000010639914319E-3</v>
      </c>
      <c r="N1153" s="1271">
        <v>2.5655461572429161E-2</v>
      </c>
      <c r="O1153" s="1257">
        <v>1.1710525062944859E-2</v>
      </c>
      <c r="P1153" s="1237">
        <v>5.8552625314724294E-3</v>
      </c>
      <c r="Q1153" s="1292">
        <v>6.7758641562176813E-2</v>
      </c>
    </row>
    <row r="1154" spans="1:17" s="212" customFormat="1" ht="15.5" x14ac:dyDescent="0.35">
      <c r="A1154" s="198">
        <v>2035</v>
      </c>
      <c r="B1154" s="197" t="s">
        <v>5838</v>
      </c>
      <c r="C1154" s="197">
        <v>1985</v>
      </c>
      <c r="D1154" s="225" t="str">
        <f t="shared" si="12"/>
        <v>2035_1985</v>
      </c>
      <c r="E1154" s="1291">
        <v>0.37693162198304508</v>
      </c>
      <c r="F1154" s="1280">
        <v>0.50195922457769737</v>
      </c>
      <c r="G1154" s="1271">
        <v>8.6114904090293258</v>
      </c>
      <c r="H1154" s="1280">
        <v>2.3190629701659096</v>
      </c>
      <c r="I1154" s="1271">
        <v>6.4827432721961842E-2</v>
      </c>
      <c r="J1154" s="1280">
        <v>9.2758169881356038E-3</v>
      </c>
      <c r="K1154" s="1271">
        <v>2.930083908547335E-3</v>
      </c>
      <c r="L1154" s="1257">
        <v>2.0000010639914319E-3</v>
      </c>
      <c r="M1154" s="1230">
        <v>2.0000010639914319E-3</v>
      </c>
      <c r="N1154" s="1271">
        <v>2.5655461572429161E-2</v>
      </c>
      <c r="O1154" s="1257">
        <v>1.1710525062944859E-2</v>
      </c>
      <c r="P1154" s="1237">
        <v>5.8552625314724294E-3</v>
      </c>
      <c r="Q1154" s="1292">
        <v>6.7758641562176813E-2</v>
      </c>
    </row>
    <row r="1155" spans="1:17" s="212" customFormat="1" ht="15.5" x14ac:dyDescent="0.35">
      <c r="A1155" s="198">
        <v>2035</v>
      </c>
      <c r="B1155" s="197" t="s">
        <v>5838</v>
      </c>
      <c r="C1155" s="197">
        <v>1986</v>
      </c>
      <c r="D1155" s="225" t="str">
        <f t="shared" si="12"/>
        <v>2035_1986</v>
      </c>
      <c r="E1155" s="1291">
        <v>0.37693162198304508</v>
      </c>
      <c r="F1155" s="1280">
        <v>0.50195922457769737</v>
      </c>
      <c r="G1155" s="1271">
        <v>8.6114904090293258</v>
      </c>
      <c r="H1155" s="1280">
        <v>2.3190629701659096</v>
      </c>
      <c r="I1155" s="1271">
        <v>6.4827432721961842E-2</v>
      </c>
      <c r="J1155" s="1280">
        <v>9.2758169881356038E-3</v>
      </c>
      <c r="K1155" s="1271">
        <v>2.930083908547335E-3</v>
      </c>
      <c r="L1155" s="1257">
        <v>2.0000010639914319E-3</v>
      </c>
      <c r="M1155" s="1230">
        <v>2.0000010639914319E-3</v>
      </c>
      <c r="N1155" s="1271">
        <v>2.5655461572429161E-2</v>
      </c>
      <c r="O1155" s="1257">
        <v>1.1710525062944859E-2</v>
      </c>
      <c r="P1155" s="1237">
        <v>5.8552625314724294E-3</v>
      </c>
      <c r="Q1155" s="1292">
        <v>6.7758641562176813E-2</v>
      </c>
    </row>
    <row r="1156" spans="1:17" s="212" customFormat="1" ht="15.5" x14ac:dyDescent="0.35">
      <c r="A1156" s="198">
        <v>2035</v>
      </c>
      <c r="B1156" s="197" t="s">
        <v>5838</v>
      </c>
      <c r="C1156" s="197">
        <v>1987</v>
      </c>
      <c r="D1156" s="225" t="str">
        <f t="shared" si="12"/>
        <v>2035_1987</v>
      </c>
      <c r="E1156" s="1291">
        <v>0.37693162198304508</v>
      </c>
      <c r="F1156" s="1280">
        <v>0.50195922457769737</v>
      </c>
      <c r="G1156" s="1271">
        <v>8.6114904090293258</v>
      </c>
      <c r="H1156" s="1280">
        <v>2.3190629701659096</v>
      </c>
      <c r="I1156" s="1271">
        <v>6.4827432721961842E-2</v>
      </c>
      <c r="J1156" s="1280">
        <v>9.2758169881356038E-3</v>
      </c>
      <c r="K1156" s="1271">
        <v>2.930083908547335E-3</v>
      </c>
      <c r="L1156" s="1257">
        <v>2.0000010639914319E-3</v>
      </c>
      <c r="M1156" s="1230">
        <v>2.0000010639914319E-3</v>
      </c>
      <c r="N1156" s="1271">
        <v>2.5655461572429161E-2</v>
      </c>
      <c r="O1156" s="1257">
        <v>1.1710525062944859E-2</v>
      </c>
      <c r="P1156" s="1237">
        <v>5.8552625314724294E-3</v>
      </c>
      <c r="Q1156" s="1292">
        <v>6.7758641562176813E-2</v>
      </c>
    </row>
    <row r="1157" spans="1:17" s="212" customFormat="1" ht="15.5" x14ac:dyDescent="0.35">
      <c r="A1157" s="198">
        <v>2035</v>
      </c>
      <c r="B1157" s="197" t="s">
        <v>5838</v>
      </c>
      <c r="C1157" s="197">
        <v>1988</v>
      </c>
      <c r="D1157" s="225" t="str">
        <f t="shared" si="12"/>
        <v>2035_1988</v>
      </c>
      <c r="E1157" s="1291">
        <v>0.37693162198304508</v>
      </c>
      <c r="F1157" s="1280">
        <v>0.50195922457769737</v>
      </c>
      <c r="G1157" s="1271">
        <v>8.6114904090293258</v>
      </c>
      <c r="H1157" s="1280">
        <v>2.3190629701659096</v>
      </c>
      <c r="I1157" s="1271">
        <v>6.4827432721961842E-2</v>
      </c>
      <c r="J1157" s="1280">
        <v>9.2758169881356038E-3</v>
      </c>
      <c r="K1157" s="1271">
        <v>2.930083908547335E-3</v>
      </c>
      <c r="L1157" s="1257">
        <v>2.0000010639914319E-3</v>
      </c>
      <c r="M1157" s="1230">
        <v>2.0000010639914319E-3</v>
      </c>
      <c r="N1157" s="1271">
        <v>2.5655461572429161E-2</v>
      </c>
      <c r="O1157" s="1257">
        <v>1.1710525062944859E-2</v>
      </c>
      <c r="P1157" s="1237">
        <v>5.8552625314724294E-3</v>
      </c>
      <c r="Q1157" s="1292">
        <v>6.7758641562176813E-2</v>
      </c>
    </row>
    <row r="1158" spans="1:17" s="212" customFormat="1" ht="15.5" x14ac:dyDescent="0.35">
      <c r="A1158" s="198">
        <v>2035</v>
      </c>
      <c r="B1158" s="197" t="s">
        <v>5838</v>
      </c>
      <c r="C1158" s="197">
        <v>1989</v>
      </c>
      <c r="D1158" s="225" t="str">
        <f t="shared" si="12"/>
        <v>2035_1989</v>
      </c>
      <c r="E1158" s="1291">
        <v>0.37693162198304508</v>
      </c>
      <c r="F1158" s="1280">
        <v>0.50195922457769737</v>
      </c>
      <c r="G1158" s="1271">
        <v>8.6114904090293258</v>
      </c>
      <c r="H1158" s="1280">
        <v>2.3190629701659096</v>
      </c>
      <c r="I1158" s="1271">
        <v>6.4827432721961842E-2</v>
      </c>
      <c r="J1158" s="1280">
        <v>9.2758169881356038E-3</v>
      </c>
      <c r="K1158" s="1271">
        <v>2.930083908547335E-3</v>
      </c>
      <c r="L1158" s="1257">
        <v>2.0000010639914319E-3</v>
      </c>
      <c r="M1158" s="1230">
        <v>2.0000010639914319E-3</v>
      </c>
      <c r="N1158" s="1271">
        <v>2.5655461572429161E-2</v>
      </c>
      <c r="O1158" s="1257">
        <v>1.1710525062944859E-2</v>
      </c>
      <c r="P1158" s="1237">
        <v>5.8552625314724294E-3</v>
      </c>
      <c r="Q1158" s="1292">
        <v>6.7758641562176813E-2</v>
      </c>
    </row>
    <row r="1159" spans="1:17" s="212" customFormat="1" ht="15.5" x14ac:dyDescent="0.35">
      <c r="A1159" s="198">
        <v>2035</v>
      </c>
      <c r="B1159" s="197" t="s">
        <v>5838</v>
      </c>
      <c r="C1159" s="197">
        <v>1990</v>
      </c>
      <c r="D1159" s="225" t="str">
        <f t="shared" si="12"/>
        <v>2035_1990</v>
      </c>
      <c r="E1159" s="1291">
        <v>0.37693162198304508</v>
      </c>
      <c r="F1159" s="1280">
        <v>0.50195922457769737</v>
      </c>
      <c r="G1159" s="1271">
        <v>8.6114904090293258</v>
      </c>
      <c r="H1159" s="1280">
        <v>2.3190629701659096</v>
      </c>
      <c r="I1159" s="1271">
        <v>6.4827432721961842E-2</v>
      </c>
      <c r="J1159" s="1280">
        <v>9.2758169881356038E-3</v>
      </c>
      <c r="K1159" s="1271">
        <v>2.930083908547335E-3</v>
      </c>
      <c r="L1159" s="1257">
        <v>2.0000010639914319E-3</v>
      </c>
      <c r="M1159" s="1230">
        <v>2.0000010639914319E-3</v>
      </c>
      <c r="N1159" s="1271">
        <v>2.5655461572429161E-2</v>
      </c>
      <c r="O1159" s="1257">
        <v>1.1710525062944859E-2</v>
      </c>
      <c r="P1159" s="1237">
        <v>5.8552625314724294E-3</v>
      </c>
      <c r="Q1159" s="1292">
        <v>6.7758641562176813E-2</v>
      </c>
    </row>
    <row r="1160" spans="1:17" s="212" customFormat="1" ht="15.5" x14ac:dyDescent="0.35">
      <c r="A1160" s="198">
        <v>2035</v>
      </c>
      <c r="B1160" s="197" t="s">
        <v>5838</v>
      </c>
      <c r="C1160" s="197">
        <v>1991</v>
      </c>
      <c r="D1160" s="225" t="str">
        <f t="shared" si="12"/>
        <v>2035_1991</v>
      </c>
      <c r="E1160" s="1287">
        <v>0.37693162198304508</v>
      </c>
      <c r="F1160" s="1306">
        <v>0.50195922457769737</v>
      </c>
      <c r="G1160" s="1303">
        <v>8.6114904090293258</v>
      </c>
      <c r="H1160" s="1306">
        <v>2.3190629701659096</v>
      </c>
      <c r="I1160" s="1303">
        <v>6.4827432721961842E-2</v>
      </c>
      <c r="J1160" s="1306">
        <v>9.2758169881356038E-3</v>
      </c>
      <c r="K1160" s="1303">
        <v>2.930083908547335E-3</v>
      </c>
      <c r="L1160" s="1288">
        <v>2.0000010639914319E-3</v>
      </c>
      <c r="M1160" s="1230">
        <v>2.0000010639914319E-3</v>
      </c>
      <c r="N1160" s="1303">
        <v>2.5655461572429161E-2</v>
      </c>
      <c r="O1160" s="1288">
        <v>1.1710525062944859E-2</v>
      </c>
      <c r="P1160" s="1237">
        <v>5.8552625314724294E-3</v>
      </c>
      <c r="Q1160" s="1290">
        <v>6.7758641562176813E-2</v>
      </c>
    </row>
    <row r="1161" spans="1:17" s="212" customFormat="1" ht="15.5" x14ac:dyDescent="0.35">
      <c r="A1161" s="198">
        <v>2035</v>
      </c>
      <c r="B1161" s="197" t="s">
        <v>5838</v>
      </c>
      <c r="C1161" s="197">
        <v>1992</v>
      </c>
      <c r="D1161" s="225" t="str">
        <f t="shared" si="12"/>
        <v>2035_1992</v>
      </c>
      <c r="E1161" s="1287">
        <v>0.37518123619877669</v>
      </c>
      <c r="F1161" s="1306">
        <v>0.50225866761995996</v>
      </c>
      <c r="G1161" s="1303">
        <v>7.9267393345429262</v>
      </c>
      <c r="H1161" s="1306">
        <v>2.220947693942342</v>
      </c>
      <c r="I1161" s="1303">
        <v>7.814965931029956E-2</v>
      </c>
      <c r="J1161" s="1306">
        <v>9.4445414425285285E-3</v>
      </c>
      <c r="K1161" s="1303">
        <v>2.8462122646025845E-3</v>
      </c>
      <c r="L1161" s="1288">
        <v>2.0000010947298541E-3</v>
      </c>
      <c r="M1161" s="1230">
        <v>2.0000010947298541E-3</v>
      </c>
      <c r="N1161" s="1303">
        <v>2.3686132245815946E-2</v>
      </c>
      <c r="O1161" s="1288">
        <v>9.7842812592843498E-3</v>
      </c>
      <c r="P1161" s="1237">
        <v>4.8921406296421749E-3</v>
      </c>
      <c r="Q1161" s="1290">
        <v>8.1683240120334233E-2</v>
      </c>
    </row>
    <row r="1162" spans="1:17" s="212" customFormat="1" ht="15.5" x14ac:dyDescent="0.35">
      <c r="A1162" s="198">
        <v>2035</v>
      </c>
      <c r="B1162" s="197" t="s">
        <v>5838</v>
      </c>
      <c r="C1162" s="197">
        <v>1993</v>
      </c>
      <c r="D1162" s="225" t="str">
        <f t="shared" si="12"/>
        <v>2035_1993</v>
      </c>
      <c r="E1162" s="1287">
        <v>0.36938251079946172</v>
      </c>
      <c r="F1162" s="1306">
        <v>0.50693077475213544</v>
      </c>
      <c r="G1162" s="1303">
        <v>8.8108503074193791</v>
      </c>
      <c r="H1162" s="1306">
        <v>2.2484900582630254</v>
      </c>
      <c r="I1162" s="1303">
        <v>5.4034953805457135E-2</v>
      </c>
      <c r="J1162" s="1306">
        <v>9.462709287386975E-3</v>
      </c>
      <c r="K1162" s="1303">
        <v>2.9575328867406047E-3</v>
      </c>
      <c r="L1162" s="1288">
        <v>2.000001070444402E-3</v>
      </c>
      <c r="M1162" s="1230">
        <v>2.000001070444402E-3</v>
      </c>
      <c r="N1162" s="1303">
        <v>2.6304082717395354E-2</v>
      </c>
      <c r="O1162" s="1288">
        <v>1.083916631964655E-2</v>
      </c>
      <c r="P1162" s="1237">
        <v>5.4195831598232748E-3</v>
      </c>
      <c r="Q1162" s="1290">
        <v>5.6478174639983614E-2</v>
      </c>
    </row>
    <row r="1163" spans="1:17" s="212" customFormat="1" ht="15.5" x14ac:dyDescent="0.35">
      <c r="A1163" s="198">
        <v>2035</v>
      </c>
      <c r="B1163" s="197" t="s">
        <v>5838</v>
      </c>
      <c r="C1163" s="197">
        <v>1994</v>
      </c>
      <c r="D1163" s="225" t="str">
        <f t="shared" si="12"/>
        <v>2035_1994</v>
      </c>
      <c r="E1163" s="1287">
        <v>0.32911433257462014</v>
      </c>
      <c r="F1163" s="1306">
        <v>0.50497037042025406</v>
      </c>
      <c r="G1163" s="1303">
        <v>7.8600704061130271</v>
      </c>
      <c r="H1163" s="1306">
        <v>2.1062664824776705</v>
      </c>
      <c r="I1163" s="1303">
        <v>5.3880650527857933E-2</v>
      </c>
      <c r="J1163" s="1306">
        <v>9.647793924164488E-3</v>
      </c>
      <c r="K1163" s="1303">
        <v>2.8254949288572303E-3</v>
      </c>
      <c r="L1163" s="1288">
        <v>2.000001223671694E-3</v>
      </c>
      <c r="M1163" s="1230">
        <v>2.000001223671694E-3</v>
      </c>
      <c r="N1163" s="1303">
        <v>2.3185007749771412E-2</v>
      </c>
      <c r="O1163" s="1288">
        <v>8.0437532880061439E-3</v>
      </c>
      <c r="P1163" s="1237">
        <v>4.021876644003072E-3</v>
      </c>
      <c r="Q1163" s="1290">
        <v>5.6316894452882023E-2</v>
      </c>
    </row>
    <row r="1164" spans="1:17" s="212" customFormat="1" ht="15.5" x14ac:dyDescent="0.35">
      <c r="A1164" s="198">
        <v>2035</v>
      </c>
      <c r="B1164" s="197" t="s">
        <v>5838</v>
      </c>
      <c r="C1164" s="197">
        <v>1995</v>
      </c>
      <c r="D1164" s="225" t="str">
        <f t="shared" si="12"/>
        <v>2035_1995</v>
      </c>
      <c r="E1164" s="1287">
        <v>0.36844880872687213</v>
      </c>
      <c r="F1164" s="1306">
        <v>0.37493938744583188</v>
      </c>
      <c r="G1164" s="1303">
        <v>9.0602078901872467</v>
      </c>
      <c r="H1164" s="1306">
        <v>1.6601593720963055</v>
      </c>
      <c r="I1164" s="1303">
        <v>5.369835514959731E-2</v>
      </c>
      <c r="J1164" s="1306">
        <v>8.6778036053496762E-3</v>
      </c>
      <c r="K1164" s="1303">
        <v>2.9760842954812084E-3</v>
      </c>
      <c r="L1164" s="1288">
        <v>2.0000011271738495E-3</v>
      </c>
      <c r="M1164" s="1230">
        <v>2.0000011271738495E-3</v>
      </c>
      <c r="N1164" s="1303">
        <v>2.674038543165615E-2</v>
      </c>
      <c r="O1164" s="1288">
        <v>1.0310317981240585E-2</v>
      </c>
      <c r="P1164" s="1237">
        <v>5.1551589906202924E-3</v>
      </c>
      <c r="Q1164" s="1290">
        <v>5.6126356486540165E-2</v>
      </c>
    </row>
    <row r="1165" spans="1:17" s="212" customFormat="1" ht="15.5" x14ac:dyDescent="0.35">
      <c r="A1165" s="198">
        <v>2035</v>
      </c>
      <c r="B1165" s="197" t="s">
        <v>5838</v>
      </c>
      <c r="C1165" s="197">
        <v>1996</v>
      </c>
      <c r="D1165" s="225" t="str">
        <f t="shared" si="12"/>
        <v>2035_1996</v>
      </c>
      <c r="E1165" s="1287">
        <v>0.37388379021920765</v>
      </c>
      <c r="F1165" s="1306">
        <v>0.12648911546554509</v>
      </c>
      <c r="G1165" s="1303">
        <v>9.1326902562881038</v>
      </c>
      <c r="H1165" s="1306">
        <v>0.98569861684888238</v>
      </c>
      <c r="I1165" s="1303">
        <v>5.3947324934610734E-2</v>
      </c>
      <c r="J1165" s="1306">
        <v>2.7140630674379312E-3</v>
      </c>
      <c r="K1165" s="1303">
        <v>2.9894395651933045E-3</v>
      </c>
      <c r="L1165" s="1288">
        <v>2.0000011063968119E-3</v>
      </c>
      <c r="M1165" s="1230">
        <v>2.0000011063968119E-3</v>
      </c>
      <c r="N1165" s="1303">
        <v>2.7051099851606121E-2</v>
      </c>
      <c r="O1165" s="1288">
        <v>1.0226794049028702E-2</v>
      </c>
      <c r="P1165" s="1237">
        <v>5.113397024514351E-3</v>
      </c>
      <c r="Q1165" s="1290">
        <v>5.6386583580444863E-2</v>
      </c>
    </row>
    <row r="1166" spans="1:17" s="212" customFormat="1" ht="15.5" x14ac:dyDescent="0.35">
      <c r="A1166" s="198">
        <v>2035</v>
      </c>
      <c r="B1166" s="197" t="s">
        <v>5838</v>
      </c>
      <c r="C1166" s="197">
        <v>1997</v>
      </c>
      <c r="D1166" s="225" t="str">
        <f t="shared" si="12"/>
        <v>2035_1997</v>
      </c>
      <c r="E1166" s="1287">
        <v>0.37712090680005861</v>
      </c>
      <c r="F1166" s="1306">
        <v>0.12720475035731371</v>
      </c>
      <c r="G1166" s="1303">
        <v>9.1686550402111635</v>
      </c>
      <c r="H1166" s="1306">
        <v>0.99223600798482126</v>
      </c>
      <c r="I1166" s="1303">
        <v>5.4118247849571137E-2</v>
      </c>
      <c r="J1166" s="1306">
        <v>2.7124750728047312E-3</v>
      </c>
      <c r="K1166" s="1303">
        <v>2.9969482108352596E-3</v>
      </c>
      <c r="L1166" s="1288">
        <v>2.0000010980169318E-3</v>
      </c>
      <c r="M1166" s="1230">
        <v>2.0000010980169318E-3</v>
      </c>
      <c r="N1166" s="1303">
        <v>2.7228550371868832E-2</v>
      </c>
      <c r="O1166" s="1288">
        <v>1.0027087768482741E-2</v>
      </c>
      <c r="P1166" s="1237">
        <v>5.0135438842413707E-3</v>
      </c>
      <c r="Q1166" s="1290">
        <v>5.656523487116065E-2</v>
      </c>
    </row>
    <row r="1167" spans="1:17" s="212" customFormat="1" ht="15.5" x14ac:dyDescent="0.35">
      <c r="A1167" s="198">
        <v>2035</v>
      </c>
      <c r="B1167" s="197" t="s">
        <v>5838</v>
      </c>
      <c r="C1167" s="197">
        <v>1998</v>
      </c>
      <c r="D1167" s="225" t="str">
        <f t="shared" si="12"/>
        <v>2035_1998</v>
      </c>
      <c r="E1167" s="1287">
        <v>0.37656704428616916</v>
      </c>
      <c r="F1167" s="1306">
        <v>0.13047798556723714</v>
      </c>
      <c r="G1167" s="1303">
        <v>9.1770364849468091</v>
      </c>
      <c r="H1167" s="1306">
        <v>1.0148163971634496</v>
      </c>
      <c r="I1167" s="1303">
        <v>5.4033538487780107E-2</v>
      </c>
      <c r="J1167" s="1306">
        <v>2.750391619534282E-3</v>
      </c>
      <c r="K1167" s="1303">
        <v>2.9969862598915958E-3</v>
      </c>
      <c r="L1167" s="1288">
        <v>2.0000011689606787E-3</v>
      </c>
      <c r="M1167" s="1230">
        <v>2.0000011689606787E-3</v>
      </c>
      <c r="N1167" s="1303">
        <v>2.7228551170390559E-2</v>
      </c>
      <c r="O1167" s="1288">
        <v>8.4050799628032982E-3</v>
      </c>
      <c r="P1167" s="1237">
        <v>4.2025399814016491E-3</v>
      </c>
      <c r="Q1167" s="1290">
        <v>5.6476695327921538E-2</v>
      </c>
    </row>
    <row r="1168" spans="1:17" s="212" customFormat="1" ht="15.5" x14ac:dyDescent="0.35">
      <c r="A1168" s="198">
        <v>2035</v>
      </c>
      <c r="B1168" s="197" t="s">
        <v>5838</v>
      </c>
      <c r="C1168" s="197">
        <v>1999</v>
      </c>
      <c r="D1168" s="225" t="str">
        <f t="shared" si="12"/>
        <v>2035_1999</v>
      </c>
      <c r="E1168" s="1287">
        <v>0.377255648754666</v>
      </c>
      <c r="F1168" s="1306">
        <v>0.12726561544612447</v>
      </c>
      <c r="G1168" s="1303">
        <v>9.1953132550173891</v>
      </c>
      <c r="H1168" s="1306">
        <v>1.0002674208106377</v>
      </c>
      <c r="I1168" s="1303">
        <v>5.4061435350580327E-2</v>
      </c>
      <c r="J1168" s="1306">
        <v>2.7728830085675432E-3</v>
      </c>
      <c r="K1168" s="1303">
        <v>2.9989111062264364E-3</v>
      </c>
      <c r="L1168" s="1288">
        <v>2.0000012196593597E-3</v>
      </c>
      <c r="M1168" s="1230">
        <v>2.0000012196593597E-3</v>
      </c>
      <c r="N1168" s="1303">
        <v>2.7274528646008621E-2</v>
      </c>
      <c r="O1168" s="1288">
        <v>8.2129609305749817E-3</v>
      </c>
      <c r="P1168" s="1237">
        <v>4.1064804652874909E-3</v>
      </c>
      <c r="Q1168" s="1290">
        <v>5.6505853563067095E-2</v>
      </c>
    </row>
    <row r="1169" spans="1:17" s="212" customFormat="1" ht="15.5" x14ac:dyDescent="0.35">
      <c r="A1169" s="198">
        <v>2035</v>
      </c>
      <c r="B1169" s="197" t="s">
        <v>5838</v>
      </c>
      <c r="C1169" s="197">
        <v>2000</v>
      </c>
      <c r="D1169" s="225" t="str">
        <f t="shared" si="12"/>
        <v>2035_2000</v>
      </c>
      <c r="E1169" s="1287">
        <v>0.3756698857344703</v>
      </c>
      <c r="F1169" s="1306">
        <v>0.12167467249012115</v>
      </c>
      <c r="G1169" s="1303">
        <v>9.2334961604314447</v>
      </c>
      <c r="H1169" s="1306">
        <v>0.9721904599634279</v>
      </c>
      <c r="I1169" s="1303">
        <v>5.3803479543736765E-2</v>
      </c>
      <c r="J1169" s="1306">
        <v>2.7707525549735888E-3</v>
      </c>
      <c r="K1169" s="1303">
        <v>2.9996852021993764E-3</v>
      </c>
      <c r="L1169" s="1288">
        <v>2.0000012672514262E-3</v>
      </c>
      <c r="M1169" s="1230">
        <v>2.0000012672514262E-3</v>
      </c>
      <c r="N1169" s="1303">
        <v>2.7292530108729444E-2</v>
      </c>
      <c r="O1169" s="1288">
        <v>8.4713438166307206E-3</v>
      </c>
      <c r="P1169" s="1237">
        <v>4.2356719083153603E-3</v>
      </c>
      <c r="Q1169" s="1290">
        <v>5.6236234139300074E-2</v>
      </c>
    </row>
    <row r="1170" spans="1:17" s="212" customFormat="1" ht="15.5" x14ac:dyDescent="0.35">
      <c r="A1170" s="198">
        <v>2035</v>
      </c>
      <c r="B1170" s="197" t="s">
        <v>5838</v>
      </c>
      <c r="C1170" s="197">
        <v>2001</v>
      </c>
      <c r="D1170" s="225" t="str">
        <f t="shared" si="12"/>
        <v>2035_2001</v>
      </c>
      <c r="E1170" s="1287">
        <v>0.37746568043945755</v>
      </c>
      <c r="F1170" s="1306">
        <v>0.11850765836591634</v>
      </c>
      <c r="G1170" s="1303">
        <v>9.2022871997370697</v>
      </c>
      <c r="H1170" s="1306">
        <v>0.9523666021053615</v>
      </c>
      <c r="I1170" s="1303">
        <v>5.4052440764514875E-2</v>
      </c>
      <c r="J1170" s="1306">
        <v>2.7924447705635611E-3</v>
      </c>
      <c r="K1170" s="1303">
        <v>2.9999021580862937E-3</v>
      </c>
      <c r="L1170" s="1288">
        <v>2.0000012611159777E-3</v>
      </c>
      <c r="M1170" s="1230">
        <v>2.0000012611159777E-3</v>
      </c>
      <c r="N1170" s="1303">
        <v>2.7297706833406966E-2</v>
      </c>
      <c r="O1170" s="1288">
        <v>7.8509014138578095E-3</v>
      </c>
      <c r="P1170" s="1237">
        <v>3.9254507069289048E-3</v>
      </c>
      <c r="Q1170" s="1290">
        <v>5.6496452281732605E-2</v>
      </c>
    </row>
    <row r="1171" spans="1:17" s="212" customFormat="1" ht="15.5" x14ac:dyDescent="0.35">
      <c r="A1171" s="198">
        <v>2035</v>
      </c>
      <c r="B1171" s="197" t="s">
        <v>5838</v>
      </c>
      <c r="C1171" s="197">
        <v>2002</v>
      </c>
      <c r="D1171" s="225" t="str">
        <f t="shared" si="12"/>
        <v>2035_2002</v>
      </c>
      <c r="E1171" s="1287">
        <v>0.29110421163102729</v>
      </c>
      <c r="F1171" s="1306">
        <v>0.11776858554717894</v>
      </c>
      <c r="G1171" s="1303">
        <v>7.1181271602230289</v>
      </c>
      <c r="H1171" s="1306">
        <v>0.92205149827237209</v>
      </c>
      <c r="I1171" s="1303">
        <v>5.4263498718710328E-2</v>
      </c>
      <c r="J1171" s="1306">
        <v>2.806338244021872E-3</v>
      </c>
      <c r="K1171" s="1303">
        <v>2.9999370037102056E-3</v>
      </c>
      <c r="L1171" s="1288">
        <v>2.0000013305994978E-3</v>
      </c>
      <c r="M1171" s="1230">
        <v>2.0000013305994978E-3</v>
      </c>
      <c r="N1171" s="1303">
        <v>2.7298522466125033E-2</v>
      </c>
      <c r="O1171" s="1288">
        <v>7.3286004356143113E-3</v>
      </c>
      <c r="P1171" s="1237">
        <v>3.6643002178071557E-3</v>
      </c>
      <c r="Q1171" s="1290">
        <v>5.6717053340061052E-2</v>
      </c>
    </row>
    <row r="1172" spans="1:17" s="212" customFormat="1" ht="15.5" x14ac:dyDescent="0.35">
      <c r="A1172" s="198">
        <v>2035</v>
      </c>
      <c r="B1172" s="197" t="s">
        <v>5838</v>
      </c>
      <c r="C1172" s="197">
        <v>2003</v>
      </c>
      <c r="D1172" s="225" t="str">
        <f t="shared" si="12"/>
        <v>2035_2003</v>
      </c>
      <c r="E1172" s="1287">
        <v>0.28954464300983351</v>
      </c>
      <c r="F1172" s="1306">
        <v>9.5390351776591178E-2</v>
      </c>
      <c r="G1172" s="1303">
        <v>7.1443467833522307</v>
      </c>
      <c r="H1172" s="1306">
        <v>0.7168955901394547</v>
      </c>
      <c r="I1172" s="1303">
        <v>5.3972770873088133E-2</v>
      </c>
      <c r="J1172" s="1306">
        <v>2.7920890643190147E-3</v>
      </c>
      <c r="K1172" s="1303">
        <v>2.9999378752948265E-3</v>
      </c>
      <c r="L1172" s="1288">
        <v>2.0000013497763649E-3</v>
      </c>
      <c r="M1172" s="1230">
        <v>2.0000013497763649E-3</v>
      </c>
      <c r="N1172" s="1303">
        <v>2.7298562058035179E-2</v>
      </c>
      <c r="O1172" s="1288">
        <v>7.7423155202740396E-3</v>
      </c>
      <c r="P1172" s="1237">
        <v>3.8711577601370198E-3</v>
      </c>
      <c r="Q1172" s="1290">
        <v>5.6413180071345541E-2</v>
      </c>
    </row>
    <row r="1173" spans="1:17" s="212" customFormat="1" ht="15.5" x14ac:dyDescent="0.35">
      <c r="A1173" s="198">
        <v>2035</v>
      </c>
      <c r="B1173" s="197" t="s">
        <v>5838</v>
      </c>
      <c r="C1173" s="197">
        <v>2004</v>
      </c>
      <c r="D1173" s="225" t="str">
        <f t="shared" si="12"/>
        <v>2035_2004</v>
      </c>
      <c r="E1173" s="1287">
        <v>0.59664821223760867</v>
      </c>
      <c r="F1173" s="1306">
        <v>1.7980452756141081E-2</v>
      </c>
      <c r="G1173" s="1303">
        <v>4.2100800743505777</v>
      </c>
      <c r="H1173" s="1306">
        <v>0.12297960345429806</v>
      </c>
      <c r="I1173" s="1303">
        <v>0.15457468795867574</v>
      </c>
      <c r="J1173" s="1306">
        <v>1.8679206787497975E-4</v>
      </c>
      <c r="K1173" s="1303">
        <v>2.9993043947890061E-3</v>
      </c>
      <c r="L1173" s="1288">
        <v>2.000001408866409E-3</v>
      </c>
      <c r="M1173" s="1230">
        <v>2.000001408866409E-3</v>
      </c>
      <c r="N1173" s="1303">
        <v>2.7283640694286734E-2</v>
      </c>
      <c r="O1173" s="1288">
        <v>7.2227466769379332E-3</v>
      </c>
      <c r="P1173" s="1237">
        <v>3.6113733384689666E-3</v>
      </c>
      <c r="Q1173" s="1290">
        <v>0.16156386943314854</v>
      </c>
    </row>
    <row r="1174" spans="1:17" s="212" customFormat="1" ht="15.5" x14ac:dyDescent="0.35">
      <c r="A1174" s="198">
        <v>2035</v>
      </c>
      <c r="B1174" s="197" t="s">
        <v>5838</v>
      </c>
      <c r="C1174" s="197">
        <v>2005</v>
      </c>
      <c r="D1174" s="225" t="str">
        <f t="shared" si="12"/>
        <v>2035_2005</v>
      </c>
      <c r="E1174" s="1287">
        <v>0.56880795018945141</v>
      </c>
      <c r="F1174" s="1306">
        <v>1.6064678097505409E-2</v>
      </c>
      <c r="G1174" s="1303">
        <v>4.0766823895256143</v>
      </c>
      <c r="H1174" s="1306">
        <v>0.10744147589842055</v>
      </c>
      <c r="I1174" s="1303">
        <v>0.14892695470544046</v>
      </c>
      <c r="J1174" s="1306">
        <v>1.8716333140157267E-4</v>
      </c>
      <c r="K1174" s="1303">
        <v>2.9455401515677327E-3</v>
      </c>
      <c r="L1174" s="1288">
        <v>2.0000014247284342E-3</v>
      </c>
      <c r="M1174" s="1230">
        <v>2.0000014247284342E-3</v>
      </c>
      <c r="N1174" s="1303">
        <v>2.6014678895673275E-2</v>
      </c>
      <c r="O1174" s="1288">
        <v>6.6849983392466847E-3</v>
      </c>
      <c r="P1174" s="1237">
        <v>3.3424991696233424E-3</v>
      </c>
      <c r="Q1174" s="1290">
        <v>0.15566077074364706</v>
      </c>
    </row>
    <row r="1175" spans="1:17" s="212" customFormat="1" ht="15.5" x14ac:dyDescent="0.35">
      <c r="A1175" s="198">
        <v>2035</v>
      </c>
      <c r="B1175" s="197" t="s">
        <v>5838</v>
      </c>
      <c r="C1175" s="197">
        <v>2006</v>
      </c>
      <c r="D1175" s="225" t="str">
        <f t="shared" si="12"/>
        <v>2035_2006</v>
      </c>
      <c r="E1175" s="1287">
        <v>0.57752201994882035</v>
      </c>
      <c r="F1175" s="1306">
        <v>7.143507150645401E-3</v>
      </c>
      <c r="G1175" s="1303">
        <v>4.1223390025454592</v>
      </c>
      <c r="H1175" s="1306">
        <v>8.6683806932907545E-2</v>
      </c>
      <c r="I1175" s="1303">
        <v>0.15064924640651872</v>
      </c>
      <c r="J1175" s="1306">
        <v>1.8210489718491061E-4</v>
      </c>
      <c r="K1175" s="1303">
        <v>2.9672976572795214E-3</v>
      </c>
      <c r="L1175" s="1288">
        <v>2.0000013281658035E-3</v>
      </c>
      <c r="M1175" s="1230">
        <v>2.0000013281658035E-3</v>
      </c>
      <c r="N1175" s="1303">
        <v>2.6528016328255813E-2</v>
      </c>
      <c r="O1175" s="1288">
        <v>9.7846614508983049E-3</v>
      </c>
      <c r="P1175" s="1237">
        <v>4.8923307254491524E-3</v>
      </c>
      <c r="Q1175" s="1290">
        <v>0.15746093683289167</v>
      </c>
    </row>
    <row r="1176" spans="1:17" s="212" customFormat="1" ht="15.5" x14ac:dyDescent="0.35">
      <c r="A1176" s="198">
        <v>2035</v>
      </c>
      <c r="B1176" s="197" t="s">
        <v>5838</v>
      </c>
      <c r="C1176" s="197">
        <v>2007</v>
      </c>
      <c r="D1176" s="225" t="str">
        <f t="shared" si="12"/>
        <v>2035_2007</v>
      </c>
      <c r="E1176" s="1287">
        <v>0.32027025313259561</v>
      </c>
      <c r="F1176" s="1306">
        <v>8.9590975609069139E-3</v>
      </c>
      <c r="G1176" s="1303">
        <v>2.3315429349143364</v>
      </c>
      <c r="H1176" s="1306">
        <v>7.1941019048144053E-2</v>
      </c>
      <c r="I1176" s="1303">
        <v>8.3605753946075848E-2</v>
      </c>
      <c r="J1176" s="1306">
        <v>1.8628494407511465E-4</v>
      </c>
      <c r="K1176" s="1303">
        <v>2.9458286168838285E-3</v>
      </c>
      <c r="L1176" s="1288">
        <v>2.0000013576949817E-3</v>
      </c>
      <c r="M1176" s="1230">
        <v>2.0000013576949817E-3</v>
      </c>
      <c r="N1176" s="1303">
        <v>2.6022304195799754E-2</v>
      </c>
      <c r="O1176" s="1288">
        <v>6.9667050324308498E-3</v>
      </c>
      <c r="P1176" s="1237">
        <v>3.4833525162154249E-3</v>
      </c>
      <c r="Q1176" s="1290">
        <v>8.7386035144478916E-2</v>
      </c>
    </row>
    <row r="1177" spans="1:17" s="212" customFormat="1" ht="15.5" x14ac:dyDescent="0.35">
      <c r="A1177" s="198">
        <v>2035</v>
      </c>
      <c r="B1177" s="197" t="s">
        <v>5838</v>
      </c>
      <c r="C1177" s="197">
        <v>2008</v>
      </c>
      <c r="D1177" s="225" t="str">
        <f t="shared" si="12"/>
        <v>2035_2008</v>
      </c>
      <c r="E1177" s="1287">
        <v>0.32613611993647607</v>
      </c>
      <c r="F1177" s="1306">
        <v>8.3305475226687249E-3</v>
      </c>
      <c r="G1177" s="1303">
        <v>2.3787396797164324</v>
      </c>
      <c r="H1177" s="1306">
        <v>5.4392134057125299E-2</v>
      </c>
      <c r="I1177" s="1303">
        <v>8.5132920065331047E-2</v>
      </c>
      <c r="J1177" s="1306">
        <v>2.1014698083131821E-4</v>
      </c>
      <c r="K1177" s="1303">
        <v>2.9668507163589683E-3</v>
      </c>
      <c r="L1177" s="1288">
        <v>2.0000015020009373E-3</v>
      </c>
      <c r="M1177" s="1230">
        <v>2.0000015020009373E-3</v>
      </c>
      <c r="N1177" s="1303">
        <v>2.6519285227751807E-2</v>
      </c>
      <c r="O1177" s="1288">
        <v>6.8824248920507413E-3</v>
      </c>
      <c r="P1177" s="1237">
        <v>3.4412124460253706E-3</v>
      </c>
      <c r="Q1177" s="1290">
        <v>8.8982252938947501E-2</v>
      </c>
    </row>
    <row r="1178" spans="1:17" s="212" customFormat="1" ht="15.5" x14ac:dyDescent="0.35">
      <c r="A1178" s="198">
        <v>2035</v>
      </c>
      <c r="B1178" s="197" t="s">
        <v>5838</v>
      </c>
      <c r="C1178" s="197">
        <v>2009</v>
      </c>
      <c r="D1178" s="225" t="str">
        <f t="shared" si="12"/>
        <v>2035_2009</v>
      </c>
      <c r="E1178" s="1287">
        <v>0.31555348788150844</v>
      </c>
      <c r="F1178" s="1306">
        <v>7.9540578400176601E-3</v>
      </c>
      <c r="G1178" s="1303">
        <v>2.2768199607757293</v>
      </c>
      <c r="H1178" s="1306">
        <v>3.8740958633037309E-2</v>
      </c>
      <c r="I1178" s="1303">
        <v>8.2187855350179514E-2</v>
      </c>
      <c r="J1178" s="1306">
        <v>2.3905314130070058E-4</v>
      </c>
      <c r="K1178" s="1303">
        <v>2.9173407800730093E-3</v>
      </c>
      <c r="L1178" s="1288">
        <v>2.0000015525294896E-3</v>
      </c>
      <c r="M1178" s="1230">
        <v>2.0000015525294896E-3</v>
      </c>
      <c r="N1178" s="1303">
        <v>2.5355376975059921E-2</v>
      </c>
      <c r="O1178" s="1288">
        <v>5.3860376844822077E-3</v>
      </c>
      <c r="P1178" s="1237">
        <v>2.6930188422411038E-3</v>
      </c>
      <c r="Q1178" s="1290">
        <v>8.5904025465907904E-2</v>
      </c>
    </row>
    <row r="1179" spans="1:17" s="212" customFormat="1" ht="15.5" x14ac:dyDescent="0.35">
      <c r="A1179" s="198">
        <v>2035</v>
      </c>
      <c r="B1179" s="197" t="s">
        <v>5838</v>
      </c>
      <c r="C1179" s="197">
        <v>2010</v>
      </c>
      <c r="D1179" s="225" t="str">
        <f t="shared" si="12"/>
        <v>2035_2010</v>
      </c>
      <c r="E1179" s="1287">
        <v>6.7194712168369308E-2</v>
      </c>
      <c r="F1179" s="1306">
        <v>7.3412786852262903E-3</v>
      </c>
      <c r="G1179" s="1303">
        <v>0.58464852109843224</v>
      </c>
      <c r="H1179" s="1306">
        <v>3.6835168454798027E-2</v>
      </c>
      <c r="I1179" s="1303">
        <v>1.8610152746715548E-2</v>
      </c>
      <c r="J1179" s="1306">
        <v>2.9566193427081258E-4</v>
      </c>
      <c r="K1179" s="1303">
        <v>2.8076549558291091E-3</v>
      </c>
      <c r="L1179" s="1288">
        <v>2.0000016346452161E-3</v>
      </c>
      <c r="M1179" s="1230">
        <v>2.0000016346452161E-3</v>
      </c>
      <c r="N1179" s="1303">
        <v>2.2773979337404437E-2</v>
      </c>
      <c r="O1179" s="1288">
        <v>4.5347471021558719E-3</v>
      </c>
      <c r="P1179" s="1237">
        <v>2.2673735510779359E-3</v>
      </c>
      <c r="Q1179" s="1290">
        <v>1.9451621272592236E-2</v>
      </c>
    </row>
    <row r="1180" spans="1:17" s="212" customFormat="1" ht="15.5" x14ac:dyDescent="0.35">
      <c r="A1180" s="198">
        <v>2035</v>
      </c>
      <c r="B1180" s="197" t="s">
        <v>5838</v>
      </c>
      <c r="C1180" s="197">
        <v>2011</v>
      </c>
      <c r="D1180" s="225" t="str">
        <f t="shared" si="12"/>
        <v>2035_2011</v>
      </c>
      <c r="E1180" s="1287">
        <v>7.2215136110754113E-2</v>
      </c>
      <c r="F1180" s="1306">
        <v>7.320832172125002E-3</v>
      </c>
      <c r="G1180" s="1303">
        <v>0.64388118723608467</v>
      </c>
      <c r="H1180" s="1306">
        <v>3.6666180865609008E-2</v>
      </c>
      <c r="I1180" s="1303">
        <v>1.9910576894540854E-2</v>
      </c>
      <c r="J1180" s="1306">
        <v>3.9324823024311425E-4</v>
      </c>
      <c r="K1180" s="1303">
        <v>2.8977038195550152E-3</v>
      </c>
      <c r="L1180" s="1288">
        <v>2.000001576575516E-3</v>
      </c>
      <c r="M1180" s="1230">
        <v>2.000001576575516E-3</v>
      </c>
      <c r="N1180" s="1303">
        <v>2.4900069496901711E-2</v>
      </c>
      <c r="O1180" s="1288">
        <v>5.4804581805084239E-3</v>
      </c>
      <c r="P1180" s="1237">
        <v>2.7402290902542119E-3</v>
      </c>
      <c r="Q1180" s="1290">
        <v>2.0810844829835556E-2</v>
      </c>
    </row>
    <row r="1181" spans="1:17" s="212" customFormat="1" ht="15.5" x14ac:dyDescent="0.35">
      <c r="A1181" s="198">
        <v>2035</v>
      </c>
      <c r="B1181" s="197" t="s">
        <v>5838</v>
      </c>
      <c r="C1181" s="197">
        <v>2012</v>
      </c>
      <c r="D1181" s="225" t="str">
        <f t="shared" si="12"/>
        <v>2035_2012</v>
      </c>
      <c r="E1181" s="1287">
        <v>5.5781852292585171E-2</v>
      </c>
      <c r="F1181" s="1306">
        <v>6.9685731835654185E-3</v>
      </c>
      <c r="G1181" s="1303">
        <v>0.4640873799267633</v>
      </c>
      <c r="H1181" s="1306">
        <v>3.5494173635186789E-2</v>
      </c>
      <c r="I1181" s="1303">
        <v>1.5753301340783846E-2</v>
      </c>
      <c r="J1181" s="1306">
        <v>5.7037578391019265E-4</v>
      </c>
      <c r="K1181" s="1303">
        <v>2.6360538116034851E-3</v>
      </c>
      <c r="L1181" s="1288">
        <v>2.0000016168595833E-3</v>
      </c>
      <c r="M1181" s="1230">
        <v>2.0000016168595833E-3</v>
      </c>
      <c r="N1181" s="1303">
        <v>1.8719276876912334E-2</v>
      </c>
      <c r="O1181" s="1288">
        <v>5.9209163282541444E-3</v>
      </c>
      <c r="P1181" s="1237">
        <v>2.9604581641270722E-3</v>
      </c>
      <c r="Q1181" s="1290">
        <v>1.6465595723174714E-2</v>
      </c>
    </row>
    <row r="1182" spans="1:17" s="212" customFormat="1" ht="15.5" x14ac:dyDescent="0.35">
      <c r="A1182" s="198">
        <v>2035</v>
      </c>
      <c r="B1182" s="197" t="s">
        <v>5838</v>
      </c>
      <c r="C1182" s="197">
        <v>2013</v>
      </c>
      <c r="D1182" s="225" t="str">
        <f t="shared" si="12"/>
        <v>2035_2013</v>
      </c>
      <c r="E1182" s="1287">
        <v>6.9889457864131269E-2</v>
      </c>
      <c r="F1182" s="1306">
        <v>7.4767099016521295E-3</v>
      </c>
      <c r="G1182" s="1303">
        <v>0.6161209474900845</v>
      </c>
      <c r="H1182" s="1306">
        <v>3.662316795237875E-2</v>
      </c>
      <c r="I1182" s="1303">
        <v>1.9220044776149088E-2</v>
      </c>
      <c r="J1182" s="1306">
        <v>8.5267454257690787E-4</v>
      </c>
      <c r="K1182" s="1303">
        <v>2.8607109524022159E-3</v>
      </c>
      <c r="L1182" s="1288">
        <v>2.0000016211103094E-3</v>
      </c>
      <c r="M1182" s="1230">
        <v>2.0000016211103094E-3</v>
      </c>
      <c r="N1182" s="1303">
        <v>2.4027842578993416E-2</v>
      </c>
      <c r="O1182" s="1288">
        <v>5.9279638881412711E-3</v>
      </c>
      <c r="P1182" s="1237">
        <v>2.9639819440706355E-3</v>
      </c>
      <c r="Q1182" s="1290">
        <v>2.0089089913241005E-2</v>
      </c>
    </row>
    <row r="1183" spans="1:17" s="212" customFormat="1" ht="15.5" x14ac:dyDescent="0.35">
      <c r="A1183" s="198">
        <v>2035</v>
      </c>
      <c r="B1183" s="197" t="s">
        <v>5838</v>
      </c>
      <c r="C1183" s="197">
        <v>2014</v>
      </c>
      <c r="D1183" s="225" t="str">
        <f t="shared" si="12"/>
        <v>2035_2014</v>
      </c>
      <c r="E1183" s="1287">
        <v>6.1049792915532843E-2</v>
      </c>
      <c r="F1183" s="1306">
        <v>7.5920496396514924E-3</v>
      </c>
      <c r="G1183" s="1303">
        <v>0.52033857917207194</v>
      </c>
      <c r="H1183" s="1306">
        <v>3.6804137625340988E-2</v>
      </c>
      <c r="I1183" s="1303">
        <v>1.6939549230909092E-2</v>
      </c>
      <c r="J1183" s="1306">
        <v>1.2049268231535605E-3</v>
      </c>
      <c r="K1183" s="1303">
        <v>2.7241338677801924E-3</v>
      </c>
      <c r="L1183" s="1288">
        <v>2.0000016282028786E-3</v>
      </c>
      <c r="M1183" s="1230">
        <v>2.0000016282028786E-3</v>
      </c>
      <c r="N1183" s="1303">
        <v>2.0796235300411251E-2</v>
      </c>
      <c r="O1183" s="1288">
        <v>5.0423483606670313E-3</v>
      </c>
      <c r="P1183" s="1237">
        <v>2.5211741803335156E-3</v>
      </c>
      <c r="Q1183" s="1290">
        <v>1.7705480478994402E-2</v>
      </c>
    </row>
    <row r="1184" spans="1:17" s="212" customFormat="1" ht="15.5" x14ac:dyDescent="0.35">
      <c r="A1184" s="198">
        <v>2035</v>
      </c>
      <c r="B1184" s="197" t="s">
        <v>5838</v>
      </c>
      <c r="C1184" s="197">
        <v>2015</v>
      </c>
      <c r="D1184" s="225" t="str">
        <f t="shared" si="12"/>
        <v>2035_2015</v>
      </c>
      <c r="E1184" s="1287">
        <v>5.6165160833259974E-2</v>
      </c>
      <c r="F1184" s="1306">
        <v>7.4134956059423536E-3</v>
      </c>
      <c r="G1184" s="1303">
        <v>0.47054651035995587</v>
      </c>
      <c r="H1184" s="1306">
        <v>3.5739774846981827E-2</v>
      </c>
      <c r="I1184" s="1303">
        <v>1.5671231995592987E-2</v>
      </c>
      <c r="J1184" s="1306">
        <v>1.4929216813432732E-3</v>
      </c>
      <c r="K1184" s="1303">
        <v>2.6571636541235727E-3</v>
      </c>
      <c r="L1184" s="1288">
        <v>2.0000015986467415E-3</v>
      </c>
      <c r="M1184" s="1230">
        <v>2.0000015986467415E-3</v>
      </c>
      <c r="N1184" s="1303">
        <v>1.9195541206040185E-2</v>
      </c>
      <c r="O1184" s="1288">
        <v>5.8794275493160254E-3</v>
      </c>
      <c r="P1184" s="1237">
        <v>2.9397137746580127E-3</v>
      </c>
      <c r="Q1184" s="1290">
        <v>1.6379815566371698E-2</v>
      </c>
    </row>
    <row r="1185" spans="1:17" s="212" customFormat="1" ht="15.5" x14ac:dyDescent="0.35">
      <c r="A1185" s="198">
        <v>2035</v>
      </c>
      <c r="B1185" s="197" t="s">
        <v>5838</v>
      </c>
      <c r="C1185" s="197">
        <v>2016</v>
      </c>
      <c r="D1185" s="225" t="str">
        <f t="shared" si="12"/>
        <v>2035_2016</v>
      </c>
      <c r="E1185" s="1287">
        <v>6.542329787115049E-2</v>
      </c>
      <c r="F1185" s="1306">
        <v>7.2627437441736917E-3</v>
      </c>
      <c r="G1185" s="1303">
        <v>0.50781857625412474</v>
      </c>
      <c r="H1185" s="1306">
        <v>3.4738158994569876E-2</v>
      </c>
      <c r="I1185" s="1303">
        <v>1.7834029409602641E-2</v>
      </c>
      <c r="J1185" s="1306">
        <v>1.6971469803959054E-3</v>
      </c>
      <c r="K1185" s="1303">
        <v>2.8229185824272334E-3</v>
      </c>
      <c r="L1185" s="1288">
        <v>2.0000015420210118E-3</v>
      </c>
      <c r="M1185" s="1230">
        <v>2.0000015420210118E-3</v>
      </c>
      <c r="N1185" s="1303">
        <v>2.3112851844702638E-2</v>
      </c>
      <c r="O1185" s="1288">
        <v>6.7564885838438714E-3</v>
      </c>
      <c r="P1185" s="1237">
        <v>3.3782442919219357E-3</v>
      </c>
      <c r="Q1185" s="1290">
        <v>1.8640405082171442E-2</v>
      </c>
    </row>
    <row r="1186" spans="1:17" s="212" customFormat="1" ht="15.5" x14ac:dyDescent="0.35">
      <c r="A1186" s="198">
        <v>2035</v>
      </c>
      <c r="B1186" s="197" t="s">
        <v>5838</v>
      </c>
      <c r="C1186" s="197">
        <v>2017</v>
      </c>
      <c r="D1186" s="225" t="str">
        <f t="shared" si="12"/>
        <v>2035_2017</v>
      </c>
      <c r="E1186" s="1287">
        <v>6.7028238387691827E-2</v>
      </c>
      <c r="F1186" s="1306">
        <v>6.9556857458870055E-3</v>
      </c>
      <c r="G1186" s="1303">
        <v>0.45363657342568164</v>
      </c>
      <c r="H1186" s="1306">
        <v>3.3674642912787586E-2</v>
      </c>
      <c r="I1186" s="1303">
        <v>1.8043823193151596E-2</v>
      </c>
      <c r="J1186" s="1306">
        <v>1.8230007340516007E-3</v>
      </c>
      <c r="K1186" s="1303">
        <v>2.8552766914939028E-3</v>
      </c>
      <c r="L1186" s="1288">
        <v>2.0000015171089121E-3</v>
      </c>
      <c r="M1186" s="1230">
        <v>2.0000015171089121E-3</v>
      </c>
      <c r="N1186" s="1303">
        <v>2.3879507882014085E-2</v>
      </c>
      <c r="O1186" s="1288">
        <v>6.7190483259937685E-3</v>
      </c>
      <c r="P1186" s="1237">
        <v>3.3595241629968842E-3</v>
      </c>
      <c r="Q1186" s="1290">
        <v>1.8859684809666356E-2</v>
      </c>
    </row>
    <row r="1187" spans="1:17" s="212" customFormat="1" ht="15.5" x14ac:dyDescent="0.35">
      <c r="A1187" s="198">
        <v>2035</v>
      </c>
      <c r="B1187" s="197" t="s">
        <v>5838</v>
      </c>
      <c r="C1187" s="197">
        <v>2018</v>
      </c>
      <c r="D1187" s="225" t="str">
        <f t="shared" si="12"/>
        <v>2035_2018</v>
      </c>
      <c r="E1187" s="1287">
        <v>6.1710513350019376E-2</v>
      </c>
      <c r="F1187" s="1306">
        <v>6.7943438103161349E-3</v>
      </c>
      <c r="G1187" s="1303">
        <v>0.33887891406182535</v>
      </c>
      <c r="H1187" s="1306">
        <v>3.2914943270904364E-2</v>
      </c>
      <c r="I1187" s="1303">
        <v>1.6541430005898031E-2</v>
      </c>
      <c r="J1187" s="1306">
        <v>1.9271597455304209E-3</v>
      </c>
      <c r="K1187" s="1303">
        <v>2.7709220340831598E-3</v>
      </c>
      <c r="L1187" s="1288">
        <v>2.0000015183690403E-3</v>
      </c>
      <c r="M1187" s="1230">
        <v>2.0000015183690403E-3</v>
      </c>
      <c r="N1187" s="1303">
        <v>2.1874067295811865E-2</v>
      </c>
      <c r="O1187" s="1288">
        <v>6.0425857275436395E-3</v>
      </c>
      <c r="P1187" s="1237">
        <v>3.0212928637718198E-3</v>
      </c>
      <c r="Q1187" s="1290">
        <v>1.7289360069256215E-2</v>
      </c>
    </row>
    <row r="1188" spans="1:17" s="212" customFormat="1" ht="15.5" x14ac:dyDescent="0.35">
      <c r="A1188" s="198">
        <v>2035</v>
      </c>
      <c r="B1188" s="197" t="s">
        <v>5838</v>
      </c>
      <c r="C1188" s="197">
        <v>2019</v>
      </c>
      <c r="D1188" s="225" t="str">
        <f t="shared" si="12"/>
        <v>2035_2019</v>
      </c>
      <c r="E1188" s="1287">
        <v>7.0158201399396256E-2</v>
      </c>
      <c r="F1188" s="1306">
        <v>6.6188920387499099E-3</v>
      </c>
      <c r="G1188" s="1303">
        <v>0.34318370602464282</v>
      </c>
      <c r="H1188" s="1306">
        <v>3.1870567075800112E-2</v>
      </c>
      <c r="I1188" s="1303">
        <v>1.8303422671562194E-2</v>
      </c>
      <c r="J1188" s="1306">
        <v>1.8295406954469352E-3</v>
      </c>
      <c r="K1188" s="1303">
        <v>2.9299957477570424E-3</v>
      </c>
      <c r="L1188" s="1288">
        <v>2.0000014549177297E-3</v>
      </c>
      <c r="M1188" s="1230">
        <v>2.0000014549177297E-3</v>
      </c>
      <c r="N1188" s="1303">
        <v>2.564183311583159E-2</v>
      </c>
      <c r="O1188" s="1288">
        <v>6.0622083423856809E-3</v>
      </c>
      <c r="P1188" s="1237">
        <v>3.0311041711928405E-3</v>
      </c>
      <c r="Q1188" s="1290">
        <v>1.9131022224535017E-2</v>
      </c>
    </row>
    <row r="1189" spans="1:17" s="212" customFormat="1" ht="15.5" x14ac:dyDescent="0.35">
      <c r="A1189" s="198">
        <v>2035</v>
      </c>
      <c r="B1189" s="197" t="s">
        <v>5838</v>
      </c>
      <c r="C1189" s="197">
        <v>2020</v>
      </c>
      <c r="D1189" s="225" t="str">
        <f t="shared" si="12"/>
        <v>2035_2020</v>
      </c>
      <c r="E1189" s="1287">
        <v>6.0189267728318008E-2</v>
      </c>
      <c r="F1189" s="1306">
        <v>6.4125817563625885E-3</v>
      </c>
      <c r="G1189" s="1303">
        <v>0.26017652232034832</v>
      </c>
      <c r="H1189" s="1306">
        <v>3.0528145920189289E-2</v>
      </c>
      <c r="I1189" s="1303">
        <v>1.6046058639739218E-2</v>
      </c>
      <c r="J1189" s="1306">
        <v>1.3545309025371781E-3</v>
      </c>
      <c r="K1189" s="1303">
        <v>2.8935958518719919E-3</v>
      </c>
      <c r="L1189" s="1288">
        <v>2.0000015446348519E-3</v>
      </c>
      <c r="M1189" s="1230">
        <v>2.0000015446348519E-3</v>
      </c>
      <c r="N1189" s="1303">
        <v>2.4783948791768099E-2</v>
      </c>
      <c r="O1189" s="1288">
        <v>6.1720699313516248E-3</v>
      </c>
      <c r="P1189" s="1237">
        <v>3.0860349656758124E-3</v>
      </c>
      <c r="Q1189" s="1290">
        <v>1.6771590208097584E-2</v>
      </c>
    </row>
    <row r="1190" spans="1:17" s="212" customFormat="1" ht="15.5" x14ac:dyDescent="0.35">
      <c r="A1190" s="198">
        <v>2035</v>
      </c>
      <c r="B1190" s="197" t="s">
        <v>5838</v>
      </c>
      <c r="C1190" s="197">
        <v>2021</v>
      </c>
      <c r="D1190" s="225" t="str">
        <f t="shared" si="12"/>
        <v>2035_2021</v>
      </c>
      <c r="E1190" s="1287">
        <v>5.8468511470444476E-2</v>
      </c>
      <c r="F1190" s="1306">
        <v>6.1399053866940051E-3</v>
      </c>
      <c r="G1190" s="1303">
        <v>0.20760491168018114</v>
      </c>
      <c r="H1190" s="1306">
        <v>2.9285834815182196E-2</v>
      </c>
      <c r="I1190" s="1303">
        <v>1.5070176026088036E-2</v>
      </c>
      <c r="J1190" s="1306">
        <v>8.8555609480571288E-4</v>
      </c>
      <c r="K1190" s="1303">
        <v>2.8908304723954514E-3</v>
      </c>
      <c r="L1190" s="1288">
        <v>2.0000015580271826E-3</v>
      </c>
      <c r="M1190" s="1230">
        <v>2.0000015580271826E-3</v>
      </c>
      <c r="N1190" s="1303">
        <v>2.4714287389272473E-2</v>
      </c>
      <c r="O1190" s="1288">
        <v>6.1204051385838898E-3</v>
      </c>
      <c r="P1190" s="1237">
        <v>3.0602025692919449E-3</v>
      </c>
      <c r="Q1190" s="1290">
        <v>1.5751582513072057E-2</v>
      </c>
    </row>
    <row r="1191" spans="1:17" s="212" customFormat="1" ht="15.5" x14ac:dyDescent="0.35">
      <c r="A1191" s="198">
        <v>2035</v>
      </c>
      <c r="B1191" s="197" t="s">
        <v>5838</v>
      </c>
      <c r="C1191" s="197">
        <v>2022</v>
      </c>
      <c r="D1191" s="225" t="str">
        <f t="shared" si="12"/>
        <v>2035_2022</v>
      </c>
      <c r="E1191" s="1287">
        <v>5.7639841057236067E-2</v>
      </c>
      <c r="F1191" s="1306">
        <v>5.8927914237812016E-3</v>
      </c>
      <c r="G1191" s="1303">
        <v>0.15744915731707326</v>
      </c>
      <c r="H1191" s="1306">
        <v>2.8029940040586041E-2</v>
      </c>
      <c r="I1191" s="1303">
        <v>1.4526955510961198E-2</v>
      </c>
      <c r="J1191" s="1306">
        <v>8.8579845166007049E-4</v>
      </c>
      <c r="K1191" s="1303">
        <v>2.8876015752468905E-3</v>
      </c>
      <c r="L1191" s="1288">
        <v>2.000001569335236E-3</v>
      </c>
      <c r="M1191" s="1230">
        <v>2.000001569335236E-3</v>
      </c>
      <c r="N1191" s="1303">
        <v>2.4633038429202492E-2</v>
      </c>
      <c r="O1191" s="1288">
        <v>6.1077502909616978E-3</v>
      </c>
      <c r="P1191" s="1237">
        <v>3.0538751454808489E-3</v>
      </c>
      <c r="Q1191" s="1290">
        <v>1.5183799976756502E-2</v>
      </c>
    </row>
    <row r="1192" spans="1:17" s="212" customFormat="1" ht="15.5" x14ac:dyDescent="0.35">
      <c r="A1192" s="198">
        <v>2035</v>
      </c>
      <c r="B1192" s="197" t="s">
        <v>5838</v>
      </c>
      <c r="C1192" s="197">
        <v>2023</v>
      </c>
      <c r="D1192" s="225" t="str">
        <f t="shared" si="12"/>
        <v>2035_2023</v>
      </c>
      <c r="E1192" s="1287">
        <v>5.6812615803820986E-2</v>
      </c>
      <c r="F1192" s="1306">
        <v>5.5160339064837371E-3</v>
      </c>
      <c r="G1192" s="1303">
        <v>0.15356321905345147</v>
      </c>
      <c r="H1192" s="1306">
        <v>2.6792624979294431E-2</v>
      </c>
      <c r="I1192" s="1303">
        <v>1.3956618808387703E-2</v>
      </c>
      <c r="J1192" s="1306">
        <v>8.8585037329620773E-4</v>
      </c>
      <c r="K1192" s="1303">
        <v>2.885425888680686E-3</v>
      </c>
      <c r="L1192" s="1288">
        <v>2.0000015803479242E-3</v>
      </c>
      <c r="M1192" s="1230">
        <v>2.0000015803479242E-3</v>
      </c>
      <c r="N1192" s="1303">
        <v>2.4576142186099052E-2</v>
      </c>
      <c r="O1192" s="1288">
        <v>6.072500590375278E-3</v>
      </c>
      <c r="P1192" s="1237">
        <v>3.036250295187639E-3</v>
      </c>
      <c r="Q1192" s="1290">
        <v>1.4587675179324267E-2</v>
      </c>
    </row>
    <row r="1193" spans="1:17" s="212" customFormat="1" ht="15.5" x14ac:dyDescent="0.35">
      <c r="A1193" s="198">
        <v>2035</v>
      </c>
      <c r="B1193" s="197" t="s">
        <v>5838</v>
      </c>
      <c r="C1193" s="197">
        <v>2024</v>
      </c>
      <c r="D1193" s="225" t="str">
        <f t="shared" si="12"/>
        <v>2035_2024</v>
      </c>
      <c r="E1193" s="1287">
        <v>5.5594885026978229E-2</v>
      </c>
      <c r="F1193" s="1306">
        <v>4.876742795642118E-3</v>
      </c>
      <c r="G1193" s="1303">
        <v>0.14847017498299736</v>
      </c>
      <c r="H1193" s="1306">
        <v>2.5247963444722247E-2</v>
      </c>
      <c r="I1193" s="1303">
        <v>1.3260122690194609E-2</v>
      </c>
      <c r="J1193" s="1306">
        <v>8.847426782068275E-4</v>
      </c>
      <c r="K1193" s="1303">
        <v>2.8774286340403467E-3</v>
      </c>
      <c r="L1193" s="1288">
        <v>2.0000015975816482E-3</v>
      </c>
      <c r="M1193" s="1305">
        <v>2.0000005733427921E-3</v>
      </c>
      <c r="N1193" s="1303">
        <v>2.437994696490365E-2</v>
      </c>
      <c r="O1193" s="1288">
        <v>5.9144106830970912E-3</v>
      </c>
      <c r="P1193" s="1301">
        <v>3.4790050347924678E-3</v>
      </c>
      <c r="Q1193" s="1290">
        <v>1.3859686597322226E-2</v>
      </c>
    </row>
    <row r="1194" spans="1:17" s="212" customFormat="1" ht="15.5" x14ac:dyDescent="0.35">
      <c r="A1194" s="198">
        <v>2035</v>
      </c>
      <c r="B1194" s="197" t="s">
        <v>5838</v>
      </c>
      <c r="C1194" s="197">
        <v>2025</v>
      </c>
      <c r="D1194" s="225" t="str">
        <f t="shared" si="12"/>
        <v>2035_2025</v>
      </c>
      <c r="E1194" s="1287">
        <v>5.4548845923045292E-2</v>
      </c>
      <c r="F1194" s="1306">
        <v>4.3299166096722533E-3</v>
      </c>
      <c r="G1194" s="1303">
        <v>0.14375472945787748</v>
      </c>
      <c r="H1194" s="1306">
        <v>2.3863797192307572E-2</v>
      </c>
      <c r="I1194" s="1303">
        <v>1.2582069212413602E-2</v>
      </c>
      <c r="J1194" s="1306">
        <v>8.8414946507982132E-4</v>
      </c>
      <c r="K1194" s="1303">
        <v>2.8734248391955042E-3</v>
      </c>
      <c r="L1194" s="1288">
        <v>2.0000016120490221E-3</v>
      </c>
      <c r="M1194" s="1305">
        <v>2.000000573373838E-3</v>
      </c>
      <c r="N1194" s="1303">
        <v>2.4277846884242862E-2</v>
      </c>
      <c r="O1194" s="1288">
        <v>5.8024097997106169E-3</v>
      </c>
      <c r="P1194" s="1301">
        <v>3.9032005756668652E-3</v>
      </c>
      <c r="Q1194" s="1290">
        <v>1.3150974550093711E-2</v>
      </c>
    </row>
    <row r="1195" spans="1:17" s="212" customFormat="1" ht="15.5" x14ac:dyDescent="0.35">
      <c r="A1195" s="198">
        <v>2035</v>
      </c>
      <c r="B1195" s="197" t="s">
        <v>5838</v>
      </c>
      <c r="C1195" s="197">
        <v>2026</v>
      </c>
      <c r="D1195" s="225" t="str">
        <f t="shared" si="12"/>
        <v>2035_2026</v>
      </c>
      <c r="E1195" s="1287">
        <v>5.3321118857616631E-2</v>
      </c>
      <c r="F1195" s="1306">
        <v>4.2501661931918545E-3</v>
      </c>
      <c r="G1195" s="1303">
        <v>0.13843559342909978</v>
      </c>
      <c r="H1195" s="1306">
        <v>2.316497183944518E-2</v>
      </c>
      <c r="I1195" s="1303">
        <v>1.1834966392247214E-2</v>
      </c>
      <c r="J1195" s="1306">
        <v>7.6942682784791286E-4</v>
      </c>
      <c r="K1195" s="1303">
        <v>2.8671324428542842E-3</v>
      </c>
      <c r="L1195" s="1288">
        <v>2.0000016308972094E-3</v>
      </c>
      <c r="M1195" s="1305">
        <v>2.0000005734340824E-3</v>
      </c>
      <c r="N1195" s="1303">
        <v>2.412020338077878E-2</v>
      </c>
      <c r="O1195" s="1288">
        <v>5.6539147410892337E-3</v>
      </c>
      <c r="P1195" s="1301">
        <v>4.7271560543036282E-3</v>
      </c>
      <c r="Q1195" s="1290">
        <v>1.2370091055618995E-2</v>
      </c>
    </row>
    <row r="1196" spans="1:17" s="212" customFormat="1" ht="15.5" x14ac:dyDescent="0.35">
      <c r="A1196" s="198">
        <v>2035</v>
      </c>
      <c r="B1196" s="197" t="s">
        <v>5838</v>
      </c>
      <c r="C1196" s="197">
        <v>2027</v>
      </c>
      <c r="D1196" s="225" t="str">
        <f t="shared" si="12"/>
        <v>2035_2027</v>
      </c>
      <c r="E1196" s="1287">
        <v>5.1957971708556941E-2</v>
      </c>
      <c r="F1196" s="1306">
        <v>4.1854453055169957E-3</v>
      </c>
      <c r="G1196" s="1303">
        <v>0.13265700826742977</v>
      </c>
      <c r="H1196" s="1306">
        <v>2.2431991520228858E-2</v>
      </c>
      <c r="I1196" s="1303">
        <v>1.1033679656226673E-2</v>
      </c>
      <c r="J1196" s="1306">
        <v>6.3419258935073445E-4</v>
      </c>
      <c r="K1196" s="1303">
        <v>2.8592882856692372E-3</v>
      </c>
      <c r="L1196" s="1288">
        <v>2.0000016446085002E-3</v>
      </c>
      <c r="M1196" s="1305">
        <v>2.000000573497768E-3</v>
      </c>
      <c r="N1196" s="1303">
        <v>2.3923913383337023E-2</v>
      </c>
      <c r="O1196" s="1288">
        <v>5.4911696089559817E-3</v>
      </c>
      <c r="P1196" s="1301">
        <v>5.5940684491341446E-3</v>
      </c>
      <c r="Q1196" s="1290">
        <v>1.1532573689052859E-2</v>
      </c>
    </row>
    <row r="1197" spans="1:17" s="212" customFormat="1" ht="15.5" x14ac:dyDescent="0.35">
      <c r="A1197" s="198">
        <v>2035</v>
      </c>
      <c r="B1197" s="197" t="s">
        <v>5838</v>
      </c>
      <c r="C1197" s="197">
        <v>2028</v>
      </c>
      <c r="D1197" s="225" t="str">
        <f t="shared" si="12"/>
        <v>2035_2028</v>
      </c>
      <c r="E1197" s="1287">
        <v>5.0454633333910523E-2</v>
      </c>
      <c r="F1197" s="1306">
        <v>4.060435179314246E-3</v>
      </c>
      <c r="G1197" s="1303">
        <v>0.12642361701333618</v>
      </c>
      <c r="H1197" s="1306">
        <v>2.1592360369793676E-2</v>
      </c>
      <c r="I1197" s="1303">
        <v>1.0180860016961125E-2</v>
      </c>
      <c r="J1197" s="1306">
        <v>5.1659826814984635E-4</v>
      </c>
      <c r="K1197" s="1303">
        <v>2.8497074976387834E-3</v>
      </c>
      <c r="L1197" s="1288">
        <v>2.0000016613645061E-3</v>
      </c>
      <c r="M1197" s="1305">
        <v>2.0000005735438938E-3</v>
      </c>
      <c r="N1197" s="1303">
        <v>2.3684465977154363E-2</v>
      </c>
      <c r="O1197" s="1288">
        <v>5.3153600135387707E-3</v>
      </c>
      <c r="P1197" s="1301">
        <v>6.2238642679475755E-3</v>
      </c>
      <c r="Q1197" s="1290">
        <v>1.0641193330030833E-2</v>
      </c>
    </row>
    <row r="1198" spans="1:17" s="212" customFormat="1" ht="15.5" x14ac:dyDescent="0.35">
      <c r="A1198" s="198">
        <v>2035</v>
      </c>
      <c r="B1198" s="197" t="s">
        <v>5838</v>
      </c>
      <c r="C1198" s="197">
        <v>2029</v>
      </c>
      <c r="D1198" s="225" t="str">
        <f t="shared" si="12"/>
        <v>2035_2029</v>
      </c>
      <c r="E1198" s="1287">
        <v>4.8878442892791897E-2</v>
      </c>
      <c r="F1198" s="1306">
        <v>3.9238621668725975E-3</v>
      </c>
      <c r="G1198" s="1303">
        <v>0.11992727029611085</v>
      </c>
      <c r="H1198" s="1306">
        <v>2.069532873276533E-2</v>
      </c>
      <c r="I1198" s="1303">
        <v>9.2942083451908585E-3</v>
      </c>
      <c r="J1198" s="1306">
        <v>5.1337903492117728E-4</v>
      </c>
      <c r="K1198" s="1303">
        <v>2.8395591326831554E-3</v>
      </c>
      <c r="L1198" s="1288">
        <v>2.0000016809772377E-3</v>
      </c>
      <c r="M1198" s="1305">
        <v>2.0000005735793126E-3</v>
      </c>
      <c r="N1198" s="1303">
        <v>2.3429618526895245E-2</v>
      </c>
      <c r="O1198" s="1288">
        <v>5.1276279532821659E-3</v>
      </c>
      <c r="P1198" s="1301">
        <v>6.7114423930483922E-3</v>
      </c>
      <c r="Q1198" s="1290">
        <v>9.7144512041216803E-3</v>
      </c>
    </row>
    <row r="1199" spans="1:17" s="212" customFormat="1" ht="15.5" x14ac:dyDescent="0.35">
      <c r="A1199" s="198">
        <v>2035</v>
      </c>
      <c r="B1199" s="197" t="s">
        <v>5838</v>
      </c>
      <c r="C1199" s="197">
        <v>2030</v>
      </c>
      <c r="D1199" s="225" t="str">
        <f t="shared" ref="D1199:D1283" si="13">CONCATENATE(A1199,"_",C1199)</f>
        <v>2035_2030</v>
      </c>
      <c r="E1199" s="1287">
        <v>4.7152581820980956E-2</v>
      </c>
      <c r="F1199" s="1306">
        <v>3.7884844948362518E-3</v>
      </c>
      <c r="G1199" s="1303">
        <v>0.11299042724029432</v>
      </c>
      <c r="H1199" s="1306">
        <v>1.9762803392875929E-2</v>
      </c>
      <c r="I1199" s="1303">
        <v>8.3622928351829006E-3</v>
      </c>
      <c r="J1199" s="1306">
        <v>5.0992537934463561E-4</v>
      </c>
      <c r="K1199" s="1303">
        <v>2.8272965447574878E-3</v>
      </c>
      <c r="L1199" s="1288">
        <v>2.0000017048478883E-3</v>
      </c>
      <c r="M1199" s="1305">
        <v>2.0000005736032622E-3</v>
      </c>
      <c r="N1199" s="1303">
        <v>2.3121768890501843E-2</v>
      </c>
      <c r="O1199" s="1288">
        <v>4.9241980170222641E-3</v>
      </c>
      <c r="P1199" s="1301">
        <v>7.0406873193510043E-3</v>
      </c>
      <c r="Q1199" s="1290">
        <v>8.7403986100649689E-3</v>
      </c>
    </row>
    <row r="1200" spans="1:17" s="212" customFormat="1" ht="15.5" x14ac:dyDescent="0.35">
      <c r="A1200" s="198">
        <v>2035</v>
      </c>
      <c r="B1200" s="197" t="s">
        <v>5838</v>
      </c>
      <c r="C1200" s="197">
        <v>2031</v>
      </c>
      <c r="D1200" s="225" t="str">
        <f t="shared" si="13"/>
        <v>2035_2031</v>
      </c>
      <c r="E1200" s="1287">
        <v>4.5432075801803494E-2</v>
      </c>
      <c r="F1200" s="1306">
        <v>3.6073420149383721E-3</v>
      </c>
      <c r="G1200" s="1303">
        <v>0.10601264098501005</v>
      </c>
      <c r="H1200" s="1306">
        <v>1.8748882843347994E-2</v>
      </c>
      <c r="I1200" s="1303">
        <v>7.4170433058620665E-3</v>
      </c>
      <c r="J1200" s="1306">
        <v>5.0709872286891088E-4</v>
      </c>
      <c r="K1200" s="1303">
        <v>2.8158169268318496E-3</v>
      </c>
      <c r="L1200" s="1288">
        <v>2.0000017290226105E-3</v>
      </c>
      <c r="M1200" s="1305">
        <v>2.0000005736359999E-3</v>
      </c>
      <c r="N1200" s="1303">
        <v>2.2830535887671165E-2</v>
      </c>
      <c r="O1200" s="1288">
        <v>4.740225881633987E-3</v>
      </c>
      <c r="P1200" s="1301">
        <v>7.505374598661128E-3</v>
      </c>
      <c r="Q1200" s="1290">
        <v>7.752409091510936E-3</v>
      </c>
    </row>
    <row r="1201" spans="1:17" s="212" customFormat="1" ht="15.5" x14ac:dyDescent="0.35">
      <c r="A1201" s="198">
        <v>2035</v>
      </c>
      <c r="B1201" s="197" t="s">
        <v>5838</v>
      </c>
      <c r="C1201" s="197">
        <v>2032</v>
      </c>
      <c r="D1201" s="225" t="str">
        <f t="shared" si="13"/>
        <v>2035_2032</v>
      </c>
      <c r="E1201" s="1287">
        <v>4.3628467089515476E-2</v>
      </c>
      <c r="F1201" s="1306">
        <v>3.422020198087189E-3</v>
      </c>
      <c r="G1201" s="1303">
        <v>9.8787356723555236E-2</v>
      </c>
      <c r="H1201" s="1306">
        <v>1.7709410537861233E-2</v>
      </c>
      <c r="I1201" s="1303">
        <v>6.4448375974119551E-3</v>
      </c>
      <c r="J1201" s="1306">
        <v>5.0433095032621637E-4</v>
      </c>
      <c r="K1201" s="1303">
        <v>2.8033474917823365E-3</v>
      </c>
      <c r="L1201" s="1288">
        <v>2.0000017632845952E-3</v>
      </c>
      <c r="M1201" s="1305">
        <v>2.0000005736638127E-3</v>
      </c>
      <c r="N1201" s="1303">
        <v>2.2513061357893226E-2</v>
      </c>
      <c r="O1201" s="1288">
        <v>4.5467972156719664E-3</v>
      </c>
      <c r="P1201" s="1301">
        <v>7.907199837046016E-3</v>
      </c>
      <c r="Q1201" s="1290">
        <v>6.7362445550236388E-3</v>
      </c>
    </row>
    <row r="1202" spans="1:17" s="212" customFormat="1" ht="15.5" x14ac:dyDescent="0.35">
      <c r="A1202" s="198">
        <v>2035</v>
      </c>
      <c r="B1202" s="197" t="s">
        <v>5838</v>
      </c>
      <c r="C1202" s="197">
        <v>2033</v>
      </c>
      <c r="D1202" s="225" t="str">
        <f t="shared" si="13"/>
        <v>2035_2033</v>
      </c>
      <c r="E1202" s="1287">
        <v>4.1618118707177937E-2</v>
      </c>
      <c r="F1202" s="1306">
        <v>3.2307767883488795E-3</v>
      </c>
      <c r="G1202" s="1303">
        <v>9.106017240794699E-2</v>
      </c>
      <c r="H1202" s="1306">
        <v>1.663393008617399E-2</v>
      </c>
      <c r="I1202" s="1303">
        <v>5.4340057899736408E-3</v>
      </c>
      <c r="J1202" s="1306">
        <v>5.0155354732440006E-4</v>
      </c>
      <c r="K1202" s="1303">
        <v>2.7872273405226003E-3</v>
      </c>
      <c r="L1202" s="1288">
        <v>2.0000018138195204E-3</v>
      </c>
      <c r="M1202" s="1305">
        <v>2.0000005736852677E-3</v>
      </c>
      <c r="N1202" s="1303">
        <v>2.2104230665424232E-2</v>
      </c>
      <c r="O1202" s="1288">
        <v>4.3371265259774753E-3</v>
      </c>
      <c r="P1202" s="1301">
        <v>8.2293835816776729E-3</v>
      </c>
      <c r="Q1202" s="1290">
        <v>5.6797074187526836E-3</v>
      </c>
    </row>
    <row r="1203" spans="1:17" s="212" customFormat="1" ht="15.5" x14ac:dyDescent="0.35">
      <c r="A1203" s="198">
        <v>2035</v>
      </c>
      <c r="B1203" s="197" t="s">
        <v>5838</v>
      </c>
      <c r="C1203" s="197">
        <v>2034</v>
      </c>
      <c r="D1203" s="225" t="str">
        <f t="shared" si="13"/>
        <v>2035_2034</v>
      </c>
      <c r="E1203" s="1287">
        <v>3.9514482643639492E-2</v>
      </c>
      <c r="F1203" s="1306">
        <v>3.0203111004415842E-3</v>
      </c>
      <c r="G1203" s="1303">
        <v>8.3133333206486568E-2</v>
      </c>
      <c r="H1203" s="1306">
        <v>1.5471458629850748E-2</v>
      </c>
      <c r="I1203" s="1303">
        <v>4.4095787723367006E-3</v>
      </c>
      <c r="J1203" s="1306">
        <v>4.9849202086259627E-4</v>
      </c>
      <c r="K1203" s="1303">
        <v>2.7695795690997845E-3</v>
      </c>
      <c r="L1203" s="1288">
        <v>2.0000018575777215E-3</v>
      </c>
      <c r="M1203" s="1305">
        <v>2.0000005737000662E-3</v>
      </c>
      <c r="N1203" s="1303">
        <v>2.1654422581148025E-2</v>
      </c>
      <c r="O1203" s="1288">
        <v>4.1179123532292718E-3</v>
      </c>
      <c r="P1203" s="1301">
        <v>8.5096179810873699E-3</v>
      </c>
      <c r="Q1203" s="1290">
        <v>4.6089603572057611E-3</v>
      </c>
    </row>
    <row r="1204" spans="1:17" s="212" customFormat="1" ht="15.5" x14ac:dyDescent="0.35">
      <c r="A1204" s="198">
        <v>2035</v>
      </c>
      <c r="B1204" s="197" t="s">
        <v>5838</v>
      </c>
      <c r="C1204" s="197">
        <v>2035</v>
      </c>
      <c r="D1204" s="225" t="str">
        <f t="shared" si="13"/>
        <v>2035_2035</v>
      </c>
      <c r="E1204" s="1287">
        <v>3.6122406818870488E-2</v>
      </c>
      <c r="F1204" s="1306">
        <v>2.7814498575443112E-3</v>
      </c>
      <c r="G1204" s="1303">
        <v>7.2632633989172732E-2</v>
      </c>
      <c r="H1204" s="1306">
        <v>1.4124012954781141E-2</v>
      </c>
      <c r="I1204" s="1303">
        <v>3.2768936114756001E-3</v>
      </c>
      <c r="J1204" s="1306">
        <v>4.9209684592016977E-4</v>
      </c>
      <c r="K1204" s="1303">
        <v>2.7242405187563102E-3</v>
      </c>
      <c r="L1204" s="1288">
        <v>2.0000019671053927E-3</v>
      </c>
      <c r="M1204" s="1305">
        <v>2.0000005736822307E-3</v>
      </c>
      <c r="N1204" s="1303">
        <v>2.0522269186032251E-2</v>
      </c>
      <c r="O1204" s="1288">
        <v>3.7180570303698541E-3</v>
      </c>
      <c r="P1204" s="1301">
        <v>8.2866881423258217E-3</v>
      </c>
      <c r="Q1204" s="1290">
        <v>3.4250601995864816E-3</v>
      </c>
    </row>
    <row r="1205" spans="1:17" s="212" customFormat="1" ht="15.5" x14ac:dyDescent="0.35">
      <c r="A1205" s="198">
        <v>2035</v>
      </c>
      <c r="B1205" s="197" t="s">
        <v>5838</v>
      </c>
      <c r="C1205" s="197">
        <v>2036</v>
      </c>
      <c r="D1205" s="225" t="str">
        <f t="shared" si="13"/>
        <v>2035_2036</v>
      </c>
      <c r="E1205" s="1291">
        <v>3.6122406818870488E-2</v>
      </c>
      <c r="F1205" s="1280">
        <v>2.7814498575443112E-3</v>
      </c>
      <c r="G1205" s="1271">
        <v>7.2632633989172732E-2</v>
      </c>
      <c r="H1205" s="1280">
        <v>1.4124012954781141E-2</v>
      </c>
      <c r="I1205" s="1271">
        <v>3.2768936114756001E-3</v>
      </c>
      <c r="J1205" s="1280">
        <v>4.9209684592016977E-4</v>
      </c>
      <c r="K1205" s="1271">
        <v>2.7242405187563102E-3</v>
      </c>
      <c r="L1205" s="1257">
        <v>2.0000019671053927E-3</v>
      </c>
      <c r="M1205" s="1230">
        <v>2.0000005736822307E-3</v>
      </c>
      <c r="N1205" s="1271">
        <v>2.0522269186032251E-2</v>
      </c>
      <c r="O1205" s="1257">
        <v>3.7180570303698541E-3</v>
      </c>
      <c r="P1205" s="1237">
        <v>8.2866881423258217E-3</v>
      </c>
      <c r="Q1205" s="1292">
        <v>3.4250601995864816E-3</v>
      </c>
    </row>
    <row r="1206" spans="1:17" s="212" customFormat="1" ht="15.5" x14ac:dyDescent="0.35">
      <c r="A1206" s="198">
        <v>2036</v>
      </c>
      <c r="B1206" s="197" t="s">
        <v>5838</v>
      </c>
      <c r="C1206" s="197">
        <v>1971</v>
      </c>
      <c r="D1206" s="225" t="str">
        <f t="shared" si="13"/>
        <v>2036_1971</v>
      </c>
      <c r="E1206" s="1291">
        <v>0.374982840708461</v>
      </c>
      <c r="F1206" s="1280">
        <v>0.50260155469807632</v>
      </c>
      <c r="G1206" s="1271">
        <v>7.8963102806157162</v>
      </c>
      <c r="H1206" s="1280">
        <v>2.2203602550289028</v>
      </c>
      <c r="I1206" s="1271">
        <v>7.8756722078295427E-2</v>
      </c>
      <c r="J1206" s="1280">
        <v>9.4509298082642527E-3</v>
      </c>
      <c r="K1206" s="1271">
        <v>2.8423587752748332E-3</v>
      </c>
      <c r="L1206" s="1257">
        <v>1.9999796518330084E-3</v>
      </c>
      <c r="M1206" s="1230">
        <v>1.9999796518330084E-3</v>
      </c>
      <c r="N1206" s="1271">
        <v>2.3596500210640397E-2</v>
      </c>
      <c r="O1206" s="1257">
        <v>9.7878610719134475E-3</v>
      </c>
      <c r="P1206" s="1237">
        <v>4.8939305359567238E-3</v>
      </c>
      <c r="Q1206" s="1292">
        <v>8.2317751572897654E-2</v>
      </c>
    </row>
    <row r="1207" spans="1:17" s="212" customFormat="1" ht="15.5" x14ac:dyDescent="0.35">
      <c r="A1207" s="198">
        <v>2036</v>
      </c>
      <c r="B1207" s="197" t="s">
        <v>5838</v>
      </c>
      <c r="C1207" s="197">
        <v>1972</v>
      </c>
      <c r="D1207" s="225" t="str">
        <f t="shared" si="13"/>
        <v>2036_1972</v>
      </c>
      <c r="E1207" s="1291">
        <v>0.374982840708461</v>
      </c>
      <c r="F1207" s="1280">
        <v>0.50260155469807632</v>
      </c>
      <c r="G1207" s="1271">
        <v>7.8963102806157162</v>
      </c>
      <c r="H1207" s="1280">
        <v>2.2203602550289028</v>
      </c>
      <c r="I1207" s="1271">
        <v>7.8756722078295427E-2</v>
      </c>
      <c r="J1207" s="1280">
        <v>9.4509298082642527E-3</v>
      </c>
      <c r="K1207" s="1271">
        <v>2.8423587752748332E-3</v>
      </c>
      <c r="L1207" s="1257">
        <v>1.9999796518330084E-3</v>
      </c>
      <c r="M1207" s="1230">
        <v>1.9999796518330084E-3</v>
      </c>
      <c r="N1207" s="1271">
        <v>2.3596500210640397E-2</v>
      </c>
      <c r="O1207" s="1257">
        <v>9.7878610719134475E-3</v>
      </c>
      <c r="P1207" s="1237">
        <v>4.8939305359567238E-3</v>
      </c>
      <c r="Q1207" s="1292">
        <v>8.2317751572897654E-2</v>
      </c>
    </row>
    <row r="1208" spans="1:17" s="212" customFormat="1" ht="15.5" x14ac:dyDescent="0.35">
      <c r="A1208" s="198">
        <v>2036</v>
      </c>
      <c r="B1208" s="197" t="s">
        <v>5838</v>
      </c>
      <c r="C1208" s="197">
        <v>1973</v>
      </c>
      <c r="D1208" s="225" t="str">
        <f t="shared" si="13"/>
        <v>2036_1973</v>
      </c>
      <c r="E1208" s="1291">
        <v>0.374982840708461</v>
      </c>
      <c r="F1208" s="1280">
        <v>0.50260155469807632</v>
      </c>
      <c r="G1208" s="1271">
        <v>7.8963102806157162</v>
      </c>
      <c r="H1208" s="1280">
        <v>2.2203602550289028</v>
      </c>
      <c r="I1208" s="1271">
        <v>7.8756722078295427E-2</v>
      </c>
      <c r="J1208" s="1280">
        <v>9.4509298082642527E-3</v>
      </c>
      <c r="K1208" s="1271">
        <v>2.8423587752748332E-3</v>
      </c>
      <c r="L1208" s="1257">
        <v>1.9999796518330084E-3</v>
      </c>
      <c r="M1208" s="1230">
        <v>1.9999796518330084E-3</v>
      </c>
      <c r="N1208" s="1271">
        <v>2.3596500210640397E-2</v>
      </c>
      <c r="O1208" s="1257">
        <v>9.7878610719134475E-3</v>
      </c>
      <c r="P1208" s="1237">
        <v>4.8939305359567238E-3</v>
      </c>
      <c r="Q1208" s="1292">
        <v>8.2317751572897654E-2</v>
      </c>
    </row>
    <row r="1209" spans="1:17" s="212" customFormat="1" ht="15.5" x14ac:dyDescent="0.35">
      <c r="A1209" s="198">
        <v>2036</v>
      </c>
      <c r="B1209" s="197" t="s">
        <v>5838</v>
      </c>
      <c r="C1209" s="197">
        <v>1974</v>
      </c>
      <c r="D1209" s="225" t="str">
        <f t="shared" si="13"/>
        <v>2036_1974</v>
      </c>
      <c r="E1209" s="1291">
        <v>0.374982840708461</v>
      </c>
      <c r="F1209" s="1280">
        <v>0.50260155469807632</v>
      </c>
      <c r="G1209" s="1271">
        <v>7.8963102806157162</v>
      </c>
      <c r="H1209" s="1280">
        <v>2.2203602550289028</v>
      </c>
      <c r="I1209" s="1271">
        <v>7.8756722078295427E-2</v>
      </c>
      <c r="J1209" s="1280">
        <v>9.4509298082642527E-3</v>
      </c>
      <c r="K1209" s="1271">
        <v>2.8423587752748332E-3</v>
      </c>
      <c r="L1209" s="1257">
        <v>1.9999796518330084E-3</v>
      </c>
      <c r="M1209" s="1230">
        <v>1.9999796518330084E-3</v>
      </c>
      <c r="N1209" s="1271">
        <v>2.3596500210640397E-2</v>
      </c>
      <c r="O1209" s="1257">
        <v>9.7878610719134475E-3</v>
      </c>
      <c r="P1209" s="1237">
        <v>4.8939305359567238E-3</v>
      </c>
      <c r="Q1209" s="1292">
        <v>8.2317751572897654E-2</v>
      </c>
    </row>
    <row r="1210" spans="1:17" s="212" customFormat="1" ht="15.5" x14ac:dyDescent="0.35">
      <c r="A1210" s="198">
        <v>2036</v>
      </c>
      <c r="B1210" s="197" t="s">
        <v>5838</v>
      </c>
      <c r="C1210" s="197">
        <v>1975</v>
      </c>
      <c r="D1210" s="225" t="str">
        <f t="shared" si="13"/>
        <v>2036_1975</v>
      </c>
      <c r="E1210" s="1291">
        <v>0.374982840708461</v>
      </c>
      <c r="F1210" s="1280">
        <v>0.50260155469807632</v>
      </c>
      <c r="G1210" s="1271">
        <v>7.8963102806157162</v>
      </c>
      <c r="H1210" s="1280">
        <v>2.2203602550289028</v>
      </c>
      <c r="I1210" s="1271">
        <v>7.8756722078295427E-2</v>
      </c>
      <c r="J1210" s="1280">
        <v>9.4509298082642527E-3</v>
      </c>
      <c r="K1210" s="1271">
        <v>2.8423587752748332E-3</v>
      </c>
      <c r="L1210" s="1257">
        <v>1.9999796518330084E-3</v>
      </c>
      <c r="M1210" s="1230">
        <v>1.9999796518330084E-3</v>
      </c>
      <c r="N1210" s="1271">
        <v>2.3596500210640397E-2</v>
      </c>
      <c r="O1210" s="1257">
        <v>9.7878610719134475E-3</v>
      </c>
      <c r="P1210" s="1237">
        <v>4.8939305359567238E-3</v>
      </c>
      <c r="Q1210" s="1292">
        <v>8.2317751572897654E-2</v>
      </c>
    </row>
    <row r="1211" spans="1:17" s="212" customFormat="1" ht="15.5" x14ac:dyDescent="0.35">
      <c r="A1211" s="198">
        <v>2036</v>
      </c>
      <c r="B1211" s="197" t="s">
        <v>5838</v>
      </c>
      <c r="C1211" s="197">
        <v>1976</v>
      </c>
      <c r="D1211" s="225" t="str">
        <f t="shared" si="13"/>
        <v>2036_1976</v>
      </c>
      <c r="E1211" s="1291">
        <v>0.374982840708461</v>
      </c>
      <c r="F1211" s="1280">
        <v>0.50260155469807632</v>
      </c>
      <c r="G1211" s="1271">
        <v>7.8963102806157162</v>
      </c>
      <c r="H1211" s="1280">
        <v>2.2203602550289028</v>
      </c>
      <c r="I1211" s="1271">
        <v>7.8756722078295427E-2</v>
      </c>
      <c r="J1211" s="1280">
        <v>9.4509298082642527E-3</v>
      </c>
      <c r="K1211" s="1271">
        <v>2.8423587752748332E-3</v>
      </c>
      <c r="L1211" s="1257">
        <v>1.9999796518330084E-3</v>
      </c>
      <c r="M1211" s="1230">
        <v>1.9999796518330084E-3</v>
      </c>
      <c r="N1211" s="1271">
        <v>2.3596500210640397E-2</v>
      </c>
      <c r="O1211" s="1257">
        <v>9.7878610719134475E-3</v>
      </c>
      <c r="P1211" s="1237">
        <v>4.8939305359567238E-3</v>
      </c>
      <c r="Q1211" s="1292">
        <v>8.2317751572897654E-2</v>
      </c>
    </row>
    <row r="1212" spans="1:17" s="212" customFormat="1" ht="15.5" x14ac:dyDescent="0.35">
      <c r="A1212" s="198">
        <v>2036</v>
      </c>
      <c r="B1212" s="197" t="s">
        <v>5838</v>
      </c>
      <c r="C1212" s="197">
        <v>1977</v>
      </c>
      <c r="D1212" s="225" t="str">
        <f t="shared" si="13"/>
        <v>2036_1977</v>
      </c>
      <c r="E1212" s="1291">
        <v>0.374982840708461</v>
      </c>
      <c r="F1212" s="1280">
        <v>0.50260155469807632</v>
      </c>
      <c r="G1212" s="1271">
        <v>7.8963102806157162</v>
      </c>
      <c r="H1212" s="1280">
        <v>2.2203602550289028</v>
      </c>
      <c r="I1212" s="1271">
        <v>7.8756722078295427E-2</v>
      </c>
      <c r="J1212" s="1280">
        <v>9.4509298082642527E-3</v>
      </c>
      <c r="K1212" s="1271">
        <v>2.8423587752748332E-3</v>
      </c>
      <c r="L1212" s="1257">
        <v>1.9999796518330084E-3</v>
      </c>
      <c r="M1212" s="1230">
        <v>1.9999796518330084E-3</v>
      </c>
      <c r="N1212" s="1271">
        <v>2.3596500210640397E-2</v>
      </c>
      <c r="O1212" s="1257">
        <v>9.7878610719134475E-3</v>
      </c>
      <c r="P1212" s="1237">
        <v>4.8939305359567238E-3</v>
      </c>
      <c r="Q1212" s="1292">
        <v>8.2317751572897654E-2</v>
      </c>
    </row>
    <row r="1213" spans="1:17" s="212" customFormat="1" ht="15.5" x14ac:dyDescent="0.35">
      <c r="A1213" s="198">
        <v>2036</v>
      </c>
      <c r="B1213" s="197" t="s">
        <v>5838</v>
      </c>
      <c r="C1213" s="197">
        <v>1978</v>
      </c>
      <c r="D1213" s="225" t="str">
        <f t="shared" si="13"/>
        <v>2036_1978</v>
      </c>
      <c r="E1213" s="1291">
        <v>0.374982840708461</v>
      </c>
      <c r="F1213" s="1280">
        <v>0.50260155469807632</v>
      </c>
      <c r="G1213" s="1271">
        <v>7.8963102806157162</v>
      </c>
      <c r="H1213" s="1280">
        <v>2.2203602550289028</v>
      </c>
      <c r="I1213" s="1271">
        <v>7.8756722078295427E-2</v>
      </c>
      <c r="J1213" s="1280">
        <v>9.4509298082642527E-3</v>
      </c>
      <c r="K1213" s="1271">
        <v>2.8423587752748332E-3</v>
      </c>
      <c r="L1213" s="1257">
        <v>1.9999796518330084E-3</v>
      </c>
      <c r="M1213" s="1230">
        <v>1.9999796518330084E-3</v>
      </c>
      <c r="N1213" s="1271">
        <v>2.3596500210640397E-2</v>
      </c>
      <c r="O1213" s="1257">
        <v>9.7878610719134475E-3</v>
      </c>
      <c r="P1213" s="1237">
        <v>4.8939305359567238E-3</v>
      </c>
      <c r="Q1213" s="1292">
        <v>8.2317751572897654E-2</v>
      </c>
    </row>
    <row r="1214" spans="1:17" s="212" customFormat="1" ht="15.5" x14ac:dyDescent="0.35">
      <c r="A1214" s="198">
        <v>2036</v>
      </c>
      <c r="B1214" s="197" t="s">
        <v>5838</v>
      </c>
      <c r="C1214" s="197">
        <v>1979</v>
      </c>
      <c r="D1214" s="225" t="str">
        <f t="shared" si="13"/>
        <v>2036_1979</v>
      </c>
      <c r="E1214" s="1291">
        <v>0.374982840708461</v>
      </c>
      <c r="F1214" s="1280">
        <v>0.50260155469807632</v>
      </c>
      <c r="G1214" s="1271">
        <v>7.8963102806157162</v>
      </c>
      <c r="H1214" s="1280">
        <v>2.2203602550289028</v>
      </c>
      <c r="I1214" s="1271">
        <v>7.8756722078295427E-2</v>
      </c>
      <c r="J1214" s="1280">
        <v>9.4509298082642527E-3</v>
      </c>
      <c r="K1214" s="1271">
        <v>2.8423587752748332E-3</v>
      </c>
      <c r="L1214" s="1257">
        <v>1.9999796518330084E-3</v>
      </c>
      <c r="M1214" s="1230">
        <v>1.9999796518330084E-3</v>
      </c>
      <c r="N1214" s="1271">
        <v>2.3596500210640397E-2</v>
      </c>
      <c r="O1214" s="1257">
        <v>9.7878610719134475E-3</v>
      </c>
      <c r="P1214" s="1237">
        <v>4.8939305359567238E-3</v>
      </c>
      <c r="Q1214" s="1292">
        <v>8.2317751572897654E-2</v>
      </c>
    </row>
    <row r="1215" spans="1:17" s="212" customFormat="1" ht="15.5" x14ac:dyDescent="0.35">
      <c r="A1215" s="198">
        <v>2036</v>
      </c>
      <c r="B1215" s="197" t="s">
        <v>5838</v>
      </c>
      <c r="C1215" s="197">
        <v>1980</v>
      </c>
      <c r="D1215" s="225" t="str">
        <f t="shared" si="13"/>
        <v>2036_1980</v>
      </c>
      <c r="E1215" s="1291">
        <v>0.374982840708461</v>
      </c>
      <c r="F1215" s="1280">
        <v>0.50260155469807632</v>
      </c>
      <c r="G1215" s="1271">
        <v>7.8963102806157162</v>
      </c>
      <c r="H1215" s="1280">
        <v>2.2203602550289028</v>
      </c>
      <c r="I1215" s="1271">
        <v>7.8756722078295427E-2</v>
      </c>
      <c r="J1215" s="1280">
        <v>9.4509298082642527E-3</v>
      </c>
      <c r="K1215" s="1271">
        <v>2.8423587752748332E-3</v>
      </c>
      <c r="L1215" s="1257">
        <v>1.9999796518330084E-3</v>
      </c>
      <c r="M1215" s="1230">
        <v>1.9999796518330084E-3</v>
      </c>
      <c r="N1215" s="1271">
        <v>2.3596500210640397E-2</v>
      </c>
      <c r="O1215" s="1257">
        <v>9.7878610719134475E-3</v>
      </c>
      <c r="P1215" s="1237">
        <v>4.8939305359567238E-3</v>
      </c>
      <c r="Q1215" s="1292">
        <v>8.2317751572897654E-2</v>
      </c>
    </row>
    <row r="1216" spans="1:17" s="212" customFormat="1" ht="15.5" x14ac:dyDescent="0.35">
      <c r="A1216" s="198">
        <v>2036</v>
      </c>
      <c r="B1216" s="197" t="s">
        <v>5838</v>
      </c>
      <c r="C1216" s="197">
        <v>1981</v>
      </c>
      <c r="D1216" s="225" t="str">
        <f t="shared" si="13"/>
        <v>2036_1981</v>
      </c>
      <c r="E1216" s="1291">
        <v>0.374982840708461</v>
      </c>
      <c r="F1216" s="1280">
        <v>0.50260155469807632</v>
      </c>
      <c r="G1216" s="1271">
        <v>7.8963102806157162</v>
      </c>
      <c r="H1216" s="1280">
        <v>2.2203602550289028</v>
      </c>
      <c r="I1216" s="1271">
        <v>7.8756722078295427E-2</v>
      </c>
      <c r="J1216" s="1280">
        <v>9.4509298082642527E-3</v>
      </c>
      <c r="K1216" s="1271">
        <v>2.8423587752748332E-3</v>
      </c>
      <c r="L1216" s="1257">
        <v>1.9999796518330084E-3</v>
      </c>
      <c r="M1216" s="1230">
        <v>1.9999796518330084E-3</v>
      </c>
      <c r="N1216" s="1271">
        <v>2.3596500210640397E-2</v>
      </c>
      <c r="O1216" s="1257">
        <v>9.7878610719134475E-3</v>
      </c>
      <c r="P1216" s="1237">
        <v>4.8939305359567238E-3</v>
      </c>
      <c r="Q1216" s="1292">
        <v>8.2317751572897654E-2</v>
      </c>
    </row>
    <row r="1217" spans="1:17" s="212" customFormat="1" ht="15.5" x14ac:dyDescent="0.35">
      <c r="A1217" s="198">
        <v>2036</v>
      </c>
      <c r="B1217" s="197" t="s">
        <v>5838</v>
      </c>
      <c r="C1217" s="197">
        <v>1982</v>
      </c>
      <c r="D1217" s="225" t="str">
        <f t="shared" si="13"/>
        <v>2036_1982</v>
      </c>
      <c r="E1217" s="1291">
        <v>0.374982840708461</v>
      </c>
      <c r="F1217" s="1280">
        <v>0.50260155469807632</v>
      </c>
      <c r="G1217" s="1271">
        <v>7.8963102806157162</v>
      </c>
      <c r="H1217" s="1280">
        <v>2.2203602550289028</v>
      </c>
      <c r="I1217" s="1271">
        <v>7.8756722078295427E-2</v>
      </c>
      <c r="J1217" s="1280">
        <v>9.4509298082642527E-3</v>
      </c>
      <c r="K1217" s="1271">
        <v>2.8423587752748332E-3</v>
      </c>
      <c r="L1217" s="1257">
        <v>1.9999796518330084E-3</v>
      </c>
      <c r="M1217" s="1230">
        <v>1.9999796518330084E-3</v>
      </c>
      <c r="N1217" s="1271">
        <v>2.3596500210640397E-2</v>
      </c>
      <c r="O1217" s="1257">
        <v>9.7878610719134475E-3</v>
      </c>
      <c r="P1217" s="1237">
        <v>4.8939305359567238E-3</v>
      </c>
      <c r="Q1217" s="1292">
        <v>8.2317751572897654E-2</v>
      </c>
    </row>
    <row r="1218" spans="1:17" s="212" customFormat="1" ht="15.5" x14ac:dyDescent="0.35">
      <c r="A1218" s="198">
        <v>2036</v>
      </c>
      <c r="B1218" s="197" t="s">
        <v>5838</v>
      </c>
      <c r="C1218" s="197">
        <v>1983</v>
      </c>
      <c r="D1218" s="225" t="str">
        <f t="shared" si="13"/>
        <v>2036_1983</v>
      </c>
      <c r="E1218" s="1291">
        <v>0.374982840708461</v>
      </c>
      <c r="F1218" s="1280">
        <v>0.50260155469807632</v>
      </c>
      <c r="G1218" s="1271">
        <v>7.8963102806157162</v>
      </c>
      <c r="H1218" s="1280">
        <v>2.2203602550289028</v>
      </c>
      <c r="I1218" s="1271">
        <v>7.8756722078295427E-2</v>
      </c>
      <c r="J1218" s="1280">
        <v>9.4509298082642527E-3</v>
      </c>
      <c r="K1218" s="1271">
        <v>2.8423587752748332E-3</v>
      </c>
      <c r="L1218" s="1257">
        <v>1.9999796518330084E-3</v>
      </c>
      <c r="M1218" s="1230">
        <v>1.9999796518330084E-3</v>
      </c>
      <c r="N1218" s="1271">
        <v>2.3596500210640397E-2</v>
      </c>
      <c r="O1218" s="1257">
        <v>9.7878610719134475E-3</v>
      </c>
      <c r="P1218" s="1237">
        <v>4.8939305359567238E-3</v>
      </c>
      <c r="Q1218" s="1292">
        <v>8.2317751572897654E-2</v>
      </c>
    </row>
    <row r="1219" spans="1:17" s="212" customFormat="1" ht="15.5" x14ac:dyDescent="0.35">
      <c r="A1219" s="198">
        <v>2036</v>
      </c>
      <c r="B1219" s="197" t="s">
        <v>5838</v>
      </c>
      <c r="C1219" s="197">
        <v>1984</v>
      </c>
      <c r="D1219" s="225" t="str">
        <f t="shared" si="13"/>
        <v>2036_1984</v>
      </c>
      <c r="E1219" s="1291">
        <v>0.374982840708461</v>
      </c>
      <c r="F1219" s="1280">
        <v>0.50260155469807632</v>
      </c>
      <c r="G1219" s="1271">
        <v>7.8963102806157162</v>
      </c>
      <c r="H1219" s="1280">
        <v>2.2203602550289028</v>
      </c>
      <c r="I1219" s="1271">
        <v>7.8756722078295427E-2</v>
      </c>
      <c r="J1219" s="1280">
        <v>9.4509298082642527E-3</v>
      </c>
      <c r="K1219" s="1271">
        <v>2.8423587752748332E-3</v>
      </c>
      <c r="L1219" s="1257">
        <v>1.9999796518330084E-3</v>
      </c>
      <c r="M1219" s="1230">
        <v>1.9999796518330084E-3</v>
      </c>
      <c r="N1219" s="1271">
        <v>2.3596500210640397E-2</v>
      </c>
      <c r="O1219" s="1257">
        <v>9.7878610719134475E-3</v>
      </c>
      <c r="P1219" s="1237">
        <v>4.8939305359567238E-3</v>
      </c>
      <c r="Q1219" s="1292">
        <v>8.2317751572897654E-2</v>
      </c>
    </row>
    <row r="1220" spans="1:17" s="212" customFormat="1" ht="15.5" x14ac:dyDescent="0.35">
      <c r="A1220" s="198">
        <v>2036</v>
      </c>
      <c r="B1220" s="197" t="s">
        <v>5838</v>
      </c>
      <c r="C1220" s="197">
        <v>1985</v>
      </c>
      <c r="D1220" s="225" t="str">
        <f t="shared" si="13"/>
        <v>2036_1985</v>
      </c>
      <c r="E1220" s="1291">
        <v>0.374982840708461</v>
      </c>
      <c r="F1220" s="1280">
        <v>0.50260155469807632</v>
      </c>
      <c r="G1220" s="1271">
        <v>7.8963102806157162</v>
      </c>
      <c r="H1220" s="1280">
        <v>2.2203602550289028</v>
      </c>
      <c r="I1220" s="1271">
        <v>7.8756722078295427E-2</v>
      </c>
      <c r="J1220" s="1280">
        <v>9.4509298082642527E-3</v>
      </c>
      <c r="K1220" s="1271">
        <v>2.8423587752748332E-3</v>
      </c>
      <c r="L1220" s="1257">
        <v>1.9999796518330084E-3</v>
      </c>
      <c r="M1220" s="1230">
        <v>1.9999796518330084E-3</v>
      </c>
      <c r="N1220" s="1271">
        <v>2.3596500210640397E-2</v>
      </c>
      <c r="O1220" s="1257">
        <v>9.7878610719134475E-3</v>
      </c>
      <c r="P1220" s="1237">
        <v>4.8939305359567238E-3</v>
      </c>
      <c r="Q1220" s="1292">
        <v>8.2317751572897654E-2</v>
      </c>
    </row>
    <row r="1221" spans="1:17" s="212" customFormat="1" ht="15.5" x14ac:dyDescent="0.35">
      <c r="A1221" s="198">
        <v>2036</v>
      </c>
      <c r="B1221" s="197" t="s">
        <v>5838</v>
      </c>
      <c r="C1221" s="197">
        <v>1986</v>
      </c>
      <c r="D1221" s="225" t="str">
        <f t="shared" si="13"/>
        <v>2036_1986</v>
      </c>
      <c r="E1221" s="1291">
        <v>0.374982840708461</v>
      </c>
      <c r="F1221" s="1280">
        <v>0.50260155469807632</v>
      </c>
      <c r="G1221" s="1271">
        <v>7.8963102806157162</v>
      </c>
      <c r="H1221" s="1280">
        <v>2.2203602550289028</v>
      </c>
      <c r="I1221" s="1271">
        <v>7.8756722078295427E-2</v>
      </c>
      <c r="J1221" s="1280">
        <v>9.4509298082642527E-3</v>
      </c>
      <c r="K1221" s="1271">
        <v>2.8423587752748332E-3</v>
      </c>
      <c r="L1221" s="1257">
        <v>1.9999796518330084E-3</v>
      </c>
      <c r="M1221" s="1230">
        <v>1.9999796518330084E-3</v>
      </c>
      <c r="N1221" s="1271">
        <v>2.3596500210640397E-2</v>
      </c>
      <c r="O1221" s="1257">
        <v>9.7878610719134475E-3</v>
      </c>
      <c r="P1221" s="1237">
        <v>4.8939305359567238E-3</v>
      </c>
      <c r="Q1221" s="1292">
        <v>8.2317751572897654E-2</v>
      </c>
    </row>
    <row r="1222" spans="1:17" s="212" customFormat="1" ht="15.5" x14ac:dyDescent="0.35">
      <c r="A1222" s="198">
        <v>2036</v>
      </c>
      <c r="B1222" s="197" t="s">
        <v>5838</v>
      </c>
      <c r="C1222" s="197">
        <v>1987</v>
      </c>
      <c r="D1222" s="225" t="str">
        <f t="shared" si="13"/>
        <v>2036_1987</v>
      </c>
      <c r="E1222" s="1291">
        <v>0.374982840708461</v>
      </c>
      <c r="F1222" s="1280">
        <v>0.50260155469807632</v>
      </c>
      <c r="G1222" s="1271">
        <v>7.8963102806157162</v>
      </c>
      <c r="H1222" s="1280">
        <v>2.2203602550289028</v>
      </c>
      <c r="I1222" s="1271">
        <v>7.8756722078295427E-2</v>
      </c>
      <c r="J1222" s="1280">
        <v>9.4509298082642527E-3</v>
      </c>
      <c r="K1222" s="1271">
        <v>2.8423587752748332E-3</v>
      </c>
      <c r="L1222" s="1257">
        <v>1.9999796518330084E-3</v>
      </c>
      <c r="M1222" s="1230">
        <v>1.9999796518330084E-3</v>
      </c>
      <c r="N1222" s="1271">
        <v>2.3596500210640397E-2</v>
      </c>
      <c r="O1222" s="1257">
        <v>9.7878610719134475E-3</v>
      </c>
      <c r="P1222" s="1237">
        <v>4.8939305359567238E-3</v>
      </c>
      <c r="Q1222" s="1292">
        <v>8.2317751572897654E-2</v>
      </c>
    </row>
    <row r="1223" spans="1:17" s="212" customFormat="1" ht="15.5" x14ac:dyDescent="0.35">
      <c r="A1223" s="198">
        <v>2036</v>
      </c>
      <c r="B1223" s="197" t="s">
        <v>5838</v>
      </c>
      <c r="C1223" s="197">
        <v>1988</v>
      </c>
      <c r="D1223" s="225" t="str">
        <f t="shared" si="13"/>
        <v>2036_1988</v>
      </c>
      <c r="E1223" s="1291">
        <v>0.374982840708461</v>
      </c>
      <c r="F1223" s="1280">
        <v>0.50260155469807632</v>
      </c>
      <c r="G1223" s="1271">
        <v>7.8963102806157162</v>
      </c>
      <c r="H1223" s="1280">
        <v>2.2203602550289028</v>
      </c>
      <c r="I1223" s="1271">
        <v>7.8756722078295427E-2</v>
      </c>
      <c r="J1223" s="1280">
        <v>9.4509298082642527E-3</v>
      </c>
      <c r="K1223" s="1271">
        <v>2.8423587752748332E-3</v>
      </c>
      <c r="L1223" s="1257">
        <v>1.9999796518330084E-3</v>
      </c>
      <c r="M1223" s="1230">
        <v>1.9999796518330084E-3</v>
      </c>
      <c r="N1223" s="1271">
        <v>2.3596500210640397E-2</v>
      </c>
      <c r="O1223" s="1257">
        <v>9.7878610719134475E-3</v>
      </c>
      <c r="P1223" s="1237">
        <v>4.8939305359567238E-3</v>
      </c>
      <c r="Q1223" s="1292">
        <v>8.2317751572897654E-2</v>
      </c>
    </row>
    <row r="1224" spans="1:17" s="212" customFormat="1" ht="15.5" x14ac:dyDescent="0.35">
      <c r="A1224" s="198">
        <v>2036</v>
      </c>
      <c r="B1224" s="197" t="s">
        <v>5838</v>
      </c>
      <c r="C1224" s="197">
        <v>1989</v>
      </c>
      <c r="D1224" s="225" t="str">
        <f t="shared" si="13"/>
        <v>2036_1989</v>
      </c>
      <c r="E1224" s="1291">
        <v>0.374982840708461</v>
      </c>
      <c r="F1224" s="1280">
        <v>0.50260155469807632</v>
      </c>
      <c r="G1224" s="1271">
        <v>7.8963102806157162</v>
      </c>
      <c r="H1224" s="1280">
        <v>2.2203602550289028</v>
      </c>
      <c r="I1224" s="1271">
        <v>7.8756722078295427E-2</v>
      </c>
      <c r="J1224" s="1280">
        <v>9.4509298082642527E-3</v>
      </c>
      <c r="K1224" s="1271">
        <v>2.8423587752748332E-3</v>
      </c>
      <c r="L1224" s="1257">
        <v>1.9999796518330084E-3</v>
      </c>
      <c r="M1224" s="1230">
        <v>1.9999796518330084E-3</v>
      </c>
      <c r="N1224" s="1271">
        <v>2.3596500210640397E-2</v>
      </c>
      <c r="O1224" s="1257">
        <v>9.7878610719134475E-3</v>
      </c>
      <c r="P1224" s="1237">
        <v>4.8939305359567238E-3</v>
      </c>
      <c r="Q1224" s="1292">
        <v>8.2317751572897654E-2</v>
      </c>
    </row>
    <row r="1225" spans="1:17" s="212" customFormat="1" ht="15.5" x14ac:dyDescent="0.35">
      <c r="A1225" s="198">
        <v>2036</v>
      </c>
      <c r="B1225" s="197" t="s">
        <v>5838</v>
      </c>
      <c r="C1225" s="197">
        <v>1990</v>
      </c>
      <c r="D1225" s="225" t="str">
        <f t="shared" si="13"/>
        <v>2036_1990</v>
      </c>
      <c r="E1225" s="1291">
        <v>0.374982840708461</v>
      </c>
      <c r="F1225" s="1280">
        <v>0.50260155469807632</v>
      </c>
      <c r="G1225" s="1271">
        <v>7.8963102806157162</v>
      </c>
      <c r="H1225" s="1280">
        <v>2.2203602550289028</v>
      </c>
      <c r="I1225" s="1271">
        <v>7.8756722078295427E-2</v>
      </c>
      <c r="J1225" s="1280">
        <v>9.4509298082642527E-3</v>
      </c>
      <c r="K1225" s="1271">
        <v>2.8423587752748332E-3</v>
      </c>
      <c r="L1225" s="1257">
        <v>1.9999796518330084E-3</v>
      </c>
      <c r="M1225" s="1230">
        <v>1.9999796518330084E-3</v>
      </c>
      <c r="N1225" s="1271">
        <v>2.3596500210640397E-2</v>
      </c>
      <c r="O1225" s="1257">
        <v>9.7878610719134475E-3</v>
      </c>
      <c r="P1225" s="1237">
        <v>4.8939305359567238E-3</v>
      </c>
      <c r="Q1225" s="1292">
        <v>8.2317751572897654E-2</v>
      </c>
    </row>
    <row r="1226" spans="1:17" s="212" customFormat="1" ht="15.5" x14ac:dyDescent="0.35">
      <c r="A1226" s="198">
        <v>2036</v>
      </c>
      <c r="B1226" s="197" t="s">
        <v>5838</v>
      </c>
      <c r="C1226" s="197">
        <v>1991</v>
      </c>
      <c r="D1226" s="225" t="str">
        <f t="shared" si="13"/>
        <v>2036_1991</v>
      </c>
      <c r="E1226" s="1291">
        <v>0.374982840708461</v>
      </c>
      <c r="F1226" s="1280">
        <v>0.50260155469807632</v>
      </c>
      <c r="G1226" s="1271">
        <v>7.8963102806157162</v>
      </c>
      <c r="H1226" s="1280">
        <v>2.2203602550289028</v>
      </c>
      <c r="I1226" s="1271">
        <v>7.8756722078295427E-2</v>
      </c>
      <c r="J1226" s="1280">
        <v>9.4509298082642527E-3</v>
      </c>
      <c r="K1226" s="1271">
        <v>2.8423587752748332E-3</v>
      </c>
      <c r="L1226" s="1257">
        <v>1.9999796518330084E-3</v>
      </c>
      <c r="M1226" s="1230">
        <v>1.9999796518330084E-3</v>
      </c>
      <c r="N1226" s="1271">
        <v>2.3596500210640397E-2</v>
      </c>
      <c r="O1226" s="1257">
        <v>9.7878610719134475E-3</v>
      </c>
      <c r="P1226" s="1237">
        <v>4.8939305359567238E-3</v>
      </c>
      <c r="Q1226" s="1292">
        <v>8.2317751572897654E-2</v>
      </c>
    </row>
    <row r="1227" spans="1:17" s="212" customFormat="1" ht="15.5" x14ac:dyDescent="0.35">
      <c r="A1227" s="198">
        <v>2036</v>
      </c>
      <c r="B1227" s="197" t="s">
        <v>5838</v>
      </c>
      <c r="C1227" s="197">
        <v>1992</v>
      </c>
      <c r="D1227" s="225" t="str">
        <f t="shared" si="13"/>
        <v>2036_1992</v>
      </c>
      <c r="E1227" s="1287">
        <v>0.374982840708461</v>
      </c>
      <c r="F1227" s="1306">
        <v>0.50260155469807632</v>
      </c>
      <c r="G1227" s="1303">
        <v>7.8963102806157162</v>
      </c>
      <c r="H1227" s="1306">
        <v>2.2203602550289028</v>
      </c>
      <c r="I1227" s="1303">
        <v>7.8756722078295427E-2</v>
      </c>
      <c r="J1227" s="1306">
        <v>9.4509298082642527E-3</v>
      </c>
      <c r="K1227" s="1303">
        <v>2.8423587752748332E-3</v>
      </c>
      <c r="L1227" s="1288">
        <v>1.9999796518330084E-3</v>
      </c>
      <c r="M1227" s="1230">
        <v>1.9999796518330084E-3</v>
      </c>
      <c r="N1227" s="1303">
        <v>2.3596500210640397E-2</v>
      </c>
      <c r="O1227" s="1288">
        <v>9.7878610719134475E-3</v>
      </c>
      <c r="P1227" s="1237">
        <v>4.8939305359567238E-3</v>
      </c>
      <c r="Q1227" s="1290">
        <v>8.2317751572897654E-2</v>
      </c>
    </row>
    <row r="1228" spans="1:17" s="212" customFormat="1" ht="15.5" x14ac:dyDescent="0.35">
      <c r="A1228" s="198">
        <v>2036</v>
      </c>
      <c r="B1228" s="197" t="s">
        <v>5838</v>
      </c>
      <c r="C1228" s="197">
        <v>1993</v>
      </c>
      <c r="D1228" s="225" t="str">
        <f t="shared" si="13"/>
        <v>2036_1993</v>
      </c>
      <c r="E1228" s="1287">
        <v>0.36877973071885567</v>
      </c>
      <c r="F1228" s="1306">
        <v>0.5072491589435445</v>
      </c>
      <c r="G1228" s="1303">
        <v>8.7970190258621948</v>
      </c>
      <c r="H1228" s="1306">
        <v>2.2479964529502765</v>
      </c>
      <c r="I1228" s="1303">
        <v>5.4020315601302563E-2</v>
      </c>
      <c r="J1228" s="1306">
        <v>9.4686867517046625E-3</v>
      </c>
      <c r="K1228" s="1303">
        <v>2.9557088030001434E-3</v>
      </c>
      <c r="L1228" s="1288">
        <v>1.9999804676351157E-3</v>
      </c>
      <c r="M1228" s="1230">
        <v>1.9999804676351157E-3</v>
      </c>
      <c r="N1228" s="1303">
        <v>2.6261113778151449E-2</v>
      </c>
      <c r="O1228" s="1288">
        <v>1.0842817374741548E-2</v>
      </c>
      <c r="P1228" s="1237">
        <v>5.421408687370774E-3</v>
      </c>
      <c r="Q1228" s="1290">
        <v>5.6462874561193262E-2</v>
      </c>
    </row>
    <row r="1229" spans="1:17" s="212" customFormat="1" ht="15.5" x14ac:dyDescent="0.35">
      <c r="A1229" s="198">
        <v>2036</v>
      </c>
      <c r="B1229" s="197" t="s">
        <v>5838</v>
      </c>
      <c r="C1229" s="197">
        <v>1994</v>
      </c>
      <c r="D1229" s="225" t="str">
        <f t="shared" si="13"/>
        <v>2036_1994</v>
      </c>
      <c r="E1229" s="1287">
        <v>0.31971496452297343</v>
      </c>
      <c r="F1229" s="1306">
        <v>0.50536322071249595</v>
      </c>
      <c r="G1229" s="1303">
        <v>7.6234421030004986</v>
      </c>
      <c r="H1229" s="1306">
        <v>2.1058063838610788</v>
      </c>
      <c r="I1229" s="1303">
        <v>5.3771754046185116E-2</v>
      </c>
      <c r="J1229" s="1306">
        <v>9.6551623652904612E-3</v>
      </c>
      <c r="K1229" s="1303">
        <v>2.793563870029984E-3</v>
      </c>
      <c r="L1229" s="1288">
        <v>1.9999774621964543E-3</v>
      </c>
      <c r="M1229" s="1230">
        <v>1.9999774621964543E-3</v>
      </c>
      <c r="N1229" s="1303">
        <v>2.2432719135221962E-2</v>
      </c>
      <c r="O1229" s="1288">
        <v>8.0479475608360475E-3</v>
      </c>
      <c r="P1229" s="1237">
        <v>4.0239737804180237E-3</v>
      </c>
      <c r="Q1229" s="1290">
        <v>5.6203074155528936E-2</v>
      </c>
    </row>
    <row r="1230" spans="1:17" s="212" customFormat="1" ht="15.5" x14ac:dyDescent="0.35">
      <c r="A1230" s="198">
        <v>2036</v>
      </c>
      <c r="B1230" s="197" t="s">
        <v>5838</v>
      </c>
      <c r="C1230" s="197">
        <v>1995</v>
      </c>
      <c r="D1230" s="225" t="str">
        <f t="shared" si="13"/>
        <v>2036_1995</v>
      </c>
      <c r="E1230" s="1287">
        <v>0.36758167678264342</v>
      </c>
      <c r="F1230" s="1306">
        <v>0.37523663990956135</v>
      </c>
      <c r="G1230" s="1303">
        <v>9.0391687329033239</v>
      </c>
      <c r="H1230" s="1306">
        <v>1.6598351304817829</v>
      </c>
      <c r="I1230" s="1303">
        <v>5.3682600274009465E-2</v>
      </c>
      <c r="J1230" s="1306">
        <v>8.6845887299644223E-3</v>
      </c>
      <c r="K1230" s="1303">
        <v>2.9733436110079975E-3</v>
      </c>
      <c r="L1230" s="1288">
        <v>1.9999794171186133E-3</v>
      </c>
      <c r="M1230" s="1230">
        <v>1.9999794171186133E-3</v>
      </c>
      <c r="N1230" s="1303">
        <v>2.6676295240245708E-2</v>
      </c>
      <c r="O1230" s="1288">
        <v>1.0314975187569832E-2</v>
      </c>
      <c r="P1230" s="1237">
        <v>5.1574875937849159E-3</v>
      </c>
      <c r="Q1230" s="1290">
        <v>5.6109889245389503E-2</v>
      </c>
    </row>
    <row r="1231" spans="1:17" s="212" customFormat="1" ht="15.5" x14ac:dyDescent="0.35">
      <c r="A1231" s="198">
        <v>2036</v>
      </c>
      <c r="B1231" s="197" t="s">
        <v>5838</v>
      </c>
      <c r="C1231" s="197">
        <v>1996</v>
      </c>
      <c r="D1231" s="225" t="str">
        <f t="shared" si="13"/>
        <v>2036_1996</v>
      </c>
      <c r="E1231" s="1287">
        <v>0.37295398614769171</v>
      </c>
      <c r="F1231" s="1306">
        <v>0.12648383286461931</v>
      </c>
      <c r="G1231" s="1303">
        <v>9.1102177151436177</v>
      </c>
      <c r="H1231" s="1306">
        <v>0.98437026028071728</v>
      </c>
      <c r="I1231" s="1303">
        <v>5.3929651409893427E-2</v>
      </c>
      <c r="J1231" s="1306">
        <v>2.7164651510163109E-3</v>
      </c>
      <c r="K1231" s="1303">
        <v>2.9864925401166583E-3</v>
      </c>
      <c r="L1231" s="1288">
        <v>1.9999806922276994E-3</v>
      </c>
      <c r="M1231" s="1230">
        <v>1.9999806922276994E-3</v>
      </c>
      <c r="N1231" s="1303">
        <v>2.6981627056612906E-2</v>
      </c>
      <c r="O1231" s="1288">
        <v>1.0263896844282671E-2</v>
      </c>
      <c r="P1231" s="1237">
        <v>5.1319484221413357E-3</v>
      </c>
      <c r="Q1231" s="1290">
        <v>5.6368110937364962E-2</v>
      </c>
    </row>
    <row r="1232" spans="1:17" s="212" customFormat="1" ht="15.5" x14ac:dyDescent="0.35">
      <c r="A1232" s="198">
        <v>2036</v>
      </c>
      <c r="B1232" s="197" t="s">
        <v>5838</v>
      </c>
      <c r="C1232" s="197">
        <v>1997</v>
      </c>
      <c r="D1232" s="225" t="str">
        <f t="shared" si="13"/>
        <v>2036_1997</v>
      </c>
      <c r="E1232" s="1287">
        <v>0.37695887511127157</v>
      </c>
      <c r="F1232" s="1306">
        <v>0.12680723998347004</v>
      </c>
      <c r="G1232" s="1303">
        <v>9.16602888044266</v>
      </c>
      <c r="H1232" s="1306">
        <v>0.98934297987005915</v>
      </c>
      <c r="I1232" s="1303">
        <v>5.4106760333754542E-2</v>
      </c>
      <c r="J1232" s="1306">
        <v>2.7150640151618658E-3</v>
      </c>
      <c r="K1232" s="1303">
        <v>2.9966551928213387E-3</v>
      </c>
      <c r="L1232" s="1288">
        <v>1.9999802941729939E-3</v>
      </c>
      <c r="M1232" s="1230">
        <v>1.9999802941729939E-3</v>
      </c>
      <c r="N1232" s="1303">
        <v>2.7221551446676158E-2</v>
      </c>
      <c r="O1232" s="1288">
        <v>1.0117959945927617E-2</v>
      </c>
      <c r="P1232" s="1237">
        <v>5.0589799729638084E-3</v>
      </c>
      <c r="Q1232" s="1290">
        <v>5.6553227940853913E-2</v>
      </c>
    </row>
    <row r="1233" spans="1:17" s="212" customFormat="1" ht="15.5" x14ac:dyDescent="0.35">
      <c r="A1233" s="198">
        <v>2036</v>
      </c>
      <c r="B1233" s="197" t="s">
        <v>5838</v>
      </c>
      <c r="C1233" s="197">
        <v>1998</v>
      </c>
      <c r="D1233" s="225" t="str">
        <f t="shared" si="13"/>
        <v>2036_1998</v>
      </c>
      <c r="E1233" s="1287">
        <v>0.3763194742381869</v>
      </c>
      <c r="F1233" s="1306">
        <v>0.13044481281224629</v>
      </c>
      <c r="G1233" s="1303">
        <v>9.1723958932823368</v>
      </c>
      <c r="H1233" s="1306">
        <v>1.0140917325880343</v>
      </c>
      <c r="I1233" s="1303">
        <v>5.4019913084619835E-2</v>
      </c>
      <c r="J1233" s="1306">
        <v>2.7530297142651563E-3</v>
      </c>
      <c r="K1233" s="1303">
        <v>2.9964153019213647E-3</v>
      </c>
      <c r="L1233" s="1288">
        <v>1.9999784026323332E-3</v>
      </c>
      <c r="M1233" s="1230">
        <v>1.9999784026323332E-3</v>
      </c>
      <c r="N1233" s="1303">
        <v>2.7214829926058646E-2</v>
      </c>
      <c r="O1233" s="1288">
        <v>8.4323602581450694E-3</v>
      </c>
      <c r="P1233" s="1237">
        <v>4.2161801290725347E-3</v>
      </c>
      <c r="Q1233" s="1290">
        <v>5.6462453844492187E-2</v>
      </c>
    </row>
    <row r="1234" spans="1:17" s="212" customFormat="1" ht="15.5" x14ac:dyDescent="0.35">
      <c r="A1234" s="198">
        <v>2036</v>
      </c>
      <c r="B1234" s="197" t="s">
        <v>5838</v>
      </c>
      <c r="C1234" s="197">
        <v>1999</v>
      </c>
      <c r="D1234" s="225" t="str">
        <f t="shared" si="13"/>
        <v>2036_1999</v>
      </c>
      <c r="E1234" s="1287">
        <v>0.37715321516667011</v>
      </c>
      <c r="F1234" s="1306">
        <v>0.12775982336498176</v>
      </c>
      <c r="G1234" s="1303">
        <v>9.1943825091610147</v>
      </c>
      <c r="H1234" s="1306">
        <v>1.0028051324359972</v>
      </c>
      <c r="I1234" s="1303">
        <v>5.4049295849713186E-2</v>
      </c>
      <c r="J1234" s="1306">
        <v>2.7774984088815755E-3</v>
      </c>
      <c r="K1234" s="1303">
        <v>2.9988554698162921E-3</v>
      </c>
      <c r="L1234" s="1288">
        <v>1.9999775797204535E-3</v>
      </c>
      <c r="M1234" s="1230">
        <v>1.9999775797204535E-3</v>
      </c>
      <c r="N1234" s="1303">
        <v>2.7273025748036792E-2</v>
      </c>
      <c r="O1234" s="1288">
        <v>8.1372863739302831E-3</v>
      </c>
      <c r="P1234" s="1237">
        <v>4.0686431869651415E-3</v>
      </c>
      <c r="Q1234" s="1290">
        <v>5.6493165167839109E-2</v>
      </c>
    </row>
    <row r="1235" spans="1:17" s="212" customFormat="1" ht="15.5" x14ac:dyDescent="0.35">
      <c r="A1235" s="198">
        <v>2036</v>
      </c>
      <c r="B1235" s="197" t="s">
        <v>5838</v>
      </c>
      <c r="C1235" s="197">
        <v>2000</v>
      </c>
      <c r="D1235" s="225" t="str">
        <f t="shared" si="13"/>
        <v>2036_2000</v>
      </c>
      <c r="E1235" s="1287">
        <v>0.37557114845413897</v>
      </c>
      <c r="F1235" s="1306">
        <v>0.12218199340085156</v>
      </c>
      <c r="G1235" s="1303">
        <v>9.2326347039324101</v>
      </c>
      <c r="H1235" s="1306">
        <v>0.97465212847737681</v>
      </c>
      <c r="I1235" s="1303">
        <v>5.3791168786690019E-2</v>
      </c>
      <c r="J1235" s="1306">
        <v>2.7754551085538543E-3</v>
      </c>
      <c r="K1235" s="1303">
        <v>2.9996457355973816E-3</v>
      </c>
      <c r="L1235" s="1288">
        <v>1.999978592060509E-3</v>
      </c>
      <c r="M1235" s="1230">
        <v>1.999978592060509E-3</v>
      </c>
      <c r="N1235" s="1303">
        <v>2.729139493669424E-2</v>
      </c>
      <c r="O1235" s="1288">
        <v>8.3995322823559974E-3</v>
      </c>
      <c r="P1235" s="1237">
        <v>4.1997661411779987E-3</v>
      </c>
      <c r="Q1235" s="1290">
        <v>5.6223366744447834E-2</v>
      </c>
    </row>
    <row r="1236" spans="1:17" s="212" customFormat="1" ht="15.5" x14ac:dyDescent="0.35">
      <c r="A1236" s="198">
        <v>2036</v>
      </c>
      <c r="B1236" s="197" t="s">
        <v>5838</v>
      </c>
      <c r="C1236" s="197">
        <v>2001</v>
      </c>
      <c r="D1236" s="225" t="str">
        <f t="shared" si="13"/>
        <v>2036_2001</v>
      </c>
      <c r="E1236" s="1287">
        <v>0.37738310070269837</v>
      </c>
      <c r="F1236" s="1306">
        <v>0.11885199598101072</v>
      </c>
      <c r="G1236" s="1303">
        <v>9.2017306446719758</v>
      </c>
      <c r="H1236" s="1306">
        <v>0.95396581946541348</v>
      </c>
      <c r="I1236" s="1303">
        <v>5.4040881216002513E-2</v>
      </c>
      <c r="J1236" s="1306">
        <v>2.7969975677986868E-3</v>
      </c>
      <c r="K1236" s="1303">
        <v>2.9999046350551433E-3</v>
      </c>
      <c r="L1236" s="1288">
        <v>1.9999786459564723E-3</v>
      </c>
      <c r="M1236" s="1230">
        <v>1.9999786459564723E-3</v>
      </c>
      <c r="N1236" s="1303">
        <v>2.7297543016575426E-2</v>
      </c>
      <c r="O1236" s="1288">
        <v>7.8085175149609047E-3</v>
      </c>
      <c r="P1236" s="1237">
        <v>3.9042587574804524E-3</v>
      </c>
      <c r="Q1236" s="1290">
        <v>5.6484370061731341E-2</v>
      </c>
    </row>
    <row r="1237" spans="1:17" s="212" customFormat="1" ht="15.5" x14ac:dyDescent="0.35">
      <c r="A1237" s="198">
        <v>2036</v>
      </c>
      <c r="B1237" s="197" t="s">
        <v>5838</v>
      </c>
      <c r="C1237" s="197">
        <v>2002</v>
      </c>
      <c r="D1237" s="225" t="str">
        <f t="shared" si="13"/>
        <v>2036_2002</v>
      </c>
      <c r="E1237" s="1287">
        <v>0.29103156711520639</v>
      </c>
      <c r="F1237" s="1306">
        <v>0.11800985992313673</v>
      </c>
      <c r="G1237" s="1303">
        <v>7.1176795854016888</v>
      </c>
      <c r="H1237" s="1306">
        <v>0.92328236162766264</v>
      </c>
      <c r="I1237" s="1303">
        <v>5.4250159858449408E-2</v>
      </c>
      <c r="J1237" s="1306">
        <v>2.8092658300847406E-3</v>
      </c>
      <c r="K1237" s="1303">
        <v>2.9999428729536098E-3</v>
      </c>
      <c r="L1237" s="1288">
        <v>1.9999776197945954E-3</v>
      </c>
      <c r="M1237" s="1230">
        <v>1.9999776197945954E-3</v>
      </c>
      <c r="N1237" s="1303">
        <v>2.729839321383952E-2</v>
      </c>
      <c r="O1237" s="1288">
        <v>7.2961287328885266E-3</v>
      </c>
      <c r="P1237" s="1237">
        <v>3.6480643664442633E-3</v>
      </c>
      <c r="Q1237" s="1290">
        <v>5.6703111355729467E-2</v>
      </c>
    </row>
    <row r="1238" spans="1:17" s="212" customFormat="1" ht="15.5" x14ac:dyDescent="0.35">
      <c r="A1238" s="198">
        <v>2036</v>
      </c>
      <c r="B1238" s="197" t="s">
        <v>5838</v>
      </c>
      <c r="C1238" s="197">
        <v>2003</v>
      </c>
      <c r="D1238" s="225" t="str">
        <f t="shared" si="13"/>
        <v>2036_2003</v>
      </c>
      <c r="E1238" s="1287">
        <v>0.28946946165616022</v>
      </c>
      <c r="F1238" s="1306">
        <v>9.5397858757816548E-2</v>
      </c>
      <c r="G1238" s="1303">
        <v>7.1438633448040401</v>
      </c>
      <c r="H1238" s="1306">
        <v>0.7167074386833171</v>
      </c>
      <c r="I1238" s="1303">
        <v>5.3958926238797708E-2</v>
      </c>
      <c r="J1238" s="1306">
        <v>2.7944217400436492E-3</v>
      </c>
      <c r="K1238" s="1303">
        <v>2.9999435342490948E-3</v>
      </c>
      <c r="L1238" s="1288">
        <v>1.9999778653510434E-3</v>
      </c>
      <c r="M1238" s="1230">
        <v>1.9999778653510434E-3</v>
      </c>
      <c r="N1238" s="1303">
        <v>2.7298454321495861E-2</v>
      </c>
      <c r="O1238" s="1288">
        <v>7.7664163623247335E-3</v>
      </c>
      <c r="P1238" s="1237">
        <v>3.8832081811623668E-3</v>
      </c>
      <c r="Q1238" s="1290">
        <v>5.6398709444127115E-2</v>
      </c>
    </row>
    <row r="1239" spans="1:17" s="212" customFormat="1" ht="15.5" x14ac:dyDescent="0.35">
      <c r="A1239" s="198">
        <v>2036</v>
      </c>
      <c r="B1239" s="197" t="s">
        <v>5838</v>
      </c>
      <c r="C1239" s="197">
        <v>2004</v>
      </c>
      <c r="D1239" s="225" t="str">
        <f t="shared" si="13"/>
        <v>2036_2004</v>
      </c>
      <c r="E1239" s="1287">
        <v>0.59650873127526205</v>
      </c>
      <c r="F1239" s="1306">
        <v>1.8008111332370253E-2</v>
      </c>
      <c r="G1239" s="1303">
        <v>4.2095611716564809</v>
      </c>
      <c r="H1239" s="1306">
        <v>0.1227106335214968</v>
      </c>
      <c r="I1239" s="1303">
        <v>0.15453010233618117</v>
      </c>
      <c r="J1239" s="1306">
        <v>1.8710021507900468E-4</v>
      </c>
      <c r="K1239" s="1303">
        <v>2.9992946652111119E-3</v>
      </c>
      <c r="L1239" s="1288">
        <v>1.9999784240808598E-3</v>
      </c>
      <c r="M1239" s="1230">
        <v>1.9999784240808598E-3</v>
      </c>
      <c r="N1239" s="1303">
        <v>2.7283158538033606E-2</v>
      </c>
      <c r="O1239" s="1288">
        <v>7.1887299236164867E-3</v>
      </c>
      <c r="P1239" s="1237">
        <v>3.5943649618082434E-3</v>
      </c>
      <c r="Q1239" s="1290">
        <v>0.16151726784664977</v>
      </c>
    </row>
    <row r="1240" spans="1:17" s="212" customFormat="1" ht="15.5" x14ac:dyDescent="0.35">
      <c r="A1240" s="198">
        <v>2036</v>
      </c>
      <c r="B1240" s="197" t="s">
        <v>5838</v>
      </c>
      <c r="C1240" s="197">
        <v>2005</v>
      </c>
      <c r="D1240" s="225" t="str">
        <f t="shared" si="13"/>
        <v>2036_2005</v>
      </c>
      <c r="E1240" s="1287">
        <v>0.56778674829148368</v>
      </c>
      <c r="F1240" s="1306">
        <v>1.6078022121082836E-2</v>
      </c>
      <c r="G1240" s="1303">
        <v>4.0718613353204951</v>
      </c>
      <c r="H1240" s="1306">
        <v>0.10749585223746352</v>
      </c>
      <c r="I1240" s="1303">
        <v>0.14870377455491809</v>
      </c>
      <c r="J1240" s="1306">
        <v>1.8730661529433963E-4</v>
      </c>
      <c r="K1240" s="1303">
        <v>2.943784059512618E-3</v>
      </c>
      <c r="L1240" s="1288">
        <v>1.9999797556588487E-3</v>
      </c>
      <c r="M1240" s="1230">
        <v>1.9999797556588487E-3</v>
      </c>
      <c r="N1240" s="1303">
        <v>2.5973354362425833E-2</v>
      </c>
      <c r="O1240" s="1288">
        <v>6.6913712982223407E-3</v>
      </c>
      <c r="P1240" s="1237">
        <v>3.3456856491111703E-3</v>
      </c>
      <c r="Q1240" s="1290">
        <v>0.15542749937706482</v>
      </c>
    </row>
    <row r="1241" spans="1:17" s="212" customFormat="1" ht="15.5" x14ac:dyDescent="0.35">
      <c r="A1241" s="198">
        <v>2036</v>
      </c>
      <c r="B1241" s="197" t="s">
        <v>5838</v>
      </c>
      <c r="C1241" s="197">
        <v>2006</v>
      </c>
      <c r="D1241" s="225" t="str">
        <f t="shared" si="13"/>
        <v>2036_2006</v>
      </c>
      <c r="E1241" s="1287">
        <v>0.57797156434552344</v>
      </c>
      <c r="F1241" s="1306">
        <v>7.1529465816637106E-3</v>
      </c>
      <c r="G1241" s="1303">
        <v>4.124653241444781</v>
      </c>
      <c r="H1241" s="1306">
        <v>8.6889854220124962E-2</v>
      </c>
      <c r="I1241" s="1303">
        <v>0.15072347569001646</v>
      </c>
      <c r="J1241" s="1306">
        <v>1.821273325699247E-4</v>
      </c>
      <c r="K1241" s="1303">
        <v>2.9684536905886798E-3</v>
      </c>
      <c r="L1241" s="1288">
        <v>1.9999831046571019E-3</v>
      </c>
      <c r="M1241" s="1230">
        <v>1.9999831046571019E-3</v>
      </c>
      <c r="N1241" s="1303">
        <v>2.6555216139597462E-2</v>
      </c>
      <c r="O1241" s="1288">
        <v>9.8060084073485539E-3</v>
      </c>
      <c r="P1241" s="1237">
        <v>4.903004203674277E-3</v>
      </c>
      <c r="Q1241" s="1290">
        <v>0.15753852243520144</v>
      </c>
    </row>
    <row r="1242" spans="1:17" s="212" customFormat="1" ht="15.5" x14ac:dyDescent="0.35">
      <c r="A1242" s="198">
        <v>2036</v>
      </c>
      <c r="B1242" s="197" t="s">
        <v>5838</v>
      </c>
      <c r="C1242" s="197">
        <v>2007</v>
      </c>
      <c r="D1242" s="225" t="str">
        <f t="shared" si="13"/>
        <v>2036_2007</v>
      </c>
      <c r="E1242" s="1287">
        <v>0.32090219607874232</v>
      </c>
      <c r="F1242" s="1306">
        <v>8.9735053631296198E-3</v>
      </c>
      <c r="G1242" s="1303">
        <v>2.3363686460082795</v>
      </c>
      <c r="H1242" s="1306">
        <v>7.2183464664128907E-2</v>
      </c>
      <c r="I1242" s="1303">
        <v>8.3759653997158651E-2</v>
      </c>
      <c r="J1242" s="1306">
        <v>1.8638220579759906E-4</v>
      </c>
      <c r="K1242" s="1303">
        <v>2.9479678753195127E-3</v>
      </c>
      <c r="L1242" s="1288">
        <v>1.9999806499891972E-3</v>
      </c>
      <c r="M1242" s="1230">
        <v>1.9999806499891972E-3</v>
      </c>
      <c r="N1242" s="1303">
        <v>2.6072821189277319E-2</v>
      </c>
      <c r="O1242" s="1288">
        <v>6.9908314947630702E-3</v>
      </c>
      <c r="P1242" s="1237">
        <v>3.4954157473815351E-3</v>
      </c>
      <c r="Q1242" s="1290">
        <v>8.7546893872950338E-2</v>
      </c>
    </row>
    <row r="1243" spans="1:17" s="212" customFormat="1" ht="15.5" x14ac:dyDescent="0.35">
      <c r="A1243" s="198">
        <v>2036</v>
      </c>
      <c r="B1243" s="197" t="s">
        <v>5838</v>
      </c>
      <c r="C1243" s="197">
        <v>2008</v>
      </c>
      <c r="D1243" s="225" t="str">
        <f t="shared" si="13"/>
        <v>2036_2008</v>
      </c>
      <c r="E1243" s="1287">
        <v>0.32686869039693228</v>
      </c>
      <c r="F1243" s="1306">
        <v>8.3359846425497125E-3</v>
      </c>
      <c r="G1243" s="1303">
        <v>2.3843745276142481</v>
      </c>
      <c r="H1243" s="1306">
        <v>5.4498154621548597E-2</v>
      </c>
      <c r="I1243" s="1303">
        <v>8.5313204359406716E-2</v>
      </c>
      <c r="J1243" s="1306">
        <v>2.1012963459093878E-4</v>
      </c>
      <c r="K1243" s="1303">
        <v>2.9693374391585414E-3</v>
      </c>
      <c r="L1243" s="1288">
        <v>1.999980384978073E-3</v>
      </c>
      <c r="M1243" s="1230">
        <v>1.999980384978073E-3</v>
      </c>
      <c r="N1243" s="1303">
        <v>2.6577726851722785E-2</v>
      </c>
      <c r="O1243" s="1288">
        <v>6.9023514389243684E-3</v>
      </c>
      <c r="P1243" s="1237">
        <v>3.4511757194621842E-3</v>
      </c>
      <c r="Q1243" s="1290">
        <v>8.9170688888801558E-2</v>
      </c>
    </row>
    <row r="1244" spans="1:17" s="212" customFormat="1" ht="15.5" x14ac:dyDescent="0.35">
      <c r="A1244" s="198">
        <v>2036</v>
      </c>
      <c r="B1244" s="197" t="s">
        <v>5838</v>
      </c>
      <c r="C1244" s="197">
        <v>2009</v>
      </c>
      <c r="D1244" s="225" t="str">
        <f t="shared" si="13"/>
        <v>2036_2009</v>
      </c>
      <c r="E1244" s="1287">
        <v>0.31564534286904639</v>
      </c>
      <c r="F1244" s="1306">
        <v>7.9577870874141324E-3</v>
      </c>
      <c r="G1244" s="1303">
        <v>2.2775694307249963</v>
      </c>
      <c r="H1244" s="1306">
        <v>3.873782627453537E-2</v>
      </c>
      <c r="I1244" s="1303">
        <v>8.2204466804274456E-2</v>
      </c>
      <c r="J1244" s="1306">
        <v>2.3915506485188372E-4</v>
      </c>
      <c r="K1244" s="1303">
        <v>2.9177912078374763E-3</v>
      </c>
      <c r="L1244" s="1288">
        <v>1.9999795141919263E-3</v>
      </c>
      <c r="M1244" s="1230">
        <v>1.9999795141919263E-3</v>
      </c>
      <c r="N1244" s="1303">
        <v>2.5366147456430135E-2</v>
      </c>
      <c r="O1244" s="1288">
        <v>5.4012330096186887E-3</v>
      </c>
      <c r="P1244" s="1237">
        <v>2.7006165048093444E-3</v>
      </c>
      <c r="Q1244" s="1290">
        <v>8.5921388016244729E-2</v>
      </c>
    </row>
    <row r="1245" spans="1:17" s="212" customFormat="1" ht="15.5" x14ac:dyDescent="0.35">
      <c r="A1245" s="198">
        <v>2036</v>
      </c>
      <c r="B1245" s="197" t="s">
        <v>5838</v>
      </c>
      <c r="C1245" s="197">
        <v>2010</v>
      </c>
      <c r="D1245" s="225" t="str">
        <f t="shared" si="13"/>
        <v>2036_2010</v>
      </c>
      <c r="E1245" s="1287">
        <v>6.7582700541496843E-2</v>
      </c>
      <c r="F1245" s="1306">
        <v>7.3432245578723236E-3</v>
      </c>
      <c r="G1245" s="1303">
        <v>0.58852211527535703</v>
      </c>
      <c r="H1245" s="1306">
        <v>3.6828396048620246E-2</v>
      </c>
      <c r="I1245" s="1303">
        <v>1.8702385816050684E-2</v>
      </c>
      <c r="J1245" s="1306">
        <v>2.9571656860353493E-4</v>
      </c>
      <c r="K1245" s="1303">
        <v>2.8136476209802367E-3</v>
      </c>
      <c r="L1245" s="1288">
        <v>1.9999812807565067E-3</v>
      </c>
      <c r="M1245" s="1230">
        <v>1.9999812807565067E-3</v>
      </c>
      <c r="N1245" s="1303">
        <v>2.2915460098253317E-2</v>
      </c>
      <c r="O1245" s="1288">
        <v>4.5632154424671842E-3</v>
      </c>
      <c r="P1245" s="1237">
        <v>2.2816077212335921E-3</v>
      </c>
      <c r="Q1245" s="1290">
        <v>1.95480247120445E-2</v>
      </c>
    </row>
    <row r="1246" spans="1:17" s="212" customFormat="1" ht="15.5" x14ac:dyDescent="0.35">
      <c r="A1246" s="198">
        <v>2036</v>
      </c>
      <c r="B1246" s="197" t="s">
        <v>5838</v>
      </c>
      <c r="C1246" s="197">
        <v>2011</v>
      </c>
      <c r="D1246" s="225" t="str">
        <f t="shared" si="13"/>
        <v>2036_2011</v>
      </c>
      <c r="E1246" s="1287">
        <v>7.2444022989947565E-2</v>
      </c>
      <c r="F1246" s="1306">
        <v>7.3238634486396635E-3</v>
      </c>
      <c r="G1246" s="1303">
        <v>0.64602563327813489</v>
      </c>
      <c r="H1246" s="1306">
        <v>3.6672707250987716E-2</v>
      </c>
      <c r="I1246" s="1303">
        <v>1.9963385402492369E-2</v>
      </c>
      <c r="J1246" s="1306">
        <v>3.9312248527631439E-4</v>
      </c>
      <c r="K1246" s="1303">
        <v>2.9012345802981688E-3</v>
      </c>
      <c r="L1246" s="1288">
        <v>1.9999829880817123E-3</v>
      </c>
      <c r="M1246" s="1230">
        <v>1.9999829880817123E-3</v>
      </c>
      <c r="N1246" s="1303">
        <v>2.4983247014314421E-2</v>
      </c>
      <c r="O1246" s="1288">
        <v>5.5398730658511031E-3</v>
      </c>
      <c r="P1246" s="1237">
        <v>2.7699365329255515E-3</v>
      </c>
      <c r="Q1246" s="1290">
        <v>2.0866041104182314E-2</v>
      </c>
    </row>
    <row r="1247" spans="1:17" s="212" customFormat="1" ht="15.5" x14ac:dyDescent="0.35">
      <c r="A1247" s="198">
        <v>2036</v>
      </c>
      <c r="B1247" s="197" t="s">
        <v>5838</v>
      </c>
      <c r="C1247" s="197">
        <v>2012</v>
      </c>
      <c r="D1247" s="225" t="str">
        <f t="shared" si="13"/>
        <v>2036_2012</v>
      </c>
      <c r="E1247" s="1287">
        <v>5.6462823729891809E-2</v>
      </c>
      <c r="F1247" s="1306">
        <v>6.9779234099741523E-3</v>
      </c>
      <c r="G1247" s="1303">
        <v>0.4712245522217362</v>
      </c>
      <c r="H1247" s="1306">
        <v>3.556866644174729E-2</v>
      </c>
      <c r="I1247" s="1303">
        <v>1.5940547766833714E-2</v>
      </c>
      <c r="J1247" s="1306">
        <v>5.7012049792468556E-4</v>
      </c>
      <c r="K1247" s="1303">
        <v>2.6458943308367445E-3</v>
      </c>
      <c r="L1247" s="1288">
        <v>1.9999836109089245E-3</v>
      </c>
      <c r="M1247" s="1230">
        <v>1.9999836109089245E-3</v>
      </c>
      <c r="N1247" s="1303">
        <v>1.8954544806314581E-2</v>
      </c>
      <c r="O1247" s="1288">
        <v>5.9822246348310805E-3</v>
      </c>
      <c r="P1247" s="1237">
        <v>2.9911123174155402E-3</v>
      </c>
      <c r="Q1247" s="1290">
        <v>1.6661308601716825E-2</v>
      </c>
    </row>
    <row r="1248" spans="1:17" s="212" customFormat="1" ht="15.5" x14ac:dyDescent="0.35">
      <c r="A1248" s="198">
        <v>2036</v>
      </c>
      <c r="B1248" s="197" t="s">
        <v>5838</v>
      </c>
      <c r="C1248" s="197">
        <v>2013</v>
      </c>
      <c r="D1248" s="225" t="str">
        <f t="shared" si="13"/>
        <v>2036_2013</v>
      </c>
      <c r="E1248" s="1287">
        <v>7.0393916612622787E-2</v>
      </c>
      <c r="F1248" s="1306">
        <v>7.4918691256247233E-3</v>
      </c>
      <c r="G1248" s="1303">
        <v>0.62182921114795897</v>
      </c>
      <c r="H1248" s="1306">
        <v>3.6772710851200173E-2</v>
      </c>
      <c r="I1248" s="1303">
        <v>1.9402354700390211E-2</v>
      </c>
      <c r="J1248" s="1306">
        <v>8.5234628378691966E-4</v>
      </c>
      <c r="K1248" s="1303">
        <v>2.8666883287280314E-3</v>
      </c>
      <c r="L1248" s="1288">
        <v>1.999985338110044E-3</v>
      </c>
      <c r="M1248" s="1230">
        <v>1.999985338110044E-3</v>
      </c>
      <c r="N1248" s="1303">
        <v>2.4169645167095185E-2</v>
      </c>
      <c r="O1248" s="1288">
        <v>5.9823458060349046E-3</v>
      </c>
      <c r="P1248" s="1237">
        <v>2.9911729030174523E-3</v>
      </c>
      <c r="Q1248" s="1290">
        <v>2.0279643083268007E-2</v>
      </c>
    </row>
    <row r="1249" spans="1:17" s="212" customFormat="1" ht="15.5" x14ac:dyDescent="0.35">
      <c r="A1249" s="198">
        <v>2036</v>
      </c>
      <c r="B1249" s="197" t="s">
        <v>5838</v>
      </c>
      <c r="C1249" s="197">
        <v>2014</v>
      </c>
      <c r="D1249" s="225" t="str">
        <f t="shared" si="13"/>
        <v>2036_2014</v>
      </c>
      <c r="E1249" s="1287">
        <v>6.1811540648837163E-2</v>
      </c>
      <c r="F1249" s="1306">
        <v>7.6163802242178924E-3</v>
      </c>
      <c r="G1249" s="1303">
        <v>0.52886248011131254</v>
      </c>
      <c r="H1249" s="1306">
        <v>3.7026048831795631E-2</v>
      </c>
      <c r="I1249" s="1303">
        <v>1.7205786051802913E-2</v>
      </c>
      <c r="J1249" s="1306">
        <v>1.204858619306644E-3</v>
      </c>
      <c r="K1249" s="1303">
        <v>2.7333531499270872E-3</v>
      </c>
      <c r="L1249" s="1288">
        <v>1.9999850550569695E-3</v>
      </c>
      <c r="M1249" s="1230">
        <v>1.9999850550569695E-3</v>
      </c>
      <c r="N1249" s="1303">
        <v>2.1017535259655079E-2</v>
      </c>
      <c r="O1249" s="1288">
        <v>5.0860007713349163E-3</v>
      </c>
      <c r="P1249" s="1237">
        <v>2.5430003856674582E-3</v>
      </c>
      <c r="Q1249" s="1290">
        <v>1.7983755347520614E-2</v>
      </c>
    </row>
    <row r="1250" spans="1:17" s="212" customFormat="1" ht="15.5" x14ac:dyDescent="0.35">
      <c r="A1250" s="198">
        <v>2036</v>
      </c>
      <c r="B1250" s="197" t="s">
        <v>5838</v>
      </c>
      <c r="C1250" s="197">
        <v>2015</v>
      </c>
      <c r="D1250" s="225" t="str">
        <f t="shared" si="13"/>
        <v>2036_2015</v>
      </c>
      <c r="E1250" s="1287">
        <v>5.691383465647825E-2</v>
      </c>
      <c r="F1250" s="1306">
        <v>7.4441358586783534E-3</v>
      </c>
      <c r="G1250" s="1303">
        <v>0.47892969347927733</v>
      </c>
      <c r="H1250" s="1306">
        <v>3.6026348254227944E-2</v>
      </c>
      <c r="I1250" s="1303">
        <v>1.5952405236616736E-2</v>
      </c>
      <c r="J1250" s="1306">
        <v>1.4926636505654561E-3</v>
      </c>
      <c r="K1250" s="1303">
        <v>2.6653688479716742E-3</v>
      </c>
      <c r="L1250" s="1288">
        <v>1.9999862212675811E-3</v>
      </c>
      <c r="M1250" s="1230">
        <v>1.9999862212675811E-3</v>
      </c>
      <c r="N1250" s="1303">
        <v>1.939554917648615E-2</v>
      </c>
      <c r="O1250" s="1288">
        <v>5.9215348228695867E-3</v>
      </c>
      <c r="P1250" s="1237">
        <v>2.9607674114347934E-3</v>
      </c>
      <c r="Q1250" s="1290">
        <v>1.6673702213666736E-2</v>
      </c>
    </row>
    <row r="1251" spans="1:17" s="212" customFormat="1" ht="15.5" x14ac:dyDescent="0.35">
      <c r="A1251" s="198">
        <v>2036</v>
      </c>
      <c r="B1251" s="197" t="s">
        <v>5838</v>
      </c>
      <c r="C1251" s="197">
        <v>2016</v>
      </c>
      <c r="D1251" s="225" t="str">
        <f t="shared" si="13"/>
        <v>2036_2016</v>
      </c>
      <c r="E1251" s="1287">
        <v>6.610156794989229E-2</v>
      </c>
      <c r="F1251" s="1306">
        <v>7.2971980427574325E-3</v>
      </c>
      <c r="G1251" s="1303">
        <v>0.51514643700933871</v>
      </c>
      <c r="H1251" s="1306">
        <v>3.5069626981563608E-2</v>
      </c>
      <c r="I1251" s="1303">
        <v>1.8148403804722473E-2</v>
      </c>
      <c r="J1251" s="1306">
        <v>1.6958152512383821E-3</v>
      </c>
      <c r="K1251" s="1303">
        <v>2.8286024544455337E-3</v>
      </c>
      <c r="L1251" s="1288">
        <v>1.9999857135163637E-3</v>
      </c>
      <c r="M1251" s="1230">
        <v>1.9999857135163637E-3</v>
      </c>
      <c r="N1251" s="1303">
        <v>2.3250855945926102E-2</v>
      </c>
      <c r="O1251" s="1288">
        <v>6.8333765143728355E-3</v>
      </c>
      <c r="P1251" s="1237">
        <v>3.4166882571864178E-3</v>
      </c>
      <c r="Q1251" s="1290">
        <v>1.8968994092422826E-2</v>
      </c>
    </row>
    <row r="1252" spans="1:17" s="212" customFormat="1" ht="15.5" x14ac:dyDescent="0.35">
      <c r="A1252" s="198">
        <v>2036</v>
      </c>
      <c r="B1252" s="197" t="s">
        <v>5838</v>
      </c>
      <c r="C1252" s="197">
        <v>2017</v>
      </c>
      <c r="D1252" s="225" t="str">
        <f t="shared" si="13"/>
        <v>2036_2017</v>
      </c>
      <c r="E1252" s="1287">
        <v>6.7677083275621636E-2</v>
      </c>
      <c r="F1252" s="1306">
        <v>6.9988332988337428E-3</v>
      </c>
      <c r="G1252" s="1303">
        <v>0.46000459169380448</v>
      </c>
      <c r="H1252" s="1306">
        <v>3.4074715724312081E-2</v>
      </c>
      <c r="I1252" s="1303">
        <v>1.8387198292637519E-2</v>
      </c>
      <c r="J1252" s="1306">
        <v>1.8218063988830581E-3</v>
      </c>
      <c r="K1252" s="1303">
        <v>2.8591821949649023E-3</v>
      </c>
      <c r="L1252" s="1288">
        <v>1.9999849526852547E-3</v>
      </c>
      <c r="M1252" s="1230">
        <v>1.9999849526852547E-3</v>
      </c>
      <c r="N1252" s="1303">
        <v>2.3975248714297411E-2</v>
      </c>
      <c r="O1252" s="1288">
        <v>6.7837235501378608E-3</v>
      </c>
      <c r="P1252" s="1237">
        <v>3.3918617750689304E-3</v>
      </c>
      <c r="Q1252" s="1290">
        <v>1.9218585807446526E-2</v>
      </c>
    </row>
    <row r="1253" spans="1:17" s="212" customFormat="1" ht="15.5" x14ac:dyDescent="0.35">
      <c r="A1253" s="198">
        <v>2036</v>
      </c>
      <c r="B1253" s="197" t="s">
        <v>5838</v>
      </c>
      <c r="C1253" s="197">
        <v>2018</v>
      </c>
      <c r="D1253" s="225" t="str">
        <f t="shared" si="13"/>
        <v>2036_2018</v>
      </c>
      <c r="E1253" s="1287">
        <v>6.2709572350871254E-2</v>
      </c>
      <c r="F1253" s="1306">
        <v>6.8435747356022474E-3</v>
      </c>
      <c r="G1253" s="1303">
        <v>0.34645014116625689</v>
      </c>
      <c r="H1253" s="1306">
        <v>3.336012127666959E-2</v>
      </c>
      <c r="I1253" s="1303">
        <v>1.6983697455355374E-2</v>
      </c>
      <c r="J1253" s="1306">
        <v>1.9250888621811324E-3</v>
      </c>
      <c r="K1253" s="1303">
        <v>2.7799455786402232E-3</v>
      </c>
      <c r="L1253" s="1288">
        <v>1.9999829452959491E-3</v>
      </c>
      <c r="M1253" s="1230">
        <v>1.9999829452959491E-3</v>
      </c>
      <c r="N1253" s="1303">
        <v>2.2093893408397396E-2</v>
      </c>
      <c r="O1253" s="1288">
        <v>6.1309303129741836E-3</v>
      </c>
      <c r="P1253" s="1237">
        <v>3.0654651564870918E-3</v>
      </c>
      <c r="Q1253" s="1290">
        <v>1.775162489024527E-2</v>
      </c>
    </row>
    <row r="1254" spans="1:17" s="212" customFormat="1" ht="15.5" x14ac:dyDescent="0.35">
      <c r="A1254" s="198">
        <v>2036</v>
      </c>
      <c r="B1254" s="197" t="s">
        <v>5838</v>
      </c>
      <c r="C1254" s="197">
        <v>2019</v>
      </c>
      <c r="D1254" s="225" t="str">
        <f t="shared" si="13"/>
        <v>2036_2019</v>
      </c>
      <c r="E1254" s="1287">
        <v>7.0883056140922551E-2</v>
      </c>
      <c r="F1254" s="1306">
        <v>6.680523420124547E-3</v>
      </c>
      <c r="G1254" s="1303">
        <v>0.34871483297069589</v>
      </c>
      <c r="H1254" s="1306">
        <v>3.2372134197489397E-2</v>
      </c>
      <c r="I1254" s="1303">
        <v>1.8747847550538935E-2</v>
      </c>
      <c r="J1254" s="1306">
        <v>1.8285733937921397E-3</v>
      </c>
      <c r="K1254" s="1303">
        <v>2.9324919953091031E-3</v>
      </c>
      <c r="L1254" s="1288">
        <v>1.9999803304177597E-3</v>
      </c>
      <c r="M1254" s="1230">
        <v>1.9999803304177597E-3</v>
      </c>
      <c r="N1254" s="1303">
        <v>2.570281316175993E-2</v>
      </c>
      <c r="O1254" s="1288">
        <v>6.1429541791649571E-3</v>
      </c>
      <c r="P1254" s="1237">
        <v>3.0714770895824786E-3</v>
      </c>
      <c r="Q1254" s="1290">
        <v>1.9595542024432974E-2</v>
      </c>
    </row>
    <row r="1255" spans="1:17" s="212" customFormat="1" ht="15.5" x14ac:dyDescent="0.35">
      <c r="A1255" s="198">
        <v>2036</v>
      </c>
      <c r="B1255" s="197" t="s">
        <v>5838</v>
      </c>
      <c r="C1255" s="197">
        <v>2020</v>
      </c>
      <c r="D1255" s="225" t="str">
        <f t="shared" si="13"/>
        <v>2036_2020</v>
      </c>
      <c r="E1255" s="1287">
        <v>6.0931444313550687E-2</v>
      </c>
      <c r="F1255" s="1306">
        <v>6.4892456527667359E-3</v>
      </c>
      <c r="G1255" s="1303">
        <v>0.26514682669372386</v>
      </c>
      <c r="H1255" s="1306">
        <v>3.1081607422625557E-2</v>
      </c>
      <c r="I1255" s="1303">
        <v>1.6501615221958917E-2</v>
      </c>
      <c r="J1255" s="1306">
        <v>1.3546306821133999E-3</v>
      </c>
      <c r="K1255" s="1303">
        <v>2.8972754842080989E-3</v>
      </c>
      <c r="L1255" s="1288">
        <v>1.9999775945781723E-3</v>
      </c>
      <c r="M1255" s="1230">
        <v>1.9999775945781723E-3</v>
      </c>
      <c r="N1255" s="1303">
        <v>2.487484840920906E-2</v>
      </c>
      <c r="O1255" s="1288">
        <v>6.2392502988931134E-3</v>
      </c>
      <c r="P1255" s="1237">
        <v>3.1196251494465567E-3</v>
      </c>
      <c r="Q1255" s="1290">
        <v>1.7247745037462875E-2</v>
      </c>
    </row>
    <row r="1256" spans="1:17" s="212" customFormat="1" ht="15.5" x14ac:dyDescent="0.35">
      <c r="A1256" s="198">
        <v>2036</v>
      </c>
      <c r="B1256" s="197" t="s">
        <v>5838</v>
      </c>
      <c r="C1256" s="197">
        <v>2021</v>
      </c>
      <c r="D1256" s="225" t="str">
        <f t="shared" si="13"/>
        <v>2036_2021</v>
      </c>
      <c r="E1256" s="1287">
        <v>5.923249282434008E-2</v>
      </c>
      <c r="F1256" s="1306">
        <v>6.2256765544619836E-3</v>
      </c>
      <c r="G1256" s="1303">
        <v>0.21189197465562451</v>
      </c>
      <c r="H1256" s="1306">
        <v>2.9871722383461238E-2</v>
      </c>
      <c r="I1256" s="1303">
        <v>1.5560801319104747E-2</v>
      </c>
      <c r="J1256" s="1306">
        <v>8.8614677403675579E-4</v>
      </c>
      <c r="K1256" s="1303">
        <v>2.8935314407905767E-3</v>
      </c>
      <c r="L1256" s="1288">
        <v>1.999977869515166E-3</v>
      </c>
      <c r="M1256" s="1230">
        <v>1.999977869515166E-3</v>
      </c>
      <c r="N1256" s="1303">
        <v>2.4782633139483562E-2</v>
      </c>
      <c r="O1256" s="1288">
        <v>6.1961128409223215E-3</v>
      </c>
      <c r="P1256" s="1237">
        <v>3.0980564204611608E-3</v>
      </c>
      <c r="Q1256" s="1290">
        <v>1.6264391704721552E-2</v>
      </c>
    </row>
    <row r="1257" spans="1:17" s="212" customFormat="1" ht="15.5" x14ac:dyDescent="0.35">
      <c r="A1257" s="198">
        <v>2036</v>
      </c>
      <c r="B1257" s="197" t="s">
        <v>5838</v>
      </c>
      <c r="C1257" s="197">
        <v>2022</v>
      </c>
      <c r="D1257" s="225" t="str">
        <f t="shared" si="13"/>
        <v>2036_2022</v>
      </c>
      <c r="E1257" s="1287">
        <v>5.8489930990695854E-2</v>
      </c>
      <c r="F1257" s="1306">
        <v>5.99314421812637E-3</v>
      </c>
      <c r="G1257" s="1303">
        <v>0.16113794688190516</v>
      </c>
      <c r="H1257" s="1306">
        <v>2.8659183876397751E-2</v>
      </c>
      <c r="I1257" s="1303">
        <v>1.5068353256403476E-2</v>
      </c>
      <c r="J1257" s="1306">
        <v>8.8627513899056597E-4</v>
      </c>
      <c r="K1257" s="1303">
        <v>2.8907713951862712E-3</v>
      </c>
      <c r="L1257" s="1288">
        <v>1.9999781132254983E-3</v>
      </c>
      <c r="M1257" s="1230">
        <v>1.9999781132254983E-3</v>
      </c>
      <c r="N1257" s="1303">
        <v>2.4713103220336024E-2</v>
      </c>
      <c r="O1257" s="1288">
        <v>6.1747265064693666E-3</v>
      </c>
      <c r="P1257" s="1237">
        <v>3.0873632532346833E-3</v>
      </c>
      <c r="Q1257" s="1290">
        <v>1.5749677325830803E-2</v>
      </c>
    </row>
    <row r="1258" spans="1:17" s="212" customFormat="1" ht="15.5" x14ac:dyDescent="0.35">
      <c r="A1258" s="198">
        <v>2036</v>
      </c>
      <c r="B1258" s="197" t="s">
        <v>5838</v>
      </c>
      <c r="C1258" s="197">
        <v>2023</v>
      </c>
      <c r="D1258" s="225" t="str">
        <f t="shared" si="13"/>
        <v>2036_2023</v>
      </c>
      <c r="E1258" s="1287">
        <v>5.766061818924996E-2</v>
      </c>
      <c r="F1258" s="1306">
        <v>5.6276491231442571E-3</v>
      </c>
      <c r="G1258" s="1303">
        <v>0.15736489845061513</v>
      </c>
      <c r="H1258" s="1306">
        <v>2.7457253093772806E-2</v>
      </c>
      <c r="I1258" s="1303">
        <v>1.4525147563244259E-2</v>
      </c>
      <c r="J1258" s="1306">
        <v>8.8629700728066042E-4</v>
      </c>
      <c r="K1258" s="1303">
        <v>2.8875480217693985E-3</v>
      </c>
      <c r="L1258" s="1288">
        <v>1.9999783102185712E-3</v>
      </c>
      <c r="M1258" s="1230">
        <v>1.9999783102185712E-3</v>
      </c>
      <c r="N1258" s="1303">
        <v>2.4631993902992363E-2</v>
      </c>
      <c r="O1258" s="1288">
        <v>6.1398568258352179E-3</v>
      </c>
      <c r="P1258" s="1237">
        <v>3.0699284129176089E-3</v>
      </c>
      <c r="Q1258" s="1290">
        <v>1.5181910281666501E-2</v>
      </c>
    </row>
    <row r="1259" spans="1:17" s="212" customFormat="1" ht="15.5" x14ac:dyDescent="0.35">
      <c r="A1259" s="198">
        <v>2036</v>
      </c>
      <c r="B1259" s="197" t="s">
        <v>5838</v>
      </c>
      <c r="C1259" s="197">
        <v>2024</v>
      </c>
      <c r="D1259" s="225" t="str">
        <f t="shared" si="13"/>
        <v>2036_2024</v>
      </c>
      <c r="E1259" s="1287">
        <v>5.652768271430348E-2</v>
      </c>
      <c r="F1259" s="1306">
        <v>4.9960361450487774E-3</v>
      </c>
      <c r="G1259" s="1303">
        <v>0.15262099737113063</v>
      </c>
      <c r="H1259" s="1306">
        <v>2.594153407556234E-2</v>
      </c>
      <c r="I1259" s="1303">
        <v>1.3876174652828305E-2</v>
      </c>
      <c r="J1259" s="1306">
        <v>8.851413709603913E-4</v>
      </c>
      <c r="K1259" s="1303">
        <v>2.8800690248488542E-3</v>
      </c>
      <c r="L1259" s="1288">
        <v>1.9999784201537195E-3</v>
      </c>
      <c r="M1259" s="1305">
        <v>2.000000142330826E-3</v>
      </c>
      <c r="N1259" s="1303">
        <v>2.4449039787362931E-2</v>
      </c>
      <c r="O1259" s="1288">
        <v>5.9824958059761226E-3</v>
      </c>
      <c r="P1259" s="1301">
        <v>3.5063095631845073E-3</v>
      </c>
      <c r="Q1259" s="1290">
        <v>1.4503593696016085E-2</v>
      </c>
    </row>
    <row r="1260" spans="1:17" s="212" customFormat="1" ht="15.5" x14ac:dyDescent="0.35">
      <c r="A1260" s="198">
        <v>2036</v>
      </c>
      <c r="B1260" s="197" t="s">
        <v>5838</v>
      </c>
      <c r="C1260" s="197">
        <v>2025</v>
      </c>
      <c r="D1260" s="225" t="str">
        <f t="shared" si="13"/>
        <v>2036_2025</v>
      </c>
      <c r="E1260" s="1287">
        <v>5.5482181029140071E-2</v>
      </c>
      <c r="F1260" s="1306">
        <v>4.4536450617028893E-3</v>
      </c>
      <c r="G1260" s="1303">
        <v>0.1480243230511229</v>
      </c>
      <c r="H1260" s="1306">
        <v>2.4585089675323444E-2</v>
      </c>
      <c r="I1260" s="1303">
        <v>1.3225489327927374E-2</v>
      </c>
      <c r="J1260" s="1306">
        <v>8.8462337742146633E-4</v>
      </c>
      <c r="K1260" s="1303">
        <v>2.875078580464509E-3</v>
      </c>
      <c r="L1260" s="1288">
        <v>1.9999785329851442E-3</v>
      </c>
      <c r="M1260" s="1305">
        <v>2.0000000460507214E-3</v>
      </c>
      <c r="N1260" s="1303">
        <v>2.4324227195627001E-2</v>
      </c>
      <c r="O1260" s="1288">
        <v>5.8828002492955439E-3</v>
      </c>
      <c r="P1260" s="1301">
        <v>3.9324497067197489E-3</v>
      </c>
      <c r="Q1260" s="1290">
        <v>1.3823487268096551E-2</v>
      </c>
    </row>
    <row r="1261" spans="1:17" s="212" customFormat="1" ht="15.5" x14ac:dyDescent="0.35">
      <c r="A1261" s="198">
        <v>2036</v>
      </c>
      <c r="B1261" s="197" t="s">
        <v>5838</v>
      </c>
      <c r="C1261" s="197">
        <v>2026</v>
      </c>
      <c r="D1261" s="225" t="str">
        <f t="shared" si="13"/>
        <v>2036_2026</v>
      </c>
      <c r="E1261" s="1287">
        <v>5.4360995822760785E-2</v>
      </c>
      <c r="F1261" s="1306">
        <v>4.3860465631832338E-3</v>
      </c>
      <c r="G1261" s="1303">
        <v>0.14311225063557581</v>
      </c>
      <c r="H1261" s="1306">
        <v>2.3952459566236796E-2</v>
      </c>
      <c r="I1261" s="1303">
        <v>1.2530718211307482E-2</v>
      </c>
      <c r="J1261" s="1306">
        <v>7.6972076936628931E-4</v>
      </c>
      <c r="K1261" s="1303">
        <v>2.8697116046334072E-3</v>
      </c>
      <c r="L1261" s="1288">
        <v>1.999978591298805E-3</v>
      </c>
      <c r="M1261" s="1305">
        <v>1.9999998688454562E-3</v>
      </c>
      <c r="N1261" s="1303">
        <v>2.4189462739605792E-2</v>
      </c>
      <c r="O1261" s="1288">
        <v>5.7250939429888612E-3</v>
      </c>
      <c r="P1261" s="1301">
        <v>4.7625611509304671E-3</v>
      </c>
      <c r="Q1261" s="1290">
        <v>1.3097301684584263E-2</v>
      </c>
    </row>
    <row r="1262" spans="1:17" s="212" customFormat="1" ht="15.5" x14ac:dyDescent="0.35">
      <c r="A1262" s="198">
        <v>2036</v>
      </c>
      <c r="B1262" s="197" t="s">
        <v>5838</v>
      </c>
      <c r="C1262" s="197">
        <v>2027</v>
      </c>
      <c r="D1262" s="225" t="str">
        <f t="shared" si="13"/>
        <v>2036_2027</v>
      </c>
      <c r="E1262" s="1287">
        <v>5.2967517368207602E-2</v>
      </c>
      <c r="F1262" s="1306">
        <v>4.3375135180254727E-3</v>
      </c>
      <c r="G1262" s="1303">
        <v>0.13735912473948511</v>
      </c>
      <c r="H1262" s="1306">
        <v>2.3295040601214477E-2</v>
      </c>
      <c r="I1262" s="1303">
        <v>1.174753993483083E-2</v>
      </c>
      <c r="J1262" s="1306">
        <v>6.3434147063803708E-4</v>
      </c>
      <c r="K1262" s="1303">
        <v>2.8603612065014458E-3</v>
      </c>
      <c r="L1262" s="1288">
        <v>1.9999785702329523E-3</v>
      </c>
      <c r="M1262" s="1305">
        <v>1.9999996810430567E-3</v>
      </c>
      <c r="N1262" s="1303">
        <v>2.3958444291676227E-2</v>
      </c>
      <c r="O1262" s="1288">
        <v>5.5492151584991814E-3</v>
      </c>
      <c r="P1262" s="1301">
        <v>5.6055563566906287E-3</v>
      </c>
      <c r="Q1262" s="1290">
        <v>1.2278711561747509E-2</v>
      </c>
    </row>
    <row r="1263" spans="1:17" s="212" customFormat="1" ht="15.5" x14ac:dyDescent="0.35">
      <c r="A1263" s="198">
        <v>2036</v>
      </c>
      <c r="B1263" s="197" t="s">
        <v>5838</v>
      </c>
      <c r="C1263" s="197">
        <v>2028</v>
      </c>
      <c r="D1263" s="225" t="str">
        <f t="shared" si="13"/>
        <v>2036_2028</v>
      </c>
      <c r="E1263" s="1287">
        <v>5.1567867797824851E-2</v>
      </c>
      <c r="F1263" s="1306">
        <v>4.2234867770959408E-3</v>
      </c>
      <c r="G1263" s="1303">
        <v>0.13150704390476192</v>
      </c>
      <c r="H1263" s="1306">
        <v>2.2514514932878926E-2</v>
      </c>
      <c r="I1263" s="1303">
        <v>1.0942479402583777E-2</v>
      </c>
      <c r="J1263" s="1306">
        <v>5.1685907208184824E-4</v>
      </c>
      <c r="K1263" s="1303">
        <v>2.8517488985645724E-3</v>
      </c>
      <c r="L1263" s="1288">
        <v>1.999978650552685E-3</v>
      </c>
      <c r="M1263" s="1305">
        <v>1.9999995699610321E-3</v>
      </c>
      <c r="N1263" s="1303">
        <v>2.3743332381854807E-2</v>
      </c>
      <c r="O1263" s="1288">
        <v>5.3833345936719068E-3</v>
      </c>
      <c r="P1263" s="1301">
        <v>6.2505001532364209E-3</v>
      </c>
      <c r="Q1263" s="1290">
        <v>1.1437249764635459E-2</v>
      </c>
    </row>
    <row r="1264" spans="1:17" s="212" customFormat="1" ht="15.5" x14ac:dyDescent="0.35">
      <c r="A1264" s="198">
        <v>2036</v>
      </c>
      <c r="B1264" s="197" t="s">
        <v>5838</v>
      </c>
      <c r="C1264" s="197">
        <v>2029</v>
      </c>
      <c r="D1264" s="225" t="str">
        <f t="shared" si="13"/>
        <v>2036_2029</v>
      </c>
      <c r="E1264" s="1287">
        <v>5.0020159130404293E-2</v>
      </c>
      <c r="F1264" s="1306">
        <v>4.0970570561965434E-3</v>
      </c>
      <c r="G1264" s="1303">
        <v>0.12518652979409292</v>
      </c>
      <c r="H1264" s="1306">
        <v>2.1671994179523084E-2</v>
      </c>
      <c r="I1264" s="1303">
        <v>1.0085547976241702E-2</v>
      </c>
      <c r="J1264" s="1306">
        <v>5.1372242326563509E-4</v>
      </c>
      <c r="K1264" s="1303">
        <v>2.8412279043842567E-3</v>
      </c>
      <c r="L1264" s="1288">
        <v>1.9999786496325044E-3</v>
      </c>
      <c r="M1264" s="1305">
        <v>1.9999994518693355E-3</v>
      </c>
      <c r="N1264" s="1303">
        <v>2.3480809263100498E-2</v>
      </c>
      <c r="O1264" s="1288">
        <v>5.204885432085451E-3</v>
      </c>
      <c r="P1264" s="1301">
        <v>6.7412107567634228E-3</v>
      </c>
      <c r="Q1264" s="1290">
        <v>1.0541571701771014E-2</v>
      </c>
    </row>
    <row r="1265" spans="1:17" s="212" customFormat="1" ht="15.5" x14ac:dyDescent="0.35">
      <c r="A1265" s="198">
        <v>2036</v>
      </c>
      <c r="B1265" s="197" t="s">
        <v>5838</v>
      </c>
      <c r="C1265" s="197">
        <v>2030</v>
      </c>
      <c r="D1265" s="225" t="str">
        <f t="shared" si="13"/>
        <v>2036_2030</v>
      </c>
      <c r="E1265" s="1287">
        <v>4.8394271114457078E-2</v>
      </c>
      <c r="F1265" s="1306">
        <v>3.9704072359950824E-3</v>
      </c>
      <c r="G1265" s="1303">
        <v>0.11859708190749264</v>
      </c>
      <c r="H1265" s="1306">
        <v>2.0781579056636339E-2</v>
      </c>
      <c r="I1265" s="1303">
        <v>9.1953619645255211E-3</v>
      </c>
      <c r="J1265" s="1306">
        <v>5.105194538645684E-4</v>
      </c>
      <c r="K1265" s="1303">
        <v>2.8299953656204841E-3</v>
      </c>
      <c r="L1265" s="1288">
        <v>1.9999785897696775E-3</v>
      </c>
      <c r="M1265" s="1305">
        <v>1.9999993954929731E-3</v>
      </c>
      <c r="N1265" s="1303">
        <v>2.3199268330309511E-2</v>
      </c>
      <c r="O1265" s="1288">
        <v>5.0171728266878669E-3</v>
      </c>
      <c r="P1265" s="1301">
        <v>7.0931634927034063E-3</v>
      </c>
      <c r="Q1265" s="1290">
        <v>9.611135428747003E-3</v>
      </c>
    </row>
    <row r="1266" spans="1:17" s="212" customFormat="1" ht="15.5" x14ac:dyDescent="0.35">
      <c r="A1266" s="198">
        <v>2036</v>
      </c>
      <c r="B1266" s="197" t="s">
        <v>5838</v>
      </c>
      <c r="C1266" s="197">
        <v>2031</v>
      </c>
      <c r="D1266" s="225" t="str">
        <f t="shared" si="13"/>
        <v>2036_2031</v>
      </c>
      <c r="E1266" s="1287">
        <v>4.6608365758349965E-2</v>
      </c>
      <c r="F1266" s="1306">
        <v>3.7977401755451938E-3</v>
      </c>
      <c r="G1266" s="1303">
        <v>0.11155119567229367</v>
      </c>
      <c r="H1266" s="1306">
        <v>1.9812543452244973E-2</v>
      </c>
      <c r="I1266" s="1303">
        <v>8.2600333541707396E-3</v>
      </c>
      <c r="J1266" s="1306">
        <v>5.0685931651556172E-4</v>
      </c>
      <c r="K1266" s="1303">
        <v>2.8163975195816373E-3</v>
      </c>
      <c r="L1266" s="1288">
        <v>1.9999784346842082E-3</v>
      </c>
      <c r="M1266" s="1305">
        <v>1.9999993013287156E-3</v>
      </c>
      <c r="N1266" s="1303">
        <v>2.2858478366821686E-2</v>
      </c>
      <c r="O1266" s="1288">
        <v>4.8052170583863015E-3</v>
      </c>
      <c r="P1266" s="1301">
        <v>7.505214481420149E-3</v>
      </c>
      <c r="Q1266" s="1290">
        <v>8.6335154090911581E-3</v>
      </c>
    </row>
    <row r="1267" spans="1:17" s="212" customFormat="1" ht="15.5" x14ac:dyDescent="0.35">
      <c r="A1267" s="198">
        <v>2036</v>
      </c>
      <c r="B1267" s="197" t="s">
        <v>5838</v>
      </c>
      <c r="C1267" s="197">
        <v>2032</v>
      </c>
      <c r="D1267" s="225" t="str">
        <f t="shared" si="13"/>
        <v>2036_2032</v>
      </c>
      <c r="E1267" s="1287">
        <v>4.4823029571091119E-2</v>
      </c>
      <c r="F1267" s="1306">
        <v>3.6151192650239962E-3</v>
      </c>
      <c r="G1267" s="1303">
        <v>0.10446556355525707</v>
      </c>
      <c r="H1267" s="1306">
        <v>1.8792186738563772E-2</v>
      </c>
      <c r="I1267" s="1303">
        <v>7.3131709836443091E-3</v>
      </c>
      <c r="J1267" s="1306">
        <v>5.0400061365147338E-4</v>
      </c>
      <c r="K1267" s="1303">
        <v>2.8034333240737662E-3</v>
      </c>
      <c r="L1267" s="1288">
        <v>1.9999782545526063E-3</v>
      </c>
      <c r="M1267" s="1305">
        <v>1.9999991740640728E-3</v>
      </c>
      <c r="N1267" s="1303">
        <v>2.2530449744363946E-2</v>
      </c>
      <c r="O1267" s="1288">
        <v>4.6192359172871128E-3</v>
      </c>
      <c r="P1267" s="1301">
        <v>7.9088217892146033E-3</v>
      </c>
      <c r="Q1267" s="1290">
        <v>7.6438401238090922E-3</v>
      </c>
    </row>
    <row r="1268" spans="1:17" s="212" customFormat="1" ht="15.5" x14ac:dyDescent="0.35">
      <c r="A1268" s="198">
        <v>2036</v>
      </c>
      <c r="B1268" s="197" t="s">
        <v>5838</v>
      </c>
      <c r="C1268" s="197">
        <v>2033</v>
      </c>
      <c r="D1268" s="225" t="str">
        <f t="shared" si="13"/>
        <v>2036_2033</v>
      </c>
      <c r="E1268" s="1287">
        <v>4.2944166418804677E-2</v>
      </c>
      <c r="F1268" s="1306">
        <v>3.4276932528449341E-3</v>
      </c>
      <c r="G1268" s="1303">
        <v>9.7122649141646464E-2</v>
      </c>
      <c r="H1268" s="1306">
        <v>1.7742622506493201E-2</v>
      </c>
      <c r="I1268" s="1303">
        <v>6.3408657274157563E-3</v>
      </c>
      <c r="J1268" s="1306">
        <v>5.0121167403649415E-4</v>
      </c>
      <c r="K1268" s="1303">
        <v>2.7891907685475984E-3</v>
      </c>
      <c r="L1268" s="1288">
        <v>1.9999778899495021E-3</v>
      </c>
      <c r="M1268" s="1305">
        <v>1.999999063890845E-3</v>
      </c>
      <c r="N1268" s="1303">
        <v>2.2168910486987433E-2</v>
      </c>
      <c r="O1268" s="1288">
        <v>4.4241045825311838E-3</v>
      </c>
      <c r="P1268" s="1301">
        <v>8.2609380302652562E-3</v>
      </c>
      <c r="Q1268" s="1290">
        <v>6.6275715384345535E-3</v>
      </c>
    </row>
    <row r="1269" spans="1:17" s="212" customFormat="1" ht="15.5" x14ac:dyDescent="0.35">
      <c r="A1269" s="198">
        <v>2036</v>
      </c>
      <c r="B1269" s="197" t="s">
        <v>5838</v>
      </c>
      <c r="C1269" s="197">
        <v>2034</v>
      </c>
      <c r="D1269" s="225" t="str">
        <f t="shared" si="13"/>
        <v>2036_2034</v>
      </c>
      <c r="E1269" s="1287">
        <v>4.083863843600883E-2</v>
      </c>
      <c r="F1269" s="1306">
        <v>3.2337399386569887E-3</v>
      </c>
      <c r="G1269" s="1303">
        <v>8.9251990524001845E-2</v>
      </c>
      <c r="H1269" s="1306">
        <v>1.6653311288618876E-2</v>
      </c>
      <c r="I1269" s="1303">
        <v>5.3312332795479823E-3</v>
      </c>
      <c r="J1269" s="1306">
        <v>4.9844408311981541E-4</v>
      </c>
      <c r="K1269" s="1303">
        <v>2.7707885852812208E-3</v>
      </c>
      <c r="L1269" s="1288">
        <v>1.9999772467113219E-3</v>
      </c>
      <c r="M1269" s="1305">
        <v>1.9999989598072044E-3</v>
      </c>
      <c r="N1269" s="1303">
        <v>2.1703301030842306E-2</v>
      </c>
      <c r="O1269" s="1288">
        <v>4.213720217466398E-3</v>
      </c>
      <c r="P1269" s="1301">
        <v>8.5426048141513371E-3</v>
      </c>
      <c r="Q1269" s="1290">
        <v>5.5722879914518316E-3</v>
      </c>
    </row>
    <row r="1270" spans="1:17" s="212" customFormat="1" ht="15.5" x14ac:dyDescent="0.35">
      <c r="A1270" s="198">
        <v>2036</v>
      </c>
      <c r="B1270" s="197" t="s">
        <v>5838</v>
      </c>
      <c r="C1270" s="197">
        <v>2035</v>
      </c>
      <c r="D1270" s="225" t="str">
        <f t="shared" si="13"/>
        <v>2036_2035</v>
      </c>
      <c r="E1270" s="1287">
        <v>3.8620954959736109E-2</v>
      </c>
      <c r="F1270" s="1306">
        <v>3.0206334422103291E-3</v>
      </c>
      <c r="G1270" s="1303">
        <v>8.1166682669066445E-2</v>
      </c>
      <c r="H1270" s="1306">
        <v>1.5477039086410899E-2</v>
      </c>
      <c r="I1270" s="1303">
        <v>4.3112014798270528E-3</v>
      </c>
      <c r="J1270" s="1306">
        <v>4.9540516535880356E-4</v>
      </c>
      <c r="K1270" s="1303">
        <v>2.750338088427071E-3</v>
      </c>
      <c r="L1270" s="1288">
        <v>1.9999767303559455E-3</v>
      </c>
      <c r="M1270" s="1305">
        <v>1.9999988793458867E-3</v>
      </c>
      <c r="N1270" s="1303">
        <v>2.1183522536692336E-2</v>
      </c>
      <c r="O1270" s="1288">
        <v>3.9942061862582971E-3</v>
      </c>
      <c r="P1270" s="1301">
        <v>8.7892250286070901E-3</v>
      </c>
      <c r="Q1270" s="1290">
        <v>4.5061348800715939E-3</v>
      </c>
    </row>
    <row r="1271" spans="1:17" s="212" customFormat="1" ht="15.5" x14ac:dyDescent="0.35">
      <c r="A1271" s="198">
        <v>2036</v>
      </c>
      <c r="B1271" s="197" t="s">
        <v>5838</v>
      </c>
      <c r="C1271" s="197">
        <v>2036</v>
      </c>
      <c r="D1271" s="225" t="str">
        <f t="shared" si="13"/>
        <v>2036_2036</v>
      </c>
      <c r="E1271" s="1287">
        <v>3.6140538691317857E-2</v>
      </c>
      <c r="F1271" s="1306">
        <v>2.7823668503816914E-3</v>
      </c>
      <c r="G1271" s="1303">
        <v>7.260088249725756E-2</v>
      </c>
      <c r="H1271" s="1306">
        <v>1.4124253820199873E-2</v>
      </c>
      <c r="I1271" s="1303">
        <v>3.276864529776477E-3</v>
      </c>
      <c r="J1271" s="1306">
        <v>4.9223233641318323E-4</v>
      </c>
      <c r="K1271" s="1303">
        <v>2.7242378592161366E-3</v>
      </c>
      <c r="L1271" s="1288">
        <v>1.9999752678356289E-3</v>
      </c>
      <c r="M1271" s="1305">
        <v>1.9999990269341881E-3</v>
      </c>
      <c r="N1271" s="1303">
        <v>2.0522778450389228E-2</v>
      </c>
      <c r="O1271" s="1288">
        <v>3.7198290037576665E-3</v>
      </c>
      <c r="P1271" s="1301">
        <v>8.2866881423257939E-3</v>
      </c>
      <c r="Q1271" s="1290">
        <v>3.4250298029419742E-3</v>
      </c>
    </row>
    <row r="1272" spans="1:17" s="212" customFormat="1" ht="15.5" x14ac:dyDescent="0.35">
      <c r="A1272" s="198">
        <v>2036</v>
      </c>
      <c r="B1272" s="197" t="s">
        <v>5838</v>
      </c>
      <c r="C1272" s="197">
        <v>2037</v>
      </c>
      <c r="D1272" s="225" t="str">
        <f t="shared" si="13"/>
        <v>2036_2037</v>
      </c>
      <c r="E1272" s="1291">
        <v>3.6140538691317857E-2</v>
      </c>
      <c r="F1272" s="1280">
        <v>2.7823668503816914E-3</v>
      </c>
      <c r="G1272" s="1271">
        <v>7.260088249725756E-2</v>
      </c>
      <c r="H1272" s="1280">
        <v>1.4124253820199873E-2</v>
      </c>
      <c r="I1272" s="1271">
        <v>3.276864529776477E-3</v>
      </c>
      <c r="J1272" s="1280">
        <v>4.9223233641318323E-4</v>
      </c>
      <c r="K1272" s="1271">
        <v>2.7242378592161366E-3</v>
      </c>
      <c r="L1272" s="1257">
        <v>1.9999752678356289E-3</v>
      </c>
      <c r="M1272" s="1230">
        <v>1.9999990269341881E-3</v>
      </c>
      <c r="N1272" s="1271">
        <v>2.0522778450389228E-2</v>
      </c>
      <c r="O1272" s="1257">
        <v>3.7198290037576665E-3</v>
      </c>
      <c r="P1272" s="1237">
        <v>8.2866881423257939E-3</v>
      </c>
      <c r="Q1272" s="1292">
        <v>3.4250298029419742E-3</v>
      </c>
    </row>
    <row r="1273" spans="1:17" s="212" customFormat="1" ht="15.5" x14ac:dyDescent="0.35">
      <c r="A1273" s="198">
        <v>2037</v>
      </c>
      <c r="B1273" s="197" t="s">
        <v>5838</v>
      </c>
      <c r="C1273" s="197">
        <v>1971</v>
      </c>
      <c r="D1273" s="225" t="str">
        <f t="shared" si="13"/>
        <v>2037_1971</v>
      </c>
      <c r="E1273" s="1291">
        <v>0.36841178420197335</v>
      </c>
      <c r="F1273" s="1280">
        <v>0.50735258858168109</v>
      </c>
      <c r="G1273" s="1271">
        <v>8.787734519568442</v>
      </c>
      <c r="H1273" s="1280">
        <v>2.2477204997143292</v>
      </c>
      <c r="I1273" s="1271">
        <v>5.4016875844822995E-2</v>
      </c>
      <c r="J1273" s="1280">
        <v>9.4703306395426765E-3</v>
      </c>
      <c r="K1273" s="1271">
        <v>2.9544507698284362E-3</v>
      </c>
      <c r="L1273" s="1257">
        <v>1.9999802626571436E-3</v>
      </c>
      <c r="M1273" s="1230">
        <v>1.9999802626571436E-3</v>
      </c>
      <c r="N1273" s="1271">
        <v>2.6231593621679494E-2</v>
      </c>
      <c r="O1273" s="1257">
        <v>1.0844432517314413E-2</v>
      </c>
      <c r="P1273" s="1237">
        <v>5.4222162586572064E-3</v>
      </c>
      <c r="Q1273" s="1292">
        <v>5.6459279274189395E-2</v>
      </c>
    </row>
    <row r="1274" spans="1:17" s="212" customFormat="1" ht="15.5" x14ac:dyDescent="0.35">
      <c r="A1274" s="198">
        <v>2037</v>
      </c>
      <c r="B1274" s="197" t="s">
        <v>5838</v>
      </c>
      <c r="C1274" s="197">
        <v>1972</v>
      </c>
      <c r="D1274" s="225" t="str">
        <f t="shared" si="13"/>
        <v>2037_1972</v>
      </c>
      <c r="E1274" s="1291">
        <v>0.36841178420197335</v>
      </c>
      <c r="F1274" s="1280">
        <v>0.50735258858168109</v>
      </c>
      <c r="G1274" s="1271">
        <v>8.787734519568442</v>
      </c>
      <c r="H1274" s="1280">
        <v>2.2477204997143292</v>
      </c>
      <c r="I1274" s="1271">
        <v>5.4016875844822995E-2</v>
      </c>
      <c r="J1274" s="1280">
        <v>9.4703306395426765E-3</v>
      </c>
      <c r="K1274" s="1271">
        <v>2.9544507698284362E-3</v>
      </c>
      <c r="L1274" s="1257">
        <v>1.9999802626571436E-3</v>
      </c>
      <c r="M1274" s="1230">
        <v>1.9999802626571436E-3</v>
      </c>
      <c r="N1274" s="1271">
        <v>2.6231593621679494E-2</v>
      </c>
      <c r="O1274" s="1257">
        <v>1.0844432517314413E-2</v>
      </c>
      <c r="P1274" s="1237">
        <v>5.4222162586572064E-3</v>
      </c>
      <c r="Q1274" s="1292">
        <v>5.6459279274189395E-2</v>
      </c>
    </row>
    <row r="1275" spans="1:17" s="212" customFormat="1" ht="15.5" x14ac:dyDescent="0.35">
      <c r="A1275" s="198">
        <v>2037</v>
      </c>
      <c r="B1275" s="197" t="s">
        <v>5838</v>
      </c>
      <c r="C1275" s="197">
        <v>1973</v>
      </c>
      <c r="D1275" s="225" t="str">
        <f t="shared" si="13"/>
        <v>2037_1973</v>
      </c>
      <c r="E1275" s="1291">
        <v>0.36841178420197335</v>
      </c>
      <c r="F1275" s="1280">
        <v>0.50735258858168109</v>
      </c>
      <c r="G1275" s="1271">
        <v>8.787734519568442</v>
      </c>
      <c r="H1275" s="1280">
        <v>2.2477204997143292</v>
      </c>
      <c r="I1275" s="1271">
        <v>5.4016875844822995E-2</v>
      </c>
      <c r="J1275" s="1280">
        <v>9.4703306395426765E-3</v>
      </c>
      <c r="K1275" s="1271">
        <v>2.9544507698284362E-3</v>
      </c>
      <c r="L1275" s="1257">
        <v>1.9999802626571436E-3</v>
      </c>
      <c r="M1275" s="1230">
        <v>1.9999802626571436E-3</v>
      </c>
      <c r="N1275" s="1271">
        <v>2.6231593621679494E-2</v>
      </c>
      <c r="O1275" s="1257">
        <v>1.0844432517314413E-2</v>
      </c>
      <c r="P1275" s="1237">
        <v>5.4222162586572064E-3</v>
      </c>
      <c r="Q1275" s="1292">
        <v>5.6459279274189395E-2</v>
      </c>
    </row>
    <row r="1276" spans="1:17" s="212" customFormat="1" ht="15.5" x14ac:dyDescent="0.35">
      <c r="A1276" s="198">
        <v>2037</v>
      </c>
      <c r="B1276" s="197" t="s">
        <v>5838</v>
      </c>
      <c r="C1276" s="197">
        <v>1974</v>
      </c>
      <c r="D1276" s="225" t="str">
        <f t="shared" si="13"/>
        <v>2037_1974</v>
      </c>
      <c r="E1276" s="1291">
        <v>0.36841178420197335</v>
      </c>
      <c r="F1276" s="1280">
        <v>0.50735258858168109</v>
      </c>
      <c r="G1276" s="1271">
        <v>8.787734519568442</v>
      </c>
      <c r="H1276" s="1280">
        <v>2.2477204997143292</v>
      </c>
      <c r="I1276" s="1271">
        <v>5.4016875844822995E-2</v>
      </c>
      <c r="J1276" s="1280">
        <v>9.4703306395426765E-3</v>
      </c>
      <c r="K1276" s="1271">
        <v>2.9544507698284362E-3</v>
      </c>
      <c r="L1276" s="1257">
        <v>1.9999802626571436E-3</v>
      </c>
      <c r="M1276" s="1230">
        <v>1.9999802626571436E-3</v>
      </c>
      <c r="N1276" s="1271">
        <v>2.6231593621679494E-2</v>
      </c>
      <c r="O1276" s="1257">
        <v>1.0844432517314413E-2</v>
      </c>
      <c r="P1276" s="1237">
        <v>5.4222162586572064E-3</v>
      </c>
      <c r="Q1276" s="1292">
        <v>5.6459279274189395E-2</v>
      </c>
    </row>
    <row r="1277" spans="1:17" s="212" customFormat="1" ht="15.5" x14ac:dyDescent="0.35">
      <c r="A1277" s="198">
        <v>2037</v>
      </c>
      <c r="B1277" s="197" t="s">
        <v>5838</v>
      </c>
      <c r="C1277" s="197">
        <v>1975</v>
      </c>
      <c r="D1277" s="225" t="str">
        <f t="shared" si="13"/>
        <v>2037_1975</v>
      </c>
      <c r="E1277" s="1291">
        <v>0.36841178420197335</v>
      </c>
      <c r="F1277" s="1280">
        <v>0.50735258858168109</v>
      </c>
      <c r="G1277" s="1271">
        <v>8.787734519568442</v>
      </c>
      <c r="H1277" s="1280">
        <v>2.2477204997143292</v>
      </c>
      <c r="I1277" s="1271">
        <v>5.4016875844822995E-2</v>
      </c>
      <c r="J1277" s="1280">
        <v>9.4703306395426765E-3</v>
      </c>
      <c r="K1277" s="1271">
        <v>2.9544507698284362E-3</v>
      </c>
      <c r="L1277" s="1257">
        <v>1.9999802626571436E-3</v>
      </c>
      <c r="M1277" s="1230">
        <v>1.9999802626571436E-3</v>
      </c>
      <c r="N1277" s="1271">
        <v>2.6231593621679494E-2</v>
      </c>
      <c r="O1277" s="1257">
        <v>1.0844432517314413E-2</v>
      </c>
      <c r="P1277" s="1237">
        <v>5.4222162586572064E-3</v>
      </c>
      <c r="Q1277" s="1292">
        <v>5.6459279274189395E-2</v>
      </c>
    </row>
    <row r="1278" spans="1:17" s="212" customFormat="1" ht="15.5" x14ac:dyDescent="0.35">
      <c r="A1278" s="198">
        <v>2037</v>
      </c>
      <c r="B1278" s="197" t="s">
        <v>5838</v>
      </c>
      <c r="C1278" s="197">
        <v>1976</v>
      </c>
      <c r="D1278" s="225" t="str">
        <f t="shared" si="13"/>
        <v>2037_1976</v>
      </c>
      <c r="E1278" s="1291">
        <v>0.36841178420197335</v>
      </c>
      <c r="F1278" s="1280">
        <v>0.50735258858168109</v>
      </c>
      <c r="G1278" s="1271">
        <v>8.787734519568442</v>
      </c>
      <c r="H1278" s="1280">
        <v>2.2477204997143292</v>
      </c>
      <c r="I1278" s="1271">
        <v>5.4016875844822995E-2</v>
      </c>
      <c r="J1278" s="1280">
        <v>9.4703306395426765E-3</v>
      </c>
      <c r="K1278" s="1271">
        <v>2.9544507698284362E-3</v>
      </c>
      <c r="L1278" s="1257">
        <v>1.9999802626571436E-3</v>
      </c>
      <c r="M1278" s="1230">
        <v>1.9999802626571436E-3</v>
      </c>
      <c r="N1278" s="1271">
        <v>2.6231593621679494E-2</v>
      </c>
      <c r="O1278" s="1257">
        <v>1.0844432517314413E-2</v>
      </c>
      <c r="P1278" s="1237">
        <v>5.4222162586572064E-3</v>
      </c>
      <c r="Q1278" s="1292">
        <v>5.6459279274189395E-2</v>
      </c>
    </row>
    <row r="1279" spans="1:17" s="212" customFormat="1" ht="15.5" x14ac:dyDescent="0.35">
      <c r="A1279" s="198">
        <v>2037</v>
      </c>
      <c r="B1279" s="197" t="s">
        <v>5838</v>
      </c>
      <c r="C1279" s="197">
        <v>1977</v>
      </c>
      <c r="D1279" s="225" t="str">
        <f t="shared" si="13"/>
        <v>2037_1977</v>
      </c>
      <c r="E1279" s="1291">
        <v>0.36841178420197335</v>
      </c>
      <c r="F1279" s="1280">
        <v>0.50735258858168109</v>
      </c>
      <c r="G1279" s="1271">
        <v>8.787734519568442</v>
      </c>
      <c r="H1279" s="1280">
        <v>2.2477204997143292</v>
      </c>
      <c r="I1279" s="1271">
        <v>5.4016875844822995E-2</v>
      </c>
      <c r="J1279" s="1280">
        <v>9.4703306395426765E-3</v>
      </c>
      <c r="K1279" s="1271">
        <v>2.9544507698284362E-3</v>
      </c>
      <c r="L1279" s="1257">
        <v>1.9999802626571436E-3</v>
      </c>
      <c r="M1279" s="1230">
        <v>1.9999802626571436E-3</v>
      </c>
      <c r="N1279" s="1271">
        <v>2.6231593621679494E-2</v>
      </c>
      <c r="O1279" s="1257">
        <v>1.0844432517314413E-2</v>
      </c>
      <c r="P1279" s="1237">
        <v>5.4222162586572064E-3</v>
      </c>
      <c r="Q1279" s="1292">
        <v>5.6459279274189395E-2</v>
      </c>
    </row>
    <row r="1280" spans="1:17" s="212" customFormat="1" ht="15.5" x14ac:dyDescent="0.35">
      <c r="A1280" s="198">
        <v>2037</v>
      </c>
      <c r="B1280" s="197" t="s">
        <v>5838</v>
      </c>
      <c r="C1280" s="197">
        <v>1978</v>
      </c>
      <c r="D1280" s="225" t="str">
        <f t="shared" si="13"/>
        <v>2037_1978</v>
      </c>
      <c r="E1280" s="1291">
        <v>0.36841178420197335</v>
      </c>
      <c r="F1280" s="1280">
        <v>0.50735258858168109</v>
      </c>
      <c r="G1280" s="1271">
        <v>8.787734519568442</v>
      </c>
      <c r="H1280" s="1280">
        <v>2.2477204997143292</v>
      </c>
      <c r="I1280" s="1271">
        <v>5.4016875844822995E-2</v>
      </c>
      <c r="J1280" s="1280">
        <v>9.4703306395426765E-3</v>
      </c>
      <c r="K1280" s="1271">
        <v>2.9544507698284362E-3</v>
      </c>
      <c r="L1280" s="1257">
        <v>1.9999802626571436E-3</v>
      </c>
      <c r="M1280" s="1230">
        <v>1.9999802626571436E-3</v>
      </c>
      <c r="N1280" s="1271">
        <v>2.6231593621679494E-2</v>
      </c>
      <c r="O1280" s="1257">
        <v>1.0844432517314413E-2</v>
      </c>
      <c r="P1280" s="1237">
        <v>5.4222162586572064E-3</v>
      </c>
      <c r="Q1280" s="1292">
        <v>5.6459279274189395E-2</v>
      </c>
    </row>
    <row r="1281" spans="1:17" s="212" customFormat="1" ht="15.5" x14ac:dyDescent="0.35">
      <c r="A1281" s="198">
        <v>2037</v>
      </c>
      <c r="B1281" s="197" t="s">
        <v>5838</v>
      </c>
      <c r="C1281" s="197">
        <v>1979</v>
      </c>
      <c r="D1281" s="225" t="str">
        <f t="shared" si="13"/>
        <v>2037_1979</v>
      </c>
      <c r="E1281" s="1291">
        <v>0.36841178420197335</v>
      </c>
      <c r="F1281" s="1280">
        <v>0.50735258858168109</v>
      </c>
      <c r="G1281" s="1271">
        <v>8.787734519568442</v>
      </c>
      <c r="H1281" s="1280">
        <v>2.2477204997143292</v>
      </c>
      <c r="I1281" s="1271">
        <v>5.4016875844822995E-2</v>
      </c>
      <c r="J1281" s="1280">
        <v>9.4703306395426765E-3</v>
      </c>
      <c r="K1281" s="1271">
        <v>2.9544507698284362E-3</v>
      </c>
      <c r="L1281" s="1257">
        <v>1.9999802626571436E-3</v>
      </c>
      <c r="M1281" s="1230">
        <v>1.9999802626571436E-3</v>
      </c>
      <c r="N1281" s="1271">
        <v>2.6231593621679494E-2</v>
      </c>
      <c r="O1281" s="1257">
        <v>1.0844432517314413E-2</v>
      </c>
      <c r="P1281" s="1237">
        <v>5.4222162586572064E-3</v>
      </c>
      <c r="Q1281" s="1292">
        <v>5.6459279274189395E-2</v>
      </c>
    </row>
    <row r="1282" spans="1:17" s="212" customFormat="1" ht="15.5" x14ac:dyDescent="0.35">
      <c r="A1282" s="198">
        <v>2037</v>
      </c>
      <c r="B1282" s="197" t="s">
        <v>5838</v>
      </c>
      <c r="C1282" s="197">
        <v>1980</v>
      </c>
      <c r="D1282" s="225" t="str">
        <f t="shared" si="13"/>
        <v>2037_1980</v>
      </c>
      <c r="E1282" s="1291">
        <v>0.36841178420197335</v>
      </c>
      <c r="F1282" s="1280">
        <v>0.50735258858168109</v>
      </c>
      <c r="G1282" s="1271">
        <v>8.787734519568442</v>
      </c>
      <c r="H1282" s="1280">
        <v>2.2477204997143292</v>
      </c>
      <c r="I1282" s="1271">
        <v>5.4016875844822995E-2</v>
      </c>
      <c r="J1282" s="1280">
        <v>9.4703306395426765E-3</v>
      </c>
      <c r="K1282" s="1271">
        <v>2.9544507698284362E-3</v>
      </c>
      <c r="L1282" s="1257">
        <v>1.9999802626571436E-3</v>
      </c>
      <c r="M1282" s="1230">
        <v>1.9999802626571436E-3</v>
      </c>
      <c r="N1282" s="1271">
        <v>2.6231593621679494E-2</v>
      </c>
      <c r="O1282" s="1257">
        <v>1.0844432517314413E-2</v>
      </c>
      <c r="P1282" s="1237">
        <v>5.4222162586572064E-3</v>
      </c>
      <c r="Q1282" s="1292">
        <v>5.6459279274189395E-2</v>
      </c>
    </row>
    <row r="1283" spans="1:17" s="212" customFormat="1" ht="15.5" x14ac:dyDescent="0.35">
      <c r="A1283" s="198">
        <v>2037</v>
      </c>
      <c r="B1283" s="197" t="s">
        <v>5838</v>
      </c>
      <c r="C1283" s="197">
        <v>1981</v>
      </c>
      <c r="D1283" s="225" t="str">
        <f t="shared" si="13"/>
        <v>2037_1981</v>
      </c>
      <c r="E1283" s="1291">
        <v>0.36841178420197335</v>
      </c>
      <c r="F1283" s="1280">
        <v>0.50735258858168109</v>
      </c>
      <c r="G1283" s="1271">
        <v>8.787734519568442</v>
      </c>
      <c r="H1283" s="1280">
        <v>2.2477204997143292</v>
      </c>
      <c r="I1283" s="1271">
        <v>5.4016875844822995E-2</v>
      </c>
      <c r="J1283" s="1280">
        <v>9.4703306395426765E-3</v>
      </c>
      <c r="K1283" s="1271">
        <v>2.9544507698284362E-3</v>
      </c>
      <c r="L1283" s="1257">
        <v>1.9999802626571436E-3</v>
      </c>
      <c r="M1283" s="1230">
        <v>1.9999802626571436E-3</v>
      </c>
      <c r="N1283" s="1271">
        <v>2.6231593621679494E-2</v>
      </c>
      <c r="O1283" s="1257">
        <v>1.0844432517314413E-2</v>
      </c>
      <c r="P1283" s="1237">
        <v>5.4222162586572064E-3</v>
      </c>
      <c r="Q1283" s="1292">
        <v>5.6459279274189395E-2</v>
      </c>
    </row>
    <row r="1284" spans="1:17" s="212" customFormat="1" ht="15.5" x14ac:dyDescent="0.35">
      <c r="A1284" s="198">
        <v>2037</v>
      </c>
      <c r="B1284" s="197" t="s">
        <v>5838</v>
      </c>
      <c r="C1284" s="197">
        <v>1982</v>
      </c>
      <c r="D1284" s="225" t="str">
        <f t="shared" ref="D1284:D1392" si="14">CONCATENATE(A1284,"_",C1284)</f>
        <v>2037_1982</v>
      </c>
      <c r="E1284" s="1291">
        <v>0.36841178420197335</v>
      </c>
      <c r="F1284" s="1280">
        <v>0.50735258858168109</v>
      </c>
      <c r="G1284" s="1271">
        <v>8.787734519568442</v>
      </c>
      <c r="H1284" s="1280">
        <v>2.2477204997143292</v>
      </c>
      <c r="I1284" s="1271">
        <v>5.4016875844822995E-2</v>
      </c>
      <c r="J1284" s="1280">
        <v>9.4703306395426765E-3</v>
      </c>
      <c r="K1284" s="1271">
        <v>2.9544507698284362E-3</v>
      </c>
      <c r="L1284" s="1257">
        <v>1.9999802626571436E-3</v>
      </c>
      <c r="M1284" s="1230">
        <v>1.9999802626571436E-3</v>
      </c>
      <c r="N1284" s="1271">
        <v>2.6231593621679494E-2</v>
      </c>
      <c r="O1284" s="1257">
        <v>1.0844432517314413E-2</v>
      </c>
      <c r="P1284" s="1237">
        <v>5.4222162586572064E-3</v>
      </c>
      <c r="Q1284" s="1292">
        <v>5.6459279274189395E-2</v>
      </c>
    </row>
    <row r="1285" spans="1:17" s="212" customFormat="1" ht="15.5" x14ac:dyDescent="0.35">
      <c r="A1285" s="198">
        <v>2037</v>
      </c>
      <c r="B1285" s="197" t="s">
        <v>5838</v>
      </c>
      <c r="C1285" s="197">
        <v>1983</v>
      </c>
      <c r="D1285" s="225" t="str">
        <f t="shared" si="14"/>
        <v>2037_1983</v>
      </c>
      <c r="E1285" s="1291">
        <v>0.36841178420197335</v>
      </c>
      <c r="F1285" s="1280">
        <v>0.50735258858168109</v>
      </c>
      <c r="G1285" s="1271">
        <v>8.787734519568442</v>
      </c>
      <c r="H1285" s="1280">
        <v>2.2477204997143292</v>
      </c>
      <c r="I1285" s="1271">
        <v>5.4016875844822995E-2</v>
      </c>
      <c r="J1285" s="1280">
        <v>9.4703306395426765E-3</v>
      </c>
      <c r="K1285" s="1271">
        <v>2.9544507698284362E-3</v>
      </c>
      <c r="L1285" s="1257">
        <v>1.9999802626571436E-3</v>
      </c>
      <c r="M1285" s="1230">
        <v>1.9999802626571436E-3</v>
      </c>
      <c r="N1285" s="1271">
        <v>2.6231593621679494E-2</v>
      </c>
      <c r="O1285" s="1257">
        <v>1.0844432517314413E-2</v>
      </c>
      <c r="P1285" s="1237">
        <v>5.4222162586572064E-3</v>
      </c>
      <c r="Q1285" s="1292">
        <v>5.6459279274189395E-2</v>
      </c>
    </row>
    <row r="1286" spans="1:17" s="212" customFormat="1" ht="15.5" x14ac:dyDescent="0.35">
      <c r="A1286" s="198">
        <v>2037</v>
      </c>
      <c r="B1286" s="197" t="s">
        <v>5838</v>
      </c>
      <c r="C1286" s="197">
        <v>1984</v>
      </c>
      <c r="D1286" s="225" t="str">
        <f t="shared" si="14"/>
        <v>2037_1984</v>
      </c>
      <c r="E1286" s="1291">
        <v>0.36841178420197335</v>
      </c>
      <c r="F1286" s="1280">
        <v>0.50735258858168109</v>
      </c>
      <c r="G1286" s="1271">
        <v>8.787734519568442</v>
      </c>
      <c r="H1286" s="1280">
        <v>2.2477204997143292</v>
      </c>
      <c r="I1286" s="1271">
        <v>5.4016875844822995E-2</v>
      </c>
      <c r="J1286" s="1280">
        <v>9.4703306395426765E-3</v>
      </c>
      <c r="K1286" s="1271">
        <v>2.9544507698284362E-3</v>
      </c>
      <c r="L1286" s="1257">
        <v>1.9999802626571436E-3</v>
      </c>
      <c r="M1286" s="1230">
        <v>1.9999802626571436E-3</v>
      </c>
      <c r="N1286" s="1271">
        <v>2.6231593621679494E-2</v>
      </c>
      <c r="O1286" s="1257">
        <v>1.0844432517314413E-2</v>
      </c>
      <c r="P1286" s="1237">
        <v>5.4222162586572064E-3</v>
      </c>
      <c r="Q1286" s="1292">
        <v>5.6459279274189395E-2</v>
      </c>
    </row>
    <row r="1287" spans="1:17" s="212" customFormat="1" ht="15.5" x14ac:dyDescent="0.35">
      <c r="A1287" s="198">
        <v>2037</v>
      </c>
      <c r="B1287" s="197" t="s">
        <v>5838</v>
      </c>
      <c r="C1287" s="197">
        <v>1985</v>
      </c>
      <c r="D1287" s="225" t="str">
        <f t="shared" si="14"/>
        <v>2037_1985</v>
      </c>
      <c r="E1287" s="1291">
        <v>0.36841178420197335</v>
      </c>
      <c r="F1287" s="1280">
        <v>0.50735258858168109</v>
      </c>
      <c r="G1287" s="1271">
        <v>8.787734519568442</v>
      </c>
      <c r="H1287" s="1280">
        <v>2.2477204997143292</v>
      </c>
      <c r="I1287" s="1271">
        <v>5.4016875844822995E-2</v>
      </c>
      <c r="J1287" s="1280">
        <v>9.4703306395426765E-3</v>
      </c>
      <c r="K1287" s="1271">
        <v>2.9544507698284362E-3</v>
      </c>
      <c r="L1287" s="1257">
        <v>1.9999802626571436E-3</v>
      </c>
      <c r="M1287" s="1230">
        <v>1.9999802626571436E-3</v>
      </c>
      <c r="N1287" s="1271">
        <v>2.6231593621679494E-2</v>
      </c>
      <c r="O1287" s="1257">
        <v>1.0844432517314413E-2</v>
      </c>
      <c r="P1287" s="1237">
        <v>5.4222162586572064E-3</v>
      </c>
      <c r="Q1287" s="1292">
        <v>5.6459279274189395E-2</v>
      </c>
    </row>
    <row r="1288" spans="1:17" s="212" customFormat="1" ht="15.5" x14ac:dyDescent="0.35">
      <c r="A1288" s="198">
        <v>2037</v>
      </c>
      <c r="B1288" s="197" t="s">
        <v>5838</v>
      </c>
      <c r="C1288" s="197">
        <v>1986</v>
      </c>
      <c r="D1288" s="225" t="str">
        <f t="shared" si="14"/>
        <v>2037_1986</v>
      </c>
      <c r="E1288" s="1291">
        <v>0.36841178420197335</v>
      </c>
      <c r="F1288" s="1280">
        <v>0.50735258858168109</v>
      </c>
      <c r="G1288" s="1271">
        <v>8.787734519568442</v>
      </c>
      <c r="H1288" s="1280">
        <v>2.2477204997143292</v>
      </c>
      <c r="I1288" s="1271">
        <v>5.4016875844822995E-2</v>
      </c>
      <c r="J1288" s="1280">
        <v>9.4703306395426765E-3</v>
      </c>
      <c r="K1288" s="1271">
        <v>2.9544507698284362E-3</v>
      </c>
      <c r="L1288" s="1257">
        <v>1.9999802626571436E-3</v>
      </c>
      <c r="M1288" s="1230">
        <v>1.9999802626571436E-3</v>
      </c>
      <c r="N1288" s="1271">
        <v>2.6231593621679494E-2</v>
      </c>
      <c r="O1288" s="1257">
        <v>1.0844432517314413E-2</v>
      </c>
      <c r="P1288" s="1237">
        <v>5.4222162586572064E-3</v>
      </c>
      <c r="Q1288" s="1292">
        <v>5.6459279274189395E-2</v>
      </c>
    </row>
    <row r="1289" spans="1:17" s="212" customFormat="1" ht="15.5" x14ac:dyDescent="0.35">
      <c r="A1289" s="198">
        <v>2037</v>
      </c>
      <c r="B1289" s="197" t="s">
        <v>5838</v>
      </c>
      <c r="C1289" s="197">
        <v>1987</v>
      </c>
      <c r="D1289" s="225" t="str">
        <f t="shared" si="14"/>
        <v>2037_1987</v>
      </c>
      <c r="E1289" s="1291">
        <v>0.36841178420197335</v>
      </c>
      <c r="F1289" s="1280">
        <v>0.50735258858168109</v>
      </c>
      <c r="G1289" s="1271">
        <v>8.787734519568442</v>
      </c>
      <c r="H1289" s="1280">
        <v>2.2477204997143292</v>
      </c>
      <c r="I1289" s="1271">
        <v>5.4016875844822995E-2</v>
      </c>
      <c r="J1289" s="1280">
        <v>9.4703306395426765E-3</v>
      </c>
      <c r="K1289" s="1271">
        <v>2.9544507698284362E-3</v>
      </c>
      <c r="L1289" s="1257">
        <v>1.9999802626571436E-3</v>
      </c>
      <c r="M1289" s="1230">
        <v>1.9999802626571436E-3</v>
      </c>
      <c r="N1289" s="1271">
        <v>2.6231593621679494E-2</v>
      </c>
      <c r="O1289" s="1257">
        <v>1.0844432517314413E-2</v>
      </c>
      <c r="P1289" s="1237">
        <v>5.4222162586572064E-3</v>
      </c>
      <c r="Q1289" s="1292">
        <v>5.6459279274189395E-2</v>
      </c>
    </row>
    <row r="1290" spans="1:17" s="212" customFormat="1" ht="15.5" x14ac:dyDescent="0.35">
      <c r="A1290" s="198">
        <v>2037</v>
      </c>
      <c r="B1290" s="197" t="s">
        <v>5838</v>
      </c>
      <c r="C1290" s="197">
        <v>1988</v>
      </c>
      <c r="D1290" s="225" t="str">
        <f t="shared" si="14"/>
        <v>2037_1988</v>
      </c>
      <c r="E1290" s="1291">
        <v>0.36841178420197335</v>
      </c>
      <c r="F1290" s="1280">
        <v>0.50735258858168109</v>
      </c>
      <c r="G1290" s="1271">
        <v>8.787734519568442</v>
      </c>
      <c r="H1290" s="1280">
        <v>2.2477204997143292</v>
      </c>
      <c r="I1290" s="1271">
        <v>5.4016875844822995E-2</v>
      </c>
      <c r="J1290" s="1280">
        <v>9.4703306395426765E-3</v>
      </c>
      <c r="K1290" s="1271">
        <v>2.9544507698284362E-3</v>
      </c>
      <c r="L1290" s="1257">
        <v>1.9999802626571436E-3</v>
      </c>
      <c r="M1290" s="1230">
        <v>1.9999802626571436E-3</v>
      </c>
      <c r="N1290" s="1271">
        <v>2.6231593621679494E-2</v>
      </c>
      <c r="O1290" s="1257">
        <v>1.0844432517314413E-2</v>
      </c>
      <c r="P1290" s="1237">
        <v>5.4222162586572064E-3</v>
      </c>
      <c r="Q1290" s="1292">
        <v>5.6459279274189395E-2</v>
      </c>
    </row>
    <row r="1291" spans="1:17" s="212" customFormat="1" ht="15.5" x14ac:dyDescent="0.35">
      <c r="A1291" s="198">
        <v>2037</v>
      </c>
      <c r="B1291" s="197" t="s">
        <v>5838</v>
      </c>
      <c r="C1291" s="197">
        <v>1989</v>
      </c>
      <c r="D1291" s="225" t="str">
        <f t="shared" si="14"/>
        <v>2037_1989</v>
      </c>
      <c r="E1291" s="1291">
        <v>0.36841178420197335</v>
      </c>
      <c r="F1291" s="1280">
        <v>0.50735258858168109</v>
      </c>
      <c r="G1291" s="1271">
        <v>8.787734519568442</v>
      </c>
      <c r="H1291" s="1280">
        <v>2.2477204997143292</v>
      </c>
      <c r="I1291" s="1271">
        <v>5.4016875844822995E-2</v>
      </c>
      <c r="J1291" s="1280">
        <v>9.4703306395426765E-3</v>
      </c>
      <c r="K1291" s="1271">
        <v>2.9544507698284362E-3</v>
      </c>
      <c r="L1291" s="1257">
        <v>1.9999802626571436E-3</v>
      </c>
      <c r="M1291" s="1230">
        <v>1.9999802626571436E-3</v>
      </c>
      <c r="N1291" s="1271">
        <v>2.6231593621679494E-2</v>
      </c>
      <c r="O1291" s="1257">
        <v>1.0844432517314413E-2</v>
      </c>
      <c r="P1291" s="1237">
        <v>5.4222162586572064E-3</v>
      </c>
      <c r="Q1291" s="1292">
        <v>5.6459279274189395E-2</v>
      </c>
    </row>
    <row r="1292" spans="1:17" s="212" customFormat="1" ht="15.5" x14ac:dyDescent="0.35">
      <c r="A1292" s="198">
        <v>2037</v>
      </c>
      <c r="B1292" s="197" t="s">
        <v>5838</v>
      </c>
      <c r="C1292" s="197">
        <v>1990</v>
      </c>
      <c r="D1292" s="225" t="str">
        <f t="shared" si="14"/>
        <v>2037_1990</v>
      </c>
      <c r="E1292" s="1291">
        <v>0.36841178420197335</v>
      </c>
      <c r="F1292" s="1280">
        <v>0.50735258858168109</v>
      </c>
      <c r="G1292" s="1271">
        <v>8.787734519568442</v>
      </c>
      <c r="H1292" s="1280">
        <v>2.2477204997143292</v>
      </c>
      <c r="I1292" s="1271">
        <v>5.4016875844822995E-2</v>
      </c>
      <c r="J1292" s="1280">
        <v>9.4703306395426765E-3</v>
      </c>
      <c r="K1292" s="1271">
        <v>2.9544507698284362E-3</v>
      </c>
      <c r="L1292" s="1257">
        <v>1.9999802626571436E-3</v>
      </c>
      <c r="M1292" s="1230">
        <v>1.9999802626571436E-3</v>
      </c>
      <c r="N1292" s="1271">
        <v>2.6231593621679494E-2</v>
      </c>
      <c r="O1292" s="1257">
        <v>1.0844432517314413E-2</v>
      </c>
      <c r="P1292" s="1237">
        <v>5.4222162586572064E-3</v>
      </c>
      <c r="Q1292" s="1292">
        <v>5.6459279274189395E-2</v>
      </c>
    </row>
    <row r="1293" spans="1:17" s="212" customFormat="1" ht="15.5" x14ac:dyDescent="0.35">
      <c r="A1293" s="198">
        <v>2037</v>
      </c>
      <c r="B1293" s="197" t="s">
        <v>5838</v>
      </c>
      <c r="C1293" s="197">
        <v>1991</v>
      </c>
      <c r="D1293" s="225" t="str">
        <f t="shared" si="14"/>
        <v>2037_1991</v>
      </c>
      <c r="E1293" s="1291">
        <v>0.36841178420197335</v>
      </c>
      <c r="F1293" s="1280">
        <v>0.50735258858168109</v>
      </c>
      <c r="G1293" s="1271">
        <v>8.787734519568442</v>
      </c>
      <c r="H1293" s="1280">
        <v>2.2477204997143292</v>
      </c>
      <c r="I1293" s="1271">
        <v>5.4016875844822995E-2</v>
      </c>
      <c r="J1293" s="1280">
        <v>9.4703306395426765E-3</v>
      </c>
      <c r="K1293" s="1271">
        <v>2.9544507698284362E-3</v>
      </c>
      <c r="L1293" s="1257">
        <v>1.9999802626571436E-3</v>
      </c>
      <c r="M1293" s="1230">
        <v>1.9999802626571436E-3</v>
      </c>
      <c r="N1293" s="1271">
        <v>2.6231593621679494E-2</v>
      </c>
      <c r="O1293" s="1257">
        <v>1.0844432517314413E-2</v>
      </c>
      <c r="P1293" s="1237">
        <v>5.4222162586572064E-3</v>
      </c>
      <c r="Q1293" s="1292">
        <v>5.6459279274189395E-2</v>
      </c>
    </row>
    <row r="1294" spans="1:17" s="212" customFormat="1" ht="15.5" x14ac:dyDescent="0.35">
      <c r="A1294" s="198">
        <v>2037</v>
      </c>
      <c r="B1294" s="197" t="s">
        <v>5838</v>
      </c>
      <c r="C1294" s="197">
        <v>1992</v>
      </c>
      <c r="D1294" s="225" t="str">
        <f t="shared" si="14"/>
        <v>2037_1992</v>
      </c>
      <c r="E1294" s="1291">
        <v>0.36841178420197335</v>
      </c>
      <c r="F1294" s="1280">
        <v>0.50735258858168109</v>
      </c>
      <c r="G1294" s="1271">
        <v>8.787734519568442</v>
      </c>
      <c r="H1294" s="1280">
        <v>2.2477204997143292</v>
      </c>
      <c r="I1294" s="1271">
        <v>5.4016875844822995E-2</v>
      </c>
      <c r="J1294" s="1280">
        <v>9.4703306395426765E-3</v>
      </c>
      <c r="K1294" s="1271">
        <v>2.9544507698284362E-3</v>
      </c>
      <c r="L1294" s="1257">
        <v>1.9999802626571436E-3</v>
      </c>
      <c r="M1294" s="1230">
        <v>1.9999802626571436E-3</v>
      </c>
      <c r="N1294" s="1271">
        <v>2.6231593621679494E-2</v>
      </c>
      <c r="O1294" s="1257">
        <v>1.0844432517314413E-2</v>
      </c>
      <c r="P1294" s="1237">
        <v>5.4222162586572064E-3</v>
      </c>
      <c r="Q1294" s="1292">
        <v>5.6459279274189395E-2</v>
      </c>
    </row>
    <row r="1295" spans="1:17" s="212" customFormat="1" ht="15.5" x14ac:dyDescent="0.35">
      <c r="A1295" s="198">
        <v>2037</v>
      </c>
      <c r="B1295" s="197" t="s">
        <v>5838</v>
      </c>
      <c r="C1295" s="197">
        <v>1993</v>
      </c>
      <c r="D1295" s="225" t="str">
        <f t="shared" si="14"/>
        <v>2037_1993</v>
      </c>
      <c r="E1295" s="1287">
        <v>0.36841178420197335</v>
      </c>
      <c r="F1295" s="1306">
        <v>0.50735258858168109</v>
      </c>
      <c r="G1295" s="1303">
        <v>8.787734519568442</v>
      </c>
      <c r="H1295" s="1306">
        <v>2.2477204997143292</v>
      </c>
      <c r="I1295" s="1303">
        <v>5.4016875844822995E-2</v>
      </c>
      <c r="J1295" s="1306">
        <v>9.4703306395426765E-3</v>
      </c>
      <c r="K1295" s="1303">
        <v>2.9544507698284362E-3</v>
      </c>
      <c r="L1295" s="1288">
        <v>1.9999802626571436E-3</v>
      </c>
      <c r="M1295" s="1230">
        <v>1.9999802626571436E-3</v>
      </c>
      <c r="N1295" s="1303">
        <v>2.6231593621679494E-2</v>
      </c>
      <c r="O1295" s="1288">
        <v>1.0844432517314413E-2</v>
      </c>
      <c r="P1295" s="1237">
        <v>5.4222162586572064E-3</v>
      </c>
      <c r="Q1295" s="1290">
        <v>5.6459279274189395E-2</v>
      </c>
    </row>
    <row r="1296" spans="1:17" s="212" customFormat="1" ht="15.5" x14ac:dyDescent="0.35">
      <c r="A1296" s="198">
        <v>2037</v>
      </c>
      <c r="B1296" s="197" t="s">
        <v>5838</v>
      </c>
      <c r="C1296" s="197">
        <v>1994</v>
      </c>
      <c r="D1296" s="225" t="str">
        <f t="shared" si="14"/>
        <v>2037_1994</v>
      </c>
      <c r="E1296" s="1287">
        <v>0.31758214449229094</v>
      </c>
      <c r="F1296" s="1306">
        <v>0.50548242554247624</v>
      </c>
      <c r="G1296" s="1303">
        <v>7.5692931635905065</v>
      </c>
      <c r="H1296" s="1306">
        <v>2.1055123635936059</v>
      </c>
      <c r="I1296" s="1303">
        <v>5.3750362981131082E-2</v>
      </c>
      <c r="J1296" s="1306">
        <v>9.6571036011535768E-3</v>
      </c>
      <c r="K1296" s="1303">
        <v>2.7862536815533522E-3</v>
      </c>
      <c r="L1296" s="1288">
        <v>1.9999772108281848E-3</v>
      </c>
      <c r="M1296" s="1230">
        <v>1.9999772108281848E-3</v>
      </c>
      <c r="N1296" s="1303">
        <v>2.2260683527703315E-2</v>
      </c>
      <c r="O1296" s="1288">
        <v>8.049794297014053E-3</v>
      </c>
      <c r="P1296" s="1237">
        <v>4.0248971485070265E-3</v>
      </c>
      <c r="Q1296" s="1290">
        <v>5.6180715881434577E-2</v>
      </c>
    </row>
    <row r="1297" spans="1:17" s="212" customFormat="1" ht="15.5" x14ac:dyDescent="0.35">
      <c r="A1297" s="198">
        <v>2037</v>
      </c>
      <c r="B1297" s="197" t="s">
        <v>5838</v>
      </c>
      <c r="C1297" s="197">
        <v>1995</v>
      </c>
      <c r="D1297" s="225" t="str">
        <f t="shared" si="14"/>
        <v>2037_1995</v>
      </c>
      <c r="E1297" s="1287">
        <v>0.36588549800405717</v>
      </c>
      <c r="F1297" s="1306">
        <v>0.37533295410570866</v>
      </c>
      <c r="G1297" s="1303">
        <v>8.9944257062911053</v>
      </c>
      <c r="H1297" s="1306">
        <v>1.6596335618061535</v>
      </c>
      <c r="I1297" s="1303">
        <v>5.3674002664377149E-2</v>
      </c>
      <c r="J1297" s="1306">
        <v>8.686550037724174E-3</v>
      </c>
      <c r="K1297" s="1303">
        <v>2.9673956218058406E-3</v>
      </c>
      <c r="L1297" s="1288">
        <v>1.9999791867603939E-3</v>
      </c>
      <c r="M1297" s="1230">
        <v>1.9999791867603939E-3</v>
      </c>
      <c r="N1297" s="1303">
        <v>2.6537266484619178E-2</v>
      </c>
      <c r="O1297" s="1288">
        <v>1.0316649603552152E-2</v>
      </c>
      <c r="P1297" s="1237">
        <v>5.1583248017760758E-3</v>
      </c>
      <c r="Q1297" s="1290">
        <v>5.6100902890000914E-2</v>
      </c>
    </row>
    <row r="1298" spans="1:17" s="212" customFormat="1" ht="15.5" x14ac:dyDescent="0.35">
      <c r="A1298" s="198">
        <v>2037</v>
      </c>
      <c r="B1298" s="197" t="s">
        <v>5838</v>
      </c>
      <c r="C1298" s="197">
        <v>1996</v>
      </c>
      <c r="D1298" s="225" t="str">
        <f t="shared" si="14"/>
        <v>2037_1996</v>
      </c>
      <c r="E1298" s="1287">
        <v>0.37250688099187645</v>
      </c>
      <c r="F1298" s="1306">
        <v>0.12651893480066009</v>
      </c>
      <c r="G1298" s="1303">
        <v>9.0984440745336475</v>
      </c>
      <c r="H1298" s="1306">
        <v>0.98420082107814189</v>
      </c>
      <c r="I1298" s="1303">
        <v>5.3927053720365721E-2</v>
      </c>
      <c r="J1298" s="1306">
        <v>2.7170624753201618E-3</v>
      </c>
      <c r="K1298" s="1303">
        <v>2.9849231533201443E-3</v>
      </c>
      <c r="L1298" s="1288">
        <v>1.9999804587193118E-3</v>
      </c>
      <c r="M1298" s="1230">
        <v>1.9999804587193118E-3</v>
      </c>
      <c r="N1298" s="1303">
        <v>2.6944701814683721E-2</v>
      </c>
      <c r="O1298" s="1288">
        <v>1.0266274067822148E-2</v>
      </c>
      <c r="P1298" s="1237">
        <v>5.1331370339110739E-3</v>
      </c>
      <c r="Q1298" s="1290">
        <v>5.6365395791843909E-2</v>
      </c>
    </row>
    <row r="1299" spans="1:17" s="212" customFormat="1" ht="15.5" x14ac:dyDescent="0.35">
      <c r="A1299" s="198">
        <v>2037</v>
      </c>
      <c r="B1299" s="197" t="s">
        <v>5838</v>
      </c>
      <c r="C1299" s="197">
        <v>1997</v>
      </c>
      <c r="D1299" s="225" t="str">
        <f t="shared" si="14"/>
        <v>2037_1997</v>
      </c>
      <c r="E1299" s="1287">
        <v>0.3766878390890262</v>
      </c>
      <c r="F1299" s="1306">
        <v>0.12672056556206637</v>
      </c>
      <c r="G1299" s="1303">
        <v>9.1588668668079514</v>
      </c>
      <c r="H1299" s="1306">
        <v>0.98820511035461056</v>
      </c>
      <c r="I1299" s="1303">
        <v>5.4105156036038757E-2</v>
      </c>
      <c r="J1299" s="1306">
        <v>2.7162228122970906E-3</v>
      </c>
      <c r="K1299" s="1303">
        <v>2.9957019835615941E-3</v>
      </c>
      <c r="L1299" s="1288">
        <v>1.9999799704291826E-3</v>
      </c>
      <c r="M1299" s="1230">
        <v>1.9999799704291826E-3</v>
      </c>
      <c r="N1299" s="1303">
        <v>2.7199263346700985E-2</v>
      </c>
      <c r="O1299" s="1288">
        <v>1.0152699030444164E-2</v>
      </c>
      <c r="P1299" s="1237">
        <v>5.076349515222082E-3</v>
      </c>
      <c r="Q1299" s="1290">
        <v>5.6551551103914313E-2</v>
      </c>
    </row>
    <row r="1300" spans="1:17" s="212" customFormat="1" ht="15.5" x14ac:dyDescent="0.35">
      <c r="A1300" s="198">
        <v>2037</v>
      </c>
      <c r="B1300" s="197" t="s">
        <v>5838</v>
      </c>
      <c r="C1300" s="197">
        <v>1998</v>
      </c>
      <c r="D1300" s="225" t="str">
        <f t="shared" si="14"/>
        <v>2037_1998</v>
      </c>
      <c r="E1300" s="1287">
        <v>0.37620934096106684</v>
      </c>
      <c r="F1300" s="1306">
        <v>0.13010732390468635</v>
      </c>
      <c r="G1300" s="1303">
        <v>9.1694313490057127</v>
      </c>
      <c r="H1300" s="1306">
        <v>1.0121957341812939</v>
      </c>
      <c r="I1300" s="1303">
        <v>5.4019043633071702E-2</v>
      </c>
      <c r="J1300" s="1306">
        <v>2.7541082397492863E-3</v>
      </c>
      <c r="K1300" s="1303">
        <v>2.9960220132045669E-3</v>
      </c>
      <c r="L1300" s="1288">
        <v>1.9999784514448038E-3</v>
      </c>
      <c r="M1300" s="1230">
        <v>1.9999784514448038E-3</v>
      </c>
      <c r="N1300" s="1303">
        <v>2.7205513158876107E-2</v>
      </c>
      <c r="O1300" s="1288">
        <v>8.4988428511980005E-3</v>
      </c>
      <c r="P1300" s="1237">
        <v>4.2494214255990002E-3</v>
      </c>
      <c r="Q1300" s="1290">
        <v>5.6461545080203297E-2</v>
      </c>
    </row>
    <row r="1301" spans="1:17" s="212" customFormat="1" ht="15.5" x14ac:dyDescent="0.35">
      <c r="A1301" s="198">
        <v>2037</v>
      </c>
      <c r="B1301" s="197" t="s">
        <v>5838</v>
      </c>
      <c r="C1301" s="197">
        <v>1999</v>
      </c>
      <c r="D1301" s="225" t="str">
        <f t="shared" si="14"/>
        <v>2037_1999</v>
      </c>
      <c r="E1301" s="1287">
        <v>0.37709569229990081</v>
      </c>
      <c r="F1301" s="1306">
        <v>0.12761574812418577</v>
      </c>
      <c r="G1301" s="1303">
        <v>9.1928304201145163</v>
      </c>
      <c r="H1301" s="1306">
        <v>1.002097701256957</v>
      </c>
      <c r="I1301" s="1303">
        <v>5.4049208283333899E-2</v>
      </c>
      <c r="J1301" s="1306">
        <v>2.7783295027212699E-3</v>
      </c>
      <c r="K1301" s="1303">
        <v>2.9986477922053214E-3</v>
      </c>
      <c r="L1301" s="1288">
        <v>1.999977617525555E-3</v>
      </c>
      <c r="M1301" s="1230">
        <v>1.999977617525555E-3</v>
      </c>
      <c r="N1301" s="1303">
        <v>2.7268171403695227E-2</v>
      </c>
      <c r="O1301" s="1288">
        <v>8.1665844670791906E-3</v>
      </c>
      <c r="P1301" s="1237">
        <v>4.0832922335395953E-3</v>
      </c>
      <c r="Q1301" s="1290">
        <v>5.6493073642096651E-2</v>
      </c>
    </row>
    <row r="1302" spans="1:17" s="212" customFormat="1" ht="15.5" x14ac:dyDescent="0.35">
      <c r="A1302" s="198">
        <v>2037</v>
      </c>
      <c r="B1302" s="197" t="s">
        <v>5838</v>
      </c>
      <c r="C1302" s="197">
        <v>2000</v>
      </c>
      <c r="D1302" s="225" t="str">
        <f t="shared" si="14"/>
        <v>2037_2000</v>
      </c>
      <c r="E1302" s="1287">
        <v>0.37556796791421998</v>
      </c>
      <c r="F1302" s="1306">
        <v>0.12261450854113844</v>
      </c>
      <c r="G1302" s="1303">
        <v>9.2323496392074205</v>
      </c>
      <c r="H1302" s="1306">
        <v>0.97739024463607371</v>
      </c>
      <c r="I1302" s="1303">
        <v>5.3791865333690299E-2</v>
      </c>
      <c r="J1302" s="1306">
        <v>2.7789426326027761E-3</v>
      </c>
      <c r="K1302" s="1303">
        <v>2.9996155808516773E-3</v>
      </c>
      <c r="L1302" s="1288">
        <v>1.999978491702374E-3</v>
      </c>
      <c r="M1302" s="1230">
        <v>1.999978491702374E-3</v>
      </c>
      <c r="N1302" s="1303">
        <v>2.7290678765598115E-2</v>
      </c>
      <c r="O1302" s="1288">
        <v>8.313102726945517E-3</v>
      </c>
      <c r="P1302" s="1237">
        <v>4.1565513634727585E-3</v>
      </c>
      <c r="Q1302" s="1290">
        <v>5.6224094786212549E-2</v>
      </c>
    </row>
    <row r="1303" spans="1:17" s="212" customFormat="1" ht="15.5" x14ac:dyDescent="0.35">
      <c r="A1303" s="198">
        <v>2037</v>
      </c>
      <c r="B1303" s="197" t="s">
        <v>5838</v>
      </c>
      <c r="C1303" s="197">
        <v>2001</v>
      </c>
      <c r="D1303" s="225" t="str">
        <f t="shared" si="14"/>
        <v>2037_2001</v>
      </c>
      <c r="E1303" s="1287">
        <v>0.37738377818048807</v>
      </c>
      <c r="F1303" s="1306">
        <v>0.11919901641887173</v>
      </c>
      <c r="G1303" s="1303">
        <v>9.2015332906933978</v>
      </c>
      <c r="H1303" s="1306">
        <v>0.95593224086592576</v>
      </c>
      <c r="I1303" s="1303">
        <v>5.4041627998123044E-2</v>
      </c>
      <c r="J1303" s="1306">
        <v>2.8000135320535879E-3</v>
      </c>
      <c r="K1303" s="1303">
        <v>2.9998874660429162E-3</v>
      </c>
      <c r="L1303" s="1288">
        <v>1.9999784377814798E-3</v>
      </c>
      <c r="M1303" s="1230">
        <v>1.9999784377814798E-3</v>
      </c>
      <c r="N1303" s="1303">
        <v>2.7297142304567135E-2</v>
      </c>
      <c r="O1303" s="1288">
        <v>7.7462135934231345E-3</v>
      </c>
      <c r="P1303" s="1237">
        <v>3.8731067967115672E-3</v>
      </c>
      <c r="Q1303" s="1290">
        <v>5.6485150610025549E-2</v>
      </c>
    </row>
    <row r="1304" spans="1:17" s="212" customFormat="1" ht="15.5" x14ac:dyDescent="0.35">
      <c r="A1304" s="198">
        <v>2037</v>
      </c>
      <c r="B1304" s="197" t="s">
        <v>5838</v>
      </c>
      <c r="C1304" s="197">
        <v>2002</v>
      </c>
      <c r="D1304" s="225" t="str">
        <f t="shared" si="14"/>
        <v>2037_2002</v>
      </c>
      <c r="E1304" s="1287">
        <v>0.29103621672360486</v>
      </c>
      <c r="F1304" s="1306">
        <v>0.11824764015420776</v>
      </c>
      <c r="G1304" s="1303">
        <v>7.1176106362731497</v>
      </c>
      <c r="H1304" s="1306">
        <v>0.92471370673644215</v>
      </c>
      <c r="I1304" s="1303">
        <v>5.4251089232920505E-2</v>
      </c>
      <c r="J1304" s="1306">
        <v>2.8121023661664591E-3</v>
      </c>
      <c r="K1304" s="1303">
        <v>2.9999411534119883E-3</v>
      </c>
      <c r="L1304" s="1288">
        <v>1.9999774288158591E-3</v>
      </c>
      <c r="M1304" s="1230">
        <v>1.9999774288158591E-3</v>
      </c>
      <c r="N1304" s="1303">
        <v>2.7298353171152978E-2</v>
      </c>
      <c r="O1304" s="1288">
        <v>7.2554391526480763E-3</v>
      </c>
      <c r="P1304" s="1237">
        <v>3.6277195763240381E-3</v>
      </c>
      <c r="Q1304" s="1290">
        <v>5.6704082752390139E-2</v>
      </c>
    </row>
    <row r="1305" spans="1:17" s="212" customFormat="1" ht="15.5" x14ac:dyDescent="0.35">
      <c r="A1305" s="198">
        <v>2037</v>
      </c>
      <c r="B1305" s="197" t="s">
        <v>5838</v>
      </c>
      <c r="C1305" s="197">
        <v>2003</v>
      </c>
      <c r="D1305" s="225" t="str">
        <f t="shared" si="14"/>
        <v>2037_2003</v>
      </c>
      <c r="E1305" s="1287">
        <v>0.28947429340377206</v>
      </c>
      <c r="F1305" s="1306">
        <v>9.5551984519468752E-2</v>
      </c>
      <c r="G1305" s="1303">
        <v>7.1437271125464354</v>
      </c>
      <c r="H1305" s="1306">
        <v>0.71762712853187627</v>
      </c>
      <c r="I1305" s="1303">
        <v>5.3960142001848121E-2</v>
      </c>
      <c r="J1305" s="1306">
        <v>2.796080175080116E-3</v>
      </c>
      <c r="K1305" s="1303">
        <v>2.9999347403902939E-3</v>
      </c>
      <c r="L1305" s="1288">
        <v>1.9999776693603111E-3</v>
      </c>
      <c r="M1305" s="1230">
        <v>1.9999776693603111E-3</v>
      </c>
      <c r="N1305" s="1303">
        <v>2.7298252217964534E-2</v>
      </c>
      <c r="O1305" s="1288">
        <v>7.7245615297279182E-3</v>
      </c>
      <c r="P1305" s="1237">
        <v>3.8622807648639591E-3</v>
      </c>
      <c r="Q1305" s="1290">
        <v>5.6399980178587883E-2</v>
      </c>
    </row>
    <row r="1306" spans="1:17" s="212" customFormat="1" ht="15.5" x14ac:dyDescent="0.35">
      <c r="A1306" s="198">
        <v>2037</v>
      </c>
      <c r="B1306" s="197" t="s">
        <v>5838</v>
      </c>
      <c r="C1306" s="197">
        <v>2004</v>
      </c>
      <c r="D1306" s="225" t="str">
        <f t="shared" si="14"/>
        <v>2037_2004</v>
      </c>
      <c r="E1306" s="1287">
        <v>0.59651708860857366</v>
      </c>
      <c r="F1306" s="1306">
        <v>1.801428418729974E-2</v>
      </c>
      <c r="G1306" s="1303">
        <v>4.20956114349727</v>
      </c>
      <c r="H1306" s="1306">
        <v>0.12289051464930098</v>
      </c>
      <c r="I1306" s="1303">
        <v>0.15453235290270664</v>
      </c>
      <c r="J1306" s="1306">
        <v>1.8715984803435853E-4</v>
      </c>
      <c r="K1306" s="1303">
        <v>2.9992633245423919E-3</v>
      </c>
      <c r="L1306" s="1288">
        <v>1.9999782820172333E-3</v>
      </c>
      <c r="M1306" s="1230">
        <v>1.9999782820172333E-3</v>
      </c>
      <c r="N1306" s="1303">
        <v>2.7282421710682878E-2</v>
      </c>
      <c r="O1306" s="1288">
        <v>7.2062216130442235E-3</v>
      </c>
      <c r="P1306" s="1237">
        <v>3.6031108065221118E-3</v>
      </c>
      <c r="Q1306" s="1290">
        <v>0.16151962017380631</v>
      </c>
    </row>
    <row r="1307" spans="1:17" s="212" customFormat="1" ht="15.5" x14ac:dyDescent="0.35">
      <c r="A1307" s="198">
        <v>2037</v>
      </c>
      <c r="B1307" s="197" t="s">
        <v>5838</v>
      </c>
      <c r="C1307" s="197">
        <v>2005</v>
      </c>
      <c r="D1307" s="225" t="str">
        <f t="shared" si="14"/>
        <v>2037_2005</v>
      </c>
      <c r="E1307" s="1287">
        <v>0.56721699372913126</v>
      </c>
      <c r="F1307" s="1306">
        <v>1.6090993449285461E-2</v>
      </c>
      <c r="G1307" s="1303">
        <v>4.0690505034054381</v>
      </c>
      <c r="H1307" s="1306">
        <v>0.10726387009455982</v>
      </c>
      <c r="I1307" s="1303">
        <v>0.14858948841272235</v>
      </c>
      <c r="J1307" s="1306">
        <v>1.8750000621009969E-4</v>
      </c>
      <c r="K1307" s="1303">
        <v>2.9426104193359523E-3</v>
      </c>
      <c r="L1307" s="1288">
        <v>1.999979379913037E-3</v>
      </c>
      <c r="M1307" s="1230">
        <v>1.999979379913037E-3</v>
      </c>
      <c r="N1307" s="1303">
        <v>2.5945765163040035E-2</v>
      </c>
      <c r="O1307" s="1288">
        <v>6.6618745284011665E-3</v>
      </c>
      <c r="P1307" s="1237">
        <v>3.3309372642005832E-3</v>
      </c>
      <c r="Q1307" s="1290">
        <v>0.15530804572265602</v>
      </c>
    </row>
    <row r="1308" spans="1:17" s="212" customFormat="1" ht="15.5" x14ac:dyDescent="0.35">
      <c r="A1308" s="198">
        <v>2037</v>
      </c>
      <c r="B1308" s="197" t="s">
        <v>5838</v>
      </c>
      <c r="C1308" s="197">
        <v>2006</v>
      </c>
      <c r="D1308" s="225" t="str">
        <f t="shared" si="14"/>
        <v>2037_2006</v>
      </c>
      <c r="E1308" s="1287">
        <v>0.57746574991144617</v>
      </c>
      <c r="F1308" s="1306">
        <v>7.1652634313074037E-3</v>
      </c>
      <c r="G1308" s="1303">
        <v>4.1221677344528134</v>
      </c>
      <c r="H1308" s="1306">
        <v>8.6991272463753433E-2</v>
      </c>
      <c r="I1308" s="1303">
        <v>0.15062158908252857</v>
      </c>
      <c r="J1308" s="1306">
        <v>1.8222922787482533E-4</v>
      </c>
      <c r="K1308" s="1303">
        <v>2.9674028489226965E-3</v>
      </c>
      <c r="L1308" s="1288">
        <v>1.9999830172627835E-3</v>
      </c>
      <c r="M1308" s="1230">
        <v>1.9999830172627835E-3</v>
      </c>
      <c r="N1308" s="1303">
        <v>2.6530421653094216E-2</v>
      </c>
      <c r="O1308" s="1288">
        <v>9.8093364465080025E-3</v>
      </c>
      <c r="P1308" s="1237">
        <v>4.9046682232540013E-3</v>
      </c>
      <c r="Q1308" s="1290">
        <v>0.15743202896743844</v>
      </c>
    </row>
    <row r="1309" spans="1:17" s="212" customFormat="1" ht="15.5" x14ac:dyDescent="0.35">
      <c r="A1309" s="198">
        <v>2037</v>
      </c>
      <c r="B1309" s="197" t="s">
        <v>5838</v>
      </c>
      <c r="C1309" s="197">
        <v>2007</v>
      </c>
      <c r="D1309" s="225" t="str">
        <f t="shared" si="14"/>
        <v>2037_2007</v>
      </c>
      <c r="E1309" s="1287">
        <v>0.3214986036972769</v>
      </c>
      <c r="F1309" s="1306">
        <v>8.9758666740741306E-3</v>
      </c>
      <c r="G1309" s="1303">
        <v>2.34082890658792</v>
      </c>
      <c r="H1309" s="1306">
        <v>7.2291519511321498E-2</v>
      </c>
      <c r="I1309" s="1303">
        <v>8.3911939604583721E-2</v>
      </c>
      <c r="J1309" s="1306">
        <v>1.8635224950311444E-4</v>
      </c>
      <c r="K1309" s="1303">
        <v>2.949784225125165E-3</v>
      </c>
      <c r="L1309" s="1288">
        <v>1.9999805951680855E-3</v>
      </c>
      <c r="M1309" s="1230">
        <v>1.9999805951680855E-3</v>
      </c>
      <c r="N1309" s="1303">
        <v>2.6115595754401703E-2</v>
      </c>
      <c r="O1309" s="1288">
        <v>7.0007405021543208E-3</v>
      </c>
      <c r="P1309" s="1237">
        <v>3.5003702510771604E-3</v>
      </c>
      <c r="Q1309" s="1290">
        <v>8.7706065159785768E-2</v>
      </c>
    </row>
    <row r="1310" spans="1:17" s="212" customFormat="1" ht="15.5" x14ac:dyDescent="0.35">
      <c r="A1310" s="198">
        <v>2037</v>
      </c>
      <c r="B1310" s="197" t="s">
        <v>5838</v>
      </c>
      <c r="C1310" s="197">
        <v>2008</v>
      </c>
      <c r="D1310" s="225" t="str">
        <f t="shared" si="14"/>
        <v>2037_2008</v>
      </c>
      <c r="E1310" s="1287">
        <v>0.32728522926652265</v>
      </c>
      <c r="F1310" s="1306">
        <v>8.3412265867464624E-3</v>
      </c>
      <c r="G1310" s="1303">
        <v>2.3874536751591067</v>
      </c>
      <c r="H1310" s="1306">
        <v>5.4624024623497545E-2</v>
      </c>
      <c r="I1310" s="1303">
        <v>8.5419148027180897E-2</v>
      </c>
      <c r="J1310" s="1306">
        <v>2.1008349806941309E-4</v>
      </c>
      <c r="K1310" s="1303">
        <v>2.9705808934215815E-3</v>
      </c>
      <c r="L1310" s="1288">
        <v>1.9999802881188835E-3</v>
      </c>
      <c r="M1310" s="1230">
        <v>1.9999802881188835E-3</v>
      </c>
      <c r="N1310" s="1303">
        <v>2.6606986087980705E-2</v>
      </c>
      <c r="O1310" s="1288">
        <v>6.9252543296159479E-3</v>
      </c>
      <c r="P1310" s="1237">
        <v>3.4626271648079739E-3</v>
      </c>
      <c r="Q1310" s="1290">
        <v>8.9281422859114348E-2</v>
      </c>
    </row>
    <row r="1311" spans="1:17" s="212" customFormat="1" ht="15.5" x14ac:dyDescent="0.35">
      <c r="A1311" s="198">
        <v>2037</v>
      </c>
      <c r="B1311" s="197" t="s">
        <v>5838</v>
      </c>
      <c r="C1311" s="197">
        <v>2009</v>
      </c>
      <c r="D1311" s="225" t="str">
        <f t="shared" si="14"/>
        <v>2037_2009</v>
      </c>
      <c r="E1311" s="1287">
        <v>0.3174936457229865</v>
      </c>
      <c r="F1311" s="1306">
        <v>7.953606146200224E-3</v>
      </c>
      <c r="G1311" s="1303">
        <v>2.2914271176226806</v>
      </c>
      <c r="H1311" s="1306">
        <v>3.8731105634835762E-2</v>
      </c>
      <c r="I1311" s="1303">
        <v>8.2676565729458529E-2</v>
      </c>
      <c r="J1311" s="1306">
        <v>2.3898867988530516E-4</v>
      </c>
      <c r="K1311" s="1303">
        <v>2.923444270926525E-3</v>
      </c>
      <c r="L1311" s="1288">
        <v>1.9999795796311506E-3</v>
      </c>
      <c r="M1311" s="1230">
        <v>1.9999795796311506E-3</v>
      </c>
      <c r="N1311" s="1303">
        <v>2.5498972269491292E-2</v>
      </c>
      <c r="O1311" s="1288">
        <v>5.4131804257010604E-3</v>
      </c>
      <c r="P1311" s="1237">
        <v>2.7065902128505302E-3</v>
      </c>
      <c r="Q1311" s="1290">
        <v>8.6414833159917728E-2</v>
      </c>
    </row>
    <row r="1312" spans="1:17" s="212" customFormat="1" ht="15.5" x14ac:dyDescent="0.35">
      <c r="A1312" s="198">
        <v>2037</v>
      </c>
      <c r="B1312" s="197" t="s">
        <v>5838</v>
      </c>
      <c r="C1312" s="197">
        <v>2010</v>
      </c>
      <c r="D1312" s="225" t="str">
        <f t="shared" si="14"/>
        <v>2037_2010</v>
      </c>
      <c r="E1312" s="1287">
        <v>6.7616598833071362E-2</v>
      </c>
      <c r="F1312" s="1306">
        <v>7.3436695204949342E-3</v>
      </c>
      <c r="G1312" s="1303">
        <v>0.58887426757812189</v>
      </c>
      <c r="H1312" s="1306">
        <v>3.682844448174323E-2</v>
      </c>
      <c r="I1312" s="1303">
        <v>1.8710897347553532E-2</v>
      </c>
      <c r="J1312" s="1306">
        <v>2.9572919805172032E-4</v>
      </c>
      <c r="K1312" s="1303">
        <v>2.8141335892030855E-3</v>
      </c>
      <c r="L1312" s="1288">
        <v>1.9999810824806803E-3</v>
      </c>
      <c r="M1312" s="1230">
        <v>1.9999810824806803E-3</v>
      </c>
      <c r="N1312" s="1303">
        <v>2.2927003778820173E-2</v>
      </c>
      <c r="O1312" s="1288">
        <v>4.5681368042787204E-3</v>
      </c>
      <c r="P1312" s="1237">
        <v>2.2840684021393602E-3</v>
      </c>
      <c r="Q1312" s="1290">
        <v>1.955692109723264E-2</v>
      </c>
    </row>
    <row r="1313" spans="1:17" s="212" customFormat="1" ht="15.5" x14ac:dyDescent="0.35">
      <c r="A1313" s="198">
        <v>2037</v>
      </c>
      <c r="B1313" s="197" t="s">
        <v>5838</v>
      </c>
      <c r="C1313" s="197">
        <v>2011</v>
      </c>
      <c r="D1313" s="225" t="str">
        <f t="shared" si="14"/>
        <v>2037_2011</v>
      </c>
      <c r="E1313" s="1287">
        <v>7.2668079234379623E-2</v>
      </c>
      <c r="F1313" s="1306">
        <v>7.319498125406252E-3</v>
      </c>
      <c r="G1313" s="1303">
        <v>0.64849260167957301</v>
      </c>
      <c r="H1313" s="1306">
        <v>3.6649207695570493E-2</v>
      </c>
      <c r="I1313" s="1303">
        <v>2.0020048073345079E-2</v>
      </c>
      <c r="J1313" s="1306">
        <v>3.927772121360723E-4</v>
      </c>
      <c r="K1313" s="1303">
        <v>2.9048397834178833E-3</v>
      </c>
      <c r="L1313" s="1288">
        <v>1.9999828008776845E-3</v>
      </c>
      <c r="M1313" s="1230">
        <v>1.9999828008776845E-3</v>
      </c>
      <c r="N1313" s="1303">
        <v>2.5067879574557958E-2</v>
      </c>
      <c r="O1313" s="1288">
        <v>5.5943890160473596E-3</v>
      </c>
      <c r="P1313" s="1237">
        <v>2.7971945080236798E-3</v>
      </c>
      <c r="Q1313" s="1290">
        <v>2.0925265809574128E-2</v>
      </c>
    </row>
    <row r="1314" spans="1:17" s="212" customFormat="1" ht="15.5" x14ac:dyDescent="0.35">
      <c r="A1314" s="198">
        <v>2037</v>
      </c>
      <c r="B1314" s="197" t="s">
        <v>5838</v>
      </c>
      <c r="C1314" s="197">
        <v>2012</v>
      </c>
      <c r="D1314" s="225" t="str">
        <f t="shared" si="14"/>
        <v>2037_2012</v>
      </c>
      <c r="E1314" s="1287">
        <v>5.6984420234747236E-2</v>
      </c>
      <c r="F1314" s="1306">
        <v>6.9772497659617953E-3</v>
      </c>
      <c r="G1314" s="1303">
        <v>0.47688030093948486</v>
      </c>
      <c r="H1314" s="1306">
        <v>3.5569777422644451E-2</v>
      </c>
      <c r="I1314" s="1303">
        <v>1.6072466620270454E-2</v>
      </c>
      <c r="J1314" s="1306">
        <v>5.6954306566720468E-4</v>
      </c>
      <c r="K1314" s="1303">
        <v>2.6542074238449986E-3</v>
      </c>
      <c r="L1314" s="1288">
        <v>1.9999833733002604E-3</v>
      </c>
      <c r="M1314" s="1230">
        <v>1.9999833733002604E-3</v>
      </c>
      <c r="N1314" s="1303">
        <v>1.9151606273182058E-2</v>
      </c>
      <c r="O1314" s="1288">
        <v>6.0505071803014709E-3</v>
      </c>
      <c r="P1314" s="1237">
        <v>3.0252535901507355E-3</v>
      </c>
      <c r="Q1314" s="1290">
        <v>1.6799192240324733E-2</v>
      </c>
    </row>
    <row r="1315" spans="1:17" s="212" customFormat="1" ht="15.5" x14ac:dyDescent="0.35">
      <c r="A1315" s="198">
        <v>2037</v>
      </c>
      <c r="B1315" s="197" t="s">
        <v>5838</v>
      </c>
      <c r="C1315" s="197">
        <v>2013</v>
      </c>
      <c r="D1315" s="225" t="str">
        <f t="shared" si="14"/>
        <v>2037_2013</v>
      </c>
      <c r="E1315" s="1287">
        <v>7.0784248279770673E-2</v>
      </c>
      <c r="F1315" s="1306">
        <v>7.497321042558E-3</v>
      </c>
      <c r="G1315" s="1303">
        <v>0.62634768616575487</v>
      </c>
      <c r="H1315" s="1306">
        <v>3.684709186245394E-2</v>
      </c>
      <c r="I1315" s="1303">
        <v>1.952852618181149E-2</v>
      </c>
      <c r="J1315" s="1306">
        <v>8.5164370910515352E-4</v>
      </c>
      <c r="K1315" s="1303">
        <v>2.8720353095536021E-3</v>
      </c>
      <c r="L1315" s="1288">
        <v>1.9999850579599855E-3</v>
      </c>
      <c r="M1315" s="1230">
        <v>1.9999850579599855E-3</v>
      </c>
      <c r="N1315" s="1303">
        <v>2.4296096035371702E-2</v>
      </c>
      <c r="O1315" s="1288">
        <v>6.0403382120261147E-3</v>
      </c>
      <c r="P1315" s="1237">
        <v>3.0201691060130573E-3</v>
      </c>
      <c r="Q1315" s="1290">
        <v>2.0411519479201497E-2</v>
      </c>
    </row>
    <row r="1316" spans="1:17" s="212" customFormat="1" ht="15.5" x14ac:dyDescent="0.35">
      <c r="A1316" s="198">
        <v>2037</v>
      </c>
      <c r="B1316" s="197" t="s">
        <v>5838</v>
      </c>
      <c r="C1316" s="197">
        <v>2014</v>
      </c>
      <c r="D1316" s="225" t="str">
        <f t="shared" si="14"/>
        <v>2037_2014</v>
      </c>
      <c r="E1316" s="1287">
        <v>6.2508126247342879E-2</v>
      </c>
      <c r="F1316" s="1306">
        <v>7.6308838820426444E-3</v>
      </c>
      <c r="G1316" s="1303">
        <v>0.53686001037582387</v>
      </c>
      <c r="H1316" s="1306">
        <v>3.718065299299754E-2</v>
      </c>
      <c r="I1316" s="1303">
        <v>1.7434214999509288E-2</v>
      </c>
      <c r="J1316" s="1306">
        <v>1.2043379759944369E-3</v>
      </c>
      <c r="K1316" s="1303">
        <v>2.7427151905602483E-3</v>
      </c>
      <c r="L1316" s="1288">
        <v>1.9999848014810554E-3</v>
      </c>
      <c r="M1316" s="1230">
        <v>1.9999848014810554E-3</v>
      </c>
      <c r="N1316" s="1303">
        <v>2.124055946324177E-2</v>
      </c>
      <c r="O1316" s="1288">
        <v>5.1240015781975649E-3</v>
      </c>
      <c r="P1316" s="1237">
        <v>2.5620007890987825E-3</v>
      </c>
      <c r="Q1316" s="1290">
        <v>1.8222512838603815E-2</v>
      </c>
    </row>
    <row r="1317" spans="1:17" s="212" customFormat="1" ht="15.5" x14ac:dyDescent="0.35">
      <c r="A1317" s="198">
        <v>2037</v>
      </c>
      <c r="B1317" s="197" t="s">
        <v>5838</v>
      </c>
      <c r="C1317" s="197">
        <v>2015</v>
      </c>
      <c r="D1317" s="225" t="str">
        <f t="shared" si="14"/>
        <v>2037_2015</v>
      </c>
      <c r="E1317" s="1287">
        <v>5.7712928705909432E-2</v>
      </c>
      <c r="F1317" s="1306">
        <v>7.4639965008719963E-3</v>
      </c>
      <c r="G1317" s="1303">
        <v>0.48810987287977592</v>
      </c>
      <c r="H1317" s="1306">
        <v>3.6234753718584908E-2</v>
      </c>
      <c r="I1317" s="1303">
        <v>1.6227630710701491E-2</v>
      </c>
      <c r="J1317" s="1306">
        <v>1.4915388595987253E-3</v>
      </c>
      <c r="K1317" s="1303">
        <v>2.6755582816631565E-3</v>
      </c>
      <c r="L1317" s="1288">
        <v>1.9999859841554933E-3</v>
      </c>
      <c r="M1317" s="1230">
        <v>1.9999859841554933E-3</v>
      </c>
      <c r="N1317" s="1303">
        <v>1.9640328155248476E-2</v>
      </c>
      <c r="O1317" s="1288">
        <v>5.9766594322674333E-3</v>
      </c>
      <c r="P1317" s="1237">
        <v>2.9883297161337166E-3</v>
      </c>
      <c r="Q1317" s="1290">
        <v>1.6961372162394642E-2</v>
      </c>
    </row>
    <row r="1318" spans="1:17" s="212" customFormat="1" ht="15.5" x14ac:dyDescent="0.35">
      <c r="A1318" s="198">
        <v>2037</v>
      </c>
      <c r="B1318" s="197" t="s">
        <v>5838</v>
      </c>
      <c r="C1318" s="197">
        <v>2016</v>
      </c>
      <c r="D1318" s="225" t="str">
        <f t="shared" si="14"/>
        <v>2037_2016</v>
      </c>
      <c r="E1318" s="1287">
        <v>6.667538546044971E-2</v>
      </c>
      <c r="F1318" s="1306">
        <v>7.3248311345150965E-3</v>
      </c>
      <c r="G1318" s="1303">
        <v>0.52160071108350314</v>
      </c>
      <c r="H1318" s="1306">
        <v>3.5342810942487091E-2</v>
      </c>
      <c r="I1318" s="1303">
        <v>1.8412582612643068E-2</v>
      </c>
      <c r="J1318" s="1306">
        <v>1.6946890031139246E-3</v>
      </c>
      <c r="K1318" s="1303">
        <v>2.8337984347420768E-3</v>
      </c>
      <c r="L1318" s="1288">
        <v>1.9999855029980422E-3</v>
      </c>
      <c r="M1318" s="1230">
        <v>1.9999855029980422E-3</v>
      </c>
      <c r="N1318" s="1303">
        <v>2.3376291531580478E-2</v>
      </c>
      <c r="O1318" s="1288">
        <v>6.8821422874152782E-3</v>
      </c>
      <c r="P1318" s="1237">
        <v>3.4410711437076391E-3</v>
      </c>
      <c r="Q1318" s="1290">
        <v>1.9245117893761574E-2</v>
      </c>
    </row>
    <row r="1319" spans="1:17" s="212" customFormat="1" ht="15.5" x14ac:dyDescent="0.35">
      <c r="A1319" s="198">
        <v>2037</v>
      </c>
      <c r="B1319" s="197" t="s">
        <v>5838</v>
      </c>
      <c r="C1319" s="197">
        <v>2017</v>
      </c>
      <c r="D1319" s="225" t="str">
        <f t="shared" si="14"/>
        <v>2037_2017</v>
      </c>
      <c r="E1319" s="1287">
        <v>6.8295182032239735E-2</v>
      </c>
      <c r="F1319" s="1306">
        <v>7.0311378185530637E-3</v>
      </c>
      <c r="G1319" s="1303">
        <v>0.46621826483483725</v>
      </c>
      <c r="H1319" s="1306">
        <v>3.4397233367971985E-2</v>
      </c>
      <c r="I1319" s="1303">
        <v>1.8697597306041973E-2</v>
      </c>
      <c r="J1319" s="1306">
        <v>1.8197767635647682E-3</v>
      </c>
      <c r="K1319" s="1303">
        <v>2.8638514503094206E-3</v>
      </c>
      <c r="L1319" s="1288">
        <v>1.9999847635600934E-3</v>
      </c>
      <c r="M1319" s="1230">
        <v>1.9999847635600934E-3</v>
      </c>
      <c r="N1319" s="1303">
        <v>2.4088162533569671E-2</v>
      </c>
      <c r="O1319" s="1288">
        <v>6.858024297383896E-3</v>
      </c>
      <c r="P1319" s="1237">
        <v>3.429012148691948E-3</v>
      </c>
      <c r="Q1319" s="1290">
        <v>1.9543019686861951E-2</v>
      </c>
    </row>
    <row r="1320" spans="1:17" s="212" customFormat="1" ht="15.5" x14ac:dyDescent="0.35">
      <c r="A1320" s="198">
        <v>2037</v>
      </c>
      <c r="B1320" s="197" t="s">
        <v>5838</v>
      </c>
      <c r="C1320" s="197">
        <v>2018</v>
      </c>
      <c r="D1320" s="225" t="str">
        <f t="shared" si="14"/>
        <v>2037_2018</v>
      </c>
      <c r="E1320" s="1287">
        <v>6.3417534201893472E-2</v>
      </c>
      <c r="F1320" s="1306">
        <v>6.886897516108134E-3</v>
      </c>
      <c r="G1320" s="1303">
        <v>0.35218109831276245</v>
      </c>
      <c r="H1320" s="1306">
        <v>3.3754484421681712E-2</v>
      </c>
      <c r="I1320" s="1303">
        <v>1.733383578633866E-2</v>
      </c>
      <c r="J1320" s="1306">
        <v>1.9234673760187497E-3</v>
      </c>
      <c r="K1320" s="1303">
        <v>2.7853445749812114E-3</v>
      </c>
      <c r="L1320" s="1288">
        <v>1.9999827997171111E-3</v>
      </c>
      <c r="M1320" s="1230">
        <v>1.9999827997171111E-3</v>
      </c>
      <c r="N1320" s="1303">
        <v>2.2226486205498067E-2</v>
      </c>
      <c r="O1320" s="1288">
        <v>6.18729927124834E-3</v>
      </c>
      <c r="P1320" s="1237">
        <v>3.09364963562417E-3</v>
      </c>
      <c r="Q1320" s="1290">
        <v>1.8117594922839788E-2</v>
      </c>
    </row>
    <row r="1321" spans="1:17" s="212" customFormat="1" ht="15.5" x14ac:dyDescent="0.35">
      <c r="A1321" s="198">
        <v>2037</v>
      </c>
      <c r="B1321" s="197" t="s">
        <v>5838</v>
      </c>
      <c r="C1321" s="197">
        <v>2019</v>
      </c>
      <c r="D1321" s="225" t="str">
        <f t="shared" si="14"/>
        <v>2037_2019</v>
      </c>
      <c r="E1321" s="1287">
        <v>7.1567988713635095E-2</v>
      </c>
      <c r="F1321" s="1306">
        <v>6.7289747453941218E-3</v>
      </c>
      <c r="G1321" s="1303">
        <v>0.35405049121443871</v>
      </c>
      <c r="H1321" s="1306">
        <v>3.2801970770585727E-2</v>
      </c>
      <c r="I1321" s="1303">
        <v>1.9154356483612946E-2</v>
      </c>
      <c r="J1321" s="1306">
        <v>1.8261380584118367E-3</v>
      </c>
      <c r="K1321" s="1303">
        <v>2.9356502536080379E-3</v>
      </c>
      <c r="L1321" s="1288">
        <v>1.9999802531265728E-3</v>
      </c>
      <c r="M1321" s="1230">
        <v>1.9999802531265728E-3</v>
      </c>
      <c r="N1321" s="1303">
        <v>2.5779218533227677E-2</v>
      </c>
      <c r="O1321" s="1288">
        <v>6.2300013686079287E-3</v>
      </c>
      <c r="P1321" s="1237">
        <v>3.1150006843039643E-3</v>
      </c>
      <c r="Q1321" s="1290">
        <v>2.0020431487603831E-2</v>
      </c>
    </row>
    <row r="1322" spans="1:17" s="212" customFormat="1" ht="15.5" x14ac:dyDescent="0.35">
      <c r="A1322" s="198">
        <v>2037</v>
      </c>
      <c r="B1322" s="197" t="s">
        <v>5838</v>
      </c>
      <c r="C1322" s="197">
        <v>2020</v>
      </c>
      <c r="D1322" s="225" t="str">
        <f t="shared" si="14"/>
        <v>2037_2020</v>
      </c>
      <c r="E1322" s="1287">
        <v>6.1630620569202238E-2</v>
      </c>
      <c r="F1322" s="1306">
        <v>6.5523791624434707E-3</v>
      </c>
      <c r="G1322" s="1303">
        <v>0.26993229219713266</v>
      </c>
      <c r="H1322" s="1306">
        <v>3.1562976607956268E-2</v>
      </c>
      <c r="I1322" s="1303">
        <v>1.6922335711589746E-2</v>
      </c>
      <c r="J1322" s="1306">
        <v>1.3539830581230034E-3</v>
      </c>
      <c r="K1322" s="1303">
        <v>2.9012019388973383E-3</v>
      </c>
      <c r="L1322" s="1288">
        <v>1.9999774556548082E-3</v>
      </c>
      <c r="M1322" s="1230">
        <v>1.9999774556548082E-3</v>
      </c>
      <c r="N1322" s="1303">
        <v>2.4970643478415943E-2</v>
      </c>
      <c r="O1322" s="1288">
        <v>6.3193031889096918E-3</v>
      </c>
      <c r="P1322" s="1237">
        <v>3.1596515944548459E-3</v>
      </c>
      <c r="Q1322" s="1290">
        <v>1.7687488640715211E-2</v>
      </c>
    </row>
    <row r="1323" spans="1:17" s="212" customFormat="1" ht="15.5" x14ac:dyDescent="0.35">
      <c r="A1323" s="198">
        <v>2037</v>
      </c>
      <c r="B1323" s="197" t="s">
        <v>5838</v>
      </c>
      <c r="C1323" s="197">
        <v>2021</v>
      </c>
      <c r="D1323" s="225" t="str">
        <f t="shared" si="14"/>
        <v>2037_2021</v>
      </c>
      <c r="E1323" s="1287">
        <v>6.0003059531363014E-2</v>
      </c>
      <c r="F1323" s="1306">
        <v>6.3021475977292551E-3</v>
      </c>
      <c r="G1323" s="1303">
        <v>0.21619319052798994</v>
      </c>
      <c r="H1323" s="1306">
        <v>3.0407699886159895E-2</v>
      </c>
      <c r="I1323" s="1303">
        <v>1.6031153550521104E-2</v>
      </c>
      <c r="J1323" s="1306">
        <v>8.8641583672028474E-4</v>
      </c>
      <c r="K1323" s="1303">
        <v>2.8972105207687856E-3</v>
      </c>
      <c r="L1323" s="1288">
        <v>1.9999777642533191E-3</v>
      </c>
      <c r="M1323" s="1230">
        <v>1.9999777642533191E-3</v>
      </c>
      <c r="N1323" s="1303">
        <v>2.487318742511814E-2</v>
      </c>
      <c r="O1323" s="1288">
        <v>6.2604181383174844E-3</v>
      </c>
      <c r="P1323" s="1237">
        <v>3.1302090691587422E-3</v>
      </c>
      <c r="Q1323" s="1290">
        <v>1.6756011176885389E-2</v>
      </c>
    </row>
    <row r="1324" spans="1:17" s="212" customFormat="1" ht="15.5" x14ac:dyDescent="0.35">
      <c r="A1324" s="198">
        <v>2037</v>
      </c>
      <c r="B1324" s="197" t="s">
        <v>5838</v>
      </c>
      <c r="C1324" s="197">
        <v>2022</v>
      </c>
      <c r="D1324" s="225" t="str">
        <f t="shared" si="14"/>
        <v>2037_2022</v>
      </c>
      <c r="E1324" s="1287">
        <v>5.9261240298678179E-2</v>
      </c>
      <c r="F1324" s="1306">
        <v>6.0802460090748998E-3</v>
      </c>
      <c r="G1324" s="1303">
        <v>0.16458487163492486</v>
      </c>
      <c r="H1324" s="1306">
        <v>2.92263918153528E-2</v>
      </c>
      <c r="I1324" s="1303">
        <v>1.5565904029164584E-2</v>
      </c>
      <c r="J1324" s="1306">
        <v>8.8652932005113647E-4</v>
      </c>
      <c r="K1324" s="1303">
        <v>2.8934706779271476E-3</v>
      </c>
      <c r="L1324" s="1288">
        <v>1.9999780589453997E-3</v>
      </c>
      <c r="M1324" s="1230">
        <v>1.9999780589453997E-3</v>
      </c>
      <c r="N1324" s="1303">
        <v>2.4781071112101833E-2</v>
      </c>
      <c r="O1324" s="1288">
        <v>6.2479785453531007E-3</v>
      </c>
      <c r="P1324" s="1237">
        <v>3.1239892726765504E-3</v>
      </c>
      <c r="Q1324" s="1290">
        <v>1.6269725136687278E-2</v>
      </c>
    </row>
    <row r="1325" spans="1:17" s="212" customFormat="1" ht="15.5" x14ac:dyDescent="0.35">
      <c r="A1325" s="198">
        <v>2037</v>
      </c>
      <c r="B1325" s="197" t="s">
        <v>5838</v>
      </c>
      <c r="C1325" s="197">
        <v>2023</v>
      </c>
      <c r="D1325" s="225" t="str">
        <f t="shared" si="14"/>
        <v>2037_2023</v>
      </c>
      <c r="E1325" s="1287">
        <v>5.8517867746860727E-2</v>
      </c>
      <c r="F1325" s="1306">
        <v>5.727842284853085E-3</v>
      </c>
      <c r="G1325" s="1303">
        <v>0.16117474657086106</v>
      </c>
      <c r="H1325" s="1306">
        <v>2.8069786753459627E-2</v>
      </c>
      <c r="I1325" s="1303">
        <v>1.5073224980062434E-2</v>
      </c>
      <c r="J1325" s="1306">
        <v>8.8643774875854205E-4</v>
      </c>
      <c r="K1325" s="1303">
        <v>2.8907164535620228E-3</v>
      </c>
      <c r="L1325" s="1288">
        <v>1.9999782814182801E-3</v>
      </c>
      <c r="M1325" s="1230">
        <v>1.9999782814182801E-3</v>
      </c>
      <c r="N1325" s="1303">
        <v>2.4711682967698382E-2</v>
      </c>
      <c r="O1325" s="1288">
        <v>6.2040590600446416E-3</v>
      </c>
      <c r="P1325" s="1237">
        <v>3.1020295300223208E-3</v>
      </c>
      <c r="Q1325" s="1290">
        <v>1.5754769327215652E-2</v>
      </c>
    </row>
    <row r="1326" spans="1:17" s="212" customFormat="1" ht="15.5" x14ac:dyDescent="0.35">
      <c r="A1326" s="198">
        <v>2037</v>
      </c>
      <c r="B1326" s="197" t="s">
        <v>5838</v>
      </c>
      <c r="C1326" s="197">
        <v>2024</v>
      </c>
      <c r="D1326" s="225" t="str">
        <f t="shared" si="14"/>
        <v>2037_2024</v>
      </c>
      <c r="E1326" s="1287">
        <v>5.7384258161836073E-2</v>
      </c>
      <c r="F1326" s="1306">
        <v>5.1044494800772449E-3</v>
      </c>
      <c r="G1326" s="1303">
        <v>0.15653482169724817</v>
      </c>
      <c r="H1326" s="1306">
        <v>2.6583355848031905E-2</v>
      </c>
      <c r="I1326" s="1303">
        <v>1.4449300798130988E-2</v>
      </c>
      <c r="J1326" s="1306">
        <v>8.8524213749633231E-4</v>
      </c>
      <c r="K1326" s="1303">
        <v>2.882274547336099E-3</v>
      </c>
      <c r="L1326" s="1288">
        <v>1.9999783833417484E-3</v>
      </c>
      <c r="M1326" s="1305">
        <v>2.0000001539515963E-3</v>
      </c>
      <c r="N1326" s="1303">
        <v>2.4506764971976139E-2</v>
      </c>
      <c r="O1326" s="1288">
        <v>6.0462799881929648E-3</v>
      </c>
      <c r="P1326" s="1301">
        <v>3.5321615299906471E-3</v>
      </c>
      <c r="Q1326" s="1290">
        <v>1.5102634062399809E-2</v>
      </c>
    </row>
    <row r="1327" spans="1:17" s="212" customFormat="1" ht="15.5" x14ac:dyDescent="0.35">
      <c r="A1327" s="198">
        <v>2037</v>
      </c>
      <c r="B1327" s="197" t="s">
        <v>5838</v>
      </c>
      <c r="C1327" s="197">
        <v>2025</v>
      </c>
      <c r="D1327" s="225" t="str">
        <f t="shared" si="14"/>
        <v>2037_2025</v>
      </c>
      <c r="E1327" s="1287">
        <v>5.6422507070633801E-2</v>
      </c>
      <c r="F1327" s="1306">
        <v>4.5675993479556551E-3</v>
      </c>
      <c r="G1327" s="1303">
        <v>0.15228650162416946</v>
      </c>
      <c r="H1327" s="1306">
        <v>2.5259390795842121E-2</v>
      </c>
      <c r="I1327" s="1303">
        <v>1.3846782777148006E-2</v>
      </c>
      <c r="J1327" s="1306">
        <v>8.8467853708478167E-4</v>
      </c>
      <c r="K1327" s="1303">
        <v>2.8777601124835902E-3</v>
      </c>
      <c r="L1327" s="1288">
        <v>1.9999785323858996E-3</v>
      </c>
      <c r="M1327" s="1305">
        <v>2.0000000656464102E-3</v>
      </c>
      <c r="N1327" s="1303">
        <v>2.4394043594864516E-2</v>
      </c>
      <c r="O1327" s="1288">
        <v>5.9477553281871726E-3</v>
      </c>
      <c r="P1327" s="1301">
        <v>3.9642898230084142E-3</v>
      </c>
      <c r="Q1327" s="1290">
        <v>1.4472872850142067E-2</v>
      </c>
    </row>
    <row r="1328" spans="1:17" s="212" customFormat="1" ht="15.5" x14ac:dyDescent="0.35">
      <c r="A1328" s="198">
        <v>2037</v>
      </c>
      <c r="B1328" s="197" t="s">
        <v>5838</v>
      </c>
      <c r="C1328" s="197">
        <v>2026</v>
      </c>
      <c r="D1328" s="225" t="str">
        <f t="shared" si="14"/>
        <v>2037_2026</v>
      </c>
      <c r="E1328" s="1287">
        <v>5.5300371224176199E-2</v>
      </c>
      <c r="F1328" s="1306">
        <v>4.5098584291662462E-3</v>
      </c>
      <c r="G1328" s="1303">
        <v>0.14748225448096064</v>
      </c>
      <c r="H1328" s="1306">
        <v>2.4677146699732894E-2</v>
      </c>
      <c r="I1328" s="1303">
        <v>1.3177958722209502E-2</v>
      </c>
      <c r="J1328" s="1306">
        <v>7.7003006868183648E-4</v>
      </c>
      <c r="K1328" s="1303">
        <v>2.8714041403405796E-3</v>
      </c>
      <c r="L1328" s="1288">
        <v>1.9999786152794718E-3</v>
      </c>
      <c r="M1328" s="1305">
        <v>1.9999998880857375E-3</v>
      </c>
      <c r="N1328" s="1303">
        <v>2.4236584837892837E-2</v>
      </c>
      <c r="O1328" s="1288">
        <v>5.801852072281421E-3</v>
      </c>
      <c r="P1328" s="1301">
        <v>4.7983833398622579E-3</v>
      </c>
      <c r="Q1328" s="1290">
        <v>1.3773807539302074E-2</v>
      </c>
    </row>
    <row r="1329" spans="1:17" s="212" customFormat="1" ht="15.5" x14ac:dyDescent="0.35">
      <c r="A1329" s="198">
        <v>2037</v>
      </c>
      <c r="B1329" s="197" t="s">
        <v>5838</v>
      </c>
      <c r="C1329" s="197">
        <v>2027</v>
      </c>
      <c r="D1329" s="225" t="str">
        <f t="shared" si="14"/>
        <v>2037_2027</v>
      </c>
      <c r="E1329" s="1287">
        <v>5.4014469862208106E-2</v>
      </c>
      <c r="F1329" s="1306">
        <v>4.4748537040132106E-3</v>
      </c>
      <c r="G1329" s="1303">
        <v>0.1421269340397083</v>
      </c>
      <c r="H1329" s="1306">
        <v>2.4087887631914658E-2</v>
      </c>
      <c r="I1329" s="1303">
        <v>1.2445250181568857E-2</v>
      </c>
      <c r="J1329" s="1306">
        <v>6.3451297985272982E-4</v>
      </c>
      <c r="K1329" s="1303">
        <v>2.8630476061660918E-3</v>
      </c>
      <c r="L1329" s="1288">
        <v>1.9999786587734697E-3</v>
      </c>
      <c r="M1329" s="1305">
        <v>1.9999997187995959E-3</v>
      </c>
      <c r="N1329" s="1303">
        <v>2.4030247034226782E-2</v>
      </c>
      <c r="O1329" s="1288">
        <v>5.6169901643060901E-3</v>
      </c>
      <c r="P1329" s="1301">
        <v>5.6458268340542142E-3</v>
      </c>
      <c r="Q1329" s="1290">
        <v>1.3007969169799636E-2</v>
      </c>
    </row>
    <row r="1330" spans="1:17" s="212" customFormat="1" ht="15.5" x14ac:dyDescent="0.35">
      <c r="A1330" s="198">
        <v>2037</v>
      </c>
      <c r="B1330" s="197" t="s">
        <v>5838</v>
      </c>
      <c r="C1330" s="197">
        <v>2028</v>
      </c>
      <c r="D1330" s="225" t="str">
        <f t="shared" si="14"/>
        <v>2037_2028</v>
      </c>
      <c r="E1330" s="1287">
        <v>5.257972836317213E-2</v>
      </c>
      <c r="F1330" s="1306">
        <v>4.3754450185716914E-3</v>
      </c>
      <c r="G1330" s="1303">
        <v>0.13628007679867699</v>
      </c>
      <c r="H1330" s="1306">
        <v>2.3381023432701962E-2</v>
      </c>
      <c r="I1330" s="1303">
        <v>1.1656128035594801E-2</v>
      </c>
      <c r="J1330" s="1306">
        <v>5.1681859978532313E-4</v>
      </c>
      <c r="K1330" s="1303">
        <v>2.8528673960141714E-3</v>
      </c>
      <c r="L1330" s="1288">
        <v>1.9999786389618781E-3</v>
      </c>
      <c r="M1330" s="1305">
        <v>1.9999995875348404E-3</v>
      </c>
      <c r="N1330" s="1303">
        <v>2.3778993411654785E-2</v>
      </c>
      <c r="O1330" s="1288">
        <v>5.4387639342776224E-3</v>
      </c>
      <c r="P1330" s="1301">
        <v>6.2625093458715765E-3</v>
      </c>
      <c r="Q1330" s="1290">
        <v>1.2183166422062259E-2</v>
      </c>
    </row>
    <row r="1331" spans="1:17" s="212" customFormat="1" ht="15.5" x14ac:dyDescent="0.35">
      <c r="A1331" s="198">
        <v>2037</v>
      </c>
      <c r="B1331" s="197" t="s">
        <v>5838</v>
      </c>
      <c r="C1331" s="197">
        <v>2029</v>
      </c>
      <c r="D1331" s="225" t="str">
        <f t="shared" si="14"/>
        <v>2037_2029</v>
      </c>
      <c r="E1331" s="1287">
        <v>5.113667966801258E-2</v>
      </c>
      <c r="F1331" s="1306">
        <v>4.2601529246020179E-3</v>
      </c>
      <c r="G1331" s="1303">
        <v>0.13033499472564081</v>
      </c>
      <c r="H1331" s="1306">
        <v>2.259780634917153E-2</v>
      </c>
      <c r="I1331" s="1303">
        <v>1.084593049982868E-2</v>
      </c>
      <c r="J1331" s="1306">
        <v>5.1381857463464432E-4</v>
      </c>
      <c r="K1331" s="1303">
        <v>2.84336078235922E-3</v>
      </c>
      <c r="L1331" s="1288">
        <v>1.9999787185820614E-3</v>
      </c>
      <c r="M1331" s="1305">
        <v>1.9999995162704866E-3</v>
      </c>
      <c r="N1331" s="1303">
        <v>2.354196428828776E-2</v>
      </c>
      <c r="O1331" s="1288">
        <v>5.2699647451695747E-3</v>
      </c>
      <c r="P1331" s="1301">
        <v>6.7685630083418515E-3</v>
      </c>
      <c r="Q1331" s="1290">
        <v>1.1336335348927159E-2</v>
      </c>
    </row>
    <row r="1332" spans="1:17" s="212" customFormat="1" ht="15.5" x14ac:dyDescent="0.35">
      <c r="A1332" s="198">
        <v>2037</v>
      </c>
      <c r="B1332" s="197" t="s">
        <v>5838</v>
      </c>
      <c r="C1332" s="197">
        <v>2030</v>
      </c>
      <c r="D1332" s="225" t="str">
        <f t="shared" si="14"/>
        <v>2037_2030</v>
      </c>
      <c r="E1332" s="1287">
        <v>4.9536615273637417E-2</v>
      </c>
      <c r="F1332" s="1306">
        <v>4.1443985349059013E-3</v>
      </c>
      <c r="G1332" s="1303">
        <v>0.12390489196245436</v>
      </c>
      <c r="H1332" s="1306">
        <v>2.176289167314889E-2</v>
      </c>
      <c r="I1332" s="1303">
        <v>9.9834410682554334E-3</v>
      </c>
      <c r="J1332" s="1306">
        <v>5.1068202800319431E-4</v>
      </c>
      <c r="K1332" s="1303">
        <v>2.8317405612466691E-3</v>
      </c>
      <c r="L1332" s="1288">
        <v>1.9999787210631431E-3</v>
      </c>
      <c r="M1332" s="1305">
        <v>1.9999994314708479E-3</v>
      </c>
      <c r="N1332" s="1303">
        <v>2.3252459414141093E-2</v>
      </c>
      <c r="O1332" s="1288">
        <v>5.0911928460842483E-3</v>
      </c>
      <c r="P1332" s="1301">
        <v>7.1232240046616244E-3</v>
      </c>
      <c r="Q1332" s="1290">
        <v>1.0434847972498289E-2</v>
      </c>
    </row>
    <row r="1333" spans="1:17" s="212" customFormat="1" ht="15.5" x14ac:dyDescent="0.35">
      <c r="A1333" s="198">
        <v>2037</v>
      </c>
      <c r="B1333" s="197" t="s">
        <v>5838</v>
      </c>
      <c r="C1333" s="197">
        <v>2031</v>
      </c>
      <c r="D1333" s="225" t="str">
        <f t="shared" si="14"/>
        <v>2037_2031</v>
      </c>
      <c r="E1333" s="1287">
        <v>4.7851284743772454E-2</v>
      </c>
      <c r="F1333" s="1306">
        <v>3.9791189466115567E-3</v>
      </c>
      <c r="G1333" s="1303">
        <v>0.11719659739748506</v>
      </c>
      <c r="H1333" s="1306">
        <v>2.0835960538444259E-2</v>
      </c>
      <c r="I1333" s="1303">
        <v>9.0881809725044029E-3</v>
      </c>
      <c r="J1333" s="1306">
        <v>5.072412485115506E-4</v>
      </c>
      <c r="K1333" s="1303">
        <v>2.8192254312139628E-3</v>
      </c>
      <c r="L1333" s="1288">
        <v>1.9999786573345986E-3</v>
      </c>
      <c r="M1333" s="1305">
        <v>1.9999993648485087E-3</v>
      </c>
      <c r="N1333" s="1303">
        <v>2.2939340225034462E-2</v>
      </c>
      <c r="O1333" s="1288">
        <v>4.8941295729626076E-3</v>
      </c>
      <c r="P1333" s="1301">
        <v>7.5579304156538542E-3</v>
      </c>
      <c r="Q1333" s="1290">
        <v>9.4991081878752544E-3</v>
      </c>
    </row>
    <row r="1334" spans="1:17" s="212" customFormat="1" ht="15.5" x14ac:dyDescent="0.35">
      <c r="A1334" s="198">
        <v>2037</v>
      </c>
      <c r="B1334" s="197" t="s">
        <v>5838</v>
      </c>
      <c r="C1334" s="197">
        <v>2032</v>
      </c>
      <c r="D1334" s="225" t="str">
        <f t="shared" si="14"/>
        <v>2037_2032</v>
      </c>
      <c r="E1334" s="1287">
        <v>4.5992583743441312E-2</v>
      </c>
      <c r="F1334" s="1306">
        <v>3.8053002261880216E-3</v>
      </c>
      <c r="G1334" s="1303">
        <v>0.11001060752871061</v>
      </c>
      <c r="H1334" s="1306">
        <v>1.986193292625911E-2</v>
      </c>
      <c r="I1334" s="1303">
        <v>8.1477153682816741E-3</v>
      </c>
      <c r="J1334" s="1306">
        <v>5.0359308797865386E-4</v>
      </c>
      <c r="K1334" s="1303">
        <v>2.8040391763605082E-3</v>
      </c>
      <c r="L1334" s="1288">
        <v>1.9999785044506509E-3</v>
      </c>
      <c r="M1334" s="1305">
        <v>1.9999992879692207E-3</v>
      </c>
      <c r="N1334" s="1303">
        <v>2.255936656998199E-2</v>
      </c>
      <c r="O1334" s="1288">
        <v>4.6822084231345701E-3</v>
      </c>
      <c r="P1334" s="1301">
        <v>7.9085438096832845E-3</v>
      </c>
      <c r="Q1334" s="1290">
        <v>8.5161189022838393E-3</v>
      </c>
    </row>
    <row r="1335" spans="1:17" s="212" customFormat="1" ht="15.5" x14ac:dyDescent="0.35">
      <c r="A1335" s="198">
        <v>2037</v>
      </c>
      <c r="B1335" s="197" t="s">
        <v>5838</v>
      </c>
      <c r="C1335" s="197">
        <v>2033</v>
      </c>
      <c r="D1335" s="225" t="str">
        <f t="shared" si="14"/>
        <v>2037_2033</v>
      </c>
      <c r="E1335" s="1287">
        <v>4.4127627768454483E-2</v>
      </c>
      <c r="F1335" s="1306">
        <v>3.6212835572994309E-3</v>
      </c>
      <c r="G1335" s="1303">
        <v>0.10278253005378016</v>
      </c>
      <c r="H1335" s="1306">
        <v>1.8835136282560495E-2</v>
      </c>
      <c r="I1335" s="1303">
        <v>7.1976108819520306E-3</v>
      </c>
      <c r="J1335" s="1306">
        <v>5.006961852596593E-4</v>
      </c>
      <c r="K1335" s="1303">
        <v>2.7892739334419801E-3</v>
      </c>
      <c r="L1335" s="1288">
        <v>1.9999783254484845E-3</v>
      </c>
      <c r="M1335" s="1305">
        <v>1.9999991740302109E-3</v>
      </c>
      <c r="N1335" s="1303">
        <v>2.2186725572616917E-2</v>
      </c>
      <c r="O1335" s="1288">
        <v>4.4942261755208683E-3</v>
      </c>
      <c r="P1335" s="1301">
        <v>8.2623915978617176E-3</v>
      </c>
      <c r="Q1335" s="1290">
        <v>7.523054907108642E-3</v>
      </c>
    </row>
    <row r="1336" spans="1:17" s="212" customFormat="1" ht="15.5" x14ac:dyDescent="0.35">
      <c r="A1336" s="198">
        <v>2037</v>
      </c>
      <c r="B1336" s="197" t="s">
        <v>5838</v>
      </c>
      <c r="C1336" s="197">
        <v>2034</v>
      </c>
      <c r="D1336" s="225" t="str">
        <f t="shared" si="14"/>
        <v>2037_2034</v>
      </c>
      <c r="E1336" s="1287">
        <v>4.2154815197674049E-2</v>
      </c>
      <c r="F1336" s="1306">
        <v>3.4318433946283087E-3</v>
      </c>
      <c r="G1336" s="1303">
        <v>9.5281178523600032E-2</v>
      </c>
      <c r="H1336" s="1306">
        <v>1.77754652348052E-2</v>
      </c>
      <c r="I1336" s="1303">
        <v>6.223608091402425E-3</v>
      </c>
      <c r="J1336" s="1306">
        <v>4.9787990956759009E-4</v>
      </c>
      <c r="K1336" s="1303">
        <v>2.7728480732071132E-3</v>
      </c>
      <c r="L1336" s="1288">
        <v>1.9999779609995438E-3</v>
      </c>
      <c r="M1336" s="1305">
        <v>1.9999990745980809E-3</v>
      </c>
      <c r="N1336" s="1303">
        <v>2.1770964455623428E-2</v>
      </c>
      <c r="O1336" s="1288">
        <v>4.2973860627676863E-3</v>
      </c>
      <c r="P1336" s="1301">
        <v>8.5735043743793704E-3</v>
      </c>
      <c r="Q1336" s="1290">
        <v>6.5050120324437544E-3</v>
      </c>
    </row>
    <row r="1337" spans="1:17" s="212" customFormat="1" ht="15.5" x14ac:dyDescent="0.35">
      <c r="A1337" s="198">
        <v>2037</v>
      </c>
      <c r="B1337" s="197" t="s">
        <v>5838</v>
      </c>
      <c r="C1337" s="197">
        <v>2035</v>
      </c>
      <c r="D1337" s="225" t="str">
        <f t="shared" si="14"/>
        <v>2037_2035</v>
      </c>
      <c r="E1337" s="1287">
        <v>3.9928887814735435E-2</v>
      </c>
      <c r="F1337" s="1306">
        <v>3.2352554195237029E-3</v>
      </c>
      <c r="G1337" s="1303">
        <v>8.7215814472752048E-2</v>
      </c>
      <c r="H1337" s="1306">
        <v>1.6672275728401676E-2</v>
      </c>
      <c r="I1337" s="1303">
        <v>5.2135851977345351E-3</v>
      </c>
      <c r="J1337" s="1306">
        <v>4.9511308882222674E-4</v>
      </c>
      <c r="K1337" s="1303">
        <v>2.7516061547181044E-3</v>
      </c>
      <c r="L1337" s="1288">
        <v>1.9999773193971806E-3</v>
      </c>
      <c r="M1337" s="1305">
        <v>1.9999989796228145E-3</v>
      </c>
      <c r="N1337" s="1303">
        <v>2.1234743720261587E-2</v>
      </c>
      <c r="O1337" s="1288">
        <v>4.0863251280828508E-3</v>
      </c>
      <c r="P1337" s="1301">
        <v>8.8215154823539574E-3</v>
      </c>
      <c r="Q1337" s="1290">
        <v>5.4493203854344141E-3</v>
      </c>
    </row>
    <row r="1338" spans="1:17" s="212" customFormat="1" ht="15.5" x14ac:dyDescent="0.35">
      <c r="A1338" s="198">
        <v>2037</v>
      </c>
      <c r="B1338" s="197" t="s">
        <v>5838</v>
      </c>
      <c r="C1338" s="197">
        <v>2036</v>
      </c>
      <c r="D1338" s="225" t="str">
        <f t="shared" si="14"/>
        <v>2037_2036</v>
      </c>
      <c r="E1338" s="1287">
        <v>3.864201712484186E-2</v>
      </c>
      <c r="F1338" s="1306">
        <v>3.02024332246285E-3</v>
      </c>
      <c r="G1338" s="1303">
        <v>8.1187867029218763E-2</v>
      </c>
      <c r="H1338" s="1306">
        <v>1.5476622791529306E-2</v>
      </c>
      <c r="I1338" s="1303">
        <v>4.3127924457352787E-3</v>
      </c>
      <c r="J1338" s="1306">
        <v>4.9532952425573754E-4</v>
      </c>
      <c r="K1338" s="1303">
        <v>2.7503098370842308E-3</v>
      </c>
      <c r="L1338" s="1288">
        <v>1.9999768950487076E-3</v>
      </c>
      <c r="M1338" s="1305">
        <v>1.9999989646741901E-3</v>
      </c>
      <c r="N1338" s="1303">
        <v>2.1182644550969881E-2</v>
      </c>
      <c r="O1338" s="1288">
        <v>3.9933816649154082E-3</v>
      </c>
      <c r="P1338" s="1301">
        <v>8.788841107691743E-3</v>
      </c>
      <c r="Q1338" s="1290">
        <v>4.5077977823983892E-3</v>
      </c>
    </row>
    <row r="1339" spans="1:17" s="212" customFormat="1" ht="15.5" x14ac:dyDescent="0.35">
      <c r="A1339" s="198">
        <v>2037</v>
      </c>
      <c r="B1339" s="197" t="s">
        <v>5838</v>
      </c>
      <c r="C1339" s="197">
        <v>2037</v>
      </c>
      <c r="D1339" s="225" t="str">
        <f t="shared" si="14"/>
        <v>2037_2037</v>
      </c>
      <c r="E1339" s="1287">
        <v>3.6161798860773517E-2</v>
      </c>
      <c r="F1339" s="1306">
        <v>2.7820086452191198E-3</v>
      </c>
      <c r="G1339" s="1303">
        <v>7.2622526070793364E-2</v>
      </c>
      <c r="H1339" s="1306">
        <v>1.4123913102207611E-2</v>
      </c>
      <c r="I1339" s="1303">
        <v>3.2781855524801483E-3</v>
      </c>
      <c r="J1339" s="1306">
        <v>4.9216079086926434E-4</v>
      </c>
      <c r="K1339" s="1303">
        <v>2.7242380636362524E-3</v>
      </c>
      <c r="L1339" s="1288">
        <v>1.9999754401649307E-3</v>
      </c>
      <c r="M1339" s="1305">
        <v>1.9999991070797653E-3</v>
      </c>
      <c r="N1339" s="1303">
        <v>2.0522584678170155E-2</v>
      </c>
      <c r="O1339" s="1288">
        <v>3.7191548336383919E-3</v>
      </c>
      <c r="P1339" s="1301">
        <v>8.2866881423258112E-3</v>
      </c>
      <c r="Q1339" s="1290">
        <v>3.4264105564303497E-3</v>
      </c>
    </row>
    <row r="1340" spans="1:17" s="212" customFormat="1" ht="15.5" x14ac:dyDescent="0.35">
      <c r="A1340" s="198">
        <v>2037</v>
      </c>
      <c r="B1340" s="197" t="s">
        <v>5838</v>
      </c>
      <c r="C1340" s="197">
        <v>2038</v>
      </c>
      <c r="D1340" s="225" t="str">
        <f t="shared" si="14"/>
        <v>2037_2038</v>
      </c>
      <c r="E1340" s="1291">
        <v>3.6161798860773517E-2</v>
      </c>
      <c r="F1340" s="1280">
        <v>2.7820086452191198E-3</v>
      </c>
      <c r="G1340" s="1271">
        <v>7.2622526070793364E-2</v>
      </c>
      <c r="H1340" s="1280">
        <v>1.4123913102207611E-2</v>
      </c>
      <c r="I1340" s="1271">
        <v>3.2781855524801483E-3</v>
      </c>
      <c r="J1340" s="1280">
        <v>4.9216079086926434E-4</v>
      </c>
      <c r="K1340" s="1271">
        <v>2.7242380636362524E-3</v>
      </c>
      <c r="L1340" s="1257">
        <v>1.9999754401649307E-3</v>
      </c>
      <c r="M1340" s="1230">
        <v>1.9999991070797653E-3</v>
      </c>
      <c r="N1340" s="1271">
        <v>2.0522584678170155E-2</v>
      </c>
      <c r="O1340" s="1257">
        <v>3.7191548336383919E-3</v>
      </c>
      <c r="P1340" s="1237">
        <v>8.2866881423258112E-3</v>
      </c>
      <c r="Q1340" s="1292">
        <v>3.4264105564303497E-3</v>
      </c>
    </row>
    <row r="1341" spans="1:17" s="212" customFormat="1" ht="15.5" x14ac:dyDescent="0.35">
      <c r="A1341" s="198">
        <v>2038</v>
      </c>
      <c r="B1341" s="197" t="s">
        <v>5838</v>
      </c>
      <c r="C1341" s="197">
        <v>1971</v>
      </c>
      <c r="D1341" s="225" t="str">
        <f t="shared" si="14"/>
        <v>2038_1971</v>
      </c>
      <c r="E1341" s="1291">
        <v>0.31602535455356429</v>
      </c>
      <c r="F1341" s="1280">
        <v>0.50595024147643375</v>
      </c>
      <c r="G1341" s="1271">
        <v>7.5343265775630881</v>
      </c>
      <c r="H1341" s="1280">
        <v>2.1046599167078801</v>
      </c>
      <c r="I1341" s="1271">
        <v>5.3717435758438188E-2</v>
      </c>
      <c r="J1341" s="1280">
        <v>9.6659923661854587E-3</v>
      </c>
      <c r="K1341" s="1271">
        <v>2.7812823654760183E-3</v>
      </c>
      <c r="L1341" s="1257">
        <v>2.0000012239222982E-3</v>
      </c>
      <c r="M1341" s="1230">
        <v>2.0000012239222982E-3</v>
      </c>
      <c r="N1341" s="1271">
        <v>2.2146379768760365E-2</v>
      </c>
      <c r="O1341" s="1257">
        <v>8.0632542887908911E-3</v>
      </c>
      <c r="P1341" s="1237">
        <v>4.0316271443954456E-3</v>
      </c>
      <c r="Q1341" s="1292">
        <v>5.6146299835843856E-2</v>
      </c>
    </row>
    <row r="1342" spans="1:17" s="212" customFormat="1" ht="15.5" x14ac:dyDescent="0.35">
      <c r="A1342" s="198">
        <v>2038</v>
      </c>
      <c r="B1342" s="197" t="s">
        <v>5838</v>
      </c>
      <c r="C1342" s="197">
        <v>1972</v>
      </c>
      <c r="D1342" s="225" t="str">
        <f t="shared" si="14"/>
        <v>2038_1972</v>
      </c>
      <c r="E1342" s="1291">
        <v>0.31602535455356429</v>
      </c>
      <c r="F1342" s="1280">
        <v>0.50595024147643375</v>
      </c>
      <c r="G1342" s="1271">
        <v>7.5343265775630881</v>
      </c>
      <c r="H1342" s="1280">
        <v>2.1046599167078801</v>
      </c>
      <c r="I1342" s="1271">
        <v>5.3717435758438188E-2</v>
      </c>
      <c r="J1342" s="1280">
        <v>9.6659923661854587E-3</v>
      </c>
      <c r="K1342" s="1271">
        <v>2.7812823654760183E-3</v>
      </c>
      <c r="L1342" s="1257">
        <v>2.0000012239222982E-3</v>
      </c>
      <c r="M1342" s="1230">
        <v>2.0000012239222982E-3</v>
      </c>
      <c r="N1342" s="1271">
        <v>2.2146379768760365E-2</v>
      </c>
      <c r="O1342" s="1257">
        <v>8.0632542887908911E-3</v>
      </c>
      <c r="P1342" s="1237">
        <v>4.0316271443954456E-3</v>
      </c>
      <c r="Q1342" s="1292">
        <v>5.6146299835843856E-2</v>
      </c>
    </row>
    <row r="1343" spans="1:17" s="212" customFormat="1" ht="15.5" x14ac:dyDescent="0.35">
      <c r="A1343" s="198">
        <v>2038</v>
      </c>
      <c r="B1343" s="197" t="s">
        <v>5838</v>
      </c>
      <c r="C1343" s="197">
        <v>1973</v>
      </c>
      <c r="D1343" s="225" t="str">
        <f t="shared" si="14"/>
        <v>2038_1973</v>
      </c>
      <c r="E1343" s="1291">
        <v>0.31602535455356429</v>
      </c>
      <c r="F1343" s="1280">
        <v>0.50595024147643375</v>
      </c>
      <c r="G1343" s="1271">
        <v>7.5343265775630881</v>
      </c>
      <c r="H1343" s="1280">
        <v>2.1046599167078801</v>
      </c>
      <c r="I1343" s="1271">
        <v>5.3717435758438188E-2</v>
      </c>
      <c r="J1343" s="1280">
        <v>9.6659923661854587E-3</v>
      </c>
      <c r="K1343" s="1271">
        <v>2.7812823654760183E-3</v>
      </c>
      <c r="L1343" s="1257">
        <v>2.0000012239222982E-3</v>
      </c>
      <c r="M1343" s="1230">
        <v>2.0000012239222982E-3</v>
      </c>
      <c r="N1343" s="1271">
        <v>2.2146379768760365E-2</v>
      </c>
      <c r="O1343" s="1257">
        <v>8.0632542887908911E-3</v>
      </c>
      <c r="P1343" s="1237">
        <v>4.0316271443954456E-3</v>
      </c>
      <c r="Q1343" s="1292">
        <v>5.6146299835843856E-2</v>
      </c>
    </row>
    <row r="1344" spans="1:17" s="212" customFormat="1" ht="15.5" x14ac:dyDescent="0.35">
      <c r="A1344" s="198">
        <v>2038</v>
      </c>
      <c r="B1344" s="197" t="s">
        <v>5838</v>
      </c>
      <c r="C1344" s="197">
        <v>1974</v>
      </c>
      <c r="D1344" s="225" t="str">
        <f t="shared" si="14"/>
        <v>2038_1974</v>
      </c>
      <c r="E1344" s="1291">
        <v>0.31602535455356429</v>
      </c>
      <c r="F1344" s="1280">
        <v>0.50595024147643375</v>
      </c>
      <c r="G1344" s="1271">
        <v>7.5343265775630881</v>
      </c>
      <c r="H1344" s="1280">
        <v>2.1046599167078801</v>
      </c>
      <c r="I1344" s="1271">
        <v>5.3717435758438188E-2</v>
      </c>
      <c r="J1344" s="1280">
        <v>9.6659923661854587E-3</v>
      </c>
      <c r="K1344" s="1271">
        <v>2.7812823654760183E-3</v>
      </c>
      <c r="L1344" s="1257">
        <v>2.0000012239222982E-3</v>
      </c>
      <c r="M1344" s="1230">
        <v>2.0000012239222982E-3</v>
      </c>
      <c r="N1344" s="1271">
        <v>2.2146379768760365E-2</v>
      </c>
      <c r="O1344" s="1257">
        <v>8.0632542887908911E-3</v>
      </c>
      <c r="P1344" s="1237">
        <v>4.0316271443954456E-3</v>
      </c>
      <c r="Q1344" s="1292">
        <v>5.6146299835843856E-2</v>
      </c>
    </row>
    <row r="1345" spans="1:17" s="212" customFormat="1" ht="15.5" x14ac:dyDescent="0.35">
      <c r="A1345" s="198">
        <v>2038</v>
      </c>
      <c r="B1345" s="197" t="s">
        <v>5838</v>
      </c>
      <c r="C1345" s="197">
        <v>1975</v>
      </c>
      <c r="D1345" s="225" t="str">
        <f t="shared" si="14"/>
        <v>2038_1975</v>
      </c>
      <c r="E1345" s="1291">
        <v>0.31602535455356429</v>
      </c>
      <c r="F1345" s="1280">
        <v>0.50595024147643375</v>
      </c>
      <c r="G1345" s="1271">
        <v>7.5343265775630881</v>
      </c>
      <c r="H1345" s="1280">
        <v>2.1046599167078801</v>
      </c>
      <c r="I1345" s="1271">
        <v>5.3717435758438188E-2</v>
      </c>
      <c r="J1345" s="1280">
        <v>9.6659923661854587E-3</v>
      </c>
      <c r="K1345" s="1271">
        <v>2.7812823654760183E-3</v>
      </c>
      <c r="L1345" s="1257">
        <v>2.0000012239222982E-3</v>
      </c>
      <c r="M1345" s="1230">
        <v>2.0000012239222982E-3</v>
      </c>
      <c r="N1345" s="1271">
        <v>2.2146379768760365E-2</v>
      </c>
      <c r="O1345" s="1257">
        <v>8.0632542887908911E-3</v>
      </c>
      <c r="P1345" s="1237">
        <v>4.0316271443954456E-3</v>
      </c>
      <c r="Q1345" s="1292">
        <v>5.6146299835843856E-2</v>
      </c>
    </row>
    <row r="1346" spans="1:17" s="212" customFormat="1" ht="15.5" x14ac:dyDescent="0.35">
      <c r="A1346" s="198">
        <v>2038</v>
      </c>
      <c r="B1346" s="197" t="s">
        <v>5838</v>
      </c>
      <c r="C1346" s="197">
        <v>1976</v>
      </c>
      <c r="D1346" s="225" t="str">
        <f t="shared" si="14"/>
        <v>2038_1976</v>
      </c>
      <c r="E1346" s="1291">
        <v>0.31602535455356429</v>
      </c>
      <c r="F1346" s="1280">
        <v>0.50595024147643375</v>
      </c>
      <c r="G1346" s="1271">
        <v>7.5343265775630881</v>
      </c>
      <c r="H1346" s="1280">
        <v>2.1046599167078801</v>
      </c>
      <c r="I1346" s="1271">
        <v>5.3717435758438188E-2</v>
      </c>
      <c r="J1346" s="1280">
        <v>9.6659923661854587E-3</v>
      </c>
      <c r="K1346" s="1271">
        <v>2.7812823654760183E-3</v>
      </c>
      <c r="L1346" s="1257">
        <v>2.0000012239222982E-3</v>
      </c>
      <c r="M1346" s="1230">
        <v>2.0000012239222982E-3</v>
      </c>
      <c r="N1346" s="1271">
        <v>2.2146379768760365E-2</v>
      </c>
      <c r="O1346" s="1257">
        <v>8.0632542887908911E-3</v>
      </c>
      <c r="P1346" s="1237">
        <v>4.0316271443954456E-3</v>
      </c>
      <c r="Q1346" s="1292">
        <v>5.6146299835843856E-2</v>
      </c>
    </row>
    <row r="1347" spans="1:17" s="212" customFormat="1" ht="15.5" x14ac:dyDescent="0.35">
      <c r="A1347" s="198">
        <v>2038</v>
      </c>
      <c r="B1347" s="197" t="s">
        <v>5838</v>
      </c>
      <c r="C1347" s="197">
        <v>1977</v>
      </c>
      <c r="D1347" s="225" t="str">
        <f t="shared" si="14"/>
        <v>2038_1977</v>
      </c>
      <c r="E1347" s="1291">
        <v>0.31602535455356429</v>
      </c>
      <c r="F1347" s="1280">
        <v>0.50595024147643375</v>
      </c>
      <c r="G1347" s="1271">
        <v>7.5343265775630881</v>
      </c>
      <c r="H1347" s="1280">
        <v>2.1046599167078801</v>
      </c>
      <c r="I1347" s="1271">
        <v>5.3717435758438188E-2</v>
      </c>
      <c r="J1347" s="1280">
        <v>9.6659923661854587E-3</v>
      </c>
      <c r="K1347" s="1271">
        <v>2.7812823654760183E-3</v>
      </c>
      <c r="L1347" s="1257">
        <v>2.0000012239222982E-3</v>
      </c>
      <c r="M1347" s="1230">
        <v>2.0000012239222982E-3</v>
      </c>
      <c r="N1347" s="1271">
        <v>2.2146379768760365E-2</v>
      </c>
      <c r="O1347" s="1257">
        <v>8.0632542887908911E-3</v>
      </c>
      <c r="P1347" s="1237">
        <v>4.0316271443954456E-3</v>
      </c>
      <c r="Q1347" s="1292">
        <v>5.6146299835843856E-2</v>
      </c>
    </row>
    <row r="1348" spans="1:17" s="212" customFormat="1" ht="15.5" x14ac:dyDescent="0.35">
      <c r="A1348" s="198">
        <v>2038</v>
      </c>
      <c r="B1348" s="197" t="s">
        <v>5838</v>
      </c>
      <c r="C1348" s="197">
        <v>1978</v>
      </c>
      <c r="D1348" s="225" t="str">
        <f t="shared" si="14"/>
        <v>2038_1978</v>
      </c>
      <c r="E1348" s="1291">
        <v>0.31602535455356429</v>
      </c>
      <c r="F1348" s="1280">
        <v>0.50595024147643375</v>
      </c>
      <c r="G1348" s="1271">
        <v>7.5343265775630881</v>
      </c>
      <c r="H1348" s="1280">
        <v>2.1046599167078801</v>
      </c>
      <c r="I1348" s="1271">
        <v>5.3717435758438188E-2</v>
      </c>
      <c r="J1348" s="1280">
        <v>9.6659923661854587E-3</v>
      </c>
      <c r="K1348" s="1271">
        <v>2.7812823654760183E-3</v>
      </c>
      <c r="L1348" s="1257">
        <v>2.0000012239222982E-3</v>
      </c>
      <c r="M1348" s="1230">
        <v>2.0000012239222982E-3</v>
      </c>
      <c r="N1348" s="1271">
        <v>2.2146379768760365E-2</v>
      </c>
      <c r="O1348" s="1257">
        <v>8.0632542887908911E-3</v>
      </c>
      <c r="P1348" s="1237">
        <v>4.0316271443954456E-3</v>
      </c>
      <c r="Q1348" s="1292">
        <v>5.6146299835843856E-2</v>
      </c>
    </row>
    <row r="1349" spans="1:17" s="212" customFormat="1" ht="15.5" x14ac:dyDescent="0.35">
      <c r="A1349" s="198">
        <v>2038</v>
      </c>
      <c r="B1349" s="197" t="s">
        <v>5838</v>
      </c>
      <c r="C1349" s="197">
        <v>1979</v>
      </c>
      <c r="D1349" s="225" t="str">
        <f t="shared" si="14"/>
        <v>2038_1979</v>
      </c>
      <c r="E1349" s="1291">
        <v>0.31602535455356429</v>
      </c>
      <c r="F1349" s="1280">
        <v>0.50595024147643375</v>
      </c>
      <c r="G1349" s="1271">
        <v>7.5343265775630881</v>
      </c>
      <c r="H1349" s="1280">
        <v>2.1046599167078801</v>
      </c>
      <c r="I1349" s="1271">
        <v>5.3717435758438188E-2</v>
      </c>
      <c r="J1349" s="1280">
        <v>9.6659923661854587E-3</v>
      </c>
      <c r="K1349" s="1271">
        <v>2.7812823654760183E-3</v>
      </c>
      <c r="L1349" s="1257">
        <v>2.0000012239222982E-3</v>
      </c>
      <c r="M1349" s="1230">
        <v>2.0000012239222982E-3</v>
      </c>
      <c r="N1349" s="1271">
        <v>2.2146379768760365E-2</v>
      </c>
      <c r="O1349" s="1257">
        <v>8.0632542887908911E-3</v>
      </c>
      <c r="P1349" s="1237">
        <v>4.0316271443954456E-3</v>
      </c>
      <c r="Q1349" s="1292">
        <v>5.6146299835843856E-2</v>
      </c>
    </row>
    <row r="1350" spans="1:17" s="212" customFormat="1" ht="15.5" x14ac:dyDescent="0.35">
      <c r="A1350" s="198">
        <v>2038</v>
      </c>
      <c r="B1350" s="197" t="s">
        <v>5838</v>
      </c>
      <c r="C1350" s="197">
        <v>1980</v>
      </c>
      <c r="D1350" s="225" t="str">
        <f t="shared" si="14"/>
        <v>2038_1980</v>
      </c>
      <c r="E1350" s="1291">
        <v>0.31602535455356429</v>
      </c>
      <c r="F1350" s="1280">
        <v>0.50595024147643375</v>
      </c>
      <c r="G1350" s="1271">
        <v>7.5343265775630881</v>
      </c>
      <c r="H1350" s="1280">
        <v>2.1046599167078801</v>
      </c>
      <c r="I1350" s="1271">
        <v>5.3717435758438188E-2</v>
      </c>
      <c r="J1350" s="1280">
        <v>9.6659923661854587E-3</v>
      </c>
      <c r="K1350" s="1271">
        <v>2.7812823654760183E-3</v>
      </c>
      <c r="L1350" s="1257">
        <v>2.0000012239222982E-3</v>
      </c>
      <c r="M1350" s="1230">
        <v>2.0000012239222982E-3</v>
      </c>
      <c r="N1350" s="1271">
        <v>2.2146379768760365E-2</v>
      </c>
      <c r="O1350" s="1257">
        <v>8.0632542887908911E-3</v>
      </c>
      <c r="P1350" s="1237">
        <v>4.0316271443954456E-3</v>
      </c>
      <c r="Q1350" s="1292">
        <v>5.6146299835843856E-2</v>
      </c>
    </row>
    <row r="1351" spans="1:17" s="212" customFormat="1" ht="15.5" x14ac:dyDescent="0.35">
      <c r="A1351" s="198">
        <v>2038</v>
      </c>
      <c r="B1351" s="197" t="s">
        <v>5838</v>
      </c>
      <c r="C1351" s="197">
        <v>1981</v>
      </c>
      <c r="D1351" s="225" t="str">
        <f t="shared" si="14"/>
        <v>2038_1981</v>
      </c>
      <c r="E1351" s="1291">
        <v>0.31602535455356429</v>
      </c>
      <c r="F1351" s="1280">
        <v>0.50595024147643375</v>
      </c>
      <c r="G1351" s="1271">
        <v>7.5343265775630881</v>
      </c>
      <c r="H1351" s="1280">
        <v>2.1046599167078801</v>
      </c>
      <c r="I1351" s="1271">
        <v>5.3717435758438188E-2</v>
      </c>
      <c r="J1351" s="1280">
        <v>9.6659923661854587E-3</v>
      </c>
      <c r="K1351" s="1271">
        <v>2.7812823654760183E-3</v>
      </c>
      <c r="L1351" s="1257">
        <v>2.0000012239222982E-3</v>
      </c>
      <c r="M1351" s="1230">
        <v>2.0000012239222982E-3</v>
      </c>
      <c r="N1351" s="1271">
        <v>2.2146379768760365E-2</v>
      </c>
      <c r="O1351" s="1257">
        <v>8.0632542887908911E-3</v>
      </c>
      <c r="P1351" s="1237">
        <v>4.0316271443954456E-3</v>
      </c>
      <c r="Q1351" s="1292">
        <v>5.6146299835843856E-2</v>
      </c>
    </row>
    <row r="1352" spans="1:17" s="212" customFormat="1" ht="15.5" x14ac:dyDescent="0.35">
      <c r="A1352" s="198">
        <v>2038</v>
      </c>
      <c r="B1352" s="197" t="s">
        <v>5838</v>
      </c>
      <c r="C1352" s="197">
        <v>1982</v>
      </c>
      <c r="D1352" s="225" t="str">
        <f t="shared" si="14"/>
        <v>2038_1982</v>
      </c>
      <c r="E1352" s="1291">
        <v>0.31602535455356429</v>
      </c>
      <c r="F1352" s="1280">
        <v>0.50595024147643375</v>
      </c>
      <c r="G1352" s="1271">
        <v>7.5343265775630881</v>
      </c>
      <c r="H1352" s="1280">
        <v>2.1046599167078801</v>
      </c>
      <c r="I1352" s="1271">
        <v>5.3717435758438188E-2</v>
      </c>
      <c r="J1352" s="1280">
        <v>9.6659923661854587E-3</v>
      </c>
      <c r="K1352" s="1271">
        <v>2.7812823654760183E-3</v>
      </c>
      <c r="L1352" s="1257">
        <v>2.0000012239222982E-3</v>
      </c>
      <c r="M1352" s="1230">
        <v>2.0000012239222982E-3</v>
      </c>
      <c r="N1352" s="1271">
        <v>2.2146379768760365E-2</v>
      </c>
      <c r="O1352" s="1257">
        <v>8.0632542887908911E-3</v>
      </c>
      <c r="P1352" s="1237">
        <v>4.0316271443954456E-3</v>
      </c>
      <c r="Q1352" s="1292">
        <v>5.6146299835843856E-2</v>
      </c>
    </row>
    <row r="1353" spans="1:17" s="212" customFormat="1" ht="15.5" x14ac:dyDescent="0.35">
      <c r="A1353" s="198">
        <v>2038</v>
      </c>
      <c r="B1353" s="197" t="s">
        <v>5838</v>
      </c>
      <c r="C1353" s="197">
        <v>1983</v>
      </c>
      <c r="D1353" s="225" t="str">
        <f t="shared" si="14"/>
        <v>2038_1983</v>
      </c>
      <c r="E1353" s="1291">
        <v>0.31602535455356429</v>
      </c>
      <c r="F1353" s="1280">
        <v>0.50595024147643375</v>
      </c>
      <c r="G1353" s="1271">
        <v>7.5343265775630881</v>
      </c>
      <c r="H1353" s="1280">
        <v>2.1046599167078801</v>
      </c>
      <c r="I1353" s="1271">
        <v>5.3717435758438188E-2</v>
      </c>
      <c r="J1353" s="1280">
        <v>9.6659923661854587E-3</v>
      </c>
      <c r="K1353" s="1271">
        <v>2.7812823654760183E-3</v>
      </c>
      <c r="L1353" s="1257">
        <v>2.0000012239222982E-3</v>
      </c>
      <c r="M1353" s="1230">
        <v>2.0000012239222982E-3</v>
      </c>
      <c r="N1353" s="1271">
        <v>2.2146379768760365E-2</v>
      </c>
      <c r="O1353" s="1257">
        <v>8.0632542887908911E-3</v>
      </c>
      <c r="P1353" s="1237">
        <v>4.0316271443954456E-3</v>
      </c>
      <c r="Q1353" s="1292">
        <v>5.6146299835843856E-2</v>
      </c>
    </row>
    <row r="1354" spans="1:17" s="212" customFormat="1" ht="15.5" x14ac:dyDescent="0.35">
      <c r="A1354" s="198">
        <v>2038</v>
      </c>
      <c r="B1354" s="197" t="s">
        <v>5838</v>
      </c>
      <c r="C1354" s="197">
        <v>1984</v>
      </c>
      <c r="D1354" s="225" t="str">
        <f t="shared" si="14"/>
        <v>2038_1984</v>
      </c>
      <c r="E1354" s="1291">
        <v>0.31602535455356429</v>
      </c>
      <c r="F1354" s="1280">
        <v>0.50595024147643375</v>
      </c>
      <c r="G1354" s="1271">
        <v>7.5343265775630881</v>
      </c>
      <c r="H1354" s="1280">
        <v>2.1046599167078801</v>
      </c>
      <c r="I1354" s="1271">
        <v>5.3717435758438188E-2</v>
      </c>
      <c r="J1354" s="1280">
        <v>9.6659923661854587E-3</v>
      </c>
      <c r="K1354" s="1271">
        <v>2.7812823654760183E-3</v>
      </c>
      <c r="L1354" s="1257">
        <v>2.0000012239222982E-3</v>
      </c>
      <c r="M1354" s="1230">
        <v>2.0000012239222982E-3</v>
      </c>
      <c r="N1354" s="1271">
        <v>2.2146379768760365E-2</v>
      </c>
      <c r="O1354" s="1257">
        <v>8.0632542887908911E-3</v>
      </c>
      <c r="P1354" s="1237">
        <v>4.0316271443954456E-3</v>
      </c>
      <c r="Q1354" s="1292">
        <v>5.6146299835843856E-2</v>
      </c>
    </row>
    <row r="1355" spans="1:17" s="212" customFormat="1" ht="15.5" x14ac:dyDescent="0.35">
      <c r="A1355" s="198">
        <v>2038</v>
      </c>
      <c r="B1355" s="197" t="s">
        <v>5838</v>
      </c>
      <c r="C1355" s="197">
        <v>1985</v>
      </c>
      <c r="D1355" s="225" t="str">
        <f t="shared" si="14"/>
        <v>2038_1985</v>
      </c>
      <c r="E1355" s="1291">
        <v>0.31602535455356429</v>
      </c>
      <c r="F1355" s="1280">
        <v>0.50595024147643375</v>
      </c>
      <c r="G1355" s="1271">
        <v>7.5343265775630881</v>
      </c>
      <c r="H1355" s="1280">
        <v>2.1046599167078801</v>
      </c>
      <c r="I1355" s="1271">
        <v>5.3717435758438188E-2</v>
      </c>
      <c r="J1355" s="1280">
        <v>9.6659923661854587E-3</v>
      </c>
      <c r="K1355" s="1271">
        <v>2.7812823654760183E-3</v>
      </c>
      <c r="L1355" s="1257">
        <v>2.0000012239222982E-3</v>
      </c>
      <c r="M1355" s="1230">
        <v>2.0000012239222982E-3</v>
      </c>
      <c r="N1355" s="1271">
        <v>2.2146379768760365E-2</v>
      </c>
      <c r="O1355" s="1257">
        <v>8.0632542887908911E-3</v>
      </c>
      <c r="P1355" s="1237">
        <v>4.0316271443954456E-3</v>
      </c>
      <c r="Q1355" s="1292">
        <v>5.6146299835843856E-2</v>
      </c>
    </row>
    <row r="1356" spans="1:17" s="212" customFormat="1" ht="15.5" x14ac:dyDescent="0.35">
      <c r="A1356" s="198">
        <v>2038</v>
      </c>
      <c r="B1356" s="197" t="s">
        <v>5838</v>
      </c>
      <c r="C1356" s="197">
        <v>1986</v>
      </c>
      <c r="D1356" s="225" t="str">
        <f t="shared" si="14"/>
        <v>2038_1986</v>
      </c>
      <c r="E1356" s="1291">
        <v>0.31602535455356429</v>
      </c>
      <c r="F1356" s="1280">
        <v>0.50595024147643375</v>
      </c>
      <c r="G1356" s="1271">
        <v>7.5343265775630881</v>
      </c>
      <c r="H1356" s="1280">
        <v>2.1046599167078801</v>
      </c>
      <c r="I1356" s="1271">
        <v>5.3717435758438188E-2</v>
      </c>
      <c r="J1356" s="1280">
        <v>9.6659923661854587E-3</v>
      </c>
      <c r="K1356" s="1271">
        <v>2.7812823654760183E-3</v>
      </c>
      <c r="L1356" s="1257">
        <v>2.0000012239222982E-3</v>
      </c>
      <c r="M1356" s="1230">
        <v>2.0000012239222982E-3</v>
      </c>
      <c r="N1356" s="1271">
        <v>2.2146379768760365E-2</v>
      </c>
      <c r="O1356" s="1257">
        <v>8.0632542887908911E-3</v>
      </c>
      <c r="P1356" s="1237">
        <v>4.0316271443954456E-3</v>
      </c>
      <c r="Q1356" s="1292">
        <v>5.6146299835843856E-2</v>
      </c>
    </row>
    <row r="1357" spans="1:17" s="212" customFormat="1" ht="15.5" x14ac:dyDescent="0.35">
      <c r="A1357" s="198">
        <v>2038</v>
      </c>
      <c r="B1357" s="197" t="s">
        <v>5838</v>
      </c>
      <c r="C1357" s="197">
        <v>1987</v>
      </c>
      <c r="D1357" s="225" t="str">
        <f t="shared" si="14"/>
        <v>2038_1987</v>
      </c>
      <c r="E1357" s="1291">
        <v>0.31602535455356429</v>
      </c>
      <c r="F1357" s="1280">
        <v>0.50595024147643375</v>
      </c>
      <c r="G1357" s="1271">
        <v>7.5343265775630881</v>
      </c>
      <c r="H1357" s="1280">
        <v>2.1046599167078801</v>
      </c>
      <c r="I1357" s="1271">
        <v>5.3717435758438188E-2</v>
      </c>
      <c r="J1357" s="1280">
        <v>9.6659923661854587E-3</v>
      </c>
      <c r="K1357" s="1271">
        <v>2.7812823654760183E-3</v>
      </c>
      <c r="L1357" s="1257">
        <v>2.0000012239222982E-3</v>
      </c>
      <c r="M1357" s="1230">
        <v>2.0000012239222982E-3</v>
      </c>
      <c r="N1357" s="1271">
        <v>2.2146379768760365E-2</v>
      </c>
      <c r="O1357" s="1257">
        <v>8.0632542887908911E-3</v>
      </c>
      <c r="P1357" s="1237">
        <v>4.0316271443954456E-3</v>
      </c>
      <c r="Q1357" s="1292">
        <v>5.6146299835843856E-2</v>
      </c>
    </row>
    <row r="1358" spans="1:17" s="212" customFormat="1" ht="15.5" x14ac:dyDescent="0.35">
      <c r="A1358" s="198">
        <v>2038</v>
      </c>
      <c r="B1358" s="197" t="s">
        <v>5838</v>
      </c>
      <c r="C1358" s="197">
        <v>1988</v>
      </c>
      <c r="D1358" s="225" t="str">
        <f t="shared" si="14"/>
        <v>2038_1988</v>
      </c>
      <c r="E1358" s="1291">
        <v>0.31602535455356429</v>
      </c>
      <c r="F1358" s="1280">
        <v>0.50595024147643375</v>
      </c>
      <c r="G1358" s="1271">
        <v>7.5343265775630881</v>
      </c>
      <c r="H1358" s="1280">
        <v>2.1046599167078801</v>
      </c>
      <c r="I1358" s="1271">
        <v>5.3717435758438188E-2</v>
      </c>
      <c r="J1358" s="1280">
        <v>9.6659923661854587E-3</v>
      </c>
      <c r="K1358" s="1271">
        <v>2.7812823654760183E-3</v>
      </c>
      <c r="L1358" s="1257">
        <v>2.0000012239222982E-3</v>
      </c>
      <c r="M1358" s="1230">
        <v>2.0000012239222982E-3</v>
      </c>
      <c r="N1358" s="1271">
        <v>2.2146379768760365E-2</v>
      </c>
      <c r="O1358" s="1257">
        <v>8.0632542887908911E-3</v>
      </c>
      <c r="P1358" s="1237">
        <v>4.0316271443954456E-3</v>
      </c>
      <c r="Q1358" s="1292">
        <v>5.6146299835843856E-2</v>
      </c>
    </row>
    <row r="1359" spans="1:17" s="212" customFormat="1" ht="15.5" x14ac:dyDescent="0.35">
      <c r="A1359" s="198">
        <v>2038</v>
      </c>
      <c r="B1359" s="197" t="s">
        <v>5838</v>
      </c>
      <c r="C1359" s="197">
        <v>1989</v>
      </c>
      <c r="D1359" s="225" t="str">
        <f t="shared" si="14"/>
        <v>2038_1989</v>
      </c>
      <c r="E1359" s="1291">
        <v>0.31602535455356429</v>
      </c>
      <c r="F1359" s="1280">
        <v>0.50595024147643375</v>
      </c>
      <c r="G1359" s="1271">
        <v>7.5343265775630881</v>
      </c>
      <c r="H1359" s="1280">
        <v>2.1046599167078801</v>
      </c>
      <c r="I1359" s="1271">
        <v>5.3717435758438188E-2</v>
      </c>
      <c r="J1359" s="1280">
        <v>9.6659923661854587E-3</v>
      </c>
      <c r="K1359" s="1271">
        <v>2.7812823654760183E-3</v>
      </c>
      <c r="L1359" s="1257">
        <v>2.0000012239222982E-3</v>
      </c>
      <c r="M1359" s="1230">
        <v>2.0000012239222982E-3</v>
      </c>
      <c r="N1359" s="1271">
        <v>2.2146379768760365E-2</v>
      </c>
      <c r="O1359" s="1257">
        <v>8.0632542887908911E-3</v>
      </c>
      <c r="P1359" s="1237">
        <v>4.0316271443954456E-3</v>
      </c>
      <c r="Q1359" s="1292">
        <v>5.6146299835843856E-2</v>
      </c>
    </row>
    <row r="1360" spans="1:17" s="212" customFormat="1" ht="15.5" x14ac:dyDescent="0.35">
      <c r="A1360" s="198">
        <v>2038</v>
      </c>
      <c r="B1360" s="197" t="s">
        <v>5838</v>
      </c>
      <c r="C1360" s="197">
        <v>1990</v>
      </c>
      <c r="D1360" s="225" t="str">
        <f t="shared" si="14"/>
        <v>2038_1990</v>
      </c>
      <c r="E1360" s="1291">
        <v>0.31602535455356429</v>
      </c>
      <c r="F1360" s="1280">
        <v>0.50595024147643375</v>
      </c>
      <c r="G1360" s="1271">
        <v>7.5343265775630881</v>
      </c>
      <c r="H1360" s="1280">
        <v>2.1046599167078801</v>
      </c>
      <c r="I1360" s="1271">
        <v>5.3717435758438188E-2</v>
      </c>
      <c r="J1360" s="1280">
        <v>9.6659923661854587E-3</v>
      </c>
      <c r="K1360" s="1271">
        <v>2.7812823654760183E-3</v>
      </c>
      <c r="L1360" s="1257">
        <v>2.0000012239222982E-3</v>
      </c>
      <c r="M1360" s="1230">
        <v>2.0000012239222982E-3</v>
      </c>
      <c r="N1360" s="1271">
        <v>2.2146379768760365E-2</v>
      </c>
      <c r="O1360" s="1257">
        <v>8.0632542887908911E-3</v>
      </c>
      <c r="P1360" s="1237">
        <v>4.0316271443954456E-3</v>
      </c>
      <c r="Q1360" s="1292">
        <v>5.6146299835843856E-2</v>
      </c>
    </row>
    <row r="1361" spans="1:17" s="212" customFormat="1" ht="15.5" x14ac:dyDescent="0.35">
      <c r="A1361" s="198">
        <v>2038</v>
      </c>
      <c r="B1361" s="197" t="s">
        <v>5838</v>
      </c>
      <c r="C1361" s="197">
        <v>1991</v>
      </c>
      <c r="D1361" s="225" t="str">
        <f t="shared" si="14"/>
        <v>2038_1991</v>
      </c>
      <c r="E1361" s="1291">
        <v>0.31602535455356429</v>
      </c>
      <c r="F1361" s="1280">
        <v>0.50595024147643375</v>
      </c>
      <c r="G1361" s="1271">
        <v>7.5343265775630881</v>
      </c>
      <c r="H1361" s="1280">
        <v>2.1046599167078801</v>
      </c>
      <c r="I1361" s="1271">
        <v>5.3717435758438188E-2</v>
      </c>
      <c r="J1361" s="1280">
        <v>9.6659923661854587E-3</v>
      </c>
      <c r="K1361" s="1271">
        <v>2.7812823654760183E-3</v>
      </c>
      <c r="L1361" s="1257">
        <v>2.0000012239222982E-3</v>
      </c>
      <c r="M1361" s="1230">
        <v>2.0000012239222982E-3</v>
      </c>
      <c r="N1361" s="1271">
        <v>2.2146379768760365E-2</v>
      </c>
      <c r="O1361" s="1257">
        <v>8.0632542887908911E-3</v>
      </c>
      <c r="P1361" s="1237">
        <v>4.0316271443954456E-3</v>
      </c>
      <c r="Q1361" s="1292">
        <v>5.6146299835843856E-2</v>
      </c>
    </row>
    <row r="1362" spans="1:17" s="212" customFormat="1" ht="15.5" x14ac:dyDescent="0.35">
      <c r="A1362" s="198">
        <v>2038</v>
      </c>
      <c r="B1362" s="197" t="s">
        <v>5838</v>
      </c>
      <c r="C1362" s="197">
        <v>1992</v>
      </c>
      <c r="D1362" s="225" t="str">
        <f t="shared" si="14"/>
        <v>2038_1992</v>
      </c>
      <c r="E1362" s="1291">
        <v>0.31602535455356429</v>
      </c>
      <c r="F1362" s="1280">
        <v>0.50595024147643375</v>
      </c>
      <c r="G1362" s="1271">
        <v>7.5343265775630881</v>
      </c>
      <c r="H1362" s="1280">
        <v>2.1046599167078801</v>
      </c>
      <c r="I1362" s="1271">
        <v>5.3717435758438188E-2</v>
      </c>
      <c r="J1362" s="1280">
        <v>9.6659923661854587E-3</v>
      </c>
      <c r="K1362" s="1271">
        <v>2.7812823654760183E-3</v>
      </c>
      <c r="L1362" s="1257">
        <v>2.0000012239222982E-3</v>
      </c>
      <c r="M1362" s="1230">
        <v>2.0000012239222982E-3</v>
      </c>
      <c r="N1362" s="1271">
        <v>2.2146379768760365E-2</v>
      </c>
      <c r="O1362" s="1257">
        <v>8.0632542887908911E-3</v>
      </c>
      <c r="P1362" s="1237">
        <v>4.0316271443954456E-3</v>
      </c>
      <c r="Q1362" s="1292">
        <v>5.6146299835843856E-2</v>
      </c>
    </row>
    <row r="1363" spans="1:17" s="212" customFormat="1" ht="15.5" x14ac:dyDescent="0.35">
      <c r="A1363" s="198">
        <v>2038</v>
      </c>
      <c r="B1363" s="197" t="s">
        <v>5838</v>
      </c>
      <c r="C1363" s="197">
        <v>1993</v>
      </c>
      <c r="D1363" s="225" t="str">
        <f t="shared" si="14"/>
        <v>2038_1993</v>
      </c>
      <c r="E1363" s="1291">
        <v>0.31602535455356429</v>
      </c>
      <c r="F1363" s="1280">
        <v>0.50595024147643375</v>
      </c>
      <c r="G1363" s="1271">
        <v>7.5343265775630881</v>
      </c>
      <c r="H1363" s="1280">
        <v>2.1046599167078801</v>
      </c>
      <c r="I1363" s="1271">
        <v>5.3717435758438188E-2</v>
      </c>
      <c r="J1363" s="1280">
        <v>9.6659923661854587E-3</v>
      </c>
      <c r="K1363" s="1271">
        <v>2.7812823654760183E-3</v>
      </c>
      <c r="L1363" s="1257">
        <v>2.0000012239222982E-3</v>
      </c>
      <c r="M1363" s="1230">
        <v>2.0000012239222982E-3</v>
      </c>
      <c r="N1363" s="1271">
        <v>2.2146379768760365E-2</v>
      </c>
      <c r="O1363" s="1257">
        <v>8.0632542887908911E-3</v>
      </c>
      <c r="P1363" s="1237">
        <v>4.0316271443954456E-3</v>
      </c>
      <c r="Q1363" s="1292">
        <v>5.6146299835843856E-2</v>
      </c>
    </row>
    <row r="1364" spans="1:17" s="212" customFormat="1" ht="15.5" x14ac:dyDescent="0.35">
      <c r="A1364" s="198">
        <v>2038</v>
      </c>
      <c r="B1364" s="197" t="s">
        <v>5838</v>
      </c>
      <c r="C1364" s="197">
        <v>1994</v>
      </c>
      <c r="D1364" s="225" t="str">
        <f t="shared" si="14"/>
        <v>2038_1994</v>
      </c>
      <c r="E1364" s="1287">
        <v>0.31602535455356429</v>
      </c>
      <c r="F1364" s="1306">
        <v>0.50595024147643375</v>
      </c>
      <c r="G1364" s="1303">
        <v>7.5343265775630881</v>
      </c>
      <c r="H1364" s="1306">
        <v>2.1046599167078801</v>
      </c>
      <c r="I1364" s="1303">
        <v>5.3717435758438188E-2</v>
      </c>
      <c r="J1364" s="1306">
        <v>9.6659923661854587E-3</v>
      </c>
      <c r="K1364" s="1303">
        <v>2.7812823654760183E-3</v>
      </c>
      <c r="L1364" s="1288">
        <v>2.0000012239222982E-3</v>
      </c>
      <c r="M1364" s="1230">
        <v>2.0000012239222982E-3</v>
      </c>
      <c r="N1364" s="1303">
        <v>2.2146379768760365E-2</v>
      </c>
      <c r="O1364" s="1288">
        <v>8.0632542887908911E-3</v>
      </c>
      <c r="P1364" s="1237">
        <v>4.0316271443954456E-3</v>
      </c>
      <c r="Q1364" s="1290">
        <v>5.6146299835843856E-2</v>
      </c>
    </row>
    <row r="1365" spans="1:17" s="212" customFormat="1" ht="15.5" x14ac:dyDescent="0.35">
      <c r="A1365" s="198">
        <v>2038</v>
      </c>
      <c r="B1365" s="197" t="s">
        <v>5838</v>
      </c>
      <c r="C1365" s="197">
        <v>1995</v>
      </c>
      <c r="D1365" s="225" t="str">
        <f t="shared" si="14"/>
        <v>2038_1995</v>
      </c>
      <c r="E1365" s="1287">
        <v>0.36539952222380939</v>
      </c>
      <c r="F1365" s="1306">
        <v>0.37569287535535562</v>
      </c>
      <c r="G1365" s="1303">
        <v>8.9879833317014963</v>
      </c>
      <c r="H1365" s="1306">
        <v>1.658986729455844</v>
      </c>
      <c r="I1365" s="1303">
        <v>5.366056724979381E-2</v>
      </c>
      <c r="J1365" s="1306">
        <v>8.6948756910240985E-3</v>
      </c>
      <c r="K1365" s="1303">
        <v>2.96597211240385E-3</v>
      </c>
      <c r="L1365" s="1288">
        <v>2.0000011277315818E-3</v>
      </c>
      <c r="M1365" s="1230">
        <v>2.0000011277315818E-3</v>
      </c>
      <c r="N1365" s="1303">
        <v>2.6504392941498721E-2</v>
      </c>
      <c r="O1365" s="1288">
        <v>1.0328781814230798E-2</v>
      </c>
      <c r="P1365" s="1237">
        <v>5.1643909071153989E-3</v>
      </c>
      <c r="Q1365" s="1290">
        <v>5.6086859985588856E-2</v>
      </c>
    </row>
    <row r="1366" spans="1:17" s="212" customFormat="1" ht="15.5" x14ac:dyDescent="0.35">
      <c r="A1366" s="198">
        <v>2038</v>
      </c>
      <c r="B1366" s="197" t="s">
        <v>5838</v>
      </c>
      <c r="C1366" s="197">
        <v>1996</v>
      </c>
      <c r="D1366" s="225" t="str">
        <f t="shared" si="14"/>
        <v>2038_1996</v>
      </c>
      <c r="E1366" s="1287">
        <v>0.37142000018950816</v>
      </c>
      <c r="F1366" s="1306">
        <v>0.12669881124364668</v>
      </c>
      <c r="G1366" s="1303">
        <v>9.0763690673153707</v>
      </c>
      <c r="H1366" s="1306">
        <v>0.98357599292643527</v>
      </c>
      <c r="I1366" s="1303">
        <v>5.3904012605648033E-2</v>
      </c>
      <c r="J1366" s="1306">
        <v>2.7191325878391437E-3</v>
      </c>
      <c r="K1366" s="1303">
        <v>2.9815021613133811E-3</v>
      </c>
      <c r="L1366" s="1288">
        <v>2.0000011096190824E-3</v>
      </c>
      <c r="M1366" s="1230">
        <v>2.0000011096190824E-3</v>
      </c>
      <c r="N1366" s="1303">
        <v>2.6864631228477941E-2</v>
      </c>
      <c r="O1366" s="1288">
        <v>1.0277980590725917E-2</v>
      </c>
      <c r="P1366" s="1237">
        <v>5.1389902953629584E-3</v>
      </c>
      <c r="Q1366" s="1290">
        <v>5.6341312860162092E-2</v>
      </c>
    </row>
    <row r="1367" spans="1:17" s="212" customFormat="1" ht="15.5" x14ac:dyDescent="0.35">
      <c r="A1367" s="198">
        <v>2038</v>
      </c>
      <c r="B1367" s="197" t="s">
        <v>5838</v>
      </c>
      <c r="C1367" s="197">
        <v>1997</v>
      </c>
      <c r="D1367" s="225" t="str">
        <f t="shared" si="14"/>
        <v>2038_1997</v>
      </c>
      <c r="E1367" s="1287">
        <v>0.37644976534942326</v>
      </c>
      <c r="F1367" s="1306">
        <v>0.12689331206569893</v>
      </c>
      <c r="G1367" s="1303">
        <v>9.1586091848264033</v>
      </c>
      <c r="H1367" s="1306">
        <v>0.9875371934908862</v>
      </c>
      <c r="I1367" s="1303">
        <v>5.4090793095758649E-2</v>
      </c>
      <c r="J1367" s="1306">
        <v>2.718222389353854E-3</v>
      </c>
      <c r="K1367" s="1303">
        <v>2.995189876897762E-3</v>
      </c>
      <c r="L1367" s="1288">
        <v>2.0000010934265828E-3</v>
      </c>
      <c r="M1367" s="1230">
        <v>2.0000010934265828E-3</v>
      </c>
      <c r="N1367" s="1303">
        <v>2.7187458267781739E-2</v>
      </c>
      <c r="O1367" s="1288">
        <v>1.0165242376221111E-2</v>
      </c>
      <c r="P1367" s="1237">
        <v>5.0826211881105556E-3</v>
      </c>
      <c r="Q1367" s="1290">
        <v>5.6536538735209321E-2</v>
      </c>
    </row>
    <row r="1368" spans="1:17" s="212" customFormat="1" ht="15.5" x14ac:dyDescent="0.35">
      <c r="A1368" s="198">
        <v>2038</v>
      </c>
      <c r="B1368" s="197" t="s">
        <v>5838</v>
      </c>
      <c r="C1368" s="197">
        <v>1998</v>
      </c>
      <c r="D1368" s="225" t="str">
        <f t="shared" si="14"/>
        <v>2038_1998</v>
      </c>
      <c r="E1368" s="1287">
        <v>0.37577333261429802</v>
      </c>
      <c r="F1368" s="1306">
        <v>0.13019816764120304</v>
      </c>
      <c r="G1368" s="1303">
        <v>9.1647335083146775</v>
      </c>
      <c r="H1368" s="1306">
        <v>1.0109754997297979</v>
      </c>
      <c r="I1368" s="1303">
        <v>5.3998683123014993E-2</v>
      </c>
      <c r="J1368" s="1306">
        <v>2.7569910084168751E-3</v>
      </c>
      <c r="K1368" s="1303">
        <v>2.9949015575831081E-3</v>
      </c>
      <c r="L1368" s="1288">
        <v>2.0000011562124513E-3</v>
      </c>
      <c r="M1368" s="1230">
        <v>2.0000011562124513E-3</v>
      </c>
      <c r="N1368" s="1303">
        <v>2.7179354776914445E-2</v>
      </c>
      <c r="O1368" s="1288">
        <v>8.5381668762998086E-3</v>
      </c>
      <c r="P1368" s="1237">
        <v>4.2690834381499043E-3</v>
      </c>
      <c r="Q1368" s="1290">
        <v>5.6440263958230201E-2</v>
      </c>
    </row>
    <row r="1369" spans="1:17" s="212" customFormat="1" ht="15.5" x14ac:dyDescent="0.35">
      <c r="A1369" s="198">
        <v>2038</v>
      </c>
      <c r="B1369" s="197" t="s">
        <v>5838</v>
      </c>
      <c r="C1369" s="197">
        <v>1999</v>
      </c>
      <c r="D1369" s="225" t="str">
        <f t="shared" si="14"/>
        <v>2038_1999</v>
      </c>
      <c r="E1369" s="1287">
        <v>0.3769386299417582</v>
      </c>
      <c r="F1369" s="1306">
        <v>0.12739840751801279</v>
      </c>
      <c r="G1369" s="1303">
        <v>9.1947002947963039</v>
      </c>
      <c r="H1369" s="1306">
        <v>0.99997649228444829</v>
      </c>
      <c r="I1369" s="1303">
        <v>5.4031464913868142E-2</v>
      </c>
      <c r="J1369" s="1306">
        <v>2.7806300325944433E-3</v>
      </c>
      <c r="K1369" s="1303">
        <v>2.9985174264493967E-3</v>
      </c>
      <c r="L1369" s="1288">
        <v>2.0000011946475749E-3</v>
      </c>
      <c r="M1369" s="1230">
        <v>2.0000011946475749E-3</v>
      </c>
      <c r="N1369" s="1303">
        <v>2.7265349217835289E-2</v>
      </c>
      <c r="O1369" s="1288">
        <v>8.2466646670855508E-3</v>
      </c>
      <c r="P1369" s="1237">
        <v>4.1233323335427754E-3</v>
      </c>
      <c r="Q1369" s="1290">
        <v>5.6474527996198703E-2</v>
      </c>
    </row>
    <row r="1370" spans="1:17" s="212" customFormat="1" ht="15.5" x14ac:dyDescent="0.35">
      <c r="A1370" s="198">
        <v>2038</v>
      </c>
      <c r="B1370" s="197" t="s">
        <v>5838</v>
      </c>
      <c r="C1370" s="197">
        <v>2000</v>
      </c>
      <c r="D1370" s="225" t="str">
        <f t="shared" si="14"/>
        <v>2038_2000</v>
      </c>
      <c r="E1370" s="1287">
        <v>0.3754445853106162</v>
      </c>
      <c r="F1370" s="1306">
        <v>0.12257971767456068</v>
      </c>
      <c r="G1370" s="1303">
        <v>9.235319925206058</v>
      </c>
      <c r="H1370" s="1306">
        <v>0.97670812450648703</v>
      </c>
      <c r="I1370" s="1303">
        <v>5.3777109116246564E-2</v>
      </c>
      <c r="J1370" s="1306">
        <v>2.7811728381123705E-3</v>
      </c>
      <c r="K1370" s="1303">
        <v>2.9995303172309878E-3</v>
      </c>
      <c r="L1370" s="1288">
        <v>2.0000012461054754E-3</v>
      </c>
      <c r="M1370" s="1230">
        <v>2.0000012461054754E-3</v>
      </c>
      <c r="N1370" s="1303">
        <v>2.7288871916057063E-2</v>
      </c>
      <c r="O1370" s="1288">
        <v>8.353674446091244E-3</v>
      </c>
      <c r="P1370" s="1237">
        <v>4.176837223045622E-3</v>
      </c>
      <c r="Q1370" s="1290">
        <v>5.6208671358095798E-2</v>
      </c>
    </row>
    <row r="1371" spans="1:17" s="212" customFormat="1" ht="15.5" x14ac:dyDescent="0.35">
      <c r="A1371" s="198">
        <v>2038</v>
      </c>
      <c r="B1371" s="197" t="s">
        <v>5838</v>
      </c>
      <c r="C1371" s="197">
        <v>2001</v>
      </c>
      <c r="D1371" s="225" t="str">
        <f t="shared" si="14"/>
        <v>2038_2001</v>
      </c>
      <c r="E1371" s="1287">
        <v>0.37727060874960444</v>
      </c>
      <c r="F1371" s="1306">
        <v>0.11963432077340379</v>
      </c>
      <c r="G1371" s="1303">
        <v>9.2045480491404223</v>
      </c>
      <c r="H1371" s="1306">
        <v>0.95822985386338555</v>
      </c>
      <c r="I1371" s="1303">
        <v>5.4025869236482872E-2</v>
      </c>
      <c r="J1371" s="1306">
        <v>2.804392850442049E-3</v>
      </c>
      <c r="K1371" s="1303">
        <v>2.9998662766587748E-3</v>
      </c>
      <c r="L1371" s="1288">
        <v>2.0000012448062928E-3</v>
      </c>
      <c r="M1371" s="1230">
        <v>2.0000012448062928E-3</v>
      </c>
      <c r="N1371" s="1303">
        <v>2.7296870622822354E-2</v>
      </c>
      <c r="O1371" s="1288">
        <v>7.6850314403623552E-3</v>
      </c>
      <c r="P1371" s="1237">
        <v>3.8425157201811776E-3</v>
      </c>
      <c r="Q1371" s="1290">
        <v>5.646867930711244E-2</v>
      </c>
    </row>
    <row r="1372" spans="1:17" s="212" customFormat="1" ht="15.5" x14ac:dyDescent="0.35">
      <c r="A1372" s="198">
        <v>2038</v>
      </c>
      <c r="B1372" s="197" t="s">
        <v>5838</v>
      </c>
      <c r="C1372" s="197">
        <v>2002</v>
      </c>
      <c r="D1372" s="225" t="str">
        <f t="shared" si="14"/>
        <v>2038_2002</v>
      </c>
      <c r="E1372" s="1287">
        <v>0.29094902956340901</v>
      </c>
      <c r="F1372" s="1306">
        <v>0.11864163818433404</v>
      </c>
      <c r="G1372" s="1303">
        <v>7.1205795062029162</v>
      </c>
      <c r="H1372" s="1306">
        <v>0.92669116031870447</v>
      </c>
      <c r="I1372" s="1303">
        <v>5.4235144039796623E-2</v>
      </c>
      <c r="J1372" s="1306">
        <v>2.8163994052347501E-3</v>
      </c>
      <c r="K1372" s="1303">
        <v>2.9999212580284563E-3</v>
      </c>
      <c r="L1372" s="1288">
        <v>2.000001315407794E-3</v>
      </c>
      <c r="M1372" s="1230">
        <v>2.000001315407794E-3</v>
      </c>
      <c r="N1372" s="1303">
        <v>2.7298157940689672E-2</v>
      </c>
      <c r="O1372" s="1288">
        <v>7.212549795218794E-3</v>
      </c>
      <c r="P1372" s="1237">
        <v>3.606274897609397E-3</v>
      </c>
      <c r="Q1372" s="1290">
        <v>5.6687416588388904E-2</v>
      </c>
    </row>
    <row r="1373" spans="1:17" s="212" customFormat="1" ht="15.5" x14ac:dyDescent="0.35">
      <c r="A1373" s="198">
        <v>2038</v>
      </c>
      <c r="B1373" s="197" t="s">
        <v>5838</v>
      </c>
      <c r="C1373" s="197">
        <v>2003</v>
      </c>
      <c r="D1373" s="225" t="str">
        <f t="shared" si="14"/>
        <v>2038_2003</v>
      </c>
      <c r="E1373" s="1287">
        <v>0.28939113420048973</v>
      </c>
      <c r="F1373" s="1306">
        <v>9.5838855908935566E-2</v>
      </c>
      <c r="G1373" s="1303">
        <v>7.1471394040574987</v>
      </c>
      <c r="H1373" s="1306">
        <v>0.71885945896460557</v>
      </c>
      <c r="I1373" s="1303">
        <v>5.3944842737661994E-2</v>
      </c>
      <c r="J1373" s="1306">
        <v>2.8005947694915169E-3</v>
      </c>
      <c r="K1373" s="1303">
        <v>2.9999188061455482E-3</v>
      </c>
      <c r="L1373" s="1288">
        <v>2.000001330455995E-3</v>
      </c>
      <c r="M1373" s="1230">
        <v>2.000001330455995E-3</v>
      </c>
      <c r="N1373" s="1303">
        <v>2.7298125255035752E-2</v>
      </c>
      <c r="O1373" s="1288">
        <v>7.6888547516971387E-3</v>
      </c>
      <c r="P1373" s="1237">
        <v>3.8444273758485694E-3</v>
      </c>
      <c r="Q1373" s="1290">
        <v>5.6383989149564696E-2</v>
      </c>
    </row>
    <row r="1374" spans="1:17" s="212" customFormat="1" ht="15.5" x14ac:dyDescent="0.35">
      <c r="A1374" s="198">
        <v>2038</v>
      </c>
      <c r="B1374" s="197" t="s">
        <v>5838</v>
      </c>
      <c r="C1374" s="197">
        <v>2004</v>
      </c>
      <c r="D1374" s="225" t="str">
        <f t="shared" si="14"/>
        <v>2038_2004</v>
      </c>
      <c r="E1374" s="1287">
        <v>0.59569018189204204</v>
      </c>
      <c r="F1374" s="1306">
        <v>1.8031540998425688E-2</v>
      </c>
      <c r="G1374" s="1303">
        <v>4.2068351129199399</v>
      </c>
      <c r="H1374" s="1306">
        <v>0.12261740757516346</v>
      </c>
      <c r="I1374" s="1303">
        <v>0.15434557996776174</v>
      </c>
      <c r="J1374" s="1306">
        <v>1.8735535221061953E-4</v>
      </c>
      <c r="K1374" s="1303">
        <v>2.9991741023942965E-3</v>
      </c>
      <c r="L1374" s="1288">
        <v>2.0000013961951574E-3</v>
      </c>
      <c r="M1374" s="1230">
        <v>2.0000013961951574E-3</v>
      </c>
      <c r="N1374" s="1303">
        <v>2.7280591082630822E-2</v>
      </c>
      <c r="O1374" s="1288">
        <v>7.1795627115826526E-3</v>
      </c>
      <c r="P1374" s="1237">
        <v>3.5897813557913263E-3</v>
      </c>
      <c r="Q1374" s="1290">
        <v>0.16132440219553709</v>
      </c>
    </row>
    <row r="1375" spans="1:17" s="212" customFormat="1" ht="15.5" x14ac:dyDescent="0.35">
      <c r="A1375" s="198">
        <v>2038</v>
      </c>
      <c r="B1375" s="197" t="s">
        <v>5838</v>
      </c>
      <c r="C1375" s="197">
        <v>2005</v>
      </c>
      <c r="D1375" s="225" t="str">
        <f t="shared" si="14"/>
        <v>2038_2005</v>
      </c>
      <c r="E1375" s="1287">
        <v>0.56555528880694372</v>
      </c>
      <c r="F1375" s="1306">
        <v>1.6105619489838616E-2</v>
      </c>
      <c r="G1375" s="1303">
        <v>4.0621771220130372</v>
      </c>
      <c r="H1375" s="1306">
        <v>0.10743088616196385</v>
      </c>
      <c r="I1375" s="1303">
        <v>0.14823317394810243</v>
      </c>
      <c r="J1375" s="1306">
        <v>1.876477432064946E-4</v>
      </c>
      <c r="K1375" s="1303">
        <v>2.9408464753207923E-3</v>
      </c>
      <c r="L1375" s="1288">
        <v>2.0000014106125201E-3</v>
      </c>
      <c r="M1375" s="1230">
        <v>2.0000014106125201E-3</v>
      </c>
      <c r="N1375" s="1303">
        <v>2.5905341319218386E-2</v>
      </c>
      <c r="O1375" s="1288">
        <v>6.6914433598673244E-3</v>
      </c>
      <c r="P1375" s="1237">
        <v>3.3457216799336622E-3</v>
      </c>
      <c r="Q1375" s="1290">
        <v>0.15493562029906865</v>
      </c>
    </row>
    <row r="1376" spans="1:17" s="212" customFormat="1" ht="15.5" x14ac:dyDescent="0.35">
      <c r="A1376" s="198">
        <v>2038</v>
      </c>
      <c r="B1376" s="197" t="s">
        <v>5838</v>
      </c>
      <c r="C1376" s="197">
        <v>2006</v>
      </c>
      <c r="D1376" s="225" t="str">
        <f t="shared" si="14"/>
        <v>2038_2006</v>
      </c>
      <c r="E1376" s="1287">
        <v>0.57629664518267343</v>
      </c>
      <c r="F1376" s="1306">
        <v>7.1426462722368059E-3</v>
      </c>
      <c r="G1376" s="1303">
        <v>4.117776961756606</v>
      </c>
      <c r="H1376" s="1306">
        <v>8.6360869229973908E-2</v>
      </c>
      <c r="I1376" s="1303">
        <v>0.15036612818601999</v>
      </c>
      <c r="J1376" s="1306">
        <v>1.8253010953997109E-4</v>
      </c>
      <c r="K1376" s="1303">
        <v>2.9666805596084318E-3</v>
      </c>
      <c r="L1376" s="1288">
        <v>2.0000013137416398E-3</v>
      </c>
      <c r="M1376" s="1230">
        <v>2.0000013137416398E-3</v>
      </c>
      <c r="N1376" s="1303">
        <v>2.6514162857343513E-2</v>
      </c>
      <c r="O1376" s="1288">
        <v>9.7641571308007911E-3</v>
      </c>
      <c r="P1376" s="1237">
        <v>4.8820785654003955E-3</v>
      </c>
      <c r="Q1376" s="1290">
        <v>0.15716501726277993</v>
      </c>
    </row>
    <row r="1377" spans="1:17" s="212" customFormat="1" ht="15.5" x14ac:dyDescent="0.35">
      <c r="A1377" s="198">
        <v>2038</v>
      </c>
      <c r="B1377" s="197" t="s">
        <v>5838</v>
      </c>
      <c r="C1377" s="197">
        <v>2007</v>
      </c>
      <c r="D1377" s="225" t="str">
        <f t="shared" si="14"/>
        <v>2038_2007</v>
      </c>
      <c r="E1377" s="1287">
        <v>0.32055148959472424</v>
      </c>
      <c r="F1377" s="1306">
        <v>8.982747313044586E-3</v>
      </c>
      <c r="G1377" s="1303">
        <v>2.3353861173951458</v>
      </c>
      <c r="H1377" s="1306">
        <v>7.2294864212830684E-2</v>
      </c>
      <c r="I1377" s="1303">
        <v>8.3683245591371511E-2</v>
      </c>
      <c r="J1377" s="1306">
        <v>1.8649204499794129E-4</v>
      </c>
      <c r="K1377" s="1303">
        <v>2.9481333409091003E-3</v>
      </c>
      <c r="L1377" s="1288">
        <v>2.0000013376711362E-3</v>
      </c>
      <c r="M1377" s="1230">
        <v>2.0000013376711362E-3</v>
      </c>
      <c r="N1377" s="1303">
        <v>2.6077739850668403E-2</v>
      </c>
      <c r="O1377" s="1288">
        <v>7.0133267995232352E-3</v>
      </c>
      <c r="P1377" s="1237">
        <v>3.5066633997616176E-3</v>
      </c>
      <c r="Q1377" s="1290">
        <v>8.746703061811073E-2</v>
      </c>
    </row>
    <row r="1378" spans="1:17" s="212" customFormat="1" ht="15.5" x14ac:dyDescent="0.35">
      <c r="A1378" s="198">
        <v>2038</v>
      </c>
      <c r="B1378" s="197" t="s">
        <v>5838</v>
      </c>
      <c r="C1378" s="197">
        <v>2008</v>
      </c>
      <c r="D1378" s="225" t="str">
        <f t="shared" si="14"/>
        <v>2038_2008</v>
      </c>
      <c r="E1378" s="1287">
        <v>0.32713318587432499</v>
      </c>
      <c r="F1378" s="1306">
        <v>8.3434355920549395E-3</v>
      </c>
      <c r="G1378" s="1303">
        <v>2.3883433200707298</v>
      </c>
      <c r="H1378" s="1306">
        <v>5.4677986955356472E-2</v>
      </c>
      <c r="I1378" s="1303">
        <v>8.5398081363978154E-2</v>
      </c>
      <c r="J1378" s="1306">
        <v>2.1012395363023903E-4</v>
      </c>
      <c r="K1378" s="1303">
        <v>2.9716162379147372E-3</v>
      </c>
      <c r="L1378" s="1288">
        <v>2.0000014719959332E-3</v>
      </c>
      <c r="M1378" s="1230">
        <v>2.0000014719959332E-3</v>
      </c>
      <c r="N1378" s="1303">
        <v>2.6632010842059555E-2</v>
      </c>
      <c r="O1378" s="1288">
        <v>6.9484963143673882E-3</v>
      </c>
      <c r="P1378" s="1237">
        <v>3.4742481571836941E-3</v>
      </c>
      <c r="Q1378" s="1290">
        <v>8.9259403654883593E-2</v>
      </c>
    </row>
    <row r="1379" spans="1:17" s="212" customFormat="1" ht="15.5" x14ac:dyDescent="0.35">
      <c r="A1379" s="198">
        <v>2038</v>
      </c>
      <c r="B1379" s="197" t="s">
        <v>5838</v>
      </c>
      <c r="C1379" s="197">
        <v>2009</v>
      </c>
      <c r="D1379" s="225" t="str">
        <f t="shared" si="14"/>
        <v>2038_2009</v>
      </c>
      <c r="E1379" s="1287">
        <v>0.31800514366411597</v>
      </c>
      <c r="F1379" s="1306">
        <v>7.9563371914412803E-3</v>
      </c>
      <c r="G1379" s="1303">
        <v>2.2970813129270513</v>
      </c>
      <c r="H1379" s="1306">
        <v>3.8726639679133007E-2</v>
      </c>
      <c r="I1379" s="1303">
        <v>8.2824485733921288E-2</v>
      </c>
      <c r="J1379" s="1306">
        <v>2.3904573902000384E-4</v>
      </c>
      <c r="K1379" s="1303">
        <v>2.9263351472898587E-3</v>
      </c>
      <c r="L1379" s="1288">
        <v>2.0000015336267699E-3</v>
      </c>
      <c r="M1379" s="1230">
        <v>2.0000015336267699E-3</v>
      </c>
      <c r="N1379" s="1303">
        <v>2.5568078976057087E-2</v>
      </c>
      <c r="O1379" s="1288">
        <v>5.442648833832075E-3</v>
      </c>
      <c r="P1379" s="1237">
        <v>2.7213244169160375E-3</v>
      </c>
      <c r="Q1379" s="1290">
        <v>8.6569441450596904E-2</v>
      </c>
    </row>
    <row r="1380" spans="1:17" s="212" customFormat="1" ht="15.5" x14ac:dyDescent="0.35">
      <c r="A1380" s="198">
        <v>2038</v>
      </c>
      <c r="B1380" s="197" t="s">
        <v>5838</v>
      </c>
      <c r="C1380" s="197">
        <v>2010</v>
      </c>
      <c r="D1380" s="225" t="str">
        <f t="shared" si="14"/>
        <v>2038_2010</v>
      </c>
      <c r="E1380" s="1287">
        <v>6.8192493726753026E-2</v>
      </c>
      <c r="F1380" s="1306">
        <v>7.3436606423173236E-3</v>
      </c>
      <c r="G1380" s="1303">
        <v>0.5957170927302966</v>
      </c>
      <c r="H1380" s="1306">
        <v>3.6833766950727737E-2</v>
      </c>
      <c r="I1380" s="1303">
        <v>1.886071349032014E-2</v>
      </c>
      <c r="J1380" s="1306">
        <v>2.957120365018848E-4</v>
      </c>
      <c r="K1380" s="1303">
        <v>2.8248932800020864E-3</v>
      </c>
      <c r="L1380" s="1288">
        <v>2.0000016115280274E-3</v>
      </c>
      <c r="M1380" s="1230">
        <v>2.0000016115280274E-3</v>
      </c>
      <c r="N1380" s="1303">
        <v>2.3182071692825941E-2</v>
      </c>
      <c r="O1380" s="1288">
        <v>4.5836853897126524E-3</v>
      </c>
      <c r="P1380" s="1237">
        <v>2.2918426948563262E-3</v>
      </c>
      <c r="Q1380" s="1290">
        <v>1.9713511261175876E-2</v>
      </c>
    </row>
    <row r="1381" spans="1:17" s="212" customFormat="1" ht="15.5" x14ac:dyDescent="0.35">
      <c r="A1381" s="198">
        <v>2038</v>
      </c>
      <c r="B1381" s="197" t="s">
        <v>5838</v>
      </c>
      <c r="C1381" s="197">
        <v>2011</v>
      </c>
      <c r="D1381" s="225" t="str">
        <f t="shared" si="14"/>
        <v>2038_2011</v>
      </c>
      <c r="E1381" s="1287">
        <v>7.2575468483800171E-2</v>
      </c>
      <c r="F1381" s="1306">
        <v>7.321777570150634E-3</v>
      </c>
      <c r="G1381" s="1303">
        <v>0.64826776523929319</v>
      </c>
      <c r="H1381" s="1306">
        <v>3.6651591219980059E-2</v>
      </c>
      <c r="I1381" s="1303">
        <v>2.0004067110699866E-2</v>
      </c>
      <c r="J1381" s="1306">
        <v>3.9290884380260713E-4</v>
      </c>
      <c r="K1381" s="1303">
        <v>2.9052380232810807E-3</v>
      </c>
      <c r="L1381" s="1288">
        <v>2.0000015646384371E-3</v>
      </c>
      <c r="M1381" s="1230">
        <v>2.0000015646384371E-3</v>
      </c>
      <c r="N1381" s="1303">
        <v>2.5078243606097561E-2</v>
      </c>
      <c r="O1381" s="1288">
        <v>5.6180055201540029E-3</v>
      </c>
      <c r="P1381" s="1237">
        <v>2.8090027600770015E-3</v>
      </c>
      <c r="Q1381" s="1290">
        <v>2.0908562258712585E-2</v>
      </c>
    </row>
    <row r="1382" spans="1:17" s="212" customFormat="1" ht="15.5" x14ac:dyDescent="0.35">
      <c r="A1382" s="198">
        <v>2038</v>
      </c>
      <c r="B1382" s="197" t="s">
        <v>5838</v>
      </c>
      <c r="C1382" s="197">
        <v>2012</v>
      </c>
      <c r="D1382" s="225" t="str">
        <f t="shared" si="14"/>
        <v>2038_2012</v>
      </c>
      <c r="E1382" s="1287">
        <v>5.7417115462841894E-2</v>
      </c>
      <c r="F1382" s="1306">
        <v>6.9732204823694365E-3</v>
      </c>
      <c r="G1382" s="1303">
        <v>0.48223755135401652</v>
      </c>
      <c r="H1382" s="1306">
        <v>3.5548162438102666E-2</v>
      </c>
      <c r="I1382" s="1303">
        <v>1.6187539413681253E-2</v>
      </c>
      <c r="J1382" s="1306">
        <v>5.6908510932320922E-4</v>
      </c>
      <c r="K1382" s="1303">
        <v>2.6626119893571019E-3</v>
      </c>
      <c r="L1382" s="1288">
        <v>2.0000015939376252E-3</v>
      </c>
      <c r="M1382" s="1230">
        <v>2.0000015939376252E-3</v>
      </c>
      <c r="N1382" s="1303">
        <v>1.9354046832113201E-2</v>
      </c>
      <c r="O1382" s="1288">
        <v>6.1293426469974585E-3</v>
      </c>
      <c r="P1382" s="1237">
        <v>3.0646713234987293E-3</v>
      </c>
      <c r="Q1382" s="1290">
        <v>1.6919468114825587E-2</v>
      </c>
    </row>
    <row r="1383" spans="1:17" s="212" customFormat="1" ht="15.5" x14ac:dyDescent="0.35">
      <c r="A1383" s="198">
        <v>2038</v>
      </c>
      <c r="B1383" s="197" t="s">
        <v>5838</v>
      </c>
      <c r="C1383" s="197">
        <v>2013</v>
      </c>
      <c r="D1383" s="225" t="str">
        <f t="shared" si="14"/>
        <v>2038_2013</v>
      </c>
      <c r="E1383" s="1287">
        <v>7.0934989012868793E-2</v>
      </c>
      <c r="F1383" s="1306">
        <v>7.4962845459073096E-3</v>
      </c>
      <c r="G1383" s="1303">
        <v>0.6287416593766525</v>
      </c>
      <c r="H1383" s="1306">
        <v>3.6851392120161489E-2</v>
      </c>
      <c r="I1383" s="1303">
        <v>1.9573567579994934E-2</v>
      </c>
      <c r="J1383" s="1306">
        <v>8.5102816974877058E-4</v>
      </c>
      <c r="K1383" s="1303">
        <v>2.8763097047777683E-3</v>
      </c>
      <c r="L1383" s="1288">
        <v>2.0000015938629523E-3</v>
      </c>
      <c r="M1383" s="1230">
        <v>2.0000015938629523E-3</v>
      </c>
      <c r="N1383" s="1303">
        <v>2.4397939493176438E-2</v>
      </c>
      <c r="O1383" s="1288">
        <v>6.120996309629559E-3</v>
      </c>
      <c r="P1383" s="1237">
        <v>3.0604981548147795E-3</v>
      </c>
      <c r="Q1383" s="1290">
        <v>2.0458597449542499E-2</v>
      </c>
    </row>
    <row r="1384" spans="1:17" s="212" customFormat="1" ht="15.5" x14ac:dyDescent="0.35">
      <c r="A1384" s="198">
        <v>2038</v>
      </c>
      <c r="B1384" s="197" t="s">
        <v>5838</v>
      </c>
      <c r="C1384" s="197">
        <v>2014</v>
      </c>
      <c r="D1384" s="225" t="str">
        <f t="shared" si="14"/>
        <v>2038_2014</v>
      </c>
      <c r="E1384" s="1287">
        <v>6.29936923357583E-2</v>
      </c>
      <c r="F1384" s="1306">
        <v>7.6408912474214838E-3</v>
      </c>
      <c r="G1384" s="1303">
        <v>0.54290307336039201</v>
      </c>
      <c r="H1384" s="1306">
        <v>3.7267768166680461E-2</v>
      </c>
      <c r="I1384" s="1303">
        <v>1.7586326503166178E-2</v>
      </c>
      <c r="J1384" s="1306">
        <v>1.2042405499034273E-3</v>
      </c>
      <c r="K1384" s="1303">
        <v>2.7511499436550283E-3</v>
      </c>
      <c r="L1384" s="1288">
        <v>2.0000015995406662E-3</v>
      </c>
      <c r="M1384" s="1230">
        <v>2.0000015995406662E-3</v>
      </c>
      <c r="N1384" s="1303">
        <v>2.1443629553530637E-2</v>
      </c>
      <c r="O1384" s="1288">
        <v>5.1788472294652501E-3</v>
      </c>
      <c r="P1384" s="1237">
        <v>2.589423614732625E-3</v>
      </c>
      <c r="Q1384" s="1290">
        <v>1.8381502149471308E-2</v>
      </c>
    </row>
    <row r="1385" spans="1:17" s="212" customFormat="1" ht="15.5" x14ac:dyDescent="0.35">
      <c r="A1385" s="198">
        <v>2038</v>
      </c>
      <c r="B1385" s="197" t="s">
        <v>5838</v>
      </c>
      <c r="C1385" s="197">
        <v>2015</v>
      </c>
      <c r="D1385" s="225" t="str">
        <f t="shared" si="14"/>
        <v>2038_2015</v>
      </c>
      <c r="E1385" s="1287">
        <v>5.8378661921754754E-2</v>
      </c>
      <c r="F1385" s="1306">
        <v>7.4767180505462437E-3</v>
      </c>
      <c r="G1385" s="1303">
        <v>0.49634393122163994</v>
      </c>
      <c r="H1385" s="1306">
        <v>3.6379592470713006E-2</v>
      </c>
      <c r="I1385" s="1303">
        <v>1.6451119423421638E-2</v>
      </c>
      <c r="J1385" s="1306">
        <v>1.4906503548502551E-3</v>
      </c>
      <c r="K1385" s="1303">
        <v>2.6860704507228311E-3</v>
      </c>
      <c r="L1385" s="1288">
        <v>2.0000015705638518E-3</v>
      </c>
      <c r="M1385" s="1230">
        <v>2.0000015705638518E-3</v>
      </c>
      <c r="N1385" s="1303">
        <v>1.9895494493254999E-2</v>
      </c>
      <c r="O1385" s="1288">
        <v>6.0433839028528362E-3</v>
      </c>
      <c r="P1385" s="1237">
        <v>3.0216919514264181E-3</v>
      </c>
      <c r="Q1385" s="1290">
        <v>1.7194966042987526E-2</v>
      </c>
    </row>
    <row r="1386" spans="1:17" s="212" customFormat="1" ht="15.5" x14ac:dyDescent="0.35">
      <c r="A1386" s="198">
        <v>2038</v>
      </c>
      <c r="B1386" s="197" t="s">
        <v>5838</v>
      </c>
      <c r="C1386" s="197">
        <v>2016</v>
      </c>
      <c r="D1386" s="225" t="str">
        <f t="shared" si="14"/>
        <v>2038_2016</v>
      </c>
      <c r="E1386" s="1287">
        <v>6.7128306816294864E-2</v>
      </c>
      <c r="F1386" s="1306">
        <v>7.341885842897901E-3</v>
      </c>
      <c r="G1386" s="1303">
        <v>0.52735460916887467</v>
      </c>
      <c r="H1386" s="1306">
        <v>3.5537085763993843E-2</v>
      </c>
      <c r="I1386" s="1303">
        <v>1.8623235233643218E-2</v>
      </c>
      <c r="J1386" s="1306">
        <v>1.6931159905334522E-3</v>
      </c>
      <c r="K1386" s="1303">
        <v>2.8400579568054096E-3</v>
      </c>
      <c r="L1386" s="1288">
        <v>2.0000015178673575E-3</v>
      </c>
      <c r="M1386" s="1230">
        <v>2.0000015178673575E-3</v>
      </c>
      <c r="N1386" s="1303">
        <v>2.3527901637386696E-2</v>
      </c>
      <c r="O1386" s="1288">
        <v>6.9643694765300053E-3</v>
      </c>
      <c r="P1386" s="1237">
        <v>3.4821847382650027E-3</v>
      </c>
      <c r="Q1386" s="1290">
        <v>1.9465295291526158E-2</v>
      </c>
    </row>
    <row r="1387" spans="1:17" s="212" customFormat="1" ht="15.5" x14ac:dyDescent="0.35">
      <c r="A1387" s="198">
        <v>2038</v>
      </c>
      <c r="B1387" s="197" t="s">
        <v>5838</v>
      </c>
      <c r="C1387" s="197">
        <v>2017</v>
      </c>
      <c r="D1387" s="225" t="str">
        <f t="shared" si="14"/>
        <v>2038_2017</v>
      </c>
      <c r="E1387" s="1287">
        <v>6.8687107497000494E-2</v>
      </c>
      <c r="F1387" s="1306">
        <v>7.0588490786089994E-3</v>
      </c>
      <c r="G1387" s="1303">
        <v>0.47099843059488333</v>
      </c>
      <c r="H1387" s="1306">
        <v>3.4668197429771161E-2</v>
      </c>
      <c r="I1387" s="1303">
        <v>1.8928465630420714E-2</v>
      </c>
      <c r="J1387" s="1306">
        <v>1.8190049033228401E-3</v>
      </c>
      <c r="K1387" s="1303">
        <v>2.8680282069842768E-3</v>
      </c>
      <c r="L1387" s="1288">
        <v>2.0000014918039738E-3</v>
      </c>
      <c r="M1387" s="1230">
        <v>2.0000014918039738E-3</v>
      </c>
      <c r="N1387" s="1303">
        <v>2.4190513915673551E-2</v>
      </c>
      <c r="O1387" s="1288">
        <v>6.9178146093358686E-3</v>
      </c>
      <c r="P1387" s="1237">
        <v>3.4589073046679343E-3</v>
      </c>
      <c r="Q1387" s="1290">
        <v>1.9784326852406092E-2</v>
      </c>
    </row>
    <row r="1388" spans="1:17" s="212" customFormat="1" ht="15.5" x14ac:dyDescent="0.35">
      <c r="A1388" s="198">
        <v>2038</v>
      </c>
      <c r="B1388" s="197" t="s">
        <v>5838</v>
      </c>
      <c r="C1388" s="197">
        <v>2018</v>
      </c>
      <c r="D1388" s="225" t="str">
        <f t="shared" si="14"/>
        <v>2038_2018</v>
      </c>
      <c r="E1388" s="1287">
        <v>6.4032188637628176E-2</v>
      </c>
      <c r="F1388" s="1306">
        <v>6.9227414851057894E-3</v>
      </c>
      <c r="G1388" s="1303">
        <v>0.35751205401111363</v>
      </c>
      <c r="H1388" s="1306">
        <v>3.4078777849577538E-2</v>
      </c>
      <c r="I1388" s="1303">
        <v>1.7638234745154888E-2</v>
      </c>
      <c r="J1388" s="1306">
        <v>1.9223314537253134E-3</v>
      </c>
      <c r="K1388" s="1303">
        <v>2.791867389693641E-3</v>
      </c>
      <c r="L1388" s="1288">
        <v>2.0000014900206108E-3</v>
      </c>
      <c r="M1388" s="1230">
        <v>2.0000014900206108E-3</v>
      </c>
      <c r="N1388" s="1303">
        <v>2.2387464053710015E-2</v>
      </c>
      <c r="O1388" s="1288">
        <v>6.2646089993871387E-3</v>
      </c>
      <c r="P1388" s="1237">
        <v>3.1323044996935693E-3</v>
      </c>
      <c r="Q1388" s="1290">
        <v>1.8435757451823284E-2</v>
      </c>
    </row>
    <row r="1389" spans="1:17" s="212" customFormat="1" ht="15.5" x14ac:dyDescent="0.35">
      <c r="A1389" s="198">
        <v>2038</v>
      </c>
      <c r="B1389" s="197" t="s">
        <v>5838</v>
      </c>
      <c r="C1389" s="197">
        <v>2019</v>
      </c>
      <c r="D1389" s="225" t="str">
        <f t="shared" si="14"/>
        <v>2038_2019</v>
      </c>
      <c r="E1389" s="1287">
        <v>7.1963055281539623E-2</v>
      </c>
      <c r="F1389" s="1306">
        <v>6.7756679460508323E-3</v>
      </c>
      <c r="G1389" s="1303">
        <v>0.35802002363726865</v>
      </c>
      <c r="H1389" s="1306">
        <v>3.3190577009644201E-2</v>
      </c>
      <c r="I1389" s="1303">
        <v>1.9464556602697566E-2</v>
      </c>
      <c r="J1389" s="1306">
        <v>1.8254510952588321E-3</v>
      </c>
      <c r="K1389" s="1303">
        <v>2.9374965055349489E-3</v>
      </c>
      <c r="L1389" s="1288">
        <v>2.0000014271241147E-3</v>
      </c>
      <c r="M1389" s="1230">
        <v>2.0000014271241147E-3</v>
      </c>
      <c r="N1389" s="1303">
        <v>2.5825176583926263E-2</v>
      </c>
      <c r="O1389" s="1288">
        <v>6.2983317611034623E-3</v>
      </c>
      <c r="P1389" s="1237">
        <v>3.1491658805517311E-3</v>
      </c>
      <c r="Q1389" s="1290">
        <v>2.0344657479580842E-2</v>
      </c>
    </row>
    <row r="1390" spans="1:17" s="212" customFormat="1" ht="15.5" x14ac:dyDescent="0.35">
      <c r="A1390" s="198">
        <v>2038</v>
      </c>
      <c r="B1390" s="197" t="s">
        <v>5838</v>
      </c>
      <c r="C1390" s="197">
        <v>2020</v>
      </c>
      <c r="D1390" s="225" t="str">
        <f t="shared" si="14"/>
        <v>2038_2020</v>
      </c>
      <c r="E1390" s="1287">
        <v>6.2000284374949158E-2</v>
      </c>
      <c r="F1390" s="1306">
        <v>6.6063168364806765E-3</v>
      </c>
      <c r="G1390" s="1303">
        <v>0.27418807847251808</v>
      </c>
      <c r="H1390" s="1306">
        <v>3.1980028505545578E-2</v>
      </c>
      <c r="I1390" s="1303">
        <v>1.7260363833688744E-2</v>
      </c>
      <c r="J1390" s="1306">
        <v>1.3535868693641023E-3</v>
      </c>
      <c r="K1390" s="1303">
        <v>2.9060984473394409E-3</v>
      </c>
      <c r="L1390" s="1288">
        <v>2.0000015160330652E-3</v>
      </c>
      <c r="M1390" s="1230">
        <v>2.0000015160330652E-3</v>
      </c>
      <c r="N1390" s="1303">
        <v>2.5089783760175746E-2</v>
      </c>
      <c r="O1390" s="1288">
        <v>6.4190592835235635E-3</v>
      </c>
      <c r="P1390" s="1237">
        <v>3.2095296417617818E-3</v>
      </c>
      <c r="Q1390" s="1290">
        <v>1.8040800894517952E-2</v>
      </c>
    </row>
    <row r="1391" spans="1:17" s="212" customFormat="1" ht="15.5" x14ac:dyDescent="0.35">
      <c r="A1391" s="198">
        <v>2038</v>
      </c>
      <c r="B1391" s="197" t="s">
        <v>5838</v>
      </c>
      <c r="C1391" s="197">
        <v>2021</v>
      </c>
      <c r="D1391" s="225" t="str">
        <f t="shared" si="14"/>
        <v>2038_2021</v>
      </c>
      <c r="E1391" s="1287">
        <v>6.0415001870428447E-2</v>
      </c>
      <c r="F1391" s="1306">
        <v>6.3697058073866938E-3</v>
      </c>
      <c r="G1391" s="1303">
        <v>0.21991090331696089</v>
      </c>
      <c r="H1391" s="1306">
        <v>3.0877621706452179E-2</v>
      </c>
      <c r="I1391" s="1303">
        <v>1.6413418624571484E-2</v>
      </c>
      <c r="J1391" s="1306">
        <v>8.8724896679980491E-4</v>
      </c>
      <c r="K1391" s="1303">
        <v>2.9011365205672468E-3</v>
      </c>
      <c r="L1391" s="1288">
        <v>2.0000015325969448E-3</v>
      </c>
      <c r="M1391" s="1230">
        <v>2.0000015325969448E-3</v>
      </c>
      <c r="N1391" s="1303">
        <v>2.4970163499169577E-2</v>
      </c>
      <c r="O1391" s="1288">
        <v>6.3511570705390976E-3</v>
      </c>
      <c r="P1391" s="1237">
        <v>3.1755785352695488E-3</v>
      </c>
      <c r="Q1391" s="1290">
        <v>1.715556058130813E-2</v>
      </c>
    </row>
    <row r="1392" spans="1:17" s="212" customFormat="1" ht="15.5" x14ac:dyDescent="0.35">
      <c r="A1392" s="198">
        <v>2038</v>
      </c>
      <c r="B1392" s="197" t="s">
        <v>5838</v>
      </c>
      <c r="C1392" s="197">
        <v>2022</v>
      </c>
      <c r="D1392" s="225" t="str">
        <f t="shared" si="14"/>
        <v>2038_2022</v>
      </c>
      <c r="E1392" s="1287">
        <v>5.9721991672362598E-2</v>
      </c>
      <c r="F1392" s="1306">
        <v>6.1626008626737691E-3</v>
      </c>
      <c r="G1392" s="1303">
        <v>0.16770733073131724</v>
      </c>
      <c r="H1392" s="1306">
        <v>2.9750541876979671E-2</v>
      </c>
      <c r="I1392" s="1303">
        <v>1.598867144278571E-2</v>
      </c>
      <c r="J1392" s="1306">
        <v>8.8708961822014888E-4</v>
      </c>
      <c r="K1392" s="1303">
        <v>2.897148708345702E-3</v>
      </c>
      <c r="L1392" s="1288">
        <v>2.0000015439149994E-3</v>
      </c>
      <c r="M1392" s="1230">
        <v>2.0000015439149994E-3</v>
      </c>
      <c r="N1392" s="1303">
        <v>2.4872826386615213E-2</v>
      </c>
      <c r="O1392" s="1288">
        <v>6.3229951713770936E-3</v>
      </c>
      <c r="P1392" s="1237">
        <v>3.1614975856885468E-3</v>
      </c>
      <c r="Q1392" s="1290">
        <v>1.6711608216749739E-2</v>
      </c>
    </row>
    <row r="1393" spans="1:17" s="212" customFormat="1" ht="15.5" x14ac:dyDescent="0.35">
      <c r="A1393" s="198">
        <v>2038</v>
      </c>
      <c r="B1393" s="197" t="s">
        <v>5838</v>
      </c>
      <c r="C1393" s="197">
        <v>2023</v>
      </c>
      <c r="D1393" s="225" t="str">
        <f t="shared" ref="D1393:D1480" si="15">CONCATENATE(A1393,"_",C1393)</f>
        <v>2038_2023</v>
      </c>
      <c r="E1393" s="1287">
        <v>5.898434440405851E-2</v>
      </c>
      <c r="F1393" s="1306">
        <v>5.8194290903635744E-3</v>
      </c>
      <c r="G1393" s="1303">
        <v>0.1644176602014461</v>
      </c>
      <c r="H1393" s="1306">
        <v>2.862766616203425E-2</v>
      </c>
      <c r="I1393" s="1303">
        <v>1.5524708196404117E-2</v>
      </c>
      <c r="J1393" s="1306">
        <v>8.8696753902212024E-4</v>
      </c>
      <c r="K1393" s="1303">
        <v>2.8934136582737689E-3</v>
      </c>
      <c r="L1393" s="1288">
        <v>2.0000015561242E-3</v>
      </c>
      <c r="M1393" s="1230">
        <v>2.0000015561242E-3</v>
      </c>
      <c r="N1393" s="1303">
        <v>2.4780856055302603E-2</v>
      </c>
      <c r="O1393" s="1288">
        <v>6.2877297261799267E-3</v>
      </c>
      <c r="P1393" s="1237">
        <v>3.1438648630899633E-3</v>
      </c>
      <c r="Q1393" s="1290">
        <v>1.6226666611173213E-2</v>
      </c>
    </row>
    <row r="1394" spans="1:17" s="212" customFormat="1" ht="15.5" x14ac:dyDescent="0.35">
      <c r="A1394" s="198">
        <v>2038</v>
      </c>
      <c r="B1394" s="197" t="s">
        <v>5838</v>
      </c>
      <c r="C1394" s="197">
        <v>2024</v>
      </c>
      <c r="D1394" s="225" t="str">
        <f t="shared" si="15"/>
        <v>2038_2024</v>
      </c>
      <c r="E1394" s="1287">
        <v>5.7947979815003624E-2</v>
      </c>
      <c r="F1394" s="1306">
        <v>5.2057644710657202E-3</v>
      </c>
      <c r="G1394" s="1303">
        <v>0.16015005912300087</v>
      </c>
      <c r="H1394" s="1306">
        <v>2.7180170574411997E-2</v>
      </c>
      <c r="I1394" s="1303">
        <v>1.4952411576844229E-2</v>
      </c>
      <c r="J1394" s="1306">
        <v>8.8563918038757979E-4</v>
      </c>
      <c r="K1394" s="1303">
        <v>2.8855694878875053E-3</v>
      </c>
      <c r="L1394" s="1288">
        <v>2.0000015752039309E-3</v>
      </c>
      <c r="M1394" s="1305">
        <v>2.0000005733494608E-3</v>
      </c>
      <c r="N1394" s="1303">
        <v>2.4590989374751654E-2</v>
      </c>
      <c r="O1394" s="1288">
        <v>6.1197857211860987E-3</v>
      </c>
      <c r="P1394" s="1301">
        <v>3.5670208848316526E-3</v>
      </c>
      <c r="Q1394" s="1290">
        <v>1.5628493278005473E-2</v>
      </c>
    </row>
    <row r="1395" spans="1:17" s="212" customFormat="1" ht="15.5" x14ac:dyDescent="0.35">
      <c r="A1395" s="198">
        <v>2038</v>
      </c>
      <c r="B1395" s="197" t="s">
        <v>5838</v>
      </c>
      <c r="C1395" s="197">
        <v>2025</v>
      </c>
      <c r="D1395" s="225" t="str">
        <f t="shared" si="15"/>
        <v>2038_2025</v>
      </c>
      <c r="E1395" s="1287">
        <v>5.6987694775032391E-2</v>
      </c>
      <c r="F1395" s="1306">
        <v>4.674434917762405E-3</v>
      </c>
      <c r="G1395" s="1303">
        <v>0.15600456823968847</v>
      </c>
      <c r="H1395" s="1306">
        <v>2.5888316705791135E-2</v>
      </c>
      <c r="I1395" s="1303">
        <v>1.4376756152408762E-2</v>
      </c>
      <c r="J1395" s="1306">
        <v>8.8503789255271639E-4</v>
      </c>
      <c r="K1395" s="1303">
        <v>2.8799996868132563E-3</v>
      </c>
      <c r="L1395" s="1288">
        <v>2.0000015908134359E-3</v>
      </c>
      <c r="M1395" s="1305">
        <v>2.0000005733811399E-3</v>
      </c>
      <c r="N1395" s="1303">
        <v>2.4454041433590184E-2</v>
      </c>
      <c r="O1395" s="1288">
        <v>6.021189798302534E-3</v>
      </c>
      <c r="P1395" s="1301">
        <v>3.9944068458870937E-3</v>
      </c>
      <c r="Q1395" s="1290">
        <v>1.5026809269710055E-2</v>
      </c>
    </row>
    <row r="1396" spans="1:17" s="212" customFormat="1" ht="15.5" x14ac:dyDescent="0.35">
      <c r="A1396" s="198">
        <v>2038</v>
      </c>
      <c r="B1396" s="197" t="s">
        <v>5838</v>
      </c>
      <c r="C1396" s="197">
        <v>2026</v>
      </c>
      <c r="D1396" s="225" t="str">
        <f t="shared" si="15"/>
        <v>2038_2026</v>
      </c>
      <c r="E1396" s="1287">
        <v>5.5956403639651868E-2</v>
      </c>
      <c r="F1396" s="1306">
        <v>4.6268610113603531E-3</v>
      </c>
      <c r="G1396" s="1303">
        <v>0.15155294679016859</v>
      </c>
      <c r="H1396" s="1306">
        <v>2.5359065722101438E-2</v>
      </c>
      <c r="I1396" s="1303">
        <v>1.3757515141076843E-2</v>
      </c>
      <c r="J1396" s="1306">
        <v>7.7042246259103632E-4</v>
      </c>
      <c r="K1396" s="1303">
        <v>2.8741504299757675E-3</v>
      </c>
      <c r="L1396" s="1288">
        <v>2.0000016073649911E-3</v>
      </c>
      <c r="M1396" s="1305">
        <v>2.0000005734434009E-3</v>
      </c>
      <c r="N1396" s="1303">
        <v>2.4309521397634433E-2</v>
      </c>
      <c r="O1396" s="1288">
        <v>5.8761026099444173E-3</v>
      </c>
      <c r="P1396" s="1301">
        <v>4.8373783907771414E-3</v>
      </c>
      <c r="Q1396" s="1290">
        <v>1.4379568927687023E-2</v>
      </c>
    </row>
    <row r="1397" spans="1:17" s="212" customFormat="1" ht="15.5" x14ac:dyDescent="0.35">
      <c r="A1397" s="198">
        <v>2038</v>
      </c>
      <c r="B1397" s="197" t="s">
        <v>5838</v>
      </c>
      <c r="C1397" s="197">
        <v>2027</v>
      </c>
      <c r="D1397" s="225" t="str">
        <f t="shared" si="15"/>
        <v>2038_2027</v>
      </c>
      <c r="E1397" s="1287">
        <v>5.4675239973790486E-2</v>
      </c>
      <c r="F1397" s="1306">
        <v>4.6030341915383154E-3</v>
      </c>
      <c r="G1397" s="1303">
        <v>0.14629858636424975</v>
      </c>
      <c r="H1397" s="1306">
        <v>2.4822440720281794E-2</v>
      </c>
      <c r="I1397" s="1303">
        <v>1.3050782953751165E-2</v>
      </c>
      <c r="J1397" s="1306">
        <v>6.3516040464094928E-4</v>
      </c>
      <c r="K1397" s="1303">
        <v>2.8648103947714314E-3</v>
      </c>
      <c r="L1397" s="1288">
        <v>2.0000016256551318E-3</v>
      </c>
      <c r="M1397" s="1305">
        <v>2.0000005735061246E-3</v>
      </c>
      <c r="N1397" s="1303">
        <v>2.408086432082255E-2</v>
      </c>
      <c r="O1397" s="1288">
        <v>5.7023968874780591E-3</v>
      </c>
      <c r="P1397" s="1301">
        <v>5.6865353808392511E-3</v>
      </c>
      <c r="Q1397" s="1290">
        <v>1.36408814469282E-2</v>
      </c>
    </row>
    <row r="1398" spans="1:17" s="212" customFormat="1" ht="15.5" x14ac:dyDescent="0.35">
      <c r="A1398" s="198">
        <v>2038</v>
      </c>
      <c r="B1398" s="197" t="s">
        <v>5838</v>
      </c>
      <c r="C1398" s="197">
        <v>2028</v>
      </c>
      <c r="D1398" s="225" t="str">
        <f t="shared" si="15"/>
        <v>2038_2028</v>
      </c>
      <c r="E1398" s="1287">
        <v>5.3357533842540501E-2</v>
      </c>
      <c r="F1398" s="1306">
        <v>4.5156708143041999E-3</v>
      </c>
      <c r="G1398" s="1303">
        <v>0.14085733327820321</v>
      </c>
      <c r="H1398" s="1306">
        <v>2.4182076816590868E-2</v>
      </c>
      <c r="I1398" s="1303">
        <v>1.2314071428892683E-2</v>
      </c>
      <c r="J1398" s="1306">
        <v>5.1721449344953449E-4</v>
      </c>
      <c r="K1398" s="1303">
        <v>2.8556701757790066E-3</v>
      </c>
      <c r="L1398" s="1288">
        <v>2.0000016440908067E-3</v>
      </c>
      <c r="M1398" s="1305">
        <v>2.0000005735516268E-3</v>
      </c>
      <c r="N1398" s="1303">
        <v>2.385552871232223E-2</v>
      </c>
      <c r="O1398" s="1288">
        <v>5.5155148831138034E-3</v>
      </c>
      <c r="P1398" s="1301">
        <v>6.3051986700769589E-3</v>
      </c>
      <c r="Q1398" s="1290">
        <v>1.287085909602451E-2</v>
      </c>
    </row>
    <row r="1399" spans="1:17" s="212" customFormat="1" ht="15.5" x14ac:dyDescent="0.35">
      <c r="A1399" s="198">
        <v>2038</v>
      </c>
      <c r="B1399" s="197" t="s">
        <v>5838</v>
      </c>
      <c r="C1399" s="197">
        <v>2029</v>
      </c>
      <c r="D1399" s="225" t="str">
        <f t="shared" si="15"/>
        <v>2038_2029</v>
      </c>
      <c r="E1399" s="1287">
        <v>5.188315552714582E-2</v>
      </c>
      <c r="F1399" s="1306">
        <v>4.4150404175154504E-3</v>
      </c>
      <c r="G1399" s="1303">
        <v>0.1349077454774954</v>
      </c>
      <c r="H1399" s="1306">
        <v>2.3472022714619862E-2</v>
      </c>
      <c r="I1399" s="1303">
        <v>1.1520255211521732E-2</v>
      </c>
      <c r="J1399" s="1306">
        <v>5.1387972356074319E-4</v>
      </c>
      <c r="K1399" s="1303">
        <v>2.8445289347232782E-3</v>
      </c>
      <c r="L1399" s="1288">
        <v>2.0000016649569584E-3</v>
      </c>
      <c r="M1399" s="1305">
        <v>2.0000005735866526E-3</v>
      </c>
      <c r="N1399" s="1303">
        <v>2.3580934670340673E-2</v>
      </c>
      <c r="O1399" s="1288">
        <v>5.3350247566502796E-3</v>
      </c>
      <c r="P1399" s="1301">
        <v>6.7807890360524646E-3</v>
      </c>
      <c r="Q1399" s="1290">
        <v>1.2041150031811387E-2</v>
      </c>
    </row>
    <row r="1400" spans="1:17" s="212" customFormat="1" ht="15.5" x14ac:dyDescent="0.35">
      <c r="A1400" s="198">
        <v>2038</v>
      </c>
      <c r="B1400" s="197" t="s">
        <v>5838</v>
      </c>
      <c r="C1400" s="197">
        <v>2030</v>
      </c>
      <c r="D1400" s="225" t="str">
        <f t="shared" si="15"/>
        <v>2038_2030</v>
      </c>
      <c r="E1400" s="1287">
        <v>5.0397688642957329E-2</v>
      </c>
      <c r="F1400" s="1306">
        <v>4.3110115700332905E-3</v>
      </c>
      <c r="G1400" s="1303">
        <v>0.128859311073595</v>
      </c>
      <c r="H1400" s="1306">
        <v>2.2696863967016756E-2</v>
      </c>
      <c r="I1400" s="1303">
        <v>1.0706237920973506E-2</v>
      </c>
      <c r="J1400" s="1306">
        <v>5.108711170583516E-4</v>
      </c>
      <c r="K1400" s="1303">
        <v>2.8339732330138227E-3</v>
      </c>
      <c r="L1400" s="1288">
        <v>2.0000016793952392E-3</v>
      </c>
      <c r="M1400" s="1305">
        <v>2.0000005736143705E-3</v>
      </c>
      <c r="N1400" s="1303">
        <v>2.3318298744603505E-2</v>
      </c>
      <c r="O1400" s="1288">
        <v>5.1654735414140736E-3</v>
      </c>
      <c r="P1400" s="1301">
        <v>7.1508544430350799E-3</v>
      </c>
      <c r="Q1400" s="1290">
        <v>1.1190326491532818E-2</v>
      </c>
    </row>
    <row r="1401" spans="1:17" s="212" customFormat="1" ht="15.5" x14ac:dyDescent="0.35">
      <c r="A1401" s="198">
        <v>2038</v>
      </c>
      <c r="B1401" s="197" t="s">
        <v>5838</v>
      </c>
      <c r="C1401" s="197">
        <v>2031</v>
      </c>
      <c r="D1401" s="225" t="str">
        <f t="shared" si="15"/>
        <v>2038_2031</v>
      </c>
      <c r="E1401" s="1287">
        <v>4.8744973774285688E-2</v>
      </c>
      <c r="F1401" s="1306">
        <v>4.1551254901348892E-3</v>
      </c>
      <c r="G1401" s="1303">
        <v>0.12230572134104423</v>
      </c>
      <c r="H1401" s="1306">
        <v>2.1824414411903199E-2</v>
      </c>
      <c r="I1401" s="1303">
        <v>9.8394559194981274E-3</v>
      </c>
      <c r="J1401" s="1306">
        <v>5.0748951845049897E-4</v>
      </c>
      <c r="K1401" s="1303">
        <v>2.821054160849996E-3</v>
      </c>
      <c r="L1401" s="1288">
        <v>2.0000016971217487E-3</v>
      </c>
      <c r="M1401" s="1305">
        <v>2.0000005736466671E-3</v>
      </c>
      <c r="N1401" s="1303">
        <v>2.2997031362037904E-2</v>
      </c>
      <c r="O1401" s="1288">
        <v>4.976811974817771E-3</v>
      </c>
      <c r="P1401" s="1301">
        <v>7.5880423214858316E-3</v>
      </c>
      <c r="Q1401" s="1290">
        <v>1.028435245423886E-2</v>
      </c>
    </row>
    <row r="1402" spans="1:17" s="212" customFormat="1" ht="15.5" x14ac:dyDescent="0.35">
      <c r="A1402" s="198">
        <v>2038</v>
      </c>
      <c r="B1402" s="197" t="s">
        <v>5838</v>
      </c>
      <c r="C1402" s="197">
        <v>2032</v>
      </c>
      <c r="D1402" s="225" t="str">
        <f t="shared" si="15"/>
        <v>2038_2032</v>
      </c>
      <c r="E1402" s="1287">
        <v>4.6997578642129889E-2</v>
      </c>
      <c r="F1402" s="1306">
        <v>3.9889243888164977E-3</v>
      </c>
      <c r="G1402" s="1303">
        <v>0.11546045671745733</v>
      </c>
      <c r="H1402" s="1306">
        <v>2.0893678166145957E-2</v>
      </c>
      <c r="I1402" s="1303">
        <v>8.9402934251945117E-3</v>
      </c>
      <c r="J1402" s="1306">
        <v>5.0404306804937649E-4</v>
      </c>
      <c r="K1402" s="1303">
        <v>2.8070084338134354E-3</v>
      </c>
      <c r="L1402" s="1288">
        <v>2.000001717752289E-3</v>
      </c>
      <c r="M1402" s="1305">
        <v>2.0000005736738437E-3</v>
      </c>
      <c r="N1402" s="1303">
        <v>2.2646357460932163E-2</v>
      </c>
      <c r="O1402" s="1288">
        <v>4.7787810236312707E-3</v>
      </c>
      <c r="P1402" s="1301">
        <v>7.9609722032440346E-3</v>
      </c>
      <c r="Q1402" s="1290">
        <v>9.3445338219173141E-3</v>
      </c>
    </row>
    <row r="1403" spans="1:17" s="212" customFormat="1" ht="15.5" x14ac:dyDescent="0.35">
      <c r="A1403" s="198">
        <v>2038</v>
      </c>
      <c r="B1403" s="197" t="s">
        <v>5838</v>
      </c>
      <c r="C1403" s="197">
        <v>2033</v>
      </c>
      <c r="D1403" s="225" t="str">
        <f t="shared" si="15"/>
        <v>2038_2033</v>
      </c>
      <c r="E1403" s="1287">
        <v>4.5061441710804118E-2</v>
      </c>
      <c r="F1403" s="1306">
        <v>3.8139287078810882E-3</v>
      </c>
      <c r="G1403" s="1303">
        <v>0.108110860833375</v>
      </c>
      <c r="H1403" s="1306">
        <v>1.9914457975838757E-2</v>
      </c>
      <c r="I1403" s="1303">
        <v>7.9958507825988231E-3</v>
      </c>
      <c r="J1403" s="1306">
        <v>5.0041560223799215E-4</v>
      </c>
      <c r="K1403" s="1303">
        <v>2.7899076679070017E-3</v>
      </c>
      <c r="L1403" s="1288">
        <v>2.0000017427010811E-3</v>
      </c>
      <c r="M1403" s="1305">
        <v>2.0000005736958782E-3</v>
      </c>
      <c r="N1403" s="1303">
        <v>2.2219309253181982E-2</v>
      </c>
      <c r="O1403" s="1288">
        <v>4.566721821805726E-3</v>
      </c>
      <c r="P1403" s="1301">
        <v>8.2620182015779049E-3</v>
      </c>
      <c r="Q1403" s="1290">
        <v>8.3573876739255169E-3</v>
      </c>
    </row>
    <row r="1404" spans="1:17" s="212" customFormat="1" ht="15.5" x14ac:dyDescent="0.35">
      <c r="A1404" s="198">
        <v>2038</v>
      </c>
      <c r="B1404" s="197" t="s">
        <v>5838</v>
      </c>
      <c r="C1404" s="197">
        <v>2034</v>
      </c>
      <c r="D1404" s="225" t="str">
        <f t="shared" si="15"/>
        <v>2038_2034</v>
      </c>
      <c r="E1404" s="1287">
        <v>4.3108482098190321E-2</v>
      </c>
      <c r="F1404" s="1306">
        <v>3.6284601048807478E-3</v>
      </c>
      <c r="G1404" s="1303">
        <v>0.10071099567000918</v>
      </c>
      <c r="H1404" s="1306">
        <v>1.8881044565323492E-2</v>
      </c>
      <c r="I1404" s="1303">
        <v>7.0436590093083595E-3</v>
      </c>
      <c r="J1404" s="1306">
        <v>4.9748851871974102E-4</v>
      </c>
      <c r="K1404" s="1303">
        <v>2.7729285779851112E-3</v>
      </c>
      <c r="L1404" s="1288">
        <v>2.0000017681176528E-3</v>
      </c>
      <c r="M1404" s="1305">
        <v>2.0000005737175145E-3</v>
      </c>
      <c r="N1404" s="1303">
        <v>2.1791994623549613E-2</v>
      </c>
      <c r="O1404" s="1288">
        <v>4.3764983503797282E-3</v>
      </c>
      <c r="P1404" s="1301">
        <v>8.5748002762916706E-3</v>
      </c>
      <c r="Q1404" s="1290">
        <v>7.3621420139353385E-3</v>
      </c>
    </row>
    <row r="1405" spans="1:17" s="212" customFormat="1" ht="15.5" x14ac:dyDescent="0.35">
      <c r="A1405" s="198">
        <v>2038</v>
      </c>
      <c r="B1405" s="197" t="s">
        <v>5838</v>
      </c>
      <c r="C1405" s="197">
        <v>2035</v>
      </c>
      <c r="D1405" s="225" t="str">
        <f t="shared" si="15"/>
        <v>2038_2035</v>
      </c>
      <c r="E1405" s="1287">
        <v>4.1027766257424214E-2</v>
      </c>
      <c r="F1405" s="1306">
        <v>3.4369231694232586E-3</v>
      </c>
      <c r="G1405" s="1303">
        <v>9.301228441020884E-2</v>
      </c>
      <c r="H1405" s="1306">
        <v>1.781105831191233E-2</v>
      </c>
      <c r="I1405" s="1303">
        <v>6.0690728414817029E-3</v>
      </c>
      <c r="J1405" s="1306">
        <v>4.9465375722481189E-4</v>
      </c>
      <c r="K1405" s="1303">
        <v>2.7537705845854547E-3</v>
      </c>
      <c r="L1405" s="1288">
        <v>2.0000018039276154E-3</v>
      </c>
      <c r="M1405" s="1305">
        <v>2.0000005737362088E-3</v>
      </c>
      <c r="N1405" s="1303">
        <v>2.1308572873128383E-2</v>
      </c>
      <c r="O1405" s="1288">
        <v>4.1776827570009318E-3</v>
      </c>
      <c r="P1405" s="1301">
        <v>8.8516808367880562E-3</v>
      </c>
      <c r="Q1405" s="1290">
        <v>6.3434893842616354E-3</v>
      </c>
    </row>
    <row r="1406" spans="1:17" s="212" customFormat="1" ht="15.5" x14ac:dyDescent="0.35">
      <c r="A1406" s="198">
        <v>2038</v>
      </c>
      <c r="B1406" s="197" t="s">
        <v>5838</v>
      </c>
      <c r="C1406" s="197">
        <v>2036</v>
      </c>
      <c r="D1406" s="225" t="str">
        <f t="shared" si="15"/>
        <v>2038_2036</v>
      </c>
      <c r="E1406" s="1287">
        <v>3.9755739233686985E-2</v>
      </c>
      <c r="F1406" s="1306">
        <v>3.2355965666569777E-3</v>
      </c>
      <c r="G1406" s="1303">
        <v>8.7130929692438186E-2</v>
      </c>
      <c r="H1406" s="1306">
        <v>1.6674189441498354E-2</v>
      </c>
      <c r="I1406" s="1303">
        <v>5.2008157547090966E-3</v>
      </c>
      <c r="J1406" s="1306">
        <v>4.9518940470803774E-4</v>
      </c>
      <c r="K1406" s="1303">
        <v>2.7515686165192196E-3</v>
      </c>
      <c r="L1406" s="1288">
        <v>2.0000018495420439E-3</v>
      </c>
      <c r="M1406" s="1305">
        <v>2.0000005737319743E-3</v>
      </c>
      <c r="N1406" s="1303">
        <v>2.1235707184722917E-2</v>
      </c>
      <c r="O1406" s="1288">
        <v>4.0934868902867865E-3</v>
      </c>
      <c r="P1406" s="1301">
        <v>8.8210424540198992E-3</v>
      </c>
      <c r="Q1406" s="1290">
        <v>5.4359735648589237E-3</v>
      </c>
    </row>
    <row r="1407" spans="1:17" s="212" customFormat="1" ht="15.5" x14ac:dyDescent="0.35">
      <c r="A1407" s="198">
        <v>2038</v>
      </c>
      <c r="B1407" s="197" t="s">
        <v>5838</v>
      </c>
      <c r="C1407" s="197">
        <v>2037</v>
      </c>
      <c r="D1407" s="225" t="str">
        <f t="shared" si="15"/>
        <v>2038_2037</v>
      </c>
      <c r="E1407" s="1287">
        <v>3.8475570213927293E-2</v>
      </c>
      <c r="F1407" s="1306">
        <v>3.0204945781140665E-3</v>
      </c>
      <c r="G1407" s="1303">
        <v>8.1110111059837134E-2</v>
      </c>
      <c r="H1407" s="1306">
        <v>1.5478520047129192E-2</v>
      </c>
      <c r="I1407" s="1303">
        <v>4.3023809547750496E-3</v>
      </c>
      <c r="J1407" s="1306">
        <v>4.9541487874660739E-4</v>
      </c>
      <c r="K1407" s="1303">
        <v>2.7502832001973336E-3</v>
      </c>
      <c r="L1407" s="1288">
        <v>2.0000018876306482E-3</v>
      </c>
      <c r="M1407" s="1305">
        <v>2.0000005737240028E-3</v>
      </c>
      <c r="N1407" s="1303">
        <v>2.1183792088770678E-2</v>
      </c>
      <c r="O1407" s="1288">
        <v>4.0002306052164096E-3</v>
      </c>
      <c r="P1407" s="1301">
        <v>8.7884636958511769E-3</v>
      </c>
      <c r="Q1407" s="1290">
        <v>4.4969155300172408E-3</v>
      </c>
    </row>
    <row r="1408" spans="1:17" s="212" customFormat="1" ht="15.5" x14ac:dyDescent="0.35">
      <c r="A1408" s="198">
        <v>2038</v>
      </c>
      <c r="B1408" s="197" t="s">
        <v>5838</v>
      </c>
      <c r="C1408" s="197">
        <v>2038</v>
      </c>
      <c r="D1408" s="225" t="str">
        <f t="shared" si="15"/>
        <v>2038_2038</v>
      </c>
      <c r="E1408" s="1287">
        <v>3.6008241665159951E-2</v>
      </c>
      <c r="F1408" s="1306">
        <v>2.782444165791661E-3</v>
      </c>
      <c r="G1408" s="1303">
        <v>7.2555879033587969E-2</v>
      </c>
      <c r="H1408" s="1306">
        <v>1.4125676024742118E-2</v>
      </c>
      <c r="I1408" s="1303">
        <v>3.2705019930134886E-3</v>
      </c>
      <c r="J1408" s="1306">
        <v>4.9228041454814982E-4</v>
      </c>
      <c r="K1408" s="1303">
        <v>2.7242405261503452E-3</v>
      </c>
      <c r="L1408" s="1288">
        <v>2.0000019928084097E-3</v>
      </c>
      <c r="M1408" s="1305">
        <v>2.0000005736860354E-3</v>
      </c>
      <c r="N1408" s="1303">
        <v>2.0524402778233839E-2</v>
      </c>
      <c r="O1408" s="1288">
        <v>3.7254810305139972E-3</v>
      </c>
      <c r="P1408" s="1301">
        <v>8.2866881423258008E-3</v>
      </c>
      <c r="Q1408" s="1290">
        <v>3.4183795804999051E-3</v>
      </c>
    </row>
    <row r="1409" spans="1:17" s="212" customFormat="1" ht="15.5" x14ac:dyDescent="0.35">
      <c r="A1409" s="198">
        <v>2038</v>
      </c>
      <c r="B1409" s="197" t="s">
        <v>5838</v>
      </c>
      <c r="C1409" s="197">
        <v>2039</v>
      </c>
      <c r="D1409" s="225" t="str">
        <f t="shared" si="15"/>
        <v>2038_2039</v>
      </c>
      <c r="E1409" s="1291">
        <v>3.6008241665159951E-2</v>
      </c>
      <c r="F1409" s="1280">
        <v>2.782444165791661E-3</v>
      </c>
      <c r="G1409" s="1271">
        <v>7.2555879033587969E-2</v>
      </c>
      <c r="H1409" s="1280">
        <v>1.4125676024742118E-2</v>
      </c>
      <c r="I1409" s="1271">
        <v>3.2705019930134886E-3</v>
      </c>
      <c r="J1409" s="1280">
        <v>4.9228041454814982E-4</v>
      </c>
      <c r="K1409" s="1271">
        <v>2.7242405261503452E-3</v>
      </c>
      <c r="L1409" s="1257">
        <v>2.0000019928084097E-3</v>
      </c>
      <c r="M1409" s="1230">
        <v>2.0000005736860354E-3</v>
      </c>
      <c r="N1409" s="1271">
        <v>2.0524402778233839E-2</v>
      </c>
      <c r="O1409" s="1257">
        <v>3.7254810305139972E-3</v>
      </c>
      <c r="P1409" s="1237">
        <v>8.2866881423258008E-3</v>
      </c>
      <c r="Q1409" s="1292">
        <v>3.4183795804999051E-3</v>
      </c>
    </row>
    <row r="1410" spans="1:17" s="212" customFormat="1" ht="15.5" x14ac:dyDescent="0.35">
      <c r="A1410" s="198">
        <v>2039</v>
      </c>
      <c r="B1410" s="197" t="s">
        <v>5838</v>
      </c>
      <c r="C1410" s="197">
        <v>1971</v>
      </c>
      <c r="D1410" s="225" t="str">
        <f t="shared" si="15"/>
        <v>2039_1971</v>
      </c>
      <c r="E1410" s="1291">
        <v>0.36512662750350011</v>
      </c>
      <c r="F1410" s="1280">
        <v>0.37579377193739988</v>
      </c>
      <c r="G1410" s="1271">
        <v>8.9805457372704769</v>
      </c>
      <c r="H1410" s="1280">
        <v>1.6587837081785186</v>
      </c>
      <c r="I1410" s="1271">
        <v>5.3660189890963217E-2</v>
      </c>
      <c r="J1410" s="1280">
        <v>8.6969553877902749E-3</v>
      </c>
      <c r="K1410" s="1271">
        <v>2.964995000494092E-3</v>
      </c>
      <c r="L1410" s="1257">
        <v>2.000001124640625E-3</v>
      </c>
      <c r="M1410" s="1230">
        <v>2.000001124640625E-3</v>
      </c>
      <c r="N1410" s="1271">
        <v>2.6481667141652853E-2</v>
      </c>
      <c r="O1410" s="1257">
        <v>1.0330602465828226E-2</v>
      </c>
      <c r="P1410" s="1237">
        <v>5.1653012329141131E-3</v>
      </c>
      <c r="Q1410" s="1292">
        <v>5.6086465564266476E-2</v>
      </c>
    </row>
    <row r="1411" spans="1:17" s="212" customFormat="1" ht="15.5" x14ac:dyDescent="0.35">
      <c r="A1411" s="198">
        <v>2039</v>
      </c>
      <c r="B1411" s="197" t="s">
        <v>5838</v>
      </c>
      <c r="C1411" s="197">
        <v>1972</v>
      </c>
      <c r="D1411" s="225" t="str">
        <f t="shared" si="15"/>
        <v>2039_1972</v>
      </c>
      <c r="E1411" s="1291">
        <v>0.36512662750350011</v>
      </c>
      <c r="F1411" s="1280">
        <v>0.37579377193739988</v>
      </c>
      <c r="G1411" s="1271">
        <v>8.9805457372704769</v>
      </c>
      <c r="H1411" s="1280">
        <v>1.6587837081785186</v>
      </c>
      <c r="I1411" s="1271">
        <v>5.3660189890963217E-2</v>
      </c>
      <c r="J1411" s="1280">
        <v>8.6969553877902749E-3</v>
      </c>
      <c r="K1411" s="1271">
        <v>2.964995000494092E-3</v>
      </c>
      <c r="L1411" s="1257">
        <v>2.000001124640625E-3</v>
      </c>
      <c r="M1411" s="1230">
        <v>2.000001124640625E-3</v>
      </c>
      <c r="N1411" s="1271">
        <v>2.6481667141652853E-2</v>
      </c>
      <c r="O1411" s="1257">
        <v>1.0330602465828226E-2</v>
      </c>
      <c r="P1411" s="1237">
        <v>5.1653012329141131E-3</v>
      </c>
      <c r="Q1411" s="1292">
        <v>5.6086465564266476E-2</v>
      </c>
    </row>
    <row r="1412" spans="1:17" s="212" customFormat="1" ht="15.5" x14ac:dyDescent="0.35">
      <c r="A1412" s="198">
        <v>2039</v>
      </c>
      <c r="B1412" s="197" t="s">
        <v>5838</v>
      </c>
      <c r="C1412" s="197">
        <v>1973</v>
      </c>
      <c r="D1412" s="225" t="str">
        <f t="shared" si="15"/>
        <v>2039_1973</v>
      </c>
      <c r="E1412" s="1291">
        <v>0.36512662750350011</v>
      </c>
      <c r="F1412" s="1280">
        <v>0.37579377193739988</v>
      </c>
      <c r="G1412" s="1271">
        <v>8.9805457372704769</v>
      </c>
      <c r="H1412" s="1280">
        <v>1.6587837081785186</v>
      </c>
      <c r="I1412" s="1271">
        <v>5.3660189890963217E-2</v>
      </c>
      <c r="J1412" s="1280">
        <v>8.6969553877902749E-3</v>
      </c>
      <c r="K1412" s="1271">
        <v>2.964995000494092E-3</v>
      </c>
      <c r="L1412" s="1257">
        <v>2.000001124640625E-3</v>
      </c>
      <c r="M1412" s="1230">
        <v>2.000001124640625E-3</v>
      </c>
      <c r="N1412" s="1271">
        <v>2.6481667141652853E-2</v>
      </c>
      <c r="O1412" s="1257">
        <v>1.0330602465828226E-2</v>
      </c>
      <c r="P1412" s="1237">
        <v>5.1653012329141131E-3</v>
      </c>
      <c r="Q1412" s="1292">
        <v>5.6086465564266476E-2</v>
      </c>
    </row>
    <row r="1413" spans="1:17" s="212" customFormat="1" ht="15.5" x14ac:dyDescent="0.35">
      <c r="A1413" s="198">
        <v>2039</v>
      </c>
      <c r="B1413" s="197" t="s">
        <v>5838</v>
      </c>
      <c r="C1413" s="197">
        <v>1974</v>
      </c>
      <c r="D1413" s="225" t="str">
        <f t="shared" si="15"/>
        <v>2039_1974</v>
      </c>
      <c r="E1413" s="1291">
        <v>0.36512662750350011</v>
      </c>
      <c r="F1413" s="1280">
        <v>0.37579377193739988</v>
      </c>
      <c r="G1413" s="1271">
        <v>8.9805457372704769</v>
      </c>
      <c r="H1413" s="1280">
        <v>1.6587837081785186</v>
      </c>
      <c r="I1413" s="1271">
        <v>5.3660189890963217E-2</v>
      </c>
      <c r="J1413" s="1280">
        <v>8.6969553877902749E-3</v>
      </c>
      <c r="K1413" s="1271">
        <v>2.964995000494092E-3</v>
      </c>
      <c r="L1413" s="1257">
        <v>2.000001124640625E-3</v>
      </c>
      <c r="M1413" s="1230">
        <v>2.000001124640625E-3</v>
      </c>
      <c r="N1413" s="1271">
        <v>2.6481667141652853E-2</v>
      </c>
      <c r="O1413" s="1257">
        <v>1.0330602465828226E-2</v>
      </c>
      <c r="P1413" s="1237">
        <v>5.1653012329141131E-3</v>
      </c>
      <c r="Q1413" s="1292">
        <v>5.6086465564266476E-2</v>
      </c>
    </row>
    <row r="1414" spans="1:17" s="212" customFormat="1" ht="15.5" x14ac:dyDescent="0.35">
      <c r="A1414" s="198">
        <v>2039</v>
      </c>
      <c r="B1414" s="197" t="s">
        <v>5838</v>
      </c>
      <c r="C1414" s="197">
        <v>1975</v>
      </c>
      <c r="D1414" s="225" t="str">
        <f t="shared" si="15"/>
        <v>2039_1975</v>
      </c>
      <c r="E1414" s="1291">
        <v>0.36512662750350011</v>
      </c>
      <c r="F1414" s="1280">
        <v>0.37579377193739988</v>
      </c>
      <c r="G1414" s="1271">
        <v>8.9805457372704769</v>
      </c>
      <c r="H1414" s="1280">
        <v>1.6587837081785186</v>
      </c>
      <c r="I1414" s="1271">
        <v>5.3660189890963217E-2</v>
      </c>
      <c r="J1414" s="1280">
        <v>8.6969553877902749E-3</v>
      </c>
      <c r="K1414" s="1271">
        <v>2.964995000494092E-3</v>
      </c>
      <c r="L1414" s="1257">
        <v>2.000001124640625E-3</v>
      </c>
      <c r="M1414" s="1230">
        <v>2.000001124640625E-3</v>
      </c>
      <c r="N1414" s="1271">
        <v>2.6481667141652853E-2</v>
      </c>
      <c r="O1414" s="1257">
        <v>1.0330602465828226E-2</v>
      </c>
      <c r="P1414" s="1237">
        <v>5.1653012329141131E-3</v>
      </c>
      <c r="Q1414" s="1292">
        <v>5.6086465564266476E-2</v>
      </c>
    </row>
    <row r="1415" spans="1:17" s="212" customFormat="1" ht="15.5" x14ac:dyDescent="0.35">
      <c r="A1415" s="198">
        <v>2039</v>
      </c>
      <c r="B1415" s="197" t="s">
        <v>5838</v>
      </c>
      <c r="C1415" s="197">
        <v>1976</v>
      </c>
      <c r="D1415" s="225" t="str">
        <f t="shared" si="15"/>
        <v>2039_1976</v>
      </c>
      <c r="E1415" s="1291">
        <v>0.36512662750350011</v>
      </c>
      <c r="F1415" s="1280">
        <v>0.37579377193739988</v>
      </c>
      <c r="G1415" s="1271">
        <v>8.9805457372704769</v>
      </c>
      <c r="H1415" s="1280">
        <v>1.6587837081785186</v>
      </c>
      <c r="I1415" s="1271">
        <v>5.3660189890963217E-2</v>
      </c>
      <c r="J1415" s="1280">
        <v>8.6969553877902749E-3</v>
      </c>
      <c r="K1415" s="1271">
        <v>2.964995000494092E-3</v>
      </c>
      <c r="L1415" s="1257">
        <v>2.000001124640625E-3</v>
      </c>
      <c r="M1415" s="1230">
        <v>2.000001124640625E-3</v>
      </c>
      <c r="N1415" s="1271">
        <v>2.6481667141652853E-2</v>
      </c>
      <c r="O1415" s="1257">
        <v>1.0330602465828226E-2</v>
      </c>
      <c r="P1415" s="1237">
        <v>5.1653012329141131E-3</v>
      </c>
      <c r="Q1415" s="1292">
        <v>5.6086465564266476E-2</v>
      </c>
    </row>
    <row r="1416" spans="1:17" s="212" customFormat="1" ht="15.5" x14ac:dyDescent="0.35">
      <c r="A1416" s="198">
        <v>2039</v>
      </c>
      <c r="B1416" s="197" t="s">
        <v>5838</v>
      </c>
      <c r="C1416" s="197">
        <v>1977</v>
      </c>
      <c r="D1416" s="225" t="str">
        <f t="shared" si="15"/>
        <v>2039_1977</v>
      </c>
      <c r="E1416" s="1291">
        <v>0.36512662750350011</v>
      </c>
      <c r="F1416" s="1280">
        <v>0.37579377193739988</v>
      </c>
      <c r="G1416" s="1271">
        <v>8.9805457372704769</v>
      </c>
      <c r="H1416" s="1280">
        <v>1.6587837081785186</v>
      </c>
      <c r="I1416" s="1271">
        <v>5.3660189890963217E-2</v>
      </c>
      <c r="J1416" s="1280">
        <v>8.6969553877902749E-3</v>
      </c>
      <c r="K1416" s="1271">
        <v>2.964995000494092E-3</v>
      </c>
      <c r="L1416" s="1257">
        <v>2.000001124640625E-3</v>
      </c>
      <c r="M1416" s="1230">
        <v>2.000001124640625E-3</v>
      </c>
      <c r="N1416" s="1271">
        <v>2.6481667141652853E-2</v>
      </c>
      <c r="O1416" s="1257">
        <v>1.0330602465828226E-2</v>
      </c>
      <c r="P1416" s="1237">
        <v>5.1653012329141131E-3</v>
      </c>
      <c r="Q1416" s="1292">
        <v>5.6086465564266476E-2</v>
      </c>
    </row>
    <row r="1417" spans="1:17" s="212" customFormat="1" ht="15.5" x14ac:dyDescent="0.35">
      <c r="A1417" s="198">
        <v>2039</v>
      </c>
      <c r="B1417" s="197" t="s">
        <v>5838</v>
      </c>
      <c r="C1417" s="197">
        <v>1978</v>
      </c>
      <c r="D1417" s="225" t="str">
        <f t="shared" si="15"/>
        <v>2039_1978</v>
      </c>
      <c r="E1417" s="1291">
        <v>0.36512662750350011</v>
      </c>
      <c r="F1417" s="1280">
        <v>0.37579377193739988</v>
      </c>
      <c r="G1417" s="1271">
        <v>8.9805457372704769</v>
      </c>
      <c r="H1417" s="1280">
        <v>1.6587837081785186</v>
      </c>
      <c r="I1417" s="1271">
        <v>5.3660189890963217E-2</v>
      </c>
      <c r="J1417" s="1280">
        <v>8.6969553877902749E-3</v>
      </c>
      <c r="K1417" s="1271">
        <v>2.964995000494092E-3</v>
      </c>
      <c r="L1417" s="1257">
        <v>2.000001124640625E-3</v>
      </c>
      <c r="M1417" s="1230">
        <v>2.000001124640625E-3</v>
      </c>
      <c r="N1417" s="1271">
        <v>2.6481667141652853E-2</v>
      </c>
      <c r="O1417" s="1257">
        <v>1.0330602465828226E-2</v>
      </c>
      <c r="P1417" s="1237">
        <v>5.1653012329141131E-3</v>
      </c>
      <c r="Q1417" s="1292">
        <v>5.6086465564266476E-2</v>
      </c>
    </row>
    <row r="1418" spans="1:17" s="212" customFormat="1" ht="15.5" x14ac:dyDescent="0.35">
      <c r="A1418" s="198">
        <v>2039</v>
      </c>
      <c r="B1418" s="197" t="s">
        <v>5838</v>
      </c>
      <c r="C1418" s="197">
        <v>1979</v>
      </c>
      <c r="D1418" s="225" t="str">
        <f t="shared" si="15"/>
        <v>2039_1979</v>
      </c>
      <c r="E1418" s="1291">
        <v>0.36512662750350011</v>
      </c>
      <c r="F1418" s="1280">
        <v>0.37579377193739988</v>
      </c>
      <c r="G1418" s="1271">
        <v>8.9805457372704769</v>
      </c>
      <c r="H1418" s="1280">
        <v>1.6587837081785186</v>
      </c>
      <c r="I1418" s="1271">
        <v>5.3660189890963217E-2</v>
      </c>
      <c r="J1418" s="1280">
        <v>8.6969553877902749E-3</v>
      </c>
      <c r="K1418" s="1271">
        <v>2.964995000494092E-3</v>
      </c>
      <c r="L1418" s="1257">
        <v>2.000001124640625E-3</v>
      </c>
      <c r="M1418" s="1230">
        <v>2.000001124640625E-3</v>
      </c>
      <c r="N1418" s="1271">
        <v>2.6481667141652853E-2</v>
      </c>
      <c r="O1418" s="1257">
        <v>1.0330602465828226E-2</v>
      </c>
      <c r="P1418" s="1237">
        <v>5.1653012329141131E-3</v>
      </c>
      <c r="Q1418" s="1292">
        <v>5.6086465564266476E-2</v>
      </c>
    </row>
    <row r="1419" spans="1:17" s="212" customFormat="1" ht="15.5" x14ac:dyDescent="0.35">
      <c r="A1419" s="198">
        <v>2039</v>
      </c>
      <c r="B1419" s="197" t="s">
        <v>5838</v>
      </c>
      <c r="C1419" s="197">
        <v>1980</v>
      </c>
      <c r="D1419" s="225" t="str">
        <f t="shared" si="15"/>
        <v>2039_1980</v>
      </c>
      <c r="E1419" s="1291">
        <v>0.36512662750350011</v>
      </c>
      <c r="F1419" s="1280">
        <v>0.37579377193739988</v>
      </c>
      <c r="G1419" s="1271">
        <v>8.9805457372704769</v>
      </c>
      <c r="H1419" s="1280">
        <v>1.6587837081785186</v>
      </c>
      <c r="I1419" s="1271">
        <v>5.3660189890963217E-2</v>
      </c>
      <c r="J1419" s="1280">
        <v>8.6969553877902749E-3</v>
      </c>
      <c r="K1419" s="1271">
        <v>2.964995000494092E-3</v>
      </c>
      <c r="L1419" s="1257">
        <v>2.000001124640625E-3</v>
      </c>
      <c r="M1419" s="1230">
        <v>2.000001124640625E-3</v>
      </c>
      <c r="N1419" s="1271">
        <v>2.6481667141652853E-2</v>
      </c>
      <c r="O1419" s="1257">
        <v>1.0330602465828226E-2</v>
      </c>
      <c r="P1419" s="1237">
        <v>5.1653012329141131E-3</v>
      </c>
      <c r="Q1419" s="1292">
        <v>5.6086465564266476E-2</v>
      </c>
    </row>
    <row r="1420" spans="1:17" s="212" customFormat="1" ht="15.5" x14ac:dyDescent="0.35">
      <c r="A1420" s="198">
        <v>2039</v>
      </c>
      <c r="B1420" s="197" t="s">
        <v>5838</v>
      </c>
      <c r="C1420" s="197">
        <v>1981</v>
      </c>
      <c r="D1420" s="225" t="str">
        <f t="shared" si="15"/>
        <v>2039_1981</v>
      </c>
      <c r="E1420" s="1291">
        <v>0.36512662750350011</v>
      </c>
      <c r="F1420" s="1280">
        <v>0.37579377193739988</v>
      </c>
      <c r="G1420" s="1271">
        <v>8.9805457372704769</v>
      </c>
      <c r="H1420" s="1280">
        <v>1.6587837081785186</v>
      </c>
      <c r="I1420" s="1271">
        <v>5.3660189890963217E-2</v>
      </c>
      <c r="J1420" s="1280">
        <v>8.6969553877902749E-3</v>
      </c>
      <c r="K1420" s="1271">
        <v>2.964995000494092E-3</v>
      </c>
      <c r="L1420" s="1257">
        <v>2.000001124640625E-3</v>
      </c>
      <c r="M1420" s="1230">
        <v>2.000001124640625E-3</v>
      </c>
      <c r="N1420" s="1271">
        <v>2.6481667141652853E-2</v>
      </c>
      <c r="O1420" s="1257">
        <v>1.0330602465828226E-2</v>
      </c>
      <c r="P1420" s="1237">
        <v>5.1653012329141131E-3</v>
      </c>
      <c r="Q1420" s="1292">
        <v>5.6086465564266476E-2</v>
      </c>
    </row>
    <row r="1421" spans="1:17" s="212" customFormat="1" ht="15.5" x14ac:dyDescent="0.35">
      <c r="A1421" s="198">
        <v>2039</v>
      </c>
      <c r="B1421" s="197" t="s">
        <v>5838</v>
      </c>
      <c r="C1421" s="197">
        <v>1982</v>
      </c>
      <c r="D1421" s="225" t="str">
        <f t="shared" si="15"/>
        <v>2039_1982</v>
      </c>
      <c r="E1421" s="1291">
        <v>0.36512662750350011</v>
      </c>
      <c r="F1421" s="1280">
        <v>0.37579377193739988</v>
      </c>
      <c r="G1421" s="1271">
        <v>8.9805457372704769</v>
      </c>
      <c r="H1421" s="1280">
        <v>1.6587837081785186</v>
      </c>
      <c r="I1421" s="1271">
        <v>5.3660189890963217E-2</v>
      </c>
      <c r="J1421" s="1280">
        <v>8.6969553877902749E-3</v>
      </c>
      <c r="K1421" s="1271">
        <v>2.964995000494092E-3</v>
      </c>
      <c r="L1421" s="1257">
        <v>2.000001124640625E-3</v>
      </c>
      <c r="M1421" s="1230">
        <v>2.000001124640625E-3</v>
      </c>
      <c r="N1421" s="1271">
        <v>2.6481667141652853E-2</v>
      </c>
      <c r="O1421" s="1257">
        <v>1.0330602465828226E-2</v>
      </c>
      <c r="P1421" s="1237">
        <v>5.1653012329141131E-3</v>
      </c>
      <c r="Q1421" s="1292">
        <v>5.6086465564266476E-2</v>
      </c>
    </row>
    <row r="1422" spans="1:17" s="212" customFormat="1" ht="15.5" x14ac:dyDescent="0.35">
      <c r="A1422" s="198">
        <v>2039</v>
      </c>
      <c r="B1422" s="197" t="s">
        <v>5838</v>
      </c>
      <c r="C1422" s="197">
        <v>1983</v>
      </c>
      <c r="D1422" s="225" t="str">
        <f t="shared" si="15"/>
        <v>2039_1983</v>
      </c>
      <c r="E1422" s="1291">
        <v>0.36512662750350011</v>
      </c>
      <c r="F1422" s="1280">
        <v>0.37579377193739988</v>
      </c>
      <c r="G1422" s="1271">
        <v>8.9805457372704769</v>
      </c>
      <c r="H1422" s="1280">
        <v>1.6587837081785186</v>
      </c>
      <c r="I1422" s="1271">
        <v>5.3660189890963217E-2</v>
      </c>
      <c r="J1422" s="1280">
        <v>8.6969553877902749E-3</v>
      </c>
      <c r="K1422" s="1271">
        <v>2.964995000494092E-3</v>
      </c>
      <c r="L1422" s="1257">
        <v>2.000001124640625E-3</v>
      </c>
      <c r="M1422" s="1230">
        <v>2.000001124640625E-3</v>
      </c>
      <c r="N1422" s="1271">
        <v>2.6481667141652853E-2</v>
      </c>
      <c r="O1422" s="1257">
        <v>1.0330602465828226E-2</v>
      </c>
      <c r="P1422" s="1237">
        <v>5.1653012329141131E-3</v>
      </c>
      <c r="Q1422" s="1292">
        <v>5.6086465564266476E-2</v>
      </c>
    </row>
    <row r="1423" spans="1:17" s="212" customFormat="1" ht="15.5" x14ac:dyDescent="0.35">
      <c r="A1423" s="198">
        <v>2039</v>
      </c>
      <c r="B1423" s="197" t="s">
        <v>5838</v>
      </c>
      <c r="C1423" s="197">
        <v>1984</v>
      </c>
      <c r="D1423" s="225" t="str">
        <f t="shared" si="15"/>
        <v>2039_1984</v>
      </c>
      <c r="E1423" s="1291">
        <v>0.36512662750350011</v>
      </c>
      <c r="F1423" s="1280">
        <v>0.37579377193739988</v>
      </c>
      <c r="G1423" s="1271">
        <v>8.9805457372704769</v>
      </c>
      <c r="H1423" s="1280">
        <v>1.6587837081785186</v>
      </c>
      <c r="I1423" s="1271">
        <v>5.3660189890963217E-2</v>
      </c>
      <c r="J1423" s="1280">
        <v>8.6969553877902749E-3</v>
      </c>
      <c r="K1423" s="1271">
        <v>2.964995000494092E-3</v>
      </c>
      <c r="L1423" s="1257">
        <v>2.000001124640625E-3</v>
      </c>
      <c r="M1423" s="1230">
        <v>2.000001124640625E-3</v>
      </c>
      <c r="N1423" s="1271">
        <v>2.6481667141652853E-2</v>
      </c>
      <c r="O1423" s="1257">
        <v>1.0330602465828226E-2</v>
      </c>
      <c r="P1423" s="1237">
        <v>5.1653012329141131E-3</v>
      </c>
      <c r="Q1423" s="1292">
        <v>5.6086465564266476E-2</v>
      </c>
    </row>
    <row r="1424" spans="1:17" s="212" customFormat="1" ht="15.5" x14ac:dyDescent="0.35">
      <c r="A1424" s="198">
        <v>2039</v>
      </c>
      <c r="B1424" s="197" t="s">
        <v>5838</v>
      </c>
      <c r="C1424" s="197">
        <v>1985</v>
      </c>
      <c r="D1424" s="225" t="str">
        <f t="shared" si="15"/>
        <v>2039_1985</v>
      </c>
      <c r="E1424" s="1291">
        <v>0.36512662750350011</v>
      </c>
      <c r="F1424" s="1280">
        <v>0.37579377193739988</v>
      </c>
      <c r="G1424" s="1271">
        <v>8.9805457372704769</v>
      </c>
      <c r="H1424" s="1280">
        <v>1.6587837081785186</v>
      </c>
      <c r="I1424" s="1271">
        <v>5.3660189890963217E-2</v>
      </c>
      <c r="J1424" s="1280">
        <v>8.6969553877902749E-3</v>
      </c>
      <c r="K1424" s="1271">
        <v>2.964995000494092E-3</v>
      </c>
      <c r="L1424" s="1257">
        <v>2.000001124640625E-3</v>
      </c>
      <c r="M1424" s="1230">
        <v>2.000001124640625E-3</v>
      </c>
      <c r="N1424" s="1271">
        <v>2.6481667141652853E-2</v>
      </c>
      <c r="O1424" s="1257">
        <v>1.0330602465828226E-2</v>
      </c>
      <c r="P1424" s="1237">
        <v>5.1653012329141131E-3</v>
      </c>
      <c r="Q1424" s="1292">
        <v>5.6086465564266476E-2</v>
      </c>
    </row>
    <row r="1425" spans="1:17" s="212" customFormat="1" ht="15.5" x14ac:dyDescent="0.35">
      <c r="A1425" s="198">
        <v>2039</v>
      </c>
      <c r="B1425" s="197" t="s">
        <v>5838</v>
      </c>
      <c r="C1425" s="197">
        <v>1986</v>
      </c>
      <c r="D1425" s="225" t="str">
        <f t="shared" si="15"/>
        <v>2039_1986</v>
      </c>
      <c r="E1425" s="1291">
        <v>0.36512662750350011</v>
      </c>
      <c r="F1425" s="1280">
        <v>0.37579377193739988</v>
      </c>
      <c r="G1425" s="1271">
        <v>8.9805457372704769</v>
      </c>
      <c r="H1425" s="1280">
        <v>1.6587837081785186</v>
      </c>
      <c r="I1425" s="1271">
        <v>5.3660189890963217E-2</v>
      </c>
      <c r="J1425" s="1280">
        <v>8.6969553877902749E-3</v>
      </c>
      <c r="K1425" s="1271">
        <v>2.964995000494092E-3</v>
      </c>
      <c r="L1425" s="1257">
        <v>2.000001124640625E-3</v>
      </c>
      <c r="M1425" s="1230">
        <v>2.000001124640625E-3</v>
      </c>
      <c r="N1425" s="1271">
        <v>2.6481667141652853E-2</v>
      </c>
      <c r="O1425" s="1257">
        <v>1.0330602465828226E-2</v>
      </c>
      <c r="P1425" s="1237">
        <v>5.1653012329141131E-3</v>
      </c>
      <c r="Q1425" s="1292">
        <v>5.6086465564266476E-2</v>
      </c>
    </row>
    <row r="1426" spans="1:17" s="212" customFormat="1" ht="15.5" x14ac:dyDescent="0.35">
      <c r="A1426" s="198">
        <v>2039</v>
      </c>
      <c r="B1426" s="197" t="s">
        <v>5838</v>
      </c>
      <c r="C1426" s="197">
        <v>1987</v>
      </c>
      <c r="D1426" s="225" t="str">
        <f t="shared" si="15"/>
        <v>2039_1987</v>
      </c>
      <c r="E1426" s="1291">
        <v>0.36512662750350011</v>
      </c>
      <c r="F1426" s="1280">
        <v>0.37579377193739988</v>
      </c>
      <c r="G1426" s="1271">
        <v>8.9805457372704769</v>
      </c>
      <c r="H1426" s="1280">
        <v>1.6587837081785186</v>
      </c>
      <c r="I1426" s="1271">
        <v>5.3660189890963217E-2</v>
      </c>
      <c r="J1426" s="1280">
        <v>8.6969553877902749E-3</v>
      </c>
      <c r="K1426" s="1271">
        <v>2.964995000494092E-3</v>
      </c>
      <c r="L1426" s="1257">
        <v>2.000001124640625E-3</v>
      </c>
      <c r="M1426" s="1230">
        <v>2.000001124640625E-3</v>
      </c>
      <c r="N1426" s="1271">
        <v>2.6481667141652853E-2</v>
      </c>
      <c r="O1426" s="1257">
        <v>1.0330602465828226E-2</v>
      </c>
      <c r="P1426" s="1237">
        <v>5.1653012329141131E-3</v>
      </c>
      <c r="Q1426" s="1292">
        <v>5.6086465564266476E-2</v>
      </c>
    </row>
    <row r="1427" spans="1:17" s="212" customFormat="1" ht="15.5" x14ac:dyDescent="0.35">
      <c r="A1427" s="198">
        <v>2039</v>
      </c>
      <c r="B1427" s="197" t="s">
        <v>5838</v>
      </c>
      <c r="C1427" s="197">
        <v>1988</v>
      </c>
      <c r="D1427" s="225" t="str">
        <f t="shared" si="15"/>
        <v>2039_1988</v>
      </c>
      <c r="E1427" s="1291">
        <v>0.36512662750350011</v>
      </c>
      <c r="F1427" s="1280">
        <v>0.37579377193739988</v>
      </c>
      <c r="G1427" s="1271">
        <v>8.9805457372704769</v>
      </c>
      <c r="H1427" s="1280">
        <v>1.6587837081785186</v>
      </c>
      <c r="I1427" s="1271">
        <v>5.3660189890963217E-2</v>
      </c>
      <c r="J1427" s="1280">
        <v>8.6969553877902749E-3</v>
      </c>
      <c r="K1427" s="1271">
        <v>2.964995000494092E-3</v>
      </c>
      <c r="L1427" s="1257">
        <v>2.000001124640625E-3</v>
      </c>
      <c r="M1427" s="1230">
        <v>2.000001124640625E-3</v>
      </c>
      <c r="N1427" s="1271">
        <v>2.6481667141652853E-2</v>
      </c>
      <c r="O1427" s="1257">
        <v>1.0330602465828226E-2</v>
      </c>
      <c r="P1427" s="1237">
        <v>5.1653012329141131E-3</v>
      </c>
      <c r="Q1427" s="1292">
        <v>5.6086465564266476E-2</v>
      </c>
    </row>
    <row r="1428" spans="1:17" s="212" customFormat="1" ht="15.5" x14ac:dyDescent="0.35">
      <c r="A1428" s="198">
        <v>2039</v>
      </c>
      <c r="B1428" s="197" t="s">
        <v>5838</v>
      </c>
      <c r="C1428" s="197">
        <v>1989</v>
      </c>
      <c r="D1428" s="225" t="str">
        <f t="shared" si="15"/>
        <v>2039_1989</v>
      </c>
      <c r="E1428" s="1291">
        <v>0.36512662750350011</v>
      </c>
      <c r="F1428" s="1280">
        <v>0.37579377193739988</v>
      </c>
      <c r="G1428" s="1271">
        <v>8.9805457372704769</v>
      </c>
      <c r="H1428" s="1280">
        <v>1.6587837081785186</v>
      </c>
      <c r="I1428" s="1271">
        <v>5.3660189890963217E-2</v>
      </c>
      <c r="J1428" s="1280">
        <v>8.6969553877902749E-3</v>
      </c>
      <c r="K1428" s="1271">
        <v>2.964995000494092E-3</v>
      </c>
      <c r="L1428" s="1257">
        <v>2.000001124640625E-3</v>
      </c>
      <c r="M1428" s="1230">
        <v>2.000001124640625E-3</v>
      </c>
      <c r="N1428" s="1271">
        <v>2.6481667141652853E-2</v>
      </c>
      <c r="O1428" s="1257">
        <v>1.0330602465828226E-2</v>
      </c>
      <c r="P1428" s="1237">
        <v>5.1653012329141131E-3</v>
      </c>
      <c r="Q1428" s="1292">
        <v>5.6086465564266476E-2</v>
      </c>
    </row>
    <row r="1429" spans="1:17" s="212" customFormat="1" ht="15.5" x14ac:dyDescent="0.35">
      <c r="A1429" s="198">
        <v>2039</v>
      </c>
      <c r="B1429" s="197" t="s">
        <v>5838</v>
      </c>
      <c r="C1429" s="197">
        <v>1990</v>
      </c>
      <c r="D1429" s="225" t="str">
        <f t="shared" si="15"/>
        <v>2039_1990</v>
      </c>
      <c r="E1429" s="1291">
        <v>0.36512662750350011</v>
      </c>
      <c r="F1429" s="1280">
        <v>0.37579377193739988</v>
      </c>
      <c r="G1429" s="1271">
        <v>8.9805457372704769</v>
      </c>
      <c r="H1429" s="1280">
        <v>1.6587837081785186</v>
      </c>
      <c r="I1429" s="1271">
        <v>5.3660189890963217E-2</v>
      </c>
      <c r="J1429" s="1280">
        <v>8.6969553877902749E-3</v>
      </c>
      <c r="K1429" s="1271">
        <v>2.964995000494092E-3</v>
      </c>
      <c r="L1429" s="1257">
        <v>2.000001124640625E-3</v>
      </c>
      <c r="M1429" s="1230">
        <v>2.000001124640625E-3</v>
      </c>
      <c r="N1429" s="1271">
        <v>2.6481667141652853E-2</v>
      </c>
      <c r="O1429" s="1257">
        <v>1.0330602465828226E-2</v>
      </c>
      <c r="P1429" s="1237">
        <v>5.1653012329141131E-3</v>
      </c>
      <c r="Q1429" s="1292">
        <v>5.6086465564266476E-2</v>
      </c>
    </row>
    <row r="1430" spans="1:17" s="212" customFormat="1" ht="15.5" x14ac:dyDescent="0.35">
      <c r="A1430" s="198">
        <v>2039</v>
      </c>
      <c r="B1430" s="197" t="s">
        <v>5838</v>
      </c>
      <c r="C1430" s="197">
        <v>1991</v>
      </c>
      <c r="D1430" s="225" t="str">
        <f t="shared" si="15"/>
        <v>2039_1991</v>
      </c>
      <c r="E1430" s="1291">
        <v>0.36512662750350011</v>
      </c>
      <c r="F1430" s="1280">
        <v>0.37579377193739988</v>
      </c>
      <c r="G1430" s="1271">
        <v>8.9805457372704769</v>
      </c>
      <c r="H1430" s="1280">
        <v>1.6587837081785186</v>
      </c>
      <c r="I1430" s="1271">
        <v>5.3660189890963217E-2</v>
      </c>
      <c r="J1430" s="1280">
        <v>8.6969553877902749E-3</v>
      </c>
      <c r="K1430" s="1271">
        <v>2.964995000494092E-3</v>
      </c>
      <c r="L1430" s="1257">
        <v>2.000001124640625E-3</v>
      </c>
      <c r="M1430" s="1230">
        <v>2.000001124640625E-3</v>
      </c>
      <c r="N1430" s="1271">
        <v>2.6481667141652853E-2</v>
      </c>
      <c r="O1430" s="1257">
        <v>1.0330602465828226E-2</v>
      </c>
      <c r="P1430" s="1237">
        <v>5.1653012329141131E-3</v>
      </c>
      <c r="Q1430" s="1292">
        <v>5.6086465564266476E-2</v>
      </c>
    </row>
    <row r="1431" spans="1:17" s="212" customFormat="1" ht="15.5" x14ac:dyDescent="0.35">
      <c r="A1431" s="198">
        <v>2039</v>
      </c>
      <c r="B1431" s="197" t="s">
        <v>5838</v>
      </c>
      <c r="C1431" s="197">
        <v>1992</v>
      </c>
      <c r="D1431" s="225" t="str">
        <f t="shared" si="15"/>
        <v>2039_1992</v>
      </c>
      <c r="E1431" s="1291">
        <v>0.36512662750350011</v>
      </c>
      <c r="F1431" s="1280">
        <v>0.37579377193739988</v>
      </c>
      <c r="G1431" s="1271">
        <v>8.9805457372704769</v>
      </c>
      <c r="H1431" s="1280">
        <v>1.6587837081785186</v>
      </c>
      <c r="I1431" s="1271">
        <v>5.3660189890963217E-2</v>
      </c>
      <c r="J1431" s="1280">
        <v>8.6969553877902749E-3</v>
      </c>
      <c r="K1431" s="1271">
        <v>2.964995000494092E-3</v>
      </c>
      <c r="L1431" s="1257">
        <v>2.000001124640625E-3</v>
      </c>
      <c r="M1431" s="1230">
        <v>2.000001124640625E-3</v>
      </c>
      <c r="N1431" s="1271">
        <v>2.6481667141652853E-2</v>
      </c>
      <c r="O1431" s="1257">
        <v>1.0330602465828226E-2</v>
      </c>
      <c r="P1431" s="1237">
        <v>5.1653012329141131E-3</v>
      </c>
      <c r="Q1431" s="1292">
        <v>5.6086465564266476E-2</v>
      </c>
    </row>
    <row r="1432" spans="1:17" s="212" customFormat="1" ht="15.5" x14ac:dyDescent="0.35">
      <c r="A1432" s="198">
        <v>2039</v>
      </c>
      <c r="B1432" s="197" t="s">
        <v>5838</v>
      </c>
      <c r="C1432" s="197">
        <v>1993</v>
      </c>
      <c r="D1432" s="225" t="str">
        <f t="shared" si="15"/>
        <v>2039_1993</v>
      </c>
      <c r="E1432" s="1291">
        <v>0.36512662750350011</v>
      </c>
      <c r="F1432" s="1280">
        <v>0.37579377193739988</v>
      </c>
      <c r="G1432" s="1271">
        <v>8.9805457372704769</v>
      </c>
      <c r="H1432" s="1280">
        <v>1.6587837081785186</v>
      </c>
      <c r="I1432" s="1271">
        <v>5.3660189890963217E-2</v>
      </c>
      <c r="J1432" s="1280">
        <v>8.6969553877902749E-3</v>
      </c>
      <c r="K1432" s="1271">
        <v>2.964995000494092E-3</v>
      </c>
      <c r="L1432" s="1257">
        <v>2.000001124640625E-3</v>
      </c>
      <c r="M1432" s="1230">
        <v>2.000001124640625E-3</v>
      </c>
      <c r="N1432" s="1271">
        <v>2.6481667141652853E-2</v>
      </c>
      <c r="O1432" s="1257">
        <v>1.0330602465828226E-2</v>
      </c>
      <c r="P1432" s="1237">
        <v>5.1653012329141131E-3</v>
      </c>
      <c r="Q1432" s="1292">
        <v>5.6086465564266476E-2</v>
      </c>
    </row>
    <row r="1433" spans="1:17" s="212" customFormat="1" ht="15.5" x14ac:dyDescent="0.35">
      <c r="A1433" s="198">
        <v>2039</v>
      </c>
      <c r="B1433" s="197" t="s">
        <v>5838</v>
      </c>
      <c r="C1433" s="197">
        <v>1994</v>
      </c>
      <c r="D1433" s="225" t="str">
        <f t="shared" si="15"/>
        <v>2039_1994</v>
      </c>
      <c r="E1433" s="1291">
        <v>0.36512662750350011</v>
      </c>
      <c r="F1433" s="1280">
        <v>0.37579377193739988</v>
      </c>
      <c r="G1433" s="1271">
        <v>8.9805457372704769</v>
      </c>
      <c r="H1433" s="1280">
        <v>1.6587837081785186</v>
      </c>
      <c r="I1433" s="1271">
        <v>5.3660189890963217E-2</v>
      </c>
      <c r="J1433" s="1280">
        <v>8.6969553877902749E-3</v>
      </c>
      <c r="K1433" s="1271">
        <v>2.964995000494092E-3</v>
      </c>
      <c r="L1433" s="1257">
        <v>2.000001124640625E-3</v>
      </c>
      <c r="M1433" s="1230">
        <v>2.000001124640625E-3</v>
      </c>
      <c r="N1433" s="1271">
        <v>2.6481667141652853E-2</v>
      </c>
      <c r="O1433" s="1257">
        <v>1.0330602465828226E-2</v>
      </c>
      <c r="P1433" s="1237">
        <v>5.1653012329141131E-3</v>
      </c>
      <c r="Q1433" s="1292">
        <v>5.6086465564266476E-2</v>
      </c>
    </row>
    <row r="1434" spans="1:17" s="212" customFormat="1" ht="15.5" x14ac:dyDescent="0.35">
      <c r="A1434" s="198">
        <v>2039</v>
      </c>
      <c r="B1434" s="197" t="s">
        <v>5838</v>
      </c>
      <c r="C1434" s="197">
        <v>1995</v>
      </c>
      <c r="D1434" s="225" t="str">
        <f t="shared" si="15"/>
        <v>2039_1995</v>
      </c>
      <c r="E1434" s="1287">
        <v>0.36512662750350011</v>
      </c>
      <c r="F1434" s="1306">
        <v>0.37579377193739988</v>
      </c>
      <c r="G1434" s="1303">
        <v>8.9805457372704769</v>
      </c>
      <c r="H1434" s="1306">
        <v>1.6587837081785186</v>
      </c>
      <c r="I1434" s="1303">
        <v>5.3660189890963217E-2</v>
      </c>
      <c r="J1434" s="1306">
        <v>8.6969553877902749E-3</v>
      </c>
      <c r="K1434" s="1303">
        <v>2.964995000494092E-3</v>
      </c>
      <c r="L1434" s="1288">
        <v>2.000001124640625E-3</v>
      </c>
      <c r="M1434" s="1230">
        <v>2.000001124640625E-3</v>
      </c>
      <c r="N1434" s="1303">
        <v>2.6481667141652853E-2</v>
      </c>
      <c r="O1434" s="1288">
        <v>1.0330602465828226E-2</v>
      </c>
      <c r="P1434" s="1237">
        <v>5.1653012329141131E-3</v>
      </c>
      <c r="Q1434" s="1290">
        <v>5.6086465564266476E-2</v>
      </c>
    </row>
    <row r="1435" spans="1:17" s="212" customFormat="1" ht="15.5" x14ac:dyDescent="0.35">
      <c r="A1435" s="198">
        <v>2039</v>
      </c>
      <c r="B1435" s="197" t="s">
        <v>5838</v>
      </c>
      <c r="C1435" s="197">
        <v>1996</v>
      </c>
      <c r="D1435" s="225" t="str">
        <f t="shared" si="15"/>
        <v>2039_1996</v>
      </c>
      <c r="E1435" s="1287">
        <v>0.37119046540404738</v>
      </c>
      <c r="F1435" s="1306">
        <v>0.12673907007854901</v>
      </c>
      <c r="G1435" s="1303">
        <v>9.0701847272938956</v>
      </c>
      <c r="H1435" s="1306">
        <v>0.98342491085809691</v>
      </c>
      <c r="I1435" s="1303">
        <v>5.3903278541090276E-2</v>
      </c>
      <c r="J1435" s="1306">
        <v>2.7197511507641844E-3</v>
      </c>
      <c r="K1435" s="1303">
        <v>2.9806851444771623E-3</v>
      </c>
      <c r="L1435" s="1288">
        <v>2.0000011069406594E-3</v>
      </c>
      <c r="M1435" s="1230">
        <v>2.0000011069406594E-3</v>
      </c>
      <c r="N1435" s="1303">
        <v>2.6845462700984524E-2</v>
      </c>
      <c r="O1435" s="1288">
        <v>1.0279719290506546E-2</v>
      </c>
      <c r="P1435" s="1237">
        <v>5.1398596452532728E-3</v>
      </c>
      <c r="Q1435" s="1290">
        <v>5.6340545604462416E-2</v>
      </c>
    </row>
    <row r="1436" spans="1:17" s="212" customFormat="1" ht="15.5" x14ac:dyDescent="0.35">
      <c r="A1436" s="198">
        <v>2039</v>
      </c>
      <c r="B1436" s="197" t="s">
        <v>5838</v>
      </c>
      <c r="C1436" s="197">
        <v>1997</v>
      </c>
      <c r="D1436" s="225" t="str">
        <f t="shared" si="15"/>
        <v>2039_1997</v>
      </c>
      <c r="E1436" s="1287">
        <v>0.37613532996905663</v>
      </c>
      <c r="F1436" s="1306">
        <v>0.12693472256719721</v>
      </c>
      <c r="G1436" s="1303">
        <v>9.1503161873938268</v>
      </c>
      <c r="H1436" s="1306">
        <v>0.98738860094257419</v>
      </c>
      <c r="I1436" s="1303">
        <v>5.4088813347261643E-2</v>
      </c>
      <c r="J1436" s="1306">
        <v>2.7188647702028825E-3</v>
      </c>
      <c r="K1436" s="1303">
        <v>2.9940870349478592E-3</v>
      </c>
      <c r="L1436" s="1288">
        <v>2.0000010910527989E-3</v>
      </c>
      <c r="M1436" s="1230">
        <v>2.0000010910527989E-3</v>
      </c>
      <c r="N1436" s="1303">
        <v>2.7161668357046684E-2</v>
      </c>
      <c r="O1436" s="1288">
        <v>1.0166972906458448E-2</v>
      </c>
      <c r="P1436" s="1237">
        <v>5.083486453229224E-3</v>
      </c>
      <c r="Q1436" s="1290">
        <v>5.6534469471270381E-2</v>
      </c>
    </row>
    <row r="1437" spans="1:17" s="212" customFormat="1" ht="15.5" x14ac:dyDescent="0.35">
      <c r="A1437" s="198">
        <v>2039</v>
      </c>
      <c r="B1437" s="197" t="s">
        <v>5838</v>
      </c>
      <c r="C1437" s="197">
        <v>1998</v>
      </c>
      <c r="D1437" s="225" t="str">
        <f t="shared" si="15"/>
        <v>2039_1998</v>
      </c>
      <c r="E1437" s="1287">
        <v>0.37560308971688039</v>
      </c>
      <c r="F1437" s="1306">
        <v>0.13023777859300012</v>
      </c>
      <c r="G1437" s="1303">
        <v>9.1602348564502982</v>
      </c>
      <c r="H1437" s="1306">
        <v>1.010804367763902</v>
      </c>
      <c r="I1437" s="1303">
        <v>5.3996759806400139E-2</v>
      </c>
      <c r="J1437" s="1306">
        <v>2.7576852190695309E-3</v>
      </c>
      <c r="K1437" s="1303">
        <v>2.9943039260828517E-3</v>
      </c>
      <c r="L1437" s="1288">
        <v>2.0000011540747225E-3</v>
      </c>
      <c r="M1437" s="1230">
        <v>2.0000011540747225E-3</v>
      </c>
      <c r="N1437" s="1303">
        <v>2.7165224040053074E-2</v>
      </c>
      <c r="O1437" s="1288">
        <v>8.5406167338873702E-3</v>
      </c>
      <c r="P1437" s="1237">
        <v>4.2703083669436851E-3</v>
      </c>
      <c r="Q1437" s="1290">
        <v>5.6438253677772589E-2</v>
      </c>
    </row>
    <row r="1438" spans="1:17" s="212" customFormat="1" ht="15.5" x14ac:dyDescent="0.35">
      <c r="A1438" s="198">
        <v>2039</v>
      </c>
      <c r="B1438" s="197" t="s">
        <v>5838</v>
      </c>
      <c r="C1438" s="197">
        <v>1999</v>
      </c>
      <c r="D1438" s="225" t="str">
        <f t="shared" si="15"/>
        <v>2039_1999</v>
      </c>
      <c r="E1438" s="1287">
        <v>0.37681973388565798</v>
      </c>
      <c r="F1438" s="1306">
        <v>0.12737285609303309</v>
      </c>
      <c r="G1438" s="1303">
        <v>9.1915172495508184</v>
      </c>
      <c r="H1438" s="1306">
        <v>0.99919744692138612</v>
      </c>
      <c r="I1438" s="1303">
        <v>5.4031046901812312E-2</v>
      </c>
      <c r="J1438" s="1306">
        <v>2.7821279765786748E-3</v>
      </c>
      <c r="K1438" s="1303">
        <v>2.9980951237762884E-3</v>
      </c>
      <c r="L1438" s="1288">
        <v>2.0000011943691687E-3</v>
      </c>
      <c r="M1438" s="1230">
        <v>2.0000011943691687E-3</v>
      </c>
      <c r="N1438" s="1303">
        <v>2.7255487076525437E-2</v>
      </c>
      <c r="O1438" s="1288">
        <v>8.274218976247744E-3</v>
      </c>
      <c r="P1438" s="1237">
        <v>4.137109488123872E-3</v>
      </c>
      <c r="Q1438" s="1290">
        <v>5.6474091083492571E-2</v>
      </c>
    </row>
    <row r="1439" spans="1:17" s="212" customFormat="1" ht="15.5" x14ac:dyDescent="0.35">
      <c r="A1439" s="198">
        <v>2039</v>
      </c>
      <c r="B1439" s="197" t="s">
        <v>5838</v>
      </c>
      <c r="C1439" s="197">
        <v>2000</v>
      </c>
      <c r="D1439" s="225" t="str">
        <f t="shared" si="15"/>
        <v>2039_2000</v>
      </c>
      <c r="E1439" s="1287">
        <v>0.37543676050862917</v>
      </c>
      <c r="F1439" s="1306">
        <v>0.12224828047405296</v>
      </c>
      <c r="G1439" s="1303">
        <v>9.2348916725323686</v>
      </c>
      <c r="H1439" s="1306">
        <v>0.97479149189063596</v>
      </c>
      <c r="I1439" s="1303">
        <v>5.3777784574801618E-2</v>
      </c>
      <c r="J1439" s="1306">
        <v>2.7817153744167525E-3</v>
      </c>
      <c r="K1439" s="1303">
        <v>2.9994834145340606E-3</v>
      </c>
      <c r="L1439" s="1288">
        <v>2.0000012337829513E-3</v>
      </c>
      <c r="M1439" s="1230">
        <v>2.0000012337829513E-3</v>
      </c>
      <c r="N1439" s="1303">
        <v>2.7287760658012052E-2</v>
      </c>
      <c r="O1439" s="1288">
        <v>8.4230580132001066E-3</v>
      </c>
      <c r="P1439" s="1237">
        <v>4.2115290066000533E-3</v>
      </c>
      <c r="Q1439" s="1290">
        <v>5.6209377357889327E-2</v>
      </c>
    </row>
    <row r="1440" spans="1:17" s="212" customFormat="1" ht="15.5" x14ac:dyDescent="0.35">
      <c r="A1440" s="198">
        <v>2039</v>
      </c>
      <c r="B1440" s="197" t="s">
        <v>5838</v>
      </c>
      <c r="C1440" s="197">
        <v>2001</v>
      </c>
      <c r="D1440" s="225" t="str">
        <f t="shared" si="15"/>
        <v>2039_2001</v>
      </c>
      <c r="E1440" s="1287">
        <v>0.37726871751643198</v>
      </c>
      <c r="F1440" s="1306">
        <v>0.11950580598766979</v>
      </c>
      <c r="G1440" s="1303">
        <v>9.2042717103172649</v>
      </c>
      <c r="H1440" s="1306">
        <v>0.95764944152636033</v>
      </c>
      <c r="I1440" s="1303">
        <v>5.4026590570276485E-2</v>
      </c>
      <c r="J1440" s="1306">
        <v>2.8050435835107758E-3</v>
      </c>
      <c r="K1440" s="1303">
        <v>2.9998402578606392E-3</v>
      </c>
      <c r="L1440" s="1288">
        <v>2.0000012328005128E-3</v>
      </c>
      <c r="M1440" s="1230">
        <v>2.0000012328005128E-3</v>
      </c>
      <c r="N1440" s="1303">
        <v>2.7296264749468332E-2</v>
      </c>
      <c r="O1440" s="1288">
        <v>7.7136890743854884E-3</v>
      </c>
      <c r="P1440" s="1237">
        <v>3.8568445371927442E-3</v>
      </c>
      <c r="Q1440" s="1290">
        <v>5.6469433256419357E-2</v>
      </c>
    </row>
    <row r="1441" spans="1:17" s="212" customFormat="1" ht="15.5" x14ac:dyDescent="0.35">
      <c r="A1441" s="198">
        <v>2039</v>
      </c>
      <c r="B1441" s="197" t="s">
        <v>5838</v>
      </c>
      <c r="C1441" s="197">
        <v>2002</v>
      </c>
      <c r="D1441" s="225" t="str">
        <f t="shared" si="15"/>
        <v>2039_2002</v>
      </c>
      <c r="E1441" s="1287">
        <v>0.29095295989259945</v>
      </c>
      <c r="F1441" s="1306">
        <v>0.11892558853311207</v>
      </c>
      <c r="G1441" s="1303">
        <v>7.1204862935682733</v>
      </c>
      <c r="H1441" s="1306">
        <v>0.92866289054933038</v>
      </c>
      <c r="I1441" s="1303">
        <v>5.4236045273026355E-2</v>
      </c>
      <c r="J1441" s="1306">
        <v>2.8188375147264115E-3</v>
      </c>
      <c r="K1441" s="1303">
        <v>2.9999165590927314E-3</v>
      </c>
      <c r="L1441" s="1288">
        <v>2.0000013025839336E-3</v>
      </c>
      <c r="M1441" s="1230">
        <v>2.0000013025839336E-3</v>
      </c>
      <c r="N1441" s="1303">
        <v>2.7298048791028654E-2</v>
      </c>
      <c r="O1441" s="1288">
        <v>7.1476847686043898E-3</v>
      </c>
      <c r="P1441" s="1237">
        <v>3.5738423843021949E-3</v>
      </c>
      <c r="Q1441" s="1290">
        <v>5.6688358571386092E-2</v>
      </c>
    </row>
    <row r="1442" spans="1:17" s="212" customFormat="1" ht="15.5" x14ac:dyDescent="0.35">
      <c r="A1442" s="198">
        <v>2039</v>
      </c>
      <c r="B1442" s="197" t="s">
        <v>5838</v>
      </c>
      <c r="C1442" s="197">
        <v>2003</v>
      </c>
      <c r="D1442" s="225" t="str">
        <f t="shared" si="15"/>
        <v>2039_2003</v>
      </c>
      <c r="E1442" s="1287">
        <v>0.28939471614727791</v>
      </c>
      <c r="F1442" s="1306">
        <v>9.6108347148722045E-2</v>
      </c>
      <c r="G1442" s="1303">
        <v>7.1469726271028788</v>
      </c>
      <c r="H1442" s="1306">
        <v>0.72028620893352935</v>
      </c>
      <c r="I1442" s="1303">
        <v>5.3945992271327743E-2</v>
      </c>
      <c r="J1442" s="1306">
        <v>2.803646218954146E-3</v>
      </c>
      <c r="K1442" s="1303">
        <v>2.9999053526712687E-3</v>
      </c>
      <c r="L1442" s="1288">
        <v>2.0000013222837404E-3</v>
      </c>
      <c r="M1442" s="1230">
        <v>2.0000013222837404E-3</v>
      </c>
      <c r="N1442" s="1303">
        <v>2.729781658580141E-2</v>
      </c>
      <c r="O1442" s="1288">
        <v>7.624959130219087E-3</v>
      </c>
      <c r="P1442" s="1237">
        <v>3.8124795651095435E-3</v>
      </c>
      <c r="Q1442" s="1290">
        <v>5.6385190660041842E-2</v>
      </c>
    </row>
    <row r="1443" spans="1:17" s="212" customFormat="1" ht="15.5" x14ac:dyDescent="0.35">
      <c r="A1443" s="198">
        <v>2039</v>
      </c>
      <c r="B1443" s="197" t="s">
        <v>5838</v>
      </c>
      <c r="C1443" s="197">
        <v>2004</v>
      </c>
      <c r="D1443" s="225" t="str">
        <f t="shared" si="15"/>
        <v>2039_2004</v>
      </c>
      <c r="E1443" s="1287">
        <v>0.59569896718311377</v>
      </c>
      <c r="F1443" s="1306">
        <v>1.8047799832302137E-2</v>
      </c>
      <c r="G1443" s="1303">
        <v>4.2068365235517167</v>
      </c>
      <c r="H1443" s="1306">
        <v>0.12235196093130732</v>
      </c>
      <c r="I1443" s="1303">
        <v>0.15434786972465425</v>
      </c>
      <c r="J1443" s="1306">
        <v>1.8754687183580358E-4</v>
      </c>
      <c r="K1443" s="1303">
        <v>2.9991425684328943E-3</v>
      </c>
      <c r="L1443" s="1288">
        <v>2.0000013871126214E-3</v>
      </c>
      <c r="M1443" s="1230">
        <v>2.0000013871126214E-3</v>
      </c>
      <c r="N1443" s="1303">
        <v>2.7279851040269303E-2</v>
      </c>
      <c r="O1443" s="1288">
        <v>7.1379686565182718E-3</v>
      </c>
      <c r="P1443" s="1237">
        <v>3.5689843282591359E-3</v>
      </c>
      <c r="Q1443" s="1290">
        <v>0.16132679548507525</v>
      </c>
    </row>
    <row r="1444" spans="1:17" s="212" customFormat="1" ht="15.5" x14ac:dyDescent="0.35">
      <c r="A1444" s="198">
        <v>2039</v>
      </c>
      <c r="B1444" s="197" t="s">
        <v>5838</v>
      </c>
      <c r="C1444" s="197">
        <v>2005</v>
      </c>
      <c r="D1444" s="225" t="str">
        <f t="shared" si="15"/>
        <v>2039_2005</v>
      </c>
      <c r="E1444" s="1287">
        <v>0.5628605504172004</v>
      </c>
      <c r="F1444" s="1306">
        <v>1.6109155874076044E-2</v>
      </c>
      <c r="G1444" s="1303">
        <v>4.0491197661445186</v>
      </c>
      <c r="H1444" s="1306">
        <v>0.10721649622454167</v>
      </c>
      <c r="I1444" s="1303">
        <v>0.14768745835716374</v>
      </c>
      <c r="J1444" s="1306">
        <v>1.87726870736253E-4</v>
      </c>
      <c r="K1444" s="1303">
        <v>2.9354917212914946E-3</v>
      </c>
      <c r="L1444" s="1288">
        <v>2.0000014003511866E-3</v>
      </c>
      <c r="M1444" s="1230">
        <v>2.0000014003511866E-3</v>
      </c>
      <c r="N1444" s="1303">
        <v>2.5779082494281555E-2</v>
      </c>
      <c r="O1444" s="1288">
        <v>6.6616975827812697E-3</v>
      </c>
      <c r="P1444" s="1237">
        <v>3.3308487913906349E-3</v>
      </c>
      <c r="Q1444" s="1290">
        <v>0.15436522987068468</v>
      </c>
    </row>
    <row r="1445" spans="1:17" s="212" customFormat="1" ht="15.5" x14ac:dyDescent="0.35">
      <c r="A1445" s="198">
        <v>2039</v>
      </c>
      <c r="B1445" s="197" t="s">
        <v>5838</v>
      </c>
      <c r="C1445" s="197">
        <v>2006</v>
      </c>
      <c r="D1445" s="225" t="str">
        <f t="shared" si="15"/>
        <v>2039_2006</v>
      </c>
      <c r="E1445" s="1287">
        <v>0.57579055293923864</v>
      </c>
      <c r="F1445" s="1306">
        <v>7.1661927692608252E-3</v>
      </c>
      <c r="G1445" s="1303">
        <v>4.1152813551593059</v>
      </c>
      <c r="H1445" s="1306">
        <v>8.6723114462872869E-2</v>
      </c>
      <c r="I1445" s="1303">
        <v>0.15026423600170588</v>
      </c>
      <c r="J1445" s="1306">
        <v>1.826213132346726E-4</v>
      </c>
      <c r="K1445" s="1303">
        <v>2.9656256659468089E-3</v>
      </c>
      <c r="L1445" s="1288">
        <v>2.0000013014943828E-3</v>
      </c>
      <c r="M1445" s="1230">
        <v>2.0000013014943828E-3</v>
      </c>
      <c r="N1445" s="1303">
        <v>2.6489315590695797E-2</v>
      </c>
      <c r="O1445" s="1288">
        <v>9.7909028125953684E-3</v>
      </c>
      <c r="P1445" s="1237">
        <v>4.8954514062976842E-3</v>
      </c>
      <c r="Q1445" s="1290">
        <v>0.15705851796603115</v>
      </c>
    </row>
    <row r="1446" spans="1:17" s="212" customFormat="1" ht="15.5" x14ac:dyDescent="0.35">
      <c r="A1446" s="198">
        <v>2039</v>
      </c>
      <c r="B1446" s="197" t="s">
        <v>5838</v>
      </c>
      <c r="C1446" s="197">
        <v>2007</v>
      </c>
      <c r="D1446" s="225" t="str">
        <f t="shared" si="15"/>
        <v>2039_2007</v>
      </c>
      <c r="E1446" s="1287">
        <v>0.32021325125820027</v>
      </c>
      <c r="F1446" s="1306">
        <v>8.9791749054539474E-3</v>
      </c>
      <c r="G1446" s="1303">
        <v>2.3327615147519145</v>
      </c>
      <c r="H1446" s="1306">
        <v>7.1945973231714908E-2</v>
      </c>
      <c r="I1446" s="1303">
        <v>8.3596162300952334E-2</v>
      </c>
      <c r="J1446" s="1306">
        <v>1.8669637828354845E-4</v>
      </c>
      <c r="K1446" s="1303">
        <v>2.9470307429964029E-3</v>
      </c>
      <c r="L1446" s="1288">
        <v>2.000001336966132E-3</v>
      </c>
      <c r="M1446" s="1230">
        <v>2.000001336966132E-3</v>
      </c>
      <c r="N1446" s="1303">
        <v>2.6051845050099661E-2</v>
      </c>
      <c r="O1446" s="1288">
        <v>6.9786907554317606E-3</v>
      </c>
      <c r="P1446" s="1237">
        <v>3.4893453777158803E-3</v>
      </c>
      <c r="Q1446" s="1290">
        <v>8.7376009807725197E-2</v>
      </c>
    </row>
    <row r="1447" spans="1:17" s="212" customFormat="1" ht="15.5" x14ac:dyDescent="0.35">
      <c r="A1447" s="198">
        <v>2039</v>
      </c>
      <c r="B1447" s="197" t="s">
        <v>5838</v>
      </c>
      <c r="C1447" s="197">
        <v>2008</v>
      </c>
      <c r="D1447" s="225" t="str">
        <f t="shared" si="15"/>
        <v>2039_2008</v>
      </c>
      <c r="E1447" s="1287">
        <v>0.32685045893616654</v>
      </c>
      <c r="F1447" s="1306">
        <v>8.3479500935225992E-3</v>
      </c>
      <c r="G1447" s="1303">
        <v>2.38612750777687</v>
      </c>
      <c r="H1447" s="1306">
        <v>5.4719371639615509E-2</v>
      </c>
      <c r="I1447" s="1303">
        <v>8.5325190179190144E-2</v>
      </c>
      <c r="J1447" s="1306">
        <v>2.1014682243044786E-4</v>
      </c>
      <c r="K1447" s="1303">
        <v>2.9706759746417864E-3</v>
      </c>
      <c r="L1447" s="1288">
        <v>2.0000014595557957E-3</v>
      </c>
      <c r="M1447" s="1230">
        <v>2.0000014595557957E-3</v>
      </c>
      <c r="N1447" s="1303">
        <v>2.660990198705919E-2</v>
      </c>
      <c r="O1447" s="1288">
        <v>6.9541357171338837E-3</v>
      </c>
      <c r="P1447" s="1237">
        <v>3.4770678585669419E-3</v>
      </c>
      <c r="Q1447" s="1290">
        <v>8.9183216654169215E-2</v>
      </c>
    </row>
    <row r="1448" spans="1:17" s="212" customFormat="1" ht="15.5" x14ac:dyDescent="0.35">
      <c r="A1448" s="198">
        <v>2039</v>
      </c>
      <c r="B1448" s="197" t="s">
        <v>5838</v>
      </c>
      <c r="C1448" s="197">
        <v>2009</v>
      </c>
      <c r="D1448" s="225" t="str">
        <f t="shared" si="15"/>
        <v>2039_2009</v>
      </c>
      <c r="E1448" s="1287">
        <v>0.31874686126927304</v>
      </c>
      <c r="F1448" s="1306">
        <v>7.9545010235018386E-3</v>
      </c>
      <c r="G1448" s="1303">
        <v>2.3026240272747214</v>
      </c>
      <c r="H1448" s="1306">
        <v>3.872616792316845E-2</v>
      </c>
      <c r="I1448" s="1303">
        <v>8.3013963509102784E-2</v>
      </c>
      <c r="J1448" s="1306">
        <v>2.3898590773648639E-4</v>
      </c>
      <c r="K1448" s="1303">
        <v>2.9285874064181859E-3</v>
      </c>
      <c r="L1448" s="1288">
        <v>2.0000015161176186E-3</v>
      </c>
      <c r="M1448" s="1230">
        <v>2.0000015161176186E-3</v>
      </c>
      <c r="N1448" s="1303">
        <v>2.5620894024893651E-2</v>
      </c>
      <c r="O1448" s="1288">
        <v>5.4501706264497565E-3</v>
      </c>
      <c r="P1448" s="1237">
        <v>2.7250853132248782E-3</v>
      </c>
      <c r="Q1448" s="1290">
        <v>8.6767486569977043E-2</v>
      </c>
    </row>
    <row r="1449" spans="1:17" s="212" customFormat="1" ht="15.5" x14ac:dyDescent="0.35">
      <c r="A1449" s="198">
        <v>2039</v>
      </c>
      <c r="B1449" s="197" t="s">
        <v>5838</v>
      </c>
      <c r="C1449" s="197">
        <v>2010</v>
      </c>
      <c r="D1449" s="225" t="str">
        <f t="shared" si="15"/>
        <v>2039_2010</v>
      </c>
      <c r="E1449" s="1287">
        <v>6.8547476353347778E-2</v>
      </c>
      <c r="F1449" s="1306">
        <v>7.3434315713933737E-3</v>
      </c>
      <c r="G1449" s="1303">
        <v>0.59958691713167656</v>
      </c>
      <c r="H1449" s="1306">
        <v>3.6830100996444619E-2</v>
      </c>
      <c r="I1449" s="1303">
        <v>1.8949954935673557E-2</v>
      </c>
      <c r="J1449" s="1306">
        <v>2.9567396787011314E-4</v>
      </c>
      <c r="K1449" s="1303">
        <v>2.8305480405757971E-3</v>
      </c>
      <c r="L1449" s="1288">
        <v>2.000001604299733E-3</v>
      </c>
      <c r="M1449" s="1230">
        <v>2.000001604299733E-3</v>
      </c>
      <c r="N1449" s="1303">
        <v>2.3315002068709522E-2</v>
      </c>
      <c r="O1449" s="1288">
        <v>4.5896713159524075E-3</v>
      </c>
      <c r="P1449" s="1237">
        <v>2.2948356579762037E-3</v>
      </c>
      <c r="Q1449" s="1290">
        <v>1.9806787808685111E-2</v>
      </c>
    </row>
    <row r="1450" spans="1:17" s="212" customFormat="1" ht="15.5" x14ac:dyDescent="0.35">
      <c r="A1450" s="198">
        <v>2039</v>
      </c>
      <c r="B1450" s="197" t="s">
        <v>5838</v>
      </c>
      <c r="C1450" s="197">
        <v>2011</v>
      </c>
      <c r="D1450" s="225" t="str">
        <f t="shared" si="15"/>
        <v>2039_2011</v>
      </c>
      <c r="E1450" s="1287">
        <v>7.2971506627418567E-2</v>
      </c>
      <c r="F1450" s="1306">
        <v>7.3186885248546565E-3</v>
      </c>
      <c r="G1450" s="1303">
        <v>0.65267000281037224</v>
      </c>
      <c r="H1450" s="1306">
        <v>3.664767733588993E-2</v>
      </c>
      <c r="I1450" s="1303">
        <v>2.0104670403965453E-2</v>
      </c>
      <c r="J1450" s="1306">
        <v>3.9265959822814823E-4</v>
      </c>
      <c r="K1450" s="1303">
        <v>2.9117033051330155E-3</v>
      </c>
      <c r="L1450" s="1288">
        <v>2.0000015444653616E-3</v>
      </c>
      <c r="M1450" s="1230">
        <v>2.0000015444653616E-3</v>
      </c>
      <c r="N1450" s="1303">
        <v>2.52297390934711E-2</v>
      </c>
      <c r="O1450" s="1288">
        <v>5.6273930252111349E-3</v>
      </c>
      <c r="P1450" s="1237">
        <v>2.8136965126055674E-3</v>
      </c>
      <c r="Q1450" s="1290">
        <v>2.1013714386479154E-2</v>
      </c>
    </row>
    <row r="1451" spans="1:17" s="212" customFormat="1" ht="15.5" x14ac:dyDescent="0.35">
      <c r="A1451" s="198">
        <v>2039</v>
      </c>
      <c r="B1451" s="197" t="s">
        <v>5838</v>
      </c>
      <c r="C1451" s="197">
        <v>2012</v>
      </c>
      <c r="D1451" s="225" t="str">
        <f t="shared" si="15"/>
        <v>2039_2012</v>
      </c>
      <c r="E1451" s="1287">
        <v>5.7450719927693142E-2</v>
      </c>
      <c r="F1451" s="1306">
        <v>6.9733952034033448E-3</v>
      </c>
      <c r="G1451" s="1303">
        <v>0.48258205220617051</v>
      </c>
      <c r="H1451" s="1306">
        <v>3.5544577778224805E-2</v>
      </c>
      <c r="I1451" s="1303">
        <v>1.6195886276844179E-2</v>
      </c>
      <c r="J1451" s="1306">
        <v>5.6902519128913375E-4</v>
      </c>
      <c r="K1451" s="1303">
        <v>2.6630949354570443E-3</v>
      </c>
      <c r="L1451" s="1288">
        <v>2.000001587048566E-3</v>
      </c>
      <c r="M1451" s="1230">
        <v>2.000001587048566E-3</v>
      </c>
      <c r="N1451" s="1303">
        <v>1.9365648717902788E-2</v>
      </c>
      <c r="O1451" s="1288">
        <v>6.1418739694302851E-3</v>
      </c>
      <c r="P1451" s="1237">
        <v>3.0709369847151426E-3</v>
      </c>
      <c r="Q1451" s="1290">
        <v>1.6928192386102124E-2</v>
      </c>
    </row>
    <row r="1452" spans="1:17" s="212" customFormat="1" ht="15.5" x14ac:dyDescent="0.35">
      <c r="A1452" s="198">
        <v>2039</v>
      </c>
      <c r="B1452" s="197" t="s">
        <v>5838</v>
      </c>
      <c r="C1452" s="197">
        <v>2013</v>
      </c>
      <c r="D1452" s="225" t="str">
        <f t="shared" si="15"/>
        <v>2039_2013</v>
      </c>
      <c r="E1452" s="1287">
        <v>7.1205060759349556E-2</v>
      </c>
      <c r="F1452" s="1306">
        <v>7.4895603694473869E-3</v>
      </c>
      <c r="G1452" s="1303">
        <v>0.63172685244864257</v>
      </c>
      <c r="H1452" s="1306">
        <v>3.682136456725945E-2</v>
      </c>
      <c r="I1452" s="1303">
        <v>1.9642058116749499E-2</v>
      </c>
      <c r="J1452" s="1306">
        <v>8.5003176577792784E-4</v>
      </c>
      <c r="K1452" s="1303">
        <v>2.8806853964983246E-3</v>
      </c>
      <c r="L1452" s="1288">
        <v>2.0000015821735155E-3</v>
      </c>
      <c r="M1452" s="1230">
        <v>2.0000015821735155E-3</v>
      </c>
      <c r="N1452" s="1303">
        <v>2.4500690901239304E-2</v>
      </c>
      <c r="O1452" s="1288">
        <v>6.1885648580915862E-3</v>
      </c>
      <c r="P1452" s="1237">
        <v>3.0942824290457931E-3</v>
      </c>
      <c r="Q1452" s="1290">
        <v>2.0530184824446907E-2</v>
      </c>
    </row>
    <row r="1453" spans="1:17" s="212" customFormat="1" ht="15.5" x14ac:dyDescent="0.35">
      <c r="A1453" s="198">
        <v>2039</v>
      </c>
      <c r="B1453" s="197" t="s">
        <v>5838</v>
      </c>
      <c r="C1453" s="197">
        <v>2014</v>
      </c>
      <c r="D1453" s="225" t="str">
        <f t="shared" si="15"/>
        <v>2039_2014</v>
      </c>
      <c r="E1453" s="1287">
        <v>6.3430923124345187E-2</v>
      </c>
      <c r="F1453" s="1306">
        <v>7.6416703353985264E-3</v>
      </c>
      <c r="G1453" s="1303">
        <v>0.54766981477159427</v>
      </c>
      <c r="H1453" s="1306">
        <v>3.7278325626395874E-2</v>
      </c>
      <c r="I1453" s="1303">
        <v>1.7697111519370708E-2</v>
      </c>
      <c r="J1453" s="1306">
        <v>1.2036116378813209E-3</v>
      </c>
      <c r="K1453" s="1303">
        <v>2.7581525382435251E-3</v>
      </c>
      <c r="L1453" s="1288">
        <v>2.0000015916808085E-3</v>
      </c>
      <c r="M1453" s="1230">
        <v>2.0000015916808085E-3</v>
      </c>
      <c r="N1453" s="1303">
        <v>2.1609192168352203E-2</v>
      </c>
      <c r="O1453" s="1288">
        <v>5.2260385601196075E-3</v>
      </c>
      <c r="P1453" s="1237">
        <v>2.6130192800598038E-3</v>
      </c>
      <c r="Q1453" s="1290">
        <v>1.8497296372507389E-2</v>
      </c>
    </row>
    <row r="1454" spans="1:17" s="212" customFormat="1" ht="15.5" x14ac:dyDescent="0.35">
      <c r="A1454" s="198">
        <v>2039</v>
      </c>
      <c r="B1454" s="197" t="s">
        <v>5838</v>
      </c>
      <c r="C1454" s="197">
        <v>2015</v>
      </c>
      <c r="D1454" s="225" t="str">
        <f t="shared" si="15"/>
        <v>2039_2015</v>
      </c>
      <c r="E1454" s="1287">
        <v>5.9019894348581528E-2</v>
      </c>
      <c r="F1454" s="1306">
        <v>7.4820914683366574E-3</v>
      </c>
      <c r="G1454" s="1303">
        <v>0.50348056751524517</v>
      </c>
      <c r="H1454" s="1306">
        <v>3.6449095178266958E-2</v>
      </c>
      <c r="I1454" s="1303">
        <v>1.6635469691316095E-2</v>
      </c>
      <c r="J1454" s="1306">
        <v>1.4893779481985375E-3</v>
      </c>
      <c r="K1454" s="1303">
        <v>2.6955790033242736E-3</v>
      </c>
      <c r="L1454" s="1288">
        <v>2.000001555561863E-3</v>
      </c>
      <c r="M1454" s="1230">
        <v>2.000001555561863E-3</v>
      </c>
      <c r="N1454" s="1303">
        <v>2.0121727088873678E-2</v>
      </c>
      <c r="O1454" s="1288">
        <v>6.1048852747556609E-3</v>
      </c>
      <c r="P1454" s="1237">
        <v>3.0524426373778305E-3</v>
      </c>
      <c r="Q1454" s="1290">
        <v>1.7387651811953949E-2</v>
      </c>
    </row>
    <row r="1455" spans="1:17" s="212" customFormat="1" ht="15.5" x14ac:dyDescent="0.35">
      <c r="A1455" s="198">
        <v>2039</v>
      </c>
      <c r="B1455" s="197" t="s">
        <v>5838</v>
      </c>
      <c r="C1455" s="197">
        <v>2016</v>
      </c>
      <c r="D1455" s="225" t="str">
        <f t="shared" si="15"/>
        <v>2039_2016</v>
      </c>
      <c r="E1455" s="1287">
        <v>6.763863012338181E-2</v>
      </c>
      <c r="F1455" s="1306">
        <v>7.3518830762141227E-3</v>
      </c>
      <c r="G1455" s="1303">
        <v>0.53275501952717708</v>
      </c>
      <c r="H1455" s="1306">
        <v>3.5661558125375269E-2</v>
      </c>
      <c r="I1455" s="1303">
        <v>1.8810468626920849E-2</v>
      </c>
      <c r="J1455" s="1306">
        <v>1.6912333822528159E-3</v>
      </c>
      <c r="K1455" s="1303">
        <v>2.8464069706911014E-3</v>
      </c>
      <c r="L1455" s="1288">
        <v>2.0000015018973734E-3</v>
      </c>
      <c r="M1455" s="1230">
        <v>2.0000015018973734E-3</v>
      </c>
      <c r="N1455" s="1303">
        <v>2.367910644779881E-2</v>
      </c>
      <c r="O1455" s="1288">
        <v>7.0341252869430852E-3</v>
      </c>
      <c r="P1455" s="1237">
        <v>3.5170626434715426E-3</v>
      </c>
      <c r="Q1455" s="1290">
        <v>1.9660994548011911E-2</v>
      </c>
    </row>
    <row r="1456" spans="1:17" s="212" customFormat="1" ht="15.5" x14ac:dyDescent="0.35">
      <c r="A1456" s="198">
        <v>2039</v>
      </c>
      <c r="B1456" s="197" t="s">
        <v>5838</v>
      </c>
      <c r="C1456" s="197">
        <v>2017</v>
      </c>
      <c r="D1456" s="225" t="str">
        <f t="shared" si="15"/>
        <v>2039_2017</v>
      </c>
      <c r="E1456" s="1287">
        <v>6.9196087919619731E-2</v>
      </c>
      <c r="F1456" s="1306">
        <v>7.076452899529369E-3</v>
      </c>
      <c r="G1456" s="1303">
        <v>0.47587505801719099</v>
      </c>
      <c r="H1456" s="1306">
        <v>3.4852304510702613E-2</v>
      </c>
      <c r="I1456" s="1303">
        <v>1.9148422496459896E-2</v>
      </c>
      <c r="J1456" s="1306">
        <v>1.8170682991705607E-3</v>
      </c>
      <c r="K1456" s="1303">
        <v>2.8731252752070037E-3</v>
      </c>
      <c r="L1456" s="1288">
        <v>2.0000014786736089E-3</v>
      </c>
      <c r="M1456" s="1230">
        <v>2.0000014786736089E-3</v>
      </c>
      <c r="N1456" s="1303">
        <v>2.431224856636038E-2</v>
      </c>
      <c r="O1456" s="1288">
        <v>6.9891307125248426E-3</v>
      </c>
      <c r="P1456" s="1237">
        <v>3.4945653562624213E-3</v>
      </c>
      <c r="Q1456" s="1290">
        <v>2.001422919188341E-2</v>
      </c>
    </row>
    <row r="1457" spans="1:17" s="212" customFormat="1" ht="15.5" x14ac:dyDescent="0.35">
      <c r="A1457" s="198">
        <v>2039</v>
      </c>
      <c r="B1457" s="197" t="s">
        <v>5838</v>
      </c>
      <c r="C1457" s="197">
        <v>2018</v>
      </c>
      <c r="D1457" s="225" t="str">
        <f t="shared" si="15"/>
        <v>2039_2018</v>
      </c>
      <c r="E1457" s="1287">
        <v>6.4645113761660447E-2</v>
      </c>
      <c r="F1457" s="1306">
        <v>6.9525094477818879E-3</v>
      </c>
      <c r="G1457" s="1303">
        <v>0.36229777344544967</v>
      </c>
      <c r="H1457" s="1306">
        <v>3.4342907270181133E-2</v>
      </c>
      <c r="I1457" s="1303">
        <v>1.7907435024226339E-2</v>
      </c>
      <c r="J1457" s="1306">
        <v>1.9213511382365795E-3</v>
      </c>
      <c r="K1457" s="1303">
        <v>2.7977514790231751E-3</v>
      </c>
      <c r="L1457" s="1288">
        <v>2.000001478101557E-3</v>
      </c>
      <c r="M1457" s="1230">
        <v>2.000001478101557E-3</v>
      </c>
      <c r="N1457" s="1303">
        <v>2.2529652180855689E-2</v>
      </c>
      <c r="O1457" s="1288">
        <v>6.3089126223510733E-3</v>
      </c>
      <c r="P1457" s="1237">
        <v>3.1544563111755367E-3</v>
      </c>
      <c r="Q1457" s="1290">
        <v>1.8717129772955751E-2</v>
      </c>
    </row>
    <row r="1458" spans="1:17" s="212" customFormat="1" ht="15.5" x14ac:dyDescent="0.35">
      <c r="A1458" s="198">
        <v>2039</v>
      </c>
      <c r="B1458" s="197" t="s">
        <v>5838</v>
      </c>
      <c r="C1458" s="197">
        <v>2019</v>
      </c>
      <c r="D1458" s="225" t="str">
        <f t="shared" si="15"/>
        <v>2039_2019</v>
      </c>
      <c r="E1458" s="1287">
        <v>7.2449499971837195E-2</v>
      </c>
      <c r="F1458" s="1306">
        <v>6.8120141373803631E-3</v>
      </c>
      <c r="G1458" s="1303">
        <v>0.36181573686157675</v>
      </c>
      <c r="H1458" s="1306">
        <v>3.349976407402773E-2</v>
      </c>
      <c r="I1458" s="1303">
        <v>1.9753779847150474E-2</v>
      </c>
      <c r="J1458" s="1306">
        <v>1.8240891646376053E-3</v>
      </c>
      <c r="K1458" s="1303">
        <v>2.9397087197221678E-3</v>
      </c>
      <c r="L1458" s="1288">
        <v>2.0000014164422413E-3</v>
      </c>
      <c r="M1458" s="1230">
        <v>2.0000014164422413E-3</v>
      </c>
      <c r="N1458" s="1303">
        <v>2.587859610326456E-2</v>
      </c>
      <c r="O1458" s="1288">
        <v>6.364532167575457E-3</v>
      </c>
      <c r="P1458" s="1237">
        <v>3.1822660837877285E-3</v>
      </c>
      <c r="Q1458" s="1290">
        <v>2.0646958115738853E-2</v>
      </c>
    </row>
    <row r="1459" spans="1:17" s="212" customFormat="1" ht="15.5" x14ac:dyDescent="0.35">
      <c r="A1459" s="198">
        <v>2039</v>
      </c>
      <c r="B1459" s="197" t="s">
        <v>5838</v>
      </c>
      <c r="C1459" s="197">
        <v>2020</v>
      </c>
      <c r="D1459" s="225" t="str">
        <f t="shared" si="15"/>
        <v>2039_2020</v>
      </c>
      <c r="E1459" s="1287">
        <v>6.2528289842658055E-2</v>
      </c>
      <c r="F1459" s="1306">
        <v>6.6549408800707704E-3</v>
      </c>
      <c r="G1459" s="1303">
        <v>0.27782017776687989</v>
      </c>
      <c r="H1459" s="1306">
        <v>3.2348948970959988E-2</v>
      </c>
      <c r="I1459" s="1303">
        <v>1.7577878599684967E-2</v>
      </c>
      <c r="J1459" s="1306">
        <v>1.3530980297774755E-3</v>
      </c>
      <c r="K1459" s="1303">
        <v>2.9091201628516721E-3</v>
      </c>
      <c r="L1459" s="1288">
        <v>2.0000015019390029E-3</v>
      </c>
      <c r="M1459" s="1230">
        <v>2.0000015019390029E-3</v>
      </c>
      <c r="N1459" s="1303">
        <v>2.5163108606621295E-2</v>
      </c>
      <c r="O1459" s="1288">
        <v>6.4774623755318346E-3</v>
      </c>
      <c r="P1459" s="1237">
        <v>3.2387311877659173E-3</v>
      </c>
      <c r="Q1459" s="1290">
        <v>1.8372672269281621E-2</v>
      </c>
    </row>
    <row r="1460" spans="1:17" s="212" customFormat="1" ht="15.5" x14ac:dyDescent="0.35">
      <c r="A1460" s="198">
        <v>2039</v>
      </c>
      <c r="B1460" s="197" t="s">
        <v>5838</v>
      </c>
      <c r="C1460" s="197">
        <v>2021</v>
      </c>
      <c r="D1460" s="225" t="str">
        <f t="shared" si="15"/>
        <v>2039_2021</v>
      </c>
      <c r="E1460" s="1287">
        <v>6.1137185051366116E-2</v>
      </c>
      <c r="F1460" s="1306">
        <v>6.4233863600728974E-3</v>
      </c>
      <c r="G1460" s="1303">
        <v>0.22375575126569711</v>
      </c>
      <c r="H1460" s="1306">
        <v>3.1273404603600417E-2</v>
      </c>
      <c r="I1460" s="1303">
        <v>1.6817021240502852E-2</v>
      </c>
      <c r="J1460" s="1306">
        <v>8.878273319921987E-4</v>
      </c>
      <c r="K1460" s="1303">
        <v>2.906035851065733E-3</v>
      </c>
      <c r="L1460" s="1288">
        <v>2.0000015157708964E-3</v>
      </c>
      <c r="M1460" s="1230">
        <v>2.0000015157708964E-3</v>
      </c>
      <c r="N1460" s="1303">
        <v>2.5088200559741734E-2</v>
      </c>
      <c r="O1460" s="1288">
        <v>6.4410611069171553E-3</v>
      </c>
      <c r="P1460" s="1237">
        <v>3.2205305534585777E-3</v>
      </c>
      <c r="Q1460" s="1290">
        <v>1.7577412316571901E-2</v>
      </c>
    </row>
    <row r="1461" spans="1:17" s="212" customFormat="1" ht="15.5" x14ac:dyDescent="0.35">
      <c r="A1461" s="198">
        <v>2039</v>
      </c>
      <c r="B1461" s="197" t="s">
        <v>5838</v>
      </c>
      <c r="C1461" s="197">
        <v>2022</v>
      </c>
      <c r="D1461" s="225" t="str">
        <f t="shared" si="15"/>
        <v>2039_2022</v>
      </c>
      <c r="E1461" s="1287">
        <v>6.0445290428043148E-2</v>
      </c>
      <c r="F1461" s="1306">
        <v>6.2311252436177116E-3</v>
      </c>
      <c r="G1461" s="1303">
        <v>0.17079317862805801</v>
      </c>
      <c r="H1461" s="1306">
        <v>3.0198751637820764E-2</v>
      </c>
      <c r="I1461" s="1303">
        <v>1.641888879561711E-2</v>
      </c>
      <c r="J1461" s="1306">
        <v>8.8763857106488706E-4</v>
      </c>
      <c r="K1461" s="1303">
        <v>2.9010772894001282E-3</v>
      </c>
      <c r="L1461" s="1288">
        <v>2.0000015309262985E-3</v>
      </c>
      <c r="M1461" s="1230">
        <v>2.0000015309262985E-3</v>
      </c>
      <c r="N1461" s="1303">
        <v>2.4968657629485243E-2</v>
      </c>
      <c r="O1461" s="1288">
        <v>6.404408350906542E-3</v>
      </c>
      <c r="P1461" s="1237">
        <v>3.202204175453271E-3</v>
      </c>
      <c r="Q1461" s="1290">
        <v>1.7161278089214898E-2</v>
      </c>
    </row>
    <row r="1462" spans="1:17" s="212" customFormat="1" ht="15.5" x14ac:dyDescent="0.35">
      <c r="A1462" s="198">
        <v>2039</v>
      </c>
      <c r="B1462" s="197" t="s">
        <v>5838</v>
      </c>
      <c r="C1462" s="197">
        <v>2023</v>
      </c>
      <c r="D1462" s="225" t="str">
        <f t="shared" si="15"/>
        <v>2039_2023</v>
      </c>
      <c r="E1462" s="1287">
        <v>5.9751281579216817E-2</v>
      </c>
      <c r="F1462" s="1306">
        <v>5.9021742304773807E-3</v>
      </c>
      <c r="G1462" s="1303">
        <v>0.16774473120332345</v>
      </c>
      <c r="H1462" s="1306">
        <v>2.9134961164181745E-2</v>
      </c>
      <c r="I1462" s="1303">
        <v>1.5993887827926854E-2</v>
      </c>
      <c r="J1462" s="1306">
        <v>8.8725192447718798E-4</v>
      </c>
      <c r="K1462" s="1303">
        <v>2.8970937549125495E-3</v>
      </c>
      <c r="L1462" s="1288">
        <v>2.0000015432899607E-3</v>
      </c>
      <c r="M1462" s="1230">
        <v>2.0000015432899607E-3</v>
      </c>
      <c r="N1462" s="1303">
        <v>2.4871423794883277E-2</v>
      </c>
      <c r="O1462" s="1288">
        <v>6.3529415965283354E-3</v>
      </c>
      <c r="P1462" s="1237">
        <v>3.1764707982641677E-3</v>
      </c>
      <c r="Q1462" s="1290">
        <v>1.6717060463679614E-2</v>
      </c>
    </row>
    <row r="1463" spans="1:17" s="212" customFormat="1" ht="15.5" x14ac:dyDescent="0.35">
      <c r="A1463" s="198">
        <v>2039</v>
      </c>
      <c r="B1463" s="197" t="s">
        <v>5838</v>
      </c>
      <c r="C1463" s="197">
        <v>2024</v>
      </c>
      <c r="D1463" s="225" t="str">
        <f t="shared" si="15"/>
        <v>2039_2024</v>
      </c>
      <c r="E1463" s="1287">
        <v>5.8719433673915612E-2</v>
      </c>
      <c r="F1463" s="1306">
        <v>5.2957195352579655E-3</v>
      </c>
      <c r="G1463" s="1303">
        <v>0.16359629922487506</v>
      </c>
      <c r="H1463" s="1306">
        <v>2.7716609372162214E-2</v>
      </c>
      <c r="I1463" s="1303">
        <v>1.5448017353983188E-2</v>
      </c>
      <c r="J1463" s="1306">
        <v>8.8588567339944145E-4</v>
      </c>
      <c r="K1463" s="1303">
        <v>2.8883779360930261E-3</v>
      </c>
      <c r="L1463" s="1288">
        <v>2.0000015613543041E-3</v>
      </c>
      <c r="M1463" s="1305">
        <v>2.0000005733522598E-3</v>
      </c>
      <c r="N1463" s="1303">
        <v>2.4661733183208592E-2</v>
      </c>
      <c r="O1463" s="1288">
        <v>6.1923676185967579E-3</v>
      </c>
      <c r="P1463" s="1301">
        <v>3.6047234149093892E-3</v>
      </c>
      <c r="Q1463" s="1290">
        <v>1.6146508149168494E-2</v>
      </c>
    </row>
    <row r="1464" spans="1:17" s="212" customFormat="1" ht="15.5" x14ac:dyDescent="0.35">
      <c r="A1464" s="198">
        <v>2039</v>
      </c>
      <c r="B1464" s="197" t="s">
        <v>5838</v>
      </c>
      <c r="C1464" s="197">
        <v>2025</v>
      </c>
      <c r="D1464" s="225" t="str">
        <f t="shared" si="15"/>
        <v>2039_2025</v>
      </c>
      <c r="E1464" s="1287">
        <v>5.7847302844196105E-2</v>
      </c>
      <c r="F1464" s="1306">
        <v>4.7719403658089314E-3</v>
      </c>
      <c r="G1464" s="1303">
        <v>0.15981569999396941</v>
      </c>
      <c r="H1464" s="1306">
        <v>2.6465887359637418E-2</v>
      </c>
      <c r="I1464" s="1303">
        <v>1.4922352824980074E-2</v>
      </c>
      <c r="J1464" s="1306">
        <v>8.8516409390714944E-4</v>
      </c>
      <c r="K1464" s="1303">
        <v>2.8833501946483671E-3</v>
      </c>
      <c r="L1464" s="1288">
        <v>2.0000015776741203E-3</v>
      </c>
      <c r="M1464" s="1305">
        <v>2.0000005733842E-3</v>
      </c>
      <c r="N1464" s="1303">
        <v>2.4538349655110411E-2</v>
      </c>
      <c r="O1464" s="1288">
        <v>6.084579377677043E-3</v>
      </c>
      <c r="P1464" s="1301">
        <v>4.0351113556495507E-3</v>
      </c>
      <c r="Q1464" s="1290">
        <v>1.5597075402765677E-2</v>
      </c>
    </row>
    <row r="1465" spans="1:17" s="212" customFormat="1" ht="15.5" x14ac:dyDescent="0.35">
      <c r="A1465" s="198">
        <v>2039</v>
      </c>
      <c r="B1465" s="197" t="s">
        <v>5838</v>
      </c>
      <c r="C1465" s="197">
        <v>2026</v>
      </c>
      <c r="D1465" s="225" t="str">
        <f t="shared" si="15"/>
        <v>2039_2026</v>
      </c>
      <c r="E1465" s="1287">
        <v>5.681066850499885E-2</v>
      </c>
      <c r="F1465" s="1306">
        <v>4.7343661346241133E-3</v>
      </c>
      <c r="G1465" s="1303">
        <v>0.15545601668278508</v>
      </c>
      <c r="H1465" s="1306">
        <v>2.5987795503396815E-2</v>
      </c>
      <c r="I1465" s="1303">
        <v>1.4327191284151648E-2</v>
      </c>
      <c r="J1465" s="1306">
        <v>7.7065513944461674E-4</v>
      </c>
      <c r="K1465" s="1303">
        <v>2.8764471940560836E-3</v>
      </c>
      <c r="L1465" s="1288">
        <v>2.0000015955520564E-3</v>
      </c>
      <c r="M1465" s="1305">
        <v>2.0000005734462957E-3</v>
      </c>
      <c r="N1465" s="1303">
        <v>2.4369683840411886E-2</v>
      </c>
      <c r="O1465" s="1288">
        <v>5.9392762484053044E-3</v>
      </c>
      <c r="P1465" s="1301">
        <v>4.8741903185981353E-3</v>
      </c>
      <c r="Q1465" s="1290">
        <v>1.497500329805122E-2</v>
      </c>
    </row>
    <row r="1466" spans="1:17" s="212" customFormat="1" ht="15.5" x14ac:dyDescent="0.35">
      <c r="A1466" s="198">
        <v>2039</v>
      </c>
      <c r="B1466" s="197" t="s">
        <v>5838</v>
      </c>
      <c r="C1466" s="197">
        <v>2027</v>
      </c>
      <c r="D1466" s="225" t="str">
        <f t="shared" si="15"/>
        <v>2039_2027</v>
      </c>
      <c r="E1466" s="1287">
        <v>5.5614978676341541E-2</v>
      </c>
      <c r="F1466" s="1306">
        <v>4.7219820170557167E-3</v>
      </c>
      <c r="G1466" s="1303">
        <v>0.15054504000898111</v>
      </c>
      <c r="H1466" s="1306">
        <v>2.5506479431929699E-2</v>
      </c>
      <c r="I1466" s="1303">
        <v>1.3666796946499233E-2</v>
      </c>
      <c r="J1466" s="1306">
        <v>6.3548540849804147E-4</v>
      </c>
      <c r="K1466" s="1303">
        <v>2.8676761737660961E-3</v>
      </c>
      <c r="L1466" s="1288">
        <v>2.0000016133883197E-3</v>
      </c>
      <c r="M1466" s="1305">
        <v>2.0000005735097723E-3</v>
      </c>
      <c r="N1466" s="1303">
        <v>2.4155564560048727E-2</v>
      </c>
      <c r="O1466" s="1288">
        <v>5.7664124374985914E-3</v>
      </c>
      <c r="P1466" s="1301">
        <v>5.7308078737297024E-3</v>
      </c>
      <c r="Q1466" s="1290">
        <v>1.4284748858906678E-2</v>
      </c>
    </row>
    <row r="1467" spans="1:17" s="212" customFormat="1" ht="15.5" x14ac:dyDescent="0.35">
      <c r="A1467" s="198">
        <v>2039</v>
      </c>
      <c r="B1467" s="197" t="s">
        <v>5838</v>
      </c>
      <c r="C1467" s="197">
        <v>2028</v>
      </c>
      <c r="D1467" s="225" t="str">
        <f t="shared" si="15"/>
        <v>2039_2028</v>
      </c>
      <c r="E1467" s="1287">
        <v>5.4291077706782341E-2</v>
      </c>
      <c r="F1467" s="1306">
        <v>4.6445386392239326E-3</v>
      </c>
      <c r="G1467" s="1303">
        <v>0.14518567470195184</v>
      </c>
      <c r="H1467" s="1306">
        <v>2.4918155117089683E-2</v>
      </c>
      <c r="I1467" s="1303">
        <v>1.2952293592330622E-2</v>
      </c>
      <c r="J1467" s="1306">
        <v>5.1785608071718827E-4</v>
      </c>
      <c r="K1467" s="1303">
        <v>2.857512051638208E-3</v>
      </c>
      <c r="L1467" s="1288">
        <v>2.0000016319082223E-3</v>
      </c>
      <c r="M1467" s="1305">
        <v>2.0000005735556054E-3</v>
      </c>
      <c r="N1467" s="1303">
        <v>2.3906955952894798E-2</v>
      </c>
      <c r="O1467" s="1288">
        <v>5.590388664385668E-3</v>
      </c>
      <c r="P1467" s="1301">
        <v>6.3483202823195759E-3</v>
      </c>
      <c r="Q1467" s="1290">
        <v>1.3537938833624219E-2</v>
      </c>
    </row>
    <row r="1468" spans="1:17" s="212" customFormat="1" ht="15.5" x14ac:dyDescent="0.35">
      <c r="A1468" s="198">
        <v>2039</v>
      </c>
      <c r="B1468" s="197" t="s">
        <v>5838</v>
      </c>
      <c r="C1468" s="197">
        <v>2029</v>
      </c>
      <c r="D1468" s="225" t="str">
        <f t="shared" si="15"/>
        <v>2039_2029</v>
      </c>
      <c r="E1468" s="1287">
        <v>5.2926968968778215E-2</v>
      </c>
      <c r="F1468" s="1306">
        <v>4.5560411375486021E-3</v>
      </c>
      <c r="G1468" s="1303">
        <v>0.13963490899878278</v>
      </c>
      <c r="H1468" s="1306">
        <v>2.4274663390095673E-2</v>
      </c>
      <c r="I1468" s="1303">
        <v>1.2208027566639518E-2</v>
      </c>
      <c r="J1468" s="1306">
        <v>5.1414654213787132E-4</v>
      </c>
      <c r="K1468" s="1303">
        <v>2.8474608376115635E-3</v>
      </c>
      <c r="L1468" s="1288">
        <v>2.0000016504710012E-3</v>
      </c>
      <c r="M1468" s="1305">
        <v>2.0000005735907049E-3</v>
      </c>
      <c r="N1468" s="1303">
        <v>2.3659483087232414E-2</v>
      </c>
      <c r="O1468" s="1288">
        <v>5.4018441556067665E-3</v>
      </c>
      <c r="P1468" s="1301">
        <v>6.8246496566275469E-3</v>
      </c>
      <c r="Q1468" s="1290">
        <v>1.2760020400882942E-2</v>
      </c>
    </row>
    <row r="1469" spans="1:17" s="212" customFormat="1" ht="15.5" x14ac:dyDescent="0.35">
      <c r="A1469" s="198">
        <v>2039</v>
      </c>
      <c r="B1469" s="197" t="s">
        <v>5838</v>
      </c>
      <c r="C1469" s="197">
        <v>2030</v>
      </c>
      <c r="D1469" s="225" t="str">
        <f t="shared" si="15"/>
        <v>2039_2030</v>
      </c>
      <c r="E1469" s="1287">
        <v>5.1396437262276745E-2</v>
      </c>
      <c r="F1469" s="1306">
        <v>4.4672471779204619E-3</v>
      </c>
      <c r="G1469" s="1303">
        <v>0.13355519937461374</v>
      </c>
      <c r="H1469" s="1306">
        <v>2.3572878651930682E-2</v>
      </c>
      <c r="I1469" s="1303">
        <v>1.1405667335633781E-2</v>
      </c>
      <c r="J1469" s="1306">
        <v>5.1082469565472371E-4</v>
      </c>
      <c r="K1469" s="1303">
        <v>2.8351976655635732E-3</v>
      </c>
      <c r="L1469" s="1288">
        <v>2.0000016714516399E-3</v>
      </c>
      <c r="M1469" s="1305">
        <v>2.0000005736157084E-3</v>
      </c>
      <c r="N1469" s="1303">
        <v>2.335758422294773E-2</v>
      </c>
      <c r="O1469" s="1288">
        <v>5.2215457627984557E-3</v>
      </c>
      <c r="P1469" s="1301">
        <v>7.1631266243430908E-3</v>
      </c>
      <c r="Q1469" s="1290">
        <v>1.1921381000651919E-2</v>
      </c>
    </row>
    <row r="1470" spans="1:17" s="212" customFormat="1" ht="15.5" x14ac:dyDescent="0.35">
      <c r="A1470" s="198">
        <v>2039</v>
      </c>
      <c r="B1470" s="197" t="s">
        <v>5838</v>
      </c>
      <c r="C1470" s="197">
        <v>2031</v>
      </c>
      <c r="D1470" s="225" t="str">
        <f t="shared" si="15"/>
        <v>2039_2031</v>
      </c>
      <c r="E1470" s="1287">
        <v>4.9850538182089892E-2</v>
      </c>
      <c r="F1470" s="1306">
        <v>4.3216392602296247E-3</v>
      </c>
      <c r="G1470" s="1303">
        <v>0.12737297560036509</v>
      </c>
      <c r="H1470" s="1306">
        <v>2.2759203934016224E-2</v>
      </c>
      <c r="I1470" s="1303">
        <v>1.0583819476275258E-2</v>
      </c>
      <c r="J1470" s="1306">
        <v>5.0755488142312591E-4</v>
      </c>
      <c r="K1470" s="1303">
        <v>2.8233976163337476E-3</v>
      </c>
      <c r="L1470" s="1288">
        <v>2.0000016863312322E-3</v>
      </c>
      <c r="M1470" s="1305">
        <v>2.0000005736496144E-3</v>
      </c>
      <c r="N1470" s="1303">
        <v>2.3064529224536442E-2</v>
      </c>
      <c r="O1470" s="1288">
        <v>5.0419132121564993E-3</v>
      </c>
      <c r="P1470" s="1301">
        <v>7.6157266849400081E-3</v>
      </c>
      <c r="Q1470" s="1290">
        <v>1.1062372827989058E-2</v>
      </c>
    </row>
    <row r="1471" spans="1:17" s="212" customFormat="1" ht="15.5" x14ac:dyDescent="0.35">
      <c r="A1471" s="198">
        <v>2039</v>
      </c>
      <c r="B1471" s="197" t="s">
        <v>5838</v>
      </c>
      <c r="C1471" s="197">
        <v>2032</v>
      </c>
      <c r="D1471" s="225" t="str">
        <f t="shared" si="15"/>
        <v>2039_2032</v>
      </c>
      <c r="E1471" s="1287">
        <v>4.8123222324654769E-2</v>
      </c>
      <c r="F1471" s="1306">
        <v>4.1649442238236136E-3</v>
      </c>
      <c r="G1471" s="1303">
        <v>0.12065890008341983</v>
      </c>
      <c r="H1471" s="1306">
        <v>2.188357201542698E-2</v>
      </c>
      <c r="I1471" s="1303">
        <v>9.7082668884861337E-3</v>
      </c>
      <c r="J1471" s="1306">
        <v>5.0415099357447723E-4</v>
      </c>
      <c r="K1471" s="1303">
        <v>2.8089298667613792E-3</v>
      </c>
      <c r="L1471" s="1288">
        <v>2.0000017042256799E-3</v>
      </c>
      <c r="M1471" s="1305">
        <v>2.0000005736774116E-3</v>
      </c>
      <c r="N1471" s="1303">
        <v>2.2705337561199621E-2</v>
      </c>
      <c r="O1471" s="1288">
        <v>4.852042101705336E-3</v>
      </c>
      <c r="P1471" s="1301">
        <v>7.9908486164768418E-3</v>
      </c>
      <c r="Q1471" s="1290">
        <v>1.0147231637387162E-2</v>
      </c>
    </row>
    <row r="1472" spans="1:17" s="212" customFormat="1" ht="15.5" x14ac:dyDescent="0.35">
      <c r="A1472" s="198">
        <v>2039</v>
      </c>
      <c r="B1472" s="197" t="s">
        <v>5838</v>
      </c>
      <c r="C1472" s="197">
        <v>2033</v>
      </c>
      <c r="D1472" s="225" t="str">
        <f t="shared" si="15"/>
        <v>2039_2033</v>
      </c>
      <c r="E1472" s="1287">
        <v>4.6288797787978987E-2</v>
      </c>
      <c r="F1472" s="1306">
        <v>3.9978339731443118E-3</v>
      </c>
      <c r="G1472" s="1303">
        <v>0.11363360668628858</v>
      </c>
      <c r="H1472" s="1306">
        <v>2.0949175045260261E-2</v>
      </c>
      <c r="I1472" s="1303">
        <v>8.8004882310195008E-3</v>
      </c>
      <c r="J1472" s="1306">
        <v>5.0069358309565875E-4</v>
      </c>
      <c r="K1472" s="1303">
        <v>2.7930323041413787E-3</v>
      </c>
      <c r="L1472" s="1288">
        <v>2.0000017250125352E-3</v>
      </c>
      <c r="M1472" s="1305">
        <v>2.0000005737009613E-3</v>
      </c>
      <c r="N1472" s="1303">
        <v>2.2309191006401927E-2</v>
      </c>
      <c r="O1472" s="1288">
        <v>4.653202504956668E-3</v>
      </c>
      <c r="P1472" s="1301">
        <v>8.313815670245344E-3</v>
      </c>
      <c r="Q1472" s="1290">
        <v>9.1984072572380352E-3</v>
      </c>
    </row>
    <row r="1473" spans="1:17" s="212" customFormat="1" ht="15.5" x14ac:dyDescent="0.35">
      <c r="A1473" s="198">
        <v>2039</v>
      </c>
      <c r="B1473" s="197" t="s">
        <v>5838</v>
      </c>
      <c r="C1473" s="197">
        <v>2034</v>
      </c>
      <c r="D1473" s="225" t="str">
        <f t="shared" si="15"/>
        <v>2039_2034</v>
      </c>
      <c r="E1473" s="1287">
        <v>4.4244770072644074E-2</v>
      </c>
      <c r="F1473" s="1306">
        <v>3.8216705994872226E-3</v>
      </c>
      <c r="G1473" s="1303">
        <v>0.10606795355680199</v>
      </c>
      <c r="H1473" s="1306">
        <v>1.9964866562000406E-2</v>
      </c>
      <c r="I1473" s="1303">
        <v>7.8469423923362511E-3</v>
      </c>
      <c r="J1473" s="1306">
        <v>4.9708016154655327E-4</v>
      </c>
      <c r="K1473" s="1303">
        <v>2.7735926033419013E-3</v>
      </c>
      <c r="L1473" s="1288">
        <v>2.0000017502001697E-3</v>
      </c>
      <c r="M1473" s="1305">
        <v>2.0000005737200741E-3</v>
      </c>
      <c r="N1473" s="1303">
        <v>2.1824590756370776E-2</v>
      </c>
      <c r="O1473" s="1288">
        <v>4.4411975417825321E-3</v>
      </c>
      <c r="P1473" s="1301">
        <v>8.5743489750351402E-3</v>
      </c>
      <c r="Q1473" s="1290">
        <v>8.2017463070264748E-3</v>
      </c>
    </row>
    <row r="1474" spans="1:17" s="212" customFormat="1" ht="15.5" x14ac:dyDescent="0.35">
      <c r="A1474" s="198">
        <v>2039</v>
      </c>
      <c r="B1474" s="197" t="s">
        <v>5838</v>
      </c>
      <c r="C1474" s="197">
        <v>2035</v>
      </c>
      <c r="D1474" s="225" t="str">
        <f t="shared" si="15"/>
        <v>2039_2035</v>
      </c>
      <c r="E1474" s="1287">
        <v>4.216757300904609E-2</v>
      </c>
      <c r="F1474" s="1306">
        <v>3.6347745384887743E-3</v>
      </c>
      <c r="G1474" s="1303">
        <v>9.8433750850734983E-2</v>
      </c>
      <c r="H1474" s="1306">
        <v>1.8924885712126926E-2</v>
      </c>
      <c r="I1474" s="1303">
        <v>6.887335562292071E-3</v>
      </c>
      <c r="J1474" s="1306">
        <v>4.9411285634348354E-4</v>
      </c>
      <c r="K1474" s="1303">
        <v>2.7538467837658655E-3</v>
      </c>
      <c r="L1474" s="1288">
        <v>2.0000017758416322E-3</v>
      </c>
      <c r="M1474" s="1305">
        <v>2.0000005737391977E-3</v>
      </c>
      <c r="N1474" s="1303">
        <v>2.1328954333766376E-2</v>
      </c>
      <c r="O1474" s="1288">
        <v>4.2488988077825206E-3</v>
      </c>
      <c r="P1474" s="1301">
        <v>8.8528278776146777E-3</v>
      </c>
      <c r="Q1474" s="1290">
        <v>7.1987503143199922E-3</v>
      </c>
    </row>
    <row r="1475" spans="1:17" s="212" customFormat="1" ht="15.5" x14ac:dyDescent="0.35">
      <c r="A1475" s="198">
        <v>2039</v>
      </c>
      <c r="B1475" s="197" t="s">
        <v>5838</v>
      </c>
      <c r="C1475" s="197">
        <v>2036</v>
      </c>
      <c r="D1475" s="225" t="str">
        <f t="shared" si="15"/>
        <v>2039_2036</v>
      </c>
      <c r="E1475" s="1287">
        <v>4.1049257669438573E-2</v>
      </c>
      <c r="F1475" s="1306">
        <v>3.4364064681108395E-3</v>
      </c>
      <c r="G1475" s="1303">
        <v>9.3033279879316588E-2</v>
      </c>
      <c r="H1475" s="1306">
        <v>1.7810577278638922E-2</v>
      </c>
      <c r="I1475" s="1303">
        <v>6.0711593428214063E-3</v>
      </c>
      <c r="J1475" s="1306">
        <v>4.9457187854280921E-4</v>
      </c>
      <c r="K1475" s="1303">
        <v>2.7537185882045472E-3</v>
      </c>
      <c r="L1475" s="1288">
        <v>2.0000018052192558E-3</v>
      </c>
      <c r="M1475" s="1305">
        <v>2.0000005737375163E-3</v>
      </c>
      <c r="N1475" s="1303">
        <v>2.1307132455045754E-2</v>
      </c>
      <c r="O1475" s="1288">
        <v>4.1768051558827525E-3</v>
      </c>
      <c r="P1475" s="1301">
        <v>8.8510553733755892E-3</v>
      </c>
      <c r="Q1475" s="1290">
        <v>6.3456702279332047E-3</v>
      </c>
    </row>
    <row r="1476" spans="1:17" s="212" customFormat="1" ht="15.5" x14ac:dyDescent="0.35">
      <c r="A1476" s="198">
        <v>2039</v>
      </c>
      <c r="B1476" s="197" t="s">
        <v>5838</v>
      </c>
      <c r="C1476" s="197">
        <v>2037</v>
      </c>
      <c r="D1476" s="225" t="str">
        <f t="shared" si="15"/>
        <v>2039_2037</v>
      </c>
      <c r="E1476" s="1287">
        <v>3.9777588684168322E-2</v>
      </c>
      <c r="F1476" s="1306">
        <v>3.2351362624457145E-3</v>
      </c>
      <c r="G1476" s="1303">
        <v>8.7152312646915836E-2</v>
      </c>
      <c r="H1476" s="1306">
        <v>1.6673724859684186E-2</v>
      </c>
      <c r="I1476" s="1303">
        <v>5.2027122815894253E-3</v>
      </c>
      <c r="J1476" s="1306">
        <v>4.9510997695651751E-4</v>
      </c>
      <c r="K1476" s="1303">
        <v>2.751530339234645E-3</v>
      </c>
      <c r="L1476" s="1288">
        <v>2.0000018510205044E-3</v>
      </c>
      <c r="M1476" s="1305">
        <v>2.0000005737333001E-3</v>
      </c>
      <c r="N1476" s="1303">
        <v>2.1234601083291133E-2</v>
      </c>
      <c r="O1476" s="1288">
        <v>4.0926790501162437E-3</v>
      </c>
      <c r="P1476" s="1301">
        <v>8.8205776253595398E-3</v>
      </c>
      <c r="Q1476" s="1290">
        <v>5.4379558442690778E-3</v>
      </c>
    </row>
    <row r="1477" spans="1:17" s="212" customFormat="1" ht="15.5" x14ac:dyDescent="0.35">
      <c r="A1477" s="198">
        <v>2039</v>
      </c>
      <c r="B1477" s="197" t="s">
        <v>5838</v>
      </c>
      <c r="C1477" s="197">
        <v>2038</v>
      </c>
      <c r="D1477" s="225" t="str">
        <f t="shared" si="15"/>
        <v>2039_2038</v>
      </c>
      <c r="E1477" s="1287">
        <v>3.8497337371703876E-2</v>
      </c>
      <c r="F1477" s="1306">
        <v>3.0200941458070995E-3</v>
      </c>
      <c r="G1477" s="1303">
        <v>8.1131134052852077E-2</v>
      </c>
      <c r="H1477" s="1306">
        <v>1.547808512519885E-2</v>
      </c>
      <c r="I1477" s="1303">
        <v>4.3040044996842993E-3</v>
      </c>
      <c r="J1477" s="1306">
        <v>4.9533726009221241E-4</v>
      </c>
      <c r="K1477" s="1303">
        <v>2.7502553772774086E-3</v>
      </c>
      <c r="L1477" s="1288">
        <v>2.0000018892555814E-3</v>
      </c>
      <c r="M1477" s="1305">
        <v>2.0000005737253238E-3</v>
      </c>
      <c r="N1477" s="1303">
        <v>2.1182942603153662E-2</v>
      </c>
      <c r="O1477" s="1288">
        <v>3.9994580644846746E-3</v>
      </c>
      <c r="P1477" s="1301">
        <v>8.7880877505721877E-3</v>
      </c>
      <c r="Q1477" s="1290">
        <v>4.4986124844229132E-3</v>
      </c>
    </row>
    <row r="1478" spans="1:17" s="212" customFormat="1" ht="15.5" x14ac:dyDescent="0.35">
      <c r="A1478" s="198">
        <v>2039</v>
      </c>
      <c r="B1478" s="197" t="s">
        <v>5838</v>
      </c>
      <c r="C1478" s="197">
        <v>2039</v>
      </c>
      <c r="D1478" s="225" t="str">
        <f t="shared" si="15"/>
        <v>2039_2039</v>
      </c>
      <c r="E1478" s="1287">
        <v>3.6030310839530649E-2</v>
      </c>
      <c r="F1478" s="1306">
        <v>2.7820789106812647E-3</v>
      </c>
      <c r="G1478" s="1303">
        <v>7.2577504156017103E-2</v>
      </c>
      <c r="H1478" s="1306">
        <v>1.4125324464137147E-2</v>
      </c>
      <c r="I1478" s="1303">
        <v>3.2718561077252927E-3</v>
      </c>
      <c r="J1478" s="1306">
        <v>4.9220718589261341E-4</v>
      </c>
      <c r="K1478" s="1303">
        <v>2.724240526757315E-3</v>
      </c>
      <c r="L1478" s="1288">
        <v>2.0000019949121322E-3</v>
      </c>
      <c r="M1478" s="1305">
        <v>2.0000005736873069E-3</v>
      </c>
      <c r="N1478" s="1303">
        <v>2.0524220402340428E-2</v>
      </c>
      <c r="O1478" s="1288">
        <v>3.7248465135855486E-3</v>
      </c>
      <c r="P1478" s="1301">
        <v>8.2866881423258095E-3</v>
      </c>
      <c r="Q1478" s="1290">
        <v>3.4197949222701746E-3</v>
      </c>
    </row>
    <row r="1479" spans="1:17" s="212" customFormat="1" ht="15.5" x14ac:dyDescent="0.35">
      <c r="A1479" s="198">
        <v>2039</v>
      </c>
      <c r="B1479" s="197" t="s">
        <v>5838</v>
      </c>
      <c r="C1479" s="197">
        <v>2040</v>
      </c>
      <c r="D1479" s="225" t="str">
        <f t="shared" si="15"/>
        <v>2039_2040</v>
      </c>
      <c r="E1479" s="1291">
        <v>3.6030310839530649E-2</v>
      </c>
      <c r="F1479" s="1280">
        <v>2.7820789106812647E-3</v>
      </c>
      <c r="G1479" s="1271">
        <v>7.2577504156017103E-2</v>
      </c>
      <c r="H1479" s="1280">
        <v>1.4125324464137147E-2</v>
      </c>
      <c r="I1479" s="1271">
        <v>3.2718561077252927E-3</v>
      </c>
      <c r="J1479" s="1280">
        <v>4.9220718589261341E-4</v>
      </c>
      <c r="K1479" s="1271">
        <v>2.724240526757315E-3</v>
      </c>
      <c r="L1479" s="1257">
        <v>2.0000019949121322E-3</v>
      </c>
      <c r="M1479" s="1230">
        <v>2.0000005736873069E-3</v>
      </c>
      <c r="N1479" s="1271">
        <v>2.0524220402340428E-2</v>
      </c>
      <c r="O1479" s="1257">
        <v>3.7248465135855486E-3</v>
      </c>
      <c r="P1479" s="1237">
        <v>8.2866881423258095E-3</v>
      </c>
      <c r="Q1479" s="1292">
        <v>3.4197949222701746E-3</v>
      </c>
    </row>
    <row r="1480" spans="1:17" s="212" customFormat="1" ht="15.5" x14ac:dyDescent="0.35">
      <c r="A1480" s="198">
        <v>2040</v>
      </c>
      <c r="B1480" s="197" t="s">
        <v>5838</v>
      </c>
      <c r="C1480" s="197">
        <v>1971</v>
      </c>
      <c r="D1480" s="225" t="str">
        <f t="shared" si="15"/>
        <v>2040_1971</v>
      </c>
      <c r="E1480" s="1291">
        <v>0.371034727222951</v>
      </c>
      <c r="F1480" s="1280">
        <v>0.12677989929557962</v>
      </c>
      <c r="G1480" s="1271">
        <v>9.065880257520071</v>
      </c>
      <c r="H1480" s="1280">
        <v>0.98327284471478815</v>
      </c>
      <c r="I1480" s="1271">
        <v>5.3903239300873186E-2</v>
      </c>
      <c r="J1480" s="1280">
        <v>2.7203818078034262E-3</v>
      </c>
      <c r="K1480" s="1271">
        <v>2.9801218128673755E-3</v>
      </c>
      <c r="L1480" s="1257">
        <v>2.0000011039369987E-3</v>
      </c>
      <c r="M1480" s="1230">
        <v>2.0000011039369987E-3</v>
      </c>
      <c r="N1480" s="1271">
        <v>2.6832271270028702E-2</v>
      </c>
      <c r="O1480" s="1257">
        <v>1.0281517015885302E-2</v>
      </c>
      <c r="P1480" s="1237">
        <v>5.1407585079426511E-3</v>
      </c>
      <c r="Q1480" s="1292">
        <v>5.6340504589976866E-2</v>
      </c>
    </row>
    <row r="1481" spans="1:17" s="212" customFormat="1" ht="15.5" x14ac:dyDescent="0.35">
      <c r="A1481" s="198">
        <v>2040</v>
      </c>
      <c r="B1481" s="197" t="s">
        <v>5838</v>
      </c>
      <c r="C1481" s="197">
        <v>1972</v>
      </c>
      <c r="D1481" s="225" t="str">
        <f t="shared" ref="D1481:D1595" si="16">CONCATENATE(A1481,"_",C1481)</f>
        <v>2040_1972</v>
      </c>
      <c r="E1481" s="1291">
        <v>0.371034727222951</v>
      </c>
      <c r="F1481" s="1280">
        <v>0.12677989929557962</v>
      </c>
      <c r="G1481" s="1271">
        <v>9.065880257520071</v>
      </c>
      <c r="H1481" s="1280">
        <v>0.98327284471478815</v>
      </c>
      <c r="I1481" s="1271">
        <v>5.3903239300873186E-2</v>
      </c>
      <c r="J1481" s="1280">
        <v>2.7203818078034262E-3</v>
      </c>
      <c r="K1481" s="1271">
        <v>2.9801218128673755E-3</v>
      </c>
      <c r="L1481" s="1257">
        <v>2.0000011039369987E-3</v>
      </c>
      <c r="M1481" s="1230">
        <v>2.0000011039369987E-3</v>
      </c>
      <c r="N1481" s="1271">
        <v>2.6832271270028702E-2</v>
      </c>
      <c r="O1481" s="1257">
        <v>1.0281517015885302E-2</v>
      </c>
      <c r="P1481" s="1237">
        <v>5.1407585079426511E-3</v>
      </c>
      <c r="Q1481" s="1292">
        <v>5.6340504589976866E-2</v>
      </c>
    </row>
    <row r="1482" spans="1:17" s="212" customFormat="1" ht="15.5" x14ac:dyDescent="0.35">
      <c r="A1482" s="198">
        <v>2040</v>
      </c>
      <c r="B1482" s="197" t="s">
        <v>5838</v>
      </c>
      <c r="C1482" s="197">
        <v>1973</v>
      </c>
      <c r="D1482" s="225" t="str">
        <f t="shared" si="16"/>
        <v>2040_1973</v>
      </c>
      <c r="E1482" s="1291">
        <v>0.371034727222951</v>
      </c>
      <c r="F1482" s="1280">
        <v>0.12677989929557962</v>
      </c>
      <c r="G1482" s="1271">
        <v>9.065880257520071</v>
      </c>
      <c r="H1482" s="1280">
        <v>0.98327284471478815</v>
      </c>
      <c r="I1482" s="1271">
        <v>5.3903239300873186E-2</v>
      </c>
      <c r="J1482" s="1280">
        <v>2.7203818078034262E-3</v>
      </c>
      <c r="K1482" s="1271">
        <v>2.9801218128673755E-3</v>
      </c>
      <c r="L1482" s="1257">
        <v>2.0000011039369987E-3</v>
      </c>
      <c r="M1482" s="1230">
        <v>2.0000011039369987E-3</v>
      </c>
      <c r="N1482" s="1271">
        <v>2.6832271270028702E-2</v>
      </c>
      <c r="O1482" s="1257">
        <v>1.0281517015885302E-2</v>
      </c>
      <c r="P1482" s="1237">
        <v>5.1407585079426511E-3</v>
      </c>
      <c r="Q1482" s="1292">
        <v>5.6340504589976866E-2</v>
      </c>
    </row>
    <row r="1483" spans="1:17" s="212" customFormat="1" ht="15.5" x14ac:dyDescent="0.35">
      <c r="A1483" s="198">
        <v>2040</v>
      </c>
      <c r="B1483" s="197" t="s">
        <v>5838</v>
      </c>
      <c r="C1483" s="197">
        <v>1974</v>
      </c>
      <c r="D1483" s="225" t="str">
        <f t="shared" si="16"/>
        <v>2040_1974</v>
      </c>
      <c r="E1483" s="1291">
        <v>0.371034727222951</v>
      </c>
      <c r="F1483" s="1280">
        <v>0.12677989929557962</v>
      </c>
      <c r="G1483" s="1271">
        <v>9.065880257520071</v>
      </c>
      <c r="H1483" s="1280">
        <v>0.98327284471478815</v>
      </c>
      <c r="I1483" s="1271">
        <v>5.3903239300873186E-2</v>
      </c>
      <c r="J1483" s="1280">
        <v>2.7203818078034262E-3</v>
      </c>
      <c r="K1483" s="1271">
        <v>2.9801218128673755E-3</v>
      </c>
      <c r="L1483" s="1257">
        <v>2.0000011039369987E-3</v>
      </c>
      <c r="M1483" s="1230">
        <v>2.0000011039369987E-3</v>
      </c>
      <c r="N1483" s="1271">
        <v>2.6832271270028702E-2</v>
      </c>
      <c r="O1483" s="1257">
        <v>1.0281517015885302E-2</v>
      </c>
      <c r="P1483" s="1237">
        <v>5.1407585079426511E-3</v>
      </c>
      <c r="Q1483" s="1292">
        <v>5.6340504589976866E-2</v>
      </c>
    </row>
    <row r="1484" spans="1:17" s="212" customFormat="1" ht="15.5" x14ac:dyDescent="0.35">
      <c r="A1484" s="198">
        <v>2040</v>
      </c>
      <c r="B1484" s="197" t="s">
        <v>5838</v>
      </c>
      <c r="C1484" s="197">
        <v>1975</v>
      </c>
      <c r="D1484" s="225" t="str">
        <f t="shared" si="16"/>
        <v>2040_1975</v>
      </c>
      <c r="E1484" s="1291">
        <v>0.371034727222951</v>
      </c>
      <c r="F1484" s="1280">
        <v>0.12677989929557962</v>
      </c>
      <c r="G1484" s="1271">
        <v>9.065880257520071</v>
      </c>
      <c r="H1484" s="1280">
        <v>0.98327284471478815</v>
      </c>
      <c r="I1484" s="1271">
        <v>5.3903239300873186E-2</v>
      </c>
      <c r="J1484" s="1280">
        <v>2.7203818078034262E-3</v>
      </c>
      <c r="K1484" s="1271">
        <v>2.9801218128673755E-3</v>
      </c>
      <c r="L1484" s="1257">
        <v>2.0000011039369987E-3</v>
      </c>
      <c r="M1484" s="1230">
        <v>2.0000011039369987E-3</v>
      </c>
      <c r="N1484" s="1271">
        <v>2.6832271270028702E-2</v>
      </c>
      <c r="O1484" s="1257">
        <v>1.0281517015885302E-2</v>
      </c>
      <c r="P1484" s="1237">
        <v>5.1407585079426511E-3</v>
      </c>
      <c r="Q1484" s="1292">
        <v>5.6340504589976866E-2</v>
      </c>
    </row>
    <row r="1485" spans="1:17" s="212" customFormat="1" ht="15.5" x14ac:dyDescent="0.35">
      <c r="A1485" s="198">
        <v>2040</v>
      </c>
      <c r="B1485" s="197" t="s">
        <v>5838</v>
      </c>
      <c r="C1485" s="197">
        <v>1976</v>
      </c>
      <c r="D1485" s="225" t="str">
        <f t="shared" si="16"/>
        <v>2040_1976</v>
      </c>
      <c r="E1485" s="1291">
        <v>0.371034727222951</v>
      </c>
      <c r="F1485" s="1280">
        <v>0.12677989929557962</v>
      </c>
      <c r="G1485" s="1271">
        <v>9.065880257520071</v>
      </c>
      <c r="H1485" s="1280">
        <v>0.98327284471478815</v>
      </c>
      <c r="I1485" s="1271">
        <v>5.3903239300873186E-2</v>
      </c>
      <c r="J1485" s="1280">
        <v>2.7203818078034262E-3</v>
      </c>
      <c r="K1485" s="1271">
        <v>2.9801218128673755E-3</v>
      </c>
      <c r="L1485" s="1257">
        <v>2.0000011039369987E-3</v>
      </c>
      <c r="M1485" s="1230">
        <v>2.0000011039369987E-3</v>
      </c>
      <c r="N1485" s="1271">
        <v>2.6832271270028702E-2</v>
      </c>
      <c r="O1485" s="1257">
        <v>1.0281517015885302E-2</v>
      </c>
      <c r="P1485" s="1237">
        <v>5.1407585079426511E-3</v>
      </c>
      <c r="Q1485" s="1292">
        <v>5.6340504589976866E-2</v>
      </c>
    </row>
    <row r="1486" spans="1:17" s="212" customFormat="1" ht="15.5" x14ac:dyDescent="0.35">
      <c r="A1486" s="198">
        <v>2040</v>
      </c>
      <c r="B1486" s="197" t="s">
        <v>5838</v>
      </c>
      <c r="C1486" s="197">
        <v>1977</v>
      </c>
      <c r="D1486" s="225" t="str">
        <f t="shared" si="16"/>
        <v>2040_1977</v>
      </c>
      <c r="E1486" s="1291">
        <v>0.371034727222951</v>
      </c>
      <c r="F1486" s="1280">
        <v>0.12677989929557962</v>
      </c>
      <c r="G1486" s="1271">
        <v>9.065880257520071</v>
      </c>
      <c r="H1486" s="1280">
        <v>0.98327284471478815</v>
      </c>
      <c r="I1486" s="1271">
        <v>5.3903239300873186E-2</v>
      </c>
      <c r="J1486" s="1280">
        <v>2.7203818078034262E-3</v>
      </c>
      <c r="K1486" s="1271">
        <v>2.9801218128673755E-3</v>
      </c>
      <c r="L1486" s="1257">
        <v>2.0000011039369987E-3</v>
      </c>
      <c r="M1486" s="1230">
        <v>2.0000011039369987E-3</v>
      </c>
      <c r="N1486" s="1271">
        <v>2.6832271270028702E-2</v>
      </c>
      <c r="O1486" s="1257">
        <v>1.0281517015885302E-2</v>
      </c>
      <c r="P1486" s="1237">
        <v>5.1407585079426511E-3</v>
      </c>
      <c r="Q1486" s="1292">
        <v>5.6340504589976866E-2</v>
      </c>
    </row>
    <row r="1487" spans="1:17" s="212" customFormat="1" ht="15.5" x14ac:dyDescent="0.35">
      <c r="A1487" s="198">
        <v>2040</v>
      </c>
      <c r="B1487" s="197" t="s">
        <v>5838</v>
      </c>
      <c r="C1487" s="197">
        <v>1978</v>
      </c>
      <c r="D1487" s="225" t="str">
        <f t="shared" si="16"/>
        <v>2040_1978</v>
      </c>
      <c r="E1487" s="1291">
        <v>0.371034727222951</v>
      </c>
      <c r="F1487" s="1280">
        <v>0.12677989929557962</v>
      </c>
      <c r="G1487" s="1271">
        <v>9.065880257520071</v>
      </c>
      <c r="H1487" s="1280">
        <v>0.98327284471478815</v>
      </c>
      <c r="I1487" s="1271">
        <v>5.3903239300873186E-2</v>
      </c>
      <c r="J1487" s="1280">
        <v>2.7203818078034262E-3</v>
      </c>
      <c r="K1487" s="1271">
        <v>2.9801218128673755E-3</v>
      </c>
      <c r="L1487" s="1257">
        <v>2.0000011039369987E-3</v>
      </c>
      <c r="M1487" s="1230">
        <v>2.0000011039369987E-3</v>
      </c>
      <c r="N1487" s="1271">
        <v>2.6832271270028702E-2</v>
      </c>
      <c r="O1487" s="1257">
        <v>1.0281517015885302E-2</v>
      </c>
      <c r="P1487" s="1237">
        <v>5.1407585079426511E-3</v>
      </c>
      <c r="Q1487" s="1292">
        <v>5.6340504589976866E-2</v>
      </c>
    </row>
    <row r="1488" spans="1:17" s="212" customFormat="1" ht="15.5" x14ac:dyDescent="0.35">
      <c r="A1488" s="198">
        <v>2040</v>
      </c>
      <c r="B1488" s="197" t="s">
        <v>5838</v>
      </c>
      <c r="C1488" s="197">
        <v>1979</v>
      </c>
      <c r="D1488" s="225" t="str">
        <f t="shared" si="16"/>
        <v>2040_1979</v>
      </c>
      <c r="E1488" s="1291">
        <v>0.371034727222951</v>
      </c>
      <c r="F1488" s="1280">
        <v>0.12677989929557962</v>
      </c>
      <c r="G1488" s="1271">
        <v>9.065880257520071</v>
      </c>
      <c r="H1488" s="1280">
        <v>0.98327284471478815</v>
      </c>
      <c r="I1488" s="1271">
        <v>5.3903239300873186E-2</v>
      </c>
      <c r="J1488" s="1280">
        <v>2.7203818078034262E-3</v>
      </c>
      <c r="K1488" s="1271">
        <v>2.9801218128673755E-3</v>
      </c>
      <c r="L1488" s="1257">
        <v>2.0000011039369987E-3</v>
      </c>
      <c r="M1488" s="1230">
        <v>2.0000011039369987E-3</v>
      </c>
      <c r="N1488" s="1271">
        <v>2.6832271270028702E-2</v>
      </c>
      <c r="O1488" s="1257">
        <v>1.0281517015885302E-2</v>
      </c>
      <c r="P1488" s="1237">
        <v>5.1407585079426511E-3</v>
      </c>
      <c r="Q1488" s="1292">
        <v>5.6340504589976866E-2</v>
      </c>
    </row>
    <row r="1489" spans="1:17" s="212" customFormat="1" ht="15.5" x14ac:dyDescent="0.35">
      <c r="A1489" s="198">
        <v>2040</v>
      </c>
      <c r="B1489" s="197" t="s">
        <v>5838</v>
      </c>
      <c r="C1489" s="197">
        <v>1980</v>
      </c>
      <c r="D1489" s="225" t="str">
        <f t="shared" si="16"/>
        <v>2040_1980</v>
      </c>
      <c r="E1489" s="1291">
        <v>0.371034727222951</v>
      </c>
      <c r="F1489" s="1280">
        <v>0.12677989929557962</v>
      </c>
      <c r="G1489" s="1271">
        <v>9.065880257520071</v>
      </c>
      <c r="H1489" s="1280">
        <v>0.98327284471478815</v>
      </c>
      <c r="I1489" s="1271">
        <v>5.3903239300873186E-2</v>
      </c>
      <c r="J1489" s="1280">
        <v>2.7203818078034262E-3</v>
      </c>
      <c r="K1489" s="1271">
        <v>2.9801218128673755E-3</v>
      </c>
      <c r="L1489" s="1257">
        <v>2.0000011039369987E-3</v>
      </c>
      <c r="M1489" s="1230">
        <v>2.0000011039369987E-3</v>
      </c>
      <c r="N1489" s="1271">
        <v>2.6832271270028702E-2</v>
      </c>
      <c r="O1489" s="1257">
        <v>1.0281517015885302E-2</v>
      </c>
      <c r="P1489" s="1237">
        <v>5.1407585079426511E-3</v>
      </c>
      <c r="Q1489" s="1292">
        <v>5.6340504589976866E-2</v>
      </c>
    </row>
    <row r="1490" spans="1:17" s="212" customFormat="1" ht="15.5" x14ac:dyDescent="0.35">
      <c r="A1490" s="198">
        <v>2040</v>
      </c>
      <c r="B1490" s="197" t="s">
        <v>5838</v>
      </c>
      <c r="C1490" s="197">
        <v>1981</v>
      </c>
      <c r="D1490" s="225" t="str">
        <f t="shared" si="16"/>
        <v>2040_1981</v>
      </c>
      <c r="E1490" s="1291">
        <v>0.371034727222951</v>
      </c>
      <c r="F1490" s="1280">
        <v>0.12677989929557962</v>
      </c>
      <c r="G1490" s="1271">
        <v>9.065880257520071</v>
      </c>
      <c r="H1490" s="1280">
        <v>0.98327284471478815</v>
      </c>
      <c r="I1490" s="1271">
        <v>5.3903239300873186E-2</v>
      </c>
      <c r="J1490" s="1280">
        <v>2.7203818078034262E-3</v>
      </c>
      <c r="K1490" s="1271">
        <v>2.9801218128673755E-3</v>
      </c>
      <c r="L1490" s="1257">
        <v>2.0000011039369987E-3</v>
      </c>
      <c r="M1490" s="1230">
        <v>2.0000011039369987E-3</v>
      </c>
      <c r="N1490" s="1271">
        <v>2.6832271270028702E-2</v>
      </c>
      <c r="O1490" s="1257">
        <v>1.0281517015885302E-2</v>
      </c>
      <c r="P1490" s="1237">
        <v>5.1407585079426511E-3</v>
      </c>
      <c r="Q1490" s="1292">
        <v>5.6340504589976866E-2</v>
      </c>
    </row>
    <row r="1491" spans="1:17" s="212" customFormat="1" ht="15.5" x14ac:dyDescent="0.35">
      <c r="A1491" s="198">
        <v>2040</v>
      </c>
      <c r="B1491" s="197" t="s">
        <v>5838</v>
      </c>
      <c r="C1491" s="197">
        <v>1982</v>
      </c>
      <c r="D1491" s="225" t="str">
        <f t="shared" si="16"/>
        <v>2040_1982</v>
      </c>
      <c r="E1491" s="1291">
        <v>0.371034727222951</v>
      </c>
      <c r="F1491" s="1280">
        <v>0.12677989929557962</v>
      </c>
      <c r="G1491" s="1271">
        <v>9.065880257520071</v>
      </c>
      <c r="H1491" s="1280">
        <v>0.98327284471478815</v>
      </c>
      <c r="I1491" s="1271">
        <v>5.3903239300873186E-2</v>
      </c>
      <c r="J1491" s="1280">
        <v>2.7203818078034262E-3</v>
      </c>
      <c r="K1491" s="1271">
        <v>2.9801218128673755E-3</v>
      </c>
      <c r="L1491" s="1257">
        <v>2.0000011039369987E-3</v>
      </c>
      <c r="M1491" s="1230">
        <v>2.0000011039369987E-3</v>
      </c>
      <c r="N1491" s="1271">
        <v>2.6832271270028702E-2</v>
      </c>
      <c r="O1491" s="1257">
        <v>1.0281517015885302E-2</v>
      </c>
      <c r="P1491" s="1237">
        <v>5.1407585079426511E-3</v>
      </c>
      <c r="Q1491" s="1292">
        <v>5.6340504589976866E-2</v>
      </c>
    </row>
    <row r="1492" spans="1:17" s="212" customFormat="1" ht="15.5" x14ac:dyDescent="0.35">
      <c r="A1492" s="198">
        <v>2040</v>
      </c>
      <c r="B1492" s="197" t="s">
        <v>5838</v>
      </c>
      <c r="C1492" s="197">
        <v>1983</v>
      </c>
      <c r="D1492" s="225" t="str">
        <f t="shared" si="16"/>
        <v>2040_1983</v>
      </c>
      <c r="E1492" s="1291">
        <v>0.371034727222951</v>
      </c>
      <c r="F1492" s="1280">
        <v>0.12677989929557962</v>
      </c>
      <c r="G1492" s="1271">
        <v>9.065880257520071</v>
      </c>
      <c r="H1492" s="1280">
        <v>0.98327284471478815</v>
      </c>
      <c r="I1492" s="1271">
        <v>5.3903239300873186E-2</v>
      </c>
      <c r="J1492" s="1280">
        <v>2.7203818078034262E-3</v>
      </c>
      <c r="K1492" s="1271">
        <v>2.9801218128673755E-3</v>
      </c>
      <c r="L1492" s="1257">
        <v>2.0000011039369987E-3</v>
      </c>
      <c r="M1492" s="1230">
        <v>2.0000011039369987E-3</v>
      </c>
      <c r="N1492" s="1271">
        <v>2.6832271270028702E-2</v>
      </c>
      <c r="O1492" s="1257">
        <v>1.0281517015885302E-2</v>
      </c>
      <c r="P1492" s="1237">
        <v>5.1407585079426511E-3</v>
      </c>
      <c r="Q1492" s="1292">
        <v>5.6340504589976866E-2</v>
      </c>
    </row>
    <row r="1493" spans="1:17" s="212" customFormat="1" ht="15.5" x14ac:dyDescent="0.35">
      <c r="A1493" s="198">
        <v>2040</v>
      </c>
      <c r="B1493" s="197" t="s">
        <v>5838</v>
      </c>
      <c r="C1493" s="197">
        <v>1984</v>
      </c>
      <c r="D1493" s="225" t="str">
        <f t="shared" si="16"/>
        <v>2040_1984</v>
      </c>
      <c r="E1493" s="1291">
        <v>0.371034727222951</v>
      </c>
      <c r="F1493" s="1280">
        <v>0.12677989929557962</v>
      </c>
      <c r="G1493" s="1271">
        <v>9.065880257520071</v>
      </c>
      <c r="H1493" s="1280">
        <v>0.98327284471478815</v>
      </c>
      <c r="I1493" s="1271">
        <v>5.3903239300873186E-2</v>
      </c>
      <c r="J1493" s="1280">
        <v>2.7203818078034262E-3</v>
      </c>
      <c r="K1493" s="1271">
        <v>2.9801218128673755E-3</v>
      </c>
      <c r="L1493" s="1257">
        <v>2.0000011039369987E-3</v>
      </c>
      <c r="M1493" s="1230">
        <v>2.0000011039369987E-3</v>
      </c>
      <c r="N1493" s="1271">
        <v>2.6832271270028702E-2</v>
      </c>
      <c r="O1493" s="1257">
        <v>1.0281517015885302E-2</v>
      </c>
      <c r="P1493" s="1237">
        <v>5.1407585079426511E-3</v>
      </c>
      <c r="Q1493" s="1292">
        <v>5.6340504589976866E-2</v>
      </c>
    </row>
    <row r="1494" spans="1:17" s="212" customFormat="1" ht="15.5" x14ac:dyDescent="0.35">
      <c r="A1494" s="198">
        <v>2040</v>
      </c>
      <c r="B1494" s="197" t="s">
        <v>5838</v>
      </c>
      <c r="C1494" s="197">
        <v>1985</v>
      </c>
      <c r="D1494" s="225" t="str">
        <f t="shared" si="16"/>
        <v>2040_1985</v>
      </c>
      <c r="E1494" s="1291">
        <v>0.371034727222951</v>
      </c>
      <c r="F1494" s="1280">
        <v>0.12677989929557962</v>
      </c>
      <c r="G1494" s="1271">
        <v>9.065880257520071</v>
      </c>
      <c r="H1494" s="1280">
        <v>0.98327284471478815</v>
      </c>
      <c r="I1494" s="1271">
        <v>5.3903239300873186E-2</v>
      </c>
      <c r="J1494" s="1280">
        <v>2.7203818078034262E-3</v>
      </c>
      <c r="K1494" s="1271">
        <v>2.9801218128673755E-3</v>
      </c>
      <c r="L1494" s="1257">
        <v>2.0000011039369987E-3</v>
      </c>
      <c r="M1494" s="1230">
        <v>2.0000011039369987E-3</v>
      </c>
      <c r="N1494" s="1271">
        <v>2.6832271270028702E-2</v>
      </c>
      <c r="O1494" s="1257">
        <v>1.0281517015885302E-2</v>
      </c>
      <c r="P1494" s="1237">
        <v>5.1407585079426511E-3</v>
      </c>
      <c r="Q1494" s="1292">
        <v>5.6340504589976866E-2</v>
      </c>
    </row>
    <row r="1495" spans="1:17" s="212" customFormat="1" ht="15.5" x14ac:dyDescent="0.35">
      <c r="A1495" s="198">
        <v>2040</v>
      </c>
      <c r="B1495" s="197" t="s">
        <v>5838</v>
      </c>
      <c r="C1495" s="197">
        <v>1986</v>
      </c>
      <c r="D1495" s="225" t="str">
        <f t="shared" si="16"/>
        <v>2040_1986</v>
      </c>
      <c r="E1495" s="1291">
        <v>0.371034727222951</v>
      </c>
      <c r="F1495" s="1280">
        <v>0.12677989929557962</v>
      </c>
      <c r="G1495" s="1271">
        <v>9.065880257520071</v>
      </c>
      <c r="H1495" s="1280">
        <v>0.98327284471478815</v>
      </c>
      <c r="I1495" s="1271">
        <v>5.3903239300873186E-2</v>
      </c>
      <c r="J1495" s="1280">
        <v>2.7203818078034262E-3</v>
      </c>
      <c r="K1495" s="1271">
        <v>2.9801218128673755E-3</v>
      </c>
      <c r="L1495" s="1257">
        <v>2.0000011039369987E-3</v>
      </c>
      <c r="M1495" s="1230">
        <v>2.0000011039369987E-3</v>
      </c>
      <c r="N1495" s="1271">
        <v>2.6832271270028702E-2</v>
      </c>
      <c r="O1495" s="1257">
        <v>1.0281517015885302E-2</v>
      </c>
      <c r="P1495" s="1237">
        <v>5.1407585079426511E-3</v>
      </c>
      <c r="Q1495" s="1292">
        <v>5.6340504589976866E-2</v>
      </c>
    </row>
    <row r="1496" spans="1:17" s="212" customFormat="1" ht="15.5" x14ac:dyDescent="0.35">
      <c r="A1496" s="198">
        <v>2040</v>
      </c>
      <c r="B1496" s="197" t="s">
        <v>5838</v>
      </c>
      <c r="C1496" s="197">
        <v>1987</v>
      </c>
      <c r="D1496" s="225" t="str">
        <f t="shared" si="16"/>
        <v>2040_1987</v>
      </c>
      <c r="E1496" s="1291">
        <v>0.371034727222951</v>
      </c>
      <c r="F1496" s="1280">
        <v>0.12677989929557962</v>
      </c>
      <c r="G1496" s="1271">
        <v>9.065880257520071</v>
      </c>
      <c r="H1496" s="1280">
        <v>0.98327284471478815</v>
      </c>
      <c r="I1496" s="1271">
        <v>5.3903239300873186E-2</v>
      </c>
      <c r="J1496" s="1280">
        <v>2.7203818078034262E-3</v>
      </c>
      <c r="K1496" s="1271">
        <v>2.9801218128673755E-3</v>
      </c>
      <c r="L1496" s="1257">
        <v>2.0000011039369987E-3</v>
      </c>
      <c r="M1496" s="1230">
        <v>2.0000011039369987E-3</v>
      </c>
      <c r="N1496" s="1271">
        <v>2.6832271270028702E-2</v>
      </c>
      <c r="O1496" s="1257">
        <v>1.0281517015885302E-2</v>
      </c>
      <c r="P1496" s="1237">
        <v>5.1407585079426511E-3</v>
      </c>
      <c r="Q1496" s="1292">
        <v>5.6340504589976866E-2</v>
      </c>
    </row>
    <row r="1497" spans="1:17" s="212" customFormat="1" ht="15.5" x14ac:dyDescent="0.35">
      <c r="A1497" s="198">
        <v>2040</v>
      </c>
      <c r="B1497" s="197" t="s">
        <v>5838</v>
      </c>
      <c r="C1497" s="197">
        <v>1988</v>
      </c>
      <c r="D1497" s="225" t="str">
        <f t="shared" si="16"/>
        <v>2040_1988</v>
      </c>
      <c r="E1497" s="1291">
        <v>0.371034727222951</v>
      </c>
      <c r="F1497" s="1280">
        <v>0.12677989929557962</v>
      </c>
      <c r="G1497" s="1271">
        <v>9.065880257520071</v>
      </c>
      <c r="H1497" s="1280">
        <v>0.98327284471478815</v>
      </c>
      <c r="I1497" s="1271">
        <v>5.3903239300873186E-2</v>
      </c>
      <c r="J1497" s="1280">
        <v>2.7203818078034262E-3</v>
      </c>
      <c r="K1497" s="1271">
        <v>2.9801218128673755E-3</v>
      </c>
      <c r="L1497" s="1257">
        <v>2.0000011039369987E-3</v>
      </c>
      <c r="M1497" s="1230">
        <v>2.0000011039369987E-3</v>
      </c>
      <c r="N1497" s="1271">
        <v>2.6832271270028702E-2</v>
      </c>
      <c r="O1497" s="1257">
        <v>1.0281517015885302E-2</v>
      </c>
      <c r="P1497" s="1237">
        <v>5.1407585079426511E-3</v>
      </c>
      <c r="Q1497" s="1292">
        <v>5.6340504589976866E-2</v>
      </c>
    </row>
    <row r="1498" spans="1:17" s="212" customFormat="1" ht="15.5" x14ac:dyDescent="0.35">
      <c r="A1498" s="198">
        <v>2040</v>
      </c>
      <c r="B1498" s="197" t="s">
        <v>5838</v>
      </c>
      <c r="C1498" s="197">
        <v>1989</v>
      </c>
      <c r="D1498" s="225" t="str">
        <f t="shared" si="16"/>
        <v>2040_1989</v>
      </c>
      <c r="E1498" s="1291">
        <v>0.371034727222951</v>
      </c>
      <c r="F1498" s="1280">
        <v>0.12677989929557962</v>
      </c>
      <c r="G1498" s="1271">
        <v>9.065880257520071</v>
      </c>
      <c r="H1498" s="1280">
        <v>0.98327284471478815</v>
      </c>
      <c r="I1498" s="1271">
        <v>5.3903239300873186E-2</v>
      </c>
      <c r="J1498" s="1280">
        <v>2.7203818078034262E-3</v>
      </c>
      <c r="K1498" s="1271">
        <v>2.9801218128673755E-3</v>
      </c>
      <c r="L1498" s="1257">
        <v>2.0000011039369987E-3</v>
      </c>
      <c r="M1498" s="1230">
        <v>2.0000011039369987E-3</v>
      </c>
      <c r="N1498" s="1271">
        <v>2.6832271270028702E-2</v>
      </c>
      <c r="O1498" s="1257">
        <v>1.0281517015885302E-2</v>
      </c>
      <c r="P1498" s="1237">
        <v>5.1407585079426511E-3</v>
      </c>
      <c r="Q1498" s="1292">
        <v>5.6340504589976866E-2</v>
      </c>
    </row>
    <row r="1499" spans="1:17" s="212" customFormat="1" ht="15.5" x14ac:dyDescent="0.35">
      <c r="A1499" s="198">
        <v>2040</v>
      </c>
      <c r="B1499" s="197" t="s">
        <v>5838</v>
      </c>
      <c r="C1499" s="197">
        <v>1990</v>
      </c>
      <c r="D1499" s="225" t="str">
        <f t="shared" si="16"/>
        <v>2040_1990</v>
      </c>
      <c r="E1499" s="1291">
        <v>0.371034727222951</v>
      </c>
      <c r="F1499" s="1280">
        <v>0.12677989929557962</v>
      </c>
      <c r="G1499" s="1271">
        <v>9.065880257520071</v>
      </c>
      <c r="H1499" s="1280">
        <v>0.98327284471478815</v>
      </c>
      <c r="I1499" s="1271">
        <v>5.3903239300873186E-2</v>
      </c>
      <c r="J1499" s="1280">
        <v>2.7203818078034262E-3</v>
      </c>
      <c r="K1499" s="1271">
        <v>2.9801218128673755E-3</v>
      </c>
      <c r="L1499" s="1257">
        <v>2.0000011039369987E-3</v>
      </c>
      <c r="M1499" s="1230">
        <v>2.0000011039369987E-3</v>
      </c>
      <c r="N1499" s="1271">
        <v>2.6832271270028702E-2</v>
      </c>
      <c r="O1499" s="1257">
        <v>1.0281517015885302E-2</v>
      </c>
      <c r="P1499" s="1237">
        <v>5.1407585079426511E-3</v>
      </c>
      <c r="Q1499" s="1292">
        <v>5.6340504589976866E-2</v>
      </c>
    </row>
    <row r="1500" spans="1:17" s="212" customFormat="1" ht="15.5" x14ac:dyDescent="0.35">
      <c r="A1500" s="198">
        <v>2040</v>
      </c>
      <c r="B1500" s="197" t="s">
        <v>5838</v>
      </c>
      <c r="C1500" s="197">
        <v>1991</v>
      </c>
      <c r="D1500" s="225" t="str">
        <f t="shared" si="16"/>
        <v>2040_1991</v>
      </c>
      <c r="E1500" s="1291">
        <v>0.371034727222951</v>
      </c>
      <c r="F1500" s="1280">
        <v>0.12677989929557962</v>
      </c>
      <c r="G1500" s="1271">
        <v>9.065880257520071</v>
      </c>
      <c r="H1500" s="1280">
        <v>0.98327284471478815</v>
      </c>
      <c r="I1500" s="1271">
        <v>5.3903239300873186E-2</v>
      </c>
      <c r="J1500" s="1280">
        <v>2.7203818078034262E-3</v>
      </c>
      <c r="K1500" s="1271">
        <v>2.9801218128673755E-3</v>
      </c>
      <c r="L1500" s="1257">
        <v>2.0000011039369987E-3</v>
      </c>
      <c r="M1500" s="1230">
        <v>2.0000011039369987E-3</v>
      </c>
      <c r="N1500" s="1271">
        <v>2.6832271270028702E-2</v>
      </c>
      <c r="O1500" s="1257">
        <v>1.0281517015885302E-2</v>
      </c>
      <c r="P1500" s="1237">
        <v>5.1407585079426511E-3</v>
      </c>
      <c r="Q1500" s="1292">
        <v>5.6340504589976866E-2</v>
      </c>
    </row>
    <row r="1501" spans="1:17" s="212" customFormat="1" ht="15.5" x14ac:dyDescent="0.35">
      <c r="A1501" s="198">
        <v>2040</v>
      </c>
      <c r="B1501" s="197" t="s">
        <v>5838</v>
      </c>
      <c r="C1501" s="197">
        <v>1992</v>
      </c>
      <c r="D1501" s="225" t="str">
        <f t="shared" si="16"/>
        <v>2040_1992</v>
      </c>
      <c r="E1501" s="1291">
        <v>0.371034727222951</v>
      </c>
      <c r="F1501" s="1280">
        <v>0.12677989929557962</v>
      </c>
      <c r="G1501" s="1271">
        <v>9.065880257520071</v>
      </c>
      <c r="H1501" s="1280">
        <v>0.98327284471478815</v>
      </c>
      <c r="I1501" s="1271">
        <v>5.3903239300873186E-2</v>
      </c>
      <c r="J1501" s="1280">
        <v>2.7203818078034262E-3</v>
      </c>
      <c r="K1501" s="1271">
        <v>2.9801218128673755E-3</v>
      </c>
      <c r="L1501" s="1257">
        <v>2.0000011039369987E-3</v>
      </c>
      <c r="M1501" s="1230">
        <v>2.0000011039369987E-3</v>
      </c>
      <c r="N1501" s="1271">
        <v>2.6832271270028702E-2</v>
      </c>
      <c r="O1501" s="1257">
        <v>1.0281517015885302E-2</v>
      </c>
      <c r="P1501" s="1237">
        <v>5.1407585079426511E-3</v>
      </c>
      <c r="Q1501" s="1292">
        <v>5.6340504589976866E-2</v>
      </c>
    </row>
    <row r="1502" spans="1:17" s="212" customFormat="1" ht="15.5" x14ac:dyDescent="0.35">
      <c r="A1502" s="198">
        <v>2040</v>
      </c>
      <c r="B1502" s="197" t="s">
        <v>5838</v>
      </c>
      <c r="C1502" s="197">
        <v>1993</v>
      </c>
      <c r="D1502" s="225" t="str">
        <f t="shared" si="16"/>
        <v>2040_1993</v>
      </c>
      <c r="E1502" s="1291">
        <v>0.371034727222951</v>
      </c>
      <c r="F1502" s="1280">
        <v>0.12677989929557962</v>
      </c>
      <c r="G1502" s="1271">
        <v>9.065880257520071</v>
      </c>
      <c r="H1502" s="1280">
        <v>0.98327284471478815</v>
      </c>
      <c r="I1502" s="1271">
        <v>5.3903239300873186E-2</v>
      </c>
      <c r="J1502" s="1280">
        <v>2.7203818078034262E-3</v>
      </c>
      <c r="K1502" s="1271">
        <v>2.9801218128673755E-3</v>
      </c>
      <c r="L1502" s="1257">
        <v>2.0000011039369987E-3</v>
      </c>
      <c r="M1502" s="1230">
        <v>2.0000011039369987E-3</v>
      </c>
      <c r="N1502" s="1271">
        <v>2.6832271270028702E-2</v>
      </c>
      <c r="O1502" s="1257">
        <v>1.0281517015885302E-2</v>
      </c>
      <c r="P1502" s="1237">
        <v>5.1407585079426511E-3</v>
      </c>
      <c r="Q1502" s="1292">
        <v>5.6340504589976866E-2</v>
      </c>
    </row>
    <row r="1503" spans="1:17" s="212" customFormat="1" ht="15.5" x14ac:dyDescent="0.35">
      <c r="A1503" s="198">
        <v>2040</v>
      </c>
      <c r="B1503" s="197" t="s">
        <v>5838</v>
      </c>
      <c r="C1503" s="197">
        <v>1994</v>
      </c>
      <c r="D1503" s="225" t="str">
        <f t="shared" si="16"/>
        <v>2040_1994</v>
      </c>
      <c r="E1503" s="1291">
        <v>0.371034727222951</v>
      </c>
      <c r="F1503" s="1280">
        <v>0.12677989929557962</v>
      </c>
      <c r="G1503" s="1271">
        <v>9.065880257520071</v>
      </c>
      <c r="H1503" s="1280">
        <v>0.98327284471478815</v>
      </c>
      <c r="I1503" s="1271">
        <v>5.3903239300873186E-2</v>
      </c>
      <c r="J1503" s="1280">
        <v>2.7203818078034262E-3</v>
      </c>
      <c r="K1503" s="1271">
        <v>2.9801218128673755E-3</v>
      </c>
      <c r="L1503" s="1257">
        <v>2.0000011039369987E-3</v>
      </c>
      <c r="M1503" s="1230">
        <v>2.0000011039369987E-3</v>
      </c>
      <c r="N1503" s="1271">
        <v>2.6832271270028702E-2</v>
      </c>
      <c r="O1503" s="1257">
        <v>1.0281517015885302E-2</v>
      </c>
      <c r="P1503" s="1237">
        <v>5.1407585079426511E-3</v>
      </c>
      <c r="Q1503" s="1292">
        <v>5.6340504589976866E-2</v>
      </c>
    </row>
    <row r="1504" spans="1:17" s="212" customFormat="1" ht="15.5" x14ac:dyDescent="0.35">
      <c r="A1504" s="198">
        <v>2040</v>
      </c>
      <c r="B1504" s="197" t="s">
        <v>5838</v>
      </c>
      <c r="C1504" s="197">
        <v>1995</v>
      </c>
      <c r="D1504" s="225" t="str">
        <f t="shared" si="16"/>
        <v>2040_1995</v>
      </c>
      <c r="E1504" s="1291">
        <v>0.371034727222951</v>
      </c>
      <c r="F1504" s="1280">
        <v>0.12677989929557962</v>
      </c>
      <c r="G1504" s="1271">
        <v>9.065880257520071</v>
      </c>
      <c r="H1504" s="1280">
        <v>0.98327284471478815</v>
      </c>
      <c r="I1504" s="1271">
        <v>5.3903239300873186E-2</v>
      </c>
      <c r="J1504" s="1280">
        <v>2.7203818078034262E-3</v>
      </c>
      <c r="K1504" s="1271">
        <v>2.9801218128673755E-3</v>
      </c>
      <c r="L1504" s="1257">
        <v>2.0000011039369987E-3</v>
      </c>
      <c r="M1504" s="1230">
        <v>2.0000011039369987E-3</v>
      </c>
      <c r="N1504" s="1271">
        <v>2.6832271270028702E-2</v>
      </c>
      <c r="O1504" s="1257">
        <v>1.0281517015885302E-2</v>
      </c>
      <c r="P1504" s="1237">
        <v>5.1407585079426511E-3</v>
      </c>
      <c r="Q1504" s="1292">
        <v>5.6340504589976866E-2</v>
      </c>
    </row>
    <row r="1505" spans="1:17" s="212" customFormat="1" ht="15.5" x14ac:dyDescent="0.35">
      <c r="A1505" s="198">
        <v>2040</v>
      </c>
      <c r="B1505" s="197" t="s">
        <v>5838</v>
      </c>
      <c r="C1505" s="197">
        <v>1996</v>
      </c>
      <c r="D1505" s="225" t="str">
        <f t="shared" si="16"/>
        <v>2040_1996</v>
      </c>
      <c r="E1505" s="1287">
        <v>0.371034727222951</v>
      </c>
      <c r="F1505" s="1306">
        <v>0.12677989929557962</v>
      </c>
      <c r="G1505" s="1303">
        <v>9.065880257520071</v>
      </c>
      <c r="H1505" s="1306">
        <v>0.98327284471478815</v>
      </c>
      <c r="I1505" s="1303">
        <v>5.3903239300873186E-2</v>
      </c>
      <c r="J1505" s="1306">
        <v>2.7203818078034262E-3</v>
      </c>
      <c r="K1505" s="1303">
        <v>2.9801218128673755E-3</v>
      </c>
      <c r="L1505" s="1288">
        <v>2.0000011039369987E-3</v>
      </c>
      <c r="M1505" s="1230">
        <v>2.0000011039369987E-3</v>
      </c>
      <c r="N1505" s="1303">
        <v>2.6832271270028702E-2</v>
      </c>
      <c r="O1505" s="1288">
        <v>1.0281517015885302E-2</v>
      </c>
      <c r="P1505" s="1237">
        <v>5.1407585079426511E-3</v>
      </c>
      <c r="Q1505" s="1290">
        <v>5.6340504589976866E-2</v>
      </c>
    </row>
    <row r="1506" spans="1:17" s="212" customFormat="1" ht="15.5" x14ac:dyDescent="0.35">
      <c r="A1506" s="198">
        <v>2040</v>
      </c>
      <c r="B1506" s="197" t="s">
        <v>5838</v>
      </c>
      <c r="C1506" s="197">
        <v>1997</v>
      </c>
      <c r="D1506" s="225" t="str">
        <f t="shared" si="16"/>
        <v>2040_1997</v>
      </c>
      <c r="E1506" s="1287">
        <v>0.37606421172829857</v>
      </c>
      <c r="F1506" s="1306">
        <v>0.12697680817274487</v>
      </c>
      <c r="G1506" s="1303">
        <v>9.1482644408952307</v>
      </c>
      <c r="H1506" s="1306">
        <v>0.98723933423823118</v>
      </c>
      <c r="I1506" s="1303">
        <v>5.4089001973764608E-2</v>
      </c>
      <c r="J1506" s="1306">
        <v>2.7195206117834963E-3</v>
      </c>
      <c r="K1506" s="1303">
        <v>2.9938223449398472E-3</v>
      </c>
      <c r="L1506" s="1288">
        <v>2.0000010883664916E-3</v>
      </c>
      <c r="M1506" s="1230">
        <v>2.0000010883664916E-3</v>
      </c>
      <c r="N1506" s="1303">
        <v>2.7155488054091202E-2</v>
      </c>
      <c r="O1506" s="1288">
        <v>1.0168761937525734E-2</v>
      </c>
      <c r="P1506" s="1237">
        <v>5.0843809687628671E-3</v>
      </c>
      <c r="Q1506" s="1290">
        <v>5.6534666626626678E-2</v>
      </c>
    </row>
    <row r="1507" spans="1:17" s="212" customFormat="1" ht="15.5" x14ac:dyDescent="0.35">
      <c r="A1507" s="198">
        <v>2040</v>
      </c>
      <c r="B1507" s="197" t="s">
        <v>5838</v>
      </c>
      <c r="C1507" s="197">
        <v>1998</v>
      </c>
      <c r="D1507" s="225" t="str">
        <f t="shared" si="16"/>
        <v>2040_1998</v>
      </c>
      <c r="E1507" s="1287">
        <v>0.37522691289308646</v>
      </c>
      <c r="F1507" s="1306">
        <v>0.13027981028500643</v>
      </c>
      <c r="G1507" s="1303">
        <v>9.1504615839931827</v>
      </c>
      <c r="H1507" s="1306">
        <v>1.0106505515186981</v>
      </c>
      <c r="I1507" s="1303">
        <v>5.3991971745419087E-2</v>
      </c>
      <c r="J1507" s="1306">
        <v>2.7583728121926511E-3</v>
      </c>
      <c r="K1507" s="1303">
        <v>2.9929994227821089E-3</v>
      </c>
      <c r="L1507" s="1288">
        <v>2.0000011515003096E-3</v>
      </c>
      <c r="M1507" s="1230">
        <v>2.0000011515003096E-3</v>
      </c>
      <c r="N1507" s="1303">
        <v>2.7134372261360208E-2</v>
      </c>
      <c r="O1507" s="1288">
        <v>8.5424688198361392E-3</v>
      </c>
      <c r="P1507" s="1237">
        <v>4.2712344099180696E-3</v>
      </c>
      <c r="Q1507" s="1290">
        <v>5.6433249121920742E-2</v>
      </c>
    </row>
    <row r="1508" spans="1:17" s="212" customFormat="1" ht="15.5" x14ac:dyDescent="0.35">
      <c r="A1508" s="198">
        <v>2040</v>
      </c>
      <c r="B1508" s="197" t="s">
        <v>5838</v>
      </c>
      <c r="C1508" s="197">
        <v>1999</v>
      </c>
      <c r="D1508" s="225" t="str">
        <f t="shared" si="16"/>
        <v>2040_1999</v>
      </c>
      <c r="E1508" s="1287">
        <v>0.37675883735728555</v>
      </c>
      <c r="F1508" s="1306">
        <v>0.12741477245397556</v>
      </c>
      <c r="G1508" s="1303">
        <v>9.1897976104074086</v>
      </c>
      <c r="H1508" s="1306">
        <v>0.99904775149759728</v>
      </c>
      <c r="I1508" s="1303">
        <v>5.4031143459255679E-2</v>
      </c>
      <c r="J1508" s="1306">
        <v>2.782901998021082E-3</v>
      </c>
      <c r="K1508" s="1303">
        <v>2.9978710298590346E-3</v>
      </c>
      <c r="L1508" s="1288">
        <v>2.0000011914910187E-3</v>
      </c>
      <c r="M1508" s="1230">
        <v>2.0000011914910187E-3</v>
      </c>
      <c r="N1508" s="1303">
        <v>2.7250257352381877E-2</v>
      </c>
      <c r="O1508" s="1288">
        <v>8.2768081595096677E-3</v>
      </c>
      <c r="P1508" s="1237">
        <v>4.1384040797548339E-3</v>
      </c>
      <c r="Q1508" s="1290">
        <v>5.6474192006835067E-2</v>
      </c>
    </row>
    <row r="1509" spans="1:17" s="212" customFormat="1" ht="15.5" x14ac:dyDescent="0.35">
      <c r="A1509" s="198">
        <v>2040</v>
      </c>
      <c r="B1509" s="197" t="s">
        <v>5838</v>
      </c>
      <c r="C1509" s="197">
        <v>2000</v>
      </c>
      <c r="D1509" s="225" t="str">
        <f t="shared" si="16"/>
        <v>2040_2000</v>
      </c>
      <c r="E1509" s="1287">
        <v>0.37540155259312047</v>
      </c>
      <c r="F1509" s="1306">
        <v>0.12221878645121018</v>
      </c>
      <c r="G1509" s="1303">
        <v>9.2337317050688625</v>
      </c>
      <c r="H1509" s="1306">
        <v>0.97403691133592429</v>
      </c>
      <c r="I1509" s="1303">
        <v>5.3778172349076725E-2</v>
      </c>
      <c r="J1509" s="1306">
        <v>2.7831397861937139E-3</v>
      </c>
      <c r="K1509" s="1303">
        <v>2.9993404437053577E-3</v>
      </c>
      <c r="L1509" s="1288">
        <v>2.0000012331566558E-3</v>
      </c>
      <c r="M1509" s="1230">
        <v>2.0000012331566558E-3</v>
      </c>
      <c r="N1509" s="1303">
        <v>2.7284378584544834E-2</v>
      </c>
      <c r="O1509" s="1288">
        <v>8.4513629814001057E-3</v>
      </c>
      <c r="P1509" s="1237">
        <v>4.2256814907000529E-3</v>
      </c>
      <c r="Q1509" s="1290">
        <v>5.6209782665596487E-2</v>
      </c>
    </row>
    <row r="1510" spans="1:17" s="212" customFormat="1" ht="15.5" x14ac:dyDescent="0.35">
      <c r="A1510" s="198">
        <v>2040</v>
      </c>
      <c r="B1510" s="197" t="s">
        <v>5838</v>
      </c>
      <c r="C1510" s="197">
        <v>2001</v>
      </c>
      <c r="D1510" s="225" t="str">
        <f t="shared" si="16"/>
        <v>2040_2001</v>
      </c>
      <c r="E1510" s="1287">
        <v>0.37726929356901351</v>
      </c>
      <c r="F1510" s="1306">
        <v>0.11922065010630983</v>
      </c>
      <c r="G1510" s="1303">
        <v>9.2040346421604475</v>
      </c>
      <c r="H1510" s="1306">
        <v>0.95597833608625038</v>
      </c>
      <c r="I1510" s="1303">
        <v>5.4027402993963677E-2</v>
      </c>
      <c r="J1510" s="1306">
        <v>2.8055270487669886E-3</v>
      </c>
      <c r="K1510" s="1303">
        <v>2.9998211031283559E-3</v>
      </c>
      <c r="L1510" s="1288">
        <v>2.0000012211297191E-3</v>
      </c>
      <c r="M1510" s="1230">
        <v>2.0000012211297191E-3</v>
      </c>
      <c r="N1510" s="1303">
        <v>2.7295818656529514E-2</v>
      </c>
      <c r="O1510" s="1288">
        <v>7.7784387058661966E-3</v>
      </c>
      <c r="P1510" s="1237">
        <v>3.8892193529330983E-3</v>
      </c>
      <c r="Q1510" s="1290">
        <v>5.6470282414300667E-2</v>
      </c>
    </row>
    <row r="1511" spans="1:17" s="212" customFormat="1" ht="15.5" x14ac:dyDescent="0.35">
      <c r="A1511" s="198">
        <v>2040</v>
      </c>
      <c r="B1511" s="197" t="s">
        <v>5838</v>
      </c>
      <c r="C1511" s="197">
        <v>2002</v>
      </c>
      <c r="D1511" s="225" t="str">
        <f t="shared" si="16"/>
        <v>2040_2002</v>
      </c>
      <c r="E1511" s="1287">
        <v>0.29095508779076851</v>
      </c>
      <c r="F1511" s="1306">
        <v>0.11881562626280627</v>
      </c>
      <c r="G1511" s="1303">
        <v>7.1203256438332891</v>
      </c>
      <c r="H1511" s="1306">
        <v>0.92810728809965792</v>
      </c>
      <c r="I1511" s="1303">
        <v>5.4236993785334753E-2</v>
      </c>
      <c r="J1511" s="1306">
        <v>2.8193708684234966E-3</v>
      </c>
      <c r="K1511" s="1303">
        <v>2.9999011550791536E-3</v>
      </c>
      <c r="L1511" s="1288">
        <v>2.0000012895982039E-3</v>
      </c>
      <c r="M1511" s="1230">
        <v>2.0000012895982039E-3</v>
      </c>
      <c r="N1511" s="1303">
        <v>2.7297690732106993E-2</v>
      </c>
      <c r="O1511" s="1288">
        <v>7.1730375760699619E-3</v>
      </c>
      <c r="P1511" s="1237">
        <v>3.5865187880349809E-3</v>
      </c>
      <c r="Q1511" s="1290">
        <v>5.6689349971212145E-2</v>
      </c>
    </row>
    <row r="1512" spans="1:17" s="212" customFormat="1" ht="15.5" x14ac:dyDescent="0.35">
      <c r="A1512" s="198">
        <v>2040</v>
      </c>
      <c r="B1512" s="197" t="s">
        <v>5838</v>
      </c>
      <c r="C1512" s="197">
        <v>2003</v>
      </c>
      <c r="D1512" s="225" t="str">
        <f t="shared" si="16"/>
        <v>2040_2003</v>
      </c>
      <c r="E1512" s="1287">
        <v>0.28939939442445006</v>
      </c>
      <c r="F1512" s="1306">
        <v>9.6371230871581018E-2</v>
      </c>
      <c r="G1512" s="1303">
        <v>7.1468212846219954</v>
      </c>
      <c r="H1512" s="1306">
        <v>0.72184533668924511</v>
      </c>
      <c r="I1512" s="1303">
        <v>5.3947194154504885E-2</v>
      </c>
      <c r="J1512" s="1306">
        <v>2.8065759755194091E-3</v>
      </c>
      <c r="K1512" s="1303">
        <v>2.9998961286039944E-3</v>
      </c>
      <c r="L1512" s="1288">
        <v>2.0000013095205233E-3</v>
      </c>
      <c r="M1512" s="1230">
        <v>2.0000013095205233E-3</v>
      </c>
      <c r="N1512" s="1303">
        <v>2.7297604952949542E-2</v>
      </c>
      <c r="O1512" s="1288">
        <v>7.5500476765938112E-3</v>
      </c>
      <c r="P1512" s="1237">
        <v>3.7750238382969056E-3</v>
      </c>
      <c r="Q1512" s="1290">
        <v>5.6386446887042883E-2</v>
      </c>
    </row>
    <row r="1513" spans="1:17" s="212" customFormat="1" ht="15.5" x14ac:dyDescent="0.35">
      <c r="A1513" s="198">
        <v>2040</v>
      </c>
      <c r="B1513" s="197" t="s">
        <v>5838</v>
      </c>
      <c r="C1513" s="197">
        <v>2004</v>
      </c>
      <c r="D1513" s="225" t="str">
        <f t="shared" si="16"/>
        <v>2040_2004</v>
      </c>
      <c r="E1513" s="1287">
        <v>0.59566683342802662</v>
      </c>
      <c r="F1513" s="1306">
        <v>1.8062501137641525E-2</v>
      </c>
      <c r="G1513" s="1303">
        <v>4.2066376125590565</v>
      </c>
      <c r="H1513" s="1306">
        <v>0.1219341854755206</v>
      </c>
      <c r="I1513" s="1303">
        <v>0.15434186787979376</v>
      </c>
      <c r="J1513" s="1306">
        <v>1.8773150813109933E-4</v>
      </c>
      <c r="K1513" s="1303">
        <v>2.9990277117429723E-3</v>
      </c>
      <c r="L1513" s="1288">
        <v>2.0000013781609903E-3</v>
      </c>
      <c r="M1513" s="1230">
        <v>2.0000013781609903E-3</v>
      </c>
      <c r="N1513" s="1303">
        <v>2.7277154965253209E-2</v>
      </c>
      <c r="O1513" s="1288">
        <v>7.0791065240684891E-3</v>
      </c>
      <c r="P1513" s="1237">
        <v>3.5395532620342445E-3</v>
      </c>
      <c r="Q1513" s="1290">
        <v>0.16132052226342294</v>
      </c>
    </row>
    <row r="1514" spans="1:17" s="212" customFormat="1" ht="15.5" x14ac:dyDescent="0.35">
      <c r="A1514" s="198">
        <v>2040</v>
      </c>
      <c r="B1514" s="197" t="s">
        <v>5838</v>
      </c>
      <c r="C1514" s="197">
        <v>2005</v>
      </c>
      <c r="D1514" s="225" t="str">
        <f t="shared" si="16"/>
        <v>2040_2005</v>
      </c>
      <c r="E1514" s="1287">
        <v>0.56202845626730169</v>
      </c>
      <c r="F1514" s="1306">
        <v>1.6120277003803755E-2</v>
      </c>
      <c r="G1514" s="1303">
        <v>4.0450482015825955</v>
      </c>
      <c r="H1514" s="1306">
        <v>0.10695598714302901</v>
      </c>
      <c r="I1514" s="1303">
        <v>0.14751957426775839</v>
      </c>
      <c r="J1514" s="1306">
        <v>1.8790535984365076E-4</v>
      </c>
      <c r="K1514" s="1303">
        <v>2.9338010273963887E-3</v>
      </c>
      <c r="L1514" s="1288">
        <v>2.0000013911612362E-3</v>
      </c>
      <c r="M1514" s="1230">
        <v>2.0000013911612362E-3</v>
      </c>
      <c r="N1514" s="1303">
        <v>2.5739287727441575E-2</v>
      </c>
      <c r="O1514" s="1288">
        <v>6.624583276611958E-3</v>
      </c>
      <c r="P1514" s="1237">
        <v>3.312291638305979E-3</v>
      </c>
      <c r="Q1514" s="1290">
        <v>0.15418975480773023</v>
      </c>
    </row>
    <row r="1515" spans="1:17" s="212" customFormat="1" ht="15.5" x14ac:dyDescent="0.35">
      <c r="A1515" s="198">
        <v>2040</v>
      </c>
      <c r="B1515" s="197" t="s">
        <v>5838</v>
      </c>
      <c r="C1515" s="197">
        <v>2006</v>
      </c>
      <c r="D1515" s="225" t="str">
        <f t="shared" si="16"/>
        <v>2040_2006</v>
      </c>
      <c r="E1515" s="1287">
        <v>0.57419410370675061</v>
      </c>
      <c r="F1515" s="1306">
        <v>7.1463547685717416E-3</v>
      </c>
      <c r="G1515" s="1303">
        <v>4.1075154993972447</v>
      </c>
      <c r="H1515" s="1306">
        <v>8.6171416980667659E-2</v>
      </c>
      <c r="I1515" s="1303">
        <v>0.14994132238220514</v>
      </c>
      <c r="J1515" s="1306">
        <v>1.8278248719012007E-4</v>
      </c>
      <c r="K1515" s="1303">
        <v>2.9624114946720974E-3</v>
      </c>
      <c r="L1515" s="1288">
        <v>2.000001293502948E-3</v>
      </c>
      <c r="M1515" s="1230">
        <v>2.000001293502948E-3</v>
      </c>
      <c r="N1515" s="1303">
        <v>2.6413503900666453E-2</v>
      </c>
      <c r="O1515" s="1288">
        <v>9.7355705283432622E-3</v>
      </c>
      <c r="P1515" s="1237">
        <v>4.8677852641716311E-3</v>
      </c>
      <c r="Q1515" s="1290">
        <v>0.15672100362556471</v>
      </c>
    </row>
    <row r="1516" spans="1:17" s="212" customFormat="1" ht="15.5" x14ac:dyDescent="0.35">
      <c r="A1516" s="198">
        <v>2040</v>
      </c>
      <c r="B1516" s="197" t="s">
        <v>5838</v>
      </c>
      <c r="C1516" s="197">
        <v>2007</v>
      </c>
      <c r="D1516" s="225" t="str">
        <f t="shared" si="16"/>
        <v>2040_2007</v>
      </c>
      <c r="E1516" s="1287">
        <v>0.31970345459777799</v>
      </c>
      <c r="F1516" s="1306">
        <v>8.9892267881516823E-3</v>
      </c>
      <c r="G1516" s="1303">
        <v>2.3288412315652098</v>
      </c>
      <c r="H1516" s="1306">
        <v>7.2112676519543589E-2</v>
      </c>
      <c r="I1516" s="1303">
        <v>8.3465318169655883E-2</v>
      </c>
      <c r="J1516" s="1306">
        <v>1.8676477903625344E-4</v>
      </c>
      <c r="K1516" s="1303">
        <v>2.9453936085720614E-3</v>
      </c>
      <c r="L1516" s="1288">
        <v>2.0000013251513494E-3</v>
      </c>
      <c r="M1516" s="1230">
        <v>2.0000013251513494E-3</v>
      </c>
      <c r="N1516" s="1303">
        <v>2.6013312072889812E-2</v>
      </c>
      <c r="O1516" s="1288">
        <v>6.9923749803974984E-3</v>
      </c>
      <c r="P1516" s="1237">
        <v>3.4961874901987492E-3</v>
      </c>
      <c r="Q1516" s="1290">
        <v>8.7239249485423706E-2</v>
      </c>
    </row>
    <row r="1517" spans="1:17" s="212" customFormat="1" ht="15.5" x14ac:dyDescent="0.35">
      <c r="A1517" s="198">
        <v>2040</v>
      </c>
      <c r="B1517" s="197" t="s">
        <v>5838</v>
      </c>
      <c r="C1517" s="197">
        <v>2008</v>
      </c>
      <c r="D1517" s="225" t="str">
        <f t="shared" si="16"/>
        <v>2040_2008</v>
      </c>
      <c r="E1517" s="1287">
        <v>0.3266685410645796</v>
      </c>
      <c r="F1517" s="1306">
        <v>8.3513798769909078E-3</v>
      </c>
      <c r="G1517" s="1303">
        <v>2.3846713632855705</v>
      </c>
      <c r="H1517" s="1306">
        <v>5.4562749354948106E-2</v>
      </c>
      <c r="I1517" s="1303">
        <v>8.5277957481565109E-2</v>
      </c>
      <c r="J1517" s="1306">
        <v>2.1040014732994573E-4</v>
      </c>
      <c r="K1517" s="1303">
        <v>2.9700490805238703E-3</v>
      </c>
      <c r="L1517" s="1288">
        <v>2.0000014580438788E-3</v>
      </c>
      <c r="M1517" s="1230">
        <v>2.0000014580438788E-3</v>
      </c>
      <c r="N1517" s="1303">
        <v>2.6595217770677238E-2</v>
      </c>
      <c r="O1517" s="1288">
        <v>6.9211675446523473E-3</v>
      </c>
      <c r="P1517" s="1237">
        <v>3.4605837723261736E-3</v>
      </c>
      <c r="Q1517" s="1290">
        <v>8.9133848303549715E-2</v>
      </c>
    </row>
    <row r="1518" spans="1:17" s="212" customFormat="1" ht="15.5" x14ac:dyDescent="0.35">
      <c r="A1518" s="198">
        <v>2040</v>
      </c>
      <c r="B1518" s="197" t="s">
        <v>5838</v>
      </c>
      <c r="C1518" s="197">
        <v>2009</v>
      </c>
      <c r="D1518" s="225" t="str">
        <f t="shared" si="16"/>
        <v>2040_2009</v>
      </c>
      <c r="E1518" s="1287">
        <v>0.31798511942792973</v>
      </c>
      <c r="F1518" s="1306">
        <v>7.9550961854163108E-3</v>
      </c>
      <c r="G1518" s="1303">
        <v>2.2968532932099723</v>
      </c>
      <c r="H1518" s="1306">
        <v>3.8723188387839357E-2</v>
      </c>
      <c r="I1518" s="1303">
        <v>8.2819303418075765E-2</v>
      </c>
      <c r="J1518" s="1306">
        <v>2.389693031585371E-4</v>
      </c>
      <c r="K1518" s="1303">
        <v>2.9262076695882144E-3</v>
      </c>
      <c r="L1518" s="1288">
        <v>2.0000015031004445E-3</v>
      </c>
      <c r="M1518" s="1230">
        <v>2.0000015031004445E-3</v>
      </c>
      <c r="N1518" s="1303">
        <v>2.556495508376477E-2</v>
      </c>
      <c r="O1518" s="1288">
        <v>5.4560462273953517E-3</v>
      </c>
      <c r="P1518" s="1237">
        <v>2.7280231136976758E-3</v>
      </c>
      <c r="Q1518" s="1290">
        <v>8.6564024813425178E-2</v>
      </c>
    </row>
    <row r="1519" spans="1:17" s="212" customFormat="1" ht="15.5" x14ac:dyDescent="0.35">
      <c r="A1519" s="198">
        <v>2040</v>
      </c>
      <c r="B1519" s="197" t="s">
        <v>5838</v>
      </c>
      <c r="C1519" s="197">
        <v>2010</v>
      </c>
      <c r="D1519" s="225" t="str">
        <f t="shared" si="16"/>
        <v>2040_2010</v>
      </c>
      <c r="E1519" s="1287">
        <v>6.881048290176478E-2</v>
      </c>
      <c r="F1519" s="1306">
        <v>7.3421242759514008E-3</v>
      </c>
      <c r="G1519" s="1303">
        <v>0.60247068125611003</v>
      </c>
      <c r="H1519" s="1306">
        <v>3.6832981941227555E-2</v>
      </c>
      <c r="I1519" s="1303">
        <v>1.9016521607042938E-2</v>
      </c>
      <c r="J1519" s="1306">
        <v>2.9562129363542634E-4</v>
      </c>
      <c r="K1519" s="1303">
        <v>2.8347565070664217E-3</v>
      </c>
      <c r="L1519" s="1288">
        <v>2.0000015850161045E-3</v>
      </c>
      <c r="M1519" s="1230">
        <v>2.0000015850161045E-3</v>
      </c>
      <c r="N1519" s="1303">
        <v>2.341389246368468E-2</v>
      </c>
      <c r="O1519" s="1288">
        <v>4.5923665702050026E-3</v>
      </c>
      <c r="P1519" s="1237">
        <v>2.2961832851025013E-3</v>
      </c>
      <c r="Q1519" s="1290">
        <v>1.9876364329548538E-2</v>
      </c>
    </row>
    <row r="1520" spans="1:17" s="212" customFormat="1" ht="15.5" x14ac:dyDescent="0.35">
      <c r="A1520" s="198">
        <v>2040</v>
      </c>
      <c r="B1520" s="197" t="s">
        <v>5838</v>
      </c>
      <c r="C1520" s="197">
        <v>2011</v>
      </c>
      <c r="D1520" s="225" t="str">
        <f t="shared" si="16"/>
        <v>2040_2011</v>
      </c>
      <c r="E1520" s="1287">
        <v>7.3178206867047138E-2</v>
      </c>
      <c r="F1520" s="1306">
        <v>7.3180953253117638E-3</v>
      </c>
      <c r="G1520" s="1303">
        <v>0.65494626385460131</v>
      </c>
      <c r="H1520" s="1306">
        <v>3.663881145930966E-2</v>
      </c>
      <c r="I1520" s="1303">
        <v>2.0156918841307853E-2</v>
      </c>
      <c r="J1520" s="1306">
        <v>3.9254231868294343E-4</v>
      </c>
      <c r="K1520" s="1303">
        <v>2.9150313675072878E-3</v>
      </c>
      <c r="L1520" s="1288">
        <v>2.0000015373157001E-3</v>
      </c>
      <c r="M1520" s="1230">
        <v>2.0000015373157001E-3</v>
      </c>
      <c r="N1520" s="1303">
        <v>2.5307765356072338E-2</v>
      </c>
      <c r="O1520" s="1288">
        <v>5.6430867065084189E-3</v>
      </c>
      <c r="P1520" s="1237">
        <v>2.8215433532542094E-3</v>
      </c>
      <c r="Q1520" s="1290">
        <v>2.1068325266309196E-2</v>
      </c>
    </row>
    <row r="1521" spans="1:17" s="212" customFormat="1" ht="15.5" x14ac:dyDescent="0.35">
      <c r="A1521" s="198">
        <v>2040</v>
      </c>
      <c r="B1521" s="197" t="s">
        <v>5838</v>
      </c>
      <c r="C1521" s="197">
        <v>2012</v>
      </c>
      <c r="D1521" s="225" t="str">
        <f t="shared" si="16"/>
        <v>2040_2012</v>
      </c>
      <c r="E1521" s="1287">
        <v>5.8388218109444313E-2</v>
      </c>
      <c r="F1521" s="1306">
        <v>6.9707998253499505E-3</v>
      </c>
      <c r="G1521" s="1303">
        <v>0.49296049504165673</v>
      </c>
      <c r="H1521" s="1306">
        <v>3.5539761883989857E-2</v>
      </c>
      <c r="I1521" s="1303">
        <v>1.6433343262451022E-2</v>
      </c>
      <c r="J1521" s="1306">
        <v>5.6864252215662161E-4</v>
      </c>
      <c r="K1521" s="1303">
        <v>2.6784100850995654E-3</v>
      </c>
      <c r="L1521" s="1288">
        <v>2.0000015665281169E-3</v>
      </c>
      <c r="M1521" s="1230">
        <v>2.0000015665281169E-3</v>
      </c>
      <c r="N1521" s="1303">
        <v>1.9726178618091617E-2</v>
      </c>
      <c r="O1521" s="1288">
        <v>6.1534049342332094E-3</v>
      </c>
      <c r="P1521" s="1237">
        <v>3.0767024671166047E-3</v>
      </c>
      <c r="Q1521" s="1290">
        <v>1.7176386122898329E-2</v>
      </c>
    </row>
    <row r="1522" spans="1:17" s="212" customFormat="1" ht="15.5" x14ac:dyDescent="0.35">
      <c r="A1522" s="198">
        <v>2040</v>
      </c>
      <c r="B1522" s="197" t="s">
        <v>5838</v>
      </c>
      <c r="C1522" s="197">
        <v>2013</v>
      </c>
      <c r="D1522" s="225" t="str">
        <f t="shared" si="16"/>
        <v>2040_2013</v>
      </c>
      <c r="E1522" s="1287">
        <v>7.1239625538992782E-2</v>
      </c>
      <c r="F1522" s="1306">
        <v>7.4894237998045544E-3</v>
      </c>
      <c r="G1522" s="1303">
        <v>0.63209684976564839</v>
      </c>
      <c r="H1522" s="1306">
        <v>3.6817458233252179E-2</v>
      </c>
      <c r="I1522" s="1303">
        <v>1.965086859762193E-2</v>
      </c>
      <c r="J1522" s="1306">
        <v>8.4993927827398152E-4</v>
      </c>
      <c r="K1522" s="1303">
        <v>2.8812050027289928E-3</v>
      </c>
      <c r="L1522" s="1288">
        <v>2.0000015754863812E-3</v>
      </c>
      <c r="M1522" s="1230">
        <v>2.0000015754863812E-3</v>
      </c>
      <c r="N1522" s="1303">
        <v>2.4512965181269469E-2</v>
      </c>
      <c r="O1522" s="1288">
        <v>6.2009761680990368E-3</v>
      </c>
      <c r="P1522" s="1237">
        <v>3.1004880840495184E-3</v>
      </c>
      <c r="Q1522" s="1290">
        <v>2.0539393676168458E-2</v>
      </c>
    </row>
    <row r="1523" spans="1:17" s="212" customFormat="1" ht="15.5" x14ac:dyDescent="0.35">
      <c r="A1523" s="198">
        <v>2040</v>
      </c>
      <c r="B1523" s="197" t="s">
        <v>5838</v>
      </c>
      <c r="C1523" s="197">
        <v>2014</v>
      </c>
      <c r="D1523" s="225" t="str">
        <f t="shared" si="16"/>
        <v>2040_2014</v>
      </c>
      <c r="E1523" s="1287">
        <v>6.3867537355173046E-2</v>
      </c>
      <c r="F1523" s="1306">
        <v>7.6378098965992009E-3</v>
      </c>
      <c r="G1523" s="1303">
        <v>0.55247711068758476</v>
      </c>
      <c r="H1523" s="1306">
        <v>3.7257875567132136E-2</v>
      </c>
      <c r="I1523" s="1303">
        <v>1.7807437977324113E-2</v>
      </c>
      <c r="J1523" s="1306">
        <v>1.2028007326152332E-3</v>
      </c>
      <c r="K1523" s="1303">
        <v>2.7652219453332275E-3</v>
      </c>
      <c r="L1523" s="1288">
        <v>2.000001581316628E-3</v>
      </c>
      <c r="M1523" s="1230">
        <v>2.000001581316628E-3</v>
      </c>
      <c r="N1523" s="1303">
        <v>2.1775658632114895E-2</v>
      </c>
      <c r="O1523" s="1288">
        <v>5.2720423566034917E-3</v>
      </c>
      <c r="P1523" s="1237">
        <v>2.6360211783017459E-3</v>
      </c>
      <c r="Q1523" s="1290">
        <v>1.8612611303322976E-2</v>
      </c>
    </row>
    <row r="1524" spans="1:17" s="212" customFormat="1" ht="15.5" x14ac:dyDescent="0.35">
      <c r="A1524" s="198">
        <v>2040</v>
      </c>
      <c r="B1524" s="197" t="s">
        <v>5838</v>
      </c>
      <c r="C1524" s="197">
        <v>2015</v>
      </c>
      <c r="D1524" s="225" t="str">
        <f t="shared" si="16"/>
        <v>2040_2015</v>
      </c>
      <c r="E1524" s="1287">
        <v>5.9520298722485869E-2</v>
      </c>
      <c r="F1524" s="1306">
        <v>7.4799215564366923E-3</v>
      </c>
      <c r="G1524" s="1303">
        <v>0.508918149624356</v>
      </c>
      <c r="H1524" s="1306">
        <v>3.6447063548649544E-2</v>
      </c>
      <c r="I1524" s="1303">
        <v>1.676177780355257E-2</v>
      </c>
      <c r="J1524" s="1306">
        <v>1.4878022784780539E-3</v>
      </c>
      <c r="K1524" s="1303">
        <v>2.703592233048393E-3</v>
      </c>
      <c r="L1524" s="1288">
        <v>2.0000015466111127E-3</v>
      </c>
      <c r="M1524" s="1230">
        <v>2.0000015466111127E-3</v>
      </c>
      <c r="N1524" s="1303">
        <v>2.0311629644865974E-2</v>
      </c>
      <c r="O1524" s="1288">
        <v>6.1769282769405971E-3</v>
      </c>
      <c r="P1524" s="1237">
        <v>3.0884641384702986E-3</v>
      </c>
      <c r="Q1524" s="1290">
        <v>1.7519671016541838E-2</v>
      </c>
    </row>
    <row r="1525" spans="1:17" s="212" customFormat="1" ht="15.5" x14ac:dyDescent="0.35">
      <c r="A1525" s="198">
        <v>2040</v>
      </c>
      <c r="B1525" s="197" t="s">
        <v>5838</v>
      </c>
      <c r="C1525" s="197">
        <v>2016</v>
      </c>
      <c r="D1525" s="225" t="str">
        <f t="shared" si="16"/>
        <v>2040_2016</v>
      </c>
      <c r="E1525" s="1287">
        <v>6.8039463907082376E-2</v>
      </c>
      <c r="F1525" s="1306">
        <v>7.3539520240056382E-3</v>
      </c>
      <c r="G1525" s="1303">
        <v>0.5368438199665051</v>
      </c>
      <c r="H1525" s="1306">
        <v>3.5713096193999982E-2</v>
      </c>
      <c r="I1525" s="1303">
        <v>1.893863477839754E-2</v>
      </c>
      <c r="J1525" s="1306">
        <v>1.6890732337062513E-3</v>
      </c>
      <c r="K1525" s="1303">
        <v>2.8520376223437728E-3</v>
      </c>
      <c r="L1525" s="1288">
        <v>2.0000014867849183E-3</v>
      </c>
      <c r="M1525" s="1230">
        <v>2.0000014867849183E-3</v>
      </c>
      <c r="N1525" s="1303">
        <v>2.3812810237795877E-2</v>
      </c>
      <c r="O1525" s="1288">
        <v>7.1149292708273752E-3</v>
      </c>
      <c r="P1525" s="1237">
        <v>3.5574646354136876E-3</v>
      </c>
      <c r="Q1525" s="1290">
        <v>1.9794955804129488E-2</v>
      </c>
    </row>
    <row r="1526" spans="1:17" s="212" customFormat="1" ht="15.5" x14ac:dyDescent="0.35">
      <c r="A1526" s="198">
        <v>2040</v>
      </c>
      <c r="B1526" s="197" t="s">
        <v>5838</v>
      </c>
      <c r="C1526" s="197">
        <v>2017</v>
      </c>
      <c r="D1526" s="225" t="str">
        <f t="shared" si="16"/>
        <v>2040_2017</v>
      </c>
      <c r="E1526" s="1287">
        <v>6.9637923166939855E-2</v>
      </c>
      <c r="F1526" s="1306">
        <v>7.0864206604872981E-3</v>
      </c>
      <c r="G1526" s="1303">
        <v>0.47996799363532744</v>
      </c>
      <c r="H1526" s="1306">
        <v>3.4971778914795956E-2</v>
      </c>
      <c r="I1526" s="1303">
        <v>1.9319496504170218E-2</v>
      </c>
      <c r="J1526" s="1306">
        <v>1.8150685811874575E-3</v>
      </c>
      <c r="K1526" s="1303">
        <v>2.8782351583876657E-3</v>
      </c>
      <c r="L1526" s="1288">
        <v>2.0000014630107469E-3</v>
      </c>
      <c r="M1526" s="1230">
        <v>2.0000014630107469E-3</v>
      </c>
      <c r="N1526" s="1303">
        <v>2.4433733049691531E-2</v>
      </c>
      <c r="O1526" s="1288">
        <v>7.0591408830639382E-3</v>
      </c>
      <c r="P1526" s="1237">
        <v>3.5295704415319691E-3</v>
      </c>
      <c r="Q1526" s="1290">
        <v>2.0193038407092721E-2</v>
      </c>
    </row>
    <row r="1527" spans="1:17" s="212" customFormat="1" ht="15.5" x14ac:dyDescent="0.35">
      <c r="A1527" s="198">
        <v>2040</v>
      </c>
      <c r="B1527" s="197" t="s">
        <v>5838</v>
      </c>
      <c r="C1527" s="197">
        <v>2018</v>
      </c>
      <c r="D1527" s="225" t="str">
        <f t="shared" si="16"/>
        <v>2040_2018</v>
      </c>
      <c r="E1527" s="1287">
        <v>6.5280120097671326E-2</v>
      </c>
      <c r="F1527" s="1306">
        <v>6.9722249643237146E-3</v>
      </c>
      <c r="G1527" s="1303">
        <v>0.36707608481927823</v>
      </c>
      <c r="H1527" s="1306">
        <v>3.4527593183535411E-2</v>
      </c>
      <c r="I1527" s="1303">
        <v>1.8153002110174721E-2</v>
      </c>
      <c r="J1527" s="1306">
        <v>1.9197321021718586E-3</v>
      </c>
      <c r="K1527" s="1303">
        <v>2.8050375030504436E-3</v>
      </c>
      <c r="L1527" s="1288">
        <v>2.0000014654123054E-3</v>
      </c>
      <c r="M1527" s="1230">
        <v>2.0000014654123054E-3</v>
      </c>
      <c r="N1527" s="1303">
        <v>2.2704054751098796E-2</v>
      </c>
      <c r="O1527" s="1288">
        <v>6.3719169752818059E-3</v>
      </c>
      <c r="P1527" s="1237">
        <v>3.1859584876409029E-3</v>
      </c>
      <c r="Q1527" s="1290">
        <v>1.897380031284299E-2</v>
      </c>
    </row>
    <row r="1528" spans="1:17" s="212" customFormat="1" ht="15.5" x14ac:dyDescent="0.35">
      <c r="A1528" s="198">
        <v>2040</v>
      </c>
      <c r="B1528" s="197" t="s">
        <v>5838</v>
      </c>
      <c r="C1528" s="197">
        <v>2019</v>
      </c>
      <c r="D1528" s="225" t="str">
        <f t="shared" si="16"/>
        <v>2040_2019</v>
      </c>
      <c r="E1528" s="1287">
        <v>7.285097889894529E-2</v>
      </c>
      <c r="F1528" s="1306">
        <v>6.8431531114537406E-3</v>
      </c>
      <c r="G1528" s="1303">
        <v>0.36491632883141434</v>
      </c>
      <c r="H1528" s="1306">
        <v>3.3756252218240246E-2</v>
      </c>
      <c r="I1528" s="1303">
        <v>1.9987389884312069E-2</v>
      </c>
      <c r="J1528" s="1306">
        <v>1.8233367076373143E-3</v>
      </c>
      <c r="K1528" s="1303">
        <v>2.9416873325330984E-3</v>
      </c>
      <c r="L1528" s="1288">
        <v>2.0000014050648275E-3</v>
      </c>
      <c r="M1528" s="1230">
        <v>2.0000014050648275E-3</v>
      </c>
      <c r="N1528" s="1303">
        <v>2.5926226684709862E-2</v>
      </c>
      <c r="O1528" s="1288">
        <v>6.4092458962816479E-3</v>
      </c>
      <c r="P1528" s="1237">
        <v>3.204622948140824E-3</v>
      </c>
      <c r="Q1528" s="1290">
        <v>2.0891130962151637E-2</v>
      </c>
    </row>
    <row r="1529" spans="1:17" s="212" customFormat="1" ht="15.5" x14ac:dyDescent="0.35">
      <c r="A1529" s="198">
        <v>2040</v>
      </c>
      <c r="B1529" s="197" t="s">
        <v>5838</v>
      </c>
      <c r="C1529" s="197">
        <v>2020</v>
      </c>
      <c r="D1529" s="225" t="str">
        <f t="shared" si="16"/>
        <v>2040_2020</v>
      </c>
      <c r="E1529" s="1287">
        <v>6.3013315364878794E-2</v>
      </c>
      <c r="F1529" s="1306">
        <v>6.6937945854925341E-3</v>
      </c>
      <c r="G1529" s="1303">
        <v>0.28108343302373551</v>
      </c>
      <c r="H1529" s="1306">
        <v>3.2644978845948754E-2</v>
      </c>
      <c r="I1529" s="1303">
        <v>1.7853882447042869E-2</v>
      </c>
      <c r="J1529" s="1306">
        <v>1.3527296863094479E-3</v>
      </c>
      <c r="K1529" s="1303">
        <v>2.912502667024244E-3</v>
      </c>
      <c r="L1529" s="1288">
        <v>2.0000014898618377E-3</v>
      </c>
      <c r="M1529" s="1230">
        <v>2.0000014898618377E-3</v>
      </c>
      <c r="N1529" s="1303">
        <v>2.5244516668276557E-2</v>
      </c>
      <c r="O1529" s="1288">
        <v>6.5451762122298775E-3</v>
      </c>
      <c r="P1529" s="1237">
        <v>3.2725881061149388E-3</v>
      </c>
      <c r="Q1529" s="1290">
        <v>1.8661155785868164E-2</v>
      </c>
    </row>
    <row r="1530" spans="1:17" s="212" customFormat="1" ht="15.5" x14ac:dyDescent="0.35">
      <c r="A1530" s="198">
        <v>2040</v>
      </c>
      <c r="B1530" s="197" t="s">
        <v>5838</v>
      </c>
      <c r="C1530" s="197">
        <v>2021</v>
      </c>
      <c r="D1530" s="225" t="str">
        <f t="shared" si="16"/>
        <v>2040_2021</v>
      </c>
      <c r="E1530" s="1287">
        <v>6.1687826025633483E-2</v>
      </c>
      <c r="F1530" s="1306">
        <v>6.4737505999067722E-3</v>
      </c>
      <c r="G1530" s="1303">
        <v>0.22678655866886735</v>
      </c>
      <c r="H1530" s="1306">
        <v>3.1629739543025226E-2</v>
      </c>
      <c r="I1530" s="1303">
        <v>1.7143690307982497E-2</v>
      </c>
      <c r="J1530" s="1306">
        <v>8.8819517566503031E-4</v>
      </c>
      <c r="K1530" s="1303">
        <v>2.9090580951840177E-3</v>
      </c>
      <c r="L1530" s="1288">
        <v>2.0000015015206661E-3</v>
      </c>
      <c r="M1530" s="1230">
        <v>2.0000015015206661E-3</v>
      </c>
      <c r="N1530" s="1303">
        <v>2.5161542953744936E-2</v>
      </c>
      <c r="O1530" s="1288">
        <v>6.4996888790322489E-3</v>
      </c>
      <c r="P1530" s="1237">
        <v>3.2498444395161244E-3</v>
      </c>
      <c r="Q1530" s="1290">
        <v>1.7918851909710376E-2</v>
      </c>
    </row>
    <row r="1531" spans="1:17" s="212" customFormat="1" ht="15.5" x14ac:dyDescent="0.35">
      <c r="A1531" s="198">
        <v>2040</v>
      </c>
      <c r="B1531" s="197" t="s">
        <v>5838</v>
      </c>
      <c r="C1531" s="197">
        <v>2022</v>
      </c>
      <c r="D1531" s="225" t="str">
        <f t="shared" si="16"/>
        <v>2040_2022</v>
      </c>
      <c r="E1531" s="1287">
        <v>6.116771350814567E-2</v>
      </c>
      <c r="F1531" s="1306">
        <v>6.2871590148286648E-3</v>
      </c>
      <c r="G1531" s="1303">
        <v>0.17376562848850563</v>
      </c>
      <c r="H1531" s="1306">
        <v>3.0578099993019279E-2</v>
      </c>
      <c r="I1531" s="1303">
        <v>1.6822605886577632E-2</v>
      </c>
      <c r="J1531" s="1306">
        <v>8.8823255480266928E-4</v>
      </c>
      <c r="K1531" s="1303">
        <v>2.905977924955555E-3</v>
      </c>
      <c r="L1531" s="1288">
        <v>2.0000015139178275E-3</v>
      </c>
      <c r="M1531" s="1230">
        <v>2.0000015139178275E-3</v>
      </c>
      <c r="N1531" s="1303">
        <v>2.5086732672589294E-2</v>
      </c>
      <c r="O1531" s="1288">
        <v>6.495411042435081E-3</v>
      </c>
      <c r="P1531" s="1237">
        <v>3.2477055212175405E-3</v>
      </c>
      <c r="Q1531" s="1290">
        <v>1.7583249475560673E-2</v>
      </c>
    </row>
    <row r="1532" spans="1:17" s="212" customFormat="1" ht="15.5" x14ac:dyDescent="0.35">
      <c r="A1532" s="198">
        <v>2040</v>
      </c>
      <c r="B1532" s="197" t="s">
        <v>5838</v>
      </c>
      <c r="C1532" s="197">
        <v>2023</v>
      </c>
      <c r="D1532" s="225" t="str">
        <f t="shared" si="16"/>
        <v>2040_2023</v>
      </c>
      <c r="E1532" s="1287">
        <v>6.0474789328148752E-2</v>
      </c>
      <c r="F1532" s="1306">
        <v>5.9730661048834344E-3</v>
      </c>
      <c r="G1532" s="1303">
        <v>0.17083111537879064</v>
      </c>
      <c r="H1532" s="1306">
        <v>2.9572673438460362E-2</v>
      </c>
      <c r="I1532" s="1303">
        <v>1.6424220597701353E-2</v>
      </c>
      <c r="J1532" s="1306">
        <v>8.8780906322345678E-4</v>
      </c>
      <c r="K1532" s="1303">
        <v>2.901023415555151E-3</v>
      </c>
      <c r="L1532" s="1288">
        <v>2.0000015301333473E-3</v>
      </c>
      <c r="M1532" s="1230">
        <v>2.0000015301333473E-3</v>
      </c>
      <c r="N1532" s="1303">
        <v>2.4967286294120743E-2</v>
      </c>
      <c r="O1532" s="1288">
        <v>6.434864893301479E-3</v>
      </c>
      <c r="P1532" s="1237">
        <v>3.2174324466507395E-3</v>
      </c>
      <c r="Q1532" s="1290">
        <v>1.7166850971729899E-2</v>
      </c>
    </row>
    <row r="1533" spans="1:17" s="212" customFormat="1" ht="15.5" x14ac:dyDescent="0.35">
      <c r="A1533" s="198">
        <v>2040</v>
      </c>
      <c r="B1533" s="197" t="s">
        <v>5838</v>
      </c>
      <c r="C1533" s="197">
        <v>2024</v>
      </c>
      <c r="D1533" s="225" t="str">
        <f t="shared" si="16"/>
        <v>2040_2024</v>
      </c>
      <c r="E1533" s="1287">
        <v>5.9493222846325501E-2</v>
      </c>
      <c r="F1533" s="1306">
        <v>5.3784520366838406E-3</v>
      </c>
      <c r="G1533" s="1303">
        <v>0.16693640165241388</v>
      </c>
      <c r="H1533" s="1306">
        <v>2.8208144125472932E-2</v>
      </c>
      <c r="I1533" s="1303">
        <v>1.5917676501907556E-2</v>
      </c>
      <c r="J1533" s="1306">
        <v>8.8615997502315756E-4</v>
      </c>
      <c r="K1533" s="1303">
        <v>2.8922099328252404E-3</v>
      </c>
      <c r="L1533" s="1288">
        <v>2.0000015483548593E-3</v>
      </c>
      <c r="M1533" s="1305">
        <v>2.0000005733552791E-3</v>
      </c>
      <c r="N1533" s="1303">
        <v>2.4756065229205072E-2</v>
      </c>
      <c r="O1533" s="1288">
        <v>6.256616962408334E-3</v>
      </c>
      <c r="P1533" s="1301">
        <v>3.6483767590836016E-3</v>
      </c>
      <c r="Q1533" s="1290">
        <v>1.663740319968042E-2</v>
      </c>
    </row>
    <row r="1534" spans="1:17" s="212" customFormat="1" ht="15.5" x14ac:dyDescent="0.35">
      <c r="A1534" s="198">
        <v>2040</v>
      </c>
      <c r="B1534" s="197" t="s">
        <v>5838</v>
      </c>
      <c r="C1534" s="197">
        <v>2025</v>
      </c>
      <c r="D1534" s="225" t="str">
        <f t="shared" si="16"/>
        <v>2040_2025</v>
      </c>
      <c r="E1534" s="1287">
        <v>5.8620485030630019E-2</v>
      </c>
      <c r="F1534" s="1306">
        <v>4.8600296663074373E-3</v>
      </c>
      <c r="G1534" s="1303">
        <v>0.16326350275527651</v>
      </c>
      <c r="H1534" s="1306">
        <v>2.6989037588837455E-2</v>
      </c>
      <c r="I1534" s="1303">
        <v>1.5417763464250559E-2</v>
      </c>
      <c r="J1534" s="1306">
        <v>8.854071231693771E-4</v>
      </c>
      <c r="K1534" s="1303">
        <v>2.8862048805443317E-3</v>
      </c>
      <c r="L1534" s="1288">
        <v>2.0000015636558858E-3</v>
      </c>
      <c r="M1534" s="1305">
        <v>2.0000005733874929E-3</v>
      </c>
      <c r="N1534" s="1303">
        <v>2.4610273729843361E-2</v>
      </c>
      <c r="O1534" s="1288">
        <v>6.1567273591817311E-3</v>
      </c>
      <c r="P1534" s="1301">
        <v>4.0791033316976066E-3</v>
      </c>
      <c r="Q1534" s="1290">
        <v>1.6114886312791867E-2</v>
      </c>
    </row>
    <row r="1535" spans="1:17" s="212" customFormat="1" ht="15.5" x14ac:dyDescent="0.35">
      <c r="A1535" s="198">
        <v>2040</v>
      </c>
      <c r="B1535" s="197" t="s">
        <v>5838</v>
      </c>
      <c r="C1535" s="197">
        <v>2026</v>
      </c>
      <c r="D1535" s="225" t="str">
        <f t="shared" si="16"/>
        <v>2040_2026</v>
      </c>
      <c r="E1535" s="1287">
        <v>5.7673391859022823E-2</v>
      </c>
      <c r="F1535" s="1306">
        <v>4.8334680613804429E-3</v>
      </c>
      <c r="G1535" s="1303">
        <v>0.15926987792533995</v>
      </c>
      <c r="H1535" s="1306">
        <v>2.6568560912155328E-2</v>
      </c>
      <c r="I1535" s="1303">
        <v>1.4872372754033766E-2</v>
      </c>
      <c r="J1535" s="1306">
        <v>7.7093425863820832E-4</v>
      </c>
      <c r="K1535" s="1303">
        <v>2.8798822072921043E-3</v>
      </c>
      <c r="L1535" s="1288">
        <v>2.0000015822327476E-3</v>
      </c>
      <c r="M1535" s="1305">
        <v>2.00000057345009E-3</v>
      </c>
      <c r="N1535" s="1303">
        <v>2.4456143443229227E-2</v>
      </c>
      <c r="O1535" s="1288">
        <v>6.0020374975277898E-3</v>
      </c>
      <c r="P1535" s="1301">
        <v>4.9240252780906602E-3</v>
      </c>
      <c r="Q1535" s="1290">
        <v>1.5544835454794494E-2</v>
      </c>
    </row>
    <row r="1536" spans="1:17" s="212" customFormat="1" ht="15.5" x14ac:dyDescent="0.35">
      <c r="A1536" s="198">
        <v>2040</v>
      </c>
      <c r="B1536" s="197" t="s">
        <v>5838</v>
      </c>
      <c r="C1536" s="197">
        <v>2027</v>
      </c>
      <c r="D1536" s="225" t="str">
        <f t="shared" si="16"/>
        <v>2040_2027</v>
      </c>
      <c r="E1536" s="1287">
        <v>5.6471198920769052E-2</v>
      </c>
      <c r="F1536" s="1306">
        <v>4.8322634639186429E-3</v>
      </c>
      <c r="G1536" s="1303">
        <v>0.15444105624684989</v>
      </c>
      <c r="H1536" s="1306">
        <v>2.6140460593878017E-2</v>
      </c>
      <c r="I1536" s="1303">
        <v>1.4234371382749298E-2</v>
      </c>
      <c r="J1536" s="1306">
        <v>6.358637981389916E-4</v>
      </c>
      <c r="K1536" s="1303">
        <v>2.8700723303693126E-3</v>
      </c>
      <c r="L1536" s="1288">
        <v>2.0000016013936037E-3</v>
      </c>
      <c r="M1536" s="1305">
        <v>2.0000005735131081E-3</v>
      </c>
      <c r="N1536" s="1303">
        <v>2.4218379107505243E-2</v>
      </c>
      <c r="O1536" s="1288">
        <v>5.8288477886495335E-3</v>
      </c>
      <c r="P1536" s="1301">
        <v>5.7725115674990609E-3</v>
      </c>
      <c r="Q1536" s="1290">
        <v>1.4877986492589724E-2</v>
      </c>
    </row>
    <row r="1537" spans="1:17" s="212" customFormat="1" ht="15.5" x14ac:dyDescent="0.35">
      <c r="A1537" s="198">
        <v>2040</v>
      </c>
      <c r="B1537" s="197" t="s">
        <v>5838</v>
      </c>
      <c r="C1537" s="197">
        <v>2028</v>
      </c>
      <c r="D1537" s="225" t="str">
        <f t="shared" si="16"/>
        <v>2040_2028</v>
      </c>
      <c r="E1537" s="1287">
        <v>5.5233535545505946E-2</v>
      </c>
      <c r="F1537" s="1306">
        <v>4.765101405216807E-3</v>
      </c>
      <c r="G1537" s="1303">
        <v>0.14942412234852312</v>
      </c>
      <c r="H1537" s="1306">
        <v>2.5606714872608068E-2</v>
      </c>
      <c r="I1537" s="1303">
        <v>1.3565752940991511E-2</v>
      </c>
      <c r="J1537" s="1306">
        <v>5.1828956459438504E-4</v>
      </c>
      <c r="K1537" s="1303">
        <v>2.8605061484757235E-3</v>
      </c>
      <c r="L1537" s="1288">
        <v>2.0000016194477816E-3</v>
      </c>
      <c r="M1537" s="1305">
        <v>2.0000005735595224E-3</v>
      </c>
      <c r="N1537" s="1303">
        <v>2.3985064375929944E-2</v>
      </c>
      <c r="O1537" s="1288">
        <v>5.6537340790351678E-3</v>
      </c>
      <c r="P1537" s="1301">
        <v>6.3951691385988304E-3</v>
      </c>
      <c r="Q1537" s="1290">
        <v>1.4179136091845979E-2</v>
      </c>
    </row>
    <row r="1538" spans="1:17" s="212" customFormat="1" ht="15.5" x14ac:dyDescent="0.35">
      <c r="A1538" s="198">
        <v>2040</v>
      </c>
      <c r="B1538" s="197" t="s">
        <v>5838</v>
      </c>
      <c r="C1538" s="197">
        <v>2029</v>
      </c>
      <c r="D1538" s="225" t="str">
        <f t="shared" si="16"/>
        <v>2040_2029</v>
      </c>
      <c r="E1538" s="1287">
        <v>5.3859640567798843E-2</v>
      </c>
      <c r="F1538" s="1306">
        <v>4.686708511533709E-3</v>
      </c>
      <c r="G1538" s="1303">
        <v>0.14394159617326618</v>
      </c>
      <c r="H1538" s="1306">
        <v>2.5015891165464658E-2</v>
      </c>
      <c r="I1538" s="1303">
        <v>1.2842021626264575E-2</v>
      </c>
      <c r="J1538" s="1306">
        <v>5.1475114008643998E-4</v>
      </c>
      <c r="K1538" s="1303">
        <v>2.8493874062952792E-3</v>
      </c>
      <c r="L1538" s="1288">
        <v>2.0000016381142246E-3</v>
      </c>
      <c r="M1538" s="1305">
        <v>2.0000005735948618E-3</v>
      </c>
      <c r="N1538" s="1303">
        <v>2.3713359168949195E-2</v>
      </c>
      <c r="O1538" s="1288">
        <v>5.475632107417942E-3</v>
      </c>
      <c r="P1538" s="1301">
        <v>6.8689297022906902E-3</v>
      </c>
      <c r="Q1538" s="1290">
        <v>1.3422680858577228E-2</v>
      </c>
    </row>
    <row r="1539" spans="1:17" s="212" customFormat="1" ht="15.5" x14ac:dyDescent="0.35">
      <c r="A1539" s="198">
        <v>2040</v>
      </c>
      <c r="B1539" s="197" t="s">
        <v>5838</v>
      </c>
      <c r="C1539" s="197">
        <v>2030</v>
      </c>
      <c r="D1539" s="225" t="str">
        <f t="shared" si="16"/>
        <v>2040_2030</v>
      </c>
      <c r="E1539" s="1287">
        <v>5.2441145896715072E-2</v>
      </c>
      <c r="F1539" s="1306">
        <v>4.6105498209725784E-3</v>
      </c>
      <c r="G1539" s="1303">
        <v>0.13826104736637365</v>
      </c>
      <c r="H1539" s="1306">
        <v>2.4380933478925552E-2</v>
      </c>
      <c r="I1539" s="1303">
        <v>1.2088685527112788E-2</v>
      </c>
      <c r="J1539" s="1306">
        <v>5.1106612557043514E-4</v>
      </c>
      <c r="K1539" s="1303">
        <v>2.8382692409575686E-3</v>
      </c>
      <c r="L1539" s="1288">
        <v>2.0000016567420084E-3</v>
      </c>
      <c r="M1539" s="1305">
        <v>2.000000573619853E-3</v>
      </c>
      <c r="N1539" s="1303">
        <v>2.34399832344192E-2</v>
      </c>
      <c r="O1539" s="1288">
        <v>5.2877603834779107E-3</v>
      </c>
      <c r="P1539" s="1301">
        <v>7.2074310031731027E-3</v>
      </c>
      <c r="Q1539" s="1290">
        <v>1.2635282243901248E-2</v>
      </c>
    </row>
    <row r="1540" spans="1:17" s="212" customFormat="1" ht="15.5" x14ac:dyDescent="0.35">
      <c r="A1540" s="198">
        <v>2040</v>
      </c>
      <c r="B1540" s="197" t="s">
        <v>5838</v>
      </c>
      <c r="C1540" s="197">
        <v>2031</v>
      </c>
      <c r="D1540" s="225" t="str">
        <f t="shared" si="16"/>
        <v>2040_2031</v>
      </c>
      <c r="E1540" s="1287">
        <v>5.084421937374279E-2</v>
      </c>
      <c r="F1540" s="1306">
        <v>4.4787629716917573E-3</v>
      </c>
      <c r="G1540" s="1303">
        <v>0.13202598032351703</v>
      </c>
      <c r="H1540" s="1306">
        <v>2.363899745375336E-2</v>
      </c>
      <c r="I1540" s="1303">
        <v>1.1275955685742895E-2</v>
      </c>
      <c r="J1540" s="1306">
        <v>5.0750660621925873E-4</v>
      </c>
      <c r="K1540" s="1303">
        <v>2.8246824383756485E-3</v>
      </c>
      <c r="L1540" s="1288">
        <v>2.0000016781634797E-3</v>
      </c>
      <c r="M1540" s="1305">
        <v>2.0000005736509796E-3</v>
      </c>
      <c r="N1540" s="1303">
        <v>2.310589686422598E-2</v>
      </c>
      <c r="O1540" s="1288">
        <v>5.0982443393434536E-3</v>
      </c>
      <c r="P1540" s="1301">
        <v>7.6279399131687171E-3</v>
      </c>
      <c r="Q1540" s="1290">
        <v>1.1785804365539897E-2</v>
      </c>
    </row>
    <row r="1541" spans="1:17" s="212" customFormat="1" ht="15.5" x14ac:dyDescent="0.35">
      <c r="A1541" s="198">
        <v>2040</v>
      </c>
      <c r="B1541" s="197" t="s">
        <v>5838</v>
      </c>
      <c r="C1541" s="197">
        <v>2032</v>
      </c>
      <c r="D1541" s="225" t="str">
        <f t="shared" si="16"/>
        <v>2040_2032</v>
      </c>
      <c r="E1541" s="1287">
        <v>4.9225077569291446E-2</v>
      </c>
      <c r="F1541" s="1306">
        <v>4.3323760559671656E-3</v>
      </c>
      <c r="G1541" s="1303">
        <v>0.12568015274305164</v>
      </c>
      <c r="H1541" s="1306">
        <v>2.2822243101107833E-2</v>
      </c>
      <c r="I1541" s="1303">
        <v>1.0444212356303722E-2</v>
      </c>
      <c r="J1541" s="1306">
        <v>5.0420251195290816E-4</v>
      </c>
      <c r="K1541" s="1303">
        <v>2.8113938309407313E-3</v>
      </c>
      <c r="L1541" s="1288">
        <v>2.0000016932071488E-3</v>
      </c>
      <c r="M1541" s="1305">
        <v>2.000000573680404E-3</v>
      </c>
      <c r="N1541" s="1303">
        <v>2.277649250318034E-2</v>
      </c>
      <c r="O1541" s="1288">
        <v>4.9170401269026925E-3</v>
      </c>
      <c r="P1541" s="1301">
        <v>8.0183261973039432E-3</v>
      </c>
      <c r="Q1541" s="1290">
        <v>1.0916453293549861E-2</v>
      </c>
    </row>
    <row r="1542" spans="1:17" s="212" customFormat="1" ht="15.5" x14ac:dyDescent="0.35">
      <c r="A1542" s="198">
        <v>2040</v>
      </c>
      <c r="B1542" s="197" t="s">
        <v>5838</v>
      </c>
      <c r="C1542" s="197">
        <v>2033</v>
      </c>
      <c r="D1542" s="225" t="str">
        <f t="shared" si="16"/>
        <v>2040_2033</v>
      </c>
      <c r="E1542" s="1287">
        <v>4.7407225581169249E-2</v>
      </c>
      <c r="F1542" s="1306">
        <v>4.1748660034856234E-3</v>
      </c>
      <c r="G1542" s="1303">
        <v>0.11876848197887205</v>
      </c>
      <c r="H1542" s="1306">
        <v>2.1943405650934049E-2</v>
      </c>
      <c r="I1542" s="1303">
        <v>9.5575004983898589E-3</v>
      </c>
      <c r="J1542" s="1306">
        <v>5.0077634367914144E-4</v>
      </c>
      <c r="K1542" s="1303">
        <v>2.7950547397363247E-3</v>
      </c>
      <c r="L1542" s="1288">
        <v>2.0000017112532026E-3</v>
      </c>
      <c r="M1542" s="1305">
        <v>2.0000005737045717E-3</v>
      </c>
      <c r="N1542" s="1303">
        <v>2.2371526408815793E-2</v>
      </c>
      <c r="O1542" s="1288">
        <v>4.7259547893660735E-3</v>
      </c>
      <c r="P1542" s="1301">
        <v>8.3432721233958774E-3</v>
      </c>
      <c r="Q1542" s="1290">
        <v>9.9896482601467326E-3</v>
      </c>
    </row>
    <row r="1543" spans="1:17" s="212" customFormat="1" ht="15.5" x14ac:dyDescent="0.35">
      <c r="A1543" s="198">
        <v>2040</v>
      </c>
      <c r="B1543" s="197" t="s">
        <v>5838</v>
      </c>
      <c r="C1543" s="197">
        <v>2034</v>
      </c>
      <c r="D1543" s="225" t="str">
        <f t="shared" si="16"/>
        <v>2040_2034</v>
      </c>
      <c r="E1543" s="1287">
        <v>4.5465474613630388E-2</v>
      </c>
      <c r="F1543" s="1306">
        <v>4.0068432275273784E-3</v>
      </c>
      <c r="G1543" s="1303">
        <v>0.11151752722739883</v>
      </c>
      <c r="H1543" s="1306">
        <v>2.1005316781600381E-2</v>
      </c>
      <c r="I1543" s="1303">
        <v>8.6383811467597507E-3</v>
      </c>
      <c r="J1543" s="1306">
        <v>4.9730886041227096E-4</v>
      </c>
      <c r="K1543" s="1303">
        <v>2.7768873226399252E-3</v>
      </c>
      <c r="L1543" s="1288">
        <v>2.0000017322892054E-3</v>
      </c>
      <c r="M1543" s="1305">
        <v>2.0000005737251417E-3</v>
      </c>
      <c r="N1543" s="1303">
        <v>2.191970476106574E-2</v>
      </c>
      <c r="O1543" s="1288">
        <v>4.5262875939410746E-3</v>
      </c>
      <c r="P1543" s="1301">
        <v>8.6252951421588332E-3</v>
      </c>
      <c r="Q1543" s="1290">
        <v>9.0289704099675832E-3</v>
      </c>
    </row>
    <row r="1544" spans="1:17" s="212" customFormat="1" ht="15.5" x14ac:dyDescent="0.35">
      <c r="A1544" s="198">
        <v>2040</v>
      </c>
      <c r="B1544" s="197" t="s">
        <v>5838</v>
      </c>
      <c r="C1544" s="197">
        <v>2035</v>
      </c>
      <c r="D1544" s="225" t="str">
        <f t="shared" si="16"/>
        <v>2040_2035</v>
      </c>
      <c r="E1544" s="1287">
        <v>4.3286199096177064E-2</v>
      </c>
      <c r="F1544" s="1306">
        <v>3.8294861774777499E-3</v>
      </c>
      <c r="G1544" s="1303">
        <v>0.10367658640798372</v>
      </c>
      <c r="H1544" s="1306">
        <v>2.001585455100344E-2</v>
      </c>
      <c r="I1544" s="1303">
        <v>7.6724577061803145E-3</v>
      </c>
      <c r="J1544" s="1306">
        <v>4.9370841679708007E-4</v>
      </c>
      <c r="K1544" s="1303">
        <v>2.7545439177123826E-3</v>
      </c>
      <c r="L1544" s="1288">
        <v>2.0000017575742394E-3</v>
      </c>
      <c r="M1544" s="1305">
        <v>2.0000005737418384E-3</v>
      </c>
      <c r="N1544" s="1303">
        <v>2.1363741229213171E-2</v>
      </c>
      <c r="O1544" s="1288">
        <v>4.3143515528782537E-3</v>
      </c>
      <c r="P1544" s="1301">
        <v>8.8523112656944455E-3</v>
      </c>
      <c r="Q1544" s="1290">
        <v>8.0193721976268926E-3</v>
      </c>
    </row>
    <row r="1545" spans="1:17" s="212" customFormat="1" ht="15.5" x14ac:dyDescent="0.35">
      <c r="A1545" s="198">
        <v>2040</v>
      </c>
      <c r="B1545" s="197" t="s">
        <v>5838</v>
      </c>
      <c r="C1545" s="197">
        <v>2036</v>
      </c>
      <c r="D1545" s="225" t="str">
        <f t="shared" si="16"/>
        <v>2040_2036</v>
      </c>
      <c r="E1545" s="1287">
        <v>4.2189036233363564E-2</v>
      </c>
      <c r="F1545" s="1306">
        <v>3.6342218306919419E-3</v>
      </c>
      <c r="G1545" s="1303">
        <v>9.8454740943103761E-2</v>
      </c>
      <c r="H1545" s="1306">
        <v>1.8924413598490637E-2</v>
      </c>
      <c r="I1545" s="1303">
        <v>6.8896168882499383E-3</v>
      </c>
      <c r="J1545" s="1306">
        <v>4.9403149708114613E-4</v>
      </c>
      <c r="K1545" s="1303">
        <v>2.7537864582613718E-3</v>
      </c>
      <c r="L1545" s="1288">
        <v>2.0000017768638865E-3</v>
      </c>
      <c r="M1545" s="1305">
        <v>2.0000005737404749E-3</v>
      </c>
      <c r="N1545" s="1303">
        <v>2.1327316397736908E-2</v>
      </c>
      <c r="O1545" s="1288">
        <v>4.2480042705455179E-3</v>
      </c>
      <c r="P1545" s="1301">
        <v>8.8521215572161457E-3</v>
      </c>
      <c r="Q1545" s="1290">
        <v>7.2011347917144437E-3</v>
      </c>
    </row>
    <row r="1546" spans="1:17" s="212" customFormat="1" ht="15.5" x14ac:dyDescent="0.35">
      <c r="A1546" s="198">
        <v>2040</v>
      </c>
      <c r="B1546" s="197" t="s">
        <v>5838</v>
      </c>
      <c r="C1546" s="197">
        <v>2037</v>
      </c>
      <c r="D1546" s="225" t="str">
        <f t="shared" si="16"/>
        <v>2040_2037</v>
      </c>
      <c r="E1546" s="1287">
        <v>4.1070974891539547E-2</v>
      </c>
      <c r="F1546" s="1306">
        <v>3.4359055255318159E-3</v>
      </c>
      <c r="G1546" s="1303">
        <v>9.3054420982102093E-2</v>
      </c>
      <c r="H1546" s="1306">
        <v>1.7810124536833897E-2</v>
      </c>
      <c r="I1546" s="1303">
        <v>6.0732657826564349E-3</v>
      </c>
      <c r="J1546" s="1306">
        <v>4.944923153399226E-4</v>
      </c>
      <c r="K1546" s="1303">
        <v>2.7536671904511601E-3</v>
      </c>
      <c r="L1546" s="1288">
        <v>2.000001806367935E-3</v>
      </c>
      <c r="M1546" s="1305">
        <v>2.0000005737388117E-3</v>
      </c>
      <c r="N1546" s="1303">
        <v>2.1305712892238704E-2</v>
      </c>
      <c r="O1546" s="1288">
        <v>4.1759553463628545E-3</v>
      </c>
      <c r="P1546" s="1301">
        <v>8.8504385446609747E-3</v>
      </c>
      <c r="Q1546" s="1290">
        <v>6.3478719116303751E-3</v>
      </c>
    </row>
    <row r="1547" spans="1:17" s="212" customFormat="1" ht="15.5" x14ac:dyDescent="0.35">
      <c r="A1547" s="198">
        <v>2040</v>
      </c>
      <c r="B1547" s="197" t="s">
        <v>5838</v>
      </c>
      <c r="C1547" s="197">
        <v>2038</v>
      </c>
      <c r="D1547" s="225" t="str">
        <f t="shared" si="16"/>
        <v>2040_2038</v>
      </c>
      <c r="E1547" s="1287">
        <v>3.9799391213217711E-2</v>
      </c>
      <c r="F1547" s="1306">
        <v>3.2346910721648839E-3</v>
      </c>
      <c r="G1547" s="1303">
        <v>8.7173606438343154E-2</v>
      </c>
      <c r="H1547" s="1306">
        <v>1.6673283233855953E-2</v>
      </c>
      <c r="I1547" s="1303">
        <v>5.2046034600192878E-3</v>
      </c>
      <c r="J1547" s="1306">
        <v>4.9503276456817024E-4</v>
      </c>
      <c r="K1547" s="1303">
        <v>2.7514922298273077E-3</v>
      </c>
      <c r="L1547" s="1288">
        <v>2.0000018523342201E-3</v>
      </c>
      <c r="M1547" s="1305">
        <v>2.0000005737346024E-3</v>
      </c>
      <c r="N1547" s="1303">
        <v>2.123350364102106E-2</v>
      </c>
      <c r="O1547" s="1288">
        <v>4.0918891273502627E-3</v>
      </c>
      <c r="P1547" s="1301">
        <v>8.8201142240304509E-3</v>
      </c>
      <c r="Q1547" s="1290">
        <v>5.4399325333955584E-3</v>
      </c>
    </row>
    <row r="1548" spans="1:17" s="212" customFormat="1" ht="15.5" x14ac:dyDescent="0.35">
      <c r="A1548" s="198">
        <v>2040</v>
      </c>
      <c r="B1548" s="197" t="s">
        <v>5838</v>
      </c>
      <c r="C1548" s="197">
        <v>2039</v>
      </c>
      <c r="D1548" s="225" t="str">
        <f t="shared" si="16"/>
        <v>2040_2039</v>
      </c>
      <c r="E1548" s="1287">
        <v>3.8519481171009749E-2</v>
      </c>
      <c r="F1548" s="1306">
        <v>3.0197112969954764E-3</v>
      </c>
      <c r="G1548" s="1303">
        <v>8.1152423711397373E-2</v>
      </c>
      <c r="H1548" s="1306">
        <v>1.5477681186960388E-2</v>
      </c>
      <c r="I1548" s="1303">
        <v>4.3056535437309331E-3</v>
      </c>
      <c r="J1548" s="1306">
        <v>4.9526229472450945E-4</v>
      </c>
      <c r="K1548" s="1303">
        <v>2.7502274420163732E-3</v>
      </c>
      <c r="L1548" s="1288">
        <v>2.0000018908127725E-3</v>
      </c>
      <c r="M1548" s="1305">
        <v>2.0000005737266504E-3</v>
      </c>
      <c r="N1548" s="1303">
        <v>2.1182094338855317E-2</v>
      </c>
      <c r="O1548" s="1288">
        <v>3.998699953023932E-3</v>
      </c>
      <c r="P1548" s="1301">
        <v>8.7877097954580687E-3</v>
      </c>
      <c r="Q1548" s="1290">
        <v>4.5003360909238108E-3</v>
      </c>
    </row>
    <row r="1549" spans="1:17" s="212" customFormat="1" ht="15.5" x14ac:dyDescent="0.35">
      <c r="A1549" s="198">
        <v>2040</v>
      </c>
      <c r="B1549" s="197" t="s">
        <v>5838</v>
      </c>
      <c r="C1549" s="197">
        <v>2040</v>
      </c>
      <c r="D1549" s="225" t="str">
        <f t="shared" si="16"/>
        <v>2040_2040</v>
      </c>
      <c r="E1549" s="1287">
        <v>3.6052602803576209E-2</v>
      </c>
      <c r="F1549" s="1306">
        <v>2.781729357214849E-3</v>
      </c>
      <c r="G1549" s="1303">
        <v>7.2599249115697748E-2</v>
      </c>
      <c r="H1549" s="1306">
        <v>1.4125001970898464E-2</v>
      </c>
      <c r="I1549" s="1303">
        <v>3.2732219213536004E-3</v>
      </c>
      <c r="J1549" s="1306">
        <v>4.9213667099399854E-4</v>
      </c>
      <c r="K1549" s="1303">
        <v>2.7242405273144874E-3</v>
      </c>
      <c r="L1549" s="1288">
        <v>2.0000019968426526E-3</v>
      </c>
      <c r="M1549" s="1305">
        <v>2.0000005736885733E-3</v>
      </c>
      <c r="N1549" s="1303">
        <v>2.0524043853399319E-2</v>
      </c>
      <c r="O1549" s="1288">
        <v>3.7242322699796043E-3</v>
      </c>
      <c r="P1549" s="1301">
        <v>8.2866881423258095E-3</v>
      </c>
      <c r="Q1549" s="1290">
        <v>3.4212224919300521E-3</v>
      </c>
    </row>
    <row r="1550" spans="1:17" s="212" customFormat="1" ht="15.5" x14ac:dyDescent="0.35">
      <c r="A1550" s="198">
        <v>2040</v>
      </c>
      <c r="B1550" s="197" t="s">
        <v>5838</v>
      </c>
      <c r="C1550" s="197">
        <v>2041</v>
      </c>
      <c r="D1550" s="225" t="str">
        <f t="shared" si="16"/>
        <v>2040_2041</v>
      </c>
      <c r="E1550" s="1291">
        <v>3.6052602803576209E-2</v>
      </c>
      <c r="F1550" s="1280">
        <v>2.781729357214849E-3</v>
      </c>
      <c r="G1550" s="1271">
        <v>7.2599249115697748E-2</v>
      </c>
      <c r="H1550" s="1280">
        <v>1.4125001970898464E-2</v>
      </c>
      <c r="I1550" s="1271">
        <v>3.2732219213536004E-3</v>
      </c>
      <c r="J1550" s="1280">
        <v>4.9213667099399854E-4</v>
      </c>
      <c r="K1550" s="1271">
        <v>2.7242405273144874E-3</v>
      </c>
      <c r="L1550" s="1257">
        <v>2.0000019968426526E-3</v>
      </c>
      <c r="M1550" s="1230">
        <v>2.0000005736885733E-3</v>
      </c>
      <c r="N1550" s="1271">
        <v>2.0524043853399319E-2</v>
      </c>
      <c r="O1550" s="1257">
        <v>3.7242322699796043E-3</v>
      </c>
      <c r="P1550" s="1237">
        <v>8.2866881423258095E-3</v>
      </c>
      <c r="Q1550" s="1292">
        <v>3.4212224919300521E-3</v>
      </c>
    </row>
    <row r="1551" spans="1:17" s="212" customFormat="1" ht="15.5" x14ac:dyDescent="0.35">
      <c r="A1551" s="198">
        <v>2041</v>
      </c>
      <c r="B1551" s="197" t="s">
        <v>5838</v>
      </c>
      <c r="C1551" s="197">
        <v>1971</v>
      </c>
      <c r="D1551" s="225" t="str">
        <f t="shared" si="16"/>
        <v>2041_1971</v>
      </c>
      <c r="E1551" s="1291">
        <v>0.37601692067570835</v>
      </c>
      <c r="F1551" s="1280">
        <v>0.12692191657421245</v>
      </c>
      <c r="G1551" s="1271">
        <v>9.1468219074811543</v>
      </c>
      <c r="H1551" s="1280">
        <v>0.98707297264197214</v>
      </c>
      <c r="I1551" s="1271">
        <v>5.4089341290247089E-2</v>
      </c>
      <c r="J1551" s="1280">
        <v>2.7184850951000759E-3</v>
      </c>
      <c r="K1551" s="1271">
        <v>2.9936396669587675E-3</v>
      </c>
      <c r="L1551" s="1257">
        <v>2.0000010958153062E-3</v>
      </c>
      <c r="M1551" s="1230">
        <v>2.0000010958153062E-3</v>
      </c>
      <c r="N1551" s="1271">
        <v>2.7151209018783092E-2</v>
      </c>
      <c r="O1551" s="1257">
        <v>1.0168105486128808E-2</v>
      </c>
      <c r="P1551" s="1237">
        <v>5.0840527430644038E-3</v>
      </c>
      <c r="Q1551" s="1292">
        <v>5.6535021285494841E-2</v>
      </c>
    </row>
    <row r="1552" spans="1:17" s="212" customFormat="1" ht="15.5" x14ac:dyDescent="0.35">
      <c r="A1552" s="198">
        <v>2041</v>
      </c>
      <c r="B1552" s="197" t="s">
        <v>5838</v>
      </c>
      <c r="C1552" s="197">
        <v>1972</v>
      </c>
      <c r="D1552" s="225" t="str">
        <f t="shared" si="16"/>
        <v>2041_1972</v>
      </c>
      <c r="E1552" s="1291">
        <v>0.37601692067570835</v>
      </c>
      <c r="F1552" s="1280">
        <v>0.12692191657421245</v>
      </c>
      <c r="G1552" s="1271">
        <v>9.1468219074811543</v>
      </c>
      <c r="H1552" s="1280">
        <v>0.98707297264197214</v>
      </c>
      <c r="I1552" s="1271">
        <v>5.4089341290247089E-2</v>
      </c>
      <c r="J1552" s="1280">
        <v>2.7184850951000759E-3</v>
      </c>
      <c r="K1552" s="1271">
        <v>2.9936396669587675E-3</v>
      </c>
      <c r="L1552" s="1257">
        <v>2.0000010958153062E-3</v>
      </c>
      <c r="M1552" s="1230">
        <v>2.0000010958153062E-3</v>
      </c>
      <c r="N1552" s="1271">
        <v>2.7151209018783092E-2</v>
      </c>
      <c r="O1552" s="1257">
        <v>1.0168105486128808E-2</v>
      </c>
      <c r="P1552" s="1237">
        <v>5.0840527430644038E-3</v>
      </c>
      <c r="Q1552" s="1292">
        <v>5.6535021285494841E-2</v>
      </c>
    </row>
    <row r="1553" spans="1:17" s="212" customFormat="1" ht="15.5" x14ac:dyDescent="0.35">
      <c r="A1553" s="198">
        <v>2041</v>
      </c>
      <c r="B1553" s="197" t="s">
        <v>5838</v>
      </c>
      <c r="C1553" s="197">
        <v>1973</v>
      </c>
      <c r="D1553" s="225" t="str">
        <f t="shared" si="16"/>
        <v>2041_1973</v>
      </c>
      <c r="E1553" s="1291">
        <v>0.37601692067570835</v>
      </c>
      <c r="F1553" s="1280">
        <v>0.12692191657421245</v>
      </c>
      <c r="G1553" s="1271">
        <v>9.1468219074811543</v>
      </c>
      <c r="H1553" s="1280">
        <v>0.98707297264197214</v>
      </c>
      <c r="I1553" s="1271">
        <v>5.4089341290247089E-2</v>
      </c>
      <c r="J1553" s="1280">
        <v>2.7184850951000759E-3</v>
      </c>
      <c r="K1553" s="1271">
        <v>2.9936396669587675E-3</v>
      </c>
      <c r="L1553" s="1257">
        <v>2.0000010958153062E-3</v>
      </c>
      <c r="M1553" s="1230">
        <v>2.0000010958153062E-3</v>
      </c>
      <c r="N1553" s="1271">
        <v>2.7151209018783092E-2</v>
      </c>
      <c r="O1553" s="1257">
        <v>1.0168105486128808E-2</v>
      </c>
      <c r="P1553" s="1237">
        <v>5.0840527430644038E-3</v>
      </c>
      <c r="Q1553" s="1292">
        <v>5.6535021285494841E-2</v>
      </c>
    </row>
    <row r="1554" spans="1:17" s="212" customFormat="1" ht="15.5" x14ac:dyDescent="0.35">
      <c r="A1554" s="198">
        <v>2041</v>
      </c>
      <c r="B1554" s="197" t="s">
        <v>5838</v>
      </c>
      <c r="C1554" s="197">
        <v>1974</v>
      </c>
      <c r="D1554" s="225" t="str">
        <f t="shared" si="16"/>
        <v>2041_1974</v>
      </c>
      <c r="E1554" s="1291">
        <v>0.37601692067570835</v>
      </c>
      <c r="F1554" s="1280">
        <v>0.12692191657421245</v>
      </c>
      <c r="G1554" s="1271">
        <v>9.1468219074811543</v>
      </c>
      <c r="H1554" s="1280">
        <v>0.98707297264197214</v>
      </c>
      <c r="I1554" s="1271">
        <v>5.4089341290247089E-2</v>
      </c>
      <c r="J1554" s="1280">
        <v>2.7184850951000759E-3</v>
      </c>
      <c r="K1554" s="1271">
        <v>2.9936396669587675E-3</v>
      </c>
      <c r="L1554" s="1257">
        <v>2.0000010958153062E-3</v>
      </c>
      <c r="M1554" s="1230">
        <v>2.0000010958153062E-3</v>
      </c>
      <c r="N1554" s="1271">
        <v>2.7151209018783092E-2</v>
      </c>
      <c r="O1554" s="1257">
        <v>1.0168105486128808E-2</v>
      </c>
      <c r="P1554" s="1237">
        <v>5.0840527430644038E-3</v>
      </c>
      <c r="Q1554" s="1292">
        <v>5.6535021285494841E-2</v>
      </c>
    </row>
    <row r="1555" spans="1:17" s="212" customFormat="1" ht="15.5" x14ac:dyDescent="0.35">
      <c r="A1555" s="198">
        <v>2041</v>
      </c>
      <c r="B1555" s="197" t="s">
        <v>5838</v>
      </c>
      <c r="C1555" s="197">
        <v>1975</v>
      </c>
      <c r="D1555" s="225" t="str">
        <f t="shared" si="16"/>
        <v>2041_1975</v>
      </c>
      <c r="E1555" s="1291">
        <v>0.37601692067570835</v>
      </c>
      <c r="F1555" s="1280">
        <v>0.12692191657421245</v>
      </c>
      <c r="G1555" s="1271">
        <v>9.1468219074811543</v>
      </c>
      <c r="H1555" s="1280">
        <v>0.98707297264197214</v>
      </c>
      <c r="I1555" s="1271">
        <v>5.4089341290247089E-2</v>
      </c>
      <c r="J1555" s="1280">
        <v>2.7184850951000759E-3</v>
      </c>
      <c r="K1555" s="1271">
        <v>2.9936396669587675E-3</v>
      </c>
      <c r="L1555" s="1257">
        <v>2.0000010958153062E-3</v>
      </c>
      <c r="M1555" s="1230">
        <v>2.0000010958153062E-3</v>
      </c>
      <c r="N1555" s="1271">
        <v>2.7151209018783092E-2</v>
      </c>
      <c r="O1555" s="1257">
        <v>1.0168105486128808E-2</v>
      </c>
      <c r="P1555" s="1237">
        <v>5.0840527430644038E-3</v>
      </c>
      <c r="Q1555" s="1292">
        <v>5.6535021285494841E-2</v>
      </c>
    </row>
    <row r="1556" spans="1:17" s="212" customFormat="1" ht="15.5" x14ac:dyDescent="0.35">
      <c r="A1556" s="198">
        <v>2041</v>
      </c>
      <c r="B1556" s="197" t="s">
        <v>5838</v>
      </c>
      <c r="C1556" s="197">
        <v>1976</v>
      </c>
      <c r="D1556" s="225" t="str">
        <f t="shared" si="16"/>
        <v>2041_1976</v>
      </c>
      <c r="E1556" s="1291">
        <v>0.37601692067570835</v>
      </c>
      <c r="F1556" s="1280">
        <v>0.12692191657421245</v>
      </c>
      <c r="G1556" s="1271">
        <v>9.1468219074811543</v>
      </c>
      <c r="H1556" s="1280">
        <v>0.98707297264197214</v>
      </c>
      <c r="I1556" s="1271">
        <v>5.4089341290247089E-2</v>
      </c>
      <c r="J1556" s="1280">
        <v>2.7184850951000759E-3</v>
      </c>
      <c r="K1556" s="1271">
        <v>2.9936396669587675E-3</v>
      </c>
      <c r="L1556" s="1257">
        <v>2.0000010958153062E-3</v>
      </c>
      <c r="M1556" s="1230">
        <v>2.0000010958153062E-3</v>
      </c>
      <c r="N1556" s="1271">
        <v>2.7151209018783092E-2</v>
      </c>
      <c r="O1556" s="1257">
        <v>1.0168105486128808E-2</v>
      </c>
      <c r="P1556" s="1237">
        <v>5.0840527430644038E-3</v>
      </c>
      <c r="Q1556" s="1292">
        <v>5.6535021285494841E-2</v>
      </c>
    </row>
    <row r="1557" spans="1:17" s="212" customFormat="1" ht="15.5" x14ac:dyDescent="0.35">
      <c r="A1557" s="198">
        <v>2041</v>
      </c>
      <c r="B1557" s="197" t="s">
        <v>5838</v>
      </c>
      <c r="C1557" s="197">
        <v>1977</v>
      </c>
      <c r="D1557" s="225" t="str">
        <f t="shared" si="16"/>
        <v>2041_1977</v>
      </c>
      <c r="E1557" s="1291">
        <v>0.37601692067570835</v>
      </c>
      <c r="F1557" s="1280">
        <v>0.12692191657421245</v>
      </c>
      <c r="G1557" s="1271">
        <v>9.1468219074811543</v>
      </c>
      <c r="H1557" s="1280">
        <v>0.98707297264197214</v>
      </c>
      <c r="I1557" s="1271">
        <v>5.4089341290247089E-2</v>
      </c>
      <c r="J1557" s="1280">
        <v>2.7184850951000759E-3</v>
      </c>
      <c r="K1557" s="1271">
        <v>2.9936396669587675E-3</v>
      </c>
      <c r="L1557" s="1257">
        <v>2.0000010958153062E-3</v>
      </c>
      <c r="M1557" s="1230">
        <v>2.0000010958153062E-3</v>
      </c>
      <c r="N1557" s="1271">
        <v>2.7151209018783092E-2</v>
      </c>
      <c r="O1557" s="1257">
        <v>1.0168105486128808E-2</v>
      </c>
      <c r="P1557" s="1237">
        <v>5.0840527430644038E-3</v>
      </c>
      <c r="Q1557" s="1292">
        <v>5.6535021285494841E-2</v>
      </c>
    </row>
    <row r="1558" spans="1:17" s="212" customFormat="1" ht="15.5" x14ac:dyDescent="0.35">
      <c r="A1558" s="198">
        <v>2041</v>
      </c>
      <c r="B1558" s="197" t="s">
        <v>5838</v>
      </c>
      <c r="C1558" s="197">
        <v>1978</v>
      </c>
      <c r="D1558" s="225" t="str">
        <f t="shared" si="16"/>
        <v>2041_1978</v>
      </c>
      <c r="E1558" s="1291">
        <v>0.37601692067570835</v>
      </c>
      <c r="F1558" s="1280">
        <v>0.12692191657421245</v>
      </c>
      <c r="G1558" s="1271">
        <v>9.1468219074811543</v>
      </c>
      <c r="H1558" s="1280">
        <v>0.98707297264197214</v>
      </c>
      <c r="I1558" s="1271">
        <v>5.4089341290247089E-2</v>
      </c>
      <c r="J1558" s="1280">
        <v>2.7184850951000759E-3</v>
      </c>
      <c r="K1558" s="1271">
        <v>2.9936396669587675E-3</v>
      </c>
      <c r="L1558" s="1257">
        <v>2.0000010958153062E-3</v>
      </c>
      <c r="M1558" s="1230">
        <v>2.0000010958153062E-3</v>
      </c>
      <c r="N1558" s="1271">
        <v>2.7151209018783092E-2</v>
      </c>
      <c r="O1558" s="1257">
        <v>1.0168105486128808E-2</v>
      </c>
      <c r="P1558" s="1237">
        <v>5.0840527430644038E-3</v>
      </c>
      <c r="Q1558" s="1292">
        <v>5.6535021285494841E-2</v>
      </c>
    </row>
    <row r="1559" spans="1:17" s="212" customFormat="1" ht="15.5" x14ac:dyDescent="0.35">
      <c r="A1559" s="198">
        <v>2041</v>
      </c>
      <c r="B1559" s="197" t="s">
        <v>5838</v>
      </c>
      <c r="C1559" s="197">
        <v>1979</v>
      </c>
      <c r="D1559" s="225" t="str">
        <f t="shared" si="16"/>
        <v>2041_1979</v>
      </c>
      <c r="E1559" s="1291">
        <v>0.37601692067570835</v>
      </c>
      <c r="F1559" s="1280">
        <v>0.12692191657421245</v>
      </c>
      <c r="G1559" s="1271">
        <v>9.1468219074811543</v>
      </c>
      <c r="H1559" s="1280">
        <v>0.98707297264197214</v>
      </c>
      <c r="I1559" s="1271">
        <v>5.4089341290247089E-2</v>
      </c>
      <c r="J1559" s="1280">
        <v>2.7184850951000759E-3</v>
      </c>
      <c r="K1559" s="1271">
        <v>2.9936396669587675E-3</v>
      </c>
      <c r="L1559" s="1257">
        <v>2.0000010958153062E-3</v>
      </c>
      <c r="M1559" s="1230">
        <v>2.0000010958153062E-3</v>
      </c>
      <c r="N1559" s="1271">
        <v>2.7151209018783092E-2</v>
      </c>
      <c r="O1559" s="1257">
        <v>1.0168105486128808E-2</v>
      </c>
      <c r="P1559" s="1237">
        <v>5.0840527430644038E-3</v>
      </c>
      <c r="Q1559" s="1292">
        <v>5.6535021285494841E-2</v>
      </c>
    </row>
    <row r="1560" spans="1:17" s="212" customFormat="1" ht="15.5" x14ac:dyDescent="0.35">
      <c r="A1560" s="198">
        <v>2041</v>
      </c>
      <c r="B1560" s="197" t="s">
        <v>5838</v>
      </c>
      <c r="C1560" s="197">
        <v>1980</v>
      </c>
      <c r="D1560" s="225" t="str">
        <f t="shared" si="16"/>
        <v>2041_1980</v>
      </c>
      <c r="E1560" s="1291">
        <v>0.37601692067570835</v>
      </c>
      <c r="F1560" s="1280">
        <v>0.12692191657421245</v>
      </c>
      <c r="G1560" s="1271">
        <v>9.1468219074811543</v>
      </c>
      <c r="H1560" s="1280">
        <v>0.98707297264197214</v>
      </c>
      <c r="I1560" s="1271">
        <v>5.4089341290247089E-2</v>
      </c>
      <c r="J1560" s="1280">
        <v>2.7184850951000759E-3</v>
      </c>
      <c r="K1560" s="1271">
        <v>2.9936396669587675E-3</v>
      </c>
      <c r="L1560" s="1257">
        <v>2.0000010958153062E-3</v>
      </c>
      <c r="M1560" s="1230">
        <v>2.0000010958153062E-3</v>
      </c>
      <c r="N1560" s="1271">
        <v>2.7151209018783092E-2</v>
      </c>
      <c r="O1560" s="1257">
        <v>1.0168105486128808E-2</v>
      </c>
      <c r="P1560" s="1237">
        <v>5.0840527430644038E-3</v>
      </c>
      <c r="Q1560" s="1292">
        <v>5.6535021285494841E-2</v>
      </c>
    </row>
    <row r="1561" spans="1:17" s="212" customFormat="1" ht="15.5" x14ac:dyDescent="0.35">
      <c r="A1561" s="198">
        <v>2041</v>
      </c>
      <c r="B1561" s="197" t="s">
        <v>5838</v>
      </c>
      <c r="C1561" s="197">
        <v>1981</v>
      </c>
      <c r="D1561" s="225" t="str">
        <f t="shared" si="16"/>
        <v>2041_1981</v>
      </c>
      <c r="E1561" s="1291">
        <v>0.37601692067570835</v>
      </c>
      <c r="F1561" s="1280">
        <v>0.12692191657421245</v>
      </c>
      <c r="G1561" s="1271">
        <v>9.1468219074811543</v>
      </c>
      <c r="H1561" s="1280">
        <v>0.98707297264197214</v>
      </c>
      <c r="I1561" s="1271">
        <v>5.4089341290247089E-2</v>
      </c>
      <c r="J1561" s="1280">
        <v>2.7184850951000759E-3</v>
      </c>
      <c r="K1561" s="1271">
        <v>2.9936396669587675E-3</v>
      </c>
      <c r="L1561" s="1257">
        <v>2.0000010958153062E-3</v>
      </c>
      <c r="M1561" s="1230">
        <v>2.0000010958153062E-3</v>
      </c>
      <c r="N1561" s="1271">
        <v>2.7151209018783092E-2</v>
      </c>
      <c r="O1561" s="1257">
        <v>1.0168105486128808E-2</v>
      </c>
      <c r="P1561" s="1237">
        <v>5.0840527430644038E-3</v>
      </c>
      <c r="Q1561" s="1292">
        <v>5.6535021285494841E-2</v>
      </c>
    </row>
    <row r="1562" spans="1:17" s="212" customFormat="1" ht="15.5" x14ac:dyDescent="0.35">
      <c r="A1562" s="198">
        <v>2041</v>
      </c>
      <c r="B1562" s="197" t="s">
        <v>5838</v>
      </c>
      <c r="C1562" s="197">
        <v>1982</v>
      </c>
      <c r="D1562" s="225" t="str">
        <f t="shared" si="16"/>
        <v>2041_1982</v>
      </c>
      <c r="E1562" s="1291">
        <v>0.37601692067570835</v>
      </c>
      <c r="F1562" s="1280">
        <v>0.12692191657421245</v>
      </c>
      <c r="G1562" s="1271">
        <v>9.1468219074811543</v>
      </c>
      <c r="H1562" s="1280">
        <v>0.98707297264197214</v>
      </c>
      <c r="I1562" s="1271">
        <v>5.4089341290247089E-2</v>
      </c>
      <c r="J1562" s="1280">
        <v>2.7184850951000759E-3</v>
      </c>
      <c r="K1562" s="1271">
        <v>2.9936396669587675E-3</v>
      </c>
      <c r="L1562" s="1257">
        <v>2.0000010958153062E-3</v>
      </c>
      <c r="M1562" s="1230">
        <v>2.0000010958153062E-3</v>
      </c>
      <c r="N1562" s="1271">
        <v>2.7151209018783092E-2</v>
      </c>
      <c r="O1562" s="1257">
        <v>1.0168105486128808E-2</v>
      </c>
      <c r="P1562" s="1237">
        <v>5.0840527430644038E-3</v>
      </c>
      <c r="Q1562" s="1292">
        <v>5.6535021285494841E-2</v>
      </c>
    </row>
    <row r="1563" spans="1:17" s="212" customFormat="1" ht="15.5" x14ac:dyDescent="0.35">
      <c r="A1563" s="198">
        <v>2041</v>
      </c>
      <c r="B1563" s="197" t="s">
        <v>5838</v>
      </c>
      <c r="C1563" s="197">
        <v>1983</v>
      </c>
      <c r="D1563" s="225" t="str">
        <f t="shared" si="16"/>
        <v>2041_1983</v>
      </c>
      <c r="E1563" s="1291">
        <v>0.37601692067570835</v>
      </c>
      <c r="F1563" s="1280">
        <v>0.12692191657421245</v>
      </c>
      <c r="G1563" s="1271">
        <v>9.1468219074811543</v>
      </c>
      <c r="H1563" s="1280">
        <v>0.98707297264197214</v>
      </c>
      <c r="I1563" s="1271">
        <v>5.4089341290247089E-2</v>
      </c>
      <c r="J1563" s="1280">
        <v>2.7184850951000759E-3</v>
      </c>
      <c r="K1563" s="1271">
        <v>2.9936396669587675E-3</v>
      </c>
      <c r="L1563" s="1257">
        <v>2.0000010958153062E-3</v>
      </c>
      <c r="M1563" s="1230">
        <v>2.0000010958153062E-3</v>
      </c>
      <c r="N1563" s="1271">
        <v>2.7151209018783092E-2</v>
      </c>
      <c r="O1563" s="1257">
        <v>1.0168105486128808E-2</v>
      </c>
      <c r="P1563" s="1237">
        <v>5.0840527430644038E-3</v>
      </c>
      <c r="Q1563" s="1292">
        <v>5.6535021285494841E-2</v>
      </c>
    </row>
    <row r="1564" spans="1:17" s="212" customFormat="1" ht="15.5" x14ac:dyDescent="0.35">
      <c r="A1564" s="198">
        <v>2041</v>
      </c>
      <c r="B1564" s="197" t="s">
        <v>5838</v>
      </c>
      <c r="C1564" s="197">
        <v>1984</v>
      </c>
      <c r="D1564" s="225" t="str">
        <f t="shared" si="16"/>
        <v>2041_1984</v>
      </c>
      <c r="E1564" s="1291">
        <v>0.37601692067570835</v>
      </c>
      <c r="F1564" s="1280">
        <v>0.12692191657421245</v>
      </c>
      <c r="G1564" s="1271">
        <v>9.1468219074811543</v>
      </c>
      <c r="H1564" s="1280">
        <v>0.98707297264197214</v>
      </c>
      <c r="I1564" s="1271">
        <v>5.4089341290247089E-2</v>
      </c>
      <c r="J1564" s="1280">
        <v>2.7184850951000759E-3</v>
      </c>
      <c r="K1564" s="1271">
        <v>2.9936396669587675E-3</v>
      </c>
      <c r="L1564" s="1257">
        <v>2.0000010958153062E-3</v>
      </c>
      <c r="M1564" s="1230">
        <v>2.0000010958153062E-3</v>
      </c>
      <c r="N1564" s="1271">
        <v>2.7151209018783092E-2</v>
      </c>
      <c r="O1564" s="1257">
        <v>1.0168105486128808E-2</v>
      </c>
      <c r="P1564" s="1237">
        <v>5.0840527430644038E-3</v>
      </c>
      <c r="Q1564" s="1292">
        <v>5.6535021285494841E-2</v>
      </c>
    </row>
    <row r="1565" spans="1:17" s="212" customFormat="1" ht="15.5" x14ac:dyDescent="0.35">
      <c r="A1565" s="198">
        <v>2041</v>
      </c>
      <c r="B1565" s="197" t="s">
        <v>5838</v>
      </c>
      <c r="C1565" s="197">
        <v>1985</v>
      </c>
      <c r="D1565" s="225" t="str">
        <f t="shared" si="16"/>
        <v>2041_1985</v>
      </c>
      <c r="E1565" s="1291">
        <v>0.37601692067570835</v>
      </c>
      <c r="F1565" s="1280">
        <v>0.12692191657421245</v>
      </c>
      <c r="G1565" s="1271">
        <v>9.1468219074811543</v>
      </c>
      <c r="H1565" s="1280">
        <v>0.98707297264197214</v>
      </c>
      <c r="I1565" s="1271">
        <v>5.4089341290247089E-2</v>
      </c>
      <c r="J1565" s="1280">
        <v>2.7184850951000759E-3</v>
      </c>
      <c r="K1565" s="1271">
        <v>2.9936396669587675E-3</v>
      </c>
      <c r="L1565" s="1257">
        <v>2.0000010958153062E-3</v>
      </c>
      <c r="M1565" s="1230">
        <v>2.0000010958153062E-3</v>
      </c>
      <c r="N1565" s="1271">
        <v>2.7151209018783092E-2</v>
      </c>
      <c r="O1565" s="1257">
        <v>1.0168105486128808E-2</v>
      </c>
      <c r="P1565" s="1237">
        <v>5.0840527430644038E-3</v>
      </c>
      <c r="Q1565" s="1292">
        <v>5.6535021285494841E-2</v>
      </c>
    </row>
    <row r="1566" spans="1:17" s="212" customFormat="1" ht="15.5" x14ac:dyDescent="0.35">
      <c r="A1566" s="198">
        <v>2041</v>
      </c>
      <c r="B1566" s="197" t="s">
        <v>5838</v>
      </c>
      <c r="C1566" s="197">
        <v>1986</v>
      </c>
      <c r="D1566" s="225" t="str">
        <f t="shared" si="16"/>
        <v>2041_1986</v>
      </c>
      <c r="E1566" s="1291">
        <v>0.37601692067570835</v>
      </c>
      <c r="F1566" s="1280">
        <v>0.12692191657421245</v>
      </c>
      <c r="G1566" s="1271">
        <v>9.1468219074811543</v>
      </c>
      <c r="H1566" s="1280">
        <v>0.98707297264197214</v>
      </c>
      <c r="I1566" s="1271">
        <v>5.4089341290247089E-2</v>
      </c>
      <c r="J1566" s="1280">
        <v>2.7184850951000759E-3</v>
      </c>
      <c r="K1566" s="1271">
        <v>2.9936396669587675E-3</v>
      </c>
      <c r="L1566" s="1257">
        <v>2.0000010958153062E-3</v>
      </c>
      <c r="M1566" s="1230">
        <v>2.0000010958153062E-3</v>
      </c>
      <c r="N1566" s="1271">
        <v>2.7151209018783092E-2</v>
      </c>
      <c r="O1566" s="1257">
        <v>1.0168105486128808E-2</v>
      </c>
      <c r="P1566" s="1237">
        <v>5.0840527430644038E-3</v>
      </c>
      <c r="Q1566" s="1292">
        <v>5.6535021285494841E-2</v>
      </c>
    </row>
    <row r="1567" spans="1:17" s="212" customFormat="1" ht="15.5" x14ac:dyDescent="0.35">
      <c r="A1567" s="198">
        <v>2041</v>
      </c>
      <c r="B1567" s="197" t="s">
        <v>5838</v>
      </c>
      <c r="C1567" s="197">
        <v>1987</v>
      </c>
      <c r="D1567" s="225" t="str">
        <f t="shared" si="16"/>
        <v>2041_1987</v>
      </c>
      <c r="E1567" s="1291">
        <v>0.37601692067570835</v>
      </c>
      <c r="F1567" s="1280">
        <v>0.12692191657421245</v>
      </c>
      <c r="G1567" s="1271">
        <v>9.1468219074811543</v>
      </c>
      <c r="H1567" s="1280">
        <v>0.98707297264197214</v>
      </c>
      <c r="I1567" s="1271">
        <v>5.4089341290247089E-2</v>
      </c>
      <c r="J1567" s="1280">
        <v>2.7184850951000759E-3</v>
      </c>
      <c r="K1567" s="1271">
        <v>2.9936396669587675E-3</v>
      </c>
      <c r="L1567" s="1257">
        <v>2.0000010958153062E-3</v>
      </c>
      <c r="M1567" s="1230">
        <v>2.0000010958153062E-3</v>
      </c>
      <c r="N1567" s="1271">
        <v>2.7151209018783092E-2</v>
      </c>
      <c r="O1567" s="1257">
        <v>1.0168105486128808E-2</v>
      </c>
      <c r="P1567" s="1237">
        <v>5.0840527430644038E-3</v>
      </c>
      <c r="Q1567" s="1292">
        <v>5.6535021285494841E-2</v>
      </c>
    </row>
    <row r="1568" spans="1:17" s="212" customFormat="1" ht="15.5" x14ac:dyDescent="0.35">
      <c r="A1568" s="198">
        <v>2041</v>
      </c>
      <c r="B1568" s="197" t="s">
        <v>5838</v>
      </c>
      <c r="C1568" s="197">
        <v>1988</v>
      </c>
      <c r="D1568" s="225" t="str">
        <f t="shared" si="16"/>
        <v>2041_1988</v>
      </c>
      <c r="E1568" s="1291">
        <v>0.37601692067570835</v>
      </c>
      <c r="F1568" s="1280">
        <v>0.12692191657421245</v>
      </c>
      <c r="G1568" s="1271">
        <v>9.1468219074811543</v>
      </c>
      <c r="H1568" s="1280">
        <v>0.98707297264197214</v>
      </c>
      <c r="I1568" s="1271">
        <v>5.4089341290247089E-2</v>
      </c>
      <c r="J1568" s="1280">
        <v>2.7184850951000759E-3</v>
      </c>
      <c r="K1568" s="1271">
        <v>2.9936396669587675E-3</v>
      </c>
      <c r="L1568" s="1257">
        <v>2.0000010958153062E-3</v>
      </c>
      <c r="M1568" s="1230">
        <v>2.0000010958153062E-3</v>
      </c>
      <c r="N1568" s="1271">
        <v>2.7151209018783092E-2</v>
      </c>
      <c r="O1568" s="1257">
        <v>1.0168105486128808E-2</v>
      </c>
      <c r="P1568" s="1237">
        <v>5.0840527430644038E-3</v>
      </c>
      <c r="Q1568" s="1292">
        <v>5.6535021285494841E-2</v>
      </c>
    </row>
    <row r="1569" spans="1:17" s="212" customFormat="1" ht="15.5" x14ac:dyDescent="0.35">
      <c r="A1569" s="198">
        <v>2041</v>
      </c>
      <c r="B1569" s="197" t="s">
        <v>5838</v>
      </c>
      <c r="C1569" s="197">
        <v>1989</v>
      </c>
      <c r="D1569" s="225" t="str">
        <f t="shared" si="16"/>
        <v>2041_1989</v>
      </c>
      <c r="E1569" s="1291">
        <v>0.37601692067570835</v>
      </c>
      <c r="F1569" s="1280">
        <v>0.12692191657421245</v>
      </c>
      <c r="G1569" s="1271">
        <v>9.1468219074811543</v>
      </c>
      <c r="H1569" s="1280">
        <v>0.98707297264197214</v>
      </c>
      <c r="I1569" s="1271">
        <v>5.4089341290247089E-2</v>
      </c>
      <c r="J1569" s="1280">
        <v>2.7184850951000759E-3</v>
      </c>
      <c r="K1569" s="1271">
        <v>2.9936396669587675E-3</v>
      </c>
      <c r="L1569" s="1257">
        <v>2.0000010958153062E-3</v>
      </c>
      <c r="M1569" s="1230">
        <v>2.0000010958153062E-3</v>
      </c>
      <c r="N1569" s="1271">
        <v>2.7151209018783092E-2</v>
      </c>
      <c r="O1569" s="1257">
        <v>1.0168105486128808E-2</v>
      </c>
      <c r="P1569" s="1237">
        <v>5.0840527430644038E-3</v>
      </c>
      <c r="Q1569" s="1292">
        <v>5.6535021285494841E-2</v>
      </c>
    </row>
    <row r="1570" spans="1:17" s="212" customFormat="1" ht="15.5" x14ac:dyDescent="0.35">
      <c r="A1570" s="198">
        <v>2041</v>
      </c>
      <c r="B1570" s="197" t="s">
        <v>5838</v>
      </c>
      <c r="C1570" s="197">
        <v>1990</v>
      </c>
      <c r="D1570" s="225" t="str">
        <f t="shared" si="16"/>
        <v>2041_1990</v>
      </c>
      <c r="E1570" s="1291">
        <v>0.37601692067570835</v>
      </c>
      <c r="F1570" s="1280">
        <v>0.12692191657421245</v>
      </c>
      <c r="G1570" s="1271">
        <v>9.1468219074811543</v>
      </c>
      <c r="H1570" s="1280">
        <v>0.98707297264197214</v>
      </c>
      <c r="I1570" s="1271">
        <v>5.4089341290247089E-2</v>
      </c>
      <c r="J1570" s="1280">
        <v>2.7184850951000759E-3</v>
      </c>
      <c r="K1570" s="1271">
        <v>2.9936396669587675E-3</v>
      </c>
      <c r="L1570" s="1257">
        <v>2.0000010958153062E-3</v>
      </c>
      <c r="M1570" s="1230">
        <v>2.0000010958153062E-3</v>
      </c>
      <c r="N1570" s="1271">
        <v>2.7151209018783092E-2</v>
      </c>
      <c r="O1570" s="1257">
        <v>1.0168105486128808E-2</v>
      </c>
      <c r="P1570" s="1237">
        <v>5.0840527430644038E-3</v>
      </c>
      <c r="Q1570" s="1292">
        <v>5.6535021285494841E-2</v>
      </c>
    </row>
    <row r="1571" spans="1:17" s="212" customFormat="1" ht="15.5" x14ac:dyDescent="0.35">
      <c r="A1571" s="198">
        <v>2041</v>
      </c>
      <c r="B1571" s="197" t="s">
        <v>5838</v>
      </c>
      <c r="C1571" s="197">
        <v>1991</v>
      </c>
      <c r="D1571" s="225" t="str">
        <f t="shared" si="16"/>
        <v>2041_1991</v>
      </c>
      <c r="E1571" s="1291">
        <v>0.37601692067570835</v>
      </c>
      <c r="F1571" s="1280">
        <v>0.12692191657421245</v>
      </c>
      <c r="G1571" s="1271">
        <v>9.1468219074811543</v>
      </c>
      <c r="H1571" s="1280">
        <v>0.98707297264197214</v>
      </c>
      <c r="I1571" s="1271">
        <v>5.4089341290247089E-2</v>
      </c>
      <c r="J1571" s="1280">
        <v>2.7184850951000759E-3</v>
      </c>
      <c r="K1571" s="1271">
        <v>2.9936396669587675E-3</v>
      </c>
      <c r="L1571" s="1257">
        <v>2.0000010958153062E-3</v>
      </c>
      <c r="M1571" s="1230">
        <v>2.0000010958153062E-3</v>
      </c>
      <c r="N1571" s="1271">
        <v>2.7151209018783092E-2</v>
      </c>
      <c r="O1571" s="1257">
        <v>1.0168105486128808E-2</v>
      </c>
      <c r="P1571" s="1237">
        <v>5.0840527430644038E-3</v>
      </c>
      <c r="Q1571" s="1292">
        <v>5.6535021285494841E-2</v>
      </c>
    </row>
    <row r="1572" spans="1:17" s="212" customFormat="1" ht="15.5" x14ac:dyDescent="0.35">
      <c r="A1572" s="198">
        <v>2041</v>
      </c>
      <c r="B1572" s="197" t="s">
        <v>5838</v>
      </c>
      <c r="C1572" s="197">
        <v>1992</v>
      </c>
      <c r="D1572" s="225" t="str">
        <f t="shared" si="16"/>
        <v>2041_1992</v>
      </c>
      <c r="E1572" s="1291">
        <v>0.37601692067570835</v>
      </c>
      <c r="F1572" s="1280">
        <v>0.12692191657421245</v>
      </c>
      <c r="G1572" s="1271">
        <v>9.1468219074811543</v>
      </c>
      <c r="H1572" s="1280">
        <v>0.98707297264197214</v>
      </c>
      <c r="I1572" s="1271">
        <v>5.4089341290247089E-2</v>
      </c>
      <c r="J1572" s="1280">
        <v>2.7184850951000759E-3</v>
      </c>
      <c r="K1572" s="1271">
        <v>2.9936396669587675E-3</v>
      </c>
      <c r="L1572" s="1257">
        <v>2.0000010958153062E-3</v>
      </c>
      <c r="M1572" s="1230">
        <v>2.0000010958153062E-3</v>
      </c>
      <c r="N1572" s="1271">
        <v>2.7151209018783092E-2</v>
      </c>
      <c r="O1572" s="1257">
        <v>1.0168105486128808E-2</v>
      </c>
      <c r="P1572" s="1237">
        <v>5.0840527430644038E-3</v>
      </c>
      <c r="Q1572" s="1292">
        <v>5.6535021285494841E-2</v>
      </c>
    </row>
    <row r="1573" spans="1:17" s="212" customFormat="1" ht="15.5" x14ac:dyDescent="0.35">
      <c r="A1573" s="198">
        <v>2041</v>
      </c>
      <c r="B1573" s="197" t="s">
        <v>5838</v>
      </c>
      <c r="C1573" s="197">
        <v>1993</v>
      </c>
      <c r="D1573" s="225" t="str">
        <f t="shared" si="16"/>
        <v>2041_1993</v>
      </c>
      <c r="E1573" s="1291">
        <v>0.37601692067570835</v>
      </c>
      <c r="F1573" s="1280">
        <v>0.12692191657421245</v>
      </c>
      <c r="G1573" s="1271">
        <v>9.1468219074811543</v>
      </c>
      <c r="H1573" s="1280">
        <v>0.98707297264197214</v>
      </c>
      <c r="I1573" s="1271">
        <v>5.4089341290247089E-2</v>
      </c>
      <c r="J1573" s="1280">
        <v>2.7184850951000759E-3</v>
      </c>
      <c r="K1573" s="1271">
        <v>2.9936396669587675E-3</v>
      </c>
      <c r="L1573" s="1257">
        <v>2.0000010958153062E-3</v>
      </c>
      <c r="M1573" s="1230">
        <v>2.0000010958153062E-3</v>
      </c>
      <c r="N1573" s="1271">
        <v>2.7151209018783092E-2</v>
      </c>
      <c r="O1573" s="1257">
        <v>1.0168105486128808E-2</v>
      </c>
      <c r="P1573" s="1237">
        <v>5.0840527430644038E-3</v>
      </c>
      <c r="Q1573" s="1292">
        <v>5.6535021285494841E-2</v>
      </c>
    </row>
    <row r="1574" spans="1:17" s="212" customFormat="1" ht="15.5" x14ac:dyDescent="0.35">
      <c r="A1574" s="198">
        <v>2041</v>
      </c>
      <c r="B1574" s="197" t="s">
        <v>5838</v>
      </c>
      <c r="C1574" s="197">
        <v>1994</v>
      </c>
      <c r="D1574" s="225" t="str">
        <f t="shared" si="16"/>
        <v>2041_1994</v>
      </c>
      <c r="E1574" s="1291">
        <v>0.37601692067570835</v>
      </c>
      <c r="F1574" s="1280">
        <v>0.12692191657421245</v>
      </c>
      <c r="G1574" s="1271">
        <v>9.1468219074811543</v>
      </c>
      <c r="H1574" s="1280">
        <v>0.98707297264197214</v>
      </c>
      <c r="I1574" s="1271">
        <v>5.4089341290247089E-2</v>
      </c>
      <c r="J1574" s="1280">
        <v>2.7184850951000759E-3</v>
      </c>
      <c r="K1574" s="1271">
        <v>2.9936396669587675E-3</v>
      </c>
      <c r="L1574" s="1257">
        <v>2.0000010958153062E-3</v>
      </c>
      <c r="M1574" s="1230">
        <v>2.0000010958153062E-3</v>
      </c>
      <c r="N1574" s="1271">
        <v>2.7151209018783092E-2</v>
      </c>
      <c r="O1574" s="1257">
        <v>1.0168105486128808E-2</v>
      </c>
      <c r="P1574" s="1237">
        <v>5.0840527430644038E-3</v>
      </c>
      <c r="Q1574" s="1292">
        <v>5.6535021285494841E-2</v>
      </c>
    </row>
    <row r="1575" spans="1:17" s="212" customFormat="1" ht="15.5" x14ac:dyDescent="0.35">
      <c r="A1575" s="198">
        <v>2041</v>
      </c>
      <c r="B1575" s="197" t="s">
        <v>5838</v>
      </c>
      <c r="C1575" s="197">
        <v>1995</v>
      </c>
      <c r="D1575" s="225" t="str">
        <f t="shared" si="16"/>
        <v>2041_1995</v>
      </c>
      <c r="E1575" s="1291">
        <v>0.37601692067570835</v>
      </c>
      <c r="F1575" s="1280">
        <v>0.12692191657421245</v>
      </c>
      <c r="G1575" s="1271">
        <v>9.1468219074811543</v>
      </c>
      <c r="H1575" s="1280">
        <v>0.98707297264197214</v>
      </c>
      <c r="I1575" s="1271">
        <v>5.4089341290247089E-2</v>
      </c>
      <c r="J1575" s="1280">
        <v>2.7184850951000759E-3</v>
      </c>
      <c r="K1575" s="1271">
        <v>2.9936396669587675E-3</v>
      </c>
      <c r="L1575" s="1257">
        <v>2.0000010958153062E-3</v>
      </c>
      <c r="M1575" s="1230">
        <v>2.0000010958153062E-3</v>
      </c>
      <c r="N1575" s="1271">
        <v>2.7151209018783092E-2</v>
      </c>
      <c r="O1575" s="1257">
        <v>1.0168105486128808E-2</v>
      </c>
      <c r="P1575" s="1237">
        <v>5.0840527430644038E-3</v>
      </c>
      <c r="Q1575" s="1292">
        <v>5.6535021285494841E-2</v>
      </c>
    </row>
    <row r="1576" spans="1:17" s="212" customFormat="1" ht="15.5" x14ac:dyDescent="0.35">
      <c r="A1576" s="198">
        <v>2041</v>
      </c>
      <c r="B1576" s="197" t="s">
        <v>5838</v>
      </c>
      <c r="C1576" s="197">
        <v>1996</v>
      </c>
      <c r="D1576" s="225" t="str">
        <f t="shared" si="16"/>
        <v>2041_1996</v>
      </c>
      <c r="E1576" s="1291">
        <v>0.37601692067570835</v>
      </c>
      <c r="F1576" s="1280">
        <v>0.12692191657421245</v>
      </c>
      <c r="G1576" s="1271">
        <v>9.1468219074811543</v>
      </c>
      <c r="H1576" s="1280">
        <v>0.98707297264197214</v>
      </c>
      <c r="I1576" s="1271">
        <v>5.4089341290247089E-2</v>
      </c>
      <c r="J1576" s="1280">
        <v>2.7184850951000759E-3</v>
      </c>
      <c r="K1576" s="1271">
        <v>2.9936396669587675E-3</v>
      </c>
      <c r="L1576" s="1257">
        <v>2.0000010958153062E-3</v>
      </c>
      <c r="M1576" s="1230">
        <v>2.0000010958153062E-3</v>
      </c>
      <c r="N1576" s="1271">
        <v>2.7151209018783092E-2</v>
      </c>
      <c r="O1576" s="1257">
        <v>1.0168105486128808E-2</v>
      </c>
      <c r="P1576" s="1237">
        <v>5.0840527430644038E-3</v>
      </c>
      <c r="Q1576" s="1292">
        <v>5.6535021285494841E-2</v>
      </c>
    </row>
    <row r="1577" spans="1:17" s="212" customFormat="1" ht="15.5" x14ac:dyDescent="0.35">
      <c r="A1577" s="198">
        <v>2041</v>
      </c>
      <c r="B1577" s="197" t="s">
        <v>5838</v>
      </c>
      <c r="C1577" s="197">
        <v>1997</v>
      </c>
      <c r="D1577" s="225" t="str">
        <f t="shared" si="16"/>
        <v>2041_1997</v>
      </c>
      <c r="E1577" s="1287">
        <v>0.37601692067570835</v>
      </c>
      <c r="F1577" s="1306">
        <v>0.12692191657421245</v>
      </c>
      <c r="G1577" s="1303">
        <v>9.1468219074811543</v>
      </c>
      <c r="H1577" s="1306">
        <v>0.98707297264197214</v>
      </c>
      <c r="I1577" s="1303">
        <v>5.4089341290247089E-2</v>
      </c>
      <c r="J1577" s="1306">
        <v>2.7184850951000759E-3</v>
      </c>
      <c r="K1577" s="1303">
        <v>2.9936396669587675E-3</v>
      </c>
      <c r="L1577" s="1288">
        <v>2.0000010958153062E-3</v>
      </c>
      <c r="M1577" s="1230">
        <v>2.0000010958153062E-3</v>
      </c>
      <c r="N1577" s="1303">
        <v>2.7151209018783092E-2</v>
      </c>
      <c r="O1577" s="1288">
        <v>1.0168105486128808E-2</v>
      </c>
      <c r="P1577" s="1237">
        <v>5.0840527430644038E-3</v>
      </c>
      <c r="Q1577" s="1290">
        <v>5.6535021285494841E-2</v>
      </c>
    </row>
    <row r="1578" spans="1:17" s="212" customFormat="1" ht="15.5" x14ac:dyDescent="0.35">
      <c r="A1578" s="198">
        <v>2041</v>
      </c>
      <c r="B1578" s="197" t="s">
        <v>5838</v>
      </c>
      <c r="C1578" s="197">
        <v>1998</v>
      </c>
      <c r="D1578" s="225" t="str">
        <f t="shared" si="16"/>
        <v>2041_1998</v>
      </c>
      <c r="E1578" s="1287">
        <v>0.37514064024803379</v>
      </c>
      <c r="F1578" s="1306">
        <v>0.13021601539065619</v>
      </c>
      <c r="G1578" s="1303">
        <v>9.1480577800757192</v>
      </c>
      <c r="H1578" s="1306">
        <v>1.0104450084084255</v>
      </c>
      <c r="I1578" s="1303">
        <v>5.3991294557141259E-2</v>
      </c>
      <c r="J1578" s="1306">
        <v>2.757111864399555E-3</v>
      </c>
      <c r="K1578" s="1303">
        <v>2.9926864118334125E-3</v>
      </c>
      <c r="L1578" s="1288">
        <v>2.0000011605142256E-3</v>
      </c>
      <c r="M1578" s="1230">
        <v>2.0000011605142256E-3</v>
      </c>
      <c r="N1578" s="1303">
        <v>2.7126976660207063E-2</v>
      </c>
      <c r="O1578" s="1288">
        <v>8.5415249240144361E-3</v>
      </c>
      <c r="P1578" s="1237">
        <v>4.2707624620072181E-3</v>
      </c>
      <c r="Q1578" s="1290">
        <v>5.6432541314193937E-2</v>
      </c>
    </row>
    <row r="1579" spans="1:17" s="212" customFormat="1" ht="15.5" x14ac:dyDescent="0.35">
      <c r="A1579" s="198">
        <v>2041</v>
      </c>
      <c r="B1579" s="197" t="s">
        <v>5838</v>
      </c>
      <c r="C1579" s="197">
        <v>1999</v>
      </c>
      <c r="D1579" s="225" t="str">
        <f t="shared" si="16"/>
        <v>2041_1999</v>
      </c>
      <c r="E1579" s="1287">
        <v>0.37662162114562781</v>
      </c>
      <c r="F1579" s="1306">
        <v>0.12735022346207631</v>
      </c>
      <c r="G1579" s="1303">
        <v>9.1860818512401003</v>
      </c>
      <c r="H1579" s="1306">
        <v>0.9988255869483893</v>
      </c>
      <c r="I1579" s="1303">
        <v>5.4030688037424356E-2</v>
      </c>
      <c r="J1579" s="1306">
        <v>2.7815822456096987E-3</v>
      </c>
      <c r="K1579" s="1303">
        <v>2.9973811819223942E-3</v>
      </c>
      <c r="L1579" s="1288">
        <v>2.0000012007759015E-3</v>
      </c>
      <c r="M1579" s="1230">
        <v>2.0000012007759015E-3</v>
      </c>
      <c r="N1579" s="1303">
        <v>2.7238803087907243E-2</v>
      </c>
      <c r="O1579" s="1288">
        <v>8.2757715702618407E-3</v>
      </c>
      <c r="P1579" s="1237">
        <v>4.1378857851309203E-3</v>
      </c>
      <c r="Q1579" s="1290">
        <v>5.647371599284938E-2</v>
      </c>
    </row>
    <row r="1580" spans="1:17" s="212" customFormat="1" ht="15.5" x14ac:dyDescent="0.35">
      <c r="A1580" s="198">
        <v>2041</v>
      </c>
      <c r="B1580" s="197" t="s">
        <v>5838</v>
      </c>
      <c r="C1580" s="197">
        <v>2000</v>
      </c>
      <c r="D1580" s="225" t="str">
        <f t="shared" si="16"/>
        <v>2041_2000</v>
      </c>
      <c r="E1580" s="1287">
        <v>0.37538562573225431</v>
      </c>
      <c r="F1580" s="1306">
        <v>0.12214688142797882</v>
      </c>
      <c r="G1580" s="1303">
        <v>9.2330491007946573</v>
      </c>
      <c r="H1580" s="1306">
        <v>0.97377273141045495</v>
      </c>
      <c r="I1580" s="1303">
        <v>5.3778837649969088E-2</v>
      </c>
      <c r="J1580" s="1306">
        <v>2.7816896546271628E-3</v>
      </c>
      <c r="K1580" s="1303">
        <v>2.9992625528637989E-3</v>
      </c>
      <c r="L1580" s="1288">
        <v>2.000001243152992E-3</v>
      </c>
      <c r="M1580" s="1230">
        <v>2.000001243152992E-3</v>
      </c>
      <c r="N1580" s="1303">
        <v>2.72825377782446E-2</v>
      </c>
      <c r="O1580" s="1288">
        <v>8.4507800759142139E-3</v>
      </c>
      <c r="P1580" s="1237">
        <v>4.225390037957107E-3</v>
      </c>
      <c r="Q1580" s="1290">
        <v>5.6210478048443042E-2</v>
      </c>
    </row>
    <row r="1581" spans="1:17" s="212" customFormat="1" ht="15.5" x14ac:dyDescent="0.35">
      <c r="A1581" s="198">
        <v>2041</v>
      </c>
      <c r="B1581" s="197" t="s">
        <v>5838</v>
      </c>
      <c r="C1581" s="197">
        <v>2001</v>
      </c>
      <c r="D1581" s="225" t="str">
        <f t="shared" si="16"/>
        <v>2041_2001</v>
      </c>
      <c r="E1581" s="1287">
        <v>0.37726061992466253</v>
      </c>
      <c r="F1581" s="1306">
        <v>0.11910269973862143</v>
      </c>
      <c r="G1581" s="1303">
        <v>9.2035431114739161</v>
      </c>
      <c r="H1581" s="1306">
        <v>0.95518635968911725</v>
      </c>
      <c r="I1581" s="1303">
        <v>5.4028164798314661E-2</v>
      </c>
      <c r="J1581" s="1306">
        <v>2.8049102832290113E-3</v>
      </c>
      <c r="K1581" s="1303">
        <v>2.9997689253031599E-3</v>
      </c>
      <c r="L1581" s="1288">
        <v>2.0000012335004455E-3</v>
      </c>
      <c r="M1581" s="1230">
        <v>2.0000012335004455E-3</v>
      </c>
      <c r="N1581" s="1303">
        <v>2.7294605311062141E-2</v>
      </c>
      <c r="O1581" s="1288">
        <v>7.8020811007343868E-3</v>
      </c>
      <c r="P1581" s="1237">
        <v>3.9010405503671934E-3</v>
      </c>
      <c r="Q1581" s="1290">
        <v>5.6471078664063923E-2</v>
      </c>
    </row>
    <row r="1582" spans="1:17" s="212" customFormat="1" ht="15.5" x14ac:dyDescent="0.35">
      <c r="A1582" s="198">
        <v>2041</v>
      </c>
      <c r="B1582" s="197" t="s">
        <v>5838</v>
      </c>
      <c r="C1582" s="197">
        <v>2002</v>
      </c>
      <c r="D1582" s="225" t="str">
        <f t="shared" si="16"/>
        <v>2041_2002</v>
      </c>
      <c r="E1582" s="1287">
        <v>0.29095880012768122</v>
      </c>
      <c r="F1582" s="1306">
        <v>0.11846842262985167</v>
      </c>
      <c r="G1582" s="1303">
        <v>7.1201947316116039</v>
      </c>
      <c r="H1582" s="1306">
        <v>0.92638827272257473</v>
      </c>
      <c r="I1582" s="1303">
        <v>5.4238002716099951E-2</v>
      </c>
      <c r="J1582" s="1306">
        <v>2.8173419966408897E-3</v>
      </c>
      <c r="K1582" s="1303">
        <v>2.9998923438158405E-3</v>
      </c>
      <c r="L1582" s="1288">
        <v>2.0000012912532454E-3</v>
      </c>
      <c r="M1582" s="1230">
        <v>2.0000012912532454E-3</v>
      </c>
      <c r="N1582" s="1303">
        <v>2.7297486259366129E-2</v>
      </c>
      <c r="O1582" s="1288">
        <v>7.2250959973561013E-3</v>
      </c>
      <c r="P1582" s="1237">
        <v>3.6125479986780507E-3</v>
      </c>
      <c r="Q1582" s="1290">
        <v>5.6690404521349436E-2</v>
      </c>
    </row>
    <row r="1583" spans="1:17" s="212" customFormat="1" ht="15.5" x14ac:dyDescent="0.35">
      <c r="A1583" s="198">
        <v>2041</v>
      </c>
      <c r="B1583" s="197" t="s">
        <v>5838</v>
      </c>
      <c r="C1583" s="197">
        <v>2003</v>
      </c>
      <c r="D1583" s="225" t="str">
        <f t="shared" si="16"/>
        <v>2041_2003</v>
      </c>
      <c r="E1583" s="1287">
        <v>0.28940205137249619</v>
      </c>
      <c r="F1583" s="1306">
        <v>9.6190757644113764E-2</v>
      </c>
      <c r="G1583" s="1303">
        <v>7.1466045605400632</v>
      </c>
      <c r="H1583" s="1306">
        <v>0.72133678073923257</v>
      </c>
      <c r="I1583" s="1303">
        <v>5.394841959197752E-2</v>
      </c>
      <c r="J1583" s="1306">
        <v>2.8047797693977299E-3</v>
      </c>
      <c r="K1583" s="1303">
        <v>2.9998757905609738E-3</v>
      </c>
      <c r="L1583" s="1288">
        <v>2.000001310886203E-3</v>
      </c>
      <c r="M1583" s="1230">
        <v>2.000001310886203E-3</v>
      </c>
      <c r="N1583" s="1303">
        <v>2.7297138266986407E-2</v>
      </c>
      <c r="O1583" s="1288">
        <v>7.5740041124121756E-3</v>
      </c>
      <c r="P1583" s="1237">
        <v>3.7870020562060878E-3</v>
      </c>
      <c r="Q1583" s="1290">
        <v>5.6387727733360392E-2</v>
      </c>
    </row>
    <row r="1584" spans="1:17" s="212" customFormat="1" ht="15.5" x14ac:dyDescent="0.35">
      <c r="A1584" s="198">
        <v>2041</v>
      </c>
      <c r="B1584" s="197" t="s">
        <v>5838</v>
      </c>
      <c r="C1584" s="197">
        <v>2004</v>
      </c>
      <c r="D1584" s="225" t="str">
        <f t="shared" si="16"/>
        <v>2041_2004</v>
      </c>
      <c r="E1584" s="1287">
        <v>0.59565952011442458</v>
      </c>
      <c r="F1584" s="1306">
        <v>1.8059183256814996E-2</v>
      </c>
      <c r="G1584" s="1303">
        <v>4.2065593120360845</v>
      </c>
      <c r="H1584" s="1306">
        <v>0.12147664030794803</v>
      </c>
      <c r="I1584" s="1303">
        <v>0.15434089691007977</v>
      </c>
      <c r="J1584" s="1306">
        <v>1.8771783345305088E-4</v>
      </c>
      <c r="K1584" s="1303">
        <v>2.9989601476603685E-3</v>
      </c>
      <c r="L1584" s="1288">
        <v>2.0000013797961918E-3</v>
      </c>
      <c r="M1584" s="1230">
        <v>2.0000013797961918E-3</v>
      </c>
      <c r="N1584" s="1303">
        <v>2.7275564522819526E-2</v>
      </c>
      <c r="O1584" s="1288">
        <v>7.0074681433829307E-3</v>
      </c>
      <c r="P1584" s="1237">
        <v>3.5037340716914654E-3</v>
      </c>
      <c r="Q1584" s="1290">
        <v>0.16131950739076642</v>
      </c>
    </row>
    <row r="1585" spans="1:17" s="212" customFormat="1" ht="15.5" x14ac:dyDescent="0.35">
      <c r="A1585" s="198">
        <v>2041</v>
      </c>
      <c r="B1585" s="197" t="s">
        <v>5838</v>
      </c>
      <c r="C1585" s="197">
        <v>2005</v>
      </c>
      <c r="D1585" s="225" t="str">
        <f t="shared" si="16"/>
        <v>2041_2005</v>
      </c>
      <c r="E1585" s="1287">
        <v>0.55815484426512729</v>
      </c>
      <c r="F1585" s="1306">
        <v>1.6113922560456601E-2</v>
      </c>
      <c r="G1585" s="1303">
        <v>4.0263483420762594</v>
      </c>
      <c r="H1585" s="1306">
        <v>0.10656958477229476</v>
      </c>
      <c r="I1585" s="1303">
        <v>0.14673406651217219</v>
      </c>
      <c r="J1585" s="1306">
        <v>1.8789441204032696E-4</v>
      </c>
      <c r="K1585" s="1303">
        <v>2.9261273213481652E-3</v>
      </c>
      <c r="L1585" s="1288">
        <v>2.0000013977578492E-3</v>
      </c>
      <c r="M1585" s="1230">
        <v>2.0000013977578492E-3</v>
      </c>
      <c r="N1585" s="1303">
        <v>2.5558037314744438E-2</v>
      </c>
      <c r="O1585" s="1288">
        <v>6.5721800948993735E-3</v>
      </c>
      <c r="P1585" s="1237">
        <v>3.2860900474496867E-3</v>
      </c>
      <c r="Q1585" s="1290">
        <v>0.15336872987707567</v>
      </c>
    </row>
    <row r="1586" spans="1:17" s="212" customFormat="1" ht="15.5" x14ac:dyDescent="0.35">
      <c r="A1586" s="198">
        <v>2041</v>
      </c>
      <c r="B1586" s="197" t="s">
        <v>5838</v>
      </c>
      <c r="C1586" s="197">
        <v>2006</v>
      </c>
      <c r="D1586" s="225" t="str">
        <f t="shared" si="16"/>
        <v>2041_2006</v>
      </c>
      <c r="E1586" s="1287">
        <v>0.57370917041878489</v>
      </c>
      <c r="F1586" s="1306">
        <v>7.1230294368348828E-3</v>
      </c>
      <c r="G1586" s="1303">
        <v>4.1051566805141366</v>
      </c>
      <c r="H1586" s="1306">
        <v>8.5513894031692669E-2</v>
      </c>
      <c r="I1586" s="1303">
        <v>0.14984312792734394</v>
      </c>
      <c r="J1586" s="1306">
        <v>1.8290794830387396E-4</v>
      </c>
      <c r="K1586" s="1303">
        <v>2.9613970167599261E-3</v>
      </c>
      <c r="L1586" s="1288">
        <v>2.000001300644874E-3</v>
      </c>
      <c r="M1586" s="1230">
        <v>2.000001300644874E-3</v>
      </c>
      <c r="N1586" s="1303">
        <v>2.6389396525911539E-2</v>
      </c>
      <c r="O1586" s="1288">
        <v>9.6651928359049264E-3</v>
      </c>
      <c r="P1586" s="1237">
        <v>4.8325964179524632E-3</v>
      </c>
      <c r="Q1586" s="1290">
        <v>0.15661836925318606</v>
      </c>
    </row>
    <row r="1587" spans="1:17" s="212" customFormat="1" ht="15.5" x14ac:dyDescent="0.35">
      <c r="A1587" s="198">
        <v>2041</v>
      </c>
      <c r="B1587" s="197" t="s">
        <v>5838</v>
      </c>
      <c r="C1587" s="197">
        <v>2007</v>
      </c>
      <c r="D1587" s="225" t="str">
        <f t="shared" si="16"/>
        <v>2041_2007</v>
      </c>
      <c r="E1587" s="1287">
        <v>0.31811646816814387</v>
      </c>
      <c r="F1587" s="1306">
        <v>8.9705435425684529E-3</v>
      </c>
      <c r="G1587" s="1303">
        <v>2.3168028361073607</v>
      </c>
      <c r="H1587" s="1306">
        <v>7.1682081787717358E-2</v>
      </c>
      <c r="I1587" s="1303">
        <v>8.3060005572701032E-2</v>
      </c>
      <c r="J1587" s="1306">
        <v>1.866873012267117E-4</v>
      </c>
      <c r="K1587" s="1303">
        <v>2.9404124119913728E-3</v>
      </c>
      <c r="L1587" s="1288">
        <v>2.000001330753625E-3</v>
      </c>
      <c r="M1587" s="1230">
        <v>2.000001330753625E-3</v>
      </c>
      <c r="N1587" s="1303">
        <v>2.5895581524524956E-2</v>
      </c>
      <c r="O1587" s="1288">
        <v>6.945101379738158E-3</v>
      </c>
      <c r="P1587" s="1237">
        <v>3.472550689869079E-3</v>
      </c>
      <c r="Q1587" s="1290">
        <v>8.6815610451382488E-2</v>
      </c>
    </row>
    <row r="1588" spans="1:17" s="212" customFormat="1" ht="15.5" x14ac:dyDescent="0.35">
      <c r="A1588" s="198">
        <v>2041</v>
      </c>
      <c r="B1588" s="197" t="s">
        <v>5838</v>
      </c>
      <c r="C1588" s="197">
        <v>2008</v>
      </c>
      <c r="D1588" s="225" t="str">
        <f t="shared" si="16"/>
        <v>2041_2008</v>
      </c>
      <c r="E1588" s="1287">
        <v>0.32638723092297828</v>
      </c>
      <c r="F1588" s="1306">
        <v>8.3493254817919148E-3</v>
      </c>
      <c r="G1588" s="1303">
        <v>2.3824801387858376</v>
      </c>
      <c r="H1588" s="1306">
        <v>5.46488966370842E-2</v>
      </c>
      <c r="I1588" s="1303">
        <v>8.5205800639248194E-2</v>
      </c>
      <c r="J1588" s="1306">
        <v>2.1020636758880006E-4</v>
      </c>
      <c r="K1588" s="1303">
        <v>2.9691194079520672E-3</v>
      </c>
      <c r="L1588" s="1288">
        <v>2.0000014612481243E-3</v>
      </c>
      <c r="M1588" s="1230">
        <v>2.0000014612481243E-3</v>
      </c>
      <c r="N1588" s="1303">
        <v>2.6573218552671109E-2</v>
      </c>
      <c r="O1588" s="1288">
        <v>6.9330854831461831E-3</v>
      </c>
      <c r="P1588" s="1237">
        <v>3.4665427415730915E-3</v>
      </c>
      <c r="Q1588" s="1290">
        <v>8.9058428849014382E-2</v>
      </c>
    </row>
    <row r="1589" spans="1:17" s="212" customFormat="1" ht="15.5" x14ac:dyDescent="0.35">
      <c r="A1589" s="198">
        <v>2041</v>
      </c>
      <c r="B1589" s="197" t="s">
        <v>5838</v>
      </c>
      <c r="C1589" s="197">
        <v>2009</v>
      </c>
      <c r="D1589" s="225" t="str">
        <f t="shared" si="16"/>
        <v>2041_2009</v>
      </c>
      <c r="E1589" s="1287">
        <v>0.31746318293557796</v>
      </c>
      <c r="F1589" s="1306">
        <v>7.9545005010874699E-3</v>
      </c>
      <c r="G1589" s="1303">
        <v>2.2929199229954524</v>
      </c>
      <c r="H1589" s="1306">
        <v>3.8727618382696428E-2</v>
      </c>
      <c r="I1589" s="1303">
        <v>8.2686882370284376E-2</v>
      </c>
      <c r="J1589" s="1306">
        <v>2.3894861757154905E-4</v>
      </c>
      <c r="K1589" s="1303">
        <v>2.9245807110043869E-3</v>
      </c>
      <c r="L1589" s="1288">
        <v>2.0000015188782055E-3</v>
      </c>
      <c r="M1589" s="1230">
        <v>2.0000015188782055E-3</v>
      </c>
      <c r="N1589" s="1303">
        <v>2.5526275796592307E-2</v>
      </c>
      <c r="O1589" s="1288">
        <v>5.4371356608575241E-3</v>
      </c>
      <c r="P1589" s="1237">
        <v>2.7185678304287621E-3</v>
      </c>
      <c r="Q1589" s="1290">
        <v>8.6425616273462263E-2</v>
      </c>
    </row>
    <row r="1590" spans="1:17" s="212" customFormat="1" ht="15.5" x14ac:dyDescent="0.35">
      <c r="A1590" s="198">
        <v>2041</v>
      </c>
      <c r="B1590" s="197" t="s">
        <v>5838</v>
      </c>
      <c r="C1590" s="197">
        <v>2010</v>
      </c>
      <c r="D1590" s="225" t="str">
        <f t="shared" si="16"/>
        <v>2041_2010</v>
      </c>
      <c r="E1590" s="1287">
        <v>6.8469378881712756E-2</v>
      </c>
      <c r="F1590" s="1306">
        <v>7.3343796826055366E-3</v>
      </c>
      <c r="G1590" s="1303">
        <v>0.59884622173028923</v>
      </c>
      <c r="H1590" s="1306">
        <v>3.6825025930448528E-2</v>
      </c>
      <c r="I1590" s="1303">
        <v>1.8933094812807499E-2</v>
      </c>
      <c r="J1590" s="1306">
        <v>2.9528036919634595E-4</v>
      </c>
      <c r="K1590" s="1303">
        <v>2.8294204127613395E-3</v>
      </c>
      <c r="L1590" s="1288">
        <v>2.0000015905449345E-3</v>
      </c>
      <c r="M1590" s="1230">
        <v>2.0000015905449345E-3</v>
      </c>
      <c r="N1590" s="1303">
        <v>2.3287685469907962E-2</v>
      </c>
      <c r="O1590" s="1288">
        <v>4.589011039768387E-3</v>
      </c>
      <c r="P1590" s="1237">
        <v>2.2945055198841935E-3</v>
      </c>
      <c r="Q1590" s="1290">
        <v>1.9789165345878709E-2</v>
      </c>
    </row>
    <row r="1591" spans="1:17" s="212" customFormat="1" ht="15.5" x14ac:dyDescent="0.35">
      <c r="A1591" s="198">
        <v>2041</v>
      </c>
      <c r="B1591" s="197" t="s">
        <v>5838</v>
      </c>
      <c r="C1591" s="197">
        <v>2011</v>
      </c>
      <c r="D1591" s="225" t="str">
        <f t="shared" si="16"/>
        <v>2041_2011</v>
      </c>
      <c r="E1591" s="1287">
        <v>7.3330261917986958E-2</v>
      </c>
      <c r="F1591" s="1306">
        <v>7.3084672040331072E-3</v>
      </c>
      <c r="G1591" s="1303">
        <v>0.65670884809550989</v>
      </c>
      <c r="H1591" s="1306">
        <v>3.6631786081978729E-2</v>
      </c>
      <c r="I1591" s="1303">
        <v>2.0197076053627281E-2</v>
      </c>
      <c r="J1591" s="1306">
        <v>3.9200869862278815E-4</v>
      </c>
      <c r="K1591" s="1303">
        <v>2.9176105854705585E-3</v>
      </c>
      <c r="L1591" s="1288">
        <v>2.0000015376581267E-3</v>
      </c>
      <c r="M1591" s="1230">
        <v>2.0000015376581267E-3</v>
      </c>
      <c r="N1591" s="1303">
        <v>2.5367664710735403E-2</v>
      </c>
      <c r="O1591" s="1288">
        <v>5.6455123801614736E-3</v>
      </c>
      <c r="P1591" s="1237">
        <v>2.8227561900807368E-3</v>
      </c>
      <c r="Q1591" s="1290">
        <v>2.1110298209574756E-2</v>
      </c>
    </row>
    <row r="1592" spans="1:17" s="212" customFormat="1" ht="15.5" x14ac:dyDescent="0.35">
      <c r="A1592" s="198">
        <v>2041</v>
      </c>
      <c r="B1592" s="197" t="s">
        <v>5838</v>
      </c>
      <c r="C1592" s="197">
        <v>2012</v>
      </c>
      <c r="D1592" s="225" t="str">
        <f t="shared" si="16"/>
        <v>2041_2012</v>
      </c>
      <c r="E1592" s="1287">
        <v>5.8872208315158062E-2</v>
      </c>
      <c r="F1592" s="1306">
        <v>6.9623268009028948E-3</v>
      </c>
      <c r="G1592" s="1303">
        <v>0.49850272982046462</v>
      </c>
      <c r="H1592" s="1306">
        <v>3.5522195508197719E-2</v>
      </c>
      <c r="I1592" s="1303">
        <v>1.6559435983587743E-2</v>
      </c>
      <c r="J1592" s="1306">
        <v>5.6777165268927308E-4</v>
      </c>
      <c r="K1592" s="1303">
        <v>2.6865972048573756E-3</v>
      </c>
      <c r="L1592" s="1288">
        <v>2.0000015780390597E-3</v>
      </c>
      <c r="M1592" s="1230">
        <v>2.0000015780390597E-3</v>
      </c>
      <c r="N1592" s="1303">
        <v>1.9917451212451049E-2</v>
      </c>
      <c r="O1592" s="1288">
        <v>6.1673268116111454E-3</v>
      </c>
      <c r="P1592" s="1237">
        <v>3.0836634058055727E-3</v>
      </c>
      <c r="Q1592" s="1290">
        <v>1.7308180197356679E-2</v>
      </c>
    </row>
    <row r="1593" spans="1:17" s="212" customFormat="1" ht="15.5" x14ac:dyDescent="0.35">
      <c r="A1593" s="198">
        <v>2041</v>
      </c>
      <c r="B1593" s="197" t="s">
        <v>5838</v>
      </c>
      <c r="C1593" s="197">
        <v>2013</v>
      </c>
      <c r="D1593" s="225" t="str">
        <f t="shared" si="16"/>
        <v>2041_2013</v>
      </c>
      <c r="E1593" s="1287">
        <v>7.1717131231886624E-2</v>
      </c>
      <c r="F1593" s="1306">
        <v>7.4779338062891144E-3</v>
      </c>
      <c r="G1593" s="1303">
        <v>0.63752416428097602</v>
      </c>
      <c r="H1593" s="1306">
        <v>3.6804836414313438E-2</v>
      </c>
      <c r="I1593" s="1303">
        <v>1.977444625242215E-2</v>
      </c>
      <c r="J1593" s="1306">
        <v>8.484125771946445E-4</v>
      </c>
      <c r="K1593" s="1303">
        <v>2.8891945721385131E-3</v>
      </c>
      <c r="L1593" s="1288">
        <v>2.0000015740831169E-3</v>
      </c>
      <c r="M1593" s="1230">
        <v>2.0000015740831169E-3</v>
      </c>
      <c r="N1593" s="1303">
        <v>2.4699506283970701E-2</v>
      </c>
      <c r="O1593" s="1288">
        <v>6.2066470887648826E-3</v>
      </c>
      <c r="P1593" s="1237">
        <v>3.1033235443824413E-3</v>
      </c>
      <c r="Q1593" s="1290">
        <v>2.0668558964151044E-2</v>
      </c>
    </row>
    <row r="1594" spans="1:17" s="212" customFormat="1" ht="15.5" x14ac:dyDescent="0.35">
      <c r="A1594" s="198">
        <v>2041</v>
      </c>
      <c r="B1594" s="197" t="s">
        <v>5838</v>
      </c>
      <c r="C1594" s="197">
        <v>2014</v>
      </c>
      <c r="D1594" s="225" t="str">
        <f t="shared" si="16"/>
        <v>2041_2014</v>
      </c>
      <c r="E1594" s="1287">
        <v>6.3888393354960868E-2</v>
      </c>
      <c r="F1594" s="1306">
        <v>7.6293311187631422E-3</v>
      </c>
      <c r="G1594" s="1303">
        <v>0.5529051730314819</v>
      </c>
      <c r="H1594" s="1306">
        <v>3.7247898165466357E-2</v>
      </c>
      <c r="I1594" s="1303">
        <v>1.7816649175238033E-2</v>
      </c>
      <c r="J1594" s="1306">
        <v>1.2013992512320104E-3</v>
      </c>
      <c r="K1594" s="1303">
        <v>2.7658509233014967E-3</v>
      </c>
      <c r="L1594" s="1288">
        <v>2.0000015941065712E-3</v>
      </c>
      <c r="M1594" s="1230">
        <v>2.0000015941065712E-3</v>
      </c>
      <c r="N1594" s="1303">
        <v>2.178910191573093E-2</v>
      </c>
      <c r="O1594" s="1288">
        <v>5.2755750664670456E-3</v>
      </c>
      <c r="P1594" s="1237">
        <v>2.6377875332335228E-3</v>
      </c>
      <c r="Q1594" s="1290">
        <v>1.8622238990732478E-2</v>
      </c>
    </row>
    <row r="1595" spans="1:17" s="212" customFormat="1" ht="15.5" x14ac:dyDescent="0.35">
      <c r="A1595" s="198">
        <v>2041</v>
      </c>
      <c r="B1595" s="197" t="s">
        <v>5838</v>
      </c>
      <c r="C1595" s="197">
        <v>2015</v>
      </c>
      <c r="D1595" s="225" t="str">
        <f t="shared" si="16"/>
        <v>2041_2015</v>
      </c>
      <c r="E1595" s="1287">
        <v>5.9995944625598541E-2</v>
      </c>
      <c r="F1595" s="1306">
        <v>7.4645687892323596E-3</v>
      </c>
      <c r="G1595" s="1303">
        <v>0.51434393980049631</v>
      </c>
      <c r="H1595" s="1306">
        <v>3.6407477725966905E-2</v>
      </c>
      <c r="I1595" s="1303">
        <v>1.6885195800482131E-2</v>
      </c>
      <c r="J1595" s="1306">
        <v>1.4842906202610644E-3</v>
      </c>
      <c r="K1595" s="1303">
        <v>2.7116175563277815E-3</v>
      </c>
      <c r="L1595" s="1288">
        <v>2.0000015538836997E-3</v>
      </c>
      <c r="M1595" s="1230">
        <v>2.0000015538836997E-3</v>
      </c>
      <c r="N1595" s="1303">
        <v>2.0499575514003679E-2</v>
      </c>
      <c r="O1595" s="1288">
        <v>6.2434267431122278E-3</v>
      </c>
      <c r="P1595" s="1237">
        <v>3.1217133715561139E-3</v>
      </c>
      <c r="Q1595" s="1290">
        <v>1.7648669427633278E-2</v>
      </c>
    </row>
    <row r="1596" spans="1:17" s="212" customFormat="1" ht="15.5" x14ac:dyDescent="0.35">
      <c r="A1596" s="198">
        <v>2041</v>
      </c>
      <c r="B1596" s="197" t="s">
        <v>5838</v>
      </c>
      <c r="C1596" s="197">
        <v>2016</v>
      </c>
      <c r="D1596" s="225" t="str">
        <f t="shared" ref="D1596:D1686" si="17">CONCATENATE(A1596,"_",C1596)</f>
        <v>2041_2016</v>
      </c>
      <c r="E1596" s="1287">
        <v>6.8315619482840886E-2</v>
      </c>
      <c r="F1596" s="1306">
        <v>7.339932568993365E-3</v>
      </c>
      <c r="G1596" s="1303">
        <v>0.53961932631750842</v>
      </c>
      <c r="H1596" s="1306">
        <v>3.5684475849172274E-2</v>
      </c>
      <c r="I1596" s="1303">
        <v>1.901113376007783E-2</v>
      </c>
      <c r="J1596" s="1306">
        <v>1.6845544280793352E-3</v>
      </c>
      <c r="K1596" s="1303">
        <v>2.8567167812206824E-3</v>
      </c>
      <c r="L1596" s="1288">
        <v>2.0000014943702912E-3</v>
      </c>
      <c r="M1596" s="1230">
        <v>2.0000014943702912E-3</v>
      </c>
      <c r="N1596" s="1303">
        <v>2.392268328822281E-2</v>
      </c>
      <c r="O1596" s="1288">
        <v>7.2066113944432783E-3</v>
      </c>
      <c r="P1596" s="1237">
        <v>3.6033056972216392E-3</v>
      </c>
      <c r="Q1596" s="1290">
        <v>1.987073286805191E-2</v>
      </c>
    </row>
    <row r="1597" spans="1:17" s="212" customFormat="1" ht="15.5" x14ac:dyDescent="0.35">
      <c r="A1597" s="198">
        <v>2041</v>
      </c>
      <c r="B1597" s="197" t="s">
        <v>5838</v>
      </c>
      <c r="C1597" s="197">
        <v>2017</v>
      </c>
      <c r="D1597" s="225" t="str">
        <f t="shared" si="17"/>
        <v>2041_2017</v>
      </c>
      <c r="E1597" s="1287">
        <v>6.996542319608598E-2</v>
      </c>
      <c r="F1597" s="1306">
        <v>7.0809576384780332E-3</v>
      </c>
      <c r="G1597" s="1303">
        <v>0.48292057244217657</v>
      </c>
      <c r="H1597" s="1306">
        <v>3.5011988697269236E-2</v>
      </c>
      <c r="I1597" s="1303">
        <v>1.9430449869827914E-2</v>
      </c>
      <c r="J1597" s="1306">
        <v>1.8108572157687656E-3</v>
      </c>
      <c r="K1597" s="1303">
        <v>2.8826925377403623E-3</v>
      </c>
      <c r="L1597" s="1288">
        <v>2.0000014649697705E-3</v>
      </c>
      <c r="M1597" s="1230">
        <v>2.0000014649697705E-3</v>
      </c>
      <c r="N1597" s="1303">
        <v>2.453895796913377E-2</v>
      </c>
      <c r="O1597" s="1288">
        <v>7.1364871168789765E-3</v>
      </c>
      <c r="P1597" s="1237">
        <v>3.5682435584394883E-3</v>
      </c>
      <c r="Q1597" s="1290">
        <v>2.0309008591597233E-2</v>
      </c>
    </row>
    <row r="1598" spans="1:17" s="212" customFormat="1" ht="15.5" x14ac:dyDescent="0.35">
      <c r="A1598" s="198">
        <v>2041</v>
      </c>
      <c r="B1598" s="197" t="s">
        <v>5838</v>
      </c>
      <c r="C1598" s="197">
        <v>2018</v>
      </c>
      <c r="D1598" s="225" t="str">
        <f t="shared" si="17"/>
        <v>2041_2018</v>
      </c>
      <c r="E1598" s="1287">
        <v>6.5845488350610701E-2</v>
      </c>
      <c r="F1598" s="1306">
        <v>6.9768421477840051E-3</v>
      </c>
      <c r="G1598" s="1303">
        <v>0.37129163656690389</v>
      </c>
      <c r="H1598" s="1306">
        <v>3.4641595010817781E-2</v>
      </c>
      <c r="I1598" s="1303">
        <v>1.8353766645059607E-2</v>
      </c>
      <c r="J1598" s="1306">
        <v>1.9160562426445938E-3</v>
      </c>
      <c r="K1598" s="1303">
        <v>2.8124289319351068E-3</v>
      </c>
      <c r="L1598" s="1288">
        <v>2.0000014670177304E-3</v>
      </c>
      <c r="M1598" s="1230">
        <v>2.0000014670177304E-3</v>
      </c>
      <c r="N1598" s="1303">
        <v>2.2879281622734195E-2</v>
      </c>
      <c r="O1598" s="1288">
        <v>6.4297398740714804E-3</v>
      </c>
      <c r="P1598" s="1237">
        <v>3.2148699370357402E-3</v>
      </c>
      <c r="Q1598" s="1290">
        <v>1.9183642529115929E-2</v>
      </c>
    </row>
    <row r="1599" spans="1:17" s="212" customFormat="1" ht="15.5" x14ac:dyDescent="0.35">
      <c r="A1599" s="198">
        <v>2041</v>
      </c>
      <c r="B1599" s="197" t="s">
        <v>5838</v>
      </c>
      <c r="C1599" s="197">
        <v>2019</v>
      </c>
      <c r="D1599" s="225" t="str">
        <f t="shared" si="17"/>
        <v>2041_2019</v>
      </c>
      <c r="E1599" s="1287">
        <v>7.3201349601225721E-2</v>
      </c>
      <c r="F1599" s="1306">
        <v>6.8568862628869201E-3</v>
      </c>
      <c r="G1599" s="1303">
        <v>0.3675352850332797</v>
      </c>
      <c r="H1599" s="1306">
        <v>3.3926973198001413E-2</v>
      </c>
      <c r="I1599" s="1303">
        <v>2.0174270959572846E-2</v>
      </c>
      <c r="J1599" s="1306">
        <v>1.8202956996263965E-3</v>
      </c>
      <c r="K1599" s="1303">
        <v>2.9440582236449453E-3</v>
      </c>
      <c r="L1599" s="1288">
        <v>2.0000014086355594E-3</v>
      </c>
      <c r="M1599" s="1230">
        <v>2.0000014086355594E-3</v>
      </c>
      <c r="N1599" s="1303">
        <v>2.5982623710655073E-2</v>
      </c>
      <c r="O1599" s="1288">
        <v>6.4687854527839721E-3</v>
      </c>
      <c r="P1599" s="1237">
        <v>3.2343927263919861E-3</v>
      </c>
      <c r="Q1599" s="1290">
        <v>2.1086461970363287E-2</v>
      </c>
    </row>
    <row r="1600" spans="1:17" s="212" customFormat="1" ht="15.5" x14ac:dyDescent="0.35">
      <c r="A1600" s="198">
        <v>2041</v>
      </c>
      <c r="B1600" s="197" t="s">
        <v>5838</v>
      </c>
      <c r="C1600" s="197">
        <v>2020</v>
      </c>
      <c r="D1600" s="225" t="str">
        <f t="shared" si="17"/>
        <v>2041_2020</v>
      </c>
      <c r="E1600" s="1287">
        <v>6.3422265268045314E-2</v>
      </c>
      <c r="F1600" s="1306">
        <v>6.7200738656910562E-3</v>
      </c>
      <c r="G1600" s="1303">
        <v>0.28382707996124396</v>
      </c>
      <c r="H1600" s="1306">
        <v>3.2883587799057756E-2</v>
      </c>
      <c r="I1600" s="1303">
        <v>1.8080732841755164E-2</v>
      </c>
      <c r="J1600" s="1306">
        <v>1.3512282247202677E-3</v>
      </c>
      <c r="K1600" s="1303">
        <v>2.9157200393683368E-3</v>
      </c>
      <c r="L1600" s="1288">
        <v>2.0000014948176347E-3</v>
      </c>
      <c r="M1600" s="1230">
        <v>2.0000014948176347E-3</v>
      </c>
      <c r="N1600" s="1303">
        <v>2.5321220189588257E-2</v>
      </c>
      <c r="O1600" s="1288">
        <v>6.5881308754943925E-3</v>
      </c>
      <c r="P1600" s="1237">
        <v>3.2940654377471962E-3</v>
      </c>
      <c r="Q1600" s="1290">
        <v>1.8898263348795623E-2</v>
      </c>
    </row>
    <row r="1601" spans="1:17" s="212" customFormat="1" ht="15.5" x14ac:dyDescent="0.35">
      <c r="A1601" s="198">
        <v>2041</v>
      </c>
      <c r="B1601" s="197" t="s">
        <v>5838</v>
      </c>
      <c r="C1601" s="197">
        <v>2021</v>
      </c>
      <c r="D1601" s="225" t="str">
        <f t="shared" si="17"/>
        <v>2041_2021</v>
      </c>
      <c r="E1601" s="1287">
        <v>6.219746572635939E-2</v>
      </c>
      <c r="F1601" s="1306">
        <v>6.5069039496826551E-3</v>
      </c>
      <c r="G1601" s="1303">
        <v>0.22951881707307575</v>
      </c>
      <c r="H1601" s="1306">
        <v>3.1907483443164825E-2</v>
      </c>
      <c r="I1601" s="1303">
        <v>1.7431629217814368E-2</v>
      </c>
      <c r="J1601" s="1306">
        <v>8.8798155926491035E-4</v>
      </c>
      <c r="K1601" s="1303">
        <v>2.9124422298727761E-3</v>
      </c>
      <c r="L1601" s="1288">
        <v>2.000001506787205E-3</v>
      </c>
      <c r="M1601" s="1230">
        <v>2.000001506787205E-3</v>
      </c>
      <c r="N1601" s="1303">
        <v>2.5242582959542317E-2</v>
      </c>
      <c r="O1601" s="1288">
        <v>6.5635957319522317E-3</v>
      </c>
      <c r="P1601" s="1237">
        <v>3.2817978659761158E-3</v>
      </c>
      <c r="Q1601" s="1290">
        <v>1.8219810139334835E-2</v>
      </c>
    </row>
    <row r="1602" spans="1:17" s="212" customFormat="1" ht="15.5" x14ac:dyDescent="0.35">
      <c r="A1602" s="198">
        <v>2041</v>
      </c>
      <c r="B1602" s="197" t="s">
        <v>5838</v>
      </c>
      <c r="C1602" s="197">
        <v>2022</v>
      </c>
      <c r="D1602" s="225" t="str">
        <f t="shared" si="17"/>
        <v>2041_2022</v>
      </c>
      <c r="E1602" s="1287">
        <v>6.1715766325625157E-2</v>
      </c>
      <c r="F1602" s="1306">
        <v>6.332845985210331E-3</v>
      </c>
      <c r="G1602" s="1303">
        <v>0.17610909659912666</v>
      </c>
      <c r="H1602" s="1306">
        <v>3.0914991341030824E-2</v>
      </c>
      <c r="I1602" s="1303">
        <v>1.7149253702347676E-2</v>
      </c>
      <c r="J1602" s="1306">
        <v>8.8773546068821572E-4</v>
      </c>
      <c r="K1602" s="1303">
        <v>2.9090006934762973E-3</v>
      </c>
      <c r="L1602" s="1288">
        <v>2.0000015171987005E-3</v>
      </c>
      <c r="M1602" s="1230">
        <v>2.0000015171987005E-3</v>
      </c>
      <c r="N1602" s="1303">
        <v>2.51596619559003E-2</v>
      </c>
      <c r="O1602" s="1288">
        <v>6.5504472401217307E-3</v>
      </c>
      <c r="P1602" s="1237">
        <v>3.2752236200608653E-3</v>
      </c>
      <c r="Q1602" s="1290">
        <v>1.7924666856081541E-2</v>
      </c>
    </row>
    <row r="1603" spans="1:17" s="212" customFormat="1" ht="15.5" x14ac:dyDescent="0.35">
      <c r="A1603" s="198">
        <v>2041</v>
      </c>
      <c r="B1603" s="197" t="s">
        <v>5838</v>
      </c>
      <c r="C1603" s="197">
        <v>2023</v>
      </c>
      <c r="D1603" s="225" t="str">
        <f t="shared" si="17"/>
        <v>2041_2023</v>
      </c>
      <c r="E1603" s="1287">
        <v>6.1194679484799029E-2</v>
      </c>
      <c r="F1603" s="1306">
        <v>6.0247416457865268E-3</v>
      </c>
      <c r="G1603" s="1303">
        <v>0.17380238856264665</v>
      </c>
      <c r="H1603" s="1306">
        <v>2.9936753258291735E-2</v>
      </c>
      <c r="I1603" s="1303">
        <v>1.6827952580872826E-2</v>
      </c>
      <c r="J1603" s="1306">
        <v>8.8752640784109176E-4</v>
      </c>
      <c r="K1603" s="1303">
        <v>2.90592524491943E-3</v>
      </c>
      <c r="L1603" s="1288">
        <v>2.0000015308902458E-3</v>
      </c>
      <c r="M1603" s="1230">
        <v>2.0000015308902458E-3</v>
      </c>
      <c r="N1603" s="1303">
        <v>2.5084947955917813E-2</v>
      </c>
      <c r="O1603" s="1288">
        <v>6.5222884188017053E-3</v>
      </c>
      <c r="P1603" s="1237">
        <v>3.2611442094008527E-3</v>
      </c>
      <c r="Q1603" s="1290">
        <v>1.7588837923646263E-2</v>
      </c>
    </row>
    <row r="1604" spans="1:17" s="212" customFormat="1" ht="15.5" x14ac:dyDescent="0.35">
      <c r="A1604" s="198">
        <v>2041</v>
      </c>
      <c r="B1604" s="197" t="s">
        <v>5838</v>
      </c>
      <c r="C1604" s="197">
        <v>2024</v>
      </c>
      <c r="D1604" s="225" t="str">
        <f t="shared" si="17"/>
        <v>2041_2024</v>
      </c>
      <c r="E1604" s="1287">
        <v>6.0221671723749856E-2</v>
      </c>
      <c r="F1604" s="1306">
        <v>5.4438622748553458E-3</v>
      </c>
      <c r="G1604" s="1303">
        <v>0.17003839863436374</v>
      </c>
      <c r="H1604" s="1306">
        <v>2.8627070988463309E-2</v>
      </c>
      <c r="I1604" s="1303">
        <v>1.6348951699769045E-2</v>
      </c>
      <c r="J1604" s="1306">
        <v>8.857939601720422E-4</v>
      </c>
      <c r="K1604" s="1303">
        <v>2.896303869741441E-3</v>
      </c>
      <c r="L1604" s="1288">
        <v>2.0000015534207233E-3</v>
      </c>
      <c r="M1604" s="1305">
        <v>2.0000005733594155E-3</v>
      </c>
      <c r="N1604" s="1303">
        <v>2.4855459607863617E-2</v>
      </c>
      <c r="O1604" s="1288">
        <v>6.3327038485674267E-3</v>
      </c>
      <c r="P1604" s="1301">
        <v>3.7041462230498145E-3</v>
      </c>
      <c r="Q1604" s="1290">
        <v>1.7088178748233932E-2</v>
      </c>
    </row>
    <row r="1605" spans="1:17" s="212" customFormat="1" ht="15.5" x14ac:dyDescent="0.35">
      <c r="A1605" s="198">
        <v>2041</v>
      </c>
      <c r="B1605" s="197" t="s">
        <v>5838</v>
      </c>
      <c r="C1605" s="197">
        <v>2025</v>
      </c>
      <c r="D1605" s="225" t="str">
        <f t="shared" si="17"/>
        <v>2041_2025</v>
      </c>
      <c r="E1605" s="1287">
        <v>5.9394091738859213E-2</v>
      </c>
      <c r="F1605" s="1306">
        <v>4.935392659550627E-3</v>
      </c>
      <c r="G1605" s="1303">
        <v>0.16660732575231907</v>
      </c>
      <c r="H1605" s="1306">
        <v>2.7462321356245028E-2</v>
      </c>
      <c r="I1605" s="1303">
        <v>1.5887571297666738E-2</v>
      </c>
      <c r="J1605" s="1306">
        <v>8.8475742651997571E-4</v>
      </c>
      <c r="K1605" s="1303">
        <v>2.8901014477979358E-3</v>
      </c>
      <c r="L1605" s="1288">
        <v>2.0000015691360945E-3</v>
      </c>
      <c r="M1605" s="1305">
        <v>2.0000005733910265E-3</v>
      </c>
      <c r="N1605" s="1303">
        <v>2.4705679778298611E-2</v>
      </c>
      <c r="O1605" s="1288">
        <v>6.2163072332845296E-3</v>
      </c>
      <c r="P1605" s="1301">
        <v>4.130021583081382E-3</v>
      </c>
      <c r="Q1605" s="1290">
        <v>1.6605936771693731E-2</v>
      </c>
    </row>
    <row r="1606" spans="1:17" s="212" customFormat="1" ht="15.5" x14ac:dyDescent="0.35">
      <c r="A1606" s="198">
        <v>2041</v>
      </c>
      <c r="B1606" s="197" t="s">
        <v>5838</v>
      </c>
      <c r="C1606" s="197">
        <v>2026</v>
      </c>
      <c r="D1606" s="225" t="str">
        <f t="shared" si="17"/>
        <v>2041_2026</v>
      </c>
      <c r="E1606" s="1287">
        <v>5.8445867499515636E-2</v>
      </c>
      <c r="F1606" s="1306">
        <v>4.9173373688147755E-3</v>
      </c>
      <c r="G1606" s="1303">
        <v>0.16271778198230791</v>
      </c>
      <c r="H1606" s="1306">
        <v>2.7088573445689622E-2</v>
      </c>
      <c r="I1606" s="1303">
        <v>1.5367299530341714E-2</v>
      </c>
      <c r="J1606" s="1306">
        <v>7.7058583747604517E-4</v>
      </c>
      <c r="K1606" s="1303">
        <v>2.8828092434278513E-3</v>
      </c>
      <c r="L1606" s="1288">
        <v>2.0000015870270602E-3</v>
      </c>
      <c r="M1606" s="1305">
        <v>2.0000005734541609E-3</v>
      </c>
      <c r="N1606" s="1303">
        <v>2.4529346566650859E-2</v>
      </c>
      <c r="O1606" s="1288">
        <v>6.0688400618850906E-3</v>
      </c>
      <c r="P1606" s="1301">
        <v>4.9777766213624872E-3</v>
      </c>
      <c r="Q1606" s="1290">
        <v>1.6062140623722014E-2</v>
      </c>
    </row>
    <row r="1607" spans="1:17" s="212" customFormat="1" ht="15.5" x14ac:dyDescent="0.35">
      <c r="A1607" s="198">
        <v>2041</v>
      </c>
      <c r="B1607" s="197" t="s">
        <v>5838</v>
      </c>
      <c r="C1607" s="197">
        <v>2027</v>
      </c>
      <c r="D1607" s="225" t="str">
        <f t="shared" si="17"/>
        <v>2041_2027</v>
      </c>
      <c r="E1607" s="1287">
        <v>5.7335772979197105E-2</v>
      </c>
      <c r="F1607" s="1306">
        <v>4.9280959871004174E-3</v>
      </c>
      <c r="G1607" s="1303">
        <v>0.15825696518585297</v>
      </c>
      <c r="H1607" s="1306">
        <v>2.6719763277115158E-2</v>
      </c>
      <c r="I1607" s="1303">
        <v>1.4778566118087828E-2</v>
      </c>
      <c r="J1607" s="1306">
        <v>6.356535196094886E-4</v>
      </c>
      <c r="K1607" s="1303">
        <v>2.8736577730450585E-3</v>
      </c>
      <c r="L1607" s="1288">
        <v>2.0000016072428775E-3</v>
      </c>
      <c r="M1607" s="1305">
        <v>2.0000005735174567E-3</v>
      </c>
      <c r="N1607" s="1303">
        <v>2.4308056663724008E-2</v>
      </c>
      <c r="O1607" s="1288">
        <v>5.8863713553227387E-3</v>
      </c>
      <c r="P1607" s="1301">
        <v>5.8289707939482146E-3</v>
      </c>
      <c r="Q1607" s="1290">
        <v>1.5446787299031846E-2</v>
      </c>
    </row>
    <row r="1608" spans="1:17" s="212" customFormat="1" ht="15.5" x14ac:dyDescent="0.35">
      <c r="A1608" s="198">
        <v>2041</v>
      </c>
      <c r="B1608" s="197" t="s">
        <v>5838</v>
      </c>
      <c r="C1608" s="197">
        <v>2028</v>
      </c>
      <c r="D1608" s="225" t="str">
        <f t="shared" si="17"/>
        <v>2041_2028</v>
      </c>
      <c r="E1608" s="1287">
        <v>5.6088032194307046E-2</v>
      </c>
      <c r="F1608" s="1306">
        <v>4.8710818006200566E-3</v>
      </c>
      <c r="G1608" s="1303">
        <v>0.15330958220803562</v>
      </c>
      <c r="H1608" s="1306">
        <v>2.6238681730371676E-2</v>
      </c>
      <c r="I1608" s="1303">
        <v>1.4130835273778945E-2</v>
      </c>
      <c r="J1608" s="1306">
        <v>5.1825559463381779E-4</v>
      </c>
      <c r="K1608" s="1303">
        <v>2.8630103925700893E-3</v>
      </c>
      <c r="L1608" s="1288">
        <v>2.0000016269882451E-3</v>
      </c>
      <c r="M1608" s="1305">
        <v>2.0000005735630881E-3</v>
      </c>
      <c r="N1608" s="1303">
        <v>2.4050105144191473E-2</v>
      </c>
      <c r="O1608" s="1288">
        <v>5.7109927961858618E-3</v>
      </c>
      <c r="P1608" s="1301">
        <v>6.4392256764575183E-3</v>
      </c>
      <c r="Q1608" s="1290">
        <v>1.4769768940206362E-2</v>
      </c>
    </row>
    <row r="1609" spans="1:17" s="212" customFormat="1" ht="15.5" x14ac:dyDescent="0.35">
      <c r="A1609" s="198">
        <v>2041</v>
      </c>
      <c r="B1609" s="197" t="s">
        <v>5838</v>
      </c>
      <c r="C1609" s="197">
        <v>2029</v>
      </c>
      <c r="D1609" s="225" t="str">
        <f t="shared" si="17"/>
        <v>2041_2029</v>
      </c>
      <c r="E1609" s="1287">
        <v>5.4800969933730161E-2</v>
      </c>
      <c r="F1609" s="1306">
        <v>4.8031367645261459E-3</v>
      </c>
      <c r="G1609" s="1303">
        <v>0.14816807202491819</v>
      </c>
      <c r="H1609" s="1306">
        <v>2.5703000933846819E-2</v>
      </c>
      <c r="I1609" s="1303">
        <v>1.3452448545005932E-2</v>
      </c>
      <c r="J1609" s="1306">
        <v>5.1462607250780685E-4</v>
      </c>
      <c r="K1609" s="1303">
        <v>2.852521333282192E-3</v>
      </c>
      <c r="L1609" s="1288">
        <v>2.0000016455236332E-3</v>
      </c>
      <c r="M1609" s="1305">
        <v>2.000000573598931E-3</v>
      </c>
      <c r="N1609" s="1303">
        <v>2.3794476521524607E-2</v>
      </c>
      <c r="O1609" s="1288">
        <v>5.5338515339699761E-3</v>
      </c>
      <c r="P1609" s="1301">
        <v>6.9169923617555373E-3</v>
      </c>
      <c r="Q1609" s="1290">
        <v>1.4060708573854828E-2</v>
      </c>
    </row>
    <row r="1610" spans="1:17" s="212" customFormat="1" ht="15.5" x14ac:dyDescent="0.35">
      <c r="A1610" s="198">
        <v>2041</v>
      </c>
      <c r="B1610" s="197" t="s">
        <v>5838</v>
      </c>
      <c r="C1610" s="197">
        <v>2030</v>
      </c>
      <c r="D1610" s="225" t="str">
        <f t="shared" si="17"/>
        <v>2041_2030</v>
      </c>
      <c r="E1610" s="1287">
        <v>5.3368504152620261E-2</v>
      </c>
      <c r="F1610" s="1306">
        <v>4.7376782126546226E-3</v>
      </c>
      <c r="G1610" s="1303">
        <v>0.14254038984572645</v>
      </c>
      <c r="H1610" s="1306">
        <v>2.5121729759360872E-2</v>
      </c>
      <c r="I1610" s="1303">
        <v>1.2717761199094851E-2</v>
      </c>
      <c r="J1610" s="1306">
        <v>5.1109182694980819E-4</v>
      </c>
      <c r="K1610" s="1303">
        <v>2.8402882988562863E-3</v>
      </c>
      <c r="L1610" s="1288">
        <v>2.0000016646276454E-3</v>
      </c>
      <c r="M1610" s="1305">
        <v>2.0000005736241192E-3</v>
      </c>
      <c r="N1610" s="1303">
        <v>2.3495774913636892E-2</v>
      </c>
      <c r="O1610" s="1288">
        <v>5.3559991153292637E-3</v>
      </c>
      <c r="P1610" s="1301">
        <v>7.2521442800586996E-3</v>
      </c>
      <c r="Q1610" s="1290">
        <v>1.3292801926288395E-2</v>
      </c>
    </row>
    <row r="1611" spans="1:17" s="212" customFormat="1" ht="15.5" x14ac:dyDescent="0.35">
      <c r="A1611" s="198">
        <v>2041</v>
      </c>
      <c r="B1611" s="197" t="s">
        <v>5838</v>
      </c>
      <c r="C1611" s="197">
        <v>2031</v>
      </c>
      <c r="D1611" s="225" t="str">
        <f t="shared" si="17"/>
        <v>2041_2031</v>
      </c>
      <c r="E1611" s="1287">
        <v>5.1885279743486654E-2</v>
      </c>
      <c r="F1611" s="1306">
        <v>4.6173247814212445E-3</v>
      </c>
      <c r="G1611" s="1303">
        <v>0.13670422978662664</v>
      </c>
      <c r="H1611" s="1306">
        <v>2.4445511694645875E-2</v>
      </c>
      <c r="I1611" s="1303">
        <v>1.1953396528394666E-2</v>
      </c>
      <c r="J1611" s="1306">
        <v>5.0716919848452094E-4</v>
      </c>
      <c r="K1611" s="1303">
        <v>2.8279068301983812E-3</v>
      </c>
      <c r="L1611" s="1288">
        <v>2.0000016840085641E-3</v>
      </c>
      <c r="M1611" s="1305">
        <v>2.0000005736552171E-3</v>
      </c>
      <c r="N1611" s="1303">
        <v>2.319169905121431E-2</v>
      </c>
      <c r="O1611" s="1288">
        <v>5.1593382354225862E-3</v>
      </c>
      <c r="P1611" s="1301">
        <v>7.6723235247687892E-3</v>
      </c>
      <c r="Q1611" s="1290">
        <v>1.2493876076997116E-2</v>
      </c>
    </row>
    <row r="1612" spans="1:17" s="212" customFormat="1" ht="15.5" x14ac:dyDescent="0.35">
      <c r="A1612" s="198">
        <v>2041</v>
      </c>
      <c r="B1612" s="197" t="s">
        <v>5838</v>
      </c>
      <c r="C1612" s="197">
        <v>2032</v>
      </c>
      <c r="D1612" s="225" t="str">
        <f t="shared" si="17"/>
        <v>2041_2032</v>
      </c>
      <c r="E1612" s="1287">
        <v>5.0208224336686938E-2</v>
      </c>
      <c r="F1612" s="1306">
        <v>4.4847736490593896E-3</v>
      </c>
      <c r="G1612" s="1303">
        <v>0.13028105371339743</v>
      </c>
      <c r="H1612" s="1306">
        <v>2.3700007083847594E-2</v>
      </c>
      <c r="I1612" s="1303">
        <v>1.1127867757024484E-2</v>
      </c>
      <c r="J1612" s="1306">
        <v>5.0359070206656845E-4</v>
      </c>
      <c r="K1612" s="1303">
        <v>2.8127448606271627E-3</v>
      </c>
      <c r="L1612" s="1288">
        <v>2.0000017060008636E-3</v>
      </c>
      <c r="M1612" s="1305">
        <v>2.0000005736817909E-3</v>
      </c>
      <c r="N1612" s="1303">
        <v>2.2819271062048001E-2</v>
      </c>
      <c r="O1612" s="1288">
        <v>4.969167795611568E-3</v>
      </c>
      <c r="P1612" s="1301">
        <v>8.030378643743747E-3</v>
      </c>
      <c r="Q1612" s="1290">
        <v>1.1631020557815312E-2</v>
      </c>
    </row>
    <row r="1613" spans="1:17" s="212" customFormat="1" ht="15.5" x14ac:dyDescent="0.35">
      <c r="A1613" s="198">
        <v>2041</v>
      </c>
      <c r="B1613" s="197" t="s">
        <v>5838</v>
      </c>
      <c r="C1613" s="197">
        <v>2033</v>
      </c>
      <c r="D1613" s="225" t="str">
        <f t="shared" si="17"/>
        <v>2041_2033</v>
      </c>
      <c r="E1613" s="1287">
        <v>4.8499696678060887E-2</v>
      </c>
      <c r="F1613" s="1306">
        <v>4.3377344622802134E-3</v>
      </c>
      <c r="G1613" s="1303">
        <v>0.12373304338886523</v>
      </c>
      <c r="H1613" s="1306">
        <v>2.2880300566871545E-2</v>
      </c>
      <c r="I1613" s="1303">
        <v>1.0283563373798691E-2</v>
      </c>
      <c r="J1613" s="1306">
        <v>5.0024420695234974E-4</v>
      </c>
      <c r="K1613" s="1303">
        <v>2.7976509616173453E-3</v>
      </c>
      <c r="L1613" s="1288">
        <v>2.0000017214864868E-3</v>
      </c>
      <c r="M1613" s="1305">
        <v>2.0000005737075863E-3</v>
      </c>
      <c r="N1613" s="1303">
        <v>2.24457715914867E-2</v>
      </c>
      <c r="O1613" s="1288">
        <v>4.7863933809956169E-3</v>
      </c>
      <c r="P1613" s="1301">
        <v>8.3703754020354078E-3</v>
      </c>
      <c r="Q1613" s="1290">
        <v>1.0748540476925222E-2</v>
      </c>
    </row>
    <row r="1614" spans="1:17" s="212" customFormat="1" ht="15.5" x14ac:dyDescent="0.35">
      <c r="A1614" s="198">
        <v>2041</v>
      </c>
      <c r="B1614" s="197" t="s">
        <v>5838</v>
      </c>
      <c r="C1614" s="197">
        <v>2034</v>
      </c>
      <c r="D1614" s="225" t="str">
        <f t="shared" si="17"/>
        <v>2041_2034</v>
      </c>
      <c r="E1614" s="1287">
        <v>4.6570203732200499E-2</v>
      </c>
      <c r="F1614" s="1306">
        <v>4.1795442721665162E-3</v>
      </c>
      <c r="G1614" s="1303">
        <v>0.11657474723237912</v>
      </c>
      <c r="H1614" s="1306">
        <v>2.1998382925449336E-2</v>
      </c>
      <c r="I1614" s="1303">
        <v>9.3824753259273714E-3</v>
      </c>
      <c r="J1614" s="1306">
        <v>4.967872963439889E-4</v>
      </c>
      <c r="K1614" s="1303">
        <v>2.7790206029113772E-3</v>
      </c>
      <c r="L1614" s="1288">
        <v>2.0000017401237994E-3</v>
      </c>
      <c r="M1614" s="1305">
        <v>2.0000005737287867E-3</v>
      </c>
      <c r="N1614" s="1303">
        <v>2.1984737801886367E-2</v>
      </c>
      <c r="O1614" s="1288">
        <v>4.5940838274032489E-3</v>
      </c>
      <c r="P1614" s="1301">
        <v>8.6542154054060263E-3</v>
      </c>
      <c r="Q1614" s="1290">
        <v>9.8067092260481596E-3</v>
      </c>
    </row>
    <row r="1615" spans="1:17" s="212" customFormat="1" ht="15.5" x14ac:dyDescent="0.35">
      <c r="A1615" s="198">
        <v>2041</v>
      </c>
      <c r="B1615" s="197" t="s">
        <v>5838</v>
      </c>
      <c r="C1615" s="197">
        <v>2035</v>
      </c>
      <c r="D1615" s="225" t="str">
        <f t="shared" si="17"/>
        <v>2041_2035</v>
      </c>
      <c r="E1615" s="1287">
        <v>4.4493199921485795E-2</v>
      </c>
      <c r="F1615" s="1306">
        <v>4.010730694608308E-3</v>
      </c>
      <c r="G1615" s="1303">
        <v>0.10903544403839212</v>
      </c>
      <c r="H1615" s="1306">
        <v>2.1056715272695248E-2</v>
      </c>
      <c r="I1615" s="1303">
        <v>8.4481523742050407E-3</v>
      </c>
      <c r="J1615" s="1306">
        <v>4.9329749208997583E-4</v>
      </c>
      <c r="K1615" s="1303">
        <v>2.7580248146106033E-3</v>
      </c>
      <c r="L1615" s="1288">
        <v>2.0000017616722751E-3</v>
      </c>
      <c r="M1615" s="1305">
        <v>2.0000005737468955E-3</v>
      </c>
      <c r="N1615" s="1303">
        <v>2.1463538131465534E-2</v>
      </c>
      <c r="O1615" s="1288">
        <v>4.3935949259336768E-3</v>
      </c>
      <c r="P1615" s="1301">
        <v>8.9022673964729276E-3</v>
      </c>
      <c r="Q1615" s="1290">
        <v>8.830140336445625E-3</v>
      </c>
    </row>
    <row r="1616" spans="1:17" s="212" customFormat="1" ht="15.5" x14ac:dyDescent="0.35">
      <c r="A1616" s="198">
        <v>2041</v>
      </c>
      <c r="B1616" s="197" t="s">
        <v>5838</v>
      </c>
      <c r="C1616" s="197">
        <v>2036</v>
      </c>
      <c r="D1616" s="225" t="str">
        <f t="shared" si="17"/>
        <v>2041_2036</v>
      </c>
      <c r="E1616" s="1287">
        <v>4.330275918474305E-2</v>
      </c>
      <c r="F1616" s="1306">
        <v>3.8238684620638913E-3</v>
      </c>
      <c r="G1616" s="1303">
        <v>0.1036945313965892</v>
      </c>
      <c r="H1616" s="1306">
        <v>2.001018217503172E-2</v>
      </c>
      <c r="I1616" s="1303">
        <v>7.6747879776391924E-3</v>
      </c>
      <c r="J1616" s="1306">
        <v>4.9302942770844426E-4</v>
      </c>
      <c r="K1616" s="1303">
        <v>2.7544787113993868E-3</v>
      </c>
      <c r="L1616" s="1288">
        <v>2.0000017809504349E-3</v>
      </c>
      <c r="M1616" s="1305">
        <v>2.0000005737431008E-3</v>
      </c>
      <c r="N1616" s="1303">
        <v>2.1360855331093762E-2</v>
      </c>
      <c r="O1616" s="1288">
        <v>4.3090664920756548E-3</v>
      </c>
      <c r="P1616" s="1301">
        <v>8.8515752836731947E-3</v>
      </c>
      <c r="Q1616" s="1290">
        <v>8.0218078336207511E-3</v>
      </c>
    </row>
    <row r="1617" spans="1:17" s="212" customFormat="1" ht="15.5" x14ac:dyDescent="0.35">
      <c r="A1617" s="198">
        <v>2041</v>
      </c>
      <c r="B1617" s="197" t="s">
        <v>5838</v>
      </c>
      <c r="C1617" s="197">
        <v>2037</v>
      </c>
      <c r="D1617" s="225" t="str">
        <f t="shared" si="17"/>
        <v>2041_2037</v>
      </c>
      <c r="E1617" s="1287">
        <v>4.2205972431443105E-2</v>
      </c>
      <c r="F1617" s="1306">
        <v>3.6288496702066636E-3</v>
      </c>
      <c r="G1617" s="1303">
        <v>9.8472694931473426E-2</v>
      </c>
      <c r="H1617" s="1306">
        <v>1.8918987707992128E-2</v>
      </c>
      <c r="I1617" s="1303">
        <v>6.8917814716165822E-3</v>
      </c>
      <c r="J1617" s="1306">
        <v>4.9334429915366728E-4</v>
      </c>
      <c r="K1617" s="1303">
        <v>2.7537267428975575E-3</v>
      </c>
      <c r="L1617" s="1288">
        <v>2.000001800689391E-3</v>
      </c>
      <c r="M1617" s="1305">
        <v>2.0000005737417521E-3</v>
      </c>
      <c r="N1617" s="1303">
        <v>2.132457080558664E-2</v>
      </c>
      <c r="O1617" s="1288">
        <v>4.2427824099222928E-3</v>
      </c>
      <c r="P1617" s="1301">
        <v>8.8514237429054496E-3</v>
      </c>
      <c r="Q1617" s="1290">
        <v>7.2033972479357321E-3</v>
      </c>
    </row>
    <row r="1618" spans="1:17" s="212" customFormat="1" ht="15.5" x14ac:dyDescent="0.35">
      <c r="A1618" s="198">
        <v>2041</v>
      </c>
      <c r="B1618" s="197" t="s">
        <v>5838</v>
      </c>
      <c r="C1618" s="197">
        <v>2038</v>
      </c>
      <c r="D1618" s="225" t="str">
        <f t="shared" si="17"/>
        <v>2041_2038</v>
      </c>
      <c r="E1618" s="1287">
        <v>4.1088158945850009E-2</v>
      </c>
      <c r="F1618" s="1306">
        <v>3.4307682433184685E-3</v>
      </c>
      <c r="G1618" s="1303">
        <v>9.3072406212729802E-2</v>
      </c>
      <c r="H1618" s="1306">
        <v>1.780491535433646E-2</v>
      </c>
      <c r="I1618" s="1303">
        <v>6.0752335715695722E-3</v>
      </c>
      <c r="J1618" s="1306">
        <v>4.9379241297151024E-4</v>
      </c>
      <c r="K1618" s="1303">
        <v>2.7536159981133737E-3</v>
      </c>
      <c r="L1618" s="1288">
        <v>2.0000018308454653E-3</v>
      </c>
      <c r="M1618" s="1305">
        <v>2.0000005737400954E-3</v>
      </c>
      <c r="N1618" s="1303">
        <v>2.1303176379982237E-2</v>
      </c>
      <c r="O1618" s="1288">
        <v>4.1707792789543695E-3</v>
      </c>
      <c r="P1618" s="1301">
        <v>8.8498234117137583E-3</v>
      </c>
      <c r="Q1618" s="1290">
        <v>6.349928675226239E-3</v>
      </c>
    </row>
    <row r="1619" spans="1:17" s="212" customFormat="1" ht="15.5" x14ac:dyDescent="0.35">
      <c r="A1619" s="198">
        <v>2041</v>
      </c>
      <c r="B1619" s="197" t="s">
        <v>5838</v>
      </c>
      <c r="C1619" s="197">
        <v>2039</v>
      </c>
      <c r="D1619" s="225" t="str">
        <f t="shared" si="17"/>
        <v>2041_2039</v>
      </c>
      <c r="E1619" s="1287">
        <v>3.9817319798435218E-2</v>
      </c>
      <c r="F1619" s="1306">
        <v>3.2297684359918234E-3</v>
      </c>
      <c r="G1619" s="1303">
        <v>8.7192203831545717E-2</v>
      </c>
      <c r="H1619" s="1306">
        <v>1.6668271532330095E-2</v>
      </c>
      <c r="I1619" s="1303">
        <v>5.2063979144569596E-3</v>
      </c>
      <c r="J1619" s="1306">
        <v>4.9431334352515886E-4</v>
      </c>
      <c r="K1619" s="1303">
        <v>2.7514539517637122E-3</v>
      </c>
      <c r="L1619" s="1288">
        <v>2.0000018779115268E-3</v>
      </c>
      <c r="M1619" s="1305">
        <v>2.0000005737359156E-3</v>
      </c>
      <c r="N1619" s="1303">
        <v>2.1231261957492659E-2</v>
      </c>
      <c r="O1619" s="1288">
        <v>4.0867378045723428E-3</v>
      </c>
      <c r="P1619" s="1301">
        <v>8.8196482665306632E-3</v>
      </c>
      <c r="Q1619" s="1290">
        <v>5.4418081251001249E-3</v>
      </c>
    </row>
    <row r="1620" spans="1:17" s="212" customFormat="1" ht="15.5" x14ac:dyDescent="0.35">
      <c r="A1620" s="198">
        <v>2041</v>
      </c>
      <c r="B1620" s="197" t="s">
        <v>5838</v>
      </c>
      <c r="C1620" s="197">
        <v>2040</v>
      </c>
      <c r="D1620" s="225" t="str">
        <f t="shared" si="17"/>
        <v>2041_2040</v>
      </c>
      <c r="E1620" s="1287">
        <v>3.8537926125285442E-2</v>
      </c>
      <c r="F1620" s="1306">
        <v>3.0150670049518837E-3</v>
      </c>
      <c r="G1620" s="1303">
        <v>8.1171029058677097E-2</v>
      </c>
      <c r="H1620" s="1306">
        <v>1.5472946490708196E-2</v>
      </c>
      <c r="I1620" s="1303">
        <v>4.3071993116440598E-3</v>
      </c>
      <c r="J1620" s="1306">
        <v>4.945266249214591E-4</v>
      </c>
      <c r="K1620" s="1303">
        <v>2.7501997013197866E-3</v>
      </c>
      <c r="L1620" s="1288">
        <v>2.0000019172430887E-3</v>
      </c>
      <c r="M1620" s="1305">
        <v>2.0000005737279649E-3</v>
      </c>
      <c r="N1620" s="1303">
        <v>2.1180108694159924E-2</v>
      </c>
      <c r="O1620" s="1288">
        <v>3.9935939375339968E-3</v>
      </c>
      <c r="P1620" s="1301">
        <v>8.7873348414390928E-3</v>
      </c>
      <c r="Q1620" s="1290">
        <v>4.5019517516027294E-3</v>
      </c>
    </row>
    <row r="1621" spans="1:17" s="212" customFormat="1" ht="15.5" x14ac:dyDescent="0.35">
      <c r="A1621" s="198">
        <v>2041</v>
      </c>
      <c r="B1621" s="197" t="s">
        <v>5838</v>
      </c>
      <c r="C1621" s="197">
        <v>2041</v>
      </c>
      <c r="D1621" s="225" t="str">
        <f t="shared" si="17"/>
        <v>2041_2041</v>
      </c>
      <c r="E1621" s="1287">
        <v>3.6070893549736228E-2</v>
      </c>
      <c r="F1621" s="1306">
        <v>2.7771736271675154E-3</v>
      </c>
      <c r="G1621" s="1303">
        <v>7.2617954653985475E-2</v>
      </c>
      <c r="H1621" s="1306">
        <v>1.4120423172920843E-2</v>
      </c>
      <c r="I1621" s="1303">
        <v>3.2744651593089695E-3</v>
      </c>
      <c r="J1621" s="1306">
        <v>4.913536998403257E-4</v>
      </c>
      <c r="K1621" s="1303">
        <v>2.7242405355604985E-3</v>
      </c>
      <c r="L1621" s="1288">
        <v>2.0000020255266531E-3</v>
      </c>
      <c r="M1621" s="1305">
        <v>2.0000005736898279E-3</v>
      </c>
      <c r="N1621" s="1303">
        <v>2.0522564525387588E-2</v>
      </c>
      <c r="O1621" s="1288">
        <v>3.7190849829044888E-3</v>
      </c>
      <c r="P1621" s="1301">
        <v>8.2866881423258165E-3</v>
      </c>
      <c r="Q1621" s="1290">
        <v>3.4225219435889739E-3</v>
      </c>
    </row>
    <row r="1622" spans="1:17" s="212" customFormat="1" ht="15.5" x14ac:dyDescent="0.35">
      <c r="A1622" s="198">
        <v>2041</v>
      </c>
      <c r="B1622" s="197" t="s">
        <v>5838</v>
      </c>
      <c r="C1622" s="197">
        <v>2042</v>
      </c>
      <c r="D1622" s="225" t="str">
        <f t="shared" si="17"/>
        <v>2041_2042</v>
      </c>
      <c r="E1622" s="1291">
        <v>3.6070893549736228E-2</v>
      </c>
      <c r="F1622" s="1280">
        <v>2.7771736271675154E-3</v>
      </c>
      <c r="G1622" s="1271">
        <v>7.2617954653985475E-2</v>
      </c>
      <c r="H1622" s="1280">
        <v>1.4120423172920843E-2</v>
      </c>
      <c r="I1622" s="1271">
        <v>3.2744651593089695E-3</v>
      </c>
      <c r="J1622" s="1280">
        <v>4.913536998403257E-4</v>
      </c>
      <c r="K1622" s="1271">
        <v>2.7242405355604985E-3</v>
      </c>
      <c r="L1622" s="1257">
        <v>2.0000020255266531E-3</v>
      </c>
      <c r="M1622" s="1230">
        <v>2.0000005736898279E-3</v>
      </c>
      <c r="N1622" s="1271">
        <v>2.0522564525387588E-2</v>
      </c>
      <c r="O1622" s="1257">
        <v>3.7190849829044888E-3</v>
      </c>
      <c r="P1622" s="1237">
        <v>8.2866881423258165E-3</v>
      </c>
      <c r="Q1622" s="1292">
        <v>3.4225219435889739E-3</v>
      </c>
    </row>
    <row r="1623" spans="1:17" s="212" customFormat="1" ht="15.5" x14ac:dyDescent="0.35">
      <c r="A1623" s="198">
        <v>2042</v>
      </c>
      <c r="B1623" s="197" t="s">
        <v>5838</v>
      </c>
      <c r="C1623" s="197">
        <v>1971</v>
      </c>
      <c r="D1623" s="225" t="str">
        <f t="shared" si="17"/>
        <v>2042_1971</v>
      </c>
      <c r="E1623" s="1291">
        <v>0.37508319626300013</v>
      </c>
      <c r="F1623" s="1280">
        <v>0.13025919091241228</v>
      </c>
      <c r="G1623" s="1271">
        <v>9.1463655040409382</v>
      </c>
      <c r="H1623" s="1280">
        <v>1.0102881878281142</v>
      </c>
      <c r="I1623" s="1271">
        <v>5.399109277915589E-2</v>
      </c>
      <c r="J1623" s="1280">
        <v>2.7578185489019916E-3</v>
      </c>
      <c r="K1623" s="1271">
        <v>2.9924704025460209E-3</v>
      </c>
      <c r="L1623" s="1257">
        <v>2.0000011572633668E-3</v>
      </c>
      <c r="M1623" s="1230">
        <v>2.0000011572633668E-3</v>
      </c>
      <c r="N1623" s="1271">
        <v>2.7121879620152761E-2</v>
      </c>
      <c r="O1623" s="1257">
        <v>8.5435241790186821E-3</v>
      </c>
      <c r="P1623" s="1237">
        <v>4.271762089509341E-3</v>
      </c>
      <c r="Q1623" s="1292">
        <v>5.6432330412703458E-2</v>
      </c>
    </row>
    <row r="1624" spans="1:17" s="212" customFormat="1" ht="15.5" x14ac:dyDescent="0.35">
      <c r="A1624" s="198">
        <v>2042</v>
      </c>
      <c r="B1624" s="197" t="s">
        <v>5838</v>
      </c>
      <c r="C1624" s="197">
        <v>1972</v>
      </c>
      <c r="D1624" s="225" t="str">
        <f t="shared" si="17"/>
        <v>2042_1972</v>
      </c>
      <c r="E1624" s="1291">
        <v>0.37508319626300013</v>
      </c>
      <c r="F1624" s="1280">
        <v>0.13025919091241228</v>
      </c>
      <c r="G1624" s="1271">
        <v>9.1463655040409382</v>
      </c>
      <c r="H1624" s="1280">
        <v>1.0102881878281142</v>
      </c>
      <c r="I1624" s="1271">
        <v>5.399109277915589E-2</v>
      </c>
      <c r="J1624" s="1280">
        <v>2.7578185489019916E-3</v>
      </c>
      <c r="K1624" s="1271">
        <v>2.9924704025460209E-3</v>
      </c>
      <c r="L1624" s="1257">
        <v>2.0000011572633668E-3</v>
      </c>
      <c r="M1624" s="1230">
        <v>2.0000011572633668E-3</v>
      </c>
      <c r="N1624" s="1271">
        <v>2.7121879620152761E-2</v>
      </c>
      <c r="O1624" s="1257">
        <v>8.5435241790186821E-3</v>
      </c>
      <c r="P1624" s="1237">
        <v>4.271762089509341E-3</v>
      </c>
      <c r="Q1624" s="1292">
        <v>5.6432330412703458E-2</v>
      </c>
    </row>
    <row r="1625" spans="1:17" s="212" customFormat="1" ht="15.5" x14ac:dyDescent="0.35">
      <c r="A1625" s="198">
        <v>2042</v>
      </c>
      <c r="B1625" s="197" t="s">
        <v>5838</v>
      </c>
      <c r="C1625" s="197">
        <v>1973</v>
      </c>
      <c r="D1625" s="225" t="str">
        <f t="shared" si="17"/>
        <v>2042_1973</v>
      </c>
      <c r="E1625" s="1291">
        <v>0.37508319626300013</v>
      </c>
      <c r="F1625" s="1280">
        <v>0.13025919091241228</v>
      </c>
      <c r="G1625" s="1271">
        <v>9.1463655040409382</v>
      </c>
      <c r="H1625" s="1280">
        <v>1.0102881878281142</v>
      </c>
      <c r="I1625" s="1271">
        <v>5.399109277915589E-2</v>
      </c>
      <c r="J1625" s="1280">
        <v>2.7578185489019916E-3</v>
      </c>
      <c r="K1625" s="1271">
        <v>2.9924704025460209E-3</v>
      </c>
      <c r="L1625" s="1257">
        <v>2.0000011572633668E-3</v>
      </c>
      <c r="M1625" s="1230">
        <v>2.0000011572633668E-3</v>
      </c>
      <c r="N1625" s="1271">
        <v>2.7121879620152761E-2</v>
      </c>
      <c r="O1625" s="1257">
        <v>8.5435241790186821E-3</v>
      </c>
      <c r="P1625" s="1237">
        <v>4.271762089509341E-3</v>
      </c>
      <c r="Q1625" s="1292">
        <v>5.6432330412703458E-2</v>
      </c>
    </row>
    <row r="1626" spans="1:17" s="212" customFormat="1" ht="15.5" x14ac:dyDescent="0.35">
      <c r="A1626" s="198">
        <v>2042</v>
      </c>
      <c r="B1626" s="197" t="s">
        <v>5838</v>
      </c>
      <c r="C1626" s="197">
        <v>1974</v>
      </c>
      <c r="D1626" s="225" t="str">
        <f t="shared" si="17"/>
        <v>2042_1974</v>
      </c>
      <c r="E1626" s="1291">
        <v>0.37508319626300013</v>
      </c>
      <c r="F1626" s="1280">
        <v>0.13025919091241228</v>
      </c>
      <c r="G1626" s="1271">
        <v>9.1463655040409382</v>
      </c>
      <c r="H1626" s="1280">
        <v>1.0102881878281142</v>
      </c>
      <c r="I1626" s="1271">
        <v>5.399109277915589E-2</v>
      </c>
      <c r="J1626" s="1280">
        <v>2.7578185489019916E-3</v>
      </c>
      <c r="K1626" s="1271">
        <v>2.9924704025460209E-3</v>
      </c>
      <c r="L1626" s="1257">
        <v>2.0000011572633668E-3</v>
      </c>
      <c r="M1626" s="1230">
        <v>2.0000011572633668E-3</v>
      </c>
      <c r="N1626" s="1271">
        <v>2.7121879620152761E-2</v>
      </c>
      <c r="O1626" s="1257">
        <v>8.5435241790186821E-3</v>
      </c>
      <c r="P1626" s="1237">
        <v>4.271762089509341E-3</v>
      </c>
      <c r="Q1626" s="1292">
        <v>5.6432330412703458E-2</v>
      </c>
    </row>
    <row r="1627" spans="1:17" s="212" customFormat="1" ht="15.5" x14ac:dyDescent="0.35">
      <c r="A1627" s="198">
        <v>2042</v>
      </c>
      <c r="B1627" s="197" t="s">
        <v>5838</v>
      </c>
      <c r="C1627" s="197">
        <v>1975</v>
      </c>
      <c r="D1627" s="225" t="str">
        <f t="shared" si="17"/>
        <v>2042_1975</v>
      </c>
      <c r="E1627" s="1291">
        <v>0.37508319626300013</v>
      </c>
      <c r="F1627" s="1280">
        <v>0.13025919091241228</v>
      </c>
      <c r="G1627" s="1271">
        <v>9.1463655040409382</v>
      </c>
      <c r="H1627" s="1280">
        <v>1.0102881878281142</v>
      </c>
      <c r="I1627" s="1271">
        <v>5.399109277915589E-2</v>
      </c>
      <c r="J1627" s="1280">
        <v>2.7578185489019916E-3</v>
      </c>
      <c r="K1627" s="1271">
        <v>2.9924704025460209E-3</v>
      </c>
      <c r="L1627" s="1257">
        <v>2.0000011572633668E-3</v>
      </c>
      <c r="M1627" s="1230">
        <v>2.0000011572633668E-3</v>
      </c>
      <c r="N1627" s="1271">
        <v>2.7121879620152761E-2</v>
      </c>
      <c r="O1627" s="1257">
        <v>8.5435241790186821E-3</v>
      </c>
      <c r="P1627" s="1237">
        <v>4.271762089509341E-3</v>
      </c>
      <c r="Q1627" s="1292">
        <v>5.6432330412703458E-2</v>
      </c>
    </row>
    <row r="1628" spans="1:17" s="212" customFormat="1" ht="15.5" x14ac:dyDescent="0.35">
      <c r="A1628" s="198">
        <v>2042</v>
      </c>
      <c r="B1628" s="197" t="s">
        <v>5838</v>
      </c>
      <c r="C1628" s="197">
        <v>1976</v>
      </c>
      <c r="D1628" s="225" t="str">
        <f t="shared" si="17"/>
        <v>2042_1976</v>
      </c>
      <c r="E1628" s="1291">
        <v>0.37508319626300013</v>
      </c>
      <c r="F1628" s="1280">
        <v>0.13025919091241228</v>
      </c>
      <c r="G1628" s="1271">
        <v>9.1463655040409382</v>
      </c>
      <c r="H1628" s="1280">
        <v>1.0102881878281142</v>
      </c>
      <c r="I1628" s="1271">
        <v>5.399109277915589E-2</v>
      </c>
      <c r="J1628" s="1280">
        <v>2.7578185489019916E-3</v>
      </c>
      <c r="K1628" s="1271">
        <v>2.9924704025460209E-3</v>
      </c>
      <c r="L1628" s="1257">
        <v>2.0000011572633668E-3</v>
      </c>
      <c r="M1628" s="1230">
        <v>2.0000011572633668E-3</v>
      </c>
      <c r="N1628" s="1271">
        <v>2.7121879620152761E-2</v>
      </c>
      <c r="O1628" s="1257">
        <v>8.5435241790186821E-3</v>
      </c>
      <c r="P1628" s="1237">
        <v>4.271762089509341E-3</v>
      </c>
      <c r="Q1628" s="1292">
        <v>5.6432330412703458E-2</v>
      </c>
    </row>
    <row r="1629" spans="1:17" s="212" customFormat="1" ht="15.5" x14ac:dyDescent="0.35">
      <c r="A1629" s="198">
        <v>2042</v>
      </c>
      <c r="B1629" s="197" t="s">
        <v>5838</v>
      </c>
      <c r="C1629" s="197">
        <v>1977</v>
      </c>
      <c r="D1629" s="225" t="str">
        <f t="shared" si="17"/>
        <v>2042_1977</v>
      </c>
      <c r="E1629" s="1291">
        <v>0.37508319626300013</v>
      </c>
      <c r="F1629" s="1280">
        <v>0.13025919091241228</v>
      </c>
      <c r="G1629" s="1271">
        <v>9.1463655040409382</v>
      </c>
      <c r="H1629" s="1280">
        <v>1.0102881878281142</v>
      </c>
      <c r="I1629" s="1271">
        <v>5.399109277915589E-2</v>
      </c>
      <c r="J1629" s="1280">
        <v>2.7578185489019916E-3</v>
      </c>
      <c r="K1629" s="1271">
        <v>2.9924704025460209E-3</v>
      </c>
      <c r="L1629" s="1257">
        <v>2.0000011572633668E-3</v>
      </c>
      <c r="M1629" s="1230">
        <v>2.0000011572633668E-3</v>
      </c>
      <c r="N1629" s="1271">
        <v>2.7121879620152761E-2</v>
      </c>
      <c r="O1629" s="1257">
        <v>8.5435241790186821E-3</v>
      </c>
      <c r="P1629" s="1237">
        <v>4.271762089509341E-3</v>
      </c>
      <c r="Q1629" s="1292">
        <v>5.6432330412703458E-2</v>
      </c>
    </row>
    <row r="1630" spans="1:17" s="212" customFormat="1" ht="15.5" x14ac:dyDescent="0.35">
      <c r="A1630" s="198">
        <v>2042</v>
      </c>
      <c r="B1630" s="197" t="s">
        <v>5838</v>
      </c>
      <c r="C1630" s="197">
        <v>1978</v>
      </c>
      <c r="D1630" s="225" t="str">
        <f t="shared" si="17"/>
        <v>2042_1978</v>
      </c>
      <c r="E1630" s="1291">
        <v>0.37508319626300013</v>
      </c>
      <c r="F1630" s="1280">
        <v>0.13025919091241228</v>
      </c>
      <c r="G1630" s="1271">
        <v>9.1463655040409382</v>
      </c>
      <c r="H1630" s="1280">
        <v>1.0102881878281142</v>
      </c>
      <c r="I1630" s="1271">
        <v>5.399109277915589E-2</v>
      </c>
      <c r="J1630" s="1280">
        <v>2.7578185489019916E-3</v>
      </c>
      <c r="K1630" s="1271">
        <v>2.9924704025460209E-3</v>
      </c>
      <c r="L1630" s="1257">
        <v>2.0000011572633668E-3</v>
      </c>
      <c r="M1630" s="1230">
        <v>2.0000011572633668E-3</v>
      </c>
      <c r="N1630" s="1271">
        <v>2.7121879620152761E-2</v>
      </c>
      <c r="O1630" s="1257">
        <v>8.5435241790186821E-3</v>
      </c>
      <c r="P1630" s="1237">
        <v>4.271762089509341E-3</v>
      </c>
      <c r="Q1630" s="1292">
        <v>5.6432330412703458E-2</v>
      </c>
    </row>
    <row r="1631" spans="1:17" s="212" customFormat="1" ht="15.5" x14ac:dyDescent="0.35">
      <c r="A1631" s="198">
        <v>2042</v>
      </c>
      <c r="B1631" s="197" t="s">
        <v>5838</v>
      </c>
      <c r="C1631" s="197">
        <v>1979</v>
      </c>
      <c r="D1631" s="229" t="str">
        <f t="shared" si="17"/>
        <v>2042_1979</v>
      </c>
      <c r="E1631" s="1291">
        <v>0.37508319626300013</v>
      </c>
      <c r="F1631" s="1280">
        <v>0.13025919091241228</v>
      </c>
      <c r="G1631" s="1271">
        <v>9.1463655040409382</v>
      </c>
      <c r="H1631" s="1280">
        <v>1.0102881878281142</v>
      </c>
      <c r="I1631" s="1271">
        <v>5.399109277915589E-2</v>
      </c>
      <c r="J1631" s="1280">
        <v>2.7578185489019916E-3</v>
      </c>
      <c r="K1631" s="1271">
        <v>2.9924704025460209E-3</v>
      </c>
      <c r="L1631" s="1257">
        <v>2.0000011572633668E-3</v>
      </c>
      <c r="M1631" s="1230">
        <v>2.0000011572633668E-3</v>
      </c>
      <c r="N1631" s="1271">
        <v>2.7121879620152761E-2</v>
      </c>
      <c r="O1631" s="1257">
        <v>8.5435241790186821E-3</v>
      </c>
      <c r="P1631" s="1237">
        <v>4.271762089509341E-3</v>
      </c>
      <c r="Q1631" s="1292">
        <v>5.6432330412703458E-2</v>
      </c>
    </row>
    <row r="1632" spans="1:17" s="212" customFormat="1" ht="15.5" x14ac:dyDescent="0.35">
      <c r="A1632" s="198">
        <v>2042</v>
      </c>
      <c r="B1632" s="197" t="s">
        <v>5838</v>
      </c>
      <c r="C1632" s="197">
        <v>1980</v>
      </c>
      <c r="D1632" s="229" t="str">
        <f t="shared" si="17"/>
        <v>2042_1980</v>
      </c>
      <c r="E1632" s="1291">
        <v>0.37508319626300013</v>
      </c>
      <c r="F1632" s="1280">
        <v>0.13025919091241228</v>
      </c>
      <c r="G1632" s="1271">
        <v>9.1463655040409382</v>
      </c>
      <c r="H1632" s="1280">
        <v>1.0102881878281142</v>
      </c>
      <c r="I1632" s="1271">
        <v>5.399109277915589E-2</v>
      </c>
      <c r="J1632" s="1280">
        <v>2.7578185489019916E-3</v>
      </c>
      <c r="K1632" s="1271">
        <v>2.9924704025460209E-3</v>
      </c>
      <c r="L1632" s="1257">
        <v>2.0000011572633668E-3</v>
      </c>
      <c r="M1632" s="1230">
        <v>2.0000011572633668E-3</v>
      </c>
      <c r="N1632" s="1271">
        <v>2.7121879620152761E-2</v>
      </c>
      <c r="O1632" s="1257">
        <v>8.5435241790186821E-3</v>
      </c>
      <c r="P1632" s="1237">
        <v>4.271762089509341E-3</v>
      </c>
      <c r="Q1632" s="1292">
        <v>5.6432330412703458E-2</v>
      </c>
    </row>
    <row r="1633" spans="1:17" s="212" customFormat="1" ht="15.5" x14ac:dyDescent="0.35">
      <c r="A1633" s="198">
        <v>2042</v>
      </c>
      <c r="B1633" s="197" t="s">
        <v>5838</v>
      </c>
      <c r="C1633" s="197">
        <v>1981</v>
      </c>
      <c r="D1633" s="229" t="str">
        <f t="shared" si="17"/>
        <v>2042_1981</v>
      </c>
      <c r="E1633" s="1291">
        <v>0.37508319626300013</v>
      </c>
      <c r="F1633" s="1280">
        <v>0.13025919091241228</v>
      </c>
      <c r="G1633" s="1271">
        <v>9.1463655040409382</v>
      </c>
      <c r="H1633" s="1280">
        <v>1.0102881878281142</v>
      </c>
      <c r="I1633" s="1271">
        <v>5.399109277915589E-2</v>
      </c>
      <c r="J1633" s="1280">
        <v>2.7578185489019916E-3</v>
      </c>
      <c r="K1633" s="1271">
        <v>2.9924704025460209E-3</v>
      </c>
      <c r="L1633" s="1257">
        <v>2.0000011572633668E-3</v>
      </c>
      <c r="M1633" s="1230">
        <v>2.0000011572633668E-3</v>
      </c>
      <c r="N1633" s="1271">
        <v>2.7121879620152761E-2</v>
      </c>
      <c r="O1633" s="1257">
        <v>8.5435241790186821E-3</v>
      </c>
      <c r="P1633" s="1237">
        <v>4.271762089509341E-3</v>
      </c>
      <c r="Q1633" s="1292">
        <v>5.6432330412703458E-2</v>
      </c>
    </row>
    <row r="1634" spans="1:17" s="212" customFormat="1" ht="15.5" x14ac:dyDescent="0.35">
      <c r="A1634" s="198">
        <v>2042</v>
      </c>
      <c r="B1634" s="197" t="s">
        <v>5838</v>
      </c>
      <c r="C1634" s="197">
        <v>1982</v>
      </c>
      <c r="D1634" s="229" t="str">
        <f t="shared" si="17"/>
        <v>2042_1982</v>
      </c>
      <c r="E1634" s="1291">
        <v>0.37508319626300013</v>
      </c>
      <c r="F1634" s="1280">
        <v>0.13025919091241228</v>
      </c>
      <c r="G1634" s="1271">
        <v>9.1463655040409382</v>
      </c>
      <c r="H1634" s="1280">
        <v>1.0102881878281142</v>
      </c>
      <c r="I1634" s="1271">
        <v>5.399109277915589E-2</v>
      </c>
      <c r="J1634" s="1280">
        <v>2.7578185489019916E-3</v>
      </c>
      <c r="K1634" s="1271">
        <v>2.9924704025460209E-3</v>
      </c>
      <c r="L1634" s="1257">
        <v>2.0000011572633668E-3</v>
      </c>
      <c r="M1634" s="1230">
        <v>2.0000011572633668E-3</v>
      </c>
      <c r="N1634" s="1271">
        <v>2.7121879620152761E-2</v>
      </c>
      <c r="O1634" s="1257">
        <v>8.5435241790186821E-3</v>
      </c>
      <c r="P1634" s="1237">
        <v>4.271762089509341E-3</v>
      </c>
      <c r="Q1634" s="1292">
        <v>5.6432330412703458E-2</v>
      </c>
    </row>
    <row r="1635" spans="1:17" s="212" customFormat="1" ht="15.5" x14ac:dyDescent="0.35">
      <c r="A1635" s="198">
        <v>2042</v>
      </c>
      <c r="B1635" s="197" t="s">
        <v>5838</v>
      </c>
      <c r="C1635" s="197">
        <v>1983</v>
      </c>
      <c r="D1635" s="229" t="str">
        <f t="shared" si="17"/>
        <v>2042_1983</v>
      </c>
      <c r="E1635" s="1291">
        <v>0.37508319626300013</v>
      </c>
      <c r="F1635" s="1280">
        <v>0.13025919091241228</v>
      </c>
      <c r="G1635" s="1271">
        <v>9.1463655040409382</v>
      </c>
      <c r="H1635" s="1280">
        <v>1.0102881878281142</v>
      </c>
      <c r="I1635" s="1271">
        <v>5.399109277915589E-2</v>
      </c>
      <c r="J1635" s="1280">
        <v>2.7578185489019916E-3</v>
      </c>
      <c r="K1635" s="1271">
        <v>2.9924704025460209E-3</v>
      </c>
      <c r="L1635" s="1257">
        <v>2.0000011572633668E-3</v>
      </c>
      <c r="M1635" s="1230">
        <v>2.0000011572633668E-3</v>
      </c>
      <c r="N1635" s="1271">
        <v>2.7121879620152761E-2</v>
      </c>
      <c r="O1635" s="1257">
        <v>8.5435241790186821E-3</v>
      </c>
      <c r="P1635" s="1237">
        <v>4.271762089509341E-3</v>
      </c>
      <c r="Q1635" s="1292">
        <v>5.6432330412703458E-2</v>
      </c>
    </row>
    <row r="1636" spans="1:17" s="212" customFormat="1" ht="15.5" x14ac:dyDescent="0.35">
      <c r="A1636" s="198">
        <v>2042</v>
      </c>
      <c r="B1636" s="197" t="s">
        <v>5838</v>
      </c>
      <c r="C1636" s="197">
        <v>1984</v>
      </c>
      <c r="D1636" s="229" t="str">
        <f t="shared" si="17"/>
        <v>2042_1984</v>
      </c>
      <c r="E1636" s="1291">
        <v>0.37508319626300013</v>
      </c>
      <c r="F1636" s="1280">
        <v>0.13025919091241228</v>
      </c>
      <c r="G1636" s="1271">
        <v>9.1463655040409382</v>
      </c>
      <c r="H1636" s="1280">
        <v>1.0102881878281142</v>
      </c>
      <c r="I1636" s="1271">
        <v>5.399109277915589E-2</v>
      </c>
      <c r="J1636" s="1280">
        <v>2.7578185489019916E-3</v>
      </c>
      <c r="K1636" s="1271">
        <v>2.9924704025460209E-3</v>
      </c>
      <c r="L1636" s="1257">
        <v>2.0000011572633668E-3</v>
      </c>
      <c r="M1636" s="1230">
        <v>2.0000011572633668E-3</v>
      </c>
      <c r="N1636" s="1271">
        <v>2.7121879620152761E-2</v>
      </c>
      <c r="O1636" s="1257">
        <v>8.5435241790186821E-3</v>
      </c>
      <c r="P1636" s="1237">
        <v>4.271762089509341E-3</v>
      </c>
      <c r="Q1636" s="1292">
        <v>5.6432330412703458E-2</v>
      </c>
    </row>
    <row r="1637" spans="1:17" s="212" customFormat="1" ht="15.5" x14ac:dyDescent="0.35">
      <c r="A1637" s="198">
        <v>2042</v>
      </c>
      <c r="B1637" s="197" t="s">
        <v>5838</v>
      </c>
      <c r="C1637" s="197">
        <v>1985</v>
      </c>
      <c r="D1637" s="229" t="str">
        <f t="shared" si="17"/>
        <v>2042_1985</v>
      </c>
      <c r="E1637" s="1291">
        <v>0.37508319626300013</v>
      </c>
      <c r="F1637" s="1280">
        <v>0.13025919091241228</v>
      </c>
      <c r="G1637" s="1271">
        <v>9.1463655040409382</v>
      </c>
      <c r="H1637" s="1280">
        <v>1.0102881878281142</v>
      </c>
      <c r="I1637" s="1271">
        <v>5.399109277915589E-2</v>
      </c>
      <c r="J1637" s="1280">
        <v>2.7578185489019916E-3</v>
      </c>
      <c r="K1637" s="1271">
        <v>2.9924704025460209E-3</v>
      </c>
      <c r="L1637" s="1257">
        <v>2.0000011572633668E-3</v>
      </c>
      <c r="M1637" s="1230">
        <v>2.0000011572633668E-3</v>
      </c>
      <c r="N1637" s="1271">
        <v>2.7121879620152761E-2</v>
      </c>
      <c r="O1637" s="1257">
        <v>8.5435241790186821E-3</v>
      </c>
      <c r="P1637" s="1237">
        <v>4.271762089509341E-3</v>
      </c>
      <c r="Q1637" s="1292">
        <v>5.6432330412703458E-2</v>
      </c>
    </row>
    <row r="1638" spans="1:17" s="212" customFormat="1" ht="15.5" x14ac:dyDescent="0.35">
      <c r="A1638" s="198">
        <v>2042</v>
      </c>
      <c r="B1638" s="197" t="s">
        <v>5838</v>
      </c>
      <c r="C1638" s="197">
        <v>1986</v>
      </c>
      <c r="D1638" s="229" t="str">
        <f t="shared" si="17"/>
        <v>2042_1986</v>
      </c>
      <c r="E1638" s="1291">
        <v>0.37508319626300013</v>
      </c>
      <c r="F1638" s="1280">
        <v>0.13025919091241228</v>
      </c>
      <c r="G1638" s="1271">
        <v>9.1463655040409382</v>
      </c>
      <c r="H1638" s="1280">
        <v>1.0102881878281142</v>
      </c>
      <c r="I1638" s="1271">
        <v>5.399109277915589E-2</v>
      </c>
      <c r="J1638" s="1280">
        <v>2.7578185489019916E-3</v>
      </c>
      <c r="K1638" s="1271">
        <v>2.9924704025460209E-3</v>
      </c>
      <c r="L1638" s="1257">
        <v>2.0000011572633668E-3</v>
      </c>
      <c r="M1638" s="1230">
        <v>2.0000011572633668E-3</v>
      </c>
      <c r="N1638" s="1271">
        <v>2.7121879620152761E-2</v>
      </c>
      <c r="O1638" s="1257">
        <v>8.5435241790186821E-3</v>
      </c>
      <c r="P1638" s="1237">
        <v>4.271762089509341E-3</v>
      </c>
      <c r="Q1638" s="1292">
        <v>5.6432330412703458E-2</v>
      </c>
    </row>
    <row r="1639" spans="1:17" s="212" customFormat="1" ht="15.5" x14ac:dyDescent="0.35">
      <c r="A1639" s="198">
        <v>2042</v>
      </c>
      <c r="B1639" s="197" t="s">
        <v>5838</v>
      </c>
      <c r="C1639" s="197">
        <v>1987</v>
      </c>
      <c r="D1639" s="229" t="str">
        <f t="shared" si="17"/>
        <v>2042_1987</v>
      </c>
      <c r="E1639" s="1291">
        <v>0.37508319626300013</v>
      </c>
      <c r="F1639" s="1280">
        <v>0.13025919091241228</v>
      </c>
      <c r="G1639" s="1271">
        <v>9.1463655040409382</v>
      </c>
      <c r="H1639" s="1280">
        <v>1.0102881878281142</v>
      </c>
      <c r="I1639" s="1271">
        <v>5.399109277915589E-2</v>
      </c>
      <c r="J1639" s="1280">
        <v>2.7578185489019916E-3</v>
      </c>
      <c r="K1639" s="1271">
        <v>2.9924704025460209E-3</v>
      </c>
      <c r="L1639" s="1257">
        <v>2.0000011572633668E-3</v>
      </c>
      <c r="M1639" s="1230">
        <v>2.0000011572633668E-3</v>
      </c>
      <c r="N1639" s="1271">
        <v>2.7121879620152761E-2</v>
      </c>
      <c r="O1639" s="1257">
        <v>8.5435241790186821E-3</v>
      </c>
      <c r="P1639" s="1237">
        <v>4.271762089509341E-3</v>
      </c>
      <c r="Q1639" s="1292">
        <v>5.6432330412703458E-2</v>
      </c>
    </row>
    <row r="1640" spans="1:17" s="212" customFormat="1" ht="15.5" x14ac:dyDescent="0.35">
      <c r="A1640" s="198">
        <v>2042</v>
      </c>
      <c r="B1640" s="197" t="s">
        <v>5838</v>
      </c>
      <c r="C1640" s="197">
        <v>1988</v>
      </c>
      <c r="D1640" s="229" t="str">
        <f t="shared" si="17"/>
        <v>2042_1988</v>
      </c>
      <c r="E1640" s="1291">
        <v>0.37508319626300013</v>
      </c>
      <c r="F1640" s="1280">
        <v>0.13025919091241228</v>
      </c>
      <c r="G1640" s="1271">
        <v>9.1463655040409382</v>
      </c>
      <c r="H1640" s="1280">
        <v>1.0102881878281142</v>
      </c>
      <c r="I1640" s="1271">
        <v>5.399109277915589E-2</v>
      </c>
      <c r="J1640" s="1280">
        <v>2.7578185489019916E-3</v>
      </c>
      <c r="K1640" s="1271">
        <v>2.9924704025460209E-3</v>
      </c>
      <c r="L1640" s="1257">
        <v>2.0000011572633668E-3</v>
      </c>
      <c r="M1640" s="1230">
        <v>2.0000011572633668E-3</v>
      </c>
      <c r="N1640" s="1271">
        <v>2.7121879620152761E-2</v>
      </c>
      <c r="O1640" s="1257">
        <v>8.5435241790186821E-3</v>
      </c>
      <c r="P1640" s="1237">
        <v>4.271762089509341E-3</v>
      </c>
      <c r="Q1640" s="1292">
        <v>5.6432330412703458E-2</v>
      </c>
    </row>
    <row r="1641" spans="1:17" s="212" customFormat="1" ht="15.5" x14ac:dyDescent="0.35">
      <c r="A1641" s="198">
        <v>2042</v>
      </c>
      <c r="B1641" s="197" t="s">
        <v>5838</v>
      </c>
      <c r="C1641" s="197">
        <v>1989</v>
      </c>
      <c r="D1641" s="229" t="str">
        <f t="shared" si="17"/>
        <v>2042_1989</v>
      </c>
      <c r="E1641" s="1291">
        <v>0.37508319626300013</v>
      </c>
      <c r="F1641" s="1280">
        <v>0.13025919091241228</v>
      </c>
      <c r="G1641" s="1271">
        <v>9.1463655040409382</v>
      </c>
      <c r="H1641" s="1280">
        <v>1.0102881878281142</v>
      </c>
      <c r="I1641" s="1271">
        <v>5.399109277915589E-2</v>
      </c>
      <c r="J1641" s="1280">
        <v>2.7578185489019916E-3</v>
      </c>
      <c r="K1641" s="1271">
        <v>2.9924704025460209E-3</v>
      </c>
      <c r="L1641" s="1257">
        <v>2.0000011572633668E-3</v>
      </c>
      <c r="M1641" s="1230">
        <v>2.0000011572633668E-3</v>
      </c>
      <c r="N1641" s="1271">
        <v>2.7121879620152761E-2</v>
      </c>
      <c r="O1641" s="1257">
        <v>8.5435241790186821E-3</v>
      </c>
      <c r="P1641" s="1237">
        <v>4.271762089509341E-3</v>
      </c>
      <c r="Q1641" s="1292">
        <v>5.6432330412703458E-2</v>
      </c>
    </row>
    <row r="1642" spans="1:17" s="212" customFormat="1" ht="15.5" x14ac:dyDescent="0.35">
      <c r="A1642" s="198">
        <v>2042</v>
      </c>
      <c r="B1642" s="197" t="s">
        <v>5838</v>
      </c>
      <c r="C1642" s="197">
        <v>1990</v>
      </c>
      <c r="D1642" s="229" t="str">
        <f t="shared" si="17"/>
        <v>2042_1990</v>
      </c>
      <c r="E1642" s="1291">
        <v>0.37508319626300013</v>
      </c>
      <c r="F1642" s="1280">
        <v>0.13025919091241228</v>
      </c>
      <c r="G1642" s="1271">
        <v>9.1463655040409382</v>
      </c>
      <c r="H1642" s="1280">
        <v>1.0102881878281142</v>
      </c>
      <c r="I1642" s="1271">
        <v>5.399109277915589E-2</v>
      </c>
      <c r="J1642" s="1280">
        <v>2.7578185489019916E-3</v>
      </c>
      <c r="K1642" s="1271">
        <v>2.9924704025460209E-3</v>
      </c>
      <c r="L1642" s="1257">
        <v>2.0000011572633668E-3</v>
      </c>
      <c r="M1642" s="1230">
        <v>2.0000011572633668E-3</v>
      </c>
      <c r="N1642" s="1271">
        <v>2.7121879620152761E-2</v>
      </c>
      <c r="O1642" s="1257">
        <v>8.5435241790186821E-3</v>
      </c>
      <c r="P1642" s="1237">
        <v>4.271762089509341E-3</v>
      </c>
      <c r="Q1642" s="1292">
        <v>5.6432330412703458E-2</v>
      </c>
    </row>
    <row r="1643" spans="1:17" s="212" customFormat="1" ht="15.5" x14ac:dyDescent="0.35">
      <c r="A1643" s="198">
        <v>2042</v>
      </c>
      <c r="B1643" s="197" t="s">
        <v>5838</v>
      </c>
      <c r="C1643" s="197">
        <v>1991</v>
      </c>
      <c r="D1643" s="229" t="str">
        <f t="shared" si="17"/>
        <v>2042_1991</v>
      </c>
      <c r="E1643" s="1291">
        <v>0.37508319626300013</v>
      </c>
      <c r="F1643" s="1280">
        <v>0.13025919091241228</v>
      </c>
      <c r="G1643" s="1271">
        <v>9.1463655040409382</v>
      </c>
      <c r="H1643" s="1280">
        <v>1.0102881878281142</v>
      </c>
      <c r="I1643" s="1271">
        <v>5.399109277915589E-2</v>
      </c>
      <c r="J1643" s="1280">
        <v>2.7578185489019916E-3</v>
      </c>
      <c r="K1643" s="1271">
        <v>2.9924704025460209E-3</v>
      </c>
      <c r="L1643" s="1257">
        <v>2.0000011572633668E-3</v>
      </c>
      <c r="M1643" s="1230">
        <v>2.0000011572633668E-3</v>
      </c>
      <c r="N1643" s="1271">
        <v>2.7121879620152761E-2</v>
      </c>
      <c r="O1643" s="1257">
        <v>8.5435241790186821E-3</v>
      </c>
      <c r="P1643" s="1237">
        <v>4.271762089509341E-3</v>
      </c>
      <c r="Q1643" s="1292">
        <v>5.6432330412703458E-2</v>
      </c>
    </row>
    <row r="1644" spans="1:17" s="212" customFormat="1" ht="15.5" x14ac:dyDescent="0.35">
      <c r="A1644" s="198">
        <v>2042</v>
      </c>
      <c r="B1644" s="197" t="s">
        <v>5838</v>
      </c>
      <c r="C1644" s="197">
        <v>1992</v>
      </c>
      <c r="D1644" s="229" t="str">
        <f t="shared" si="17"/>
        <v>2042_1992</v>
      </c>
      <c r="E1644" s="1291">
        <v>0.37508319626300013</v>
      </c>
      <c r="F1644" s="1280">
        <v>0.13025919091241228</v>
      </c>
      <c r="G1644" s="1271">
        <v>9.1463655040409382</v>
      </c>
      <c r="H1644" s="1280">
        <v>1.0102881878281142</v>
      </c>
      <c r="I1644" s="1271">
        <v>5.399109277915589E-2</v>
      </c>
      <c r="J1644" s="1280">
        <v>2.7578185489019916E-3</v>
      </c>
      <c r="K1644" s="1271">
        <v>2.9924704025460209E-3</v>
      </c>
      <c r="L1644" s="1257">
        <v>2.0000011572633668E-3</v>
      </c>
      <c r="M1644" s="1230">
        <v>2.0000011572633668E-3</v>
      </c>
      <c r="N1644" s="1271">
        <v>2.7121879620152761E-2</v>
      </c>
      <c r="O1644" s="1257">
        <v>8.5435241790186821E-3</v>
      </c>
      <c r="P1644" s="1237">
        <v>4.271762089509341E-3</v>
      </c>
      <c r="Q1644" s="1292">
        <v>5.6432330412703458E-2</v>
      </c>
    </row>
    <row r="1645" spans="1:17" s="212" customFormat="1" ht="15.5" x14ac:dyDescent="0.35">
      <c r="A1645" s="198">
        <v>2042</v>
      </c>
      <c r="B1645" s="197" t="s">
        <v>5838</v>
      </c>
      <c r="C1645" s="197">
        <v>1993</v>
      </c>
      <c r="D1645" s="229" t="str">
        <f t="shared" si="17"/>
        <v>2042_1993</v>
      </c>
      <c r="E1645" s="1291">
        <v>0.37508319626300013</v>
      </c>
      <c r="F1645" s="1280">
        <v>0.13025919091241228</v>
      </c>
      <c r="G1645" s="1271">
        <v>9.1463655040409382</v>
      </c>
      <c r="H1645" s="1280">
        <v>1.0102881878281142</v>
      </c>
      <c r="I1645" s="1271">
        <v>5.399109277915589E-2</v>
      </c>
      <c r="J1645" s="1280">
        <v>2.7578185489019916E-3</v>
      </c>
      <c r="K1645" s="1271">
        <v>2.9924704025460209E-3</v>
      </c>
      <c r="L1645" s="1257">
        <v>2.0000011572633668E-3</v>
      </c>
      <c r="M1645" s="1230">
        <v>2.0000011572633668E-3</v>
      </c>
      <c r="N1645" s="1271">
        <v>2.7121879620152761E-2</v>
      </c>
      <c r="O1645" s="1257">
        <v>8.5435241790186821E-3</v>
      </c>
      <c r="P1645" s="1237">
        <v>4.271762089509341E-3</v>
      </c>
      <c r="Q1645" s="1292">
        <v>5.6432330412703458E-2</v>
      </c>
    </row>
    <row r="1646" spans="1:17" s="212" customFormat="1" ht="15.5" x14ac:dyDescent="0.35">
      <c r="A1646" s="198">
        <v>2042</v>
      </c>
      <c r="B1646" s="197" t="s">
        <v>5838</v>
      </c>
      <c r="C1646" s="197">
        <v>1994</v>
      </c>
      <c r="D1646" s="229" t="str">
        <f t="shared" si="17"/>
        <v>2042_1994</v>
      </c>
      <c r="E1646" s="1291">
        <v>0.37508319626300013</v>
      </c>
      <c r="F1646" s="1280">
        <v>0.13025919091241228</v>
      </c>
      <c r="G1646" s="1271">
        <v>9.1463655040409382</v>
      </c>
      <c r="H1646" s="1280">
        <v>1.0102881878281142</v>
      </c>
      <c r="I1646" s="1271">
        <v>5.399109277915589E-2</v>
      </c>
      <c r="J1646" s="1280">
        <v>2.7578185489019916E-3</v>
      </c>
      <c r="K1646" s="1271">
        <v>2.9924704025460209E-3</v>
      </c>
      <c r="L1646" s="1257">
        <v>2.0000011572633668E-3</v>
      </c>
      <c r="M1646" s="1230">
        <v>2.0000011572633668E-3</v>
      </c>
      <c r="N1646" s="1271">
        <v>2.7121879620152761E-2</v>
      </c>
      <c r="O1646" s="1257">
        <v>8.5435241790186821E-3</v>
      </c>
      <c r="P1646" s="1237">
        <v>4.271762089509341E-3</v>
      </c>
      <c r="Q1646" s="1292">
        <v>5.6432330412703458E-2</v>
      </c>
    </row>
    <row r="1647" spans="1:17" s="212" customFormat="1" ht="15.5" x14ac:dyDescent="0.35">
      <c r="A1647" s="198">
        <v>2042</v>
      </c>
      <c r="B1647" s="197" t="s">
        <v>5838</v>
      </c>
      <c r="C1647" s="197">
        <v>1995</v>
      </c>
      <c r="D1647" s="229" t="str">
        <f t="shared" si="17"/>
        <v>2042_1995</v>
      </c>
      <c r="E1647" s="1291">
        <v>0.37508319626300013</v>
      </c>
      <c r="F1647" s="1280">
        <v>0.13025919091241228</v>
      </c>
      <c r="G1647" s="1271">
        <v>9.1463655040409382</v>
      </c>
      <c r="H1647" s="1280">
        <v>1.0102881878281142</v>
      </c>
      <c r="I1647" s="1271">
        <v>5.399109277915589E-2</v>
      </c>
      <c r="J1647" s="1280">
        <v>2.7578185489019916E-3</v>
      </c>
      <c r="K1647" s="1271">
        <v>2.9924704025460209E-3</v>
      </c>
      <c r="L1647" s="1257">
        <v>2.0000011572633668E-3</v>
      </c>
      <c r="M1647" s="1230">
        <v>2.0000011572633668E-3</v>
      </c>
      <c r="N1647" s="1271">
        <v>2.7121879620152761E-2</v>
      </c>
      <c r="O1647" s="1257">
        <v>8.5435241790186821E-3</v>
      </c>
      <c r="P1647" s="1237">
        <v>4.271762089509341E-3</v>
      </c>
      <c r="Q1647" s="1292">
        <v>5.6432330412703458E-2</v>
      </c>
    </row>
    <row r="1648" spans="1:17" s="212" customFormat="1" ht="15.5" x14ac:dyDescent="0.35">
      <c r="A1648" s="198">
        <v>2042</v>
      </c>
      <c r="B1648" s="197" t="s">
        <v>5838</v>
      </c>
      <c r="C1648" s="197">
        <v>1996</v>
      </c>
      <c r="D1648" s="229" t="str">
        <f t="shared" si="17"/>
        <v>2042_1996</v>
      </c>
      <c r="E1648" s="1291">
        <v>0.37508319626300013</v>
      </c>
      <c r="F1648" s="1280">
        <v>0.13025919091241228</v>
      </c>
      <c r="G1648" s="1271">
        <v>9.1463655040409382</v>
      </c>
      <c r="H1648" s="1280">
        <v>1.0102881878281142</v>
      </c>
      <c r="I1648" s="1271">
        <v>5.399109277915589E-2</v>
      </c>
      <c r="J1648" s="1280">
        <v>2.7578185489019916E-3</v>
      </c>
      <c r="K1648" s="1271">
        <v>2.9924704025460209E-3</v>
      </c>
      <c r="L1648" s="1257">
        <v>2.0000011572633668E-3</v>
      </c>
      <c r="M1648" s="1230">
        <v>2.0000011572633668E-3</v>
      </c>
      <c r="N1648" s="1271">
        <v>2.7121879620152761E-2</v>
      </c>
      <c r="O1648" s="1257">
        <v>8.5435241790186821E-3</v>
      </c>
      <c r="P1648" s="1237">
        <v>4.271762089509341E-3</v>
      </c>
      <c r="Q1648" s="1292">
        <v>5.6432330412703458E-2</v>
      </c>
    </row>
    <row r="1649" spans="1:17" s="212" customFormat="1" ht="15.5" x14ac:dyDescent="0.35">
      <c r="A1649" s="198">
        <v>2042</v>
      </c>
      <c r="B1649" s="197" t="s">
        <v>5838</v>
      </c>
      <c r="C1649" s="197">
        <v>1997</v>
      </c>
      <c r="D1649" s="229" t="str">
        <f t="shared" si="17"/>
        <v>2042_1997</v>
      </c>
      <c r="E1649" s="1291">
        <v>0.37508319626300013</v>
      </c>
      <c r="F1649" s="1280">
        <v>0.13025919091241228</v>
      </c>
      <c r="G1649" s="1271">
        <v>9.1463655040409382</v>
      </c>
      <c r="H1649" s="1280">
        <v>1.0102881878281142</v>
      </c>
      <c r="I1649" s="1271">
        <v>5.399109277915589E-2</v>
      </c>
      <c r="J1649" s="1280">
        <v>2.7578185489019916E-3</v>
      </c>
      <c r="K1649" s="1271">
        <v>2.9924704025460209E-3</v>
      </c>
      <c r="L1649" s="1257">
        <v>2.0000011572633668E-3</v>
      </c>
      <c r="M1649" s="1230">
        <v>2.0000011572633668E-3</v>
      </c>
      <c r="N1649" s="1271">
        <v>2.7121879620152761E-2</v>
      </c>
      <c r="O1649" s="1257">
        <v>8.5435241790186821E-3</v>
      </c>
      <c r="P1649" s="1237">
        <v>4.271762089509341E-3</v>
      </c>
      <c r="Q1649" s="1292">
        <v>5.6432330412703458E-2</v>
      </c>
    </row>
    <row r="1650" spans="1:17" s="212" customFormat="1" ht="15.5" x14ac:dyDescent="0.35">
      <c r="A1650" s="198">
        <v>2042</v>
      </c>
      <c r="B1650" s="197" t="s">
        <v>5838</v>
      </c>
      <c r="C1650" s="197">
        <v>1998</v>
      </c>
      <c r="D1650" s="229" t="str">
        <f t="shared" si="17"/>
        <v>2042_1998</v>
      </c>
      <c r="E1650" s="1287">
        <v>0.37508319626300013</v>
      </c>
      <c r="F1650" s="1306">
        <v>0.13025919091241228</v>
      </c>
      <c r="G1650" s="1303">
        <v>9.1463655040409382</v>
      </c>
      <c r="H1650" s="1306">
        <v>1.0102881878281142</v>
      </c>
      <c r="I1650" s="1303">
        <v>5.399109277915589E-2</v>
      </c>
      <c r="J1650" s="1306">
        <v>2.7578185489019916E-3</v>
      </c>
      <c r="K1650" s="1303">
        <v>2.9924704025460209E-3</v>
      </c>
      <c r="L1650" s="1288">
        <v>2.0000011572633668E-3</v>
      </c>
      <c r="M1650" s="1230">
        <v>2.0000011572633668E-3</v>
      </c>
      <c r="N1650" s="1303">
        <v>2.7121879620152761E-2</v>
      </c>
      <c r="O1650" s="1288">
        <v>8.5435241790186821E-3</v>
      </c>
      <c r="P1650" s="1237">
        <v>4.271762089509341E-3</v>
      </c>
      <c r="Q1650" s="1290">
        <v>5.6432330412703458E-2</v>
      </c>
    </row>
    <row r="1651" spans="1:17" s="212" customFormat="1" ht="15.5" x14ac:dyDescent="0.35">
      <c r="A1651" s="198">
        <v>2042</v>
      </c>
      <c r="B1651" s="197" t="s">
        <v>5838</v>
      </c>
      <c r="C1651" s="197">
        <v>1999</v>
      </c>
      <c r="D1651" s="229" t="str">
        <f t="shared" si="17"/>
        <v>2042_1999</v>
      </c>
      <c r="E1651" s="1287">
        <v>0.37659255439400313</v>
      </c>
      <c r="F1651" s="1306">
        <v>0.127394772750203</v>
      </c>
      <c r="G1651" s="1303">
        <v>9.1851356309546404</v>
      </c>
      <c r="H1651" s="1306">
        <v>0.99869090422473028</v>
      </c>
      <c r="I1651" s="1303">
        <v>5.4031161639613148E-2</v>
      </c>
      <c r="J1651" s="1306">
        <v>2.7823544752890888E-3</v>
      </c>
      <c r="K1651" s="1303">
        <v>2.9972635247438595E-3</v>
      </c>
      <c r="L1651" s="1288">
        <v>2.0000011971295036E-3</v>
      </c>
      <c r="M1651" s="1230">
        <v>2.0000011971295036E-3</v>
      </c>
      <c r="N1651" s="1303">
        <v>2.7236061295766067E-2</v>
      </c>
      <c r="O1651" s="1288">
        <v>8.2778337128780535E-3</v>
      </c>
      <c r="P1651" s="1237">
        <v>4.1389168564390268E-3</v>
      </c>
      <c r="Q1651" s="1290">
        <v>5.647421100922758E-2</v>
      </c>
    </row>
    <row r="1652" spans="1:17" s="212" customFormat="1" ht="15.5" x14ac:dyDescent="0.35">
      <c r="A1652" s="198">
        <v>2042</v>
      </c>
      <c r="B1652" s="197" t="s">
        <v>5838</v>
      </c>
      <c r="C1652" s="197">
        <v>2000</v>
      </c>
      <c r="D1652" s="229" t="str">
        <f t="shared" si="17"/>
        <v>2042_2000</v>
      </c>
      <c r="E1652" s="1287">
        <v>0.37534335743051994</v>
      </c>
      <c r="F1652" s="1306">
        <v>0.12218892566995387</v>
      </c>
      <c r="G1652" s="1303">
        <v>9.2316688566173397</v>
      </c>
      <c r="H1652" s="1306">
        <v>0.9736538582926344</v>
      </c>
      <c r="I1652" s="1303">
        <v>5.3779224832964739E-2</v>
      </c>
      <c r="J1652" s="1306">
        <v>2.7824552772801867E-3</v>
      </c>
      <c r="K1652" s="1303">
        <v>2.9990924551526891E-3</v>
      </c>
      <c r="L1652" s="1288">
        <v>2.0000012393393313E-3</v>
      </c>
      <c r="M1652" s="1230">
        <v>2.0000012393393313E-3</v>
      </c>
      <c r="N1652" s="1303">
        <v>2.7278516837843853E-2</v>
      </c>
      <c r="O1652" s="1288">
        <v>8.4527830188087742E-3</v>
      </c>
      <c r="P1652" s="1237">
        <v>4.2263915094043871E-3</v>
      </c>
      <c r="Q1652" s="1290">
        <v>5.6210882738135626E-2</v>
      </c>
    </row>
    <row r="1653" spans="1:17" s="212" customFormat="1" ht="15.5" x14ac:dyDescent="0.35">
      <c r="A1653" s="198">
        <v>2042</v>
      </c>
      <c r="B1653" s="197" t="s">
        <v>5838</v>
      </c>
      <c r="C1653" s="197">
        <v>2001</v>
      </c>
      <c r="D1653" s="229" t="str">
        <f t="shared" si="17"/>
        <v>2042_2001</v>
      </c>
      <c r="E1653" s="1287">
        <v>0.37725957936318766</v>
      </c>
      <c r="F1653" s="1306">
        <v>0.1191415657710308</v>
      </c>
      <c r="G1653" s="1303">
        <v>9.2032294877681338</v>
      </c>
      <c r="H1653" s="1306">
        <v>0.95506264300204158</v>
      </c>
      <c r="I1653" s="1303">
        <v>5.4029082912369256E-2</v>
      </c>
      <c r="J1653" s="1306">
        <v>2.8057048402546033E-3</v>
      </c>
      <c r="K1653" s="1303">
        <v>2.9997415572324717E-3</v>
      </c>
      <c r="L1653" s="1288">
        <v>2.0000012299688148E-3</v>
      </c>
      <c r="M1653" s="1230">
        <v>2.0000012299688148E-3</v>
      </c>
      <c r="N1653" s="1303">
        <v>2.729397087112025E-2</v>
      </c>
      <c r="O1653" s="1288">
        <v>7.8047040382197121E-3</v>
      </c>
      <c r="P1653" s="1237">
        <v>3.902352019109856E-3</v>
      </c>
      <c r="Q1653" s="1290">
        <v>5.6472038291161979E-2</v>
      </c>
    </row>
    <row r="1654" spans="1:17" s="212" customFormat="1" ht="15.5" x14ac:dyDescent="0.35">
      <c r="A1654" s="198">
        <v>2042</v>
      </c>
      <c r="B1654" s="197" t="s">
        <v>5838</v>
      </c>
      <c r="C1654" s="197">
        <v>2002</v>
      </c>
      <c r="D1654" s="229" t="str">
        <f t="shared" si="17"/>
        <v>2042_2002</v>
      </c>
      <c r="E1654" s="1287">
        <v>0.29095820227663105</v>
      </c>
      <c r="F1654" s="1306">
        <v>0.11847146697375852</v>
      </c>
      <c r="G1654" s="1303">
        <v>7.1199360088679695</v>
      </c>
      <c r="H1654" s="1306">
        <v>0.92579807120091262</v>
      </c>
      <c r="I1654" s="1303">
        <v>5.4239022463693602E-2</v>
      </c>
      <c r="J1654" s="1306">
        <v>2.8190303098598055E-3</v>
      </c>
      <c r="K1654" s="1303">
        <v>2.9998608564227179E-3</v>
      </c>
      <c r="L1654" s="1288">
        <v>2.0000012904417383E-3</v>
      </c>
      <c r="M1654" s="1230">
        <v>2.0000012904417383E-3</v>
      </c>
      <c r="N1654" s="1303">
        <v>2.7296755189869036E-2</v>
      </c>
      <c r="O1654" s="1288">
        <v>7.2492787484035696E-3</v>
      </c>
      <c r="P1654" s="1237">
        <v>3.6246393742017848E-3</v>
      </c>
      <c r="Q1654" s="1290">
        <v>5.6691470377404227E-2</v>
      </c>
    </row>
    <row r="1655" spans="1:17" s="212" customFormat="1" ht="15.5" x14ac:dyDescent="0.35">
      <c r="A1655" s="198">
        <v>2042</v>
      </c>
      <c r="B1655" s="197" t="s">
        <v>5838</v>
      </c>
      <c r="C1655" s="197">
        <v>2003</v>
      </c>
      <c r="D1655" s="229" t="str">
        <f t="shared" si="17"/>
        <v>2042_2003</v>
      </c>
      <c r="E1655" s="1287">
        <v>0.28940595145830972</v>
      </c>
      <c r="F1655" s="1306">
        <v>9.5998445824674539E-2</v>
      </c>
      <c r="G1655" s="1303">
        <v>7.1464130022295125</v>
      </c>
      <c r="H1655" s="1306">
        <v>0.7202665413098307</v>
      </c>
      <c r="I1655" s="1303">
        <v>5.3949686635484426E-2</v>
      </c>
      <c r="J1655" s="1306">
        <v>2.8051724838156484E-3</v>
      </c>
      <c r="K1655" s="1303">
        <v>2.9998607485002258E-3</v>
      </c>
      <c r="L1655" s="1288">
        <v>2.0000012976254286E-3</v>
      </c>
      <c r="M1655" s="1230">
        <v>2.0000012976254286E-3</v>
      </c>
      <c r="N1655" s="1303">
        <v>2.7296793135087618E-2</v>
      </c>
      <c r="O1655" s="1288">
        <v>7.6326118597600584E-3</v>
      </c>
      <c r="P1655" s="1237">
        <v>3.8163059298800292E-3</v>
      </c>
      <c r="Q1655" s="1290">
        <v>5.6389052066952258E-2</v>
      </c>
    </row>
    <row r="1656" spans="1:17" s="212" customFormat="1" ht="15.5" x14ac:dyDescent="0.35">
      <c r="A1656" s="198">
        <v>2042</v>
      </c>
      <c r="B1656" s="197" t="s">
        <v>5838</v>
      </c>
      <c r="C1656" s="197">
        <v>2004</v>
      </c>
      <c r="D1656" s="229" t="str">
        <f t="shared" si="17"/>
        <v>2042_2004</v>
      </c>
      <c r="E1656" s="1287">
        <v>0.59558871608695196</v>
      </c>
      <c r="F1656" s="1306">
        <v>1.806359594534996E-2</v>
      </c>
      <c r="G1656" s="1303">
        <v>4.2061712526656345</v>
      </c>
      <c r="H1656" s="1306">
        <v>0.12171434960418039</v>
      </c>
      <c r="I1656" s="1303">
        <v>0.15432707073273663</v>
      </c>
      <c r="J1656" s="1306">
        <v>1.8775609007245256E-4</v>
      </c>
      <c r="K1656" s="1303">
        <v>2.9987657567607444E-3</v>
      </c>
      <c r="L1656" s="1288">
        <v>2.0000013657148524E-3</v>
      </c>
      <c r="M1656" s="1230">
        <v>2.0000013657148524E-3</v>
      </c>
      <c r="N1656" s="1303">
        <v>2.7270998504417623E-2</v>
      </c>
      <c r="O1656" s="1288">
        <v>7.0319354469006402E-3</v>
      </c>
      <c r="P1656" s="1237">
        <v>3.5159677234503201E-3</v>
      </c>
      <c r="Q1656" s="1290">
        <v>0.16130505605503775</v>
      </c>
    </row>
    <row r="1657" spans="1:17" s="212" customFormat="1" ht="15.5" x14ac:dyDescent="0.35">
      <c r="A1657" s="198">
        <v>2042</v>
      </c>
      <c r="B1657" s="197" t="s">
        <v>5838</v>
      </c>
      <c r="C1657" s="197">
        <v>2005</v>
      </c>
      <c r="D1657" s="229" t="str">
        <f t="shared" si="17"/>
        <v>2042_2005</v>
      </c>
      <c r="E1657" s="1287">
        <v>0.55592129711388394</v>
      </c>
      <c r="F1657" s="1306">
        <v>1.6119986143783429E-2</v>
      </c>
      <c r="G1657" s="1303">
        <v>4.0155484827267403</v>
      </c>
      <c r="H1657" s="1306">
        <v>0.10616426316498896</v>
      </c>
      <c r="I1657" s="1303">
        <v>0.14628149191119721</v>
      </c>
      <c r="J1657" s="1306">
        <v>1.880240438309107E-4</v>
      </c>
      <c r="K1657" s="1303">
        <v>2.9216791666368661E-3</v>
      </c>
      <c r="L1657" s="1288">
        <v>2.0000013830018992E-3</v>
      </c>
      <c r="M1657" s="1230">
        <v>2.0000013830018992E-3</v>
      </c>
      <c r="N1657" s="1303">
        <v>2.5452966731874839E-2</v>
      </c>
      <c r="O1657" s="1288">
        <v>6.5146029888000015E-3</v>
      </c>
      <c r="P1657" s="1237">
        <v>3.2573014944000007E-3</v>
      </c>
      <c r="Q1657" s="1290">
        <v>0.15289569186091539</v>
      </c>
    </row>
    <row r="1658" spans="1:17" s="212" customFormat="1" ht="15.5" x14ac:dyDescent="0.35">
      <c r="A1658" s="198">
        <v>2042</v>
      </c>
      <c r="B1658" s="197" t="s">
        <v>5838</v>
      </c>
      <c r="C1658" s="197">
        <v>2006</v>
      </c>
      <c r="D1658" s="229" t="str">
        <f t="shared" si="17"/>
        <v>2042_2006</v>
      </c>
      <c r="E1658" s="1287">
        <v>0.57140224025337238</v>
      </c>
      <c r="F1658" s="1306">
        <v>7.0874178024113313E-3</v>
      </c>
      <c r="G1658" s="1303">
        <v>4.093944948654304</v>
      </c>
      <c r="H1658" s="1306">
        <v>8.4591210113660484E-2</v>
      </c>
      <c r="I1658" s="1303">
        <v>0.14937647665285358</v>
      </c>
      <c r="J1658" s="1306">
        <v>1.8317499222646145E-4</v>
      </c>
      <c r="K1658" s="1303">
        <v>2.9567740579174886E-3</v>
      </c>
      <c r="L1658" s="1288">
        <v>2.0000012940443314E-3</v>
      </c>
      <c r="M1658" s="1230">
        <v>2.0000012940443314E-3</v>
      </c>
      <c r="N1658" s="1303">
        <v>2.6280401029459926E-2</v>
      </c>
      <c r="O1658" s="1288">
        <v>9.5763569157111973E-3</v>
      </c>
      <c r="P1658" s="1237">
        <v>4.7881784578555986E-3</v>
      </c>
      <c r="Q1658" s="1290">
        <v>0.15613061807879727</v>
      </c>
    </row>
    <row r="1659" spans="1:17" s="212" customFormat="1" ht="15.5" x14ac:dyDescent="0.35">
      <c r="A1659" s="198">
        <v>2042</v>
      </c>
      <c r="B1659" s="197" t="s">
        <v>5838</v>
      </c>
      <c r="C1659" s="197">
        <v>2007</v>
      </c>
      <c r="D1659" s="229" t="str">
        <f t="shared" si="17"/>
        <v>2042_2007</v>
      </c>
      <c r="E1659" s="1287">
        <v>0.31762565795759573</v>
      </c>
      <c r="F1659" s="1306">
        <v>8.9650650153008261E-3</v>
      </c>
      <c r="G1659" s="1303">
        <v>2.3130221564535298</v>
      </c>
      <c r="H1659" s="1306">
        <v>7.1289151378580287E-2</v>
      </c>
      <c r="I1659" s="1303">
        <v>8.2933965886784214E-2</v>
      </c>
      <c r="J1659" s="1306">
        <v>1.8687529971007295E-4</v>
      </c>
      <c r="K1659" s="1303">
        <v>2.9388311887635467E-3</v>
      </c>
      <c r="L1659" s="1288">
        <v>2.0000013225059078E-3</v>
      </c>
      <c r="M1659" s="1230">
        <v>2.0000013225059078E-3</v>
      </c>
      <c r="N1659" s="1303">
        <v>2.5858362877844529E-2</v>
      </c>
      <c r="O1659" s="1288">
        <v>6.9029307337427487E-3</v>
      </c>
      <c r="P1659" s="1237">
        <v>3.4514653668713743E-3</v>
      </c>
      <c r="Q1659" s="1290">
        <v>8.6683871810161378E-2</v>
      </c>
    </row>
    <row r="1660" spans="1:17" s="212" customFormat="1" ht="15.5" x14ac:dyDescent="0.35">
      <c r="A1660" s="198">
        <v>2042</v>
      </c>
      <c r="B1660" s="197" t="s">
        <v>5838</v>
      </c>
      <c r="C1660" s="197">
        <v>2008</v>
      </c>
      <c r="D1660" s="225" t="str">
        <f t="shared" si="17"/>
        <v>2042_2008</v>
      </c>
      <c r="E1660" s="1287">
        <v>0.32548844352252754</v>
      </c>
      <c r="F1660" s="1306">
        <v>8.3477396197230019E-3</v>
      </c>
      <c r="G1660" s="1303">
        <v>2.3755994893823296</v>
      </c>
      <c r="H1660" s="1306">
        <v>5.4495998694589903E-2</v>
      </c>
      <c r="I1660" s="1303">
        <v>8.4975408261932367E-2</v>
      </c>
      <c r="J1660" s="1306">
        <v>2.1032290136672164E-4</v>
      </c>
      <c r="K1660" s="1303">
        <v>2.9662540531834357E-3</v>
      </c>
      <c r="L1660" s="1288">
        <v>2.0000014502971797E-3</v>
      </c>
      <c r="M1660" s="1230">
        <v>2.0000014502971797E-3</v>
      </c>
      <c r="N1660" s="1303">
        <v>2.6505784563017196E-2</v>
      </c>
      <c r="O1660" s="1288">
        <v>6.8986733197606235E-3</v>
      </c>
      <c r="P1660" s="1237">
        <v>3.4493366598803117E-3</v>
      </c>
      <c r="Q1660" s="1290">
        <v>8.8817619150747429E-2</v>
      </c>
    </row>
    <row r="1661" spans="1:17" s="212" customFormat="1" ht="15.5" x14ac:dyDescent="0.35">
      <c r="A1661" s="198">
        <v>2042</v>
      </c>
      <c r="B1661" s="197" t="s">
        <v>5838</v>
      </c>
      <c r="C1661" s="197">
        <v>2009</v>
      </c>
      <c r="D1661" s="225" t="str">
        <f t="shared" si="17"/>
        <v>2042_2009</v>
      </c>
      <c r="E1661" s="1287">
        <v>0.31664810253590248</v>
      </c>
      <c r="F1661" s="1306">
        <v>7.9552462344719046E-3</v>
      </c>
      <c r="G1661" s="1303">
        <v>2.2867474093498457</v>
      </c>
      <c r="H1661" s="1306">
        <v>3.8724572105713208E-2</v>
      </c>
      <c r="I1661" s="1303">
        <v>8.2478615868145755E-2</v>
      </c>
      <c r="J1661" s="1306">
        <v>2.3893909383106068E-4</v>
      </c>
      <c r="K1661" s="1303">
        <v>2.9220355889189578E-3</v>
      </c>
      <c r="L1661" s="1288">
        <v>2.0000015046643862E-3</v>
      </c>
      <c r="M1661" s="1230">
        <v>2.0000015046643862E-3</v>
      </c>
      <c r="N1661" s="1303">
        <v>2.5466442614001623E-2</v>
      </c>
      <c r="O1661" s="1288">
        <v>5.4527481936635846E-3</v>
      </c>
      <c r="P1661" s="1237">
        <v>2.7263740968317923E-3</v>
      </c>
      <c r="Q1661" s="1290">
        <v>8.6207932884266009E-2</v>
      </c>
    </row>
    <row r="1662" spans="1:17" s="212" customFormat="1" ht="15.5" x14ac:dyDescent="0.35">
      <c r="A1662" s="198">
        <v>2042</v>
      </c>
      <c r="B1662" s="197" t="s">
        <v>5838</v>
      </c>
      <c r="C1662" s="197">
        <v>2010</v>
      </c>
      <c r="D1662" s="225" t="str">
        <f t="shared" si="17"/>
        <v>2042_2010</v>
      </c>
      <c r="E1662" s="1287">
        <v>6.8242714947020763E-2</v>
      </c>
      <c r="F1662" s="1306">
        <v>7.3403032345228034E-3</v>
      </c>
      <c r="G1662" s="1303">
        <v>0.59631498874970723</v>
      </c>
      <c r="H1662" s="1306">
        <v>3.6832771134915794E-2</v>
      </c>
      <c r="I1662" s="1303">
        <v>1.8875502902696482E-2</v>
      </c>
      <c r="J1662" s="1306">
        <v>2.9552460143123622E-4</v>
      </c>
      <c r="K1662" s="1303">
        <v>2.8256738175536063E-3</v>
      </c>
      <c r="L1662" s="1288">
        <v>2.0000015877000127E-3</v>
      </c>
      <c r="M1662" s="1230">
        <v>2.0000015877000127E-3</v>
      </c>
      <c r="N1662" s="1303">
        <v>2.3199888195068765E-2</v>
      </c>
      <c r="O1662" s="1288">
        <v>4.5812671139282765E-3</v>
      </c>
      <c r="P1662" s="1237">
        <v>2.2906335569641383E-3</v>
      </c>
      <c r="Q1662" s="1290">
        <v>1.9728969385152784E-2</v>
      </c>
    </row>
    <row r="1663" spans="1:17" s="212" customFormat="1" ht="15.5" x14ac:dyDescent="0.35">
      <c r="A1663" s="198">
        <v>2042</v>
      </c>
      <c r="B1663" s="197" t="s">
        <v>5838</v>
      </c>
      <c r="C1663" s="197">
        <v>2011</v>
      </c>
      <c r="D1663" s="225" t="str">
        <f t="shared" si="17"/>
        <v>2042_2011</v>
      </c>
      <c r="E1663" s="1287">
        <v>7.3172901362872009E-2</v>
      </c>
      <c r="F1663" s="1306">
        <v>7.3097160218381354E-3</v>
      </c>
      <c r="G1663" s="1303">
        <v>0.65494401277078296</v>
      </c>
      <c r="H1663" s="1306">
        <v>3.6630893755942945E-2</v>
      </c>
      <c r="I1663" s="1303">
        <v>2.0157245281447609E-2</v>
      </c>
      <c r="J1663" s="1306">
        <v>3.9200975044614849E-4</v>
      </c>
      <c r="K1663" s="1303">
        <v>2.9149796219562034E-3</v>
      </c>
      <c r="L1663" s="1288">
        <v>2.0000015242144682E-3</v>
      </c>
      <c r="M1663" s="1230">
        <v>2.0000015242144682E-3</v>
      </c>
      <c r="N1663" s="1303">
        <v>2.5306060203878458E-2</v>
      </c>
      <c r="O1663" s="1288">
        <v>5.648461227219557E-3</v>
      </c>
      <c r="P1663" s="1237">
        <v>2.8242306136097785E-3</v>
      </c>
      <c r="Q1663" s="1290">
        <v>2.1068666466623431E-2</v>
      </c>
    </row>
    <row r="1664" spans="1:17" s="212" customFormat="1" ht="15.5" x14ac:dyDescent="0.35">
      <c r="A1664" s="198">
        <v>2042</v>
      </c>
      <c r="B1664" s="197" t="s">
        <v>5838</v>
      </c>
      <c r="C1664" s="197">
        <v>2012</v>
      </c>
      <c r="D1664" s="225" t="str">
        <f t="shared" si="17"/>
        <v>2042_2012</v>
      </c>
      <c r="E1664" s="1287">
        <v>5.9240290511930124E-2</v>
      </c>
      <c r="F1664" s="1306">
        <v>6.9607857011468382E-3</v>
      </c>
      <c r="G1664" s="1303">
        <v>0.50256084631548814</v>
      </c>
      <c r="H1664" s="1306">
        <v>3.5522768602450107E-2</v>
      </c>
      <c r="I1664" s="1303">
        <v>1.665272221482993E-2</v>
      </c>
      <c r="J1664" s="1306">
        <v>5.6762629559347212E-4</v>
      </c>
      <c r="K1664" s="1303">
        <v>2.6925674360507431E-3</v>
      </c>
      <c r="L1664" s="1288">
        <v>2.000001559070715E-3</v>
      </c>
      <c r="M1664" s="1230">
        <v>2.000001559070715E-3</v>
      </c>
      <c r="N1664" s="1303">
        <v>2.0058232421893675E-2</v>
      </c>
      <c r="O1664" s="1288">
        <v>6.1752649709432405E-3</v>
      </c>
      <c r="P1664" s="1237">
        <v>3.0876324854716202E-3</v>
      </c>
      <c r="Q1664" s="1290">
        <v>1.7405684418024116E-2</v>
      </c>
    </row>
    <row r="1665" spans="1:17" s="212" customFormat="1" ht="15.5" x14ac:dyDescent="0.35">
      <c r="A1665" s="198">
        <v>2042</v>
      </c>
      <c r="B1665" s="197" t="s">
        <v>5838</v>
      </c>
      <c r="C1665" s="197">
        <v>2013</v>
      </c>
      <c r="D1665" s="225" t="str">
        <f t="shared" si="17"/>
        <v>2042_2013</v>
      </c>
      <c r="E1665" s="1287">
        <v>7.1972196189479046E-2</v>
      </c>
      <c r="F1665" s="1306">
        <v>7.4771842615968843E-3</v>
      </c>
      <c r="G1665" s="1303">
        <v>0.64033463721817951</v>
      </c>
      <c r="H1665" s="1306">
        <v>3.6794722421884148E-2</v>
      </c>
      <c r="I1665" s="1303">
        <v>1.9838957539392695E-2</v>
      </c>
      <c r="J1665" s="1306">
        <v>8.481242893186668E-4</v>
      </c>
      <c r="K1665" s="1303">
        <v>2.8933109055033534E-3</v>
      </c>
      <c r="L1665" s="1288">
        <v>2.0000015665191688E-3</v>
      </c>
      <c r="M1665" s="1230">
        <v>2.0000015665191688E-3</v>
      </c>
      <c r="N1665" s="1303">
        <v>2.4796116285264826E-2</v>
      </c>
      <c r="O1665" s="1288">
        <v>6.2243355062537257E-3</v>
      </c>
      <c r="P1665" s="1237">
        <v>3.1121677531268628E-3</v>
      </c>
      <c r="Q1665" s="1290">
        <v>2.0735987165253763E-2</v>
      </c>
    </row>
    <row r="1666" spans="1:17" s="212" customFormat="1" ht="15.5" x14ac:dyDescent="0.35">
      <c r="A1666" s="198">
        <v>2042</v>
      </c>
      <c r="B1666" s="197" t="s">
        <v>5838</v>
      </c>
      <c r="C1666" s="197">
        <v>2014</v>
      </c>
      <c r="D1666" s="225" t="str">
        <f t="shared" si="17"/>
        <v>2042_2014</v>
      </c>
      <c r="E1666" s="1287">
        <v>6.4679698012304582E-2</v>
      </c>
      <c r="F1666" s="1306">
        <v>7.6262163512511574E-3</v>
      </c>
      <c r="G1666" s="1303">
        <v>0.56166758221859658</v>
      </c>
      <c r="H1666" s="1306">
        <v>3.7244621146549063E-2</v>
      </c>
      <c r="I1666" s="1303">
        <v>1.801719589361055E-2</v>
      </c>
      <c r="J1666" s="1306">
        <v>1.2007067408051576E-3</v>
      </c>
      <c r="K1666" s="1303">
        <v>2.7787602488241231E-3</v>
      </c>
      <c r="L1666" s="1288">
        <v>2.0000015736402433E-3</v>
      </c>
      <c r="M1666" s="1230">
        <v>2.0000015736402433E-3</v>
      </c>
      <c r="N1666" s="1303">
        <v>2.2092781170674054E-2</v>
      </c>
      <c r="O1666" s="1288">
        <v>5.2836084263982461E-3</v>
      </c>
      <c r="P1666" s="1237">
        <v>2.6418042131991231E-3</v>
      </c>
      <c r="Q1666" s="1290">
        <v>1.8831853541796947E-2</v>
      </c>
    </row>
    <row r="1667" spans="1:17" s="212" customFormat="1" ht="15.5" x14ac:dyDescent="0.35">
      <c r="A1667" s="198">
        <v>2042</v>
      </c>
      <c r="B1667" s="197" t="s">
        <v>5838</v>
      </c>
      <c r="C1667" s="197">
        <v>2015</v>
      </c>
      <c r="D1667" s="225" t="str">
        <f t="shared" si="17"/>
        <v>2042_2015</v>
      </c>
      <c r="E1667" s="1287">
        <v>6.0046109661404889E-2</v>
      </c>
      <c r="F1667" s="1306">
        <v>7.4644883757934649E-3</v>
      </c>
      <c r="G1667" s="1303">
        <v>0.51487623458048426</v>
      </c>
      <c r="H1667" s="1306">
        <v>3.6403405698930143E-2</v>
      </c>
      <c r="I1667" s="1303">
        <v>1.6897780129909116E-2</v>
      </c>
      <c r="J1667" s="1306">
        <v>1.4841405617088805E-3</v>
      </c>
      <c r="K1667" s="1303">
        <v>2.7123803636726848E-3</v>
      </c>
      <c r="L1667" s="1288">
        <v>2.0000015472108361E-3</v>
      </c>
      <c r="M1667" s="1230">
        <v>2.0000015472108361E-3</v>
      </c>
      <c r="N1667" s="1303">
        <v>2.0517730781011049E-2</v>
      </c>
      <c r="O1667" s="1288">
        <v>6.2565734143042494E-3</v>
      </c>
      <c r="P1667" s="1237">
        <v>3.1282867071521247E-3</v>
      </c>
      <c r="Q1667" s="1290">
        <v>1.7661822764594791E-2</v>
      </c>
    </row>
    <row r="1668" spans="1:17" s="212" customFormat="1" ht="15.5" x14ac:dyDescent="0.35">
      <c r="A1668" s="198">
        <v>2042</v>
      </c>
      <c r="B1668" s="197" t="s">
        <v>5838</v>
      </c>
      <c r="C1668" s="197">
        <v>2016</v>
      </c>
      <c r="D1668" s="225" t="str">
        <f t="shared" si="17"/>
        <v>2042_2016</v>
      </c>
      <c r="E1668" s="1287">
        <v>6.8599000852410191E-2</v>
      </c>
      <c r="F1668" s="1306">
        <v>7.328933233862767E-3</v>
      </c>
      <c r="G1668" s="1303">
        <v>0.54237578228270777</v>
      </c>
      <c r="H1668" s="1306">
        <v>3.5634771038164932E-2</v>
      </c>
      <c r="I1668" s="1303">
        <v>1.9082889689056672E-2</v>
      </c>
      <c r="J1668" s="1306">
        <v>1.6815834387524807E-3</v>
      </c>
      <c r="K1668" s="1303">
        <v>2.8613530284780611E-3</v>
      </c>
      <c r="L1668" s="1288">
        <v>2.000001482405451E-3</v>
      </c>
      <c r="M1668" s="1230">
        <v>2.000001482405451E-3</v>
      </c>
      <c r="N1668" s="1303">
        <v>2.4032059523283782E-2</v>
      </c>
      <c r="O1668" s="1288">
        <v>7.3019563060708875E-3</v>
      </c>
      <c r="P1668" s="1237">
        <v>3.6509781530354437E-3</v>
      </c>
      <c r="Q1668" s="1290">
        <v>1.9945733281726941E-2</v>
      </c>
    </row>
    <row r="1669" spans="1:17" s="212" customFormat="1" ht="15.5" x14ac:dyDescent="0.35">
      <c r="A1669" s="198">
        <v>2042</v>
      </c>
      <c r="B1669" s="197" t="s">
        <v>5838</v>
      </c>
      <c r="C1669" s="197">
        <v>2017</v>
      </c>
      <c r="D1669" s="225" t="str">
        <f t="shared" si="17"/>
        <v>2042_2017</v>
      </c>
      <c r="E1669" s="1287">
        <v>7.0202108606839383E-2</v>
      </c>
      <c r="F1669" s="1306">
        <v>7.0745578451785673E-3</v>
      </c>
      <c r="G1669" s="1303">
        <v>0.48486953462412086</v>
      </c>
      <c r="H1669" s="1306">
        <v>3.498720695425532E-2</v>
      </c>
      <c r="I1669" s="1303">
        <v>1.9490089141882019E-2</v>
      </c>
      <c r="J1669" s="1306">
        <v>1.8079890160201065E-3</v>
      </c>
      <c r="K1669" s="1303">
        <v>2.8864853630240191E-3</v>
      </c>
      <c r="L1669" s="1288">
        <v>2.0000014552012395E-3</v>
      </c>
      <c r="M1669" s="1230">
        <v>2.0000014552012395E-3</v>
      </c>
      <c r="N1669" s="1303">
        <v>2.4628580765652035E-2</v>
      </c>
      <c r="O1669" s="1288">
        <v>7.2328110936297476E-3</v>
      </c>
      <c r="P1669" s="1237">
        <v>3.6164055468148738E-3</v>
      </c>
      <c r="Q1669" s="1290">
        <v>2.0371344486888238E-2</v>
      </c>
    </row>
    <row r="1670" spans="1:17" s="212" customFormat="1" ht="15.5" x14ac:dyDescent="0.35">
      <c r="A1670" s="198">
        <v>2042</v>
      </c>
      <c r="B1670" s="197" t="s">
        <v>5838</v>
      </c>
      <c r="C1670" s="197">
        <v>2018</v>
      </c>
      <c r="D1670" s="225" t="str">
        <f t="shared" si="17"/>
        <v>2042_2018</v>
      </c>
      <c r="E1670" s="1287">
        <v>6.6307163009886733E-2</v>
      </c>
      <c r="F1670" s="1306">
        <v>6.9804431438079129E-3</v>
      </c>
      <c r="G1670" s="1303">
        <v>0.37455044993233039</v>
      </c>
      <c r="H1670" s="1306">
        <v>3.4691053582377278E-2</v>
      </c>
      <c r="I1670" s="1303">
        <v>1.8495722195922645E-2</v>
      </c>
      <c r="J1670" s="1306">
        <v>1.9141288718568699E-3</v>
      </c>
      <c r="K1670" s="1303">
        <v>2.8189745993693577E-3</v>
      </c>
      <c r="L1670" s="1288">
        <v>2.0000014525631713E-3</v>
      </c>
      <c r="M1670" s="1230">
        <v>2.0000014525631713E-3</v>
      </c>
      <c r="N1670" s="1303">
        <v>2.303480831253996E-2</v>
      </c>
      <c r="O1670" s="1288">
        <v>6.5013161355713433E-3</v>
      </c>
      <c r="P1670" s="1237">
        <v>3.2506580677856716E-3</v>
      </c>
      <c r="Q1670" s="1290">
        <v>1.9332016680070556E-2</v>
      </c>
    </row>
    <row r="1671" spans="1:17" s="212" customFormat="1" ht="15.5" x14ac:dyDescent="0.35">
      <c r="A1671" s="198">
        <v>2042</v>
      </c>
      <c r="B1671" s="197" t="s">
        <v>5838</v>
      </c>
      <c r="C1671" s="197">
        <v>2019</v>
      </c>
      <c r="D1671" s="225" t="str">
        <f t="shared" si="17"/>
        <v>2042_2019</v>
      </c>
      <c r="E1671" s="1287">
        <v>7.3479994307343005E-2</v>
      </c>
      <c r="F1671" s="1306">
        <v>6.8689942280753718E-3</v>
      </c>
      <c r="G1671" s="1303">
        <v>0.36951903384514856</v>
      </c>
      <c r="H1671" s="1306">
        <v>3.4041567784606923E-2</v>
      </c>
      <c r="I1671" s="1303">
        <v>2.0307939197188228E-2</v>
      </c>
      <c r="J1671" s="1306">
        <v>1.8189535386401699E-3</v>
      </c>
      <c r="K1671" s="1303">
        <v>2.9463838555481995E-3</v>
      </c>
      <c r="L1671" s="1288">
        <v>2.0000013940564337E-3</v>
      </c>
      <c r="M1671" s="1230">
        <v>2.0000013940564337E-3</v>
      </c>
      <c r="N1671" s="1303">
        <v>2.6037936277228894E-2</v>
      </c>
      <c r="O1671" s="1288">
        <v>6.5307209625805607E-3</v>
      </c>
      <c r="P1671" s="1237">
        <v>3.2653604812902803E-3</v>
      </c>
      <c r="Q1671" s="1290">
        <v>2.1226174092539588E-2</v>
      </c>
    </row>
    <row r="1672" spans="1:17" s="212" customFormat="1" ht="15.5" x14ac:dyDescent="0.35">
      <c r="A1672" s="198">
        <v>2042</v>
      </c>
      <c r="B1672" s="197" t="s">
        <v>5838</v>
      </c>
      <c r="C1672" s="197">
        <v>2020</v>
      </c>
      <c r="D1672" s="225" t="str">
        <f t="shared" si="17"/>
        <v>2042_2020</v>
      </c>
      <c r="E1672" s="1287">
        <v>6.3799843602330583E-2</v>
      </c>
      <c r="F1672" s="1306">
        <v>6.7417701544906783E-3</v>
      </c>
      <c r="G1672" s="1303">
        <v>0.28623773500439631</v>
      </c>
      <c r="H1672" s="1306">
        <v>3.3051823401510735E-2</v>
      </c>
      <c r="I1672" s="1303">
        <v>1.8267667602823466E-2</v>
      </c>
      <c r="J1672" s="1306">
        <v>1.3509592735902218E-3</v>
      </c>
      <c r="K1672" s="1303">
        <v>2.9194446707156399E-3</v>
      </c>
      <c r="L1672" s="1288">
        <v>2.0000014810720693E-3</v>
      </c>
      <c r="M1672" s="1230">
        <v>2.0000014810720693E-3</v>
      </c>
      <c r="N1672" s="1303">
        <v>2.5409834494386191E-2</v>
      </c>
      <c r="O1672" s="1288">
        <v>6.6514914117626325E-3</v>
      </c>
      <c r="P1672" s="1237">
        <v>3.3257457058813162E-3</v>
      </c>
      <c r="Q1672" s="1290">
        <v>1.9093650470248667E-2</v>
      </c>
    </row>
    <row r="1673" spans="1:17" s="212" customFormat="1" ht="15.5" x14ac:dyDescent="0.35">
      <c r="A1673" s="198">
        <v>2042</v>
      </c>
      <c r="B1673" s="197" t="s">
        <v>5838</v>
      </c>
      <c r="C1673" s="197">
        <v>2021</v>
      </c>
      <c r="D1673" s="225" t="str">
        <f t="shared" si="17"/>
        <v>2042_2021</v>
      </c>
      <c r="E1673" s="1287">
        <v>6.2638530047686367E-2</v>
      </c>
      <c r="F1673" s="1306">
        <v>6.5414863966448975E-3</v>
      </c>
      <c r="G1673" s="1303">
        <v>0.23182645896149326</v>
      </c>
      <c r="H1673" s="1306">
        <v>3.2144211417224781E-2</v>
      </c>
      <c r="I1673" s="1303">
        <v>1.7671079581177696E-2</v>
      </c>
      <c r="J1673" s="1306">
        <v>8.8848345586474604E-4</v>
      </c>
      <c r="K1673" s="1303">
        <v>2.9156606874326074E-3</v>
      </c>
      <c r="L1673" s="1288">
        <v>2.0000014942356068E-3</v>
      </c>
      <c r="M1673" s="1230">
        <v>2.0000014942356068E-3</v>
      </c>
      <c r="N1673" s="1303">
        <v>2.5319727345471933E-2</v>
      </c>
      <c r="O1673" s="1288">
        <v>6.6108905055246242E-3</v>
      </c>
      <c r="P1673" s="1237">
        <v>3.3054452527623121E-3</v>
      </c>
      <c r="Q1673" s="1290">
        <v>1.8470087385584234E-2</v>
      </c>
    </row>
    <row r="1674" spans="1:17" s="212" customFormat="1" ht="15.5" x14ac:dyDescent="0.35">
      <c r="A1674" s="198">
        <v>2042</v>
      </c>
      <c r="B1674" s="197" t="s">
        <v>5838</v>
      </c>
      <c r="C1674" s="197">
        <v>2022</v>
      </c>
      <c r="D1674" s="225" t="str">
        <f t="shared" si="17"/>
        <v>2042_2022</v>
      </c>
      <c r="E1674" s="1287">
        <v>6.2227841981433725E-2</v>
      </c>
      <c r="F1674" s="1306">
        <v>6.3747135768164511E-3</v>
      </c>
      <c r="G1674" s="1303">
        <v>0.17822241578098832</v>
      </c>
      <c r="H1674" s="1306">
        <v>3.1187397016391092E-2</v>
      </c>
      <c r="I1674" s="1303">
        <v>1.7437300706034255E-2</v>
      </c>
      <c r="J1674" s="1306">
        <v>8.8840589908345676E-4</v>
      </c>
      <c r="K1674" s="1303">
        <v>2.9123863669276158E-3</v>
      </c>
      <c r="L1674" s="1288">
        <v>2.0000015047279746E-3</v>
      </c>
      <c r="M1674" s="1230">
        <v>2.0000015047279746E-3</v>
      </c>
      <c r="N1674" s="1303">
        <v>2.5241172326087538E-2</v>
      </c>
      <c r="O1674" s="1288">
        <v>6.6193498782721131E-3</v>
      </c>
      <c r="P1674" s="1237">
        <v>3.3096749391360565E-3</v>
      </c>
      <c r="Q1674" s="1290">
        <v>1.8225738067085287E-2</v>
      </c>
    </row>
    <row r="1675" spans="1:17" s="212" customFormat="1" ht="15.5" x14ac:dyDescent="0.35">
      <c r="A1675" s="198">
        <v>2042</v>
      </c>
      <c r="B1675" s="197" t="s">
        <v>5838</v>
      </c>
      <c r="C1675" s="197">
        <v>2023</v>
      </c>
      <c r="D1675" s="225" t="str">
        <f t="shared" si="17"/>
        <v>2042_2023</v>
      </c>
      <c r="E1675" s="1287">
        <v>6.1745200892824287E-2</v>
      </c>
      <c r="F1675" s="1306">
        <v>6.079166231278868E-3</v>
      </c>
      <c r="G1675" s="1303">
        <v>0.17614751541437199</v>
      </c>
      <c r="H1675" s="1306">
        <v>3.027224157875541E-2</v>
      </c>
      <c r="I1675" s="1303">
        <v>1.7154702995456499E-2</v>
      </c>
      <c r="J1675" s="1306">
        <v>8.8791967923018938E-4</v>
      </c>
      <c r="K1675" s="1303">
        <v>2.9089485174028694E-3</v>
      </c>
      <c r="L1675" s="1288">
        <v>2.0000015162064825E-3</v>
      </c>
      <c r="M1675" s="1230">
        <v>2.0000015162064825E-3</v>
      </c>
      <c r="N1675" s="1303">
        <v>2.5158340844589178E-2</v>
      </c>
      <c r="O1675" s="1288">
        <v>6.5818503340745425E-3</v>
      </c>
      <c r="P1675" s="1237">
        <v>3.2909251670372713E-3</v>
      </c>
      <c r="Q1675" s="1290">
        <v>1.7930362542043932E-2</v>
      </c>
    </row>
    <row r="1676" spans="1:17" s="212" customFormat="1" ht="15.5" x14ac:dyDescent="0.35">
      <c r="A1676" s="198">
        <v>2042</v>
      </c>
      <c r="B1676" s="197" t="s">
        <v>5838</v>
      </c>
      <c r="C1676" s="197">
        <v>2024</v>
      </c>
      <c r="D1676" s="225" t="str">
        <f t="shared" si="17"/>
        <v>2042_2024</v>
      </c>
      <c r="E1676" s="1287">
        <v>6.0954976057431137E-2</v>
      </c>
      <c r="F1676" s="1306">
        <v>5.5034901358478674E-3</v>
      </c>
      <c r="G1676" s="1303">
        <v>0.17303853880894687</v>
      </c>
      <c r="H1676" s="1306">
        <v>2.8988112466079984E-2</v>
      </c>
      <c r="I1676" s="1303">
        <v>1.6754855782225846E-2</v>
      </c>
      <c r="J1676" s="1306">
        <v>8.8638925514153595E-4</v>
      </c>
      <c r="K1676" s="1303">
        <v>2.9014127525785137E-3</v>
      </c>
      <c r="L1676" s="1288">
        <v>2.0000015359330518E-3</v>
      </c>
      <c r="M1676" s="1305">
        <v>2.0000005733647685E-3</v>
      </c>
      <c r="N1676" s="1303">
        <v>2.4978605713648301E-2</v>
      </c>
      <c r="O1676" s="1288">
        <v>6.4223598742360628E-3</v>
      </c>
      <c r="P1676" s="1301">
        <v>3.7763828921913581E-3</v>
      </c>
      <c r="Q1676" s="1290">
        <v>1.7512436012126733E-2</v>
      </c>
    </row>
    <row r="1677" spans="1:17" s="212" customFormat="1" ht="15.5" x14ac:dyDescent="0.35">
      <c r="A1677" s="198">
        <v>2042</v>
      </c>
      <c r="B1677" s="197" t="s">
        <v>5838</v>
      </c>
      <c r="C1677" s="197">
        <v>2025</v>
      </c>
      <c r="D1677" s="225" t="str">
        <f t="shared" si="17"/>
        <v>2042_2025</v>
      </c>
      <c r="E1677" s="1287">
        <v>6.0128743612441311E-2</v>
      </c>
      <c r="F1677" s="1306">
        <v>5.0058037294823119E-3</v>
      </c>
      <c r="G1677" s="1303">
        <v>0.16971856597517176</v>
      </c>
      <c r="H1677" s="1306">
        <v>2.7877661977700356E-2</v>
      </c>
      <c r="I1677" s="1303">
        <v>1.6319380408593803E-2</v>
      </c>
      <c r="J1677" s="1306">
        <v>8.8530309061211725E-4</v>
      </c>
      <c r="K1677" s="1303">
        <v>2.8942654635681986E-3</v>
      </c>
      <c r="L1677" s="1288">
        <v>2.000001555600631E-3</v>
      </c>
      <c r="M1677" s="1305">
        <v>2.0000005733958742E-3</v>
      </c>
      <c r="N1677" s="1303">
        <v>2.4807314903419354E-2</v>
      </c>
      <c r="O1677" s="1288">
        <v>6.2961016685943987E-3</v>
      </c>
      <c r="P1677" s="1301">
        <v>4.1950389167384992E-3</v>
      </c>
      <c r="Q1677" s="1290">
        <v>1.7057270374492357E-2</v>
      </c>
    </row>
    <row r="1678" spans="1:17" s="212" customFormat="1" ht="15.5" x14ac:dyDescent="0.35">
      <c r="A1678" s="198">
        <v>2042</v>
      </c>
      <c r="B1678" s="197" t="s">
        <v>5838</v>
      </c>
      <c r="C1678" s="197">
        <v>2026</v>
      </c>
      <c r="D1678" s="225" t="str">
        <f t="shared" si="17"/>
        <v>2042_2026</v>
      </c>
      <c r="E1678" s="1287">
        <v>5.9226914742694918E-2</v>
      </c>
      <c r="F1678" s="1306">
        <v>4.9995530432477087E-3</v>
      </c>
      <c r="G1678" s="1303">
        <v>0.16607191646463779</v>
      </c>
      <c r="H1678" s="1306">
        <v>2.757042171020134E-2</v>
      </c>
      <c r="I1678" s="1303">
        <v>1.5837478906549473E-2</v>
      </c>
      <c r="J1678" s="1306">
        <v>7.7103648464777711E-4</v>
      </c>
      <c r="K1678" s="1303">
        <v>2.8868064046775931E-3</v>
      </c>
      <c r="L1678" s="1288">
        <v>2.0000015736018071E-3</v>
      </c>
      <c r="M1678" s="1305">
        <v>2.0000005734584769E-3</v>
      </c>
      <c r="N1678" s="1303">
        <v>2.4627798283495535E-2</v>
      </c>
      <c r="O1678" s="1288">
        <v>6.1318782276884682E-3</v>
      </c>
      <c r="P1678" s="1301">
        <v>5.0398811035230594E-3</v>
      </c>
      <c r="Q1678" s="1290">
        <v>1.6553579424931814E-2</v>
      </c>
    </row>
    <row r="1679" spans="1:17" s="212" customFormat="1" ht="15.5" x14ac:dyDescent="0.35">
      <c r="A1679" s="198">
        <v>2042</v>
      </c>
      <c r="B1679" s="197" t="s">
        <v>5838</v>
      </c>
      <c r="C1679" s="197">
        <v>2027</v>
      </c>
      <c r="D1679" s="225" t="str">
        <f t="shared" si="17"/>
        <v>2042_2027</v>
      </c>
      <c r="E1679" s="1287">
        <v>5.8115833209724514E-2</v>
      </c>
      <c r="F1679" s="1306">
        <v>5.0198467113917742E-3</v>
      </c>
      <c r="G1679" s="1303">
        <v>0.16171010209676254</v>
      </c>
      <c r="H1679" s="1306">
        <v>2.7250186169813395E-2</v>
      </c>
      <c r="I1679" s="1303">
        <v>1.5272762226811941E-2</v>
      </c>
      <c r="J1679" s="1306">
        <v>6.3633551553966957E-4</v>
      </c>
      <c r="K1679" s="1303">
        <v>2.8767138391606259E-3</v>
      </c>
      <c r="L1679" s="1288">
        <v>2.0000015927835397E-3</v>
      </c>
      <c r="M1679" s="1305">
        <v>2.0000005735220966E-3</v>
      </c>
      <c r="N1679" s="1303">
        <v>2.4385131260569487E-2</v>
      </c>
      <c r="O1679" s="1288">
        <v>5.9561515848172179E-3</v>
      </c>
      <c r="P1679" s="1301">
        <v>5.8897078453728586E-3</v>
      </c>
      <c r="Q1679" s="1290">
        <v>1.5963328762829781E-2</v>
      </c>
    </row>
    <row r="1680" spans="1:17" s="212" customFormat="1" ht="15.5" x14ac:dyDescent="0.35">
      <c r="A1680" s="198">
        <v>2042</v>
      </c>
      <c r="B1680" s="197" t="s">
        <v>5838</v>
      </c>
      <c r="C1680" s="197">
        <v>2028</v>
      </c>
      <c r="D1680" s="225" t="str">
        <f t="shared" si="17"/>
        <v>2042_2028</v>
      </c>
      <c r="E1680" s="1287">
        <v>5.6961628132769011E-2</v>
      </c>
      <c r="F1680" s="1306">
        <v>4.9739526058260979E-3</v>
      </c>
      <c r="G1680" s="1303">
        <v>0.1571316192965006</v>
      </c>
      <c r="H1680" s="1306">
        <v>2.6827665635900163E-2</v>
      </c>
      <c r="I1680" s="1303">
        <v>1.4674059589654851E-2</v>
      </c>
      <c r="J1680" s="1306">
        <v>5.1882766473491048E-4</v>
      </c>
      <c r="K1680" s="1303">
        <v>2.8667595534253272E-3</v>
      </c>
      <c r="L1680" s="1288">
        <v>2.000001613201143E-3</v>
      </c>
      <c r="M1680" s="1305">
        <v>2.000000573567709E-3</v>
      </c>
      <c r="N1680" s="1303">
        <v>2.4144584961222078E-2</v>
      </c>
      <c r="O1680" s="1288">
        <v>5.7719973424710776E-3</v>
      </c>
      <c r="P1680" s="1301">
        <v>6.4988428590685389E-3</v>
      </c>
      <c r="Q1680" s="1290">
        <v>1.5337555449123982E-2</v>
      </c>
    </row>
    <row r="1681" spans="1:17" s="212" customFormat="1" ht="15.5" x14ac:dyDescent="0.35">
      <c r="A1681" s="198">
        <v>2042</v>
      </c>
      <c r="B1681" s="197" t="s">
        <v>5838</v>
      </c>
      <c r="C1681" s="197">
        <v>2029</v>
      </c>
      <c r="D1681" s="225" t="str">
        <f t="shared" si="17"/>
        <v>2042_2029</v>
      </c>
      <c r="E1681" s="1287">
        <v>5.5660991698127993E-2</v>
      </c>
      <c r="F1681" s="1306">
        <v>4.9163353297247804E-3</v>
      </c>
      <c r="G1681" s="1303">
        <v>0.15204599419044273</v>
      </c>
      <c r="H1681" s="1306">
        <v>2.6345171046954441E-2</v>
      </c>
      <c r="I1681" s="1303">
        <v>1.4014893673857758E-2</v>
      </c>
      <c r="J1681" s="1306">
        <v>5.1509126559018815E-4</v>
      </c>
      <c r="K1681" s="1303">
        <v>2.8551434572026799E-3</v>
      </c>
      <c r="L1681" s="1288">
        <v>2.0000016330876192E-3</v>
      </c>
      <c r="M1681" s="1305">
        <v>2.0000005736026177E-3</v>
      </c>
      <c r="N1681" s="1303">
        <v>2.3863350565831092E-2</v>
      </c>
      <c r="O1681" s="1288">
        <v>5.5947100062375054E-3</v>
      </c>
      <c r="P1681" s="1301">
        <v>6.9621288503963529E-3</v>
      </c>
      <c r="Q1681" s="1290">
        <v>1.4648584975619964E-2</v>
      </c>
    </row>
    <row r="1682" spans="1:17" s="212" customFormat="1" ht="15.5" x14ac:dyDescent="0.35">
      <c r="A1682" s="198">
        <v>2042</v>
      </c>
      <c r="B1682" s="197" t="s">
        <v>5838</v>
      </c>
      <c r="C1682" s="197">
        <v>2030</v>
      </c>
      <c r="D1682" s="225" t="str">
        <f t="shared" si="17"/>
        <v>2042_2030</v>
      </c>
      <c r="E1682" s="1287">
        <v>5.4316387893086363E-2</v>
      </c>
      <c r="F1682" s="1306">
        <v>4.8618460823738495E-3</v>
      </c>
      <c r="G1682" s="1303">
        <v>0.14675776629604192</v>
      </c>
      <c r="H1682" s="1306">
        <v>2.5819813266556038E-2</v>
      </c>
      <c r="I1682" s="1303">
        <v>1.3324922574202301E-2</v>
      </c>
      <c r="J1682" s="1306">
        <v>5.1147647242112074E-4</v>
      </c>
      <c r="K1682" s="1303">
        <v>2.8435750615549509E-3</v>
      </c>
      <c r="L1682" s="1288">
        <v>2.0000016516988238E-3</v>
      </c>
      <c r="M1682" s="1305">
        <v>2.0000005736282569E-3</v>
      </c>
      <c r="N1682" s="1303">
        <v>2.3581697384843558E-2</v>
      </c>
      <c r="O1682" s="1288">
        <v>5.417921650766766E-3</v>
      </c>
      <c r="P1682" s="1301">
        <v>7.3006411033117247E-3</v>
      </c>
      <c r="Q1682" s="1290">
        <v>1.3927416444539539E-2</v>
      </c>
    </row>
    <row r="1683" spans="1:17" s="212" customFormat="1" ht="15.5" x14ac:dyDescent="0.35">
      <c r="A1683" s="198">
        <v>2042</v>
      </c>
      <c r="B1683" s="197" t="s">
        <v>5838</v>
      </c>
      <c r="C1683" s="197">
        <v>2031</v>
      </c>
      <c r="D1683" s="225" t="str">
        <f t="shared" si="17"/>
        <v>2042_2031</v>
      </c>
      <c r="E1683" s="1287">
        <v>5.2814957909536851E-2</v>
      </c>
      <c r="F1683" s="1306">
        <v>4.7511282903270708E-3</v>
      </c>
      <c r="G1683" s="1303">
        <v>0.14095748643843012</v>
      </c>
      <c r="H1683" s="1306">
        <v>2.5196881261612594E-2</v>
      </c>
      <c r="I1683" s="1303">
        <v>1.257708121240372E-2</v>
      </c>
      <c r="J1683" s="1306">
        <v>5.0769951479466731E-4</v>
      </c>
      <c r="K1683" s="1303">
        <v>2.8300271495872568E-3</v>
      </c>
      <c r="L1683" s="1288">
        <v>2.0000016712268054E-3</v>
      </c>
      <c r="M1683" s="1305">
        <v>2.0000005736595652E-3</v>
      </c>
      <c r="N1683" s="1303">
        <v>2.3251223114997745E-2</v>
      </c>
      <c r="O1683" s="1288">
        <v>5.2307801640414896E-3</v>
      </c>
      <c r="P1683" s="1301">
        <v>7.7170937435607169E-3</v>
      </c>
      <c r="Q1683" s="1290">
        <v>1.3145761014857333E-2</v>
      </c>
    </row>
    <row r="1684" spans="1:17" s="212" customFormat="1" ht="15.5" x14ac:dyDescent="0.35">
      <c r="A1684" s="198">
        <v>2042</v>
      </c>
      <c r="B1684" s="197" t="s">
        <v>5838</v>
      </c>
      <c r="C1684" s="197">
        <v>2032</v>
      </c>
      <c r="D1684" s="225" t="str">
        <f t="shared" si="17"/>
        <v>2042_2032</v>
      </c>
      <c r="E1684" s="1287">
        <v>5.1253748309991229E-2</v>
      </c>
      <c r="F1684" s="1306">
        <v>4.6298870999936202E-3</v>
      </c>
      <c r="G1684" s="1303">
        <v>0.13493258594883079</v>
      </c>
      <c r="H1684" s="1306">
        <v>2.4516737292653315E-2</v>
      </c>
      <c r="I1684" s="1303">
        <v>1.1799099658949198E-2</v>
      </c>
      <c r="J1684" s="1306">
        <v>5.0378158006717465E-4</v>
      </c>
      <c r="K1684" s="1303">
        <v>2.8161369485719206E-3</v>
      </c>
      <c r="L1684" s="1288">
        <v>2.0000016907213811E-3</v>
      </c>
      <c r="M1684" s="1305">
        <v>2.0000005736860666E-3</v>
      </c>
      <c r="N1684" s="1303">
        <v>2.2910575394505046E-2</v>
      </c>
      <c r="O1684" s="1288">
        <v>5.0340134593811776E-3</v>
      </c>
      <c r="P1684" s="1301">
        <v>8.0744131645659259E-3</v>
      </c>
      <c r="Q1684" s="1290">
        <v>1.2332602587797569E-2</v>
      </c>
    </row>
    <row r="1685" spans="1:17" s="212" customFormat="1" ht="15.5" x14ac:dyDescent="0.35">
      <c r="A1685" s="198">
        <v>2042</v>
      </c>
      <c r="B1685" s="197" t="s">
        <v>5838</v>
      </c>
      <c r="C1685" s="197">
        <v>2033</v>
      </c>
      <c r="D1685" s="225" t="str">
        <f t="shared" si="17"/>
        <v>2042_2033</v>
      </c>
      <c r="E1685" s="1287">
        <v>4.947999318941191E-2</v>
      </c>
      <c r="F1685" s="1306">
        <v>4.4964840128742817E-3</v>
      </c>
      <c r="G1685" s="1303">
        <v>0.12827964622990909</v>
      </c>
      <c r="H1685" s="1306">
        <v>2.3767544835919537E-2</v>
      </c>
      <c r="I1685" s="1303">
        <v>1.0957680127528025E-2</v>
      </c>
      <c r="J1685" s="1306">
        <v>5.0019508324975869E-4</v>
      </c>
      <c r="K1685" s="1303">
        <v>2.7990746733466032E-3</v>
      </c>
      <c r="L1685" s="1288">
        <v>2.0000017128638174E-3</v>
      </c>
      <c r="M1685" s="1305">
        <v>2.0000005737089771E-3</v>
      </c>
      <c r="N1685" s="1303">
        <v>2.2492009509362979E-2</v>
      </c>
      <c r="O1685" s="1288">
        <v>4.8432063236771529E-3</v>
      </c>
      <c r="P1685" s="1301">
        <v>8.3822031736921175E-3</v>
      </c>
      <c r="Q1685" s="1290">
        <v>1.1453137798909427E-2</v>
      </c>
    </row>
    <row r="1686" spans="1:17" s="212" customFormat="1" ht="15.5" x14ac:dyDescent="0.35">
      <c r="A1686" s="198">
        <v>2042</v>
      </c>
      <c r="B1686" s="197" t="s">
        <v>5838</v>
      </c>
      <c r="C1686" s="197">
        <v>2034</v>
      </c>
      <c r="D1686" s="225" t="str">
        <f t="shared" si="17"/>
        <v>2042_2034</v>
      </c>
      <c r="E1686" s="1287">
        <v>4.7661229876706311E-2</v>
      </c>
      <c r="F1686" s="1306">
        <v>4.3486610152403534E-3</v>
      </c>
      <c r="G1686" s="1303">
        <v>0.12147884575437388</v>
      </c>
      <c r="H1686" s="1306">
        <v>2.2944724746638626E-2</v>
      </c>
      <c r="I1686" s="1303">
        <v>1.0097247431026383E-2</v>
      </c>
      <c r="J1686" s="1306">
        <v>4.9681418298581556E-4</v>
      </c>
      <c r="K1686" s="1303">
        <v>2.7817621719770352E-3</v>
      </c>
      <c r="L1686" s="1288">
        <v>2.0000017285967029E-3</v>
      </c>
      <c r="M1686" s="1305">
        <v>2.0000005737318065E-3</v>
      </c>
      <c r="N1686" s="1303">
        <v>2.206444375995326E-2</v>
      </c>
      <c r="O1686" s="1288">
        <v>4.6588044441265566E-3</v>
      </c>
      <c r="P1686" s="1301">
        <v>8.6808385783152271E-3</v>
      </c>
      <c r="Q1686" s="1290">
        <v>1.0553800153985455E-2</v>
      </c>
    </row>
    <row r="1687" spans="1:17" s="212" customFormat="1" ht="15.5" x14ac:dyDescent="0.35">
      <c r="A1687" s="198">
        <v>2042</v>
      </c>
      <c r="B1687" s="197" t="s">
        <v>5838</v>
      </c>
      <c r="C1687" s="197">
        <v>2035</v>
      </c>
      <c r="D1687" s="225" t="str">
        <f t="shared" ref="D1687:D1807" si="18">CONCATENATE(A1687,"_",C1687)</f>
        <v>2042_2035</v>
      </c>
      <c r="E1687" s="1287">
        <v>4.5591775027358603E-2</v>
      </c>
      <c r="F1687" s="1306">
        <v>4.1896331334692399E-3</v>
      </c>
      <c r="G1687" s="1303">
        <v>0.114007294497664</v>
      </c>
      <c r="H1687" s="1306">
        <v>2.2059538537897893E-2</v>
      </c>
      <c r="I1687" s="1303">
        <v>9.177289754622283E-3</v>
      </c>
      <c r="J1687" s="1306">
        <v>4.9333387538340648E-4</v>
      </c>
      <c r="K1687" s="1303">
        <v>2.7602795967846421E-3</v>
      </c>
      <c r="L1687" s="1288">
        <v>2.0000017473451215E-3</v>
      </c>
      <c r="M1687" s="1305">
        <v>2.0000005737505415E-3</v>
      </c>
      <c r="N1687" s="1303">
        <v>2.1533779972437724E-2</v>
      </c>
      <c r="O1687" s="1288">
        <v>4.4652441553321796E-3</v>
      </c>
      <c r="P1687" s="1301">
        <v>8.9305797400395272E-3</v>
      </c>
      <c r="Q1687" s="1290">
        <v>9.5922460737061354E-3</v>
      </c>
    </row>
    <row r="1688" spans="1:17" s="212" customFormat="1" ht="15.5" x14ac:dyDescent="0.35">
      <c r="A1688" s="198">
        <v>2042</v>
      </c>
      <c r="B1688" s="197" t="s">
        <v>5838</v>
      </c>
      <c r="C1688" s="197">
        <v>2036</v>
      </c>
      <c r="D1688" s="225" t="str">
        <f t="shared" si="18"/>
        <v>2042_2036</v>
      </c>
      <c r="E1688" s="1287">
        <v>4.451474651336626E-2</v>
      </c>
      <c r="F1688" s="1306">
        <v>4.010107013410002E-3</v>
      </c>
      <c r="G1688" s="1303">
        <v>0.1090569141767037</v>
      </c>
      <c r="H1688" s="1306">
        <v>2.1056197092104628E-2</v>
      </c>
      <c r="I1688" s="1303">
        <v>8.4507917302461821E-3</v>
      </c>
      <c r="J1688" s="1306">
        <v>4.9321596069099624E-4</v>
      </c>
      <c r="K1688" s="1303">
        <v>2.7579559127453458E-3</v>
      </c>
      <c r="L1688" s="1288">
        <v>2.0000017624311195E-3</v>
      </c>
      <c r="M1688" s="1305">
        <v>2.0000005737481389E-3</v>
      </c>
      <c r="N1688" s="1303">
        <v>2.1461702255312156E-2</v>
      </c>
      <c r="O1688" s="1288">
        <v>4.3926817176819346E-3</v>
      </c>
      <c r="P1688" s="1301">
        <v>8.9014927975535462E-3</v>
      </c>
      <c r="Q1688" s="1290">
        <v>8.832899032454971E-3</v>
      </c>
    </row>
    <row r="1689" spans="1:17" s="212" customFormat="1" ht="15.5" x14ac:dyDescent="0.35">
      <c r="A1689" s="198">
        <v>2042</v>
      </c>
      <c r="B1689" s="197" t="s">
        <v>5838</v>
      </c>
      <c r="C1689" s="197">
        <v>2037</v>
      </c>
      <c r="D1689" s="225" t="str">
        <f t="shared" si="18"/>
        <v>2042_2037</v>
      </c>
      <c r="E1689" s="1287">
        <v>4.332431038061936E-2</v>
      </c>
      <c r="F1689" s="1306">
        <v>3.8232864886676107E-3</v>
      </c>
      <c r="G1689" s="1303">
        <v>0.10371575804024361</v>
      </c>
      <c r="H1689" s="1306">
        <v>2.0009697509580582E-2</v>
      </c>
      <c r="I1689" s="1303">
        <v>7.677261309917408E-3</v>
      </c>
      <c r="J1689" s="1306">
        <v>4.9294938559175233E-4</v>
      </c>
      <c r="K1689" s="1303">
        <v>2.7544141103149709E-3</v>
      </c>
      <c r="L1689" s="1288">
        <v>2.0000017817909453E-3</v>
      </c>
      <c r="M1689" s="1305">
        <v>2.0000005737443511E-3</v>
      </c>
      <c r="N1689" s="1303">
        <v>2.1359122794316881E-2</v>
      </c>
      <c r="O1689" s="1288">
        <v>4.3081936456248601E-3</v>
      </c>
      <c r="P1689" s="1301">
        <v>8.8508477921431308E-3</v>
      </c>
      <c r="Q1689" s="1290">
        <v>8.024392999009344E-3</v>
      </c>
    </row>
    <row r="1690" spans="1:17" s="212" customFormat="1" ht="15.5" x14ac:dyDescent="0.35">
      <c r="A1690" s="198">
        <v>2042</v>
      </c>
      <c r="B1690" s="197" t="s">
        <v>5838</v>
      </c>
      <c r="C1690" s="197">
        <v>2038</v>
      </c>
      <c r="D1690" s="225" t="str">
        <f t="shared" si="18"/>
        <v>2042_2038</v>
      </c>
      <c r="E1690" s="1287">
        <v>4.2227356108489815E-2</v>
      </c>
      <c r="F1690" s="1306">
        <v>3.6283161662436589E-3</v>
      </c>
      <c r="G1690" s="1303">
        <v>9.8493554100833255E-2</v>
      </c>
      <c r="H1690" s="1306">
        <v>1.8918530521246788E-2</v>
      </c>
      <c r="I1690" s="1303">
        <v>6.8940530282302409E-3</v>
      </c>
      <c r="J1690" s="1306">
        <v>4.9326546398195323E-4</v>
      </c>
      <c r="K1690" s="1303">
        <v>2.7536672333606069E-3</v>
      </c>
      <c r="L1690" s="1288">
        <v>2.0000018016044763E-3</v>
      </c>
      <c r="M1690" s="1305">
        <v>2.000000573743011E-3</v>
      </c>
      <c r="N1690" s="1303">
        <v>2.1322961051131288E-2</v>
      </c>
      <c r="O1690" s="1288">
        <v>4.2419253026380202E-3</v>
      </c>
      <c r="P1690" s="1301">
        <v>8.8507276372472212E-3</v>
      </c>
      <c r="Q1690" s="1290">
        <v>7.2057715142595825E-3</v>
      </c>
    </row>
    <row r="1691" spans="1:17" s="212" customFormat="1" ht="15.5" x14ac:dyDescent="0.35">
      <c r="A1691" s="198">
        <v>2042</v>
      </c>
      <c r="B1691" s="197" t="s">
        <v>5838</v>
      </c>
      <c r="C1691" s="197">
        <v>2039</v>
      </c>
      <c r="D1691" s="225" t="str">
        <f t="shared" si="18"/>
        <v>2042_2039</v>
      </c>
      <c r="E1691" s="1287">
        <v>4.1109962994446483E-2</v>
      </c>
      <c r="F1691" s="1306">
        <v>3.4302887925452921E-3</v>
      </c>
      <c r="G1691" s="1303">
        <v>9.3093559728696415E-2</v>
      </c>
      <c r="H1691" s="1306">
        <v>1.780448586588726E-2</v>
      </c>
      <c r="I1691" s="1303">
        <v>6.0773459205120247E-3</v>
      </c>
      <c r="J1691" s="1306">
        <v>4.9371561359662288E-4</v>
      </c>
      <c r="K1691" s="1303">
        <v>2.7535645181542066E-3</v>
      </c>
      <c r="L1691" s="1288">
        <v>2.0000018319638511E-3</v>
      </c>
      <c r="M1691" s="1305">
        <v>2.0000005737413847E-3</v>
      </c>
      <c r="N1691" s="1303">
        <v>2.1301760603316042E-2</v>
      </c>
      <c r="O1691" s="1288">
        <v>4.1699519489470137E-3</v>
      </c>
      <c r="P1691" s="1301">
        <v>8.8492041479462501E-3</v>
      </c>
      <c r="Q1691" s="1290">
        <v>6.3521365352144617E-3</v>
      </c>
    </row>
    <row r="1692" spans="1:17" s="212" customFormat="1" ht="15.5" x14ac:dyDescent="0.35">
      <c r="A1692" s="198">
        <v>2042</v>
      </c>
      <c r="B1692" s="197" t="s">
        <v>5838</v>
      </c>
      <c r="C1692" s="197">
        <v>2040</v>
      </c>
      <c r="D1692" s="225" t="str">
        <f t="shared" si="18"/>
        <v>2042_2040</v>
      </c>
      <c r="E1692" s="1287">
        <v>3.9839509228311046E-2</v>
      </c>
      <c r="F1692" s="1306">
        <v>3.2293465681432622E-3</v>
      </c>
      <c r="G1692" s="1303">
        <v>8.7213765571932944E-2</v>
      </c>
      <c r="H1692" s="1306">
        <v>1.6667864130534758E-2</v>
      </c>
      <c r="I1692" s="1303">
        <v>5.2083194178058909E-3</v>
      </c>
      <c r="J1692" s="1306">
        <v>4.942394548220684E-4</v>
      </c>
      <c r="K1692" s="1303">
        <v>2.7514158412752449E-3</v>
      </c>
      <c r="L1692" s="1288">
        <v>2.0000018792010782E-3</v>
      </c>
      <c r="M1692" s="1305">
        <v>2.0000005737372227E-3</v>
      </c>
      <c r="N1692" s="1303">
        <v>2.123017083903788E-2</v>
      </c>
      <c r="O1692" s="1288">
        <v>4.0859741725114149E-3</v>
      </c>
      <c r="P1692" s="1301">
        <v>8.8191863696933988E-3</v>
      </c>
      <c r="Q1692" s="1290">
        <v>5.4438165103039456E-3</v>
      </c>
    </row>
    <row r="1693" spans="1:17" s="212" customFormat="1" ht="15.5" x14ac:dyDescent="0.35">
      <c r="A1693" s="198">
        <v>2042</v>
      </c>
      <c r="B1693" s="197" t="s">
        <v>5838</v>
      </c>
      <c r="C1693" s="197">
        <v>2041</v>
      </c>
      <c r="D1693" s="225" t="str">
        <f t="shared" si="18"/>
        <v>2042_2041</v>
      </c>
      <c r="E1693" s="1287">
        <v>3.8560137811177592E-2</v>
      </c>
      <c r="F1693" s="1306">
        <v>3.0146998725806094E-3</v>
      </c>
      <c r="G1693" s="1303">
        <v>8.1192294261662995E-2</v>
      </c>
      <c r="H1693" s="1306">
        <v>1.5472566974929144E-2</v>
      </c>
      <c r="I1693" s="1303">
        <v>4.3088512614603783E-3</v>
      </c>
      <c r="J1693" s="1306">
        <v>4.9445413479100742E-4</v>
      </c>
      <c r="K1693" s="1303">
        <v>2.7501719162772182E-3</v>
      </c>
      <c r="L1693" s="1288">
        <v>2.0000019186538279E-3</v>
      </c>
      <c r="M1693" s="1305">
        <v>2.0000005737292681E-3</v>
      </c>
      <c r="N1693" s="1303">
        <v>2.117927191326751E-2</v>
      </c>
      <c r="O1693" s="1288">
        <v>3.9928672336719791E-3</v>
      </c>
      <c r="P1693" s="1301">
        <v>8.7869592816297009E-3</v>
      </c>
      <c r="Q1693" s="1290">
        <v>4.5036783952593249E-3</v>
      </c>
    </row>
    <row r="1694" spans="1:17" s="212" customFormat="1" ht="15.5" x14ac:dyDescent="0.35">
      <c r="A1694" s="198">
        <v>2042</v>
      </c>
      <c r="B1694" s="197" t="s">
        <v>5838</v>
      </c>
      <c r="C1694" s="197">
        <v>2042</v>
      </c>
      <c r="D1694" s="225" t="str">
        <f t="shared" si="18"/>
        <v>2042_2042</v>
      </c>
      <c r="E1694" s="1287">
        <v>3.6093220148472195E-2</v>
      </c>
      <c r="F1694" s="1306">
        <v>2.7768333982672671E-3</v>
      </c>
      <c r="G1694" s="1303">
        <v>7.2639668739219454E-2</v>
      </c>
      <c r="H1694" s="1306">
        <v>1.4120111519022175E-2</v>
      </c>
      <c r="I1694" s="1303">
        <v>3.2758318134556096E-3</v>
      </c>
      <c r="J1694" s="1306">
        <v>4.9128472363366344E-4</v>
      </c>
      <c r="K1694" s="1303">
        <v>2.7242405360946302E-3</v>
      </c>
      <c r="L1694" s="1288">
        <v>2.0000020273770861E-3</v>
      </c>
      <c r="M1694" s="1305">
        <v>2.0000005736910773E-3</v>
      </c>
      <c r="N1694" s="1303">
        <v>2.0522394575040612E-2</v>
      </c>
      <c r="O1694" s="1288">
        <v>3.7184936990663536E-3</v>
      </c>
      <c r="P1694" s="1301">
        <v>8.2866881423258112E-3</v>
      </c>
      <c r="Q1694" s="1290">
        <v>3.42395039177169E-3</v>
      </c>
    </row>
    <row r="1695" spans="1:17" s="212" customFormat="1" ht="15.5" x14ac:dyDescent="0.35">
      <c r="A1695" s="198">
        <v>2042</v>
      </c>
      <c r="B1695" s="197" t="s">
        <v>5838</v>
      </c>
      <c r="C1695" s="197">
        <v>2043</v>
      </c>
      <c r="D1695" s="225" t="str">
        <f t="shared" si="18"/>
        <v>2042_2043</v>
      </c>
      <c r="E1695" s="1291">
        <v>3.6093220148472195E-2</v>
      </c>
      <c r="F1695" s="1280">
        <v>2.7768333982672671E-3</v>
      </c>
      <c r="G1695" s="1271">
        <v>7.2639668739219454E-2</v>
      </c>
      <c r="H1695" s="1280">
        <v>1.4120111519022175E-2</v>
      </c>
      <c r="I1695" s="1271">
        <v>3.2758318134556096E-3</v>
      </c>
      <c r="J1695" s="1280">
        <v>4.9128472363366344E-4</v>
      </c>
      <c r="K1695" s="1271">
        <v>2.7242405360946302E-3</v>
      </c>
      <c r="L1695" s="1257">
        <v>2.0000020273770861E-3</v>
      </c>
      <c r="M1695" s="1230">
        <v>2.0000005736910773E-3</v>
      </c>
      <c r="N1695" s="1271">
        <v>2.0522394575040612E-2</v>
      </c>
      <c r="O1695" s="1257">
        <v>3.7184936990663536E-3</v>
      </c>
      <c r="P1695" s="1237">
        <v>8.2866881423258112E-3</v>
      </c>
      <c r="Q1695" s="1292">
        <v>3.42395039177169E-3</v>
      </c>
    </row>
    <row r="1696" spans="1:17" s="212" customFormat="1" ht="15.5" x14ac:dyDescent="0.35">
      <c r="A1696" s="198">
        <v>2043</v>
      </c>
      <c r="B1696" s="197" t="s">
        <v>5838</v>
      </c>
      <c r="C1696" s="197">
        <v>1971</v>
      </c>
      <c r="D1696" s="225" t="str">
        <f t="shared" si="18"/>
        <v>2043_1971</v>
      </c>
      <c r="E1696" s="1291">
        <v>0.37657386725243114</v>
      </c>
      <c r="F1696" s="1280">
        <v>0.12743940344415727</v>
      </c>
      <c r="G1696" s="1271">
        <v>9.1844630457956011</v>
      </c>
      <c r="H1696" s="1280">
        <v>0.99855513689218112</v>
      </c>
      <c r="I1696" s="1271">
        <v>5.4031689903916276E-2</v>
      </c>
      <c r="J1696" s="1280">
        <v>2.7831263989390397E-3</v>
      </c>
      <c r="K1696" s="1271">
        <v>2.9971823022658713E-3</v>
      </c>
      <c r="L1696" s="1257">
        <v>2.0000011931970325E-3</v>
      </c>
      <c r="M1696" s="1230">
        <v>2.0000011931970325E-3</v>
      </c>
      <c r="N1696" s="1271">
        <v>2.7234171169569568E-2</v>
      </c>
      <c r="O1696" s="1257">
        <v>8.2799549725861323E-3</v>
      </c>
      <c r="P1696" s="1237">
        <v>4.1399774862930661E-3</v>
      </c>
      <c r="Q1696" s="1292">
        <v>5.6474763159298426E-2</v>
      </c>
    </row>
    <row r="1697" spans="1:17" s="212" customFormat="1" ht="15.5" x14ac:dyDescent="0.35">
      <c r="A1697" s="198">
        <v>2043</v>
      </c>
      <c r="B1697" s="197" t="s">
        <v>5838</v>
      </c>
      <c r="C1697" s="197">
        <v>1972</v>
      </c>
      <c r="D1697" s="225" t="str">
        <f t="shared" si="18"/>
        <v>2043_1972</v>
      </c>
      <c r="E1697" s="1291">
        <v>0.37657386725243114</v>
      </c>
      <c r="F1697" s="1280">
        <v>0.12743940344415727</v>
      </c>
      <c r="G1697" s="1271">
        <v>9.1844630457956011</v>
      </c>
      <c r="H1697" s="1280">
        <v>0.99855513689218112</v>
      </c>
      <c r="I1697" s="1271">
        <v>5.4031689903916276E-2</v>
      </c>
      <c r="J1697" s="1280">
        <v>2.7831263989390397E-3</v>
      </c>
      <c r="K1697" s="1271">
        <v>2.9971823022658713E-3</v>
      </c>
      <c r="L1697" s="1257">
        <v>2.0000011931970325E-3</v>
      </c>
      <c r="M1697" s="1230">
        <v>2.0000011931970325E-3</v>
      </c>
      <c r="N1697" s="1271">
        <v>2.7234171169569568E-2</v>
      </c>
      <c r="O1697" s="1257">
        <v>8.2799549725861323E-3</v>
      </c>
      <c r="P1697" s="1237">
        <v>4.1399774862930661E-3</v>
      </c>
      <c r="Q1697" s="1292">
        <v>5.6474763159298426E-2</v>
      </c>
    </row>
    <row r="1698" spans="1:17" s="212" customFormat="1" ht="15.5" x14ac:dyDescent="0.35">
      <c r="A1698" s="198">
        <v>2043</v>
      </c>
      <c r="B1698" s="197" t="s">
        <v>5838</v>
      </c>
      <c r="C1698" s="197">
        <v>1973</v>
      </c>
      <c r="D1698" s="225" t="str">
        <f t="shared" si="18"/>
        <v>2043_1973</v>
      </c>
      <c r="E1698" s="1291">
        <v>0.37657386725243114</v>
      </c>
      <c r="F1698" s="1280">
        <v>0.12743940344415727</v>
      </c>
      <c r="G1698" s="1271">
        <v>9.1844630457956011</v>
      </c>
      <c r="H1698" s="1280">
        <v>0.99855513689218112</v>
      </c>
      <c r="I1698" s="1271">
        <v>5.4031689903916276E-2</v>
      </c>
      <c r="J1698" s="1280">
        <v>2.7831263989390397E-3</v>
      </c>
      <c r="K1698" s="1271">
        <v>2.9971823022658713E-3</v>
      </c>
      <c r="L1698" s="1257">
        <v>2.0000011931970325E-3</v>
      </c>
      <c r="M1698" s="1230">
        <v>2.0000011931970325E-3</v>
      </c>
      <c r="N1698" s="1271">
        <v>2.7234171169569568E-2</v>
      </c>
      <c r="O1698" s="1257">
        <v>8.2799549725861323E-3</v>
      </c>
      <c r="P1698" s="1237">
        <v>4.1399774862930661E-3</v>
      </c>
      <c r="Q1698" s="1292">
        <v>5.6474763159298426E-2</v>
      </c>
    </row>
    <row r="1699" spans="1:17" s="212" customFormat="1" ht="15.5" x14ac:dyDescent="0.35">
      <c r="A1699" s="198">
        <v>2043</v>
      </c>
      <c r="B1699" s="197" t="s">
        <v>5838</v>
      </c>
      <c r="C1699" s="197">
        <v>1974</v>
      </c>
      <c r="D1699" s="225" t="str">
        <f t="shared" si="18"/>
        <v>2043_1974</v>
      </c>
      <c r="E1699" s="1291">
        <v>0.37657386725243114</v>
      </c>
      <c r="F1699" s="1280">
        <v>0.12743940344415727</v>
      </c>
      <c r="G1699" s="1271">
        <v>9.1844630457956011</v>
      </c>
      <c r="H1699" s="1280">
        <v>0.99855513689218112</v>
      </c>
      <c r="I1699" s="1271">
        <v>5.4031689903916276E-2</v>
      </c>
      <c r="J1699" s="1280">
        <v>2.7831263989390397E-3</v>
      </c>
      <c r="K1699" s="1271">
        <v>2.9971823022658713E-3</v>
      </c>
      <c r="L1699" s="1257">
        <v>2.0000011931970325E-3</v>
      </c>
      <c r="M1699" s="1230">
        <v>2.0000011931970325E-3</v>
      </c>
      <c r="N1699" s="1271">
        <v>2.7234171169569568E-2</v>
      </c>
      <c r="O1699" s="1257">
        <v>8.2799549725861323E-3</v>
      </c>
      <c r="P1699" s="1237">
        <v>4.1399774862930661E-3</v>
      </c>
      <c r="Q1699" s="1292">
        <v>5.6474763159298426E-2</v>
      </c>
    </row>
    <row r="1700" spans="1:17" s="212" customFormat="1" ht="15.5" x14ac:dyDescent="0.35">
      <c r="A1700" s="198">
        <v>2043</v>
      </c>
      <c r="B1700" s="197" t="s">
        <v>5838</v>
      </c>
      <c r="C1700" s="197">
        <v>1975</v>
      </c>
      <c r="D1700" s="225" t="str">
        <f t="shared" si="18"/>
        <v>2043_1975</v>
      </c>
      <c r="E1700" s="1291">
        <v>0.37657386725243114</v>
      </c>
      <c r="F1700" s="1280">
        <v>0.12743940344415727</v>
      </c>
      <c r="G1700" s="1271">
        <v>9.1844630457956011</v>
      </c>
      <c r="H1700" s="1280">
        <v>0.99855513689218112</v>
      </c>
      <c r="I1700" s="1271">
        <v>5.4031689903916276E-2</v>
      </c>
      <c r="J1700" s="1280">
        <v>2.7831263989390397E-3</v>
      </c>
      <c r="K1700" s="1271">
        <v>2.9971823022658713E-3</v>
      </c>
      <c r="L1700" s="1257">
        <v>2.0000011931970325E-3</v>
      </c>
      <c r="M1700" s="1230">
        <v>2.0000011931970325E-3</v>
      </c>
      <c r="N1700" s="1271">
        <v>2.7234171169569568E-2</v>
      </c>
      <c r="O1700" s="1257">
        <v>8.2799549725861323E-3</v>
      </c>
      <c r="P1700" s="1237">
        <v>4.1399774862930661E-3</v>
      </c>
      <c r="Q1700" s="1292">
        <v>5.6474763159298426E-2</v>
      </c>
    </row>
    <row r="1701" spans="1:17" s="212" customFormat="1" ht="15.5" x14ac:dyDescent="0.35">
      <c r="A1701" s="198">
        <v>2043</v>
      </c>
      <c r="B1701" s="197" t="s">
        <v>5838</v>
      </c>
      <c r="C1701" s="197">
        <v>1976</v>
      </c>
      <c r="D1701" s="225" t="str">
        <f t="shared" si="18"/>
        <v>2043_1976</v>
      </c>
      <c r="E1701" s="1291">
        <v>0.37657386725243114</v>
      </c>
      <c r="F1701" s="1280">
        <v>0.12743940344415727</v>
      </c>
      <c r="G1701" s="1271">
        <v>9.1844630457956011</v>
      </c>
      <c r="H1701" s="1280">
        <v>0.99855513689218112</v>
      </c>
      <c r="I1701" s="1271">
        <v>5.4031689903916276E-2</v>
      </c>
      <c r="J1701" s="1280">
        <v>2.7831263989390397E-3</v>
      </c>
      <c r="K1701" s="1271">
        <v>2.9971823022658713E-3</v>
      </c>
      <c r="L1701" s="1257">
        <v>2.0000011931970325E-3</v>
      </c>
      <c r="M1701" s="1230">
        <v>2.0000011931970325E-3</v>
      </c>
      <c r="N1701" s="1271">
        <v>2.7234171169569568E-2</v>
      </c>
      <c r="O1701" s="1257">
        <v>8.2799549725861323E-3</v>
      </c>
      <c r="P1701" s="1237">
        <v>4.1399774862930661E-3</v>
      </c>
      <c r="Q1701" s="1292">
        <v>5.6474763159298426E-2</v>
      </c>
    </row>
    <row r="1702" spans="1:17" s="212" customFormat="1" ht="15.5" x14ac:dyDescent="0.35">
      <c r="A1702" s="198">
        <v>2043</v>
      </c>
      <c r="B1702" s="197" t="s">
        <v>5838</v>
      </c>
      <c r="C1702" s="197">
        <v>1977</v>
      </c>
      <c r="D1702" s="225" t="str">
        <f t="shared" si="18"/>
        <v>2043_1977</v>
      </c>
      <c r="E1702" s="1291">
        <v>0.37657386725243114</v>
      </c>
      <c r="F1702" s="1280">
        <v>0.12743940344415727</v>
      </c>
      <c r="G1702" s="1271">
        <v>9.1844630457956011</v>
      </c>
      <c r="H1702" s="1280">
        <v>0.99855513689218112</v>
      </c>
      <c r="I1702" s="1271">
        <v>5.4031689903916276E-2</v>
      </c>
      <c r="J1702" s="1280">
        <v>2.7831263989390397E-3</v>
      </c>
      <c r="K1702" s="1271">
        <v>2.9971823022658713E-3</v>
      </c>
      <c r="L1702" s="1257">
        <v>2.0000011931970325E-3</v>
      </c>
      <c r="M1702" s="1230">
        <v>2.0000011931970325E-3</v>
      </c>
      <c r="N1702" s="1271">
        <v>2.7234171169569568E-2</v>
      </c>
      <c r="O1702" s="1257">
        <v>8.2799549725861323E-3</v>
      </c>
      <c r="P1702" s="1237">
        <v>4.1399774862930661E-3</v>
      </c>
      <c r="Q1702" s="1292">
        <v>5.6474763159298426E-2</v>
      </c>
    </row>
    <row r="1703" spans="1:17" s="212" customFormat="1" ht="15.5" x14ac:dyDescent="0.35">
      <c r="A1703" s="198">
        <v>2043</v>
      </c>
      <c r="B1703" s="197" t="s">
        <v>5838</v>
      </c>
      <c r="C1703" s="197">
        <v>1978</v>
      </c>
      <c r="D1703" s="225" t="str">
        <f t="shared" si="18"/>
        <v>2043_1978</v>
      </c>
      <c r="E1703" s="1291">
        <v>0.37657386725243114</v>
      </c>
      <c r="F1703" s="1280">
        <v>0.12743940344415727</v>
      </c>
      <c r="G1703" s="1271">
        <v>9.1844630457956011</v>
      </c>
      <c r="H1703" s="1280">
        <v>0.99855513689218112</v>
      </c>
      <c r="I1703" s="1271">
        <v>5.4031689903916276E-2</v>
      </c>
      <c r="J1703" s="1280">
        <v>2.7831263989390397E-3</v>
      </c>
      <c r="K1703" s="1271">
        <v>2.9971823022658713E-3</v>
      </c>
      <c r="L1703" s="1257">
        <v>2.0000011931970325E-3</v>
      </c>
      <c r="M1703" s="1230">
        <v>2.0000011931970325E-3</v>
      </c>
      <c r="N1703" s="1271">
        <v>2.7234171169569568E-2</v>
      </c>
      <c r="O1703" s="1257">
        <v>8.2799549725861323E-3</v>
      </c>
      <c r="P1703" s="1237">
        <v>4.1399774862930661E-3</v>
      </c>
      <c r="Q1703" s="1292">
        <v>5.6474763159298426E-2</v>
      </c>
    </row>
    <row r="1704" spans="1:17" s="212" customFormat="1" ht="15.5" x14ac:dyDescent="0.35">
      <c r="A1704" s="198">
        <v>2043</v>
      </c>
      <c r="B1704" s="197" t="s">
        <v>5838</v>
      </c>
      <c r="C1704" s="197">
        <v>1979</v>
      </c>
      <c r="D1704" s="225" t="str">
        <f t="shared" si="18"/>
        <v>2043_1979</v>
      </c>
      <c r="E1704" s="1291">
        <v>0.37657386725243114</v>
      </c>
      <c r="F1704" s="1280">
        <v>0.12743940344415727</v>
      </c>
      <c r="G1704" s="1271">
        <v>9.1844630457956011</v>
      </c>
      <c r="H1704" s="1280">
        <v>0.99855513689218112</v>
      </c>
      <c r="I1704" s="1271">
        <v>5.4031689903916276E-2</v>
      </c>
      <c r="J1704" s="1280">
        <v>2.7831263989390397E-3</v>
      </c>
      <c r="K1704" s="1271">
        <v>2.9971823022658713E-3</v>
      </c>
      <c r="L1704" s="1257">
        <v>2.0000011931970325E-3</v>
      </c>
      <c r="M1704" s="1230">
        <v>2.0000011931970325E-3</v>
      </c>
      <c r="N1704" s="1271">
        <v>2.7234171169569568E-2</v>
      </c>
      <c r="O1704" s="1257">
        <v>8.2799549725861323E-3</v>
      </c>
      <c r="P1704" s="1237">
        <v>4.1399774862930661E-3</v>
      </c>
      <c r="Q1704" s="1292">
        <v>5.6474763159298426E-2</v>
      </c>
    </row>
    <row r="1705" spans="1:17" s="212" customFormat="1" ht="15.5" x14ac:dyDescent="0.35">
      <c r="A1705" s="198">
        <v>2043</v>
      </c>
      <c r="B1705" s="197" t="s">
        <v>5838</v>
      </c>
      <c r="C1705" s="197">
        <v>1980</v>
      </c>
      <c r="D1705" s="225" t="str">
        <f t="shared" si="18"/>
        <v>2043_1980</v>
      </c>
      <c r="E1705" s="1291">
        <v>0.37657386725243114</v>
      </c>
      <c r="F1705" s="1280">
        <v>0.12743940344415727</v>
      </c>
      <c r="G1705" s="1271">
        <v>9.1844630457956011</v>
      </c>
      <c r="H1705" s="1280">
        <v>0.99855513689218112</v>
      </c>
      <c r="I1705" s="1271">
        <v>5.4031689903916276E-2</v>
      </c>
      <c r="J1705" s="1280">
        <v>2.7831263989390397E-3</v>
      </c>
      <c r="K1705" s="1271">
        <v>2.9971823022658713E-3</v>
      </c>
      <c r="L1705" s="1257">
        <v>2.0000011931970325E-3</v>
      </c>
      <c r="M1705" s="1230">
        <v>2.0000011931970325E-3</v>
      </c>
      <c r="N1705" s="1271">
        <v>2.7234171169569568E-2</v>
      </c>
      <c r="O1705" s="1257">
        <v>8.2799549725861323E-3</v>
      </c>
      <c r="P1705" s="1237">
        <v>4.1399774862930661E-3</v>
      </c>
      <c r="Q1705" s="1292">
        <v>5.6474763159298426E-2</v>
      </c>
    </row>
    <row r="1706" spans="1:17" s="212" customFormat="1" ht="15.5" x14ac:dyDescent="0.35">
      <c r="A1706" s="198">
        <v>2043</v>
      </c>
      <c r="B1706" s="197" t="s">
        <v>5838</v>
      </c>
      <c r="C1706" s="197">
        <v>1981</v>
      </c>
      <c r="D1706" s="225" t="str">
        <f t="shared" si="18"/>
        <v>2043_1981</v>
      </c>
      <c r="E1706" s="1291">
        <v>0.37657386725243114</v>
      </c>
      <c r="F1706" s="1280">
        <v>0.12743940344415727</v>
      </c>
      <c r="G1706" s="1271">
        <v>9.1844630457956011</v>
      </c>
      <c r="H1706" s="1280">
        <v>0.99855513689218112</v>
      </c>
      <c r="I1706" s="1271">
        <v>5.4031689903916276E-2</v>
      </c>
      <c r="J1706" s="1280">
        <v>2.7831263989390397E-3</v>
      </c>
      <c r="K1706" s="1271">
        <v>2.9971823022658713E-3</v>
      </c>
      <c r="L1706" s="1257">
        <v>2.0000011931970325E-3</v>
      </c>
      <c r="M1706" s="1230">
        <v>2.0000011931970325E-3</v>
      </c>
      <c r="N1706" s="1271">
        <v>2.7234171169569568E-2</v>
      </c>
      <c r="O1706" s="1257">
        <v>8.2799549725861323E-3</v>
      </c>
      <c r="P1706" s="1237">
        <v>4.1399774862930661E-3</v>
      </c>
      <c r="Q1706" s="1292">
        <v>5.6474763159298426E-2</v>
      </c>
    </row>
    <row r="1707" spans="1:17" s="212" customFormat="1" ht="15.5" x14ac:dyDescent="0.35">
      <c r="A1707" s="198">
        <v>2043</v>
      </c>
      <c r="B1707" s="197" t="s">
        <v>5838</v>
      </c>
      <c r="C1707" s="197">
        <v>1982</v>
      </c>
      <c r="D1707" s="225" t="str">
        <f t="shared" si="18"/>
        <v>2043_1982</v>
      </c>
      <c r="E1707" s="1291">
        <v>0.37657386725243114</v>
      </c>
      <c r="F1707" s="1280">
        <v>0.12743940344415727</v>
      </c>
      <c r="G1707" s="1271">
        <v>9.1844630457956011</v>
      </c>
      <c r="H1707" s="1280">
        <v>0.99855513689218112</v>
      </c>
      <c r="I1707" s="1271">
        <v>5.4031689903916276E-2</v>
      </c>
      <c r="J1707" s="1280">
        <v>2.7831263989390397E-3</v>
      </c>
      <c r="K1707" s="1271">
        <v>2.9971823022658713E-3</v>
      </c>
      <c r="L1707" s="1257">
        <v>2.0000011931970325E-3</v>
      </c>
      <c r="M1707" s="1230">
        <v>2.0000011931970325E-3</v>
      </c>
      <c r="N1707" s="1271">
        <v>2.7234171169569568E-2</v>
      </c>
      <c r="O1707" s="1257">
        <v>8.2799549725861323E-3</v>
      </c>
      <c r="P1707" s="1237">
        <v>4.1399774862930661E-3</v>
      </c>
      <c r="Q1707" s="1292">
        <v>5.6474763159298426E-2</v>
      </c>
    </row>
    <row r="1708" spans="1:17" s="212" customFormat="1" ht="15.5" x14ac:dyDescent="0.35">
      <c r="A1708" s="198">
        <v>2043</v>
      </c>
      <c r="B1708" s="197" t="s">
        <v>5838</v>
      </c>
      <c r="C1708" s="197">
        <v>1983</v>
      </c>
      <c r="D1708" s="225" t="str">
        <f t="shared" si="18"/>
        <v>2043_1983</v>
      </c>
      <c r="E1708" s="1291">
        <v>0.37657386725243114</v>
      </c>
      <c r="F1708" s="1280">
        <v>0.12743940344415727</v>
      </c>
      <c r="G1708" s="1271">
        <v>9.1844630457956011</v>
      </c>
      <c r="H1708" s="1280">
        <v>0.99855513689218112</v>
      </c>
      <c r="I1708" s="1271">
        <v>5.4031689903916276E-2</v>
      </c>
      <c r="J1708" s="1280">
        <v>2.7831263989390397E-3</v>
      </c>
      <c r="K1708" s="1271">
        <v>2.9971823022658713E-3</v>
      </c>
      <c r="L1708" s="1257">
        <v>2.0000011931970325E-3</v>
      </c>
      <c r="M1708" s="1230">
        <v>2.0000011931970325E-3</v>
      </c>
      <c r="N1708" s="1271">
        <v>2.7234171169569568E-2</v>
      </c>
      <c r="O1708" s="1257">
        <v>8.2799549725861323E-3</v>
      </c>
      <c r="P1708" s="1237">
        <v>4.1399774862930661E-3</v>
      </c>
      <c r="Q1708" s="1292">
        <v>5.6474763159298426E-2</v>
      </c>
    </row>
    <row r="1709" spans="1:17" s="212" customFormat="1" ht="15.5" x14ac:dyDescent="0.35">
      <c r="A1709" s="198">
        <v>2043</v>
      </c>
      <c r="B1709" s="197" t="s">
        <v>5838</v>
      </c>
      <c r="C1709" s="197">
        <v>1984</v>
      </c>
      <c r="D1709" s="225" t="str">
        <f t="shared" si="18"/>
        <v>2043_1984</v>
      </c>
      <c r="E1709" s="1291">
        <v>0.37657386725243114</v>
      </c>
      <c r="F1709" s="1280">
        <v>0.12743940344415727</v>
      </c>
      <c r="G1709" s="1271">
        <v>9.1844630457956011</v>
      </c>
      <c r="H1709" s="1280">
        <v>0.99855513689218112</v>
      </c>
      <c r="I1709" s="1271">
        <v>5.4031689903916276E-2</v>
      </c>
      <c r="J1709" s="1280">
        <v>2.7831263989390397E-3</v>
      </c>
      <c r="K1709" s="1271">
        <v>2.9971823022658713E-3</v>
      </c>
      <c r="L1709" s="1257">
        <v>2.0000011931970325E-3</v>
      </c>
      <c r="M1709" s="1230">
        <v>2.0000011931970325E-3</v>
      </c>
      <c r="N1709" s="1271">
        <v>2.7234171169569568E-2</v>
      </c>
      <c r="O1709" s="1257">
        <v>8.2799549725861323E-3</v>
      </c>
      <c r="P1709" s="1237">
        <v>4.1399774862930661E-3</v>
      </c>
      <c r="Q1709" s="1292">
        <v>5.6474763159298426E-2</v>
      </c>
    </row>
    <row r="1710" spans="1:17" s="212" customFormat="1" ht="15.5" x14ac:dyDescent="0.35">
      <c r="A1710" s="198">
        <v>2043</v>
      </c>
      <c r="B1710" s="197" t="s">
        <v>5838</v>
      </c>
      <c r="C1710" s="197">
        <v>1985</v>
      </c>
      <c r="D1710" s="225" t="str">
        <f t="shared" si="18"/>
        <v>2043_1985</v>
      </c>
      <c r="E1710" s="1291">
        <v>0.37657386725243114</v>
      </c>
      <c r="F1710" s="1280">
        <v>0.12743940344415727</v>
      </c>
      <c r="G1710" s="1271">
        <v>9.1844630457956011</v>
      </c>
      <c r="H1710" s="1280">
        <v>0.99855513689218112</v>
      </c>
      <c r="I1710" s="1271">
        <v>5.4031689903916276E-2</v>
      </c>
      <c r="J1710" s="1280">
        <v>2.7831263989390397E-3</v>
      </c>
      <c r="K1710" s="1271">
        <v>2.9971823022658713E-3</v>
      </c>
      <c r="L1710" s="1257">
        <v>2.0000011931970325E-3</v>
      </c>
      <c r="M1710" s="1230">
        <v>2.0000011931970325E-3</v>
      </c>
      <c r="N1710" s="1271">
        <v>2.7234171169569568E-2</v>
      </c>
      <c r="O1710" s="1257">
        <v>8.2799549725861323E-3</v>
      </c>
      <c r="P1710" s="1237">
        <v>4.1399774862930661E-3</v>
      </c>
      <c r="Q1710" s="1292">
        <v>5.6474763159298426E-2</v>
      </c>
    </row>
    <row r="1711" spans="1:17" s="212" customFormat="1" ht="15.5" x14ac:dyDescent="0.35">
      <c r="A1711" s="198">
        <v>2043</v>
      </c>
      <c r="B1711" s="197" t="s">
        <v>5838</v>
      </c>
      <c r="C1711" s="197">
        <v>1986</v>
      </c>
      <c r="D1711" s="225" t="str">
        <f t="shared" si="18"/>
        <v>2043_1986</v>
      </c>
      <c r="E1711" s="1291">
        <v>0.37657386725243114</v>
      </c>
      <c r="F1711" s="1280">
        <v>0.12743940344415727</v>
      </c>
      <c r="G1711" s="1271">
        <v>9.1844630457956011</v>
      </c>
      <c r="H1711" s="1280">
        <v>0.99855513689218112</v>
      </c>
      <c r="I1711" s="1271">
        <v>5.4031689903916276E-2</v>
      </c>
      <c r="J1711" s="1280">
        <v>2.7831263989390397E-3</v>
      </c>
      <c r="K1711" s="1271">
        <v>2.9971823022658713E-3</v>
      </c>
      <c r="L1711" s="1257">
        <v>2.0000011931970325E-3</v>
      </c>
      <c r="M1711" s="1230">
        <v>2.0000011931970325E-3</v>
      </c>
      <c r="N1711" s="1271">
        <v>2.7234171169569568E-2</v>
      </c>
      <c r="O1711" s="1257">
        <v>8.2799549725861323E-3</v>
      </c>
      <c r="P1711" s="1237">
        <v>4.1399774862930661E-3</v>
      </c>
      <c r="Q1711" s="1292">
        <v>5.6474763159298426E-2</v>
      </c>
    </row>
    <row r="1712" spans="1:17" s="212" customFormat="1" ht="15.5" x14ac:dyDescent="0.35">
      <c r="A1712" s="198">
        <v>2043</v>
      </c>
      <c r="B1712" s="197" t="s">
        <v>5838</v>
      </c>
      <c r="C1712" s="197">
        <v>1987</v>
      </c>
      <c r="D1712" s="225" t="str">
        <f t="shared" si="18"/>
        <v>2043_1987</v>
      </c>
      <c r="E1712" s="1291">
        <v>0.37657386725243114</v>
      </c>
      <c r="F1712" s="1280">
        <v>0.12743940344415727</v>
      </c>
      <c r="G1712" s="1271">
        <v>9.1844630457956011</v>
      </c>
      <c r="H1712" s="1280">
        <v>0.99855513689218112</v>
      </c>
      <c r="I1712" s="1271">
        <v>5.4031689903916276E-2</v>
      </c>
      <c r="J1712" s="1280">
        <v>2.7831263989390397E-3</v>
      </c>
      <c r="K1712" s="1271">
        <v>2.9971823022658713E-3</v>
      </c>
      <c r="L1712" s="1257">
        <v>2.0000011931970325E-3</v>
      </c>
      <c r="M1712" s="1230">
        <v>2.0000011931970325E-3</v>
      </c>
      <c r="N1712" s="1271">
        <v>2.7234171169569568E-2</v>
      </c>
      <c r="O1712" s="1257">
        <v>8.2799549725861323E-3</v>
      </c>
      <c r="P1712" s="1237">
        <v>4.1399774862930661E-3</v>
      </c>
      <c r="Q1712" s="1292">
        <v>5.6474763159298426E-2</v>
      </c>
    </row>
    <row r="1713" spans="1:17" s="212" customFormat="1" ht="15.5" x14ac:dyDescent="0.35">
      <c r="A1713" s="198">
        <v>2043</v>
      </c>
      <c r="B1713" s="197" t="s">
        <v>5838</v>
      </c>
      <c r="C1713" s="197">
        <v>1988</v>
      </c>
      <c r="D1713" s="225" t="str">
        <f t="shared" si="18"/>
        <v>2043_1988</v>
      </c>
      <c r="E1713" s="1291">
        <v>0.37657386725243114</v>
      </c>
      <c r="F1713" s="1280">
        <v>0.12743940344415727</v>
      </c>
      <c r="G1713" s="1271">
        <v>9.1844630457956011</v>
      </c>
      <c r="H1713" s="1280">
        <v>0.99855513689218112</v>
      </c>
      <c r="I1713" s="1271">
        <v>5.4031689903916276E-2</v>
      </c>
      <c r="J1713" s="1280">
        <v>2.7831263989390397E-3</v>
      </c>
      <c r="K1713" s="1271">
        <v>2.9971823022658713E-3</v>
      </c>
      <c r="L1713" s="1257">
        <v>2.0000011931970325E-3</v>
      </c>
      <c r="M1713" s="1230">
        <v>2.0000011931970325E-3</v>
      </c>
      <c r="N1713" s="1271">
        <v>2.7234171169569568E-2</v>
      </c>
      <c r="O1713" s="1257">
        <v>8.2799549725861323E-3</v>
      </c>
      <c r="P1713" s="1237">
        <v>4.1399774862930661E-3</v>
      </c>
      <c r="Q1713" s="1292">
        <v>5.6474763159298426E-2</v>
      </c>
    </row>
    <row r="1714" spans="1:17" s="212" customFormat="1" ht="15.5" x14ac:dyDescent="0.35">
      <c r="A1714" s="198">
        <v>2043</v>
      </c>
      <c r="B1714" s="197" t="s">
        <v>5838</v>
      </c>
      <c r="C1714" s="197">
        <v>1989</v>
      </c>
      <c r="D1714" s="225" t="str">
        <f t="shared" si="18"/>
        <v>2043_1989</v>
      </c>
      <c r="E1714" s="1291">
        <v>0.37657386725243114</v>
      </c>
      <c r="F1714" s="1280">
        <v>0.12743940344415727</v>
      </c>
      <c r="G1714" s="1271">
        <v>9.1844630457956011</v>
      </c>
      <c r="H1714" s="1280">
        <v>0.99855513689218112</v>
      </c>
      <c r="I1714" s="1271">
        <v>5.4031689903916276E-2</v>
      </c>
      <c r="J1714" s="1280">
        <v>2.7831263989390397E-3</v>
      </c>
      <c r="K1714" s="1271">
        <v>2.9971823022658713E-3</v>
      </c>
      <c r="L1714" s="1257">
        <v>2.0000011931970325E-3</v>
      </c>
      <c r="M1714" s="1230">
        <v>2.0000011931970325E-3</v>
      </c>
      <c r="N1714" s="1271">
        <v>2.7234171169569568E-2</v>
      </c>
      <c r="O1714" s="1257">
        <v>8.2799549725861323E-3</v>
      </c>
      <c r="P1714" s="1237">
        <v>4.1399774862930661E-3</v>
      </c>
      <c r="Q1714" s="1292">
        <v>5.6474763159298426E-2</v>
      </c>
    </row>
    <row r="1715" spans="1:17" s="212" customFormat="1" ht="15.5" x14ac:dyDescent="0.35">
      <c r="A1715" s="198">
        <v>2043</v>
      </c>
      <c r="B1715" s="197" t="s">
        <v>5838</v>
      </c>
      <c r="C1715" s="197">
        <v>1990</v>
      </c>
      <c r="D1715" s="225" t="str">
        <f t="shared" si="18"/>
        <v>2043_1990</v>
      </c>
      <c r="E1715" s="1291">
        <v>0.37657386725243114</v>
      </c>
      <c r="F1715" s="1280">
        <v>0.12743940344415727</v>
      </c>
      <c r="G1715" s="1271">
        <v>9.1844630457956011</v>
      </c>
      <c r="H1715" s="1280">
        <v>0.99855513689218112</v>
      </c>
      <c r="I1715" s="1271">
        <v>5.4031689903916276E-2</v>
      </c>
      <c r="J1715" s="1280">
        <v>2.7831263989390397E-3</v>
      </c>
      <c r="K1715" s="1271">
        <v>2.9971823022658713E-3</v>
      </c>
      <c r="L1715" s="1257">
        <v>2.0000011931970325E-3</v>
      </c>
      <c r="M1715" s="1230">
        <v>2.0000011931970325E-3</v>
      </c>
      <c r="N1715" s="1271">
        <v>2.7234171169569568E-2</v>
      </c>
      <c r="O1715" s="1257">
        <v>8.2799549725861323E-3</v>
      </c>
      <c r="P1715" s="1237">
        <v>4.1399774862930661E-3</v>
      </c>
      <c r="Q1715" s="1292">
        <v>5.6474763159298426E-2</v>
      </c>
    </row>
    <row r="1716" spans="1:17" s="212" customFormat="1" ht="15.5" x14ac:dyDescent="0.35">
      <c r="A1716" s="198">
        <v>2043</v>
      </c>
      <c r="B1716" s="197" t="s">
        <v>5838</v>
      </c>
      <c r="C1716" s="197">
        <v>1991</v>
      </c>
      <c r="D1716" s="225" t="str">
        <f t="shared" si="18"/>
        <v>2043_1991</v>
      </c>
      <c r="E1716" s="1291">
        <v>0.37657386725243114</v>
      </c>
      <c r="F1716" s="1280">
        <v>0.12743940344415727</v>
      </c>
      <c r="G1716" s="1271">
        <v>9.1844630457956011</v>
      </c>
      <c r="H1716" s="1280">
        <v>0.99855513689218112</v>
      </c>
      <c r="I1716" s="1271">
        <v>5.4031689903916276E-2</v>
      </c>
      <c r="J1716" s="1280">
        <v>2.7831263989390397E-3</v>
      </c>
      <c r="K1716" s="1271">
        <v>2.9971823022658713E-3</v>
      </c>
      <c r="L1716" s="1257">
        <v>2.0000011931970325E-3</v>
      </c>
      <c r="M1716" s="1230">
        <v>2.0000011931970325E-3</v>
      </c>
      <c r="N1716" s="1271">
        <v>2.7234171169569568E-2</v>
      </c>
      <c r="O1716" s="1257">
        <v>8.2799549725861323E-3</v>
      </c>
      <c r="P1716" s="1237">
        <v>4.1399774862930661E-3</v>
      </c>
      <c r="Q1716" s="1292">
        <v>5.6474763159298426E-2</v>
      </c>
    </row>
    <row r="1717" spans="1:17" s="212" customFormat="1" ht="15.5" x14ac:dyDescent="0.35">
      <c r="A1717" s="198">
        <v>2043</v>
      </c>
      <c r="B1717" s="197" t="s">
        <v>5838</v>
      </c>
      <c r="C1717" s="197">
        <v>1992</v>
      </c>
      <c r="D1717" s="225" t="str">
        <f t="shared" si="18"/>
        <v>2043_1992</v>
      </c>
      <c r="E1717" s="1291">
        <v>0.37657386725243114</v>
      </c>
      <c r="F1717" s="1280">
        <v>0.12743940344415727</v>
      </c>
      <c r="G1717" s="1271">
        <v>9.1844630457956011</v>
      </c>
      <c r="H1717" s="1280">
        <v>0.99855513689218112</v>
      </c>
      <c r="I1717" s="1271">
        <v>5.4031689903916276E-2</v>
      </c>
      <c r="J1717" s="1280">
        <v>2.7831263989390397E-3</v>
      </c>
      <c r="K1717" s="1271">
        <v>2.9971823022658713E-3</v>
      </c>
      <c r="L1717" s="1257">
        <v>2.0000011931970325E-3</v>
      </c>
      <c r="M1717" s="1230">
        <v>2.0000011931970325E-3</v>
      </c>
      <c r="N1717" s="1271">
        <v>2.7234171169569568E-2</v>
      </c>
      <c r="O1717" s="1257">
        <v>8.2799549725861323E-3</v>
      </c>
      <c r="P1717" s="1237">
        <v>4.1399774862930661E-3</v>
      </c>
      <c r="Q1717" s="1292">
        <v>5.6474763159298426E-2</v>
      </c>
    </row>
    <row r="1718" spans="1:17" s="212" customFormat="1" ht="15.5" x14ac:dyDescent="0.35">
      <c r="A1718" s="198">
        <v>2043</v>
      </c>
      <c r="B1718" s="197" t="s">
        <v>5838</v>
      </c>
      <c r="C1718" s="197">
        <v>1993</v>
      </c>
      <c r="D1718" s="225" t="str">
        <f t="shared" si="18"/>
        <v>2043_1993</v>
      </c>
      <c r="E1718" s="1291">
        <v>0.37657386725243114</v>
      </c>
      <c r="F1718" s="1280">
        <v>0.12743940344415727</v>
      </c>
      <c r="G1718" s="1271">
        <v>9.1844630457956011</v>
      </c>
      <c r="H1718" s="1280">
        <v>0.99855513689218112</v>
      </c>
      <c r="I1718" s="1271">
        <v>5.4031689903916276E-2</v>
      </c>
      <c r="J1718" s="1280">
        <v>2.7831263989390397E-3</v>
      </c>
      <c r="K1718" s="1271">
        <v>2.9971823022658713E-3</v>
      </c>
      <c r="L1718" s="1257">
        <v>2.0000011931970325E-3</v>
      </c>
      <c r="M1718" s="1230">
        <v>2.0000011931970325E-3</v>
      </c>
      <c r="N1718" s="1271">
        <v>2.7234171169569568E-2</v>
      </c>
      <c r="O1718" s="1257">
        <v>8.2799549725861323E-3</v>
      </c>
      <c r="P1718" s="1237">
        <v>4.1399774862930661E-3</v>
      </c>
      <c r="Q1718" s="1292">
        <v>5.6474763159298426E-2</v>
      </c>
    </row>
    <row r="1719" spans="1:17" s="212" customFormat="1" ht="15.5" x14ac:dyDescent="0.35">
      <c r="A1719" s="198">
        <v>2043</v>
      </c>
      <c r="B1719" s="197" t="s">
        <v>5838</v>
      </c>
      <c r="C1719" s="197">
        <v>1994</v>
      </c>
      <c r="D1719" s="225" t="str">
        <f t="shared" si="18"/>
        <v>2043_1994</v>
      </c>
      <c r="E1719" s="1291">
        <v>0.37657386725243114</v>
      </c>
      <c r="F1719" s="1280">
        <v>0.12743940344415727</v>
      </c>
      <c r="G1719" s="1271">
        <v>9.1844630457956011</v>
      </c>
      <c r="H1719" s="1280">
        <v>0.99855513689218112</v>
      </c>
      <c r="I1719" s="1271">
        <v>5.4031689903916276E-2</v>
      </c>
      <c r="J1719" s="1280">
        <v>2.7831263989390397E-3</v>
      </c>
      <c r="K1719" s="1271">
        <v>2.9971823022658713E-3</v>
      </c>
      <c r="L1719" s="1257">
        <v>2.0000011931970325E-3</v>
      </c>
      <c r="M1719" s="1230">
        <v>2.0000011931970325E-3</v>
      </c>
      <c r="N1719" s="1271">
        <v>2.7234171169569568E-2</v>
      </c>
      <c r="O1719" s="1257">
        <v>8.2799549725861323E-3</v>
      </c>
      <c r="P1719" s="1237">
        <v>4.1399774862930661E-3</v>
      </c>
      <c r="Q1719" s="1292">
        <v>5.6474763159298426E-2</v>
      </c>
    </row>
    <row r="1720" spans="1:17" s="212" customFormat="1" ht="15.5" x14ac:dyDescent="0.35">
      <c r="A1720" s="198">
        <v>2043</v>
      </c>
      <c r="B1720" s="197" t="s">
        <v>5838</v>
      </c>
      <c r="C1720" s="197">
        <v>1995</v>
      </c>
      <c r="D1720" s="225" t="str">
        <f t="shared" si="18"/>
        <v>2043_1995</v>
      </c>
      <c r="E1720" s="1291">
        <v>0.37657386725243114</v>
      </c>
      <c r="F1720" s="1280">
        <v>0.12743940344415727</v>
      </c>
      <c r="G1720" s="1271">
        <v>9.1844630457956011</v>
      </c>
      <c r="H1720" s="1280">
        <v>0.99855513689218112</v>
      </c>
      <c r="I1720" s="1271">
        <v>5.4031689903916276E-2</v>
      </c>
      <c r="J1720" s="1280">
        <v>2.7831263989390397E-3</v>
      </c>
      <c r="K1720" s="1271">
        <v>2.9971823022658713E-3</v>
      </c>
      <c r="L1720" s="1257">
        <v>2.0000011931970325E-3</v>
      </c>
      <c r="M1720" s="1230">
        <v>2.0000011931970325E-3</v>
      </c>
      <c r="N1720" s="1271">
        <v>2.7234171169569568E-2</v>
      </c>
      <c r="O1720" s="1257">
        <v>8.2799549725861323E-3</v>
      </c>
      <c r="P1720" s="1237">
        <v>4.1399774862930661E-3</v>
      </c>
      <c r="Q1720" s="1292">
        <v>5.6474763159298426E-2</v>
      </c>
    </row>
    <row r="1721" spans="1:17" s="212" customFormat="1" ht="15.5" x14ac:dyDescent="0.35">
      <c r="A1721" s="198">
        <v>2043</v>
      </c>
      <c r="B1721" s="197" t="s">
        <v>5838</v>
      </c>
      <c r="C1721" s="197">
        <v>1996</v>
      </c>
      <c r="D1721" s="225" t="str">
        <f t="shared" si="18"/>
        <v>2043_1996</v>
      </c>
      <c r="E1721" s="1291">
        <v>0.37657386725243114</v>
      </c>
      <c r="F1721" s="1280">
        <v>0.12743940344415727</v>
      </c>
      <c r="G1721" s="1271">
        <v>9.1844630457956011</v>
      </c>
      <c r="H1721" s="1280">
        <v>0.99855513689218112</v>
      </c>
      <c r="I1721" s="1271">
        <v>5.4031689903916276E-2</v>
      </c>
      <c r="J1721" s="1280">
        <v>2.7831263989390397E-3</v>
      </c>
      <c r="K1721" s="1271">
        <v>2.9971823022658713E-3</v>
      </c>
      <c r="L1721" s="1257">
        <v>2.0000011931970325E-3</v>
      </c>
      <c r="M1721" s="1230">
        <v>2.0000011931970325E-3</v>
      </c>
      <c r="N1721" s="1271">
        <v>2.7234171169569568E-2</v>
      </c>
      <c r="O1721" s="1257">
        <v>8.2799549725861323E-3</v>
      </c>
      <c r="P1721" s="1237">
        <v>4.1399774862930661E-3</v>
      </c>
      <c r="Q1721" s="1292">
        <v>5.6474763159298426E-2</v>
      </c>
    </row>
    <row r="1722" spans="1:17" s="212" customFormat="1" ht="15.5" x14ac:dyDescent="0.35">
      <c r="A1722" s="198">
        <v>2043</v>
      </c>
      <c r="B1722" s="197" t="s">
        <v>5838</v>
      </c>
      <c r="C1722" s="197">
        <v>1997</v>
      </c>
      <c r="D1722" s="225" t="str">
        <f t="shared" si="18"/>
        <v>2043_1997</v>
      </c>
      <c r="E1722" s="1291">
        <v>0.37657386725243114</v>
      </c>
      <c r="F1722" s="1280">
        <v>0.12743940344415727</v>
      </c>
      <c r="G1722" s="1271">
        <v>9.1844630457956011</v>
      </c>
      <c r="H1722" s="1280">
        <v>0.99855513689218112</v>
      </c>
      <c r="I1722" s="1271">
        <v>5.4031689903916276E-2</v>
      </c>
      <c r="J1722" s="1280">
        <v>2.7831263989390397E-3</v>
      </c>
      <c r="K1722" s="1271">
        <v>2.9971823022658713E-3</v>
      </c>
      <c r="L1722" s="1257">
        <v>2.0000011931970325E-3</v>
      </c>
      <c r="M1722" s="1230">
        <v>2.0000011931970325E-3</v>
      </c>
      <c r="N1722" s="1271">
        <v>2.7234171169569568E-2</v>
      </c>
      <c r="O1722" s="1257">
        <v>8.2799549725861323E-3</v>
      </c>
      <c r="P1722" s="1237">
        <v>4.1399774862930661E-3</v>
      </c>
      <c r="Q1722" s="1292">
        <v>5.6474763159298426E-2</v>
      </c>
    </row>
    <row r="1723" spans="1:17" s="212" customFormat="1" ht="15.5" x14ac:dyDescent="0.35">
      <c r="A1723" s="198">
        <v>2043</v>
      </c>
      <c r="B1723" s="197" t="s">
        <v>5838</v>
      </c>
      <c r="C1723" s="197">
        <v>1998</v>
      </c>
      <c r="D1723" s="225" t="str">
        <f t="shared" si="18"/>
        <v>2043_1998</v>
      </c>
      <c r="E1723" s="1291">
        <v>0.37657386725243114</v>
      </c>
      <c r="F1723" s="1280">
        <v>0.12743940344415727</v>
      </c>
      <c r="G1723" s="1271">
        <v>9.1844630457956011</v>
      </c>
      <c r="H1723" s="1280">
        <v>0.99855513689218112</v>
      </c>
      <c r="I1723" s="1271">
        <v>5.4031689903916276E-2</v>
      </c>
      <c r="J1723" s="1280">
        <v>2.7831263989390397E-3</v>
      </c>
      <c r="K1723" s="1271">
        <v>2.9971823022658713E-3</v>
      </c>
      <c r="L1723" s="1257">
        <v>2.0000011931970325E-3</v>
      </c>
      <c r="M1723" s="1230">
        <v>2.0000011931970325E-3</v>
      </c>
      <c r="N1723" s="1271">
        <v>2.7234171169569568E-2</v>
      </c>
      <c r="O1723" s="1257">
        <v>8.2799549725861323E-3</v>
      </c>
      <c r="P1723" s="1237">
        <v>4.1399774862930661E-3</v>
      </c>
      <c r="Q1723" s="1292">
        <v>5.6474763159298426E-2</v>
      </c>
    </row>
    <row r="1724" spans="1:17" s="212" customFormat="1" ht="15.5" x14ac:dyDescent="0.35">
      <c r="A1724" s="198">
        <v>2043</v>
      </c>
      <c r="B1724" s="197" t="s">
        <v>5838</v>
      </c>
      <c r="C1724" s="197">
        <v>1999</v>
      </c>
      <c r="D1724" s="225" t="str">
        <f t="shared" si="18"/>
        <v>2043_1999</v>
      </c>
      <c r="E1724" s="1287">
        <v>0.37657386725243114</v>
      </c>
      <c r="F1724" s="1306">
        <v>0.12743940344415727</v>
      </c>
      <c r="G1724" s="1303">
        <v>9.1844630457956011</v>
      </c>
      <c r="H1724" s="1306">
        <v>0.99855513689218112</v>
      </c>
      <c r="I1724" s="1303">
        <v>5.4031689903916276E-2</v>
      </c>
      <c r="J1724" s="1306">
        <v>2.7831263989390397E-3</v>
      </c>
      <c r="K1724" s="1303">
        <v>2.9971823022658713E-3</v>
      </c>
      <c r="L1724" s="1288">
        <v>2.0000011931970325E-3</v>
      </c>
      <c r="M1724" s="1230">
        <v>2.0000011931970325E-3</v>
      </c>
      <c r="N1724" s="1303">
        <v>2.7234171169569568E-2</v>
      </c>
      <c r="O1724" s="1288">
        <v>8.2799549725861323E-3</v>
      </c>
      <c r="P1724" s="1237">
        <v>4.1399774862930661E-3</v>
      </c>
      <c r="Q1724" s="1290">
        <v>5.6474763159298426E-2</v>
      </c>
    </row>
    <row r="1725" spans="1:17" s="212" customFormat="1" ht="15.5" x14ac:dyDescent="0.35">
      <c r="A1725" s="198">
        <v>2043</v>
      </c>
      <c r="B1725" s="197" t="s">
        <v>5838</v>
      </c>
      <c r="C1725" s="197">
        <v>2000</v>
      </c>
      <c r="D1725" s="225" t="str">
        <f t="shared" si="18"/>
        <v>2043_2000</v>
      </c>
      <c r="E1725" s="1287">
        <v>0.37533823207409778</v>
      </c>
      <c r="F1725" s="1306">
        <v>0.12223099529980917</v>
      </c>
      <c r="G1725" s="1303">
        <v>9.2312603946129332</v>
      </c>
      <c r="H1725" s="1306">
        <v>0.97353486366713315</v>
      </c>
      <c r="I1725" s="1303">
        <v>5.3780032749944827E-2</v>
      </c>
      <c r="J1725" s="1306">
        <v>2.7832197970719293E-3</v>
      </c>
      <c r="K1725" s="1303">
        <v>2.9990515829346901E-3</v>
      </c>
      <c r="L1725" s="1288">
        <v>2.0000012352272595E-3</v>
      </c>
      <c r="M1725" s="1230">
        <v>2.0000012352272595E-3</v>
      </c>
      <c r="N1725" s="1303">
        <v>2.727755452211476E-2</v>
      </c>
      <c r="O1725" s="1288">
        <v>8.4548448673355901E-3</v>
      </c>
      <c r="P1725" s="1237">
        <v>4.227422433667795E-3</v>
      </c>
      <c r="Q1725" s="1290">
        <v>5.6211727185536471E-2</v>
      </c>
    </row>
    <row r="1726" spans="1:17" s="212" customFormat="1" ht="15.5" x14ac:dyDescent="0.35">
      <c r="A1726" s="198">
        <v>2043</v>
      </c>
      <c r="B1726" s="197" t="s">
        <v>5838</v>
      </c>
      <c r="C1726" s="197">
        <v>2001</v>
      </c>
      <c r="D1726" s="225" t="str">
        <f t="shared" si="18"/>
        <v>2043_2001</v>
      </c>
      <c r="E1726" s="1287">
        <v>0.37724881137737487</v>
      </c>
      <c r="F1726" s="1306">
        <v>0.1191820565579032</v>
      </c>
      <c r="G1726" s="1303">
        <v>9.2026780003123445</v>
      </c>
      <c r="H1726" s="1306">
        <v>0.95495117007023034</v>
      </c>
      <c r="I1726" s="1303">
        <v>5.402985317284853E-2</v>
      </c>
      <c r="J1726" s="1306">
        <v>2.8064825877350463E-3</v>
      </c>
      <c r="K1726" s="1303">
        <v>2.9996817813245013E-3</v>
      </c>
      <c r="L1726" s="1288">
        <v>2.0000012260676359E-3</v>
      </c>
      <c r="M1726" s="1230">
        <v>2.0000012260676359E-3</v>
      </c>
      <c r="N1726" s="1303">
        <v>2.7292582899079251E-2</v>
      </c>
      <c r="O1726" s="1288">
        <v>7.8067380497206249E-3</v>
      </c>
      <c r="P1726" s="1237">
        <v>3.9033690248603124E-3</v>
      </c>
      <c r="Q1726" s="1290">
        <v>5.647284337940213E-2</v>
      </c>
    </row>
    <row r="1727" spans="1:17" s="212" customFormat="1" ht="15.5" x14ac:dyDescent="0.35">
      <c r="A1727" s="198">
        <v>2043</v>
      </c>
      <c r="B1727" s="197" t="s">
        <v>5838</v>
      </c>
      <c r="C1727" s="197">
        <v>2002</v>
      </c>
      <c r="D1727" s="225" t="str">
        <f t="shared" si="18"/>
        <v>2043_2002</v>
      </c>
      <c r="E1727" s="1287">
        <v>0.29096034733166748</v>
      </c>
      <c r="F1727" s="1306">
        <v>0.1185120652203684</v>
      </c>
      <c r="G1727" s="1303">
        <v>7.1197621914182179</v>
      </c>
      <c r="H1727" s="1306">
        <v>0.92568298681916761</v>
      </c>
      <c r="I1727" s="1303">
        <v>5.4240017473171837E-2</v>
      </c>
      <c r="J1727" s="1306">
        <v>2.8198818381311302E-3</v>
      </c>
      <c r="K1727" s="1303">
        <v>2.9998443343745643E-3</v>
      </c>
      <c r="L1727" s="1288">
        <v>2.0000012863926522E-3</v>
      </c>
      <c r="M1727" s="1230">
        <v>2.0000012863926522E-3</v>
      </c>
      <c r="N1727" s="1303">
        <v>2.7296372022153379E-2</v>
      </c>
      <c r="O1727" s="1288">
        <v>7.2520020100659563E-3</v>
      </c>
      <c r="P1727" s="1237">
        <v>3.6260010050329782E-3</v>
      </c>
      <c r="Q1727" s="1290">
        <v>5.66925103767957E-2</v>
      </c>
    </row>
    <row r="1728" spans="1:17" s="212" customFormat="1" ht="15.5" x14ac:dyDescent="0.35">
      <c r="A1728" s="198">
        <v>2043</v>
      </c>
      <c r="B1728" s="197" t="s">
        <v>5838</v>
      </c>
      <c r="C1728" s="197">
        <v>2003</v>
      </c>
      <c r="D1728" s="225" t="str">
        <f t="shared" si="18"/>
        <v>2043_2003</v>
      </c>
      <c r="E1728" s="1287">
        <v>0.28940440048043892</v>
      </c>
      <c r="F1728" s="1306">
        <v>9.5995817229193287E-2</v>
      </c>
      <c r="G1728" s="1303">
        <v>7.1460867081155515</v>
      </c>
      <c r="H1728" s="1306">
        <v>0.71982985058821758</v>
      </c>
      <c r="I1728" s="1303">
        <v>5.3950862202835785E-2</v>
      </c>
      <c r="J1728" s="1306">
        <v>2.8067737409241066E-3</v>
      </c>
      <c r="K1728" s="1303">
        <v>2.9998200738186567E-3</v>
      </c>
      <c r="L1728" s="1288">
        <v>2.0000012965000749E-3</v>
      </c>
      <c r="M1728" s="1230">
        <v>2.0000012965000749E-3</v>
      </c>
      <c r="N1728" s="1303">
        <v>2.7295859865032746E-2</v>
      </c>
      <c r="O1728" s="1288">
        <v>7.6590074984664658E-3</v>
      </c>
      <c r="P1728" s="1237">
        <v>3.8295037492332329E-3</v>
      </c>
      <c r="Q1728" s="1290">
        <v>5.6390280788242639E-2</v>
      </c>
    </row>
    <row r="1729" spans="1:17" s="212" customFormat="1" ht="15.5" x14ac:dyDescent="0.35">
      <c r="A1729" s="198">
        <v>2043</v>
      </c>
      <c r="B1729" s="197" t="s">
        <v>5838</v>
      </c>
      <c r="C1729" s="197">
        <v>2004</v>
      </c>
      <c r="D1729" s="225" t="str">
        <f t="shared" si="18"/>
        <v>2043_2004</v>
      </c>
      <c r="E1729" s="1287">
        <v>0.59555125787395846</v>
      </c>
      <c r="F1729" s="1306">
        <v>1.8068709136219219E-2</v>
      </c>
      <c r="G1729" s="1303">
        <v>4.2059472014114956</v>
      </c>
      <c r="H1729" s="1306">
        <v>0.12217873453494346</v>
      </c>
      <c r="I1729" s="1303">
        <v>0.154319989352556</v>
      </c>
      <c r="J1729" s="1306">
        <v>1.8777877665002155E-4</v>
      </c>
      <c r="K1729" s="1303">
        <v>2.9986394739170085E-3</v>
      </c>
      <c r="L1729" s="1288">
        <v>2.0000013519052757E-3</v>
      </c>
      <c r="M1729" s="1230">
        <v>2.0000013519052757E-3</v>
      </c>
      <c r="N1729" s="1303">
        <v>2.7268030215859992E-2</v>
      </c>
      <c r="O1729" s="1288">
        <v>7.083662854923338E-3</v>
      </c>
      <c r="P1729" s="1237">
        <v>3.541831427461669E-3</v>
      </c>
      <c r="Q1729" s="1290">
        <v>0.16129765448626751</v>
      </c>
    </row>
    <row r="1730" spans="1:17" s="212" customFormat="1" ht="15.5" x14ac:dyDescent="0.35">
      <c r="A1730" s="198">
        <v>2043</v>
      </c>
      <c r="B1730" s="197" t="s">
        <v>5838</v>
      </c>
      <c r="C1730" s="197">
        <v>2005</v>
      </c>
      <c r="D1730" s="225" t="str">
        <f t="shared" si="18"/>
        <v>2043_2005</v>
      </c>
      <c r="E1730" s="1287">
        <v>0.54961328093891215</v>
      </c>
      <c r="F1730" s="1306">
        <v>1.6126235035152554E-2</v>
      </c>
      <c r="G1730" s="1303">
        <v>3.9850236312329592</v>
      </c>
      <c r="H1730" s="1306">
        <v>0.10636822730294351</v>
      </c>
      <c r="I1730" s="1303">
        <v>0.1450034786254501</v>
      </c>
      <c r="J1730" s="1306">
        <v>1.8806752752964357E-4</v>
      </c>
      <c r="K1730" s="1303">
        <v>2.9092119374725936E-3</v>
      </c>
      <c r="L1730" s="1288">
        <v>2.0000013691712786E-3</v>
      </c>
      <c r="M1730" s="1230">
        <v>2.0000013691712786E-3</v>
      </c>
      <c r="N1730" s="1303">
        <v>2.5159107754322872E-2</v>
      </c>
      <c r="O1730" s="1288">
        <v>6.5340490386759367E-3</v>
      </c>
      <c r="P1730" s="1237">
        <v>3.2670245193379683E-3</v>
      </c>
      <c r="Q1730" s="1290">
        <v>0.15155989248548621</v>
      </c>
    </row>
    <row r="1731" spans="1:17" s="212" customFormat="1" ht="15.5" x14ac:dyDescent="0.35">
      <c r="A1731" s="198">
        <v>2043</v>
      </c>
      <c r="B1731" s="197" t="s">
        <v>5838</v>
      </c>
      <c r="C1731" s="197">
        <v>2006</v>
      </c>
      <c r="D1731" s="225" t="str">
        <f t="shared" si="18"/>
        <v>2043_2006</v>
      </c>
      <c r="E1731" s="1287">
        <v>0.5700711489343252</v>
      </c>
      <c r="F1731" s="1306">
        <v>7.0548309193527508E-3</v>
      </c>
      <c r="G1731" s="1303">
        <v>4.0874818441390532</v>
      </c>
      <c r="H1731" s="1306">
        <v>8.3609328218846118E-2</v>
      </c>
      <c r="I1731" s="1303">
        <v>0.14910713298517389</v>
      </c>
      <c r="J1731" s="1306">
        <v>1.8347435006495417E-4</v>
      </c>
      <c r="K1731" s="1303">
        <v>2.9540868085646105E-3</v>
      </c>
      <c r="L1731" s="1288">
        <v>2.0000012829698398E-3</v>
      </c>
      <c r="M1731" s="1230">
        <v>2.0000012829698398E-3</v>
      </c>
      <c r="N1731" s="1303">
        <v>2.6216910363062864E-2</v>
      </c>
      <c r="O1731" s="1288">
        <v>9.4747009055512876E-3</v>
      </c>
      <c r="P1731" s="1237">
        <v>4.7373504527756438E-3</v>
      </c>
      <c r="Q1731" s="1290">
        <v>0.15584909588566012</v>
      </c>
    </row>
    <row r="1732" spans="1:17" s="212" customFormat="1" ht="15.5" x14ac:dyDescent="0.35">
      <c r="A1732" s="198">
        <v>2043</v>
      </c>
      <c r="B1732" s="197" t="s">
        <v>5838</v>
      </c>
      <c r="C1732" s="197">
        <v>2007</v>
      </c>
      <c r="D1732" s="225" t="str">
        <f t="shared" si="18"/>
        <v>2043_2007</v>
      </c>
      <c r="E1732" s="1287">
        <v>0.3153474942139467</v>
      </c>
      <c r="F1732" s="1306">
        <v>8.9481807033662628E-3</v>
      </c>
      <c r="G1732" s="1303">
        <v>2.2957248862920125</v>
      </c>
      <c r="H1732" s="1306">
        <v>7.0642272072531598E-2</v>
      </c>
      <c r="I1732" s="1303">
        <v>8.2351072065911093E-2</v>
      </c>
      <c r="J1732" s="1306">
        <v>1.870528661614897E-4</v>
      </c>
      <c r="K1732" s="1303">
        <v>2.9316831942446278E-3</v>
      </c>
      <c r="L1732" s="1288">
        <v>2.0000013145540082E-3</v>
      </c>
      <c r="M1732" s="1230">
        <v>2.0000013145540082E-3</v>
      </c>
      <c r="N1732" s="1303">
        <v>2.5689973995659317E-2</v>
      </c>
      <c r="O1732" s="1288">
        <v>6.8382230704901042E-3</v>
      </c>
      <c r="P1732" s="1237">
        <v>3.4191115352450521E-3</v>
      </c>
      <c r="Q1732" s="1290">
        <v>8.6074622117261426E-2</v>
      </c>
    </row>
    <row r="1733" spans="1:17" s="212" customFormat="1" ht="15.5" x14ac:dyDescent="0.35">
      <c r="A1733" s="198">
        <v>2043</v>
      </c>
      <c r="B1733" s="197" t="s">
        <v>5838</v>
      </c>
      <c r="C1733" s="197">
        <v>2008</v>
      </c>
      <c r="D1733" s="225" t="str">
        <f t="shared" si="18"/>
        <v>2043_2008</v>
      </c>
      <c r="E1733" s="1287">
        <v>0.325221864577454</v>
      </c>
      <c r="F1733" s="1306">
        <v>8.3493610808629513E-3</v>
      </c>
      <c r="G1733" s="1303">
        <v>2.3735112510929994</v>
      </c>
      <c r="H1733" s="1306">
        <v>5.4313390652426102E-2</v>
      </c>
      <c r="I1733" s="1303">
        <v>8.4906648816626559E-2</v>
      </c>
      <c r="J1733" s="1306">
        <v>2.1055104657474058E-4</v>
      </c>
      <c r="K1733" s="1303">
        <v>2.9653683798787599E-3</v>
      </c>
      <c r="L1733" s="1288">
        <v>2.0000014406744413E-3</v>
      </c>
      <c r="M1733" s="1230">
        <v>2.0000014406744413E-3</v>
      </c>
      <c r="N1733" s="1303">
        <v>2.6484983431537636E-2</v>
      </c>
      <c r="O1733" s="1288">
        <v>6.8569445572450602E-3</v>
      </c>
      <c r="P1733" s="1237">
        <v>3.4284722786225301E-3</v>
      </c>
      <c r="Q1733" s="1290">
        <v>8.8745750708440388E-2</v>
      </c>
    </row>
    <row r="1734" spans="1:17" s="212" customFormat="1" ht="15.5" x14ac:dyDescent="0.35">
      <c r="A1734" s="198">
        <v>2043</v>
      </c>
      <c r="B1734" s="197" t="s">
        <v>5838</v>
      </c>
      <c r="C1734" s="197">
        <v>2009</v>
      </c>
      <c r="D1734" s="225" t="str">
        <f t="shared" si="18"/>
        <v>2043_2009</v>
      </c>
      <c r="E1734" s="1287">
        <v>0.31436619234018215</v>
      </c>
      <c r="F1734" s="1306">
        <v>7.9574411133460626E-3</v>
      </c>
      <c r="G1734" s="1303">
        <v>2.269561463375501</v>
      </c>
      <c r="H1734" s="1306">
        <v>3.8734953093315282E-2</v>
      </c>
      <c r="I1734" s="1303">
        <v>8.1896110928380381E-2</v>
      </c>
      <c r="J1734" s="1306">
        <v>2.3899962103015679E-4</v>
      </c>
      <c r="K1734" s="1303">
        <v>2.9149844875807772E-3</v>
      </c>
      <c r="L1734" s="1288">
        <v>2.0000014926145372E-3</v>
      </c>
      <c r="M1734" s="1230">
        <v>2.0000014926145372E-3</v>
      </c>
      <c r="N1734" s="1303">
        <v>2.5300560800814581E-2</v>
      </c>
      <c r="O1734" s="1288">
        <v>5.4382940388258832E-3</v>
      </c>
      <c r="P1734" s="1237">
        <v>2.7191470194129416E-3</v>
      </c>
      <c r="Q1734" s="1290">
        <v>8.559908965595181E-2</v>
      </c>
    </row>
    <row r="1735" spans="1:17" s="212" customFormat="1" ht="15.5" x14ac:dyDescent="0.35">
      <c r="A1735" s="198">
        <v>2043</v>
      </c>
      <c r="B1735" s="197" t="s">
        <v>5838</v>
      </c>
      <c r="C1735" s="197">
        <v>2010</v>
      </c>
      <c r="D1735" s="225" t="str">
        <f t="shared" si="18"/>
        <v>2043_2010</v>
      </c>
      <c r="E1735" s="1287">
        <v>6.7868609909682617E-2</v>
      </c>
      <c r="F1735" s="1306">
        <v>7.3416999764603884E-3</v>
      </c>
      <c r="G1735" s="1303">
        <v>0.59219359546910288</v>
      </c>
      <c r="H1735" s="1306">
        <v>3.6837408207720752E-2</v>
      </c>
      <c r="I1735" s="1303">
        <v>1.8781235501457459E-2</v>
      </c>
      <c r="J1735" s="1306">
        <v>2.9556845558980949E-4</v>
      </c>
      <c r="K1735" s="1303">
        <v>2.8195970139723589E-3</v>
      </c>
      <c r="L1735" s="1288">
        <v>2.000001572024717E-3</v>
      </c>
      <c r="M1735" s="1230">
        <v>2.000001572024717E-3</v>
      </c>
      <c r="N1735" s="1303">
        <v>2.3057211859667803E-2</v>
      </c>
      <c r="O1735" s="1288">
        <v>4.5864319137988207E-3</v>
      </c>
      <c r="P1735" s="1237">
        <v>2.2932159568994103E-3</v>
      </c>
      <c r="Q1735" s="1290">
        <v>1.9630439630335127E-2</v>
      </c>
    </row>
    <row r="1736" spans="1:17" s="212" customFormat="1" ht="15.5" x14ac:dyDescent="0.35">
      <c r="A1736" s="198">
        <v>2043</v>
      </c>
      <c r="B1736" s="197" t="s">
        <v>5838</v>
      </c>
      <c r="C1736" s="197">
        <v>2011</v>
      </c>
      <c r="D1736" s="225" t="str">
        <f t="shared" si="18"/>
        <v>2043_2011</v>
      </c>
      <c r="E1736" s="1287">
        <v>7.305998844693988E-2</v>
      </c>
      <c r="F1736" s="1306">
        <v>7.317050848569184E-3</v>
      </c>
      <c r="G1736" s="1303">
        <v>0.65365840089971461</v>
      </c>
      <c r="H1736" s="1306">
        <v>3.6643928247823268E-2</v>
      </c>
      <c r="I1736" s="1303">
        <v>2.0128379426069511E-2</v>
      </c>
      <c r="J1736" s="1306">
        <v>3.924223883226379E-4</v>
      </c>
      <c r="K1736" s="1303">
        <v>2.913056032430225E-3</v>
      </c>
      <c r="L1736" s="1288">
        <v>2.0000015224697575E-3</v>
      </c>
      <c r="M1736" s="1230">
        <v>2.0000015224697575E-3</v>
      </c>
      <c r="N1736" s="1303">
        <v>2.5261116711720238E-2</v>
      </c>
      <c r="O1736" s="1288">
        <v>5.6294796859892964E-3</v>
      </c>
      <c r="P1736" s="1237">
        <v>2.8147398429946482E-3</v>
      </c>
      <c r="Q1736" s="1290">
        <v>2.1038495425355529E-2</v>
      </c>
    </row>
    <row r="1737" spans="1:17" s="212" customFormat="1" ht="15.5" x14ac:dyDescent="0.35">
      <c r="A1737" s="198">
        <v>2043</v>
      </c>
      <c r="B1737" s="197" t="s">
        <v>5838</v>
      </c>
      <c r="C1737" s="197">
        <v>2012</v>
      </c>
      <c r="D1737" s="225" t="str">
        <f t="shared" si="18"/>
        <v>2043_2012</v>
      </c>
      <c r="E1737" s="1287">
        <v>5.8705673966495869E-2</v>
      </c>
      <c r="F1737" s="1306">
        <v>6.962425676668809E-3</v>
      </c>
      <c r="G1737" s="1303">
        <v>0.49664824360988657</v>
      </c>
      <c r="H1737" s="1306">
        <v>3.5521181400732793E-2</v>
      </c>
      <c r="I1737" s="1303">
        <v>1.6517938321635599E-2</v>
      </c>
      <c r="J1737" s="1306">
        <v>5.6762125946836274E-4</v>
      </c>
      <c r="K1737" s="1303">
        <v>2.6838083311501565E-3</v>
      </c>
      <c r="L1737" s="1288">
        <v>2.0000015454175019E-3</v>
      </c>
      <c r="M1737" s="1230">
        <v>2.0000015454175019E-3</v>
      </c>
      <c r="N1737" s="1303">
        <v>1.9852224083295171E-2</v>
      </c>
      <c r="O1737" s="1288">
        <v>6.1791213670965919E-3</v>
      </c>
      <c r="P1737" s="1237">
        <v>3.089560683548296E-3</v>
      </c>
      <c r="Q1737" s="1290">
        <v>1.7264806195274242E-2</v>
      </c>
    </row>
    <row r="1738" spans="1:17" s="212" customFormat="1" ht="15.5" x14ac:dyDescent="0.35">
      <c r="A1738" s="198">
        <v>2043</v>
      </c>
      <c r="B1738" s="197" t="s">
        <v>5838</v>
      </c>
      <c r="C1738" s="197">
        <v>2013</v>
      </c>
      <c r="D1738" s="225" t="str">
        <f t="shared" si="18"/>
        <v>2043_2013</v>
      </c>
      <c r="E1738" s="1287">
        <v>7.2166443377300216E-2</v>
      </c>
      <c r="F1738" s="1306">
        <v>7.4757129124379375E-3</v>
      </c>
      <c r="G1738" s="1303">
        <v>0.64249479077238314</v>
      </c>
      <c r="H1738" s="1306">
        <v>3.679630027457468E-2</v>
      </c>
      <c r="I1738" s="1303">
        <v>1.9888550780361947E-2</v>
      </c>
      <c r="J1738" s="1306">
        <v>8.4794983584137969E-4</v>
      </c>
      <c r="K1738" s="1303">
        <v>2.8964717658593792E-3</v>
      </c>
      <c r="L1738" s="1288">
        <v>2.0000015476264268E-3</v>
      </c>
      <c r="M1738" s="1230">
        <v>2.0000015476264268E-3</v>
      </c>
      <c r="N1738" s="1303">
        <v>2.4870279171680266E-2</v>
      </c>
      <c r="O1738" s="1288">
        <v>6.2300469951109758E-3</v>
      </c>
      <c r="P1738" s="1237">
        <v>3.1150234975554879E-3</v>
      </c>
      <c r="Q1738" s="1290">
        <v>2.0787822792512942E-2</v>
      </c>
    </row>
    <row r="1739" spans="1:17" s="212" customFormat="1" ht="15.5" x14ac:dyDescent="0.35">
      <c r="A1739" s="198">
        <v>2043</v>
      </c>
      <c r="B1739" s="197" t="s">
        <v>5838</v>
      </c>
      <c r="C1739" s="197">
        <v>2014</v>
      </c>
      <c r="D1739" s="225" t="str">
        <f t="shared" si="18"/>
        <v>2043_2014</v>
      </c>
      <c r="E1739" s="1287">
        <v>6.5097819375241575E-2</v>
      </c>
      <c r="F1739" s="1306">
        <v>7.6257515203457076E-3</v>
      </c>
      <c r="G1739" s="1303">
        <v>0.56627506910026337</v>
      </c>
      <c r="H1739" s="1306">
        <v>3.7237383793604174E-2</v>
      </c>
      <c r="I1739" s="1303">
        <v>1.812285308901148E-2</v>
      </c>
      <c r="J1739" s="1306">
        <v>1.2004473814182517E-3</v>
      </c>
      <c r="K1739" s="1303">
        <v>2.7855365335647392E-3</v>
      </c>
      <c r="L1739" s="1288">
        <v>2.0000015663067306E-3</v>
      </c>
      <c r="M1739" s="1230">
        <v>2.0000015663067306E-3</v>
      </c>
      <c r="N1739" s="1303">
        <v>2.2252204669977797E-2</v>
      </c>
      <c r="O1739" s="1288">
        <v>5.2956380830927038E-3</v>
      </c>
      <c r="P1739" s="1237">
        <v>2.6478190415463519E-3</v>
      </c>
      <c r="Q1739" s="1290">
        <v>1.8942288086727037E-2</v>
      </c>
    </row>
    <row r="1740" spans="1:17" s="212" customFormat="1" ht="15.5" x14ac:dyDescent="0.35">
      <c r="A1740" s="198">
        <v>2043</v>
      </c>
      <c r="B1740" s="197" t="s">
        <v>5838</v>
      </c>
      <c r="C1740" s="197">
        <v>2015</v>
      </c>
      <c r="D1740" s="225" t="str">
        <f t="shared" si="18"/>
        <v>2043_2015</v>
      </c>
      <c r="E1740" s="1287">
        <v>6.0941251707227931E-2</v>
      </c>
      <c r="F1740" s="1306">
        <v>7.461594835529081E-3</v>
      </c>
      <c r="G1740" s="1303">
        <v>0.52476499066953808</v>
      </c>
      <c r="H1740" s="1306">
        <v>3.6396755185069303E-2</v>
      </c>
      <c r="I1740" s="1303">
        <v>1.7123764538484652E-2</v>
      </c>
      <c r="J1740" s="1306">
        <v>1.483146310976023E-3</v>
      </c>
      <c r="K1740" s="1303">
        <v>2.7269946043183553E-3</v>
      </c>
      <c r="L1740" s="1288">
        <v>2.0000015275709413E-3</v>
      </c>
      <c r="M1740" s="1230">
        <v>2.0000015275709413E-3</v>
      </c>
      <c r="N1740" s="1303">
        <v>2.0862206398275251E-2</v>
      </c>
      <c r="O1740" s="1288">
        <v>6.2703825951398147E-3</v>
      </c>
      <c r="P1740" s="1237">
        <v>3.1351912975699074E-3</v>
      </c>
      <c r="Q1740" s="1290">
        <v>1.7898025185335165E-2</v>
      </c>
    </row>
    <row r="1741" spans="1:17" s="212" customFormat="1" ht="15.5" x14ac:dyDescent="0.35">
      <c r="A1741" s="198">
        <v>2043</v>
      </c>
      <c r="B1741" s="197" t="s">
        <v>5838</v>
      </c>
      <c r="C1741" s="197">
        <v>2016</v>
      </c>
      <c r="D1741" s="225" t="str">
        <f t="shared" si="18"/>
        <v>2043_2016</v>
      </c>
      <c r="E1741" s="1287">
        <v>6.8627937101763362E-2</v>
      </c>
      <c r="F1741" s="1306">
        <v>7.3283074738679684E-3</v>
      </c>
      <c r="G1741" s="1303">
        <v>0.54263842220830016</v>
      </c>
      <c r="H1741" s="1306">
        <v>3.5626852045014236E-2</v>
      </c>
      <c r="I1741" s="1303">
        <v>1.9090112909703392E-2</v>
      </c>
      <c r="J1741" s="1306">
        <v>1.6812432332179456E-3</v>
      </c>
      <c r="K1741" s="1303">
        <v>2.8617679434975707E-3</v>
      </c>
      <c r="L1741" s="1288">
        <v>2.0000014757439186E-3</v>
      </c>
      <c r="M1741" s="1230">
        <v>2.0000014757439186E-3</v>
      </c>
      <c r="N1741" s="1303">
        <v>2.4041933689015773E-2</v>
      </c>
      <c r="O1741" s="1288">
        <v>7.32023604061808E-3</v>
      </c>
      <c r="P1741" s="1237">
        <v>3.66011802030904E-3</v>
      </c>
      <c r="Q1741" s="1290">
        <v>1.9953283104358756E-2</v>
      </c>
    </row>
    <row r="1742" spans="1:17" s="212" customFormat="1" ht="15.5" x14ac:dyDescent="0.35">
      <c r="A1742" s="198">
        <v>2043</v>
      </c>
      <c r="B1742" s="197" t="s">
        <v>5838</v>
      </c>
      <c r="C1742" s="197">
        <v>2017</v>
      </c>
      <c r="D1742" s="225" t="str">
        <f t="shared" si="18"/>
        <v>2043_2017</v>
      </c>
      <c r="E1742" s="1287">
        <v>7.0434807224976803E-2</v>
      </c>
      <c r="F1742" s="1306">
        <v>7.0632412889812674E-3</v>
      </c>
      <c r="G1742" s="1303">
        <v>0.4868012575065187</v>
      </c>
      <c r="H1742" s="1306">
        <v>3.4934535835126235E-2</v>
      </c>
      <c r="I1742" s="1303">
        <v>1.9548553968272125E-2</v>
      </c>
      <c r="J1742" s="1306">
        <v>1.8048045039128593E-3</v>
      </c>
      <c r="K1742" s="1303">
        <v>2.8902502390545197E-3</v>
      </c>
      <c r="L1742" s="1288">
        <v>2.0000014435205492E-3</v>
      </c>
      <c r="M1742" s="1230">
        <v>2.0000014435205492E-3</v>
      </c>
      <c r="N1742" s="1303">
        <v>2.4717233164545431E-2</v>
      </c>
      <c r="O1742" s="1288">
        <v>7.3285100124201594E-3</v>
      </c>
      <c r="P1742" s="1237">
        <v>3.6642550062100797E-3</v>
      </c>
      <c r="Q1742" s="1290">
        <v>2.0432452833293854E-2</v>
      </c>
    </row>
    <row r="1743" spans="1:17" s="212" customFormat="1" ht="15.5" x14ac:dyDescent="0.35">
      <c r="A1743" s="198">
        <v>2043</v>
      </c>
      <c r="B1743" s="197" t="s">
        <v>5838</v>
      </c>
      <c r="C1743" s="197">
        <v>2018</v>
      </c>
      <c r="D1743" s="225" t="str">
        <f t="shared" si="18"/>
        <v>2043_2018</v>
      </c>
      <c r="E1743" s="1287">
        <v>6.6651450992608136E-2</v>
      </c>
      <c r="F1743" s="1306">
        <v>6.9753722844429966E-3</v>
      </c>
      <c r="G1743" s="1303">
        <v>0.37686634852138756</v>
      </c>
      <c r="H1743" s="1306">
        <v>3.4669923681167177E-2</v>
      </c>
      <c r="I1743" s="1303">
        <v>1.8582546954874192E-2</v>
      </c>
      <c r="J1743" s="1306">
        <v>1.91171968934508E-3</v>
      </c>
      <c r="K1743" s="1303">
        <v>2.8244984115468573E-3</v>
      </c>
      <c r="L1743" s="1288">
        <v>2.0000014434350339E-3</v>
      </c>
      <c r="M1743" s="1230">
        <v>2.0000014434350339E-3</v>
      </c>
      <c r="N1743" s="1303">
        <v>2.3165546244453477E-2</v>
      </c>
      <c r="O1743" s="1288">
        <v>6.5843149591831001E-3</v>
      </c>
      <c r="P1743" s="1237">
        <v>3.29215747959155E-3</v>
      </c>
      <c r="Q1743" s="1290">
        <v>1.9422767269342753E-2</v>
      </c>
    </row>
    <row r="1744" spans="1:17" s="212" customFormat="1" ht="15.5" x14ac:dyDescent="0.35">
      <c r="A1744" s="198">
        <v>2043</v>
      </c>
      <c r="B1744" s="197" t="s">
        <v>5838</v>
      </c>
      <c r="C1744" s="197">
        <v>2019</v>
      </c>
      <c r="D1744" s="225" t="str">
        <f t="shared" si="18"/>
        <v>2043_2019</v>
      </c>
      <c r="E1744" s="1287">
        <v>7.3669477263179212E-2</v>
      </c>
      <c r="F1744" s="1306">
        <v>6.8722372219641508E-3</v>
      </c>
      <c r="G1744" s="1303">
        <v>0.37077857312337792</v>
      </c>
      <c r="H1744" s="1306">
        <v>3.4085005950934458E-2</v>
      </c>
      <c r="I1744" s="1303">
        <v>2.0384339148352689E-2</v>
      </c>
      <c r="J1744" s="1306">
        <v>1.8174023122459794E-3</v>
      </c>
      <c r="K1744" s="1303">
        <v>2.9484346499400915E-3</v>
      </c>
      <c r="L1744" s="1288">
        <v>2.0000013802768538E-3</v>
      </c>
      <c r="M1744" s="1230">
        <v>2.0000013802768538E-3</v>
      </c>
      <c r="N1744" s="1303">
        <v>2.6086580650085987E-2</v>
      </c>
      <c r="O1744" s="1288">
        <v>6.6026421402379937E-3</v>
      </c>
      <c r="P1744" s="1237">
        <v>3.3013210701189968E-3</v>
      </c>
      <c r="Q1744" s="1290">
        <v>2.1306028510475944E-2</v>
      </c>
    </row>
    <row r="1745" spans="1:17" s="212" customFormat="1" ht="15.5" x14ac:dyDescent="0.35">
      <c r="A1745" s="198">
        <v>2043</v>
      </c>
      <c r="B1745" s="197" t="s">
        <v>5838</v>
      </c>
      <c r="C1745" s="197">
        <v>2020</v>
      </c>
      <c r="D1745" s="225" t="str">
        <f t="shared" si="18"/>
        <v>2043_2020</v>
      </c>
      <c r="E1745" s="1287">
        <v>6.4115851155881656E-2</v>
      </c>
      <c r="F1745" s="1306">
        <v>6.7541790955436293E-3</v>
      </c>
      <c r="G1745" s="1303">
        <v>0.28817883674724593</v>
      </c>
      <c r="H1745" s="1306">
        <v>3.3158348141561697E-2</v>
      </c>
      <c r="I1745" s="1303">
        <v>1.8407686039936418E-2</v>
      </c>
      <c r="J1745" s="1306">
        <v>1.3506089732589304E-3</v>
      </c>
      <c r="K1745" s="1303">
        <v>2.9232110711711091E-3</v>
      </c>
      <c r="L1745" s="1288">
        <v>2.0000014647151847E-3</v>
      </c>
      <c r="M1745" s="1230">
        <v>2.0000014647151847E-3</v>
      </c>
      <c r="N1745" s="1303">
        <v>2.5499034674762992E-2</v>
      </c>
      <c r="O1745" s="1288">
        <v>6.7140995696128294E-3</v>
      </c>
      <c r="P1745" s="1237">
        <v>3.3570497848064147E-3</v>
      </c>
      <c r="Q1745" s="1290">
        <v>1.9239999919765272E-2</v>
      </c>
    </row>
    <row r="1746" spans="1:17" s="212" customFormat="1" ht="15.5" x14ac:dyDescent="0.35">
      <c r="A1746" s="198">
        <v>2043</v>
      </c>
      <c r="B1746" s="197" t="s">
        <v>5838</v>
      </c>
      <c r="C1746" s="197">
        <v>2021</v>
      </c>
      <c r="D1746" s="225" t="str">
        <f t="shared" si="18"/>
        <v>2043_2021</v>
      </c>
      <c r="E1746" s="1287">
        <v>6.3048508346655541E-2</v>
      </c>
      <c r="F1746" s="1306">
        <v>6.5638388970975627E-3</v>
      </c>
      <c r="G1746" s="1303">
        <v>0.23386532091147233</v>
      </c>
      <c r="H1746" s="1306">
        <v>3.2304266908599881E-2</v>
      </c>
      <c r="I1746" s="1303">
        <v>1.7873717298414218E-2</v>
      </c>
      <c r="J1746" s="1306">
        <v>8.8923588358879137E-4</v>
      </c>
      <c r="K1746" s="1303">
        <v>2.9193874310819621E-3</v>
      </c>
      <c r="L1746" s="1288">
        <v>2.0000014804735502E-3</v>
      </c>
      <c r="M1746" s="1230">
        <v>2.0000014804735502E-3</v>
      </c>
      <c r="N1746" s="1303">
        <v>2.5408396391167581E-2</v>
      </c>
      <c r="O1746" s="1288">
        <v>6.6746149662996234E-3</v>
      </c>
      <c r="P1746" s="1237">
        <v>3.3373074831498117E-3</v>
      </c>
      <c r="Q1746" s="1290">
        <v>1.8681887481202648E-2</v>
      </c>
    </row>
    <row r="1747" spans="1:17" s="212" customFormat="1" ht="15.5" x14ac:dyDescent="0.35">
      <c r="A1747" s="198">
        <v>2043</v>
      </c>
      <c r="B1747" s="197" t="s">
        <v>5838</v>
      </c>
      <c r="C1747" s="197">
        <v>2022</v>
      </c>
      <c r="D1747" s="225" t="str">
        <f t="shared" si="18"/>
        <v>2043_2022</v>
      </c>
      <c r="E1747" s="1287">
        <v>6.2668523768026285E-2</v>
      </c>
      <c r="F1747" s="1306">
        <v>6.4107852585079108E-3</v>
      </c>
      <c r="G1747" s="1303">
        <v>0.18000467599927428</v>
      </c>
      <c r="H1747" s="1306">
        <v>3.1415172907178227E-2</v>
      </c>
      <c r="I1747" s="1303">
        <v>1.7676719691276491E-2</v>
      </c>
      <c r="J1747" s="1306">
        <v>8.8891477790308264E-4</v>
      </c>
      <c r="K1747" s="1303">
        <v>2.9156059176865903E-3</v>
      </c>
      <c r="L1747" s="1288">
        <v>2.0000014921632728E-3</v>
      </c>
      <c r="M1747" s="1230">
        <v>2.0000014921632728E-3</v>
      </c>
      <c r="N1747" s="1303">
        <v>2.5318346827390148E-2</v>
      </c>
      <c r="O1747" s="1288">
        <v>6.667139455548911E-3</v>
      </c>
      <c r="P1747" s="1237">
        <v>3.3335697277744555E-3</v>
      </c>
      <c r="Q1747" s="1290">
        <v>1.8475982516434102E-2</v>
      </c>
    </row>
    <row r="1748" spans="1:17" s="212" customFormat="1" ht="15.5" x14ac:dyDescent="0.35">
      <c r="A1748" s="198">
        <v>2043</v>
      </c>
      <c r="B1748" s="197" t="s">
        <v>5838</v>
      </c>
      <c r="C1748" s="197">
        <v>2023</v>
      </c>
      <c r="D1748" s="225" t="str">
        <f t="shared" si="18"/>
        <v>2043_2023</v>
      </c>
      <c r="E1748" s="1287">
        <v>6.225694822884234E-2</v>
      </c>
      <c r="F1748" s="1306">
        <v>6.1226488474556209E-3</v>
      </c>
      <c r="G1748" s="1303">
        <v>0.17826067012970215</v>
      </c>
      <c r="H1748" s="1306">
        <v>3.0538263542135315E-2</v>
      </c>
      <c r="I1748" s="1303">
        <v>1.7442739875098076E-2</v>
      </c>
      <c r="J1748" s="1306">
        <v>8.8859707897768721E-4</v>
      </c>
      <c r="K1748" s="1303">
        <v>2.9123356259401763E-3</v>
      </c>
      <c r="L1748" s="1288">
        <v>2.0000015037155545E-3</v>
      </c>
      <c r="M1748" s="1230">
        <v>2.0000015037155545E-3</v>
      </c>
      <c r="N1748" s="1303">
        <v>2.5239889382202101E-2</v>
      </c>
      <c r="O1748" s="1288">
        <v>6.6512232093275479E-3</v>
      </c>
      <c r="P1748" s="1237">
        <v>3.3256116046637739E-3</v>
      </c>
      <c r="Q1748" s="1290">
        <v>1.8231423171238215E-2</v>
      </c>
    </row>
    <row r="1749" spans="1:17" s="212" customFormat="1" ht="15.5" x14ac:dyDescent="0.35">
      <c r="A1749" s="198">
        <v>2043</v>
      </c>
      <c r="B1749" s="197" t="s">
        <v>5838</v>
      </c>
      <c r="C1749" s="197">
        <v>2024</v>
      </c>
      <c r="D1749" s="225" t="str">
        <f t="shared" si="18"/>
        <v>2043_2024</v>
      </c>
      <c r="E1749" s="1287">
        <v>6.1511505685822324E-2</v>
      </c>
      <c r="F1749" s="1306">
        <v>5.5583395823188969E-3</v>
      </c>
      <c r="G1749" s="1303">
        <v>0.17539841818352592</v>
      </c>
      <c r="H1749" s="1306">
        <v>2.9314012408261307E-2</v>
      </c>
      <c r="I1749" s="1303">
        <v>1.708258846558211E-2</v>
      </c>
      <c r="J1749" s="1306">
        <v>8.867703354808298E-4</v>
      </c>
      <c r="K1749" s="1303">
        <v>2.9045648610955092E-3</v>
      </c>
      <c r="L1749" s="1288">
        <v>2.00000152121889E-3</v>
      </c>
      <c r="M1749" s="1305">
        <v>2.0000005733680709E-3</v>
      </c>
      <c r="N1749" s="1303">
        <v>2.5055141425664226E-2</v>
      </c>
      <c r="O1749" s="1288">
        <v>6.480810022551786E-3</v>
      </c>
      <c r="P1749" s="1301">
        <v>3.8215746802613493E-3</v>
      </c>
      <c r="Q1749" s="1290">
        <v>1.7854987313132047E-2</v>
      </c>
    </row>
    <row r="1750" spans="1:17" s="212" customFormat="1" ht="15.5" x14ac:dyDescent="0.35">
      <c r="A1750" s="198">
        <v>2043</v>
      </c>
      <c r="B1750" s="197" t="s">
        <v>5838</v>
      </c>
      <c r="C1750" s="197">
        <v>2025</v>
      </c>
      <c r="D1750" s="225" t="str">
        <f t="shared" si="18"/>
        <v>2043_2025</v>
      </c>
      <c r="E1750" s="1287">
        <v>6.086631202266822E-2</v>
      </c>
      <c r="F1750" s="1306">
        <v>5.0649711513635395E-3</v>
      </c>
      <c r="G1750" s="1303">
        <v>0.17272997723372235</v>
      </c>
      <c r="H1750" s="1306">
        <v>2.8230953938636366E-2</v>
      </c>
      <c r="I1750" s="1303">
        <v>1.6726153215423801E-2</v>
      </c>
      <c r="J1750" s="1306">
        <v>8.858915688537062E-4</v>
      </c>
      <c r="K1750" s="1303">
        <v>2.8994625478869179E-3</v>
      </c>
      <c r="L1750" s="1288">
        <v>2.0000015380986333E-3</v>
      </c>
      <c r="M1750" s="1305">
        <v>2.0000005734021257E-3</v>
      </c>
      <c r="N1750" s="1303">
        <v>2.4932598518562627E-2</v>
      </c>
      <c r="O1750" s="1288">
        <v>6.3850001879714458E-3</v>
      </c>
      <c r="P1750" s="1301">
        <v>4.2790836293069038E-3</v>
      </c>
      <c r="Q1750" s="1290">
        <v>1.7482435642619632E-2</v>
      </c>
    </row>
    <row r="1751" spans="1:17" s="212" customFormat="1" ht="15.5" x14ac:dyDescent="0.35">
      <c r="A1751" s="198">
        <v>2043</v>
      </c>
      <c r="B1751" s="197" t="s">
        <v>5838</v>
      </c>
      <c r="C1751" s="197">
        <v>2026</v>
      </c>
      <c r="D1751" s="225" t="str">
        <f t="shared" si="18"/>
        <v>2043_2026</v>
      </c>
      <c r="E1751" s="1287">
        <v>5.9966435583012047E-2</v>
      </c>
      <c r="F1751" s="1306">
        <v>5.0711282597548637E-3</v>
      </c>
      <c r="G1751" s="1303">
        <v>0.16919423342194007</v>
      </c>
      <c r="H1751" s="1306">
        <v>2.7988303804560792E-2</v>
      </c>
      <c r="I1751" s="1303">
        <v>1.6269909340341272E-2</v>
      </c>
      <c r="J1751" s="1306">
        <v>7.7183573070799141E-4</v>
      </c>
      <c r="K1751" s="1303">
        <v>2.8910794656669108E-3</v>
      </c>
      <c r="L1751" s="1288">
        <v>2.0000015600750219E-3</v>
      </c>
      <c r="M1751" s="1305">
        <v>2.0000005734644158E-3</v>
      </c>
      <c r="N1751" s="1303">
        <v>2.4732111766981708E-2</v>
      </c>
      <c r="O1751" s="1288">
        <v>6.2102775530840067E-3</v>
      </c>
      <c r="P1751" s="1301">
        <v>5.1190001085219079E-3</v>
      </c>
      <c r="Q1751" s="1290">
        <v>1.700556244405806E-2</v>
      </c>
    </row>
    <row r="1752" spans="1:17" s="212" customFormat="1" ht="15.5" x14ac:dyDescent="0.35">
      <c r="A1752" s="198">
        <v>2043</v>
      </c>
      <c r="B1752" s="197" t="s">
        <v>5838</v>
      </c>
      <c r="C1752" s="197">
        <v>2027</v>
      </c>
      <c r="D1752" s="225" t="str">
        <f t="shared" si="18"/>
        <v>2043_2027</v>
      </c>
      <c r="E1752" s="1287">
        <v>5.8904438396460028E-2</v>
      </c>
      <c r="F1752" s="1306">
        <v>5.1040832624238332E-3</v>
      </c>
      <c r="G1752" s="1303">
        <v>0.1650785360394755</v>
      </c>
      <c r="H1752" s="1306">
        <v>2.7735711817280795E-2</v>
      </c>
      <c r="I1752" s="1303">
        <v>1.5743331948847122E-2</v>
      </c>
      <c r="J1752" s="1306">
        <v>6.3696575108145991E-4</v>
      </c>
      <c r="K1752" s="1303">
        <v>2.8808899272288529E-3</v>
      </c>
      <c r="L1752" s="1288">
        <v>2.0000015793365669E-3</v>
      </c>
      <c r="M1752" s="1305">
        <v>2.0000005735269469E-3</v>
      </c>
      <c r="N1752" s="1303">
        <v>2.448802324848736E-2</v>
      </c>
      <c r="O1752" s="1288">
        <v>6.0180252137034046E-3</v>
      </c>
      <c r="P1752" s="1301">
        <v>5.9597132778143047E-3</v>
      </c>
      <c r="Q1752" s="1290">
        <v>1.6455175559573206E-2</v>
      </c>
    </row>
    <row r="1753" spans="1:17" s="212" customFormat="1" ht="15.5" x14ac:dyDescent="0.35">
      <c r="A1753" s="198">
        <v>2043</v>
      </c>
      <c r="B1753" s="197" t="s">
        <v>5838</v>
      </c>
      <c r="C1753" s="197">
        <v>2028</v>
      </c>
      <c r="D1753" s="225" t="str">
        <f t="shared" si="18"/>
        <v>2043_2028</v>
      </c>
      <c r="E1753" s="1287">
        <v>5.7746180879503888E-2</v>
      </c>
      <c r="F1753" s="1306">
        <v>5.0669449848188301E-3</v>
      </c>
      <c r="G1753" s="1303">
        <v>0.16058759562007704</v>
      </c>
      <c r="H1753" s="1306">
        <v>2.7361538193407513E-2</v>
      </c>
      <c r="I1753" s="1303">
        <v>1.5167261213858549E-2</v>
      </c>
      <c r="J1753" s="1306">
        <v>5.1967574908046274E-4</v>
      </c>
      <c r="K1753" s="1303">
        <v>2.8699561843313209E-3</v>
      </c>
      <c r="L1753" s="1288">
        <v>2.0000015987233616E-3</v>
      </c>
      <c r="M1753" s="1305">
        <v>2.0000005735726226E-3</v>
      </c>
      <c r="N1753" s="1303">
        <v>2.4225248759956422E-2</v>
      </c>
      <c r="O1753" s="1288">
        <v>5.8403516427400918E-3</v>
      </c>
      <c r="P1753" s="1301">
        <v>6.5628366278299259E-3</v>
      </c>
      <c r="Q1753" s="1290">
        <v>1.5853057462224415E-2</v>
      </c>
    </row>
    <row r="1754" spans="1:17" s="212" customFormat="1" ht="15.5" x14ac:dyDescent="0.35">
      <c r="A1754" s="198">
        <v>2043</v>
      </c>
      <c r="B1754" s="197" t="s">
        <v>5838</v>
      </c>
      <c r="C1754" s="197">
        <v>2029</v>
      </c>
      <c r="D1754" s="225" t="str">
        <f t="shared" si="18"/>
        <v>2043_2029</v>
      </c>
      <c r="E1754" s="1287">
        <v>5.6540399755854287E-2</v>
      </c>
      <c r="F1754" s="1306">
        <v>5.0205733319898709E-3</v>
      </c>
      <c r="G1754" s="1303">
        <v>0.15587152720241237</v>
      </c>
      <c r="H1754" s="1306">
        <v>2.6937876356235305E-2</v>
      </c>
      <c r="I1754" s="1303">
        <v>1.4556824360522381E-2</v>
      </c>
      <c r="J1754" s="1306">
        <v>5.1563096764522121E-4</v>
      </c>
      <c r="K1754" s="1303">
        <v>2.8590713670234584E-3</v>
      </c>
      <c r="L1754" s="1288">
        <v>2.0000016192622274E-3</v>
      </c>
      <c r="M1754" s="1305">
        <v>2.0000005736073713E-3</v>
      </c>
      <c r="N1754" s="1303">
        <v>2.3962393504561998E-2</v>
      </c>
      <c r="O1754" s="1288">
        <v>5.654778826377143E-3</v>
      </c>
      <c r="P1754" s="1301">
        <v>7.0231769580472161E-3</v>
      </c>
      <c r="Q1754" s="1290">
        <v>1.5215019363153838E-2</v>
      </c>
    </row>
    <row r="1755" spans="1:17" s="212" customFormat="1" ht="15.5" x14ac:dyDescent="0.35">
      <c r="A1755" s="198">
        <v>2043</v>
      </c>
      <c r="B1755" s="197" t="s">
        <v>5838</v>
      </c>
      <c r="C1755" s="197">
        <v>2030</v>
      </c>
      <c r="D1755" s="225" t="str">
        <f t="shared" si="18"/>
        <v>2043_2030</v>
      </c>
      <c r="E1755" s="1287">
        <v>5.5178175496291886E-2</v>
      </c>
      <c r="F1755" s="1306">
        <v>4.9769477576209935E-3</v>
      </c>
      <c r="G1755" s="1303">
        <v>0.15062386493672472</v>
      </c>
      <c r="H1755" s="1306">
        <v>2.6466556595448023E-2</v>
      </c>
      <c r="I1755" s="1303">
        <v>1.3884204274528095E-2</v>
      </c>
      <c r="J1755" s="1306">
        <v>5.1191298838603036E-4</v>
      </c>
      <c r="K1755" s="1303">
        <v>2.8463261672013263E-3</v>
      </c>
      <c r="L1755" s="1288">
        <v>2.0000016392270788E-3</v>
      </c>
      <c r="M1755" s="1305">
        <v>2.0000005736319913E-3</v>
      </c>
      <c r="N1755" s="1303">
        <v>2.3654037682197392E-2</v>
      </c>
      <c r="O1755" s="1288">
        <v>5.4779654161408739E-3</v>
      </c>
      <c r="P1755" s="1301">
        <v>7.3461382079395895E-3</v>
      </c>
      <c r="Q1755" s="1290">
        <v>1.4511986381578272E-2</v>
      </c>
    </row>
    <row r="1756" spans="1:17" s="212" customFormat="1" ht="15.5" x14ac:dyDescent="0.35">
      <c r="A1756" s="198">
        <v>2043</v>
      </c>
      <c r="B1756" s="197" t="s">
        <v>5838</v>
      </c>
      <c r="C1756" s="197">
        <v>2031</v>
      </c>
      <c r="D1756" s="225" t="str">
        <f t="shared" si="18"/>
        <v>2043_2031</v>
      </c>
      <c r="E1756" s="1287">
        <v>5.3765465506857527E-2</v>
      </c>
      <c r="F1756" s="1306">
        <v>4.8762086645510764E-3</v>
      </c>
      <c r="G1756" s="1303">
        <v>0.14516079270065846</v>
      </c>
      <c r="H1756" s="1306">
        <v>2.5899147161865338E-2</v>
      </c>
      <c r="I1756" s="1303">
        <v>1.3180320727602101E-2</v>
      </c>
      <c r="J1756" s="1306">
        <v>5.0805440144690802E-4</v>
      </c>
      <c r="K1756" s="1303">
        <v>2.8334814783242436E-3</v>
      </c>
      <c r="L1756" s="1288">
        <v>2.000001658253672E-3</v>
      </c>
      <c r="M1756" s="1305">
        <v>2.0000005736637463E-3</v>
      </c>
      <c r="N1756" s="1303">
        <v>2.33416319472298E-2</v>
      </c>
      <c r="O1756" s="1288">
        <v>5.2919159445157671E-3</v>
      </c>
      <c r="P1756" s="1301">
        <v>7.7656071071567643E-3</v>
      </c>
      <c r="Q1756" s="1290">
        <v>1.3776276344097291E-2</v>
      </c>
    </row>
    <row r="1757" spans="1:17" s="212" customFormat="1" ht="15.5" x14ac:dyDescent="0.35">
      <c r="A1757" s="198">
        <v>2043</v>
      </c>
      <c r="B1757" s="197" t="s">
        <v>5838</v>
      </c>
      <c r="C1757" s="197">
        <v>2032</v>
      </c>
      <c r="D1757" s="225" t="str">
        <f t="shared" si="18"/>
        <v>2043_2032</v>
      </c>
      <c r="E1757" s="1287">
        <v>5.2181121997249745E-2</v>
      </c>
      <c r="F1757" s="1306">
        <v>4.7647225264504222E-3</v>
      </c>
      <c r="G1757" s="1303">
        <v>0.13915240475877363</v>
      </c>
      <c r="H1757" s="1306">
        <v>2.5272864790072017E-2</v>
      </c>
      <c r="I1757" s="1303">
        <v>1.241642694606894E-2</v>
      </c>
      <c r="J1757" s="1306">
        <v>5.0426947752861767E-4</v>
      </c>
      <c r="K1757" s="1303">
        <v>2.8183685163842708E-3</v>
      </c>
      <c r="L1757" s="1288">
        <v>2.0000016779205556E-3</v>
      </c>
      <c r="M1757" s="1305">
        <v>2.0000005736904502E-3</v>
      </c>
      <c r="N1757" s="1303">
        <v>2.297336754218951E-2</v>
      </c>
      <c r="O1757" s="1288">
        <v>5.1042021091260922E-3</v>
      </c>
      <c r="P1757" s="1301">
        <v>8.1188132088313054E-3</v>
      </c>
      <c r="Q1757" s="1290">
        <v>1.2977842675491562E-2</v>
      </c>
    </row>
    <row r="1758" spans="1:17" s="212" customFormat="1" ht="15.5" x14ac:dyDescent="0.35">
      <c r="A1758" s="198">
        <v>2043</v>
      </c>
      <c r="B1758" s="197" t="s">
        <v>5838</v>
      </c>
      <c r="C1758" s="197">
        <v>2033</v>
      </c>
      <c r="D1758" s="225" t="str">
        <f t="shared" si="18"/>
        <v>2043_2033</v>
      </c>
      <c r="E1758" s="1287">
        <v>5.0525201787212946E-2</v>
      </c>
      <c r="F1758" s="1306">
        <v>4.6425859027830205E-3</v>
      </c>
      <c r="G1758" s="1303">
        <v>0.13289600188096798</v>
      </c>
      <c r="H1758" s="1306">
        <v>2.4588759102636193E-2</v>
      </c>
      <c r="I1758" s="1303">
        <v>1.1621509118899715E-2</v>
      </c>
      <c r="J1758" s="1306">
        <v>5.0035687366093914E-4</v>
      </c>
      <c r="K1758" s="1303">
        <v>2.8026512041411863E-3</v>
      </c>
      <c r="L1758" s="1288">
        <v>2.0000016975131288E-3</v>
      </c>
      <c r="M1758" s="1305">
        <v>2.0000005737132493E-3</v>
      </c>
      <c r="N1758" s="1303">
        <v>2.2588473065356801E-2</v>
      </c>
      <c r="O1758" s="1288">
        <v>4.9073486737623434E-3</v>
      </c>
      <c r="P1758" s="1301">
        <v>8.4256153243322494E-3</v>
      </c>
      <c r="Q1758" s="1290">
        <v>1.2146982191573454E-2</v>
      </c>
    </row>
    <row r="1759" spans="1:17" s="212" customFormat="1" ht="15.5" x14ac:dyDescent="0.35">
      <c r="A1759" s="198">
        <v>2043</v>
      </c>
      <c r="B1759" s="197" t="s">
        <v>5838</v>
      </c>
      <c r="C1759" s="197">
        <v>2034</v>
      </c>
      <c r="D1759" s="225" t="str">
        <f t="shared" si="18"/>
        <v>2043_2034</v>
      </c>
      <c r="E1759" s="1287">
        <v>4.863279511285281E-2</v>
      </c>
      <c r="F1759" s="1306">
        <v>4.5083283537524169E-3</v>
      </c>
      <c r="G1759" s="1303">
        <v>0.12595848739287915</v>
      </c>
      <c r="H1759" s="1306">
        <v>2.3835847436774915E-2</v>
      </c>
      <c r="I1759" s="1303">
        <v>1.0760085650554953E-2</v>
      </c>
      <c r="J1759" s="1306">
        <v>4.9676333523094294E-4</v>
      </c>
      <c r="K1759" s="1303">
        <v>2.783265825042383E-3</v>
      </c>
      <c r="L1759" s="1288">
        <v>2.0000017199003658E-3</v>
      </c>
      <c r="M1759" s="1305">
        <v>2.0000005737331808E-3</v>
      </c>
      <c r="N1759" s="1303">
        <v>2.2113550654095725E-2</v>
      </c>
      <c r="O1759" s="1288">
        <v>4.7158887526103487E-3</v>
      </c>
      <c r="P1759" s="1301">
        <v>8.692403458389987E-3</v>
      </c>
      <c r="Q1759" s="1290">
        <v>1.124660897650011E-2</v>
      </c>
    </row>
    <row r="1760" spans="1:17" s="212" customFormat="1" ht="15.5" x14ac:dyDescent="0.35">
      <c r="A1760" s="198">
        <v>2043</v>
      </c>
      <c r="B1760" s="197" t="s">
        <v>5838</v>
      </c>
      <c r="C1760" s="197">
        <v>2035</v>
      </c>
      <c r="D1760" s="225" t="str">
        <f t="shared" si="18"/>
        <v>2043_2035</v>
      </c>
      <c r="E1760" s="1287">
        <v>4.6675072812557283E-2</v>
      </c>
      <c r="F1760" s="1306">
        <v>4.3597010409704351E-3</v>
      </c>
      <c r="G1760" s="1303">
        <v>0.11883544648535251</v>
      </c>
      <c r="H1760" s="1306">
        <v>2.3009880872994912E-2</v>
      </c>
      <c r="I1760" s="1303">
        <v>9.8785293081718375E-3</v>
      </c>
      <c r="J1760" s="1306">
        <v>4.9334594398528866E-4</v>
      </c>
      <c r="K1760" s="1303">
        <v>2.7631808186279389E-3</v>
      </c>
      <c r="L1760" s="1288">
        <v>2.0000017357451111E-3</v>
      </c>
      <c r="M1760" s="1305">
        <v>2.0000005737535478E-3</v>
      </c>
      <c r="N1760" s="1303">
        <v>2.1618499150180385E-2</v>
      </c>
      <c r="O1760" s="1288">
        <v>4.5298349287325543E-3</v>
      </c>
      <c r="P1760" s="1301">
        <v>8.9566578721495815E-3</v>
      </c>
      <c r="Q1760" s="1290">
        <v>1.0325192568162786E-2</v>
      </c>
    </row>
    <row r="1761" spans="1:17" s="212" customFormat="1" ht="15.5" x14ac:dyDescent="0.35">
      <c r="A1761" s="198">
        <v>2043</v>
      </c>
      <c r="B1761" s="197" t="s">
        <v>5838</v>
      </c>
      <c r="C1761" s="197">
        <v>2036</v>
      </c>
      <c r="D1761" s="225" t="str">
        <f t="shared" si="18"/>
        <v>2043_2036</v>
      </c>
      <c r="E1761" s="1287">
        <v>4.5613195478710296E-2</v>
      </c>
      <c r="F1761" s="1306">
        <v>4.1889890136096288E-3</v>
      </c>
      <c r="G1761" s="1303">
        <v>0.11402879386807178</v>
      </c>
      <c r="H1761" s="1306">
        <v>2.2059004331262656E-2</v>
      </c>
      <c r="I1761" s="1303">
        <v>9.1800599203156457E-3</v>
      </c>
      <c r="J1761" s="1306">
        <v>4.9325310233838552E-4</v>
      </c>
      <c r="K1761" s="1303">
        <v>2.7602079211858917E-3</v>
      </c>
      <c r="L1761" s="1288">
        <v>2.0000017480610427E-3</v>
      </c>
      <c r="M1761" s="1305">
        <v>2.0000005737517627E-3</v>
      </c>
      <c r="N1761" s="1303">
        <v>2.1531882781305901E-2</v>
      </c>
      <c r="O1761" s="1288">
        <v>4.4643160660411668E-3</v>
      </c>
      <c r="P1761" s="1301">
        <v>8.9297696605644683E-3</v>
      </c>
      <c r="Q1761" s="1290">
        <v>9.5951414939997523E-3</v>
      </c>
    </row>
    <row r="1762" spans="1:17" s="212" customFormat="1" ht="15.5" x14ac:dyDescent="0.35">
      <c r="A1762" s="198">
        <v>2043</v>
      </c>
      <c r="B1762" s="197" t="s">
        <v>5838</v>
      </c>
      <c r="C1762" s="197">
        <v>2037</v>
      </c>
      <c r="D1762" s="225" t="str">
        <f t="shared" si="18"/>
        <v>2043_2037</v>
      </c>
      <c r="E1762" s="1287">
        <v>4.4536215589813168E-2</v>
      </c>
      <c r="F1762" s="1306">
        <v>4.0095023839482576E-3</v>
      </c>
      <c r="G1762" s="1303">
        <v>0.10907822665083189</v>
      </c>
      <c r="H1762" s="1306">
        <v>2.1055694206942761E-2</v>
      </c>
      <c r="I1762" s="1303">
        <v>8.4534185513264019E-3</v>
      </c>
      <c r="J1762" s="1306">
        <v>4.9313674888556058E-4</v>
      </c>
      <c r="K1762" s="1303">
        <v>2.7578876463284353E-3</v>
      </c>
      <c r="L1762" s="1288">
        <v>2.0000017632168096E-3</v>
      </c>
      <c r="M1762" s="1305">
        <v>2.0000005737493649E-3</v>
      </c>
      <c r="N1762" s="1303">
        <v>2.1459887478188402E-2</v>
      </c>
      <c r="O1762" s="1288">
        <v>4.3917945839496743E-3</v>
      </c>
      <c r="P1762" s="1301">
        <v>8.9007267678138501E-3</v>
      </c>
      <c r="Q1762" s="1290">
        <v>8.8356446267281522E-3</v>
      </c>
    </row>
    <row r="1763" spans="1:17" s="212" customFormat="1" ht="15.5" x14ac:dyDescent="0.35">
      <c r="A1763" s="198">
        <v>2043</v>
      </c>
      <c r="B1763" s="197" t="s">
        <v>5838</v>
      </c>
      <c r="C1763" s="197">
        <v>2038</v>
      </c>
      <c r="D1763" s="225" t="str">
        <f t="shared" si="18"/>
        <v>2043_2038</v>
      </c>
      <c r="E1763" s="1287">
        <v>4.3345498273097229E-2</v>
      </c>
      <c r="F1763" s="1306">
        <v>3.8227237663627719E-3</v>
      </c>
      <c r="G1763" s="1303">
        <v>0.10373656798801854</v>
      </c>
      <c r="H1763" s="1306">
        <v>2.0009223816070874E-2</v>
      </c>
      <c r="I1763" s="1303">
        <v>7.6796900750700538E-3</v>
      </c>
      <c r="J1763" s="1306">
        <v>4.9287160513111859E-4</v>
      </c>
      <c r="K1763" s="1303">
        <v>2.7543497297403234E-3</v>
      </c>
      <c r="L1763" s="1288">
        <v>2.000001782642626E-3</v>
      </c>
      <c r="M1763" s="1305">
        <v>2.0000005737455836E-3</v>
      </c>
      <c r="N1763" s="1303">
        <v>2.1357399432427406E-2</v>
      </c>
      <c r="O1763" s="1288">
        <v>4.3073362145112674E-3</v>
      </c>
      <c r="P1763" s="1301">
        <v>8.8501219772927787E-3</v>
      </c>
      <c r="Q1763" s="1290">
        <v>8.0269315821447015E-3</v>
      </c>
    </row>
    <row r="1764" spans="1:17" s="212" customFormat="1" ht="15.5" x14ac:dyDescent="0.35">
      <c r="A1764" s="198">
        <v>2043</v>
      </c>
      <c r="B1764" s="197" t="s">
        <v>5838</v>
      </c>
      <c r="C1764" s="197">
        <v>2039</v>
      </c>
      <c r="D1764" s="225" t="str">
        <f t="shared" si="18"/>
        <v>2043_2039</v>
      </c>
      <c r="E1764" s="1287">
        <v>4.2248828460368933E-2</v>
      </c>
      <c r="F1764" s="1306">
        <v>3.6278040450636903E-3</v>
      </c>
      <c r="G1764" s="1303">
        <v>9.8514401697634896E-2</v>
      </c>
      <c r="H1764" s="1306">
        <v>1.8918098162466597E-2</v>
      </c>
      <c r="I1764" s="1303">
        <v>6.8963298311837708E-3</v>
      </c>
      <c r="J1764" s="1306">
        <v>4.9318925662123988E-4</v>
      </c>
      <c r="K1764" s="1303">
        <v>2.7536073592487964E-3</v>
      </c>
      <c r="L1764" s="1288">
        <v>2.0000018026232486E-3</v>
      </c>
      <c r="M1764" s="1305">
        <v>2.00000057374427E-3</v>
      </c>
      <c r="N1764" s="1303">
        <v>2.1321345637125125E-2</v>
      </c>
      <c r="O1764" s="1288">
        <v>4.2410787976451363E-3</v>
      </c>
      <c r="P1764" s="1301">
        <v>8.8500262252193245E-3</v>
      </c>
      <c r="Q1764" s="1290">
        <v>7.2081512641395005E-3</v>
      </c>
    </row>
    <row r="1765" spans="1:17" s="212" customFormat="1" ht="15.5" x14ac:dyDescent="0.35">
      <c r="A1765" s="198">
        <v>2043</v>
      </c>
      <c r="B1765" s="197" t="s">
        <v>5838</v>
      </c>
      <c r="C1765" s="197">
        <v>2040</v>
      </c>
      <c r="D1765" s="225" t="str">
        <f t="shared" si="18"/>
        <v>2043_2040</v>
      </c>
      <c r="E1765" s="1287">
        <v>4.1131723157022584E-2</v>
      </c>
      <c r="F1765" s="1306">
        <v>3.4298301306453028E-3</v>
      </c>
      <c r="G1765" s="1303">
        <v>9.3114592318364289E-2</v>
      </c>
      <c r="H1765" s="1306">
        <v>1.7804081542804284E-2</v>
      </c>
      <c r="I1765" s="1303">
        <v>6.0794511848119145E-3</v>
      </c>
      <c r="J1765" s="1306">
        <v>4.9364172742774235E-4</v>
      </c>
      <c r="K1765" s="1303">
        <v>2.7535131873156773E-3</v>
      </c>
      <c r="L1765" s="1288">
        <v>2.0000018330979473E-3</v>
      </c>
      <c r="M1765" s="1305">
        <v>2.0000005737426554E-3</v>
      </c>
      <c r="N1765" s="1303">
        <v>2.1300352876598153E-2</v>
      </c>
      <c r="O1765" s="1288">
        <v>4.1691439232893574E-3</v>
      </c>
      <c r="P1765" s="1301">
        <v>8.8485888729706481E-3</v>
      </c>
      <c r="Q1765" s="1290">
        <v>6.3543369902240212E-3</v>
      </c>
    </row>
    <row r="1766" spans="1:17" s="212" customFormat="1" ht="15.5" x14ac:dyDescent="0.35">
      <c r="A1766" s="198">
        <v>2043</v>
      </c>
      <c r="B1766" s="197" t="s">
        <v>5838</v>
      </c>
      <c r="C1766" s="197">
        <v>2041</v>
      </c>
      <c r="D1766" s="225" t="str">
        <f t="shared" si="18"/>
        <v>2043_2041</v>
      </c>
      <c r="E1766" s="1287">
        <v>3.9861468819461746E-2</v>
      </c>
      <c r="F1766" s="1306">
        <v>3.22893815606968E-3</v>
      </c>
      <c r="G1766" s="1303">
        <v>8.723503334998324E-2</v>
      </c>
      <c r="H1766" s="1306">
        <v>1.6667471189637208E-2</v>
      </c>
      <c r="I1766" s="1303">
        <v>5.2102186171001869E-3</v>
      </c>
      <c r="J1766" s="1306">
        <v>4.9416754235130189E-4</v>
      </c>
      <c r="K1766" s="1303">
        <v>2.7513776277854696E-3</v>
      </c>
      <c r="L1766" s="1288">
        <v>2.0000018804784002E-3</v>
      </c>
      <c r="M1766" s="1305">
        <v>2.0000005737385003E-3</v>
      </c>
      <c r="N1766" s="1303">
        <v>2.1229082010912066E-2</v>
      </c>
      <c r="O1766" s="1288">
        <v>4.0852287176217777E-3</v>
      </c>
      <c r="P1766" s="1301">
        <v>8.8187232505571814E-3</v>
      </c>
      <c r="Q1766" s="1290">
        <v>5.4458015829627546E-3</v>
      </c>
    </row>
    <row r="1767" spans="1:17" s="212" customFormat="1" ht="15.5" x14ac:dyDescent="0.35">
      <c r="A1767" s="198">
        <v>2043</v>
      </c>
      <c r="B1767" s="197" t="s">
        <v>5838</v>
      </c>
      <c r="C1767" s="197">
        <v>2042</v>
      </c>
      <c r="D1767" s="225" t="str">
        <f t="shared" si="18"/>
        <v>2043_2042</v>
      </c>
      <c r="E1767" s="1287">
        <v>3.8582268152363652E-2</v>
      </c>
      <c r="F1767" s="1306">
        <v>3.0143460359754251E-3</v>
      </c>
      <c r="G1767" s="1303">
        <v>8.121343037708155E-2</v>
      </c>
      <c r="H1767" s="1306">
        <v>1.5472198413429871E-2</v>
      </c>
      <c r="I1767" s="1303">
        <v>4.3104955963165249E-3</v>
      </c>
      <c r="J1767" s="1306">
        <v>4.9438373466555684E-4</v>
      </c>
      <c r="K1767" s="1303">
        <v>2.7501440402258447E-3</v>
      </c>
      <c r="L1767" s="1288">
        <v>2.0000019201498347E-3</v>
      </c>
      <c r="M1767" s="1305">
        <v>2.0000005737305579E-3</v>
      </c>
      <c r="N1767" s="1303">
        <v>2.1178435743511713E-2</v>
      </c>
      <c r="O1767" s="1288">
        <v>3.9921512494023089E-3</v>
      </c>
      <c r="P1767" s="1301">
        <v>8.7865828021125615E-3</v>
      </c>
      <c r="Q1767" s="1290">
        <v>4.5053970796410363E-3</v>
      </c>
    </row>
    <row r="1768" spans="1:17" s="212" customFormat="1" ht="15.5" x14ac:dyDescent="0.35">
      <c r="A1768" s="198">
        <v>2043</v>
      </c>
      <c r="B1768" s="197" t="s">
        <v>5838</v>
      </c>
      <c r="C1768" s="197">
        <v>2043</v>
      </c>
      <c r="D1768" s="225" t="str">
        <f t="shared" si="18"/>
        <v>2043_2043</v>
      </c>
      <c r="E1768" s="1287">
        <v>3.6115240922540752E-2</v>
      </c>
      <c r="F1768" s="1306">
        <v>2.7765095503722828E-3</v>
      </c>
      <c r="G1768" s="1303">
        <v>7.2661058569723047E-2</v>
      </c>
      <c r="H1768" s="1306">
        <v>1.4119814597125835E-2</v>
      </c>
      <c r="I1768" s="1303">
        <v>3.2771789661973777E-3</v>
      </c>
      <c r="J1768" s="1306">
        <v>4.9121864381268011E-4</v>
      </c>
      <c r="K1768" s="1303">
        <v>2.7242405366528855E-3</v>
      </c>
      <c r="L1768" s="1288">
        <v>2.0000020293116242E-3</v>
      </c>
      <c r="M1768" s="1305">
        <v>2.000000573692299E-3</v>
      </c>
      <c r="N1768" s="1303">
        <v>2.0522229205684542E-2</v>
      </c>
      <c r="O1768" s="1288">
        <v>3.7179183532990295E-3</v>
      </c>
      <c r="P1768" s="1301">
        <v>8.2866881423258026E-3</v>
      </c>
      <c r="Q1768" s="1290">
        <v>3.4253584567825401E-3</v>
      </c>
    </row>
    <row r="1769" spans="1:17" s="212" customFormat="1" ht="15.5" x14ac:dyDescent="0.35">
      <c r="A1769" s="198">
        <v>2043</v>
      </c>
      <c r="B1769" s="197" t="s">
        <v>5838</v>
      </c>
      <c r="C1769" s="197">
        <v>2044</v>
      </c>
      <c r="D1769" s="225" t="str">
        <f t="shared" si="18"/>
        <v>2043_2044</v>
      </c>
      <c r="E1769" s="1291">
        <v>3.6115240922540752E-2</v>
      </c>
      <c r="F1769" s="1280">
        <v>2.7765095503722828E-3</v>
      </c>
      <c r="G1769" s="1271">
        <v>7.2661058569723047E-2</v>
      </c>
      <c r="H1769" s="1280">
        <v>1.4119814597125835E-2</v>
      </c>
      <c r="I1769" s="1271">
        <v>3.2771789661973777E-3</v>
      </c>
      <c r="J1769" s="1280">
        <v>4.9121864381268011E-4</v>
      </c>
      <c r="K1769" s="1271">
        <v>2.7242405366528855E-3</v>
      </c>
      <c r="L1769" s="1257">
        <v>2.0000020293116242E-3</v>
      </c>
      <c r="M1769" s="1280">
        <v>2.000000573692299E-3</v>
      </c>
      <c r="N1769" s="1271">
        <v>2.0522229205684542E-2</v>
      </c>
      <c r="O1769" s="1257">
        <v>3.7179183532990295E-3</v>
      </c>
      <c r="P1769" s="1293">
        <v>8.2866881423258026E-3</v>
      </c>
      <c r="Q1769" s="1292">
        <v>3.4253584567825401E-3</v>
      </c>
    </row>
    <row r="1770" spans="1:17" s="212" customFormat="1" ht="15.5" x14ac:dyDescent="0.35">
      <c r="A1770" s="198">
        <v>2044</v>
      </c>
      <c r="B1770" s="197" t="s">
        <v>5838</v>
      </c>
      <c r="C1770" s="197">
        <v>1971</v>
      </c>
      <c r="D1770" s="225" t="str">
        <f t="shared" si="18"/>
        <v>2044_1971</v>
      </c>
      <c r="E1770" s="1291">
        <v>0.37533867233060936</v>
      </c>
      <c r="F1770" s="1280">
        <v>0.12227320042365776</v>
      </c>
      <c r="G1770" s="1271">
        <v>9.2309034653224753</v>
      </c>
      <c r="H1770" s="1280">
        <v>0.97341811373463316</v>
      </c>
      <c r="I1770" s="1271">
        <v>5.3781158707809404E-2</v>
      </c>
      <c r="J1770" s="1280">
        <v>2.7839920873881457E-3</v>
      </c>
      <c r="K1770" s="1271">
        <v>2.9990233638787036E-3</v>
      </c>
      <c r="L1770" s="1257">
        <v>2.0000012307904687E-3</v>
      </c>
      <c r="M1770" s="1280">
        <v>2.0000012307904687E-3</v>
      </c>
      <c r="N1770" s="1271">
        <v>2.7276892308179673E-2</v>
      </c>
      <c r="O1770" s="1257">
        <v>8.4569710914044922E-3</v>
      </c>
      <c r="P1770" s="1293">
        <v>4.2284855457022461E-3</v>
      </c>
      <c r="Q1770" s="1292">
        <v>5.6212904054219366E-2</v>
      </c>
    </row>
    <row r="1771" spans="1:17" s="212" customFormat="1" ht="15.5" x14ac:dyDescent="0.35">
      <c r="A1771" s="198">
        <v>2044</v>
      </c>
      <c r="B1771" s="197" t="s">
        <v>5838</v>
      </c>
      <c r="C1771" s="197">
        <v>1972</v>
      </c>
      <c r="D1771" s="225" t="str">
        <f t="shared" si="18"/>
        <v>2044_1972</v>
      </c>
      <c r="E1771" s="1291">
        <v>0.37533867233060936</v>
      </c>
      <c r="F1771" s="1280">
        <v>0.12227320042365776</v>
      </c>
      <c r="G1771" s="1271">
        <v>9.2309034653224753</v>
      </c>
      <c r="H1771" s="1280">
        <v>0.97341811373463316</v>
      </c>
      <c r="I1771" s="1271">
        <v>5.3781158707809404E-2</v>
      </c>
      <c r="J1771" s="1280">
        <v>2.7839920873881457E-3</v>
      </c>
      <c r="K1771" s="1271">
        <v>2.9990233638787036E-3</v>
      </c>
      <c r="L1771" s="1257">
        <v>2.0000012307904687E-3</v>
      </c>
      <c r="M1771" s="1280">
        <v>2.0000012307904687E-3</v>
      </c>
      <c r="N1771" s="1271">
        <v>2.7276892308179673E-2</v>
      </c>
      <c r="O1771" s="1257">
        <v>8.4569710914044922E-3</v>
      </c>
      <c r="P1771" s="1293">
        <v>4.2284855457022461E-3</v>
      </c>
      <c r="Q1771" s="1292">
        <v>5.6212904054219366E-2</v>
      </c>
    </row>
    <row r="1772" spans="1:17" s="212" customFormat="1" ht="15.5" x14ac:dyDescent="0.35">
      <c r="A1772" s="198">
        <v>2044</v>
      </c>
      <c r="B1772" s="197" t="s">
        <v>5838</v>
      </c>
      <c r="C1772" s="197">
        <v>1973</v>
      </c>
      <c r="D1772" s="225" t="str">
        <f t="shared" si="18"/>
        <v>2044_1973</v>
      </c>
      <c r="E1772" s="1291">
        <v>0.37533867233060936</v>
      </c>
      <c r="F1772" s="1280">
        <v>0.12227320042365776</v>
      </c>
      <c r="G1772" s="1271">
        <v>9.2309034653224753</v>
      </c>
      <c r="H1772" s="1280">
        <v>0.97341811373463316</v>
      </c>
      <c r="I1772" s="1271">
        <v>5.3781158707809404E-2</v>
      </c>
      <c r="J1772" s="1280">
        <v>2.7839920873881457E-3</v>
      </c>
      <c r="K1772" s="1271">
        <v>2.9990233638787036E-3</v>
      </c>
      <c r="L1772" s="1257">
        <v>2.0000012307904687E-3</v>
      </c>
      <c r="M1772" s="1280">
        <v>2.0000012307904687E-3</v>
      </c>
      <c r="N1772" s="1271">
        <v>2.7276892308179673E-2</v>
      </c>
      <c r="O1772" s="1257">
        <v>8.4569710914044922E-3</v>
      </c>
      <c r="P1772" s="1293">
        <v>4.2284855457022461E-3</v>
      </c>
      <c r="Q1772" s="1292">
        <v>5.6212904054219366E-2</v>
      </c>
    </row>
    <row r="1773" spans="1:17" s="212" customFormat="1" ht="15.5" x14ac:dyDescent="0.35">
      <c r="A1773" s="198">
        <v>2044</v>
      </c>
      <c r="B1773" s="197" t="s">
        <v>5838</v>
      </c>
      <c r="C1773" s="197">
        <v>1974</v>
      </c>
      <c r="D1773" s="225" t="str">
        <f t="shared" si="18"/>
        <v>2044_1974</v>
      </c>
      <c r="E1773" s="1291">
        <v>0.37533867233060936</v>
      </c>
      <c r="F1773" s="1280">
        <v>0.12227320042365776</v>
      </c>
      <c r="G1773" s="1271">
        <v>9.2309034653224753</v>
      </c>
      <c r="H1773" s="1280">
        <v>0.97341811373463316</v>
      </c>
      <c r="I1773" s="1271">
        <v>5.3781158707809404E-2</v>
      </c>
      <c r="J1773" s="1280">
        <v>2.7839920873881457E-3</v>
      </c>
      <c r="K1773" s="1271">
        <v>2.9990233638787036E-3</v>
      </c>
      <c r="L1773" s="1257">
        <v>2.0000012307904687E-3</v>
      </c>
      <c r="M1773" s="1280">
        <v>2.0000012307904687E-3</v>
      </c>
      <c r="N1773" s="1271">
        <v>2.7276892308179673E-2</v>
      </c>
      <c r="O1773" s="1257">
        <v>8.4569710914044922E-3</v>
      </c>
      <c r="P1773" s="1293">
        <v>4.2284855457022461E-3</v>
      </c>
      <c r="Q1773" s="1292">
        <v>5.6212904054219366E-2</v>
      </c>
    </row>
    <row r="1774" spans="1:17" s="212" customFormat="1" ht="15.5" x14ac:dyDescent="0.35">
      <c r="A1774" s="198">
        <v>2044</v>
      </c>
      <c r="B1774" s="197" t="s">
        <v>5838</v>
      </c>
      <c r="C1774" s="197">
        <v>1975</v>
      </c>
      <c r="D1774" s="225" t="str">
        <f t="shared" si="18"/>
        <v>2044_1975</v>
      </c>
      <c r="E1774" s="1291">
        <v>0.37533867233060936</v>
      </c>
      <c r="F1774" s="1280">
        <v>0.12227320042365776</v>
      </c>
      <c r="G1774" s="1271">
        <v>9.2309034653224753</v>
      </c>
      <c r="H1774" s="1280">
        <v>0.97341811373463316</v>
      </c>
      <c r="I1774" s="1271">
        <v>5.3781158707809404E-2</v>
      </c>
      <c r="J1774" s="1280">
        <v>2.7839920873881457E-3</v>
      </c>
      <c r="K1774" s="1271">
        <v>2.9990233638787036E-3</v>
      </c>
      <c r="L1774" s="1257">
        <v>2.0000012307904687E-3</v>
      </c>
      <c r="M1774" s="1280">
        <v>2.0000012307904687E-3</v>
      </c>
      <c r="N1774" s="1271">
        <v>2.7276892308179673E-2</v>
      </c>
      <c r="O1774" s="1257">
        <v>8.4569710914044922E-3</v>
      </c>
      <c r="P1774" s="1293">
        <v>4.2284855457022461E-3</v>
      </c>
      <c r="Q1774" s="1292">
        <v>5.6212904054219366E-2</v>
      </c>
    </row>
    <row r="1775" spans="1:17" s="212" customFormat="1" ht="15.5" x14ac:dyDescent="0.35">
      <c r="A1775" s="198">
        <v>2044</v>
      </c>
      <c r="B1775" s="197" t="s">
        <v>5838</v>
      </c>
      <c r="C1775" s="197">
        <v>1976</v>
      </c>
      <c r="D1775" s="225" t="str">
        <f t="shared" si="18"/>
        <v>2044_1976</v>
      </c>
      <c r="E1775" s="1291">
        <v>0.37533867233060936</v>
      </c>
      <c r="F1775" s="1280">
        <v>0.12227320042365776</v>
      </c>
      <c r="G1775" s="1271">
        <v>9.2309034653224753</v>
      </c>
      <c r="H1775" s="1280">
        <v>0.97341811373463316</v>
      </c>
      <c r="I1775" s="1271">
        <v>5.3781158707809404E-2</v>
      </c>
      <c r="J1775" s="1280">
        <v>2.7839920873881457E-3</v>
      </c>
      <c r="K1775" s="1271">
        <v>2.9990233638787036E-3</v>
      </c>
      <c r="L1775" s="1257">
        <v>2.0000012307904687E-3</v>
      </c>
      <c r="M1775" s="1280">
        <v>2.0000012307904687E-3</v>
      </c>
      <c r="N1775" s="1271">
        <v>2.7276892308179673E-2</v>
      </c>
      <c r="O1775" s="1257">
        <v>8.4569710914044922E-3</v>
      </c>
      <c r="P1775" s="1293">
        <v>4.2284855457022461E-3</v>
      </c>
      <c r="Q1775" s="1292">
        <v>5.6212904054219366E-2</v>
      </c>
    </row>
    <row r="1776" spans="1:17" s="212" customFormat="1" ht="15.5" x14ac:dyDescent="0.35">
      <c r="A1776" s="198">
        <v>2044</v>
      </c>
      <c r="B1776" s="197" t="s">
        <v>5838</v>
      </c>
      <c r="C1776" s="197">
        <v>1977</v>
      </c>
      <c r="D1776" s="225" t="str">
        <f t="shared" si="18"/>
        <v>2044_1977</v>
      </c>
      <c r="E1776" s="1291">
        <v>0.37533867233060936</v>
      </c>
      <c r="F1776" s="1280">
        <v>0.12227320042365776</v>
      </c>
      <c r="G1776" s="1271">
        <v>9.2309034653224753</v>
      </c>
      <c r="H1776" s="1280">
        <v>0.97341811373463316</v>
      </c>
      <c r="I1776" s="1271">
        <v>5.3781158707809404E-2</v>
      </c>
      <c r="J1776" s="1280">
        <v>2.7839920873881457E-3</v>
      </c>
      <c r="K1776" s="1271">
        <v>2.9990233638787036E-3</v>
      </c>
      <c r="L1776" s="1257">
        <v>2.0000012307904687E-3</v>
      </c>
      <c r="M1776" s="1280">
        <v>2.0000012307904687E-3</v>
      </c>
      <c r="N1776" s="1271">
        <v>2.7276892308179673E-2</v>
      </c>
      <c r="O1776" s="1257">
        <v>8.4569710914044922E-3</v>
      </c>
      <c r="P1776" s="1293">
        <v>4.2284855457022461E-3</v>
      </c>
      <c r="Q1776" s="1292">
        <v>5.6212904054219366E-2</v>
      </c>
    </row>
    <row r="1777" spans="1:17" s="212" customFormat="1" ht="15.5" x14ac:dyDescent="0.35">
      <c r="A1777" s="198">
        <v>2044</v>
      </c>
      <c r="B1777" s="197" t="s">
        <v>5838</v>
      </c>
      <c r="C1777" s="197">
        <v>1978</v>
      </c>
      <c r="D1777" s="225" t="str">
        <f t="shared" si="18"/>
        <v>2044_1978</v>
      </c>
      <c r="E1777" s="1291">
        <v>0.37533867233060936</v>
      </c>
      <c r="F1777" s="1280">
        <v>0.12227320042365776</v>
      </c>
      <c r="G1777" s="1271">
        <v>9.2309034653224753</v>
      </c>
      <c r="H1777" s="1280">
        <v>0.97341811373463316</v>
      </c>
      <c r="I1777" s="1271">
        <v>5.3781158707809404E-2</v>
      </c>
      <c r="J1777" s="1280">
        <v>2.7839920873881457E-3</v>
      </c>
      <c r="K1777" s="1271">
        <v>2.9990233638787036E-3</v>
      </c>
      <c r="L1777" s="1257">
        <v>2.0000012307904687E-3</v>
      </c>
      <c r="M1777" s="1280">
        <v>2.0000012307904687E-3</v>
      </c>
      <c r="N1777" s="1271">
        <v>2.7276892308179673E-2</v>
      </c>
      <c r="O1777" s="1257">
        <v>8.4569710914044922E-3</v>
      </c>
      <c r="P1777" s="1293">
        <v>4.2284855457022461E-3</v>
      </c>
      <c r="Q1777" s="1292">
        <v>5.6212904054219366E-2</v>
      </c>
    </row>
    <row r="1778" spans="1:17" s="212" customFormat="1" ht="15.5" x14ac:dyDescent="0.35">
      <c r="A1778" s="198">
        <v>2044</v>
      </c>
      <c r="B1778" s="197" t="s">
        <v>5838</v>
      </c>
      <c r="C1778" s="197">
        <v>1979</v>
      </c>
      <c r="D1778" s="225" t="str">
        <f t="shared" si="18"/>
        <v>2044_1979</v>
      </c>
      <c r="E1778" s="1291">
        <v>0.37533867233060936</v>
      </c>
      <c r="F1778" s="1280">
        <v>0.12227320042365776</v>
      </c>
      <c r="G1778" s="1271">
        <v>9.2309034653224753</v>
      </c>
      <c r="H1778" s="1280">
        <v>0.97341811373463316</v>
      </c>
      <c r="I1778" s="1271">
        <v>5.3781158707809404E-2</v>
      </c>
      <c r="J1778" s="1280">
        <v>2.7839920873881457E-3</v>
      </c>
      <c r="K1778" s="1271">
        <v>2.9990233638787036E-3</v>
      </c>
      <c r="L1778" s="1257">
        <v>2.0000012307904687E-3</v>
      </c>
      <c r="M1778" s="1280">
        <v>2.0000012307904687E-3</v>
      </c>
      <c r="N1778" s="1271">
        <v>2.7276892308179673E-2</v>
      </c>
      <c r="O1778" s="1257">
        <v>8.4569710914044922E-3</v>
      </c>
      <c r="P1778" s="1293">
        <v>4.2284855457022461E-3</v>
      </c>
      <c r="Q1778" s="1292">
        <v>5.6212904054219366E-2</v>
      </c>
    </row>
    <row r="1779" spans="1:17" s="212" customFormat="1" ht="15.5" x14ac:dyDescent="0.35">
      <c r="A1779" s="198">
        <v>2044</v>
      </c>
      <c r="B1779" s="197" t="s">
        <v>5838</v>
      </c>
      <c r="C1779" s="197">
        <v>1980</v>
      </c>
      <c r="D1779" s="225" t="str">
        <f t="shared" si="18"/>
        <v>2044_1980</v>
      </c>
      <c r="E1779" s="1291">
        <v>0.37533867233060936</v>
      </c>
      <c r="F1779" s="1280">
        <v>0.12227320042365776</v>
      </c>
      <c r="G1779" s="1271">
        <v>9.2309034653224753</v>
      </c>
      <c r="H1779" s="1280">
        <v>0.97341811373463316</v>
      </c>
      <c r="I1779" s="1271">
        <v>5.3781158707809404E-2</v>
      </c>
      <c r="J1779" s="1280">
        <v>2.7839920873881457E-3</v>
      </c>
      <c r="K1779" s="1271">
        <v>2.9990233638787036E-3</v>
      </c>
      <c r="L1779" s="1257">
        <v>2.0000012307904687E-3</v>
      </c>
      <c r="M1779" s="1280">
        <v>2.0000012307904687E-3</v>
      </c>
      <c r="N1779" s="1271">
        <v>2.7276892308179673E-2</v>
      </c>
      <c r="O1779" s="1257">
        <v>8.4569710914044922E-3</v>
      </c>
      <c r="P1779" s="1293">
        <v>4.2284855457022461E-3</v>
      </c>
      <c r="Q1779" s="1292">
        <v>5.6212904054219366E-2</v>
      </c>
    </row>
    <row r="1780" spans="1:17" s="212" customFormat="1" ht="15.5" x14ac:dyDescent="0.35">
      <c r="A1780" s="198">
        <v>2044</v>
      </c>
      <c r="B1780" s="197" t="s">
        <v>5838</v>
      </c>
      <c r="C1780" s="197">
        <v>1981</v>
      </c>
      <c r="D1780" s="225" t="str">
        <f t="shared" si="18"/>
        <v>2044_1981</v>
      </c>
      <c r="E1780" s="1291">
        <v>0.37533867233060936</v>
      </c>
      <c r="F1780" s="1280">
        <v>0.12227320042365776</v>
      </c>
      <c r="G1780" s="1271">
        <v>9.2309034653224753</v>
      </c>
      <c r="H1780" s="1280">
        <v>0.97341811373463316</v>
      </c>
      <c r="I1780" s="1271">
        <v>5.3781158707809404E-2</v>
      </c>
      <c r="J1780" s="1280">
        <v>2.7839920873881457E-3</v>
      </c>
      <c r="K1780" s="1271">
        <v>2.9990233638787036E-3</v>
      </c>
      <c r="L1780" s="1257">
        <v>2.0000012307904687E-3</v>
      </c>
      <c r="M1780" s="1280">
        <v>2.0000012307904687E-3</v>
      </c>
      <c r="N1780" s="1271">
        <v>2.7276892308179673E-2</v>
      </c>
      <c r="O1780" s="1257">
        <v>8.4569710914044922E-3</v>
      </c>
      <c r="P1780" s="1293">
        <v>4.2284855457022461E-3</v>
      </c>
      <c r="Q1780" s="1292">
        <v>5.6212904054219366E-2</v>
      </c>
    </row>
    <row r="1781" spans="1:17" s="212" customFormat="1" ht="15.5" x14ac:dyDescent="0.35">
      <c r="A1781" s="198">
        <v>2044</v>
      </c>
      <c r="B1781" s="197" t="s">
        <v>5838</v>
      </c>
      <c r="C1781" s="197">
        <v>1982</v>
      </c>
      <c r="D1781" s="225" t="str">
        <f t="shared" si="18"/>
        <v>2044_1982</v>
      </c>
      <c r="E1781" s="1291">
        <v>0.37533867233060936</v>
      </c>
      <c r="F1781" s="1280">
        <v>0.12227320042365776</v>
      </c>
      <c r="G1781" s="1271">
        <v>9.2309034653224753</v>
      </c>
      <c r="H1781" s="1280">
        <v>0.97341811373463316</v>
      </c>
      <c r="I1781" s="1271">
        <v>5.3781158707809404E-2</v>
      </c>
      <c r="J1781" s="1280">
        <v>2.7839920873881457E-3</v>
      </c>
      <c r="K1781" s="1271">
        <v>2.9990233638787036E-3</v>
      </c>
      <c r="L1781" s="1257">
        <v>2.0000012307904687E-3</v>
      </c>
      <c r="M1781" s="1280">
        <v>2.0000012307904687E-3</v>
      </c>
      <c r="N1781" s="1271">
        <v>2.7276892308179673E-2</v>
      </c>
      <c r="O1781" s="1257">
        <v>8.4569710914044922E-3</v>
      </c>
      <c r="P1781" s="1293">
        <v>4.2284855457022461E-3</v>
      </c>
      <c r="Q1781" s="1292">
        <v>5.6212904054219366E-2</v>
      </c>
    </row>
    <row r="1782" spans="1:17" s="212" customFormat="1" ht="15.5" x14ac:dyDescent="0.35">
      <c r="A1782" s="198">
        <v>2044</v>
      </c>
      <c r="B1782" s="197" t="s">
        <v>5838</v>
      </c>
      <c r="C1782" s="197">
        <v>1983</v>
      </c>
      <c r="D1782" s="225" t="str">
        <f t="shared" si="18"/>
        <v>2044_1983</v>
      </c>
      <c r="E1782" s="1291">
        <v>0.37533867233060936</v>
      </c>
      <c r="F1782" s="1280">
        <v>0.12227320042365776</v>
      </c>
      <c r="G1782" s="1271">
        <v>9.2309034653224753</v>
      </c>
      <c r="H1782" s="1280">
        <v>0.97341811373463316</v>
      </c>
      <c r="I1782" s="1271">
        <v>5.3781158707809404E-2</v>
      </c>
      <c r="J1782" s="1280">
        <v>2.7839920873881457E-3</v>
      </c>
      <c r="K1782" s="1271">
        <v>2.9990233638787036E-3</v>
      </c>
      <c r="L1782" s="1257">
        <v>2.0000012307904687E-3</v>
      </c>
      <c r="M1782" s="1280">
        <v>2.0000012307904687E-3</v>
      </c>
      <c r="N1782" s="1271">
        <v>2.7276892308179673E-2</v>
      </c>
      <c r="O1782" s="1257">
        <v>8.4569710914044922E-3</v>
      </c>
      <c r="P1782" s="1293">
        <v>4.2284855457022461E-3</v>
      </c>
      <c r="Q1782" s="1292">
        <v>5.6212904054219366E-2</v>
      </c>
    </row>
    <row r="1783" spans="1:17" s="212" customFormat="1" ht="15.5" x14ac:dyDescent="0.35">
      <c r="A1783" s="198">
        <v>2044</v>
      </c>
      <c r="B1783" s="197" t="s">
        <v>5838</v>
      </c>
      <c r="C1783" s="197">
        <v>1984</v>
      </c>
      <c r="D1783" s="225" t="str">
        <f t="shared" si="18"/>
        <v>2044_1984</v>
      </c>
      <c r="E1783" s="1291">
        <v>0.37533867233060936</v>
      </c>
      <c r="F1783" s="1280">
        <v>0.12227320042365776</v>
      </c>
      <c r="G1783" s="1271">
        <v>9.2309034653224753</v>
      </c>
      <c r="H1783" s="1280">
        <v>0.97341811373463316</v>
      </c>
      <c r="I1783" s="1271">
        <v>5.3781158707809404E-2</v>
      </c>
      <c r="J1783" s="1280">
        <v>2.7839920873881457E-3</v>
      </c>
      <c r="K1783" s="1271">
        <v>2.9990233638787036E-3</v>
      </c>
      <c r="L1783" s="1257">
        <v>2.0000012307904687E-3</v>
      </c>
      <c r="M1783" s="1280">
        <v>2.0000012307904687E-3</v>
      </c>
      <c r="N1783" s="1271">
        <v>2.7276892308179673E-2</v>
      </c>
      <c r="O1783" s="1257">
        <v>8.4569710914044922E-3</v>
      </c>
      <c r="P1783" s="1293">
        <v>4.2284855457022461E-3</v>
      </c>
      <c r="Q1783" s="1292">
        <v>5.6212904054219366E-2</v>
      </c>
    </row>
    <row r="1784" spans="1:17" s="212" customFormat="1" ht="15.5" x14ac:dyDescent="0.35">
      <c r="A1784" s="198">
        <v>2044</v>
      </c>
      <c r="B1784" s="197" t="s">
        <v>5838</v>
      </c>
      <c r="C1784" s="197">
        <v>1985</v>
      </c>
      <c r="D1784" s="225" t="str">
        <f t="shared" si="18"/>
        <v>2044_1985</v>
      </c>
      <c r="E1784" s="1291">
        <v>0.37533867233060936</v>
      </c>
      <c r="F1784" s="1280">
        <v>0.12227320042365776</v>
      </c>
      <c r="G1784" s="1271">
        <v>9.2309034653224753</v>
      </c>
      <c r="H1784" s="1280">
        <v>0.97341811373463316</v>
      </c>
      <c r="I1784" s="1271">
        <v>5.3781158707809404E-2</v>
      </c>
      <c r="J1784" s="1280">
        <v>2.7839920873881457E-3</v>
      </c>
      <c r="K1784" s="1271">
        <v>2.9990233638787036E-3</v>
      </c>
      <c r="L1784" s="1257">
        <v>2.0000012307904687E-3</v>
      </c>
      <c r="M1784" s="1280">
        <v>2.0000012307904687E-3</v>
      </c>
      <c r="N1784" s="1271">
        <v>2.7276892308179673E-2</v>
      </c>
      <c r="O1784" s="1257">
        <v>8.4569710914044922E-3</v>
      </c>
      <c r="P1784" s="1293">
        <v>4.2284855457022461E-3</v>
      </c>
      <c r="Q1784" s="1292">
        <v>5.6212904054219366E-2</v>
      </c>
    </row>
    <row r="1785" spans="1:17" s="212" customFormat="1" ht="15.5" x14ac:dyDescent="0.35">
      <c r="A1785" s="198">
        <v>2044</v>
      </c>
      <c r="B1785" s="197" t="s">
        <v>5838</v>
      </c>
      <c r="C1785" s="197">
        <v>1986</v>
      </c>
      <c r="D1785" s="225" t="str">
        <f t="shared" si="18"/>
        <v>2044_1986</v>
      </c>
      <c r="E1785" s="1291">
        <v>0.37533867233060936</v>
      </c>
      <c r="F1785" s="1280">
        <v>0.12227320042365776</v>
      </c>
      <c r="G1785" s="1271">
        <v>9.2309034653224753</v>
      </c>
      <c r="H1785" s="1280">
        <v>0.97341811373463316</v>
      </c>
      <c r="I1785" s="1271">
        <v>5.3781158707809404E-2</v>
      </c>
      <c r="J1785" s="1280">
        <v>2.7839920873881457E-3</v>
      </c>
      <c r="K1785" s="1271">
        <v>2.9990233638787036E-3</v>
      </c>
      <c r="L1785" s="1257">
        <v>2.0000012307904687E-3</v>
      </c>
      <c r="M1785" s="1280">
        <v>2.0000012307904687E-3</v>
      </c>
      <c r="N1785" s="1271">
        <v>2.7276892308179673E-2</v>
      </c>
      <c r="O1785" s="1257">
        <v>8.4569710914044922E-3</v>
      </c>
      <c r="P1785" s="1293">
        <v>4.2284855457022461E-3</v>
      </c>
      <c r="Q1785" s="1292">
        <v>5.6212904054219366E-2</v>
      </c>
    </row>
    <row r="1786" spans="1:17" s="212" customFormat="1" ht="15.5" x14ac:dyDescent="0.35">
      <c r="A1786" s="198">
        <v>2044</v>
      </c>
      <c r="B1786" s="197" t="s">
        <v>5838</v>
      </c>
      <c r="C1786" s="197">
        <v>1987</v>
      </c>
      <c r="D1786" s="225" t="str">
        <f t="shared" si="18"/>
        <v>2044_1987</v>
      </c>
      <c r="E1786" s="1291">
        <v>0.37533867233060936</v>
      </c>
      <c r="F1786" s="1280">
        <v>0.12227320042365776</v>
      </c>
      <c r="G1786" s="1271">
        <v>9.2309034653224753</v>
      </c>
      <c r="H1786" s="1280">
        <v>0.97341811373463316</v>
      </c>
      <c r="I1786" s="1271">
        <v>5.3781158707809404E-2</v>
      </c>
      <c r="J1786" s="1280">
        <v>2.7839920873881457E-3</v>
      </c>
      <c r="K1786" s="1271">
        <v>2.9990233638787036E-3</v>
      </c>
      <c r="L1786" s="1257">
        <v>2.0000012307904687E-3</v>
      </c>
      <c r="M1786" s="1280">
        <v>2.0000012307904687E-3</v>
      </c>
      <c r="N1786" s="1271">
        <v>2.7276892308179673E-2</v>
      </c>
      <c r="O1786" s="1257">
        <v>8.4569710914044922E-3</v>
      </c>
      <c r="P1786" s="1293">
        <v>4.2284855457022461E-3</v>
      </c>
      <c r="Q1786" s="1292">
        <v>5.6212904054219366E-2</v>
      </c>
    </row>
    <row r="1787" spans="1:17" s="212" customFormat="1" ht="15.5" x14ac:dyDescent="0.35">
      <c r="A1787" s="198">
        <v>2044</v>
      </c>
      <c r="B1787" s="197" t="s">
        <v>5838</v>
      </c>
      <c r="C1787" s="197">
        <v>1988</v>
      </c>
      <c r="D1787" s="225" t="str">
        <f t="shared" si="18"/>
        <v>2044_1988</v>
      </c>
      <c r="E1787" s="1291">
        <v>0.37533867233060936</v>
      </c>
      <c r="F1787" s="1280">
        <v>0.12227320042365776</v>
      </c>
      <c r="G1787" s="1271">
        <v>9.2309034653224753</v>
      </c>
      <c r="H1787" s="1280">
        <v>0.97341811373463316</v>
      </c>
      <c r="I1787" s="1271">
        <v>5.3781158707809404E-2</v>
      </c>
      <c r="J1787" s="1280">
        <v>2.7839920873881457E-3</v>
      </c>
      <c r="K1787" s="1271">
        <v>2.9990233638787036E-3</v>
      </c>
      <c r="L1787" s="1257">
        <v>2.0000012307904687E-3</v>
      </c>
      <c r="M1787" s="1280">
        <v>2.0000012307904687E-3</v>
      </c>
      <c r="N1787" s="1271">
        <v>2.7276892308179673E-2</v>
      </c>
      <c r="O1787" s="1257">
        <v>8.4569710914044922E-3</v>
      </c>
      <c r="P1787" s="1293">
        <v>4.2284855457022461E-3</v>
      </c>
      <c r="Q1787" s="1292">
        <v>5.6212904054219366E-2</v>
      </c>
    </row>
    <row r="1788" spans="1:17" s="212" customFormat="1" ht="15.5" x14ac:dyDescent="0.35">
      <c r="A1788" s="198">
        <v>2044</v>
      </c>
      <c r="B1788" s="197" t="s">
        <v>5838</v>
      </c>
      <c r="C1788" s="197">
        <v>1989</v>
      </c>
      <c r="D1788" s="225" t="str">
        <f t="shared" si="18"/>
        <v>2044_1989</v>
      </c>
      <c r="E1788" s="1291">
        <v>0.37533867233060936</v>
      </c>
      <c r="F1788" s="1280">
        <v>0.12227320042365776</v>
      </c>
      <c r="G1788" s="1271">
        <v>9.2309034653224753</v>
      </c>
      <c r="H1788" s="1280">
        <v>0.97341811373463316</v>
      </c>
      <c r="I1788" s="1271">
        <v>5.3781158707809404E-2</v>
      </c>
      <c r="J1788" s="1280">
        <v>2.7839920873881457E-3</v>
      </c>
      <c r="K1788" s="1271">
        <v>2.9990233638787036E-3</v>
      </c>
      <c r="L1788" s="1257">
        <v>2.0000012307904687E-3</v>
      </c>
      <c r="M1788" s="1280">
        <v>2.0000012307904687E-3</v>
      </c>
      <c r="N1788" s="1271">
        <v>2.7276892308179673E-2</v>
      </c>
      <c r="O1788" s="1257">
        <v>8.4569710914044922E-3</v>
      </c>
      <c r="P1788" s="1293">
        <v>4.2284855457022461E-3</v>
      </c>
      <c r="Q1788" s="1292">
        <v>5.6212904054219366E-2</v>
      </c>
    </row>
    <row r="1789" spans="1:17" s="212" customFormat="1" ht="15.5" x14ac:dyDescent="0.35">
      <c r="A1789" s="198">
        <v>2044</v>
      </c>
      <c r="B1789" s="197" t="s">
        <v>5838</v>
      </c>
      <c r="C1789" s="197">
        <v>1990</v>
      </c>
      <c r="D1789" s="225" t="str">
        <f t="shared" si="18"/>
        <v>2044_1990</v>
      </c>
      <c r="E1789" s="1291">
        <v>0.37533867233060936</v>
      </c>
      <c r="F1789" s="1280">
        <v>0.12227320042365776</v>
      </c>
      <c r="G1789" s="1271">
        <v>9.2309034653224753</v>
      </c>
      <c r="H1789" s="1280">
        <v>0.97341811373463316</v>
      </c>
      <c r="I1789" s="1271">
        <v>5.3781158707809404E-2</v>
      </c>
      <c r="J1789" s="1280">
        <v>2.7839920873881457E-3</v>
      </c>
      <c r="K1789" s="1271">
        <v>2.9990233638787036E-3</v>
      </c>
      <c r="L1789" s="1257">
        <v>2.0000012307904687E-3</v>
      </c>
      <c r="M1789" s="1280">
        <v>2.0000012307904687E-3</v>
      </c>
      <c r="N1789" s="1271">
        <v>2.7276892308179673E-2</v>
      </c>
      <c r="O1789" s="1257">
        <v>8.4569710914044922E-3</v>
      </c>
      <c r="P1789" s="1293">
        <v>4.2284855457022461E-3</v>
      </c>
      <c r="Q1789" s="1292">
        <v>5.6212904054219366E-2</v>
      </c>
    </row>
    <row r="1790" spans="1:17" s="212" customFormat="1" ht="15.5" x14ac:dyDescent="0.35">
      <c r="A1790" s="198">
        <v>2044</v>
      </c>
      <c r="B1790" s="197" t="s">
        <v>5838</v>
      </c>
      <c r="C1790" s="197">
        <v>1991</v>
      </c>
      <c r="D1790" s="225" t="str">
        <f t="shared" si="18"/>
        <v>2044_1991</v>
      </c>
      <c r="E1790" s="1291">
        <v>0.37533867233060936</v>
      </c>
      <c r="F1790" s="1280">
        <v>0.12227320042365776</v>
      </c>
      <c r="G1790" s="1271">
        <v>9.2309034653224753</v>
      </c>
      <c r="H1790" s="1280">
        <v>0.97341811373463316</v>
      </c>
      <c r="I1790" s="1271">
        <v>5.3781158707809404E-2</v>
      </c>
      <c r="J1790" s="1280">
        <v>2.7839920873881457E-3</v>
      </c>
      <c r="K1790" s="1271">
        <v>2.9990233638787036E-3</v>
      </c>
      <c r="L1790" s="1257">
        <v>2.0000012307904687E-3</v>
      </c>
      <c r="M1790" s="1280">
        <v>2.0000012307904687E-3</v>
      </c>
      <c r="N1790" s="1271">
        <v>2.7276892308179673E-2</v>
      </c>
      <c r="O1790" s="1257">
        <v>8.4569710914044922E-3</v>
      </c>
      <c r="P1790" s="1293">
        <v>4.2284855457022461E-3</v>
      </c>
      <c r="Q1790" s="1292">
        <v>5.6212904054219366E-2</v>
      </c>
    </row>
    <row r="1791" spans="1:17" s="212" customFormat="1" ht="15.5" x14ac:dyDescent="0.35">
      <c r="A1791" s="198">
        <v>2044</v>
      </c>
      <c r="B1791" s="197" t="s">
        <v>5838</v>
      </c>
      <c r="C1791" s="197">
        <v>1992</v>
      </c>
      <c r="D1791" s="225" t="str">
        <f t="shared" si="18"/>
        <v>2044_1992</v>
      </c>
      <c r="E1791" s="1291">
        <v>0.37533867233060936</v>
      </c>
      <c r="F1791" s="1280">
        <v>0.12227320042365776</v>
      </c>
      <c r="G1791" s="1271">
        <v>9.2309034653224753</v>
      </c>
      <c r="H1791" s="1280">
        <v>0.97341811373463316</v>
      </c>
      <c r="I1791" s="1271">
        <v>5.3781158707809404E-2</v>
      </c>
      <c r="J1791" s="1280">
        <v>2.7839920873881457E-3</v>
      </c>
      <c r="K1791" s="1271">
        <v>2.9990233638787036E-3</v>
      </c>
      <c r="L1791" s="1257">
        <v>2.0000012307904687E-3</v>
      </c>
      <c r="M1791" s="1280">
        <v>2.0000012307904687E-3</v>
      </c>
      <c r="N1791" s="1271">
        <v>2.7276892308179673E-2</v>
      </c>
      <c r="O1791" s="1257">
        <v>8.4569710914044922E-3</v>
      </c>
      <c r="P1791" s="1293">
        <v>4.2284855457022461E-3</v>
      </c>
      <c r="Q1791" s="1292">
        <v>5.6212904054219366E-2</v>
      </c>
    </row>
    <row r="1792" spans="1:17" s="212" customFormat="1" ht="15.5" x14ac:dyDescent="0.35">
      <c r="A1792" s="198">
        <v>2044</v>
      </c>
      <c r="B1792" s="197" t="s">
        <v>5838</v>
      </c>
      <c r="C1792" s="197">
        <v>1993</v>
      </c>
      <c r="D1792" s="225" t="str">
        <f t="shared" si="18"/>
        <v>2044_1993</v>
      </c>
      <c r="E1792" s="1291">
        <v>0.37533867233060936</v>
      </c>
      <c r="F1792" s="1280">
        <v>0.12227320042365776</v>
      </c>
      <c r="G1792" s="1271">
        <v>9.2309034653224753</v>
      </c>
      <c r="H1792" s="1280">
        <v>0.97341811373463316</v>
      </c>
      <c r="I1792" s="1271">
        <v>5.3781158707809404E-2</v>
      </c>
      <c r="J1792" s="1280">
        <v>2.7839920873881457E-3</v>
      </c>
      <c r="K1792" s="1271">
        <v>2.9990233638787036E-3</v>
      </c>
      <c r="L1792" s="1257">
        <v>2.0000012307904687E-3</v>
      </c>
      <c r="M1792" s="1280">
        <v>2.0000012307904687E-3</v>
      </c>
      <c r="N1792" s="1271">
        <v>2.7276892308179673E-2</v>
      </c>
      <c r="O1792" s="1257">
        <v>8.4569710914044922E-3</v>
      </c>
      <c r="P1792" s="1293">
        <v>4.2284855457022461E-3</v>
      </c>
      <c r="Q1792" s="1292">
        <v>5.6212904054219366E-2</v>
      </c>
    </row>
    <row r="1793" spans="1:17" s="212" customFormat="1" ht="15.5" x14ac:dyDescent="0.35">
      <c r="A1793" s="198">
        <v>2044</v>
      </c>
      <c r="B1793" s="197" t="s">
        <v>5838</v>
      </c>
      <c r="C1793" s="197">
        <v>1994</v>
      </c>
      <c r="D1793" s="225" t="str">
        <f t="shared" si="18"/>
        <v>2044_1994</v>
      </c>
      <c r="E1793" s="1291">
        <v>0.37533867233060936</v>
      </c>
      <c r="F1793" s="1280">
        <v>0.12227320042365776</v>
      </c>
      <c r="G1793" s="1271">
        <v>9.2309034653224753</v>
      </c>
      <c r="H1793" s="1280">
        <v>0.97341811373463316</v>
      </c>
      <c r="I1793" s="1271">
        <v>5.3781158707809404E-2</v>
      </c>
      <c r="J1793" s="1280">
        <v>2.7839920873881457E-3</v>
      </c>
      <c r="K1793" s="1271">
        <v>2.9990233638787036E-3</v>
      </c>
      <c r="L1793" s="1257">
        <v>2.0000012307904687E-3</v>
      </c>
      <c r="M1793" s="1280">
        <v>2.0000012307904687E-3</v>
      </c>
      <c r="N1793" s="1271">
        <v>2.7276892308179673E-2</v>
      </c>
      <c r="O1793" s="1257">
        <v>8.4569710914044922E-3</v>
      </c>
      <c r="P1793" s="1293">
        <v>4.2284855457022461E-3</v>
      </c>
      <c r="Q1793" s="1292">
        <v>5.6212904054219366E-2</v>
      </c>
    </row>
    <row r="1794" spans="1:17" s="212" customFormat="1" ht="15.5" x14ac:dyDescent="0.35">
      <c r="A1794" s="198">
        <v>2044</v>
      </c>
      <c r="B1794" s="197" t="s">
        <v>5838</v>
      </c>
      <c r="C1794" s="197">
        <v>1995</v>
      </c>
      <c r="D1794" s="225" t="str">
        <f t="shared" si="18"/>
        <v>2044_1995</v>
      </c>
      <c r="E1794" s="1291">
        <v>0.37533867233060936</v>
      </c>
      <c r="F1794" s="1280">
        <v>0.12227320042365776</v>
      </c>
      <c r="G1794" s="1271">
        <v>9.2309034653224753</v>
      </c>
      <c r="H1794" s="1280">
        <v>0.97341811373463316</v>
      </c>
      <c r="I1794" s="1271">
        <v>5.3781158707809404E-2</v>
      </c>
      <c r="J1794" s="1280">
        <v>2.7839920873881457E-3</v>
      </c>
      <c r="K1794" s="1271">
        <v>2.9990233638787036E-3</v>
      </c>
      <c r="L1794" s="1257">
        <v>2.0000012307904687E-3</v>
      </c>
      <c r="M1794" s="1280">
        <v>2.0000012307904687E-3</v>
      </c>
      <c r="N1794" s="1271">
        <v>2.7276892308179673E-2</v>
      </c>
      <c r="O1794" s="1257">
        <v>8.4569710914044922E-3</v>
      </c>
      <c r="P1794" s="1293">
        <v>4.2284855457022461E-3</v>
      </c>
      <c r="Q1794" s="1292">
        <v>5.6212904054219366E-2</v>
      </c>
    </row>
    <row r="1795" spans="1:17" s="212" customFormat="1" ht="15.5" x14ac:dyDescent="0.35">
      <c r="A1795" s="198">
        <v>2044</v>
      </c>
      <c r="B1795" s="197" t="s">
        <v>5838</v>
      </c>
      <c r="C1795" s="197">
        <v>1996</v>
      </c>
      <c r="D1795" s="225" t="str">
        <f t="shared" si="18"/>
        <v>2044_1996</v>
      </c>
      <c r="E1795" s="1291">
        <v>0.37533867233060936</v>
      </c>
      <c r="F1795" s="1280">
        <v>0.12227320042365776</v>
      </c>
      <c r="G1795" s="1271">
        <v>9.2309034653224753</v>
      </c>
      <c r="H1795" s="1280">
        <v>0.97341811373463316</v>
      </c>
      <c r="I1795" s="1271">
        <v>5.3781158707809404E-2</v>
      </c>
      <c r="J1795" s="1280">
        <v>2.7839920873881457E-3</v>
      </c>
      <c r="K1795" s="1271">
        <v>2.9990233638787036E-3</v>
      </c>
      <c r="L1795" s="1257">
        <v>2.0000012307904687E-3</v>
      </c>
      <c r="M1795" s="1280">
        <v>2.0000012307904687E-3</v>
      </c>
      <c r="N1795" s="1271">
        <v>2.7276892308179673E-2</v>
      </c>
      <c r="O1795" s="1257">
        <v>8.4569710914044922E-3</v>
      </c>
      <c r="P1795" s="1293">
        <v>4.2284855457022461E-3</v>
      </c>
      <c r="Q1795" s="1292">
        <v>5.6212904054219366E-2</v>
      </c>
    </row>
    <row r="1796" spans="1:17" s="212" customFormat="1" ht="15.5" x14ac:dyDescent="0.35">
      <c r="A1796" s="198">
        <v>2044</v>
      </c>
      <c r="B1796" s="197" t="s">
        <v>5838</v>
      </c>
      <c r="C1796" s="197">
        <v>1997</v>
      </c>
      <c r="D1796" s="225" t="str">
        <f t="shared" si="18"/>
        <v>2044_1997</v>
      </c>
      <c r="E1796" s="1291">
        <v>0.37533867233060936</v>
      </c>
      <c r="F1796" s="1280">
        <v>0.12227320042365776</v>
      </c>
      <c r="G1796" s="1271">
        <v>9.2309034653224753</v>
      </c>
      <c r="H1796" s="1280">
        <v>0.97341811373463316</v>
      </c>
      <c r="I1796" s="1271">
        <v>5.3781158707809404E-2</v>
      </c>
      <c r="J1796" s="1280">
        <v>2.7839920873881457E-3</v>
      </c>
      <c r="K1796" s="1271">
        <v>2.9990233638787036E-3</v>
      </c>
      <c r="L1796" s="1257">
        <v>2.0000012307904687E-3</v>
      </c>
      <c r="M1796" s="1280">
        <v>2.0000012307904687E-3</v>
      </c>
      <c r="N1796" s="1271">
        <v>2.7276892308179673E-2</v>
      </c>
      <c r="O1796" s="1257">
        <v>8.4569710914044922E-3</v>
      </c>
      <c r="P1796" s="1293">
        <v>4.2284855457022461E-3</v>
      </c>
      <c r="Q1796" s="1292">
        <v>5.6212904054219366E-2</v>
      </c>
    </row>
    <row r="1797" spans="1:17" s="212" customFormat="1" ht="15.5" x14ac:dyDescent="0.35">
      <c r="A1797" s="198">
        <v>2044</v>
      </c>
      <c r="B1797" s="197" t="s">
        <v>5838</v>
      </c>
      <c r="C1797" s="197">
        <v>1998</v>
      </c>
      <c r="D1797" s="225" t="str">
        <f t="shared" si="18"/>
        <v>2044_1998</v>
      </c>
      <c r="E1797" s="1291">
        <v>0.37533867233060936</v>
      </c>
      <c r="F1797" s="1280">
        <v>0.12227320042365776</v>
      </c>
      <c r="G1797" s="1271">
        <v>9.2309034653224753</v>
      </c>
      <c r="H1797" s="1280">
        <v>0.97341811373463316</v>
      </c>
      <c r="I1797" s="1271">
        <v>5.3781158707809404E-2</v>
      </c>
      <c r="J1797" s="1280">
        <v>2.7839920873881457E-3</v>
      </c>
      <c r="K1797" s="1271">
        <v>2.9990233638787036E-3</v>
      </c>
      <c r="L1797" s="1257">
        <v>2.0000012307904687E-3</v>
      </c>
      <c r="M1797" s="1280">
        <v>2.0000012307904687E-3</v>
      </c>
      <c r="N1797" s="1271">
        <v>2.7276892308179673E-2</v>
      </c>
      <c r="O1797" s="1257">
        <v>8.4569710914044922E-3</v>
      </c>
      <c r="P1797" s="1293">
        <v>4.2284855457022461E-3</v>
      </c>
      <c r="Q1797" s="1292">
        <v>5.6212904054219366E-2</v>
      </c>
    </row>
    <row r="1798" spans="1:17" s="212" customFormat="1" ht="15.5" x14ac:dyDescent="0.35">
      <c r="A1798" s="198">
        <v>2044</v>
      </c>
      <c r="B1798" s="197" t="s">
        <v>5838</v>
      </c>
      <c r="C1798" s="197">
        <v>1999</v>
      </c>
      <c r="D1798" s="225" t="str">
        <f t="shared" si="18"/>
        <v>2044_1999</v>
      </c>
      <c r="E1798" s="1291">
        <v>0.37533867233060936</v>
      </c>
      <c r="F1798" s="1280">
        <v>0.12227320042365776</v>
      </c>
      <c r="G1798" s="1271">
        <v>9.2309034653224753</v>
      </c>
      <c r="H1798" s="1280">
        <v>0.97341811373463316</v>
      </c>
      <c r="I1798" s="1271">
        <v>5.3781158707809404E-2</v>
      </c>
      <c r="J1798" s="1280">
        <v>2.7839920873881457E-3</v>
      </c>
      <c r="K1798" s="1271">
        <v>2.9990233638787036E-3</v>
      </c>
      <c r="L1798" s="1257">
        <v>2.0000012307904687E-3</v>
      </c>
      <c r="M1798" s="1280">
        <v>2.0000012307904687E-3</v>
      </c>
      <c r="N1798" s="1271">
        <v>2.7276892308179673E-2</v>
      </c>
      <c r="O1798" s="1257">
        <v>8.4569710914044922E-3</v>
      </c>
      <c r="P1798" s="1293">
        <v>4.2284855457022461E-3</v>
      </c>
      <c r="Q1798" s="1292">
        <v>5.6212904054219366E-2</v>
      </c>
    </row>
    <row r="1799" spans="1:17" s="212" customFormat="1" ht="15.5" x14ac:dyDescent="0.35">
      <c r="A1799" s="198">
        <v>2044</v>
      </c>
      <c r="B1799" s="197" t="s">
        <v>5838</v>
      </c>
      <c r="C1799" s="197">
        <v>2000</v>
      </c>
      <c r="D1799" s="225" t="str">
        <f t="shared" si="18"/>
        <v>2044_2000</v>
      </c>
      <c r="E1799" s="1287">
        <v>0.37533867233060936</v>
      </c>
      <c r="F1799" s="1306">
        <v>0.12227320042365776</v>
      </c>
      <c r="G1799" s="1303">
        <v>9.2309034653224753</v>
      </c>
      <c r="H1799" s="1306">
        <v>0.97341811373463316</v>
      </c>
      <c r="I1799" s="1303">
        <v>5.3781158707809404E-2</v>
      </c>
      <c r="J1799" s="1306">
        <v>2.7839920873881457E-3</v>
      </c>
      <c r="K1799" s="1303">
        <v>2.9990233638787036E-3</v>
      </c>
      <c r="L1799" s="1288">
        <v>2.0000012307904687E-3</v>
      </c>
      <c r="M1799" s="1280">
        <v>2.0000012307904687E-3</v>
      </c>
      <c r="N1799" s="1303">
        <v>2.7276892308179673E-2</v>
      </c>
      <c r="O1799" s="1288">
        <v>8.4569710914044922E-3</v>
      </c>
      <c r="P1799" s="1293">
        <v>4.2284855457022461E-3</v>
      </c>
      <c r="Q1799" s="1290">
        <v>5.6212904054219366E-2</v>
      </c>
    </row>
    <row r="1800" spans="1:17" s="212" customFormat="1" ht="15.5" x14ac:dyDescent="0.35">
      <c r="A1800" s="198">
        <v>2044</v>
      </c>
      <c r="B1800" s="197" t="s">
        <v>5838</v>
      </c>
      <c r="C1800" s="197">
        <v>2001</v>
      </c>
      <c r="D1800" s="225" t="str">
        <f t="shared" si="18"/>
        <v>2044_2001</v>
      </c>
      <c r="E1800" s="1287">
        <v>0.37725292058561399</v>
      </c>
      <c r="F1800" s="1306">
        <v>0.11922285403576298</v>
      </c>
      <c r="G1800" s="1303">
        <v>9.202428791864552</v>
      </c>
      <c r="H1800" s="1306">
        <v>0.95484330624161895</v>
      </c>
      <c r="I1800" s="1303">
        <v>5.4031022772408253E-2</v>
      </c>
      <c r="J1800" s="1306">
        <v>2.8072721466235982E-3</v>
      </c>
      <c r="K1800" s="1303">
        <v>2.9996674160012405E-3</v>
      </c>
      <c r="L1800" s="1288">
        <v>2.0000012218677789E-3</v>
      </c>
      <c r="M1800" s="1280">
        <v>2.0000012218677789E-3</v>
      </c>
      <c r="N1800" s="1303">
        <v>2.7292252444931234E-2</v>
      </c>
      <c r="O1800" s="1288">
        <v>7.8088423558106248E-3</v>
      </c>
      <c r="P1800" s="1293">
        <v>3.9044211779053124E-3</v>
      </c>
      <c r="Q1800" s="1290">
        <v>5.6474065863063985E-2</v>
      </c>
    </row>
    <row r="1801" spans="1:17" s="212" customFormat="1" ht="15.5" x14ac:dyDescent="0.35">
      <c r="A1801" s="198">
        <v>2044</v>
      </c>
      <c r="B1801" s="197" t="s">
        <v>5838</v>
      </c>
      <c r="C1801" s="197">
        <v>2002</v>
      </c>
      <c r="D1801" s="225" t="str">
        <f t="shared" si="18"/>
        <v>2044_2002</v>
      </c>
      <c r="E1801" s="1287">
        <v>0.2909599557953314</v>
      </c>
      <c r="F1801" s="1306">
        <v>0.11855399175480069</v>
      </c>
      <c r="G1801" s="1303">
        <v>7.1194508115740511</v>
      </c>
      <c r="H1801" s="1306">
        <v>0.92558200707525728</v>
      </c>
      <c r="I1801" s="1303">
        <v>5.424124267835579E-2</v>
      </c>
      <c r="J1801" s="1306">
        <v>2.8207204862875021E-3</v>
      </c>
      <c r="K1801" s="1303">
        <v>2.9998082465344418E-3</v>
      </c>
      <c r="L1801" s="1288">
        <v>2.0000012819166566E-3</v>
      </c>
      <c r="M1801" s="1280">
        <v>2.0000012819166566E-3</v>
      </c>
      <c r="N1801" s="1303">
        <v>2.7295534608498085E-2</v>
      </c>
      <c r="O1801" s="1288">
        <v>7.2541758726371048E-3</v>
      </c>
      <c r="P1801" s="1293">
        <v>3.6270879363185524E-3</v>
      </c>
      <c r="Q1801" s="1290">
        <v>5.6693790980321415E-2</v>
      </c>
    </row>
    <row r="1802" spans="1:17" s="212" customFormat="1" ht="15.5" x14ac:dyDescent="0.35">
      <c r="A1802" s="198">
        <v>2044</v>
      </c>
      <c r="B1802" s="197" t="s">
        <v>5838</v>
      </c>
      <c r="C1802" s="197">
        <v>2003</v>
      </c>
      <c r="D1802" s="225" t="str">
        <f t="shared" si="18"/>
        <v>2044_2003</v>
      </c>
      <c r="E1802" s="1287">
        <v>0.28940802832773532</v>
      </c>
      <c r="F1802" s="1306">
        <v>9.6028969727095764E-2</v>
      </c>
      <c r="G1802" s="1303">
        <v>7.1458362386553889</v>
      </c>
      <c r="H1802" s="1306">
        <v>0.71974860400163898</v>
      </c>
      <c r="I1802" s="1303">
        <v>5.3952311287472771E-2</v>
      </c>
      <c r="J1802" s="1306">
        <v>2.807637419132349E-3</v>
      </c>
      <c r="K1802" s="1303">
        <v>2.9997987399723574E-3</v>
      </c>
      <c r="L1802" s="1288">
        <v>2.0000012921495506E-3</v>
      </c>
      <c r="M1802" s="1280">
        <v>2.0000012921495506E-3</v>
      </c>
      <c r="N1802" s="1303">
        <v>2.7295370334549835E-2</v>
      </c>
      <c r="O1802" s="1288">
        <v>7.6618025156479051E-3</v>
      </c>
      <c r="P1802" s="1293">
        <v>3.8309012578239526E-3</v>
      </c>
      <c r="Q1802" s="1290">
        <v>5.6391795394056629E-2</v>
      </c>
    </row>
    <row r="1803" spans="1:17" s="212" customFormat="1" ht="15.5" x14ac:dyDescent="0.35">
      <c r="A1803" s="198">
        <v>2044</v>
      </c>
      <c r="B1803" s="197" t="s">
        <v>5838</v>
      </c>
      <c r="C1803" s="197">
        <v>2004</v>
      </c>
      <c r="D1803" s="225" t="str">
        <f t="shared" si="18"/>
        <v>2044_2004</v>
      </c>
      <c r="E1803" s="1287">
        <v>0.59538559006098046</v>
      </c>
      <c r="F1803" s="1306">
        <v>1.8080238961146359E-2</v>
      </c>
      <c r="G1803" s="1303">
        <v>4.2050913399090444</v>
      </c>
      <c r="H1803" s="1306">
        <v>0.12233344592036864</v>
      </c>
      <c r="I1803" s="1303">
        <v>0.15428699207471117</v>
      </c>
      <c r="J1803" s="1306">
        <v>1.8789258674903157E-4</v>
      </c>
      <c r="K1803" s="1303">
        <v>2.9982490815087868E-3</v>
      </c>
      <c r="L1803" s="1288">
        <v>2.0000013508630556E-3</v>
      </c>
      <c r="M1803" s="1280">
        <v>2.0000013508630556E-3</v>
      </c>
      <c r="N1803" s="1303">
        <v>2.7258867302289908E-2</v>
      </c>
      <c r="O1803" s="1288">
        <v>7.1075802841844352E-3</v>
      </c>
      <c r="P1803" s="1293">
        <v>3.5537901420922176E-3</v>
      </c>
      <c r="Q1803" s="1290">
        <v>0.1612631652179414</v>
      </c>
    </row>
    <row r="1804" spans="1:17" s="212" customFormat="1" ht="15.5" x14ac:dyDescent="0.35">
      <c r="A1804" s="198">
        <v>2044</v>
      </c>
      <c r="B1804" s="197" t="s">
        <v>5838</v>
      </c>
      <c r="C1804" s="197">
        <v>2005</v>
      </c>
      <c r="D1804" s="225" t="str">
        <f t="shared" si="18"/>
        <v>2044_2005</v>
      </c>
      <c r="E1804" s="1287">
        <v>0.54572059006503937</v>
      </c>
      <c r="F1804" s="1306">
        <v>1.613592226349185E-2</v>
      </c>
      <c r="G1804" s="1303">
        <v>3.9661838658396702</v>
      </c>
      <c r="H1804" s="1306">
        <v>0.10679238459665381</v>
      </c>
      <c r="I1804" s="1303">
        <v>0.14421542373317861</v>
      </c>
      <c r="J1804" s="1306">
        <v>1.8810400360443966E-4</v>
      </c>
      <c r="K1804" s="1303">
        <v>2.9014881234074928E-3</v>
      </c>
      <c r="L1804" s="1288">
        <v>2.0000013559553194E-3</v>
      </c>
      <c r="M1804" s="1280">
        <v>2.0000013559553194E-3</v>
      </c>
      <c r="N1804" s="1303">
        <v>2.4976871211052687E-2</v>
      </c>
      <c r="O1804" s="1288">
        <v>6.5776871543095517E-3</v>
      </c>
      <c r="P1804" s="1293">
        <v>3.2888435771547759E-3</v>
      </c>
      <c r="Q1804" s="1290">
        <v>0.15073620524792811</v>
      </c>
    </row>
    <row r="1805" spans="1:17" s="212" customFormat="1" ht="15.5" x14ac:dyDescent="0.35">
      <c r="A1805" s="198">
        <v>2044</v>
      </c>
      <c r="B1805" s="197" t="s">
        <v>5838</v>
      </c>
      <c r="C1805" s="197">
        <v>2006</v>
      </c>
      <c r="D1805" s="225" t="str">
        <f t="shared" si="18"/>
        <v>2044_2006</v>
      </c>
      <c r="E1805" s="1287">
        <v>0.56624978691200856</v>
      </c>
      <c r="F1805" s="1306">
        <v>7.0847387717188522E-3</v>
      </c>
      <c r="G1805" s="1303">
        <v>4.0689387975103326</v>
      </c>
      <c r="H1805" s="1306">
        <v>8.4059395338716342E-2</v>
      </c>
      <c r="I1805" s="1303">
        <v>0.14833353614099218</v>
      </c>
      <c r="J1805" s="1306">
        <v>1.8356438621667821E-4</v>
      </c>
      <c r="K1805" s="1303">
        <v>2.946461945565906E-3</v>
      </c>
      <c r="L1805" s="1288">
        <v>2.0000012699399245E-3</v>
      </c>
      <c r="M1805" s="1280">
        <v>2.0000012699399245E-3</v>
      </c>
      <c r="N1805" s="1303">
        <v>2.6037140442601251E-2</v>
      </c>
      <c r="O1805" s="1288">
        <v>9.5080664637189876E-3</v>
      </c>
      <c r="P1805" s="1293">
        <v>4.7540332318594938E-3</v>
      </c>
      <c r="Q1805" s="1290">
        <v>0.15504052042497016</v>
      </c>
    </row>
    <row r="1806" spans="1:17" s="212" customFormat="1" ht="15.5" x14ac:dyDescent="0.35">
      <c r="A1806" s="198">
        <v>2044</v>
      </c>
      <c r="B1806" s="197" t="s">
        <v>5838</v>
      </c>
      <c r="C1806" s="197">
        <v>2007</v>
      </c>
      <c r="D1806" s="225" t="str">
        <f t="shared" si="18"/>
        <v>2044_2007</v>
      </c>
      <c r="E1806" s="1287">
        <v>0.31403302865025545</v>
      </c>
      <c r="F1806" s="1306">
        <v>8.9330478616157349E-3</v>
      </c>
      <c r="G1806" s="1303">
        <v>2.2857209907741973</v>
      </c>
      <c r="H1806" s="1306">
        <v>7.0006043340001656E-2</v>
      </c>
      <c r="I1806" s="1303">
        <v>8.201478870599048E-2</v>
      </c>
      <c r="J1806" s="1306">
        <v>1.87201535935515E-4</v>
      </c>
      <c r="K1806" s="1303">
        <v>2.9275362695234701E-3</v>
      </c>
      <c r="L1806" s="1288">
        <v>2.0000013017523058E-3</v>
      </c>
      <c r="M1806" s="1280">
        <v>2.0000013017523058E-3</v>
      </c>
      <c r="N1806" s="1303">
        <v>2.5592062360805953E-2</v>
      </c>
      <c r="O1806" s="1288">
        <v>6.7689358225047442E-3</v>
      </c>
      <c r="P1806" s="1293">
        <v>3.3844679112523721E-3</v>
      </c>
      <c r="Q1806" s="1290">
        <v>8.5723133516040495E-2</v>
      </c>
    </row>
    <row r="1807" spans="1:17" s="212" customFormat="1" ht="15.5" x14ac:dyDescent="0.35">
      <c r="A1807" s="198">
        <v>2044</v>
      </c>
      <c r="B1807" s="197" t="s">
        <v>5838</v>
      </c>
      <c r="C1807" s="197">
        <v>2008</v>
      </c>
      <c r="D1807" s="225" t="str">
        <f t="shared" si="18"/>
        <v>2044_2008</v>
      </c>
      <c r="E1807" s="1287">
        <v>0.32391660435021224</v>
      </c>
      <c r="F1807" s="1306">
        <v>8.3476023112404735E-3</v>
      </c>
      <c r="G1807" s="1303">
        <v>2.3635443926906814</v>
      </c>
      <c r="H1807" s="1306">
        <v>5.4054901903255112E-2</v>
      </c>
      <c r="I1807" s="1303">
        <v>8.4572208389964265E-2</v>
      </c>
      <c r="J1807" s="1306">
        <v>2.1079723782411241E-4</v>
      </c>
      <c r="K1807" s="1303">
        <v>2.9612275856450805E-3</v>
      </c>
      <c r="L1807" s="1288">
        <v>2.0000014310777555E-3</v>
      </c>
      <c r="M1807" s="1280">
        <v>2.0000014310777555E-3</v>
      </c>
      <c r="N1807" s="1303">
        <v>2.6387593763627142E-2</v>
      </c>
      <c r="O1807" s="1288">
        <v>6.8012303189702332E-3</v>
      </c>
      <c r="P1807" s="1293">
        <v>3.4006151594851166E-3</v>
      </c>
      <c r="Q1807" s="1290">
        <v>8.8396188369741766E-2</v>
      </c>
    </row>
    <row r="1808" spans="1:17" s="212" customFormat="1" ht="15.5" x14ac:dyDescent="0.35">
      <c r="A1808" s="198">
        <v>2044</v>
      </c>
      <c r="B1808" s="197" t="s">
        <v>5838</v>
      </c>
      <c r="C1808" s="197">
        <v>2009</v>
      </c>
      <c r="D1808" s="225" t="str">
        <f t="shared" ref="D1808:D1901" si="19">CONCATENATE(A1808,"_",C1808)</f>
        <v>2044_2009</v>
      </c>
      <c r="E1808" s="1287">
        <v>0.31361424976108382</v>
      </c>
      <c r="F1808" s="1306">
        <v>7.9632703432979297E-3</v>
      </c>
      <c r="G1808" s="1303">
        <v>2.2638523086339228</v>
      </c>
      <c r="H1808" s="1306">
        <v>3.8750371143201755E-2</v>
      </c>
      <c r="I1808" s="1303">
        <v>8.1703782140115394E-2</v>
      </c>
      <c r="J1808" s="1306">
        <v>2.3916620428441371E-4</v>
      </c>
      <c r="K1808" s="1303">
        <v>2.912625895698327E-3</v>
      </c>
      <c r="L1808" s="1288">
        <v>2.0000014819581244E-3</v>
      </c>
      <c r="M1808" s="1280">
        <v>2.0000014819581244E-3</v>
      </c>
      <c r="N1808" s="1303">
        <v>2.5245139363236798E-2</v>
      </c>
      <c r="O1808" s="1288">
        <v>5.4227444940610648E-3</v>
      </c>
      <c r="P1808" s="1293">
        <v>2.7113722470305324E-3</v>
      </c>
      <c r="Q1808" s="1290">
        <v>8.5398064613327759E-2</v>
      </c>
    </row>
    <row r="1809" spans="1:17" s="212" customFormat="1" ht="15.5" x14ac:dyDescent="0.35">
      <c r="A1809" s="198">
        <v>2044</v>
      </c>
      <c r="B1809" s="197" t="s">
        <v>5838</v>
      </c>
      <c r="C1809" s="197">
        <v>2010</v>
      </c>
      <c r="D1809" s="225" t="str">
        <f t="shared" si="19"/>
        <v>2044_2010</v>
      </c>
      <c r="E1809" s="1287">
        <v>6.6938850817706508E-2</v>
      </c>
      <c r="F1809" s="1306">
        <v>7.3426874862624293E-3</v>
      </c>
      <c r="G1809" s="1303">
        <v>0.58201596336902162</v>
      </c>
      <c r="H1809" s="1306">
        <v>3.6844124524000529E-2</v>
      </c>
      <c r="I1809" s="1303">
        <v>1.8547702719376499E-2</v>
      </c>
      <c r="J1809" s="1306">
        <v>2.9560893179469744E-4</v>
      </c>
      <c r="K1809" s="1303">
        <v>2.8046303172727513E-3</v>
      </c>
      <c r="L1809" s="1288">
        <v>2.0000015584212489E-3</v>
      </c>
      <c r="M1809" s="1280">
        <v>2.0000015584212489E-3</v>
      </c>
      <c r="N1809" s="1303">
        <v>2.270527405459229E-2</v>
      </c>
      <c r="O1809" s="1288">
        <v>4.5775150631044729E-3</v>
      </c>
      <c r="P1809" s="1293">
        <v>2.2887575315522365E-3</v>
      </c>
      <c r="Q1809" s="1290">
        <v>1.9386347532134928E-2</v>
      </c>
    </row>
    <row r="1810" spans="1:17" s="212" customFormat="1" ht="15.5" x14ac:dyDescent="0.35">
      <c r="A1810" s="198">
        <v>2044</v>
      </c>
      <c r="B1810" s="197" t="s">
        <v>5838</v>
      </c>
      <c r="C1810" s="197">
        <v>2011</v>
      </c>
      <c r="D1810" s="225" t="str">
        <f t="shared" si="19"/>
        <v>2044_2011</v>
      </c>
      <c r="E1810" s="1287">
        <v>7.2885327066155109E-2</v>
      </c>
      <c r="F1810" s="1306">
        <v>7.3183353063154665E-3</v>
      </c>
      <c r="G1810" s="1303">
        <v>0.65169871737688412</v>
      </c>
      <c r="H1810" s="1306">
        <v>3.6644524066006247E-2</v>
      </c>
      <c r="I1810" s="1303">
        <v>2.0084145182425371E-2</v>
      </c>
      <c r="J1810" s="1306">
        <v>3.9243224903042184E-4</v>
      </c>
      <c r="K1810" s="1303">
        <v>2.9101360372483492E-3</v>
      </c>
      <c r="L1810" s="1288">
        <v>2.0000015075441551E-3</v>
      </c>
      <c r="M1810" s="1280">
        <v>2.0000015075441551E-3</v>
      </c>
      <c r="N1810" s="1303">
        <v>2.5192736810739694E-2</v>
      </c>
      <c r="O1810" s="1288">
        <v>5.6413435725912123E-3</v>
      </c>
      <c r="P1810" s="1293">
        <v>2.8206717862956062E-3</v>
      </c>
      <c r="Q1810" s="1290">
        <v>2.0992261105500322E-2</v>
      </c>
    </row>
    <row r="1811" spans="1:17" s="212" customFormat="1" ht="15.5" x14ac:dyDescent="0.35">
      <c r="A1811" s="198">
        <v>2044</v>
      </c>
      <c r="B1811" s="197" t="s">
        <v>5838</v>
      </c>
      <c r="C1811" s="197">
        <v>2012</v>
      </c>
      <c r="D1811" s="225" t="str">
        <f t="shared" si="19"/>
        <v>2044_2012</v>
      </c>
      <c r="E1811" s="1287">
        <v>5.8344539660725392E-2</v>
      </c>
      <c r="F1811" s="1306">
        <v>6.970069236946522E-3</v>
      </c>
      <c r="G1811" s="1303">
        <v>0.49254048936191891</v>
      </c>
      <c r="H1811" s="1306">
        <v>3.5535598545913545E-2</v>
      </c>
      <c r="I1811" s="1303">
        <v>1.6424897259321263E-2</v>
      </c>
      <c r="J1811" s="1306">
        <v>5.6828494568390375E-4</v>
      </c>
      <c r="K1811" s="1303">
        <v>2.677703352583083E-3</v>
      </c>
      <c r="L1811" s="1288">
        <v>2.0000015435406564E-3</v>
      </c>
      <c r="M1811" s="1280">
        <v>2.0000015435406564E-3</v>
      </c>
      <c r="N1811" s="1303">
        <v>1.9709141690166895E-2</v>
      </c>
      <c r="O1811" s="1288">
        <v>6.1543599637978626E-3</v>
      </c>
      <c r="P1811" s="1293">
        <v>3.0771799818989313E-3</v>
      </c>
      <c r="Q1811" s="1290">
        <v>1.7167558228985677E-2</v>
      </c>
    </row>
    <row r="1812" spans="1:17" s="212" customFormat="1" ht="15.5" x14ac:dyDescent="0.35">
      <c r="A1812" s="198">
        <v>2044</v>
      </c>
      <c r="B1812" s="197" t="s">
        <v>5838</v>
      </c>
      <c r="C1812" s="197">
        <v>2013</v>
      </c>
      <c r="D1812" s="225" t="str">
        <f t="shared" si="19"/>
        <v>2044_2013</v>
      </c>
      <c r="E1812" s="1287">
        <v>7.1973217490593808E-2</v>
      </c>
      <c r="F1812" s="1306">
        <v>7.4773433738949237E-3</v>
      </c>
      <c r="G1812" s="1303">
        <v>0.64033438748009486</v>
      </c>
      <c r="H1812" s="1306">
        <v>3.6795177750120749E-2</v>
      </c>
      <c r="I1812" s="1303">
        <v>1.9839668589576018E-2</v>
      </c>
      <c r="J1812" s="1306">
        <v>8.4795544926869479E-4</v>
      </c>
      <c r="K1812" s="1303">
        <v>2.8932578972976496E-3</v>
      </c>
      <c r="L1812" s="1288">
        <v>2.000001534050209E-3</v>
      </c>
      <c r="M1812" s="1280">
        <v>2.000001534050209E-3</v>
      </c>
      <c r="N1812" s="1303">
        <v>2.479498837265862E-2</v>
      </c>
      <c r="O1812" s="1288">
        <v>6.2330446184816445E-3</v>
      </c>
      <c r="P1812" s="1293">
        <v>3.1165223092408222E-3</v>
      </c>
      <c r="Q1812" s="1290">
        <v>2.0736730365971092E-2</v>
      </c>
    </row>
    <row r="1813" spans="1:17" s="212" customFormat="1" ht="15.5" x14ac:dyDescent="0.35">
      <c r="A1813" s="198">
        <v>2044</v>
      </c>
      <c r="B1813" s="197" t="s">
        <v>5838</v>
      </c>
      <c r="C1813" s="197">
        <v>2014</v>
      </c>
      <c r="D1813" s="225" t="str">
        <f t="shared" si="19"/>
        <v>2044_2014</v>
      </c>
      <c r="E1813" s="1287">
        <v>6.5407098962291119E-2</v>
      </c>
      <c r="F1813" s="1306">
        <v>7.624738871572773E-3</v>
      </c>
      <c r="G1813" s="1303">
        <v>0.56970490635291693</v>
      </c>
      <c r="H1813" s="1306">
        <v>3.7239996831459461E-2</v>
      </c>
      <c r="I1813" s="1303">
        <v>1.8201624618554534E-2</v>
      </c>
      <c r="J1813" s="1306">
        <v>1.2002933989997285E-3</v>
      </c>
      <c r="K1813" s="1303">
        <v>2.7905730032878051E-3</v>
      </c>
      <c r="L1813" s="1288">
        <v>2.0000015479169049E-3</v>
      </c>
      <c r="M1813" s="1280">
        <v>2.0000015479169049E-3</v>
      </c>
      <c r="N1813" s="1303">
        <v>2.23706864888648E-2</v>
      </c>
      <c r="O1813" s="1288">
        <v>5.29981614610886E-3</v>
      </c>
      <c r="P1813" s="1293">
        <v>2.64990807305443E-3</v>
      </c>
      <c r="Q1813" s="1290">
        <v>1.9024621315292544E-2</v>
      </c>
    </row>
    <row r="1814" spans="1:17" s="212" customFormat="1" ht="15.5" x14ac:dyDescent="0.35">
      <c r="A1814" s="198">
        <v>2044</v>
      </c>
      <c r="B1814" s="197" t="s">
        <v>5838</v>
      </c>
      <c r="C1814" s="197">
        <v>2015</v>
      </c>
      <c r="D1814" s="225" t="str">
        <f t="shared" si="19"/>
        <v>2044_2015</v>
      </c>
      <c r="E1814" s="1287">
        <v>6.1419300444472087E-2</v>
      </c>
      <c r="F1814" s="1306">
        <v>7.4608150384307941E-3</v>
      </c>
      <c r="G1814" s="1303">
        <v>0.53001870783865446</v>
      </c>
      <c r="H1814" s="1306">
        <v>3.6385895282473442E-2</v>
      </c>
      <c r="I1814" s="1303">
        <v>1.7244106407755023E-2</v>
      </c>
      <c r="J1814" s="1306">
        <v>1.482613865344615E-3</v>
      </c>
      <c r="K1814" s="1303">
        <v>2.7347433156316866E-3</v>
      </c>
      <c r="L1814" s="1288">
        <v>2.0000015201689712E-3</v>
      </c>
      <c r="M1814" s="1280">
        <v>2.0000015201689712E-3</v>
      </c>
      <c r="N1814" s="1303">
        <v>2.1044857967065653E-2</v>
      </c>
      <c r="O1814" s="1288">
        <v>6.2892822033149788E-3</v>
      </c>
      <c r="P1814" s="1293">
        <v>3.1446411016574894E-3</v>
      </c>
      <c r="Q1814" s="1290">
        <v>1.8023808379924799E-2</v>
      </c>
    </row>
    <row r="1815" spans="1:17" s="212" customFormat="1" ht="15.5" x14ac:dyDescent="0.35">
      <c r="A1815" s="198">
        <v>2044</v>
      </c>
      <c r="B1815" s="197" t="s">
        <v>5838</v>
      </c>
      <c r="C1815" s="197">
        <v>2016</v>
      </c>
      <c r="D1815" s="225" t="str">
        <f t="shared" si="19"/>
        <v>2044_2016</v>
      </c>
      <c r="E1815" s="1287">
        <v>6.9141335279024177E-2</v>
      </c>
      <c r="F1815" s="1306">
        <v>7.3253256404325982E-3</v>
      </c>
      <c r="G1815" s="1303">
        <v>0.54767182760061506</v>
      </c>
      <c r="H1815" s="1306">
        <v>3.5616513850330066E-2</v>
      </c>
      <c r="I1815" s="1303">
        <v>1.9220643630260076E-2</v>
      </c>
      <c r="J1815" s="1306">
        <v>1.6800025998985196E-3</v>
      </c>
      <c r="K1815" s="1303">
        <v>2.870261122416905E-3</v>
      </c>
      <c r="L1815" s="1288">
        <v>2.0000014576914311E-3</v>
      </c>
      <c r="M1815" s="1280">
        <v>2.0000014576914311E-3</v>
      </c>
      <c r="N1815" s="1303">
        <v>2.4242005604458768E-2</v>
      </c>
      <c r="O1815" s="1288">
        <v>7.3383668505850362E-3</v>
      </c>
      <c r="P1815" s="1293">
        <v>3.6691834252925181E-3</v>
      </c>
      <c r="Q1815" s="1290">
        <v>2.0089715844877527E-2</v>
      </c>
    </row>
    <row r="1816" spans="1:17" s="212" customFormat="1" ht="15.5" x14ac:dyDescent="0.35">
      <c r="A1816" s="198">
        <v>2044</v>
      </c>
      <c r="B1816" s="197" t="s">
        <v>5838</v>
      </c>
      <c r="C1816" s="197">
        <v>2017</v>
      </c>
      <c r="D1816" s="225" t="str">
        <f t="shared" si="19"/>
        <v>2044_2017</v>
      </c>
      <c r="E1816" s="1287">
        <v>7.0457655547584833E-2</v>
      </c>
      <c r="F1816" s="1306">
        <v>7.062634194321492E-3</v>
      </c>
      <c r="G1816" s="1303">
        <v>0.48696728660492655</v>
      </c>
      <c r="H1816" s="1306">
        <v>3.4926539892962245E-2</v>
      </c>
      <c r="I1816" s="1303">
        <v>1.9554032074250494E-2</v>
      </c>
      <c r="J1816" s="1306">
        <v>1.8044855369590707E-3</v>
      </c>
      <c r="K1816" s="1303">
        <v>2.8905421047550044E-3</v>
      </c>
      <c r="L1816" s="1288">
        <v>2.0000014369841931E-3</v>
      </c>
      <c r="M1816" s="1280">
        <v>2.0000014369841931E-3</v>
      </c>
      <c r="N1816" s="1303">
        <v>2.4724155479534216E-2</v>
      </c>
      <c r="O1816" s="1288">
        <v>7.3463577403005071E-3</v>
      </c>
      <c r="P1816" s="1293">
        <v>3.6731788701502535E-3</v>
      </c>
      <c r="Q1816" s="1290">
        <v>2.0438178634915868E-2</v>
      </c>
    </row>
    <row r="1817" spans="1:17" s="212" customFormat="1" ht="15.5" x14ac:dyDescent="0.35">
      <c r="A1817" s="198">
        <v>2044</v>
      </c>
      <c r="B1817" s="197" t="s">
        <v>5838</v>
      </c>
      <c r="C1817" s="197">
        <v>2018</v>
      </c>
      <c r="D1817" s="225" t="str">
        <f t="shared" si="19"/>
        <v>2044_2018</v>
      </c>
      <c r="E1817" s="1287">
        <v>6.6992405011428419E-2</v>
      </c>
      <c r="F1817" s="1306">
        <v>6.9652860364916875E-3</v>
      </c>
      <c r="G1817" s="1303">
        <v>0.37917431916709826</v>
      </c>
      <c r="H1817" s="1306">
        <v>3.461996612488092E-2</v>
      </c>
      <c r="I1817" s="1303">
        <v>1.8668201916034442E-2</v>
      </c>
      <c r="J1817" s="1306">
        <v>1.908968361681658E-3</v>
      </c>
      <c r="K1817" s="1303">
        <v>2.8300070721955371E-3</v>
      </c>
      <c r="L1817" s="1288">
        <v>2.0000014325022063E-3</v>
      </c>
      <c r="M1817" s="1280">
        <v>2.0000014325022063E-3</v>
      </c>
      <c r="N1817" s="1303">
        <v>2.3295466283074096E-2</v>
      </c>
      <c r="O1817" s="1288">
        <v>6.6668609414795282E-3</v>
      </c>
      <c r="P1817" s="1293">
        <v>3.3334304707397641E-3</v>
      </c>
      <c r="Q1817" s="1290">
        <v>1.9512295167758452E-2</v>
      </c>
    </row>
    <row r="1818" spans="1:17" s="212" customFormat="1" ht="15.5" x14ac:dyDescent="0.35">
      <c r="A1818" s="198">
        <v>2044</v>
      </c>
      <c r="B1818" s="197" t="s">
        <v>5838</v>
      </c>
      <c r="C1818" s="197">
        <v>2019</v>
      </c>
      <c r="D1818" s="225" t="str">
        <f t="shared" si="19"/>
        <v>2044_2019</v>
      </c>
      <c r="E1818" s="1287">
        <v>7.3778757146305357E-2</v>
      </c>
      <c r="F1818" s="1306">
        <v>6.866065764322647E-3</v>
      </c>
      <c r="G1818" s="1303">
        <v>0.37139724449917955</v>
      </c>
      <c r="H1818" s="1306">
        <v>3.4057582461507745E-2</v>
      </c>
      <c r="I1818" s="1303">
        <v>2.0411672234798072E-2</v>
      </c>
      <c r="J1818" s="1306">
        <v>1.815416696049039E-3</v>
      </c>
      <c r="K1818" s="1303">
        <v>2.9501315241903846E-3</v>
      </c>
      <c r="L1818" s="1288">
        <v>2.0000013715474165E-3</v>
      </c>
      <c r="M1818" s="1280">
        <v>2.0000013715474165E-3</v>
      </c>
      <c r="N1818" s="1303">
        <v>2.6126702735168157E-2</v>
      </c>
      <c r="O1818" s="1288">
        <v>6.6868533939667815E-3</v>
      </c>
      <c r="P1818" s="1293">
        <v>3.3434266969833907E-3</v>
      </c>
      <c r="Q1818" s="1290">
        <v>2.1334597477801542E-2</v>
      </c>
    </row>
    <row r="1819" spans="1:17" s="212" customFormat="1" ht="15.5" x14ac:dyDescent="0.35">
      <c r="A1819" s="198">
        <v>2044</v>
      </c>
      <c r="B1819" s="197" t="s">
        <v>5838</v>
      </c>
      <c r="C1819" s="197">
        <v>2020</v>
      </c>
      <c r="D1819" s="225" t="str">
        <f t="shared" si="19"/>
        <v>2044_2020</v>
      </c>
      <c r="E1819" s="1287">
        <v>6.4346243960099206E-2</v>
      </c>
      <c r="F1819" s="1306">
        <v>6.7568151158905786E-3</v>
      </c>
      <c r="G1819" s="1303">
        <v>0.28951231609759198</v>
      </c>
      <c r="H1819" s="1306">
        <v>3.3194484568758939E-2</v>
      </c>
      <c r="I1819" s="1303">
        <v>1.8493937621007771E-2</v>
      </c>
      <c r="J1819" s="1306">
        <v>1.3502625513023411E-3</v>
      </c>
      <c r="K1819" s="1303">
        <v>2.9265319763945702E-3</v>
      </c>
      <c r="L1819" s="1288">
        <v>2.0000014492898019E-3</v>
      </c>
      <c r="M1819" s="1280">
        <v>2.0000014492898019E-3</v>
      </c>
      <c r="N1819" s="1303">
        <v>2.5577492557383487E-2</v>
      </c>
      <c r="O1819" s="1288">
        <v>6.7872243731241719E-3</v>
      </c>
      <c r="P1819" s="1293">
        <v>3.3936121865620859E-3</v>
      </c>
      <c r="Q1819" s="1290">
        <v>1.9330151414596944E-2</v>
      </c>
    </row>
    <row r="1820" spans="1:17" s="212" customFormat="1" ht="15.5" x14ac:dyDescent="0.35">
      <c r="A1820" s="198">
        <v>2044</v>
      </c>
      <c r="B1820" s="197" t="s">
        <v>5838</v>
      </c>
      <c r="C1820" s="197">
        <v>2021</v>
      </c>
      <c r="D1820" s="225" t="str">
        <f t="shared" si="19"/>
        <v>2044_2021</v>
      </c>
      <c r="E1820" s="1287">
        <v>6.3399263187747273E-2</v>
      </c>
      <c r="F1820" s="1306">
        <v>6.5765724914289515E-3</v>
      </c>
      <c r="G1820" s="1303">
        <v>0.23552056377641134</v>
      </c>
      <c r="H1820" s="1306">
        <v>3.2404066743960382E-2</v>
      </c>
      <c r="I1820" s="1303">
        <v>1.8030710874222058E-2</v>
      </c>
      <c r="J1820" s="1306">
        <v>8.8998471878978986E-4</v>
      </c>
      <c r="K1820" s="1303">
        <v>2.9231562499552467E-3</v>
      </c>
      <c r="L1820" s="1288">
        <v>2.0000014640849276E-3</v>
      </c>
      <c r="M1820" s="1280">
        <v>2.0000014640849276E-3</v>
      </c>
      <c r="N1820" s="1303">
        <v>2.549765857081325E-2</v>
      </c>
      <c r="O1820" s="1288">
        <v>6.737581757689565E-3</v>
      </c>
      <c r="P1820" s="1293">
        <v>3.3687908788447825E-3</v>
      </c>
      <c r="Q1820" s="1290">
        <v>1.8845979609859877E-2</v>
      </c>
    </row>
    <row r="1821" spans="1:17" s="212" customFormat="1" ht="15.5" x14ac:dyDescent="0.35">
      <c r="A1821" s="198">
        <v>2044</v>
      </c>
      <c r="B1821" s="197" t="s">
        <v>5838</v>
      </c>
      <c r="C1821" s="197">
        <v>2022</v>
      </c>
      <c r="D1821" s="225" t="str">
        <f t="shared" si="19"/>
        <v>2044_2022</v>
      </c>
      <c r="E1821" s="1287">
        <v>6.3078856597807029E-2</v>
      </c>
      <c r="F1821" s="1306">
        <v>6.4339388190245263E-3</v>
      </c>
      <c r="G1821" s="1303">
        <v>0.18157760688042526</v>
      </c>
      <c r="H1821" s="1306">
        <v>3.1566538538984119E-2</v>
      </c>
      <c r="I1821" s="1303">
        <v>1.7879457074681054E-2</v>
      </c>
      <c r="J1821" s="1306">
        <v>8.8967905944048215E-4</v>
      </c>
      <c r="K1821" s="1303">
        <v>2.9193346628334405E-3</v>
      </c>
      <c r="L1821" s="1288">
        <v>2.0000014783609528E-3</v>
      </c>
      <c r="M1821" s="1280">
        <v>2.0000014783609528E-3</v>
      </c>
      <c r="N1821" s="1303">
        <v>2.5407067783133952E-2</v>
      </c>
      <c r="O1821" s="1288">
        <v>6.7317301116685191E-3</v>
      </c>
      <c r="P1821" s="1293">
        <v>3.3658650558342595E-3</v>
      </c>
      <c r="Q1821" s="1290">
        <v>1.8687886784682341E-2</v>
      </c>
    </row>
    <row r="1822" spans="1:17" s="212" customFormat="1" ht="15.5" x14ac:dyDescent="0.35">
      <c r="A1822" s="198">
        <v>2044</v>
      </c>
      <c r="B1822" s="197" t="s">
        <v>5838</v>
      </c>
      <c r="C1822" s="197">
        <v>2023</v>
      </c>
      <c r="D1822" s="225" t="str">
        <f t="shared" si="19"/>
        <v>2044_2023</v>
      </c>
      <c r="E1822" s="1287">
        <v>6.269793090585872E-2</v>
      </c>
      <c r="F1822" s="1306">
        <v>6.1599357940212316E-3</v>
      </c>
      <c r="G1822" s="1303">
        <v>0.18004343010314117</v>
      </c>
      <c r="H1822" s="1306">
        <v>3.0760645052014583E-2</v>
      </c>
      <c r="I1822" s="1303">
        <v>1.7682250529971327E-2</v>
      </c>
      <c r="J1822" s="1306">
        <v>8.8911090321488464E-4</v>
      </c>
      <c r="K1822" s="1303">
        <v>2.91555626030581E-3</v>
      </c>
      <c r="L1822" s="1288">
        <v>2.0000014911182836E-3</v>
      </c>
      <c r="M1822" s="1280">
        <v>2.0000014911182836E-3</v>
      </c>
      <c r="N1822" s="1303">
        <v>2.5317093506985688E-2</v>
      </c>
      <c r="O1822" s="1288">
        <v>6.6992927461817326E-3</v>
      </c>
      <c r="P1822" s="1293">
        <v>3.3496463730908663E-3</v>
      </c>
      <c r="Q1822" s="1290">
        <v>1.8481763435111997E-2</v>
      </c>
    </row>
    <row r="1823" spans="1:17" s="212" customFormat="1" ht="15.5" x14ac:dyDescent="0.35">
      <c r="A1823" s="198">
        <v>2044</v>
      </c>
      <c r="B1823" s="197" t="s">
        <v>5838</v>
      </c>
      <c r="C1823" s="197">
        <v>2024</v>
      </c>
      <c r="D1823" s="225" t="str">
        <f t="shared" si="19"/>
        <v>2044_2024</v>
      </c>
      <c r="E1823" s="1287">
        <v>6.2031295894828274E-2</v>
      </c>
      <c r="F1823" s="1306">
        <v>5.602654439963415E-3</v>
      </c>
      <c r="G1823" s="1303">
        <v>0.17753207533763565</v>
      </c>
      <c r="H1823" s="1306">
        <v>2.9573426860910485E-2</v>
      </c>
      <c r="I1823" s="1303">
        <v>1.7372315899861081E-2</v>
      </c>
      <c r="J1823" s="1306">
        <v>8.8743366964767507E-4</v>
      </c>
      <c r="K1823" s="1303">
        <v>2.908098293818493E-3</v>
      </c>
      <c r="L1823" s="1288">
        <v>2.0000015087153302E-3</v>
      </c>
      <c r="M1823" s="1306">
        <v>2.0000005733720634E-3</v>
      </c>
      <c r="N1823" s="1303">
        <v>2.5140225788126271E-2</v>
      </c>
      <c r="O1823" s="1288">
        <v>6.5487072922679034E-3</v>
      </c>
      <c r="P1823" s="1294">
        <v>3.8771580176854697E-3</v>
      </c>
      <c r="Q1823" s="1290">
        <v>1.8157814936342706E-2</v>
      </c>
    </row>
    <row r="1824" spans="1:17" s="212" customFormat="1" ht="15.5" x14ac:dyDescent="0.35">
      <c r="A1824" s="198">
        <v>2044</v>
      </c>
      <c r="B1824" s="197" t="s">
        <v>5838</v>
      </c>
      <c r="C1824" s="197">
        <v>2025</v>
      </c>
      <c r="D1824" s="225" t="str">
        <f t="shared" si="19"/>
        <v>2044_2025</v>
      </c>
      <c r="E1824" s="1287">
        <v>6.1425831732345886E-2</v>
      </c>
      <c r="F1824" s="1306">
        <v>5.1189486273930714E-3</v>
      </c>
      <c r="G1824" s="1303">
        <v>0.17509666673454244</v>
      </c>
      <c r="H1824" s="1306">
        <v>2.8549342934570864E-2</v>
      </c>
      <c r="I1824" s="1303">
        <v>1.7054402939027408E-2</v>
      </c>
      <c r="J1824" s="1306">
        <v>8.8626949118883968E-4</v>
      </c>
      <c r="K1824" s="1303">
        <v>2.9026695299718746E-3</v>
      </c>
      <c r="L1824" s="1288">
        <v>2.0000015233406303E-3</v>
      </c>
      <c r="M1824" s="1306">
        <v>2.0000005734059708E-3</v>
      </c>
      <c r="N1824" s="1303">
        <v>2.501047518308365E-2</v>
      </c>
      <c r="O1824" s="1288">
        <v>6.4430239196223938E-3</v>
      </c>
      <c r="P1824" s="1294">
        <v>4.3314717177259507E-3</v>
      </c>
      <c r="Q1824" s="1290">
        <v>1.7825527362138004E-2</v>
      </c>
    </row>
    <row r="1825" spans="1:17" s="212" customFormat="1" ht="15.5" x14ac:dyDescent="0.35">
      <c r="A1825" s="198">
        <v>2044</v>
      </c>
      <c r="B1825" s="197" t="s">
        <v>5838</v>
      </c>
      <c r="C1825" s="197">
        <v>2026</v>
      </c>
      <c r="D1825" s="225" t="str">
        <f t="shared" si="19"/>
        <v>2044_2026</v>
      </c>
      <c r="E1825" s="1287">
        <v>6.0711488031639116E-2</v>
      </c>
      <c r="F1825" s="1306">
        <v>5.1313329118807911E-3</v>
      </c>
      <c r="G1825" s="1303">
        <v>0.17222405954473141</v>
      </c>
      <c r="H1825" s="1306">
        <v>2.8344215583456657E-2</v>
      </c>
      <c r="I1825" s="1303">
        <v>1.6678144487282321E-2</v>
      </c>
      <c r="J1825" s="1306">
        <v>7.727556167425717E-4</v>
      </c>
      <c r="K1825" s="1303">
        <v>2.8964140196620584E-3</v>
      </c>
      <c r="L1825" s="1288">
        <v>2.0000015425564463E-3</v>
      </c>
      <c r="M1825" s="1306">
        <v>2.0000005734720303E-3</v>
      </c>
      <c r="N1825" s="1303">
        <v>2.4860724767658018E-2</v>
      </c>
      <c r="O1825" s="1288">
        <v>6.2973875385731581E-3</v>
      </c>
      <c r="P1825" s="1294">
        <v>5.2208208207249829E-3</v>
      </c>
      <c r="Q1825" s="1290">
        <v>1.7432256172827197E-2</v>
      </c>
    </row>
    <row r="1826" spans="1:17" s="212" customFormat="1" ht="15.5" x14ac:dyDescent="0.35">
      <c r="A1826" s="198">
        <v>2044</v>
      </c>
      <c r="B1826" s="197" t="s">
        <v>5838</v>
      </c>
      <c r="C1826" s="197">
        <v>2027</v>
      </c>
      <c r="D1826" s="225" t="str">
        <f t="shared" si="19"/>
        <v>2044_2027</v>
      </c>
      <c r="E1826" s="1287">
        <v>5.9653509855726199E-2</v>
      </c>
      <c r="F1826" s="1306">
        <v>5.177475844217923E-3</v>
      </c>
      <c r="G1826" s="1303">
        <v>0.16822129481853107</v>
      </c>
      <c r="H1826" s="1306">
        <v>2.8157322288919727E-2</v>
      </c>
      <c r="I1826" s="1303">
        <v>1.617694771682476E-2</v>
      </c>
      <c r="J1826" s="1306">
        <v>6.3803329750717187E-4</v>
      </c>
      <c r="K1826" s="1303">
        <v>2.8853568708711174E-3</v>
      </c>
      <c r="L1826" s="1288">
        <v>2.0000015658084634E-3</v>
      </c>
      <c r="M1826" s="1306">
        <v>2.0000005735336603E-3</v>
      </c>
      <c r="N1826" s="1303">
        <v>2.4597098215465251E-2</v>
      </c>
      <c r="O1826" s="1288">
        <v>6.0945164596645281E-3</v>
      </c>
      <c r="P1826" s="1294">
        <v>6.0486324135557356E-3</v>
      </c>
      <c r="Q1826" s="1290">
        <v>1.6908397508437235E-2</v>
      </c>
    </row>
    <row r="1827" spans="1:17" s="212" customFormat="1" ht="15.5" x14ac:dyDescent="0.35">
      <c r="A1827" s="198">
        <v>2044</v>
      </c>
      <c r="B1827" s="197" t="s">
        <v>5838</v>
      </c>
      <c r="C1827" s="197">
        <v>2028</v>
      </c>
      <c r="D1827" s="225" t="str">
        <f t="shared" si="19"/>
        <v>2044_2028</v>
      </c>
      <c r="E1827" s="1287">
        <v>5.8543663049840461E-2</v>
      </c>
      <c r="F1827" s="1306">
        <v>5.1522748312146007E-3</v>
      </c>
      <c r="G1827" s="1303">
        <v>0.16397207690995802</v>
      </c>
      <c r="H1827" s="1306">
        <v>2.7849947098451448E-2</v>
      </c>
      <c r="I1827" s="1303">
        <v>1.5638317143758105E-2</v>
      </c>
      <c r="J1827" s="1306">
        <v>5.2044009139362915E-4</v>
      </c>
      <c r="K1827" s="1303">
        <v>2.8743274005930226E-3</v>
      </c>
      <c r="L1827" s="1288">
        <v>2.0000015852336319E-3</v>
      </c>
      <c r="M1827" s="1306">
        <v>2.0000005735777079E-3</v>
      </c>
      <c r="N1827" s="1303">
        <v>2.4332986920107439E-2</v>
      </c>
      <c r="O1827" s="1288">
        <v>5.9010145040915918E-3</v>
      </c>
      <c r="P1827" s="1294">
        <v>6.6364506888958045E-3</v>
      </c>
      <c r="Q1827" s="1290">
        <v>1.6345412450994298E-2</v>
      </c>
    </row>
    <row r="1828" spans="1:17" s="212" customFormat="1" ht="15.5" x14ac:dyDescent="0.35">
      <c r="A1828" s="198">
        <v>2044</v>
      </c>
      <c r="B1828" s="197" t="s">
        <v>5838</v>
      </c>
      <c r="C1828" s="197">
        <v>2029</v>
      </c>
      <c r="D1828" s="225" t="str">
        <f t="shared" si="19"/>
        <v>2044_2029</v>
      </c>
      <c r="E1828" s="1287">
        <v>5.7330450673033544E-2</v>
      </c>
      <c r="F1828" s="1306">
        <v>5.1148426215417786E-3</v>
      </c>
      <c r="G1828" s="1303">
        <v>0.15933086644935429</v>
      </c>
      <c r="H1828" s="1306">
        <v>2.747532175371251E-2</v>
      </c>
      <c r="I1828" s="1303">
        <v>1.5048967052882677E-2</v>
      </c>
      <c r="J1828" s="1306">
        <v>5.1643370874693815E-4</v>
      </c>
      <c r="K1828" s="1303">
        <v>2.8624216198175853E-3</v>
      </c>
      <c r="L1828" s="1288">
        <v>2.0000016047457768E-3</v>
      </c>
      <c r="M1828" s="1306">
        <v>2.0000005736124159E-3</v>
      </c>
      <c r="N1828" s="1303">
        <v>2.4046985611121313E-2</v>
      </c>
      <c r="O1828" s="1288">
        <v>5.7216539017728128E-3</v>
      </c>
      <c r="P1828" s="1294">
        <v>7.0885854869702234E-3</v>
      </c>
      <c r="Q1828" s="1290">
        <v>1.5729414564211799E-2</v>
      </c>
    </row>
    <row r="1829" spans="1:17" s="212" customFormat="1" ht="15.5" x14ac:dyDescent="0.35">
      <c r="A1829" s="198">
        <v>2044</v>
      </c>
      <c r="B1829" s="197" t="s">
        <v>5838</v>
      </c>
      <c r="C1829" s="197">
        <v>2030</v>
      </c>
      <c r="D1829" s="225" t="str">
        <f t="shared" si="19"/>
        <v>2044_2030</v>
      </c>
      <c r="E1829" s="1287">
        <v>5.6064487224798724E-2</v>
      </c>
      <c r="F1829" s="1306">
        <v>5.0829045335566876E-3</v>
      </c>
      <c r="G1829" s="1303">
        <v>0.15445323633609881</v>
      </c>
      <c r="H1829" s="1306">
        <v>2.7063359973514972E-2</v>
      </c>
      <c r="I1829" s="1303">
        <v>1.4424705295322936E-2</v>
      </c>
      <c r="J1829" s="1306">
        <v>5.1242013391271195E-4</v>
      </c>
      <c r="K1829" s="1303">
        <v>2.8504498751004224E-3</v>
      </c>
      <c r="L1829" s="1288">
        <v>2.0000016253409378E-3</v>
      </c>
      <c r="M1829" s="1306">
        <v>2.0000005736367991E-3</v>
      </c>
      <c r="N1829" s="1303">
        <v>2.3758087270143363E-2</v>
      </c>
      <c r="O1829" s="1288">
        <v>5.5370813482467683E-3</v>
      </c>
      <c r="P1829" s="1294">
        <v>7.4076507982282309E-3</v>
      </c>
      <c r="Q1829" s="1290">
        <v>1.5076926460095719E-2</v>
      </c>
    </row>
    <row r="1830" spans="1:17" s="212" customFormat="1" ht="15.5" x14ac:dyDescent="0.35">
      <c r="A1830" s="198">
        <v>2044</v>
      </c>
      <c r="B1830" s="197" t="s">
        <v>5838</v>
      </c>
      <c r="C1830" s="197">
        <v>2031</v>
      </c>
      <c r="D1830" s="225" t="str">
        <f t="shared" si="19"/>
        <v>2044_2031</v>
      </c>
      <c r="E1830" s="1287">
        <v>5.4629655828504875E-2</v>
      </c>
      <c r="F1830" s="1306">
        <v>4.9921579161496133E-3</v>
      </c>
      <c r="G1830" s="1303">
        <v>0.14901355479955972</v>
      </c>
      <c r="H1830" s="1306">
        <v>2.6549715550814326E-2</v>
      </c>
      <c r="I1830" s="1303">
        <v>1.3736058105481853E-2</v>
      </c>
      <c r="J1830" s="1306">
        <v>5.0845962611848036E-4</v>
      </c>
      <c r="K1830" s="1303">
        <v>2.8363741558726117E-3</v>
      </c>
      <c r="L1830" s="1288">
        <v>2.0000016457249357E-3</v>
      </c>
      <c r="M1830" s="1306">
        <v>2.0000005736675141E-3</v>
      </c>
      <c r="N1830" s="1303">
        <v>2.3417789243478079E-2</v>
      </c>
      <c r="O1830" s="1288">
        <v>5.3510622006757028E-3</v>
      </c>
      <c r="P1830" s="1294">
        <v>7.8110633707617044E-3</v>
      </c>
      <c r="Q1830" s="1290">
        <v>1.4357141700156686E-2</v>
      </c>
    </row>
    <row r="1831" spans="1:17" s="212" customFormat="1" ht="15.5" x14ac:dyDescent="0.35">
      <c r="A1831" s="198">
        <v>2044</v>
      </c>
      <c r="B1831" s="197" t="s">
        <v>5838</v>
      </c>
      <c r="C1831" s="197">
        <v>2032</v>
      </c>
      <c r="D1831" s="225" t="str">
        <f t="shared" si="19"/>
        <v>2044_2032</v>
      </c>
      <c r="E1831" s="1287">
        <v>5.3134871426061707E-2</v>
      </c>
      <c r="F1831" s="1306">
        <v>4.8907295550627431E-3</v>
      </c>
      <c r="G1831" s="1303">
        <v>0.14333933764789539</v>
      </c>
      <c r="H1831" s="1306">
        <v>2.5979391209595644E-2</v>
      </c>
      <c r="I1831" s="1303">
        <v>1.301519298624231E-2</v>
      </c>
      <c r="J1831" s="1306">
        <v>5.0459421086302368E-4</v>
      </c>
      <c r="K1831" s="1303">
        <v>2.8220071562816726E-3</v>
      </c>
      <c r="L1831" s="1288">
        <v>2.0000016648798026E-3</v>
      </c>
      <c r="M1831" s="1306">
        <v>2.0000005736946417E-3</v>
      </c>
      <c r="N1831" s="1303">
        <v>2.3068729235616113E-2</v>
      </c>
      <c r="O1831" s="1288">
        <v>5.1645303369830886E-3</v>
      </c>
      <c r="P1831" s="1294">
        <v>8.1668851579701825E-3</v>
      </c>
      <c r="Q1831" s="1290">
        <v>1.3603682259016682E-2</v>
      </c>
    </row>
    <row r="1832" spans="1:17" s="212" customFormat="1" ht="15.5" x14ac:dyDescent="0.35">
      <c r="A1832" s="198">
        <v>2044</v>
      </c>
      <c r="B1832" s="197" t="s">
        <v>5838</v>
      </c>
      <c r="C1832" s="197">
        <v>2033</v>
      </c>
      <c r="D1832" s="225" t="str">
        <f t="shared" si="19"/>
        <v>2044_2033</v>
      </c>
      <c r="E1832" s="1287">
        <v>5.1450243238684495E-2</v>
      </c>
      <c r="F1832" s="1306">
        <v>4.7784689474873717E-3</v>
      </c>
      <c r="G1832" s="1303">
        <v>0.13707727874687492</v>
      </c>
      <c r="H1832" s="1306">
        <v>2.5349731743486027E-2</v>
      </c>
      <c r="I1832" s="1303">
        <v>1.2231545272270789E-2</v>
      </c>
      <c r="J1832" s="1306">
        <v>5.0080161202690891E-4</v>
      </c>
      <c r="K1832" s="1303">
        <v>2.8050052683578014E-3</v>
      </c>
      <c r="L1832" s="1288">
        <v>2.0000016846700524E-3</v>
      </c>
      <c r="M1832" s="1306">
        <v>2.0000005737176463E-3</v>
      </c>
      <c r="N1832" s="1303">
        <v>2.2654891299796202E-2</v>
      </c>
      <c r="O1832" s="1288">
        <v>4.976252041965579E-3</v>
      </c>
      <c r="P1832" s="1294">
        <v>8.4693738898240604E-3</v>
      </c>
      <c r="Q1832" s="1290">
        <v>1.2784601472804524E-2</v>
      </c>
    </row>
    <row r="1833" spans="1:17" s="212" customFormat="1" ht="15.5" x14ac:dyDescent="0.35">
      <c r="A1833" s="198">
        <v>2044</v>
      </c>
      <c r="B1833" s="197" t="s">
        <v>5838</v>
      </c>
      <c r="C1833" s="197">
        <v>2034</v>
      </c>
      <c r="D1833" s="225" t="str">
        <f t="shared" si="19"/>
        <v>2044_2034</v>
      </c>
      <c r="E1833" s="1287">
        <v>4.9677640500500456E-2</v>
      </c>
      <c r="F1833" s="1306">
        <v>4.6554330107112379E-3</v>
      </c>
      <c r="G1833" s="1303">
        <v>0.13053312375418041</v>
      </c>
      <c r="H1833" s="1306">
        <v>2.4661624397816946E-2</v>
      </c>
      <c r="I1833" s="1303">
        <v>1.1415271035617134E-2</v>
      </c>
      <c r="J1833" s="1306">
        <v>4.9689565991190465E-4</v>
      </c>
      <c r="K1833" s="1303">
        <v>2.7870455667039808E-3</v>
      </c>
      <c r="L1833" s="1288">
        <v>2.0000017044528437E-3</v>
      </c>
      <c r="M1833" s="1306">
        <v>2.0000005737374491E-3</v>
      </c>
      <c r="N1833" s="1303">
        <v>2.2215739647055241E-2</v>
      </c>
      <c r="O1833" s="1288">
        <v>4.7793099647509768E-3</v>
      </c>
      <c r="P1833" s="1294">
        <v>8.7350219707173667E-3</v>
      </c>
      <c r="Q1833" s="1290">
        <v>1.1931418937332719E-2</v>
      </c>
    </row>
    <row r="1834" spans="1:17" s="212" customFormat="1" ht="15.5" x14ac:dyDescent="0.35">
      <c r="A1834" s="198">
        <v>2044</v>
      </c>
      <c r="B1834" s="197" t="s">
        <v>5838</v>
      </c>
      <c r="C1834" s="197">
        <v>2035</v>
      </c>
      <c r="D1834" s="225" t="str">
        <f t="shared" si="19"/>
        <v>2044_2035</v>
      </c>
      <c r="E1834" s="1287">
        <v>4.7636652832960015E-2</v>
      </c>
      <c r="F1834" s="1306">
        <v>4.5202980833712689E-3</v>
      </c>
      <c r="G1834" s="1303">
        <v>0.12323638950565263</v>
      </c>
      <c r="H1834" s="1306">
        <v>2.3904946532343124E-2</v>
      </c>
      <c r="I1834" s="1303">
        <v>1.0528145076695966E-2</v>
      </c>
      <c r="J1834" s="1306">
        <v>4.9329361937752649E-4</v>
      </c>
      <c r="K1834" s="1303">
        <v>2.7647723543423575E-3</v>
      </c>
      <c r="L1834" s="1288">
        <v>2.0000017269496306E-3</v>
      </c>
      <c r="M1834" s="1306">
        <v>2.000000573754923E-3</v>
      </c>
      <c r="N1834" s="1303">
        <v>2.167082705169637E-2</v>
      </c>
      <c r="O1834" s="1288">
        <v>4.5871958515220539E-3</v>
      </c>
      <c r="P1834" s="1294">
        <v>8.9679375048019871E-3</v>
      </c>
      <c r="Q1834" s="1290">
        <v>1.1004181079112231E-2</v>
      </c>
    </row>
    <row r="1835" spans="1:17" s="212" customFormat="1" ht="15.5" x14ac:dyDescent="0.35">
      <c r="A1835" s="198">
        <v>2044</v>
      </c>
      <c r="B1835" s="197" t="s">
        <v>5838</v>
      </c>
      <c r="C1835" s="197">
        <v>2036</v>
      </c>
      <c r="D1835" s="225" t="str">
        <f t="shared" si="19"/>
        <v>2044_2036</v>
      </c>
      <c r="E1835" s="1287">
        <v>4.6696916696427788E-2</v>
      </c>
      <c r="F1835" s="1306">
        <v>4.3590380571082088E-3</v>
      </c>
      <c r="G1835" s="1303">
        <v>0.11885758753058046</v>
      </c>
      <c r="H1835" s="1306">
        <v>2.3009346088289837E-2</v>
      </c>
      <c r="I1835" s="1303">
        <v>9.8814916928702326E-3</v>
      </c>
      <c r="J1835" s="1306">
        <v>4.9326642145226362E-4</v>
      </c>
      <c r="K1835" s="1303">
        <v>2.7631075597079557E-3</v>
      </c>
      <c r="L1835" s="1288">
        <v>2.0000017364019398E-3</v>
      </c>
      <c r="M1835" s="1306">
        <v>2.0000005737547547E-3</v>
      </c>
      <c r="N1835" s="1303">
        <v>2.1616569814863523E-2</v>
      </c>
      <c r="O1835" s="1288">
        <v>4.5289078246960211E-3</v>
      </c>
      <c r="P1835" s="1294">
        <v>8.9558407542398525E-3</v>
      </c>
      <c r="Q1835" s="1290">
        <v>1.0328288898751902E-2</v>
      </c>
    </row>
    <row r="1836" spans="1:17" s="212" customFormat="1" ht="15.5" x14ac:dyDescent="0.35">
      <c r="A1836" s="198">
        <v>2044</v>
      </c>
      <c r="B1836" s="197" t="s">
        <v>5838</v>
      </c>
      <c r="C1836" s="197">
        <v>2037</v>
      </c>
      <c r="D1836" s="225" t="str">
        <f t="shared" si="19"/>
        <v>2044_2037</v>
      </c>
      <c r="E1836" s="1287">
        <v>4.5635034177064479E-2</v>
      </c>
      <c r="F1836" s="1306">
        <v>4.1883658524351879E-3</v>
      </c>
      <c r="G1836" s="1303">
        <v>0.11405064049081486</v>
      </c>
      <c r="H1836" s="1306">
        <v>2.2058506505354049E-2</v>
      </c>
      <c r="I1836" s="1303">
        <v>9.1828812209296118E-3</v>
      </c>
      <c r="J1836" s="1306">
        <v>4.9317481317426217E-4</v>
      </c>
      <c r="K1836" s="1303">
        <v>2.7601368783783434E-3</v>
      </c>
      <c r="L1836" s="1288">
        <v>2.0000017487781046E-3</v>
      </c>
      <c r="M1836" s="1306">
        <v>2.0000005737529844E-3</v>
      </c>
      <c r="N1836" s="1303">
        <v>2.1530006661638731E-2</v>
      </c>
      <c r="O1836" s="1288">
        <v>4.463414741514204E-3</v>
      </c>
      <c r="P1836" s="1294">
        <v>8.9289683596489935E-3</v>
      </c>
      <c r="Q1836" s="1290">
        <v>9.5980903613081311E-3</v>
      </c>
    </row>
    <row r="1837" spans="1:17" s="212" customFormat="1" ht="15.5" x14ac:dyDescent="0.35">
      <c r="A1837" s="198">
        <v>2044</v>
      </c>
      <c r="B1837" s="197" t="s">
        <v>5838</v>
      </c>
      <c r="C1837" s="197">
        <v>2038</v>
      </c>
      <c r="D1837" s="225" t="str">
        <f t="shared" si="19"/>
        <v>2044_2038</v>
      </c>
      <c r="E1837" s="1287">
        <v>4.4557798123961663E-2</v>
      </c>
      <c r="F1837" s="1306">
        <v>4.0089189599913254E-3</v>
      </c>
      <c r="G1837" s="1303">
        <v>0.10909959217943599</v>
      </c>
      <c r="H1837" s="1306">
        <v>2.1055222235264636E-2</v>
      </c>
      <c r="I1837" s="1303">
        <v>8.4560559470008689E-3</v>
      </c>
      <c r="J1837" s="1306">
        <v>4.9305993613996471E-4</v>
      </c>
      <c r="K1837" s="1303">
        <v>2.7578196071331627E-3</v>
      </c>
      <c r="L1837" s="1288">
        <v>2.0000017639879774E-3</v>
      </c>
      <c r="M1837" s="1306">
        <v>2.0000005737505905E-3</v>
      </c>
      <c r="N1837" s="1303">
        <v>2.1458082030013634E-2</v>
      </c>
      <c r="O1837" s="1288">
        <v>4.3909230121439548E-3</v>
      </c>
      <c r="P1837" s="1294">
        <v>8.8999622972154458E-3</v>
      </c>
      <c r="Q1837" s="1290">
        <v>8.8384012737317292E-3</v>
      </c>
    </row>
    <row r="1838" spans="1:17" s="212" customFormat="1" ht="15.5" x14ac:dyDescent="0.35">
      <c r="A1838" s="198">
        <v>2044</v>
      </c>
      <c r="B1838" s="197" t="s">
        <v>5838</v>
      </c>
      <c r="C1838" s="197">
        <v>2039</v>
      </c>
      <c r="D1838" s="225" t="str">
        <f t="shared" si="19"/>
        <v>2044_2039</v>
      </c>
      <c r="E1838" s="1287">
        <v>4.3367247770082239E-2</v>
      </c>
      <c r="F1838" s="1306">
        <v>3.8221845139478103E-3</v>
      </c>
      <c r="G1838" s="1303">
        <v>0.10375782505362377</v>
      </c>
      <c r="H1838" s="1306">
        <v>2.0008794903872834E-2</v>
      </c>
      <c r="I1838" s="1303">
        <v>7.6821782365621731E-3</v>
      </c>
      <c r="J1838" s="1306">
        <v>4.9279657005115308E-4</v>
      </c>
      <c r="K1838" s="1303">
        <v>2.7542849293834978E-3</v>
      </c>
      <c r="L1838" s="1288">
        <v>2.0000017835706584E-3</v>
      </c>
      <c r="M1838" s="1306">
        <v>2.0000005737468209E-3</v>
      </c>
      <c r="N1838" s="1303">
        <v>2.1355669157227017E-2</v>
      </c>
      <c r="O1838" s="1288">
        <v>4.306489222724745E-3</v>
      </c>
      <c r="P1838" s="1294">
        <v>8.8493898264736092E-3</v>
      </c>
      <c r="Q1838" s="1290">
        <v>8.029532247258428E-3</v>
      </c>
    </row>
    <row r="1839" spans="1:17" s="212" customFormat="1" ht="15.5" x14ac:dyDescent="0.35">
      <c r="A1839" s="198">
        <v>2044</v>
      </c>
      <c r="B1839" s="197" t="s">
        <v>5838</v>
      </c>
      <c r="C1839" s="197">
        <v>2040</v>
      </c>
      <c r="D1839" s="225" t="str">
        <f t="shared" si="19"/>
        <v>2044_2040</v>
      </c>
      <c r="E1839" s="1287">
        <v>4.2270715375137373E-2</v>
      </c>
      <c r="F1839" s="1306">
        <v>3.627314956867475E-3</v>
      </c>
      <c r="G1839" s="1303">
        <v>9.8535559269070788E-2</v>
      </c>
      <c r="H1839" s="1306">
        <v>1.8917709613250802E-2</v>
      </c>
      <c r="I1839" s="1303">
        <v>6.8986467250007474E-3</v>
      </c>
      <c r="J1839" s="1306">
        <v>4.9311608423763741E-4</v>
      </c>
      <c r="K1839" s="1303">
        <v>2.7535475951576127E-3</v>
      </c>
      <c r="L1839" s="1288">
        <v>2.0000018036315098E-3</v>
      </c>
      <c r="M1839" s="1306">
        <v>2.0000005737455221E-3</v>
      </c>
      <c r="N1839" s="1303">
        <v>2.13197373656181E-2</v>
      </c>
      <c r="O1839" s="1288">
        <v>4.2402517943181256E-3</v>
      </c>
      <c r="P1839" s="1294">
        <v>8.8493285009812236E-3</v>
      </c>
      <c r="Q1839" s="1290">
        <v>7.2105729176138202E-3</v>
      </c>
    </row>
    <row r="1840" spans="1:17" s="212" customFormat="1" ht="15.5" x14ac:dyDescent="0.35">
      <c r="A1840" s="198">
        <v>2044</v>
      </c>
      <c r="B1840" s="197" t="s">
        <v>5838</v>
      </c>
      <c r="C1840" s="197">
        <v>2041</v>
      </c>
      <c r="D1840" s="225" t="str">
        <f t="shared" si="19"/>
        <v>2044_2041</v>
      </c>
      <c r="E1840" s="1287">
        <v>4.1153692034363233E-2</v>
      </c>
      <c r="F1840" s="1306">
        <v>3.4293869344852509E-3</v>
      </c>
      <c r="G1840" s="1303">
        <v>9.3135721390543283E-2</v>
      </c>
      <c r="H1840" s="1306">
        <v>1.7803708381476165E-2</v>
      </c>
      <c r="I1840" s="1303">
        <v>6.0815724797327209E-3</v>
      </c>
      <c r="J1840" s="1306">
        <v>4.9356990248552231E-4</v>
      </c>
      <c r="K1840" s="1303">
        <v>2.7534616873477681E-3</v>
      </c>
      <c r="L1840" s="1288">
        <v>2.0000018341953534E-3</v>
      </c>
      <c r="M1840" s="1306">
        <v>2.00000057374392E-3</v>
      </c>
      <c r="N1840" s="1303">
        <v>2.1298945837684945E-2</v>
      </c>
      <c r="O1840" s="1288">
        <v>4.1683541071100838E-3</v>
      </c>
      <c r="P1840" s="1294">
        <v>8.8479716991628175E-3</v>
      </c>
      <c r="Q1840" s="1290">
        <v>6.3565542006880438E-3</v>
      </c>
    </row>
    <row r="1841" spans="1:17" s="212" customFormat="1" ht="15.5" x14ac:dyDescent="0.35">
      <c r="A1841" s="198">
        <v>2044</v>
      </c>
      <c r="B1841" s="197" t="s">
        <v>5838</v>
      </c>
      <c r="C1841" s="197">
        <v>2042</v>
      </c>
      <c r="D1841" s="225" t="str">
        <f t="shared" si="19"/>
        <v>2044_2042</v>
      </c>
      <c r="E1841" s="1287">
        <v>3.9883778113168351E-2</v>
      </c>
      <c r="F1841" s="1306">
        <v>3.2285451923122579E-3</v>
      </c>
      <c r="G1841" s="1303">
        <v>8.7256549431065172E-2</v>
      </c>
      <c r="H1841" s="1306">
        <v>1.6667104180302098E-2</v>
      </c>
      <c r="I1841" s="1303">
        <v>5.212144748867077E-3</v>
      </c>
      <c r="J1841" s="1306">
        <v>4.9409780277862698E-4</v>
      </c>
      <c r="K1841" s="1303">
        <v>2.7513392790062762E-3</v>
      </c>
      <c r="L1841" s="1288">
        <v>2.0000018818131871E-3</v>
      </c>
      <c r="M1841" s="1306">
        <v>2.0000005737397836E-3</v>
      </c>
      <c r="N1841" s="1303">
        <v>2.1227992772001603E-2</v>
      </c>
      <c r="O1841" s="1288">
        <v>4.0844944085660093E-3</v>
      </c>
      <c r="P1841" s="1294">
        <v>8.8182591616097778E-3</v>
      </c>
      <c r="Q1841" s="1290">
        <v>5.4478148058610728E-3</v>
      </c>
    </row>
    <row r="1842" spans="1:17" s="212" customFormat="1" ht="15.5" x14ac:dyDescent="0.35">
      <c r="A1842" s="198">
        <v>2044</v>
      </c>
      <c r="B1842" s="197" t="s">
        <v>5838</v>
      </c>
      <c r="C1842" s="197">
        <v>2043</v>
      </c>
      <c r="D1842" s="225" t="str">
        <f t="shared" si="19"/>
        <v>2044_2043</v>
      </c>
      <c r="E1842" s="1287">
        <v>3.8604493708133902E-2</v>
      </c>
      <c r="F1842" s="1306">
        <v>3.0140101331803675E-3</v>
      </c>
      <c r="G1842" s="1303">
        <v>8.12345715115107E-2</v>
      </c>
      <c r="H1842" s="1306">
        <v>1.5471858844414198E-2</v>
      </c>
      <c r="I1842" s="1303">
        <v>4.3121442016403212E-3</v>
      </c>
      <c r="J1842" s="1306">
        <v>4.9431615886033208E-4</v>
      </c>
      <c r="K1842" s="1303">
        <v>2.750116230691828E-3</v>
      </c>
      <c r="L1842" s="1288">
        <v>2.0000019216990317E-3</v>
      </c>
      <c r="M1842" s="1306">
        <v>2.000000573731836E-3</v>
      </c>
      <c r="N1842" s="1303">
        <v>2.1177605227906689E-2</v>
      </c>
      <c r="O1842" s="1288">
        <v>3.9914512717765223E-3</v>
      </c>
      <c r="P1842" s="1294">
        <v>8.7862075868520451E-3</v>
      </c>
      <c r="Q1842" s="1290">
        <v>4.5071202275819965E-3</v>
      </c>
    </row>
    <row r="1843" spans="1:17" s="212" customFormat="1" ht="15.5" x14ac:dyDescent="0.35">
      <c r="A1843" s="198">
        <v>2044</v>
      </c>
      <c r="B1843" s="197" t="s">
        <v>5838</v>
      </c>
      <c r="C1843" s="197">
        <v>2044</v>
      </c>
      <c r="D1843" s="225" t="str">
        <f t="shared" si="19"/>
        <v>2044_2044</v>
      </c>
      <c r="E1843" s="1287">
        <v>3.6137636282936793E-2</v>
      </c>
      <c r="F1843" s="1306">
        <v>2.7762022135522503E-3</v>
      </c>
      <c r="G1843" s="1303">
        <v>7.2682679811728185E-2</v>
      </c>
      <c r="H1843" s="1306">
        <v>1.4119539953518277E-2</v>
      </c>
      <c r="I1843" s="1303">
        <v>3.2785457590875683E-3</v>
      </c>
      <c r="J1843" s="1306">
        <v>4.9115523985017657E-4</v>
      </c>
      <c r="K1843" s="1303">
        <v>2.7242405372318213E-3</v>
      </c>
      <c r="L1843" s="1288">
        <v>2.0000020313181307E-3</v>
      </c>
      <c r="M1843" s="1306">
        <v>2.0000005736935263E-3</v>
      </c>
      <c r="N1843" s="1303">
        <v>2.052206725318504E-2</v>
      </c>
      <c r="O1843" s="1288">
        <v>3.7173548957845706E-3</v>
      </c>
      <c r="P1843" s="1294">
        <v>8.2866881423257956E-3</v>
      </c>
      <c r="Q1843" s="1290">
        <v>3.4267870499821726E-3</v>
      </c>
    </row>
    <row r="1844" spans="1:17" s="212" customFormat="1" ht="15.5" x14ac:dyDescent="0.35">
      <c r="A1844" s="198">
        <v>2044</v>
      </c>
      <c r="B1844" s="197" t="s">
        <v>5838</v>
      </c>
      <c r="C1844" s="197">
        <v>2045</v>
      </c>
      <c r="D1844" s="225" t="str">
        <f t="shared" si="19"/>
        <v>2044_2045</v>
      </c>
      <c r="E1844" s="1291">
        <v>3.6137636282936793E-2</v>
      </c>
      <c r="F1844" s="1280">
        <v>2.7762022135522503E-3</v>
      </c>
      <c r="G1844" s="1271">
        <v>7.2682679811728185E-2</v>
      </c>
      <c r="H1844" s="1280">
        <v>1.4119539953518277E-2</v>
      </c>
      <c r="I1844" s="1271">
        <v>3.2785457590875683E-3</v>
      </c>
      <c r="J1844" s="1280">
        <v>4.9115523985017657E-4</v>
      </c>
      <c r="K1844" s="1271">
        <v>2.7242405372318213E-3</v>
      </c>
      <c r="L1844" s="1257">
        <v>2.0000020313181307E-3</v>
      </c>
      <c r="M1844" s="1280">
        <v>2.0000005736935263E-3</v>
      </c>
      <c r="N1844" s="1271">
        <v>2.052206725318504E-2</v>
      </c>
      <c r="O1844" s="1257">
        <v>3.7173548957845706E-3</v>
      </c>
      <c r="P1844" s="1293">
        <v>8.2866881423257956E-3</v>
      </c>
      <c r="Q1844" s="1292">
        <v>3.4267870499821726E-3</v>
      </c>
    </row>
    <row r="1845" spans="1:17" s="212" customFormat="1" ht="15.5" x14ac:dyDescent="0.35">
      <c r="A1845" s="198">
        <v>2045</v>
      </c>
      <c r="B1845" s="197" t="s">
        <v>5838</v>
      </c>
      <c r="C1845" s="197">
        <v>1971</v>
      </c>
      <c r="D1845" s="225" t="str">
        <f t="shared" si="19"/>
        <v>2045_1971</v>
      </c>
      <c r="E1845" s="1291">
        <v>0.37725632440975271</v>
      </c>
      <c r="F1845" s="1280">
        <v>0.11926345173428704</v>
      </c>
      <c r="G1845" s="1271">
        <v>9.2022582159278929</v>
      </c>
      <c r="H1845" s="1280">
        <v>0.95473589743671261</v>
      </c>
      <c r="I1845" s="1271">
        <v>5.4031922296942238E-2</v>
      </c>
      <c r="J1845" s="1280">
        <v>2.8080535902158784E-3</v>
      </c>
      <c r="K1845" s="1271">
        <v>2.9996574974289901E-3</v>
      </c>
      <c r="L1845" s="1257">
        <v>2.0000012173248156E-3</v>
      </c>
      <c r="M1845" s="1280">
        <v>2.0000012173248156E-3</v>
      </c>
      <c r="N1845" s="1271">
        <v>2.7292025597977256E-2</v>
      </c>
      <c r="O1845" s="1257">
        <v>7.8110032420137896E-3</v>
      </c>
      <c r="P1845" s="1293">
        <v>3.9055016210068948E-3</v>
      </c>
      <c r="Q1845" s="1292">
        <v>5.6475006060105741E-2</v>
      </c>
    </row>
    <row r="1846" spans="1:17" s="212" customFormat="1" ht="15.5" x14ac:dyDescent="0.35">
      <c r="A1846" s="198">
        <v>2045</v>
      </c>
      <c r="B1846" s="197" t="s">
        <v>5838</v>
      </c>
      <c r="C1846" s="197">
        <v>1972</v>
      </c>
      <c r="D1846" s="225" t="str">
        <f t="shared" si="19"/>
        <v>2045_1972</v>
      </c>
      <c r="E1846" s="1291">
        <v>0.37725632440975271</v>
      </c>
      <c r="F1846" s="1280">
        <v>0.11926345173428704</v>
      </c>
      <c r="G1846" s="1271">
        <v>9.2022582159278929</v>
      </c>
      <c r="H1846" s="1280">
        <v>0.95473589743671261</v>
      </c>
      <c r="I1846" s="1271">
        <v>5.4031922296942238E-2</v>
      </c>
      <c r="J1846" s="1280">
        <v>2.8080535902158784E-3</v>
      </c>
      <c r="K1846" s="1271">
        <v>2.9996574974289901E-3</v>
      </c>
      <c r="L1846" s="1257">
        <v>2.0000012173248156E-3</v>
      </c>
      <c r="M1846" s="1280">
        <v>2.0000012173248156E-3</v>
      </c>
      <c r="N1846" s="1271">
        <v>2.7292025597977256E-2</v>
      </c>
      <c r="O1846" s="1257">
        <v>7.8110032420137896E-3</v>
      </c>
      <c r="P1846" s="1293">
        <v>3.9055016210068948E-3</v>
      </c>
      <c r="Q1846" s="1292">
        <v>5.6475006060105741E-2</v>
      </c>
    </row>
    <row r="1847" spans="1:17" s="212" customFormat="1" ht="15.5" x14ac:dyDescent="0.35">
      <c r="A1847" s="198">
        <v>2045</v>
      </c>
      <c r="B1847" s="197" t="s">
        <v>5838</v>
      </c>
      <c r="C1847" s="197">
        <v>1973</v>
      </c>
      <c r="D1847" s="225" t="str">
        <f t="shared" si="19"/>
        <v>2045_1973</v>
      </c>
      <c r="E1847" s="1291">
        <v>0.37725632440975271</v>
      </c>
      <c r="F1847" s="1280">
        <v>0.11926345173428704</v>
      </c>
      <c r="G1847" s="1271">
        <v>9.2022582159278929</v>
      </c>
      <c r="H1847" s="1280">
        <v>0.95473589743671261</v>
      </c>
      <c r="I1847" s="1271">
        <v>5.4031922296942238E-2</v>
      </c>
      <c r="J1847" s="1280">
        <v>2.8080535902158784E-3</v>
      </c>
      <c r="K1847" s="1271">
        <v>2.9996574974289901E-3</v>
      </c>
      <c r="L1847" s="1257">
        <v>2.0000012173248156E-3</v>
      </c>
      <c r="M1847" s="1280">
        <v>2.0000012173248156E-3</v>
      </c>
      <c r="N1847" s="1271">
        <v>2.7292025597977256E-2</v>
      </c>
      <c r="O1847" s="1257">
        <v>7.8110032420137896E-3</v>
      </c>
      <c r="P1847" s="1293">
        <v>3.9055016210068948E-3</v>
      </c>
      <c r="Q1847" s="1292">
        <v>5.6475006060105741E-2</v>
      </c>
    </row>
    <row r="1848" spans="1:17" s="212" customFormat="1" ht="15.5" x14ac:dyDescent="0.35">
      <c r="A1848" s="198">
        <v>2045</v>
      </c>
      <c r="B1848" s="197" t="s">
        <v>5838</v>
      </c>
      <c r="C1848" s="197">
        <v>1974</v>
      </c>
      <c r="D1848" s="225" t="str">
        <f t="shared" si="19"/>
        <v>2045_1974</v>
      </c>
      <c r="E1848" s="1291">
        <v>0.37725632440975271</v>
      </c>
      <c r="F1848" s="1280">
        <v>0.11926345173428704</v>
      </c>
      <c r="G1848" s="1271">
        <v>9.2022582159278929</v>
      </c>
      <c r="H1848" s="1280">
        <v>0.95473589743671261</v>
      </c>
      <c r="I1848" s="1271">
        <v>5.4031922296942238E-2</v>
      </c>
      <c r="J1848" s="1280">
        <v>2.8080535902158784E-3</v>
      </c>
      <c r="K1848" s="1271">
        <v>2.9996574974289901E-3</v>
      </c>
      <c r="L1848" s="1257">
        <v>2.0000012173248156E-3</v>
      </c>
      <c r="M1848" s="1280">
        <v>2.0000012173248156E-3</v>
      </c>
      <c r="N1848" s="1271">
        <v>2.7292025597977256E-2</v>
      </c>
      <c r="O1848" s="1257">
        <v>7.8110032420137896E-3</v>
      </c>
      <c r="P1848" s="1293">
        <v>3.9055016210068948E-3</v>
      </c>
      <c r="Q1848" s="1292">
        <v>5.6475006060105741E-2</v>
      </c>
    </row>
    <row r="1849" spans="1:17" s="212" customFormat="1" ht="15.5" x14ac:dyDescent="0.35">
      <c r="A1849" s="198">
        <v>2045</v>
      </c>
      <c r="B1849" s="197" t="s">
        <v>5838</v>
      </c>
      <c r="C1849" s="197">
        <v>1975</v>
      </c>
      <c r="D1849" s="225" t="str">
        <f t="shared" si="19"/>
        <v>2045_1975</v>
      </c>
      <c r="E1849" s="1291">
        <v>0.37725632440975271</v>
      </c>
      <c r="F1849" s="1280">
        <v>0.11926345173428704</v>
      </c>
      <c r="G1849" s="1271">
        <v>9.2022582159278929</v>
      </c>
      <c r="H1849" s="1280">
        <v>0.95473589743671261</v>
      </c>
      <c r="I1849" s="1271">
        <v>5.4031922296942238E-2</v>
      </c>
      <c r="J1849" s="1280">
        <v>2.8080535902158784E-3</v>
      </c>
      <c r="K1849" s="1271">
        <v>2.9996574974289901E-3</v>
      </c>
      <c r="L1849" s="1257">
        <v>2.0000012173248156E-3</v>
      </c>
      <c r="M1849" s="1280">
        <v>2.0000012173248156E-3</v>
      </c>
      <c r="N1849" s="1271">
        <v>2.7292025597977256E-2</v>
      </c>
      <c r="O1849" s="1257">
        <v>7.8110032420137896E-3</v>
      </c>
      <c r="P1849" s="1293">
        <v>3.9055016210068948E-3</v>
      </c>
      <c r="Q1849" s="1292">
        <v>5.6475006060105741E-2</v>
      </c>
    </row>
    <row r="1850" spans="1:17" s="212" customFormat="1" ht="15.5" x14ac:dyDescent="0.35">
      <c r="A1850" s="198">
        <v>2045</v>
      </c>
      <c r="B1850" s="197" t="s">
        <v>5838</v>
      </c>
      <c r="C1850" s="197">
        <v>1976</v>
      </c>
      <c r="D1850" s="225" t="str">
        <f t="shared" si="19"/>
        <v>2045_1976</v>
      </c>
      <c r="E1850" s="1291">
        <v>0.37725632440975271</v>
      </c>
      <c r="F1850" s="1280">
        <v>0.11926345173428704</v>
      </c>
      <c r="G1850" s="1271">
        <v>9.2022582159278929</v>
      </c>
      <c r="H1850" s="1280">
        <v>0.95473589743671261</v>
      </c>
      <c r="I1850" s="1271">
        <v>5.4031922296942238E-2</v>
      </c>
      <c r="J1850" s="1280">
        <v>2.8080535902158784E-3</v>
      </c>
      <c r="K1850" s="1271">
        <v>2.9996574974289901E-3</v>
      </c>
      <c r="L1850" s="1257">
        <v>2.0000012173248156E-3</v>
      </c>
      <c r="M1850" s="1280">
        <v>2.0000012173248156E-3</v>
      </c>
      <c r="N1850" s="1271">
        <v>2.7292025597977256E-2</v>
      </c>
      <c r="O1850" s="1257">
        <v>7.8110032420137896E-3</v>
      </c>
      <c r="P1850" s="1293">
        <v>3.9055016210068948E-3</v>
      </c>
      <c r="Q1850" s="1292">
        <v>5.6475006060105741E-2</v>
      </c>
    </row>
    <row r="1851" spans="1:17" s="212" customFormat="1" ht="15.5" x14ac:dyDescent="0.35">
      <c r="A1851" s="198">
        <v>2045</v>
      </c>
      <c r="B1851" s="197" t="s">
        <v>5838</v>
      </c>
      <c r="C1851" s="197">
        <v>1977</v>
      </c>
      <c r="D1851" s="225" t="str">
        <f t="shared" si="19"/>
        <v>2045_1977</v>
      </c>
      <c r="E1851" s="1291">
        <v>0.37725632440975271</v>
      </c>
      <c r="F1851" s="1280">
        <v>0.11926345173428704</v>
      </c>
      <c r="G1851" s="1271">
        <v>9.2022582159278929</v>
      </c>
      <c r="H1851" s="1280">
        <v>0.95473589743671261</v>
      </c>
      <c r="I1851" s="1271">
        <v>5.4031922296942238E-2</v>
      </c>
      <c r="J1851" s="1280">
        <v>2.8080535902158784E-3</v>
      </c>
      <c r="K1851" s="1271">
        <v>2.9996574974289901E-3</v>
      </c>
      <c r="L1851" s="1257">
        <v>2.0000012173248156E-3</v>
      </c>
      <c r="M1851" s="1280">
        <v>2.0000012173248156E-3</v>
      </c>
      <c r="N1851" s="1271">
        <v>2.7292025597977256E-2</v>
      </c>
      <c r="O1851" s="1257">
        <v>7.8110032420137896E-3</v>
      </c>
      <c r="P1851" s="1293">
        <v>3.9055016210068948E-3</v>
      </c>
      <c r="Q1851" s="1292">
        <v>5.6475006060105741E-2</v>
      </c>
    </row>
    <row r="1852" spans="1:17" s="212" customFormat="1" ht="15.5" x14ac:dyDescent="0.35">
      <c r="A1852" s="198">
        <v>2045</v>
      </c>
      <c r="B1852" s="197" t="s">
        <v>5838</v>
      </c>
      <c r="C1852" s="197">
        <v>1978</v>
      </c>
      <c r="D1852" s="225" t="str">
        <f t="shared" si="19"/>
        <v>2045_1978</v>
      </c>
      <c r="E1852" s="1291">
        <v>0.37725632440975271</v>
      </c>
      <c r="F1852" s="1280">
        <v>0.11926345173428704</v>
      </c>
      <c r="G1852" s="1271">
        <v>9.2022582159278929</v>
      </c>
      <c r="H1852" s="1280">
        <v>0.95473589743671261</v>
      </c>
      <c r="I1852" s="1271">
        <v>5.4031922296942238E-2</v>
      </c>
      <c r="J1852" s="1280">
        <v>2.8080535902158784E-3</v>
      </c>
      <c r="K1852" s="1271">
        <v>2.9996574974289901E-3</v>
      </c>
      <c r="L1852" s="1257">
        <v>2.0000012173248156E-3</v>
      </c>
      <c r="M1852" s="1280">
        <v>2.0000012173248156E-3</v>
      </c>
      <c r="N1852" s="1271">
        <v>2.7292025597977256E-2</v>
      </c>
      <c r="O1852" s="1257">
        <v>7.8110032420137896E-3</v>
      </c>
      <c r="P1852" s="1293">
        <v>3.9055016210068948E-3</v>
      </c>
      <c r="Q1852" s="1292">
        <v>5.6475006060105741E-2</v>
      </c>
    </row>
    <row r="1853" spans="1:17" s="212" customFormat="1" ht="15.5" x14ac:dyDescent="0.35">
      <c r="A1853" s="198">
        <v>2045</v>
      </c>
      <c r="B1853" s="197" t="s">
        <v>5838</v>
      </c>
      <c r="C1853" s="197">
        <v>1979</v>
      </c>
      <c r="D1853" s="225" t="str">
        <f t="shared" si="19"/>
        <v>2045_1979</v>
      </c>
      <c r="E1853" s="1291">
        <v>0.37725632440975271</v>
      </c>
      <c r="F1853" s="1280">
        <v>0.11926345173428704</v>
      </c>
      <c r="G1853" s="1271">
        <v>9.2022582159278929</v>
      </c>
      <c r="H1853" s="1280">
        <v>0.95473589743671261</v>
      </c>
      <c r="I1853" s="1271">
        <v>5.4031922296942238E-2</v>
      </c>
      <c r="J1853" s="1280">
        <v>2.8080535902158784E-3</v>
      </c>
      <c r="K1853" s="1271">
        <v>2.9996574974289901E-3</v>
      </c>
      <c r="L1853" s="1257">
        <v>2.0000012173248156E-3</v>
      </c>
      <c r="M1853" s="1280">
        <v>2.0000012173248156E-3</v>
      </c>
      <c r="N1853" s="1271">
        <v>2.7292025597977256E-2</v>
      </c>
      <c r="O1853" s="1257">
        <v>7.8110032420137896E-3</v>
      </c>
      <c r="P1853" s="1293">
        <v>3.9055016210068948E-3</v>
      </c>
      <c r="Q1853" s="1292">
        <v>5.6475006060105741E-2</v>
      </c>
    </row>
    <row r="1854" spans="1:17" s="212" customFormat="1" ht="15.5" x14ac:dyDescent="0.35">
      <c r="A1854" s="198">
        <v>2045</v>
      </c>
      <c r="B1854" s="197" t="s">
        <v>5838</v>
      </c>
      <c r="C1854" s="197">
        <v>1980</v>
      </c>
      <c r="D1854" s="225" t="str">
        <f t="shared" si="19"/>
        <v>2045_1980</v>
      </c>
      <c r="E1854" s="1291">
        <v>0.37725632440975271</v>
      </c>
      <c r="F1854" s="1280">
        <v>0.11926345173428704</v>
      </c>
      <c r="G1854" s="1271">
        <v>9.2022582159278929</v>
      </c>
      <c r="H1854" s="1280">
        <v>0.95473589743671261</v>
      </c>
      <c r="I1854" s="1271">
        <v>5.4031922296942238E-2</v>
      </c>
      <c r="J1854" s="1280">
        <v>2.8080535902158784E-3</v>
      </c>
      <c r="K1854" s="1271">
        <v>2.9996574974289901E-3</v>
      </c>
      <c r="L1854" s="1257">
        <v>2.0000012173248156E-3</v>
      </c>
      <c r="M1854" s="1280">
        <v>2.0000012173248156E-3</v>
      </c>
      <c r="N1854" s="1271">
        <v>2.7292025597977256E-2</v>
      </c>
      <c r="O1854" s="1257">
        <v>7.8110032420137896E-3</v>
      </c>
      <c r="P1854" s="1293">
        <v>3.9055016210068948E-3</v>
      </c>
      <c r="Q1854" s="1292">
        <v>5.6475006060105741E-2</v>
      </c>
    </row>
    <row r="1855" spans="1:17" s="212" customFormat="1" ht="15.5" x14ac:dyDescent="0.35">
      <c r="A1855" s="198">
        <v>2045</v>
      </c>
      <c r="B1855" s="197" t="s">
        <v>5838</v>
      </c>
      <c r="C1855" s="197">
        <v>1981</v>
      </c>
      <c r="D1855" s="225" t="str">
        <f t="shared" si="19"/>
        <v>2045_1981</v>
      </c>
      <c r="E1855" s="1291">
        <v>0.37725632440975271</v>
      </c>
      <c r="F1855" s="1280">
        <v>0.11926345173428704</v>
      </c>
      <c r="G1855" s="1271">
        <v>9.2022582159278929</v>
      </c>
      <c r="H1855" s="1280">
        <v>0.95473589743671261</v>
      </c>
      <c r="I1855" s="1271">
        <v>5.4031922296942238E-2</v>
      </c>
      <c r="J1855" s="1280">
        <v>2.8080535902158784E-3</v>
      </c>
      <c r="K1855" s="1271">
        <v>2.9996574974289901E-3</v>
      </c>
      <c r="L1855" s="1257">
        <v>2.0000012173248156E-3</v>
      </c>
      <c r="M1855" s="1280">
        <v>2.0000012173248156E-3</v>
      </c>
      <c r="N1855" s="1271">
        <v>2.7292025597977256E-2</v>
      </c>
      <c r="O1855" s="1257">
        <v>7.8110032420137896E-3</v>
      </c>
      <c r="P1855" s="1293">
        <v>3.9055016210068948E-3</v>
      </c>
      <c r="Q1855" s="1292">
        <v>5.6475006060105741E-2</v>
      </c>
    </row>
    <row r="1856" spans="1:17" s="212" customFormat="1" ht="15.5" x14ac:dyDescent="0.35">
      <c r="A1856" s="198">
        <v>2045</v>
      </c>
      <c r="B1856" s="197" t="s">
        <v>5838</v>
      </c>
      <c r="C1856" s="197">
        <v>1982</v>
      </c>
      <c r="D1856" s="225" t="str">
        <f t="shared" si="19"/>
        <v>2045_1982</v>
      </c>
      <c r="E1856" s="1291">
        <v>0.37725632440975271</v>
      </c>
      <c r="F1856" s="1280">
        <v>0.11926345173428704</v>
      </c>
      <c r="G1856" s="1271">
        <v>9.2022582159278929</v>
      </c>
      <c r="H1856" s="1280">
        <v>0.95473589743671261</v>
      </c>
      <c r="I1856" s="1271">
        <v>5.4031922296942238E-2</v>
      </c>
      <c r="J1856" s="1280">
        <v>2.8080535902158784E-3</v>
      </c>
      <c r="K1856" s="1271">
        <v>2.9996574974289901E-3</v>
      </c>
      <c r="L1856" s="1257">
        <v>2.0000012173248156E-3</v>
      </c>
      <c r="M1856" s="1280">
        <v>2.0000012173248156E-3</v>
      </c>
      <c r="N1856" s="1271">
        <v>2.7292025597977256E-2</v>
      </c>
      <c r="O1856" s="1257">
        <v>7.8110032420137896E-3</v>
      </c>
      <c r="P1856" s="1293">
        <v>3.9055016210068948E-3</v>
      </c>
      <c r="Q1856" s="1292">
        <v>5.6475006060105741E-2</v>
      </c>
    </row>
    <row r="1857" spans="1:17" s="212" customFormat="1" ht="15.5" x14ac:dyDescent="0.35">
      <c r="A1857" s="198">
        <v>2045</v>
      </c>
      <c r="B1857" s="197" t="s">
        <v>5838</v>
      </c>
      <c r="C1857" s="197">
        <v>1983</v>
      </c>
      <c r="D1857" s="225" t="str">
        <f t="shared" si="19"/>
        <v>2045_1983</v>
      </c>
      <c r="E1857" s="1291">
        <v>0.37725632440975271</v>
      </c>
      <c r="F1857" s="1280">
        <v>0.11926345173428704</v>
      </c>
      <c r="G1857" s="1271">
        <v>9.2022582159278929</v>
      </c>
      <c r="H1857" s="1280">
        <v>0.95473589743671261</v>
      </c>
      <c r="I1857" s="1271">
        <v>5.4031922296942238E-2</v>
      </c>
      <c r="J1857" s="1280">
        <v>2.8080535902158784E-3</v>
      </c>
      <c r="K1857" s="1271">
        <v>2.9996574974289901E-3</v>
      </c>
      <c r="L1857" s="1257">
        <v>2.0000012173248156E-3</v>
      </c>
      <c r="M1857" s="1280">
        <v>2.0000012173248156E-3</v>
      </c>
      <c r="N1857" s="1271">
        <v>2.7292025597977256E-2</v>
      </c>
      <c r="O1857" s="1257">
        <v>7.8110032420137896E-3</v>
      </c>
      <c r="P1857" s="1293">
        <v>3.9055016210068948E-3</v>
      </c>
      <c r="Q1857" s="1292">
        <v>5.6475006060105741E-2</v>
      </c>
    </row>
    <row r="1858" spans="1:17" s="212" customFormat="1" ht="15.5" x14ac:dyDescent="0.35">
      <c r="A1858" s="198">
        <v>2045</v>
      </c>
      <c r="B1858" s="197" t="s">
        <v>5838</v>
      </c>
      <c r="C1858" s="197">
        <v>1984</v>
      </c>
      <c r="D1858" s="225" t="str">
        <f t="shared" si="19"/>
        <v>2045_1984</v>
      </c>
      <c r="E1858" s="1291">
        <v>0.37725632440975271</v>
      </c>
      <c r="F1858" s="1280">
        <v>0.11926345173428704</v>
      </c>
      <c r="G1858" s="1271">
        <v>9.2022582159278929</v>
      </c>
      <c r="H1858" s="1280">
        <v>0.95473589743671261</v>
      </c>
      <c r="I1858" s="1271">
        <v>5.4031922296942238E-2</v>
      </c>
      <c r="J1858" s="1280">
        <v>2.8080535902158784E-3</v>
      </c>
      <c r="K1858" s="1271">
        <v>2.9996574974289901E-3</v>
      </c>
      <c r="L1858" s="1257">
        <v>2.0000012173248156E-3</v>
      </c>
      <c r="M1858" s="1280">
        <v>2.0000012173248156E-3</v>
      </c>
      <c r="N1858" s="1271">
        <v>2.7292025597977256E-2</v>
      </c>
      <c r="O1858" s="1257">
        <v>7.8110032420137896E-3</v>
      </c>
      <c r="P1858" s="1293">
        <v>3.9055016210068948E-3</v>
      </c>
      <c r="Q1858" s="1292">
        <v>5.6475006060105741E-2</v>
      </c>
    </row>
    <row r="1859" spans="1:17" s="212" customFormat="1" ht="15.5" x14ac:dyDescent="0.35">
      <c r="A1859" s="198">
        <v>2045</v>
      </c>
      <c r="B1859" s="197" t="s">
        <v>5838</v>
      </c>
      <c r="C1859" s="197">
        <v>1985</v>
      </c>
      <c r="D1859" s="225" t="str">
        <f t="shared" si="19"/>
        <v>2045_1985</v>
      </c>
      <c r="E1859" s="1291">
        <v>0.37725632440975271</v>
      </c>
      <c r="F1859" s="1280">
        <v>0.11926345173428704</v>
      </c>
      <c r="G1859" s="1271">
        <v>9.2022582159278929</v>
      </c>
      <c r="H1859" s="1280">
        <v>0.95473589743671261</v>
      </c>
      <c r="I1859" s="1271">
        <v>5.4031922296942238E-2</v>
      </c>
      <c r="J1859" s="1280">
        <v>2.8080535902158784E-3</v>
      </c>
      <c r="K1859" s="1271">
        <v>2.9996574974289901E-3</v>
      </c>
      <c r="L1859" s="1257">
        <v>2.0000012173248156E-3</v>
      </c>
      <c r="M1859" s="1280">
        <v>2.0000012173248156E-3</v>
      </c>
      <c r="N1859" s="1271">
        <v>2.7292025597977256E-2</v>
      </c>
      <c r="O1859" s="1257">
        <v>7.8110032420137896E-3</v>
      </c>
      <c r="P1859" s="1293">
        <v>3.9055016210068948E-3</v>
      </c>
      <c r="Q1859" s="1292">
        <v>5.6475006060105741E-2</v>
      </c>
    </row>
    <row r="1860" spans="1:17" s="212" customFormat="1" ht="15.5" x14ac:dyDescent="0.35">
      <c r="A1860" s="198">
        <v>2045</v>
      </c>
      <c r="B1860" s="197" t="s">
        <v>5838</v>
      </c>
      <c r="C1860" s="197">
        <v>1986</v>
      </c>
      <c r="D1860" s="225" t="str">
        <f t="shared" si="19"/>
        <v>2045_1986</v>
      </c>
      <c r="E1860" s="1291">
        <v>0.37725632440975271</v>
      </c>
      <c r="F1860" s="1280">
        <v>0.11926345173428704</v>
      </c>
      <c r="G1860" s="1271">
        <v>9.2022582159278929</v>
      </c>
      <c r="H1860" s="1280">
        <v>0.95473589743671261</v>
      </c>
      <c r="I1860" s="1271">
        <v>5.4031922296942238E-2</v>
      </c>
      <c r="J1860" s="1280">
        <v>2.8080535902158784E-3</v>
      </c>
      <c r="K1860" s="1271">
        <v>2.9996574974289901E-3</v>
      </c>
      <c r="L1860" s="1257">
        <v>2.0000012173248156E-3</v>
      </c>
      <c r="M1860" s="1280">
        <v>2.0000012173248156E-3</v>
      </c>
      <c r="N1860" s="1271">
        <v>2.7292025597977256E-2</v>
      </c>
      <c r="O1860" s="1257">
        <v>7.8110032420137896E-3</v>
      </c>
      <c r="P1860" s="1293">
        <v>3.9055016210068948E-3</v>
      </c>
      <c r="Q1860" s="1292">
        <v>5.6475006060105741E-2</v>
      </c>
    </row>
    <row r="1861" spans="1:17" s="212" customFormat="1" ht="15.5" x14ac:dyDescent="0.35">
      <c r="A1861" s="198">
        <v>2045</v>
      </c>
      <c r="B1861" s="197" t="s">
        <v>5838</v>
      </c>
      <c r="C1861" s="197">
        <v>1987</v>
      </c>
      <c r="D1861" s="225" t="str">
        <f t="shared" si="19"/>
        <v>2045_1987</v>
      </c>
      <c r="E1861" s="1291">
        <v>0.37725632440975271</v>
      </c>
      <c r="F1861" s="1280">
        <v>0.11926345173428704</v>
      </c>
      <c r="G1861" s="1271">
        <v>9.2022582159278929</v>
      </c>
      <c r="H1861" s="1280">
        <v>0.95473589743671261</v>
      </c>
      <c r="I1861" s="1271">
        <v>5.4031922296942238E-2</v>
      </c>
      <c r="J1861" s="1280">
        <v>2.8080535902158784E-3</v>
      </c>
      <c r="K1861" s="1271">
        <v>2.9996574974289901E-3</v>
      </c>
      <c r="L1861" s="1257">
        <v>2.0000012173248156E-3</v>
      </c>
      <c r="M1861" s="1280">
        <v>2.0000012173248156E-3</v>
      </c>
      <c r="N1861" s="1271">
        <v>2.7292025597977256E-2</v>
      </c>
      <c r="O1861" s="1257">
        <v>7.8110032420137896E-3</v>
      </c>
      <c r="P1861" s="1293">
        <v>3.9055016210068948E-3</v>
      </c>
      <c r="Q1861" s="1292">
        <v>5.6475006060105741E-2</v>
      </c>
    </row>
    <row r="1862" spans="1:17" s="212" customFormat="1" ht="15.5" x14ac:dyDescent="0.35">
      <c r="A1862" s="198">
        <v>2045</v>
      </c>
      <c r="B1862" s="197" t="s">
        <v>5838</v>
      </c>
      <c r="C1862" s="197">
        <v>1988</v>
      </c>
      <c r="D1862" s="225" t="str">
        <f t="shared" si="19"/>
        <v>2045_1988</v>
      </c>
      <c r="E1862" s="1291">
        <v>0.37725632440975271</v>
      </c>
      <c r="F1862" s="1280">
        <v>0.11926345173428704</v>
      </c>
      <c r="G1862" s="1271">
        <v>9.2022582159278929</v>
      </c>
      <c r="H1862" s="1280">
        <v>0.95473589743671261</v>
      </c>
      <c r="I1862" s="1271">
        <v>5.4031922296942238E-2</v>
      </c>
      <c r="J1862" s="1280">
        <v>2.8080535902158784E-3</v>
      </c>
      <c r="K1862" s="1271">
        <v>2.9996574974289901E-3</v>
      </c>
      <c r="L1862" s="1257">
        <v>2.0000012173248156E-3</v>
      </c>
      <c r="M1862" s="1280">
        <v>2.0000012173248156E-3</v>
      </c>
      <c r="N1862" s="1271">
        <v>2.7292025597977256E-2</v>
      </c>
      <c r="O1862" s="1257">
        <v>7.8110032420137896E-3</v>
      </c>
      <c r="P1862" s="1293">
        <v>3.9055016210068948E-3</v>
      </c>
      <c r="Q1862" s="1292">
        <v>5.6475006060105741E-2</v>
      </c>
    </row>
    <row r="1863" spans="1:17" s="212" customFormat="1" ht="15.5" x14ac:dyDescent="0.35">
      <c r="A1863" s="198">
        <v>2045</v>
      </c>
      <c r="B1863" s="197" t="s">
        <v>5838</v>
      </c>
      <c r="C1863" s="197">
        <v>1989</v>
      </c>
      <c r="D1863" s="225" t="str">
        <f t="shared" si="19"/>
        <v>2045_1989</v>
      </c>
      <c r="E1863" s="1291">
        <v>0.37725632440975271</v>
      </c>
      <c r="F1863" s="1280">
        <v>0.11926345173428704</v>
      </c>
      <c r="G1863" s="1271">
        <v>9.2022582159278929</v>
      </c>
      <c r="H1863" s="1280">
        <v>0.95473589743671261</v>
      </c>
      <c r="I1863" s="1271">
        <v>5.4031922296942238E-2</v>
      </c>
      <c r="J1863" s="1280">
        <v>2.8080535902158784E-3</v>
      </c>
      <c r="K1863" s="1271">
        <v>2.9996574974289901E-3</v>
      </c>
      <c r="L1863" s="1257">
        <v>2.0000012173248156E-3</v>
      </c>
      <c r="M1863" s="1280">
        <v>2.0000012173248156E-3</v>
      </c>
      <c r="N1863" s="1271">
        <v>2.7292025597977256E-2</v>
      </c>
      <c r="O1863" s="1257">
        <v>7.8110032420137896E-3</v>
      </c>
      <c r="P1863" s="1293">
        <v>3.9055016210068948E-3</v>
      </c>
      <c r="Q1863" s="1292">
        <v>5.6475006060105741E-2</v>
      </c>
    </row>
    <row r="1864" spans="1:17" s="212" customFormat="1" ht="15.5" x14ac:dyDescent="0.35">
      <c r="A1864" s="198">
        <v>2045</v>
      </c>
      <c r="B1864" s="197" t="s">
        <v>5838</v>
      </c>
      <c r="C1864" s="197">
        <v>1990</v>
      </c>
      <c r="D1864" s="225" t="str">
        <f t="shared" si="19"/>
        <v>2045_1990</v>
      </c>
      <c r="E1864" s="1291">
        <v>0.37725632440975271</v>
      </c>
      <c r="F1864" s="1280">
        <v>0.11926345173428704</v>
      </c>
      <c r="G1864" s="1271">
        <v>9.2022582159278929</v>
      </c>
      <c r="H1864" s="1280">
        <v>0.95473589743671261</v>
      </c>
      <c r="I1864" s="1271">
        <v>5.4031922296942238E-2</v>
      </c>
      <c r="J1864" s="1280">
        <v>2.8080535902158784E-3</v>
      </c>
      <c r="K1864" s="1271">
        <v>2.9996574974289901E-3</v>
      </c>
      <c r="L1864" s="1257">
        <v>2.0000012173248156E-3</v>
      </c>
      <c r="M1864" s="1280">
        <v>2.0000012173248156E-3</v>
      </c>
      <c r="N1864" s="1271">
        <v>2.7292025597977256E-2</v>
      </c>
      <c r="O1864" s="1257">
        <v>7.8110032420137896E-3</v>
      </c>
      <c r="P1864" s="1293">
        <v>3.9055016210068948E-3</v>
      </c>
      <c r="Q1864" s="1292">
        <v>5.6475006060105741E-2</v>
      </c>
    </row>
    <row r="1865" spans="1:17" s="212" customFormat="1" ht="15.5" x14ac:dyDescent="0.35">
      <c r="A1865" s="198">
        <v>2045</v>
      </c>
      <c r="B1865" s="197" t="s">
        <v>5838</v>
      </c>
      <c r="C1865" s="197">
        <v>1991</v>
      </c>
      <c r="D1865" s="225" t="str">
        <f t="shared" si="19"/>
        <v>2045_1991</v>
      </c>
      <c r="E1865" s="1291">
        <v>0.37725632440975271</v>
      </c>
      <c r="F1865" s="1280">
        <v>0.11926345173428704</v>
      </c>
      <c r="G1865" s="1271">
        <v>9.2022582159278929</v>
      </c>
      <c r="H1865" s="1280">
        <v>0.95473589743671261</v>
      </c>
      <c r="I1865" s="1271">
        <v>5.4031922296942238E-2</v>
      </c>
      <c r="J1865" s="1280">
        <v>2.8080535902158784E-3</v>
      </c>
      <c r="K1865" s="1271">
        <v>2.9996574974289901E-3</v>
      </c>
      <c r="L1865" s="1257">
        <v>2.0000012173248156E-3</v>
      </c>
      <c r="M1865" s="1280">
        <v>2.0000012173248156E-3</v>
      </c>
      <c r="N1865" s="1271">
        <v>2.7292025597977256E-2</v>
      </c>
      <c r="O1865" s="1257">
        <v>7.8110032420137896E-3</v>
      </c>
      <c r="P1865" s="1293">
        <v>3.9055016210068948E-3</v>
      </c>
      <c r="Q1865" s="1292">
        <v>5.6475006060105741E-2</v>
      </c>
    </row>
    <row r="1866" spans="1:17" s="212" customFormat="1" ht="15.5" x14ac:dyDescent="0.35">
      <c r="A1866" s="198">
        <v>2045</v>
      </c>
      <c r="B1866" s="197" t="s">
        <v>5838</v>
      </c>
      <c r="C1866" s="197">
        <v>1992</v>
      </c>
      <c r="D1866" s="225" t="str">
        <f t="shared" si="19"/>
        <v>2045_1992</v>
      </c>
      <c r="E1866" s="1291">
        <v>0.37725632440975271</v>
      </c>
      <c r="F1866" s="1280">
        <v>0.11926345173428704</v>
      </c>
      <c r="G1866" s="1271">
        <v>9.2022582159278929</v>
      </c>
      <c r="H1866" s="1280">
        <v>0.95473589743671261</v>
      </c>
      <c r="I1866" s="1271">
        <v>5.4031922296942238E-2</v>
      </c>
      <c r="J1866" s="1280">
        <v>2.8080535902158784E-3</v>
      </c>
      <c r="K1866" s="1271">
        <v>2.9996574974289901E-3</v>
      </c>
      <c r="L1866" s="1257">
        <v>2.0000012173248156E-3</v>
      </c>
      <c r="M1866" s="1280">
        <v>2.0000012173248156E-3</v>
      </c>
      <c r="N1866" s="1271">
        <v>2.7292025597977256E-2</v>
      </c>
      <c r="O1866" s="1257">
        <v>7.8110032420137896E-3</v>
      </c>
      <c r="P1866" s="1293">
        <v>3.9055016210068948E-3</v>
      </c>
      <c r="Q1866" s="1292">
        <v>5.6475006060105741E-2</v>
      </c>
    </row>
    <row r="1867" spans="1:17" s="212" customFormat="1" ht="15.5" x14ac:dyDescent="0.35">
      <c r="A1867" s="198">
        <v>2045</v>
      </c>
      <c r="B1867" s="197" t="s">
        <v>5838</v>
      </c>
      <c r="C1867" s="197">
        <v>1993</v>
      </c>
      <c r="D1867" s="225" t="str">
        <f t="shared" si="19"/>
        <v>2045_1993</v>
      </c>
      <c r="E1867" s="1291">
        <v>0.37725632440975271</v>
      </c>
      <c r="F1867" s="1280">
        <v>0.11926345173428704</v>
      </c>
      <c r="G1867" s="1271">
        <v>9.2022582159278929</v>
      </c>
      <c r="H1867" s="1280">
        <v>0.95473589743671261</v>
      </c>
      <c r="I1867" s="1271">
        <v>5.4031922296942238E-2</v>
      </c>
      <c r="J1867" s="1280">
        <v>2.8080535902158784E-3</v>
      </c>
      <c r="K1867" s="1271">
        <v>2.9996574974289901E-3</v>
      </c>
      <c r="L1867" s="1257">
        <v>2.0000012173248156E-3</v>
      </c>
      <c r="M1867" s="1280">
        <v>2.0000012173248156E-3</v>
      </c>
      <c r="N1867" s="1271">
        <v>2.7292025597977256E-2</v>
      </c>
      <c r="O1867" s="1257">
        <v>7.8110032420137896E-3</v>
      </c>
      <c r="P1867" s="1293">
        <v>3.9055016210068948E-3</v>
      </c>
      <c r="Q1867" s="1292">
        <v>5.6475006060105741E-2</v>
      </c>
    </row>
    <row r="1868" spans="1:17" s="212" customFormat="1" ht="15.5" x14ac:dyDescent="0.35">
      <c r="A1868" s="198">
        <v>2045</v>
      </c>
      <c r="B1868" s="197" t="s">
        <v>5838</v>
      </c>
      <c r="C1868" s="197">
        <v>1994</v>
      </c>
      <c r="D1868" s="225" t="str">
        <f t="shared" si="19"/>
        <v>2045_1994</v>
      </c>
      <c r="E1868" s="1291">
        <v>0.37725632440975271</v>
      </c>
      <c r="F1868" s="1280">
        <v>0.11926345173428704</v>
      </c>
      <c r="G1868" s="1271">
        <v>9.2022582159278929</v>
      </c>
      <c r="H1868" s="1280">
        <v>0.95473589743671261</v>
      </c>
      <c r="I1868" s="1271">
        <v>5.4031922296942238E-2</v>
      </c>
      <c r="J1868" s="1280">
        <v>2.8080535902158784E-3</v>
      </c>
      <c r="K1868" s="1271">
        <v>2.9996574974289901E-3</v>
      </c>
      <c r="L1868" s="1257">
        <v>2.0000012173248156E-3</v>
      </c>
      <c r="M1868" s="1280">
        <v>2.0000012173248156E-3</v>
      </c>
      <c r="N1868" s="1271">
        <v>2.7292025597977256E-2</v>
      </c>
      <c r="O1868" s="1257">
        <v>7.8110032420137896E-3</v>
      </c>
      <c r="P1868" s="1293">
        <v>3.9055016210068948E-3</v>
      </c>
      <c r="Q1868" s="1292">
        <v>5.6475006060105741E-2</v>
      </c>
    </row>
    <row r="1869" spans="1:17" s="212" customFormat="1" ht="15.5" x14ac:dyDescent="0.35">
      <c r="A1869" s="198">
        <v>2045</v>
      </c>
      <c r="B1869" s="197" t="s">
        <v>5838</v>
      </c>
      <c r="C1869" s="197">
        <v>1995</v>
      </c>
      <c r="D1869" s="225" t="str">
        <f t="shared" si="19"/>
        <v>2045_1995</v>
      </c>
      <c r="E1869" s="1291">
        <v>0.37725632440975271</v>
      </c>
      <c r="F1869" s="1280">
        <v>0.11926345173428704</v>
      </c>
      <c r="G1869" s="1271">
        <v>9.2022582159278929</v>
      </c>
      <c r="H1869" s="1280">
        <v>0.95473589743671261</v>
      </c>
      <c r="I1869" s="1271">
        <v>5.4031922296942238E-2</v>
      </c>
      <c r="J1869" s="1280">
        <v>2.8080535902158784E-3</v>
      </c>
      <c r="K1869" s="1271">
        <v>2.9996574974289901E-3</v>
      </c>
      <c r="L1869" s="1257">
        <v>2.0000012173248156E-3</v>
      </c>
      <c r="M1869" s="1280">
        <v>2.0000012173248156E-3</v>
      </c>
      <c r="N1869" s="1271">
        <v>2.7292025597977256E-2</v>
      </c>
      <c r="O1869" s="1257">
        <v>7.8110032420137896E-3</v>
      </c>
      <c r="P1869" s="1293">
        <v>3.9055016210068948E-3</v>
      </c>
      <c r="Q1869" s="1292">
        <v>5.6475006060105741E-2</v>
      </c>
    </row>
    <row r="1870" spans="1:17" s="212" customFormat="1" ht="15.5" x14ac:dyDescent="0.35">
      <c r="A1870" s="198">
        <v>2045</v>
      </c>
      <c r="B1870" s="197" t="s">
        <v>5838</v>
      </c>
      <c r="C1870" s="197">
        <v>1996</v>
      </c>
      <c r="D1870" s="225" t="str">
        <f t="shared" si="19"/>
        <v>2045_1996</v>
      </c>
      <c r="E1870" s="1291">
        <v>0.37725632440975271</v>
      </c>
      <c r="F1870" s="1280">
        <v>0.11926345173428704</v>
      </c>
      <c r="G1870" s="1271">
        <v>9.2022582159278929</v>
      </c>
      <c r="H1870" s="1280">
        <v>0.95473589743671261</v>
      </c>
      <c r="I1870" s="1271">
        <v>5.4031922296942238E-2</v>
      </c>
      <c r="J1870" s="1280">
        <v>2.8080535902158784E-3</v>
      </c>
      <c r="K1870" s="1271">
        <v>2.9996574974289901E-3</v>
      </c>
      <c r="L1870" s="1257">
        <v>2.0000012173248156E-3</v>
      </c>
      <c r="M1870" s="1280">
        <v>2.0000012173248156E-3</v>
      </c>
      <c r="N1870" s="1271">
        <v>2.7292025597977256E-2</v>
      </c>
      <c r="O1870" s="1257">
        <v>7.8110032420137896E-3</v>
      </c>
      <c r="P1870" s="1293">
        <v>3.9055016210068948E-3</v>
      </c>
      <c r="Q1870" s="1292">
        <v>5.6475006060105741E-2</v>
      </c>
    </row>
    <row r="1871" spans="1:17" s="212" customFormat="1" ht="15.5" x14ac:dyDescent="0.35">
      <c r="A1871" s="198">
        <v>2045</v>
      </c>
      <c r="B1871" s="197" t="s">
        <v>5838</v>
      </c>
      <c r="C1871" s="197">
        <v>1997</v>
      </c>
      <c r="D1871" s="225" t="str">
        <f t="shared" si="19"/>
        <v>2045_1997</v>
      </c>
      <c r="E1871" s="1291">
        <v>0.37725632440975271</v>
      </c>
      <c r="F1871" s="1280">
        <v>0.11926345173428704</v>
      </c>
      <c r="G1871" s="1271">
        <v>9.2022582159278929</v>
      </c>
      <c r="H1871" s="1280">
        <v>0.95473589743671261</v>
      </c>
      <c r="I1871" s="1271">
        <v>5.4031922296942238E-2</v>
      </c>
      <c r="J1871" s="1280">
        <v>2.8080535902158784E-3</v>
      </c>
      <c r="K1871" s="1271">
        <v>2.9996574974289901E-3</v>
      </c>
      <c r="L1871" s="1257">
        <v>2.0000012173248156E-3</v>
      </c>
      <c r="M1871" s="1280">
        <v>2.0000012173248156E-3</v>
      </c>
      <c r="N1871" s="1271">
        <v>2.7292025597977256E-2</v>
      </c>
      <c r="O1871" s="1257">
        <v>7.8110032420137896E-3</v>
      </c>
      <c r="P1871" s="1293">
        <v>3.9055016210068948E-3</v>
      </c>
      <c r="Q1871" s="1292">
        <v>5.6475006060105741E-2</v>
      </c>
    </row>
    <row r="1872" spans="1:17" s="212" customFormat="1" ht="15.5" x14ac:dyDescent="0.35">
      <c r="A1872" s="198">
        <v>2045</v>
      </c>
      <c r="B1872" s="197" t="s">
        <v>5838</v>
      </c>
      <c r="C1872" s="197">
        <v>1998</v>
      </c>
      <c r="D1872" s="225" t="str">
        <f t="shared" si="19"/>
        <v>2045_1998</v>
      </c>
      <c r="E1872" s="1291">
        <v>0.37725632440975271</v>
      </c>
      <c r="F1872" s="1280">
        <v>0.11926345173428704</v>
      </c>
      <c r="G1872" s="1271">
        <v>9.2022582159278929</v>
      </c>
      <c r="H1872" s="1280">
        <v>0.95473589743671261</v>
      </c>
      <c r="I1872" s="1271">
        <v>5.4031922296942238E-2</v>
      </c>
      <c r="J1872" s="1280">
        <v>2.8080535902158784E-3</v>
      </c>
      <c r="K1872" s="1271">
        <v>2.9996574974289901E-3</v>
      </c>
      <c r="L1872" s="1257">
        <v>2.0000012173248156E-3</v>
      </c>
      <c r="M1872" s="1280">
        <v>2.0000012173248156E-3</v>
      </c>
      <c r="N1872" s="1271">
        <v>2.7292025597977256E-2</v>
      </c>
      <c r="O1872" s="1257">
        <v>7.8110032420137896E-3</v>
      </c>
      <c r="P1872" s="1293">
        <v>3.9055016210068948E-3</v>
      </c>
      <c r="Q1872" s="1292">
        <v>5.6475006060105741E-2</v>
      </c>
    </row>
    <row r="1873" spans="1:17" s="212" customFormat="1" ht="15.5" x14ac:dyDescent="0.35">
      <c r="A1873" s="198">
        <v>2045</v>
      </c>
      <c r="B1873" s="197" t="s">
        <v>5838</v>
      </c>
      <c r="C1873" s="197">
        <v>1999</v>
      </c>
      <c r="D1873" s="225" t="str">
        <f t="shared" si="19"/>
        <v>2045_1999</v>
      </c>
      <c r="E1873" s="1291">
        <v>0.37725632440975271</v>
      </c>
      <c r="F1873" s="1280">
        <v>0.11926345173428704</v>
      </c>
      <c r="G1873" s="1271">
        <v>9.2022582159278929</v>
      </c>
      <c r="H1873" s="1280">
        <v>0.95473589743671261</v>
      </c>
      <c r="I1873" s="1271">
        <v>5.4031922296942238E-2</v>
      </c>
      <c r="J1873" s="1280">
        <v>2.8080535902158784E-3</v>
      </c>
      <c r="K1873" s="1271">
        <v>2.9996574974289901E-3</v>
      </c>
      <c r="L1873" s="1257">
        <v>2.0000012173248156E-3</v>
      </c>
      <c r="M1873" s="1280">
        <v>2.0000012173248156E-3</v>
      </c>
      <c r="N1873" s="1271">
        <v>2.7292025597977256E-2</v>
      </c>
      <c r="O1873" s="1257">
        <v>7.8110032420137896E-3</v>
      </c>
      <c r="P1873" s="1293">
        <v>3.9055016210068948E-3</v>
      </c>
      <c r="Q1873" s="1292">
        <v>5.6475006060105741E-2</v>
      </c>
    </row>
    <row r="1874" spans="1:17" s="212" customFormat="1" ht="15.5" x14ac:dyDescent="0.35">
      <c r="A1874" s="198">
        <v>2045</v>
      </c>
      <c r="B1874" s="197" t="s">
        <v>5838</v>
      </c>
      <c r="C1874" s="197">
        <v>2000</v>
      </c>
      <c r="D1874" s="225" t="str">
        <f t="shared" si="19"/>
        <v>2045_2000</v>
      </c>
      <c r="E1874" s="1291">
        <v>0.37725632440975271</v>
      </c>
      <c r="F1874" s="1280">
        <v>0.11926345173428704</v>
      </c>
      <c r="G1874" s="1271">
        <v>9.2022582159278929</v>
      </c>
      <c r="H1874" s="1280">
        <v>0.95473589743671261</v>
      </c>
      <c r="I1874" s="1271">
        <v>5.4031922296942238E-2</v>
      </c>
      <c r="J1874" s="1280">
        <v>2.8080535902158784E-3</v>
      </c>
      <c r="K1874" s="1271">
        <v>2.9996574974289901E-3</v>
      </c>
      <c r="L1874" s="1257">
        <v>2.0000012173248156E-3</v>
      </c>
      <c r="M1874" s="1280">
        <v>2.0000012173248156E-3</v>
      </c>
      <c r="N1874" s="1271">
        <v>2.7292025597977256E-2</v>
      </c>
      <c r="O1874" s="1257">
        <v>7.8110032420137896E-3</v>
      </c>
      <c r="P1874" s="1293">
        <v>3.9055016210068948E-3</v>
      </c>
      <c r="Q1874" s="1292">
        <v>5.6475006060105741E-2</v>
      </c>
    </row>
    <row r="1875" spans="1:17" s="212" customFormat="1" ht="15.5" x14ac:dyDescent="0.35">
      <c r="A1875" s="198">
        <v>2045</v>
      </c>
      <c r="B1875" s="197" t="s">
        <v>5838</v>
      </c>
      <c r="C1875" s="197">
        <v>2001</v>
      </c>
      <c r="D1875" s="225" t="str">
        <f t="shared" si="19"/>
        <v>2045_2001</v>
      </c>
      <c r="E1875" s="1287">
        <v>0.37725632440975271</v>
      </c>
      <c r="F1875" s="1306">
        <v>0.11926345173428704</v>
      </c>
      <c r="G1875" s="1303">
        <v>9.2022582159278929</v>
      </c>
      <c r="H1875" s="1306">
        <v>0.95473589743671261</v>
      </c>
      <c r="I1875" s="1303">
        <v>5.4031922296942238E-2</v>
      </c>
      <c r="J1875" s="1306">
        <v>2.8080535902158784E-3</v>
      </c>
      <c r="K1875" s="1303">
        <v>2.9996574974289901E-3</v>
      </c>
      <c r="L1875" s="1288">
        <v>2.0000012173248156E-3</v>
      </c>
      <c r="M1875" s="1280">
        <v>2.0000012173248156E-3</v>
      </c>
      <c r="N1875" s="1303">
        <v>2.7292025597977256E-2</v>
      </c>
      <c r="O1875" s="1288">
        <v>7.8110032420137896E-3</v>
      </c>
      <c r="P1875" s="1293">
        <v>3.9055016210068948E-3</v>
      </c>
      <c r="Q1875" s="1290">
        <v>5.6475006060105741E-2</v>
      </c>
    </row>
    <row r="1876" spans="1:17" s="212" customFormat="1" ht="15.5" x14ac:dyDescent="0.35">
      <c r="A1876" s="198">
        <v>2045</v>
      </c>
      <c r="B1876" s="197" t="s">
        <v>5838</v>
      </c>
      <c r="C1876" s="197">
        <v>2002</v>
      </c>
      <c r="D1876" s="225" t="str">
        <f t="shared" si="19"/>
        <v>2045_2002</v>
      </c>
      <c r="E1876" s="1287">
        <v>0.29096344671294777</v>
      </c>
      <c r="F1876" s="1306">
        <v>0.11859568932717374</v>
      </c>
      <c r="G1876" s="1303">
        <v>7.1193243559051833</v>
      </c>
      <c r="H1876" s="1306">
        <v>0.92548140965498549</v>
      </c>
      <c r="I1876" s="1303">
        <v>5.4242207969790845E-2</v>
      </c>
      <c r="J1876" s="1306">
        <v>2.8215509372689971E-3</v>
      </c>
      <c r="K1876" s="1303">
        <v>2.9997995736637333E-3</v>
      </c>
      <c r="L1876" s="1288">
        <v>2.0000012770793676E-3</v>
      </c>
      <c r="M1876" s="1280">
        <v>2.0000012770793676E-3</v>
      </c>
      <c r="N1876" s="1303">
        <v>2.7295334059321465E-2</v>
      </c>
      <c r="O1876" s="1288">
        <v>7.2564033720906368E-3</v>
      </c>
      <c r="P1876" s="1293">
        <v>3.6282016860453184E-3</v>
      </c>
      <c r="Q1876" s="1290">
        <v>5.669479991795176E-2</v>
      </c>
    </row>
    <row r="1877" spans="1:17" s="212" customFormat="1" ht="15.5" x14ac:dyDescent="0.35">
      <c r="A1877" s="198">
        <v>2045</v>
      </c>
      <c r="B1877" s="197" t="s">
        <v>5838</v>
      </c>
      <c r="C1877" s="197">
        <v>2003</v>
      </c>
      <c r="D1877" s="225" t="str">
        <f t="shared" si="19"/>
        <v>2045_2003</v>
      </c>
      <c r="E1877" s="1287">
        <v>0.2894049145498207</v>
      </c>
      <c r="F1877" s="1306">
        <v>9.6062944105312797E-2</v>
      </c>
      <c r="G1877" s="1303">
        <v>7.145485626421153</v>
      </c>
      <c r="H1877" s="1306">
        <v>0.71967563125482303</v>
      </c>
      <c r="I1877" s="1303">
        <v>5.395341344153292E-2</v>
      </c>
      <c r="J1877" s="1306">
        <v>2.808470391628183E-3</v>
      </c>
      <c r="K1877" s="1303">
        <v>2.99975214280574E-3</v>
      </c>
      <c r="L1877" s="1288">
        <v>2.0000012873307529E-3</v>
      </c>
      <c r="M1877" s="1280">
        <v>2.0000012873307529E-3</v>
      </c>
      <c r="N1877" s="1303">
        <v>2.7294301148046873E-2</v>
      </c>
      <c r="O1877" s="1288">
        <v>7.6639632007369091E-3</v>
      </c>
      <c r="P1877" s="1293">
        <v>3.8319816003684545E-3</v>
      </c>
      <c r="Q1877" s="1290">
        <v>5.639294738263282E-2</v>
      </c>
    </row>
    <row r="1878" spans="1:17" s="212" customFormat="1" ht="15.5" x14ac:dyDescent="0.35">
      <c r="A1878" s="198">
        <v>2045</v>
      </c>
      <c r="B1878" s="197" t="s">
        <v>5838</v>
      </c>
      <c r="C1878" s="197">
        <v>2004</v>
      </c>
      <c r="D1878" s="225" t="str">
        <f t="shared" si="19"/>
        <v>2045_2004</v>
      </c>
      <c r="E1878" s="1287">
        <v>0.59530580615503015</v>
      </c>
      <c r="F1878" s="1306">
        <v>1.8086111348493316E-2</v>
      </c>
      <c r="G1878" s="1303">
        <v>4.2046645532784312</v>
      </c>
      <c r="H1878" s="1306">
        <v>0.12232897674333132</v>
      </c>
      <c r="I1878" s="1303">
        <v>0.15427132435065505</v>
      </c>
      <c r="J1878" s="1306">
        <v>1.8794821905728412E-4</v>
      </c>
      <c r="K1878" s="1303">
        <v>2.9980428469135278E-3</v>
      </c>
      <c r="L1878" s="1288">
        <v>2.0000013461028802E-3</v>
      </c>
      <c r="M1878" s="1280">
        <v>2.0000013461028802E-3</v>
      </c>
      <c r="N1878" s="1303">
        <v>2.725403235636897E-2</v>
      </c>
      <c r="O1878" s="1288">
        <v>7.110358379507898E-3</v>
      </c>
      <c r="P1878" s="1293">
        <v>3.555179189753949E-3</v>
      </c>
      <c r="Q1878" s="1290">
        <v>0.16124678906892867</v>
      </c>
    </row>
    <row r="1879" spans="1:17" s="212" customFormat="1" ht="15.5" x14ac:dyDescent="0.35">
      <c r="A1879" s="198">
        <v>2045</v>
      </c>
      <c r="B1879" s="197" t="s">
        <v>5838</v>
      </c>
      <c r="C1879" s="197">
        <v>2005</v>
      </c>
      <c r="D1879" s="225" t="str">
        <f t="shared" si="19"/>
        <v>2045_2005</v>
      </c>
      <c r="E1879" s="1287">
        <v>0.53350647717136379</v>
      </c>
      <c r="F1879" s="1306">
        <v>1.6148050068145434E-2</v>
      </c>
      <c r="G1879" s="1303">
        <v>3.9070603905182102</v>
      </c>
      <c r="H1879" s="1306">
        <v>0.10694492304157915</v>
      </c>
      <c r="I1879" s="1303">
        <v>0.14174241349226505</v>
      </c>
      <c r="J1879" s="1306">
        <v>1.8822553250295211E-4</v>
      </c>
      <c r="K1879" s="1303">
        <v>2.8773919247688973E-3</v>
      </c>
      <c r="L1879" s="1288">
        <v>2.0000013554842401E-3</v>
      </c>
      <c r="M1879" s="1280">
        <v>2.0000013554842401E-3</v>
      </c>
      <c r="N1879" s="1303">
        <v>2.4409167258086048E-2</v>
      </c>
      <c r="O1879" s="1288">
        <v>6.5999065585666851E-3</v>
      </c>
      <c r="P1879" s="1293">
        <v>3.2999532792833425E-3</v>
      </c>
      <c r="Q1879" s="1290">
        <v>0.14815137645774079</v>
      </c>
    </row>
    <row r="1880" spans="1:17" s="212" customFormat="1" ht="15.5" x14ac:dyDescent="0.35">
      <c r="A1880" s="198">
        <v>2045</v>
      </c>
      <c r="B1880" s="197" t="s">
        <v>5838</v>
      </c>
      <c r="C1880" s="197">
        <v>2006</v>
      </c>
      <c r="D1880" s="225" t="str">
        <f t="shared" si="19"/>
        <v>2045_2006</v>
      </c>
      <c r="E1880" s="1287">
        <v>0.56384195060486664</v>
      </c>
      <c r="F1880" s="1306">
        <v>7.141898998370695E-3</v>
      </c>
      <c r="G1880" s="1303">
        <v>4.0572622943550671</v>
      </c>
      <c r="H1880" s="1306">
        <v>8.5049951031203441E-2</v>
      </c>
      <c r="I1880" s="1303">
        <v>0.14784636056925077</v>
      </c>
      <c r="J1880" s="1306">
        <v>1.8362977283264753E-4</v>
      </c>
      <c r="K1880" s="1303">
        <v>2.9416483478805489E-3</v>
      </c>
      <c r="L1880" s="1288">
        <v>2.0000012565091385E-3</v>
      </c>
      <c r="M1880" s="1280">
        <v>2.0000012565091385E-3</v>
      </c>
      <c r="N1880" s="1303">
        <v>2.5923542447559823E-2</v>
      </c>
      <c r="O1880" s="1288">
        <v>9.5868598265686292E-3</v>
      </c>
      <c r="P1880" s="1293">
        <v>4.7934299132843146E-3</v>
      </c>
      <c r="Q1880" s="1290">
        <v>0.15453131693568356</v>
      </c>
    </row>
    <row r="1881" spans="1:17" s="212" customFormat="1" ht="15.5" x14ac:dyDescent="0.35">
      <c r="A1881" s="198">
        <v>2045</v>
      </c>
      <c r="B1881" s="197" t="s">
        <v>5838</v>
      </c>
      <c r="C1881" s="197">
        <v>2007</v>
      </c>
      <c r="D1881" s="225" t="str">
        <f t="shared" si="19"/>
        <v>2045_2007</v>
      </c>
      <c r="E1881" s="1287">
        <v>0.31032286122840463</v>
      </c>
      <c r="F1881" s="1306">
        <v>8.9473022456779266E-3</v>
      </c>
      <c r="G1881" s="1303">
        <v>2.2576037499305994</v>
      </c>
      <c r="H1881" s="1306">
        <v>7.027687618303663E-2</v>
      </c>
      <c r="I1881" s="1303">
        <v>8.1066057718537476E-2</v>
      </c>
      <c r="J1881" s="1306">
        <v>1.8725117213584539E-4</v>
      </c>
      <c r="K1881" s="1303">
        <v>2.9159335707964807E-3</v>
      </c>
      <c r="L1881" s="1288">
        <v>2.000001288893031E-3</v>
      </c>
      <c r="M1881" s="1280">
        <v>2.000001288893031E-3</v>
      </c>
      <c r="N1881" s="1303">
        <v>2.5318739731707073E-2</v>
      </c>
      <c r="O1881" s="1288">
        <v>6.791649936754531E-3</v>
      </c>
      <c r="P1881" s="1293">
        <v>3.3958249683772655E-3</v>
      </c>
      <c r="Q1881" s="1290">
        <v>8.4731505123266215E-2</v>
      </c>
    </row>
    <row r="1882" spans="1:17" s="212" customFormat="1" ht="15.5" x14ac:dyDescent="0.35">
      <c r="A1882" s="198">
        <v>2045</v>
      </c>
      <c r="B1882" s="197" t="s">
        <v>5838</v>
      </c>
      <c r="C1882" s="197">
        <v>2008</v>
      </c>
      <c r="D1882" s="225" t="str">
        <f t="shared" si="19"/>
        <v>2045_2008</v>
      </c>
      <c r="E1882" s="1287">
        <v>0.32316481685178194</v>
      </c>
      <c r="F1882" s="1306">
        <v>8.3452620636450415E-3</v>
      </c>
      <c r="G1882" s="1303">
        <v>2.3577987492535923</v>
      </c>
      <c r="H1882" s="1306">
        <v>5.3784968798895251E-2</v>
      </c>
      <c r="I1882" s="1303">
        <v>8.4379697142771437E-2</v>
      </c>
      <c r="J1882" s="1306">
        <v>2.1098419418315491E-4</v>
      </c>
      <c r="K1882" s="1303">
        <v>2.9588356514961577E-3</v>
      </c>
      <c r="L1882" s="1288">
        <v>2.0000014160677362E-3</v>
      </c>
      <c r="M1882" s="1280">
        <v>2.0000014160677362E-3</v>
      </c>
      <c r="N1882" s="1303">
        <v>2.6331229448842437E-2</v>
      </c>
      <c r="O1882" s="1288">
        <v>6.7385763981167657E-3</v>
      </c>
      <c r="P1882" s="1293">
        <v>3.3692881990583829E-3</v>
      </c>
      <c r="Q1882" s="1290">
        <v>8.8194972618206899E-2</v>
      </c>
    </row>
    <row r="1883" spans="1:17" s="212" customFormat="1" ht="15.5" x14ac:dyDescent="0.35">
      <c r="A1883" s="198">
        <v>2045</v>
      </c>
      <c r="B1883" s="197" t="s">
        <v>5838</v>
      </c>
      <c r="C1883" s="197">
        <v>2009</v>
      </c>
      <c r="D1883" s="225" t="str">
        <f t="shared" si="19"/>
        <v>2045_2009</v>
      </c>
      <c r="E1883" s="1287">
        <v>0.31035438453066927</v>
      </c>
      <c r="F1883" s="1306">
        <v>7.969352228303991E-3</v>
      </c>
      <c r="G1883" s="1303">
        <v>2.23931743420018</v>
      </c>
      <c r="H1883" s="1306">
        <v>3.876943825849128E-2</v>
      </c>
      <c r="I1883" s="1303">
        <v>8.0871587118070423E-2</v>
      </c>
      <c r="J1883" s="1306">
        <v>2.3935295624630438E-4</v>
      </c>
      <c r="K1883" s="1303">
        <v>2.9025681736598572E-3</v>
      </c>
      <c r="L1883" s="1288">
        <v>2.0000014708111717E-3</v>
      </c>
      <c r="M1883" s="1280">
        <v>2.0000014708111717E-3</v>
      </c>
      <c r="N1883" s="1303">
        <v>2.5008688623865027E-2</v>
      </c>
      <c r="O1883" s="1288">
        <v>5.3997758800698546E-3</v>
      </c>
      <c r="P1883" s="1293">
        <v>2.6998879400349273E-3</v>
      </c>
      <c r="Q1883" s="1290">
        <v>8.4528241425196687E-2</v>
      </c>
    </row>
    <row r="1884" spans="1:17" s="212" customFormat="1" ht="15.5" x14ac:dyDescent="0.35">
      <c r="A1884" s="198">
        <v>2045</v>
      </c>
      <c r="B1884" s="197" t="s">
        <v>5838</v>
      </c>
      <c r="C1884" s="197">
        <v>2010</v>
      </c>
      <c r="D1884" s="225" t="str">
        <f t="shared" si="19"/>
        <v>2045_2010</v>
      </c>
      <c r="E1884" s="1287">
        <v>6.6591063151447791E-2</v>
      </c>
      <c r="F1884" s="1306">
        <v>7.3468387332097044E-3</v>
      </c>
      <c r="G1884" s="1303">
        <v>0.57816710803725901</v>
      </c>
      <c r="H1884" s="1306">
        <v>3.6856519340264245E-2</v>
      </c>
      <c r="I1884" s="1303">
        <v>1.8459667546121029E-2</v>
      </c>
      <c r="J1884" s="1306">
        <v>2.9578149263971592E-4</v>
      </c>
      <c r="K1884" s="1303">
        <v>2.7989565169138021E-3</v>
      </c>
      <c r="L1884" s="1288">
        <v>2.0000015457322809E-3</v>
      </c>
      <c r="M1884" s="1280">
        <v>2.0000015457322809E-3</v>
      </c>
      <c r="N1884" s="1303">
        <v>2.2572142112312087E-2</v>
      </c>
      <c r="O1884" s="1288">
        <v>4.5662420434428863E-3</v>
      </c>
      <c r="P1884" s="1293">
        <v>2.2831210217214432E-3</v>
      </c>
      <c r="Q1884" s="1290">
        <v>1.9294331798995056E-2</v>
      </c>
    </row>
    <row r="1885" spans="1:17" s="212" customFormat="1" ht="15.5" x14ac:dyDescent="0.35">
      <c r="A1885" s="198">
        <v>2045</v>
      </c>
      <c r="B1885" s="197" t="s">
        <v>5838</v>
      </c>
      <c r="C1885" s="197">
        <v>2011</v>
      </c>
      <c r="D1885" s="225" t="str">
        <f t="shared" si="19"/>
        <v>2045_2011</v>
      </c>
      <c r="E1885" s="1287">
        <v>7.2405328023701629E-2</v>
      </c>
      <c r="F1885" s="1306">
        <v>7.3208478566944291E-3</v>
      </c>
      <c r="G1885" s="1303">
        <v>0.64636680316553285</v>
      </c>
      <c r="H1885" s="1306">
        <v>3.6657141744977251E-2</v>
      </c>
      <c r="I1885" s="1303">
        <v>1.9962870478921351E-2</v>
      </c>
      <c r="J1885" s="1306">
        <v>3.9258080621668186E-4</v>
      </c>
      <c r="K1885" s="1303">
        <v>2.9022522318327085E-3</v>
      </c>
      <c r="L1885" s="1288">
        <v>2.0000014952211509E-3</v>
      </c>
      <c r="M1885" s="1280">
        <v>2.0000014952211509E-3</v>
      </c>
      <c r="N1885" s="1303">
        <v>2.5007925969252835E-2</v>
      </c>
      <c r="O1885" s="1288">
        <v>5.6203711928225503E-3</v>
      </c>
      <c r="P1885" s="1293">
        <v>2.8101855964112752E-3</v>
      </c>
      <c r="Q1885" s="1290">
        <v>2.0865502898052397E-2</v>
      </c>
    </row>
    <row r="1886" spans="1:17" s="212" customFormat="1" ht="15.5" x14ac:dyDescent="0.35">
      <c r="A1886" s="198">
        <v>2045</v>
      </c>
      <c r="B1886" s="197" t="s">
        <v>5838</v>
      </c>
      <c r="C1886" s="197">
        <v>2012</v>
      </c>
      <c r="D1886" s="225" t="str">
        <f t="shared" si="19"/>
        <v>2045_2012</v>
      </c>
      <c r="E1886" s="1287">
        <v>5.7737284511402302E-2</v>
      </c>
      <c r="F1886" s="1306">
        <v>6.9715720611179637E-3</v>
      </c>
      <c r="G1886" s="1303">
        <v>0.48575257234748292</v>
      </c>
      <c r="H1886" s="1306">
        <v>3.5536218448434492E-2</v>
      </c>
      <c r="I1886" s="1303">
        <v>1.627034678556533E-2</v>
      </c>
      <c r="J1886" s="1306">
        <v>5.6829740320121064E-4</v>
      </c>
      <c r="K1886" s="1303">
        <v>2.6676462506899567E-3</v>
      </c>
      <c r="L1886" s="1288">
        <v>2.0000015283903922E-3</v>
      </c>
      <c r="M1886" s="1280">
        <v>2.0000015283903922E-3</v>
      </c>
      <c r="N1886" s="1303">
        <v>1.9472966873903558E-2</v>
      </c>
      <c r="O1886" s="1288">
        <v>6.1658138012621365E-3</v>
      </c>
      <c r="P1886" s="1293">
        <v>3.0829069006310683E-3</v>
      </c>
      <c r="Q1886" s="1290">
        <v>1.7006019668614054E-2</v>
      </c>
    </row>
    <row r="1887" spans="1:17" s="212" customFormat="1" ht="15.5" x14ac:dyDescent="0.35">
      <c r="A1887" s="198">
        <v>2045</v>
      </c>
      <c r="B1887" s="197" t="s">
        <v>5838</v>
      </c>
      <c r="C1887" s="197">
        <v>2013</v>
      </c>
      <c r="D1887" s="225" t="str">
        <f t="shared" si="19"/>
        <v>2045_2013</v>
      </c>
      <c r="E1887" s="1287">
        <v>7.1834157379001187E-2</v>
      </c>
      <c r="F1887" s="1306">
        <v>7.4859645499574879E-3</v>
      </c>
      <c r="G1887" s="1303">
        <v>0.63876237770897848</v>
      </c>
      <c r="H1887" s="1306">
        <v>3.6811175884880087E-2</v>
      </c>
      <c r="I1887" s="1303">
        <v>1.9804197716464061E-2</v>
      </c>
      <c r="J1887" s="1306">
        <v>8.4895274431559141E-4</v>
      </c>
      <c r="K1887" s="1303">
        <v>2.8909157609920675E-3</v>
      </c>
      <c r="L1887" s="1288">
        <v>2.0000015326374901E-3</v>
      </c>
      <c r="M1887" s="1280">
        <v>2.0000015326374901E-3</v>
      </c>
      <c r="N1887" s="1303">
        <v>2.4740252675689502E-2</v>
      </c>
      <c r="O1887" s="1288">
        <v>6.2069609431465523E-3</v>
      </c>
      <c r="P1887" s="1293">
        <v>3.1034804715732761E-3</v>
      </c>
      <c r="Q1887" s="1290">
        <v>2.0699655657376744E-2</v>
      </c>
    </row>
    <row r="1888" spans="1:17" s="212" customFormat="1" ht="15.5" x14ac:dyDescent="0.35">
      <c r="A1888" s="198">
        <v>2045</v>
      </c>
      <c r="B1888" s="197" t="s">
        <v>5838</v>
      </c>
      <c r="C1888" s="197">
        <v>2014</v>
      </c>
      <c r="D1888" s="225" t="str">
        <f t="shared" si="19"/>
        <v>2045_2014</v>
      </c>
      <c r="E1888" s="1287">
        <v>6.5015942582668837E-2</v>
      </c>
      <c r="F1888" s="1306">
        <v>7.6257861447319832E-3</v>
      </c>
      <c r="G1888" s="1303">
        <v>0.56539116362880137</v>
      </c>
      <c r="H1888" s="1306">
        <v>3.7238358188891041E-2</v>
      </c>
      <c r="I1888" s="1303">
        <v>1.8103269930426664E-2</v>
      </c>
      <c r="J1888" s="1306">
        <v>1.2002703722817619E-3</v>
      </c>
      <c r="K1888" s="1303">
        <v>2.7841879883479786E-3</v>
      </c>
      <c r="L1888" s="1288">
        <v>2.0000015344231984E-3</v>
      </c>
      <c r="M1888" s="1280">
        <v>2.0000015344231984E-3</v>
      </c>
      <c r="N1888" s="1303">
        <v>2.222057501153352E-2</v>
      </c>
      <c r="O1888" s="1288">
        <v>5.3042919892824104E-3</v>
      </c>
      <c r="P1888" s="1293">
        <v>2.6521459946412052E-3</v>
      </c>
      <c r="Q1888" s="1290">
        <v>1.8921819464609996E-2</v>
      </c>
    </row>
    <row r="1889" spans="1:17" s="212" customFormat="1" ht="15.5" x14ac:dyDescent="0.35">
      <c r="A1889" s="198">
        <v>2045</v>
      </c>
      <c r="B1889" s="197" t="s">
        <v>5838</v>
      </c>
      <c r="C1889" s="197">
        <v>2015</v>
      </c>
      <c r="D1889" s="225" t="str">
        <f t="shared" si="19"/>
        <v>2045_2015</v>
      </c>
      <c r="E1889" s="1287">
        <v>6.1775892425214481E-2</v>
      </c>
      <c r="F1889" s="1306">
        <v>7.4592762763667046E-3</v>
      </c>
      <c r="G1889" s="1303">
        <v>0.53396217741459973</v>
      </c>
      <c r="H1889" s="1306">
        <v>3.6386271833549783E-2</v>
      </c>
      <c r="I1889" s="1303">
        <v>1.7334477072515744E-2</v>
      </c>
      <c r="J1889" s="1306">
        <v>1.4822788385127374E-3</v>
      </c>
      <c r="K1889" s="1303">
        <v>2.7405585913177605E-3</v>
      </c>
      <c r="L1889" s="1288">
        <v>2.0000015023086421E-3</v>
      </c>
      <c r="M1889" s="1280">
        <v>2.0000015023086421E-3</v>
      </c>
      <c r="N1889" s="1303">
        <v>2.1181959902669679E-2</v>
      </c>
      <c r="O1889" s="1288">
        <v>6.2969696111138144E-3</v>
      </c>
      <c r="P1889" s="1293">
        <v>3.1484848055569072E-3</v>
      </c>
      <c r="Q1889" s="1290">
        <v>1.8118265205132177E-2</v>
      </c>
    </row>
    <row r="1890" spans="1:17" s="212" customFormat="1" ht="15.5" x14ac:dyDescent="0.35">
      <c r="A1890" s="198">
        <v>2045</v>
      </c>
      <c r="B1890" s="197" t="s">
        <v>5838</v>
      </c>
      <c r="C1890" s="197">
        <v>2016</v>
      </c>
      <c r="D1890" s="225" t="str">
        <f t="shared" si="19"/>
        <v>2045_2016</v>
      </c>
      <c r="E1890" s="1287">
        <v>6.9407272996525174E-2</v>
      </c>
      <c r="F1890" s="1306">
        <v>7.323849656382859E-3</v>
      </c>
      <c r="G1890" s="1303">
        <v>0.55026718972936417</v>
      </c>
      <c r="H1890" s="1306">
        <v>3.5600124910546115E-2</v>
      </c>
      <c r="I1890" s="1303">
        <v>1.9288091611069435E-2</v>
      </c>
      <c r="J1890" s="1306">
        <v>1.6791603285854753E-3</v>
      </c>
      <c r="K1890" s="1303">
        <v>2.874629756874152E-3</v>
      </c>
      <c r="L1890" s="1288">
        <v>2.0000014503748979E-3</v>
      </c>
      <c r="M1890" s="1280">
        <v>2.0000014503748979E-3</v>
      </c>
      <c r="N1890" s="1303">
        <v>2.4344925652787095E-2</v>
      </c>
      <c r="O1890" s="1288">
        <v>7.3645831172136338E-3</v>
      </c>
      <c r="P1890" s="1293">
        <v>3.6822915586068169E-3</v>
      </c>
      <c r="Q1890" s="1290">
        <v>2.0160213524083138E-2</v>
      </c>
    </row>
    <row r="1891" spans="1:17" s="212" customFormat="1" ht="15.5" x14ac:dyDescent="0.35">
      <c r="A1891" s="198">
        <v>2045</v>
      </c>
      <c r="B1891" s="197" t="s">
        <v>5838</v>
      </c>
      <c r="C1891" s="197">
        <v>2017</v>
      </c>
      <c r="D1891" s="225" t="str">
        <f t="shared" si="19"/>
        <v>2045_2017</v>
      </c>
      <c r="E1891" s="1287">
        <v>7.0863945574438397E-2</v>
      </c>
      <c r="F1891" s="1306">
        <v>7.0597307017088032E-3</v>
      </c>
      <c r="G1891" s="1303">
        <v>0.49037251507548818</v>
      </c>
      <c r="H1891" s="1306">
        <v>3.4915731750736312E-2</v>
      </c>
      <c r="I1891" s="1303">
        <v>1.9656625340063689E-2</v>
      </c>
      <c r="J1891" s="1306">
        <v>1.8031809068349085E-3</v>
      </c>
      <c r="K1891" s="1303">
        <v>2.8972072638085915E-3</v>
      </c>
      <c r="L1891" s="1288">
        <v>2.0000014196136042E-3</v>
      </c>
      <c r="M1891" s="1280">
        <v>2.0000014196136042E-3</v>
      </c>
      <c r="N1891" s="1303">
        <v>2.4880943700369772E-2</v>
      </c>
      <c r="O1891" s="1288">
        <v>7.3641182429595815E-3</v>
      </c>
      <c r="P1891" s="1293">
        <v>3.6820591214797907E-3</v>
      </c>
      <c r="Q1891" s="1290">
        <v>2.054541071295821E-2</v>
      </c>
    </row>
    <row r="1892" spans="1:17" s="212" customFormat="1" ht="15.5" x14ac:dyDescent="0.35">
      <c r="A1892" s="198">
        <v>2045</v>
      </c>
      <c r="B1892" s="197" t="s">
        <v>5838</v>
      </c>
      <c r="C1892" s="197">
        <v>2018</v>
      </c>
      <c r="D1892" s="225" t="str">
        <f t="shared" si="19"/>
        <v>2045_2018</v>
      </c>
      <c r="E1892" s="1287">
        <v>6.7023619248691241E-2</v>
      </c>
      <c r="F1892" s="1306">
        <v>6.9648849263056912E-3</v>
      </c>
      <c r="G1892" s="1303">
        <v>0.37937389213888811</v>
      </c>
      <c r="H1892" s="1306">
        <v>3.4612452808013131E-2</v>
      </c>
      <c r="I1892" s="1303">
        <v>1.8675940828006811E-2</v>
      </c>
      <c r="J1892" s="1306">
        <v>1.908760596077131E-3</v>
      </c>
      <c r="K1892" s="1303">
        <v>2.8304592208924831E-3</v>
      </c>
      <c r="L1892" s="1288">
        <v>2.0000014259289002E-3</v>
      </c>
      <c r="M1892" s="1280">
        <v>2.0000014259289002E-3</v>
      </c>
      <c r="N1892" s="1303">
        <v>2.3306228127240348E-2</v>
      </c>
      <c r="O1892" s="1288">
        <v>6.6823500836559599E-3</v>
      </c>
      <c r="P1892" s="1293">
        <v>3.3411750418279799E-3</v>
      </c>
      <c r="Q1892" s="1290">
        <v>1.952038399898922E-2</v>
      </c>
    </row>
    <row r="1893" spans="1:17" s="212" customFormat="1" ht="15.5" x14ac:dyDescent="0.35">
      <c r="A1893" s="198">
        <v>2045</v>
      </c>
      <c r="B1893" s="197" t="s">
        <v>5838</v>
      </c>
      <c r="C1893" s="197">
        <v>2019</v>
      </c>
      <c r="D1893" s="225" t="str">
        <f t="shared" si="19"/>
        <v>2045_2019</v>
      </c>
      <c r="E1893" s="1287">
        <v>7.3882997852410662E-2</v>
      </c>
      <c r="F1893" s="1306">
        <v>6.8546301629042877E-3</v>
      </c>
      <c r="G1893" s="1303">
        <v>0.37199573301277261</v>
      </c>
      <c r="H1893" s="1306">
        <v>3.4001713552953561E-2</v>
      </c>
      <c r="I1893" s="1303">
        <v>2.0437741808600859E-2</v>
      </c>
      <c r="J1893" s="1306">
        <v>1.8130964017872039E-3</v>
      </c>
      <c r="K1893" s="1303">
        <v>2.9517820756931115E-3</v>
      </c>
      <c r="L1893" s="1288">
        <v>2.000001361120825E-3</v>
      </c>
      <c r="M1893" s="1280">
        <v>2.000001361120825E-3</v>
      </c>
      <c r="N1893" s="1303">
        <v>2.6165589677803944E-2</v>
      </c>
      <c r="O1893" s="1288">
        <v>6.7703769524271396E-3</v>
      </c>
      <c r="P1893" s="1293">
        <v>3.3851884762135698E-3</v>
      </c>
      <c r="Q1893" s="1290">
        <v>2.1361845802049671E-2</v>
      </c>
    </row>
    <row r="1894" spans="1:17" s="212" customFormat="1" ht="15.5" x14ac:dyDescent="0.35">
      <c r="A1894" s="198">
        <v>2045</v>
      </c>
      <c r="B1894" s="197" t="s">
        <v>5838</v>
      </c>
      <c r="C1894" s="197">
        <v>2020</v>
      </c>
      <c r="D1894" s="225" t="str">
        <f t="shared" si="19"/>
        <v>2045_2020</v>
      </c>
      <c r="E1894" s="1287">
        <v>6.4490044252403983E-2</v>
      </c>
      <c r="F1894" s="1306">
        <v>6.7493393685149764E-3</v>
      </c>
      <c r="G1894" s="1303">
        <v>0.29026356322017716</v>
      </c>
      <c r="H1894" s="1306">
        <v>3.3162010994128174E-2</v>
      </c>
      <c r="I1894" s="1303">
        <v>1.8531584661480568E-2</v>
      </c>
      <c r="J1894" s="1306">
        <v>1.3498148094777337E-3</v>
      </c>
      <c r="K1894" s="1303">
        <v>2.9292082155762508E-3</v>
      </c>
      <c r="L1894" s="1288">
        <v>2.0000014390601788E-3</v>
      </c>
      <c r="M1894" s="1280">
        <v>2.0000014390601788E-3</v>
      </c>
      <c r="N1894" s="1303">
        <v>2.5640541011048554E-2</v>
      </c>
      <c r="O1894" s="1288">
        <v>6.8709810935056511E-3</v>
      </c>
      <c r="P1894" s="1293">
        <v>3.4354905467528256E-3</v>
      </c>
      <c r="Q1894" s="1290">
        <v>1.9369500687183652E-2</v>
      </c>
    </row>
    <row r="1895" spans="1:17" s="212" customFormat="1" ht="15.5" x14ac:dyDescent="0.35">
      <c r="A1895" s="198">
        <v>2045</v>
      </c>
      <c r="B1895" s="197" t="s">
        <v>5838</v>
      </c>
      <c r="C1895" s="197">
        <v>2021</v>
      </c>
      <c r="D1895" s="225" t="str">
        <f t="shared" si="19"/>
        <v>2045_2021</v>
      </c>
      <c r="E1895" s="1287">
        <v>6.3659411971716776E-2</v>
      </c>
      <c r="F1895" s="1306">
        <v>6.5790600693943681E-3</v>
      </c>
      <c r="G1895" s="1303">
        <v>0.23666754609131929</v>
      </c>
      <c r="H1895" s="1306">
        <v>3.2434074797505881E-2</v>
      </c>
      <c r="I1895" s="1303">
        <v>1.8132246262696522E-2</v>
      </c>
      <c r="J1895" s="1306">
        <v>8.9095635468186345E-4</v>
      </c>
      <c r="K1895" s="1303">
        <v>2.9264791586811724E-3</v>
      </c>
      <c r="L1895" s="1288">
        <v>2.0000014485515223E-3</v>
      </c>
      <c r="M1895" s="1280">
        <v>2.0000014485515223E-3</v>
      </c>
      <c r="N1895" s="1303">
        <v>2.5576167204563127E-2</v>
      </c>
      <c r="O1895" s="1288">
        <v>6.8111357050982509E-3</v>
      </c>
      <c r="P1895" s="1293">
        <v>3.4055678525491254E-3</v>
      </c>
      <c r="Q1895" s="1290">
        <v>1.8952105978044514E-2</v>
      </c>
    </row>
    <row r="1896" spans="1:17" s="212" customFormat="1" ht="15.5" x14ac:dyDescent="0.35">
      <c r="A1896" s="198">
        <v>2045</v>
      </c>
      <c r="B1896" s="197" t="s">
        <v>5838</v>
      </c>
      <c r="C1896" s="197">
        <v>2022</v>
      </c>
      <c r="D1896" s="225" t="str">
        <f t="shared" si="19"/>
        <v>2045_2022</v>
      </c>
      <c r="E1896" s="1287">
        <v>6.3428618782551974E-2</v>
      </c>
      <c r="F1896" s="1306">
        <v>6.4469954516378526E-3</v>
      </c>
      <c r="G1896" s="1303">
        <v>0.18285106933277037</v>
      </c>
      <c r="H1896" s="1306">
        <v>3.1658976133703665E-2</v>
      </c>
      <c r="I1896" s="1303">
        <v>1.8036301800582501E-2</v>
      </c>
      <c r="J1896" s="1306">
        <v>8.9043787238888531E-4</v>
      </c>
      <c r="K1896" s="1303">
        <v>2.9231057588140039E-3</v>
      </c>
      <c r="L1896" s="1288">
        <v>2.0000014618682771E-3</v>
      </c>
      <c r="M1896" s="1280">
        <v>2.0000014618682771E-3</v>
      </c>
      <c r="N1896" s="1303">
        <v>2.5496387615302821E-2</v>
      </c>
      <c r="O1896" s="1288">
        <v>6.7955795158311924E-3</v>
      </c>
      <c r="P1896" s="1293">
        <v>3.3977897579155962E-3</v>
      </c>
      <c r="Q1896" s="1290">
        <v>1.8851823333100922E-2</v>
      </c>
    </row>
    <row r="1897" spans="1:17" s="212" customFormat="1" ht="15.5" x14ac:dyDescent="0.35">
      <c r="A1897" s="198">
        <v>2045</v>
      </c>
      <c r="B1897" s="197" t="s">
        <v>5838</v>
      </c>
      <c r="C1897" s="197">
        <v>2023</v>
      </c>
      <c r="D1897" s="225" t="str">
        <f t="shared" si="19"/>
        <v>2045_2023</v>
      </c>
      <c r="E1897" s="1287">
        <v>6.3107273445984477E-2</v>
      </c>
      <c r="F1897" s="1306">
        <v>6.1842603904075262E-3</v>
      </c>
      <c r="G1897" s="1303">
        <v>0.18161556286798353</v>
      </c>
      <c r="H1897" s="1306">
        <v>3.0908348691766917E-2</v>
      </c>
      <c r="I1897" s="1303">
        <v>1.7884845845889386E-2</v>
      </c>
      <c r="J1897" s="1306">
        <v>8.8988060168838587E-4</v>
      </c>
      <c r="K1897" s="1303">
        <v>2.9192868626733014E-3</v>
      </c>
      <c r="L1897" s="1288">
        <v>2.0000014772074502E-3</v>
      </c>
      <c r="M1897" s="1280">
        <v>2.0000014772074502E-3</v>
      </c>
      <c r="N1897" s="1303">
        <v>2.5405861842748765E-2</v>
      </c>
      <c r="O1897" s="1288">
        <v>6.7643727004929027E-3</v>
      </c>
      <c r="P1897" s="1293">
        <v>3.3821863502464513E-3</v>
      </c>
      <c r="Q1897" s="1290">
        <v>1.8693519212212472E-2</v>
      </c>
    </row>
    <row r="1898" spans="1:17" s="212" customFormat="1" ht="15.5" x14ac:dyDescent="0.35">
      <c r="A1898" s="198">
        <v>2045</v>
      </c>
      <c r="B1898" s="197" t="s">
        <v>5838</v>
      </c>
      <c r="C1898" s="197">
        <v>2024</v>
      </c>
      <c r="D1898" s="225" t="str">
        <f t="shared" si="19"/>
        <v>2045_2024</v>
      </c>
      <c r="E1898" s="1287">
        <v>6.247888084626961E-2</v>
      </c>
      <c r="F1898" s="1306">
        <v>5.6403102950123973E-3</v>
      </c>
      <c r="G1898" s="1303">
        <v>0.17933446163166253</v>
      </c>
      <c r="H1898" s="1306">
        <v>2.9789827299175758E-2</v>
      </c>
      <c r="I1898" s="1303">
        <v>1.7613425218312908E-2</v>
      </c>
      <c r="J1898" s="1306">
        <v>8.8793573220442238E-4</v>
      </c>
      <c r="K1898" s="1303">
        <v>2.9114590552781236E-3</v>
      </c>
      <c r="L1898" s="1288">
        <v>2.0000014959972736E-3</v>
      </c>
      <c r="M1898" s="1306">
        <v>2.0000005733755177E-3</v>
      </c>
      <c r="N1898" s="1303">
        <v>2.5220798926135747E-2</v>
      </c>
      <c r="O1898" s="1288">
        <v>6.5958406495875707E-3</v>
      </c>
      <c r="P1898" s="1294">
        <v>3.9253849732213218E-3</v>
      </c>
      <c r="Q1898" s="1290">
        <v>1.8409826148268131E-2</v>
      </c>
    </row>
    <row r="1899" spans="1:17" s="212" customFormat="1" ht="15.5" x14ac:dyDescent="0.35">
      <c r="A1899" s="198">
        <v>2045</v>
      </c>
      <c r="B1899" s="197" t="s">
        <v>5838</v>
      </c>
      <c r="C1899" s="197">
        <v>2025</v>
      </c>
      <c r="D1899" s="225" t="str">
        <f t="shared" si="19"/>
        <v>2045_2025</v>
      </c>
      <c r="E1899" s="1287">
        <v>6.194790250804285E-2</v>
      </c>
      <c r="F1899" s="1306">
        <v>5.162833032638048E-3</v>
      </c>
      <c r="G1899" s="1303">
        <v>0.17723792806981678</v>
      </c>
      <c r="H1899" s="1306">
        <v>2.880326061840633E-2</v>
      </c>
      <c r="I1899" s="1303">
        <v>1.7344669177058136E-2</v>
      </c>
      <c r="J1899" s="1306">
        <v>8.8692663679281608E-4</v>
      </c>
      <c r="K1899" s="1303">
        <v>2.9062656806692648E-3</v>
      </c>
      <c r="L1899" s="1288">
        <v>2.0000015107364227E-3</v>
      </c>
      <c r="M1899" s="1306">
        <v>2.000000573410596E-3</v>
      </c>
      <c r="N1899" s="1303">
        <v>2.5097076282677124E-2</v>
      </c>
      <c r="O1899" s="1288">
        <v>6.5103623374032525E-3</v>
      </c>
      <c r="P1899" s="1294">
        <v>4.3958418360154289E-3</v>
      </c>
      <c r="Q1899" s="1290">
        <v>1.8128918151415169E-2</v>
      </c>
    </row>
    <row r="1900" spans="1:17" s="212" customFormat="1" ht="15.5" x14ac:dyDescent="0.35">
      <c r="A1900" s="198">
        <v>2045</v>
      </c>
      <c r="B1900" s="197" t="s">
        <v>5838</v>
      </c>
      <c r="C1900" s="197">
        <v>2026</v>
      </c>
      <c r="D1900" s="225" t="str">
        <f t="shared" si="19"/>
        <v>2045_2026</v>
      </c>
      <c r="E1900" s="1287">
        <v>6.1274231943163004E-2</v>
      </c>
      <c r="F1900" s="1306">
        <v>5.1861826959994049E-3</v>
      </c>
      <c r="G1900" s="1303">
        <v>0.17459976839740193</v>
      </c>
      <c r="H1900" s="1306">
        <v>2.8664521272448017E-2</v>
      </c>
      <c r="I1900" s="1303">
        <v>1.7006916903546544E-2</v>
      </c>
      <c r="J1900" s="1306">
        <v>7.7331440558705113E-4</v>
      </c>
      <c r="K1900" s="1303">
        <v>2.8997066328972174E-3</v>
      </c>
      <c r="L1900" s="1288">
        <v>2.0000015276761427E-3</v>
      </c>
      <c r="M1900" s="1306">
        <v>2.0000005734766716E-3</v>
      </c>
      <c r="N1900" s="1303">
        <v>2.4940691669119251E-2</v>
      </c>
      <c r="O1900" s="1288">
        <v>6.3544148739113349E-3</v>
      </c>
      <c r="P1900" s="1294">
        <v>5.2839047239726152E-3</v>
      </c>
      <c r="Q1900" s="1290">
        <v>1.7775894218848821E-2</v>
      </c>
    </row>
    <row r="1901" spans="1:17" s="212" customFormat="1" ht="15.5" x14ac:dyDescent="0.35">
      <c r="A1901" s="198">
        <v>2045</v>
      </c>
      <c r="B1901" s="197" t="s">
        <v>5838</v>
      </c>
      <c r="C1901" s="197">
        <v>2027</v>
      </c>
      <c r="D1901" s="225" t="str">
        <f t="shared" si="19"/>
        <v>2045_2027</v>
      </c>
      <c r="E1901" s="1287">
        <v>6.0410347419904656E-2</v>
      </c>
      <c r="F1901" s="1306">
        <v>5.2392641052613547E-3</v>
      </c>
      <c r="G1901" s="1303">
        <v>0.17128206141844324</v>
      </c>
      <c r="H1901" s="1306">
        <v>2.8516952819811977E-2</v>
      </c>
      <c r="I1901" s="1303">
        <v>1.6587458561777641E-2</v>
      </c>
      <c r="J1901" s="1306">
        <v>6.3930322359891654E-4</v>
      </c>
      <c r="K1901" s="1303">
        <v>2.8909363024869979E-3</v>
      </c>
      <c r="L1901" s="1288">
        <v>2.0000015482065326E-3</v>
      </c>
      <c r="M1901" s="1306">
        <v>2.0000005735422038E-3</v>
      </c>
      <c r="N1901" s="1303">
        <v>2.4731638883787484E-2</v>
      </c>
      <c r="O1901" s="1288">
        <v>6.1791783850024158E-3</v>
      </c>
      <c r="P1901" s="1294">
        <v>6.1624994315398847E-3</v>
      </c>
      <c r="Q1901" s="1290">
        <v>1.7337469832183965E-2</v>
      </c>
    </row>
    <row r="1902" spans="1:17" s="212" customFormat="1" ht="15.5" x14ac:dyDescent="0.35">
      <c r="A1902" s="198">
        <v>2045</v>
      </c>
      <c r="B1902" s="197" t="s">
        <v>5838</v>
      </c>
      <c r="C1902" s="197">
        <v>2028</v>
      </c>
      <c r="D1902" s="225" t="str">
        <f t="shared" ref="D1902:D1996" si="20">CONCATENATE(A1902,"_",C1902)</f>
        <v>2045_2028</v>
      </c>
      <c r="E1902" s="1287">
        <v>5.9301856279321698E-2</v>
      </c>
      <c r="F1902" s="1306">
        <v>5.2267024292004267E-3</v>
      </c>
      <c r="G1902" s="1303">
        <v>0.16713557222952513</v>
      </c>
      <c r="H1902" s="1306">
        <v>2.8274601351163924E-2</v>
      </c>
      <c r="I1902" s="1303">
        <v>1.6072964386203266E-2</v>
      </c>
      <c r="J1902" s="1306">
        <v>5.2170492699208748E-4</v>
      </c>
      <c r="K1902" s="1303">
        <v>2.87900603179556E-3</v>
      </c>
      <c r="L1902" s="1288">
        <v>2.0000015716253742E-3</v>
      </c>
      <c r="M1902" s="1306">
        <v>2.0000005735847678E-3</v>
      </c>
      <c r="N1902" s="1303">
        <v>2.4447262689067838E-2</v>
      </c>
      <c r="O1902" s="1288">
        <v>5.9755090625347599E-3</v>
      </c>
      <c r="P1902" s="1294">
        <v>6.7297362048435155E-3</v>
      </c>
      <c r="Q1902" s="1290">
        <v>1.6799712513024243E-2</v>
      </c>
    </row>
    <row r="1903" spans="1:17" s="212" customFormat="1" ht="15.5" x14ac:dyDescent="0.35">
      <c r="A1903" s="198">
        <v>2045</v>
      </c>
      <c r="B1903" s="197" t="s">
        <v>5838</v>
      </c>
      <c r="C1903" s="197">
        <v>2029</v>
      </c>
      <c r="D1903" s="225" t="str">
        <f t="shared" si="20"/>
        <v>2045_2029</v>
      </c>
      <c r="E1903" s="1287">
        <v>5.8136336555099956E-2</v>
      </c>
      <c r="F1903" s="1306">
        <v>5.2012792694902275E-3</v>
      </c>
      <c r="G1903" s="1303">
        <v>0.16273120792823989</v>
      </c>
      <c r="H1903" s="1306">
        <v>2.7966658245225762E-2</v>
      </c>
      <c r="I1903" s="1303">
        <v>1.5520274937779825E-2</v>
      </c>
      <c r="J1903" s="1306">
        <v>5.171582130633727E-4</v>
      </c>
      <c r="K1903" s="1303">
        <v>2.8670063558273833E-3</v>
      </c>
      <c r="L1903" s="1288">
        <v>2.0000015911321401E-3</v>
      </c>
      <c r="M1903" s="1306">
        <v>2.0000005736175684E-3</v>
      </c>
      <c r="N1903" s="1303">
        <v>2.4160030334852207E-2</v>
      </c>
      <c r="O1903" s="1288">
        <v>5.7810516000225678E-3</v>
      </c>
      <c r="P1903" s="1294">
        <v>7.1637085051929625E-3</v>
      </c>
      <c r="Q1903" s="1290">
        <v>1.6222032900266244E-2</v>
      </c>
    </row>
    <row r="1904" spans="1:17" s="212" customFormat="1" ht="15.5" x14ac:dyDescent="0.35">
      <c r="A1904" s="198">
        <v>2045</v>
      </c>
      <c r="B1904" s="197" t="s">
        <v>5838</v>
      </c>
      <c r="C1904" s="197">
        <v>2030</v>
      </c>
      <c r="D1904" s="225" t="str">
        <f t="shared" si="20"/>
        <v>2045_2030</v>
      </c>
      <c r="E1904" s="1287">
        <v>5.6859251444032886E-2</v>
      </c>
      <c r="F1904" s="1306">
        <v>5.1787488897484992E-3</v>
      </c>
      <c r="G1904" s="1303">
        <v>0.1579143949355476</v>
      </c>
      <c r="H1904" s="1306">
        <v>2.7604660501589478E-2</v>
      </c>
      <c r="I1904" s="1303">
        <v>1.4915382318843769E-2</v>
      </c>
      <c r="J1904" s="1306">
        <v>5.1317548409854656E-4</v>
      </c>
      <c r="K1904" s="1303">
        <v>2.8539686006701175E-3</v>
      </c>
      <c r="L1904" s="1288">
        <v>2.0000016107019885E-3</v>
      </c>
      <c r="M1904" s="1306">
        <v>2.0000005736418754E-3</v>
      </c>
      <c r="N1904" s="1303">
        <v>2.3846993298169566E-2</v>
      </c>
      <c r="O1904" s="1288">
        <v>5.6024447909692309E-3</v>
      </c>
      <c r="P1904" s="1294">
        <v>7.4734607187824714E-3</v>
      </c>
      <c r="Q1904" s="1290">
        <v>1.5589789721273069E-2</v>
      </c>
    </row>
    <row r="1905" spans="1:17" s="212" customFormat="1" ht="15.5" x14ac:dyDescent="0.35">
      <c r="A1905" s="198">
        <v>2045</v>
      </c>
      <c r="B1905" s="197" t="s">
        <v>5838</v>
      </c>
      <c r="C1905" s="197">
        <v>2031</v>
      </c>
      <c r="D1905" s="225" t="str">
        <f t="shared" si="20"/>
        <v>2045_2031</v>
      </c>
      <c r="E1905" s="1287">
        <v>5.5522218098001709E-2</v>
      </c>
      <c r="F1905" s="1306">
        <v>5.0988579243973868E-3</v>
      </c>
      <c r="G1905" s="1303">
        <v>0.15284501123131713</v>
      </c>
      <c r="H1905" s="1306">
        <v>2.7149872577521546E-2</v>
      </c>
      <c r="I1905" s="1303">
        <v>1.4274643867145054E-2</v>
      </c>
      <c r="J1905" s="1306">
        <v>5.0892949536560962E-4</v>
      </c>
      <c r="K1905" s="1303">
        <v>2.8407130624881322E-3</v>
      </c>
      <c r="L1905" s="1288">
        <v>2.0000016316939458E-3</v>
      </c>
      <c r="M1905" s="1306">
        <v>2.0000005736723215E-3</v>
      </c>
      <c r="N1905" s="1303">
        <v>2.3527350938934426E-2</v>
      </c>
      <c r="O1905" s="1288">
        <v>5.4091175417139035E-3</v>
      </c>
      <c r="P1905" s="1294">
        <v>7.872484921955995E-3</v>
      </c>
      <c r="Q1905" s="1290">
        <v>1.4920079920023257E-2</v>
      </c>
    </row>
    <row r="1906" spans="1:17" s="212" customFormat="1" ht="15.5" x14ac:dyDescent="0.35">
      <c r="A1906" s="198">
        <v>2045</v>
      </c>
      <c r="B1906" s="197" t="s">
        <v>5838</v>
      </c>
      <c r="C1906" s="197">
        <v>2032</v>
      </c>
      <c r="D1906" s="225" t="str">
        <f t="shared" si="20"/>
        <v>2045_2032</v>
      </c>
      <c r="E1906" s="1287">
        <v>5.4000317966708844E-2</v>
      </c>
      <c r="F1906" s="1306">
        <v>5.0075241168455274E-3</v>
      </c>
      <c r="G1906" s="1303">
        <v>0.1471748515072718</v>
      </c>
      <c r="H1906" s="1306">
        <v>2.66337991336358E-2</v>
      </c>
      <c r="I1906" s="1303">
        <v>1.3566616925306793E-2</v>
      </c>
      <c r="J1906" s="1306">
        <v>5.0496611551444429E-4</v>
      </c>
      <c r="K1906" s="1303">
        <v>2.8250557550720343E-3</v>
      </c>
      <c r="L1906" s="1288">
        <v>2.0000016522065613E-3</v>
      </c>
      <c r="M1906" s="1306">
        <v>2.0000005736983766E-3</v>
      </c>
      <c r="N1906" s="1303">
        <v>2.3149105007659796E-2</v>
      </c>
      <c r="O1906" s="1288">
        <v>5.2227482213452149E-3</v>
      </c>
      <c r="P1906" s="1294">
        <v>8.2118790299795224E-3</v>
      </c>
      <c r="Q1906" s="1290">
        <v>1.4180039141698153E-2</v>
      </c>
    </row>
    <row r="1907" spans="1:17" s="212" customFormat="1" ht="15.5" x14ac:dyDescent="0.35">
      <c r="A1907" s="198">
        <v>2045</v>
      </c>
      <c r="B1907" s="197" t="s">
        <v>5838</v>
      </c>
      <c r="C1907" s="197">
        <v>2033</v>
      </c>
      <c r="D1907" s="225" t="str">
        <f t="shared" si="20"/>
        <v>2045_2033</v>
      </c>
      <c r="E1907" s="1287">
        <v>5.2406093602189639E-2</v>
      </c>
      <c r="F1907" s="1306">
        <v>4.9054017326893859E-3</v>
      </c>
      <c r="G1907" s="1303">
        <v>0.14124292003849506</v>
      </c>
      <c r="H1907" s="1306">
        <v>2.606053869841115E-2</v>
      </c>
      <c r="I1907" s="1303">
        <v>1.2824864716094331E-2</v>
      </c>
      <c r="J1907" s="1306">
        <v>5.0109418877995532E-4</v>
      </c>
      <c r="K1907" s="1303">
        <v>2.8088471618020298E-3</v>
      </c>
      <c r="L1907" s="1288">
        <v>2.0000016714723438E-3</v>
      </c>
      <c r="M1907" s="1306">
        <v>2.0000005737218019E-3</v>
      </c>
      <c r="N1907" s="1303">
        <v>2.2755737906667288E-2</v>
      </c>
      <c r="O1907" s="1288">
        <v>5.0357432180115399E-3</v>
      </c>
      <c r="P1907" s="1294">
        <v>8.5167157281852493E-3</v>
      </c>
      <c r="Q1907" s="1290">
        <v>1.3404748189061792E-2</v>
      </c>
    </row>
    <row r="1908" spans="1:17" s="212" customFormat="1" ht="15.5" x14ac:dyDescent="0.35">
      <c r="A1908" s="198">
        <v>2045</v>
      </c>
      <c r="B1908" s="197" t="s">
        <v>5838</v>
      </c>
      <c r="C1908" s="197">
        <v>2034</v>
      </c>
      <c r="D1908" s="225" t="str">
        <f t="shared" si="20"/>
        <v>2045_2034</v>
      </c>
      <c r="E1908" s="1287">
        <v>5.0598486599666329E-2</v>
      </c>
      <c r="F1908" s="1306">
        <v>4.7923652500024101E-3</v>
      </c>
      <c r="G1908" s="1303">
        <v>0.1346675670687387</v>
      </c>
      <c r="H1908" s="1306">
        <v>2.5427472714731062E-2</v>
      </c>
      <c r="I1908" s="1303">
        <v>1.2016583147770215E-2</v>
      </c>
      <c r="J1908" s="1306">
        <v>4.9729492256649337E-4</v>
      </c>
      <c r="K1908" s="1303">
        <v>2.7895347835490457E-3</v>
      </c>
      <c r="L1908" s="1288">
        <v>2.0000016914761679E-3</v>
      </c>
      <c r="M1908" s="1306">
        <v>2.0000005737418084E-3</v>
      </c>
      <c r="N1908" s="1303">
        <v>2.228619489089935E-2</v>
      </c>
      <c r="O1908" s="1288">
        <v>4.8468869576596277E-3</v>
      </c>
      <c r="P1908" s="1294">
        <v>8.7779700176974333E-3</v>
      </c>
      <c r="Q1908" s="1290">
        <v>1.255991971491446E-2</v>
      </c>
    </row>
    <row r="1909" spans="1:17" s="212" customFormat="1" ht="15.5" x14ac:dyDescent="0.35">
      <c r="A1909" s="198">
        <v>2045</v>
      </c>
      <c r="B1909" s="197" t="s">
        <v>5838</v>
      </c>
      <c r="C1909" s="197">
        <v>2035</v>
      </c>
      <c r="D1909" s="225" t="str">
        <f t="shared" si="20"/>
        <v>2045_2035</v>
      </c>
      <c r="E1909" s="1287">
        <v>4.8679200962185379E-2</v>
      </c>
      <c r="F1909" s="1306">
        <v>4.668405931133407E-3</v>
      </c>
      <c r="G1909" s="1303">
        <v>0.12775892154307147</v>
      </c>
      <c r="H1909" s="1306">
        <v>2.4735309151204178E-2</v>
      </c>
      <c r="I1909" s="1303">
        <v>1.1172842183030015E-2</v>
      </c>
      <c r="J1909" s="1306">
        <v>4.9339456732873301E-4</v>
      </c>
      <c r="K1909" s="1303">
        <v>2.7687759881150163E-3</v>
      </c>
      <c r="L1909" s="1288">
        <v>2.000001711312805E-3</v>
      </c>
      <c r="M1909" s="1306">
        <v>2.000000573759131E-3</v>
      </c>
      <c r="N1909" s="1303">
        <v>2.1779381567817047E-2</v>
      </c>
      <c r="O1909" s="1288">
        <v>4.6498696420476894E-3</v>
      </c>
      <c r="P1909" s="1294">
        <v>9.0096582033049825E-3</v>
      </c>
      <c r="Q1909" s="1290">
        <v>1.1678028527793718E-2</v>
      </c>
    </row>
    <row r="1910" spans="1:17" s="212" customFormat="1" ht="15.5" x14ac:dyDescent="0.35">
      <c r="A1910" s="198">
        <v>2045</v>
      </c>
      <c r="B1910" s="197" t="s">
        <v>5838</v>
      </c>
      <c r="C1910" s="197">
        <v>2036</v>
      </c>
      <c r="D1910" s="225" t="str">
        <f t="shared" si="20"/>
        <v>2045_2036</v>
      </c>
      <c r="E1910" s="1287">
        <v>4.7657872311617583E-2</v>
      </c>
      <c r="F1910" s="1306">
        <v>4.5196077982678721E-3</v>
      </c>
      <c r="G1910" s="1303">
        <v>0.12325814478141542</v>
      </c>
      <c r="H1910" s="1306">
        <v>2.3904394766067101E-2</v>
      </c>
      <c r="I1910" s="1303">
        <v>1.0531144802190496E-2</v>
      </c>
      <c r="J1910" s="1306">
        <v>4.932135903997787E-4</v>
      </c>
      <c r="K1910" s="1303">
        <v>2.7646977807511187E-3</v>
      </c>
      <c r="L1910" s="1288">
        <v>2.0000017274602248E-3</v>
      </c>
      <c r="M1910" s="1306">
        <v>2.0000005737560926E-3</v>
      </c>
      <c r="N1910" s="1303">
        <v>2.166886928216025E-2</v>
      </c>
      <c r="O1910" s="1288">
        <v>4.5862461454885487E-3</v>
      </c>
      <c r="P1910" s="1294">
        <v>8.967090161293342E-3</v>
      </c>
      <c r="Q1910" s="1290">
        <v>1.1007316438882633E-2</v>
      </c>
    </row>
    <row r="1911" spans="1:17" s="212" customFormat="1" ht="15.5" x14ac:dyDescent="0.35">
      <c r="A1911" s="198">
        <v>2045</v>
      </c>
      <c r="B1911" s="197" t="s">
        <v>5838</v>
      </c>
      <c r="C1911" s="197">
        <v>2037</v>
      </c>
      <c r="D1911" s="225" t="str">
        <f t="shared" si="20"/>
        <v>2045_2037</v>
      </c>
      <c r="E1911" s="1287">
        <v>4.6718215735397951E-2</v>
      </c>
      <c r="F1911" s="1306">
        <v>4.3583851750495462E-3</v>
      </c>
      <c r="G1911" s="1303">
        <v>0.11887918025936499</v>
      </c>
      <c r="H1911" s="1306">
        <v>2.3008817337651515E-2</v>
      </c>
      <c r="I1911" s="1303">
        <v>9.8843798058445408E-3</v>
      </c>
      <c r="J1911" s="1306">
        <v>4.9318806065893402E-4</v>
      </c>
      <c r="K1911" s="1303">
        <v>2.7630349419359808E-3</v>
      </c>
      <c r="L1911" s="1288">
        <v>2.0000017369644811E-3</v>
      </c>
      <c r="M1911" s="1306">
        <v>2.000000573755943E-3</v>
      </c>
      <c r="N1911" s="1303">
        <v>2.1614659823993927E-2</v>
      </c>
      <c r="O1911" s="1288">
        <v>4.5280000104473729E-3</v>
      </c>
      <c r="P1911" s="1294">
        <v>8.9550321834130156E-3</v>
      </c>
      <c r="Q1911" s="1290">
        <v>1.0331307599379006E-2</v>
      </c>
    </row>
    <row r="1912" spans="1:17" s="212" customFormat="1" ht="15.5" x14ac:dyDescent="0.35">
      <c r="A1912" s="198">
        <v>2045</v>
      </c>
      <c r="B1912" s="197" t="s">
        <v>5838</v>
      </c>
      <c r="C1912" s="197">
        <v>2038</v>
      </c>
      <c r="D1912" s="225" t="str">
        <f t="shared" si="20"/>
        <v>2045_2038</v>
      </c>
      <c r="E1912" s="1287">
        <v>4.5656038549982167E-2</v>
      </c>
      <c r="F1912" s="1306">
        <v>4.1877534267004369E-3</v>
      </c>
      <c r="G1912" s="1303">
        <v>0.11407166859838849</v>
      </c>
      <c r="H1912" s="1306">
        <v>2.2058010658723631E-2</v>
      </c>
      <c r="I1912" s="1303">
        <v>9.1855938704543411E-3</v>
      </c>
      <c r="J1912" s="1306">
        <v>4.9309759553323531E-4</v>
      </c>
      <c r="K1912" s="1303">
        <v>2.7600660609667289E-3</v>
      </c>
      <c r="L1912" s="1288">
        <v>2.0000017493840222E-3</v>
      </c>
      <c r="M1912" s="1306">
        <v>2.0000005737541692E-3</v>
      </c>
      <c r="N1912" s="1303">
        <v>2.1528137911585511E-2</v>
      </c>
      <c r="O1912" s="1288">
        <v>4.4625216142417995E-3</v>
      </c>
      <c r="P1912" s="1294">
        <v>8.928168618573859E-3</v>
      </c>
      <c r="Q1912" s="1290">
        <v>9.6009256648071813E-3</v>
      </c>
    </row>
    <row r="1913" spans="1:17" s="212" customFormat="1" ht="15.5" x14ac:dyDescent="0.35">
      <c r="A1913" s="198">
        <v>2045</v>
      </c>
      <c r="B1913" s="197" t="s">
        <v>5838</v>
      </c>
      <c r="C1913" s="197">
        <v>2039</v>
      </c>
      <c r="D1913" s="225" t="str">
        <f t="shared" si="20"/>
        <v>2045_2039</v>
      </c>
      <c r="E1913" s="1287">
        <v>4.457902812680678E-2</v>
      </c>
      <c r="F1913" s="1306">
        <v>4.0083490039228616E-3</v>
      </c>
      <c r="G1913" s="1303">
        <v>0.10912058808323294</v>
      </c>
      <c r="H1913" s="1306">
        <v>2.1054768996267466E-2</v>
      </c>
      <c r="I1913" s="1303">
        <v>8.4586479537868478E-3</v>
      </c>
      <c r="J1913" s="1306">
        <v>4.9298452096376824E-4</v>
      </c>
      <c r="K1913" s="1303">
        <v>2.7577511140084517E-3</v>
      </c>
      <c r="L1913" s="1288">
        <v>2.0000017647358076E-3</v>
      </c>
      <c r="M1913" s="1306">
        <v>2.0000005737517909E-3</v>
      </c>
      <c r="N1913" s="1303">
        <v>2.1456266980292578E-2</v>
      </c>
      <c r="O1913" s="1288">
        <v>4.3900542886733439E-3</v>
      </c>
      <c r="P1913" s="1294">
        <v>8.8991907761125696E-3</v>
      </c>
      <c r="Q1913" s="1290">
        <v>8.8411104795626874E-3</v>
      </c>
    </row>
    <row r="1914" spans="1:17" s="212" customFormat="1" ht="15.5" x14ac:dyDescent="0.35">
      <c r="A1914" s="198">
        <v>2045</v>
      </c>
      <c r="B1914" s="197" t="s">
        <v>5838</v>
      </c>
      <c r="C1914" s="197">
        <v>2040</v>
      </c>
      <c r="D1914" s="225" t="str">
        <f t="shared" si="20"/>
        <v>2045_2040</v>
      </c>
      <c r="E1914" s="1287">
        <v>4.3388518054428712E-2</v>
      </c>
      <c r="F1914" s="1306">
        <v>3.8216586594345958E-3</v>
      </c>
      <c r="G1914" s="1303">
        <v>0.10377861020359926</v>
      </c>
      <c r="H1914" s="1306">
        <v>2.0008385603101475E-2</v>
      </c>
      <c r="I1914" s="1303">
        <v>7.6846105300509594E-3</v>
      </c>
      <c r="J1914" s="1306">
        <v>4.9272322434164089E-4</v>
      </c>
      <c r="K1914" s="1303">
        <v>2.7542202074856714E-3</v>
      </c>
      <c r="L1914" s="1288">
        <v>2.0000017843873801E-3</v>
      </c>
      <c r="M1914" s="1306">
        <v>2.0000005737480279E-3</v>
      </c>
      <c r="N1914" s="1303">
        <v>2.1353943411564862E-2</v>
      </c>
      <c r="O1914" s="1288">
        <v>4.3056546377340842E-3</v>
      </c>
      <c r="P1914" s="1294">
        <v>8.8486611242669586E-3</v>
      </c>
      <c r="Q1914" s="1290">
        <v>8.0320745182656805E-3</v>
      </c>
    </row>
    <row r="1915" spans="1:17" s="212" customFormat="1" ht="15.5" x14ac:dyDescent="0.35">
      <c r="A1915" s="198">
        <v>2045</v>
      </c>
      <c r="B1915" s="197" t="s">
        <v>5838</v>
      </c>
      <c r="C1915" s="197">
        <v>2041</v>
      </c>
      <c r="D1915" s="225" t="str">
        <f t="shared" si="20"/>
        <v>2045_2041</v>
      </c>
      <c r="E1915" s="1287">
        <v>4.2291932737548894E-2</v>
      </c>
      <c r="F1915" s="1306">
        <v>3.6268315964581668E-3</v>
      </c>
      <c r="G1915" s="1303">
        <v>9.8556055996574812E-2</v>
      </c>
      <c r="H1915" s="1306">
        <v>1.8917329711212287E-2</v>
      </c>
      <c r="I1915" s="1303">
        <v>6.9008912726631379E-3</v>
      </c>
      <c r="J1915" s="1306">
        <v>4.9304359852438487E-4</v>
      </c>
      <c r="K1915" s="1303">
        <v>2.7534875923932228E-3</v>
      </c>
      <c r="L1915" s="1288">
        <v>2.0000018045007815E-3</v>
      </c>
      <c r="M1915" s="1306">
        <v>2.0000005737467381E-3</v>
      </c>
      <c r="N1915" s="1303">
        <v>2.131812630977005E-2</v>
      </c>
      <c r="O1915" s="1288">
        <v>4.2394358084098752E-3</v>
      </c>
      <c r="P1915" s="1294">
        <v>8.8486279871358309E-3</v>
      </c>
      <c r="Q1915" s="1290">
        <v>7.212918953761473E-3</v>
      </c>
    </row>
    <row r="1916" spans="1:17" s="212" customFormat="1" ht="15.5" x14ac:dyDescent="0.35">
      <c r="A1916" s="198">
        <v>2045</v>
      </c>
      <c r="B1916" s="197" t="s">
        <v>5838</v>
      </c>
      <c r="C1916" s="197">
        <v>2042</v>
      </c>
      <c r="D1916" s="225" t="str">
        <f t="shared" si="20"/>
        <v>2045_2042</v>
      </c>
      <c r="E1916" s="1287">
        <v>4.1175161849966189E-2</v>
      </c>
      <c r="F1916" s="1306">
        <v>3.4289494780084381E-3</v>
      </c>
      <c r="G1916" s="1303">
        <v>9.3156396783836831E-2</v>
      </c>
      <c r="H1916" s="1306">
        <v>1.7803340853460994E-2</v>
      </c>
      <c r="I1916" s="1303">
        <v>6.0836457006991978E-3</v>
      </c>
      <c r="J1916" s="1306">
        <v>4.9349885966784069E-4</v>
      </c>
      <c r="K1916" s="1303">
        <v>2.753410005916254E-3</v>
      </c>
      <c r="L1916" s="1288">
        <v>2.0000018352407194E-3</v>
      </c>
      <c r="M1916" s="1306">
        <v>2.0000005737451599E-3</v>
      </c>
      <c r="N1916" s="1303">
        <v>2.1297535492882935E-2</v>
      </c>
      <c r="O1916" s="1288">
        <v>4.1675686145944699E-3</v>
      </c>
      <c r="P1916" s="1294">
        <v>8.847353106269008E-3</v>
      </c>
      <c r="Q1916" s="1290">
        <v>6.3587211635068386E-3</v>
      </c>
    </row>
    <row r="1917" spans="1:17" s="212" customFormat="1" ht="15.5" x14ac:dyDescent="0.35">
      <c r="A1917" s="198">
        <v>2045</v>
      </c>
      <c r="B1917" s="197" t="s">
        <v>5838</v>
      </c>
      <c r="C1917" s="197">
        <v>2043</v>
      </c>
      <c r="D1917" s="225" t="str">
        <f t="shared" si="20"/>
        <v>2045_2043</v>
      </c>
      <c r="E1917" s="1287">
        <v>3.9905356497717072E-2</v>
      </c>
      <c r="F1917" s="1306">
        <v>3.2281606872372279E-3</v>
      </c>
      <c r="G1917" s="1303">
        <v>8.7277406296635412E-2</v>
      </c>
      <c r="H1917" s="1306">
        <v>1.6666748643261394E-2</v>
      </c>
      <c r="I1917" s="1303">
        <v>5.214008494464949E-3</v>
      </c>
      <c r="J1917" s="1306">
        <v>4.94029436346314E-4</v>
      </c>
      <c r="K1917" s="1303">
        <v>2.7513010317733702E-3</v>
      </c>
      <c r="L1917" s="1288">
        <v>2.0000018830870657E-3</v>
      </c>
      <c r="M1917" s="1306">
        <v>2.0000005737410243E-3</v>
      </c>
      <c r="N1917" s="1303">
        <v>2.1226908249124415E-2</v>
      </c>
      <c r="O1917" s="1288">
        <v>4.0837694772959355E-3</v>
      </c>
      <c r="P1917" s="1294">
        <v>8.8177966934599745E-3</v>
      </c>
      <c r="Q1917" s="1290">
        <v>5.4497628217646298E-3</v>
      </c>
    </row>
    <row r="1918" spans="1:17" s="212" customFormat="1" ht="15.5" x14ac:dyDescent="0.35">
      <c r="A1918" s="198">
        <v>2045</v>
      </c>
      <c r="B1918" s="197" t="s">
        <v>5838</v>
      </c>
      <c r="C1918" s="197">
        <v>2044</v>
      </c>
      <c r="D1918" s="225" t="str">
        <f t="shared" si="20"/>
        <v>2045_2044</v>
      </c>
      <c r="E1918" s="1287">
        <v>3.8626300393547482E-2</v>
      </c>
      <c r="F1918" s="1306">
        <v>3.0136813680924526E-3</v>
      </c>
      <c r="G1918" s="1303">
        <v>8.1255320565802161E-2</v>
      </c>
      <c r="H1918" s="1306">
        <v>1.5471527404735268E-2</v>
      </c>
      <c r="I1918" s="1303">
        <v>4.3137614441620372E-3</v>
      </c>
      <c r="J1918" s="1306">
        <v>4.9424972210903456E-4</v>
      </c>
      <c r="K1918" s="1303">
        <v>2.7500881522777073E-3</v>
      </c>
      <c r="L1918" s="1288">
        <v>2.0000019231930476E-3</v>
      </c>
      <c r="M1918" s="1306">
        <v>2.0000005737330841E-3</v>
      </c>
      <c r="N1918" s="1303">
        <v>2.1176769538076175E-2</v>
      </c>
      <c r="O1918" s="1288">
        <v>3.9907554918828404E-3</v>
      </c>
      <c r="P1918" s="1294">
        <v>8.7858286859516539E-3</v>
      </c>
      <c r="Q1918" s="1290">
        <v>4.5088105946341364E-3</v>
      </c>
    </row>
    <row r="1919" spans="1:17" s="212" customFormat="1" ht="15.5" x14ac:dyDescent="0.35">
      <c r="A1919" s="198">
        <v>2045</v>
      </c>
      <c r="B1919" s="197" t="s">
        <v>5838</v>
      </c>
      <c r="C1919" s="197">
        <v>2045</v>
      </c>
      <c r="D1919" s="225" t="str">
        <f t="shared" si="20"/>
        <v>2045_2045</v>
      </c>
      <c r="E1919" s="1287">
        <v>3.6159088562520966E-2</v>
      </c>
      <c r="F1919" s="1306">
        <v>2.7758940453273197E-3</v>
      </c>
      <c r="G1919" s="1303">
        <v>7.2703554075137553E-2</v>
      </c>
      <c r="H1919" s="1306">
        <v>1.4119266138777472E-2</v>
      </c>
      <c r="I1919" s="1303">
        <v>3.279858359794731E-3</v>
      </c>
      <c r="J1919" s="1306">
        <v>4.9109191723316998E-4</v>
      </c>
      <c r="K1919" s="1303">
        <v>2.7242405377477007E-3</v>
      </c>
      <c r="L1919" s="1288">
        <v>2.0000020331055026E-3</v>
      </c>
      <c r="M1919" s="1306">
        <v>2.0000005736947033E-3</v>
      </c>
      <c r="N1919" s="1303">
        <v>2.0521906879951091E-2</v>
      </c>
      <c r="O1919" s="1288">
        <v>3.7167969332507858E-3</v>
      </c>
      <c r="P1919" s="1294">
        <v>8.2866881423258182E-3</v>
      </c>
      <c r="Q1919" s="1290">
        <v>3.4281590006687325E-3</v>
      </c>
    </row>
    <row r="1920" spans="1:17" s="212" customFormat="1" ht="15.5" x14ac:dyDescent="0.35">
      <c r="A1920" s="198">
        <v>2045</v>
      </c>
      <c r="B1920" s="197" t="s">
        <v>5838</v>
      </c>
      <c r="C1920" s="197">
        <v>2046</v>
      </c>
      <c r="D1920" s="225" t="str">
        <f t="shared" si="20"/>
        <v>2045_2046</v>
      </c>
      <c r="E1920" s="1291">
        <v>0.29096904239879956</v>
      </c>
      <c r="F1920" s="1280">
        <v>0.11863654563593994</v>
      </c>
      <c r="G1920" s="1271">
        <v>7.1191856533861086</v>
      </c>
      <c r="H1920" s="1280">
        <v>0.92538322553989893</v>
      </c>
      <c r="I1920" s="1271">
        <v>5.4243469364509973E-2</v>
      </c>
      <c r="J1920" s="1280">
        <v>2.8223690249686863E-3</v>
      </c>
      <c r="K1920" s="1271">
        <v>2.9997935854014861E-3</v>
      </c>
      <c r="L1920" s="1257">
        <v>2.0000012717815972E-3</v>
      </c>
      <c r="M1920" s="1280">
        <v>2.0000012717815972E-3</v>
      </c>
      <c r="N1920" s="1271">
        <v>2.7295195900464076E-2</v>
      </c>
      <c r="O1920" s="1257">
        <v>7.2586728513704506E-3</v>
      </c>
      <c r="P1920" s="1293">
        <v>3.6293364256852253E-3</v>
      </c>
      <c r="Q1920" s="1292">
        <v>5.6696118347342658E-2</v>
      </c>
    </row>
    <row r="1921" spans="1:17" s="212" customFormat="1" ht="15.5" x14ac:dyDescent="0.35">
      <c r="A1921" s="198">
        <v>2046</v>
      </c>
      <c r="B1921" s="197" t="s">
        <v>5838</v>
      </c>
      <c r="C1921" s="197">
        <v>1971</v>
      </c>
      <c r="D1921" s="225" t="str">
        <f t="shared" si="20"/>
        <v>2046_1971</v>
      </c>
      <c r="E1921" s="1291">
        <v>0.29096904239879956</v>
      </c>
      <c r="F1921" s="1280">
        <v>0.11863654563593994</v>
      </c>
      <c r="G1921" s="1271">
        <v>7.1191856533861086</v>
      </c>
      <c r="H1921" s="1280">
        <v>0.92538322553989893</v>
      </c>
      <c r="I1921" s="1271">
        <v>5.4243469364509973E-2</v>
      </c>
      <c r="J1921" s="1280">
        <v>2.8223690249686863E-3</v>
      </c>
      <c r="K1921" s="1271">
        <v>2.9997935854014861E-3</v>
      </c>
      <c r="L1921" s="1257">
        <v>2.0000012717815972E-3</v>
      </c>
      <c r="M1921" s="1280">
        <v>2.0000012717815972E-3</v>
      </c>
      <c r="N1921" s="1271">
        <v>2.7295195900464076E-2</v>
      </c>
      <c r="O1921" s="1257">
        <v>7.2586728513704506E-3</v>
      </c>
      <c r="P1921" s="1293">
        <v>3.6293364256852253E-3</v>
      </c>
      <c r="Q1921" s="1292">
        <v>5.6696118347342658E-2</v>
      </c>
    </row>
    <row r="1922" spans="1:17" s="212" customFormat="1" ht="15.5" x14ac:dyDescent="0.35">
      <c r="A1922" s="198">
        <v>2046</v>
      </c>
      <c r="B1922" s="197" t="s">
        <v>5838</v>
      </c>
      <c r="C1922" s="197">
        <v>1972</v>
      </c>
      <c r="D1922" s="225" t="str">
        <f t="shared" si="20"/>
        <v>2046_1972</v>
      </c>
      <c r="E1922" s="1291">
        <v>0.29096904239879956</v>
      </c>
      <c r="F1922" s="1280">
        <v>0.11863654563593994</v>
      </c>
      <c r="G1922" s="1271">
        <v>7.1191856533861086</v>
      </c>
      <c r="H1922" s="1280">
        <v>0.92538322553989893</v>
      </c>
      <c r="I1922" s="1271">
        <v>5.4243469364509973E-2</v>
      </c>
      <c r="J1922" s="1280">
        <v>2.8223690249686863E-3</v>
      </c>
      <c r="K1922" s="1271">
        <v>2.9997935854014861E-3</v>
      </c>
      <c r="L1922" s="1257">
        <v>2.0000012717815972E-3</v>
      </c>
      <c r="M1922" s="1280">
        <v>2.0000012717815972E-3</v>
      </c>
      <c r="N1922" s="1271">
        <v>2.7295195900464076E-2</v>
      </c>
      <c r="O1922" s="1257">
        <v>7.2586728513704506E-3</v>
      </c>
      <c r="P1922" s="1293">
        <v>3.6293364256852253E-3</v>
      </c>
      <c r="Q1922" s="1292">
        <v>5.6696118347342658E-2</v>
      </c>
    </row>
    <row r="1923" spans="1:17" s="212" customFormat="1" ht="15.5" x14ac:dyDescent="0.35">
      <c r="A1923" s="198">
        <v>2046</v>
      </c>
      <c r="B1923" s="197" t="s">
        <v>5838</v>
      </c>
      <c r="C1923" s="197">
        <v>1973</v>
      </c>
      <c r="D1923" s="225" t="str">
        <f t="shared" si="20"/>
        <v>2046_1973</v>
      </c>
      <c r="E1923" s="1291">
        <v>0.29096904239879956</v>
      </c>
      <c r="F1923" s="1280">
        <v>0.11863654563593994</v>
      </c>
      <c r="G1923" s="1271">
        <v>7.1191856533861086</v>
      </c>
      <c r="H1923" s="1280">
        <v>0.92538322553989893</v>
      </c>
      <c r="I1923" s="1271">
        <v>5.4243469364509973E-2</v>
      </c>
      <c r="J1923" s="1280">
        <v>2.8223690249686863E-3</v>
      </c>
      <c r="K1923" s="1271">
        <v>2.9997935854014861E-3</v>
      </c>
      <c r="L1923" s="1257">
        <v>2.0000012717815972E-3</v>
      </c>
      <c r="M1923" s="1280">
        <v>2.0000012717815972E-3</v>
      </c>
      <c r="N1923" s="1271">
        <v>2.7295195900464076E-2</v>
      </c>
      <c r="O1923" s="1257">
        <v>7.2586728513704506E-3</v>
      </c>
      <c r="P1923" s="1293">
        <v>3.6293364256852253E-3</v>
      </c>
      <c r="Q1923" s="1292">
        <v>5.6696118347342658E-2</v>
      </c>
    </row>
    <row r="1924" spans="1:17" s="212" customFormat="1" ht="15.5" x14ac:dyDescent="0.35">
      <c r="A1924" s="198">
        <v>2046</v>
      </c>
      <c r="B1924" s="197" t="s">
        <v>5838</v>
      </c>
      <c r="C1924" s="197">
        <v>1974</v>
      </c>
      <c r="D1924" s="225" t="str">
        <f t="shared" si="20"/>
        <v>2046_1974</v>
      </c>
      <c r="E1924" s="1291">
        <v>0.29096904239879956</v>
      </c>
      <c r="F1924" s="1280">
        <v>0.11863654563593994</v>
      </c>
      <c r="G1924" s="1271">
        <v>7.1191856533861086</v>
      </c>
      <c r="H1924" s="1280">
        <v>0.92538322553989893</v>
      </c>
      <c r="I1924" s="1271">
        <v>5.4243469364509973E-2</v>
      </c>
      <c r="J1924" s="1280">
        <v>2.8223690249686863E-3</v>
      </c>
      <c r="K1924" s="1271">
        <v>2.9997935854014861E-3</v>
      </c>
      <c r="L1924" s="1257">
        <v>2.0000012717815972E-3</v>
      </c>
      <c r="M1924" s="1280">
        <v>2.0000012717815972E-3</v>
      </c>
      <c r="N1924" s="1271">
        <v>2.7295195900464076E-2</v>
      </c>
      <c r="O1924" s="1257">
        <v>7.2586728513704506E-3</v>
      </c>
      <c r="P1924" s="1293">
        <v>3.6293364256852253E-3</v>
      </c>
      <c r="Q1924" s="1292">
        <v>5.6696118347342658E-2</v>
      </c>
    </row>
    <row r="1925" spans="1:17" s="212" customFormat="1" ht="15.5" x14ac:dyDescent="0.35">
      <c r="A1925" s="198">
        <v>2046</v>
      </c>
      <c r="B1925" s="197" t="s">
        <v>5838</v>
      </c>
      <c r="C1925" s="197">
        <v>1975</v>
      </c>
      <c r="D1925" s="225" t="str">
        <f t="shared" si="20"/>
        <v>2046_1975</v>
      </c>
      <c r="E1925" s="1291">
        <v>0.29096904239879956</v>
      </c>
      <c r="F1925" s="1280">
        <v>0.11863654563593994</v>
      </c>
      <c r="G1925" s="1271">
        <v>7.1191856533861086</v>
      </c>
      <c r="H1925" s="1280">
        <v>0.92538322553989893</v>
      </c>
      <c r="I1925" s="1271">
        <v>5.4243469364509973E-2</v>
      </c>
      <c r="J1925" s="1280">
        <v>2.8223690249686863E-3</v>
      </c>
      <c r="K1925" s="1271">
        <v>2.9997935854014861E-3</v>
      </c>
      <c r="L1925" s="1257">
        <v>2.0000012717815972E-3</v>
      </c>
      <c r="M1925" s="1280">
        <v>2.0000012717815972E-3</v>
      </c>
      <c r="N1925" s="1271">
        <v>2.7295195900464076E-2</v>
      </c>
      <c r="O1925" s="1257">
        <v>7.2586728513704506E-3</v>
      </c>
      <c r="P1925" s="1293">
        <v>3.6293364256852253E-3</v>
      </c>
      <c r="Q1925" s="1292">
        <v>5.6696118347342658E-2</v>
      </c>
    </row>
    <row r="1926" spans="1:17" s="212" customFormat="1" ht="15.5" x14ac:dyDescent="0.35">
      <c r="A1926" s="198">
        <v>2046</v>
      </c>
      <c r="B1926" s="197" t="s">
        <v>5838</v>
      </c>
      <c r="C1926" s="197">
        <v>1976</v>
      </c>
      <c r="D1926" s="225" t="str">
        <f t="shared" si="20"/>
        <v>2046_1976</v>
      </c>
      <c r="E1926" s="1291">
        <v>0.29096904239879956</v>
      </c>
      <c r="F1926" s="1280">
        <v>0.11863654563593994</v>
      </c>
      <c r="G1926" s="1271">
        <v>7.1191856533861086</v>
      </c>
      <c r="H1926" s="1280">
        <v>0.92538322553989893</v>
      </c>
      <c r="I1926" s="1271">
        <v>5.4243469364509973E-2</v>
      </c>
      <c r="J1926" s="1280">
        <v>2.8223690249686863E-3</v>
      </c>
      <c r="K1926" s="1271">
        <v>2.9997935854014861E-3</v>
      </c>
      <c r="L1926" s="1257">
        <v>2.0000012717815972E-3</v>
      </c>
      <c r="M1926" s="1280">
        <v>2.0000012717815972E-3</v>
      </c>
      <c r="N1926" s="1271">
        <v>2.7295195900464076E-2</v>
      </c>
      <c r="O1926" s="1257">
        <v>7.2586728513704506E-3</v>
      </c>
      <c r="P1926" s="1293">
        <v>3.6293364256852253E-3</v>
      </c>
      <c r="Q1926" s="1292">
        <v>5.6696118347342658E-2</v>
      </c>
    </row>
    <row r="1927" spans="1:17" s="212" customFormat="1" ht="15.5" x14ac:dyDescent="0.35">
      <c r="A1927" s="198">
        <v>2046</v>
      </c>
      <c r="B1927" s="197" t="s">
        <v>5838</v>
      </c>
      <c r="C1927" s="197">
        <v>1977</v>
      </c>
      <c r="D1927" s="225" t="str">
        <f t="shared" si="20"/>
        <v>2046_1977</v>
      </c>
      <c r="E1927" s="1291">
        <v>0.29096904239879956</v>
      </c>
      <c r="F1927" s="1280">
        <v>0.11863654563593994</v>
      </c>
      <c r="G1927" s="1271">
        <v>7.1191856533861086</v>
      </c>
      <c r="H1927" s="1280">
        <v>0.92538322553989893</v>
      </c>
      <c r="I1927" s="1271">
        <v>5.4243469364509973E-2</v>
      </c>
      <c r="J1927" s="1280">
        <v>2.8223690249686863E-3</v>
      </c>
      <c r="K1927" s="1271">
        <v>2.9997935854014861E-3</v>
      </c>
      <c r="L1927" s="1257">
        <v>2.0000012717815972E-3</v>
      </c>
      <c r="M1927" s="1280">
        <v>2.0000012717815972E-3</v>
      </c>
      <c r="N1927" s="1271">
        <v>2.7295195900464076E-2</v>
      </c>
      <c r="O1927" s="1257">
        <v>7.2586728513704506E-3</v>
      </c>
      <c r="P1927" s="1293">
        <v>3.6293364256852253E-3</v>
      </c>
      <c r="Q1927" s="1292">
        <v>5.6696118347342658E-2</v>
      </c>
    </row>
    <row r="1928" spans="1:17" s="212" customFormat="1" ht="15.5" x14ac:dyDescent="0.35">
      <c r="A1928" s="198">
        <v>2046</v>
      </c>
      <c r="B1928" s="197" t="s">
        <v>5838</v>
      </c>
      <c r="C1928" s="197">
        <v>1978</v>
      </c>
      <c r="D1928" s="225" t="str">
        <f t="shared" si="20"/>
        <v>2046_1978</v>
      </c>
      <c r="E1928" s="1291">
        <v>0.29096904239879956</v>
      </c>
      <c r="F1928" s="1280">
        <v>0.11863654563593994</v>
      </c>
      <c r="G1928" s="1271">
        <v>7.1191856533861086</v>
      </c>
      <c r="H1928" s="1280">
        <v>0.92538322553989893</v>
      </c>
      <c r="I1928" s="1271">
        <v>5.4243469364509973E-2</v>
      </c>
      <c r="J1928" s="1280">
        <v>2.8223690249686863E-3</v>
      </c>
      <c r="K1928" s="1271">
        <v>2.9997935854014861E-3</v>
      </c>
      <c r="L1928" s="1257">
        <v>2.0000012717815972E-3</v>
      </c>
      <c r="M1928" s="1280">
        <v>2.0000012717815972E-3</v>
      </c>
      <c r="N1928" s="1271">
        <v>2.7295195900464076E-2</v>
      </c>
      <c r="O1928" s="1257">
        <v>7.2586728513704506E-3</v>
      </c>
      <c r="P1928" s="1293">
        <v>3.6293364256852253E-3</v>
      </c>
      <c r="Q1928" s="1292">
        <v>5.6696118347342658E-2</v>
      </c>
    </row>
    <row r="1929" spans="1:17" s="212" customFormat="1" ht="15.5" x14ac:dyDescent="0.35">
      <c r="A1929" s="198">
        <v>2046</v>
      </c>
      <c r="B1929" s="197" t="s">
        <v>5838</v>
      </c>
      <c r="C1929" s="197">
        <v>1979</v>
      </c>
      <c r="D1929" s="225" t="str">
        <f t="shared" si="20"/>
        <v>2046_1979</v>
      </c>
      <c r="E1929" s="1291">
        <v>0.29096904239879956</v>
      </c>
      <c r="F1929" s="1280">
        <v>0.11863654563593994</v>
      </c>
      <c r="G1929" s="1271">
        <v>7.1191856533861086</v>
      </c>
      <c r="H1929" s="1280">
        <v>0.92538322553989893</v>
      </c>
      <c r="I1929" s="1271">
        <v>5.4243469364509973E-2</v>
      </c>
      <c r="J1929" s="1280">
        <v>2.8223690249686863E-3</v>
      </c>
      <c r="K1929" s="1271">
        <v>2.9997935854014861E-3</v>
      </c>
      <c r="L1929" s="1257">
        <v>2.0000012717815972E-3</v>
      </c>
      <c r="M1929" s="1280">
        <v>2.0000012717815972E-3</v>
      </c>
      <c r="N1929" s="1271">
        <v>2.7295195900464076E-2</v>
      </c>
      <c r="O1929" s="1257">
        <v>7.2586728513704506E-3</v>
      </c>
      <c r="P1929" s="1293">
        <v>3.6293364256852253E-3</v>
      </c>
      <c r="Q1929" s="1292">
        <v>5.6696118347342658E-2</v>
      </c>
    </row>
    <row r="1930" spans="1:17" s="212" customFormat="1" ht="15.5" x14ac:dyDescent="0.35">
      <c r="A1930" s="198">
        <v>2046</v>
      </c>
      <c r="B1930" s="197" t="s">
        <v>5838</v>
      </c>
      <c r="C1930" s="197">
        <v>1980</v>
      </c>
      <c r="D1930" s="225" t="str">
        <f t="shared" si="20"/>
        <v>2046_1980</v>
      </c>
      <c r="E1930" s="1291">
        <v>0.29096904239879956</v>
      </c>
      <c r="F1930" s="1280">
        <v>0.11863654563593994</v>
      </c>
      <c r="G1930" s="1271">
        <v>7.1191856533861086</v>
      </c>
      <c r="H1930" s="1280">
        <v>0.92538322553989893</v>
      </c>
      <c r="I1930" s="1271">
        <v>5.4243469364509973E-2</v>
      </c>
      <c r="J1930" s="1280">
        <v>2.8223690249686863E-3</v>
      </c>
      <c r="K1930" s="1271">
        <v>2.9997935854014861E-3</v>
      </c>
      <c r="L1930" s="1257">
        <v>2.0000012717815972E-3</v>
      </c>
      <c r="M1930" s="1280">
        <v>2.0000012717815972E-3</v>
      </c>
      <c r="N1930" s="1271">
        <v>2.7295195900464076E-2</v>
      </c>
      <c r="O1930" s="1257">
        <v>7.2586728513704506E-3</v>
      </c>
      <c r="P1930" s="1293">
        <v>3.6293364256852253E-3</v>
      </c>
      <c r="Q1930" s="1292">
        <v>5.6696118347342658E-2</v>
      </c>
    </row>
    <row r="1931" spans="1:17" s="212" customFormat="1" ht="15.5" x14ac:dyDescent="0.35">
      <c r="A1931" s="198">
        <v>2046</v>
      </c>
      <c r="B1931" s="197" t="s">
        <v>5838</v>
      </c>
      <c r="C1931" s="197">
        <v>1981</v>
      </c>
      <c r="D1931" s="225" t="str">
        <f t="shared" si="20"/>
        <v>2046_1981</v>
      </c>
      <c r="E1931" s="1291">
        <v>0.29096904239879956</v>
      </c>
      <c r="F1931" s="1280">
        <v>0.11863654563593994</v>
      </c>
      <c r="G1931" s="1271">
        <v>7.1191856533861086</v>
      </c>
      <c r="H1931" s="1280">
        <v>0.92538322553989893</v>
      </c>
      <c r="I1931" s="1271">
        <v>5.4243469364509973E-2</v>
      </c>
      <c r="J1931" s="1280">
        <v>2.8223690249686863E-3</v>
      </c>
      <c r="K1931" s="1271">
        <v>2.9997935854014861E-3</v>
      </c>
      <c r="L1931" s="1257">
        <v>2.0000012717815972E-3</v>
      </c>
      <c r="M1931" s="1280">
        <v>2.0000012717815972E-3</v>
      </c>
      <c r="N1931" s="1271">
        <v>2.7295195900464076E-2</v>
      </c>
      <c r="O1931" s="1257">
        <v>7.2586728513704506E-3</v>
      </c>
      <c r="P1931" s="1293">
        <v>3.6293364256852253E-3</v>
      </c>
      <c r="Q1931" s="1292">
        <v>5.6696118347342658E-2</v>
      </c>
    </row>
    <row r="1932" spans="1:17" s="212" customFormat="1" ht="15.5" x14ac:dyDescent="0.35">
      <c r="A1932" s="198">
        <v>2046</v>
      </c>
      <c r="B1932" s="197" t="s">
        <v>5838</v>
      </c>
      <c r="C1932" s="197">
        <v>1982</v>
      </c>
      <c r="D1932" s="225" t="str">
        <f t="shared" si="20"/>
        <v>2046_1982</v>
      </c>
      <c r="E1932" s="1291">
        <v>0.29096904239879956</v>
      </c>
      <c r="F1932" s="1280">
        <v>0.11863654563593994</v>
      </c>
      <c r="G1932" s="1271">
        <v>7.1191856533861086</v>
      </c>
      <c r="H1932" s="1280">
        <v>0.92538322553989893</v>
      </c>
      <c r="I1932" s="1271">
        <v>5.4243469364509973E-2</v>
      </c>
      <c r="J1932" s="1280">
        <v>2.8223690249686863E-3</v>
      </c>
      <c r="K1932" s="1271">
        <v>2.9997935854014861E-3</v>
      </c>
      <c r="L1932" s="1257">
        <v>2.0000012717815972E-3</v>
      </c>
      <c r="M1932" s="1280">
        <v>2.0000012717815972E-3</v>
      </c>
      <c r="N1932" s="1271">
        <v>2.7295195900464076E-2</v>
      </c>
      <c r="O1932" s="1257">
        <v>7.2586728513704506E-3</v>
      </c>
      <c r="P1932" s="1293">
        <v>3.6293364256852253E-3</v>
      </c>
      <c r="Q1932" s="1292">
        <v>5.6696118347342658E-2</v>
      </c>
    </row>
    <row r="1933" spans="1:17" s="212" customFormat="1" ht="15.5" x14ac:dyDescent="0.35">
      <c r="A1933" s="198">
        <v>2046</v>
      </c>
      <c r="B1933" s="197" t="s">
        <v>5838</v>
      </c>
      <c r="C1933" s="197">
        <v>1983</v>
      </c>
      <c r="D1933" s="225" t="str">
        <f t="shared" si="20"/>
        <v>2046_1983</v>
      </c>
      <c r="E1933" s="1291">
        <v>0.29096904239879956</v>
      </c>
      <c r="F1933" s="1280">
        <v>0.11863654563593994</v>
      </c>
      <c r="G1933" s="1271">
        <v>7.1191856533861086</v>
      </c>
      <c r="H1933" s="1280">
        <v>0.92538322553989893</v>
      </c>
      <c r="I1933" s="1271">
        <v>5.4243469364509973E-2</v>
      </c>
      <c r="J1933" s="1280">
        <v>2.8223690249686863E-3</v>
      </c>
      <c r="K1933" s="1271">
        <v>2.9997935854014861E-3</v>
      </c>
      <c r="L1933" s="1257">
        <v>2.0000012717815972E-3</v>
      </c>
      <c r="M1933" s="1280">
        <v>2.0000012717815972E-3</v>
      </c>
      <c r="N1933" s="1271">
        <v>2.7295195900464076E-2</v>
      </c>
      <c r="O1933" s="1257">
        <v>7.2586728513704506E-3</v>
      </c>
      <c r="P1933" s="1293">
        <v>3.6293364256852253E-3</v>
      </c>
      <c r="Q1933" s="1292">
        <v>5.6696118347342658E-2</v>
      </c>
    </row>
    <row r="1934" spans="1:17" s="212" customFormat="1" ht="15.5" x14ac:dyDescent="0.35">
      <c r="A1934" s="198">
        <v>2046</v>
      </c>
      <c r="B1934" s="197" t="s">
        <v>5838</v>
      </c>
      <c r="C1934" s="197">
        <v>1984</v>
      </c>
      <c r="D1934" s="225" t="str">
        <f t="shared" si="20"/>
        <v>2046_1984</v>
      </c>
      <c r="E1934" s="1291">
        <v>0.29096904239879956</v>
      </c>
      <c r="F1934" s="1280">
        <v>0.11863654563593994</v>
      </c>
      <c r="G1934" s="1271">
        <v>7.1191856533861086</v>
      </c>
      <c r="H1934" s="1280">
        <v>0.92538322553989893</v>
      </c>
      <c r="I1934" s="1271">
        <v>5.4243469364509973E-2</v>
      </c>
      <c r="J1934" s="1280">
        <v>2.8223690249686863E-3</v>
      </c>
      <c r="K1934" s="1271">
        <v>2.9997935854014861E-3</v>
      </c>
      <c r="L1934" s="1257">
        <v>2.0000012717815972E-3</v>
      </c>
      <c r="M1934" s="1280">
        <v>2.0000012717815972E-3</v>
      </c>
      <c r="N1934" s="1271">
        <v>2.7295195900464076E-2</v>
      </c>
      <c r="O1934" s="1257">
        <v>7.2586728513704506E-3</v>
      </c>
      <c r="P1934" s="1293">
        <v>3.6293364256852253E-3</v>
      </c>
      <c r="Q1934" s="1292">
        <v>5.6696118347342658E-2</v>
      </c>
    </row>
    <row r="1935" spans="1:17" s="212" customFormat="1" ht="15.5" x14ac:dyDescent="0.35">
      <c r="A1935" s="198">
        <v>2046</v>
      </c>
      <c r="B1935" s="197" t="s">
        <v>5838</v>
      </c>
      <c r="C1935" s="197">
        <v>1985</v>
      </c>
      <c r="D1935" s="225" t="str">
        <f t="shared" si="20"/>
        <v>2046_1985</v>
      </c>
      <c r="E1935" s="1291">
        <v>0.29096904239879956</v>
      </c>
      <c r="F1935" s="1280">
        <v>0.11863654563593994</v>
      </c>
      <c r="G1935" s="1271">
        <v>7.1191856533861086</v>
      </c>
      <c r="H1935" s="1280">
        <v>0.92538322553989893</v>
      </c>
      <c r="I1935" s="1271">
        <v>5.4243469364509973E-2</v>
      </c>
      <c r="J1935" s="1280">
        <v>2.8223690249686863E-3</v>
      </c>
      <c r="K1935" s="1271">
        <v>2.9997935854014861E-3</v>
      </c>
      <c r="L1935" s="1257">
        <v>2.0000012717815972E-3</v>
      </c>
      <c r="M1935" s="1280">
        <v>2.0000012717815972E-3</v>
      </c>
      <c r="N1935" s="1271">
        <v>2.7295195900464076E-2</v>
      </c>
      <c r="O1935" s="1257">
        <v>7.2586728513704506E-3</v>
      </c>
      <c r="P1935" s="1293">
        <v>3.6293364256852253E-3</v>
      </c>
      <c r="Q1935" s="1292">
        <v>5.6696118347342658E-2</v>
      </c>
    </row>
    <row r="1936" spans="1:17" s="212" customFormat="1" ht="15.5" x14ac:dyDescent="0.35">
      <c r="A1936" s="198">
        <v>2046</v>
      </c>
      <c r="B1936" s="197" t="s">
        <v>5838</v>
      </c>
      <c r="C1936" s="197">
        <v>1986</v>
      </c>
      <c r="D1936" s="225" t="str">
        <f t="shared" si="20"/>
        <v>2046_1986</v>
      </c>
      <c r="E1936" s="1291">
        <v>0.29096904239879956</v>
      </c>
      <c r="F1936" s="1280">
        <v>0.11863654563593994</v>
      </c>
      <c r="G1936" s="1271">
        <v>7.1191856533861086</v>
      </c>
      <c r="H1936" s="1280">
        <v>0.92538322553989893</v>
      </c>
      <c r="I1936" s="1271">
        <v>5.4243469364509973E-2</v>
      </c>
      <c r="J1936" s="1280">
        <v>2.8223690249686863E-3</v>
      </c>
      <c r="K1936" s="1271">
        <v>2.9997935854014861E-3</v>
      </c>
      <c r="L1936" s="1257">
        <v>2.0000012717815972E-3</v>
      </c>
      <c r="M1936" s="1280">
        <v>2.0000012717815972E-3</v>
      </c>
      <c r="N1936" s="1271">
        <v>2.7295195900464076E-2</v>
      </c>
      <c r="O1936" s="1257">
        <v>7.2586728513704506E-3</v>
      </c>
      <c r="P1936" s="1293">
        <v>3.6293364256852253E-3</v>
      </c>
      <c r="Q1936" s="1292">
        <v>5.6696118347342658E-2</v>
      </c>
    </row>
    <row r="1937" spans="1:17" s="212" customFormat="1" ht="15.5" x14ac:dyDescent="0.35">
      <c r="A1937" s="198">
        <v>2046</v>
      </c>
      <c r="B1937" s="197" t="s">
        <v>5838</v>
      </c>
      <c r="C1937" s="197">
        <v>1987</v>
      </c>
      <c r="D1937" s="225" t="str">
        <f t="shared" si="20"/>
        <v>2046_1987</v>
      </c>
      <c r="E1937" s="1291">
        <v>0.29096904239879956</v>
      </c>
      <c r="F1937" s="1280">
        <v>0.11863654563593994</v>
      </c>
      <c r="G1937" s="1271">
        <v>7.1191856533861086</v>
      </c>
      <c r="H1937" s="1280">
        <v>0.92538322553989893</v>
      </c>
      <c r="I1937" s="1271">
        <v>5.4243469364509973E-2</v>
      </c>
      <c r="J1937" s="1280">
        <v>2.8223690249686863E-3</v>
      </c>
      <c r="K1937" s="1271">
        <v>2.9997935854014861E-3</v>
      </c>
      <c r="L1937" s="1257">
        <v>2.0000012717815972E-3</v>
      </c>
      <c r="M1937" s="1280">
        <v>2.0000012717815972E-3</v>
      </c>
      <c r="N1937" s="1271">
        <v>2.7295195900464076E-2</v>
      </c>
      <c r="O1937" s="1257">
        <v>7.2586728513704506E-3</v>
      </c>
      <c r="P1937" s="1293">
        <v>3.6293364256852253E-3</v>
      </c>
      <c r="Q1937" s="1292">
        <v>5.6696118347342658E-2</v>
      </c>
    </row>
    <row r="1938" spans="1:17" s="212" customFormat="1" ht="15.5" x14ac:dyDescent="0.35">
      <c r="A1938" s="198">
        <v>2046</v>
      </c>
      <c r="B1938" s="197" t="s">
        <v>5838</v>
      </c>
      <c r="C1938" s="197">
        <v>1988</v>
      </c>
      <c r="D1938" s="225" t="str">
        <f t="shared" si="20"/>
        <v>2046_1988</v>
      </c>
      <c r="E1938" s="1291">
        <v>0.29096904239879956</v>
      </c>
      <c r="F1938" s="1280">
        <v>0.11863654563593994</v>
      </c>
      <c r="G1938" s="1271">
        <v>7.1191856533861086</v>
      </c>
      <c r="H1938" s="1280">
        <v>0.92538322553989893</v>
      </c>
      <c r="I1938" s="1271">
        <v>5.4243469364509973E-2</v>
      </c>
      <c r="J1938" s="1280">
        <v>2.8223690249686863E-3</v>
      </c>
      <c r="K1938" s="1271">
        <v>2.9997935854014861E-3</v>
      </c>
      <c r="L1938" s="1257">
        <v>2.0000012717815972E-3</v>
      </c>
      <c r="M1938" s="1280">
        <v>2.0000012717815972E-3</v>
      </c>
      <c r="N1938" s="1271">
        <v>2.7295195900464076E-2</v>
      </c>
      <c r="O1938" s="1257">
        <v>7.2586728513704506E-3</v>
      </c>
      <c r="P1938" s="1293">
        <v>3.6293364256852253E-3</v>
      </c>
      <c r="Q1938" s="1292">
        <v>5.6696118347342658E-2</v>
      </c>
    </row>
    <row r="1939" spans="1:17" s="212" customFormat="1" ht="15.5" x14ac:dyDescent="0.35">
      <c r="A1939" s="198">
        <v>2046</v>
      </c>
      <c r="B1939" s="197" t="s">
        <v>5838</v>
      </c>
      <c r="C1939" s="197">
        <v>1989</v>
      </c>
      <c r="D1939" s="225" t="str">
        <f t="shared" si="20"/>
        <v>2046_1989</v>
      </c>
      <c r="E1939" s="1291">
        <v>0.29096904239879956</v>
      </c>
      <c r="F1939" s="1280">
        <v>0.11863654563593994</v>
      </c>
      <c r="G1939" s="1271">
        <v>7.1191856533861086</v>
      </c>
      <c r="H1939" s="1280">
        <v>0.92538322553989893</v>
      </c>
      <c r="I1939" s="1271">
        <v>5.4243469364509973E-2</v>
      </c>
      <c r="J1939" s="1280">
        <v>2.8223690249686863E-3</v>
      </c>
      <c r="K1939" s="1271">
        <v>2.9997935854014861E-3</v>
      </c>
      <c r="L1939" s="1257">
        <v>2.0000012717815972E-3</v>
      </c>
      <c r="M1939" s="1280">
        <v>2.0000012717815972E-3</v>
      </c>
      <c r="N1939" s="1271">
        <v>2.7295195900464076E-2</v>
      </c>
      <c r="O1939" s="1257">
        <v>7.2586728513704506E-3</v>
      </c>
      <c r="P1939" s="1293">
        <v>3.6293364256852253E-3</v>
      </c>
      <c r="Q1939" s="1292">
        <v>5.6696118347342658E-2</v>
      </c>
    </row>
    <row r="1940" spans="1:17" s="212" customFormat="1" ht="15.5" x14ac:dyDescent="0.35">
      <c r="A1940" s="198">
        <v>2046</v>
      </c>
      <c r="B1940" s="197" t="s">
        <v>5838</v>
      </c>
      <c r="C1940" s="197">
        <v>1990</v>
      </c>
      <c r="D1940" s="225" t="str">
        <f t="shared" si="20"/>
        <v>2046_1990</v>
      </c>
      <c r="E1940" s="1291">
        <v>0.29096904239879956</v>
      </c>
      <c r="F1940" s="1280">
        <v>0.11863654563593994</v>
      </c>
      <c r="G1940" s="1271">
        <v>7.1191856533861086</v>
      </c>
      <c r="H1940" s="1280">
        <v>0.92538322553989893</v>
      </c>
      <c r="I1940" s="1271">
        <v>5.4243469364509973E-2</v>
      </c>
      <c r="J1940" s="1280">
        <v>2.8223690249686863E-3</v>
      </c>
      <c r="K1940" s="1271">
        <v>2.9997935854014861E-3</v>
      </c>
      <c r="L1940" s="1257">
        <v>2.0000012717815972E-3</v>
      </c>
      <c r="M1940" s="1280">
        <v>2.0000012717815972E-3</v>
      </c>
      <c r="N1940" s="1271">
        <v>2.7295195900464076E-2</v>
      </c>
      <c r="O1940" s="1257">
        <v>7.2586728513704506E-3</v>
      </c>
      <c r="P1940" s="1293">
        <v>3.6293364256852253E-3</v>
      </c>
      <c r="Q1940" s="1292">
        <v>5.6696118347342658E-2</v>
      </c>
    </row>
    <row r="1941" spans="1:17" s="212" customFormat="1" ht="15.5" x14ac:dyDescent="0.35">
      <c r="A1941" s="198">
        <v>2046</v>
      </c>
      <c r="B1941" s="197" t="s">
        <v>5838</v>
      </c>
      <c r="C1941" s="197">
        <v>1991</v>
      </c>
      <c r="D1941" s="225" t="str">
        <f t="shared" si="20"/>
        <v>2046_1991</v>
      </c>
      <c r="E1941" s="1291">
        <v>0.29096904239879956</v>
      </c>
      <c r="F1941" s="1280">
        <v>0.11863654563593994</v>
      </c>
      <c r="G1941" s="1271">
        <v>7.1191856533861086</v>
      </c>
      <c r="H1941" s="1280">
        <v>0.92538322553989893</v>
      </c>
      <c r="I1941" s="1271">
        <v>5.4243469364509973E-2</v>
      </c>
      <c r="J1941" s="1280">
        <v>2.8223690249686863E-3</v>
      </c>
      <c r="K1941" s="1271">
        <v>2.9997935854014861E-3</v>
      </c>
      <c r="L1941" s="1257">
        <v>2.0000012717815972E-3</v>
      </c>
      <c r="M1941" s="1280">
        <v>2.0000012717815972E-3</v>
      </c>
      <c r="N1941" s="1271">
        <v>2.7295195900464076E-2</v>
      </c>
      <c r="O1941" s="1257">
        <v>7.2586728513704506E-3</v>
      </c>
      <c r="P1941" s="1293">
        <v>3.6293364256852253E-3</v>
      </c>
      <c r="Q1941" s="1292">
        <v>5.6696118347342658E-2</v>
      </c>
    </row>
    <row r="1942" spans="1:17" s="212" customFormat="1" ht="15.5" x14ac:dyDescent="0.35">
      <c r="A1942" s="198">
        <v>2046</v>
      </c>
      <c r="B1942" s="197" t="s">
        <v>5838</v>
      </c>
      <c r="C1942" s="197">
        <v>1992</v>
      </c>
      <c r="D1942" s="225" t="str">
        <f t="shared" si="20"/>
        <v>2046_1992</v>
      </c>
      <c r="E1942" s="1291">
        <v>0.29096904239879956</v>
      </c>
      <c r="F1942" s="1280">
        <v>0.11863654563593994</v>
      </c>
      <c r="G1942" s="1271">
        <v>7.1191856533861086</v>
      </c>
      <c r="H1942" s="1280">
        <v>0.92538322553989893</v>
      </c>
      <c r="I1942" s="1271">
        <v>5.4243469364509973E-2</v>
      </c>
      <c r="J1942" s="1280">
        <v>2.8223690249686863E-3</v>
      </c>
      <c r="K1942" s="1271">
        <v>2.9997935854014861E-3</v>
      </c>
      <c r="L1942" s="1257">
        <v>2.0000012717815972E-3</v>
      </c>
      <c r="M1942" s="1280">
        <v>2.0000012717815972E-3</v>
      </c>
      <c r="N1942" s="1271">
        <v>2.7295195900464076E-2</v>
      </c>
      <c r="O1942" s="1257">
        <v>7.2586728513704506E-3</v>
      </c>
      <c r="P1942" s="1293">
        <v>3.6293364256852253E-3</v>
      </c>
      <c r="Q1942" s="1292">
        <v>5.6696118347342658E-2</v>
      </c>
    </row>
    <row r="1943" spans="1:17" s="212" customFormat="1" ht="15.5" x14ac:dyDescent="0.35">
      <c r="A1943" s="198">
        <v>2046</v>
      </c>
      <c r="B1943" s="197" t="s">
        <v>5838</v>
      </c>
      <c r="C1943" s="197">
        <v>1993</v>
      </c>
      <c r="D1943" s="225" t="str">
        <f t="shared" si="20"/>
        <v>2046_1993</v>
      </c>
      <c r="E1943" s="1291">
        <v>0.29096904239879956</v>
      </c>
      <c r="F1943" s="1280">
        <v>0.11863654563593994</v>
      </c>
      <c r="G1943" s="1271">
        <v>7.1191856533861086</v>
      </c>
      <c r="H1943" s="1280">
        <v>0.92538322553989893</v>
      </c>
      <c r="I1943" s="1271">
        <v>5.4243469364509973E-2</v>
      </c>
      <c r="J1943" s="1280">
        <v>2.8223690249686863E-3</v>
      </c>
      <c r="K1943" s="1271">
        <v>2.9997935854014861E-3</v>
      </c>
      <c r="L1943" s="1257">
        <v>2.0000012717815972E-3</v>
      </c>
      <c r="M1943" s="1280">
        <v>2.0000012717815972E-3</v>
      </c>
      <c r="N1943" s="1271">
        <v>2.7295195900464076E-2</v>
      </c>
      <c r="O1943" s="1257">
        <v>7.2586728513704506E-3</v>
      </c>
      <c r="P1943" s="1293">
        <v>3.6293364256852253E-3</v>
      </c>
      <c r="Q1943" s="1292">
        <v>5.6696118347342658E-2</v>
      </c>
    </row>
    <row r="1944" spans="1:17" s="212" customFormat="1" ht="15.5" x14ac:dyDescent="0.35">
      <c r="A1944" s="198">
        <v>2046</v>
      </c>
      <c r="B1944" s="197" t="s">
        <v>5838</v>
      </c>
      <c r="C1944" s="197">
        <v>1994</v>
      </c>
      <c r="D1944" s="225" t="str">
        <f t="shared" si="20"/>
        <v>2046_1994</v>
      </c>
      <c r="E1944" s="1291">
        <v>0.29096904239879956</v>
      </c>
      <c r="F1944" s="1280">
        <v>0.11863654563593994</v>
      </c>
      <c r="G1944" s="1271">
        <v>7.1191856533861086</v>
      </c>
      <c r="H1944" s="1280">
        <v>0.92538322553989893</v>
      </c>
      <c r="I1944" s="1271">
        <v>5.4243469364509973E-2</v>
      </c>
      <c r="J1944" s="1280">
        <v>2.8223690249686863E-3</v>
      </c>
      <c r="K1944" s="1271">
        <v>2.9997935854014861E-3</v>
      </c>
      <c r="L1944" s="1257">
        <v>2.0000012717815972E-3</v>
      </c>
      <c r="M1944" s="1280">
        <v>2.0000012717815972E-3</v>
      </c>
      <c r="N1944" s="1271">
        <v>2.7295195900464076E-2</v>
      </c>
      <c r="O1944" s="1257">
        <v>7.2586728513704506E-3</v>
      </c>
      <c r="P1944" s="1293">
        <v>3.6293364256852253E-3</v>
      </c>
      <c r="Q1944" s="1292">
        <v>5.6696118347342658E-2</v>
      </c>
    </row>
    <row r="1945" spans="1:17" s="212" customFormat="1" ht="15.5" x14ac:dyDescent="0.35">
      <c r="A1945" s="198">
        <v>2046</v>
      </c>
      <c r="B1945" s="197" t="s">
        <v>5838</v>
      </c>
      <c r="C1945" s="197">
        <v>1995</v>
      </c>
      <c r="D1945" s="225" t="str">
        <f t="shared" si="20"/>
        <v>2046_1995</v>
      </c>
      <c r="E1945" s="1291">
        <v>0.29096904239879956</v>
      </c>
      <c r="F1945" s="1280">
        <v>0.11863654563593994</v>
      </c>
      <c r="G1945" s="1271">
        <v>7.1191856533861086</v>
      </c>
      <c r="H1945" s="1280">
        <v>0.92538322553989893</v>
      </c>
      <c r="I1945" s="1271">
        <v>5.4243469364509973E-2</v>
      </c>
      <c r="J1945" s="1280">
        <v>2.8223690249686863E-3</v>
      </c>
      <c r="K1945" s="1271">
        <v>2.9997935854014861E-3</v>
      </c>
      <c r="L1945" s="1257">
        <v>2.0000012717815972E-3</v>
      </c>
      <c r="M1945" s="1280">
        <v>2.0000012717815972E-3</v>
      </c>
      <c r="N1945" s="1271">
        <v>2.7295195900464076E-2</v>
      </c>
      <c r="O1945" s="1257">
        <v>7.2586728513704506E-3</v>
      </c>
      <c r="P1945" s="1293">
        <v>3.6293364256852253E-3</v>
      </c>
      <c r="Q1945" s="1292">
        <v>5.6696118347342658E-2</v>
      </c>
    </row>
    <row r="1946" spans="1:17" s="212" customFormat="1" ht="15.5" x14ac:dyDescent="0.35">
      <c r="A1946" s="198">
        <v>2046</v>
      </c>
      <c r="B1946" s="197" t="s">
        <v>5838</v>
      </c>
      <c r="C1946" s="197">
        <v>1996</v>
      </c>
      <c r="D1946" s="225" t="str">
        <f t="shared" si="20"/>
        <v>2046_1996</v>
      </c>
      <c r="E1946" s="1291">
        <v>0.29096904239879956</v>
      </c>
      <c r="F1946" s="1280">
        <v>0.11863654563593994</v>
      </c>
      <c r="G1946" s="1271">
        <v>7.1191856533861086</v>
      </c>
      <c r="H1946" s="1280">
        <v>0.92538322553989893</v>
      </c>
      <c r="I1946" s="1271">
        <v>5.4243469364509973E-2</v>
      </c>
      <c r="J1946" s="1280">
        <v>2.8223690249686863E-3</v>
      </c>
      <c r="K1946" s="1271">
        <v>2.9997935854014861E-3</v>
      </c>
      <c r="L1946" s="1257">
        <v>2.0000012717815972E-3</v>
      </c>
      <c r="M1946" s="1280">
        <v>2.0000012717815972E-3</v>
      </c>
      <c r="N1946" s="1271">
        <v>2.7295195900464076E-2</v>
      </c>
      <c r="O1946" s="1257">
        <v>7.2586728513704506E-3</v>
      </c>
      <c r="P1946" s="1293">
        <v>3.6293364256852253E-3</v>
      </c>
      <c r="Q1946" s="1292">
        <v>5.6696118347342658E-2</v>
      </c>
    </row>
    <row r="1947" spans="1:17" s="212" customFormat="1" ht="15.5" x14ac:dyDescent="0.35">
      <c r="A1947" s="198">
        <v>2046</v>
      </c>
      <c r="B1947" s="197" t="s">
        <v>5838</v>
      </c>
      <c r="C1947" s="197">
        <v>1997</v>
      </c>
      <c r="D1947" s="225" t="str">
        <f t="shared" si="20"/>
        <v>2046_1997</v>
      </c>
      <c r="E1947" s="1291">
        <v>0.29096904239879956</v>
      </c>
      <c r="F1947" s="1280">
        <v>0.11863654563593994</v>
      </c>
      <c r="G1947" s="1271">
        <v>7.1191856533861086</v>
      </c>
      <c r="H1947" s="1280">
        <v>0.92538322553989893</v>
      </c>
      <c r="I1947" s="1271">
        <v>5.4243469364509973E-2</v>
      </c>
      <c r="J1947" s="1280">
        <v>2.8223690249686863E-3</v>
      </c>
      <c r="K1947" s="1271">
        <v>2.9997935854014861E-3</v>
      </c>
      <c r="L1947" s="1257">
        <v>2.0000012717815972E-3</v>
      </c>
      <c r="M1947" s="1280">
        <v>2.0000012717815972E-3</v>
      </c>
      <c r="N1947" s="1271">
        <v>2.7295195900464076E-2</v>
      </c>
      <c r="O1947" s="1257">
        <v>7.2586728513704506E-3</v>
      </c>
      <c r="P1947" s="1293">
        <v>3.6293364256852253E-3</v>
      </c>
      <c r="Q1947" s="1292">
        <v>5.6696118347342658E-2</v>
      </c>
    </row>
    <row r="1948" spans="1:17" s="212" customFormat="1" ht="15.5" x14ac:dyDescent="0.35">
      <c r="A1948" s="198">
        <v>2046</v>
      </c>
      <c r="B1948" s="197" t="s">
        <v>5838</v>
      </c>
      <c r="C1948" s="197">
        <v>1998</v>
      </c>
      <c r="D1948" s="225" t="str">
        <f t="shared" si="20"/>
        <v>2046_1998</v>
      </c>
      <c r="E1948" s="1291">
        <v>0.29096904239879956</v>
      </c>
      <c r="F1948" s="1280">
        <v>0.11863654563593994</v>
      </c>
      <c r="G1948" s="1271">
        <v>7.1191856533861086</v>
      </c>
      <c r="H1948" s="1280">
        <v>0.92538322553989893</v>
      </c>
      <c r="I1948" s="1271">
        <v>5.4243469364509973E-2</v>
      </c>
      <c r="J1948" s="1280">
        <v>2.8223690249686863E-3</v>
      </c>
      <c r="K1948" s="1271">
        <v>2.9997935854014861E-3</v>
      </c>
      <c r="L1948" s="1257">
        <v>2.0000012717815972E-3</v>
      </c>
      <c r="M1948" s="1280">
        <v>2.0000012717815972E-3</v>
      </c>
      <c r="N1948" s="1271">
        <v>2.7295195900464076E-2</v>
      </c>
      <c r="O1948" s="1257">
        <v>7.2586728513704506E-3</v>
      </c>
      <c r="P1948" s="1293">
        <v>3.6293364256852253E-3</v>
      </c>
      <c r="Q1948" s="1292">
        <v>5.6696118347342658E-2</v>
      </c>
    </row>
    <row r="1949" spans="1:17" s="212" customFormat="1" ht="15.5" x14ac:dyDescent="0.35">
      <c r="A1949" s="198">
        <v>2046</v>
      </c>
      <c r="B1949" s="197" t="s">
        <v>5838</v>
      </c>
      <c r="C1949" s="197">
        <v>1999</v>
      </c>
      <c r="D1949" s="225" t="str">
        <f t="shared" si="20"/>
        <v>2046_1999</v>
      </c>
      <c r="E1949" s="1291">
        <v>0.29096904239879956</v>
      </c>
      <c r="F1949" s="1280">
        <v>0.11863654563593994</v>
      </c>
      <c r="G1949" s="1271">
        <v>7.1191856533861086</v>
      </c>
      <c r="H1949" s="1280">
        <v>0.92538322553989893</v>
      </c>
      <c r="I1949" s="1271">
        <v>5.4243469364509973E-2</v>
      </c>
      <c r="J1949" s="1280">
        <v>2.8223690249686863E-3</v>
      </c>
      <c r="K1949" s="1271">
        <v>2.9997935854014861E-3</v>
      </c>
      <c r="L1949" s="1257">
        <v>2.0000012717815972E-3</v>
      </c>
      <c r="M1949" s="1280">
        <v>2.0000012717815972E-3</v>
      </c>
      <c r="N1949" s="1271">
        <v>2.7295195900464076E-2</v>
      </c>
      <c r="O1949" s="1257">
        <v>7.2586728513704506E-3</v>
      </c>
      <c r="P1949" s="1293">
        <v>3.6293364256852253E-3</v>
      </c>
      <c r="Q1949" s="1292">
        <v>5.6696118347342658E-2</v>
      </c>
    </row>
    <row r="1950" spans="1:17" s="212" customFormat="1" ht="15.5" x14ac:dyDescent="0.35">
      <c r="A1950" s="198">
        <v>2046</v>
      </c>
      <c r="B1950" s="197" t="s">
        <v>5838</v>
      </c>
      <c r="C1950" s="197">
        <v>2000</v>
      </c>
      <c r="D1950" s="225" t="str">
        <f t="shared" si="20"/>
        <v>2046_2000</v>
      </c>
      <c r="E1950" s="1291">
        <v>0.29096904239879956</v>
      </c>
      <c r="F1950" s="1280">
        <v>0.11863654563593994</v>
      </c>
      <c r="G1950" s="1271">
        <v>7.1191856533861086</v>
      </c>
      <c r="H1950" s="1280">
        <v>0.92538322553989893</v>
      </c>
      <c r="I1950" s="1271">
        <v>5.4243469364509973E-2</v>
      </c>
      <c r="J1950" s="1280">
        <v>2.8223690249686863E-3</v>
      </c>
      <c r="K1950" s="1271">
        <v>2.9997935854014861E-3</v>
      </c>
      <c r="L1950" s="1257">
        <v>2.0000012717815972E-3</v>
      </c>
      <c r="M1950" s="1280">
        <v>2.0000012717815972E-3</v>
      </c>
      <c r="N1950" s="1271">
        <v>2.7295195900464076E-2</v>
      </c>
      <c r="O1950" s="1257">
        <v>7.2586728513704506E-3</v>
      </c>
      <c r="P1950" s="1293">
        <v>3.6293364256852253E-3</v>
      </c>
      <c r="Q1950" s="1292">
        <v>5.6696118347342658E-2</v>
      </c>
    </row>
    <row r="1951" spans="1:17" s="212" customFormat="1" ht="15.5" x14ac:dyDescent="0.35">
      <c r="A1951" s="198">
        <v>2046</v>
      </c>
      <c r="B1951" s="197" t="s">
        <v>5838</v>
      </c>
      <c r="C1951" s="197">
        <v>2001</v>
      </c>
      <c r="D1951" s="225" t="str">
        <f t="shared" si="20"/>
        <v>2046_2001</v>
      </c>
      <c r="E1951" s="1291">
        <v>0.29096904239879956</v>
      </c>
      <c r="F1951" s="1280">
        <v>0.11863654563593994</v>
      </c>
      <c r="G1951" s="1271">
        <v>7.1191856533861086</v>
      </c>
      <c r="H1951" s="1280">
        <v>0.92538322553989893</v>
      </c>
      <c r="I1951" s="1271">
        <v>5.4243469364509973E-2</v>
      </c>
      <c r="J1951" s="1280">
        <v>2.8223690249686863E-3</v>
      </c>
      <c r="K1951" s="1271">
        <v>2.9997935854014861E-3</v>
      </c>
      <c r="L1951" s="1257">
        <v>2.0000012717815972E-3</v>
      </c>
      <c r="M1951" s="1280">
        <v>2.0000012717815972E-3</v>
      </c>
      <c r="N1951" s="1271">
        <v>2.7295195900464076E-2</v>
      </c>
      <c r="O1951" s="1257">
        <v>7.2586728513704506E-3</v>
      </c>
      <c r="P1951" s="1293">
        <v>3.6293364256852253E-3</v>
      </c>
      <c r="Q1951" s="1292">
        <v>5.6696118347342658E-2</v>
      </c>
    </row>
    <row r="1952" spans="1:17" s="212" customFormat="1" ht="15.5" x14ac:dyDescent="0.35">
      <c r="A1952" s="198">
        <v>2046</v>
      </c>
      <c r="B1952" s="197" t="s">
        <v>5838</v>
      </c>
      <c r="C1952" s="197">
        <v>2002</v>
      </c>
      <c r="D1952" s="225" t="str">
        <f t="shared" si="20"/>
        <v>2046_2002</v>
      </c>
      <c r="E1952" s="1287">
        <v>0.29096904239879956</v>
      </c>
      <c r="F1952" s="1306">
        <v>0.11863654563593994</v>
      </c>
      <c r="G1952" s="1303">
        <v>7.1191856533861086</v>
      </c>
      <c r="H1952" s="1306">
        <v>0.92538322553989893</v>
      </c>
      <c r="I1952" s="1303">
        <v>5.4243469364509973E-2</v>
      </c>
      <c r="J1952" s="1306">
        <v>2.8223690249686863E-3</v>
      </c>
      <c r="K1952" s="1303">
        <v>2.9997935854014861E-3</v>
      </c>
      <c r="L1952" s="1288">
        <v>2.0000012717815972E-3</v>
      </c>
      <c r="M1952" s="1307">
        <v>2.0000012717815972E-3</v>
      </c>
      <c r="N1952" s="1303">
        <v>2.7295195900464076E-2</v>
      </c>
      <c r="O1952" s="1288">
        <v>7.2586728513704506E-3</v>
      </c>
      <c r="P1952" s="1295">
        <v>3.6293364256852253E-3</v>
      </c>
      <c r="Q1952" s="1290">
        <v>5.6696118347342658E-2</v>
      </c>
    </row>
    <row r="1953" spans="1:17" s="212" customFormat="1" ht="15.5" x14ac:dyDescent="0.35">
      <c r="A1953" s="198">
        <v>2046</v>
      </c>
      <c r="B1953" s="197" t="s">
        <v>5838</v>
      </c>
      <c r="C1953" s="197">
        <v>2003</v>
      </c>
      <c r="D1953" s="225" t="str">
        <f t="shared" si="20"/>
        <v>2046_2003</v>
      </c>
      <c r="E1953" s="1287">
        <v>0.2894104434567949</v>
      </c>
      <c r="F1953" s="1306">
        <v>9.6096266162011487E-2</v>
      </c>
      <c r="G1953" s="1303">
        <v>7.1453019383134393</v>
      </c>
      <c r="H1953" s="1306">
        <v>0.71960438124051174</v>
      </c>
      <c r="I1953" s="1303">
        <v>5.3954855680589803E-2</v>
      </c>
      <c r="J1953" s="1306">
        <v>2.8092917842836729E-3</v>
      </c>
      <c r="K1953" s="1303">
        <v>2.9997409444093666E-3</v>
      </c>
      <c r="L1953" s="1288">
        <v>2.0000012820612181E-3</v>
      </c>
      <c r="M1953" s="1307">
        <v>2.0000012820612181E-3</v>
      </c>
      <c r="N1953" s="1303">
        <v>2.729404414665226E-2</v>
      </c>
      <c r="O1953" s="1288">
        <v>7.6661637450570058E-3</v>
      </c>
      <c r="P1953" s="1295">
        <v>3.8330818725285029E-3</v>
      </c>
      <c r="Q1953" s="1290">
        <v>5.6394454833339845E-2</v>
      </c>
    </row>
    <row r="1954" spans="1:17" s="212" customFormat="1" ht="15.5" x14ac:dyDescent="0.35">
      <c r="A1954" s="198">
        <v>2046</v>
      </c>
      <c r="B1954" s="197" t="s">
        <v>5838</v>
      </c>
      <c r="C1954" s="197">
        <v>2004</v>
      </c>
      <c r="D1954" s="225" t="str">
        <f t="shared" si="20"/>
        <v>2046_2004</v>
      </c>
      <c r="E1954" s="1287">
        <v>0.59510817738697619</v>
      </c>
      <c r="F1954" s="1306">
        <v>1.8091762733107624E-2</v>
      </c>
      <c r="G1954" s="1303">
        <v>4.2036578330889167</v>
      </c>
      <c r="H1954" s="1306">
        <v>0.12232029946880631</v>
      </c>
      <c r="I1954" s="1303">
        <v>0.15423186418621951</v>
      </c>
      <c r="J1954" s="1306">
        <v>1.8800152170992489E-4</v>
      </c>
      <c r="K1954" s="1303">
        <v>2.9975924204014605E-3</v>
      </c>
      <c r="L1954" s="1288">
        <v>2.0000013407289827E-3</v>
      </c>
      <c r="M1954" s="1307">
        <v>2.0000013407289827E-3</v>
      </c>
      <c r="N1954" s="1303">
        <v>2.7243466422969834E-2</v>
      </c>
      <c r="O1954" s="1288">
        <v>7.1125392633150193E-3</v>
      </c>
      <c r="P1954" s="1295">
        <v>3.5562696316575096E-3</v>
      </c>
      <c r="Q1954" s="1290">
        <v>0.16120554469095916</v>
      </c>
    </row>
    <row r="1955" spans="1:17" s="212" customFormat="1" ht="15.5" x14ac:dyDescent="0.35">
      <c r="A1955" s="198">
        <v>2046</v>
      </c>
      <c r="B1955" s="197" t="s">
        <v>5838</v>
      </c>
      <c r="C1955" s="197">
        <v>2005</v>
      </c>
      <c r="D1955" s="225" t="str">
        <f t="shared" si="20"/>
        <v>2046_2005</v>
      </c>
      <c r="E1955" s="1287">
        <v>0.52719565931321932</v>
      </c>
      <c r="F1955" s="1306">
        <v>1.6153149179178532E-2</v>
      </c>
      <c r="G1955" s="1303">
        <v>3.8764935298102441</v>
      </c>
      <c r="H1955" s="1306">
        <v>0.10694121734127725</v>
      </c>
      <c r="I1955" s="1303">
        <v>0.14046475235406267</v>
      </c>
      <c r="J1955" s="1306">
        <v>1.8827941921968757E-4</v>
      </c>
      <c r="K1955" s="1303">
        <v>2.8649121378695247E-3</v>
      </c>
      <c r="L1955" s="1288">
        <v>2.0000013508165758E-3</v>
      </c>
      <c r="M1955" s="1307">
        <v>2.0000013508165758E-3</v>
      </c>
      <c r="N1955" s="1303">
        <v>2.4115182315831273E-2</v>
      </c>
      <c r="O1955" s="1288">
        <v>6.6025371540792159E-3</v>
      </c>
      <c r="P1955" s="1295">
        <v>3.3012685770396079E-3</v>
      </c>
      <c r="Q1955" s="1290">
        <v>0.14681594515240623</v>
      </c>
    </row>
    <row r="1956" spans="1:17" s="212" customFormat="1" ht="15.5" x14ac:dyDescent="0.35">
      <c r="A1956" s="198">
        <v>2046</v>
      </c>
      <c r="B1956" s="197" t="s">
        <v>5838</v>
      </c>
      <c r="C1956" s="197">
        <v>2006</v>
      </c>
      <c r="D1956" s="225" t="str">
        <f t="shared" si="20"/>
        <v>2046_2006</v>
      </c>
      <c r="E1956" s="1287">
        <v>0.55624019766636001</v>
      </c>
      <c r="F1956" s="1306">
        <v>7.1604212400732123E-3</v>
      </c>
      <c r="G1956" s="1303">
        <v>4.0203957602978893</v>
      </c>
      <c r="H1956" s="1306">
        <v>8.5397884458976087E-2</v>
      </c>
      <c r="I1956" s="1303">
        <v>0.14630809205996839</v>
      </c>
      <c r="J1956" s="1306">
        <v>1.8370705680711727E-4</v>
      </c>
      <c r="K1956" s="1303">
        <v>2.9265462319629843E-3</v>
      </c>
      <c r="L1956" s="1288">
        <v>2.0000012553761954E-3</v>
      </c>
      <c r="M1956" s="1307">
        <v>2.0000012553761954E-3</v>
      </c>
      <c r="N1956" s="1303">
        <v>2.5567644554548099E-2</v>
      </c>
      <c r="O1956" s="1288">
        <v>9.6215820560173835E-3</v>
      </c>
      <c r="P1956" s="1295">
        <v>4.8107910280086917E-3</v>
      </c>
      <c r="Q1956" s="1290">
        <v>0.1529234947503772</v>
      </c>
    </row>
    <row r="1957" spans="1:17" s="212" customFormat="1" ht="15.5" x14ac:dyDescent="0.35">
      <c r="A1957" s="198">
        <v>2046</v>
      </c>
      <c r="B1957" s="197" t="s">
        <v>5838</v>
      </c>
      <c r="C1957" s="197">
        <v>2007</v>
      </c>
      <c r="D1957" s="225" t="str">
        <f t="shared" si="20"/>
        <v>2046_2007</v>
      </c>
      <c r="E1957" s="1287">
        <v>0.30800927657685534</v>
      </c>
      <c r="F1957" s="1306">
        <v>8.9745923066655488E-3</v>
      </c>
      <c r="G1957" s="1303">
        <v>2.2400475484921603</v>
      </c>
      <c r="H1957" s="1306">
        <v>7.0869613049578173E-2</v>
      </c>
      <c r="I1957" s="1303">
        <v>8.0474419220946808E-2</v>
      </c>
      <c r="J1957" s="1306">
        <v>1.8729673347990061E-4</v>
      </c>
      <c r="K1957" s="1303">
        <v>2.9086770063597497E-3</v>
      </c>
      <c r="L1957" s="1288">
        <v>2.000001276756863E-3</v>
      </c>
      <c r="M1957" s="1307">
        <v>2.000001276756863E-3</v>
      </c>
      <c r="N1957" s="1303">
        <v>2.5147610892565411E-2</v>
      </c>
      <c r="O1957" s="1288">
        <v>6.843427881414111E-3</v>
      </c>
      <c r="P1957" s="1295">
        <v>3.4217139407070555E-3</v>
      </c>
      <c r="Q1957" s="1290">
        <v>8.4113115358171481E-2</v>
      </c>
    </row>
    <row r="1958" spans="1:17" s="212" customFormat="1" ht="15.5" x14ac:dyDescent="0.35">
      <c r="A1958" s="198">
        <v>2046</v>
      </c>
      <c r="B1958" s="197" t="s">
        <v>5838</v>
      </c>
      <c r="C1958" s="197">
        <v>2008</v>
      </c>
      <c r="D1958" s="225" t="str">
        <f t="shared" si="20"/>
        <v>2046_2008</v>
      </c>
      <c r="E1958" s="1287">
        <v>0.320983242062784</v>
      </c>
      <c r="F1958" s="1306">
        <v>8.3519170756062786E-3</v>
      </c>
      <c r="G1958" s="1303">
        <v>2.3412065615433244</v>
      </c>
      <c r="H1958" s="1306">
        <v>5.3915329253956618E-2</v>
      </c>
      <c r="I1958" s="1303">
        <v>8.3821401370737611E-2</v>
      </c>
      <c r="J1958" s="1306">
        <v>2.1096465113579779E-4</v>
      </c>
      <c r="K1958" s="1303">
        <v>2.9519629053507391E-3</v>
      </c>
      <c r="L1958" s="1288">
        <v>2.0000014007726264E-3</v>
      </c>
      <c r="M1958" s="1307">
        <v>2.0000014007726264E-3</v>
      </c>
      <c r="N1958" s="1303">
        <v>2.6169573946537312E-2</v>
      </c>
      <c r="O1958" s="1288">
        <v>6.7613075461908654E-3</v>
      </c>
      <c r="P1958" s="1295">
        <v>3.3806537730954327E-3</v>
      </c>
      <c r="Q1958" s="1290">
        <v>8.7611433188762522E-2</v>
      </c>
    </row>
    <row r="1959" spans="1:17" s="212" customFormat="1" ht="15.5" x14ac:dyDescent="0.35">
      <c r="A1959" s="198">
        <v>2046</v>
      </c>
      <c r="B1959" s="197" t="s">
        <v>5838</v>
      </c>
      <c r="C1959" s="197">
        <v>2009</v>
      </c>
      <c r="D1959" s="225" t="str">
        <f t="shared" si="20"/>
        <v>2046_2009</v>
      </c>
      <c r="E1959" s="1287">
        <v>0.30850064262442439</v>
      </c>
      <c r="F1959" s="1306">
        <v>7.9726746913062491E-3</v>
      </c>
      <c r="G1959" s="1303">
        <v>2.2253539612360194</v>
      </c>
      <c r="H1959" s="1306">
        <v>3.8783213751081257E-2</v>
      </c>
      <c r="I1959" s="1303">
        <v>8.0398627840220019E-2</v>
      </c>
      <c r="J1959" s="1306">
        <v>2.3942419176131916E-4</v>
      </c>
      <c r="K1959" s="1303">
        <v>2.8968328227923037E-3</v>
      </c>
      <c r="L1959" s="1288">
        <v>2.0000014539912538E-3</v>
      </c>
      <c r="M1959" s="1307">
        <v>2.0000014539912538E-3</v>
      </c>
      <c r="N1959" s="1303">
        <v>2.4873606764780808E-2</v>
      </c>
      <c r="O1959" s="1288">
        <v>5.3742185293122842E-3</v>
      </c>
      <c r="P1959" s="1295">
        <v>2.6871092646561421E-3</v>
      </c>
      <c r="Q1959" s="1290">
        <v>8.4033897027527532E-2</v>
      </c>
    </row>
    <row r="1960" spans="1:17" s="212" customFormat="1" ht="15.5" x14ac:dyDescent="0.35">
      <c r="A1960" s="198">
        <v>2046</v>
      </c>
      <c r="B1960" s="197" t="s">
        <v>5838</v>
      </c>
      <c r="C1960" s="197">
        <v>2010</v>
      </c>
      <c r="D1960" s="225" t="str">
        <f t="shared" si="20"/>
        <v>2046_2010</v>
      </c>
      <c r="E1960" s="1287">
        <v>6.5296762963211782E-2</v>
      </c>
      <c r="F1960" s="1306">
        <v>7.3507599601138462E-3</v>
      </c>
      <c r="G1960" s="1303">
        <v>0.56397429953325584</v>
      </c>
      <c r="H1960" s="1306">
        <v>3.6868934512877344E-2</v>
      </c>
      <c r="I1960" s="1303">
        <v>1.8134011133165998E-2</v>
      </c>
      <c r="J1960" s="1306">
        <v>2.9595029635253492E-4</v>
      </c>
      <c r="K1960" s="1303">
        <v>2.7780944699640564E-3</v>
      </c>
      <c r="L1960" s="1288">
        <v>2.0000015324462008E-3</v>
      </c>
      <c r="M1960" s="1307">
        <v>2.0000015324462008E-3</v>
      </c>
      <c r="N1960" s="1303">
        <v>2.2081899365872557E-2</v>
      </c>
      <c r="O1960" s="1288">
        <v>4.552476852188226E-3</v>
      </c>
      <c r="P1960" s="1295">
        <v>2.276238426094113E-3</v>
      </c>
      <c r="Q1960" s="1290">
        <v>1.8953950648125113E-2</v>
      </c>
    </row>
    <row r="1961" spans="1:17" s="212" customFormat="1" ht="15.5" x14ac:dyDescent="0.35">
      <c r="A1961" s="198">
        <v>2046</v>
      </c>
      <c r="B1961" s="197" t="s">
        <v>5838</v>
      </c>
      <c r="C1961" s="197">
        <v>2011</v>
      </c>
      <c r="D1961" s="225" t="str">
        <f t="shared" si="20"/>
        <v>2046_2011</v>
      </c>
      <c r="E1961" s="1287">
        <v>7.2244343083930948E-2</v>
      </c>
      <c r="F1961" s="1306">
        <v>7.3269135705189012E-3</v>
      </c>
      <c r="G1961" s="1303">
        <v>0.6445573551582614</v>
      </c>
      <c r="H1961" s="1306">
        <v>3.667538707826045E-2</v>
      </c>
      <c r="I1961" s="1303">
        <v>1.9922020555028737E-2</v>
      </c>
      <c r="J1961" s="1306">
        <v>3.9291141721468095E-4</v>
      </c>
      <c r="K1961" s="1303">
        <v>2.8995549850379539E-3</v>
      </c>
      <c r="L1961" s="1288">
        <v>2.0000014839049347E-3</v>
      </c>
      <c r="M1961" s="1307">
        <v>2.0000014839049347E-3</v>
      </c>
      <c r="N1961" s="1303">
        <v>2.4944805156962117E-2</v>
      </c>
      <c r="O1961" s="1288">
        <v>5.5966216400189723E-3</v>
      </c>
      <c r="P1961" s="1295">
        <v>2.7983108200094861E-3</v>
      </c>
      <c r="Q1961" s="1290">
        <v>2.0822805921870212E-2</v>
      </c>
    </row>
    <row r="1962" spans="1:17" s="212" customFormat="1" ht="15.5" x14ac:dyDescent="0.35">
      <c r="A1962" s="198">
        <v>2046</v>
      </c>
      <c r="B1962" s="197" t="s">
        <v>5838</v>
      </c>
      <c r="C1962" s="197">
        <v>2012</v>
      </c>
      <c r="D1962" s="225" t="str">
        <f t="shared" si="20"/>
        <v>2046_2012</v>
      </c>
      <c r="E1962" s="1287">
        <v>5.6336122125078887E-2</v>
      </c>
      <c r="F1962" s="1306">
        <v>6.9747381153960342E-3</v>
      </c>
      <c r="G1962" s="1303">
        <v>0.47025610191533029</v>
      </c>
      <c r="H1962" s="1306">
        <v>3.5550392186818457E-2</v>
      </c>
      <c r="I1962" s="1303">
        <v>1.5916292732961412E-2</v>
      </c>
      <c r="J1962" s="1306">
        <v>5.6858818250217751E-4</v>
      </c>
      <c r="K1962" s="1303">
        <v>2.64472872598527E-3</v>
      </c>
      <c r="L1962" s="1288">
        <v>2.0000015159730962E-3</v>
      </c>
      <c r="M1962" s="1307">
        <v>2.0000015159730962E-3</v>
      </c>
      <c r="N1962" s="1303">
        <v>1.8933438182012909E-2</v>
      </c>
      <c r="O1962" s="1288">
        <v>6.1389308567089814E-3</v>
      </c>
      <c r="P1962" s="1295">
        <v>3.0694654283544907E-3</v>
      </c>
      <c r="Q1962" s="1290">
        <v>1.6635956862842992E-2</v>
      </c>
    </row>
    <row r="1963" spans="1:17" s="212" customFormat="1" ht="15.5" x14ac:dyDescent="0.35">
      <c r="A1963" s="198">
        <v>2046</v>
      </c>
      <c r="B1963" s="197" t="s">
        <v>5838</v>
      </c>
      <c r="C1963" s="197">
        <v>2013</v>
      </c>
      <c r="D1963" s="225" t="str">
        <f t="shared" si="20"/>
        <v>2046_2013</v>
      </c>
      <c r="E1963" s="1287">
        <v>7.1620328743184053E-2</v>
      </c>
      <c r="F1963" s="1306">
        <v>7.4875527459671394E-3</v>
      </c>
      <c r="G1963" s="1303">
        <v>0.63637835932330644</v>
      </c>
      <c r="H1963" s="1306">
        <v>3.6812982738223865E-2</v>
      </c>
      <c r="I1963" s="1303">
        <v>1.9750156783190625E-2</v>
      </c>
      <c r="J1963" s="1306">
        <v>8.4900783060539646E-4</v>
      </c>
      <c r="K1963" s="1303">
        <v>2.8873733548604105E-3</v>
      </c>
      <c r="L1963" s="1288">
        <v>2.0000015175630102E-3</v>
      </c>
      <c r="M1963" s="1307">
        <v>2.0000015175630102E-3</v>
      </c>
      <c r="N1963" s="1303">
        <v>2.4657256611602632E-2</v>
      </c>
      <c r="O1963" s="1288">
        <v>6.2160057789667359E-3</v>
      </c>
      <c r="P1963" s="1295">
        <v>3.1080028894833679E-3</v>
      </c>
      <c r="Q1963" s="1290">
        <v>2.0643171232903754E-2</v>
      </c>
    </row>
    <row r="1964" spans="1:17" s="212" customFormat="1" ht="15.5" x14ac:dyDescent="0.35">
      <c r="A1964" s="198">
        <v>2046</v>
      </c>
      <c r="B1964" s="197" t="s">
        <v>5838</v>
      </c>
      <c r="C1964" s="197">
        <v>2014</v>
      </c>
      <c r="D1964" s="225" t="str">
        <f t="shared" si="20"/>
        <v>2046_2014</v>
      </c>
      <c r="E1964" s="1287">
        <v>6.4748610843700233E-2</v>
      </c>
      <c r="F1964" s="1306">
        <v>7.6330607800581193E-3</v>
      </c>
      <c r="G1964" s="1303">
        <v>0.56238407669166879</v>
      </c>
      <c r="H1964" s="1306">
        <v>3.7250211922841538E-2</v>
      </c>
      <c r="I1964" s="1303">
        <v>1.8035076771450893E-2</v>
      </c>
      <c r="J1964" s="1306">
        <v>1.2014340824402666E-3</v>
      </c>
      <c r="K1964" s="1303">
        <v>2.7797213327742953E-3</v>
      </c>
      <c r="L1964" s="1288">
        <v>2.000001532282485E-3</v>
      </c>
      <c r="M1964" s="1307">
        <v>2.000001532282485E-3</v>
      </c>
      <c r="N1964" s="1303">
        <v>2.2115816892294186E-2</v>
      </c>
      <c r="O1964" s="1288">
        <v>5.2892200988348256E-3</v>
      </c>
      <c r="P1964" s="1295">
        <v>2.6446100494174128E-3</v>
      </c>
      <c r="Q1964" s="1290">
        <v>1.8850542913588016E-2</v>
      </c>
    </row>
    <row r="1965" spans="1:17" s="212" customFormat="1" ht="15.5" x14ac:dyDescent="0.35">
      <c r="A1965" s="198">
        <v>2046</v>
      </c>
      <c r="B1965" s="197" t="s">
        <v>5838</v>
      </c>
      <c r="C1965" s="197">
        <v>2015</v>
      </c>
      <c r="D1965" s="225" t="str">
        <f t="shared" si="20"/>
        <v>2046_2015</v>
      </c>
      <c r="E1965" s="1287">
        <v>6.131364190302821E-2</v>
      </c>
      <c r="F1965" s="1306">
        <v>7.4606754413874309E-3</v>
      </c>
      <c r="G1965" s="1303">
        <v>0.52885900145962017</v>
      </c>
      <c r="H1965" s="1306">
        <v>3.6382838645485215E-2</v>
      </c>
      <c r="I1965" s="1303">
        <v>1.7218326987981682E-2</v>
      </c>
      <c r="J1965" s="1306">
        <v>1.4821801358877683E-3</v>
      </c>
      <c r="K1965" s="1303">
        <v>2.7329822260830829E-3</v>
      </c>
      <c r="L1965" s="1288">
        <v>2.0000014891389814E-3</v>
      </c>
      <c r="M1965" s="1307">
        <v>2.0000014891389814E-3</v>
      </c>
      <c r="N1965" s="1303">
        <v>2.1003505204589084E-2</v>
      </c>
      <c r="O1965" s="1288">
        <v>6.3039434966790427E-3</v>
      </c>
      <c r="P1965" s="1295">
        <v>3.1519717483395214E-3</v>
      </c>
      <c r="Q1965" s="1290">
        <v>1.7996863329183845E-2</v>
      </c>
    </row>
    <row r="1966" spans="1:17" s="212" customFormat="1" ht="15.5" x14ac:dyDescent="0.35">
      <c r="A1966" s="198">
        <v>2046</v>
      </c>
      <c r="B1966" s="197" t="s">
        <v>5838</v>
      </c>
      <c r="C1966" s="197">
        <v>2016</v>
      </c>
      <c r="D1966" s="225" t="str">
        <f t="shared" si="20"/>
        <v>2046_2016</v>
      </c>
      <c r="E1966" s="1287">
        <v>6.9601536477391271E-2</v>
      </c>
      <c r="F1966" s="1306">
        <v>7.3216781623287458E-3</v>
      </c>
      <c r="G1966" s="1303">
        <v>0.55216942095450261</v>
      </c>
      <c r="H1966" s="1306">
        <v>3.5597584760738467E-2</v>
      </c>
      <c r="I1966" s="1303">
        <v>1.9337665527950833E-2</v>
      </c>
      <c r="J1966" s="1306">
        <v>1.6786173081656203E-3</v>
      </c>
      <c r="K1966" s="1303">
        <v>2.8778204486162445E-3</v>
      </c>
      <c r="L1966" s="1288">
        <v>2.0000014334445515E-3</v>
      </c>
      <c r="M1966" s="1307">
        <v>2.0000014334445515E-3</v>
      </c>
      <c r="N1966" s="1303">
        <v>2.4420090352350182E-2</v>
      </c>
      <c r="O1966" s="1288">
        <v>7.3756478260225905E-3</v>
      </c>
      <c r="P1966" s="1295">
        <v>3.6878239130112953E-3</v>
      </c>
      <c r="Q1966" s="1290">
        <v>2.0212028953504897E-2</v>
      </c>
    </row>
    <row r="1967" spans="1:17" s="212" customFormat="1" ht="15.5" x14ac:dyDescent="0.35">
      <c r="A1967" s="198">
        <v>2046</v>
      </c>
      <c r="B1967" s="197" t="s">
        <v>5838</v>
      </c>
      <c r="C1967" s="197">
        <v>2017</v>
      </c>
      <c r="D1967" s="225" t="str">
        <f t="shared" si="20"/>
        <v>2046_2017</v>
      </c>
      <c r="E1967" s="1287">
        <v>7.1080923291492973E-2</v>
      </c>
      <c r="F1967" s="1306">
        <v>7.0583732713938889E-3</v>
      </c>
      <c r="G1967" s="1303">
        <v>0.4921764538833433</v>
      </c>
      <c r="H1967" s="1306">
        <v>3.4899716596144041E-2</v>
      </c>
      <c r="I1967" s="1303">
        <v>1.9711205202025631E-2</v>
      </c>
      <c r="J1967" s="1306">
        <v>1.8023513157561372E-3</v>
      </c>
      <c r="K1967" s="1303">
        <v>2.9007200221532431E-3</v>
      </c>
      <c r="L1967" s="1288">
        <v>2.0000014123003848E-3</v>
      </c>
      <c r="M1967" s="1307">
        <v>2.0000014123003848E-3</v>
      </c>
      <c r="N1967" s="1303">
        <v>2.4963567818500926E-2</v>
      </c>
      <c r="O1967" s="1288">
        <v>7.3885074913231956E-3</v>
      </c>
      <c r="P1967" s="1295">
        <v>3.6942537456615978E-3</v>
      </c>
      <c r="Q1967" s="1290">
        <v>2.0602458434083579E-2</v>
      </c>
    </row>
    <row r="1968" spans="1:17" s="212" customFormat="1" ht="15.5" x14ac:dyDescent="0.35">
      <c r="A1968" s="198">
        <v>2046</v>
      </c>
      <c r="B1968" s="197" t="s">
        <v>5838</v>
      </c>
      <c r="C1968" s="197">
        <v>2018</v>
      </c>
      <c r="D1968" s="225" t="str">
        <f t="shared" si="20"/>
        <v>2046_2018</v>
      </c>
      <c r="E1968" s="1287">
        <v>6.7620101867989335E-2</v>
      </c>
      <c r="F1968" s="1306">
        <v>6.9613895965467167E-3</v>
      </c>
      <c r="G1968" s="1303">
        <v>0.38344801060860562</v>
      </c>
      <c r="H1968" s="1306">
        <v>3.4601452283498785E-2</v>
      </c>
      <c r="I1968" s="1303">
        <v>1.8826546723159164E-2</v>
      </c>
      <c r="J1968" s="1306">
        <v>1.9073879559394422E-3</v>
      </c>
      <c r="K1968" s="1303">
        <v>2.8402165221402733E-3</v>
      </c>
      <c r="L1968" s="1288">
        <v>2.0000014087605674E-3</v>
      </c>
      <c r="M1968" s="1307">
        <v>2.0000014087605674E-3</v>
      </c>
      <c r="N1968" s="1303">
        <v>2.3536034524067943E-2</v>
      </c>
      <c r="O1968" s="1288">
        <v>6.6990757240077085E-3</v>
      </c>
      <c r="P1968" s="1295">
        <v>3.3495378620038542E-3</v>
      </c>
      <c r="Q1968" s="1290">
        <v>1.9677799624416598E-2</v>
      </c>
    </row>
    <row r="1969" spans="1:17" s="212" customFormat="1" ht="15.5" x14ac:dyDescent="0.35">
      <c r="A1969" s="198">
        <v>2046</v>
      </c>
      <c r="B1969" s="197" t="s">
        <v>5838</v>
      </c>
      <c r="C1969" s="197">
        <v>2019</v>
      </c>
      <c r="D1969" s="225" t="str">
        <f t="shared" si="20"/>
        <v>2046_2019</v>
      </c>
      <c r="E1969" s="1287">
        <v>7.3891256081765985E-2</v>
      </c>
      <c r="F1969" s="1306">
        <v>6.8540941715356319E-3</v>
      </c>
      <c r="G1969" s="1303">
        <v>0.37202582416526792</v>
      </c>
      <c r="H1969" s="1306">
        <v>3.3992757711121174E-2</v>
      </c>
      <c r="I1969" s="1303">
        <v>2.0439495167429402E-2</v>
      </c>
      <c r="J1969" s="1306">
        <v>1.8129757865304123E-3</v>
      </c>
      <c r="K1969" s="1303">
        <v>2.9518285065763604E-3</v>
      </c>
      <c r="L1969" s="1288">
        <v>2.0000013548246683E-3</v>
      </c>
      <c r="M1969" s="1307">
        <v>2.0000013548246683E-3</v>
      </c>
      <c r="N1969" s="1303">
        <v>2.6166724398958428E-2</v>
      </c>
      <c r="O1969" s="1288">
        <v>6.7865325946463205E-3</v>
      </c>
      <c r="P1969" s="1295">
        <v>3.3932662973231603E-3</v>
      </c>
      <c r="Q1969" s="1290">
        <v>2.136367843998406E-2</v>
      </c>
    </row>
    <row r="1970" spans="1:17" s="212" customFormat="1" ht="15.5" x14ac:dyDescent="0.35">
      <c r="A1970" s="198">
        <v>2046</v>
      </c>
      <c r="B1970" s="197" t="s">
        <v>5838</v>
      </c>
      <c r="C1970" s="197">
        <v>2020</v>
      </c>
      <c r="D1970" s="225" t="str">
        <f t="shared" si="20"/>
        <v>2046_2020</v>
      </c>
      <c r="E1970" s="1287">
        <v>6.4636035641965031E-2</v>
      </c>
      <c r="F1970" s="1306">
        <v>6.7358374751772384E-3</v>
      </c>
      <c r="G1970" s="1303">
        <v>0.29103330795731164</v>
      </c>
      <c r="H1970" s="1306">
        <v>3.3099810820418921E-2</v>
      </c>
      <c r="I1970" s="1303">
        <v>1.8569741756614654E-2</v>
      </c>
      <c r="J1970" s="1306">
        <v>1.3491104361078494E-3</v>
      </c>
      <c r="K1970" s="1303">
        <v>2.9319565074470092E-3</v>
      </c>
      <c r="L1970" s="1288">
        <v>2.0000014271638377E-3</v>
      </c>
      <c r="M1970" s="1307">
        <v>2.0000014271638377E-3</v>
      </c>
      <c r="N1970" s="1303">
        <v>2.5705071058066114E-2</v>
      </c>
      <c r="O1970" s="1288">
        <v>6.9563552287172309E-3</v>
      </c>
      <c r="P1970" s="1295">
        <v>3.4781776143586155E-3</v>
      </c>
      <c r="Q1970" s="1290">
        <v>1.9409383076840155E-2</v>
      </c>
    </row>
    <row r="1971" spans="1:17" s="212" customFormat="1" ht="15.5" x14ac:dyDescent="0.35">
      <c r="A1971" s="198">
        <v>2046</v>
      </c>
      <c r="B1971" s="197" t="s">
        <v>5838</v>
      </c>
      <c r="C1971" s="197">
        <v>2021</v>
      </c>
      <c r="D1971" s="225" t="str">
        <f t="shared" si="20"/>
        <v>2046_2021</v>
      </c>
      <c r="E1971" s="1287">
        <v>6.3828642183730369E-2</v>
      </c>
      <c r="F1971" s="1306">
        <v>6.5709016027717098E-3</v>
      </c>
      <c r="G1971" s="1303">
        <v>0.237328136763754</v>
      </c>
      <c r="H1971" s="1306">
        <v>3.2395986571641021E-2</v>
      </c>
      <c r="I1971" s="1303">
        <v>1.8182905422156056E-2</v>
      </c>
      <c r="J1971" s="1306">
        <v>8.9211361053799358E-4</v>
      </c>
      <c r="K1971" s="1303">
        <v>2.9291578487616161E-3</v>
      </c>
      <c r="L1971" s="1288">
        <v>2.0000014381343335E-3</v>
      </c>
      <c r="M1971" s="1307">
        <v>2.0000014381343335E-3</v>
      </c>
      <c r="N1971" s="1303">
        <v>2.5639275207571841E-2</v>
      </c>
      <c r="O1971" s="1288">
        <v>6.8954386513334891E-3</v>
      </c>
      <c r="P1971" s="1295">
        <v>3.4477193256667446E-3</v>
      </c>
      <c r="Q1971" s="1290">
        <v>1.9005055719898124E-2</v>
      </c>
    </row>
    <row r="1972" spans="1:17" s="212" customFormat="1" ht="15.5" x14ac:dyDescent="0.35">
      <c r="A1972" s="198">
        <v>2046</v>
      </c>
      <c r="B1972" s="197" t="s">
        <v>5838</v>
      </c>
      <c r="C1972" s="197">
        <v>2022</v>
      </c>
      <c r="D1972" s="225" t="str">
        <f t="shared" si="20"/>
        <v>2046_2022</v>
      </c>
      <c r="E1972" s="1287">
        <v>6.3688947231567136E-2</v>
      </c>
      <c r="F1972" s="1306">
        <v>6.4491705147122508E-3</v>
      </c>
      <c r="G1972" s="1303">
        <v>0.18373270018258947</v>
      </c>
      <c r="H1972" s="1306">
        <v>3.1682141694880553E-2</v>
      </c>
      <c r="I1972" s="1303">
        <v>1.8137898720902785E-2</v>
      </c>
      <c r="J1972" s="1306">
        <v>8.9141793345580574E-4</v>
      </c>
      <c r="K1972" s="1303">
        <v>2.9264305819680743E-3</v>
      </c>
      <c r="L1972" s="1288">
        <v>2.0000014461397726E-3</v>
      </c>
      <c r="M1972" s="1307">
        <v>2.0000014461397726E-3</v>
      </c>
      <c r="N1972" s="1303">
        <v>2.5574943528952027E-2</v>
      </c>
      <c r="O1972" s="1288">
        <v>6.8702147014360398E-3</v>
      </c>
      <c r="P1972" s="1295">
        <v>3.4351073507180199E-3</v>
      </c>
      <c r="Q1972" s="1290">
        <v>1.8958014015328442E-2</v>
      </c>
    </row>
    <row r="1973" spans="1:17" s="212" customFormat="1" ht="15.5" x14ac:dyDescent="0.35">
      <c r="A1973" s="198">
        <v>2046</v>
      </c>
      <c r="B1973" s="197" t="s">
        <v>5838</v>
      </c>
      <c r="C1973" s="197">
        <v>2023</v>
      </c>
      <c r="D1973" s="225" t="str">
        <f t="shared" si="20"/>
        <v>2046_2023</v>
      </c>
      <c r="E1973" s="1287">
        <v>6.3457264852123954E-2</v>
      </c>
      <c r="F1973" s="1306">
        <v>6.1983019399497333E-3</v>
      </c>
      <c r="G1973" s="1303">
        <v>0.18288979794954743</v>
      </c>
      <c r="H1973" s="1306">
        <v>3.0998565446778096E-2</v>
      </c>
      <c r="I1973" s="1303">
        <v>1.8041771197646439E-2</v>
      </c>
      <c r="J1973" s="1306">
        <v>8.9064231210575072E-4</v>
      </c>
      <c r="K1973" s="1303">
        <v>2.9230600386558987E-3</v>
      </c>
      <c r="L1973" s="1288">
        <v>2.0000014605315989E-3</v>
      </c>
      <c r="M1973" s="1307">
        <v>2.0000014605315989E-3</v>
      </c>
      <c r="N1973" s="1303">
        <v>2.5495233150388819E-2</v>
      </c>
      <c r="O1973" s="1288">
        <v>6.8287053824445032E-3</v>
      </c>
      <c r="P1973" s="1295">
        <v>3.4143526912222516E-3</v>
      </c>
      <c r="Q1973" s="1290">
        <v>1.8857540032030086E-2</v>
      </c>
    </row>
    <row r="1974" spans="1:17" s="212" customFormat="1" ht="15.5" x14ac:dyDescent="0.35">
      <c r="A1974" s="198">
        <v>2046</v>
      </c>
      <c r="B1974" s="197" t="s">
        <v>5838</v>
      </c>
      <c r="C1974" s="197">
        <v>2024</v>
      </c>
      <c r="D1974" s="225" t="str">
        <f t="shared" si="20"/>
        <v>2046_2024</v>
      </c>
      <c r="E1974" s="1287">
        <v>6.289776349418498E-2</v>
      </c>
      <c r="F1974" s="1306">
        <v>5.665705129255935E-3</v>
      </c>
      <c r="G1974" s="1303">
        <v>0.18093377658589849</v>
      </c>
      <c r="H1974" s="1306">
        <v>2.99350656688862E-2</v>
      </c>
      <c r="I1974" s="1303">
        <v>1.7818527191334636E-2</v>
      </c>
      <c r="J1974" s="1306">
        <v>8.8868548504994471E-4</v>
      </c>
      <c r="K1974" s="1303">
        <v>2.9153538657910932E-3</v>
      </c>
      <c r="L1974" s="1288">
        <v>2.0000014819116611E-3</v>
      </c>
      <c r="M1974" s="1306">
        <v>2.0000005733802357E-3</v>
      </c>
      <c r="N1974" s="1303">
        <v>2.531348162321493E-2</v>
      </c>
      <c r="O1974" s="1288">
        <v>6.6593519710087474E-3</v>
      </c>
      <c r="P1974" s="1294">
        <v>3.9901106855036216E-3</v>
      </c>
      <c r="Q1974" s="1290">
        <v>1.8624201922383343E-2</v>
      </c>
    </row>
    <row r="1975" spans="1:17" s="212" customFormat="1" ht="15.5" x14ac:dyDescent="0.35">
      <c r="A1975" s="198">
        <v>2046</v>
      </c>
      <c r="B1975" s="197" t="s">
        <v>5838</v>
      </c>
      <c r="C1975" s="197">
        <v>2025</v>
      </c>
      <c r="D1975" s="225" t="str">
        <f t="shared" si="20"/>
        <v>2046_2025</v>
      </c>
      <c r="E1975" s="1287">
        <v>6.2398905937611417E-2</v>
      </c>
      <c r="F1975" s="1306">
        <v>5.1998987803366127E-3</v>
      </c>
      <c r="G1975" s="1303">
        <v>0.17904965556700972</v>
      </c>
      <c r="H1975" s="1306">
        <v>2.9014834130535475E-2</v>
      </c>
      <c r="I1975" s="1303">
        <v>1.7586595353452285E-2</v>
      </c>
      <c r="J1975" s="1306">
        <v>8.8742099918077532E-4</v>
      </c>
      <c r="K1975" s="1303">
        <v>2.9096865519184609E-3</v>
      </c>
      <c r="L1975" s="1288">
        <v>2.0000014978215604E-3</v>
      </c>
      <c r="M1975" s="1306">
        <v>2.0000005734145889E-3</v>
      </c>
      <c r="N1975" s="1303">
        <v>2.5179094702143315E-2</v>
      </c>
      <c r="O1975" s="1288">
        <v>6.5571257986628993E-3</v>
      </c>
      <c r="P1975" s="1294">
        <v>4.4515638571619651E-3</v>
      </c>
      <c r="Q1975" s="1290">
        <v>1.8381783155974312E-2</v>
      </c>
    </row>
    <row r="1976" spans="1:17" s="212" customFormat="1" ht="15.5" x14ac:dyDescent="0.35">
      <c r="A1976" s="198">
        <v>2046</v>
      </c>
      <c r="B1976" s="197" t="s">
        <v>5838</v>
      </c>
      <c r="C1976" s="197">
        <v>2026</v>
      </c>
      <c r="D1976" s="225" t="str">
        <f t="shared" si="20"/>
        <v>2046_2026</v>
      </c>
      <c r="E1976" s="1287">
        <v>6.1801637320240618E-2</v>
      </c>
      <c r="F1976" s="1306">
        <v>5.2308364885020062E-3</v>
      </c>
      <c r="G1976" s="1303">
        <v>0.17675492755606922</v>
      </c>
      <c r="H1976" s="1306">
        <v>2.8920472234646267E-2</v>
      </c>
      <c r="I1976" s="1303">
        <v>1.7298320374968923E-2</v>
      </c>
      <c r="J1976" s="1306">
        <v>7.741854129935669E-4</v>
      </c>
      <c r="K1976" s="1303">
        <v>2.9034003513998523E-3</v>
      </c>
      <c r="L1976" s="1288">
        <v>2.0000015148984576E-3</v>
      </c>
      <c r="M1976" s="1306">
        <v>2.0000005734822288E-3</v>
      </c>
      <c r="N1976" s="1303">
        <v>2.50296500096454E-2</v>
      </c>
      <c r="O1976" s="1288">
        <v>6.4204169236890462E-3</v>
      </c>
      <c r="P1976" s="1294">
        <v>5.3611972032878994E-3</v>
      </c>
      <c r="Q1976" s="1290">
        <v>1.8080473662165208E-2</v>
      </c>
    </row>
    <row r="1977" spans="1:17" s="212" customFormat="1" ht="15.5" x14ac:dyDescent="0.35">
      <c r="A1977" s="198">
        <v>2046</v>
      </c>
      <c r="B1977" s="197" t="s">
        <v>5838</v>
      </c>
      <c r="C1977" s="197">
        <v>2027</v>
      </c>
      <c r="D1977" s="225" t="str">
        <f t="shared" si="20"/>
        <v>2046_2027</v>
      </c>
      <c r="E1977" s="1287">
        <v>6.0980840718313029E-2</v>
      </c>
      <c r="F1977" s="1306">
        <v>5.2954607324256315E-3</v>
      </c>
      <c r="G1977" s="1303">
        <v>0.17367604299611819</v>
      </c>
      <c r="H1977" s="1306">
        <v>2.884007721225355E-2</v>
      </c>
      <c r="I1977" s="1303">
        <v>1.6917473731199301E-2</v>
      </c>
      <c r="J1977" s="1306">
        <v>6.4005195397544344E-4</v>
      </c>
      <c r="K1977" s="1303">
        <v>2.8943816627300181E-3</v>
      </c>
      <c r="L1977" s="1288">
        <v>2.000001533114935E-3</v>
      </c>
      <c r="M1977" s="1306">
        <v>2.0000005735473819E-3</v>
      </c>
      <c r="N1977" s="1303">
        <v>2.4815332281417347E-2</v>
      </c>
      <c r="O1977" s="1288">
        <v>6.2348407522846271E-3</v>
      </c>
      <c r="P1977" s="1294">
        <v>6.2326444793655306E-3</v>
      </c>
      <c r="Q1977" s="1290">
        <v>1.7682406823146306E-2</v>
      </c>
    </row>
    <row r="1978" spans="1:17" s="212" customFormat="1" ht="15.5" x14ac:dyDescent="0.35">
      <c r="A1978" s="198">
        <v>2046</v>
      </c>
      <c r="B1978" s="197" t="s">
        <v>5838</v>
      </c>
      <c r="C1978" s="197">
        <v>2028</v>
      </c>
      <c r="D1978" s="225" t="str">
        <f t="shared" si="20"/>
        <v>2046_2028</v>
      </c>
      <c r="E1978" s="1287">
        <v>6.0072818590251514E-2</v>
      </c>
      <c r="F1978" s="1306">
        <v>5.2894474443814371E-3</v>
      </c>
      <c r="G1978" s="1303">
        <v>0.17023153970287352</v>
      </c>
      <c r="H1978" s="1306">
        <v>2.8637482226242929E-2</v>
      </c>
      <c r="I1978" s="1303">
        <v>1.6486155962778224E-2</v>
      </c>
      <c r="J1978" s="1306">
        <v>5.2323475567860652E-4</v>
      </c>
      <c r="K1978" s="1303">
        <v>2.8848532010184351E-3</v>
      </c>
      <c r="L1978" s="1288">
        <v>2.0000015538525619E-3</v>
      </c>
      <c r="M1978" s="1306">
        <v>2.0000005735937303E-3</v>
      </c>
      <c r="N1978" s="1303">
        <v>2.4588285204517467E-2</v>
      </c>
      <c r="O1978" s="1288">
        <v>6.0576088425412398E-3</v>
      </c>
      <c r="P1978" s="1294">
        <v>6.8487373122091107E-3</v>
      </c>
      <c r="Q1978" s="1290">
        <v>1.7231586779181428E-2</v>
      </c>
    </row>
    <row r="1979" spans="1:17" s="212" customFormat="1" ht="15.5" x14ac:dyDescent="0.35">
      <c r="A1979" s="198">
        <v>2046</v>
      </c>
      <c r="B1979" s="197" t="s">
        <v>5838</v>
      </c>
      <c r="C1979" s="197">
        <v>2029</v>
      </c>
      <c r="D1979" s="225" t="str">
        <f t="shared" si="20"/>
        <v>2046_2029</v>
      </c>
      <c r="E1979" s="1287">
        <v>5.8905715771826989E-2</v>
      </c>
      <c r="F1979" s="1306">
        <v>5.276754397566339E-3</v>
      </c>
      <c r="G1979" s="1303">
        <v>0.16591862639356941</v>
      </c>
      <c r="H1979" s="1306">
        <v>2.839448345927565E-2</v>
      </c>
      <c r="I1979" s="1303">
        <v>1.5956215868022906E-2</v>
      </c>
      <c r="J1979" s="1306">
        <v>5.1835986056984274E-4</v>
      </c>
      <c r="K1979" s="1303">
        <v>2.8719169556501263E-3</v>
      </c>
      <c r="L1979" s="1288">
        <v>2.0000015773550595E-3</v>
      </c>
      <c r="M1979" s="1306">
        <v>2.0000005736247818E-3</v>
      </c>
      <c r="N1979" s="1303">
        <v>2.4280007344660598E-2</v>
      </c>
      <c r="O1979" s="1288">
        <v>5.8534572735567695E-3</v>
      </c>
      <c r="P1979" s="1294">
        <v>7.2587339013945639E-3</v>
      </c>
      <c r="Q1979" s="1290">
        <v>1.6677685144915633E-2</v>
      </c>
    </row>
    <row r="1980" spans="1:17" s="212" customFormat="1" ht="15.5" x14ac:dyDescent="0.35">
      <c r="A1980" s="198">
        <v>2046</v>
      </c>
      <c r="B1980" s="197" t="s">
        <v>5838</v>
      </c>
      <c r="C1980" s="197">
        <v>2030</v>
      </c>
      <c r="D1980" s="225" t="str">
        <f t="shared" si="20"/>
        <v>2046_2030</v>
      </c>
      <c r="E1980" s="1287">
        <v>5.7675501045023142E-2</v>
      </c>
      <c r="F1980" s="1306">
        <v>5.2665558015867753E-3</v>
      </c>
      <c r="G1980" s="1303">
        <v>0.16133312644835843</v>
      </c>
      <c r="H1980" s="1306">
        <v>2.8099239567958682E-2</v>
      </c>
      <c r="I1980" s="1303">
        <v>1.5387093262351473E-2</v>
      </c>
      <c r="J1980" s="1306">
        <v>5.1385801842352688E-4</v>
      </c>
      <c r="K1980" s="1303">
        <v>2.8587878159055187E-3</v>
      </c>
      <c r="L1980" s="1288">
        <v>2.0000015968712789E-3</v>
      </c>
      <c r="M1980" s="1306">
        <v>2.0000005736470301E-3</v>
      </c>
      <c r="N1980" s="1303">
        <v>2.3965869578545362E-2</v>
      </c>
      <c r="O1980" s="1288">
        <v>5.6605426685321361E-3</v>
      </c>
      <c r="P1980" s="1294">
        <v>7.5489583787888672E-3</v>
      </c>
      <c r="Q1980" s="1290">
        <v>1.6082829340459952E-2</v>
      </c>
    </row>
    <row r="1981" spans="1:17" s="212" customFormat="1" ht="15.5" x14ac:dyDescent="0.35">
      <c r="A1981" s="198">
        <v>2046</v>
      </c>
      <c r="B1981" s="197" t="s">
        <v>5838</v>
      </c>
      <c r="C1981" s="197">
        <v>2031</v>
      </c>
      <c r="D1981" s="225" t="str">
        <f t="shared" si="20"/>
        <v>2046_2031</v>
      </c>
      <c r="E1981" s="1287">
        <v>5.6323231853918528E-2</v>
      </c>
      <c r="F1981" s="1306">
        <v>5.1954119787646098E-3</v>
      </c>
      <c r="G1981" s="1303">
        <v>0.15630882340970931</v>
      </c>
      <c r="H1981" s="1306">
        <v>2.769445535998518E-2</v>
      </c>
      <c r="I1981" s="1303">
        <v>1.476378187762219E-2</v>
      </c>
      <c r="J1981" s="1306">
        <v>5.0963118781398341E-4</v>
      </c>
      <c r="K1981" s="1303">
        <v>2.8444171983303974E-3</v>
      </c>
      <c r="L1981" s="1288">
        <v>2.0000016168416441E-3</v>
      </c>
      <c r="M1981" s="1306">
        <v>2.000000573677399E-3</v>
      </c>
      <c r="N1981" s="1303">
        <v>2.3621011761540179E-2</v>
      </c>
      <c r="O1981" s="1288">
        <v>5.4728044673984537E-3</v>
      </c>
      <c r="P1981" s="1294">
        <v>7.9380836402699034E-3</v>
      </c>
      <c r="Q1981" s="1290">
        <v>1.5431334580816468E-2</v>
      </c>
    </row>
    <row r="1982" spans="1:17" s="212" customFormat="1" ht="15.5" x14ac:dyDescent="0.35">
      <c r="A1982" s="198">
        <v>2046</v>
      </c>
      <c r="B1982" s="197" t="s">
        <v>5838</v>
      </c>
      <c r="C1982" s="197">
        <v>2032</v>
      </c>
      <c r="D1982" s="225" t="str">
        <f t="shared" si="20"/>
        <v>2046_2032</v>
      </c>
      <c r="E1982" s="1287">
        <v>5.4900729867798315E-2</v>
      </c>
      <c r="F1982" s="1306">
        <v>5.1149571350118462E-3</v>
      </c>
      <c r="G1982" s="1303">
        <v>0.15100878553143396</v>
      </c>
      <c r="H1982" s="1306">
        <v>2.7237384316873871E-2</v>
      </c>
      <c r="I1982" s="1303">
        <v>1.4103086868191807E-2</v>
      </c>
      <c r="J1982" s="1306">
        <v>5.0539621817330502E-4</v>
      </c>
      <c r="K1982" s="1303">
        <v>2.8296320085884801E-3</v>
      </c>
      <c r="L1982" s="1288">
        <v>2.0000016379343845E-3</v>
      </c>
      <c r="M1982" s="1306">
        <v>2.0000005737031501E-3</v>
      </c>
      <c r="N1982" s="1303">
        <v>2.3264757818811856E-2</v>
      </c>
      <c r="O1982" s="1288">
        <v>5.2797013069636302E-3</v>
      </c>
      <c r="P1982" s="1294">
        <v>8.2726440516988752E-3</v>
      </c>
      <c r="Q1982" s="1290">
        <v>1.4740765874850363E-2</v>
      </c>
    </row>
    <row r="1983" spans="1:17" s="212" customFormat="1" ht="15.5" x14ac:dyDescent="0.35">
      <c r="A1983" s="198">
        <v>2046</v>
      </c>
      <c r="B1983" s="197" t="s">
        <v>5838</v>
      </c>
      <c r="C1983" s="197">
        <v>2033</v>
      </c>
      <c r="D1983" s="225" t="str">
        <f t="shared" si="20"/>
        <v>2046_2033</v>
      </c>
      <c r="E1983" s="1287">
        <v>5.327374300449992E-2</v>
      </c>
      <c r="F1983" s="1306">
        <v>5.023032023659617E-3</v>
      </c>
      <c r="G1983" s="1303">
        <v>0.1450588517517995</v>
      </c>
      <c r="H1983" s="1306">
        <v>2.6718863166956097E-2</v>
      </c>
      <c r="I1983" s="1303">
        <v>1.3371407776821267E-2</v>
      </c>
      <c r="J1983" s="1306">
        <v>5.01430349100021E-4</v>
      </c>
      <c r="K1983" s="1303">
        <v>2.8120679741377298E-3</v>
      </c>
      <c r="L1983" s="1288">
        <v>2.0000016585564732E-3</v>
      </c>
      <c r="M1983" s="1306">
        <v>2.000000573725499E-3</v>
      </c>
      <c r="N1983" s="1303">
        <v>2.2840792172869995E-2</v>
      </c>
      <c r="O1983" s="1288">
        <v>5.0929959530247315E-3</v>
      </c>
      <c r="P1983" s="1294">
        <v>8.5609838134306105E-3</v>
      </c>
      <c r="Q1983" s="1290">
        <v>1.3976003501745923E-2</v>
      </c>
    </row>
    <row r="1984" spans="1:17" s="212" customFormat="1" ht="15.5" x14ac:dyDescent="0.35">
      <c r="A1984" s="198">
        <v>2046</v>
      </c>
      <c r="B1984" s="197" t="s">
        <v>5838</v>
      </c>
      <c r="C1984" s="197">
        <v>2034</v>
      </c>
      <c r="D1984" s="225" t="str">
        <f t="shared" si="20"/>
        <v>2046_2034</v>
      </c>
      <c r="E1984" s="1287">
        <v>5.1557270046535549E-2</v>
      </c>
      <c r="F1984" s="1306">
        <v>4.9202153420584462E-3</v>
      </c>
      <c r="G1984" s="1303">
        <v>0.13880806333237736</v>
      </c>
      <c r="H1984" s="1306">
        <v>2.6142640985978963E-2</v>
      </c>
      <c r="I1984" s="1303">
        <v>1.2603593955508311E-2</v>
      </c>
      <c r="J1984" s="1306">
        <v>4.975528891868542E-4</v>
      </c>
      <c r="K1984" s="1303">
        <v>2.7936013321337174E-3</v>
      </c>
      <c r="L1984" s="1288">
        <v>2.0000016780210399E-3</v>
      </c>
      <c r="M1984" s="1306">
        <v>2.0000005737459202E-3</v>
      </c>
      <c r="N1984" s="1303">
        <v>2.2393135130435348E-2</v>
      </c>
      <c r="O1984" s="1288">
        <v>4.905505536999968E-3</v>
      </c>
      <c r="P1984" s="1294">
        <v>8.8244037349275786E-3</v>
      </c>
      <c r="Q1984" s="1290">
        <v>1.3173472546556476E-2</v>
      </c>
    </row>
    <row r="1985" spans="1:17" s="212" customFormat="1" ht="15.5" x14ac:dyDescent="0.35">
      <c r="A1985" s="198">
        <v>2046</v>
      </c>
      <c r="B1985" s="197" t="s">
        <v>5838</v>
      </c>
      <c r="C1985" s="197">
        <v>2035</v>
      </c>
      <c r="D1985" s="225" t="str">
        <f t="shared" si="20"/>
        <v>2046_2035</v>
      </c>
      <c r="E1985" s="1287">
        <v>4.9595692308191018E-2</v>
      </c>
      <c r="F1985" s="1306">
        <v>4.8063806518599548E-3</v>
      </c>
      <c r="G1985" s="1303">
        <v>0.1318382484413122</v>
      </c>
      <c r="H1985" s="1306">
        <v>2.5506122916900908E-2</v>
      </c>
      <c r="I1985" s="1303">
        <v>1.1763949217353417E-2</v>
      </c>
      <c r="J1985" s="1306">
        <v>4.9374552186326936E-4</v>
      </c>
      <c r="K1985" s="1303">
        <v>2.7714143770983211E-3</v>
      </c>
      <c r="L1985" s="1288">
        <v>2.0000016981026767E-3</v>
      </c>
      <c r="M1985" s="1306">
        <v>2.0000005737634721E-3</v>
      </c>
      <c r="N1985" s="1303">
        <v>2.1854344068017943E-2</v>
      </c>
      <c r="O1985" s="1288">
        <v>4.716073027660043E-3</v>
      </c>
      <c r="P1985" s="1294">
        <v>9.0516940469916821E-3</v>
      </c>
      <c r="Q1985" s="1290">
        <v>1.2295862799210617E-2</v>
      </c>
    </row>
    <row r="1986" spans="1:17" s="212" customFormat="1" ht="15.5" x14ac:dyDescent="0.35">
      <c r="A1986" s="198">
        <v>2046</v>
      </c>
      <c r="B1986" s="197" t="s">
        <v>5838</v>
      </c>
      <c r="C1986" s="197">
        <v>2036</v>
      </c>
      <c r="D1986" s="225" t="str">
        <f t="shared" si="20"/>
        <v>2046_2036</v>
      </c>
      <c r="E1986" s="1287">
        <v>4.8700674970537206E-2</v>
      </c>
      <c r="F1986" s="1306">
        <v>4.6676705918330483E-3</v>
      </c>
      <c r="G1986" s="1303">
        <v>0.12778118614889744</v>
      </c>
      <c r="H1986" s="1306">
        <v>2.4734757996311602E-2</v>
      </c>
      <c r="I1986" s="1303">
        <v>1.1175989740254667E-2</v>
      </c>
      <c r="J1986" s="1306">
        <v>4.9331233702547706E-4</v>
      </c>
      <c r="K1986" s="1303">
        <v>2.7686989156875488E-3</v>
      </c>
      <c r="L1986" s="1288">
        <v>2.0000017115655564E-3</v>
      </c>
      <c r="M1986" s="1306">
        <v>2.0000005737602915E-3</v>
      </c>
      <c r="N1986" s="1303">
        <v>2.1777365683271162E-2</v>
      </c>
      <c r="O1986" s="1288">
        <v>4.6488879082336697E-3</v>
      </c>
      <c r="P1986" s="1294">
        <v>9.0087780062903591E-3</v>
      </c>
      <c r="Q1986" s="1290">
        <v>1.1681318403588997E-2</v>
      </c>
    </row>
    <row r="1987" spans="1:17" s="212" customFormat="1" ht="15.5" x14ac:dyDescent="0.35">
      <c r="A1987" s="198">
        <v>2046</v>
      </c>
      <c r="B1987" s="197" t="s">
        <v>5838</v>
      </c>
      <c r="C1987" s="197">
        <v>2037</v>
      </c>
      <c r="D1987" s="225" t="str">
        <f t="shared" si="20"/>
        <v>2046_2037</v>
      </c>
      <c r="E1987" s="1287">
        <v>4.7679437041625375E-2</v>
      </c>
      <c r="F1987" s="1306">
        <v>4.5189082592466444E-3</v>
      </c>
      <c r="G1987" s="1303">
        <v>0.12328038222866569</v>
      </c>
      <c r="H1987" s="1306">
        <v>2.3903871415800779E-2</v>
      </c>
      <c r="I1987" s="1303">
        <v>1.05341996746752E-2</v>
      </c>
      <c r="J1987" s="1306">
        <v>4.9313287300994447E-4</v>
      </c>
      <c r="K1987" s="1303">
        <v>2.7646238258150387E-3</v>
      </c>
      <c r="L1987" s="1288">
        <v>2.0000017277741746E-3</v>
      </c>
      <c r="M1987" s="1306">
        <v>2.0000005737572618E-3</v>
      </c>
      <c r="N1987" s="1303">
        <v>2.166692715826286E-2</v>
      </c>
      <c r="O1987" s="1288">
        <v>4.5853033224506094E-3</v>
      </c>
      <c r="P1987" s="1294">
        <v>8.9662513351402261E-3</v>
      </c>
      <c r="Q1987" s="1290">
        <v>1.1010509439145305E-2</v>
      </c>
    </row>
    <row r="1988" spans="1:17" s="212" customFormat="1" ht="15.5" x14ac:dyDescent="0.35">
      <c r="A1988" s="198">
        <v>2046</v>
      </c>
      <c r="B1988" s="197" t="s">
        <v>5838</v>
      </c>
      <c r="C1988" s="197">
        <v>2038</v>
      </c>
      <c r="D1988" s="225" t="str">
        <f t="shared" si="20"/>
        <v>2046_2038</v>
      </c>
      <c r="E1988" s="1287">
        <v>4.6739545876034988E-2</v>
      </c>
      <c r="F1988" s="1306">
        <v>4.3577246013385175E-3</v>
      </c>
      <c r="G1988" s="1303">
        <v>0.11890093634504054</v>
      </c>
      <c r="H1988" s="1306">
        <v>2.3008311877516782E-2</v>
      </c>
      <c r="I1988" s="1303">
        <v>9.8872771408935294E-3</v>
      </c>
      <c r="J1988" s="1306">
        <v>4.9310891453379919E-4</v>
      </c>
      <c r="K1988" s="1303">
        <v>2.7629625536543514E-3</v>
      </c>
      <c r="L1988" s="1288">
        <v>2.0000017373132226E-3</v>
      </c>
      <c r="M1988" s="1306">
        <v>2.0000005737571126E-3</v>
      </c>
      <c r="N1988" s="1303">
        <v>2.1612754160874322E-2</v>
      </c>
      <c r="O1988" s="1288">
        <v>4.527087944576633E-3</v>
      </c>
      <c r="P1988" s="1294">
        <v>8.9542251632506124E-3</v>
      </c>
      <c r="Q1988" s="1290">
        <v>1.0334335939062194E-2</v>
      </c>
    </row>
    <row r="1989" spans="1:17" s="212" customFormat="1" ht="15.5" x14ac:dyDescent="0.35">
      <c r="A1989" s="198">
        <v>2046</v>
      </c>
      <c r="B1989" s="197" t="s">
        <v>5838</v>
      </c>
      <c r="C1989" s="197">
        <v>2039</v>
      </c>
      <c r="D1989" s="225" t="str">
        <f t="shared" si="20"/>
        <v>2046_2039</v>
      </c>
      <c r="E1989" s="1287">
        <v>4.567754459225426E-2</v>
      </c>
      <c r="F1989" s="1306">
        <v>4.1871370693533057E-3</v>
      </c>
      <c r="G1989" s="1303">
        <v>0.11409327978850424</v>
      </c>
      <c r="H1989" s="1306">
        <v>2.2057554730714173E-2</v>
      </c>
      <c r="I1989" s="1303">
        <v>9.1883738870526151E-3</v>
      </c>
      <c r="J1989" s="1306">
        <v>4.9301990826616804E-4</v>
      </c>
      <c r="K1989" s="1303">
        <v>2.7599947583993745E-3</v>
      </c>
      <c r="L1989" s="1288">
        <v>2.0000017498626437E-3</v>
      </c>
      <c r="M1989" s="1306">
        <v>2.0000005737553597E-3</v>
      </c>
      <c r="N1989" s="1303">
        <v>2.1526255749621671E-2</v>
      </c>
      <c r="O1989" s="1288">
        <v>4.4616188434355069E-3</v>
      </c>
      <c r="P1989" s="1294">
        <v>8.9273611317657944E-3</v>
      </c>
      <c r="Q1989" s="1290">
        <v>9.6038313814198993E-3</v>
      </c>
    </row>
    <row r="1990" spans="1:17" s="212" customFormat="1" ht="15.5" x14ac:dyDescent="0.35">
      <c r="A1990" s="198">
        <v>2046</v>
      </c>
      <c r="B1990" s="197" t="s">
        <v>5838</v>
      </c>
      <c r="C1990" s="197">
        <v>2040</v>
      </c>
      <c r="D1990" s="225" t="str">
        <f t="shared" si="20"/>
        <v>2046_2040</v>
      </c>
      <c r="E1990" s="1287">
        <v>4.460060823052623E-2</v>
      </c>
      <c r="F1990" s="1306">
        <v>4.0077760306786022E-3</v>
      </c>
      <c r="G1990" s="1303">
        <v>0.10914201507384771</v>
      </c>
      <c r="H1990" s="1306">
        <v>2.1054355428733289E-2</v>
      </c>
      <c r="I1990" s="1303">
        <v>8.4612857211198381E-3</v>
      </c>
      <c r="J1990" s="1306">
        <v>4.9290893605251503E-4</v>
      </c>
      <c r="K1990" s="1303">
        <v>2.7576826801209509E-3</v>
      </c>
      <c r="L1990" s="1288">
        <v>2.0000017652688465E-3</v>
      </c>
      <c r="M1990" s="1306">
        <v>2.0000005737529913E-3</v>
      </c>
      <c r="N1990" s="1303">
        <v>2.1454452921574121E-2</v>
      </c>
      <c r="O1990" s="1288">
        <v>4.3891860941345584E-3</v>
      </c>
      <c r="P1990" s="1294">
        <v>8.898422527725049E-3</v>
      </c>
      <c r="Q1990" s="1290">
        <v>8.8438675150295399E-3</v>
      </c>
    </row>
    <row r="1991" spans="1:17" s="212" customFormat="1" ht="15.5" x14ac:dyDescent="0.35">
      <c r="A1991" s="198">
        <v>2046</v>
      </c>
      <c r="B1991" s="197" t="s">
        <v>5838</v>
      </c>
      <c r="C1991" s="197">
        <v>2041</v>
      </c>
      <c r="D1991" s="225" t="str">
        <f t="shared" si="20"/>
        <v>2046_2041</v>
      </c>
      <c r="E1991" s="1287">
        <v>4.3409919335518687E-2</v>
      </c>
      <c r="F1991" s="1306">
        <v>3.8211228442568564E-3</v>
      </c>
      <c r="G1991" s="1303">
        <v>0.10379957546664366</v>
      </c>
      <c r="H1991" s="1306">
        <v>2.0008003142332583E-2</v>
      </c>
      <c r="I1991" s="1303">
        <v>7.6870590691414864E-3</v>
      </c>
      <c r="J1991" s="1306">
        <v>4.9264868662288674E-4</v>
      </c>
      <c r="K1991" s="1303">
        <v>2.754155190358115E-3</v>
      </c>
      <c r="L1991" s="1288">
        <v>2.0000017849615367E-3</v>
      </c>
      <c r="M1991" s="1306">
        <v>2.0000005737492287E-3</v>
      </c>
      <c r="N1991" s="1303">
        <v>2.1352210522521294E-2</v>
      </c>
      <c r="O1991" s="1288">
        <v>4.3048192296369176E-3</v>
      </c>
      <c r="P1991" s="1294">
        <v>8.8479288667153346E-3</v>
      </c>
      <c r="Q1991" s="1290">
        <v>8.0346337694286157E-3</v>
      </c>
    </row>
    <row r="1992" spans="1:17" s="212" customFormat="1" ht="15.5" x14ac:dyDescent="0.35">
      <c r="A1992" s="198">
        <v>2046</v>
      </c>
      <c r="B1992" s="197" t="s">
        <v>5838</v>
      </c>
      <c r="C1992" s="197">
        <v>2042</v>
      </c>
      <c r="D1992" s="225" t="str">
        <f t="shared" si="20"/>
        <v>2046_2042</v>
      </c>
      <c r="E1992" s="1287">
        <v>4.231343582412464E-2</v>
      </c>
      <c r="F1992" s="1306">
        <v>3.6263396343862346E-3</v>
      </c>
      <c r="G1992" s="1303">
        <v>9.8576905484523719E-2</v>
      </c>
      <c r="H1992" s="1306">
        <v>1.891697208158644E-2</v>
      </c>
      <c r="I1992" s="1303">
        <v>6.9031681364014096E-3</v>
      </c>
      <c r="J1992" s="1306">
        <v>4.9297003635338224E-4</v>
      </c>
      <c r="K1992" s="1303">
        <v>2.7534273665642678E-3</v>
      </c>
      <c r="L1992" s="1288">
        <v>2.0000018052128612E-3</v>
      </c>
      <c r="M1992" s="1306">
        <v>2.0000005737479533E-3</v>
      </c>
      <c r="N1992" s="1303">
        <v>2.1316508018262598E-2</v>
      </c>
      <c r="O1992" s="1288">
        <v>4.2386127706140484E-3</v>
      </c>
      <c r="P1992" s="1294">
        <v>8.8479256357326345E-3</v>
      </c>
      <c r="Q1992" s="1290">
        <v>7.2152987671745576E-3</v>
      </c>
    </row>
    <row r="1993" spans="1:17" s="212" customFormat="1" ht="15.5" x14ac:dyDescent="0.35">
      <c r="A1993" s="198">
        <v>2046</v>
      </c>
      <c r="B1993" s="197" t="s">
        <v>5838</v>
      </c>
      <c r="C1993" s="197">
        <v>2043</v>
      </c>
      <c r="D1993" s="225" t="str">
        <f t="shared" si="20"/>
        <v>2046_2043</v>
      </c>
      <c r="E1993" s="1287">
        <v>4.1196660235142867E-2</v>
      </c>
      <c r="F1993" s="1306">
        <v>3.4285078457012984E-3</v>
      </c>
      <c r="G1993" s="1303">
        <v>9.3177166542169038E-2</v>
      </c>
      <c r="H1993" s="1306">
        <v>1.7803000164595833E-2</v>
      </c>
      <c r="I1993" s="1303">
        <v>6.0857231222508999E-3</v>
      </c>
      <c r="J1993" s="1306">
        <v>4.9342732834517511E-4</v>
      </c>
      <c r="K1993" s="1303">
        <v>2.7533584915656667E-3</v>
      </c>
      <c r="L1993" s="1288">
        <v>2.0000018361205061E-3</v>
      </c>
      <c r="M1993" s="1306">
        <v>2.000000573746376E-3</v>
      </c>
      <c r="N1993" s="1303">
        <v>2.129612852958632E-2</v>
      </c>
      <c r="O1993" s="1288">
        <v>4.1667817697145539E-3</v>
      </c>
      <c r="P1993" s="1294">
        <v>8.8467371348928108E-3</v>
      </c>
      <c r="Q1993" s="1290">
        <v>6.3608925168426823E-3</v>
      </c>
    </row>
    <row r="1994" spans="1:17" s="212" customFormat="1" ht="15.5" x14ac:dyDescent="0.35">
      <c r="A1994" s="198">
        <v>2046</v>
      </c>
      <c r="B1994" s="197" t="s">
        <v>5838</v>
      </c>
      <c r="C1994" s="197">
        <v>2044</v>
      </c>
      <c r="D1994" s="225" t="str">
        <f t="shared" si="20"/>
        <v>2046_2044</v>
      </c>
      <c r="E1994" s="1287">
        <v>3.9927253952004541E-2</v>
      </c>
      <c r="F1994" s="1306">
        <v>3.2277720152339429E-3</v>
      </c>
      <c r="G1994" s="1303">
        <v>8.7298572233712318E-2</v>
      </c>
      <c r="H1994" s="1306">
        <v>1.6666415508292592E-2</v>
      </c>
      <c r="I1994" s="1303">
        <v>5.2158991285275076E-3</v>
      </c>
      <c r="J1994" s="1306">
        <v>4.9396033259619624E-4</v>
      </c>
      <c r="K1994" s="1303">
        <v>2.7512624201127375E-3</v>
      </c>
      <c r="L1994" s="1288">
        <v>2.0000018841989436E-3</v>
      </c>
      <c r="M1994" s="1306">
        <v>2.0000005737422642E-3</v>
      </c>
      <c r="N1994" s="1303">
        <v>2.1225813371850526E-2</v>
      </c>
      <c r="O1994" s="1288">
        <v>4.0830374943857731E-3</v>
      </c>
      <c r="P1994" s="1294">
        <v>8.817329440609525E-3</v>
      </c>
      <c r="Q1994" s="1290">
        <v>5.4517389419099288E-3</v>
      </c>
    </row>
    <row r="1995" spans="1:17" s="212" customFormat="1" ht="15.5" x14ac:dyDescent="0.35">
      <c r="A1995" s="198">
        <v>2046</v>
      </c>
      <c r="B1995" s="197" t="s">
        <v>5838</v>
      </c>
      <c r="C1995" s="197">
        <v>2045</v>
      </c>
      <c r="D1995" s="225" t="str">
        <f t="shared" si="20"/>
        <v>2046_2045</v>
      </c>
      <c r="E1995" s="1287">
        <v>3.8647810641496971E-2</v>
      </c>
      <c r="F1995" s="1306">
        <v>3.0133406750523003E-3</v>
      </c>
      <c r="G1995" s="1303">
        <v>8.1275880556046148E-2</v>
      </c>
      <c r="H1995" s="1306">
        <v>1.5471210068952662E-2</v>
      </c>
      <c r="I1995" s="1303">
        <v>4.3153585724128888E-3</v>
      </c>
      <c r="J1995" s="1306">
        <v>4.941814605218328E-4</v>
      </c>
      <c r="K1995" s="1303">
        <v>2.7500596811820197E-3</v>
      </c>
      <c r="L1995" s="1288">
        <v>2.0000019243713797E-3</v>
      </c>
      <c r="M1995" s="1306">
        <v>2.0000005737343075E-3</v>
      </c>
      <c r="N1995" s="1303">
        <v>2.1175922730350197E-2</v>
      </c>
      <c r="O1995" s="1288">
        <v>3.9900523867066398E-3</v>
      </c>
      <c r="P1995" s="1294">
        <v>8.7854446627081677E-3</v>
      </c>
      <c r="Q1995" s="1290">
        <v>4.5104799379373393E-3</v>
      </c>
    </row>
    <row r="1996" spans="1:17" s="212" customFormat="1" ht="15.5" x14ac:dyDescent="0.35">
      <c r="A1996" s="198">
        <v>2046</v>
      </c>
      <c r="B1996" s="197" t="s">
        <v>5838</v>
      </c>
      <c r="C1996" s="197">
        <v>2046</v>
      </c>
      <c r="D1996" s="225" t="str">
        <f t="shared" si="20"/>
        <v>2046_2046</v>
      </c>
      <c r="E1996" s="1287">
        <v>3.618055765418119E-2</v>
      </c>
      <c r="F1996" s="1306">
        <v>2.7755644766657111E-3</v>
      </c>
      <c r="G1996" s="1303">
        <v>7.2724554849668138E-2</v>
      </c>
      <c r="H1996" s="1306">
        <v>1.4119001138757227E-2</v>
      </c>
      <c r="I1996" s="1303">
        <v>3.2811740299347539E-3</v>
      </c>
      <c r="J1996" s="1306">
        <v>4.9102492686795929E-4</v>
      </c>
      <c r="K1996" s="1303">
        <v>2.7242405381447433E-3</v>
      </c>
      <c r="L1996" s="1288">
        <v>2.0000020344794417E-3</v>
      </c>
      <c r="M1996" s="1306">
        <v>2.0000005736958691E-3</v>
      </c>
      <c r="N1996" s="1303">
        <v>2.0521742441470214E-2</v>
      </c>
      <c r="O1996" s="1288">
        <v>3.7162248263476164E-3</v>
      </c>
      <c r="P1996" s="1294">
        <v>8.2866881423258182E-3</v>
      </c>
      <c r="Q1996" s="1290">
        <v>3.429534159574288E-3</v>
      </c>
    </row>
    <row r="1997" spans="1:17" s="212" customFormat="1" ht="15.5" x14ac:dyDescent="0.35">
      <c r="A1997" s="198">
        <v>2046</v>
      </c>
      <c r="B1997" s="197" t="s">
        <v>5838</v>
      </c>
      <c r="C1997" s="197">
        <v>2047</v>
      </c>
      <c r="D1997" s="225" t="str">
        <f t="shared" ref="D1997:D2125" si="21">CONCATENATE(A1997,"_",C1997)</f>
        <v>2046_2047</v>
      </c>
      <c r="E1997" s="1291">
        <v>3.618055765418119E-2</v>
      </c>
      <c r="F1997" s="1280">
        <v>2.7755644766657111E-3</v>
      </c>
      <c r="G1997" s="1271">
        <v>7.2724554849668138E-2</v>
      </c>
      <c r="H1997" s="1280">
        <v>1.4119001138757227E-2</v>
      </c>
      <c r="I1997" s="1271">
        <v>3.2811740299347539E-3</v>
      </c>
      <c r="J1997" s="1280">
        <v>4.9102492686795929E-4</v>
      </c>
      <c r="K1997" s="1271">
        <v>2.7242405381447433E-3</v>
      </c>
      <c r="L1997" s="1257">
        <v>2.0000020344794417E-3</v>
      </c>
      <c r="M1997" s="1280">
        <v>2.0000005736958691E-3</v>
      </c>
      <c r="N1997" s="1271">
        <v>2.0521742441470214E-2</v>
      </c>
      <c r="O1997" s="1257">
        <v>3.7162248263476164E-3</v>
      </c>
      <c r="P1997" s="1293">
        <v>8.2866881423258182E-3</v>
      </c>
      <c r="Q1997" s="1292">
        <v>3.429534159574288E-3</v>
      </c>
    </row>
    <row r="1998" spans="1:17" s="212" customFormat="1" ht="15.5" x14ac:dyDescent="0.35">
      <c r="A1998" s="198">
        <v>2047</v>
      </c>
      <c r="B1998" s="197" t="s">
        <v>5838</v>
      </c>
      <c r="C1998" s="197">
        <v>1971</v>
      </c>
      <c r="D1998" s="225" t="str">
        <f t="shared" si="21"/>
        <v>2047_1971</v>
      </c>
      <c r="E1998" s="1291">
        <v>0.2894166106990112</v>
      </c>
      <c r="F1998" s="1280">
        <v>9.6129365498965655E-2</v>
      </c>
      <c r="G1998" s="1271">
        <v>7.1451371637736676</v>
      </c>
      <c r="H1998" s="1280">
        <v>0.71953387241960265</v>
      </c>
      <c r="I1998" s="1271">
        <v>5.3956292536568896E-2</v>
      </c>
      <c r="J1998" s="1280">
        <v>2.8101084003200353E-3</v>
      </c>
      <c r="K1998" s="1271">
        <v>2.9997332124080292E-3</v>
      </c>
      <c r="L1998" s="1257">
        <v>2.0000012764567351E-3</v>
      </c>
      <c r="M1998" s="1280">
        <v>2.0000012764567351E-3</v>
      </c>
      <c r="N1998" s="1271">
        <v>2.7293866682093621E-2</v>
      </c>
      <c r="O1998" s="1257">
        <v>7.6684309182549698E-3</v>
      </c>
      <c r="P1998" s="1293">
        <v>3.8342154591274849E-3</v>
      </c>
      <c r="Q1998" s="1292">
        <v>5.6395956657570398E-2</v>
      </c>
    </row>
    <row r="1999" spans="1:17" s="212" customFormat="1" ht="15.5" x14ac:dyDescent="0.35">
      <c r="A1999" s="198">
        <v>2047</v>
      </c>
      <c r="B1999" s="197" t="s">
        <v>5838</v>
      </c>
      <c r="C1999" s="197">
        <v>1972</v>
      </c>
      <c r="D1999" s="225" t="str">
        <f t="shared" si="21"/>
        <v>2047_1972</v>
      </c>
      <c r="E1999" s="1291">
        <v>0.2894166106990112</v>
      </c>
      <c r="F1999" s="1280">
        <v>9.6129365498965655E-2</v>
      </c>
      <c r="G1999" s="1271">
        <v>7.1451371637736676</v>
      </c>
      <c r="H1999" s="1280">
        <v>0.71953387241960265</v>
      </c>
      <c r="I1999" s="1271">
        <v>5.3956292536568896E-2</v>
      </c>
      <c r="J1999" s="1280">
        <v>2.8101084003200353E-3</v>
      </c>
      <c r="K1999" s="1271">
        <v>2.9997332124080292E-3</v>
      </c>
      <c r="L1999" s="1257">
        <v>2.0000012764567351E-3</v>
      </c>
      <c r="M1999" s="1280">
        <v>2.0000012764567351E-3</v>
      </c>
      <c r="N1999" s="1271">
        <v>2.7293866682093621E-2</v>
      </c>
      <c r="O1999" s="1257">
        <v>7.6684309182549698E-3</v>
      </c>
      <c r="P1999" s="1293">
        <v>3.8342154591274849E-3</v>
      </c>
      <c r="Q1999" s="1292">
        <v>5.6395956657570398E-2</v>
      </c>
    </row>
    <row r="2000" spans="1:17" s="212" customFormat="1" ht="15.5" x14ac:dyDescent="0.35">
      <c r="A2000" s="198">
        <v>2047</v>
      </c>
      <c r="B2000" s="197" t="s">
        <v>5838</v>
      </c>
      <c r="C2000" s="197">
        <v>1973</v>
      </c>
      <c r="D2000" s="225" t="str">
        <f t="shared" si="21"/>
        <v>2047_1973</v>
      </c>
      <c r="E2000" s="1291">
        <v>0.2894166106990112</v>
      </c>
      <c r="F2000" s="1280">
        <v>9.6129365498965655E-2</v>
      </c>
      <c r="G2000" s="1271">
        <v>7.1451371637736676</v>
      </c>
      <c r="H2000" s="1280">
        <v>0.71953387241960265</v>
      </c>
      <c r="I2000" s="1271">
        <v>5.3956292536568896E-2</v>
      </c>
      <c r="J2000" s="1280">
        <v>2.8101084003200353E-3</v>
      </c>
      <c r="K2000" s="1271">
        <v>2.9997332124080292E-3</v>
      </c>
      <c r="L2000" s="1257">
        <v>2.0000012764567351E-3</v>
      </c>
      <c r="M2000" s="1280">
        <v>2.0000012764567351E-3</v>
      </c>
      <c r="N2000" s="1271">
        <v>2.7293866682093621E-2</v>
      </c>
      <c r="O2000" s="1257">
        <v>7.6684309182549698E-3</v>
      </c>
      <c r="P2000" s="1293">
        <v>3.8342154591274849E-3</v>
      </c>
      <c r="Q2000" s="1292">
        <v>5.6395956657570398E-2</v>
      </c>
    </row>
    <row r="2001" spans="1:17" s="212" customFormat="1" ht="15.5" x14ac:dyDescent="0.35">
      <c r="A2001" s="198">
        <v>2047</v>
      </c>
      <c r="B2001" s="197" t="s">
        <v>5838</v>
      </c>
      <c r="C2001" s="197">
        <v>1974</v>
      </c>
      <c r="D2001" s="225" t="str">
        <f t="shared" si="21"/>
        <v>2047_1974</v>
      </c>
      <c r="E2001" s="1291">
        <v>0.2894166106990112</v>
      </c>
      <c r="F2001" s="1280">
        <v>9.6129365498965655E-2</v>
      </c>
      <c r="G2001" s="1271">
        <v>7.1451371637736676</v>
      </c>
      <c r="H2001" s="1280">
        <v>0.71953387241960265</v>
      </c>
      <c r="I2001" s="1271">
        <v>5.3956292536568896E-2</v>
      </c>
      <c r="J2001" s="1280">
        <v>2.8101084003200353E-3</v>
      </c>
      <c r="K2001" s="1271">
        <v>2.9997332124080292E-3</v>
      </c>
      <c r="L2001" s="1257">
        <v>2.0000012764567351E-3</v>
      </c>
      <c r="M2001" s="1280">
        <v>2.0000012764567351E-3</v>
      </c>
      <c r="N2001" s="1271">
        <v>2.7293866682093621E-2</v>
      </c>
      <c r="O2001" s="1257">
        <v>7.6684309182549698E-3</v>
      </c>
      <c r="P2001" s="1293">
        <v>3.8342154591274849E-3</v>
      </c>
      <c r="Q2001" s="1292">
        <v>5.6395956657570398E-2</v>
      </c>
    </row>
    <row r="2002" spans="1:17" s="212" customFormat="1" ht="15.5" x14ac:dyDescent="0.35">
      <c r="A2002" s="198">
        <v>2047</v>
      </c>
      <c r="B2002" s="197" t="s">
        <v>5838</v>
      </c>
      <c r="C2002" s="197">
        <v>1975</v>
      </c>
      <c r="D2002" s="225" t="str">
        <f t="shared" si="21"/>
        <v>2047_1975</v>
      </c>
      <c r="E2002" s="1291">
        <v>0.2894166106990112</v>
      </c>
      <c r="F2002" s="1280">
        <v>9.6129365498965655E-2</v>
      </c>
      <c r="G2002" s="1271">
        <v>7.1451371637736676</v>
      </c>
      <c r="H2002" s="1280">
        <v>0.71953387241960265</v>
      </c>
      <c r="I2002" s="1271">
        <v>5.3956292536568896E-2</v>
      </c>
      <c r="J2002" s="1280">
        <v>2.8101084003200353E-3</v>
      </c>
      <c r="K2002" s="1271">
        <v>2.9997332124080292E-3</v>
      </c>
      <c r="L2002" s="1257">
        <v>2.0000012764567351E-3</v>
      </c>
      <c r="M2002" s="1280">
        <v>2.0000012764567351E-3</v>
      </c>
      <c r="N2002" s="1271">
        <v>2.7293866682093621E-2</v>
      </c>
      <c r="O2002" s="1257">
        <v>7.6684309182549698E-3</v>
      </c>
      <c r="P2002" s="1293">
        <v>3.8342154591274849E-3</v>
      </c>
      <c r="Q2002" s="1292">
        <v>5.6395956657570398E-2</v>
      </c>
    </row>
    <row r="2003" spans="1:17" s="212" customFormat="1" ht="15.5" x14ac:dyDescent="0.35">
      <c r="A2003" s="198">
        <v>2047</v>
      </c>
      <c r="B2003" s="197" t="s">
        <v>5838</v>
      </c>
      <c r="C2003" s="197">
        <v>1976</v>
      </c>
      <c r="D2003" s="225" t="str">
        <f t="shared" si="21"/>
        <v>2047_1976</v>
      </c>
      <c r="E2003" s="1291">
        <v>0.2894166106990112</v>
      </c>
      <c r="F2003" s="1280">
        <v>9.6129365498965655E-2</v>
      </c>
      <c r="G2003" s="1271">
        <v>7.1451371637736676</v>
      </c>
      <c r="H2003" s="1280">
        <v>0.71953387241960265</v>
      </c>
      <c r="I2003" s="1271">
        <v>5.3956292536568896E-2</v>
      </c>
      <c r="J2003" s="1280">
        <v>2.8101084003200353E-3</v>
      </c>
      <c r="K2003" s="1271">
        <v>2.9997332124080292E-3</v>
      </c>
      <c r="L2003" s="1257">
        <v>2.0000012764567351E-3</v>
      </c>
      <c r="M2003" s="1280">
        <v>2.0000012764567351E-3</v>
      </c>
      <c r="N2003" s="1271">
        <v>2.7293866682093621E-2</v>
      </c>
      <c r="O2003" s="1257">
        <v>7.6684309182549698E-3</v>
      </c>
      <c r="P2003" s="1293">
        <v>3.8342154591274849E-3</v>
      </c>
      <c r="Q2003" s="1292">
        <v>5.6395956657570398E-2</v>
      </c>
    </row>
    <row r="2004" spans="1:17" s="212" customFormat="1" ht="15.5" x14ac:dyDescent="0.35">
      <c r="A2004" s="198">
        <v>2047</v>
      </c>
      <c r="B2004" s="197" t="s">
        <v>5838</v>
      </c>
      <c r="C2004" s="197">
        <v>1977</v>
      </c>
      <c r="D2004" s="225" t="str">
        <f t="shared" si="21"/>
        <v>2047_1977</v>
      </c>
      <c r="E2004" s="1291">
        <v>0.2894166106990112</v>
      </c>
      <c r="F2004" s="1280">
        <v>9.6129365498965655E-2</v>
      </c>
      <c r="G2004" s="1271">
        <v>7.1451371637736676</v>
      </c>
      <c r="H2004" s="1280">
        <v>0.71953387241960265</v>
      </c>
      <c r="I2004" s="1271">
        <v>5.3956292536568896E-2</v>
      </c>
      <c r="J2004" s="1280">
        <v>2.8101084003200353E-3</v>
      </c>
      <c r="K2004" s="1271">
        <v>2.9997332124080292E-3</v>
      </c>
      <c r="L2004" s="1257">
        <v>2.0000012764567351E-3</v>
      </c>
      <c r="M2004" s="1280">
        <v>2.0000012764567351E-3</v>
      </c>
      <c r="N2004" s="1271">
        <v>2.7293866682093621E-2</v>
      </c>
      <c r="O2004" s="1257">
        <v>7.6684309182549698E-3</v>
      </c>
      <c r="P2004" s="1293">
        <v>3.8342154591274849E-3</v>
      </c>
      <c r="Q2004" s="1292">
        <v>5.6395956657570398E-2</v>
      </c>
    </row>
    <row r="2005" spans="1:17" s="212" customFormat="1" ht="15.5" x14ac:dyDescent="0.35">
      <c r="A2005" s="198">
        <v>2047</v>
      </c>
      <c r="B2005" s="197" t="s">
        <v>5838</v>
      </c>
      <c r="C2005" s="197">
        <v>1978</v>
      </c>
      <c r="D2005" s="225" t="str">
        <f t="shared" si="21"/>
        <v>2047_1978</v>
      </c>
      <c r="E2005" s="1291">
        <v>0.2894166106990112</v>
      </c>
      <c r="F2005" s="1280">
        <v>9.6129365498965655E-2</v>
      </c>
      <c r="G2005" s="1271">
        <v>7.1451371637736676</v>
      </c>
      <c r="H2005" s="1280">
        <v>0.71953387241960265</v>
      </c>
      <c r="I2005" s="1271">
        <v>5.3956292536568896E-2</v>
      </c>
      <c r="J2005" s="1280">
        <v>2.8101084003200353E-3</v>
      </c>
      <c r="K2005" s="1271">
        <v>2.9997332124080292E-3</v>
      </c>
      <c r="L2005" s="1257">
        <v>2.0000012764567351E-3</v>
      </c>
      <c r="M2005" s="1280">
        <v>2.0000012764567351E-3</v>
      </c>
      <c r="N2005" s="1271">
        <v>2.7293866682093621E-2</v>
      </c>
      <c r="O2005" s="1257">
        <v>7.6684309182549698E-3</v>
      </c>
      <c r="P2005" s="1293">
        <v>3.8342154591274849E-3</v>
      </c>
      <c r="Q2005" s="1292">
        <v>5.6395956657570398E-2</v>
      </c>
    </row>
    <row r="2006" spans="1:17" s="212" customFormat="1" ht="15.5" x14ac:dyDescent="0.35">
      <c r="A2006" s="198">
        <v>2047</v>
      </c>
      <c r="B2006" s="197" t="s">
        <v>5838</v>
      </c>
      <c r="C2006" s="197">
        <v>1979</v>
      </c>
      <c r="D2006" s="225" t="str">
        <f t="shared" si="21"/>
        <v>2047_1979</v>
      </c>
      <c r="E2006" s="1291">
        <v>0.2894166106990112</v>
      </c>
      <c r="F2006" s="1280">
        <v>9.6129365498965655E-2</v>
      </c>
      <c r="G2006" s="1271">
        <v>7.1451371637736676</v>
      </c>
      <c r="H2006" s="1280">
        <v>0.71953387241960265</v>
      </c>
      <c r="I2006" s="1271">
        <v>5.3956292536568896E-2</v>
      </c>
      <c r="J2006" s="1280">
        <v>2.8101084003200353E-3</v>
      </c>
      <c r="K2006" s="1271">
        <v>2.9997332124080292E-3</v>
      </c>
      <c r="L2006" s="1257">
        <v>2.0000012764567351E-3</v>
      </c>
      <c r="M2006" s="1280">
        <v>2.0000012764567351E-3</v>
      </c>
      <c r="N2006" s="1271">
        <v>2.7293866682093621E-2</v>
      </c>
      <c r="O2006" s="1257">
        <v>7.6684309182549698E-3</v>
      </c>
      <c r="P2006" s="1293">
        <v>3.8342154591274849E-3</v>
      </c>
      <c r="Q2006" s="1292">
        <v>5.6395956657570398E-2</v>
      </c>
    </row>
    <row r="2007" spans="1:17" s="212" customFormat="1" ht="15.5" x14ac:dyDescent="0.35">
      <c r="A2007" s="198">
        <v>2047</v>
      </c>
      <c r="B2007" s="197" t="s">
        <v>5838</v>
      </c>
      <c r="C2007" s="197">
        <v>1980</v>
      </c>
      <c r="D2007" s="225" t="str">
        <f t="shared" si="21"/>
        <v>2047_1980</v>
      </c>
      <c r="E2007" s="1291">
        <v>0.2894166106990112</v>
      </c>
      <c r="F2007" s="1280">
        <v>9.6129365498965655E-2</v>
      </c>
      <c r="G2007" s="1271">
        <v>7.1451371637736676</v>
      </c>
      <c r="H2007" s="1280">
        <v>0.71953387241960265</v>
      </c>
      <c r="I2007" s="1271">
        <v>5.3956292536568896E-2</v>
      </c>
      <c r="J2007" s="1280">
        <v>2.8101084003200353E-3</v>
      </c>
      <c r="K2007" s="1271">
        <v>2.9997332124080292E-3</v>
      </c>
      <c r="L2007" s="1257">
        <v>2.0000012764567351E-3</v>
      </c>
      <c r="M2007" s="1280">
        <v>2.0000012764567351E-3</v>
      </c>
      <c r="N2007" s="1271">
        <v>2.7293866682093621E-2</v>
      </c>
      <c r="O2007" s="1257">
        <v>7.6684309182549698E-3</v>
      </c>
      <c r="P2007" s="1293">
        <v>3.8342154591274849E-3</v>
      </c>
      <c r="Q2007" s="1292">
        <v>5.6395956657570398E-2</v>
      </c>
    </row>
    <row r="2008" spans="1:17" s="212" customFormat="1" ht="15.5" x14ac:dyDescent="0.35">
      <c r="A2008" s="198">
        <v>2047</v>
      </c>
      <c r="B2008" s="197" t="s">
        <v>5838</v>
      </c>
      <c r="C2008" s="197">
        <v>1981</v>
      </c>
      <c r="D2008" s="225" t="str">
        <f t="shared" si="21"/>
        <v>2047_1981</v>
      </c>
      <c r="E2008" s="1291">
        <v>0.2894166106990112</v>
      </c>
      <c r="F2008" s="1280">
        <v>9.6129365498965655E-2</v>
      </c>
      <c r="G2008" s="1271">
        <v>7.1451371637736676</v>
      </c>
      <c r="H2008" s="1280">
        <v>0.71953387241960265</v>
      </c>
      <c r="I2008" s="1271">
        <v>5.3956292536568896E-2</v>
      </c>
      <c r="J2008" s="1280">
        <v>2.8101084003200353E-3</v>
      </c>
      <c r="K2008" s="1271">
        <v>2.9997332124080292E-3</v>
      </c>
      <c r="L2008" s="1257">
        <v>2.0000012764567351E-3</v>
      </c>
      <c r="M2008" s="1280">
        <v>2.0000012764567351E-3</v>
      </c>
      <c r="N2008" s="1271">
        <v>2.7293866682093621E-2</v>
      </c>
      <c r="O2008" s="1257">
        <v>7.6684309182549698E-3</v>
      </c>
      <c r="P2008" s="1293">
        <v>3.8342154591274849E-3</v>
      </c>
      <c r="Q2008" s="1292">
        <v>5.6395956657570398E-2</v>
      </c>
    </row>
    <row r="2009" spans="1:17" s="212" customFormat="1" ht="15.5" x14ac:dyDescent="0.35">
      <c r="A2009" s="198">
        <v>2047</v>
      </c>
      <c r="B2009" s="197" t="s">
        <v>5838</v>
      </c>
      <c r="C2009" s="197">
        <v>1982</v>
      </c>
      <c r="D2009" s="225" t="str">
        <f t="shared" si="21"/>
        <v>2047_1982</v>
      </c>
      <c r="E2009" s="1291">
        <v>0.2894166106990112</v>
      </c>
      <c r="F2009" s="1280">
        <v>9.6129365498965655E-2</v>
      </c>
      <c r="G2009" s="1271">
        <v>7.1451371637736676</v>
      </c>
      <c r="H2009" s="1280">
        <v>0.71953387241960265</v>
      </c>
      <c r="I2009" s="1271">
        <v>5.3956292536568896E-2</v>
      </c>
      <c r="J2009" s="1280">
        <v>2.8101084003200353E-3</v>
      </c>
      <c r="K2009" s="1271">
        <v>2.9997332124080292E-3</v>
      </c>
      <c r="L2009" s="1257">
        <v>2.0000012764567351E-3</v>
      </c>
      <c r="M2009" s="1280">
        <v>2.0000012764567351E-3</v>
      </c>
      <c r="N2009" s="1271">
        <v>2.7293866682093621E-2</v>
      </c>
      <c r="O2009" s="1257">
        <v>7.6684309182549698E-3</v>
      </c>
      <c r="P2009" s="1293">
        <v>3.8342154591274849E-3</v>
      </c>
      <c r="Q2009" s="1292">
        <v>5.6395956657570398E-2</v>
      </c>
    </row>
    <row r="2010" spans="1:17" s="212" customFormat="1" ht="15.5" x14ac:dyDescent="0.35">
      <c r="A2010" s="198">
        <v>2047</v>
      </c>
      <c r="B2010" s="197" t="s">
        <v>5838</v>
      </c>
      <c r="C2010" s="197">
        <v>1983</v>
      </c>
      <c r="D2010" s="225" t="str">
        <f t="shared" si="21"/>
        <v>2047_1983</v>
      </c>
      <c r="E2010" s="1291">
        <v>0.2894166106990112</v>
      </c>
      <c r="F2010" s="1280">
        <v>9.6129365498965655E-2</v>
      </c>
      <c r="G2010" s="1271">
        <v>7.1451371637736676</v>
      </c>
      <c r="H2010" s="1280">
        <v>0.71953387241960265</v>
      </c>
      <c r="I2010" s="1271">
        <v>5.3956292536568896E-2</v>
      </c>
      <c r="J2010" s="1280">
        <v>2.8101084003200353E-3</v>
      </c>
      <c r="K2010" s="1271">
        <v>2.9997332124080292E-3</v>
      </c>
      <c r="L2010" s="1257">
        <v>2.0000012764567351E-3</v>
      </c>
      <c r="M2010" s="1280">
        <v>2.0000012764567351E-3</v>
      </c>
      <c r="N2010" s="1271">
        <v>2.7293866682093621E-2</v>
      </c>
      <c r="O2010" s="1257">
        <v>7.6684309182549698E-3</v>
      </c>
      <c r="P2010" s="1293">
        <v>3.8342154591274849E-3</v>
      </c>
      <c r="Q2010" s="1292">
        <v>5.6395956657570398E-2</v>
      </c>
    </row>
    <row r="2011" spans="1:17" s="212" customFormat="1" ht="15.5" x14ac:dyDescent="0.35">
      <c r="A2011" s="198">
        <v>2047</v>
      </c>
      <c r="B2011" s="197" t="s">
        <v>5838</v>
      </c>
      <c r="C2011" s="197">
        <v>1984</v>
      </c>
      <c r="D2011" s="225" t="str">
        <f t="shared" si="21"/>
        <v>2047_1984</v>
      </c>
      <c r="E2011" s="1291">
        <v>0.2894166106990112</v>
      </c>
      <c r="F2011" s="1280">
        <v>9.6129365498965655E-2</v>
      </c>
      <c r="G2011" s="1271">
        <v>7.1451371637736676</v>
      </c>
      <c r="H2011" s="1280">
        <v>0.71953387241960265</v>
      </c>
      <c r="I2011" s="1271">
        <v>5.3956292536568896E-2</v>
      </c>
      <c r="J2011" s="1280">
        <v>2.8101084003200353E-3</v>
      </c>
      <c r="K2011" s="1271">
        <v>2.9997332124080292E-3</v>
      </c>
      <c r="L2011" s="1257">
        <v>2.0000012764567351E-3</v>
      </c>
      <c r="M2011" s="1280">
        <v>2.0000012764567351E-3</v>
      </c>
      <c r="N2011" s="1271">
        <v>2.7293866682093621E-2</v>
      </c>
      <c r="O2011" s="1257">
        <v>7.6684309182549698E-3</v>
      </c>
      <c r="P2011" s="1293">
        <v>3.8342154591274849E-3</v>
      </c>
      <c r="Q2011" s="1292">
        <v>5.6395956657570398E-2</v>
      </c>
    </row>
    <row r="2012" spans="1:17" s="212" customFormat="1" ht="15.5" x14ac:dyDescent="0.35">
      <c r="A2012" s="198">
        <v>2047</v>
      </c>
      <c r="B2012" s="197" t="s">
        <v>5838</v>
      </c>
      <c r="C2012" s="197">
        <v>1985</v>
      </c>
      <c r="D2012" s="225" t="str">
        <f t="shared" si="21"/>
        <v>2047_1985</v>
      </c>
      <c r="E2012" s="1291">
        <v>0.2894166106990112</v>
      </c>
      <c r="F2012" s="1280">
        <v>9.6129365498965655E-2</v>
      </c>
      <c r="G2012" s="1271">
        <v>7.1451371637736676</v>
      </c>
      <c r="H2012" s="1280">
        <v>0.71953387241960265</v>
      </c>
      <c r="I2012" s="1271">
        <v>5.3956292536568896E-2</v>
      </c>
      <c r="J2012" s="1280">
        <v>2.8101084003200353E-3</v>
      </c>
      <c r="K2012" s="1271">
        <v>2.9997332124080292E-3</v>
      </c>
      <c r="L2012" s="1257">
        <v>2.0000012764567351E-3</v>
      </c>
      <c r="M2012" s="1280">
        <v>2.0000012764567351E-3</v>
      </c>
      <c r="N2012" s="1271">
        <v>2.7293866682093621E-2</v>
      </c>
      <c r="O2012" s="1257">
        <v>7.6684309182549698E-3</v>
      </c>
      <c r="P2012" s="1293">
        <v>3.8342154591274849E-3</v>
      </c>
      <c r="Q2012" s="1292">
        <v>5.6395956657570398E-2</v>
      </c>
    </row>
    <row r="2013" spans="1:17" s="212" customFormat="1" ht="15.5" x14ac:dyDescent="0.35">
      <c r="A2013" s="198">
        <v>2047</v>
      </c>
      <c r="B2013" s="197" t="s">
        <v>5838</v>
      </c>
      <c r="C2013" s="197">
        <v>1986</v>
      </c>
      <c r="D2013" s="225" t="str">
        <f t="shared" si="21"/>
        <v>2047_1986</v>
      </c>
      <c r="E2013" s="1291">
        <v>0.2894166106990112</v>
      </c>
      <c r="F2013" s="1280">
        <v>9.6129365498965655E-2</v>
      </c>
      <c r="G2013" s="1271">
        <v>7.1451371637736676</v>
      </c>
      <c r="H2013" s="1280">
        <v>0.71953387241960265</v>
      </c>
      <c r="I2013" s="1271">
        <v>5.3956292536568896E-2</v>
      </c>
      <c r="J2013" s="1280">
        <v>2.8101084003200353E-3</v>
      </c>
      <c r="K2013" s="1271">
        <v>2.9997332124080292E-3</v>
      </c>
      <c r="L2013" s="1257">
        <v>2.0000012764567351E-3</v>
      </c>
      <c r="M2013" s="1280">
        <v>2.0000012764567351E-3</v>
      </c>
      <c r="N2013" s="1271">
        <v>2.7293866682093621E-2</v>
      </c>
      <c r="O2013" s="1257">
        <v>7.6684309182549698E-3</v>
      </c>
      <c r="P2013" s="1293">
        <v>3.8342154591274849E-3</v>
      </c>
      <c r="Q2013" s="1292">
        <v>5.6395956657570398E-2</v>
      </c>
    </row>
    <row r="2014" spans="1:17" s="212" customFormat="1" ht="15.5" x14ac:dyDescent="0.35">
      <c r="A2014" s="198">
        <v>2047</v>
      </c>
      <c r="B2014" s="197" t="s">
        <v>5838</v>
      </c>
      <c r="C2014" s="197">
        <v>1987</v>
      </c>
      <c r="D2014" s="225" t="str">
        <f t="shared" si="21"/>
        <v>2047_1987</v>
      </c>
      <c r="E2014" s="1291">
        <v>0.2894166106990112</v>
      </c>
      <c r="F2014" s="1280">
        <v>9.6129365498965655E-2</v>
      </c>
      <c r="G2014" s="1271">
        <v>7.1451371637736676</v>
      </c>
      <c r="H2014" s="1280">
        <v>0.71953387241960265</v>
      </c>
      <c r="I2014" s="1271">
        <v>5.3956292536568896E-2</v>
      </c>
      <c r="J2014" s="1280">
        <v>2.8101084003200353E-3</v>
      </c>
      <c r="K2014" s="1271">
        <v>2.9997332124080292E-3</v>
      </c>
      <c r="L2014" s="1257">
        <v>2.0000012764567351E-3</v>
      </c>
      <c r="M2014" s="1280">
        <v>2.0000012764567351E-3</v>
      </c>
      <c r="N2014" s="1271">
        <v>2.7293866682093621E-2</v>
      </c>
      <c r="O2014" s="1257">
        <v>7.6684309182549698E-3</v>
      </c>
      <c r="P2014" s="1293">
        <v>3.8342154591274849E-3</v>
      </c>
      <c r="Q2014" s="1292">
        <v>5.6395956657570398E-2</v>
      </c>
    </row>
    <row r="2015" spans="1:17" s="212" customFormat="1" ht="15.5" x14ac:dyDescent="0.35">
      <c r="A2015" s="198">
        <v>2047</v>
      </c>
      <c r="B2015" s="197" t="s">
        <v>5838</v>
      </c>
      <c r="C2015" s="197">
        <v>1988</v>
      </c>
      <c r="D2015" s="225" t="str">
        <f t="shared" si="21"/>
        <v>2047_1988</v>
      </c>
      <c r="E2015" s="1291">
        <v>0.2894166106990112</v>
      </c>
      <c r="F2015" s="1280">
        <v>9.6129365498965655E-2</v>
      </c>
      <c r="G2015" s="1271">
        <v>7.1451371637736676</v>
      </c>
      <c r="H2015" s="1280">
        <v>0.71953387241960265</v>
      </c>
      <c r="I2015" s="1271">
        <v>5.3956292536568896E-2</v>
      </c>
      <c r="J2015" s="1280">
        <v>2.8101084003200353E-3</v>
      </c>
      <c r="K2015" s="1271">
        <v>2.9997332124080292E-3</v>
      </c>
      <c r="L2015" s="1257">
        <v>2.0000012764567351E-3</v>
      </c>
      <c r="M2015" s="1280">
        <v>2.0000012764567351E-3</v>
      </c>
      <c r="N2015" s="1271">
        <v>2.7293866682093621E-2</v>
      </c>
      <c r="O2015" s="1257">
        <v>7.6684309182549698E-3</v>
      </c>
      <c r="P2015" s="1293">
        <v>3.8342154591274849E-3</v>
      </c>
      <c r="Q2015" s="1292">
        <v>5.6395956657570398E-2</v>
      </c>
    </row>
    <row r="2016" spans="1:17" s="212" customFormat="1" ht="15.5" x14ac:dyDescent="0.35">
      <c r="A2016" s="198">
        <v>2047</v>
      </c>
      <c r="B2016" s="197" t="s">
        <v>5838</v>
      </c>
      <c r="C2016" s="197">
        <v>1989</v>
      </c>
      <c r="D2016" s="225" t="str">
        <f t="shared" si="21"/>
        <v>2047_1989</v>
      </c>
      <c r="E2016" s="1291">
        <v>0.2894166106990112</v>
      </c>
      <c r="F2016" s="1280">
        <v>9.6129365498965655E-2</v>
      </c>
      <c r="G2016" s="1271">
        <v>7.1451371637736676</v>
      </c>
      <c r="H2016" s="1280">
        <v>0.71953387241960265</v>
      </c>
      <c r="I2016" s="1271">
        <v>5.3956292536568896E-2</v>
      </c>
      <c r="J2016" s="1280">
        <v>2.8101084003200353E-3</v>
      </c>
      <c r="K2016" s="1271">
        <v>2.9997332124080292E-3</v>
      </c>
      <c r="L2016" s="1257">
        <v>2.0000012764567351E-3</v>
      </c>
      <c r="M2016" s="1280">
        <v>2.0000012764567351E-3</v>
      </c>
      <c r="N2016" s="1271">
        <v>2.7293866682093621E-2</v>
      </c>
      <c r="O2016" s="1257">
        <v>7.6684309182549698E-3</v>
      </c>
      <c r="P2016" s="1293">
        <v>3.8342154591274849E-3</v>
      </c>
      <c r="Q2016" s="1292">
        <v>5.6395956657570398E-2</v>
      </c>
    </row>
    <row r="2017" spans="1:17" s="212" customFormat="1" ht="15.5" x14ac:dyDescent="0.35">
      <c r="A2017" s="198">
        <v>2047</v>
      </c>
      <c r="B2017" s="197" t="s">
        <v>5838</v>
      </c>
      <c r="C2017" s="197">
        <v>1990</v>
      </c>
      <c r="D2017" s="225" t="str">
        <f t="shared" si="21"/>
        <v>2047_1990</v>
      </c>
      <c r="E2017" s="1291">
        <v>0.2894166106990112</v>
      </c>
      <c r="F2017" s="1280">
        <v>9.6129365498965655E-2</v>
      </c>
      <c r="G2017" s="1271">
        <v>7.1451371637736676</v>
      </c>
      <c r="H2017" s="1280">
        <v>0.71953387241960265</v>
      </c>
      <c r="I2017" s="1271">
        <v>5.3956292536568896E-2</v>
      </c>
      <c r="J2017" s="1280">
        <v>2.8101084003200353E-3</v>
      </c>
      <c r="K2017" s="1271">
        <v>2.9997332124080292E-3</v>
      </c>
      <c r="L2017" s="1257">
        <v>2.0000012764567351E-3</v>
      </c>
      <c r="M2017" s="1280">
        <v>2.0000012764567351E-3</v>
      </c>
      <c r="N2017" s="1271">
        <v>2.7293866682093621E-2</v>
      </c>
      <c r="O2017" s="1257">
        <v>7.6684309182549698E-3</v>
      </c>
      <c r="P2017" s="1293">
        <v>3.8342154591274849E-3</v>
      </c>
      <c r="Q2017" s="1292">
        <v>5.6395956657570398E-2</v>
      </c>
    </row>
    <row r="2018" spans="1:17" s="212" customFormat="1" ht="15.5" x14ac:dyDescent="0.35">
      <c r="A2018" s="198">
        <v>2047</v>
      </c>
      <c r="B2018" s="197" t="s">
        <v>5838</v>
      </c>
      <c r="C2018" s="197">
        <v>1991</v>
      </c>
      <c r="D2018" s="225" t="str">
        <f t="shared" si="21"/>
        <v>2047_1991</v>
      </c>
      <c r="E2018" s="1291">
        <v>0.2894166106990112</v>
      </c>
      <c r="F2018" s="1280">
        <v>9.6129365498965655E-2</v>
      </c>
      <c r="G2018" s="1271">
        <v>7.1451371637736676</v>
      </c>
      <c r="H2018" s="1280">
        <v>0.71953387241960265</v>
      </c>
      <c r="I2018" s="1271">
        <v>5.3956292536568896E-2</v>
      </c>
      <c r="J2018" s="1280">
        <v>2.8101084003200353E-3</v>
      </c>
      <c r="K2018" s="1271">
        <v>2.9997332124080292E-3</v>
      </c>
      <c r="L2018" s="1257">
        <v>2.0000012764567351E-3</v>
      </c>
      <c r="M2018" s="1280">
        <v>2.0000012764567351E-3</v>
      </c>
      <c r="N2018" s="1271">
        <v>2.7293866682093621E-2</v>
      </c>
      <c r="O2018" s="1257">
        <v>7.6684309182549698E-3</v>
      </c>
      <c r="P2018" s="1293">
        <v>3.8342154591274849E-3</v>
      </c>
      <c r="Q2018" s="1292">
        <v>5.6395956657570398E-2</v>
      </c>
    </row>
    <row r="2019" spans="1:17" s="212" customFormat="1" ht="15.5" x14ac:dyDescent="0.35">
      <c r="A2019" s="198">
        <v>2047</v>
      </c>
      <c r="B2019" s="197" t="s">
        <v>5838</v>
      </c>
      <c r="C2019" s="197">
        <v>1992</v>
      </c>
      <c r="D2019" s="225" t="str">
        <f t="shared" si="21"/>
        <v>2047_1992</v>
      </c>
      <c r="E2019" s="1291">
        <v>0.2894166106990112</v>
      </c>
      <c r="F2019" s="1280">
        <v>9.6129365498965655E-2</v>
      </c>
      <c r="G2019" s="1271">
        <v>7.1451371637736676</v>
      </c>
      <c r="H2019" s="1280">
        <v>0.71953387241960265</v>
      </c>
      <c r="I2019" s="1271">
        <v>5.3956292536568896E-2</v>
      </c>
      <c r="J2019" s="1280">
        <v>2.8101084003200353E-3</v>
      </c>
      <c r="K2019" s="1271">
        <v>2.9997332124080292E-3</v>
      </c>
      <c r="L2019" s="1257">
        <v>2.0000012764567351E-3</v>
      </c>
      <c r="M2019" s="1280">
        <v>2.0000012764567351E-3</v>
      </c>
      <c r="N2019" s="1271">
        <v>2.7293866682093621E-2</v>
      </c>
      <c r="O2019" s="1257">
        <v>7.6684309182549698E-3</v>
      </c>
      <c r="P2019" s="1293">
        <v>3.8342154591274849E-3</v>
      </c>
      <c r="Q2019" s="1292">
        <v>5.6395956657570398E-2</v>
      </c>
    </row>
    <row r="2020" spans="1:17" s="212" customFormat="1" ht="15.5" x14ac:dyDescent="0.35">
      <c r="A2020" s="198">
        <v>2047</v>
      </c>
      <c r="B2020" s="197" t="s">
        <v>5838</v>
      </c>
      <c r="C2020" s="197">
        <v>1993</v>
      </c>
      <c r="D2020" s="225" t="str">
        <f t="shared" si="21"/>
        <v>2047_1993</v>
      </c>
      <c r="E2020" s="1291">
        <v>0.2894166106990112</v>
      </c>
      <c r="F2020" s="1280">
        <v>9.6129365498965655E-2</v>
      </c>
      <c r="G2020" s="1271">
        <v>7.1451371637736676</v>
      </c>
      <c r="H2020" s="1280">
        <v>0.71953387241960265</v>
      </c>
      <c r="I2020" s="1271">
        <v>5.3956292536568896E-2</v>
      </c>
      <c r="J2020" s="1280">
        <v>2.8101084003200353E-3</v>
      </c>
      <c r="K2020" s="1271">
        <v>2.9997332124080292E-3</v>
      </c>
      <c r="L2020" s="1257">
        <v>2.0000012764567351E-3</v>
      </c>
      <c r="M2020" s="1280">
        <v>2.0000012764567351E-3</v>
      </c>
      <c r="N2020" s="1271">
        <v>2.7293866682093621E-2</v>
      </c>
      <c r="O2020" s="1257">
        <v>7.6684309182549698E-3</v>
      </c>
      <c r="P2020" s="1293">
        <v>3.8342154591274849E-3</v>
      </c>
      <c r="Q2020" s="1292">
        <v>5.6395956657570398E-2</v>
      </c>
    </row>
    <row r="2021" spans="1:17" s="212" customFormat="1" ht="15.5" x14ac:dyDescent="0.35">
      <c r="A2021" s="198">
        <v>2047</v>
      </c>
      <c r="B2021" s="197" t="s">
        <v>5838</v>
      </c>
      <c r="C2021" s="197">
        <v>1994</v>
      </c>
      <c r="D2021" s="225" t="str">
        <f t="shared" si="21"/>
        <v>2047_1994</v>
      </c>
      <c r="E2021" s="1291">
        <v>0.2894166106990112</v>
      </c>
      <c r="F2021" s="1280">
        <v>9.6129365498965655E-2</v>
      </c>
      <c r="G2021" s="1271">
        <v>7.1451371637736676</v>
      </c>
      <c r="H2021" s="1280">
        <v>0.71953387241960265</v>
      </c>
      <c r="I2021" s="1271">
        <v>5.3956292536568896E-2</v>
      </c>
      <c r="J2021" s="1280">
        <v>2.8101084003200353E-3</v>
      </c>
      <c r="K2021" s="1271">
        <v>2.9997332124080292E-3</v>
      </c>
      <c r="L2021" s="1257">
        <v>2.0000012764567351E-3</v>
      </c>
      <c r="M2021" s="1280">
        <v>2.0000012764567351E-3</v>
      </c>
      <c r="N2021" s="1271">
        <v>2.7293866682093621E-2</v>
      </c>
      <c r="O2021" s="1257">
        <v>7.6684309182549698E-3</v>
      </c>
      <c r="P2021" s="1293">
        <v>3.8342154591274849E-3</v>
      </c>
      <c r="Q2021" s="1292">
        <v>5.6395956657570398E-2</v>
      </c>
    </row>
    <row r="2022" spans="1:17" s="212" customFormat="1" ht="15.5" x14ac:dyDescent="0.35">
      <c r="A2022" s="198">
        <v>2047</v>
      </c>
      <c r="B2022" s="197" t="s">
        <v>5838</v>
      </c>
      <c r="C2022" s="197">
        <v>1995</v>
      </c>
      <c r="D2022" s="225" t="str">
        <f t="shared" si="21"/>
        <v>2047_1995</v>
      </c>
      <c r="E2022" s="1291">
        <v>0.2894166106990112</v>
      </c>
      <c r="F2022" s="1280">
        <v>9.6129365498965655E-2</v>
      </c>
      <c r="G2022" s="1271">
        <v>7.1451371637736676</v>
      </c>
      <c r="H2022" s="1280">
        <v>0.71953387241960265</v>
      </c>
      <c r="I2022" s="1271">
        <v>5.3956292536568896E-2</v>
      </c>
      <c r="J2022" s="1280">
        <v>2.8101084003200353E-3</v>
      </c>
      <c r="K2022" s="1271">
        <v>2.9997332124080292E-3</v>
      </c>
      <c r="L2022" s="1257">
        <v>2.0000012764567351E-3</v>
      </c>
      <c r="M2022" s="1280">
        <v>2.0000012764567351E-3</v>
      </c>
      <c r="N2022" s="1271">
        <v>2.7293866682093621E-2</v>
      </c>
      <c r="O2022" s="1257">
        <v>7.6684309182549698E-3</v>
      </c>
      <c r="P2022" s="1293">
        <v>3.8342154591274849E-3</v>
      </c>
      <c r="Q2022" s="1292">
        <v>5.6395956657570398E-2</v>
      </c>
    </row>
    <row r="2023" spans="1:17" s="212" customFormat="1" ht="15.5" x14ac:dyDescent="0.35">
      <c r="A2023" s="198">
        <v>2047</v>
      </c>
      <c r="B2023" s="197" t="s">
        <v>5838</v>
      </c>
      <c r="C2023" s="197">
        <v>1996</v>
      </c>
      <c r="D2023" s="225" t="str">
        <f t="shared" si="21"/>
        <v>2047_1996</v>
      </c>
      <c r="E2023" s="1291">
        <v>0.2894166106990112</v>
      </c>
      <c r="F2023" s="1280">
        <v>9.6129365498965655E-2</v>
      </c>
      <c r="G2023" s="1271">
        <v>7.1451371637736676</v>
      </c>
      <c r="H2023" s="1280">
        <v>0.71953387241960265</v>
      </c>
      <c r="I2023" s="1271">
        <v>5.3956292536568896E-2</v>
      </c>
      <c r="J2023" s="1280">
        <v>2.8101084003200353E-3</v>
      </c>
      <c r="K2023" s="1271">
        <v>2.9997332124080292E-3</v>
      </c>
      <c r="L2023" s="1257">
        <v>2.0000012764567351E-3</v>
      </c>
      <c r="M2023" s="1280">
        <v>2.0000012764567351E-3</v>
      </c>
      <c r="N2023" s="1271">
        <v>2.7293866682093621E-2</v>
      </c>
      <c r="O2023" s="1257">
        <v>7.6684309182549698E-3</v>
      </c>
      <c r="P2023" s="1293">
        <v>3.8342154591274849E-3</v>
      </c>
      <c r="Q2023" s="1292">
        <v>5.6395956657570398E-2</v>
      </c>
    </row>
    <row r="2024" spans="1:17" s="212" customFormat="1" ht="15.5" x14ac:dyDescent="0.35">
      <c r="A2024" s="198">
        <v>2047</v>
      </c>
      <c r="B2024" s="197" t="s">
        <v>5838</v>
      </c>
      <c r="C2024" s="197">
        <v>1997</v>
      </c>
      <c r="D2024" s="225" t="str">
        <f t="shared" si="21"/>
        <v>2047_1997</v>
      </c>
      <c r="E2024" s="1291">
        <v>0.2894166106990112</v>
      </c>
      <c r="F2024" s="1280">
        <v>9.6129365498965655E-2</v>
      </c>
      <c r="G2024" s="1271">
        <v>7.1451371637736676</v>
      </c>
      <c r="H2024" s="1280">
        <v>0.71953387241960265</v>
      </c>
      <c r="I2024" s="1271">
        <v>5.3956292536568896E-2</v>
      </c>
      <c r="J2024" s="1280">
        <v>2.8101084003200353E-3</v>
      </c>
      <c r="K2024" s="1271">
        <v>2.9997332124080292E-3</v>
      </c>
      <c r="L2024" s="1257">
        <v>2.0000012764567351E-3</v>
      </c>
      <c r="M2024" s="1280">
        <v>2.0000012764567351E-3</v>
      </c>
      <c r="N2024" s="1271">
        <v>2.7293866682093621E-2</v>
      </c>
      <c r="O2024" s="1257">
        <v>7.6684309182549698E-3</v>
      </c>
      <c r="P2024" s="1293">
        <v>3.8342154591274849E-3</v>
      </c>
      <c r="Q2024" s="1292">
        <v>5.6395956657570398E-2</v>
      </c>
    </row>
    <row r="2025" spans="1:17" s="212" customFormat="1" ht="15.5" x14ac:dyDescent="0.35">
      <c r="A2025" s="198">
        <v>2047</v>
      </c>
      <c r="B2025" s="197" t="s">
        <v>5838</v>
      </c>
      <c r="C2025" s="197">
        <v>1998</v>
      </c>
      <c r="D2025" s="225" t="str">
        <f t="shared" si="21"/>
        <v>2047_1998</v>
      </c>
      <c r="E2025" s="1291">
        <v>0.2894166106990112</v>
      </c>
      <c r="F2025" s="1280">
        <v>9.6129365498965655E-2</v>
      </c>
      <c r="G2025" s="1271">
        <v>7.1451371637736676</v>
      </c>
      <c r="H2025" s="1280">
        <v>0.71953387241960265</v>
      </c>
      <c r="I2025" s="1271">
        <v>5.3956292536568896E-2</v>
      </c>
      <c r="J2025" s="1280">
        <v>2.8101084003200353E-3</v>
      </c>
      <c r="K2025" s="1271">
        <v>2.9997332124080292E-3</v>
      </c>
      <c r="L2025" s="1257">
        <v>2.0000012764567351E-3</v>
      </c>
      <c r="M2025" s="1280">
        <v>2.0000012764567351E-3</v>
      </c>
      <c r="N2025" s="1271">
        <v>2.7293866682093621E-2</v>
      </c>
      <c r="O2025" s="1257">
        <v>7.6684309182549698E-3</v>
      </c>
      <c r="P2025" s="1293">
        <v>3.8342154591274849E-3</v>
      </c>
      <c r="Q2025" s="1292">
        <v>5.6395956657570398E-2</v>
      </c>
    </row>
    <row r="2026" spans="1:17" s="212" customFormat="1" ht="15.5" x14ac:dyDescent="0.35">
      <c r="A2026" s="198">
        <v>2047</v>
      </c>
      <c r="B2026" s="197" t="s">
        <v>5838</v>
      </c>
      <c r="C2026" s="197">
        <v>1999</v>
      </c>
      <c r="D2026" s="225" t="str">
        <f t="shared" si="21"/>
        <v>2047_1999</v>
      </c>
      <c r="E2026" s="1291">
        <v>0.2894166106990112</v>
      </c>
      <c r="F2026" s="1280">
        <v>9.6129365498965655E-2</v>
      </c>
      <c r="G2026" s="1271">
        <v>7.1451371637736676</v>
      </c>
      <c r="H2026" s="1280">
        <v>0.71953387241960265</v>
      </c>
      <c r="I2026" s="1271">
        <v>5.3956292536568896E-2</v>
      </c>
      <c r="J2026" s="1280">
        <v>2.8101084003200353E-3</v>
      </c>
      <c r="K2026" s="1271">
        <v>2.9997332124080292E-3</v>
      </c>
      <c r="L2026" s="1257">
        <v>2.0000012764567351E-3</v>
      </c>
      <c r="M2026" s="1280">
        <v>2.0000012764567351E-3</v>
      </c>
      <c r="N2026" s="1271">
        <v>2.7293866682093621E-2</v>
      </c>
      <c r="O2026" s="1257">
        <v>7.6684309182549698E-3</v>
      </c>
      <c r="P2026" s="1293">
        <v>3.8342154591274849E-3</v>
      </c>
      <c r="Q2026" s="1292">
        <v>5.6395956657570398E-2</v>
      </c>
    </row>
    <row r="2027" spans="1:17" s="212" customFormat="1" ht="15.5" x14ac:dyDescent="0.35">
      <c r="A2027" s="198">
        <v>2047</v>
      </c>
      <c r="B2027" s="197" t="s">
        <v>5838</v>
      </c>
      <c r="C2027" s="197">
        <v>2000</v>
      </c>
      <c r="D2027" s="225" t="str">
        <f t="shared" si="21"/>
        <v>2047_2000</v>
      </c>
      <c r="E2027" s="1291">
        <v>0.2894166106990112</v>
      </c>
      <c r="F2027" s="1280">
        <v>9.6129365498965655E-2</v>
      </c>
      <c r="G2027" s="1271">
        <v>7.1451371637736676</v>
      </c>
      <c r="H2027" s="1280">
        <v>0.71953387241960265</v>
      </c>
      <c r="I2027" s="1271">
        <v>5.3956292536568896E-2</v>
      </c>
      <c r="J2027" s="1280">
        <v>2.8101084003200353E-3</v>
      </c>
      <c r="K2027" s="1271">
        <v>2.9997332124080292E-3</v>
      </c>
      <c r="L2027" s="1257">
        <v>2.0000012764567351E-3</v>
      </c>
      <c r="M2027" s="1280">
        <v>2.0000012764567351E-3</v>
      </c>
      <c r="N2027" s="1271">
        <v>2.7293866682093621E-2</v>
      </c>
      <c r="O2027" s="1257">
        <v>7.6684309182549698E-3</v>
      </c>
      <c r="P2027" s="1293">
        <v>3.8342154591274849E-3</v>
      </c>
      <c r="Q2027" s="1292">
        <v>5.6395956657570398E-2</v>
      </c>
    </row>
    <row r="2028" spans="1:17" s="212" customFormat="1" ht="15.5" x14ac:dyDescent="0.35">
      <c r="A2028" s="198">
        <v>2047</v>
      </c>
      <c r="B2028" s="197" t="s">
        <v>5838</v>
      </c>
      <c r="C2028" s="197">
        <v>2001</v>
      </c>
      <c r="D2028" s="225" t="str">
        <f t="shared" si="21"/>
        <v>2047_2001</v>
      </c>
      <c r="E2028" s="1291">
        <v>0.2894166106990112</v>
      </c>
      <c r="F2028" s="1280">
        <v>9.6129365498965655E-2</v>
      </c>
      <c r="G2028" s="1271">
        <v>7.1451371637736676</v>
      </c>
      <c r="H2028" s="1280">
        <v>0.71953387241960265</v>
      </c>
      <c r="I2028" s="1271">
        <v>5.3956292536568896E-2</v>
      </c>
      <c r="J2028" s="1280">
        <v>2.8101084003200353E-3</v>
      </c>
      <c r="K2028" s="1271">
        <v>2.9997332124080292E-3</v>
      </c>
      <c r="L2028" s="1257">
        <v>2.0000012764567351E-3</v>
      </c>
      <c r="M2028" s="1280">
        <v>2.0000012764567351E-3</v>
      </c>
      <c r="N2028" s="1271">
        <v>2.7293866682093621E-2</v>
      </c>
      <c r="O2028" s="1257">
        <v>7.6684309182549698E-3</v>
      </c>
      <c r="P2028" s="1293">
        <v>3.8342154591274849E-3</v>
      </c>
      <c r="Q2028" s="1292">
        <v>5.6395956657570398E-2</v>
      </c>
    </row>
    <row r="2029" spans="1:17" s="212" customFormat="1" ht="15.5" x14ac:dyDescent="0.35">
      <c r="A2029" s="198">
        <v>2047</v>
      </c>
      <c r="B2029" s="197" t="s">
        <v>5838</v>
      </c>
      <c r="C2029" s="197">
        <v>2002</v>
      </c>
      <c r="D2029" s="225" t="str">
        <f t="shared" si="21"/>
        <v>2047_2002</v>
      </c>
      <c r="E2029" s="1291">
        <v>0.2894166106990112</v>
      </c>
      <c r="F2029" s="1280">
        <v>9.6129365498965655E-2</v>
      </c>
      <c r="G2029" s="1271">
        <v>7.1451371637736676</v>
      </c>
      <c r="H2029" s="1280">
        <v>0.71953387241960265</v>
      </c>
      <c r="I2029" s="1271">
        <v>5.3956292536568896E-2</v>
      </c>
      <c r="J2029" s="1280">
        <v>2.8101084003200353E-3</v>
      </c>
      <c r="K2029" s="1271">
        <v>2.9997332124080292E-3</v>
      </c>
      <c r="L2029" s="1257">
        <v>2.0000012764567351E-3</v>
      </c>
      <c r="M2029" s="1280">
        <v>2.0000012764567351E-3</v>
      </c>
      <c r="N2029" s="1271">
        <v>2.7293866682093621E-2</v>
      </c>
      <c r="O2029" s="1257">
        <v>7.6684309182549698E-3</v>
      </c>
      <c r="P2029" s="1293">
        <v>3.8342154591274849E-3</v>
      </c>
      <c r="Q2029" s="1292">
        <v>5.6395956657570398E-2</v>
      </c>
    </row>
    <row r="2030" spans="1:17" s="212" customFormat="1" ht="15.5" x14ac:dyDescent="0.35">
      <c r="A2030" s="198">
        <v>2047</v>
      </c>
      <c r="B2030" s="197" t="s">
        <v>5838</v>
      </c>
      <c r="C2030" s="197">
        <v>2003</v>
      </c>
      <c r="D2030" s="225" t="str">
        <f t="shared" si="21"/>
        <v>2047_2003</v>
      </c>
      <c r="E2030" s="1287">
        <v>0.2894166106990112</v>
      </c>
      <c r="F2030" s="1306">
        <v>9.6129365498965655E-2</v>
      </c>
      <c r="G2030" s="1303">
        <v>7.1451371637736676</v>
      </c>
      <c r="H2030" s="1306">
        <v>0.71953387241960265</v>
      </c>
      <c r="I2030" s="1303">
        <v>5.3956292536568896E-2</v>
      </c>
      <c r="J2030" s="1306">
        <v>2.8101084003200353E-3</v>
      </c>
      <c r="K2030" s="1303">
        <v>2.9997332124080292E-3</v>
      </c>
      <c r="L2030" s="1288">
        <v>2.0000012764567351E-3</v>
      </c>
      <c r="M2030" s="1280">
        <v>2.0000012764567351E-3</v>
      </c>
      <c r="N2030" s="1303">
        <v>2.7293866682093621E-2</v>
      </c>
      <c r="O2030" s="1288">
        <v>7.6684309182549698E-3</v>
      </c>
      <c r="P2030" s="1293">
        <v>3.8342154591274849E-3</v>
      </c>
      <c r="Q2030" s="1290">
        <v>5.6395956657570398E-2</v>
      </c>
    </row>
    <row r="2031" spans="1:17" s="212" customFormat="1" ht="15.5" x14ac:dyDescent="0.35">
      <c r="A2031" s="198">
        <v>2047</v>
      </c>
      <c r="B2031" s="197" t="s">
        <v>5838</v>
      </c>
      <c r="C2031" s="197">
        <v>2004</v>
      </c>
      <c r="D2031" s="225" t="str">
        <f t="shared" si="21"/>
        <v>2047_2004</v>
      </c>
      <c r="E2031" s="1287">
        <v>0.5950843598113098</v>
      </c>
      <c r="F2031" s="1306">
        <v>1.8097386839338168E-2</v>
      </c>
      <c r="G2031" s="1303">
        <v>4.2034946326594653</v>
      </c>
      <c r="H2031" s="1306">
        <v>0.12231173855867424</v>
      </c>
      <c r="I2031" s="1303">
        <v>0.15422766572580382</v>
      </c>
      <c r="J2031" s="1306">
        <v>1.8805468980670831E-4</v>
      </c>
      <c r="K2031" s="1303">
        <v>2.9974842266251387E-3</v>
      </c>
      <c r="L2031" s="1288">
        <v>2.0000013350013335E-3</v>
      </c>
      <c r="M2031" s="1280">
        <v>2.0000013350013335E-3</v>
      </c>
      <c r="N2031" s="1303">
        <v>2.7240937332246643E-2</v>
      </c>
      <c r="O2031" s="1288">
        <v>7.1147915606056796E-3</v>
      </c>
      <c r="P2031" s="1293">
        <v>3.5573957803028398E-3</v>
      </c>
      <c r="Q2031" s="1290">
        <v>0.16120115639479343</v>
      </c>
    </row>
    <row r="2032" spans="1:17" s="212" customFormat="1" ht="15.5" x14ac:dyDescent="0.35">
      <c r="A2032" s="198">
        <v>2047</v>
      </c>
      <c r="B2032" s="197" t="s">
        <v>5838</v>
      </c>
      <c r="C2032" s="197">
        <v>2005</v>
      </c>
      <c r="D2032" s="225" t="str">
        <f t="shared" si="21"/>
        <v>2047_2005</v>
      </c>
      <c r="E2032" s="1287">
        <v>0.51394953581357383</v>
      </c>
      <c r="F2032" s="1306">
        <v>1.6158083299107354E-2</v>
      </c>
      <c r="G2032" s="1303">
        <v>3.8124081521331026</v>
      </c>
      <c r="H2032" s="1306">
        <v>0.10693321605467369</v>
      </c>
      <c r="I2032" s="1303">
        <v>0.13778190728280809</v>
      </c>
      <c r="J2032" s="1306">
        <v>1.8833173491288003E-4</v>
      </c>
      <c r="K2032" s="1303">
        <v>2.8387830920849942E-3</v>
      </c>
      <c r="L2032" s="1288">
        <v>2.0000013456564188E-3</v>
      </c>
      <c r="M2032" s="1280">
        <v>2.0000013456564188E-3</v>
      </c>
      <c r="N2032" s="1303">
        <v>2.3499472886739956E-2</v>
      </c>
      <c r="O2032" s="1288">
        <v>6.604670059653088E-3</v>
      </c>
      <c r="P2032" s="1293">
        <v>3.302335029826544E-3</v>
      </c>
      <c r="Q2032" s="1290">
        <v>0.14401179373197756</v>
      </c>
    </row>
    <row r="2033" spans="1:17" s="212" customFormat="1" ht="15.5" x14ac:dyDescent="0.35">
      <c r="A2033" s="198">
        <v>2047</v>
      </c>
      <c r="B2033" s="197" t="s">
        <v>5838</v>
      </c>
      <c r="C2033" s="197">
        <v>2006</v>
      </c>
      <c r="D2033" s="225" t="str">
        <f t="shared" si="21"/>
        <v>2047_2006</v>
      </c>
      <c r="E2033" s="1287">
        <v>0.55225670252311587</v>
      </c>
      <c r="F2033" s="1306">
        <v>7.1622040557967363E-3</v>
      </c>
      <c r="G2033" s="1303">
        <v>4.0010568641351396</v>
      </c>
      <c r="H2033" s="1306">
        <v>8.5406576501821388E-2</v>
      </c>
      <c r="I2033" s="1303">
        <v>0.14550219528320121</v>
      </c>
      <c r="J2033" s="1306">
        <v>1.8375227479950032E-4</v>
      </c>
      <c r="K2033" s="1303">
        <v>2.9186056787132261E-3</v>
      </c>
      <c r="L2033" s="1288">
        <v>2.0000012513869611E-3</v>
      </c>
      <c r="M2033" s="1280">
        <v>2.0000012513869611E-3</v>
      </c>
      <c r="N2033" s="1303">
        <v>2.5380552096995846E-2</v>
      </c>
      <c r="O2033" s="1288">
        <v>9.6242226372428331E-3</v>
      </c>
      <c r="P2033" s="1293">
        <v>4.8121113186214166E-3</v>
      </c>
      <c r="Q2033" s="1290">
        <v>0.15208115889747842</v>
      </c>
    </row>
    <row r="2034" spans="1:17" s="212" customFormat="1" ht="15.5" x14ac:dyDescent="0.35">
      <c r="A2034" s="198">
        <v>2047</v>
      </c>
      <c r="B2034" s="197" t="s">
        <v>5838</v>
      </c>
      <c r="C2034" s="197">
        <v>2007</v>
      </c>
      <c r="D2034" s="225" t="str">
        <f t="shared" si="21"/>
        <v>2047_2007</v>
      </c>
      <c r="E2034" s="1287">
        <v>0.30078395398437568</v>
      </c>
      <c r="F2034" s="1306">
        <v>8.9876484709997487E-3</v>
      </c>
      <c r="G2034" s="1303">
        <v>2.1853188855380878</v>
      </c>
      <c r="H2034" s="1306">
        <v>7.1083035573144451E-2</v>
      </c>
      <c r="I2034" s="1303">
        <v>7.8626719574658693E-2</v>
      </c>
      <c r="J2034" s="1306">
        <v>1.8741989429573336E-4</v>
      </c>
      <c r="K2034" s="1303">
        <v>2.8861087591974871E-3</v>
      </c>
      <c r="L2034" s="1288">
        <v>2.000001276469291E-3</v>
      </c>
      <c r="M2034" s="1280">
        <v>2.000001276469291E-3</v>
      </c>
      <c r="N2034" s="1303">
        <v>2.4616203682387726E-2</v>
      </c>
      <c r="O2034" s="1288">
        <v>6.8682170245828031E-3</v>
      </c>
      <c r="P2034" s="1293">
        <v>3.4341085122914015E-3</v>
      </c>
      <c r="Q2034" s="1290">
        <v>8.2181870932924034E-2</v>
      </c>
    </row>
    <row r="2035" spans="1:17" s="212" customFormat="1" ht="15.5" x14ac:dyDescent="0.35">
      <c r="A2035" s="198">
        <v>2047</v>
      </c>
      <c r="B2035" s="197" t="s">
        <v>5838</v>
      </c>
      <c r="C2035" s="197">
        <v>2008</v>
      </c>
      <c r="D2035" s="225" t="str">
        <f t="shared" si="21"/>
        <v>2047_2008</v>
      </c>
      <c r="E2035" s="1287">
        <v>0.31962559623988657</v>
      </c>
      <c r="F2035" s="1306">
        <v>8.3642485900368331E-3</v>
      </c>
      <c r="G2035" s="1303">
        <v>2.3308628668987517</v>
      </c>
      <c r="H2035" s="1306">
        <v>5.4195190963999329E-2</v>
      </c>
      <c r="I2035" s="1303">
        <v>8.3473887628508978E-2</v>
      </c>
      <c r="J2035" s="1306">
        <v>2.1089436849564068E-4</v>
      </c>
      <c r="K2035" s="1303">
        <v>2.9476701862070575E-3</v>
      </c>
      <c r="L2035" s="1288">
        <v>2.000001386534213E-3</v>
      </c>
      <c r="M2035" s="1280">
        <v>2.000001386534213E-3</v>
      </c>
      <c r="N2035" s="1303">
        <v>2.6068534655797459E-2</v>
      </c>
      <c r="O2035" s="1288">
        <v>6.8128213464457594E-3</v>
      </c>
      <c r="P2035" s="1293">
        <v>3.4064106732228797E-3</v>
      </c>
      <c r="Q2035" s="1290">
        <v>8.7248206417179688E-2</v>
      </c>
    </row>
    <row r="2036" spans="1:17" s="212" customFormat="1" ht="15.5" x14ac:dyDescent="0.35">
      <c r="A2036" s="198">
        <v>2047</v>
      </c>
      <c r="B2036" s="197" t="s">
        <v>5838</v>
      </c>
      <c r="C2036" s="197">
        <v>2009</v>
      </c>
      <c r="D2036" s="225" t="str">
        <f t="shared" si="21"/>
        <v>2047_2009</v>
      </c>
      <c r="E2036" s="1287">
        <v>0.30312464714008253</v>
      </c>
      <c r="F2036" s="1306">
        <v>7.9715018994665661E-3</v>
      </c>
      <c r="G2036" s="1303">
        <v>2.1849246375303664</v>
      </c>
      <c r="H2036" s="1306">
        <v>3.8777615497505892E-2</v>
      </c>
      <c r="I2036" s="1303">
        <v>7.9026721832817184E-2</v>
      </c>
      <c r="J2036" s="1306">
        <v>2.3935217109806128E-4</v>
      </c>
      <c r="K2036" s="1303">
        <v>2.8802669254722251E-3</v>
      </c>
      <c r="L2036" s="1288">
        <v>2.0000014381789575E-3</v>
      </c>
      <c r="M2036" s="1280">
        <v>2.0000014381789575E-3</v>
      </c>
      <c r="N2036" s="1303">
        <v>2.4484106292504516E-2</v>
      </c>
      <c r="O2036" s="1288">
        <v>5.3916279505772787E-3</v>
      </c>
      <c r="P2036" s="1293">
        <v>2.6958139752886394E-3</v>
      </c>
      <c r="Q2036" s="1290">
        <v>8.259995951821264E-2</v>
      </c>
    </row>
    <row r="2037" spans="1:17" s="212" customFormat="1" ht="15.5" x14ac:dyDescent="0.35">
      <c r="A2037" s="198">
        <v>2047</v>
      </c>
      <c r="B2037" s="197" t="s">
        <v>5838</v>
      </c>
      <c r="C2037" s="197">
        <v>2010</v>
      </c>
      <c r="D2037" s="225" t="str">
        <f t="shared" si="21"/>
        <v>2047_2010</v>
      </c>
      <c r="E2037" s="1287">
        <v>6.4554451989996361E-2</v>
      </c>
      <c r="F2037" s="1306">
        <v>7.3518851656702144E-3</v>
      </c>
      <c r="G2037" s="1303">
        <v>0.55586408976238277</v>
      </c>
      <c r="H2037" s="1306">
        <v>3.6877434701703293E-2</v>
      </c>
      <c r="I2037" s="1303">
        <v>1.7947776950375065E-2</v>
      </c>
      <c r="J2037" s="1306">
        <v>2.9598277483944193E-4</v>
      </c>
      <c r="K2037" s="1303">
        <v>2.7661697830745307E-3</v>
      </c>
      <c r="L2037" s="1288">
        <v>2.0000015131040557E-3</v>
      </c>
      <c r="M2037" s="1280">
        <v>2.0000015131040557E-3</v>
      </c>
      <c r="N2037" s="1303">
        <v>2.1801352469808993E-2</v>
      </c>
      <c r="O2037" s="1288">
        <v>4.5340854269151935E-3</v>
      </c>
      <c r="P2037" s="1293">
        <v>2.2670427134575967E-3</v>
      </c>
      <c r="Q2037" s="1290">
        <v>1.8759295781990332E-2</v>
      </c>
    </row>
    <row r="2038" spans="1:17" s="212" customFormat="1" ht="15.5" x14ac:dyDescent="0.35">
      <c r="A2038" s="198">
        <v>2047</v>
      </c>
      <c r="B2038" s="197" t="s">
        <v>5838</v>
      </c>
      <c r="C2038" s="197">
        <v>2011</v>
      </c>
      <c r="D2038" s="225" t="str">
        <f t="shared" si="21"/>
        <v>2047_2011</v>
      </c>
      <c r="E2038" s="1287">
        <v>7.155415041917261E-2</v>
      </c>
      <c r="F2038" s="1306">
        <v>7.33314410719022E-3</v>
      </c>
      <c r="G2038" s="1303">
        <v>0.63688561905022933</v>
      </c>
      <c r="H2038" s="1306">
        <v>3.669768057806095E-2</v>
      </c>
      <c r="I2038" s="1303">
        <v>1.9747502521138126E-2</v>
      </c>
      <c r="J2038" s="1306">
        <v>3.9329353229486776E-4</v>
      </c>
      <c r="K2038" s="1303">
        <v>2.8882177641541633E-3</v>
      </c>
      <c r="L2038" s="1288">
        <v>2.0000014723524973E-3</v>
      </c>
      <c r="M2038" s="1280">
        <v>2.0000014723524973E-3</v>
      </c>
      <c r="N2038" s="1303">
        <v>2.4679151642437856E-2</v>
      </c>
      <c r="O2038" s="1288">
        <v>5.5633328327185233E-3</v>
      </c>
      <c r="P2038" s="1293">
        <v>2.7816664163592617E-3</v>
      </c>
      <c r="Q2038" s="1290">
        <v>2.0640396956899336E-2</v>
      </c>
    </row>
    <row r="2039" spans="1:17" s="212" customFormat="1" ht="15.5" x14ac:dyDescent="0.35">
      <c r="A2039" s="198">
        <v>2047</v>
      </c>
      <c r="B2039" s="197" t="s">
        <v>5838</v>
      </c>
      <c r="C2039" s="197">
        <v>2012</v>
      </c>
      <c r="D2039" s="225" t="str">
        <f t="shared" si="21"/>
        <v>2047_2012</v>
      </c>
      <c r="E2039" s="1287">
        <v>5.5784448606797772E-2</v>
      </c>
      <c r="F2039" s="1306">
        <v>6.9817831404980213E-3</v>
      </c>
      <c r="G2039" s="1303">
        <v>0.46403593877817129</v>
      </c>
      <c r="H2039" s="1306">
        <v>3.557158012808749E-2</v>
      </c>
      <c r="I2039" s="1303">
        <v>1.5774769852210012E-2</v>
      </c>
      <c r="J2039" s="1306">
        <v>5.6918698357212062E-4</v>
      </c>
      <c r="K2039" s="1303">
        <v>2.6355070997772191E-3</v>
      </c>
      <c r="L2039" s="1288">
        <v>2.0000015049020294E-3</v>
      </c>
      <c r="M2039" s="1280">
        <v>2.0000015049020294E-3</v>
      </c>
      <c r="N2039" s="1303">
        <v>1.8716980832416127E-2</v>
      </c>
      <c r="O2039" s="1288">
        <v>6.1052500731276372E-3</v>
      </c>
      <c r="P2039" s="1293">
        <v>3.0526250365638186E-3</v>
      </c>
      <c r="Q2039" s="1290">
        <v>1.6488034945422437E-2</v>
      </c>
    </row>
    <row r="2040" spans="1:17" s="212" customFormat="1" ht="15.5" x14ac:dyDescent="0.35">
      <c r="A2040" s="198">
        <v>2047</v>
      </c>
      <c r="B2040" s="197" t="s">
        <v>5838</v>
      </c>
      <c r="C2040" s="197">
        <v>2013</v>
      </c>
      <c r="D2040" s="225" t="str">
        <f t="shared" si="21"/>
        <v>2047_2013</v>
      </c>
      <c r="E2040" s="1287">
        <v>7.1034009576398979E-2</v>
      </c>
      <c r="F2040" s="1306">
        <v>7.4914433776210182E-3</v>
      </c>
      <c r="G2040" s="1303">
        <v>0.62987608720189414</v>
      </c>
      <c r="H2040" s="1306">
        <v>3.6829406150462006E-2</v>
      </c>
      <c r="I2040" s="1303">
        <v>1.9602018385836906E-2</v>
      </c>
      <c r="J2040" s="1306">
        <v>8.4947127377772941E-4</v>
      </c>
      <c r="K2040" s="1303">
        <v>2.8777633583765179E-3</v>
      </c>
      <c r="L2040" s="1288">
        <v>2.0000015055522298E-3</v>
      </c>
      <c r="M2040" s="1280">
        <v>2.0000015055522298E-3</v>
      </c>
      <c r="N2040" s="1303">
        <v>2.4431812395404536E-2</v>
      </c>
      <c r="O2040" s="1288">
        <v>6.1867542020606642E-3</v>
      </c>
      <c r="P2040" s="1293">
        <v>3.0933771010303321E-3</v>
      </c>
      <c r="Q2040" s="1290">
        <v>2.04883346745761E-2</v>
      </c>
    </row>
    <row r="2041" spans="1:17" s="212" customFormat="1" ht="15.5" x14ac:dyDescent="0.35">
      <c r="A2041" s="198">
        <v>2047</v>
      </c>
      <c r="B2041" s="197" t="s">
        <v>5838</v>
      </c>
      <c r="C2041" s="197">
        <v>2014</v>
      </c>
      <c r="D2041" s="225" t="str">
        <f t="shared" si="21"/>
        <v>2047_2014</v>
      </c>
      <c r="E2041" s="1287">
        <v>6.4310931983430034E-2</v>
      </c>
      <c r="F2041" s="1306">
        <v>7.6344757870567513E-3</v>
      </c>
      <c r="G2041" s="1303">
        <v>0.55753252649477769</v>
      </c>
      <c r="H2041" s="1306">
        <v>3.7252243725121148E-2</v>
      </c>
      <c r="I2041" s="1303">
        <v>1.7924533268290355E-2</v>
      </c>
      <c r="J2041" s="1306">
        <v>1.2015413757101325E-3</v>
      </c>
      <c r="K2041" s="1303">
        <v>2.772537735661532E-3</v>
      </c>
      <c r="L2041" s="1288">
        <v>2.0000015176393189E-3</v>
      </c>
      <c r="M2041" s="1280">
        <v>2.0000015176393189E-3</v>
      </c>
      <c r="N2041" s="1303">
        <v>2.1947022455801792E-2</v>
      </c>
      <c r="O2041" s="1288">
        <v>5.2983600558077545E-3</v>
      </c>
      <c r="P2041" s="1293">
        <v>2.6491800279038772E-3</v>
      </c>
      <c r="Q2041" s="1290">
        <v>1.8735001123744151E-2</v>
      </c>
    </row>
    <row r="2042" spans="1:17" s="212" customFormat="1" ht="15.5" x14ac:dyDescent="0.35">
      <c r="A2042" s="198">
        <v>2047</v>
      </c>
      <c r="B2042" s="197" t="s">
        <v>5838</v>
      </c>
      <c r="C2042" s="197">
        <v>2015</v>
      </c>
      <c r="D2042" s="225" t="str">
        <f t="shared" si="21"/>
        <v>2047_2015</v>
      </c>
      <c r="E2042" s="1287">
        <v>6.1011680118295671E-2</v>
      </c>
      <c r="F2042" s="1306">
        <v>7.4693755252676327E-3</v>
      </c>
      <c r="G2042" s="1303">
        <v>0.52545416177569482</v>
      </c>
      <c r="H2042" s="1306">
        <v>3.6398674302178281E-2</v>
      </c>
      <c r="I2042" s="1303">
        <v>1.7141245671877543E-2</v>
      </c>
      <c r="J2042" s="1306">
        <v>1.4839344988907541E-3</v>
      </c>
      <c r="K2042" s="1303">
        <v>2.7279136448667904E-3</v>
      </c>
      <c r="L2042" s="1288">
        <v>2.000001487513059E-3</v>
      </c>
      <c r="M2042" s="1280">
        <v>2.000001487513059E-3</v>
      </c>
      <c r="N2042" s="1303">
        <v>2.0884464107612365E-2</v>
      </c>
      <c r="O2042" s="1288">
        <v>6.2773230077009367E-3</v>
      </c>
      <c r="P2042" s="1293">
        <v>3.1386615038504683E-3</v>
      </c>
      <c r="Q2042" s="1290">
        <v>1.7916296738008632E-2</v>
      </c>
    </row>
    <row r="2043" spans="1:17" s="212" customFormat="1" ht="15.5" x14ac:dyDescent="0.35">
      <c r="A2043" s="198">
        <v>2047</v>
      </c>
      <c r="B2043" s="197" t="s">
        <v>5838</v>
      </c>
      <c r="C2043" s="197">
        <v>2016</v>
      </c>
      <c r="D2043" s="225" t="str">
        <f t="shared" si="21"/>
        <v>2047_2016</v>
      </c>
      <c r="E2043" s="1287">
        <v>6.9349952703698481E-2</v>
      </c>
      <c r="F2043" s="1306">
        <v>7.3236798022510326E-3</v>
      </c>
      <c r="G2043" s="1303">
        <v>0.54968828807990266</v>
      </c>
      <c r="H2043" s="1306">
        <v>3.5593708671135232E-2</v>
      </c>
      <c r="I2043" s="1303">
        <v>1.9273896434567953E-2</v>
      </c>
      <c r="J2043" s="1306">
        <v>1.6785797056181539E-3</v>
      </c>
      <c r="K2043" s="1303">
        <v>2.8735886532457312E-3</v>
      </c>
      <c r="L2043" s="1288">
        <v>2.0000014213277834E-3</v>
      </c>
      <c r="M2043" s="1280">
        <v>2.0000014213277834E-3</v>
      </c>
      <c r="N2043" s="1303">
        <v>2.4320445518068549E-2</v>
      </c>
      <c r="O2043" s="1288">
        <v>7.3822350159530974E-3</v>
      </c>
      <c r="P2043" s="1293">
        <v>3.6911175079765487E-3</v>
      </c>
      <c r="Q2043" s="1290">
        <v>2.0145376504690365E-2</v>
      </c>
    </row>
    <row r="2044" spans="1:17" s="212" customFormat="1" ht="15.5" x14ac:dyDescent="0.35">
      <c r="A2044" s="198">
        <v>2047</v>
      </c>
      <c r="B2044" s="197" t="s">
        <v>5838</v>
      </c>
      <c r="C2044" s="197">
        <v>2017</v>
      </c>
      <c r="D2044" s="225" t="str">
        <f t="shared" si="21"/>
        <v>2047_2017</v>
      </c>
      <c r="E2044" s="1287">
        <v>7.1224622613131963E-2</v>
      </c>
      <c r="F2044" s="1306">
        <v>7.0562372620092415E-3</v>
      </c>
      <c r="G2044" s="1303">
        <v>0.49337202672539443</v>
      </c>
      <c r="H2044" s="1306">
        <v>3.4896682245007617E-2</v>
      </c>
      <c r="I2044" s="1303">
        <v>1.9747510638873929E-2</v>
      </c>
      <c r="J2044" s="1306">
        <v>1.8017885450440484E-3</v>
      </c>
      <c r="K2044" s="1303">
        <v>2.9030387673138714E-3</v>
      </c>
      <c r="L2044" s="1288">
        <v>2.0000013962253827E-3</v>
      </c>
      <c r="M2044" s="1280">
        <v>2.0000013962253827E-3</v>
      </c>
      <c r="N2044" s="1303">
        <v>2.5018122141380106E-2</v>
      </c>
      <c r="O2044" s="1288">
        <v>7.3999636002440878E-3</v>
      </c>
      <c r="P2044" s="1293">
        <v>3.6999818001220439E-3</v>
      </c>
      <c r="Q2044" s="1290">
        <v>2.0640405441683135E-2</v>
      </c>
    </row>
    <row r="2045" spans="1:17" s="212" customFormat="1" ht="15.5" x14ac:dyDescent="0.35">
      <c r="A2045" s="198">
        <v>2047</v>
      </c>
      <c r="B2045" s="197" t="s">
        <v>5838</v>
      </c>
      <c r="C2045" s="197">
        <v>2018</v>
      </c>
      <c r="D2045" s="225" t="str">
        <f t="shared" si="21"/>
        <v>2047_2018</v>
      </c>
      <c r="E2045" s="1287">
        <v>6.7941206580391281E-2</v>
      </c>
      <c r="F2045" s="1306">
        <v>6.9596342713096736E-3</v>
      </c>
      <c r="G2045" s="1303">
        <v>0.38562893832023043</v>
      </c>
      <c r="H2045" s="1306">
        <v>3.458515738819018E-2</v>
      </c>
      <c r="I2045" s="1303">
        <v>1.8907365681076382E-2</v>
      </c>
      <c r="J2045" s="1306">
        <v>1.906575729155491E-3</v>
      </c>
      <c r="K2045" s="1303">
        <v>2.8454248722482125E-3</v>
      </c>
      <c r="L2045" s="1288">
        <v>2.0000014015024064E-3</v>
      </c>
      <c r="M2045" s="1280">
        <v>2.0000014015024064E-3</v>
      </c>
      <c r="N2045" s="1303">
        <v>2.3658714405733722E-2</v>
      </c>
      <c r="O2045" s="1288">
        <v>6.7222979408985938E-3</v>
      </c>
      <c r="P2045" s="1293">
        <v>3.3611489704492969E-3</v>
      </c>
      <c r="Q2045" s="1290">
        <v>1.9762272856982097E-2</v>
      </c>
    </row>
    <row r="2046" spans="1:17" s="212" customFormat="1" ht="15.5" x14ac:dyDescent="0.35">
      <c r="A2046" s="198">
        <v>2047</v>
      </c>
      <c r="B2046" s="197" t="s">
        <v>5838</v>
      </c>
      <c r="C2046" s="197">
        <v>2019</v>
      </c>
      <c r="D2046" s="225" t="str">
        <f t="shared" si="21"/>
        <v>2047_2019</v>
      </c>
      <c r="E2046" s="1287">
        <v>7.4080936640824269E-2</v>
      </c>
      <c r="F2046" s="1306">
        <v>6.8505493838653311E-3</v>
      </c>
      <c r="G2046" s="1303">
        <v>0.37313186667665205</v>
      </c>
      <c r="H2046" s="1306">
        <v>3.398169880585887E-2</v>
      </c>
      <c r="I2046" s="1303">
        <v>2.0487295918500174E-2</v>
      </c>
      <c r="J2046" s="1306">
        <v>1.8118217596623269E-3</v>
      </c>
      <c r="K2046" s="1303">
        <v>2.9549066752159025E-3</v>
      </c>
      <c r="L2046" s="1288">
        <v>2.0000013391668668E-3</v>
      </c>
      <c r="M2046" s="1280">
        <v>2.0000013391668668E-3</v>
      </c>
      <c r="N2046" s="1303">
        <v>2.6239125771325131E-2</v>
      </c>
      <c r="O2046" s="1288">
        <v>6.8015261337748215E-3</v>
      </c>
      <c r="P2046" s="1293">
        <v>3.4007630668874108E-3</v>
      </c>
      <c r="Q2046" s="1290">
        <v>2.1413640528905584E-2</v>
      </c>
    </row>
    <row r="2047" spans="1:17" s="212" customFormat="1" ht="15.5" x14ac:dyDescent="0.35">
      <c r="A2047" s="198">
        <v>2047</v>
      </c>
      <c r="B2047" s="197" t="s">
        <v>5838</v>
      </c>
      <c r="C2047" s="197">
        <v>2020</v>
      </c>
      <c r="D2047" s="225" t="str">
        <f t="shared" si="21"/>
        <v>2047_2020</v>
      </c>
      <c r="E2047" s="1287">
        <v>6.4661711991886694E-2</v>
      </c>
      <c r="F2047" s="1306">
        <v>6.7349060899089801E-3</v>
      </c>
      <c r="G2047" s="1303">
        <v>0.29115740100392762</v>
      </c>
      <c r="H2047" s="1306">
        <v>3.3090453647845242E-2</v>
      </c>
      <c r="I2047" s="1303">
        <v>1.8576237619670474E-2</v>
      </c>
      <c r="J2047" s="1306">
        <v>1.3492056509445125E-3</v>
      </c>
      <c r="K2047" s="1303">
        <v>2.9323678463521585E-3</v>
      </c>
      <c r="L2047" s="1288">
        <v>2.0000014196270744E-3</v>
      </c>
      <c r="M2047" s="1280">
        <v>2.0000014196270744E-3</v>
      </c>
      <c r="N2047" s="1303">
        <v>2.5714806528246963E-2</v>
      </c>
      <c r="O2047" s="1288">
        <v>6.9718521279854943E-3</v>
      </c>
      <c r="P2047" s="1293">
        <v>3.4859260639927472E-3</v>
      </c>
      <c r="Q2047" s="1290">
        <v>1.9416172653998417E-2</v>
      </c>
    </row>
    <row r="2048" spans="1:17" s="212" customFormat="1" ht="15.5" x14ac:dyDescent="0.35">
      <c r="A2048" s="198">
        <v>2047</v>
      </c>
      <c r="B2048" s="197" t="s">
        <v>5838</v>
      </c>
      <c r="C2048" s="197">
        <v>2021</v>
      </c>
      <c r="D2048" s="225" t="str">
        <f t="shared" si="21"/>
        <v>2047_2021</v>
      </c>
      <c r="E2048" s="1287">
        <v>6.4000742964484256E-2</v>
      </c>
      <c r="F2048" s="1306">
        <v>6.5565798402865711E-3</v>
      </c>
      <c r="G2048" s="1303">
        <v>0.23800393410109066</v>
      </c>
      <c r="H2048" s="1306">
        <v>3.2328407896577177E-2</v>
      </c>
      <c r="I2048" s="1303">
        <v>1.8234671602028296E-2</v>
      </c>
      <c r="J2048" s="1306">
        <v>8.9318326355522883E-4</v>
      </c>
      <c r="K2048" s="1303">
        <v>2.93190850353559E-3</v>
      </c>
      <c r="L2048" s="1288">
        <v>2.0000014261718022E-3</v>
      </c>
      <c r="M2048" s="1280">
        <v>2.0000014261718022E-3</v>
      </c>
      <c r="N2048" s="1303">
        <v>2.5703865032162126E-2</v>
      </c>
      <c r="O2048" s="1288">
        <v>6.9814294725601021E-3</v>
      </c>
      <c r="P2048" s="1293">
        <v>3.490714736280051E-3</v>
      </c>
      <c r="Q2048" s="1290">
        <v>1.9059162536715218E-2</v>
      </c>
    </row>
    <row r="2049" spans="1:17" s="212" customFormat="1" ht="15.5" x14ac:dyDescent="0.35">
      <c r="A2049" s="198">
        <v>2047</v>
      </c>
      <c r="B2049" s="197" t="s">
        <v>5838</v>
      </c>
      <c r="C2049" s="197">
        <v>2022</v>
      </c>
      <c r="D2049" s="225" t="str">
        <f t="shared" si="21"/>
        <v>2047_2022</v>
      </c>
      <c r="E2049" s="1287">
        <v>6.3857629684856324E-2</v>
      </c>
      <c r="F2049" s="1306">
        <v>6.4400543221676846E-3</v>
      </c>
      <c r="G2049" s="1303">
        <v>0.18423743686259947</v>
      </c>
      <c r="H2049" s="1306">
        <v>3.1637530456174567E-2</v>
      </c>
      <c r="I2049" s="1303">
        <v>1.8188466738734536E-2</v>
      </c>
      <c r="J2049" s="1306">
        <v>8.9259123370344785E-4</v>
      </c>
      <c r="K2049" s="1303">
        <v>2.9291115836234992E-3</v>
      </c>
      <c r="L2049" s="1288">
        <v>2.0000014356376622E-3</v>
      </c>
      <c r="M2049" s="1280">
        <v>2.0000014356376622E-3</v>
      </c>
      <c r="N2049" s="1303">
        <v>2.5638109893011764E-2</v>
      </c>
      <c r="O2049" s="1288">
        <v>6.9558947216108264E-3</v>
      </c>
      <c r="P2049" s="1293">
        <v>3.4779473608054132E-3</v>
      </c>
      <c r="Q2049" s="1290">
        <v>1.9010868494534261E-2</v>
      </c>
    </row>
    <row r="2050" spans="1:17" s="212" customFormat="1" ht="15.5" x14ac:dyDescent="0.35">
      <c r="A2050" s="198">
        <v>2047</v>
      </c>
      <c r="B2050" s="197" t="s">
        <v>5838</v>
      </c>
      <c r="C2050" s="197">
        <v>2023</v>
      </c>
      <c r="D2050" s="225" t="str">
        <f t="shared" si="21"/>
        <v>2047_2023</v>
      </c>
      <c r="E2050" s="1287">
        <v>6.3717055999348654E-2</v>
      </c>
      <c r="F2050" s="1306">
        <v>6.2013781421266121E-3</v>
      </c>
      <c r="G2050" s="1303">
        <v>0.18377093482029094</v>
      </c>
      <c r="H2050" s="1306">
        <v>3.1021215218499838E-2</v>
      </c>
      <c r="I2050" s="1303">
        <v>1.8143282711335612E-2</v>
      </c>
      <c r="J2050" s="1306">
        <v>8.9163004022510474E-4</v>
      </c>
      <c r="K2050" s="1303">
        <v>2.9263866326258662E-3</v>
      </c>
      <c r="L2050" s="1288">
        <v>2.0000014447426081E-3</v>
      </c>
      <c r="M2050" s="1280">
        <v>2.0000014447426081E-3</v>
      </c>
      <c r="N2050" s="1303">
        <v>2.5573835020169088E-2</v>
      </c>
      <c r="O2050" s="1288">
        <v>6.9039644629586717E-3</v>
      </c>
      <c r="P2050" s="1293">
        <v>3.4519822314793358E-3</v>
      </c>
      <c r="Q2050" s="1290">
        <v>1.896364144591756E-2</v>
      </c>
    </row>
    <row r="2051" spans="1:17" s="212" customFormat="1" ht="15.5" x14ac:dyDescent="0.35">
      <c r="A2051" s="198">
        <v>2047</v>
      </c>
      <c r="B2051" s="197" t="s">
        <v>5838</v>
      </c>
      <c r="C2051" s="197">
        <v>2024</v>
      </c>
      <c r="D2051" s="225" t="str">
        <f t="shared" si="21"/>
        <v>2047_2024</v>
      </c>
      <c r="E2051" s="1287">
        <v>6.3257027506148381E-2</v>
      </c>
      <c r="F2051" s="1306">
        <v>5.6810796653106359E-3</v>
      </c>
      <c r="G2051" s="1303">
        <v>0.18223615039252677</v>
      </c>
      <c r="H2051" s="1306">
        <v>3.0024900678863035E-2</v>
      </c>
      <c r="I2051" s="1303">
        <v>1.7978100307248161E-2</v>
      </c>
      <c r="J2051" s="1306">
        <v>8.8943057423930539E-4</v>
      </c>
      <c r="K2051" s="1303">
        <v>2.9192948344570024E-3</v>
      </c>
      <c r="L2051" s="1288">
        <v>2.0000014651823162E-3</v>
      </c>
      <c r="M2051" s="1306">
        <v>2.0000005733852347E-3</v>
      </c>
      <c r="N2051" s="1303">
        <v>2.5406835419214457E-2</v>
      </c>
      <c r="O2051" s="1288">
        <v>6.7220437794912134E-3</v>
      </c>
      <c r="P2051" s="1294">
        <v>4.0596335864477749E-3</v>
      </c>
      <c r="Q2051" s="1290">
        <v>1.8790990226503334E-2</v>
      </c>
    </row>
    <row r="2052" spans="1:17" s="212" customFormat="1" ht="15.5" x14ac:dyDescent="0.35">
      <c r="A2052" s="198">
        <v>2047</v>
      </c>
      <c r="B2052" s="197" t="s">
        <v>5838</v>
      </c>
      <c r="C2052" s="197">
        <v>2025</v>
      </c>
      <c r="D2052" s="225" t="str">
        <f t="shared" si="21"/>
        <v>2047_2025</v>
      </c>
      <c r="E2052" s="1287">
        <v>6.2821257447864917E-2</v>
      </c>
      <c r="F2052" s="1306">
        <v>5.2254344235413116E-3</v>
      </c>
      <c r="G2052" s="1303">
        <v>0.18065978974810687</v>
      </c>
      <c r="H2052" s="1306">
        <v>2.9157620006805132E-2</v>
      </c>
      <c r="I2052" s="1303">
        <v>1.7792662873209318E-2</v>
      </c>
      <c r="J2052" s="1306">
        <v>8.8816563705935493E-4</v>
      </c>
      <c r="K2052" s="1303">
        <v>2.9136519688979148E-3</v>
      </c>
      <c r="L2052" s="1288">
        <v>2.0000014836864359E-3</v>
      </c>
      <c r="M2052" s="1306">
        <v>2.0000005734200402E-3</v>
      </c>
      <c r="N2052" s="1303">
        <v>2.5273464065171974E-2</v>
      </c>
      <c r="O2052" s="1288">
        <v>6.6200646406887357E-3</v>
      </c>
      <c r="P2052" s="1294">
        <v>4.5262256924165087E-3</v>
      </c>
      <c r="Q2052" s="1290">
        <v>1.8597168134563701E-2</v>
      </c>
    </row>
    <row r="2053" spans="1:17" s="212" customFormat="1" ht="15.5" x14ac:dyDescent="0.35">
      <c r="A2053" s="198">
        <v>2047</v>
      </c>
      <c r="B2053" s="197" t="s">
        <v>5838</v>
      </c>
      <c r="C2053" s="197">
        <v>2026</v>
      </c>
      <c r="D2053" s="225" t="str">
        <f t="shared" si="21"/>
        <v>2047_2026</v>
      </c>
      <c r="E2053" s="1287">
        <v>6.2257208868621024E-2</v>
      </c>
      <c r="F2053" s="1306">
        <v>5.2685507974402721E-3</v>
      </c>
      <c r="G2053" s="1303">
        <v>0.17857982469722333</v>
      </c>
      <c r="H2053" s="1306">
        <v>2.9133630972688229E-2</v>
      </c>
      <c r="I2053" s="1303">
        <v>1.7541340507715476E-2</v>
      </c>
      <c r="J2053" s="1306">
        <v>7.748106615506539E-4</v>
      </c>
      <c r="K2053" s="1303">
        <v>2.9069148057238228E-3</v>
      </c>
      <c r="L2053" s="1288">
        <v>2.0000015019175886E-3</v>
      </c>
      <c r="M2053" s="1306">
        <v>2.0000005734870023E-3</v>
      </c>
      <c r="N2053" s="1303">
        <v>2.5113921244412033E-2</v>
      </c>
      <c r="O2053" s="1288">
        <v>6.4663616579538558E-3</v>
      </c>
      <c r="P2053" s="1294">
        <v>5.427817312174745E-3</v>
      </c>
      <c r="Q2053" s="1290">
        <v>1.8334482086928703E-2</v>
      </c>
    </row>
    <row r="2054" spans="1:17" s="212" customFormat="1" ht="15.5" x14ac:dyDescent="0.35">
      <c r="A2054" s="198">
        <v>2047</v>
      </c>
      <c r="B2054" s="197" t="s">
        <v>5838</v>
      </c>
      <c r="C2054" s="197">
        <v>2027</v>
      </c>
      <c r="D2054" s="225" t="str">
        <f t="shared" si="21"/>
        <v>2047_2027</v>
      </c>
      <c r="E2054" s="1287">
        <v>6.1516954009424876E-2</v>
      </c>
      <c r="F2054" s="1306">
        <v>5.3413411427833237E-3</v>
      </c>
      <c r="G2054" s="1303">
        <v>0.17585438949132606</v>
      </c>
      <c r="H2054" s="1306">
        <v>2.9098927886273329E-2</v>
      </c>
      <c r="I2054" s="1303">
        <v>1.7210695397609211E-2</v>
      </c>
      <c r="J2054" s="1306">
        <v>6.4115166272409345E-4</v>
      </c>
      <c r="K2054" s="1303">
        <v>2.8982491011284583E-3</v>
      </c>
      <c r="L2054" s="1288">
        <v>2.0000015203085063E-3</v>
      </c>
      <c r="M2054" s="1306">
        <v>2.0000005735535268E-3</v>
      </c>
      <c r="N2054" s="1303">
        <v>2.4908491344734825E-2</v>
      </c>
      <c r="O2054" s="1288">
        <v>6.2990497717178165E-3</v>
      </c>
      <c r="P2054" s="1294">
        <v>6.3183105503308657E-3</v>
      </c>
      <c r="Q2054" s="1290">
        <v>1.7988886672159338E-2</v>
      </c>
    </row>
    <row r="2055" spans="1:17" s="212" customFormat="1" ht="15.5" x14ac:dyDescent="0.35">
      <c r="A2055" s="198">
        <v>2047</v>
      </c>
      <c r="B2055" s="197" t="s">
        <v>5838</v>
      </c>
      <c r="C2055" s="197">
        <v>2028</v>
      </c>
      <c r="D2055" s="225" t="str">
        <f t="shared" si="21"/>
        <v>2047_2028</v>
      </c>
      <c r="E2055" s="1287">
        <v>6.0651097289387404E-2</v>
      </c>
      <c r="F2055" s="1306">
        <v>5.3464309098127097E-3</v>
      </c>
      <c r="G2055" s="1303">
        <v>0.17264426874417546</v>
      </c>
      <c r="H2055" s="1306">
        <v>2.8962920391130336E-2</v>
      </c>
      <c r="I2055" s="1303">
        <v>1.6817366749253011E-2</v>
      </c>
      <c r="J2055" s="1306">
        <v>5.2412711288439887E-4</v>
      </c>
      <c r="K2055" s="1303">
        <v>2.8884657798041342E-3</v>
      </c>
      <c r="L2055" s="1288">
        <v>2.0000015386893626E-3</v>
      </c>
      <c r="M2055" s="1306">
        <v>2.000000573599117E-3</v>
      </c>
      <c r="N2055" s="1303">
        <v>2.4676063569116568E-2</v>
      </c>
      <c r="O2055" s="1288">
        <v>6.1118779482713216E-3</v>
      </c>
      <c r="P2055" s="1294">
        <v>6.9217453452167024E-3</v>
      </c>
      <c r="Q2055" s="1290">
        <v>1.7577773447694543E-2</v>
      </c>
    </row>
    <row r="2056" spans="1:17" s="212" customFormat="1" ht="15.5" x14ac:dyDescent="0.35">
      <c r="A2056" s="198">
        <v>2047</v>
      </c>
      <c r="B2056" s="197" t="s">
        <v>5838</v>
      </c>
      <c r="C2056" s="197">
        <v>2029</v>
      </c>
      <c r="D2056" s="225" t="str">
        <f t="shared" si="21"/>
        <v>2047_2029</v>
      </c>
      <c r="E2056" s="1287">
        <v>5.9691472875226151E-2</v>
      </c>
      <c r="F2056" s="1306">
        <v>5.3405191618745296E-3</v>
      </c>
      <c r="G2056" s="1303">
        <v>0.16905188515480035</v>
      </c>
      <c r="H2056" s="1306">
        <v>2.8760721428384619E-2</v>
      </c>
      <c r="I2056" s="1303">
        <v>1.63721701948569E-2</v>
      </c>
      <c r="J2056" s="1306">
        <v>5.1981264770927795E-4</v>
      </c>
      <c r="K2056" s="1303">
        <v>2.8780579783604823E-3</v>
      </c>
      <c r="L2056" s="1288">
        <v>2.0000015595578015E-3</v>
      </c>
      <c r="M2056" s="1306">
        <v>2.0000005736339021E-3</v>
      </c>
      <c r="N2056" s="1303">
        <v>2.4428150888053918E-2</v>
      </c>
      <c r="O2056" s="1288">
        <v>5.9329225058069217E-3</v>
      </c>
      <c r="P2056" s="1294">
        <v>7.3795818976985054E-3</v>
      </c>
      <c r="Q2056" s="1290">
        <v>1.7112447080639064E-2</v>
      </c>
    </row>
    <row r="2057" spans="1:17" s="212" customFormat="1" ht="15.5" x14ac:dyDescent="0.35">
      <c r="A2057" s="198">
        <v>2047</v>
      </c>
      <c r="B2057" s="197" t="s">
        <v>5838</v>
      </c>
      <c r="C2057" s="197">
        <v>2030</v>
      </c>
      <c r="D2057" s="225" t="str">
        <f t="shared" si="21"/>
        <v>2047_2030</v>
      </c>
      <c r="E2057" s="1287">
        <v>5.8456464731665769E-2</v>
      </c>
      <c r="F2057" s="1306">
        <v>5.3433532445060026E-3</v>
      </c>
      <c r="G2057" s="1303">
        <v>0.16454538088348677</v>
      </c>
      <c r="H2057" s="1306">
        <v>2.8530491055046441E-2</v>
      </c>
      <c r="I2057" s="1303">
        <v>1.5824256545836919E-2</v>
      </c>
      <c r="J2057" s="1306">
        <v>5.1499767722877046E-4</v>
      </c>
      <c r="K2057" s="1303">
        <v>2.86395355156385E-3</v>
      </c>
      <c r="L2057" s="1288">
        <v>2.0000015830719023E-3</v>
      </c>
      <c r="M2057" s="1306">
        <v>2.0000005736542808E-3</v>
      </c>
      <c r="N2057" s="1303">
        <v>2.4092126410244934E-2</v>
      </c>
      <c r="O2057" s="1288">
        <v>5.7308480809292262E-3</v>
      </c>
      <c r="P2057" s="1294">
        <v>7.6443369511543383E-3</v>
      </c>
      <c r="Q2057" s="1290">
        <v>1.6539759207741221E-2</v>
      </c>
    </row>
    <row r="2058" spans="1:17" s="212" customFormat="1" ht="15.5" x14ac:dyDescent="0.35">
      <c r="A2058" s="198">
        <v>2047</v>
      </c>
      <c r="B2058" s="197" t="s">
        <v>5838</v>
      </c>
      <c r="C2058" s="197">
        <v>2031</v>
      </c>
      <c r="D2058" s="225" t="str">
        <f t="shared" si="21"/>
        <v>2047_2031</v>
      </c>
      <c r="E2058" s="1287">
        <v>5.7150162943469911E-2</v>
      </c>
      <c r="F2058" s="1306">
        <v>5.283845400172728E-3</v>
      </c>
      <c r="G2058" s="1303">
        <v>0.15974613774135429</v>
      </c>
      <c r="H2058" s="1306">
        <v>2.8191705146726916E-2</v>
      </c>
      <c r="I2058" s="1303">
        <v>1.5235702797086742E-2</v>
      </c>
      <c r="J2058" s="1306">
        <v>5.1027008238794191E-4</v>
      </c>
      <c r="K2058" s="1303">
        <v>2.8494948812098192E-3</v>
      </c>
      <c r="L2058" s="1288">
        <v>2.0000016029453477E-3</v>
      </c>
      <c r="M2058" s="1306">
        <v>2.0000005736824844E-3</v>
      </c>
      <c r="N2058" s="1303">
        <v>2.3746328676277805E-2</v>
      </c>
      <c r="O2058" s="1288">
        <v>5.5294993536346721E-3</v>
      </c>
      <c r="P2058" s="1294">
        <v>8.013230850828763E-3</v>
      </c>
      <c r="Q2058" s="1290">
        <v>1.5924593670141117E-2</v>
      </c>
    </row>
    <row r="2059" spans="1:17" s="212" customFormat="1" ht="15.5" x14ac:dyDescent="0.35">
      <c r="A2059" s="198">
        <v>2047</v>
      </c>
      <c r="B2059" s="197" t="s">
        <v>5838</v>
      </c>
      <c r="C2059" s="197">
        <v>2032</v>
      </c>
      <c r="D2059" s="225" t="str">
        <f t="shared" si="21"/>
        <v>2047_2032</v>
      </c>
      <c r="E2059" s="1287">
        <v>5.5707850715586461E-2</v>
      </c>
      <c r="F2059" s="1306">
        <v>5.2122606339597023E-3</v>
      </c>
      <c r="G2059" s="1303">
        <v>0.15447349024025075</v>
      </c>
      <c r="H2059" s="1306">
        <v>2.7785296362783065E-2</v>
      </c>
      <c r="I2059" s="1303">
        <v>1.4590234107322424E-2</v>
      </c>
      <c r="J2059" s="1306">
        <v>5.0604548195213336E-4</v>
      </c>
      <c r="K2059" s="1303">
        <v>2.8335409614789024E-3</v>
      </c>
      <c r="L2059" s="1288">
        <v>2.0000016230209685E-3</v>
      </c>
      <c r="M2059" s="1306">
        <v>2.0000005737081739E-3</v>
      </c>
      <c r="N2059" s="1303">
        <v>2.3363688202285657E-2</v>
      </c>
      <c r="O2059" s="1288">
        <v>5.341698035852202E-3</v>
      </c>
      <c r="P2059" s="1294">
        <v>8.3374412196495357E-3</v>
      </c>
      <c r="Q2059" s="1290">
        <v>1.5249939750450548E-2</v>
      </c>
    </row>
    <row r="2060" spans="1:17" s="212" customFormat="1" ht="15.5" x14ac:dyDescent="0.35">
      <c r="A2060" s="198">
        <v>2047</v>
      </c>
      <c r="B2060" s="197" t="s">
        <v>5838</v>
      </c>
      <c r="C2060" s="197">
        <v>2033</v>
      </c>
      <c r="D2060" s="225" t="str">
        <f t="shared" si="21"/>
        <v>2047_2033</v>
      </c>
      <c r="E2060" s="1287">
        <v>5.4181965347984973E-2</v>
      </c>
      <c r="F2060" s="1306">
        <v>5.1312375888609776E-3</v>
      </c>
      <c r="G2060" s="1303">
        <v>0.14889293616685034</v>
      </c>
      <c r="H2060" s="1306">
        <v>2.732592245729977E-2</v>
      </c>
      <c r="I2060" s="1303">
        <v>1.3905159152666949E-2</v>
      </c>
      <c r="J2060" s="1306">
        <v>5.0182226922607619E-4</v>
      </c>
      <c r="K2060" s="1303">
        <v>2.8169068290481779E-3</v>
      </c>
      <c r="L2060" s="1288">
        <v>2.000001644197706E-3</v>
      </c>
      <c r="M2060" s="1306">
        <v>2.0000005737301962E-3</v>
      </c>
      <c r="N2060" s="1303">
        <v>2.2963208567931718E-2</v>
      </c>
      <c r="O2060" s="1288">
        <v>5.1488440730737611E-3</v>
      </c>
      <c r="P2060" s="1294">
        <v>8.620741421542186E-3</v>
      </c>
      <c r="Q2060" s="1290">
        <v>1.4533888746320705E-2</v>
      </c>
    </row>
    <row r="2061" spans="1:17" s="212" customFormat="1" ht="15.5" x14ac:dyDescent="0.35">
      <c r="A2061" s="198">
        <v>2047</v>
      </c>
      <c r="B2061" s="197" t="s">
        <v>5838</v>
      </c>
      <c r="C2061" s="197">
        <v>2034</v>
      </c>
      <c r="D2061" s="225" t="str">
        <f t="shared" si="21"/>
        <v>2047_2034</v>
      </c>
      <c r="E2061" s="1287">
        <v>5.2426351293807773E-2</v>
      </c>
      <c r="F2061" s="1306">
        <v>5.0387215758165441E-3</v>
      </c>
      <c r="G2061" s="1303">
        <v>0.14259883097201698</v>
      </c>
      <c r="H2061" s="1306">
        <v>2.6804931425905565E-2</v>
      </c>
      <c r="I2061" s="1303">
        <v>1.3144214409147257E-2</v>
      </c>
      <c r="J2061" s="1306">
        <v>4.9785508834859489E-4</v>
      </c>
      <c r="K2061" s="1303">
        <v>2.7970128413671957E-3</v>
      </c>
      <c r="L2061" s="1288">
        <v>2.0000016650187956E-3</v>
      </c>
      <c r="M2061" s="1306">
        <v>2.0000005737495562E-3</v>
      </c>
      <c r="N2061" s="1303">
        <v>2.2483405938071053E-2</v>
      </c>
      <c r="O2061" s="1288">
        <v>4.961795221610471E-3</v>
      </c>
      <c r="P2061" s="1294">
        <v>8.8677857500048616E-3</v>
      </c>
      <c r="Q2061" s="1290">
        <v>1.3738537458141346E-2</v>
      </c>
    </row>
    <row r="2062" spans="1:17" s="212" customFormat="1" ht="15.5" x14ac:dyDescent="0.35">
      <c r="A2062" s="198">
        <v>2047</v>
      </c>
      <c r="B2062" s="197" t="s">
        <v>5838</v>
      </c>
      <c r="C2062" s="197">
        <v>2035</v>
      </c>
      <c r="D2062" s="225" t="str">
        <f t="shared" si="21"/>
        <v>2047_2035</v>
      </c>
      <c r="E2062" s="1287">
        <v>5.0556471397701731E-2</v>
      </c>
      <c r="F2062" s="1306">
        <v>4.9351886667212555E-3</v>
      </c>
      <c r="G2062" s="1303">
        <v>0.13594591216362117</v>
      </c>
      <c r="H2062" s="1306">
        <v>2.6225706948839762E-2</v>
      </c>
      <c r="I2062" s="1303">
        <v>1.2343220767094362E-2</v>
      </c>
      <c r="J2062" s="1306">
        <v>4.9397074236172281E-4</v>
      </c>
      <c r="K2062" s="1303">
        <v>2.7757294432215742E-3</v>
      </c>
      <c r="L2062" s="1288">
        <v>2.0000016845505321E-3</v>
      </c>
      <c r="M2062" s="1306">
        <v>2.0000005737675131E-3</v>
      </c>
      <c r="N2062" s="1303">
        <v>2.1968080237878232E-2</v>
      </c>
      <c r="O2062" s="1288">
        <v>4.7738220347165504E-3</v>
      </c>
      <c r="P2062" s="1294">
        <v>9.0971139695114524E-3</v>
      </c>
      <c r="Q2062" s="1290">
        <v>1.2901326437951367E-2</v>
      </c>
    </row>
    <row r="2063" spans="1:17" s="212" customFormat="1" ht="15.5" x14ac:dyDescent="0.35">
      <c r="A2063" s="198">
        <v>2047</v>
      </c>
      <c r="B2063" s="197" t="s">
        <v>5838</v>
      </c>
      <c r="C2063" s="197">
        <v>2036</v>
      </c>
      <c r="D2063" s="225" t="str">
        <f t="shared" si="21"/>
        <v>2047_2036</v>
      </c>
      <c r="E2063" s="1287">
        <v>4.9616854452918392E-2</v>
      </c>
      <c r="F2063" s="1306">
        <v>4.8056296076532268E-3</v>
      </c>
      <c r="G2063" s="1303">
        <v>0.13186022356045304</v>
      </c>
      <c r="H2063" s="1306">
        <v>2.5505573818907952E-2</v>
      </c>
      <c r="I2063" s="1303">
        <v>1.1767140943852448E-2</v>
      </c>
      <c r="J2063" s="1306">
        <v>4.9366395777995407E-4</v>
      </c>
      <c r="K2063" s="1303">
        <v>2.7713355634480835E-3</v>
      </c>
      <c r="L2063" s="1288">
        <v>2.0000016982731385E-3</v>
      </c>
      <c r="M2063" s="1306">
        <v>2.0000005737646083E-3</v>
      </c>
      <c r="N2063" s="1303">
        <v>2.1852293485537581E-2</v>
      </c>
      <c r="O2063" s="1288">
        <v>4.7150893072760913E-3</v>
      </c>
      <c r="P2063" s="1294">
        <v>9.0507975717171365E-3</v>
      </c>
      <c r="Q2063" s="1290">
        <v>1.2299198841418876E-2</v>
      </c>
    </row>
    <row r="2064" spans="1:17" s="212" customFormat="1" ht="15.5" x14ac:dyDescent="0.35">
      <c r="A2064" s="198">
        <v>2047</v>
      </c>
      <c r="B2064" s="197" t="s">
        <v>5838</v>
      </c>
      <c r="C2064" s="197">
        <v>2037</v>
      </c>
      <c r="D2064" s="225" t="str">
        <f t="shared" si="21"/>
        <v>2047_2037</v>
      </c>
      <c r="E2064" s="1287">
        <v>4.8721977140633685E-2</v>
      </c>
      <c r="F2064" s="1306">
        <v>4.6669536196326947E-3</v>
      </c>
      <c r="G2064" s="1303">
        <v>0.12780318152348982</v>
      </c>
      <c r="H2064" s="1306">
        <v>2.4734233441307148E-2</v>
      </c>
      <c r="I2064" s="1303">
        <v>1.1179107830037976E-2</v>
      </c>
      <c r="J2064" s="1306">
        <v>4.9323210644673936E-4</v>
      </c>
      <c r="K2064" s="1303">
        <v>2.768622504850288E-3</v>
      </c>
      <c r="L2064" s="1288">
        <v>2.0000017117876457E-3</v>
      </c>
      <c r="M2064" s="1306">
        <v>2.0000005737614407E-3</v>
      </c>
      <c r="N2064" s="1303">
        <v>2.1775372656558444E-2</v>
      </c>
      <c r="O2064" s="1288">
        <v>4.647938864570253E-3</v>
      </c>
      <c r="P2064" s="1294">
        <v>9.0079069044448814E-3</v>
      </c>
      <c r="Q2064" s="1290">
        <v>1.1684577479555957E-2</v>
      </c>
    </row>
    <row r="2065" spans="1:17" s="212" customFormat="1" ht="15.5" x14ac:dyDescent="0.35">
      <c r="A2065" s="198">
        <v>2047</v>
      </c>
      <c r="B2065" s="197" t="s">
        <v>5838</v>
      </c>
      <c r="C2065" s="197">
        <v>2038</v>
      </c>
      <c r="D2065" s="225" t="str">
        <f t="shared" si="21"/>
        <v>2047_2038</v>
      </c>
      <c r="E2065" s="1287">
        <v>4.7700516648535217E-2</v>
      </c>
      <c r="F2065" s="1306">
        <v>4.5182277617996907E-3</v>
      </c>
      <c r="G2065" s="1303">
        <v>0.12330204003441736</v>
      </c>
      <c r="H2065" s="1306">
        <v>2.3903369803271617E-2</v>
      </c>
      <c r="I2065" s="1303">
        <v>1.0537180814629208E-2</v>
      </c>
      <c r="J2065" s="1306">
        <v>4.9305405717867416E-4</v>
      </c>
      <c r="K2065" s="1303">
        <v>2.7645500956082832E-3</v>
      </c>
      <c r="L2065" s="1288">
        <v>2.0000017280415415E-3</v>
      </c>
      <c r="M2065" s="1306">
        <v>2.0000005737584067E-3</v>
      </c>
      <c r="N2065" s="1303">
        <v>2.1664995429145552E-2</v>
      </c>
      <c r="O2065" s="1288">
        <v>4.584381223766372E-3</v>
      </c>
      <c r="P2065" s="1294">
        <v>8.965414048592182E-3</v>
      </c>
      <c r="Q2065" s="1290">
        <v>1.1013625373019406E-2</v>
      </c>
    </row>
    <row r="2066" spans="1:17" s="212" customFormat="1" ht="15.5" x14ac:dyDescent="0.35">
      <c r="A2066" s="198">
        <v>2047</v>
      </c>
      <c r="B2066" s="197" t="s">
        <v>5838</v>
      </c>
      <c r="C2066" s="197">
        <v>2039</v>
      </c>
      <c r="D2066" s="225" t="str">
        <f t="shared" si="21"/>
        <v>2047_2039</v>
      </c>
      <c r="E2066" s="1287">
        <v>4.6760879894995722E-2</v>
      </c>
      <c r="F2066" s="1306">
        <v>4.3570859720543304E-3</v>
      </c>
      <c r="G2066" s="1303">
        <v>0.11892257294900027</v>
      </c>
      <c r="H2066" s="1306">
        <v>2.3007846272126278E-2</v>
      </c>
      <c r="I2066" s="1303">
        <v>9.890168186040528E-3</v>
      </c>
      <c r="J2066" s="1306">
        <v>4.9303198533348061E-4</v>
      </c>
      <c r="K2066" s="1303">
        <v>2.7628896455332997E-3</v>
      </c>
      <c r="L2066" s="1288">
        <v>2.0000017377029273E-3</v>
      </c>
      <c r="M2066" s="1306">
        <v>2.0000005737582822E-3</v>
      </c>
      <c r="N2066" s="1303">
        <v>2.1610840404267327E-2</v>
      </c>
      <c r="O2066" s="1288">
        <v>4.5261902722847766E-3</v>
      </c>
      <c r="P2066" s="1294">
        <v>8.9534095715189249E-3</v>
      </c>
      <c r="Q2066" s="1290">
        <v>1.0337357704441935E-2</v>
      </c>
    </row>
    <row r="2067" spans="1:17" s="212" customFormat="1" ht="15.5" x14ac:dyDescent="0.35">
      <c r="A2067" s="198">
        <v>2047</v>
      </c>
      <c r="B2067" s="197" t="s">
        <v>5838</v>
      </c>
      <c r="C2067" s="197">
        <v>2040</v>
      </c>
      <c r="D2067" s="225" t="str">
        <f t="shared" si="21"/>
        <v>2047_2040</v>
      </c>
      <c r="E2067" s="1287">
        <v>4.5698909791855188E-2</v>
      </c>
      <c r="F2067" s="1306">
        <v>4.1865426449697995E-3</v>
      </c>
      <c r="G2067" s="1303">
        <v>0.11411464334040515</v>
      </c>
      <c r="H2067" s="1306">
        <v>2.2057138708216087E-2</v>
      </c>
      <c r="I2067" s="1303">
        <v>9.1911303344019892E-3</v>
      </c>
      <c r="J2067" s="1306">
        <v>4.9294477818272392E-4</v>
      </c>
      <c r="K2067" s="1303">
        <v>2.7599234864626285E-3</v>
      </c>
      <c r="L2067" s="1288">
        <v>2.000001750297509E-3</v>
      </c>
      <c r="M2067" s="1306">
        <v>2.000000573756531E-3</v>
      </c>
      <c r="N2067" s="1303">
        <v>2.1524379961358531E-2</v>
      </c>
      <c r="O2067" s="1288">
        <v>4.4607407395978616E-3</v>
      </c>
      <c r="P2067" s="1294">
        <v>8.9265568671506573E-3</v>
      </c>
      <c r="Q2067" s="1290">
        <v>9.606712463086902E-3</v>
      </c>
    </row>
    <row r="2068" spans="1:17" s="212" customFormat="1" ht="15.5" x14ac:dyDescent="0.35">
      <c r="A2068" s="198">
        <v>2047</v>
      </c>
      <c r="B2068" s="197" t="s">
        <v>5838</v>
      </c>
      <c r="C2068" s="197">
        <v>2041</v>
      </c>
      <c r="D2068" s="225" t="str">
        <f t="shared" si="21"/>
        <v>2047_2041</v>
      </c>
      <c r="E2068" s="1287">
        <v>4.4621832449588866E-2</v>
      </c>
      <c r="F2068" s="1306">
        <v>4.0072166443165663E-3</v>
      </c>
      <c r="G2068" s="1303">
        <v>0.10916295957665541</v>
      </c>
      <c r="H2068" s="1306">
        <v>2.1053969031611639E-2</v>
      </c>
      <c r="I2068" s="1303">
        <v>8.4638735935436225E-3</v>
      </c>
      <c r="J2068" s="1306">
        <v>4.9283488908347019E-4</v>
      </c>
      <c r="K2068" s="1303">
        <v>2.7576138988191414E-3</v>
      </c>
      <c r="L2068" s="1288">
        <v>2.0000017657330268E-3</v>
      </c>
      <c r="M2068" s="1306">
        <v>2.000000573754167E-3</v>
      </c>
      <c r="N2068" s="1303">
        <v>2.1452636488962493E-2</v>
      </c>
      <c r="O2068" s="1288">
        <v>4.3883403577872869E-3</v>
      </c>
      <c r="P2068" s="1294">
        <v>8.897649965185498E-3</v>
      </c>
      <c r="Q2068" s="1290">
        <v>8.8465723995608345E-3</v>
      </c>
    </row>
    <row r="2069" spans="1:17" s="212" customFormat="1" ht="15.5" x14ac:dyDescent="0.35">
      <c r="A2069" s="198">
        <v>2047</v>
      </c>
      <c r="B2069" s="197" t="s">
        <v>5838</v>
      </c>
      <c r="C2069" s="197">
        <v>2042</v>
      </c>
      <c r="D2069" s="225" t="str">
        <f t="shared" si="21"/>
        <v>2047_2042</v>
      </c>
      <c r="E2069" s="1287">
        <v>4.3431135590554379E-2</v>
      </c>
      <c r="F2069" s="1306">
        <v>3.820600854484379E-3</v>
      </c>
      <c r="G2069" s="1303">
        <v>0.1038202748152118</v>
      </c>
      <c r="H2069" s="1306">
        <v>2.0007643312462065E-2</v>
      </c>
      <c r="I2069" s="1303">
        <v>7.6894822091129744E-3</v>
      </c>
      <c r="J2069" s="1306">
        <v>4.9257583702281183E-4</v>
      </c>
      <c r="K2069" s="1303">
        <v>2.7540899189861926E-3</v>
      </c>
      <c r="L2069" s="1288">
        <v>2.0000017855530921E-3</v>
      </c>
      <c r="M2069" s="1306">
        <v>2.0000005737504153E-3</v>
      </c>
      <c r="N2069" s="1303">
        <v>2.1350475621709771E-2</v>
      </c>
      <c r="O2069" s="1288">
        <v>4.3039996866153949E-3</v>
      </c>
      <c r="P2069" s="1294">
        <v>8.8471943572939696E-3</v>
      </c>
      <c r="Q2069" s="1290">
        <v>8.0371664730370784E-3</v>
      </c>
    </row>
    <row r="2070" spans="1:17" s="212" customFormat="1" ht="15.5" x14ac:dyDescent="0.35">
      <c r="A2070" s="198">
        <v>2047</v>
      </c>
      <c r="B2070" s="197" t="s">
        <v>5838</v>
      </c>
      <c r="C2070" s="197">
        <v>2043</v>
      </c>
      <c r="D2070" s="225" t="str">
        <f t="shared" si="21"/>
        <v>2047_2043</v>
      </c>
      <c r="E2070" s="1287">
        <v>4.2334503159954059E-2</v>
      </c>
      <c r="F2070" s="1306">
        <v>3.6258648552746102E-3</v>
      </c>
      <c r="G2070" s="1303">
        <v>9.8597255766125436E-2</v>
      </c>
      <c r="H2070" s="1306">
        <v>1.8916642200707864E-2</v>
      </c>
      <c r="I2070" s="1303">
        <v>6.9053950868257297E-3</v>
      </c>
      <c r="J2070" s="1306">
        <v>4.9289877082815941E-4</v>
      </c>
      <c r="K2070" s="1303">
        <v>2.753367340414997E-3</v>
      </c>
      <c r="L2070" s="1288">
        <v>2.0000018059369942E-3</v>
      </c>
      <c r="M2070" s="1306">
        <v>2.000000573749139E-3</v>
      </c>
      <c r="N2070" s="1303">
        <v>2.1314899705587816E-2</v>
      </c>
      <c r="O2070" s="1288">
        <v>4.2378110049726952E-3</v>
      </c>
      <c r="P2070" s="1294">
        <v>8.8472263440928667E-3</v>
      </c>
      <c r="Q2070" s="1290">
        <v>7.217626410415106E-3</v>
      </c>
    </row>
    <row r="2071" spans="1:17" s="212" customFormat="1" ht="15.5" x14ac:dyDescent="0.35">
      <c r="A2071" s="198">
        <v>2047</v>
      </c>
      <c r="B2071" s="197" t="s">
        <v>5838</v>
      </c>
      <c r="C2071" s="197">
        <v>2044</v>
      </c>
      <c r="D2071" s="225" t="str">
        <f t="shared" si="21"/>
        <v>2047_2044</v>
      </c>
      <c r="E2071" s="1287">
        <v>4.1218025814785668E-2</v>
      </c>
      <c r="F2071" s="1306">
        <v>3.4280819533374007E-3</v>
      </c>
      <c r="G2071" s="1303">
        <v>9.3197682881636268E-2</v>
      </c>
      <c r="H2071" s="1306">
        <v>1.7802683794151536E-2</v>
      </c>
      <c r="I2071" s="1303">
        <v>6.0877827372193471E-3</v>
      </c>
      <c r="J2071" s="1306">
        <v>4.933578772429901E-4</v>
      </c>
      <c r="K2071" s="1303">
        <v>2.7533065036647987E-3</v>
      </c>
      <c r="L2071" s="1288">
        <v>2.0000018370186171E-3</v>
      </c>
      <c r="M2071" s="1306">
        <v>2.0000005737475794E-3</v>
      </c>
      <c r="N2071" s="1303">
        <v>2.1294714250465786E-2</v>
      </c>
      <c r="O2071" s="1288">
        <v>4.1660093386402617E-3</v>
      </c>
      <c r="P2071" s="1294">
        <v>8.8461151148848238E-3</v>
      </c>
      <c r="Q2071" s="1290">
        <v>6.3630452584605961E-3</v>
      </c>
    </row>
    <row r="2072" spans="1:17" s="212" customFormat="1" ht="15.5" x14ac:dyDescent="0.35">
      <c r="A2072" s="198">
        <v>2047</v>
      </c>
      <c r="B2072" s="197" t="s">
        <v>5838</v>
      </c>
      <c r="C2072" s="197">
        <v>2045</v>
      </c>
      <c r="D2072" s="225" t="str">
        <f t="shared" si="21"/>
        <v>2047_2045</v>
      </c>
      <c r="E2072" s="1287">
        <v>3.994839850257606E-2</v>
      </c>
      <c r="F2072" s="1306">
        <v>3.2273898098407116E-3</v>
      </c>
      <c r="G2072" s="1303">
        <v>8.7318994716436116E-2</v>
      </c>
      <c r="H2072" s="1306">
        <v>1.6666097500574167E-2</v>
      </c>
      <c r="I2072" s="1303">
        <v>5.2177236207290494E-3</v>
      </c>
      <c r="J2072" s="1306">
        <v>4.938922841348141E-4</v>
      </c>
      <c r="K2072" s="1303">
        <v>2.7512233719754527E-3</v>
      </c>
      <c r="L2072" s="1288">
        <v>2.0000018851832704E-3</v>
      </c>
      <c r="M2072" s="1306">
        <v>2.0000005737434616E-3</v>
      </c>
      <c r="N2072" s="1303">
        <v>2.122471191375544E-2</v>
      </c>
      <c r="O2072" s="1288">
        <v>4.0823190993318475E-3</v>
      </c>
      <c r="P2072" s="1294">
        <v>8.8168561715341459E-3</v>
      </c>
      <c r="Q2072" s="1290">
        <v>5.4536459295527568E-3</v>
      </c>
    </row>
    <row r="2073" spans="1:17" s="212" customFormat="1" ht="15.5" x14ac:dyDescent="0.35">
      <c r="A2073" s="198">
        <v>2047</v>
      </c>
      <c r="B2073" s="197" t="s">
        <v>5838</v>
      </c>
      <c r="C2073" s="197">
        <v>2046</v>
      </c>
      <c r="D2073" s="225" t="str">
        <f t="shared" si="21"/>
        <v>2047_2046</v>
      </c>
      <c r="E2073" s="1287">
        <v>3.8668864666919114E-2</v>
      </c>
      <c r="F2073" s="1306">
        <v>3.0129943792633999E-3</v>
      </c>
      <c r="G2073" s="1303">
        <v>8.129599465408649E-2</v>
      </c>
      <c r="H2073" s="1306">
        <v>1.5470904203515084E-2</v>
      </c>
      <c r="I2073" s="1303">
        <v>4.3169211235306862E-3</v>
      </c>
      <c r="J2073" s="1306">
        <v>4.941124112531845E-4</v>
      </c>
      <c r="K2073" s="1303">
        <v>2.7500303266221322E-3</v>
      </c>
      <c r="L2073" s="1288">
        <v>2.0000019253370279E-3</v>
      </c>
      <c r="M2073" s="1306">
        <v>2.0000005737355001E-3</v>
      </c>
      <c r="N2073" s="1303">
        <v>2.1175055912274008E-2</v>
      </c>
      <c r="O2073" s="1288">
        <v>3.9893522057122058E-3</v>
      </c>
      <c r="P2073" s="1294">
        <v>8.7850499188088238E-3</v>
      </c>
      <c r="Q2073" s="1290">
        <v>4.5121131406829617E-3</v>
      </c>
    </row>
    <row r="2074" spans="1:17" s="212" customFormat="1" ht="15.5" x14ac:dyDescent="0.35">
      <c r="A2074" s="198">
        <v>2047</v>
      </c>
      <c r="B2074" s="197" t="s">
        <v>5838</v>
      </c>
      <c r="C2074" s="197">
        <v>2047</v>
      </c>
      <c r="D2074" s="225" t="str">
        <f t="shared" si="21"/>
        <v>2047_2047</v>
      </c>
      <c r="E2074" s="1287">
        <v>3.6201540257636874E-2</v>
      </c>
      <c r="F2074" s="1306">
        <v>2.7752429007911628E-3</v>
      </c>
      <c r="G2074" s="1303">
        <v>7.2745087036026904E-2</v>
      </c>
      <c r="H2074" s="1306">
        <v>1.4118754710103203E-2</v>
      </c>
      <c r="I2074" s="1303">
        <v>3.2824598512772927E-3</v>
      </c>
      <c r="J2074" s="1306">
        <v>4.9095952055408184E-4</v>
      </c>
      <c r="K2074" s="1303">
        <v>2.7242405385067819E-3</v>
      </c>
      <c r="L2074" s="1288">
        <v>2.0000020357317963E-3</v>
      </c>
      <c r="M2074" s="1306">
        <v>2.0000005736970014E-3</v>
      </c>
      <c r="N2074" s="1303">
        <v>2.0521584298003073E-2</v>
      </c>
      <c r="O2074" s="1288">
        <v>3.7156746225131174E-3</v>
      </c>
      <c r="P2074" s="1294">
        <v>8.2866881423257939E-3</v>
      </c>
      <c r="Q2074" s="1290">
        <v>3.4308781200521909E-3</v>
      </c>
    </row>
    <row r="2075" spans="1:17" s="212" customFormat="1" ht="15.5" x14ac:dyDescent="0.35">
      <c r="A2075" s="198">
        <v>2047</v>
      </c>
      <c r="B2075" s="197" t="s">
        <v>5838</v>
      </c>
      <c r="C2075" s="197">
        <v>2048</v>
      </c>
      <c r="D2075" s="225" t="str">
        <f t="shared" si="21"/>
        <v>2047_2048</v>
      </c>
      <c r="E2075" s="1291">
        <v>3.6201540257636874E-2</v>
      </c>
      <c r="F2075" s="1280">
        <v>2.7752429007911628E-3</v>
      </c>
      <c r="G2075" s="1271">
        <v>7.2745087036026904E-2</v>
      </c>
      <c r="H2075" s="1280">
        <v>1.4118754710103203E-2</v>
      </c>
      <c r="I2075" s="1271">
        <v>3.2824598512772927E-3</v>
      </c>
      <c r="J2075" s="1280">
        <v>4.9095952055408184E-4</v>
      </c>
      <c r="K2075" s="1271">
        <v>2.7242405385067819E-3</v>
      </c>
      <c r="L2075" s="1257">
        <v>2.0000020357317963E-3</v>
      </c>
      <c r="M2075" s="1280">
        <v>2.0000005736970014E-3</v>
      </c>
      <c r="N2075" s="1271">
        <v>2.0521584298003073E-2</v>
      </c>
      <c r="O2075" s="1257">
        <v>3.7156746225131174E-3</v>
      </c>
      <c r="P2075" s="1293">
        <v>8.2866881423257939E-3</v>
      </c>
      <c r="Q2075" s="1292">
        <v>3.4308781200521909E-3</v>
      </c>
    </row>
    <row r="2076" spans="1:17" s="212" customFormat="1" ht="15.5" x14ac:dyDescent="0.35">
      <c r="A2076" s="198">
        <v>2048</v>
      </c>
      <c r="B2076" s="197" t="s">
        <v>5838</v>
      </c>
      <c r="C2076" s="197">
        <v>1971</v>
      </c>
      <c r="D2076" s="225" t="str">
        <f t="shared" si="21"/>
        <v>2048_1971</v>
      </c>
      <c r="E2076" s="1291">
        <v>0.59508094515450272</v>
      </c>
      <c r="F2076" s="1280">
        <v>1.8102915155132664E-2</v>
      </c>
      <c r="G2076" s="1271">
        <v>4.2034266981524473</v>
      </c>
      <c r="H2076" s="1280">
        <v>0.12230351351755404</v>
      </c>
      <c r="I2076" s="1271">
        <v>0.15422767319475891</v>
      </c>
      <c r="J2076" s="1280">
        <v>1.881070087135348E-4</v>
      </c>
      <c r="K2076" s="1271">
        <v>2.9974095358440631E-3</v>
      </c>
      <c r="L2076" s="1257">
        <v>2.0000013289035376E-3</v>
      </c>
      <c r="M2076" s="1280">
        <v>2.0000013289035376E-3</v>
      </c>
      <c r="N2076" s="1271">
        <v>2.7239195448083432E-2</v>
      </c>
      <c r="O2076" s="1257">
        <v>7.1170813438697104E-3</v>
      </c>
      <c r="P2076" s="1293">
        <v>3.5585406719348552E-3</v>
      </c>
      <c r="Q2076" s="1292">
        <v>0.16120116420146197</v>
      </c>
    </row>
    <row r="2077" spans="1:17" s="212" customFormat="1" ht="15.5" x14ac:dyDescent="0.35">
      <c r="A2077" s="198">
        <v>2048</v>
      </c>
      <c r="B2077" s="197" t="s">
        <v>5838</v>
      </c>
      <c r="C2077" s="197">
        <v>1972</v>
      </c>
      <c r="D2077" s="225" t="str">
        <f t="shared" si="21"/>
        <v>2048_1972</v>
      </c>
      <c r="E2077" s="1291">
        <v>0.59508094515450272</v>
      </c>
      <c r="F2077" s="1280">
        <v>1.8102915155132664E-2</v>
      </c>
      <c r="G2077" s="1271">
        <v>4.2034266981524473</v>
      </c>
      <c r="H2077" s="1280">
        <v>0.12230351351755404</v>
      </c>
      <c r="I2077" s="1271">
        <v>0.15422767319475891</v>
      </c>
      <c r="J2077" s="1280">
        <v>1.881070087135348E-4</v>
      </c>
      <c r="K2077" s="1271">
        <v>2.9974095358440631E-3</v>
      </c>
      <c r="L2077" s="1257">
        <v>2.0000013289035376E-3</v>
      </c>
      <c r="M2077" s="1280">
        <v>2.0000013289035376E-3</v>
      </c>
      <c r="N2077" s="1271">
        <v>2.7239195448083432E-2</v>
      </c>
      <c r="O2077" s="1257">
        <v>7.1170813438697104E-3</v>
      </c>
      <c r="P2077" s="1293">
        <v>3.5585406719348552E-3</v>
      </c>
      <c r="Q2077" s="1292">
        <v>0.16120116420146197</v>
      </c>
    </row>
    <row r="2078" spans="1:17" s="212" customFormat="1" ht="15.5" x14ac:dyDescent="0.35">
      <c r="A2078" s="198">
        <v>2048</v>
      </c>
      <c r="B2078" s="197" t="s">
        <v>5838</v>
      </c>
      <c r="C2078" s="197">
        <v>1973</v>
      </c>
      <c r="D2078" s="225" t="str">
        <f t="shared" si="21"/>
        <v>2048_1973</v>
      </c>
      <c r="E2078" s="1291">
        <v>0.59508094515450272</v>
      </c>
      <c r="F2078" s="1280">
        <v>1.8102915155132664E-2</v>
      </c>
      <c r="G2078" s="1271">
        <v>4.2034266981524473</v>
      </c>
      <c r="H2078" s="1280">
        <v>0.12230351351755404</v>
      </c>
      <c r="I2078" s="1271">
        <v>0.15422767319475891</v>
      </c>
      <c r="J2078" s="1280">
        <v>1.881070087135348E-4</v>
      </c>
      <c r="K2078" s="1271">
        <v>2.9974095358440631E-3</v>
      </c>
      <c r="L2078" s="1257">
        <v>2.0000013289035376E-3</v>
      </c>
      <c r="M2078" s="1280">
        <v>2.0000013289035376E-3</v>
      </c>
      <c r="N2078" s="1271">
        <v>2.7239195448083432E-2</v>
      </c>
      <c r="O2078" s="1257">
        <v>7.1170813438697104E-3</v>
      </c>
      <c r="P2078" s="1293">
        <v>3.5585406719348552E-3</v>
      </c>
      <c r="Q2078" s="1292">
        <v>0.16120116420146197</v>
      </c>
    </row>
    <row r="2079" spans="1:17" s="212" customFormat="1" ht="15.5" x14ac:dyDescent="0.35">
      <c r="A2079" s="198">
        <v>2048</v>
      </c>
      <c r="B2079" s="197" t="s">
        <v>5838</v>
      </c>
      <c r="C2079" s="197">
        <v>1974</v>
      </c>
      <c r="D2079" s="225" t="str">
        <f t="shared" si="21"/>
        <v>2048_1974</v>
      </c>
      <c r="E2079" s="1291">
        <v>0.59508094515450272</v>
      </c>
      <c r="F2079" s="1280">
        <v>1.8102915155132664E-2</v>
      </c>
      <c r="G2079" s="1271">
        <v>4.2034266981524473</v>
      </c>
      <c r="H2079" s="1280">
        <v>0.12230351351755404</v>
      </c>
      <c r="I2079" s="1271">
        <v>0.15422767319475891</v>
      </c>
      <c r="J2079" s="1280">
        <v>1.881070087135348E-4</v>
      </c>
      <c r="K2079" s="1271">
        <v>2.9974095358440631E-3</v>
      </c>
      <c r="L2079" s="1257">
        <v>2.0000013289035376E-3</v>
      </c>
      <c r="M2079" s="1280">
        <v>2.0000013289035376E-3</v>
      </c>
      <c r="N2079" s="1271">
        <v>2.7239195448083432E-2</v>
      </c>
      <c r="O2079" s="1257">
        <v>7.1170813438697104E-3</v>
      </c>
      <c r="P2079" s="1293">
        <v>3.5585406719348552E-3</v>
      </c>
      <c r="Q2079" s="1292">
        <v>0.16120116420146197</v>
      </c>
    </row>
    <row r="2080" spans="1:17" s="212" customFormat="1" ht="15.5" x14ac:dyDescent="0.35">
      <c r="A2080" s="198">
        <v>2048</v>
      </c>
      <c r="B2080" s="197" t="s">
        <v>5838</v>
      </c>
      <c r="C2080" s="197">
        <v>1975</v>
      </c>
      <c r="D2080" s="225" t="str">
        <f t="shared" si="21"/>
        <v>2048_1975</v>
      </c>
      <c r="E2080" s="1291">
        <v>0.59508094515450272</v>
      </c>
      <c r="F2080" s="1280">
        <v>1.8102915155132664E-2</v>
      </c>
      <c r="G2080" s="1271">
        <v>4.2034266981524473</v>
      </c>
      <c r="H2080" s="1280">
        <v>0.12230351351755404</v>
      </c>
      <c r="I2080" s="1271">
        <v>0.15422767319475891</v>
      </c>
      <c r="J2080" s="1280">
        <v>1.881070087135348E-4</v>
      </c>
      <c r="K2080" s="1271">
        <v>2.9974095358440631E-3</v>
      </c>
      <c r="L2080" s="1257">
        <v>2.0000013289035376E-3</v>
      </c>
      <c r="M2080" s="1280">
        <v>2.0000013289035376E-3</v>
      </c>
      <c r="N2080" s="1271">
        <v>2.7239195448083432E-2</v>
      </c>
      <c r="O2080" s="1257">
        <v>7.1170813438697104E-3</v>
      </c>
      <c r="P2080" s="1293">
        <v>3.5585406719348552E-3</v>
      </c>
      <c r="Q2080" s="1292">
        <v>0.16120116420146197</v>
      </c>
    </row>
    <row r="2081" spans="1:17" s="212" customFormat="1" ht="15.5" x14ac:dyDescent="0.35">
      <c r="A2081" s="198">
        <v>2048</v>
      </c>
      <c r="B2081" s="197" t="s">
        <v>5838</v>
      </c>
      <c r="C2081" s="197">
        <v>1976</v>
      </c>
      <c r="D2081" s="225" t="str">
        <f t="shared" si="21"/>
        <v>2048_1976</v>
      </c>
      <c r="E2081" s="1291">
        <v>0.59508094515450272</v>
      </c>
      <c r="F2081" s="1280">
        <v>1.8102915155132664E-2</v>
      </c>
      <c r="G2081" s="1271">
        <v>4.2034266981524473</v>
      </c>
      <c r="H2081" s="1280">
        <v>0.12230351351755404</v>
      </c>
      <c r="I2081" s="1271">
        <v>0.15422767319475891</v>
      </c>
      <c r="J2081" s="1280">
        <v>1.881070087135348E-4</v>
      </c>
      <c r="K2081" s="1271">
        <v>2.9974095358440631E-3</v>
      </c>
      <c r="L2081" s="1257">
        <v>2.0000013289035376E-3</v>
      </c>
      <c r="M2081" s="1280">
        <v>2.0000013289035376E-3</v>
      </c>
      <c r="N2081" s="1271">
        <v>2.7239195448083432E-2</v>
      </c>
      <c r="O2081" s="1257">
        <v>7.1170813438697104E-3</v>
      </c>
      <c r="P2081" s="1293">
        <v>3.5585406719348552E-3</v>
      </c>
      <c r="Q2081" s="1292">
        <v>0.16120116420146197</v>
      </c>
    </row>
    <row r="2082" spans="1:17" s="212" customFormat="1" ht="15.5" x14ac:dyDescent="0.35">
      <c r="A2082" s="198">
        <v>2048</v>
      </c>
      <c r="B2082" s="197" t="s">
        <v>5838</v>
      </c>
      <c r="C2082" s="197">
        <v>1977</v>
      </c>
      <c r="D2082" s="225" t="str">
        <f t="shared" si="21"/>
        <v>2048_1977</v>
      </c>
      <c r="E2082" s="1291">
        <v>0.59508094515450272</v>
      </c>
      <c r="F2082" s="1280">
        <v>1.8102915155132664E-2</v>
      </c>
      <c r="G2082" s="1271">
        <v>4.2034266981524473</v>
      </c>
      <c r="H2082" s="1280">
        <v>0.12230351351755404</v>
      </c>
      <c r="I2082" s="1271">
        <v>0.15422767319475891</v>
      </c>
      <c r="J2082" s="1280">
        <v>1.881070087135348E-4</v>
      </c>
      <c r="K2082" s="1271">
        <v>2.9974095358440631E-3</v>
      </c>
      <c r="L2082" s="1257">
        <v>2.0000013289035376E-3</v>
      </c>
      <c r="M2082" s="1280">
        <v>2.0000013289035376E-3</v>
      </c>
      <c r="N2082" s="1271">
        <v>2.7239195448083432E-2</v>
      </c>
      <c r="O2082" s="1257">
        <v>7.1170813438697104E-3</v>
      </c>
      <c r="P2082" s="1293">
        <v>3.5585406719348552E-3</v>
      </c>
      <c r="Q2082" s="1292">
        <v>0.16120116420146197</v>
      </c>
    </row>
    <row r="2083" spans="1:17" s="212" customFormat="1" ht="15.5" x14ac:dyDescent="0.35">
      <c r="A2083" s="198">
        <v>2048</v>
      </c>
      <c r="B2083" s="197" t="s">
        <v>5838</v>
      </c>
      <c r="C2083" s="197">
        <v>1978</v>
      </c>
      <c r="D2083" s="225" t="str">
        <f t="shared" si="21"/>
        <v>2048_1978</v>
      </c>
      <c r="E2083" s="1291">
        <v>0.59508094515450272</v>
      </c>
      <c r="F2083" s="1280">
        <v>1.8102915155132664E-2</v>
      </c>
      <c r="G2083" s="1271">
        <v>4.2034266981524473</v>
      </c>
      <c r="H2083" s="1280">
        <v>0.12230351351755404</v>
      </c>
      <c r="I2083" s="1271">
        <v>0.15422767319475891</v>
      </c>
      <c r="J2083" s="1280">
        <v>1.881070087135348E-4</v>
      </c>
      <c r="K2083" s="1271">
        <v>2.9974095358440631E-3</v>
      </c>
      <c r="L2083" s="1257">
        <v>2.0000013289035376E-3</v>
      </c>
      <c r="M2083" s="1280">
        <v>2.0000013289035376E-3</v>
      </c>
      <c r="N2083" s="1271">
        <v>2.7239195448083432E-2</v>
      </c>
      <c r="O2083" s="1257">
        <v>7.1170813438697104E-3</v>
      </c>
      <c r="P2083" s="1293">
        <v>3.5585406719348552E-3</v>
      </c>
      <c r="Q2083" s="1292">
        <v>0.16120116420146197</v>
      </c>
    </row>
    <row r="2084" spans="1:17" s="212" customFormat="1" ht="15.5" x14ac:dyDescent="0.35">
      <c r="A2084" s="198">
        <v>2048</v>
      </c>
      <c r="B2084" s="197" t="s">
        <v>5838</v>
      </c>
      <c r="C2084" s="197">
        <v>1979</v>
      </c>
      <c r="D2084" s="225" t="str">
        <f t="shared" si="21"/>
        <v>2048_1979</v>
      </c>
      <c r="E2084" s="1291">
        <v>0.59508094515450272</v>
      </c>
      <c r="F2084" s="1280">
        <v>1.8102915155132664E-2</v>
      </c>
      <c r="G2084" s="1271">
        <v>4.2034266981524473</v>
      </c>
      <c r="H2084" s="1280">
        <v>0.12230351351755404</v>
      </c>
      <c r="I2084" s="1271">
        <v>0.15422767319475891</v>
      </c>
      <c r="J2084" s="1280">
        <v>1.881070087135348E-4</v>
      </c>
      <c r="K2084" s="1271">
        <v>2.9974095358440631E-3</v>
      </c>
      <c r="L2084" s="1257">
        <v>2.0000013289035376E-3</v>
      </c>
      <c r="M2084" s="1280">
        <v>2.0000013289035376E-3</v>
      </c>
      <c r="N2084" s="1271">
        <v>2.7239195448083432E-2</v>
      </c>
      <c r="O2084" s="1257">
        <v>7.1170813438697104E-3</v>
      </c>
      <c r="P2084" s="1293">
        <v>3.5585406719348552E-3</v>
      </c>
      <c r="Q2084" s="1292">
        <v>0.16120116420146197</v>
      </c>
    </row>
    <row r="2085" spans="1:17" s="212" customFormat="1" ht="15.5" x14ac:dyDescent="0.35">
      <c r="A2085" s="198">
        <v>2048</v>
      </c>
      <c r="B2085" s="197" t="s">
        <v>5838</v>
      </c>
      <c r="C2085" s="197">
        <v>1980</v>
      </c>
      <c r="D2085" s="225" t="str">
        <f t="shared" si="21"/>
        <v>2048_1980</v>
      </c>
      <c r="E2085" s="1291">
        <v>0.59508094515450272</v>
      </c>
      <c r="F2085" s="1280">
        <v>1.8102915155132664E-2</v>
      </c>
      <c r="G2085" s="1271">
        <v>4.2034266981524473</v>
      </c>
      <c r="H2085" s="1280">
        <v>0.12230351351755404</v>
      </c>
      <c r="I2085" s="1271">
        <v>0.15422767319475891</v>
      </c>
      <c r="J2085" s="1280">
        <v>1.881070087135348E-4</v>
      </c>
      <c r="K2085" s="1271">
        <v>2.9974095358440631E-3</v>
      </c>
      <c r="L2085" s="1257">
        <v>2.0000013289035376E-3</v>
      </c>
      <c r="M2085" s="1280">
        <v>2.0000013289035376E-3</v>
      </c>
      <c r="N2085" s="1271">
        <v>2.7239195448083432E-2</v>
      </c>
      <c r="O2085" s="1257">
        <v>7.1170813438697104E-3</v>
      </c>
      <c r="P2085" s="1293">
        <v>3.5585406719348552E-3</v>
      </c>
      <c r="Q2085" s="1292">
        <v>0.16120116420146197</v>
      </c>
    </row>
    <row r="2086" spans="1:17" s="212" customFormat="1" ht="15.5" x14ac:dyDescent="0.35">
      <c r="A2086" s="198">
        <v>2048</v>
      </c>
      <c r="B2086" s="197" t="s">
        <v>5838</v>
      </c>
      <c r="C2086" s="197">
        <v>1981</v>
      </c>
      <c r="D2086" s="225" t="str">
        <f t="shared" si="21"/>
        <v>2048_1981</v>
      </c>
      <c r="E2086" s="1291">
        <v>0.59508094515450272</v>
      </c>
      <c r="F2086" s="1280">
        <v>1.8102915155132664E-2</v>
      </c>
      <c r="G2086" s="1271">
        <v>4.2034266981524473</v>
      </c>
      <c r="H2086" s="1280">
        <v>0.12230351351755404</v>
      </c>
      <c r="I2086" s="1271">
        <v>0.15422767319475891</v>
      </c>
      <c r="J2086" s="1280">
        <v>1.881070087135348E-4</v>
      </c>
      <c r="K2086" s="1271">
        <v>2.9974095358440631E-3</v>
      </c>
      <c r="L2086" s="1257">
        <v>2.0000013289035376E-3</v>
      </c>
      <c r="M2086" s="1280">
        <v>2.0000013289035376E-3</v>
      </c>
      <c r="N2086" s="1271">
        <v>2.7239195448083432E-2</v>
      </c>
      <c r="O2086" s="1257">
        <v>7.1170813438697104E-3</v>
      </c>
      <c r="P2086" s="1293">
        <v>3.5585406719348552E-3</v>
      </c>
      <c r="Q2086" s="1292">
        <v>0.16120116420146197</v>
      </c>
    </row>
    <row r="2087" spans="1:17" s="212" customFormat="1" ht="15.5" x14ac:dyDescent="0.35">
      <c r="A2087" s="198">
        <v>2048</v>
      </c>
      <c r="B2087" s="197" t="s">
        <v>5838</v>
      </c>
      <c r="C2087" s="197">
        <v>1982</v>
      </c>
      <c r="D2087" s="225" t="str">
        <f t="shared" si="21"/>
        <v>2048_1982</v>
      </c>
      <c r="E2087" s="1291">
        <v>0.59508094515450272</v>
      </c>
      <c r="F2087" s="1280">
        <v>1.8102915155132664E-2</v>
      </c>
      <c r="G2087" s="1271">
        <v>4.2034266981524473</v>
      </c>
      <c r="H2087" s="1280">
        <v>0.12230351351755404</v>
      </c>
      <c r="I2087" s="1271">
        <v>0.15422767319475891</v>
      </c>
      <c r="J2087" s="1280">
        <v>1.881070087135348E-4</v>
      </c>
      <c r="K2087" s="1271">
        <v>2.9974095358440631E-3</v>
      </c>
      <c r="L2087" s="1257">
        <v>2.0000013289035376E-3</v>
      </c>
      <c r="M2087" s="1280">
        <v>2.0000013289035376E-3</v>
      </c>
      <c r="N2087" s="1271">
        <v>2.7239195448083432E-2</v>
      </c>
      <c r="O2087" s="1257">
        <v>7.1170813438697104E-3</v>
      </c>
      <c r="P2087" s="1293">
        <v>3.5585406719348552E-3</v>
      </c>
      <c r="Q2087" s="1292">
        <v>0.16120116420146197</v>
      </c>
    </row>
    <row r="2088" spans="1:17" s="212" customFormat="1" ht="15.5" x14ac:dyDescent="0.35">
      <c r="A2088" s="198">
        <v>2048</v>
      </c>
      <c r="B2088" s="197" t="s">
        <v>5838</v>
      </c>
      <c r="C2088" s="197">
        <v>1983</v>
      </c>
      <c r="D2088" s="225" t="str">
        <f t="shared" si="21"/>
        <v>2048_1983</v>
      </c>
      <c r="E2088" s="1291">
        <v>0.59508094515450272</v>
      </c>
      <c r="F2088" s="1280">
        <v>1.8102915155132664E-2</v>
      </c>
      <c r="G2088" s="1271">
        <v>4.2034266981524473</v>
      </c>
      <c r="H2088" s="1280">
        <v>0.12230351351755404</v>
      </c>
      <c r="I2088" s="1271">
        <v>0.15422767319475891</v>
      </c>
      <c r="J2088" s="1280">
        <v>1.881070087135348E-4</v>
      </c>
      <c r="K2088" s="1271">
        <v>2.9974095358440631E-3</v>
      </c>
      <c r="L2088" s="1257">
        <v>2.0000013289035376E-3</v>
      </c>
      <c r="M2088" s="1280">
        <v>2.0000013289035376E-3</v>
      </c>
      <c r="N2088" s="1271">
        <v>2.7239195448083432E-2</v>
      </c>
      <c r="O2088" s="1257">
        <v>7.1170813438697104E-3</v>
      </c>
      <c r="P2088" s="1293">
        <v>3.5585406719348552E-3</v>
      </c>
      <c r="Q2088" s="1292">
        <v>0.16120116420146197</v>
      </c>
    </row>
    <row r="2089" spans="1:17" s="212" customFormat="1" ht="15.5" x14ac:dyDescent="0.35">
      <c r="A2089" s="198">
        <v>2048</v>
      </c>
      <c r="B2089" s="197" t="s">
        <v>5838</v>
      </c>
      <c r="C2089" s="197">
        <v>1984</v>
      </c>
      <c r="D2089" s="225" t="str">
        <f t="shared" si="21"/>
        <v>2048_1984</v>
      </c>
      <c r="E2089" s="1291">
        <v>0.59508094515450272</v>
      </c>
      <c r="F2089" s="1280">
        <v>1.8102915155132664E-2</v>
      </c>
      <c r="G2089" s="1271">
        <v>4.2034266981524473</v>
      </c>
      <c r="H2089" s="1280">
        <v>0.12230351351755404</v>
      </c>
      <c r="I2089" s="1271">
        <v>0.15422767319475891</v>
      </c>
      <c r="J2089" s="1280">
        <v>1.881070087135348E-4</v>
      </c>
      <c r="K2089" s="1271">
        <v>2.9974095358440631E-3</v>
      </c>
      <c r="L2089" s="1257">
        <v>2.0000013289035376E-3</v>
      </c>
      <c r="M2089" s="1280">
        <v>2.0000013289035376E-3</v>
      </c>
      <c r="N2089" s="1271">
        <v>2.7239195448083432E-2</v>
      </c>
      <c r="O2089" s="1257">
        <v>7.1170813438697104E-3</v>
      </c>
      <c r="P2089" s="1293">
        <v>3.5585406719348552E-3</v>
      </c>
      <c r="Q2089" s="1292">
        <v>0.16120116420146197</v>
      </c>
    </row>
    <row r="2090" spans="1:17" s="212" customFormat="1" ht="15.5" x14ac:dyDescent="0.35">
      <c r="A2090" s="198">
        <v>2048</v>
      </c>
      <c r="B2090" s="197" t="s">
        <v>5838</v>
      </c>
      <c r="C2090" s="197">
        <v>1985</v>
      </c>
      <c r="D2090" s="225" t="str">
        <f t="shared" si="21"/>
        <v>2048_1985</v>
      </c>
      <c r="E2090" s="1291">
        <v>0.59508094515450272</v>
      </c>
      <c r="F2090" s="1280">
        <v>1.8102915155132664E-2</v>
      </c>
      <c r="G2090" s="1271">
        <v>4.2034266981524473</v>
      </c>
      <c r="H2090" s="1280">
        <v>0.12230351351755404</v>
      </c>
      <c r="I2090" s="1271">
        <v>0.15422767319475891</v>
      </c>
      <c r="J2090" s="1280">
        <v>1.881070087135348E-4</v>
      </c>
      <c r="K2090" s="1271">
        <v>2.9974095358440631E-3</v>
      </c>
      <c r="L2090" s="1257">
        <v>2.0000013289035376E-3</v>
      </c>
      <c r="M2090" s="1280">
        <v>2.0000013289035376E-3</v>
      </c>
      <c r="N2090" s="1271">
        <v>2.7239195448083432E-2</v>
      </c>
      <c r="O2090" s="1257">
        <v>7.1170813438697104E-3</v>
      </c>
      <c r="P2090" s="1293">
        <v>3.5585406719348552E-3</v>
      </c>
      <c r="Q2090" s="1292">
        <v>0.16120116420146197</v>
      </c>
    </row>
    <row r="2091" spans="1:17" s="212" customFormat="1" ht="15.5" x14ac:dyDescent="0.35">
      <c r="A2091" s="198">
        <v>2048</v>
      </c>
      <c r="B2091" s="197" t="s">
        <v>5838</v>
      </c>
      <c r="C2091" s="197">
        <v>1986</v>
      </c>
      <c r="D2091" s="225" t="str">
        <f t="shared" si="21"/>
        <v>2048_1986</v>
      </c>
      <c r="E2091" s="1291">
        <v>0.59508094515450272</v>
      </c>
      <c r="F2091" s="1280">
        <v>1.8102915155132664E-2</v>
      </c>
      <c r="G2091" s="1271">
        <v>4.2034266981524473</v>
      </c>
      <c r="H2091" s="1280">
        <v>0.12230351351755404</v>
      </c>
      <c r="I2091" s="1271">
        <v>0.15422767319475891</v>
      </c>
      <c r="J2091" s="1280">
        <v>1.881070087135348E-4</v>
      </c>
      <c r="K2091" s="1271">
        <v>2.9974095358440631E-3</v>
      </c>
      <c r="L2091" s="1257">
        <v>2.0000013289035376E-3</v>
      </c>
      <c r="M2091" s="1280">
        <v>2.0000013289035376E-3</v>
      </c>
      <c r="N2091" s="1271">
        <v>2.7239195448083432E-2</v>
      </c>
      <c r="O2091" s="1257">
        <v>7.1170813438697104E-3</v>
      </c>
      <c r="P2091" s="1293">
        <v>3.5585406719348552E-3</v>
      </c>
      <c r="Q2091" s="1292">
        <v>0.16120116420146197</v>
      </c>
    </row>
    <row r="2092" spans="1:17" s="212" customFormat="1" ht="15.5" x14ac:dyDescent="0.35">
      <c r="A2092" s="198">
        <v>2048</v>
      </c>
      <c r="B2092" s="197" t="s">
        <v>5838</v>
      </c>
      <c r="C2092" s="197">
        <v>1987</v>
      </c>
      <c r="D2092" s="225" t="str">
        <f t="shared" si="21"/>
        <v>2048_1987</v>
      </c>
      <c r="E2092" s="1291">
        <v>0.59508094515450272</v>
      </c>
      <c r="F2092" s="1280">
        <v>1.8102915155132664E-2</v>
      </c>
      <c r="G2092" s="1271">
        <v>4.2034266981524473</v>
      </c>
      <c r="H2092" s="1280">
        <v>0.12230351351755404</v>
      </c>
      <c r="I2092" s="1271">
        <v>0.15422767319475891</v>
      </c>
      <c r="J2092" s="1280">
        <v>1.881070087135348E-4</v>
      </c>
      <c r="K2092" s="1271">
        <v>2.9974095358440631E-3</v>
      </c>
      <c r="L2092" s="1257">
        <v>2.0000013289035376E-3</v>
      </c>
      <c r="M2092" s="1280">
        <v>2.0000013289035376E-3</v>
      </c>
      <c r="N2092" s="1271">
        <v>2.7239195448083432E-2</v>
      </c>
      <c r="O2092" s="1257">
        <v>7.1170813438697104E-3</v>
      </c>
      <c r="P2092" s="1293">
        <v>3.5585406719348552E-3</v>
      </c>
      <c r="Q2092" s="1292">
        <v>0.16120116420146197</v>
      </c>
    </row>
    <row r="2093" spans="1:17" s="212" customFormat="1" ht="15.5" x14ac:dyDescent="0.35">
      <c r="A2093" s="198">
        <v>2048</v>
      </c>
      <c r="B2093" s="197" t="s">
        <v>5838</v>
      </c>
      <c r="C2093" s="197">
        <v>1988</v>
      </c>
      <c r="D2093" s="225" t="str">
        <f t="shared" si="21"/>
        <v>2048_1988</v>
      </c>
      <c r="E2093" s="1291">
        <v>0.59508094515450272</v>
      </c>
      <c r="F2093" s="1280">
        <v>1.8102915155132664E-2</v>
      </c>
      <c r="G2093" s="1271">
        <v>4.2034266981524473</v>
      </c>
      <c r="H2093" s="1280">
        <v>0.12230351351755404</v>
      </c>
      <c r="I2093" s="1271">
        <v>0.15422767319475891</v>
      </c>
      <c r="J2093" s="1280">
        <v>1.881070087135348E-4</v>
      </c>
      <c r="K2093" s="1271">
        <v>2.9974095358440631E-3</v>
      </c>
      <c r="L2093" s="1257">
        <v>2.0000013289035376E-3</v>
      </c>
      <c r="M2093" s="1280">
        <v>2.0000013289035376E-3</v>
      </c>
      <c r="N2093" s="1271">
        <v>2.7239195448083432E-2</v>
      </c>
      <c r="O2093" s="1257">
        <v>7.1170813438697104E-3</v>
      </c>
      <c r="P2093" s="1293">
        <v>3.5585406719348552E-3</v>
      </c>
      <c r="Q2093" s="1292">
        <v>0.16120116420146197</v>
      </c>
    </row>
    <row r="2094" spans="1:17" s="212" customFormat="1" ht="15.5" x14ac:dyDescent="0.35">
      <c r="A2094" s="198">
        <v>2048</v>
      </c>
      <c r="B2094" s="197" t="s">
        <v>5838</v>
      </c>
      <c r="C2094" s="197">
        <v>1989</v>
      </c>
      <c r="D2094" s="225" t="str">
        <f t="shared" si="21"/>
        <v>2048_1989</v>
      </c>
      <c r="E2094" s="1291">
        <v>0.59508094515450272</v>
      </c>
      <c r="F2094" s="1280">
        <v>1.8102915155132664E-2</v>
      </c>
      <c r="G2094" s="1271">
        <v>4.2034266981524473</v>
      </c>
      <c r="H2094" s="1280">
        <v>0.12230351351755404</v>
      </c>
      <c r="I2094" s="1271">
        <v>0.15422767319475891</v>
      </c>
      <c r="J2094" s="1280">
        <v>1.881070087135348E-4</v>
      </c>
      <c r="K2094" s="1271">
        <v>2.9974095358440631E-3</v>
      </c>
      <c r="L2094" s="1257">
        <v>2.0000013289035376E-3</v>
      </c>
      <c r="M2094" s="1280">
        <v>2.0000013289035376E-3</v>
      </c>
      <c r="N2094" s="1271">
        <v>2.7239195448083432E-2</v>
      </c>
      <c r="O2094" s="1257">
        <v>7.1170813438697104E-3</v>
      </c>
      <c r="P2094" s="1293">
        <v>3.5585406719348552E-3</v>
      </c>
      <c r="Q2094" s="1292">
        <v>0.16120116420146197</v>
      </c>
    </row>
    <row r="2095" spans="1:17" s="212" customFormat="1" ht="15.5" x14ac:dyDescent="0.35">
      <c r="A2095" s="198">
        <v>2048</v>
      </c>
      <c r="B2095" s="197" t="s">
        <v>5838</v>
      </c>
      <c r="C2095" s="197">
        <v>1990</v>
      </c>
      <c r="D2095" s="225" t="str">
        <f t="shared" si="21"/>
        <v>2048_1990</v>
      </c>
      <c r="E2095" s="1291">
        <v>0.59508094515450272</v>
      </c>
      <c r="F2095" s="1280">
        <v>1.8102915155132664E-2</v>
      </c>
      <c r="G2095" s="1271">
        <v>4.2034266981524473</v>
      </c>
      <c r="H2095" s="1280">
        <v>0.12230351351755404</v>
      </c>
      <c r="I2095" s="1271">
        <v>0.15422767319475891</v>
      </c>
      <c r="J2095" s="1280">
        <v>1.881070087135348E-4</v>
      </c>
      <c r="K2095" s="1271">
        <v>2.9974095358440631E-3</v>
      </c>
      <c r="L2095" s="1257">
        <v>2.0000013289035376E-3</v>
      </c>
      <c r="M2095" s="1280">
        <v>2.0000013289035376E-3</v>
      </c>
      <c r="N2095" s="1271">
        <v>2.7239195448083432E-2</v>
      </c>
      <c r="O2095" s="1257">
        <v>7.1170813438697104E-3</v>
      </c>
      <c r="P2095" s="1293">
        <v>3.5585406719348552E-3</v>
      </c>
      <c r="Q2095" s="1292">
        <v>0.16120116420146197</v>
      </c>
    </row>
    <row r="2096" spans="1:17" s="212" customFormat="1" ht="15.5" x14ac:dyDescent="0.35">
      <c r="A2096" s="198">
        <v>2048</v>
      </c>
      <c r="B2096" s="197" t="s">
        <v>5838</v>
      </c>
      <c r="C2096" s="197">
        <v>1991</v>
      </c>
      <c r="D2096" s="225" t="str">
        <f t="shared" si="21"/>
        <v>2048_1991</v>
      </c>
      <c r="E2096" s="1291">
        <v>0.59508094515450272</v>
      </c>
      <c r="F2096" s="1280">
        <v>1.8102915155132664E-2</v>
      </c>
      <c r="G2096" s="1271">
        <v>4.2034266981524473</v>
      </c>
      <c r="H2096" s="1280">
        <v>0.12230351351755404</v>
      </c>
      <c r="I2096" s="1271">
        <v>0.15422767319475891</v>
      </c>
      <c r="J2096" s="1280">
        <v>1.881070087135348E-4</v>
      </c>
      <c r="K2096" s="1271">
        <v>2.9974095358440631E-3</v>
      </c>
      <c r="L2096" s="1257">
        <v>2.0000013289035376E-3</v>
      </c>
      <c r="M2096" s="1280">
        <v>2.0000013289035376E-3</v>
      </c>
      <c r="N2096" s="1271">
        <v>2.7239195448083432E-2</v>
      </c>
      <c r="O2096" s="1257">
        <v>7.1170813438697104E-3</v>
      </c>
      <c r="P2096" s="1293">
        <v>3.5585406719348552E-3</v>
      </c>
      <c r="Q2096" s="1292">
        <v>0.16120116420146197</v>
      </c>
    </row>
    <row r="2097" spans="1:17" s="212" customFormat="1" ht="15.5" x14ac:dyDescent="0.35">
      <c r="A2097" s="198">
        <v>2048</v>
      </c>
      <c r="B2097" s="197" t="s">
        <v>5838</v>
      </c>
      <c r="C2097" s="197">
        <v>1992</v>
      </c>
      <c r="D2097" s="225" t="str">
        <f t="shared" si="21"/>
        <v>2048_1992</v>
      </c>
      <c r="E2097" s="1291">
        <v>0.59508094515450272</v>
      </c>
      <c r="F2097" s="1280">
        <v>1.8102915155132664E-2</v>
      </c>
      <c r="G2097" s="1271">
        <v>4.2034266981524473</v>
      </c>
      <c r="H2097" s="1280">
        <v>0.12230351351755404</v>
      </c>
      <c r="I2097" s="1271">
        <v>0.15422767319475891</v>
      </c>
      <c r="J2097" s="1280">
        <v>1.881070087135348E-4</v>
      </c>
      <c r="K2097" s="1271">
        <v>2.9974095358440631E-3</v>
      </c>
      <c r="L2097" s="1257">
        <v>2.0000013289035376E-3</v>
      </c>
      <c r="M2097" s="1280">
        <v>2.0000013289035376E-3</v>
      </c>
      <c r="N2097" s="1271">
        <v>2.7239195448083432E-2</v>
      </c>
      <c r="O2097" s="1257">
        <v>7.1170813438697104E-3</v>
      </c>
      <c r="P2097" s="1293">
        <v>3.5585406719348552E-3</v>
      </c>
      <c r="Q2097" s="1292">
        <v>0.16120116420146197</v>
      </c>
    </row>
    <row r="2098" spans="1:17" s="212" customFormat="1" ht="15.5" x14ac:dyDescent="0.35">
      <c r="A2098" s="198">
        <v>2048</v>
      </c>
      <c r="B2098" s="197" t="s">
        <v>5838</v>
      </c>
      <c r="C2098" s="197">
        <v>1993</v>
      </c>
      <c r="D2098" s="225" t="str">
        <f t="shared" si="21"/>
        <v>2048_1993</v>
      </c>
      <c r="E2098" s="1291">
        <v>0.59508094515450272</v>
      </c>
      <c r="F2098" s="1280">
        <v>1.8102915155132664E-2</v>
      </c>
      <c r="G2098" s="1271">
        <v>4.2034266981524473</v>
      </c>
      <c r="H2098" s="1280">
        <v>0.12230351351755404</v>
      </c>
      <c r="I2098" s="1271">
        <v>0.15422767319475891</v>
      </c>
      <c r="J2098" s="1280">
        <v>1.881070087135348E-4</v>
      </c>
      <c r="K2098" s="1271">
        <v>2.9974095358440631E-3</v>
      </c>
      <c r="L2098" s="1257">
        <v>2.0000013289035376E-3</v>
      </c>
      <c r="M2098" s="1280">
        <v>2.0000013289035376E-3</v>
      </c>
      <c r="N2098" s="1271">
        <v>2.7239195448083432E-2</v>
      </c>
      <c r="O2098" s="1257">
        <v>7.1170813438697104E-3</v>
      </c>
      <c r="P2098" s="1293">
        <v>3.5585406719348552E-3</v>
      </c>
      <c r="Q2098" s="1292">
        <v>0.16120116420146197</v>
      </c>
    </row>
    <row r="2099" spans="1:17" s="212" customFormat="1" ht="15.5" x14ac:dyDescent="0.35">
      <c r="A2099" s="198">
        <v>2048</v>
      </c>
      <c r="B2099" s="197" t="s">
        <v>5838</v>
      </c>
      <c r="C2099" s="197">
        <v>1994</v>
      </c>
      <c r="D2099" s="225" t="str">
        <f t="shared" si="21"/>
        <v>2048_1994</v>
      </c>
      <c r="E2099" s="1291">
        <v>0.59508094515450272</v>
      </c>
      <c r="F2099" s="1280">
        <v>1.8102915155132664E-2</v>
      </c>
      <c r="G2099" s="1271">
        <v>4.2034266981524473</v>
      </c>
      <c r="H2099" s="1280">
        <v>0.12230351351755404</v>
      </c>
      <c r="I2099" s="1271">
        <v>0.15422767319475891</v>
      </c>
      <c r="J2099" s="1280">
        <v>1.881070087135348E-4</v>
      </c>
      <c r="K2099" s="1271">
        <v>2.9974095358440631E-3</v>
      </c>
      <c r="L2099" s="1257">
        <v>2.0000013289035376E-3</v>
      </c>
      <c r="M2099" s="1280">
        <v>2.0000013289035376E-3</v>
      </c>
      <c r="N2099" s="1271">
        <v>2.7239195448083432E-2</v>
      </c>
      <c r="O2099" s="1257">
        <v>7.1170813438697104E-3</v>
      </c>
      <c r="P2099" s="1293">
        <v>3.5585406719348552E-3</v>
      </c>
      <c r="Q2099" s="1292">
        <v>0.16120116420146197</v>
      </c>
    </row>
    <row r="2100" spans="1:17" s="212" customFormat="1" ht="15.5" x14ac:dyDescent="0.35">
      <c r="A2100" s="198">
        <v>2048</v>
      </c>
      <c r="B2100" s="197" t="s">
        <v>5838</v>
      </c>
      <c r="C2100" s="197">
        <v>1995</v>
      </c>
      <c r="D2100" s="225" t="str">
        <f t="shared" si="21"/>
        <v>2048_1995</v>
      </c>
      <c r="E2100" s="1291">
        <v>0.59508094515450272</v>
      </c>
      <c r="F2100" s="1280">
        <v>1.8102915155132664E-2</v>
      </c>
      <c r="G2100" s="1271">
        <v>4.2034266981524473</v>
      </c>
      <c r="H2100" s="1280">
        <v>0.12230351351755404</v>
      </c>
      <c r="I2100" s="1271">
        <v>0.15422767319475891</v>
      </c>
      <c r="J2100" s="1280">
        <v>1.881070087135348E-4</v>
      </c>
      <c r="K2100" s="1271">
        <v>2.9974095358440631E-3</v>
      </c>
      <c r="L2100" s="1257">
        <v>2.0000013289035376E-3</v>
      </c>
      <c r="M2100" s="1280">
        <v>2.0000013289035376E-3</v>
      </c>
      <c r="N2100" s="1271">
        <v>2.7239195448083432E-2</v>
      </c>
      <c r="O2100" s="1257">
        <v>7.1170813438697104E-3</v>
      </c>
      <c r="P2100" s="1293">
        <v>3.5585406719348552E-3</v>
      </c>
      <c r="Q2100" s="1292">
        <v>0.16120116420146197</v>
      </c>
    </row>
    <row r="2101" spans="1:17" s="212" customFormat="1" ht="15.5" x14ac:dyDescent="0.35">
      <c r="A2101" s="198">
        <v>2048</v>
      </c>
      <c r="B2101" s="197" t="s">
        <v>5838</v>
      </c>
      <c r="C2101" s="197">
        <v>1996</v>
      </c>
      <c r="D2101" s="225" t="str">
        <f t="shared" si="21"/>
        <v>2048_1996</v>
      </c>
      <c r="E2101" s="1291">
        <v>0.59508094515450272</v>
      </c>
      <c r="F2101" s="1280">
        <v>1.8102915155132664E-2</v>
      </c>
      <c r="G2101" s="1271">
        <v>4.2034266981524473</v>
      </c>
      <c r="H2101" s="1280">
        <v>0.12230351351755404</v>
      </c>
      <c r="I2101" s="1271">
        <v>0.15422767319475891</v>
      </c>
      <c r="J2101" s="1280">
        <v>1.881070087135348E-4</v>
      </c>
      <c r="K2101" s="1271">
        <v>2.9974095358440631E-3</v>
      </c>
      <c r="L2101" s="1257">
        <v>2.0000013289035376E-3</v>
      </c>
      <c r="M2101" s="1280">
        <v>2.0000013289035376E-3</v>
      </c>
      <c r="N2101" s="1271">
        <v>2.7239195448083432E-2</v>
      </c>
      <c r="O2101" s="1257">
        <v>7.1170813438697104E-3</v>
      </c>
      <c r="P2101" s="1293">
        <v>3.5585406719348552E-3</v>
      </c>
      <c r="Q2101" s="1292">
        <v>0.16120116420146197</v>
      </c>
    </row>
    <row r="2102" spans="1:17" s="212" customFormat="1" ht="15.5" x14ac:dyDescent="0.35">
      <c r="A2102" s="198">
        <v>2048</v>
      </c>
      <c r="B2102" s="197" t="s">
        <v>5838</v>
      </c>
      <c r="C2102" s="197">
        <v>1997</v>
      </c>
      <c r="D2102" s="225" t="str">
        <f t="shared" si="21"/>
        <v>2048_1997</v>
      </c>
      <c r="E2102" s="1291">
        <v>0.59508094515450272</v>
      </c>
      <c r="F2102" s="1280">
        <v>1.8102915155132664E-2</v>
      </c>
      <c r="G2102" s="1271">
        <v>4.2034266981524473</v>
      </c>
      <c r="H2102" s="1280">
        <v>0.12230351351755404</v>
      </c>
      <c r="I2102" s="1271">
        <v>0.15422767319475891</v>
      </c>
      <c r="J2102" s="1280">
        <v>1.881070087135348E-4</v>
      </c>
      <c r="K2102" s="1271">
        <v>2.9974095358440631E-3</v>
      </c>
      <c r="L2102" s="1257">
        <v>2.0000013289035376E-3</v>
      </c>
      <c r="M2102" s="1280">
        <v>2.0000013289035376E-3</v>
      </c>
      <c r="N2102" s="1271">
        <v>2.7239195448083432E-2</v>
      </c>
      <c r="O2102" s="1257">
        <v>7.1170813438697104E-3</v>
      </c>
      <c r="P2102" s="1293">
        <v>3.5585406719348552E-3</v>
      </c>
      <c r="Q2102" s="1292">
        <v>0.16120116420146197</v>
      </c>
    </row>
    <row r="2103" spans="1:17" s="212" customFormat="1" ht="15.5" x14ac:dyDescent="0.35">
      <c r="A2103" s="198">
        <v>2048</v>
      </c>
      <c r="B2103" s="197" t="s">
        <v>5838</v>
      </c>
      <c r="C2103" s="197">
        <v>1998</v>
      </c>
      <c r="D2103" s="225" t="str">
        <f t="shared" si="21"/>
        <v>2048_1998</v>
      </c>
      <c r="E2103" s="1291">
        <v>0.59508094515450272</v>
      </c>
      <c r="F2103" s="1280">
        <v>1.8102915155132664E-2</v>
      </c>
      <c r="G2103" s="1271">
        <v>4.2034266981524473</v>
      </c>
      <c r="H2103" s="1280">
        <v>0.12230351351755404</v>
      </c>
      <c r="I2103" s="1271">
        <v>0.15422767319475891</v>
      </c>
      <c r="J2103" s="1280">
        <v>1.881070087135348E-4</v>
      </c>
      <c r="K2103" s="1271">
        <v>2.9974095358440631E-3</v>
      </c>
      <c r="L2103" s="1257">
        <v>2.0000013289035376E-3</v>
      </c>
      <c r="M2103" s="1280">
        <v>2.0000013289035376E-3</v>
      </c>
      <c r="N2103" s="1271">
        <v>2.7239195448083432E-2</v>
      </c>
      <c r="O2103" s="1257">
        <v>7.1170813438697104E-3</v>
      </c>
      <c r="P2103" s="1293">
        <v>3.5585406719348552E-3</v>
      </c>
      <c r="Q2103" s="1292">
        <v>0.16120116420146197</v>
      </c>
    </row>
    <row r="2104" spans="1:17" s="212" customFormat="1" ht="15.5" x14ac:dyDescent="0.35">
      <c r="A2104" s="198">
        <v>2048</v>
      </c>
      <c r="B2104" s="197" t="s">
        <v>5838</v>
      </c>
      <c r="C2104" s="197">
        <v>1999</v>
      </c>
      <c r="D2104" s="225" t="str">
        <f t="shared" si="21"/>
        <v>2048_1999</v>
      </c>
      <c r="E2104" s="1291">
        <v>0.59508094515450272</v>
      </c>
      <c r="F2104" s="1280">
        <v>1.8102915155132664E-2</v>
      </c>
      <c r="G2104" s="1271">
        <v>4.2034266981524473</v>
      </c>
      <c r="H2104" s="1280">
        <v>0.12230351351755404</v>
      </c>
      <c r="I2104" s="1271">
        <v>0.15422767319475891</v>
      </c>
      <c r="J2104" s="1280">
        <v>1.881070087135348E-4</v>
      </c>
      <c r="K2104" s="1271">
        <v>2.9974095358440631E-3</v>
      </c>
      <c r="L2104" s="1257">
        <v>2.0000013289035376E-3</v>
      </c>
      <c r="M2104" s="1280">
        <v>2.0000013289035376E-3</v>
      </c>
      <c r="N2104" s="1271">
        <v>2.7239195448083432E-2</v>
      </c>
      <c r="O2104" s="1257">
        <v>7.1170813438697104E-3</v>
      </c>
      <c r="P2104" s="1293">
        <v>3.5585406719348552E-3</v>
      </c>
      <c r="Q2104" s="1292">
        <v>0.16120116420146197</v>
      </c>
    </row>
    <row r="2105" spans="1:17" s="212" customFormat="1" ht="15.5" x14ac:dyDescent="0.35">
      <c r="A2105" s="198">
        <v>2048</v>
      </c>
      <c r="B2105" s="197" t="s">
        <v>5838</v>
      </c>
      <c r="C2105" s="197">
        <v>2000</v>
      </c>
      <c r="D2105" s="225" t="str">
        <f t="shared" si="21"/>
        <v>2048_2000</v>
      </c>
      <c r="E2105" s="1291">
        <v>0.59508094515450272</v>
      </c>
      <c r="F2105" s="1280">
        <v>1.8102915155132664E-2</v>
      </c>
      <c r="G2105" s="1271">
        <v>4.2034266981524473</v>
      </c>
      <c r="H2105" s="1280">
        <v>0.12230351351755404</v>
      </c>
      <c r="I2105" s="1271">
        <v>0.15422767319475891</v>
      </c>
      <c r="J2105" s="1280">
        <v>1.881070087135348E-4</v>
      </c>
      <c r="K2105" s="1271">
        <v>2.9974095358440631E-3</v>
      </c>
      <c r="L2105" s="1257">
        <v>2.0000013289035376E-3</v>
      </c>
      <c r="M2105" s="1280">
        <v>2.0000013289035376E-3</v>
      </c>
      <c r="N2105" s="1271">
        <v>2.7239195448083432E-2</v>
      </c>
      <c r="O2105" s="1257">
        <v>7.1170813438697104E-3</v>
      </c>
      <c r="P2105" s="1293">
        <v>3.5585406719348552E-3</v>
      </c>
      <c r="Q2105" s="1292">
        <v>0.16120116420146197</v>
      </c>
    </row>
    <row r="2106" spans="1:17" s="212" customFormat="1" ht="15.5" x14ac:dyDescent="0.35">
      <c r="A2106" s="198">
        <v>2048</v>
      </c>
      <c r="B2106" s="197" t="s">
        <v>5838</v>
      </c>
      <c r="C2106" s="197">
        <v>2001</v>
      </c>
      <c r="D2106" s="225" t="str">
        <f t="shared" si="21"/>
        <v>2048_2001</v>
      </c>
      <c r="E2106" s="1291">
        <v>0.59508094515450272</v>
      </c>
      <c r="F2106" s="1280">
        <v>1.8102915155132664E-2</v>
      </c>
      <c r="G2106" s="1271">
        <v>4.2034266981524473</v>
      </c>
      <c r="H2106" s="1280">
        <v>0.12230351351755404</v>
      </c>
      <c r="I2106" s="1271">
        <v>0.15422767319475891</v>
      </c>
      <c r="J2106" s="1280">
        <v>1.881070087135348E-4</v>
      </c>
      <c r="K2106" s="1271">
        <v>2.9974095358440631E-3</v>
      </c>
      <c r="L2106" s="1257">
        <v>2.0000013289035376E-3</v>
      </c>
      <c r="M2106" s="1280">
        <v>2.0000013289035376E-3</v>
      </c>
      <c r="N2106" s="1271">
        <v>2.7239195448083432E-2</v>
      </c>
      <c r="O2106" s="1257">
        <v>7.1170813438697104E-3</v>
      </c>
      <c r="P2106" s="1293">
        <v>3.5585406719348552E-3</v>
      </c>
      <c r="Q2106" s="1292">
        <v>0.16120116420146197</v>
      </c>
    </row>
    <row r="2107" spans="1:17" s="212" customFormat="1" ht="15.5" x14ac:dyDescent="0.35">
      <c r="A2107" s="198">
        <v>2048</v>
      </c>
      <c r="B2107" s="197" t="s">
        <v>5838</v>
      </c>
      <c r="C2107" s="197">
        <v>2002</v>
      </c>
      <c r="D2107" s="225" t="str">
        <f t="shared" si="21"/>
        <v>2048_2002</v>
      </c>
      <c r="E2107" s="1291">
        <v>0.59508094515450272</v>
      </c>
      <c r="F2107" s="1280">
        <v>1.8102915155132664E-2</v>
      </c>
      <c r="G2107" s="1271">
        <v>4.2034266981524473</v>
      </c>
      <c r="H2107" s="1280">
        <v>0.12230351351755404</v>
      </c>
      <c r="I2107" s="1271">
        <v>0.15422767319475891</v>
      </c>
      <c r="J2107" s="1280">
        <v>1.881070087135348E-4</v>
      </c>
      <c r="K2107" s="1271">
        <v>2.9974095358440631E-3</v>
      </c>
      <c r="L2107" s="1257">
        <v>2.0000013289035376E-3</v>
      </c>
      <c r="M2107" s="1280">
        <v>2.0000013289035376E-3</v>
      </c>
      <c r="N2107" s="1271">
        <v>2.7239195448083432E-2</v>
      </c>
      <c r="O2107" s="1257">
        <v>7.1170813438697104E-3</v>
      </c>
      <c r="P2107" s="1293">
        <v>3.5585406719348552E-3</v>
      </c>
      <c r="Q2107" s="1292">
        <v>0.16120116420146197</v>
      </c>
    </row>
    <row r="2108" spans="1:17" s="212" customFormat="1" ht="15.5" x14ac:dyDescent="0.35">
      <c r="A2108" s="198">
        <v>2048</v>
      </c>
      <c r="B2108" s="197" t="s">
        <v>5838</v>
      </c>
      <c r="C2108" s="197">
        <v>2003</v>
      </c>
      <c r="D2108" s="225" t="str">
        <f t="shared" si="21"/>
        <v>2048_2003</v>
      </c>
      <c r="E2108" s="1291">
        <v>0.59508094515450272</v>
      </c>
      <c r="F2108" s="1280">
        <v>1.8102915155132664E-2</v>
      </c>
      <c r="G2108" s="1271">
        <v>4.2034266981524473</v>
      </c>
      <c r="H2108" s="1280">
        <v>0.12230351351755404</v>
      </c>
      <c r="I2108" s="1271">
        <v>0.15422767319475891</v>
      </c>
      <c r="J2108" s="1280">
        <v>1.881070087135348E-4</v>
      </c>
      <c r="K2108" s="1271">
        <v>2.9974095358440631E-3</v>
      </c>
      <c r="L2108" s="1257">
        <v>2.0000013289035376E-3</v>
      </c>
      <c r="M2108" s="1280">
        <v>2.0000013289035376E-3</v>
      </c>
      <c r="N2108" s="1271">
        <v>2.7239195448083432E-2</v>
      </c>
      <c r="O2108" s="1257">
        <v>7.1170813438697104E-3</v>
      </c>
      <c r="P2108" s="1293">
        <v>3.5585406719348552E-3</v>
      </c>
      <c r="Q2108" s="1292">
        <v>0.16120116420146197</v>
      </c>
    </row>
    <row r="2109" spans="1:17" s="212" customFormat="1" ht="15.5" x14ac:dyDescent="0.35">
      <c r="A2109" s="198">
        <v>2048</v>
      </c>
      <c r="B2109" s="197" t="s">
        <v>5838</v>
      </c>
      <c r="C2109" s="197">
        <v>2004</v>
      </c>
      <c r="D2109" s="225" t="str">
        <f t="shared" si="21"/>
        <v>2048_2004</v>
      </c>
      <c r="E2109" s="1287">
        <v>0.59508094515450272</v>
      </c>
      <c r="F2109" s="1306">
        <v>1.8102915155132664E-2</v>
      </c>
      <c r="G2109" s="1303">
        <v>4.2034266981524473</v>
      </c>
      <c r="H2109" s="1306">
        <v>0.12230351351755404</v>
      </c>
      <c r="I2109" s="1303">
        <v>0.15422767319475891</v>
      </c>
      <c r="J2109" s="1306">
        <v>1.881070087135348E-4</v>
      </c>
      <c r="K2109" s="1303">
        <v>2.9974095358440631E-3</v>
      </c>
      <c r="L2109" s="1288">
        <v>2.0000013289035376E-3</v>
      </c>
      <c r="M2109" s="1280">
        <v>2.0000013289035376E-3</v>
      </c>
      <c r="N2109" s="1303">
        <v>2.7239195448083432E-2</v>
      </c>
      <c r="O2109" s="1288">
        <v>7.1170813438697104E-3</v>
      </c>
      <c r="P2109" s="1293">
        <v>3.5585406719348552E-3</v>
      </c>
      <c r="Q2109" s="1290">
        <v>0.16120116420146197</v>
      </c>
    </row>
    <row r="2110" spans="1:17" s="212" customFormat="1" ht="15.5" x14ac:dyDescent="0.35">
      <c r="A2110" s="198">
        <v>2048</v>
      </c>
      <c r="B2110" s="197" t="s">
        <v>5838</v>
      </c>
      <c r="C2110" s="197">
        <v>2005</v>
      </c>
      <c r="D2110" s="225" t="str">
        <f t="shared" si="21"/>
        <v>2048_2005</v>
      </c>
      <c r="E2110" s="1287">
        <v>0.51090827264073435</v>
      </c>
      <c r="F2110" s="1306">
        <v>1.6162971097303257E-2</v>
      </c>
      <c r="G2110" s="1303">
        <v>3.7976286428701878</v>
      </c>
      <c r="H2110" s="1306">
        <v>0.10692555559175343</v>
      </c>
      <c r="I2110" s="1303">
        <v>0.13716690664218933</v>
      </c>
      <c r="J2110" s="1306">
        <v>1.8838363289178212E-4</v>
      </c>
      <c r="K2110" s="1303">
        <v>2.8327369147477643E-3</v>
      </c>
      <c r="L2110" s="1288">
        <v>2.0000013401249551E-3</v>
      </c>
      <c r="M2110" s="1280">
        <v>2.0000013401249551E-3</v>
      </c>
      <c r="N2110" s="1303">
        <v>2.3357267899190494E-2</v>
      </c>
      <c r="O2110" s="1288">
        <v>6.6068497256027278E-3</v>
      </c>
      <c r="P2110" s="1293">
        <v>3.3034248628013639E-3</v>
      </c>
      <c r="Q2110" s="1290">
        <v>0.14336898549141502</v>
      </c>
    </row>
    <row r="2111" spans="1:17" s="212" customFormat="1" ht="15.5" x14ac:dyDescent="0.35">
      <c r="A2111" s="198">
        <v>2048</v>
      </c>
      <c r="B2111" s="197" t="s">
        <v>5838</v>
      </c>
      <c r="C2111" s="197">
        <v>2006</v>
      </c>
      <c r="D2111" s="225" t="str">
        <f t="shared" si="21"/>
        <v>2048_2006</v>
      </c>
      <c r="E2111" s="1287">
        <v>0.54373337783701992</v>
      </c>
      <c r="F2111" s="1306">
        <v>7.1635566424858022E-3</v>
      </c>
      <c r="G2111" s="1303">
        <v>3.9597450249979014</v>
      </c>
      <c r="H2111" s="1306">
        <v>8.5406406213144159E-2</v>
      </c>
      <c r="I2111" s="1303">
        <v>0.14377689826663947</v>
      </c>
      <c r="J2111" s="1306">
        <v>1.8379652002078112E-4</v>
      </c>
      <c r="K2111" s="1303">
        <v>2.901681534148757E-3</v>
      </c>
      <c r="L2111" s="1288">
        <v>2.0000012469697848E-3</v>
      </c>
      <c r="M2111" s="1280">
        <v>2.0000012469697848E-3</v>
      </c>
      <c r="N2111" s="1303">
        <v>2.4981657035007914E-2</v>
      </c>
      <c r="O2111" s="1288">
        <v>9.6259937771261354E-3</v>
      </c>
      <c r="P2111" s="1293">
        <v>4.8129968885630677E-3</v>
      </c>
      <c r="Q2111" s="1290">
        <v>0.15027785160572008</v>
      </c>
    </row>
    <row r="2112" spans="1:17" s="212" customFormat="1" ht="15.5" x14ac:dyDescent="0.35">
      <c r="A2112" s="198">
        <v>2048</v>
      </c>
      <c r="B2112" s="197" t="s">
        <v>5838</v>
      </c>
      <c r="C2112" s="197">
        <v>2007</v>
      </c>
      <c r="D2112" s="225" t="str">
        <f t="shared" si="21"/>
        <v>2048_2007</v>
      </c>
      <c r="E2112" s="1287">
        <v>0.29704033106802064</v>
      </c>
      <c r="F2112" s="1306">
        <v>8.9904964928708021E-3</v>
      </c>
      <c r="G2112" s="1303">
        <v>2.1569339227606994</v>
      </c>
      <c r="H2112" s="1306">
        <v>7.1085218810315307E-2</v>
      </c>
      <c r="I2112" s="1303">
        <v>7.7669291239034835E-2</v>
      </c>
      <c r="J2112" s="1306">
        <v>1.8747596078555655E-4</v>
      </c>
      <c r="K2112" s="1303">
        <v>2.8743904161136931E-3</v>
      </c>
      <c r="L2112" s="1288">
        <v>2.0000012724449611E-3</v>
      </c>
      <c r="M2112" s="1280">
        <v>2.0000012724449611E-3</v>
      </c>
      <c r="N2112" s="1303">
        <v>2.4340314288993841E-2</v>
      </c>
      <c r="O2112" s="1288">
        <v>6.8707987791221748E-3</v>
      </c>
      <c r="P2112" s="1293">
        <v>3.4353993895610874E-3</v>
      </c>
      <c r="Q2112" s="1290">
        <v>8.1181151936488519E-2</v>
      </c>
    </row>
    <row r="2113" spans="1:17" s="212" customFormat="1" ht="15.5" x14ac:dyDescent="0.35">
      <c r="A2113" s="198">
        <v>2048</v>
      </c>
      <c r="B2113" s="197" t="s">
        <v>5838</v>
      </c>
      <c r="C2113" s="197">
        <v>2008</v>
      </c>
      <c r="D2113" s="225" t="str">
        <f t="shared" si="21"/>
        <v>2048_2008</v>
      </c>
      <c r="E2113" s="1287">
        <v>0.31527477251113906</v>
      </c>
      <c r="F2113" s="1306">
        <v>8.372293325643116E-3</v>
      </c>
      <c r="G2113" s="1303">
        <v>2.2978322905766859</v>
      </c>
      <c r="H2113" s="1306">
        <v>5.42866615327963E-2</v>
      </c>
      <c r="I2113" s="1303">
        <v>8.2360784024672451E-2</v>
      </c>
      <c r="J2113" s="1306">
        <v>2.1100694299646227E-4</v>
      </c>
      <c r="K2113" s="1303">
        <v>2.9340136480713198E-3</v>
      </c>
      <c r="L2113" s="1288">
        <v>2.0000013854425433E-3</v>
      </c>
      <c r="M2113" s="1280">
        <v>2.0000013854425433E-3</v>
      </c>
      <c r="N2113" s="1303">
        <v>2.5747481392348299E-2</v>
      </c>
      <c r="O2113" s="1288">
        <v>6.8355473592641202E-3</v>
      </c>
      <c r="P2113" s="1293">
        <v>3.4177736796320601E-3</v>
      </c>
      <c r="Q2113" s="1290">
        <v>8.6084773207701776E-2</v>
      </c>
    </row>
    <row r="2114" spans="1:17" s="212" customFormat="1" ht="15.5" x14ac:dyDescent="0.35">
      <c r="A2114" s="198">
        <v>2048</v>
      </c>
      <c r="B2114" s="197" t="s">
        <v>5838</v>
      </c>
      <c r="C2114" s="197">
        <v>2009</v>
      </c>
      <c r="D2114" s="225" t="str">
        <f t="shared" si="21"/>
        <v>2048_2009</v>
      </c>
      <c r="E2114" s="1287">
        <v>0.29984789529159667</v>
      </c>
      <c r="F2114" s="1306">
        <v>7.9698300046223396E-3</v>
      </c>
      <c r="G2114" s="1303">
        <v>2.1602708033966067</v>
      </c>
      <c r="H2114" s="1306">
        <v>3.875727814975042E-2</v>
      </c>
      <c r="I2114" s="1303">
        <v>7.8190668539125388E-2</v>
      </c>
      <c r="J2114" s="1306">
        <v>2.3922870778800932E-4</v>
      </c>
      <c r="K2114" s="1303">
        <v>2.8701553892447555E-3</v>
      </c>
      <c r="L2114" s="1288">
        <v>2.0000014245976977E-3</v>
      </c>
      <c r="M2114" s="1280">
        <v>2.0000014245976977E-3</v>
      </c>
      <c r="N2114" s="1303">
        <v>2.4246021210515039E-2</v>
      </c>
      <c r="O2114" s="1288">
        <v>5.4276286441105187E-3</v>
      </c>
      <c r="P2114" s="1293">
        <v>2.7138143220552594E-3</v>
      </c>
      <c r="Q2114" s="1290">
        <v>8.1726103604511657E-2</v>
      </c>
    </row>
    <row r="2115" spans="1:17" s="212" customFormat="1" ht="15.5" x14ac:dyDescent="0.35">
      <c r="A2115" s="198">
        <v>2048</v>
      </c>
      <c r="B2115" s="197" t="s">
        <v>5838</v>
      </c>
      <c r="C2115" s="197">
        <v>2010</v>
      </c>
      <c r="D2115" s="225" t="str">
        <f t="shared" si="21"/>
        <v>2048_2010</v>
      </c>
      <c r="E2115" s="1287">
        <v>6.2547666762188869E-2</v>
      </c>
      <c r="F2115" s="1306">
        <v>7.3515619496160407E-3</v>
      </c>
      <c r="G2115" s="1303">
        <v>0.53394265334382862</v>
      </c>
      <c r="H2115" s="1306">
        <v>3.6879950459416118E-2</v>
      </c>
      <c r="I2115" s="1303">
        <v>1.744441135703893E-2</v>
      </c>
      <c r="J2115" s="1306">
        <v>2.9595383937641798E-4</v>
      </c>
      <c r="K2115" s="1303">
        <v>2.7339688217359877E-3</v>
      </c>
      <c r="L2115" s="1288">
        <v>2.0000014963154553E-3</v>
      </c>
      <c r="M2115" s="1280">
        <v>2.0000014963154553E-3</v>
      </c>
      <c r="N2115" s="1303">
        <v>2.1044435710316615E-2</v>
      </c>
      <c r="O2115" s="1288">
        <v>4.5396320903671357E-3</v>
      </c>
      <c r="P2115" s="1293">
        <v>2.2698160451835678E-3</v>
      </c>
      <c r="Q2115" s="1290">
        <v>1.8233170230175236E-2</v>
      </c>
    </row>
    <row r="2116" spans="1:17" s="212" customFormat="1" ht="15.5" x14ac:dyDescent="0.35">
      <c r="A2116" s="198">
        <v>2048</v>
      </c>
      <c r="B2116" s="197" t="s">
        <v>5838</v>
      </c>
      <c r="C2116" s="197">
        <v>2011</v>
      </c>
      <c r="D2116" s="225" t="str">
        <f t="shared" si="21"/>
        <v>2048_2011</v>
      </c>
      <c r="E2116" s="1287">
        <v>7.116440538803108E-2</v>
      </c>
      <c r="F2116" s="1306">
        <v>7.337233606854612E-3</v>
      </c>
      <c r="G2116" s="1303">
        <v>0.63256918864722134</v>
      </c>
      <c r="H2116" s="1306">
        <v>3.6715364125054384E-2</v>
      </c>
      <c r="I2116" s="1303">
        <v>1.9649343621686396E-2</v>
      </c>
      <c r="J2116" s="1306">
        <v>3.9350025145045315E-4</v>
      </c>
      <c r="K2116" s="1303">
        <v>2.8818275544134908E-3</v>
      </c>
      <c r="L2116" s="1288">
        <v>2.000001455104896E-3</v>
      </c>
      <c r="M2116" s="1280">
        <v>2.000001455104896E-3</v>
      </c>
      <c r="N2116" s="1303">
        <v>2.4529261193727628E-2</v>
      </c>
      <c r="O2116" s="1288">
        <v>5.5263533752320454E-3</v>
      </c>
      <c r="P2116" s="1293">
        <v>2.7631766876160227E-3</v>
      </c>
      <c r="Q2116" s="1290">
        <v>2.0537799747588122E-2</v>
      </c>
    </row>
    <row r="2117" spans="1:17" s="212" customFormat="1" ht="15.5" x14ac:dyDescent="0.35">
      <c r="A2117" s="198">
        <v>2048</v>
      </c>
      <c r="B2117" s="197" t="s">
        <v>5838</v>
      </c>
      <c r="C2117" s="197">
        <v>2012</v>
      </c>
      <c r="D2117" s="225" t="str">
        <f t="shared" si="21"/>
        <v>2048_2012</v>
      </c>
      <c r="E2117" s="1287">
        <v>5.3929472952520326E-2</v>
      </c>
      <c r="F2117" s="1306">
        <v>6.9888847358167121E-3</v>
      </c>
      <c r="G2117" s="1303">
        <v>0.44344573306743207</v>
      </c>
      <c r="H2117" s="1306">
        <v>3.5598043038651446E-2</v>
      </c>
      <c r="I2117" s="1303">
        <v>1.5304620332381218E-2</v>
      </c>
      <c r="J2117" s="1306">
        <v>5.6989158567462435E-4</v>
      </c>
      <c r="K2117" s="1303">
        <v>2.6050577218440264E-3</v>
      </c>
      <c r="L2117" s="1288">
        <v>2.0000014937697646E-3</v>
      </c>
      <c r="M2117" s="1280">
        <v>2.0000014937697646E-3</v>
      </c>
      <c r="N2117" s="1303">
        <v>1.8000727430730289E-2</v>
      </c>
      <c r="O2117" s="1288">
        <v>6.058992710607441E-3</v>
      </c>
      <c r="P2117" s="1293">
        <v>3.0294963553037205E-3</v>
      </c>
      <c r="Q2117" s="1290">
        <v>1.5996627350564563E-2</v>
      </c>
    </row>
    <row r="2118" spans="1:17" s="212" customFormat="1" ht="15.5" x14ac:dyDescent="0.35">
      <c r="A2118" s="198">
        <v>2048</v>
      </c>
      <c r="B2118" s="197" t="s">
        <v>5838</v>
      </c>
      <c r="C2118" s="197">
        <v>2013</v>
      </c>
      <c r="D2118" s="225" t="str">
        <f t="shared" si="21"/>
        <v>2048_2013</v>
      </c>
      <c r="E2118" s="1287">
        <v>7.0841608023765934E-2</v>
      </c>
      <c r="F2118" s="1306">
        <v>7.4993942231744186E-3</v>
      </c>
      <c r="G2118" s="1303">
        <v>0.62771999874515505</v>
      </c>
      <c r="H2118" s="1306">
        <v>3.6853336147162186E-2</v>
      </c>
      <c r="I2118" s="1303">
        <v>1.9553220907097893E-2</v>
      </c>
      <c r="J2118" s="1306">
        <v>8.5038621226505369E-4</v>
      </c>
      <c r="K2118" s="1303">
        <v>2.8745549886675169E-3</v>
      </c>
      <c r="L2118" s="1288">
        <v>2.0000014948191491E-3</v>
      </c>
      <c r="M2118" s="1280">
        <v>2.0000014948191491E-3</v>
      </c>
      <c r="N2118" s="1303">
        <v>2.4356708463899871E-2</v>
      </c>
      <c r="O2118" s="1288">
        <v>6.1513484757874494E-3</v>
      </c>
      <c r="P2118" s="1293">
        <v>3.0756742378937247E-3</v>
      </c>
      <c r="Q2118" s="1290">
        <v>2.0437330790384102E-2</v>
      </c>
    </row>
    <row r="2119" spans="1:17" s="212" customFormat="1" ht="15.5" x14ac:dyDescent="0.35">
      <c r="A2119" s="198">
        <v>2048</v>
      </c>
      <c r="B2119" s="197" t="s">
        <v>5838</v>
      </c>
      <c r="C2119" s="197">
        <v>2014</v>
      </c>
      <c r="D2119" s="225" t="str">
        <f t="shared" si="21"/>
        <v>2048_2014</v>
      </c>
      <c r="E2119" s="1287">
        <v>6.3223256694741686E-2</v>
      </c>
      <c r="F2119" s="1306">
        <v>7.6366296729194778E-3</v>
      </c>
      <c r="G2119" s="1303">
        <v>0.54554061881053251</v>
      </c>
      <c r="H2119" s="1306">
        <v>3.7263308099582206E-2</v>
      </c>
      <c r="I2119" s="1303">
        <v>1.7650471098427239E-2</v>
      </c>
      <c r="J2119" s="1306">
        <v>1.2018802270124748E-3</v>
      </c>
      <c r="K2119" s="1303">
        <v>2.7548225310288985E-3</v>
      </c>
      <c r="L2119" s="1288">
        <v>2.0000015050464673E-3</v>
      </c>
      <c r="M2119" s="1280">
        <v>2.0000015050464673E-3</v>
      </c>
      <c r="N2119" s="1303">
        <v>2.1530104556203085E-2</v>
      </c>
      <c r="O2119" s="1288">
        <v>5.281398249193262E-3</v>
      </c>
      <c r="P2119" s="1293">
        <v>2.640699124596631E-3</v>
      </c>
      <c r="Q2119" s="1290">
        <v>1.844854707869259E-2</v>
      </c>
    </row>
    <row r="2120" spans="1:17" s="212" customFormat="1" ht="15.5" x14ac:dyDescent="0.35">
      <c r="A2120" s="198">
        <v>2048</v>
      </c>
      <c r="B2120" s="197" t="s">
        <v>5838</v>
      </c>
      <c r="C2120" s="197">
        <v>2015</v>
      </c>
      <c r="D2120" s="225" t="str">
        <f t="shared" si="21"/>
        <v>2048_2015</v>
      </c>
      <c r="E2120" s="1287">
        <v>6.050550200621526E-2</v>
      </c>
      <c r="F2120" s="1306">
        <v>7.4707770877579039E-3</v>
      </c>
      <c r="G2120" s="1303">
        <v>0.51982696203570256</v>
      </c>
      <c r="H2120" s="1306">
        <v>3.6398343747932056E-2</v>
      </c>
      <c r="I2120" s="1303">
        <v>1.7013281302667632E-2</v>
      </c>
      <c r="J2120" s="1306">
        <v>1.4839519384415945E-3</v>
      </c>
      <c r="K2120" s="1303">
        <v>2.7195577649054307E-3</v>
      </c>
      <c r="L2120" s="1288">
        <v>2.0000014734104753E-3</v>
      </c>
      <c r="M2120" s="1280">
        <v>2.0000014734104753E-3</v>
      </c>
      <c r="N2120" s="1303">
        <v>2.0687842214659271E-2</v>
      </c>
      <c r="O2120" s="1288">
        <v>6.2891500513575444E-3</v>
      </c>
      <c r="P2120" s="1293">
        <v>3.1445750256787722E-3</v>
      </c>
      <c r="Q2120" s="1290">
        <v>1.7782546387856583E-2</v>
      </c>
    </row>
    <row r="2121" spans="1:17" s="212" customFormat="1" ht="15.5" x14ac:dyDescent="0.35">
      <c r="A2121" s="198">
        <v>2048</v>
      </c>
      <c r="B2121" s="197" t="s">
        <v>5838</v>
      </c>
      <c r="C2121" s="197">
        <v>2016</v>
      </c>
      <c r="D2121" s="225" t="str">
        <f t="shared" si="21"/>
        <v>2048_2016</v>
      </c>
      <c r="E2121" s="1287">
        <v>6.9175481058856306E-2</v>
      </c>
      <c r="F2121" s="1306">
        <v>7.3342324242636221E-3</v>
      </c>
      <c r="G2121" s="1303">
        <v>0.54793308788134576</v>
      </c>
      <c r="H2121" s="1306">
        <v>3.5615852176573919E-2</v>
      </c>
      <c r="I2121" s="1303">
        <v>1.9229048773611875E-2</v>
      </c>
      <c r="J2121" s="1306">
        <v>1.6809238438203829E-3</v>
      </c>
      <c r="K2121" s="1303">
        <v>2.8705805524825421E-3</v>
      </c>
      <c r="L2121" s="1288">
        <v>2.0000014199375799E-3</v>
      </c>
      <c r="M2121" s="1280">
        <v>2.0000014199375799E-3</v>
      </c>
      <c r="N2121" s="1303">
        <v>2.4249785560656913E-2</v>
      </c>
      <c r="O2121" s="1288">
        <v>7.3455471058847116E-3</v>
      </c>
      <c r="P2121" s="1293">
        <v>3.6727735529423558E-3</v>
      </c>
      <c r="Q2121" s="1290">
        <v>2.0098501031514421E-2</v>
      </c>
    </row>
    <row r="2122" spans="1:17" s="212" customFormat="1" ht="15.5" x14ac:dyDescent="0.35">
      <c r="A2122" s="198">
        <v>2048</v>
      </c>
      <c r="B2122" s="197" t="s">
        <v>5838</v>
      </c>
      <c r="C2122" s="197">
        <v>2017</v>
      </c>
      <c r="D2122" s="225" t="str">
        <f t="shared" si="21"/>
        <v>2048_2017</v>
      </c>
      <c r="E2122" s="1287">
        <v>7.1004312385508084E-2</v>
      </c>
      <c r="F2122" s="1306">
        <v>7.0582484904105633E-3</v>
      </c>
      <c r="G2122" s="1303">
        <v>0.49150295994975562</v>
      </c>
      <c r="H2122" s="1306">
        <v>3.4892875510754519E-2</v>
      </c>
      <c r="I2122" s="1303">
        <v>1.9691784846220899E-2</v>
      </c>
      <c r="J2122" s="1306">
        <v>1.8017753131489862E-3</v>
      </c>
      <c r="K2122" s="1303">
        <v>2.8993334967651382E-3</v>
      </c>
      <c r="L2122" s="1288">
        <v>2.0000013845438659E-3</v>
      </c>
      <c r="M2122" s="1280">
        <v>2.0000013845438659E-3</v>
      </c>
      <c r="N2122" s="1303">
        <v>2.493102970882681E-2</v>
      </c>
      <c r="O2122" s="1288">
        <v>7.4061689070681639E-3</v>
      </c>
      <c r="P2122" s="1293">
        <v>3.703084453534082E-3</v>
      </c>
      <c r="Q2122" s="1290">
        <v>2.0582159975965898E-2</v>
      </c>
    </row>
    <row r="2123" spans="1:17" s="212" customFormat="1" ht="15.5" x14ac:dyDescent="0.35">
      <c r="A2123" s="198">
        <v>2048</v>
      </c>
      <c r="B2123" s="197" t="s">
        <v>5838</v>
      </c>
      <c r="C2123" s="197">
        <v>2018</v>
      </c>
      <c r="D2123" s="225" t="str">
        <f t="shared" si="21"/>
        <v>2048_2018</v>
      </c>
      <c r="E2123" s="1287">
        <v>6.8164303814716873E-2</v>
      </c>
      <c r="F2123" s="1306">
        <v>6.9573485396787586E-3</v>
      </c>
      <c r="G2123" s="1303">
        <v>0.38714615633556143</v>
      </c>
      <c r="H2123" s="1306">
        <v>3.4580982719258434E-2</v>
      </c>
      <c r="I2123" s="1303">
        <v>1.8963767660058858E-2</v>
      </c>
      <c r="J2123" s="1306">
        <v>1.905971758776886E-3</v>
      </c>
      <c r="K2123" s="1303">
        <v>2.8490365832195895E-3</v>
      </c>
      <c r="L2123" s="1288">
        <v>2.0000013856601522E-3</v>
      </c>
      <c r="M2123" s="1280">
        <v>2.0000013856601522E-3</v>
      </c>
      <c r="N2123" s="1303">
        <v>2.3743866131938834E-2</v>
      </c>
      <c r="O2123" s="1288">
        <v>6.7343351748392856E-3</v>
      </c>
      <c r="P2123" s="1293">
        <v>3.3671675874196428E-3</v>
      </c>
      <c r="Q2123" s="1290">
        <v>1.9821225083174035E-2</v>
      </c>
    </row>
    <row r="2124" spans="1:17" s="212" customFormat="1" ht="15.5" x14ac:dyDescent="0.35">
      <c r="A2124" s="198">
        <v>2048</v>
      </c>
      <c r="B2124" s="197" t="s">
        <v>5838</v>
      </c>
      <c r="C2124" s="197">
        <v>2019</v>
      </c>
      <c r="D2124" s="225" t="str">
        <f t="shared" si="21"/>
        <v>2048_2019</v>
      </c>
      <c r="E2124" s="1287">
        <v>7.4180465068400661E-2</v>
      </c>
      <c r="F2124" s="1306">
        <v>6.8484265941550883E-3</v>
      </c>
      <c r="G2124" s="1303">
        <v>0.37370280940171224</v>
      </c>
      <c r="H2124" s="1306">
        <v>3.3963819957876444E-2</v>
      </c>
      <c r="I2124" s="1303">
        <v>2.0512191416679763E-2</v>
      </c>
      <c r="J2124" s="1306">
        <v>1.811152070845828E-3</v>
      </c>
      <c r="K2124" s="1303">
        <v>2.9564761824591277E-3</v>
      </c>
      <c r="L2124" s="1288">
        <v>2.000001332346383E-3</v>
      </c>
      <c r="M2124" s="1280">
        <v>2.000001332346383E-3</v>
      </c>
      <c r="N2124" s="1303">
        <v>2.6276052303562298E-2</v>
      </c>
      <c r="O2124" s="1288">
        <v>6.8246961664855509E-3</v>
      </c>
      <c r="P2124" s="1293">
        <v>3.4123480832427755E-3</v>
      </c>
      <c r="Q2124" s="1290">
        <v>2.1439661691040651E-2</v>
      </c>
    </row>
    <row r="2125" spans="1:17" s="212" customFormat="1" ht="15.5" x14ac:dyDescent="0.35">
      <c r="A2125" s="198">
        <v>2048</v>
      </c>
      <c r="B2125" s="197" t="s">
        <v>5838</v>
      </c>
      <c r="C2125" s="197">
        <v>2020</v>
      </c>
      <c r="D2125" s="225" t="str">
        <f t="shared" si="21"/>
        <v>2048_2020</v>
      </c>
      <c r="E2125" s="1287">
        <v>6.4910599398079777E-2</v>
      </c>
      <c r="F2125" s="1306">
        <v>6.7305978383356653E-3</v>
      </c>
      <c r="G2125" s="1303">
        <v>0.29249300080136303</v>
      </c>
      <c r="H2125" s="1306">
        <v>3.3077919203568569E-2</v>
      </c>
      <c r="I2125" s="1303">
        <v>1.8641899850736124E-2</v>
      </c>
      <c r="J2125" s="1306">
        <v>1.34855566581796E-3</v>
      </c>
      <c r="K2125" s="1303">
        <v>2.9371804070814104E-3</v>
      </c>
      <c r="L2125" s="1288">
        <v>2.0000014028530863E-3</v>
      </c>
      <c r="M2125" s="1280">
        <v>2.0000014028530863E-3</v>
      </c>
      <c r="N2125" s="1303">
        <v>2.5827512592167038E-2</v>
      </c>
      <c r="O2125" s="1288">
        <v>6.9873527677012546E-3</v>
      </c>
      <c r="P2125" s="1293">
        <v>3.4936763838506273E-3</v>
      </c>
      <c r="Q2125" s="1290">
        <v>1.9484803839780976E-2</v>
      </c>
    </row>
    <row r="2126" spans="1:17" s="212" customFormat="1" ht="15.5" x14ac:dyDescent="0.35">
      <c r="A2126" s="198">
        <v>2048</v>
      </c>
      <c r="B2126" s="197" t="s">
        <v>5838</v>
      </c>
      <c r="C2126" s="197">
        <v>2021</v>
      </c>
      <c r="D2126" s="225" t="str">
        <f t="shared" ref="D2126:D2223" si="22">CONCATENATE(A2126,"_",C2126)</f>
        <v>2048_2021</v>
      </c>
      <c r="E2126" s="1287">
        <v>6.403040968708136E-2</v>
      </c>
      <c r="F2126" s="1306">
        <v>6.5554052572674819E-3</v>
      </c>
      <c r="G2126" s="1303">
        <v>0.23811273880243972</v>
      </c>
      <c r="H2126" s="1306">
        <v>3.2318125230458045E-2</v>
      </c>
      <c r="I2126" s="1303">
        <v>1.8243199527752579E-2</v>
      </c>
      <c r="J2126" s="1306">
        <v>8.935163173379206E-4</v>
      </c>
      <c r="K2126" s="1303">
        <v>2.9323203978981866E-3</v>
      </c>
      <c r="L2126" s="1288">
        <v>2.0000014185907553E-3</v>
      </c>
      <c r="M2126" s="1280">
        <v>2.0000014185907553E-3</v>
      </c>
      <c r="N2126" s="1303">
        <v>2.5713612377245634E-2</v>
      </c>
      <c r="O2126" s="1288">
        <v>6.9970274906205427E-3</v>
      </c>
      <c r="P2126" s="1293">
        <v>3.4985137453102714E-3</v>
      </c>
      <c r="Q2126" s="1290">
        <v>1.9068076057398544E-2</v>
      </c>
    </row>
    <row r="2127" spans="1:17" s="212" customFormat="1" ht="15.5" x14ac:dyDescent="0.35">
      <c r="A2127" s="198">
        <v>2048</v>
      </c>
      <c r="B2127" s="197" t="s">
        <v>5838</v>
      </c>
      <c r="C2127" s="197">
        <v>2022</v>
      </c>
      <c r="D2127" s="225" t="str">
        <f t="shared" si="22"/>
        <v>2048_2022</v>
      </c>
      <c r="E2127" s="1287">
        <v>6.4029990561006722E-2</v>
      </c>
      <c r="F2127" s="1306">
        <v>6.4245012213738394E-3</v>
      </c>
      <c r="G2127" s="1303">
        <v>0.18475479927843561</v>
      </c>
      <c r="H2127" s="1306">
        <v>3.1563651004159567E-2</v>
      </c>
      <c r="I2127" s="1303">
        <v>1.8240304330233291E-2</v>
      </c>
      <c r="J2127" s="1306">
        <v>8.9367454355507151E-4</v>
      </c>
      <c r="K2127" s="1303">
        <v>2.9318644729717522E-3</v>
      </c>
      <c r="L2127" s="1288">
        <v>2.0000014235871159E-3</v>
      </c>
      <c r="M2127" s="1280">
        <v>2.0000014235871159E-3</v>
      </c>
      <c r="N2127" s="1303">
        <v>2.5702753569520339E-2</v>
      </c>
      <c r="O2127" s="1288">
        <v>7.0433055120890748E-3</v>
      </c>
      <c r="P2127" s="1293">
        <v>3.5216527560445374E-3</v>
      </c>
      <c r="Q2127" s="1290">
        <v>1.9065049951894675E-2</v>
      </c>
    </row>
    <row r="2128" spans="1:17" s="212" customFormat="1" ht="15.5" x14ac:dyDescent="0.35">
      <c r="A2128" s="198">
        <v>2048</v>
      </c>
      <c r="B2128" s="197" t="s">
        <v>5838</v>
      </c>
      <c r="C2128" s="197">
        <v>2023</v>
      </c>
      <c r="D2128" s="225" t="str">
        <f t="shared" si="22"/>
        <v>2048_2023</v>
      </c>
      <c r="E2128" s="1287">
        <v>6.3885985130828021E-2</v>
      </c>
      <c r="F2128" s="1306">
        <v>6.1930732366387914E-3</v>
      </c>
      <c r="G2128" s="1303">
        <v>0.18427640238424775</v>
      </c>
      <c r="H2128" s="1306">
        <v>3.0977754212837359E-2</v>
      </c>
      <c r="I2128" s="1303">
        <v>1.8193918816971497E-2</v>
      </c>
      <c r="J2128" s="1306">
        <v>8.928100761991149E-4</v>
      </c>
      <c r="K2128" s="1303">
        <v>2.9290697598137339E-3</v>
      </c>
      <c r="L2128" s="1288">
        <v>2.000001434170018E-3</v>
      </c>
      <c r="M2128" s="1280">
        <v>2.000001434170018E-3</v>
      </c>
      <c r="N2128" s="1303">
        <v>2.5637052285954667E-2</v>
      </c>
      <c r="O2128" s="1288">
        <v>6.9904002229805523E-3</v>
      </c>
      <c r="P2128" s="1293">
        <v>3.4952001114902762E-3</v>
      </c>
      <c r="Q2128" s="1290">
        <v>1.9016567091555962E-2</v>
      </c>
    </row>
    <row r="2129" spans="1:17" s="212" customFormat="1" ht="15.5" x14ac:dyDescent="0.35">
      <c r="A2129" s="198">
        <v>2048</v>
      </c>
      <c r="B2129" s="197" t="s">
        <v>5838</v>
      </c>
      <c r="C2129" s="197">
        <v>2024</v>
      </c>
      <c r="D2129" s="225" t="str">
        <f t="shared" si="22"/>
        <v>2048_2024</v>
      </c>
      <c r="E2129" s="1287">
        <v>6.3525944179383134E-2</v>
      </c>
      <c r="F2129" s="1306">
        <v>5.6859174047817467E-3</v>
      </c>
      <c r="G2129" s="1303">
        <v>0.18314445365269641</v>
      </c>
      <c r="H2129" s="1306">
        <v>3.005010026480049E-2</v>
      </c>
      <c r="I2129" s="1303">
        <v>1.8082267571273843E-2</v>
      </c>
      <c r="J2129" s="1306">
        <v>8.9039585150460455E-4</v>
      </c>
      <c r="K2129" s="1303">
        <v>2.9227706502442745E-3</v>
      </c>
      <c r="L2129" s="1288">
        <v>2.0000014493599611E-3</v>
      </c>
      <c r="M2129" s="1306">
        <v>2.0000005733902706E-3</v>
      </c>
      <c r="N2129" s="1303">
        <v>2.548896644413181E-2</v>
      </c>
      <c r="O2129" s="1288">
        <v>6.7951977401812897E-3</v>
      </c>
      <c r="P2129" s="1294">
        <v>4.1321455569064865E-3</v>
      </c>
      <c r="Q2129" s="1290">
        <v>1.8899867471972937E-2</v>
      </c>
    </row>
    <row r="2130" spans="1:17" s="212" customFormat="1" ht="15.5" x14ac:dyDescent="0.35">
      <c r="A2130" s="198">
        <v>2048</v>
      </c>
      <c r="B2130" s="197" t="s">
        <v>5838</v>
      </c>
      <c r="C2130" s="197">
        <v>2025</v>
      </c>
      <c r="D2130" s="225" t="str">
        <f t="shared" si="22"/>
        <v>2048_2025</v>
      </c>
      <c r="E2130" s="1287">
        <v>6.3184963030681995E-2</v>
      </c>
      <c r="F2130" s="1306">
        <v>5.2412839613931129E-3</v>
      </c>
      <c r="G2130" s="1303">
        <v>0.18197507859408149</v>
      </c>
      <c r="H2130" s="1306">
        <v>2.9246530587422555E-2</v>
      </c>
      <c r="I2130" s="1303">
        <v>1.7953477227704746E-2</v>
      </c>
      <c r="J2130" s="1306">
        <v>8.8890184310343081E-4</v>
      </c>
      <c r="K2130" s="1303">
        <v>2.917665163950475E-3</v>
      </c>
      <c r="L2130" s="1288">
        <v>2.0000014669013673E-3</v>
      </c>
      <c r="M2130" s="1306">
        <v>2.0000005734257939E-3</v>
      </c>
      <c r="N2130" s="1303">
        <v>2.536853132486178E-2</v>
      </c>
      <c r="O2130" s="1288">
        <v>6.6821068706946918E-3</v>
      </c>
      <c r="P2130" s="1294">
        <v>4.6062013215604457E-3</v>
      </c>
      <c r="Q2130" s="1290">
        <v>1.8765253800566213E-2</v>
      </c>
    </row>
    <row r="2131" spans="1:17" s="212" customFormat="1" ht="15.5" x14ac:dyDescent="0.35">
      <c r="A2131" s="198">
        <v>2048</v>
      </c>
      <c r="B2131" s="197" t="s">
        <v>5838</v>
      </c>
      <c r="C2131" s="197">
        <v>2026</v>
      </c>
      <c r="D2131" s="225" t="str">
        <f t="shared" si="22"/>
        <v>2048_2026</v>
      </c>
      <c r="E2131" s="1287">
        <v>6.2686073772493883E-2</v>
      </c>
      <c r="F2131" s="1306">
        <v>5.2946202742047499E-3</v>
      </c>
      <c r="G2131" s="1303">
        <v>0.18020836514229813</v>
      </c>
      <c r="H2131" s="1306">
        <v>2.9278225258883541E-2</v>
      </c>
      <c r="I2131" s="1303">
        <v>1.7749114785698315E-2</v>
      </c>
      <c r="J2131" s="1306">
        <v>7.7577147815746693E-4</v>
      </c>
      <c r="K2131" s="1303">
        <v>2.9109900374228569E-3</v>
      </c>
      <c r="L2131" s="1288">
        <v>2.0000014877385478E-3</v>
      </c>
      <c r="M2131" s="1306">
        <v>2.0000005734935032E-3</v>
      </c>
      <c r="N2131" s="1303">
        <v>2.5210908501909376E-2</v>
      </c>
      <c r="O2131" s="1288">
        <v>6.5278910097918922E-3</v>
      </c>
      <c r="P2131" s="1294">
        <v>5.5167492726215014E-3</v>
      </c>
      <c r="Q2131" s="1290">
        <v>1.8551650995777276E-2</v>
      </c>
    </row>
    <row r="2132" spans="1:17" s="212" customFormat="1" ht="15.5" x14ac:dyDescent="0.35">
      <c r="A2132" s="198">
        <v>2048</v>
      </c>
      <c r="B2132" s="197" t="s">
        <v>5838</v>
      </c>
      <c r="C2132" s="197">
        <v>2027</v>
      </c>
      <c r="D2132" s="225" t="str">
        <f t="shared" si="22"/>
        <v>2048_2027</v>
      </c>
      <c r="E2132" s="1287">
        <v>6.1981905906798668E-2</v>
      </c>
      <c r="F2132" s="1306">
        <v>5.3800393080409206E-3</v>
      </c>
      <c r="G2132" s="1303">
        <v>0.17770440907449139</v>
      </c>
      <c r="H2132" s="1306">
        <v>2.9314360075984786E-2</v>
      </c>
      <c r="I2132" s="1303">
        <v>1.7455874667799225E-2</v>
      </c>
      <c r="J2132" s="1306">
        <v>6.4191063178202739E-4</v>
      </c>
      <c r="K2132" s="1303">
        <v>2.9019303253002013E-3</v>
      </c>
      <c r="L2132" s="1288">
        <v>2.0000015072552963E-3</v>
      </c>
      <c r="M2132" s="1306">
        <v>2.000000573558783E-3</v>
      </c>
      <c r="N2132" s="1303">
        <v>2.4996771615548218E-2</v>
      </c>
      <c r="O2132" s="1288">
        <v>6.3438387657087994E-3</v>
      </c>
      <c r="P2132" s="1294">
        <v>6.3918271229596339E-3</v>
      </c>
      <c r="Q2132" s="1290">
        <v>1.8245151860980444E-2</v>
      </c>
    </row>
    <row r="2133" spans="1:17" s="212" customFormat="1" ht="15.5" x14ac:dyDescent="0.35">
      <c r="A2133" s="198">
        <v>2048</v>
      </c>
      <c r="B2133" s="197" t="s">
        <v>5838</v>
      </c>
      <c r="C2133" s="197">
        <v>2028</v>
      </c>
      <c r="D2133" s="225" t="str">
        <f t="shared" si="22"/>
        <v>2048_2028</v>
      </c>
      <c r="E2133" s="1287">
        <v>6.1197573382241695E-2</v>
      </c>
      <c r="F2133" s="1306">
        <v>5.3930639267084635E-3</v>
      </c>
      <c r="G2133" s="1303">
        <v>0.17484915430816345</v>
      </c>
      <c r="H2133" s="1306">
        <v>2.9224322948871992E-2</v>
      </c>
      <c r="I2133" s="1303">
        <v>1.7112722710516826E-2</v>
      </c>
      <c r="J2133" s="1306">
        <v>5.2539197420047284E-4</v>
      </c>
      <c r="K2133" s="1303">
        <v>2.8925235825583212E-3</v>
      </c>
      <c r="L2133" s="1288">
        <v>2.0000015258515302E-3</v>
      </c>
      <c r="M2133" s="1306">
        <v>2.0000005736054887E-3</v>
      </c>
      <c r="N2133" s="1303">
        <v>2.4773823309972662E-2</v>
      </c>
      <c r="O2133" s="1288">
        <v>6.1741813492155444E-3</v>
      </c>
      <c r="P2133" s="1294">
        <v>7.0106945704645329E-3</v>
      </c>
      <c r="Q2133" s="1290">
        <v>1.7886484094904086E-2</v>
      </c>
    </row>
    <row r="2134" spans="1:17" s="212" customFormat="1" ht="15.5" x14ac:dyDescent="0.35">
      <c r="A2134" s="198">
        <v>2048</v>
      </c>
      <c r="B2134" s="197" t="s">
        <v>5838</v>
      </c>
      <c r="C2134" s="197">
        <v>2029</v>
      </c>
      <c r="D2134" s="225" t="str">
        <f t="shared" si="22"/>
        <v>2048_2029</v>
      </c>
      <c r="E2134" s="1287">
        <v>6.027909920732364E-2</v>
      </c>
      <c r="F2134" s="1306">
        <v>5.3982911341280684E-3</v>
      </c>
      <c r="G2134" s="1303">
        <v>0.17148623451743394</v>
      </c>
      <c r="H2134" s="1306">
        <v>2.9088545237997854E-2</v>
      </c>
      <c r="I2134" s="1303">
        <v>1.6704818046486578E-2</v>
      </c>
      <c r="J2134" s="1306">
        <v>5.2065920086562408E-4</v>
      </c>
      <c r="K2134" s="1303">
        <v>2.8818543355765371E-3</v>
      </c>
      <c r="L2134" s="1288">
        <v>2.000001544319804E-3</v>
      </c>
      <c r="M2134" s="1306">
        <v>2.0000005736393604E-3</v>
      </c>
      <c r="N2134" s="1303">
        <v>2.4520416817302524E-2</v>
      </c>
      <c r="O2134" s="1288">
        <v>5.985708910515768E-3</v>
      </c>
      <c r="P2134" s="1294">
        <v>7.4534882314502239E-3</v>
      </c>
      <c r="Q2134" s="1290">
        <v>1.7460135792016458E-2</v>
      </c>
    </row>
    <row r="2135" spans="1:17" s="212" customFormat="1" ht="15.5" x14ac:dyDescent="0.35">
      <c r="A2135" s="198">
        <v>2048</v>
      </c>
      <c r="B2135" s="197" t="s">
        <v>5838</v>
      </c>
      <c r="C2135" s="197">
        <v>2030</v>
      </c>
      <c r="D2135" s="225" t="str">
        <f t="shared" si="22"/>
        <v>2048_2030</v>
      </c>
      <c r="E2135" s="1287">
        <v>5.9259279394978971E-2</v>
      </c>
      <c r="F2135" s="1306">
        <v>5.4083221769382333E-3</v>
      </c>
      <c r="G2135" s="1303">
        <v>0.16772058532803835</v>
      </c>
      <c r="H2135" s="1306">
        <v>2.8900314905069582E-2</v>
      </c>
      <c r="I2135" s="1303">
        <v>1.6243352642085818E-2</v>
      </c>
      <c r="J2135" s="1306">
        <v>5.163703231883933E-4</v>
      </c>
      <c r="K2135" s="1303">
        <v>2.8704183588300729E-3</v>
      </c>
      <c r="L2135" s="1288">
        <v>2.0000015652465526E-3</v>
      </c>
      <c r="M2135" s="1306">
        <v>2.0000005736634358E-3</v>
      </c>
      <c r="N2135" s="1303">
        <v>2.4248115409358059E-2</v>
      </c>
      <c r="O2135" s="1288">
        <v>5.8075970865765873E-3</v>
      </c>
      <c r="P2135" s="1294">
        <v>7.7653538266930881E-3</v>
      </c>
      <c r="Q2135" s="1290">
        <v>1.697780496975106E-2</v>
      </c>
    </row>
    <row r="2136" spans="1:17" s="212" customFormat="1" ht="15.5" x14ac:dyDescent="0.35">
      <c r="A2136" s="198">
        <v>2048</v>
      </c>
      <c r="B2136" s="197" t="s">
        <v>5838</v>
      </c>
      <c r="C2136" s="197">
        <v>2031</v>
      </c>
      <c r="D2136" s="225" t="str">
        <f t="shared" si="22"/>
        <v>2048_2031</v>
      </c>
      <c r="E2136" s="1287">
        <v>5.7944625958222841E-2</v>
      </c>
      <c r="F2136" s="1306">
        <v>5.3613057976150211E-3</v>
      </c>
      <c r="G2136" s="1303">
        <v>0.16298643459963535</v>
      </c>
      <c r="H2136" s="1306">
        <v>2.8625981578294591E-2</v>
      </c>
      <c r="I2136" s="1303">
        <v>1.56742750570588E-2</v>
      </c>
      <c r="J2136" s="1306">
        <v>5.1133948480927484E-4</v>
      </c>
      <c r="K2136" s="1303">
        <v>2.8549423801654482E-3</v>
      </c>
      <c r="L2136" s="1288">
        <v>2.000001589126017E-3</v>
      </c>
      <c r="M2136" s="1306">
        <v>2.0000005736897182E-3</v>
      </c>
      <c r="N2136" s="1303">
        <v>2.3879521991075348E-2</v>
      </c>
      <c r="O2136" s="1288">
        <v>5.5974512234668638E-3</v>
      </c>
      <c r="P2136" s="1294">
        <v>8.1080141061134706E-3</v>
      </c>
      <c r="Q2136" s="1290">
        <v>1.6382996221573586E-2</v>
      </c>
    </row>
    <row r="2137" spans="1:17" s="212" customFormat="1" ht="15.5" x14ac:dyDescent="0.35">
      <c r="A2137" s="198">
        <v>2048</v>
      </c>
      <c r="B2137" s="197" t="s">
        <v>5838</v>
      </c>
      <c r="C2137" s="197">
        <v>2032</v>
      </c>
      <c r="D2137" s="225" t="str">
        <f t="shared" si="22"/>
        <v>2048_2032</v>
      </c>
      <c r="E2137" s="1287">
        <v>5.6547225427838521E-2</v>
      </c>
      <c r="F2137" s="1306">
        <v>5.3013065358059001E-3</v>
      </c>
      <c r="G2137" s="1303">
        <v>0.15793160363384398</v>
      </c>
      <c r="H2137" s="1306">
        <v>2.8285257544554871E-2</v>
      </c>
      <c r="I2137" s="1303">
        <v>1.5062385515616023E-2</v>
      </c>
      <c r="J2137" s="1306">
        <v>5.0663784230053585E-4</v>
      </c>
      <c r="K2137" s="1303">
        <v>2.8389046582177353E-3</v>
      </c>
      <c r="L2137" s="1288">
        <v>2.0000016090540376E-3</v>
      </c>
      <c r="M2137" s="1306">
        <v>2.0000005737131578E-3</v>
      </c>
      <c r="N2137" s="1303">
        <v>2.3496136754545718E-2</v>
      </c>
      <c r="O2137" s="1288">
        <v>5.3969201756249897E-3</v>
      </c>
      <c r="P2137" s="1294">
        <v>8.4115784649269627E-3</v>
      </c>
      <c r="Q2137" s="1290">
        <v>1.5743439750286331E-2</v>
      </c>
    </row>
    <row r="2138" spans="1:17" s="212" customFormat="1" ht="15.5" x14ac:dyDescent="0.35">
      <c r="A2138" s="198">
        <v>2048</v>
      </c>
      <c r="B2138" s="197" t="s">
        <v>5838</v>
      </c>
      <c r="C2138" s="197">
        <v>2033</v>
      </c>
      <c r="D2138" s="225" t="str">
        <f t="shared" si="22"/>
        <v>2048_2033</v>
      </c>
      <c r="E2138" s="1287">
        <v>5.4996373033836553E-2</v>
      </c>
      <c r="F2138" s="1306">
        <v>5.2292782992621814E-3</v>
      </c>
      <c r="G2138" s="1303">
        <v>0.15235830311647261</v>
      </c>
      <c r="H2138" s="1306">
        <v>2.7877213844672868E-2</v>
      </c>
      <c r="I2138" s="1303">
        <v>1.43900090608317E-2</v>
      </c>
      <c r="J2138" s="1306">
        <v>5.024159766663231E-4</v>
      </c>
      <c r="K2138" s="1303">
        <v>2.8210428118542797E-3</v>
      </c>
      <c r="L2138" s="1288">
        <v>2.0000016292181485E-3</v>
      </c>
      <c r="M2138" s="1306">
        <v>2.0000005737351462E-3</v>
      </c>
      <c r="N2138" s="1303">
        <v>2.3067990172640364E-2</v>
      </c>
      <c r="O2138" s="1288">
        <v>5.2090748186543242E-3</v>
      </c>
      <c r="P2138" s="1294">
        <v>8.6843756330062336E-3</v>
      </c>
      <c r="Q2138" s="1290">
        <v>1.5040661415843008E-2</v>
      </c>
    </row>
    <row r="2139" spans="1:17" s="212" customFormat="1" ht="15.5" x14ac:dyDescent="0.35">
      <c r="A2139" s="198">
        <v>2048</v>
      </c>
      <c r="B2139" s="197" t="s">
        <v>5838</v>
      </c>
      <c r="C2139" s="197">
        <v>2034</v>
      </c>
      <c r="D2139" s="225" t="str">
        <f t="shared" si="22"/>
        <v>2048_2034</v>
      </c>
      <c r="E2139" s="1287">
        <v>5.3343598731871097E-2</v>
      </c>
      <c r="F2139" s="1306">
        <v>5.1476875438677683E-3</v>
      </c>
      <c r="G2139" s="1303">
        <v>0.1464318808336981</v>
      </c>
      <c r="H2139" s="1306">
        <v>2.7415512904800616E-2</v>
      </c>
      <c r="I2139" s="1303">
        <v>1.3674720679821634E-2</v>
      </c>
      <c r="J2139" s="1306">
        <v>4.9820596751814225E-4</v>
      </c>
      <c r="K2139" s="1303">
        <v>2.8021430701741482E-3</v>
      </c>
      <c r="L2139" s="1288">
        <v>2.0000016505665702E-3</v>
      </c>
      <c r="M2139" s="1306">
        <v>2.0000005737541744E-3</v>
      </c>
      <c r="N2139" s="1303">
        <v>2.2613346479685319E-2</v>
      </c>
      <c r="O2139" s="1288">
        <v>5.0164742275453393E-3</v>
      </c>
      <c r="P2139" s="1294">
        <v>8.9263240050977809E-3</v>
      </c>
      <c r="Q2139" s="1290">
        <v>1.4293030868288821E-2</v>
      </c>
    </row>
    <row r="2140" spans="1:17" s="212" customFormat="1" ht="15.5" x14ac:dyDescent="0.35">
      <c r="A2140" s="198">
        <v>2048</v>
      </c>
      <c r="B2140" s="197" t="s">
        <v>5838</v>
      </c>
      <c r="C2140" s="197">
        <v>2035</v>
      </c>
      <c r="D2140" s="225" t="str">
        <f t="shared" si="22"/>
        <v>2048_2035</v>
      </c>
      <c r="E2140" s="1287">
        <v>5.1427233031937733E-2</v>
      </c>
      <c r="F2140" s="1306">
        <v>5.0545593812327963E-3</v>
      </c>
      <c r="G2140" s="1303">
        <v>0.13970609892659316</v>
      </c>
      <c r="H2140" s="1306">
        <v>2.6892014180837354E-2</v>
      </c>
      <c r="I2140" s="1303">
        <v>1.2876812417354565E-2</v>
      </c>
      <c r="J2140" s="1306">
        <v>4.9423621853205281E-4</v>
      </c>
      <c r="K2140" s="1303">
        <v>2.7793523875220619E-3</v>
      </c>
      <c r="L2140" s="1288">
        <v>2.000001671456269E-3</v>
      </c>
      <c r="M2140" s="1306">
        <v>2.0000005737710828E-3</v>
      </c>
      <c r="N2140" s="1303">
        <v>2.2064170628221611E-2</v>
      </c>
      <c r="O2140" s="1288">
        <v>4.8290897225042031E-3</v>
      </c>
      <c r="P2140" s="1294">
        <v>9.1395165992441477E-3</v>
      </c>
      <c r="Q2140" s="1290">
        <v>1.345904473485845E-2</v>
      </c>
    </row>
    <row r="2141" spans="1:17" s="212" customFormat="1" ht="15.5" x14ac:dyDescent="0.35">
      <c r="A2141" s="198">
        <v>2048</v>
      </c>
      <c r="B2141" s="197" t="s">
        <v>5838</v>
      </c>
      <c r="C2141" s="197">
        <v>2036</v>
      </c>
      <c r="D2141" s="225" t="str">
        <f t="shared" si="22"/>
        <v>2048_2036</v>
      </c>
      <c r="E2141" s="1287">
        <v>5.0578005053008246E-2</v>
      </c>
      <c r="F2141" s="1306">
        <v>4.9343997005175952E-3</v>
      </c>
      <c r="G2141" s="1303">
        <v>0.13596859716056953</v>
      </c>
      <c r="H2141" s="1306">
        <v>2.6225154115197536E-2</v>
      </c>
      <c r="I2141" s="1303">
        <v>1.23465651382164E-2</v>
      </c>
      <c r="J2141" s="1306">
        <v>4.938876235249857E-4</v>
      </c>
      <c r="K2141" s="1303">
        <v>2.7756495564814588E-3</v>
      </c>
      <c r="L2141" s="1288">
        <v>2.00000168463537E-3</v>
      </c>
      <c r="M2141" s="1306">
        <v>2.0000005737686416E-3</v>
      </c>
      <c r="N2141" s="1303">
        <v>2.1966003998622929E-2</v>
      </c>
      <c r="O2141" s="1288">
        <v>4.7728020572766969E-3</v>
      </c>
      <c r="P2141" s="1294">
        <v>9.0961988614177113E-3</v>
      </c>
      <c r="Q2141" s="1290">
        <v>1.2904822026695125E-2</v>
      </c>
    </row>
    <row r="2142" spans="1:17" s="212" customFormat="1" ht="15.5" x14ac:dyDescent="0.35">
      <c r="A2142" s="198">
        <v>2048</v>
      </c>
      <c r="B2142" s="197" t="s">
        <v>5838</v>
      </c>
      <c r="C2142" s="197">
        <v>2037</v>
      </c>
      <c r="D2142" s="225" t="str">
        <f t="shared" si="22"/>
        <v>2048_2037</v>
      </c>
      <c r="E2142" s="1287">
        <v>4.9638458296352161E-2</v>
      </c>
      <c r="F2142" s="1306">
        <v>4.8048751460195212E-3</v>
      </c>
      <c r="G2142" s="1303">
        <v>0.13188280338984126</v>
      </c>
      <c r="H2142" s="1306">
        <v>2.5505048224235258E-2</v>
      </c>
      <c r="I2142" s="1303">
        <v>1.1770406918627057E-2</v>
      </c>
      <c r="J2142" s="1306">
        <v>4.9358235760334841E-4</v>
      </c>
      <c r="K2142" s="1303">
        <v>2.7712574214281307E-3</v>
      </c>
      <c r="L2142" s="1288">
        <v>2.0000016984062503E-3</v>
      </c>
      <c r="M2142" s="1306">
        <v>2.0000005737657502E-3</v>
      </c>
      <c r="N2142" s="1303">
        <v>2.1850257908687075E-2</v>
      </c>
      <c r="O2142" s="1288">
        <v>4.7141052284774051E-3</v>
      </c>
      <c r="P2142" s="1294">
        <v>9.0499102360623567E-3</v>
      </c>
      <c r="Q2142" s="1290">
        <v>1.230261248908023E-2</v>
      </c>
    </row>
    <row r="2143" spans="1:17" s="212" customFormat="1" ht="15.5" x14ac:dyDescent="0.35">
      <c r="A2143" s="198">
        <v>2048</v>
      </c>
      <c r="B2143" s="197" t="s">
        <v>5838</v>
      </c>
      <c r="C2143" s="197">
        <v>2038</v>
      </c>
      <c r="D2143" s="225" t="str">
        <f t="shared" si="22"/>
        <v>2048_2038</v>
      </c>
      <c r="E2143" s="1287">
        <v>4.8743390346343576E-2</v>
      </c>
      <c r="F2143" s="1306">
        <v>4.6662346818832643E-3</v>
      </c>
      <c r="G2143" s="1303">
        <v>0.12782543183104528</v>
      </c>
      <c r="H2143" s="1306">
        <v>2.4733727460018673E-2</v>
      </c>
      <c r="I2143" s="1303">
        <v>1.1182247716761103E-2</v>
      </c>
      <c r="J2143" s="1306">
        <v>4.9315172982554434E-4</v>
      </c>
      <c r="K2143" s="1303">
        <v>2.7685463272882427E-3</v>
      </c>
      <c r="L2143" s="1288">
        <v>2.0000017119563601E-3</v>
      </c>
      <c r="M2143" s="1306">
        <v>2.0000005737625774E-3</v>
      </c>
      <c r="N2143" s="1303">
        <v>2.177338213285207E-2</v>
      </c>
      <c r="O2143" s="1288">
        <v>4.6469777792158247E-3</v>
      </c>
      <c r="P2143" s="1294">
        <v>9.0070374345024764E-3</v>
      </c>
      <c r="Q2143" s="1290">
        <v>1.1687859338023675E-2</v>
      </c>
    </row>
    <row r="2144" spans="1:17" s="212" customFormat="1" ht="15.5" x14ac:dyDescent="0.35">
      <c r="A2144" s="198">
        <v>2048</v>
      </c>
      <c r="B2144" s="197" t="s">
        <v>5838</v>
      </c>
      <c r="C2144" s="197">
        <v>2039</v>
      </c>
      <c r="D2144" s="225" t="str">
        <f t="shared" si="22"/>
        <v>2048_2039</v>
      </c>
      <c r="E2144" s="1287">
        <v>4.7722193112567451E-2</v>
      </c>
      <c r="F2144" s="1306">
        <v>4.5175491845390464E-3</v>
      </c>
      <c r="G2144" s="1303">
        <v>0.12332439361831735</v>
      </c>
      <c r="H2144" s="1306">
        <v>2.3902905838228655E-2</v>
      </c>
      <c r="I2144" s="1303">
        <v>1.0540249056509595E-2</v>
      </c>
      <c r="J2144" s="1306">
        <v>4.9297540573916849E-4</v>
      </c>
      <c r="K2144" s="1303">
        <v>2.7644758054715499E-3</v>
      </c>
      <c r="L2144" s="1288">
        <v>2.0000017283420693E-3</v>
      </c>
      <c r="M2144" s="1306">
        <v>2.0000005737595629E-3</v>
      </c>
      <c r="N2144" s="1303">
        <v>2.1663046667900591E-2</v>
      </c>
      <c r="O2144" s="1288">
        <v>4.5834411462394135E-3</v>
      </c>
      <c r="P2144" s="1294">
        <v>8.9645675864808046E-3</v>
      </c>
      <c r="Q2144" s="1290">
        <v>1.1016832347182561E-2</v>
      </c>
    </row>
    <row r="2145" spans="1:17" s="212" customFormat="1" ht="15.5" x14ac:dyDescent="0.35">
      <c r="A2145" s="198">
        <v>2048</v>
      </c>
      <c r="B2145" s="197" t="s">
        <v>5838</v>
      </c>
      <c r="C2145" s="197">
        <v>2040</v>
      </c>
      <c r="D2145" s="225" t="str">
        <f t="shared" si="22"/>
        <v>2048_2040</v>
      </c>
      <c r="E2145" s="1287">
        <v>4.6782652838099355E-2</v>
      </c>
      <c r="F2145" s="1306">
        <v>4.356450225293006E-3</v>
      </c>
      <c r="G2145" s="1303">
        <v>0.11894474436509739</v>
      </c>
      <c r="H2145" s="1306">
        <v>2.3007418693027474E-2</v>
      </c>
      <c r="I2145" s="1303">
        <v>9.8931220789233876E-3</v>
      </c>
      <c r="J2145" s="1306">
        <v>4.9295556821000986E-4</v>
      </c>
      <c r="K2145" s="1303">
        <v>2.7628167429875378E-3</v>
      </c>
      <c r="L2145" s="1288">
        <v>2.0000017380412331E-3</v>
      </c>
      <c r="M2145" s="1306">
        <v>2.0000005737594449E-3</v>
      </c>
      <c r="N2145" s="1303">
        <v>2.1608924499971746E-2</v>
      </c>
      <c r="O2145" s="1288">
        <v>4.5252857047343477E-3</v>
      </c>
      <c r="P2145" s="1294">
        <v>8.9525968024505229E-3</v>
      </c>
      <c r="Q2145" s="1290">
        <v>1.0340445159253264E-2</v>
      </c>
    </row>
    <row r="2146" spans="1:17" s="212" customFormat="1" ht="15.5" x14ac:dyDescent="0.35">
      <c r="A2146" s="198">
        <v>2048</v>
      </c>
      <c r="B2146" s="197" t="s">
        <v>5838</v>
      </c>
      <c r="C2146" s="197">
        <v>2041</v>
      </c>
      <c r="D2146" s="225" t="str">
        <f t="shared" si="22"/>
        <v>2048_2041</v>
      </c>
      <c r="E2146" s="1287">
        <v>4.5720480179512787E-2</v>
      </c>
      <c r="F2146" s="1306">
        <v>4.1859433685972171E-3</v>
      </c>
      <c r="G2146" s="1303">
        <v>0.11413626002972052</v>
      </c>
      <c r="H2146" s="1306">
        <v>2.2056747648991584E-2</v>
      </c>
      <c r="I2146" s="1303">
        <v>9.1939142455950383E-3</v>
      </c>
      <c r="J2146" s="1306">
        <v>4.9286913780349382E-4</v>
      </c>
      <c r="K2146" s="1303">
        <v>2.759851813046491E-3</v>
      </c>
      <c r="L2146" s="1288">
        <v>2.0000017506560564E-3</v>
      </c>
      <c r="M2146" s="1306">
        <v>2.0000005737577015E-3</v>
      </c>
      <c r="N2146" s="1303">
        <v>2.1522492701556751E-2</v>
      </c>
      <c r="O2146" s="1288">
        <v>4.4598542871592955E-3</v>
      </c>
      <c r="P2146" s="1294">
        <v>8.9257477768925324E-3</v>
      </c>
      <c r="Q2146" s="1290">
        <v>9.6096222503906058E-3</v>
      </c>
    </row>
    <row r="2147" spans="1:17" s="212" customFormat="1" ht="15.5" x14ac:dyDescent="0.35">
      <c r="A2147" s="198">
        <v>2048</v>
      </c>
      <c r="B2147" s="197" t="s">
        <v>5838</v>
      </c>
      <c r="C2147" s="197">
        <v>2042</v>
      </c>
      <c r="D2147" s="225" t="str">
        <f t="shared" si="22"/>
        <v>2048_2042</v>
      </c>
      <c r="E2147" s="1287">
        <v>4.4643425642248415E-2</v>
      </c>
      <c r="F2147" s="1306">
        <v>4.0066537161374286E-3</v>
      </c>
      <c r="G2147" s="1303">
        <v>0.1091843529752629</v>
      </c>
      <c r="H2147" s="1306">
        <v>2.1053603195631349E-2</v>
      </c>
      <c r="I2147" s="1303">
        <v>8.4665089826495721E-3</v>
      </c>
      <c r="J2147" s="1306">
        <v>4.9276048835962441E-4</v>
      </c>
      <c r="K2147" s="1303">
        <v>2.7575448327523538E-3</v>
      </c>
      <c r="L2147" s="1288">
        <v>2.0000017662059563E-3</v>
      </c>
      <c r="M2147" s="1306">
        <v>2.0000005737553423E-3</v>
      </c>
      <c r="N2147" s="1303">
        <v>2.1450809611494624E-2</v>
      </c>
      <c r="O2147" s="1288">
        <v>4.3874803623470439E-3</v>
      </c>
      <c r="P2147" s="1294">
        <v>8.89687474782371E-3</v>
      </c>
      <c r="Q2147" s="1290">
        <v>8.8493269492677627E-3</v>
      </c>
    </row>
    <row r="2148" spans="1:17" s="212" customFormat="1" ht="15.5" x14ac:dyDescent="0.35">
      <c r="A2148" s="198">
        <v>2048</v>
      </c>
      <c r="B2148" s="197" t="s">
        <v>5838</v>
      </c>
      <c r="C2148" s="197">
        <v>2043</v>
      </c>
      <c r="D2148" s="225" t="str">
        <f t="shared" si="22"/>
        <v>2048_2043</v>
      </c>
      <c r="E2148" s="1287">
        <v>4.3452452588611981E-2</v>
      </c>
      <c r="F2148" s="1306">
        <v>3.8200799574388063E-3</v>
      </c>
      <c r="G2148" s="1303">
        <v>0.10384114632849165</v>
      </c>
      <c r="H2148" s="1306">
        <v>2.0007309583896432E-2</v>
      </c>
      <c r="I2148" s="1303">
        <v>7.6919186132347692E-3</v>
      </c>
      <c r="J2148" s="1306">
        <v>4.9250322744187212E-4</v>
      </c>
      <c r="K2148" s="1303">
        <v>2.7540248517071834E-3</v>
      </c>
      <c r="L2148" s="1288">
        <v>2.0000017861482506E-3</v>
      </c>
      <c r="M2148" s="1306">
        <v>2.000000573751581E-3</v>
      </c>
      <c r="N2148" s="1303">
        <v>2.1348743187006528E-2</v>
      </c>
      <c r="O2148" s="1288">
        <v>4.3031719623803973E-3</v>
      </c>
      <c r="P2148" s="1294">
        <v>8.8464627321042273E-3</v>
      </c>
      <c r="Q2148" s="1290">
        <v>8.0397130405419088E-3</v>
      </c>
    </row>
    <row r="2149" spans="1:17" s="212" customFormat="1" ht="15.5" x14ac:dyDescent="0.35">
      <c r="A2149" s="198">
        <v>2048</v>
      </c>
      <c r="B2149" s="197" t="s">
        <v>5838</v>
      </c>
      <c r="C2149" s="197">
        <v>2044</v>
      </c>
      <c r="D2149" s="225" t="str">
        <f t="shared" si="22"/>
        <v>2048_2044</v>
      </c>
      <c r="E2149" s="1287">
        <v>4.2355965781611091E-2</v>
      </c>
      <c r="F2149" s="1306">
        <v>3.6253910198787717E-3</v>
      </c>
      <c r="G2149" s="1303">
        <v>9.8617991041905551E-2</v>
      </c>
      <c r="H2149" s="1306">
        <v>1.891633576841913E-2</v>
      </c>
      <c r="I2149" s="1303">
        <v>6.9076629500282533E-3</v>
      </c>
      <c r="J2149" s="1306">
        <v>4.9282754258028847E-4</v>
      </c>
      <c r="K2149" s="1303">
        <v>2.7533067554043628E-3</v>
      </c>
      <c r="L2149" s="1288">
        <v>2.0000018066706109E-3</v>
      </c>
      <c r="M2149" s="1306">
        <v>2.0000005737503229E-3</v>
      </c>
      <c r="N2149" s="1303">
        <v>2.1313274620201276E-2</v>
      </c>
      <c r="O2149" s="1288">
        <v>4.2369947484645143E-3</v>
      </c>
      <c r="P2149" s="1294">
        <v>8.8465199387593816E-3</v>
      </c>
      <c r="Q2149" s="1290">
        <v>7.2199968163281659E-3</v>
      </c>
    </row>
    <row r="2150" spans="1:17" s="212" customFormat="1" ht="15.5" x14ac:dyDescent="0.35">
      <c r="A2150" s="198">
        <v>2048</v>
      </c>
      <c r="B2150" s="197" t="s">
        <v>5838</v>
      </c>
      <c r="C2150" s="197">
        <v>2045</v>
      </c>
      <c r="D2150" s="225" t="str">
        <f t="shared" si="22"/>
        <v>2048_2045</v>
      </c>
      <c r="E2150" s="1287">
        <v>4.1239136284881371E-2</v>
      </c>
      <c r="F2150" s="1306">
        <v>3.4276493470745597E-3</v>
      </c>
      <c r="G2150" s="1303">
        <v>9.3218028413757481E-2</v>
      </c>
      <c r="H2150" s="1306">
        <v>1.7802381350314804E-2</v>
      </c>
      <c r="I2150" s="1303">
        <v>6.0898191507277816E-3</v>
      </c>
      <c r="J2150" s="1306">
        <v>4.9328750025177015E-4</v>
      </c>
      <c r="K2150" s="1303">
        <v>2.7532540349372949E-3</v>
      </c>
      <c r="L2150" s="1288">
        <v>2.0000018377859751E-3</v>
      </c>
      <c r="M2150" s="1306">
        <v>2.0000005737487582E-3</v>
      </c>
      <c r="N2150" s="1303">
        <v>2.1293285134752312E-2</v>
      </c>
      <c r="O2150" s="1288">
        <v>4.1652227964801228E-3</v>
      </c>
      <c r="P2150" s="1294">
        <v>8.8454866440167545E-3</v>
      </c>
      <c r="Q2150" s="1290">
        <v>6.3651737495514322E-3</v>
      </c>
    </row>
    <row r="2151" spans="1:17" s="212" customFormat="1" ht="15.5" x14ac:dyDescent="0.35">
      <c r="A2151" s="198">
        <v>2048</v>
      </c>
      <c r="B2151" s="197" t="s">
        <v>5838</v>
      </c>
      <c r="C2151" s="197">
        <v>2046</v>
      </c>
      <c r="D2151" s="225" t="str">
        <f t="shared" si="22"/>
        <v>2048_2046</v>
      </c>
      <c r="E2151" s="1287">
        <v>3.9969568240765078E-2</v>
      </c>
      <c r="F2151" s="1306">
        <v>3.2269889361462144E-3</v>
      </c>
      <c r="G2151" s="1303">
        <v>8.7339498341996544E-2</v>
      </c>
      <c r="H2151" s="1306">
        <v>1.6665790158986584E-2</v>
      </c>
      <c r="I2151" s="1303">
        <v>5.2195511460373847E-3</v>
      </c>
      <c r="J2151" s="1306">
        <v>4.9382143812203461E-4</v>
      </c>
      <c r="K2151" s="1303">
        <v>2.7511831658142021E-3</v>
      </c>
      <c r="L2151" s="1288">
        <v>2.0000018859525621E-3</v>
      </c>
      <c r="M2151" s="1306">
        <v>2.000000573744646E-3</v>
      </c>
      <c r="N2151" s="1303">
        <v>2.122357670472216E-2</v>
      </c>
      <c r="O2151" s="1288">
        <v>4.0815762065183172E-3</v>
      </c>
      <c r="P2151" s="1294">
        <v>8.8163700770957521E-3</v>
      </c>
      <c r="Q2151" s="1290">
        <v>5.4555560874460117E-3</v>
      </c>
    </row>
    <row r="2152" spans="1:17" s="212" customFormat="1" ht="15.5" x14ac:dyDescent="0.35">
      <c r="A2152" s="198">
        <v>2048</v>
      </c>
      <c r="B2152" s="197" t="s">
        <v>5838</v>
      </c>
      <c r="C2152" s="197">
        <v>2047</v>
      </c>
      <c r="D2152" s="225" t="str">
        <f t="shared" si="22"/>
        <v>2048_2047</v>
      </c>
      <c r="E2152" s="1287">
        <v>3.8689877776510312E-2</v>
      </c>
      <c r="F2152" s="1306">
        <v>3.0126449062535319E-3</v>
      </c>
      <c r="G2152" s="1303">
        <v>8.131610037493546E-2</v>
      </c>
      <c r="H2152" s="1306">
        <v>1.5470618995558657E-2</v>
      </c>
      <c r="I2152" s="1303">
        <v>4.3184808052628082E-3</v>
      </c>
      <c r="J2152" s="1306">
        <v>4.9404290556797573E-4</v>
      </c>
      <c r="K2152" s="1303">
        <v>2.7500006619563902E-3</v>
      </c>
      <c r="L2152" s="1288">
        <v>2.0000019261801434E-3</v>
      </c>
      <c r="M2152" s="1306">
        <v>2.0000005737366806E-3</v>
      </c>
      <c r="N2152" s="1303">
        <v>2.1174180499353816E-2</v>
      </c>
      <c r="O2152" s="1288">
        <v>3.9886473508710836E-3</v>
      </c>
      <c r="P2152" s="1294">
        <v>8.7846517072124024E-3</v>
      </c>
      <c r="Q2152" s="1290">
        <v>4.5137433443020276E-3</v>
      </c>
    </row>
    <row r="2153" spans="1:17" s="212" customFormat="1" ht="15.5" x14ac:dyDescent="0.35">
      <c r="A2153" s="198">
        <v>2048</v>
      </c>
      <c r="B2153" s="197" t="s">
        <v>5838</v>
      </c>
      <c r="C2153" s="197">
        <v>2048</v>
      </c>
      <c r="D2153" s="225" t="str">
        <f t="shared" si="22"/>
        <v>2048_2048</v>
      </c>
      <c r="E2153" s="1287">
        <v>3.6222789266403564E-2</v>
      </c>
      <c r="F2153" s="1306">
        <v>2.7749085206283551E-3</v>
      </c>
      <c r="G2153" s="1303">
        <v>7.2765957956274677E-2</v>
      </c>
      <c r="H2153" s="1306">
        <v>1.4118518325059046E-2</v>
      </c>
      <c r="I2153" s="1303">
        <v>3.2837632078372057E-3</v>
      </c>
      <c r="J2153" s="1306">
        <v>4.9089189221198238E-4</v>
      </c>
      <c r="K2153" s="1303">
        <v>2.7242405388386765E-3</v>
      </c>
      <c r="L2153" s="1288">
        <v>2.0000020368792716E-3</v>
      </c>
      <c r="M2153" s="1306">
        <v>2.0000005736981281E-3</v>
      </c>
      <c r="N2153" s="1303">
        <v>2.0521418979408849E-2</v>
      </c>
      <c r="O2153" s="1288">
        <v>3.7150994543750063E-3</v>
      </c>
      <c r="P2153" s="1294">
        <v>8.286688142325813E-3</v>
      </c>
      <c r="Q2153" s="1290">
        <v>3.4322404086121775E-3</v>
      </c>
    </row>
    <row r="2154" spans="1:17" s="212" customFormat="1" ht="15.5" x14ac:dyDescent="0.35">
      <c r="A2154" s="198">
        <v>2048</v>
      </c>
      <c r="B2154" s="197" t="s">
        <v>5838</v>
      </c>
      <c r="C2154" s="197">
        <v>2049</v>
      </c>
      <c r="D2154" s="225" t="str">
        <f t="shared" si="22"/>
        <v>2048_2049</v>
      </c>
      <c r="E2154" s="1291">
        <v>3.6222789266403564E-2</v>
      </c>
      <c r="F2154" s="1280">
        <v>2.7749085206283551E-3</v>
      </c>
      <c r="G2154" s="1271">
        <v>7.2765957956274677E-2</v>
      </c>
      <c r="H2154" s="1280">
        <v>1.4118518325059046E-2</v>
      </c>
      <c r="I2154" s="1271">
        <v>3.2837632078372057E-3</v>
      </c>
      <c r="J2154" s="1280">
        <v>4.9089189221198238E-4</v>
      </c>
      <c r="K2154" s="1271">
        <v>2.7242405388386765E-3</v>
      </c>
      <c r="L2154" s="1257">
        <v>2.0000020368792716E-3</v>
      </c>
      <c r="M2154" s="1280">
        <v>2.0000005736981281E-3</v>
      </c>
      <c r="N2154" s="1271">
        <v>2.0521418979408849E-2</v>
      </c>
      <c r="O2154" s="1257">
        <v>3.7150994543750063E-3</v>
      </c>
      <c r="P2154" s="1293">
        <v>8.286688142325813E-3</v>
      </c>
      <c r="Q2154" s="1292">
        <v>3.4322404086121775E-3</v>
      </c>
    </row>
    <row r="2155" spans="1:17" s="212" customFormat="1" ht="15.5" x14ac:dyDescent="0.35">
      <c r="A2155" s="198">
        <v>2049</v>
      </c>
      <c r="B2155" s="197" t="s">
        <v>5838</v>
      </c>
      <c r="C2155" s="197">
        <v>1971</v>
      </c>
      <c r="D2155" s="225" t="str">
        <f t="shared" si="22"/>
        <v>2049_1971</v>
      </c>
      <c r="E2155" s="1291">
        <v>0.5088452661945515</v>
      </c>
      <c r="F2155" s="1280">
        <v>1.6167806436188478E-2</v>
      </c>
      <c r="G2155" s="1271">
        <v>3.787571225025995</v>
      </c>
      <c r="H2155" s="1280">
        <v>0.10691816328184908</v>
      </c>
      <c r="I2155" s="1271">
        <v>0.13675014881736719</v>
      </c>
      <c r="J2155" s="1280">
        <v>1.8843504818249451E-4</v>
      </c>
      <c r="K2155" s="1271">
        <v>2.8286128332076737E-3</v>
      </c>
      <c r="L2155" s="1257">
        <v>2.0000013341509161E-3</v>
      </c>
      <c r="M2155" s="1280">
        <v>2.0000013341509161E-3</v>
      </c>
      <c r="N2155" s="1271">
        <v>2.3260407470314211E-2</v>
      </c>
      <c r="O2155" s="1257">
        <v>6.6090972026127169E-3</v>
      </c>
      <c r="P2155" s="1293">
        <v>3.3045486013063585E-3</v>
      </c>
      <c r="Q2155" s="1292">
        <v>0.14293338372709091</v>
      </c>
    </row>
    <row r="2156" spans="1:17" s="212" customFormat="1" ht="15.5" x14ac:dyDescent="0.35">
      <c r="A2156" s="198">
        <v>2049</v>
      </c>
      <c r="B2156" s="197" t="s">
        <v>5838</v>
      </c>
      <c r="C2156" s="197">
        <v>1972</v>
      </c>
      <c r="D2156" s="225" t="str">
        <f t="shared" si="22"/>
        <v>2049_1972</v>
      </c>
      <c r="E2156" s="1291">
        <v>0.5088452661945515</v>
      </c>
      <c r="F2156" s="1280">
        <v>1.6167806436188478E-2</v>
      </c>
      <c r="G2156" s="1271">
        <v>3.787571225025995</v>
      </c>
      <c r="H2156" s="1280">
        <v>0.10691816328184908</v>
      </c>
      <c r="I2156" s="1271">
        <v>0.13675014881736719</v>
      </c>
      <c r="J2156" s="1280">
        <v>1.8843504818249451E-4</v>
      </c>
      <c r="K2156" s="1271">
        <v>2.8286128332076737E-3</v>
      </c>
      <c r="L2156" s="1257">
        <v>2.0000013341509161E-3</v>
      </c>
      <c r="M2156" s="1280">
        <v>2.0000013341509161E-3</v>
      </c>
      <c r="N2156" s="1271">
        <v>2.3260407470314211E-2</v>
      </c>
      <c r="O2156" s="1257">
        <v>6.6090972026127169E-3</v>
      </c>
      <c r="P2156" s="1293">
        <v>3.3045486013063585E-3</v>
      </c>
      <c r="Q2156" s="1292">
        <v>0.14293338372709091</v>
      </c>
    </row>
    <row r="2157" spans="1:17" s="212" customFormat="1" ht="15.5" x14ac:dyDescent="0.35">
      <c r="A2157" s="198">
        <v>2049</v>
      </c>
      <c r="B2157" s="197" t="s">
        <v>5838</v>
      </c>
      <c r="C2157" s="197">
        <v>1973</v>
      </c>
      <c r="D2157" s="225" t="str">
        <f t="shared" si="22"/>
        <v>2049_1973</v>
      </c>
      <c r="E2157" s="1291">
        <v>0.5088452661945515</v>
      </c>
      <c r="F2157" s="1280">
        <v>1.6167806436188478E-2</v>
      </c>
      <c r="G2157" s="1271">
        <v>3.787571225025995</v>
      </c>
      <c r="H2157" s="1280">
        <v>0.10691816328184908</v>
      </c>
      <c r="I2157" s="1271">
        <v>0.13675014881736719</v>
      </c>
      <c r="J2157" s="1280">
        <v>1.8843504818249451E-4</v>
      </c>
      <c r="K2157" s="1271">
        <v>2.8286128332076737E-3</v>
      </c>
      <c r="L2157" s="1257">
        <v>2.0000013341509161E-3</v>
      </c>
      <c r="M2157" s="1280">
        <v>2.0000013341509161E-3</v>
      </c>
      <c r="N2157" s="1271">
        <v>2.3260407470314211E-2</v>
      </c>
      <c r="O2157" s="1257">
        <v>6.6090972026127169E-3</v>
      </c>
      <c r="P2157" s="1293">
        <v>3.3045486013063585E-3</v>
      </c>
      <c r="Q2157" s="1292">
        <v>0.14293338372709091</v>
      </c>
    </row>
    <row r="2158" spans="1:17" s="212" customFormat="1" ht="15.5" x14ac:dyDescent="0.35">
      <c r="A2158" s="198">
        <v>2049</v>
      </c>
      <c r="B2158" s="197" t="s">
        <v>5838</v>
      </c>
      <c r="C2158" s="197">
        <v>1974</v>
      </c>
      <c r="D2158" s="225" t="str">
        <f t="shared" si="22"/>
        <v>2049_1974</v>
      </c>
      <c r="E2158" s="1291">
        <v>0.5088452661945515</v>
      </c>
      <c r="F2158" s="1280">
        <v>1.6167806436188478E-2</v>
      </c>
      <c r="G2158" s="1271">
        <v>3.787571225025995</v>
      </c>
      <c r="H2158" s="1280">
        <v>0.10691816328184908</v>
      </c>
      <c r="I2158" s="1271">
        <v>0.13675014881736719</v>
      </c>
      <c r="J2158" s="1280">
        <v>1.8843504818249451E-4</v>
      </c>
      <c r="K2158" s="1271">
        <v>2.8286128332076737E-3</v>
      </c>
      <c r="L2158" s="1257">
        <v>2.0000013341509161E-3</v>
      </c>
      <c r="M2158" s="1280">
        <v>2.0000013341509161E-3</v>
      </c>
      <c r="N2158" s="1271">
        <v>2.3260407470314211E-2</v>
      </c>
      <c r="O2158" s="1257">
        <v>6.6090972026127169E-3</v>
      </c>
      <c r="P2158" s="1293">
        <v>3.3045486013063585E-3</v>
      </c>
      <c r="Q2158" s="1292">
        <v>0.14293338372709091</v>
      </c>
    </row>
    <row r="2159" spans="1:17" s="212" customFormat="1" ht="15.5" x14ac:dyDescent="0.35">
      <c r="A2159" s="198">
        <v>2049</v>
      </c>
      <c r="B2159" s="197" t="s">
        <v>5838</v>
      </c>
      <c r="C2159" s="197">
        <v>1975</v>
      </c>
      <c r="D2159" s="225" t="str">
        <f t="shared" si="22"/>
        <v>2049_1975</v>
      </c>
      <c r="E2159" s="1291">
        <v>0.5088452661945515</v>
      </c>
      <c r="F2159" s="1280">
        <v>1.6167806436188478E-2</v>
      </c>
      <c r="G2159" s="1271">
        <v>3.787571225025995</v>
      </c>
      <c r="H2159" s="1280">
        <v>0.10691816328184908</v>
      </c>
      <c r="I2159" s="1271">
        <v>0.13675014881736719</v>
      </c>
      <c r="J2159" s="1280">
        <v>1.8843504818249451E-4</v>
      </c>
      <c r="K2159" s="1271">
        <v>2.8286128332076737E-3</v>
      </c>
      <c r="L2159" s="1257">
        <v>2.0000013341509161E-3</v>
      </c>
      <c r="M2159" s="1280">
        <v>2.0000013341509161E-3</v>
      </c>
      <c r="N2159" s="1271">
        <v>2.3260407470314211E-2</v>
      </c>
      <c r="O2159" s="1257">
        <v>6.6090972026127169E-3</v>
      </c>
      <c r="P2159" s="1293">
        <v>3.3045486013063585E-3</v>
      </c>
      <c r="Q2159" s="1292">
        <v>0.14293338372709091</v>
      </c>
    </row>
    <row r="2160" spans="1:17" s="212" customFormat="1" ht="15.5" x14ac:dyDescent="0.35">
      <c r="A2160" s="198">
        <v>2049</v>
      </c>
      <c r="B2160" s="197" t="s">
        <v>5838</v>
      </c>
      <c r="C2160" s="197">
        <v>1976</v>
      </c>
      <c r="D2160" s="225" t="str">
        <f t="shared" si="22"/>
        <v>2049_1976</v>
      </c>
      <c r="E2160" s="1291">
        <v>0.5088452661945515</v>
      </c>
      <c r="F2160" s="1280">
        <v>1.6167806436188478E-2</v>
      </c>
      <c r="G2160" s="1271">
        <v>3.787571225025995</v>
      </c>
      <c r="H2160" s="1280">
        <v>0.10691816328184908</v>
      </c>
      <c r="I2160" s="1271">
        <v>0.13675014881736719</v>
      </c>
      <c r="J2160" s="1280">
        <v>1.8843504818249451E-4</v>
      </c>
      <c r="K2160" s="1271">
        <v>2.8286128332076737E-3</v>
      </c>
      <c r="L2160" s="1257">
        <v>2.0000013341509161E-3</v>
      </c>
      <c r="M2160" s="1280">
        <v>2.0000013341509161E-3</v>
      </c>
      <c r="N2160" s="1271">
        <v>2.3260407470314211E-2</v>
      </c>
      <c r="O2160" s="1257">
        <v>6.6090972026127169E-3</v>
      </c>
      <c r="P2160" s="1293">
        <v>3.3045486013063585E-3</v>
      </c>
      <c r="Q2160" s="1292">
        <v>0.14293338372709091</v>
      </c>
    </row>
    <row r="2161" spans="1:17" s="212" customFormat="1" ht="15.5" x14ac:dyDescent="0.35">
      <c r="A2161" s="198">
        <v>2049</v>
      </c>
      <c r="B2161" s="197" t="s">
        <v>5838</v>
      </c>
      <c r="C2161" s="197">
        <v>1977</v>
      </c>
      <c r="D2161" s="225" t="str">
        <f t="shared" si="22"/>
        <v>2049_1977</v>
      </c>
      <c r="E2161" s="1291">
        <v>0.5088452661945515</v>
      </c>
      <c r="F2161" s="1280">
        <v>1.6167806436188478E-2</v>
      </c>
      <c r="G2161" s="1271">
        <v>3.787571225025995</v>
      </c>
      <c r="H2161" s="1280">
        <v>0.10691816328184908</v>
      </c>
      <c r="I2161" s="1271">
        <v>0.13675014881736719</v>
      </c>
      <c r="J2161" s="1280">
        <v>1.8843504818249451E-4</v>
      </c>
      <c r="K2161" s="1271">
        <v>2.8286128332076737E-3</v>
      </c>
      <c r="L2161" s="1257">
        <v>2.0000013341509161E-3</v>
      </c>
      <c r="M2161" s="1280">
        <v>2.0000013341509161E-3</v>
      </c>
      <c r="N2161" s="1271">
        <v>2.3260407470314211E-2</v>
      </c>
      <c r="O2161" s="1257">
        <v>6.6090972026127169E-3</v>
      </c>
      <c r="P2161" s="1293">
        <v>3.3045486013063585E-3</v>
      </c>
      <c r="Q2161" s="1292">
        <v>0.14293338372709091</v>
      </c>
    </row>
    <row r="2162" spans="1:17" s="212" customFormat="1" ht="15.5" x14ac:dyDescent="0.35">
      <c r="A2162" s="198">
        <v>2049</v>
      </c>
      <c r="B2162" s="197" t="s">
        <v>5838</v>
      </c>
      <c r="C2162" s="197">
        <v>1978</v>
      </c>
      <c r="D2162" s="225" t="str">
        <f t="shared" si="22"/>
        <v>2049_1978</v>
      </c>
      <c r="E2162" s="1291">
        <v>0.5088452661945515</v>
      </c>
      <c r="F2162" s="1280">
        <v>1.6167806436188478E-2</v>
      </c>
      <c r="G2162" s="1271">
        <v>3.787571225025995</v>
      </c>
      <c r="H2162" s="1280">
        <v>0.10691816328184908</v>
      </c>
      <c r="I2162" s="1271">
        <v>0.13675014881736719</v>
      </c>
      <c r="J2162" s="1280">
        <v>1.8843504818249451E-4</v>
      </c>
      <c r="K2162" s="1271">
        <v>2.8286128332076737E-3</v>
      </c>
      <c r="L2162" s="1257">
        <v>2.0000013341509161E-3</v>
      </c>
      <c r="M2162" s="1280">
        <v>2.0000013341509161E-3</v>
      </c>
      <c r="N2162" s="1271">
        <v>2.3260407470314211E-2</v>
      </c>
      <c r="O2162" s="1257">
        <v>6.6090972026127169E-3</v>
      </c>
      <c r="P2162" s="1293">
        <v>3.3045486013063585E-3</v>
      </c>
      <c r="Q2162" s="1292">
        <v>0.14293338372709091</v>
      </c>
    </row>
    <row r="2163" spans="1:17" s="212" customFormat="1" ht="15.5" x14ac:dyDescent="0.35">
      <c r="A2163" s="198">
        <v>2049</v>
      </c>
      <c r="B2163" s="197" t="s">
        <v>5838</v>
      </c>
      <c r="C2163" s="197">
        <v>1979</v>
      </c>
      <c r="D2163" s="225" t="str">
        <f t="shared" si="22"/>
        <v>2049_1979</v>
      </c>
      <c r="E2163" s="1291">
        <v>0.5088452661945515</v>
      </c>
      <c r="F2163" s="1280">
        <v>1.6167806436188478E-2</v>
      </c>
      <c r="G2163" s="1271">
        <v>3.787571225025995</v>
      </c>
      <c r="H2163" s="1280">
        <v>0.10691816328184908</v>
      </c>
      <c r="I2163" s="1271">
        <v>0.13675014881736719</v>
      </c>
      <c r="J2163" s="1280">
        <v>1.8843504818249451E-4</v>
      </c>
      <c r="K2163" s="1271">
        <v>2.8286128332076737E-3</v>
      </c>
      <c r="L2163" s="1257">
        <v>2.0000013341509161E-3</v>
      </c>
      <c r="M2163" s="1280">
        <v>2.0000013341509161E-3</v>
      </c>
      <c r="N2163" s="1271">
        <v>2.3260407470314211E-2</v>
      </c>
      <c r="O2163" s="1257">
        <v>6.6090972026127169E-3</v>
      </c>
      <c r="P2163" s="1293">
        <v>3.3045486013063585E-3</v>
      </c>
      <c r="Q2163" s="1292">
        <v>0.14293338372709091</v>
      </c>
    </row>
    <row r="2164" spans="1:17" s="212" customFormat="1" ht="15.5" x14ac:dyDescent="0.35">
      <c r="A2164" s="198">
        <v>2049</v>
      </c>
      <c r="B2164" s="197" t="s">
        <v>5838</v>
      </c>
      <c r="C2164" s="197">
        <v>1980</v>
      </c>
      <c r="D2164" s="225" t="str">
        <f t="shared" si="22"/>
        <v>2049_1980</v>
      </c>
      <c r="E2164" s="1291">
        <v>0.5088452661945515</v>
      </c>
      <c r="F2164" s="1280">
        <v>1.6167806436188478E-2</v>
      </c>
      <c r="G2164" s="1271">
        <v>3.787571225025995</v>
      </c>
      <c r="H2164" s="1280">
        <v>0.10691816328184908</v>
      </c>
      <c r="I2164" s="1271">
        <v>0.13675014881736719</v>
      </c>
      <c r="J2164" s="1280">
        <v>1.8843504818249451E-4</v>
      </c>
      <c r="K2164" s="1271">
        <v>2.8286128332076737E-3</v>
      </c>
      <c r="L2164" s="1257">
        <v>2.0000013341509161E-3</v>
      </c>
      <c r="M2164" s="1280">
        <v>2.0000013341509161E-3</v>
      </c>
      <c r="N2164" s="1271">
        <v>2.3260407470314211E-2</v>
      </c>
      <c r="O2164" s="1257">
        <v>6.6090972026127169E-3</v>
      </c>
      <c r="P2164" s="1293">
        <v>3.3045486013063585E-3</v>
      </c>
      <c r="Q2164" s="1292">
        <v>0.14293338372709091</v>
      </c>
    </row>
    <row r="2165" spans="1:17" s="212" customFormat="1" ht="15.5" x14ac:dyDescent="0.35">
      <c r="A2165" s="198">
        <v>2049</v>
      </c>
      <c r="B2165" s="197" t="s">
        <v>5838</v>
      </c>
      <c r="C2165" s="197">
        <v>1981</v>
      </c>
      <c r="D2165" s="225" t="str">
        <f t="shared" si="22"/>
        <v>2049_1981</v>
      </c>
      <c r="E2165" s="1291">
        <v>0.5088452661945515</v>
      </c>
      <c r="F2165" s="1280">
        <v>1.6167806436188478E-2</v>
      </c>
      <c r="G2165" s="1271">
        <v>3.787571225025995</v>
      </c>
      <c r="H2165" s="1280">
        <v>0.10691816328184908</v>
      </c>
      <c r="I2165" s="1271">
        <v>0.13675014881736719</v>
      </c>
      <c r="J2165" s="1280">
        <v>1.8843504818249451E-4</v>
      </c>
      <c r="K2165" s="1271">
        <v>2.8286128332076737E-3</v>
      </c>
      <c r="L2165" s="1257">
        <v>2.0000013341509161E-3</v>
      </c>
      <c r="M2165" s="1280">
        <v>2.0000013341509161E-3</v>
      </c>
      <c r="N2165" s="1271">
        <v>2.3260407470314211E-2</v>
      </c>
      <c r="O2165" s="1257">
        <v>6.6090972026127169E-3</v>
      </c>
      <c r="P2165" s="1293">
        <v>3.3045486013063585E-3</v>
      </c>
      <c r="Q2165" s="1292">
        <v>0.14293338372709091</v>
      </c>
    </row>
    <row r="2166" spans="1:17" s="212" customFormat="1" ht="15.5" x14ac:dyDescent="0.35">
      <c r="A2166" s="198">
        <v>2049</v>
      </c>
      <c r="B2166" s="197" t="s">
        <v>5838</v>
      </c>
      <c r="C2166" s="197">
        <v>1982</v>
      </c>
      <c r="D2166" s="225" t="str">
        <f t="shared" si="22"/>
        <v>2049_1982</v>
      </c>
      <c r="E2166" s="1291">
        <v>0.5088452661945515</v>
      </c>
      <c r="F2166" s="1280">
        <v>1.6167806436188478E-2</v>
      </c>
      <c r="G2166" s="1271">
        <v>3.787571225025995</v>
      </c>
      <c r="H2166" s="1280">
        <v>0.10691816328184908</v>
      </c>
      <c r="I2166" s="1271">
        <v>0.13675014881736719</v>
      </c>
      <c r="J2166" s="1280">
        <v>1.8843504818249451E-4</v>
      </c>
      <c r="K2166" s="1271">
        <v>2.8286128332076737E-3</v>
      </c>
      <c r="L2166" s="1257">
        <v>2.0000013341509161E-3</v>
      </c>
      <c r="M2166" s="1280">
        <v>2.0000013341509161E-3</v>
      </c>
      <c r="N2166" s="1271">
        <v>2.3260407470314211E-2</v>
      </c>
      <c r="O2166" s="1257">
        <v>6.6090972026127169E-3</v>
      </c>
      <c r="P2166" s="1293">
        <v>3.3045486013063585E-3</v>
      </c>
      <c r="Q2166" s="1292">
        <v>0.14293338372709091</v>
      </c>
    </row>
    <row r="2167" spans="1:17" s="212" customFormat="1" ht="15.5" x14ac:dyDescent="0.35">
      <c r="A2167" s="198">
        <v>2049</v>
      </c>
      <c r="B2167" s="197" t="s">
        <v>5838</v>
      </c>
      <c r="C2167" s="197">
        <v>1983</v>
      </c>
      <c r="D2167" s="225" t="str">
        <f t="shared" si="22"/>
        <v>2049_1983</v>
      </c>
      <c r="E2167" s="1291">
        <v>0.5088452661945515</v>
      </c>
      <c r="F2167" s="1280">
        <v>1.6167806436188478E-2</v>
      </c>
      <c r="G2167" s="1271">
        <v>3.787571225025995</v>
      </c>
      <c r="H2167" s="1280">
        <v>0.10691816328184908</v>
      </c>
      <c r="I2167" s="1271">
        <v>0.13675014881736719</v>
      </c>
      <c r="J2167" s="1280">
        <v>1.8843504818249451E-4</v>
      </c>
      <c r="K2167" s="1271">
        <v>2.8286128332076737E-3</v>
      </c>
      <c r="L2167" s="1257">
        <v>2.0000013341509161E-3</v>
      </c>
      <c r="M2167" s="1280">
        <v>2.0000013341509161E-3</v>
      </c>
      <c r="N2167" s="1271">
        <v>2.3260407470314211E-2</v>
      </c>
      <c r="O2167" s="1257">
        <v>6.6090972026127169E-3</v>
      </c>
      <c r="P2167" s="1293">
        <v>3.3045486013063585E-3</v>
      </c>
      <c r="Q2167" s="1292">
        <v>0.14293338372709091</v>
      </c>
    </row>
    <row r="2168" spans="1:17" s="212" customFormat="1" ht="15.5" x14ac:dyDescent="0.35">
      <c r="A2168" s="198">
        <v>2049</v>
      </c>
      <c r="B2168" s="197" t="s">
        <v>5838</v>
      </c>
      <c r="C2168" s="197">
        <v>1984</v>
      </c>
      <c r="D2168" s="225" t="str">
        <f t="shared" si="22"/>
        <v>2049_1984</v>
      </c>
      <c r="E2168" s="1291">
        <v>0.5088452661945515</v>
      </c>
      <c r="F2168" s="1280">
        <v>1.6167806436188478E-2</v>
      </c>
      <c r="G2168" s="1271">
        <v>3.787571225025995</v>
      </c>
      <c r="H2168" s="1280">
        <v>0.10691816328184908</v>
      </c>
      <c r="I2168" s="1271">
        <v>0.13675014881736719</v>
      </c>
      <c r="J2168" s="1280">
        <v>1.8843504818249451E-4</v>
      </c>
      <c r="K2168" s="1271">
        <v>2.8286128332076737E-3</v>
      </c>
      <c r="L2168" s="1257">
        <v>2.0000013341509161E-3</v>
      </c>
      <c r="M2168" s="1280">
        <v>2.0000013341509161E-3</v>
      </c>
      <c r="N2168" s="1271">
        <v>2.3260407470314211E-2</v>
      </c>
      <c r="O2168" s="1257">
        <v>6.6090972026127169E-3</v>
      </c>
      <c r="P2168" s="1293">
        <v>3.3045486013063585E-3</v>
      </c>
      <c r="Q2168" s="1292">
        <v>0.14293338372709091</v>
      </c>
    </row>
    <row r="2169" spans="1:17" s="212" customFormat="1" ht="15.5" x14ac:dyDescent="0.35">
      <c r="A2169" s="198">
        <v>2049</v>
      </c>
      <c r="B2169" s="197" t="s">
        <v>5838</v>
      </c>
      <c r="C2169" s="197">
        <v>1985</v>
      </c>
      <c r="D2169" s="225" t="str">
        <f t="shared" si="22"/>
        <v>2049_1985</v>
      </c>
      <c r="E2169" s="1291">
        <v>0.5088452661945515</v>
      </c>
      <c r="F2169" s="1280">
        <v>1.6167806436188478E-2</v>
      </c>
      <c r="G2169" s="1271">
        <v>3.787571225025995</v>
      </c>
      <c r="H2169" s="1280">
        <v>0.10691816328184908</v>
      </c>
      <c r="I2169" s="1271">
        <v>0.13675014881736719</v>
      </c>
      <c r="J2169" s="1280">
        <v>1.8843504818249451E-4</v>
      </c>
      <c r="K2169" s="1271">
        <v>2.8286128332076737E-3</v>
      </c>
      <c r="L2169" s="1257">
        <v>2.0000013341509161E-3</v>
      </c>
      <c r="M2169" s="1280">
        <v>2.0000013341509161E-3</v>
      </c>
      <c r="N2169" s="1271">
        <v>2.3260407470314211E-2</v>
      </c>
      <c r="O2169" s="1257">
        <v>6.6090972026127169E-3</v>
      </c>
      <c r="P2169" s="1293">
        <v>3.3045486013063585E-3</v>
      </c>
      <c r="Q2169" s="1292">
        <v>0.14293338372709091</v>
      </c>
    </row>
    <row r="2170" spans="1:17" s="212" customFormat="1" ht="15.5" x14ac:dyDescent="0.35">
      <c r="A2170" s="198">
        <v>2049</v>
      </c>
      <c r="B2170" s="197" t="s">
        <v>5838</v>
      </c>
      <c r="C2170" s="197">
        <v>1986</v>
      </c>
      <c r="D2170" s="225" t="str">
        <f t="shared" si="22"/>
        <v>2049_1986</v>
      </c>
      <c r="E2170" s="1291">
        <v>0.5088452661945515</v>
      </c>
      <c r="F2170" s="1280">
        <v>1.6167806436188478E-2</v>
      </c>
      <c r="G2170" s="1271">
        <v>3.787571225025995</v>
      </c>
      <c r="H2170" s="1280">
        <v>0.10691816328184908</v>
      </c>
      <c r="I2170" s="1271">
        <v>0.13675014881736719</v>
      </c>
      <c r="J2170" s="1280">
        <v>1.8843504818249451E-4</v>
      </c>
      <c r="K2170" s="1271">
        <v>2.8286128332076737E-3</v>
      </c>
      <c r="L2170" s="1257">
        <v>2.0000013341509161E-3</v>
      </c>
      <c r="M2170" s="1280">
        <v>2.0000013341509161E-3</v>
      </c>
      <c r="N2170" s="1271">
        <v>2.3260407470314211E-2</v>
      </c>
      <c r="O2170" s="1257">
        <v>6.6090972026127169E-3</v>
      </c>
      <c r="P2170" s="1293">
        <v>3.3045486013063585E-3</v>
      </c>
      <c r="Q2170" s="1292">
        <v>0.14293338372709091</v>
      </c>
    </row>
    <row r="2171" spans="1:17" s="212" customFormat="1" ht="15.5" x14ac:dyDescent="0.35">
      <c r="A2171" s="198">
        <v>2049</v>
      </c>
      <c r="B2171" s="197" t="s">
        <v>5838</v>
      </c>
      <c r="C2171" s="197">
        <v>1987</v>
      </c>
      <c r="D2171" s="225" t="str">
        <f t="shared" si="22"/>
        <v>2049_1987</v>
      </c>
      <c r="E2171" s="1291">
        <v>0.5088452661945515</v>
      </c>
      <c r="F2171" s="1280">
        <v>1.6167806436188478E-2</v>
      </c>
      <c r="G2171" s="1271">
        <v>3.787571225025995</v>
      </c>
      <c r="H2171" s="1280">
        <v>0.10691816328184908</v>
      </c>
      <c r="I2171" s="1271">
        <v>0.13675014881736719</v>
      </c>
      <c r="J2171" s="1280">
        <v>1.8843504818249451E-4</v>
      </c>
      <c r="K2171" s="1271">
        <v>2.8286128332076737E-3</v>
      </c>
      <c r="L2171" s="1257">
        <v>2.0000013341509161E-3</v>
      </c>
      <c r="M2171" s="1280">
        <v>2.0000013341509161E-3</v>
      </c>
      <c r="N2171" s="1271">
        <v>2.3260407470314211E-2</v>
      </c>
      <c r="O2171" s="1257">
        <v>6.6090972026127169E-3</v>
      </c>
      <c r="P2171" s="1293">
        <v>3.3045486013063585E-3</v>
      </c>
      <c r="Q2171" s="1292">
        <v>0.14293338372709091</v>
      </c>
    </row>
    <row r="2172" spans="1:17" s="212" customFormat="1" ht="15.5" x14ac:dyDescent="0.35">
      <c r="A2172" s="198">
        <v>2049</v>
      </c>
      <c r="B2172" s="197" t="s">
        <v>5838</v>
      </c>
      <c r="C2172" s="197">
        <v>1988</v>
      </c>
      <c r="D2172" s="225" t="str">
        <f t="shared" si="22"/>
        <v>2049_1988</v>
      </c>
      <c r="E2172" s="1291">
        <v>0.5088452661945515</v>
      </c>
      <c r="F2172" s="1280">
        <v>1.6167806436188478E-2</v>
      </c>
      <c r="G2172" s="1271">
        <v>3.787571225025995</v>
      </c>
      <c r="H2172" s="1280">
        <v>0.10691816328184908</v>
      </c>
      <c r="I2172" s="1271">
        <v>0.13675014881736719</v>
      </c>
      <c r="J2172" s="1280">
        <v>1.8843504818249451E-4</v>
      </c>
      <c r="K2172" s="1271">
        <v>2.8286128332076737E-3</v>
      </c>
      <c r="L2172" s="1257">
        <v>2.0000013341509161E-3</v>
      </c>
      <c r="M2172" s="1280">
        <v>2.0000013341509161E-3</v>
      </c>
      <c r="N2172" s="1271">
        <v>2.3260407470314211E-2</v>
      </c>
      <c r="O2172" s="1257">
        <v>6.6090972026127169E-3</v>
      </c>
      <c r="P2172" s="1293">
        <v>3.3045486013063585E-3</v>
      </c>
      <c r="Q2172" s="1292">
        <v>0.14293338372709091</v>
      </c>
    </row>
    <row r="2173" spans="1:17" s="212" customFormat="1" ht="15.5" x14ac:dyDescent="0.35">
      <c r="A2173" s="198">
        <v>2049</v>
      </c>
      <c r="B2173" s="197" t="s">
        <v>5838</v>
      </c>
      <c r="C2173" s="197">
        <v>1989</v>
      </c>
      <c r="D2173" s="225" t="str">
        <f t="shared" si="22"/>
        <v>2049_1989</v>
      </c>
      <c r="E2173" s="1291">
        <v>0.5088452661945515</v>
      </c>
      <c r="F2173" s="1280">
        <v>1.6167806436188478E-2</v>
      </c>
      <c r="G2173" s="1271">
        <v>3.787571225025995</v>
      </c>
      <c r="H2173" s="1280">
        <v>0.10691816328184908</v>
      </c>
      <c r="I2173" s="1271">
        <v>0.13675014881736719</v>
      </c>
      <c r="J2173" s="1280">
        <v>1.8843504818249451E-4</v>
      </c>
      <c r="K2173" s="1271">
        <v>2.8286128332076737E-3</v>
      </c>
      <c r="L2173" s="1257">
        <v>2.0000013341509161E-3</v>
      </c>
      <c r="M2173" s="1280">
        <v>2.0000013341509161E-3</v>
      </c>
      <c r="N2173" s="1271">
        <v>2.3260407470314211E-2</v>
      </c>
      <c r="O2173" s="1257">
        <v>6.6090972026127169E-3</v>
      </c>
      <c r="P2173" s="1293">
        <v>3.3045486013063585E-3</v>
      </c>
      <c r="Q2173" s="1292">
        <v>0.14293338372709091</v>
      </c>
    </row>
    <row r="2174" spans="1:17" s="212" customFormat="1" ht="15.5" x14ac:dyDescent="0.35">
      <c r="A2174" s="198">
        <v>2049</v>
      </c>
      <c r="B2174" s="197" t="s">
        <v>5838</v>
      </c>
      <c r="C2174" s="197">
        <v>1990</v>
      </c>
      <c r="D2174" s="225" t="str">
        <f t="shared" si="22"/>
        <v>2049_1990</v>
      </c>
      <c r="E2174" s="1291">
        <v>0.5088452661945515</v>
      </c>
      <c r="F2174" s="1280">
        <v>1.6167806436188478E-2</v>
      </c>
      <c r="G2174" s="1271">
        <v>3.787571225025995</v>
      </c>
      <c r="H2174" s="1280">
        <v>0.10691816328184908</v>
      </c>
      <c r="I2174" s="1271">
        <v>0.13675014881736719</v>
      </c>
      <c r="J2174" s="1280">
        <v>1.8843504818249451E-4</v>
      </c>
      <c r="K2174" s="1271">
        <v>2.8286128332076737E-3</v>
      </c>
      <c r="L2174" s="1257">
        <v>2.0000013341509161E-3</v>
      </c>
      <c r="M2174" s="1280">
        <v>2.0000013341509161E-3</v>
      </c>
      <c r="N2174" s="1271">
        <v>2.3260407470314211E-2</v>
      </c>
      <c r="O2174" s="1257">
        <v>6.6090972026127169E-3</v>
      </c>
      <c r="P2174" s="1293">
        <v>3.3045486013063585E-3</v>
      </c>
      <c r="Q2174" s="1292">
        <v>0.14293338372709091</v>
      </c>
    </row>
    <row r="2175" spans="1:17" s="212" customFormat="1" ht="15.5" x14ac:dyDescent="0.35">
      <c r="A2175" s="198">
        <v>2049</v>
      </c>
      <c r="B2175" s="197" t="s">
        <v>5838</v>
      </c>
      <c r="C2175" s="197">
        <v>1991</v>
      </c>
      <c r="D2175" s="225" t="str">
        <f t="shared" si="22"/>
        <v>2049_1991</v>
      </c>
      <c r="E2175" s="1291">
        <v>0.5088452661945515</v>
      </c>
      <c r="F2175" s="1280">
        <v>1.6167806436188478E-2</v>
      </c>
      <c r="G2175" s="1271">
        <v>3.787571225025995</v>
      </c>
      <c r="H2175" s="1280">
        <v>0.10691816328184908</v>
      </c>
      <c r="I2175" s="1271">
        <v>0.13675014881736719</v>
      </c>
      <c r="J2175" s="1280">
        <v>1.8843504818249451E-4</v>
      </c>
      <c r="K2175" s="1271">
        <v>2.8286128332076737E-3</v>
      </c>
      <c r="L2175" s="1257">
        <v>2.0000013341509161E-3</v>
      </c>
      <c r="M2175" s="1280">
        <v>2.0000013341509161E-3</v>
      </c>
      <c r="N2175" s="1271">
        <v>2.3260407470314211E-2</v>
      </c>
      <c r="O2175" s="1257">
        <v>6.6090972026127169E-3</v>
      </c>
      <c r="P2175" s="1293">
        <v>3.3045486013063585E-3</v>
      </c>
      <c r="Q2175" s="1292">
        <v>0.14293338372709091</v>
      </c>
    </row>
    <row r="2176" spans="1:17" s="212" customFormat="1" ht="15.5" x14ac:dyDescent="0.35">
      <c r="A2176" s="198">
        <v>2049</v>
      </c>
      <c r="B2176" s="197" t="s">
        <v>5838</v>
      </c>
      <c r="C2176" s="197">
        <v>1992</v>
      </c>
      <c r="D2176" s="225" t="str">
        <f t="shared" si="22"/>
        <v>2049_1992</v>
      </c>
      <c r="E2176" s="1291">
        <v>0.5088452661945515</v>
      </c>
      <c r="F2176" s="1280">
        <v>1.6167806436188478E-2</v>
      </c>
      <c r="G2176" s="1271">
        <v>3.787571225025995</v>
      </c>
      <c r="H2176" s="1280">
        <v>0.10691816328184908</v>
      </c>
      <c r="I2176" s="1271">
        <v>0.13675014881736719</v>
      </c>
      <c r="J2176" s="1280">
        <v>1.8843504818249451E-4</v>
      </c>
      <c r="K2176" s="1271">
        <v>2.8286128332076737E-3</v>
      </c>
      <c r="L2176" s="1257">
        <v>2.0000013341509161E-3</v>
      </c>
      <c r="M2176" s="1280">
        <v>2.0000013341509161E-3</v>
      </c>
      <c r="N2176" s="1271">
        <v>2.3260407470314211E-2</v>
      </c>
      <c r="O2176" s="1257">
        <v>6.6090972026127169E-3</v>
      </c>
      <c r="P2176" s="1293">
        <v>3.3045486013063585E-3</v>
      </c>
      <c r="Q2176" s="1292">
        <v>0.14293338372709091</v>
      </c>
    </row>
    <row r="2177" spans="1:17" s="212" customFormat="1" ht="15.5" x14ac:dyDescent="0.35">
      <c r="A2177" s="198">
        <v>2049</v>
      </c>
      <c r="B2177" s="197" t="s">
        <v>5838</v>
      </c>
      <c r="C2177" s="197">
        <v>1993</v>
      </c>
      <c r="D2177" s="225" t="str">
        <f t="shared" si="22"/>
        <v>2049_1993</v>
      </c>
      <c r="E2177" s="1291">
        <v>0.5088452661945515</v>
      </c>
      <c r="F2177" s="1280">
        <v>1.6167806436188478E-2</v>
      </c>
      <c r="G2177" s="1271">
        <v>3.787571225025995</v>
      </c>
      <c r="H2177" s="1280">
        <v>0.10691816328184908</v>
      </c>
      <c r="I2177" s="1271">
        <v>0.13675014881736719</v>
      </c>
      <c r="J2177" s="1280">
        <v>1.8843504818249451E-4</v>
      </c>
      <c r="K2177" s="1271">
        <v>2.8286128332076737E-3</v>
      </c>
      <c r="L2177" s="1257">
        <v>2.0000013341509161E-3</v>
      </c>
      <c r="M2177" s="1280">
        <v>2.0000013341509161E-3</v>
      </c>
      <c r="N2177" s="1271">
        <v>2.3260407470314211E-2</v>
      </c>
      <c r="O2177" s="1257">
        <v>6.6090972026127169E-3</v>
      </c>
      <c r="P2177" s="1293">
        <v>3.3045486013063585E-3</v>
      </c>
      <c r="Q2177" s="1292">
        <v>0.14293338372709091</v>
      </c>
    </row>
    <row r="2178" spans="1:17" s="212" customFormat="1" ht="15.5" x14ac:dyDescent="0.35">
      <c r="A2178" s="198">
        <v>2049</v>
      </c>
      <c r="B2178" s="197" t="s">
        <v>5838</v>
      </c>
      <c r="C2178" s="197">
        <v>1994</v>
      </c>
      <c r="D2178" s="225" t="str">
        <f t="shared" si="22"/>
        <v>2049_1994</v>
      </c>
      <c r="E2178" s="1291">
        <v>0.5088452661945515</v>
      </c>
      <c r="F2178" s="1280">
        <v>1.6167806436188478E-2</v>
      </c>
      <c r="G2178" s="1271">
        <v>3.787571225025995</v>
      </c>
      <c r="H2178" s="1280">
        <v>0.10691816328184908</v>
      </c>
      <c r="I2178" s="1271">
        <v>0.13675014881736719</v>
      </c>
      <c r="J2178" s="1280">
        <v>1.8843504818249451E-4</v>
      </c>
      <c r="K2178" s="1271">
        <v>2.8286128332076737E-3</v>
      </c>
      <c r="L2178" s="1257">
        <v>2.0000013341509161E-3</v>
      </c>
      <c r="M2178" s="1280">
        <v>2.0000013341509161E-3</v>
      </c>
      <c r="N2178" s="1271">
        <v>2.3260407470314211E-2</v>
      </c>
      <c r="O2178" s="1257">
        <v>6.6090972026127169E-3</v>
      </c>
      <c r="P2178" s="1293">
        <v>3.3045486013063585E-3</v>
      </c>
      <c r="Q2178" s="1292">
        <v>0.14293338372709091</v>
      </c>
    </row>
    <row r="2179" spans="1:17" s="212" customFormat="1" ht="15.5" x14ac:dyDescent="0.35">
      <c r="A2179" s="198">
        <v>2049</v>
      </c>
      <c r="B2179" s="197" t="s">
        <v>5838</v>
      </c>
      <c r="C2179" s="197">
        <v>1995</v>
      </c>
      <c r="D2179" s="225" t="str">
        <f t="shared" si="22"/>
        <v>2049_1995</v>
      </c>
      <c r="E2179" s="1291">
        <v>0.5088452661945515</v>
      </c>
      <c r="F2179" s="1280">
        <v>1.6167806436188478E-2</v>
      </c>
      <c r="G2179" s="1271">
        <v>3.787571225025995</v>
      </c>
      <c r="H2179" s="1280">
        <v>0.10691816328184908</v>
      </c>
      <c r="I2179" s="1271">
        <v>0.13675014881736719</v>
      </c>
      <c r="J2179" s="1280">
        <v>1.8843504818249451E-4</v>
      </c>
      <c r="K2179" s="1271">
        <v>2.8286128332076737E-3</v>
      </c>
      <c r="L2179" s="1257">
        <v>2.0000013341509161E-3</v>
      </c>
      <c r="M2179" s="1280">
        <v>2.0000013341509161E-3</v>
      </c>
      <c r="N2179" s="1271">
        <v>2.3260407470314211E-2</v>
      </c>
      <c r="O2179" s="1257">
        <v>6.6090972026127169E-3</v>
      </c>
      <c r="P2179" s="1293">
        <v>3.3045486013063585E-3</v>
      </c>
      <c r="Q2179" s="1292">
        <v>0.14293338372709091</v>
      </c>
    </row>
    <row r="2180" spans="1:17" s="212" customFormat="1" ht="15.5" x14ac:dyDescent="0.35">
      <c r="A2180" s="198">
        <v>2049</v>
      </c>
      <c r="B2180" s="197" t="s">
        <v>5838</v>
      </c>
      <c r="C2180" s="197">
        <v>1996</v>
      </c>
      <c r="D2180" s="225" t="str">
        <f t="shared" si="22"/>
        <v>2049_1996</v>
      </c>
      <c r="E2180" s="1291">
        <v>0.5088452661945515</v>
      </c>
      <c r="F2180" s="1280">
        <v>1.6167806436188478E-2</v>
      </c>
      <c r="G2180" s="1271">
        <v>3.787571225025995</v>
      </c>
      <c r="H2180" s="1280">
        <v>0.10691816328184908</v>
      </c>
      <c r="I2180" s="1271">
        <v>0.13675014881736719</v>
      </c>
      <c r="J2180" s="1280">
        <v>1.8843504818249451E-4</v>
      </c>
      <c r="K2180" s="1271">
        <v>2.8286128332076737E-3</v>
      </c>
      <c r="L2180" s="1257">
        <v>2.0000013341509161E-3</v>
      </c>
      <c r="M2180" s="1280">
        <v>2.0000013341509161E-3</v>
      </c>
      <c r="N2180" s="1271">
        <v>2.3260407470314211E-2</v>
      </c>
      <c r="O2180" s="1257">
        <v>6.6090972026127169E-3</v>
      </c>
      <c r="P2180" s="1293">
        <v>3.3045486013063585E-3</v>
      </c>
      <c r="Q2180" s="1292">
        <v>0.14293338372709091</v>
      </c>
    </row>
    <row r="2181" spans="1:17" s="212" customFormat="1" ht="15.5" x14ac:dyDescent="0.35">
      <c r="A2181" s="198">
        <v>2049</v>
      </c>
      <c r="B2181" s="197" t="s">
        <v>5838</v>
      </c>
      <c r="C2181" s="197">
        <v>1997</v>
      </c>
      <c r="D2181" s="225" t="str">
        <f t="shared" si="22"/>
        <v>2049_1997</v>
      </c>
      <c r="E2181" s="1291">
        <v>0.5088452661945515</v>
      </c>
      <c r="F2181" s="1280">
        <v>1.6167806436188478E-2</v>
      </c>
      <c r="G2181" s="1271">
        <v>3.787571225025995</v>
      </c>
      <c r="H2181" s="1280">
        <v>0.10691816328184908</v>
      </c>
      <c r="I2181" s="1271">
        <v>0.13675014881736719</v>
      </c>
      <c r="J2181" s="1280">
        <v>1.8843504818249451E-4</v>
      </c>
      <c r="K2181" s="1271">
        <v>2.8286128332076737E-3</v>
      </c>
      <c r="L2181" s="1257">
        <v>2.0000013341509161E-3</v>
      </c>
      <c r="M2181" s="1280">
        <v>2.0000013341509161E-3</v>
      </c>
      <c r="N2181" s="1271">
        <v>2.3260407470314211E-2</v>
      </c>
      <c r="O2181" s="1257">
        <v>6.6090972026127169E-3</v>
      </c>
      <c r="P2181" s="1293">
        <v>3.3045486013063585E-3</v>
      </c>
      <c r="Q2181" s="1292">
        <v>0.14293338372709091</v>
      </c>
    </row>
    <row r="2182" spans="1:17" s="212" customFormat="1" ht="15.5" x14ac:dyDescent="0.35">
      <c r="A2182" s="198">
        <v>2049</v>
      </c>
      <c r="B2182" s="197" t="s">
        <v>5838</v>
      </c>
      <c r="C2182" s="197">
        <v>1998</v>
      </c>
      <c r="D2182" s="225" t="str">
        <f t="shared" si="22"/>
        <v>2049_1998</v>
      </c>
      <c r="E2182" s="1291">
        <v>0.5088452661945515</v>
      </c>
      <c r="F2182" s="1280">
        <v>1.6167806436188478E-2</v>
      </c>
      <c r="G2182" s="1271">
        <v>3.787571225025995</v>
      </c>
      <c r="H2182" s="1280">
        <v>0.10691816328184908</v>
      </c>
      <c r="I2182" s="1271">
        <v>0.13675014881736719</v>
      </c>
      <c r="J2182" s="1280">
        <v>1.8843504818249451E-4</v>
      </c>
      <c r="K2182" s="1271">
        <v>2.8286128332076737E-3</v>
      </c>
      <c r="L2182" s="1257">
        <v>2.0000013341509161E-3</v>
      </c>
      <c r="M2182" s="1280">
        <v>2.0000013341509161E-3</v>
      </c>
      <c r="N2182" s="1271">
        <v>2.3260407470314211E-2</v>
      </c>
      <c r="O2182" s="1257">
        <v>6.6090972026127169E-3</v>
      </c>
      <c r="P2182" s="1293">
        <v>3.3045486013063585E-3</v>
      </c>
      <c r="Q2182" s="1292">
        <v>0.14293338372709091</v>
      </c>
    </row>
    <row r="2183" spans="1:17" s="212" customFormat="1" ht="15.5" x14ac:dyDescent="0.35">
      <c r="A2183" s="198">
        <v>2049</v>
      </c>
      <c r="B2183" s="197" t="s">
        <v>5838</v>
      </c>
      <c r="C2183" s="197">
        <v>1999</v>
      </c>
      <c r="D2183" s="225" t="str">
        <f t="shared" si="22"/>
        <v>2049_1999</v>
      </c>
      <c r="E2183" s="1291">
        <v>0.5088452661945515</v>
      </c>
      <c r="F2183" s="1280">
        <v>1.6167806436188478E-2</v>
      </c>
      <c r="G2183" s="1271">
        <v>3.787571225025995</v>
      </c>
      <c r="H2183" s="1280">
        <v>0.10691816328184908</v>
      </c>
      <c r="I2183" s="1271">
        <v>0.13675014881736719</v>
      </c>
      <c r="J2183" s="1280">
        <v>1.8843504818249451E-4</v>
      </c>
      <c r="K2183" s="1271">
        <v>2.8286128332076737E-3</v>
      </c>
      <c r="L2183" s="1257">
        <v>2.0000013341509161E-3</v>
      </c>
      <c r="M2183" s="1280">
        <v>2.0000013341509161E-3</v>
      </c>
      <c r="N2183" s="1271">
        <v>2.3260407470314211E-2</v>
      </c>
      <c r="O2183" s="1257">
        <v>6.6090972026127169E-3</v>
      </c>
      <c r="P2183" s="1293">
        <v>3.3045486013063585E-3</v>
      </c>
      <c r="Q2183" s="1292">
        <v>0.14293338372709091</v>
      </c>
    </row>
    <row r="2184" spans="1:17" s="212" customFormat="1" ht="15.5" x14ac:dyDescent="0.35">
      <c r="A2184" s="198">
        <v>2049</v>
      </c>
      <c r="B2184" s="197" t="s">
        <v>5838</v>
      </c>
      <c r="C2184" s="197">
        <v>2000</v>
      </c>
      <c r="D2184" s="225" t="str">
        <f t="shared" si="22"/>
        <v>2049_2000</v>
      </c>
      <c r="E2184" s="1291">
        <v>0.5088452661945515</v>
      </c>
      <c r="F2184" s="1280">
        <v>1.6167806436188478E-2</v>
      </c>
      <c r="G2184" s="1271">
        <v>3.787571225025995</v>
      </c>
      <c r="H2184" s="1280">
        <v>0.10691816328184908</v>
      </c>
      <c r="I2184" s="1271">
        <v>0.13675014881736719</v>
      </c>
      <c r="J2184" s="1280">
        <v>1.8843504818249451E-4</v>
      </c>
      <c r="K2184" s="1271">
        <v>2.8286128332076737E-3</v>
      </c>
      <c r="L2184" s="1257">
        <v>2.0000013341509161E-3</v>
      </c>
      <c r="M2184" s="1280">
        <v>2.0000013341509161E-3</v>
      </c>
      <c r="N2184" s="1271">
        <v>2.3260407470314211E-2</v>
      </c>
      <c r="O2184" s="1257">
        <v>6.6090972026127169E-3</v>
      </c>
      <c r="P2184" s="1293">
        <v>3.3045486013063585E-3</v>
      </c>
      <c r="Q2184" s="1292">
        <v>0.14293338372709091</v>
      </c>
    </row>
    <row r="2185" spans="1:17" s="212" customFormat="1" ht="15.5" x14ac:dyDescent="0.35">
      <c r="A2185" s="198">
        <v>2049</v>
      </c>
      <c r="B2185" s="197" t="s">
        <v>5838</v>
      </c>
      <c r="C2185" s="197">
        <v>2001</v>
      </c>
      <c r="D2185" s="225" t="str">
        <f t="shared" si="22"/>
        <v>2049_2001</v>
      </c>
      <c r="E2185" s="1291">
        <v>0.5088452661945515</v>
      </c>
      <c r="F2185" s="1280">
        <v>1.6167806436188478E-2</v>
      </c>
      <c r="G2185" s="1271">
        <v>3.787571225025995</v>
      </c>
      <c r="H2185" s="1280">
        <v>0.10691816328184908</v>
      </c>
      <c r="I2185" s="1271">
        <v>0.13675014881736719</v>
      </c>
      <c r="J2185" s="1280">
        <v>1.8843504818249451E-4</v>
      </c>
      <c r="K2185" s="1271">
        <v>2.8286128332076737E-3</v>
      </c>
      <c r="L2185" s="1257">
        <v>2.0000013341509161E-3</v>
      </c>
      <c r="M2185" s="1280">
        <v>2.0000013341509161E-3</v>
      </c>
      <c r="N2185" s="1271">
        <v>2.3260407470314211E-2</v>
      </c>
      <c r="O2185" s="1257">
        <v>6.6090972026127169E-3</v>
      </c>
      <c r="P2185" s="1293">
        <v>3.3045486013063585E-3</v>
      </c>
      <c r="Q2185" s="1292">
        <v>0.14293338372709091</v>
      </c>
    </row>
    <row r="2186" spans="1:17" s="212" customFormat="1" ht="15.5" x14ac:dyDescent="0.35">
      <c r="A2186" s="198">
        <v>2049</v>
      </c>
      <c r="B2186" s="197" t="s">
        <v>5838</v>
      </c>
      <c r="C2186" s="197">
        <v>2002</v>
      </c>
      <c r="D2186" s="225" t="str">
        <f t="shared" si="22"/>
        <v>2049_2002</v>
      </c>
      <c r="E2186" s="1291">
        <v>0.5088452661945515</v>
      </c>
      <c r="F2186" s="1280">
        <v>1.6167806436188478E-2</v>
      </c>
      <c r="G2186" s="1271">
        <v>3.787571225025995</v>
      </c>
      <c r="H2186" s="1280">
        <v>0.10691816328184908</v>
      </c>
      <c r="I2186" s="1271">
        <v>0.13675014881736719</v>
      </c>
      <c r="J2186" s="1280">
        <v>1.8843504818249451E-4</v>
      </c>
      <c r="K2186" s="1271">
        <v>2.8286128332076737E-3</v>
      </c>
      <c r="L2186" s="1257">
        <v>2.0000013341509161E-3</v>
      </c>
      <c r="M2186" s="1280">
        <v>2.0000013341509161E-3</v>
      </c>
      <c r="N2186" s="1271">
        <v>2.3260407470314211E-2</v>
      </c>
      <c r="O2186" s="1257">
        <v>6.6090972026127169E-3</v>
      </c>
      <c r="P2186" s="1293">
        <v>3.3045486013063585E-3</v>
      </c>
      <c r="Q2186" s="1292">
        <v>0.14293338372709091</v>
      </c>
    </row>
    <row r="2187" spans="1:17" s="212" customFormat="1" ht="15.5" x14ac:dyDescent="0.35">
      <c r="A2187" s="198">
        <v>2049</v>
      </c>
      <c r="B2187" s="197" t="s">
        <v>5838</v>
      </c>
      <c r="C2187" s="197">
        <v>2003</v>
      </c>
      <c r="D2187" s="225" t="str">
        <f t="shared" si="22"/>
        <v>2049_2003</v>
      </c>
      <c r="E2187" s="1291">
        <v>0.5088452661945515</v>
      </c>
      <c r="F2187" s="1280">
        <v>1.6167806436188478E-2</v>
      </c>
      <c r="G2187" s="1271">
        <v>3.787571225025995</v>
      </c>
      <c r="H2187" s="1280">
        <v>0.10691816328184908</v>
      </c>
      <c r="I2187" s="1271">
        <v>0.13675014881736719</v>
      </c>
      <c r="J2187" s="1280">
        <v>1.8843504818249451E-4</v>
      </c>
      <c r="K2187" s="1271">
        <v>2.8286128332076737E-3</v>
      </c>
      <c r="L2187" s="1257">
        <v>2.0000013341509161E-3</v>
      </c>
      <c r="M2187" s="1280">
        <v>2.0000013341509161E-3</v>
      </c>
      <c r="N2187" s="1271">
        <v>2.3260407470314211E-2</v>
      </c>
      <c r="O2187" s="1257">
        <v>6.6090972026127169E-3</v>
      </c>
      <c r="P2187" s="1293">
        <v>3.3045486013063585E-3</v>
      </c>
      <c r="Q2187" s="1292">
        <v>0.14293338372709091</v>
      </c>
    </row>
    <row r="2188" spans="1:17" s="212" customFormat="1" ht="15.5" x14ac:dyDescent="0.35">
      <c r="A2188" s="198">
        <v>2049</v>
      </c>
      <c r="B2188" s="197" t="s">
        <v>5838</v>
      </c>
      <c r="C2188" s="197">
        <v>2004</v>
      </c>
      <c r="D2188" s="225" t="str">
        <f t="shared" si="22"/>
        <v>2049_2004</v>
      </c>
      <c r="E2188" s="1291">
        <v>0.5088452661945515</v>
      </c>
      <c r="F2188" s="1280">
        <v>1.6167806436188478E-2</v>
      </c>
      <c r="G2188" s="1271">
        <v>3.787571225025995</v>
      </c>
      <c r="H2188" s="1280">
        <v>0.10691816328184908</v>
      </c>
      <c r="I2188" s="1271">
        <v>0.13675014881736719</v>
      </c>
      <c r="J2188" s="1280">
        <v>1.8843504818249451E-4</v>
      </c>
      <c r="K2188" s="1271">
        <v>2.8286128332076737E-3</v>
      </c>
      <c r="L2188" s="1257">
        <v>2.0000013341509161E-3</v>
      </c>
      <c r="M2188" s="1280">
        <v>2.0000013341509161E-3</v>
      </c>
      <c r="N2188" s="1271">
        <v>2.3260407470314211E-2</v>
      </c>
      <c r="O2188" s="1257">
        <v>6.6090972026127169E-3</v>
      </c>
      <c r="P2188" s="1293">
        <v>3.3045486013063585E-3</v>
      </c>
      <c r="Q2188" s="1292">
        <v>0.14293338372709091</v>
      </c>
    </row>
    <row r="2189" spans="1:17" s="212" customFormat="1" ht="15.5" x14ac:dyDescent="0.35">
      <c r="A2189" s="198">
        <v>2049</v>
      </c>
      <c r="B2189" s="197" t="s">
        <v>5838</v>
      </c>
      <c r="C2189" s="197">
        <v>2005</v>
      </c>
      <c r="D2189" s="225" t="str">
        <f t="shared" si="22"/>
        <v>2049_2005</v>
      </c>
      <c r="E2189" s="1287">
        <v>0.5088452661945515</v>
      </c>
      <c r="F2189" s="1306">
        <v>1.6167806436188478E-2</v>
      </c>
      <c r="G2189" s="1303">
        <v>3.787571225025995</v>
      </c>
      <c r="H2189" s="1306">
        <v>0.10691816328184908</v>
      </c>
      <c r="I2189" s="1303">
        <v>0.13675014881736719</v>
      </c>
      <c r="J2189" s="1306">
        <v>1.8843504818249451E-4</v>
      </c>
      <c r="K2189" s="1303">
        <v>2.8286128332076737E-3</v>
      </c>
      <c r="L2189" s="1288">
        <v>2.0000013341509161E-3</v>
      </c>
      <c r="M2189" s="1280">
        <v>2.0000013341509161E-3</v>
      </c>
      <c r="N2189" s="1303">
        <v>2.3260407470314211E-2</v>
      </c>
      <c r="O2189" s="1288">
        <v>6.6090972026127169E-3</v>
      </c>
      <c r="P2189" s="1293">
        <v>3.3045486013063585E-3</v>
      </c>
      <c r="Q2189" s="1290">
        <v>0.14293338372709091</v>
      </c>
    </row>
    <row r="2190" spans="1:17" s="212" customFormat="1" ht="15.5" x14ac:dyDescent="0.35">
      <c r="A2190" s="198">
        <v>2049</v>
      </c>
      <c r="B2190" s="197" t="s">
        <v>5838</v>
      </c>
      <c r="C2190" s="197">
        <v>2006</v>
      </c>
      <c r="D2190" s="225" t="str">
        <f t="shared" si="22"/>
        <v>2049_2006</v>
      </c>
      <c r="E2190" s="1287">
        <v>0.54175905120604584</v>
      </c>
      <c r="F2190" s="1306">
        <v>7.1649124846090524E-3</v>
      </c>
      <c r="G2190" s="1303">
        <v>3.9501147390949685</v>
      </c>
      <c r="H2190" s="1306">
        <v>8.5406511537017213E-2</v>
      </c>
      <c r="I2190" s="1303">
        <v>0.14337811336177225</v>
      </c>
      <c r="J2190" s="1306">
        <v>1.8384054964077666E-4</v>
      </c>
      <c r="K2190" s="1303">
        <v>2.8977065672114262E-3</v>
      </c>
      <c r="L2190" s="1288">
        <v>2.0000012421652362E-3</v>
      </c>
      <c r="M2190" s="1280">
        <v>2.0000012421652362E-3</v>
      </c>
      <c r="N2190" s="1303">
        <v>2.4888155919176234E-2</v>
      </c>
      <c r="O2190" s="1288">
        <v>9.6278218033425487E-3</v>
      </c>
      <c r="P2190" s="1293">
        <v>4.8139109016712743E-3</v>
      </c>
      <c r="Q2190" s="1290">
        <v>0.14986103541703646</v>
      </c>
    </row>
    <row r="2191" spans="1:17" s="212" customFormat="1" ht="15.5" x14ac:dyDescent="0.35">
      <c r="A2191" s="198">
        <v>2049</v>
      </c>
      <c r="B2191" s="197" t="s">
        <v>5838</v>
      </c>
      <c r="C2191" s="197">
        <v>2007</v>
      </c>
      <c r="D2191" s="225" t="str">
        <f t="shared" si="22"/>
        <v>2049_2007</v>
      </c>
      <c r="E2191" s="1287">
        <v>0.28915684443631778</v>
      </c>
      <c r="F2191" s="1306">
        <v>8.9931024297483699E-3</v>
      </c>
      <c r="G2191" s="1303">
        <v>2.0972405768541722</v>
      </c>
      <c r="H2191" s="1306">
        <v>7.1082382280602124E-2</v>
      </c>
      <c r="I2191" s="1303">
        <v>7.5653792937139669E-2</v>
      </c>
      <c r="J2191" s="1306">
        <v>1.8753039786317338E-4</v>
      </c>
      <c r="K2191" s="1303">
        <v>2.8497762490930752E-3</v>
      </c>
      <c r="L2191" s="1288">
        <v>2.0000012679193455E-3</v>
      </c>
      <c r="M2191" s="1280">
        <v>2.0000012679193455E-3</v>
      </c>
      <c r="N2191" s="1303">
        <v>2.3760630786928333E-2</v>
      </c>
      <c r="O2191" s="1288">
        <v>6.8728643400797753E-3</v>
      </c>
      <c r="P2191" s="1293">
        <v>3.4364321700398877E-3</v>
      </c>
      <c r="Q2191" s="1290">
        <v>7.9074521745022941E-2</v>
      </c>
    </row>
    <row r="2192" spans="1:17" s="212" customFormat="1" ht="15.5" x14ac:dyDescent="0.35">
      <c r="A2192" s="198">
        <v>2049</v>
      </c>
      <c r="B2192" s="197" t="s">
        <v>5838</v>
      </c>
      <c r="C2192" s="197">
        <v>2008</v>
      </c>
      <c r="D2192" s="225" t="str">
        <f t="shared" si="22"/>
        <v>2049_2008</v>
      </c>
      <c r="E2192" s="1287">
        <v>0.31299039811154811</v>
      </c>
      <c r="F2192" s="1306">
        <v>8.3748973909470899E-3</v>
      </c>
      <c r="G2192" s="1303">
        <v>2.2804566095358476</v>
      </c>
      <c r="H2192" s="1306">
        <v>5.4285263514662736E-2</v>
      </c>
      <c r="I2192" s="1303">
        <v>8.1776119418728963E-2</v>
      </c>
      <c r="J2192" s="1306">
        <v>2.1106693382158797E-4</v>
      </c>
      <c r="K2192" s="1303">
        <v>2.9268160730784032E-3</v>
      </c>
      <c r="L2192" s="1288">
        <v>2.0000013802584224E-3</v>
      </c>
      <c r="M2192" s="1280">
        <v>2.0000013802584224E-3</v>
      </c>
      <c r="N2192" s="1303">
        <v>2.5578313755093871E-2</v>
      </c>
      <c r="O2192" s="1288">
        <v>6.8381656544519486E-3</v>
      </c>
      <c r="P2192" s="1293">
        <v>3.4190828272259743E-3</v>
      </c>
      <c r="Q2192" s="1290">
        <v>8.547367266268828E-2</v>
      </c>
    </row>
    <row r="2193" spans="1:17" s="212" customFormat="1" ht="15.5" x14ac:dyDescent="0.35">
      <c r="A2193" s="198">
        <v>2049</v>
      </c>
      <c r="B2193" s="197" t="s">
        <v>5838</v>
      </c>
      <c r="C2193" s="197">
        <v>2009</v>
      </c>
      <c r="D2193" s="225" t="str">
        <f t="shared" si="22"/>
        <v>2049_2009</v>
      </c>
      <c r="E2193" s="1287">
        <v>0.28983418557206286</v>
      </c>
      <c r="F2193" s="1306">
        <v>7.9749877982212523E-3</v>
      </c>
      <c r="G2193" s="1303">
        <v>2.0849705732784258</v>
      </c>
      <c r="H2193" s="1306">
        <v>3.8751516958137486E-2</v>
      </c>
      <c r="I2193" s="1303">
        <v>7.5634587818488877E-2</v>
      </c>
      <c r="J2193" s="1306">
        <v>2.3937756409120388E-4</v>
      </c>
      <c r="K2193" s="1303">
        <v>2.8393153497259884E-3</v>
      </c>
      <c r="L2193" s="1288">
        <v>2.0000014236185373E-3</v>
      </c>
      <c r="M2193" s="1280">
        <v>2.0000014236185373E-3</v>
      </c>
      <c r="N2193" s="1303">
        <v>2.3521190612120588E-2</v>
      </c>
      <c r="O2193" s="1288">
        <v>5.4427293202564675E-3</v>
      </c>
      <c r="P2193" s="1293">
        <v>2.7213646601282337E-3</v>
      </c>
      <c r="Q2193" s="1290">
        <v>7.9054448256128243E-2</v>
      </c>
    </row>
    <row r="2194" spans="1:17" s="212" customFormat="1" ht="15.5" x14ac:dyDescent="0.35">
      <c r="A2194" s="198">
        <v>2049</v>
      </c>
      <c r="B2194" s="197" t="s">
        <v>5838</v>
      </c>
      <c r="C2194" s="197">
        <v>2010</v>
      </c>
      <c r="D2194" s="225" t="str">
        <f t="shared" si="22"/>
        <v>2049_2010</v>
      </c>
      <c r="E2194" s="1287">
        <v>6.1370364441007033E-2</v>
      </c>
      <c r="F2194" s="1306">
        <v>7.3520238848112721E-3</v>
      </c>
      <c r="G2194" s="1303">
        <v>0.52107479256260114</v>
      </c>
      <c r="H2194" s="1306">
        <v>3.6875862672996154E-2</v>
      </c>
      <c r="I2194" s="1303">
        <v>1.714898325454994E-2</v>
      </c>
      <c r="J2194" s="1306">
        <v>2.9592586434953221E-4</v>
      </c>
      <c r="K2194" s="1303">
        <v>2.7150582713207339E-3</v>
      </c>
      <c r="L2194" s="1288">
        <v>2.0000014820019583E-3</v>
      </c>
      <c r="M2194" s="1280">
        <v>2.0000014820019583E-3</v>
      </c>
      <c r="N2194" s="1303">
        <v>2.0599671190165758E-2</v>
      </c>
      <c r="O2194" s="1288">
        <v>4.5523445517489658E-3</v>
      </c>
      <c r="P2194" s="1293">
        <v>2.2761722758744829E-3</v>
      </c>
      <c r="Q2194" s="1290">
        <v>1.7924384179834486E-2</v>
      </c>
    </row>
    <row r="2195" spans="1:17" s="212" customFormat="1" ht="15.5" x14ac:dyDescent="0.35">
      <c r="A2195" s="198">
        <v>2049</v>
      </c>
      <c r="B2195" s="197" t="s">
        <v>5838</v>
      </c>
      <c r="C2195" s="197">
        <v>2011</v>
      </c>
      <c r="D2195" s="225" t="str">
        <f t="shared" si="22"/>
        <v>2049_2011</v>
      </c>
      <c r="E2195" s="1287">
        <v>7.0014231057573761E-2</v>
      </c>
      <c r="F2195" s="1306">
        <v>7.3369736938001615E-3</v>
      </c>
      <c r="G2195" s="1303">
        <v>0.61983239733327333</v>
      </c>
      <c r="H2195" s="1306">
        <v>3.6713066789537056E-2</v>
      </c>
      <c r="I2195" s="1303">
        <v>1.9359279419925456E-2</v>
      </c>
      <c r="J2195" s="1306">
        <v>3.9340456826889746E-4</v>
      </c>
      <c r="K2195" s="1303">
        <v>2.8630247422213794E-3</v>
      </c>
      <c r="L2195" s="1288">
        <v>2.0000014387483696E-3</v>
      </c>
      <c r="M2195" s="1280">
        <v>2.0000014387483696E-3</v>
      </c>
      <c r="N2195" s="1303">
        <v>2.4088520989053754E-2</v>
      </c>
      <c r="O2195" s="1288">
        <v>5.5401825130861511E-3</v>
      </c>
      <c r="P2195" s="1293">
        <v>2.7700912565430755E-3</v>
      </c>
      <c r="Q2195" s="1290">
        <v>2.0234620129764364E-2</v>
      </c>
    </row>
    <row r="2196" spans="1:17" s="212" customFormat="1" ht="15.5" x14ac:dyDescent="0.35">
      <c r="A2196" s="198">
        <v>2049</v>
      </c>
      <c r="B2196" s="197" t="s">
        <v>5838</v>
      </c>
      <c r="C2196" s="197">
        <v>2012</v>
      </c>
      <c r="D2196" s="225" t="str">
        <f t="shared" si="22"/>
        <v>2049_2012</v>
      </c>
      <c r="E2196" s="1287">
        <v>5.2877578196455541E-2</v>
      </c>
      <c r="F2196" s="1306">
        <v>6.9945070539924907E-3</v>
      </c>
      <c r="G2196" s="1303">
        <v>0.43180687340872459</v>
      </c>
      <c r="H2196" s="1306">
        <v>3.5620770674136007E-2</v>
      </c>
      <c r="I2196" s="1303">
        <v>1.5038598455091997E-2</v>
      </c>
      <c r="J2196" s="1306">
        <v>5.7037085324655159E-4</v>
      </c>
      <c r="K2196" s="1303">
        <v>2.5878437035137163E-3</v>
      </c>
      <c r="L2196" s="1288">
        <v>2.0000014767121541E-3</v>
      </c>
      <c r="M2196" s="1280">
        <v>2.0000014767121541E-3</v>
      </c>
      <c r="N2196" s="1303">
        <v>1.7595267290514419E-2</v>
      </c>
      <c r="O2196" s="1288">
        <v>6.0070662550825603E-3</v>
      </c>
      <c r="P2196" s="1293">
        <v>3.0035331275412801E-3</v>
      </c>
      <c r="Q2196" s="1290">
        <v>1.5718577144438965E-2</v>
      </c>
    </row>
    <row r="2197" spans="1:17" s="212" customFormat="1" ht="15.5" x14ac:dyDescent="0.35">
      <c r="A2197" s="198">
        <v>2049</v>
      </c>
      <c r="B2197" s="197" t="s">
        <v>5838</v>
      </c>
      <c r="C2197" s="197">
        <v>2013</v>
      </c>
      <c r="D2197" s="225" t="str">
        <f t="shared" si="22"/>
        <v>2049_2013</v>
      </c>
      <c r="E2197" s="1287">
        <v>7.0008235771346461E-2</v>
      </c>
      <c r="F2197" s="1306">
        <v>7.5079316290822002E-3</v>
      </c>
      <c r="G2197" s="1303">
        <v>0.61846752458903409</v>
      </c>
      <c r="H2197" s="1306">
        <v>3.6883970835585998E-2</v>
      </c>
      <c r="I2197" s="1303">
        <v>1.9342433505471116E-2</v>
      </c>
      <c r="J2197" s="1306">
        <v>8.5149263246351377E-4</v>
      </c>
      <c r="K2197" s="1303">
        <v>2.8608868903942613E-3</v>
      </c>
      <c r="L2197" s="1288">
        <v>2.0000014838407192E-3</v>
      </c>
      <c r="M2197" s="1280">
        <v>2.0000014838407192E-3</v>
      </c>
      <c r="N2197" s="1303">
        <v>2.4036253447117781E-2</v>
      </c>
      <c r="O2197" s="1288">
        <v>6.1015079379888124E-3</v>
      </c>
      <c r="P2197" s="1293">
        <v>3.0507539689944062E-3</v>
      </c>
      <c r="Q2197" s="1290">
        <v>2.0217012517810988E-2</v>
      </c>
    </row>
    <row r="2198" spans="1:17" s="212" customFormat="1" ht="15.5" x14ac:dyDescent="0.35">
      <c r="A2198" s="198">
        <v>2049</v>
      </c>
      <c r="B2198" s="197" t="s">
        <v>5838</v>
      </c>
      <c r="C2198" s="197">
        <v>2014</v>
      </c>
      <c r="D2198" s="225" t="str">
        <f t="shared" si="22"/>
        <v>2049_2014</v>
      </c>
      <c r="E2198" s="1287">
        <v>6.2824462772549286E-2</v>
      </c>
      <c r="F2198" s="1306">
        <v>7.642497479718049E-3</v>
      </c>
      <c r="G2198" s="1303">
        <v>0.54109182804604794</v>
      </c>
      <c r="H2198" s="1306">
        <v>3.7281012176496021E-2</v>
      </c>
      <c r="I2198" s="1303">
        <v>1.7549196856448405E-2</v>
      </c>
      <c r="J2198" s="1306">
        <v>1.2028107303022589E-3</v>
      </c>
      <c r="K2198" s="1303">
        <v>2.7482294695780267E-3</v>
      </c>
      <c r="L2198" s="1288">
        <v>2.0000014937642981E-3</v>
      </c>
      <c r="M2198" s="1280">
        <v>2.0000014937642981E-3</v>
      </c>
      <c r="N2198" s="1303">
        <v>2.1375267493743889E-2</v>
      </c>
      <c r="O2198" s="1288">
        <v>5.2603143300033435E-3</v>
      </c>
      <c r="P2198" s="1293">
        <v>2.6301571650016718E-3</v>
      </c>
      <c r="Q2198" s="1290">
        <v>1.8342693664889251E-2</v>
      </c>
    </row>
    <row r="2199" spans="1:17" s="212" customFormat="1" ht="15.5" x14ac:dyDescent="0.35">
      <c r="A2199" s="198">
        <v>2049</v>
      </c>
      <c r="B2199" s="197" t="s">
        <v>5838</v>
      </c>
      <c r="C2199" s="197">
        <v>2015</v>
      </c>
      <c r="D2199" s="225" t="str">
        <f t="shared" si="22"/>
        <v>2049_2015</v>
      </c>
      <c r="E2199" s="1287">
        <v>5.9242728931369705E-2</v>
      </c>
      <c r="F2199" s="1306">
        <v>7.4745060628961689E-3</v>
      </c>
      <c r="G2199" s="1303">
        <v>0.50591046512601212</v>
      </c>
      <c r="H2199" s="1306">
        <v>3.6412954382915787E-2</v>
      </c>
      <c r="I2199" s="1303">
        <v>1.6695662778048875E-2</v>
      </c>
      <c r="J2199" s="1306">
        <v>1.4846727685020003E-3</v>
      </c>
      <c r="K2199" s="1303">
        <v>2.6989437984874872E-3</v>
      </c>
      <c r="L2199" s="1288">
        <v>2.0000014616938754E-3</v>
      </c>
      <c r="M2199" s="1280">
        <v>2.0000014616938754E-3</v>
      </c>
      <c r="N2199" s="1303">
        <v>2.0201758830027557E-2</v>
      </c>
      <c r="O2199" s="1288">
        <v>6.2624246104162739E-3</v>
      </c>
      <c r="P2199" s="1293">
        <v>3.1312123052081369E-3</v>
      </c>
      <c r="Q2199" s="1290">
        <v>1.7450566562965911E-2</v>
      </c>
    </row>
    <row r="2200" spans="1:17" s="212" customFormat="1" ht="15.5" x14ac:dyDescent="0.35">
      <c r="A2200" s="198">
        <v>2049</v>
      </c>
      <c r="B2200" s="197" t="s">
        <v>5838</v>
      </c>
      <c r="C2200" s="197">
        <v>2016</v>
      </c>
      <c r="D2200" s="225" t="str">
        <f t="shared" si="22"/>
        <v>2049_2016</v>
      </c>
      <c r="E2200" s="1287">
        <v>6.8888422523543588E-2</v>
      </c>
      <c r="F2200" s="1306">
        <v>7.335230124385991E-3</v>
      </c>
      <c r="G2200" s="1303">
        <v>0.54508834523956951</v>
      </c>
      <c r="H2200" s="1306">
        <v>3.5610956446108587E-2</v>
      </c>
      <c r="I2200" s="1303">
        <v>1.9155952946711994E-2</v>
      </c>
      <c r="J2200" s="1306">
        <v>1.6807484536594368E-3</v>
      </c>
      <c r="K2200" s="1303">
        <v>2.8657285927821889E-3</v>
      </c>
      <c r="L2200" s="1288">
        <v>2.0000014066628015E-3</v>
      </c>
      <c r="M2200" s="1280">
        <v>2.0000014066628015E-3</v>
      </c>
      <c r="N2200" s="1303">
        <v>2.4135620272222297E-2</v>
      </c>
      <c r="O2200" s="1288">
        <v>7.3623076172988633E-3</v>
      </c>
      <c r="P2200" s="1293">
        <v>3.6811538086494316E-3</v>
      </c>
      <c r="Q2200" s="1290">
        <v>2.0022100135680038E-2</v>
      </c>
    </row>
    <row r="2201" spans="1:17" s="212" customFormat="1" ht="15.5" x14ac:dyDescent="0.35">
      <c r="A2201" s="198">
        <v>2049</v>
      </c>
      <c r="B2201" s="197" t="s">
        <v>5838</v>
      </c>
      <c r="C2201" s="197">
        <v>2017</v>
      </c>
      <c r="D2201" s="225" t="str">
        <f t="shared" si="22"/>
        <v>2049_2017</v>
      </c>
      <c r="E2201" s="1287">
        <v>7.0866258223305528E-2</v>
      </c>
      <c r="F2201" s="1306">
        <v>7.0692723088129706E-3</v>
      </c>
      <c r="G2201" s="1303">
        <v>0.49030844227026388</v>
      </c>
      <c r="H2201" s="1306">
        <v>3.4918026019933379E-2</v>
      </c>
      <c r="I2201" s="1303">
        <v>1.9656389923877041E-2</v>
      </c>
      <c r="J2201" s="1306">
        <v>1.804438090872715E-3</v>
      </c>
      <c r="K2201" s="1303">
        <v>2.8969504984671193E-3</v>
      </c>
      <c r="L2201" s="1288">
        <v>2.0000013828437783E-3</v>
      </c>
      <c r="M2201" s="1280">
        <v>2.0000013828437783E-3</v>
      </c>
      <c r="N2201" s="1303">
        <v>2.4875090208040251E-2</v>
      </c>
      <c r="O2201" s="1288">
        <v>7.3670197648288086E-3</v>
      </c>
      <c r="P2201" s="1293">
        <v>3.6835098824144043E-3</v>
      </c>
      <c r="Q2201" s="1290">
        <v>2.0545164652296301E-2</v>
      </c>
    </row>
    <row r="2202" spans="1:17" s="212" customFormat="1" ht="15.5" x14ac:dyDescent="0.35">
      <c r="A2202" s="198">
        <v>2049</v>
      </c>
      <c r="B2202" s="197" t="s">
        <v>5838</v>
      </c>
      <c r="C2202" s="197">
        <v>2018</v>
      </c>
      <c r="D2202" s="225" t="str">
        <f t="shared" si="22"/>
        <v>2049_2018</v>
      </c>
      <c r="E2202" s="1287">
        <v>6.7844057535679278E-2</v>
      </c>
      <c r="F2202" s="1306">
        <v>6.9587624131768186E-3</v>
      </c>
      <c r="G2202" s="1303">
        <v>0.38494513389353974</v>
      </c>
      <c r="H2202" s="1306">
        <v>3.4576356478756821E-2</v>
      </c>
      <c r="I2202" s="1303">
        <v>1.8883005559751417E-2</v>
      </c>
      <c r="J2202" s="1306">
        <v>1.9059198290655131E-3</v>
      </c>
      <c r="K2202" s="1303">
        <v>2.8437173109683756E-3</v>
      </c>
      <c r="L2202" s="1288">
        <v>2.0000013739509418E-3</v>
      </c>
      <c r="M2202" s="1280">
        <v>2.0000013739509418E-3</v>
      </c>
      <c r="N2202" s="1303">
        <v>2.3618736640251738E-2</v>
      </c>
      <c r="O2202" s="1288">
        <v>6.7418867423052866E-3</v>
      </c>
      <c r="P2202" s="1293">
        <v>3.3709433711526433E-3</v>
      </c>
      <c r="Q2202" s="1290">
        <v>1.9736811279067196E-2</v>
      </c>
    </row>
    <row r="2203" spans="1:17" s="212" customFormat="1" ht="15.5" x14ac:dyDescent="0.35">
      <c r="A2203" s="198">
        <v>2049</v>
      </c>
      <c r="B2203" s="197" t="s">
        <v>5838</v>
      </c>
      <c r="C2203" s="197">
        <v>2019</v>
      </c>
      <c r="D2203" s="225" t="str">
        <f t="shared" si="22"/>
        <v>2049_2019</v>
      </c>
      <c r="E2203" s="1287">
        <v>7.4248525315986483E-2</v>
      </c>
      <c r="F2203" s="1306">
        <v>6.8458518118576558E-3</v>
      </c>
      <c r="G2203" s="1303">
        <v>0.37409001410761838</v>
      </c>
      <c r="H2203" s="1306">
        <v>3.3958215911661246E-2</v>
      </c>
      <c r="I2203" s="1303">
        <v>2.0529209236593585E-2</v>
      </c>
      <c r="J2203" s="1306">
        <v>1.8105912417715764E-3</v>
      </c>
      <c r="K2203" s="1303">
        <v>2.9575285272553592E-3</v>
      </c>
      <c r="L2203" s="1288">
        <v>2.0000013174364538E-3</v>
      </c>
      <c r="M2203" s="1280">
        <v>2.0000013174364538E-3</v>
      </c>
      <c r="N2203" s="1303">
        <v>2.6300799559948115E-2</v>
      </c>
      <c r="O2203" s="1288">
        <v>6.8371014513706613E-3</v>
      </c>
      <c r="P2203" s="1293">
        <v>3.4185507256853306E-3</v>
      </c>
      <c r="Q2203" s="1290">
        <v>2.1457448981255615E-2</v>
      </c>
    </row>
    <row r="2204" spans="1:17" s="212" customFormat="1" ht="15.5" x14ac:dyDescent="0.35">
      <c r="A2204" s="198">
        <v>2049</v>
      </c>
      <c r="B2204" s="197" t="s">
        <v>5838</v>
      </c>
      <c r="C2204" s="197">
        <v>2020</v>
      </c>
      <c r="D2204" s="225" t="str">
        <f t="shared" si="22"/>
        <v>2049_2020</v>
      </c>
      <c r="E2204" s="1287">
        <v>6.5040691681332266E-2</v>
      </c>
      <c r="F2204" s="1306">
        <v>6.7279093129548407E-3</v>
      </c>
      <c r="G2204" s="1303">
        <v>0.29318370291405921</v>
      </c>
      <c r="H2204" s="1306">
        <v>3.3059095524826179E-2</v>
      </c>
      <c r="I2204" s="1303">
        <v>1.8676029710234618E-2</v>
      </c>
      <c r="J2204" s="1306">
        <v>1.3483623883546395E-3</v>
      </c>
      <c r="K2204" s="1303">
        <v>2.9396514942609257E-3</v>
      </c>
      <c r="L2204" s="1288">
        <v>2.0000013950815603E-3</v>
      </c>
      <c r="M2204" s="1280">
        <v>2.0000013950815603E-3</v>
      </c>
      <c r="N2204" s="1303">
        <v>2.5885431168491516E-2</v>
      </c>
      <c r="O2204" s="1288">
        <v>7.0100042970315012E-3</v>
      </c>
      <c r="P2204" s="1293">
        <v>3.5050021485157506E-3</v>
      </c>
      <c r="Q2204" s="1290">
        <v>1.9520476900076952E-2</v>
      </c>
    </row>
    <row r="2205" spans="1:17" s="212" customFormat="1" ht="15.5" x14ac:dyDescent="0.35">
      <c r="A2205" s="198">
        <v>2049</v>
      </c>
      <c r="B2205" s="197" t="s">
        <v>5838</v>
      </c>
      <c r="C2205" s="197">
        <v>2021</v>
      </c>
      <c r="D2205" s="225" t="str">
        <f t="shared" si="22"/>
        <v>2049_2021</v>
      </c>
      <c r="E2205" s="1287">
        <v>6.4327015685317679E-2</v>
      </c>
      <c r="F2205" s="1306">
        <v>6.5508377821341876E-3</v>
      </c>
      <c r="G2205" s="1303">
        <v>0.23928807051086448</v>
      </c>
      <c r="H2205" s="1306">
        <v>3.2304678340011855E-2</v>
      </c>
      <c r="I2205" s="1303">
        <v>1.8333033243146474E-2</v>
      </c>
      <c r="J2205" s="1306">
        <v>8.9345476320051831E-4</v>
      </c>
      <c r="K2205" s="1303">
        <v>2.9371342167354548E-3</v>
      </c>
      <c r="L2205" s="1288">
        <v>2.0000014016859245E-3</v>
      </c>
      <c r="M2205" s="1280">
        <v>2.0000014016859245E-3</v>
      </c>
      <c r="N2205" s="1303">
        <v>2.5826353598795936E-2</v>
      </c>
      <c r="O2205" s="1288">
        <v>7.0125737782871147E-3</v>
      </c>
      <c r="P2205" s="1293">
        <v>3.5062868891435573E-3</v>
      </c>
      <c r="Q2205" s="1290">
        <v>1.9161971654771421E-2</v>
      </c>
    </row>
    <row r="2206" spans="1:17" s="212" customFormat="1" ht="15.5" x14ac:dyDescent="0.35">
      <c r="A2206" s="198">
        <v>2049</v>
      </c>
      <c r="B2206" s="197" t="s">
        <v>5838</v>
      </c>
      <c r="C2206" s="197">
        <v>2022</v>
      </c>
      <c r="D2206" s="225" t="str">
        <f t="shared" si="22"/>
        <v>2049_2022</v>
      </c>
      <c r="E2206" s="1287">
        <v>6.4059294942754127E-2</v>
      </c>
      <c r="F2206" s="1306">
        <v>6.4230356865315232E-3</v>
      </c>
      <c r="G2206" s="1303">
        <v>0.18483770816183784</v>
      </c>
      <c r="H2206" s="1306">
        <v>3.1552282574990619E-2</v>
      </c>
      <c r="I2206" s="1303">
        <v>1.8248767078711595E-2</v>
      </c>
      <c r="J2206" s="1306">
        <v>8.9400978850305839E-4</v>
      </c>
      <c r="K2206" s="1303">
        <v>2.9322768804895595E-3</v>
      </c>
      <c r="L2206" s="1288">
        <v>2.0000014159065505E-3</v>
      </c>
      <c r="M2206" s="1280">
        <v>2.0000014159065505E-3</v>
      </c>
      <c r="N2206" s="1303">
        <v>2.5712513253678886E-2</v>
      </c>
      <c r="O2206" s="1288">
        <v>7.0591620137831507E-3</v>
      </c>
      <c r="P2206" s="1293">
        <v>3.5295810068915754E-3</v>
      </c>
      <c r="Q2206" s="1290">
        <v>1.9073895348306353E-2</v>
      </c>
    </row>
    <row r="2207" spans="1:17" s="212" customFormat="1" ht="15.5" x14ac:dyDescent="0.35">
      <c r="A2207" s="198">
        <v>2049</v>
      </c>
      <c r="B2207" s="197" t="s">
        <v>5838</v>
      </c>
      <c r="C2207" s="197">
        <v>2023</v>
      </c>
      <c r="D2207" s="225" t="str">
        <f t="shared" si="22"/>
        <v>2049_2023</v>
      </c>
      <c r="E2207" s="1287">
        <v>6.4058163494293593E-2</v>
      </c>
      <c r="F2207" s="1306">
        <v>6.1783181375149156E-3</v>
      </c>
      <c r="G2207" s="1303">
        <v>0.1847938045586088</v>
      </c>
      <c r="H2207" s="1306">
        <v>3.0905791551581772E-2</v>
      </c>
      <c r="I2207" s="1303">
        <v>1.8245735899012551E-2</v>
      </c>
      <c r="J2207" s="1306">
        <v>8.939014984036196E-4</v>
      </c>
      <c r="K2207" s="1303">
        <v>2.9318247200310816E-3</v>
      </c>
      <c r="L2207" s="1288">
        <v>2.0000014219849812E-3</v>
      </c>
      <c r="M2207" s="1280">
        <v>2.0000014219849812E-3</v>
      </c>
      <c r="N2207" s="1303">
        <v>2.5701747312622321E-2</v>
      </c>
      <c r="O2207" s="1288">
        <v>7.078635325773389E-3</v>
      </c>
      <c r="P2207" s="1293">
        <v>3.5393176628866945E-3</v>
      </c>
      <c r="Q2207" s="1290">
        <v>1.9070727112111947E-2</v>
      </c>
    </row>
    <row r="2208" spans="1:17" s="212" customFormat="1" ht="15.5" x14ac:dyDescent="0.35">
      <c r="A2208" s="198">
        <v>2049</v>
      </c>
      <c r="B2208" s="197" t="s">
        <v>5838</v>
      </c>
      <c r="C2208" s="197">
        <v>2024</v>
      </c>
      <c r="D2208" s="225" t="str">
        <f t="shared" si="22"/>
        <v>2049_2024</v>
      </c>
      <c r="E2208" s="1287">
        <v>6.3702015998549799E-2</v>
      </c>
      <c r="F2208" s="1306">
        <v>5.6799075342601696E-3</v>
      </c>
      <c r="G2208" s="1303">
        <v>0.18367220161147613</v>
      </c>
      <c r="H2208" s="1306">
        <v>3.0012058343274188E-2</v>
      </c>
      <c r="I2208" s="1303">
        <v>1.8135100400340394E-2</v>
      </c>
      <c r="J2208" s="1306">
        <v>8.9155061198181067E-4</v>
      </c>
      <c r="K2208" s="1303">
        <v>2.9255756470458606E-3</v>
      </c>
      <c r="L2208" s="1288">
        <v>2.0000014387434621E-3</v>
      </c>
      <c r="M2208" s="1306">
        <v>2.0000005733955529E-3</v>
      </c>
      <c r="N2208" s="1303">
        <v>2.5555058637427824E-2</v>
      </c>
      <c r="O2208" s="1288">
        <v>6.8791475029648238E-3</v>
      </c>
      <c r="P2208" s="1294">
        <v>4.2039745320460349E-3</v>
      </c>
      <c r="Q2208" s="1290">
        <v>1.8955089167127553E-2</v>
      </c>
    </row>
    <row r="2209" spans="1:17" s="212" customFormat="1" ht="15.5" x14ac:dyDescent="0.35">
      <c r="A2209" s="198">
        <v>2049</v>
      </c>
      <c r="B2209" s="197" t="s">
        <v>5838</v>
      </c>
      <c r="C2209" s="197">
        <v>2025</v>
      </c>
      <c r="D2209" s="225" t="str">
        <f t="shared" si="22"/>
        <v>2049_2025</v>
      </c>
      <c r="E2209" s="1287">
        <v>6.3457472088416511E-2</v>
      </c>
      <c r="F2209" s="1306">
        <v>5.2471035971159603E-3</v>
      </c>
      <c r="G2209" s="1303">
        <v>0.1828946403157054</v>
      </c>
      <c r="H2209" s="1306">
        <v>2.9272883684581516E-2</v>
      </c>
      <c r="I2209" s="1303">
        <v>1.8058725449909472E-2</v>
      </c>
      <c r="J2209" s="1306">
        <v>8.8985802557052746E-4</v>
      </c>
      <c r="K2209" s="1303">
        <v>2.9212052972130559E-3</v>
      </c>
      <c r="L2209" s="1288">
        <v>2.0000014509700976E-3</v>
      </c>
      <c r="M2209" s="1306">
        <v>2.0000005734315566E-3</v>
      </c>
      <c r="N2209" s="1303">
        <v>2.5452185649138315E-2</v>
      </c>
      <c r="O2209" s="1288">
        <v>6.7544607810507149E-3</v>
      </c>
      <c r="P2209" s="1294">
        <v>4.6893658217833766E-3</v>
      </c>
      <c r="Q2209" s="1290">
        <v>1.8875260880346984E-2</v>
      </c>
    </row>
    <row r="2210" spans="1:17" s="212" customFormat="1" ht="15.5" x14ac:dyDescent="0.35">
      <c r="A2210" s="198">
        <v>2049</v>
      </c>
      <c r="B2210" s="197" t="s">
        <v>5838</v>
      </c>
      <c r="C2210" s="197">
        <v>2026</v>
      </c>
      <c r="D2210" s="225" t="str">
        <f t="shared" si="22"/>
        <v>2049_2026</v>
      </c>
      <c r="E2210" s="1287">
        <v>6.305616493205711E-2</v>
      </c>
      <c r="F2210" s="1306">
        <v>5.310878855053382E-3</v>
      </c>
      <c r="G2210" s="1303">
        <v>0.18154279377695573</v>
      </c>
      <c r="H2210" s="1306">
        <v>2.9368822003485878E-2</v>
      </c>
      <c r="I2210" s="1303">
        <v>1.7911739769529957E-2</v>
      </c>
      <c r="J2210" s="1306">
        <v>7.7674157054536828E-4</v>
      </c>
      <c r="K2210" s="1303">
        <v>2.9151155734586376E-3</v>
      </c>
      <c r="L2210" s="1288">
        <v>2.0000014708366162E-3</v>
      </c>
      <c r="M2210" s="1306">
        <v>2.0000005735003085E-3</v>
      </c>
      <c r="N2210" s="1303">
        <v>2.530864256623469E-2</v>
      </c>
      <c r="O2210" s="1288">
        <v>6.5884583151235533E-3</v>
      </c>
      <c r="P2210" s="1294">
        <v>5.6115089095398855E-3</v>
      </c>
      <c r="Q2210" s="1290">
        <v>1.8721629159740072E-2</v>
      </c>
    </row>
    <row r="2211" spans="1:17" s="212" customFormat="1" ht="15.5" x14ac:dyDescent="0.35">
      <c r="A2211" s="198">
        <v>2049</v>
      </c>
      <c r="B2211" s="197" t="s">
        <v>5838</v>
      </c>
      <c r="C2211" s="197">
        <v>2027</v>
      </c>
      <c r="D2211" s="225" t="str">
        <f t="shared" si="22"/>
        <v>2049_2027</v>
      </c>
      <c r="E2211" s="1287">
        <v>6.2421806933764076E-2</v>
      </c>
      <c r="F2211" s="1306">
        <v>5.4069304884702329E-3</v>
      </c>
      <c r="G2211" s="1303">
        <v>0.17936463355370169</v>
      </c>
      <c r="H2211" s="1306">
        <v>2.9461495653968835E-2</v>
      </c>
      <c r="I2211" s="1303">
        <v>1.7666545853538048E-2</v>
      </c>
      <c r="J2211" s="1306">
        <v>6.4309911437260715E-4</v>
      </c>
      <c r="K2211" s="1303">
        <v>2.9062012142967563E-3</v>
      </c>
      <c r="L2211" s="1288">
        <v>2.0000014929735231E-3</v>
      </c>
      <c r="M2211" s="1306">
        <v>2.0000005735659331E-3</v>
      </c>
      <c r="N2211" s="1303">
        <v>2.5098425647034822E-2</v>
      </c>
      <c r="O2211" s="1288">
        <v>6.4034701034545154E-3</v>
      </c>
      <c r="P2211" s="1294">
        <v>6.4895711884642585E-3</v>
      </c>
      <c r="Q2211" s="1290">
        <v>1.8465348662898871E-2</v>
      </c>
    </row>
    <row r="2212" spans="1:17" s="212" customFormat="1" ht="15.5" x14ac:dyDescent="0.35">
      <c r="A2212" s="198">
        <v>2049</v>
      </c>
      <c r="B2212" s="197" t="s">
        <v>5838</v>
      </c>
      <c r="C2212" s="197">
        <v>2028</v>
      </c>
      <c r="D2212" s="225" t="str">
        <f t="shared" si="22"/>
        <v>2049_2028</v>
      </c>
      <c r="E2212" s="1287">
        <v>6.1672382475198004E-2</v>
      </c>
      <c r="F2212" s="1306">
        <v>5.432352728832867E-3</v>
      </c>
      <c r="G2212" s="1303">
        <v>0.1767259520928556</v>
      </c>
      <c r="H2212" s="1306">
        <v>2.9441716519139894E-2</v>
      </c>
      <c r="I2212" s="1303">
        <v>1.7360167383859839E-2</v>
      </c>
      <c r="J2212" s="1306">
        <v>5.2624775003525198E-4</v>
      </c>
      <c r="K2212" s="1303">
        <v>2.8963877573230817E-3</v>
      </c>
      <c r="L2212" s="1288">
        <v>2.0000015126602913E-3</v>
      </c>
      <c r="M2212" s="1306">
        <v>2.0000005736109084E-3</v>
      </c>
      <c r="N2212" s="1303">
        <v>2.4866505289843726E-2</v>
      </c>
      <c r="O2212" s="1288">
        <v>6.2177862638068916E-3</v>
      </c>
      <c r="P2212" s="1294">
        <v>7.0867854734025324E-3</v>
      </c>
      <c r="Q2212" s="1290">
        <v>1.8145117118356143E-2</v>
      </c>
    </row>
    <row r="2213" spans="1:17" s="212" customFormat="1" ht="15.5" x14ac:dyDescent="0.35">
      <c r="A2213" s="198">
        <v>2049</v>
      </c>
      <c r="B2213" s="197" t="s">
        <v>5838</v>
      </c>
      <c r="C2213" s="197">
        <v>2029</v>
      </c>
      <c r="D2213" s="225" t="str">
        <f t="shared" si="22"/>
        <v>2049_2029</v>
      </c>
      <c r="E2213" s="1287">
        <v>6.0836536264659423E-2</v>
      </c>
      <c r="F2213" s="1306">
        <v>5.4457094511830596E-3</v>
      </c>
      <c r="G2213" s="1303">
        <v>0.17371947788121683</v>
      </c>
      <c r="H2213" s="1306">
        <v>2.9352590256584214E-2</v>
      </c>
      <c r="I2213" s="1303">
        <v>1.7002408531019794E-2</v>
      </c>
      <c r="J2213" s="1306">
        <v>5.2186628196328514E-4</v>
      </c>
      <c r="K2213" s="1303">
        <v>2.8861216149432397E-3</v>
      </c>
      <c r="L2213" s="1288">
        <v>2.0000015313869431E-3</v>
      </c>
      <c r="M2213" s="1306">
        <v>2.0000005736457781E-3</v>
      </c>
      <c r="N2213" s="1303">
        <v>2.4623243911932581E-2</v>
      </c>
      <c r="O2213" s="1288">
        <v>6.0460505546440909E-3</v>
      </c>
      <c r="P2213" s="1294">
        <v>7.5433694293880965E-3</v>
      </c>
      <c r="Q2213" s="1290">
        <v>1.7771181997722086E-2</v>
      </c>
    </row>
    <row r="2214" spans="1:17" s="212" customFormat="1" ht="15.5" x14ac:dyDescent="0.35">
      <c r="A2214" s="198">
        <v>2049</v>
      </c>
      <c r="B2214" s="197" t="s">
        <v>5838</v>
      </c>
      <c r="C2214" s="197">
        <v>2030</v>
      </c>
      <c r="D2214" s="225" t="str">
        <f t="shared" si="22"/>
        <v>2049_2030</v>
      </c>
      <c r="E2214" s="1287">
        <v>5.9856767996106931E-2</v>
      </c>
      <c r="F2214" s="1306">
        <v>5.4670753607510151E-3</v>
      </c>
      <c r="G2214" s="1303">
        <v>0.17017785204160135</v>
      </c>
      <c r="H2214" s="1306">
        <v>2.9230722927772488E-2</v>
      </c>
      <c r="I2214" s="1303">
        <v>1.6577457041198066E-2</v>
      </c>
      <c r="J2214" s="1306">
        <v>5.1717062451436975E-4</v>
      </c>
      <c r="K2214" s="1303">
        <v>2.8744175324806995E-3</v>
      </c>
      <c r="L2214" s="1288">
        <v>2.0000015498666647E-3</v>
      </c>
      <c r="M2214" s="1306">
        <v>2.0000005736688811E-3</v>
      </c>
      <c r="N2214" s="1303">
        <v>2.4345339962366097E-2</v>
      </c>
      <c r="O2214" s="1288">
        <v>5.8588952372928358E-3</v>
      </c>
      <c r="P2214" s="1294">
        <v>7.8391906285694181E-3</v>
      </c>
      <c r="Q2214" s="1290">
        <v>1.7327016087224919E-2</v>
      </c>
    </row>
    <row r="2215" spans="1:17" s="212" customFormat="1" ht="15.5" x14ac:dyDescent="0.35">
      <c r="A2215" s="198">
        <v>2049</v>
      </c>
      <c r="B2215" s="197" t="s">
        <v>5838</v>
      </c>
      <c r="C2215" s="197">
        <v>2031</v>
      </c>
      <c r="D2215" s="225" t="str">
        <f t="shared" si="22"/>
        <v>2049_2031</v>
      </c>
      <c r="E2215" s="1287">
        <v>5.8765845315857913E-2</v>
      </c>
      <c r="F2215" s="1306">
        <v>5.4269814617683666E-3</v>
      </c>
      <c r="G2215" s="1303">
        <v>0.16620695972624783</v>
      </c>
      <c r="H2215" s="1306">
        <v>2.8999139936476594E-2</v>
      </c>
      <c r="I2215" s="1303">
        <v>1.6096693791121247E-2</v>
      </c>
      <c r="J2215" s="1306">
        <v>5.1262421858682067E-4</v>
      </c>
      <c r="K2215" s="1303">
        <v>2.8617654883600465E-3</v>
      </c>
      <c r="L2215" s="1288">
        <v>2.0000015712125776E-3</v>
      </c>
      <c r="M2215" s="1306">
        <v>2.0000005736987999E-3</v>
      </c>
      <c r="N2215" s="1303">
        <v>2.4044201385289038E-2</v>
      </c>
      <c r="O2215" s="1288">
        <v>5.6712279383108969E-3</v>
      </c>
      <c r="P2215" s="1294">
        <v>8.2279431448463846E-3</v>
      </c>
      <c r="Q2215" s="1290">
        <v>1.6824514856334998E-2</v>
      </c>
    </row>
    <row r="2216" spans="1:17" s="212" customFormat="1" ht="15.5" x14ac:dyDescent="0.35">
      <c r="A2216" s="198">
        <v>2049</v>
      </c>
      <c r="B2216" s="197" t="s">
        <v>5838</v>
      </c>
      <c r="C2216" s="197">
        <v>2032</v>
      </c>
      <c r="D2216" s="225" t="str">
        <f t="shared" si="22"/>
        <v>2049_2032</v>
      </c>
      <c r="E2216" s="1287">
        <v>5.7356139723498609E-2</v>
      </c>
      <c r="F2216" s="1306">
        <v>5.3794469906353537E-3</v>
      </c>
      <c r="G2216" s="1303">
        <v>0.16120161904564723</v>
      </c>
      <c r="H2216" s="1306">
        <v>2.8722619161329878E-2</v>
      </c>
      <c r="I2216" s="1303">
        <v>1.5502320835270502E-2</v>
      </c>
      <c r="J2216" s="1306">
        <v>5.0763553560509932E-4</v>
      </c>
      <c r="K2216" s="1303">
        <v>2.8446645971454678E-3</v>
      </c>
      <c r="L2216" s="1288">
        <v>2.0000015951467556E-3</v>
      </c>
      <c r="M2216" s="1306">
        <v>2.0000005737202944E-3</v>
      </c>
      <c r="N2216" s="1303">
        <v>2.3637034163287867E-2</v>
      </c>
      <c r="O2216" s="1288">
        <v>5.4624772699927819E-3</v>
      </c>
      <c r="P2216" s="1294">
        <v>8.5049619340164563E-3</v>
      </c>
      <c r="Q2216" s="1290">
        <v>1.6203266992911584E-2</v>
      </c>
    </row>
    <row r="2217" spans="1:17" s="212" customFormat="1" ht="15.5" x14ac:dyDescent="0.35">
      <c r="A2217" s="198">
        <v>2049</v>
      </c>
      <c r="B2217" s="197" t="s">
        <v>5838</v>
      </c>
      <c r="C2217" s="197">
        <v>2033</v>
      </c>
      <c r="D2217" s="225" t="str">
        <f t="shared" si="22"/>
        <v>2049_2033</v>
      </c>
      <c r="E2217" s="1287">
        <v>5.5848986962402924E-2</v>
      </c>
      <c r="F2217" s="1306">
        <v>5.3189512561840303E-3</v>
      </c>
      <c r="G2217" s="1303">
        <v>0.15583770022585047</v>
      </c>
      <c r="H2217" s="1306">
        <v>2.8379932139296037E-2</v>
      </c>
      <c r="I2217" s="1303">
        <v>1.4862147457802788E-2</v>
      </c>
      <c r="J2217" s="1306">
        <v>5.0296107173713545E-4</v>
      </c>
      <c r="K2217" s="1303">
        <v>2.8267242029890662E-3</v>
      </c>
      <c r="L2217" s="1288">
        <v>2.0000016151103489E-3</v>
      </c>
      <c r="M2217" s="1306">
        <v>2.0000005737399944E-3</v>
      </c>
      <c r="N2217" s="1303">
        <v>2.3208378513962267E-2</v>
      </c>
      <c r="O2217" s="1288">
        <v>5.2628084603612143E-3</v>
      </c>
      <c r="P2217" s="1294">
        <v>8.757104590977817E-3</v>
      </c>
      <c r="Q2217" s="1290">
        <v>1.5534147816041989E-2</v>
      </c>
    </row>
    <row r="2218" spans="1:17" s="212" customFormat="1" ht="15.5" x14ac:dyDescent="0.35">
      <c r="A2218" s="198">
        <v>2049</v>
      </c>
      <c r="B2218" s="197" t="s">
        <v>5838</v>
      </c>
      <c r="C2218" s="197">
        <v>2034</v>
      </c>
      <c r="D2218" s="225" t="str">
        <f t="shared" si="22"/>
        <v>2049_2034</v>
      </c>
      <c r="E2218" s="1287">
        <v>5.4165415066391075E-2</v>
      </c>
      <c r="F2218" s="1306">
        <v>5.2464818681412177E-3</v>
      </c>
      <c r="G2218" s="1303">
        <v>0.14989544506908917</v>
      </c>
      <c r="H2218" s="1306">
        <v>2.7970238727515809E-2</v>
      </c>
      <c r="I2218" s="1303">
        <v>1.4156633260616884E-2</v>
      </c>
      <c r="J2218" s="1306">
        <v>4.9874321480661895E-4</v>
      </c>
      <c r="K2218" s="1303">
        <v>2.8065315218461502E-3</v>
      </c>
      <c r="L2218" s="1288">
        <v>2.0000016354487313E-3</v>
      </c>
      <c r="M2218" s="1306">
        <v>2.0000005737590191E-3</v>
      </c>
      <c r="N2218" s="1303">
        <v>2.2724662337840863E-2</v>
      </c>
      <c r="O2218" s="1288">
        <v>5.0749169258379372E-3</v>
      </c>
      <c r="P2218" s="1294">
        <v>8.9885812086444774E-3</v>
      </c>
      <c r="Q2218" s="1290">
        <v>1.4796733397532322E-2</v>
      </c>
    </row>
    <row r="2219" spans="1:17" s="212" customFormat="1" ht="15.5" x14ac:dyDescent="0.35">
      <c r="A2219" s="198">
        <v>2049</v>
      </c>
      <c r="B2219" s="197" t="s">
        <v>5838</v>
      </c>
      <c r="C2219" s="197">
        <v>2035</v>
      </c>
      <c r="D2219" s="225" t="str">
        <f t="shared" si="22"/>
        <v>2049_2035</v>
      </c>
      <c r="E2219" s="1287">
        <v>5.2353617507502781E-2</v>
      </c>
      <c r="F2219" s="1306">
        <v>5.1643017218034742E-3</v>
      </c>
      <c r="G2219" s="1303">
        <v>0.1435342074685409</v>
      </c>
      <c r="H2219" s="1306">
        <v>2.7506170947866917E-2</v>
      </c>
      <c r="I2219" s="1303">
        <v>1.3403131062358301E-2</v>
      </c>
      <c r="J2219" s="1306">
        <v>4.9454548871747587E-4</v>
      </c>
      <c r="K2219" s="1303">
        <v>2.7848065027105936E-3</v>
      </c>
      <c r="L2219" s="1288">
        <v>2.0000016568384716E-3</v>
      </c>
      <c r="M2219" s="1306">
        <v>2.0000005737755974E-3</v>
      </c>
      <c r="N2219" s="1303">
        <v>2.2202517660506359E-2</v>
      </c>
      <c r="O2219" s="1288">
        <v>4.8825891701728035E-3</v>
      </c>
      <c r="P2219" s="1294">
        <v>9.1967139967707133E-3</v>
      </c>
      <c r="Q2219" s="1290">
        <v>1.400916117348487E-2</v>
      </c>
    </row>
    <row r="2220" spans="1:17" s="212" customFormat="1" ht="15.5" x14ac:dyDescent="0.35">
      <c r="A2220" s="198">
        <v>2049</v>
      </c>
      <c r="B2220" s="197" t="s">
        <v>5838</v>
      </c>
      <c r="C2220" s="197">
        <v>2036</v>
      </c>
      <c r="D2220" s="225" t="str">
        <f t="shared" si="22"/>
        <v>2049_2036</v>
      </c>
      <c r="E2220" s="1287">
        <v>5.1448770709278738E-2</v>
      </c>
      <c r="F2220" s="1306">
        <v>5.0537394010416225E-3</v>
      </c>
      <c r="G2220" s="1303">
        <v>0.13972895164412361</v>
      </c>
      <c r="H2220" s="1306">
        <v>2.6891461341421955E-2</v>
      </c>
      <c r="I2220" s="1303">
        <v>1.2880237487379756E-2</v>
      </c>
      <c r="J2220" s="1306">
        <v>4.9415184261361524E-4</v>
      </c>
      <c r="K2220" s="1303">
        <v>2.7792716165579161E-3</v>
      </c>
      <c r="L2220" s="1288">
        <v>2.0000016713870674E-3</v>
      </c>
      <c r="M2220" s="1306">
        <v>2.0000005737721978E-3</v>
      </c>
      <c r="N2220" s="1303">
        <v>2.2062077212137127E-2</v>
      </c>
      <c r="O2220" s="1288">
        <v>4.8280492103701528E-3</v>
      </c>
      <c r="P2220" s="1294">
        <v>9.1385807869261999E-3</v>
      </c>
      <c r="Q2220" s="1290">
        <v>1.3462624671351666E-2</v>
      </c>
    </row>
    <row r="2221" spans="1:17" s="212" customFormat="1" ht="15.5" x14ac:dyDescent="0.35">
      <c r="A2221" s="198">
        <v>2049</v>
      </c>
      <c r="B2221" s="197" t="s">
        <v>5838</v>
      </c>
      <c r="C2221" s="197">
        <v>2037</v>
      </c>
      <c r="D2221" s="225" t="str">
        <f t="shared" si="22"/>
        <v>2049_2037</v>
      </c>
      <c r="E2221" s="1287">
        <v>5.0599661502038935E-2</v>
      </c>
      <c r="F2221" s="1306">
        <v>4.9336123666332849E-3</v>
      </c>
      <c r="G2221" s="1303">
        <v>0.13599141843791562</v>
      </c>
      <c r="H2221" s="1306">
        <v>2.622462602429098E-2</v>
      </c>
      <c r="I2221" s="1303">
        <v>1.2349929379937705E-2</v>
      </c>
      <c r="J2221" s="1306">
        <v>4.9380486645973353E-4</v>
      </c>
      <c r="K2221" s="1303">
        <v>2.7755703681465655E-3</v>
      </c>
      <c r="L2221" s="1288">
        <v>2.0000016846087104E-3</v>
      </c>
      <c r="M2221" s="1306">
        <v>2.0000005737697709E-3</v>
      </c>
      <c r="N2221" s="1303">
        <v>2.1963948131109759E-2</v>
      </c>
      <c r="O2221" s="1288">
        <v>4.7718018576127317E-3</v>
      </c>
      <c r="P2221" s="1294">
        <v>9.0952931798871182E-3</v>
      </c>
      <c r="Q2221" s="1290">
        <v>1.2908338384498558E-2</v>
      </c>
    </row>
    <row r="2222" spans="1:17" s="212" customFormat="1" ht="15.5" x14ac:dyDescent="0.35">
      <c r="A2222" s="198">
        <v>2049</v>
      </c>
      <c r="B2222" s="197" t="s">
        <v>5838</v>
      </c>
      <c r="C2222" s="197">
        <v>2038</v>
      </c>
      <c r="D2222" s="225" t="str">
        <f t="shared" si="22"/>
        <v>2049_2038</v>
      </c>
      <c r="E2222" s="1287">
        <v>4.9659852865723712E-2</v>
      </c>
      <c r="F2222" s="1306">
        <v>4.8041235261842468E-3</v>
      </c>
      <c r="G2222" s="1303">
        <v>0.1319051711399736</v>
      </c>
      <c r="H2222" s="1306">
        <v>2.5504542253530986E-2</v>
      </c>
      <c r="I2222" s="1303">
        <v>1.1773640285509542E-2</v>
      </c>
      <c r="J2222" s="1306">
        <v>4.9350099377264676E-4</v>
      </c>
      <c r="K2222" s="1303">
        <v>2.7711795182172165E-3</v>
      </c>
      <c r="L2222" s="1288">
        <v>2.000001698411386E-3</v>
      </c>
      <c r="M2222" s="1306">
        <v>2.0000005737668674E-3</v>
      </c>
      <c r="N2222" s="1303">
        <v>2.1848229695126502E-2</v>
      </c>
      <c r="O2222" s="1288">
        <v>4.7131286489452218E-3</v>
      </c>
      <c r="P2222" s="1294">
        <v>9.0490245831441052E-3</v>
      </c>
      <c r="Q2222" s="1290">
        <v>1.230599205446526E-2</v>
      </c>
    </row>
    <row r="2223" spans="1:17" s="212" customFormat="1" ht="15.5" x14ac:dyDescent="0.35">
      <c r="A2223" s="198">
        <v>2049</v>
      </c>
      <c r="B2223" s="197" t="s">
        <v>5838</v>
      </c>
      <c r="C2223" s="197">
        <v>2039</v>
      </c>
      <c r="D2223" s="225" t="str">
        <f t="shared" si="22"/>
        <v>2049_2039</v>
      </c>
      <c r="E2223" s="1287">
        <v>4.8765096041489209E-2</v>
      </c>
      <c r="F2223" s="1306">
        <v>4.6655223479749632E-3</v>
      </c>
      <c r="G2223" s="1303">
        <v>0.12784794112728359</v>
      </c>
      <c r="H2223" s="1306">
        <v>2.4733261225605516E-2</v>
      </c>
      <c r="I2223" s="1303">
        <v>1.118542714083395E-2</v>
      </c>
      <c r="J2223" s="1306">
        <v>4.9307189280789867E-4</v>
      </c>
      <c r="K2223" s="1303">
        <v>2.7684695769106811E-3</v>
      </c>
      <c r="L2223" s="1288">
        <v>2.00000171208187E-3</v>
      </c>
      <c r="M2223" s="1306">
        <v>2.0000005737637132E-3</v>
      </c>
      <c r="N2223" s="1303">
        <v>2.1771379057278471E-2</v>
      </c>
      <c r="O2223" s="1288">
        <v>4.6460178404746999E-3</v>
      </c>
      <c r="P2223" s="1294">
        <v>9.0061584971479515E-3</v>
      </c>
      <c r="Q2223" s="1290">
        <v>1.169118252154468E-2</v>
      </c>
    </row>
    <row r="2224" spans="1:17" s="212" customFormat="1" ht="15.5" x14ac:dyDescent="0.35">
      <c r="A2224" s="198">
        <v>2049</v>
      </c>
      <c r="B2224" s="197" t="s">
        <v>5838</v>
      </c>
      <c r="C2224" s="197">
        <v>2040</v>
      </c>
      <c r="D2224" s="225" t="str">
        <f t="shared" ref="D2224:D2315" si="23">CONCATENATE(A2224,"_",C2224)</f>
        <v>2049_2040</v>
      </c>
      <c r="E2224" s="1287">
        <v>4.7744004720139101E-2</v>
      </c>
      <c r="F2224" s="1306">
        <v>4.5168779173344895E-3</v>
      </c>
      <c r="G2224" s="1303">
        <v>0.12334685187335385</v>
      </c>
      <c r="H2224" s="1306">
        <v>2.3902481779350008E-2</v>
      </c>
      <c r="I2224" s="1303">
        <v>1.054333407591965E-2</v>
      </c>
      <c r="J2224" s="1306">
        <v>4.9289763948643229E-4</v>
      </c>
      <c r="K2224" s="1303">
        <v>2.7644014867783655E-3</v>
      </c>
      <c r="L2224" s="1288">
        <v>2.0000017285149384E-3</v>
      </c>
      <c r="M2224" s="1306">
        <v>2.0000005737607009E-3</v>
      </c>
      <c r="N2224" s="1303">
        <v>2.1661099645714683E-2</v>
      </c>
      <c r="O2224" s="1288">
        <v>4.582513139220386E-3</v>
      </c>
      <c r="P2224" s="1294">
        <v>8.9637237961758508E-3</v>
      </c>
      <c r="Q2224" s="1290">
        <v>1.1020056857480705E-2</v>
      </c>
    </row>
    <row r="2225" spans="1:17" s="212" customFormat="1" ht="15.5" x14ac:dyDescent="0.35">
      <c r="A2225" s="198">
        <v>2049</v>
      </c>
      <c r="B2225" s="197" t="s">
        <v>5838</v>
      </c>
      <c r="C2225" s="197">
        <v>2041</v>
      </c>
      <c r="D2225" s="225" t="str">
        <f t="shared" si="23"/>
        <v>2049_2041</v>
      </c>
      <c r="E2225" s="1287">
        <v>4.6804328315509472E-2</v>
      </c>
      <c r="F2225" s="1306">
        <v>4.3558135001496917E-3</v>
      </c>
      <c r="G2225" s="1303">
        <v>0.11896674435619672</v>
      </c>
      <c r="H2225" s="1306">
        <v>2.300701787443396E-2</v>
      </c>
      <c r="I2225" s="1303">
        <v>9.8960582944771502E-3</v>
      </c>
      <c r="J2225" s="1306">
        <v>4.9287900086726806E-4</v>
      </c>
      <c r="K2225" s="1303">
        <v>2.7627433944511963E-3</v>
      </c>
      <c r="L2225" s="1288">
        <v>2.0000017382264968E-3</v>
      </c>
      <c r="M2225" s="1306">
        <v>2.0000005737605886E-3</v>
      </c>
      <c r="N2225" s="1303">
        <v>2.1607000729743715E-2</v>
      </c>
      <c r="O2225" s="1288">
        <v>4.5243912299867293E-3</v>
      </c>
      <c r="P2225" s="1294">
        <v>8.9517787785387895E-3</v>
      </c>
      <c r="Q2225" s="1290">
        <v>1.0343514137445114E-2</v>
      </c>
    </row>
    <row r="2226" spans="1:17" s="212" customFormat="1" ht="15.5" x14ac:dyDescent="0.35">
      <c r="A2226" s="198">
        <v>2049</v>
      </c>
      <c r="B2226" s="197" t="s">
        <v>5838</v>
      </c>
      <c r="C2226" s="197">
        <v>2042</v>
      </c>
      <c r="D2226" s="225" t="str">
        <f t="shared" si="23"/>
        <v>2049_2042</v>
      </c>
      <c r="E2226" s="1287">
        <v>4.5742128379725328E-2</v>
      </c>
      <c r="F2226" s="1306">
        <v>4.1853442475562946E-3</v>
      </c>
      <c r="G2226" s="1303">
        <v>0.1141579307066439</v>
      </c>
      <c r="H2226" s="1306">
        <v>2.2056378792615548E-2</v>
      </c>
      <c r="I2226" s="1303">
        <v>9.1967060946118746E-3</v>
      </c>
      <c r="J2226" s="1306">
        <v>4.9279350810914769E-4</v>
      </c>
      <c r="K2226" s="1303">
        <v>2.7597798295108632E-3</v>
      </c>
      <c r="L2226" s="1288">
        <v>2.0000017509452521E-3</v>
      </c>
      <c r="M2226" s="1306">
        <v>2.0000005737588538E-3</v>
      </c>
      <c r="N2226" s="1303">
        <v>2.1520599018249393E-2</v>
      </c>
      <c r="O2226" s="1288">
        <v>4.4589716632992688E-3</v>
      </c>
      <c r="P2226" s="1294">
        <v>8.9249357968866454E-3</v>
      </c>
      <c r="Q2226" s="1290">
        <v>9.6125403344313343E-3</v>
      </c>
    </row>
    <row r="2227" spans="1:17" s="212" customFormat="1" ht="15.5" x14ac:dyDescent="0.35">
      <c r="A2227" s="198">
        <v>2049</v>
      </c>
      <c r="B2227" s="197" t="s">
        <v>5838</v>
      </c>
      <c r="C2227" s="197">
        <v>2043</v>
      </c>
      <c r="D2227" s="225" t="str">
        <f t="shared" si="23"/>
        <v>2049_2043</v>
      </c>
      <c r="E2227" s="1287">
        <v>4.4664829437355336E-2</v>
      </c>
      <c r="F2227" s="1306">
        <v>4.0060954291907327E-3</v>
      </c>
      <c r="G2227" s="1303">
        <v>0.10920553175888406</v>
      </c>
      <c r="H2227" s="1306">
        <v>2.1053265549686968E-2</v>
      </c>
      <c r="I2227" s="1303">
        <v>8.4691188894445695E-3</v>
      </c>
      <c r="J2227" s="1306">
        <v>4.9268667601902276E-4</v>
      </c>
      <c r="K2227" s="1303">
        <v>2.7574759614798759E-3</v>
      </c>
      <c r="L2227" s="1288">
        <v>2.0000017666031962E-3</v>
      </c>
      <c r="M2227" s="1306">
        <v>2.0000005737564868E-3</v>
      </c>
      <c r="N2227" s="1303">
        <v>2.1448989499896633E-2</v>
      </c>
      <c r="O2227" s="1288">
        <v>4.3866298897140433E-3</v>
      </c>
      <c r="P2227" s="1294">
        <v>8.896102381328307E-3</v>
      </c>
      <c r="Q2227" s="1290">
        <v>8.8520548644668018E-3</v>
      </c>
    </row>
    <row r="2228" spans="1:17" s="212" customFormat="1" ht="15.5" x14ac:dyDescent="0.35">
      <c r="A2228" s="198">
        <v>2049</v>
      </c>
      <c r="B2228" s="197" t="s">
        <v>5838</v>
      </c>
      <c r="C2228" s="197">
        <v>2044</v>
      </c>
      <c r="D2228" s="225" t="str">
        <f t="shared" si="23"/>
        <v>2049_2044</v>
      </c>
      <c r="E2228" s="1287">
        <v>4.3473886569759354E-2</v>
      </c>
      <c r="F2228" s="1306">
        <v>3.8195632787033961E-3</v>
      </c>
      <c r="G2228" s="1303">
        <v>0.10386203970148838</v>
      </c>
      <c r="H2228" s="1306">
        <v>2.0007001627465739E-2</v>
      </c>
      <c r="I2228" s="1303">
        <v>7.6943636810343661E-3</v>
      </c>
      <c r="J2228" s="1306">
        <v>4.9243099603072369E-4</v>
      </c>
      <c r="K2228" s="1303">
        <v>2.7539591582260905E-3</v>
      </c>
      <c r="L2228" s="1288">
        <v>2.0000017866724585E-3</v>
      </c>
      <c r="M2228" s="1306">
        <v>2.000000573752732E-3</v>
      </c>
      <c r="N2228" s="1303">
        <v>2.1346996838337844E-2</v>
      </c>
      <c r="O2228" s="1288">
        <v>4.3023465552098957E-3</v>
      </c>
      <c r="P2228" s="1294">
        <v>8.8457229817625899E-3</v>
      </c>
      <c r="Q2228" s="1290">
        <v>8.0422686634575562E-3</v>
      </c>
    </row>
    <row r="2229" spans="1:17" s="212" customFormat="1" ht="15.5" x14ac:dyDescent="0.35">
      <c r="A2229" s="198">
        <v>2049</v>
      </c>
      <c r="B2229" s="197" t="s">
        <v>5838</v>
      </c>
      <c r="C2229" s="197">
        <v>2045</v>
      </c>
      <c r="D2229" s="225" t="str">
        <f t="shared" si="23"/>
        <v>2049_2045</v>
      </c>
      <c r="E2229" s="1287">
        <v>4.2376887177713304E-2</v>
      </c>
      <c r="F2229" s="1306">
        <v>3.6249134854574056E-3</v>
      </c>
      <c r="G2229" s="1303">
        <v>9.8638188057539308E-2</v>
      </c>
      <c r="H2229" s="1306">
        <v>1.8916044842938063E-2</v>
      </c>
      <c r="I2229" s="1303">
        <v>6.9098717381862757E-3</v>
      </c>
      <c r="J2229" s="1306">
        <v>4.9275578121873173E-4</v>
      </c>
      <c r="K2229" s="1303">
        <v>2.7532456843019485E-3</v>
      </c>
      <c r="L2229" s="1288">
        <v>2.0000018071952793E-3</v>
      </c>
      <c r="M2229" s="1306">
        <v>2.0000005737514709E-3</v>
      </c>
      <c r="N2229" s="1303">
        <v>2.1311638967296223E-2</v>
      </c>
      <c r="O2229" s="1288">
        <v>4.2361814222681253E-3</v>
      </c>
      <c r="P2229" s="1294">
        <v>8.8458073496521482E-3</v>
      </c>
      <c r="Q2229" s="1290">
        <v>7.2223054760853379E-3</v>
      </c>
    </row>
    <row r="2230" spans="1:17" s="212" customFormat="1" ht="15.5" x14ac:dyDescent="0.35">
      <c r="A2230" s="198">
        <v>2049</v>
      </c>
      <c r="B2230" s="197" t="s">
        <v>5838</v>
      </c>
      <c r="C2230" s="197">
        <v>2046</v>
      </c>
      <c r="D2230" s="225" t="str">
        <f t="shared" si="23"/>
        <v>2049_2046</v>
      </c>
      <c r="E2230" s="1287">
        <v>4.1259985743233314E-2</v>
      </c>
      <c r="F2230" s="1306">
        <v>3.4271996341329967E-3</v>
      </c>
      <c r="G2230" s="1303">
        <v>9.3238090563496537E-2</v>
      </c>
      <c r="H2230" s="1306">
        <v>1.7802091671370011E-2</v>
      </c>
      <c r="I2230" s="1303">
        <v>6.0918282546273232E-3</v>
      </c>
      <c r="J2230" s="1306">
        <v>4.9321469448472067E-4</v>
      </c>
      <c r="K2230" s="1303">
        <v>2.7532001232218814E-3</v>
      </c>
      <c r="L2230" s="1288">
        <v>2.0000018382604558E-3</v>
      </c>
      <c r="M2230" s="1306">
        <v>2.0000005737499105E-3</v>
      </c>
      <c r="N2230" s="1303">
        <v>2.1291819608191681E-2</v>
      </c>
      <c r="O2230" s="1288">
        <v>4.164427189425105E-3</v>
      </c>
      <c r="P2230" s="1294">
        <v>8.8448427061157131E-3</v>
      </c>
      <c r="Q2230" s="1290">
        <v>6.367273696214054E-3</v>
      </c>
    </row>
    <row r="2231" spans="1:17" s="212" customFormat="1" ht="15.5" x14ac:dyDescent="0.35">
      <c r="A2231" s="198">
        <v>2049</v>
      </c>
      <c r="B2231" s="197" t="s">
        <v>5838</v>
      </c>
      <c r="C2231" s="197">
        <v>2047</v>
      </c>
      <c r="D2231" s="225" t="str">
        <f t="shared" si="23"/>
        <v>2049_2047</v>
      </c>
      <c r="E2231" s="1287">
        <v>3.9990427092199514E-2</v>
      </c>
      <c r="F2231" s="1306">
        <v>3.2265869613532982E-3</v>
      </c>
      <c r="G2231" s="1303">
        <v>8.7359668344494434E-2</v>
      </c>
      <c r="H2231" s="1306">
        <v>1.6665506148407998E-2</v>
      </c>
      <c r="I2231" s="1303">
        <v>5.2213500925377592E-3</v>
      </c>
      <c r="J2231" s="1306">
        <v>4.9375049040334071E-4</v>
      </c>
      <c r="K2231" s="1303">
        <v>2.7511425757336169E-3</v>
      </c>
      <c r="L2231" s="1288">
        <v>2.0000018865156031E-3</v>
      </c>
      <c r="M2231" s="1306">
        <v>2.0000005737458E-3</v>
      </c>
      <c r="N2231" s="1303">
        <v>2.1222435310363472E-2</v>
      </c>
      <c r="O2231" s="1288">
        <v>4.0808447015334513E-3</v>
      </c>
      <c r="P2231" s="1294">
        <v>8.815880136703166E-3</v>
      </c>
      <c r="Q2231" s="1290">
        <v>5.4574363743244295E-3</v>
      </c>
    </row>
    <row r="2232" spans="1:17" s="212" customFormat="1" ht="15.5" x14ac:dyDescent="0.35">
      <c r="A2232" s="198">
        <v>2049</v>
      </c>
      <c r="B2232" s="197" t="s">
        <v>5838</v>
      </c>
      <c r="C2232" s="197">
        <v>2048</v>
      </c>
      <c r="D2232" s="225" t="str">
        <f t="shared" si="23"/>
        <v>2049_2048</v>
      </c>
      <c r="E2232" s="1287">
        <v>3.8710878836769422E-2</v>
      </c>
      <c r="F2232" s="1306">
        <v>3.0122833386749112E-3</v>
      </c>
      <c r="G2232" s="1303">
        <v>8.1336208397432441E-2</v>
      </c>
      <c r="H2232" s="1306">
        <v>1.5470346670396807E-2</v>
      </c>
      <c r="I2232" s="1303">
        <v>4.3200393481547571E-3</v>
      </c>
      <c r="J2232" s="1306">
        <v>4.9397144835047291E-4</v>
      </c>
      <c r="K2232" s="1303">
        <v>2.7499701808571769E-3</v>
      </c>
      <c r="L2232" s="1288">
        <v>2.0000019268281034E-3</v>
      </c>
      <c r="M2232" s="1306">
        <v>2.0000005737378359E-3</v>
      </c>
      <c r="N2232" s="1303">
        <v>2.1173282365539475E-2</v>
      </c>
      <c r="O2232" s="1288">
        <v>3.9879292040651115E-3</v>
      </c>
      <c r="P2232" s="1294">
        <v>8.7842437102275059E-3</v>
      </c>
      <c r="Q2232" s="1290">
        <v>4.5153723575876246E-3</v>
      </c>
    </row>
    <row r="2233" spans="1:17" s="212" customFormat="1" ht="15.5" x14ac:dyDescent="0.35">
      <c r="A2233" s="198">
        <v>2049</v>
      </c>
      <c r="B2233" s="197" t="s">
        <v>5838</v>
      </c>
      <c r="C2233" s="197">
        <v>2049</v>
      </c>
      <c r="D2233" s="225" t="str">
        <f t="shared" si="23"/>
        <v>2049_2049</v>
      </c>
      <c r="E2233" s="1287">
        <v>3.6243797830818124E-2</v>
      </c>
      <c r="F2233" s="1306">
        <v>2.7745622416645317E-3</v>
      </c>
      <c r="G2233" s="1303">
        <v>7.2786632622378417E-2</v>
      </c>
      <c r="H2233" s="1306">
        <v>1.411828949147052E-2</v>
      </c>
      <c r="I2233" s="1303">
        <v>3.2850523578208004E-3</v>
      </c>
      <c r="J2233" s="1306">
        <v>4.9082229559643158E-4</v>
      </c>
      <c r="K2233" s="1303">
        <v>2.7242405390782505E-3</v>
      </c>
      <c r="L2233" s="1288">
        <v>2.0000020377056904E-3</v>
      </c>
      <c r="M2233" s="1306">
        <v>2.0000005736992275E-3</v>
      </c>
      <c r="N2233" s="1303">
        <v>2.0521254675485705E-2</v>
      </c>
      <c r="O2233" s="1288">
        <v>3.7145278174868365E-3</v>
      </c>
      <c r="P2233" s="1294">
        <v>8.2866881423258095E-3</v>
      </c>
      <c r="Q2233" s="1290">
        <v>3.4335878482375142E-3</v>
      </c>
    </row>
    <row r="2234" spans="1:17" s="212" customFormat="1" ht="15.5" x14ac:dyDescent="0.35">
      <c r="A2234" s="198">
        <v>2049</v>
      </c>
      <c r="B2234" s="197" t="s">
        <v>5838</v>
      </c>
      <c r="C2234" s="197">
        <v>2050</v>
      </c>
      <c r="D2234" s="225" t="str">
        <f t="shared" si="23"/>
        <v>2049_2050</v>
      </c>
      <c r="E2234" s="1291">
        <v>3.6243797830818124E-2</v>
      </c>
      <c r="F2234" s="1280">
        <v>2.7745622416645317E-3</v>
      </c>
      <c r="G2234" s="1271">
        <v>7.2786632622378417E-2</v>
      </c>
      <c r="H2234" s="1280">
        <v>1.411828949147052E-2</v>
      </c>
      <c r="I2234" s="1271">
        <v>3.2850523578208004E-3</v>
      </c>
      <c r="J2234" s="1280">
        <v>4.9082229559643158E-4</v>
      </c>
      <c r="K2234" s="1271">
        <v>2.7242405390782505E-3</v>
      </c>
      <c r="L2234" s="1257">
        <v>2.0000020377056904E-3</v>
      </c>
      <c r="M2234" s="1280">
        <v>2.0000005736992275E-3</v>
      </c>
      <c r="N2234" s="1271">
        <v>2.0521254675485705E-2</v>
      </c>
      <c r="O2234" s="1257">
        <v>3.7145278174868365E-3</v>
      </c>
      <c r="P2234" s="1293">
        <v>8.2866881423258095E-3</v>
      </c>
      <c r="Q2234" s="1292">
        <v>3.4335878482375142E-3</v>
      </c>
    </row>
    <row r="2235" spans="1:17" s="212" customFormat="1" ht="15.5" x14ac:dyDescent="0.35">
      <c r="A2235" s="198">
        <v>2050</v>
      </c>
      <c r="B2235" s="197" t="s">
        <v>5838</v>
      </c>
      <c r="C2235" s="197">
        <v>1971</v>
      </c>
      <c r="D2235" s="225" t="str">
        <f t="shared" si="23"/>
        <v>2050_1971</v>
      </c>
      <c r="E2235" s="1291">
        <v>0.54042205362434492</v>
      </c>
      <c r="F2235" s="1280">
        <v>7.1663073917081072E-3</v>
      </c>
      <c r="G2235" s="1271">
        <v>3.9435588149627296</v>
      </c>
      <c r="H2235" s="1280">
        <v>8.5407058365107799E-2</v>
      </c>
      <c r="I2235" s="1271">
        <v>0.14310850173219331</v>
      </c>
      <c r="J2235" s="1280">
        <v>1.8388497226875291E-4</v>
      </c>
      <c r="K2235" s="1271">
        <v>2.8949823659084398E-3</v>
      </c>
      <c r="L2235" s="1257">
        <v>2.0000012371071485E-3</v>
      </c>
      <c r="M2235" s="1280">
        <v>2.0000012371071485E-3</v>
      </c>
      <c r="N2235" s="1271">
        <v>2.4824169687196095E-2</v>
      </c>
      <c r="O2235" s="1257">
        <v>9.6297023763720763E-3</v>
      </c>
      <c r="P2235" s="1293">
        <v>4.8148511881860381E-3</v>
      </c>
      <c r="Q2235" s="1292">
        <v>0.1495792331459512</v>
      </c>
    </row>
    <row r="2236" spans="1:17" s="212" customFormat="1" ht="15.5" x14ac:dyDescent="0.35">
      <c r="A2236" s="198">
        <v>2050</v>
      </c>
      <c r="B2236" s="197" t="s">
        <v>5838</v>
      </c>
      <c r="C2236" s="197">
        <v>1972</v>
      </c>
      <c r="D2236" s="225" t="str">
        <f t="shared" si="23"/>
        <v>2050_1972</v>
      </c>
      <c r="E2236" s="1291">
        <v>0.54042205362434492</v>
      </c>
      <c r="F2236" s="1280">
        <v>7.1663073917081072E-3</v>
      </c>
      <c r="G2236" s="1271">
        <v>3.9435588149627296</v>
      </c>
      <c r="H2236" s="1280">
        <v>8.5407058365107799E-2</v>
      </c>
      <c r="I2236" s="1271">
        <v>0.14310850173219331</v>
      </c>
      <c r="J2236" s="1280">
        <v>1.8388497226875291E-4</v>
      </c>
      <c r="K2236" s="1271">
        <v>2.8949823659084398E-3</v>
      </c>
      <c r="L2236" s="1257">
        <v>2.0000012371071485E-3</v>
      </c>
      <c r="M2236" s="1280">
        <v>2.0000012371071485E-3</v>
      </c>
      <c r="N2236" s="1271">
        <v>2.4824169687196095E-2</v>
      </c>
      <c r="O2236" s="1257">
        <v>9.6297023763720763E-3</v>
      </c>
      <c r="P2236" s="1293">
        <v>4.8148511881860381E-3</v>
      </c>
      <c r="Q2236" s="1292">
        <v>0.1495792331459512</v>
      </c>
    </row>
    <row r="2237" spans="1:17" s="212" customFormat="1" ht="15.5" x14ac:dyDescent="0.35">
      <c r="A2237" s="198">
        <v>2050</v>
      </c>
      <c r="B2237" s="197" t="s">
        <v>5838</v>
      </c>
      <c r="C2237" s="197">
        <v>1973</v>
      </c>
      <c r="D2237" s="225" t="str">
        <f t="shared" si="23"/>
        <v>2050_1973</v>
      </c>
      <c r="E2237" s="1291">
        <v>0.54042205362434492</v>
      </c>
      <c r="F2237" s="1280">
        <v>7.1663073917081072E-3</v>
      </c>
      <c r="G2237" s="1271">
        <v>3.9435588149627296</v>
      </c>
      <c r="H2237" s="1280">
        <v>8.5407058365107799E-2</v>
      </c>
      <c r="I2237" s="1271">
        <v>0.14310850173219331</v>
      </c>
      <c r="J2237" s="1280">
        <v>1.8388497226875291E-4</v>
      </c>
      <c r="K2237" s="1271">
        <v>2.8949823659084398E-3</v>
      </c>
      <c r="L2237" s="1257">
        <v>2.0000012371071485E-3</v>
      </c>
      <c r="M2237" s="1280">
        <v>2.0000012371071485E-3</v>
      </c>
      <c r="N2237" s="1271">
        <v>2.4824169687196095E-2</v>
      </c>
      <c r="O2237" s="1257">
        <v>9.6297023763720763E-3</v>
      </c>
      <c r="P2237" s="1293">
        <v>4.8148511881860381E-3</v>
      </c>
      <c r="Q2237" s="1292">
        <v>0.1495792331459512</v>
      </c>
    </row>
    <row r="2238" spans="1:17" s="212" customFormat="1" ht="15.5" x14ac:dyDescent="0.35">
      <c r="A2238" s="198">
        <v>2050</v>
      </c>
      <c r="B2238" s="197" t="s">
        <v>5838</v>
      </c>
      <c r="C2238" s="197">
        <v>1974</v>
      </c>
      <c r="D2238" s="225" t="str">
        <f t="shared" si="23"/>
        <v>2050_1974</v>
      </c>
      <c r="E2238" s="1291">
        <v>0.54042205362434492</v>
      </c>
      <c r="F2238" s="1280">
        <v>7.1663073917081072E-3</v>
      </c>
      <c r="G2238" s="1271">
        <v>3.9435588149627296</v>
      </c>
      <c r="H2238" s="1280">
        <v>8.5407058365107799E-2</v>
      </c>
      <c r="I2238" s="1271">
        <v>0.14310850173219331</v>
      </c>
      <c r="J2238" s="1280">
        <v>1.8388497226875291E-4</v>
      </c>
      <c r="K2238" s="1271">
        <v>2.8949823659084398E-3</v>
      </c>
      <c r="L2238" s="1257">
        <v>2.0000012371071485E-3</v>
      </c>
      <c r="M2238" s="1280">
        <v>2.0000012371071485E-3</v>
      </c>
      <c r="N2238" s="1271">
        <v>2.4824169687196095E-2</v>
      </c>
      <c r="O2238" s="1257">
        <v>9.6297023763720763E-3</v>
      </c>
      <c r="P2238" s="1293">
        <v>4.8148511881860381E-3</v>
      </c>
      <c r="Q2238" s="1292">
        <v>0.1495792331459512</v>
      </c>
    </row>
    <row r="2239" spans="1:17" s="212" customFormat="1" ht="15.5" x14ac:dyDescent="0.35">
      <c r="A2239" s="198">
        <v>2050</v>
      </c>
      <c r="B2239" s="197" t="s">
        <v>5838</v>
      </c>
      <c r="C2239" s="197">
        <v>1975</v>
      </c>
      <c r="D2239" s="225" t="str">
        <f t="shared" si="23"/>
        <v>2050_1975</v>
      </c>
      <c r="E2239" s="1291">
        <v>0.54042205362434492</v>
      </c>
      <c r="F2239" s="1280">
        <v>7.1663073917081072E-3</v>
      </c>
      <c r="G2239" s="1271">
        <v>3.9435588149627296</v>
      </c>
      <c r="H2239" s="1280">
        <v>8.5407058365107799E-2</v>
      </c>
      <c r="I2239" s="1271">
        <v>0.14310850173219331</v>
      </c>
      <c r="J2239" s="1280">
        <v>1.8388497226875291E-4</v>
      </c>
      <c r="K2239" s="1271">
        <v>2.8949823659084398E-3</v>
      </c>
      <c r="L2239" s="1257">
        <v>2.0000012371071485E-3</v>
      </c>
      <c r="M2239" s="1280">
        <v>2.0000012371071485E-3</v>
      </c>
      <c r="N2239" s="1271">
        <v>2.4824169687196095E-2</v>
      </c>
      <c r="O2239" s="1257">
        <v>9.6297023763720763E-3</v>
      </c>
      <c r="P2239" s="1293">
        <v>4.8148511881860381E-3</v>
      </c>
      <c r="Q2239" s="1292">
        <v>0.1495792331459512</v>
      </c>
    </row>
    <row r="2240" spans="1:17" s="212" customFormat="1" ht="15.5" x14ac:dyDescent="0.35">
      <c r="A2240" s="198">
        <v>2050</v>
      </c>
      <c r="B2240" s="197" t="s">
        <v>5838</v>
      </c>
      <c r="C2240" s="197">
        <v>1976</v>
      </c>
      <c r="D2240" s="225" t="str">
        <f t="shared" si="23"/>
        <v>2050_1976</v>
      </c>
      <c r="E2240" s="1291">
        <v>0.54042205362434492</v>
      </c>
      <c r="F2240" s="1280">
        <v>7.1663073917081072E-3</v>
      </c>
      <c r="G2240" s="1271">
        <v>3.9435588149627296</v>
      </c>
      <c r="H2240" s="1280">
        <v>8.5407058365107799E-2</v>
      </c>
      <c r="I2240" s="1271">
        <v>0.14310850173219331</v>
      </c>
      <c r="J2240" s="1280">
        <v>1.8388497226875291E-4</v>
      </c>
      <c r="K2240" s="1271">
        <v>2.8949823659084398E-3</v>
      </c>
      <c r="L2240" s="1257">
        <v>2.0000012371071485E-3</v>
      </c>
      <c r="M2240" s="1280">
        <v>2.0000012371071485E-3</v>
      </c>
      <c r="N2240" s="1271">
        <v>2.4824169687196095E-2</v>
      </c>
      <c r="O2240" s="1257">
        <v>9.6297023763720763E-3</v>
      </c>
      <c r="P2240" s="1293">
        <v>4.8148511881860381E-3</v>
      </c>
      <c r="Q2240" s="1292">
        <v>0.1495792331459512</v>
      </c>
    </row>
    <row r="2241" spans="1:17" s="212" customFormat="1" ht="15.5" x14ac:dyDescent="0.35">
      <c r="A2241" s="198">
        <v>2050</v>
      </c>
      <c r="B2241" s="197" t="s">
        <v>5838</v>
      </c>
      <c r="C2241" s="197">
        <v>1977</v>
      </c>
      <c r="D2241" s="225" t="str">
        <f t="shared" si="23"/>
        <v>2050_1977</v>
      </c>
      <c r="E2241" s="1291">
        <v>0.54042205362434492</v>
      </c>
      <c r="F2241" s="1280">
        <v>7.1663073917081072E-3</v>
      </c>
      <c r="G2241" s="1271">
        <v>3.9435588149627296</v>
      </c>
      <c r="H2241" s="1280">
        <v>8.5407058365107799E-2</v>
      </c>
      <c r="I2241" s="1271">
        <v>0.14310850173219331</v>
      </c>
      <c r="J2241" s="1280">
        <v>1.8388497226875291E-4</v>
      </c>
      <c r="K2241" s="1271">
        <v>2.8949823659084398E-3</v>
      </c>
      <c r="L2241" s="1257">
        <v>2.0000012371071485E-3</v>
      </c>
      <c r="M2241" s="1280">
        <v>2.0000012371071485E-3</v>
      </c>
      <c r="N2241" s="1271">
        <v>2.4824169687196095E-2</v>
      </c>
      <c r="O2241" s="1257">
        <v>9.6297023763720763E-3</v>
      </c>
      <c r="P2241" s="1293">
        <v>4.8148511881860381E-3</v>
      </c>
      <c r="Q2241" s="1292">
        <v>0.1495792331459512</v>
      </c>
    </row>
    <row r="2242" spans="1:17" s="212" customFormat="1" ht="15.5" x14ac:dyDescent="0.35">
      <c r="A2242" s="198">
        <v>2050</v>
      </c>
      <c r="B2242" s="197" t="s">
        <v>5838</v>
      </c>
      <c r="C2242" s="197">
        <v>1978</v>
      </c>
      <c r="D2242" s="225" t="str">
        <f t="shared" si="23"/>
        <v>2050_1978</v>
      </c>
      <c r="E2242" s="1291">
        <v>0.54042205362434492</v>
      </c>
      <c r="F2242" s="1280">
        <v>7.1663073917081072E-3</v>
      </c>
      <c r="G2242" s="1271">
        <v>3.9435588149627296</v>
      </c>
      <c r="H2242" s="1280">
        <v>8.5407058365107799E-2</v>
      </c>
      <c r="I2242" s="1271">
        <v>0.14310850173219331</v>
      </c>
      <c r="J2242" s="1280">
        <v>1.8388497226875291E-4</v>
      </c>
      <c r="K2242" s="1271">
        <v>2.8949823659084398E-3</v>
      </c>
      <c r="L2242" s="1257">
        <v>2.0000012371071485E-3</v>
      </c>
      <c r="M2242" s="1280">
        <v>2.0000012371071485E-3</v>
      </c>
      <c r="N2242" s="1271">
        <v>2.4824169687196095E-2</v>
      </c>
      <c r="O2242" s="1257">
        <v>9.6297023763720763E-3</v>
      </c>
      <c r="P2242" s="1293">
        <v>4.8148511881860381E-3</v>
      </c>
      <c r="Q2242" s="1292">
        <v>0.1495792331459512</v>
      </c>
    </row>
    <row r="2243" spans="1:17" s="212" customFormat="1" ht="15.5" x14ac:dyDescent="0.35">
      <c r="A2243" s="198">
        <v>2050</v>
      </c>
      <c r="B2243" s="197" t="s">
        <v>5838</v>
      </c>
      <c r="C2243" s="197">
        <v>1979</v>
      </c>
      <c r="D2243" s="225" t="str">
        <f t="shared" si="23"/>
        <v>2050_1979</v>
      </c>
      <c r="E2243" s="1291">
        <v>0.54042205362434492</v>
      </c>
      <c r="F2243" s="1280">
        <v>7.1663073917081072E-3</v>
      </c>
      <c r="G2243" s="1271">
        <v>3.9435588149627296</v>
      </c>
      <c r="H2243" s="1280">
        <v>8.5407058365107799E-2</v>
      </c>
      <c r="I2243" s="1271">
        <v>0.14310850173219331</v>
      </c>
      <c r="J2243" s="1280">
        <v>1.8388497226875291E-4</v>
      </c>
      <c r="K2243" s="1271">
        <v>2.8949823659084398E-3</v>
      </c>
      <c r="L2243" s="1257">
        <v>2.0000012371071485E-3</v>
      </c>
      <c r="M2243" s="1280">
        <v>2.0000012371071485E-3</v>
      </c>
      <c r="N2243" s="1271">
        <v>2.4824169687196095E-2</v>
      </c>
      <c r="O2243" s="1257">
        <v>9.6297023763720763E-3</v>
      </c>
      <c r="P2243" s="1293">
        <v>4.8148511881860381E-3</v>
      </c>
      <c r="Q2243" s="1292">
        <v>0.1495792331459512</v>
      </c>
    </row>
    <row r="2244" spans="1:17" s="212" customFormat="1" ht="15.5" x14ac:dyDescent="0.35">
      <c r="A2244" s="198">
        <v>2050</v>
      </c>
      <c r="B2244" s="197" t="s">
        <v>5838</v>
      </c>
      <c r="C2244" s="197">
        <v>1980</v>
      </c>
      <c r="D2244" s="225" t="str">
        <f t="shared" si="23"/>
        <v>2050_1980</v>
      </c>
      <c r="E2244" s="1291">
        <v>0.54042205362434492</v>
      </c>
      <c r="F2244" s="1280">
        <v>7.1663073917081072E-3</v>
      </c>
      <c r="G2244" s="1271">
        <v>3.9435588149627296</v>
      </c>
      <c r="H2244" s="1280">
        <v>8.5407058365107799E-2</v>
      </c>
      <c r="I2244" s="1271">
        <v>0.14310850173219331</v>
      </c>
      <c r="J2244" s="1280">
        <v>1.8388497226875291E-4</v>
      </c>
      <c r="K2244" s="1271">
        <v>2.8949823659084398E-3</v>
      </c>
      <c r="L2244" s="1257">
        <v>2.0000012371071485E-3</v>
      </c>
      <c r="M2244" s="1280">
        <v>2.0000012371071485E-3</v>
      </c>
      <c r="N2244" s="1271">
        <v>2.4824169687196095E-2</v>
      </c>
      <c r="O2244" s="1257">
        <v>9.6297023763720763E-3</v>
      </c>
      <c r="P2244" s="1293">
        <v>4.8148511881860381E-3</v>
      </c>
      <c r="Q2244" s="1292">
        <v>0.1495792331459512</v>
      </c>
    </row>
    <row r="2245" spans="1:17" s="212" customFormat="1" ht="15.5" x14ac:dyDescent="0.35">
      <c r="A2245" s="198">
        <v>2050</v>
      </c>
      <c r="B2245" s="197" t="s">
        <v>5838</v>
      </c>
      <c r="C2245" s="197">
        <v>1981</v>
      </c>
      <c r="D2245" s="225" t="str">
        <f t="shared" si="23"/>
        <v>2050_1981</v>
      </c>
      <c r="E2245" s="1291">
        <v>0.54042205362434492</v>
      </c>
      <c r="F2245" s="1280">
        <v>7.1663073917081072E-3</v>
      </c>
      <c r="G2245" s="1271">
        <v>3.9435588149627296</v>
      </c>
      <c r="H2245" s="1280">
        <v>8.5407058365107799E-2</v>
      </c>
      <c r="I2245" s="1271">
        <v>0.14310850173219331</v>
      </c>
      <c r="J2245" s="1280">
        <v>1.8388497226875291E-4</v>
      </c>
      <c r="K2245" s="1271">
        <v>2.8949823659084398E-3</v>
      </c>
      <c r="L2245" s="1257">
        <v>2.0000012371071485E-3</v>
      </c>
      <c r="M2245" s="1280">
        <v>2.0000012371071485E-3</v>
      </c>
      <c r="N2245" s="1271">
        <v>2.4824169687196095E-2</v>
      </c>
      <c r="O2245" s="1257">
        <v>9.6297023763720763E-3</v>
      </c>
      <c r="P2245" s="1293">
        <v>4.8148511881860381E-3</v>
      </c>
      <c r="Q2245" s="1292">
        <v>0.1495792331459512</v>
      </c>
    </row>
    <row r="2246" spans="1:17" s="212" customFormat="1" ht="15.5" x14ac:dyDescent="0.35">
      <c r="A2246" s="198">
        <v>2050</v>
      </c>
      <c r="B2246" s="197" t="s">
        <v>5838</v>
      </c>
      <c r="C2246" s="197">
        <v>1982</v>
      </c>
      <c r="D2246" s="225" t="str">
        <f t="shared" si="23"/>
        <v>2050_1982</v>
      </c>
      <c r="E2246" s="1291">
        <v>0.54042205362434492</v>
      </c>
      <c r="F2246" s="1280">
        <v>7.1663073917081072E-3</v>
      </c>
      <c r="G2246" s="1271">
        <v>3.9435588149627296</v>
      </c>
      <c r="H2246" s="1280">
        <v>8.5407058365107799E-2</v>
      </c>
      <c r="I2246" s="1271">
        <v>0.14310850173219331</v>
      </c>
      <c r="J2246" s="1280">
        <v>1.8388497226875291E-4</v>
      </c>
      <c r="K2246" s="1271">
        <v>2.8949823659084398E-3</v>
      </c>
      <c r="L2246" s="1257">
        <v>2.0000012371071485E-3</v>
      </c>
      <c r="M2246" s="1280">
        <v>2.0000012371071485E-3</v>
      </c>
      <c r="N2246" s="1271">
        <v>2.4824169687196095E-2</v>
      </c>
      <c r="O2246" s="1257">
        <v>9.6297023763720763E-3</v>
      </c>
      <c r="P2246" s="1293">
        <v>4.8148511881860381E-3</v>
      </c>
      <c r="Q2246" s="1292">
        <v>0.1495792331459512</v>
      </c>
    </row>
    <row r="2247" spans="1:17" s="212" customFormat="1" ht="15.5" x14ac:dyDescent="0.35">
      <c r="A2247" s="198">
        <v>2050</v>
      </c>
      <c r="B2247" s="197" t="s">
        <v>5838</v>
      </c>
      <c r="C2247" s="197">
        <v>1983</v>
      </c>
      <c r="D2247" s="225" t="str">
        <f t="shared" si="23"/>
        <v>2050_1983</v>
      </c>
      <c r="E2247" s="1291">
        <v>0.54042205362434492</v>
      </c>
      <c r="F2247" s="1280">
        <v>7.1663073917081072E-3</v>
      </c>
      <c r="G2247" s="1271">
        <v>3.9435588149627296</v>
      </c>
      <c r="H2247" s="1280">
        <v>8.5407058365107799E-2</v>
      </c>
      <c r="I2247" s="1271">
        <v>0.14310850173219331</v>
      </c>
      <c r="J2247" s="1280">
        <v>1.8388497226875291E-4</v>
      </c>
      <c r="K2247" s="1271">
        <v>2.8949823659084398E-3</v>
      </c>
      <c r="L2247" s="1257">
        <v>2.0000012371071485E-3</v>
      </c>
      <c r="M2247" s="1280">
        <v>2.0000012371071485E-3</v>
      </c>
      <c r="N2247" s="1271">
        <v>2.4824169687196095E-2</v>
      </c>
      <c r="O2247" s="1257">
        <v>9.6297023763720763E-3</v>
      </c>
      <c r="P2247" s="1293">
        <v>4.8148511881860381E-3</v>
      </c>
      <c r="Q2247" s="1292">
        <v>0.1495792331459512</v>
      </c>
    </row>
    <row r="2248" spans="1:17" s="212" customFormat="1" ht="15.5" x14ac:dyDescent="0.35">
      <c r="A2248" s="198">
        <v>2050</v>
      </c>
      <c r="B2248" s="197" t="s">
        <v>5838</v>
      </c>
      <c r="C2248" s="197">
        <v>1984</v>
      </c>
      <c r="D2248" s="225" t="str">
        <f t="shared" si="23"/>
        <v>2050_1984</v>
      </c>
      <c r="E2248" s="1291">
        <v>0.54042205362434492</v>
      </c>
      <c r="F2248" s="1280">
        <v>7.1663073917081072E-3</v>
      </c>
      <c r="G2248" s="1271">
        <v>3.9435588149627296</v>
      </c>
      <c r="H2248" s="1280">
        <v>8.5407058365107799E-2</v>
      </c>
      <c r="I2248" s="1271">
        <v>0.14310850173219331</v>
      </c>
      <c r="J2248" s="1280">
        <v>1.8388497226875291E-4</v>
      </c>
      <c r="K2248" s="1271">
        <v>2.8949823659084398E-3</v>
      </c>
      <c r="L2248" s="1257">
        <v>2.0000012371071485E-3</v>
      </c>
      <c r="M2248" s="1280">
        <v>2.0000012371071485E-3</v>
      </c>
      <c r="N2248" s="1271">
        <v>2.4824169687196095E-2</v>
      </c>
      <c r="O2248" s="1257">
        <v>9.6297023763720763E-3</v>
      </c>
      <c r="P2248" s="1293">
        <v>4.8148511881860381E-3</v>
      </c>
      <c r="Q2248" s="1292">
        <v>0.1495792331459512</v>
      </c>
    </row>
    <row r="2249" spans="1:17" s="212" customFormat="1" ht="15.5" x14ac:dyDescent="0.35">
      <c r="A2249" s="198">
        <v>2050</v>
      </c>
      <c r="B2249" s="197" t="s">
        <v>5838</v>
      </c>
      <c r="C2249" s="197">
        <v>1985</v>
      </c>
      <c r="D2249" s="225" t="str">
        <f t="shared" si="23"/>
        <v>2050_1985</v>
      </c>
      <c r="E2249" s="1291">
        <v>0.54042205362434492</v>
      </c>
      <c r="F2249" s="1280">
        <v>7.1663073917081072E-3</v>
      </c>
      <c r="G2249" s="1271">
        <v>3.9435588149627296</v>
      </c>
      <c r="H2249" s="1280">
        <v>8.5407058365107799E-2</v>
      </c>
      <c r="I2249" s="1271">
        <v>0.14310850173219331</v>
      </c>
      <c r="J2249" s="1280">
        <v>1.8388497226875291E-4</v>
      </c>
      <c r="K2249" s="1271">
        <v>2.8949823659084398E-3</v>
      </c>
      <c r="L2249" s="1257">
        <v>2.0000012371071485E-3</v>
      </c>
      <c r="M2249" s="1280">
        <v>2.0000012371071485E-3</v>
      </c>
      <c r="N2249" s="1271">
        <v>2.4824169687196095E-2</v>
      </c>
      <c r="O2249" s="1257">
        <v>9.6297023763720763E-3</v>
      </c>
      <c r="P2249" s="1293">
        <v>4.8148511881860381E-3</v>
      </c>
      <c r="Q2249" s="1292">
        <v>0.1495792331459512</v>
      </c>
    </row>
    <row r="2250" spans="1:17" s="212" customFormat="1" ht="15.5" x14ac:dyDescent="0.35">
      <c r="A2250" s="198">
        <v>2050</v>
      </c>
      <c r="B2250" s="197" t="s">
        <v>5838</v>
      </c>
      <c r="C2250" s="197">
        <v>1986</v>
      </c>
      <c r="D2250" s="225" t="str">
        <f t="shared" si="23"/>
        <v>2050_1986</v>
      </c>
      <c r="E2250" s="1291">
        <v>0.54042205362434492</v>
      </c>
      <c r="F2250" s="1280">
        <v>7.1663073917081072E-3</v>
      </c>
      <c r="G2250" s="1271">
        <v>3.9435588149627296</v>
      </c>
      <c r="H2250" s="1280">
        <v>8.5407058365107799E-2</v>
      </c>
      <c r="I2250" s="1271">
        <v>0.14310850173219331</v>
      </c>
      <c r="J2250" s="1280">
        <v>1.8388497226875291E-4</v>
      </c>
      <c r="K2250" s="1271">
        <v>2.8949823659084398E-3</v>
      </c>
      <c r="L2250" s="1257">
        <v>2.0000012371071485E-3</v>
      </c>
      <c r="M2250" s="1280">
        <v>2.0000012371071485E-3</v>
      </c>
      <c r="N2250" s="1271">
        <v>2.4824169687196095E-2</v>
      </c>
      <c r="O2250" s="1257">
        <v>9.6297023763720763E-3</v>
      </c>
      <c r="P2250" s="1293">
        <v>4.8148511881860381E-3</v>
      </c>
      <c r="Q2250" s="1292">
        <v>0.1495792331459512</v>
      </c>
    </row>
    <row r="2251" spans="1:17" s="212" customFormat="1" ht="15.5" x14ac:dyDescent="0.35">
      <c r="A2251" s="198">
        <v>2050</v>
      </c>
      <c r="B2251" s="197" t="s">
        <v>5838</v>
      </c>
      <c r="C2251" s="197">
        <v>1987</v>
      </c>
      <c r="D2251" s="225" t="str">
        <f t="shared" si="23"/>
        <v>2050_1987</v>
      </c>
      <c r="E2251" s="1291">
        <v>0.54042205362434492</v>
      </c>
      <c r="F2251" s="1280">
        <v>7.1663073917081072E-3</v>
      </c>
      <c r="G2251" s="1271">
        <v>3.9435588149627296</v>
      </c>
      <c r="H2251" s="1280">
        <v>8.5407058365107799E-2</v>
      </c>
      <c r="I2251" s="1271">
        <v>0.14310850173219331</v>
      </c>
      <c r="J2251" s="1280">
        <v>1.8388497226875291E-4</v>
      </c>
      <c r="K2251" s="1271">
        <v>2.8949823659084398E-3</v>
      </c>
      <c r="L2251" s="1257">
        <v>2.0000012371071485E-3</v>
      </c>
      <c r="M2251" s="1280">
        <v>2.0000012371071485E-3</v>
      </c>
      <c r="N2251" s="1271">
        <v>2.4824169687196095E-2</v>
      </c>
      <c r="O2251" s="1257">
        <v>9.6297023763720763E-3</v>
      </c>
      <c r="P2251" s="1293">
        <v>4.8148511881860381E-3</v>
      </c>
      <c r="Q2251" s="1292">
        <v>0.1495792331459512</v>
      </c>
    </row>
    <row r="2252" spans="1:17" s="212" customFormat="1" ht="15.5" x14ac:dyDescent="0.35">
      <c r="A2252" s="198">
        <v>2050</v>
      </c>
      <c r="B2252" s="197" t="s">
        <v>5838</v>
      </c>
      <c r="C2252" s="197">
        <v>1988</v>
      </c>
      <c r="D2252" s="225" t="str">
        <f t="shared" si="23"/>
        <v>2050_1988</v>
      </c>
      <c r="E2252" s="1291">
        <v>0.54042205362434492</v>
      </c>
      <c r="F2252" s="1280">
        <v>7.1663073917081072E-3</v>
      </c>
      <c r="G2252" s="1271">
        <v>3.9435588149627296</v>
      </c>
      <c r="H2252" s="1280">
        <v>8.5407058365107799E-2</v>
      </c>
      <c r="I2252" s="1271">
        <v>0.14310850173219331</v>
      </c>
      <c r="J2252" s="1280">
        <v>1.8388497226875291E-4</v>
      </c>
      <c r="K2252" s="1271">
        <v>2.8949823659084398E-3</v>
      </c>
      <c r="L2252" s="1257">
        <v>2.0000012371071485E-3</v>
      </c>
      <c r="M2252" s="1280">
        <v>2.0000012371071485E-3</v>
      </c>
      <c r="N2252" s="1271">
        <v>2.4824169687196095E-2</v>
      </c>
      <c r="O2252" s="1257">
        <v>9.6297023763720763E-3</v>
      </c>
      <c r="P2252" s="1293">
        <v>4.8148511881860381E-3</v>
      </c>
      <c r="Q2252" s="1292">
        <v>0.1495792331459512</v>
      </c>
    </row>
    <row r="2253" spans="1:17" s="212" customFormat="1" ht="15.5" x14ac:dyDescent="0.35">
      <c r="A2253" s="198">
        <v>2050</v>
      </c>
      <c r="B2253" s="197" t="s">
        <v>5838</v>
      </c>
      <c r="C2253" s="197">
        <v>1989</v>
      </c>
      <c r="D2253" s="225" t="str">
        <f t="shared" si="23"/>
        <v>2050_1989</v>
      </c>
      <c r="E2253" s="1291">
        <v>0.54042205362434492</v>
      </c>
      <c r="F2253" s="1280">
        <v>7.1663073917081072E-3</v>
      </c>
      <c r="G2253" s="1271">
        <v>3.9435588149627296</v>
      </c>
      <c r="H2253" s="1280">
        <v>8.5407058365107799E-2</v>
      </c>
      <c r="I2253" s="1271">
        <v>0.14310850173219331</v>
      </c>
      <c r="J2253" s="1280">
        <v>1.8388497226875291E-4</v>
      </c>
      <c r="K2253" s="1271">
        <v>2.8949823659084398E-3</v>
      </c>
      <c r="L2253" s="1257">
        <v>2.0000012371071485E-3</v>
      </c>
      <c r="M2253" s="1280">
        <v>2.0000012371071485E-3</v>
      </c>
      <c r="N2253" s="1271">
        <v>2.4824169687196095E-2</v>
      </c>
      <c r="O2253" s="1257">
        <v>9.6297023763720763E-3</v>
      </c>
      <c r="P2253" s="1293">
        <v>4.8148511881860381E-3</v>
      </c>
      <c r="Q2253" s="1292">
        <v>0.1495792331459512</v>
      </c>
    </row>
    <row r="2254" spans="1:17" s="212" customFormat="1" ht="15.5" x14ac:dyDescent="0.35">
      <c r="A2254" s="198">
        <v>2050</v>
      </c>
      <c r="B2254" s="197" t="s">
        <v>5838</v>
      </c>
      <c r="C2254" s="197">
        <v>1990</v>
      </c>
      <c r="D2254" s="225" t="str">
        <f t="shared" si="23"/>
        <v>2050_1990</v>
      </c>
      <c r="E2254" s="1291">
        <v>0.54042205362434492</v>
      </c>
      <c r="F2254" s="1280">
        <v>7.1663073917081072E-3</v>
      </c>
      <c r="G2254" s="1271">
        <v>3.9435588149627296</v>
      </c>
      <c r="H2254" s="1280">
        <v>8.5407058365107799E-2</v>
      </c>
      <c r="I2254" s="1271">
        <v>0.14310850173219331</v>
      </c>
      <c r="J2254" s="1280">
        <v>1.8388497226875291E-4</v>
      </c>
      <c r="K2254" s="1271">
        <v>2.8949823659084398E-3</v>
      </c>
      <c r="L2254" s="1257">
        <v>2.0000012371071485E-3</v>
      </c>
      <c r="M2254" s="1280">
        <v>2.0000012371071485E-3</v>
      </c>
      <c r="N2254" s="1271">
        <v>2.4824169687196095E-2</v>
      </c>
      <c r="O2254" s="1257">
        <v>9.6297023763720763E-3</v>
      </c>
      <c r="P2254" s="1293">
        <v>4.8148511881860381E-3</v>
      </c>
      <c r="Q2254" s="1292">
        <v>0.1495792331459512</v>
      </c>
    </row>
    <row r="2255" spans="1:17" s="212" customFormat="1" ht="15.5" x14ac:dyDescent="0.35">
      <c r="A2255" s="198">
        <v>2050</v>
      </c>
      <c r="B2255" s="197" t="s">
        <v>5838</v>
      </c>
      <c r="C2255" s="197">
        <v>1991</v>
      </c>
      <c r="D2255" s="225" t="str">
        <f t="shared" si="23"/>
        <v>2050_1991</v>
      </c>
      <c r="E2255" s="1291">
        <v>0.54042205362434492</v>
      </c>
      <c r="F2255" s="1280">
        <v>7.1663073917081072E-3</v>
      </c>
      <c r="G2255" s="1271">
        <v>3.9435588149627296</v>
      </c>
      <c r="H2255" s="1280">
        <v>8.5407058365107799E-2</v>
      </c>
      <c r="I2255" s="1271">
        <v>0.14310850173219331</v>
      </c>
      <c r="J2255" s="1280">
        <v>1.8388497226875291E-4</v>
      </c>
      <c r="K2255" s="1271">
        <v>2.8949823659084398E-3</v>
      </c>
      <c r="L2255" s="1257">
        <v>2.0000012371071485E-3</v>
      </c>
      <c r="M2255" s="1280">
        <v>2.0000012371071485E-3</v>
      </c>
      <c r="N2255" s="1271">
        <v>2.4824169687196095E-2</v>
      </c>
      <c r="O2255" s="1257">
        <v>9.6297023763720763E-3</v>
      </c>
      <c r="P2255" s="1293">
        <v>4.8148511881860381E-3</v>
      </c>
      <c r="Q2255" s="1292">
        <v>0.1495792331459512</v>
      </c>
    </row>
    <row r="2256" spans="1:17" s="212" customFormat="1" ht="15.5" x14ac:dyDescent="0.35">
      <c r="A2256" s="198">
        <v>2050</v>
      </c>
      <c r="B2256" s="197" t="s">
        <v>5838</v>
      </c>
      <c r="C2256" s="197">
        <v>1992</v>
      </c>
      <c r="D2256" s="225" t="str">
        <f t="shared" si="23"/>
        <v>2050_1992</v>
      </c>
      <c r="E2256" s="1291">
        <v>0.54042205362434492</v>
      </c>
      <c r="F2256" s="1280">
        <v>7.1663073917081072E-3</v>
      </c>
      <c r="G2256" s="1271">
        <v>3.9435588149627296</v>
      </c>
      <c r="H2256" s="1280">
        <v>8.5407058365107799E-2</v>
      </c>
      <c r="I2256" s="1271">
        <v>0.14310850173219331</v>
      </c>
      <c r="J2256" s="1280">
        <v>1.8388497226875291E-4</v>
      </c>
      <c r="K2256" s="1271">
        <v>2.8949823659084398E-3</v>
      </c>
      <c r="L2256" s="1257">
        <v>2.0000012371071485E-3</v>
      </c>
      <c r="M2256" s="1280">
        <v>2.0000012371071485E-3</v>
      </c>
      <c r="N2256" s="1271">
        <v>2.4824169687196095E-2</v>
      </c>
      <c r="O2256" s="1257">
        <v>9.6297023763720763E-3</v>
      </c>
      <c r="P2256" s="1293">
        <v>4.8148511881860381E-3</v>
      </c>
      <c r="Q2256" s="1292">
        <v>0.1495792331459512</v>
      </c>
    </row>
    <row r="2257" spans="1:17" s="212" customFormat="1" ht="15.5" x14ac:dyDescent="0.35">
      <c r="A2257" s="198">
        <v>2050</v>
      </c>
      <c r="B2257" s="197" t="s">
        <v>5838</v>
      </c>
      <c r="C2257" s="197">
        <v>1993</v>
      </c>
      <c r="D2257" s="225" t="str">
        <f t="shared" si="23"/>
        <v>2050_1993</v>
      </c>
      <c r="E2257" s="1291">
        <v>0.54042205362434492</v>
      </c>
      <c r="F2257" s="1280">
        <v>7.1663073917081072E-3</v>
      </c>
      <c r="G2257" s="1271">
        <v>3.9435588149627296</v>
      </c>
      <c r="H2257" s="1280">
        <v>8.5407058365107799E-2</v>
      </c>
      <c r="I2257" s="1271">
        <v>0.14310850173219331</v>
      </c>
      <c r="J2257" s="1280">
        <v>1.8388497226875291E-4</v>
      </c>
      <c r="K2257" s="1271">
        <v>2.8949823659084398E-3</v>
      </c>
      <c r="L2257" s="1257">
        <v>2.0000012371071485E-3</v>
      </c>
      <c r="M2257" s="1280">
        <v>2.0000012371071485E-3</v>
      </c>
      <c r="N2257" s="1271">
        <v>2.4824169687196095E-2</v>
      </c>
      <c r="O2257" s="1257">
        <v>9.6297023763720763E-3</v>
      </c>
      <c r="P2257" s="1293">
        <v>4.8148511881860381E-3</v>
      </c>
      <c r="Q2257" s="1292">
        <v>0.1495792331459512</v>
      </c>
    </row>
    <row r="2258" spans="1:17" s="212" customFormat="1" ht="15.5" x14ac:dyDescent="0.35">
      <c r="A2258" s="198">
        <v>2050</v>
      </c>
      <c r="B2258" s="197" t="s">
        <v>5838</v>
      </c>
      <c r="C2258" s="197">
        <v>1994</v>
      </c>
      <c r="D2258" s="225" t="str">
        <f t="shared" si="23"/>
        <v>2050_1994</v>
      </c>
      <c r="E2258" s="1291">
        <v>0.54042205362434492</v>
      </c>
      <c r="F2258" s="1280">
        <v>7.1663073917081072E-3</v>
      </c>
      <c r="G2258" s="1271">
        <v>3.9435588149627296</v>
      </c>
      <c r="H2258" s="1280">
        <v>8.5407058365107799E-2</v>
      </c>
      <c r="I2258" s="1271">
        <v>0.14310850173219331</v>
      </c>
      <c r="J2258" s="1280">
        <v>1.8388497226875291E-4</v>
      </c>
      <c r="K2258" s="1271">
        <v>2.8949823659084398E-3</v>
      </c>
      <c r="L2258" s="1257">
        <v>2.0000012371071485E-3</v>
      </c>
      <c r="M2258" s="1280">
        <v>2.0000012371071485E-3</v>
      </c>
      <c r="N2258" s="1271">
        <v>2.4824169687196095E-2</v>
      </c>
      <c r="O2258" s="1257">
        <v>9.6297023763720763E-3</v>
      </c>
      <c r="P2258" s="1293">
        <v>4.8148511881860381E-3</v>
      </c>
      <c r="Q2258" s="1292">
        <v>0.1495792331459512</v>
      </c>
    </row>
    <row r="2259" spans="1:17" s="212" customFormat="1" ht="15.5" x14ac:dyDescent="0.35">
      <c r="A2259" s="198">
        <v>2050</v>
      </c>
      <c r="B2259" s="197" t="s">
        <v>5838</v>
      </c>
      <c r="C2259" s="197">
        <v>1995</v>
      </c>
      <c r="D2259" s="225" t="str">
        <f t="shared" si="23"/>
        <v>2050_1995</v>
      </c>
      <c r="E2259" s="1291">
        <v>0.54042205362434492</v>
      </c>
      <c r="F2259" s="1280">
        <v>7.1663073917081072E-3</v>
      </c>
      <c r="G2259" s="1271">
        <v>3.9435588149627296</v>
      </c>
      <c r="H2259" s="1280">
        <v>8.5407058365107799E-2</v>
      </c>
      <c r="I2259" s="1271">
        <v>0.14310850173219331</v>
      </c>
      <c r="J2259" s="1280">
        <v>1.8388497226875291E-4</v>
      </c>
      <c r="K2259" s="1271">
        <v>2.8949823659084398E-3</v>
      </c>
      <c r="L2259" s="1257">
        <v>2.0000012371071485E-3</v>
      </c>
      <c r="M2259" s="1280">
        <v>2.0000012371071485E-3</v>
      </c>
      <c r="N2259" s="1271">
        <v>2.4824169687196095E-2</v>
      </c>
      <c r="O2259" s="1257">
        <v>9.6297023763720763E-3</v>
      </c>
      <c r="P2259" s="1293">
        <v>4.8148511881860381E-3</v>
      </c>
      <c r="Q2259" s="1292">
        <v>0.1495792331459512</v>
      </c>
    </row>
    <row r="2260" spans="1:17" s="212" customFormat="1" ht="15.5" x14ac:dyDescent="0.35">
      <c r="A2260" s="198">
        <v>2050</v>
      </c>
      <c r="B2260" s="197" t="s">
        <v>5838</v>
      </c>
      <c r="C2260" s="197">
        <v>1996</v>
      </c>
      <c r="D2260" s="225" t="str">
        <f t="shared" si="23"/>
        <v>2050_1996</v>
      </c>
      <c r="E2260" s="1291">
        <v>0.54042205362434492</v>
      </c>
      <c r="F2260" s="1280">
        <v>7.1663073917081072E-3</v>
      </c>
      <c r="G2260" s="1271">
        <v>3.9435588149627296</v>
      </c>
      <c r="H2260" s="1280">
        <v>8.5407058365107799E-2</v>
      </c>
      <c r="I2260" s="1271">
        <v>0.14310850173219331</v>
      </c>
      <c r="J2260" s="1280">
        <v>1.8388497226875291E-4</v>
      </c>
      <c r="K2260" s="1271">
        <v>2.8949823659084398E-3</v>
      </c>
      <c r="L2260" s="1257">
        <v>2.0000012371071485E-3</v>
      </c>
      <c r="M2260" s="1280">
        <v>2.0000012371071485E-3</v>
      </c>
      <c r="N2260" s="1271">
        <v>2.4824169687196095E-2</v>
      </c>
      <c r="O2260" s="1257">
        <v>9.6297023763720763E-3</v>
      </c>
      <c r="P2260" s="1293">
        <v>4.8148511881860381E-3</v>
      </c>
      <c r="Q2260" s="1292">
        <v>0.1495792331459512</v>
      </c>
    </row>
    <row r="2261" spans="1:17" s="212" customFormat="1" ht="15.5" x14ac:dyDescent="0.35">
      <c r="A2261" s="198">
        <v>2050</v>
      </c>
      <c r="B2261" s="197" t="s">
        <v>5838</v>
      </c>
      <c r="C2261" s="197">
        <v>1997</v>
      </c>
      <c r="D2261" s="225" t="str">
        <f t="shared" si="23"/>
        <v>2050_1997</v>
      </c>
      <c r="E2261" s="1291">
        <v>0.54042205362434492</v>
      </c>
      <c r="F2261" s="1280">
        <v>7.1663073917081072E-3</v>
      </c>
      <c r="G2261" s="1271">
        <v>3.9435588149627296</v>
      </c>
      <c r="H2261" s="1280">
        <v>8.5407058365107799E-2</v>
      </c>
      <c r="I2261" s="1271">
        <v>0.14310850173219331</v>
      </c>
      <c r="J2261" s="1280">
        <v>1.8388497226875291E-4</v>
      </c>
      <c r="K2261" s="1271">
        <v>2.8949823659084398E-3</v>
      </c>
      <c r="L2261" s="1257">
        <v>2.0000012371071485E-3</v>
      </c>
      <c r="M2261" s="1280">
        <v>2.0000012371071485E-3</v>
      </c>
      <c r="N2261" s="1271">
        <v>2.4824169687196095E-2</v>
      </c>
      <c r="O2261" s="1257">
        <v>9.6297023763720763E-3</v>
      </c>
      <c r="P2261" s="1293">
        <v>4.8148511881860381E-3</v>
      </c>
      <c r="Q2261" s="1292">
        <v>0.1495792331459512</v>
      </c>
    </row>
    <row r="2262" spans="1:17" s="212" customFormat="1" ht="15.5" x14ac:dyDescent="0.35">
      <c r="A2262" s="198">
        <v>2050</v>
      </c>
      <c r="B2262" s="197" t="s">
        <v>5838</v>
      </c>
      <c r="C2262" s="197">
        <v>1998</v>
      </c>
      <c r="D2262" s="225" t="str">
        <f t="shared" si="23"/>
        <v>2050_1998</v>
      </c>
      <c r="E2262" s="1291">
        <v>0.54042205362434492</v>
      </c>
      <c r="F2262" s="1280">
        <v>7.1663073917081072E-3</v>
      </c>
      <c r="G2262" s="1271">
        <v>3.9435588149627296</v>
      </c>
      <c r="H2262" s="1280">
        <v>8.5407058365107799E-2</v>
      </c>
      <c r="I2262" s="1271">
        <v>0.14310850173219331</v>
      </c>
      <c r="J2262" s="1280">
        <v>1.8388497226875291E-4</v>
      </c>
      <c r="K2262" s="1271">
        <v>2.8949823659084398E-3</v>
      </c>
      <c r="L2262" s="1257">
        <v>2.0000012371071485E-3</v>
      </c>
      <c r="M2262" s="1280">
        <v>2.0000012371071485E-3</v>
      </c>
      <c r="N2262" s="1271">
        <v>2.4824169687196095E-2</v>
      </c>
      <c r="O2262" s="1257">
        <v>9.6297023763720763E-3</v>
      </c>
      <c r="P2262" s="1293">
        <v>4.8148511881860381E-3</v>
      </c>
      <c r="Q2262" s="1292">
        <v>0.1495792331459512</v>
      </c>
    </row>
    <row r="2263" spans="1:17" s="212" customFormat="1" ht="15.5" x14ac:dyDescent="0.35">
      <c r="A2263" s="198">
        <v>2050</v>
      </c>
      <c r="B2263" s="197" t="s">
        <v>5838</v>
      </c>
      <c r="C2263" s="197">
        <v>1999</v>
      </c>
      <c r="D2263" s="225" t="str">
        <f t="shared" si="23"/>
        <v>2050_1999</v>
      </c>
      <c r="E2263" s="1291">
        <v>0.54042205362434492</v>
      </c>
      <c r="F2263" s="1280">
        <v>7.1663073917081072E-3</v>
      </c>
      <c r="G2263" s="1271">
        <v>3.9435588149627296</v>
      </c>
      <c r="H2263" s="1280">
        <v>8.5407058365107799E-2</v>
      </c>
      <c r="I2263" s="1271">
        <v>0.14310850173219331</v>
      </c>
      <c r="J2263" s="1280">
        <v>1.8388497226875291E-4</v>
      </c>
      <c r="K2263" s="1271">
        <v>2.8949823659084398E-3</v>
      </c>
      <c r="L2263" s="1257">
        <v>2.0000012371071485E-3</v>
      </c>
      <c r="M2263" s="1280">
        <v>2.0000012371071485E-3</v>
      </c>
      <c r="N2263" s="1271">
        <v>2.4824169687196095E-2</v>
      </c>
      <c r="O2263" s="1257">
        <v>9.6297023763720763E-3</v>
      </c>
      <c r="P2263" s="1293">
        <v>4.8148511881860381E-3</v>
      </c>
      <c r="Q2263" s="1292">
        <v>0.1495792331459512</v>
      </c>
    </row>
    <row r="2264" spans="1:17" s="212" customFormat="1" ht="15.5" x14ac:dyDescent="0.35">
      <c r="A2264" s="198">
        <v>2050</v>
      </c>
      <c r="B2264" s="197" t="s">
        <v>5838</v>
      </c>
      <c r="C2264" s="197">
        <v>2000</v>
      </c>
      <c r="D2264" s="225" t="str">
        <f t="shared" si="23"/>
        <v>2050_2000</v>
      </c>
      <c r="E2264" s="1291">
        <v>0.54042205362434492</v>
      </c>
      <c r="F2264" s="1280">
        <v>7.1663073917081072E-3</v>
      </c>
      <c r="G2264" s="1271">
        <v>3.9435588149627296</v>
      </c>
      <c r="H2264" s="1280">
        <v>8.5407058365107799E-2</v>
      </c>
      <c r="I2264" s="1271">
        <v>0.14310850173219331</v>
      </c>
      <c r="J2264" s="1280">
        <v>1.8388497226875291E-4</v>
      </c>
      <c r="K2264" s="1271">
        <v>2.8949823659084398E-3</v>
      </c>
      <c r="L2264" s="1257">
        <v>2.0000012371071485E-3</v>
      </c>
      <c r="M2264" s="1280">
        <v>2.0000012371071485E-3</v>
      </c>
      <c r="N2264" s="1271">
        <v>2.4824169687196095E-2</v>
      </c>
      <c r="O2264" s="1257">
        <v>9.6297023763720763E-3</v>
      </c>
      <c r="P2264" s="1293">
        <v>4.8148511881860381E-3</v>
      </c>
      <c r="Q2264" s="1292">
        <v>0.1495792331459512</v>
      </c>
    </row>
    <row r="2265" spans="1:17" s="212" customFormat="1" ht="15.5" x14ac:dyDescent="0.35">
      <c r="A2265" s="198">
        <v>2050</v>
      </c>
      <c r="B2265" s="197" t="s">
        <v>5838</v>
      </c>
      <c r="C2265" s="197">
        <v>2001</v>
      </c>
      <c r="D2265" s="225" t="str">
        <f t="shared" si="23"/>
        <v>2050_2001</v>
      </c>
      <c r="E2265" s="1291">
        <v>0.54042205362434492</v>
      </c>
      <c r="F2265" s="1280">
        <v>7.1663073917081072E-3</v>
      </c>
      <c r="G2265" s="1271">
        <v>3.9435588149627296</v>
      </c>
      <c r="H2265" s="1280">
        <v>8.5407058365107799E-2</v>
      </c>
      <c r="I2265" s="1271">
        <v>0.14310850173219331</v>
      </c>
      <c r="J2265" s="1280">
        <v>1.8388497226875291E-4</v>
      </c>
      <c r="K2265" s="1271">
        <v>2.8949823659084398E-3</v>
      </c>
      <c r="L2265" s="1257">
        <v>2.0000012371071485E-3</v>
      </c>
      <c r="M2265" s="1280">
        <v>2.0000012371071485E-3</v>
      </c>
      <c r="N2265" s="1271">
        <v>2.4824169687196095E-2</v>
      </c>
      <c r="O2265" s="1257">
        <v>9.6297023763720763E-3</v>
      </c>
      <c r="P2265" s="1293">
        <v>4.8148511881860381E-3</v>
      </c>
      <c r="Q2265" s="1292">
        <v>0.1495792331459512</v>
      </c>
    </row>
    <row r="2266" spans="1:17" s="212" customFormat="1" ht="15.5" x14ac:dyDescent="0.35">
      <c r="A2266" s="198">
        <v>2050</v>
      </c>
      <c r="B2266" s="197" t="s">
        <v>5838</v>
      </c>
      <c r="C2266" s="197">
        <v>2002</v>
      </c>
      <c r="D2266" s="225" t="str">
        <f t="shared" si="23"/>
        <v>2050_2002</v>
      </c>
      <c r="E2266" s="1291">
        <v>0.54042205362434492</v>
      </c>
      <c r="F2266" s="1280">
        <v>7.1663073917081072E-3</v>
      </c>
      <c r="G2266" s="1271">
        <v>3.9435588149627296</v>
      </c>
      <c r="H2266" s="1280">
        <v>8.5407058365107799E-2</v>
      </c>
      <c r="I2266" s="1271">
        <v>0.14310850173219331</v>
      </c>
      <c r="J2266" s="1280">
        <v>1.8388497226875291E-4</v>
      </c>
      <c r="K2266" s="1271">
        <v>2.8949823659084398E-3</v>
      </c>
      <c r="L2266" s="1257">
        <v>2.0000012371071485E-3</v>
      </c>
      <c r="M2266" s="1280">
        <v>2.0000012371071485E-3</v>
      </c>
      <c r="N2266" s="1271">
        <v>2.4824169687196095E-2</v>
      </c>
      <c r="O2266" s="1257">
        <v>9.6297023763720763E-3</v>
      </c>
      <c r="P2266" s="1293">
        <v>4.8148511881860381E-3</v>
      </c>
      <c r="Q2266" s="1292">
        <v>0.1495792331459512</v>
      </c>
    </row>
    <row r="2267" spans="1:17" s="212" customFormat="1" ht="15.5" x14ac:dyDescent="0.35">
      <c r="A2267" s="198">
        <v>2050</v>
      </c>
      <c r="B2267" s="197" t="s">
        <v>5838</v>
      </c>
      <c r="C2267" s="197">
        <v>2003</v>
      </c>
      <c r="D2267" s="225" t="str">
        <f t="shared" si="23"/>
        <v>2050_2003</v>
      </c>
      <c r="E2267" s="1291">
        <v>0.54042205362434492</v>
      </c>
      <c r="F2267" s="1280">
        <v>7.1663073917081072E-3</v>
      </c>
      <c r="G2267" s="1271">
        <v>3.9435588149627296</v>
      </c>
      <c r="H2267" s="1280">
        <v>8.5407058365107799E-2</v>
      </c>
      <c r="I2267" s="1271">
        <v>0.14310850173219331</v>
      </c>
      <c r="J2267" s="1280">
        <v>1.8388497226875291E-4</v>
      </c>
      <c r="K2267" s="1271">
        <v>2.8949823659084398E-3</v>
      </c>
      <c r="L2267" s="1257">
        <v>2.0000012371071485E-3</v>
      </c>
      <c r="M2267" s="1280">
        <v>2.0000012371071485E-3</v>
      </c>
      <c r="N2267" s="1271">
        <v>2.4824169687196095E-2</v>
      </c>
      <c r="O2267" s="1257">
        <v>9.6297023763720763E-3</v>
      </c>
      <c r="P2267" s="1293">
        <v>4.8148511881860381E-3</v>
      </c>
      <c r="Q2267" s="1292">
        <v>0.1495792331459512</v>
      </c>
    </row>
    <row r="2268" spans="1:17" s="212" customFormat="1" ht="15.5" x14ac:dyDescent="0.35">
      <c r="A2268" s="198">
        <v>2050</v>
      </c>
      <c r="B2268" s="197" t="s">
        <v>5838</v>
      </c>
      <c r="C2268" s="197">
        <v>2004</v>
      </c>
      <c r="D2268" s="225" t="str">
        <f t="shared" si="23"/>
        <v>2050_2004</v>
      </c>
      <c r="E2268" s="1291">
        <v>0.54042205362434492</v>
      </c>
      <c r="F2268" s="1280">
        <v>7.1663073917081072E-3</v>
      </c>
      <c r="G2268" s="1271">
        <v>3.9435588149627296</v>
      </c>
      <c r="H2268" s="1280">
        <v>8.5407058365107799E-2</v>
      </c>
      <c r="I2268" s="1271">
        <v>0.14310850173219331</v>
      </c>
      <c r="J2268" s="1280">
        <v>1.8388497226875291E-4</v>
      </c>
      <c r="K2268" s="1271">
        <v>2.8949823659084398E-3</v>
      </c>
      <c r="L2268" s="1257">
        <v>2.0000012371071485E-3</v>
      </c>
      <c r="M2268" s="1280">
        <v>2.0000012371071485E-3</v>
      </c>
      <c r="N2268" s="1271">
        <v>2.4824169687196095E-2</v>
      </c>
      <c r="O2268" s="1257">
        <v>9.6297023763720763E-3</v>
      </c>
      <c r="P2268" s="1293">
        <v>4.8148511881860381E-3</v>
      </c>
      <c r="Q2268" s="1292">
        <v>0.1495792331459512</v>
      </c>
    </row>
    <row r="2269" spans="1:17" s="212" customFormat="1" ht="15.5" x14ac:dyDescent="0.35">
      <c r="A2269" s="198">
        <v>2050</v>
      </c>
      <c r="B2269" s="197" t="s">
        <v>5838</v>
      </c>
      <c r="C2269" s="197">
        <v>2005</v>
      </c>
      <c r="D2269" s="225" t="str">
        <f t="shared" si="23"/>
        <v>2050_2005</v>
      </c>
      <c r="E2269" s="1291">
        <v>0.54042205362434492</v>
      </c>
      <c r="F2269" s="1280">
        <v>7.1663073917081072E-3</v>
      </c>
      <c r="G2269" s="1271">
        <v>3.9435588149627296</v>
      </c>
      <c r="H2269" s="1280">
        <v>8.5407058365107799E-2</v>
      </c>
      <c r="I2269" s="1271">
        <v>0.14310850173219331</v>
      </c>
      <c r="J2269" s="1280">
        <v>1.8388497226875291E-4</v>
      </c>
      <c r="K2269" s="1271">
        <v>2.8949823659084398E-3</v>
      </c>
      <c r="L2269" s="1257">
        <v>2.0000012371071485E-3</v>
      </c>
      <c r="M2269" s="1280">
        <v>2.0000012371071485E-3</v>
      </c>
      <c r="N2269" s="1271">
        <v>2.4824169687196095E-2</v>
      </c>
      <c r="O2269" s="1257">
        <v>9.6297023763720763E-3</v>
      </c>
      <c r="P2269" s="1293">
        <v>4.8148511881860381E-3</v>
      </c>
      <c r="Q2269" s="1292">
        <v>0.1495792331459512</v>
      </c>
    </row>
    <row r="2270" spans="1:17" s="212" customFormat="1" ht="15.5" x14ac:dyDescent="0.35">
      <c r="A2270" s="198">
        <v>2050</v>
      </c>
      <c r="B2270" s="197" t="s">
        <v>5838</v>
      </c>
      <c r="C2270" s="197">
        <v>2006</v>
      </c>
      <c r="D2270" s="225" t="str">
        <f t="shared" si="23"/>
        <v>2050_2006</v>
      </c>
      <c r="E2270" s="1287">
        <v>0.54042205362434492</v>
      </c>
      <c r="F2270" s="1306">
        <v>7.1663073917081072E-3</v>
      </c>
      <c r="G2270" s="1303">
        <v>3.9435588149627296</v>
      </c>
      <c r="H2270" s="1306">
        <v>8.5407058365107799E-2</v>
      </c>
      <c r="I2270" s="1303">
        <v>0.14310850173219331</v>
      </c>
      <c r="J2270" s="1306">
        <v>1.8388497226875291E-4</v>
      </c>
      <c r="K2270" s="1303">
        <v>2.8949823659084398E-3</v>
      </c>
      <c r="L2270" s="1288">
        <v>2.0000012371071485E-3</v>
      </c>
      <c r="M2270" s="1280">
        <v>2.0000012371071485E-3</v>
      </c>
      <c r="N2270" s="1303">
        <v>2.4824169687196095E-2</v>
      </c>
      <c r="O2270" s="1288">
        <v>9.6297023763720763E-3</v>
      </c>
      <c r="P2270" s="1293">
        <v>4.8148511881860381E-3</v>
      </c>
      <c r="Q2270" s="1290">
        <v>0.1495792331459512</v>
      </c>
    </row>
    <row r="2271" spans="1:17" s="212" customFormat="1" ht="15.5" x14ac:dyDescent="0.35">
      <c r="A2271" s="198">
        <v>2050</v>
      </c>
      <c r="B2271" s="197" t="s">
        <v>5838</v>
      </c>
      <c r="C2271" s="197">
        <v>2007</v>
      </c>
      <c r="D2271" s="225" t="str">
        <f t="shared" si="23"/>
        <v>2050_2007</v>
      </c>
      <c r="E2271" s="1287">
        <v>0.28734464638229401</v>
      </c>
      <c r="F2271" s="1306">
        <v>8.9957291019304528E-3</v>
      </c>
      <c r="G2271" s="1303">
        <v>2.0834521493174938</v>
      </c>
      <c r="H2271" s="1306">
        <v>7.1079834052500235E-2</v>
      </c>
      <c r="I2271" s="1303">
        <v>7.5189973131347704E-2</v>
      </c>
      <c r="J2271" s="1306">
        <v>1.8758526034215467E-4</v>
      </c>
      <c r="K2271" s="1303">
        <v>2.8440657046277886E-3</v>
      </c>
      <c r="L2271" s="1288">
        <v>2.000001263149853E-3</v>
      </c>
      <c r="M2271" s="1280">
        <v>2.000001263149853E-3</v>
      </c>
      <c r="N2271" s="1303">
        <v>2.3626397808115773E-2</v>
      </c>
      <c r="O2271" s="1288">
        <v>6.8749889127150202E-3</v>
      </c>
      <c r="P2271" s="1293">
        <v>3.4374944563575101E-3</v>
      </c>
      <c r="Q2271" s="1290">
        <v>7.8589730065782931E-2</v>
      </c>
    </row>
    <row r="2272" spans="1:17" s="212" customFormat="1" ht="15.5" x14ac:dyDescent="0.35">
      <c r="A2272" s="198">
        <v>2050</v>
      </c>
      <c r="B2272" s="197" t="s">
        <v>5838</v>
      </c>
      <c r="C2272" s="197">
        <v>2008</v>
      </c>
      <c r="D2272" s="225" t="str">
        <f t="shared" si="23"/>
        <v>2050_2008</v>
      </c>
      <c r="E2272" s="1287">
        <v>0.30808901374594572</v>
      </c>
      <c r="F2272" s="1306">
        <v>8.3773799096709019E-3</v>
      </c>
      <c r="G2272" s="1303">
        <v>2.2432537422588976</v>
      </c>
      <c r="H2272" s="1306">
        <v>5.4281665898684502E-2</v>
      </c>
      <c r="I2272" s="1303">
        <v>8.0522372547484636E-2</v>
      </c>
      <c r="J2272" s="1306">
        <v>2.1112575452841845E-4</v>
      </c>
      <c r="K2272" s="1303">
        <v>2.9114344863306299E-3</v>
      </c>
      <c r="L2272" s="1288">
        <v>2.0000013746729276E-3</v>
      </c>
      <c r="M2272" s="1280">
        <v>2.0000013746729276E-3</v>
      </c>
      <c r="N2272" s="1303">
        <v>2.5216662510680336E-2</v>
      </c>
      <c r="O2272" s="1288">
        <v>6.8402976032408518E-3</v>
      </c>
      <c r="P2272" s="1293">
        <v>3.4201488016204259E-3</v>
      </c>
      <c r="Q2272" s="1290">
        <v>8.4163236921345641E-2</v>
      </c>
    </row>
    <row r="2273" spans="1:17" s="212" customFormat="1" ht="15.5" x14ac:dyDescent="0.35">
      <c r="A2273" s="198">
        <v>2050</v>
      </c>
      <c r="B2273" s="197" t="s">
        <v>5838</v>
      </c>
      <c r="C2273" s="197">
        <v>2009</v>
      </c>
      <c r="D2273" s="225" t="str">
        <f t="shared" si="23"/>
        <v>2050_2009</v>
      </c>
      <c r="E2273" s="1287">
        <v>0.28478015609319263</v>
      </c>
      <c r="F2273" s="1306">
        <v>7.9776096738449296E-3</v>
      </c>
      <c r="G2273" s="1303">
        <v>2.0469297239330153</v>
      </c>
      <c r="H2273" s="1306">
        <v>3.8747107147370036E-2</v>
      </c>
      <c r="I2273" s="1303">
        <v>7.4344334202464391E-2</v>
      </c>
      <c r="J2273" s="1306">
        <v>2.3944795316633202E-4</v>
      </c>
      <c r="K2273" s="1303">
        <v>2.8237200288375439E-3</v>
      </c>
      <c r="L2273" s="1288">
        <v>2.0000014181964145E-3</v>
      </c>
      <c r="M2273" s="1280">
        <v>2.0000014181964145E-3</v>
      </c>
      <c r="N2273" s="1303">
        <v>2.31547651735645E-2</v>
      </c>
      <c r="O2273" s="1288">
        <v>5.4452802713116054E-3</v>
      </c>
      <c r="P2273" s="1293">
        <v>2.7226401356558027E-3</v>
      </c>
      <c r="Q2273" s="1290">
        <v>7.7705855097002771E-2</v>
      </c>
    </row>
    <row r="2274" spans="1:17" s="212" customFormat="1" ht="15.5" x14ac:dyDescent="0.35">
      <c r="A2274" s="198">
        <v>2050</v>
      </c>
      <c r="B2274" s="197" t="s">
        <v>5838</v>
      </c>
      <c r="C2274" s="197">
        <v>2010</v>
      </c>
      <c r="D2274" s="225" t="str">
        <f t="shared" si="23"/>
        <v>2050_2010</v>
      </c>
      <c r="E2274" s="1287">
        <v>5.8039844224463427E-2</v>
      </c>
      <c r="F2274" s="1306">
        <v>7.3572885910175067E-3</v>
      </c>
      <c r="G2274" s="1303">
        <v>0.48461098347479054</v>
      </c>
      <c r="H2274" s="1306">
        <v>3.6873748144190963E-2</v>
      </c>
      <c r="I2274" s="1303">
        <v>1.6312094270777424E-2</v>
      </c>
      <c r="J2274" s="1306">
        <v>2.9613492006486076E-4</v>
      </c>
      <c r="K2274" s="1303">
        <v>2.6615022681496184E-3</v>
      </c>
      <c r="L2274" s="1288">
        <v>2.0000014818000286E-3</v>
      </c>
      <c r="M2274" s="1280">
        <v>2.0000014818000286E-3</v>
      </c>
      <c r="N2274" s="1303">
        <v>1.9341455670417076E-2</v>
      </c>
      <c r="O2274" s="1288">
        <v>4.5616350349052511E-3</v>
      </c>
      <c r="P2274" s="1293">
        <v>2.2808175174526255E-3</v>
      </c>
      <c r="Q2274" s="1290">
        <v>1.7049654789855661E-2</v>
      </c>
    </row>
    <row r="2275" spans="1:17" s="212" customFormat="1" ht="15.5" x14ac:dyDescent="0.35">
      <c r="A2275" s="198">
        <v>2050</v>
      </c>
      <c r="B2275" s="197" t="s">
        <v>5838</v>
      </c>
      <c r="C2275" s="197">
        <v>2011</v>
      </c>
      <c r="D2275" s="225" t="str">
        <f t="shared" si="23"/>
        <v>2050_2011</v>
      </c>
      <c r="E2275" s="1287">
        <v>6.9328502157697189E-2</v>
      </c>
      <c r="F2275" s="1306">
        <v>7.3365930672364991E-3</v>
      </c>
      <c r="G2275" s="1303">
        <v>0.61223326127664146</v>
      </c>
      <c r="H2275" s="1306">
        <v>3.6698064999240526E-2</v>
      </c>
      <c r="I2275" s="1303">
        <v>1.9186376317314867E-2</v>
      </c>
      <c r="J2275" s="1306">
        <v>3.9322229677319514E-4</v>
      </c>
      <c r="K2275" s="1303">
        <v>2.8517915502010091E-3</v>
      </c>
      <c r="L2275" s="1288">
        <v>2.0000014248221505E-3</v>
      </c>
      <c r="M2275" s="1280">
        <v>2.0000014248221505E-3</v>
      </c>
      <c r="N2275" s="1303">
        <v>2.3825131981511545E-2</v>
      </c>
      <c r="O2275" s="1288">
        <v>5.5733846959219466E-3</v>
      </c>
      <c r="P2275" s="1293">
        <v>2.7866923479609733E-3</v>
      </c>
      <c r="Q2275" s="1290">
        <v>2.0053899116099939E-2</v>
      </c>
    </row>
    <row r="2276" spans="1:17" s="212" customFormat="1" ht="15.5" x14ac:dyDescent="0.35">
      <c r="A2276" s="198">
        <v>2050</v>
      </c>
      <c r="B2276" s="197" t="s">
        <v>5838</v>
      </c>
      <c r="C2276" s="197">
        <v>2012</v>
      </c>
      <c r="D2276" s="225" t="str">
        <f t="shared" si="23"/>
        <v>2050_2012</v>
      </c>
      <c r="E2276" s="1287">
        <v>5.0270687945296488E-2</v>
      </c>
      <c r="F2276" s="1306">
        <v>6.9948634793078968E-3</v>
      </c>
      <c r="G2276" s="1303">
        <v>0.40301979845096814</v>
      </c>
      <c r="H2276" s="1306">
        <v>3.5618012749773081E-2</v>
      </c>
      <c r="I2276" s="1303">
        <v>1.4380865976370434E-2</v>
      </c>
      <c r="J2276" s="1306">
        <v>5.7022205541375399E-4</v>
      </c>
      <c r="K2276" s="1303">
        <v>2.5452945816758308E-3</v>
      </c>
      <c r="L2276" s="1288">
        <v>2.0000014600576122E-3</v>
      </c>
      <c r="M2276" s="1280">
        <v>2.0000014600576122E-3</v>
      </c>
      <c r="N2276" s="1303">
        <v>1.6594127277072622E-2</v>
      </c>
      <c r="O2276" s="1288">
        <v>6.0219367018023414E-3</v>
      </c>
      <c r="P2276" s="1293">
        <v>3.0109683509011707E-3</v>
      </c>
      <c r="Q2276" s="1290">
        <v>1.5031104921674263E-2</v>
      </c>
    </row>
    <row r="2277" spans="1:17" s="212" customFormat="1" ht="15.5" x14ac:dyDescent="0.35">
      <c r="A2277" s="198">
        <v>2050</v>
      </c>
      <c r="B2277" s="197" t="s">
        <v>5838</v>
      </c>
      <c r="C2277" s="197">
        <v>2013</v>
      </c>
      <c r="D2277" s="225" t="str">
        <f t="shared" si="23"/>
        <v>2050_2013</v>
      </c>
      <c r="E2277" s="1287">
        <v>6.9545994300056327E-2</v>
      </c>
      <c r="F2277" s="1306">
        <v>7.5149604573166674E-3</v>
      </c>
      <c r="G2277" s="1303">
        <v>0.61335241479862201</v>
      </c>
      <c r="H2277" s="1306">
        <v>3.6910663111103408E-2</v>
      </c>
      <c r="I2277" s="1303">
        <v>1.9225968404958882E-2</v>
      </c>
      <c r="J2277" s="1306">
        <v>8.5227312622622063E-4</v>
      </c>
      <c r="K2277" s="1303">
        <v>2.8533168293272187E-3</v>
      </c>
      <c r="L2277" s="1288">
        <v>2.0000014672673957E-3</v>
      </c>
      <c r="M2277" s="1280">
        <v>2.0000014672673957E-3</v>
      </c>
      <c r="N2277" s="1303">
        <v>2.385860265283125E-2</v>
      </c>
      <c r="O2277" s="1288">
        <v>6.0458493637170398E-3</v>
      </c>
      <c r="P2277" s="1293">
        <v>3.0229246818585199E-3</v>
      </c>
      <c r="Q2277" s="1290">
        <v>2.0095281382259886E-2</v>
      </c>
    </row>
    <row r="2278" spans="1:17" s="212" customFormat="1" ht="15.5" x14ac:dyDescent="0.35">
      <c r="A2278" s="198">
        <v>2050</v>
      </c>
      <c r="B2278" s="197" t="s">
        <v>5838</v>
      </c>
      <c r="C2278" s="197">
        <v>2014</v>
      </c>
      <c r="D2278" s="225" t="str">
        <f t="shared" si="23"/>
        <v>2050_2014</v>
      </c>
      <c r="E2278" s="1287">
        <v>6.1339615738162871E-2</v>
      </c>
      <c r="F2278" s="1306">
        <v>7.648442089700289E-3</v>
      </c>
      <c r="G2278" s="1303">
        <v>0.52467051380568586</v>
      </c>
      <c r="H2278" s="1306">
        <v>3.7300814869315878E-2</v>
      </c>
      <c r="I2278" s="1303">
        <v>1.7174125873102401E-2</v>
      </c>
      <c r="J2278" s="1306">
        <v>1.2038111479453267E-3</v>
      </c>
      <c r="K2278" s="1303">
        <v>2.7239723950185056E-3</v>
      </c>
      <c r="L2278" s="1288">
        <v>2.0000014821127173E-3</v>
      </c>
      <c r="M2278" s="1280">
        <v>2.0000014821127173E-3</v>
      </c>
      <c r="N2278" s="1303">
        <v>2.0804846376840085E-2</v>
      </c>
      <c r="O2278" s="1288">
        <v>5.2336492584435608E-3</v>
      </c>
      <c r="P2278" s="1293">
        <v>2.6168246292217804E-3</v>
      </c>
      <c r="Q2278" s="1290">
        <v>1.795066363602919E-2</v>
      </c>
    </row>
    <row r="2279" spans="1:17" s="212" customFormat="1" ht="15.5" x14ac:dyDescent="0.35">
      <c r="A2279" s="198">
        <v>2050</v>
      </c>
      <c r="B2279" s="197" t="s">
        <v>5838</v>
      </c>
      <c r="C2279" s="197">
        <v>2015</v>
      </c>
      <c r="D2279" s="225" t="str">
        <f t="shared" si="23"/>
        <v>2050_2015</v>
      </c>
      <c r="E2279" s="1287">
        <v>5.878623079893612E-2</v>
      </c>
      <c r="F2279" s="1306">
        <v>7.4824598073425369E-3</v>
      </c>
      <c r="G2279" s="1303">
        <v>0.50079889487260931</v>
      </c>
      <c r="H2279" s="1306">
        <v>3.6436073044053288E-2</v>
      </c>
      <c r="I2279" s="1303">
        <v>1.6579552968158068E-2</v>
      </c>
      <c r="J2279" s="1306">
        <v>1.4862602684389513E-3</v>
      </c>
      <c r="K2279" s="1303">
        <v>2.6913460801402111E-3</v>
      </c>
      <c r="L2279" s="1288">
        <v>2.0000014517121468E-3</v>
      </c>
      <c r="M2279" s="1280">
        <v>2.0000014517121468E-3</v>
      </c>
      <c r="N2279" s="1303">
        <v>2.0023072917401064E-2</v>
      </c>
      <c r="O2279" s="1288">
        <v>6.2270338960853993E-3</v>
      </c>
      <c r="P2279" s="1293">
        <v>3.1135169480426997E-3</v>
      </c>
      <c r="Q2279" s="1290">
        <v>1.7329206782701525E-2</v>
      </c>
    </row>
    <row r="2280" spans="1:17" s="212" customFormat="1" ht="15.5" x14ac:dyDescent="0.35">
      <c r="A2280" s="198">
        <v>2050</v>
      </c>
      <c r="B2280" s="197" t="s">
        <v>5838</v>
      </c>
      <c r="C2280" s="197">
        <v>2016</v>
      </c>
      <c r="D2280" s="225" t="str">
        <f t="shared" si="23"/>
        <v>2050_2016</v>
      </c>
      <c r="E2280" s="1287">
        <v>6.8169008351588789E-2</v>
      </c>
      <c r="F2280" s="1306">
        <v>7.3411408709419188E-3</v>
      </c>
      <c r="G2280" s="1303">
        <v>0.53801838016865444</v>
      </c>
      <c r="H2280" s="1306">
        <v>3.5631872835859515E-2</v>
      </c>
      <c r="I2280" s="1303">
        <v>1.8973493009459091E-2</v>
      </c>
      <c r="J2280" s="1306">
        <v>1.6819981138282189E-3</v>
      </c>
      <c r="K2280" s="1303">
        <v>2.8537222554542588E-3</v>
      </c>
      <c r="L2280" s="1288">
        <v>2.0000013966883392E-3</v>
      </c>
      <c r="M2280" s="1280">
        <v>2.0000013966883392E-3</v>
      </c>
      <c r="N2280" s="1303">
        <v>2.3852675732331432E-2</v>
      </c>
      <c r="O2280" s="1288">
        <v>7.3263923159939516E-3</v>
      </c>
      <c r="P2280" s="1293">
        <v>3.6631961579969758E-3</v>
      </c>
      <c r="Q2280" s="1290">
        <v>1.9831390169718546E-2</v>
      </c>
    </row>
    <row r="2281" spans="1:17" s="212" customFormat="1" ht="15.5" x14ac:dyDescent="0.35">
      <c r="A2281" s="198">
        <v>2050</v>
      </c>
      <c r="B2281" s="197" t="s">
        <v>5838</v>
      </c>
      <c r="C2281" s="197">
        <v>2017</v>
      </c>
      <c r="D2281" s="225" t="str">
        <f t="shared" si="23"/>
        <v>2050_2017</v>
      </c>
      <c r="E2281" s="1287">
        <v>7.0620292245414648E-2</v>
      </c>
      <c r="F2281" s="1306">
        <v>7.0704740210811102E-3</v>
      </c>
      <c r="G2281" s="1303">
        <v>0.48821042896311317</v>
      </c>
      <c r="H2281" s="1306">
        <v>3.4913552315325169E-2</v>
      </c>
      <c r="I2281" s="1303">
        <v>1.9593879086610016E-2</v>
      </c>
      <c r="J2281" s="1306">
        <v>1.8043378176626666E-3</v>
      </c>
      <c r="K2281" s="1303">
        <v>2.8927888698060266E-3</v>
      </c>
      <c r="L2281" s="1288">
        <v>2.0000013700886749E-3</v>
      </c>
      <c r="M2281" s="1280">
        <v>2.0000013700886749E-3</v>
      </c>
      <c r="N2281" s="1303">
        <v>2.4777295774888956E-2</v>
      </c>
      <c r="O2281" s="1288">
        <v>7.3826096743138921E-3</v>
      </c>
      <c r="P2281" s="1293">
        <v>3.691304837156946E-3</v>
      </c>
      <c r="Q2281" s="1290">
        <v>2.0479827352355741E-2</v>
      </c>
    </row>
    <row r="2282" spans="1:17" s="212" customFormat="1" ht="15.5" x14ac:dyDescent="0.35">
      <c r="A2282" s="198">
        <v>2050</v>
      </c>
      <c r="B2282" s="197" t="s">
        <v>5838</v>
      </c>
      <c r="C2282" s="197">
        <v>2018</v>
      </c>
      <c r="D2282" s="225" t="str">
        <f t="shared" si="23"/>
        <v>2050_2018</v>
      </c>
      <c r="E2282" s="1287">
        <v>6.7646976732602185E-2</v>
      </c>
      <c r="F2282" s="1306">
        <v>6.9685018273435012E-3</v>
      </c>
      <c r="G2282" s="1303">
        <v>0.38356139990004778</v>
      </c>
      <c r="H2282" s="1306">
        <v>3.4598168220575973E-2</v>
      </c>
      <c r="I2282" s="1303">
        <v>1.8832545389804289E-2</v>
      </c>
      <c r="J2282" s="1306">
        <v>1.9083680783067588E-3</v>
      </c>
      <c r="K2282" s="1303">
        <v>2.8403518887933918E-3</v>
      </c>
      <c r="L2282" s="1288">
        <v>2.0000013716514648E-3</v>
      </c>
      <c r="M2282" s="1280">
        <v>2.0000013716514648E-3</v>
      </c>
      <c r="N2282" s="1303">
        <v>2.3539739637140584E-2</v>
      </c>
      <c r="O2282" s="1288">
        <v>6.7128305060295138E-3</v>
      </c>
      <c r="P2282" s="1293">
        <v>3.3564152530147569E-3</v>
      </c>
      <c r="Q2282" s="1290">
        <v>1.9684069524148751E-2</v>
      </c>
    </row>
    <row r="2283" spans="1:17" s="212" customFormat="1" ht="15.5" x14ac:dyDescent="0.35">
      <c r="A2283" s="198">
        <v>2050</v>
      </c>
      <c r="B2283" s="197" t="s">
        <v>5838</v>
      </c>
      <c r="C2283" s="197">
        <v>2019</v>
      </c>
      <c r="D2283" s="225" t="str">
        <f t="shared" si="23"/>
        <v>2050_2019</v>
      </c>
      <c r="E2283" s="1287">
        <v>7.4150781612388611E-2</v>
      </c>
      <c r="F2283" s="1306">
        <v>6.8475955331206619E-3</v>
      </c>
      <c r="G2283" s="1303">
        <v>0.37349394105021499</v>
      </c>
      <c r="H2283" s="1306">
        <v>3.3955225704125722E-2</v>
      </c>
      <c r="I2283" s="1303">
        <v>2.0504162194938183E-2</v>
      </c>
      <c r="J2283" s="1306">
        <v>1.8107054145207132E-3</v>
      </c>
      <c r="K2283" s="1303">
        <v>2.9558084211157719E-3</v>
      </c>
      <c r="L2283" s="1288">
        <v>2.0000013066917973E-3</v>
      </c>
      <c r="M2283" s="1280">
        <v>2.0000013066917973E-3</v>
      </c>
      <c r="N2283" s="1303">
        <v>2.6260382193177619E-2</v>
      </c>
      <c r="O2283" s="1288">
        <v>6.8419426925969149E-3</v>
      </c>
      <c r="P2283" s="1293">
        <v>3.4209713462984574E-3</v>
      </c>
      <c r="Q2283" s="1290">
        <v>2.1431269423521075E-2</v>
      </c>
    </row>
    <row r="2284" spans="1:17" s="212" customFormat="1" ht="15.5" x14ac:dyDescent="0.35">
      <c r="A2284" s="198">
        <v>2050</v>
      </c>
      <c r="B2284" s="197" t="s">
        <v>5838</v>
      </c>
      <c r="C2284" s="197">
        <v>2020</v>
      </c>
      <c r="D2284" s="225" t="str">
        <f t="shared" si="23"/>
        <v>2050_2020</v>
      </c>
      <c r="E2284" s="1287">
        <v>6.5145992471266914E-2</v>
      </c>
      <c r="F2284" s="1306">
        <v>6.7244281073890275E-3</v>
      </c>
      <c r="G2284" s="1303">
        <v>0.29374196860102997</v>
      </c>
      <c r="H2284" s="1306">
        <v>3.3051365989812502E-2</v>
      </c>
      <c r="I2284" s="1303">
        <v>1.8703718021974763E-2</v>
      </c>
      <c r="J2284" s="1306">
        <v>1.3479942175859115E-3</v>
      </c>
      <c r="K2284" s="1303">
        <v>2.9416389914359883E-3</v>
      </c>
      <c r="L2284" s="1288">
        <v>2.0000013787625261E-3</v>
      </c>
      <c r="M2284" s="1280">
        <v>2.0000013787625261E-3</v>
      </c>
      <c r="N2284" s="1303">
        <v>2.5932007900631417E-2</v>
      </c>
      <c r="O2284" s="1288">
        <v>7.0230542688934829E-3</v>
      </c>
      <c r="P2284" s="1293">
        <v>3.5115271344467415E-3</v>
      </c>
      <c r="Q2284" s="1290">
        <v>1.9549417154408964E-2</v>
      </c>
    </row>
    <row r="2285" spans="1:17" s="212" customFormat="1" ht="15.5" x14ac:dyDescent="0.35">
      <c r="A2285" s="198">
        <v>2050</v>
      </c>
      <c r="B2285" s="197" t="s">
        <v>5838</v>
      </c>
      <c r="C2285" s="197">
        <v>2021</v>
      </c>
      <c r="D2285" s="225" t="str">
        <f t="shared" si="23"/>
        <v>2050_2021</v>
      </c>
      <c r="E2285" s="1287">
        <v>6.4482006644916143E-2</v>
      </c>
      <c r="F2285" s="1306">
        <v>6.5478204814129505E-3</v>
      </c>
      <c r="G2285" s="1303">
        <v>0.23989665114972666</v>
      </c>
      <c r="H2285" s="1306">
        <v>3.2284602623152414E-2</v>
      </c>
      <c r="I2285" s="1303">
        <v>1.8379667974071305E-2</v>
      </c>
      <c r="J2285" s="1306">
        <v>8.9377236025759733E-4</v>
      </c>
      <c r="K2285" s="1303">
        <v>2.9396064570169182E-3</v>
      </c>
      <c r="L2285" s="1288">
        <v>2.0000013939604137E-3</v>
      </c>
      <c r="M2285" s="1280">
        <v>2.0000013939604137E-3</v>
      </c>
      <c r="N2285" s="1303">
        <v>2.5884301297736532E-2</v>
      </c>
      <c r="O2285" s="1288">
        <v>7.0353147421684421E-3</v>
      </c>
      <c r="P2285" s="1293">
        <v>3.5176573710842211E-3</v>
      </c>
      <c r="Q2285" s="1290">
        <v>1.9210715001290058E-2</v>
      </c>
    </row>
    <row r="2286" spans="1:17" s="212" customFormat="1" ht="15.5" x14ac:dyDescent="0.35">
      <c r="A2286" s="198">
        <v>2050</v>
      </c>
      <c r="B2286" s="197" t="s">
        <v>5838</v>
      </c>
      <c r="C2286" s="197">
        <v>2022</v>
      </c>
      <c r="D2286" s="225" t="str">
        <f t="shared" si="23"/>
        <v>2050_2022</v>
      </c>
      <c r="E2286" s="1287">
        <v>6.4356577898953243E-2</v>
      </c>
      <c r="F2286" s="1306">
        <v>6.4181439009328772E-3</v>
      </c>
      <c r="G2286" s="1303">
        <v>0.18573701435212475</v>
      </c>
      <c r="H2286" s="1306">
        <v>3.1537756468359629E-2</v>
      </c>
      <c r="I2286" s="1303">
        <v>1.8338739445486203E-2</v>
      </c>
      <c r="J2286" s="1306">
        <v>8.9395491674933766E-4</v>
      </c>
      <c r="K2286" s="1303">
        <v>2.9370918743066312E-3</v>
      </c>
      <c r="L2286" s="1288">
        <v>2.0000013990620485E-3</v>
      </c>
      <c r="M2286" s="1280">
        <v>2.0000013990620485E-3</v>
      </c>
      <c r="N2286" s="1303">
        <v>2.5825286966766548E-2</v>
      </c>
      <c r="O2286" s="1288">
        <v>7.0749223949827991E-3</v>
      </c>
      <c r="P2286" s="1293">
        <v>3.5374611974913995E-3</v>
      </c>
      <c r="Q2286" s="1290">
        <v>1.916793586625995E-2</v>
      </c>
    </row>
    <row r="2287" spans="1:17" s="212" customFormat="1" ht="15.5" x14ac:dyDescent="0.35">
      <c r="A2287" s="198">
        <v>2050</v>
      </c>
      <c r="B2287" s="197" t="s">
        <v>5838</v>
      </c>
      <c r="C2287" s="197">
        <v>2023</v>
      </c>
      <c r="D2287" s="225" t="str">
        <f t="shared" si="23"/>
        <v>2050_2023</v>
      </c>
      <c r="E2287" s="1287">
        <v>6.4087933318156085E-2</v>
      </c>
      <c r="F2287" s="1306">
        <v>6.1769693969517172E-3</v>
      </c>
      <c r="G2287" s="1303">
        <v>0.18487742722260908</v>
      </c>
      <c r="H2287" s="1306">
        <v>3.0894745762384539E-2</v>
      </c>
      <c r="I2287" s="1303">
        <v>1.8254292401389156E-2</v>
      </c>
      <c r="J2287" s="1306">
        <v>8.9423980814990714E-4</v>
      </c>
      <c r="K2287" s="1303">
        <v>2.9322375740090359E-3</v>
      </c>
      <c r="L2287" s="1288">
        <v>2.0000014143665861E-3</v>
      </c>
      <c r="M2287" s="1280">
        <v>2.0000014143665861E-3</v>
      </c>
      <c r="N2287" s="1303">
        <v>2.5711517147552956E-2</v>
      </c>
      <c r="O2287" s="1288">
        <v>7.0946366925594305E-3</v>
      </c>
      <c r="P2287" s="1293">
        <v>3.5473183462797152E-3</v>
      </c>
      <c r="Q2287" s="1290">
        <v>1.9079670501557136E-2</v>
      </c>
    </row>
    <row r="2288" spans="1:17" s="212" customFormat="1" ht="15.5" x14ac:dyDescent="0.35">
      <c r="A2288" s="198">
        <v>2050</v>
      </c>
      <c r="B2288" s="197" t="s">
        <v>5838</v>
      </c>
      <c r="C2288" s="197">
        <v>2024</v>
      </c>
      <c r="D2288" s="225" t="str">
        <f t="shared" si="23"/>
        <v>2050_2024</v>
      </c>
      <c r="E2288" s="1287">
        <v>6.3882377340496344E-2</v>
      </c>
      <c r="F2288" s="1306">
        <v>5.6677301873486732E-3</v>
      </c>
      <c r="G2288" s="1303">
        <v>0.18421367798742849</v>
      </c>
      <c r="H2288" s="1306">
        <v>2.9946653992825482E-2</v>
      </c>
      <c r="I2288" s="1303">
        <v>1.8189344667059727E-2</v>
      </c>
      <c r="J2288" s="1306">
        <v>8.9261809863577335E-4</v>
      </c>
      <c r="K2288" s="1303">
        <v>2.9284564639499595E-3</v>
      </c>
      <c r="L2288" s="1288">
        <v>2.0000014266747766E-3</v>
      </c>
      <c r="M2288" s="1306">
        <v>2.0000005734010402E-3</v>
      </c>
      <c r="N2288" s="1303">
        <v>2.5622711546207298E-2</v>
      </c>
      <c r="O2288" s="1288">
        <v>6.9647877948857267E-3</v>
      </c>
      <c r="P2288" s="1294">
        <v>4.2806743696760302E-3</v>
      </c>
      <c r="Q2288" s="1290">
        <v>1.9011786118882611E-2</v>
      </c>
    </row>
    <row r="2289" spans="1:17" s="212" customFormat="1" ht="15.5" x14ac:dyDescent="0.35">
      <c r="A2289" s="198">
        <v>2050</v>
      </c>
      <c r="B2289" s="197" t="s">
        <v>5838</v>
      </c>
      <c r="C2289" s="197">
        <v>2025</v>
      </c>
      <c r="D2289" s="225" t="str">
        <f t="shared" si="23"/>
        <v>2050_2025</v>
      </c>
      <c r="E2289" s="1287">
        <v>6.3637284797798177E-2</v>
      </c>
      <c r="F2289" s="1306">
        <v>5.242665857372604E-3</v>
      </c>
      <c r="G2289" s="1303">
        <v>0.18343292940274677</v>
      </c>
      <c r="H2289" s="1306">
        <v>2.9238049544280029E-2</v>
      </c>
      <c r="I2289" s="1303">
        <v>1.8112634805111445E-2</v>
      </c>
      <c r="J2289" s="1306">
        <v>8.910051812121906E-4</v>
      </c>
      <c r="K2289" s="1303">
        <v>2.9240631117637209E-3</v>
      </c>
      <c r="L2289" s="1288">
        <v>2.0000014404375948E-3</v>
      </c>
      <c r="M2289" s="1306">
        <v>2.0000005734376108E-3</v>
      </c>
      <c r="N2289" s="1303">
        <v>2.5519524359817917E-2</v>
      </c>
      <c r="O2289" s="1288">
        <v>6.8374655350133583E-3</v>
      </c>
      <c r="P2289" s="1294">
        <v>4.77151729524626E-3</v>
      </c>
      <c r="Q2289" s="1290">
        <v>1.8931607777372062E-2</v>
      </c>
    </row>
    <row r="2290" spans="1:17" s="212" customFormat="1" ht="15.5" x14ac:dyDescent="0.35">
      <c r="A2290" s="198">
        <v>2050</v>
      </c>
      <c r="B2290" s="197" t="s">
        <v>5838</v>
      </c>
      <c r="C2290" s="197">
        <v>2026</v>
      </c>
      <c r="D2290" s="225" t="str">
        <f t="shared" si="23"/>
        <v>2050_2026</v>
      </c>
      <c r="E2290" s="1287">
        <v>6.3335242882806786E-2</v>
      </c>
      <c r="F2290" s="1306">
        <v>5.3170287856587018E-3</v>
      </c>
      <c r="G2290" s="1303">
        <v>0.18248110936996578</v>
      </c>
      <c r="H2290" s="1306">
        <v>2.9396909309937984E-2</v>
      </c>
      <c r="I2290" s="1303">
        <v>1.8018852888859481E-2</v>
      </c>
      <c r="J2290" s="1306">
        <v>7.7798197549638892E-4</v>
      </c>
      <c r="K2290" s="1303">
        <v>2.9187557776977104E-3</v>
      </c>
      <c r="L2290" s="1288">
        <v>2.0000014549835196E-3</v>
      </c>
      <c r="M2290" s="1306">
        <v>2.0000005735070622E-3</v>
      </c>
      <c r="N2290" s="1303">
        <v>2.5394665096468934E-2</v>
      </c>
      <c r="O2290" s="1288">
        <v>6.6589457278444881E-3</v>
      </c>
      <c r="P2290" s="1294">
        <v>5.7094901845671378E-3</v>
      </c>
      <c r="Q2290" s="1290">
        <v>1.883358545901816E-2</v>
      </c>
    </row>
    <row r="2291" spans="1:17" s="212" customFormat="1" ht="15.5" x14ac:dyDescent="0.35">
      <c r="A2291" s="198">
        <v>2050</v>
      </c>
      <c r="B2291" s="197" t="s">
        <v>5838</v>
      </c>
      <c r="C2291" s="197">
        <v>2027</v>
      </c>
      <c r="D2291" s="225" t="str">
        <f t="shared" si="23"/>
        <v>2050_2027</v>
      </c>
      <c r="E2291" s="1287">
        <v>6.2804294853168602E-2</v>
      </c>
      <c r="F2291" s="1306">
        <v>5.42381725490755E-3</v>
      </c>
      <c r="G2291" s="1303">
        <v>0.18073439697947213</v>
      </c>
      <c r="H2291" s="1306">
        <v>2.9554453961805543E-2</v>
      </c>
      <c r="I2291" s="1303">
        <v>1.7832576376429245E-2</v>
      </c>
      <c r="J2291" s="1306">
        <v>6.4431707660817449E-4</v>
      </c>
      <c r="K2291" s="1303">
        <v>2.9105270201246558E-3</v>
      </c>
      <c r="L2291" s="1288">
        <v>2.0000014761339473E-3</v>
      </c>
      <c r="M2291" s="1306">
        <v>2.0000005735733659E-3</v>
      </c>
      <c r="N2291" s="1303">
        <v>2.5200911398091264E-2</v>
      </c>
      <c r="O2291" s="1288">
        <v>6.4620176534263205E-3</v>
      </c>
      <c r="P2291" s="1294">
        <v>6.5931643743511433E-3</v>
      </c>
      <c r="Q2291" s="1290">
        <v>1.8638886349285639E-2</v>
      </c>
    </row>
    <row r="2292" spans="1:17" s="212" customFormat="1" ht="15.5" x14ac:dyDescent="0.35">
      <c r="A2292" s="198">
        <v>2050</v>
      </c>
      <c r="B2292" s="197" t="s">
        <v>5838</v>
      </c>
      <c r="C2292" s="197">
        <v>2028</v>
      </c>
      <c r="D2292" s="225" t="str">
        <f t="shared" si="23"/>
        <v>2050_2028</v>
      </c>
      <c r="E2292" s="1287">
        <v>6.2125236625477608E-2</v>
      </c>
      <c r="F2292" s="1306">
        <v>5.4598505381277694E-3</v>
      </c>
      <c r="G2292" s="1303">
        <v>0.17842200199578495</v>
      </c>
      <c r="H2292" s="1306">
        <v>2.9591281898654377E-2</v>
      </c>
      <c r="I2292" s="1303">
        <v>1.7574168505103058E-2</v>
      </c>
      <c r="J2292" s="1306">
        <v>5.2760308837070059E-4</v>
      </c>
      <c r="K2292" s="1303">
        <v>2.9008735154956852E-3</v>
      </c>
      <c r="L2292" s="1288">
        <v>2.0000014984574992E-3</v>
      </c>
      <c r="M2292" s="1306">
        <v>2.0000005736182974E-3</v>
      </c>
      <c r="N2292" s="1303">
        <v>2.4973284292968318E-2</v>
      </c>
      <c r="O2292" s="1288">
        <v>6.2754282058586431E-3</v>
      </c>
      <c r="P2292" s="1294">
        <v>7.1876511222994212E-3</v>
      </c>
      <c r="Q2292" s="1290">
        <v>1.8368794420685987E-2</v>
      </c>
    </row>
    <row r="2293" spans="1:17" s="212" customFormat="1" ht="15.5" x14ac:dyDescent="0.35">
      <c r="A2293" s="198">
        <v>2050</v>
      </c>
      <c r="B2293" s="197" t="s">
        <v>5838</v>
      </c>
      <c r="C2293" s="197">
        <v>2029</v>
      </c>
      <c r="D2293" s="225" t="str">
        <f t="shared" si="23"/>
        <v>2050_2029</v>
      </c>
      <c r="E2293" s="1287">
        <v>6.1323014344881924E-2</v>
      </c>
      <c r="F2293" s="1306">
        <v>5.4856247313569365E-3</v>
      </c>
      <c r="G2293" s="1303">
        <v>0.17562672357951872</v>
      </c>
      <c r="H2293" s="1306">
        <v>2.9572032773097931E-2</v>
      </c>
      <c r="I2293" s="1303">
        <v>1.7252483732440056E-2</v>
      </c>
      <c r="J2293" s="1306">
        <v>5.2268496202006098E-4</v>
      </c>
      <c r="K2293" s="1303">
        <v>2.8901873219424261E-3</v>
      </c>
      <c r="L2293" s="1288">
        <v>2.00000151824252E-3</v>
      </c>
      <c r="M2293" s="1306">
        <v>2.000000573651242E-3</v>
      </c>
      <c r="N2293" s="1303">
        <v>2.4720775231659779E-2</v>
      </c>
      <c r="O2293" s="1288">
        <v>6.0884134606915274E-3</v>
      </c>
      <c r="P2293" s="1294">
        <v>7.6200661421950561E-3</v>
      </c>
      <c r="Q2293" s="1290">
        <v>1.8032564490058307E-2</v>
      </c>
    </row>
    <row r="2294" spans="1:17" s="212" customFormat="1" ht="15.5" x14ac:dyDescent="0.35">
      <c r="A2294" s="198">
        <v>2050</v>
      </c>
      <c r="B2294" s="197" t="s">
        <v>5838</v>
      </c>
      <c r="C2294" s="197">
        <v>2030</v>
      </c>
      <c r="D2294" s="225" t="str">
        <f t="shared" si="23"/>
        <v>2050_2030</v>
      </c>
      <c r="E2294" s="1287">
        <v>6.0427102042519394E-2</v>
      </c>
      <c r="F2294" s="1306">
        <v>5.5154505693729462E-3</v>
      </c>
      <c r="G2294" s="1303">
        <v>0.17244327167000795</v>
      </c>
      <c r="H2294" s="1306">
        <v>2.9497603470125387E-2</v>
      </c>
      <c r="I2294" s="1303">
        <v>1.687763394184465E-2</v>
      </c>
      <c r="J2294" s="1306">
        <v>5.1832021335272542E-4</v>
      </c>
      <c r="K2294" s="1303">
        <v>2.8789162926741441E-3</v>
      </c>
      <c r="L2294" s="1288">
        <v>2.0000015370268643E-3</v>
      </c>
      <c r="M2294" s="1306">
        <v>2.0000005736752892E-3</v>
      </c>
      <c r="N2294" s="1303">
        <v>2.4453768170445134E-2</v>
      </c>
      <c r="O2294" s="1288">
        <v>5.9172275186474121E-3</v>
      </c>
      <c r="P2294" s="1294">
        <v>7.928876999087061E-3</v>
      </c>
      <c r="Q2294" s="1290">
        <v>1.7640765655303443E-2</v>
      </c>
    </row>
    <row r="2295" spans="1:17" s="212" customFormat="1" ht="15.5" x14ac:dyDescent="0.35">
      <c r="A2295" s="198">
        <v>2050</v>
      </c>
      <c r="B2295" s="197" t="s">
        <v>5838</v>
      </c>
      <c r="C2295" s="197">
        <v>2031</v>
      </c>
      <c r="D2295" s="225" t="str">
        <f t="shared" si="23"/>
        <v>2050_2031</v>
      </c>
      <c r="E2295" s="1287">
        <v>5.9375015308940036E-2</v>
      </c>
      <c r="F2295" s="1306">
        <v>5.4862439785252921E-3</v>
      </c>
      <c r="G2295" s="1303">
        <v>0.16869030714251326</v>
      </c>
      <c r="H2295" s="1306">
        <v>2.9331842569980227E-2</v>
      </c>
      <c r="I2295" s="1303">
        <v>1.6432503333920528E-2</v>
      </c>
      <c r="J2295" s="1306">
        <v>5.1337505573155907E-4</v>
      </c>
      <c r="K2295" s="1303">
        <v>2.865989499202162E-3</v>
      </c>
      <c r="L2295" s="1288">
        <v>2.0000015558843082E-3</v>
      </c>
      <c r="M2295" s="1306">
        <v>2.0000005737041979E-3</v>
      </c>
      <c r="N2295" s="1303">
        <v>2.4146925939988365E-2</v>
      </c>
      <c r="O2295" s="1288">
        <v>5.7208766943707863E-3</v>
      </c>
      <c r="P2295" s="1294">
        <v>8.3009148225143756E-3</v>
      </c>
      <c r="Q2295" s="1290">
        <v>1.7175508216526761E-2</v>
      </c>
    </row>
    <row r="2296" spans="1:17" s="212" customFormat="1" ht="15.5" x14ac:dyDescent="0.35">
      <c r="A2296" s="198">
        <v>2050</v>
      </c>
      <c r="B2296" s="197" t="s">
        <v>5838</v>
      </c>
      <c r="C2296" s="197">
        <v>2032</v>
      </c>
      <c r="D2296" s="225" t="str">
        <f t="shared" si="23"/>
        <v>2050_2032</v>
      </c>
      <c r="E2296" s="1287">
        <v>5.8198501669470146E-2</v>
      </c>
      <c r="F2296" s="1306">
        <v>5.445858438326485E-3</v>
      </c>
      <c r="G2296" s="1303">
        <v>0.16447291871197975</v>
      </c>
      <c r="H2296" s="1306">
        <v>2.9099203341276338E-2</v>
      </c>
      <c r="I2296" s="1303">
        <v>1.5928478555784605E-2</v>
      </c>
      <c r="J2296" s="1306">
        <v>5.088315167951483E-4</v>
      </c>
      <c r="K2296" s="1303">
        <v>2.8518859400984728E-3</v>
      </c>
      <c r="L2296" s="1288">
        <v>2.0000015773419936E-3</v>
      </c>
      <c r="M2296" s="1306">
        <v>2.000000573729259E-3</v>
      </c>
      <c r="N2296" s="1303">
        <v>2.3811378088303529E-2</v>
      </c>
      <c r="O2296" s="1288">
        <v>5.5331947083594561E-3</v>
      </c>
      <c r="P2296" s="1294">
        <v>8.6228351025896786E-3</v>
      </c>
      <c r="Q2296" s="1290">
        <v>1.6648693674500423E-2</v>
      </c>
    </row>
    <row r="2297" spans="1:17" s="212" customFormat="1" ht="15.5" x14ac:dyDescent="0.35">
      <c r="A2297" s="198">
        <v>2050</v>
      </c>
      <c r="B2297" s="197" t="s">
        <v>5838</v>
      </c>
      <c r="C2297" s="197">
        <v>2033</v>
      </c>
      <c r="D2297" s="225" t="str">
        <f t="shared" si="23"/>
        <v>2050_2033</v>
      </c>
      <c r="E2297" s="1287">
        <v>5.6674595655657072E-2</v>
      </c>
      <c r="F2297" s="1306">
        <v>5.3977991942055709E-3</v>
      </c>
      <c r="G2297" s="1303">
        <v>0.15914077804935373</v>
      </c>
      <c r="H2297" s="1306">
        <v>2.8820462215241323E-2</v>
      </c>
      <c r="I2297" s="1303">
        <v>1.5303577855590101E-2</v>
      </c>
      <c r="J2297" s="1306">
        <v>5.0388659321848773E-4</v>
      </c>
      <c r="K2297" s="1303">
        <v>2.8328320408694836E-3</v>
      </c>
      <c r="L2297" s="1288">
        <v>2.0000016013155923E-3</v>
      </c>
      <c r="M2297" s="1306">
        <v>2.0000005737470174E-3</v>
      </c>
      <c r="N2297" s="1303">
        <v>2.3357864654841739E-2</v>
      </c>
      <c r="O2297" s="1288">
        <v>5.3258974069517011E-3</v>
      </c>
      <c r="P2297" s="1294">
        <v>8.8486106882520125E-3</v>
      </c>
      <c r="Q2297" s="1290">
        <v>1.5995537737598899E-2</v>
      </c>
    </row>
    <row r="2298" spans="1:17" s="212" customFormat="1" ht="15.5" x14ac:dyDescent="0.35">
      <c r="A2298" s="198">
        <v>2050</v>
      </c>
      <c r="B2298" s="197" t="s">
        <v>5838</v>
      </c>
      <c r="C2298" s="197">
        <v>2034</v>
      </c>
      <c r="D2298" s="225" t="str">
        <f t="shared" si="23"/>
        <v>2050_2034</v>
      </c>
      <c r="E2298" s="1287">
        <v>5.5033261801360971E-2</v>
      </c>
      <c r="F2298" s="1306">
        <v>5.3368065544732056E-3</v>
      </c>
      <c r="G2298" s="1303">
        <v>0.15339784913248877</v>
      </c>
      <c r="H2298" s="1306">
        <v>2.847578206762038E-2</v>
      </c>
      <c r="I2298" s="1303">
        <v>1.4628624875930163E-2</v>
      </c>
      <c r="J2298" s="1306">
        <v>4.9924131585540529E-4</v>
      </c>
      <c r="K2298" s="1303">
        <v>2.8125670652535345E-3</v>
      </c>
      <c r="L2298" s="1288">
        <v>2.0000016214018188E-3</v>
      </c>
      <c r="M2298" s="1306">
        <v>2.0000005737637345E-3</v>
      </c>
      <c r="N2298" s="1303">
        <v>2.2873919703126376E-2</v>
      </c>
      <c r="O2298" s="1288">
        <v>5.1271149305142736E-3</v>
      </c>
      <c r="P2298" s="1294">
        <v>9.0596701418363349E-3</v>
      </c>
      <c r="Q2298" s="1290">
        <v>1.5290066379258225E-2</v>
      </c>
    </row>
    <row r="2299" spans="1:17" s="212" customFormat="1" ht="15.5" x14ac:dyDescent="0.35">
      <c r="A2299" s="198">
        <v>2050</v>
      </c>
      <c r="B2299" s="197" t="s">
        <v>5838</v>
      </c>
      <c r="C2299" s="197">
        <v>2035</v>
      </c>
      <c r="D2299" s="225" t="str">
        <f t="shared" si="23"/>
        <v>2050_2035</v>
      </c>
      <c r="E2299" s="1287">
        <v>5.3183948603894318E-2</v>
      </c>
      <c r="F2299" s="1306">
        <v>5.2638756841405423E-3</v>
      </c>
      <c r="G2299" s="1303">
        <v>0.14699386553710078</v>
      </c>
      <c r="H2299" s="1306">
        <v>2.8064408756617226E-2</v>
      </c>
      <c r="I2299" s="1303">
        <v>1.3881450919787342E-2</v>
      </c>
      <c r="J2299" s="1306">
        <v>4.9502634921069029E-4</v>
      </c>
      <c r="K2299" s="1303">
        <v>2.7894763495654893E-3</v>
      </c>
      <c r="L2299" s="1288">
        <v>2.000001641789791E-3</v>
      </c>
      <c r="M2299" s="1306">
        <v>2.0000005737803557E-3</v>
      </c>
      <c r="N2299" s="1303">
        <v>2.2321147584465132E-2</v>
      </c>
      <c r="O2299" s="1288">
        <v>4.9391898137048779E-3</v>
      </c>
      <c r="P2299" s="1294">
        <v>9.2574749095710295E-3</v>
      </c>
      <c r="Q2299" s="1290">
        <v>1.450910853235399E-2</v>
      </c>
    </row>
    <row r="2300" spans="1:17" s="212" customFormat="1" ht="15.5" x14ac:dyDescent="0.35">
      <c r="A2300" s="198">
        <v>2050</v>
      </c>
      <c r="B2300" s="197" t="s">
        <v>5838</v>
      </c>
      <c r="C2300" s="197">
        <v>2036</v>
      </c>
      <c r="D2300" s="225" t="str">
        <f t="shared" si="23"/>
        <v>2050_2036</v>
      </c>
      <c r="E2300" s="1287">
        <v>5.2375900370506309E-2</v>
      </c>
      <c r="F2300" s="1306">
        <v>5.1634660761354558E-3</v>
      </c>
      <c r="G2300" s="1303">
        <v>0.14355817474221638</v>
      </c>
      <c r="H2300" s="1306">
        <v>2.7505636237635307E-2</v>
      </c>
      <c r="I2300" s="1303">
        <v>1.34067572529851E-2</v>
      </c>
      <c r="J2300" s="1306">
        <v>4.9446137111097796E-4</v>
      </c>
      <c r="K2300" s="1303">
        <v>2.7847252538678365E-3</v>
      </c>
      <c r="L2300" s="1288">
        <v>2.0000016568259876E-3</v>
      </c>
      <c r="M2300" s="1306">
        <v>2.0000005737767198E-3</v>
      </c>
      <c r="N2300" s="1303">
        <v>2.2200415842627361E-2</v>
      </c>
      <c r="O2300" s="1288">
        <v>4.8815238556684177E-3</v>
      </c>
      <c r="P2300" s="1294">
        <v>9.1957645811660185E-3</v>
      </c>
      <c r="Q2300" s="1290">
        <v>1.4012951324360883E-2</v>
      </c>
    </row>
    <row r="2301" spans="1:17" s="212" customFormat="1" ht="15.5" x14ac:dyDescent="0.35">
      <c r="A2301" s="198">
        <v>2050</v>
      </c>
      <c r="B2301" s="197" t="s">
        <v>5838</v>
      </c>
      <c r="C2301" s="197">
        <v>2037</v>
      </c>
      <c r="D2301" s="225" t="str">
        <f t="shared" si="23"/>
        <v>2050_2037</v>
      </c>
      <c r="E2301" s="1287">
        <v>5.1471102730494447E-2</v>
      </c>
      <c r="F2301" s="1306">
        <v>5.0529354232443499E-3</v>
      </c>
      <c r="G2301" s="1303">
        <v>0.13975277396982319</v>
      </c>
      <c r="H2301" s="1306">
        <v>2.6890954554150585E-2</v>
      </c>
      <c r="I2301" s="1303">
        <v>1.2883796118679599E-2</v>
      </c>
      <c r="J2301" s="1306">
        <v>4.9406922503643087E-4</v>
      </c>
      <c r="K2301" s="1303">
        <v>2.7791915710319855E-3</v>
      </c>
      <c r="L2301" s="1288">
        <v>2.0000016714180912E-3</v>
      </c>
      <c r="M2301" s="1306">
        <v>2.0000005737733258E-3</v>
      </c>
      <c r="N2301" s="1303">
        <v>2.2060002356924759E-2</v>
      </c>
      <c r="O2301" s="1288">
        <v>4.8270185839253844E-3</v>
      </c>
      <c r="P2301" s="1294">
        <v>9.1376548695946448E-3</v>
      </c>
      <c r="Q2301" s="1290">
        <v>1.3466344208167712E-2</v>
      </c>
    </row>
    <row r="2302" spans="1:17" s="212" customFormat="1" ht="15.5" x14ac:dyDescent="0.35">
      <c r="A2302" s="198">
        <v>2050</v>
      </c>
      <c r="B2302" s="197" t="s">
        <v>5838</v>
      </c>
      <c r="C2302" s="197">
        <v>2038</v>
      </c>
      <c r="D2302" s="225" t="str">
        <f t="shared" si="23"/>
        <v>2050_2038</v>
      </c>
      <c r="E2302" s="1287">
        <v>5.0621763100590605E-2</v>
      </c>
      <c r="F2302" s="1306">
        <v>4.9328419873602477E-3</v>
      </c>
      <c r="G2302" s="1303">
        <v>0.1360148269570636</v>
      </c>
      <c r="H2302" s="1306">
        <v>2.6224138433523957E-2</v>
      </c>
      <c r="I2302" s="1303">
        <v>1.2353367458768411E-2</v>
      </c>
      <c r="J2302" s="1306">
        <v>4.9372373278288206E-4</v>
      </c>
      <c r="K2302" s="1303">
        <v>2.7754914311708219E-3</v>
      </c>
      <c r="L2302" s="1288">
        <v>2.0000016846679859E-3</v>
      </c>
      <c r="M2302" s="1306">
        <v>2.0000005737709002E-3</v>
      </c>
      <c r="N2302" s="1303">
        <v>2.1961897436535295E-2</v>
      </c>
      <c r="O2302" s="1288">
        <v>4.7707988668675315E-3</v>
      </c>
      <c r="P2302" s="1294">
        <v>9.0943893036582717E-3</v>
      </c>
      <c r="Q2302" s="1290">
        <v>1.2911931917997692E-2</v>
      </c>
    </row>
    <row r="2303" spans="1:17" s="212" customFormat="1" ht="15.5" x14ac:dyDescent="0.35">
      <c r="A2303" s="198">
        <v>2050</v>
      </c>
      <c r="B2303" s="197" t="s">
        <v>5838</v>
      </c>
      <c r="C2303" s="197">
        <v>2039</v>
      </c>
      <c r="D2303" s="225" t="str">
        <f t="shared" si="23"/>
        <v>2050_2039</v>
      </c>
      <c r="E2303" s="1287">
        <v>4.9682190911322997E-2</v>
      </c>
      <c r="F2303" s="1306">
        <v>4.8033925203661062E-3</v>
      </c>
      <c r="G2303" s="1303">
        <v>0.13192858370140406</v>
      </c>
      <c r="H2303" s="1306">
        <v>2.5504097215944911E-2</v>
      </c>
      <c r="I2303" s="1303">
        <v>1.1777017948240718E-2</v>
      </c>
      <c r="J2303" s="1306">
        <v>4.9342156204725863E-4</v>
      </c>
      <c r="K2303" s="1303">
        <v>2.7711010196752751E-3</v>
      </c>
      <c r="L2303" s="1288">
        <v>2.0000016985886326E-3</v>
      </c>
      <c r="M2303" s="1306">
        <v>2.000000573768014E-3</v>
      </c>
      <c r="N2303" s="1303">
        <v>2.184618594721623E-2</v>
      </c>
      <c r="O2303" s="1288">
        <v>4.7121428547544442E-3</v>
      </c>
      <c r="P2303" s="1294">
        <v>9.0481291191123886E-3</v>
      </c>
      <c r="Q2303" s="1290">
        <v>1.2309522440116974E-2</v>
      </c>
    </row>
    <row r="2304" spans="1:17" s="212" customFormat="1" ht="15.5" x14ac:dyDescent="0.35">
      <c r="A2304" s="198">
        <v>2050</v>
      </c>
      <c r="B2304" s="197" t="s">
        <v>5838</v>
      </c>
      <c r="C2304" s="197">
        <v>2040</v>
      </c>
      <c r="D2304" s="225" t="str">
        <f t="shared" si="23"/>
        <v>2050_2040</v>
      </c>
      <c r="E2304" s="1287">
        <v>4.8787575934337697E-2</v>
      </c>
      <c r="F2304" s="1306">
        <v>4.6648311512363615E-3</v>
      </c>
      <c r="G2304" s="1303">
        <v>0.12787131736339385</v>
      </c>
      <c r="H2304" s="1306">
        <v>2.4732855667831243E-2</v>
      </c>
      <c r="I2304" s="1303">
        <v>1.1188722317868294E-2</v>
      </c>
      <c r="J2304" s="1306">
        <v>4.9299436184955506E-4</v>
      </c>
      <c r="K2304" s="1303">
        <v>2.76839280667583E-3</v>
      </c>
      <c r="L2304" s="1288">
        <v>2.0000017122982438E-3</v>
      </c>
      <c r="M2304" s="1306">
        <v>2.0000005737648612E-3</v>
      </c>
      <c r="N2304" s="1303">
        <v>2.1769375436944335E-2</v>
      </c>
      <c r="O2304" s="1288">
        <v>4.6450601434575552E-3</v>
      </c>
      <c r="P2304" s="1294">
        <v>9.0052825243189649E-3</v>
      </c>
      <c r="Q2304" s="1290">
        <v>1.1694626691862359E-2</v>
      </c>
    </row>
    <row r="2305" spans="1:17" s="212" customFormat="1" ht="15.5" x14ac:dyDescent="0.35">
      <c r="A2305" s="198">
        <v>2050</v>
      </c>
      <c r="B2305" s="197" t="s">
        <v>5838</v>
      </c>
      <c r="C2305" s="197">
        <v>2041</v>
      </c>
      <c r="D2305" s="225" t="str">
        <f t="shared" si="23"/>
        <v>2050_2041</v>
      </c>
      <c r="E2305" s="1287">
        <v>4.7766337406854625E-2</v>
      </c>
      <c r="F2305" s="1306">
        <v>4.5162188540940765E-3</v>
      </c>
      <c r="G2305" s="1303">
        <v>0.12336985614974336</v>
      </c>
      <c r="H2305" s="1306">
        <v>2.3902104209867599E-2</v>
      </c>
      <c r="I2305" s="1303">
        <v>1.0546491880649954E-2</v>
      </c>
      <c r="J2305" s="1306">
        <v>4.9282112942938719E-4</v>
      </c>
      <c r="K2305" s="1303">
        <v>2.7643266715543105E-3</v>
      </c>
      <c r="L2305" s="1288">
        <v>2.000001728755522E-3</v>
      </c>
      <c r="M2305" s="1306">
        <v>2.0000005737618497E-3</v>
      </c>
      <c r="N2305" s="1303">
        <v>2.1659141080284883E-2</v>
      </c>
      <c r="O2305" s="1288">
        <v>4.581585127892196E-3</v>
      </c>
      <c r="P2305" s="1294">
        <v>8.9628741823212944E-3</v>
      </c>
      <c r="Q2305" s="1290">
        <v>1.1023357444128358E-2</v>
      </c>
    </row>
    <row r="2306" spans="1:17" s="212" customFormat="1" ht="15.5" x14ac:dyDescent="0.35">
      <c r="A2306" s="198">
        <v>2050</v>
      </c>
      <c r="B2306" s="197" t="s">
        <v>5838</v>
      </c>
      <c r="C2306" s="197">
        <v>2042</v>
      </c>
      <c r="D2306" s="225" t="str">
        <f t="shared" si="23"/>
        <v>2050_2042</v>
      </c>
      <c r="E2306" s="1287">
        <v>4.6826694045980763E-2</v>
      </c>
      <c r="F2306" s="1306">
        <v>4.3551898636101016E-3</v>
      </c>
      <c r="G2306" s="1303">
        <v>0.11898950275689105</v>
      </c>
      <c r="H2306" s="1306">
        <v>2.3006658413149323E-2</v>
      </c>
      <c r="I2306" s="1303">
        <v>9.8990894190158132E-3</v>
      </c>
      <c r="J2306" s="1306">
        <v>4.9280386868311057E-4</v>
      </c>
      <c r="K2306" s="1303">
        <v>2.7626697071224168E-3</v>
      </c>
      <c r="L2306" s="1288">
        <v>2.0000017385642531E-3</v>
      </c>
      <c r="M2306" s="1306">
        <v>2.0000005737617504E-3</v>
      </c>
      <c r="N2306" s="1303">
        <v>2.1605067396047582E-2</v>
      </c>
      <c r="O2306" s="1288">
        <v>4.5234906655160154E-3</v>
      </c>
      <c r="P2306" s="1294">
        <v>8.9509575152761246E-3</v>
      </c>
      <c r="Q2306" s="1290">
        <v>1.0346682315984998E-2</v>
      </c>
    </row>
    <row r="2307" spans="1:17" s="212" customFormat="1" ht="15.5" x14ac:dyDescent="0.35">
      <c r="A2307" s="198">
        <v>2050</v>
      </c>
      <c r="B2307" s="197" t="s">
        <v>5838</v>
      </c>
      <c r="C2307" s="197">
        <v>2043</v>
      </c>
      <c r="D2307" s="225" t="str">
        <f t="shared" si="23"/>
        <v>2050_2043</v>
      </c>
      <c r="E2307" s="1287">
        <v>4.5764181597494527E-2</v>
      </c>
      <c r="F2307" s="1306">
        <v>4.184762446029229E-3</v>
      </c>
      <c r="G2307" s="1303">
        <v>0.11418005445783699</v>
      </c>
      <c r="H2307" s="1306">
        <v>2.2056056861889415E-2</v>
      </c>
      <c r="I2307" s="1303">
        <v>9.199550803882588E-3</v>
      </c>
      <c r="J2307" s="1306">
        <v>4.9271989201270315E-4</v>
      </c>
      <c r="K2307" s="1303">
        <v>2.759708035030191E-3</v>
      </c>
      <c r="L2307" s="1288">
        <v>2.000001751382778E-3</v>
      </c>
      <c r="M2307" s="1306">
        <v>2.0000005737600061E-3</v>
      </c>
      <c r="N2307" s="1303">
        <v>2.1518709471642514E-2</v>
      </c>
      <c r="O2307" s="1288">
        <v>4.4580888872847741E-3</v>
      </c>
      <c r="P2307" s="1294">
        <v>8.9241266495579986E-3</v>
      </c>
      <c r="Q2307" s="1290">
        <v>9.6155136688320514E-3</v>
      </c>
    </row>
    <row r="2308" spans="1:17" s="212" customFormat="1" ht="15.5" x14ac:dyDescent="0.35">
      <c r="A2308" s="198">
        <v>2050</v>
      </c>
      <c r="B2308" s="197" t="s">
        <v>5838</v>
      </c>
      <c r="C2308" s="197">
        <v>2044</v>
      </c>
      <c r="D2308" s="225" t="str">
        <f t="shared" si="23"/>
        <v>2050_2044</v>
      </c>
      <c r="E2308" s="1287">
        <v>4.4686937075403318E-2</v>
      </c>
      <c r="F2308" s="1306">
        <v>4.0055537410500358E-3</v>
      </c>
      <c r="G2308" s="1303">
        <v>0.10922737595047147</v>
      </c>
      <c r="H2308" s="1306">
        <v>2.1052972218633198E-2</v>
      </c>
      <c r="I2308" s="1303">
        <v>8.4718120747203883E-3</v>
      </c>
      <c r="J2308" s="1306">
        <v>4.9261468049878986E-4</v>
      </c>
      <c r="K2308" s="1303">
        <v>2.7574064042944261E-3</v>
      </c>
      <c r="L2308" s="1288">
        <v>2.0000017671557508E-3</v>
      </c>
      <c r="M2308" s="1306">
        <v>2.0000005737576486E-3</v>
      </c>
      <c r="N2308" s="1303">
        <v>2.1447151614783874E-2</v>
      </c>
      <c r="O2308" s="1288">
        <v>4.385771890891896E-3</v>
      </c>
      <c r="P2308" s="1294">
        <v>8.8953211048219023E-3</v>
      </c>
      <c r="Q2308" s="1290">
        <v>8.8548698236299347E-3</v>
      </c>
    </row>
    <row r="2309" spans="1:17" s="212" customFormat="1" ht="15.5" x14ac:dyDescent="0.35">
      <c r="A2309" s="198">
        <v>2050</v>
      </c>
      <c r="B2309" s="197" t="s">
        <v>5838</v>
      </c>
      <c r="C2309" s="197">
        <v>2045</v>
      </c>
      <c r="D2309" s="225" t="str">
        <f t="shared" si="23"/>
        <v>2050_2045</v>
      </c>
      <c r="E2309" s="1287">
        <v>4.3495337308778179E-2</v>
      </c>
      <c r="F2309" s="1306">
        <v>3.8190548042654798E-3</v>
      </c>
      <c r="G2309" s="1303">
        <v>0.10388298485942686</v>
      </c>
      <c r="H2309" s="1306">
        <v>2.0006726208556629E-2</v>
      </c>
      <c r="I2309" s="1303">
        <v>7.696810382842781E-3</v>
      </c>
      <c r="J2309" s="1306">
        <v>4.9235971356239509E-4</v>
      </c>
      <c r="K2309" s="1303">
        <v>2.7538929762822659E-3</v>
      </c>
      <c r="L2309" s="1288">
        <v>2.0000017872197646E-3</v>
      </c>
      <c r="M2309" s="1306">
        <v>2.0000005737538769E-3</v>
      </c>
      <c r="N2309" s="1303">
        <v>2.1345237464303737E-2</v>
      </c>
      <c r="O2309" s="1288">
        <v>4.3015147755774783E-3</v>
      </c>
      <c r="P2309" s="1294">
        <v>8.8449771054348748E-3</v>
      </c>
      <c r="Q2309" s="1290">
        <v>8.0448259942646899E-3</v>
      </c>
    </row>
    <row r="2310" spans="1:17" s="212" customFormat="1" ht="15.5" x14ac:dyDescent="0.35">
      <c r="A2310" s="198">
        <v>2050</v>
      </c>
      <c r="B2310" s="197" t="s">
        <v>5838</v>
      </c>
      <c r="C2310" s="197">
        <v>2046</v>
      </c>
      <c r="D2310" s="225" t="str">
        <f t="shared" si="23"/>
        <v>2050_2046</v>
      </c>
      <c r="E2310" s="1287">
        <v>4.2398089868232063E-2</v>
      </c>
      <c r="F2310" s="1306">
        <v>3.6244295744577962E-3</v>
      </c>
      <c r="G2310" s="1303">
        <v>9.865865174081101E-2</v>
      </c>
      <c r="H2310" s="1306">
        <v>1.8915783352435343E-2</v>
      </c>
      <c r="I2310" s="1303">
        <v>6.9121086368121856E-3</v>
      </c>
      <c r="J2310" s="1306">
        <v>4.9268310157320303E-4</v>
      </c>
      <c r="K2310" s="1303">
        <v>2.7531829851608581E-3</v>
      </c>
      <c r="L2310" s="1288">
        <v>2.0000018076646144E-3</v>
      </c>
      <c r="M2310" s="1306">
        <v>2.0000005737526171E-3</v>
      </c>
      <c r="N2310" s="1303">
        <v>2.1309960064595575E-2</v>
      </c>
      <c r="O2310" s="1288">
        <v>4.2353495870846745E-3</v>
      </c>
      <c r="P2310" s="1294">
        <v>8.8450781065193135E-3</v>
      </c>
      <c r="Q2310" s="1290">
        <v>7.2246435173410253E-3</v>
      </c>
    </row>
    <row r="2311" spans="1:17" s="212" customFormat="1" ht="15.5" x14ac:dyDescent="0.35">
      <c r="A2311" s="198">
        <v>2050</v>
      </c>
      <c r="B2311" s="197" t="s">
        <v>5838</v>
      </c>
      <c r="C2311" s="197">
        <v>2047</v>
      </c>
      <c r="D2311" s="225" t="str">
        <f t="shared" si="23"/>
        <v>2050_2047</v>
      </c>
      <c r="E2311" s="1287">
        <v>4.1281056611479398E-2</v>
      </c>
      <c r="F2311" s="1306">
        <v>3.4267605667712689E-3</v>
      </c>
      <c r="G2311" s="1303">
        <v>9.3258346076907236E-2</v>
      </c>
      <c r="H2311" s="1306">
        <v>1.7801842394943659E-2</v>
      </c>
      <c r="I2311" s="1303">
        <v>6.0938569256586495E-3</v>
      </c>
      <c r="J2311" s="1306">
        <v>4.9314334294935764E-4</v>
      </c>
      <c r="K2311" s="1303">
        <v>2.7531457582554747E-3</v>
      </c>
      <c r="L2311" s="1288">
        <v>2.0000018387710469E-3</v>
      </c>
      <c r="M2311" s="1306">
        <v>2.0000005737510628E-3</v>
      </c>
      <c r="N2311" s="1303">
        <v>2.1290343950677974E-2</v>
      </c>
      <c r="O2311" s="1288">
        <v>4.1636343213556914E-3</v>
      </c>
      <c r="P2311" s="1294">
        <v>8.8441944842371414E-3</v>
      </c>
      <c r="Q2311" s="1290">
        <v>6.3693940947473172E-3</v>
      </c>
    </row>
    <row r="2312" spans="1:17" s="212" customFormat="1" ht="15.5" x14ac:dyDescent="0.35">
      <c r="A2312" s="198">
        <v>2050</v>
      </c>
      <c r="B2312" s="197" t="s">
        <v>5838</v>
      </c>
      <c r="C2312" s="197">
        <v>2048</v>
      </c>
      <c r="D2312" s="225" t="str">
        <f t="shared" si="23"/>
        <v>2050_2048</v>
      </c>
      <c r="E2312" s="1287">
        <v>4.0011790126230774E-2</v>
      </c>
      <c r="F2312" s="1306">
        <v>3.2261832533800037E-3</v>
      </c>
      <c r="G2312" s="1303">
        <v>8.7380335100749926E-2</v>
      </c>
      <c r="H2312" s="1306">
        <v>1.6665250587634899E-2</v>
      </c>
      <c r="I2312" s="1303">
        <v>5.2231918557251239E-3</v>
      </c>
      <c r="J2312" s="1306">
        <v>4.9367916179317761E-4</v>
      </c>
      <c r="K2312" s="1303">
        <v>2.7511008964674791E-3</v>
      </c>
      <c r="L2312" s="1288">
        <v>2.0000018871307447E-3</v>
      </c>
      <c r="M2312" s="1306">
        <v>2.0000005737469653E-3</v>
      </c>
      <c r="N2312" s="1303">
        <v>2.122126217226477E-2</v>
      </c>
      <c r="O2312" s="1288">
        <v>4.0800905307963814E-3</v>
      </c>
      <c r="P2312" s="1294">
        <v>8.8153786550715946E-3</v>
      </c>
      <c r="Q2312" s="1290">
        <v>5.4593614138704226E-3</v>
      </c>
    </row>
    <row r="2313" spans="1:17" s="212" customFormat="1" ht="15.5" x14ac:dyDescent="0.35">
      <c r="A2313" s="198">
        <v>2050</v>
      </c>
      <c r="B2313" s="197" t="s">
        <v>5838</v>
      </c>
      <c r="C2313" s="197">
        <v>2049</v>
      </c>
      <c r="D2313" s="225" t="str">
        <f t="shared" si="23"/>
        <v>2050_2049</v>
      </c>
      <c r="E2313" s="1287">
        <v>3.8732100411212313E-2</v>
      </c>
      <c r="F2313" s="1306">
        <v>3.0119200489772784E-3</v>
      </c>
      <c r="G2313" s="1303">
        <v>8.135650759781847E-2</v>
      </c>
      <c r="H2313" s="1306">
        <v>1.5470098351532553E-2</v>
      </c>
      <c r="I2313" s="1303">
        <v>4.3216130232034264E-3</v>
      </c>
      <c r="J2313" s="1306">
        <v>4.938996098491149E-4</v>
      </c>
      <c r="K2313" s="1303">
        <v>2.7499389359383515E-3</v>
      </c>
      <c r="L2313" s="1288">
        <v>2.0000019274163004E-3</v>
      </c>
      <c r="M2313" s="1306">
        <v>2.0000005737389904E-3</v>
      </c>
      <c r="N2313" s="1303">
        <v>2.1172364228395704E-2</v>
      </c>
      <c r="O2313" s="1288">
        <v>3.9872039056140923E-3</v>
      </c>
      <c r="P2313" s="1294">
        <v>8.7838273362502457E-3</v>
      </c>
      <c r="Q2313" s="1290">
        <v>4.5170171872389109E-3</v>
      </c>
    </row>
    <row r="2314" spans="1:17" s="212" customFormat="1" ht="15.5" x14ac:dyDescent="0.35">
      <c r="A2314" s="198">
        <v>2050</v>
      </c>
      <c r="B2314" s="197" t="s">
        <v>5838</v>
      </c>
      <c r="C2314" s="197">
        <v>2050</v>
      </c>
      <c r="D2314" s="225" t="str">
        <f t="shared" si="23"/>
        <v>2050_2050</v>
      </c>
      <c r="E2314" s="1287">
        <v>3.6265212341394182E-2</v>
      </c>
      <c r="F2314" s="1306">
        <v>2.7742222547453262E-3</v>
      </c>
      <c r="G2314" s="1303">
        <v>7.2807709632285958E-2</v>
      </c>
      <c r="H2314" s="1306">
        <v>1.4118084754399731E-2</v>
      </c>
      <c r="I2314" s="1303">
        <v>3.2863658274649029E-3</v>
      </c>
      <c r="J2314" s="1306">
        <v>4.9075367967191719E-4</v>
      </c>
      <c r="K2314" s="1303">
        <v>2.724240539375557E-3</v>
      </c>
      <c r="L2314" s="1288">
        <v>2.0000020387329347E-3</v>
      </c>
      <c r="M2314" s="1306">
        <v>2.0000005737003373E-3</v>
      </c>
      <c r="N2314" s="1303">
        <v>2.0521086033033629E-2</v>
      </c>
      <c r="O2314" s="1288">
        <v>3.713941085493379E-3</v>
      </c>
      <c r="P2314" s="1294">
        <v>8.2866881423258078E-3</v>
      </c>
      <c r="Q2314" s="1290">
        <v>3.4349607071504887E-3</v>
      </c>
    </row>
    <row r="2315" spans="1:17" s="212" customFormat="1" ht="16" thickBot="1" x14ac:dyDescent="0.4">
      <c r="A2315" s="214">
        <v>2050</v>
      </c>
      <c r="B2315" s="215" t="s">
        <v>5838</v>
      </c>
      <c r="C2315" s="215">
        <v>2051</v>
      </c>
      <c r="D2315" s="230" t="str">
        <f t="shared" si="23"/>
        <v>2050_2051</v>
      </c>
      <c r="E2315" s="1296">
        <v>3.6265212341394182E-2</v>
      </c>
      <c r="F2315" s="1299">
        <v>2.7742222547453262E-3</v>
      </c>
      <c r="G2315" s="1304">
        <v>7.2807709632285958E-2</v>
      </c>
      <c r="H2315" s="1299">
        <v>1.4118084754399731E-2</v>
      </c>
      <c r="I2315" s="1304">
        <v>3.2863658274649029E-3</v>
      </c>
      <c r="J2315" s="1299">
        <v>4.9075367967191719E-4</v>
      </c>
      <c r="K2315" s="1304">
        <v>2.724240539375557E-3</v>
      </c>
      <c r="L2315" s="1298">
        <v>2.0000020387329347E-3</v>
      </c>
      <c r="M2315" s="1299">
        <v>2.0000005737003373E-3</v>
      </c>
      <c r="N2315" s="1304">
        <v>2.0521086033033629E-2</v>
      </c>
      <c r="O2315" s="1298">
        <v>3.713941085493379E-3</v>
      </c>
      <c r="P2315" s="1299">
        <v>8.2866881423258078E-3</v>
      </c>
      <c r="Q2315" s="1300">
        <v>3.4349607071504887E-3</v>
      </c>
    </row>
  </sheetData>
  <hyperlinks>
    <hyperlink ref="A24" r:id="rId1" tooltip="EMFAC2021 Database" xr:uid="{976FE3C9-B7BC-4757-92B8-2642DF4A1E77}"/>
  </hyperlinks>
  <pageMargins left="0.7" right="0.7" top="0.75" bottom="0.75" header="0.3" footer="0.3"/>
  <pageSetup scale="59" orientation="portrait" r:id="rId2"/>
  <headerFooter>
    <oddFooter>&amp;L&amp;"Avenir LT Std 55 Roman,Regular"&amp;12December 30, 2020&amp;C&amp;"Avenir LT Std 55 Roman,Regular"&amp;12&amp;P of &amp;N&amp;R&amp;"Avenir LT Std 55 Roman,Regular"&amp;12&amp;A</oddFooter>
  </headerFooter>
  <drawing r:id="rId3"/>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tabColor theme="1"/>
  </sheetPr>
  <dimension ref="A1:X2315"/>
  <sheetViews>
    <sheetView showGridLines="0" zoomScaleNormal="100" zoomScalePageLayoutView="70" workbookViewId="0"/>
  </sheetViews>
  <sheetFormatPr defaultColWidth="9.08984375" defaultRowHeight="14" x14ac:dyDescent="0.3"/>
  <cols>
    <col min="1" max="3" width="12.453125" style="186" customWidth="1"/>
    <col min="4" max="4" width="20.08984375" style="186" customWidth="1"/>
    <col min="5" max="10" width="15.453125" style="186" customWidth="1"/>
    <col min="11" max="16" width="16" style="186" customWidth="1"/>
    <col min="17" max="17" width="17" style="186" bestFit="1" customWidth="1"/>
    <col min="18" max="16384" width="9.08984375" style="186"/>
  </cols>
  <sheetData>
    <row r="1" spans="1:17" ht="15" customHeight="1" x14ac:dyDescent="0.3">
      <c r="A1" s="168"/>
      <c r="B1" s="168"/>
      <c r="C1" s="168"/>
      <c r="D1" s="168"/>
      <c r="E1" s="168"/>
      <c r="F1" s="168"/>
      <c r="G1" s="168"/>
      <c r="H1" s="168"/>
      <c r="I1" s="168"/>
      <c r="J1" s="168"/>
      <c r="K1" s="168"/>
      <c r="L1" s="168"/>
      <c r="M1" s="168"/>
      <c r="N1" s="168"/>
      <c r="O1" s="168"/>
      <c r="P1" s="168"/>
      <c r="Q1" s="168"/>
    </row>
    <row r="2" spans="1:17" ht="15" customHeight="1" x14ac:dyDescent="0.35">
      <c r="A2" s="261"/>
      <c r="B2" s="261"/>
      <c r="C2" s="261"/>
      <c r="D2" s="261"/>
      <c r="E2" s="261"/>
      <c r="F2" s="117"/>
      <c r="G2" s="117"/>
      <c r="H2" s="117"/>
      <c r="I2" s="117"/>
    </row>
    <row r="3" spans="1:17" ht="20.5" x14ac:dyDescent="0.3">
      <c r="A3" s="168"/>
      <c r="B3" s="168"/>
      <c r="C3" s="168"/>
      <c r="D3" s="168"/>
      <c r="E3" s="168"/>
      <c r="F3" s="168"/>
      <c r="G3" s="168"/>
      <c r="H3" s="168"/>
      <c r="I3" s="168"/>
      <c r="J3" s="168"/>
      <c r="K3" s="168"/>
      <c r="L3" s="168"/>
      <c r="M3" s="168"/>
      <c r="N3" s="168"/>
      <c r="O3" s="168"/>
      <c r="P3" s="168"/>
      <c r="Q3" s="168"/>
    </row>
    <row r="4" spans="1:17" ht="20.5" x14ac:dyDescent="0.3">
      <c r="A4" s="170"/>
      <c r="B4" s="170"/>
      <c r="C4" s="170"/>
      <c r="D4" s="170"/>
      <c r="E4" s="170"/>
      <c r="F4" s="170"/>
      <c r="G4" s="170"/>
      <c r="H4" s="170"/>
      <c r="I4" s="170"/>
      <c r="J4" s="170"/>
      <c r="K4" s="170"/>
      <c r="L4" s="170"/>
      <c r="M4" s="170"/>
      <c r="N4" s="170"/>
      <c r="O4" s="170"/>
      <c r="P4" s="170"/>
      <c r="Q4" s="170"/>
    </row>
    <row r="5" spans="1:17" ht="15" customHeight="1" x14ac:dyDescent="0.35">
      <c r="A5" s="261"/>
      <c r="B5" s="261"/>
      <c r="C5" s="261"/>
      <c r="D5" s="261"/>
      <c r="E5" s="261"/>
      <c r="F5" s="117"/>
      <c r="G5" s="117"/>
      <c r="H5" s="117"/>
      <c r="I5" s="117"/>
    </row>
    <row r="6" spans="1:17" ht="15" customHeight="1" x14ac:dyDescent="0.3">
      <c r="A6" s="168"/>
      <c r="B6" s="168"/>
      <c r="C6" s="168"/>
      <c r="D6" s="168"/>
      <c r="E6" s="168"/>
      <c r="F6" s="168"/>
      <c r="G6" s="168"/>
      <c r="H6" s="168"/>
      <c r="I6" s="168"/>
      <c r="J6" s="168"/>
      <c r="K6" s="168"/>
      <c r="L6" s="168"/>
      <c r="M6" s="168"/>
      <c r="N6" s="168"/>
      <c r="O6" s="168"/>
      <c r="P6" s="168"/>
      <c r="Q6" s="168"/>
    </row>
    <row r="7" spans="1:17" ht="15" customHeight="1" x14ac:dyDescent="0.3">
      <c r="A7" s="171"/>
      <c r="B7" s="171"/>
      <c r="C7" s="171"/>
      <c r="D7" s="171"/>
      <c r="E7" s="171"/>
      <c r="F7" s="171"/>
      <c r="G7" s="171"/>
      <c r="H7" s="171"/>
      <c r="I7" s="171"/>
    </row>
    <row r="8" spans="1:17" ht="15" customHeight="1" x14ac:dyDescent="0.3">
      <c r="A8" s="171"/>
      <c r="B8" s="171"/>
      <c r="C8" s="171"/>
      <c r="D8" s="171"/>
      <c r="E8" s="171"/>
      <c r="F8" s="171"/>
      <c r="G8" s="171"/>
      <c r="H8" s="171"/>
      <c r="I8" s="171"/>
    </row>
    <row r="9" spans="1:17" ht="15" customHeight="1" x14ac:dyDescent="0.3">
      <c r="A9" s="172"/>
      <c r="B9" s="171"/>
      <c r="C9" s="171"/>
      <c r="D9" s="171"/>
      <c r="E9" s="171"/>
      <c r="F9" s="171"/>
      <c r="G9" s="171"/>
      <c r="H9" s="171"/>
      <c r="I9" s="171"/>
    </row>
    <row r="10" spans="1:17" ht="15" customHeight="1" thickBot="1" x14ac:dyDescent="0.35">
      <c r="A10" s="171"/>
      <c r="B10" s="171"/>
      <c r="C10" s="171"/>
      <c r="D10" s="171"/>
      <c r="E10" s="171"/>
      <c r="F10" s="171"/>
      <c r="G10" s="171"/>
      <c r="H10" s="171"/>
      <c r="I10" s="171"/>
    </row>
    <row r="11" spans="1:17" ht="15.5" x14ac:dyDescent="0.35">
      <c r="A11" s="656" t="s">
        <v>5839</v>
      </c>
      <c r="B11" s="657"/>
      <c r="C11" s="657"/>
      <c r="D11" s="657"/>
      <c r="E11" s="657"/>
      <c r="F11" s="657"/>
      <c r="G11" s="657"/>
      <c r="H11" s="657"/>
      <c r="I11" s="657"/>
      <c r="J11" s="657"/>
      <c r="K11" s="657"/>
      <c r="L11" s="657"/>
      <c r="M11" s="657"/>
      <c r="N11" s="657"/>
      <c r="O11" s="657"/>
      <c r="P11" s="657"/>
      <c r="Q11" s="658"/>
    </row>
    <row r="12" spans="1:17" ht="15.5" x14ac:dyDescent="0.35">
      <c r="A12" s="537" t="s">
        <v>748</v>
      </c>
      <c r="B12" s="538"/>
      <c r="C12" s="538"/>
      <c r="D12" s="538"/>
      <c r="E12" s="538"/>
      <c r="F12" s="538"/>
      <c r="G12" s="538"/>
      <c r="H12" s="538"/>
      <c r="I12" s="538"/>
      <c r="J12" s="538"/>
      <c r="K12" s="538"/>
      <c r="L12" s="538"/>
      <c r="M12" s="538"/>
      <c r="N12" s="538"/>
      <c r="O12" s="538"/>
      <c r="P12" s="538"/>
      <c r="Q12" s="539"/>
    </row>
    <row r="13" spans="1:17" ht="15.5" x14ac:dyDescent="0.35">
      <c r="A13" s="174" t="s">
        <v>976</v>
      </c>
      <c r="B13" s="175"/>
      <c r="C13" s="175"/>
      <c r="D13" s="175"/>
      <c r="E13" s="175"/>
      <c r="F13" s="175"/>
      <c r="G13" s="175"/>
      <c r="H13" s="175"/>
      <c r="I13" s="175"/>
      <c r="Q13" s="203"/>
    </row>
    <row r="14" spans="1:17" ht="15.5" x14ac:dyDescent="0.35">
      <c r="A14" s="177" t="s">
        <v>977</v>
      </c>
      <c r="B14" s="175"/>
      <c r="C14" s="175"/>
      <c r="D14" s="175"/>
      <c r="E14" s="175"/>
      <c r="F14" s="175"/>
      <c r="G14" s="175"/>
      <c r="H14" s="175"/>
      <c r="I14" s="175"/>
      <c r="Q14" s="203"/>
    </row>
    <row r="15" spans="1:17" ht="15.5" x14ac:dyDescent="0.35">
      <c r="A15" s="177" t="s">
        <v>978</v>
      </c>
      <c r="B15" s="175"/>
      <c r="C15" s="175"/>
      <c r="D15" s="175"/>
      <c r="E15" s="175"/>
      <c r="F15" s="175"/>
      <c r="G15" s="175"/>
      <c r="H15" s="175"/>
      <c r="I15" s="175"/>
      <c r="Q15" s="203"/>
    </row>
    <row r="16" spans="1:17" ht="15.75" customHeight="1" x14ac:dyDescent="0.35">
      <c r="A16" s="177" t="s">
        <v>979</v>
      </c>
      <c r="B16" s="178"/>
      <c r="C16" s="178"/>
      <c r="D16" s="178"/>
      <c r="E16" s="178"/>
      <c r="F16" s="178"/>
      <c r="G16" s="178"/>
      <c r="H16" s="178"/>
      <c r="I16" s="178"/>
      <c r="J16" s="178"/>
      <c r="K16" s="178"/>
      <c r="L16" s="178"/>
      <c r="M16" s="178"/>
      <c r="N16" s="178"/>
      <c r="O16" s="178"/>
      <c r="P16" s="178"/>
      <c r="Q16" s="655"/>
    </row>
    <row r="17" spans="1:24" ht="15.5" x14ac:dyDescent="0.35">
      <c r="A17" s="177" t="s">
        <v>980</v>
      </c>
      <c r="B17" s="175"/>
      <c r="C17" s="175"/>
      <c r="D17" s="175"/>
      <c r="E17" s="175"/>
      <c r="F17" s="175"/>
      <c r="G17" s="175"/>
      <c r="H17" s="175"/>
      <c r="I17" s="175"/>
      <c r="Q17" s="203"/>
    </row>
    <row r="18" spans="1:24" ht="15.5" x14ac:dyDescent="0.35">
      <c r="A18" s="1171" t="s">
        <v>981</v>
      </c>
      <c r="B18" s="175"/>
      <c r="C18" s="175"/>
      <c r="D18" s="175"/>
      <c r="E18" s="175"/>
      <c r="F18" s="175"/>
      <c r="G18" s="175"/>
      <c r="H18" s="175"/>
      <c r="I18" s="175"/>
      <c r="Q18" s="203"/>
    </row>
    <row r="19" spans="1:24" ht="15.5" x14ac:dyDescent="0.35">
      <c r="A19" s="96" t="s">
        <v>982</v>
      </c>
      <c r="B19" s="175"/>
      <c r="C19" s="175"/>
      <c r="D19" s="175"/>
      <c r="E19" s="175"/>
      <c r="F19" s="175"/>
      <c r="G19" s="175"/>
      <c r="H19" s="175"/>
      <c r="I19" s="175"/>
      <c r="Q19" s="203"/>
    </row>
    <row r="20" spans="1:24" ht="15.5" x14ac:dyDescent="0.35">
      <c r="A20" s="177" t="s">
        <v>983</v>
      </c>
      <c r="B20" s="175"/>
      <c r="C20" s="175"/>
      <c r="D20" s="175"/>
      <c r="E20" s="175"/>
      <c r="F20" s="175"/>
      <c r="G20" s="175"/>
      <c r="H20" s="175"/>
      <c r="I20" s="175"/>
      <c r="Q20" s="203"/>
    </row>
    <row r="21" spans="1:24" ht="15.5" x14ac:dyDescent="0.35">
      <c r="A21" s="177" t="s">
        <v>984</v>
      </c>
      <c r="B21" s="175"/>
      <c r="C21" s="175"/>
      <c r="D21" s="175"/>
      <c r="E21" s="175"/>
      <c r="F21" s="175"/>
      <c r="G21" s="175"/>
      <c r="H21" s="175"/>
      <c r="I21" s="175"/>
      <c r="Q21" s="203"/>
    </row>
    <row r="22" spans="1:24" ht="15.5" x14ac:dyDescent="0.35">
      <c r="A22" s="177" t="s">
        <v>5819</v>
      </c>
      <c r="B22" s="175"/>
      <c r="C22" s="175"/>
      <c r="D22" s="175"/>
      <c r="E22" s="175"/>
      <c r="F22" s="175"/>
      <c r="G22" s="175"/>
      <c r="H22" s="175"/>
      <c r="I22" s="175"/>
      <c r="Q22" s="203"/>
    </row>
    <row r="23" spans="1:24" ht="15.5" x14ac:dyDescent="0.3">
      <c r="A23" s="179" t="s">
        <v>767</v>
      </c>
      <c r="B23" s="180"/>
      <c r="C23" s="180"/>
      <c r="D23" s="180"/>
      <c r="E23" s="180"/>
      <c r="F23" s="180"/>
      <c r="G23" s="180"/>
      <c r="H23" s="180"/>
      <c r="I23" s="180"/>
      <c r="Q23" s="203"/>
    </row>
    <row r="24" spans="1:24" ht="16" thickBot="1" x14ac:dyDescent="0.4">
      <c r="A24" s="182" t="s">
        <v>768</v>
      </c>
      <c r="B24" s="183"/>
      <c r="C24" s="183"/>
      <c r="D24" s="183"/>
      <c r="E24" s="183"/>
      <c r="F24" s="183"/>
      <c r="G24" s="183"/>
      <c r="H24" s="183"/>
      <c r="I24" s="183"/>
      <c r="J24" s="204"/>
      <c r="K24" s="204"/>
      <c r="L24" s="204"/>
      <c r="M24" s="204"/>
      <c r="N24" s="204"/>
      <c r="O24" s="204"/>
      <c r="P24" s="204"/>
      <c r="Q24" s="205"/>
    </row>
    <row r="25" spans="1:24" ht="15.5" x14ac:dyDescent="0.35">
      <c r="A25" s="206"/>
      <c r="B25" s="175"/>
      <c r="C25" s="175"/>
      <c r="D25" s="175"/>
      <c r="E25" s="175"/>
      <c r="F25" s="175"/>
      <c r="G25" s="175"/>
      <c r="H25" s="175"/>
      <c r="I25" s="175"/>
    </row>
    <row r="26" spans="1:24" ht="17.5" x14ac:dyDescent="0.3">
      <c r="A26" s="541" t="s">
        <v>5840</v>
      </c>
      <c r="B26" s="541"/>
      <c r="C26" s="541"/>
      <c r="D26" s="541"/>
      <c r="E26" s="541"/>
      <c r="F26" s="541"/>
      <c r="G26" s="541"/>
      <c r="H26" s="541"/>
      <c r="I26" s="541"/>
      <c r="J26" s="541"/>
      <c r="K26" s="541"/>
      <c r="L26" s="541"/>
      <c r="M26" s="541"/>
      <c r="N26" s="541"/>
      <c r="O26" s="541"/>
      <c r="P26" s="541"/>
      <c r="Q26" s="541"/>
      <c r="R26" s="207"/>
      <c r="S26" s="207"/>
      <c r="T26" s="207"/>
      <c r="U26" s="207"/>
      <c r="V26" s="207"/>
      <c r="W26" s="207"/>
      <c r="X26" s="207"/>
    </row>
    <row r="27" spans="1:24" ht="14.5" thickBot="1" x14ac:dyDescent="0.35">
      <c r="A27" s="208"/>
    </row>
    <row r="28" spans="1:24" ht="33" x14ac:dyDescent="0.35">
      <c r="A28" s="564" t="s">
        <v>3293</v>
      </c>
      <c r="B28" s="562" t="s">
        <v>5837</v>
      </c>
      <c r="C28" s="562" t="s">
        <v>119</v>
      </c>
      <c r="D28" s="565" t="s">
        <v>988</v>
      </c>
      <c r="E28" s="666" t="s">
        <v>5822</v>
      </c>
      <c r="F28" s="667" t="s">
        <v>5822</v>
      </c>
      <c r="G28" s="666" t="s">
        <v>5823</v>
      </c>
      <c r="H28" s="669" t="s">
        <v>5824</v>
      </c>
      <c r="I28" s="670" t="s">
        <v>5825</v>
      </c>
      <c r="J28" s="667" t="s">
        <v>5826</v>
      </c>
      <c r="K28" s="666" t="s">
        <v>5827</v>
      </c>
      <c r="L28" s="668" t="s">
        <v>5828</v>
      </c>
      <c r="M28" s="669" t="s">
        <v>5828</v>
      </c>
      <c r="N28" s="670" t="s">
        <v>5829</v>
      </c>
      <c r="O28" s="668" t="s">
        <v>5830</v>
      </c>
      <c r="P28" s="669" t="s">
        <v>5830</v>
      </c>
      <c r="Q28" s="1209" t="s">
        <v>5831</v>
      </c>
    </row>
    <row r="29" spans="1:24" ht="16" thickBot="1" x14ac:dyDescent="0.4">
      <c r="A29" s="663"/>
      <c r="B29" s="661"/>
      <c r="C29" s="661"/>
      <c r="D29" s="665"/>
      <c r="E29" s="209" t="s">
        <v>739</v>
      </c>
      <c r="F29" s="210" t="s">
        <v>992</v>
      </c>
      <c r="G29" s="672" t="s">
        <v>5841</v>
      </c>
      <c r="H29" s="673" t="s">
        <v>992</v>
      </c>
      <c r="I29" s="209" t="s">
        <v>739</v>
      </c>
      <c r="J29" s="210" t="s">
        <v>992</v>
      </c>
      <c r="K29" s="1216" t="s">
        <v>739</v>
      </c>
      <c r="L29" s="1217" t="s">
        <v>992</v>
      </c>
      <c r="M29" s="1218" t="s">
        <v>5832</v>
      </c>
      <c r="N29" s="1219" t="s">
        <v>739</v>
      </c>
      <c r="O29" s="1217" t="s">
        <v>992</v>
      </c>
      <c r="P29" s="1218" t="s">
        <v>5832</v>
      </c>
      <c r="Q29" s="1210" t="s">
        <v>739</v>
      </c>
    </row>
    <row r="30" spans="1:24" s="212" customFormat="1" ht="15.5" x14ac:dyDescent="0.35">
      <c r="A30" s="194">
        <v>2015</v>
      </c>
      <c r="B30" s="195" t="s">
        <v>5842</v>
      </c>
      <c r="C30" s="195">
        <v>1971</v>
      </c>
      <c r="D30" s="211" t="str">
        <f>CONCATENATE(A30,"_",C30)</f>
        <v>2015_1971</v>
      </c>
      <c r="E30" s="1266">
        <v>0.31088182349098198</v>
      </c>
      <c r="F30" s="1277">
        <v>3.9136521022242201</v>
      </c>
      <c r="G30" s="1243">
        <v>4.9811070121753298</v>
      </c>
      <c r="H30" s="1277">
        <v>2.3045695055378799</v>
      </c>
      <c r="I30" s="1243">
        <v>0.23500767274768899</v>
      </c>
      <c r="J30" s="1277">
        <v>3.5533430887401699E-2</v>
      </c>
      <c r="K30" s="1243">
        <v>3.0000008624260699E-3</v>
      </c>
      <c r="L30" s="1245">
        <v>2.0000005732641402E-3</v>
      </c>
      <c r="M30" s="1272">
        <v>2.0000005732641402E-3</v>
      </c>
      <c r="N30" s="1243">
        <v>3.1850009128239903E-2</v>
      </c>
      <c r="O30" s="1244">
        <v>3.1850009128239903E-2</v>
      </c>
      <c r="P30" s="1246">
        <v>1.5925004564119952E-2</v>
      </c>
      <c r="Q30" s="1247">
        <v>0.24563367687823601</v>
      </c>
    </row>
    <row r="31" spans="1:24" s="212" customFormat="1" ht="15.5" x14ac:dyDescent="0.35">
      <c r="A31" s="194">
        <v>2015</v>
      </c>
      <c r="B31" s="195" t="s">
        <v>5842</v>
      </c>
      <c r="C31" s="195">
        <v>1972</v>
      </c>
      <c r="D31" s="211" t="str">
        <f t="shared" ref="D31:D66" si="0">CONCATENATE(A31,"_",C31)</f>
        <v>2015_1972</v>
      </c>
      <c r="E31" s="1267">
        <v>0.23605733873865101</v>
      </c>
      <c r="F31" s="1278">
        <v>3.1825222120991099</v>
      </c>
      <c r="G31" s="1248">
        <v>5.9538154383520201</v>
      </c>
      <c r="H31" s="1278">
        <v>2.4094249332409801</v>
      </c>
      <c r="I31" s="1248">
        <v>0.17837885620393801</v>
      </c>
      <c r="J31" s="1278">
        <v>3.6062922600174803E-2</v>
      </c>
      <c r="K31" s="1248">
        <v>3.0000008599034801E-3</v>
      </c>
      <c r="L31" s="1250">
        <v>2.0000005732679301E-3</v>
      </c>
      <c r="M31" s="1273">
        <v>2.0000005732679301E-3</v>
      </c>
      <c r="N31" s="1248">
        <v>3.1850009128239903E-2</v>
      </c>
      <c r="O31" s="1249">
        <v>3.1850009128239903E-2</v>
      </c>
      <c r="P31" s="1251">
        <v>1.5925004564119952E-2</v>
      </c>
      <c r="Q31" s="1252">
        <v>0.18644435653702901</v>
      </c>
    </row>
    <row r="32" spans="1:24" s="212" customFormat="1" ht="15.5" x14ac:dyDescent="0.35">
      <c r="A32" s="194">
        <v>2015</v>
      </c>
      <c r="B32" s="195" t="s">
        <v>5842</v>
      </c>
      <c r="C32" s="195">
        <v>1973</v>
      </c>
      <c r="D32" s="211" t="str">
        <f t="shared" si="0"/>
        <v>2015_1973</v>
      </c>
      <c r="E32" s="1267">
        <v>0.23585103189588399</v>
      </c>
      <c r="F32" s="1278">
        <v>4.3104569453887702</v>
      </c>
      <c r="G32" s="1248">
        <v>5.7767557486739696</v>
      </c>
      <c r="H32" s="1278">
        <v>2.2828198506348998</v>
      </c>
      <c r="I32" s="1248">
        <v>0.178192323663244</v>
      </c>
      <c r="J32" s="1278">
        <v>4.0267243196991903E-2</v>
      </c>
      <c r="K32" s="1248">
        <v>3.0000008598883299E-3</v>
      </c>
      <c r="L32" s="1250">
        <v>2.0000005736746699E-3</v>
      </c>
      <c r="M32" s="1273">
        <v>2.0000005736746699E-3</v>
      </c>
      <c r="N32" s="1248">
        <v>3.1850009128239903E-2</v>
      </c>
      <c r="O32" s="1249">
        <v>3.1850009128239903E-2</v>
      </c>
      <c r="P32" s="1251">
        <v>1.5925004564119952E-2</v>
      </c>
      <c r="Q32" s="1252">
        <v>0.18624938982257</v>
      </c>
    </row>
    <row r="33" spans="1:17" s="212" customFormat="1" ht="15.5" x14ac:dyDescent="0.35">
      <c r="A33" s="194">
        <v>2015</v>
      </c>
      <c r="B33" s="195" t="s">
        <v>5842</v>
      </c>
      <c r="C33" s="195">
        <v>1974</v>
      </c>
      <c r="D33" s="211" t="str">
        <f t="shared" si="0"/>
        <v>2015_1974</v>
      </c>
      <c r="E33" s="1267">
        <v>0.27367472739814602</v>
      </c>
      <c r="F33" s="1278">
        <v>4.6125525902113802</v>
      </c>
      <c r="G33" s="1248">
        <v>5.65390982857447</v>
      </c>
      <c r="H33" s="1278">
        <v>2.2592152030506001</v>
      </c>
      <c r="I33" s="1248">
        <v>0.20676576445867401</v>
      </c>
      <c r="J33" s="1278">
        <v>4.3238758149909802E-2</v>
      </c>
      <c r="K33" s="1248">
        <v>3.0000008598857798E-3</v>
      </c>
      <c r="L33" s="1250">
        <v>2.0000005741812798E-3</v>
      </c>
      <c r="M33" s="1273">
        <v>2.0000005741812798E-3</v>
      </c>
      <c r="N33" s="1248">
        <v>3.1850009128239903E-2</v>
      </c>
      <c r="O33" s="1249">
        <v>3.1850009128239903E-2</v>
      </c>
      <c r="P33" s="1251">
        <v>1.5925004564119952E-2</v>
      </c>
      <c r="Q33" s="1252">
        <v>0.216114794818004</v>
      </c>
    </row>
    <row r="34" spans="1:17" s="212" customFormat="1" ht="15.5" x14ac:dyDescent="0.35">
      <c r="A34" s="194">
        <v>2015</v>
      </c>
      <c r="B34" s="195" t="s">
        <v>5842</v>
      </c>
      <c r="C34" s="195">
        <v>1975</v>
      </c>
      <c r="D34" s="211" t="str">
        <f t="shared" si="0"/>
        <v>2015_1975</v>
      </c>
      <c r="E34" s="1267">
        <v>0.30169564449179798</v>
      </c>
      <c r="F34" s="1278">
        <v>4.1632773584885499</v>
      </c>
      <c r="G34" s="1248">
        <v>4.9566301648274997</v>
      </c>
      <c r="H34" s="1278">
        <v>2.28423659508206</v>
      </c>
      <c r="I34" s="1248">
        <v>0.22795842858902601</v>
      </c>
      <c r="J34" s="1278">
        <v>4.2698619031943601E-2</v>
      </c>
      <c r="K34" s="1248">
        <v>3.0000008624343402E-3</v>
      </c>
      <c r="L34" s="1250">
        <v>2.0000005741110201E-3</v>
      </c>
      <c r="M34" s="1273">
        <v>2.0000005741110201E-3</v>
      </c>
      <c r="N34" s="1248">
        <v>3.1850009128239903E-2</v>
      </c>
      <c r="O34" s="1249">
        <v>3.1850009128239903E-2</v>
      </c>
      <c r="P34" s="1251">
        <v>1.5925004564119952E-2</v>
      </c>
      <c r="Q34" s="1252">
        <v>0.23826569717927601</v>
      </c>
    </row>
    <row r="35" spans="1:17" s="212" customFormat="1" ht="15.5" x14ac:dyDescent="0.35">
      <c r="A35" s="194">
        <v>2015</v>
      </c>
      <c r="B35" s="195" t="s">
        <v>5842</v>
      </c>
      <c r="C35" s="195">
        <v>1976</v>
      </c>
      <c r="D35" s="211" t="str">
        <f t="shared" si="0"/>
        <v>2015_1976</v>
      </c>
      <c r="E35" s="1267">
        <v>0.246002638606239</v>
      </c>
      <c r="F35" s="1278">
        <v>5.45250154098437</v>
      </c>
      <c r="G35" s="1248">
        <v>4.9124677232054301</v>
      </c>
      <c r="H35" s="1278">
        <v>2.1857454846191202</v>
      </c>
      <c r="I35" s="1248">
        <v>0.18542076611764899</v>
      </c>
      <c r="J35" s="1278">
        <v>5.1191597826016302E-2</v>
      </c>
      <c r="K35" s="1248">
        <v>3.0000008624195299E-3</v>
      </c>
      <c r="L35" s="1250">
        <v>2.0000005751663798E-3</v>
      </c>
      <c r="M35" s="1273">
        <v>2.0000005751663798E-3</v>
      </c>
      <c r="N35" s="1248">
        <v>3.1850009128239903E-2</v>
      </c>
      <c r="O35" s="1249">
        <v>3.1850009128239903E-2</v>
      </c>
      <c r="P35" s="1251">
        <v>1.5925004564119952E-2</v>
      </c>
      <c r="Q35" s="1252">
        <v>0.19380467036902499</v>
      </c>
    </row>
    <row r="36" spans="1:17" s="212" customFormat="1" ht="15.5" x14ac:dyDescent="0.35">
      <c r="A36" s="194">
        <v>2015</v>
      </c>
      <c r="B36" s="195" t="s">
        <v>5842</v>
      </c>
      <c r="C36" s="195">
        <v>1977</v>
      </c>
      <c r="D36" s="211" t="str">
        <f t="shared" si="0"/>
        <v>2015_1977</v>
      </c>
      <c r="E36" s="1267">
        <v>0.218165280508928</v>
      </c>
      <c r="F36" s="1278">
        <v>2.5322506583037301</v>
      </c>
      <c r="G36" s="1248">
        <v>5.2823388407316703</v>
      </c>
      <c r="H36" s="1278">
        <v>4.4045164622540103</v>
      </c>
      <c r="I36" s="1248">
        <v>0.16443877871158399</v>
      </c>
      <c r="J36" s="1278">
        <v>1.5007108803060601E-2</v>
      </c>
      <c r="K36" s="1248">
        <v>3.0000008610763201E-3</v>
      </c>
      <c r="L36" s="1250">
        <v>2.0000005740414099E-3</v>
      </c>
      <c r="M36" s="1273">
        <v>2.0000005740414099E-3</v>
      </c>
      <c r="N36" s="1248">
        <v>3.1850009128239903E-2</v>
      </c>
      <c r="O36" s="1249">
        <v>3.1850009128239903E-2</v>
      </c>
      <c r="P36" s="1251">
        <v>1.5925004564119952E-2</v>
      </c>
      <c r="Q36" s="1252">
        <v>0.17187397059864901</v>
      </c>
    </row>
    <row r="37" spans="1:17" s="212" customFormat="1" ht="15.5" x14ac:dyDescent="0.35">
      <c r="A37" s="194">
        <v>2015</v>
      </c>
      <c r="B37" s="195" t="s">
        <v>5842</v>
      </c>
      <c r="C37" s="195">
        <v>1978</v>
      </c>
      <c r="D37" s="211" t="str">
        <f t="shared" si="0"/>
        <v>2015_1978</v>
      </c>
      <c r="E37" s="1267">
        <v>0.23171200487138399</v>
      </c>
      <c r="F37" s="1278">
        <v>2.6028807097651199</v>
      </c>
      <c r="G37" s="1248">
        <v>5.1014353793395504</v>
      </c>
      <c r="H37" s="1278">
        <v>4.6278997900342302</v>
      </c>
      <c r="I37" s="1248">
        <v>0.17464941719864399</v>
      </c>
      <c r="J37" s="1278">
        <v>1.56026335906295E-2</v>
      </c>
      <c r="K37" s="1248">
        <v>3.0000008616903901E-3</v>
      </c>
      <c r="L37" s="1250">
        <v>2.0000005741502899E-3</v>
      </c>
      <c r="M37" s="1273">
        <v>2.0000005741502899E-3</v>
      </c>
      <c r="N37" s="1248">
        <v>3.1850009128239903E-2</v>
      </c>
      <c r="O37" s="1249">
        <v>3.1850009128239903E-2</v>
      </c>
      <c r="P37" s="1251">
        <v>1.5925004564119952E-2</v>
      </c>
      <c r="Q37" s="1252">
        <v>0.18254628884905599</v>
      </c>
    </row>
    <row r="38" spans="1:17" s="212" customFormat="1" ht="15.5" x14ac:dyDescent="0.35">
      <c r="A38" s="194">
        <v>2015</v>
      </c>
      <c r="B38" s="195" t="s">
        <v>5842</v>
      </c>
      <c r="C38" s="195">
        <v>1979</v>
      </c>
      <c r="D38" s="211" t="str">
        <f t="shared" si="0"/>
        <v>2015_1979</v>
      </c>
      <c r="E38" s="1267">
        <v>0.24845684720880401</v>
      </c>
      <c r="F38" s="1278">
        <v>2.4798636426931302</v>
      </c>
      <c r="G38" s="1248">
        <v>4.8696500593978804</v>
      </c>
      <c r="H38" s="1278">
        <v>4.2887745592583002</v>
      </c>
      <c r="I38" s="1248">
        <v>0.187270588712555</v>
      </c>
      <c r="J38" s="1278">
        <v>1.4928162173475401E-2</v>
      </c>
      <c r="K38" s="1248">
        <v>3.0000008624566699E-3</v>
      </c>
      <c r="L38" s="1250">
        <v>2.00000057394402E-3</v>
      </c>
      <c r="M38" s="1273">
        <v>2.00000057394402E-3</v>
      </c>
      <c r="N38" s="1248">
        <v>3.1850009128239903E-2</v>
      </c>
      <c r="O38" s="1249">
        <v>3.1850009128239903E-2</v>
      </c>
      <c r="P38" s="1251">
        <v>1.5925004564119952E-2</v>
      </c>
      <c r="Q38" s="1252">
        <v>0.195738133733207</v>
      </c>
    </row>
    <row r="39" spans="1:17" s="212" customFormat="1" ht="15.5" x14ac:dyDescent="0.35">
      <c r="A39" s="194">
        <v>2015</v>
      </c>
      <c r="B39" s="195" t="s">
        <v>5842</v>
      </c>
      <c r="C39" s="195">
        <v>1980</v>
      </c>
      <c r="D39" s="211" t="str">
        <f t="shared" si="0"/>
        <v>2015_1980</v>
      </c>
      <c r="E39" s="1267">
        <v>0.210056614103758</v>
      </c>
      <c r="F39" s="1278">
        <v>2.6018068717056502</v>
      </c>
      <c r="G39" s="1248">
        <v>5.3963593631703697</v>
      </c>
      <c r="H39" s="1278">
        <v>3.7481973618077999</v>
      </c>
      <c r="I39" s="1248">
        <v>0.15832699411627499</v>
      </c>
      <c r="J39" s="1278">
        <v>1.5681678374383098E-2</v>
      </c>
      <c r="K39" s="1248">
        <v>3.00000086072227E-3</v>
      </c>
      <c r="L39" s="1250">
        <v>2.0000005743970998E-3</v>
      </c>
      <c r="M39" s="1273">
        <v>2.0000005743970998E-3</v>
      </c>
      <c r="N39" s="1248">
        <v>3.1850009128239903E-2</v>
      </c>
      <c r="O39" s="1249">
        <v>3.1850009128239903E-2</v>
      </c>
      <c r="P39" s="1251">
        <v>1.5925004564119952E-2</v>
      </c>
      <c r="Q39" s="1252">
        <v>0.16548583822458199</v>
      </c>
    </row>
    <row r="40" spans="1:17" s="212" customFormat="1" ht="15.5" x14ac:dyDescent="0.35">
      <c r="A40" s="194">
        <v>2015</v>
      </c>
      <c r="B40" s="195" t="s">
        <v>5842</v>
      </c>
      <c r="C40" s="195">
        <v>1981</v>
      </c>
      <c r="D40" s="211" t="str">
        <f t="shared" si="0"/>
        <v>2015_1981</v>
      </c>
      <c r="E40" s="1268">
        <v>0.220730873853587</v>
      </c>
      <c r="F40" s="1278">
        <v>2.6566310275413598</v>
      </c>
      <c r="G40" s="1255">
        <v>5.2596566899152499</v>
      </c>
      <c r="H40" s="1278">
        <v>4.2490752696973502</v>
      </c>
      <c r="I40" s="1255">
        <v>0.1663725558702695</v>
      </c>
      <c r="J40" s="1278">
        <v>1.54621753233092E-2</v>
      </c>
      <c r="K40" s="1255">
        <v>3.000000861218825E-3</v>
      </c>
      <c r="L40" s="1250">
        <v>2.0000005742095198E-3</v>
      </c>
      <c r="M40" s="1273">
        <v>2.0000005742095198E-3</v>
      </c>
      <c r="N40" s="1255">
        <v>3.1850009128239903E-2</v>
      </c>
      <c r="O40" s="1249">
        <v>3.1850009128239903E-2</v>
      </c>
      <c r="P40" s="1251">
        <v>1.5925004564119952E-2</v>
      </c>
      <c r="Q40" s="1254">
        <v>0.17389518457944048</v>
      </c>
    </row>
    <row r="41" spans="1:17" s="212" customFormat="1" ht="15.5" x14ac:dyDescent="0.35">
      <c r="A41" s="194">
        <v>2015</v>
      </c>
      <c r="B41" s="195" t="s">
        <v>5842</v>
      </c>
      <c r="C41" s="195">
        <v>1982</v>
      </c>
      <c r="D41" s="211" t="str">
        <f t="shared" si="0"/>
        <v>2015_1982</v>
      </c>
      <c r="E41" s="1267">
        <v>0.231405133603416</v>
      </c>
      <c r="F41" s="1278">
        <v>2.6025255691293898</v>
      </c>
      <c r="G41" s="1248">
        <v>5.1229540166601302</v>
      </c>
      <c r="H41" s="1278">
        <v>3.89924803631853</v>
      </c>
      <c r="I41" s="1248">
        <v>0.17441811762426401</v>
      </c>
      <c r="J41" s="1278">
        <v>1.5369933883723499E-2</v>
      </c>
      <c r="K41" s="1248">
        <v>3.0000008617153801E-3</v>
      </c>
      <c r="L41" s="1250">
        <v>2.0000005740552001E-3</v>
      </c>
      <c r="M41" s="1273">
        <v>2.0000005740552001E-3</v>
      </c>
      <c r="N41" s="1248">
        <v>3.1850009128239903E-2</v>
      </c>
      <c r="O41" s="1249">
        <v>3.1850009128239903E-2</v>
      </c>
      <c r="P41" s="1251">
        <v>1.5925004564119952E-2</v>
      </c>
      <c r="Q41" s="1252">
        <v>0.18230453093429899</v>
      </c>
    </row>
    <row r="42" spans="1:17" s="212" customFormat="1" ht="15.5" x14ac:dyDescent="0.35">
      <c r="A42" s="194">
        <v>2015</v>
      </c>
      <c r="B42" s="195" t="s">
        <v>5842</v>
      </c>
      <c r="C42" s="195">
        <v>1983</v>
      </c>
      <c r="D42" s="211" t="str">
        <f t="shared" si="0"/>
        <v>2015_1983</v>
      </c>
      <c r="E42" s="1267">
        <v>0.22013926464969599</v>
      </c>
      <c r="F42" s="1278">
        <v>2.46007204256582</v>
      </c>
      <c r="G42" s="1248">
        <v>5.2719487607610596</v>
      </c>
      <c r="H42" s="1278">
        <v>4.4477826563780196</v>
      </c>
      <c r="I42" s="1248">
        <v>0.16592663938559599</v>
      </c>
      <c r="J42" s="1278">
        <v>1.6122053365649799E-2</v>
      </c>
      <c r="K42" s="1248">
        <v>3.0000008610602102E-3</v>
      </c>
      <c r="L42" s="1250">
        <v>2.0000005743695099E-3</v>
      </c>
      <c r="M42" s="1273">
        <v>2.0000005743695099E-3</v>
      </c>
      <c r="N42" s="1248">
        <v>3.1850009128239903E-2</v>
      </c>
      <c r="O42" s="1249">
        <v>3.1850009128239903E-2</v>
      </c>
      <c r="P42" s="1251">
        <v>1.5925004564119952E-2</v>
      </c>
      <c r="Q42" s="1252">
        <v>0.17342910573005499</v>
      </c>
    </row>
    <row r="43" spans="1:17" s="212" customFormat="1" ht="15.5" x14ac:dyDescent="0.35">
      <c r="A43" s="194">
        <v>2015</v>
      </c>
      <c r="B43" s="195" t="s">
        <v>5842</v>
      </c>
      <c r="C43" s="195">
        <v>1984</v>
      </c>
      <c r="D43" s="211" t="str">
        <f t="shared" si="0"/>
        <v>2015_1984</v>
      </c>
      <c r="E43" s="1267">
        <v>0.219461330071439</v>
      </c>
      <c r="F43" s="1278">
        <v>1.6870445452299501</v>
      </c>
      <c r="G43" s="1248">
        <v>5.28792044911307</v>
      </c>
      <c r="H43" s="1278">
        <v>3.6245001588574</v>
      </c>
      <c r="I43" s="1248">
        <v>0.16541565645634701</v>
      </c>
      <c r="J43" s="1278">
        <v>1.5888513216740001E-2</v>
      </c>
      <c r="K43" s="1248">
        <v>3.00000086098138E-3</v>
      </c>
      <c r="L43" s="1250">
        <v>2.0000005742969299E-3</v>
      </c>
      <c r="M43" s="1273">
        <v>2.0000005742969299E-3</v>
      </c>
      <c r="N43" s="1248">
        <v>3.1850009128239903E-2</v>
      </c>
      <c r="O43" s="1249">
        <v>3.1850009128239903E-2</v>
      </c>
      <c r="P43" s="1251">
        <v>1.5925004564119952E-2</v>
      </c>
      <c r="Q43" s="1252">
        <v>0.172895018420199</v>
      </c>
    </row>
    <row r="44" spans="1:17" s="212" customFormat="1" ht="15.5" x14ac:dyDescent="0.35">
      <c r="A44" s="194">
        <v>2015</v>
      </c>
      <c r="B44" s="195" t="s">
        <v>5842</v>
      </c>
      <c r="C44" s="195">
        <v>1985</v>
      </c>
      <c r="D44" s="211" t="str">
        <f t="shared" si="0"/>
        <v>2015_1985</v>
      </c>
      <c r="E44" s="1267">
        <v>0.229650652649523</v>
      </c>
      <c r="F44" s="1278">
        <v>2.0542022622957998</v>
      </c>
      <c r="G44" s="1248">
        <v>5.1443648463782798</v>
      </c>
      <c r="H44" s="1278">
        <v>3.95233289205393</v>
      </c>
      <c r="I44" s="1248">
        <v>0.17309570415564099</v>
      </c>
      <c r="J44" s="1278">
        <v>1.5527503254305399E-2</v>
      </c>
      <c r="K44" s="1248">
        <v>3.0000008614091398E-3</v>
      </c>
      <c r="L44" s="1250">
        <v>2.0000005741390198E-3</v>
      </c>
      <c r="M44" s="1273">
        <v>2.0000005741390198E-3</v>
      </c>
      <c r="N44" s="1248">
        <v>3.1850009128239903E-2</v>
      </c>
      <c r="O44" s="1249">
        <v>3.1850009128239903E-2</v>
      </c>
      <c r="P44" s="1251">
        <v>1.5925004564119952E-2</v>
      </c>
      <c r="Q44" s="1252">
        <v>0.180922323796748</v>
      </c>
    </row>
    <row r="45" spans="1:17" s="212" customFormat="1" ht="15.5" x14ac:dyDescent="0.35">
      <c r="A45" s="194">
        <v>2015</v>
      </c>
      <c r="B45" s="195" t="s">
        <v>5842</v>
      </c>
      <c r="C45" s="195">
        <v>1986</v>
      </c>
      <c r="D45" s="211" t="str">
        <f t="shared" si="0"/>
        <v>2015_1986</v>
      </c>
      <c r="E45" s="1267">
        <v>0.22723733599049301</v>
      </c>
      <c r="F45" s="1278">
        <v>1.6135307267666199</v>
      </c>
      <c r="G45" s="1248">
        <v>5.1841348047865896</v>
      </c>
      <c r="H45" s="1278">
        <v>4.2813452107526997</v>
      </c>
      <c r="I45" s="1248">
        <v>0.17127670324436201</v>
      </c>
      <c r="J45" s="1278">
        <v>1.54516558598437E-2</v>
      </c>
      <c r="K45" s="1248">
        <v>3.0000008613143701E-3</v>
      </c>
      <c r="L45" s="1250">
        <v>2.0000005741173301E-3</v>
      </c>
      <c r="M45" s="1273">
        <v>2.0000005741173301E-3</v>
      </c>
      <c r="N45" s="1248">
        <v>3.1850009128239903E-2</v>
      </c>
      <c r="O45" s="1249">
        <v>3.1850009128239903E-2</v>
      </c>
      <c r="P45" s="1251">
        <v>1.5925004564119952E-2</v>
      </c>
      <c r="Q45" s="1252">
        <v>0.17902107573595799</v>
      </c>
    </row>
    <row r="46" spans="1:17" s="212" customFormat="1" ht="15.5" x14ac:dyDescent="0.35">
      <c r="A46" s="194">
        <v>2015</v>
      </c>
      <c r="B46" s="195" t="s">
        <v>5842</v>
      </c>
      <c r="C46" s="195">
        <v>1987</v>
      </c>
      <c r="D46" s="211" t="str">
        <f t="shared" si="0"/>
        <v>2015_1987</v>
      </c>
      <c r="E46" s="1267">
        <v>0.284506801937707</v>
      </c>
      <c r="F46" s="1278">
        <v>1.9872813143924399</v>
      </c>
      <c r="G46" s="1248">
        <v>5.2898052348009896</v>
      </c>
      <c r="H46" s="1278">
        <v>4.5074867775419802</v>
      </c>
      <c r="I46" s="1248">
        <v>0.193759811537382</v>
      </c>
      <c r="J46" s="1278">
        <v>1.51704837294567E-2</v>
      </c>
      <c r="K46" s="1248">
        <v>3.0000008612852398E-3</v>
      </c>
      <c r="L46" s="1250">
        <v>2.0000005740918201E-3</v>
      </c>
      <c r="M46" s="1273">
        <v>2.0000005740918201E-3</v>
      </c>
      <c r="N46" s="1248">
        <v>3.1850009128239903E-2</v>
      </c>
      <c r="O46" s="1249">
        <v>3.1850009128239903E-2</v>
      </c>
      <c r="P46" s="1251">
        <v>1.5925004564119952E-2</v>
      </c>
      <c r="Q46" s="1252">
        <v>0.202520770418672</v>
      </c>
    </row>
    <row r="47" spans="1:17" s="212" customFormat="1" ht="15.5" x14ac:dyDescent="0.35">
      <c r="A47" s="194">
        <v>2015</v>
      </c>
      <c r="B47" s="195" t="s">
        <v>5842</v>
      </c>
      <c r="C47" s="195">
        <v>1988</v>
      </c>
      <c r="D47" s="211" t="str">
        <f t="shared" si="0"/>
        <v>2015_1988</v>
      </c>
      <c r="E47" s="1267">
        <v>0.28033133856838299</v>
      </c>
      <c r="F47" s="1278">
        <v>0.487319670962511</v>
      </c>
      <c r="G47" s="1248">
        <v>5.3366791514711203</v>
      </c>
      <c r="H47" s="1278">
        <v>1.2179333321460699</v>
      </c>
      <c r="I47" s="1248">
        <v>0.19091616425017699</v>
      </c>
      <c r="J47" s="1278">
        <v>1.3831042007869301E-2</v>
      </c>
      <c r="K47" s="1248">
        <v>3.0000008611484399E-3</v>
      </c>
      <c r="L47" s="1250">
        <v>2.00000057415537E-3</v>
      </c>
      <c r="M47" s="1273">
        <v>2.00000057415537E-3</v>
      </c>
      <c r="N47" s="1248">
        <v>3.1850009128239903E-2</v>
      </c>
      <c r="O47" s="1249">
        <v>3.1850009128239903E-2</v>
      </c>
      <c r="P47" s="1251">
        <v>1.5925004564119952E-2</v>
      </c>
      <c r="Q47" s="1252">
        <v>0.19954854601963801</v>
      </c>
    </row>
    <row r="48" spans="1:17" s="212" customFormat="1" ht="15.5" x14ac:dyDescent="0.35">
      <c r="A48" s="194">
        <v>2015</v>
      </c>
      <c r="B48" s="195" t="s">
        <v>5842</v>
      </c>
      <c r="C48" s="195">
        <v>1989</v>
      </c>
      <c r="D48" s="211" t="str">
        <f t="shared" si="0"/>
        <v>2015_1989</v>
      </c>
      <c r="E48" s="1267">
        <v>0.27801901715030303</v>
      </c>
      <c r="F48" s="1278">
        <v>0.327673256276789</v>
      </c>
      <c r="G48" s="1248">
        <v>5.3742548862971704</v>
      </c>
      <c r="H48" s="1278">
        <v>1.64081184255109</v>
      </c>
      <c r="I48" s="1248">
        <v>0.18934138656778199</v>
      </c>
      <c r="J48" s="1278">
        <v>1.3409472057897699E-2</v>
      </c>
      <c r="K48" s="1248">
        <v>3.0000008610756501E-3</v>
      </c>
      <c r="L48" s="1250">
        <v>2.0000005740921801E-3</v>
      </c>
      <c r="M48" s="1273">
        <v>2.0000005740921801E-3</v>
      </c>
      <c r="N48" s="1248">
        <v>3.1850009128239903E-2</v>
      </c>
      <c r="O48" s="1249">
        <v>3.1850009128239903E-2</v>
      </c>
      <c r="P48" s="1251">
        <v>1.5925004564119952E-2</v>
      </c>
      <c r="Q48" s="1252">
        <v>0.19790256387841801</v>
      </c>
    </row>
    <row r="49" spans="1:17" s="212" customFormat="1" ht="15.5" x14ac:dyDescent="0.35">
      <c r="A49" s="194">
        <v>2015</v>
      </c>
      <c r="B49" s="195" t="s">
        <v>5842</v>
      </c>
      <c r="C49" s="195">
        <v>1990</v>
      </c>
      <c r="D49" s="211" t="str">
        <f t="shared" si="0"/>
        <v>2015_1990</v>
      </c>
      <c r="E49" s="1267">
        <v>0.27854526507891397</v>
      </c>
      <c r="F49" s="1278">
        <v>0.44450989812258002</v>
      </c>
      <c r="G49" s="1248">
        <v>5.37649200393383</v>
      </c>
      <c r="H49" s="1278">
        <v>1.65977057811725</v>
      </c>
      <c r="I49" s="1248">
        <v>0.189699781160724</v>
      </c>
      <c r="J49" s="1278">
        <v>1.3902621011109E-2</v>
      </c>
      <c r="K49" s="1248">
        <v>3.00000086107877E-3</v>
      </c>
      <c r="L49" s="1250">
        <v>2.0000005741951602E-3</v>
      </c>
      <c r="M49" s="1273">
        <v>2.0000005741951602E-3</v>
      </c>
      <c r="N49" s="1248">
        <v>3.1850009128239903E-2</v>
      </c>
      <c r="O49" s="1249">
        <v>3.1850009128239903E-2</v>
      </c>
      <c r="P49" s="1251">
        <v>1.5925004564119952E-2</v>
      </c>
      <c r="Q49" s="1252">
        <v>0.1982771634845</v>
      </c>
    </row>
    <row r="50" spans="1:17" s="212" customFormat="1" ht="15.5" x14ac:dyDescent="0.35">
      <c r="A50" s="194">
        <v>2015</v>
      </c>
      <c r="B50" s="195" t="s">
        <v>5842</v>
      </c>
      <c r="C50" s="195">
        <v>1991</v>
      </c>
      <c r="D50" s="211" t="str">
        <f t="shared" si="0"/>
        <v>2015_1991</v>
      </c>
      <c r="E50" s="1267">
        <v>0.365916732541814</v>
      </c>
      <c r="F50" s="1278">
        <v>0.47565653607796299</v>
      </c>
      <c r="G50" s="1248">
        <v>9.3704402727146707</v>
      </c>
      <c r="H50" s="1278">
        <v>2.9239916203181702</v>
      </c>
      <c r="I50" s="1248">
        <v>5.1858922394681803E-2</v>
      </c>
      <c r="J50" s="1278">
        <v>7.63326793758742E-3</v>
      </c>
      <c r="K50" s="1248">
        <v>3.0000008612109598E-3</v>
      </c>
      <c r="L50" s="1250">
        <v>2.0000005741517999E-3</v>
      </c>
      <c r="M50" s="1273">
        <v>2.0000005741517999E-3</v>
      </c>
      <c r="N50" s="1248">
        <v>3.1850009128239903E-2</v>
      </c>
      <c r="O50" s="1249">
        <v>3.1850009128239903E-2</v>
      </c>
      <c r="P50" s="1251">
        <v>1.5925004564119952E-2</v>
      </c>
      <c r="Q50" s="1252">
        <v>5.4203752744809403E-2</v>
      </c>
    </row>
    <row r="51" spans="1:17" s="212" customFormat="1" ht="15.5" x14ac:dyDescent="0.35">
      <c r="A51" s="194">
        <v>2015</v>
      </c>
      <c r="B51" s="195" t="s">
        <v>5842</v>
      </c>
      <c r="C51" s="195">
        <v>1992</v>
      </c>
      <c r="D51" s="211" t="str">
        <f t="shared" si="0"/>
        <v>2015_1992</v>
      </c>
      <c r="E51" s="1267">
        <v>0.367886445072302</v>
      </c>
      <c r="F51" s="1278">
        <v>0.47533463857193198</v>
      </c>
      <c r="G51" s="1248">
        <v>9.3272180591940703</v>
      </c>
      <c r="H51" s="1278">
        <v>2.9281751777866698</v>
      </c>
      <c r="I51" s="1248">
        <v>5.2172121505914201E-2</v>
      </c>
      <c r="J51" s="1278">
        <v>7.6585943766694503E-3</v>
      </c>
      <c r="K51" s="1248">
        <v>3.00000086129268E-3</v>
      </c>
      <c r="L51" s="1250">
        <v>2.0000005741634E-3</v>
      </c>
      <c r="M51" s="1273">
        <v>2.0000005741634E-3</v>
      </c>
      <c r="N51" s="1248">
        <v>3.1850009128239903E-2</v>
      </c>
      <c r="O51" s="1249">
        <v>3.1850009128239903E-2</v>
      </c>
      <c r="P51" s="1251">
        <v>1.5925004564119952E-2</v>
      </c>
      <c r="Q51" s="1252">
        <v>5.4531113330051201E-2</v>
      </c>
    </row>
    <row r="52" spans="1:17" s="212" customFormat="1" ht="15.5" x14ac:dyDescent="0.35">
      <c r="A52" s="194">
        <v>2015</v>
      </c>
      <c r="B52" s="195" t="s">
        <v>5842</v>
      </c>
      <c r="C52" s="195">
        <v>1993</v>
      </c>
      <c r="D52" s="211" t="str">
        <f t="shared" si="0"/>
        <v>2015_1993</v>
      </c>
      <c r="E52" s="1267">
        <v>0.36876806536034301</v>
      </c>
      <c r="F52" s="1278">
        <v>0.46991811597755001</v>
      </c>
      <c r="G52" s="1248">
        <v>9.2786547560135002</v>
      </c>
      <c r="H52" s="1278">
        <v>2.91952663504077</v>
      </c>
      <c r="I52" s="1248">
        <v>5.2373279509993098E-2</v>
      </c>
      <c r="J52" s="1278">
        <v>7.5959343173153896E-3</v>
      </c>
      <c r="K52" s="1248">
        <v>3.0000008613526499E-3</v>
      </c>
      <c r="L52" s="1250">
        <v>2.0000005741211699E-3</v>
      </c>
      <c r="M52" s="1273">
        <v>2.0000005741211699E-3</v>
      </c>
      <c r="N52" s="1248">
        <v>3.1850009128239903E-2</v>
      </c>
      <c r="O52" s="1249">
        <v>3.1850009128239903E-2</v>
      </c>
      <c r="P52" s="1251">
        <v>1.5925004564119952E-2</v>
      </c>
      <c r="Q52" s="1252">
        <v>5.4741366806449199E-2</v>
      </c>
    </row>
    <row r="53" spans="1:17" s="212" customFormat="1" ht="15.5" x14ac:dyDescent="0.35">
      <c r="A53" s="194">
        <v>2015</v>
      </c>
      <c r="B53" s="195" t="s">
        <v>5842</v>
      </c>
      <c r="C53" s="195">
        <v>1994</v>
      </c>
      <c r="D53" s="211" t="str">
        <f t="shared" si="0"/>
        <v>2015_1994</v>
      </c>
      <c r="E53" s="1267">
        <v>0.35866339570389999</v>
      </c>
      <c r="F53" s="1278">
        <v>0.45859507740255201</v>
      </c>
      <c r="G53" s="1248">
        <v>9.3950726714230992</v>
      </c>
      <c r="H53" s="1278">
        <v>2.8998681801200599</v>
      </c>
      <c r="I53" s="1248">
        <v>5.1535170160987201E-2</v>
      </c>
      <c r="J53" s="1278">
        <v>7.4369196851709297E-3</v>
      </c>
      <c r="K53" s="1248">
        <v>3.0000008612597502E-3</v>
      </c>
      <c r="L53" s="1250">
        <v>2.0000005740917E-3</v>
      </c>
      <c r="M53" s="1273">
        <v>2.0000005740917E-3</v>
      </c>
      <c r="N53" s="1248">
        <v>3.1850009128239903E-2</v>
      </c>
      <c r="O53" s="1249">
        <v>3.1850009128239903E-2</v>
      </c>
      <c r="P53" s="1251">
        <v>1.5925004564119952E-2</v>
      </c>
      <c r="Q53" s="1252">
        <v>5.3865361871736399E-2</v>
      </c>
    </row>
    <row r="54" spans="1:17" s="212" customFormat="1" ht="15.5" x14ac:dyDescent="0.35">
      <c r="A54" s="194">
        <v>2015</v>
      </c>
      <c r="B54" s="195" t="s">
        <v>5842</v>
      </c>
      <c r="C54" s="195">
        <v>1995</v>
      </c>
      <c r="D54" s="211" t="str">
        <f t="shared" si="0"/>
        <v>2015_1995</v>
      </c>
      <c r="E54" s="1267">
        <v>0.36126377697481599</v>
      </c>
      <c r="F54" s="1278">
        <v>0.24323354342821901</v>
      </c>
      <c r="G54" s="1248">
        <v>9.3127912356507494</v>
      </c>
      <c r="H54" s="1278">
        <v>1.65394229615402</v>
      </c>
      <c r="I54" s="1248">
        <v>5.2037468263885202E-2</v>
      </c>
      <c r="J54" s="1278">
        <v>4.8881117772303197E-3</v>
      </c>
      <c r="K54" s="1248">
        <v>3.0000008613172801E-3</v>
      </c>
      <c r="L54" s="1250">
        <v>2.00000057413211E-3</v>
      </c>
      <c r="M54" s="1273">
        <v>2.00000057413211E-3</v>
      </c>
      <c r="N54" s="1248">
        <v>3.1850009128239903E-2</v>
      </c>
      <c r="O54" s="1249">
        <v>3.1850009128239903E-2</v>
      </c>
      <c r="P54" s="1251">
        <v>1.5925004564119952E-2</v>
      </c>
      <c r="Q54" s="1252">
        <v>5.4390371665932601E-2</v>
      </c>
    </row>
    <row r="55" spans="1:17" s="212" customFormat="1" ht="15.5" x14ac:dyDescent="0.35">
      <c r="A55" s="194">
        <v>2015</v>
      </c>
      <c r="B55" s="195" t="s">
        <v>5842</v>
      </c>
      <c r="C55" s="195">
        <v>1996</v>
      </c>
      <c r="D55" s="211" t="str">
        <f t="shared" si="0"/>
        <v>2015_1996</v>
      </c>
      <c r="E55" s="1267">
        <v>0.35677245695093301</v>
      </c>
      <c r="F55" s="1278">
        <v>2.24717180490639E-2</v>
      </c>
      <c r="G55" s="1248">
        <v>9.3112627445698504</v>
      </c>
      <c r="H55" s="1278">
        <v>0.38608645789991303</v>
      </c>
      <c r="I55" s="1248">
        <v>5.15540788768757E-2</v>
      </c>
      <c r="J55" s="1278">
        <v>2.1706540547876E-3</v>
      </c>
      <c r="K55" s="1248">
        <v>3.0000008613098499E-3</v>
      </c>
      <c r="L55" s="1250">
        <v>2.0000005741511099E-3</v>
      </c>
      <c r="M55" s="1273">
        <v>2.0000005741511099E-3</v>
      </c>
      <c r="N55" s="1248">
        <v>3.1850009128239903E-2</v>
      </c>
      <c r="O55" s="1249">
        <v>3.1850009128239903E-2</v>
      </c>
      <c r="P55" s="1251">
        <v>1.5925004564119952E-2</v>
      </c>
      <c r="Q55" s="1252">
        <v>5.3885125555851197E-2</v>
      </c>
    </row>
    <row r="56" spans="1:17" s="212" customFormat="1" ht="15.5" x14ac:dyDescent="0.35">
      <c r="A56" s="194">
        <v>2015</v>
      </c>
      <c r="B56" s="195" t="s">
        <v>5842</v>
      </c>
      <c r="C56" s="195">
        <v>1997</v>
      </c>
      <c r="D56" s="211" t="str">
        <f t="shared" si="0"/>
        <v>2015_1997</v>
      </c>
      <c r="E56" s="1267">
        <v>0.35359322878653099</v>
      </c>
      <c r="F56" s="1278">
        <v>2.15931975665145E-2</v>
      </c>
      <c r="G56" s="1248">
        <v>9.2665309597295096</v>
      </c>
      <c r="H56" s="1278">
        <v>0.37722711944979997</v>
      </c>
      <c r="I56" s="1248">
        <v>5.1295330666298697E-2</v>
      </c>
      <c r="J56" s="1278">
        <v>2.0948558101407098E-3</v>
      </c>
      <c r="K56" s="1248">
        <v>3.00000086132143E-3</v>
      </c>
      <c r="L56" s="1250">
        <v>2.0000005740469801E-3</v>
      </c>
      <c r="M56" s="1273">
        <v>2.0000005740469801E-3</v>
      </c>
      <c r="N56" s="1248">
        <v>3.1850009128239903E-2</v>
      </c>
      <c r="O56" s="1249">
        <v>3.1850009128239903E-2</v>
      </c>
      <c r="P56" s="1251">
        <v>1.5925004564119952E-2</v>
      </c>
      <c r="Q56" s="1252">
        <v>5.3614677899370002E-2</v>
      </c>
    </row>
    <row r="57" spans="1:17" s="212" customFormat="1" ht="15.5" x14ac:dyDescent="0.35">
      <c r="A57" s="194">
        <v>2015</v>
      </c>
      <c r="B57" s="195" t="s">
        <v>5842</v>
      </c>
      <c r="C57" s="195">
        <v>1998</v>
      </c>
      <c r="D57" s="211" t="str">
        <f t="shared" si="0"/>
        <v>2015_1998</v>
      </c>
      <c r="E57" s="1267">
        <v>0.34684266811036102</v>
      </c>
      <c r="F57" s="1278">
        <v>2.1810242641859601E-2</v>
      </c>
      <c r="G57" s="1248">
        <v>9.2837464159906204</v>
      </c>
      <c r="H57" s="1278">
        <v>0.37363488118883298</v>
      </c>
      <c r="I57" s="1248">
        <v>5.0553690456536897E-2</v>
      </c>
      <c r="J57" s="1278">
        <v>2.1299382698882802E-3</v>
      </c>
      <c r="K57" s="1248">
        <v>3.0000008613165702E-3</v>
      </c>
      <c r="L57" s="1250">
        <v>2.0000005741054299E-3</v>
      </c>
      <c r="M57" s="1273">
        <v>2.0000005741054299E-3</v>
      </c>
      <c r="N57" s="1248">
        <v>3.1850009128239903E-2</v>
      </c>
      <c r="O57" s="1249">
        <v>3.1850009128239903E-2</v>
      </c>
      <c r="P57" s="1251">
        <v>1.5925004564119952E-2</v>
      </c>
      <c r="Q57" s="1252">
        <v>5.2839504010302497E-2</v>
      </c>
    </row>
    <row r="58" spans="1:17" s="212" customFormat="1" ht="15.5" x14ac:dyDescent="0.35">
      <c r="A58" s="194">
        <v>2015</v>
      </c>
      <c r="B58" s="195" t="s">
        <v>5842</v>
      </c>
      <c r="C58" s="195">
        <v>1999</v>
      </c>
      <c r="D58" s="211" t="str">
        <f t="shared" si="0"/>
        <v>2015_1999</v>
      </c>
      <c r="E58" s="1267">
        <v>0.34075151826030797</v>
      </c>
      <c r="F58" s="1278">
        <v>2.13057395771056E-2</v>
      </c>
      <c r="G58" s="1248">
        <v>9.2579452443365504</v>
      </c>
      <c r="H58" s="1278">
        <v>0.36676260491982698</v>
      </c>
      <c r="I58" s="1248">
        <v>4.9943207207447597E-2</v>
      </c>
      <c r="J58" s="1278">
        <v>2.13387523653306E-3</v>
      </c>
      <c r="K58" s="1248">
        <v>3.0000008613558999E-3</v>
      </c>
      <c r="L58" s="1250">
        <v>2.0000005741140602E-3</v>
      </c>
      <c r="M58" s="1273">
        <v>2.0000005741140602E-3</v>
      </c>
      <c r="N58" s="1248">
        <v>3.1850009128239903E-2</v>
      </c>
      <c r="O58" s="1249">
        <v>3.1850009128239903E-2</v>
      </c>
      <c r="P58" s="1251">
        <v>1.5925004564119952E-2</v>
      </c>
      <c r="Q58" s="1252">
        <v>5.2201417417668698E-2</v>
      </c>
    </row>
    <row r="59" spans="1:17" s="212" customFormat="1" ht="15.5" x14ac:dyDescent="0.35">
      <c r="A59" s="194">
        <v>2015</v>
      </c>
      <c r="B59" s="195" t="s">
        <v>5842</v>
      </c>
      <c r="C59" s="195">
        <v>2000</v>
      </c>
      <c r="D59" s="211" t="str">
        <f t="shared" si="0"/>
        <v>2015_2000</v>
      </c>
      <c r="E59" s="1267">
        <v>0.33107469355500202</v>
      </c>
      <c r="F59" s="1278">
        <v>2.1280417361252E-2</v>
      </c>
      <c r="G59" s="1248">
        <v>9.2861101194803695</v>
      </c>
      <c r="H59" s="1278">
        <v>0.35938294276267602</v>
      </c>
      <c r="I59" s="1248">
        <v>4.8841475859372097E-2</v>
      </c>
      <c r="J59" s="1278">
        <v>2.1611234178527498E-3</v>
      </c>
      <c r="K59" s="1248">
        <v>3.0000008612973798E-3</v>
      </c>
      <c r="L59" s="1250">
        <v>2.0000005741564802E-3</v>
      </c>
      <c r="M59" s="1273">
        <v>2.0000005741564802E-3</v>
      </c>
      <c r="N59" s="1248">
        <v>3.1850009128239903E-2</v>
      </c>
      <c r="O59" s="1249">
        <v>3.1850009128239903E-2</v>
      </c>
      <c r="P59" s="1251">
        <v>1.5925004564119952E-2</v>
      </c>
      <c r="Q59" s="1252">
        <v>5.10498706668936E-2</v>
      </c>
    </row>
    <row r="60" spans="1:17" s="212" customFormat="1" ht="15.5" x14ac:dyDescent="0.35">
      <c r="A60" s="194">
        <v>2015</v>
      </c>
      <c r="B60" s="195" t="s">
        <v>5842</v>
      </c>
      <c r="C60" s="195">
        <v>2001</v>
      </c>
      <c r="D60" s="211" t="str">
        <f t="shared" si="0"/>
        <v>2015_2001</v>
      </c>
      <c r="E60" s="1267">
        <v>0.32512370871561402</v>
      </c>
      <c r="F60" s="1278">
        <v>2.09382921206589E-2</v>
      </c>
      <c r="G60" s="1248">
        <v>9.2222438138455907</v>
      </c>
      <c r="H60" s="1278">
        <v>0.34847840511657902</v>
      </c>
      <c r="I60" s="1248">
        <v>4.8326276869394398E-2</v>
      </c>
      <c r="J60" s="1278">
        <v>2.1632455580172499E-3</v>
      </c>
      <c r="K60" s="1248">
        <v>3.00000086135926E-3</v>
      </c>
      <c r="L60" s="1250">
        <v>2.0000005741621801E-3</v>
      </c>
      <c r="M60" s="1273">
        <v>2.0000005741621801E-3</v>
      </c>
      <c r="N60" s="1248">
        <v>3.1850009128239903E-2</v>
      </c>
      <c r="O60" s="1249">
        <v>3.1850009128239903E-2</v>
      </c>
      <c r="P60" s="1251">
        <v>1.5925004564119952E-2</v>
      </c>
      <c r="Q60" s="1252">
        <v>5.05113766647508E-2</v>
      </c>
    </row>
    <row r="61" spans="1:17" s="212" customFormat="1" ht="15.5" x14ac:dyDescent="0.35">
      <c r="A61" s="194">
        <v>2015</v>
      </c>
      <c r="B61" s="195" t="s">
        <v>5842</v>
      </c>
      <c r="C61" s="195">
        <v>2002</v>
      </c>
      <c r="D61" s="211" t="str">
        <f t="shared" si="0"/>
        <v>2015_2002</v>
      </c>
      <c r="E61" s="1267">
        <v>0.254791365714436</v>
      </c>
      <c r="F61" s="1278">
        <v>2.0396478928728701E-2</v>
      </c>
      <c r="G61" s="1248">
        <v>7.1254284267629098</v>
      </c>
      <c r="H61" s="1278">
        <v>0.264738008391181</v>
      </c>
      <c r="I61" s="1248">
        <v>4.9675313288340801E-2</v>
      </c>
      <c r="J61" s="1278">
        <v>2.1535608367631901E-3</v>
      </c>
      <c r="K61" s="1248">
        <v>3.0000008613297099E-3</v>
      </c>
      <c r="L61" s="1250">
        <v>2.0000005741366701E-3</v>
      </c>
      <c r="M61" s="1273">
        <v>2.0000005741366701E-3</v>
      </c>
      <c r="N61" s="1248">
        <v>3.1850009128239903E-2</v>
      </c>
      <c r="O61" s="1249">
        <v>3.1850009128239903E-2</v>
      </c>
      <c r="P61" s="1251">
        <v>1.5925004564119952E-2</v>
      </c>
      <c r="Q61" s="1252">
        <v>5.1921410524301603E-2</v>
      </c>
    </row>
    <row r="62" spans="1:17" s="212" customFormat="1" ht="15.5" x14ac:dyDescent="0.35">
      <c r="A62" s="194">
        <v>2015</v>
      </c>
      <c r="B62" s="195" t="s">
        <v>5842</v>
      </c>
      <c r="C62" s="195">
        <v>2003</v>
      </c>
      <c r="D62" s="211" t="str">
        <f t="shared" si="0"/>
        <v>2015_2003</v>
      </c>
      <c r="E62" s="1267">
        <v>0.24689669852683099</v>
      </c>
      <c r="F62" s="1278">
        <v>1.97800029178558E-2</v>
      </c>
      <c r="G62" s="1248">
        <v>7.1546360859473896</v>
      </c>
      <c r="H62" s="1278">
        <v>0.25212193864140398</v>
      </c>
      <c r="I62" s="1248">
        <v>4.8584277973902398E-2</v>
      </c>
      <c r="J62" s="1278">
        <v>2.1411392685012501E-3</v>
      </c>
      <c r="K62" s="1248">
        <v>3.0000008612761802E-3</v>
      </c>
      <c r="L62" s="1250">
        <v>2.0000005741405099E-3</v>
      </c>
      <c r="M62" s="1273">
        <v>2.0000005741405099E-3</v>
      </c>
      <c r="N62" s="1248">
        <v>3.1850009128239903E-2</v>
      </c>
      <c r="O62" s="1249">
        <v>3.1850009128239903E-2</v>
      </c>
      <c r="P62" s="1251">
        <v>1.5925004564119952E-2</v>
      </c>
      <c r="Q62" s="1252">
        <v>5.0781043434341797E-2</v>
      </c>
    </row>
    <row r="63" spans="1:17" s="212" customFormat="1" ht="15.5" x14ac:dyDescent="0.35">
      <c r="A63" s="194">
        <v>2015</v>
      </c>
      <c r="B63" s="195" t="s">
        <v>5842</v>
      </c>
      <c r="C63" s="195">
        <v>2004</v>
      </c>
      <c r="D63" s="211" t="str">
        <f t="shared" si="0"/>
        <v>2015_2004</v>
      </c>
      <c r="E63" s="1267">
        <v>0.48729812340524697</v>
      </c>
      <c r="F63" s="1278">
        <v>1.33100382144211E-2</v>
      </c>
      <c r="G63" s="1248">
        <v>4.0764878933802802</v>
      </c>
      <c r="H63" s="1278">
        <v>0.20403432455095699</v>
      </c>
      <c r="I63" s="1248">
        <v>0.1353860055195</v>
      </c>
      <c r="J63" s="1278">
        <v>1.39075780525733E-4</v>
      </c>
      <c r="K63" s="1248">
        <v>3.00000086124975E-3</v>
      </c>
      <c r="L63" s="1250">
        <v>2.0000005740713799E-3</v>
      </c>
      <c r="M63" s="1273">
        <v>2.0000005740713799E-3</v>
      </c>
      <c r="N63" s="1248">
        <v>3.1850009128239903E-2</v>
      </c>
      <c r="O63" s="1249">
        <v>3.1850009128239903E-2</v>
      </c>
      <c r="P63" s="1251">
        <v>1.5925004564119952E-2</v>
      </c>
      <c r="Q63" s="1252">
        <v>0.14150755992259001</v>
      </c>
    </row>
    <row r="64" spans="1:17" s="212" customFormat="1" ht="15.5" x14ac:dyDescent="0.35">
      <c r="A64" s="194">
        <v>2015</v>
      </c>
      <c r="B64" s="195" t="s">
        <v>5842</v>
      </c>
      <c r="C64" s="195">
        <v>2005</v>
      </c>
      <c r="D64" s="211" t="str">
        <f t="shared" si="0"/>
        <v>2015_2005</v>
      </c>
      <c r="E64" s="1267">
        <v>0.47553175993296798</v>
      </c>
      <c r="F64" s="1278">
        <v>1.3326809878017E-2</v>
      </c>
      <c r="G64" s="1248">
        <v>4.0740754662265202</v>
      </c>
      <c r="H64" s="1278">
        <v>0.193966185672237</v>
      </c>
      <c r="I64" s="1248">
        <v>0.13357488648954799</v>
      </c>
      <c r="J64" s="1278">
        <v>1.40769432019129E-4</v>
      </c>
      <c r="K64" s="1248">
        <v>3.0000008612493302E-3</v>
      </c>
      <c r="L64" s="1250">
        <v>2.0000005741051198E-3</v>
      </c>
      <c r="M64" s="1273">
        <v>2.0000005741051198E-3</v>
      </c>
      <c r="N64" s="1248">
        <v>3.1850009128239903E-2</v>
      </c>
      <c r="O64" s="1249">
        <v>3.1850009128239903E-2</v>
      </c>
      <c r="P64" s="1251">
        <v>1.5925004564119952E-2</v>
      </c>
      <c r="Q64" s="1252">
        <v>0.139614550126826</v>
      </c>
    </row>
    <row r="65" spans="1:17" s="212" customFormat="1" ht="15.5" x14ac:dyDescent="0.35">
      <c r="A65" s="194">
        <v>2015</v>
      </c>
      <c r="B65" s="195" t="s">
        <v>5842</v>
      </c>
      <c r="C65" s="195">
        <v>2006</v>
      </c>
      <c r="D65" s="211" t="str">
        <f t="shared" si="0"/>
        <v>2015_2006</v>
      </c>
      <c r="E65" s="1267">
        <v>0.458205994627571</v>
      </c>
      <c r="F65" s="1278">
        <v>1.30752329591063E-2</v>
      </c>
      <c r="G65" s="1248">
        <v>4.05216959840131</v>
      </c>
      <c r="H65" s="1278">
        <v>0.18446781702390799</v>
      </c>
      <c r="I65" s="1248">
        <v>0.13049900508415599</v>
      </c>
      <c r="J65" s="1278">
        <v>1.42169047615054E-4</v>
      </c>
      <c r="K65" s="1248">
        <v>3.0000008612338898E-3</v>
      </c>
      <c r="L65" s="1250">
        <v>2.0000005741312599E-3</v>
      </c>
      <c r="M65" s="1273">
        <v>2.0000005741312599E-3</v>
      </c>
      <c r="N65" s="1248">
        <v>3.1850009128239903E-2</v>
      </c>
      <c r="O65" s="1249">
        <v>3.1850009128239903E-2</v>
      </c>
      <c r="P65" s="1251">
        <v>1.5925004564119952E-2</v>
      </c>
      <c r="Q65" s="1252">
        <v>0.13639959101330301</v>
      </c>
    </row>
    <row r="66" spans="1:17" s="212" customFormat="1" ht="15.5" x14ac:dyDescent="0.35">
      <c r="A66" s="194">
        <v>2015</v>
      </c>
      <c r="B66" s="195" t="s">
        <v>5842</v>
      </c>
      <c r="C66" s="195">
        <v>2007</v>
      </c>
      <c r="D66" s="211" t="str">
        <f t="shared" si="0"/>
        <v>2015_2007</v>
      </c>
      <c r="E66" s="1267">
        <v>0.26156121704322299</v>
      </c>
      <c r="F66" s="1278">
        <v>1.26132926855082E-2</v>
      </c>
      <c r="G66" s="1248">
        <v>2.3438766197571601</v>
      </c>
      <c r="H66" s="1278">
        <v>0.17401412343856601</v>
      </c>
      <c r="I66" s="1248">
        <v>7.2383504145587002E-2</v>
      </c>
      <c r="J66" s="1278">
        <v>1.43103183819562E-4</v>
      </c>
      <c r="K66" s="1248">
        <v>3.0000008612250501E-3</v>
      </c>
      <c r="L66" s="1250">
        <v>2.0000005741408998E-3</v>
      </c>
      <c r="M66" s="1273">
        <v>2.0000005741408998E-3</v>
      </c>
      <c r="N66" s="1248">
        <v>3.1850009128239903E-2</v>
      </c>
      <c r="O66" s="1249">
        <v>3.1850009128239903E-2</v>
      </c>
      <c r="P66" s="1251">
        <v>1.5925004564119952E-2</v>
      </c>
      <c r="Q66" s="1252">
        <v>7.5656365006008003E-2</v>
      </c>
    </row>
    <row r="67" spans="1:17" s="212" customFormat="1" ht="15.5" x14ac:dyDescent="0.35">
      <c r="A67" s="198">
        <v>2015</v>
      </c>
      <c r="B67" s="197" t="s">
        <v>5842</v>
      </c>
      <c r="C67" s="197">
        <v>2008</v>
      </c>
      <c r="D67" s="213" t="str">
        <f t="shared" ref="D67:D141" si="1">CONCATENATE(A67,"_",C67)</f>
        <v>2015_2008</v>
      </c>
      <c r="E67" s="1267">
        <v>0.25652885762755401</v>
      </c>
      <c r="F67" s="1278">
        <v>8.6762543273507797E-3</v>
      </c>
      <c r="G67" s="1248">
        <v>2.3418345461979202</v>
      </c>
      <c r="H67" s="1278">
        <v>0.10039705771348401</v>
      </c>
      <c r="I67" s="1248">
        <v>7.1358308765483394E-2</v>
      </c>
      <c r="J67" s="1278">
        <v>1.4010600298878099E-4</v>
      </c>
      <c r="K67" s="1248">
        <v>3.0000008612813098E-3</v>
      </c>
      <c r="L67" s="1250">
        <v>2.0000005741775901E-3</v>
      </c>
      <c r="M67" s="1273">
        <v>2.0000005741775901E-3</v>
      </c>
      <c r="N67" s="1248">
        <v>3.1850009128239903E-2</v>
      </c>
      <c r="O67" s="1249">
        <v>3.1850009128239903E-2</v>
      </c>
      <c r="P67" s="1251">
        <v>1.5925004564119952E-2</v>
      </c>
      <c r="Q67" s="1252">
        <v>7.4584814840053096E-2</v>
      </c>
    </row>
    <row r="68" spans="1:17" s="212" customFormat="1" ht="15.5" x14ac:dyDescent="0.35">
      <c r="A68" s="198">
        <v>2015</v>
      </c>
      <c r="B68" s="197" t="s">
        <v>5842</v>
      </c>
      <c r="C68" s="197">
        <v>2009</v>
      </c>
      <c r="D68" s="213" t="str">
        <f t="shared" si="1"/>
        <v>2015_2009</v>
      </c>
      <c r="E68" s="1267">
        <v>0.24584090065094</v>
      </c>
      <c r="F68" s="1278">
        <v>4.9877536384831302E-3</v>
      </c>
      <c r="G68" s="1248">
        <v>2.31889150244622</v>
      </c>
      <c r="H68" s="1278">
        <v>3.7725207973650497E-2</v>
      </c>
      <c r="I68" s="1248">
        <v>6.9086123522221196E-2</v>
      </c>
      <c r="J68" s="1278">
        <v>1.2889125812666E-4</v>
      </c>
      <c r="K68" s="1248">
        <v>3.0000008612599801E-3</v>
      </c>
      <c r="L68" s="1250">
        <v>2.0000005741315501E-3</v>
      </c>
      <c r="M68" s="1273">
        <v>2.0000005741315501E-3</v>
      </c>
      <c r="N68" s="1248">
        <v>3.1850009128239903E-2</v>
      </c>
      <c r="O68" s="1249">
        <v>3.1850009128239903E-2</v>
      </c>
      <c r="P68" s="1251">
        <v>1.5925004564119952E-2</v>
      </c>
      <c r="Q68" s="1252">
        <v>7.2209891462763298E-2</v>
      </c>
    </row>
    <row r="69" spans="1:17" s="212" customFormat="1" ht="15.5" x14ac:dyDescent="0.35">
      <c r="A69" s="198">
        <v>2015</v>
      </c>
      <c r="B69" s="197" t="s">
        <v>5842</v>
      </c>
      <c r="C69" s="197">
        <v>2010</v>
      </c>
      <c r="D69" s="213" t="str">
        <f t="shared" si="1"/>
        <v>2015_2010</v>
      </c>
      <c r="E69" s="1267">
        <v>7.3036266398783203E-2</v>
      </c>
      <c r="F69" s="1278">
        <v>4.8011280798663401E-3</v>
      </c>
      <c r="G69" s="1248">
        <v>0.55786893881398203</v>
      </c>
      <c r="H69" s="1278">
        <v>3.7715764376283697E-2</v>
      </c>
      <c r="I69" s="1248">
        <v>1.25246064347177E-2</v>
      </c>
      <c r="J69" s="1278">
        <v>1.5587757086433799E-4</v>
      </c>
      <c r="K69" s="1248">
        <v>3.00000086128738E-3</v>
      </c>
      <c r="L69" s="1250">
        <v>2.00000057400186E-3</v>
      </c>
      <c r="M69" s="1273">
        <v>2.00000057400186E-3</v>
      </c>
      <c r="N69" s="1248">
        <v>3.1850009128239903E-2</v>
      </c>
      <c r="O69" s="1249">
        <v>3.1850009128239903E-2</v>
      </c>
      <c r="P69" s="1251">
        <v>1.5925004564119952E-2</v>
      </c>
      <c r="Q69" s="1252">
        <v>1.30909135605777E-2</v>
      </c>
    </row>
    <row r="70" spans="1:17" s="212" customFormat="1" ht="15.5" x14ac:dyDescent="0.35">
      <c r="A70" s="198">
        <v>2015</v>
      </c>
      <c r="B70" s="197" t="s">
        <v>5842</v>
      </c>
      <c r="C70" s="197">
        <v>2011</v>
      </c>
      <c r="D70" s="213" t="str">
        <f t="shared" si="1"/>
        <v>2015_2011</v>
      </c>
      <c r="E70" s="1267">
        <v>7.1499322348951899E-2</v>
      </c>
      <c r="F70" s="1278">
        <v>5.19556714522153E-3</v>
      </c>
      <c r="G70" s="1248">
        <v>0.53081320344730998</v>
      </c>
      <c r="H70" s="1278">
        <v>3.8364090363154399E-2</v>
      </c>
      <c r="I70" s="1248">
        <v>1.12626392855139E-2</v>
      </c>
      <c r="J70" s="1278">
        <v>2.14447363176843E-4</v>
      </c>
      <c r="K70" s="1248">
        <v>3.00000086131169E-3</v>
      </c>
      <c r="L70" s="1250">
        <v>2.0000005741405802E-3</v>
      </c>
      <c r="M70" s="1273">
        <v>2.0000005741405802E-3</v>
      </c>
      <c r="N70" s="1248">
        <v>3.1850009128239903E-2</v>
      </c>
      <c r="O70" s="1249">
        <v>3.1850009128239903E-2</v>
      </c>
      <c r="P70" s="1251">
        <v>1.5925004564119952E-2</v>
      </c>
      <c r="Q70" s="1252">
        <v>1.1771885856783199E-2</v>
      </c>
    </row>
    <row r="71" spans="1:17" s="212" customFormat="1" ht="15.5" x14ac:dyDescent="0.35">
      <c r="A71" s="198">
        <v>2015</v>
      </c>
      <c r="B71" s="197" t="s">
        <v>5842</v>
      </c>
      <c r="C71" s="197">
        <v>2012</v>
      </c>
      <c r="D71" s="213" t="str">
        <f t="shared" si="1"/>
        <v>2015_2012</v>
      </c>
      <c r="E71" s="1267">
        <v>7.0257280918866405E-2</v>
      </c>
      <c r="F71" s="1278">
        <v>5.67142417257426E-3</v>
      </c>
      <c r="G71" s="1248">
        <v>0.50379677066127404</v>
      </c>
      <c r="H71" s="1278">
        <v>4.0715269934631197E-2</v>
      </c>
      <c r="I71" s="1248">
        <v>9.9717081130907392E-3</v>
      </c>
      <c r="J71" s="1278">
        <v>3.1463076360191102E-4</v>
      </c>
      <c r="K71" s="1248">
        <v>3.0000008613627499E-3</v>
      </c>
      <c r="L71" s="1250">
        <v>2.0000005742086399E-3</v>
      </c>
      <c r="M71" s="1273">
        <v>2.0000005742086399E-3</v>
      </c>
      <c r="N71" s="1248">
        <v>3.1850009128239903E-2</v>
      </c>
      <c r="O71" s="1249">
        <v>3.1850009128239903E-2</v>
      </c>
      <c r="P71" s="1251">
        <v>1.5925004564119952E-2</v>
      </c>
      <c r="Q71" s="1252">
        <v>1.04225845051652E-2</v>
      </c>
    </row>
    <row r="72" spans="1:17" s="212" customFormat="1" ht="15.5" x14ac:dyDescent="0.35">
      <c r="A72" s="198">
        <v>2015</v>
      </c>
      <c r="B72" s="197" t="s">
        <v>5842</v>
      </c>
      <c r="C72" s="197">
        <v>2013</v>
      </c>
      <c r="D72" s="213" t="str">
        <f t="shared" si="1"/>
        <v>2015_2013</v>
      </c>
      <c r="E72" s="1267">
        <v>6.8374797182941094E-2</v>
      </c>
      <c r="F72" s="1278">
        <v>6.3472340774688501E-3</v>
      </c>
      <c r="G72" s="1248">
        <v>0.47277407647417202</v>
      </c>
      <c r="H72" s="1278">
        <v>4.5233137755035097E-2</v>
      </c>
      <c r="I72" s="1248">
        <v>8.5490883833913706E-3</v>
      </c>
      <c r="J72" s="1278">
        <v>4.7239272015674497E-4</v>
      </c>
      <c r="K72" s="1248">
        <v>3.0000008613781399E-3</v>
      </c>
      <c r="L72" s="1250">
        <v>2.00000057424147E-3</v>
      </c>
      <c r="M72" s="1273">
        <v>2.00000057424147E-3</v>
      </c>
      <c r="N72" s="1248">
        <v>3.1850009128239903E-2</v>
      </c>
      <c r="O72" s="1249">
        <v>3.1850009128239903E-2</v>
      </c>
      <c r="P72" s="1251">
        <v>1.5925004564119952E-2</v>
      </c>
      <c r="Q72" s="1252">
        <v>8.9356402240704808E-3</v>
      </c>
    </row>
    <row r="73" spans="1:17" s="212" customFormat="1" ht="15.5" x14ac:dyDescent="0.35">
      <c r="A73" s="198">
        <v>2015</v>
      </c>
      <c r="B73" s="197" t="s">
        <v>5842</v>
      </c>
      <c r="C73" s="197">
        <v>2014</v>
      </c>
      <c r="D73" s="213" t="str">
        <f t="shared" si="1"/>
        <v>2015_2014</v>
      </c>
      <c r="E73" s="1267">
        <v>6.5557069423203801E-2</v>
      </c>
      <c r="F73" s="1278">
        <v>6.8971096948959301E-3</v>
      </c>
      <c r="G73" s="1248">
        <v>0.43831644202030801</v>
      </c>
      <c r="H73" s="1278">
        <v>5.01802159568192E-2</v>
      </c>
      <c r="I73" s="1248">
        <v>7.0029957266136101E-3</v>
      </c>
      <c r="J73" s="1278">
        <v>6.5778613009821903E-4</v>
      </c>
      <c r="K73" s="1248">
        <v>3.0000008613062E-3</v>
      </c>
      <c r="L73" s="1250">
        <v>2.0000005742155098E-3</v>
      </c>
      <c r="M73" s="1273">
        <v>2.0000005742155098E-3</v>
      </c>
      <c r="N73" s="1248">
        <v>3.1850009128239903E-2</v>
      </c>
      <c r="O73" s="1249">
        <v>3.1850009128239903E-2</v>
      </c>
      <c r="P73" s="1251">
        <v>1.5925004564119952E-2</v>
      </c>
      <c r="Q73" s="1252">
        <v>7.3196401180377797E-3</v>
      </c>
    </row>
    <row r="74" spans="1:17" s="212" customFormat="1" ht="15.5" x14ac:dyDescent="0.35">
      <c r="A74" s="198">
        <v>2015</v>
      </c>
      <c r="B74" s="197" t="s">
        <v>5842</v>
      </c>
      <c r="C74" s="197">
        <v>2015</v>
      </c>
      <c r="D74" s="213" t="str">
        <f t="shared" si="1"/>
        <v>2015_2015</v>
      </c>
      <c r="E74" s="1267">
        <v>6.3833879803382301E-2</v>
      </c>
      <c r="F74" s="1278">
        <v>6.8540531572778797E-3</v>
      </c>
      <c r="G74" s="1248">
        <v>0.406523304106714</v>
      </c>
      <c r="H74" s="1278">
        <v>4.7584546393895803E-2</v>
      </c>
      <c r="I74" s="1248">
        <v>5.4856695640496302E-3</v>
      </c>
      <c r="J74" s="1278">
        <v>8.3106015584074005E-4</v>
      </c>
      <c r="K74" s="1248">
        <v>3.0000008613296201E-3</v>
      </c>
      <c r="L74" s="1250">
        <v>2.0000005742375998E-3</v>
      </c>
      <c r="M74" s="1273">
        <v>2.0000005742375998E-3</v>
      </c>
      <c r="N74" s="1248">
        <v>3.1850009128239903E-2</v>
      </c>
      <c r="O74" s="1249">
        <v>3.1850009128239903E-2</v>
      </c>
      <c r="P74" s="1251">
        <v>1.5925004564119952E-2</v>
      </c>
      <c r="Q74" s="1252">
        <v>5.7337071994377903E-3</v>
      </c>
    </row>
    <row r="75" spans="1:17" s="212" customFormat="1" ht="15.5" x14ac:dyDescent="0.35">
      <c r="A75" s="198">
        <v>2015</v>
      </c>
      <c r="B75" s="197" t="s">
        <v>5842</v>
      </c>
      <c r="C75" s="197">
        <v>2016</v>
      </c>
      <c r="D75" s="213" t="str">
        <f t="shared" si="1"/>
        <v>2015_2016</v>
      </c>
      <c r="E75" s="1268">
        <v>6.3833879803382301E-2</v>
      </c>
      <c r="F75" s="1279">
        <v>6.8540531572778797E-3</v>
      </c>
      <c r="G75" s="1255">
        <v>0.406523304106714</v>
      </c>
      <c r="H75" s="1279">
        <v>4.7584546393895803E-2</v>
      </c>
      <c r="I75" s="1255">
        <v>5.4856695640496302E-3</v>
      </c>
      <c r="J75" s="1279">
        <v>8.3106015584074005E-4</v>
      </c>
      <c r="K75" s="1255">
        <v>3.0000008613296201E-3</v>
      </c>
      <c r="L75" s="1253">
        <v>2.0000005742375998E-3</v>
      </c>
      <c r="M75" s="1273">
        <v>2.0000005742375998E-3</v>
      </c>
      <c r="N75" s="1255">
        <v>3.1850009128239903E-2</v>
      </c>
      <c r="O75" s="1256">
        <v>3.1850009128239903E-2</v>
      </c>
      <c r="P75" s="1251">
        <v>1.5925004564119952E-2</v>
      </c>
      <c r="Q75" s="1254">
        <v>5.7337071994377903E-3</v>
      </c>
    </row>
    <row r="76" spans="1:17" s="212" customFormat="1" ht="15.5" x14ac:dyDescent="0.35">
      <c r="A76" s="198">
        <v>2016</v>
      </c>
      <c r="B76" s="197" t="s">
        <v>5842</v>
      </c>
      <c r="C76" s="197">
        <v>1971</v>
      </c>
      <c r="D76" s="213" t="str">
        <f t="shared" si="1"/>
        <v>2016_1971</v>
      </c>
      <c r="E76" s="1268">
        <v>0.30453073899105998</v>
      </c>
      <c r="F76" s="1279">
        <v>3.54358254670854</v>
      </c>
      <c r="G76" s="1255">
        <v>4.9444124119703998</v>
      </c>
      <c r="H76" s="1279">
        <v>2.3058790365380801</v>
      </c>
      <c r="I76" s="1255">
        <v>0.230081842642338</v>
      </c>
      <c r="J76" s="1279">
        <v>3.97502445393896E-2</v>
      </c>
      <c r="K76" s="1255">
        <v>3.0000008624195299E-3</v>
      </c>
      <c r="L76" s="1253">
        <v>2.0000005737399302E-3</v>
      </c>
      <c r="M76" s="1273">
        <v>2.0000005737399302E-3</v>
      </c>
      <c r="N76" s="1255">
        <v>3.1850009128239903E-2</v>
      </c>
      <c r="O76" s="1256">
        <v>3.1850009128239903E-2</v>
      </c>
      <c r="P76" s="1251">
        <v>1.5925004564119952E-2</v>
      </c>
      <c r="Q76" s="1254">
        <v>0.240485122593569</v>
      </c>
    </row>
    <row r="77" spans="1:17" s="212" customFormat="1" ht="15.5" x14ac:dyDescent="0.35">
      <c r="A77" s="198">
        <v>2016</v>
      </c>
      <c r="B77" s="197" t="s">
        <v>5842</v>
      </c>
      <c r="C77" s="197">
        <v>1972</v>
      </c>
      <c r="D77" s="213" t="str">
        <f t="shared" si="1"/>
        <v>2016_1972</v>
      </c>
      <c r="E77" s="1267">
        <v>0.30453073899105998</v>
      </c>
      <c r="F77" s="1278">
        <v>3.54358254670854</v>
      </c>
      <c r="G77" s="1255">
        <v>4.9444124119703998</v>
      </c>
      <c r="H77" s="1278">
        <v>2.3058790365380801</v>
      </c>
      <c r="I77" s="1255">
        <v>0.230081842642338</v>
      </c>
      <c r="J77" s="1278">
        <v>3.97502445393896E-2</v>
      </c>
      <c r="K77" s="1255">
        <v>3.0000008624195299E-3</v>
      </c>
      <c r="L77" s="1250">
        <v>2.0000005737399302E-3</v>
      </c>
      <c r="M77" s="1273">
        <v>2.0000005737399302E-3</v>
      </c>
      <c r="N77" s="1255">
        <v>3.1850009128239903E-2</v>
      </c>
      <c r="O77" s="1249">
        <v>3.1850009128239903E-2</v>
      </c>
      <c r="P77" s="1251">
        <v>1.5925004564119952E-2</v>
      </c>
      <c r="Q77" s="1254">
        <v>0.240485122593569</v>
      </c>
    </row>
    <row r="78" spans="1:17" s="212" customFormat="1" ht="15.5" x14ac:dyDescent="0.35">
      <c r="A78" s="198">
        <v>2016</v>
      </c>
      <c r="B78" s="197" t="s">
        <v>5842</v>
      </c>
      <c r="C78" s="197">
        <v>1973</v>
      </c>
      <c r="D78" s="213" t="str">
        <f t="shared" si="1"/>
        <v>2016_1973</v>
      </c>
      <c r="E78" s="1267">
        <v>0.30453073899105998</v>
      </c>
      <c r="F78" s="1278">
        <v>4.9111483039139099</v>
      </c>
      <c r="G78" s="1255">
        <v>4.9444124119703998</v>
      </c>
      <c r="H78" s="1278">
        <v>2.1553320489279</v>
      </c>
      <c r="I78" s="1255">
        <v>0.230081842642338</v>
      </c>
      <c r="J78" s="1278">
        <v>4.5227458387826901E-2</v>
      </c>
      <c r="K78" s="1255">
        <v>3.0000008624195299E-3</v>
      </c>
      <c r="L78" s="1250">
        <v>2.0000005741947998E-3</v>
      </c>
      <c r="M78" s="1273">
        <v>2.0000005741947998E-3</v>
      </c>
      <c r="N78" s="1255">
        <v>3.1850009128239903E-2</v>
      </c>
      <c r="O78" s="1249">
        <v>3.1850009128239903E-2</v>
      </c>
      <c r="P78" s="1251">
        <v>1.5925004564119952E-2</v>
      </c>
      <c r="Q78" s="1254">
        <v>0.240485122593569</v>
      </c>
    </row>
    <row r="79" spans="1:17" s="212" customFormat="1" ht="15.5" x14ac:dyDescent="0.35">
      <c r="A79" s="198">
        <v>2016</v>
      </c>
      <c r="B79" s="197" t="s">
        <v>5842</v>
      </c>
      <c r="C79" s="197">
        <v>1974</v>
      </c>
      <c r="D79" s="213" t="str">
        <f t="shared" si="1"/>
        <v>2016_1974</v>
      </c>
      <c r="E79" s="1267">
        <v>0.30453073899105998</v>
      </c>
      <c r="F79" s="1278">
        <v>4.8473807215412901</v>
      </c>
      <c r="G79" s="1248">
        <v>4.9444124119703998</v>
      </c>
      <c r="H79" s="1278">
        <v>2.1322528489857802</v>
      </c>
      <c r="I79" s="1248">
        <v>0.230081842642338</v>
      </c>
      <c r="J79" s="1278">
        <v>4.4657799031209901E-2</v>
      </c>
      <c r="K79" s="1248">
        <v>3.0000008624195299E-3</v>
      </c>
      <c r="L79" s="1250">
        <v>2.0000005739733398E-3</v>
      </c>
      <c r="M79" s="1273">
        <v>2.0000005739733398E-3</v>
      </c>
      <c r="N79" s="1248">
        <v>3.1850009128239903E-2</v>
      </c>
      <c r="O79" s="1249">
        <v>3.1850009128239903E-2</v>
      </c>
      <c r="P79" s="1251">
        <v>1.5925004564119952E-2</v>
      </c>
      <c r="Q79" s="1252">
        <v>0.240485122593569</v>
      </c>
    </row>
    <row r="80" spans="1:17" s="212" customFormat="1" ht="15.5" x14ac:dyDescent="0.35">
      <c r="A80" s="198">
        <v>2016</v>
      </c>
      <c r="B80" s="197" t="s">
        <v>5842</v>
      </c>
      <c r="C80" s="197">
        <v>1975</v>
      </c>
      <c r="D80" s="213" t="str">
        <f t="shared" si="1"/>
        <v>2016_1975</v>
      </c>
      <c r="E80" s="1268">
        <v>0.27526668879864946</v>
      </c>
      <c r="F80" s="1278">
        <v>4.7915296876978202</v>
      </c>
      <c r="G80" s="1271">
        <v>4.928440067587915</v>
      </c>
      <c r="H80" s="1278">
        <v>2.1216223183601701</v>
      </c>
      <c r="I80" s="1255">
        <v>0.20775130437999351</v>
      </c>
      <c r="J80" s="1278">
        <v>4.8426370942752497E-2</v>
      </c>
      <c r="K80" s="1255">
        <v>3.0000008624195299E-3</v>
      </c>
      <c r="L80" s="1250">
        <v>2.0000005744332601E-3</v>
      </c>
      <c r="M80" s="1273">
        <v>2.0000005744332601E-3</v>
      </c>
      <c r="N80" s="1255">
        <v>3.1850009128239903E-2</v>
      </c>
      <c r="O80" s="1249">
        <v>3.1850009128239903E-2</v>
      </c>
      <c r="P80" s="1251">
        <v>1.5925004564119952E-2</v>
      </c>
      <c r="Q80" s="1254">
        <v>0.21714489648129698</v>
      </c>
    </row>
    <row r="81" spans="1:17" s="212" customFormat="1" ht="15.5" x14ac:dyDescent="0.35">
      <c r="A81" s="198">
        <v>2016</v>
      </c>
      <c r="B81" s="197" t="s">
        <v>5842</v>
      </c>
      <c r="C81" s="197">
        <v>1976</v>
      </c>
      <c r="D81" s="213" t="str">
        <f t="shared" si="1"/>
        <v>2016_1976</v>
      </c>
      <c r="E81" s="1267">
        <v>0.246002638606239</v>
      </c>
      <c r="F81" s="1278">
        <v>5.04928610406765</v>
      </c>
      <c r="G81" s="1248">
        <v>4.9124677232054301</v>
      </c>
      <c r="H81" s="1278">
        <v>2.39974543128857</v>
      </c>
      <c r="I81" s="1248">
        <v>0.18542076611764899</v>
      </c>
      <c r="J81" s="1278">
        <v>4.6635207629500602E-2</v>
      </c>
      <c r="K81" s="1248">
        <v>3.0000008624195299E-3</v>
      </c>
      <c r="L81" s="1250">
        <v>2.0000005742269299E-3</v>
      </c>
      <c r="M81" s="1273">
        <v>2.0000005742269299E-3</v>
      </c>
      <c r="N81" s="1248">
        <v>3.1850009128239903E-2</v>
      </c>
      <c r="O81" s="1249">
        <v>3.1850009128239903E-2</v>
      </c>
      <c r="P81" s="1251">
        <v>1.5925004564119952E-2</v>
      </c>
      <c r="Q81" s="1252">
        <v>0.19380467036902499</v>
      </c>
    </row>
    <row r="82" spans="1:17" s="212" customFormat="1" ht="15.5" x14ac:dyDescent="0.35">
      <c r="A82" s="198">
        <v>2016</v>
      </c>
      <c r="B82" s="197" t="s">
        <v>5842</v>
      </c>
      <c r="C82" s="197">
        <v>1977</v>
      </c>
      <c r="D82" s="213" t="str">
        <f t="shared" si="1"/>
        <v>2016_1977</v>
      </c>
      <c r="E82" s="1268">
        <v>0.23822704316148752</v>
      </c>
      <c r="F82" s="1278">
        <v>2.5641329837312901</v>
      </c>
      <c r="G82" s="1271">
        <v>5.0221377337118449</v>
      </c>
      <c r="H82" s="1278">
        <v>4.3965262524146498</v>
      </c>
      <c r="I82" s="1255">
        <v>0.17956002871842749</v>
      </c>
      <c r="J82" s="1278">
        <v>1.5219469818300101E-2</v>
      </c>
      <c r="K82" s="1255">
        <v>3.0000008619435253E-3</v>
      </c>
      <c r="L82" s="1250">
        <v>2.0000005740149901E-3</v>
      </c>
      <c r="M82" s="1273">
        <v>2.0000005740149901E-3</v>
      </c>
      <c r="N82" s="1255">
        <v>3.1850009128239903E-2</v>
      </c>
      <c r="O82" s="1249">
        <v>3.1850009128239903E-2</v>
      </c>
      <c r="P82" s="1251">
        <v>1.5925004564119952E-2</v>
      </c>
      <c r="Q82" s="1254">
        <v>0.187678936431248</v>
      </c>
    </row>
    <row r="83" spans="1:17" s="212" customFormat="1" ht="15.5" x14ac:dyDescent="0.35">
      <c r="A83" s="198">
        <v>2016</v>
      </c>
      <c r="B83" s="197" t="s">
        <v>5842</v>
      </c>
      <c r="C83" s="197">
        <v>1978</v>
      </c>
      <c r="D83" s="213" t="str">
        <f t="shared" si="1"/>
        <v>2016_1978</v>
      </c>
      <c r="E83" s="1268">
        <v>0.23822704316148752</v>
      </c>
      <c r="F83" s="1278">
        <v>2.57471487352956</v>
      </c>
      <c r="G83" s="1271">
        <v>5.0221377337118449</v>
      </c>
      <c r="H83" s="1278">
        <v>4.6994513217504998</v>
      </c>
      <c r="I83" s="1255">
        <v>0.17956002871842749</v>
      </c>
      <c r="J83" s="1278">
        <v>1.5434428166196E-2</v>
      </c>
      <c r="K83" s="1255">
        <v>3.0000008619435253E-3</v>
      </c>
      <c r="L83" s="1250">
        <v>2.0000005740638698E-3</v>
      </c>
      <c r="M83" s="1273">
        <v>2.0000005740638698E-3</v>
      </c>
      <c r="N83" s="1255">
        <v>3.1850009128239903E-2</v>
      </c>
      <c r="O83" s="1249">
        <v>3.1850009128239903E-2</v>
      </c>
      <c r="P83" s="1251">
        <v>1.5925004564119952E-2</v>
      </c>
      <c r="Q83" s="1254">
        <v>0.187678936431248</v>
      </c>
    </row>
    <row r="84" spans="1:17" s="212" customFormat="1" ht="15.5" x14ac:dyDescent="0.35">
      <c r="A84" s="198">
        <v>2016</v>
      </c>
      <c r="B84" s="197" t="s">
        <v>5842</v>
      </c>
      <c r="C84" s="197">
        <v>1979</v>
      </c>
      <c r="D84" s="213" t="str">
        <f t="shared" si="1"/>
        <v>2016_1979</v>
      </c>
      <c r="E84" s="1268">
        <v>0.23822704316148752</v>
      </c>
      <c r="F84" s="1278">
        <v>2.53211748303293</v>
      </c>
      <c r="G84" s="1271">
        <v>5.0221377337118449</v>
      </c>
      <c r="H84" s="1278">
        <v>4.2655379898709302</v>
      </c>
      <c r="I84" s="1255">
        <v>0.17956002871842749</v>
      </c>
      <c r="J84" s="1278">
        <v>1.52396870054139E-2</v>
      </c>
      <c r="K84" s="1255">
        <v>3.0000008619435253E-3</v>
      </c>
      <c r="L84" s="1250">
        <v>2.0000005739450699E-3</v>
      </c>
      <c r="M84" s="1273">
        <v>2.0000005739450699E-3</v>
      </c>
      <c r="N84" s="1255">
        <v>3.1850009128239903E-2</v>
      </c>
      <c r="O84" s="1249">
        <v>3.1850009128239903E-2</v>
      </c>
      <c r="P84" s="1251">
        <v>1.5925004564119952E-2</v>
      </c>
      <c r="Q84" s="1254">
        <v>0.187678936431248</v>
      </c>
    </row>
    <row r="85" spans="1:17" s="212" customFormat="1" ht="15.5" x14ac:dyDescent="0.35">
      <c r="A85" s="198">
        <v>2016</v>
      </c>
      <c r="B85" s="197" t="s">
        <v>5842</v>
      </c>
      <c r="C85" s="197">
        <v>1980</v>
      </c>
      <c r="D85" s="213" t="str">
        <f t="shared" si="1"/>
        <v>2016_1980</v>
      </c>
      <c r="E85" s="1268">
        <v>0.23822704316148752</v>
      </c>
      <c r="F85" s="1278">
        <v>2.5239052342070201</v>
      </c>
      <c r="G85" s="1271">
        <v>5.0221377337118449</v>
      </c>
      <c r="H85" s="1278">
        <v>3.7948701124058699</v>
      </c>
      <c r="I85" s="1255">
        <v>0.17956002871842749</v>
      </c>
      <c r="J85" s="1278">
        <v>1.52021602790032E-2</v>
      </c>
      <c r="K85" s="1255">
        <v>3.0000008619435253E-3</v>
      </c>
      <c r="L85" s="1250">
        <v>2.0000005742458501E-3</v>
      </c>
      <c r="M85" s="1273">
        <v>2.0000005742458501E-3</v>
      </c>
      <c r="N85" s="1255">
        <v>3.1850009128239903E-2</v>
      </c>
      <c r="O85" s="1249">
        <v>3.1850009128239903E-2</v>
      </c>
      <c r="P85" s="1251">
        <v>1.5925004564119952E-2</v>
      </c>
      <c r="Q85" s="1254">
        <v>0.187678936431248</v>
      </c>
    </row>
    <row r="86" spans="1:17" s="212" customFormat="1" ht="15.5" x14ac:dyDescent="0.35">
      <c r="A86" s="198">
        <v>2016</v>
      </c>
      <c r="B86" s="197" t="s">
        <v>5842</v>
      </c>
      <c r="C86" s="197">
        <v>1981</v>
      </c>
      <c r="D86" s="213" t="str">
        <f t="shared" si="1"/>
        <v>2016_1981</v>
      </c>
      <c r="E86" s="1268">
        <v>0.23822704316148752</v>
      </c>
      <c r="F86" s="1278">
        <v>2.64611499411749</v>
      </c>
      <c r="G86" s="1271">
        <v>5.0221377337118449</v>
      </c>
      <c r="H86" s="1278">
        <v>4.2616691525212902</v>
      </c>
      <c r="I86" s="1255">
        <v>0.17956002871842749</v>
      </c>
      <c r="J86" s="1278">
        <v>1.5413107069823901E-2</v>
      </c>
      <c r="K86" s="1255">
        <v>3.0000008619435253E-3</v>
      </c>
      <c r="L86" s="1250">
        <v>2.00000057416032E-3</v>
      </c>
      <c r="M86" s="1273">
        <v>2.00000057416032E-3</v>
      </c>
      <c r="N86" s="1255">
        <v>3.1850009128239903E-2</v>
      </c>
      <c r="O86" s="1249">
        <v>3.1850009128239903E-2</v>
      </c>
      <c r="P86" s="1251">
        <v>1.5925004564119952E-2</v>
      </c>
      <c r="Q86" s="1254">
        <v>0.187678936431248</v>
      </c>
    </row>
    <row r="87" spans="1:17" s="212" customFormat="1" ht="15.5" x14ac:dyDescent="0.35">
      <c r="A87" s="198">
        <v>2016</v>
      </c>
      <c r="B87" s="197" t="s">
        <v>5842</v>
      </c>
      <c r="C87" s="197">
        <v>1982</v>
      </c>
      <c r="D87" s="213" t="str">
        <f t="shared" si="1"/>
        <v>2016_1982</v>
      </c>
      <c r="E87" s="1267">
        <v>0.23045144771673601</v>
      </c>
      <c r="F87" s="1278">
        <v>2.56526285469507</v>
      </c>
      <c r="G87" s="1270">
        <v>5.1318077442182597</v>
      </c>
      <c r="H87" s="1278">
        <v>3.9202742662943901</v>
      </c>
      <c r="I87" s="1248">
        <v>0.173699291319206</v>
      </c>
      <c r="J87" s="1278">
        <v>1.5108502195712199E-2</v>
      </c>
      <c r="K87" s="1248">
        <v>3.0000008614675202E-3</v>
      </c>
      <c r="L87" s="1250">
        <v>2.0000005740035002E-3</v>
      </c>
      <c r="M87" s="1273">
        <v>2.0000005740035002E-3</v>
      </c>
      <c r="N87" s="1248">
        <v>3.1850009128239903E-2</v>
      </c>
      <c r="O87" s="1249">
        <v>3.1850009128239903E-2</v>
      </c>
      <c r="P87" s="1251">
        <v>1.5925004564119952E-2</v>
      </c>
      <c r="Q87" s="1252">
        <v>0.18155320249347101</v>
      </c>
    </row>
    <row r="88" spans="1:17" s="212" customFormat="1" ht="15.5" x14ac:dyDescent="0.35">
      <c r="A88" s="198">
        <v>2016</v>
      </c>
      <c r="B88" s="197" t="s">
        <v>5842</v>
      </c>
      <c r="C88" s="197">
        <v>1983</v>
      </c>
      <c r="D88" s="213" t="str">
        <f t="shared" si="1"/>
        <v>2016_1983</v>
      </c>
      <c r="E88" s="1267">
        <v>0.21645227699522901</v>
      </c>
      <c r="F88" s="1278">
        <v>2.46083321443616</v>
      </c>
      <c r="G88" s="1270">
        <v>5.3264279377221202</v>
      </c>
      <c r="H88" s="1278">
        <v>4.4612327185201002</v>
      </c>
      <c r="I88" s="1248">
        <v>0.16314762823583401</v>
      </c>
      <c r="J88" s="1278">
        <v>1.6131920532361E-2</v>
      </c>
      <c r="K88" s="1248">
        <v>3.00000086089237E-3</v>
      </c>
      <c r="L88" s="1250">
        <v>2.0000005742905301E-3</v>
      </c>
      <c r="M88" s="1273">
        <v>2.0000005742905301E-3</v>
      </c>
      <c r="N88" s="1248">
        <v>3.1850009128239903E-2</v>
      </c>
      <c r="O88" s="1249">
        <v>3.1850009128239903E-2</v>
      </c>
      <c r="P88" s="1251">
        <v>1.5925004564119952E-2</v>
      </c>
      <c r="Q88" s="1252">
        <v>0.170524440027781</v>
      </c>
    </row>
    <row r="89" spans="1:17" s="212" customFormat="1" ht="15.5" x14ac:dyDescent="0.35">
      <c r="A89" s="198">
        <v>2016</v>
      </c>
      <c r="B89" s="197" t="s">
        <v>5842</v>
      </c>
      <c r="C89" s="197">
        <v>1984</v>
      </c>
      <c r="D89" s="213" t="str">
        <f t="shared" si="1"/>
        <v>2016_1984</v>
      </c>
      <c r="E89" s="1267">
        <v>0.21969035032963599</v>
      </c>
      <c r="F89" s="1278">
        <v>1.6788609296302599</v>
      </c>
      <c r="G89" s="1248">
        <v>5.2858858607622698</v>
      </c>
      <c r="H89" s="1278">
        <v>3.6277403693784001</v>
      </c>
      <c r="I89" s="1248">
        <v>0.16558827701022399</v>
      </c>
      <c r="J89" s="1278">
        <v>1.5800304328679401E-2</v>
      </c>
      <c r="K89" s="1248">
        <v>3.00000086094971E-3</v>
      </c>
      <c r="L89" s="1250">
        <v>2.0000005742897399E-3</v>
      </c>
      <c r="M89" s="1273">
        <v>2.0000005742897399E-3</v>
      </c>
      <c r="N89" s="1248">
        <v>3.1850009128239903E-2</v>
      </c>
      <c r="O89" s="1249">
        <v>3.1850009128239903E-2</v>
      </c>
      <c r="P89" s="1251">
        <v>1.5925004564119952E-2</v>
      </c>
      <c r="Q89" s="1252">
        <v>0.17307544410952899</v>
      </c>
    </row>
    <row r="90" spans="1:17" s="212" customFormat="1" ht="15.5" x14ac:dyDescent="0.35">
      <c r="A90" s="198">
        <v>2016</v>
      </c>
      <c r="B90" s="197" t="s">
        <v>5842</v>
      </c>
      <c r="C90" s="197">
        <v>1985</v>
      </c>
      <c r="D90" s="213" t="str">
        <f t="shared" si="1"/>
        <v>2016_1985</v>
      </c>
      <c r="E90" s="1267">
        <v>0.231367305149804</v>
      </c>
      <c r="F90" s="1278">
        <v>2.04862227713111</v>
      </c>
      <c r="G90" s="1248">
        <v>5.1186750058080301</v>
      </c>
      <c r="H90" s="1278">
        <v>3.9544394207921401</v>
      </c>
      <c r="I90" s="1248">
        <v>0.17438960499980799</v>
      </c>
      <c r="J90" s="1278">
        <v>1.54868032687372E-2</v>
      </c>
      <c r="K90" s="1248">
        <v>3.00000086149551E-3</v>
      </c>
      <c r="L90" s="1250">
        <v>2.0000005741347901E-3</v>
      </c>
      <c r="M90" s="1273">
        <v>2.0000005741347901E-3</v>
      </c>
      <c r="N90" s="1248">
        <v>3.1850009128239903E-2</v>
      </c>
      <c r="O90" s="1249">
        <v>3.1850009128239903E-2</v>
      </c>
      <c r="P90" s="1251">
        <v>1.5925004564119952E-2</v>
      </c>
      <c r="Q90" s="1252">
        <v>0.182274729095488</v>
      </c>
    </row>
    <row r="91" spans="1:17" s="212" customFormat="1" ht="15.5" x14ac:dyDescent="0.35">
      <c r="A91" s="198">
        <v>2016</v>
      </c>
      <c r="B91" s="197" t="s">
        <v>5842</v>
      </c>
      <c r="C91" s="197">
        <v>1986</v>
      </c>
      <c r="D91" s="213" t="str">
        <f t="shared" si="1"/>
        <v>2016_1986</v>
      </c>
      <c r="E91" s="1267">
        <v>0.22787056558947399</v>
      </c>
      <c r="F91" s="1278">
        <v>1.6185508100199499</v>
      </c>
      <c r="G91" s="1248">
        <v>5.1740450579598001</v>
      </c>
      <c r="H91" s="1278">
        <v>4.2717145045104399</v>
      </c>
      <c r="I91" s="1248">
        <v>0.17175399047199799</v>
      </c>
      <c r="J91" s="1278">
        <v>1.5493083473245401E-2</v>
      </c>
      <c r="K91" s="1248">
        <v>3.0000008612953502E-3</v>
      </c>
      <c r="L91" s="1250">
        <v>2.0000005741471101E-3</v>
      </c>
      <c r="M91" s="1273">
        <v>2.0000005741471101E-3</v>
      </c>
      <c r="N91" s="1248">
        <v>3.1850009128239903E-2</v>
      </c>
      <c r="O91" s="1249">
        <v>3.1850009128239903E-2</v>
      </c>
      <c r="P91" s="1251">
        <v>1.5925004564119952E-2</v>
      </c>
      <c r="Q91" s="1252">
        <v>0.179519943774096</v>
      </c>
    </row>
    <row r="92" spans="1:17" s="212" customFormat="1" ht="15.5" x14ac:dyDescent="0.35">
      <c r="A92" s="198">
        <v>2016</v>
      </c>
      <c r="B92" s="197" t="s">
        <v>5842</v>
      </c>
      <c r="C92" s="197">
        <v>1987</v>
      </c>
      <c r="D92" s="213" t="str">
        <f t="shared" si="1"/>
        <v>2016_1987</v>
      </c>
      <c r="E92" s="1267">
        <v>0.28432077226941299</v>
      </c>
      <c r="F92" s="1278">
        <v>1.98251187043503</v>
      </c>
      <c r="G92" s="1248">
        <v>5.2922132833152302</v>
      </c>
      <c r="H92" s="1278">
        <v>4.5130671275899399</v>
      </c>
      <c r="I92" s="1248">
        <v>0.19363311835035299</v>
      </c>
      <c r="J92" s="1278">
        <v>1.5125798250748499E-2</v>
      </c>
      <c r="K92" s="1248">
        <v>3.0000008612833299E-3</v>
      </c>
      <c r="L92" s="1250">
        <v>2.0000005740809898E-3</v>
      </c>
      <c r="M92" s="1273">
        <v>2.0000005740809898E-3</v>
      </c>
      <c r="N92" s="1248">
        <v>3.1850009128239903E-2</v>
      </c>
      <c r="O92" s="1249">
        <v>3.1850009128239903E-2</v>
      </c>
      <c r="P92" s="1251">
        <v>1.5925004564119952E-2</v>
      </c>
      <c r="Q92" s="1252">
        <v>0.202388348727919</v>
      </c>
    </row>
    <row r="93" spans="1:17" s="212" customFormat="1" ht="15.5" x14ac:dyDescent="0.35">
      <c r="A93" s="198">
        <v>2016</v>
      </c>
      <c r="B93" s="197" t="s">
        <v>5842</v>
      </c>
      <c r="C93" s="197">
        <v>1988</v>
      </c>
      <c r="D93" s="213" t="str">
        <f t="shared" si="1"/>
        <v>2016_1988</v>
      </c>
      <c r="E93" s="1267">
        <v>0.28001278322116702</v>
      </c>
      <c r="F93" s="1278">
        <v>0.48672255683027699</v>
      </c>
      <c r="G93" s="1248">
        <v>5.3450493891005797</v>
      </c>
      <c r="H93" s="1278">
        <v>1.2172274288334799</v>
      </c>
      <c r="I93" s="1248">
        <v>0.19069921610123799</v>
      </c>
      <c r="J93" s="1278">
        <v>1.3814264102404E-2</v>
      </c>
      <c r="K93" s="1248">
        <v>3.0000008611278401E-3</v>
      </c>
      <c r="L93" s="1250">
        <v>2.0000005741557499E-3</v>
      </c>
      <c r="M93" s="1273">
        <v>2.0000005741557499E-3</v>
      </c>
      <c r="N93" s="1248">
        <v>3.1850009128239903E-2</v>
      </c>
      <c r="O93" s="1249">
        <v>3.1850009128239903E-2</v>
      </c>
      <c r="P93" s="1251">
        <v>1.5925004564119952E-2</v>
      </c>
      <c r="Q93" s="1252">
        <v>0.199321788438098</v>
      </c>
    </row>
    <row r="94" spans="1:17" s="212" customFormat="1" ht="15.5" x14ac:dyDescent="0.35">
      <c r="A94" s="198">
        <v>2016</v>
      </c>
      <c r="B94" s="197" t="s">
        <v>5842</v>
      </c>
      <c r="C94" s="197">
        <v>1989</v>
      </c>
      <c r="D94" s="213" t="str">
        <f t="shared" si="1"/>
        <v>2016_1989</v>
      </c>
      <c r="E94" s="1267">
        <v>0.27841881857599499</v>
      </c>
      <c r="F94" s="1278">
        <v>0.33288920003794098</v>
      </c>
      <c r="G94" s="1248">
        <v>5.3713844568993201</v>
      </c>
      <c r="H94" s="1278">
        <v>1.6505236742139699</v>
      </c>
      <c r="I94" s="1248">
        <v>0.18961366634586499</v>
      </c>
      <c r="J94" s="1278">
        <v>1.3629267324102899E-2</v>
      </c>
      <c r="K94" s="1248">
        <v>3.0000008610726902E-3</v>
      </c>
      <c r="L94" s="1250">
        <v>2.0000005741186099E-3</v>
      </c>
      <c r="M94" s="1273">
        <v>2.0000005741186099E-3</v>
      </c>
      <c r="N94" s="1248">
        <v>3.1850009128239903E-2</v>
      </c>
      <c r="O94" s="1249">
        <v>3.1850009128239903E-2</v>
      </c>
      <c r="P94" s="1251">
        <v>1.5925004564119952E-2</v>
      </c>
      <c r="Q94" s="1252">
        <v>0.19818715493984199</v>
      </c>
    </row>
    <row r="95" spans="1:17" s="212" customFormat="1" ht="15.5" x14ac:dyDescent="0.35">
      <c r="A95" s="198">
        <v>2016</v>
      </c>
      <c r="B95" s="197" t="s">
        <v>5842</v>
      </c>
      <c r="C95" s="197">
        <v>1990</v>
      </c>
      <c r="D95" s="213" t="str">
        <f t="shared" si="1"/>
        <v>2016_1990</v>
      </c>
      <c r="E95" s="1267">
        <v>0.27898496277340601</v>
      </c>
      <c r="F95" s="1278">
        <v>0.44529176715628399</v>
      </c>
      <c r="G95" s="1248">
        <v>5.3706424654091398</v>
      </c>
      <c r="H95" s="1278">
        <v>1.6606934466074901</v>
      </c>
      <c r="I95" s="1248">
        <v>0.18999923179542899</v>
      </c>
      <c r="J95" s="1278">
        <v>1.39273378164063E-2</v>
      </c>
      <c r="K95" s="1248">
        <v>3.0000008611062298E-3</v>
      </c>
      <c r="L95" s="1250">
        <v>2.0000005741988001E-3</v>
      </c>
      <c r="M95" s="1273">
        <v>2.0000005741988001E-3</v>
      </c>
      <c r="N95" s="1248">
        <v>3.1850009128239903E-2</v>
      </c>
      <c r="O95" s="1249">
        <v>3.1850009128239903E-2</v>
      </c>
      <c r="P95" s="1251">
        <v>1.5925004564119952E-2</v>
      </c>
      <c r="Q95" s="1252">
        <v>0.198590153948114</v>
      </c>
    </row>
    <row r="96" spans="1:17" s="212" customFormat="1" ht="15.5" x14ac:dyDescent="0.35">
      <c r="A96" s="198">
        <v>2016</v>
      </c>
      <c r="B96" s="197" t="s">
        <v>5842</v>
      </c>
      <c r="C96" s="197">
        <v>1991</v>
      </c>
      <c r="D96" s="213" t="str">
        <f t="shared" si="1"/>
        <v>2016_1991</v>
      </c>
      <c r="E96" s="1267">
        <v>0.36705670279207397</v>
      </c>
      <c r="F96" s="1278">
        <v>0.46993348470528301</v>
      </c>
      <c r="G96" s="1248">
        <v>9.3498525354795508</v>
      </c>
      <c r="H96" s="1278">
        <v>2.91361788661558</v>
      </c>
      <c r="I96" s="1248">
        <v>5.2020482726536102E-2</v>
      </c>
      <c r="J96" s="1278">
        <v>7.5417430513166697E-3</v>
      </c>
      <c r="K96" s="1248">
        <v>3.00000086122458E-3</v>
      </c>
      <c r="L96" s="1250">
        <v>2.0000005741167199E-3</v>
      </c>
      <c r="M96" s="1273">
        <v>2.0000005741167199E-3</v>
      </c>
      <c r="N96" s="1248">
        <v>3.1850009128239903E-2</v>
      </c>
      <c r="O96" s="1249">
        <v>3.1850009128239903E-2</v>
      </c>
      <c r="P96" s="1251">
        <v>1.5925004564119952E-2</v>
      </c>
      <c r="Q96" s="1252">
        <v>5.4372618117956802E-2</v>
      </c>
    </row>
    <row r="97" spans="1:17" s="212" customFormat="1" ht="15.5" x14ac:dyDescent="0.35">
      <c r="A97" s="198">
        <v>2016</v>
      </c>
      <c r="B97" s="197" t="s">
        <v>5842</v>
      </c>
      <c r="C97" s="197">
        <v>1992</v>
      </c>
      <c r="D97" s="213" t="str">
        <f t="shared" si="1"/>
        <v>2016_1992</v>
      </c>
      <c r="E97" s="1267">
        <v>0.36940964090489598</v>
      </c>
      <c r="F97" s="1278">
        <v>0.47754549059015799</v>
      </c>
      <c r="G97" s="1248">
        <v>9.3090364518946505</v>
      </c>
      <c r="H97" s="1278">
        <v>2.92821015086195</v>
      </c>
      <c r="I97" s="1248">
        <v>5.2353948851861197E-2</v>
      </c>
      <c r="J97" s="1278">
        <v>7.6968085386950403E-3</v>
      </c>
      <c r="K97" s="1248">
        <v>3.0000008613388202E-3</v>
      </c>
      <c r="L97" s="1250">
        <v>2.00000057418532E-3</v>
      </c>
      <c r="M97" s="1273">
        <v>2.00000057418532E-3</v>
      </c>
      <c r="N97" s="1248">
        <v>3.1850009128239903E-2</v>
      </c>
      <c r="O97" s="1249">
        <v>3.1850009128239903E-2</v>
      </c>
      <c r="P97" s="1251">
        <v>1.5925004564119952E-2</v>
      </c>
      <c r="Q97" s="1252">
        <v>5.4721162101735103E-2</v>
      </c>
    </row>
    <row r="98" spans="1:17" s="212" customFormat="1" ht="15.5" x14ac:dyDescent="0.35">
      <c r="A98" s="198">
        <v>2016</v>
      </c>
      <c r="B98" s="197" t="s">
        <v>5842</v>
      </c>
      <c r="C98" s="197">
        <v>1993</v>
      </c>
      <c r="D98" s="213" t="str">
        <f t="shared" si="1"/>
        <v>2016_1993</v>
      </c>
      <c r="E98" s="1267">
        <v>0.36979286000761202</v>
      </c>
      <c r="F98" s="1278">
        <v>0.47097441318969002</v>
      </c>
      <c r="G98" s="1248">
        <v>9.2948573587854995</v>
      </c>
      <c r="H98" s="1278">
        <v>2.9155616055730298</v>
      </c>
      <c r="I98" s="1248">
        <v>5.2442481322042198E-2</v>
      </c>
      <c r="J98" s="1278">
        <v>7.6175979994554301E-3</v>
      </c>
      <c r="K98" s="1248">
        <v>3.0000008613698501E-3</v>
      </c>
      <c r="L98" s="1250">
        <v>2.00000057412968E-3</v>
      </c>
      <c r="M98" s="1273">
        <v>2.00000057412968E-3</v>
      </c>
      <c r="N98" s="1248">
        <v>3.1850009128239903E-2</v>
      </c>
      <c r="O98" s="1249">
        <v>3.1850009128239903E-2</v>
      </c>
      <c r="P98" s="1251">
        <v>1.5925004564119952E-2</v>
      </c>
      <c r="Q98" s="1252">
        <v>5.4813697617360602E-2</v>
      </c>
    </row>
    <row r="99" spans="1:17" s="212" customFormat="1" ht="15.5" x14ac:dyDescent="0.35">
      <c r="A99" s="198">
        <v>2016</v>
      </c>
      <c r="B99" s="197" t="s">
        <v>5842</v>
      </c>
      <c r="C99" s="197">
        <v>1994</v>
      </c>
      <c r="D99" s="213" t="str">
        <f t="shared" si="1"/>
        <v>2016_1994</v>
      </c>
      <c r="E99" s="1267">
        <v>0.36265816526935102</v>
      </c>
      <c r="F99" s="1278">
        <v>0.45877609181201001</v>
      </c>
      <c r="G99" s="1248">
        <v>9.3709691679212792</v>
      </c>
      <c r="H99" s="1278">
        <v>2.8934077619046499</v>
      </c>
      <c r="I99" s="1248">
        <v>5.2015260315377503E-2</v>
      </c>
      <c r="J99" s="1278">
        <v>7.4408429418567502E-3</v>
      </c>
      <c r="K99" s="1248">
        <v>3.0000008612831898E-3</v>
      </c>
      <c r="L99" s="1250">
        <v>2.0000005740823802E-3</v>
      </c>
      <c r="M99" s="1273">
        <v>2.0000005740823802E-3</v>
      </c>
      <c r="N99" s="1248">
        <v>3.1850009128239903E-2</v>
      </c>
      <c r="O99" s="1249">
        <v>3.1850009128239903E-2</v>
      </c>
      <c r="P99" s="1251">
        <v>1.5925004564119952E-2</v>
      </c>
      <c r="Q99" s="1252">
        <v>5.4367159572539701E-2</v>
      </c>
    </row>
    <row r="100" spans="1:17" s="212" customFormat="1" ht="15.5" x14ac:dyDescent="0.35">
      <c r="A100" s="198">
        <v>2016</v>
      </c>
      <c r="B100" s="197" t="s">
        <v>5842</v>
      </c>
      <c r="C100" s="197">
        <v>1995</v>
      </c>
      <c r="D100" s="213" t="str">
        <f t="shared" si="1"/>
        <v>2016_1995</v>
      </c>
      <c r="E100" s="1267">
        <v>0.36399727765001599</v>
      </c>
      <c r="F100" s="1278">
        <v>0.24421624464241101</v>
      </c>
      <c r="G100" s="1248">
        <v>9.3288764720622908</v>
      </c>
      <c r="H100" s="1278">
        <v>1.6522116505643001</v>
      </c>
      <c r="I100" s="1248">
        <v>5.2301578210998102E-2</v>
      </c>
      <c r="J100" s="1278">
        <v>4.8820027694038296E-3</v>
      </c>
      <c r="K100" s="1248">
        <v>3.0000008612818098E-3</v>
      </c>
      <c r="L100" s="1250">
        <v>2.00000057413604E-3</v>
      </c>
      <c r="M100" s="1273">
        <v>2.00000057413604E-3</v>
      </c>
      <c r="N100" s="1248">
        <v>3.1850009128239903E-2</v>
      </c>
      <c r="O100" s="1249">
        <v>3.1850009128239903E-2</v>
      </c>
      <c r="P100" s="1251">
        <v>1.5925004564119952E-2</v>
      </c>
      <c r="Q100" s="1252">
        <v>5.4666423492883399E-2</v>
      </c>
    </row>
    <row r="101" spans="1:17" s="212" customFormat="1" ht="15.5" x14ac:dyDescent="0.35">
      <c r="A101" s="198">
        <v>2016</v>
      </c>
      <c r="B101" s="197" t="s">
        <v>5842</v>
      </c>
      <c r="C101" s="197">
        <v>1996</v>
      </c>
      <c r="D101" s="213" t="str">
        <f t="shared" si="1"/>
        <v>2016_1996</v>
      </c>
      <c r="E101" s="1267">
        <v>0.36096380907332198</v>
      </c>
      <c r="F101" s="1278">
        <v>2.24117971776264E-2</v>
      </c>
      <c r="G101" s="1248">
        <v>9.3167726962789406</v>
      </c>
      <c r="H101" s="1278">
        <v>0.38841195902985198</v>
      </c>
      <c r="I101" s="1248">
        <v>5.1994260028936E-2</v>
      </c>
      <c r="J101" s="1278">
        <v>2.1700199549637301E-3</v>
      </c>
      <c r="K101" s="1248">
        <v>3.0000008612994702E-3</v>
      </c>
      <c r="L101" s="1250">
        <v>2.00000057414167E-3</v>
      </c>
      <c r="M101" s="1273">
        <v>2.00000057414167E-3</v>
      </c>
      <c r="N101" s="1248">
        <v>3.1850009128239903E-2</v>
      </c>
      <c r="O101" s="1249">
        <v>3.1850009128239903E-2</v>
      </c>
      <c r="P101" s="1251">
        <v>1.5925004564119952E-2</v>
      </c>
      <c r="Q101" s="1252">
        <v>5.4345209746332598E-2</v>
      </c>
    </row>
    <row r="102" spans="1:17" s="212" customFormat="1" ht="15.5" x14ac:dyDescent="0.35">
      <c r="A102" s="198">
        <v>2016</v>
      </c>
      <c r="B102" s="197" t="s">
        <v>5842</v>
      </c>
      <c r="C102" s="197">
        <v>1997</v>
      </c>
      <c r="D102" s="213" t="str">
        <f t="shared" si="1"/>
        <v>2016_1997</v>
      </c>
      <c r="E102" s="1267">
        <v>0.35944786115556898</v>
      </c>
      <c r="F102" s="1278">
        <v>2.1669422224682499E-2</v>
      </c>
      <c r="G102" s="1248">
        <v>9.2580157418656306</v>
      </c>
      <c r="H102" s="1278">
        <v>0.38091839773241198</v>
      </c>
      <c r="I102" s="1248">
        <v>5.1940678225300997E-2</v>
      </c>
      <c r="J102" s="1278">
        <v>2.1037728910985902E-3</v>
      </c>
      <c r="K102" s="1248">
        <v>3.0000008613386398E-3</v>
      </c>
      <c r="L102" s="1250">
        <v>2.0000005740615201E-3</v>
      </c>
      <c r="M102" s="1273">
        <v>2.0000005740615201E-3</v>
      </c>
      <c r="N102" s="1248">
        <v>3.1850009128239903E-2</v>
      </c>
      <c r="O102" s="1249">
        <v>3.1850009128239903E-2</v>
      </c>
      <c r="P102" s="1251">
        <v>1.5925004564119952E-2</v>
      </c>
      <c r="Q102" s="1252">
        <v>5.4289205211303003E-2</v>
      </c>
    </row>
    <row r="103" spans="1:17" s="212" customFormat="1" ht="15.5" x14ac:dyDescent="0.35">
      <c r="A103" s="198">
        <v>2016</v>
      </c>
      <c r="B103" s="197" t="s">
        <v>5842</v>
      </c>
      <c r="C103" s="197">
        <v>1998</v>
      </c>
      <c r="D103" s="213" t="str">
        <f t="shared" si="1"/>
        <v>2016_1998</v>
      </c>
      <c r="E103" s="1267">
        <v>0.35324870819936099</v>
      </c>
      <c r="F103" s="1278">
        <v>2.18834861503618E-2</v>
      </c>
      <c r="G103" s="1248">
        <v>9.2863198810981906</v>
      </c>
      <c r="H103" s="1278">
        <v>0.37823097040179599</v>
      </c>
      <c r="I103" s="1248">
        <v>5.1245351492486803E-2</v>
      </c>
      <c r="J103" s="1278">
        <v>2.1340093889249201E-3</v>
      </c>
      <c r="K103" s="1248">
        <v>3.00000086134884E-3</v>
      </c>
      <c r="L103" s="1250">
        <v>2.0000005741005501E-3</v>
      </c>
      <c r="M103" s="1273">
        <v>2.0000005741005501E-3</v>
      </c>
      <c r="N103" s="1248">
        <v>3.1850009128239903E-2</v>
      </c>
      <c r="O103" s="1249">
        <v>3.1850009128239903E-2</v>
      </c>
      <c r="P103" s="1251">
        <v>1.5925004564119952E-2</v>
      </c>
      <c r="Q103" s="1252">
        <v>5.3562438889097702E-2</v>
      </c>
    </row>
    <row r="104" spans="1:17" s="212" customFormat="1" ht="15.5" x14ac:dyDescent="0.35">
      <c r="A104" s="198">
        <v>2016</v>
      </c>
      <c r="B104" s="197" t="s">
        <v>5842</v>
      </c>
      <c r="C104" s="197">
        <v>1999</v>
      </c>
      <c r="D104" s="213" t="str">
        <f t="shared" si="1"/>
        <v>2016_1999</v>
      </c>
      <c r="E104" s="1267">
        <v>0.34715336180913497</v>
      </c>
      <c r="F104" s="1278">
        <v>2.14306681168508E-2</v>
      </c>
      <c r="G104" s="1248">
        <v>9.2783228535782403</v>
      </c>
      <c r="H104" s="1278">
        <v>0.372265897898579</v>
      </c>
      <c r="I104" s="1248">
        <v>5.0598975291762403E-2</v>
      </c>
      <c r="J104" s="1278">
        <v>2.1316894188344701E-3</v>
      </c>
      <c r="K104" s="1248">
        <v>3.0000008613396498E-3</v>
      </c>
      <c r="L104" s="1250">
        <v>2.0000005741046302E-3</v>
      </c>
      <c r="M104" s="1273">
        <v>2.0000005741046302E-3</v>
      </c>
      <c r="N104" s="1248">
        <v>3.1850009128239903E-2</v>
      </c>
      <c r="O104" s="1249">
        <v>3.1850009128239903E-2</v>
      </c>
      <c r="P104" s="1251">
        <v>1.5925004564119952E-2</v>
      </c>
      <c r="Q104" s="1252">
        <v>5.2886836424828498E-2</v>
      </c>
    </row>
    <row r="105" spans="1:17" s="212" customFormat="1" ht="15.5" x14ac:dyDescent="0.35">
      <c r="A105" s="198">
        <v>2016</v>
      </c>
      <c r="B105" s="197" t="s">
        <v>5842</v>
      </c>
      <c r="C105" s="197">
        <v>2000</v>
      </c>
      <c r="D105" s="213" t="str">
        <f t="shared" si="1"/>
        <v>2016_2000</v>
      </c>
      <c r="E105" s="1267">
        <v>0.33866273927645402</v>
      </c>
      <c r="F105" s="1278">
        <v>2.1436642930149401E-2</v>
      </c>
      <c r="G105" s="1248">
        <v>9.3004684649095406</v>
      </c>
      <c r="H105" s="1278">
        <v>0.36617563495254302</v>
      </c>
      <c r="I105" s="1248">
        <v>4.9637059425234401E-2</v>
      </c>
      <c r="J105" s="1278">
        <v>2.1568942722598201E-3</v>
      </c>
      <c r="K105" s="1248">
        <v>3.0000008612932798E-3</v>
      </c>
      <c r="L105" s="1250">
        <v>2.0000005741526499E-3</v>
      </c>
      <c r="M105" s="1273">
        <v>2.0000005741526499E-3</v>
      </c>
      <c r="N105" s="1248">
        <v>3.1850009128239903E-2</v>
      </c>
      <c r="O105" s="1249">
        <v>3.1850009128239903E-2</v>
      </c>
      <c r="P105" s="1251">
        <v>1.5925004564119952E-2</v>
      </c>
      <c r="Q105" s="1252">
        <v>5.1881426991254503E-2</v>
      </c>
    </row>
    <row r="106" spans="1:17" s="212" customFormat="1" ht="15.5" x14ac:dyDescent="0.35">
      <c r="A106" s="198">
        <v>2016</v>
      </c>
      <c r="B106" s="197" t="s">
        <v>5842</v>
      </c>
      <c r="C106" s="197">
        <v>2001</v>
      </c>
      <c r="D106" s="213" t="str">
        <f t="shared" si="1"/>
        <v>2016_2001</v>
      </c>
      <c r="E106" s="1267">
        <v>0.33338756454589102</v>
      </c>
      <c r="F106" s="1278">
        <v>2.12349343782656E-2</v>
      </c>
      <c r="G106" s="1248">
        <v>9.2430728831027995</v>
      </c>
      <c r="H106" s="1278">
        <v>0.35730663706282201</v>
      </c>
      <c r="I106" s="1248">
        <v>4.9182679928624101E-2</v>
      </c>
      <c r="J106" s="1278">
        <v>2.1679453513707399E-3</v>
      </c>
      <c r="K106" s="1248">
        <v>3.0000008613507699E-3</v>
      </c>
      <c r="L106" s="1250">
        <v>2.00000057416839E-3</v>
      </c>
      <c r="M106" s="1273">
        <v>2.00000057416839E-3</v>
      </c>
      <c r="N106" s="1248">
        <v>3.1850009128239903E-2</v>
      </c>
      <c r="O106" s="1249">
        <v>3.1850009128239903E-2</v>
      </c>
      <c r="P106" s="1251">
        <v>1.5925004564119952E-2</v>
      </c>
      <c r="Q106" s="1252">
        <v>5.1406502470086601E-2</v>
      </c>
    </row>
    <row r="107" spans="1:17" s="212" customFormat="1" ht="15.5" x14ac:dyDescent="0.35">
      <c r="A107" s="198">
        <v>2016</v>
      </c>
      <c r="B107" s="197" t="s">
        <v>5842</v>
      </c>
      <c r="C107" s="197">
        <v>2002</v>
      </c>
      <c r="D107" s="213" t="str">
        <f t="shared" si="1"/>
        <v>2016_2002</v>
      </c>
      <c r="E107" s="1267">
        <v>0.26012495010714798</v>
      </c>
      <c r="F107" s="1278">
        <v>2.0806611256688999E-2</v>
      </c>
      <c r="G107" s="1248">
        <v>7.13757992606656</v>
      </c>
      <c r="H107" s="1278">
        <v>0.27292178607530199</v>
      </c>
      <c r="I107" s="1248">
        <v>5.0301202063816802E-2</v>
      </c>
      <c r="J107" s="1278">
        <v>2.1643882026798999E-3</v>
      </c>
      <c r="K107" s="1248">
        <v>3.0000008613290398E-3</v>
      </c>
      <c r="L107" s="1250">
        <v>2.0000005741509898E-3</v>
      </c>
      <c r="M107" s="1273">
        <v>2.0000005741509898E-3</v>
      </c>
      <c r="N107" s="1248">
        <v>3.1850009128239903E-2</v>
      </c>
      <c r="O107" s="1249">
        <v>3.1850009128239903E-2</v>
      </c>
      <c r="P107" s="1251">
        <v>1.5925004564119952E-2</v>
      </c>
      <c r="Q107" s="1252">
        <v>5.2575599212864199E-2</v>
      </c>
    </row>
    <row r="108" spans="1:17" s="212" customFormat="1" ht="15.5" x14ac:dyDescent="0.35">
      <c r="A108" s="198">
        <v>2016</v>
      </c>
      <c r="B108" s="197" t="s">
        <v>5842</v>
      </c>
      <c r="C108" s="197">
        <v>2003</v>
      </c>
      <c r="D108" s="213" t="str">
        <f t="shared" si="1"/>
        <v>2016_2003</v>
      </c>
      <c r="E108" s="1267">
        <v>0.25294935988157402</v>
      </c>
      <c r="F108" s="1278">
        <v>2.0137467297869301E-2</v>
      </c>
      <c r="G108" s="1248">
        <v>7.1604636095720604</v>
      </c>
      <c r="H108" s="1278">
        <v>0.2605253699567</v>
      </c>
      <c r="I108" s="1248">
        <v>4.9316187238014203E-2</v>
      </c>
      <c r="J108" s="1278">
        <v>2.1399950050191301E-3</v>
      </c>
      <c r="K108" s="1248">
        <v>3.0000008612814798E-3</v>
      </c>
      <c r="L108" s="1250">
        <v>2.0000005741379499E-3</v>
      </c>
      <c r="M108" s="1273">
        <v>2.0000005741379499E-3</v>
      </c>
      <c r="N108" s="1248">
        <v>3.1850009128239903E-2</v>
      </c>
      <c r="O108" s="1249">
        <v>3.1850009128239903E-2</v>
      </c>
      <c r="P108" s="1251">
        <v>1.5925004564119952E-2</v>
      </c>
      <c r="Q108" s="1252">
        <v>5.1546046387577399E-2</v>
      </c>
    </row>
    <row r="109" spans="1:17" s="212" customFormat="1" ht="15.5" x14ac:dyDescent="0.35">
      <c r="A109" s="198">
        <v>2016</v>
      </c>
      <c r="B109" s="197" t="s">
        <v>5842</v>
      </c>
      <c r="C109" s="197">
        <v>2004</v>
      </c>
      <c r="D109" s="213" t="str">
        <f t="shared" si="1"/>
        <v>2016_2004</v>
      </c>
      <c r="E109" s="1267">
        <v>0.49999948849869003</v>
      </c>
      <c r="F109" s="1278">
        <v>1.34767912281547E-2</v>
      </c>
      <c r="G109" s="1248">
        <v>4.08566054598933</v>
      </c>
      <c r="H109" s="1278">
        <v>0.21114571075960401</v>
      </c>
      <c r="I109" s="1248">
        <v>0.13747559687115901</v>
      </c>
      <c r="J109" s="1278">
        <v>1.38936406313019E-4</v>
      </c>
      <c r="K109" s="1248">
        <v>3.00000086124356E-3</v>
      </c>
      <c r="L109" s="1250">
        <v>2.0000005740706101E-3</v>
      </c>
      <c r="M109" s="1273">
        <v>2.0000005740706101E-3</v>
      </c>
      <c r="N109" s="1248">
        <v>3.1850009128239903E-2</v>
      </c>
      <c r="O109" s="1249">
        <v>3.1850009128239903E-2</v>
      </c>
      <c r="P109" s="1251">
        <v>1.5925004564119952E-2</v>
      </c>
      <c r="Q109" s="1252">
        <v>0.14369163332274701</v>
      </c>
    </row>
    <row r="110" spans="1:17" s="212" customFormat="1" ht="15.5" x14ac:dyDescent="0.35">
      <c r="A110" s="198">
        <v>2016</v>
      </c>
      <c r="B110" s="197" t="s">
        <v>5842</v>
      </c>
      <c r="C110" s="197">
        <v>2005</v>
      </c>
      <c r="D110" s="213" t="str">
        <f t="shared" si="1"/>
        <v>2016_2005</v>
      </c>
      <c r="E110" s="1267">
        <v>0.48916080242805299</v>
      </c>
      <c r="F110" s="1278">
        <v>1.35305438367062E-2</v>
      </c>
      <c r="G110" s="1248">
        <v>4.0835859200065796</v>
      </c>
      <c r="H110" s="1278">
        <v>0.20134451709179299</v>
      </c>
      <c r="I110" s="1248">
        <v>0.135804816442815</v>
      </c>
      <c r="J110" s="1278">
        <v>1.4061800842441699E-4</v>
      </c>
      <c r="K110" s="1248">
        <v>3.0000008612444101E-3</v>
      </c>
      <c r="L110" s="1250">
        <v>2.0000005740938801E-3</v>
      </c>
      <c r="M110" s="1273">
        <v>2.0000005740938801E-3</v>
      </c>
      <c r="N110" s="1248">
        <v>3.1850009128239903E-2</v>
      </c>
      <c r="O110" s="1249">
        <v>3.1850009128239903E-2</v>
      </c>
      <c r="P110" s="1251">
        <v>1.5925004564119952E-2</v>
      </c>
      <c r="Q110" s="1252">
        <v>0.141945307617412</v>
      </c>
    </row>
    <row r="111" spans="1:17" s="212" customFormat="1" ht="15.5" x14ac:dyDescent="0.35">
      <c r="A111" s="198">
        <v>2016</v>
      </c>
      <c r="B111" s="197" t="s">
        <v>5842</v>
      </c>
      <c r="C111" s="197">
        <v>2006</v>
      </c>
      <c r="D111" s="213" t="str">
        <f t="shared" si="1"/>
        <v>2016_2006</v>
      </c>
      <c r="E111" s="1267">
        <v>0.472352616194127</v>
      </c>
      <c r="F111" s="1278">
        <v>1.3355109464641199E-2</v>
      </c>
      <c r="G111" s="1248">
        <v>4.0608820024025203</v>
      </c>
      <c r="H111" s="1278">
        <v>0.19187030350428499</v>
      </c>
      <c r="I111" s="1248">
        <v>0.13278877739737399</v>
      </c>
      <c r="J111" s="1278">
        <v>1.4179685564799299E-4</v>
      </c>
      <c r="K111" s="1248">
        <v>3.0000008612274102E-3</v>
      </c>
      <c r="L111" s="1250">
        <v>2.0000005741229298E-3</v>
      </c>
      <c r="M111" s="1273">
        <v>2.0000005741229298E-3</v>
      </c>
      <c r="N111" s="1248">
        <v>3.1850009128239903E-2</v>
      </c>
      <c r="O111" s="1249">
        <v>3.1850009128239903E-2</v>
      </c>
      <c r="P111" s="1251">
        <v>1.5925004564119952E-2</v>
      </c>
      <c r="Q111" s="1252">
        <v>0.13879289666981101</v>
      </c>
    </row>
    <row r="112" spans="1:17" s="212" customFormat="1" ht="15.5" x14ac:dyDescent="0.35">
      <c r="A112" s="198">
        <v>2016</v>
      </c>
      <c r="B112" s="197" t="s">
        <v>5842</v>
      </c>
      <c r="C112" s="197">
        <v>2007</v>
      </c>
      <c r="D112" s="213" t="str">
        <f t="shared" si="1"/>
        <v>2016_2007</v>
      </c>
      <c r="E112" s="1267">
        <v>0.27010632942254298</v>
      </c>
      <c r="F112" s="1278">
        <v>1.3035607383068901E-2</v>
      </c>
      <c r="G112" s="1248">
        <v>2.3604175828867602</v>
      </c>
      <c r="H112" s="1278">
        <v>0.18406886694080399</v>
      </c>
      <c r="I112" s="1248">
        <v>7.4176384556632599E-2</v>
      </c>
      <c r="J112" s="1278">
        <v>1.4342678907318501E-4</v>
      </c>
      <c r="K112" s="1248">
        <v>3.0000008612182101E-3</v>
      </c>
      <c r="L112" s="1250">
        <v>2.00000057414751E-3</v>
      </c>
      <c r="M112" s="1273">
        <v>2.00000057414751E-3</v>
      </c>
      <c r="N112" s="1248">
        <v>3.1850009128239903E-2</v>
      </c>
      <c r="O112" s="1249">
        <v>3.1850009128239903E-2</v>
      </c>
      <c r="P112" s="1251">
        <v>1.5925004564119952E-2</v>
      </c>
      <c r="Q112" s="1252">
        <v>7.7530311513451897E-2</v>
      </c>
    </row>
    <row r="113" spans="1:17" s="212" customFormat="1" ht="15.5" x14ac:dyDescent="0.35">
      <c r="A113" s="198">
        <v>2016</v>
      </c>
      <c r="B113" s="197" t="s">
        <v>5842</v>
      </c>
      <c r="C113" s="197">
        <v>2008</v>
      </c>
      <c r="D113" s="213" t="str">
        <f t="shared" si="1"/>
        <v>2016_2008</v>
      </c>
      <c r="E113" s="1267">
        <v>0.26582826345338001</v>
      </c>
      <c r="F113" s="1278">
        <v>8.9551651288935791E-3</v>
      </c>
      <c r="G113" s="1248">
        <v>2.3598879265323398</v>
      </c>
      <c r="H113" s="1278">
        <v>0.105753923384728</v>
      </c>
      <c r="I113" s="1248">
        <v>7.3309409205633197E-2</v>
      </c>
      <c r="J113" s="1278">
        <v>1.4046755019267399E-4</v>
      </c>
      <c r="K113" s="1248">
        <v>3.0000008612851002E-3</v>
      </c>
      <c r="L113" s="1250">
        <v>2.0000005741869298E-3</v>
      </c>
      <c r="M113" s="1273">
        <v>2.0000005741869298E-3</v>
      </c>
      <c r="N113" s="1248">
        <v>3.1850009128239903E-2</v>
      </c>
      <c r="O113" s="1249">
        <v>3.1850009128239903E-2</v>
      </c>
      <c r="P113" s="1251">
        <v>1.5925004564119952E-2</v>
      </c>
      <c r="Q113" s="1252">
        <v>7.6624135384226494E-2</v>
      </c>
    </row>
    <row r="114" spans="1:17" s="212" customFormat="1" ht="15.5" x14ac:dyDescent="0.35">
      <c r="A114" s="198">
        <v>2016</v>
      </c>
      <c r="B114" s="197" t="s">
        <v>5842</v>
      </c>
      <c r="C114" s="197">
        <v>2009</v>
      </c>
      <c r="D114" s="213" t="str">
        <f t="shared" si="1"/>
        <v>2016_2009</v>
      </c>
      <c r="E114" s="1267">
        <v>0.25702647690986002</v>
      </c>
      <c r="F114" s="1278">
        <v>4.9806385861278103E-3</v>
      </c>
      <c r="G114" s="1248">
        <v>2.3436625520536798</v>
      </c>
      <c r="H114" s="1278">
        <v>3.8034872906469099E-2</v>
      </c>
      <c r="I114" s="1248">
        <v>7.1459579462429604E-2</v>
      </c>
      <c r="J114" s="1278">
        <v>1.2896937628990301E-4</v>
      </c>
      <c r="K114" s="1248">
        <v>3.0000008612687101E-3</v>
      </c>
      <c r="L114" s="1250">
        <v>2.0000005741365001E-3</v>
      </c>
      <c r="M114" s="1273">
        <v>2.0000005741365001E-3</v>
      </c>
      <c r="N114" s="1248">
        <v>3.1850009128239903E-2</v>
      </c>
      <c r="O114" s="1249">
        <v>3.1850009128239903E-2</v>
      </c>
      <c r="P114" s="1251">
        <v>1.5925004564119952E-2</v>
      </c>
      <c r="Q114" s="1252">
        <v>7.4690664548533195E-2</v>
      </c>
    </row>
    <row r="115" spans="1:17" s="212" customFormat="1" ht="15.5" x14ac:dyDescent="0.35">
      <c r="A115" s="198">
        <v>2016</v>
      </c>
      <c r="B115" s="197" t="s">
        <v>5842</v>
      </c>
      <c r="C115" s="197">
        <v>2010</v>
      </c>
      <c r="D115" s="213" t="str">
        <f t="shared" si="1"/>
        <v>2016_2010</v>
      </c>
      <c r="E115" s="1267">
        <v>7.5068635519513302E-2</v>
      </c>
      <c r="F115" s="1278">
        <v>4.8501172937662103E-3</v>
      </c>
      <c r="G115" s="1248">
        <v>0.58551973327257001</v>
      </c>
      <c r="H115" s="1278">
        <v>3.75465619174127E-2</v>
      </c>
      <c r="I115" s="1248">
        <v>1.37903446143885E-2</v>
      </c>
      <c r="J115" s="1278">
        <v>1.5649277509045199E-4</v>
      </c>
      <c r="K115" s="1248">
        <v>3.0000008612951399E-3</v>
      </c>
      <c r="L115" s="1250">
        <v>2.0000005740307002E-3</v>
      </c>
      <c r="M115" s="1273">
        <v>2.0000005740307002E-3</v>
      </c>
      <c r="N115" s="1248">
        <v>3.1850009128239903E-2</v>
      </c>
      <c r="O115" s="1249">
        <v>3.1850009128239903E-2</v>
      </c>
      <c r="P115" s="1251">
        <v>1.5925004564119952E-2</v>
      </c>
      <c r="Q115" s="1252">
        <v>1.44138828041032E-2</v>
      </c>
    </row>
    <row r="116" spans="1:17" s="212" customFormat="1" ht="15.5" x14ac:dyDescent="0.35">
      <c r="A116" s="198">
        <v>2016</v>
      </c>
      <c r="B116" s="197" t="s">
        <v>5842</v>
      </c>
      <c r="C116" s="197">
        <v>2011</v>
      </c>
      <c r="D116" s="213" t="str">
        <f t="shared" si="1"/>
        <v>2016_2011</v>
      </c>
      <c r="E116" s="1267">
        <v>7.3293428378554806E-2</v>
      </c>
      <c r="F116" s="1278">
        <v>5.0999119829437996E-3</v>
      </c>
      <c r="G116" s="1248">
        <v>0.55874037442705904</v>
      </c>
      <c r="H116" s="1278">
        <v>3.7052391394193002E-2</v>
      </c>
      <c r="I116" s="1248">
        <v>1.25541619246189E-2</v>
      </c>
      <c r="J116" s="1278">
        <v>2.1494345913250401E-4</v>
      </c>
      <c r="K116" s="1248">
        <v>3.0000008613081E-3</v>
      </c>
      <c r="L116" s="1250">
        <v>2.0000005741695201E-3</v>
      </c>
      <c r="M116" s="1273">
        <v>2.0000005741695201E-3</v>
      </c>
      <c r="N116" s="1248">
        <v>3.1850009128239903E-2</v>
      </c>
      <c r="O116" s="1249">
        <v>3.1850009128239903E-2</v>
      </c>
      <c r="P116" s="1251">
        <v>1.5925004564119952E-2</v>
      </c>
      <c r="Q116" s="1252">
        <v>1.3121805418581701E-2</v>
      </c>
    </row>
    <row r="117" spans="1:17" s="212" customFormat="1" ht="15.5" x14ac:dyDescent="0.35">
      <c r="A117" s="198">
        <v>2016</v>
      </c>
      <c r="B117" s="197" t="s">
        <v>5842</v>
      </c>
      <c r="C117" s="197">
        <v>2012</v>
      </c>
      <c r="D117" s="213" t="str">
        <f t="shared" si="1"/>
        <v>2016_2012</v>
      </c>
      <c r="E117" s="1267">
        <v>7.20927570072179E-2</v>
      </c>
      <c r="F117" s="1278">
        <v>5.2201387920423996E-3</v>
      </c>
      <c r="G117" s="1248">
        <v>0.533218112960819</v>
      </c>
      <c r="H117" s="1278">
        <v>3.7751525737579401E-2</v>
      </c>
      <c r="I117" s="1248">
        <v>1.133039709781E-2</v>
      </c>
      <c r="J117" s="1278">
        <v>3.13940513848008E-4</v>
      </c>
      <c r="K117" s="1248">
        <v>3.0000008613534999E-3</v>
      </c>
      <c r="L117" s="1250">
        <v>2.0000005741769898E-3</v>
      </c>
      <c r="M117" s="1273">
        <v>2.0000005741769898E-3</v>
      </c>
      <c r="N117" s="1248">
        <v>3.1850009128239903E-2</v>
      </c>
      <c r="O117" s="1249">
        <v>3.1850009128239903E-2</v>
      </c>
      <c r="P117" s="1251">
        <v>1.5925004564119952E-2</v>
      </c>
      <c r="Q117" s="1252">
        <v>1.18427073766805E-2</v>
      </c>
    </row>
    <row r="118" spans="1:17" s="212" customFormat="1" ht="15.5" x14ac:dyDescent="0.35">
      <c r="A118" s="198">
        <v>2016</v>
      </c>
      <c r="B118" s="197" t="s">
        <v>5842</v>
      </c>
      <c r="C118" s="197">
        <v>2013</v>
      </c>
      <c r="D118" s="213" t="str">
        <f t="shared" si="1"/>
        <v>2016_2013</v>
      </c>
      <c r="E118" s="1267">
        <v>6.99131725238539E-2</v>
      </c>
      <c r="F118" s="1278">
        <v>5.60440602125212E-3</v>
      </c>
      <c r="G118" s="1248">
        <v>0.50200613188763799</v>
      </c>
      <c r="H118" s="1278">
        <v>4.04667162374137E-2</v>
      </c>
      <c r="I118" s="1248">
        <v>9.9328461172776602E-3</v>
      </c>
      <c r="J118" s="1278">
        <v>4.7105889287500598E-4</v>
      </c>
      <c r="K118" s="1248">
        <v>3.0000008613474401E-3</v>
      </c>
      <c r="L118" s="1250">
        <v>2.0000005741864701E-3</v>
      </c>
      <c r="M118" s="1273">
        <v>2.0000005741864701E-3</v>
      </c>
      <c r="N118" s="1248">
        <v>3.1850009128239903E-2</v>
      </c>
      <c r="O118" s="1249">
        <v>3.1850009128239903E-2</v>
      </c>
      <c r="P118" s="1251">
        <v>1.5925004564119952E-2</v>
      </c>
      <c r="Q118" s="1252">
        <v>1.03819653423491E-2</v>
      </c>
    </row>
    <row r="119" spans="1:17" s="212" customFormat="1" ht="15.5" x14ac:dyDescent="0.35">
      <c r="A119" s="198">
        <v>2016</v>
      </c>
      <c r="B119" s="197" t="s">
        <v>5842</v>
      </c>
      <c r="C119" s="197">
        <v>2014</v>
      </c>
      <c r="D119" s="213" t="str">
        <f t="shared" si="1"/>
        <v>2016_2014</v>
      </c>
      <c r="E119" s="1267">
        <v>6.7758834758008604E-2</v>
      </c>
      <c r="F119" s="1278">
        <v>6.4479232535706596E-3</v>
      </c>
      <c r="G119" s="1248">
        <v>0.47084800228034102</v>
      </c>
      <c r="H119" s="1278">
        <v>4.52126583340361E-2</v>
      </c>
      <c r="I119" s="1248">
        <v>8.4967878485759894E-3</v>
      </c>
      <c r="J119" s="1278">
        <v>6.6134290307549805E-4</v>
      </c>
      <c r="K119" s="1248">
        <v>3.0000008613101999E-3</v>
      </c>
      <c r="L119" s="1250">
        <v>2.0000005742733299E-3</v>
      </c>
      <c r="M119" s="1273">
        <v>2.0000005742733299E-3</v>
      </c>
      <c r="N119" s="1248">
        <v>3.1850009128239903E-2</v>
      </c>
      <c r="O119" s="1249">
        <v>3.1850009128239903E-2</v>
      </c>
      <c r="P119" s="1251">
        <v>1.5925004564119952E-2</v>
      </c>
      <c r="Q119" s="1252">
        <v>8.8809748911509306E-3</v>
      </c>
    </row>
    <row r="120" spans="1:17" s="212" customFormat="1" ht="15.5" x14ac:dyDescent="0.35">
      <c r="A120" s="198">
        <v>2016</v>
      </c>
      <c r="B120" s="197" t="s">
        <v>5842</v>
      </c>
      <c r="C120" s="197">
        <v>2015</v>
      </c>
      <c r="D120" s="213" t="str">
        <f t="shared" si="1"/>
        <v>2016_2015</v>
      </c>
      <c r="E120" s="1267">
        <v>6.5447435295986303E-2</v>
      </c>
      <c r="F120" s="1278">
        <v>7.0172718575110702E-3</v>
      </c>
      <c r="G120" s="1248">
        <v>0.43828011509202902</v>
      </c>
      <c r="H120" s="1278">
        <v>5.0117932817818699E-2</v>
      </c>
      <c r="I120" s="1248">
        <v>6.9967893657437302E-3</v>
      </c>
      <c r="J120" s="1278">
        <v>8.3118867264974402E-4</v>
      </c>
      <c r="K120" s="1248">
        <v>3.0000008612949499E-3</v>
      </c>
      <c r="L120" s="1250">
        <v>2.0000005742332101E-3</v>
      </c>
      <c r="M120" s="1273">
        <v>2.0000005742332101E-3</v>
      </c>
      <c r="N120" s="1248">
        <v>3.1850009128239903E-2</v>
      </c>
      <c r="O120" s="1249">
        <v>3.1850009128239903E-2</v>
      </c>
      <c r="P120" s="1251">
        <v>1.5925004564119952E-2</v>
      </c>
      <c r="Q120" s="1252">
        <v>7.3131531330696796E-3</v>
      </c>
    </row>
    <row r="121" spans="1:17" s="212" customFormat="1" ht="15.5" x14ac:dyDescent="0.35">
      <c r="A121" s="198">
        <v>2016</v>
      </c>
      <c r="B121" s="197" t="s">
        <v>5842</v>
      </c>
      <c r="C121" s="197">
        <v>2016</v>
      </c>
      <c r="D121" s="213" t="str">
        <f t="shared" si="1"/>
        <v>2016_2016</v>
      </c>
      <c r="E121" s="1267">
        <v>6.3109463086670606E-2</v>
      </c>
      <c r="F121" s="1278">
        <v>6.1702625582500297E-3</v>
      </c>
      <c r="G121" s="1248">
        <v>0.35727805102152999</v>
      </c>
      <c r="H121" s="1278">
        <v>4.4765986789809198E-2</v>
      </c>
      <c r="I121" s="1248">
        <v>5.4420287397729597E-3</v>
      </c>
      <c r="J121" s="1278">
        <v>9.4885063606700896E-4</v>
      </c>
      <c r="K121" s="1248">
        <v>3.0000008613058201E-3</v>
      </c>
      <c r="L121" s="1250">
        <v>2.0000005741568302E-3</v>
      </c>
      <c r="M121" s="1273">
        <v>2.0000005741568302E-3</v>
      </c>
      <c r="N121" s="1248">
        <v>3.1850009128239903E-2</v>
      </c>
      <c r="O121" s="1249">
        <v>3.1850009128239903E-2</v>
      </c>
      <c r="P121" s="1251">
        <v>1.5925004564119952E-2</v>
      </c>
      <c r="Q121" s="1252">
        <v>5.6880931307406101E-3</v>
      </c>
    </row>
    <row r="122" spans="1:17" s="212" customFormat="1" ht="15.5" x14ac:dyDescent="0.35">
      <c r="A122" s="198">
        <v>2016</v>
      </c>
      <c r="B122" s="197" t="s">
        <v>5842</v>
      </c>
      <c r="C122" s="197">
        <v>2017</v>
      </c>
      <c r="D122" s="213" t="str">
        <f t="shared" si="1"/>
        <v>2016_2017</v>
      </c>
      <c r="E122" s="1268">
        <v>6.3109463086670606E-2</v>
      </c>
      <c r="F122" s="1279">
        <v>6.1702625582500297E-3</v>
      </c>
      <c r="G122" s="1255">
        <v>0.35727805102152999</v>
      </c>
      <c r="H122" s="1279">
        <v>4.4765986789809198E-2</v>
      </c>
      <c r="I122" s="1255">
        <v>5.4420287397729597E-3</v>
      </c>
      <c r="J122" s="1279">
        <v>9.4885063606700896E-4</v>
      </c>
      <c r="K122" s="1255">
        <v>3.0000008613058201E-3</v>
      </c>
      <c r="L122" s="1253">
        <v>2.0000005741568302E-3</v>
      </c>
      <c r="M122" s="1274">
        <v>2.0000005741568302E-3</v>
      </c>
      <c r="N122" s="1255">
        <v>3.1850009128239903E-2</v>
      </c>
      <c r="O122" s="1256">
        <v>3.1850009128239903E-2</v>
      </c>
      <c r="P122" s="1259">
        <v>1.5925004564119952E-2</v>
      </c>
      <c r="Q122" s="1254">
        <v>5.6880931307406101E-3</v>
      </c>
    </row>
    <row r="123" spans="1:17" s="212" customFormat="1" ht="15.5" x14ac:dyDescent="0.35">
      <c r="A123" s="198">
        <v>2017</v>
      </c>
      <c r="B123" s="197" t="s">
        <v>5842</v>
      </c>
      <c r="C123" s="197">
        <v>1971</v>
      </c>
      <c r="D123" s="213" t="str">
        <f t="shared" si="1"/>
        <v>2017_1971</v>
      </c>
      <c r="E123" s="1268">
        <v>0.312753933044635</v>
      </c>
      <c r="F123" s="1279">
        <v>4.5686198291157503</v>
      </c>
      <c r="G123" s="1255">
        <v>4.9536173031410504</v>
      </c>
      <c r="H123" s="1279">
        <v>2.20691542056014</v>
      </c>
      <c r="I123" s="1255">
        <v>0.23642287323896299</v>
      </c>
      <c r="J123" s="1279">
        <v>4.1336234809473203E-2</v>
      </c>
      <c r="K123" s="1255">
        <v>3.0000008624519398E-3</v>
      </c>
      <c r="L123" s="1253">
        <v>2.0000005738515102E-3</v>
      </c>
      <c r="M123" s="1274">
        <v>2.0000005738515102E-3</v>
      </c>
      <c r="N123" s="1255">
        <v>3.1850009128239903E-2</v>
      </c>
      <c r="O123" s="1256">
        <v>3.1850009128239903E-2</v>
      </c>
      <c r="P123" s="1259">
        <v>1.5925004564119952E-2</v>
      </c>
      <c r="Q123" s="1254">
        <v>0.247112866455867</v>
      </c>
    </row>
    <row r="124" spans="1:17" s="212" customFormat="1" ht="15.5" x14ac:dyDescent="0.35">
      <c r="A124" s="198">
        <v>2017</v>
      </c>
      <c r="B124" s="197" t="s">
        <v>5842</v>
      </c>
      <c r="C124" s="197">
        <v>1972</v>
      </c>
      <c r="D124" s="213" t="str">
        <f t="shared" si="1"/>
        <v>2017_1972</v>
      </c>
      <c r="E124" s="1268">
        <v>0.312753933044635</v>
      </c>
      <c r="F124" s="1279">
        <v>4.5686198291157503</v>
      </c>
      <c r="G124" s="1255">
        <v>4.9536173031410504</v>
      </c>
      <c r="H124" s="1279">
        <v>2.20691542056014</v>
      </c>
      <c r="I124" s="1255">
        <v>0.23642287323896299</v>
      </c>
      <c r="J124" s="1279">
        <v>4.1336234809473203E-2</v>
      </c>
      <c r="K124" s="1255">
        <v>3.0000008624519398E-3</v>
      </c>
      <c r="L124" s="1253">
        <v>2.0000005738515102E-3</v>
      </c>
      <c r="M124" s="1274">
        <v>2.0000005738515102E-3</v>
      </c>
      <c r="N124" s="1255">
        <v>3.1850009128239903E-2</v>
      </c>
      <c r="O124" s="1256">
        <v>3.1850009128239903E-2</v>
      </c>
      <c r="P124" s="1259">
        <v>1.5925004564119952E-2</v>
      </c>
      <c r="Q124" s="1254">
        <v>0.247112866455867</v>
      </c>
    </row>
    <row r="125" spans="1:17" s="212" customFormat="1" ht="15.5" x14ac:dyDescent="0.35">
      <c r="A125" s="198">
        <v>2017</v>
      </c>
      <c r="B125" s="197" t="s">
        <v>5842</v>
      </c>
      <c r="C125" s="197">
        <v>1973</v>
      </c>
      <c r="D125" s="213" t="str">
        <f t="shared" si="1"/>
        <v>2017_1973</v>
      </c>
      <c r="E125" s="1267">
        <v>0.312753933044635</v>
      </c>
      <c r="F125" s="1278">
        <v>4.5686198291157503</v>
      </c>
      <c r="G125" s="1248">
        <v>4.9536173031410504</v>
      </c>
      <c r="H125" s="1278">
        <v>2.20691542056014</v>
      </c>
      <c r="I125" s="1248">
        <v>0.23642287323896299</v>
      </c>
      <c r="J125" s="1278">
        <v>4.1336234809473203E-2</v>
      </c>
      <c r="K125" s="1248">
        <v>3.0000008624519398E-3</v>
      </c>
      <c r="L125" s="1250">
        <v>2.0000005738515102E-3</v>
      </c>
      <c r="M125" s="1273">
        <v>2.0000005738515102E-3</v>
      </c>
      <c r="N125" s="1248">
        <v>3.1850009128239903E-2</v>
      </c>
      <c r="O125" s="1249">
        <v>3.1850009128239903E-2</v>
      </c>
      <c r="P125" s="1251">
        <v>1.5925004564119952E-2</v>
      </c>
      <c r="Q125" s="1252">
        <v>0.247112866455867</v>
      </c>
    </row>
    <row r="126" spans="1:17" s="212" customFormat="1" ht="15.5" x14ac:dyDescent="0.35">
      <c r="A126" s="198">
        <v>2017</v>
      </c>
      <c r="B126" s="197" t="s">
        <v>5842</v>
      </c>
      <c r="C126" s="197">
        <v>1974</v>
      </c>
      <c r="D126" s="213" t="str">
        <f t="shared" si="1"/>
        <v>2017_1974</v>
      </c>
      <c r="E126" s="1267">
        <v>0.26559109234092898</v>
      </c>
      <c r="F126" s="1278">
        <v>4.8327442637394498</v>
      </c>
      <c r="G126" s="1248">
        <v>5.6756293578326398</v>
      </c>
      <c r="H126" s="1278">
        <v>2.13518419814327</v>
      </c>
      <c r="I126" s="1248">
        <v>0.200696303376449</v>
      </c>
      <c r="J126" s="1278">
        <v>4.4063887854360197E-2</v>
      </c>
      <c r="K126" s="1248">
        <v>3.0000008607303599E-3</v>
      </c>
      <c r="L126" s="1250">
        <v>2.00000057428525E-3</v>
      </c>
      <c r="M126" s="1273">
        <v>2.00000057428525E-3</v>
      </c>
      <c r="N126" s="1248">
        <v>3.1850009128239903E-2</v>
      </c>
      <c r="O126" s="1249">
        <v>3.1850009128239903E-2</v>
      </c>
      <c r="P126" s="1251">
        <v>1.5925004564119952E-2</v>
      </c>
      <c r="Q126" s="1252">
        <v>0.209770899638476</v>
      </c>
    </row>
    <row r="127" spans="1:17" s="212" customFormat="1" ht="15.5" x14ac:dyDescent="0.35">
      <c r="A127" s="198">
        <v>2017</v>
      </c>
      <c r="B127" s="197" t="s">
        <v>5842</v>
      </c>
      <c r="C127" s="197">
        <v>1975</v>
      </c>
      <c r="D127" s="213" t="str">
        <f t="shared" si="1"/>
        <v>2017_1975</v>
      </c>
      <c r="E127" s="1267">
        <v>0.28358308604233901</v>
      </c>
      <c r="F127" s="1278">
        <v>4.2594667142004798</v>
      </c>
      <c r="G127" s="1248">
        <v>5.2838845837055901</v>
      </c>
      <c r="H127" s="1278">
        <v>2.1497460631710301</v>
      </c>
      <c r="I127" s="1248">
        <v>0.21425528074766101</v>
      </c>
      <c r="J127" s="1278">
        <v>4.40269505499985E-2</v>
      </c>
      <c r="K127" s="1248">
        <v>3.0000008606484402E-3</v>
      </c>
      <c r="L127" s="1250">
        <v>2.0000005742973198E-3</v>
      </c>
      <c r="M127" s="1273">
        <v>2.0000005742973198E-3</v>
      </c>
      <c r="N127" s="1248">
        <v>3.1850009128239903E-2</v>
      </c>
      <c r="O127" s="1249">
        <v>3.1850009128239903E-2</v>
      </c>
      <c r="P127" s="1251">
        <v>1.5925004564119952E-2</v>
      </c>
      <c r="Q127" s="1252">
        <v>0.22394295379934201</v>
      </c>
    </row>
    <row r="128" spans="1:17" s="212" customFormat="1" ht="15.5" x14ac:dyDescent="0.35">
      <c r="A128" s="198">
        <v>2017</v>
      </c>
      <c r="B128" s="197" t="s">
        <v>5842</v>
      </c>
      <c r="C128" s="197">
        <v>1976</v>
      </c>
      <c r="D128" s="213" t="str">
        <f t="shared" si="1"/>
        <v>2017_1976</v>
      </c>
      <c r="E128" s="1267">
        <v>0.246002638606239</v>
      </c>
      <c r="F128" s="1278">
        <v>4.8041127791261404</v>
      </c>
      <c r="G128" s="1248">
        <v>4.9124677232054301</v>
      </c>
      <c r="H128" s="1278">
        <v>2.3754672146529301</v>
      </c>
      <c r="I128" s="1248">
        <v>0.18542076611764899</v>
      </c>
      <c r="J128" s="1278">
        <v>4.50752209734867E-2</v>
      </c>
      <c r="K128" s="1248">
        <v>3.0000008624195299E-3</v>
      </c>
      <c r="L128" s="1250">
        <v>2.0000005742439602E-3</v>
      </c>
      <c r="M128" s="1273">
        <v>2.0000005742439602E-3</v>
      </c>
      <c r="N128" s="1248">
        <v>3.1850009128239903E-2</v>
      </c>
      <c r="O128" s="1249">
        <v>3.1850009128239903E-2</v>
      </c>
      <c r="P128" s="1251">
        <v>1.5925004564119952E-2</v>
      </c>
      <c r="Q128" s="1252">
        <v>0.19380467036902499</v>
      </c>
    </row>
    <row r="129" spans="1:17" s="212" customFormat="1" ht="15.5" x14ac:dyDescent="0.35">
      <c r="A129" s="198">
        <v>2017</v>
      </c>
      <c r="B129" s="197" t="s">
        <v>5842</v>
      </c>
      <c r="C129" s="197">
        <v>1977</v>
      </c>
      <c r="D129" s="213" t="str">
        <f t="shared" si="1"/>
        <v>2017_1977</v>
      </c>
      <c r="E129" s="1267">
        <v>0.218165280508928</v>
      </c>
      <c r="F129" s="1278">
        <v>2.61952787908755</v>
      </c>
      <c r="G129" s="1248">
        <v>5.2823388407316703</v>
      </c>
      <c r="H129" s="1278">
        <v>4.3489303920840401</v>
      </c>
      <c r="I129" s="1248">
        <v>0.16443877871158399</v>
      </c>
      <c r="J129" s="1278">
        <v>1.5526267966598801E-2</v>
      </c>
      <c r="K129" s="1248">
        <v>3.0000008610763201E-3</v>
      </c>
      <c r="L129" s="1250">
        <v>2.0000005741670399E-3</v>
      </c>
      <c r="M129" s="1273">
        <v>2.0000005741670399E-3</v>
      </c>
      <c r="N129" s="1248">
        <v>3.1850009128239903E-2</v>
      </c>
      <c r="O129" s="1249">
        <v>3.1850009128239903E-2</v>
      </c>
      <c r="P129" s="1251">
        <v>1.5925004564119952E-2</v>
      </c>
      <c r="Q129" s="1252">
        <v>0.17187397059864901</v>
      </c>
    </row>
    <row r="130" spans="1:17" s="212" customFormat="1" ht="15.5" x14ac:dyDescent="0.35">
      <c r="A130" s="198">
        <v>2017</v>
      </c>
      <c r="B130" s="197" t="s">
        <v>5842</v>
      </c>
      <c r="C130" s="197">
        <v>1978</v>
      </c>
      <c r="D130" s="213" t="str">
        <f t="shared" si="1"/>
        <v>2017_1978</v>
      </c>
      <c r="E130" s="1267">
        <v>0.22603008167687999</v>
      </c>
      <c r="F130" s="1278">
        <v>2.6076772074751999</v>
      </c>
      <c r="G130" s="1248">
        <v>5.1821255580697798</v>
      </c>
      <c r="H130" s="1278">
        <v>4.6234468940137399</v>
      </c>
      <c r="I130" s="1248">
        <v>0.170366753574728</v>
      </c>
      <c r="J130" s="1278">
        <v>1.5627357236814E-2</v>
      </c>
      <c r="K130" s="1248">
        <v>3.0000008614308898E-3</v>
      </c>
      <c r="L130" s="1250">
        <v>2.00000057414767E-3</v>
      </c>
      <c r="M130" s="1273">
        <v>2.00000057414767E-3</v>
      </c>
      <c r="N130" s="1248">
        <v>3.1850009128239903E-2</v>
      </c>
      <c r="O130" s="1249">
        <v>3.1850009128239903E-2</v>
      </c>
      <c r="P130" s="1251">
        <v>1.5925004564119952E-2</v>
      </c>
      <c r="Q130" s="1252">
        <v>0.178069982180105</v>
      </c>
    </row>
    <row r="131" spans="1:17" s="212" customFormat="1" ht="15.5" x14ac:dyDescent="0.35">
      <c r="A131" s="198">
        <v>2017</v>
      </c>
      <c r="B131" s="197" t="s">
        <v>5842</v>
      </c>
      <c r="C131" s="197">
        <v>1979</v>
      </c>
      <c r="D131" s="213" t="str">
        <f t="shared" si="1"/>
        <v>2017_1979</v>
      </c>
      <c r="E131" s="1267">
        <v>0.24845684720880401</v>
      </c>
      <c r="F131" s="1278">
        <v>2.5369727350470099</v>
      </c>
      <c r="G131" s="1248">
        <v>4.8696500593978804</v>
      </c>
      <c r="H131" s="1278">
        <v>4.2669970089994704</v>
      </c>
      <c r="I131" s="1248">
        <v>0.187270588712555</v>
      </c>
      <c r="J131" s="1278">
        <v>1.5310768786258399E-2</v>
      </c>
      <c r="K131" s="1248">
        <v>3.0000008624566699E-3</v>
      </c>
      <c r="L131" s="1250">
        <v>2.0000005739096399E-3</v>
      </c>
      <c r="M131" s="1273">
        <v>2.0000005739096399E-3</v>
      </c>
      <c r="N131" s="1248">
        <v>3.1850009128239903E-2</v>
      </c>
      <c r="O131" s="1249">
        <v>3.1850009128239903E-2</v>
      </c>
      <c r="P131" s="1251">
        <v>1.5925004564119952E-2</v>
      </c>
      <c r="Q131" s="1252">
        <v>0.195738133733206</v>
      </c>
    </row>
    <row r="132" spans="1:17" s="212" customFormat="1" ht="15.5" x14ac:dyDescent="0.35">
      <c r="A132" s="198">
        <v>2017</v>
      </c>
      <c r="B132" s="197" t="s">
        <v>5842</v>
      </c>
      <c r="C132" s="197">
        <v>1980</v>
      </c>
      <c r="D132" s="213" t="str">
        <f t="shared" si="1"/>
        <v>2017_1980</v>
      </c>
      <c r="E132" s="1267">
        <v>0.20451924798405499</v>
      </c>
      <c r="F132" s="1278">
        <v>2.4556162147374798</v>
      </c>
      <c r="G132" s="1248">
        <v>5.4678548547974604</v>
      </c>
      <c r="H132" s="1278">
        <v>3.8396914175349002</v>
      </c>
      <c r="I132" s="1248">
        <v>0.15415328819992299</v>
      </c>
      <c r="J132" s="1278">
        <v>1.47484819731179E-2</v>
      </c>
      <c r="K132" s="1248">
        <v>3.0000008604644099E-3</v>
      </c>
      <c r="L132" s="1250">
        <v>2.0000005740829999E-3</v>
      </c>
      <c r="M132" s="1273">
        <v>2.0000005740829999E-3</v>
      </c>
      <c r="N132" s="1248">
        <v>3.1850009128239903E-2</v>
      </c>
      <c r="O132" s="1249">
        <v>3.1850009128239903E-2</v>
      </c>
      <c r="P132" s="1251">
        <v>1.5925004564119952E-2</v>
      </c>
      <c r="Q132" s="1252">
        <v>0.16112341584723799</v>
      </c>
    </row>
    <row r="133" spans="1:17" s="212" customFormat="1" ht="15.5" x14ac:dyDescent="0.35">
      <c r="A133" s="198">
        <v>2017</v>
      </c>
      <c r="B133" s="197" t="s">
        <v>5842</v>
      </c>
      <c r="C133" s="197">
        <v>1981</v>
      </c>
      <c r="D133" s="213" t="str">
        <f t="shared" si="1"/>
        <v>2017_1981</v>
      </c>
      <c r="E133" s="1268">
        <v>0.21518957120891599</v>
      </c>
      <c r="F133" s="1278">
        <v>2.6703572885816902</v>
      </c>
      <c r="G133" s="1255">
        <v>5.3440807479464354</v>
      </c>
      <c r="H133" s="1278">
        <v>4.2532685976485904</v>
      </c>
      <c r="I133" s="1255">
        <v>0.16219588285779352</v>
      </c>
      <c r="J133" s="1278">
        <v>1.55553657293155E-2</v>
      </c>
      <c r="K133" s="1255">
        <v>3.0000008608706049E-3</v>
      </c>
      <c r="L133" s="1250">
        <v>2.00000057420824E-3</v>
      </c>
      <c r="M133" s="1273">
        <v>2.00000057420824E-3</v>
      </c>
      <c r="N133" s="1255">
        <v>3.1850009128239903E-2</v>
      </c>
      <c r="O133" s="1249">
        <v>3.1850009128239903E-2</v>
      </c>
      <c r="P133" s="1251">
        <v>1.5925004564119952E-2</v>
      </c>
      <c r="Q133" s="1254">
        <v>0.16952966094705249</v>
      </c>
    </row>
    <row r="134" spans="1:17" s="212" customFormat="1" ht="15.5" x14ac:dyDescent="0.35">
      <c r="A134" s="198">
        <v>2017</v>
      </c>
      <c r="B134" s="197" t="s">
        <v>5842</v>
      </c>
      <c r="C134" s="197">
        <v>1982</v>
      </c>
      <c r="D134" s="213" t="str">
        <f t="shared" si="1"/>
        <v>2017_1982</v>
      </c>
      <c r="E134" s="1267">
        <v>0.22585989443377699</v>
      </c>
      <c r="F134" s="1278">
        <v>2.5717631502486702</v>
      </c>
      <c r="G134" s="1248">
        <v>5.2203066410954104</v>
      </c>
      <c r="H134" s="1278">
        <v>3.92242726214169</v>
      </c>
      <c r="I134" s="1248">
        <v>0.17023847751566401</v>
      </c>
      <c r="J134" s="1278">
        <v>1.51430195277906E-2</v>
      </c>
      <c r="K134" s="1248">
        <v>3.0000008612767999E-3</v>
      </c>
      <c r="L134" s="1250">
        <v>2.0000005739877901E-3</v>
      </c>
      <c r="M134" s="1273">
        <v>2.0000005739877901E-3</v>
      </c>
      <c r="N134" s="1248">
        <v>3.1850009128239903E-2</v>
      </c>
      <c r="O134" s="1249">
        <v>3.1850009128239903E-2</v>
      </c>
      <c r="P134" s="1251">
        <v>1.5925004564119952E-2</v>
      </c>
      <c r="Q134" s="1252">
        <v>0.17793590604686699</v>
      </c>
    </row>
    <row r="135" spans="1:17" s="212" customFormat="1" ht="15.5" x14ac:dyDescent="0.35">
      <c r="A135" s="198">
        <v>2017</v>
      </c>
      <c r="B135" s="197" t="s">
        <v>5842</v>
      </c>
      <c r="C135" s="197">
        <v>1983</v>
      </c>
      <c r="D135" s="213" t="str">
        <f t="shared" si="1"/>
        <v>2017_1983</v>
      </c>
      <c r="E135" s="1267">
        <v>0.218631365612449</v>
      </c>
      <c r="F135" s="1278">
        <v>2.47438234961185</v>
      </c>
      <c r="G135" s="1248">
        <v>5.2911492954853303</v>
      </c>
      <c r="H135" s="1278">
        <v>4.4394453714759097</v>
      </c>
      <c r="I135" s="1248">
        <v>0.16479008330514699</v>
      </c>
      <c r="J135" s="1278">
        <v>1.6214371365752898E-2</v>
      </c>
      <c r="K135" s="1248">
        <v>3.0000008609945301E-3</v>
      </c>
      <c r="L135" s="1250">
        <v>2.0000005743757098E-3</v>
      </c>
      <c r="M135" s="1273">
        <v>2.0000005743757098E-3</v>
      </c>
      <c r="N135" s="1248">
        <v>3.1850009128239903E-2</v>
      </c>
      <c r="O135" s="1249">
        <v>3.1850009128239903E-2</v>
      </c>
      <c r="P135" s="1251">
        <v>1.5925004564119952E-2</v>
      </c>
      <c r="Q135" s="1252">
        <v>0.17224115962704201</v>
      </c>
    </row>
    <row r="136" spans="1:17" s="212" customFormat="1" ht="15.5" x14ac:dyDescent="0.35">
      <c r="A136" s="198">
        <v>2017</v>
      </c>
      <c r="B136" s="197" t="s">
        <v>5842</v>
      </c>
      <c r="C136" s="197">
        <v>1984</v>
      </c>
      <c r="D136" s="213" t="str">
        <f t="shared" si="1"/>
        <v>2017_1984</v>
      </c>
      <c r="E136" s="1267">
        <v>0.21874515406768899</v>
      </c>
      <c r="F136" s="1278">
        <v>1.68538667548831</v>
      </c>
      <c r="G136" s="1248">
        <v>5.2915760167806001</v>
      </c>
      <c r="H136" s="1278">
        <v>3.62202199642834</v>
      </c>
      <c r="I136" s="1248">
        <v>0.164875849631336</v>
      </c>
      <c r="J136" s="1278">
        <v>1.58759636082439E-2</v>
      </c>
      <c r="K136" s="1248">
        <v>3.0000008609365899E-3</v>
      </c>
      <c r="L136" s="1250">
        <v>2.0000005742988498E-3</v>
      </c>
      <c r="M136" s="1273">
        <v>2.0000005742988498E-3</v>
      </c>
      <c r="N136" s="1248">
        <v>3.1850009128239903E-2</v>
      </c>
      <c r="O136" s="1249">
        <v>3.1850009128239903E-2</v>
      </c>
      <c r="P136" s="1251">
        <v>1.5925004564119952E-2</v>
      </c>
      <c r="Q136" s="1252">
        <v>0.17233080392591801</v>
      </c>
    </row>
    <row r="137" spans="1:17" s="212" customFormat="1" ht="15.5" x14ac:dyDescent="0.35">
      <c r="A137" s="198">
        <v>2017</v>
      </c>
      <c r="B137" s="197" t="s">
        <v>5842</v>
      </c>
      <c r="C137" s="197">
        <v>1985</v>
      </c>
      <c r="D137" s="213" t="str">
        <f t="shared" si="1"/>
        <v>2017_1985</v>
      </c>
      <c r="E137" s="1267">
        <v>0.23332408513448699</v>
      </c>
      <c r="F137" s="1278">
        <v>2.0482070105154202</v>
      </c>
      <c r="G137" s="1248">
        <v>5.0928043146125397</v>
      </c>
      <c r="H137" s="1278">
        <v>3.9541174793974299</v>
      </c>
      <c r="I137" s="1248">
        <v>0.17586449830152001</v>
      </c>
      <c r="J137" s="1278">
        <v>1.5483563423261499E-2</v>
      </c>
      <c r="K137" s="1248">
        <v>3.0000008615253498E-3</v>
      </c>
      <c r="L137" s="1250">
        <v>2.0000005741135801E-3</v>
      </c>
      <c r="M137" s="1273">
        <v>2.0000005741135801E-3</v>
      </c>
      <c r="N137" s="1248">
        <v>3.1850009128239903E-2</v>
      </c>
      <c r="O137" s="1249">
        <v>3.1850009128239903E-2</v>
      </c>
      <c r="P137" s="1251">
        <v>1.5925004564119952E-2</v>
      </c>
      <c r="Q137" s="1252">
        <v>0.18381631052756101</v>
      </c>
    </row>
    <row r="138" spans="1:17" s="212" customFormat="1" ht="15.5" x14ac:dyDescent="0.35">
      <c r="A138" s="198">
        <v>2017</v>
      </c>
      <c r="B138" s="197" t="s">
        <v>5842</v>
      </c>
      <c r="C138" s="197">
        <v>1986</v>
      </c>
      <c r="D138" s="213" t="str">
        <f t="shared" si="1"/>
        <v>2017_1986</v>
      </c>
      <c r="E138" s="1267">
        <v>0.22736320109581001</v>
      </c>
      <c r="F138" s="1278">
        <v>1.60912411698485</v>
      </c>
      <c r="G138" s="1248">
        <v>5.1837735250443302</v>
      </c>
      <c r="H138" s="1278">
        <v>4.2867362898200803</v>
      </c>
      <c r="I138" s="1248">
        <v>0.171371572162792</v>
      </c>
      <c r="J138" s="1278">
        <v>1.5398243713593499E-2</v>
      </c>
      <c r="K138" s="1248">
        <v>3.0000008612768702E-3</v>
      </c>
      <c r="L138" s="1250">
        <v>2.0000005740861602E-3</v>
      </c>
      <c r="M138" s="1273">
        <v>2.0000005740861602E-3</v>
      </c>
      <c r="N138" s="1248">
        <v>3.1850009128239903E-2</v>
      </c>
      <c r="O138" s="1249">
        <v>3.1850009128239903E-2</v>
      </c>
      <c r="P138" s="1251">
        <v>1.5925004564119952E-2</v>
      </c>
      <c r="Q138" s="1252">
        <v>0.17912023420590401</v>
      </c>
    </row>
    <row r="139" spans="1:17" s="212" customFormat="1" ht="15.5" x14ac:dyDescent="0.35">
      <c r="A139" s="198">
        <v>2017</v>
      </c>
      <c r="B139" s="197" t="s">
        <v>5842</v>
      </c>
      <c r="C139" s="197">
        <v>1987</v>
      </c>
      <c r="D139" s="213" t="str">
        <f t="shared" si="1"/>
        <v>2017_1987</v>
      </c>
      <c r="E139" s="1267">
        <v>0.28487463528847201</v>
      </c>
      <c r="F139" s="1278">
        <v>1.9810474419450499</v>
      </c>
      <c r="G139" s="1248">
        <v>5.2870243742409899</v>
      </c>
      <c r="H139" s="1278">
        <v>4.5203848799283701</v>
      </c>
      <c r="I139" s="1248">
        <v>0.194010319856466</v>
      </c>
      <c r="J139" s="1278">
        <v>1.5119640381760301E-2</v>
      </c>
      <c r="K139" s="1248">
        <v>3.00000086130091E-3</v>
      </c>
      <c r="L139" s="1250">
        <v>2.0000005740746399E-3</v>
      </c>
      <c r="M139" s="1273">
        <v>2.0000005740746399E-3</v>
      </c>
      <c r="N139" s="1248">
        <v>3.1850009128239903E-2</v>
      </c>
      <c r="O139" s="1249">
        <v>3.1850009128239903E-2</v>
      </c>
      <c r="P139" s="1251">
        <v>1.5925004564119952E-2</v>
      </c>
      <c r="Q139" s="1252">
        <v>0.202782605612331</v>
      </c>
    </row>
    <row r="140" spans="1:17" s="212" customFormat="1" ht="15.5" x14ac:dyDescent="0.35">
      <c r="A140" s="198">
        <v>2017</v>
      </c>
      <c r="B140" s="197" t="s">
        <v>5842</v>
      </c>
      <c r="C140" s="197">
        <v>1988</v>
      </c>
      <c r="D140" s="213" t="str">
        <f t="shared" si="1"/>
        <v>2017_1988</v>
      </c>
      <c r="E140" s="1267">
        <v>0.28029436267659102</v>
      </c>
      <c r="F140" s="1278">
        <v>0.486135148374575</v>
      </c>
      <c r="G140" s="1248">
        <v>5.3422508393984902</v>
      </c>
      <c r="H140" s="1278">
        <v>1.2169136776168901</v>
      </c>
      <c r="I140" s="1248">
        <v>0.19089098227991699</v>
      </c>
      <c r="J140" s="1278">
        <v>1.37952812707458E-2</v>
      </c>
      <c r="K140" s="1248">
        <v>3.0000008611025201E-3</v>
      </c>
      <c r="L140" s="1250">
        <v>2.0000005741397102E-3</v>
      </c>
      <c r="M140" s="1273">
        <v>2.0000005741397102E-3</v>
      </c>
      <c r="N140" s="1248">
        <v>3.1850009128239903E-2</v>
      </c>
      <c r="O140" s="1249">
        <v>3.1850009128239903E-2</v>
      </c>
      <c r="P140" s="1251">
        <v>1.5925004564119952E-2</v>
      </c>
      <c r="Q140" s="1252">
        <v>0.19952222543242701</v>
      </c>
    </row>
    <row r="141" spans="1:17" s="212" customFormat="1" ht="15.5" x14ac:dyDescent="0.35">
      <c r="A141" s="198">
        <v>2017</v>
      </c>
      <c r="B141" s="197" t="s">
        <v>5842</v>
      </c>
      <c r="C141" s="197">
        <v>1989</v>
      </c>
      <c r="D141" s="213" t="str">
        <f t="shared" si="1"/>
        <v>2017_1989</v>
      </c>
      <c r="E141" s="1267">
        <v>0.27867058039161602</v>
      </c>
      <c r="F141" s="1278">
        <v>0.333054760050361</v>
      </c>
      <c r="G141" s="1248">
        <v>5.3697574596422504</v>
      </c>
      <c r="H141" s="1278">
        <v>1.6510586191654899</v>
      </c>
      <c r="I141" s="1248">
        <v>0.18978512559258401</v>
      </c>
      <c r="J141" s="1278">
        <v>1.3637875669762101E-2</v>
      </c>
      <c r="K141" s="1248">
        <v>3.0000008610771198E-3</v>
      </c>
      <c r="L141" s="1250">
        <v>2.0000005741029501E-3</v>
      </c>
      <c r="M141" s="1273">
        <v>2.0000005741029501E-3</v>
      </c>
      <c r="N141" s="1248">
        <v>3.1850009128239903E-2</v>
      </c>
      <c r="O141" s="1249">
        <v>3.1850009128239903E-2</v>
      </c>
      <c r="P141" s="1251">
        <v>1.5925004564119952E-2</v>
      </c>
      <c r="Q141" s="1252">
        <v>0.19836636681285899</v>
      </c>
    </row>
    <row r="142" spans="1:17" s="212" customFormat="1" ht="15.5" x14ac:dyDescent="0.35">
      <c r="A142" s="198">
        <v>2017</v>
      </c>
      <c r="B142" s="197" t="s">
        <v>5842</v>
      </c>
      <c r="C142" s="197">
        <v>1990</v>
      </c>
      <c r="D142" s="213" t="str">
        <f t="shared" ref="D142:D226" si="2">CONCATENATE(A142,"_",C142)</f>
        <v>2017_1990</v>
      </c>
      <c r="E142" s="1267">
        <v>0.278669780155404</v>
      </c>
      <c r="F142" s="1278">
        <v>0.44356762843521202</v>
      </c>
      <c r="G142" s="1248">
        <v>5.3771382151873803</v>
      </c>
      <c r="H142" s="1278">
        <v>1.6587767349223901</v>
      </c>
      <c r="I142" s="1248">
        <v>0.18978458060168599</v>
      </c>
      <c r="J142" s="1278">
        <v>1.38735726243609E-2</v>
      </c>
      <c r="K142" s="1248">
        <v>3.0000008610943998E-3</v>
      </c>
      <c r="L142" s="1250">
        <v>2.0000005741821199E-3</v>
      </c>
      <c r="M142" s="1273">
        <v>2.0000005741821199E-3</v>
      </c>
      <c r="N142" s="1248">
        <v>3.1850009128239903E-2</v>
      </c>
      <c r="O142" s="1249">
        <v>3.1850009128239903E-2</v>
      </c>
      <c r="P142" s="1251">
        <v>1.5925004564119952E-2</v>
      </c>
      <c r="Q142" s="1252">
        <v>0.19836579717989</v>
      </c>
    </row>
    <row r="143" spans="1:17" s="212" customFormat="1" ht="15.5" x14ac:dyDescent="0.35">
      <c r="A143" s="198">
        <v>2017</v>
      </c>
      <c r="B143" s="197" t="s">
        <v>5842</v>
      </c>
      <c r="C143" s="197">
        <v>1991</v>
      </c>
      <c r="D143" s="213" t="str">
        <f t="shared" si="2"/>
        <v>2017_1991</v>
      </c>
      <c r="E143" s="1267">
        <v>0.36751152071565402</v>
      </c>
      <c r="F143" s="1278">
        <v>0.46718977475512802</v>
      </c>
      <c r="G143" s="1248">
        <v>9.3449790187634498</v>
      </c>
      <c r="H143" s="1278">
        <v>2.9071835324255901</v>
      </c>
      <c r="I143" s="1248">
        <v>5.20849410180136E-2</v>
      </c>
      <c r="J143" s="1278">
        <v>7.4958209748047398E-3</v>
      </c>
      <c r="K143" s="1248">
        <v>3.0000008612517202E-3</v>
      </c>
      <c r="L143" s="1250">
        <v>2.00000057409171E-3</v>
      </c>
      <c r="M143" s="1273">
        <v>2.00000057409171E-3</v>
      </c>
      <c r="N143" s="1248">
        <v>3.1850009128239903E-2</v>
      </c>
      <c r="O143" s="1249">
        <v>3.1850009128239903E-2</v>
      </c>
      <c r="P143" s="1251">
        <v>1.5925004564119952E-2</v>
      </c>
      <c r="Q143" s="1252">
        <v>5.44399909273455E-2</v>
      </c>
    </row>
    <row r="144" spans="1:17" s="212" customFormat="1" ht="15.5" x14ac:dyDescent="0.35">
      <c r="A144" s="198">
        <v>2017</v>
      </c>
      <c r="B144" s="197" t="s">
        <v>5842</v>
      </c>
      <c r="C144" s="197">
        <v>1992</v>
      </c>
      <c r="D144" s="213" t="str">
        <f t="shared" si="2"/>
        <v>2017_1992</v>
      </c>
      <c r="E144" s="1267">
        <v>0.37028389847681098</v>
      </c>
      <c r="F144" s="1278">
        <v>0.47830292408447</v>
      </c>
      <c r="G144" s="1248">
        <v>9.2931189727135894</v>
      </c>
      <c r="H144" s="1278">
        <v>2.9287932609473102</v>
      </c>
      <c r="I144" s="1248">
        <v>5.2477851509331902E-2</v>
      </c>
      <c r="J144" s="1278">
        <v>7.7079745976304801E-3</v>
      </c>
      <c r="K144" s="1248">
        <v>3.0000008613476699E-3</v>
      </c>
      <c r="L144" s="1250">
        <v>2.0000005741874802E-3</v>
      </c>
      <c r="M144" s="1273">
        <v>2.0000005741874802E-3</v>
      </c>
      <c r="N144" s="1248">
        <v>3.1850009128239903E-2</v>
      </c>
      <c r="O144" s="1249">
        <v>3.1850009128239903E-2</v>
      </c>
      <c r="P144" s="1251">
        <v>1.5925004564119952E-2</v>
      </c>
      <c r="Q144" s="1252">
        <v>5.4850667087566599E-2</v>
      </c>
    </row>
    <row r="145" spans="1:17" s="212" customFormat="1" ht="15.5" x14ac:dyDescent="0.35">
      <c r="A145" s="198">
        <v>2017</v>
      </c>
      <c r="B145" s="197" t="s">
        <v>5842</v>
      </c>
      <c r="C145" s="197">
        <v>1993</v>
      </c>
      <c r="D145" s="213" t="str">
        <f t="shared" si="2"/>
        <v>2017_1993</v>
      </c>
      <c r="E145" s="1267">
        <v>0.370243585674218</v>
      </c>
      <c r="F145" s="1278">
        <v>0.46734395600099998</v>
      </c>
      <c r="G145" s="1248">
        <v>9.2961265331339504</v>
      </c>
      <c r="H145" s="1278">
        <v>2.9053318032070599</v>
      </c>
      <c r="I145" s="1248">
        <v>5.2472138246408201E-2</v>
      </c>
      <c r="J145" s="1278">
        <v>7.5603283780910696E-3</v>
      </c>
      <c r="K145" s="1248">
        <v>3.0000008613601001E-3</v>
      </c>
      <c r="L145" s="1250">
        <v>2.0000005741128402E-3</v>
      </c>
      <c r="M145" s="1273">
        <v>2.0000005741128402E-3</v>
      </c>
      <c r="N145" s="1248">
        <v>3.1850009128239903E-2</v>
      </c>
      <c r="O145" s="1249">
        <v>3.1850009128239903E-2</v>
      </c>
      <c r="P145" s="1251">
        <v>1.5925004564119952E-2</v>
      </c>
      <c r="Q145" s="1252">
        <v>5.48446954962458E-2</v>
      </c>
    </row>
    <row r="146" spans="1:17" s="212" customFormat="1" ht="15.5" x14ac:dyDescent="0.35">
      <c r="A146" s="198">
        <v>2017</v>
      </c>
      <c r="B146" s="197" t="s">
        <v>5842</v>
      </c>
      <c r="C146" s="197">
        <v>1994</v>
      </c>
      <c r="D146" s="213" t="str">
        <f t="shared" si="2"/>
        <v>2017_1994</v>
      </c>
      <c r="E146" s="1267">
        <v>0.36445755045759498</v>
      </c>
      <c r="F146" s="1278">
        <v>0.457434855114627</v>
      </c>
      <c r="G146" s="1248">
        <v>9.3711103603390598</v>
      </c>
      <c r="H146" s="1278">
        <v>2.8863560763591898</v>
      </c>
      <c r="I146" s="1248">
        <v>5.2213075340734001E-2</v>
      </c>
      <c r="J146" s="1278">
        <v>7.4210553379321503E-3</v>
      </c>
      <c r="K146" s="1248">
        <v>3.0000008612908798E-3</v>
      </c>
      <c r="L146" s="1250">
        <v>2.0000005740661701E-3</v>
      </c>
      <c r="M146" s="1273">
        <v>2.0000005740661701E-3</v>
      </c>
      <c r="N146" s="1248">
        <v>3.1850009128239903E-2</v>
      </c>
      <c r="O146" s="1249">
        <v>3.1850009128239903E-2</v>
      </c>
      <c r="P146" s="1251">
        <v>1.5925004564119952E-2</v>
      </c>
      <c r="Q146" s="1252">
        <v>5.4573918915551703E-2</v>
      </c>
    </row>
    <row r="147" spans="1:17" s="212" customFormat="1" ht="15.5" x14ac:dyDescent="0.35">
      <c r="A147" s="198">
        <v>2017</v>
      </c>
      <c r="B147" s="197" t="s">
        <v>5842</v>
      </c>
      <c r="C147" s="197">
        <v>1995</v>
      </c>
      <c r="D147" s="213" t="str">
        <f t="shared" si="2"/>
        <v>2017_1995</v>
      </c>
      <c r="E147" s="1267">
        <v>0.36656839296811899</v>
      </c>
      <c r="F147" s="1278">
        <v>0.246776874390256</v>
      </c>
      <c r="G147" s="1248">
        <v>9.3285425914742603</v>
      </c>
      <c r="H147" s="1278">
        <v>1.6544391635826801</v>
      </c>
      <c r="I147" s="1248">
        <v>5.2576095644957799E-2</v>
      </c>
      <c r="J147" s="1278">
        <v>4.9153114844971198E-3</v>
      </c>
      <c r="K147" s="1248">
        <v>3.00000086128191E-3</v>
      </c>
      <c r="L147" s="1250">
        <v>2.00000057415244E-3</v>
      </c>
      <c r="M147" s="1273">
        <v>2.00000057415244E-3</v>
      </c>
      <c r="N147" s="1248">
        <v>3.1850009128239903E-2</v>
      </c>
      <c r="O147" s="1249">
        <v>3.1850009128239903E-2</v>
      </c>
      <c r="P147" s="1251">
        <v>1.5925004564119952E-2</v>
      </c>
      <c r="Q147" s="1252">
        <v>5.4953353387053698E-2</v>
      </c>
    </row>
    <row r="148" spans="1:17" s="212" customFormat="1" ht="15.5" x14ac:dyDescent="0.35">
      <c r="A148" s="198">
        <v>2017</v>
      </c>
      <c r="B148" s="197" t="s">
        <v>5842</v>
      </c>
      <c r="C148" s="197">
        <v>1996</v>
      </c>
      <c r="D148" s="213" t="str">
        <f t="shared" si="2"/>
        <v>2017_1996</v>
      </c>
      <c r="E148" s="1267">
        <v>0.36364298010697499</v>
      </c>
      <c r="F148" s="1278">
        <v>2.25583220361831E-2</v>
      </c>
      <c r="G148" s="1248">
        <v>9.3359447005100193</v>
      </c>
      <c r="H148" s="1278">
        <v>0.39126360750151801</v>
      </c>
      <c r="I148" s="1248">
        <v>5.2250670355925802E-2</v>
      </c>
      <c r="J148" s="1278">
        <v>2.18954975523304E-3</v>
      </c>
      <c r="K148" s="1248">
        <v>3.0000008612930001E-3</v>
      </c>
      <c r="L148" s="1250">
        <v>2.0000005741557E-3</v>
      </c>
      <c r="M148" s="1273">
        <v>2.0000005741557E-3</v>
      </c>
      <c r="N148" s="1248">
        <v>3.1850009128239903E-2</v>
      </c>
      <c r="O148" s="1249">
        <v>3.1850009128239903E-2</v>
      </c>
      <c r="P148" s="1251">
        <v>1.5925004564119952E-2</v>
      </c>
      <c r="Q148" s="1252">
        <v>5.4613213810504997E-2</v>
      </c>
    </row>
    <row r="149" spans="1:17" s="212" customFormat="1" ht="15.5" x14ac:dyDescent="0.35">
      <c r="A149" s="198">
        <v>2017</v>
      </c>
      <c r="B149" s="197" t="s">
        <v>5842</v>
      </c>
      <c r="C149" s="197">
        <v>1997</v>
      </c>
      <c r="D149" s="213" t="str">
        <f t="shared" si="2"/>
        <v>2017_1997</v>
      </c>
      <c r="E149" s="1267">
        <v>0.36306720359101502</v>
      </c>
      <c r="F149" s="1278">
        <v>2.1564420130713701E-2</v>
      </c>
      <c r="G149" s="1248">
        <v>9.2727536872494092</v>
      </c>
      <c r="H149" s="1278">
        <v>0.38304581239577501</v>
      </c>
      <c r="I149" s="1248">
        <v>5.2297238994547898E-2</v>
      </c>
      <c r="J149" s="1278">
        <v>2.0963907106522502E-3</v>
      </c>
      <c r="K149" s="1248">
        <v>3.0000008613175E-3</v>
      </c>
      <c r="L149" s="1250">
        <v>2.0000005740447402E-3</v>
      </c>
      <c r="M149" s="1273">
        <v>2.0000005740447402E-3</v>
      </c>
      <c r="N149" s="1248">
        <v>3.1850009128239903E-2</v>
      </c>
      <c r="O149" s="1249">
        <v>3.1850009128239903E-2</v>
      </c>
      <c r="P149" s="1251">
        <v>1.5925004564119952E-2</v>
      </c>
      <c r="Q149" s="1252">
        <v>5.4661888076320303E-2</v>
      </c>
    </row>
    <row r="150" spans="1:17" s="212" customFormat="1" ht="15.5" x14ac:dyDescent="0.35">
      <c r="A150" s="198">
        <v>2017</v>
      </c>
      <c r="B150" s="197" t="s">
        <v>5842</v>
      </c>
      <c r="C150" s="197">
        <v>1998</v>
      </c>
      <c r="D150" s="213" t="str">
        <f t="shared" si="2"/>
        <v>2017_1998</v>
      </c>
      <c r="E150" s="1267">
        <v>0.360427127475141</v>
      </c>
      <c r="F150" s="1278">
        <v>2.1860861485763401E-2</v>
      </c>
      <c r="G150" s="1248">
        <v>9.2578604403714397</v>
      </c>
      <c r="H150" s="1278">
        <v>0.38166515052383199</v>
      </c>
      <c r="I150" s="1248">
        <v>5.20821834679202E-2</v>
      </c>
      <c r="J150" s="1278">
        <v>2.1310699864622099E-3</v>
      </c>
      <c r="K150" s="1248">
        <v>3.0000008613762399E-3</v>
      </c>
      <c r="L150" s="1250">
        <v>2.0000005740957701E-3</v>
      </c>
      <c r="M150" s="1273">
        <v>2.0000005740957701E-3</v>
      </c>
      <c r="N150" s="1248">
        <v>3.1850009128239903E-2</v>
      </c>
      <c r="O150" s="1249">
        <v>3.1850009128239903E-2</v>
      </c>
      <c r="P150" s="1251">
        <v>1.5925004564119952E-2</v>
      </c>
      <c r="Q150" s="1252">
        <v>5.4437108693073298E-2</v>
      </c>
    </row>
    <row r="151" spans="1:17" s="212" customFormat="1" ht="15.5" x14ac:dyDescent="0.35">
      <c r="A151" s="198">
        <v>2017</v>
      </c>
      <c r="B151" s="197" t="s">
        <v>5842</v>
      </c>
      <c r="C151" s="197">
        <v>1999</v>
      </c>
      <c r="D151" s="213" t="str">
        <f t="shared" si="2"/>
        <v>2017_1999</v>
      </c>
      <c r="E151" s="1267">
        <v>0.35274599859753403</v>
      </c>
      <c r="F151" s="1278">
        <v>2.1565711021653899E-2</v>
      </c>
      <c r="G151" s="1248">
        <v>9.2900306229639291</v>
      </c>
      <c r="H151" s="1278">
        <v>0.37711388090223602</v>
      </c>
      <c r="I151" s="1248">
        <v>5.1172424034731601E-2</v>
      </c>
      <c r="J151" s="1278">
        <v>2.1331979452187599E-3</v>
      </c>
      <c r="K151" s="1248">
        <v>3.0000008613398801E-3</v>
      </c>
      <c r="L151" s="1250">
        <v>2.0000005741048501E-3</v>
      </c>
      <c r="M151" s="1273">
        <v>2.0000005741048501E-3</v>
      </c>
      <c r="N151" s="1248">
        <v>3.1850009128239903E-2</v>
      </c>
      <c r="O151" s="1249">
        <v>3.1850009128239903E-2</v>
      </c>
      <c r="P151" s="1251">
        <v>1.5925004564119952E-2</v>
      </c>
      <c r="Q151" s="1252">
        <v>5.3486213975313598E-2</v>
      </c>
    </row>
    <row r="152" spans="1:17" s="212" customFormat="1" ht="15.5" x14ac:dyDescent="0.35">
      <c r="A152" s="198">
        <v>2017</v>
      </c>
      <c r="B152" s="197" t="s">
        <v>5842</v>
      </c>
      <c r="C152" s="197">
        <v>2000</v>
      </c>
      <c r="D152" s="213" t="str">
        <f t="shared" si="2"/>
        <v>2017_2000</v>
      </c>
      <c r="E152" s="1267">
        <v>0.34484565301578202</v>
      </c>
      <c r="F152" s="1278">
        <v>2.1491417207596699E-2</v>
      </c>
      <c r="G152" s="1248">
        <v>9.3210390672088401</v>
      </c>
      <c r="H152" s="1278">
        <v>0.37177072108681403</v>
      </c>
      <c r="I152" s="1248">
        <v>5.0262617609362598E-2</v>
      </c>
      <c r="J152" s="1278">
        <v>2.1461250658773899E-3</v>
      </c>
      <c r="K152" s="1248">
        <v>3.00000086127968E-3</v>
      </c>
      <c r="L152" s="1250">
        <v>2.00000057412817E-3</v>
      </c>
      <c r="M152" s="1273">
        <v>2.00000057412817E-3</v>
      </c>
      <c r="N152" s="1248">
        <v>3.1850009128239903E-2</v>
      </c>
      <c r="O152" s="1249">
        <v>3.1850009128239903E-2</v>
      </c>
      <c r="P152" s="1251">
        <v>1.5925004564119952E-2</v>
      </c>
      <c r="Q152" s="1252">
        <v>5.25352701405956E-2</v>
      </c>
    </row>
    <row r="153" spans="1:17" s="212" customFormat="1" ht="15.5" x14ac:dyDescent="0.35">
      <c r="A153" s="198">
        <v>2017</v>
      </c>
      <c r="B153" s="197" t="s">
        <v>5842</v>
      </c>
      <c r="C153" s="197">
        <v>2001</v>
      </c>
      <c r="D153" s="213" t="str">
        <f t="shared" si="2"/>
        <v>2017_2001</v>
      </c>
      <c r="E153" s="1267">
        <v>0.34119642465223099</v>
      </c>
      <c r="F153" s="1278">
        <v>2.1539985501488501E-2</v>
      </c>
      <c r="G153" s="1248">
        <v>9.2528441806089408</v>
      </c>
      <c r="H153" s="1278">
        <v>0.365453113000759</v>
      </c>
      <c r="I153" s="1248">
        <v>5.0008416167434601E-2</v>
      </c>
      <c r="J153" s="1278">
        <v>2.17743540348342E-3</v>
      </c>
      <c r="K153" s="1248">
        <v>3.00000086135841E-3</v>
      </c>
      <c r="L153" s="1250">
        <v>2.0000005741823601E-3</v>
      </c>
      <c r="M153" s="1273">
        <v>2.0000005741823601E-3</v>
      </c>
      <c r="N153" s="1248">
        <v>3.1850009128239903E-2</v>
      </c>
      <c r="O153" s="1249">
        <v>3.1850009128239903E-2</v>
      </c>
      <c r="P153" s="1251">
        <v>1.5925004564119952E-2</v>
      </c>
      <c r="Q153" s="1252">
        <v>5.2269574837465797E-2</v>
      </c>
    </row>
    <row r="154" spans="1:17" s="212" customFormat="1" ht="15.5" x14ac:dyDescent="0.35">
      <c r="A154" s="198">
        <v>2017</v>
      </c>
      <c r="B154" s="197" t="s">
        <v>5842</v>
      </c>
      <c r="C154" s="197">
        <v>2002</v>
      </c>
      <c r="D154" s="213" t="str">
        <f t="shared" si="2"/>
        <v>2017_2002</v>
      </c>
      <c r="E154" s="1267">
        <v>0.26514533077555402</v>
      </c>
      <c r="F154" s="1278">
        <v>2.1057689415819501E-2</v>
      </c>
      <c r="G154" s="1248">
        <v>7.1415968593697299</v>
      </c>
      <c r="H154" s="1278">
        <v>0.28021697696672498</v>
      </c>
      <c r="I154" s="1248">
        <v>5.0903514753307399E-2</v>
      </c>
      <c r="J154" s="1278">
        <v>2.1629336994828398E-3</v>
      </c>
      <c r="K154" s="1248">
        <v>3.0000008613347701E-3</v>
      </c>
      <c r="L154" s="1250">
        <v>2.0000005741498601E-3</v>
      </c>
      <c r="M154" s="1273">
        <v>2.0000005741498601E-3</v>
      </c>
      <c r="N154" s="1248">
        <v>3.1850009128239903E-2</v>
      </c>
      <c r="O154" s="1249">
        <v>3.1850009128239903E-2</v>
      </c>
      <c r="P154" s="1251">
        <v>1.5925004564119952E-2</v>
      </c>
      <c r="Q154" s="1252">
        <v>5.3205145809450599E-2</v>
      </c>
    </row>
    <row r="155" spans="1:17" s="212" customFormat="1" ht="15.5" x14ac:dyDescent="0.35">
      <c r="A155" s="198">
        <v>2017</v>
      </c>
      <c r="B155" s="197" t="s">
        <v>5842</v>
      </c>
      <c r="C155" s="197">
        <v>2003</v>
      </c>
      <c r="D155" s="213" t="str">
        <f t="shared" si="2"/>
        <v>2017_2003</v>
      </c>
      <c r="E155" s="1267">
        <v>0.258042104604983</v>
      </c>
      <c r="F155" s="1278">
        <v>2.04948011237693E-2</v>
      </c>
      <c r="G155" s="1248">
        <v>7.1740225566851299</v>
      </c>
      <c r="H155" s="1278">
        <v>0.26881145924009697</v>
      </c>
      <c r="I155" s="1248">
        <v>4.9898435499406202E-2</v>
      </c>
      <c r="J155" s="1278">
        <v>2.14364280185851E-3</v>
      </c>
      <c r="K155" s="1248">
        <v>3.0000008612667598E-3</v>
      </c>
      <c r="L155" s="1250">
        <v>2.0000005741418001E-3</v>
      </c>
      <c r="M155" s="1273">
        <v>2.0000005741418001E-3</v>
      </c>
      <c r="N155" s="1248">
        <v>3.1850009128239903E-2</v>
      </c>
      <c r="O155" s="1249">
        <v>3.1850009128239903E-2</v>
      </c>
      <c r="P155" s="1251">
        <v>1.5925004564119952E-2</v>
      </c>
      <c r="Q155" s="1252">
        <v>5.2154621331661197E-2</v>
      </c>
    </row>
    <row r="156" spans="1:17" s="212" customFormat="1" ht="15.5" x14ac:dyDescent="0.35">
      <c r="A156" s="198">
        <v>2017</v>
      </c>
      <c r="B156" s="197" t="s">
        <v>5842</v>
      </c>
      <c r="C156" s="197">
        <v>2004</v>
      </c>
      <c r="D156" s="213" t="str">
        <f t="shared" si="2"/>
        <v>2017_2004</v>
      </c>
      <c r="E156" s="1267">
        <v>0.51291834348489396</v>
      </c>
      <c r="F156" s="1278">
        <v>1.3619577031733599E-2</v>
      </c>
      <c r="G156" s="1248">
        <v>4.0984705815474998</v>
      </c>
      <c r="H156" s="1278">
        <v>0.21817103371930999</v>
      </c>
      <c r="I156" s="1248">
        <v>0.13967048661405601</v>
      </c>
      <c r="J156" s="1278">
        <v>1.3881023136276701E-4</v>
      </c>
      <c r="K156" s="1248">
        <v>3.0000008612470798E-3</v>
      </c>
      <c r="L156" s="1250">
        <v>2.0000005740656501E-3</v>
      </c>
      <c r="M156" s="1273">
        <v>2.0000005740656501E-3</v>
      </c>
      <c r="N156" s="1248">
        <v>3.1850009128239903E-2</v>
      </c>
      <c r="O156" s="1249">
        <v>3.1850009128239903E-2</v>
      </c>
      <c r="P156" s="1251">
        <v>1.5925004564119952E-2</v>
      </c>
      <c r="Q156" s="1252">
        <v>0.14598576624013801</v>
      </c>
    </row>
    <row r="157" spans="1:17" s="212" customFormat="1" ht="15.5" x14ac:dyDescent="0.35">
      <c r="A157" s="198">
        <v>2017</v>
      </c>
      <c r="B157" s="197" t="s">
        <v>5842</v>
      </c>
      <c r="C157" s="197">
        <v>2005</v>
      </c>
      <c r="D157" s="213" t="str">
        <f t="shared" si="2"/>
        <v>2017_2005</v>
      </c>
      <c r="E157" s="1267">
        <v>0.50176048157681996</v>
      </c>
      <c r="F157" s="1278">
        <v>1.36786960739938E-2</v>
      </c>
      <c r="G157" s="1248">
        <v>4.0921577352211997</v>
      </c>
      <c r="H157" s="1278">
        <v>0.20892533533305899</v>
      </c>
      <c r="I157" s="1248">
        <v>0.13785899413537001</v>
      </c>
      <c r="J157" s="1278">
        <v>1.4085453986694199E-4</v>
      </c>
      <c r="K157" s="1248">
        <v>3.0000008612494802E-3</v>
      </c>
      <c r="L157" s="1250">
        <v>2.0000005740994399E-3</v>
      </c>
      <c r="M157" s="1273">
        <v>2.0000005740994399E-3</v>
      </c>
      <c r="N157" s="1248">
        <v>3.1850009128239903E-2</v>
      </c>
      <c r="O157" s="1249">
        <v>3.1850009128239903E-2</v>
      </c>
      <c r="P157" s="1251">
        <v>1.5925004564119952E-2</v>
      </c>
      <c r="Q157" s="1252">
        <v>0.144092366109945</v>
      </c>
    </row>
    <row r="158" spans="1:17" s="212" customFormat="1" ht="15.5" x14ac:dyDescent="0.35">
      <c r="A158" s="198">
        <v>2017</v>
      </c>
      <c r="B158" s="197" t="s">
        <v>5842</v>
      </c>
      <c r="C158" s="197">
        <v>2006</v>
      </c>
      <c r="D158" s="213" t="str">
        <f t="shared" si="2"/>
        <v>2017_2006</v>
      </c>
      <c r="E158" s="1267">
        <v>0.48587560766118099</v>
      </c>
      <c r="F158" s="1278">
        <v>1.35398611828117E-2</v>
      </c>
      <c r="G158" s="1248">
        <v>4.0701940412680697</v>
      </c>
      <c r="H158" s="1278">
        <v>0.19942827318606801</v>
      </c>
      <c r="I158" s="1248">
        <v>0.13500631583714801</v>
      </c>
      <c r="J158" s="1278">
        <v>1.4159038078752101E-4</v>
      </c>
      <c r="K158" s="1248">
        <v>3.0000008612272901E-3</v>
      </c>
      <c r="L158" s="1250">
        <v>2.0000005741149999E-3</v>
      </c>
      <c r="M158" s="1273">
        <v>2.0000005741149999E-3</v>
      </c>
      <c r="N158" s="1248">
        <v>3.1850009128239903E-2</v>
      </c>
      <c r="O158" s="1249">
        <v>3.1850009128239903E-2</v>
      </c>
      <c r="P158" s="1251">
        <v>1.5925004564119952E-2</v>
      </c>
      <c r="Q158" s="1252">
        <v>0.14111070235765</v>
      </c>
    </row>
    <row r="159" spans="1:17" s="212" customFormat="1" ht="15.5" x14ac:dyDescent="0.35">
      <c r="A159" s="198">
        <v>2017</v>
      </c>
      <c r="B159" s="197" t="s">
        <v>5842</v>
      </c>
      <c r="C159" s="197">
        <v>2007</v>
      </c>
      <c r="D159" s="213" t="str">
        <f t="shared" si="2"/>
        <v>2017_2007</v>
      </c>
      <c r="E159" s="1267">
        <v>0.27837450863065499</v>
      </c>
      <c r="F159" s="1278">
        <v>1.34245085014778E-2</v>
      </c>
      <c r="G159" s="1248">
        <v>2.37689790471123</v>
      </c>
      <c r="H159" s="1278">
        <v>0.19424963466835099</v>
      </c>
      <c r="I159" s="1248">
        <v>7.59136421710533E-2</v>
      </c>
      <c r="J159" s="1278">
        <v>1.44522344030752E-4</v>
      </c>
      <c r="K159" s="1248">
        <v>3.00000086121857E-3</v>
      </c>
      <c r="L159" s="1250">
        <v>2.0000005741720602E-3</v>
      </c>
      <c r="M159" s="1273">
        <v>2.0000005741720602E-3</v>
      </c>
      <c r="N159" s="1248">
        <v>3.1850009128239903E-2</v>
      </c>
      <c r="O159" s="1249">
        <v>3.1850009128239903E-2</v>
      </c>
      <c r="P159" s="1251">
        <v>1.5925004564119952E-2</v>
      </c>
      <c r="Q159" s="1252">
        <v>7.93461202082303E-2</v>
      </c>
    </row>
    <row r="160" spans="1:17" s="212" customFormat="1" ht="15.5" x14ac:dyDescent="0.35">
      <c r="A160" s="198">
        <v>2017</v>
      </c>
      <c r="B160" s="197" t="s">
        <v>5842</v>
      </c>
      <c r="C160" s="197">
        <v>2008</v>
      </c>
      <c r="D160" s="213" t="str">
        <f t="shared" si="2"/>
        <v>2017_2008</v>
      </c>
      <c r="E160" s="1267">
        <v>0.27554373976110402</v>
      </c>
      <c r="F160" s="1278">
        <v>9.2160539668604095E-3</v>
      </c>
      <c r="G160" s="1248">
        <v>2.3807493604176599</v>
      </c>
      <c r="H160" s="1278">
        <v>0.111089525234637</v>
      </c>
      <c r="I160" s="1248">
        <v>7.5361782376669698E-2</v>
      </c>
      <c r="J160" s="1278">
        <v>1.40992636385441E-4</v>
      </c>
      <c r="K160" s="1248">
        <v>3.0000008613066901E-3</v>
      </c>
      <c r="L160" s="1250">
        <v>2.0000005742037701E-3</v>
      </c>
      <c r="M160" s="1273">
        <v>2.0000005742037701E-3</v>
      </c>
      <c r="N160" s="1248">
        <v>3.1850009128239903E-2</v>
      </c>
      <c r="O160" s="1249">
        <v>3.1850009128239903E-2</v>
      </c>
      <c r="P160" s="1251">
        <v>1.5925004564119952E-2</v>
      </c>
      <c r="Q160" s="1252">
        <v>7.8769307762786303E-2</v>
      </c>
    </row>
    <row r="161" spans="1:17" s="212" customFormat="1" ht="15.5" x14ac:dyDescent="0.35">
      <c r="A161" s="198">
        <v>2017</v>
      </c>
      <c r="B161" s="197" t="s">
        <v>5842</v>
      </c>
      <c r="C161" s="197">
        <v>2009</v>
      </c>
      <c r="D161" s="213" t="str">
        <f t="shared" si="2"/>
        <v>2017_2009</v>
      </c>
      <c r="E161" s="1267">
        <v>0.26689510198745803</v>
      </c>
      <c r="F161" s="1278">
        <v>5.0226929602560002E-3</v>
      </c>
      <c r="G161" s="1248">
        <v>2.3642409529858099</v>
      </c>
      <c r="H161" s="1278">
        <v>3.84763917540243E-2</v>
      </c>
      <c r="I161" s="1248">
        <v>7.3541140719687495E-2</v>
      </c>
      <c r="J161" s="1278">
        <v>1.2912280205928101E-4</v>
      </c>
      <c r="K161" s="1248">
        <v>3.0000008612757999E-3</v>
      </c>
      <c r="L161" s="1250">
        <v>2.0000005741311702E-3</v>
      </c>
      <c r="M161" s="1273">
        <v>2.0000005741311702E-3</v>
      </c>
      <c r="N161" s="1248">
        <v>3.1850009128239903E-2</v>
      </c>
      <c r="O161" s="1249">
        <v>3.1850009128239903E-2</v>
      </c>
      <c r="P161" s="1251">
        <v>1.5925004564119952E-2</v>
      </c>
      <c r="Q161" s="1252">
        <v>7.6866344769053005E-2</v>
      </c>
    </row>
    <row r="162" spans="1:17" s="212" customFormat="1" ht="15.5" x14ac:dyDescent="0.35">
      <c r="A162" s="198">
        <v>2017</v>
      </c>
      <c r="B162" s="197" t="s">
        <v>5842</v>
      </c>
      <c r="C162" s="197">
        <v>2010</v>
      </c>
      <c r="D162" s="213" t="str">
        <f t="shared" si="2"/>
        <v>2017_2010</v>
      </c>
      <c r="E162" s="1267">
        <v>7.6816514738578201E-2</v>
      </c>
      <c r="F162" s="1278">
        <v>4.9331591320938102E-3</v>
      </c>
      <c r="G162" s="1248">
        <v>0.61136290240013602</v>
      </c>
      <c r="H162" s="1278">
        <v>3.7904382343149197E-2</v>
      </c>
      <c r="I162" s="1248">
        <v>1.49742899635588E-2</v>
      </c>
      <c r="J162" s="1278">
        <v>1.5692865447983101E-4</v>
      </c>
      <c r="K162" s="1248">
        <v>3.00000086131561E-3</v>
      </c>
      <c r="L162" s="1250">
        <v>2.0000005740645598E-3</v>
      </c>
      <c r="M162" s="1273">
        <v>2.0000005740645598E-3</v>
      </c>
      <c r="N162" s="1248">
        <v>3.1850009128239903E-2</v>
      </c>
      <c r="O162" s="1249">
        <v>3.1850009128239903E-2</v>
      </c>
      <c r="P162" s="1251">
        <v>1.5925004564119952E-2</v>
      </c>
      <c r="Q162" s="1252">
        <v>1.5651360908283299E-2</v>
      </c>
    </row>
    <row r="163" spans="1:17" s="212" customFormat="1" ht="15.5" x14ac:dyDescent="0.35">
      <c r="A163" s="198">
        <v>2017</v>
      </c>
      <c r="B163" s="197" t="s">
        <v>5842</v>
      </c>
      <c r="C163" s="197">
        <v>2011</v>
      </c>
      <c r="D163" s="213" t="str">
        <f t="shared" si="2"/>
        <v>2017_2011</v>
      </c>
      <c r="E163" s="1267">
        <v>7.4967345205904007E-2</v>
      </c>
      <c r="F163" s="1278">
        <v>5.1226851076246202E-3</v>
      </c>
      <c r="G163" s="1248">
        <v>0.58524840740616302</v>
      </c>
      <c r="H163" s="1278">
        <v>3.6993544334319603E-2</v>
      </c>
      <c r="I163" s="1248">
        <v>1.3778840935693201E-2</v>
      </c>
      <c r="J163" s="1278">
        <v>2.1552104812038399E-4</v>
      </c>
      <c r="K163" s="1248">
        <v>3.0000008613125999E-3</v>
      </c>
      <c r="L163" s="1250">
        <v>2.0000005741965198E-3</v>
      </c>
      <c r="M163" s="1273">
        <v>2.0000005741965198E-3</v>
      </c>
      <c r="N163" s="1248">
        <v>3.1850009128239903E-2</v>
      </c>
      <c r="O163" s="1249">
        <v>3.1850009128239903E-2</v>
      </c>
      <c r="P163" s="1251">
        <v>1.5925004564119952E-2</v>
      </c>
      <c r="Q163" s="1252">
        <v>1.4401858980104199E-2</v>
      </c>
    </row>
    <row r="164" spans="1:17" s="212" customFormat="1" ht="15.5" x14ac:dyDescent="0.35">
      <c r="A164" s="198">
        <v>2017</v>
      </c>
      <c r="B164" s="197" t="s">
        <v>5842</v>
      </c>
      <c r="C164" s="197">
        <v>2012</v>
      </c>
      <c r="D164" s="213" t="str">
        <f t="shared" si="2"/>
        <v>2017_2012</v>
      </c>
      <c r="E164" s="1267">
        <v>7.3943745833681102E-2</v>
      </c>
      <c r="F164" s="1278">
        <v>5.1322717137048503E-3</v>
      </c>
      <c r="G164" s="1248">
        <v>0.56139345660291695</v>
      </c>
      <c r="H164" s="1278">
        <v>3.6535528864745898E-2</v>
      </c>
      <c r="I164" s="1248">
        <v>1.26342039733136E-2</v>
      </c>
      <c r="J164" s="1278">
        <v>3.1506070484053298E-4</v>
      </c>
      <c r="K164" s="1248">
        <v>3.0000008613530701E-3</v>
      </c>
      <c r="L164" s="1250">
        <v>2.0000005742179701E-3</v>
      </c>
      <c r="M164" s="1273">
        <v>2.0000005742179701E-3</v>
      </c>
      <c r="N164" s="1248">
        <v>3.1850009128239903E-2</v>
      </c>
      <c r="O164" s="1249">
        <v>3.1850009128239903E-2</v>
      </c>
      <c r="P164" s="1251">
        <v>1.5925004564119952E-2</v>
      </c>
      <c r="Q164" s="1252">
        <v>1.3205466613537E-2</v>
      </c>
    </row>
    <row r="165" spans="1:17" s="212" customFormat="1" ht="15.5" x14ac:dyDescent="0.35">
      <c r="A165" s="198">
        <v>2017</v>
      </c>
      <c r="B165" s="197" t="s">
        <v>5842</v>
      </c>
      <c r="C165" s="197">
        <v>2013</v>
      </c>
      <c r="D165" s="213" t="str">
        <f t="shared" si="2"/>
        <v>2017_2013</v>
      </c>
      <c r="E165" s="1267">
        <v>7.1743936779196299E-2</v>
      </c>
      <c r="F165" s="1278">
        <v>5.2863462639506703E-3</v>
      </c>
      <c r="G165" s="1248">
        <v>0.53110187743447002</v>
      </c>
      <c r="H165" s="1278">
        <v>3.7237809701541003E-2</v>
      </c>
      <c r="I165" s="1248">
        <v>1.1284651881488699E-2</v>
      </c>
      <c r="J165" s="1278">
        <v>4.7206483894385E-4</v>
      </c>
      <c r="K165" s="1248">
        <v>3.0000008613488599E-3</v>
      </c>
      <c r="L165" s="1250">
        <v>2.00000057423305E-3</v>
      </c>
      <c r="M165" s="1273">
        <v>2.00000057423305E-3</v>
      </c>
      <c r="N165" s="1248">
        <v>3.1850009128239903E-2</v>
      </c>
      <c r="O165" s="1249">
        <v>3.1850009128239903E-2</v>
      </c>
      <c r="P165" s="1251">
        <v>1.5925004564119952E-2</v>
      </c>
      <c r="Q165" s="1252">
        <v>1.17948937646686E-2</v>
      </c>
    </row>
    <row r="166" spans="1:17" s="212" customFormat="1" ht="15.5" x14ac:dyDescent="0.35">
      <c r="A166" s="198">
        <v>2017</v>
      </c>
      <c r="B166" s="197" t="s">
        <v>5842</v>
      </c>
      <c r="C166" s="197">
        <v>2014</v>
      </c>
      <c r="D166" s="213" t="str">
        <f t="shared" si="2"/>
        <v>2017_2014</v>
      </c>
      <c r="E166" s="1267">
        <v>6.9714891411086902E-2</v>
      </c>
      <c r="F166" s="1278">
        <v>5.6362509702123104E-3</v>
      </c>
      <c r="G166" s="1248">
        <v>0.50162962081594997</v>
      </c>
      <c r="H166" s="1278">
        <v>4.0192910327317401E-2</v>
      </c>
      <c r="I166" s="1248">
        <v>9.9162527795569194E-3</v>
      </c>
      <c r="J166" s="1278">
        <v>6.57517722893195E-4</v>
      </c>
      <c r="K166" s="1248">
        <v>3.0000008613162098E-3</v>
      </c>
      <c r="L166" s="1250">
        <v>2.00000057420844E-3</v>
      </c>
      <c r="M166" s="1273">
        <v>2.00000057420844E-3</v>
      </c>
      <c r="N166" s="1248">
        <v>3.1850009128239903E-2</v>
      </c>
      <c r="O166" s="1249">
        <v>3.1850009128239903E-2</v>
      </c>
      <c r="P166" s="1251">
        <v>1.5925004564119952E-2</v>
      </c>
      <c r="Q166" s="1252">
        <v>1.03646217275284E-2</v>
      </c>
    </row>
    <row r="167" spans="1:17" s="212" customFormat="1" ht="15.5" x14ac:dyDescent="0.35">
      <c r="A167" s="198">
        <v>2017</v>
      </c>
      <c r="B167" s="197" t="s">
        <v>5842</v>
      </c>
      <c r="C167" s="197">
        <v>2015</v>
      </c>
      <c r="D167" s="213" t="str">
        <f t="shared" si="2"/>
        <v>2017_2015</v>
      </c>
      <c r="E167" s="1267">
        <v>6.7532611883414403E-2</v>
      </c>
      <c r="F167" s="1278">
        <v>6.41043423376963E-3</v>
      </c>
      <c r="G167" s="1248">
        <v>0.47053532615312399</v>
      </c>
      <c r="H167" s="1278">
        <v>4.5007982534407701E-2</v>
      </c>
      <c r="I167" s="1248">
        <v>8.4801104324038392E-3</v>
      </c>
      <c r="J167" s="1278">
        <v>8.3131282140904502E-4</v>
      </c>
      <c r="K167" s="1248">
        <v>3.0000008613002799E-3</v>
      </c>
      <c r="L167" s="1250">
        <v>2.0000005742395301E-3</v>
      </c>
      <c r="M167" s="1273">
        <v>2.0000005742395301E-3</v>
      </c>
      <c r="N167" s="1248">
        <v>3.1850009128239903E-2</v>
      </c>
      <c r="O167" s="1249">
        <v>3.1850009128239903E-2</v>
      </c>
      <c r="P167" s="1251">
        <v>1.5925004564119952E-2</v>
      </c>
      <c r="Q167" s="1252">
        <v>8.8635433962244194E-3</v>
      </c>
    </row>
    <row r="168" spans="1:17" s="212" customFormat="1" ht="15.5" x14ac:dyDescent="0.35">
      <c r="A168" s="198">
        <v>2017</v>
      </c>
      <c r="B168" s="197" t="s">
        <v>5842</v>
      </c>
      <c r="C168" s="197">
        <v>2016</v>
      </c>
      <c r="D168" s="213" t="str">
        <f t="shared" si="2"/>
        <v>2017_2016</v>
      </c>
      <c r="E168" s="1267">
        <v>6.5310032495968895E-2</v>
      </c>
      <c r="F168" s="1278">
        <v>6.4650183142898098E-3</v>
      </c>
      <c r="G168" s="1248">
        <v>0.38709603205376197</v>
      </c>
      <c r="H168" s="1278">
        <v>4.7070221413820397E-2</v>
      </c>
      <c r="I168" s="1248">
        <v>6.9874375664410703E-3</v>
      </c>
      <c r="J168" s="1278">
        <v>9.5387008740405199E-4</v>
      </c>
      <c r="K168" s="1248">
        <v>3.0000008613045E-3</v>
      </c>
      <c r="L168" s="1250">
        <v>2.0000005742086902E-3</v>
      </c>
      <c r="M168" s="1273">
        <v>2.0000005742086902E-3</v>
      </c>
      <c r="N168" s="1248">
        <v>3.1850009128239903E-2</v>
      </c>
      <c r="O168" s="1249">
        <v>3.1850009128239903E-2</v>
      </c>
      <c r="P168" s="1251">
        <v>1.5925004564119952E-2</v>
      </c>
      <c r="Q168" s="1252">
        <v>7.3033784869005504E-3</v>
      </c>
    </row>
    <row r="169" spans="1:17" s="212" customFormat="1" ht="15.5" x14ac:dyDescent="0.35">
      <c r="A169" s="198">
        <v>2017</v>
      </c>
      <c r="B169" s="197" t="s">
        <v>5842</v>
      </c>
      <c r="C169" s="197">
        <v>2017</v>
      </c>
      <c r="D169" s="213" t="str">
        <f t="shared" si="2"/>
        <v>2017_2017</v>
      </c>
      <c r="E169" s="1267">
        <v>6.3090292980773899E-2</v>
      </c>
      <c r="F169" s="1278">
        <v>5.8875564886804602E-3</v>
      </c>
      <c r="G169" s="1248">
        <v>0.31074105123428802</v>
      </c>
      <c r="H169" s="1278">
        <v>4.1975591194850698E-2</v>
      </c>
      <c r="I169" s="1248">
        <v>5.4441388625196202E-3</v>
      </c>
      <c r="J169" s="1278">
        <v>1.0255962673911699E-3</v>
      </c>
      <c r="K169" s="1248">
        <v>3.0000008612848998E-3</v>
      </c>
      <c r="L169" s="1250">
        <v>2.00000057419456E-3</v>
      </c>
      <c r="M169" s="1273">
        <v>2.00000057419456E-3</v>
      </c>
      <c r="N169" s="1248">
        <v>3.1850009128239903E-2</v>
      </c>
      <c r="O169" s="1249">
        <v>3.1850009128239903E-2</v>
      </c>
      <c r="P169" s="1251">
        <v>1.5925004564119952E-2</v>
      </c>
      <c r="Q169" s="1252">
        <v>5.6902986638743399E-3</v>
      </c>
    </row>
    <row r="170" spans="1:17" s="212" customFormat="1" ht="15.5" x14ac:dyDescent="0.35">
      <c r="A170" s="198">
        <v>2017</v>
      </c>
      <c r="B170" s="197" t="s">
        <v>5842</v>
      </c>
      <c r="C170" s="197">
        <v>2018</v>
      </c>
      <c r="D170" s="213" t="str">
        <f t="shared" si="2"/>
        <v>2017_2018</v>
      </c>
      <c r="E170" s="1268">
        <v>6.3090292980773899E-2</v>
      </c>
      <c r="F170" s="1279">
        <v>5.8875564886804602E-3</v>
      </c>
      <c r="G170" s="1255">
        <v>0.31074105123428802</v>
      </c>
      <c r="H170" s="1279">
        <v>4.1975591194850698E-2</v>
      </c>
      <c r="I170" s="1255">
        <v>5.4441388625196202E-3</v>
      </c>
      <c r="J170" s="1279">
        <v>1.0255962673911699E-3</v>
      </c>
      <c r="K170" s="1255">
        <v>3.0000008612848998E-3</v>
      </c>
      <c r="L170" s="1253">
        <v>2.00000057419456E-3</v>
      </c>
      <c r="M170" s="1274">
        <v>2.00000057419456E-3</v>
      </c>
      <c r="N170" s="1255">
        <v>3.1850009128239903E-2</v>
      </c>
      <c r="O170" s="1256">
        <v>3.1850009128239903E-2</v>
      </c>
      <c r="P170" s="1259">
        <v>1.5925004564119952E-2</v>
      </c>
      <c r="Q170" s="1254">
        <v>5.6902986638743399E-3</v>
      </c>
    </row>
    <row r="171" spans="1:17" s="212" customFormat="1" ht="15.5" x14ac:dyDescent="0.35">
      <c r="A171" s="198">
        <v>2018</v>
      </c>
      <c r="B171" s="197" t="s">
        <v>5842</v>
      </c>
      <c r="C171" s="197">
        <v>1971</v>
      </c>
      <c r="D171" s="213" t="str">
        <f t="shared" si="2"/>
        <v>2018_1971</v>
      </c>
      <c r="E171" s="1268">
        <v>0.26059041396940102</v>
      </c>
      <c r="F171" s="1279">
        <v>4.8677315266502701</v>
      </c>
      <c r="G171" s="1255">
        <v>5.7163760936051498</v>
      </c>
      <c r="H171" s="1279">
        <v>2.1005254556178601</v>
      </c>
      <c r="I171" s="1255">
        <v>0.196990438487576</v>
      </c>
      <c r="J171" s="1279">
        <v>4.3075602648928901E-2</v>
      </c>
      <c r="K171" s="1255">
        <v>3.00000086053008E-3</v>
      </c>
      <c r="L171" s="1253">
        <v>2.0000005741707102E-3</v>
      </c>
      <c r="M171" s="1274">
        <v>2.0000005741707102E-3</v>
      </c>
      <c r="N171" s="1255">
        <v>3.1850009128239903E-2</v>
      </c>
      <c r="O171" s="1256">
        <v>3.1850009128239903E-2</v>
      </c>
      <c r="P171" s="1259">
        <v>1.5925004564119952E-2</v>
      </c>
      <c r="Q171" s="1254">
        <v>0.20589747198385999</v>
      </c>
    </row>
    <row r="172" spans="1:17" s="212" customFormat="1" ht="15.5" x14ac:dyDescent="0.35">
      <c r="A172" s="198">
        <v>2018</v>
      </c>
      <c r="B172" s="197" t="s">
        <v>5842</v>
      </c>
      <c r="C172" s="197">
        <v>1972</v>
      </c>
      <c r="D172" s="213" t="str">
        <f t="shared" si="2"/>
        <v>2018_1972</v>
      </c>
      <c r="E172" s="1268">
        <v>0.26059041396940102</v>
      </c>
      <c r="F172" s="1279">
        <v>4.8677315266502701</v>
      </c>
      <c r="G172" s="1255">
        <v>5.7163760936051498</v>
      </c>
      <c r="H172" s="1279">
        <v>2.1005254556178601</v>
      </c>
      <c r="I172" s="1255">
        <v>0.196990438487576</v>
      </c>
      <c r="J172" s="1279">
        <v>4.3075602648928901E-2</v>
      </c>
      <c r="K172" s="1255">
        <v>3.00000086053008E-3</v>
      </c>
      <c r="L172" s="1253">
        <v>2.0000005741707102E-3</v>
      </c>
      <c r="M172" s="1274">
        <v>2.0000005741707102E-3</v>
      </c>
      <c r="N172" s="1255">
        <v>3.1850009128239903E-2</v>
      </c>
      <c r="O172" s="1256">
        <v>3.1850009128239903E-2</v>
      </c>
      <c r="P172" s="1259">
        <v>1.5925004564119952E-2</v>
      </c>
      <c r="Q172" s="1254">
        <v>0.20589747198385999</v>
      </c>
    </row>
    <row r="173" spans="1:17" s="212" customFormat="1" ht="15.5" x14ac:dyDescent="0.35">
      <c r="A173" s="198">
        <v>2018</v>
      </c>
      <c r="B173" s="197" t="s">
        <v>5842</v>
      </c>
      <c r="C173" s="197">
        <v>1973</v>
      </c>
      <c r="D173" s="213" t="str">
        <f t="shared" si="2"/>
        <v>2018_1973</v>
      </c>
      <c r="E173" s="1268">
        <v>0.26059041396940102</v>
      </c>
      <c r="F173" s="1279">
        <v>4.8677315266502701</v>
      </c>
      <c r="G173" s="1255">
        <v>5.7163760936051498</v>
      </c>
      <c r="H173" s="1279">
        <v>2.1005254556178601</v>
      </c>
      <c r="I173" s="1255">
        <v>0.196990438487576</v>
      </c>
      <c r="J173" s="1279">
        <v>4.3075602648928901E-2</v>
      </c>
      <c r="K173" s="1255">
        <v>3.00000086053008E-3</v>
      </c>
      <c r="L173" s="1253">
        <v>2.0000005741707102E-3</v>
      </c>
      <c r="M173" s="1274">
        <v>2.0000005741707102E-3</v>
      </c>
      <c r="N173" s="1255">
        <v>3.1850009128239903E-2</v>
      </c>
      <c r="O173" s="1256">
        <v>3.1850009128239903E-2</v>
      </c>
      <c r="P173" s="1259">
        <v>1.5925004564119952E-2</v>
      </c>
      <c r="Q173" s="1254">
        <v>0.20589747198385999</v>
      </c>
    </row>
    <row r="174" spans="1:17" s="212" customFormat="1" ht="15.5" x14ac:dyDescent="0.35">
      <c r="A174" s="198">
        <v>2018</v>
      </c>
      <c r="B174" s="197" t="s">
        <v>5842</v>
      </c>
      <c r="C174" s="197">
        <v>1974</v>
      </c>
      <c r="D174" s="213" t="str">
        <f t="shared" si="2"/>
        <v>2018_1974</v>
      </c>
      <c r="E174" s="1267">
        <v>0.26059041396940102</v>
      </c>
      <c r="F174" s="1278">
        <v>4.8677315266502701</v>
      </c>
      <c r="G174" s="1248">
        <v>5.7163760936051498</v>
      </c>
      <c r="H174" s="1278">
        <v>2.1005254556178601</v>
      </c>
      <c r="I174" s="1248">
        <v>0.196990438487576</v>
      </c>
      <c r="J174" s="1278">
        <v>4.3075602648928901E-2</v>
      </c>
      <c r="K174" s="1248">
        <v>3.00000086053008E-3</v>
      </c>
      <c r="L174" s="1250">
        <v>2.0000005741707102E-3</v>
      </c>
      <c r="M174" s="1273">
        <v>2.0000005741707102E-3</v>
      </c>
      <c r="N174" s="1248">
        <v>3.1850009128239903E-2</v>
      </c>
      <c r="O174" s="1249">
        <v>3.1850009128239903E-2</v>
      </c>
      <c r="P174" s="1251">
        <v>1.5925004564119952E-2</v>
      </c>
      <c r="Q174" s="1252">
        <v>0.20589747198385999</v>
      </c>
    </row>
    <row r="175" spans="1:17" s="212" customFormat="1" ht="15.5" x14ac:dyDescent="0.35">
      <c r="A175" s="198">
        <v>2018</v>
      </c>
      <c r="B175" s="197" t="s">
        <v>5842</v>
      </c>
      <c r="C175" s="197">
        <v>1975</v>
      </c>
      <c r="D175" s="213" t="str">
        <f t="shared" si="2"/>
        <v>2018_1975</v>
      </c>
      <c r="E175" s="1267">
        <v>0.30832120950277198</v>
      </c>
      <c r="F175" s="1278">
        <v>4.3093112156563498</v>
      </c>
      <c r="G175" s="1248">
        <v>4.98629778523458</v>
      </c>
      <c r="H175" s="1278">
        <v>2.1187093279614602</v>
      </c>
      <c r="I175" s="1248">
        <v>0.23298570164518401</v>
      </c>
      <c r="J175" s="1278">
        <v>4.4000929580410297E-2</v>
      </c>
      <c r="K175" s="1248">
        <v>3.00000086099439E-3</v>
      </c>
      <c r="L175" s="1250">
        <v>2.00000057429878E-3</v>
      </c>
      <c r="M175" s="1273">
        <v>2.00000057429878E-3</v>
      </c>
      <c r="N175" s="1248">
        <v>3.1850009128239903E-2</v>
      </c>
      <c r="O175" s="1249">
        <v>3.1850009128239903E-2</v>
      </c>
      <c r="P175" s="1251">
        <v>1.5925004564119952E-2</v>
      </c>
      <c r="Q175" s="1252">
        <v>0.24352028121484001</v>
      </c>
    </row>
    <row r="176" spans="1:17" s="212" customFormat="1" ht="15.5" x14ac:dyDescent="0.35">
      <c r="A176" s="198">
        <v>2018</v>
      </c>
      <c r="B176" s="197" t="s">
        <v>5842</v>
      </c>
      <c r="C176" s="197">
        <v>1976</v>
      </c>
      <c r="D176" s="213" t="str">
        <f t="shared" si="2"/>
        <v>2018_1976</v>
      </c>
      <c r="E176" s="1267">
        <v>0.24599991102829999</v>
      </c>
      <c r="F176" s="1278">
        <v>4.8381321221326097</v>
      </c>
      <c r="G176" s="1248">
        <v>4.9125413744940296</v>
      </c>
      <c r="H176" s="1278">
        <v>2.3433169033450301</v>
      </c>
      <c r="I176" s="1248">
        <v>0.185418710247054</v>
      </c>
      <c r="J176" s="1278">
        <v>4.5526713435326598E-2</v>
      </c>
      <c r="K176" s="1248">
        <v>3.0000008624195299E-3</v>
      </c>
      <c r="L176" s="1250">
        <v>2.0000005744768598E-3</v>
      </c>
      <c r="M176" s="1273">
        <v>2.0000005744768598E-3</v>
      </c>
      <c r="N176" s="1248">
        <v>3.1850009128239903E-2</v>
      </c>
      <c r="O176" s="1249">
        <v>3.1850009128239903E-2</v>
      </c>
      <c r="P176" s="1251">
        <v>1.5925004564119952E-2</v>
      </c>
      <c r="Q176" s="1252">
        <v>0.19380252154108399</v>
      </c>
    </row>
    <row r="177" spans="1:17" s="212" customFormat="1" ht="15.5" x14ac:dyDescent="0.35">
      <c r="A177" s="198">
        <v>2018</v>
      </c>
      <c r="B177" s="197" t="s">
        <v>5842</v>
      </c>
      <c r="C177" s="197">
        <v>1977</v>
      </c>
      <c r="D177" s="213" t="str">
        <f t="shared" si="2"/>
        <v>2018_1977</v>
      </c>
      <c r="E177" s="1267">
        <v>0.21799522944066199</v>
      </c>
      <c r="F177" s="1278">
        <v>2.5950431073573599</v>
      </c>
      <c r="G177" s="1248">
        <v>5.2846385322904599</v>
      </c>
      <c r="H177" s="1278">
        <v>4.3924424857023796</v>
      </c>
      <c r="I177" s="1248">
        <v>0.16431060529224401</v>
      </c>
      <c r="J177" s="1278">
        <v>1.54229890501649E-2</v>
      </c>
      <c r="K177" s="1248">
        <v>3.0000008610763201E-3</v>
      </c>
      <c r="L177" s="1250">
        <v>2.0000005741862702E-3</v>
      </c>
      <c r="M177" s="1273">
        <v>2.0000005741862702E-3</v>
      </c>
      <c r="N177" s="1248">
        <v>3.1850009128239903E-2</v>
      </c>
      <c r="O177" s="1249">
        <v>3.1850009128239903E-2</v>
      </c>
      <c r="P177" s="1251">
        <v>1.5925004564119952E-2</v>
      </c>
      <c r="Q177" s="1252">
        <v>0.17174000174604701</v>
      </c>
    </row>
    <row r="178" spans="1:17" s="212" customFormat="1" ht="15.5" x14ac:dyDescent="0.35">
      <c r="A178" s="198">
        <v>2018</v>
      </c>
      <c r="B178" s="197" t="s">
        <v>5842</v>
      </c>
      <c r="C178" s="197">
        <v>1978</v>
      </c>
      <c r="D178" s="213" t="str">
        <f t="shared" si="2"/>
        <v>2018_1978</v>
      </c>
      <c r="E178" s="1267">
        <v>0.22590410636665101</v>
      </c>
      <c r="F178" s="1278">
        <v>2.7180315870341101</v>
      </c>
      <c r="G178" s="1248">
        <v>5.1838436650673403</v>
      </c>
      <c r="H178" s="1278">
        <v>4.5718747574796099</v>
      </c>
      <c r="I178" s="1248">
        <v>0.17027180159101399</v>
      </c>
      <c r="J178" s="1278">
        <v>1.6300668905120001E-2</v>
      </c>
      <c r="K178" s="1248">
        <v>3.0000008614308898E-3</v>
      </c>
      <c r="L178" s="1250">
        <v>2.0000005743409399E-3</v>
      </c>
      <c r="M178" s="1273">
        <v>2.0000005743409399E-3</v>
      </c>
      <c r="N178" s="1248">
        <v>3.1850009128239903E-2</v>
      </c>
      <c r="O178" s="1249">
        <v>3.1850009128239903E-2</v>
      </c>
      <c r="P178" s="1251">
        <v>1.5925004564119952E-2</v>
      </c>
      <c r="Q178" s="1252">
        <v>0.17797073688903001</v>
      </c>
    </row>
    <row r="179" spans="1:17" s="212" customFormat="1" ht="15.5" x14ac:dyDescent="0.35">
      <c r="A179" s="198">
        <v>2018</v>
      </c>
      <c r="B179" s="197" t="s">
        <v>5842</v>
      </c>
      <c r="C179" s="197">
        <v>1979</v>
      </c>
      <c r="D179" s="213" t="str">
        <f t="shared" si="2"/>
        <v>2018_1979</v>
      </c>
      <c r="E179" s="1267">
        <v>0.24845380092334701</v>
      </c>
      <c r="F179" s="1278">
        <v>2.5852544076803299</v>
      </c>
      <c r="G179" s="1248">
        <v>4.86973231657052</v>
      </c>
      <c r="H179" s="1278">
        <v>4.2320697545012296</v>
      </c>
      <c r="I179" s="1248">
        <v>0.18726829262099001</v>
      </c>
      <c r="J179" s="1278">
        <v>1.56247851961173E-2</v>
      </c>
      <c r="K179" s="1248">
        <v>3.0000008624566699E-3</v>
      </c>
      <c r="L179" s="1250">
        <v>2.0000005739780201E-3</v>
      </c>
      <c r="M179" s="1273">
        <v>2.0000005739780201E-3</v>
      </c>
      <c r="N179" s="1248">
        <v>3.1850009128239903E-2</v>
      </c>
      <c r="O179" s="1249">
        <v>3.1850009128239903E-2</v>
      </c>
      <c r="P179" s="1251">
        <v>1.5925004564119952E-2</v>
      </c>
      <c r="Q179" s="1252">
        <v>0.19573573382257001</v>
      </c>
    </row>
    <row r="180" spans="1:17" s="212" customFormat="1" ht="15.5" x14ac:dyDescent="0.35">
      <c r="A180" s="198">
        <v>2018</v>
      </c>
      <c r="B180" s="197" t="s">
        <v>5842</v>
      </c>
      <c r="C180" s="197">
        <v>1980</v>
      </c>
      <c r="D180" s="213" t="str">
        <f t="shared" si="2"/>
        <v>2018_1980</v>
      </c>
      <c r="E180" s="1267">
        <v>0.199224610516825</v>
      </c>
      <c r="F180" s="1278">
        <v>2.51748270985824</v>
      </c>
      <c r="G180" s="1248">
        <v>5.5458882232916098</v>
      </c>
      <c r="H180" s="1278">
        <v>3.7865099083234202</v>
      </c>
      <c r="I180" s="1248">
        <v>0.15016253533218399</v>
      </c>
      <c r="J180" s="1278">
        <v>1.51548362609546E-2</v>
      </c>
      <c r="K180" s="1248">
        <v>3.0000008602258398E-3</v>
      </c>
      <c r="L180" s="1250">
        <v>2.0000005742248301E-3</v>
      </c>
      <c r="M180" s="1273">
        <v>2.0000005742248301E-3</v>
      </c>
      <c r="N180" s="1248">
        <v>3.1850009128239903E-2</v>
      </c>
      <c r="O180" s="1249">
        <v>3.1850009128239903E-2</v>
      </c>
      <c r="P180" s="1251">
        <v>1.5925004564119952E-2</v>
      </c>
      <c r="Q180" s="1252">
        <v>0.15695221884352401</v>
      </c>
    </row>
    <row r="181" spans="1:17" s="212" customFormat="1" ht="15.5" x14ac:dyDescent="0.35">
      <c r="A181" s="198">
        <v>2018</v>
      </c>
      <c r="B181" s="197" t="s">
        <v>5842</v>
      </c>
      <c r="C181" s="197">
        <v>1981</v>
      </c>
      <c r="D181" s="213" t="str">
        <f t="shared" si="2"/>
        <v>2018_1981</v>
      </c>
      <c r="E181" s="1268">
        <v>0.2137344494084735</v>
      </c>
      <c r="F181" s="1278">
        <v>2.6549250013953798</v>
      </c>
      <c r="G181" s="1271">
        <v>5.3678953587509195</v>
      </c>
      <c r="H181" s="1278">
        <v>4.26146316510214</v>
      </c>
      <c r="I181" s="1255">
        <v>0.161099106820913</v>
      </c>
      <c r="J181" s="1278">
        <v>1.54627737002569E-2</v>
      </c>
      <c r="K181" s="1255">
        <v>3.00000086080237E-3</v>
      </c>
      <c r="L181" s="1250">
        <v>2.00000057419267E-3</v>
      </c>
      <c r="M181" s="1273">
        <v>2.00000057419267E-3</v>
      </c>
      <c r="N181" s="1255">
        <v>3.1850009128239903E-2</v>
      </c>
      <c r="O181" s="1249">
        <v>3.1850009128239903E-2</v>
      </c>
      <c r="P181" s="1251">
        <v>1.5925004564119952E-2</v>
      </c>
      <c r="Q181" s="1254">
        <v>0.16838329356465601</v>
      </c>
    </row>
    <row r="182" spans="1:17" s="212" customFormat="1" ht="15.5" x14ac:dyDescent="0.35">
      <c r="A182" s="198">
        <v>2018</v>
      </c>
      <c r="B182" s="197" t="s">
        <v>5842</v>
      </c>
      <c r="C182" s="197">
        <v>1982</v>
      </c>
      <c r="D182" s="213" t="str">
        <f t="shared" si="2"/>
        <v>2018_1982</v>
      </c>
      <c r="E182" s="1267">
        <v>0.228244288300122</v>
      </c>
      <c r="F182" s="1278">
        <v>2.53883405107872</v>
      </c>
      <c r="G182" s="1248">
        <v>5.1899024942102301</v>
      </c>
      <c r="H182" s="1278">
        <v>3.9361675343316702</v>
      </c>
      <c r="I182" s="1248">
        <v>0.172035678309642</v>
      </c>
      <c r="J182" s="1278">
        <v>1.4931002387842099E-2</v>
      </c>
      <c r="K182" s="1248">
        <v>3.0000008613789001E-3</v>
      </c>
      <c r="L182" s="1250">
        <v>2.0000005739800701E-3</v>
      </c>
      <c r="M182" s="1273">
        <v>2.0000005739800701E-3</v>
      </c>
      <c r="N182" s="1248">
        <v>3.1850009128239903E-2</v>
      </c>
      <c r="O182" s="1249">
        <v>3.1850009128239903E-2</v>
      </c>
      <c r="P182" s="1251">
        <v>1.5925004564119952E-2</v>
      </c>
      <c r="Q182" s="1252">
        <v>0.17981436828578801</v>
      </c>
    </row>
    <row r="183" spans="1:17" s="212" customFormat="1" ht="15.5" x14ac:dyDescent="0.35">
      <c r="A183" s="198">
        <v>2018</v>
      </c>
      <c r="B183" s="197" t="s">
        <v>5842</v>
      </c>
      <c r="C183" s="197">
        <v>1983</v>
      </c>
      <c r="D183" s="213" t="str">
        <f t="shared" si="2"/>
        <v>2018_1983</v>
      </c>
      <c r="E183" s="1267">
        <v>0.21532930772435699</v>
      </c>
      <c r="F183" s="1278">
        <v>2.4490244879413199</v>
      </c>
      <c r="G183" s="1248">
        <v>5.3388090037009501</v>
      </c>
      <c r="H183" s="1278">
        <v>4.4623060035869697</v>
      </c>
      <c r="I183" s="1248">
        <v>0.162301207141689</v>
      </c>
      <c r="J183" s="1278">
        <v>1.60606677204953E-2</v>
      </c>
      <c r="K183" s="1248">
        <v>3.0000008608361099E-3</v>
      </c>
      <c r="L183" s="1250">
        <v>2.0000005743052202E-3</v>
      </c>
      <c r="M183" s="1273">
        <v>2.0000005743052202E-3</v>
      </c>
      <c r="N183" s="1248">
        <v>3.1850009128239903E-2</v>
      </c>
      <c r="O183" s="1249">
        <v>3.1850009128239903E-2</v>
      </c>
      <c r="P183" s="1251">
        <v>1.5925004564119952E-2</v>
      </c>
      <c r="Q183" s="1252">
        <v>0.16963974752769601</v>
      </c>
    </row>
    <row r="184" spans="1:17" s="212" customFormat="1" ht="15.5" x14ac:dyDescent="0.35">
      <c r="A184" s="198">
        <v>2018</v>
      </c>
      <c r="B184" s="197" t="s">
        <v>5842</v>
      </c>
      <c r="C184" s="197">
        <v>1984</v>
      </c>
      <c r="D184" s="213" t="str">
        <f t="shared" si="2"/>
        <v>2018_1984</v>
      </c>
      <c r="E184" s="1267">
        <v>0.220476691700634</v>
      </c>
      <c r="F184" s="1278">
        <v>1.6921357102763599</v>
      </c>
      <c r="G184" s="1248">
        <v>5.2716322189325702</v>
      </c>
      <c r="H184" s="1278">
        <v>3.6186513857176399</v>
      </c>
      <c r="I184" s="1248">
        <v>0.166180969918993</v>
      </c>
      <c r="J184" s="1278">
        <v>1.5934996168563E-2</v>
      </c>
      <c r="K184" s="1248">
        <v>3.00000086105961E-3</v>
      </c>
      <c r="L184" s="1250">
        <v>2.0000005743252601E-3</v>
      </c>
      <c r="M184" s="1273">
        <v>2.0000005743252601E-3</v>
      </c>
      <c r="N184" s="1248">
        <v>3.1850009128239903E-2</v>
      </c>
      <c r="O184" s="1249">
        <v>3.1850009128239903E-2</v>
      </c>
      <c r="P184" s="1251">
        <v>1.5925004564119952E-2</v>
      </c>
      <c r="Q184" s="1252">
        <v>0.17369493596159699</v>
      </c>
    </row>
    <row r="185" spans="1:17" s="212" customFormat="1" ht="15.5" x14ac:dyDescent="0.35">
      <c r="A185" s="198">
        <v>2018</v>
      </c>
      <c r="B185" s="197" t="s">
        <v>5842</v>
      </c>
      <c r="C185" s="197">
        <v>1985</v>
      </c>
      <c r="D185" s="213" t="str">
        <f t="shared" si="2"/>
        <v>2018_1985</v>
      </c>
      <c r="E185" s="1267">
        <v>0.235640569133553</v>
      </c>
      <c r="F185" s="1278">
        <v>2.0506054198147701</v>
      </c>
      <c r="G185" s="1248">
        <v>5.0603408147508997</v>
      </c>
      <c r="H185" s="1278">
        <v>3.95122617314451</v>
      </c>
      <c r="I185" s="1248">
        <v>0.17761051306070899</v>
      </c>
      <c r="J185" s="1278">
        <v>1.55000305120256E-2</v>
      </c>
      <c r="K185" s="1248">
        <v>3.00000086168973E-3</v>
      </c>
      <c r="L185" s="1250">
        <v>2.0000005741398199E-3</v>
      </c>
      <c r="M185" s="1273">
        <v>2.0000005741398199E-3</v>
      </c>
      <c r="N185" s="1248">
        <v>3.1850009128239903E-2</v>
      </c>
      <c r="O185" s="1249">
        <v>3.1850009128239903E-2</v>
      </c>
      <c r="P185" s="1251">
        <v>1.5925004564119952E-2</v>
      </c>
      <c r="Q185" s="1252">
        <v>0.18564127232633501</v>
      </c>
    </row>
    <row r="186" spans="1:17" s="212" customFormat="1" ht="15.5" x14ac:dyDescent="0.35">
      <c r="A186" s="198">
        <v>2018</v>
      </c>
      <c r="B186" s="197" t="s">
        <v>5842</v>
      </c>
      <c r="C186" s="197">
        <v>1986</v>
      </c>
      <c r="D186" s="213" t="str">
        <f t="shared" si="2"/>
        <v>2018_1986</v>
      </c>
      <c r="E186" s="1267">
        <v>0.22696572790573399</v>
      </c>
      <c r="F186" s="1278">
        <v>1.61254420099778</v>
      </c>
      <c r="G186" s="1248">
        <v>5.1875811183899101</v>
      </c>
      <c r="H186" s="1278">
        <v>4.2851803735418104</v>
      </c>
      <c r="I186" s="1248">
        <v>0.17107198276069099</v>
      </c>
      <c r="J186" s="1278">
        <v>1.5432309464974101E-2</v>
      </c>
      <c r="K186" s="1248">
        <v>3.0000008612615899E-3</v>
      </c>
      <c r="L186" s="1250">
        <v>2.0000005740785699E-3</v>
      </c>
      <c r="M186" s="1273">
        <v>2.0000005740785699E-3</v>
      </c>
      <c r="N186" s="1248">
        <v>3.1850009128239903E-2</v>
      </c>
      <c r="O186" s="1249">
        <v>3.1850009128239903E-2</v>
      </c>
      <c r="P186" s="1251">
        <v>1.5925004564119952E-2</v>
      </c>
      <c r="Q186" s="1252">
        <v>0.178807098700449</v>
      </c>
    </row>
    <row r="187" spans="1:17" s="212" customFormat="1" ht="15.5" x14ac:dyDescent="0.35">
      <c r="A187" s="198">
        <v>2018</v>
      </c>
      <c r="B187" s="197" t="s">
        <v>5842</v>
      </c>
      <c r="C187" s="197">
        <v>1987</v>
      </c>
      <c r="D187" s="213" t="str">
        <f t="shared" si="2"/>
        <v>2018_1987</v>
      </c>
      <c r="E187" s="1267">
        <v>0.28538435064269402</v>
      </c>
      <c r="F187" s="1278">
        <v>1.9872440750329701</v>
      </c>
      <c r="G187" s="1248">
        <v>5.2850162625789103</v>
      </c>
      <c r="H187" s="1278">
        <v>4.5101027430168896</v>
      </c>
      <c r="I187" s="1248">
        <v>0.19435745514567199</v>
      </c>
      <c r="J187" s="1278">
        <v>1.51664612899847E-2</v>
      </c>
      <c r="K187" s="1248">
        <v>3.0000008613173599E-3</v>
      </c>
      <c r="L187" s="1250">
        <v>2.00000057409973E-3</v>
      </c>
      <c r="M187" s="1273">
        <v>2.00000057409973E-3</v>
      </c>
      <c r="N187" s="1248">
        <v>3.1850009128239903E-2</v>
      </c>
      <c r="O187" s="1249">
        <v>3.1850009128239903E-2</v>
      </c>
      <c r="P187" s="1251">
        <v>1.5925004564119952E-2</v>
      </c>
      <c r="Q187" s="1252">
        <v>0.203145436818926</v>
      </c>
    </row>
    <row r="188" spans="1:17" s="212" customFormat="1" ht="15.5" x14ac:dyDescent="0.35">
      <c r="A188" s="198">
        <v>2018</v>
      </c>
      <c r="B188" s="197" t="s">
        <v>5842</v>
      </c>
      <c r="C188" s="197">
        <v>1988</v>
      </c>
      <c r="D188" s="213" t="str">
        <f t="shared" si="2"/>
        <v>2018_1988</v>
      </c>
      <c r="E188" s="1267">
        <v>0.27889677887780301</v>
      </c>
      <c r="F188" s="1278">
        <v>0.49065761792799201</v>
      </c>
      <c r="G188" s="1248">
        <v>5.3520199440808804</v>
      </c>
      <c r="H188" s="1278">
        <v>1.22085512563383</v>
      </c>
      <c r="I188" s="1248">
        <v>0.18993917525240001</v>
      </c>
      <c r="J188" s="1278">
        <v>1.3925497838722401E-2</v>
      </c>
      <c r="K188" s="1248">
        <v>3.0000008610557298E-3</v>
      </c>
      <c r="L188" s="1250">
        <v>2.0000005741702799E-3</v>
      </c>
      <c r="M188" s="1273">
        <v>2.0000005741702799E-3</v>
      </c>
      <c r="N188" s="1248">
        <v>3.1850009128239903E-2</v>
      </c>
      <c r="O188" s="1249">
        <v>3.1850009128239903E-2</v>
      </c>
      <c r="P188" s="1251">
        <v>1.5925004564119952E-2</v>
      </c>
      <c r="Q188" s="1252">
        <v>0.19852738191470601</v>
      </c>
    </row>
    <row r="189" spans="1:17" s="212" customFormat="1" ht="15.5" x14ac:dyDescent="0.35">
      <c r="A189" s="198">
        <v>2018</v>
      </c>
      <c r="B189" s="197" t="s">
        <v>5842</v>
      </c>
      <c r="C189" s="197">
        <v>1989</v>
      </c>
      <c r="D189" s="213" t="str">
        <f t="shared" si="2"/>
        <v>2018_1989</v>
      </c>
      <c r="E189" s="1267">
        <v>0.279682175829429</v>
      </c>
      <c r="F189" s="1278">
        <v>0.333165319575153</v>
      </c>
      <c r="G189" s="1248">
        <v>5.3548751747627401</v>
      </c>
      <c r="H189" s="1278">
        <v>1.65127521569493</v>
      </c>
      <c r="I189" s="1248">
        <v>0.19047406005758799</v>
      </c>
      <c r="J189" s="1278">
        <v>1.3642087086943601E-2</v>
      </c>
      <c r="K189" s="1248">
        <v>3.0000008611272399E-3</v>
      </c>
      <c r="L189" s="1250">
        <v>2.00000057411086E-3</v>
      </c>
      <c r="M189" s="1273">
        <v>2.00000057411086E-3</v>
      </c>
      <c r="N189" s="1248">
        <v>3.1850009128239903E-2</v>
      </c>
      <c r="O189" s="1249">
        <v>3.1850009128239903E-2</v>
      </c>
      <c r="P189" s="1251">
        <v>1.5925004564119952E-2</v>
      </c>
      <c r="Q189" s="1252">
        <v>0.199086451837269</v>
      </c>
    </row>
    <row r="190" spans="1:17" s="212" customFormat="1" ht="15.5" x14ac:dyDescent="0.35">
      <c r="A190" s="198">
        <v>2018</v>
      </c>
      <c r="B190" s="197" t="s">
        <v>5842</v>
      </c>
      <c r="C190" s="197">
        <v>1990</v>
      </c>
      <c r="D190" s="213" t="str">
        <f t="shared" si="2"/>
        <v>2018_1990</v>
      </c>
      <c r="E190" s="1267">
        <v>0.27975154323345403</v>
      </c>
      <c r="F190" s="1278">
        <v>0.44439971967256497</v>
      </c>
      <c r="G190" s="1248">
        <v>5.3595901278918898</v>
      </c>
      <c r="H190" s="1278">
        <v>1.6597781796266899</v>
      </c>
      <c r="I190" s="1248">
        <v>0.19052130186354499</v>
      </c>
      <c r="J190" s="1278">
        <v>1.39000786284122E-2</v>
      </c>
      <c r="K190" s="1248">
        <v>3.0000008611239201E-3</v>
      </c>
      <c r="L190" s="1250">
        <v>2.0000005741775198E-3</v>
      </c>
      <c r="M190" s="1273">
        <v>2.0000005741775198E-3</v>
      </c>
      <c r="N190" s="1248">
        <v>3.1850009128239903E-2</v>
      </c>
      <c r="O190" s="1249">
        <v>3.1850009128239903E-2</v>
      </c>
      <c r="P190" s="1251">
        <v>1.5925004564119952E-2</v>
      </c>
      <c r="Q190" s="1252">
        <v>0.19913582970805899</v>
      </c>
    </row>
    <row r="191" spans="1:17" s="212" customFormat="1" ht="15.5" x14ac:dyDescent="0.35">
      <c r="A191" s="198">
        <v>2018</v>
      </c>
      <c r="B191" s="197" t="s">
        <v>5842</v>
      </c>
      <c r="C191" s="197">
        <v>1991</v>
      </c>
      <c r="D191" s="213" t="str">
        <f t="shared" si="2"/>
        <v>2018_1991</v>
      </c>
      <c r="E191" s="1267">
        <v>0.36809342912816101</v>
      </c>
      <c r="F191" s="1278">
        <v>0.46467551935035201</v>
      </c>
      <c r="G191" s="1248">
        <v>9.3276911201452002</v>
      </c>
      <c r="H191" s="1278">
        <v>2.9029585839200598</v>
      </c>
      <c r="I191" s="1248">
        <v>5.2167410991429103E-2</v>
      </c>
      <c r="J191" s="1278">
        <v>7.4565424881169401E-3</v>
      </c>
      <c r="K191" s="1248">
        <v>3.0000008612805101E-3</v>
      </c>
      <c r="L191" s="1250">
        <v>2.00000057406723E-3</v>
      </c>
      <c r="M191" s="1273">
        <v>2.00000057406723E-3</v>
      </c>
      <c r="N191" s="1248">
        <v>3.1850009128239903E-2</v>
      </c>
      <c r="O191" s="1249">
        <v>3.1850009128239903E-2</v>
      </c>
      <c r="P191" s="1251">
        <v>1.5925004564119952E-2</v>
      </c>
      <c r="Q191" s="1252">
        <v>5.4526189827003697E-2</v>
      </c>
    </row>
    <row r="192" spans="1:17" s="212" customFormat="1" ht="15.5" x14ac:dyDescent="0.35">
      <c r="A192" s="198">
        <v>2018</v>
      </c>
      <c r="B192" s="197" t="s">
        <v>5842</v>
      </c>
      <c r="C192" s="197">
        <v>1992</v>
      </c>
      <c r="D192" s="213" t="str">
        <f t="shared" si="2"/>
        <v>2018_1992</v>
      </c>
      <c r="E192" s="1267">
        <v>0.36970269905255898</v>
      </c>
      <c r="F192" s="1278">
        <v>0.47167558935950099</v>
      </c>
      <c r="G192" s="1248">
        <v>9.3020843930333506</v>
      </c>
      <c r="H192" s="1278">
        <v>2.91738493584098</v>
      </c>
      <c r="I192" s="1248">
        <v>5.2395482016062797E-2</v>
      </c>
      <c r="J192" s="1278">
        <v>7.6029843672905696E-3</v>
      </c>
      <c r="K192" s="1248">
        <v>3.0000008613347102E-3</v>
      </c>
      <c r="L192" s="1250">
        <v>2.0000005741350399E-3</v>
      </c>
      <c r="M192" s="1273">
        <v>2.0000005741350399E-3</v>
      </c>
      <c r="N192" s="1248">
        <v>3.1850009128239903E-2</v>
      </c>
      <c r="O192" s="1249">
        <v>3.1850009128239903E-2</v>
      </c>
      <c r="P192" s="1251">
        <v>1.5925004564119952E-2</v>
      </c>
      <c r="Q192" s="1252">
        <v>5.4764573211321201E-2</v>
      </c>
    </row>
    <row r="193" spans="1:17" s="212" customFormat="1" ht="15.5" x14ac:dyDescent="0.35">
      <c r="A193" s="198">
        <v>2018</v>
      </c>
      <c r="B193" s="197" t="s">
        <v>5842</v>
      </c>
      <c r="C193" s="197">
        <v>1993</v>
      </c>
      <c r="D193" s="213" t="str">
        <f t="shared" si="2"/>
        <v>2018_1993</v>
      </c>
      <c r="E193" s="1267">
        <v>0.36968420773931199</v>
      </c>
      <c r="F193" s="1278">
        <v>0.46263810346475398</v>
      </c>
      <c r="G193" s="1248">
        <v>9.3033631621689405</v>
      </c>
      <c r="H193" s="1278">
        <v>2.8960324045597798</v>
      </c>
      <c r="I193" s="1248">
        <v>5.23928613663538E-2</v>
      </c>
      <c r="J193" s="1278">
        <v>7.4836900660208297E-3</v>
      </c>
      <c r="K193" s="1248">
        <v>3.0000008613343299E-3</v>
      </c>
      <c r="L193" s="1250">
        <v>2.0000005740848799E-3</v>
      </c>
      <c r="M193" s="1273">
        <v>2.0000005740848799E-3</v>
      </c>
      <c r="N193" s="1248">
        <v>3.1850009128239903E-2</v>
      </c>
      <c r="O193" s="1249">
        <v>3.1850009128239903E-2</v>
      </c>
      <c r="P193" s="1251">
        <v>1.5925004564119952E-2</v>
      </c>
      <c r="Q193" s="1252">
        <v>5.4761834067461303E-2</v>
      </c>
    </row>
    <row r="194" spans="1:17" s="212" customFormat="1" ht="15.5" x14ac:dyDescent="0.35">
      <c r="A194" s="198">
        <v>2018</v>
      </c>
      <c r="B194" s="197" t="s">
        <v>5842</v>
      </c>
      <c r="C194" s="197">
        <v>1994</v>
      </c>
      <c r="D194" s="213" t="str">
        <f t="shared" si="2"/>
        <v>2018_1994</v>
      </c>
      <c r="E194" s="1267">
        <v>0.36600898340916399</v>
      </c>
      <c r="F194" s="1278">
        <v>0.45673664553333498</v>
      </c>
      <c r="G194" s="1248">
        <v>9.3605247380924208</v>
      </c>
      <c r="H194" s="1278">
        <v>2.8829517002824598</v>
      </c>
      <c r="I194" s="1248">
        <v>5.2408230435253701E-2</v>
      </c>
      <c r="J194" s="1278">
        <v>7.4111037846210197E-3</v>
      </c>
      <c r="K194" s="1248">
        <v>3.0000008612940101E-3</v>
      </c>
      <c r="L194" s="1250">
        <v>2.0000005740661601E-3</v>
      </c>
      <c r="M194" s="1273">
        <v>2.0000005740661601E-3</v>
      </c>
      <c r="N194" s="1248">
        <v>3.1850009128239903E-2</v>
      </c>
      <c r="O194" s="1249">
        <v>3.1850009128239903E-2</v>
      </c>
      <c r="P194" s="1251">
        <v>1.5925004564119952E-2</v>
      </c>
      <c r="Q194" s="1252">
        <v>5.47778980574576E-2</v>
      </c>
    </row>
    <row r="195" spans="1:17" s="212" customFormat="1" ht="15.5" x14ac:dyDescent="0.35">
      <c r="A195" s="198">
        <v>2018</v>
      </c>
      <c r="B195" s="197" t="s">
        <v>5842</v>
      </c>
      <c r="C195" s="197">
        <v>1995</v>
      </c>
      <c r="D195" s="213" t="str">
        <f t="shared" si="2"/>
        <v>2018_1995</v>
      </c>
      <c r="E195" s="1267">
        <v>0.36776897964192601</v>
      </c>
      <c r="F195" s="1278">
        <v>0.24744652347575599</v>
      </c>
      <c r="G195" s="1248">
        <v>9.3346596574896594</v>
      </c>
      <c r="H195" s="1278">
        <v>1.65358398992669</v>
      </c>
      <c r="I195" s="1248">
        <v>5.2687478741815702E-2</v>
      </c>
      <c r="J195" s="1278">
        <v>4.9173029746804901E-3</v>
      </c>
      <c r="K195" s="1248">
        <v>3.0000008613026599E-3</v>
      </c>
      <c r="L195" s="1250">
        <v>2.0000005741580098E-3</v>
      </c>
      <c r="M195" s="1273">
        <v>2.0000005741580098E-3</v>
      </c>
      <c r="N195" s="1248">
        <v>3.1850009128239903E-2</v>
      </c>
      <c r="O195" s="1249">
        <v>3.1850009128239903E-2</v>
      </c>
      <c r="P195" s="1251">
        <v>1.5925004564119952E-2</v>
      </c>
      <c r="Q195" s="1252">
        <v>5.5069772733296399E-2</v>
      </c>
    </row>
    <row r="196" spans="1:17" s="212" customFormat="1" ht="15.5" x14ac:dyDescent="0.35">
      <c r="A196" s="198">
        <v>2018</v>
      </c>
      <c r="B196" s="197" t="s">
        <v>5842</v>
      </c>
      <c r="C196" s="197">
        <v>1996</v>
      </c>
      <c r="D196" s="213" t="str">
        <f t="shared" si="2"/>
        <v>2018_1996</v>
      </c>
      <c r="E196" s="1267">
        <v>0.36616605053752299</v>
      </c>
      <c r="F196" s="1278">
        <v>2.24245181691369E-2</v>
      </c>
      <c r="G196" s="1248">
        <v>9.3347797850701397</v>
      </c>
      <c r="H196" s="1278">
        <v>0.39205396253243902</v>
      </c>
      <c r="I196" s="1248">
        <v>5.2518388558043597E-2</v>
      </c>
      <c r="J196" s="1278">
        <v>2.1811462233867198E-3</v>
      </c>
      <c r="K196" s="1248">
        <v>3.00000086129391E-3</v>
      </c>
      <c r="L196" s="1250">
        <v>2.0000005741489602E-3</v>
      </c>
      <c r="M196" s="1273">
        <v>2.0000005741489602E-3</v>
      </c>
      <c r="N196" s="1248">
        <v>3.1850009128239903E-2</v>
      </c>
      <c r="O196" s="1249">
        <v>3.1850009128239903E-2</v>
      </c>
      <c r="P196" s="1251">
        <v>1.5925004564119952E-2</v>
      </c>
      <c r="Q196" s="1252">
        <v>5.4893037041740603E-2</v>
      </c>
    </row>
    <row r="197" spans="1:17" s="212" customFormat="1" ht="15.5" x14ac:dyDescent="0.35">
      <c r="A197" s="198">
        <v>2018</v>
      </c>
      <c r="B197" s="197" t="s">
        <v>5842</v>
      </c>
      <c r="C197" s="197">
        <v>1997</v>
      </c>
      <c r="D197" s="213" t="str">
        <f t="shared" si="2"/>
        <v>2018_1997</v>
      </c>
      <c r="E197" s="1267">
        <v>0.36622010448771403</v>
      </c>
      <c r="F197" s="1278">
        <v>2.1487342420234201E-2</v>
      </c>
      <c r="G197" s="1248">
        <v>9.2838051101409498</v>
      </c>
      <c r="H197" s="1278">
        <v>0.38473416917786302</v>
      </c>
      <c r="I197" s="1248">
        <v>5.2620968928565798E-2</v>
      </c>
      <c r="J197" s="1278">
        <v>2.0920485632069399E-3</v>
      </c>
      <c r="K197" s="1248">
        <v>3.00000086131322E-3</v>
      </c>
      <c r="L197" s="1250">
        <v>2.00000057403917E-3</v>
      </c>
      <c r="M197" s="1273">
        <v>2.00000057403917E-3</v>
      </c>
      <c r="N197" s="1248">
        <v>3.1850009128239903E-2</v>
      </c>
      <c r="O197" s="1249">
        <v>3.1850009128239903E-2</v>
      </c>
      <c r="P197" s="1251">
        <v>1.5925004564119952E-2</v>
      </c>
      <c r="Q197" s="1252">
        <v>5.5000255641424203E-2</v>
      </c>
    </row>
    <row r="198" spans="1:17" s="212" customFormat="1" ht="15.5" x14ac:dyDescent="0.35">
      <c r="A198" s="198">
        <v>2018</v>
      </c>
      <c r="B198" s="197" t="s">
        <v>5842</v>
      </c>
      <c r="C198" s="197">
        <v>1998</v>
      </c>
      <c r="D198" s="213" t="str">
        <f t="shared" si="2"/>
        <v>2018_1998</v>
      </c>
      <c r="E198" s="1267">
        <v>0.36383034302567502</v>
      </c>
      <c r="F198" s="1278">
        <v>2.19230707103979E-2</v>
      </c>
      <c r="G198" s="1248">
        <v>9.2858295042250507</v>
      </c>
      <c r="H198" s="1278">
        <v>0.384934026852713</v>
      </c>
      <c r="I198" s="1248">
        <v>5.2407163782592303E-2</v>
      </c>
      <c r="J198" s="1278">
        <v>2.1381746161403901E-3</v>
      </c>
      <c r="K198" s="1248">
        <v>3.0000008613714001E-3</v>
      </c>
      <c r="L198" s="1250">
        <v>2.0000005741121901E-3</v>
      </c>
      <c r="M198" s="1273">
        <v>2.0000005741121901E-3</v>
      </c>
      <c r="N198" s="1248">
        <v>3.1850009128239903E-2</v>
      </c>
      <c r="O198" s="1249">
        <v>3.1850009128239903E-2</v>
      </c>
      <c r="P198" s="1251">
        <v>1.5925004564119952E-2</v>
      </c>
      <c r="Q198" s="1252">
        <v>5.4776783175496002E-2</v>
      </c>
    </row>
    <row r="199" spans="1:17" s="212" customFormat="1" ht="15.5" x14ac:dyDescent="0.35">
      <c r="A199" s="198">
        <v>2018</v>
      </c>
      <c r="B199" s="197" t="s">
        <v>5842</v>
      </c>
      <c r="C199" s="197">
        <v>1999</v>
      </c>
      <c r="D199" s="213" t="str">
        <f t="shared" si="2"/>
        <v>2018_1999</v>
      </c>
      <c r="E199" s="1267">
        <v>0.35788359676785397</v>
      </c>
      <c r="F199" s="1278">
        <v>2.1633980466475199E-2</v>
      </c>
      <c r="G199" s="1248">
        <v>9.2952482683138395</v>
      </c>
      <c r="H199" s="1278">
        <v>0.38094624155849299</v>
      </c>
      <c r="I199" s="1248">
        <v>5.1714640009465199E-2</v>
      </c>
      <c r="J199" s="1278">
        <v>2.1306261571181402E-3</v>
      </c>
      <c r="K199" s="1248">
        <v>3.0000008613467201E-3</v>
      </c>
      <c r="L199" s="1250">
        <v>2.0000005741065302E-3</v>
      </c>
      <c r="M199" s="1273">
        <v>2.0000005741065302E-3</v>
      </c>
      <c r="N199" s="1248">
        <v>3.1850009128239903E-2</v>
      </c>
      <c r="O199" s="1249">
        <v>3.1850009128239903E-2</v>
      </c>
      <c r="P199" s="1251">
        <v>1.5925004564119952E-2</v>
      </c>
      <c r="Q199" s="1252">
        <v>5.4052946550376901E-2</v>
      </c>
    </row>
    <row r="200" spans="1:17" s="212" customFormat="1" ht="15.5" x14ac:dyDescent="0.35">
      <c r="A200" s="198">
        <v>2018</v>
      </c>
      <c r="B200" s="197" t="s">
        <v>5842</v>
      </c>
      <c r="C200" s="197">
        <v>2000</v>
      </c>
      <c r="D200" s="213" t="str">
        <f t="shared" si="2"/>
        <v>2018_2000</v>
      </c>
      <c r="E200" s="1267">
        <v>0.34987173537340299</v>
      </c>
      <c r="F200" s="1278">
        <v>2.17018880755422E-2</v>
      </c>
      <c r="G200" s="1248">
        <v>9.3501995755878404</v>
      </c>
      <c r="H200" s="1278">
        <v>0.37746029787679503</v>
      </c>
      <c r="I200" s="1248">
        <v>5.0755458237592997E-2</v>
      </c>
      <c r="J200" s="1278">
        <v>2.1540507342745702E-3</v>
      </c>
      <c r="K200" s="1248">
        <v>3.00000086126256E-3</v>
      </c>
      <c r="L200" s="1250">
        <v>2.0000005741415599E-3</v>
      </c>
      <c r="M200" s="1273">
        <v>2.0000005741415599E-3</v>
      </c>
      <c r="N200" s="1248">
        <v>3.1850009128239903E-2</v>
      </c>
      <c r="O200" s="1249">
        <v>3.1850009128239903E-2</v>
      </c>
      <c r="P200" s="1251">
        <v>1.5925004564119952E-2</v>
      </c>
      <c r="Q200" s="1252">
        <v>5.3050394835086702E-2</v>
      </c>
    </row>
    <row r="201" spans="1:17" s="212" customFormat="1" ht="15.5" x14ac:dyDescent="0.35">
      <c r="A201" s="198">
        <v>2018</v>
      </c>
      <c r="B201" s="197" t="s">
        <v>5842</v>
      </c>
      <c r="C201" s="197">
        <v>2001</v>
      </c>
      <c r="D201" s="213" t="str">
        <f t="shared" si="2"/>
        <v>2018_2001</v>
      </c>
      <c r="E201" s="1267">
        <v>0.34818115568332503</v>
      </c>
      <c r="F201" s="1278">
        <v>2.16503624049845E-2</v>
      </c>
      <c r="G201" s="1248">
        <v>9.2546732556325395</v>
      </c>
      <c r="H201" s="1278">
        <v>0.371782762596647</v>
      </c>
      <c r="I201" s="1248">
        <v>5.0748780313307297E-2</v>
      </c>
      <c r="J201" s="1278">
        <v>2.1706271139957899E-3</v>
      </c>
      <c r="K201" s="1248">
        <v>3.00000086136901E-3</v>
      </c>
      <c r="L201" s="1250">
        <v>2.0000005741738201E-3</v>
      </c>
      <c r="M201" s="1273">
        <v>2.0000005741738201E-3</v>
      </c>
      <c r="N201" s="1248">
        <v>3.1850009128239903E-2</v>
      </c>
      <c r="O201" s="1249">
        <v>3.1850009128239903E-2</v>
      </c>
      <c r="P201" s="1251">
        <v>1.5925004564119952E-2</v>
      </c>
      <c r="Q201" s="1252">
        <v>5.3043414964697597E-2</v>
      </c>
    </row>
    <row r="202" spans="1:17" s="212" customFormat="1" ht="15.5" x14ac:dyDescent="0.35">
      <c r="A202" s="198">
        <v>2018</v>
      </c>
      <c r="B202" s="197" t="s">
        <v>5842</v>
      </c>
      <c r="C202" s="197">
        <v>2002</v>
      </c>
      <c r="D202" s="213" t="str">
        <f t="shared" si="2"/>
        <v>2018_2002</v>
      </c>
      <c r="E202" s="1267">
        <v>0.269404013167929</v>
      </c>
      <c r="F202" s="1278">
        <v>2.12553225039105E-2</v>
      </c>
      <c r="G202" s="1248">
        <v>7.15340076772911</v>
      </c>
      <c r="H202" s="1278">
        <v>0.28698706489449899</v>
      </c>
      <c r="I202" s="1248">
        <v>5.1396117253293398E-2</v>
      </c>
      <c r="J202" s="1278">
        <v>2.1599107332893898E-3</v>
      </c>
      <c r="K202" s="1248">
        <v>3.0000008613273801E-3</v>
      </c>
      <c r="L202" s="1250">
        <v>2.0000005741477498E-3</v>
      </c>
      <c r="M202" s="1273">
        <v>2.0000005741477498E-3</v>
      </c>
      <c r="N202" s="1248">
        <v>3.1850009128239903E-2</v>
      </c>
      <c r="O202" s="1249">
        <v>3.1850009128239903E-2</v>
      </c>
      <c r="P202" s="1251">
        <v>1.5925004564119952E-2</v>
      </c>
      <c r="Q202" s="1252">
        <v>5.3720021608594799E-2</v>
      </c>
    </row>
    <row r="203" spans="1:17" s="212" customFormat="1" ht="15.5" x14ac:dyDescent="0.35">
      <c r="A203" s="198">
        <v>2018</v>
      </c>
      <c r="B203" s="197" t="s">
        <v>5842</v>
      </c>
      <c r="C203" s="197">
        <v>2003</v>
      </c>
      <c r="D203" s="213" t="str">
        <f t="shared" si="2"/>
        <v>2018_2003</v>
      </c>
      <c r="E203" s="1267">
        <v>0.26275377199724798</v>
      </c>
      <c r="F203" s="1278">
        <v>2.07048697613617E-2</v>
      </c>
      <c r="G203" s="1248">
        <v>7.1876612970509797</v>
      </c>
      <c r="H203" s="1278">
        <v>0.276329518178558</v>
      </c>
      <c r="I203" s="1248">
        <v>5.0444375053585698E-2</v>
      </c>
      <c r="J203" s="1278">
        <v>2.13625991912542E-3</v>
      </c>
      <c r="K203" s="1248">
        <v>3.0000008612524501E-3</v>
      </c>
      <c r="L203" s="1250">
        <v>2.0000005741359502E-3</v>
      </c>
      <c r="M203" s="1273">
        <v>2.0000005741359502E-3</v>
      </c>
      <c r="N203" s="1248">
        <v>3.1850009128239903E-2</v>
      </c>
      <c r="O203" s="1249">
        <v>3.1850009128239903E-2</v>
      </c>
      <c r="P203" s="1251">
        <v>1.5925004564119952E-2</v>
      </c>
      <c r="Q203" s="1252">
        <v>5.2725245849909702E-2</v>
      </c>
    </row>
    <row r="204" spans="1:17" s="212" customFormat="1" ht="15.5" x14ac:dyDescent="0.35">
      <c r="A204" s="198">
        <v>2018</v>
      </c>
      <c r="B204" s="197" t="s">
        <v>5842</v>
      </c>
      <c r="C204" s="197">
        <v>2004</v>
      </c>
      <c r="D204" s="213" t="str">
        <f t="shared" si="2"/>
        <v>2018_2004</v>
      </c>
      <c r="E204" s="1267">
        <v>0.52369659002325497</v>
      </c>
      <c r="F204" s="1278">
        <v>1.37481101064152E-2</v>
      </c>
      <c r="G204" s="1248">
        <v>4.1062916667870502</v>
      </c>
      <c r="H204" s="1278">
        <v>0.225086081528896</v>
      </c>
      <c r="I204" s="1248">
        <v>0.14144286603363701</v>
      </c>
      <c r="J204" s="1278">
        <v>1.38763042010603E-4</v>
      </c>
      <c r="K204" s="1248">
        <v>3.0000008612397901E-3</v>
      </c>
      <c r="L204" s="1250">
        <v>2.0000005740674399E-3</v>
      </c>
      <c r="M204" s="1273">
        <v>2.0000005740674399E-3</v>
      </c>
      <c r="N204" s="1248">
        <v>3.1850009128239903E-2</v>
      </c>
      <c r="O204" s="1249">
        <v>3.1850009128239903E-2</v>
      </c>
      <c r="P204" s="1251">
        <v>1.5925004564119952E-2</v>
      </c>
      <c r="Q204" s="1252">
        <v>0.147838284792256</v>
      </c>
    </row>
    <row r="205" spans="1:17" s="212" customFormat="1" ht="15.5" x14ac:dyDescent="0.35">
      <c r="A205" s="198">
        <v>2018</v>
      </c>
      <c r="B205" s="197" t="s">
        <v>5842</v>
      </c>
      <c r="C205" s="197">
        <v>2005</v>
      </c>
      <c r="D205" s="213" t="str">
        <f t="shared" si="2"/>
        <v>2018_2005</v>
      </c>
      <c r="E205" s="1267">
        <v>0.51346318570704697</v>
      </c>
      <c r="F205" s="1278">
        <v>1.3732704168647299E-2</v>
      </c>
      <c r="G205" s="1248">
        <v>4.1003876025231003</v>
      </c>
      <c r="H205" s="1278">
        <v>0.216365833527461</v>
      </c>
      <c r="I205" s="1248">
        <v>0.139780236314727</v>
      </c>
      <c r="J205" s="1278">
        <v>1.40856395716179E-4</v>
      </c>
      <c r="K205" s="1248">
        <v>3.0000008612453698E-3</v>
      </c>
      <c r="L205" s="1250">
        <v>2.0000005741035499E-3</v>
      </c>
      <c r="M205" s="1273">
        <v>2.0000005741035499E-3</v>
      </c>
      <c r="N205" s="1248">
        <v>3.1850009128239903E-2</v>
      </c>
      <c r="O205" s="1249">
        <v>3.1850009128239903E-2</v>
      </c>
      <c r="P205" s="1251">
        <v>1.5925004564119952E-2</v>
      </c>
      <c r="Q205" s="1252">
        <v>0.14610047833526699</v>
      </c>
    </row>
    <row r="206" spans="1:17" s="212" customFormat="1" ht="15.5" x14ac:dyDescent="0.35">
      <c r="A206" s="198">
        <v>2018</v>
      </c>
      <c r="B206" s="197" t="s">
        <v>5842</v>
      </c>
      <c r="C206" s="197">
        <v>2006</v>
      </c>
      <c r="D206" s="213" t="str">
        <f t="shared" si="2"/>
        <v>2018_2006</v>
      </c>
      <c r="E206" s="1267">
        <v>0.49826169428814798</v>
      </c>
      <c r="F206" s="1278">
        <v>1.36523970094409E-2</v>
      </c>
      <c r="G206" s="1248">
        <v>4.0785825058051204</v>
      </c>
      <c r="H206" s="1278">
        <v>0.20721740360058399</v>
      </c>
      <c r="I206" s="1248">
        <v>0.137030879166778</v>
      </c>
      <c r="J206" s="1278">
        <v>1.41678530860972E-4</v>
      </c>
      <c r="K206" s="1248">
        <v>3.00000086122853E-3</v>
      </c>
      <c r="L206" s="1250">
        <v>2.0000005741197899E-3</v>
      </c>
      <c r="M206" s="1273">
        <v>2.0000005741197899E-3</v>
      </c>
      <c r="N206" s="1248">
        <v>3.1850009128239903E-2</v>
      </c>
      <c r="O206" s="1249">
        <v>3.1850009128239903E-2</v>
      </c>
      <c r="P206" s="1251">
        <v>1.5925004564119952E-2</v>
      </c>
      <c r="Q206" s="1252">
        <v>0.143226807457179</v>
      </c>
    </row>
    <row r="207" spans="1:17" s="212" customFormat="1" ht="15.5" x14ac:dyDescent="0.35">
      <c r="A207" s="198">
        <v>2018</v>
      </c>
      <c r="B207" s="197" t="s">
        <v>5842</v>
      </c>
      <c r="C207" s="197">
        <v>2007</v>
      </c>
      <c r="D207" s="213" t="str">
        <f t="shared" si="2"/>
        <v>2018_2007</v>
      </c>
      <c r="E207" s="1267">
        <v>0.28617078663658602</v>
      </c>
      <c r="F207" s="1278">
        <v>1.36210753521811E-2</v>
      </c>
      <c r="G207" s="1248">
        <v>2.3928084357592101</v>
      </c>
      <c r="H207" s="1278">
        <v>0.20385594428620099</v>
      </c>
      <c r="I207" s="1248">
        <v>7.7562652243830604E-2</v>
      </c>
      <c r="J207" s="1278">
        <v>1.4482353233182199E-4</v>
      </c>
      <c r="K207" s="1248">
        <v>3.0000008612310202E-3</v>
      </c>
      <c r="L207" s="1250">
        <v>2.00000057417847E-3</v>
      </c>
      <c r="M207" s="1273">
        <v>2.00000057417847E-3</v>
      </c>
      <c r="N207" s="1248">
        <v>3.1850009128239903E-2</v>
      </c>
      <c r="O207" s="1249">
        <v>3.1850009128239903E-2</v>
      </c>
      <c r="P207" s="1251">
        <v>1.5925004564119952E-2</v>
      </c>
      <c r="Q207" s="1252">
        <v>8.1069691199124702E-2</v>
      </c>
    </row>
    <row r="208" spans="1:17" s="212" customFormat="1" ht="15.5" x14ac:dyDescent="0.35">
      <c r="A208" s="198">
        <v>2018</v>
      </c>
      <c r="B208" s="197" t="s">
        <v>5842</v>
      </c>
      <c r="C208" s="197">
        <v>2008</v>
      </c>
      <c r="D208" s="213" t="str">
        <f t="shared" si="2"/>
        <v>2018_2008</v>
      </c>
      <c r="E208" s="1267">
        <v>0.28426337297885901</v>
      </c>
      <c r="F208" s="1278">
        <v>9.3907806599114307E-3</v>
      </c>
      <c r="G208" s="1248">
        <v>2.39867671406809</v>
      </c>
      <c r="H208" s="1278">
        <v>0.11618061093325401</v>
      </c>
      <c r="I208" s="1248">
        <v>7.7196343756103597E-2</v>
      </c>
      <c r="J208" s="1278">
        <v>1.4131707541433899E-4</v>
      </c>
      <c r="K208" s="1248">
        <v>3.00000086131083E-3</v>
      </c>
      <c r="L208" s="1250">
        <v>2.0000005742149001E-3</v>
      </c>
      <c r="M208" s="1273">
        <v>2.0000005742149001E-3</v>
      </c>
      <c r="N208" s="1248">
        <v>3.1850009128239903E-2</v>
      </c>
      <c r="O208" s="1249">
        <v>3.1850009128239903E-2</v>
      </c>
      <c r="P208" s="1251">
        <v>1.5925004564119952E-2</v>
      </c>
      <c r="Q208" s="1252">
        <v>8.0686819867052603E-2</v>
      </c>
    </row>
    <row r="209" spans="1:17" s="212" customFormat="1" ht="15.5" x14ac:dyDescent="0.35">
      <c r="A209" s="198">
        <v>2018</v>
      </c>
      <c r="B209" s="197" t="s">
        <v>5842</v>
      </c>
      <c r="C209" s="197">
        <v>2009</v>
      </c>
      <c r="D209" s="213" t="str">
        <f t="shared" si="2"/>
        <v>2018_2009</v>
      </c>
      <c r="E209" s="1267">
        <v>0.27466777925703201</v>
      </c>
      <c r="F209" s="1278">
        <v>5.0822399548574697E-3</v>
      </c>
      <c r="G209" s="1248">
        <v>2.3774401291142202</v>
      </c>
      <c r="H209" s="1278">
        <v>3.8789138319388197E-2</v>
      </c>
      <c r="I209" s="1248">
        <v>7.5155805571151202E-2</v>
      </c>
      <c r="J209" s="1278">
        <v>1.29431914838046E-4</v>
      </c>
      <c r="K209" s="1248">
        <v>3.0000008612580402E-3</v>
      </c>
      <c r="L209" s="1250">
        <v>2.0000005741509599E-3</v>
      </c>
      <c r="M209" s="1273">
        <v>2.0000005741509599E-3</v>
      </c>
      <c r="N209" s="1248">
        <v>3.1850009128239903E-2</v>
      </c>
      <c r="O209" s="1249">
        <v>3.1850009128239903E-2</v>
      </c>
      <c r="P209" s="1251">
        <v>1.5925004564119952E-2</v>
      </c>
      <c r="Q209" s="1252">
        <v>7.8554017600130699E-2</v>
      </c>
    </row>
    <row r="210" spans="1:17" s="212" customFormat="1" ht="15.5" x14ac:dyDescent="0.35">
      <c r="A210" s="198">
        <v>2018</v>
      </c>
      <c r="B210" s="197" t="s">
        <v>5842</v>
      </c>
      <c r="C210" s="197">
        <v>2010</v>
      </c>
      <c r="D210" s="213" t="str">
        <f t="shared" si="2"/>
        <v>2018_2010</v>
      </c>
      <c r="E210" s="1267">
        <v>7.8273128067556694E-2</v>
      </c>
      <c r="F210" s="1278">
        <v>5.0352430495994504E-3</v>
      </c>
      <c r="G210" s="1248">
        <v>0.63482554427846105</v>
      </c>
      <c r="H210" s="1278">
        <v>3.8402406165717599E-2</v>
      </c>
      <c r="I210" s="1248">
        <v>1.6064037876210201E-2</v>
      </c>
      <c r="J210" s="1278">
        <v>1.5761436701857299E-4</v>
      </c>
      <c r="K210" s="1248">
        <v>3.0000008613041002E-3</v>
      </c>
      <c r="L210" s="1250">
        <v>2.00000057410318E-3</v>
      </c>
      <c r="M210" s="1273">
        <v>2.00000057410318E-3</v>
      </c>
      <c r="N210" s="1248">
        <v>3.1850009128239903E-2</v>
      </c>
      <c r="O210" s="1249">
        <v>3.1850009128239903E-2</v>
      </c>
      <c r="P210" s="1251">
        <v>1.5925004564119952E-2</v>
      </c>
      <c r="Q210" s="1252">
        <v>1.67903823858601E-2</v>
      </c>
    </row>
    <row r="211" spans="1:17" s="212" customFormat="1" ht="15.5" x14ac:dyDescent="0.35">
      <c r="A211" s="198">
        <v>2018</v>
      </c>
      <c r="B211" s="197" t="s">
        <v>5842</v>
      </c>
      <c r="C211" s="197">
        <v>2011</v>
      </c>
      <c r="D211" s="213" t="str">
        <f t="shared" si="2"/>
        <v>2018_2011</v>
      </c>
      <c r="E211" s="1267">
        <v>7.6863952059578494E-2</v>
      </c>
      <c r="F211" s="1278">
        <v>5.1469729918535E-3</v>
      </c>
      <c r="G211" s="1248">
        <v>0.61150426275590097</v>
      </c>
      <c r="H211" s="1278">
        <v>3.7492596061921402E-2</v>
      </c>
      <c r="I211" s="1248">
        <v>1.4980255278589901E-2</v>
      </c>
      <c r="J211" s="1278">
        <v>2.1559396241854501E-4</v>
      </c>
      <c r="K211" s="1248">
        <v>3.00000086131975E-3</v>
      </c>
      <c r="L211" s="1250">
        <v>2.0000005742007798E-3</v>
      </c>
      <c r="M211" s="1273">
        <v>2.0000005742007798E-3</v>
      </c>
      <c r="N211" s="1248">
        <v>3.1850009128239903E-2</v>
      </c>
      <c r="O211" s="1249">
        <v>3.1850009128239903E-2</v>
      </c>
      <c r="P211" s="1251">
        <v>1.5925004564119952E-2</v>
      </c>
      <c r="Q211" s="1252">
        <v>1.5657595948389499E-2</v>
      </c>
    </row>
    <row r="212" spans="1:17" s="212" customFormat="1" ht="15.5" x14ac:dyDescent="0.35">
      <c r="A212" s="198">
        <v>2018</v>
      </c>
      <c r="B212" s="197" t="s">
        <v>5842</v>
      </c>
      <c r="C212" s="197">
        <v>2012</v>
      </c>
      <c r="D212" s="213" t="str">
        <f t="shared" si="2"/>
        <v>2018_2012</v>
      </c>
      <c r="E212" s="1267">
        <v>7.5632274061955801E-2</v>
      </c>
      <c r="F212" s="1278">
        <v>5.1524853624806402E-3</v>
      </c>
      <c r="G212" s="1248">
        <v>0.58790795631167303</v>
      </c>
      <c r="H212" s="1278">
        <v>3.6532429335904899E-2</v>
      </c>
      <c r="I212" s="1248">
        <v>1.38648399780561E-2</v>
      </c>
      <c r="J212" s="1278">
        <v>3.1572019880172201E-4</v>
      </c>
      <c r="K212" s="1248">
        <v>3.00000086134438E-3</v>
      </c>
      <c r="L212" s="1250">
        <v>2.0000005742387599E-3</v>
      </c>
      <c r="M212" s="1273">
        <v>2.0000005742387599E-3</v>
      </c>
      <c r="N212" s="1248">
        <v>3.1850009128239903E-2</v>
      </c>
      <c r="O212" s="1249">
        <v>3.1850009128239903E-2</v>
      </c>
      <c r="P212" s="1251">
        <v>1.5925004564119952E-2</v>
      </c>
      <c r="Q212" s="1252">
        <v>1.44917465175476E-2</v>
      </c>
    </row>
    <row r="213" spans="1:17" s="212" customFormat="1" ht="15.5" x14ac:dyDescent="0.35">
      <c r="A213" s="198">
        <v>2018</v>
      </c>
      <c r="B213" s="197" t="s">
        <v>5842</v>
      </c>
      <c r="C213" s="197">
        <v>2013</v>
      </c>
      <c r="D213" s="213" t="str">
        <f t="shared" si="2"/>
        <v>2018_2013</v>
      </c>
      <c r="E213" s="1267">
        <v>7.3896708573089595E-2</v>
      </c>
      <c r="F213" s="1278">
        <v>5.1452487270082503E-3</v>
      </c>
      <c r="G213" s="1248">
        <v>0.56039237097928396</v>
      </c>
      <c r="H213" s="1278">
        <v>3.6076045447919702E-2</v>
      </c>
      <c r="I213" s="1248">
        <v>1.26211908924016E-2</v>
      </c>
      <c r="J213" s="1278">
        <v>4.7296655480669002E-4</v>
      </c>
      <c r="K213" s="1248">
        <v>3.00000086137486E-3</v>
      </c>
      <c r="L213" s="1250">
        <v>2.0000005742534599E-3</v>
      </c>
      <c r="M213" s="1273">
        <v>2.0000005742534599E-3</v>
      </c>
      <c r="N213" s="1248">
        <v>3.1850009128239903E-2</v>
      </c>
      <c r="O213" s="1249">
        <v>3.1850009128239903E-2</v>
      </c>
      <c r="P213" s="1251">
        <v>1.5925004564119952E-2</v>
      </c>
      <c r="Q213" s="1252">
        <v>1.31918651388509E-2</v>
      </c>
    </row>
    <row r="214" spans="1:17" s="212" customFormat="1" ht="15.5" x14ac:dyDescent="0.35">
      <c r="A214" s="198">
        <v>2018</v>
      </c>
      <c r="B214" s="197" t="s">
        <v>5842</v>
      </c>
      <c r="C214" s="197">
        <v>2014</v>
      </c>
      <c r="D214" s="213" t="str">
        <f t="shared" si="2"/>
        <v>2018_2014</v>
      </c>
      <c r="E214" s="1267">
        <v>7.1299497622077296E-2</v>
      </c>
      <c r="F214" s="1278">
        <v>5.2066645401860597E-3</v>
      </c>
      <c r="G214" s="1248">
        <v>0.53004723835117096</v>
      </c>
      <c r="H214" s="1278">
        <v>3.7051213248072E-2</v>
      </c>
      <c r="I214" s="1248">
        <v>1.12412365018956E-2</v>
      </c>
      <c r="J214" s="1278">
        <v>6.5711714348657497E-4</v>
      </c>
      <c r="K214" s="1248">
        <v>3.0000008613043699E-3</v>
      </c>
      <c r="L214" s="1250">
        <v>2.0000005742157601E-3</v>
      </c>
      <c r="M214" s="1273">
        <v>2.0000005742157601E-3</v>
      </c>
      <c r="N214" s="1248">
        <v>3.1850009128239903E-2</v>
      </c>
      <c r="O214" s="1249">
        <v>3.1850009128239903E-2</v>
      </c>
      <c r="P214" s="1251">
        <v>1.5925004564119952E-2</v>
      </c>
      <c r="Q214" s="1252">
        <v>1.17495153342631E-2</v>
      </c>
    </row>
    <row r="215" spans="1:17" s="212" customFormat="1" ht="15.5" x14ac:dyDescent="0.35">
      <c r="A215" s="198">
        <v>2018</v>
      </c>
      <c r="B215" s="197" t="s">
        <v>5842</v>
      </c>
      <c r="C215" s="197">
        <v>2015</v>
      </c>
      <c r="D215" s="213" t="str">
        <f t="shared" si="2"/>
        <v>2018_2015</v>
      </c>
      <c r="E215" s="1267">
        <v>6.9638196429539306E-2</v>
      </c>
      <c r="F215" s="1278">
        <v>5.7471517194011904E-3</v>
      </c>
      <c r="G215" s="1248">
        <v>0.50160849150878795</v>
      </c>
      <c r="H215" s="1278">
        <v>3.9783959531989398E-2</v>
      </c>
      <c r="I215" s="1248">
        <v>9.9104255290651897E-3</v>
      </c>
      <c r="J215" s="1278">
        <v>8.3184522386528005E-4</v>
      </c>
      <c r="K215" s="1248">
        <v>3.0000008613122299E-3</v>
      </c>
      <c r="L215" s="1250">
        <v>2.0000005742441501E-3</v>
      </c>
      <c r="M215" s="1273">
        <v>2.0000005742441501E-3</v>
      </c>
      <c r="N215" s="1248">
        <v>3.1850009128239903E-2</v>
      </c>
      <c r="O215" s="1249">
        <v>3.1850009128239903E-2</v>
      </c>
      <c r="P215" s="1251">
        <v>1.5925004564119952E-2</v>
      </c>
      <c r="Q215" s="1252">
        <v>1.03585309946275E-2</v>
      </c>
    </row>
    <row r="216" spans="1:17" s="212" customFormat="1" ht="15.5" x14ac:dyDescent="0.35">
      <c r="A216" s="198">
        <v>2018</v>
      </c>
      <c r="B216" s="197" t="s">
        <v>5842</v>
      </c>
      <c r="C216" s="197">
        <v>2016</v>
      </c>
      <c r="D216" s="213" t="str">
        <f t="shared" si="2"/>
        <v>2018_2016</v>
      </c>
      <c r="E216" s="1267">
        <v>6.7350618056056605E-2</v>
      </c>
      <c r="F216" s="1278">
        <v>5.9202085780611898E-3</v>
      </c>
      <c r="G216" s="1248">
        <v>0.415474632076196</v>
      </c>
      <c r="H216" s="1278">
        <v>4.2324525384962598E-2</v>
      </c>
      <c r="I216" s="1248">
        <v>8.4654109178204408E-3</v>
      </c>
      <c r="J216" s="1278">
        <v>9.5531627037804797E-4</v>
      </c>
      <c r="K216" s="1248">
        <v>3.00000086130349E-3</v>
      </c>
      <c r="L216" s="1250">
        <v>2.0000005742289999E-3</v>
      </c>
      <c r="M216" s="1273">
        <v>2.0000005742289999E-3</v>
      </c>
      <c r="N216" s="1248">
        <v>3.1850009128239903E-2</v>
      </c>
      <c r="O216" s="1249">
        <v>3.1850009128239903E-2</v>
      </c>
      <c r="P216" s="1251">
        <v>1.5925004564119952E-2</v>
      </c>
      <c r="Q216" s="1252">
        <v>8.8481792348196701E-3</v>
      </c>
    </row>
    <row r="217" spans="1:17" s="212" customFormat="1" ht="15.5" x14ac:dyDescent="0.35">
      <c r="A217" s="198">
        <v>2018</v>
      </c>
      <c r="B217" s="197" t="s">
        <v>5842</v>
      </c>
      <c r="C217" s="197">
        <v>2017</v>
      </c>
      <c r="D217" s="213" t="str">
        <f t="shared" si="2"/>
        <v>2018_2017</v>
      </c>
      <c r="E217" s="1267">
        <v>6.50377448407152E-2</v>
      </c>
      <c r="F217" s="1278">
        <v>6.2326077844239202E-3</v>
      </c>
      <c r="G217" s="1248">
        <v>0.33568946540502798</v>
      </c>
      <c r="H217" s="1278">
        <v>4.3991675214507898E-2</v>
      </c>
      <c r="I217" s="1248">
        <v>6.9682228222798298E-3</v>
      </c>
      <c r="J217" s="1278">
        <v>1.0321533110900099E-3</v>
      </c>
      <c r="K217" s="1248">
        <v>3.0000008612731601E-3</v>
      </c>
      <c r="L217" s="1250">
        <v>2.0000005742821401E-3</v>
      </c>
      <c r="M217" s="1273">
        <v>2.0000005742821401E-3</v>
      </c>
      <c r="N217" s="1248">
        <v>3.1850009128239903E-2</v>
      </c>
      <c r="O217" s="1249">
        <v>3.1850009128239903E-2</v>
      </c>
      <c r="P217" s="1251">
        <v>1.5925004564119952E-2</v>
      </c>
      <c r="Q217" s="1252">
        <v>7.2832949372725001E-3</v>
      </c>
    </row>
    <row r="218" spans="1:17" s="212" customFormat="1" ht="15.5" x14ac:dyDescent="0.35">
      <c r="A218" s="198">
        <v>2018</v>
      </c>
      <c r="B218" s="197" t="s">
        <v>5842</v>
      </c>
      <c r="C218" s="197">
        <v>2018</v>
      </c>
      <c r="D218" s="213" t="str">
        <f t="shared" si="2"/>
        <v>2018_2018</v>
      </c>
      <c r="E218" s="1267">
        <v>6.4156712216550504E-2</v>
      </c>
      <c r="F218" s="1278">
        <v>5.3389879181240402E-3</v>
      </c>
      <c r="G218" s="1248">
        <v>0.25948293130932698</v>
      </c>
      <c r="H218" s="1278">
        <v>3.7694506265302803E-2</v>
      </c>
      <c r="I218" s="1248">
        <v>5.5087911504408697E-3</v>
      </c>
      <c r="J218" s="1278">
        <v>1.0704124792299599E-3</v>
      </c>
      <c r="K218" s="1248">
        <v>3.0000008613637699E-3</v>
      </c>
      <c r="L218" s="1250">
        <v>2.0000005742307901E-3</v>
      </c>
      <c r="M218" s="1273">
        <v>2.0000005742307901E-3</v>
      </c>
      <c r="N218" s="1248">
        <v>3.1850009128239903E-2</v>
      </c>
      <c r="O218" s="1249">
        <v>3.1850009128239903E-2</v>
      </c>
      <c r="P218" s="1251">
        <v>1.5925004564119952E-2</v>
      </c>
      <c r="Q218" s="1252">
        <v>5.7578742413651202E-3</v>
      </c>
    </row>
    <row r="219" spans="1:17" s="212" customFormat="1" ht="15.5" x14ac:dyDescent="0.35">
      <c r="A219" s="198">
        <v>2018</v>
      </c>
      <c r="B219" s="197" t="s">
        <v>5842</v>
      </c>
      <c r="C219" s="197">
        <v>2019</v>
      </c>
      <c r="D219" s="213" t="str">
        <f t="shared" si="2"/>
        <v>2018_2019</v>
      </c>
      <c r="E219" s="1268">
        <v>6.4156712216550504E-2</v>
      </c>
      <c r="F219" s="1279">
        <v>5.3389879181240402E-3</v>
      </c>
      <c r="G219" s="1255">
        <v>0.25948293130932698</v>
      </c>
      <c r="H219" s="1279">
        <v>3.7694506265302803E-2</v>
      </c>
      <c r="I219" s="1255">
        <v>5.5087911504408697E-3</v>
      </c>
      <c r="J219" s="1279">
        <v>1.0704124792299599E-3</v>
      </c>
      <c r="K219" s="1255">
        <v>3.0000008613637699E-3</v>
      </c>
      <c r="L219" s="1253">
        <v>2.0000005742307901E-3</v>
      </c>
      <c r="M219" s="1274">
        <v>2.0000005742307901E-3</v>
      </c>
      <c r="N219" s="1255">
        <v>3.1850009128239903E-2</v>
      </c>
      <c r="O219" s="1256">
        <v>3.1850009128239903E-2</v>
      </c>
      <c r="P219" s="1259">
        <v>1.5925004564119952E-2</v>
      </c>
      <c r="Q219" s="1254">
        <v>5.7578742413651202E-3</v>
      </c>
    </row>
    <row r="220" spans="1:17" s="212" customFormat="1" ht="15.5" x14ac:dyDescent="0.35">
      <c r="A220" s="198">
        <v>2019</v>
      </c>
      <c r="B220" s="197" t="s">
        <v>5842</v>
      </c>
      <c r="C220" s="197">
        <v>1971</v>
      </c>
      <c r="D220" s="213" t="str">
        <f t="shared" si="2"/>
        <v>2019_1971</v>
      </c>
      <c r="E220" s="1268">
        <v>0.24673213324187901</v>
      </c>
      <c r="F220" s="1279">
        <v>5.5975688097854297</v>
      </c>
      <c r="G220" s="1255">
        <v>5.7150455070533397</v>
      </c>
      <c r="H220" s="1279">
        <v>2.2249750104785999</v>
      </c>
      <c r="I220" s="1255">
        <v>0.18651442459429801</v>
      </c>
      <c r="J220" s="1279">
        <v>5.1264139515462902E-2</v>
      </c>
      <c r="K220" s="1255">
        <v>3.0000008598860999E-3</v>
      </c>
      <c r="L220" s="1253">
        <v>2.0000005751632001E-3</v>
      </c>
      <c r="M220" s="1274">
        <v>2.0000005751632001E-3</v>
      </c>
      <c r="N220" s="1255">
        <v>3.1850009128239903E-2</v>
      </c>
      <c r="O220" s="1256">
        <v>3.1850009128239903E-2</v>
      </c>
      <c r="P220" s="1259">
        <v>1.5925004564119952E-2</v>
      </c>
      <c r="Q220" s="1254">
        <v>0.19494777922895101</v>
      </c>
    </row>
    <row r="221" spans="1:17" s="212" customFormat="1" ht="15.5" x14ac:dyDescent="0.35">
      <c r="A221" s="198">
        <v>2019</v>
      </c>
      <c r="B221" s="197" t="s">
        <v>5842</v>
      </c>
      <c r="C221" s="197">
        <v>1972</v>
      </c>
      <c r="D221" s="213" t="str">
        <f t="shared" si="2"/>
        <v>2019_1972</v>
      </c>
      <c r="E221" s="1268">
        <v>0.24673213324187901</v>
      </c>
      <c r="F221" s="1279">
        <v>5.5975688097854297</v>
      </c>
      <c r="G221" s="1255">
        <v>5.7150455070533397</v>
      </c>
      <c r="H221" s="1279">
        <v>2.2249750104785999</v>
      </c>
      <c r="I221" s="1255">
        <v>0.18651442459429801</v>
      </c>
      <c r="J221" s="1279">
        <v>5.1264139515462902E-2</v>
      </c>
      <c r="K221" s="1255">
        <v>3.0000008598860999E-3</v>
      </c>
      <c r="L221" s="1253">
        <v>2.0000005751632001E-3</v>
      </c>
      <c r="M221" s="1274">
        <v>2.0000005751632001E-3</v>
      </c>
      <c r="N221" s="1255">
        <v>3.1850009128239903E-2</v>
      </c>
      <c r="O221" s="1256">
        <v>3.1850009128239903E-2</v>
      </c>
      <c r="P221" s="1259">
        <v>1.5925004564119952E-2</v>
      </c>
      <c r="Q221" s="1254">
        <v>0.19494777922895101</v>
      </c>
    </row>
    <row r="222" spans="1:17" s="212" customFormat="1" ht="15.5" x14ac:dyDescent="0.35">
      <c r="A222" s="198">
        <v>2019</v>
      </c>
      <c r="B222" s="197" t="s">
        <v>5842</v>
      </c>
      <c r="C222" s="197">
        <v>1973</v>
      </c>
      <c r="D222" s="213" t="str">
        <f t="shared" si="2"/>
        <v>2019_1973</v>
      </c>
      <c r="E222" s="1268">
        <v>0.24673213324187901</v>
      </c>
      <c r="F222" s="1279">
        <v>5.5975688097854297</v>
      </c>
      <c r="G222" s="1255">
        <v>5.7150455070533397</v>
      </c>
      <c r="H222" s="1279">
        <v>2.2249750104785999</v>
      </c>
      <c r="I222" s="1255">
        <v>0.18651442459429801</v>
      </c>
      <c r="J222" s="1279">
        <v>5.1264139515462902E-2</v>
      </c>
      <c r="K222" s="1255">
        <v>3.0000008598860999E-3</v>
      </c>
      <c r="L222" s="1253">
        <v>2.0000005751632001E-3</v>
      </c>
      <c r="M222" s="1274">
        <v>2.0000005751632001E-3</v>
      </c>
      <c r="N222" s="1255">
        <v>3.1850009128239903E-2</v>
      </c>
      <c r="O222" s="1256">
        <v>3.1850009128239903E-2</v>
      </c>
      <c r="P222" s="1259">
        <v>1.5925004564119952E-2</v>
      </c>
      <c r="Q222" s="1254">
        <v>0.19494777922895101</v>
      </c>
    </row>
    <row r="223" spans="1:17" s="212" customFormat="1" ht="15.5" x14ac:dyDescent="0.35">
      <c r="A223" s="198">
        <v>2019</v>
      </c>
      <c r="B223" s="197" t="s">
        <v>5842</v>
      </c>
      <c r="C223" s="197">
        <v>1974</v>
      </c>
      <c r="D223" s="213" t="str">
        <f t="shared" si="2"/>
        <v>2019_1974</v>
      </c>
      <c r="E223" s="1268">
        <v>0.24673213324187901</v>
      </c>
      <c r="F223" s="1279">
        <v>5.5975688097854297</v>
      </c>
      <c r="G223" s="1255">
        <v>5.7150455070533397</v>
      </c>
      <c r="H223" s="1279">
        <v>2.2249750104785999</v>
      </c>
      <c r="I223" s="1255">
        <v>0.18651442459429801</v>
      </c>
      <c r="J223" s="1279">
        <v>5.1264139515462902E-2</v>
      </c>
      <c r="K223" s="1255">
        <v>3.0000008598860999E-3</v>
      </c>
      <c r="L223" s="1253">
        <v>2.0000005751632001E-3</v>
      </c>
      <c r="M223" s="1274">
        <v>2.0000005751632001E-3</v>
      </c>
      <c r="N223" s="1255">
        <v>3.1850009128239903E-2</v>
      </c>
      <c r="O223" s="1256">
        <v>3.1850009128239903E-2</v>
      </c>
      <c r="P223" s="1259">
        <v>1.5925004564119952E-2</v>
      </c>
      <c r="Q223" s="1254">
        <v>0.19494777922895101</v>
      </c>
    </row>
    <row r="224" spans="1:17" s="212" customFormat="1" ht="15.5" x14ac:dyDescent="0.35">
      <c r="A224" s="198">
        <v>2019</v>
      </c>
      <c r="B224" s="197" t="s">
        <v>5842</v>
      </c>
      <c r="C224" s="197">
        <v>1975</v>
      </c>
      <c r="D224" s="213" t="str">
        <f t="shared" si="2"/>
        <v>2019_1975</v>
      </c>
      <c r="E224" s="1267">
        <v>0.24673213324187901</v>
      </c>
      <c r="F224" s="1279">
        <v>5.5975688097854297</v>
      </c>
      <c r="G224" s="1270">
        <v>5.7150455070533397</v>
      </c>
      <c r="H224" s="1280">
        <v>2.2249750104785999</v>
      </c>
      <c r="I224" s="1270">
        <v>0.18651442459429801</v>
      </c>
      <c r="J224" s="1280">
        <v>5.1264139515462902E-2</v>
      </c>
      <c r="K224" s="1270">
        <v>3.0000008598860999E-3</v>
      </c>
      <c r="L224" s="1257">
        <v>2.0000005751632001E-3</v>
      </c>
      <c r="M224" s="1274">
        <v>2.0000005751632001E-3</v>
      </c>
      <c r="N224" s="1270">
        <v>3.1850009128239903E-2</v>
      </c>
      <c r="O224" s="1257">
        <v>3.1850009128239903E-2</v>
      </c>
      <c r="P224" s="1259">
        <v>1.5925004564119952E-2</v>
      </c>
      <c r="Q224" s="1252">
        <v>0.19494777922895101</v>
      </c>
    </row>
    <row r="225" spans="1:17" s="212" customFormat="1" ht="15.5" x14ac:dyDescent="0.35">
      <c r="A225" s="198">
        <v>2019</v>
      </c>
      <c r="B225" s="197" t="s">
        <v>5842</v>
      </c>
      <c r="C225" s="197">
        <v>1976</v>
      </c>
      <c r="D225" s="213" t="str">
        <f t="shared" si="2"/>
        <v>2019_1976</v>
      </c>
      <c r="E225" s="1268">
        <v>0.237494901162837</v>
      </c>
      <c r="F225" s="1278">
        <v>5.5975688097854297</v>
      </c>
      <c r="G225" s="1271">
        <v>0.237494901162837</v>
      </c>
      <c r="H225" s="1281">
        <v>2.2249750104785999</v>
      </c>
      <c r="I225" s="1271">
        <v>0.237494901162837</v>
      </c>
      <c r="J225" s="1281">
        <v>5.1264139515462902E-2</v>
      </c>
      <c r="K225" s="1271">
        <v>0.237494901162837</v>
      </c>
      <c r="L225" s="1258">
        <v>2.0000005751632001E-3</v>
      </c>
      <c r="M225" s="1273">
        <v>2.0000005751632001E-3</v>
      </c>
      <c r="N225" s="1271">
        <v>0.237494901162837</v>
      </c>
      <c r="O225" s="1258">
        <v>3.1850009128239903E-2</v>
      </c>
      <c r="P225" s="1251">
        <v>1.5925004564119952E-2</v>
      </c>
      <c r="Q225" s="1254">
        <v>0.17982490987340599</v>
      </c>
    </row>
    <row r="226" spans="1:17" s="212" customFormat="1" ht="15.5" x14ac:dyDescent="0.35">
      <c r="A226" s="198">
        <v>2019</v>
      </c>
      <c r="B226" s="197" t="s">
        <v>5842</v>
      </c>
      <c r="C226" s="197">
        <v>1977</v>
      </c>
      <c r="D226" s="213" t="str">
        <f t="shared" si="2"/>
        <v>2019_1977</v>
      </c>
      <c r="E226" s="1268">
        <v>0.237494901162837</v>
      </c>
      <c r="F226" s="1278">
        <v>2.16877845983322</v>
      </c>
      <c r="G226" s="1271">
        <v>0.237494901162837</v>
      </c>
      <c r="H226" s="1281">
        <v>4.6987045685053097</v>
      </c>
      <c r="I226" s="1271">
        <v>0.237494901162837</v>
      </c>
      <c r="J226" s="1281">
        <v>1.28788007243097E-2</v>
      </c>
      <c r="K226" s="1271">
        <v>0.237494901162837</v>
      </c>
      <c r="L226" s="1258">
        <v>2.0000005732672202E-3</v>
      </c>
      <c r="M226" s="1273">
        <v>2.0000005732672202E-3</v>
      </c>
      <c r="N226" s="1271">
        <v>0.237494901162837</v>
      </c>
      <c r="O226" s="1258">
        <v>3.1850009128239903E-2</v>
      </c>
      <c r="P226" s="1251">
        <v>1.5925004564119952E-2</v>
      </c>
      <c r="Q226" s="1254">
        <v>0.17982490987340599</v>
      </c>
    </row>
    <row r="227" spans="1:17" s="212" customFormat="1" ht="15.5" x14ac:dyDescent="0.35">
      <c r="A227" s="198">
        <v>2019</v>
      </c>
      <c r="B227" s="197" t="s">
        <v>5842</v>
      </c>
      <c r="C227" s="197">
        <v>1978</v>
      </c>
      <c r="D227" s="213" t="str">
        <f t="shared" ref="D227:D312" si="3">CONCATENATE(A227,"_",C227)</f>
        <v>2019_1978</v>
      </c>
      <c r="E227" s="1268">
        <v>0.237494901162837</v>
      </c>
      <c r="F227" s="1278">
        <v>2.7980696641151801</v>
      </c>
      <c r="G227" s="1271">
        <v>0.237494901162837</v>
      </c>
      <c r="H227" s="1281">
        <v>4.4663983665123803</v>
      </c>
      <c r="I227" s="1271">
        <v>0.237494901162837</v>
      </c>
      <c r="J227" s="1281">
        <v>1.6818465300739001E-2</v>
      </c>
      <c r="K227" s="1271">
        <v>0.237494901162837</v>
      </c>
      <c r="L227" s="1258">
        <v>2.0000005744105899E-3</v>
      </c>
      <c r="M227" s="1273">
        <v>2.0000005744105899E-3</v>
      </c>
      <c r="N227" s="1271">
        <v>0.237494901162837</v>
      </c>
      <c r="O227" s="1258">
        <v>3.1850009128239903E-2</v>
      </c>
      <c r="P227" s="1251">
        <v>1.5925004564119952E-2</v>
      </c>
      <c r="Q227" s="1254">
        <v>0.17982490987340599</v>
      </c>
    </row>
    <row r="228" spans="1:17" s="212" customFormat="1" ht="15.5" x14ac:dyDescent="0.35">
      <c r="A228" s="198">
        <v>2019</v>
      </c>
      <c r="B228" s="197" t="s">
        <v>5842</v>
      </c>
      <c r="C228" s="197">
        <v>1979</v>
      </c>
      <c r="D228" s="213" t="str">
        <f t="shared" si="3"/>
        <v>2019_1979</v>
      </c>
      <c r="E228" s="1268">
        <v>0.237494901162837</v>
      </c>
      <c r="F228" s="1278">
        <v>2.5092698565176699</v>
      </c>
      <c r="G228" s="1271">
        <v>0.237494901162837</v>
      </c>
      <c r="H228" s="1281">
        <v>4.2915641649240897</v>
      </c>
      <c r="I228" s="1271">
        <v>0.237494901162837</v>
      </c>
      <c r="J228" s="1281">
        <v>1.5226462807893099E-2</v>
      </c>
      <c r="K228" s="1271">
        <v>0.237494901162837</v>
      </c>
      <c r="L228" s="1258">
        <v>2.0000005738037199E-3</v>
      </c>
      <c r="M228" s="1273">
        <v>2.0000005738037199E-3</v>
      </c>
      <c r="N228" s="1271">
        <v>0.237494901162837</v>
      </c>
      <c r="O228" s="1258">
        <v>3.1850009128239903E-2</v>
      </c>
      <c r="P228" s="1251">
        <v>1.5925004564119952E-2</v>
      </c>
      <c r="Q228" s="1254">
        <v>0.17982490987340599</v>
      </c>
    </row>
    <row r="229" spans="1:17" s="212" customFormat="1" ht="15.5" x14ac:dyDescent="0.35">
      <c r="A229" s="198">
        <v>2019</v>
      </c>
      <c r="B229" s="197" t="s">
        <v>5842</v>
      </c>
      <c r="C229" s="197">
        <v>1980</v>
      </c>
      <c r="D229" s="213" t="str">
        <f t="shared" si="3"/>
        <v>2019_1980</v>
      </c>
      <c r="E229" s="1268">
        <v>0.237494901162837</v>
      </c>
      <c r="F229" s="1278">
        <v>2.7924448481138899</v>
      </c>
      <c r="G229" s="1271">
        <v>0.237494901162837</v>
      </c>
      <c r="H229" s="1281">
        <v>3.62566335592361</v>
      </c>
      <c r="I229" s="1271">
        <v>0.237494901162837</v>
      </c>
      <c r="J229" s="1281">
        <v>1.6833672755954699E-2</v>
      </c>
      <c r="K229" s="1271">
        <v>0.237494901162837</v>
      </c>
      <c r="L229" s="1258">
        <v>2.00000057480862E-3</v>
      </c>
      <c r="M229" s="1273">
        <v>2.00000057480862E-3</v>
      </c>
      <c r="N229" s="1271">
        <v>0.237494901162837</v>
      </c>
      <c r="O229" s="1258">
        <v>3.1850009128239903E-2</v>
      </c>
      <c r="P229" s="1251">
        <v>1.5925004564119952E-2</v>
      </c>
      <c r="Q229" s="1254">
        <v>0.17982490987340599</v>
      </c>
    </row>
    <row r="230" spans="1:17" s="212" customFormat="1" ht="15.5" x14ac:dyDescent="0.35">
      <c r="A230" s="198">
        <v>2019</v>
      </c>
      <c r="B230" s="197" t="s">
        <v>5842</v>
      </c>
      <c r="C230" s="197">
        <v>1981</v>
      </c>
      <c r="D230" s="213" t="str">
        <f t="shared" si="3"/>
        <v>2019_1981</v>
      </c>
      <c r="E230" s="1268">
        <v>0.237494901162837</v>
      </c>
      <c r="F230" s="1278">
        <v>2.6339711440291702</v>
      </c>
      <c r="G230" s="1271">
        <v>0.237494901162837</v>
      </c>
      <c r="H230" s="1281">
        <v>4.2862902297785599</v>
      </c>
      <c r="I230" s="1271">
        <v>0.237494901162837</v>
      </c>
      <c r="J230" s="1281">
        <v>1.5329532083437E-2</v>
      </c>
      <c r="K230" s="1271">
        <v>0.237494901162837</v>
      </c>
      <c r="L230" s="1258">
        <v>2.0000005741686901E-3</v>
      </c>
      <c r="M230" s="1273">
        <v>2.0000005741686901E-3</v>
      </c>
      <c r="N230" s="1271">
        <v>0.237494901162837</v>
      </c>
      <c r="O230" s="1258">
        <v>3.1850009128239903E-2</v>
      </c>
      <c r="P230" s="1251">
        <v>1.5925004564119952E-2</v>
      </c>
      <c r="Q230" s="1254">
        <v>0.17982490987340599</v>
      </c>
    </row>
    <row r="231" spans="1:17" s="212" customFormat="1" ht="15.5" x14ac:dyDescent="0.35">
      <c r="A231" s="198">
        <v>2019</v>
      </c>
      <c r="B231" s="197" t="s">
        <v>5842</v>
      </c>
      <c r="C231" s="197">
        <v>1982</v>
      </c>
      <c r="D231" s="213" t="str">
        <f t="shared" si="3"/>
        <v>2019_1982</v>
      </c>
      <c r="E231" s="1267">
        <v>0.228257669083795</v>
      </c>
      <c r="F231" s="1278">
        <v>2.5516248945564399</v>
      </c>
      <c r="G231" s="1270">
        <v>5.1733964441440001</v>
      </c>
      <c r="H231" s="1281">
        <v>3.9399165328623398</v>
      </c>
      <c r="I231" s="1270">
        <v>0.17204576387284601</v>
      </c>
      <c r="J231" s="1281">
        <v>1.50269038943416E-2</v>
      </c>
      <c r="K231" s="1270">
        <v>3.0000008615806901E-3</v>
      </c>
      <c r="L231" s="1258">
        <v>2.0000005740230501E-3</v>
      </c>
      <c r="M231" s="1273">
        <v>2.0000005740230501E-3</v>
      </c>
      <c r="N231" s="1270">
        <v>3.1850009128239903E-2</v>
      </c>
      <c r="O231" s="1258">
        <v>3.1850009128239903E-2</v>
      </c>
      <c r="P231" s="1251">
        <v>1.5925004564119952E-2</v>
      </c>
      <c r="Q231" s="1252">
        <v>0.17982490987340599</v>
      </c>
    </row>
    <row r="232" spans="1:17" s="212" customFormat="1" ht="15.5" x14ac:dyDescent="0.35">
      <c r="A232" s="198">
        <v>2019</v>
      </c>
      <c r="B232" s="197" t="s">
        <v>5842</v>
      </c>
      <c r="C232" s="197">
        <v>1983</v>
      </c>
      <c r="D232" s="213" t="str">
        <f t="shared" si="3"/>
        <v>2019_1983</v>
      </c>
      <c r="E232" s="1267">
        <v>0.224804216309716</v>
      </c>
      <c r="F232" s="1278">
        <v>2.5025134193207501</v>
      </c>
      <c r="G232" s="1248">
        <v>5.2265168258144303</v>
      </c>
      <c r="H232" s="1278">
        <v>4.4240247103546997</v>
      </c>
      <c r="I232" s="1248">
        <v>0.16944277610511899</v>
      </c>
      <c r="J232" s="1278">
        <v>1.6427287170082901E-2</v>
      </c>
      <c r="K232" s="1248">
        <v>3.0000008610423E-3</v>
      </c>
      <c r="L232" s="1250">
        <v>2.0000005744488999E-3</v>
      </c>
      <c r="M232" s="1273">
        <v>2.0000005744488999E-3</v>
      </c>
      <c r="N232" s="1248">
        <v>3.1850009128239903E-2</v>
      </c>
      <c r="O232" s="1249">
        <v>3.1850009128239903E-2</v>
      </c>
      <c r="P232" s="1251">
        <v>1.5925004564119952E-2</v>
      </c>
      <c r="Q232" s="1252">
        <v>0.17710422654940899</v>
      </c>
    </row>
    <row r="233" spans="1:17" s="212" customFormat="1" ht="15.5" x14ac:dyDescent="0.35">
      <c r="A233" s="198">
        <v>2019</v>
      </c>
      <c r="B233" s="197" t="s">
        <v>5842</v>
      </c>
      <c r="C233" s="197">
        <v>1984</v>
      </c>
      <c r="D233" s="213" t="str">
        <f t="shared" si="3"/>
        <v>2019_1984</v>
      </c>
      <c r="E233" s="1267">
        <v>0.23407244862917201</v>
      </c>
      <c r="F233" s="1278">
        <v>1.6907912669953</v>
      </c>
      <c r="G233" s="1248">
        <v>5.0957967628760104</v>
      </c>
      <c r="H233" s="1278">
        <v>3.6166193996570399</v>
      </c>
      <c r="I233" s="1248">
        <v>0.176428565960733</v>
      </c>
      <c r="J233" s="1278">
        <v>1.59167315356077E-2</v>
      </c>
      <c r="K233" s="1248">
        <v>3.0000008615380901E-3</v>
      </c>
      <c r="L233" s="1250">
        <v>2.00000057429535E-3</v>
      </c>
      <c r="M233" s="1273">
        <v>2.00000057429535E-3</v>
      </c>
      <c r="N233" s="1248">
        <v>3.1850009128239903E-2</v>
      </c>
      <c r="O233" s="1249">
        <v>3.1850009128239903E-2</v>
      </c>
      <c r="P233" s="1251">
        <v>1.5925004564119952E-2</v>
      </c>
      <c r="Q233" s="1252">
        <v>0.184405882823311</v>
      </c>
    </row>
    <row r="234" spans="1:17" s="212" customFormat="1" ht="15.5" x14ac:dyDescent="0.35">
      <c r="A234" s="198">
        <v>2019</v>
      </c>
      <c r="B234" s="197" t="s">
        <v>5842</v>
      </c>
      <c r="C234" s="197">
        <v>1985</v>
      </c>
      <c r="D234" s="213" t="str">
        <f t="shared" si="3"/>
        <v>2019_1985</v>
      </c>
      <c r="E234" s="1267">
        <v>0.234422971897539</v>
      </c>
      <c r="F234" s="1278">
        <v>2.0428417126489</v>
      </c>
      <c r="G234" s="1248">
        <v>5.0798574562482601</v>
      </c>
      <c r="H234" s="1278">
        <v>3.96424731029976</v>
      </c>
      <c r="I234" s="1248">
        <v>0.17669276756983299</v>
      </c>
      <c r="J234" s="1278">
        <v>1.54404587931046E-2</v>
      </c>
      <c r="K234" s="1248">
        <v>3.00000086152526E-3</v>
      </c>
      <c r="L234" s="1250">
        <v>2.0000005741215802E-3</v>
      </c>
      <c r="M234" s="1273">
        <v>2.0000005741215802E-3</v>
      </c>
      <c r="N234" s="1248">
        <v>3.1850009128239903E-2</v>
      </c>
      <c r="O234" s="1249">
        <v>3.1850009128239903E-2</v>
      </c>
      <c r="P234" s="1251">
        <v>1.5925004564119952E-2</v>
      </c>
      <c r="Q234" s="1252">
        <v>0.18468203045679699</v>
      </c>
    </row>
    <row r="235" spans="1:17" s="212" customFormat="1" ht="15.5" x14ac:dyDescent="0.35">
      <c r="A235" s="198">
        <v>2019</v>
      </c>
      <c r="B235" s="197" t="s">
        <v>5842</v>
      </c>
      <c r="C235" s="197">
        <v>1986</v>
      </c>
      <c r="D235" s="213" t="str">
        <f t="shared" si="3"/>
        <v>2019_1986</v>
      </c>
      <c r="E235" s="1267">
        <v>0.22706619058934599</v>
      </c>
      <c r="F235" s="1278">
        <v>1.6043391434841301</v>
      </c>
      <c r="G235" s="1248">
        <v>5.1932205009165697</v>
      </c>
      <c r="H235" s="1278">
        <v>4.3018733933008102</v>
      </c>
      <c r="I235" s="1248">
        <v>0.171147704988173</v>
      </c>
      <c r="J235" s="1278">
        <v>1.53469404051876E-2</v>
      </c>
      <c r="K235" s="1248">
        <v>3.0000008612381499E-3</v>
      </c>
      <c r="L235" s="1250">
        <v>2.0000005740729199E-3</v>
      </c>
      <c r="M235" s="1273">
        <v>2.0000005740729199E-3</v>
      </c>
      <c r="N235" s="1248">
        <v>3.1850009128239903E-2</v>
      </c>
      <c r="O235" s="1249">
        <v>3.1850009128239903E-2</v>
      </c>
      <c r="P235" s="1251">
        <v>1.5925004564119952E-2</v>
      </c>
      <c r="Q235" s="1252">
        <v>0.178886244751045</v>
      </c>
    </row>
    <row r="236" spans="1:17" s="212" customFormat="1" ht="15.5" x14ac:dyDescent="0.35">
      <c r="A236" s="198">
        <v>2019</v>
      </c>
      <c r="B236" s="197" t="s">
        <v>5842</v>
      </c>
      <c r="C236" s="197">
        <v>1987</v>
      </c>
      <c r="D236" s="213" t="str">
        <f t="shared" si="3"/>
        <v>2019_1987</v>
      </c>
      <c r="E236" s="1267">
        <v>0.28281388337501101</v>
      </c>
      <c r="F236" s="1278">
        <v>2.0037702322865698</v>
      </c>
      <c r="G236" s="1248">
        <v>5.32969371100506</v>
      </c>
      <c r="H236" s="1278">
        <v>4.4954437360575596</v>
      </c>
      <c r="I236" s="1248">
        <v>0.19260687044978</v>
      </c>
      <c r="J236" s="1278">
        <v>1.52921668492925E-2</v>
      </c>
      <c r="K236" s="1248">
        <v>3.00000086120987E-3</v>
      </c>
      <c r="L236" s="1250">
        <v>2.00000057415793E-3</v>
      </c>
      <c r="M236" s="1273">
        <v>2.00000057415793E-3</v>
      </c>
      <c r="N236" s="1248">
        <v>3.1850009128239903E-2</v>
      </c>
      <c r="O236" s="1249">
        <v>3.1850009128239903E-2</v>
      </c>
      <c r="P236" s="1251">
        <v>1.5925004564119952E-2</v>
      </c>
      <c r="Q236" s="1252">
        <v>0.20131569845118899</v>
      </c>
    </row>
    <row r="237" spans="1:17" s="212" customFormat="1" ht="15.5" x14ac:dyDescent="0.35">
      <c r="A237" s="198">
        <v>2019</v>
      </c>
      <c r="B237" s="197" t="s">
        <v>5842</v>
      </c>
      <c r="C237" s="197">
        <v>1988</v>
      </c>
      <c r="D237" s="213" t="str">
        <f t="shared" si="3"/>
        <v>2019_1988</v>
      </c>
      <c r="E237" s="1267">
        <v>0.27810863501470201</v>
      </c>
      <c r="F237" s="1278">
        <v>0.48377319894867199</v>
      </c>
      <c r="G237" s="1248">
        <v>5.36757827554651</v>
      </c>
      <c r="H237" s="1278">
        <v>1.2145016714125001</v>
      </c>
      <c r="I237" s="1248">
        <v>0.189402419697388</v>
      </c>
      <c r="J237" s="1278">
        <v>1.37280727598285E-2</v>
      </c>
      <c r="K237" s="1248">
        <v>3.00000086103562E-3</v>
      </c>
      <c r="L237" s="1250">
        <v>2.0000005741490998E-3</v>
      </c>
      <c r="M237" s="1273">
        <v>2.0000005741490998E-3</v>
      </c>
      <c r="N237" s="1248">
        <v>3.1850009128239903E-2</v>
      </c>
      <c r="O237" s="1249">
        <v>3.1850009128239903E-2</v>
      </c>
      <c r="P237" s="1251">
        <v>1.5925004564119952E-2</v>
      </c>
      <c r="Q237" s="1252">
        <v>0.19796635665531401</v>
      </c>
    </row>
    <row r="238" spans="1:17" s="212" customFormat="1" ht="15.5" x14ac:dyDescent="0.35">
      <c r="A238" s="198">
        <v>2019</v>
      </c>
      <c r="B238" s="197" t="s">
        <v>5842</v>
      </c>
      <c r="C238" s="197">
        <v>1989</v>
      </c>
      <c r="D238" s="213" t="str">
        <f t="shared" si="3"/>
        <v>2019_1989</v>
      </c>
      <c r="E238" s="1267">
        <v>0.27935356732880801</v>
      </c>
      <c r="F238" s="1278">
        <v>0.32685288146435298</v>
      </c>
      <c r="G238" s="1248">
        <v>5.3698051427087403</v>
      </c>
      <c r="H238" s="1278">
        <v>1.64071940822034</v>
      </c>
      <c r="I238" s="1248">
        <v>0.190250265333819</v>
      </c>
      <c r="J238" s="1278">
        <v>1.33798461890284E-2</v>
      </c>
      <c r="K238" s="1248">
        <v>3.0000008611475101E-3</v>
      </c>
      <c r="L238" s="1250">
        <v>2.0000005740683701E-3</v>
      </c>
      <c r="M238" s="1273">
        <v>2.0000005740683701E-3</v>
      </c>
      <c r="N238" s="1248">
        <v>3.1850009128239903E-2</v>
      </c>
      <c r="O238" s="1249">
        <v>3.1850009128239903E-2</v>
      </c>
      <c r="P238" s="1251">
        <v>1.5925004564119952E-2</v>
      </c>
      <c r="Q238" s="1252">
        <v>0.198852538109166</v>
      </c>
    </row>
    <row r="239" spans="1:17" s="212" customFormat="1" ht="15.5" x14ac:dyDescent="0.35">
      <c r="A239" s="198">
        <v>2019</v>
      </c>
      <c r="B239" s="197" t="s">
        <v>5842</v>
      </c>
      <c r="C239" s="197">
        <v>1990</v>
      </c>
      <c r="D239" s="213" t="str">
        <f t="shared" si="3"/>
        <v>2019_1990</v>
      </c>
      <c r="E239" s="1267">
        <v>0.28016433154418702</v>
      </c>
      <c r="F239" s="1278">
        <v>0.44668085846028399</v>
      </c>
      <c r="G239" s="1248">
        <v>5.3626788270354604</v>
      </c>
      <c r="H239" s="1278">
        <v>1.6618288515073201</v>
      </c>
      <c r="I239" s="1248">
        <v>0.190802426197824</v>
      </c>
      <c r="J239" s="1278">
        <v>1.3970821912754601E-2</v>
      </c>
      <c r="K239" s="1248">
        <v>3.0000008611358801E-3</v>
      </c>
      <c r="L239" s="1250">
        <v>2.0000005742109301E-3</v>
      </c>
      <c r="M239" s="1273">
        <v>2.0000005742109301E-3</v>
      </c>
      <c r="N239" s="1248">
        <v>3.1850009128239903E-2</v>
      </c>
      <c r="O239" s="1249">
        <v>3.1850009128239903E-2</v>
      </c>
      <c r="P239" s="1251">
        <v>1.5925004564119952E-2</v>
      </c>
      <c r="Q239" s="1252">
        <v>0.19942966523726299</v>
      </c>
    </row>
    <row r="240" spans="1:17" s="212" customFormat="1" ht="15.5" x14ac:dyDescent="0.35">
      <c r="A240" s="198">
        <v>2019</v>
      </c>
      <c r="B240" s="197" t="s">
        <v>5842</v>
      </c>
      <c r="C240" s="197">
        <v>1991</v>
      </c>
      <c r="D240" s="213" t="str">
        <f t="shared" si="3"/>
        <v>2019_1991</v>
      </c>
      <c r="E240" s="1267">
        <v>0.36836701293776503</v>
      </c>
      <c r="F240" s="1278">
        <v>0.46401082440397101</v>
      </c>
      <c r="G240" s="1248">
        <v>9.3353962042926302</v>
      </c>
      <c r="H240" s="1278">
        <v>2.9029686705142801</v>
      </c>
      <c r="I240" s="1248">
        <v>5.2206184188413399E-2</v>
      </c>
      <c r="J240" s="1278">
        <v>7.4474743604929202E-3</v>
      </c>
      <c r="K240" s="1248">
        <v>3.0000008612962301E-3</v>
      </c>
      <c r="L240" s="1250">
        <v>2.0000005740638499E-3</v>
      </c>
      <c r="M240" s="1273">
        <v>2.0000005740638499E-3</v>
      </c>
      <c r="N240" s="1248">
        <v>3.1850009128239903E-2</v>
      </c>
      <c r="O240" s="1249">
        <v>3.1850009128239903E-2</v>
      </c>
      <c r="P240" s="1251">
        <v>1.5925004564119952E-2</v>
      </c>
      <c r="Q240" s="1252">
        <v>5.45667161759021E-2</v>
      </c>
    </row>
    <row r="241" spans="1:17" s="212" customFormat="1" ht="15.5" x14ac:dyDescent="0.35">
      <c r="A241" s="198">
        <v>2019</v>
      </c>
      <c r="B241" s="197" t="s">
        <v>5842</v>
      </c>
      <c r="C241" s="197">
        <v>1992</v>
      </c>
      <c r="D241" s="213" t="str">
        <f t="shared" si="3"/>
        <v>2019_1992</v>
      </c>
      <c r="E241" s="1267">
        <v>0.36916694590981902</v>
      </c>
      <c r="F241" s="1278">
        <v>0.46874145572713999</v>
      </c>
      <c r="G241" s="1248">
        <v>9.3266274970746093</v>
      </c>
      <c r="H241" s="1278">
        <v>2.90947332923737</v>
      </c>
      <c r="I241" s="1248">
        <v>5.2319553319227802E-2</v>
      </c>
      <c r="J241" s="1278">
        <v>7.5536280707780802E-3</v>
      </c>
      <c r="K241" s="1248">
        <v>3.0000008612801202E-3</v>
      </c>
      <c r="L241" s="1250">
        <v>2.0000005741436298E-3</v>
      </c>
      <c r="M241" s="1273">
        <v>2.0000005741436298E-3</v>
      </c>
      <c r="N241" s="1248">
        <v>3.1850009128239903E-2</v>
      </c>
      <c r="O241" s="1249">
        <v>3.1850009128239903E-2</v>
      </c>
      <c r="P241" s="1251">
        <v>1.5925004564119952E-2</v>
      </c>
      <c r="Q241" s="1252">
        <v>5.4685211355743897E-2</v>
      </c>
    </row>
    <row r="242" spans="1:17" s="212" customFormat="1" ht="15.5" x14ac:dyDescent="0.35">
      <c r="A242" s="198">
        <v>2019</v>
      </c>
      <c r="B242" s="197" t="s">
        <v>5842</v>
      </c>
      <c r="C242" s="197">
        <v>1993</v>
      </c>
      <c r="D242" s="213" t="str">
        <f t="shared" si="3"/>
        <v>2019_1993</v>
      </c>
      <c r="E242" s="1267">
        <v>0.371151225318057</v>
      </c>
      <c r="F242" s="1278">
        <v>0.45898571022353002</v>
      </c>
      <c r="G242" s="1248">
        <v>9.29249255143265</v>
      </c>
      <c r="H242" s="1278">
        <v>2.88908296639296</v>
      </c>
      <c r="I242" s="1248">
        <v>5.2600771920865201E-2</v>
      </c>
      <c r="J242" s="1278">
        <v>7.4246569372396496E-3</v>
      </c>
      <c r="K242" s="1248">
        <v>3.0000008613410801E-3</v>
      </c>
      <c r="L242" s="1250">
        <v>2.0000005740665001E-3</v>
      </c>
      <c r="M242" s="1273">
        <v>2.0000005740665001E-3</v>
      </c>
      <c r="N242" s="1248">
        <v>3.1850009128239903E-2</v>
      </c>
      <c r="O242" s="1249">
        <v>3.1850009128239903E-2</v>
      </c>
      <c r="P242" s="1251">
        <v>1.5925004564119952E-2</v>
      </c>
      <c r="Q242" s="1252">
        <v>5.4979145414658301E-2</v>
      </c>
    </row>
    <row r="243" spans="1:17" s="212" customFormat="1" ht="15.5" x14ac:dyDescent="0.35">
      <c r="A243" s="198">
        <v>2019</v>
      </c>
      <c r="B243" s="197" t="s">
        <v>5842</v>
      </c>
      <c r="C243" s="197">
        <v>1994</v>
      </c>
      <c r="D243" s="213" t="str">
        <f t="shared" si="3"/>
        <v>2019_1994</v>
      </c>
      <c r="E243" s="1267">
        <v>0.36507510684880501</v>
      </c>
      <c r="F243" s="1278">
        <v>0.45501269982406101</v>
      </c>
      <c r="G243" s="1248">
        <v>9.3820212363746993</v>
      </c>
      <c r="H243" s="1278">
        <v>2.8794921005062601</v>
      </c>
      <c r="I243" s="1248">
        <v>5.227451017102E-2</v>
      </c>
      <c r="J243" s="1278">
        <v>7.3834529415268101E-3</v>
      </c>
      <c r="K243" s="1248">
        <v>3.0000008612567101E-3</v>
      </c>
      <c r="L243" s="1250">
        <v>2.0000005740510901E-3</v>
      </c>
      <c r="M243" s="1273">
        <v>2.0000005740510901E-3</v>
      </c>
      <c r="N243" s="1248">
        <v>3.1850009128239903E-2</v>
      </c>
      <c r="O243" s="1249">
        <v>3.1850009128239903E-2</v>
      </c>
      <c r="P243" s="1251">
        <v>1.5925004564119952E-2</v>
      </c>
      <c r="Q243" s="1252">
        <v>5.4638131556250198E-2</v>
      </c>
    </row>
    <row r="244" spans="1:17" s="212" customFormat="1" ht="15.5" x14ac:dyDescent="0.35">
      <c r="A244" s="198">
        <v>2019</v>
      </c>
      <c r="B244" s="197" t="s">
        <v>5842</v>
      </c>
      <c r="C244" s="197">
        <v>1995</v>
      </c>
      <c r="D244" s="213" t="str">
        <f t="shared" si="3"/>
        <v>2019_1995</v>
      </c>
      <c r="E244" s="1267">
        <v>0.36721088064454999</v>
      </c>
      <c r="F244" s="1278">
        <v>0.24449967994488001</v>
      </c>
      <c r="G244" s="1248">
        <v>9.3720009199777898</v>
      </c>
      <c r="H244" s="1278">
        <v>1.64637485989423</v>
      </c>
      <c r="I244" s="1248">
        <v>5.2580328143579998E-2</v>
      </c>
      <c r="J244" s="1278">
        <v>4.8537696776347096E-3</v>
      </c>
      <c r="K244" s="1248">
        <v>3.0000008612503701E-3</v>
      </c>
      <c r="L244" s="1250">
        <v>2.0000005741226501E-3</v>
      </c>
      <c r="M244" s="1273">
        <v>2.0000005741226501E-3</v>
      </c>
      <c r="N244" s="1248">
        <v>3.1850009128239903E-2</v>
      </c>
      <c r="O244" s="1249">
        <v>3.1850009128239903E-2</v>
      </c>
      <c r="P244" s="1251">
        <v>1.5925004564119952E-2</v>
      </c>
      <c r="Q244" s="1252">
        <v>5.4957777260482198E-2</v>
      </c>
    </row>
    <row r="245" spans="1:17" s="212" customFormat="1" ht="15.5" x14ac:dyDescent="0.35">
      <c r="A245" s="198">
        <v>2019</v>
      </c>
      <c r="B245" s="197" t="s">
        <v>5842</v>
      </c>
      <c r="C245" s="197">
        <v>1996</v>
      </c>
      <c r="D245" s="213" t="str">
        <f t="shared" si="3"/>
        <v>2019_1996</v>
      </c>
      <c r="E245" s="1267">
        <v>0.368044012143731</v>
      </c>
      <c r="F245" s="1278">
        <v>2.2372962576414499E-2</v>
      </c>
      <c r="G245" s="1248">
        <v>9.3454870421498004</v>
      </c>
      <c r="H245" s="1278">
        <v>0.39274763473169899</v>
      </c>
      <c r="I245" s="1248">
        <v>5.2726880567130902E-2</v>
      </c>
      <c r="J245" s="1278">
        <v>2.1793855746600199E-3</v>
      </c>
      <c r="K245" s="1248">
        <v>3.0000008612905702E-3</v>
      </c>
      <c r="L245" s="1250">
        <v>2.0000005741351002E-3</v>
      </c>
      <c r="M245" s="1273">
        <v>2.0000005741351002E-3</v>
      </c>
      <c r="N245" s="1248">
        <v>3.1850009128239903E-2</v>
      </c>
      <c r="O245" s="1249">
        <v>3.1850009128239903E-2</v>
      </c>
      <c r="P245" s="1251">
        <v>1.5925004564119952E-2</v>
      </c>
      <c r="Q245" s="1252">
        <v>5.5110956134309198E-2</v>
      </c>
    </row>
    <row r="246" spans="1:17" s="212" customFormat="1" ht="15.5" x14ac:dyDescent="0.35">
      <c r="A246" s="198">
        <v>2019</v>
      </c>
      <c r="B246" s="197" t="s">
        <v>5842</v>
      </c>
      <c r="C246" s="197">
        <v>1997</v>
      </c>
      <c r="D246" s="213" t="str">
        <f t="shared" si="3"/>
        <v>2019_1997</v>
      </c>
      <c r="E246" s="1267">
        <v>0.368396208901551</v>
      </c>
      <c r="F246" s="1278">
        <v>2.1512941405427099E-2</v>
      </c>
      <c r="G246" s="1248">
        <v>9.2973123093273706</v>
      </c>
      <c r="H246" s="1278">
        <v>0.38644024414060801</v>
      </c>
      <c r="I246" s="1248">
        <v>5.2838255250589501E-2</v>
      </c>
      <c r="J246" s="1278">
        <v>2.0977017844686402E-3</v>
      </c>
      <c r="K246" s="1248">
        <v>3.0000008612917199E-3</v>
      </c>
      <c r="L246" s="1250">
        <v>2.0000005740512198E-3</v>
      </c>
      <c r="M246" s="1273">
        <v>2.0000005740512198E-3</v>
      </c>
      <c r="N246" s="1248">
        <v>3.1850009128239903E-2</v>
      </c>
      <c r="O246" s="1249">
        <v>3.1850009128239903E-2</v>
      </c>
      <c r="P246" s="1251">
        <v>1.5925004564119952E-2</v>
      </c>
      <c r="Q246" s="1252">
        <v>5.5227366686736001E-2</v>
      </c>
    </row>
    <row r="247" spans="1:17" s="212" customFormat="1" ht="15.5" x14ac:dyDescent="0.35">
      <c r="A247" s="198">
        <v>2019</v>
      </c>
      <c r="B247" s="197" t="s">
        <v>5842</v>
      </c>
      <c r="C247" s="197">
        <v>1998</v>
      </c>
      <c r="D247" s="213" t="str">
        <f t="shared" si="3"/>
        <v>2019_1998</v>
      </c>
      <c r="E247" s="1267">
        <v>0.36760564475200602</v>
      </c>
      <c r="F247" s="1278">
        <v>2.1811046483827101E-2</v>
      </c>
      <c r="G247" s="1248">
        <v>9.2810272347925498</v>
      </c>
      <c r="H247" s="1278">
        <v>0.38669164534584599</v>
      </c>
      <c r="I247" s="1248">
        <v>5.2820052677118E-2</v>
      </c>
      <c r="J247" s="1278">
        <v>2.12908884188961E-3</v>
      </c>
      <c r="K247" s="1248">
        <v>3.00000086137431E-3</v>
      </c>
      <c r="L247" s="1250">
        <v>2.0000005740930501E-3</v>
      </c>
      <c r="M247" s="1273">
        <v>2.0000005740930501E-3</v>
      </c>
      <c r="N247" s="1248">
        <v>3.1850009128239903E-2</v>
      </c>
      <c r="O247" s="1249">
        <v>3.1850009128239903E-2</v>
      </c>
      <c r="P247" s="1251">
        <v>1.5925004564119952E-2</v>
      </c>
      <c r="Q247" s="1252">
        <v>5.5208341073664902E-2</v>
      </c>
    </row>
    <row r="248" spans="1:17" s="212" customFormat="1" ht="15.5" x14ac:dyDescent="0.35">
      <c r="A248" s="198">
        <v>2019</v>
      </c>
      <c r="B248" s="197" t="s">
        <v>5842</v>
      </c>
      <c r="C248" s="197">
        <v>1999</v>
      </c>
      <c r="D248" s="213" t="str">
        <f t="shared" si="3"/>
        <v>2019_1999</v>
      </c>
      <c r="E248" s="1267">
        <v>0.36228948523415999</v>
      </c>
      <c r="F248" s="1278">
        <v>2.16753549938749E-2</v>
      </c>
      <c r="G248" s="1248">
        <v>9.3055546878646496</v>
      </c>
      <c r="H248" s="1278">
        <v>0.383971564046031</v>
      </c>
      <c r="I248" s="1248">
        <v>5.21852142168302E-2</v>
      </c>
      <c r="J248" s="1278">
        <v>2.1275835736963701E-3</v>
      </c>
      <c r="K248" s="1248">
        <v>3.0000008613374199E-3</v>
      </c>
      <c r="L248" s="1250">
        <v>2.0000005741059798E-3</v>
      </c>
      <c r="M248" s="1273">
        <v>2.0000005741059798E-3</v>
      </c>
      <c r="N248" s="1248">
        <v>3.1850009128239903E-2</v>
      </c>
      <c r="O248" s="1249">
        <v>3.1850009128239903E-2</v>
      </c>
      <c r="P248" s="1251">
        <v>1.5925004564119952E-2</v>
      </c>
      <c r="Q248" s="1252">
        <v>5.4544798035256699E-2</v>
      </c>
    </row>
    <row r="249" spans="1:17" s="212" customFormat="1" ht="15.5" x14ac:dyDescent="0.35">
      <c r="A249" s="198">
        <v>2019</v>
      </c>
      <c r="B249" s="197" t="s">
        <v>5842</v>
      </c>
      <c r="C249" s="197">
        <v>2000</v>
      </c>
      <c r="D249" s="213" t="str">
        <f t="shared" si="3"/>
        <v>2019_2000</v>
      </c>
      <c r="E249" s="1267">
        <v>0.35463379770416098</v>
      </c>
      <c r="F249" s="1278">
        <v>2.1880348585883901E-2</v>
      </c>
      <c r="G249" s="1248">
        <v>9.3709544930826603</v>
      </c>
      <c r="H249" s="1278">
        <v>0.38225313304435099</v>
      </c>
      <c r="I249" s="1248">
        <v>5.1245039865173002E-2</v>
      </c>
      <c r="J249" s="1278">
        <v>2.1613171355072901E-3</v>
      </c>
      <c r="K249" s="1248">
        <v>3.0000008612536999E-3</v>
      </c>
      <c r="L249" s="1250">
        <v>2.0000005741485898E-3</v>
      </c>
      <c r="M249" s="1273">
        <v>2.0000005741485898E-3</v>
      </c>
      <c r="N249" s="1248">
        <v>3.1850009128239903E-2</v>
      </c>
      <c r="O249" s="1249">
        <v>3.1850009128239903E-2</v>
      </c>
      <c r="P249" s="1251">
        <v>1.5925004564119952E-2</v>
      </c>
      <c r="Q249" s="1252">
        <v>5.3562113171379599E-2</v>
      </c>
    </row>
    <row r="250" spans="1:17" s="212" customFormat="1" ht="15.5" x14ac:dyDescent="0.35">
      <c r="A250" s="198">
        <v>2019</v>
      </c>
      <c r="B250" s="197" t="s">
        <v>5842</v>
      </c>
      <c r="C250" s="197">
        <v>2001</v>
      </c>
      <c r="D250" s="213" t="str">
        <f t="shared" si="3"/>
        <v>2019_2001</v>
      </c>
      <c r="E250" s="1267">
        <v>0.35311858092158799</v>
      </c>
      <c r="F250" s="1278">
        <v>2.1796383378945801E-2</v>
      </c>
      <c r="G250" s="1248">
        <v>9.2912640817719492</v>
      </c>
      <c r="H250" s="1278">
        <v>0.37745690219779299</v>
      </c>
      <c r="I250" s="1248">
        <v>5.1226474089870903E-2</v>
      </c>
      <c r="J250" s="1278">
        <v>2.1705152058518399E-3</v>
      </c>
      <c r="K250" s="1248">
        <v>3.0000008613343299E-3</v>
      </c>
      <c r="L250" s="1250">
        <v>2.0000005741744298E-3</v>
      </c>
      <c r="M250" s="1273">
        <v>2.0000005741744298E-3</v>
      </c>
      <c r="N250" s="1248">
        <v>3.1850009128239903E-2</v>
      </c>
      <c r="O250" s="1249">
        <v>3.1850009128239903E-2</v>
      </c>
      <c r="P250" s="1251">
        <v>1.5925004564119952E-2</v>
      </c>
      <c r="Q250" s="1252">
        <v>5.35427079341027E-2</v>
      </c>
    </row>
    <row r="251" spans="1:17" s="212" customFormat="1" ht="15.5" x14ac:dyDescent="0.35">
      <c r="A251" s="198">
        <v>2019</v>
      </c>
      <c r="B251" s="197" t="s">
        <v>5842</v>
      </c>
      <c r="C251" s="197">
        <v>2002</v>
      </c>
      <c r="D251" s="213" t="str">
        <f t="shared" si="3"/>
        <v>2019_2002</v>
      </c>
      <c r="E251" s="1267">
        <v>0.27371558007035401</v>
      </c>
      <c r="F251" s="1278">
        <v>2.1513003914709498E-2</v>
      </c>
      <c r="G251" s="1248">
        <v>7.15867700234514</v>
      </c>
      <c r="H251" s="1278">
        <v>0.293646629207032</v>
      </c>
      <c r="I251" s="1248">
        <v>5.1934560659444802E-2</v>
      </c>
      <c r="J251" s="1278">
        <v>2.1668924283529301E-3</v>
      </c>
      <c r="K251" s="1248">
        <v>3.0000008613482198E-3</v>
      </c>
      <c r="L251" s="1250">
        <v>2.0000005741476999E-3</v>
      </c>
      <c r="M251" s="1273">
        <v>2.0000005741476999E-3</v>
      </c>
      <c r="N251" s="1248">
        <v>3.1850009128239903E-2</v>
      </c>
      <c r="O251" s="1249">
        <v>3.1850009128239903E-2</v>
      </c>
      <c r="P251" s="1251">
        <v>1.5925004564119952E-2</v>
      </c>
      <c r="Q251" s="1252">
        <v>5.4282811036265102E-2</v>
      </c>
    </row>
    <row r="252" spans="1:17" s="212" customFormat="1" ht="15.5" x14ac:dyDescent="0.35">
      <c r="A252" s="198">
        <v>2019</v>
      </c>
      <c r="B252" s="197" t="s">
        <v>5842</v>
      </c>
      <c r="C252" s="197">
        <v>2003</v>
      </c>
      <c r="D252" s="213" t="str">
        <f t="shared" si="3"/>
        <v>2019_2003</v>
      </c>
      <c r="E252" s="1267">
        <v>0.26742919480098998</v>
      </c>
      <c r="F252" s="1278">
        <v>2.0952723535987101E-2</v>
      </c>
      <c r="G252" s="1248">
        <v>7.1932649792404098</v>
      </c>
      <c r="H252" s="1278">
        <v>0.28370004072557298</v>
      </c>
      <c r="I252" s="1248">
        <v>5.1019367125677798E-2</v>
      </c>
      <c r="J252" s="1278">
        <v>2.1368827396929901E-3</v>
      </c>
      <c r="K252" s="1248">
        <v>3.0000008612708E-3</v>
      </c>
      <c r="L252" s="1250">
        <v>2.0000005741343699E-3</v>
      </c>
      <c r="M252" s="1273">
        <v>2.0000005741343699E-3</v>
      </c>
      <c r="N252" s="1248">
        <v>3.1850009128239903E-2</v>
      </c>
      <c r="O252" s="1249">
        <v>3.1850009128239903E-2</v>
      </c>
      <c r="P252" s="1251">
        <v>1.5925004564119952E-2</v>
      </c>
      <c r="Q252" s="1252">
        <v>5.33262365120123E-2</v>
      </c>
    </row>
    <row r="253" spans="1:17" s="212" customFormat="1" ht="15.5" x14ac:dyDescent="0.35">
      <c r="A253" s="198">
        <v>2019</v>
      </c>
      <c r="B253" s="197" t="s">
        <v>5842</v>
      </c>
      <c r="C253" s="197">
        <v>2004</v>
      </c>
      <c r="D253" s="213" t="str">
        <f t="shared" si="3"/>
        <v>2019_2004</v>
      </c>
      <c r="E253" s="1267">
        <v>0.53469483225334902</v>
      </c>
      <c r="F253" s="1278">
        <v>1.38809444424396E-2</v>
      </c>
      <c r="G253" s="1248">
        <v>4.1176229537035498</v>
      </c>
      <c r="H253" s="1278">
        <v>0.23194936965729099</v>
      </c>
      <c r="I253" s="1248">
        <v>0.143349469182351</v>
      </c>
      <c r="J253" s="1278">
        <v>1.38981190527889E-4</v>
      </c>
      <c r="K253" s="1248">
        <v>3.0000008612660199E-3</v>
      </c>
      <c r="L253" s="1250">
        <v>2.00000057406963E-3</v>
      </c>
      <c r="M253" s="1273">
        <v>2.00000057406963E-3</v>
      </c>
      <c r="N253" s="1248">
        <v>3.1850009128239903E-2</v>
      </c>
      <c r="O253" s="1249">
        <v>3.1850009128239903E-2</v>
      </c>
      <c r="P253" s="1251">
        <v>1.5925004564119952E-2</v>
      </c>
      <c r="Q253" s="1252">
        <v>0.14983109607492801</v>
      </c>
    </row>
    <row r="254" spans="1:17" s="212" customFormat="1" ht="15.5" x14ac:dyDescent="0.35">
      <c r="A254" s="198">
        <v>2019</v>
      </c>
      <c r="B254" s="197" t="s">
        <v>5842</v>
      </c>
      <c r="C254" s="197">
        <v>2005</v>
      </c>
      <c r="D254" s="213" t="str">
        <f t="shared" si="3"/>
        <v>2019_2005</v>
      </c>
      <c r="E254" s="1267">
        <v>0.52289975174377101</v>
      </c>
      <c r="F254" s="1278">
        <v>1.3745020703299599E-2</v>
      </c>
      <c r="G254" s="1248">
        <v>4.1036495523613903</v>
      </c>
      <c r="H254" s="1278">
        <v>0.223729246445772</v>
      </c>
      <c r="I254" s="1248">
        <v>0.14127349399265901</v>
      </c>
      <c r="J254" s="1278">
        <v>1.4088241880388201E-4</v>
      </c>
      <c r="K254" s="1248">
        <v>3.00000086123879E-3</v>
      </c>
      <c r="L254" s="1250">
        <v>2.00000057410797E-3</v>
      </c>
      <c r="M254" s="1273">
        <v>2.00000057410797E-3</v>
      </c>
      <c r="N254" s="1248">
        <v>3.1850009128239903E-2</v>
      </c>
      <c r="O254" s="1249">
        <v>3.1850009128239903E-2</v>
      </c>
      <c r="P254" s="1251">
        <v>1.5925004564119952E-2</v>
      </c>
      <c r="Q254" s="1252">
        <v>0.14766125449916201</v>
      </c>
    </row>
    <row r="255" spans="1:17" s="212" customFormat="1" ht="15.5" x14ac:dyDescent="0.35">
      <c r="A255" s="198">
        <v>2019</v>
      </c>
      <c r="B255" s="197" t="s">
        <v>5842</v>
      </c>
      <c r="C255" s="197">
        <v>2006</v>
      </c>
      <c r="D255" s="213" t="str">
        <f t="shared" si="3"/>
        <v>2019_2006</v>
      </c>
      <c r="E255" s="1267">
        <v>0.50909190451713104</v>
      </c>
      <c r="F255" s="1278">
        <v>1.36968296549298E-2</v>
      </c>
      <c r="G255" s="1248">
        <v>4.0841336075981003</v>
      </c>
      <c r="H255" s="1278">
        <v>0.21507750312102</v>
      </c>
      <c r="I255" s="1248">
        <v>0.13878212072437399</v>
      </c>
      <c r="J255" s="1278">
        <v>1.41827724780364E-4</v>
      </c>
      <c r="K255" s="1248">
        <v>3.0000008612246802E-3</v>
      </c>
      <c r="L255" s="1250">
        <v>2.0000005741227498E-3</v>
      </c>
      <c r="M255" s="1273">
        <v>2.0000005741227498E-3</v>
      </c>
      <c r="N255" s="1248">
        <v>3.1850009128239903E-2</v>
      </c>
      <c r="O255" s="1249">
        <v>3.1850009128239903E-2</v>
      </c>
      <c r="P255" s="1251">
        <v>1.5925004564119952E-2</v>
      </c>
      <c r="Q255" s="1252">
        <v>0.145057232386991</v>
      </c>
    </row>
    <row r="256" spans="1:17" s="212" customFormat="1" ht="15.5" x14ac:dyDescent="0.35">
      <c r="A256" s="198">
        <v>2019</v>
      </c>
      <c r="B256" s="197" t="s">
        <v>5842</v>
      </c>
      <c r="C256" s="197">
        <v>2007</v>
      </c>
      <c r="D256" s="213" t="str">
        <f t="shared" si="3"/>
        <v>2019_2007</v>
      </c>
      <c r="E256" s="1267">
        <v>0.29279686545504802</v>
      </c>
      <c r="F256" s="1278">
        <v>1.37188604313664E-2</v>
      </c>
      <c r="G256" s="1248">
        <v>2.4055657784054798</v>
      </c>
      <c r="H256" s="1278">
        <v>0.21309270728110399</v>
      </c>
      <c r="I256" s="1248">
        <v>7.8969147081665705E-2</v>
      </c>
      <c r="J256" s="1278">
        <v>1.4520013653857001E-4</v>
      </c>
      <c r="K256" s="1248">
        <v>3.00000086123007E-3</v>
      </c>
      <c r="L256" s="1250">
        <v>2.0000005741839201E-3</v>
      </c>
      <c r="M256" s="1273">
        <v>2.0000005741839201E-3</v>
      </c>
      <c r="N256" s="1248">
        <v>3.1850009128239903E-2</v>
      </c>
      <c r="O256" s="1249">
        <v>3.1850009128239903E-2</v>
      </c>
      <c r="P256" s="1251">
        <v>1.5925004564119952E-2</v>
      </c>
      <c r="Q256" s="1252">
        <v>8.2539781492298306E-2</v>
      </c>
    </row>
    <row r="257" spans="1:17" s="212" customFormat="1" ht="15.5" x14ac:dyDescent="0.35">
      <c r="A257" s="198">
        <v>2019</v>
      </c>
      <c r="B257" s="197" t="s">
        <v>5842</v>
      </c>
      <c r="C257" s="197">
        <v>2008</v>
      </c>
      <c r="D257" s="213" t="str">
        <f t="shared" si="3"/>
        <v>2019_2008</v>
      </c>
      <c r="E257" s="1267">
        <v>0.29248779153693799</v>
      </c>
      <c r="F257" s="1278">
        <v>9.42381642593231E-3</v>
      </c>
      <c r="G257" s="1248">
        <v>2.4160985688686498</v>
      </c>
      <c r="H257" s="1278">
        <v>0.120886693536871</v>
      </c>
      <c r="I257" s="1248">
        <v>7.89455950738608E-2</v>
      </c>
      <c r="J257" s="1278">
        <v>1.4108876091970001E-4</v>
      </c>
      <c r="K257" s="1248">
        <v>3.0000008613203502E-3</v>
      </c>
      <c r="L257" s="1250">
        <v>2.0000005742025202E-3</v>
      </c>
      <c r="M257" s="1273">
        <v>2.0000005742025202E-3</v>
      </c>
      <c r="N257" s="1248">
        <v>3.1850009128239903E-2</v>
      </c>
      <c r="O257" s="1249">
        <v>3.1850009128239903E-2</v>
      </c>
      <c r="P257" s="1251">
        <v>1.5925004564119952E-2</v>
      </c>
      <c r="Q257" s="1252">
        <v>8.2515164567211002E-2</v>
      </c>
    </row>
    <row r="258" spans="1:17" s="212" customFormat="1" ht="15.5" x14ac:dyDescent="0.35">
      <c r="A258" s="198">
        <v>2019</v>
      </c>
      <c r="B258" s="197" t="s">
        <v>5842</v>
      </c>
      <c r="C258" s="197">
        <v>2009</v>
      </c>
      <c r="D258" s="213" t="str">
        <f t="shared" si="3"/>
        <v>2019_2009</v>
      </c>
      <c r="E258" s="1267">
        <v>0.28373144640944298</v>
      </c>
      <c r="F258" s="1278">
        <v>5.0432353364657798E-3</v>
      </c>
      <c r="G258" s="1248">
        <v>2.39741263949192</v>
      </c>
      <c r="H258" s="1278">
        <v>3.89891059101471E-2</v>
      </c>
      <c r="I258" s="1248">
        <v>7.7093266492353693E-2</v>
      </c>
      <c r="J258" s="1278">
        <v>1.29501984890702E-4</v>
      </c>
      <c r="K258" s="1248">
        <v>3.0000008612826499E-3</v>
      </c>
      <c r="L258" s="1250">
        <v>2.0000005741467198E-3</v>
      </c>
      <c r="M258" s="1273">
        <v>2.0000005741467198E-3</v>
      </c>
      <c r="N258" s="1248">
        <v>3.1850009128239903E-2</v>
      </c>
      <c r="O258" s="1249">
        <v>3.1850009128239903E-2</v>
      </c>
      <c r="P258" s="1251">
        <v>1.5925004564119952E-2</v>
      </c>
      <c r="Q258" s="1252">
        <v>8.0579081906834493E-2</v>
      </c>
    </row>
    <row r="259" spans="1:17" s="212" customFormat="1" ht="15.5" x14ac:dyDescent="0.35">
      <c r="A259" s="198">
        <v>2019</v>
      </c>
      <c r="B259" s="197" t="s">
        <v>5842</v>
      </c>
      <c r="C259" s="197">
        <v>2010</v>
      </c>
      <c r="D259" s="213" t="str">
        <f t="shared" si="3"/>
        <v>2019_2010</v>
      </c>
      <c r="E259" s="1267">
        <v>8.0152912710681506E-2</v>
      </c>
      <c r="F259" s="1278">
        <v>5.0454965319530502E-3</v>
      </c>
      <c r="G259" s="1248">
        <v>0.659458697581769</v>
      </c>
      <c r="H259" s="1278">
        <v>3.8848320696057898E-2</v>
      </c>
      <c r="I259" s="1248">
        <v>1.7170973763429499E-2</v>
      </c>
      <c r="J259" s="1278">
        <v>1.5812298692833001E-4</v>
      </c>
      <c r="K259" s="1248">
        <v>3.0000008613251601E-3</v>
      </c>
      <c r="L259" s="1250">
        <v>2.0000005741212701E-3</v>
      </c>
      <c r="M259" s="1273">
        <v>2.0000005741212701E-3</v>
      </c>
      <c r="N259" s="1248">
        <v>3.1850009128239903E-2</v>
      </c>
      <c r="O259" s="1249">
        <v>3.1850009128239903E-2</v>
      </c>
      <c r="P259" s="1251">
        <v>1.5925004564119952E-2</v>
      </c>
      <c r="Q259" s="1252">
        <v>1.7947369001944199E-2</v>
      </c>
    </row>
    <row r="260" spans="1:17" s="212" customFormat="1" ht="15.5" x14ac:dyDescent="0.35">
      <c r="A260" s="198">
        <v>2019</v>
      </c>
      <c r="B260" s="197" t="s">
        <v>5842</v>
      </c>
      <c r="C260" s="197">
        <v>2011</v>
      </c>
      <c r="D260" s="213" t="str">
        <f t="shared" si="3"/>
        <v>2019_2011</v>
      </c>
      <c r="E260" s="1267">
        <v>7.8000204841802895E-2</v>
      </c>
      <c r="F260" s="1278">
        <v>5.2108113840546397E-3</v>
      </c>
      <c r="G260" s="1248">
        <v>0.63435035564676301</v>
      </c>
      <c r="H260" s="1278">
        <v>3.8055150942748701E-2</v>
      </c>
      <c r="I260" s="1248">
        <v>1.6031840301417001E-2</v>
      </c>
      <c r="J260" s="1278">
        <v>2.1625532353453401E-4</v>
      </c>
      <c r="K260" s="1248">
        <v>3.0000008612952002E-3</v>
      </c>
      <c r="L260" s="1250">
        <v>2.0000005742233599E-3</v>
      </c>
      <c r="M260" s="1273">
        <v>2.0000005742233599E-3</v>
      </c>
      <c r="N260" s="1248">
        <v>3.1850009128239903E-2</v>
      </c>
      <c r="O260" s="1249">
        <v>3.1850009128239903E-2</v>
      </c>
      <c r="P260" s="1251">
        <v>1.5925004564119952E-2</v>
      </c>
      <c r="Q260" s="1252">
        <v>1.6756728979609399E-2</v>
      </c>
    </row>
    <row r="261" spans="1:17" s="212" customFormat="1" ht="15.5" x14ac:dyDescent="0.35">
      <c r="A261" s="198">
        <v>2019</v>
      </c>
      <c r="B261" s="197" t="s">
        <v>5842</v>
      </c>
      <c r="C261" s="197">
        <v>2012</v>
      </c>
      <c r="D261" s="213" t="str">
        <f t="shared" si="3"/>
        <v>2019_2012</v>
      </c>
      <c r="E261" s="1267">
        <v>7.7173839343193204E-2</v>
      </c>
      <c r="F261" s="1278">
        <v>5.1484590821330098E-3</v>
      </c>
      <c r="G261" s="1248">
        <v>0.61342396161437696</v>
      </c>
      <c r="H261" s="1278">
        <v>3.71781019922824E-2</v>
      </c>
      <c r="I261" s="1248">
        <v>1.50300010784951E-2</v>
      </c>
      <c r="J261" s="1278">
        <v>3.1585827597881703E-4</v>
      </c>
      <c r="K261" s="1248">
        <v>3.0000008613544401E-3</v>
      </c>
      <c r="L261" s="1250">
        <v>2.0000005742345601E-3</v>
      </c>
      <c r="M261" s="1273">
        <v>2.0000005742345601E-3</v>
      </c>
      <c r="N261" s="1248">
        <v>3.1850009128239903E-2</v>
      </c>
      <c r="O261" s="1249">
        <v>3.1850009128239903E-2</v>
      </c>
      <c r="P261" s="1251">
        <v>1.5925004564119952E-2</v>
      </c>
      <c r="Q261" s="1252">
        <v>1.5709591032622702E-2</v>
      </c>
    </row>
    <row r="262" spans="1:17" s="212" customFormat="1" ht="15.5" x14ac:dyDescent="0.35">
      <c r="A262" s="198">
        <v>2019</v>
      </c>
      <c r="B262" s="197" t="s">
        <v>5842</v>
      </c>
      <c r="C262" s="197">
        <v>2013</v>
      </c>
      <c r="D262" s="213" t="str">
        <f t="shared" si="3"/>
        <v>2019_2013</v>
      </c>
      <c r="E262" s="1267">
        <v>7.5647141323453307E-2</v>
      </c>
      <c r="F262" s="1278">
        <v>5.1379569073847801E-3</v>
      </c>
      <c r="G262" s="1248">
        <v>0.587650162410712</v>
      </c>
      <c r="H262" s="1278">
        <v>3.6232739305492902E-2</v>
      </c>
      <c r="I262" s="1248">
        <v>1.38644636274575E-2</v>
      </c>
      <c r="J262" s="1278">
        <v>4.7430354056783401E-4</v>
      </c>
      <c r="K262" s="1248">
        <v>3.0000008613795298E-3</v>
      </c>
      <c r="L262" s="1250">
        <v>2.0000005742713601E-3</v>
      </c>
      <c r="M262" s="1273">
        <v>2.0000005742713601E-3</v>
      </c>
      <c r="N262" s="1248">
        <v>3.1850009128239903E-2</v>
      </c>
      <c r="O262" s="1249">
        <v>3.1850009128239903E-2</v>
      </c>
      <c r="P262" s="1251">
        <v>1.5925004564119952E-2</v>
      </c>
      <c r="Q262" s="1252">
        <v>1.44913531500449E-2</v>
      </c>
    </row>
    <row r="263" spans="1:17" s="212" customFormat="1" ht="15.5" x14ac:dyDescent="0.35">
      <c r="A263" s="198">
        <v>2019</v>
      </c>
      <c r="B263" s="197" t="s">
        <v>5842</v>
      </c>
      <c r="C263" s="197">
        <v>2014</v>
      </c>
      <c r="D263" s="213" t="str">
        <f t="shared" si="3"/>
        <v>2019_2014</v>
      </c>
      <c r="E263" s="1267">
        <v>7.3128522863482204E-2</v>
      </c>
      <c r="F263" s="1278">
        <v>5.0263800401242299E-3</v>
      </c>
      <c r="G263" s="1248">
        <v>0.55861045682425503</v>
      </c>
      <c r="H263" s="1278">
        <v>3.6004878103512002E-2</v>
      </c>
      <c r="I263" s="1248">
        <v>1.2540380415623701E-2</v>
      </c>
      <c r="J263" s="1278">
        <v>6.5846784484013495E-4</v>
      </c>
      <c r="K263" s="1248">
        <v>3.0000008613167701E-3</v>
      </c>
      <c r="L263" s="1250">
        <v>2.0000005742247598E-3</v>
      </c>
      <c r="M263" s="1273">
        <v>2.0000005742247598E-3</v>
      </c>
      <c r="N263" s="1248">
        <v>3.1850009128239903E-2</v>
      </c>
      <c r="O263" s="1249">
        <v>3.1850009128239903E-2</v>
      </c>
      <c r="P263" s="1251">
        <v>1.5925004564119952E-2</v>
      </c>
      <c r="Q263" s="1252">
        <v>1.31074007709043E-2</v>
      </c>
    </row>
    <row r="264" spans="1:17" s="212" customFormat="1" ht="15.5" x14ac:dyDescent="0.35">
      <c r="A264" s="198">
        <v>2019</v>
      </c>
      <c r="B264" s="197" t="s">
        <v>5842</v>
      </c>
      <c r="C264" s="197">
        <v>2015</v>
      </c>
      <c r="D264" s="213" t="str">
        <f t="shared" si="3"/>
        <v>2019_2015</v>
      </c>
      <c r="E264" s="1267">
        <v>7.1634347224242695E-2</v>
      </c>
      <c r="F264" s="1278">
        <v>5.3225124772638297E-3</v>
      </c>
      <c r="G264" s="1248">
        <v>0.53182620386559798</v>
      </c>
      <c r="H264" s="1278">
        <v>3.6649809037302798E-2</v>
      </c>
      <c r="I264" s="1248">
        <v>1.1283104489019201E-2</v>
      </c>
      <c r="J264" s="1278">
        <v>8.3356186893218795E-4</v>
      </c>
      <c r="K264" s="1248">
        <v>3.0000008613255799E-3</v>
      </c>
      <c r="L264" s="1250">
        <v>2.0000005742603802E-3</v>
      </c>
      <c r="M264" s="1273">
        <v>2.0000005742603802E-3</v>
      </c>
      <c r="N264" s="1248">
        <v>3.1850009128239903E-2</v>
      </c>
      <c r="O264" s="1249">
        <v>3.1850009128239903E-2</v>
      </c>
      <c r="P264" s="1251">
        <v>1.5925004564119952E-2</v>
      </c>
      <c r="Q264" s="1252">
        <v>1.1793276405978E-2</v>
      </c>
    </row>
    <row r="265" spans="1:17" s="212" customFormat="1" ht="15.5" x14ac:dyDescent="0.35">
      <c r="A265" s="198">
        <v>2019</v>
      </c>
      <c r="B265" s="197" t="s">
        <v>5842</v>
      </c>
      <c r="C265" s="197">
        <v>2016</v>
      </c>
      <c r="D265" s="213" t="str">
        <f t="shared" si="3"/>
        <v>2019_2016</v>
      </c>
      <c r="E265" s="1267">
        <v>6.9950418283389701E-2</v>
      </c>
      <c r="F265" s="1278">
        <v>5.3506183363887802E-3</v>
      </c>
      <c r="G265" s="1248">
        <v>0.44487149035363699</v>
      </c>
      <c r="H265" s="1278">
        <v>3.7469422147121199E-2</v>
      </c>
      <c r="I265" s="1248">
        <v>9.9470938912909201E-3</v>
      </c>
      <c r="J265" s="1278">
        <v>9.58823649450085E-4</v>
      </c>
      <c r="K265" s="1248">
        <v>3.0000008613422901E-3</v>
      </c>
      <c r="L265" s="1250">
        <v>2.0000005742409699E-3</v>
      </c>
      <c r="M265" s="1273">
        <v>2.0000005742409699E-3</v>
      </c>
      <c r="N265" s="1248">
        <v>3.1850009128239903E-2</v>
      </c>
      <c r="O265" s="1249">
        <v>3.1850009128239903E-2</v>
      </c>
      <c r="P265" s="1251">
        <v>1.5925004564119952E-2</v>
      </c>
      <c r="Q265" s="1252">
        <v>1.03968573374796E-2</v>
      </c>
    </row>
    <row r="266" spans="1:17" s="212" customFormat="1" ht="15.5" x14ac:dyDescent="0.35">
      <c r="A266" s="198">
        <v>2019</v>
      </c>
      <c r="B266" s="197" t="s">
        <v>5842</v>
      </c>
      <c r="C266" s="197">
        <v>2017</v>
      </c>
      <c r="D266" s="213" t="str">
        <f t="shared" si="3"/>
        <v>2019_2017</v>
      </c>
      <c r="E266" s="1267">
        <v>6.72703745764162E-2</v>
      </c>
      <c r="F266" s="1278">
        <v>5.6908066453372702E-3</v>
      </c>
      <c r="G266" s="1248">
        <v>0.36097872392119401</v>
      </c>
      <c r="H266" s="1278">
        <v>3.9649723163258398E-2</v>
      </c>
      <c r="I266" s="1248">
        <v>8.4616877648065296E-3</v>
      </c>
      <c r="J266" s="1278">
        <v>1.0343854936335E-3</v>
      </c>
      <c r="K266" s="1248">
        <v>3.00000086128705E-3</v>
      </c>
      <c r="L266" s="1250">
        <v>2.00000057429589E-3</v>
      </c>
      <c r="M266" s="1273">
        <v>2.00000057429589E-3</v>
      </c>
      <c r="N266" s="1248">
        <v>3.1850009128239903E-2</v>
      </c>
      <c r="O266" s="1249">
        <v>3.1850009128239903E-2</v>
      </c>
      <c r="P266" s="1251">
        <v>1.5925004564119952E-2</v>
      </c>
      <c r="Q266" s="1252">
        <v>8.8442877373477308E-3</v>
      </c>
    </row>
    <row r="267" spans="1:17" s="212" customFormat="1" ht="15.5" x14ac:dyDescent="0.35">
      <c r="A267" s="198">
        <v>2019</v>
      </c>
      <c r="B267" s="197" t="s">
        <v>5842</v>
      </c>
      <c r="C267" s="197">
        <v>2018</v>
      </c>
      <c r="D267" s="213" t="str">
        <f t="shared" si="3"/>
        <v>2019_2018</v>
      </c>
      <c r="E267" s="1267">
        <v>6.5970169826421607E-2</v>
      </c>
      <c r="F267" s="1278">
        <v>5.5593523992508902E-3</v>
      </c>
      <c r="G267" s="1248">
        <v>0.28029515287328199</v>
      </c>
      <c r="H267" s="1278">
        <v>3.9731171369212101E-2</v>
      </c>
      <c r="I267" s="1248">
        <v>7.0424247616354503E-3</v>
      </c>
      <c r="J267" s="1278">
        <v>1.0758380279348801E-3</v>
      </c>
      <c r="K267" s="1248">
        <v>3.0000008613485598E-3</v>
      </c>
      <c r="L267" s="1250">
        <v>2.0000005742474201E-3</v>
      </c>
      <c r="M267" s="1273">
        <v>2.0000005742474201E-3</v>
      </c>
      <c r="N267" s="1248">
        <v>3.1850009128239903E-2</v>
      </c>
      <c r="O267" s="1249">
        <v>3.1850009128239903E-2</v>
      </c>
      <c r="P267" s="1251">
        <v>1.5925004564119952E-2</v>
      </c>
      <c r="Q267" s="1252">
        <v>7.3608519590595504E-3</v>
      </c>
    </row>
    <row r="268" spans="1:17" s="212" customFormat="1" ht="15.5" x14ac:dyDescent="0.35">
      <c r="A268" s="198">
        <v>2019</v>
      </c>
      <c r="B268" s="197" t="s">
        <v>5842</v>
      </c>
      <c r="C268" s="197">
        <v>2019</v>
      </c>
      <c r="D268" s="213" t="str">
        <f t="shared" si="3"/>
        <v>2019_2019</v>
      </c>
      <c r="E268" s="1267">
        <v>6.4026154569507901E-2</v>
      </c>
      <c r="F268" s="1278">
        <v>4.6894777455767003E-3</v>
      </c>
      <c r="G268" s="1248">
        <v>0.225057888347</v>
      </c>
      <c r="H268" s="1278">
        <v>3.3478864908030398E-2</v>
      </c>
      <c r="I268" s="1248">
        <v>5.5024089269168396E-3</v>
      </c>
      <c r="J268" s="1278">
        <v>1.0965428627999201E-3</v>
      </c>
      <c r="K268" s="1248">
        <v>3.0000008613950799E-3</v>
      </c>
      <c r="L268" s="1250">
        <v>2.00000057419421E-3</v>
      </c>
      <c r="M268" s="1273">
        <v>2.00000057419421E-3</v>
      </c>
      <c r="N268" s="1248">
        <v>3.1850009128239903E-2</v>
      </c>
      <c r="O268" s="1249">
        <v>3.1850009128239903E-2</v>
      </c>
      <c r="P268" s="1251">
        <v>1.5925004564119952E-2</v>
      </c>
      <c r="Q268" s="1252">
        <v>5.7512034420140199E-3</v>
      </c>
    </row>
    <row r="269" spans="1:17" s="212" customFormat="1" ht="15.5" x14ac:dyDescent="0.35">
      <c r="A269" s="198">
        <v>2019</v>
      </c>
      <c r="B269" s="197" t="s">
        <v>5842</v>
      </c>
      <c r="C269" s="197">
        <v>2020</v>
      </c>
      <c r="D269" s="213" t="str">
        <f t="shared" si="3"/>
        <v>2019_2020</v>
      </c>
      <c r="E269" s="1268">
        <v>6.4026154569507901E-2</v>
      </c>
      <c r="F269" s="1279">
        <v>4.6894777455767003E-3</v>
      </c>
      <c r="G269" s="1255">
        <v>0.225057888347</v>
      </c>
      <c r="H269" s="1279">
        <v>3.3478864908030398E-2</v>
      </c>
      <c r="I269" s="1255">
        <v>5.5024089269168396E-3</v>
      </c>
      <c r="J269" s="1279">
        <v>1.0965428627999201E-3</v>
      </c>
      <c r="K269" s="1255">
        <v>3.0000008613950799E-3</v>
      </c>
      <c r="L269" s="1253">
        <v>2.00000057419421E-3</v>
      </c>
      <c r="M269" s="1274">
        <v>2.00000057419421E-3</v>
      </c>
      <c r="N269" s="1255">
        <v>3.1850009128239903E-2</v>
      </c>
      <c r="O269" s="1256">
        <v>3.1850009128239903E-2</v>
      </c>
      <c r="P269" s="1259">
        <v>1.5925004564119952E-2</v>
      </c>
      <c r="Q269" s="1254">
        <v>5.7512034420140199E-3</v>
      </c>
    </row>
    <row r="270" spans="1:17" s="212" customFormat="1" ht="15.5" x14ac:dyDescent="0.35">
      <c r="A270" s="198">
        <v>2020</v>
      </c>
      <c r="B270" s="197" t="s">
        <v>5842</v>
      </c>
      <c r="C270" s="197">
        <v>1971</v>
      </c>
      <c r="D270" s="213" t="str">
        <f t="shared" si="3"/>
        <v>2020_1971</v>
      </c>
      <c r="E270" s="1268">
        <v>0.227993132022453</v>
      </c>
      <c r="F270" s="1279">
        <v>5.5992114077649102</v>
      </c>
      <c r="G270" s="1255">
        <v>5.1766001789140601</v>
      </c>
      <c r="H270" s="1279">
        <v>2.2244693303060301</v>
      </c>
      <c r="I270" s="1255">
        <v>0.17184637306607101</v>
      </c>
      <c r="J270" s="1279">
        <v>5.12770216137972E-2</v>
      </c>
      <c r="K270" s="1255">
        <v>3.0000008615674E-3</v>
      </c>
      <c r="L270" s="1253">
        <v>2.0000005751650298E-3</v>
      </c>
      <c r="M270" s="1274">
        <v>2.0000005751650298E-3</v>
      </c>
      <c r="N270" s="1255">
        <v>3.1850009128239903E-2</v>
      </c>
      <c r="O270" s="1256">
        <v>3.1850009128239903E-2</v>
      </c>
      <c r="P270" s="1259">
        <v>1.5925004564119952E-2</v>
      </c>
      <c r="Q270" s="1254">
        <v>0.179616503499132</v>
      </c>
    </row>
    <row r="271" spans="1:17" s="212" customFormat="1" ht="15.5" x14ac:dyDescent="0.35">
      <c r="A271" s="198">
        <v>2020</v>
      </c>
      <c r="B271" s="197" t="s">
        <v>5842</v>
      </c>
      <c r="C271" s="197">
        <v>1972</v>
      </c>
      <c r="D271" s="213" t="str">
        <f t="shared" si="3"/>
        <v>2020_1972</v>
      </c>
      <c r="E271" s="1268">
        <v>0.227993132022453</v>
      </c>
      <c r="F271" s="1279">
        <v>5.5992114077649102</v>
      </c>
      <c r="G271" s="1255">
        <v>5.1766001789140601</v>
      </c>
      <c r="H271" s="1279">
        <v>2.2244693303060301</v>
      </c>
      <c r="I271" s="1255">
        <v>0.17184637306607101</v>
      </c>
      <c r="J271" s="1279">
        <v>5.12770216137972E-2</v>
      </c>
      <c r="K271" s="1255">
        <v>3.0000008615674E-3</v>
      </c>
      <c r="L271" s="1253">
        <v>2.0000005751650298E-3</v>
      </c>
      <c r="M271" s="1274">
        <v>2.0000005751650298E-3</v>
      </c>
      <c r="N271" s="1255">
        <v>3.1850009128239903E-2</v>
      </c>
      <c r="O271" s="1256">
        <v>3.1850009128239903E-2</v>
      </c>
      <c r="P271" s="1259">
        <v>1.5925004564119952E-2</v>
      </c>
      <c r="Q271" s="1254">
        <v>0.179616503499132</v>
      </c>
    </row>
    <row r="272" spans="1:17" s="212" customFormat="1" ht="15.5" x14ac:dyDescent="0.35">
      <c r="A272" s="198">
        <v>2020</v>
      </c>
      <c r="B272" s="197" t="s">
        <v>5842</v>
      </c>
      <c r="C272" s="197">
        <v>1973</v>
      </c>
      <c r="D272" s="213" t="str">
        <f t="shared" si="3"/>
        <v>2020_1973</v>
      </c>
      <c r="E272" s="1268">
        <v>0.227993132022453</v>
      </c>
      <c r="F272" s="1279">
        <v>5.5992114077649102</v>
      </c>
      <c r="G272" s="1255">
        <v>5.1766001789140601</v>
      </c>
      <c r="H272" s="1279">
        <v>2.2244693303060301</v>
      </c>
      <c r="I272" s="1255">
        <v>0.17184637306607101</v>
      </c>
      <c r="J272" s="1279">
        <v>5.12770216137972E-2</v>
      </c>
      <c r="K272" s="1255">
        <v>3.0000008615674E-3</v>
      </c>
      <c r="L272" s="1253">
        <v>2.0000005751650298E-3</v>
      </c>
      <c r="M272" s="1274">
        <v>2.0000005751650298E-3</v>
      </c>
      <c r="N272" s="1255">
        <v>3.1850009128239903E-2</v>
      </c>
      <c r="O272" s="1256">
        <v>3.1850009128239903E-2</v>
      </c>
      <c r="P272" s="1259">
        <v>1.5925004564119952E-2</v>
      </c>
      <c r="Q272" s="1254">
        <v>0.179616503499132</v>
      </c>
    </row>
    <row r="273" spans="1:17" s="212" customFormat="1" ht="15.5" x14ac:dyDescent="0.35">
      <c r="A273" s="198">
        <v>2020</v>
      </c>
      <c r="B273" s="197" t="s">
        <v>5842</v>
      </c>
      <c r="C273" s="197">
        <v>1974</v>
      </c>
      <c r="D273" s="213" t="str">
        <f t="shared" si="3"/>
        <v>2020_1974</v>
      </c>
      <c r="E273" s="1268">
        <v>0.227993132022453</v>
      </c>
      <c r="F273" s="1279">
        <v>5.5992114077649102</v>
      </c>
      <c r="G273" s="1255">
        <v>5.1766001789140601</v>
      </c>
      <c r="H273" s="1279">
        <v>2.2244693303060301</v>
      </c>
      <c r="I273" s="1255">
        <v>0.17184637306607101</v>
      </c>
      <c r="J273" s="1279">
        <v>5.12770216137972E-2</v>
      </c>
      <c r="K273" s="1255">
        <v>3.0000008615674E-3</v>
      </c>
      <c r="L273" s="1253">
        <v>2.0000005751650298E-3</v>
      </c>
      <c r="M273" s="1274">
        <v>2.0000005751650298E-3</v>
      </c>
      <c r="N273" s="1255">
        <v>3.1850009128239903E-2</v>
      </c>
      <c r="O273" s="1256">
        <v>3.1850009128239903E-2</v>
      </c>
      <c r="P273" s="1259">
        <v>1.5925004564119952E-2</v>
      </c>
      <c r="Q273" s="1254">
        <v>0.179616503499132</v>
      </c>
    </row>
    <row r="274" spans="1:17" s="212" customFormat="1" ht="15.5" x14ac:dyDescent="0.35">
      <c r="A274" s="198">
        <v>2020</v>
      </c>
      <c r="B274" s="197" t="s">
        <v>5842</v>
      </c>
      <c r="C274" s="197">
        <v>1975</v>
      </c>
      <c r="D274" s="213" t="str">
        <f t="shared" si="3"/>
        <v>2020_1975</v>
      </c>
      <c r="E274" s="1268">
        <v>0.227993132022453</v>
      </c>
      <c r="F274" s="1279">
        <v>5.5992114077649102</v>
      </c>
      <c r="G274" s="1255">
        <v>5.1766001789140601</v>
      </c>
      <c r="H274" s="1279">
        <v>2.2244693303060301</v>
      </c>
      <c r="I274" s="1255">
        <v>0.17184637306607101</v>
      </c>
      <c r="J274" s="1279">
        <v>5.12770216137972E-2</v>
      </c>
      <c r="K274" s="1255">
        <v>3.0000008615674E-3</v>
      </c>
      <c r="L274" s="1253">
        <v>2.0000005751650298E-3</v>
      </c>
      <c r="M274" s="1274">
        <v>2.0000005751650298E-3</v>
      </c>
      <c r="N274" s="1255">
        <v>3.1850009128239903E-2</v>
      </c>
      <c r="O274" s="1256">
        <v>3.1850009128239903E-2</v>
      </c>
      <c r="P274" s="1259">
        <v>1.5925004564119952E-2</v>
      </c>
      <c r="Q274" s="1254">
        <v>0.179616503499132</v>
      </c>
    </row>
    <row r="275" spans="1:17" s="212" customFormat="1" ht="15.5" x14ac:dyDescent="0.35">
      <c r="A275" s="198">
        <v>2020</v>
      </c>
      <c r="B275" s="197" t="s">
        <v>5842</v>
      </c>
      <c r="C275" s="197">
        <v>1976</v>
      </c>
      <c r="D275" s="213" t="str">
        <f t="shared" si="3"/>
        <v>2020_1976</v>
      </c>
      <c r="E275" s="1268">
        <v>0.227993132022453</v>
      </c>
      <c r="F275" s="1278">
        <v>5.5992114077649102</v>
      </c>
      <c r="G275" s="1255">
        <v>5.1766001789140601</v>
      </c>
      <c r="H275" s="1278">
        <v>2.2244693303060301</v>
      </c>
      <c r="I275" s="1255">
        <v>0.17184637306607101</v>
      </c>
      <c r="J275" s="1278">
        <v>5.12770216137972E-2</v>
      </c>
      <c r="K275" s="1255">
        <v>3.0000008615674E-3</v>
      </c>
      <c r="L275" s="1250">
        <v>2.0000005751650298E-3</v>
      </c>
      <c r="M275" s="1273">
        <v>2.0000005751650298E-3</v>
      </c>
      <c r="N275" s="1255">
        <v>3.1850009128239903E-2</v>
      </c>
      <c r="O275" s="1249">
        <v>3.1850009128239903E-2</v>
      </c>
      <c r="P275" s="1251">
        <v>1.5925004564119952E-2</v>
      </c>
      <c r="Q275" s="1254">
        <v>0.179616503499132</v>
      </c>
    </row>
    <row r="276" spans="1:17" s="212" customFormat="1" ht="15.5" x14ac:dyDescent="0.35">
      <c r="A276" s="198">
        <v>2020</v>
      </c>
      <c r="B276" s="197" t="s">
        <v>5842</v>
      </c>
      <c r="C276" s="197">
        <v>1977</v>
      </c>
      <c r="D276" s="213" t="str">
        <f t="shared" si="3"/>
        <v>2020_1977</v>
      </c>
      <c r="E276" s="1268">
        <v>0.227993132022453</v>
      </c>
      <c r="F276" s="1278">
        <v>2.16948612515553</v>
      </c>
      <c r="G276" s="1255">
        <v>5.1766001789140601</v>
      </c>
      <c r="H276" s="1278">
        <v>4.6984043282088104</v>
      </c>
      <c r="I276" s="1255">
        <v>0.17184637306607101</v>
      </c>
      <c r="J276" s="1278">
        <v>1.28851651163396E-2</v>
      </c>
      <c r="K276" s="1255">
        <v>3.0000008615674E-3</v>
      </c>
      <c r="L276" s="1250">
        <v>2.0000005732652899E-3</v>
      </c>
      <c r="M276" s="1273">
        <v>2.0000005732652899E-3</v>
      </c>
      <c r="N276" s="1255">
        <v>3.1850009128239903E-2</v>
      </c>
      <c r="O276" s="1249">
        <v>3.1850009128239903E-2</v>
      </c>
      <c r="P276" s="1251">
        <v>1.5925004564119952E-2</v>
      </c>
      <c r="Q276" s="1254">
        <v>0.179616503499132</v>
      </c>
    </row>
    <row r="277" spans="1:17" s="212" customFormat="1" ht="15.5" x14ac:dyDescent="0.35">
      <c r="A277" s="198">
        <v>2020</v>
      </c>
      <c r="B277" s="197" t="s">
        <v>5842</v>
      </c>
      <c r="C277" s="197">
        <v>1978</v>
      </c>
      <c r="D277" s="213" t="str">
        <f t="shared" si="3"/>
        <v>2020_1978</v>
      </c>
      <c r="E277" s="1268">
        <v>0.227993132022453</v>
      </c>
      <c r="F277" s="1278">
        <v>2.79601300943891</v>
      </c>
      <c r="G277" s="1255">
        <v>5.1766001789140601</v>
      </c>
      <c r="H277" s="1278">
        <v>4.4681789666162999</v>
      </c>
      <c r="I277" s="1255">
        <v>0.17184637306607101</v>
      </c>
      <c r="J277" s="1278">
        <v>1.68086159551003E-2</v>
      </c>
      <c r="K277" s="1255">
        <v>3.0000008615674E-3</v>
      </c>
      <c r="L277" s="1250">
        <v>2.0000005743987799E-3</v>
      </c>
      <c r="M277" s="1273">
        <v>2.0000005743987799E-3</v>
      </c>
      <c r="N277" s="1255">
        <v>3.1850009128239903E-2</v>
      </c>
      <c r="O277" s="1249">
        <v>3.1850009128239903E-2</v>
      </c>
      <c r="P277" s="1251">
        <v>1.5925004564119952E-2</v>
      </c>
      <c r="Q277" s="1254">
        <v>0.179616503499132</v>
      </c>
    </row>
    <row r="278" spans="1:17" s="212" customFormat="1" ht="15.5" x14ac:dyDescent="0.35">
      <c r="A278" s="198">
        <v>2020</v>
      </c>
      <c r="B278" s="197" t="s">
        <v>5842</v>
      </c>
      <c r="C278" s="197">
        <v>1979</v>
      </c>
      <c r="D278" s="213" t="str">
        <f t="shared" si="3"/>
        <v>2020_1979</v>
      </c>
      <c r="E278" s="1268">
        <v>0.227993132022453</v>
      </c>
      <c r="F278" s="1278">
        <v>2.5083021585578198</v>
      </c>
      <c r="G278" s="1255">
        <v>5.1766001789140601</v>
      </c>
      <c r="H278" s="1278">
        <v>4.2916507322253503</v>
      </c>
      <c r="I278" s="1255">
        <v>0.17184637306607101</v>
      </c>
      <c r="J278" s="1278">
        <v>1.52232787909348E-2</v>
      </c>
      <c r="K278" s="1255">
        <v>3.0000008615674E-3</v>
      </c>
      <c r="L278" s="1250">
        <v>2.0000005737962202E-3</v>
      </c>
      <c r="M278" s="1273">
        <v>2.0000005737962202E-3</v>
      </c>
      <c r="N278" s="1255">
        <v>3.1850009128239903E-2</v>
      </c>
      <c r="O278" s="1249">
        <v>3.1850009128239903E-2</v>
      </c>
      <c r="P278" s="1251">
        <v>1.5925004564119952E-2</v>
      </c>
      <c r="Q278" s="1254">
        <v>0.179616503499132</v>
      </c>
    </row>
    <row r="279" spans="1:17" s="212" customFormat="1" ht="15.5" x14ac:dyDescent="0.35">
      <c r="A279" s="198">
        <v>2020</v>
      </c>
      <c r="B279" s="197" t="s">
        <v>5842</v>
      </c>
      <c r="C279" s="197">
        <v>1980</v>
      </c>
      <c r="D279" s="213" t="str">
        <f t="shared" si="3"/>
        <v>2020_1980</v>
      </c>
      <c r="E279" s="1268">
        <v>0.227993132022453</v>
      </c>
      <c r="F279" s="1278">
        <v>2.7901683719069799</v>
      </c>
      <c r="G279" s="1255">
        <v>5.1766001789140601</v>
      </c>
      <c r="H279" s="1278">
        <v>3.6267771806660201</v>
      </c>
      <c r="I279" s="1255">
        <v>0.17184637306607101</v>
      </c>
      <c r="J279" s="1278">
        <v>1.6819472103137601E-2</v>
      </c>
      <c r="K279" s="1255">
        <v>3.0000008615674E-3</v>
      </c>
      <c r="L279" s="1250">
        <v>2.0000005748032901E-3</v>
      </c>
      <c r="M279" s="1273">
        <v>2.0000005748032901E-3</v>
      </c>
      <c r="N279" s="1255">
        <v>3.1850009128239903E-2</v>
      </c>
      <c r="O279" s="1249">
        <v>3.1850009128239903E-2</v>
      </c>
      <c r="P279" s="1251">
        <v>1.5925004564119952E-2</v>
      </c>
      <c r="Q279" s="1254">
        <v>0.179616503499132</v>
      </c>
    </row>
    <row r="280" spans="1:17" s="212" customFormat="1" ht="15.5" x14ac:dyDescent="0.35">
      <c r="A280" s="198">
        <v>2020</v>
      </c>
      <c r="B280" s="197" t="s">
        <v>5842</v>
      </c>
      <c r="C280" s="197">
        <v>1981</v>
      </c>
      <c r="D280" s="213" t="str">
        <f t="shared" si="3"/>
        <v>2020_1981</v>
      </c>
      <c r="E280" s="1268">
        <v>0.227993132022453</v>
      </c>
      <c r="F280" s="1278">
        <v>2.6290953578325298</v>
      </c>
      <c r="G280" s="1255">
        <v>5.1766001789140601</v>
      </c>
      <c r="H280" s="1278">
        <v>4.2884519700300698</v>
      </c>
      <c r="I280" s="1255">
        <v>0.17184637306607101</v>
      </c>
      <c r="J280" s="1278">
        <v>1.53021246720114E-2</v>
      </c>
      <c r="K280" s="1255">
        <v>3.0000008615674E-3</v>
      </c>
      <c r="L280" s="1250">
        <v>2.0000005741566298E-3</v>
      </c>
      <c r="M280" s="1273">
        <v>2.0000005741566298E-3</v>
      </c>
      <c r="N280" s="1255">
        <v>3.1850009128239903E-2</v>
      </c>
      <c r="O280" s="1249">
        <v>3.1850009128239903E-2</v>
      </c>
      <c r="P280" s="1251">
        <v>1.5925004564119952E-2</v>
      </c>
      <c r="Q280" s="1254">
        <v>0.179616503499132</v>
      </c>
    </row>
    <row r="281" spans="1:17" s="212" customFormat="1" ht="15.5" x14ac:dyDescent="0.35">
      <c r="A281" s="198">
        <v>2020</v>
      </c>
      <c r="B281" s="197" t="s">
        <v>5842</v>
      </c>
      <c r="C281" s="197">
        <v>1982</v>
      </c>
      <c r="D281" s="213" t="str">
        <f t="shared" si="3"/>
        <v>2020_1982</v>
      </c>
      <c r="E281" s="1267">
        <v>0.227993132022453</v>
      </c>
      <c r="F281" s="1278">
        <v>2.54676581439531</v>
      </c>
      <c r="G281" s="1248">
        <v>5.1766001789140601</v>
      </c>
      <c r="H281" s="1278">
        <v>3.9423707466551798</v>
      </c>
      <c r="I281" s="1248">
        <v>0.17184637306607101</v>
      </c>
      <c r="J281" s="1278">
        <v>1.5000834587423101E-2</v>
      </c>
      <c r="K281" s="1248">
        <v>3.0000008615674E-3</v>
      </c>
      <c r="L281" s="1250">
        <v>2.0000005740119999E-3</v>
      </c>
      <c r="M281" s="1273">
        <v>2.0000005740119999E-3</v>
      </c>
      <c r="N281" s="1248">
        <v>3.1850009128239903E-2</v>
      </c>
      <c r="O281" s="1249">
        <v>3.1850009128239903E-2</v>
      </c>
      <c r="P281" s="1251">
        <v>1.5925004564119952E-2</v>
      </c>
      <c r="Q281" s="1252">
        <v>0.179616503499132</v>
      </c>
    </row>
    <row r="282" spans="1:17" s="212" customFormat="1" ht="15.5" x14ac:dyDescent="0.35">
      <c r="A282" s="198">
        <v>2020</v>
      </c>
      <c r="B282" s="197" t="s">
        <v>5842</v>
      </c>
      <c r="C282" s="197">
        <v>1983</v>
      </c>
      <c r="D282" s="213" t="str">
        <f t="shared" si="3"/>
        <v>2020_1983</v>
      </c>
      <c r="E282" s="1267">
        <v>0.224501072135907</v>
      </c>
      <c r="F282" s="1278">
        <v>2.4984649202003801</v>
      </c>
      <c r="G282" s="1248">
        <v>5.23101541079133</v>
      </c>
      <c r="H282" s="1278">
        <v>4.4270645625362004</v>
      </c>
      <c r="I282" s="1248">
        <v>0.169214285771558</v>
      </c>
      <c r="J282" s="1278">
        <v>1.6402302984492498E-2</v>
      </c>
      <c r="K282" s="1248">
        <v>3.0000008610205002E-3</v>
      </c>
      <c r="L282" s="1250">
        <v>2.0000005744348699E-3</v>
      </c>
      <c r="M282" s="1273">
        <v>2.0000005744348699E-3</v>
      </c>
      <c r="N282" s="1248">
        <v>3.1850009128239903E-2</v>
      </c>
      <c r="O282" s="1249">
        <v>3.1850009128239903E-2</v>
      </c>
      <c r="P282" s="1251">
        <v>1.5925004564119952E-2</v>
      </c>
      <c r="Q282" s="1252">
        <v>0.17686540489687599</v>
      </c>
    </row>
    <row r="283" spans="1:17" s="212" customFormat="1" ht="15.5" x14ac:dyDescent="0.35">
      <c r="A283" s="198">
        <v>2020</v>
      </c>
      <c r="B283" s="197" t="s">
        <v>5842</v>
      </c>
      <c r="C283" s="197">
        <v>1984</v>
      </c>
      <c r="D283" s="213" t="str">
        <f t="shared" si="3"/>
        <v>2020_1984</v>
      </c>
      <c r="E283" s="1267">
        <v>0.233837366140528</v>
      </c>
      <c r="F283" s="1278">
        <v>1.6888114662242999</v>
      </c>
      <c r="G283" s="1248">
        <v>5.0990654735318302</v>
      </c>
      <c r="H283" s="1278">
        <v>3.6182023770721701</v>
      </c>
      <c r="I283" s="1248">
        <v>0.17625137609239599</v>
      </c>
      <c r="J283" s="1278">
        <v>1.5900811290631402E-2</v>
      </c>
      <c r="K283" s="1248">
        <v>3.0000008615197302E-3</v>
      </c>
      <c r="L283" s="1250">
        <v>2.00000057428542E-3</v>
      </c>
      <c r="M283" s="1273">
        <v>2.00000057428542E-3</v>
      </c>
      <c r="N283" s="1248">
        <v>3.1850009128239903E-2</v>
      </c>
      <c r="O283" s="1249">
        <v>3.1850009128239903E-2</v>
      </c>
      <c r="P283" s="1251">
        <v>1.5925004564119952E-2</v>
      </c>
      <c r="Q283" s="1252">
        <v>0.184220681215396</v>
      </c>
    </row>
    <row r="284" spans="1:17" s="212" customFormat="1" ht="15.5" x14ac:dyDescent="0.35">
      <c r="A284" s="198">
        <v>2020</v>
      </c>
      <c r="B284" s="197" t="s">
        <v>5842</v>
      </c>
      <c r="C284" s="197">
        <v>1985</v>
      </c>
      <c r="D284" s="213" t="str">
        <f t="shared" si="3"/>
        <v>2020_1985</v>
      </c>
      <c r="E284" s="1267">
        <v>0.234195717083413</v>
      </c>
      <c r="F284" s="1278">
        <v>2.0398972638592099</v>
      </c>
      <c r="G284" s="1248">
        <v>5.0830763105081997</v>
      </c>
      <c r="H284" s="1278">
        <v>3.9660099690934998</v>
      </c>
      <c r="I284" s="1248">
        <v>0.17652147769270801</v>
      </c>
      <c r="J284" s="1278">
        <v>1.5418842951143199E-2</v>
      </c>
      <c r="K284" s="1248">
        <v>3.0000008615048198E-3</v>
      </c>
      <c r="L284" s="1250">
        <v>2.00000057411036E-3</v>
      </c>
      <c r="M284" s="1273">
        <v>2.00000057411036E-3</v>
      </c>
      <c r="N284" s="1248">
        <v>3.1850009128239903E-2</v>
      </c>
      <c r="O284" s="1249">
        <v>3.1850009128239903E-2</v>
      </c>
      <c r="P284" s="1251">
        <v>1.5925004564119952E-2</v>
      </c>
      <c r="Q284" s="1252">
        <v>0.18450299561151601</v>
      </c>
    </row>
    <row r="285" spans="1:17" s="212" customFormat="1" ht="15.5" x14ac:dyDescent="0.35">
      <c r="A285" s="198">
        <v>2020</v>
      </c>
      <c r="B285" s="197" t="s">
        <v>5842</v>
      </c>
      <c r="C285" s="197">
        <v>1986</v>
      </c>
      <c r="D285" s="213" t="str">
        <f t="shared" si="3"/>
        <v>2020_1986</v>
      </c>
      <c r="E285" s="1267">
        <v>0.22689411087243599</v>
      </c>
      <c r="F285" s="1278">
        <v>1.60216384768104</v>
      </c>
      <c r="G285" s="1248">
        <v>5.1949594664133096</v>
      </c>
      <c r="H285" s="1278">
        <v>4.3035591495970698</v>
      </c>
      <c r="I285" s="1248">
        <v>0.171018002505616</v>
      </c>
      <c r="J285" s="1278">
        <v>1.5327560851629399E-2</v>
      </c>
      <c r="K285" s="1248">
        <v>3.0000008612257301E-3</v>
      </c>
      <c r="L285" s="1250">
        <v>2.0000005740620102E-3</v>
      </c>
      <c r="M285" s="1273">
        <v>2.0000005740620102E-3</v>
      </c>
      <c r="N285" s="1248">
        <v>3.1850009128239903E-2</v>
      </c>
      <c r="O285" s="1249">
        <v>3.1850009128239903E-2</v>
      </c>
      <c r="P285" s="1251">
        <v>1.5925004564119952E-2</v>
      </c>
      <c r="Q285" s="1252">
        <v>0.178750677697773</v>
      </c>
    </row>
    <row r="286" spans="1:17" s="212" customFormat="1" ht="15.5" x14ac:dyDescent="0.35">
      <c r="A286" s="198">
        <v>2020</v>
      </c>
      <c r="B286" s="197" t="s">
        <v>5842</v>
      </c>
      <c r="C286" s="197">
        <v>1987</v>
      </c>
      <c r="D286" s="213" t="str">
        <f t="shared" si="3"/>
        <v>2020_1987</v>
      </c>
      <c r="E286" s="1267">
        <v>0.28251975711456201</v>
      </c>
      <c r="F286" s="1278">
        <v>2.00017910258082</v>
      </c>
      <c r="G286" s="1248">
        <v>5.33250875538827</v>
      </c>
      <c r="H286" s="1278">
        <v>4.4980208375015396</v>
      </c>
      <c r="I286" s="1248">
        <v>0.192406559425915</v>
      </c>
      <c r="J286" s="1278">
        <v>1.52649439609894E-2</v>
      </c>
      <c r="K286" s="1248">
        <v>3.0000008611935801E-3</v>
      </c>
      <c r="L286" s="1250">
        <v>2.0000005741468499E-3</v>
      </c>
      <c r="M286" s="1273">
        <v>2.0000005741468499E-3</v>
      </c>
      <c r="N286" s="1248">
        <v>3.1850009128239903E-2</v>
      </c>
      <c r="O286" s="1249">
        <v>3.1850009128239903E-2</v>
      </c>
      <c r="P286" s="1251">
        <v>1.5925004564119952E-2</v>
      </c>
      <c r="Q286" s="1252">
        <v>0.201106330251692</v>
      </c>
    </row>
    <row r="287" spans="1:17" s="212" customFormat="1" ht="15.5" x14ac:dyDescent="0.35">
      <c r="A287" s="198">
        <v>2020</v>
      </c>
      <c r="B287" s="197" t="s">
        <v>5842</v>
      </c>
      <c r="C287" s="197">
        <v>1988</v>
      </c>
      <c r="D287" s="213" t="str">
        <f t="shared" si="3"/>
        <v>2020_1988</v>
      </c>
      <c r="E287" s="1267">
        <v>0.27773646462093399</v>
      </c>
      <c r="F287" s="1278">
        <v>0.48276308235133802</v>
      </c>
      <c r="G287" s="1248">
        <v>5.3714369032045299</v>
      </c>
      <c r="H287" s="1278">
        <v>1.2137420470046001</v>
      </c>
      <c r="I287" s="1248">
        <v>0.18914895768922099</v>
      </c>
      <c r="J287" s="1278">
        <v>1.36996769400123E-2</v>
      </c>
      <c r="K287" s="1248">
        <v>3.0000008610178799E-3</v>
      </c>
      <c r="L287" s="1250">
        <v>2.0000005741395602E-3</v>
      </c>
      <c r="M287" s="1273">
        <v>2.0000005741395602E-3</v>
      </c>
      <c r="N287" s="1248">
        <v>3.1850009128239903E-2</v>
      </c>
      <c r="O287" s="1249">
        <v>3.1850009128239903E-2</v>
      </c>
      <c r="P287" s="1251">
        <v>1.5925004564119952E-2</v>
      </c>
      <c r="Q287" s="1252">
        <v>0.197701434219858</v>
      </c>
    </row>
    <row r="288" spans="1:17" s="212" customFormat="1" ht="15.5" x14ac:dyDescent="0.35">
      <c r="A288" s="198">
        <v>2020</v>
      </c>
      <c r="B288" s="197" t="s">
        <v>5842</v>
      </c>
      <c r="C288" s="197">
        <v>1989</v>
      </c>
      <c r="D288" s="213" t="str">
        <f t="shared" si="3"/>
        <v>2020_1989</v>
      </c>
      <c r="E288" s="1267">
        <v>0.27910726863415303</v>
      </c>
      <c r="F288" s="1278">
        <v>0.32618495511238599</v>
      </c>
      <c r="G288" s="1248">
        <v>5.3718596931898803</v>
      </c>
      <c r="H288" s="1278">
        <v>1.6397570860972499</v>
      </c>
      <c r="I288" s="1248">
        <v>0.19008252667754399</v>
      </c>
      <c r="J288" s="1278">
        <v>1.33529039326786E-2</v>
      </c>
      <c r="K288" s="1248">
        <v>3.0000008611341302E-3</v>
      </c>
      <c r="L288" s="1250">
        <v>2.0000005740573902E-3</v>
      </c>
      <c r="M288" s="1273">
        <v>2.0000005740573902E-3</v>
      </c>
      <c r="N288" s="1248">
        <v>3.1850009128239903E-2</v>
      </c>
      <c r="O288" s="1249">
        <v>3.1850009128239903E-2</v>
      </c>
      <c r="P288" s="1251">
        <v>1.5925004564119952E-2</v>
      </c>
      <c r="Q288" s="1252">
        <v>0.19867721505518199</v>
      </c>
    </row>
    <row r="289" spans="1:17" s="212" customFormat="1" ht="15.5" x14ac:dyDescent="0.35">
      <c r="A289" s="198">
        <v>2020</v>
      </c>
      <c r="B289" s="197" t="s">
        <v>5842</v>
      </c>
      <c r="C289" s="197">
        <v>1990</v>
      </c>
      <c r="D289" s="213" t="str">
        <f t="shared" si="3"/>
        <v>2020_1990</v>
      </c>
      <c r="E289" s="1267">
        <v>0.27988836057660299</v>
      </c>
      <c r="F289" s="1278">
        <v>0.44549070532023499</v>
      </c>
      <c r="G289" s="1248">
        <v>5.3651010901289702</v>
      </c>
      <c r="H289" s="1278">
        <v>1.6604601536908199</v>
      </c>
      <c r="I289" s="1248">
        <v>0.19061447960988701</v>
      </c>
      <c r="J289" s="1278">
        <v>1.3933797307718199E-2</v>
      </c>
      <c r="K289" s="1248">
        <v>3.0000008611216901E-3</v>
      </c>
      <c r="L289" s="1250">
        <v>2.0000005741989601E-3</v>
      </c>
      <c r="M289" s="1273">
        <v>2.0000005741989601E-3</v>
      </c>
      <c r="N289" s="1248">
        <v>3.1850009128239903E-2</v>
      </c>
      <c r="O289" s="1249">
        <v>3.1850009128239903E-2</v>
      </c>
      <c r="P289" s="1251">
        <v>1.5925004564119952E-2</v>
      </c>
      <c r="Q289" s="1252">
        <v>0.19923322053862</v>
      </c>
    </row>
    <row r="290" spans="1:17" s="212" customFormat="1" ht="15.5" x14ac:dyDescent="0.35">
      <c r="A290" s="198">
        <v>2020</v>
      </c>
      <c r="B290" s="197" t="s">
        <v>5842</v>
      </c>
      <c r="C290" s="197">
        <v>1991</v>
      </c>
      <c r="D290" s="213" t="str">
        <f t="shared" si="3"/>
        <v>2020_1991</v>
      </c>
      <c r="E290" s="1267">
        <v>0.36815149156364202</v>
      </c>
      <c r="F290" s="1278">
        <v>0.462630182539921</v>
      </c>
      <c r="G290" s="1248">
        <v>9.3375273095771298</v>
      </c>
      <c r="H290" s="1278">
        <v>2.90034887518412</v>
      </c>
      <c r="I290" s="1248">
        <v>5.2175639790682703E-2</v>
      </c>
      <c r="J290" s="1278">
        <v>7.4253974007463001E-3</v>
      </c>
      <c r="K290" s="1248">
        <v>3.0000008612840702E-3</v>
      </c>
      <c r="L290" s="1250">
        <v>2.0000005740523101E-3</v>
      </c>
      <c r="M290" s="1273">
        <v>2.0000005740523101E-3</v>
      </c>
      <c r="N290" s="1248">
        <v>3.1850009128239903E-2</v>
      </c>
      <c r="O290" s="1249">
        <v>3.1850009128239903E-2</v>
      </c>
      <c r="P290" s="1251">
        <v>1.5925004564119952E-2</v>
      </c>
      <c r="Q290" s="1252">
        <v>5.4534790696044902E-2</v>
      </c>
    </row>
    <row r="291" spans="1:17" s="212" customFormat="1" ht="15.5" x14ac:dyDescent="0.35">
      <c r="A291" s="198">
        <v>2020</v>
      </c>
      <c r="B291" s="197" t="s">
        <v>5842</v>
      </c>
      <c r="C291" s="197">
        <v>1992</v>
      </c>
      <c r="D291" s="213" t="str">
        <f t="shared" si="3"/>
        <v>2020_1992</v>
      </c>
      <c r="E291" s="1267">
        <v>0.36894863088517699</v>
      </c>
      <c r="F291" s="1278">
        <v>0.46711610528572101</v>
      </c>
      <c r="G291" s="1248">
        <v>9.3288009428245093</v>
      </c>
      <c r="H291" s="1278">
        <v>2.9064318416605199</v>
      </c>
      <c r="I291" s="1248">
        <v>5.2288612996160597E-2</v>
      </c>
      <c r="J291" s="1278">
        <v>7.5275480020291601E-3</v>
      </c>
      <c r="K291" s="1248">
        <v>3.00000086126635E-3</v>
      </c>
      <c r="L291" s="1250">
        <v>2.0000005741297499E-3</v>
      </c>
      <c r="M291" s="1273">
        <v>2.0000005741297499E-3</v>
      </c>
      <c r="N291" s="1248">
        <v>3.1850009128239903E-2</v>
      </c>
      <c r="O291" s="1249">
        <v>3.1850009128239903E-2</v>
      </c>
      <c r="P291" s="1251">
        <v>1.5925004564119952E-2</v>
      </c>
      <c r="Q291" s="1252">
        <v>5.4652872048563297E-2</v>
      </c>
    </row>
    <row r="292" spans="1:17" s="212" customFormat="1" ht="15.5" x14ac:dyDescent="0.35">
      <c r="A292" s="198">
        <v>2020</v>
      </c>
      <c r="B292" s="197" t="s">
        <v>5842</v>
      </c>
      <c r="C292" s="197">
        <v>1993</v>
      </c>
      <c r="D292" s="213" t="str">
        <f t="shared" si="3"/>
        <v>2020_1993</v>
      </c>
      <c r="E292" s="1267">
        <v>0.37094745040232702</v>
      </c>
      <c r="F292" s="1278">
        <v>0.45784808079216599</v>
      </c>
      <c r="G292" s="1248">
        <v>9.2946511142668609</v>
      </c>
      <c r="H292" s="1278">
        <v>2.8869929911557599</v>
      </c>
      <c r="I292" s="1248">
        <v>5.2571892269838001E-2</v>
      </c>
      <c r="J292" s="1278">
        <v>7.40643524762866E-3</v>
      </c>
      <c r="K292" s="1248">
        <v>3.0000008613283299E-3</v>
      </c>
      <c r="L292" s="1250">
        <v>2.0000005740564899E-3</v>
      </c>
      <c r="M292" s="1273">
        <v>2.0000005740564899E-3</v>
      </c>
      <c r="N292" s="1248">
        <v>3.1850009128239903E-2</v>
      </c>
      <c r="O292" s="1249">
        <v>3.1850009128239903E-2</v>
      </c>
      <c r="P292" s="1251">
        <v>1.5925004564119952E-2</v>
      </c>
      <c r="Q292" s="1252">
        <v>5.4948959953963102E-2</v>
      </c>
    </row>
    <row r="293" spans="1:17" s="212" customFormat="1" ht="15.5" x14ac:dyDescent="0.35">
      <c r="A293" s="198">
        <v>2020</v>
      </c>
      <c r="B293" s="197" t="s">
        <v>5842</v>
      </c>
      <c r="C293" s="197">
        <v>1994</v>
      </c>
      <c r="D293" s="213" t="str">
        <f t="shared" si="3"/>
        <v>2020_1994</v>
      </c>
      <c r="E293" s="1267">
        <v>0.36475462907997602</v>
      </c>
      <c r="F293" s="1278">
        <v>0.45366044234287201</v>
      </c>
      <c r="G293" s="1248">
        <v>9.3860219616819904</v>
      </c>
      <c r="H293" s="1278">
        <v>2.8769224407610601</v>
      </c>
      <c r="I293" s="1248">
        <v>5.22286214810712E-2</v>
      </c>
      <c r="J293" s="1278">
        <v>7.36158328335354E-3</v>
      </c>
      <c r="K293" s="1248">
        <v>3.0000008612416701E-3</v>
      </c>
      <c r="L293" s="1250">
        <v>2.0000005740396002E-3</v>
      </c>
      <c r="M293" s="1273">
        <v>2.0000005740396002E-3</v>
      </c>
      <c r="N293" s="1248">
        <v>3.1850009128239903E-2</v>
      </c>
      <c r="O293" s="1249">
        <v>3.1850009128239903E-2</v>
      </c>
      <c r="P293" s="1251">
        <v>1.5925004564119952E-2</v>
      </c>
      <c r="Q293" s="1252">
        <v>5.4590167983369901E-2</v>
      </c>
    </row>
    <row r="294" spans="1:17" s="212" customFormat="1" ht="15.5" x14ac:dyDescent="0.35">
      <c r="A294" s="198">
        <v>2020</v>
      </c>
      <c r="B294" s="197" t="s">
        <v>5842</v>
      </c>
      <c r="C294" s="197">
        <v>1995</v>
      </c>
      <c r="D294" s="213" t="str">
        <f t="shared" si="3"/>
        <v>2020_1995</v>
      </c>
      <c r="E294" s="1267">
        <v>0.36704322639074</v>
      </c>
      <c r="F294" s="1278">
        <v>0.24384192538011201</v>
      </c>
      <c r="G294" s="1248">
        <v>9.3732215268698909</v>
      </c>
      <c r="H294" s="1278">
        <v>1.64503094937211</v>
      </c>
      <c r="I294" s="1248">
        <v>5.2556322003934897E-2</v>
      </c>
      <c r="J294" s="1278">
        <v>4.8407721001796702E-3</v>
      </c>
      <c r="K294" s="1248">
        <v>3.00000086123811E-3</v>
      </c>
      <c r="L294" s="1250">
        <v>2.00000057411188E-3</v>
      </c>
      <c r="M294" s="1273">
        <v>2.00000057411188E-3</v>
      </c>
      <c r="N294" s="1248">
        <v>3.1850009128239903E-2</v>
      </c>
      <c r="O294" s="1249">
        <v>3.1850009128239903E-2</v>
      </c>
      <c r="P294" s="1251">
        <v>1.5925004564119952E-2</v>
      </c>
      <c r="Q294" s="1252">
        <v>5.4932685669727997E-2</v>
      </c>
    </row>
    <row r="295" spans="1:17" s="212" customFormat="1" ht="15.5" x14ac:dyDescent="0.35">
      <c r="A295" s="198">
        <v>2020</v>
      </c>
      <c r="B295" s="197" t="s">
        <v>5842</v>
      </c>
      <c r="C295" s="197">
        <v>1996</v>
      </c>
      <c r="D295" s="213" t="str">
        <f t="shared" si="3"/>
        <v>2020_1996</v>
      </c>
      <c r="E295" s="1267">
        <v>0.36852623675075902</v>
      </c>
      <c r="F295" s="1278">
        <v>2.2302593549416799E-2</v>
      </c>
      <c r="G295" s="1248">
        <v>9.3489844816852194</v>
      </c>
      <c r="H295" s="1278">
        <v>0.392811363084689</v>
      </c>
      <c r="I295" s="1248">
        <v>5.2768671842897297E-2</v>
      </c>
      <c r="J295" s="1278">
        <v>2.17416051961791E-3</v>
      </c>
      <c r="K295" s="1248">
        <v>3.0000008612765601E-3</v>
      </c>
      <c r="L295" s="1250">
        <v>2.0000005741236202E-3</v>
      </c>
      <c r="M295" s="1273">
        <v>2.0000005741236202E-3</v>
      </c>
      <c r="N295" s="1248">
        <v>3.1850009128239903E-2</v>
      </c>
      <c r="O295" s="1249">
        <v>3.1850009128239903E-2</v>
      </c>
      <c r="P295" s="1251">
        <v>1.5925004564119952E-2</v>
      </c>
      <c r="Q295" s="1252">
        <v>5.51546370261198E-2</v>
      </c>
    </row>
    <row r="296" spans="1:17" s="212" customFormat="1" ht="15.5" x14ac:dyDescent="0.35">
      <c r="A296" s="198">
        <v>2020</v>
      </c>
      <c r="B296" s="197" t="s">
        <v>5842</v>
      </c>
      <c r="C296" s="197">
        <v>1997</v>
      </c>
      <c r="D296" s="213" t="str">
        <f t="shared" si="3"/>
        <v>2020_1997</v>
      </c>
      <c r="E296" s="1267">
        <v>0.36969657480311302</v>
      </c>
      <c r="F296" s="1278">
        <v>2.14312139669387E-2</v>
      </c>
      <c r="G296" s="1248">
        <v>9.3032401616456397</v>
      </c>
      <c r="H296" s="1278">
        <v>0.387008812368412</v>
      </c>
      <c r="I296" s="1248">
        <v>5.29636307141131E-2</v>
      </c>
      <c r="J296" s="1278">
        <v>2.0920706125895599E-3</v>
      </c>
      <c r="K296" s="1248">
        <v>3.00000086127661E-3</v>
      </c>
      <c r="L296" s="1250">
        <v>2.0000005740409802E-3</v>
      </c>
      <c r="M296" s="1273">
        <v>2.0000005740409802E-3</v>
      </c>
      <c r="N296" s="1248">
        <v>3.1850009128239903E-2</v>
      </c>
      <c r="O296" s="1249">
        <v>3.1850009128239903E-2</v>
      </c>
      <c r="P296" s="1251">
        <v>1.5925004564119952E-2</v>
      </c>
      <c r="Q296" s="1252">
        <v>5.53584110723747E-2</v>
      </c>
    </row>
    <row r="297" spans="1:17" s="212" customFormat="1" ht="15.5" x14ac:dyDescent="0.35">
      <c r="A297" s="198">
        <v>2020</v>
      </c>
      <c r="B297" s="197" t="s">
        <v>5842</v>
      </c>
      <c r="C297" s="197">
        <v>1998</v>
      </c>
      <c r="D297" s="213" t="str">
        <f t="shared" si="3"/>
        <v>2020_1998</v>
      </c>
      <c r="E297" s="1267">
        <v>0.36983119900809702</v>
      </c>
      <c r="F297" s="1278">
        <v>2.1737336194043801E-2</v>
      </c>
      <c r="G297" s="1248">
        <v>9.2873931813377997</v>
      </c>
      <c r="H297" s="1278">
        <v>0.38800074324602501</v>
      </c>
      <c r="I297" s="1248">
        <v>5.3044072714775202E-2</v>
      </c>
      <c r="J297" s="1278">
        <v>2.1237859544716701E-3</v>
      </c>
      <c r="K297" s="1248">
        <v>3.0000008613614202E-3</v>
      </c>
      <c r="L297" s="1250">
        <v>2.0000005740835199E-3</v>
      </c>
      <c r="M297" s="1273">
        <v>2.0000005740835199E-3</v>
      </c>
      <c r="N297" s="1248">
        <v>3.1850009128239903E-2</v>
      </c>
      <c r="O297" s="1249">
        <v>3.1850009128239903E-2</v>
      </c>
      <c r="P297" s="1251">
        <v>1.5925004564119952E-2</v>
      </c>
      <c r="Q297" s="1252">
        <v>5.5442490303350703E-2</v>
      </c>
    </row>
    <row r="298" spans="1:17" s="212" customFormat="1" ht="15.5" x14ac:dyDescent="0.35">
      <c r="A298" s="198">
        <v>2020</v>
      </c>
      <c r="B298" s="197" t="s">
        <v>5842</v>
      </c>
      <c r="C298" s="197">
        <v>1999</v>
      </c>
      <c r="D298" s="213" t="str">
        <f t="shared" si="3"/>
        <v>2020_1999</v>
      </c>
      <c r="E298" s="1267">
        <v>0.36528657951997301</v>
      </c>
      <c r="F298" s="1278">
        <v>2.1679927375829199E-2</v>
      </c>
      <c r="G298" s="1248">
        <v>9.3147557259449307</v>
      </c>
      <c r="H298" s="1278">
        <v>0.38620607486196601</v>
      </c>
      <c r="I298" s="1248">
        <v>5.2486833779458598E-2</v>
      </c>
      <c r="J298" s="1278">
        <v>2.1227272175362599E-3</v>
      </c>
      <c r="K298" s="1248">
        <v>3.0000008613241102E-3</v>
      </c>
      <c r="L298" s="1250">
        <v>2.00000057409682E-3</v>
      </c>
      <c r="M298" s="1273">
        <v>2.00000057409682E-3</v>
      </c>
      <c r="N298" s="1248">
        <v>3.1850009128239903E-2</v>
      </c>
      <c r="O298" s="1249">
        <v>3.1850009128239903E-2</v>
      </c>
      <c r="P298" s="1251">
        <v>1.5925004564119952E-2</v>
      </c>
      <c r="Q298" s="1252">
        <v>5.4860055496090299E-2</v>
      </c>
    </row>
    <row r="299" spans="1:17" s="212" customFormat="1" ht="15.5" x14ac:dyDescent="0.35">
      <c r="A299" s="198">
        <v>2020</v>
      </c>
      <c r="B299" s="197" t="s">
        <v>5842</v>
      </c>
      <c r="C299" s="197">
        <v>2000</v>
      </c>
      <c r="D299" s="213" t="str">
        <f t="shared" si="3"/>
        <v>2020_2000</v>
      </c>
      <c r="E299" s="1267">
        <v>0.35842460313050001</v>
      </c>
      <c r="F299" s="1278">
        <v>2.19127633205723E-2</v>
      </c>
      <c r="G299" s="1248">
        <v>9.3819124111855796</v>
      </c>
      <c r="H299" s="1278">
        <v>0.385573849437293</v>
      </c>
      <c r="I299" s="1248">
        <v>5.16285055384871E-2</v>
      </c>
      <c r="J299" s="1278">
        <v>2.1562905860265302E-3</v>
      </c>
      <c r="K299" s="1248">
        <v>3.00000086124102E-3</v>
      </c>
      <c r="L299" s="1250">
        <v>2.0000005741392102E-3</v>
      </c>
      <c r="M299" s="1273">
        <v>2.0000005741392102E-3</v>
      </c>
      <c r="N299" s="1248">
        <v>3.1850009128239903E-2</v>
      </c>
      <c r="O299" s="1249">
        <v>3.1850009128239903E-2</v>
      </c>
      <c r="P299" s="1251">
        <v>1.5925004564119952E-2</v>
      </c>
      <c r="Q299" s="1252">
        <v>5.3962917460837201E-2</v>
      </c>
    </row>
    <row r="300" spans="1:17" s="212" customFormat="1" ht="15.5" x14ac:dyDescent="0.35">
      <c r="A300" s="198">
        <v>2020</v>
      </c>
      <c r="B300" s="197" t="s">
        <v>5842</v>
      </c>
      <c r="C300" s="197">
        <v>2001</v>
      </c>
      <c r="D300" s="213" t="str">
        <f t="shared" si="3"/>
        <v>2020_2001</v>
      </c>
      <c r="E300" s="1267">
        <v>0.35781810067763598</v>
      </c>
      <c r="F300" s="1278">
        <v>2.18595159886452E-2</v>
      </c>
      <c r="G300" s="1248">
        <v>9.3036173972168594</v>
      </c>
      <c r="H300" s="1278">
        <v>0.38199300980290402</v>
      </c>
      <c r="I300" s="1248">
        <v>5.1705175740193697E-2</v>
      </c>
      <c r="J300" s="1278">
        <v>2.1649650822614698E-3</v>
      </c>
      <c r="K300" s="1248">
        <v>3.00000086132178E-3</v>
      </c>
      <c r="L300" s="1250">
        <v>2.0000005741641499E-3</v>
      </c>
      <c r="M300" s="1273">
        <v>2.0000005741641499E-3</v>
      </c>
      <c r="N300" s="1248">
        <v>3.1850009128239903E-2</v>
      </c>
      <c r="O300" s="1249">
        <v>3.1850009128239903E-2</v>
      </c>
      <c r="P300" s="1251">
        <v>1.5925004564119952E-2</v>
      </c>
      <c r="Q300" s="1252">
        <v>5.4043054348846001E-2</v>
      </c>
    </row>
    <row r="301" spans="1:17" s="212" customFormat="1" ht="15.5" x14ac:dyDescent="0.35">
      <c r="A301" s="198">
        <v>2020</v>
      </c>
      <c r="B301" s="197" t="s">
        <v>5842</v>
      </c>
      <c r="C301" s="197">
        <v>2002</v>
      </c>
      <c r="D301" s="213" t="str">
        <f t="shared" si="3"/>
        <v>2020_2002</v>
      </c>
      <c r="E301" s="1267">
        <v>0.27690872504226</v>
      </c>
      <c r="F301" s="1278">
        <v>2.1623757706600199E-2</v>
      </c>
      <c r="G301" s="1248">
        <v>7.1671807610137002</v>
      </c>
      <c r="H301" s="1278">
        <v>0.29917501825606402</v>
      </c>
      <c r="I301" s="1248">
        <v>5.2296200952326698E-2</v>
      </c>
      <c r="J301" s="1278">
        <v>2.1619499645616201E-3</v>
      </c>
      <c r="K301" s="1248">
        <v>3.0000008613357502E-3</v>
      </c>
      <c r="L301" s="1250">
        <v>2.0000005741382301E-3</v>
      </c>
      <c r="M301" s="1273">
        <v>2.0000005741382301E-3</v>
      </c>
      <c r="N301" s="1248">
        <v>3.1850009128239903E-2</v>
      </c>
      <c r="O301" s="1249">
        <v>3.1850009128239903E-2</v>
      </c>
      <c r="P301" s="1251">
        <v>1.5925004564119952E-2</v>
      </c>
      <c r="Q301" s="1252">
        <v>5.46608030984361E-2</v>
      </c>
    </row>
    <row r="302" spans="1:17" s="212" customFormat="1" ht="15.5" x14ac:dyDescent="0.35">
      <c r="A302" s="198">
        <v>2020</v>
      </c>
      <c r="B302" s="197" t="s">
        <v>5842</v>
      </c>
      <c r="C302" s="197">
        <v>2003</v>
      </c>
      <c r="D302" s="213" t="str">
        <f t="shared" si="3"/>
        <v>2020_2003</v>
      </c>
      <c r="E302" s="1267">
        <v>0.271046197050063</v>
      </c>
      <c r="F302" s="1278">
        <v>2.1103840505291498E-2</v>
      </c>
      <c r="G302" s="1248">
        <v>7.2032886273627001</v>
      </c>
      <c r="H302" s="1278">
        <v>0.29033416252685201</v>
      </c>
      <c r="I302" s="1248">
        <v>5.1428074202389797E-2</v>
      </c>
      <c r="J302" s="1278">
        <v>2.13132104210958E-3</v>
      </c>
      <c r="K302" s="1248">
        <v>3.0000008612584002E-3</v>
      </c>
      <c r="L302" s="1250">
        <v>2.0000005741244498E-3</v>
      </c>
      <c r="M302" s="1273">
        <v>2.0000005741244498E-3</v>
      </c>
      <c r="N302" s="1248">
        <v>3.1850009128239903E-2</v>
      </c>
      <c r="O302" s="1249">
        <v>3.1850009128239903E-2</v>
      </c>
      <c r="P302" s="1251">
        <v>1.5925004564119952E-2</v>
      </c>
      <c r="Q302" s="1252">
        <v>5.3753423509122399E-2</v>
      </c>
    </row>
    <row r="303" spans="1:17" s="212" customFormat="1" ht="15.5" x14ac:dyDescent="0.35">
      <c r="A303" s="198">
        <v>2020</v>
      </c>
      <c r="B303" s="197" t="s">
        <v>5842</v>
      </c>
      <c r="C303" s="197">
        <v>2004</v>
      </c>
      <c r="D303" s="213" t="str">
        <f t="shared" si="3"/>
        <v>2020_2004</v>
      </c>
      <c r="E303" s="1267">
        <v>0.54285831893159198</v>
      </c>
      <c r="F303" s="1278">
        <v>1.3938297558352899E-2</v>
      </c>
      <c r="G303" s="1248">
        <v>4.1215844388950398</v>
      </c>
      <c r="H303" s="1278">
        <v>0.23819445416738799</v>
      </c>
      <c r="I303" s="1248">
        <v>0.14464263814066999</v>
      </c>
      <c r="J303" s="1278">
        <v>1.3861510136565101E-4</v>
      </c>
      <c r="K303" s="1248">
        <v>3.0000008612544502E-3</v>
      </c>
      <c r="L303" s="1250">
        <v>2.0000005740599099E-3</v>
      </c>
      <c r="M303" s="1273">
        <v>2.0000005740599099E-3</v>
      </c>
      <c r="N303" s="1248">
        <v>3.1850009128239903E-2</v>
      </c>
      <c r="O303" s="1249">
        <v>3.1850009128239903E-2</v>
      </c>
      <c r="P303" s="1251">
        <v>1.5925004564119952E-2</v>
      </c>
      <c r="Q303" s="1252">
        <v>0.15118273639519</v>
      </c>
    </row>
    <row r="304" spans="1:17" s="212" customFormat="1" ht="15.5" x14ac:dyDescent="0.35">
      <c r="A304" s="198">
        <v>2020</v>
      </c>
      <c r="B304" s="197" t="s">
        <v>5842</v>
      </c>
      <c r="C304" s="197">
        <v>2005</v>
      </c>
      <c r="D304" s="213" t="str">
        <f t="shared" si="3"/>
        <v>2020_2005</v>
      </c>
      <c r="E304" s="1267">
        <v>0.53202798564306197</v>
      </c>
      <c r="F304" s="1278">
        <v>1.3705854998974899E-2</v>
      </c>
      <c r="G304" s="1248">
        <v>4.1083151607542598</v>
      </c>
      <c r="H304" s="1278">
        <v>0.23075946784350099</v>
      </c>
      <c r="I304" s="1248">
        <v>0.142725740246365</v>
      </c>
      <c r="J304" s="1278">
        <v>1.4052066025537299E-4</v>
      </c>
      <c r="K304" s="1248">
        <v>3.0000008612272198E-3</v>
      </c>
      <c r="L304" s="1250">
        <v>2.0000005740983002E-3</v>
      </c>
      <c r="M304" s="1273">
        <v>2.0000005740983002E-3</v>
      </c>
      <c r="N304" s="1248">
        <v>3.1850009128239903E-2</v>
      </c>
      <c r="O304" s="1249">
        <v>3.1850009128239903E-2</v>
      </c>
      <c r="P304" s="1251">
        <v>1.5925004564119952E-2</v>
      </c>
      <c r="Q304" s="1252">
        <v>0.14917916488421401</v>
      </c>
    </row>
    <row r="305" spans="1:17" s="212" customFormat="1" ht="15.5" x14ac:dyDescent="0.35">
      <c r="A305" s="198">
        <v>2020</v>
      </c>
      <c r="B305" s="197" t="s">
        <v>5842</v>
      </c>
      <c r="C305" s="197">
        <v>2006</v>
      </c>
      <c r="D305" s="213" t="str">
        <f t="shared" si="3"/>
        <v>2020_2006</v>
      </c>
      <c r="E305" s="1267">
        <v>0.51908997718537397</v>
      </c>
      <c r="F305" s="1278">
        <v>1.36533234665115E-2</v>
      </c>
      <c r="G305" s="1248">
        <v>4.0892583178304198</v>
      </c>
      <c r="H305" s="1278">
        <v>0.22265367527664601</v>
      </c>
      <c r="I305" s="1248">
        <v>0.140374424862661</v>
      </c>
      <c r="J305" s="1278">
        <v>1.41459177634407E-4</v>
      </c>
      <c r="K305" s="1248">
        <v>3.0000008612129201E-3</v>
      </c>
      <c r="L305" s="1250">
        <v>2.0000005741128298E-3</v>
      </c>
      <c r="M305" s="1273">
        <v>2.0000005741128298E-3</v>
      </c>
      <c r="N305" s="1248">
        <v>3.1850009128239903E-2</v>
      </c>
      <c r="O305" s="1249">
        <v>3.1850009128239903E-2</v>
      </c>
      <c r="P305" s="1251">
        <v>1.5925004564119952E-2</v>
      </c>
      <c r="Q305" s="1252">
        <v>0.146721533452665</v>
      </c>
    </row>
    <row r="306" spans="1:17" s="212" customFormat="1" ht="15.5" x14ac:dyDescent="0.35">
      <c r="A306" s="198">
        <v>2020</v>
      </c>
      <c r="B306" s="197" t="s">
        <v>5842</v>
      </c>
      <c r="C306" s="197">
        <v>2007</v>
      </c>
      <c r="D306" s="213" t="str">
        <f t="shared" si="3"/>
        <v>2020_2007</v>
      </c>
      <c r="E306" s="1267">
        <v>0.298921059337173</v>
      </c>
      <c r="F306" s="1278">
        <v>1.36675692855224E-2</v>
      </c>
      <c r="G306" s="1248">
        <v>2.4167904951485801</v>
      </c>
      <c r="H306" s="1278">
        <v>0.22153484988416899</v>
      </c>
      <c r="I306" s="1248">
        <v>8.0246461428674795E-2</v>
      </c>
      <c r="J306" s="1278">
        <v>1.44791115595429E-4</v>
      </c>
      <c r="K306" s="1248">
        <v>3.0000008612180999E-3</v>
      </c>
      <c r="L306" s="1250">
        <v>2.0000005741733699E-3</v>
      </c>
      <c r="M306" s="1273">
        <v>2.0000005741733699E-3</v>
      </c>
      <c r="N306" s="1248">
        <v>3.1850009128239903E-2</v>
      </c>
      <c r="O306" s="1249">
        <v>3.1850009128239903E-2</v>
      </c>
      <c r="P306" s="1251">
        <v>1.5925004564119952E-2</v>
      </c>
      <c r="Q306" s="1252">
        <v>8.3874850326080705E-2</v>
      </c>
    </row>
    <row r="307" spans="1:17" s="212" customFormat="1" ht="15.5" x14ac:dyDescent="0.35">
      <c r="A307" s="198">
        <v>2020</v>
      </c>
      <c r="B307" s="197" t="s">
        <v>5842</v>
      </c>
      <c r="C307" s="197">
        <v>2008</v>
      </c>
      <c r="D307" s="213" t="str">
        <f t="shared" si="3"/>
        <v>2020_2008</v>
      </c>
      <c r="E307" s="1267">
        <v>0.29917103882819002</v>
      </c>
      <c r="F307" s="1278">
        <v>9.3909883596126394E-3</v>
      </c>
      <c r="G307" s="1248">
        <v>2.4280040455171901</v>
      </c>
      <c r="H307" s="1278">
        <v>0.125302490178371</v>
      </c>
      <c r="I307" s="1248">
        <v>8.03330350230613E-2</v>
      </c>
      <c r="J307" s="1278">
        <v>1.4081307823855501E-4</v>
      </c>
      <c r="K307" s="1248">
        <v>3.0000008613060799E-3</v>
      </c>
      <c r="L307" s="1250">
        <v>2.0000005741919501E-3</v>
      </c>
      <c r="M307" s="1273">
        <v>2.0000005741919501E-3</v>
      </c>
      <c r="N307" s="1248">
        <v>3.1850009128239903E-2</v>
      </c>
      <c r="O307" s="1249">
        <v>3.1850009128239903E-2</v>
      </c>
      <c r="P307" s="1251">
        <v>1.5925004564119952E-2</v>
      </c>
      <c r="Q307" s="1252">
        <v>8.3965338394240696E-2</v>
      </c>
    </row>
    <row r="308" spans="1:17" s="212" customFormat="1" ht="15.5" x14ac:dyDescent="0.35">
      <c r="A308" s="198">
        <v>2020</v>
      </c>
      <c r="B308" s="197" t="s">
        <v>5842</v>
      </c>
      <c r="C308" s="197">
        <v>2009</v>
      </c>
      <c r="D308" s="213" t="str">
        <f t="shared" si="3"/>
        <v>2020_2009</v>
      </c>
      <c r="E308" s="1267">
        <v>0.290923523629736</v>
      </c>
      <c r="F308" s="1278">
        <v>4.9764676551293701E-3</v>
      </c>
      <c r="G308" s="1248">
        <v>2.41028136485121</v>
      </c>
      <c r="H308" s="1278">
        <v>3.8840886748430302E-2</v>
      </c>
      <c r="I308" s="1248">
        <v>7.8587616777084104E-2</v>
      </c>
      <c r="J308" s="1278">
        <v>1.2936359841476299E-4</v>
      </c>
      <c r="K308" s="1248">
        <v>3.0000008612681298E-3</v>
      </c>
      <c r="L308" s="1250">
        <v>2.0000005741344501E-3</v>
      </c>
      <c r="M308" s="1273">
        <v>2.0000005741344501E-3</v>
      </c>
      <c r="N308" s="1248">
        <v>3.1850009128239903E-2</v>
      </c>
      <c r="O308" s="1249">
        <v>3.1850009128239903E-2</v>
      </c>
      <c r="P308" s="1251">
        <v>1.5925004564119952E-2</v>
      </c>
      <c r="Q308" s="1252">
        <v>8.2141000080359197E-2</v>
      </c>
    </row>
    <row r="309" spans="1:17" s="212" customFormat="1" ht="15.5" x14ac:dyDescent="0.35">
      <c r="A309" s="198">
        <v>2020</v>
      </c>
      <c r="B309" s="197" t="s">
        <v>5842</v>
      </c>
      <c r="C309" s="197">
        <v>2010</v>
      </c>
      <c r="D309" s="213" t="str">
        <f t="shared" si="3"/>
        <v>2020_2010</v>
      </c>
      <c r="E309" s="1267">
        <v>8.1418410475544795E-2</v>
      </c>
      <c r="F309" s="1278">
        <v>4.9714850192827103E-3</v>
      </c>
      <c r="G309" s="1248">
        <v>0.67996284988578803</v>
      </c>
      <c r="H309" s="1278">
        <v>3.8927141949163198E-2</v>
      </c>
      <c r="I309" s="1248">
        <v>1.8129635111250701E-2</v>
      </c>
      <c r="J309" s="1278">
        <v>1.5799602567876701E-4</v>
      </c>
      <c r="K309" s="1248">
        <v>3.0000008613121701E-3</v>
      </c>
      <c r="L309" s="1250">
        <v>2.0000005741123801E-3</v>
      </c>
      <c r="M309" s="1273">
        <v>2.0000005741123801E-3</v>
      </c>
      <c r="N309" s="1248">
        <v>3.1850009128239903E-2</v>
      </c>
      <c r="O309" s="1249">
        <v>3.1850009128239903E-2</v>
      </c>
      <c r="P309" s="1251">
        <v>1.5925004564119952E-2</v>
      </c>
      <c r="Q309" s="1252">
        <v>1.89493767619172E-2</v>
      </c>
    </row>
    <row r="310" spans="1:17" s="212" customFormat="1" ht="15.5" x14ac:dyDescent="0.35">
      <c r="A310" s="198">
        <v>2020</v>
      </c>
      <c r="B310" s="197" t="s">
        <v>5842</v>
      </c>
      <c r="C310" s="197">
        <v>2011</v>
      </c>
      <c r="D310" s="213" t="str">
        <f t="shared" si="3"/>
        <v>2020_2011</v>
      </c>
      <c r="E310" s="1267">
        <v>7.9351205408617606E-2</v>
      </c>
      <c r="F310" s="1278">
        <v>5.1625598325817403E-3</v>
      </c>
      <c r="G310" s="1248">
        <v>0.65619706555049295</v>
      </c>
      <c r="H310" s="1278">
        <v>3.84149416716313E-2</v>
      </c>
      <c r="I310" s="1248">
        <v>1.70508360745158E-2</v>
      </c>
      <c r="J310" s="1278">
        <v>2.1607458203841201E-4</v>
      </c>
      <c r="K310" s="1248">
        <v>3.0000008612827201E-3</v>
      </c>
      <c r="L310" s="1250">
        <v>2.00000057421286E-3</v>
      </c>
      <c r="M310" s="1273">
        <v>2.00000057421286E-3</v>
      </c>
      <c r="N310" s="1248">
        <v>3.1850009128239903E-2</v>
      </c>
      <c r="O310" s="1249">
        <v>3.1850009128239903E-2</v>
      </c>
      <c r="P310" s="1251">
        <v>1.5925004564119952E-2</v>
      </c>
      <c r="Q310" s="1252">
        <v>1.7821799219840902E-2</v>
      </c>
    </row>
    <row r="311" spans="1:17" s="212" customFormat="1" ht="15.5" x14ac:dyDescent="0.35">
      <c r="A311" s="198">
        <v>2020</v>
      </c>
      <c r="B311" s="197" t="s">
        <v>5842</v>
      </c>
      <c r="C311" s="197">
        <v>2012</v>
      </c>
      <c r="D311" s="213" t="str">
        <f t="shared" si="3"/>
        <v>2020_2012</v>
      </c>
      <c r="E311" s="1267">
        <v>7.8612557558362106E-2</v>
      </c>
      <c r="F311" s="1278">
        <v>5.1291354491827101E-3</v>
      </c>
      <c r="G311" s="1248">
        <v>0.63673652415711002</v>
      </c>
      <c r="H311" s="1278">
        <v>3.7781916534937697E-2</v>
      </c>
      <c r="I311" s="1248">
        <v>1.61190761092566E-2</v>
      </c>
      <c r="J311" s="1278">
        <v>3.1556909471574298E-4</v>
      </c>
      <c r="K311" s="1248">
        <v>3.00000086134183E-3</v>
      </c>
      <c r="L311" s="1250">
        <v>2.00000057422313E-3</v>
      </c>
      <c r="M311" s="1273">
        <v>2.00000057422313E-3</v>
      </c>
      <c r="N311" s="1248">
        <v>3.1850009128239903E-2</v>
      </c>
      <c r="O311" s="1249">
        <v>3.1850009128239903E-2</v>
      </c>
      <c r="P311" s="1251">
        <v>1.5925004564119952E-2</v>
      </c>
      <c r="Q311" s="1252">
        <v>1.6847909203576299E-2</v>
      </c>
    </row>
    <row r="312" spans="1:17" s="212" customFormat="1" ht="15.5" x14ac:dyDescent="0.35">
      <c r="A312" s="198">
        <v>2020</v>
      </c>
      <c r="B312" s="197" t="s">
        <v>5842</v>
      </c>
      <c r="C312" s="197">
        <v>2013</v>
      </c>
      <c r="D312" s="213" t="str">
        <f t="shared" si="3"/>
        <v>2020_2013</v>
      </c>
      <c r="E312" s="1267">
        <v>7.7160543520200797E-2</v>
      </c>
      <c r="F312" s="1278">
        <v>5.1261247297283898E-3</v>
      </c>
      <c r="G312" s="1248">
        <v>0.61229517667357802</v>
      </c>
      <c r="H312" s="1278">
        <v>3.6859121099960798E-2</v>
      </c>
      <c r="I312" s="1248">
        <v>1.50171585891056E-2</v>
      </c>
      <c r="J312" s="1278">
        <v>4.7392441412724402E-4</v>
      </c>
      <c r="K312" s="1248">
        <v>3.0000008613667202E-3</v>
      </c>
      <c r="L312" s="1250">
        <v>2.00000057426166E-3</v>
      </c>
      <c r="M312" s="1273">
        <v>2.00000057426166E-3</v>
      </c>
      <c r="N312" s="1248">
        <v>3.1850009128239903E-2</v>
      </c>
      <c r="O312" s="1249">
        <v>3.1850009128239903E-2</v>
      </c>
      <c r="P312" s="1251">
        <v>1.5925004564119952E-2</v>
      </c>
      <c r="Q312" s="1252">
        <v>1.5696167862850701E-2</v>
      </c>
    </row>
    <row r="313" spans="1:17" s="212" customFormat="1" ht="15.5" x14ac:dyDescent="0.35">
      <c r="A313" s="198">
        <v>2020</v>
      </c>
      <c r="B313" s="197" t="s">
        <v>5842</v>
      </c>
      <c r="C313" s="197">
        <v>2014</v>
      </c>
      <c r="D313" s="213" t="str">
        <f t="shared" ref="D313:D387" si="4">CONCATENATE(A313,"_",C313)</f>
        <v>2020_2014</v>
      </c>
      <c r="E313" s="1267">
        <v>7.4727841601815198E-2</v>
      </c>
      <c r="F313" s="1278">
        <v>4.95492642282702E-3</v>
      </c>
      <c r="G313" s="1248">
        <v>0.58459741255554498</v>
      </c>
      <c r="H313" s="1278">
        <v>3.6172399717192397E-2</v>
      </c>
      <c r="I313" s="1248">
        <v>1.37516799707999E-2</v>
      </c>
      <c r="J313" s="1278">
        <v>6.5795147755303102E-4</v>
      </c>
      <c r="K313" s="1248">
        <v>3.0000008613044801E-3</v>
      </c>
      <c r="L313" s="1250">
        <v>2.0000005742158398E-3</v>
      </c>
      <c r="M313" s="1273">
        <v>2.0000005742158398E-3</v>
      </c>
      <c r="N313" s="1248">
        <v>3.1850009128239903E-2</v>
      </c>
      <c r="O313" s="1249">
        <v>3.1850009128239903E-2</v>
      </c>
      <c r="P313" s="1251">
        <v>1.5925004564119952E-2</v>
      </c>
      <c r="Q313" s="1252">
        <v>1.43734699169034E-2</v>
      </c>
    </row>
    <row r="314" spans="1:17" s="212" customFormat="1" ht="15.5" x14ac:dyDescent="0.35">
      <c r="A314" s="198">
        <v>2020</v>
      </c>
      <c r="B314" s="197" t="s">
        <v>5842</v>
      </c>
      <c r="C314" s="197">
        <v>2015</v>
      </c>
      <c r="D314" s="213" t="str">
        <f t="shared" si="4"/>
        <v>2020_2015</v>
      </c>
      <c r="E314" s="1267">
        <v>7.3325618434006895E-2</v>
      </c>
      <c r="F314" s="1278">
        <v>5.0887067629810804E-3</v>
      </c>
      <c r="G314" s="1248">
        <v>0.55926504753605</v>
      </c>
      <c r="H314" s="1278">
        <v>3.5545835196464301E-2</v>
      </c>
      <c r="I314" s="1248">
        <v>1.2562651085633E-2</v>
      </c>
      <c r="J314" s="1278">
        <v>8.3291128260149503E-4</v>
      </c>
      <c r="K314" s="1248">
        <v>3.0000008613132599E-3</v>
      </c>
      <c r="L314" s="1250">
        <v>2.0000005742508002E-3</v>
      </c>
      <c r="M314" s="1273">
        <v>2.0000005742508002E-3</v>
      </c>
      <c r="N314" s="1248">
        <v>3.1850009128239903E-2</v>
      </c>
      <c r="O314" s="1249">
        <v>3.1850009128239903E-2</v>
      </c>
      <c r="P314" s="1251">
        <v>1.5925004564119952E-2</v>
      </c>
      <c r="Q314" s="1252">
        <v>1.31306784217868E-2</v>
      </c>
    </row>
    <row r="315" spans="1:17" s="212" customFormat="1" ht="15.5" x14ac:dyDescent="0.35">
      <c r="A315" s="198">
        <v>2020</v>
      </c>
      <c r="B315" s="197" t="s">
        <v>5842</v>
      </c>
      <c r="C315" s="197">
        <v>2016</v>
      </c>
      <c r="D315" s="213" t="str">
        <f t="shared" si="4"/>
        <v>2020_2016</v>
      </c>
      <c r="E315" s="1267">
        <v>7.1743975539032806E-2</v>
      </c>
      <c r="F315" s="1278">
        <v>4.9185961963892199E-3</v>
      </c>
      <c r="G315" s="1248">
        <v>0.47043947284533</v>
      </c>
      <c r="H315" s="1278">
        <v>3.4471169973667601E-2</v>
      </c>
      <c r="I315" s="1248">
        <v>1.12955513953174E-2</v>
      </c>
      <c r="J315" s="1278">
        <v>9.5804085790437597E-4</v>
      </c>
      <c r="K315" s="1248">
        <v>3.00000086133053E-3</v>
      </c>
      <c r="L315" s="1250">
        <v>2.0000005742311002E-3</v>
      </c>
      <c r="M315" s="1273">
        <v>2.0000005742311002E-3</v>
      </c>
      <c r="N315" s="1248">
        <v>3.1850009128239903E-2</v>
      </c>
      <c r="O315" s="1249">
        <v>3.1850009128239903E-2</v>
      </c>
      <c r="P315" s="1251">
        <v>1.5925004564119952E-2</v>
      </c>
      <c r="Q315" s="1252">
        <v>1.18062861061467E-2</v>
      </c>
    </row>
    <row r="316" spans="1:17" s="212" customFormat="1" ht="15.5" x14ac:dyDescent="0.35">
      <c r="A316" s="198">
        <v>2020</v>
      </c>
      <c r="B316" s="197" t="s">
        <v>5842</v>
      </c>
      <c r="C316" s="197">
        <v>2017</v>
      </c>
      <c r="D316" s="213" t="str">
        <f t="shared" si="4"/>
        <v>2020_2017</v>
      </c>
      <c r="E316" s="1267">
        <v>6.9130830167202506E-2</v>
      </c>
      <c r="F316" s="1278">
        <v>5.0792760638515896E-3</v>
      </c>
      <c r="G316" s="1248">
        <v>0.38413991265377201</v>
      </c>
      <c r="H316" s="1278">
        <v>3.5030603977531501E-2</v>
      </c>
      <c r="I316" s="1248">
        <v>9.8647285732430794E-3</v>
      </c>
      <c r="J316" s="1278">
        <v>1.0335360620010699E-3</v>
      </c>
      <c r="K316" s="1248">
        <v>3.0000008612749598E-3</v>
      </c>
      <c r="L316" s="1250">
        <v>2.0000005742861499E-3</v>
      </c>
      <c r="M316" s="1273">
        <v>2.0000005742861499E-3</v>
      </c>
      <c r="N316" s="1248">
        <v>3.1850009128239903E-2</v>
      </c>
      <c r="O316" s="1249">
        <v>3.1850009128239903E-2</v>
      </c>
      <c r="P316" s="1251">
        <v>1.5925004564119952E-2</v>
      </c>
      <c r="Q316" s="1252">
        <v>1.03107678252403E-2</v>
      </c>
    </row>
    <row r="317" spans="1:17" s="212" customFormat="1" ht="15.5" x14ac:dyDescent="0.35">
      <c r="A317" s="198">
        <v>2020</v>
      </c>
      <c r="B317" s="197" t="s">
        <v>5842</v>
      </c>
      <c r="C317" s="197">
        <v>2018</v>
      </c>
      <c r="D317" s="213" t="str">
        <f t="shared" si="4"/>
        <v>2020_2018</v>
      </c>
      <c r="E317" s="1267">
        <v>6.7936383753092605E-2</v>
      </c>
      <c r="F317" s="1278">
        <v>5.0409907615054502E-3</v>
      </c>
      <c r="G317" s="1248">
        <v>0.30048330177278199</v>
      </c>
      <c r="H317" s="1278">
        <v>3.5747308347354498E-2</v>
      </c>
      <c r="I317" s="1248">
        <v>8.5218020866478904E-3</v>
      </c>
      <c r="J317" s="1278">
        <v>1.07500526670144E-3</v>
      </c>
      <c r="K317" s="1248">
        <v>3.0000008613365698E-3</v>
      </c>
      <c r="L317" s="1250">
        <v>2.0000005742377199E-3</v>
      </c>
      <c r="M317" s="1273">
        <v>2.0000005742377199E-3</v>
      </c>
      <c r="N317" s="1248">
        <v>3.1850009128239903E-2</v>
      </c>
      <c r="O317" s="1249">
        <v>3.1850009128239903E-2</v>
      </c>
      <c r="P317" s="1251">
        <v>1.5925004564119952E-2</v>
      </c>
      <c r="Q317" s="1252">
        <v>8.9071201620694092E-3</v>
      </c>
    </row>
    <row r="318" spans="1:17" s="212" customFormat="1" ht="15.5" x14ac:dyDescent="0.35">
      <c r="A318" s="198">
        <v>2020</v>
      </c>
      <c r="B318" s="197" t="s">
        <v>5842</v>
      </c>
      <c r="C318" s="197">
        <v>2019</v>
      </c>
      <c r="D318" s="213" t="str">
        <f t="shared" si="4"/>
        <v>2020_2019</v>
      </c>
      <c r="E318" s="1267">
        <v>6.6081535908806097E-2</v>
      </c>
      <c r="F318" s="1278">
        <v>4.8027246961533003E-3</v>
      </c>
      <c r="G318" s="1248">
        <v>0.24337226913281901</v>
      </c>
      <c r="H318" s="1278">
        <v>3.51973016966E-2</v>
      </c>
      <c r="I318" s="1248">
        <v>7.0498753390480402E-3</v>
      </c>
      <c r="J318" s="1278">
        <v>1.09562832082329E-3</v>
      </c>
      <c r="K318" s="1248">
        <v>3.00000086138324E-3</v>
      </c>
      <c r="L318" s="1250">
        <v>2.00000057418429E-3</v>
      </c>
      <c r="M318" s="1273">
        <v>2.00000057418429E-3</v>
      </c>
      <c r="N318" s="1248">
        <v>3.1850009128239903E-2</v>
      </c>
      <c r="O318" s="1249">
        <v>3.1850009128239903E-2</v>
      </c>
      <c r="P318" s="1251">
        <v>1.5925004564119952E-2</v>
      </c>
      <c r="Q318" s="1252">
        <v>7.3686394185212998E-3</v>
      </c>
    </row>
    <row r="319" spans="1:17" s="212" customFormat="1" ht="15.5" x14ac:dyDescent="0.35">
      <c r="A319" s="198">
        <v>2020</v>
      </c>
      <c r="B319" s="197" t="s">
        <v>5842</v>
      </c>
      <c r="C319" s="197">
        <v>2020</v>
      </c>
      <c r="D319" s="213" t="str">
        <f t="shared" si="4"/>
        <v>2020_2020</v>
      </c>
      <c r="E319" s="1267">
        <v>5.6871540692183101E-2</v>
      </c>
      <c r="F319" s="1278">
        <v>3.8524628759464799E-3</v>
      </c>
      <c r="G319" s="1248">
        <v>0.178342287007242</v>
      </c>
      <c r="H319" s="1278">
        <v>2.9416843736549299E-2</v>
      </c>
      <c r="I319" s="1248">
        <v>5.0551131989078303E-3</v>
      </c>
      <c r="J319" s="1278">
        <v>1.0831824939414E-3</v>
      </c>
      <c r="K319" s="1248">
        <v>3.0000008609576199E-3</v>
      </c>
      <c r="L319" s="1250">
        <v>2.0000005740667499E-3</v>
      </c>
      <c r="M319" s="1273">
        <v>2.0000005740667499E-3</v>
      </c>
      <c r="N319" s="1248">
        <v>3.1850009128239903E-2</v>
      </c>
      <c r="O319" s="1249">
        <v>3.1850009128239903E-2</v>
      </c>
      <c r="P319" s="1251">
        <v>1.5925004564119952E-2</v>
      </c>
      <c r="Q319" s="1252">
        <v>5.2836829860298503E-3</v>
      </c>
    </row>
    <row r="320" spans="1:17" s="212" customFormat="1" ht="15.5" x14ac:dyDescent="0.35">
      <c r="A320" s="198">
        <v>2020</v>
      </c>
      <c r="B320" s="197" t="s">
        <v>5842</v>
      </c>
      <c r="C320" s="197">
        <v>2021</v>
      </c>
      <c r="D320" s="213" t="str">
        <f t="shared" si="4"/>
        <v>2020_2021</v>
      </c>
      <c r="E320" s="1268">
        <v>5.6871540692183101E-2</v>
      </c>
      <c r="F320" s="1279">
        <v>3.8524628759464799E-3</v>
      </c>
      <c r="G320" s="1255">
        <v>0.178342287007242</v>
      </c>
      <c r="H320" s="1279">
        <v>2.9416843736549299E-2</v>
      </c>
      <c r="I320" s="1255">
        <v>5.0551131989078303E-3</v>
      </c>
      <c r="J320" s="1279">
        <v>1.0831824939414E-3</v>
      </c>
      <c r="K320" s="1255">
        <v>3.0000008609576199E-3</v>
      </c>
      <c r="L320" s="1253">
        <v>2.0000005740667499E-3</v>
      </c>
      <c r="M320" s="1274">
        <v>2.0000005740667499E-3</v>
      </c>
      <c r="N320" s="1255">
        <v>3.1850009128239903E-2</v>
      </c>
      <c r="O320" s="1256">
        <v>3.1850009128239903E-2</v>
      </c>
      <c r="P320" s="1259">
        <v>1.5925004564119952E-2</v>
      </c>
      <c r="Q320" s="1254">
        <v>5.2836829860298503E-3</v>
      </c>
    </row>
    <row r="321" spans="1:17" s="212" customFormat="1" ht="15.5" x14ac:dyDescent="0.35">
      <c r="A321" s="198">
        <v>2021</v>
      </c>
      <c r="B321" s="197" t="s">
        <v>5842</v>
      </c>
      <c r="C321" s="197">
        <v>1971</v>
      </c>
      <c r="D321" s="213" t="str">
        <f t="shared" si="4"/>
        <v>2021_1971</v>
      </c>
      <c r="E321" s="1268">
        <v>0.228034483858296</v>
      </c>
      <c r="F321" s="1279">
        <v>2.1695628365461102</v>
      </c>
      <c r="G321" s="1255">
        <v>5.1761305480575599</v>
      </c>
      <c r="H321" s="1279">
        <v>4.6988213265656498</v>
      </c>
      <c r="I321" s="1255">
        <v>0.171877541386565</v>
      </c>
      <c r="J321" s="1279">
        <v>1.28858707819992E-2</v>
      </c>
      <c r="K321" s="1255">
        <v>3.00000086156928E-3</v>
      </c>
      <c r="L321" s="1253">
        <v>2.0000005732656802E-3</v>
      </c>
      <c r="M321" s="1273">
        <v>2.0000005732656802E-3</v>
      </c>
      <c r="N321" s="1255">
        <v>3.1850009128239903E-2</v>
      </c>
      <c r="O321" s="1256">
        <v>3.1850009128239903E-2</v>
      </c>
      <c r="P321" s="1251">
        <v>1.5925004564119952E-2</v>
      </c>
      <c r="Q321" s="1254">
        <v>0.179649081112771</v>
      </c>
    </row>
    <row r="322" spans="1:17" s="212" customFormat="1" ht="15.5" x14ac:dyDescent="0.35">
      <c r="A322" s="198">
        <v>2021</v>
      </c>
      <c r="B322" s="197" t="s">
        <v>5842</v>
      </c>
      <c r="C322" s="197">
        <v>1972</v>
      </c>
      <c r="D322" s="213" t="str">
        <f t="shared" si="4"/>
        <v>2021_1972</v>
      </c>
      <c r="E322" s="1268">
        <v>0.228034483858296</v>
      </c>
      <c r="F322" s="1279">
        <v>2.1695628365461102</v>
      </c>
      <c r="G322" s="1255">
        <v>5.1761305480575599</v>
      </c>
      <c r="H322" s="1279">
        <v>4.6988213265656498</v>
      </c>
      <c r="I322" s="1255">
        <v>0.171877541386565</v>
      </c>
      <c r="J322" s="1279">
        <v>1.28858707819992E-2</v>
      </c>
      <c r="K322" s="1255">
        <v>3.00000086156928E-3</v>
      </c>
      <c r="L322" s="1253">
        <v>2.0000005732656802E-3</v>
      </c>
      <c r="M322" s="1273">
        <v>2.0000005732656802E-3</v>
      </c>
      <c r="N322" s="1255">
        <v>3.1850009128239903E-2</v>
      </c>
      <c r="O322" s="1256">
        <v>3.1850009128239903E-2</v>
      </c>
      <c r="P322" s="1251">
        <v>1.5925004564119952E-2</v>
      </c>
      <c r="Q322" s="1254">
        <v>0.179649081112771</v>
      </c>
    </row>
    <row r="323" spans="1:17" s="212" customFormat="1" ht="15.5" x14ac:dyDescent="0.35">
      <c r="A323" s="198">
        <v>2021</v>
      </c>
      <c r="B323" s="197" t="s">
        <v>5842</v>
      </c>
      <c r="C323" s="197">
        <v>1973</v>
      </c>
      <c r="D323" s="213" t="str">
        <f t="shared" si="4"/>
        <v>2021_1973</v>
      </c>
      <c r="E323" s="1268">
        <v>0.228034483858296</v>
      </c>
      <c r="F323" s="1279">
        <v>2.1695628365461102</v>
      </c>
      <c r="G323" s="1255">
        <v>5.1761305480575599</v>
      </c>
      <c r="H323" s="1279">
        <v>4.6988213265656498</v>
      </c>
      <c r="I323" s="1255">
        <v>0.171877541386565</v>
      </c>
      <c r="J323" s="1279">
        <v>1.28858707819992E-2</v>
      </c>
      <c r="K323" s="1255">
        <v>3.00000086156928E-3</v>
      </c>
      <c r="L323" s="1253">
        <v>2.0000005732656802E-3</v>
      </c>
      <c r="M323" s="1273">
        <v>2.0000005732656802E-3</v>
      </c>
      <c r="N323" s="1255">
        <v>3.1850009128239903E-2</v>
      </c>
      <c r="O323" s="1256">
        <v>3.1850009128239903E-2</v>
      </c>
      <c r="P323" s="1251">
        <v>1.5925004564119952E-2</v>
      </c>
      <c r="Q323" s="1254">
        <v>0.179649081112771</v>
      </c>
    </row>
    <row r="324" spans="1:17" s="212" customFormat="1" ht="15.5" x14ac:dyDescent="0.35">
      <c r="A324" s="198">
        <v>2021</v>
      </c>
      <c r="B324" s="197" t="s">
        <v>5842</v>
      </c>
      <c r="C324" s="197">
        <v>1974</v>
      </c>
      <c r="D324" s="213" t="str">
        <f t="shared" si="4"/>
        <v>2021_1974</v>
      </c>
      <c r="E324" s="1268">
        <v>0.228034483858296</v>
      </c>
      <c r="F324" s="1279">
        <v>2.1695628365461102</v>
      </c>
      <c r="G324" s="1255">
        <v>5.1761305480575599</v>
      </c>
      <c r="H324" s="1279">
        <v>4.6988213265656498</v>
      </c>
      <c r="I324" s="1255">
        <v>0.171877541386565</v>
      </c>
      <c r="J324" s="1279">
        <v>1.28858707819992E-2</v>
      </c>
      <c r="K324" s="1255">
        <v>3.00000086156928E-3</v>
      </c>
      <c r="L324" s="1253">
        <v>2.0000005732656802E-3</v>
      </c>
      <c r="M324" s="1273">
        <v>2.0000005732656802E-3</v>
      </c>
      <c r="N324" s="1255">
        <v>3.1850009128239903E-2</v>
      </c>
      <c r="O324" s="1256">
        <v>3.1850009128239903E-2</v>
      </c>
      <c r="P324" s="1251">
        <v>1.5925004564119952E-2</v>
      </c>
      <c r="Q324" s="1254">
        <v>0.179649081112771</v>
      </c>
    </row>
    <row r="325" spans="1:17" s="212" customFormat="1" ht="15.5" x14ac:dyDescent="0.35">
      <c r="A325" s="198">
        <v>2021</v>
      </c>
      <c r="B325" s="197" t="s">
        <v>5842</v>
      </c>
      <c r="C325" s="197">
        <v>1975</v>
      </c>
      <c r="D325" s="213" t="str">
        <f t="shared" si="4"/>
        <v>2021_1975</v>
      </c>
      <c r="E325" s="1268">
        <v>0.228034483858296</v>
      </c>
      <c r="F325" s="1279">
        <v>2.1695628365461102</v>
      </c>
      <c r="G325" s="1255">
        <v>5.1761305480575599</v>
      </c>
      <c r="H325" s="1279">
        <v>4.6988213265656498</v>
      </c>
      <c r="I325" s="1255">
        <v>0.171877541386565</v>
      </c>
      <c r="J325" s="1279">
        <v>1.28858707819992E-2</v>
      </c>
      <c r="K325" s="1255">
        <v>3.00000086156928E-3</v>
      </c>
      <c r="L325" s="1253">
        <v>2.0000005732656802E-3</v>
      </c>
      <c r="M325" s="1273">
        <v>2.0000005732656802E-3</v>
      </c>
      <c r="N325" s="1255">
        <v>3.1850009128239903E-2</v>
      </c>
      <c r="O325" s="1256">
        <v>3.1850009128239903E-2</v>
      </c>
      <c r="P325" s="1251">
        <v>1.5925004564119952E-2</v>
      </c>
      <c r="Q325" s="1254">
        <v>0.179649081112771</v>
      </c>
    </row>
    <row r="326" spans="1:17" s="212" customFormat="1" ht="15.5" x14ac:dyDescent="0.35">
      <c r="A326" s="198">
        <v>2021</v>
      </c>
      <c r="B326" s="197" t="s">
        <v>5842</v>
      </c>
      <c r="C326" s="197">
        <v>1976</v>
      </c>
      <c r="D326" s="213" t="str">
        <f t="shared" si="4"/>
        <v>2021_1976</v>
      </c>
      <c r="E326" s="1268">
        <v>0.228034483858296</v>
      </c>
      <c r="F326" s="1279">
        <v>2.1695628365461102</v>
      </c>
      <c r="G326" s="1255">
        <v>5.1761305480575599</v>
      </c>
      <c r="H326" s="1279">
        <v>4.6988213265656498</v>
      </c>
      <c r="I326" s="1255">
        <v>0.171877541386565</v>
      </c>
      <c r="J326" s="1279">
        <v>1.28858707819992E-2</v>
      </c>
      <c r="K326" s="1255">
        <v>3.00000086156928E-3</v>
      </c>
      <c r="L326" s="1253">
        <v>2.0000005732656802E-3</v>
      </c>
      <c r="M326" s="1273">
        <v>2.0000005732656802E-3</v>
      </c>
      <c r="N326" s="1255">
        <v>3.1850009128239903E-2</v>
      </c>
      <c r="O326" s="1256">
        <v>3.1850009128239903E-2</v>
      </c>
      <c r="P326" s="1251">
        <v>1.5925004564119952E-2</v>
      </c>
      <c r="Q326" s="1254">
        <v>0.179649081112771</v>
      </c>
    </row>
    <row r="327" spans="1:17" s="212" customFormat="1" ht="15.5" x14ac:dyDescent="0.35">
      <c r="A327" s="198">
        <v>2021</v>
      </c>
      <c r="B327" s="197" t="s">
        <v>5842</v>
      </c>
      <c r="C327" s="197">
        <v>1977</v>
      </c>
      <c r="D327" s="213" t="str">
        <f t="shared" si="4"/>
        <v>2021_1977</v>
      </c>
      <c r="E327" s="1268">
        <v>0.228034483858296</v>
      </c>
      <c r="F327" s="1278">
        <v>2.1695628365461102</v>
      </c>
      <c r="G327" s="1255">
        <v>5.1761305480575599</v>
      </c>
      <c r="H327" s="1278">
        <v>4.6988213265656498</v>
      </c>
      <c r="I327" s="1255">
        <v>0.171877541386565</v>
      </c>
      <c r="J327" s="1278">
        <v>1.28858707819992E-2</v>
      </c>
      <c r="K327" s="1255">
        <v>3.00000086156928E-3</v>
      </c>
      <c r="L327" s="1250">
        <v>2.0000005732656802E-3</v>
      </c>
      <c r="M327" s="1273">
        <v>2.0000005732656802E-3</v>
      </c>
      <c r="N327" s="1255">
        <v>3.1850009128239903E-2</v>
      </c>
      <c r="O327" s="1249">
        <v>3.1850009128239903E-2</v>
      </c>
      <c r="P327" s="1251">
        <v>1.5925004564119952E-2</v>
      </c>
      <c r="Q327" s="1254">
        <v>0.179649081112771</v>
      </c>
    </row>
    <row r="328" spans="1:17" s="212" customFormat="1" ht="15.5" x14ac:dyDescent="0.35">
      <c r="A328" s="198">
        <v>2021</v>
      </c>
      <c r="B328" s="197" t="s">
        <v>5842</v>
      </c>
      <c r="C328" s="197">
        <v>1978</v>
      </c>
      <c r="D328" s="213" t="str">
        <f t="shared" si="4"/>
        <v>2021_1978</v>
      </c>
      <c r="E328" s="1268">
        <v>0.228034483858296</v>
      </c>
      <c r="F328" s="1278">
        <v>2.79635688210583</v>
      </c>
      <c r="G328" s="1255">
        <v>5.1761305480575599</v>
      </c>
      <c r="H328" s="1278">
        <v>4.4680528867838802</v>
      </c>
      <c r="I328" s="1255">
        <v>0.171877541386565</v>
      </c>
      <c r="J328" s="1278">
        <v>1.68104684241248E-2</v>
      </c>
      <c r="K328" s="1255">
        <v>3.00000086156928E-3</v>
      </c>
      <c r="L328" s="1250">
        <v>2.00000057439959E-3</v>
      </c>
      <c r="M328" s="1273">
        <v>2.00000057439959E-3</v>
      </c>
      <c r="N328" s="1255">
        <v>3.1850009128239903E-2</v>
      </c>
      <c r="O328" s="1249">
        <v>3.1850009128239903E-2</v>
      </c>
      <c r="P328" s="1251">
        <v>1.5925004564119952E-2</v>
      </c>
      <c r="Q328" s="1254">
        <v>0.179649081112771</v>
      </c>
    </row>
    <row r="329" spans="1:17" s="212" customFormat="1" ht="15.5" x14ac:dyDescent="0.35">
      <c r="A329" s="198">
        <v>2021</v>
      </c>
      <c r="B329" s="197" t="s">
        <v>5842</v>
      </c>
      <c r="C329" s="197">
        <v>1979</v>
      </c>
      <c r="D329" s="213" t="str">
        <f t="shared" si="4"/>
        <v>2021_1979</v>
      </c>
      <c r="E329" s="1268">
        <v>0.228034483858296</v>
      </c>
      <c r="F329" s="1278">
        <v>2.5093646309440398</v>
      </c>
      <c r="G329" s="1255">
        <v>5.1761305480575599</v>
      </c>
      <c r="H329" s="1278">
        <v>4.2912188926870298</v>
      </c>
      <c r="I329" s="1255">
        <v>0.171877541386565</v>
      </c>
      <c r="J329" s="1278">
        <v>1.52303071330653E-2</v>
      </c>
      <c r="K329" s="1255">
        <v>3.00000086156928E-3</v>
      </c>
      <c r="L329" s="1250">
        <v>2.00000057379666E-3</v>
      </c>
      <c r="M329" s="1273">
        <v>2.00000057379666E-3</v>
      </c>
      <c r="N329" s="1255">
        <v>3.1850009128239903E-2</v>
      </c>
      <c r="O329" s="1249">
        <v>3.1850009128239903E-2</v>
      </c>
      <c r="P329" s="1251">
        <v>1.5925004564119952E-2</v>
      </c>
      <c r="Q329" s="1254">
        <v>0.179649081112771</v>
      </c>
    </row>
    <row r="330" spans="1:17" s="212" customFormat="1" ht="15.5" x14ac:dyDescent="0.35">
      <c r="A330" s="198">
        <v>2021</v>
      </c>
      <c r="B330" s="197" t="s">
        <v>5842</v>
      </c>
      <c r="C330" s="197">
        <v>1980</v>
      </c>
      <c r="D330" s="213" t="str">
        <f t="shared" si="4"/>
        <v>2021_1980</v>
      </c>
      <c r="E330" s="1268">
        <v>0.228034483858296</v>
      </c>
      <c r="F330" s="1278">
        <v>2.7907762547821302</v>
      </c>
      <c r="G330" s="1255">
        <v>5.1761305480575599</v>
      </c>
      <c r="H330" s="1278">
        <v>3.6264307322695899</v>
      </c>
      <c r="I330" s="1255">
        <v>0.171877541386565</v>
      </c>
      <c r="J330" s="1278">
        <v>1.6822988142043201E-2</v>
      </c>
      <c r="K330" s="1255">
        <v>3.00000086156928E-3</v>
      </c>
      <c r="L330" s="1250">
        <v>2.0000005748044502E-3</v>
      </c>
      <c r="M330" s="1273">
        <v>2.0000005748044502E-3</v>
      </c>
      <c r="N330" s="1255">
        <v>3.1850009128239903E-2</v>
      </c>
      <c r="O330" s="1249">
        <v>3.1850009128239903E-2</v>
      </c>
      <c r="P330" s="1251">
        <v>1.5925004564119952E-2</v>
      </c>
      <c r="Q330" s="1254">
        <v>0.179649081112771</v>
      </c>
    </row>
    <row r="331" spans="1:17" s="212" customFormat="1" ht="15.5" x14ac:dyDescent="0.35">
      <c r="A331" s="198">
        <v>2021</v>
      </c>
      <c r="B331" s="197" t="s">
        <v>5842</v>
      </c>
      <c r="C331" s="197">
        <v>1981</v>
      </c>
      <c r="D331" s="213" t="str">
        <f t="shared" si="4"/>
        <v>2021_1981</v>
      </c>
      <c r="E331" s="1268">
        <v>0.228034483858296</v>
      </c>
      <c r="F331" s="1278">
        <v>2.6298637673046401</v>
      </c>
      <c r="G331" s="1255">
        <v>5.1761305480575599</v>
      </c>
      <c r="H331" s="1278">
        <v>4.2882332185468002</v>
      </c>
      <c r="I331" s="1255">
        <v>0.171877541386565</v>
      </c>
      <c r="J331" s="1278">
        <v>1.53060785212717E-2</v>
      </c>
      <c r="K331" s="1255">
        <v>3.00000086156928E-3</v>
      </c>
      <c r="L331" s="1250">
        <v>2.00000057415742E-3</v>
      </c>
      <c r="M331" s="1273">
        <v>2.00000057415742E-3</v>
      </c>
      <c r="N331" s="1255">
        <v>3.1850009128239903E-2</v>
      </c>
      <c r="O331" s="1249">
        <v>3.1850009128239903E-2</v>
      </c>
      <c r="P331" s="1251">
        <v>1.5925004564119952E-2</v>
      </c>
      <c r="Q331" s="1254">
        <v>0.179649081112771</v>
      </c>
    </row>
    <row r="332" spans="1:17" s="212" customFormat="1" ht="15.5" x14ac:dyDescent="0.35">
      <c r="A332" s="198">
        <v>2021</v>
      </c>
      <c r="B332" s="197" t="s">
        <v>5842</v>
      </c>
      <c r="C332" s="197">
        <v>1982</v>
      </c>
      <c r="D332" s="213" t="str">
        <f t="shared" si="4"/>
        <v>2021_1982</v>
      </c>
      <c r="E332" s="1267">
        <v>0.228034483858296</v>
      </c>
      <c r="F332" s="1278">
        <v>2.5478138626240701</v>
      </c>
      <c r="G332" s="1248">
        <v>5.1761305480575599</v>
      </c>
      <c r="H332" s="1278">
        <v>3.9418869692893201</v>
      </c>
      <c r="I332" s="1248">
        <v>0.171877541386565</v>
      </c>
      <c r="J332" s="1278">
        <v>1.5006200987808801E-2</v>
      </c>
      <c r="K332" s="1248">
        <v>3.00000086156928E-3</v>
      </c>
      <c r="L332" s="1250">
        <v>2.0000005740135299E-3</v>
      </c>
      <c r="M332" s="1273">
        <v>2.0000005740135299E-3</v>
      </c>
      <c r="N332" s="1248">
        <v>3.1850009128239903E-2</v>
      </c>
      <c r="O332" s="1249">
        <v>3.1850009128239903E-2</v>
      </c>
      <c r="P332" s="1251">
        <v>1.5925004564119952E-2</v>
      </c>
      <c r="Q332" s="1252">
        <v>0.179649081112771</v>
      </c>
    </row>
    <row r="333" spans="1:17" s="212" customFormat="1" ht="15.5" x14ac:dyDescent="0.35">
      <c r="A333" s="198">
        <v>2021</v>
      </c>
      <c r="B333" s="197" t="s">
        <v>5842</v>
      </c>
      <c r="C333" s="197">
        <v>1983</v>
      </c>
      <c r="D333" s="213" t="str">
        <f t="shared" si="4"/>
        <v>2021_1983</v>
      </c>
      <c r="E333" s="1267">
        <v>0.22450075838773401</v>
      </c>
      <c r="F333" s="1278">
        <v>2.4993349135282101</v>
      </c>
      <c r="G333" s="1248">
        <v>5.2311941181660799</v>
      </c>
      <c r="H333" s="1278">
        <v>4.4266353590956298</v>
      </c>
      <c r="I333" s="1248">
        <v>0.16921404928862099</v>
      </c>
      <c r="J333" s="1278">
        <v>1.64078575940751E-2</v>
      </c>
      <c r="K333" s="1248">
        <v>3.0000008610212201E-3</v>
      </c>
      <c r="L333" s="1250">
        <v>2.0000005744363301E-3</v>
      </c>
      <c r="M333" s="1273">
        <v>2.0000005744363301E-3</v>
      </c>
      <c r="N333" s="1248">
        <v>3.1850009128239903E-2</v>
      </c>
      <c r="O333" s="1249">
        <v>3.1850009128239903E-2</v>
      </c>
      <c r="P333" s="1251">
        <v>1.5925004564119952E-2</v>
      </c>
      <c r="Q333" s="1252">
        <v>0.17686515772122899</v>
      </c>
    </row>
    <row r="334" spans="1:17" s="212" customFormat="1" ht="15.5" x14ac:dyDescent="0.35">
      <c r="A334" s="198">
        <v>2021</v>
      </c>
      <c r="B334" s="197" t="s">
        <v>5842</v>
      </c>
      <c r="C334" s="197">
        <v>1984</v>
      </c>
      <c r="D334" s="213" t="str">
        <f t="shared" si="4"/>
        <v>2021_1984</v>
      </c>
      <c r="E334" s="1267">
        <v>0.23385081044887601</v>
      </c>
      <c r="F334" s="1278">
        <v>1.6898268046471501</v>
      </c>
      <c r="G334" s="1248">
        <v>5.0991043750487197</v>
      </c>
      <c r="H334" s="1278">
        <v>3.61714434543459</v>
      </c>
      <c r="I334" s="1248">
        <v>0.17626150953636099</v>
      </c>
      <c r="J334" s="1278">
        <v>1.5909092001701101E-2</v>
      </c>
      <c r="K334" s="1248">
        <v>3.0000008615202701E-3</v>
      </c>
      <c r="L334" s="1250">
        <v>2.0000005742878799E-3</v>
      </c>
      <c r="M334" s="1273">
        <v>2.0000005742878799E-3</v>
      </c>
      <c r="N334" s="1248">
        <v>3.1850009128239903E-2</v>
      </c>
      <c r="O334" s="1249">
        <v>3.1850009128239903E-2</v>
      </c>
      <c r="P334" s="1251">
        <v>1.5925004564119952E-2</v>
      </c>
      <c r="Q334" s="1252">
        <v>0.184231272848731</v>
      </c>
    </row>
    <row r="335" spans="1:17" s="212" customFormat="1" ht="15.5" x14ac:dyDescent="0.35">
      <c r="A335" s="198">
        <v>2021</v>
      </c>
      <c r="B335" s="197" t="s">
        <v>5842</v>
      </c>
      <c r="C335" s="197">
        <v>1985</v>
      </c>
      <c r="D335" s="213" t="str">
        <f t="shared" si="4"/>
        <v>2021_1985</v>
      </c>
      <c r="E335" s="1267">
        <v>0.23423559169066699</v>
      </c>
      <c r="F335" s="1278">
        <v>2.04066560914164</v>
      </c>
      <c r="G335" s="1248">
        <v>5.0825932063563499</v>
      </c>
      <c r="H335" s="1278">
        <v>3.9656513243526899</v>
      </c>
      <c r="I335" s="1248">
        <v>0.17655153257450801</v>
      </c>
      <c r="J335" s="1278">
        <v>1.5424534201105801E-2</v>
      </c>
      <c r="K335" s="1248">
        <v>3.0000008615067202E-3</v>
      </c>
      <c r="L335" s="1250">
        <v>2.0000005741114199E-3</v>
      </c>
      <c r="M335" s="1273">
        <v>2.0000005741114199E-3</v>
      </c>
      <c r="N335" s="1248">
        <v>3.1850009128239903E-2</v>
      </c>
      <c r="O335" s="1249">
        <v>3.1850009128239903E-2</v>
      </c>
      <c r="P335" s="1251">
        <v>1.5925004564119952E-2</v>
      </c>
      <c r="Q335" s="1252">
        <v>0.18453440944170499</v>
      </c>
    </row>
    <row r="336" spans="1:17" s="212" customFormat="1" ht="15.5" x14ac:dyDescent="0.35">
      <c r="A336" s="198">
        <v>2021</v>
      </c>
      <c r="B336" s="197" t="s">
        <v>5842</v>
      </c>
      <c r="C336" s="197">
        <v>1986</v>
      </c>
      <c r="D336" s="213" t="str">
        <f t="shared" si="4"/>
        <v>2021_1986</v>
      </c>
      <c r="E336" s="1267">
        <v>0.226934609889475</v>
      </c>
      <c r="F336" s="1278">
        <v>1.6028059045690499</v>
      </c>
      <c r="G336" s="1248">
        <v>5.1944908308692099</v>
      </c>
      <c r="H336" s="1278">
        <v>4.3030559214440203</v>
      </c>
      <c r="I336" s="1248">
        <v>0.17104852802684201</v>
      </c>
      <c r="J336" s="1278">
        <v>1.53330969625521E-2</v>
      </c>
      <c r="K336" s="1248">
        <v>3.00000086122665E-3</v>
      </c>
      <c r="L336" s="1250">
        <v>2.0000005740634401E-3</v>
      </c>
      <c r="M336" s="1273">
        <v>2.0000005740634401E-3</v>
      </c>
      <c r="N336" s="1248">
        <v>3.1850009128239903E-2</v>
      </c>
      <c r="O336" s="1249">
        <v>3.1850009128239903E-2</v>
      </c>
      <c r="P336" s="1251">
        <v>1.5925004564119952E-2</v>
      </c>
      <c r="Q336" s="1252">
        <v>0.178782583447614</v>
      </c>
    </row>
    <row r="337" spans="1:17" s="212" customFormat="1" ht="15.5" x14ac:dyDescent="0.35">
      <c r="A337" s="198">
        <v>2021</v>
      </c>
      <c r="B337" s="197" t="s">
        <v>5842</v>
      </c>
      <c r="C337" s="197">
        <v>1987</v>
      </c>
      <c r="D337" s="213" t="str">
        <f t="shared" si="4"/>
        <v>2021_1987</v>
      </c>
      <c r="E337" s="1267">
        <v>0.28255468733611599</v>
      </c>
      <c r="F337" s="1278">
        <v>2.0009409326627101</v>
      </c>
      <c r="G337" s="1248">
        <v>5.3323920549963404</v>
      </c>
      <c r="H337" s="1278">
        <v>4.4974883749541803</v>
      </c>
      <c r="I337" s="1248">
        <v>0.19243034821795499</v>
      </c>
      <c r="J337" s="1278">
        <v>1.5270453135498E-2</v>
      </c>
      <c r="K337" s="1248">
        <v>3.0000008611938299E-3</v>
      </c>
      <c r="L337" s="1250">
        <v>2.0000005741483699E-3</v>
      </c>
      <c r="M337" s="1273">
        <v>2.0000005741483699E-3</v>
      </c>
      <c r="N337" s="1248">
        <v>3.1850009128239903E-2</v>
      </c>
      <c r="O337" s="1249">
        <v>3.1850009128239903E-2</v>
      </c>
      <c r="P337" s="1251">
        <v>1.5925004564119952E-2</v>
      </c>
      <c r="Q337" s="1252">
        <v>0.201131194667347</v>
      </c>
    </row>
    <row r="338" spans="1:17" s="212" customFormat="1" ht="15.5" x14ac:dyDescent="0.35">
      <c r="A338" s="198">
        <v>2021</v>
      </c>
      <c r="B338" s="197" t="s">
        <v>5842</v>
      </c>
      <c r="C338" s="197">
        <v>1988</v>
      </c>
      <c r="D338" s="213" t="str">
        <f t="shared" si="4"/>
        <v>2021_1988</v>
      </c>
      <c r="E338" s="1267">
        <v>0.27776486494157498</v>
      </c>
      <c r="F338" s="1278">
        <v>0.482898537325124</v>
      </c>
      <c r="G338" s="1248">
        <v>5.3713047972936696</v>
      </c>
      <c r="H338" s="1278">
        <v>1.2138607201643701</v>
      </c>
      <c r="I338" s="1248">
        <v>0.189168299373629</v>
      </c>
      <c r="J338" s="1278">
        <v>1.37034352711772E-2</v>
      </c>
      <c r="K338" s="1248">
        <v>3.0000008610181501E-3</v>
      </c>
      <c r="L338" s="1250">
        <v>2.0000005741399201E-3</v>
      </c>
      <c r="M338" s="1273">
        <v>2.0000005741399201E-3</v>
      </c>
      <c r="N338" s="1248">
        <v>3.1850009128239903E-2</v>
      </c>
      <c r="O338" s="1249">
        <v>3.1850009128239903E-2</v>
      </c>
      <c r="P338" s="1251">
        <v>1.5925004564119952E-2</v>
      </c>
      <c r="Q338" s="1252">
        <v>0.19772165044940801</v>
      </c>
    </row>
    <row r="339" spans="1:17" s="212" customFormat="1" ht="15.5" x14ac:dyDescent="0.35">
      <c r="A339" s="198">
        <v>2021</v>
      </c>
      <c r="B339" s="197" t="s">
        <v>5842</v>
      </c>
      <c r="C339" s="197">
        <v>1989</v>
      </c>
      <c r="D339" s="213" t="str">
        <f t="shared" si="4"/>
        <v>2021_1989</v>
      </c>
      <c r="E339" s="1267">
        <v>0.279158120523397</v>
      </c>
      <c r="F339" s="1278">
        <v>0.32636938985124703</v>
      </c>
      <c r="G339" s="1248">
        <v>5.3714794342335397</v>
      </c>
      <c r="H339" s="1278">
        <v>1.6400640723826301</v>
      </c>
      <c r="I339" s="1248">
        <v>0.19011715872292601</v>
      </c>
      <c r="J339" s="1278">
        <v>1.33604596222161E-2</v>
      </c>
      <c r="K339" s="1248">
        <v>3.0000008611356702E-3</v>
      </c>
      <c r="L339" s="1250">
        <v>2.0000005740589198E-3</v>
      </c>
      <c r="M339" s="1273">
        <v>2.0000005740589198E-3</v>
      </c>
      <c r="N339" s="1248">
        <v>3.1850009128239903E-2</v>
      </c>
      <c r="O339" s="1249">
        <v>3.1850009128239903E-2</v>
      </c>
      <c r="P339" s="1251">
        <v>1.5925004564119952E-2</v>
      </c>
      <c r="Q339" s="1252">
        <v>0.19871341300797901</v>
      </c>
    </row>
    <row r="340" spans="1:17" s="212" customFormat="1" ht="15.5" x14ac:dyDescent="0.35">
      <c r="A340" s="198">
        <v>2021</v>
      </c>
      <c r="B340" s="197" t="s">
        <v>5842</v>
      </c>
      <c r="C340" s="197">
        <v>1990</v>
      </c>
      <c r="D340" s="213" t="str">
        <f t="shared" si="4"/>
        <v>2021_1990</v>
      </c>
      <c r="E340" s="1267">
        <v>0.27992443852400301</v>
      </c>
      <c r="F340" s="1278">
        <v>0.44564705042906499</v>
      </c>
      <c r="G340" s="1248">
        <v>5.3649338310048602</v>
      </c>
      <c r="H340" s="1278">
        <v>1.6606592740885999</v>
      </c>
      <c r="I340" s="1248">
        <v>0.19063905004630999</v>
      </c>
      <c r="J340" s="1278">
        <v>1.39386033895425E-2</v>
      </c>
      <c r="K340" s="1248">
        <v>3.0000008611224299E-3</v>
      </c>
      <c r="L340" s="1250">
        <v>2.0000005741995499E-3</v>
      </c>
      <c r="M340" s="1273">
        <v>2.0000005741995499E-3</v>
      </c>
      <c r="N340" s="1248">
        <v>3.1850009128239903E-2</v>
      </c>
      <c r="O340" s="1249">
        <v>3.1850009128239903E-2</v>
      </c>
      <c r="P340" s="1251">
        <v>1.5925004564119952E-2</v>
      </c>
      <c r="Q340" s="1252">
        <v>0.19925890194114901</v>
      </c>
    </row>
    <row r="341" spans="1:17" s="212" customFormat="1" ht="15.5" x14ac:dyDescent="0.35">
      <c r="A341" s="198">
        <v>2021</v>
      </c>
      <c r="B341" s="197" t="s">
        <v>5842</v>
      </c>
      <c r="C341" s="197">
        <v>1991</v>
      </c>
      <c r="D341" s="213" t="str">
        <f t="shared" si="4"/>
        <v>2021_1991</v>
      </c>
      <c r="E341" s="1267">
        <v>0.36820724811936401</v>
      </c>
      <c r="F341" s="1278">
        <v>0.46285755012966601</v>
      </c>
      <c r="G341" s="1248">
        <v>9.3369622358201294</v>
      </c>
      <c r="H341" s="1278">
        <v>2.9008410463584302</v>
      </c>
      <c r="I341" s="1248">
        <v>5.2183541793075702E-2</v>
      </c>
      <c r="J341" s="1278">
        <v>7.42906375754102E-3</v>
      </c>
      <c r="K341" s="1248">
        <v>3.0000008612852901E-3</v>
      </c>
      <c r="L341" s="1250">
        <v>2.00000057405355E-3</v>
      </c>
      <c r="M341" s="1273">
        <v>2.00000057405355E-3</v>
      </c>
      <c r="N341" s="1248">
        <v>3.1850009128239903E-2</v>
      </c>
      <c r="O341" s="1249">
        <v>3.1850009128239903E-2</v>
      </c>
      <c r="P341" s="1251">
        <v>1.5925004564119952E-2</v>
      </c>
      <c r="Q341" s="1252">
        <v>5.4543049991921402E-2</v>
      </c>
    </row>
    <row r="342" spans="1:17" s="212" customFormat="1" ht="15.5" x14ac:dyDescent="0.35">
      <c r="A342" s="198">
        <v>2021</v>
      </c>
      <c r="B342" s="197" t="s">
        <v>5842</v>
      </c>
      <c r="C342" s="197">
        <v>1992</v>
      </c>
      <c r="D342" s="213" t="str">
        <f t="shared" si="4"/>
        <v>2021_1992</v>
      </c>
      <c r="E342" s="1267">
        <v>0.36901251186816297</v>
      </c>
      <c r="F342" s="1278">
        <v>0.46724256854424701</v>
      </c>
      <c r="G342" s="1248">
        <v>9.3280953666348498</v>
      </c>
      <c r="H342" s="1278">
        <v>2.9066926980952101</v>
      </c>
      <c r="I342" s="1248">
        <v>5.2297666419097E-2</v>
      </c>
      <c r="J342" s="1278">
        <v>7.5295046453609299E-3</v>
      </c>
      <c r="K342" s="1248">
        <v>3.0000008612674099E-3</v>
      </c>
      <c r="L342" s="1250">
        <v>2.0000005741302299E-3</v>
      </c>
      <c r="M342" s="1273">
        <v>2.0000005741302299E-3</v>
      </c>
      <c r="N342" s="1248">
        <v>3.1850009128239903E-2</v>
      </c>
      <c r="O342" s="1249">
        <v>3.1850009128239903E-2</v>
      </c>
      <c r="P342" s="1251">
        <v>1.5925004564119952E-2</v>
      </c>
      <c r="Q342" s="1252">
        <v>5.4662334827110803E-2</v>
      </c>
    </row>
    <row r="343" spans="1:17" s="212" customFormat="1" ht="15.5" x14ac:dyDescent="0.35">
      <c r="A343" s="198">
        <v>2021</v>
      </c>
      <c r="B343" s="197" t="s">
        <v>5842</v>
      </c>
      <c r="C343" s="197">
        <v>1993</v>
      </c>
      <c r="D343" s="213" t="str">
        <f t="shared" si="4"/>
        <v>2021_1993</v>
      </c>
      <c r="E343" s="1267">
        <v>0.37099210878349598</v>
      </c>
      <c r="F343" s="1278">
        <v>0.457975358451713</v>
      </c>
      <c r="G343" s="1248">
        <v>9.2942270661374895</v>
      </c>
      <c r="H343" s="1278">
        <v>2.8872583532684799</v>
      </c>
      <c r="I343" s="1248">
        <v>5.2578221402444801E-2</v>
      </c>
      <c r="J343" s="1278">
        <v>7.4084475184539398E-3</v>
      </c>
      <c r="K343" s="1248">
        <v>3.0000008613293798E-3</v>
      </c>
      <c r="L343" s="1250">
        <v>2.0000005740570702E-3</v>
      </c>
      <c r="M343" s="1273">
        <v>2.0000005740570702E-3</v>
      </c>
      <c r="N343" s="1248">
        <v>3.1850009128239903E-2</v>
      </c>
      <c r="O343" s="1249">
        <v>3.1850009128239903E-2</v>
      </c>
      <c r="P343" s="1251">
        <v>1.5925004564119952E-2</v>
      </c>
      <c r="Q343" s="1252">
        <v>5.49555752618614E-2</v>
      </c>
    </row>
    <row r="344" spans="1:17" s="212" customFormat="1" ht="15.5" x14ac:dyDescent="0.35">
      <c r="A344" s="198">
        <v>2021</v>
      </c>
      <c r="B344" s="197" t="s">
        <v>5842</v>
      </c>
      <c r="C344" s="197">
        <v>1994</v>
      </c>
      <c r="D344" s="213" t="str">
        <f t="shared" si="4"/>
        <v>2021_1994</v>
      </c>
      <c r="E344" s="1267">
        <v>0.36481548110154099</v>
      </c>
      <c r="F344" s="1278">
        <v>0.45387249920312001</v>
      </c>
      <c r="G344" s="1248">
        <v>9.38539832098507</v>
      </c>
      <c r="H344" s="1278">
        <v>2.8773513191901201</v>
      </c>
      <c r="I344" s="1248">
        <v>5.22373347829658E-2</v>
      </c>
      <c r="J344" s="1278">
        <v>7.3649897279640403E-3</v>
      </c>
      <c r="K344" s="1248">
        <v>3.00000086124305E-3</v>
      </c>
      <c r="L344" s="1250">
        <v>2.0000005740407E-3</v>
      </c>
      <c r="M344" s="1273">
        <v>2.0000005740407E-3</v>
      </c>
      <c r="N344" s="1248">
        <v>3.1850009128239903E-2</v>
      </c>
      <c r="O344" s="1249">
        <v>3.1850009128239903E-2</v>
      </c>
      <c r="P344" s="1251">
        <v>1.5925004564119952E-2</v>
      </c>
      <c r="Q344" s="1252">
        <v>5.4599275262111398E-2</v>
      </c>
    </row>
    <row r="345" spans="1:17" s="212" customFormat="1" ht="15.5" x14ac:dyDescent="0.35">
      <c r="A345" s="198">
        <v>2021</v>
      </c>
      <c r="B345" s="197" t="s">
        <v>5842</v>
      </c>
      <c r="C345" s="197">
        <v>1995</v>
      </c>
      <c r="D345" s="213" t="str">
        <f t="shared" si="4"/>
        <v>2021_1995</v>
      </c>
      <c r="E345" s="1267">
        <v>0.36709472690906803</v>
      </c>
      <c r="F345" s="1278">
        <v>0.24389753971144701</v>
      </c>
      <c r="G345" s="1248">
        <v>9.3727087366406892</v>
      </c>
      <c r="H345" s="1278">
        <v>1.6451608500118</v>
      </c>
      <c r="I345" s="1248">
        <v>5.25636962793063E-2</v>
      </c>
      <c r="J345" s="1278">
        <v>4.8418450983059302E-3</v>
      </c>
      <c r="K345" s="1248">
        <v>3.0000008612393798E-3</v>
      </c>
      <c r="L345" s="1250">
        <v>2.0000005741122998E-3</v>
      </c>
      <c r="M345" s="1273">
        <v>2.0000005741122998E-3</v>
      </c>
      <c r="N345" s="1248">
        <v>3.1850009128239903E-2</v>
      </c>
      <c r="O345" s="1249">
        <v>3.1850009128239903E-2</v>
      </c>
      <c r="P345" s="1251">
        <v>1.5925004564119952E-2</v>
      </c>
      <c r="Q345" s="1252">
        <v>5.49403933771088E-2</v>
      </c>
    </row>
    <row r="346" spans="1:17" s="212" customFormat="1" ht="15.5" x14ac:dyDescent="0.35">
      <c r="A346" s="198">
        <v>2021</v>
      </c>
      <c r="B346" s="197" t="s">
        <v>5842</v>
      </c>
      <c r="C346" s="197">
        <v>1996</v>
      </c>
      <c r="D346" s="213" t="str">
        <f t="shared" si="4"/>
        <v>2021_1996</v>
      </c>
      <c r="E346" s="1267">
        <v>0.36857616380074698</v>
      </c>
      <c r="F346" s="1278">
        <v>2.2312208236889501E-2</v>
      </c>
      <c r="G346" s="1248">
        <v>9.3485255630783008</v>
      </c>
      <c r="H346" s="1278">
        <v>0.392869198690808</v>
      </c>
      <c r="I346" s="1248">
        <v>5.2775820815898898E-2</v>
      </c>
      <c r="J346" s="1278">
        <v>2.1750939711810201E-3</v>
      </c>
      <c r="K346" s="1248">
        <v>3.00000086127745E-3</v>
      </c>
      <c r="L346" s="1250">
        <v>2.0000005741246398E-3</v>
      </c>
      <c r="M346" s="1273">
        <v>2.0000005741246398E-3</v>
      </c>
      <c r="N346" s="1248">
        <v>3.1850009128239903E-2</v>
      </c>
      <c r="O346" s="1249">
        <v>3.1850009128239903E-2</v>
      </c>
      <c r="P346" s="1251">
        <v>1.5925004564119952E-2</v>
      </c>
      <c r="Q346" s="1252">
        <v>5.5162109243957397E-2</v>
      </c>
    </row>
    <row r="347" spans="1:17" s="212" customFormat="1" ht="15.5" x14ac:dyDescent="0.35">
      <c r="A347" s="198">
        <v>2021</v>
      </c>
      <c r="B347" s="197" t="s">
        <v>5842</v>
      </c>
      <c r="C347" s="197">
        <v>1997</v>
      </c>
      <c r="D347" s="213" t="str">
        <f t="shared" si="4"/>
        <v>2021_1997</v>
      </c>
      <c r="E347" s="1267">
        <v>0.370428737270661</v>
      </c>
      <c r="F347" s="1278">
        <v>2.1428730560975901E-2</v>
      </c>
      <c r="G347" s="1248">
        <v>9.3043574572188099</v>
      </c>
      <c r="H347" s="1278">
        <v>0.38745541498977898</v>
      </c>
      <c r="I347" s="1248">
        <v>5.3041087794881599E-2</v>
      </c>
      <c r="J347" s="1278">
        <v>2.0929454621950801E-3</v>
      </c>
      <c r="K347" s="1248">
        <v>3.0000008612775199E-3</v>
      </c>
      <c r="L347" s="1250">
        <v>2.0000005740419399E-3</v>
      </c>
      <c r="M347" s="1273">
        <v>2.0000005740419399E-3</v>
      </c>
      <c r="N347" s="1248">
        <v>3.1850009128239903E-2</v>
      </c>
      <c r="O347" s="1249">
        <v>3.1850009128239903E-2</v>
      </c>
      <c r="P347" s="1251">
        <v>1.5925004564119952E-2</v>
      </c>
      <c r="Q347" s="1252">
        <v>5.5439370418624997E-2</v>
      </c>
    </row>
    <row r="348" spans="1:17" s="212" customFormat="1" ht="15.5" x14ac:dyDescent="0.35">
      <c r="A348" s="198">
        <v>2021</v>
      </c>
      <c r="B348" s="197" t="s">
        <v>5842</v>
      </c>
      <c r="C348" s="197">
        <v>1998</v>
      </c>
      <c r="D348" s="213" t="str">
        <f t="shared" si="4"/>
        <v>2021_1998</v>
      </c>
      <c r="E348" s="1267">
        <v>0.37139768849413701</v>
      </c>
      <c r="F348" s="1278">
        <v>2.1729460850756801E-2</v>
      </c>
      <c r="G348" s="1248">
        <v>9.2906024498172108</v>
      </c>
      <c r="H348" s="1278">
        <v>0.38906496665025297</v>
      </c>
      <c r="I348" s="1248">
        <v>5.3207336400004399E-2</v>
      </c>
      <c r="J348" s="1278">
        <v>2.1244836690154402E-3</v>
      </c>
      <c r="K348" s="1248">
        <v>3.0000008613618699E-3</v>
      </c>
      <c r="L348" s="1250">
        <v>2.0000005740844601E-3</v>
      </c>
      <c r="M348" s="1273">
        <v>2.0000005740844601E-3</v>
      </c>
      <c r="N348" s="1248">
        <v>3.1850009128239903E-2</v>
      </c>
      <c r="O348" s="1249">
        <v>3.1850009128239903E-2</v>
      </c>
      <c r="P348" s="1251">
        <v>1.5925004564119952E-2</v>
      </c>
      <c r="Q348" s="1252">
        <v>5.5613136047954197E-2</v>
      </c>
    </row>
    <row r="349" spans="1:17" s="212" customFormat="1" ht="15.5" x14ac:dyDescent="0.35">
      <c r="A349" s="198">
        <v>2021</v>
      </c>
      <c r="B349" s="197" t="s">
        <v>5842</v>
      </c>
      <c r="C349" s="197">
        <v>1999</v>
      </c>
      <c r="D349" s="213" t="str">
        <f t="shared" si="4"/>
        <v>2021_1999</v>
      </c>
      <c r="E349" s="1267">
        <v>0.367695234686294</v>
      </c>
      <c r="F349" s="1278">
        <v>2.1726943630262899E-2</v>
      </c>
      <c r="G349" s="1248">
        <v>9.3194996863032795</v>
      </c>
      <c r="H349" s="1278">
        <v>0.388079744889262</v>
      </c>
      <c r="I349" s="1248">
        <v>5.27377160658343E-2</v>
      </c>
      <c r="J349" s="1278">
        <v>2.1235771338600699E-3</v>
      </c>
      <c r="K349" s="1248">
        <v>3.00000086132503E-3</v>
      </c>
      <c r="L349" s="1250">
        <v>2.0000005740979199E-3</v>
      </c>
      <c r="M349" s="1273">
        <v>2.0000005740979199E-3</v>
      </c>
      <c r="N349" s="1248">
        <v>3.1850009128239903E-2</v>
      </c>
      <c r="O349" s="1249">
        <v>3.1850009128239903E-2</v>
      </c>
      <c r="P349" s="1251">
        <v>1.5925004564119952E-2</v>
      </c>
      <c r="Q349" s="1252">
        <v>5.51222815661822E-2</v>
      </c>
    </row>
    <row r="350" spans="1:17" s="212" customFormat="1" ht="15.5" x14ac:dyDescent="0.35">
      <c r="A350" s="198">
        <v>2021</v>
      </c>
      <c r="B350" s="197" t="s">
        <v>5842</v>
      </c>
      <c r="C350" s="197">
        <v>2000</v>
      </c>
      <c r="D350" s="213" t="str">
        <f t="shared" si="4"/>
        <v>2021_2000</v>
      </c>
      <c r="E350" s="1267">
        <v>0.36163312309284701</v>
      </c>
      <c r="F350" s="1278">
        <v>2.19817062807919E-2</v>
      </c>
      <c r="G350" s="1248">
        <v>9.3887337014747203</v>
      </c>
      <c r="H350" s="1278">
        <v>0.388420479853749</v>
      </c>
      <c r="I350" s="1248">
        <v>5.1961880575694397E-2</v>
      </c>
      <c r="J350" s="1278">
        <v>2.1568245125957401E-3</v>
      </c>
      <c r="K350" s="1248">
        <v>3.0000008612419199E-3</v>
      </c>
      <c r="L350" s="1250">
        <v>2.00000057413981E-3</v>
      </c>
      <c r="M350" s="1273">
        <v>2.00000057413981E-3</v>
      </c>
      <c r="N350" s="1248">
        <v>3.1850009128239903E-2</v>
      </c>
      <c r="O350" s="1249">
        <v>3.1850009128239903E-2</v>
      </c>
      <c r="P350" s="1251">
        <v>1.5925004564119952E-2</v>
      </c>
      <c r="Q350" s="1252">
        <v>5.4311366237897202E-2</v>
      </c>
    </row>
    <row r="351" spans="1:17" s="212" customFormat="1" ht="15.5" x14ac:dyDescent="0.35">
      <c r="A351" s="198">
        <v>2021</v>
      </c>
      <c r="B351" s="197" t="s">
        <v>5842</v>
      </c>
      <c r="C351" s="197">
        <v>2001</v>
      </c>
      <c r="D351" s="213" t="str">
        <f t="shared" si="4"/>
        <v>2021_2001</v>
      </c>
      <c r="E351" s="1267">
        <v>0.36189085185058401</v>
      </c>
      <c r="F351" s="1278">
        <v>2.1964188469284399E-2</v>
      </c>
      <c r="G351" s="1248">
        <v>9.3122536947786099</v>
      </c>
      <c r="H351" s="1278">
        <v>0.38601598906499801</v>
      </c>
      <c r="I351" s="1248">
        <v>5.2127793923490803E-2</v>
      </c>
      <c r="J351" s="1278">
        <v>2.1659525810058598E-3</v>
      </c>
      <c r="K351" s="1248">
        <v>3.0000008613226899E-3</v>
      </c>
      <c r="L351" s="1250">
        <v>2.0000005741654401E-3</v>
      </c>
      <c r="M351" s="1273">
        <v>2.0000005741654401E-3</v>
      </c>
      <c r="N351" s="1248">
        <v>3.1850009128239903E-2</v>
      </c>
      <c r="O351" s="1249">
        <v>3.1850009128239903E-2</v>
      </c>
      <c r="P351" s="1251">
        <v>1.5925004564119952E-2</v>
      </c>
      <c r="Q351" s="1252">
        <v>5.4484781451051401E-2</v>
      </c>
    </row>
    <row r="352" spans="1:17" s="212" customFormat="1" ht="15.5" x14ac:dyDescent="0.35">
      <c r="A352" s="198">
        <v>2021</v>
      </c>
      <c r="B352" s="197" t="s">
        <v>5842</v>
      </c>
      <c r="C352" s="197">
        <v>2002</v>
      </c>
      <c r="D352" s="213" t="str">
        <f t="shared" si="4"/>
        <v>2021_2002</v>
      </c>
      <c r="E352" s="1267">
        <v>0.27976956606737902</v>
      </c>
      <c r="F352" s="1278">
        <v>2.17656562525664E-2</v>
      </c>
      <c r="G352" s="1248">
        <v>7.1732501285350896</v>
      </c>
      <c r="H352" s="1278">
        <v>0.304278496342056</v>
      </c>
      <c r="I352" s="1248">
        <v>5.2630547646028897E-2</v>
      </c>
      <c r="J352" s="1278">
        <v>2.1629783203543401E-3</v>
      </c>
      <c r="K352" s="1248">
        <v>3.0000008613366501E-3</v>
      </c>
      <c r="L352" s="1250">
        <v>2.0000005741396699E-3</v>
      </c>
      <c r="M352" s="1273">
        <v>2.0000005741396699E-3</v>
      </c>
      <c r="N352" s="1248">
        <v>3.1850009128239903E-2</v>
      </c>
      <c r="O352" s="1249">
        <v>3.1850009128239903E-2</v>
      </c>
      <c r="P352" s="1251">
        <v>1.5925004564119952E-2</v>
      </c>
      <c r="Q352" s="1252">
        <v>5.5010267465986001E-2</v>
      </c>
    </row>
    <row r="353" spans="1:17" s="212" customFormat="1" ht="15.5" x14ac:dyDescent="0.35">
      <c r="A353" s="198">
        <v>2021</v>
      </c>
      <c r="B353" s="197" t="s">
        <v>5842</v>
      </c>
      <c r="C353" s="197">
        <v>2003</v>
      </c>
      <c r="D353" s="213" t="str">
        <f t="shared" si="4"/>
        <v>2021_2003</v>
      </c>
      <c r="E353" s="1267">
        <v>0.27437334998868601</v>
      </c>
      <c r="F353" s="1278">
        <v>2.1287358921224998E-2</v>
      </c>
      <c r="G353" s="1248">
        <v>7.2103249689682496</v>
      </c>
      <c r="H353" s="1278">
        <v>0.29663539887412099</v>
      </c>
      <c r="I353" s="1248">
        <v>5.1817377169251597E-2</v>
      </c>
      <c r="J353" s="1278">
        <v>2.1323148804865098E-3</v>
      </c>
      <c r="K353" s="1248">
        <v>3.0000008612596201E-3</v>
      </c>
      <c r="L353" s="1250">
        <v>2.0000005741258298E-3</v>
      </c>
      <c r="M353" s="1273">
        <v>2.0000005741258298E-3</v>
      </c>
      <c r="N353" s="1248">
        <v>3.1850009128239903E-2</v>
      </c>
      <c r="O353" s="1249">
        <v>3.1850009128239903E-2</v>
      </c>
      <c r="P353" s="1251">
        <v>1.5925004564119952E-2</v>
      </c>
      <c r="Q353" s="1252">
        <v>5.4160329028639403E-2</v>
      </c>
    </row>
    <row r="354" spans="1:17" s="212" customFormat="1" ht="15.5" x14ac:dyDescent="0.35">
      <c r="A354" s="198">
        <v>2021</v>
      </c>
      <c r="B354" s="197" t="s">
        <v>5842</v>
      </c>
      <c r="C354" s="197">
        <v>2004</v>
      </c>
      <c r="D354" s="213" t="str">
        <f t="shared" si="4"/>
        <v>2021_2004</v>
      </c>
      <c r="E354" s="1267">
        <v>0.55060342631561898</v>
      </c>
      <c r="F354" s="1278">
        <v>1.4022441559680099E-2</v>
      </c>
      <c r="G354" s="1248">
        <v>4.1269723591425604</v>
      </c>
      <c r="H354" s="1278">
        <v>0.24427022192417799</v>
      </c>
      <c r="I354" s="1248">
        <v>0.145911655955759</v>
      </c>
      <c r="J354" s="1278">
        <v>1.3867530578420701E-4</v>
      </c>
      <c r="K354" s="1248">
        <v>3.00000086125557E-3</v>
      </c>
      <c r="L354" s="1250">
        <v>2.0000005740611602E-3</v>
      </c>
      <c r="M354" s="1273">
        <v>2.0000005740611602E-3</v>
      </c>
      <c r="N354" s="1248">
        <v>3.1850009128239903E-2</v>
      </c>
      <c r="O354" s="1249">
        <v>3.1850009128239903E-2</v>
      </c>
      <c r="P354" s="1251">
        <v>1.5925004564119952E-2</v>
      </c>
      <c r="Q354" s="1252">
        <v>0.152509133564694</v>
      </c>
    </row>
    <row r="355" spans="1:17" s="212" customFormat="1" ht="15.5" x14ac:dyDescent="0.35">
      <c r="A355" s="198">
        <v>2021</v>
      </c>
      <c r="B355" s="197" t="s">
        <v>5842</v>
      </c>
      <c r="C355" s="197">
        <v>2005</v>
      </c>
      <c r="D355" s="213" t="str">
        <f t="shared" si="4"/>
        <v>2021_2005</v>
      </c>
      <c r="E355" s="1267">
        <v>0.54073274031943397</v>
      </c>
      <c r="F355" s="1278">
        <v>1.37189445603399E-2</v>
      </c>
      <c r="G355" s="1248">
        <v>4.1144004576472497</v>
      </c>
      <c r="H355" s="1278">
        <v>0.23772057596656401</v>
      </c>
      <c r="I355" s="1248">
        <v>0.14415301432272501</v>
      </c>
      <c r="J355" s="1278">
        <v>1.4058012770898801E-4</v>
      </c>
      <c r="K355" s="1248">
        <v>3.0000008612286401E-3</v>
      </c>
      <c r="L355" s="1250">
        <v>2.0000005740995501E-3</v>
      </c>
      <c r="M355" s="1273">
        <v>2.0000005740995501E-3</v>
      </c>
      <c r="N355" s="1248">
        <v>3.1850009128239903E-2</v>
      </c>
      <c r="O355" s="1249">
        <v>3.1850009128239903E-2</v>
      </c>
      <c r="P355" s="1251">
        <v>1.5925004564119952E-2</v>
      </c>
      <c r="Q355" s="1252">
        <v>0.15067097396087101</v>
      </c>
    </row>
    <row r="356" spans="1:17" s="212" customFormat="1" ht="15.5" x14ac:dyDescent="0.35">
      <c r="A356" s="198">
        <v>2021</v>
      </c>
      <c r="B356" s="197" t="s">
        <v>5842</v>
      </c>
      <c r="C356" s="197">
        <v>2006</v>
      </c>
      <c r="D356" s="213" t="str">
        <f t="shared" si="4"/>
        <v>2021_2006</v>
      </c>
      <c r="E356" s="1267">
        <v>0.52870685957218799</v>
      </c>
      <c r="F356" s="1278">
        <v>1.36467046470049E-2</v>
      </c>
      <c r="G356" s="1248">
        <v>4.0959779380688497</v>
      </c>
      <c r="H356" s="1278">
        <v>0.23029156580028701</v>
      </c>
      <c r="I356" s="1248">
        <v>0.14195196652501499</v>
      </c>
      <c r="J356" s="1278">
        <v>1.4152155527801801E-4</v>
      </c>
      <c r="K356" s="1248">
        <v>3.0000008612143299E-3</v>
      </c>
      <c r="L356" s="1250">
        <v>2.00000057411413E-3</v>
      </c>
      <c r="M356" s="1273">
        <v>2.00000057411413E-3</v>
      </c>
      <c r="N356" s="1248">
        <v>3.1850009128239903E-2</v>
      </c>
      <c r="O356" s="1249">
        <v>3.1850009128239903E-2</v>
      </c>
      <c r="P356" s="1251">
        <v>1.5925004564119952E-2</v>
      </c>
      <c r="Q356" s="1252">
        <v>0.148370404548754</v>
      </c>
    </row>
    <row r="357" spans="1:17" s="212" customFormat="1" ht="15.5" x14ac:dyDescent="0.35">
      <c r="A357" s="198">
        <v>2021</v>
      </c>
      <c r="B357" s="197" t="s">
        <v>5842</v>
      </c>
      <c r="C357" s="197">
        <v>2007</v>
      </c>
      <c r="D357" s="213" t="str">
        <f t="shared" si="4"/>
        <v>2021_2007</v>
      </c>
      <c r="E357" s="1267">
        <v>0.30474290839299001</v>
      </c>
      <c r="F357" s="1278">
        <v>1.36221970868124E-2</v>
      </c>
      <c r="G357" s="1248">
        <v>2.4280199397832498</v>
      </c>
      <c r="H357" s="1278">
        <v>0.22967378186246901</v>
      </c>
      <c r="I357" s="1248">
        <v>8.14691881765882E-2</v>
      </c>
      <c r="J357" s="1278">
        <v>1.4482442250214299E-4</v>
      </c>
      <c r="K357" s="1248">
        <v>3.0000008612193099E-3</v>
      </c>
      <c r="L357" s="1250">
        <v>2.00000057417402E-3</v>
      </c>
      <c r="M357" s="1273">
        <v>2.00000057417402E-3</v>
      </c>
      <c r="N357" s="1248">
        <v>3.1850009128239903E-2</v>
      </c>
      <c r="O357" s="1249">
        <v>3.1850009128239903E-2</v>
      </c>
      <c r="P357" s="1251">
        <v>1.5925004564119952E-2</v>
      </c>
      <c r="Q357" s="1252">
        <v>8.5152863351765196E-2</v>
      </c>
    </row>
    <row r="358" spans="1:17" s="212" customFormat="1" ht="15.5" x14ac:dyDescent="0.35">
      <c r="A358" s="198">
        <v>2021</v>
      </c>
      <c r="B358" s="197" t="s">
        <v>5842</v>
      </c>
      <c r="C358" s="197">
        <v>2008</v>
      </c>
      <c r="D358" s="213" t="str">
        <f t="shared" si="4"/>
        <v>2021_2008</v>
      </c>
      <c r="E358" s="1267">
        <v>0.30565977647286502</v>
      </c>
      <c r="F358" s="1278">
        <v>9.3431629192773698E-3</v>
      </c>
      <c r="G358" s="1248">
        <v>2.4403538917241199</v>
      </c>
      <c r="H358" s="1278">
        <v>0.129587294380241</v>
      </c>
      <c r="I358" s="1248">
        <v>8.1689772619162396E-2</v>
      </c>
      <c r="J358" s="1278">
        <v>1.4085455046451801E-4</v>
      </c>
      <c r="K358" s="1248">
        <v>3.0000008613071602E-3</v>
      </c>
      <c r="L358" s="1250">
        <v>2.0000005741932E-3</v>
      </c>
      <c r="M358" s="1273">
        <v>2.0000005741932E-3</v>
      </c>
      <c r="N358" s="1248">
        <v>3.1850009128239903E-2</v>
      </c>
      <c r="O358" s="1249">
        <v>3.1850009128239903E-2</v>
      </c>
      <c r="P358" s="1251">
        <v>1.5925004564119952E-2</v>
      </c>
      <c r="Q358" s="1252">
        <v>8.5383421644003699E-2</v>
      </c>
    </row>
    <row r="359" spans="1:17" s="212" customFormat="1" ht="15.5" x14ac:dyDescent="0.35">
      <c r="A359" s="198">
        <v>2021</v>
      </c>
      <c r="B359" s="197" t="s">
        <v>5842</v>
      </c>
      <c r="C359" s="197">
        <v>2009</v>
      </c>
      <c r="D359" s="213" t="str">
        <f t="shared" si="4"/>
        <v>2021_2009</v>
      </c>
      <c r="E359" s="1267">
        <v>0.29792758230755101</v>
      </c>
      <c r="F359" s="1278">
        <v>4.9049156114707101E-3</v>
      </c>
      <c r="G359" s="1248">
        <v>2.4236387709112202</v>
      </c>
      <c r="H359" s="1278">
        <v>3.8558941682166399E-2</v>
      </c>
      <c r="I359" s="1248">
        <v>8.0053200561805704E-2</v>
      </c>
      <c r="J359" s="1278">
        <v>1.29387176311491E-4</v>
      </c>
      <c r="K359" s="1248">
        <v>3.0000008612692001E-3</v>
      </c>
      <c r="L359" s="1250">
        <v>2.0000005741359502E-3</v>
      </c>
      <c r="M359" s="1273">
        <v>2.0000005741359502E-3</v>
      </c>
      <c r="N359" s="1248">
        <v>3.1850009128239903E-2</v>
      </c>
      <c r="O359" s="1249">
        <v>3.1850009128239903E-2</v>
      </c>
      <c r="P359" s="1251">
        <v>1.5925004564119952E-2</v>
      </c>
      <c r="Q359" s="1252">
        <v>8.3672851060394196E-2</v>
      </c>
    </row>
    <row r="360" spans="1:17" s="212" customFormat="1" ht="15.5" x14ac:dyDescent="0.35">
      <c r="A360" s="198">
        <v>2021</v>
      </c>
      <c r="B360" s="197" t="s">
        <v>5842</v>
      </c>
      <c r="C360" s="197">
        <v>2010</v>
      </c>
      <c r="D360" s="213" t="str">
        <f t="shared" si="4"/>
        <v>2021_2010</v>
      </c>
      <c r="E360" s="1267">
        <v>8.2661870161962803E-2</v>
      </c>
      <c r="F360" s="1278">
        <v>4.8861361069741996E-3</v>
      </c>
      <c r="G360" s="1248">
        <v>0.69949491722644996</v>
      </c>
      <c r="H360" s="1278">
        <v>3.87971890848278E-2</v>
      </c>
      <c r="I360" s="1248">
        <v>1.9035162454106001E-2</v>
      </c>
      <c r="J360" s="1278">
        <v>1.5802194706772201E-4</v>
      </c>
      <c r="K360" s="1248">
        <v>3.0000008613133801E-3</v>
      </c>
      <c r="L360" s="1250">
        <v>2.0000005741136E-3</v>
      </c>
      <c r="M360" s="1273">
        <v>2.0000005741136E-3</v>
      </c>
      <c r="N360" s="1248">
        <v>3.1850009128239903E-2</v>
      </c>
      <c r="O360" s="1249">
        <v>3.1850009128239903E-2</v>
      </c>
      <c r="P360" s="1251">
        <v>1.5925004564119952E-2</v>
      </c>
      <c r="Q360" s="1252">
        <v>1.9895848032998199E-2</v>
      </c>
    </row>
    <row r="361" spans="1:17" s="212" customFormat="1" ht="15.5" x14ac:dyDescent="0.35">
      <c r="A361" s="198">
        <v>2021</v>
      </c>
      <c r="B361" s="197" t="s">
        <v>5842</v>
      </c>
      <c r="C361" s="197">
        <v>2011</v>
      </c>
      <c r="D361" s="213" t="str">
        <f t="shared" si="4"/>
        <v>2021_2011</v>
      </c>
      <c r="E361" s="1267">
        <v>8.0673420377465804E-2</v>
      </c>
      <c r="F361" s="1278">
        <v>5.0945577971385899E-3</v>
      </c>
      <c r="G361" s="1248">
        <v>0.677048042464515</v>
      </c>
      <c r="H361" s="1278">
        <v>3.8508206655519697E-2</v>
      </c>
      <c r="I361" s="1248">
        <v>1.8015622995808601E-2</v>
      </c>
      <c r="J361" s="1278">
        <v>2.1610760819544799E-4</v>
      </c>
      <c r="K361" s="1248">
        <v>3.0000008612839201E-3</v>
      </c>
      <c r="L361" s="1250">
        <v>2.0000005742142101E-3</v>
      </c>
      <c r="M361" s="1273">
        <v>2.0000005742142101E-3</v>
      </c>
      <c r="N361" s="1248">
        <v>3.1850009128239903E-2</v>
      </c>
      <c r="O361" s="1249">
        <v>3.1850009128239903E-2</v>
      </c>
      <c r="P361" s="1251">
        <v>1.5925004564119952E-2</v>
      </c>
      <c r="Q361" s="1252">
        <v>1.8830209524535998E-2</v>
      </c>
    </row>
    <row r="362" spans="1:17" s="212" customFormat="1" ht="15.5" x14ac:dyDescent="0.35">
      <c r="A362" s="198">
        <v>2021</v>
      </c>
      <c r="B362" s="197" t="s">
        <v>5842</v>
      </c>
      <c r="C362" s="197">
        <v>2012</v>
      </c>
      <c r="D362" s="213" t="str">
        <f t="shared" si="4"/>
        <v>2021_2012</v>
      </c>
      <c r="E362" s="1267">
        <v>8.0031788975223395E-2</v>
      </c>
      <c r="F362" s="1278">
        <v>5.0929596879685296E-3</v>
      </c>
      <c r="G362" s="1248">
        <v>0.65906851730377103</v>
      </c>
      <c r="H362" s="1278">
        <v>3.8158103337515598E-2</v>
      </c>
      <c r="I362" s="1248">
        <v>1.7154284033392499E-2</v>
      </c>
      <c r="J362" s="1278">
        <v>3.1561311731348701E-4</v>
      </c>
      <c r="K362" s="1248">
        <v>3.0000008613430299E-3</v>
      </c>
      <c r="L362" s="1250">
        <v>2.0000005742241899E-3</v>
      </c>
      <c r="M362" s="1273">
        <v>2.0000005742241899E-3</v>
      </c>
      <c r="N362" s="1248">
        <v>3.1850009128239903E-2</v>
      </c>
      <c r="O362" s="1249">
        <v>3.1850009128239903E-2</v>
      </c>
      <c r="P362" s="1251">
        <v>1.5925004564119952E-2</v>
      </c>
      <c r="Q362" s="1252">
        <v>1.7929924636374502E-2</v>
      </c>
    </row>
    <row r="363" spans="1:17" s="212" customFormat="1" ht="15.5" x14ac:dyDescent="0.35">
      <c r="A363" s="198">
        <v>2021</v>
      </c>
      <c r="B363" s="197" t="s">
        <v>5842</v>
      </c>
      <c r="C363" s="197">
        <v>2013</v>
      </c>
      <c r="D363" s="213" t="str">
        <f t="shared" si="4"/>
        <v>2021_2013</v>
      </c>
      <c r="E363" s="1267">
        <v>7.8666846290133097E-2</v>
      </c>
      <c r="F363" s="1278">
        <v>5.1217063094053496E-3</v>
      </c>
      <c r="G363" s="1248">
        <v>0.63598989051809496</v>
      </c>
      <c r="H363" s="1278">
        <v>3.7486542146007502E-2</v>
      </c>
      <c r="I363" s="1248">
        <v>1.6116833769415698E-2</v>
      </c>
      <c r="J363" s="1278">
        <v>4.73981056511136E-4</v>
      </c>
      <c r="K363" s="1248">
        <v>3.00000086136767E-3</v>
      </c>
      <c r="L363" s="1250">
        <v>2.0000005742624501E-3</v>
      </c>
      <c r="M363" s="1273">
        <v>2.0000005742624501E-3</v>
      </c>
      <c r="N363" s="1248">
        <v>3.1850009128239903E-2</v>
      </c>
      <c r="O363" s="1249">
        <v>3.1850009128239903E-2</v>
      </c>
      <c r="P363" s="1251">
        <v>1.5925004564119952E-2</v>
      </c>
      <c r="Q363" s="1252">
        <v>1.6845565475078001E-2</v>
      </c>
    </row>
    <row r="364" spans="1:17" s="212" customFormat="1" ht="15.5" x14ac:dyDescent="0.35">
      <c r="A364" s="198">
        <v>2021</v>
      </c>
      <c r="B364" s="197" t="s">
        <v>5842</v>
      </c>
      <c r="C364" s="197">
        <v>2014</v>
      </c>
      <c r="D364" s="213" t="str">
        <f t="shared" si="4"/>
        <v>2021_2014</v>
      </c>
      <c r="E364" s="1267">
        <v>7.6303982826221695E-2</v>
      </c>
      <c r="F364" s="1278">
        <v>4.9535332250684799E-3</v>
      </c>
      <c r="G364" s="1248">
        <v>0.60957535348508296</v>
      </c>
      <c r="H364" s="1278">
        <v>3.68576096054712E-2</v>
      </c>
      <c r="I364" s="1248">
        <v>1.4907685227363099E-2</v>
      </c>
      <c r="J364" s="1278">
        <v>6.5804108859221597E-4</v>
      </c>
      <c r="K364" s="1248">
        <v>3.0000008613052698E-3</v>
      </c>
      <c r="L364" s="1250">
        <v>2.0000005742169002E-3</v>
      </c>
      <c r="M364" s="1273">
        <v>2.0000005742169002E-3</v>
      </c>
      <c r="N364" s="1248">
        <v>3.1850009128239903E-2</v>
      </c>
      <c r="O364" s="1249">
        <v>3.1850009128239903E-2</v>
      </c>
      <c r="P364" s="1251">
        <v>1.5925004564119952E-2</v>
      </c>
      <c r="Q364" s="1252">
        <v>1.5581744601471E-2</v>
      </c>
    </row>
    <row r="365" spans="1:17" s="212" customFormat="1" ht="15.5" x14ac:dyDescent="0.35">
      <c r="A365" s="198">
        <v>2021</v>
      </c>
      <c r="B365" s="197" t="s">
        <v>5842</v>
      </c>
      <c r="C365" s="197">
        <v>2015</v>
      </c>
      <c r="D365" s="213" t="str">
        <f t="shared" si="4"/>
        <v>2021_2015</v>
      </c>
      <c r="E365" s="1267">
        <v>7.4994174942057096E-2</v>
      </c>
      <c r="F365" s="1278">
        <v>5.0214876517117703E-3</v>
      </c>
      <c r="G365" s="1248">
        <v>0.58568238832602304</v>
      </c>
      <c r="H365" s="1278">
        <v>3.5759017743205002E-2</v>
      </c>
      <c r="I365" s="1248">
        <v>1.3786072572674999E-2</v>
      </c>
      <c r="J365" s="1278">
        <v>8.3301326483124001E-4</v>
      </c>
      <c r="K365" s="1248">
        <v>3.0000008613141598E-3</v>
      </c>
      <c r="L365" s="1250">
        <v>2.0000005742517699E-3</v>
      </c>
      <c r="M365" s="1273">
        <v>2.0000005742517699E-3</v>
      </c>
      <c r="N365" s="1248">
        <v>3.1850009128239903E-2</v>
      </c>
      <c r="O365" s="1249">
        <v>3.1850009128239903E-2</v>
      </c>
      <c r="P365" s="1251">
        <v>1.5925004564119952E-2</v>
      </c>
      <c r="Q365" s="1252">
        <v>1.44094175996203E-2</v>
      </c>
    </row>
    <row r="366" spans="1:17" s="212" customFormat="1" ht="15.5" x14ac:dyDescent="0.35">
      <c r="A366" s="198">
        <v>2021</v>
      </c>
      <c r="B366" s="197" t="s">
        <v>5842</v>
      </c>
      <c r="C366" s="197">
        <v>2016</v>
      </c>
      <c r="D366" s="213" t="str">
        <f t="shared" si="4"/>
        <v>2021_2016</v>
      </c>
      <c r="E366" s="1267">
        <v>7.3499905849537403E-2</v>
      </c>
      <c r="F366" s="1278">
        <v>4.7183139915860104E-3</v>
      </c>
      <c r="G366" s="1248">
        <v>0.49504033516774698</v>
      </c>
      <c r="H366" s="1278">
        <v>3.3431837841351598E-2</v>
      </c>
      <c r="I366" s="1248">
        <v>1.25853717719359E-2</v>
      </c>
      <c r="J366" s="1278">
        <v>9.5816698435757797E-4</v>
      </c>
      <c r="K366" s="1248">
        <v>3.0000008613311801E-3</v>
      </c>
      <c r="L366" s="1250">
        <v>2.0000005742320998E-3</v>
      </c>
      <c r="M366" s="1273">
        <v>2.0000005742320998E-3</v>
      </c>
      <c r="N366" s="1248">
        <v>3.1850009128239903E-2</v>
      </c>
      <c r="O366" s="1249">
        <v>3.1850009128239903E-2</v>
      </c>
      <c r="P366" s="1251">
        <v>1.5925004564119952E-2</v>
      </c>
      <c r="Q366" s="1252">
        <v>1.3154426436702799E-2</v>
      </c>
    </row>
    <row r="367" spans="1:17" s="212" customFormat="1" ht="15.5" x14ac:dyDescent="0.35">
      <c r="A367" s="198">
        <v>2021</v>
      </c>
      <c r="B367" s="197" t="s">
        <v>5842</v>
      </c>
      <c r="C367" s="197">
        <v>2017</v>
      </c>
      <c r="D367" s="213" t="str">
        <f t="shared" si="4"/>
        <v>2021_2017</v>
      </c>
      <c r="E367" s="1267">
        <v>7.0956814398027201E-2</v>
      </c>
      <c r="F367" s="1278">
        <v>4.6849112262227401E-3</v>
      </c>
      <c r="G367" s="1248">
        <v>0.406469040401223</v>
      </c>
      <c r="H367" s="1278">
        <v>3.2227366726158203E-2</v>
      </c>
      <c r="I367" s="1248">
        <v>1.12092143565542E-2</v>
      </c>
      <c r="J367" s="1278">
        <v>1.0336449625167499E-3</v>
      </c>
      <c r="K367" s="1248">
        <v>3.0000008612758402E-3</v>
      </c>
      <c r="L367" s="1250">
        <v>2.0000005742868698E-3</v>
      </c>
      <c r="M367" s="1273">
        <v>2.0000005742868698E-3</v>
      </c>
      <c r="N367" s="1248">
        <v>3.1850009128239903E-2</v>
      </c>
      <c r="O367" s="1249">
        <v>3.1850009128239903E-2</v>
      </c>
      <c r="P367" s="1251">
        <v>1.5925004564119952E-2</v>
      </c>
      <c r="Q367" s="1252">
        <v>1.17160452896056E-2</v>
      </c>
    </row>
    <row r="368" spans="1:17" s="212" customFormat="1" ht="15.5" x14ac:dyDescent="0.35">
      <c r="A368" s="198">
        <v>2021</v>
      </c>
      <c r="B368" s="197" t="s">
        <v>5842</v>
      </c>
      <c r="C368" s="197">
        <v>2018</v>
      </c>
      <c r="D368" s="213" t="str">
        <f t="shared" si="4"/>
        <v>2021_2018</v>
      </c>
      <c r="E368" s="1267">
        <v>6.9867848666144997E-2</v>
      </c>
      <c r="F368" s="1278">
        <v>4.5150015772167902E-3</v>
      </c>
      <c r="G368" s="1248">
        <v>0.319965877057867</v>
      </c>
      <c r="H368" s="1278">
        <v>3.1581323039440397E-2</v>
      </c>
      <c r="I368" s="1248">
        <v>9.9412534895804792E-3</v>
      </c>
      <c r="J368" s="1278">
        <v>1.0751291035552199E-3</v>
      </c>
      <c r="K368" s="1248">
        <v>3.00000086133737E-3</v>
      </c>
      <c r="L368" s="1250">
        <v>2.0000005742384498E-3</v>
      </c>
      <c r="M368" s="1273">
        <v>2.0000005742384498E-3</v>
      </c>
      <c r="N368" s="1248">
        <v>3.1850009128239903E-2</v>
      </c>
      <c r="O368" s="1249">
        <v>3.1850009128239903E-2</v>
      </c>
      <c r="P368" s="1251">
        <v>1.5925004564119952E-2</v>
      </c>
      <c r="Q368" s="1252">
        <v>1.03907528587202E-2</v>
      </c>
    </row>
    <row r="369" spans="1:17" s="212" customFormat="1" ht="15.5" x14ac:dyDescent="0.35">
      <c r="A369" s="198">
        <v>2021</v>
      </c>
      <c r="B369" s="197" t="s">
        <v>5842</v>
      </c>
      <c r="C369" s="197">
        <v>2019</v>
      </c>
      <c r="D369" s="213" t="str">
        <f t="shared" si="4"/>
        <v>2021_2019</v>
      </c>
      <c r="E369" s="1267">
        <v>6.8111581315379296E-2</v>
      </c>
      <c r="F369" s="1278">
        <v>4.3703139372202396E-3</v>
      </c>
      <c r="G369" s="1248">
        <v>0.26107913881707101</v>
      </c>
      <c r="H369" s="1278">
        <v>3.1666839057822298E-2</v>
      </c>
      <c r="I369" s="1248">
        <v>8.5370805675345496E-3</v>
      </c>
      <c r="J369" s="1278">
        <v>1.09581975685899E-3</v>
      </c>
      <c r="K369" s="1248">
        <v>3.0000008613842899E-3</v>
      </c>
      <c r="L369" s="1250">
        <v>2.0000005741857602E-3</v>
      </c>
      <c r="M369" s="1273">
        <v>2.0000005741857602E-3</v>
      </c>
      <c r="N369" s="1248">
        <v>3.1850009128239903E-2</v>
      </c>
      <c r="O369" s="1249">
        <v>3.1850009128239903E-2</v>
      </c>
      <c r="P369" s="1251">
        <v>1.5925004564119952E-2</v>
      </c>
      <c r="Q369" s="1252">
        <v>8.9230894680645007E-3</v>
      </c>
    </row>
    <row r="370" spans="1:17" s="212" customFormat="1" ht="15.5" x14ac:dyDescent="0.35">
      <c r="A370" s="198">
        <v>2021</v>
      </c>
      <c r="B370" s="197" t="s">
        <v>5842</v>
      </c>
      <c r="C370" s="197">
        <v>2020</v>
      </c>
      <c r="D370" s="213" t="str">
        <f t="shared" si="4"/>
        <v>2021_2020</v>
      </c>
      <c r="E370" s="1267">
        <v>5.8734693144565503E-2</v>
      </c>
      <c r="F370" s="1278">
        <v>3.9582644655235298E-3</v>
      </c>
      <c r="G370" s="1248">
        <v>0.19296441866174499</v>
      </c>
      <c r="H370" s="1278">
        <v>3.0927895748163899E-2</v>
      </c>
      <c r="I370" s="1248">
        <v>6.48042427830226E-3</v>
      </c>
      <c r="J370" s="1278">
        <v>1.0832490872075299E-3</v>
      </c>
      <c r="K370" s="1248">
        <v>3.0000008609573901E-3</v>
      </c>
      <c r="L370" s="1250">
        <v>2.0000005740666098E-3</v>
      </c>
      <c r="M370" s="1273">
        <v>2.0000005740666098E-3</v>
      </c>
      <c r="N370" s="1248">
        <v>3.1850009128239903E-2</v>
      </c>
      <c r="O370" s="1249">
        <v>3.1850009128239903E-2</v>
      </c>
      <c r="P370" s="1251">
        <v>1.5925004564119952E-2</v>
      </c>
      <c r="Q370" s="1252">
        <v>6.77344030771025E-3</v>
      </c>
    </row>
    <row r="371" spans="1:17" s="212" customFormat="1" ht="15.5" x14ac:dyDescent="0.35">
      <c r="A371" s="198">
        <v>2021</v>
      </c>
      <c r="B371" s="197" t="s">
        <v>5842</v>
      </c>
      <c r="C371" s="197">
        <v>2021</v>
      </c>
      <c r="D371" s="213" t="str">
        <f t="shared" si="4"/>
        <v>2021_2021</v>
      </c>
      <c r="E371" s="1267">
        <v>5.6886951756676803E-2</v>
      </c>
      <c r="F371" s="1278">
        <v>3.2898503294650299E-3</v>
      </c>
      <c r="G371" s="1248">
        <v>0.146268883574977</v>
      </c>
      <c r="H371" s="1278">
        <v>2.5105961562949301E-2</v>
      </c>
      <c r="I371" s="1248">
        <v>5.0562781269749696E-3</v>
      </c>
      <c r="J371" s="1278">
        <v>1.08343031956385E-3</v>
      </c>
      <c r="K371" s="1248">
        <v>3.00000086095965E-3</v>
      </c>
      <c r="L371" s="1250">
        <v>2.0000005740682999E-3</v>
      </c>
      <c r="M371" s="1273">
        <v>2.0000005740682999E-3</v>
      </c>
      <c r="N371" s="1248">
        <v>3.1850009128239903E-2</v>
      </c>
      <c r="O371" s="1249">
        <v>3.1850009128239903E-2</v>
      </c>
      <c r="P371" s="1251">
        <v>1.5925004564119952E-2</v>
      </c>
      <c r="Q371" s="1252">
        <v>5.2849005869748901E-3</v>
      </c>
    </row>
    <row r="372" spans="1:17" s="212" customFormat="1" ht="15.5" x14ac:dyDescent="0.35">
      <c r="A372" s="198">
        <v>2021</v>
      </c>
      <c r="B372" s="197" t="s">
        <v>5842</v>
      </c>
      <c r="C372" s="197">
        <v>2022</v>
      </c>
      <c r="D372" s="213" t="str">
        <f t="shared" si="4"/>
        <v>2021_2022</v>
      </c>
      <c r="E372" s="1268">
        <v>5.6886951756676803E-2</v>
      </c>
      <c r="F372" s="1279">
        <v>3.2898503294650299E-3</v>
      </c>
      <c r="G372" s="1255">
        <v>0.146268883574977</v>
      </c>
      <c r="H372" s="1279">
        <v>2.5105961562949301E-2</v>
      </c>
      <c r="I372" s="1255">
        <v>5.0562781269749696E-3</v>
      </c>
      <c r="J372" s="1279">
        <v>1.08343031956385E-3</v>
      </c>
      <c r="K372" s="1255">
        <v>3.00000086095965E-3</v>
      </c>
      <c r="L372" s="1253">
        <v>2.0000005740682999E-3</v>
      </c>
      <c r="M372" s="1273">
        <v>2.0000005740682999E-3</v>
      </c>
      <c r="N372" s="1255">
        <v>3.1850009128239903E-2</v>
      </c>
      <c r="O372" s="1256">
        <v>3.1850009128239903E-2</v>
      </c>
      <c r="P372" s="1251">
        <v>1.5925004564119952E-2</v>
      </c>
      <c r="Q372" s="1254">
        <v>5.2849005869748901E-3</v>
      </c>
    </row>
    <row r="373" spans="1:17" s="212" customFormat="1" ht="15.5" x14ac:dyDescent="0.35">
      <c r="A373" s="198">
        <v>2022</v>
      </c>
      <c r="B373" s="197" t="s">
        <v>5842</v>
      </c>
      <c r="C373" s="197">
        <v>1971</v>
      </c>
      <c r="D373" s="213" t="str">
        <f t="shared" si="4"/>
        <v>2022_1971</v>
      </c>
      <c r="E373" s="1268">
        <v>0.22812268557100801</v>
      </c>
      <c r="F373" s="1279">
        <v>2.79726278939793</v>
      </c>
      <c r="G373" s="1255">
        <v>5.1750213041472497</v>
      </c>
      <c r="H373" s="1279">
        <v>4.4675245671399901</v>
      </c>
      <c r="I373" s="1255">
        <v>0.17194402209277401</v>
      </c>
      <c r="J373" s="1279">
        <v>1.6815706117789601E-2</v>
      </c>
      <c r="K373" s="1255">
        <v>3.0000008615733002E-3</v>
      </c>
      <c r="L373" s="1253">
        <v>2.0000005744014401E-3</v>
      </c>
      <c r="M373" s="1273">
        <v>2.0000005744014401E-3</v>
      </c>
      <c r="N373" s="1255">
        <v>3.1850009128239903E-2</v>
      </c>
      <c r="O373" s="1256">
        <v>3.1850009128239903E-2</v>
      </c>
      <c r="P373" s="1251">
        <v>1.5925004564119952E-2</v>
      </c>
      <c r="Q373" s="1254">
        <v>0.17971856778151099</v>
      </c>
    </row>
    <row r="374" spans="1:17" s="212" customFormat="1" ht="15.5" x14ac:dyDescent="0.35">
      <c r="A374" s="198">
        <v>2022</v>
      </c>
      <c r="B374" s="197" t="s">
        <v>5842</v>
      </c>
      <c r="C374" s="197">
        <v>1972</v>
      </c>
      <c r="D374" s="213" t="str">
        <f t="shared" si="4"/>
        <v>2022_1972</v>
      </c>
      <c r="E374" s="1268">
        <v>0.22812268557100801</v>
      </c>
      <c r="F374" s="1279">
        <v>2.79726278939793</v>
      </c>
      <c r="G374" s="1255">
        <v>5.1750213041472497</v>
      </c>
      <c r="H374" s="1279">
        <v>4.4675245671399901</v>
      </c>
      <c r="I374" s="1255">
        <v>0.17194402209277401</v>
      </c>
      <c r="J374" s="1279">
        <v>1.6815706117789601E-2</v>
      </c>
      <c r="K374" s="1255">
        <v>3.0000008615733002E-3</v>
      </c>
      <c r="L374" s="1253">
        <v>2.0000005744014401E-3</v>
      </c>
      <c r="M374" s="1273">
        <v>2.0000005744014401E-3</v>
      </c>
      <c r="N374" s="1255">
        <v>3.1850009128239903E-2</v>
      </c>
      <c r="O374" s="1256">
        <v>3.1850009128239903E-2</v>
      </c>
      <c r="P374" s="1251">
        <v>1.5925004564119952E-2</v>
      </c>
      <c r="Q374" s="1254">
        <v>0.17971856778151099</v>
      </c>
    </row>
    <row r="375" spans="1:17" s="212" customFormat="1" ht="15.5" x14ac:dyDescent="0.35">
      <c r="A375" s="198">
        <v>2022</v>
      </c>
      <c r="B375" s="197" t="s">
        <v>5842</v>
      </c>
      <c r="C375" s="197">
        <v>1973</v>
      </c>
      <c r="D375" s="213" t="str">
        <f t="shared" si="4"/>
        <v>2022_1973</v>
      </c>
      <c r="E375" s="1268">
        <v>0.22812268557100801</v>
      </c>
      <c r="F375" s="1279">
        <v>2.79726278939793</v>
      </c>
      <c r="G375" s="1255">
        <v>5.1750213041472497</v>
      </c>
      <c r="H375" s="1279">
        <v>4.4675245671399901</v>
      </c>
      <c r="I375" s="1255">
        <v>0.17194402209277401</v>
      </c>
      <c r="J375" s="1279">
        <v>1.6815706117789601E-2</v>
      </c>
      <c r="K375" s="1255">
        <v>3.0000008615733002E-3</v>
      </c>
      <c r="L375" s="1253">
        <v>2.0000005744014401E-3</v>
      </c>
      <c r="M375" s="1273">
        <v>2.0000005744014401E-3</v>
      </c>
      <c r="N375" s="1255">
        <v>3.1850009128239903E-2</v>
      </c>
      <c r="O375" s="1256">
        <v>3.1850009128239903E-2</v>
      </c>
      <c r="P375" s="1251">
        <v>1.5925004564119952E-2</v>
      </c>
      <c r="Q375" s="1254">
        <v>0.17971856778151099</v>
      </c>
    </row>
    <row r="376" spans="1:17" s="212" customFormat="1" ht="15.5" x14ac:dyDescent="0.35">
      <c r="A376" s="198">
        <v>2022</v>
      </c>
      <c r="B376" s="197" t="s">
        <v>5842</v>
      </c>
      <c r="C376" s="197">
        <v>1974</v>
      </c>
      <c r="D376" s="213" t="str">
        <f t="shared" si="4"/>
        <v>2022_1974</v>
      </c>
      <c r="E376" s="1268">
        <v>0.22812268557100801</v>
      </c>
      <c r="F376" s="1279">
        <v>2.79726278939793</v>
      </c>
      <c r="G376" s="1255">
        <v>5.1750213041472497</v>
      </c>
      <c r="H376" s="1279">
        <v>4.4675245671399901</v>
      </c>
      <c r="I376" s="1255">
        <v>0.17194402209277401</v>
      </c>
      <c r="J376" s="1279">
        <v>1.6815706117789601E-2</v>
      </c>
      <c r="K376" s="1255">
        <v>3.0000008615733002E-3</v>
      </c>
      <c r="L376" s="1253">
        <v>2.0000005744014401E-3</v>
      </c>
      <c r="M376" s="1273">
        <v>2.0000005744014401E-3</v>
      </c>
      <c r="N376" s="1255">
        <v>3.1850009128239903E-2</v>
      </c>
      <c r="O376" s="1256">
        <v>3.1850009128239903E-2</v>
      </c>
      <c r="P376" s="1251">
        <v>1.5925004564119952E-2</v>
      </c>
      <c r="Q376" s="1254">
        <v>0.17971856778151099</v>
      </c>
    </row>
    <row r="377" spans="1:17" s="212" customFormat="1" ht="15.5" x14ac:dyDescent="0.35">
      <c r="A377" s="198">
        <v>2022</v>
      </c>
      <c r="B377" s="197" t="s">
        <v>5842</v>
      </c>
      <c r="C377" s="197">
        <v>1975</v>
      </c>
      <c r="D377" s="213" t="str">
        <f t="shared" si="4"/>
        <v>2022_1975</v>
      </c>
      <c r="E377" s="1268">
        <v>0.22812268557100801</v>
      </c>
      <c r="F377" s="1279">
        <v>2.79726278939793</v>
      </c>
      <c r="G377" s="1255">
        <v>5.1750213041472497</v>
      </c>
      <c r="H377" s="1279">
        <v>4.4675245671399901</v>
      </c>
      <c r="I377" s="1255">
        <v>0.17194402209277401</v>
      </c>
      <c r="J377" s="1279">
        <v>1.6815706117789601E-2</v>
      </c>
      <c r="K377" s="1255">
        <v>3.0000008615733002E-3</v>
      </c>
      <c r="L377" s="1253">
        <v>2.0000005744014401E-3</v>
      </c>
      <c r="M377" s="1273">
        <v>2.0000005744014401E-3</v>
      </c>
      <c r="N377" s="1255">
        <v>3.1850009128239903E-2</v>
      </c>
      <c r="O377" s="1256">
        <v>3.1850009128239903E-2</v>
      </c>
      <c r="P377" s="1251">
        <v>1.5925004564119952E-2</v>
      </c>
      <c r="Q377" s="1254">
        <v>0.17971856778151099</v>
      </c>
    </row>
    <row r="378" spans="1:17" s="212" customFormat="1" ht="15.5" x14ac:dyDescent="0.35">
      <c r="A378" s="198">
        <v>2022</v>
      </c>
      <c r="B378" s="197" t="s">
        <v>5842</v>
      </c>
      <c r="C378" s="197">
        <v>1976</v>
      </c>
      <c r="D378" s="213" t="str">
        <f t="shared" si="4"/>
        <v>2022_1976</v>
      </c>
      <c r="E378" s="1268">
        <v>0.22812268557100801</v>
      </c>
      <c r="F378" s="1279">
        <v>2.79726278939793</v>
      </c>
      <c r="G378" s="1255">
        <v>5.1750213041472497</v>
      </c>
      <c r="H378" s="1279">
        <v>4.4675245671399901</v>
      </c>
      <c r="I378" s="1255">
        <v>0.17194402209277401</v>
      </c>
      <c r="J378" s="1279">
        <v>1.6815706117789601E-2</v>
      </c>
      <c r="K378" s="1255">
        <v>3.0000008615733002E-3</v>
      </c>
      <c r="L378" s="1253">
        <v>2.0000005744014401E-3</v>
      </c>
      <c r="M378" s="1273">
        <v>2.0000005744014401E-3</v>
      </c>
      <c r="N378" s="1255">
        <v>3.1850009128239903E-2</v>
      </c>
      <c r="O378" s="1256">
        <v>3.1850009128239903E-2</v>
      </c>
      <c r="P378" s="1251">
        <v>1.5925004564119952E-2</v>
      </c>
      <c r="Q378" s="1254">
        <v>0.17971856778151099</v>
      </c>
    </row>
    <row r="379" spans="1:17" s="212" customFormat="1" ht="15.5" x14ac:dyDescent="0.35">
      <c r="A379" s="198">
        <v>2022</v>
      </c>
      <c r="B379" s="197" t="s">
        <v>5842</v>
      </c>
      <c r="C379" s="197">
        <v>1977</v>
      </c>
      <c r="D379" s="213" t="str">
        <f t="shared" si="4"/>
        <v>2022_1977</v>
      </c>
      <c r="E379" s="1268">
        <v>0.22812268557100801</v>
      </c>
      <c r="F379" s="1279">
        <v>2.79726278939793</v>
      </c>
      <c r="G379" s="1255">
        <v>5.1750213041472497</v>
      </c>
      <c r="H379" s="1279">
        <v>4.4675245671399901</v>
      </c>
      <c r="I379" s="1255">
        <v>0.17194402209277401</v>
      </c>
      <c r="J379" s="1279">
        <v>1.6815706117789601E-2</v>
      </c>
      <c r="K379" s="1255">
        <v>3.0000008615733002E-3</v>
      </c>
      <c r="L379" s="1253">
        <v>2.0000005744014401E-3</v>
      </c>
      <c r="M379" s="1273">
        <v>2.0000005744014401E-3</v>
      </c>
      <c r="N379" s="1255">
        <v>3.1850009128239903E-2</v>
      </c>
      <c r="O379" s="1256">
        <v>3.1850009128239903E-2</v>
      </c>
      <c r="P379" s="1251">
        <v>1.5925004564119952E-2</v>
      </c>
      <c r="Q379" s="1254">
        <v>0.17971856778151099</v>
      </c>
    </row>
    <row r="380" spans="1:17" s="212" customFormat="1" ht="15.5" x14ac:dyDescent="0.35">
      <c r="A380" s="198">
        <v>2022</v>
      </c>
      <c r="B380" s="197" t="s">
        <v>5842</v>
      </c>
      <c r="C380" s="197">
        <v>1978</v>
      </c>
      <c r="D380" s="213" t="str">
        <f t="shared" si="4"/>
        <v>2022_1978</v>
      </c>
      <c r="E380" s="1268">
        <v>0.22812268557100801</v>
      </c>
      <c r="F380" s="1278">
        <v>2.79726278939793</v>
      </c>
      <c r="G380" s="1255">
        <v>5.1750213041472497</v>
      </c>
      <c r="H380" s="1278">
        <v>4.4675245671399901</v>
      </c>
      <c r="I380" s="1255">
        <v>0.17194402209277401</v>
      </c>
      <c r="J380" s="1278">
        <v>1.6815706117789601E-2</v>
      </c>
      <c r="K380" s="1255">
        <v>3.0000008615733002E-3</v>
      </c>
      <c r="L380" s="1250">
        <v>2.0000005744014401E-3</v>
      </c>
      <c r="M380" s="1273">
        <v>2.0000005744014401E-3</v>
      </c>
      <c r="N380" s="1255">
        <v>3.1850009128239903E-2</v>
      </c>
      <c r="O380" s="1249">
        <v>3.1850009128239903E-2</v>
      </c>
      <c r="P380" s="1251">
        <v>1.5925004564119952E-2</v>
      </c>
      <c r="Q380" s="1254">
        <v>0.17971856778151099</v>
      </c>
    </row>
    <row r="381" spans="1:17" s="212" customFormat="1" ht="15.5" x14ac:dyDescent="0.35">
      <c r="A381" s="198">
        <v>2022</v>
      </c>
      <c r="B381" s="197" t="s">
        <v>5842</v>
      </c>
      <c r="C381" s="197">
        <v>1979</v>
      </c>
      <c r="D381" s="213" t="str">
        <f t="shared" si="4"/>
        <v>2022_1979</v>
      </c>
      <c r="E381" s="1268">
        <v>0.22812268557100801</v>
      </c>
      <c r="F381" s="1278">
        <v>2.51124479293183</v>
      </c>
      <c r="G381" s="1255">
        <v>5.1750213041472497</v>
      </c>
      <c r="H381" s="1278">
        <v>4.2903529552088298</v>
      </c>
      <c r="I381" s="1255">
        <v>0.17194402209277401</v>
      </c>
      <c r="J381" s="1278">
        <v>1.5242542439709499E-2</v>
      </c>
      <c r="K381" s="1255">
        <v>3.0000008615733002E-3</v>
      </c>
      <c r="L381" s="1250">
        <v>2.0000005737980898E-3</v>
      </c>
      <c r="M381" s="1273">
        <v>2.0000005737980898E-3</v>
      </c>
      <c r="N381" s="1255">
        <v>3.1850009128239903E-2</v>
      </c>
      <c r="O381" s="1249">
        <v>3.1850009128239903E-2</v>
      </c>
      <c r="P381" s="1251">
        <v>1.5925004564119952E-2</v>
      </c>
      <c r="Q381" s="1254">
        <v>0.17971856778151099</v>
      </c>
    </row>
    <row r="382" spans="1:17" s="212" customFormat="1" ht="15.5" x14ac:dyDescent="0.35">
      <c r="A382" s="198">
        <v>2022</v>
      </c>
      <c r="B382" s="197" t="s">
        <v>5842</v>
      </c>
      <c r="C382" s="197">
        <v>1980</v>
      </c>
      <c r="D382" s="213" t="str">
        <f t="shared" si="4"/>
        <v>2022_1980</v>
      </c>
      <c r="E382" s="1268">
        <v>0.22812268557100801</v>
      </c>
      <c r="F382" s="1278">
        <v>2.7918584426122899</v>
      </c>
      <c r="G382" s="1255">
        <v>5.1750213041472497</v>
      </c>
      <c r="H382" s="1278">
        <v>3.6258146144369099</v>
      </c>
      <c r="I382" s="1255">
        <v>0.17194402209277401</v>
      </c>
      <c r="J382" s="1278">
        <v>1.68294377164067E-2</v>
      </c>
      <c r="K382" s="1255">
        <v>3.0000008615733002E-3</v>
      </c>
      <c r="L382" s="1250">
        <v>2.00000057480657E-3</v>
      </c>
      <c r="M382" s="1273">
        <v>2.00000057480657E-3</v>
      </c>
      <c r="N382" s="1255">
        <v>3.1850009128239903E-2</v>
      </c>
      <c r="O382" s="1249">
        <v>3.1850009128239903E-2</v>
      </c>
      <c r="P382" s="1251">
        <v>1.5925004564119952E-2</v>
      </c>
      <c r="Q382" s="1254">
        <v>0.17971856778151099</v>
      </c>
    </row>
    <row r="383" spans="1:17" s="212" customFormat="1" ht="15.5" x14ac:dyDescent="0.35">
      <c r="A383" s="198">
        <v>2022</v>
      </c>
      <c r="B383" s="197" t="s">
        <v>5842</v>
      </c>
      <c r="C383" s="197">
        <v>1981</v>
      </c>
      <c r="D383" s="213" t="str">
        <f t="shared" si="4"/>
        <v>2022_1981</v>
      </c>
      <c r="E383" s="1268">
        <v>0.22812268557100801</v>
      </c>
      <c r="F383" s="1278">
        <v>2.6317019324809099</v>
      </c>
      <c r="G383" s="1255">
        <v>5.1750213041472497</v>
      </c>
      <c r="H383" s="1278">
        <v>4.2873906453657504</v>
      </c>
      <c r="I383" s="1255">
        <v>0.17194402209277401</v>
      </c>
      <c r="J383" s="1278">
        <v>1.53165163359371E-2</v>
      </c>
      <c r="K383" s="1255">
        <v>3.0000008615733002E-3</v>
      </c>
      <c r="L383" s="1250">
        <v>2.0000005741600299E-3</v>
      </c>
      <c r="M383" s="1273">
        <v>2.0000005741600299E-3</v>
      </c>
      <c r="N383" s="1255">
        <v>3.1850009128239903E-2</v>
      </c>
      <c r="O383" s="1249">
        <v>3.1850009128239903E-2</v>
      </c>
      <c r="P383" s="1251">
        <v>1.5925004564119952E-2</v>
      </c>
      <c r="Q383" s="1254">
        <v>0.17971856778151099</v>
      </c>
    </row>
    <row r="384" spans="1:17" s="212" customFormat="1" ht="15.5" x14ac:dyDescent="0.35">
      <c r="A384" s="198">
        <v>2022</v>
      </c>
      <c r="B384" s="197" t="s">
        <v>5842</v>
      </c>
      <c r="C384" s="197">
        <v>1982</v>
      </c>
      <c r="D384" s="213" t="str">
        <f t="shared" si="4"/>
        <v>2022_1982</v>
      </c>
      <c r="E384" s="1267">
        <v>0.22812268557100801</v>
      </c>
      <c r="F384" s="1278">
        <v>2.5498359776073198</v>
      </c>
      <c r="G384" s="1248">
        <v>5.1750213041472497</v>
      </c>
      <c r="H384" s="1278">
        <v>3.9409452634778699</v>
      </c>
      <c r="I384" s="1248">
        <v>0.17194402209277401</v>
      </c>
      <c r="J384" s="1278">
        <v>1.5017644003241E-2</v>
      </c>
      <c r="K384" s="1248">
        <v>3.0000008615733002E-3</v>
      </c>
      <c r="L384" s="1250">
        <v>2.00000057401656E-3</v>
      </c>
      <c r="M384" s="1273">
        <v>2.00000057401656E-3</v>
      </c>
      <c r="N384" s="1248">
        <v>3.1850009128239903E-2</v>
      </c>
      <c r="O384" s="1249">
        <v>3.1850009128239903E-2</v>
      </c>
      <c r="P384" s="1251">
        <v>1.5925004564119952E-2</v>
      </c>
      <c r="Q384" s="1252">
        <v>0.17971856778151099</v>
      </c>
    </row>
    <row r="385" spans="1:17" s="212" customFormat="1" ht="15.5" x14ac:dyDescent="0.35">
      <c r="A385" s="198">
        <v>2022</v>
      </c>
      <c r="B385" s="197" t="s">
        <v>5842</v>
      </c>
      <c r="C385" s="197">
        <v>1983</v>
      </c>
      <c r="D385" s="213" t="str">
        <f t="shared" si="4"/>
        <v>2022_1983</v>
      </c>
      <c r="E385" s="1267">
        <v>0.224550818849335</v>
      </c>
      <c r="F385" s="1278">
        <v>2.5009994744918398</v>
      </c>
      <c r="G385" s="1248">
        <v>5.2306501927003302</v>
      </c>
      <c r="H385" s="1278">
        <v>4.42566125347214</v>
      </c>
      <c r="I385" s="1248">
        <v>0.16925178160399301</v>
      </c>
      <c r="J385" s="1278">
        <v>1.6418823192366899E-2</v>
      </c>
      <c r="K385" s="1248">
        <v>3.0000008610235598E-3</v>
      </c>
      <c r="L385" s="1250">
        <v>2.00000057443948E-3</v>
      </c>
      <c r="M385" s="1273">
        <v>2.00000057443948E-3</v>
      </c>
      <c r="N385" s="1248">
        <v>3.1850009128239903E-2</v>
      </c>
      <c r="O385" s="1249">
        <v>3.1850009128239903E-2</v>
      </c>
      <c r="P385" s="1251">
        <v>1.5925004564119952E-2</v>
      </c>
      <c r="Q385" s="1252">
        <v>0.17690459612446799</v>
      </c>
    </row>
    <row r="386" spans="1:17" s="212" customFormat="1" ht="15.5" x14ac:dyDescent="0.35">
      <c r="A386" s="198">
        <v>2022</v>
      </c>
      <c r="B386" s="197" t="s">
        <v>5842</v>
      </c>
      <c r="C386" s="197">
        <v>1984</v>
      </c>
      <c r="D386" s="213" t="str">
        <f t="shared" si="4"/>
        <v>2022_1984</v>
      </c>
      <c r="E386" s="1267">
        <v>0.23390970735486999</v>
      </c>
      <c r="F386" s="1278">
        <v>1.6913996639298601</v>
      </c>
      <c r="G386" s="1248">
        <v>5.0984647870812703</v>
      </c>
      <c r="H386" s="1278">
        <v>3.6156193544195299</v>
      </c>
      <c r="I386" s="1248">
        <v>0.17630590218797401</v>
      </c>
      <c r="J386" s="1278">
        <v>1.59227994454651E-2</v>
      </c>
      <c r="K386" s="1248">
        <v>3.00000086152273E-3</v>
      </c>
      <c r="L386" s="1250">
        <v>2.0000005742918498E-3</v>
      </c>
      <c r="M386" s="1273">
        <v>2.0000005742918498E-3</v>
      </c>
      <c r="N386" s="1248">
        <v>3.1850009128239903E-2</v>
      </c>
      <c r="O386" s="1249">
        <v>3.1850009128239903E-2</v>
      </c>
      <c r="P386" s="1251">
        <v>1.5925004564119952E-2</v>
      </c>
      <c r="Q386" s="1252">
        <v>0.18427767273906001</v>
      </c>
    </row>
    <row r="387" spans="1:17" s="212" customFormat="1" ht="15.5" x14ac:dyDescent="0.35">
      <c r="A387" s="198">
        <v>2022</v>
      </c>
      <c r="B387" s="197" t="s">
        <v>5842</v>
      </c>
      <c r="C387" s="197">
        <v>1985</v>
      </c>
      <c r="D387" s="213" t="str">
        <f t="shared" si="4"/>
        <v>2022_1985</v>
      </c>
      <c r="E387" s="1267">
        <v>0.23431648896400201</v>
      </c>
      <c r="F387" s="1278">
        <v>2.0421612414130998</v>
      </c>
      <c r="G387" s="1248">
        <v>5.08151575926607</v>
      </c>
      <c r="H387" s="1278">
        <v>3.9647924000517101</v>
      </c>
      <c r="I387" s="1248">
        <v>0.176612507670075</v>
      </c>
      <c r="J387" s="1278">
        <v>1.5435830863083901E-2</v>
      </c>
      <c r="K387" s="1248">
        <v>3.0000008615101198E-3</v>
      </c>
      <c r="L387" s="1250">
        <v>2.00000057411394E-3</v>
      </c>
      <c r="M387" s="1273">
        <v>2.00000057411394E-3</v>
      </c>
      <c r="N387" s="1248">
        <v>3.1850009128239903E-2</v>
      </c>
      <c r="O387" s="1249">
        <v>3.1850009128239903E-2</v>
      </c>
      <c r="P387" s="1251">
        <v>1.5925004564119952E-2</v>
      </c>
      <c r="Q387" s="1252">
        <v>0.18459814156052001</v>
      </c>
    </row>
    <row r="388" spans="1:17" s="212" customFormat="1" ht="15.5" x14ac:dyDescent="0.35">
      <c r="A388" s="198">
        <v>2022</v>
      </c>
      <c r="B388" s="197" t="s">
        <v>5842</v>
      </c>
      <c r="C388" s="197">
        <v>1986</v>
      </c>
      <c r="D388" s="213" t="str">
        <f t="shared" ref="D388:D473" si="5">CONCATENATE(A388,"_",C388)</f>
        <v>2022_1986</v>
      </c>
      <c r="E388" s="1267">
        <v>0.227030777350577</v>
      </c>
      <c r="F388" s="1278">
        <v>1.60406922305392</v>
      </c>
      <c r="G388" s="1248">
        <v>5.19323049430725</v>
      </c>
      <c r="H388" s="1278">
        <v>4.3019749849841702</v>
      </c>
      <c r="I388" s="1248">
        <v>0.17112101279535599</v>
      </c>
      <c r="J388" s="1278">
        <v>1.53447460795634E-2</v>
      </c>
      <c r="K388" s="1248">
        <v>3.0000008612294298E-3</v>
      </c>
      <c r="L388" s="1250">
        <v>2.0000005740662698E-3</v>
      </c>
      <c r="M388" s="1273">
        <v>2.0000005740662698E-3</v>
      </c>
      <c r="N388" s="1248">
        <v>3.1850009128239903E-2</v>
      </c>
      <c r="O388" s="1249">
        <v>3.1850009128239903E-2</v>
      </c>
      <c r="P388" s="1251">
        <v>1.5925004564119952E-2</v>
      </c>
      <c r="Q388" s="1252">
        <v>0.17885834565571301</v>
      </c>
    </row>
    <row r="389" spans="1:17" s="212" customFormat="1" ht="15.5" x14ac:dyDescent="0.35">
      <c r="A389" s="198">
        <v>2022</v>
      </c>
      <c r="B389" s="197" t="s">
        <v>5842</v>
      </c>
      <c r="C389" s="197">
        <v>1987</v>
      </c>
      <c r="D389" s="213" t="str">
        <f t="shared" si="5"/>
        <v>2022_1987</v>
      </c>
      <c r="E389" s="1267">
        <v>0.28265969366653998</v>
      </c>
      <c r="F389" s="1278">
        <v>2.0024409709128799</v>
      </c>
      <c r="G389" s="1248">
        <v>5.3314720277222101</v>
      </c>
      <c r="H389" s="1278">
        <v>4.4963676539663497</v>
      </c>
      <c r="I389" s="1248">
        <v>0.19250186147055401</v>
      </c>
      <c r="J389" s="1278">
        <v>1.5281674790637001E-2</v>
      </c>
      <c r="K389" s="1248">
        <v>3.0000008611960798E-3</v>
      </c>
      <c r="L389" s="1250">
        <v>2.0000005741515701E-3</v>
      </c>
      <c r="M389" s="1273">
        <v>2.0000005741515701E-3</v>
      </c>
      <c r="N389" s="1248">
        <v>3.1850009128239903E-2</v>
      </c>
      <c r="O389" s="1249">
        <v>3.1850009128239903E-2</v>
      </c>
      <c r="P389" s="1251">
        <v>1.5925004564119952E-2</v>
      </c>
      <c r="Q389" s="1252">
        <v>0.20120594143189399</v>
      </c>
    </row>
    <row r="390" spans="1:17" s="212" customFormat="1" ht="15.5" x14ac:dyDescent="0.35">
      <c r="A390" s="198">
        <v>2022</v>
      </c>
      <c r="B390" s="197" t="s">
        <v>5842</v>
      </c>
      <c r="C390" s="197">
        <v>1988</v>
      </c>
      <c r="D390" s="213" t="str">
        <f t="shared" si="5"/>
        <v>2022_1988</v>
      </c>
      <c r="E390" s="1267">
        <v>0.277873682921214</v>
      </c>
      <c r="F390" s="1278">
        <v>0.48331123714040802</v>
      </c>
      <c r="G390" s="1248">
        <v>5.3702684902867404</v>
      </c>
      <c r="H390" s="1278">
        <v>1.2142211785144399</v>
      </c>
      <c r="I390" s="1248">
        <v>0.18924240850242</v>
      </c>
      <c r="J390" s="1278">
        <v>1.3715174240227199E-2</v>
      </c>
      <c r="K390" s="1248">
        <v>3.0000008610205999E-3</v>
      </c>
      <c r="L390" s="1250">
        <v>2.0000005741416999E-3</v>
      </c>
      <c r="M390" s="1273">
        <v>2.0000005741416999E-3</v>
      </c>
      <c r="N390" s="1248">
        <v>3.1850009128239903E-2</v>
      </c>
      <c r="O390" s="1249">
        <v>3.1850009128239903E-2</v>
      </c>
      <c r="P390" s="1251">
        <v>1.5925004564119952E-2</v>
      </c>
      <c r="Q390" s="1252">
        <v>0.197799110464148</v>
      </c>
    </row>
    <row r="391" spans="1:17" s="212" customFormat="1" ht="15.5" x14ac:dyDescent="0.35">
      <c r="A391" s="198">
        <v>2022</v>
      </c>
      <c r="B391" s="197" t="s">
        <v>5842</v>
      </c>
      <c r="C391" s="197">
        <v>1989</v>
      </c>
      <c r="D391" s="213" t="str">
        <f t="shared" si="5"/>
        <v>2022_1989</v>
      </c>
      <c r="E391" s="1267">
        <v>0.27927275242338001</v>
      </c>
      <c r="F391" s="1278">
        <v>0.32675225999714602</v>
      </c>
      <c r="G391" s="1248">
        <v>5.3703780699504797</v>
      </c>
      <c r="H391" s="1278">
        <v>1.6407114410965999</v>
      </c>
      <c r="I391" s="1248">
        <v>0.19019522734970601</v>
      </c>
      <c r="J391" s="1278">
        <v>1.33762715959028E-2</v>
      </c>
      <c r="K391" s="1248">
        <v>3.0000008611390898E-3</v>
      </c>
      <c r="L391" s="1250">
        <v>2.0000005740617999E-3</v>
      </c>
      <c r="M391" s="1273">
        <v>2.0000005740617999E-3</v>
      </c>
      <c r="N391" s="1248">
        <v>3.1850009128239903E-2</v>
      </c>
      <c r="O391" s="1249">
        <v>3.1850009128239903E-2</v>
      </c>
      <c r="P391" s="1251">
        <v>1.5925004564119952E-2</v>
      </c>
      <c r="Q391" s="1252">
        <v>0.19879501155163801</v>
      </c>
    </row>
    <row r="392" spans="1:17" s="212" customFormat="1" ht="15.5" x14ac:dyDescent="0.35">
      <c r="A392" s="198">
        <v>2022</v>
      </c>
      <c r="B392" s="197" t="s">
        <v>5842</v>
      </c>
      <c r="C392" s="197">
        <v>1990</v>
      </c>
      <c r="D392" s="213" t="str">
        <f t="shared" si="5"/>
        <v>2022_1990</v>
      </c>
      <c r="E392" s="1267">
        <v>0.280026509615936</v>
      </c>
      <c r="F392" s="1278">
        <v>0.44604943788200202</v>
      </c>
      <c r="G392" s="1248">
        <v>5.3640214019399304</v>
      </c>
      <c r="H392" s="1278">
        <v>1.6611754015139699</v>
      </c>
      <c r="I392" s="1248">
        <v>0.19070856429131899</v>
      </c>
      <c r="J392" s="1278">
        <v>1.39512013925078E-2</v>
      </c>
      <c r="K392" s="1248">
        <v>3.0000008611250498E-3</v>
      </c>
      <c r="L392" s="1250">
        <v>2.00000057420158E-3</v>
      </c>
      <c r="M392" s="1273">
        <v>2.00000057420158E-3</v>
      </c>
      <c r="N392" s="1248">
        <v>3.1850009128239903E-2</v>
      </c>
      <c r="O392" s="1249">
        <v>3.1850009128239903E-2</v>
      </c>
      <c r="P392" s="1251">
        <v>1.5925004564119952E-2</v>
      </c>
      <c r="Q392" s="1252">
        <v>0.19933155931185101</v>
      </c>
    </row>
    <row r="393" spans="1:17" s="212" customFormat="1" ht="15.5" x14ac:dyDescent="0.35">
      <c r="A393" s="198">
        <v>2022</v>
      </c>
      <c r="B393" s="197" t="s">
        <v>5842</v>
      </c>
      <c r="C393" s="197">
        <v>1991</v>
      </c>
      <c r="D393" s="213" t="str">
        <f t="shared" si="5"/>
        <v>2022_1991</v>
      </c>
      <c r="E393" s="1267">
        <v>0.36833507257609199</v>
      </c>
      <c r="F393" s="1278">
        <v>0.46339262935715297</v>
      </c>
      <c r="G393" s="1248">
        <v>9.3352504269141399</v>
      </c>
      <c r="H393" s="1278">
        <v>2.9019781751707101</v>
      </c>
      <c r="I393" s="1248">
        <v>5.2201657495343799E-2</v>
      </c>
      <c r="J393" s="1278">
        <v>7.4377349258312004E-3</v>
      </c>
      <c r="K393" s="1248">
        <v>3.00000086128792E-3</v>
      </c>
      <c r="L393" s="1250">
        <v>2.0000005740565198E-3</v>
      </c>
      <c r="M393" s="1273">
        <v>2.0000005740565198E-3</v>
      </c>
      <c r="N393" s="1248">
        <v>3.1850009128239903E-2</v>
      </c>
      <c r="O393" s="1249">
        <v>3.1850009128239903E-2</v>
      </c>
      <c r="P393" s="1251">
        <v>1.5925004564119952E-2</v>
      </c>
      <c r="Q393" s="1252">
        <v>5.4561984805858797E-2</v>
      </c>
    </row>
    <row r="394" spans="1:17" s="212" customFormat="1" ht="15.5" x14ac:dyDescent="0.35">
      <c r="A394" s="198">
        <v>2022</v>
      </c>
      <c r="B394" s="197" t="s">
        <v>5842</v>
      </c>
      <c r="C394" s="197">
        <v>1992</v>
      </c>
      <c r="D394" s="213" t="str">
        <f t="shared" si="5"/>
        <v>2022_1992</v>
      </c>
      <c r="E394" s="1267">
        <v>0.36915100365831499</v>
      </c>
      <c r="F394" s="1278">
        <v>0.46765295145812602</v>
      </c>
      <c r="G394" s="1248">
        <v>9.3261780450659799</v>
      </c>
      <c r="H394" s="1278">
        <v>2.9075451074605301</v>
      </c>
      <c r="I394" s="1248">
        <v>5.2317293930929702E-2</v>
      </c>
      <c r="J394" s="1278">
        <v>7.5360897250442297E-3</v>
      </c>
      <c r="K394" s="1248">
        <v>3.0000008612699699E-3</v>
      </c>
      <c r="L394" s="1250">
        <v>2.0000005741323602E-3</v>
      </c>
      <c r="M394" s="1273">
        <v>2.0000005741323602E-3</v>
      </c>
      <c r="N394" s="1248">
        <v>3.1850009128239903E-2</v>
      </c>
      <c r="O394" s="1249">
        <v>3.1850009128239903E-2</v>
      </c>
      <c r="P394" s="1251">
        <v>1.5925004564119952E-2</v>
      </c>
      <c r="Q394" s="1252">
        <v>5.4682849807932803E-2</v>
      </c>
    </row>
    <row r="395" spans="1:17" s="212" customFormat="1" ht="15.5" x14ac:dyDescent="0.35">
      <c r="A395" s="198">
        <v>2022</v>
      </c>
      <c r="B395" s="197" t="s">
        <v>5842</v>
      </c>
      <c r="C395" s="197">
        <v>1993</v>
      </c>
      <c r="D395" s="213" t="str">
        <f t="shared" si="5"/>
        <v>2022_1993</v>
      </c>
      <c r="E395" s="1267">
        <v>0.37110454713590801</v>
      </c>
      <c r="F395" s="1278">
        <v>0.458380484985148</v>
      </c>
      <c r="G395" s="1248">
        <v>9.2926949268334997</v>
      </c>
      <c r="H395" s="1278">
        <v>2.88810726557577</v>
      </c>
      <c r="I395" s="1248">
        <v>5.2594156535422897E-2</v>
      </c>
      <c r="J395" s="1278">
        <v>7.4150133810642798E-3</v>
      </c>
      <c r="K395" s="1248">
        <v>3.0000008613317599E-3</v>
      </c>
      <c r="L395" s="1250">
        <v>2.0000005740592199E-3</v>
      </c>
      <c r="M395" s="1273">
        <v>2.0000005740592199E-3</v>
      </c>
      <c r="N395" s="1248">
        <v>3.1850009128239903E-2</v>
      </c>
      <c r="O395" s="1249">
        <v>3.1850009128239903E-2</v>
      </c>
      <c r="P395" s="1251">
        <v>1.5925004564119952E-2</v>
      </c>
      <c r="Q395" s="1252">
        <v>5.49722309108416E-2</v>
      </c>
    </row>
    <row r="396" spans="1:17" s="212" customFormat="1" ht="15.5" x14ac:dyDescent="0.35">
      <c r="A396" s="198">
        <v>2022</v>
      </c>
      <c r="B396" s="197" t="s">
        <v>5842</v>
      </c>
      <c r="C396" s="197">
        <v>1994</v>
      </c>
      <c r="D396" s="213" t="str">
        <f t="shared" si="5"/>
        <v>2022_1994</v>
      </c>
      <c r="E396" s="1267">
        <v>0.36495649879115299</v>
      </c>
      <c r="F396" s="1278">
        <v>0.45438064540122902</v>
      </c>
      <c r="G396" s="1248">
        <v>9.3834957711395592</v>
      </c>
      <c r="H396" s="1278">
        <v>2.8784012415662699</v>
      </c>
      <c r="I396" s="1248">
        <v>5.2257526876350602E-2</v>
      </c>
      <c r="J396" s="1278">
        <v>7.3732651888351198E-3</v>
      </c>
      <c r="K396" s="1248">
        <v>3.00000086124615E-3</v>
      </c>
      <c r="L396" s="1250">
        <v>2.00000057404343E-3</v>
      </c>
      <c r="M396" s="1273">
        <v>2.00000057404343E-3</v>
      </c>
      <c r="N396" s="1248">
        <v>3.1850009128239903E-2</v>
      </c>
      <c r="O396" s="1249">
        <v>3.1850009128239903E-2</v>
      </c>
      <c r="P396" s="1251">
        <v>1.5925004564119952E-2</v>
      </c>
      <c r="Q396" s="1252">
        <v>5.4620380352358E-2</v>
      </c>
    </row>
    <row r="397" spans="1:17" s="212" customFormat="1" ht="15.5" x14ac:dyDescent="0.35">
      <c r="A397" s="198">
        <v>2022</v>
      </c>
      <c r="B397" s="197" t="s">
        <v>5842</v>
      </c>
      <c r="C397" s="197">
        <v>1995</v>
      </c>
      <c r="D397" s="213" t="str">
        <f t="shared" si="5"/>
        <v>2022_1995</v>
      </c>
      <c r="E397" s="1267">
        <v>0.36721230634423802</v>
      </c>
      <c r="F397" s="1278">
        <v>0.24409893331580801</v>
      </c>
      <c r="G397" s="1248">
        <v>9.3711061566344007</v>
      </c>
      <c r="H397" s="1278">
        <v>1.64562120655055</v>
      </c>
      <c r="I397" s="1248">
        <v>5.25805322871973E-2</v>
      </c>
      <c r="J397" s="1278">
        <v>4.8458498488754501E-3</v>
      </c>
      <c r="K397" s="1248">
        <v>3.0000008612419801E-3</v>
      </c>
      <c r="L397" s="1250">
        <v>2.0000005741142501E-3</v>
      </c>
      <c r="M397" s="1273">
        <v>2.0000005741142501E-3</v>
      </c>
      <c r="N397" s="1248">
        <v>3.1850009128239903E-2</v>
      </c>
      <c r="O397" s="1249">
        <v>3.1850009128239903E-2</v>
      </c>
      <c r="P397" s="1251">
        <v>1.5925004564119952E-2</v>
      </c>
      <c r="Q397" s="1252">
        <v>5.4957990634567903E-2</v>
      </c>
    </row>
    <row r="398" spans="1:17" s="212" customFormat="1" ht="15.5" x14ac:dyDescent="0.35">
      <c r="A398" s="198">
        <v>2022</v>
      </c>
      <c r="B398" s="197" t="s">
        <v>5842</v>
      </c>
      <c r="C398" s="197">
        <v>1996</v>
      </c>
      <c r="D398" s="213" t="str">
        <f t="shared" si="5"/>
        <v>2022_1996</v>
      </c>
      <c r="E398" s="1267">
        <v>0.368689681319541</v>
      </c>
      <c r="F398" s="1278">
        <v>2.2334655154434498E-2</v>
      </c>
      <c r="G398" s="1248">
        <v>9.3470141371734403</v>
      </c>
      <c r="H398" s="1278">
        <v>0.39300409510124701</v>
      </c>
      <c r="I398" s="1248">
        <v>5.2792075204597097E-2</v>
      </c>
      <c r="J398" s="1278">
        <v>2.1772959659726501E-3</v>
      </c>
      <c r="K398" s="1248">
        <v>3.0000008612795898E-3</v>
      </c>
      <c r="L398" s="1250">
        <v>2.00000057412714E-3</v>
      </c>
      <c r="M398" s="1273">
        <v>2.00000057412714E-3</v>
      </c>
      <c r="N398" s="1248">
        <v>3.1850009128239903E-2</v>
      </c>
      <c r="O398" s="1249">
        <v>3.1850009128239903E-2</v>
      </c>
      <c r="P398" s="1251">
        <v>1.5925004564119952E-2</v>
      </c>
      <c r="Q398" s="1252">
        <v>5.5179098583984801E-2</v>
      </c>
    </row>
    <row r="399" spans="1:17" s="212" customFormat="1" ht="15.5" x14ac:dyDescent="0.35">
      <c r="A399" s="198">
        <v>2022</v>
      </c>
      <c r="B399" s="197" t="s">
        <v>5842</v>
      </c>
      <c r="C399" s="197">
        <v>1997</v>
      </c>
      <c r="D399" s="213" t="str">
        <f t="shared" si="5"/>
        <v>2022_1997</v>
      </c>
      <c r="E399" s="1267">
        <v>0.370540358833712</v>
      </c>
      <c r="F399" s="1278">
        <v>2.1450383041554201E-2</v>
      </c>
      <c r="G399" s="1248">
        <v>9.3028527402841998</v>
      </c>
      <c r="H399" s="1278">
        <v>0.38758387993840698</v>
      </c>
      <c r="I399" s="1248">
        <v>5.3057070704763898E-2</v>
      </c>
      <c r="J399" s="1278">
        <v>2.0950683115784001E-3</v>
      </c>
      <c r="K399" s="1248">
        <v>3.0000008612796401E-3</v>
      </c>
      <c r="L399" s="1250">
        <v>2.0000005740443902E-3</v>
      </c>
      <c r="M399" s="1273">
        <v>2.0000005740443902E-3</v>
      </c>
      <c r="N399" s="1248">
        <v>3.1850009128239903E-2</v>
      </c>
      <c r="O399" s="1249">
        <v>3.1850009128239903E-2</v>
      </c>
      <c r="P399" s="1251">
        <v>1.5925004564119952E-2</v>
      </c>
      <c r="Q399" s="1252">
        <v>5.5456076004768901E-2</v>
      </c>
    </row>
    <row r="400" spans="1:17" s="212" customFormat="1" ht="15.5" x14ac:dyDescent="0.35">
      <c r="A400" s="198">
        <v>2022</v>
      </c>
      <c r="B400" s="197" t="s">
        <v>5842</v>
      </c>
      <c r="C400" s="197">
        <v>1998</v>
      </c>
      <c r="D400" s="213" t="str">
        <f t="shared" si="5"/>
        <v>2022_1998</v>
      </c>
      <c r="E400" s="1267">
        <v>0.37218103680989401</v>
      </c>
      <c r="F400" s="1278">
        <v>2.17415799722585E-2</v>
      </c>
      <c r="G400" s="1248">
        <v>9.2909653881706493</v>
      </c>
      <c r="H400" s="1278">
        <v>0.38963790528347197</v>
      </c>
      <c r="I400" s="1248">
        <v>5.3291996712986102E-2</v>
      </c>
      <c r="J400" s="1278">
        <v>2.12640744076273E-3</v>
      </c>
      <c r="K400" s="1248">
        <v>3.00000086136339E-3</v>
      </c>
      <c r="L400" s="1250">
        <v>2.0000005740868302E-3</v>
      </c>
      <c r="M400" s="1273">
        <v>2.0000005740868302E-3</v>
      </c>
      <c r="N400" s="1248">
        <v>3.1850009128239903E-2</v>
      </c>
      <c r="O400" s="1249">
        <v>3.1850009128239903E-2</v>
      </c>
      <c r="P400" s="1251">
        <v>1.5925004564119952E-2</v>
      </c>
      <c r="Q400" s="1252">
        <v>5.5701624324614403E-2</v>
      </c>
    </row>
    <row r="401" spans="1:17" s="212" customFormat="1" ht="15.5" x14ac:dyDescent="0.35">
      <c r="A401" s="198">
        <v>2022</v>
      </c>
      <c r="B401" s="197" t="s">
        <v>5842</v>
      </c>
      <c r="C401" s="197">
        <v>1999</v>
      </c>
      <c r="D401" s="213" t="str">
        <f t="shared" si="5"/>
        <v>2022_1999</v>
      </c>
      <c r="E401" s="1267">
        <v>0.36932832979019597</v>
      </c>
      <c r="F401" s="1278">
        <v>2.17720456145492E-2</v>
      </c>
      <c r="G401" s="1248">
        <v>9.3213577136430796</v>
      </c>
      <c r="H401" s="1278">
        <v>0.38937074099153202</v>
      </c>
      <c r="I401" s="1248">
        <v>5.29108750376861E-2</v>
      </c>
      <c r="J401" s="1278">
        <v>2.1256598649768599E-3</v>
      </c>
      <c r="K401" s="1248">
        <v>3.0000008613271299E-3</v>
      </c>
      <c r="L401" s="1250">
        <v>2.0000005741004998E-3</v>
      </c>
      <c r="M401" s="1273">
        <v>2.0000005741004998E-3</v>
      </c>
      <c r="N401" s="1248">
        <v>3.1850009128239903E-2</v>
      </c>
      <c r="O401" s="1249">
        <v>3.1850009128239903E-2</v>
      </c>
      <c r="P401" s="1251">
        <v>1.5925004564119952E-2</v>
      </c>
      <c r="Q401" s="1252">
        <v>5.5303270018359697E-2</v>
      </c>
    </row>
    <row r="402" spans="1:17" s="212" customFormat="1" ht="15.5" x14ac:dyDescent="0.35">
      <c r="A402" s="198">
        <v>2022</v>
      </c>
      <c r="B402" s="197" t="s">
        <v>5842</v>
      </c>
      <c r="C402" s="197">
        <v>2000</v>
      </c>
      <c r="D402" s="213" t="str">
        <f t="shared" si="5"/>
        <v>2022_2000</v>
      </c>
      <c r="E402" s="1267">
        <v>0.36407843642834298</v>
      </c>
      <c r="F402" s="1278">
        <v>2.2044616645106201E-2</v>
      </c>
      <c r="G402" s="1248">
        <v>9.3925958074112792</v>
      </c>
      <c r="H402" s="1278">
        <v>0.390584639065501</v>
      </c>
      <c r="I402" s="1248">
        <v>5.2218966673398003E-2</v>
      </c>
      <c r="J402" s="1278">
        <v>2.1585690311295399E-3</v>
      </c>
      <c r="K402" s="1248">
        <v>3.00000086124409E-3</v>
      </c>
      <c r="L402" s="1250">
        <v>2.00000057414185E-3</v>
      </c>
      <c r="M402" s="1273">
        <v>2.00000057414185E-3</v>
      </c>
      <c r="N402" s="1248">
        <v>3.1850009128239903E-2</v>
      </c>
      <c r="O402" s="1249">
        <v>3.1850009128239903E-2</v>
      </c>
      <c r="P402" s="1251">
        <v>1.5925004564119952E-2</v>
      </c>
      <c r="Q402" s="1252">
        <v>5.4580076628136298E-2</v>
      </c>
    </row>
    <row r="403" spans="1:17" s="212" customFormat="1" ht="15.5" x14ac:dyDescent="0.35">
      <c r="A403" s="198">
        <v>2022</v>
      </c>
      <c r="B403" s="197" t="s">
        <v>5842</v>
      </c>
      <c r="C403" s="197">
        <v>2001</v>
      </c>
      <c r="D403" s="213" t="str">
        <f t="shared" si="5"/>
        <v>2022_2001</v>
      </c>
      <c r="E403" s="1267">
        <v>0.36519024177746201</v>
      </c>
      <c r="F403" s="1278">
        <v>2.20590580428956E-2</v>
      </c>
      <c r="G403" s="1248">
        <v>9.3179779920343204</v>
      </c>
      <c r="H403" s="1278">
        <v>0.38926732578412399</v>
      </c>
      <c r="I403" s="1248">
        <v>5.24729913243525E-2</v>
      </c>
      <c r="J403" s="1278">
        <v>2.1681777117212599E-3</v>
      </c>
      <c r="K403" s="1248">
        <v>3.0000008613248201E-3</v>
      </c>
      <c r="L403" s="1250">
        <v>2.0000005741682499E-3</v>
      </c>
      <c r="M403" s="1273">
        <v>2.0000005741682499E-3</v>
      </c>
      <c r="N403" s="1248">
        <v>3.1850009128239903E-2</v>
      </c>
      <c r="O403" s="1249">
        <v>3.1850009128239903E-2</v>
      </c>
      <c r="P403" s="1251">
        <v>1.5925004564119952E-2</v>
      </c>
      <c r="Q403" s="1252">
        <v>5.4845587146589297E-2</v>
      </c>
    </row>
    <row r="404" spans="1:17" s="212" customFormat="1" ht="15.5" x14ac:dyDescent="0.35">
      <c r="A404" s="198">
        <v>2022</v>
      </c>
      <c r="B404" s="197" t="s">
        <v>5842</v>
      </c>
      <c r="C404" s="197">
        <v>2002</v>
      </c>
      <c r="D404" s="213" t="str">
        <f t="shared" si="5"/>
        <v>2022_2002</v>
      </c>
      <c r="E404" s="1267">
        <v>0.28218960495900203</v>
      </c>
      <c r="F404" s="1278">
        <v>2.1893833026111802E-2</v>
      </c>
      <c r="G404" s="1248">
        <v>7.1774690518232296</v>
      </c>
      <c r="H404" s="1278">
        <v>0.30869465520447298</v>
      </c>
      <c r="I404" s="1248">
        <v>5.2916927814291602E-2</v>
      </c>
      <c r="J404" s="1278">
        <v>2.1652531242762302E-3</v>
      </c>
      <c r="K404" s="1248">
        <v>3.00000086133875E-3</v>
      </c>
      <c r="L404" s="1250">
        <v>2.0000005741425699E-3</v>
      </c>
      <c r="M404" s="1273">
        <v>2.0000005741425699E-3</v>
      </c>
      <c r="N404" s="1248">
        <v>3.1850009128239903E-2</v>
      </c>
      <c r="O404" s="1249">
        <v>3.1850009128239903E-2</v>
      </c>
      <c r="P404" s="1251">
        <v>1.5925004564119952E-2</v>
      </c>
      <c r="Q404" s="1252">
        <v>5.5309596474664401E-2</v>
      </c>
    </row>
    <row r="405" spans="1:17" s="212" customFormat="1" ht="15.5" x14ac:dyDescent="0.35">
      <c r="A405" s="198">
        <v>2022</v>
      </c>
      <c r="B405" s="197" t="s">
        <v>5842</v>
      </c>
      <c r="C405" s="197">
        <v>2003</v>
      </c>
      <c r="D405" s="213" t="str">
        <f t="shared" si="5"/>
        <v>2022_2003</v>
      </c>
      <c r="E405" s="1267">
        <v>0.27726964187654501</v>
      </c>
      <c r="F405" s="1278">
        <v>2.1453320505741998E-2</v>
      </c>
      <c r="G405" s="1248">
        <v>7.21543263411077</v>
      </c>
      <c r="H405" s="1278">
        <v>0.30229297643344999</v>
      </c>
      <c r="I405" s="1248">
        <v>5.2160259254454999E-2</v>
      </c>
      <c r="J405" s="1278">
        <v>2.1345388230611701E-3</v>
      </c>
      <c r="K405" s="1248">
        <v>3.0000008612622001E-3</v>
      </c>
      <c r="L405" s="1250">
        <v>2.0000005741287602E-3</v>
      </c>
      <c r="M405" s="1273">
        <v>2.0000005741287602E-3</v>
      </c>
      <c r="N405" s="1248">
        <v>3.1850009128239903E-2</v>
      </c>
      <c r="O405" s="1249">
        <v>3.1850009128239903E-2</v>
      </c>
      <c r="P405" s="1251">
        <v>1.5925004564119952E-2</v>
      </c>
      <c r="Q405" s="1252">
        <v>5.4518714720218998E-2</v>
      </c>
    </row>
    <row r="406" spans="1:17" s="212" customFormat="1" ht="15.5" x14ac:dyDescent="0.35">
      <c r="A406" s="198">
        <v>2022</v>
      </c>
      <c r="B406" s="197" t="s">
        <v>5842</v>
      </c>
      <c r="C406" s="197">
        <v>2004</v>
      </c>
      <c r="D406" s="213" t="str">
        <f t="shared" si="5"/>
        <v>2022_2004</v>
      </c>
      <c r="E406" s="1267">
        <v>0.55755883059063305</v>
      </c>
      <c r="F406" s="1278">
        <v>1.4100364099961901E-2</v>
      </c>
      <c r="G406" s="1248">
        <v>4.1323606492259701</v>
      </c>
      <c r="H406" s="1278">
        <v>0.24990319388548299</v>
      </c>
      <c r="I406" s="1248">
        <v>0.147063379897371</v>
      </c>
      <c r="J406" s="1278">
        <v>1.38814917755903E-4</v>
      </c>
      <c r="K406" s="1248">
        <v>3.0000008612579899E-3</v>
      </c>
      <c r="L406" s="1250">
        <v>2.0000005740639002E-3</v>
      </c>
      <c r="M406" s="1273">
        <v>2.0000005740639002E-3</v>
      </c>
      <c r="N406" s="1248">
        <v>3.1850009128239903E-2</v>
      </c>
      <c r="O406" s="1249">
        <v>3.1850009128239903E-2</v>
      </c>
      <c r="P406" s="1251">
        <v>1.5925004564119952E-2</v>
      </c>
      <c r="Q406" s="1252">
        <v>0.15371293335224701</v>
      </c>
    </row>
    <row r="407" spans="1:17" s="212" customFormat="1" ht="15.5" x14ac:dyDescent="0.35">
      <c r="A407" s="198">
        <v>2022</v>
      </c>
      <c r="B407" s="197" t="s">
        <v>5842</v>
      </c>
      <c r="C407" s="197">
        <v>2005</v>
      </c>
      <c r="D407" s="213" t="str">
        <f t="shared" si="5"/>
        <v>2022_2005</v>
      </c>
      <c r="E407" s="1267">
        <v>0.54865416328918704</v>
      </c>
      <c r="F407" s="1278">
        <v>1.37670573603902E-2</v>
      </c>
      <c r="G407" s="1248">
        <v>4.1204986605326299</v>
      </c>
      <c r="H407" s="1278">
        <v>0.24433532262270399</v>
      </c>
      <c r="I407" s="1248">
        <v>0.14546421591609701</v>
      </c>
      <c r="J407" s="1278">
        <v>1.4072132335546299E-4</v>
      </c>
      <c r="K407" s="1248">
        <v>3.0000008612313901E-3</v>
      </c>
      <c r="L407" s="1250">
        <v>2.00000057410232E-3</v>
      </c>
      <c r="M407" s="1273">
        <v>2.00000057410232E-3</v>
      </c>
      <c r="N407" s="1248">
        <v>3.1850009128239903E-2</v>
      </c>
      <c r="O407" s="1249">
        <v>3.1850009128239903E-2</v>
      </c>
      <c r="P407" s="1251">
        <v>1.5925004564119952E-2</v>
      </c>
      <c r="Q407" s="1252">
        <v>0.152041462271925</v>
      </c>
    </row>
    <row r="408" spans="1:17" s="212" customFormat="1" ht="15.5" x14ac:dyDescent="0.35">
      <c r="A408" s="198">
        <v>2022</v>
      </c>
      <c r="B408" s="197" t="s">
        <v>5842</v>
      </c>
      <c r="C408" s="197">
        <v>2006</v>
      </c>
      <c r="D408" s="213" t="str">
        <f t="shared" si="5"/>
        <v>2022_2006</v>
      </c>
      <c r="E408" s="1267">
        <v>0.53755374142555501</v>
      </c>
      <c r="F408" s="1278">
        <v>1.3670513998804101E-2</v>
      </c>
      <c r="G408" s="1248">
        <v>4.1027429170079701</v>
      </c>
      <c r="H408" s="1278">
        <v>0.23771243062362499</v>
      </c>
      <c r="I408" s="1248">
        <v>0.14341613820122601</v>
      </c>
      <c r="J408" s="1278">
        <v>1.41668503097686E-4</v>
      </c>
      <c r="K408" s="1248">
        <v>3.00000086121721E-3</v>
      </c>
      <c r="L408" s="1250">
        <v>2.0000005741170001E-3</v>
      </c>
      <c r="M408" s="1273">
        <v>2.0000005741170001E-3</v>
      </c>
      <c r="N408" s="1248">
        <v>3.1850009128239903E-2</v>
      </c>
      <c r="O408" s="1249">
        <v>3.1850009128239903E-2</v>
      </c>
      <c r="P408" s="1251">
        <v>1.5925004564119952E-2</v>
      </c>
      <c r="Q408" s="1252">
        <v>0.14990077957099701</v>
      </c>
    </row>
    <row r="409" spans="1:17" s="212" customFormat="1" ht="15.5" x14ac:dyDescent="0.35">
      <c r="A409" s="198">
        <v>2022</v>
      </c>
      <c r="B409" s="197" t="s">
        <v>5842</v>
      </c>
      <c r="C409" s="197">
        <v>2007</v>
      </c>
      <c r="D409" s="213" t="str">
        <f t="shared" si="5"/>
        <v>2022_2007</v>
      </c>
      <c r="E409" s="1267">
        <v>0.31014401948537201</v>
      </c>
      <c r="F409" s="1278">
        <v>1.35863234322392E-2</v>
      </c>
      <c r="G409" s="1248">
        <v>2.4386457463986302</v>
      </c>
      <c r="H409" s="1278">
        <v>0.23729175794587001</v>
      </c>
      <c r="I409" s="1248">
        <v>8.2604806567982095E-2</v>
      </c>
      <c r="J409" s="1278">
        <v>1.4493856616254599E-4</v>
      </c>
      <c r="K409" s="1248">
        <v>3.00000086122184E-3</v>
      </c>
      <c r="L409" s="1250">
        <v>2.0000005741761099E-3</v>
      </c>
      <c r="M409" s="1273">
        <v>2.0000005741761099E-3</v>
      </c>
      <c r="N409" s="1248">
        <v>3.1850009128239903E-2</v>
      </c>
      <c r="O409" s="1249">
        <v>3.1850009128239903E-2</v>
      </c>
      <c r="P409" s="1251">
        <v>1.5925004564119952E-2</v>
      </c>
      <c r="Q409" s="1252">
        <v>8.6339829367585996E-2</v>
      </c>
    </row>
    <row r="410" spans="1:17" s="212" customFormat="1" ht="15.5" x14ac:dyDescent="0.35">
      <c r="A410" s="198">
        <v>2022</v>
      </c>
      <c r="B410" s="197" t="s">
        <v>5842</v>
      </c>
      <c r="C410" s="197">
        <v>2008</v>
      </c>
      <c r="D410" s="213" t="str">
        <f t="shared" si="5"/>
        <v>2022_2008</v>
      </c>
      <c r="E410" s="1267">
        <v>0.311714432856524</v>
      </c>
      <c r="F410" s="1278">
        <v>9.2826063702304597E-3</v>
      </c>
      <c r="G410" s="1248">
        <v>2.4520889346659902</v>
      </c>
      <c r="H410" s="1278">
        <v>0.13368420999177499</v>
      </c>
      <c r="I410" s="1248">
        <v>8.2957168459310393E-2</v>
      </c>
      <c r="J410" s="1278">
        <v>1.4095080455609401E-4</v>
      </c>
      <c r="K410" s="1248">
        <v>3.0000008613095498E-3</v>
      </c>
      <c r="L410" s="1250">
        <v>2.0000005741959699E-3</v>
      </c>
      <c r="M410" s="1273">
        <v>2.0000005741959699E-3</v>
      </c>
      <c r="N410" s="1248">
        <v>3.1850009128239903E-2</v>
      </c>
      <c r="O410" s="1249">
        <v>3.1850009128239903E-2</v>
      </c>
      <c r="P410" s="1251">
        <v>1.5925004564119952E-2</v>
      </c>
      <c r="Q410" s="1252">
        <v>8.6708123500057396E-2</v>
      </c>
    </row>
    <row r="411" spans="1:17" s="212" customFormat="1" ht="15.5" x14ac:dyDescent="0.35">
      <c r="A411" s="198">
        <v>2022</v>
      </c>
      <c r="B411" s="197" t="s">
        <v>5842</v>
      </c>
      <c r="C411" s="197">
        <v>2009</v>
      </c>
      <c r="D411" s="213" t="str">
        <f t="shared" si="5"/>
        <v>2022_2009</v>
      </c>
      <c r="E411" s="1267">
        <v>0.30449812202128002</v>
      </c>
      <c r="F411" s="1278">
        <v>4.8185765734479399E-3</v>
      </c>
      <c r="G411" s="1248">
        <v>2.4363821102665302</v>
      </c>
      <c r="H411" s="1278">
        <v>3.8264788427934703E-2</v>
      </c>
      <c r="I411" s="1248">
        <v>8.1429541642991404E-2</v>
      </c>
      <c r="J411" s="1278">
        <v>1.29431756606649E-4</v>
      </c>
      <c r="K411" s="1248">
        <v>3.0000008612715199E-3</v>
      </c>
      <c r="L411" s="1250">
        <v>2.00000057413912E-3</v>
      </c>
      <c r="M411" s="1273">
        <v>2.00000057413912E-3</v>
      </c>
      <c r="N411" s="1248">
        <v>3.1850009128239903E-2</v>
      </c>
      <c r="O411" s="1249">
        <v>3.1850009128239903E-2</v>
      </c>
      <c r="P411" s="1251">
        <v>1.5925004564119952E-2</v>
      </c>
      <c r="Q411" s="1252">
        <v>8.5111424177848005E-2</v>
      </c>
    </row>
    <row r="412" spans="1:17" s="212" customFormat="1" ht="15.5" x14ac:dyDescent="0.35">
      <c r="A412" s="198">
        <v>2022</v>
      </c>
      <c r="B412" s="197" t="s">
        <v>5842</v>
      </c>
      <c r="C412" s="197">
        <v>2010</v>
      </c>
      <c r="D412" s="213" t="str">
        <f t="shared" si="5"/>
        <v>2022_2010</v>
      </c>
      <c r="E412" s="1267">
        <v>8.3845668929328598E-2</v>
      </c>
      <c r="F412" s="1278">
        <v>4.7940136281968103E-3</v>
      </c>
      <c r="G412" s="1248">
        <v>0.71775000403939804</v>
      </c>
      <c r="H412" s="1278">
        <v>3.8559787062311897E-2</v>
      </c>
      <c r="I412" s="1248">
        <v>1.9880442699008301E-2</v>
      </c>
      <c r="J412" s="1278">
        <v>1.5807271377262999E-4</v>
      </c>
      <c r="K412" s="1248">
        <v>3.0000008613157601E-3</v>
      </c>
      <c r="L412" s="1250">
        <v>2.0000005741163699E-3</v>
      </c>
      <c r="M412" s="1273">
        <v>2.0000005741163699E-3</v>
      </c>
      <c r="N412" s="1248">
        <v>3.1850009128239903E-2</v>
      </c>
      <c r="O412" s="1249">
        <v>3.1850009128239903E-2</v>
      </c>
      <c r="P412" s="1251">
        <v>1.5925004564119952E-2</v>
      </c>
      <c r="Q412" s="1252">
        <v>2.0779348099699502E-2</v>
      </c>
    </row>
    <row r="413" spans="1:17" s="212" customFormat="1" ht="15.5" x14ac:dyDescent="0.35">
      <c r="A413" s="198">
        <v>2022</v>
      </c>
      <c r="B413" s="197" t="s">
        <v>5842</v>
      </c>
      <c r="C413" s="197">
        <v>2011</v>
      </c>
      <c r="D413" s="213" t="str">
        <f t="shared" si="5"/>
        <v>2022_2011</v>
      </c>
      <c r="E413" s="1267">
        <v>8.1937379048666395E-2</v>
      </c>
      <c r="F413" s="1278">
        <v>5.00553911948972E-3</v>
      </c>
      <c r="G413" s="1248">
        <v>0.69663041529886105</v>
      </c>
      <c r="H413" s="1278">
        <v>3.83998863005275E-2</v>
      </c>
      <c r="I413" s="1248">
        <v>1.8920591248890901E-2</v>
      </c>
      <c r="J413" s="1278">
        <v>2.16170988831253E-4</v>
      </c>
      <c r="K413" s="1248">
        <v>3.0000008612863201E-3</v>
      </c>
      <c r="L413" s="1250">
        <v>2.00000057421696E-3</v>
      </c>
      <c r="M413" s="1273">
        <v>2.00000057421696E-3</v>
      </c>
      <c r="N413" s="1248">
        <v>3.1850009128239903E-2</v>
      </c>
      <c r="O413" s="1249">
        <v>3.1850009128239903E-2</v>
      </c>
      <c r="P413" s="1251">
        <v>1.5925004564119952E-2</v>
      </c>
      <c r="Q413" s="1252">
        <v>1.9776096426285601E-2</v>
      </c>
    </row>
    <row r="414" spans="1:17" s="212" customFormat="1" ht="15.5" x14ac:dyDescent="0.35">
      <c r="A414" s="198">
        <v>2022</v>
      </c>
      <c r="B414" s="197" t="s">
        <v>5842</v>
      </c>
      <c r="C414" s="197">
        <v>2012</v>
      </c>
      <c r="D414" s="213" t="str">
        <f t="shared" si="5"/>
        <v>2022_2012</v>
      </c>
      <c r="E414" s="1267">
        <v>8.1389923489288293E-2</v>
      </c>
      <c r="F414" s="1278">
        <v>5.0244845717236E-3</v>
      </c>
      <c r="G414" s="1248">
        <v>0.68011470059215196</v>
      </c>
      <c r="H414" s="1278">
        <v>3.8264562733015699E-2</v>
      </c>
      <c r="I414" s="1248">
        <v>1.8128785219405402E-2</v>
      </c>
      <c r="J414" s="1278">
        <v>3.1570365254277402E-4</v>
      </c>
      <c r="K414" s="1248">
        <v>3.00000086134541E-3</v>
      </c>
      <c r="L414" s="1250">
        <v>2.00000057422674E-3</v>
      </c>
      <c r="M414" s="1273">
        <v>2.00000057422674E-3</v>
      </c>
      <c r="N414" s="1248">
        <v>3.1850009128239903E-2</v>
      </c>
      <c r="O414" s="1249">
        <v>3.1850009128239903E-2</v>
      </c>
      <c r="P414" s="1251">
        <v>1.5925004564119952E-2</v>
      </c>
      <c r="Q414" s="1252">
        <v>1.8948488441734E-2</v>
      </c>
    </row>
    <row r="415" spans="1:17" s="212" customFormat="1" ht="15.5" x14ac:dyDescent="0.35">
      <c r="A415" s="198">
        <v>2022</v>
      </c>
      <c r="B415" s="197" t="s">
        <v>5842</v>
      </c>
      <c r="C415" s="197">
        <v>2013</v>
      </c>
      <c r="D415" s="213" t="str">
        <f t="shared" si="5"/>
        <v>2022_2013</v>
      </c>
      <c r="E415" s="1267">
        <v>8.0113274926657596E-2</v>
      </c>
      <c r="F415" s="1278">
        <v>5.0868871829024302E-3</v>
      </c>
      <c r="G415" s="1248">
        <v>0.65840534242881099</v>
      </c>
      <c r="H415" s="1278">
        <v>3.7869873819412002E-2</v>
      </c>
      <c r="I415" s="1248">
        <v>1.71558570824632E-2</v>
      </c>
      <c r="J415" s="1278">
        <v>4.7410137439734499E-4</v>
      </c>
      <c r="K415" s="1248">
        <v>3.0000008613699398E-3</v>
      </c>
      <c r="L415" s="1250">
        <v>2.0000005742646198E-3</v>
      </c>
      <c r="M415" s="1273">
        <v>2.0000005742646198E-3</v>
      </c>
      <c r="N415" s="1248">
        <v>3.1850009128239903E-2</v>
      </c>
      <c r="O415" s="1249">
        <v>3.1850009128239903E-2</v>
      </c>
      <c r="P415" s="1251">
        <v>1.5925004564119952E-2</v>
      </c>
      <c r="Q415" s="1252">
        <v>1.7931568811743799E-2</v>
      </c>
    </row>
    <row r="416" spans="1:17" s="212" customFormat="1" ht="15.5" x14ac:dyDescent="0.35">
      <c r="A416" s="198">
        <v>2022</v>
      </c>
      <c r="B416" s="197" t="s">
        <v>5842</v>
      </c>
      <c r="C416" s="197">
        <v>2014</v>
      </c>
      <c r="D416" s="213" t="str">
        <f t="shared" si="5"/>
        <v>2022_2014</v>
      </c>
      <c r="E416" s="1267">
        <v>7.7820283829044296E-2</v>
      </c>
      <c r="F416" s="1278">
        <v>4.9520510655968299E-3</v>
      </c>
      <c r="G416" s="1248">
        <v>0.63327468672228504</v>
      </c>
      <c r="H416" s="1278">
        <v>3.75269991934159E-2</v>
      </c>
      <c r="I416" s="1248">
        <v>1.6003201154308502E-2</v>
      </c>
      <c r="J416" s="1278">
        <v>6.5821716240472498E-4</v>
      </c>
      <c r="K416" s="1248">
        <v>3.0000008613072999E-3</v>
      </c>
      <c r="L416" s="1250">
        <v>2.0000005742193201E-3</v>
      </c>
      <c r="M416" s="1273">
        <v>2.0000005742193201E-3</v>
      </c>
      <c r="N416" s="1248">
        <v>3.1850009128239903E-2</v>
      </c>
      <c r="O416" s="1249">
        <v>3.1850009128239903E-2</v>
      </c>
      <c r="P416" s="1251">
        <v>1.5925004564119952E-2</v>
      </c>
      <c r="Q416" s="1252">
        <v>1.6726794897353001E-2</v>
      </c>
    </row>
    <row r="417" spans="1:17" s="212" customFormat="1" ht="15.5" x14ac:dyDescent="0.35">
      <c r="A417" s="198">
        <v>2022</v>
      </c>
      <c r="B417" s="197" t="s">
        <v>5842</v>
      </c>
      <c r="C417" s="197">
        <v>2015</v>
      </c>
      <c r="D417" s="213" t="str">
        <f t="shared" si="5"/>
        <v>2022_2015</v>
      </c>
      <c r="E417" s="1267">
        <v>7.6603214669371006E-2</v>
      </c>
      <c r="F417" s="1278">
        <v>5.0207754161170001E-3</v>
      </c>
      <c r="G417" s="1248">
        <v>0.61081949834315197</v>
      </c>
      <c r="H417" s="1278">
        <v>3.6489373989351398E-2</v>
      </c>
      <c r="I417" s="1248">
        <v>1.49487504053251E-2</v>
      </c>
      <c r="J417" s="1278">
        <v>8.3323113210231501E-4</v>
      </c>
      <c r="K417" s="1248">
        <v>3.0000008613163699E-3</v>
      </c>
      <c r="L417" s="1250">
        <v>2.00000057425412E-3</v>
      </c>
      <c r="M417" s="1273">
        <v>2.00000057425412E-3</v>
      </c>
      <c r="N417" s="1248">
        <v>3.1850009128239903E-2</v>
      </c>
      <c r="O417" s="1249">
        <v>3.1850009128239903E-2</v>
      </c>
      <c r="P417" s="1251">
        <v>1.5925004564119952E-2</v>
      </c>
      <c r="Q417" s="1252">
        <v>1.56246665645564E-2</v>
      </c>
    </row>
    <row r="418" spans="1:17" s="212" customFormat="1" ht="15.5" x14ac:dyDescent="0.35">
      <c r="A418" s="198">
        <v>2022</v>
      </c>
      <c r="B418" s="197" t="s">
        <v>5842</v>
      </c>
      <c r="C418" s="197">
        <v>2016</v>
      </c>
      <c r="D418" s="213" t="str">
        <f t="shared" si="5"/>
        <v>2022_2016</v>
      </c>
      <c r="E418" s="1267">
        <v>7.51944144440157E-2</v>
      </c>
      <c r="F418" s="1278">
        <v>4.6593782850320601E-3</v>
      </c>
      <c r="G418" s="1248">
        <v>0.51849873150217896</v>
      </c>
      <c r="H418" s="1278">
        <v>3.3630381500723998E-2</v>
      </c>
      <c r="I418" s="1248">
        <v>1.3813820553862601E-2</v>
      </c>
      <c r="J418" s="1278">
        <v>9.5843656535883604E-4</v>
      </c>
      <c r="K418" s="1248">
        <v>3.0000008613330301E-3</v>
      </c>
      <c r="L418" s="1250">
        <v>2.0000005742346E-3</v>
      </c>
      <c r="M418" s="1273">
        <v>2.0000005742346E-3</v>
      </c>
      <c r="N418" s="1248">
        <v>3.1850009128239903E-2</v>
      </c>
      <c r="O418" s="1249">
        <v>3.1850009128239903E-2</v>
      </c>
      <c r="P418" s="1251">
        <v>1.5925004564119952E-2</v>
      </c>
      <c r="Q418" s="1252">
        <v>1.44384202213874E-2</v>
      </c>
    </row>
    <row r="419" spans="1:17" s="212" customFormat="1" ht="15.5" x14ac:dyDescent="0.35">
      <c r="A419" s="198">
        <v>2022</v>
      </c>
      <c r="B419" s="197" t="s">
        <v>5842</v>
      </c>
      <c r="C419" s="197">
        <v>2017</v>
      </c>
      <c r="D419" s="213" t="str">
        <f t="shared" si="5"/>
        <v>2022_2017</v>
      </c>
      <c r="E419" s="1267">
        <v>7.2722785925901506E-2</v>
      </c>
      <c r="F419" s="1278">
        <v>4.4962792351476702E-3</v>
      </c>
      <c r="G419" s="1248">
        <v>0.42781240464715198</v>
      </c>
      <c r="H419" s="1278">
        <v>3.1254785064832702E-2</v>
      </c>
      <c r="I419" s="1248">
        <v>1.2492725672646201E-2</v>
      </c>
      <c r="J419" s="1278">
        <v>1.0338971577301601E-3</v>
      </c>
      <c r="K419" s="1248">
        <v>3.00000086127796E-3</v>
      </c>
      <c r="L419" s="1250">
        <v>2.00000057428904E-3</v>
      </c>
      <c r="M419" s="1273">
        <v>2.00000057428904E-3</v>
      </c>
      <c r="N419" s="1248">
        <v>3.1850009128239903E-2</v>
      </c>
      <c r="O419" s="1249">
        <v>3.1850009128239903E-2</v>
      </c>
      <c r="P419" s="1251">
        <v>1.5925004564119952E-2</v>
      </c>
      <c r="Q419" s="1252">
        <v>1.30575912919142E-2</v>
      </c>
    </row>
    <row r="420" spans="1:17" s="212" customFormat="1" ht="15.5" x14ac:dyDescent="0.35">
      <c r="A420" s="198">
        <v>2022</v>
      </c>
      <c r="B420" s="197" t="s">
        <v>5842</v>
      </c>
      <c r="C420" s="197">
        <v>2018</v>
      </c>
      <c r="D420" s="213" t="str">
        <f t="shared" si="5"/>
        <v>2022_2018</v>
      </c>
      <c r="E420" s="1267">
        <v>7.1736136294808697E-2</v>
      </c>
      <c r="F420" s="1278">
        <v>4.1672337445759601E-3</v>
      </c>
      <c r="G420" s="1248">
        <v>0.33861928435395899</v>
      </c>
      <c r="H420" s="1278">
        <v>2.9052810760616901E-2</v>
      </c>
      <c r="I420" s="1248">
        <v>1.1298702500992399E-2</v>
      </c>
      <c r="J420" s="1278">
        <v>1.07540223773933E-3</v>
      </c>
      <c r="K420" s="1248">
        <v>3.0000008613393601E-3</v>
      </c>
      <c r="L420" s="1250">
        <v>2.00000057424058E-3</v>
      </c>
      <c r="M420" s="1273">
        <v>2.00000057424058E-3</v>
      </c>
      <c r="N420" s="1248">
        <v>3.1850009128239903E-2</v>
      </c>
      <c r="O420" s="1249">
        <v>3.1850009128239903E-2</v>
      </c>
      <c r="P420" s="1251">
        <v>1.5925004564119952E-2</v>
      </c>
      <c r="Q420" s="1252">
        <v>1.18095796908374E-2</v>
      </c>
    </row>
    <row r="421" spans="1:17" s="212" customFormat="1" ht="15.5" x14ac:dyDescent="0.35">
      <c r="A421" s="198">
        <v>2022</v>
      </c>
      <c r="B421" s="197" t="s">
        <v>5842</v>
      </c>
      <c r="C421" s="197">
        <v>2019</v>
      </c>
      <c r="D421" s="213" t="str">
        <f t="shared" si="5"/>
        <v>2022_2019</v>
      </c>
      <c r="E421" s="1267">
        <v>7.0078896628872706E-2</v>
      </c>
      <c r="F421" s="1278">
        <v>3.9185202483586097E-3</v>
      </c>
      <c r="G421" s="1248">
        <v>0.27806594812733598</v>
      </c>
      <c r="H421" s="1278">
        <v>2.7973692417895601E-2</v>
      </c>
      <c r="I421" s="1248">
        <v>9.9621247256262892E-3</v>
      </c>
      <c r="J421" s="1278">
        <v>1.0961968782277299E-3</v>
      </c>
      <c r="K421" s="1248">
        <v>3.0000008613866899E-3</v>
      </c>
      <c r="L421" s="1250">
        <v>2.0000005741890202E-3</v>
      </c>
      <c r="M421" s="1273">
        <v>2.0000005741890202E-3</v>
      </c>
      <c r="N421" s="1248">
        <v>3.1850009128239903E-2</v>
      </c>
      <c r="O421" s="1249">
        <v>3.1850009128239903E-2</v>
      </c>
      <c r="P421" s="1251">
        <v>1.5925004564119952E-2</v>
      </c>
      <c r="Q421" s="1252">
        <v>1.0412567799445299E-2</v>
      </c>
    </row>
    <row r="422" spans="1:17" s="212" customFormat="1" ht="15.5" x14ac:dyDescent="0.35">
      <c r="A422" s="198">
        <v>2022</v>
      </c>
      <c r="B422" s="197" t="s">
        <v>5842</v>
      </c>
      <c r="C422" s="197">
        <v>2020</v>
      </c>
      <c r="D422" s="213" t="str">
        <f t="shared" si="5"/>
        <v>2022_2020</v>
      </c>
      <c r="E422" s="1267">
        <v>6.05468407616198E-2</v>
      </c>
      <c r="F422" s="1278">
        <v>3.60205905937808E-3</v>
      </c>
      <c r="G422" s="1248">
        <v>0.20702213079457299</v>
      </c>
      <c r="H422" s="1278">
        <v>2.7827295288026702E-2</v>
      </c>
      <c r="I422" s="1248">
        <v>7.8482565155184592E-3</v>
      </c>
      <c r="J422" s="1278">
        <v>1.0834766944850601E-3</v>
      </c>
      <c r="K422" s="1248">
        <v>3.0000008609591101E-3</v>
      </c>
      <c r="L422" s="1250">
        <v>2.00000057406792E-3</v>
      </c>
      <c r="M422" s="1273">
        <v>2.00000057406792E-3</v>
      </c>
      <c r="N422" s="1248">
        <v>3.1850009128239903E-2</v>
      </c>
      <c r="O422" s="1249">
        <v>3.1850009128239903E-2</v>
      </c>
      <c r="P422" s="1251">
        <v>1.5925004564119952E-2</v>
      </c>
      <c r="Q422" s="1252">
        <v>8.2031198490277006E-3</v>
      </c>
    </row>
    <row r="423" spans="1:17" s="212" customFormat="1" ht="15.5" x14ac:dyDescent="0.35">
      <c r="A423" s="198">
        <v>2022</v>
      </c>
      <c r="B423" s="197" t="s">
        <v>5842</v>
      </c>
      <c r="C423" s="197">
        <v>2021</v>
      </c>
      <c r="D423" s="213" t="str">
        <f t="shared" si="5"/>
        <v>2022_2021</v>
      </c>
      <c r="E423" s="1267">
        <v>5.87778047826144E-2</v>
      </c>
      <c r="F423" s="1278">
        <v>3.3824791722186099E-3</v>
      </c>
      <c r="G423" s="1248">
        <v>0.158299141076227</v>
      </c>
      <c r="H423" s="1278">
        <v>2.6394670939535299E-2</v>
      </c>
      <c r="I423" s="1248">
        <v>6.4840161836902301E-3</v>
      </c>
      <c r="J423" s="1278">
        <v>1.0836582350338801E-3</v>
      </c>
      <c r="K423" s="1248">
        <v>3.00000086096137E-3</v>
      </c>
      <c r="L423" s="1250">
        <v>2.00000057406962E-3</v>
      </c>
      <c r="M423" s="1273">
        <v>2.00000057406962E-3</v>
      </c>
      <c r="N423" s="1248">
        <v>3.1850009128239903E-2</v>
      </c>
      <c r="O423" s="1249">
        <v>3.1850009128239903E-2</v>
      </c>
      <c r="P423" s="1251">
        <v>1.5925004564119952E-2</v>
      </c>
      <c r="Q423" s="1252">
        <v>6.7771946231210203E-3</v>
      </c>
    </row>
    <row r="424" spans="1:17" s="212" customFormat="1" ht="15.5" x14ac:dyDescent="0.35">
      <c r="A424" s="198">
        <v>2022</v>
      </c>
      <c r="B424" s="197" t="s">
        <v>5842</v>
      </c>
      <c r="C424" s="197">
        <v>2022</v>
      </c>
      <c r="D424" s="213" t="str">
        <f t="shared" si="5"/>
        <v>2022_2022</v>
      </c>
      <c r="E424" s="1267">
        <v>5.6927998244556799E-2</v>
      </c>
      <c r="F424" s="1278">
        <v>2.7287197293791201E-3</v>
      </c>
      <c r="G424" s="1248">
        <v>0.113552245165813</v>
      </c>
      <c r="H424" s="1278">
        <v>2.07972233839466E-2</v>
      </c>
      <c r="I424" s="1248">
        <v>5.0590318476148701E-3</v>
      </c>
      <c r="J424" s="1278">
        <v>1.08383198738719E-3</v>
      </c>
      <c r="K424" s="1248">
        <v>3.0000008609635501E-3</v>
      </c>
      <c r="L424" s="1250">
        <v>2.0000005740712602E-3</v>
      </c>
      <c r="M424" s="1273">
        <v>2.0000005740712602E-3</v>
      </c>
      <c r="N424" s="1248">
        <v>3.1850009128239903E-2</v>
      </c>
      <c r="O424" s="1249">
        <v>3.1850009128239903E-2</v>
      </c>
      <c r="P424" s="1251">
        <v>1.5925004564119952E-2</v>
      </c>
      <c r="Q424" s="1252">
        <v>5.2877788186426701E-3</v>
      </c>
    </row>
    <row r="425" spans="1:17" s="212" customFormat="1" ht="15.5" x14ac:dyDescent="0.35">
      <c r="A425" s="198">
        <v>2022</v>
      </c>
      <c r="B425" s="197" t="s">
        <v>5842</v>
      </c>
      <c r="C425" s="197">
        <v>2023</v>
      </c>
      <c r="D425" s="213" t="str">
        <f t="shared" si="5"/>
        <v>2022_2023</v>
      </c>
      <c r="E425" s="1268">
        <v>5.6927998244556799E-2</v>
      </c>
      <c r="F425" s="1279">
        <v>2.7287197293791201E-3</v>
      </c>
      <c r="G425" s="1255">
        <v>0.113552245165813</v>
      </c>
      <c r="H425" s="1279">
        <v>2.07972233839466E-2</v>
      </c>
      <c r="I425" s="1255">
        <v>5.0590318476148701E-3</v>
      </c>
      <c r="J425" s="1279">
        <v>1.08383198738719E-3</v>
      </c>
      <c r="K425" s="1255">
        <v>3.0000008609635501E-3</v>
      </c>
      <c r="L425" s="1253">
        <v>2.0000005740712602E-3</v>
      </c>
      <c r="M425" s="1273">
        <v>2.0000005740712602E-3</v>
      </c>
      <c r="N425" s="1255">
        <v>3.1850009128239903E-2</v>
      </c>
      <c r="O425" s="1256">
        <v>3.1850009128239903E-2</v>
      </c>
      <c r="P425" s="1251">
        <v>1.5925004564119952E-2</v>
      </c>
      <c r="Q425" s="1254">
        <v>5.2877788186426701E-3</v>
      </c>
    </row>
    <row r="426" spans="1:17" s="212" customFormat="1" ht="15.5" x14ac:dyDescent="0.35">
      <c r="A426" s="198">
        <v>2023</v>
      </c>
      <c r="B426" s="197" t="s">
        <v>5842</v>
      </c>
      <c r="C426" s="197">
        <v>1971</v>
      </c>
      <c r="D426" s="213" t="str">
        <f t="shared" si="5"/>
        <v>2023_1971</v>
      </c>
      <c r="E426" s="1268">
        <v>0.228156536315196</v>
      </c>
      <c r="F426" s="1279">
        <v>2.5118829541298902</v>
      </c>
      <c r="G426" s="1255">
        <v>5.1738672676792001</v>
      </c>
      <c r="H426" s="1279">
        <v>4.2896113721706204</v>
      </c>
      <c r="I426" s="1255">
        <v>0.17196953657894601</v>
      </c>
      <c r="J426" s="1279">
        <v>1.52470432109552E-2</v>
      </c>
      <c r="K426" s="1255">
        <v>3.0000008615764899E-3</v>
      </c>
      <c r="L426" s="1253">
        <v>2.0000005737995899E-3</v>
      </c>
      <c r="M426" s="1273">
        <v>2.0000005737995899E-3</v>
      </c>
      <c r="N426" s="1255">
        <v>3.1850009128239903E-2</v>
      </c>
      <c r="O426" s="1256">
        <v>3.1850009128239903E-2</v>
      </c>
      <c r="P426" s="1251">
        <v>1.5925004564119952E-2</v>
      </c>
      <c r="Q426" s="1254">
        <v>0.17974523591952901</v>
      </c>
    </row>
    <row r="427" spans="1:17" s="212" customFormat="1" ht="15.5" x14ac:dyDescent="0.35">
      <c r="A427" s="198">
        <v>2023</v>
      </c>
      <c r="B427" s="197" t="s">
        <v>5842</v>
      </c>
      <c r="C427" s="197">
        <v>1972</v>
      </c>
      <c r="D427" s="213" t="str">
        <f t="shared" si="5"/>
        <v>2023_1972</v>
      </c>
      <c r="E427" s="1268">
        <v>0.228156536315196</v>
      </c>
      <c r="F427" s="1279">
        <v>2.5118829541298902</v>
      </c>
      <c r="G427" s="1255">
        <v>5.1738672676792001</v>
      </c>
      <c r="H427" s="1279">
        <v>4.2896113721706204</v>
      </c>
      <c r="I427" s="1255">
        <v>0.17196953657894601</v>
      </c>
      <c r="J427" s="1279">
        <v>1.52470432109552E-2</v>
      </c>
      <c r="K427" s="1255">
        <v>3.0000008615764899E-3</v>
      </c>
      <c r="L427" s="1253">
        <v>2.0000005737995899E-3</v>
      </c>
      <c r="M427" s="1273">
        <v>2.0000005737995899E-3</v>
      </c>
      <c r="N427" s="1255">
        <v>3.1850009128239903E-2</v>
      </c>
      <c r="O427" s="1256">
        <v>3.1850009128239903E-2</v>
      </c>
      <c r="P427" s="1251">
        <v>1.5925004564119952E-2</v>
      </c>
      <c r="Q427" s="1254">
        <v>0.17974523591952901</v>
      </c>
    </row>
    <row r="428" spans="1:17" s="212" customFormat="1" ht="15.5" x14ac:dyDescent="0.35">
      <c r="A428" s="198">
        <v>2023</v>
      </c>
      <c r="B428" s="197" t="s">
        <v>5842</v>
      </c>
      <c r="C428" s="197">
        <v>1973</v>
      </c>
      <c r="D428" s="213" t="str">
        <f t="shared" si="5"/>
        <v>2023_1973</v>
      </c>
      <c r="E428" s="1268">
        <v>0.228156536315196</v>
      </c>
      <c r="F428" s="1279">
        <v>2.5118829541298902</v>
      </c>
      <c r="G428" s="1255">
        <v>5.1738672676792001</v>
      </c>
      <c r="H428" s="1279">
        <v>4.2896113721706204</v>
      </c>
      <c r="I428" s="1255">
        <v>0.17196953657894601</v>
      </c>
      <c r="J428" s="1279">
        <v>1.52470432109552E-2</v>
      </c>
      <c r="K428" s="1255">
        <v>3.0000008615764899E-3</v>
      </c>
      <c r="L428" s="1253">
        <v>2.0000005737995899E-3</v>
      </c>
      <c r="M428" s="1273">
        <v>2.0000005737995899E-3</v>
      </c>
      <c r="N428" s="1255">
        <v>3.1850009128239903E-2</v>
      </c>
      <c r="O428" s="1256">
        <v>3.1850009128239903E-2</v>
      </c>
      <c r="P428" s="1251">
        <v>1.5925004564119952E-2</v>
      </c>
      <c r="Q428" s="1254">
        <v>0.17974523591952901</v>
      </c>
    </row>
    <row r="429" spans="1:17" s="212" customFormat="1" ht="15.5" x14ac:dyDescent="0.35">
      <c r="A429" s="198">
        <v>2023</v>
      </c>
      <c r="B429" s="197" t="s">
        <v>5842</v>
      </c>
      <c r="C429" s="197">
        <v>1974</v>
      </c>
      <c r="D429" s="213" t="str">
        <f t="shared" si="5"/>
        <v>2023_1974</v>
      </c>
      <c r="E429" s="1268">
        <v>0.228156536315196</v>
      </c>
      <c r="F429" s="1279">
        <v>2.5118829541298902</v>
      </c>
      <c r="G429" s="1255">
        <v>5.1738672676792001</v>
      </c>
      <c r="H429" s="1279">
        <v>4.2896113721706204</v>
      </c>
      <c r="I429" s="1255">
        <v>0.17196953657894601</v>
      </c>
      <c r="J429" s="1279">
        <v>1.52470432109552E-2</v>
      </c>
      <c r="K429" s="1255">
        <v>3.0000008615764899E-3</v>
      </c>
      <c r="L429" s="1253">
        <v>2.0000005737995899E-3</v>
      </c>
      <c r="M429" s="1273">
        <v>2.0000005737995899E-3</v>
      </c>
      <c r="N429" s="1255">
        <v>3.1850009128239903E-2</v>
      </c>
      <c r="O429" s="1256">
        <v>3.1850009128239903E-2</v>
      </c>
      <c r="P429" s="1251">
        <v>1.5925004564119952E-2</v>
      </c>
      <c r="Q429" s="1254">
        <v>0.17974523591952901</v>
      </c>
    </row>
    <row r="430" spans="1:17" s="212" customFormat="1" ht="15.5" x14ac:dyDescent="0.35">
      <c r="A430" s="198">
        <v>2023</v>
      </c>
      <c r="B430" s="197" t="s">
        <v>5842</v>
      </c>
      <c r="C430" s="197">
        <v>1975</v>
      </c>
      <c r="D430" s="213" t="str">
        <f t="shared" si="5"/>
        <v>2023_1975</v>
      </c>
      <c r="E430" s="1268">
        <v>0.228156536315196</v>
      </c>
      <c r="F430" s="1279">
        <v>2.5118829541298902</v>
      </c>
      <c r="G430" s="1255">
        <v>5.1738672676792001</v>
      </c>
      <c r="H430" s="1279">
        <v>4.2896113721706204</v>
      </c>
      <c r="I430" s="1255">
        <v>0.17196953657894601</v>
      </c>
      <c r="J430" s="1279">
        <v>1.52470432109552E-2</v>
      </c>
      <c r="K430" s="1255">
        <v>3.0000008615764899E-3</v>
      </c>
      <c r="L430" s="1253">
        <v>2.0000005737995899E-3</v>
      </c>
      <c r="M430" s="1273">
        <v>2.0000005737995899E-3</v>
      </c>
      <c r="N430" s="1255">
        <v>3.1850009128239903E-2</v>
      </c>
      <c r="O430" s="1256">
        <v>3.1850009128239903E-2</v>
      </c>
      <c r="P430" s="1251">
        <v>1.5925004564119952E-2</v>
      </c>
      <c r="Q430" s="1254">
        <v>0.17974523591952901</v>
      </c>
    </row>
    <row r="431" spans="1:17" s="212" customFormat="1" ht="15.5" x14ac:dyDescent="0.35">
      <c r="A431" s="198">
        <v>2023</v>
      </c>
      <c r="B431" s="197" t="s">
        <v>5842</v>
      </c>
      <c r="C431" s="197">
        <v>1976</v>
      </c>
      <c r="D431" s="213" t="str">
        <f t="shared" si="5"/>
        <v>2023_1976</v>
      </c>
      <c r="E431" s="1268">
        <v>0.228156536315196</v>
      </c>
      <c r="F431" s="1279">
        <v>2.5118829541298902</v>
      </c>
      <c r="G431" s="1255">
        <v>5.1738672676792001</v>
      </c>
      <c r="H431" s="1279">
        <v>4.2896113721706204</v>
      </c>
      <c r="I431" s="1255">
        <v>0.17196953657894601</v>
      </c>
      <c r="J431" s="1279">
        <v>1.52470432109552E-2</v>
      </c>
      <c r="K431" s="1255">
        <v>3.0000008615764899E-3</v>
      </c>
      <c r="L431" s="1253">
        <v>2.0000005737995899E-3</v>
      </c>
      <c r="M431" s="1273">
        <v>2.0000005737995899E-3</v>
      </c>
      <c r="N431" s="1255">
        <v>3.1850009128239903E-2</v>
      </c>
      <c r="O431" s="1256">
        <v>3.1850009128239903E-2</v>
      </c>
      <c r="P431" s="1251">
        <v>1.5925004564119952E-2</v>
      </c>
      <c r="Q431" s="1254">
        <v>0.17974523591952901</v>
      </c>
    </row>
    <row r="432" spans="1:17" s="212" customFormat="1" ht="15.5" x14ac:dyDescent="0.35">
      <c r="A432" s="198">
        <v>2023</v>
      </c>
      <c r="B432" s="197" t="s">
        <v>5842</v>
      </c>
      <c r="C432" s="197">
        <v>1977</v>
      </c>
      <c r="D432" s="213" t="str">
        <f t="shared" si="5"/>
        <v>2023_1977</v>
      </c>
      <c r="E432" s="1268">
        <v>0.228156536315196</v>
      </c>
      <c r="F432" s="1279">
        <v>2.5118829541298902</v>
      </c>
      <c r="G432" s="1255">
        <v>5.1738672676792001</v>
      </c>
      <c r="H432" s="1279">
        <v>4.2896113721706204</v>
      </c>
      <c r="I432" s="1255">
        <v>0.17196953657894601</v>
      </c>
      <c r="J432" s="1279">
        <v>1.52470432109552E-2</v>
      </c>
      <c r="K432" s="1255">
        <v>3.0000008615764899E-3</v>
      </c>
      <c r="L432" s="1253">
        <v>2.0000005737995899E-3</v>
      </c>
      <c r="M432" s="1273">
        <v>2.0000005737995899E-3</v>
      </c>
      <c r="N432" s="1255">
        <v>3.1850009128239903E-2</v>
      </c>
      <c r="O432" s="1256">
        <v>3.1850009128239903E-2</v>
      </c>
      <c r="P432" s="1251">
        <v>1.5925004564119952E-2</v>
      </c>
      <c r="Q432" s="1254">
        <v>0.17974523591952901</v>
      </c>
    </row>
    <row r="433" spans="1:17" s="212" customFormat="1" ht="15.5" x14ac:dyDescent="0.35">
      <c r="A433" s="198">
        <v>2023</v>
      </c>
      <c r="B433" s="197" t="s">
        <v>5842</v>
      </c>
      <c r="C433" s="197">
        <v>1978</v>
      </c>
      <c r="D433" s="213" t="str">
        <f t="shared" si="5"/>
        <v>2023_1978</v>
      </c>
      <c r="E433" s="1268">
        <v>0.228156536315196</v>
      </c>
      <c r="F433" s="1279">
        <v>2.5118829541298902</v>
      </c>
      <c r="G433" s="1255">
        <v>5.1738672676792001</v>
      </c>
      <c r="H433" s="1279">
        <v>4.2896113721706204</v>
      </c>
      <c r="I433" s="1255">
        <v>0.17196953657894601</v>
      </c>
      <c r="J433" s="1279">
        <v>1.52470432109552E-2</v>
      </c>
      <c r="K433" s="1255">
        <v>3.0000008615764899E-3</v>
      </c>
      <c r="L433" s="1253">
        <v>2.0000005737995899E-3</v>
      </c>
      <c r="M433" s="1273">
        <v>2.0000005737995899E-3</v>
      </c>
      <c r="N433" s="1255">
        <v>3.1850009128239903E-2</v>
      </c>
      <c r="O433" s="1256">
        <v>3.1850009128239903E-2</v>
      </c>
      <c r="P433" s="1251">
        <v>1.5925004564119952E-2</v>
      </c>
      <c r="Q433" s="1254">
        <v>0.17974523591952901</v>
      </c>
    </row>
    <row r="434" spans="1:17" s="212" customFormat="1" ht="15.5" x14ac:dyDescent="0.35">
      <c r="A434" s="198">
        <v>2023</v>
      </c>
      <c r="B434" s="197" t="s">
        <v>5842</v>
      </c>
      <c r="C434" s="197">
        <v>1979</v>
      </c>
      <c r="D434" s="213" t="str">
        <f t="shared" si="5"/>
        <v>2023_1979</v>
      </c>
      <c r="E434" s="1268">
        <v>0.228156536315196</v>
      </c>
      <c r="F434" s="1278">
        <v>2.5118829541298902</v>
      </c>
      <c r="G434" s="1255">
        <v>5.1738672676792001</v>
      </c>
      <c r="H434" s="1278">
        <v>4.2896113721706204</v>
      </c>
      <c r="I434" s="1255">
        <v>0.17196953657894601</v>
      </c>
      <c r="J434" s="1278">
        <v>1.52470432109552E-2</v>
      </c>
      <c r="K434" s="1255">
        <v>3.0000008615764899E-3</v>
      </c>
      <c r="L434" s="1250">
        <v>2.0000005737995899E-3</v>
      </c>
      <c r="M434" s="1273">
        <v>2.0000005737995899E-3</v>
      </c>
      <c r="N434" s="1255">
        <v>3.1850009128239903E-2</v>
      </c>
      <c r="O434" s="1249">
        <v>3.1850009128239903E-2</v>
      </c>
      <c r="P434" s="1251">
        <v>1.5925004564119952E-2</v>
      </c>
      <c r="Q434" s="1254">
        <v>0.17974523591952901</v>
      </c>
    </row>
    <row r="435" spans="1:17" s="212" customFormat="1" ht="15.5" x14ac:dyDescent="0.35">
      <c r="A435" s="198">
        <v>2023</v>
      </c>
      <c r="B435" s="197" t="s">
        <v>5842</v>
      </c>
      <c r="C435" s="197">
        <v>1980</v>
      </c>
      <c r="D435" s="213" t="str">
        <f t="shared" si="5"/>
        <v>2023_1980</v>
      </c>
      <c r="E435" s="1268">
        <v>0.228156536315196</v>
      </c>
      <c r="F435" s="1278">
        <v>2.7923821171227199</v>
      </c>
      <c r="G435" s="1255">
        <v>5.1738672676792001</v>
      </c>
      <c r="H435" s="1278">
        <v>3.62606351373068</v>
      </c>
      <c r="I435" s="1255">
        <v>0.17196953657894601</v>
      </c>
      <c r="J435" s="1278">
        <v>1.6832669698928299E-2</v>
      </c>
      <c r="K435" s="1255">
        <v>3.0000008615764899E-3</v>
      </c>
      <c r="L435" s="1250">
        <v>2.0000005748083802E-3</v>
      </c>
      <c r="M435" s="1273">
        <v>2.0000005748083802E-3</v>
      </c>
      <c r="N435" s="1255">
        <v>3.1850009128239903E-2</v>
      </c>
      <c r="O435" s="1249">
        <v>3.1850009128239903E-2</v>
      </c>
      <c r="P435" s="1251">
        <v>1.5925004564119952E-2</v>
      </c>
      <c r="Q435" s="1254">
        <v>0.17974523591952901</v>
      </c>
    </row>
    <row r="436" spans="1:17" s="212" customFormat="1" ht="15.5" x14ac:dyDescent="0.35">
      <c r="A436" s="198">
        <v>2023</v>
      </c>
      <c r="B436" s="197" t="s">
        <v>5842</v>
      </c>
      <c r="C436" s="197">
        <v>1981</v>
      </c>
      <c r="D436" s="213" t="str">
        <f t="shared" si="5"/>
        <v>2023_1981</v>
      </c>
      <c r="E436" s="1268">
        <v>0.228156536315196</v>
      </c>
      <c r="F436" s="1278">
        <v>2.6324280685658801</v>
      </c>
      <c r="G436" s="1255">
        <v>5.1738672676792001</v>
      </c>
      <c r="H436" s="1278">
        <v>4.2863688694488697</v>
      </c>
      <c r="I436" s="1255">
        <v>0.17196953657894601</v>
      </c>
      <c r="J436" s="1278">
        <v>1.5320639079571E-2</v>
      </c>
      <c r="K436" s="1255">
        <v>3.0000008615764899E-3</v>
      </c>
      <c r="L436" s="1250">
        <v>2.0000005741623601E-3</v>
      </c>
      <c r="M436" s="1273">
        <v>2.0000005741623601E-3</v>
      </c>
      <c r="N436" s="1255">
        <v>3.1850009128239903E-2</v>
      </c>
      <c r="O436" s="1249">
        <v>3.1850009128239903E-2</v>
      </c>
      <c r="P436" s="1251">
        <v>1.5925004564119952E-2</v>
      </c>
      <c r="Q436" s="1254">
        <v>0.17974523591952901</v>
      </c>
    </row>
    <row r="437" spans="1:17" s="212" customFormat="1" ht="15.5" x14ac:dyDescent="0.35">
      <c r="A437" s="198">
        <v>2023</v>
      </c>
      <c r="B437" s="197" t="s">
        <v>5842</v>
      </c>
      <c r="C437" s="197">
        <v>1982</v>
      </c>
      <c r="D437" s="213" t="str">
        <f t="shared" si="5"/>
        <v>2023_1982</v>
      </c>
      <c r="E437" s="1267">
        <v>0.228156536315196</v>
      </c>
      <c r="F437" s="1278">
        <v>2.5502742595403398</v>
      </c>
      <c r="G437" s="1248">
        <v>5.1738672676792001</v>
      </c>
      <c r="H437" s="1278">
        <v>3.94023606650972</v>
      </c>
      <c r="I437" s="1248">
        <v>0.17196953657894601</v>
      </c>
      <c r="J437" s="1278">
        <v>1.50198746470481E-2</v>
      </c>
      <c r="K437" s="1248">
        <v>3.0000008615764899E-3</v>
      </c>
      <c r="L437" s="1250">
        <v>2.00000057401913E-3</v>
      </c>
      <c r="M437" s="1273">
        <v>2.00000057401913E-3</v>
      </c>
      <c r="N437" s="1248">
        <v>3.1850009128239903E-2</v>
      </c>
      <c r="O437" s="1249">
        <v>3.1850009128239903E-2</v>
      </c>
      <c r="P437" s="1251">
        <v>1.5925004564119952E-2</v>
      </c>
      <c r="Q437" s="1252">
        <v>0.17974523591952901</v>
      </c>
    </row>
    <row r="438" spans="1:17" s="212" customFormat="1" ht="15.5" x14ac:dyDescent="0.35">
      <c r="A438" s="198">
        <v>2023</v>
      </c>
      <c r="B438" s="197" t="s">
        <v>5842</v>
      </c>
      <c r="C438" s="197">
        <v>1983</v>
      </c>
      <c r="D438" s="213" t="str">
        <f t="shared" si="5"/>
        <v>2023_1983</v>
      </c>
      <c r="E438" s="1267">
        <v>0.22457390558146101</v>
      </c>
      <c r="F438" s="1278">
        <v>2.5018274544063099</v>
      </c>
      <c r="G438" s="1248">
        <v>5.2311830614730797</v>
      </c>
      <c r="H438" s="1278">
        <v>4.4249182728331604</v>
      </c>
      <c r="I438" s="1248">
        <v>0.169269182878963</v>
      </c>
      <c r="J438" s="1278">
        <v>1.6424305090371401E-2</v>
      </c>
      <c r="K438" s="1248">
        <v>3.0000008610256801E-3</v>
      </c>
      <c r="L438" s="1250">
        <v>2.0000005744423401E-3</v>
      </c>
      <c r="M438" s="1273">
        <v>2.0000005744423401E-3</v>
      </c>
      <c r="N438" s="1248">
        <v>3.1850009128239903E-2</v>
      </c>
      <c r="O438" s="1249">
        <v>3.1850009128239903E-2</v>
      </c>
      <c r="P438" s="1251">
        <v>1.5925004564119952E-2</v>
      </c>
      <c r="Q438" s="1252">
        <v>0.17692278420787599</v>
      </c>
    </row>
    <row r="439" spans="1:17" s="212" customFormat="1" ht="15.5" x14ac:dyDescent="0.35">
      <c r="A439" s="198">
        <v>2023</v>
      </c>
      <c r="B439" s="197" t="s">
        <v>5842</v>
      </c>
      <c r="C439" s="197">
        <v>1984</v>
      </c>
      <c r="D439" s="213" t="str">
        <f t="shared" si="5"/>
        <v>2023_1984</v>
      </c>
      <c r="E439" s="1267">
        <v>0.23393983520556699</v>
      </c>
      <c r="F439" s="1278">
        <v>1.6924246347813501</v>
      </c>
      <c r="G439" s="1248">
        <v>5.09805844683203</v>
      </c>
      <c r="H439" s="1278">
        <v>3.6140463428801701</v>
      </c>
      <c r="I439" s="1248">
        <v>0.17632861059951599</v>
      </c>
      <c r="J439" s="1278">
        <v>1.5931441892426301E-2</v>
      </c>
      <c r="K439" s="1248">
        <v>3.00000086152494E-3</v>
      </c>
      <c r="L439" s="1250">
        <v>2.0000005742954099E-3</v>
      </c>
      <c r="M439" s="1273">
        <v>2.0000005742954099E-3</v>
      </c>
      <c r="N439" s="1248">
        <v>3.1850009128239903E-2</v>
      </c>
      <c r="O439" s="1249">
        <v>3.1850009128239903E-2</v>
      </c>
      <c r="P439" s="1251">
        <v>1.5925004564119952E-2</v>
      </c>
      <c r="Q439" s="1252">
        <v>0.18430140792420499</v>
      </c>
    </row>
    <row r="440" spans="1:17" s="212" customFormat="1" ht="15.5" x14ac:dyDescent="0.35">
      <c r="A440" s="198">
        <v>2023</v>
      </c>
      <c r="B440" s="197" t="s">
        <v>5842</v>
      </c>
      <c r="C440" s="197">
        <v>1985</v>
      </c>
      <c r="D440" s="213" t="str">
        <f t="shared" si="5"/>
        <v>2023_1985</v>
      </c>
      <c r="E440" s="1267">
        <v>0.23436135706966699</v>
      </c>
      <c r="F440" s="1278">
        <v>2.0427982310727701</v>
      </c>
      <c r="G440" s="1248">
        <v>5.0805493612007098</v>
      </c>
      <c r="H440" s="1278">
        <v>3.9640222230009798</v>
      </c>
      <c r="I440" s="1248">
        <v>0.17664632632573499</v>
      </c>
      <c r="J440" s="1278">
        <v>1.5440666172104701E-2</v>
      </c>
      <c r="K440" s="1248">
        <v>3.0000008615129101E-3</v>
      </c>
      <c r="L440" s="1250">
        <v>2.00000057411619E-3</v>
      </c>
      <c r="M440" s="1273">
        <v>2.00000057411619E-3</v>
      </c>
      <c r="N440" s="1248">
        <v>3.1850009128239903E-2</v>
      </c>
      <c r="O440" s="1249">
        <v>3.1850009128239903E-2</v>
      </c>
      <c r="P440" s="1251">
        <v>1.5925004564119952E-2</v>
      </c>
      <c r="Q440" s="1252">
        <v>0.18463348934572099</v>
      </c>
    </row>
    <row r="441" spans="1:17" s="212" customFormat="1" ht="15.5" x14ac:dyDescent="0.35">
      <c r="A441" s="198">
        <v>2023</v>
      </c>
      <c r="B441" s="197" t="s">
        <v>5842</v>
      </c>
      <c r="C441" s="197">
        <v>1986</v>
      </c>
      <c r="D441" s="213" t="str">
        <f t="shared" si="5"/>
        <v>2023_1986</v>
      </c>
      <c r="E441" s="1267">
        <v>0.22708190979681001</v>
      </c>
      <c r="F441" s="1278">
        <v>1.6045376940627301</v>
      </c>
      <c r="G441" s="1248">
        <v>5.1922278393082104</v>
      </c>
      <c r="H441" s="1278">
        <v>4.3009277094301499</v>
      </c>
      <c r="I441" s="1248">
        <v>0.171159553102922</v>
      </c>
      <c r="J441" s="1278">
        <v>1.5348867589241101E-2</v>
      </c>
      <c r="K441" s="1248">
        <v>3.0000008612320402E-3</v>
      </c>
      <c r="L441" s="1250">
        <v>2.0000005740687401E-3</v>
      </c>
      <c r="M441" s="1273">
        <v>2.0000005740687401E-3</v>
      </c>
      <c r="N441" s="1248">
        <v>3.1850009128239903E-2</v>
      </c>
      <c r="O441" s="1249">
        <v>3.1850009128239903E-2</v>
      </c>
      <c r="P441" s="1251">
        <v>1.5925004564119952E-2</v>
      </c>
      <c r="Q441" s="1252">
        <v>0.17889862858496799</v>
      </c>
    </row>
    <row r="442" spans="1:17" s="212" customFormat="1" ht="15.5" x14ac:dyDescent="0.35">
      <c r="A442" s="198">
        <v>2023</v>
      </c>
      <c r="B442" s="197" t="s">
        <v>5842</v>
      </c>
      <c r="C442" s="197">
        <v>1987</v>
      </c>
      <c r="D442" s="213" t="str">
        <f t="shared" si="5"/>
        <v>2023_1987</v>
      </c>
      <c r="E442" s="1267">
        <v>0.282700201035822</v>
      </c>
      <c r="F442" s="1278">
        <v>2.0031263645769699</v>
      </c>
      <c r="G442" s="1248">
        <v>5.3310034370520398</v>
      </c>
      <c r="H442" s="1278">
        <v>4.49524498046011</v>
      </c>
      <c r="I442" s="1248">
        <v>0.19252944850954401</v>
      </c>
      <c r="J442" s="1278">
        <v>1.52867560555296E-2</v>
      </c>
      <c r="K442" s="1248">
        <v>3.0000008611981602E-3</v>
      </c>
      <c r="L442" s="1250">
        <v>2.0000005741545E-3</v>
      </c>
      <c r="M442" s="1273">
        <v>2.0000005741545E-3</v>
      </c>
      <c r="N442" s="1248">
        <v>3.1850009128239903E-2</v>
      </c>
      <c r="O442" s="1249">
        <v>3.1850009128239903E-2</v>
      </c>
      <c r="P442" s="1251">
        <v>1.5925004564119952E-2</v>
      </c>
      <c r="Q442" s="1252">
        <v>0.20123477583437099</v>
      </c>
    </row>
    <row r="443" spans="1:17" s="212" customFormat="1" ht="15.5" x14ac:dyDescent="0.35">
      <c r="A443" s="198">
        <v>2023</v>
      </c>
      <c r="B443" s="197" t="s">
        <v>5842</v>
      </c>
      <c r="C443" s="197">
        <v>1988</v>
      </c>
      <c r="D443" s="213" t="str">
        <f t="shared" si="5"/>
        <v>2023_1988</v>
      </c>
      <c r="E443" s="1267">
        <v>0.27790663254113002</v>
      </c>
      <c r="F443" s="1278">
        <v>0.48351719849345598</v>
      </c>
      <c r="G443" s="1248">
        <v>5.3700373242308999</v>
      </c>
      <c r="H443" s="1278">
        <v>1.2144123900174799</v>
      </c>
      <c r="I443" s="1248">
        <v>0.18926484843039901</v>
      </c>
      <c r="J443" s="1278">
        <v>1.3721078327185899E-2</v>
      </c>
      <c r="K443" s="1248">
        <v>3.00000086102281E-3</v>
      </c>
      <c r="L443" s="1250">
        <v>2.0000005741433601E-3</v>
      </c>
      <c r="M443" s="1273">
        <v>2.0000005741433601E-3</v>
      </c>
      <c r="N443" s="1248">
        <v>3.1850009128239903E-2</v>
      </c>
      <c r="O443" s="1249">
        <v>3.1850009128239903E-2</v>
      </c>
      <c r="P443" s="1251">
        <v>1.5925004564119952E-2</v>
      </c>
      <c r="Q443" s="1252">
        <v>0.19782256502609599</v>
      </c>
    </row>
    <row r="444" spans="1:17" s="212" customFormat="1" ht="15.5" x14ac:dyDescent="0.35">
      <c r="A444" s="198">
        <v>2023</v>
      </c>
      <c r="B444" s="197" t="s">
        <v>5842</v>
      </c>
      <c r="C444" s="197">
        <v>1989</v>
      </c>
      <c r="D444" s="213" t="str">
        <f t="shared" si="5"/>
        <v>2023_1989</v>
      </c>
      <c r="E444" s="1267">
        <v>0.27930320105481998</v>
      </c>
      <c r="F444" s="1278">
        <v>0.32694738806650397</v>
      </c>
      <c r="G444" s="1248">
        <v>5.3698843551105604</v>
      </c>
      <c r="H444" s="1278">
        <v>1.6410603503998999</v>
      </c>
      <c r="I444" s="1248">
        <v>0.19021596401065499</v>
      </c>
      <c r="J444" s="1278">
        <v>1.3384418928307801E-2</v>
      </c>
      <c r="K444" s="1248">
        <v>3.0000008611421299E-3</v>
      </c>
      <c r="L444" s="1250">
        <v>2.0000005740643599E-3</v>
      </c>
      <c r="M444" s="1273">
        <v>2.0000005740643599E-3</v>
      </c>
      <c r="N444" s="1248">
        <v>3.1850009128239903E-2</v>
      </c>
      <c r="O444" s="1249">
        <v>3.1850009128239903E-2</v>
      </c>
      <c r="P444" s="1251">
        <v>1.5925004564119952E-2</v>
      </c>
      <c r="Q444" s="1252">
        <v>0.19881668583237799</v>
      </c>
    </row>
    <row r="445" spans="1:17" s="212" customFormat="1" ht="15.5" x14ac:dyDescent="0.35">
      <c r="A445" s="198">
        <v>2023</v>
      </c>
      <c r="B445" s="197" t="s">
        <v>5842</v>
      </c>
      <c r="C445" s="197">
        <v>1990</v>
      </c>
      <c r="D445" s="213" t="str">
        <f t="shared" si="5"/>
        <v>2023_1990</v>
      </c>
      <c r="E445" s="1267">
        <v>0.28006335210972599</v>
      </c>
      <c r="F445" s="1278">
        <v>0.44623741651916599</v>
      </c>
      <c r="G445" s="1248">
        <v>5.36342785907103</v>
      </c>
      <c r="H445" s="1278">
        <v>1.6614261331656599</v>
      </c>
      <c r="I445" s="1248">
        <v>0.19073365541253101</v>
      </c>
      <c r="J445" s="1278">
        <v>1.3957124409666099E-2</v>
      </c>
      <c r="K445" s="1248">
        <v>3.0000008611274901E-3</v>
      </c>
      <c r="L445" s="1250">
        <v>2.0000005742033902E-3</v>
      </c>
      <c r="M445" s="1273">
        <v>2.0000005742033902E-3</v>
      </c>
      <c r="N445" s="1248">
        <v>3.1850009128239903E-2</v>
      </c>
      <c r="O445" s="1249">
        <v>3.1850009128239903E-2</v>
      </c>
      <c r="P445" s="1251">
        <v>1.5925004564119952E-2</v>
      </c>
      <c r="Q445" s="1252">
        <v>0.199357784942225</v>
      </c>
    </row>
    <row r="446" spans="1:17" s="212" customFormat="1" ht="15.5" x14ac:dyDescent="0.35">
      <c r="A446" s="198">
        <v>2023</v>
      </c>
      <c r="B446" s="197" t="s">
        <v>5842</v>
      </c>
      <c r="C446" s="197">
        <v>1991</v>
      </c>
      <c r="D446" s="213" t="str">
        <f t="shared" si="5"/>
        <v>2023_1991</v>
      </c>
      <c r="E446" s="1267">
        <v>0.36837866018474402</v>
      </c>
      <c r="F446" s="1278">
        <v>0.46366554995113701</v>
      </c>
      <c r="G446" s="1248">
        <v>9.3337133067798899</v>
      </c>
      <c r="H446" s="1278">
        <v>2.90258921515044</v>
      </c>
      <c r="I446" s="1248">
        <v>5.2207834874548997E-2</v>
      </c>
      <c r="J446" s="1278">
        <v>7.44220696420361E-3</v>
      </c>
      <c r="K446" s="1248">
        <v>3.0000008612903698E-3</v>
      </c>
      <c r="L446" s="1250">
        <v>2.0000005740590898E-3</v>
      </c>
      <c r="M446" s="1273">
        <v>2.0000005740590898E-3</v>
      </c>
      <c r="N446" s="1248">
        <v>3.1850009128239903E-2</v>
      </c>
      <c r="O446" s="1249">
        <v>3.1850009128239903E-2</v>
      </c>
      <c r="P446" s="1251">
        <v>1.5925004564119952E-2</v>
      </c>
      <c r="Q446" s="1252">
        <v>5.4568441498739899E-2</v>
      </c>
    </row>
    <row r="447" spans="1:17" s="212" customFormat="1" ht="15.5" x14ac:dyDescent="0.35">
      <c r="A447" s="198">
        <v>2023</v>
      </c>
      <c r="B447" s="197" t="s">
        <v>5842</v>
      </c>
      <c r="C447" s="197">
        <v>1992</v>
      </c>
      <c r="D447" s="213" t="str">
        <f t="shared" si="5"/>
        <v>2023_1992</v>
      </c>
      <c r="E447" s="1267">
        <v>0.36921499814407099</v>
      </c>
      <c r="F447" s="1278">
        <v>0.46780356081472502</v>
      </c>
      <c r="G447" s="1248">
        <v>9.3245789447857206</v>
      </c>
      <c r="H447" s="1278">
        <v>2.9078755760331498</v>
      </c>
      <c r="I447" s="1248">
        <v>5.2326363439851697E-2</v>
      </c>
      <c r="J447" s="1278">
        <v>7.5385180059732602E-3</v>
      </c>
      <c r="K447" s="1248">
        <v>3.00000086127232E-3</v>
      </c>
      <c r="L447" s="1250">
        <v>2.0000005741342402E-3</v>
      </c>
      <c r="M447" s="1273">
        <v>2.0000005741342402E-3</v>
      </c>
      <c r="N447" s="1248">
        <v>3.1850009128239903E-2</v>
      </c>
      <c r="O447" s="1249">
        <v>3.1850009128239903E-2</v>
      </c>
      <c r="P447" s="1251">
        <v>1.5925004564119952E-2</v>
      </c>
      <c r="Q447" s="1252">
        <v>5.4692329399803001E-2</v>
      </c>
    </row>
    <row r="448" spans="1:17" s="212" customFormat="1" ht="15.5" x14ac:dyDescent="0.35">
      <c r="A448" s="198">
        <v>2023</v>
      </c>
      <c r="B448" s="197" t="s">
        <v>5842</v>
      </c>
      <c r="C448" s="197">
        <v>1993</v>
      </c>
      <c r="D448" s="213" t="str">
        <f t="shared" si="5"/>
        <v>2023_1993</v>
      </c>
      <c r="E448" s="1267">
        <v>0.37114439103697699</v>
      </c>
      <c r="F448" s="1278">
        <v>0.45851643968781902</v>
      </c>
      <c r="G448" s="1248">
        <v>9.2914530159077806</v>
      </c>
      <c r="H448" s="1278">
        <v>2.8884213581392602</v>
      </c>
      <c r="I448" s="1248">
        <v>5.2599803344080903E-2</v>
      </c>
      <c r="J448" s="1278">
        <v>7.4172444113768804E-3</v>
      </c>
      <c r="K448" s="1248">
        <v>3.00000086133392E-3</v>
      </c>
      <c r="L448" s="1250">
        <v>2.0000005740611602E-3</v>
      </c>
      <c r="M448" s="1273">
        <v>2.0000005740611602E-3</v>
      </c>
      <c r="N448" s="1248">
        <v>3.1850009128239903E-2</v>
      </c>
      <c r="O448" s="1249">
        <v>3.1850009128239903E-2</v>
      </c>
      <c r="P448" s="1251">
        <v>1.5925004564119952E-2</v>
      </c>
      <c r="Q448" s="1252">
        <v>5.4978133043129797E-2</v>
      </c>
    </row>
    <row r="449" spans="1:17" s="212" customFormat="1" ht="15.5" x14ac:dyDescent="0.35">
      <c r="A449" s="198">
        <v>2023</v>
      </c>
      <c r="B449" s="197" t="s">
        <v>5842</v>
      </c>
      <c r="C449" s="197">
        <v>1994</v>
      </c>
      <c r="D449" s="213" t="str">
        <f t="shared" si="5"/>
        <v>2023_1994</v>
      </c>
      <c r="E449" s="1267">
        <v>0.36501176764481502</v>
      </c>
      <c r="F449" s="1278">
        <v>0.45461543583359298</v>
      </c>
      <c r="G449" s="1248">
        <v>9.3821726655157693</v>
      </c>
      <c r="H449" s="1278">
        <v>2.8789063910194899</v>
      </c>
      <c r="I449" s="1248">
        <v>5.2265440733523197E-2</v>
      </c>
      <c r="J449" s="1278">
        <v>7.3771224519964904E-3</v>
      </c>
      <c r="K449" s="1248">
        <v>3.0000008612489199E-3</v>
      </c>
      <c r="L449" s="1250">
        <v>2.00000057404584E-3</v>
      </c>
      <c r="M449" s="1273">
        <v>2.00000057404584E-3</v>
      </c>
      <c r="N449" s="1248">
        <v>3.1850009128239903E-2</v>
      </c>
      <c r="O449" s="1249">
        <v>3.1850009128239903E-2</v>
      </c>
      <c r="P449" s="1251">
        <v>1.5925004564119952E-2</v>
      </c>
      <c r="Q449" s="1252">
        <v>5.4628652039034803E-2</v>
      </c>
    </row>
    <row r="450" spans="1:17" s="212" customFormat="1" ht="15.5" x14ac:dyDescent="0.35">
      <c r="A450" s="198">
        <v>2023</v>
      </c>
      <c r="B450" s="197" t="s">
        <v>5842</v>
      </c>
      <c r="C450" s="197">
        <v>1995</v>
      </c>
      <c r="D450" s="213" t="str">
        <f t="shared" si="5"/>
        <v>2023_1995</v>
      </c>
      <c r="E450" s="1267">
        <v>0.36724901239927499</v>
      </c>
      <c r="F450" s="1278">
        <v>0.24418015551498601</v>
      </c>
      <c r="G450" s="1248">
        <v>9.3694922709761297</v>
      </c>
      <c r="H450" s="1278">
        <v>1.64582279713405</v>
      </c>
      <c r="I450" s="1248">
        <v>5.2585788167456897E-2</v>
      </c>
      <c r="J450" s="1278">
        <v>4.8474826082875004E-3</v>
      </c>
      <c r="K450" s="1248">
        <v>3.0000008612443702E-3</v>
      </c>
      <c r="L450" s="1250">
        <v>2.0000005741160399E-3</v>
      </c>
      <c r="M450" s="1273">
        <v>2.0000005741160399E-3</v>
      </c>
      <c r="N450" s="1248">
        <v>3.1850009128239903E-2</v>
      </c>
      <c r="O450" s="1249">
        <v>3.1850009128239903E-2</v>
      </c>
      <c r="P450" s="1251">
        <v>1.5925004564119952E-2</v>
      </c>
      <c r="Q450" s="1252">
        <v>5.4963484162410203E-2</v>
      </c>
    </row>
    <row r="451" spans="1:17" s="212" customFormat="1" ht="15.5" x14ac:dyDescent="0.35">
      <c r="A451" s="198">
        <v>2023</v>
      </c>
      <c r="B451" s="197" t="s">
        <v>5842</v>
      </c>
      <c r="C451" s="197">
        <v>1996</v>
      </c>
      <c r="D451" s="213" t="str">
        <f t="shared" si="5"/>
        <v>2023_1996</v>
      </c>
      <c r="E451" s="1267">
        <v>0.368716312363782</v>
      </c>
      <c r="F451" s="1278">
        <v>2.2343953491975901E-2</v>
      </c>
      <c r="G451" s="1248">
        <v>9.34563359640355</v>
      </c>
      <c r="H451" s="1278">
        <v>0.393062952462645</v>
      </c>
      <c r="I451" s="1248">
        <v>5.2795888460464097E-2</v>
      </c>
      <c r="J451" s="1278">
        <v>2.1782185464378299E-3</v>
      </c>
      <c r="K451" s="1248">
        <v>3.00000086128155E-3</v>
      </c>
      <c r="L451" s="1250">
        <v>2.0000005741293301E-3</v>
      </c>
      <c r="M451" s="1273">
        <v>2.0000005741293301E-3</v>
      </c>
      <c r="N451" s="1248">
        <v>3.1850009128239903E-2</v>
      </c>
      <c r="O451" s="1249">
        <v>3.1850009128239903E-2</v>
      </c>
      <c r="P451" s="1251">
        <v>1.5925004564119952E-2</v>
      </c>
      <c r="Q451" s="1252">
        <v>5.5183084258361E-2</v>
      </c>
    </row>
    <row r="452" spans="1:17" s="212" customFormat="1" ht="15.5" x14ac:dyDescent="0.35">
      <c r="A452" s="198">
        <v>2023</v>
      </c>
      <c r="B452" s="197" t="s">
        <v>5842</v>
      </c>
      <c r="C452" s="197">
        <v>1997</v>
      </c>
      <c r="D452" s="213" t="str">
        <f t="shared" si="5"/>
        <v>2023_1997</v>
      </c>
      <c r="E452" s="1267">
        <v>0.37057748481076702</v>
      </c>
      <c r="F452" s="1278">
        <v>2.1459234428888901E-2</v>
      </c>
      <c r="G452" s="1248">
        <v>9.3016257787293899</v>
      </c>
      <c r="H452" s="1278">
        <v>0.387640872286514</v>
      </c>
      <c r="I452" s="1248">
        <v>5.30623867129736E-2</v>
      </c>
      <c r="J452" s="1278">
        <v>2.0959463914008501E-3</v>
      </c>
      <c r="K452" s="1248">
        <v>3.00000086128158E-3</v>
      </c>
      <c r="L452" s="1250">
        <v>2.0000005740465699E-3</v>
      </c>
      <c r="M452" s="1273">
        <v>2.0000005740465699E-3</v>
      </c>
      <c r="N452" s="1248">
        <v>3.1850009128239903E-2</v>
      </c>
      <c r="O452" s="1249">
        <v>3.1850009128239903E-2</v>
      </c>
      <c r="P452" s="1251">
        <v>1.5925004564119952E-2</v>
      </c>
      <c r="Q452" s="1252">
        <v>5.5461632379280597E-2</v>
      </c>
    </row>
    <row r="453" spans="1:17" s="212" customFormat="1" ht="15.5" x14ac:dyDescent="0.35">
      <c r="A453" s="198">
        <v>2023</v>
      </c>
      <c r="B453" s="197" t="s">
        <v>5842</v>
      </c>
      <c r="C453" s="197">
        <v>1998</v>
      </c>
      <c r="D453" s="213" t="str">
        <f t="shared" si="5"/>
        <v>2023_1998</v>
      </c>
      <c r="E453" s="1267">
        <v>0.37219814835255799</v>
      </c>
      <c r="F453" s="1278">
        <v>2.1748540926734401E-2</v>
      </c>
      <c r="G453" s="1248">
        <v>9.2899565760146903</v>
      </c>
      <c r="H453" s="1278">
        <v>0.38968252485111599</v>
      </c>
      <c r="I453" s="1248">
        <v>5.3294446886920803E-2</v>
      </c>
      <c r="J453" s="1278">
        <v>2.1270941216279E-3</v>
      </c>
      <c r="K453" s="1248">
        <v>3.0000008613648801E-3</v>
      </c>
      <c r="L453" s="1250">
        <v>2.0000005740889401E-3</v>
      </c>
      <c r="M453" s="1273">
        <v>2.0000005740889401E-3</v>
      </c>
      <c r="N453" s="1248">
        <v>3.1850009128239903E-2</v>
      </c>
      <c r="O453" s="1249">
        <v>3.1850009128239903E-2</v>
      </c>
      <c r="P453" s="1251">
        <v>1.5925004564119952E-2</v>
      </c>
      <c r="Q453" s="1252">
        <v>5.5704185284541803E-2</v>
      </c>
    </row>
    <row r="454" spans="1:17" s="212" customFormat="1" ht="15.5" x14ac:dyDescent="0.35">
      <c r="A454" s="198">
        <v>2023</v>
      </c>
      <c r="B454" s="197" t="s">
        <v>5842</v>
      </c>
      <c r="C454" s="197">
        <v>1999</v>
      </c>
      <c r="D454" s="213" t="str">
        <f t="shared" si="5"/>
        <v>2023_1999</v>
      </c>
      <c r="E454" s="1267">
        <v>0.37004250447350501</v>
      </c>
      <c r="F454" s="1278">
        <v>2.1791763524690099E-2</v>
      </c>
      <c r="G454" s="1248">
        <v>9.3215225529582995</v>
      </c>
      <c r="H454" s="1278">
        <v>0.38995097439403198</v>
      </c>
      <c r="I454" s="1248">
        <v>5.2985783749482401E-2</v>
      </c>
      <c r="J454" s="1278">
        <v>2.12656835516516E-3</v>
      </c>
      <c r="K454" s="1248">
        <v>3.0000008613290199E-3</v>
      </c>
      <c r="L454" s="1250">
        <v>2.0000005741028001E-3</v>
      </c>
      <c r="M454" s="1273">
        <v>2.0000005741028001E-3</v>
      </c>
      <c r="N454" s="1248">
        <v>3.1850009128239903E-2</v>
      </c>
      <c r="O454" s="1249">
        <v>3.1850009128239903E-2</v>
      </c>
      <c r="P454" s="1251">
        <v>1.5925004564119952E-2</v>
      </c>
      <c r="Q454" s="1252">
        <v>5.5381565769700797E-2</v>
      </c>
    </row>
    <row r="455" spans="1:17" s="212" customFormat="1" ht="15.5" x14ac:dyDescent="0.35">
      <c r="A455" s="198">
        <v>2023</v>
      </c>
      <c r="B455" s="197" t="s">
        <v>5842</v>
      </c>
      <c r="C455" s="197">
        <v>2000</v>
      </c>
      <c r="D455" s="213" t="str">
        <f t="shared" si="5"/>
        <v>2023_2000</v>
      </c>
      <c r="E455" s="1267">
        <v>0.36560876106413498</v>
      </c>
      <c r="F455" s="1278">
        <v>2.20809865362319E-2</v>
      </c>
      <c r="G455" s="1248">
        <v>9.3947203970774797</v>
      </c>
      <c r="H455" s="1278">
        <v>0.391954776980661</v>
      </c>
      <c r="I455" s="1248">
        <v>5.2378000572923203E-2</v>
      </c>
      <c r="J455" s="1278">
        <v>2.1593570962131301E-3</v>
      </c>
      <c r="K455" s="1248">
        <v>3.0000008612460901E-3</v>
      </c>
      <c r="L455" s="1250">
        <v>2.00000057414373E-3</v>
      </c>
      <c r="M455" s="1273">
        <v>2.00000057414373E-3</v>
      </c>
      <c r="N455" s="1248">
        <v>3.1850009128239903E-2</v>
      </c>
      <c r="O455" s="1249">
        <v>3.1850009128239903E-2</v>
      </c>
      <c r="P455" s="1251">
        <v>1.5925004564119952E-2</v>
      </c>
      <c r="Q455" s="1252">
        <v>5.4746301334895602E-2</v>
      </c>
    </row>
    <row r="456" spans="1:17" s="212" customFormat="1" ht="15.5" x14ac:dyDescent="0.35">
      <c r="A456" s="198">
        <v>2023</v>
      </c>
      <c r="B456" s="197" t="s">
        <v>5842</v>
      </c>
      <c r="C456" s="197">
        <v>2001</v>
      </c>
      <c r="D456" s="213" t="str">
        <f t="shared" si="5"/>
        <v>2023_2001</v>
      </c>
      <c r="E456" s="1267">
        <v>0.36757153076448301</v>
      </c>
      <c r="F456" s="1278">
        <v>2.2121143478226801E-2</v>
      </c>
      <c r="G456" s="1248">
        <v>9.3219449003652795</v>
      </c>
      <c r="H456" s="1278">
        <v>0.39161995737872701</v>
      </c>
      <c r="I456" s="1248">
        <v>5.2719973485324E-2</v>
      </c>
      <c r="J456" s="1278">
        <v>2.16918806434365E-3</v>
      </c>
      <c r="K456" s="1248">
        <v>3.00000086132676E-3</v>
      </c>
      <c r="L456" s="1250">
        <v>2.0000005741707002E-3</v>
      </c>
      <c r="M456" s="1273">
        <v>2.0000005741707002E-3</v>
      </c>
      <c r="N456" s="1248">
        <v>3.1850009128239903E-2</v>
      </c>
      <c r="O456" s="1249">
        <v>3.1850009128239903E-2</v>
      </c>
      <c r="P456" s="1251">
        <v>1.5925004564119952E-2</v>
      </c>
      <c r="Q456" s="1252">
        <v>5.5103736744912701E-2</v>
      </c>
    </row>
    <row r="457" spans="1:17" s="212" customFormat="1" ht="15.5" x14ac:dyDescent="0.35">
      <c r="A457" s="198">
        <v>2023</v>
      </c>
      <c r="B457" s="197" t="s">
        <v>5842</v>
      </c>
      <c r="C457" s="197">
        <v>2002</v>
      </c>
      <c r="D457" s="213" t="str">
        <f t="shared" si="5"/>
        <v>2023_2002</v>
      </c>
      <c r="E457" s="1267">
        <v>0.28406606535954798</v>
      </c>
      <c r="F457" s="1278">
        <v>2.19866849906298E-2</v>
      </c>
      <c r="G457" s="1248">
        <v>7.1806661309910798</v>
      </c>
      <c r="H457" s="1278">
        <v>0.31224921762258301</v>
      </c>
      <c r="I457" s="1248">
        <v>5.3136065951466298E-2</v>
      </c>
      <c r="J457" s="1278">
        <v>2.1664189586239799E-3</v>
      </c>
      <c r="K457" s="1248">
        <v>3.0000008613407002E-3</v>
      </c>
      <c r="L457" s="1250">
        <v>2.0000005741451E-3</v>
      </c>
      <c r="M457" s="1273">
        <v>2.0000005741451E-3</v>
      </c>
      <c r="N457" s="1248">
        <v>3.1850009128239903E-2</v>
      </c>
      <c r="O457" s="1249">
        <v>3.1850009128239903E-2</v>
      </c>
      <c r="P457" s="1251">
        <v>1.5925004564119952E-2</v>
      </c>
      <c r="Q457" s="1252">
        <v>5.5538643065991003E-2</v>
      </c>
    </row>
    <row r="458" spans="1:17" s="212" customFormat="1" ht="15.5" x14ac:dyDescent="0.35">
      <c r="A458" s="198">
        <v>2023</v>
      </c>
      <c r="B458" s="197" t="s">
        <v>5842</v>
      </c>
      <c r="C458" s="197">
        <v>2003</v>
      </c>
      <c r="D458" s="213" t="str">
        <f t="shared" si="5"/>
        <v>2023_2003</v>
      </c>
      <c r="E458" s="1267">
        <v>0.279620483639694</v>
      </c>
      <c r="F458" s="1278">
        <v>2.1579258683899E-2</v>
      </c>
      <c r="G458" s="1248">
        <v>7.2195702870708001</v>
      </c>
      <c r="H458" s="1278">
        <v>0.30710126861642401</v>
      </c>
      <c r="I458" s="1248">
        <v>5.2435159510247499E-2</v>
      </c>
      <c r="J458" s="1278">
        <v>2.13553399050958E-3</v>
      </c>
      <c r="K458" s="1248">
        <v>3.0000008612645099E-3</v>
      </c>
      <c r="L458" s="1250">
        <v>2.0000005741312998E-3</v>
      </c>
      <c r="M458" s="1273">
        <v>2.0000005741312998E-3</v>
      </c>
      <c r="N458" s="1248">
        <v>3.1850009128239903E-2</v>
      </c>
      <c r="O458" s="1249">
        <v>3.1850009128239903E-2</v>
      </c>
      <c r="P458" s="1251">
        <v>1.5925004564119952E-2</v>
      </c>
      <c r="Q458" s="1252">
        <v>5.4806044745726597E-2</v>
      </c>
    </row>
    <row r="459" spans="1:17" s="212" customFormat="1" ht="15.5" x14ac:dyDescent="0.35">
      <c r="A459" s="198">
        <v>2023</v>
      </c>
      <c r="B459" s="197" t="s">
        <v>5842</v>
      </c>
      <c r="C459" s="197">
        <v>2004</v>
      </c>
      <c r="D459" s="213" t="str">
        <f t="shared" si="5"/>
        <v>2023_2004</v>
      </c>
      <c r="E459" s="1267">
        <v>0.56338209896782498</v>
      </c>
      <c r="F459" s="1278">
        <v>1.415765402917E-2</v>
      </c>
      <c r="G459" s="1248">
        <v>4.1365377322995496</v>
      </c>
      <c r="H459" s="1278">
        <v>0.25490038378525398</v>
      </c>
      <c r="I459" s="1248">
        <v>0.14801357755781</v>
      </c>
      <c r="J459" s="1278">
        <v>1.38874704489152E-4</v>
      </c>
      <c r="K459" s="1248">
        <v>3.00000086126017E-3</v>
      </c>
      <c r="L459" s="1250">
        <v>2.0000005740663102E-3</v>
      </c>
      <c r="M459" s="1273">
        <v>2.0000005740663102E-3</v>
      </c>
      <c r="N459" s="1248">
        <v>3.1850009128239903E-2</v>
      </c>
      <c r="O459" s="1249">
        <v>3.1850009128239903E-2</v>
      </c>
      <c r="P459" s="1251">
        <v>1.5925004564119952E-2</v>
      </c>
      <c r="Q459" s="1252">
        <v>0.15470609473445099</v>
      </c>
    </row>
    <row r="460" spans="1:17" s="212" customFormat="1" ht="15.5" x14ac:dyDescent="0.35">
      <c r="A460" s="198">
        <v>2023</v>
      </c>
      <c r="B460" s="197" t="s">
        <v>5842</v>
      </c>
      <c r="C460" s="197">
        <v>2005</v>
      </c>
      <c r="D460" s="213" t="str">
        <f t="shared" si="5"/>
        <v>2023_2005</v>
      </c>
      <c r="E460" s="1267">
        <v>0.55546824502626502</v>
      </c>
      <c r="F460" s="1278">
        <v>1.3841267050049301E-2</v>
      </c>
      <c r="G460" s="1248">
        <v>4.1254458957631499</v>
      </c>
      <c r="H460" s="1278">
        <v>0.25039516371159898</v>
      </c>
      <c r="I460" s="1248">
        <v>0.146578923727226</v>
      </c>
      <c r="J460" s="1278">
        <v>1.4078563143243199E-4</v>
      </c>
      <c r="K460" s="1248">
        <v>3.0000008612338699E-3</v>
      </c>
      <c r="L460" s="1250">
        <v>2.0000005741047499E-3</v>
      </c>
      <c r="M460" s="1273">
        <v>2.0000005741047499E-3</v>
      </c>
      <c r="N460" s="1248">
        <v>3.1850009128239903E-2</v>
      </c>
      <c r="O460" s="1249">
        <v>3.1850009128239903E-2</v>
      </c>
      <c r="P460" s="1251">
        <v>1.5925004564119952E-2</v>
      </c>
      <c r="Q460" s="1252">
        <v>0.15320657222383</v>
      </c>
    </row>
    <row r="461" spans="1:17" s="212" customFormat="1" ht="15.5" x14ac:dyDescent="0.35">
      <c r="A461" s="198">
        <v>2023</v>
      </c>
      <c r="B461" s="197" t="s">
        <v>5842</v>
      </c>
      <c r="C461" s="197">
        <v>2006</v>
      </c>
      <c r="D461" s="213" t="str">
        <f t="shared" si="5"/>
        <v>2023_2006</v>
      </c>
      <c r="E461" s="1267">
        <v>0.54529223832558504</v>
      </c>
      <c r="F461" s="1278">
        <v>1.37271645975323E-2</v>
      </c>
      <c r="G461" s="1248">
        <v>4.1083242655357601</v>
      </c>
      <c r="H461" s="1278">
        <v>0.244701044925934</v>
      </c>
      <c r="I461" s="1248">
        <v>0.14468298079675401</v>
      </c>
      <c r="J461" s="1278">
        <v>1.4174615388028001E-4</v>
      </c>
      <c r="K461" s="1248">
        <v>3.0000008612198E-3</v>
      </c>
      <c r="L461" s="1250">
        <v>2.0000005741194898E-3</v>
      </c>
      <c r="M461" s="1273">
        <v>2.0000005741194898E-3</v>
      </c>
      <c r="N461" s="1248">
        <v>3.1850009128239903E-2</v>
      </c>
      <c r="O461" s="1249">
        <v>3.1850009128239903E-2</v>
      </c>
      <c r="P461" s="1251">
        <v>1.5925004564119952E-2</v>
      </c>
      <c r="Q461" s="1252">
        <v>0.151224903167165</v>
      </c>
    </row>
    <row r="462" spans="1:17" s="212" customFormat="1" ht="15.5" x14ac:dyDescent="0.35">
      <c r="A462" s="198">
        <v>2023</v>
      </c>
      <c r="B462" s="197" t="s">
        <v>5842</v>
      </c>
      <c r="C462" s="197">
        <v>2007</v>
      </c>
      <c r="D462" s="213" t="str">
        <f t="shared" si="5"/>
        <v>2023_2007</v>
      </c>
      <c r="E462" s="1267">
        <v>0.31495174361377798</v>
      </c>
      <c r="F462" s="1278">
        <v>1.35759946153476E-2</v>
      </c>
      <c r="G462" s="1248">
        <v>2.4479277658274499</v>
      </c>
      <c r="H462" s="1278">
        <v>0.244254643635475</v>
      </c>
      <c r="I462" s="1248">
        <v>8.3610407932841302E-2</v>
      </c>
      <c r="J462" s="1278">
        <v>1.4498009289251501E-4</v>
      </c>
      <c r="K462" s="1248">
        <v>3.0000008612241298E-3</v>
      </c>
      <c r="L462" s="1250">
        <v>2.0000005741779301E-3</v>
      </c>
      <c r="M462" s="1273">
        <v>2.0000005741779301E-3</v>
      </c>
      <c r="N462" s="1248">
        <v>3.1850009128239903E-2</v>
      </c>
      <c r="O462" s="1249">
        <v>3.1850009128239903E-2</v>
      </c>
      <c r="P462" s="1251">
        <v>1.5925004564119952E-2</v>
      </c>
      <c r="Q462" s="1252">
        <v>8.7390899563874094E-2</v>
      </c>
    </row>
    <row r="463" spans="1:17" s="212" customFormat="1" ht="15.5" x14ac:dyDescent="0.35">
      <c r="A463" s="198">
        <v>2023</v>
      </c>
      <c r="B463" s="197" t="s">
        <v>5842</v>
      </c>
      <c r="C463" s="197">
        <v>2008</v>
      </c>
      <c r="D463" s="213" t="str">
        <f t="shared" si="5"/>
        <v>2023_2008</v>
      </c>
      <c r="E463" s="1267">
        <v>0.317161794471914</v>
      </c>
      <c r="F463" s="1278">
        <v>9.2256100275559007E-3</v>
      </c>
      <c r="G463" s="1248">
        <v>2.4624706836475401</v>
      </c>
      <c r="H463" s="1278">
        <v>0.13756115158276999</v>
      </c>
      <c r="I463" s="1248">
        <v>8.4092667656623002E-2</v>
      </c>
      <c r="J463" s="1278">
        <v>1.40980848850622E-4</v>
      </c>
      <c r="K463" s="1248">
        <v>3.0000008613117199E-3</v>
      </c>
      <c r="L463" s="1250">
        <v>2.0000005741983998E-3</v>
      </c>
      <c r="M463" s="1273">
        <v>2.0000005741983998E-3</v>
      </c>
      <c r="N463" s="1248">
        <v>3.1850009128239903E-2</v>
      </c>
      <c r="O463" s="1249">
        <v>3.1850009128239903E-2</v>
      </c>
      <c r="P463" s="1251">
        <v>1.5925004564119952E-2</v>
      </c>
      <c r="Q463" s="1252">
        <v>8.7894964932369396E-2</v>
      </c>
    </row>
    <row r="464" spans="1:17" s="212" customFormat="1" ht="15.5" x14ac:dyDescent="0.35">
      <c r="A464" s="198">
        <v>2023</v>
      </c>
      <c r="B464" s="197" t="s">
        <v>5842</v>
      </c>
      <c r="C464" s="197">
        <v>2009</v>
      </c>
      <c r="D464" s="213" t="str">
        <f t="shared" si="5"/>
        <v>2023_2009</v>
      </c>
      <c r="E464" s="1267">
        <v>0.31044689854277602</v>
      </c>
      <c r="F464" s="1278">
        <v>4.72452183097325E-3</v>
      </c>
      <c r="G464" s="1248">
        <v>2.4477076360764598</v>
      </c>
      <c r="H464" s="1278">
        <v>3.8064290025490402E-2</v>
      </c>
      <c r="I464" s="1248">
        <v>8.2670535396287395E-2</v>
      </c>
      <c r="J464" s="1278">
        <v>1.2942820327715599E-4</v>
      </c>
      <c r="K464" s="1248">
        <v>3.0000008612735998E-3</v>
      </c>
      <c r="L464" s="1250">
        <v>2.0000005741418101E-3</v>
      </c>
      <c r="M464" s="1273">
        <v>2.0000005741418101E-3</v>
      </c>
      <c r="N464" s="1248">
        <v>3.1850009128239903E-2</v>
      </c>
      <c r="O464" s="1249">
        <v>3.1850009128239903E-2</v>
      </c>
      <c r="P464" s="1251">
        <v>1.5925004564119952E-2</v>
      </c>
      <c r="Q464" s="1252">
        <v>8.64085301618399E-2</v>
      </c>
    </row>
    <row r="465" spans="1:17" s="212" customFormat="1" ht="15.5" x14ac:dyDescent="0.35">
      <c r="A465" s="198">
        <v>2023</v>
      </c>
      <c r="B465" s="197" t="s">
        <v>5842</v>
      </c>
      <c r="C465" s="197">
        <v>2010</v>
      </c>
      <c r="D465" s="213" t="str">
        <f t="shared" si="5"/>
        <v>2023_2010</v>
      </c>
      <c r="E465" s="1267">
        <v>8.4930961018056694E-2</v>
      </c>
      <c r="F465" s="1278">
        <v>4.70560845013673E-3</v>
      </c>
      <c r="G465" s="1248">
        <v>0.73441852710507705</v>
      </c>
      <c r="H465" s="1278">
        <v>3.83328536153245E-2</v>
      </c>
      <c r="I465" s="1248">
        <v>2.0657245414956001E-2</v>
      </c>
      <c r="J465" s="1278">
        <v>1.5806576128430999E-4</v>
      </c>
      <c r="K465" s="1248">
        <v>3.0000008613178999E-3</v>
      </c>
      <c r="L465" s="1250">
        <v>2.0000005741188402E-3</v>
      </c>
      <c r="M465" s="1273">
        <v>2.0000005741188402E-3</v>
      </c>
      <c r="N465" s="1248">
        <v>3.1850009128239903E-2</v>
      </c>
      <c r="O465" s="1249">
        <v>3.1850009128239903E-2</v>
      </c>
      <c r="P465" s="1251">
        <v>1.5925004564119952E-2</v>
      </c>
      <c r="Q465" s="1252">
        <v>2.1591274387451401E-2</v>
      </c>
    </row>
    <row r="466" spans="1:17" s="212" customFormat="1" ht="15.5" x14ac:dyDescent="0.35">
      <c r="A466" s="198">
        <v>2023</v>
      </c>
      <c r="B466" s="197" t="s">
        <v>5842</v>
      </c>
      <c r="C466" s="197">
        <v>2011</v>
      </c>
      <c r="D466" s="213" t="str">
        <f t="shared" si="5"/>
        <v>2023_2011</v>
      </c>
      <c r="E466" s="1267">
        <v>8.3110827833359602E-2</v>
      </c>
      <c r="F466" s="1278">
        <v>4.9092964525094896E-3</v>
      </c>
      <c r="G466" s="1248">
        <v>0.71465902352570199</v>
      </c>
      <c r="H466" s="1278">
        <v>3.8207220173172997E-2</v>
      </c>
      <c r="I466" s="1248">
        <v>1.97587814896861E-2</v>
      </c>
      <c r="J466" s="1278">
        <v>2.1615975000903001E-4</v>
      </c>
      <c r="K466" s="1248">
        <v>3.0000008612884998E-3</v>
      </c>
      <c r="L466" s="1250">
        <v>2.00000057421938E-3</v>
      </c>
      <c r="M466" s="1273">
        <v>2.00000057421938E-3</v>
      </c>
      <c r="N466" s="1248">
        <v>3.1850009128239903E-2</v>
      </c>
      <c r="O466" s="1249">
        <v>3.1850009128239903E-2</v>
      </c>
      <c r="P466" s="1251">
        <v>1.5925004564119952E-2</v>
      </c>
      <c r="Q466" s="1252">
        <v>2.0652185910355399E-2</v>
      </c>
    </row>
    <row r="467" spans="1:17" s="212" customFormat="1" ht="15.5" x14ac:dyDescent="0.35">
      <c r="A467" s="198">
        <v>2023</v>
      </c>
      <c r="B467" s="197" t="s">
        <v>5842</v>
      </c>
      <c r="C467" s="197">
        <v>2012</v>
      </c>
      <c r="D467" s="213" t="str">
        <f t="shared" si="5"/>
        <v>2023_2012</v>
      </c>
      <c r="E467" s="1267">
        <v>8.2653799876297701E-2</v>
      </c>
      <c r="F467" s="1278">
        <v>4.93325337952115E-3</v>
      </c>
      <c r="G467" s="1248">
        <v>0.69959188669394601</v>
      </c>
      <c r="H467" s="1278">
        <v>3.8181298136321498E-2</v>
      </c>
      <c r="I467" s="1248">
        <v>1.9035728011811501E-2</v>
      </c>
      <c r="J467" s="1278">
        <v>3.1567846834003002E-4</v>
      </c>
      <c r="K467" s="1248">
        <v>3.0000008613475702E-3</v>
      </c>
      <c r="L467" s="1250">
        <v>2.0000005742289899E-3</v>
      </c>
      <c r="M467" s="1273">
        <v>2.0000005742289899E-3</v>
      </c>
      <c r="N467" s="1248">
        <v>3.1850009128239903E-2</v>
      </c>
      <c r="O467" s="1249">
        <v>3.1850009128239903E-2</v>
      </c>
      <c r="P467" s="1251">
        <v>1.5925004564119952E-2</v>
      </c>
      <c r="Q467" s="1252">
        <v>1.9896439162713601E-2</v>
      </c>
    </row>
    <row r="468" spans="1:17" s="212" customFormat="1" ht="15.5" x14ac:dyDescent="0.35">
      <c r="A468" s="198">
        <v>2023</v>
      </c>
      <c r="B468" s="197" t="s">
        <v>5842</v>
      </c>
      <c r="C468" s="197">
        <v>2013</v>
      </c>
      <c r="D468" s="213" t="str">
        <f t="shared" si="5"/>
        <v>2023_2013</v>
      </c>
      <c r="E468" s="1267">
        <v>8.1460344521072398E-2</v>
      </c>
      <c r="F468" s="1278">
        <v>5.0178955163010302E-3</v>
      </c>
      <c r="G468" s="1248">
        <v>0.67928303386920397</v>
      </c>
      <c r="H468" s="1278">
        <v>3.7979494351238902E-2</v>
      </c>
      <c r="I468" s="1248">
        <v>1.8127285678546001E-2</v>
      </c>
      <c r="J468" s="1278">
        <v>4.7407133687056699E-4</v>
      </c>
      <c r="K468" s="1248">
        <v>3.0000008613719799E-3</v>
      </c>
      <c r="L468" s="1250">
        <v>2.0000005742665601E-3</v>
      </c>
      <c r="M468" s="1273">
        <v>2.0000005742665601E-3</v>
      </c>
      <c r="N468" s="1248">
        <v>3.1850009128239903E-2</v>
      </c>
      <c r="O468" s="1249">
        <v>3.1850009128239903E-2</v>
      </c>
      <c r="P468" s="1251">
        <v>1.5925004564119952E-2</v>
      </c>
      <c r="Q468" s="1252">
        <v>1.8946921098290999E-2</v>
      </c>
    </row>
    <row r="469" spans="1:17" s="212" customFormat="1" ht="15.5" x14ac:dyDescent="0.35">
      <c r="A469" s="198">
        <v>2023</v>
      </c>
      <c r="B469" s="197" t="s">
        <v>5842</v>
      </c>
      <c r="C469" s="197">
        <v>2014</v>
      </c>
      <c r="D469" s="213" t="str">
        <f t="shared" si="5"/>
        <v>2023_2014</v>
      </c>
      <c r="E469" s="1267">
        <v>7.9240788331931503E-2</v>
      </c>
      <c r="F469" s="1278">
        <v>4.9199393954165701E-3</v>
      </c>
      <c r="G469" s="1248">
        <v>0.65542052496196601</v>
      </c>
      <c r="H469" s="1278">
        <v>3.7934703313340201E-2</v>
      </c>
      <c r="I469" s="1248">
        <v>1.7031695896082801E-2</v>
      </c>
      <c r="J469" s="1278">
        <v>6.5812857169553598E-4</v>
      </c>
      <c r="K469" s="1248">
        <v>3.0000008613091499E-3</v>
      </c>
      <c r="L469" s="1250">
        <v>2.0000005742214799E-3</v>
      </c>
      <c r="M469" s="1273">
        <v>2.0000005742214799E-3</v>
      </c>
      <c r="N469" s="1248">
        <v>3.1850009128239903E-2</v>
      </c>
      <c r="O469" s="1249">
        <v>3.1850009128239903E-2</v>
      </c>
      <c r="P469" s="1251">
        <v>1.5925004564119952E-2</v>
      </c>
      <c r="Q469" s="1252">
        <v>1.7801793607472499E-2</v>
      </c>
    </row>
    <row r="470" spans="1:17" s="212" customFormat="1" ht="15.5" x14ac:dyDescent="0.35">
      <c r="A470" s="198">
        <v>2023</v>
      </c>
      <c r="B470" s="197" t="s">
        <v>5842</v>
      </c>
      <c r="C470" s="197">
        <v>2015</v>
      </c>
      <c r="D470" s="213" t="str">
        <f t="shared" si="5"/>
        <v>2023_2015</v>
      </c>
      <c r="E470" s="1267">
        <v>7.8117274202692197E-2</v>
      </c>
      <c r="F470" s="1278">
        <v>5.0212631223191398E-3</v>
      </c>
      <c r="G470" s="1248">
        <v>0.63442570469687498</v>
      </c>
      <c r="H470" s="1278">
        <v>3.71927590017073E-2</v>
      </c>
      <c r="I470" s="1248">
        <v>1.6044804034862199E-2</v>
      </c>
      <c r="J470" s="1278">
        <v>8.3315413054997904E-4</v>
      </c>
      <c r="K470" s="1248">
        <v>3.00000086131838E-3</v>
      </c>
      <c r="L470" s="1250">
        <v>2.0000005742562298E-3</v>
      </c>
      <c r="M470" s="1273">
        <v>2.0000005742562298E-3</v>
      </c>
      <c r="N470" s="1248">
        <v>3.1850009128239903E-2</v>
      </c>
      <c r="O470" s="1249">
        <v>3.1850009128239903E-2</v>
      </c>
      <c r="P470" s="1251">
        <v>1.5925004564119952E-2</v>
      </c>
      <c r="Q470" s="1252">
        <v>1.6770278875555201E-2</v>
      </c>
    </row>
    <row r="471" spans="1:17" s="212" customFormat="1" ht="15.5" x14ac:dyDescent="0.35">
      <c r="A471" s="198">
        <v>2023</v>
      </c>
      <c r="B471" s="197" t="s">
        <v>5842</v>
      </c>
      <c r="C471" s="197">
        <v>2016</v>
      </c>
      <c r="D471" s="213" t="str">
        <f t="shared" si="5"/>
        <v>2023_2016</v>
      </c>
      <c r="E471" s="1267">
        <v>7.6794587563725605E-2</v>
      </c>
      <c r="F471" s="1278">
        <v>4.6555620411382597E-3</v>
      </c>
      <c r="G471" s="1248">
        <v>0.540610191903795</v>
      </c>
      <c r="H471" s="1278">
        <v>3.4311117775816802E-2</v>
      </c>
      <c r="I471" s="1248">
        <v>1.4975768950610801E-2</v>
      </c>
      <c r="J471" s="1278">
        <v>9.5838980386754602E-4</v>
      </c>
      <c r="K471" s="1248">
        <v>3.0000008613347601E-3</v>
      </c>
      <c r="L471" s="1250">
        <v>2.00000057423685E-3</v>
      </c>
      <c r="M471" s="1273">
        <v>2.00000057423685E-3</v>
      </c>
      <c r="N471" s="1248">
        <v>3.1850009128239903E-2</v>
      </c>
      <c r="O471" s="1249">
        <v>3.1850009128239903E-2</v>
      </c>
      <c r="P471" s="1251">
        <v>1.5925004564119952E-2</v>
      </c>
      <c r="Q471" s="1252">
        <v>1.5652906768566899E-2</v>
      </c>
    </row>
    <row r="472" spans="1:17" s="212" customFormat="1" ht="15.5" x14ac:dyDescent="0.35">
      <c r="A472" s="198">
        <v>2023</v>
      </c>
      <c r="B472" s="197" t="s">
        <v>5842</v>
      </c>
      <c r="C472" s="197">
        <v>2017</v>
      </c>
      <c r="D472" s="213" t="str">
        <f t="shared" si="5"/>
        <v>2023_2017</v>
      </c>
      <c r="E472" s="1267">
        <v>7.4394884677717502E-2</v>
      </c>
      <c r="F472" s="1278">
        <v>4.43577049003993E-3</v>
      </c>
      <c r="G472" s="1248">
        <v>0.44798849439650401</v>
      </c>
      <c r="H472" s="1278">
        <v>3.1435668750351399E-2</v>
      </c>
      <c r="I472" s="1248">
        <v>1.3710333650502801E-2</v>
      </c>
      <c r="J472" s="1278">
        <v>1.0338037666088901E-3</v>
      </c>
      <c r="K472" s="1248">
        <v>3.0000008612798999E-3</v>
      </c>
      <c r="L472" s="1250">
        <v>2.0000005742909599E-3</v>
      </c>
      <c r="M472" s="1273">
        <v>2.0000005742909599E-3</v>
      </c>
      <c r="N472" s="1248">
        <v>3.1850009128239903E-2</v>
      </c>
      <c r="O472" s="1249">
        <v>3.1850009128239903E-2</v>
      </c>
      <c r="P472" s="1251">
        <v>1.5925004564119952E-2</v>
      </c>
      <c r="Q472" s="1252">
        <v>1.4330254099474001E-2</v>
      </c>
    </row>
    <row r="473" spans="1:17" s="212" customFormat="1" ht="15.5" x14ac:dyDescent="0.35">
      <c r="A473" s="198">
        <v>2023</v>
      </c>
      <c r="B473" s="197" t="s">
        <v>5842</v>
      </c>
      <c r="C473" s="197">
        <v>2018</v>
      </c>
      <c r="D473" s="213" t="str">
        <f t="shared" si="5"/>
        <v>2023_2018</v>
      </c>
      <c r="E473" s="1267">
        <v>7.3509859607276004E-2</v>
      </c>
      <c r="F473" s="1278">
        <v>3.9963321009556301E-3</v>
      </c>
      <c r="G473" s="1248">
        <v>0.35630441013380898</v>
      </c>
      <c r="H473" s="1278">
        <v>2.81704709023918E-2</v>
      </c>
      <c r="I473" s="1248">
        <v>1.25899330183241E-2</v>
      </c>
      <c r="J473" s="1278">
        <v>1.07528349695942E-3</v>
      </c>
      <c r="K473" s="1248">
        <v>3.0000008613411699E-3</v>
      </c>
      <c r="L473" s="1250">
        <v>2.00000057424246E-3</v>
      </c>
      <c r="M473" s="1273">
        <v>2.00000057424246E-3</v>
      </c>
      <c r="N473" s="1248">
        <v>3.1850009128239903E-2</v>
      </c>
      <c r="O473" s="1249">
        <v>3.1850009128239903E-2</v>
      </c>
      <c r="P473" s="1251">
        <v>1.5925004564119952E-2</v>
      </c>
      <c r="Q473" s="1252">
        <v>1.31591939224124E-2</v>
      </c>
    </row>
    <row r="474" spans="1:17" s="212" customFormat="1" ht="15.5" x14ac:dyDescent="0.35">
      <c r="A474" s="198">
        <v>2023</v>
      </c>
      <c r="B474" s="197" t="s">
        <v>5842</v>
      </c>
      <c r="C474" s="197">
        <v>2019</v>
      </c>
      <c r="D474" s="213" t="str">
        <f t="shared" ref="D474:D548" si="6">CONCATENATE(A474,"_",C474)</f>
        <v>2023_2019</v>
      </c>
      <c r="E474" s="1267">
        <v>7.1956225342156496E-2</v>
      </c>
      <c r="F474" s="1278">
        <v>3.61494690003279E-3</v>
      </c>
      <c r="G474" s="1248">
        <v>0.29422348674718501</v>
      </c>
      <c r="H474" s="1278">
        <v>2.5727676903820999E-2</v>
      </c>
      <c r="I474" s="1248">
        <v>1.1321707227933299E-2</v>
      </c>
      <c r="J474" s="1278">
        <v>1.0961486664549801E-3</v>
      </c>
      <c r="K474" s="1248">
        <v>3.0000008613888401E-3</v>
      </c>
      <c r="L474" s="1250">
        <v>2.0000005741917901E-3</v>
      </c>
      <c r="M474" s="1273">
        <v>2.0000005741917901E-3</v>
      </c>
      <c r="N474" s="1248">
        <v>3.1850009128239903E-2</v>
      </c>
      <c r="O474" s="1249">
        <v>3.1850009128239903E-2</v>
      </c>
      <c r="P474" s="1251">
        <v>1.5925004564119952E-2</v>
      </c>
      <c r="Q474" s="1252">
        <v>1.1833624589448701E-2</v>
      </c>
    </row>
    <row r="475" spans="1:17" s="212" customFormat="1" ht="15.5" x14ac:dyDescent="0.35">
      <c r="A475" s="198">
        <v>2023</v>
      </c>
      <c r="B475" s="197" t="s">
        <v>5842</v>
      </c>
      <c r="C475" s="197">
        <v>2020</v>
      </c>
      <c r="D475" s="213" t="str">
        <f t="shared" si="6"/>
        <v>2023_2020</v>
      </c>
      <c r="E475" s="1267">
        <v>6.2263227571516297E-2</v>
      </c>
      <c r="F475" s="1278">
        <v>3.2243843072197599E-3</v>
      </c>
      <c r="G475" s="1248">
        <v>0.22040234174604401</v>
      </c>
      <c r="H475" s="1278">
        <v>2.4579273700410902E-2</v>
      </c>
      <c r="I475" s="1248">
        <v>9.1542827726782405E-3</v>
      </c>
      <c r="J475" s="1278">
        <v>1.0832778765038199E-3</v>
      </c>
      <c r="K475" s="1248">
        <v>3.00000086096086E-3</v>
      </c>
      <c r="L475" s="1250">
        <v>2.0000005740692601E-3</v>
      </c>
      <c r="M475" s="1273">
        <v>2.0000005740692601E-3</v>
      </c>
      <c r="N475" s="1248">
        <v>3.1850009128239903E-2</v>
      </c>
      <c r="O475" s="1249">
        <v>3.1850009128239903E-2</v>
      </c>
      <c r="P475" s="1251">
        <v>1.5925004564119952E-2</v>
      </c>
      <c r="Q475" s="1252">
        <v>9.5681988181305702E-3</v>
      </c>
    </row>
    <row r="476" spans="1:17" s="212" customFormat="1" ht="15.5" x14ac:dyDescent="0.35">
      <c r="A476" s="198">
        <v>2023</v>
      </c>
      <c r="B476" s="197" t="s">
        <v>5842</v>
      </c>
      <c r="C476" s="197">
        <v>2021</v>
      </c>
      <c r="D476" s="213" t="str">
        <f t="shared" si="6"/>
        <v>2023_2021</v>
      </c>
      <c r="E476" s="1267">
        <v>6.0573586879262099E-2</v>
      </c>
      <c r="F476" s="1278">
        <v>3.0752690964737199E-3</v>
      </c>
      <c r="G476" s="1248">
        <v>0.169777619025133</v>
      </c>
      <c r="H476" s="1278">
        <v>2.3743182262017298E-2</v>
      </c>
      <c r="I476" s="1248">
        <v>7.8503542479607096E-3</v>
      </c>
      <c r="J476" s="1278">
        <v>1.0834594674966199E-3</v>
      </c>
      <c r="K476" s="1248">
        <v>3.0000008609631298E-3</v>
      </c>
      <c r="L476" s="1250">
        <v>2.0000005740709601E-3</v>
      </c>
      <c r="M476" s="1273">
        <v>2.0000005740709601E-3</v>
      </c>
      <c r="N476" s="1248">
        <v>3.1850009128239903E-2</v>
      </c>
      <c r="O476" s="1249">
        <v>3.1850009128239903E-2</v>
      </c>
      <c r="P476" s="1251">
        <v>1.5925004564119952E-2</v>
      </c>
      <c r="Q476" s="1252">
        <v>8.2053124316224402E-3</v>
      </c>
    </row>
    <row r="477" spans="1:17" s="212" customFormat="1" ht="15.5" x14ac:dyDescent="0.35">
      <c r="A477" s="198">
        <v>2023</v>
      </c>
      <c r="B477" s="197" t="s">
        <v>5842</v>
      </c>
      <c r="C477" s="197">
        <v>2022</v>
      </c>
      <c r="D477" s="213" t="str">
        <f t="shared" si="6"/>
        <v>2023_2022</v>
      </c>
      <c r="E477" s="1267">
        <v>5.8803172973193298E-2</v>
      </c>
      <c r="F477" s="1278">
        <v>2.8029852630606401E-3</v>
      </c>
      <c r="G477" s="1248">
        <v>0.122852771147335</v>
      </c>
      <c r="H477" s="1278">
        <v>2.18598077431796E-2</v>
      </c>
      <c r="I477" s="1248">
        <v>6.4856955126502101E-3</v>
      </c>
      <c r="J477" s="1278">
        <v>1.08363325591424E-3</v>
      </c>
      <c r="K477" s="1248">
        <v>3.0000008609653199E-3</v>
      </c>
      <c r="L477" s="1250">
        <v>2.0000005740725998E-3</v>
      </c>
      <c r="M477" s="1273">
        <v>2.0000005740725998E-3</v>
      </c>
      <c r="N477" s="1248">
        <v>3.1850009128239903E-2</v>
      </c>
      <c r="O477" s="1249">
        <v>3.1850009128239903E-2</v>
      </c>
      <c r="P477" s="1251">
        <v>1.5925004564119952E-2</v>
      </c>
      <c r="Q477" s="1252">
        <v>6.7789498838846602E-3</v>
      </c>
    </row>
    <row r="478" spans="1:17" s="212" customFormat="1" ht="15.5" x14ac:dyDescent="0.35">
      <c r="A478" s="198">
        <v>2023</v>
      </c>
      <c r="B478" s="197" t="s">
        <v>5842</v>
      </c>
      <c r="C478" s="197">
        <v>2023</v>
      </c>
      <c r="D478" s="213" t="str">
        <f t="shared" si="6"/>
        <v>2023_2023</v>
      </c>
      <c r="E478" s="1267">
        <v>5.69520997050081E-2</v>
      </c>
      <c r="F478" s="1278">
        <v>2.7298072730328601E-3</v>
      </c>
      <c r="G478" s="1248">
        <v>0.113568306567547</v>
      </c>
      <c r="H478" s="1278">
        <v>2.0793668103384701E-2</v>
      </c>
      <c r="I478" s="1248">
        <v>5.0603042932827799E-3</v>
      </c>
      <c r="J478" s="1278">
        <v>1.0837980004023799E-3</v>
      </c>
      <c r="K478" s="1248">
        <v>3.0000008609674298E-3</v>
      </c>
      <c r="L478" s="1250">
        <v>2.0000005740741901E-3</v>
      </c>
      <c r="M478" s="1273">
        <v>2.0000005740741901E-3</v>
      </c>
      <c r="N478" s="1248">
        <v>3.1850009128239903E-2</v>
      </c>
      <c r="O478" s="1249">
        <v>3.1850009128239903E-2</v>
      </c>
      <c r="P478" s="1251">
        <v>1.5925004564119952E-2</v>
      </c>
      <c r="Q478" s="1252">
        <v>5.2891087986572903E-3</v>
      </c>
    </row>
    <row r="479" spans="1:17" s="212" customFormat="1" ht="15.5" x14ac:dyDescent="0.35">
      <c r="A479" s="198">
        <v>2023</v>
      </c>
      <c r="B479" s="197" t="s">
        <v>5842</v>
      </c>
      <c r="C479" s="197">
        <v>2024</v>
      </c>
      <c r="D479" s="213" t="str">
        <f t="shared" si="6"/>
        <v>2023_2024</v>
      </c>
      <c r="E479" s="1268">
        <v>5.69520997050081E-2</v>
      </c>
      <c r="F479" s="1279">
        <v>2.7298072730328601E-3</v>
      </c>
      <c r="G479" s="1255">
        <v>0.113568306567547</v>
      </c>
      <c r="H479" s="1279">
        <v>2.0793668103384701E-2</v>
      </c>
      <c r="I479" s="1255">
        <v>5.0603042932827799E-3</v>
      </c>
      <c r="J479" s="1279">
        <v>1.0837980004023799E-3</v>
      </c>
      <c r="K479" s="1255">
        <v>3.0000008609674298E-3</v>
      </c>
      <c r="L479" s="1253">
        <v>2.0000005740741901E-3</v>
      </c>
      <c r="M479" s="1273">
        <v>2.0000005740741901E-3</v>
      </c>
      <c r="N479" s="1255">
        <v>3.1850009128239903E-2</v>
      </c>
      <c r="O479" s="1256">
        <v>3.1850009128239903E-2</v>
      </c>
      <c r="P479" s="1251">
        <v>1.5925004564119952E-2</v>
      </c>
      <c r="Q479" s="1254">
        <v>5.2891087986572903E-3</v>
      </c>
    </row>
    <row r="480" spans="1:17" s="212" customFormat="1" ht="15.5" x14ac:dyDescent="0.35">
      <c r="A480" s="198">
        <v>2024</v>
      </c>
      <c r="B480" s="197" t="s">
        <v>5842</v>
      </c>
      <c r="C480" s="197">
        <v>1971</v>
      </c>
      <c r="D480" s="213" t="str">
        <f t="shared" si="6"/>
        <v>2024_1971</v>
      </c>
      <c r="E480" s="1268">
        <v>0.22818842244551699</v>
      </c>
      <c r="F480" s="1279">
        <v>2.7937723653017201</v>
      </c>
      <c r="G480" s="1255">
        <v>5.17593476870457</v>
      </c>
      <c r="H480" s="1279">
        <v>3.6298912153238301</v>
      </c>
      <c r="I480" s="1255">
        <v>0.17199357026714601</v>
      </c>
      <c r="J480" s="1279">
        <v>1.68408207813012E-2</v>
      </c>
      <c r="K480" s="1255">
        <v>3.00000086157886E-3</v>
      </c>
      <c r="L480" s="1253">
        <v>2.0000005748098499E-3</v>
      </c>
      <c r="M480" s="1273">
        <v>2.0000005748098499E-3</v>
      </c>
      <c r="N480" s="1255">
        <v>3.1850009128239903E-2</v>
      </c>
      <c r="O480" s="1256">
        <v>3.1850009128239903E-2</v>
      </c>
      <c r="P480" s="1251">
        <v>1.5925004564119952E-2</v>
      </c>
      <c r="Q480" s="1254">
        <v>0.179770356304462</v>
      </c>
    </row>
    <row r="481" spans="1:17" s="212" customFormat="1" ht="15.5" x14ac:dyDescent="0.35">
      <c r="A481" s="198">
        <v>2024</v>
      </c>
      <c r="B481" s="197" t="s">
        <v>5842</v>
      </c>
      <c r="C481" s="197">
        <v>1972</v>
      </c>
      <c r="D481" s="213" t="str">
        <f t="shared" si="6"/>
        <v>2024_1972</v>
      </c>
      <c r="E481" s="1268">
        <v>0.22818842244551699</v>
      </c>
      <c r="F481" s="1279">
        <v>2.7937723653017201</v>
      </c>
      <c r="G481" s="1255">
        <v>5.17593476870457</v>
      </c>
      <c r="H481" s="1279">
        <v>3.6298912153238301</v>
      </c>
      <c r="I481" s="1255">
        <v>0.17199357026714601</v>
      </c>
      <c r="J481" s="1279">
        <v>1.68408207813012E-2</v>
      </c>
      <c r="K481" s="1255">
        <v>3.00000086157886E-3</v>
      </c>
      <c r="L481" s="1253">
        <v>2.0000005748098499E-3</v>
      </c>
      <c r="M481" s="1273">
        <v>2.0000005748098499E-3</v>
      </c>
      <c r="N481" s="1255">
        <v>3.1850009128239903E-2</v>
      </c>
      <c r="O481" s="1256">
        <v>3.1850009128239903E-2</v>
      </c>
      <c r="P481" s="1251">
        <v>1.5925004564119952E-2</v>
      </c>
      <c r="Q481" s="1254">
        <v>0.179770356304462</v>
      </c>
    </row>
    <row r="482" spans="1:17" s="212" customFormat="1" ht="15.5" x14ac:dyDescent="0.35">
      <c r="A482" s="198">
        <v>2024</v>
      </c>
      <c r="B482" s="197" t="s">
        <v>5842</v>
      </c>
      <c r="C482" s="197">
        <v>1973</v>
      </c>
      <c r="D482" s="213" t="str">
        <f t="shared" si="6"/>
        <v>2024_1973</v>
      </c>
      <c r="E482" s="1268">
        <v>0.22818842244551699</v>
      </c>
      <c r="F482" s="1279">
        <v>2.7937723653017201</v>
      </c>
      <c r="G482" s="1255">
        <v>5.17593476870457</v>
      </c>
      <c r="H482" s="1279">
        <v>3.6298912153238301</v>
      </c>
      <c r="I482" s="1255">
        <v>0.17199357026714601</v>
      </c>
      <c r="J482" s="1279">
        <v>1.68408207813012E-2</v>
      </c>
      <c r="K482" s="1255">
        <v>3.00000086157886E-3</v>
      </c>
      <c r="L482" s="1253">
        <v>2.0000005748098499E-3</v>
      </c>
      <c r="M482" s="1273">
        <v>2.0000005748098499E-3</v>
      </c>
      <c r="N482" s="1255">
        <v>3.1850009128239903E-2</v>
      </c>
      <c r="O482" s="1256">
        <v>3.1850009128239903E-2</v>
      </c>
      <c r="P482" s="1251">
        <v>1.5925004564119952E-2</v>
      </c>
      <c r="Q482" s="1254">
        <v>0.179770356304462</v>
      </c>
    </row>
    <row r="483" spans="1:17" s="212" customFormat="1" ht="15.5" x14ac:dyDescent="0.35">
      <c r="A483" s="198">
        <v>2024</v>
      </c>
      <c r="B483" s="197" t="s">
        <v>5842</v>
      </c>
      <c r="C483" s="197">
        <v>1974</v>
      </c>
      <c r="D483" s="213" t="str">
        <f t="shared" si="6"/>
        <v>2024_1974</v>
      </c>
      <c r="E483" s="1268">
        <v>0.22818842244551699</v>
      </c>
      <c r="F483" s="1279">
        <v>2.7937723653017201</v>
      </c>
      <c r="G483" s="1255">
        <v>5.17593476870457</v>
      </c>
      <c r="H483" s="1279">
        <v>3.6298912153238301</v>
      </c>
      <c r="I483" s="1255">
        <v>0.17199357026714601</v>
      </c>
      <c r="J483" s="1279">
        <v>1.68408207813012E-2</v>
      </c>
      <c r="K483" s="1255">
        <v>3.00000086157886E-3</v>
      </c>
      <c r="L483" s="1253">
        <v>2.0000005748098499E-3</v>
      </c>
      <c r="M483" s="1273">
        <v>2.0000005748098499E-3</v>
      </c>
      <c r="N483" s="1255">
        <v>3.1850009128239903E-2</v>
      </c>
      <c r="O483" s="1256">
        <v>3.1850009128239903E-2</v>
      </c>
      <c r="P483" s="1251">
        <v>1.5925004564119952E-2</v>
      </c>
      <c r="Q483" s="1254">
        <v>0.179770356304462</v>
      </c>
    </row>
    <row r="484" spans="1:17" s="212" customFormat="1" ht="15.5" x14ac:dyDescent="0.35">
      <c r="A484" s="198">
        <v>2024</v>
      </c>
      <c r="B484" s="197" t="s">
        <v>5842</v>
      </c>
      <c r="C484" s="197">
        <v>1975</v>
      </c>
      <c r="D484" s="213" t="str">
        <f t="shared" si="6"/>
        <v>2024_1975</v>
      </c>
      <c r="E484" s="1268">
        <v>0.22818842244551699</v>
      </c>
      <c r="F484" s="1279">
        <v>2.7937723653017201</v>
      </c>
      <c r="G484" s="1255">
        <v>5.17593476870457</v>
      </c>
      <c r="H484" s="1279">
        <v>3.6298912153238301</v>
      </c>
      <c r="I484" s="1255">
        <v>0.17199357026714601</v>
      </c>
      <c r="J484" s="1279">
        <v>1.68408207813012E-2</v>
      </c>
      <c r="K484" s="1255">
        <v>3.00000086157886E-3</v>
      </c>
      <c r="L484" s="1253">
        <v>2.0000005748098499E-3</v>
      </c>
      <c r="M484" s="1273">
        <v>2.0000005748098499E-3</v>
      </c>
      <c r="N484" s="1255">
        <v>3.1850009128239903E-2</v>
      </c>
      <c r="O484" s="1256">
        <v>3.1850009128239903E-2</v>
      </c>
      <c r="P484" s="1251">
        <v>1.5925004564119952E-2</v>
      </c>
      <c r="Q484" s="1254">
        <v>0.179770356304462</v>
      </c>
    </row>
    <row r="485" spans="1:17" s="212" customFormat="1" ht="15.5" x14ac:dyDescent="0.35">
      <c r="A485" s="198">
        <v>2024</v>
      </c>
      <c r="B485" s="197" t="s">
        <v>5842</v>
      </c>
      <c r="C485" s="197">
        <v>1976</v>
      </c>
      <c r="D485" s="213" t="str">
        <f t="shared" si="6"/>
        <v>2024_1976</v>
      </c>
      <c r="E485" s="1268">
        <v>0.22818842244551699</v>
      </c>
      <c r="F485" s="1279">
        <v>2.7937723653017201</v>
      </c>
      <c r="G485" s="1255">
        <v>5.17593476870457</v>
      </c>
      <c r="H485" s="1279">
        <v>3.6298912153238301</v>
      </c>
      <c r="I485" s="1255">
        <v>0.17199357026714601</v>
      </c>
      <c r="J485" s="1279">
        <v>1.68408207813012E-2</v>
      </c>
      <c r="K485" s="1255">
        <v>3.00000086157886E-3</v>
      </c>
      <c r="L485" s="1253">
        <v>2.0000005748098499E-3</v>
      </c>
      <c r="M485" s="1273">
        <v>2.0000005748098499E-3</v>
      </c>
      <c r="N485" s="1255">
        <v>3.1850009128239903E-2</v>
      </c>
      <c r="O485" s="1256">
        <v>3.1850009128239903E-2</v>
      </c>
      <c r="P485" s="1251">
        <v>1.5925004564119952E-2</v>
      </c>
      <c r="Q485" s="1254">
        <v>0.179770356304462</v>
      </c>
    </row>
    <row r="486" spans="1:17" s="212" customFormat="1" ht="15.5" x14ac:dyDescent="0.35">
      <c r="A486" s="198">
        <v>2024</v>
      </c>
      <c r="B486" s="197" t="s">
        <v>5842</v>
      </c>
      <c r="C486" s="197">
        <v>1977</v>
      </c>
      <c r="D486" s="213" t="str">
        <f t="shared" si="6"/>
        <v>2024_1977</v>
      </c>
      <c r="E486" s="1268">
        <v>0.22818842244551699</v>
      </c>
      <c r="F486" s="1279">
        <v>2.7937723653017201</v>
      </c>
      <c r="G486" s="1255">
        <v>5.17593476870457</v>
      </c>
      <c r="H486" s="1279">
        <v>3.6298912153238301</v>
      </c>
      <c r="I486" s="1255">
        <v>0.17199357026714601</v>
      </c>
      <c r="J486" s="1279">
        <v>1.68408207813012E-2</v>
      </c>
      <c r="K486" s="1255">
        <v>3.00000086157886E-3</v>
      </c>
      <c r="L486" s="1253">
        <v>2.0000005748098499E-3</v>
      </c>
      <c r="M486" s="1273">
        <v>2.0000005748098499E-3</v>
      </c>
      <c r="N486" s="1255">
        <v>3.1850009128239903E-2</v>
      </c>
      <c r="O486" s="1256">
        <v>3.1850009128239903E-2</v>
      </c>
      <c r="P486" s="1251">
        <v>1.5925004564119952E-2</v>
      </c>
      <c r="Q486" s="1254">
        <v>0.179770356304462</v>
      </c>
    </row>
    <row r="487" spans="1:17" s="212" customFormat="1" ht="15.5" x14ac:dyDescent="0.35">
      <c r="A487" s="198">
        <v>2024</v>
      </c>
      <c r="B487" s="197" t="s">
        <v>5842</v>
      </c>
      <c r="C487" s="197">
        <v>1978</v>
      </c>
      <c r="D487" s="213" t="str">
        <f t="shared" si="6"/>
        <v>2024_1978</v>
      </c>
      <c r="E487" s="1268">
        <v>0.22818842244551699</v>
      </c>
      <c r="F487" s="1279">
        <v>2.7937723653017201</v>
      </c>
      <c r="G487" s="1255">
        <v>5.17593476870457</v>
      </c>
      <c r="H487" s="1279">
        <v>3.6298912153238301</v>
      </c>
      <c r="I487" s="1255">
        <v>0.17199357026714601</v>
      </c>
      <c r="J487" s="1279">
        <v>1.68408207813012E-2</v>
      </c>
      <c r="K487" s="1255">
        <v>3.00000086157886E-3</v>
      </c>
      <c r="L487" s="1253">
        <v>2.0000005748098499E-3</v>
      </c>
      <c r="M487" s="1273">
        <v>2.0000005748098499E-3</v>
      </c>
      <c r="N487" s="1255">
        <v>3.1850009128239903E-2</v>
      </c>
      <c r="O487" s="1256">
        <v>3.1850009128239903E-2</v>
      </c>
      <c r="P487" s="1251">
        <v>1.5925004564119952E-2</v>
      </c>
      <c r="Q487" s="1254">
        <v>0.179770356304462</v>
      </c>
    </row>
    <row r="488" spans="1:17" s="212" customFormat="1" ht="15.5" x14ac:dyDescent="0.35">
      <c r="A488" s="198">
        <v>2024</v>
      </c>
      <c r="B488" s="197" t="s">
        <v>5842</v>
      </c>
      <c r="C488" s="197">
        <v>1979</v>
      </c>
      <c r="D488" s="213" t="str">
        <f t="shared" si="6"/>
        <v>2024_1979</v>
      </c>
      <c r="E488" s="1268">
        <v>0.22818842244551699</v>
      </c>
      <c r="F488" s="1279">
        <v>2.7937723653017201</v>
      </c>
      <c r="G488" s="1255">
        <v>5.17593476870457</v>
      </c>
      <c r="H488" s="1279">
        <v>3.6298912153238301</v>
      </c>
      <c r="I488" s="1255">
        <v>0.17199357026714601</v>
      </c>
      <c r="J488" s="1279">
        <v>1.68408207813012E-2</v>
      </c>
      <c r="K488" s="1255">
        <v>3.00000086157886E-3</v>
      </c>
      <c r="L488" s="1253">
        <v>2.0000005748098499E-3</v>
      </c>
      <c r="M488" s="1273">
        <v>2.0000005748098499E-3</v>
      </c>
      <c r="N488" s="1255">
        <v>3.1850009128239903E-2</v>
      </c>
      <c r="O488" s="1256">
        <v>3.1850009128239903E-2</v>
      </c>
      <c r="P488" s="1251">
        <v>1.5925004564119952E-2</v>
      </c>
      <c r="Q488" s="1254">
        <v>0.179770356304462</v>
      </c>
    </row>
    <row r="489" spans="1:17" s="212" customFormat="1" ht="15.5" x14ac:dyDescent="0.35">
      <c r="A489" s="198">
        <v>2024</v>
      </c>
      <c r="B489" s="197" t="s">
        <v>5842</v>
      </c>
      <c r="C489" s="197">
        <v>1980</v>
      </c>
      <c r="D489" s="213" t="str">
        <f t="shared" si="6"/>
        <v>2024_1980</v>
      </c>
      <c r="E489" s="1268">
        <v>0.22818842244551699</v>
      </c>
      <c r="F489" s="1278">
        <v>2.7937723653017201</v>
      </c>
      <c r="G489" s="1255">
        <v>5.17593476870457</v>
      </c>
      <c r="H489" s="1278">
        <v>3.6298912153238301</v>
      </c>
      <c r="I489" s="1255">
        <v>0.17199357026714601</v>
      </c>
      <c r="J489" s="1278">
        <v>1.68408207813012E-2</v>
      </c>
      <c r="K489" s="1255">
        <v>3.00000086157886E-3</v>
      </c>
      <c r="L489" s="1250">
        <v>2.0000005748098499E-3</v>
      </c>
      <c r="M489" s="1273">
        <v>2.0000005748098499E-3</v>
      </c>
      <c r="N489" s="1255">
        <v>3.1850009128239903E-2</v>
      </c>
      <c r="O489" s="1249">
        <v>3.1850009128239903E-2</v>
      </c>
      <c r="P489" s="1251">
        <v>1.5925004564119952E-2</v>
      </c>
      <c r="Q489" s="1254">
        <v>0.179770356304462</v>
      </c>
    </row>
    <row r="490" spans="1:17" s="212" customFormat="1" ht="15.5" x14ac:dyDescent="0.35">
      <c r="A490" s="198">
        <v>2024</v>
      </c>
      <c r="B490" s="197" t="s">
        <v>5842</v>
      </c>
      <c r="C490" s="197">
        <v>1981</v>
      </c>
      <c r="D490" s="213" t="str">
        <f t="shared" si="6"/>
        <v>2024_1981</v>
      </c>
      <c r="E490" s="1268">
        <v>0.22818842244551699</v>
      </c>
      <c r="F490" s="1278">
        <v>2.6341413177936301</v>
      </c>
      <c r="G490" s="1255">
        <v>5.17593476870457</v>
      </c>
      <c r="H490" s="1278">
        <v>4.2925001829380296</v>
      </c>
      <c r="I490" s="1255">
        <v>0.17199357026714601</v>
      </c>
      <c r="J490" s="1278">
        <v>1.53302687598916E-2</v>
      </c>
      <c r="K490" s="1255">
        <v>3.00000086157886E-3</v>
      </c>
      <c r="L490" s="1250">
        <v>2.0000005741641299E-3</v>
      </c>
      <c r="M490" s="1273">
        <v>2.0000005741641299E-3</v>
      </c>
      <c r="N490" s="1255">
        <v>3.1850009128239903E-2</v>
      </c>
      <c r="O490" s="1249">
        <v>3.1850009128239903E-2</v>
      </c>
      <c r="P490" s="1251">
        <v>1.5925004564119952E-2</v>
      </c>
      <c r="Q490" s="1254">
        <v>0.179770356304462</v>
      </c>
    </row>
    <row r="491" spans="1:17" s="212" customFormat="1" ht="15.5" x14ac:dyDescent="0.35">
      <c r="A491" s="198">
        <v>2024</v>
      </c>
      <c r="B491" s="197" t="s">
        <v>5842</v>
      </c>
      <c r="C491" s="197">
        <v>1982</v>
      </c>
      <c r="D491" s="213" t="str">
        <f t="shared" si="6"/>
        <v>2024_1982</v>
      </c>
      <c r="E491" s="1267">
        <v>0.22818842244551699</v>
      </c>
      <c r="F491" s="1278">
        <v>2.55195638471023</v>
      </c>
      <c r="G491" s="1248">
        <v>5.17593476870457</v>
      </c>
      <c r="H491" s="1278">
        <v>3.9460491145809802</v>
      </c>
      <c r="I491" s="1248">
        <v>0.17199357026714601</v>
      </c>
      <c r="J491" s="1278">
        <v>1.50291385289148E-2</v>
      </c>
      <c r="K491" s="1248">
        <v>3.00000086157886E-3</v>
      </c>
      <c r="L491" s="1250">
        <v>2.00000057402117E-3</v>
      </c>
      <c r="M491" s="1273">
        <v>2.00000057402117E-3</v>
      </c>
      <c r="N491" s="1248">
        <v>3.1850009128239903E-2</v>
      </c>
      <c r="O491" s="1249">
        <v>3.1850009128239903E-2</v>
      </c>
      <c r="P491" s="1251">
        <v>1.5925004564119952E-2</v>
      </c>
      <c r="Q491" s="1252">
        <v>0.179770356304462</v>
      </c>
    </row>
    <row r="492" spans="1:17" s="212" customFormat="1" ht="15.5" x14ac:dyDescent="0.35">
      <c r="A492" s="198">
        <v>2024</v>
      </c>
      <c r="B492" s="197" t="s">
        <v>5842</v>
      </c>
      <c r="C492" s="197">
        <v>1983</v>
      </c>
      <c r="D492" s="213" t="str">
        <f t="shared" si="6"/>
        <v>2024_1983</v>
      </c>
      <c r="E492" s="1267">
        <v>0.224706000132431</v>
      </c>
      <c r="F492" s="1278">
        <v>2.5027195421686401</v>
      </c>
      <c r="G492" s="1248">
        <v>5.2372723099175902</v>
      </c>
      <c r="H492" s="1278">
        <v>4.4276802223052201</v>
      </c>
      <c r="I492" s="1248">
        <v>0.16936874714778499</v>
      </c>
      <c r="J492" s="1278">
        <v>1.6430005302666199E-2</v>
      </c>
      <c r="K492" s="1248">
        <v>3.0000008610273402E-3</v>
      </c>
      <c r="L492" s="1250">
        <v>2.00000057444477E-3</v>
      </c>
      <c r="M492" s="1273">
        <v>2.00000057444477E-3</v>
      </c>
      <c r="N492" s="1248">
        <v>3.1850009128239903E-2</v>
      </c>
      <c r="O492" s="1249">
        <v>3.1850009128239903E-2</v>
      </c>
      <c r="P492" s="1251">
        <v>1.5925004564119952E-2</v>
      </c>
      <c r="Q492" s="1252">
        <v>0.177026850331123</v>
      </c>
    </row>
    <row r="493" spans="1:17" s="212" customFormat="1" ht="15.5" x14ac:dyDescent="0.35">
      <c r="A493" s="198">
        <v>2024</v>
      </c>
      <c r="B493" s="197" t="s">
        <v>5842</v>
      </c>
      <c r="C493" s="197">
        <v>1984</v>
      </c>
      <c r="D493" s="213" t="str">
        <f t="shared" si="6"/>
        <v>2024_1984</v>
      </c>
      <c r="E493" s="1267">
        <v>0.23399398286746201</v>
      </c>
      <c r="F493" s="1278">
        <v>1.6937851134781601</v>
      </c>
      <c r="G493" s="1248">
        <v>5.1003055052261503</v>
      </c>
      <c r="H493" s="1278">
        <v>3.6176105928750601</v>
      </c>
      <c r="I493" s="1248">
        <v>0.17636942358025801</v>
      </c>
      <c r="J493" s="1278">
        <v>1.5943226423784401E-2</v>
      </c>
      <c r="K493" s="1248">
        <v>3.0000008615267298E-3</v>
      </c>
      <c r="L493" s="1250">
        <v>2.0000005742983901E-3</v>
      </c>
      <c r="M493" s="1273">
        <v>2.0000005742983901E-3</v>
      </c>
      <c r="N493" s="1248">
        <v>3.1850009128239903E-2</v>
      </c>
      <c r="O493" s="1249">
        <v>3.1850009128239903E-2</v>
      </c>
      <c r="P493" s="1251">
        <v>1.5925004564119952E-2</v>
      </c>
      <c r="Q493" s="1252">
        <v>0.184344066286831</v>
      </c>
    </row>
    <row r="494" spans="1:17" s="212" customFormat="1" ht="15.5" x14ac:dyDescent="0.35">
      <c r="A494" s="198">
        <v>2024</v>
      </c>
      <c r="B494" s="197" t="s">
        <v>5842</v>
      </c>
      <c r="C494" s="197">
        <v>1985</v>
      </c>
      <c r="D494" s="213" t="str">
        <f t="shared" si="6"/>
        <v>2024_1985</v>
      </c>
      <c r="E494" s="1267">
        <v>0.234455808439019</v>
      </c>
      <c r="F494" s="1278">
        <v>2.0442164970320702</v>
      </c>
      <c r="G494" s="1248">
        <v>5.0830130261950597</v>
      </c>
      <c r="H494" s="1278">
        <v>3.9695763367994301</v>
      </c>
      <c r="I494" s="1248">
        <v>0.176717517616062</v>
      </c>
      <c r="J494" s="1278">
        <v>1.5451227980617901E-2</v>
      </c>
      <c r="K494" s="1248">
        <v>3.0000008615150898E-3</v>
      </c>
      <c r="L494" s="1250">
        <v>2.0000005741180301E-3</v>
      </c>
      <c r="M494" s="1273">
        <v>2.0000005741180301E-3</v>
      </c>
      <c r="N494" s="1248">
        <v>3.1850009128239903E-2</v>
      </c>
      <c r="O494" s="1249">
        <v>3.1850009128239903E-2</v>
      </c>
      <c r="P494" s="1251">
        <v>1.5925004564119952E-2</v>
      </c>
      <c r="Q494" s="1252">
        <v>0.18470789959028899</v>
      </c>
    </row>
    <row r="495" spans="1:17" s="212" customFormat="1" ht="15.5" x14ac:dyDescent="0.35">
      <c r="A495" s="198">
        <v>2024</v>
      </c>
      <c r="B495" s="197" t="s">
        <v>5842</v>
      </c>
      <c r="C495" s="197">
        <v>1986</v>
      </c>
      <c r="D495" s="213" t="str">
        <f t="shared" si="6"/>
        <v>2024_1986</v>
      </c>
      <c r="E495" s="1267">
        <v>0.22719182026122001</v>
      </c>
      <c r="F495" s="1278">
        <v>1.6054543416117799</v>
      </c>
      <c r="G495" s="1248">
        <v>5.1959874364734997</v>
      </c>
      <c r="H495" s="1278">
        <v>4.3062027099494999</v>
      </c>
      <c r="I495" s="1248">
        <v>0.17124239645220701</v>
      </c>
      <c r="J495" s="1278">
        <v>1.53571998195914E-2</v>
      </c>
      <c r="K495" s="1248">
        <v>3.0000008612341401E-3</v>
      </c>
      <c r="L495" s="1250">
        <v>2.0000005740707198E-3</v>
      </c>
      <c r="M495" s="1273">
        <v>2.0000005740707198E-3</v>
      </c>
      <c r="N495" s="1248">
        <v>3.1850009128239903E-2</v>
      </c>
      <c r="O495" s="1249">
        <v>3.1850009128239903E-2</v>
      </c>
      <c r="P495" s="1251">
        <v>1.5925004564119952E-2</v>
      </c>
      <c r="Q495" s="1252">
        <v>0.178985217742896</v>
      </c>
    </row>
    <row r="496" spans="1:17" s="212" customFormat="1" ht="15.5" x14ac:dyDescent="0.35">
      <c r="A496" s="198">
        <v>2024</v>
      </c>
      <c r="B496" s="197" t="s">
        <v>5842</v>
      </c>
      <c r="C496" s="197">
        <v>1987</v>
      </c>
      <c r="D496" s="213" t="str">
        <f t="shared" si="6"/>
        <v>2024_1987</v>
      </c>
      <c r="E496" s="1267">
        <v>0.28283362594308398</v>
      </c>
      <c r="F496" s="1278">
        <v>2.00458223957994</v>
      </c>
      <c r="G496" s="1248">
        <v>5.3352210528018196</v>
      </c>
      <c r="H496" s="1278">
        <v>4.5018712675320103</v>
      </c>
      <c r="I496" s="1248">
        <v>0.19262031587970699</v>
      </c>
      <c r="J496" s="1278">
        <v>1.52975952360783E-2</v>
      </c>
      <c r="K496" s="1248">
        <v>3.0000008611997999E-3</v>
      </c>
      <c r="L496" s="1250">
        <v>2.0000005741569299E-3</v>
      </c>
      <c r="M496" s="1273">
        <v>2.0000005741569299E-3</v>
      </c>
      <c r="N496" s="1248">
        <v>3.1850009128239903E-2</v>
      </c>
      <c r="O496" s="1249">
        <v>3.1850009128239903E-2</v>
      </c>
      <c r="P496" s="1251">
        <v>1.5925004564119952E-2</v>
      </c>
      <c r="Q496" s="1252">
        <v>0.20132975182379401</v>
      </c>
    </row>
    <row r="497" spans="1:17" s="212" customFormat="1" ht="15.5" x14ac:dyDescent="0.35">
      <c r="A497" s="198">
        <v>2024</v>
      </c>
      <c r="B497" s="197" t="s">
        <v>5842</v>
      </c>
      <c r="C497" s="197">
        <v>1988</v>
      </c>
      <c r="D497" s="213" t="str">
        <f t="shared" si="6"/>
        <v>2024_1988</v>
      </c>
      <c r="E497" s="1267">
        <v>0.27803333886868398</v>
      </c>
      <c r="F497" s="1278">
        <v>0.48338460888441198</v>
      </c>
      <c r="G497" s="1248">
        <v>5.3751931019930996</v>
      </c>
      <c r="H497" s="1278">
        <v>1.2142558388446001</v>
      </c>
      <c r="I497" s="1248">
        <v>0.18935114019558799</v>
      </c>
      <c r="J497" s="1278">
        <v>1.37173715084571E-2</v>
      </c>
      <c r="K497" s="1248">
        <v>3.0000008610244601E-3</v>
      </c>
      <c r="L497" s="1250">
        <v>2.0000005741446702E-3</v>
      </c>
      <c r="M497" s="1273">
        <v>2.0000005741446702E-3</v>
      </c>
      <c r="N497" s="1248">
        <v>3.1850009128239903E-2</v>
      </c>
      <c r="O497" s="1249">
        <v>3.1850009128239903E-2</v>
      </c>
      <c r="P497" s="1251">
        <v>1.5925004564119952E-2</v>
      </c>
      <c r="Q497" s="1252">
        <v>0.197912758521992</v>
      </c>
    </row>
    <row r="498" spans="1:17" s="212" customFormat="1" ht="15.5" x14ac:dyDescent="0.35">
      <c r="A498" s="198">
        <v>2024</v>
      </c>
      <c r="B498" s="197" t="s">
        <v>5842</v>
      </c>
      <c r="C498" s="197">
        <v>1989</v>
      </c>
      <c r="D498" s="213" t="str">
        <f t="shared" si="6"/>
        <v>2024_1989</v>
      </c>
      <c r="E498" s="1267">
        <v>0.27945141781021099</v>
      </c>
      <c r="F498" s="1278">
        <v>0.326931383443266</v>
      </c>
      <c r="G498" s="1248">
        <v>5.3746266307893196</v>
      </c>
      <c r="H498" s="1278">
        <v>1.64097690063454</v>
      </c>
      <c r="I498" s="1248">
        <v>0.19031690518462899</v>
      </c>
      <c r="J498" s="1278">
        <v>1.3383906448161899E-2</v>
      </c>
      <c r="K498" s="1248">
        <v>3.0000008611445199E-3</v>
      </c>
      <c r="L498" s="1250">
        <v>2.0000005740664398E-3</v>
      </c>
      <c r="M498" s="1273">
        <v>2.0000005740664398E-3</v>
      </c>
      <c r="N498" s="1248">
        <v>3.1850009128239903E-2</v>
      </c>
      <c r="O498" s="1249">
        <v>3.1850009128239903E-2</v>
      </c>
      <c r="P498" s="1251">
        <v>1.5925004564119952E-2</v>
      </c>
      <c r="Q498" s="1252">
        <v>0.19892219111831899</v>
      </c>
    </row>
    <row r="499" spans="1:17" s="212" customFormat="1" ht="15.5" x14ac:dyDescent="0.35">
      <c r="A499" s="198">
        <v>2024</v>
      </c>
      <c r="B499" s="197" t="s">
        <v>5842</v>
      </c>
      <c r="C499" s="197">
        <v>1990</v>
      </c>
      <c r="D499" s="213" t="str">
        <f t="shared" si="6"/>
        <v>2024_1990</v>
      </c>
      <c r="E499" s="1267">
        <v>0.28019571802552401</v>
      </c>
      <c r="F499" s="1278">
        <v>0.44613846867952001</v>
      </c>
      <c r="G499" s="1248">
        <v>5.3680528797377596</v>
      </c>
      <c r="H499" s="1278">
        <v>1.66124423473728</v>
      </c>
      <c r="I499" s="1248">
        <v>0.19082380156975601</v>
      </c>
      <c r="J499" s="1278">
        <v>1.39540756662789E-2</v>
      </c>
      <c r="K499" s="1248">
        <v>3.0000008611294898E-3</v>
      </c>
      <c r="L499" s="1250">
        <v>2.0000005742047701E-3</v>
      </c>
      <c r="M499" s="1273">
        <v>2.0000005742047701E-3</v>
      </c>
      <c r="N499" s="1248">
        <v>3.1850009128239903E-2</v>
      </c>
      <c r="O499" s="1249">
        <v>3.1850009128239903E-2</v>
      </c>
      <c r="P499" s="1251">
        <v>1.5925004564119952E-2</v>
      </c>
      <c r="Q499" s="1252">
        <v>0.19945200710866201</v>
      </c>
    </row>
    <row r="500" spans="1:17" s="212" customFormat="1" ht="15.5" x14ac:dyDescent="0.35">
      <c r="A500" s="198">
        <v>2024</v>
      </c>
      <c r="B500" s="197" t="s">
        <v>5842</v>
      </c>
      <c r="C500" s="197">
        <v>1991</v>
      </c>
      <c r="D500" s="213" t="str">
        <f t="shared" si="6"/>
        <v>2024_1991</v>
      </c>
      <c r="E500" s="1267">
        <v>0.36853848416360102</v>
      </c>
      <c r="F500" s="1278">
        <v>0.46350755676748601</v>
      </c>
      <c r="G500" s="1248">
        <v>9.3393879632335697</v>
      </c>
      <c r="H500" s="1278">
        <v>2.9021551034230901</v>
      </c>
      <c r="I500" s="1248">
        <v>5.2230485654300898E-2</v>
      </c>
      <c r="J500" s="1278">
        <v>7.4397585962617304E-3</v>
      </c>
      <c r="K500" s="1248">
        <v>3.00000086129237E-3</v>
      </c>
      <c r="L500" s="1250">
        <v>2.00000057406108E-3</v>
      </c>
      <c r="M500" s="1273">
        <v>2.00000057406108E-3</v>
      </c>
      <c r="N500" s="1248">
        <v>3.1850009128239903E-2</v>
      </c>
      <c r="O500" s="1249">
        <v>3.1850009128239903E-2</v>
      </c>
      <c r="P500" s="1251">
        <v>1.5925004564119952E-2</v>
      </c>
      <c r="Q500" s="1252">
        <v>5.4592116446240999E-2</v>
      </c>
    </row>
    <row r="501" spans="1:17" s="212" customFormat="1" ht="15.5" x14ac:dyDescent="0.35">
      <c r="A501" s="198">
        <v>2024</v>
      </c>
      <c r="B501" s="197" t="s">
        <v>5842</v>
      </c>
      <c r="C501" s="197">
        <v>1992</v>
      </c>
      <c r="D501" s="213" t="str">
        <f t="shared" si="6"/>
        <v>2024_1992</v>
      </c>
      <c r="E501" s="1267">
        <v>0.36937212965368199</v>
      </c>
      <c r="F501" s="1278">
        <v>0.467607837038368</v>
      </c>
      <c r="G501" s="1248">
        <v>9.33017788430457</v>
      </c>
      <c r="H501" s="1278">
        <v>2.9073648319674801</v>
      </c>
      <c r="I501" s="1248">
        <v>5.2348632634009802E-2</v>
      </c>
      <c r="J501" s="1278">
        <v>7.5353771987695401E-3</v>
      </c>
      <c r="K501" s="1248">
        <v>3.0000008612741901E-3</v>
      </c>
      <c r="L501" s="1250">
        <v>2.00000057413567E-3</v>
      </c>
      <c r="M501" s="1273">
        <v>2.00000057413567E-3</v>
      </c>
      <c r="N501" s="1248">
        <v>3.1850009128239903E-2</v>
      </c>
      <c r="O501" s="1249">
        <v>3.1850009128239903E-2</v>
      </c>
      <c r="P501" s="1251">
        <v>1.5925004564119952E-2</v>
      </c>
      <c r="Q501" s="1252">
        <v>5.4715605508102901E-2</v>
      </c>
    </row>
    <row r="502" spans="1:17" s="212" customFormat="1" ht="15.5" x14ac:dyDescent="0.35">
      <c r="A502" s="198">
        <v>2024</v>
      </c>
      <c r="B502" s="197" t="s">
        <v>5842</v>
      </c>
      <c r="C502" s="197">
        <v>1993</v>
      </c>
      <c r="D502" s="213" t="str">
        <f t="shared" si="6"/>
        <v>2024_1993</v>
      </c>
      <c r="E502" s="1267">
        <v>0.37128321301914202</v>
      </c>
      <c r="F502" s="1278">
        <v>0.45832303237029498</v>
      </c>
      <c r="G502" s="1248">
        <v>9.2966570401295794</v>
      </c>
      <c r="H502" s="1278">
        <v>2.8878772334853098</v>
      </c>
      <c r="I502" s="1248">
        <v>5.2619477651811401E-2</v>
      </c>
      <c r="J502" s="1278">
        <v>7.4141412135367898E-3</v>
      </c>
      <c r="K502" s="1248">
        <v>3.00000086133564E-3</v>
      </c>
      <c r="L502" s="1250">
        <v>2.0000005740626499E-3</v>
      </c>
      <c r="M502" s="1273">
        <v>2.0000005740626499E-3</v>
      </c>
      <c r="N502" s="1248">
        <v>3.1850009128239903E-2</v>
      </c>
      <c r="O502" s="1249">
        <v>3.1850009128239903E-2</v>
      </c>
      <c r="P502" s="1251">
        <v>1.5925004564119952E-2</v>
      </c>
      <c r="Q502" s="1252">
        <v>5.4998696935752399E-2</v>
      </c>
    </row>
    <row r="503" spans="1:17" s="212" customFormat="1" ht="15.5" x14ac:dyDescent="0.35">
      <c r="A503" s="198">
        <v>2024</v>
      </c>
      <c r="B503" s="197" t="s">
        <v>5842</v>
      </c>
      <c r="C503" s="197">
        <v>1994</v>
      </c>
      <c r="D503" s="213" t="str">
        <f t="shared" si="6"/>
        <v>2024_1994</v>
      </c>
      <c r="E503" s="1267">
        <v>0.36517370006825101</v>
      </c>
      <c r="F503" s="1278">
        <v>0.45445747586348201</v>
      </c>
      <c r="G503" s="1248">
        <v>9.3886470996229399</v>
      </c>
      <c r="H503" s="1278">
        <v>2.8784355421497798</v>
      </c>
      <c r="I503" s="1248">
        <v>5.22886275735929E-2</v>
      </c>
      <c r="J503" s="1278">
        <v>7.3746041183031996E-3</v>
      </c>
      <c r="K503" s="1248">
        <v>3.00000086125111E-3</v>
      </c>
      <c r="L503" s="1250">
        <v>2.00000057404773E-3</v>
      </c>
      <c r="M503" s="1273">
        <v>2.00000057404773E-3</v>
      </c>
      <c r="N503" s="1248">
        <v>3.1850009128239903E-2</v>
      </c>
      <c r="O503" s="1249">
        <v>3.1850009128239903E-2</v>
      </c>
      <c r="P503" s="1251">
        <v>1.5925004564119952E-2</v>
      </c>
      <c r="Q503" s="1252">
        <v>5.4652887285122402E-2</v>
      </c>
    </row>
    <row r="504" spans="1:17" s="212" customFormat="1" ht="15.5" x14ac:dyDescent="0.35">
      <c r="A504" s="198">
        <v>2024</v>
      </c>
      <c r="B504" s="197" t="s">
        <v>5842</v>
      </c>
      <c r="C504" s="197">
        <v>1995</v>
      </c>
      <c r="D504" s="213" t="str">
        <f t="shared" si="6"/>
        <v>2024_1995</v>
      </c>
      <c r="E504" s="1267">
        <v>0.36739938506756198</v>
      </c>
      <c r="F504" s="1278">
        <v>0.24408554114078701</v>
      </c>
      <c r="G504" s="1248">
        <v>9.3751961117991591</v>
      </c>
      <c r="H504" s="1278">
        <v>1.6455373500621899</v>
      </c>
      <c r="I504" s="1248">
        <v>5.2607319785007198E-2</v>
      </c>
      <c r="J504" s="1278">
        <v>4.8456242753958899E-3</v>
      </c>
      <c r="K504" s="1248">
        <v>3.00000086124632E-3</v>
      </c>
      <c r="L504" s="1250">
        <v>2.0000005741174199E-3</v>
      </c>
      <c r="M504" s="1273">
        <v>2.0000005741174199E-3</v>
      </c>
      <c r="N504" s="1248">
        <v>3.1850009128239903E-2</v>
      </c>
      <c r="O504" s="1249">
        <v>3.1850009128239903E-2</v>
      </c>
      <c r="P504" s="1251">
        <v>1.5925004564119952E-2</v>
      </c>
      <c r="Q504" s="1252">
        <v>5.4985989344161101E-2</v>
      </c>
    </row>
    <row r="505" spans="1:17" s="212" customFormat="1" ht="15.5" x14ac:dyDescent="0.35">
      <c r="A505" s="198">
        <v>2024</v>
      </c>
      <c r="B505" s="197" t="s">
        <v>5842</v>
      </c>
      <c r="C505" s="197">
        <v>1996</v>
      </c>
      <c r="D505" s="213" t="str">
        <f t="shared" si="6"/>
        <v>2024_1996</v>
      </c>
      <c r="E505" s="1267">
        <v>0.36885793283936502</v>
      </c>
      <c r="F505" s="1278">
        <v>2.2339517151240901E-2</v>
      </c>
      <c r="G505" s="1248">
        <v>9.3508978789039094</v>
      </c>
      <c r="H505" s="1278">
        <v>0.39302274229067302</v>
      </c>
      <c r="I505" s="1248">
        <v>5.2816166865790597E-2</v>
      </c>
      <c r="J505" s="1278">
        <v>2.1778012580565402E-3</v>
      </c>
      <c r="K505" s="1248">
        <v>3.0000008612830601E-3</v>
      </c>
      <c r="L505" s="1250">
        <v>2.00000057413107E-3</v>
      </c>
      <c r="M505" s="1273">
        <v>2.00000057413107E-3</v>
      </c>
      <c r="N505" s="1248">
        <v>3.1850009128239903E-2</v>
      </c>
      <c r="O505" s="1249">
        <v>3.1850009128239903E-2</v>
      </c>
      <c r="P505" s="1251">
        <v>1.5925004564119952E-2</v>
      </c>
      <c r="Q505" s="1252">
        <v>5.52042795631923E-2</v>
      </c>
    </row>
    <row r="506" spans="1:17" s="212" customFormat="1" ht="15.5" x14ac:dyDescent="0.35">
      <c r="A506" s="198">
        <v>2024</v>
      </c>
      <c r="B506" s="197" t="s">
        <v>5842</v>
      </c>
      <c r="C506" s="197">
        <v>1997</v>
      </c>
      <c r="D506" s="213" t="str">
        <f t="shared" si="6"/>
        <v>2024_1997</v>
      </c>
      <c r="E506" s="1267">
        <v>0.37070225281132102</v>
      </c>
      <c r="F506" s="1278">
        <v>2.1451516555344701E-2</v>
      </c>
      <c r="G506" s="1248">
        <v>9.30649423392674</v>
      </c>
      <c r="H506" s="1278">
        <v>0.38757440045304398</v>
      </c>
      <c r="I506" s="1248">
        <v>5.3080252039838301E-2</v>
      </c>
      <c r="J506" s="1278">
        <v>2.0952032934122501E-3</v>
      </c>
      <c r="K506" s="1248">
        <v>3.00000086128311E-3</v>
      </c>
      <c r="L506" s="1250">
        <v>2.0000005740482998E-3</v>
      </c>
      <c r="M506" s="1273">
        <v>2.0000005740482998E-3</v>
      </c>
      <c r="N506" s="1248">
        <v>3.1850009128239903E-2</v>
      </c>
      <c r="O506" s="1249">
        <v>3.1850009128239903E-2</v>
      </c>
      <c r="P506" s="1251">
        <v>1.5925004564119952E-2</v>
      </c>
      <c r="Q506" s="1252">
        <v>5.5480305496949697E-2</v>
      </c>
    </row>
    <row r="507" spans="1:17" s="212" customFormat="1" ht="15.5" x14ac:dyDescent="0.35">
      <c r="A507" s="198">
        <v>2024</v>
      </c>
      <c r="B507" s="197" t="s">
        <v>5842</v>
      </c>
      <c r="C507" s="197">
        <v>1998</v>
      </c>
      <c r="D507" s="213" t="str">
        <f t="shared" si="6"/>
        <v>2024_1998</v>
      </c>
      <c r="E507" s="1267">
        <v>0.37231857575323402</v>
      </c>
      <c r="F507" s="1278">
        <v>2.17419405210688E-2</v>
      </c>
      <c r="G507" s="1248">
        <v>9.2944546291546608</v>
      </c>
      <c r="H507" s="1278">
        <v>0.38962444436647498</v>
      </c>
      <c r="I507" s="1248">
        <v>5.3311690690355802E-2</v>
      </c>
      <c r="J507" s="1278">
        <v>2.1264526172254401E-3</v>
      </c>
      <c r="K507" s="1248">
        <v>3.0000008613660701E-3</v>
      </c>
      <c r="L507" s="1250">
        <v>2.0000005740905902E-3</v>
      </c>
      <c r="M507" s="1273">
        <v>2.0000005740905902E-3</v>
      </c>
      <c r="N507" s="1248">
        <v>3.1850009128239903E-2</v>
      </c>
      <c r="O507" s="1249">
        <v>3.1850009128239903E-2</v>
      </c>
      <c r="P507" s="1251">
        <v>1.5925004564119952E-2</v>
      </c>
      <c r="Q507" s="1252">
        <v>5.57222087762499E-2</v>
      </c>
    </row>
    <row r="508" spans="1:17" s="212" customFormat="1" ht="15.5" x14ac:dyDescent="0.35">
      <c r="A508" s="198">
        <v>2024</v>
      </c>
      <c r="B508" s="197" t="s">
        <v>5842</v>
      </c>
      <c r="C508" s="197">
        <v>1999</v>
      </c>
      <c r="D508" s="213" t="str">
        <f t="shared" si="6"/>
        <v>2024_1999</v>
      </c>
      <c r="E508" s="1267">
        <v>0.37017829789176199</v>
      </c>
      <c r="F508" s="1278">
        <v>2.17859958438462E-2</v>
      </c>
      <c r="G508" s="1248">
        <v>9.3263272015444194</v>
      </c>
      <c r="H508" s="1278">
        <v>0.38989701565391399</v>
      </c>
      <c r="I508" s="1248">
        <v>5.3005227787957299E-2</v>
      </c>
      <c r="J508" s="1278">
        <v>2.1260176564686598E-3</v>
      </c>
      <c r="K508" s="1248">
        <v>3.00000086133051E-3</v>
      </c>
      <c r="L508" s="1250">
        <v>2.0000005741046402E-3</v>
      </c>
      <c r="M508" s="1273">
        <v>2.0000005741046402E-3</v>
      </c>
      <c r="N508" s="1248">
        <v>3.1850009128239903E-2</v>
      </c>
      <c r="O508" s="1249">
        <v>3.1850009128239903E-2</v>
      </c>
      <c r="P508" s="1251">
        <v>1.5925004564119952E-2</v>
      </c>
      <c r="Q508" s="1252">
        <v>5.5401888981313999E-2</v>
      </c>
    </row>
    <row r="509" spans="1:17" s="212" customFormat="1" ht="15.5" x14ac:dyDescent="0.35">
      <c r="A509" s="198">
        <v>2024</v>
      </c>
      <c r="B509" s="197" t="s">
        <v>5842</v>
      </c>
      <c r="C509" s="197">
        <v>2000</v>
      </c>
      <c r="D509" s="213" t="str">
        <f t="shared" si="6"/>
        <v>2024_2000</v>
      </c>
      <c r="E509" s="1267">
        <v>0.36643119006072999</v>
      </c>
      <c r="F509" s="1278">
        <v>2.2086649288086801E-2</v>
      </c>
      <c r="G509" s="1248">
        <v>9.4019076031694606</v>
      </c>
      <c r="H509" s="1278">
        <v>0.39248991315709297</v>
      </c>
      <c r="I509" s="1248">
        <v>5.2468685518296899E-2</v>
      </c>
      <c r="J509" s="1278">
        <v>2.1586866956342802E-3</v>
      </c>
      <c r="K509" s="1248">
        <v>3.00000086124768E-3</v>
      </c>
      <c r="L509" s="1250">
        <v>2.0000005741452201E-3</v>
      </c>
      <c r="M509" s="1273">
        <v>2.0000005741452201E-3</v>
      </c>
      <c r="N509" s="1248">
        <v>3.1850009128239903E-2</v>
      </c>
      <c r="O509" s="1249">
        <v>3.1850009128239903E-2</v>
      </c>
      <c r="P509" s="1251">
        <v>1.5925004564119952E-2</v>
      </c>
      <c r="Q509" s="1252">
        <v>5.4841086651090602E-2</v>
      </c>
    </row>
    <row r="510" spans="1:17" s="212" customFormat="1" ht="15.5" x14ac:dyDescent="0.35">
      <c r="A510" s="198">
        <v>2024</v>
      </c>
      <c r="B510" s="197" t="s">
        <v>5842</v>
      </c>
      <c r="C510" s="197">
        <v>2001</v>
      </c>
      <c r="D510" s="213" t="str">
        <f t="shared" si="6"/>
        <v>2024_2001</v>
      </c>
      <c r="E510" s="1267">
        <v>0.36923188950436697</v>
      </c>
      <c r="F510" s="1278">
        <v>2.21498573264742E-2</v>
      </c>
      <c r="G510" s="1248">
        <v>9.3304159342715405</v>
      </c>
      <c r="H510" s="1278">
        <v>0.39304923457089003</v>
      </c>
      <c r="I510" s="1248">
        <v>5.28970587677157E-2</v>
      </c>
      <c r="J510" s="1278">
        <v>2.16879738307918E-3</v>
      </c>
      <c r="K510" s="1248">
        <v>3.0000008613283299E-3</v>
      </c>
      <c r="L510" s="1250">
        <v>2.0000005741726301E-3</v>
      </c>
      <c r="M510" s="1273">
        <v>2.0000005741726301E-3</v>
      </c>
      <c r="N510" s="1248">
        <v>3.1850009128239903E-2</v>
      </c>
      <c r="O510" s="1249">
        <v>3.1850009128239903E-2</v>
      </c>
      <c r="P510" s="1251">
        <v>1.5925004564119952E-2</v>
      </c>
      <c r="Q510" s="1252">
        <v>5.528882903797E-2</v>
      </c>
    </row>
    <row r="511" spans="1:17" s="212" customFormat="1" ht="15.5" x14ac:dyDescent="0.35">
      <c r="A511" s="198">
        <v>2024</v>
      </c>
      <c r="B511" s="197" t="s">
        <v>5842</v>
      </c>
      <c r="C511" s="197">
        <v>2002</v>
      </c>
      <c r="D511" s="213" t="str">
        <f t="shared" si="6"/>
        <v>2024_2002</v>
      </c>
      <c r="E511" s="1267">
        <v>0.28554407036761797</v>
      </c>
      <c r="F511" s="1278">
        <v>2.20418289638835E-2</v>
      </c>
      <c r="G511" s="1248">
        <v>7.1877524354567797</v>
      </c>
      <c r="H511" s="1278">
        <v>0.31484803460827299</v>
      </c>
      <c r="I511" s="1248">
        <v>5.3315146716104503E-2</v>
      </c>
      <c r="J511" s="1278">
        <v>2.1660920329600701E-3</v>
      </c>
      <c r="K511" s="1248">
        <v>3.0000008613422298E-3</v>
      </c>
      <c r="L511" s="1250">
        <v>2.0000005741471301E-3</v>
      </c>
      <c r="M511" s="1273">
        <v>2.0000005741471301E-3</v>
      </c>
      <c r="N511" s="1248">
        <v>3.1850009128239903E-2</v>
      </c>
      <c r="O511" s="1249">
        <v>3.1850009128239903E-2</v>
      </c>
      <c r="P511" s="1251">
        <v>1.5925004564119952E-2</v>
      </c>
      <c r="Q511" s="1252">
        <v>5.5725821068146997E-2</v>
      </c>
    </row>
    <row r="512" spans="1:17" s="212" customFormat="1" ht="15.5" x14ac:dyDescent="0.35">
      <c r="A512" s="198">
        <v>2024</v>
      </c>
      <c r="B512" s="197" t="s">
        <v>5842</v>
      </c>
      <c r="C512" s="197">
        <v>2003</v>
      </c>
      <c r="D512" s="213" t="str">
        <f t="shared" si="6"/>
        <v>2024_2003</v>
      </c>
      <c r="E512" s="1267">
        <v>0.28158825995742798</v>
      </c>
      <c r="F512" s="1278">
        <v>2.1664384327874299E-2</v>
      </c>
      <c r="G512" s="1248">
        <v>7.2283212838119404</v>
      </c>
      <c r="H512" s="1278">
        <v>0.31094214479132598</v>
      </c>
      <c r="I512" s="1248">
        <v>5.26725792935464E-2</v>
      </c>
      <c r="J512" s="1278">
        <v>2.1350675938863299E-3</v>
      </c>
      <c r="K512" s="1248">
        <v>3.00000086126633E-3</v>
      </c>
      <c r="L512" s="1250">
        <v>2.00000057413328E-3</v>
      </c>
      <c r="M512" s="1273">
        <v>2.00000057413328E-3</v>
      </c>
      <c r="N512" s="1248">
        <v>3.1850009128239903E-2</v>
      </c>
      <c r="O512" s="1249">
        <v>3.1850009128239903E-2</v>
      </c>
      <c r="P512" s="1251">
        <v>1.5925004564119952E-2</v>
      </c>
      <c r="Q512" s="1252">
        <v>5.5054199598091602E-2</v>
      </c>
    </row>
    <row r="513" spans="1:17" s="212" customFormat="1" ht="15.5" x14ac:dyDescent="0.35">
      <c r="A513" s="198">
        <v>2024</v>
      </c>
      <c r="B513" s="197" t="s">
        <v>5842</v>
      </c>
      <c r="C513" s="197">
        <v>2004</v>
      </c>
      <c r="D513" s="213" t="str">
        <f t="shared" si="6"/>
        <v>2024_2004</v>
      </c>
      <c r="E513" s="1267">
        <v>0.56769356000557503</v>
      </c>
      <c r="F513" s="1278">
        <v>1.41931313527937E-2</v>
      </c>
      <c r="G513" s="1248">
        <v>4.1384711805101002</v>
      </c>
      <c r="H513" s="1278">
        <v>0.25912932413859402</v>
      </c>
      <c r="I513" s="1248">
        <v>0.14872237214042999</v>
      </c>
      <c r="J513" s="1278">
        <v>1.3882923396650501E-4</v>
      </c>
      <c r="K513" s="1248">
        <v>3.00000086126188E-3</v>
      </c>
      <c r="L513" s="1250">
        <v>2.0000005740682101E-3</v>
      </c>
      <c r="M513" s="1273">
        <v>2.0000005740682101E-3</v>
      </c>
      <c r="N513" s="1248">
        <v>3.1850009128239903E-2</v>
      </c>
      <c r="O513" s="1249">
        <v>3.1850009128239903E-2</v>
      </c>
      <c r="P513" s="1251">
        <v>1.5925004564119952E-2</v>
      </c>
      <c r="Q513" s="1252">
        <v>0.15544693786286801</v>
      </c>
    </row>
    <row r="514" spans="1:17" s="212" customFormat="1" ht="15.5" x14ac:dyDescent="0.35">
      <c r="A514" s="198">
        <v>2024</v>
      </c>
      <c r="B514" s="197" t="s">
        <v>5842</v>
      </c>
      <c r="C514" s="197">
        <v>2005</v>
      </c>
      <c r="D514" s="213" t="str">
        <f t="shared" si="6"/>
        <v>2024_2005</v>
      </c>
      <c r="E514" s="1267">
        <v>0.56072846714130198</v>
      </c>
      <c r="F514" s="1278">
        <v>1.39357954890216E-2</v>
      </c>
      <c r="G514" s="1248">
        <v>4.1279904107089402</v>
      </c>
      <c r="H514" s="1278">
        <v>0.25574436651906302</v>
      </c>
      <c r="I514" s="1248">
        <v>0.14744407077257099</v>
      </c>
      <c r="J514" s="1278">
        <v>1.4074541652082099E-4</v>
      </c>
      <c r="K514" s="1248">
        <v>3.0000008612358501E-3</v>
      </c>
      <c r="L514" s="1250">
        <v>2.0000005741066598E-3</v>
      </c>
      <c r="M514" s="1273">
        <v>2.0000005741066598E-3</v>
      </c>
      <c r="N514" s="1248">
        <v>3.1850009128239903E-2</v>
      </c>
      <c r="O514" s="1249">
        <v>3.1850009128239903E-2</v>
      </c>
      <c r="P514" s="1251">
        <v>1.5925004564119952E-2</v>
      </c>
      <c r="Q514" s="1252">
        <v>0.15411083737953299</v>
      </c>
    </row>
    <row r="515" spans="1:17" s="212" customFormat="1" ht="15.5" x14ac:dyDescent="0.35">
      <c r="A515" s="198">
        <v>2024</v>
      </c>
      <c r="B515" s="197" t="s">
        <v>5842</v>
      </c>
      <c r="C515" s="197">
        <v>2006</v>
      </c>
      <c r="D515" s="213" t="str">
        <f t="shared" si="6"/>
        <v>2024_2006</v>
      </c>
      <c r="E515" s="1267">
        <v>0.55143757638115998</v>
      </c>
      <c r="F515" s="1278">
        <v>1.3817556935591301E-2</v>
      </c>
      <c r="G515" s="1248">
        <v>4.1113477165615402</v>
      </c>
      <c r="H515" s="1278">
        <v>0.25107557633413302</v>
      </c>
      <c r="I515" s="1248">
        <v>0.145693572403226</v>
      </c>
      <c r="J515" s="1278">
        <v>1.4170880068616301E-4</v>
      </c>
      <c r="K515" s="1248">
        <v>3.0000008612218699E-3</v>
      </c>
      <c r="L515" s="1250">
        <v>2.0000005741214401E-3</v>
      </c>
      <c r="M515" s="1273">
        <v>2.0000005741214401E-3</v>
      </c>
      <c r="N515" s="1248">
        <v>3.1850009128239903E-2</v>
      </c>
      <c r="O515" s="1249">
        <v>3.1850009128239903E-2</v>
      </c>
      <c r="P515" s="1251">
        <v>1.5925004564119952E-2</v>
      </c>
      <c r="Q515" s="1252">
        <v>0.15228118924164699</v>
      </c>
    </row>
    <row r="516" spans="1:17" s="212" customFormat="1" ht="15.5" x14ac:dyDescent="0.35">
      <c r="A516" s="198">
        <v>2024</v>
      </c>
      <c r="B516" s="197" t="s">
        <v>5842</v>
      </c>
      <c r="C516" s="197">
        <v>2007</v>
      </c>
      <c r="D516" s="213" t="str">
        <f t="shared" si="6"/>
        <v>2024_2007</v>
      </c>
      <c r="E516" s="1267">
        <v>0.31884193774920799</v>
      </c>
      <c r="F516" s="1278">
        <v>1.36080733215489E-2</v>
      </c>
      <c r="G516" s="1248">
        <v>2.4553805832738198</v>
      </c>
      <c r="H516" s="1278">
        <v>0.250484097411733</v>
      </c>
      <c r="I516" s="1248">
        <v>8.4447423409152997E-2</v>
      </c>
      <c r="J516" s="1278">
        <v>1.44930819189701E-4</v>
      </c>
      <c r="K516" s="1248">
        <v>3.00000086122596E-3</v>
      </c>
      <c r="L516" s="1250">
        <v>2.0000005741793001E-3</v>
      </c>
      <c r="M516" s="1273">
        <v>2.0000005741793001E-3</v>
      </c>
      <c r="N516" s="1248">
        <v>3.1850009128239903E-2</v>
      </c>
      <c r="O516" s="1249">
        <v>3.1850009128239903E-2</v>
      </c>
      <c r="P516" s="1251">
        <v>1.5925004564119952E-2</v>
      </c>
      <c r="Q516" s="1252">
        <v>8.8265761165823395E-2</v>
      </c>
    </row>
    <row r="517" spans="1:17" s="212" customFormat="1" ht="15.5" x14ac:dyDescent="0.35">
      <c r="A517" s="198">
        <v>2024</v>
      </c>
      <c r="B517" s="197" t="s">
        <v>5842</v>
      </c>
      <c r="C517" s="197">
        <v>2008</v>
      </c>
      <c r="D517" s="213" t="str">
        <f t="shared" si="6"/>
        <v>2024_2008</v>
      </c>
      <c r="E517" s="1267">
        <v>0.32171407993992701</v>
      </c>
      <c r="F517" s="1278">
        <v>9.1943221833775401E-3</v>
      </c>
      <c r="G517" s="1248">
        <v>2.4710665225386599</v>
      </c>
      <c r="H517" s="1278">
        <v>0.14125819068398501</v>
      </c>
      <c r="I517" s="1248">
        <v>8.5062188728681903E-2</v>
      </c>
      <c r="J517" s="1278">
        <v>1.4105624328201899E-4</v>
      </c>
      <c r="K517" s="1248">
        <v>3.0000008613134299E-3</v>
      </c>
      <c r="L517" s="1250">
        <v>2.0000005742003201E-3</v>
      </c>
      <c r="M517" s="1273">
        <v>2.0000005742003201E-3</v>
      </c>
      <c r="N517" s="1248">
        <v>3.1850009128239903E-2</v>
      </c>
      <c r="O517" s="1249">
        <v>3.1850009128239903E-2</v>
      </c>
      <c r="P517" s="1251">
        <v>1.5925004564119952E-2</v>
      </c>
      <c r="Q517" s="1252">
        <v>8.8908323445120702E-2</v>
      </c>
    </row>
    <row r="518" spans="1:17" s="212" customFormat="1" ht="15.5" x14ac:dyDescent="0.35">
      <c r="A518" s="198">
        <v>2024</v>
      </c>
      <c r="B518" s="197" t="s">
        <v>5842</v>
      </c>
      <c r="C518" s="197">
        <v>2009</v>
      </c>
      <c r="D518" s="213" t="str">
        <f t="shared" si="6"/>
        <v>2024_2009</v>
      </c>
      <c r="E518" s="1267">
        <v>0.31552421098789601</v>
      </c>
      <c r="F518" s="1278">
        <v>4.63978036175267E-3</v>
      </c>
      <c r="G518" s="1248">
        <v>2.4573001287551102</v>
      </c>
      <c r="H518" s="1278">
        <v>3.8151600432107198E-2</v>
      </c>
      <c r="I518" s="1248">
        <v>8.3749806915911107E-2</v>
      </c>
      <c r="J518" s="1278">
        <v>1.2963872293209199E-4</v>
      </c>
      <c r="K518" s="1248">
        <v>3.0000008612752001E-3</v>
      </c>
      <c r="L518" s="1250">
        <v>2.00000057414389E-3</v>
      </c>
      <c r="M518" s="1273">
        <v>2.00000057414389E-3</v>
      </c>
      <c r="N518" s="1248">
        <v>3.1850009128239903E-2</v>
      </c>
      <c r="O518" s="1249">
        <v>3.1850009128239903E-2</v>
      </c>
      <c r="P518" s="1251">
        <v>1.5925004564119952E-2</v>
      </c>
      <c r="Q518" s="1252">
        <v>8.7536601550384396E-2</v>
      </c>
    </row>
    <row r="519" spans="1:17" s="212" customFormat="1" ht="15.5" x14ac:dyDescent="0.35">
      <c r="A519" s="198">
        <v>2024</v>
      </c>
      <c r="B519" s="197" t="s">
        <v>5842</v>
      </c>
      <c r="C519" s="197">
        <v>2010</v>
      </c>
      <c r="D519" s="213" t="str">
        <f t="shared" si="6"/>
        <v>2024_2010</v>
      </c>
      <c r="E519" s="1267">
        <v>8.5766056170496902E-2</v>
      </c>
      <c r="F519" s="1278">
        <v>4.6357517701271899E-3</v>
      </c>
      <c r="G519" s="1248">
        <v>0.74983148569684299</v>
      </c>
      <c r="H519" s="1278">
        <v>3.8346067231311898E-2</v>
      </c>
      <c r="I519" s="1248">
        <v>2.1352160269716602E-2</v>
      </c>
      <c r="J519" s="1278">
        <v>1.5834258258105101E-4</v>
      </c>
      <c r="K519" s="1248">
        <v>3.0000008613195999E-3</v>
      </c>
      <c r="L519" s="1250">
        <v>2.0000005741208299E-3</v>
      </c>
      <c r="M519" s="1273">
        <v>2.0000005741208299E-3</v>
      </c>
      <c r="N519" s="1248">
        <v>3.1850009128239903E-2</v>
      </c>
      <c r="O519" s="1249">
        <v>3.1850009128239903E-2</v>
      </c>
      <c r="P519" s="1251">
        <v>1.5925004564119952E-2</v>
      </c>
      <c r="Q519" s="1252">
        <v>2.2317610208305302E-2</v>
      </c>
    </row>
    <row r="520" spans="1:17" s="212" customFormat="1" ht="15.5" x14ac:dyDescent="0.35">
      <c r="A520" s="198">
        <v>2024</v>
      </c>
      <c r="B520" s="197" t="s">
        <v>5842</v>
      </c>
      <c r="C520" s="197">
        <v>2011</v>
      </c>
      <c r="D520" s="213" t="str">
        <f t="shared" si="6"/>
        <v>2024_2011</v>
      </c>
      <c r="E520" s="1267">
        <v>8.4017849393129299E-2</v>
      </c>
      <c r="F520" s="1278">
        <v>4.8272160538776502E-3</v>
      </c>
      <c r="G520" s="1248">
        <v>0.73140341479828896</v>
      </c>
      <c r="H520" s="1278">
        <v>3.8179175580464297E-2</v>
      </c>
      <c r="I520" s="1248">
        <v>2.0513571754271601E-2</v>
      </c>
      <c r="J520" s="1278">
        <v>2.1654272135659199E-4</v>
      </c>
      <c r="K520" s="1248">
        <v>3.0000008612902501E-3</v>
      </c>
      <c r="L520" s="1250">
        <v>2.0000005742212799E-3</v>
      </c>
      <c r="M520" s="1273">
        <v>2.0000005742212799E-3</v>
      </c>
      <c r="N520" s="1248">
        <v>3.1850009128239903E-2</v>
      </c>
      <c r="O520" s="1249">
        <v>3.1850009128239903E-2</v>
      </c>
      <c r="P520" s="1251">
        <v>1.5925004564119952E-2</v>
      </c>
      <c r="Q520" s="1252">
        <v>2.1441104441373302E-2</v>
      </c>
    </row>
    <row r="521" spans="1:17" s="212" customFormat="1" ht="15.5" x14ac:dyDescent="0.35">
      <c r="A521" s="198">
        <v>2024</v>
      </c>
      <c r="B521" s="197" t="s">
        <v>5842</v>
      </c>
      <c r="C521" s="197">
        <v>2012</v>
      </c>
      <c r="D521" s="213" t="str">
        <f t="shared" si="6"/>
        <v>2024_2012</v>
      </c>
      <c r="E521" s="1267">
        <v>8.3668552030099805E-2</v>
      </c>
      <c r="F521" s="1278">
        <v>4.8436473737485499E-3</v>
      </c>
      <c r="G521" s="1248">
        <v>0.71779335302181901</v>
      </c>
      <c r="H521" s="1278">
        <v>3.8161129121352097E-2</v>
      </c>
      <c r="I521" s="1248">
        <v>1.9861548480213102E-2</v>
      </c>
      <c r="J521" s="1278">
        <v>3.1620079340304399E-4</v>
      </c>
      <c r="K521" s="1248">
        <v>3.0000008613492802E-3</v>
      </c>
      <c r="L521" s="1250">
        <v>2.0000005742307398E-3</v>
      </c>
      <c r="M521" s="1273">
        <v>2.0000005742307398E-3</v>
      </c>
      <c r="N521" s="1248">
        <v>3.1850009128239903E-2</v>
      </c>
      <c r="O521" s="1249">
        <v>3.1850009128239903E-2</v>
      </c>
      <c r="P521" s="1251">
        <v>1.5925004564119952E-2</v>
      </c>
      <c r="Q521" s="1252">
        <v>2.0759599568172301E-2</v>
      </c>
    </row>
    <row r="522" spans="1:17" s="212" customFormat="1" ht="15.5" x14ac:dyDescent="0.35">
      <c r="A522" s="198">
        <v>2024</v>
      </c>
      <c r="B522" s="197" t="s">
        <v>5842</v>
      </c>
      <c r="C522" s="197">
        <v>2013</v>
      </c>
      <c r="D522" s="213" t="str">
        <f t="shared" si="6"/>
        <v>2024_2013</v>
      </c>
      <c r="E522" s="1267">
        <v>8.25504655478531E-2</v>
      </c>
      <c r="F522" s="1278">
        <v>4.9342555664230398E-3</v>
      </c>
      <c r="G522" s="1248">
        <v>0.69884989194357705</v>
      </c>
      <c r="H522" s="1278">
        <v>3.80345811198931E-2</v>
      </c>
      <c r="I522" s="1248">
        <v>1.9016772706394298E-2</v>
      </c>
      <c r="J522" s="1278">
        <v>4.7485879967450699E-4</v>
      </c>
      <c r="K522" s="1248">
        <v>3.0000008613736001E-3</v>
      </c>
      <c r="L522" s="1250">
        <v>2.0000005742680802E-3</v>
      </c>
      <c r="M522" s="1273">
        <v>2.0000005742680802E-3</v>
      </c>
      <c r="N522" s="1248">
        <v>3.1850009128239903E-2</v>
      </c>
      <c r="O522" s="1249">
        <v>3.1850009128239903E-2</v>
      </c>
      <c r="P522" s="1251">
        <v>1.5925004564119952E-2</v>
      </c>
      <c r="Q522" s="1252">
        <v>1.9876626782498401E-2</v>
      </c>
    </row>
    <row r="523" spans="1:17" s="212" customFormat="1" ht="15.5" x14ac:dyDescent="0.35">
      <c r="A523" s="198">
        <v>2024</v>
      </c>
      <c r="B523" s="197" t="s">
        <v>5842</v>
      </c>
      <c r="C523" s="197">
        <v>2014</v>
      </c>
      <c r="D523" s="213" t="str">
        <f t="shared" si="6"/>
        <v>2024_2014</v>
      </c>
      <c r="E523" s="1267">
        <v>8.0408339879711799E-2</v>
      </c>
      <c r="F523" s="1278">
        <v>4.8628999227286101E-3</v>
      </c>
      <c r="G523" s="1248">
        <v>0.67629825696611701</v>
      </c>
      <c r="H523" s="1278">
        <v>3.8196185529240201E-2</v>
      </c>
      <c r="I523" s="1248">
        <v>1.79800970608728E-2</v>
      </c>
      <c r="J523" s="1278">
        <v>6.5930658245065305E-4</v>
      </c>
      <c r="K523" s="1248">
        <v>3.0000008613106201E-3</v>
      </c>
      <c r="L523" s="1250">
        <v>2.0000005742231599E-3</v>
      </c>
      <c r="M523" s="1273">
        <v>2.0000005742231599E-3</v>
      </c>
      <c r="N523" s="1248">
        <v>3.1850009128239903E-2</v>
      </c>
      <c r="O523" s="1249">
        <v>3.1850009128239903E-2</v>
      </c>
      <c r="P523" s="1251">
        <v>1.5925004564119952E-2</v>
      </c>
      <c r="Q523" s="1252">
        <v>1.8793077264466398E-2</v>
      </c>
    </row>
    <row r="524" spans="1:17" s="212" customFormat="1" ht="15.5" x14ac:dyDescent="0.35">
      <c r="A524" s="198">
        <v>2024</v>
      </c>
      <c r="B524" s="197" t="s">
        <v>5842</v>
      </c>
      <c r="C524" s="197">
        <v>2015</v>
      </c>
      <c r="D524" s="213" t="str">
        <f t="shared" si="6"/>
        <v>2024_2015</v>
      </c>
      <c r="E524" s="1267">
        <v>7.9377209543478003E-2</v>
      </c>
      <c r="F524" s="1278">
        <v>4.99973123911817E-3</v>
      </c>
      <c r="G524" s="1248">
        <v>0.65673628704887099</v>
      </c>
      <c r="H524" s="1278">
        <v>3.77447421939597E-2</v>
      </c>
      <c r="I524" s="1248">
        <v>1.7060874409907001E-2</v>
      </c>
      <c r="J524" s="1278">
        <v>8.3442675828555304E-4</v>
      </c>
      <c r="K524" s="1248">
        <v>3.0000008613199599E-3</v>
      </c>
      <c r="L524" s="1250">
        <v>2.00000057425788E-3</v>
      </c>
      <c r="M524" s="1273">
        <v>2.00000057425788E-3</v>
      </c>
      <c r="N524" s="1248">
        <v>3.1850009128239903E-2</v>
      </c>
      <c r="O524" s="1249">
        <v>3.1850009128239903E-2</v>
      </c>
      <c r="P524" s="1251">
        <v>1.5925004564119952E-2</v>
      </c>
      <c r="Q524" s="1252">
        <v>1.78322914442141E-2</v>
      </c>
    </row>
    <row r="525" spans="1:17" s="212" customFormat="1" ht="15.5" x14ac:dyDescent="0.35">
      <c r="A525" s="198">
        <v>2024</v>
      </c>
      <c r="B525" s="197" t="s">
        <v>5842</v>
      </c>
      <c r="C525" s="197">
        <v>2016</v>
      </c>
      <c r="D525" s="213" t="str">
        <f t="shared" si="6"/>
        <v>2024_2016</v>
      </c>
      <c r="E525" s="1267">
        <v>7.8148729240752696E-2</v>
      </c>
      <c r="F525" s="1278">
        <v>4.6546606717750303E-3</v>
      </c>
      <c r="G525" s="1248">
        <v>0.56158351130397399</v>
      </c>
      <c r="H525" s="1278">
        <v>3.5076173654038603E-2</v>
      </c>
      <c r="I525" s="1248">
        <v>1.6059197283772E-2</v>
      </c>
      <c r="J525" s="1278">
        <v>9.6001405290494803E-4</v>
      </c>
      <c r="K525" s="1248">
        <v>3.0000008613361201E-3</v>
      </c>
      <c r="L525" s="1250">
        <v>2.0000005742386198E-3</v>
      </c>
      <c r="M525" s="1273">
        <v>2.0000005742386198E-3</v>
      </c>
      <c r="N525" s="1248">
        <v>3.1850009128239903E-2</v>
      </c>
      <c r="O525" s="1249">
        <v>3.1850009128239903E-2</v>
      </c>
      <c r="P525" s="1251">
        <v>1.5925004564119952E-2</v>
      </c>
      <c r="Q525" s="1252">
        <v>1.6785322923311599E-2</v>
      </c>
    </row>
    <row r="526" spans="1:17" s="212" customFormat="1" ht="15.5" x14ac:dyDescent="0.35">
      <c r="A526" s="198">
        <v>2024</v>
      </c>
      <c r="B526" s="197" t="s">
        <v>5842</v>
      </c>
      <c r="C526" s="197">
        <v>2017</v>
      </c>
      <c r="D526" s="213" t="str">
        <f t="shared" si="6"/>
        <v>2024_2017</v>
      </c>
      <c r="E526" s="1267">
        <v>7.5818464647611994E-2</v>
      </c>
      <c r="F526" s="1278">
        <v>4.4302161224039202E-3</v>
      </c>
      <c r="G526" s="1248">
        <v>0.46717667841833399</v>
      </c>
      <c r="H526" s="1278">
        <v>3.21620108954907E-2</v>
      </c>
      <c r="I526" s="1248">
        <v>1.48502966534237E-2</v>
      </c>
      <c r="J526" s="1278">
        <v>1.03545131855475E-3</v>
      </c>
      <c r="K526" s="1248">
        <v>3.0000008612814299E-3</v>
      </c>
      <c r="L526" s="1250">
        <v>2.00000057429245E-3</v>
      </c>
      <c r="M526" s="1273">
        <v>2.00000057429245E-3</v>
      </c>
      <c r="N526" s="1248">
        <v>3.1850009128239903E-2</v>
      </c>
      <c r="O526" s="1249">
        <v>3.1850009128239903E-2</v>
      </c>
      <c r="P526" s="1251">
        <v>1.5925004564119952E-2</v>
      </c>
      <c r="Q526" s="1252">
        <v>1.55217611708761E-2</v>
      </c>
    </row>
    <row r="527" spans="1:17" s="212" customFormat="1" ht="15.5" x14ac:dyDescent="0.35">
      <c r="A527" s="198">
        <v>2024</v>
      </c>
      <c r="B527" s="197" t="s">
        <v>5842</v>
      </c>
      <c r="C527" s="197">
        <v>2018</v>
      </c>
      <c r="D527" s="213" t="str">
        <f t="shared" si="6"/>
        <v>2024_2018</v>
      </c>
      <c r="E527" s="1267">
        <v>7.5047571109261593E-2</v>
      </c>
      <c r="F527" s="1278">
        <v>3.9417706173640399E-3</v>
      </c>
      <c r="G527" s="1248">
        <v>0.37317235845179603</v>
      </c>
      <c r="H527" s="1278">
        <v>2.8413131042887601E-2</v>
      </c>
      <c r="I527" s="1248">
        <v>1.3805073688660701E-2</v>
      </c>
      <c r="J527" s="1278">
        <v>1.07702981679152E-3</v>
      </c>
      <c r="K527" s="1248">
        <v>3.0000008613425598E-3</v>
      </c>
      <c r="L527" s="1250">
        <v>2.0000005742439298E-3</v>
      </c>
      <c r="M527" s="1273">
        <v>2.0000005742439298E-3</v>
      </c>
      <c r="N527" s="1248">
        <v>3.1850009128239903E-2</v>
      </c>
      <c r="O527" s="1249">
        <v>3.1850009128239903E-2</v>
      </c>
      <c r="P527" s="1251">
        <v>1.5925004564119952E-2</v>
      </c>
      <c r="Q527" s="1252">
        <v>1.44292778617547E-2</v>
      </c>
    </row>
    <row r="528" spans="1:17" s="212" customFormat="1" ht="15.5" x14ac:dyDescent="0.35">
      <c r="A528" s="198">
        <v>2024</v>
      </c>
      <c r="B528" s="197" t="s">
        <v>5842</v>
      </c>
      <c r="C528" s="197">
        <v>2019</v>
      </c>
      <c r="D528" s="213" t="str">
        <f t="shared" si="6"/>
        <v>2024_2019</v>
      </c>
      <c r="E528" s="1267">
        <v>7.3591579602650795E-2</v>
      </c>
      <c r="F528" s="1278">
        <v>3.4666555398768601E-3</v>
      </c>
      <c r="G528" s="1248">
        <v>0.30966565659955197</v>
      </c>
      <c r="H528" s="1278">
        <v>2.5020756078857301E-2</v>
      </c>
      <c r="I528" s="1248">
        <v>1.2605538084451501E-2</v>
      </c>
      <c r="J528" s="1278">
        <v>1.0980978179544699E-3</v>
      </c>
      <c r="K528" s="1248">
        <v>3.0000008613904998E-3</v>
      </c>
      <c r="L528" s="1250">
        <v>2.0000005741939702E-3</v>
      </c>
      <c r="M528" s="1273">
        <v>2.0000005741939702E-3</v>
      </c>
      <c r="N528" s="1248">
        <v>3.1850009128239903E-2</v>
      </c>
      <c r="O528" s="1249">
        <v>3.1850009128239903E-2</v>
      </c>
      <c r="P528" s="1251">
        <v>1.5925004564119952E-2</v>
      </c>
      <c r="Q528" s="1252">
        <v>1.31755045803836E-2</v>
      </c>
    </row>
    <row r="529" spans="1:17" s="212" customFormat="1" ht="15.5" x14ac:dyDescent="0.35">
      <c r="A529" s="198">
        <v>2024</v>
      </c>
      <c r="B529" s="197" t="s">
        <v>5842</v>
      </c>
      <c r="C529" s="197">
        <v>2020</v>
      </c>
      <c r="D529" s="213" t="str">
        <f t="shared" si="6"/>
        <v>2024_2020</v>
      </c>
      <c r="E529" s="1267">
        <v>6.3638749343904399E-2</v>
      </c>
      <c r="F529" s="1278">
        <v>2.9709922367060402E-3</v>
      </c>
      <c r="G529" s="1248">
        <v>0.233227738505072</v>
      </c>
      <c r="H529" s="1278">
        <v>2.2680288747888799E-2</v>
      </c>
      <c r="I529" s="1248">
        <v>1.03823839567892E-2</v>
      </c>
      <c r="J529" s="1278">
        <v>1.0851755478461201E-3</v>
      </c>
      <c r="K529" s="1248">
        <v>3.0000008609622499E-3</v>
      </c>
      <c r="L529" s="1250">
        <v>2.00000057407032E-3</v>
      </c>
      <c r="M529" s="1273">
        <v>2.00000057407032E-3</v>
      </c>
      <c r="N529" s="1248">
        <v>3.1850009128239903E-2</v>
      </c>
      <c r="O529" s="1249">
        <v>3.1850009128239903E-2</v>
      </c>
      <c r="P529" s="1251">
        <v>1.5925004564119952E-2</v>
      </c>
      <c r="Q529" s="1252">
        <v>1.0851829288168699E-2</v>
      </c>
    </row>
    <row r="530" spans="1:17" s="212" customFormat="1" ht="15.5" x14ac:dyDescent="0.35">
      <c r="A530" s="198">
        <v>2024</v>
      </c>
      <c r="B530" s="197" t="s">
        <v>5842</v>
      </c>
      <c r="C530" s="197">
        <v>2021</v>
      </c>
      <c r="D530" s="213" t="str">
        <f t="shared" si="6"/>
        <v>2024_2021</v>
      </c>
      <c r="E530" s="1267">
        <v>6.2035412959447603E-2</v>
      </c>
      <c r="F530" s="1278">
        <v>2.75147855583257E-3</v>
      </c>
      <c r="G530" s="1248">
        <v>0.180798268926808</v>
      </c>
      <c r="H530" s="1278">
        <v>2.1038992946141699E-2</v>
      </c>
      <c r="I530" s="1248">
        <v>9.1409236397448704E-3</v>
      </c>
      <c r="J530" s="1278">
        <v>1.0853566992072999E-3</v>
      </c>
      <c r="K530" s="1248">
        <v>3.0000008609645198E-3</v>
      </c>
      <c r="L530" s="1250">
        <v>2.00000057407203E-3</v>
      </c>
      <c r="M530" s="1273">
        <v>2.00000057407203E-3</v>
      </c>
      <c r="N530" s="1248">
        <v>3.1850009128239903E-2</v>
      </c>
      <c r="O530" s="1249">
        <v>3.1850009128239903E-2</v>
      </c>
      <c r="P530" s="1251">
        <v>1.5925004564119952E-2</v>
      </c>
      <c r="Q530" s="1252">
        <v>9.5542356444862295E-3</v>
      </c>
    </row>
    <row r="531" spans="1:17" s="212" customFormat="1" ht="15.5" x14ac:dyDescent="0.35">
      <c r="A531" s="198">
        <v>2024</v>
      </c>
      <c r="B531" s="197" t="s">
        <v>5842</v>
      </c>
      <c r="C531" s="197">
        <v>2022</v>
      </c>
      <c r="D531" s="213" t="str">
        <f t="shared" si="6"/>
        <v>2024_2022</v>
      </c>
      <c r="E531" s="1267">
        <v>6.0351613976032698E-2</v>
      </c>
      <c r="F531" s="1278">
        <v>2.5471631293066299E-3</v>
      </c>
      <c r="G531" s="1248">
        <v>0.131795676422929</v>
      </c>
      <c r="H531" s="1278">
        <v>1.9726783026909601E-2</v>
      </c>
      <c r="I531" s="1248">
        <v>7.8388467626454208E-3</v>
      </c>
      <c r="J531" s="1278">
        <v>1.0855298977171799E-3</v>
      </c>
      <c r="K531" s="1248">
        <v>3.0000008609667099E-3</v>
      </c>
      <c r="L531" s="1250">
        <v>2.0000005740736702E-3</v>
      </c>
      <c r="M531" s="1273">
        <v>2.0000005740736702E-3</v>
      </c>
      <c r="N531" s="1248">
        <v>3.1850009128239903E-2</v>
      </c>
      <c r="O531" s="1249">
        <v>3.1850009128239903E-2</v>
      </c>
      <c r="P531" s="1251">
        <v>1.5925004564119952E-2</v>
      </c>
      <c r="Q531" s="1252">
        <v>8.1932846288848993E-3</v>
      </c>
    </row>
    <row r="532" spans="1:17" s="212" customFormat="1" ht="15.5" x14ac:dyDescent="0.35">
      <c r="A532" s="198">
        <v>2024</v>
      </c>
      <c r="B532" s="197" t="s">
        <v>5842</v>
      </c>
      <c r="C532" s="197">
        <v>2023</v>
      </c>
      <c r="D532" s="213" t="str">
        <f t="shared" si="6"/>
        <v>2024_2023</v>
      </c>
      <c r="E532" s="1267">
        <v>5.8587466846150203E-2</v>
      </c>
      <c r="F532" s="1278">
        <v>2.8027388371362301E-3</v>
      </c>
      <c r="G532" s="1248">
        <v>0.122902468365579</v>
      </c>
      <c r="H532" s="1278">
        <v>2.19259596137408E-2</v>
      </c>
      <c r="I532" s="1248">
        <v>6.4761510587046101E-3</v>
      </c>
      <c r="J532" s="1278">
        <v>1.0856939368475401E-3</v>
      </c>
      <c r="K532" s="1248">
        <v>3.0000008609688301E-3</v>
      </c>
      <c r="L532" s="1250">
        <v>2.00000057407526E-3</v>
      </c>
      <c r="M532" s="1273">
        <v>2.00000057407526E-3</v>
      </c>
      <c r="N532" s="1248">
        <v>3.1850009128239903E-2</v>
      </c>
      <c r="O532" s="1249">
        <v>3.1850009128239903E-2</v>
      </c>
      <c r="P532" s="1251">
        <v>1.5925004564119952E-2</v>
      </c>
      <c r="Q532" s="1252">
        <v>6.7689738720845202E-3</v>
      </c>
    </row>
    <row r="533" spans="1:17" s="212" customFormat="1" ht="15.5" x14ac:dyDescent="0.35">
      <c r="A533" s="198">
        <v>2024</v>
      </c>
      <c r="B533" s="197" t="s">
        <v>5842</v>
      </c>
      <c r="C533" s="197">
        <v>2024</v>
      </c>
      <c r="D533" s="213" t="str">
        <f t="shared" si="6"/>
        <v>2024_2024</v>
      </c>
      <c r="E533" s="1267">
        <v>5.6742603008362501E-2</v>
      </c>
      <c r="F533" s="1278">
        <v>2.7294891037882899E-3</v>
      </c>
      <c r="G533" s="1248">
        <v>0.113613009713516</v>
      </c>
      <c r="H533" s="1278">
        <v>2.0856503105205301E-2</v>
      </c>
      <c r="I533" s="1248">
        <v>5.05280776825887E-3</v>
      </c>
      <c r="J533" s="1278">
        <v>1.08584805827482E-3</v>
      </c>
      <c r="K533" s="1248">
        <v>3.0000008609708602E-3</v>
      </c>
      <c r="L533" s="1250">
        <v>2.0000005740767801E-3</v>
      </c>
      <c r="M533" s="1275">
        <v>2.0000005740078699E-3</v>
      </c>
      <c r="N533" s="1248">
        <v>3.1850009128239903E-2</v>
      </c>
      <c r="O533" s="1249">
        <v>3.1850009128239903E-2</v>
      </c>
      <c r="P533" s="1260">
        <v>1.59250045641199E-2</v>
      </c>
      <c r="Q533" s="1252">
        <v>5.2812733140371404E-3</v>
      </c>
    </row>
    <row r="534" spans="1:17" s="212" customFormat="1" ht="15.5" x14ac:dyDescent="0.35">
      <c r="A534" s="198">
        <v>2024</v>
      </c>
      <c r="B534" s="197" t="s">
        <v>5842</v>
      </c>
      <c r="C534" s="197">
        <v>2025</v>
      </c>
      <c r="D534" s="213" t="str">
        <f t="shared" si="6"/>
        <v>2024_2025</v>
      </c>
      <c r="E534" s="1268">
        <v>5.6742603008362501E-2</v>
      </c>
      <c r="F534" s="1279">
        <v>2.7294891037882899E-3</v>
      </c>
      <c r="G534" s="1255">
        <v>0.113613009713516</v>
      </c>
      <c r="H534" s="1279">
        <v>2.0856503105205301E-2</v>
      </c>
      <c r="I534" s="1255">
        <v>5.05280776825887E-3</v>
      </c>
      <c r="J534" s="1279">
        <v>1.08584805827482E-3</v>
      </c>
      <c r="K534" s="1255">
        <v>3.0000008609708602E-3</v>
      </c>
      <c r="L534" s="1253">
        <v>2.0000005740767801E-3</v>
      </c>
      <c r="M534" s="1273">
        <v>2.0000005740078699E-3</v>
      </c>
      <c r="N534" s="1255">
        <v>3.1850009128239903E-2</v>
      </c>
      <c r="O534" s="1256">
        <v>3.1850009128239903E-2</v>
      </c>
      <c r="P534" s="1251">
        <v>1.59250045641199E-2</v>
      </c>
      <c r="Q534" s="1254">
        <v>5.2812733140371404E-3</v>
      </c>
    </row>
    <row r="535" spans="1:17" s="212" customFormat="1" ht="15.5" x14ac:dyDescent="0.35">
      <c r="A535" s="198">
        <v>2025</v>
      </c>
      <c r="B535" s="197" t="s">
        <v>5842</v>
      </c>
      <c r="C535" s="197">
        <v>1971</v>
      </c>
      <c r="D535" s="213" t="str">
        <f t="shared" si="6"/>
        <v>2025_1971</v>
      </c>
      <c r="E535" s="1268">
        <v>0.22822739864642499</v>
      </c>
      <c r="F535" s="1279">
        <v>2.63505191674524</v>
      </c>
      <c r="G535" s="1255">
        <v>5.1754457321574296</v>
      </c>
      <c r="H535" s="1279">
        <v>4.2920336120216396</v>
      </c>
      <c r="I535" s="1255">
        <v>0.172022947988758</v>
      </c>
      <c r="J535" s="1279">
        <v>1.53354232482447E-2</v>
      </c>
      <c r="K535" s="1255">
        <v>3.0000008615807101E-3</v>
      </c>
      <c r="L535" s="1253">
        <v>2.00000057416548E-3</v>
      </c>
      <c r="M535" s="1273">
        <v>2.00000057416548E-3</v>
      </c>
      <c r="N535" s="1255">
        <v>3.1850009128239903E-2</v>
      </c>
      <c r="O535" s="1256">
        <v>3.1850009128239903E-2</v>
      </c>
      <c r="P535" s="1251">
        <v>1.5925004564119952E-2</v>
      </c>
      <c r="Q535" s="1254">
        <v>0.17980106235628299</v>
      </c>
    </row>
    <row r="536" spans="1:17" s="212" customFormat="1" ht="15.5" x14ac:dyDescent="0.35">
      <c r="A536" s="198">
        <v>2025</v>
      </c>
      <c r="B536" s="197" t="s">
        <v>5842</v>
      </c>
      <c r="C536" s="197">
        <v>1972</v>
      </c>
      <c r="D536" s="213" t="str">
        <f t="shared" si="6"/>
        <v>2025_1972</v>
      </c>
      <c r="E536" s="1268">
        <v>0.22822739864642499</v>
      </c>
      <c r="F536" s="1279">
        <v>2.63505191674524</v>
      </c>
      <c r="G536" s="1255">
        <v>5.1754457321574296</v>
      </c>
      <c r="H536" s="1279">
        <v>4.2920336120216396</v>
      </c>
      <c r="I536" s="1255">
        <v>0.172022947988758</v>
      </c>
      <c r="J536" s="1279">
        <v>1.53354232482447E-2</v>
      </c>
      <c r="K536" s="1255">
        <v>3.0000008615807101E-3</v>
      </c>
      <c r="L536" s="1253">
        <v>2.00000057416548E-3</v>
      </c>
      <c r="M536" s="1273">
        <v>2.00000057416548E-3</v>
      </c>
      <c r="N536" s="1255">
        <v>3.1850009128239903E-2</v>
      </c>
      <c r="O536" s="1256">
        <v>3.1850009128239903E-2</v>
      </c>
      <c r="P536" s="1251">
        <v>1.5925004564119952E-2</v>
      </c>
      <c r="Q536" s="1254">
        <v>0.17980106235628299</v>
      </c>
    </row>
    <row r="537" spans="1:17" s="212" customFormat="1" ht="15.5" x14ac:dyDescent="0.35">
      <c r="A537" s="198">
        <v>2025</v>
      </c>
      <c r="B537" s="197" t="s">
        <v>5842</v>
      </c>
      <c r="C537" s="197">
        <v>1973</v>
      </c>
      <c r="D537" s="213" t="str">
        <f t="shared" si="6"/>
        <v>2025_1973</v>
      </c>
      <c r="E537" s="1268">
        <v>0.22822739864642499</v>
      </c>
      <c r="F537" s="1279">
        <v>2.63505191674524</v>
      </c>
      <c r="G537" s="1255">
        <v>5.1754457321574296</v>
      </c>
      <c r="H537" s="1279">
        <v>4.2920336120216396</v>
      </c>
      <c r="I537" s="1255">
        <v>0.172022947988758</v>
      </c>
      <c r="J537" s="1279">
        <v>1.53354232482447E-2</v>
      </c>
      <c r="K537" s="1255">
        <v>3.0000008615807101E-3</v>
      </c>
      <c r="L537" s="1253">
        <v>2.00000057416548E-3</v>
      </c>
      <c r="M537" s="1273">
        <v>2.00000057416548E-3</v>
      </c>
      <c r="N537" s="1255">
        <v>3.1850009128239903E-2</v>
      </c>
      <c r="O537" s="1256">
        <v>3.1850009128239903E-2</v>
      </c>
      <c r="P537" s="1251">
        <v>1.5925004564119952E-2</v>
      </c>
      <c r="Q537" s="1254">
        <v>0.17980106235628299</v>
      </c>
    </row>
    <row r="538" spans="1:17" s="212" customFormat="1" ht="15.5" x14ac:dyDescent="0.35">
      <c r="A538" s="198">
        <v>2025</v>
      </c>
      <c r="B538" s="197" t="s">
        <v>5842</v>
      </c>
      <c r="C538" s="197">
        <v>1974</v>
      </c>
      <c r="D538" s="213" t="str">
        <f t="shared" si="6"/>
        <v>2025_1974</v>
      </c>
      <c r="E538" s="1268">
        <v>0.22822739864642499</v>
      </c>
      <c r="F538" s="1279">
        <v>2.63505191674524</v>
      </c>
      <c r="G538" s="1255">
        <v>5.1754457321574296</v>
      </c>
      <c r="H538" s="1279">
        <v>4.2920336120216396</v>
      </c>
      <c r="I538" s="1255">
        <v>0.172022947988758</v>
      </c>
      <c r="J538" s="1279">
        <v>1.53354232482447E-2</v>
      </c>
      <c r="K538" s="1255">
        <v>3.0000008615807101E-3</v>
      </c>
      <c r="L538" s="1253">
        <v>2.00000057416548E-3</v>
      </c>
      <c r="M538" s="1273">
        <v>2.00000057416548E-3</v>
      </c>
      <c r="N538" s="1255">
        <v>3.1850009128239903E-2</v>
      </c>
      <c r="O538" s="1256">
        <v>3.1850009128239903E-2</v>
      </c>
      <c r="P538" s="1251">
        <v>1.5925004564119952E-2</v>
      </c>
      <c r="Q538" s="1254">
        <v>0.17980106235628299</v>
      </c>
    </row>
    <row r="539" spans="1:17" s="212" customFormat="1" ht="15.5" x14ac:dyDescent="0.35">
      <c r="A539" s="198">
        <v>2025</v>
      </c>
      <c r="B539" s="197" t="s">
        <v>5842</v>
      </c>
      <c r="C539" s="197">
        <v>1975</v>
      </c>
      <c r="D539" s="213" t="str">
        <f t="shared" si="6"/>
        <v>2025_1975</v>
      </c>
      <c r="E539" s="1268">
        <v>0.22822739864642499</v>
      </c>
      <c r="F539" s="1279">
        <v>2.63505191674524</v>
      </c>
      <c r="G539" s="1255">
        <v>5.1754457321574296</v>
      </c>
      <c r="H539" s="1279">
        <v>4.2920336120216396</v>
      </c>
      <c r="I539" s="1255">
        <v>0.172022947988758</v>
      </c>
      <c r="J539" s="1279">
        <v>1.53354232482447E-2</v>
      </c>
      <c r="K539" s="1255">
        <v>3.0000008615807101E-3</v>
      </c>
      <c r="L539" s="1253">
        <v>2.00000057416548E-3</v>
      </c>
      <c r="M539" s="1273">
        <v>2.00000057416548E-3</v>
      </c>
      <c r="N539" s="1255">
        <v>3.1850009128239903E-2</v>
      </c>
      <c r="O539" s="1256">
        <v>3.1850009128239903E-2</v>
      </c>
      <c r="P539" s="1251">
        <v>1.5925004564119952E-2</v>
      </c>
      <c r="Q539" s="1254">
        <v>0.17980106235628299</v>
      </c>
    </row>
    <row r="540" spans="1:17" s="212" customFormat="1" ht="15.5" x14ac:dyDescent="0.35">
      <c r="A540" s="198">
        <v>2025</v>
      </c>
      <c r="B540" s="197" t="s">
        <v>5842</v>
      </c>
      <c r="C540" s="197">
        <v>1976</v>
      </c>
      <c r="D540" s="213" t="str">
        <f t="shared" si="6"/>
        <v>2025_1976</v>
      </c>
      <c r="E540" s="1268">
        <v>0.22822739864642499</v>
      </c>
      <c r="F540" s="1279">
        <v>2.63505191674524</v>
      </c>
      <c r="G540" s="1255">
        <v>5.1754457321574296</v>
      </c>
      <c r="H540" s="1279">
        <v>4.2920336120216396</v>
      </c>
      <c r="I540" s="1255">
        <v>0.172022947988758</v>
      </c>
      <c r="J540" s="1279">
        <v>1.53354232482447E-2</v>
      </c>
      <c r="K540" s="1255">
        <v>3.0000008615807101E-3</v>
      </c>
      <c r="L540" s="1253">
        <v>2.00000057416548E-3</v>
      </c>
      <c r="M540" s="1273">
        <v>2.00000057416548E-3</v>
      </c>
      <c r="N540" s="1255">
        <v>3.1850009128239903E-2</v>
      </c>
      <c r="O540" s="1256">
        <v>3.1850009128239903E-2</v>
      </c>
      <c r="P540" s="1251">
        <v>1.5925004564119952E-2</v>
      </c>
      <c r="Q540" s="1254">
        <v>0.17980106235628299</v>
      </c>
    </row>
    <row r="541" spans="1:17" s="212" customFormat="1" ht="15.5" x14ac:dyDescent="0.35">
      <c r="A541" s="198">
        <v>2025</v>
      </c>
      <c r="B541" s="197" t="s">
        <v>5842</v>
      </c>
      <c r="C541" s="197">
        <v>1977</v>
      </c>
      <c r="D541" s="213" t="str">
        <f t="shared" si="6"/>
        <v>2025_1977</v>
      </c>
      <c r="E541" s="1268">
        <v>0.22822739864642499</v>
      </c>
      <c r="F541" s="1279">
        <v>2.63505191674524</v>
      </c>
      <c r="G541" s="1255">
        <v>5.1754457321574296</v>
      </c>
      <c r="H541" s="1279">
        <v>4.2920336120216396</v>
      </c>
      <c r="I541" s="1255">
        <v>0.172022947988758</v>
      </c>
      <c r="J541" s="1279">
        <v>1.53354232482447E-2</v>
      </c>
      <c r="K541" s="1255">
        <v>3.0000008615807101E-3</v>
      </c>
      <c r="L541" s="1253">
        <v>2.00000057416548E-3</v>
      </c>
      <c r="M541" s="1273">
        <v>2.00000057416548E-3</v>
      </c>
      <c r="N541" s="1255">
        <v>3.1850009128239903E-2</v>
      </c>
      <c r="O541" s="1256">
        <v>3.1850009128239903E-2</v>
      </c>
      <c r="P541" s="1251">
        <v>1.5925004564119952E-2</v>
      </c>
      <c r="Q541" s="1254">
        <v>0.17980106235628299</v>
      </c>
    </row>
    <row r="542" spans="1:17" s="212" customFormat="1" ht="15.5" x14ac:dyDescent="0.35">
      <c r="A542" s="198">
        <v>2025</v>
      </c>
      <c r="B542" s="197" t="s">
        <v>5842</v>
      </c>
      <c r="C542" s="197">
        <v>1978</v>
      </c>
      <c r="D542" s="213" t="str">
        <f t="shared" si="6"/>
        <v>2025_1978</v>
      </c>
      <c r="E542" s="1268">
        <v>0.22822739864642499</v>
      </c>
      <c r="F542" s="1279">
        <v>2.63505191674524</v>
      </c>
      <c r="G542" s="1255">
        <v>5.1754457321574296</v>
      </c>
      <c r="H542" s="1279">
        <v>4.2920336120216396</v>
      </c>
      <c r="I542" s="1255">
        <v>0.172022947988758</v>
      </c>
      <c r="J542" s="1279">
        <v>1.53354232482447E-2</v>
      </c>
      <c r="K542" s="1255">
        <v>3.0000008615807101E-3</v>
      </c>
      <c r="L542" s="1253">
        <v>2.00000057416548E-3</v>
      </c>
      <c r="M542" s="1273">
        <v>2.00000057416548E-3</v>
      </c>
      <c r="N542" s="1255">
        <v>3.1850009128239903E-2</v>
      </c>
      <c r="O542" s="1256">
        <v>3.1850009128239903E-2</v>
      </c>
      <c r="P542" s="1251">
        <v>1.5925004564119952E-2</v>
      </c>
      <c r="Q542" s="1254">
        <v>0.17980106235628299</v>
      </c>
    </row>
    <row r="543" spans="1:17" s="212" customFormat="1" ht="15.5" x14ac:dyDescent="0.35">
      <c r="A543" s="198">
        <v>2025</v>
      </c>
      <c r="B543" s="197" t="s">
        <v>5842</v>
      </c>
      <c r="C543" s="197">
        <v>1979</v>
      </c>
      <c r="D543" s="213" t="str">
        <f t="shared" si="6"/>
        <v>2025_1979</v>
      </c>
      <c r="E543" s="1268">
        <v>0.22822739864642499</v>
      </c>
      <c r="F543" s="1279">
        <v>2.63505191674524</v>
      </c>
      <c r="G543" s="1255">
        <v>5.1754457321574296</v>
      </c>
      <c r="H543" s="1279">
        <v>4.2920336120216396</v>
      </c>
      <c r="I543" s="1255">
        <v>0.172022947988758</v>
      </c>
      <c r="J543" s="1279">
        <v>1.53354232482447E-2</v>
      </c>
      <c r="K543" s="1255">
        <v>3.0000008615807101E-3</v>
      </c>
      <c r="L543" s="1253">
        <v>2.00000057416548E-3</v>
      </c>
      <c r="M543" s="1273">
        <v>2.00000057416548E-3</v>
      </c>
      <c r="N543" s="1255">
        <v>3.1850009128239903E-2</v>
      </c>
      <c r="O543" s="1256">
        <v>3.1850009128239903E-2</v>
      </c>
      <c r="P543" s="1251">
        <v>1.5925004564119952E-2</v>
      </c>
      <c r="Q543" s="1254">
        <v>0.17980106235628299</v>
      </c>
    </row>
    <row r="544" spans="1:17" s="212" customFormat="1" ht="15.5" x14ac:dyDescent="0.35">
      <c r="A544" s="198">
        <v>2025</v>
      </c>
      <c r="B544" s="197" t="s">
        <v>5842</v>
      </c>
      <c r="C544" s="197">
        <v>1980</v>
      </c>
      <c r="D544" s="213" t="str">
        <f t="shared" si="6"/>
        <v>2025_1980</v>
      </c>
      <c r="E544" s="1268">
        <v>0.22822739864642499</v>
      </c>
      <c r="F544" s="1279">
        <v>2.63505191674524</v>
      </c>
      <c r="G544" s="1255">
        <v>5.1754457321574296</v>
      </c>
      <c r="H544" s="1279">
        <v>4.2920336120216396</v>
      </c>
      <c r="I544" s="1255">
        <v>0.172022947988758</v>
      </c>
      <c r="J544" s="1279">
        <v>1.53354232482447E-2</v>
      </c>
      <c r="K544" s="1255">
        <v>3.0000008615807101E-3</v>
      </c>
      <c r="L544" s="1253">
        <v>2.00000057416548E-3</v>
      </c>
      <c r="M544" s="1273">
        <v>2.00000057416548E-3</v>
      </c>
      <c r="N544" s="1255">
        <v>3.1850009128239903E-2</v>
      </c>
      <c r="O544" s="1256">
        <v>3.1850009128239903E-2</v>
      </c>
      <c r="P544" s="1251">
        <v>1.5925004564119952E-2</v>
      </c>
      <c r="Q544" s="1254">
        <v>0.17980106235628299</v>
      </c>
    </row>
    <row r="545" spans="1:17" s="212" customFormat="1" ht="15.5" x14ac:dyDescent="0.35">
      <c r="A545" s="198">
        <v>2025</v>
      </c>
      <c r="B545" s="197" t="s">
        <v>5842</v>
      </c>
      <c r="C545" s="197">
        <v>1981</v>
      </c>
      <c r="D545" s="213" t="str">
        <f t="shared" si="6"/>
        <v>2025_1981</v>
      </c>
      <c r="E545" s="1268">
        <v>0.22822739864642499</v>
      </c>
      <c r="F545" s="1278">
        <v>2.63505191674524</v>
      </c>
      <c r="G545" s="1255">
        <v>5.1754457321574296</v>
      </c>
      <c r="H545" s="1278">
        <v>4.2920336120216396</v>
      </c>
      <c r="I545" s="1255">
        <v>0.172022947988758</v>
      </c>
      <c r="J545" s="1278">
        <v>1.53354232482447E-2</v>
      </c>
      <c r="K545" s="1255">
        <v>3.0000008615807101E-3</v>
      </c>
      <c r="L545" s="1250">
        <v>2.00000057416548E-3</v>
      </c>
      <c r="M545" s="1273">
        <v>2.00000057416548E-3</v>
      </c>
      <c r="N545" s="1255">
        <v>3.1850009128239903E-2</v>
      </c>
      <c r="O545" s="1249">
        <v>3.1850009128239903E-2</v>
      </c>
      <c r="P545" s="1251">
        <v>1.5925004564119952E-2</v>
      </c>
      <c r="Q545" s="1254">
        <v>0.17980106235628299</v>
      </c>
    </row>
    <row r="546" spans="1:17" s="212" customFormat="1" ht="15.5" x14ac:dyDescent="0.35">
      <c r="A546" s="198">
        <v>2025</v>
      </c>
      <c r="B546" s="197" t="s">
        <v>5842</v>
      </c>
      <c r="C546" s="197">
        <v>1982</v>
      </c>
      <c r="D546" s="213" t="str">
        <f t="shared" si="6"/>
        <v>2025_1982</v>
      </c>
      <c r="E546" s="1267">
        <v>0.22822739864642499</v>
      </c>
      <c r="F546" s="1278">
        <v>2.5529555085197799</v>
      </c>
      <c r="G546" s="1248">
        <v>5.1754457321574296</v>
      </c>
      <c r="H546" s="1278">
        <v>3.9455280329639901</v>
      </c>
      <c r="I546" s="1248">
        <v>0.172022947988758</v>
      </c>
      <c r="J546" s="1278">
        <v>1.50346365515949E-2</v>
      </c>
      <c r="K546" s="1248">
        <v>3.0000008615807101E-3</v>
      </c>
      <c r="L546" s="1250">
        <v>2.0000005740227998E-3</v>
      </c>
      <c r="M546" s="1273">
        <v>2.0000005740227998E-3</v>
      </c>
      <c r="N546" s="1248">
        <v>3.1850009128239903E-2</v>
      </c>
      <c r="O546" s="1249">
        <v>3.1850009128239903E-2</v>
      </c>
      <c r="P546" s="1251">
        <v>1.5925004564119952E-2</v>
      </c>
      <c r="Q546" s="1252">
        <v>0.17980106235628299</v>
      </c>
    </row>
    <row r="547" spans="1:17" s="212" customFormat="1" ht="15.5" x14ac:dyDescent="0.35">
      <c r="A547" s="198">
        <v>2025</v>
      </c>
      <c r="B547" s="197" t="s">
        <v>5842</v>
      </c>
      <c r="C547" s="197">
        <v>1983</v>
      </c>
      <c r="D547" s="213" t="str">
        <f t="shared" si="6"/>
        <v>2025_1983</v>
      </c>
      <c r="E547" s="1267">
        <v>0.224713489456074</v>
      </c>
      <c r="F547" s="1278">
        <v>2.50355577669737</v>
      </c>
      <c r="G547" s="1248">
        <v>5.2372704923193396</v>
      </c>
      <c r="H547" s="1278">
        <v>4.4271385218799297</v>
      </c>
      <c r="I547" s="1248">
        <v>0.169374392112145</v>
      </c>
      <c r="J547" s="1278">
        <v>1.6435314051518799E-2</v>
      </c>
      <c r="K547" s="1248">
        <v>3.0000008610286399E-3</v>
      </c>
      <c r="L547" s="1250">
        <v>2.0000005744469098E-3</v>
      </c>
      <c r="M547" s="1273">
        <v>2.0000005744469098E-3</v>
      </c>
      <c r="N547" s="1248">
        <v>3.1850009128239903E-2</v>
      </c>
      <c r="O547" s="1249">
        <v>3.1850009128239903E-2</v>
      </c>
      <c r="P547" s="1251">
        <v>1.5925004564119952E-2</v>
      </c>
      <c r="Q547" s="1252">
        <v>0.17703275053572301</v>
      </c>
    </row>
    <row r="548" spans="1:17" s="212" customFormat="1" ht="15.5" x14ac:dyDescent="0.35">
      <c r="A548" s="198">
        <v>2025</v>
      </c>
      <c r="B548" s="197" t="s">
        <v>5842</v>
      </c>
      <c r="C548" s="197">
        <v>1984</v>
      </c>
      <c r="D548" s="213" t="str">
        <f t="shared" si="6"/>
        <v>2025_1984</v>
      </c>
      <c r="E548" s="1267">
        <v>0.23401441371200399</v>
      </c>
      <c r="F548" s="1278">
        <v>1.6946658941194599</v>
      </c>
      <c r="G548" s="1248">
        <v>5.1001395347041099</v>
      </c>
      <c r="H548" s="1278">
        <v>3.6166497938319702</v>
      </c>
      <c r="I548" s="1248">
        <v>0.17638482302015401</v>
      </c>
      <c r="J548" s="1278">
        <v>1.59506988267832E-2</v>
      </c>
      <c r="K548" s="1248">
        <v>3.0000008615282199E-3</v>
      </c>
      <c r="L548" s="1250">
        <v>2.0000005743008998E-3</v>
      </c>
      <c r="M548" s="1273">
        <v>2.0000005743008998E-3</v>
      </c>
      <c r="N548" s="1248">
        <v>3.1850009128239903E-2</v>
      </c>
      <c r="O548" s="1249">
        <v>3.1850009128239903E-2</v>
      </c>
      <c r="P548" s="1251">
        <v>1.5925004564119952E-2</v>
      </c>
      <c r="Q548" s="1252">
        <v>0.184360162021065</v>
      </c>
    </row>
    <row r="549" spans="1:17" s="212" customFormat="1" ht="15.5" x14ac:dyDescent="0.35">
      <c r="A549" s="198">
        <v>2025</v>
      </c>
      <c r="B549" s="197" t="s">
        <v>5842</v>
      </c>
      <c r="C549" s="197">
        <v>1985</v>
      </c>
      <c r="D549" s="213" t="str">
        <f t="shared" ref="D549:D634" si="7">CONCATENATE(A549,"_",C549)</f>
        <v>2025_1985</v>
      </c>
      <c r="E549" s="1267">
        <v>0.23449234753321599</v>
      </c>
      <c r="F549" s="1278">
        <v>2.0449334493592399</v>
      </c>
      <c r="G549" s="1248">
        <v>5.0825321273651802</v>
      </c>
      <c r="H549" s="1278">
        <v>3.9691224958121998</v>
      </c>
      <c r="I549" s="1248">
        <v>0.17674505840537</v>
      </c>
      <c r="J549" s="1278">
        <v>1.5456561817176299E-2</v>
      </c>
      <c r="K549" s="1248">
        <v>3.00000086151688E-3</v>
      </c>
      <c r="L549" s="1250">
        <v>2.0000005741195701E-3</v>
      </c>
      <c r="M549" s="1273">
        <v>2.0000005741195701E-3</v>
      </c>
      <c r="N549" s="1248">
        <v>3.1850009128239903E-2</v>
      </c>
      <c r="O549" s="1249">
        <v>3.1850009128239903E-2</v>
      </c>
      <c r="P549" s="1251">
        <v>1.5925004564119952E-2</v>
      </c>
      <c r="Q549" s="1252">
        <v>0.18473668565188001</v>
      </c>
    </row>
    <row r="550" spans="1:17" s="212" customFormat="1" ht="15.5" x14ac:dyDescent="0.35">
      <c r="A550" s="198">
        <v>2025</v>
      </c>
      <c r="B550" s="197" t="s">
        <v>5842</v>
      </c>
      <c r="C550" s="197">
        <v>1986</v>
      </c>
      <c r="D550" s="213" t="str">
        <f t="shared" si="7"/>
        <v>2025_1986</v>
      </c>
      <c r="E550" s="1267">
        <v>0.22724244719404699</v>
      </c>
      <c r="F550" s="1278">
        <v>1.60608934361155</v>
      </c>
      <c r="G550" s="1248">
        <v>5.1952749203185897</v>
      </c>
      <c r="H550" s="1278">
        <v>4.3056093226327903</v>
      </c>
      <c r="I550" s="1248">
        <v>0.17128055573669401</v>
      </c>
      <c r="J550" s="1278">
        <v>1.5362947162989599E-2</v>
      </c>
      <c r="K550" s="1248">
        <v>3.0000008612358401E-3</v>
      </c>
      <c r="L550" s="1250">
        <v>2.0000005740723301E-3</v>
      </c>
      <c r="M550" s="1273">
        <v>2.0000005740723301E-3</v>
      </c>
      <c r="N550" s="1248">
        <v>3.1850009128239903E-2</v>
      </c>
      <c r="O550" s="1249">
        <v>3.1850009128239903E-2</v>
      </c>
      <c r="P550" s="1251">
        <v>1.5925004564119952E-2</v>
      </c>
      <c r="Q550" s="1252">
        <v>0.179025102420898</v>
      </c>
    </row>
    <row r="551" spans="1:17" s="212" customFormat="1" ht="15.5" x14ac:dyDescent="0.35">
      <c r="A551" s="198">
        <v>2025</v>
      </c>
      <c r="B551" s="197" t="s">
        <v>5842</v>
      </c>
      <c r="C551" s="197">
        <v>1987</v>
      </c>
      <c r="D551" s="213" t="str">
        <f t="shared" si="7"/>
        <v>2025_1987</v>
      </c>
      <c r="E551" s="1267">
        <v>0.28288312239263103</v>
      </c>
      <c r="F551" s="1278">
        <v>2.0054091515458001</v>
      </c>
      <c r="G551" s="1248">
        <v>5.3347803363731998</v>
      </c>
      <c r="H551" s="1278">
        <v>4.5011809489939996</v>
      </c>
      <c r="I551" s="1248">
        <v>0.192654024819777</v>
      </c>
      <c r="J551" s="1278">
        <v>1.5303743071516201E-2</v>
      </c>
      <c r="K551" s="1248">
        <v>3.00000086120115E-3</v>
      </c>
      <c r="L551" s="1250">
        <v>2.00000057415898E-3</v>
      </c>
      <c r="M551" s="1273">
        <v>2.00000057415898E-3</v>
      </c>
      <c r="N551" s="1248">
        <v>3.1850009128239903E-2</v>
      </c>
      <c r="O551" s="1249">
        <v>3.1850009128239903E-2</v>
      </c>
      <c r="P551" s="1251">
        <v>1.5925004564119952E-2</v>
      </c>
      <c r="Q551" s="1252">
        <v>0.201364984932553</v>
      </c>
    </row>
    <row r="552" spans="1:17" s="212" customFormat="1" ht="15.5" x14ac:dyDescent="0.35">
      <c r="A552" s="198">
        <v>2025</v>
      </c>
      <c r="B552" s="197" t="s">
        <v>5842</v>
      </c>
      <c r="C552" s="197">
        <v>1988</v>
      </c>
      <c r="D552" s="213" t="str">
        <f t="shared" si="7"/>
        <v>2025_1988</v>
      </c>
      <c r="E552" s="1267">
        <v>0.27808005060199997</v>
      </c>
      <c r="F552" s="1278">
        <v>0.48359842962124899</v>
      </c>
      <c r="G552" s="1248">
        <v>5.3747557817651597</v>
      </c>
      <c r="H552" s="1278">
        <v>1.21443312598338</v>
      </c>
      <c r="I552" s="1248">
        <v>0.18938295263937599</v>
      </c>
      <c r="J552" s="1278">
        <v>1.37234229651033E-2</v>
      </c>
      <c r="K552" s="1248">
        <v>3.0000008610257E-3</v>
      </c>
      <c r="L552" s="1250">
        <v>2.0000005741457002E-3</v>
      </c>
      <c r="M552" s="1273">
        <v>2.0000005741457002E-3</v>
      </c>
      <c r="N552" s="1248">
        <v>3.1850009128239903E-2</v>
      </c>
      <c r="O552" s="1249">
        <v>3.1850009128239903E-2</v>
      </c>
      <c r="P552" s="1251">
        <v>1.5925004564119952E-2</v>
      </c>
      <c r="Q552" s="1252">
        <v>0.19794600938332199</v>
      </c>
    </row>
    <row r="553" spans="1:17" s="212" customFormat="1" ht="15.5" x14ac:dyDescent="0.35">
      <c r="A553" s="198">
        <v>2025</v>
      </c>
      <c r="B553" s="197" t="s">
        <v>5842</v>
      </c>
      <c r="C553" s="197">
        <v>1989</v>
      </c>
      <c r="D553" s="213" t="str">
        <f t="shared" si="7"/>
        <v>2025_1989</v>
      </c>
      <c r="E553" s="1267">
        <v>0.27950441268562598</v>
      </c>
      <c r="F553" s="1278">
        <v>0.32714533084708303</v>
      </c>
      <c r="G553" s="1248">
        <v>5.3740976107262401</v>
      </c>
      <c r="H553" s="1278">
        <v>1.64133190789465</v>
      </c>
      <c r="I553" s="1248">
        <v>0.19035299668403399</v>
      </c>
      <c r="J553" s="1278">
        <v>1.3392743249057201E-2</v>
      </c>
      <c r="K553" s="1248">
        <v>3.0000008611464298E-3</v>
      </c>
      <c r="L553" s="1250">
        <v>2.0000005740681598E-3</v>
      </c>
      <c r="M553" s="1273">
        <v>2.0000005740681598E-3</v>
      </c>
      <c r="N553" s="1248">
        <v>3.1850009128239903E-2</v>
      </c>
      <c r="O553" s="1249">
        <v>3.1850009128239903E-2</v>
      </c>
      <c r="P553" s="1251">
        <v>1.5925004564119952E-2</v>
      </c>
      <c r="Q553" s="1252">
        <v>0.198959914515174</v>
      </c>
    </row>
    <row r="554" spans="1:17" s="212" customFormat="1" ht="15.5" x14ac:dyDescent="0.35">
      <c r="A554" s="198">
        <v>2025</v>
      </c>
      <c r="B554" s="197" t="s">
        <v>5842</v>
      </c>
      <c r="C554" s="197">
        <v>1990</v>
      </c>
      <c r="D554" s="213" t="str">
        <f t="shared" si="7"/>
        <v>2025_1990</v>
      </c>
      <c r="E554" s="1267">
        <v>0.28024505451112902</v>
      </c>
      <c r="F554" s="1278">
        <v>0.44632832398150302</v>
      </c>
      <c r="G554" s="1248">
        <v>5.3675874265079004</v>
      </c>
      <c r="H554" s="1278">
        <v>1.6614781581215401</v>
      </c>
      <c r="I554" s="1248">
        <v>0.19085740156837699</v>
      </c>
      <c r="J554" s="1278">
        <v>1.39599980523228E-2</v>
      </c>
      <c r="K554" s="1248">
        <v>3.00000086113113E-3</v>
      </c>
      <c r="L554" s="1250">
        <v>2.0000005742058201E-3</v>
      </c>
      <c r="M554" s="1273">
        <v>2.0000005742058201E-3</v>
      </c>
      <c r="N554" s="1248">
        <v>3.1850009128239903E-2</v>
      </c>
      <c r="O554" s="1249">
        <v>3.1850009128239903E-2</v>
      </c>
      <c r="P554" s="1251">
        <v>1.5925004564119952E-2</v>
      </c>
      <c r="Q554" s="1252">
        <v>0.199487126350123</v>
      </c>
    </row>
    <row r="555" spans="1:17" s="212" customFormat="1" ht="15.5" x14ac:dyDescent="0.35">
      <c r="A555" s="198">
        <v>2025</v>
      </c>
      <c r="B555" s="197" t="s">
        <v>5842</v>
      </c>
      <c r="C555" s="197">
        <v>1991</v>
      </c>
      <c r="D555" s="213" t="str">
        <f t="shared" si="7"/>
        <v>2025_1991</v>
      </c>
      <c r="E555" s="1267">
        <v>0.36860489319088002</v>
      </c>
      <c r="F555" s="1278">
        <v>0.46376304262780799</v>
      </c>
      <c r="G555" s="1248">
        <v>9.3384333773875507</v>
      </c>
      <c r="H555" s="1278">
        <v>2.9026869063538299</v>
      </c>
      <c r="I555" s="1248">
        <v>5.2239897359986201E-2</v>
      </c>
      <c r="J555" s="1278">
        <v>7.4438920868503001E-3</v>
      </c>
      <c r="K555" s="1248">
        <v>3.0000008612940401E-3</v>
      </c>
      <c r="L555" s="1250">
        <v>2.0000005740626499E-3</v>
      </c>
      <c r="M555" s="1273">
        <v>2.0000005740626499E-3</v>
      </c>
      <c r="N555" s="1248">
        <v>3.1850009128239903E-2</v>
      </c>
      <c r="O555" s="1249">
        <v>3.1850009128239903E-2</v>
      </c>
      <c r="P555" s="1251">
        <v>1.5925004564119952E-2</v>
      </c>
      <c r="Q555" s="1252">
        <v>5.4601953707493399E-2</v>
      </c>
    </row>
    <row r="556" spans="1:17" s="212" customFormat="1" ht="15.5" x14ac:dyDescent="0.35">
      <c r="A556" s="198">
        <v>2025</v>
      </c>
      <c r="B556" s="197" t="s">
        <v>5842</v>
      </c>
      <c r="C556" s="197">
        <v>1992</v>
      </c>
      <c r="D556" s="213" t="str">
        <f t="shared" si="7"/>
        <v>2025_1992</v>
      </c>
      <c r="E556" s="1267">
        <v>0.36943904590594301</v>
      </c>
      <c r="F556" s="1278">
        <v>0.46779788756094098</v>
      </c>
      <c r="G556" s="1248">
        <v>9.3292033368973293</v>
      </c>
      <c r="H556" s="1278">
        <v>2.9077524251557798</v>
      </c>
      <c r="I556" s="1248">
        <v>5.2358116225287202E-2</v>
      </c>
      <c r="J556" s="1278">
        <v>7.5384193813233698E-3</v>
      </c>
      <c r="K556" s="1248">
        <v>3.00000086127574E-3</v>
      </c>
      <c r="L556" s="1250">
        <v>2.0000005741367399E-3</v>
      </c>
      <c r="M556" s="1273">
        <v>2.0000005741367399E-3</v>
      </c>
      <c r="N556" s="1248">
        <v>3.1850009128239903E-2</v>
      </c>
      <c r="O556" s="1249">
        <v>3.1850009128239903E-2</v>
      </c>
      <c r="P556" s="1251">
        <v>1.5925004564119952E-2</v>
      </c>
      <c r="Q556" s="1252">
        <v>5.4725517905294903E-2</v>
      </c>
    </row>
    <row r="557" spans="1:17" s="212" customFormat="1" ht="15.5" x14ac:dyDescent="0.35">
      <c r="A557" s="198">
        <v>2025</v>
      </c>
      <c r="B557" s="197" t="s">
        <v>5842</v>
      </c>
      <c r="C557" s="197">
        <v>1993</v>
      </c>
      <c r="D557" s="213" t="str">
        <f t="shared" si="7"/>
        <v>2025_1993</v>
      </c>
      <c r="E557" s="1267">
        <v>0.37133356644014998</v>
      </c>
      <c r="F557" s="1278">
        <v>0.45850577493599898</v>
      </c>
      <c r="G557" s="1248">
        <v>9.2959415807941408</v>
      </c>
      <c r="H557" s="1278">
        <v>2.88824012571042</v>
      </c>
      <c r="I557" s="1248">
        <v>5.2626613904188303E-2</v>
      </c>
      <c r="J557" s="1278">
        <v>7.4170843711357601E-3</v>
      </c>
      <c r="K557" s="1248">
        <v>3.00000086133703E-3</v>
      </c>
      <c r="L557" s="1250">
        <v>2.00000057406381E-3</v>
      </c>
      <c r="M557" s="1273">
        <v>2.00000057406381E-3</v>
      </c>
      <c r="N557" s="1248">
        <v>3.1850009128239903E-2</v>
      </c>
      <c r="O557" s="1249">
        <v>3.1850009128239903E-2</v>
      </c>
      <c r="P557" s="1251">
        <v>1.5925004564119952E-2</v>
      </c>
      <c r="Q557" s="1252">
        <v>5.5006155857795197E-2</v>
      </c>
    </row>
    <row r="558" spans="1:17" s="212" customFormat="1" ht="15.5" x14ac:dyDescent="0.35">
      <c r="A558" s="198">
        <v>2025</v>
      </c>
      <c r="B558" s="197" t="s">
        <v>5842</v>
      </c>
      <c r="C558" s="197">
        <v>1994</v>
      </c>
      <c r="D558" s="213" t="str">
        <f t="shared" si="7"/>
        <v>2025_1994</v>
      </c>
      <c r="E558" s="1267">
        <v>0.36523697533525901</v>
      </c>
      <c r="F558" s="1278">
        <v>0.45471756908682698</v>
      </c>
      <c r="G558" s="1248">
        <v>9.3877667030421694</v>
      </c>
      <c r="H558" s="1278">
        <v>2.8789560535179599</v>
      </c>
      <c r="I558" s="1248">
        <v>5.22976878560572E-2</v>
      </c>
      <c r="J558" s="1278">
        <v>7.3788300682778897E-3</v>
      </c>
      <c r="K558" s="1248">
        <v>3.0000008612528798E-3</v>
      </c>
      <c r="L558" s="1250">
        <v>2.00000057404925E-3</v>
      </c>
      <c r="M558" s="1273">
        <v>2.00000057404925E-3</v>
      </c>
      <c r="N558" s="1248">
        <v>3.1850009128239903E-2</v>
      </c>
      <c r="O558" s="1249">
        <v>3.1850009128239903E-2</v>
      </c>
      <c r="P558" s="1251">
        <v>1.5925004564119952E-2</v>
      </c>
      <c r="Q558" s="1252">
        <v>5.4662357233355302E-2</v>
      </c>
    </row>
    <row r="559" spans="1:17" s="212" customFormat="1" ht="15.5" x14ac:dyDescent="0.35">
      <c r="A559" s="198">
        <v>2025</v>
      </c>
      <c r="B559" s="197" t="s">
        <v>5842</v>
      </c>
      <c r="C559" s="197">
        <v>1995</v>
      </c>
      <c r="D559" s="213" t="str">
        <f t="shared" si="7"/>
        <v>2025_1995</v>
      </c>
      <c r="E559" s="1267">
        <v>0.36745296134885502</v>
      </c>
      <c r="F559" s="1278">
        <v>0.24418250324153001</v>
      </c>
      <c r="G559" s="1248">
        <v>9.3744273548878692</v>
      </c>
      <c r="H559" s="1278">
        <v>1.6457498288649499</v>
      </c>
      <c r="I559" s="1248">
        <v>5.2614991285498E-2</v>
      </c>
      <c r="J559" s="1278">
        <v>4.8475452341852398E-3</v>
      </c>
      <c r="K559" s="1248">
        <v>3.0000008612479402E-3</v>
      </c>
      <c r="L559" s="1250">
        <v>2.0000005741184798E-3</v>
      </c>
      <c r="M559" s="1273">
        <v>2.0000005741184798E-3</v>
      </c>
      <c r="N559" s="1248">
        <v>3.1850009128239903E-2</v>
      </c>
      <c r="O559" s="1249">
        <v>3.1850009128239903E-2</v>
      </c>
      <c r="P559" s="1251">
        <v>1.5925004564119952E-2</v>
      </c>
      <c r="Q559" s="1252">
        <v>5.4994007715862298E-2</v>
      </c>
    </row>
    <row r="560" spans="1:17" s="212" customFormat="1" ht="15.5" x14ac:dyDescent="0.35">
      <c r="A560" s="198">
        <v>2025</v>
      </c>
      <c r="B560" s="197" t="s">
        <v>5842</v>
      </c>
      <c r="C560" s="197">
        <v>1996</v>
      </c>
      <c r="D560" s="213" t="str">
        <f t="shared" si="7"/>
        <v>2025_1996</v>
      </c>
      <c r="E560" s="1267">
        <v>0.36890662421460002</v>
      </c>
      <c r="F560" s="1278">
        <v>2.23504481637565E-2</v>
      </c>
      <c r="G560" s="1248">
        <v>9.3502380863201306</v>
      </c>
      <c r="H560" s="1278">
        <v>0.39308588629031799</v>
      </c>
      <c r="I560" s="1248">
        <v>5.2823138904536E-2</v>
      </c>
      <c r="J560" s="1278">
        <v>2.1788693155343499E-3</v>
      </c>
      <c r="K560" s="1248">
        <v>3.0000008612842402E-3</v>
      </c>
      <c r="L560" s="1250">
        <v>2.0000005741324699E-3</v>
      </c>
      <c r="M560" s="1273">
        <v>2.0000005741324699E-3</v>
      </c>
      <c r="N560" s="1248">
        <v>3.1850009128239903E-2</v>
      </c>
      <c r="O560" s="1249">
        <v>3.1850009128239903E-2</v>
      </c>
      <c r="P560" s="1251">
        <v>1.5925004564119952E-2</v>
      </c>
      <c r="Q560" s="1252">
        <v>5.52115668465918E-2</v>
      </c>
    </row>
    <row r="561" spans="1:17" s="212" customFormat="1" ht="15.5" x14ac:dyDescent="0.35">
      <c r="A561" s="198">
        <v>2025</v>
      </c>
      <c r="B561" s="197" t="s">
        <v>5842</v>
      </c>
      <c r="C561" s="197">
        <v>1997</v>
      </c>
      <c r="D561" s="213" t="str">
        <f t="shared" si="7"/>
        <v>2025_1997</v>
      </c>
      <c r="E561" s="1267">
        <v>0.37074959676097402</v>
      </c>
      <c r="F561" s="1278">
        <v>2.1462522722141001E-2</v>
      </c>
      <c r="G561" s="1248">
        <v>9.3058479503326392</v>
      </c>
      <c r="H561" s="1278">
        <v>0.387637336490188</v>
      </c>
      <c r="I561" s="1248">
        <v>5.30870311429084E-2</v>
      </c>
      <c r="J561" s="1278">
        <v>2.09627965588513E-3</v>
      </c>
      <c r="K561" s="1248">
        <v>3.0000008612843499E-3</v>
      </c>
      <c r="L561" s="1250">
        <v>2.0000005740496698E-3</v>
      </c>
      <c r="M561" s="1273">
        <v>2.0000005740496698E-3</v>
      </c>
      <c r="N561" s="1248">
        <v>3.1850009128239903E-2</v>
      </c>
      <c r="O561" s="1249">
        <v>3.1850009128239903E-2</v>
      </c>
      <c r="P561" s="1251">
        <v>1.5925004564119952E-2</v>
      </c>
      <c r="Q561" s="1252">
        <v>5.5487391120978898E-2</v>
      </c>
    </row>
    <row r="562" spans="1:17" s="212" customFormat="1" ht="15.5" x14ac:dyDescent="0.35">
      <c r="A562" s="198">
        <v>2025</v>
      </c>
      <c r="B562" s="197" t="s">
        <v>5842</v>
      </c>
      <c r="C562" s="197">
        <v>1998</v>
      </c>
      <c r="D562" s="213" t="str">
        <f t="shared" si="7"/>
        <v>2025_1998</v>
      </c>
      <c r="E562" s="1267">
        <v>0.372359167294461</v>
      </c>
      <c r="F562" s="1278">
        <v>2.17519211392272E-2</v>
      </c>
      <c r="G562" s="1248">
        <v>9.2939272424106303</v>
      </c>
      <c r="H562" s="1278">
        <v>0.38968080504173103</v>
      </c>
      <c r="I562" s="1248">
        <v>5.33175029270571E-2</v>
      </c>
      <c r="J562" s="1278">
        <v>2.1274259567106101E-3</v>
      </c>
      <c r="K562" s="1248">
        <v>3.0000008613670398E-3</v>
      </c>
      <c r="L562" s="1250">
        <v>2.0000005740918999E-3</v>
      </c>
      <c r="M562" s="1273">
        <v>2.0000005740918999E-3</v>
      </c>
      <c r="N562" s="1248">
        <v>3.1850009128239903E-2</v>
      </c>
      <c r="O562" s="1249">
        <v>3.1850009128239903E-2</v>
      </c>
      <c r="P562" s="1251">
        <v>1.5925004564119952E-2</v>
      </c>
      <c r="Q562" s="1252">
        <v>5.5728283816503403E-2</v>
      </c>
    </row>
    <row r="563" spans="1:17" s="212" customFormat="1" ht="15.5" x14ac:dyDescent="0.35">
      <c r="A563" s="198">
        <v>2025</v>
      </c>
      <c r="B563" s="197" t="s">
        <v>5842</v>
      </c>
      <c r="C563" s="197">
        <v>1999</v>
      </c>
      <c r="D563" s="213" t="str">
        <f t="shared" si="7"/>
        <v>2025_1999</v>
      </c>
      <c r="E563" s="1267">
        <v>0.37022807793608098</v>
      </c>
      <c r="F563" s="1278">
        <v>2.1797209846203001E-2</v>
      </c>
      <c r="G563" s="1248">
        <v>9.3255946118126491</v>
      </c>
      <c r="H563" s="1278">
        <v>0.389960986619037</v>
      </c>
      <c r="I563" s="1248">
        <v>5.3012355711456502E-2</v>
      </c>
      <c r="J563" s="1278">
        <v>2.1271148209480398E-3</v>
      </c>
      <c r="K563" s="1248">
        <v>3.0000008613317E-3</v>
      </c>
      <c r="L563" s="1250">
        <v>2.0000005741061199E-3</v>
      </c>
      <c r="M563" s="1273">
        <v>2.0000005741061199E-3</v>
      </c>
      <c r="N563" s="1248">
        <v>3.1850009128239903E-2</v>
      </c>
      <c r="O563" s="1249">
        <v>3.1850009128239903E-2</v>
      </c>
      <c r="P563" s="1251">
        <v>1.5925004564119952E-2</v>
      </c>
      <c r="Q563" s="1252">
        <v>5.54093391978841E-2</v>
      </c>
    </row>
    <row r="564" spans="1:17" s="212" customFormat="1" ht="15.5" x14ac:dyDescent="0.35">
      <c r="A564" s="198">
        <v>2025</v>
      </c>
      <c r="B564" s="197" t="s">
        <v>5842</v>
      </c>
      <c r="C564" s="197">
        <v>2000</v>
      </c>
      <c r="D564" s="213" t="str">
        <f t="shared" si="7"/>
        <v>2025_2000</v>
      </c>
      <c r="E564" s="1267">
        <v>0.36648148756319898</v>
      </c>
      <c r="F564" s="1278">
        <v>2.2095985007710199E-2</v>
      </c>
      <c r="G564" s="1248">
        <v>9.4012112942798005</v>
      </c>
      <c r="H564" s="1278">
        <v>0.392543226660023</v>
      </c>
      <c r="I564" s="1248">
        <v>5.2475887535786102E-2</v>
      </c>
      <c r="J564" s="1278">
        <v>2.15959562080642E-3</v>
      </c>
      <c r="K564" s="1248">
        <v>3.0000008612489398E-3</v>
      </c>
      <c r="L564" s="1250">
        <v>2.0000005741464101E-3</v>
      </c>
      <c r="M564" s="1273">
        <v>2.0000005741464101E-3</v>
      </c>
      <c r="N564" s="1248">
        <v>3.1850009128239903E-2</v>
      </c>
      <c r="O564" s="1249">
        <v>3.1850009128239903E-2</v>
      </c>
      <c r="P564" s="1251">
        <v>1.5925004564119952E-2</v>
      </c>
      <c r="Q564" s="1252">
        <v>5.4848614311852097E-2</v>
      </c>
    </row>
    <row r="565" spans="1:17" s="212" customFormat="1" ht="15.5" x14ac:dyDescent="0.35">
      <c r="A565" s="198">
        <v>2025</v>
      </c>
      <c r="B565" s="197" t="s">
        <v>5842</v>
      </c>
      <c r="C565" s="197">
        <v>2001</v>
      </c>
      <c r="D565" s="213" t="str">
        <f t="shared" si="7"/>
        <v>2025_2001</v>
      </c>
      <c r="E565" s="1267">
        <v>0.36996675383980399</v>
      </c>
      <c r="F565" s="1278">
        <v>2.2175894823335901E-2</v>
      </c>
      <c r="G565" s="1248">
        <v>9.3312772611294896</v>
      </c>
      <c r="H565" s="1278">
        <v>0.39377686001766898</v>
      </c>
      <c r="I565" s="1248">
        <v>5.2974937139572298E-2</v>
      </c>
      <c r="J565" s="1278">
        <v>2.1699192570318001E-3</v>
      </c>
      <c r="K565" s="1248">
        <v>3.0000008613296002E-3</v>
      </c>
      <c r="L565" s="1250">
        <v>2.0000005741741501E-3</v>
      </c>
      <c r="M565" s="1273">
        <v>2.0000005741741501E-3</v>
      </c>
      <c r="N565" s="1248">
        <v>3.1850009128239903E-2</v>
      </c>
      <c r="O565" s="1249">
        <v>3.1850009128239903E-2</v>
      </c>
      <c r="P565" s="1251">
        <v>1.5925004564119952E-2</v>
      </c>
      <c r="Q565" s="1252">
        <v>5.5370228724221801E-2</v>
      </c>
    </row>
    <row r="566" spans="1:17" s="212" customFormat="1" ht="15.5" x14ac:dyDescent="0.35">
      <c r="A566" s="198">
        <v>2025</v>
      </c>
      <c r="B566" s="197" t="s">
        <v>5842</v>
      </c>
      <c r="C566" s="197">
        <v>2002</v>
      </c>
      <c r="D566" s="213" t="str">
        <f t="shared" si="7"/>
        <v>2025_2002</v>
      </c>
      <c r="E566" s="1267">
        <v>0.28646283507590098</v>
      </c>
      <c r="F566" s="1278">
        <v>2.2091016747752601E-2</v>
      </c>
      <c r="G566" s="1248">
        <v>7.1892783392755604</v>
      </c>
      <c r="H566" s="1278">
        <v>0.31662265876127998</v>
      </c>
      <c r="I566" s="1248">
        <v>5.34241339799221E-2</v>
      </c>
      <c r="J566" s="1278">
        <v>2.1672703735498098E-3</v>
      </c>
      <c r="K566" s="1248">
        <v>3.0000008613434602E-3</v>
      </c>
      <c r="L566" s="1250">
        <v>2.0000005741487499E-3</v>
      </c>
      <c r="M566" s="1273">
        <v>2.0000005741487499E-3</v>
      </c>
      <c r="N566" s="1248">
        <v>3.1850009128239903E-2</v>
      </c>
      <c r="O566" s="1249">
        <v>3.1850009128239903E-2</v>
      </c>
      <c r="P566" s="1251">
        <v>1.5925004564119952E-2</v>
      </c>
      <c r="Q566" s="1252">
        <v>5.5839736252410697E-2</v>
      </c>
    </row>
    <row r="567" spans="1:17" s="212" customFormat="1" ht="15.5" x14ac:dyDescent="0.35">
      <c r="A567" s="198">
        <v>2025</v>
      </c>
      <c r="B567" s="197" t="s">
        <v>5842</v>
      </c>
      <c r="C567" s="197">
        <v>2003</v>
      </c>
      <c r="D567" s="213" t="str">
        <f t="shared" si="7"/>
        <v>2025_2003</v>
      </c>
      <c r="E567" s="1267">
        <v>0.28299104289087601</v>
      </c>
      <c r="F567" s="1278">
        <v>2.17408585962247E-2</v>
      </c>
      <c r="G567" s="1248">
        <v>7.2308068501430798</v>
      </c>
      <c r="H567" s="1278">
        <v>0.31391895149170701</v>
      </c>
      <c r="I567" s="1248">
        <v>5.2838460107562699E-2</v>
      </c>
      <c r="J567" s="1278">
        <v>2.13617168550555E-3</v>
      </c>
      <c r="K567" s="1248">
        <v>3.0000008612678002E-3</v>
      </c>
      <c r="L567" s="1250">
        <v>2.0000005741348499E-3</v>
      </c>
      <c r="M567" s="1273">
        <v>2.0000005741348499E-3</v>
      </c>
      <c r="N567" s="1248">
        <v>3.1850009128239903E-2</v>
      </c>
      <c r="O567" s="1249">
        <v>3.1850009128239903E-2</v>
      </c>
      <c r="P567" s="1251">
        <v>1.5925004564119952E-2</v>
      </c>
      <c r="Q567" s="1252">
        <v>5.52275808064326E-2</v>
      </c>
    </row>
    <row r="568" spans="1:17" s="212" customFormat="1" ht="15.5" x14ac:dyDescent="0.35">
      <c r="A568" s="198">
        <v>2025</v>
      </c>
      <c r="B568" s="197" t="s">
        <v>5842</v>
      </c>
      <c r="C568" s="197">
        <v>2004</v>
      </c>
      <c r="D568" s="213" t="str">
        <f t="shared" si="7"/>
        <v>2025_2004</v>
      </c>
      <c r="E568" s="1267">
        <v>0.57156020563489196</v>
      </c>
      <c r="F568" s="1278">
        <v>1.4230852240337899E-2</v>
      </c>
      <c r="G568" s="1248">
        <v>4.1413644377388801</v>
      </c>
      <c r="H568" s="1278">
        <v>0.26266405546288402</v>
      </c>
      <c r="I568" s="1248">
        <v>0.149360387563407</v>
      </c>
      <c r="J568" s="1278">
        <v>1.3890120292112999E-4</v>
      </c>
      <c r="K568" s="1248">
        <v>3.00000086126324E-3</v>
      </c>
      <c r="L568" s="1250">
        <v>2.0000005740697102E-3</v>
      </c>
      <c r="M568" s="1273">
        <v>2.0000005740697102E-3</v>
      </c>
      <c r="N568" s="1248">
        <v>3.1850009128239903E-2</v>
      </c>
      <c r="O568" s="1249">
        <v>3.1850009128239903E-2</v>
      </c>
      <c r="P568" s="1251">
        <v>1.5925004564119952E-2</v>
      </c>
      <c r="Q568" s="1252">
        <v>0.15611380151212101</v>
      </c>
    </row>
    <row r="569" spans="1:17" s="212" customFormat="1" ht="15.5" x14ac:dyDescent="0.35">
      <c r="A569" s="198">
        <v>2025</v>
      </c>
      <c r="B569" s="197" t="s">
        <v>5842</v>
      </c>
      <c r="C569" s="197">
        <v>2005</v>
      </c>
      <c r="D569" s="213" t="str">
        <f t="shared" si="7"/>
        <v>2025_2005</v>
      </c>
      <c r="E569" s="1267">
        <v>0.56556958375074495</v>
      </c>
      <c r="F569" s="1278">
        <v>1.40615091343628E-2</v>
      </c>
      <c r="G569" s="1248">
        <v>4.1315720297510303</v>
      </c>
      <c r="H569" s="1278">
        <v>0.26042864882874101</v>
      </c>
      <c r="I569" s="1248">
        <v>0.14824216636972501</v>
      </c>
      <c r="J569" s="1278">
        <v>1.4081872641151901E-4</v>
      </c>
      <c r="K569" s="1248">
        <v>3.0000008612374599E-3</v>
      </c>
      <c r="L569" s="1250">
        <v>2.0000005741081699E-3</v>
      </c>
      <c r="M569" s="1273">
        <v>2.0000005741081699E-3</v>
      </c>
      <c r="N569" s="1248">
        <v>3.1850009128239903E-2</v>
      </c>
      <c r="O569" s="1249">
        <v>3.1850009128239903E-2</v>
      </c>
      <c r="P569" s="1251">
        <v>1.5925004564119952E-2</v>
      </c>
      <c r="Q569" s="1252">
        <v>0.15494501931809301</v>
      </c>
    </row>
    <row r="570" spans="1:17" s="212" customFormat="1" ht="15.5" x14ac:dyDescent="0.35">
      <c r="A570" s="198">
        <v>2025</v>
      </c>
      <c r="B570" s="197" t="s">
        <v>5842</v>
      </c>
      <c r="C570" s="197">
        <v>2006</v>
      </c>
      <c r="D570" s="213" t="str">
        <f t="shared" si="7"/>
        <v>2025_2006</v>
      </c>
      <c r="E570" s="1267">
        <v>0.55722165334462403</v>
      </c>
      <c r="F570" s="1278">
        <v>1.3958028041058199E-2</v>
      </c>
      <c r="G570" s="1248">
        <v>4.1155841814356604</v>
      </c>
      <c r="H570" s="1278">
        <v>0.256861403921255</v>
      </c>
      <c r="I570" s="1248">
        <v>0.146646696009927</v>
      </c>
      <c r="J570" s="1278">
        <v>1.4178400729516501E-4</v>
      </c>
      <c r="K570" s="1248">
        <v>3.00000086122354E-3</v>
      </c>
      <c r="L570" s="1250">
        <v>2.0000005741229701E-3</v>
      </c>
      <c r="M570" s="1273">
        <v>2.0000005741229701E-3</v>
      </c>
      <c r="N570" s="1248">
        <v>3.1850009128239903E-2</v>
      </c>
      <c r="O570" s="1249">
        <v>3.1850009128239903E-2</v>
      </c>
      <c r="P570" s="1251">
        <v>1.5925004564119952E-2</v>
      </c>
      <c r="Q570" s="1252">
        <v>0.15327740886842001</v>
      </c>
    </row>
    <row r="571" spans="1:17" s="212" customFormat="1" ht="15.5" x14ac:dyDescent="0.35">
      <c r="A571" s="198">
        <v>2025</v>
      </c>
      <c r="B571" s="197" t="s">
        <v>5842</v>
      </c>
      <c r="C571" s="197">
        <v>2007</v>
      </c>
      <c r="D571" s="213" t="str">
        <f t="shared" si="7"/>
        <v>2025_2007</v>
      </c>
      <c r="E571" s="1267">
        <v>0.32255643546574497</v>
      </c>
      <c r="F571" s="1278">
        <v>1.37057001433204E-2</v>
      </c>
      <c r="G571" s="1248">
        <v>2.46260215320306</v>
      </c>
      <c r="H571" s="1278">
        <v>0.25607272927193397</v>
      </c>
      <c r="I571" s="1248">
        <v>8.5227653178703899E-2</v>
      </c>
      <c r="J571" s="1278">
        <v>1.4498341853779899E-4</v>
      </c>
      <c r="K571" s="1248">
        <v>3.0000008612274601E-3</v>
      </c>
      <c r="L571" s="1250">
        <v>2.0000005741803001E-3</v>
      </c>
      <c r="M571" s="1273">
        <v>2.0000005741803001E-3</v>
      </c>
      <c r="N571" s="1248">
        <v>3.1850009128239903E-2</v>
      </c>
      <c r="O571" s="1249">
        <v>3.1850009128239903E-2</v>
      </c>
      <c r="P571" s="1251">
        <v>1.5925004564119952E-2</v>
      </c>
      <c r="Q571" s="1252">
        <v>8.9081269463335097E-2</v>
      </c>
    </row>
    <row r="572" spans="1:17" s="212" customFormat="1" ht="15.5" x14ac:dyDescent="0.35">
      <c r="A572" s="198">
        <v>2025</v>
      </c>
      <c r="B572" s="197" t="s">
        <v>5842</v>
      </c>
      <c r="C572" s="197">
        <v>2008</v>
      </c>
      <c r="D572" s="213" t="str">
        <f t="shared" si="7"/>
        <v>2025_2008</v>
      </c>
      <c r="E572" s="1267">
        <v>0.32604658144367299</v>
      </c>
      <c r="F572" s="1278">
        <v>9.2127060498981197E-3</v>
      </c>
      <c r="G572" s="1248">
        <v>2.4793614891742699</v>
      </c>
      <c r="H572" s="1278">
        <v>0.144714674741557</v>
      </c>
      <c r="I572" s="1248">
        <v>8.5968206710906006E-2</v>
      </c>
      <c r="J572" s="1278">
        <v>1.4110477531011599E-4</v>
      </c>
      <c r="K572" s="1248">
        <v>3.0000008613147999E-3</v>
      </c>
      <c r="L572" s="1250">
        <v>2.0000005742018402E-3</v>
      </c>
      <c r="M572" s="1273">
        <v>2.0000005742018402E-3</v>
      </c>
      <c r="N572" s="1248">
        <v>3.1850009128239903E-2</v>
      </c>
      <c r="O572" s="1249">
        <v>3.1850009128239903E-2</v>
      </c>
      <c r="P572" s="1251">
        <v>1.5925004564119952E-2</v>
      </c>
      <c r="Q572" s="1252">
        <v>8.9855307540105803E-2</v>
      </c>
    </row>
    <row r="573" spans="1:17" s="212" customFormat="1" ht="15.5" x14ac:dyDescent="0.35">
      <c r="A573" s="198">
        <v>2025</v>
      </c>
      <c r="B573" s="197" t="s">
        <v>5842</v>
      </c>
      <c r="C573" s="197">
        <v>2009</v>
      </c>
      <c r="D573" s="213" t="str">
        <f t="shared" si="7"/>
        <v>2025_2009</v>
      </c>
      <c r="E573" s="1267">
        <v>0.32037566997421602</v>
      </c>
      <c r="F573" s="1278">
        <v>4.5829775822900203E-3</v>
      </c>
      <c r="G573" s="1248">
        <v>2.4665893662468301</v>
      </c>
      <c r="H573" s="1278">
        <v>3.83559883311533E-2</v>
      </c>
      <c r="I573" s="1248">
        <v>8.4764988595501106E-2</v>
      </c>
      <c r="J573" s="1278">
        <v>1.2965946307761701E-4</v>
      </c>
      <c r="K573" s="1248">
        <v>3.0000008612764699E-3</v>
      </c>
      <c r="L573" s="1250">
        <v>2.0000005741455098E-3</v>
      </c>
      <c r="M573" s="1273">
        <v>2.0000005741455098E-3</v>
      </c>
      <c r="N573" s="1248">
        <v>3.1850009128239903E-2</v>
      </c>
      <c r="O573" s="1249">
        <v>3.1850009128239903E-2</v>
      </c>
      <c r="P573" s="1251">
        <v>1.5925004564119952E-2</v>
      </c>
      <c r="Q573" s="1252">
        <v>8.8597685240723506E-2</v>
      </c>
    </row>
    <row r="574" spans="1:17" s="212" customFormat="1" ht="15.5" x14ac:dyDescent="0.35">
      <c r="A574" s="198">
        <v>2025</v>
      </c>
      <c r="B574" s="197" t="s">
        <v>5842</v>
      </c>
      <c r="C574" s="197">
        <v>2010</v>
      </c>
      <c r="D574" s="213" t="str">
        <f t="shared" si="7"/>
        <v>2025_2010</v>
      </c>
      <c r="E574" s="1267">
        <v>8.6657727850507099E-2</v>
      </c>
      <c r="F574" s="1278">
        <v>4.59777955770534E-3</v>
      </c>
      <c r="G574" s="1248">
        <v>0.76374964164160497</v>
      </c>
      <c r="H574" s="1278">
        <v>3.84401243115612E-2</v>
      </c>
      <c r="I574" s="1248">
        <v>2.19973294317721E-2</v>
      </c>
      <c r="J574" s="1278">
        <v>1.5836700145144299E-4</v>
      </c>
      <c r="K574" s="1248">
        <v>3.0000008613209799E-3</v>
      </c>
      <c r="L574" s="1250">
        <v>2.0000005741224402E-3</v>
      </c>
      <c r="M574" s="1273">
        <v>2.0000005741224402E-3</v>
      </c>
      <c r="N574" s="1248">
        <v>3.1850009128239903E-2</v>
      </c>
      <c r="O574" s="1249">
        <v>3.1850009128239903E-2</v>
      </c>
      <c r="P574" s="1251">
        <v>1.5925004564119952E-2</v>
      </c>
      <c r="Q574" s="1252">
        <v>2.2991951056973201E-2</v>
      </c>
    </row>
    <row r="575" spans="1:17" s="212" customFormat="1" ht="15.5" x14ac:dyDescent="0.35">
      <c r="A575" s="198">
        <v>2025</v>
      </c>
      <c r="B575" s="197" t="s">
        <v>5842</v>
      </c>
      <c r="C575" s="197">
        <v>2011</v>
      </c>
      <c r="D575" s="213" t="str">
        <f t="shared" si="7"/>
        <v>2025_2011</v>
      </c>
      <c r="E575" s="1267">
        <v>8.4992513963948801E-2</v>
      </c>
      <c r="F575" s="1278">
        <v>4.7746064546483396E-3</v>
      </c>
      <c r="G575" s="1248">
        <v>0.746673566866358</v>
      </c>
      <c r="H575" s="1278">
        <v>3.8191769328289403E-2</v>
      </c>
      <c r="I575" s="1248">
        <v>2.1220001960636298E-2</v>
      </c>
      <c r="J575" s="1278">
        <v>2.1657208944014401E-4</v>
      </c>
      <c r="K575" s="1248">
        <v>3.00000086129165E-3</v>
      </c>
      <c r="L575" s="1250">
        <v>2.00000057422279E-3</v>
      </c>
      <c r="M575" s="1273">
        <v>2.00000057422279E-3</v>
      </c>
      <c r="N575" s="1248">
        <v>3.1850009128239903E-2</v>
      </c>
      <c r="O575" s="1249">
        <v>3.1850009128239903E-2</v>
      </c>
      <c r="P575" s="1251">
        <v>1.5925004564119952E-2</v>
      </c>
      <c r="Q575" s="1252">
        <v>2.21794762869321E-2</v>
      </c>
    </row>
    <row r="576" spans="1:17" s="212" customFormat="1" ht="15.5" x14ac:dyDescent="0.35">
      <c r="A576" s="198">
        <v>2025</v>
      </c>
      <c r="B576" s="197" t="s">
        <v>5842</v>
      </c>
      <c r="C576" s="197">
        <v>2012</v>
      </c>
      <c r="D576" s="213" t="str">
        <f t="shared" si="7"/>
        <v>2025_2012</v>
      </c>
      <c r="E576" s="1267">
        <v>8.4735954547390899E-2</v>
      </c>
      <c r="F576" s="1278">
        <v>4.7774810714039098E-3</v>
      </c>
      <c r="G576" s="1248">
        <v>0.73451523116340101</v>
      </c>
      <c r="H576" s="1278">
        <v>3.8120730388630002E-2</v>
      </c>
      <c r="I576" s="1248">
        <v>2.0636599833400399E-2</v>
      </c>
      <c r="J576" s="1278">
        <v>3.16242911216289E-4</v>
      </c>
      <c r="K576" s="1248">
        <v>3.0000008613506502E-3</v>
      </c>
      <c r="L576" s="1250">
        <v>2.0000005742320899E-3</v>
      </c>
      <c r="M576" s="1273">
        <v>2.0000005742320899E-3</v>
      </c>
      <c r="N576" s="1248">
        <v>3.1850009128239903E-2</v>
      </c>
      <c r="O576" s="1249">
        <v>3.1850009128239903E-2</v>
      </c>
      <c r="P576" s="1251">
        <v>1.5925004564119952E-2</v>
      </c>
      <c r="Q576" s="1252">
        <v>2.1569695304311201E-2</v>
      </c>
    </row>
    <row r="577" spans="1:17" s="212" customFormat="1" ht="15.5" x14ac:dyDescent="0.35">
      <c r="A577" s="198">
        <v>2025</v>
      </c>
      <c r="B577" s="197" t="s">
        <v>5842</v>
      </c>
      <c r="C577" s="197">
        <v>2013</v>
      </c>
      <c r="D577" s="213" t="str">
        <f t="shared" si="7"/>
        <v>2025_2013</v>
      </c>
      <c r="E577" s="1267">
        <v>8.3706167116060895E-2</v>
      </c>
      <c r="F577" s="1278">
        <v>4.8605832066756999E-3</v>
      </c>
      <c r="G577" s="1248">
        <v>0.71695220443863505</v>
      </c>
      <c r="H577" s="1278">
        <v>3.7969338369604297E-2</v>
      </c>
      <c r="I577" s="1248">
        <v>1.9856568085674899E-2</v>
      </c>
      <c r="J577" s="1278">
        <v>4.7491484255626998E-4</v>
      </c>
      <c r="K577" s="1248">
        <v>3.0000008613748899E-3</v>
      </c>
      <c r="L577" s="1250">
        <v>2.0000005742692498E-3</v>
      </c>
      <c r="M577" s="1273">
        <v>2.0000005742692498E-3</v>
      </c>
      <c r="N577" s="1248">
        <v>3.1850009128239903E-2</v>
      </c>
      <c r="O577" s="1249">
        <v>3.1850009128239903E-2</v>
      </c>
      <c r="P577" s="1251">
        <v>1.5925004564119952E-2</v>
      </c>
      <c r="Q577" s="1252">
        <v>2.0754393982293201E-2</v>
      </c>
    </row>
    <row r="578" spans="1:17" s="212" customFormat="1" ht="15.5" x14ac:dyDescent="0.35">
      <c r="A578" s="198">
        <v>2025</v>
      </c>
      <c r="B578" s="197" t="s">
        <v>5842</v>
      </c>
      <c r="C578" s="197">
        <v>2014</v>
      </c>
      <c r="D578" s="213" t="str">
        <f t="shared" si="7"/>
        <v>2025_2014</v>
      </c>
      <c r="E578" s="1267">
        <v>8.1638936875310306E-2</v>
      </c>
      <c r="F578" s="1278">
        <v>4.7986817958740203E-3</v>
      </c>
      <c r="G578" s="1248">
        <v>0.69571316987258003</v>
      </c>
      <c r="H578" s="1278">
        <v>3.8202603442374701E-2</v>
      </c>
      <c r="I578" s="1248">
        <v>1.8878304354276398E-2</v>
      </c>
      <c r="J578" s="1278">
        <v>6.5938611900907005E-4</v>
      </c>
      <c r="K578" s="1248">
        <v>3.0000008613117902E-3</v>
      </c>
      <c r="L578" s="1250">
        <v>2.0000005742244601E-3</v>
      </c>
      <c r="M578" s="1273">
        <v>2.0000005742244601E-3</v>
      </c>
      <c r="N578" s="1248">
        <v>3.1850009128239903E-2</v>
      </c>
      <c r="O578" s="1249">
        <v>3.1850009128239903E-2</v>
      </c>
      <c r="P578" s="1251">
        <v>1.5925004564119952E-2</v>
      </c>
      <c r="Q578" s="1252">
        <v>1.9731897505941901E-2</v>
      </c>
    </row>
    <row r="579" spans="1:17" s="212" customFormat="1" ht="15.5" x14ac:dyDescent="0.35">
      <c r="A579" s="198">
        <v>2025</v>
      </c>
      <c r="B579" s="197" t="s">
        <v>5842</v>
      </c>
      <c r="C579" s="197">
        <v>2015</v>
      </c>
      <c r="D579" s="213" t="str">
        <f t="shared" si="7"/>
        <v>2025_2015</v>
      </c>
      <c r="E579" s="1267">
        <v>8.0699087524763999E-2</v>
      </c>
      <c r="F579" s="1278">
        <v>4.9597766506352097E-3</v>
      </c>
      <c r="G579" s="1248">
        <v>0.67758448248241498</v>
      </c>
      <c r="H579" s="1278">
        <v>3.7947595882201597E-2</v>
      </c>
      <c r="I579" s="1248">
        <v>1.8025933127907599E-2</v>
      </c>
      <c r="J579" s="1278">
        <v>8.34526568313434E-4</v>
      </c>
      <c r="K579" s="1248">
        <v>3.0000008613212201E-3</v>
      </c>
      <c r="L579" s="1250">
        <v>2.0000005742591702E-3</v>
      </c>
      <c r="M579" s="1273">
        <v>2.0000005742591702E-3</v>
      </c>
      <c r="N579" s="1248">
        <v>3.1850009128239903E-2</v>
      </c>
      <c r="O579" s="1249">
        <v>3.1850009128239903E-2</v>
      </c>
      <c r="P579" s="1251">
        <v>1.5925004564119952E-2</v>
      </c>
      <c r="Q579" s="1252">
        <v>1.8840985835058E-2</v>
      </c>
    </row>
    <row r="580" spans="1:17" s="212" customFormat="1" ht="15.5" x14ac:dyDescent="0.35">
      <c r="A580" s="198">
        <v>2025</v>
      </c>
      <c r="B580" s="197" t="s">
        <v>5842</v>
      </c>
      <c r="C580" s="197">
        <v>2016</v>
      </c>
      <c r="D580" s="213" t="str">
        <f t="shared" si="7"/>
        <v>2025_2016</v>
      </c>
      <c r="E580" s="1267">
        <v>7.95593410455116E-2</v>
      </c>
      <c r="F580" s="1278">
        <v>4.6375887895412004E-3</v>
      </c>
      <c r="G580" s="1248">
        <v>0.58126167891686598</v>
      </c>
      <c r="H580" s="1278">
        <v>3.5507378021324497E-2</v>
      </c>
      <c r="I580" s="1248">
        <v>1.7090309399774802E-2</v>
      </c>
      <c r="J580" s="1278">
        <v>9.6014191526014E-4</v>
      </c>
      <c r="K580" s="1248">
        <v>3.0000008613372199E-3</v>
      </c>
      <c r="L580" s="1250">
        <v>2.0000005742400002E-3</v>
      </c>
      <c r="M580" s="1273">
        <v>2.0000005742400002E-3</v>
      </c>
      <c r="N580" s="1248">
        <v>3.1850009128239903E-2</v>
      </c>
      <c r="O580" s="1249">
        <v>3.1850009128239903E-2</v>
      </c>
      <c r="P580" s="1251">
        <v>1.5925004564119952E-2</v>
      </c>
      <c r="Q580" s="1252">
        <v>1.7863057353707901E-2</v>
      </c>
    </row>
    <row r="581" spans="1:17" s="212" customFormat="1" ht="15.5" x14ac:dyDescent="0.35">
      <c r="A581" s="198">
        <v>2025</v>
      </c>
      <c r="B581" s="197" t="s">
        <v>5842</v>
      </c>
      <c r="C581" s="197">
        <v>2017</v>
      </c>
      <c r="D581" s="213" t="str">
        <f t="shared" si="7"/>
        <v>2025_2017</v>
      </c>
      <c r="E581" s="1267">
        <v>7.7302050082539597E-2</v>
      </c>
      <c r="F581" s="1278">
        <v>4.4314798306801803E-3</v>
      </c>
      <c r="G581" s="1248">
        <v>0.48525302542112803</v>
      </c>
      <c r="H581" s="1278">
        <v>3.2788993834781198E-2</v>
      </c>
      <c r="I581" s="1248">
        <v>1.5938074526790101E-2</v>
      </c>
      <c r="J581" s="1278">
        <v>1.03556505642111E-3</v>
      </c>
      <c r="K581" s="1248">
        <v>3.0000008612826299E-3</v>
      </c>
      <c r="L581" s="1250">
        <v>2.0000005742935702E-3</v>
      </c>
      <c r="M581" s="1273">
        <v>2.0000005742935702E-3</v>
      </c>
      <c r="N581" s="1248">
        <v>3.1850009128239903E-2</v>
      </c>
      <c r="O581" s="1249">
        <v>3.1850009128239903E-2</v>
      </c>
      <c r="P581" s="1251">
        <v>1.5925004564119952E-2</v>
      </c>
      <c r="Q581" s="1252">
        <v>1.6658723532733299E-2</v>
      </c>
    </row>
    <row r="582" spans="1:17" s="212" customFormat="1" ht="15.5" x14ac:dyDescent="0.35">
      <c r="A582" s="198">
        <v>2025</v>
      </c>
      <c r="B582" s="197" t="s">
        <v>5842</v>
      </c>
      <c r="C582" s="197">
        <v>2018</v>
      </c>
      <c r="D582" s="213" t="str">
        <f t="shared" si="7"/>
        <v>2025_2018</v>
      </c>
      <c r="E582" s="1267">
        <v>7.6631540553291494E-2</v>
      </c>
      <c r="F582" s="1278">
        <v>3.9389541468955302E-3</v>
      </c>
      <c r="G582" s="1248">
        <v>0.38910943181577201</v>
      </c>
      <c r="H582" s="1278">
        <v>2.89938110706956E-2</v>
      </c>
      <c r="I582" s="1248">
        <v>1.49655667584115E-2</v>
      </c>
      <c r="J582" s="1278">
        <v>1.07715250881148E-3</v>
      </c>
      <c r="K582" s="1248">
        <v>3.0000008613436302E-3</v>
      </c>
      <c r="L582" s="1250">
        <v>2.00000057424504E-3</v>
      </c>
      <c r="M582" s="1273">
        <v>2.00000057424504E-3</v>
      </c>
      <c r="N582" s="1248">
        <v>3.1850009128239903E-2</v>
      </c>
      <c r="O582" s="1249">
        <v>3.1850009128239903E-2</v>
      </c>
      <c r="P582" s="1251">
        <v>1.5925004564119952E-2</v>
      </c>
      <c r="Q582" s="1252">
        <v>1.5642243278507901E-2</v>
      </c>
    </row>
    <row r="583" spans="1:17" s="212" customFormat="1" ht="15.5" x14ac:dyDescent="0.35">
      <c r="A583" s="198">
        <v>2025</v>
      </c>
      <c r="B583" s="197" t="s">
        <v>5842</v>
      </c>
      <c r="C583" s="197">
        <v>2019</v>
      </c>
      <c r="D583" s="213" t="str">
        <f t="shared" si="7"/>
        <v>2025_2019</v>
      </c>
      <c r="E583" s="1267">
        <v>7.5273254415819293E-2</v>
      </c>
      <c r="F583" s="1278">
        <v>3.4218978642623602E-3</v>
      </c>
      <c r="G583" s="1248">
        <v>0.32429638843548497</v>
      </c>
      <c r="H583" s="1278">
        <v>2.5169222434167401E-2</v>
      </c>
      <c r="I583" s="1248">
        <v>1.3833845875296E-2</v>
      </c>
      <c r="J583" s="1278">
        <v>1.0982790476695701E-3</v>
      </c>
      <c r="K583" s="1248">
        <v>3.0000008613918E-3</v>
      </c>
      <c r="L583" s="1250">
        <v>2.0000005741957101E-3</v>
      </c>
      <c r="M583" s="1273">
        <v>2.0000005741957101E-3</v>
      </c>
      <c r="N583" s="1248">
        <v>3.1850009128239903E-2</v>
      </c>
      <c r="O583" s="1249">
        <v>3.1850009128239903E-2</v>
      </c>
      <c r="P583" s="1251">
        <v>1.5925004564119952E-2</v>
      </c>
      <c r="Q583" s="1252">
        <v>1.4459350998995001E-2</v>
      </c>
    </row>
    <row r="584" spans="1:17" s="212" customFormat="1" ht="15.5" x14ac:dyDescent="0.35">
      <c r="A584" s="198">
        <v>2025</v>
      </c>
      <c r="B584" s="197" t="s">
        <v>5842</v>
      </c>
      <c r="C584" s="197">
        <v>2020</v>
      </c>
      <c r="D584" s="213" t="str">
        <f t="shared" si="7"/>
        <v>2025_2020</v>
      </c>
      <c r="E584" s="1267">
        <v>6.5201971203343895E-2</v>
      </c>
      <c r="F584" s="1278">
        <v>2.8497650787186E-3</v>
      </c>
      <c r="G584" s="1248">
        <v>0.24542832207211701</v>
      </c>
      <c r="H584" s="1278">
        <v>2.1996411325212201E-2</v>
      </c>
      <c r="I584" s="1248">
        <v>1.15684916927396E-2</v>
      </c>
      <c r="J584" s="1278">
        <v>1.08528604380454E-3</v>
      </c>
      <c r="K584" s="1248">
        <v>3.0000008609633098E-3</v>
      </c>
      <c r="L584" s="1250">
        <v>2.0000005740711301E-3</v>
      </c>
      <c r="M584" s="1273">
        <v>2.0000005740711301E-3</v>
      </c>
      <c r="N584" s="1248">
        <v>3.1850009128239903E-2</v>
      </c>
      <c r="O584" s="1249">
        <v>3.1850009128239903E-2</v>
      </c>
      <c r="P584" s="1251">
        <v>1.5925004564119952E-2</v>
      </c>
      <c r="Q584" s="1252">
        <v>1.2091567552663701E-2</v>
      </c>
    </row>
    <row r="585" spans="1:17" s="212" customFormat="1" ht="15.5" x14ac:dyDescent="0.35">
      <c r="A585" s="198">
        <v>2025</v>
      </c>
      <c r="B585" s="197" t="s">
        <v>5842</v>
      </c>
      <c r="C585" s="197">
        <v>2021</v>
      </c>
      <c r="D585" s="213" t="str">
        <f t="shared" si="7"/>
        <v>2025_2021</v>
      </c>
      <c r="E585" s="1267">
        <v>6.3677256984040295E-2</v>
      </c>
      <c r="F585" s="1278">
        <v>2.5380008643300601E-3</v>
      </c>
      <c r="G585" s="1248">
        <v>0.19130712021228199</v>
      </c>
      <c r="H585" s="1278">
        <v>1.93549401958912E-2</v>
      </c>
      <c r="I585" s="1248">
        <v>1.03869900962597E-2</v>
      </c>
      <c r="J585" s="1278">
        <v>1.0854673032613901E-3</v>
      </c>
      <c r="K585" s="1248">
        <v>3.0000008609655801E-3</v>
      </c>
      <c r="L585" s="1250">
        <v>2.0000005740728401E-3</v>
      </c>
      <c r="M585" s="1273">
        <v>2.0000005740728401E-3</v>
      </c>
      <c r="N585" s="1248">
        <v>3.1850009128239903E-2</v>
      </c>
      <c r="O585" s="1249">
        <v>3.1850009128239903E-2</v>
      </c>
      <c r="P585" s="1251">
        <v>1.5925004564119952E-2</v>
      </c>
      <c r="Q585" s="1252">
        <v>1.0856643696826601E-2</v>
      </c>
    </row>
    <row r="586" spans="1:17" s="212" customFormat="1" ht="15.5" x14ac:dyDescent="0.35">
      <c r="A586" s="198">
        <v>2025</v>
      </c>
      <c r="B586" s="197" t="s">
        <v>5842</v>
      </c>
      <c r="C586" s="197">
        <v>2022</v>
      </c>
      <c r="D586" s="213" t="str">
        <f t="shared" si="7"/>
        <v>2025_2022</v>
      </c>
      <c r="E586" s="1267">
        <v>6.2072093759542903E-2</v>
      </c>
      <c r="F586" s="1278">
        <v>2.2814349552907698E-3</v>
      </c>
      <c r="G586" s="1248">
        <v>0.140341914503892</v>
      </c>
      <c r="H586" s="1278">
        <v>1.7427332244755001E-2</v>
      </c>
      <c r="I586" s="1248">
        <v>9.1448825665156001E-3</v>
      </c>
      <c r="J586" s="1278">
        <v>1.0856405717738599E-3</v>
      </c>
      <c r="K586" s="1248">
        <v>3.0000008609677698E-3</v>
      </c>
      <c r="L586" s="1250">
        <v>2.0000005740744798E-3</v>
      </c>
      <c r="M586" s="1273">
        <v>2.0000005740744798E-3</v>
      </c>
      <c r="N586" s="1248">
        <v>3.1850009128239903E-2</v>
      </c>
      <c r="O586" s="1249">
        <v>3.1850009128239903E-2</v>
      </c>
      <c r="P586" s="1251">
        <v>1.5925004564119952E-2</v>
      </c>
      <c r="Q586" s="1252">
        <v>9.55837357635805E-3</v>
      </c>
    </row>
    <row r="587" spans="1:17" s="212" customFormat="1" ht="15.5" x14ac:dyDescent="0.35">
      <c r="A587" s="198">
        <v>2025</v>
      </c>
      <c r="B587" s="197" t="s">
        <v>5842</v>
      </c>
      <c r="C587" s="197">
        <v>2023</v>
      </c>
      <c r="D587" s="213" t="str">
        <f t="shared" si="7"/>
        <v>2025_2023</v>
      </c>
      <c r="E587" s="1267">
        <v>6.0386600488270201E-2</v>
      </c>
      <c r="F587" s="1278">
        <v>2.5496733617915599E-3</v>
      </c>
      <c r="G587" s="1248">
        <v>0.13184049254285601</v>
      </c>
      <c r="H587" s="1278">
        <v>1.9726880563632501E-2</v>
      </c>
      <c r="I587" s="1248">
        <v>7.8421668700464804E-3</v>
      </c>
      <c r="J587" s="1278">
        <v>1.08580465696778E-3</v>
      </c>
      <c r="K587" s="1248">
        <v>3.0000008609699E-3</v>
      </c>
      <c r="L587" s="1250">
        <v>2.0000005740760801E-3</v>
      </c>
      <c r="M587" s="1273">
        <v>2.0000005740760801E-3</v>
      </c>
      <c r="N587" s="1248">
        <v>3.1850009128239903E-2</v>
      </c>
      <c r="O587" s="1249">
        <v>3.1850009128239903E-2</v>
      </c>
      <c r="P587" s="1251">
        <v>1.5925004564119952E-2</v>
      </c>
      <c r="Q587" s="1252">
        <v>8.1967548568098805E-3</v>
      </c>
    </row>
    <row r="588" spans="1:17" s="212" customFormat="1" ht="15.5" x14ac:dyDescent="0.35">
      <c r="A588" s="198">
        <v>2025</v>
      </c>
      <c r="B588" s="197" t="s">
        <v>5842</v>
      </c>
      <c r="C588" s="197">
        <v>2024</v>
      </c>
      <c r="D588" s="213" t="str">
        <f t="shared" si="7"/>
        <v>2025_2024</v>
      </c>
      <c r="E588" s="1267">
        <v>5.8620387276129601E-2</v>
      </c>
      <c r="F588" s="1278">
        <v>2.8054063843576901E-3</v>
      </c>
      <c r="G588" s="1248">
        <v>0.12294281647333</v>
      </c>
      <c r="H588" s="1278">
        <v>2.1926034961545399E-2</v>
      </c>
      <c r="I588" s="1248">
        <v>6.4788066725414602E-3</v>
      </c>
      <c r="J588" s="1278">
        <v>1.0859587701874799E-3</v>
      </c>
      <c r="K588" s="1248">
        <v>3.0000008609719301E-3</v>
      </c>
      <c r="L588" s="1250">
        <v>2.0000005740775902E-3</v>
      </c>
      <c r="M588" s="1275">
        <v>2.0000005740106598E-3</v>
      </c>
      <c r="N588" s="1248">
        <v>3.1850009128239903E-2</v>
      </c>
      <c r="O588" s="1249">
        <v>3.1850009128239903E-2</v>
      </c>
      <c r="P588" s="1260">
        <v>1.59250045641199E-2</v>
      </c>
      <c r="Q588" s="1252">
        <v>6.7717495609949602E-3</v>
      </c>
    </row>
    <row r="589" spans="1:17" s="212" customFormat="1" ht="15.5" x14ac:dyDescent="0.35">
      <c r="A589" s="198">
        <v>2025</v>
      </c>
      <c r="B589" s="197" t="s">
        <v>5842</v>
      </c>
      <c r="C589" s="197">
        <v>2025</v>
      </c>
      <c r="D589" s="213" t="str">
        <f t="shared" si="7"/>
        <v>2025_2025</v>
      </c>
      <c r="E589" s="1267">
        <v>5.67730489075245E-2</v>
      </c>
      <c r="F589" s="1278">
        <v>2.7319638542262301E-3</v>
      </c>
      <c r="G589" s="1248">
        <v>0.113648512238692</v>
      </c>
      <c r="H589" s="1278">
        <v>2.0856554438820701E-2</v>
      </c>
      <c r="I589" s="1248">
        <v>5.0547845082447099E-3</v>
      </c>
      <c r="J589" s="1278">
        <v>1.0861001228837199E-3</v>
      </c>
      <c r="K589" s="1248">
        <v>3.0000008609738301E-3</v>
      </c>
      <c r="L589" s="1250">
        <v>2.00000057407902E-3</v>
      </c>
      <c r="M589" s="1275">
        <v>2.0000005740099199E-3</v>
      </c>
      <c r="N589" s="1248">
        <v>3.1850009128239903E-2</v>
      </c>
      <c r="O589" s="1249">
        <v>3.1850009128239903E-2</v>
      </c>
      <c r="P589" s="1260">
        <v>1.59250045641199E-2</v>
      </c>
      <c r="Q589" s="1252">
        <v>5.2833394334334798E-3</v>
      </c>
    </row>
    <row r="590" spans="1:17" s="212" customFormat="1" ht="15.5" x14ac:dyDescent="0.35">
      <c r="A590" s="198">
        <v>2025</v>
      </c>
      <c r="B590" s="197" t="s">
        <v>5842</v>
      </c>
      <c r="C590" s="197">
        <v>2026</v>
      </c>
      <c r="D590" s="213" t="str">
        <f t="shared" si="7"/>
        <v>2025_2026</v>
      </c>
      <c r="E590" s="1268">
        <v>5.67730489075245E-2</v>
      </c>
      <c r="F590" s="1279">
        <v>2.7319638542262301E-3</v>
      </c>
      <c r="G590" s="1255">
        <v>0.113648512238692</v>
      </c>
      <c r="H590" s="1279">
        <v>2.0856554438820701E-2</v>
      </c>
      <c r="I590" s="1255">
        <v>5.0547845082447099E-3</v>
      </c>
      <c r="J590" s="1279">
        <v>1.0861001228837199E-3</v>
      </c>
      <c r="K590" s="1255">
        <v>3.0000008609738301E-3</v>
      </c>
      <c r="L590" s="1253">
        <v>2.00000057407902E-3</v>
      </c>
      <c r="M590" s="1273">
        <v>2.0000005740099199E-3</v>
      </c>
      <c r="N590" s="1255">
        <v>3.1850009128239903E-2</v>
      </c>
      <c r="O590" s="1256">
        <v>3.1850009128239903E-2</v>
      </c>
      <c r="P590" s="1251">
        <v>1.59250045641199E-2</v>
      </c>
      <c r="Q590" s="1254">
        <v>5.2833394334334798E-3</v>
      </c>
    </row>
    <row r="591" spans="1:17" s="212" customFormat="1" ht="15.5" x14ac:dyDescent="0.35">
      <c r="A591" s="198">
        <v>2026</v>
      </c>
      <c r="B591" s="197" t="s">
        <v>5842</v>
      </c>
      <c r="C591" s="197">
        <v>1971</v>
      </c>
      <c r="D591" s="213" t="str">
        <f t="shared" si="7"/>
        <v>2026_1971</v>
      </c>
      <c r="E591" s="1268">
        <v>0.228724579702935</v>
      </c>
      <c r="F591" s="1279">
        <v>2.5544352742057601</v>
      </c>
      <c r="G591" s="1255">
        <v>5.1710448455806297</v>
      </c>
      <c r="H591" s="1279">
        <v>3.94460429654408</v>
      </c>
      <c r="I591" s="1255">
        <v>0.172397690686314</v>
      </c>
      <c r="J591" s="1279">
        <v>1.50429923304764E-2</v>
      </c>
      <c r="K591" s="1255">
        <v>3.00000086158246E-3</v>
      </c>
      <c r="L591" s="1253">
        <v>2.0000005740243498E-3</v>
      </c>
      <c r="M591" s="1273">
        <v>2.0000005740243498E-3</v>
      </c>
      <c r="N591" s="1255">
        <v>3.1850009128239903E-2</v>
      </c>
      <c r="O591" s="1256">
        <v>3.1850009128239903E-2</v>
      </c>
      <c r="P591" s="1251">
        <v>1.5925004564119952E-2</v>
      </c>
      <c r="Q591" s="1254">
        <v>0.18019274925572701</v>
      </c>
    </row>
    <row r="592" spans="1:17" s="212" customFormat="1" ht="15.5" x14ac:dyDescent="0.35">
      <c r="A592" s="198">
        <v>2026</v>
      </c>
      <c r="B592" s="197" t="s">
        <v>5842</v>
      </c>
      <c r="C592" s="197">
        <v>1972</v>
      </c>
      <c r="D592" s="213" t="str">
        <f t="shared" si="7"/>
        <v>2026_1972</v>
      </c>
      <c r="E592" s="1268">
        <v>0.228724579702935</v>
      </c>
      <c r="F592" s="1279">
        <v>2.5544352742057601</v>
      </c>
      <c r="G592" s="1255">
        <v>5.1710448455806297</v>
      </c>
      <c r="H592" s="1279">
        <v>3.94460429654408</v>
      </c>
      <c r="I592" s="1255">
        <v>0.172397690686314</v>
      </c>
      <c r="J592" s="1279">
        <v>1.50429923304764E-2</v>
      </c>
      <c r="K592" s="1255">
        <v>3.00000086158246E-3</v>
      </c>
      <c r="L592" s="1253">
        <v>2.0000005740243498E-3</v>
      </c>
      <c r="M592" s="1273">
        <v>2.0000005740243498E-3</v>
      </c>
      <c r="N592" s="1255">
        <v>3.1850009128239903E-2</v>
      </c>
      <c r="O592" s="1256">
        <v>3.1850009128239903E-2</v>
      </c>
      <c r="P592" s="1251">
        <v>1.5925004564119952E-2</v>
      </c>
      <c r="Q592" s="1254">
        <v>0.18019274925572701</v>
      </c>
    </row>
    <row r="593" spans="1:17" s="212" customFormat="1" ht="15.5" x14ac:dyDescent="0.35">
      <c r="A593" s="198">
        <v>2026</v>
      </c>
      <c r="B593" s="197" t="s">
        <v>5842</v>
      </c>
      <c r="C593" s="197">
        <v>1973</v>
      </c>
      <c r="D593" s="213" t="str">
        <f t="shared" si="7"/>
        <v>2026_1973</v>
      </c>
      <c r="E593" s="1268">
        <v>0.228724579702935</v>
      </c>
      <c r="F593" s="1279">
        <v>2.5544352742057601</v>
      </c>
      <c r="G593" s="1255">
        <v>5.1710448455806297</v>
      </c>
      <c r="H593" s="1279">
        <v>3.94460429654408</v>
      </c>
      <c r="I593" s="1255">
        <v>0.172397690686314</v>
      </c>
      <c r="J593" s="1279">
        <v>1.50429923304764E-2</v>
      </c>
      <c r="K593" s="1255">
        <v>3.00000086158246E-3</v>
      </c>
      <c r="L593" s="1253">
        <v>2.0000005740243498E-3</v>
      </c>
      <c r="M593" s="1273">
        <v>2.0000005740243498E-3</v>
      </c>
      <c r="N593" s="1255">
        <v>3.1850009128239903E-2</v>
      </c>
      <c r="O593" s="1256">
        <v>3.1850009128239903E-2</v>
      </c>
      <c r="P593" s="1251">
        <v>1.5925004564119952E-2</v>
      </c>
      <c r="Q593" s="1254">
        <v>0.18019274925572701</v>
      </c>
    </row>
    <row r="594" spans="1:17" s="212" customFormat="1" ht="15.5" x14ac:dyDescent="0.35">
      <c r="A594" s="198">
        <v>2026</v>
      </c>
      <c r="B594" s="197" t="s">
        <v>5842</v>
      </c>
      <c r="C594" s="197">
        <v>1974</v>
      </c>
      <c r="D594" s="213" t="str">
        <f t="shared" si="7"/>
        <v>2026_1974</v>
      </c>
      <c r="E594" s="1268">
        <v>0.228724579702935</v>
      </c>
      <c r="F594" s="1279">
        <v>2.5544352742057601</v>
      </c>
      <c r="G594" s="1255">
        <v>5.1710448455806297</v>
      </c>
      <c r="H594" s="1279">
        <v>3.94460429654408</v>
      </c>
      <c r="I594" s="1255">
        <v>0.172397690686314</v>
      </c>
      <c r="J594" s="1279">
        <v>1.50429923304764E-2</v>
      </c>
      <c r="K594" s="1255">
        <v>3.00000086158246E-3</v>
      </c>
      <c r="L594" s="1253">
        <v>2.0000005740243498E-3</v>
      </c>
      <c r="M594" s="1273">
        <v>2.0000005740243498E-3</v>
      </c>
      <c r="N594" s="1255">
        <v>3.1850009128239903E-2</v>
      </c>
      <c r="O594" s="1256">
        <v>3.1850009128239903E-2</v>
      </c>
      <c r="P594" s="1251">
        <v>1.5925004564119952E-2</v>
      </c>
      <c r="Q594" s="1254">
        <v>0.18019274925572701</v>
      </c>
    </row>
    <row r="595" spans="1:17" s="212" customFormat="1" ht="15.5" x14ac:dyDescent="0.35">
      <c r="A595" s="198">
        <v>2026</v>
      </c>
      <c r="B595" s="197" t="s">
        <v>5842</v>
      </c>
      <c r="C595" s="197">
        <v>1975</v>
      </c>
      <c r="D595" s="213" t="str">
        <f t="shared" si="7"/>
        <v>2026_1975</v>
      </c>
      <c r="E595" s="1268">
        <v>0.228724579702935</v>
      </c>
      <c r="F595" s="1279">
        <v>2.5544352742057601</v>
      </c>
      <c r="G595" s="1255">
        <v>5.1710448455806297</v>
      </c>
      <c r="H595" s="1279">
        <v>3.94460429654408</v>
      </c>
      <c r="I595" s="1255">
        <v>0.172397690686314</v>
      </c>
      <c r="J595" s="1279">
        <v>1.50429923304764E-2</v>
      </c>
      <c r="K595" s="1255">
        <v>3.00000086158246E-3</v>
      </c>
      <c r="L595" s="1253">
        <v>2.0000005740243498E-3</v>
      </c>
      <c r="M595" s="1273">
        <v>2.0000005740243498E-3</v>
      </c>
      <c r="N595" s="1255">
        <v>3.1850009128239903E-2</v>
      </c>
      <c r="O595" s="1256">
        <v>3.1850009128239903E-2</v>
      </c>
      <c r="P595" s="1251">
        <v>1.5925004564119952E-2</v>
      </c>
      <c r="Q595" s="1254">
        <v>0.18019274925572701</v>
      </c>
    </row>
    <row r="596" spans="1:17" s="212" customFormat="1" ht="15.5" x14ac:dyDescent="0.35">
      <c r="A596" s="198">
        <v>2026</v>
      </c>
      <c r="B596" s="197" t="s">
        <v>5842</v>
      </c>
      <c r="C596" s="197">
        <v>1976</v>
      </c>
      <c r="D596" s="213" t="str">
        <f t="shared" si="7"/>
        <v>2026_1976</v>
      </c>
      <c r="E596" s="1268">
        <v>0.228724579702935</v>
      </c>
      <c r="F596" s="1279">
        <v>2.5544352742057601</v>
      </c>
      <c r="G596" s="1255">
        <v>5.1710448455806297</v>
      </c>
      <c r="H596" s="1279">
        <v>3.94460429654408</v>
      </c>
      <c r="I596" s="1255">
        <v>0.172397690686314</v>
      </c>
      <c r="J596" s="1279">
        <v>1.50429923304764E-2</v>
      </c>
      <c r="K596" s="1255">
        <v>3.00000086158246E-3</v>
      </c>
      <c r="L596" s="1253">
        <v>2.0000005740243498E-3</v>
      </c>
      <c r="M596" s="1273">
        <v>2.0000005740243498E-3</v>
      </c>
      <c r="N596" s="1255">
        <v>3.1850009128239903E-2</v>
      </c>
      <c r="O596" s="1256">
        <v>3.1850009128239903E-2</v>
      </c>
      <c r="P596" s="1251">
        <v>1.5925004564119952E-2</v>
      </c>
      <c r="Q596" s="1254">
        <v>0.18019274925572701</v>
      </c>
    </row>
    <row r="597" spans="1:17" s="212" customFormat="1" ht="15.5" x14ac:dyDescent="0.35">
      <c r="A597" s="198">
        <v>2026</v>
      </c>
      <c r="B597" s="197" t="s">
        <v>5842</v>
      </c>
      <c r="C597" s="197">
        <v>1977</v>
      </c>
      <c r="D597" s="213" t="str">
        <f t="shared" si="7"/>
        <v>2026_1977</v>
      </c>
      <c r="E597" s="1268">
        <v>0.228724579702935</v>
      </c>
      <c r="F597" s="1279">
        <v>2.5544352742057601</v>
      </c>
      <c r="G597" s="1255">
        <v>5.1710448455806297</v>
      </c>
      <c r="H597" s="1279">
        <v>3.94460429654408</v>
      </c>
      <c r="I597" s="1255">
        <v>0.172397690686314</v>
      </c>
      <c r="J597" s="1279">
        <v>1.50429923304764E-2</v>
      </c>
      <c r="K597" s="1255">
        <v>3.00000086158246E-3</v>
      </c>
      <c r="L597" s="1253">
        <v>2.0000005740243498E-3</v>
      </c>
      <c r="M597" s="1273">
        <v>2.0000005740243498E-3</v>
      </c>
      <c r="N597" s="1255">
        <v>3.1850009128239903E-2</v>
      </c>
      <c r="O597" s="1256">
        <v>3.1850009128239903E-2</v>
      </c>
      <c r="P597" s="1251">
        <v>1.5925004564119952E-2</v>
      </c>
      <c r="Q597" s="1254">
        <v>0.18019274925572701</v>
      </c>
    </row>
    <row r="598" spans="1:17" s="212" customFormat="1" ht="15.5" x14ac:dyDescent="0.35">
      <c r="A598" s="198">
        <v>2026</v>
      </c>
      <c r="B598" s="197" t="s">
        <v>5842</v>
      </c>
      <c r="C598" s="197">
        <v>1978</v>
      </c>
      <c r="D598" s="213" t="str">
        <f t="shared" si="7"/>
        <v>2026_1978</v>
      </c>
      <c r="E598" s="1268">
        <v>0.228724579702935</v>
      </c>
      <c r="F598" s="1279">
        <v>2.5544352742057601</v>
      </c>
      <c r="G598" s="1255">
        <v>5.1710448455806297</v>
      </c>
      <c r="H598" s="1279">
        <v>3.94460429654408</v>
      </c>
      <c r="I598" s="1255">
        <v>0.172397690686314</v>
      </c>
      <c r="J598" s="1279">
        <v>1.50429923304764E-2</v>
      </c>
      <c r="K598" s="1255">
        <v>3.00000086158246E-3</v>
      </c>
      <c r="L598" s="1253">
        <v>2.0000005740243498E-3</v>
      </c>
      <c r="M598" s="1273">
        <v>2.0000005740243498E-3</v>
      </c>
      <c r="N598" s="1255">
        <v>3.1850009128239903E-2</v>
      </c>
      <c r="O598" s="1256">
        <v>3.1850009128239903E-2</v>
      </c>
      <c r="P598" s="1251">
        <v>1.5925004564119952E-2</v>
      </c>
      <c r="Q598" s="1254">
        <v>0.18019274925572701</v>
      </c>
    </row>
    <row r="599" spans="1:17" s="212" customFormat="1" ht="15.5" x14ac:dyDescent="0.35">
      <c r="A599" s="198">
        <v>2026</v>
      </c>
      <c r="B599" s="197" t="s">
        <v>5842</v>
      </c>
      <c r="C599" s="197">
        <v>1979</v>
      </c>
      <c r="D599" s="213" t="str">
        <f t="shared" si="7"/>
        <v>2026_1979</v>
      </c>
      <c r="E599" s="1268">
        <v>0.228724579702935</v>
      </c>
      <c r="F599" s="1279">
        <v>2.5544352742057601</v>
      </c>
      <c r="G599" s="1255">
        <v>5.1710448455806297</v>
      </c>
      <c r="H599" s="1279">
        <v>3.94460429654408</v>
      </c>
      <c r="I599" s="1255">
        <v>0.172397690686314</v>
      </c>
      <c r="J599" s="1279">
        <v>1.50429923304764E-2</v>
      </c>
      <c r="K599" s="1255">
        <v>3.00000086158246E-3</v>
      </c>
      <c r="L599" s="1253">
        <v>2.0000005740243498E-3</v>
      </c>
      <c r="M599" s="1273">
        <v>2.0000005740243498E-3</v>
      </c>
      <c r="N599" s="1255">
        <v>3.1850009128239903E-2</v>
      </c>
      <c r="O599" s="1256">
        <v>3.1850009128239903E-2</v>
      </c>
      <c r="P599" s="1251">
        <v>1.5925004564119952E-2</v>
      </c>
      <c r="Q599" s="1254">
        <v>0.18019274925572701</v>
      </c>
    </row>
    <row r="600" spans="1:17" s="212" customFormat="1" ht="15.5" x14ac:dyDescent="0.35">
      <c r="A600" s="198">
        <v>2026</v>
      </c>
      <c r="B600" s="197" t="s">
        <v>5842</v>
      </c>
      <c r="C600" s="197">
        <v>1980</v>
      </c>
      <c r="D600" s="213" t="str">
        <f t="shared" si="7"/>
        <v>2026_1980</v>
      </c>
      <c r="E600" s="1268">
        <v>0.228724579702935</v>
      </c>
      <c r="F600" s="1279">
        <v>2.5544352742057601</v>
      </c>
      <c r="G600" s="1255">
        <v>5.1710448455806297</v>
      </c>
      <c r="H600" s="1279">
        <v>3.94460429654408</v>
      </c>
      <c r="I600" s="1255">
        <v>0.172397690686314</v>
      </c>
      <c r="J600" s="1279">
        <v>1.50429923304764E-2</v>
      </c>
      <c r="K600" s="1255">
        <v>3.00000086158246E-3</v>
      </c>
      <c r="L600" s="1253">
        <v>2.0000005740243498E-3</v>
      </c>
      <c r="M600" s="1273">
        <v>2.0000005740243498E-3</v>
      </c>
      <c r="N600" s="1255">
        <v>3.1850009128239903E-2</v>
      </c>
      <c r="O600" s="1256">
        <v>3.1850009128239903E-2</v>
      </c>
      <c r="P600" s="1251">
        <v>1.5925004564119952E-2</v>
      </c>
      <c r="Q600" s="1254">
        <v>0.18019274925572701</v>
      </c>
    </row>
    <row r="601" spans="1:17" s="212" customFormat="1" ht="15.5" x14ac:dyDescent="0.35">
      <c r="A601" s="198">
        <v>2026</v>
      </c>
      <c r="B601" s="197" t="s">
        <v>5842</v>
      </c>
      <c r="C601" s="197">
        <v>1981</v>
      </c>
      <c r="D601" s="213" t="str">
        <f t="shared" si="7"/>
        <v>2026_1981</v>
      </c>
      <c r="E601" s="1268">
        <v>0.228724579702935</v>
      </c>
      <c r="F601" s="1279">
        <v>2.5544352742057601</v>
      </c>
      <c r="G601" s="1255">
        <v>5.1710448455806297</v>
      </c>
      <c r="H601" s="1279">
        <v>3.94460429654408</v>
      </c>
      <c r="I601" s="1255">
        <v>0.172397690686314</v>
      </c>
      <c r="J601" s="1279">
        <v>1.50429923304764E-2</v>
      </c>
      <c r="K601" s="1255">
        <v>3.00000086158246E-3</v>
      </c>
      <c r="L601" s="1253">
        <v>2.0000005740243498E-3</v>
      </c>
      <c r="M601" s="1273">
        <v>2.0000005740243498E-3</v>
      </c>
      <c r="N601" s="1255">
        <v>3.1850009128239903E-2</v>
      </c>
      <c r="O601" s="1256">
        <v>3.1850009128239903E-2</v>
      </c>
      <c r="P601" s="1251">
        <v>1.5925004564119952E-2</v>
      </c>
      <c r="Q601" s="1254">
        <v>0.18019274925572701</v>
      </c>
    </row>
    <row r="602" spans="1:17" s="212" customFormat="1" ht="15.5" x14ac:dyDescent="0.35">
      <c r="A602" s="198">
        <v>2026</v>
      </c>
      <c r="B602" s="197" t="s">
        <v>5842</v>
      </c>
      <c r="C602" s="197">
        <v>1982</v>
      </c>
      <c r="D602" s="213" t="str">
        <f t="shared" si="7"/>
        <v>2026_1982</v>
      </c>
      <c r="E602" s="1267">
        <v>0.228724579702935</v>
      </c>
      <c r="F602" s="1278">
        <v>2.5544352742057601</v>
      </c>
      <c r="G602" s="1248">
        <v>5.1710448455806297</v>
      </c>
      <c r="H602" s="1278">
        <v>3.94460429654408</v>
      </c>
      <c r="I602" s="1248">
        <v>0.172397690686314</v>
      </c>
      <c r="J602" s="1278">
        <v>1.50429923304764E-2</v>
      </c>
      <c r="K602" s="1248">
        <v>3.00000086158246E-3</v>
      </c>
      <c r="L602" s="1250">
        <v>2.0000005740243498E-3</v>
      </c>
      <c r="M602" s="1273">
        <v>2.0000005740243498E-3</v>
      </c>
      <c r="N602" s="1248">
        <v>3.1850009128239903E-2</v>
      </c>
      <c r="O602" s="1249">
        <v>3.1850009128239903E-2</v>
      </c>
      <c r="P602" s="1251">
        <v>1.5925004564119952E-2</v>
      </c>
      <c r="Q602" s="1252">
        <v>0.18019274925572701</v>
      </c>
    </row>
    <row r="603" spans="1:17" s="212" customFormat="1" ht="15.5" x14ac:dyDescent="0.35">
      <c r="A603" s="198">
        <v>2026</v>
      </c>
      <c r="B603" s="197" t="s">
        <v>5842</v>
      </c>
      <c r="C603" s="197">
        <v>1983</v>
      </c>
      <c r="D603" s="213" t="str">
        <f t="shared" si="7"/>
        <v>2026_1983</v>
      </c>
      <c r="E603" s="1267">
        <v>0.22489122261453801</v>
      </c>
      <c r="F603" s="1278">
        <v>2.5046021943169299</v>
      </c>
      <c r="G603" s="1248">
        <v>5.2362252827697198</v>
      </c>
      <c r="H603" s="1278">
        <v>4.4265205603541302</v>
      </c>
      <c r="I603" s="1248">
        <v>0.16950835579072099</v>
      </c>
      <c r="J603" s="1278">
        <v>1.6442008250158902E-2</v>
      </c>
      <c r="K603" s="1248">
        <v>3.0000008610299601E-3</v>
      </c>
      <c r="L603" s="1250">
        <v>2.0000005744489902E-3</v>
      </c>
      <c r="M603" s="1273">
        <v>2.0000005744489902E-3</v>
      </c>
      <c r="N603" s="1248">
        <v>3.1850009128239903E-2</v>
      </c>
      <c r="O603" s="1249">
        <v>3.1850009128239903E-2</v>
      </c>
      <c r="P603" s="1251">
        <v>1.5925004564119952E-2</v>
      </c>
      <c r="Q603" s="1252">
        <v>0.17717277145738899</v>
      </c>
    </row>
    <row r="604" spans="1:17" s="212" customFormat="1" ht="15.5" x14ac:dyDescent="0.35">
      <c r="A604" s="198">
        <v>2026</v>
      </c>
      <c r="B604" s="197" t="s">
        <v>5842</v>
      </c>
      <c r="C604" s="197">
        <v>1984</v>
      </c>
      <c r="D604" s="213" t="str">
        <f t="shared" si="7"/>
        <v>2026_1984</v>
      </c>
      <c r="E604" s="1267">
        <v>0.23449523165679101</v>
      </c>
      <c r="F604" s="1278">
        <v>1.69566511944901</v>
      </c>
      <c r="G604" s="1248">
        <v>5.0961422567748098</v>
      </c>
      <c r="H604" s="1278">
        <v>3.6152271980672102</v>
      </c>
      <c r="I604" s="1248">
        <v>0.17674723226986999</v>
      </c>
      <c r="J604" s="1278">
        <v>1.59593741350922E-2</v>
      </c>
      <c r="K604" s="1248">
        <v>3.00000086152971E-3</v>
      </c>
      <c r="L604" s="1250">
        <v>2.0000005743032699E-3</v>
      </c>
      <c r="M604" s="1273">
        <v>2.0000005743032699E-3</v>
      </c>
      <c r="N604" s="1248">
        <v>3.1850009128239903E-2</v>
      </c>
      <c r="O604" s="1249">
        <v>3.1850009128239903E-2</v>
      </c>
      <c r="P604" s="1251">
        <v>1.5925004564119952E-2</v>
      </c>
      <c r="Q604" s="1252">
        <v>0.184738957808886</v>
      </c>
    </row>
    <row r="605" spans="1:17" s="212" customFormat="1" ht="15.5" x14ac:dyDescent="0.35">
      <c r="A605" s="198">
        <v>2026</v>
      </c>
      <c r="B605" s="197" t="s">
        <v>5842</v>
      </c>
      <c r="C605" s="197">
        <v>1985</v>
      </c>
      <c r="D605" s="213" t="str">
        <f t="shared" si="7"/>
        <v>2026_1985</v>
      </c>
      <c r="E605" s="1267">
        <v>0.235139490507946</v>
      </c>
      <c r="F605" s="1278">
        <v>2.0459353519624401</v>
      </c>
      <c r="G605" s="1248">
        <v>5.0768666627451298</v>
      </c>
      <c r="H605" s="1278">
        <v>3.9682257148523301</v>
      </c>
      <c r="I605" s="1248">
        <v>0.17723283262942699</v>
      </c>
      <c r="J605" s="1278">
        <v>1.54640533569266E-2</v>
      </c>
      <c r="K605" s="1248">
        <v>3.0000008615185801E-3</v>
      </c>
      <c r="L605" s="1250">
        <v>2.0000005741210498E-3</v>
      </c>
      <c r="M605" s="1273">
        <v>2.0000005741210498E-3</v>
      </c>
      <c r="N605" s="1248">
        <v>3.1850009128239903E-2</v>
      </c>
      <c r="O605" s="1249">
        <v>3.1850009128239903E-2</v>
      </c>
      <c r="P605" s="1251">
        <v>1.5925004564119952E-2</v>
      </c>
      <c r="Q605" s="1252">
        <v>0.18524651486188301</v>
      </c>
    </row>
    <row r="606" spans="1:17" s="212" customFormat="1" ht="15.5" x14ac:dyDescent="0.35">
      <c r="A606" s="198">
        <v>2026</v>
      </c>
      <c r="B606" s="197" t="s">
        <v>5842</v>
      </c>
      <c r="C606" s="197">
        <v>1986</v>
      </c>
      <c r="D606" s="213" t="str">
        <f t="shared" si="7"/>
        <v>2026_1986</v>
      </c>
      <c r="E606" s="1267">
        <v>0.22756804245713</v>
      </c>
      <c r="F606" s="1278">
        <v>1.60678831230443</v>
      </c>
      <c r="G606" s="1248">
        <v>5.1921311851662004</v>
      </c>
      <c r="H606" s="1278">
        <v>4.3045132928460603</v>
      </c>
      <c r="I606" s="1248">
        <v>0.17152596823904401</v>
      </c>
      <c r="J606" s="1278">
        <v>1.5369350330218801E-2</v>
      </c>
      <c r="K606" s="1248">
        <v>3.0000008612375301E-3</v>
      </c>
      <c r="L606" s="1250">
        <v>2.0000005740738601E-3</v>
      </c>
      <c r="M606" s="1273">
        <v>2.0000005740738601E-3</v>
      </c>
      <c r="N606" s="1248">
        <v>3.1850009128239903E-2</v>
      </c>
      <c r="O606" s="1249">
        <v>3.1850009128239903E-2</v>
      </c>
      <c r="P606" s="1251">
        <v>1.5925004564119952E-2</v>
      </c>
      <c r="Q606" s="1252">
        <v>0.17928161138760201</v>
      </c>
    </row>
    <row r="607" spans="1:17" s="212" customFormat="1" ht="15.5" x14ac:dyDescent="0.35">
      <c r="A607" s="198">
        <v>2026</v>
      </c>
      <c r="B607" s="197" t="s">
        <v>5842</v>
      </c>
      <c r="C607" s="197">
        <v>1987</v>
      </c>
      <c r="D607" s="213" t="str">
        <f t="shared" si="7"/>
        <v>2026_1987</v>
      </c>
      <c r="E607" s="1267">
        <v>0.28320961279201001</v>
      </c>
      <c r="F607" s="1278">
        <v>2.0065670343257098</v>
      </c>
      <c r="G607" s="1248">
        <v>5.3323765345490903</v>
      </c>
      <c r="H607" s="1278">
        <v>4.5000561980408103</v>
      </c>
      <c r="I607" s="1248">
        <v>0.19287637703709301</v>
      </c>
      <c r="J607" s="1278">
        <v>1.53124456777653E-2</v>
      </c>
      <c r="K607" s="1248">
        <v>3.0000008612025499E-3</v>
      </c>
      <c r="L607" s="1250">
        <v>2.0000005741609601E-3</v>
      </c>
      <c r="M607" s="1273">
        <v>2.0000005741609601E-3</v>
      </c>
      <c r="N607" s="1248">
        <v>3.1850009128239903E-2</v>
      </c>
      <c r="O607" s="1249">
        <v>3.1850009128239903E-2</v>
      </c>
      <c r="P607" s="1251">
        <v>1.5925004564119952E-2</v>
      </c>
      <c r="Q607" s="1252">
        <v>0.201597390930463</v>
      </c>
    </row>
    <row r="608" spans="1:17" s="212" customFormat="1" ht="15.5" x14ac:dyDescent="0.35">
      <c r="A608" s="198">
        <v>2026</v>
      </c>
      <c r="B608" s="197" t="s">
        <v>5842</v>
      </c>
      <c r="C608" s="197">
        <v>1988</v>
      </c>
      <c r="D608" s="213" t="str">
        <f t="shared" si="7"/>
        <v>2026_1988</v>
      </c>
      <c r="E608" s="1267">
        <v>0.27848120787712499</v>
      </c>
      <c r="F608" s="1278">
        <v>0.483940255231887</v>
      </c>
      <c r="G608" s="1248">
        <v>5.3722850603411096</v>
      </c>
      <c r="H608" s="1278">
        <v>1.21471494147723</v>
      </c>
      <c r="I608" s="1248">
        <v>0.189656155801816</v>
      </c>
      <c r="J608" s="1278">
        <v>1.37330832695785E-2</v>
      </c>
      <c r="K608" s="1248">
        <v>3.0000008610270102E-3</v>
      </c>
      <c r="L608" s="1250">
        <v>2.0000005741467402E-3</v>
      </c>
      <c r="M608" s="1273">
        <v>2.0000005741467402E-3</v>
      </c>
      <c r="N608" s="1248">
        <v>3.1850009128239903E-2</v>
      </c>
      <c r="O608" s="1249">
        <v>3.1850009128239903E-2</v>
      </c>
      <c r="P608" s="1251">
        <v>1.5925004564119952E-2</v>
      </c>
      <c r="Q608" s="1252">
        <v>0.19823156558044699</v>
      </c>
    </row>
    <row r="609" spans="1:17" s="212" customFormat="1" ht="15.5" x14ac:dyDescent="0.35">
      <c r="A609" s="198">
        <v>2026</v>
      </c>
      <c r="B609" s="197" t="s">
        <v>5842</v>
      </c>
      <c r="C609" s="197">
        <v>1989</v>
      </c>
      <c r="D609" s="213" t="str">
        <f t="shared" si="7"/>
        <v>2026_1989</v>
      </c>
      <c r="E609" s="1267">
        <v>0.27991528070375599</v>
      </c>
      <c r="F609" s="1278">
        <v>0.32745843838189198</v>
      </c>
      <c r="G609" s="1248">
        <v>5.3709544548352799</v>
      </c>
      <c r="H609" s="1278">
        <v>1.6418539422456799</v>
      </c>
      <c r="I609" s="1248">
        <v>0.19063281322696801</v>
      </c>
      <c r="J609" s="1278">
        <v>1.34056135400885E-2</v>
      </c>
      <c r="K609" s="1248">
        <v>3.00000086114825E-3</v>
      </c>
      <c r="L609" s="1250">
        <v>2.00000057406981E-3</v>
      </c>
      <c r="M609" s="1273">
        <v>2.00000057406981E-3</v>
      </c>
      <c r="N609" s="1248">
        <v>3.1850009128239903E-2</v>
      </c>
      <c r="O609" s="1249">
        <v>3.1850009128239903E-2</v>
      </c>
      <c r="P609" s="1251">
        <v>1.5925004564119952E-2</v>
      </c>
      <c r="Q609" s="1252">
        <v>0.19925238312051199</v>
      </c>
    </row>
    <row r="610" spans="1:17" s="212" customFormat="1" ht="15.5" x14ac:dyDescent="0.35">
      <c r="A610" s="198">
        <v>2026</v>
      </c>
      <c r="B610" s="197" t="s">
        <v>5842</v>
      </c>
      <c r="C610" s="197">
        <v>1990</v>
      </c>
      <c r="D610" s="213" t="str">
        <f t="shared" si="7"/>
        <v>2026_1990</v>
      </c>
      <c r="E610" s="1267">
        <v>0.28058352962080801</v>
      </c>
      <c r="F610" s="1278">
        <v>0.44663028881731198</v>
      </c>
      <c r="G610" s="1248">
        <v>5.3649122460634997</v>
      </c>
      <c r="H610" s="1278">
        <v>1.6618515969469301</v>
      </c>
      <c r="I610" s="1248">
        <v>0.191087915823273</v>
      </c>
      <c r="J610" s="1278">
        <v>1.39694171928075E-2</v>
      </c>
      <c r="K610" s="1248">
        <v>3.0000008611327702E-3</v>
      </c>
      <c r="L610" s="1250">
        <v>2.0000005742068601E-3</v>
      </c>
      <c r="M610" s="1273">
        <v>2.0000005742068601E-3</v>
      </c>
      <c r="N610" s="1248">
        <v>3.1850009128239903E-2</v>
      </c>
      <c r="O610" s="1249">
        <v>3.1850009128239903E-2</v>
      </c>
      <c r="P610" s="1251">
        <v>1.5925004564119952E-2</v>
      </c>
      <c r="Q610" s="1252">
        <v>0.19972806343673299</v>
      </c>
    </row>
    <row r="611" spans="1:17" s="212" customFormat="1" ht="15.5" x14ac:dyDescent="0.35">
      <c r="A611" s="198">
        <v>2026</v>
      </c>
      <c r="B611" s="197" t="s">
        <v>5842</v>
      </c>
      <c r="C611" s="197">
        <v>1991</v>
      </c>
      <c r="D611" s="213" t="str">
        <f t="shared" si="7"/>
        <v>2026_1991</v>
      </c>
      <c r="E611" s="1267">
        <v>0.36912367117528999</v>
      </c>
      <c r="F611" s="1278">
        <v>0.46415483357680398</v>
      </c>
      <c r="G611" s="1248">
        <v>9.3324490935146809</v>
      </c>
      <c r="H611" s="1278">
        <v>2.9034932655255701</v>
      </c>
      <c r="I611" s="1248">
        <v>5.23134202815718E-2</v>
      </c>
      <c r="J611" s="1278">
        <v>7.4501914331515998E-3</v>
      </c>
      <c r="K611" s="1248">
        <v>3.0000008612956798E-3</v>
      </c>
      <c r="L611" s="1250">
        <v>2.00000057406415E-3</v>
      </c>
      <c r="M611" s="1273">
        <v>2.00000057406415E-3</v>
      </c>
      <c r="N611" s="1248">
        <v>3.1850009128239903E-2</v>
      </c>
      <c r="O611" s="1249">
        <v>3.1850009128239903E-2</v>
      </c>
      <c r="P611" s="1251">
        <v>1.5925004564119952E-2</v>
      </c>
      <c r="Q611" s="1252">
        <v>5.4678801009340097E-2</v>
      </c>
    </row>
    <row r="612" spans="1:17" s="212" customFormat="1" ht="15.5" x14ac:dyDescent="0.35">
      <c r="A612" s="198">
        <v>2026</v>
      </c>
      <c r="B612" s="197" t="s">
        <v>5842</v>
      </c>
      <c r="C612" s="197">
        <v>1992</v>
      </c>
      <c r="D612" s="213" t="str">
        <f t="shared" si="7"/>
        <v>2026_1992</v>
      </c>
      <c r="E612" s="1267">
        <v>0.36999967148178697</v>
      </c>
      <c r="F612" s="1278">
        <v>0.46813751849070001</v>
      </c>
      <c r="G612" s="1248">
        <v>9.3230647122718704</v>
      </c>
      <c r="H612" s="1278">
        <v>2.9084531648541199</v>
      </c>
      <c r="I612" s="1248">
        <v>5.2437569925117201E-2</v>
      </c>
      <c r="J612" s="1278">
        <v>7.5438691279575898E-3</v>
      </c>
      <c r="K612" s="1248">
        <v>3.00000086127728E-3</v>
      </c>
      <c r="L612" s="1250">
        <v>2.0000005741377998E-3</v>
      </c>
      <c r="M612" s="1273">
        <v>2.0000005741377998E-3</v>
      </c>
      <c r="N612" s="1248">
        <v>3.1850009128239903E-2</v>
      </c>
      <c r="O612" s="1249">
        <v>3.1850009128239903E-2</v>
      </c>
      <c r="P612" s="1251">
        <v>1.5925004564119952E-2</v>
      </c>
      <c r="Q612" s="1252">
        <v>5.4808564148860602E-2</v>
      </c>
    </row>
    <row r="613" spans="1:17" s="212" customFormat="1" ht="15.5" x14ac:dyDescent="0.35">
      <c r="A613" s="198">
        <v>2026</v>
      </c>
      <c r="B613" s="197" t="s">
        <v>5842</v>
      </c>
      <c r="C613" s="197">
        <v>1993</v>
      </c>
      <c r="D613" s="213" t="str">
        <f t="shared" si="7"/>
        <v>2026_1993</v>
      </c>
      <c r="E613" s="1267">
        <v>0.37183769719315402</v>
      </c>
      <c r="F613" s="1278">
        <v>0.45883771993789002</v>
      </c>
      <c r="G613" s="1248">
        <v>9.2904205567459908</v>
      </c>
      <c r="H613" s="1278">
        <v>2.8889078427406698</v>
      </c>
      <c r="I613" s="1248">
        <v>5.2698060971982201E-2</v>
      </c>
      <c r="J613" s="1278">
        <v>7.4224280958715E-3</v>
      </c>
      <c r="K613" s="1248">
        <v>3.0000008613383601E-3</v>
      </c>
      <c r="L613" s="1250">
        <v>2.0000005740649601E-3</v>
      </c>
      <c r="M613" s="1273">
        <v>2.0000005740649601E-3</v>
      </c>
      <c r="N613" s="1248">
        <v>3.1850009128239903E-2</v>
      </c>
      <c r="O613" s="1249">
        <v>3.1850009128239903E-2</v>
      </c>
      <c r="P613" s="1251">
        <v>1.5925004564119952E-2</v>
      </c>
      <c r="Q613" s="1252">
        <v>5.5080833444953001E-2</v>
      </c>
    </row>
    <row r="614" spans="1:17" s="212" customFormat="1" ht="15.5" x14ac:dyDescent="0.35">
      <c r="A614" s="198">
        <v>2026</v>
      </c>
      <c r="B614" s="197" t="s">
        <v>5842</v>
      </c>
      <c r="C614" s="197">
        <v>1994</v>
      </c>
      <c r="D614" s="213" t="str">
        <f t="shared" si="7"/>
        <v>2026_1994</v>
      </c>
      <c r="E614" s="1267">
        <v>0.36575812083018799</v>
      </c>
      <c r="F614" s="1278">
        <v>0.45512587549928502</v>
      </c>
      <c r="G614" s="1248">
        <v>9.3822313918558606</v>
      </c>
      <c r="H614" s="1278">
        <v>2.8797833170826799</v>
      </c>
      <c r="I614" s="1248">
        <v>5.23723098309994E-2</v>
      </c>
      <c r="J614" s="1278">
        <v>7.3854460707738403E-3</v>
      </c>
      <c r="K614" s="1248">
        <v>3.0000008612545799E-3</v>
      </c>
      <c r="L614" s="1250">
        <v>2.0000005740507202E-3</v>
      </c>
      <c r="M614" s="1273">
        <v>2.0000005740507202E-3</v>
      </c>
      <c r="N614" s="1248">
        <v>3.1850009128239903E-2</v>
      </c>
      <c r="O614" s="1249">
        <v>3.1850009128239903E-2</v>
      </c>
      <c r="P614" s="1251">
        <v>1.5925004564119952E-2</v>
      </c>
      <c r="Q614" s="1252">
        <v>5.4740353282874202E-2</v>
      </c>
    </row>
    <row r="615" spans="1:17" s="212" customFormat="1" ht="15.5" x14ac:dyDescent="0.35">
      <c r="A615" s="198">
        <v>2026</v>
      </c>
      <c r="B615" s="197" t="s">
        <v>5842</v>
      </c>
      <c r="C615" s="197">
        <v>1995</v>
      </c>
      <c r="D615" s="213" t="str">
        <f t="shared" si="7"/>
        <v>2026_1995</v>
      </c>
      <c r="E615" s="1267">
        <v>0.36805019479045697</v>
      </c>
      <c r="F615" s="1278">
        <v>0.24435681344318999</v>
      </c>
      <c r="G615" s="1248">
        <v>9.3675116939637793</v>
      </c>
      <c r="H615" s="1278">
        <v>1.6461331147329099</v>
      </c>
      <c r="I615" s="1248">
        <v>5.2700508169645499E-2</v>
      </c>
      <c r="J615" s="1278">
        <v>4.8509931101723301E-3</v>
      </c>
      <c r="K615" s="1248">
        <v>3.0000008612494902E-3</v>
      </c>
      <c r="L615" s="1250">
        <v>2.0000005741195601E-3</v>
      </c>
      <c r="M615" s="1273">
        <v>2.0000005741195601E-3</v>
      </c>
      <c r="N615" s="1248">
        <v>3.1850009128239903E-2</v>
      </c>
      <c r="O615" s="1249">
        <v>3.1850009128239903E-2</v>
      </c>
      <c r="P615" s="1251">
        <v>1.5925004564119952E-2</v>
      </c>
      <c r="Q615" s="1252">
        <v>5.5083391294035403E-2</v>
      </c>
    </row>
    <row r="616" spans="1:17" s="212" customFormat="1" ht="15.5" x14ac:dyDescent="0.35">
      <c r="A616" s="198">
        <v>2026</v>
      </c>
      <c r="B616" s="197" t="s">
        <v>5842</v>
      </c>
      <c r="C616" s="197">
        <v>1996</v>
      </c>
      <c r="D616" s="213" t="str">
        <f t="shared" si="7"/>
        <v>2026_1996</v>
      </c>
      <c r="E616" s="1267">
        <v>0.36949426876262498</v>
      </c>
      <c r="F616" s="1278">
        <v>2.2366952360713899E-2</v>
      </c>
      <c r="G616" s="1248">
        <v>9.3435193606590801</v>
      </c>
      <c r="H616" s="1278">
        <v>0.39318131773262299</v>
      </c>
      <c r="I616" s="1248">
        <v>5.2907282770623801E-2</v>
      </c>
      <c r="J616" s="1278">
        <v>2.1804781289037601E-3</v>
      </c>
      <c r="K616" s="1248">
        <v>3.0000008612854098E-3</v>
      </c>
      <c r="L616" s="1250">
        <v>2.00000057413382E-3</v>
      </c>
      <c r="M616" s="1273">
        <v>2.00000057413382E-3</v>
      </c>
      <c r="N616" s="1248">
        <v>3.1850009128239903E-2</v>
      </c>
      <c r="O616" s="1249">
        <v>3.1850009128239903E-2</v>
      </c>
      <c r="P616" s="1251">
        <v>1.5925004564119952E-2</v>
      </c>
      <c r="Q616" s="1252">
        <v>5.5299515324921299E-2</v>
      </c>
    </row>
    <row r="617" spans="1:17" s="212" customFormat="1" ht="15.5" x14ac:dyDescent="0.35">
      <c r="A617" s="198">
        <v>2026</v>
      </c>
      <c r="B617" s="197" t="s">
        <v>5842</v>
      </c>
      <c r="C617" s="197">
        <v>1997</v>
      </c>
      <c r="D617" s="213" t="str">
        <f t="shared" si="7"/>
        <v>2026_1997</v>
      </c>
      <c r="E617" s="1267">
        <v>0.37136044840313998</v>
      </c>
      <c r="F617" s="1278">
        <v>2.14815035599383E-2</v>
      </c>
      <c r="G617" s="1248">
        <v>9.2993610752453808</v>
      </c>
      <c r="H617" s="1278">
        <v>0.387747194237549</v>
      </c>
      <c r="I617" s="1248">
        <v>5.3174497995022697E-2</v>
      </c>
      <c r="J617" s="1278">
        <v>2.0981295772655299E-3</v>
      </c>
      <c r="K617" s="1248">
        <v>3.0000008612855898E-3</v>
      </c>
      <c r="L617" s="1250">
        <v>2.0000005740509999E-3</v>
      </c>
      <c r="M617" s="1273">
        <v>2.0000005740509999E-3</v>
      </c>
      <c r="N617" s="1248">
        <v>3.1850009128239903E-2</v>
      </c>
      <c r="O617" s="1249">
        <v>3.1850009128239903E-2</v>
      </c>
      <c r="P617" s="1251">
        <v>1.5925004564119952E-2</v>
      </c>
      <c r="Q617" s="1252">
        <v>5.5578812836017399E-2</v>
      </c>
    </row>
    <row r="618" spans="1:17" s="212" customFormat="1" ht="15.5" x14ac:dyDescent="0.35">
      <c r="A618" s="198">
        <v>2026</v>
      </c>
      <c r="B618" s="197" t="s">
        <v>5842</v>
      </c>
      <c r="C618" s="197">
        <v>1998</v>
      </c>
      <c r="D618" s="213" t="str">
        <f t="shared" si="7"/>
        <v>2026_1998</v>
      </c>
      <c r="E618" s="1267">
        <v>0.37296185077041799</v>
      </c>
      <c r="F618" s="1278">
        <v>2.1769186392732901E-2</v>
      </c>
      <c r="G618" s="1248">
        <v>9.2872829690693397</v>
      </c>
      <c r="H618" s="1278">
        <v>0.38977989239444699</v>
      </c>
      <c r="I618" s="1248">
        <v>5.3403800192750601E-2</v>
      </c>
      <c r="J618" s="1278">
        <v>2.1291087903940499E-3</v>
      </c>
      <c r="K618" s="1248">
        <v>3.0000008613680199E-3</v>
      </c>
      <c r="L618" s="1250">
        <v>2.0000005740931602E-3</v>
      </c>
      <c r="M618" s="1273">
        <v>2.0000005740931602E-3</v>
      </c>
      <c r="N618" s="1248">
        <v>3.1850009128239903E-2</v>
      </c>
      <c r="O618" s="1249">
        <v>3.1850009128239903E-2</v>
      </c>
      <c r="P618" s="1251">
        <v>1.5925004564119952E-2</v>
      </c>
      <c r="Q618" s="1252">
        <v>5.5818483061613203E-2</v>
      </c>
    </row>
    <row r="619" spans="1:17" s="212" customFormat="1" ht="15.5" x14ac:dyDescent="0.35">
      <c r="A619" s="198">
        <v>2026</v>
      </c>
      <c r="B619" s="197" t="s">
        <v>5842</v>
      </c>
      <c r="C619" s="197">
        <v>1999</v>
      </c>
      <c r="D619" s="213" t="str">
        <f t="shared" si="7"/>
        <v>2026_1999</v>
      </c>
      <c r="E619" s="1267">
        <v>0.370833003747635</v>
      </c>
      <c r="F619" s="1278">
        <v>2.1815499814280201E-2</v>
      </c>
      <c r="G619" s="1248">
        <v>9.3187964483433294</v>
      </c>
      <c r="H619" s="1278">
        <v>0.390066593913447</v>
      </c>
      <c r="I619" s="1248">
        <v>5.30989740535334E-2</v>
      </c>
      <c r="J619" s="1278">
        <v>2.1288979715224001E-3</v>
      </c>
      <c r="K619" s="1248">
        <v>3.0000008613328601E-3</v>
      </c>
      <c r="L619" s="1250">
        <v>2.0000005741075298E-3</v>
      </c>
      <c r="M619" s="1273">
        <v>2.0000005741075298E-3</v>
      </c>
      <c r="N619" s="1248">
        <v>3.1850009128239903E-2</v>
      </c>
      <c r="O619" s="1249">
        <v>3.1850009128239903E-2</v>
      </c>
      <c r="P619" s="1251">
        <v>1.5925004564119952E-2</v>
      </c>
      <c r="Q619" s="1252">
        <v>5.5499874037026498E-2</v>
      </c>
    </row>
    <row r="620" spans="1:17" s="212" customFormat="1" ht="15.5" x14ac:dyDescent="0.35">
      <c r="A620" s="198">
        <v>2026</v>
      </c>
      <c r="B620" s="197" t="s">
        <v>5842</v>
      </c>
      <c r="C620" s="197">
        <v>2000</v>
      </c>
      <c r="D620" s="213" t="str">
        <f t="shared" si="7"/>
        <v>2026_2000</v>
      </c>
      <c r="E620" s="1267">
        <v>0.36703414625179298</v>
      </c>
      <c r="F620" s="1278">
        <v>2.2111363443214401E-2</v>
      </c>
      <c r="G620" s="1248">
        <v>9.3946704641523393</v>
      </c>
      <c r="H620" s="1278">
        <v>0.39263188595791099</v>
      </c>
      <c r="I620" s="1248">
        <v>5.2555021833622401E-2</v>
      </c>
      <c r="J620" s="1278">
        <v>2.1610937690577101E-3</v>
      </c>
      <c r="K620" s="1248">
        <v>3.0000008612502001E-3</v>
      </c>
      <c r="L620" s="1250">
        <v>2.0000005741475698E-3</v>
      </c>
      <c r="M620" s="1273">
        <v>2.0000005741475698E-3</v>
      </c>
      <c r="N620" s="1248">
        <v>3.1850009128239903E-2</v>
      </c>
      <c r="O620" s="1249">
        <v>3.1850009128239903E-2</v>
      </c>
      <c r="P620" s="1251">
        <v>1.5925004564119952E-2</v>
      </c>
      <c r="Q620" s="1252">
        <v>5.4931326711483403E-2</v>
      </c>
    </row>
    <row r="621" spans="1:17" s="212" customFormat="1" ht="15.5" x14ac:dyDescent="0.35">
      <c r="A621" s="198">
        <v>2026</v>
      </c>
      <c r="B621" s="197" t="s">
        <v>5842</v>
      </c>
      <c r="C621" s="197">
        <v>2001</v>
      </c>
      <c r="D621" s="213" t="str">
        <f t="shared" si="7"/>
        <v>2026_2001</v>
      </c>
      <c r="E621" s="1267">
        <v>0.37053035230158199</v>
      </c>
      <c r="F621" s="1278">
        <v>2.2193987096969299E-2</v>
      </c>
      <c r="G621" s="1248">
        <v>9.3246739713150593</v>
      </c>
      <c r="H621" s="1278">
        <v>0.39388253323631001</v>
      </c>
      <c r="I621" s="1248">
        <v>5.3055637885719799E-2</v>
      </c>
      <c r="J621" s="1278">
        <v>2.1716913162386502E-3</v>
      </c>
      <c r="K621" s="1248">
        <v>3.00000086133086E-3</v>
      </c>
      <c r="L621" s="1250">
        <v>2.0000005741755899E-3</v>
      </c>
      <c r="M621" s="1273">
        <v>2.0000005741755899E-3</v>
      </c>
      <c r="N621" s="1248">
        <v>3.1850009128239903E-2</v>
      </c>
      <c r="O621" s="1249">
        <v>3.1850009128239903E-2</v>
      </c>
      <c r="P621" s="1251">
        <v>1.5925004564119952E-2</v>
      </c>
      <c r="Q621" s="1252">
        <v>5.5454578400005797E-2</v>
      </c>
    </row>
    <row r="622" spans="1:17" s="212" customFormat="1" ht="15.5" x14ac:dyDescent="0.35">
      <c r="A622" s="198">
        <v>2026</v>
      </c>
      <c r="B622" s="197" t="s">
        <v>5842</v>
      </c>
      <c r="C622" s="197">
        <v>2002</v>
      </c>
      <c r="D622" s="213" t="str">
        <f t="shared" si="7"/>
        <v>2026_2002</v>
      </c>
      <c r="E622" s="1267">
        <v>0.28734663397330001</v>
      </c>
      <c r="F622" s="1278">
        <v>2.21257541680559E-2</v>
      </c>
      <c r="G622" s="1248">
        <v>7.1847535824572502</v>
      </c>
      <c r="H622" s="1278">
        <v>0.31748768917797199</v>
      </c>
      <c r="I622" s="1248">
        <v>5.3560811471762497E-2</v>
      </c>
      <c r="J622" s="1278">
        <v>2.1690469512647098E-3</v>
      </c>
      <c r="K622" s="1248">
        <v>3.0000008613446502E-3</v>
      </c>
      <c r="L622" s="1250">
        <v>2.0000005741502799E-3</v>
      </c>
      <c r="M622" s="1273">
        <v>2.0000005741502799E-3</v>
      </c>
      <c r="N622" s="1248">
        <v>3.1850009128239903E-2</v>
      </c>
      <c r="O622" s="1249">
        <v>3.1850009128239903E-2</v>
      </c>
      <c r="P622" s="1251">
        <v>1.5925004564119952E-2</v>
      </c>
      <c r="Q622" s="1252">
        <v>5.5982593693934699E-2</v>
      </c>
    </row>
    <row r="623" spans="1:17" s="212" customFormat="1" ht="15.5" x14ac:dyDescent="0.35">
      <c r="A623" s="198">
        <v>2026</v>
      </c>
      <c r="B623" s="197" t="s">
        <v>5842</v>
      </c>
      <c r="C623" s="197">
        <v>2003</v>
      </c>
      <c r="D623" s="213" t="str">
        <f t="shared" si="7"/>
        <v>2026_2003</v>
      </c>
      <c r="E623" s="1267">
        <v>0.28434302367692299</v>
      </c>
      <c r="F623" s="1278">
        <v>2.1800438153681899E-2</v>
      </c>
      <c r="G623" s="1248">
        <v>7.2273814066906503</v>
      </c>
      <c r="H623" s="1278">
        <v>0.31592010480590998</v>
      </c>
      <c r="I623" s="1248">
        <v>5.3028797921193298E-2</v>
      </c>
      <c r="J623" s="1278">
        <v>2.13793270238413E-3</v>
      </c>
      <c r="K623" s="1248">
        <v>3.0000008612692001E-3</v>
      </c>
      <c r="L623" s="1250">
        <v>2.0000005741363301E-3</v>
      </c>
      <c r="M623" s="1273">
        <v>2.0000005741363301E-3</v>
      </c>
      <c r="N623" s="1248">
        <v>3.1850009128239903E-2</v>
      </c>
      <c r="O623" s="1249">
        <v>3.1850009128239903E-2</v>
      </c>
      <c r="P623" s="1251">
        <v>1.5925004564119952E-2</v>
      </c>
      <c r="Q623" s="1252">
        <v>5.5426524851383899E-2</v>
      </c>
    </row>
    <row r="624" spans="1:17" s="212" customFormat="1" ht="15.5" x14ac:dyDescent="0.35">
      <c r="A624" s="198">
        <v>2026</v>
      </c>
      <c r="B624" s="197" t="s">
        <v>5842</v>
      </c>
      <c r="C624" s="197">
        <v>2004</v>
      </c>
      <c r="D624" s="213" t="str">
        <f t="shared" si="7"/>
        <v>2026_2004</v>
      </c>
      <c r="E624" s="1267">
        <v>0.575788809267615</v>
      </c>
      <c r="F624" s="1278">
        <v>1.42646225589941E-2</v>
      </c>
      <c r="G624" s="1248">
        <v>4.1480418816357698</v>
      </c>
      <c r="H624" s="1278">
        <v>0.26537812222020402</v>
      </c>
      <c r="I624" s="1248">
        <v>0.150153083330202</v>
      </c>
      <c r="J624" s="1278">
        <v>1.3902002297216099E-4</v>
      </c>
      <c r="K624" s="1248">
        <v>3.0000008612645502E-3</v>
      </c>
      <c r="L624" s="1250">
        <v>2.0000005740711301E-3</v>
      </c>
      <c r="M624" s="1273">
        <v>2.0000005740711301E-3</v>
      </c>
      <c r="N624" s="1248">
        <v>3.1850009128239903E-2</v>
      </c>
      <c r="O624" s="1249">
        <v>3.1850009128239903E-2</v>
      </c>
      <c r="P624" s="1251">
        <v>1.5925004564119952E-2</v>
      </c>
      <c r="Q624" s="1252">
        <v>0.156942339463954</v>
      </c>
    </row>
    <row r="625" spans="1:17" s="212" customFormat="1" ht="15.5" x14ac:dyDescent="0.35">
      <c r="A625" s="198">
        <v>2026</v>
      </c>
      <c r="B625" s="197" t="s">
        <v>5842</v>
      </c>
      <c r="C625" s="197">
        <v>2005</v>
      </c>
      <c r="D625" s="213" t="str">
        <f t="shared" si="7"/>
        <v>2026_2005</v>
      </c>
      <c r="E625" s="1267">
        <v>0.57073659323399295</v>
      </c>
      <c r="F625" s="1278">
        <v>1.41961667370627E-2</v>
      </c>
      <c r="G625" s="1248">
        <v>4.1388227271527098</v>
      </c>
      <c r="H625" s="1278">
        <v>0.26429983348626701</v>
      </c>
      <c r="I625" s="1248">
        <v>0.149186513395384</v>
      </c>
      <c r="J625" s="1278">
        <v>1.4093818142132101E-4</v>
      </c>
      <c r="K625" s="1248">
        <v>3.0000008612389899E-3</v>
      </c>
      <c r="L625" s="1250">
        <v>2.0000005741096102E-3</v>
      </c>
      <c r="M625" s="1273">
        <v>2.0000005741096102E-3</v>
      </c>
      <c r="N625" s="1248">
        <v>3.1850009128239903E-2</v>
      </c>
      <c r="O625" s="1249">
        <v>3.1850009128239903E-2</v>
      </c>
      <c r="P625" s="1251">
        <v>1.5925004564119952E-2</v>
      </c>
      <c r="Q625" s="1252">
        <v>0.15593206552577399</v>
      </c>
    </row>
    <row r="626" spans="1:17" s="212" customFormat="1" ht="15.5" x14ac:dyDescent="0.35">
      <c r="A626" s="198">
        <v>2026</v>
      </c>
      <c r="B626" s="197" t="s">
        <v>5842</v>
      </c>
      <c r="C626" s="197">
        <v>2006</v>
      </c>
      <c r="D626" s="213" t="str">
        <f t="shared" si="7"/>
        <v>2026_2006</v>
      </c>
      <c r="E626" s="1267">
        <v>0.56334411479524404</v>
      </c>
      <c r="F626" s="1278">
        <v>1.4127188915573101E-2</v>
      </c>
      <c r="G626" s="1248">
        <v>4.1235343250963501</v>
      </c>
      <c r="H626" s="1278">
        <v>0.26188722125310199</v>
      </c>
      <c r="I626" s="1248">
        <v>0.147748997807848</v>
      </c>
      <c r="J626" s="1278">
        <v>1.4190308224186799E-4</v>
      </c>
      <c r="K626" s="1248">
        <v>3.0000008612251299E-3</v>
      </c>
      <c r="L626" s="1250">
        <v>2.0000005741244199E-3</v>
      </c>
      <c r="M626" s="1273">
        <v>2.0000005741244199E-3</v>
      </c>
      <c r="N626" s="1248">
        <v>3.1850009128239903E-2</v>
      </c>
      <c r="O626" s="1249">
        <v>3.1850009128239903E-2</v>
      </c>
      <c r="P626" s="1251">
        <v>1.5925004564119952E-2</v>
      </c>
      <c r="Q626" s="1252">
        <v>0.15442955186225199</v>
      </c>
    </row>
    <row r="627" spans="1:17" s="212" customFormat="1" ht="15.5" x14ac:dyDescent="0.35">
      <c r="A627" s="198">
        <v>2026</v>
      </c>
      <c r="B627" s="197" t="s">
        <v>5842</v>
      </c>
      <c r="C627" s="197">
        <v>2007</v>
      </c>
      <c r="D627" s="213" t="str">
        <f t="shared" si="7"/>
        <v>2026_2007</v>
      </c>
      <c r="E627" s="1267">
        <v>0.32645628095138302</v>
      </c>
      <c r="F627" s="1278">
        <v>1.3856262576968601E-2</v>
      </c>
      <c r="G627" s="1248">
        <v>2.47152778499713</v>
      </c>
      <c r="H627" s="1278">
        <v>0.26094337621764502</v>
      </c>
      <c r="I627" s="1248">
        <v>8.60641358984187E-2</v>
      </c>
      <c r="J627" s="1278">
        <v>1.4508406730444901E-4</v>
      </c>
      <c r="K627" s="1248">
        <v>3.0000008612288899E-3</v>
      </c>
      <c r="L627" s="1250">
        <v>2.0000005741812898E-3</v>
      </c>
      <c r="M627" s="1273">
        <v>2.0000005741812898E-3</v>
      </c>
      <c r="N627" s="1248">
        <v>3.1850009128239903E-2</v>
      </c>
      <c r="O627" s="1249">
        <v>3.1850009128239903E-2</v>
      </c>
      <c r="P627" s="1251">
        <v>1.5925004564119952E-2</v>
      </c>
      <c r="Q627" s="1252">
        <v>8.9955574219798301E-2</v>
      </c>
    </row>
    <row r="628" spans="1:17" s="212" customFormat="1" ht="15.5" x14ac:dyDescent="0.35">
      <c r="A628" s="198">
        <v>2026</v>
      </c>
      <c r="B628" s="197" t="s">
        <v>5842</v>
      </c>
      <c r="C628" s="197">
        <v>2008</v>
      </c>
      <c r="D628" s="213" t="str">
        <f t="shared" si="7"/>
        <v>2026_2008</v>
      </c>
      <c r="E628" s="1267">
        <v>0.33061735705030199</v>
      </c>
      <c r="F628" s="1278">
        <v>9.2801615699637102E-3</v>
      </c>
      <c r="G628" s="1248">
        <v>2.4896708721016099</v>
      </c>
      <c r="H628" s="1278">
        <v>0.14791707973875101</v>
      </c>
      <c r="I628" s="1248">
        <v>8.6946804769926903E-2</v>
      </c>
      <c r="J628" s="1278">
        <v>1.4117519986101801E-4</v>
      </c>
      <c r="K628" s="1248">
        <v>3.00000086131614E-3</v>
      </c>
      <c r="L628" s="1250">
        <v>2.00000057420329E-3</v>
      </c>
      <c r="M628" s="1273">
        <v>2.00000057420329E-3</v>
      </c>
      <c r="N628" s="1248">
        <v>3.1850009128239903E-2</v>
      </c>
      <c r="O628" s="1249">
        <v>3.1850009128239903E-2</v>
      </c>
      <c r="P628" s="1251">
        <v>1.5925004564119952E-2</v>
      </c>
      <c r="Q628" s="1252">
        <v>9.0878153460890995E-2</v>
      </c>
    </row>
    <row r="629" spans="1:17" s="212" customFormat="1" ht="15.5" x14ac:dyDescent="0.35">
      <c r="A629" s="198">
        <v>2026</v>
      </c>
      <c r="B629" s="197" t="s">
        <v>5842</v>
      </c>
      <c r="C629" s="197">
        <v>2009</v>
      </c>
      <c r="D629" s="213" t="str">
        <f t="shared" si="7"/>
        <v>2026_2009</v>
      </c>
      <c r="E629" s="1267">
        <v>0.32542271328192202</v>
      </c>
      <c r="F629" s="1278">
        <v>4.55884394273236E-3</v>
      </c>
      <c r="G629" s="1248">
        <v>2.4777330830253499</v>
      </c>
      <c r="H629" s="1278">
        <v>3.8771631071822701E-2</v>
      </c>
      <c r="I629" s="1248">
        <v>8.58424576547865E-2</v>
      </c>
      <c r="J629" s="1278">
        <v>1.2968379598373E-4</v>
      </c>
      <c r="K629" s="1248">
        <v>3.0000008612776899E-3</v>
      </c>
      <c r="L629" s="1250">
        <v>2.0000005741470199E-3</v>
      </c>
      <c r="M629" s="1273">
        <v>2.0000005741470199E-3</v>
      </c>
      <c r="N629" s="1248">
        <v>3.1850009128239903E-2</v>
      </c>
      <c r="O629" s="1249">
        <v>3.1850009128239903E-2</v>
      </c>
      <c r="P629" s="1251">
        <v>1.5925004564119952E-2</v>
      </c>
      <c r="Q629" s="1252">
        <v>8.97238726696718E-2</v>
      </c>
    </row>
    <row r="630" spans="1:17" s="212" customFormat="1" ht="15.5" x14ac:dyDescent="0.35">
      <c r="A630" s="198">
        <v>2026</v>
      </c>
      <c r="B630" s="197" t="s">
        <v>5842</v>
      </c>
      <c r="C630" s="197">
        <v>2010</v>
      </c>
      <c r="D630" s="213" t="str">
        <f t="shared" si="7"/>
        <v>2026_2010</v>
      </c>
      <c r="E630" s="1267">
        <v>8.7651816571119603E-2</v>
      </c>
      <c r="F630" s="1278">
        <v>4.5906676019159803E-3</v>
      </c>
      <c r="G630" s="1248">
        <v>0.77765748402317902</v>
      </c>
      <c r="H630" s="1278">
        <v>3.8737221307300299E-2</v>
      </c>
      <c r="I630" s="1248">
        <v>2.26197724713979E-2</v>
      </c>
      <c r="J630" s="1278">
        <v>1.5838561259119401E-4</v>
      </c>
      <c r="K630" s="1248">
        <v>3.00000086132231E-3</v>
      </c>
      <c r="L630" s="1250">
        <v>2.0000005741239498E-3</v>
      </c>
      <c r="M630" s="1273">
        <v>2.0000005741239498E-3</v>
      </c>
      <c r="N630" s="1248">
        <v>3.1850009128239903E-2</v>
      </c>
      <c r="O630" s="1249">
        <v>3.1850009128239903E-2</v>
      </c>
      <c r="P630" s="1251">
        <v>1.5925004564119952E-2</v>
      </c>
      <c r="Q630" s="1252">
        <v>2.3642538208800801E-2</v>
      </c>
    </row>
    <row r="631" spans="1:17" s="212" customFormat="1" ht="15.5" x14ac:dyDescent="0.35">
      <c r="A631" s="198">
        <v>2026</v>
      </c>
      <c r="B631" s="197" t="s">
        <v>5842</v>
      </c>
      <c r="C631" s="197">
        <v>2011</v>
      </c>
      <c r="D631" s="213" t="str">
        <f t="shared" si="7"/>
        <v>2026_2011</v>
      </c>
      <c r="E631" s="1267">
        <v>8.6064516774823102E-2</v>
      </c>
      <c r="F631" s="1278">
        <v>4.7556414697056603E-3</v>
      </c>
      <c r="G631" s="1248">
        <v>0.76182408633368404</v>
      </c>
      <c r="H631" s="1278">
        <v>3.8392237312937803E-2</v>
      </c>
      <c r="I631" s="1248">
        <v>2.1901297127720602E-2</v>
      </c>
      <c r="J631" s="1278">
        <v>2.1659261306538401E-4</v>
      </c>
      <c r="K631" s="1248">
        <v>3.0000008612930001E-3</v>
      </c>
      <c r="L631" s="1250">
        <v>2.0000005742241899E-3</v>
      </c>
      <c r="M631" s="1273">
        <v>2.0000005742241899E-3</v>
      </c>
      <c r="N631" s="1248">
        <v>3.1850009128239903E-2</v>
      </c>
      <c r="O631" s="1249">
        <v>3.1850009128239903E-2</v>
      </c>
      <c r="P631" s="1251">
        <v>1.5925004564119952E-2</v>
      </c>
      <c r="Q631" s="1252">
        <v>2.28915765982695E-2</v>
      </c>
    </row>
    <row r="632" spans="1:17" s="212" customFormat="1" ht="15.5" x14ac:dyDescent="0.35">
      <c r="A632" s="198">
        <v>2026</v>
      </c>
      <c r="B632" s="197" t="s">
        <v>5842</v>
      </c>
      <c r="C632" s="197">
        <v>2012</v>
      </c>
      <c r="D632" s="213" t="str">
        <f t="shared" si="7"/>
        <v>2026_2012</v>
      </c>
      <c r="E632" s="1267">
        <v>8.5909300095755106E-2</v>
      </c>
      <c r="F632" s="1278">
        <v>4.7438608976023396E-3</v>
      </c>
      <c r="G632" s="1248">
        <v>0.75116982689561895</v>
      </c>
      <c r="H632" s="1278">
        <v>3.8241746735923697E-2</v>
      </c>
      <c r="I632" s="1248">
        <v>2.13873824477143E-2</v>
      </c>
      <c r="J632" s="1278">
        <v>3.1628543306278802E-4</v>
      </c>
      <c r="K632" s="1248">
        <v>3.0000008613519399E-3</v>
      </c>
      <c r="L632" s="1250">
        <v>2.0000005742333801E-3</v>
      </c>
      <c r="M632" s="1273">
        <v>2.0000005742333801E-3</v>
      </c>
      <c r="N632" s="1248">
        <v>3.1850009128239903E-2</v>
      </c>
      <c r="O632" s="1249">
        <v>3.1850009128239903E-2</v>
      </c>
      <c r="P632" s="1251">
        <v>1.5925004564119952E-2</v>
      </c>
      <c r="Q632" s="1252">
        <v>2.2354424976895899E-2</v>
      </c>
    </row>
    <row r="633" spans="1:17" s="212" customFormat="1" ht="15.5" x14ac:dyDescent="0.35">
      <c r="A633" s="198">
        <v>2026</v>
      </c>
      <c r="B633" s="197" t="s">
        <v>5842</v>
      </c>
      <c r="C633" s="197">
        <v>2013</v>
      </c>
      <c r="D633" s="213" t="str">
        <f t="shared" si="7"/>
        <v>2026_2013</v>
      </c>
      <c r="E633" s="1267">
        <v>8.4959821530367796E-2</v>
      </c>
      <c r="F633" s="1278">
        <v>4.8118662602234397E-3</v>
      </c>
      <c r="G633" s="1248">
        <v>0.73498131986124204</v>
      </c>
      <c r="H633" s="1278">
        <v>3.8003753870243698E-2</v>
      </c>
      <c r="I633" s="1248">
        <v>2.0670386273780698E-2</v>
      </c>
      <c r="J633" s="1278">
        <v>4.7493731788711202E-4</v>
      </c>
      <c r="K633" s="1248">
        <v>3.0000008613761098E-3</v>
      </c>
      <c r="L633" s="1250">
        <v>2.00000057427037E-3</v>
      </c>
      <c r="M633" s="1273">
        <v>2.00000057427037E-3</v>
      </c>
      <c r="N633" s="1248">
        <v>3.1850009128239903E-2</v>
      </c>
      <c r="O633" s="1249">
        <v>3.1850009128239903E-2</v>
      </c>
      <c r="P633" s="1251">
        <v>1.5925004564119952E-2</v>
      </c>
      <c r="Q633" s="1252">
        <v>2.16050094176004E-2</v>
      </c>
    </row>
    <row r="634" spans="1:17" s="212" customFormat="1" ht="15.5" x14ac:dyDescent="0.35">
      <c r="A634" s="198">
        <v>2026</v>
      </c>
      <c r="B634" s="197" t="s">
        <v>5842</v>
      </c>
      <c r="C634" s="197">
        <v>2014</v>
      </c>
      <c r="D634" s="213" t="str">
        <f t="shared" si="7"/>
        <v>2026_2014</v>
      </c>
      <c r="E634" s="1267">
        <v>8.2954035629735703E-2</v>
      </c>
      <c r="F634" s="1278">
        <v>4.7448181252334699E-3</v>
      </c>
      <c r="G634" s="1248">
        <v>0.71492135360281095</v>
      </c>
      <c r="H634" s="1278">
        <v>3.82032288285023E-2</v>
      </c>
      <c r="I634" s="1248">
        <v>1.97467782468673E-2</v>
      </c>
      <c r="J634" s="1278">
        <v>6.5941469112301004E-4</v>
      </c>
      <c r="K634" s="1248">
        <v>3.0000008613129299E-3</v>
      </c>
      <c r="L634" s="1250">
        <v>2.0000005742256801E-3</v>
      </c>
      <c r="M634" s="1273">
        <v>2.0000005742256801E-3</v>
      </c>
      <c r="N634" s="1248">
        <v>3.1850009128239903E-2</v>
      </c>
      <c r="O634" s="1249">
        <v>3.1850009128239903E-2</v>
      </c>
      <c r="P634" s="1251">
        <v>1.5925004564119952E-2</v>
      </c>
      <c r="Q634" s="1252">
        <v>2.0639639934160001E-2</v>
      </c>
    </row>
    <row r="635" spans="1:17" s="212" customFormat="1" ht="15.5" x14ac:dyDescent="0.35">
      <c r="A635" s="198">
        <v>2026</v>
      </c>
      <c r="B635" s="197" t="s">
        <v>5842</v>
      </c>
      <c r="C635" s="197">
        <v>2015</v>
      </c>
      <c r="D635" s="213" t="str">
        <f t="shared" ref="D635:D710" si="8">CONCATENATE(A635,"_",C635)</f>
        <v>2026_2015</v>
      </c>
      <c r="E635" s="1267">
        <v>8.2105960537653899E-2</v>
      </c>
      <c r="F635" s="1278">
        <v>4.91337757852401E-3</v>
      </c>
      <c r="G635" s="1248">
        <v>0.69819021327891595</v>
      </c>
      <c r="H635" s="1278">
        <v>3.80090200001416E-2</v>
      </c>
      <c r="I635" s="1248">
        <v>1.8959942982335099E-2</v>
      </c>
      <c r="J635" s="1278">
        <v>8.3459377934110598E-4</v>
      </c>
      <c r="K635" s="1248">
        <v>3.0000008613224301E-3</v>
      </c>
      <c r="L635" s="1250">
        <v>2.0000005742604001E-3</v>
      </c>
      <c r="M635" s="1273">
        <v>2.0000005742604001E-3</v>
      </c>
      <c r="N635" s="1248">
        <v>3.1850009128239903E-2</v>
      </c>
      <c r="O635" s="1249">
        <v>3.1850009128239903E-2</v>
      </c>
      <c r="P635" s="1251">
        <v>1.5925004564119952E-2</v>
      </c>
      <c r="Q635" s="1252">
        <v>1.9817227470495399E-2</v>
      </c>
    </row>
    <row r="636" spans="1:17" s="212" customFormat="1" ht="15.5" x14ac:dyDescent="0.35">
      <c r="A636" s="198">
        <v>2026</v>
      </c>
      <c r="B636" s="197" t="s">
        <v>5842</v>
      </c>
      <c r="C636" s="197">
        <v>2016</v>
      </c>
      <c r="D636" s="213" t="str">
        <f t="shared" si="8"/>
        <v>2026_2016</v>
      </c>
      <c r="E636" s="1267">
        <v>8.1037370424281899E-2</v>
      </c>
      <c r="F636" s="1278">
        <v>4.6029536252261598E-3</v>
      </c>
      <c r="G636" s="1248">
        <v>0.60060671863069004</v>
      </c>
      <c r="H636" s="1278">
        <v>3.5690453133274798E-2</v>
      </c>
      <c r="I636" s="1248">
        <v>1.8085847076261902E-2</v>
      </c>
      <c r="J636" s="1278">
        <v>9.6027208614480697E-4</v>
      </c>
      <c r="K636" s="1248">
        <v>3.0000008613382898E-3</v>
      </c>
      <c r="L636" s="1250">
        <v>2.0000005742413099E-3</v>
      </c>
      <c r="M636" s="1273">
        <v>2.0000005742413099E-3</v>
      </c>
      <c r="N636" s="1248">
        <v>3.1850009128239903E-2</v>
      </c>
      <c r="O636" s="1249">
        <v>3.1850009128239903E-2</v>
      </c>
      <c r="P636" s="1251">
        <v>1.5925004564119952E-2</v>
      </c>
      <c r="Q636" s="1252">
        <v>1.89036088262927E-2</v>
      </c>
    </row>
    <row r="637" spans="1:17" s="212" customFormat="1" ht="15.5" x14ac:dyDescent="0.35">
      <c r="A637" s="198">
        <v>2026</v>
      </c>
      <c r="B637" s="197" t="s">
        <v>5842</v>
      </c>
      <c r="C637" s="197">
        <v>2017</v>
      </c>
      <c r="D637" s="213" t="str">
        <f t="shared" si="8"/>
        <v>2026_2017</v>
      </c>
      <c r="E637" s="1267">
        <v>7.8851040646117504E-2</v>
      </c>
      <c r="F637" s="1278">
        <v>4.4163643614567897E-3</v>
      </c>
      <c r="G637" s="1248">
        <v>0.50301573195270399</v>
      </c>
      <c r="H637" s="1278">
        <v>3.3185205497760897E-2</v>
      </c>
      <c r="I637" s="1248">
        <v>1.6989109889279801E-2</v>
      </c>
      <c r="J637" s="1278">
        <v>1.0356526572139299E-3</v>
      </c>
      <c r="K637" s="1248">
        <v>3.0000008612838E-3</v>
      </c>
      <c r="L637" s="1250">
        <v>2.0000005742946401E-3</v>
      </c>
      <c r="M637" s="1273">
        <v>2.0000005742946401E-3</v>
      </c>
      <c r="N637" s="1248">
        <v>3.1850009128239903E-2</v>
      </c>
      <c r="O637" s="1249">
        <v>3.1850009128239903E-2</v>
      </c>
      <c r="P637" s="1251">
        <v>1.5925004564119952E-2</v>
      </c>
      <c r="Q637" s="1252">
        <v>1.7757282050414401E-2</v>
      </c>
    </row>
    <row r="638" spans="1:17" s="212" customFormat="1" ht="15.5" x14ac:dyDescent="0.35">
      <c r="A638" s="198">
        <v>2026</v>
      </c>
      <c r="B638" s="197" t="s">
        <v>5842</v>
      </c>
      <c r="C638" s="197">
        <v>2018</v>
      </c>
      <c r="D638" s="213" t="str">
        <f t="shared" si="8"/>
        <v>2026_2018</v>
      </c>
      <c r="E638" s="1267">
        <v>7.8287832756171197E-2</v>
      </c>
      <c r="F638" s="1278">
        <v>3.94175046761913E-3</v>
      </c>
      <c r="G638" s="1248">
        <v>0.40479181118101198</v>
      </c>
      <c r="H638" s="1278">
        <v>2.9551489889477901E-2</v>
      </c>
      <c r="I638" s="1248">
        <v>1.6088749820534501E-2</v>
      </c>
      <c r="J638" s="1278">
        <v>1.0772298725350001E-3</v>
      </c>
      <c r="K638" s="1248">
        <v>3.0000008613446901E-3</v>
      </c>
      <c r="L638" s="1250">
        <v>2.0000005742460999E-3</v>
      </c>
      <c r="M638" s="1273">
        <v>2.0000005742460999E-3</v>
      </c>
      <c r="N638" s="1248">
        <v>3.1850009128239903E-2</v>
      </c>
      <c r="O638" s="1249">
        <v>3.1850009128239903E-2</v>
      </c>
      <c r="P638" s="1251">
        <v>1.5925004564119952E-2</v>
      </c>
      <c r="Q638" s="1252">
        <v>1.68162116946491E-2</v>
      </c>
    </row>
    <row r="639" spans="1:17" s="212" customFormat="1" ht="15.5" x14ac:dyDescent="0.35">
      <c r="A639" s="198">
        <v>2026</v>
      </c>
      <c r="B639" s="197" t="s">
        <v>5842</v>
      </c>
      <c r="C639" s="197">
        <v>2019</v>
      </c>
      <c r="D639" s="213" t="str">
        <f t="shared" si="8"/>
        <v>2026_2019</v>
      </c>
      <c r="E639" s="1267">
        <v>7.7030758745909395E-2</v>
      </c>
      <c r="F639" s="1278">
        <v>3.4215474972803801E-3</v>
      </c>
      <c r="G639" s="1248">
        <v>0.33871473198526603</v>
      </c>
      <c r="H639" s="1278">
        <v>2.5678090210637501E-2</v>
      </c>
      <c r="I639" s="1248">
        <v>1.5024195096843799E-2</v>
      </c>
      <c r="J639" s="1278">
        <v>1.0984462884675E-3</v>
      </c>
      <c r="K639" s="1248">
        <v>3.0000008613930199E-3</v>
      </c>
      <c r="L639" s="1250">
        <v>2.0000005741973299E-3</v>
      </c>
      <c r="M639" s="1273">
        <v>2.0000005741973299E-3</v>
      </c>
      <c r="N639" s="1248">
        <v>3.1850009128239903E-2</v>
      </c>
      <c r="O639" s="1249">
        <v>3.1850009128239903E-2</v>
      </c>
      <c r="P639" s="1251">
        <v>1.5925004564119952E-2</v>
      </c>
      <c r="Q639" s="1252">
        <v>1.57035225302448E-2</v>
      </c>
    </row>
    <row r="640" spans="1:17" s="212" customFormat="1" ht="15.5" x14ac:dyDescent="0.35">
      <c r="A640" s="198">
        <v>2026</v>
      </c>
      <c r="B640" s="197" t="s">
        <v>5842</v>
      </c>
      <c r="C640" s="197">
        <v>2020</v>
      </c>
      <c r="D640" s="213" t="str">
        <f t="shared" si="8"/>
        <v>2026_2020</v>
      </c>
      <c r="E640" s="1267">
        <v>6.67712487542967E-2</v>
      </c>
      <c r="F640" s="1278">
        <v>2.81352078430284E-3</v>
      </c>
      <c r="G640" s="1248">
        <v>0.25729320832944103</v>
      </c>
      <c r="H640" s="1278">
        <v>2.21248720331794E-2</v>
      </c>
      <c r="I640" s="1248">
        <v>1.2709025957381799E-2</v>
      </c>
      <c r="J640" s="1278">
        <v>1.08545217953856E-3</v>
      </c>
      <c r="K640" s="1248">
        <v>3.0000008609644599E-3</v>
      </c>
      <c r="L640" s="1250">
        <v>2.000000574072E-3</v>
      </c>
      <c r="M640" s="1273">
        <v>2.000000574072E-3</v>
      </c>
      <c r="N640" s="1248">
        <v>3.1850009128239903E-2</v>
      </c>
      <c r="O640" s="1249">
        <v>3.1850009128239903E-2</v>
      </c>
      <c r="P640" s="1251">
        <v>1.5925004564119952E-2</v>
      </c>
      <c r="Q640" s="1252">
        <v>1.32836717157071E-2</v>
      </c>
    </row>
    <row r="641" spans="1:17" s="212" customFormat="1" ht="15.5" x14ac:dyDescent="0.35">
      <c r="A641" s="198">
        <v>2026</v>
      </c>
      <c r="B641" s="197" t="s">
        <v>5842</v>
      </c>
      <c r="C641" s="197">
        <v>2021</v>
      </c>
      <c r="D641" s="213" t="str">
        <f t="shared" si="8"/>
        <v>2026_2021</v>
      </c>
      <c r="E641" s="1267">
        <v>6.53237824736006E-2</v>
      </c>
      <c r="F641" s="1278">
        <v>2.43574718060994E-3</v>
      </c>
      <c r="G641" s="1248">
        <v>0.20153125691217799</v>
      </c>
      <c r="H641" s="1278">
        <v>1.8768477658877201E-2</v>
      </c>
      <c r="I641" s="1248">
        <v>1.1586313455832799E-2</v>
      </c>
      <c r="J641" s="1278">
        <v>1.0856313167495601E-3</v>
      </c>
      <c r="K641" s="1248">
        <v>3.0000008609667298E-3</v>
      </c>
      <c r="L641" s="1250">
        <v>2.0000005740737101E-3</v>
      </c>
      <c r="M641" s="1273">
        <v>2.0000005740737101E-3</v>
      </c>
      <c r="N641" s="1248">
        <v>3.1850009128239903E-2</v>
      </c>
      <c r="O641" s="1249">
        <v>3.1850009128239903E-2</v>
      </c>
      <c r="P641" s="1251">
        <v>1.5925004564119952E-2</v>
      </c>
      <c r="Q641" s="1252">
        <v>1.2110195136801101E-2</v>
      </c>
    </row>
    <row r="642" spans="1:17" s="212" customFormat="1" ht="15.5" x14ac:dyDescent="0.35">
      <c r="A642" s="198">
        <v>2026</v>
      </c>
      <c r="B642" s="197" t="s">
        <v>5842</v>
      </c>
      <c r="C642" s="197">
        <v>2022</v>
      </c>
      <c r="D642" s="213" t="str">
        <f t="shared" si="8"/>
        <v>2026_2022</v>
      </c>
      <c r="E642" s="1267">
        <v>6.3795726260618996E-2</v>
      </c>
      <c r="F642" s="1278">
        <v>2.1055502812254399E-3</v>
      </c>
      <c r="G642" s="1248">
        <v>0.14865937609243501</v>
      </c>
      <c r="H642" s="1278">
        <v>1.6029899318549399E-2</v>
      </c>
      <c r="I642" s="1248">
        <v>1.0402925214796801E-2</v>
      </c>
      <c r="J642" s="1278">
        <v>1.0858025782881199E-3</v>
      </c>
      <c r="K642" s="1248">
        <v>3.0000008609689299E-3</v>
      </c>
      <c r="L642" s="1250">
        <v>2.0000005740753602E-3</v>
      </c>
      <c r="M642" s="1273">
        <v>2.0000005740753602E-3</v>
      </c>
      <c r="N642" s="1248">
        <v>3.1850009128239903E-2</v>
      </c>
      <c r="O642" s="1249">
        <v>3.1850009128239903E-2</v>
      </c>
      <c r="P642" s="1251">
        <v>1.5925004564119952E-2</v>
      </c>
      <c r="Q642" s="1252">
        <v>1.0873299330713E-2</v>
      </c>
    </row>
    <row r="643" spans="1:17" s="212" customFormat="1" ht="15.5" x14ac:dyDescent="0.35">
      <c r="A643" s="198">
        <v>2026</v>
      </c>
      <c r="B643" s="197" t="s">
        <v>5842</v>
      </c>
      <c r="C643" s="197">
        <v>2023</v>
      </c>
      <c r="D643" s="213" t="str">
        <f t="shared" si="8"/>
        <v>2026_2023</v>
      </c>
      <c r="E643" s="1267">
        <v>6.2187193545382297E-2</v>
      </c>
      <c r="F643" s="1278">
        <v>2.2848984609640101E-3</v>
      </c>
      <c r="G643" s="1248">
        <v>0.14054137281451601</v>
      </c>
      <c r="H643" s="1278">
        <v>1.7424694825745699E-2</v>
      </c>
      <c r="I643" s="1248">
        <v>9.1588585257861999E-3</v>
      </c>
      <c r="J643" s="1278">
        <v>1.08596484722836E-3</v>
      </c>
      <c r="K643" s="1248">
        <v>3.0000008609710502E-3</v>
      </c>
      <c r="L643" s="1250">
        <v>2.0000005740769501E-3</v>
      </c>
      <c r="M643" s="1273">
        <v>2.0000005740769501E-3</v>
      </c>
      <c r="N643" s="1248">
        <v>3.1850009128239903E-2</v>
      </c>
      <c r="O643" s="1249">
        <v>3.1850009128239903E-2</v>
      </c>
      <c r="P643" s="1251">
        <v>1.5925004564119952E-2</v>
      </c>
      <c r="Q643" s="1252">
        <v>9.5729814664894698E-3</v>
      </c>
    </row>
    <row r="644" spans="1:17" s="212" customFormat="1" ht="15.5" x14ac:dyDescent="0.35">
      <c r="A644" s="198">
        <v>2026</v>
      </c>
      <c r="B644" s="197" t="s">
        <v>5842</v>
      </c>
      <c r="C644" s="197">
        <v>2024</v>
      </c>
      <c r="D644" s="213" t="str">
        <f t="shared" si="8"/>
        <v>2026_2024</v>
      </c>
      <c r="E644" s="1267">
        <v>6.0497781359810203E-2</v>
      </c>
      <c r="F644" s="1278">
        <v>2.5534532135639198E-3</v>
      </c>
      <c r="G644" s="1248">
        <v>0.13202660221287599</v>
      </c>
      <c r="H644" s="1278">
        <v>1.9723829531458799E-2</v>
      </c>
      <c r="I644" s="1248">
        <v>7.8540710751781595E-3</v>
      </c>
      <c r="J644" s="1278">
        <v>1.08611728295419E-3</v>
      </c>
      <c r="K644" s="1248">
        <v>3.0000008609730798E-3</v>
      </c>
      <c r="L644" s="1250">
        <v>2.0000005740784701E-3</v>
      </c>
      <c r="M644" s="1275">
        <v>2.0000005740111598E-3</v>
      </c>
      <c r="N644" s="1248">
        <v>3.1850009128239903E-2</v>
      </c>
      <c r="O644" s="1249">
        <v>3.1850009128239903E-2</v>
      </c>
      <c r="P644" s="1260">
        <v>1.59250045641199E-2</v>
      </c>
      <c r="Q644" s="1252">
        <v>8.2091973172734901E-3</v>
      </c>
    </row>
    <row r="645" spans="1:17" s="212" customFormat="1" ht="15.5" x14ac:dyDescent="0.35">
      <c r="A645" s="198">
        <v>2026</v>
      </c>
      <c r="B645" s="197" t="s">
        <v>5842</v>
      </c>
      <c r="C645" s="197">
        <v>2025</v>
      </c>
      <c r="D645" s="213" t="str">
        <f t="shared" si="8"/>
        <v>2026_2025</v>
      </c>
      <c r="E645" s="1267">
        <v>5.8727068819532199E-2</v>
      </c>
      <c r="F645" s="1278">
        <v>2.8094345686209298E-3</v>
      </c>
      <c r="G645" s="1248">
        <v>0.12311464984220399</v>
      </c>
      <c r="H645" s="1278">
        <v>2.19225868573498E-2</v>
      </c>
      <c r="I645" s="1248">
        <v>6.4885371106548602E-3</v>
      </c>
      <c r="J645" s="1278">
        <v>1.0862571417454201E-3</v>
      </c>
      <c r="K645" s="1248">
        <v>3.0000008609749802E-3</v>
      </c>
      <c r="L645" s="1250">
        <v>2.0000005740799E-3</v>
      </c>
      <c r="M645" s="1275">
        <v>2.0000005740127701E-3</v>
      </c>
      <c r="N645" s="1248">
        <v>3.1850009128239903E-2</v>
      </c>
      <c r="O645" s="1249">
        <v>3.1850009128239903E-2</v>
      </c>
      <c r="P645" s="1260">
        <v>1.59250045641199E-2</v>
      </c>
      <c r="Q645" s="1252">
        <v>6.7819199663416698E-3</v>
      </c>
    </row>
    <row r="646" spans="1:17" s="212" customFormat="1" ht="15.5" x14ac:dyDescent="0.35">
      <c r="A646" s="198">
        <v>2026</v>
      </c>
      <c r="B646" s="197" t="s">
        <v>5842</v>
      </c>
      <c r="C646" s="197">
        <v>2026</v>
      </c>
      <c r="D646" s="213" t="str">
        <f t="shared" si="8"/>
        <v>2026_2026</v>
      </c>
      <c r="E646" s="1267">
        <v>5.6876578192166398E-2</v>
      </c>
      <c r="F646" s="1278">
        <v>2.7337022181589399E-3</v>
      </c>
      <c r="G646" s="1248">
        <v>0.113819869634741</v>
      </c>
      <c r="H646" s="1278">
        <v>2.08366349000896E-2</v>
      </c>
      <c r="I646" s="1248">
        <v>5.0623895037203697E-3</v>
      </c>
      <c r="J646" s="1278">
        <v>1.0863974361670799E-3</v>
      </c>
      <c r="K646" s="1248">
        <v>3.0000008609768901E-3</v>
      </c>
      <c r="L646" s="1250">
        <v>2.0000005740813298E-3</v>
      </c>
      <c r="M646" s="1275">
        <v>2.0000005740120402E-3</v>
      </c>
      <c r="N646" s="1248">
        <v>3.1850009128239903E-2</v>
      </c>
      <c r="O646" s="1249">
        <v>3.1850009128239903E-2</v>
      </c>
      <c r="P646" s="1260">
        <v>1.59250045641199E-2</v>
      </c>
      <c r="Q646" s="1252">
        <v>5.2912882930578903E-3</v>
      </c>
    </row>
    <row r="647" spans="1:17" s="212" customFormat="1" ht="15.5" x14ac:dyDescent="0.35">
      <c r="A647" s="198">
        <v>2026</v>
      </c>
      <c r="B647" s="197" t="s">
        <v>5842</v>
      </c>
      <c r="C647" s="197">
        <v>2027</v>
      </c>
      <c r="D647" s="213" t="str">
        <f t="shared" si="8"/>
        <v>2026_2027</v>
      </c>
      <c r="E647" s="1268">
        <v>5.6876578192166398E-2</v>
      </c>
      <c r="F647" s="1279">
        <v>2.7337022181589399E-3</v>
      </c>
      <c r="G647" s="1255">
        <v>0.113819869634741</v>
      </c>
      <c r="H647" s="1279">
        <v>2.08366349000896E-2</v>
      </c>
      <c r="I647" s="1255">
        <v>5.0623895037203697E-3</v>
      </c>
      <c r="J647" s="1279">
        <v>1.0863974361670799E-3</v>
      </c>
      <c r="K647" s="1255">
        <v>3.0000008609768901E-3</v>
      </c>
      <c r="L647" s="1253">
        <v>2.0000005740813298E-3</v>
      </c>
      <c r="M647" s="1273">
        <v>2.0000005740120402E-3</v>
      </c>
      <c r="N647" s="1255">
        <v>3.1850009128239903E-2</v>
      </c>
      <c r="O647" s="1256">
        <v>3.1850009128239903E-2</v>
      </c>
      <c r="P647" s="1251">
        <v>1.59250045641199E-2</v>
      </c>
      <c r="Q647" s="1254">
        <v>5.2912882930578903E-3</v>
      </c>
    </row>
    <row r="648" spans="1:17" s="212" customFormat="1" ht="15.5" x14ac:dyDescent="0.35">
      <c r="A648" s="198">
        <v>2027</v>
      </c>
      <c r="B648" s="197" t="s">
        <v>5842</v>
      </c>
      <c r="C648" s="197">
        <v>1971</v>
      </c>
      <c r="D648" s="213" t="str">
        <f t="shared" si="8"/>
        <v>2027_1971</v>
      </c>
      <c r="E648" s="1268">
        <v>0.22496218424721801</v>
      </c>
      <c r="F648" s="1279">
        <v>2.50612862399807</v>
      </c>
      <c r="G648" s="1255">
        <v>5.2439928307612398</v>
      </c>
      <c r="H648" s="1279">
        <v>4.4302504566508603</v>
      </c>
      <c r="I648" s="1255">
        <v>0.169561842047499</v>
      </c>
      <c r="J648" s="1279">
        <v>1.64515126849662E-2</v>
      </c>
      <c r="K648" s="1255">
        <v>3.0000008610313001E-3</v>
      </c>
      <c r="L648" s="1253">
        <v>2.0000005744510701E-3</v>
      </c>
      <c r="M648" s="1273">
        <v>2.0000005744510701E-3</v>
      </c>
      <c r="N648" s="1255">
        <v>3.1850009128239903E-2</v>
      </c>
      <c r="O648" s="1256">
        <v>3.1850009128239903E-2</v>
      </c>
      <c r="P648" s="1251">
        <v>1.5925004564119952E-2</v>
      </c>
      <c r="Q648" s="1254">
        <v>0.17722867612535601</v>
      </c>
    </row>
    <row r="649" spans="1:17" s="212" customFormat="1" ht="15.5" x14ac:dyDescent="0.35">
      <c r="A649" s="198">
        <v>2027</v>
      </c>
      <c r="B649" s="197" t="s">
        <v>5842</v>
      </c>
      <c r="C649" s="197">
        <v>1972</v>
      </c>
      <c r="D649" s="213" t="str">
        <f t="shared" si="8"/>
        <v>2027_1972</v>
      </c>
      <c r="E649" s="1268">
        <v>0.22496218424721801</v>
      </c>
      <c r="F649" s="1279">
        <v>2.50612862399807</v>
      </c>
      <c r="G649" s="1255">
        <v>5.2439928307612398</v>
      </c>
      <c r="H649" s="1279">
        <v>4.4302504566508603</v>
      </c>
      <c r="I649" s="1255">
        <v>0.169561842047499</v>
      </c>
      <c r="J649" s="1279">
        <v>1.64515126849662E-2</v>
      </c>
      <c r="K649" s="1255">
        <v>3.0000008610313001E-3</v>
      </c>
      <c r="L649" s="1253">
        <v>2.0000005744510701E-3</v>
      </c>
      <c r="M649" s="1273">
        <v>2.0000005744510701E-3</v>
      </c>
      <c r="N649" s="1255">
        <v>3.1850009128239903E-2</v>
      </c>
      <c r="O649" s="1256">
        <v>3.1850009128239903E-2</v>
      </c>
      <c r="P649" s="1251">
        <v>1.5925004564119952E-2</v>
      </c>
      <c r="Q649" s="1254">
        <v>0.17722867612535601</v>
      </c>
    </row>
    <row r="650" spans="1:17" s="212" customFormat="1" ht="15.5" x14ac:dyDescent="0.35">
      <c r="A650" s="198">
        <v>2027</v>
      </c>
      <c r="B650" s="197" t="s">
        <v>5842</v>
      </c>
      <c r="C650" s="197">
        <v>1973</v>
      </c>
      <c r="D650" s="213" t="str">
        <f t="shared" si="8"/>
        <v>2027_1973</v>
      </c>
      <c r="E650" s="1268">
        <v>0.22496218424721801</v>
      </c>
      <c r="F650" s="1279">
        <v>2.50612862399807</v>
      </c>
      <c r="G650" s="1255">
        <v>5.2439928307612398</v>
      </c>
      <c r="H650" s="1279">
        <v>4.4302504566508603</v>
      </c>
      <c r="I650" s="1255">
        <v>0.169561842047499</v>
      </c>
      <c r="J650" s="1279">
        <v>1.64515126849662E-2</v>
      </c>
      <c r="K650" s="1255">
        <v>3.0000008610313001E-3</v>
      </c>
      <c r="L650" s="1253">
        <v>2.0000005744510701E-3</v>
      </c>
      <c r="M650" s="1273">
        <v>2.0000005744510701E-3</v>
      </c>
      <c r="N650" s="1255">
        <v>3.1850009128239903E-2</v>
      </c>
      <c r="O650" s="1256">
        <v>3.1850009128239903E-2</v>
      </c>
      <c r="P650" s="1251">
        <v>1.5925004564119952E-2</v>
      </c>
      <c r="Q650" s="1254">
        <v>0.17722867612535601</v>
      </c>
    </row>
    <row r="651" spans="1:17" s="212" customFormat="1" ht="15.5" x14ac:dyDescent="0.35">
      <c r="A651" s="198">
        <v>2027</v>
      </c>
      <c r="B651" s="197" t="s">
        <v>5842</v>
      </c>
      <c r="C651" s="197">
        <v>1974</v>
      </c>
      <c r="D651" s="213" t="str">
        <f t="shared" si="8"/>
        <v>2027_1974</v>
      </c>
      <c r="E651" s="1268">
        <v>0.22496218424721801</v>
      </c>
      <c r="F651" s="1279">
        <v>2.50612862399807</v>
      </c>
      <c r="G651" s="1255">
        <v>5.2439928307612398</v>
      </c>
      <c r="H651" s="1279">
        <v>4.4302504566508603</v>
      </c>
      <c r="I651" s="1255">
        <v>0.169561842047499</v>
      </c>
      <c r="J651" s="1279">
        <v>1.64515126849662E-2</v>
      </c>
      <c r="K651" s="1255">
        <v>3.0000008610313001E-3</v>
      </c>
      <c r="L651" s="1253">
        <v>2.0000005744510701E-3</v>
      </c>
      <c r="M651" s="1273">
        <v>2.0000005744510701E-3</v>
      </c>
      <c r="N651" s="1255">
        <v>3.1850009128239903E-2</v>
      </c>
      <c r="O651" s="1256">
        <v>3.1850009128239903E-2</v>
      </c>
      <c r="P651" s="1251">
        <v>1.5925004564119952E-2</v>
      </c>
      <c r="Q651" s="1254">
        <v>0.17722867612535601</v>
      </c>
    </row>
    <row r="652" spans="1:17" s="212" customFormat="1" ht="15.5" x14ac:dyDescent="0.35">
      <c r="A652" s="198">
        <v>2027</v>
      </c>
      <c r="B652" s="197" t="s">
        <v>5842</v>
      </c>
      <c r="C652" s="197">
        <v>1975</v>
      </c>
      <c r="D652" s="213" t="str">
        <f t="shared" si="8"/>
        <v>2027_1975</v>
      </c>
      <c r="E652" s="1268">
        <v>0.22496218424721801</v>
      </c>
      <c r="F652" s="1279">
        <v>2.50612862399807</v>
      </c>
      <c r="G652" s="1255">
        <v>5.2439928307612398</v>
      </c>
      <c r="H652" s="1279">
        <v>4.4302504566508603</v>
      </c>
      <c r="I652" s="1255">
        <v>0.169561842047499</v>
      </c>
      <c r="J652" s="1279">
        <v>1.64515126849662E-2</v>
      </c>
      <c r="K652" s="1255">
        <v>3.0000008610313001E-3</v>
      </c>
      <c r="L652" s="1253">
        <v>2.0000005744510701E-3</v>
      </c>
      <c r="M652" s="1273">
        <v>2.0000005744510701E-3</v>
      </c>
      <c r="N652" s="1255">
        <v>3.1850009128239903E-2</v>
      </c>
      <c r="O652" s="1256">
        <v>3.1850009128239903E-2</v>
      </c>
      <c r="P652" s="1251">
        <v>1.5925004564119952E-2</v>
      </c>
      <c r="Q652" s="1254">
        <v>0.17722867612535601</v>
      </c>
    </row>
    <row r="653" spans="1:17" s="212" customFormat="1" ht="15.5" x14ac:dyDescent="0.35">
      <c r="A653" s="198">
        <v>2027</v>
      </c>
      <c r="B653" s="197" t="s">
        <v>5842</v>
      </c>
      <c r="C653" s="197">
        <v>1976</v>
      </c>
      <c r="D653" s="213" t="str">
        <f t="shared" si="8"/>
        <v>2027_1976</v>
      </c>
      <c r="E653" s="1268">
        <v>0.22496218424721801</v>
      </c>
      <c r="F653" s="1279">
        <v>2.50612862399807</v>
      </c>
      <c r="G653" s="1255">
        <v>5.2439928307612398</v>
      </c>
      <c r="H653" s="1279">
        <v>4.4302504566508603</v>
      </c>
      <c r="I653" s="1255">
        <v>0.169561842047499</v>
      </c>
      <c r="J653" s="1279">
        <v>1.64515126849662E-2</v>
      </c>
      <c r="K653" s="1255">
        <v>3.0000008610313001E-3</v>
      </c>
      <c r="L653" s="1253">
        <v>2.0000005744510701E-3</v>
      </c>
      <c r="M653" s="1273">
        <v>2.0000005744510701E-3</v>
      </c>
      <c r="N653" s="1255">
        <v>3.1850009128239903E-2</v>
      </c>
      <c r="O653" s="1256">
        <v>3.1850009128239903E-2</v>
      </c>
      <c r="P653" s="1251">
        <v>1.5925004564119952E-2</v>
      </c>
      <c r="Q653" s="1254">
        <v>0.17722867612535601</v>
      </c>
    </row>
    <row r="654" spans="1:17" s="212" customFormat="1" ht="15.5" x14ac:dyDescent="0.35">
      <c r="A654" s="198">
        <v>2027</v>
      </c>
      <c r="B654" s="197" t="s">
        <v>5842</v>
      </c>
      <c r="C654" s="197">
        <v>1977</v>
      </c>
      <c r="D654" s="213" t="str">
        <f t="shared" si="8"/>
        <v>2027_1977</v>
      </c>
      <c r="E654" s="1268">
        <v>0.22496218424721801</v>
      </c>
      <c r="F654" s="1279">
        <v>2.50612862399807</v>
      </c>
      <c r="G654" s="1255">
        <v>5.2439928307612398</v>
      </c>
      <c r="H654" s="1279">
        <v>4.4302504566508603</v>
      </c>
      <c r="I654" s="1255">
        <v>0.169561842047499</v>
      </c>
      <c r="J654" s="1279">
        <v>1.64515126849662E-2</v>
      </c>
      <c r="K654" s="1255">
        <v>3.0000008610313001E-3</v>
      </c>
      <c r="L654" s="1253">
        <v>2.0000005744510701E-3</v>
      </c>
      <c r="M654" s="1273">
        <v>2.0000005744510701E-3</v>
      </c>
      <c r="N654" s="1255">
        <v>3.1850009128239903E-2</v>
      </c>
      <c r="O654" s="1256">
        <v>3.1850009128239903E-2</v>
      </c>
      <c r="P654" s="1251">
        <v>1.5925004564119952E-2</v>
      </c>
      <c r="Q654" s="1254">
        <v>0.17722867612535601</v>
      </c>
    </row>
    <row r="655" spans="1:17" s="212" customFormat="1" ht="15.5" x14ac:dyDescent="0.35">
      <c r="A655" s="198">
        <v>2027</v>
      </c>
      <c r="B655" s="197" t="s">
        <v>5842</v>
      </c>
      <c r="C655" s="197">
        <v>1978</v>
      </c>
      <c r="D655" s="213" t="str">
        <f t="shared" si="8"/>
        <v>2027_1978</v>
      </c>
      <c r="E655" s="1268">
        <v>0.22496218424721801</v>
      </c>
      <c r="F655" s="1279">
        <v>2.50612862399807</v>
      </c>
      <c r="G655" s="1255">
        <v>5.2439928307612398</v>
      </c>
      <c r="H655" s="1279">
        <v>4.4302504566508603</v>
      </c>
      <c r="I655" s="1255">
        <v>0.169561842047499</v>
      </c>
      <c r="J655" s="1279">
        <v>1.64515126849662E-2</v>
      </c>
      <c r="K655" s="1255">
        <v>3.0000008610313001E-3</v>
      </c>
      <c r="L655" s="1253">
        <v>2.0000005744510701E-3</v>
      </c>
      <c r="M655" s="1273">
        <v>2.0000005744510701E-3</v>
      </c>
      <c r="N655" s="1255">
        <v>3.1850009128239903E-2</v>
      </c>
      <c r="O655" s="1256">
        <v>3.1850009128239903E-2</v>
      </c>
      <c r="P655" s="1251">
        <v>1.5925004564119952E-2</v>
      </c>
      <c r="Q655" s="1254">
        <v>0.17722867612535601</v>
      </c>
    </row>
    <row r="656" spans="1:17" s="212" customFormat="1" ht="15.5" x14ac:dyDescent="0.35">
      <c r="A656" s="198">
        <v>2027</v>
      </c>
      <c r="B656" s="197" t="s">
        <v>5842</v>
      </c>
      <c r="C656" s="197">
        <v>1979</v>
      </c>
      <c r="D656" s="213" t="str">
        <f t="shared" si="8"/>
        <v>2027_1979</v>
      </c>
      <c r="E656" s="1268">
        <v>0.22496218424721801</v>
      </c>
      <c r="F656" s="1279">
        <v>2.50612862399807</v>
      </c>
      <c r="G656" s="1255">
        <v>5.2439928307612398</v>
      </c>
      <c r="H656" s="1279">
        <v>4.4302504566508603</v>
      </c>
      <c r="I656" s="1255">
        <v>0.169561842047499</v>
      </c>
      <c r="J656" s="1279">
        <v>1.64515126849662E-2</v>
      </c>
      <c r="K656" s="1255">
        <v>3.0000008610313001E-3</v>
      </c>
      <c r="L656" s="1253">
        <v>2.0000005744510701E-3</v>
      </c>
      <c r="M656" s="1273">
        <v>2.0000005744510701E-3</v>
      </c>
      <c r="N656" s="1255">
        <v>3.1850009128239903E-2</v>
      </c>
      <c r="O656" s="1256">
        <v>3.1850009128239903E-2</v>
      </c>
      <c r="P656" s="1251">
        <v>1.5925004564119952E-2</v>
      </c>
      <c r="Q656" s="1254">
        <v>0.17722867612535601</v>
      </c>
    </row>
    <row r="657" spans="1:17" s="212" customFormat="1" ht="15.5" x14ac:dyDescent="0.35">
      <c r="A657" s="198">
        <v>2027</v>
      </c>
      <c r="B657" s="197" t="s">
        <v>5842</v>
      </c>
      <c r="C657" s="197">
        <v>1980</v>
      </c>
      <c r="D657" s="213" t="str">
        <f t="shared" si="8"/>
        <v>2027_1980</v>
      </c>
      <c r="E657" s="1268">
        <v>0.22496218424721801</v>
      </c>
      <c r="F657" s="1279">
        <v>2.50612862399807</v>
      </c>
      <c r="G657" s="1255">
        <v>5.2439928307612398</v>
      </c>
      <c r="H657" s="1279">
        <v>4.4302504566508603</v>
      </c>
      <c r="I657" s="1255">
        <v>0.169561842047499</v>
      </c>
      <c r="J657" s="1279">
        <v>1.64515126849662E-2</v>
      </c>
      <c r="K657" s="1255">
        <v>3.0000008610313001E-3</v>
      </c>
      <c r="L657" s="1253">
        <v>2.0000005744510701E-3</v>
      </c>
      <c r="M657" s="1273">
        <v>2.0000005744510701E-3</v>
      </c>
      <c r="N657" s="1255">
        <v>3.1850009128239903E-2</v>
      </c>
      <c r="O657" s="1256">
        <v>3.1850009128239903E-2</v>
      </c>
      <c r="P657" s="1251">
        <v>1.5925004564119952E-2</v>
      </c>
      <c r="Q657" s="1254">
        <v>0.17722867612535601</v>
      </c>
    </row>
    <row r="658" spans="1:17" s="212" customFormat="1" ht="15.5" x14ac:dyDescent="0.35">
      <c r="A658" s="198">
        <v>2027</v>
      </c>
      <c r="B658" s="197" t="s">
        <v>5842</v>
      </c>
      <c r="C658" s="197">
        <v>1981</v>
      </c>
      <c r="D658" s="213" t="str">
        <f t="shared" si="8"/>
        <v>2027_1981</v>
      </c>
      <c r="E658" s="1268">
        <v>0.22496218424721801</v>
      </c>
      <c r="F658" s="1279">
        <v>2.50612862399807</v>
      </c>
      <c r="G658" s="1255">
        <v>5.2439928307612398</v>
      </c>
      <c r="H658" s="1279">
        <v>4.4302504566508603</v>
      </c>
      <c r="I658" s="1255">
        <v>0.169561842047499</v>
      </c>
      <c r="J658" s="1279">
        <v>1.64515126849662E-2</v>
      </c>
      <c r="K658" s="1255">
        <v>3.0000008610313001E-3</v>
      </c>
      <c r="L658" s="1253">
        <v>2.0000005744510701E-3</v>
      </c>
      <c r="M658" s="1273">
        <v>2.0000005744510701E-3</v>
      </c>
      <c r="N658" s="1255">
        <v>3.1850009128239903E-2</v>
      </c>
      <c r="O658" s="1256">
        <v>3.1850009128239903E-2</v>
      </c>
      <c r="P658" s="1251">
        <v>1.5925004564119952E-2</v>
      </c>
      <c r="Q658" s="1254">
        <v>0.17722867612535601</v>
      </c>
    </row>
    <row r="659" spans="1:17" s="212" customFormat="1" ht="15.5" x14ac:dyDescent="0.35">
      <c r="A659" s="198">
        <v>2027</v>
      </c>
      <c r="B659" s="197" t="s">
        <v>5842</v>
      </c>
      <c r="C659" s="197">
        <v>1982</v>
      </c>
      <c r="D659" s="213" t="str">
        <f t="shared" si="8"/>
        <v>2027_1982</v>
      </c>
      <c r="E659" s="1268">
        <v>0.22496218424721801</v>
      </c>
      <c r="F659" s="1279">
        <v>2.50612862399807</v>
      </c>
      <c r="G659" s="1255">
        <v>5.2439928307612398</v>
      </c>
      <c r="H659" s="1279">
        <v>4.4302504566508603</v>
      </c>
      <c r="I659" s="1255">
        <v>0.169561842047499</v>
      </c>
      <c r="J659" s="1279">
        <v>1.64515126849662E-2</v>
      </c>
      <c r="K659" s="1255">
        <v>3.0000008610313001E-3</v>
      </c>
      <c r="L659" s="1253">
        <v>2.0000005744510701E-3</v>
      </c>
      <c r="M659" s="1273">
        <v>2.0000005744510701E-3</v>
      </c>
      <c r="N659" s="1255">
        <v>3.1850009128239903E-2</v>
      </c>
      <c r="O659" s="1256">
        <v>3.1850009128239903E-2</v>
      </c>
      <c r="P659" s="1251">
        <v>1.5925004564119952E-2</v>
      </c>
      <c r="Q659" s="1254">
        <v>0.17722867612535601</v>
      </c>
    </row>
    <row r="660" spans="1:17" s="212" customFormat="1" ht="15.5" x14ac:dyDescent="0.35">
      <c r="A660" s="198">
        <v>2027</v>
      </c>
      <c r="B660" s="197" t="s">
        <v>5842</v>
      </c>
      <c r="C660" s="197">
        <v>1983</v>
      </c>
      <c r="D660" s="213" t="str">
        <f t="shared" si="8"/>
        <v>2027_1983</v>
      </c>
      <c r="E660" s="1267">
        <v>0.22496218424721801</v>
      </c>
      <c r="F660" s="1278">
        <v>2.50612862399807</v>
      </c>
      <c r="G660" s="1248">
        <v>5.2439928307612398</v>
      </c>
      <c r="H660" s="1278">
        <v>4.4302504566508603</v>
      </c>
      <c r="I660" s="1248">
        <v>0.169561842047499</v>
      </c>
      <c r="J660" s="1278">
        <v>1.64515126849662E-2</v>
      </c>
      <c r="K660" s="1248">
        <v>3.0000008610313001E-3</v>
      </c>
      <c r="L660" s="1250">
        <v>2.0000005744510701E-3</v>
      </c>
      <c r="M660" s="1273">
        <v>2.0000005744510701E-3</v>
      </c>
      <c r="N660" s="1248">
        <v>3.1850009128239903E-2</v>
      </c>
      <c r="O660" s="1249">
        <v>3.1850009128239903E-2</v>
      </c>
      <c r="P660" s="1251">
        <v>1.5925004564119952E-2</v>
      </c>
      <c r="Q660" s="1252">
        <v>0.17722867612535601</v>
      </c>
    </row>
    <row r="661" spans="1:17" s="212" customFormat="1" ht="15.5" x14ac:dyDescent="0.35">
      <c r="A661" s="198">
        <v>2027</v>
      </c>
      <c r="B661" s="197" t="s">
        <v>5842</v>
      </c>
      <c r="C661" s="197">
        <v>1984</v>
      </c>
      <c r="D661" s="213" t="str">
        <f t="shared" si="8"/>
        <v>2027_1984</v>
      </c>
      <c r="E661" s="1267">
        <v>0.234137263639111</v>
      </c>
      <c r="F661" s="1278">
        <v>1.69717645568438</v>
      </c>
      <c r="G661" s="1248">
        <v>5.1036592199247899</v>
      </c>
      <c r="H661" s="1278">
        <v>3.61873147682314</v>
      </c>
      <c r="I661" s="1248">
        <v>0.176477419293635</v>
      </c>
      <c r="J661" s="1278">
        <v>1.5972757581285999E-2</v>
      </c>
      <c r="K661" s="1248">
        <v>3.0000008615312301E-3</v>
      </c>
      <c r="L661" s="1250">
        <v>2.0000005743055298E-3</v>
      </c>
      <c r="M661" s="1273">
        <v>2.0000005743055298E-3</v>
      </c>
      <c r="N661" s="1248">
        <v>3.1850009128239903E-2</v>
      </c>
      <c r="O661" s="1249">
        <v>3.1850009128239903E-2</v>
      </c>
      <c r="P661" s="1251">
        <v>1.5925004564119952E-2</v>
      </c>
      <c r="Q661" s="1252">
        <v>0.184456945087144</v>
      </c>
    </row>
    <row r="662" spans="1:17" s="212" customFormat="1" ht="15.5" x14ac:dyDescent="0.35">
      <c r="A662" s="198">
        <v>2027</v>
      </c>
      <c r="B662" s="197" t="s">
        <v>5842</v>
      </c>
      <c r="C662" s="197">
        <v>1985</v>
      </c>
      <c r="D662" s="213" t="str">
        <f t="shared" si="8"/>
        <v>2027_1985</v>
      </c>
      <c r="E662" s="1267">
        <v>0.23464649969676299</v>
      </c>
      <c r="F662" s="1278">
        <v>2.0479545256035201</v>
      </c>
      <c r="G662" s="1248">
        <v>5.0846975147057396</v>
      </c>
      <c r="H662" s="1278">
        <v>3.97373459892653</v>
      </c>
      <c r="I662" s="1248">
        <v>0.17686124826587599</v>
      </c>
      <c r="J662" s="1278">
        <v>1.5479038618070999E-2</v>
      </c>
      <c r="K662" s="1248">
        <v>3.00000086152031E-3</v>
      </c>
      <c r="L662" s="1250">
        <v>2.0000005741225299E-3</v>
      </c>
      <c r="M662" s="1273">
        <v>2.0000005741225299E-3</v>
      </c>
      <c r="N662" s="1248">
        <v>3.1850009128239903E-2</v>
      </c>
      <c r="O662" s="1249">
        <v>3.1850009128239903E-2</v>
      </c>
      <c r="P662" s="1251">
        <v>1.5925004564119952E-2</v>
      </c>
      <c r="Q662" s="1252">
        <v>0.18485812910229299</v>
      </c>
    </row>
    <row r="663" spans="1:17" s="212" customFormat="1" ht="15.5" x14ac:dyDescent="0.35">
      <c r="A663" s="198">
        <v>2027</v>
      </c>
      <c r="B663" s="197" t="s">
        <v>5842</v>
      </c>
      <c r="C663" s="197">
        <v>1986</v>
      </c>
      <c r="D663" s="213" t="str">
        <f t="shared" si="8"/>
        <v>2027_1986</v>
      </c>
      <c r="E663" s="1267">
        <v>0.22749937743104801</v>
      </c>
      <c r="F663" s="1278">
        <v>1.60843212965906</v>
      </c>
      <c r="G663" s="1248">
        <v>5.1988224580829101</v>
      </c>
      <c r="H663" s="1278">
        <v>4.3104914801229297</v>
      </c>
      <c r="I663" s="1248">
        <v>0.17147421301473501</v>
      </c>
      <c r="J663" s="1278">
        <v>1.53846194328326E-2</v>
      </c>
      <c r="K663" s="1248">
        <v>3.0000008612392098E-3</v>
      </c>
      <c r="L663" s="1250">
        <v>2.0000005740753398E-3</v>
      </c>
      <c r="M663" s="1273">
        <v>2.0000005740753398E-3</v>
      </c>
      <c r="N663" s="1248">
        <v>3.1850009128239903E-2</v>
      </c>
      <c r="O663" s="1249">
        <v>3.1850009128239903E-2</v>
      </c>
      <c r="P663" s="1251">
        <v>1.5925004564119952E-2</v>
      </c>
      <c r="Q663" s="1252">
        <v>0.179227516021711</v>
      </c>
    </row>
    <row r="664" spans="1:17" s="212" customFormat="1" ht="15.5" x14ac:dyDescent="0.35">
      <c r="A664" s="198">
        <v>2027</v>
      </c>
      <c r="B664" s="197" t="s">
        <v>5842</v>
      </c>
      <c r="C664" s="197">
        <v>1987</v>
      </c>
      <c r="D664" s="213" t="str">
        <f t="shared" si="8"/>
        <v>2027_1987</v>
      </c>
      <c r="E664" s="1267">
        <v>0.28318986013012198</v>
      </c>
      <c r="F664" s="1278">
        <v>2.0087159126637402</v>
      </c>
      <c r="G664" s="1248">
        <v>5.3394598061019902</v>
      </c>
      <c r="H664" s="1278">
        <v>4.5063176990579699</v>
      </c>
      <c r="I664" s="1248">
        <v>0.19286292473289901</v>
      </c>
      <c r="J664" s="1278">
        <v>1.5328535209289101E-2</v>
      </c>
      <c r="K664" s="1248">
        <v>3.0000008612039702E-3</v>
      </c>
      <c r="L664" s="1250">
        <v>2.00000057416289E-3</v>
      </c>
      <c r="M664" s="1273">
        <v>2.00000057416289E-3</v>
      </c>
      <c r="N664" s="1248">
        <v>3.1850009128239903E-2</v>
      </c>
      <c r="O664" s="1249">
        <v>3.1850009128239903E-2</v>
      </c>
      <c r="P664" s="1251">
        <v>1.5925004564119952E-2</v>
      </c>
      <c r="Q664" s="1252">
        <v>0.20158333037276799</v>
      </c>
    </row>
    <row r="665" spans="1:17" s="212" customFormat="1" ht="15.5" x14ac:dyDescent="0.35">
      <c r="A665" s="198">
        <v>2027</v>
      </c>
      <c r="B665" s="197" t="s">
        <v>5842</v>
      </c>
      <c r="C665" s="197">
        <v>1988</v>
      </c>
      <c r="D665" s="213" t="str">
        <f t="shared" si="8"/>
        <v>2027_1988</v>
      </c>
      <c r="E665" s="1267">
        <v>0.27845366223187601</v>
      </c>
      <c r="F665" s="1278">
        <v>0.48400308572289202</v>
      </c>
      <c r="G665" s="1248">
        <v>5.3807407759638801</v>
      </c>
      <c r="H665" s="1278">
        <v>1.21477211136763</v>
      </c>
      <c r="I665" s="1248">
        <v>0.18963739618343101</v>
      </c>
      <c r="J665" s="1278">
        <v>1.37347371410551E-2</v>
      </c>
      <c r="K665" s="1248">
        <v>3.0000008610283398E-3</v>
      </c>
      <c r="L665" s="1250">
        <v>2.0000005741477901E-3</v>
      </c>
      <c r="M665" s="1273">
        <v>2.0000005741477901E-3</v>
      </c>
      <c r="N665" s="1248">
        <v>3.1850009128239903E-2</v>
      </c>
      <c r="O665" s="1249">
        <v>3.1850009128239903E-2</v>
      </c>
      <c r="P665" s="1251">
        <v>1.5925004564119952E-2</v>
      </c>
      <c r="Q665" s="1252">
        <v>0.19821195773536401</v>
      </c>
    </row>
    <row r="666" spans="1:17" s="212" customFormat="1" ht="15.5" x14ac:dyDescent="0.35">
      <c r="A666" s="198">
        <v>2027</v>
      </c>
      <c r="B666" s="197" t="s">
        <v>5842</v>
      </c>
      <c r="C666" s="197">
        <v>1989</v>
      </c>
      <c r="D666" s="213" t="str">
        <f t="shared" si="8"/>
        <v>2027_1989</v>
      </c>
      <c r="E666" s="1267">
        <v>0.279842773101044</v>
      </c>
      <c r="F666" s="1278">
        <v>0.32756360334844897</v>
      </c>
      <c r="G666" s="1248">
        <v>5.3788182958372204</v>
      </c>
      <c r="H666" s="1278">
        <v>1.64204254413155</v>
      </c>
      <c r="I666" s="1248">
        <v>0.19058343282783299</v>
      </c>
      <c r="J666" s="1278">
        <v>1.34098755423669E-2</v>
      </c>
      <c r="K666" s="1248">
        <v>3.0000008611500298E-3</v>
      </c>
      <c r="L666" s="1250">
        <v>2.0000005740713998E-3</v>
      </c>
      <c r="M666" s="1273">
        <v>2.0000005740713998E-3</v>
      </c>
      <c r="N666" s="1248">
        <v>3.1850009128239903E-2</v>
      </c>
      <c r="O666" s="1249">
        <v>3.1850009128239903E-2</v>
      </c>
      <c r="P666" s="1251">
        <v>1.5925004564119952E-2</v>
      </c>
      <c r="Q666" s="1252">
        <v>0.19920076995885</v>
      </c>
    </row>
    <row r="667" spans="1:17" s="212" customFormat="1" ht="15.5" x14ac:dyDescent="0.35">
      <c r="A667" s="198">
        <v>2027</v>
      </c>
      <c r="B667" s="197" t="s">
        <v>5842</v>
      </c>
      <c r="C667" s="197">
        <v>1990</v>
      </c>
      <c r="D667" s="213" t="str">
        <f t="shared" si="8"/>
        <v>2027_1990</v>
      </c>
      <c r="E667" s="1267">
        <v>0.28057789712381098</v>
      </c>
      <c r="F667" s="1278">
        <v>0.44666370288013002</v>
      </c>
      <c r="G667" s="1248">
        <v>5.3728505497560803</v>
      </c>
      <c r="H667" s="1278">
        <v>1.6618901511584701</v>
      </c>
      <c r="I667" s="1248">
        <v>0.191084079881393</v>
      </c>
      <c r="J667" s="1278">
        <v>1.39703554366557E-2</v>
      </c>
      <c r="K667" s="1248">
        <v>3.0000008611344199E-3</v>
      </c>
      <c r="L667" s="1250">
        <v>2.0000005742079E-3</v>
      </c>
      <c r="M667" s="1273">
        <v>2.0000005742079E-3</v>
      </c>
      <c r="N667" s="1248">
        <v>3.1850009128239903E-2</v>
      </c>
      <c r="O667" s="1249">
        <v>3.1850009128239903E-2</v>
      </c>
      <c r="P667" s="1251">
        <v>1.5925004564119952E-2</v>
      </c>
      <c r="Q667" s="1252">
        <v>0.19972405405058299</v>
      </c>
    </row>
    <row r="668" spans="1:17" s="212" customFormat="1" ht="15.5" x14ac:dyDescent="0.35">
      <c r="A668" s="198">
        <v>2027</v>
      </c>
      <c r="B668" s="197" t="s">
        <v>5842</v>
      </c>
      <c r="C668" s="197">
        <v>1991</v>
      </c>
      <c r="D668" s="213" t="str">
        <f t="shared" si="8"/>
        <v>2027_1991</v>
      </c>
      <c r="E668" s="1267">
        <v>0.36894909354767602</v>
      </c>
      <c r="F668" s="1278">
        <v>0.46417626749775598</v>
      </c>
      <c r="G668" s="1248">
        <v>9.34448253395081</v>
      </c>
      <c r="H668" s="1278">
        <v>2.9035459498154501</v>
      </c>
      <c r="I668" s="1248">
        <v>5.2288678566211097E-2</v>
      </c>
      <c r="J668" s="1278">
        <v>7.4505035358335397E-3</v>
      </c>
      <c r="K668" s="1248">
        <v>3.00000086129732E-3</v>
      </c>
      <c r="L668" s="1250">
        <v>2.0000005740655998E-3</v>
      </c>
      <c r="M668" s="1273">
        <v>2.0000005740655998E-3</v>
      </c>
      <c r="N668" s="1248">
        <v>3.1850009128239903E-2</v>
      </c>
      <c r="O668" s="1249">
        <v>3.1850009128239903E-2</v>
      </c>
      <c r="P668" s="1251">
        <v>1.5925004564119952E-2</v>
      </c>
      <c r="Q668" s="1252">
        <v>5.4652940583400401E-2</v>
      </c>
    </row>
    <row r="669" spans="1:17" s="212" customFormat="1" ht="15.5" x14ac:dyDescent="0.35">
      <c r="A669" s="198">
        <v>2027</v>
      </c>
      <c r="B669" s="197" t="s">
        <v>5842</v>
      </c>
      <c r="C669" s="197">
        <v>1992</v>
      </c>
      <c r="D669" s="213" t="str">
        <f t="shared" si="8"/>
        <v>2027_1992</v>
      </c>
      <c r="E669" s="1267">
        <v>0.36978079448821499</v>
      </c>
      <c r="F669" s="1278">
        <v>0.46812945679913898</v>
      </c>
      <c r="G669" s="1248">
        <v>9.3352235431758697</v>
      </c>
      <c r="H669" s="1278">
        <v>2.9084387828763298</v>
      </c>
      <c r="I669" s="1248">
        <v>5.2406549957965697E-2</v>
      </c>
      <c r="J669" s="1278">
        <v>7.5436666113039303E-3</v>
      </c>
      <c r="K669" s="1248">
        <v>3.00000086127885E-3</v>
      </c>
      <c r="L669" s="1250">
        <v>2.0000005741388702E-3</v>
      </c>
      <c r="M669" s="1273">
        <v>2.0000005741388702E-3</v>
      </c>
      <c r="N669" s="1248">
        <v>3.1850009128239903E-2</v>
      </c>
      <c r="O669" s="1249">
        <v>3.1850009128239903E-2</v>
      </c>
      <c r="P669" s="1251">
        <v>1.5925004564119952E-2</v>
      </c>
      <c r="Q669" s="1252">
        <v>5.4776141596443603E-2</v>
      </c>
    </row>
    <row r="670" spans="1:17" s="212" customFormat="1" ht="15.5" x14ac:dyDescent="0.35">
      <c r="A670" s="198">
        <v>2027</v>
      </c>
      <c r="B670" s="197" t="s">
        <v>5842</v>
      </c>
      <c r="C670" s="197">
        <v>1993</v>
      </c>
      <c r="D670" s="213" t="str">
        <f t="shared" si="8"/>
        <v>2027_1993</v>
      </c>
      <c r="E670" s="1267">
        <v>0.37163582307579301</v>
      </c>
      <c r="F670" s="1278">
        <v>0.45884968412021199</v>
      </c>
      <c r="G670" s="1248">
        <v>9.3021243717853999</v>
      </c>
      <c r="H670" s="1278">
        <v>2.88892619741029</v>
      </c>
      <c r="I670" s="1248">
        <v>5.2669450708349302E-2</v>
      </c>
      <c r="J670" s="1278">
        <v>7.42255259674091E-3</v>
      </c>
      <c r="K670" s="1248">
        <v>3.00000086133974E-3</v>
      </c>
      <c r="L670" s="1250">
        <v>2.0000005740660799E-3</v>
      </c>
      <c r="M670" s="1273">
        <v>2.0000005740660799E-3</v>
      </c>
      <c r="N670" s="1248">
        <v>3.1850009128239903E-2</v>
      </c>
      <c r="O670" s="1249">
        <v>3.1850009128239903E-2</v>
      </c>
      <c r="P670" s="1251">
        <v>1.5925004564119952E-2</v>
      </c>
      <c r="Q670" s="1252">
        <v>5.5050929552154799E-2</v>
      </c>
    </row>
    <row r="671" spans="1:17" s="212" customFormat="1" ht="15.5" x14ac:dyDescent="0.35">
      <c r="A671" s="198">
        <v>2027</v>
      </c>
      <c r="B671" s="197" t="s">
        <v>5842</v>
      </c>
      <c r="C671" s="197">
        <v>1994</v>
      </c>
      <c r="D671" s="213" t="str">
        <f t="shared" si="8"/>
        <v>2027_1994</v>
      </c>
      <c r="E671" s="1267">
        <v>0.36561394505490302</v>
      </c>
      <c r="F671" s="1278">
        <v>0.45517564526741999</v>
      </c>
      <c r="G671" s="1248">
        <v>9.3954359135448495</v>
      </c>
      <c r="H671" s="1278">
        <v>2.87988178961603</v>
      </c>
      <c r="I671" s="1248">
        <v>5.2351665536468903E-2</v>
      </c>
      <c r="J671" s="1278">
        <v>7.3861980374168102E-3</v>
      </c>
      <c r="K671" s="1248">
        <v>3.0000008612562699E-3</v>
      </c>
      <c r="L671" s="1250">
        <v>2.00000057405215E-3</v>
      </c>
      <c r="M671" s="1273">
        <v>2.00000057405215E-3</v>
      </c>
      <c r="N671" s="1248">
        <v>3.1850009128239903E-2</v>
      </c>
      <c r="O671" s="1249">
        <v>3.1850009128239903E-2</v>
      </c>
      <c r="P671" s="1251">
        <v>1.5925004564119952E-2</v>
      </c>
      <c r="Q671" s="1252">
        <v>5.4718775544952802E-2</v>
      </c>
    </row>
    <row r="672" spans="1:17" s="212" customFormat="1" ht="15.5" x14ac:dyDescent="0.35">
      <c r="A672" s="198">
        <v>2027</v>
      </c>
      <c r="B672" s="197" t="s">
        <v>5842</v>
      </c>
      <c r="C672" s="197">
        <v>1995</v>
      </c>
      <c r="D672" s="213" t="str">
        <f t="shared" si="8"/>
        <v>2027_1995</v>
      </c>
      <c r="E672" s="1267">
        <v>0.36776695196339498</v>
      </c>
      <c r="F672" s="1278">
        <v>0.244360467504216</v>
      </c>
      <c r="G672" s="1248">
        <v>9.38062117122122</v>
      </c>
      <c r="H672" s="1278">
        <v>1.6461349812231001</v>
      </c>
      <c r="I672" s="1248">
        <v>5.2659951090385897E-2</v>
      </c>
      <c r="J672" s="1278">
        <v>4.8510304188229903E-3</v>
      </c>
      <c r="K672" s="1248">
        <v>3.0000008612510801E-3</v>
      </c>
      <c r="L672" s="1250">
        <v>2.00000057412062E-3</v>
      </c>
      <c r="M672" s="1273">
        <v>2.00000057412062E-3</v>
      </c>
      <c r="N672" s="1248">
        <v>3.1850009128239903E-2</v>
      </c>
      <c r="O672" s="1249">
        <v>3.1850009128239903E-2</v>
      </c>
      <c r="P672" s="1251">
        <v>1.5925004564119952E-2</v>
      </c>
      <c r="Q672" s="1252">
        <v>5.5041000403621101E-2</v>
      </c>
    </row>
    <row r="673" spans="1:17" s="212" customFormat="1" ht="15.5" x14ac:dyDescent="0.35">
      <c r="A673" s="198">
        <v>2027</v>
      </c>
      <c r="B673" s="197" t="s">
        <v>5842</v>
      </c>
      <c r="C673" s="197">
        <v>1996</v>
      </c>
      <c r="D673" s="213" t="str">
        <f t="shared" si="8"/>
        <v>2027_1996</v>
      </c>
      <c r="E673" s="1267">
        <v>0.36920505605714199</v>
      </c>
      <c r="F673" s="1278">
        <v>2.2370300459225001E-2</v>
      </c>
      <c r="G673" s="1248">
        <v>9.3563240751877998</v>
      </c>
      <c r="H673" s="1278">
        <v>0.39319884314089099</v>
      </c>
      <c r="I673" s="1248">
        <v>5.2865870874192797E-2</v>
      </c>
      <c r="J673" s="1278">
        <v>2.18078984137014E-3</v>
      </c>
      <c r="K673" s="1248">
        <v>3.0000008612866402E-3</v>
      </c>
      <c r="L673" s="1250">
        <v>2.00000057413516E-3</v>
      </c>
      <c r="M673" s="1273">
        <v>2.00000057413516E-3</v>
      </c>
      <c r="N673" s="1248">
        <v>3.1850009128239903E-2</v>
      </c>
      <c r="O673" s="1249">
        <v>3.1850009128239903E-2</v>
      </c>
      <c r="P673" s="1251">
        <v>1.5925004564119952E-2</v>
      </c>
      <c r="Q673" s="1252">
        <v>5.5256230966296199E-2</v>
      </c>
    </row>
    <row r="674" spans="1:17" s="212" customFormat="1" ht="15.5" x14ac:dyDescent="0.35">
      <c r="A674" s="198">
        <v>2027</v>
      </c>
      <c r="B674" s="197" t="s">
        <v>5842</v>
      </c>
      <c r="C674" s="197">
        <v>1997</v>
      </c>
      <c r="D674" s="213" t="str">
        <f t="shared" si="8"/>
        <v>2027_1997</v>
      </c>
      <c r="E674" s="1267">
        <v>0.37103821117007701</v>
      </c>
      <c r="F674" s="1278">
        <v>2.1484293795237201E-2</v>
      </c>
      <c r="G674" s="1248">
        <v>9.3119643489409398</v>
      </c>
      <c r="H674" s="1278">
        <v>0.38776417815789299</v>
      </c>
      <c r="I674" s="1248">
        <v>5.31283573702548E-2</v>
      </c>
      <c r="J674" s="1278">
        <v>2.0983853929999602E-3</v>
      </c>
      <c r="K674" s="1248">
        <v>3.00000086128689E-3</v>
      </c>
      <c r="L674" s="1250">
        <v>2.0000005740522901E-3</v>
      </c>
      <c r="M674" s="1273">
        <v>2.0000005740522901E-3</v>
      </c>
      <c r="N674" s="1248">
        <v>3.1850009128239903E-2</v>
      </c>
      <c r="O674" s="1249">
        <v>3.1850009128239903E-2</v>
      </c>
      <c r="P674" s="1251">
        <v>1.5925004564119952E-2</v>
      </c>
      <c r="Q674" s="1252">
        <v>5.5530585936943502E-2</v>
      </c>
    </row>
    <row r="675" spans="1:17" s="212" customFormat="1" ht="15.5" x14ac:dyDescent="0.35">
      <c r="A675" s="198">
        <v>2027</v>
      </c>
      <c r="B675" s="197" t="s">
        <v>5842</v>
      </c>
      <c r="C675" s="197">
        <v>1998</v>
      </c>
      <c r="D675" s="213" t="str">
        <f t="shared" si="8"/>
        <v>2027_1998</v>
      </c>
      <c r="E675" s="1267">
        <v>0.372622628705854</v>
      </c>
      <c r="F675" s="1278">
        <v>2.17728858187318E-2</v>
      </c>
      <c r="G675" s="1248">
        <v>9.2993666474167807</v>
      </c>
      <c r="H675" s="1278">
        <v>0.38980266021760701</v>
      </c>
      <c r="I675" s="1248">
        <v>5.3355227537613098E-2</v>
      </c>
      <c r="J675" s="1278">
        <v>2.1294504519338798E-3</v>
      </c>
      <c r="K675" s="1248">
        <v>3.0000008613690998E-3</v>
      </c>
      <c r="L675" s="1250">
        <v>2.0000005740944001E-3</v>
      </c>
      <c r="M675" s="1273">
        <v>2.0000005740944001E-3</v>
      </c>
      <c r="N675" s="1248">
        <v>3.1850009128239903E-2</v>
      </c>
      <c r="O675" s="1249">
        <v>3.1850009128239903E-2</v>
      </c>
      <c r="P675" s="1251">
        <v>1.5925004564119952E-2</v>
      </c>
      <c r="Q675" s="1252">
        <v>5.5767714166548202E-2</v>
      </c>
    </row>
    <row r="676" spans="1:17" s="212" customFormat="1" ht="15.5" x14ac:dyDescent="0.35">
      <c r="A676" s="198">
        <v>2027</v>
      </c>
      <c r="B676" s="197" t="s">
        <v>5842</v>
      </c>
      <c r="C676" s="197">
        <v>1999</v>
      </c>
      <c r="D676" s="213" t="str">
        <f t="shared" si="8"/>
        <v>2027_1999</v>
      </c>
      <c r="E676" s="1267">
        <v>0.37051575057620001</v>
      </c>
      <c r="F676" s="1278">
        <v>2.1818845157248301E-2</v>
      </c>
      <c r="G676" s="1248">
        <v>9.3312363685859996</v>
      </c>
      <c r="H676" s="1278">
        <v>0.39008422711930502</v>
      </c>
      <c r="I676" s="1248">
        <v>5.3053547088435501E-2</v>
      </c>
      <c r="J676" s="1278">
        <v>2.12921177203001E-3</v>
      </c>
      <c r="K676" s="1248">
        <v>3.0000008613340701E-3</v>
      </c>
      <c r="L676" s="1250">
        <v>2.0000005741088998E-3</v>
      </c>
      <c r="M676" s="1273">
        <v>2.0000005741088998E-3</v>
      </c>
      <c r="N676" s="1248">
        <v>3.1850009128239903E-2</v>
      </c>
      <c r="O676" s="1249">
        <v>3.1850009128239903E-2</v>
      </c>
      <c r="P676" s="1251">
        <v>1.5925004564119952E-2</v>
      </c>
      <c r="Q676" s="1252">
        <v>5.5452393066146001E-2</v>
      </c>
    </row>
    <row r="677" spans="1:17" s="212" customFormat="1" ht="15.5" x14ac:dyDescent="0.35">
      <c r="A677" s="198">
        <v>2027</v>
      </c>
      <c r="B677" s="197" t="s">
        <v>5842</v>
      </c>
      <c r="C677" s="197">
        <v>2000</v>
      </c>
      <c r="D677" s="213" t="str">
        <f t="shared" si="8"/>
        <v>2027_2000</v>
      </c>
      <c r="E677" s="1267">
        <v>0.36679183127138898</v>
      </c>
      <c r="F677" s="1278">
        <v>2.2112723281492601E-2</v>
      </c>
      <c r="G677" s="1248">
        <v>9.4078741751725303</v>
      </c>
      <c r="H677" s="1278">
        <v>0.39263688489342302</v>
      </c>
      <c r="I677" s="1248">
        <v>5.2520325146091298E-2</v>
      </c>
      <c r="J677" s="1278">
        <v>2.1612106364195301E-3</v>
      </c>
      <c r="K677" s="1248">
        <v>3.0000008612514899E-3</v>
      </c>
      <c r="L677" s="1250">
        <v>2.0000005741487299E-3</v>
      </c>
      <c r="M677" s="1273">
        <v>2.0000005741487299E-3</v>
      </c>
      <c r="N677" s="1248">
        <v>3.1850009128239903E-2</v>
      </c>
      <c r="O677" s="1249">
        <v>3.1850009128239903E-2</v>
      </c>
      <c r="P677" s="1251">
        <v>1.5925004564119952E-2</v>
      </c>
      <c r="Q677" s="1252">
        <v>5.48950611937064E-2</v>
      </c>
    </row>
    <row r="678" spans="1:17" s="212" customFormat="1" ht="15.5" x14ac:dyDescent="0.35">
      <c r="A678" s="198">
        <v>2027</v>
      </c>
      <c r="B678" s="197" t="s">
        <v>5842</v>
      </c>
      <c r="C678" s="197">
        <v>2001</v>
      </c>
      <c r="D678" s="213" t="str">
        <f t="shared" si="8"/>
        <v>2027_2001</v>
      </c>
      <c r="E678" s="1267">
        <v>0.37025567529496201</v>
      </c>
      <c r="F678" s="1278">
        <v>2.2197315201570901E-2</v>
      </c>
      <c r="G678" s="1248">
        <v>9.33680905390265</v>
      </c>
      <c r="H678" s="1278">
        <v>0.39390019258429898</v>
      </c>
      <c r="I678" s="1248">
        <v>5.3016307332343401E-2</v>
      </c>
      <c r="J678" s="1278">
        <v>2.17200603171233E-3</v>
      </c>
      <c r="K678" s="1248">
        <v>3.0000008613321602E-3</v>
      </c>
      <c r="L678" s="1250">
        <v>2.0000005741769898E-3</v>
      </c>
      <c r="M678" s="1273">
        <v>2.0000005741769898E-3</v>
      </c>
      <c r="N678" s="1248">
        <v>3.1850009128239903E-2</v>
      </c>
      <c r="O678" s="1249">
        <v>3.1850009128239903E-2</v>
      </c>
      <c r="P678" s="1251">
        <v>1.5925004564119952E-2</v>
      </c>
      <c r="Q678" s="1252">
        <v>5.54134694935325E-2</v>
      </c>
    </row>
    <row r="679" spans="1:17" s="212" customFormat="1" ht="15.5" x14ac:dyDescent="0.35">
      <c r="A679" s="198">
        <v>2027</v>
      </c>
      <c r="B679" s="197" t="s">
        <v>5842</v>
      </c>
      <c r="C679" s="197">
        <v>2002</v>
      </c>
      <c r="D679" s="213" t="str">
        <f t="shared" si="8"/>
        <v>2027_2002</v>
      </c>
      <c r="E679" s="1267">
        <v>0.28708445597424798</v>
      </c>
      <c r="F679" s="1278">
        <v>2.2129448319120799E-2</v>
      </c>
      <c r="G679" s="1248">
        <v>7.1948532310298896</v>
      </c>
      <c r="H679" s="1278">
        <v>0.31750289747774402</v>
      </c>
      <c r="I679" s="1248">
        <v>5.3511942041189697E-2</v>
      </c>
      <c r="J679" s="1278">
        <v>2.1693972761451601E-3</v>
      </c>
      <c r="K679" s="1248">
        <v>3.0000008613458901E-3</v>
      </c>
      <c r="L679" s="1250">
        <v>2.00000057415176E-3</v>
      </c>
      <c r="M679" s="1273">
        <v>2.00000057415176E-3</v>
      </c>
      <c r="N679" s="1248">
        <v>3.1850009128239903E-2</v>
      </c>
      <c r="O679" s="1249">
        <v>3.1850009128239903E-2</v>
      </c>
      <c r="P679" s="1251">
        <v>1.5925004564119952E-2</v>
      </c>
      <c r="Q679" s="1252">
        <v>5.5931514604566301E-2</v>
      </c>
    </row>
    <row r="680" spans="1:17" s="212" customFormat="1" ht="15.5" x14ac:dyDescent="0.35">
      <c r="A680" s="198">
        <v>2027</v>
      </c>
      <c r="B680" s="197" t="s">
        <v>5842</v>
      </c>
      <c r="C680" s="197">
        <v>2003</v>
      </c>
      <c r="D680" s="213" t="str">
        <f t="shared" si="8"/>
        <v>2027_2003</v>
      </c>
      <c r="E680" s="1267">
        <v>0.284522419285969</v>
      </c>
      <c r="F680" s="1278">
        <v>2.1822591871242601E-2</v>
      </c>
      <c r="G680" s="1248">
        <v>7.2386342334620997</v>
      </c>
      <c r="H680" s="1278">
        <v>0.31680735202780103</v>
      </c>
      <c r="I680" s="1248">
        <v>5.3034383762022901E-2</v>
      </c>
      <c r="J680" s="1278">
        <v>2.1382639555091701E-3</v>
      </c>
      <c r="K680" s="1248">
        <v>3.00000086127062E-3</v>
      </c>
      <c r="L680" s="1250">
        <v>2.00000057413775E-3</v>
      </c>
      <c r="M680" s="1273">
        <v>2.00000057413775E-3</v>
      </c>
      <c r="N680" s="1248">
        <v>3.1850009128239903E-2</v>
      </c>
      <c r="O680" s="1249">
        <v>3.1850009128239903E-2</v>
      </c>
      <c r="P680" s="1251">
        <v>1.5925004564119952E-2</v>
      </c>
      <c r="Q680" s="1252">
        <v>5.5432363259149103E-2</v>
      </c>
    </row>
    <row r="681" spans="1:17" s="212" customFormat="1" ht="15.5" x14ac:dyDescent="0.35">
      <c r="A681" s="198">
        <v>2027</v>
      </c>
      <c r="B681" s="197" t="s">
        <v>5842</v>
      </c>
      <c r="C681" s="197">
        <v>2004</v>
      </c>
      <c r="D681" s="213" t="str">
        <f t="shared" si="8"/>
        <v>2027_2004</v>
      </c>
      <c r="E681" s="1267">
        <v>0.57585101225846302</v>
      </c>
      <c r="F681" s="1278">
        <v>1.4279916438861799E-2</v>
      </c>
      <c r="G681" s="1248">
        <v>4.1437475021939303</v>
      </c>
      <c r="H681" s="1278">
        <v>0.26712159117873602</v>
      </c>
      <c r="I681" s="1248">
        <v>0.15008943948567099</v>
      </c>
      <c r="J681" s="1278">
        <v>1.3903610384489499E-4</v>
      </c>
      <c r="K681" s="1248">
        <v>3.0000008612658599E-3</v>
      </c>
      <c r="L681" s="1250">
        <v>2.0000005740725101E-3</v>
      </c>
      <c r="M681" s="1273">
        <v>2.0000005740725101E-3</v>
      </c>
      <c r="N681" s="1248">
        <v>3.1850009128239903E-2</v>
      </c>
      <c r="O681" s="1249">
        <v>3.1850009128239903E-2</v>
      </c>
      <c r="P681" s="1251">
        <v>1.5925004564119952E-2</v>
      </c>
      <c r="Q681" s="1252">
        <v>0.15687581792718999</v>
      </c>
    </row>
    <row r="682" spans="1:17" s="212" customFormat="1" ht="15.5" x14ac:dyDescent="0.35">
      <c r="A682" s="198">
        <v>2027</v>
      </c>
      <c r="B682" s="197" t="s">
        <v>5842</v>
      </c>
      <c r="C682" s="197">
        <v>2005</v>
      </c>
      <c r="D682" s="213" t="str">
        <f t="shared" si="8"/>
        <v>2027_2005</v>
      </c>
      <c r="E682" s="1267">
        <v>0.57179333606021499</v>
      </c>
      <c r="F682" s="1278">
        <v>1.43073118439843E-2</v>
      </c>
      <c r="G682" s="1248">
        <v>4.1352458217751504</v>
      </c>
      <c r="H682" s="1278">
        <v>0.26718433399833003</v>
      </c>
      <c r="I682" s="1248">
        <v>0.14928936956701999</v>
      </c>
      <c r="J682" s="1278">
        <v>1.4095482589658999E-4</v>
      </c>
      <c r="K682" s="1248">
        <v>3.0000008612405199E-3</v>
      </c>
      <c r="L682" s="1250">
        <v>2.0000005741109901E-3</v>
      </c>
      <c r="M682" s="1273">
        <v>2.0000005741109901E-3</v>
      </c>
      <c r="N682" s="1248">
        <v>3.1850009128239903E-2</v>
      </c>
      <c r="O682" s="1249">
        <v>3.1850009128239903E-2</v>
      </c>
      <c r="P682" s="1251">
        <v>1.5925004564119952E-2</v>
      </c>
      <c r="Q682" s="1252">
        <v>0.156039572397075</v>
      </c>
    </row>
    <row r="683" spans="1:17" s="212" customFormat="1" ht="15.5" x14ac:dyDescent="0.35">
      <c r="A683" s="198">
        <v>2027</v>
      </c>
      <c r="B683" s="197" t="s">
        <v>5842</v>
      </c>
      <c r="C683" s="197">
        <v>2006</v>
      </c>
      <c r="D683" s="213" t="str">
        <f t="shared" si="8"/>
        <v>2027_2006</v>
      </c>
      <c r="E683" s="1267">
        <v>0.565369055658692</v>
      </c>
      <c r="F683" s="1278">
        <v>1.4289621786307801E-2</v>
      </c>
      <c r="G683" s="1248">
        <v>4.1206260309374203</v>
      </c>
      <c r="H683" s="1278">
        <v>0.26595357879662801</v>
      </c>
      <c r="I683" s="1248">
        <v>0.148011959444805</v>
      </c>
      <c r="J683" s="1278">
        <v>1.4191555854048299E-4</v>
      </c>
      <c r="K683" s="1248">
        <v>3.0000008612267202E-3</v>
      </c>
      <c r="L683" s="1250">
        <v>2.0000005741258198E-3</v>
      </c>
      <c r="M683" s="1273">
        <v>2.0000005741258198E-3</v>
      </c>
      <c r="N683" s="1248">
        <v>3.1850009128239903E-2</v>
      </c>
      <c r="O683" s="1249">
        <v>3.1850009128239903E-2</v>
      </c>
      <c r="P683" s="1251">
        <v>1.5925004564119952E-2</v>
      </c>
      <c r="Q683" s="1252">
        <v>0.15470440345755701</v>
      </c>
    </row>
    <row r="684" spans="1:17" s="212" customFormat="1" ht="15.5" x14ac:dyDescent="0.35">
      <c r="A684" s="198">
        <v>2027</v>
      </c>
      <c r="B684" s="197" t="s">
        <v>5842</v>
      </c>
      <c r="C684" s="197">
        <v>2007</v>
      </c>
      <c r="D684" s="213" t="str">
        <f t="shared" si="8"/>
        <v>2027_2007</v>
      </c>
      <c r="E684" s="1267">
        <v>0.32802720969958998</v>
      </c>
      <c r="F684" s="1278">
        <v>1.4028204605005199E-2</v>
      </c>
      <c r="G684" s="1248">
        <v>2.4733913260517699</v>
      </c>
      <c r="H684" s="1278">
        <v>0.26497721301770899</v>
      </c>
      <c r="I684" s="1248">
        <v>8.6406848825907101E-2</v>
      </c>
      <c r="J684" s="1278">
        <v>1.4508744654982201E-4</v>
      </c>
      <c r="K684" s="1248">
        <v>3.0000008612303501E-3</v>
      </c>
      <c r="L684" s="1250">
        <v>2.0000005741822599E-3</v>
      </c>
      <c r="M684" s="1273">
        <v>2.0000005741822599E-3</v>
      </c>
      <c r="N684" s="1248">
        <v>3.1850009128239903E-2</v>
      </c>
      <c r="O684" s="1249">
        <v>3.1850009128239903E-2</v>
      </c>
      <c r="P684" s="1251">
        <v>1.5925004564119952E-2</v>
      </c>
      <c r="Q684" s="1252">
        <v>9.0313783105101603E-2</v>
      </c>
    </row>
    <row r="685" spans="1:17" s="212" customFormat="1" ht="15.5" x14ac:dyDescent="0.35">
      <c r="A685" s="198">
        <v>2027</v>
      </c>
      <c r="B685" s="197" t="s">
        <v>5842</v>
      </c>
      <c r="C685" s="197">
        <v>2008</v>
      </c>
      <c r="D685" s="213" t="str">
        <f t="shared" si="8"/>
        <v>2027_2008</v>
      </c>
      <c r="E685" s="1267">
        <v>0.33275419223805303</v>
      </c>
      <c r="F685" s="1278">
        <v>9.3821251476751705E-3</v>
      </c>
      <c r="G685" s="1248">
        <v>2.4923310057347901</v>
      </c>
      <c r="H685" s="1278">
        <v>0.15083505638395101</v>
      </c>
      <c r="I685" s="1248">
        <v>8.7398139506097997E-2</v>
      </c>
      <c r="J685" s="1278">
        <v>1.4129235364612299E-4</v>
      </c>
      <c r="K685" s="1248">
        <v>3.0000008613175299E-3</v>
      </c>
      <c r="L685" s="1250">
        <v>2.0000005742046899E-3</v>
      </c>
      <c r="M685" s="1273">
        <v>2.0000005742046899E-3</v>
      </c>
      <c r="N685" s="1248">
        <v>3.1850009128239903E-2</v>
      </c>
      <c r="O685" s="1249">
        <v>3.1850009128239903E-2</v>
      </c>
      <c r="P685" s="1251">
        <v>1.5925004564119952E-2</v>
      </c>
      <c r="Q685" s="1252">
        <v>9.1349895551063501E-2</v>
      </c>
    </row>
    <row r="686" spans="1:17" s="212" customFormat="1" ht="15.5" x14ac:dyDescent="0.35">
      <c r="A686" s="198">
        <v>2027</v>
      </c>
      <c r="B686" s="197" t="s">
        <v>5842</v>
      </c>
      <c r="C686" s="197">
        <v>2009</v>
      </c>
      <c r="D686" s="213" t="str">
        <f t="shared" si="8"/>
        <v>2027_2009</v>
      </c>
      <c r="E686" s="1267">
        <v>0.32812003215389102</v>
      </c>
      <c r="F686" s="1278">
        <v>4.5645444801602599E-3</v>
      </c>
      <c r="G686" s="1248">
        <v>2.48153294708509</v>
      </c>
      <c r="H686" s="1278">
        <v>3.9487197724348701E-2</v>
      </c>
      <c r="I686" s="1248">
        <v>8.6413401112091601E-2</v>
      </c>
      <c r="J686" s="1278">
        <v>1.2994364016477301E-4</v>
      </c>
      <c r="K686" s="1248">
        <v>3.0000008612789501E-3</v>
      </c>
      <c r="L686" s="1250">
        <v>2.0000005741484701E-3</v>
      </c>
      <c r="M686" s="1273">
        <v>2.0000005741484701E-3</v>
      </c>
      <c r="N686" s="1248">
        <v>3.1850009128239903E-2</v>
      </c>
      <c r="O686" s="1249">
        <v>3.1850009128239903E-2</v>
      </c>
      <c r="P686" s="1251">
        <v>1.5925004564119952E-2</v>
      </c>
      <c r="Q686" s="1252">
        <v>9.0320631656592001E-2</v>
      </c>
    </row>
    <row r="687" spans="1:17" s="212" customFormat="1" ht="15.5" x14ac:dyDescent="0.35">
      <c r="A687" s="198">
        <v>2027</v>
      </c>
      <c r="B687" s="197" t="s">
        <v>5842</v>
      </c>
      <c r="C687" s="197">
        <v>2010</v>
      </c>
      <c r="D687" s="213" t="str">
        <f t="shared" si="8"/>
        <v>2027_2010</v>
      </c>
      <c r="E687" s="1267">
        <v>8.7998859166979901E-2</v>
      </c>
      <c r="F687" s="1278">
        <v>4.6075942318188701E-3</v>
      </c>
      <c r="G687" s="1248">
        <v>0.78768134164714998</v>
      </c>
      <c r="H687" s="1278">
        <v>3.9357393122891202E-2</v>
      </c>
      <c r="I687" s="1248">
        <v>2.3074912835282301E-2</v>
      </c>
      <c r="J687" s="1278">
        <v>1.5872513471274299E-4</v>
      </c>
      <c r="K687" s="1248">
        <v>3.00000086132368E-3</v>
      </c>
      <c r="L687" s="1250">
        <v>2.00000057412543E-3</v>
      </c>
      <c r="M687" s="1273">
        <v>2.00000057412543E-3</v>
      </c>
      <c r="N687" s="1248">
        <v>3.1850009128239903E-2</v>
      </c>
      <c r="O687" s="1249">
        <v>3.1850009128239903E-2</v>
      </c>
      <c r="P687" s="1251">
        <v>1.5925004564119952E-2</v>
      </c>
      <c r="Q687" s="1252">
        <v>2.4118258000284599E-2</v>
      </c>
    </row>
    <row r="688" spans="1:17" s="212" customFormat="1" ht="15.5" x14ac:dyDescent="0.35">
      <c r="A688" s="198">
        <v>2027</v>
      </c>
      <c r="B688" s="197" t="s">
        <v>5842</v>
      </c>
      <c r="C688" s="197">
        <v>2011</v>
      </c>
      <c r="D688" s="213" t="str">
        <f t="shared" si="8"/>
        <v>2027_2011</v>
      </c>
      <c r="E688" s="1267">
        <v>8.6489891148078701E-2</v>
      </c>
      <c r="F688" s="1278">
        <v>4.7657021754571897E-3</v>
      </c>
      <c r="G688" s="1248">
        <v>0.77333653902058297</v>
      </c>
      <c r="H688" s="1278">
        <v>3.8908735089693398E-2</v>
      </c>
      <c r="I688" s="1248">
        <v>2.2420374663258101E-2</v>
      </c>
      <c r="J688" s="1278">
        <v>2.1701332449769201E-4</v>
      </c>
      <c r="K688" s="1248">
        <v>3.00000086129441E-3</v>
      </c>
      <c r="L688" s="1250">
        <v>2.0000005742255599E-3</v>
      </c>
      <c r="M688" s="1273">
        <v>2.0000005742255599E-3</v>
      </c>
      <c r="N688" s="1248">
        <v>3.1850009128239903E-2</v>
      </c>
      <c r="O688" s="1249">
        <v>3.1850009128239903E-2</v>
      </c>
      <c r="P688" s="1251">
        <v>1.5925004564119952E-2</v>
      </c>
      <c r="Q688" s="1252">
        <v>2.3434124516591499E-2</v>
      </c>
    </row>
    <row r="689" spans="1:17" s="212" customFormat="1" ht="15.5" x14ac:dyDescent="0.35">
      <c r="A689" s="198">
        <v>2027</v>
      </c>
      <c r="B689" s="197" t="s">
        <v>5842</v>
      </c>
      <c r="C689" s="197">
        <v>2012</v>
      </c>
      <c r="D689" s="213" t="str">
        <f t="shared" si="8"/>
        <v>2027_2012</v>
      </c>
      <c r="E689" s="1267">
        <v>8.6429682496676694E-2</v>
      </c>
      <c r="F689" s="1278">
        <v>4.7416637443955696E-3</v>
      </c>
      <c r="G689" s="1248">
        <v>0.76402092573283398</v>
      </c>
      <c r="H689" s="1278">
        <v>3.86728545496524E-2</v>
      </c>
      <c r="I689" s="1248">
        <v>2.19743523803521E-2</v>
      </c>
      <c r="J689" s="1278">
        <v>3.1687211800854201E-4</v>
      </c>
      <c r="K689" s="1248">
        <v>3.00000086135328E-3</v>
      </c>
      <c r="L689" s="1250">
        <v>2.0000005742346399E-3</v>
      </c>
      <c r="M689" s="1273">
        <v>2.0000005742346399E-3</v>
      </c>
      <c r="N689" s="1248">
        <v>3.1850009128239903E-2</v>
      </c>
      <c r="O689" s="1249">
        <v>3.1850009128239903E-2</v>
      </c>
      <c r="P689" s="1251">
        <v>1.5925004564119952E-2</v>
      </c>
      <c r="Q689" s="1252">
        <v>2.2967935085247099E-2</v>
      </c>
    </row>
    <row r="690" spans="1:17" s="212" customFormat="1" ht="15.5" x14ac:dyDescent="0.35">
      <c r="A690" s="198">
        <v>2027</v>
      </c>
      <c r="B690" s="197" t="s">
        <v>5842</v>
      </c>
      <c r="C690" s="197">
        <v>2013</v>
      </c>
      <c r="D690" s="213" t="str">
        <f t="shared" si="8"/>
        <v>2027_2013</v>
      </c>
      <c r="E690" s="1267">
        <v>8.5568100127201493E-2</v>
      </c>
      <c r="F690" s="1278">
        <v>4.7940064394721496E-3</v>
      </c>
      <c r="G690" s="1248">
        <v>0.74925831996682002</v>
      </c>
      <c r="H690" s="1278">
        <v>3.8332870239555498E-2</v>
      </c>
      <c r="I690" s="1248">
        <v>2.1323782381670001E-2</v>
      </c>
      <c r="J690" s="1278">
        <v>4.75796266820227E-4</v>
      </c>
      <c r="K690" s="1248">
        <v>3.0000008613773801E-3</v>
      </c>
      <c r="L690" s="1250">
        <v>2.0000005742714902E-3</v>
      </c>
      <c r="M690" s="1273">
        <v>2.0000005742714902E-3</v>
      </c>
      <c r="N690" s="1248">
        <v>3.1850009128239903E-2</v>
      </c>
      <c r="O690" s="1249">
        <v>3.1850009128239903E-2</v>
      </c>
      <c r="P690" s="1251">
        <v>1.5925004564119952E-2</v>
      </c>
      <c r="Q690" s="1252">
        <v>2.2287949198086202E-2</v>
      </c>
    </row>
    <row r="691" spans="1:17" s="212" customFormat="1" ht="15.5" x14ac:dyDescent="0.35">
      <c r="A691" s="198">
        <v>2027</v>
      </c>
      <c r="B691" s="197" t="s">
        <v>5842</v>
      </c>
      <c r="C691" s="197">
        <v>2014</v>
      </c>
      <c r="D691" s="213" t="str">
        <f t="shared" si="8"/>
        <v>2027_2014</v>
      </c>
      <c r="E691" s="1267">
        <v>8.3656920552334493E-2</v>
      </c>
      <c r="F691" s="1278">
        <v>4.7133781470744202E-3</v>
      </c>
      <c r="G691" s="1248">
        <v>0.730684915933418</v>
      </c>
      <c r="H691" s="1278">
        <v>3.8448161161599999E-2</v>
      </c>
      <c r="I691" s="1248">
        <v>2.04649204504616E-2</v>
      </c>
      <c r="J691" s="1278">
        <v>6.6069047887659595E-4</v>
      </c>
      <c r="K691" s="1248">
        <v>3.0000008613141199E-3</v>
      </c>
      <c r="L691" s="1250">
        <v>2.0000005742268701E-3</v>
      </c>
      <c r="M691" s="1273">
        <v>2.0000005742268701E-3</v>
      </c>
      <c r="N691" s="1248">
        <v>3.1850009128239903E-2</v>
      </c>
      <c r="O691" s="1249">
        <v>3.1850009128239903E-2</v>
      </c>
      <c r="P691" s="1251">
        <v>1.5925004564119952E-2</v>
      </c>
      <c r="Q691" s="1252">
        <v>2.1390253341491999E-2</v>
      </c>
    </row>
    <row r="692" spans="1:17" s="212" customFormat="1" ht="15.5" x14ac:dyDescent="0.35">
      <c r="A692" s="198">
        <v>2027</v>
      </c>
      <c r="B692" s="197" t="s">
        <v>5842</v>
      </c>
      <c r="C692" s="197">
        <v>2015</v>
      </c>
      <c r="D692" s="213" t="str">
        <f t="shared" si="8"/>
        <v>2027_2015</v>
      </c>
      <c r="E692" s="1267">
        <v>8.2897836209113299E-2</v>
      </c>
      <c r="F692" s="1278">
        <v>4.8741454403786596E-3</v>
      </c>
      <c r="G692" s="1248">
        <v>0.715383457248016</v>
      </c>
      <c r="H692" s="1278">
        <v>3.8197190015627797E-2</v>
      </c>
      <c r="I692" s="1248">
        <v>1.9745755335929E-2</v>
      </c>
      <c r="J692" s="1278">
        <v>8.3606944331970304E-4</v>
      </c>
      <c r="K692" s="1248">
        <v>3.00000086132368E-3</v>
      </c>
      <c r="L692" s="1250">
        <v>2.0000005742616101E-3</v>
      </c>
      <c r="M692" s="1273">
        <v>2.0000005742616101E-3</v>
      </c>
      <c r="N692" s="1248">
        <v>3.1850009128239903E-2</v>
      </c>
      <c r="O692" s="1249">
        <v>3.1850009128239903E-2</v>
      </c>
      <c r="P692" s="1251">
        <v>1.5925004564119952E-2</v>
      </c>
      <c r="Q692" s="1252">
        <v>2.06385707717281E-2</v>
      </c>
    </row>
    <row r="693" spans="1:17" s="212" customFormat="1" ht="15.5" x14ac:dyDescent="0.35">
      <c r="A693" s="198">
        <v>2027</v>
      </c>
      <c r="B693" s="197" t="s">
        <v>5842</v>
      </c>
      <c r="C693" s="197">
        <v>2016</v>
      </c>
      <c r="D693" s="213" t="str">
        <f t="shared" si="8"/>
        <v>2027_2016</v>
      </c>
      <c r="E693" s="1267">
        <v>8.1942426350817998E-2</v>
      </c>
      <c r="F693" s="1278">
        <v>4.5595692527202998E-3</v>
      </c>
      <c r="G693" s="1248">
        <v>0.61717499357519501</v>
      </c>
      <c r="H693" s="1278">
        <v>3.5851566815162897E-2</v>
      </c>
      <c r="I693" s="1248">
        <v>1.8943329009896301E-2</v>
      </c>
      <c r="J693" s="1278">
        <v>9.6206368597292699E-4</v>
      </c>
      <c r="K693" s="1248">
        <v>3.00000086133942E-3</v>
      </c>
      <c r="L693" s="1250">
        <v>2.0000005742426001E-3</v>
      </c>
      <c r="M693" s="1273">
        <v>2.0000005742426001E-3</v>
      </c>
      <c r="N693" s="1248">
        <v>3.1850009128239903E-2</v>
      </c>
      <c r="O693" s="1249">
        <v>3.1850009128239903E-2</v>
      </c>
      <c r="P693" s="1251">
        <v>1.5925004564119952E-2</v>
      </c>
      <c r="Q693" s="1252">
        <v>1.97998622879463E-2</v>
      </c>
    </row>
    <row r="694" spans="1:17" s="212" customFormat="1" ht="15.5" x14ac:dyDescent="0.35">
      <c r="A694" s="198">
        <v>2027</v>
      </c>
      <c r="B694" s="197" t="s">
        <v>5842</v>
      </c>
      <c r="C694" s="197">
        <v>2017</v>
      </c>
      <c r="D694" s="213" t="str">
        <f t="shared" si="8"/>
        <v>2027_2017</v>
      </c>
      <c r="E694" s="1267">
        <v>7.9827034160398505E-2</v>
      </c>
      <c r="F694" s="1278">
        <v>4.3822422798718303E-3</v>
      </c>
      <c r="G694" s="1248">
        <v>0.51844480057981701</v>
      </c>
      <c r="H694" s="1278">
        <v>3.3448000871882599E-2</v>
      </c>
      <c r="I694" s="1248">
        <v>1.7906044228254099E-2</v>
      </c>
      <c r="J694" s="1278">
        <v>1.03749285868128E-3</v>
      </c>
      <c r="K694" s="1248">
        <v>3.00000086128501E-3</v>
      </c>
      <c r="L694" s="1250">
        <v>2.00000057429569E-3</v>
      </c>
      <c r="M694" s="1273">
        <v>2.00000057429569E-3</v>
      </c>
      <c r="N694" s="1248">
        <v>3.1850009128239903E-2</v>
      </c>
      <c r="O694" s="1249">
        <v>3.1850009128239903E-2</v>
      </c>
      <c r="P694" s="1251">
        <v>1.5925004564119952E-2</v>
      </c>
      <c r="Q694" s="1252">
        <v>1.87156760913612E-2</v>
      </c>
    </row>
    <row r="695" spans="1:17" s="212" customFormat="1" ht="15.5" x14ac:dyDescent="0.35">
      <c r="A695" s="198">
        <v>2027</v>
      </c>
      <c r="B695" s="197" t="s">
        <v>5842</v>
      </c>
      <c r="C695" s="197">
        <v>2018</v>
      </c>
      <c r="D695" s="213" t="str">
        <f t="shared" si="8"/>
        <v>2027_2018</v>
      </c>
      <c r="E695" s="1267">
        <v>7.9376381066684501E-2</v>
      </c>
      <c r="F695" s="1278">
        <v>3.927933725472E-3</v>
      </c>
      <c r="G695" s="1248">
        <v>0.41847824597403599</v>
      </c>
      <c r="H695" s="1278">
        <v>2.9991448606185699E-2</v>
      </c>
      <c r="I695" s="1248">
        <v>1.7079501456141601E-2</v>
      </c>
      <c r="J695" s="1278">
        <v>1.07915352390404E-3</v>
      </c>
      <c r="K695" s="1248">
        <v>3.0000008613457999E-3</v>
      </c>
      <c r="L695" s="1250">
        <v>2.0000005742471598E-3</v>
      </c>
      <c r="M695" s="1273">
        <v>2.0000005742471598E-3</v>
      </c>
      <c r="N695" s="1248">
        <v>3.1850009128239903E-2</v>
      </c>
      <c r="O695" s="1249">
        <v>3.1850009128239903E-2</v>
      </c>
      <c r="P695" s="1251">
        <v>1.5925004564119952E-2</v>
      </c>
      <c r="Q695" s="1252">
        <v>1.7851760722823101E-2</v>
      </c>
    </row>
    <row r="696" spans="1:17" s="212" customFormat="1" ht="15.5" x14ac:dyDescent="0.35">
      <c r="A696" s="198">
        <v>2027</v>
      </c>
      <c r="B696" s="197" t="s">
        <v>5842</v>
      </c>
      <c r="C696" s="197">
        <v>2019</v>
      </c>
      <c r="D696" s="213" t="str">
        <f t="shared" si="8"/>
        <v>2027_2019</v>
      </c>
      <c r="E696" s="1267">
        <v>7.8215074973292706E-2</v>
      </c>
      <c r="F696" s="1278">
        <v>3.4238742779034701E-3</v>
      </c>
      <c r="G696" s="1248">
        <v>0.35137709522980098</v>
      </c>
      <c r="H696" s="1278">
        <v>2.6247122115272099E-2</v>
      </c>
      <c r="I696" s="1248">
        <v>1.6084035410295499E-2</v>
      </c>
      <c r="J696" s="1278">
        <v>1.10049224774017E-3</v>
      </c>
      <c r="K696" s="1248">
        <v>3.0000008613942802E-3</v>
      </c>
      <c r="L696" s="1250">
        <v>2.0000005741988899E-3</v>
      </c>
      <c r="M696" s="1273">
        <v>2.0000005741988899E-3</v>
      </c>
      <c r="N696" s="1248">
        <v>3.1850009128239903E-2</v>
      </c>
      <c r="O696" s="1249">
        <v>3.1850009128239903E-2</v>
      </c>
      <c r="P696" s="1251">
        <v>1.5925004564119952E-2</v>
      </c>
      <c r="Q696" s="1252">
        <v>1.6811284119699E-2</v>
      </c>
    </row>
    <row r="697" spans="1:17" s="212" customFormat="1" ht="15.5" x14ac:dyDescent="0.35">
      <c r="A697" s="198">
        <v>2027</v>
      </c>
      <c r="B697" s="197" t="s">
        <v>5842</v>
      </c>
      <c r="C697" s="197">
        <v>2020</v>
      </c>
      <c r="D697" s="213" t="str">
        <f t="shared" si="8"/>
        <v>2027_2020</v>
      </c>
      <c r="E697" s="1267">
        <v>6.7799310492236503E-2</v>
      </c>
      <c r="F697" s="1278">
        <v>2.81193997059604E-3</v>
      </c>
      <c r="G697" s="1248">
        <v>0.26825593940347098</v>
      </c>
      <c r="H697" s="1278">
        <v>2.2648177026615299E-2</v>
      </c>
      <c r="I697" s="1248">
        <v>1.37419554930609E-2</v>
      </c>
      <c r="J697" s="1278">
        <v>1.08780695924734E-3</v>
      </c>
      <c r="K697" s="1248">
        <v>3.00000086096564E-3</v>
      </c>
      <c r="L697" s="1250">
        <v>2.0000005740728999E-3</v>
      </c>
      <c r="M697" s="1273">
        <v>2.0000005740728999E-3</v>
      </c>
      <c r="N697" s="1248">
        <v>3.1850009128239903E-2</v>
      </c>
      <c r="O697" s="1249">
        <v>3.1850009128239903E-2</v>
      </c>
      <c r="P697" s="1251">
        <v>1.5925004564119952E-2</v>
      </c>
      <c r="Q697" s="1252">
        <v>1.43633057414328E-2</v>
      </c>
    </row>
    <row r="698" spans="1:17" s="212" customFormat="1" ht="15.5" x14ac:dyDescent="0.35">
      <c r="A698" s="198">
        <v>2027</v>
      </c>
      <c r="B698" s="197" t="s">
        <v>5842</v>
      </c>
      <c r="C698" s="197">
        <v>2021</v>
      </c>
      <c r="D698" s="213" t="str">
        <f t="shared" si="8"/>
        <v>2027_2021</v>
      </c>
      <c r="E698" s="1267">
        <v>6.6438562116715602E-2</v>
      </c>
      <c r="F698" s="1278">
        <v>2.4040748798826801E-3</v>
      </c>
      <c r="G698" s="1248">
        <v>0.211025521329641</v>
      </c>
      <c r="H698" s="1278">
        <v>1.89397156744746E-2</v>
      </c>
      <c r="I698" s="1248">
        <v>1.2682001640701801E-2</v>
      </c>
      <c r="J698" s="1278">
        <v>1.0879831923348599E-3</v>
      </c>
      <c r="K698" s="1248">
        <v>3.0000008609679199E-3</v>
      </c>
      <c r="L698" s="1250">
        <v>2.0000005740746099E-3</v>
      </c>
      <c r="M698" s="1273">
        <v>2.0000005740746099E-3</v>
      </c>
      <c r="N698" s="1248">
        <v>3.1850009128239903E-2</v>
      </c>
      <c r="O698" s="1249">
        <v>3.1850009128239903E-2</v>
      </c>
      <c r="P698" s="1251">
        <v>1.5925004564119952E-2</v>
      </c>
      <c r="Q698" s="1252">
        <v>1.32554254793455E-2</v>
      </c>
    </row>
    <row r="699" spans="1:17" s="212" customFormat="1" ht="15.5" x14ac:dyDescent="0.35">
      <c r="A699" s="198">
        <v>2027</v>
      </c>
      <c r="B699" s="197" t="s">
        <v>5842</v>
      </c>
      <c r="C699" s="197">
        <v>2022</v>
      </c>
      <c r="D699" s="213" t="str">
        <f t="shared" si="8"/>
        <v>2027_2022</v>
      </c>
      <c r="E699" s="1267">
        <v>6.4997670281223802E-2</v>
      </c>
      <c r="F699" s="1278">
        <v>2.0201427495070202E-3</v>
      </c>
      <c r="G699" s="1248">
        <v>0.156418840330243</v>
      </c>
      <c r="H699" s="1278">
        <v>1.5594902433441299E-2</v>
      </c>
      <c r="I699" s="1248">
        <v>1.1561543487527901E-2</v>
      </c>
      <c r="J699" s="1278">
        <v>1.0881517716006101E-3</v>
      </c>
      <c r="K699" s="1248">
        <v>3.0000008609701199E-3</v>
      </c>
      <c r="L699" s="1250">
        <v>2.0000005740762601E-3</v>
      </c>
      <c r="M699" s="1273">
        <v>2.0000005740762601E-3</v>
      </c>
      <c r="N699" s="1248">
        <v>3.1850009128239903E-2</v>
      </c>
      <c r="O699" s="1249">
        <v>3.1850009128239903E-2</v>
      </c>
      <c r="P699" s="1251">
        <v>1.5925004564119952E-2</v>
      </c>
      <c r="Q699" s="1252">
        <v>1.20843051804445E-2</v>
      </c>
    </row>
    <row r="700" spans="1:17" s="212" customFormat="1" ht="15.5" x14ac:dyDescent="0.35">
      <c r="A700" s="198">
        <v>2027</v>
      </c>
      <c r="B700" s="197" t="s">
        <v>5842</v>
      </c>
      <c r="C700" s="197">
        <v>2023</v>
      </c>
      <c r="D700" s="213" t="str">
        <f t="shared" si="8"/>
        <v>2027_2023</v>
      </c>
      <c r="E700" s="1267">
        <v>6.3476763857800197E-2</v>
      </c>
      <c r="F700" s="1278">
        <v>2.1081508295720999E-3</v>
      </c>
      <c r="G700" s="1248">
        <v>0.14869333315000499</v>
      </c>
      <c r="H700" s="1278">
        <v>1.6079737487126801E-2</v>
      </c>
      <c r="I700" s="1248">
        <v>1.0380578993686201E-2</v>
      </c>
      <c r="J700" s="1278">
        <v>1.0883115388812001E-3</v>
      </c>
      <c r="K700" s="1248">
        <v>3.0000008609722402E-3</v>
      </c>
      <c r="L700" s="1250">
        <v>2.0000005740778599E-3</v>
      </c>
      <c r="M700" s="1273">
        <v>2.0000005740778599E-3</v>
      </c>
      <c r="N700" s="1248">
        <v>3.1850009128239903E-2</v>
      </c>
      <c r="O700" s="1249">
        <v>3.1850009128239903E-2</v>
      </c>
      <c r="P700" s="1251">
        <v>1.5925004564119952E-2</v>
      </c>
      <c r="Q700" s="1252">
        <v>1.08499427126436E-2</v>
      </c>
    </row>
    <row r="701" spans="1:17" s="212" customFormat="1" ht="15.5" x14ac:dyDescent="0.35">
      <c r="A701" s="198">
        <v>2027</v>
      </c>
      <c r="B701" s="197" t="s">
        <v>5842</v>
      </c>
      <c r="C701" s="197">
        <v>2024</v>
      </c>
      <c r="D701" s="213" t="str">
        <f t="shared" si="8"/>
        <v>2027_2024</v>
      </c>
      <c r="E701" s="1267">
        <v>6.1875408875907402E-2</v>
      </c>
      <c r="F701" s="1278">
        <v>2.2876450264007601E-3</v>
      </c>
      <c r="G701" s="1248">
        <v>0.140571248468816</v>
      </c>
      <c r="H701" s="1278">
        <v>1.74787836396013E-2</v>
      </c>
      <c r="I701" s="1248">
        <v>9.1390565968530197E-3</v>
      </c>
      <c r="J701" s="1278">
        <v>1.08846170140536E-3</v>
      </c>
      <c r="K701" s="1248">
        <v>3.0000008609742698E-3</v>
      </c>
      <c r="L701" s="1250">
        <v>2.00000057407938E-3</v>
      </c>
      <c r="M701" s="1275">
        <v>2.0000005740113602E-3</v>
      </c>
      <c r="N701" s="1248">
        <v>3.1850009128239903E-2</v>
      </c>
      <c r="O701" s="1249">
        <v>3.1850009128239903E-2</v>
      </c>
      <c r="P701" s="1260">
        <v>1.59250045641199E-2</v>
      </c>
      <c r="Q701" s="1252">
        <v>9.5522841821996905E-3</v>
      </c>
    </row>
    <row r="702" spans="1:17" s="212" customFormat="1" ht="15.5" x14ac:dyDescent="0.35">
      <c r="A702" s="198">
        <v>2027</v>
      </c>
      <c r="B702" s="197" t="s">
        <v>5842</v>
      </c>
      <c r="C702" s="197">
        <v>2025</v>
      </c>
      <c r="D702" s="213" t="str">
        <f t="shared" si="8"/>
        <v>2027_2025</v>
      </c>
      <c r="E702" s="1267">
        <v>6.0193166277716099E-2</v>
      </c>
      <c r="F702" s="1278">
        <v>2.55640997654712E-3</v>
      </c>
      <c r="G702" s="1248">
        <v>0.13205212307511099</v>
      </c>
      <c r="H702" s="1278">
        <v>1.9784977019980499E-2</v>
      </c>
      <c r="I702" s="1248">
        <v>7.8369405442816099E-3</v>
      </c>
      <c r="J702" s="1278">
        <v>1.08859956629647E-3</v>
      </c>
      <c r="K702" s="1248">
        <v>3.0000008609761702E-3</v>
      </c>
      <c r="L702" s="1250">
        <v>2.0000005740807999E-3</v>
      </c>
      <c r="M702" s="1275">
        <v>2.0000005740133E-3</v>
      </c>
      <c r="N702" s="1248">
        <v>3.1850009128239903E-2</v>
      </c>
      <c r="O702" s="1249">
        <v>3.1850009128239903E-2</v>
      </c>
      <c r="P702" s="1260">
        <v>1.59250045641199E-2</v>
      </c>
      <c r="Q702" s="1252">
        <v>8.1912922197854097E-3</v>
      </c>
    </row>
    <row r="703" spans="1:17" s="212" customFormat="1" ht="15.5" x14ac:dyDescent="0.35">
      <c r="A703" s="198">
        <v>2027</v>
      </c>
      <c r="B703" s="197" t="s">
        <v>5842</v>
      </c>
      <c r="C703" s="197">
        <v>2026</v>
      </c>
      <c r="D703" s="213" t="str">
        <f t="shared" si="8"/>
        <v>2027_2026</v>
      </c>
      <c r="E703" s="1267">
        <v>5.8431604992618097E-2</v>
      </c>
      <c r="F703" s="1278">
        <v>2.81044894880361E-3</v>
      </c>
      <c r="G703" s="1248">
        <v>0.12315138408125501</v>
      </c>
      <c r="H703" s="1278">
        <v>2.1972970789664301E-2</v>
      </c>
      <c r="I703" s="1248">
        <v>6.4743857485118602E-3</v>
      </c>
      <c r="J703" s="1278">
        <v>1.0887379481115101E-3</v>
      </c>
      <c r="K703" s="1248">
        <v>3.0000008609780801E-3</v>
      </c>
      <c r="L703" s="1250">
        <v>2.0000005740822301E-3</v>
      </c>
      <c r="M703" s="1275">
        <v>2.0000005740149198E-3</v>
      </c>
      <c r="N703" s="1248">
        <v>3.1850009128239903E-2</v>
      </c>
      <c r="O703" s="1249">
        <v>3.1850009128239903E-2</v>
      </c>
      <c r="P703" s="1260">
        <v>1.59250045641199E-2</v>
      </c>
      <c r="Q703" s="1252">
        <v>6.7671287423982998E-3</v>
      </c>
    </row>
    <row r="704" spans="1:17" s="212" customFormat="1" ht="15.5" x14ac:dyDescent="0.35">
      <c r="A704" s="198">
        <v>2027</v>
      </c>
      <c r="B704" s="197" t="s">
        <v>5842</v>
      </c>
      <c r="C704" s="197">
        <v>2027</v>
      </c>
      <c r="D704" s="213" t="str">
        <f t="shared" si="8"/>
        <v>2027_2027</v>
      </c>
      <c r="E704" s="1267">
        <v>5.6591726655290997E-2</v>
      </c>
      <c r="F704" s="1278">
        <v>2.7369389018933698E-3</v>
      </c>
      <c r="G704" s="1248">
        <v>0.113842172070659</v>
      </c>
      <c r="H704" s="1278">
        <v>2.0901058000611698E-2</v>
      </c>
      <c r="I704" s="1248">
        <v>5.0514133974456799E-3</v>
      </c>
      <c r="J704" s="1278">
        <v>1.0888814453125101E-3</v>
      </c>
      <c r="K704" s="1248">
        <v>3.0000008609800699E-3</v>
      </c>
      <c r="L704" s="1250">
        <v>2.0000005740837198E-3</v>
      </c>
      <c r="M704" s="1275">
        <v>2.0000005740142398E-3</v>
      </c>
      <c r="N704" s="1248">
        <v>3.1850009128239903E-2</v>
      </c>
      <c r="O704" s="1249">
        <v>3.1850009128239903E-2</v>
      </c>
      <c r="P704" s="1260">
        <v>1.59250045641199E-2</v>
      </c>
      <c r="Q704" s="1252">
        <v>5.2798158959631997E-3</v>
      </c>
    </row>
    <row r="705" spans="1:17" s="212" customFormat="1" ht="15.5" x14ac:dyDescent="0.35">
      <c r="A705" s="198">
        <v>2027</v>
      </c>
      <c r="B705" s="197" t="s">
        <v>5842</v>
      </c>
      <c r="C705" s="197">
        <v>2028</v>
      </c>
      <c r="D705" s="213" t="str">
        <f t="shared" si="8"/>
        <v>2027_2028</v>
      </c>
      <c r="E705" s="1268">
        <v>5.6591726655290997E-2</v>
      </c>
      <c r="F705" s="1279">
        <v>2.7369389018933698E-3</v>
      </c>
      <c r="G705" s="1255">
        <v>0.113842172070659</v>
      </c>
      <c r="H705" s="1279">
        <v>2.0901058000611698E-2</v>
      </c>
      <c r="I705" s="1255">
        <v>5.0514133974456799E-3</v>
      </c>
      <c r="J705" s="1279">
        <v>1.0888814453125101E-3</v>
      </c>
      <c r="K705" s="1255">
        <v>3.0000008609800699E-3</v>
      </c>
      <c r="L705" s="1253">
        <v>2.0000005740837198E-3</v>
      </c>
      <c r="M705" s="1273">
        <v>2.0000005740142398E-3</v>
      </c>
      <c r="N705" s="1255">
        <v>3.1850009128239903E-2</v>
      </c>
      <c r="O705" s="1256">
        <v>3.1850009128239903E-2</v>
      </c>
      <c r="P705" s="1251">
        <v>1.59250045641199E-2</v>
      </c>
      <c r="Q705" s="1254">
        <v>5.2798158959631997E-3</v>
      </c>
    </row>
    <row r="706" spans="1:17" s="212" customFormat="1" ht="15.5" x14ac:dyDescent="0.35">
      <c r="A706" s="198">
        <v>2028</v>
      </c>
      <c r="B706" s="197" t="s">
        <v>5842</v>
      </c>
      <c r="C706" s="197">
        <v>1971</v>
      </c>
      <c r="D706" s="213" t="str">
        <f t="shared" si="8"/>
        <v>2028_1971</v>
      </c>
      <c r="E706" s="1268">
        <v>0.23415313388290099</v>
      </c>
      <c r="F706" s="1279">
        <v>1.6978357931678201</v>
      </c>
      <c r="G706" s="1255">
        <v>5.1035223345201199</v>
      </c>
      <c r="H706" s="1279">
        <v>3.6179793964240399</v>
      </c>
      <c r="I706" s="1255">
        <v>0.17648938124972999</v>
      </c>
      <c r="J706" s="1279">
        <v>1.5978301365465099E-2</v>
      </c>
      <c r="K706" s="1255">
        <v>3.0000008615327402E-3</v>
      </c>
      <c r="L706" s="1253">
        <v>2.0000005743076301E-3</v>
      </c>
      <c r="M706" s="1273">
        <v>2.0000005743076301E-3</v>
      </c>
      <c r="N706" s="1255">
        <v>3.1850009128239903E-2</v>
      </c>
      <c r="O706" s="1256">
        <v>3.1850009128239903E-2</v>
      </c>
      <c r="P706" s="1251">
        <v>1.5925004564119952E-2</v>
      </c>
      <c r="Q706" s="1254">
        <v>0.18446944790981201</v>
      </c>
    </row>
    <row r="707" spans="1:17" s="212" customFormat="1" ht="15.5" x14ac:dyDescent="0.35">
      <c r="A707" s="198">
        <v>2028</v>
      </c>
      <c r="B707" s="197" t="s">
        <v>5842</v>
      </c>
      <c r="C707" s="197">
        <v>1972</v>
      </c>
      <c r="D707" s="213" t="str">
        <f t="shared" si="8"/>
        <v>2028_1972</v>
      </c>
      <c r="E707" s="1268">
        <v>0.23415313388290099</v>
      </c>
      <c r="F707" s="1279">
        <v>1.6978357931678201</v>
      </c>
      <c r="G707" s="1255">
        <v>5.1035223345201199</v>
      </c>
      <c r="H707" s="1279">
        <v>3.6179793964240399</v>
      </c>
      <c r="I707" s="1255">
        <v>0.17648938124972999</v>
      </c>
      <c r="J707" s="1279">
        <v>1.5978301365465099E-2</v>
      </c>
      <c r="K707" s="1255">
        <v>3.0000008615327402E-3</v>
      </c>
      <c r="L707" s="1253">
        <v>2.0000005743076301E-3</v>
      </c>
      <c r="M707" s="1273">
        <v>2.0000005743076301E-3</v>
      </c>
      <c r="N707" s="1255">
        <v>3.1850009128239903E-2</v>
      </c>
      <c r="O707" s="1256">
        <v>3.1850009128239903E-2</v>
      </c>
      <c r="P707" s="1251">
        <v>1.5925004564119952E-2</v>
      </c>
      <c r="Q707" s="1254">
        <v>0.18446944790981201</v>
      </c>
    </row>
    <row r="708" spans="1:17" s="212" customFormat="1" ht="15.5" x14ac:dyDescent="0.35">
      <c r="A708" s="198">
        <v>2028</v>
      </c>
      <c r="B708" s="197" t="s">
        <v>5842</v>
      </c>
      <c r="C708" s="197">
        <v>1973</v>
      </c>
      <c r="D708" s="213" t="str">
        <f t="shared" si="8"/>
        <v>2028_1973</v>
      </c>
      <c r="E708" s="1268">
        <v>0.23415313388290099</v>
      </c>
      <c r="F708" s="1279">
        <v>1.6978357931678201</v>
      </c>
      <c r="G708" s="1255">
        <v>5.1035223345201199</v>
      </c>
      <c r="H708" s="1279">
        <v>3.6179793964240399</v>
      </c>
      <c r="I708" s="1255">
        <v>0.17648938124972999</v>
      </c>
      <c r="J708" s="1279">
        <v>1.5978301365465099E-2</v>
      </c>
      <c r="K708" s="1255">
        <v>3.0000008615327402E-3</v>
      </c>
      <c r="L708" s="1253">
        <v>2.0000005743076301E-3</v>
      </c>
      <c r="M708" s="1273">
        <v>2.0000005743076301E-3</v>
      </c>
      <c r="N708" s="1255">
        <v>3.1850009128239903E-2</v>
      </c>
      <c r="O708" s="1256">
        <v>3.1850009128239903E-2</v>
      </c>
      <c r="P708" s="1251">
        <v>1.5925004564119952E-2</v>
      </c>
      <c r="Q708" s="1254">
        <v>0.18446944790981201</v>
      </c>
    </row>
    <row r="709" spans="1:17" s="212" customFormat="1" ht="15.5" x14ac:dyDescent="0.35">
      <c r="A709" s="198">
        <v>2028</v>
      </c>
      <c r="B709" s="197" t="s">
        <v>5842</v>
      </c>
      <c r="C709" s="197">
        <v>1974</v>
      </c>
      <c r="D709" s="213" t="str">
        <f t="shared" si="8"/>
        <v>2028_1974</v>
      </c>
      <c r="E709" s="1268">
        <v>0.23415313388290099</v>
      </c>
      <c r="F709" s="1279">
        <v>1.6978357931678201</v>
      </c>
      <c r="G709" s="1255">
        <v>5.1035223345201199</v>
      </c>
      <c r="H709" s="1279">
        <v>3.6179793964240399</v>
      </c>
      <c r="I709" s="1255">
        <v>0.17648938124972999</v>
      </c>
      <c r="J709" s="1279">
        <v>1.5978301365465099E-2</v>
      </c>
      <c r="K709" s="1255">
        <v>3.0000008615327402E-3</v>
      </c>
      <c r="L709" s="1253">
        <v>2.0000005743076301E-3</v>
      </c>
      <c r="M709" s="1273">
        <v>2.0000005743076301E-3</v>
      </c>
      <c r="N709" s="1255">
        <v>3.1850009128239903E-2</v>
      </c>
      <c r="O709" s="1256">
        <v>3.1850009128239903E-2</v>
      </c>
      <c r="P709" s="1251">
        <v>1.5925004564119952E-2</v>
      </c>
      <c r="Q709" s="1254">
        <v>0.18446944790981201</v>
      </c>
    </row>
    <row r="710" spans="1:17" s="212" customFormat="1" ht="15.5" x14ac:dyDescent="0.35">
      <c r="A710" s="198">
        <v>2028</v>
      </c>
      <c r="B710" s="197" t="s">
        <v>5842</v>
      </c>
      <c r="C710" s="197">
        <v>1975</v>
      </c>
      <c r="D710" s="213" t="str">
        <f t="shared" si="8"/>
        <v>2028_1975</v>
      </c>
      <c r="E710" s="1268">
        <v>0.23415313388290099</v>
      </c>
      <c r="F710" s="1279">
        <v>1.6978357931678201</v>
      </c>
      <c r="G710" s="1255">
        <v>5.1035223345201199</v>
      </c>
      <c r="H710" s="1279">
        <v>3.6179793964240399</v>
      </c>
      <c r="I710" s="1255">
        <v>0.17648938124972999</v>
      </c>
      <c r="J710" s="1279">
        <v>1.5978301365465099E-2</v>
      </c>
      <c r="K710" s="1255">
        <v>3.0000008615327402E-3</v>
      </c>
      <c r="L710" s="1253">
        <v>2.0000005743076301E-3</v>
      </c>
      <c r="M710" s="1273">
        <v>2.0000005743076301E-3</v>
      </c>
      <c r="N710" s="1255">
        <v>3.1850009128239903E-2</v>
      </c>
      <c r="O710" s="1256">
        <v>3.1850009128239903E-2</v>
      </c>
      <c r="P710" s="1251">
        <v>1.5925004564119952E-2</v>
      </c>
      <c r="Q710" s="1254">
        <v>0.18446944790981201</v>
      </c>
    </row>
    <row r="711" spans="1:17" s="212" customFormat="1" ht="15.5" x14ac:dyDescent="0.35">
      <c r="A711" s="198">
        <v>2028</v>
      </c>
      <c r="B711" s="197" t="s">
        <v>5842</v>
      </c>
      <c r="C711" s="197">
        <v>1976</v>
      </c>
      <c r="D711" s="213" t="str">
        <f t="shared" ref="D711:D801" si="9">CONCATENATE(A711,"_",C711)</f>
        <v>2028_1976</v>
      </c>
      <c r="E711" s="1268">
        <v>0.23415313388290099</v>
      </c>
      <c r="F711" s="1279">
        <v>1.6978357931678201</v>
      </c>
      <c r="G711" s="1255">
        <v>5.1035223345201199</v>
      </c>
      <c r="H711" s="1279">
        <v>3.6179793964240399</v>
      </c>
      <c r="I711" s="1255">
        <v>0.17648938124972999</v>
      </c>
      <c r="J711" s="1279">
        <v>1.5978301365465099E-2</v>
      </c>
      <c r="K711" s="1255">
        <v>3.0000008615327402E-3</v>
      </c>
      <c r="L711" s="1253">
        <v>2.0000005743076301E-3</v>
      </c>
      <c r="M711" s="1273">
        <v>2.0000005743076301E-3</v>
      </c>
      <c r="N711" s="1255">
        <v>3.1850009128239903E-2</v>
      </c>
      <c r="O711" s="1256">
        <v>3.1850009128239903E-2</v>
      </c>
      <c r="P711" s="1251">
        <v>1.5925004564119952E-2</v>
      </c>
      <c r="Q711" s="1254">
        <v>0.18446944790981201</v>
      </c>
    </row>
    <row r="712" spans="1:17" s="212" customFormat="1" ht="15.5" x14ac:dyDescent="0.35">
      <c r="A712" s="198">
        <v>2028</v>
      </c>
      <c r="B712" s="197" t="s">
        <v>5842</v>
      </c>
      <c r="C712" s="197">
        <v>1977</v>
      </c>
      <c r="D712" s="213" t="str">
        <f t="shared" si="9"/>
        <v>2028_1977</v>
      </c>
      <c r="E712" s="1268">
        <v>0.23415313388290099</v>
      </c>
      <c r="F712" s="1279">
        <v>1.6978357931678201</v>
      </c>
      <c r="G712" s="1255">
        <v>5.1035223345201199</v>
      </c>
      <c r="H712" s="1279">
        <v>3.6179793964240399</v>
      </c>
      <c r="I712" s="1255">
        <v>0.17648938124972999</v>
      </c>
      <c r="J712" s="1279">
        <v>1.5978301365465099E-2</v>
      </c>
      <c r="K712" s="1255">
        <v>3.0000008615327402E-3</v>
      </c>
      <c r="L712" s="1253">
        <v>2.0000005743076301E-3</v>
      </c>
      <c r="M712" s="1273">
        <v>2.0000005743076301E-3</v>
      </c>
      <c r="N712" s="1255">
        <v>3.1850009128239903E-2</v>
      </c>
      <c r="O712" s="1256">
        <v>3.1850009128239903E-2</v>
      </c>
      <c r="P712" s="1251">
        <v>1.5925004564119952E-2</v>
      </c>
      <c r="Q712" s="1254">
        <v>0.18446944790981201</v>
      </c>
    </row>
    <row r="713" spans="1:17" s="212" customFormat="1" ht="15.5" x14ac:dyDescent="0.35">
      <c r="A713" s="198">
        <v>2028</v>
      </c>
      <c r="B713" s="197" t="s">
        <v>5842</v>
      </c>
      <c r="C713" s="197">
        <v>1978</v>
      </c>
      <c r="D713" s="213" t="str">
        <f t="shared" si="9"/>
        <v>2028_1978</v>
      </c>
      <c r="E713" s="1268">
        <v>0.23415313388290099</v>
      </c>
      <c r="F713" s="1279">
        <v>1.6978357931678201</v>
      </c>
      <c r="G713" s="1255">
        <v>5.1035223345201199</v>
      </c>
      <c r="H713" s="1279">
        <v>3.6179793964240399</v>
      </c>
      <c r="I713" s="1255">
        <v>0.17648938124972999</v>
      </c>
      <c r="J713" s="1279">
        <v>1.5978301365465099E-2</v>
      </c>
      <c r="K713" s="1255">
        <v>3.0000008615327402E-3</v>
      </c>
      <c r="L713" s="1253">
        <v>2.0000005743076301E-3</v>
      </c>
      <c r="M713" s="1273">
        <v>2.0000005743076301E-3</v>
      </c>
      <c r="N713" s="1255">
        <v>3.1850009128239903E-2</v>
      </c>
      <c r="O713" s="1256">
        <v>3.1850009128239903E-2</v>
      </c>
      <c r="P713" s="1251">
        <v>1.5925004564119952E-2</v>
      </c>
      <c r="Q713" s="1254">
        <v>0.18446944790981201</v>
      </c>
    </row>
    <row r="714" spans="1:17" s="212" customFormat="1" ht="15.5" x14ac:dyDescent="0.35">
      <c r="A714" s="198">
        <v>2028</v>
      </c>
      <c r="B714" s="197" t="s">
        <v>5842</v>
      </c>
      <c r="C714" s="197">
        <v>1979</v>
      </c>
      <c r="D714" s="213" t="str">
        <f t="shared" si="9"/>
        <v>2028_1979</v>
      </c>
      <c r="E714" s="1268">
        <v>0.23415313388290099</v>
      </c>
      <c r="F714" s="1279">
        <v>1.6978357931678201</v>
      </c>
      <c r="G714" s="1255">
        <v>5.1035223345201199</v>
      </c>
      <c r="H714" s="1279">
        <v>3.6179793964240399</v>
      </c>
      <c r="I714" s="1255">
        <v>0.17648938124972999</v>
      </c>
      <c r="J714" s="1279">
        <v>1.5978301365465099E-2</v>
      </c>
      <c r="K714" s="1255">
        <v>3.0000008615327402E-3</v>
      </c>
      <c r="L714" s="1253">
        <v>2.0000005743076301E-3</v>
      </c>
      <c r="M714" s="1273">
        <v>2.0000005743076301E-3</v>
      </c>
      <c r="N714" s="1255">
        <v>3.1850009128239903E-2</v>
      </c>
      <c r="O714" s="1256">
        <v>3.1850009128239903E-2</v>
      </c>
      <c r="P714" s="1251">
        <v>1.5925004564119952E-2</v>
      </c>
      <c r="Q714" s="1254">
        <v>0.18446944790981201</v>
      </c>
    </row>
    <row r="715" spans="1:17" s="212" customFormat="1" ht="15.5" x14ac:dyDescent="0.35">
      <c r="A715" s="198">
        <v>2028</v>
      </c>
      <c r="B715" s="197" t="s">
        <v>5842</v>
      </c>
      <c r="C715" s="197">
        <v>1980</v>
      </c>
      <c r="D715" s="213" t="str">
        <f t="shared" si="9"/>
        <v>2028_1980</v>
      </c>
      <c r="E715" s="1268">
        <v>0.23415313388290099</v>
      </c>
      <c r="F715" s="1279">
        <v>1.6978357931678201</v>
      </c>
      <c r="G715" s="1255">
        <v>5.1035223345201199</v>
      </c>
      <c r="H715" s="1279">
        <v>3.6179793964240399</v>
      </c>
      <c r="I715" s="1255">
        <v>0.17648938124972999</v>
      </c>
      <c r="J715" s="1279">
        <v>1.5978301365465099E-2</v>
      </c>
      <c r="K715" s="1255">
        <v>3.0000008615327402E-3</v>
      </c>
      <c r="L715" s="1253">
        <v>2.0000005743076301E-3</v>
      </c>
      <c r="M715" s="1273">
        <v>2.0000005743076301E-3</v>
      </c>
      <c r="N715" s="1255">
        <v>3.1850009128239903E-2</v>
      </c>
      <c r="O715" s="1256">
        <v>3.1850009128239903E-2</v>
      </c>
      <c r="P715" s="1251">
        <v>1.5925004564119952E-2</v>
      </c>
      <c r="Q715" s="1254">
        <v>0.18446944790981201</v>
      </c>
    </row>
    <row r="716" spans="1:17" s="212" customFormat="1" ht="15.5" x14ac:dyDescent="0.35">
      <c r="A716" s="198">
        <v>2028</v>
      </c>
      <c r="B716" s="197" t="s">
        <v>5842</v>
      </c>
      <c r="C716" s="197">
        <v>1981</v>
      </c>
      <c r="D716" s="213" t="str">
        <f t="shared" si="9"/>
        <v>2028_1981</v>
      </c>
      <c r="E716" s="1268">
        <v>0.23415313388290099</v>
      </c>
      <c r="F716" s="1279">
        <v>1.6978357931678201</v>
      </c>
      <c r="G716" s="1255">
        <v>5.1035223345201199</v>
      </c>
      <c r="H716" s="1279">
        <v>3.6179793964240399</v>
      </c>
      <c r="I716" s="1255">
        <v>0.17648938124972999</v>
      </c>
      <c r="J716" s="1279">
        <v>1.5978301365465099E-2</v>
      </c>
      <c r="K716" s="1255">
        <v>3.0000008615327402E-3</v>
      </c>
      <c r="L716" s="1253">
        <v>2.0000005743076301E-3</v>
      </c>
      <c r="M716" s="1273">
        <v>2.0000005743076301E-3</v>
      </c>
      <c r="N716" s="1255">
        <v>3.1850009128239903E-2</v>
      </c>
      <c r="O716" s="1256">
        <v>3.1850009128239903E-2</v>
      </c>
      <c r="P716" s="1251">
        <v>1.5925004564119952E-2</v>
      </c>
      <c r="Q716" s="1254">
        <v>0.18446944790981201</v>
      </c>
    </row>
    <row r="717" spans="1:17" s="212" customFormat="1" ht="15.5" x14ac:dyDescent="0.35">
      <c r="A717" s="198">
        <v>2028</v>
      </c>
      <c r="B717" s="197" t="s">
        <v>5842</v>
      </c>
      <c r="C717" s="197">
        <v>1982</v>
      </c>
      <c r="D717" s="213" t="str">
        <f t="shared" si="9"/>
        <v>2028_1982</v>
      </c>
      <c r="E717" s="1268">
        <v>0.23415313388290099</v>
      </c>
      <c r="F717" s="1279">
        <v>1.6978357931678201</v>
      </c>
      <c r="G717" s="1255">
        <v>5.1035223345201199</v>
      </c>
      <c r="H717" s="1279">
        <v>3.6179793964240399</v>
      </c>
      <c r="I717" s="1255">
        <v>0.17648938124972999</v>
      </c>
      <c r="J717" s="1279">
        <v>1.5978301365465099E-2</v>
      </c>
      <c r="K717" s="1255">
        <v>3.0000008615327402E-3</v>
      </c>
      <c r="L717" s="1253">
        <v>2.0000005743076301E-3</v>
      </c>
      <c r="M717" s="1273">
        <v>2.0000005743076301E-3</v>
      </c>
      <c r="N717" s="1255">
        <v>3.1850009128239903E-2</v>
      </c>
      <c r="O717" s="1256">
        <v>3.1850009128239903E-2</v>
      </c>
      <c r="P717" s="1251">
        <v>1.5925004564119952E-2</v>
      </c>
      <c r="Q717" s="1254">
        <v>0.18446944790981201</v>
      </c>
    </row>
    <row r="718" spans="1:17" s="212" customFormat="1" ht="15.5" x14ac:dyDescent="0.35">
      <c r="A718" s="198">
        <v>2028</v>
      </c>
      <c r="B718" s="197" t="s">
        <v>5842</v>
      </c>
      <c r="C718" s="197">
        <v>1983</v>
      </c>
      <c r="D718" s="213" t="str">
        <f t="shared" si="9"/>
        <v>2028_1983</v>
      </c>
      <c r="E718" s="1268">
        <v>0.23415313388290099</v>
      </c>
      <c r="F718" s="1279">
        <v>1.6978357931678201</v>
      </c>
      <c r="G718" s="1255">
        <v>5.1035223345201199</v>
      </c>
      <c r="H718" s="1279">
        <v>3.6179793964240399</v>
      </c>
      <c r="I718" s="1255">
        <v>0.17648938124972999</v>
      </c>
      <c r="J718" s="1279">
        <v>1.5978301365465099E-2</v>
      </c>
      <c r="K718" s="1255">
        <v>3.0000008615327402E-3</v>
      </c>
      <c r="L718" s="1253">
        <v>2.0000005743076301E-3</v>
      </c>
      <c r="M718" s="1273">
        <v>2.0000005743076301E-3</v>
      </c>
      <c r="N718" s="1255">
        <v>3.1850009128239903E-2</v>
      </c>
      <c r="O718" s="1256">
        <v>3.1850009128239903E-2</v>
      </c>
      <c r="P718" s="1251">
        <v>1.5925004564119952E-2</v>
      </c>
      <c r="Q718" s="1254">
        <v>0.18446944790981201</v>
      </c>
    </row>
    <row r="719" spans="1:17" s="212" customFormat="1" ht="15.5" x14ac:dyDescent="0.35">
      <c r="A719" s="198">
        <v>2028</v>
      </c>
      <c r="B719" s="197" t="s">
        <v>5842</v>
      </c>
      <c r="C719" s="197">
        <v>1984</v>
      </c>
      <c r="D719" s="213" t="str">
        <f t="shared" si="9"/>
        <v>2028_1984</v>
      </c>
      <c r="E719" s="1267">
        <v>0.23415313388290099</v>
      </c>
      <c r="F719" s="1278">
        <v>1.6978357931678201</v>
      </c>
      <c r="G719" s="1248">
        <v>5.1035223345201199</v>
      </c>
      <c r="H719" s="1278">
        <v>3.6179793964240399</v>
      </c>
      <c r="I719" s="1248">
        <v>0.17648938124972999</v>
      </c>
      <c r="J719" s="1278">
        <v>1.5978301365465099E-2</v>
      </c>
      <c r="K719" s="1248">
        <v>3.0000008615327402E-3</v>
      </c>
      <c r="L719" s="1250">
        <v>2.0000005743076301E-3</v>
      </c>
      <c r="M719" s="1273">
        <v>2.0000005743076301E-3</v>
      </c>
      <c r="N719" s="1248">
        <v>3.1850009128239903E-2</v>
      </c>
      <c r="O719" s="1249">
        <v>3.1850009128239903E-2</v>
      </c>
      <c r="P719" s="1251">
        <v>1.5925004564119952E-2</v>
      </c>
      <c r="Q719" s="1252">
        <v>0.18446944790981201</v>
      </c>
    </row>
    <row r="720" spans="1:17" s="212" customFormat="1" ht="15.5" x14ac:dyDescent="0.35">
      <c r="A720" s="198">
        <v>2028</v>
      </c>
      <c r="B720" s="197" t="s">
        <v>5842</v>
      </c>
      <c r="C720" s="197">
        <v>1985</v>
      </c>
      <c r="D720" s="213" t="str">
        <f t="shared" si="9"/>
        <v>2028_1985</v>
      </c>
      <c r="E720" s="1267">
        <v>0.23467363683929099</v>
      </c>
      <c r="F720" s="1278">
        <v>2.0484735931995601</v>
      </c>
      <c r="G720" s="1248">
        <v>5.0843319665278202</v>
      </c>
      <c r="H720" s="1278">
        <v>3.97338519081252</v>
      </c>
      <c r="I720" s="1248">
        <v>0.17688170247639301</v>
      </c>
      <c r="J720" s="1278">
        <v>1.5482888423543201E-2</v>
      </c>
      <c r="K720" s="1248">
        <v>3.0000008615220599E-3</v>
      </c>
      <c r="L720" s="1250">
        <v>2.0000005741239299E-3</v>
      </c>
      <c r="M720" s="1273">
        <v>2.0000005741239299E-3</v>
      </c>
      <c r="N720" s="1248">
        <v>3.1850009128239903E-2</v>
      </c>
      <c r="O720" s="1249">
        <v>3.1850009128239903E-2</v>
      </c>
      <c r="P720" s="1251">
        <v>1.5925004564119952E-2</v>
      </c>
      <c r="Q720" s="1252">
        <v>0.18487950816144499</v>
      </c>
    </row>
    <row r="721" spans="1:17" s="212" customFormat="1" ht="15.5" x14ac:dyDescent="0.35">
      <c r="A721" s="198">
        <v>2028</v>
      </c>
      <c r="B721" s="197" t="s">
        <v>5842</v>
      </c>
      <c r="C721" s="197">
        <v>1986</v>
      </c>
      <c r="D721" s="213" t="str">
        <f t="shared" si="9"/>
        <v>2028_1986</v>
      </c>
      <c r="E721" s="1267">
        <v>0.22753890127349</v>
      </c>
      <c r="F721" s="1278">
        <v>1.6088926134878001</v>
      </c>
      <c r="G721" s="1248">
        <v>5.1982418642121102</v>
      </c>
      <c r="H721" s="1278">
        <v>4.3100408963183403</v>
      </c>
      <c r="I721" s="1248">
        <v>0.17150400351286599</v>
      </c>
      <c r="J721" s="1278">
        <v>1.53887697173977E-2</v>
      </c>
      <c r="K721" s="1248">
        <v>3.00000086124085E-3</v>
      </c>
      <c r="L721" s="1250">
        <v>2.0000005740767302E-3</v>
      </c>
      <c r="M721" s="1273">
        <v>2.0000005740767302E-3</v>
      </c>
      <c r="N721" s="1248">
        <v>3.1850009128239903E-2</v>
      </c>
      <c r="O721" s="1249">
        <v>3.1850009128239903E-2</v>
      </c>
      <c r="P721" s="1251">
        <v>1.5925004564119952E-2</v>
      </c>
      <c r="Q721" s="1252">
        <v>0.17925865351397299</v>
      </c>
    </row>
    <row r="722" spans="1:17" s="212" customFormat="1" ht="15.5" x14ac:dyDescent="0.35">
      <c r="A722" s="198">
        <v>2028</v>
      </c>
      <c r="B722" s="197" t="s">
        <v>5842</v>
      </c>
      <c r="C722" s="197">
        <v>1987</v>
      </c>
      <c r="D722" s="213" t="str">
        <f t="shared" si="9"/>
        <v>2028_1987</v>
      </c>
      <c r="E722" s="1267">
        <v>0.28322902186833099</v>
      </c>
      <c r="F722" s="1278">
        <v>2.0093694402317399</v>
      </c>
      <c r="G722" s="1248">
        <v>5.3390832804893602</v>
      </c>
      <c r="H722" s="1278">
        <v>4.5057444659894497</v>
      </c>
      <c r="I722" s="1248">
        <v>0.19288959534661801</v>
      </c>
      <c r="J722" s="1278">
        <v>1.53334290746723E-2</v>
      </c>
      <c r="K722" s="1248">
        <v>3.0000008612053801E-3</v>
      </c>
      <c r="L722" s="1250">
        <v>2.0000005741647102E-3</v>
      </c>
      <c r="M722" s="1273">
        <v>2.0000005741647102E-3</v>
      </c>
      <c r="N722" s="1248">
        <v>3.1850009128239903E-2</v>
      </c>
      <c r="O722" s="1249">
        <v>3.1850009128239903E-2</v>
      </c>
      <c r="P722" s="1251">
        <v>1.5925004564119952E-2</v>
      </c>
      <c r="Q722" s="1252">
        <v>0.20161120691328999</v>
      </c>
    </row>
    <row r="723" spans="1:17" s="212" customFormat="1" ht="15.5" x14ac:dyDescent="0.35">
      <c r="A723" s="198">
        <v>2028</v>
      </c>
      <c r="B723" s="197" t="s">
        <v>5842</v>
      </c>
      <c r="C723" s="197">
        <v>1988</v>
      </c>
      <c r="D723" s="213" t="str">
        <f t="shared" si="9"/>
        <v>2028_1988</v>
      </c>
      <c r="E723" s="1267">
        <v>0.27849033386319499</v>
      </c>
      <c r="F723" s="1278">
        <v>0.484176797902788</v>
      </c>
      <c r="G723" s="1248">
        <v>5.3803754050070403</v>
      </c>
      <c r="H723" s="1278">
        <v>1.2149079458951</v>
      </c>
      <c r="I723" s="1248">
        <v>0.189662370940888</v>
      </c>
      <c r="J723" s="1278">
        <v>1.3739629096787E-2</v>
      </c>
      <c r="K723" s="1248">
        <v>3.00000086102965E-3</v>
      </c>
      <c r="L723" s="1250">
        <v>2.0000005741488002E-3</v>
      </c>
      <c r="M723" s="1273">
        <v>2.0000005741488002E-3</v>
      </c>
      <c r="N723" s="1248">
        <v>3.1850009128239903E-2</v>
      </c>
      <c r="O723" s="1249">
        <v>3.1850009128239903E-2</v>
      </c>
      <c r="P723" s="1251">
        <v>1.5925004564119952E-2</v>
      </c>
      <c r="Q723" s="1252">
        <v>0.19823806174052799</v>
      </c>
    </row>
    <row r="724" spans="1:17" s="212" customFormat="1" ht="15.5" x14ac:dyDescent="0.35">
      <c r="A724" s="198">
        <v>2028</v>
      </c>
      <c r="B724" s="197" t="s">
        <v>5842</v>
      </c>
      <c r="C724" s="197">
        <v>1989</v>
      </c>
      <c r="D724" s="213" t="str">
        <f t="shared" si="9"/>
        <v>2028_1989</v>
      </c>
      <c r="E724" s="1267">
        <v>0.27988187851720098</v>
      </c>
      <c r="F724" s="1278">
        <v>0.32772912786610597</v>
      </c>
      <c r="G724" s="1248">
        <v>5.3784060402879499</v>
      </c>
      <c r="H724" s="1278">
        <v>1.6423097739709001</v>
      </c>
      <c r="I724" s="1248">
        <v>0.19061006508412001</v>
      </c>
      <c r="J724" s="1278">
        <v>1.34166963628756E-2</v>
      </c>
      <c r="K724" s="1248">
        <v>3.0000008611516999E-3</v>
      </c>
      <c r="L724" s="1250">
        <v>2.0000005740729398E-3</v>
      </c>
      <c r="M724" s="1273">
        <v>2.0000005740729398E-3</v>
      </c>
      <c r="N724" s="1248">
        <v>3.1850009128239903E-2</v>
      </c>
      <c r="O724" s="1249">
        <v>3.1850009128239903E-2</v>
      </c>
      <c r="P724" s="1251">
        <v>1.5925004564119952E-2</v>
      </c>
      <c r="Q724" s="1252">
        <v>0.19922860640758699</v>
      </c>
    </row>
    <row r="725" spans="1:17" s="212" customFormat="1" ht="15.5" x14ac:dyDescent="0.35">
      <c r="A725" s="198">
        <v>2028</v>
      </c>
      <c r="B725" s="197" t="s">
        <v>5842</v>
      </c>
      <c r="C725" s="197">
        <v>1990</v>
      </c>
      <c r="D725" s="213" t="str">
        <f t="shared" si="9"/>
        <v>2028_1990</v>
      </c>
      <c r="E725" s="1267">
        <v>0.28061673932083903</v>
      </c>
      <c r="F725" s="1278">
        <v>0.44681531070130198</v>
      </c>
      <c r="G725" s="1248">
        <v>5.3724570759024797</v>
      </c>
      <c r="H725" s="1278">
        <v>1.6620702523758</v>
      </c>
      <c r="I725" s="1248">
        <v>0.191110532875573</v>
      </c>
      <c r="J725" s="1278">
        <v>1.3975077636401E-2</v>
      </c>
      <c r="K725" s="1248">
        <v>3.0000008611360302E-3</v>
      </c>
      <c r="L725" s="1250">
        <v>2.0000005742089001E-3</v>
      </c>
      <c r="M725" s="1273">
        <v>2.0000005742089001E-3</v>
      </c>
      <c r="N725" s="1248">
        <v>3.1850009128239903E-2</v>
      </c>
      <c r="O725" s="1249">
        <v>3.1850009128239903E-2</v>
      </c>
      <c r="P725" s="1251">
        <v>1.5925004564119952E-2</v>
      </c>
      <c r="Q725" s="1252">
        <v>0.19975170313177701</v>
      </c>
    </row>
    <row r="726" spans="1:17" s="212" customFormat="1" ht="15.5" x14ac:dyDescent="0.35">
      <c r="A726" s="198">
        <v>2028</v>
      </c>
      <c r="B726" s="197" t="s">
        <v>5842</v>
      </c>
      <c r="C726" s="197">
        <v>1991</v>
      </c>
      <c r="D726" s="213" t="str">
        <f t="shared" si="9"/>
        <v>2028_1991</v>
      </c>
      <c r="E726" s="1267">
        <v>0.368999533780348</v>
      </c>
      <c r="F726" s="1278">
        <v>0.46437313949570203</v>
      </c>
      <c r="G726" s="1248">
        <v>9.3437193380631207</v>
      </c>
      <c r="H726" s="1278">
        <v>2.9039430963957602</v>
      </c>
      <c r="I726" s="1248">
        <v>5.22958271218225E-2</v>
      </c>
      <c r="J726" s="1278">
        <v>7.4536796517022698E-3</v>
      </c>
      <c r="K726" s="1248">
        <v>3.0000008612988899E-3</v>
      </c>
      <c r="L726" s="1250">
        <v>2.0000005740669698E-3</v>
      </c>
      <c r="M726" s="1273">
        <v>2.0000005740669698E-3</v>
      </c>
      <c r="N726" s="1248">
        <v>3.1850009128239903E-2</v>
      </c>
      <c r="O726" s="1249">
        <v>3.1850009128239903E-2</v>
      </c>
      <c r="P726" s="1251">
        <v>1.5925004564119952E-2</v>
      </c>
      <c r="Q726" s="1252">
        <v>5.4660412364975298E-2</v>
      </c>
    </row>
    <row r="727" spans="1:17" s="212" customFormat="1" ht="15.5" x14ac:dyDescent="0.35">
      <c r="A727" s="198">
        <v>2028</v>
      </c>
      <c r="B727" s="197" t="s">
        <v>5842</v>
      </c>
      <c r="C727" s="197">
        <v>1992</v>
      </c>
      <c r="D727" s="213" t="str">
        <f t="shared" si="9"/>
        <v>2028_1992</v>
      </c>
      <c r="E727" s="1267">
        <v>0.36983112501703003</v>
      </c>
      <c r="F727" s="1278">
        <v>0.46828584448362198</v>
      </c>
      <c r="G727" s="1248">
        <v>9.3344560231845399</v>
      </c>
      <c r="H727" s="1278">
        <v>2.9087471501020401</v>
      </c>
      <c r="I727" s="1248">
        <v>5.2413682965985801E-2</v>
      </c>
      <c r="J727" s="1278">
        <v>7.5461696633800099E-3</v>
      </c>
      <c r="K727" s="1248">
        <v>3.00000086128036E-3</v>
      </c>
      <c r="L727" s="1250">
        <v>2.0000005741399301E-3</v>
      </c>
      <c r="M727" s="1273">
        <v>2.0000005741399301E-3</v>
      </c>
      <c r="N727" s="1248">
        <v>3.1850009128239903E-2</v>
      </c>
      <c r="O727" s="1249">
        <v>3.1850009128239903E-2</v>
      </c>
      <c r="P727" s="1251">
        <v>1.5925004564119952E-2</v>
      </c>
      <c r="Q727" s="1252">
        <v>5.4783597127434101E-2</v>
      </c>
    </row>
    <row r="728" spans="1:17" s="212" customFormat="1" ht="15.5" x14ac:dyDescent="0.35">
      <c r="A728" s="198">
        <v>2028</v>
      </c>
      <c r="B728" s="197" t="s">
        <v>5842</v>
      </c>
      <c r="C728" s="197">
        <v>1993</v>
      </c>
      <c r="D728" s="213" t="str">
        <f t="shared" si="9"/>
        <v>2028_1993</v>
      </c>
      <c r="E728" s="1267">
        <v>0.37167209772114301</v>
      </c>
      <c r="F728" s="1278">
        <v>0.45899239279045001</v>
      </c>
      <c r="G728" s="1248">
        <v>9.3015860436051092</v>
      </c>
      <c r="H728" s="1278">
        <v>2.8891976542382598</v>
      </c>
      <c r="I728" s="1248">
        <v>5.2674591670351802E-2</v>
      </c>
      <c r="J728" s="1278">
        <v>7.4248455118122196E-3</v>
      </c>
      <c r="K728" s="1248">
        <v>3.0000008613410701E-3</v>
      </c>
      <c r="L728" s="1250">
        <v>2.0000005740671398E-3</v>
      </c>
      <c r="M728" s="1273">
        <v>2.0000005740671398E-3</v>
      </c>
      <c r="N728" s="1248">
        <v>3.1850009128239903E-2</v>
      </c>
      <c r="O728" s="1249">
        <v>3.1850009128239903E-2</v>
      </c>
      <c r="P728" s="1251">
        <v>1.5925004564119952E-2</v>
      </c>
      <c r="Q728" s="1252">
        <v>5.5056302965646398E-2</v>
      </c>
    </row>
    <row r="729" spans="1:17" s="212" customFormat="1" ht="15.5" x14ac:dyDescent="0.35">
      <c r="A729" s="198">
        <v>2028</v>
      </c>
      <c r="B729" s="197" t="s">
        <v>5842</v>
      </c>
      <c r="C729" s="197">
        <v>1994</v>
      </c>
      <c r="D729" s="213" t="str">
        <f t="shared" si="9"/>
        <v>2028_1994</v>
      </c>
      <c r="E729" s="1267">
        <v>0.36566001430193601</v>
      </c>
      <c r="F729" s="1278">
        <v>0.455383187046978</v>
      </c>
      <c r="G729" s="1248">
        <v>9.3947661970097993</v>
      </c>
      <c r="H729" s="1278">
        <v>2.88028699675561</v>
      </c>
      <c r="I729" s="1248">
        <v>5.2358262116946198E-2</v>
      </c>
      <c r="J729" s="1278">
        <v>7.3895668968359998E-3</v>
      </c>
      <c r="K729" s="1248">
        <v>3.0000008612578902E-3</v>
      </c>
      <c r="L729" s="1250">
        <v>2.0000005740535001E-3</v>
      </c>
      <c r="M729" s="1273">
        <v>2.0000005740535001E-3</v>
      </c>
      <c r="N729" s="1248">
        <v>3.1850009128239903E-2</v>
      </c>
      <c r="O729" s="1249">
        <v>3.1850009128239903E-2</v>
      </c>
      <c r="P729" s="1251">
        <v>1.5925004564119952E-2</v>
      </c>
      <c r="Q729" s="1252">
        <v>5.4725670393527402E-2</v>
      </c>
    </row>
    <row r="730" spans="1:17" s="212" customFormat="1" ht="15.5" x14ac:dyDescent="0.35">
      <c r="A730" s="198">
        <v>2028</v>
      </c>
      <c r="B730" s="197" t="s">
        <v>5842</v>
      </c>
      <c r="C730" s="197">
        <v>1995</v>
      </c>
      <c r="D730" s="213" t="str">
        <f t="shared" si="9"/>
        <v>2028_1995</v>
      </c>
      <c r="E730" s="1267">
        <v>0.36780599597063801</v>
      </c>
      <c r="F730" s="1278">
        <v>0.24444008340710599</v>
      </c>
      <c r="G730" s="1248">
        <v>9.3800344745713797</v>
      </c>
      <c r="H730" s="1278">
        <v>1.6463026182493501</v>
      </c>
      <c r="I730" s="1248">
        <v>5.2665541738215603E-2</v>
      </c>
      <c r="J730" s="1278">
        <v>4.8526056410581504E-3</v>
      </c>
      <c r="K730" s="1248">
        <v>3.0000008612526101E-3</v>
      </c>
      <c r="L730" s="1250">
        <v>2.00000057412165E-3</v>
      </c>
      <c r="M730" s="1273">
        <v>2.00000057412165E-3</v>
      </c>
      <c r="N730" s="1248">
        <v>3.1850009128239903E-2</v>
      </c>
      <c r="O730" s="1249">
        <v>3.1850009128239903E-2</v>
      </c>
      <c r="P730" s="1251">
        <v>1.5925004564119952E-2</v>
      </c>
      <c r="Q730" s="1252">
        <v>5.5046843835737498E-2</v>
      </c>
    </row>
    <row r="731" spans="1:17" s="212" customFormat="1" ht="15.5" x14ac:dyDescent="0.35">
      <c r="A731" s="198">
        <v>2028</v>
      </c>
      <c r="B731" s="197" t="s">
        <v>5842</v>
      </c>
      <c r="C731" s="197">
        <v>1996</v>
      </c>
      <c r="D731" s="213" t="str">
        <f t="shared" si="9"/>
        <v>2028_1996</v>
      </c>
      <c r="E731" s="1267">
        <v>0.36924027343076998</v>
      </c>
      <c r="F731" s="1278">
        <v>2.2378770625055101E-2</v>
      </c>
      <c r="G731" s="1248">
        <v>9.3558214773567503</v>
      </c>
      <c r="H731" s="1278">
        <v>0.39324553088125203</v>
      </c>
      <c r="I731" s="1248">
        <v>5.2870913592585202E-2</v>
      </c>
      <c r="J731" s="1278">
        <v>2.1816137664160602E-3</v>
      </c>
      <c r="K731" s="1248">
        <v>3.0000008612878402E-3</v>
      </c>
      <c r="L731" s="1250">
        <v>2.0000005741364398E-3</v>
      </c>
      <c r="M731" s="1273">
        <v>2.0000005741364398E-3</v>
      </c>
      <c r="N731" s="1248">
        <v>3.1850009128239903E-2</v>
      </c>
      <c r="O731" s="1249">
        <v>3.1850009128239903E-2</v>
      </c>
      <c r="P731" s="1251">
        <v>1.5925004564119952E-2</v>
      </c>
      <c r="Q731" s="1252">
        <v>5.5261501694037499E-2</v>
      </c>
    </row>
    <row r="732" spans="1:17" s="212" customFormat="1" ht="15.5" x14ac:dyDescent="0.35">
      <c r="A732" s="198">
        <v>2028</v>
      </c>
      <c r="B732" s="197" t="s">
        <v>5842</v>
      </c>
      <c r="C732" s="197">
        <v>1997</v>
      </c>
      <c r="D732" s="213" t="str">
        <f t="shared" si="9"/>
        <v>2028_1997</v>
      </c>
      <c r="E732" s="1267">
        <v>0.371072195518728</v>
      </c>
      <c r="F732" s="1278">
        <v>2.14930245128888E-2</v>
      </c>
      <c r="G732" s="1248">
        <v>9.3114796008364706</v>
      </c>
      <c r="H732" s="1278">
        <v>0.38781256996625402</v>
      </c>
      <c r="I732" s="1248">
        <v>5.3133223533808199E-2</v>
      </c>
      <c r="J732" s="1278">
        <v>2.0992378918302098E-3</v>
      </c>
      <c r="K732" s="1248">
        <v>3.0000008612881702E-3</v>
      </c>
      <c r="L732" s="1250">
        <v>2.0000005740535101E-3</v>
      </c>
      <c r="M732" s="1273">
        <v>2.0000005740535101E-3</v>
      </c>
      <c r="N732" s="1248">
        <v>3.1850009128239903E-2</v>
      </c>
      <c r="O732" s="1249">
        <v>3.1850009128239903E-2</v>
      </c>
      <c r="P732" s="1251">
        <v>1.5925004564119952E-2</v>
      </c>
      <c r="Q732" s="1252">
        <v>5.5535672126819501E-2</v>
      </c>
    </row>
    <row r="733" spans="1:17" s="212" customFormat="1" ht="15.5" x14ac:dyDescent="0.35">
      <c r="A733" s="198">
        <v>2028</v>
      </c>
      <c r="B733" s="197" t="s">
        <v>5842</v>
      </c>
      <c r="C733" s="197">
        <v>1998</v>
      </c>
      <c r="D733" s="213" t="str">
        <f t="shared" si="9"/>
        <v>2028_1998</v>
      </c>
      <c r="E733" s="1267">
        <v>0.37265146539841598</v>
      </c>
      <c r="F733" s="1278">
        <v>2.1780954831284501E-2</v>
      </c>
      <c r="G733" s="1248">
        <v>9.2989680222582294</v>
      </c>
      <c r="H733" s="1278">
        <v>0.38984693307471402</v>
      </c>
      <c r="I733" s="1248">
        <v>5.3359356616672002E-2</v>
      </c>
      <c r="J733" s="1278">
        <v>2.1302368149803499E-3</v>
      </c>
      <c r="K733" s="1248">
        <v>3.0000008613701801E-3</v>
      </c>
      <c r="L733" s="1250">
        <v>2.0000005740955702E-3</v>
      </c>
      <c r="M733" s="1273">
        <v>2.0000005740955702E-3</v>
      </c>
      <c r="N733" s="1248">
        <v>3.1850009128239903E-2</v>
      </c>
      <c r="O733" s="1249">
        <v>3.1850009128239903E-2</v>
      </c>
      <c r="P733" s="1251">
        <v>1.5925004564119952E-2</v>
      </c>
      <c r="Q733" s="1252">
        <v>5.5772029944239798E-2</v>
      </c>
    </row>
    <row r="734" spans="1:17" s="212" customFormat="1" ht="15.5" x14ac:dyDescent="0.35">
      <c r="A734" s="198">
        <v>2028</v>
      </c>
      <c r="B734" s="197" t="s">
        <v>5842</v>
      </c>
      <c r="C734" s="197">
        <v>1999</v>
      </c>
      <c r="D734" s="213" t="str">
        <f t="shared" si="9"/>
        <v>2028_1999</v>
      </c>
      <c r="E734" s="1267">
        <v>0.37055197008847301</v>
      </c>
      <c r="F734" s="1278">
        <v>2.1827776872848498E-2</v>
      </c>
      <c r="G734" s="1248">
        <v>9.3306754579226592</v>
      </c>
      <c r="H734" s="1278">
        <v>0.39013379570427098</v>
      </c>
      <c r="I734" s="1248">
        <v>5.3058733301428899E-2</v>
      </c>
      <c r="J734" s="1278">
        <v>2.1300845483842199E-3</v>
      </c>
      <c r="K734" s="1248">
        <v>3.0000008613352402E-3</v>
      </c>
      <c r="L734" s="1250">
        <v>2.00000057411019E-3</v>
      </c>
      <c r="M734" s="1273">
        <v>2.00000057411019E-3</v>
      </c>
      <c r="N734" s="1248">
        <v>3.1850009128239903E-2</v>
      </c>
      <c r="O734" s="1249">
        <v>3.1850009128239903E-2</v>
      </c>
      <c r="P734" s="1251">
        <v>1.5925004564119952E-2</v>
      </c>
      <c r="Q734" s="1252">
        <v>5.5457813776677502E-2</v>
      </c>
    </row>
    <row r="735" spans="1:17" s="212" customFormat="1" ht="15.5" x14ac:dyDescent="0.35">
      <c r="A735" s="198">
        <v>2028</v>
      </c>
      <c r="B735" s="197" t="s">
        <v>5842</v>
      </c>
      <c r="C735" s="197">
        <v>2000</v>
      </c>
      <c r="D735" s="213" t="str">
        <f t="shared" si="9"/>
        <v>2028_2000</v>
      </c>
      <c r="E735" s="1267">
        <v>0.36682856934892499</v>
      </c>
      <c r="F735" s="1278">
        <v>2.21205077165091E-2</v>
      </c>
      <c r="G735" s="1248">
        <v>9.4073352604858798</v>
      </c>
      <c r="H735" s="1278">
        <v>0.39267996384569998</v>
      </c>
      <c r="I735" s="1248">
        <v>5.2525585611600499E-2</v>
      </c>
      <c r="J735" s="1278">
        <v>2.16196841460391E-3</v>
      </c>
      <c r="K735" s="1248">
        <v>3.0000008612527298E-3</v>
      </c>
      <c r="L735" s="1250">
        <v>2.0000005741498401E-3</v>
      </c>
      <c r="M735" s="1273">
        <v>2.0000005741498401E-3</v>
      </c>
      <c r="N735" s="1248">
        <v>3.1850009128239903E-2</v>
      </c>
      <c r="O735" s="1249">
        <v>3.1850009128239903E-2</v>
      </c>
      <c r="P735" s="1251">
        <v>1.5925004564119952E-2</v>
      </c>
      <c r="Q735" s="1252">
        <v>5.4900559514122899E-2</v>
      </c>
    </row>
    <row r="736" spans="1:17" s="212" customFormat="1" ht="15.5" x14ac:dyDescent="0.35">
      <c r="A736" s="198">
        <v>2028</v>
      </c>
      <c r="B736" s="197" t="s">
        <v>5842</v>
      </c>
      <c r="C736" s="197">
        <v>2001</v>
      </c>
      <c r="D736" s="213" t="str">
        <f t="shared" si="9"/>
        <v>2028_2001</v>
      </c>
      <c r="E736" s="1267">
        <v>0.37029149398993499</v>
      </c>
      <c r="F736" s="1278">
        <v>2.2206310038174099E-2</v>
      </c>
      <c r="G736" s="1248">
        <v>9.33628700919812</v>
      </c>
      <c r="H736" s="1278">
        <v>0.39395116097201399</v>
      </c>
      <c r="I736" s="1248">
        <v>5.3021436152960198E-2</v>
      </c>
      <c r="J736" s="1278">
        <v>2.1728890776200101E-3</v>
      </c>
      <c r="K736" s="1248">
        <v>3.00000086133343E-3</v>
      </c>
      <c r="L736" s="1250">
        <v>2.00000057417829E-3</v>
      </c>
      <c r="M736" s="1273">
        <v>2.00000057417829E-3</v>
      </c>
      <c r="N736" s="1248">
        <v>3.1850009128239903E-2</v>
      </c>
      <c r="O736" s="1249">
        <v>3.1850009128239903E-2</v>
      </c>
      <c r="P736" s="1251">
        <v>1.5925004564119952E-2</v>
      </c>
      <c r="Q736" s="1252">
        <v>5.54188302166587E-2</v>
      </c>
    </row>
    <row r="737" spans="1:17" s="212" customFormat="1" ht="15.5" x14ac:dyDescent="0.35">
      <c r="A737" s="198">
        <v>2028</v>
      </c>
      <c r="B737" s="197" t="s">
        <v>5842</v>
      </c>
      <c r="C737" s="197">
        <v>2002</v>
      </c>
      <c r="D737" s="213" t="str">
        <f t="shared" si="9"/>
        <v>2028_2002</v>
      </c>
      <c r="E737" s="1267">
        <v>0.28710802304775401</v>
      </c>
      <c r="F737" s="1278">
        <v>2.2138778520530599E-2</v>
      </c>
      <c r="G737" s="1248">
        <v>7.1945145596242703</v>
      </c>
      <c r="H737" s="1278">
        <v>0.31754470386283501</v>
      </c>
      <c r="I737" s="1248">
        <v>5.35163348943914E-2</v>
      </c>
      <c r="J737" s="1278">
        <v>2.1703129589618298E-3</v>
      </c>
      <c r="K737" s="1248">
        <v>3.0000008613471E-3</v>
      </c>
      <c r="L737" s="1250">
        <v>2.00000057415314E-3</v>
      </c>
      <c r="M737" s="1273">
        <v>2.00000057415314E-3</v>
      </c>
      <c r="N737" s="1248">
        <v>3.1850009128239903E-2</v>
      </c>
      <c r="O737" s="1249">
        <v>3.1850009128239903E-2</v>
      </c>
      <c r="P737" s="1251">
        <v>1.5925004564119952E-2</v>
      </c>
      <c r="Q737" s="1252">
        <v>5.5936106083096702E-2</v>
      </c>
    </row>
    <row r="738" spans="1:17" s="212" customFormat="1" ht="15.5" x14ac:dyDescent="0.35">
      <c r="A738" s="198">
        <v>2028</v>
      </c>
      <c r="B738" s="197" t="s">
        <v>5842</v>
      </c>
      <c r="C738" s="197">
        <v>2003</v>
      </c>
      <c r="D738" s="213" t="str">
        <f t="shared" si="9"/>
        <v>2028_2003</v>
      </c>
      <c r="E738" s="1267">
        <v>0.28455397116695702</v>
      </c>
      <c r="F738" s="1278">
        <v>2.1831354261754799E-2</v>
      </c>
      <c r="G738" s="1248">
        <v>7.2381741616308304</v>
      </c>
      <c r="H738" s="1278">
        <v>0.31684739899799202</v>
      </c>
      <c r="I738" s="1248">
        <v>5.3040264966635803E-2</v>
      </c>
      <c r="J738" s="1278">
        <v>2.1391251161064799E-3</v>
      </c>
      <c r="K738" s="1248">
        <v>3.00000086127197E-3</v>
      </c>
      <c r="L738" s="1250">
        <v>2.0000005741390701E-3</v>
      </c>
      <c r="M738" s="1273">
        <v>2.0000005741390701E-3</v>
      </c>
      <c r="N738" s="1248">
        <v>3.1850009128239903E-2</v>
      </c>
      <c r="O738" s="1249">
        <v>3.1850009128239903E-2</v>
      </c>
      <c r="P738" s="1251">
        <v>1.5925004564119952E-2</v>
      </c>
      <c r="Q738" s="1252">
        <v>5.5438510385737098E-2</v>
      </c>
    </row>
    <row r="739" spans="1:17" s="212" customFormat="1" ht="15.5" x14ac:dyDescent="0.35">
      <c r="A739" s="198">
        <v>2028</v>
      </c>
      <c r="B739" s="197" t="s">
        <v>5842</v>
      </c>
      <c r="C739" s="197">
        <v>2004</v>
      </c>
      <c r="D739" s="213" t="str">
        <f t="shared" si="9"/>
        <v>2028_2004</v>
      </c>
      <c r="E739" s="1267">
        <v>0.576756965695018</v>
      </c>
      <c r="F739" s="1278">
        <v>1.4291846208320899E-2</v>
      </c>
      <c r="G739" s="1248">
        <v>4.1446193509690596</v>
      </c>
      <c r="H739" s="1278">
        <v>0.26794488618305601</v>
      </c>
      <c r="I739" s="1248">
        <v>0.150243373365026</v>
      </c>
      <c r="J739" s="1278">
        <v>1.3909387685590599E-4</v>
      </c>
      <c r="K739" s="1248">
        <v>3.0000008612671202E-3</v>
      </c>
      <c r="L739" s="1250">
        <v>2.0000005740738098E-3</v>
      </c>
      <c r="M739" s="1273">
        <v>2.0000005740738098E-3</v>
      </c>
      <c r="N739" s="1248">
        <v>3.1850009128239903E-2</v>
      </c>
      <c r="O739" s="1249">
        <v>3.1850009128239903E-2</v>
      </c>
      <c r="P739" s="1251">
        <v>1.5925004564119952E-2</v>
      </c>
      <c r="Q739" s="1252">
        <v>0.157036712013497</v>
      </c>
    </row>
    <row r="740" spans="1:17" s="212" customFormat="1" ht="15.5" x14ac:dyDescent="0.35">
      <c r="A740" s="198">
        <v>2028</v>
      </c>
      <c r="B740" s="197" t="s">
        <v>5842</v>
      </c>
      <c r="C740" s="197">
        <v>2005</v>
      </c>
      <c r="D740" s="213" t="str">
        <f t="shared" si="9"/>
        <v>2028_2005</v>
      </c>
      <c r="E740" s="1267">
        <v>0.57368101126638604</v>
      </c>
      <c r="F740" s="1278">
        <v>1.43932123771569E-2</v>
      </c>
      <c r="G740" s="1248">
        <v>4.1367916369460698</v>
      </c>
      <c r="H740" s="1278">
        <v>0.26910685803497397</v>
      </c>
      <c r="I740" s="1248">
        <v>0.14960402753846999</v>
      </c>
      <c r="J740" s="1278">
        <v>1.41013443258104E-4</v>
      </c>
      <c r="K740" s="1248">
        <v>3.0000008612419801E-3</v>
      </c>
      <c r="L740" s="1250">
        <v>2.0000005741122799E-3</v>
      </c>
      <c r="M740" s="1273">
        <v>2.0000005741122799E-3</v>
      </c>
      <c r="N740" s="1248">
        <v>3.1850009128239903E-2</v>
      </c>
      <c r="O740" s="1249">
        <v>3.1850009128239903E-2</v>
      </c>
      <c r="P740" s="1251">
        <v>1.5925004564119952E-2</v>
      </c>
      <c r="Q740" s="1252">
        <v>0.15636845780571901</v>
      </c>
    </row>
    <row r="741" spans="1:17" s="212" customFormat="1" ht="15.5" x14ac:dyDescent="0.35">
      <c r="A741" s="198">
        <v>2028</v>
      </c>
      <c r="B741" s="197" t="s">
        <v>5842</v>
      </c>
      <c r="C741" s="197">
        <v>2006</v>
      </c>
      <c r="D741" s="213" t="str">
        <f t="shared" si="9"/>
        <v>2028_2006</v>
      </c>
      <c r="E741" s="1267">
        <v>0.56821984941254899</v>
      </c>
      <c r="F741" s="1278">
        <v>1.4438177155214499E-2</v>
      </c>
      <c r="G741" s="1248">
        <v>4.1228316090822901</v>
      </c>
      <c r="H741" s="1278">
        <v>0.26906288412656199</v>
      </c>
      <c r="I741" s="1248">
        <v>0.14848448903537401</v>
      </c>
      <c r="J741" s="1278">
        <v>1.4197552456294101E-4</v>
      </c>
      <c r="K741" s="1248">
        <v>3.0000008612282299E-3</v>
      </c>
      <c r="L741" s="1250">
        <v>2.00000057412713E-3</v>
      </c>
      <c r="M741" s="1273">
        <v>2.00000057412713E-3</v>
      </c>
      <c r="N741" s="1248">
        <v>3.1850009128239903E-2</v>
      </c>
      <c r="O741" s="1249">
        <v>3.1850009128239903E-2</v>
      </c>
      <c r="P741" s="1251">
        <v>1.5925004564119952E-2</v>
      </c>
      <c r="Q741" s="1252">
        <v>0.155198298739392</v>
      </c>
    </row>
    <row r="742" spans="1:17" s="212" customFormat="1" ht="15.5" x14ac:dyDescent="0.35">
      <c r="A742" s="198">
        <v>2028</v>
      </c>
      <c r="B742" s="197" t="s">
        <v>5842</v>
      </c>
      <c r="C742" s="197">
        <v>2007</v>
      </c>
      <c r="D742" s="213" t="str">
        <f t="shared" si="9"/>
        <v>2028_2007</v>
      </c>
      <c r="E742" s="1267">
        <v>0.33012320555456898</v>
      </c>
      <c r="F742" s="1278">
        <v>1.42103827959722E-2</v>
      </c>
      <c r="G742" s="1248">
        <v>2.4774893087290999</v>
      </c>
      <c r="H742" s="1278">
        <v>0.26822793507865</v>
      </c>
      <c r="I742" s="1248">
        <v>8.6847312077509398E-2</v>
      </c>
      <c r="J742" s="1278">
        <v>1.4513032719324099E-4</v>
      </c>
      <c r="K742" s="1248">
        <v>3.00000086123176E-3</v>
      </c>
      <c r="L742" s="1250">
        <v>2.0000005741831802E-3</v>
      </c>
      <c r="M742" s="1273">
        <v>2.0000005741831802E-3</v>
      </c>
      <c r="N742" s="1248">
        <v>3.1850009128239903E-2</v>
      </c>
      <c r="O742" s="1249">
        <v>3.1850009128239903E-2</v>
      </c>
      <c r="P742" s="1251">
        <v>1.5925004564119952E-2</v>
      </c>
      <c r="Q742" s="1252">
        <v>9.07741621504147E-2</v>
      </c>
    </row>
    <row r="743" spans="1:17" s="212" customFormat="1" ht="15.5" x14ac:dyDescent="0.35">
      <c r="A743" s="198">
        <v>2028</v>
      </c>
      <c r="B743" s="197" t="s">
        <v>5842</v>
      </c>
      <c r="C743" s="197">
        <v>2008</v>
      </c>
      <c r="D743" s="213" t="str">
        <f t="shared" si="9"/>
        <v>2028_2008</v>
      </c>
      <c r="E743" s="1267">
        <v>0.33543613601335298</v>
      </c>
      <c r="F743" s="1278">
        <v>9.51058064194364E-3</v>
      </c>
      <c r="G743" s="1248">
        <v>2.49748221383352</v>
      </c>
      <c r="H743" s="1278">
        <v>0.15333900745805501</v>
      </c>
      <c r="I743" s="1248">
        <v>8.7959158467004195E-2</v>
      </c>
      <c r="J743" s="1278">
        <v>1.41331181353483E-4</v>
      </c>
      <c r="K743" s="1248">
        <v>3.00000086131888E-3</v>
      </c>
      <c r="L743" s="1250">
        <v>2.00000057420602E-3</v>
      </c>
      <c r="M743" s="1273">
        <v>2.00000057420602E-3</v>
      </c>
      <c r="N743" s="1248">
        <v>3.1850009128239903E-2</v>
      </c>
      <c r="O743" s="1249">
        <v>3.1850009128239903E-2</v>
      </c>
      <c r="P743" s="1251">
        <v>1.5925004564119952E-2</v>
      </c>
      <c r="Q743" s="1252">
        <v>9.1936281299897102E-2</v>
      </c>
    </row>
    <row r="744" spans="1:17" s="212" customFormat="1" ht="15.5" x14ac:dyDescent="0.35">
      <c r="A744" s="198">
        <v>2028</v>
      </c>
      <c r="B744" s="197" t="s">
        <v>5842</v>
      </c>
      <c r="C744" s="197">
        <v>2009</v>
      </c>
      <c r="D744" s="213" t="str">
        <f t="shared" si="9"/>
        <v>2028_2009</v>
      </c>
      <c r="E744" s="1267">
        <v>0.33132668010576</v>
      </c>
      <c r="F744" s="1278">
        <v>4.5976833331237603E-3</v>
      </c>
      <c r="G744" s="1248">
        <v>2.4876799694522802</v>
      </c>
      <c r="H744" s="1278">
        <v>4.02050581770814E-2</v>
      </c>
      <c r="I744" s="1248">
        <v>8.7084527835266295E-2</v>
      </c>
      <c r="J744" s="1278">
        <v>1.2995905829297401E-4</v>
      </c>
      <c r="K744" s="1248">
        <v>3.00000086128019E-3</v>
      </c>
      <c r="L744" s="1250">
        <v>2.0000005741498102E-3</v>
      </c>
      <c r="M744" s="1273">
        <v>2.0000005741498102E-3</v>
      </c>
      <c r="N744" s="1248">
        <v>3.1850009128239903E-2</v>
      </c>
      <c r="O744" s="1249">
        <v>3.1850009128239903E-2</v>
      </c>
      <c r="P744" s="1251">
        <v>1.5925004564119952E-2</v>
      </c>
      <c r="Q744" s="1252">
        <v>9.1022103752108105E-2</v>
      </c>
    </row>
    <row r="745" spans="1:17" s="212" customFormat="1" ht="15.5" x14ac:dyDescent="0.35">
      <c r="A745" s="198">
        <v>2028</v>
      </c>
      <c r="B745" s="197" t="s">
        <v>5842</v>
      </c>
      <c r="C745" s="197">
        <v>2010</v>
      </c>
      <c r="D745" s="213" t="str">
        <f t="shared" si="9"/>
        <v>2028_2010</v>
      </c>
      <c r="E745" s="1267">
        <v>8.8617967252113697E-2</v>
      </c>
      <c r="F745" s="1278">
        <v>4.6410221420213702E-3</v>
      </c>
      <c r="G745" s="1248">
        <v>0.79735659126756497</v>
      </c>
      <c r="H745" s="1278">
        <v>4.00064284564303E-2</v>
      </c>
      <c r="I745" s="1248">
        <v>2.3523090340544998E-2</v>
      </c>
      <c r="J745" s="1278">
        <v>1.58743324134224E-4</v>
      </c>
      <c r="K745" s="1248">
        <v>3.0000008613250101E-3</v>
      </c>
      <c r="L745" s="1250">
        <v>2.0000005741268199E-3</v>
      </c>
      <c r="M745" s="1273">
        <v>2.0000005741268199E-3</v>
      </c>
      <c r="N745" s="1248">
        <v>3.1850009128239903E-2</v>
      </c>
      <c r="O745" s="1249">
        <v>3.1850009128239903E-2</v>
      </c>
      <c r="P745" s="1251">
        <v>1.5925004564119952E-2</v>
      </c>
      <c r="Q745" s="1252">
        <v>2.4586700103577001E-2</v>
      </c>
    </row>
    <row r="746" spans="1:17" s="212" customFormat="1" ht="15.5" x14ac:dyDescent="0.35">
      <c r="A746" s="198">
        <v>2028</v>
      </c>
      <c r="B746" s="197" t="s">
        <v>5842</v>
      </c>
      <c r="C746" s="197">
        <v>2011</v>
      </c>
      <c r="D746" s="213" t="str">
        <f t="shared" si="9"/>
        <v>2028_2011</v>
      </c>
      <c r="E746" s="1267">
        <v>8.7194332138874897E-2</v>
      </c>
      <c r="F746" s="1278">
        <v>4.7964191843640697E-3</v>
      </c>
      <c r="G746" s="1248">
        <v>0.78438503987899399</v>
      </c>
      <c r="H746" s="1278">
        <v>3.94850688770799E-2</v>
      </c>
      <c r="I746" s="1248">
        <v>2.2931129064463301E-2</v>
      </c>
      <c r="J746" s="1278">
        <v>2.1703511149591401E-4</v>
      </c>
      <c r="K746" s="1248">
        <v>3.00000086129577E-3</v>
      </c>
      <c r="L746" s="1250">
        <v>2.0000005742268501E-3</v>
      </c>
      <c r="M746" s="1273">
        <v>2.0000005742268501E-3</v>
      </c>
      <c r="N746" s="1248">
        <v>3.1850009128239903E-2</v>
      </c>
      <c r="O746" s="1249">
        <v>3.1850009128239903E-2</v>
      </c>
      <c r="P746" s="1251">
        <v>1.5925004564119952E-2</v>
      </c>
      <c r="Q746" s="1252">
        <v>2.39679729653802E-2</v>
      </c>
    </row>
    <row r="747" spans="1:17" s="212" customFormat="1" ht="15.5" x14ac:dyDescent="0.35">
      <c r="A747" s="198">
        <v>2028</v>
      </c>
      <c r="B747" s="197" t="s">
        <v>5842</v>
      </c>
      <c r="C747" s="197">
        <v>2012</v>
      </c>
      <c r="D747" s="213" t="str">
        <f t="shared" si="9"/>
        <v>2028_2012</v>
      </c>
      <c r="E747" s="1267">
        <v>8.7225045008745394E-2</v>
      </c>
      <c r="F747" s="1278">
        <v>4.7653223393086201E-3</v>
      </c>
      <c r="G747" s="1248">
        <v>0.77650612112050599</v>
      </c>
      <c r="H747" s="1278">
        <v>3.918698705418E-2</v>
      </c>
      <c r="I747" s="1248">
        <v>2.2552648931014399E-2</v>
      </c>
      <c r="J747" s="1278">
        <v>3.16904124918542E-4</v>
      </c>
      <c r="K747" s="1248">
        <v>3.0000008613545598E-3</v>
      </c>
      <c r="L747" s="1250">
        <v>2.0000005742358399E-3</v>
      </c>
      <c r="M747" s="1273">
        <v>2.0000005742358399E-3</v>
      </c>
      <c r="N747" s="1248">
        <v>3.1850009128239903E-2</v>
      </c>
      <c r="O747" s="1249">
        <v>3.1850009128239903E-2</v>
      </c>
      <c r="P747" s="1251">
        <v>1.5925004564119952E-2</v>
      </c>
      <c r="Q747" s="1252">
        <v>2.3572379639777399E-2</v>
      </c>
    </row>
    <row r="748" spans="1:17" s="212" customFormat="1" ht="15.5" x14ac:dyDescent="0.35">
      <c r="A748" s="198">
        <v>2028</v>
      </c>
      <c r="B748" s="197" t="s">
        <v>5842</v>
      </c>
      <c r="C748" s="197">
        <v>2013</v>
      </c>
      <c r="D748" s="213" t="str">
        <f t="shared" si="9"/>
        <v>2028_2013</v>
      </c>
      <c r="E748" s="1267">
        <v>8.6451837556689198E-2</v>
      </c>
      <c r="F748" s="1278">
        <v>4.8055890964625401E-3</v>
      </c>
      <c r="G748" s="1248">
        <v>0.76313318045460998</v>
      </c>
      <c r="H748" s="1278">
        <v>3.8763836608227298E-2</v>
      </c>
      <c r="I748" s="1248">
        <v>2.1966966879185999E-2</v>
      </c>
      <c r="J748" s="1278">
        <v>4.7583894722091501E-4</v>
      </c>
      <c r="K748" s="1248">
        <v>3.00000086137862E-3</v>
      </c>
      <c r="L748" s="1250">
        <v>2.0000005742725501E-3</v>
      </c>
      <c r="M748" s="1273">
        <v>2.0000005742725501E-3</v>
      </c>
      <c r="N748" s="1248">
        <v>3.1850009128239903E-2</v>
      </c>
      <c r="O748" s="1249">
        <v>3.1850009128239903E-2</v>
      </c>
      <c r="P748" s="1251">
        <v>1.5925004564119952E-2</v>
      </c>
      <c r="Q748" s="1252">
        <v>2.2960215644490901E-2</v>
      </c>
    </row>
    <row r="749" spans="1:17" s="212" customFormat="1" ht="15.5" x14ac:dyDescent="0.35">
      <c r="A749" s="198">
        <v>2028</v>
      </c>
      <c r="B749" s="197" t="s">
        <v>5842</v>
      </c>
      <c r="C749" s="197">
        <v>2014</v>
      </c>
      <c r="D749" s="213" t="str">
        <f t="shared" si="9"/>
        <v>2028_2014</v>
      </c>
      <c r="E749" s="1267">
        <v>8.4619048784448495E-2</v>
      </c>
      <c r="F749" s="1278">
        <v>4.7081529154748896E-3</v>
      </c>
      <c r="G749" s="1248">
        <v>0.74589657653854602</v>
      </c>
      <c r="H749" s="1278">
        <v>3.8783359574212403E-2</v>
      </c>
      <c r="I749" s="1248">
        <v>2.1168125868200199E-2</v>
      </c>
      <c r="J749" s="1278">
        <v>6.6074855778636404E-4</v>
      </c>
      <c r="K749" s="1248">
        <v>3.00000086131529E-3</v>
      </c>
      <c r="L749" s="1250">
        <v>2.0000005742279699E-3</v>
      </c>
      <c r="M749" s="1273">
        <v>2.0000005742279699E-3</v>
      </c>
      <c r="N749" s="1248">
        <v>3.1850009128239903E-2</v>
      </c>
      <c r="O749" s="1249">
        <v>3.1850009128239903E-2</v>
      </c>
      <c r="P749" s="1251">
        <v>1.5925004564119952E-2</v>
      </c>
      <c r="Q749" s="1252">
        <v>2.2125254587792902E-2</v>
      </c>
    </row>
    <row r="750" spans="1:17" s="212" customFormat="1" ht="15.5" x14ac:dyDescent="0.35">
      <c r="A750" s="198">
        <v>2028</v>
      </c>
      <c r="B750" s="197" t="s">
        <v>5842</v>
      </c>
      <c r="C750" s="197">
        <v>2015</v>
      </c>
      <c r="D750" s="213" t="str">
        <f t="shared" si="9"/>
        <v>2028_2015</v>
      </c>
      <c r="E750" s="1267">
        <v>8.3949987955757505E-2</v>
      </c>
      <c r="F750" s="1278">
        <v>4.8536932855988901E-3</v>
      </c>
      <c r="G750" s="1248">
        <v>0.73202118225257196</v>
      </c>
      <c r="H750" s="1278">
        <v>3.8428300251704697E-2</v>
      </c>
      <c r="I750" s="1248">
        <v>2.0515306037616199E-2</v>
      </c>
      <c r="J750" s="1278">
        <v>8.3614385197653795E-4</v>
      </c>
      <c r="K750" s="1248">
        <v>3.0000008613248999E-3</v>
      </c>
      <c r="L750" s="1250">
        <v>2.0000005742627498E-3</v>
      </c>
      <c r="M750" s="1273">
        <v>2.0000005742627498E-3</v>
      </c>
      <c r="N750" s="1248">
        <v>3.1850009128239903E-2</v>
      </c>
      <c r="O750" s="1249">
        <v>3.1850009128239903E-2</v>
      </c>
      <c r="P750" s="1251">
        <v>1.5925004564119952E-2</v>
      </c>
      <c r="Q750" s="1252">
        <v>2.1442917141315E-2</v>
      </c>
    </row>
    <row r="751" spans="1:17" s="212" customFormat="1" ht="15.5" x14ac:dyDescent="0.35">
      <c r="A751" s="198">
        <v>2028</v>
      </c>
      <c r="B751" s="197" t="s">
        <v>5842</v>
      </c>
      <c r="C751" s="197">
        <v>2016</v>
      </c>
      <c r="D751" s="213" t="str">
        <f t="shared" si="9"/>
        <v>2028_2016</v>
      </c>
      <c r="E751" s="1267">
        <v>8.3083368789598405E-2</v>
      </c>
      <c r="F751" s="1278">
        <v>4.5219072473573103E-3</v>
      </c>
      <c r="G751" s="1248">
        <v>0.63313117837421795</v>
      </c>
      <c r="H751" s="1278">
        <v>3.59375182057479E-2</v>
      </c>
      <c r="I751" s="1248">
        <v>1.9778742378901801E-2</v>
      </c>
      <c r="J751" s="1278">
        <v>9.6215924290022205E-4</v>
      </c>
      <c r="K751" s="1248">
        <v>3.0000008613405302E-3</v>
      </c>
      <c r="L751" s="1250">
        <v>2.0000005742438001E-3</v>
      </c>
      <c r="M751" s="1273">
        <v>2.0000005742438001E-3</v>
      </c>
      <c r="N751" s="1248">
        <v>3.1850009128239903E-2</v>
      </c>
      <c r="O751" s="1249">
        <v>3.1850009128239903E-2</v>
      </c>
      <c r="P751" s="1251">
        <v>1.5925004564119952E-2</v>
      </c>
      <c r="Q751" s="1252">
        <v>2.0673049342406401E-2</v>
      </c>
    </row>
    <row r="752" spans="1:17" s="212" customFormat="1" ht="15.5" x14ac:dyDescent="0.35">
      <c r="A752" s="198">
        <v>2028</v>
      </c>
      <c r="B752" s="197" t="s">
        <v>5842</v>
      </c>
      <c r="C752" s="197">
        <v>2017</v>
      </c>
      <c r="D752" s="213" t="str">
        <f t="shared" si="9"/>
        <v>2028_2017</v>
      </c>
      <c r="E752" s="1267">
        <v>8.1043383157603399E-2</v>
      </c>
      <c r="F752" s="1278">
        <v>4.3389326359582802E-3</v>
      </c>
      <c r="G752" s="1248">
        <v>0.53330684359542802</v>
      </c>
      <c r="H752" s="1278">
        <v>3.3510422469600197E-2</v>
      </c>
      <c r="I752" s="1248">
        <v>1.8799631540833799E-2</v>
      </c>
      <c r="J752" s="1278">
        <v>1.0375773885712999E-3</v>
      </c>
      <c r="K752" s="1248">
        <v>3.0000008612862E-3</v>
      </c>
      <c r="L752" s="1250">
        <v>2.0000005742966702E-3</v>
      </c>
      <c r="M752" s="1273">
        <v>2.0000005742966702E-3</v>
      </c>
      <c r="N752" s="1248">
        <v>3.1850009128239903E-2</v>
      </c>
      <c r="O752" s="1249">
        <v>3.1850009128239903E-2</v>
      </c>
      <c r="P752" s="1251">
        <v>1.5925004564119952E-2</v>
      </c>
      <c r="Q752" s="1252">
        <v>1.96496674569809E-2</v>
      </c>
    </row>
    <row r="753" spans="1:17" s="212" customFormat="1" ht="15.5" x14ac:dyDescent="0.35">
      <c r="A753" s="198">
        <v>2028</v>
      </c>
      <c r="B753" s="197" t="s">
        <v>5842</v>
      </c>
      <c r="C753" s="197">
        <v>2018</v>
      </c>
      <c r="D753" s="213" t="str">
        <f t="shared" si="9"/>
        <v>2028_2018</v>
      </c>
      <c r="E753" s="1267">
        <v>8.0691201131654594E-2</v>
      </c>
      <c r="F753" s="1278">
        <v>3.89598833789299E-3</v>
      </c>
      <c r="G753" s="1248">
        <v>0.43173983204509397</v>
      </c>
      <c r="H753" s="1278">
        <v>3.0152870628912601E-2</v>
      </c>
      <c r="I753" s="1248">
        <v>1.8044434907647702E-2</v>
      </c>
      <c r="J753" s="1278">
        <v>1.07924501793619E-3</v>
      </c>
      <c r="K753" s="1248">
        <v>3.0000008613468702E-3</v>
      </c>
      <c r="L753" s="1250">
        <v>2.0000005742481699E-3</v>
      </c>
      <c r="M753" s="1273">
        <v>2.0000005742481699E-3</v>
      </c>
      <c r="N753" s="1248">
        <v>3.1850009128239903E-2</v>
      </c>
      <c r="O753" s="1249">
        <v>3.1850009128239903E-2</v>
      </c>
      <c r="P753" s="1251">
        <v>1.5925004564119952E-2</v>
      </c>
      <c r="Q753" s="1252">
        <v>1.8860324183177499E-2</v>
      </c>
    </row>
    <row r="754" spans="1:17" s="212" customFormat="1" ht="15.5" x14ac:dyDescent="0.35">
      <c r="A754" s="198">
        <v>2028</v>
      </c>
      <c r="B754" s="197" t="s">
        <v>5842</v>
      </c>
      <c r="C754" s="197">
        <v>2019</v>
      </c>
      <c r="D754" s="213" t="str">
        <f t="shared" si="9"/>
        <v>2028_2019</v>
      </c>
      <c r="E754" s="1267">
        <v>7.9626079574478301E-2</v>
      </c>
      <c r="F754" s="1278">
        <v>3.4112088148979501E-3</v>
      </c>
      <c r="G754" s="1248">
        <v>0.36368395320505398</v>
      </c>
      <c r="H754" s="1278">
        <v>2.6569753617308099E-2</v>
      </c>
      <c r="I754" s="1248">
        <v>1.71165562157456E-2</v>
      </c>
      <c r="J754" s="1278">
        <v>1.1006275974609499E-3</v>
      </c>
      <c r="K754" s="1248">
        <v>3.0000008613954902E-3</v>
      </c>
      <c r="L754" s="1250">
        <v>2.0000005742003301E-3</v>
      </c>
      <c r="M754" s="1273">
        <v>2.0000005742003301E-3</v>
      </c>
      <c r="N754" s="1248">
        <v>3.1850009128239903E-2</v>
      </c>
      <c r="O754" s="1249">
        <v>3.1850009128239903E-2</v>
      </c>
      <c r="P754" s="1251">
        <v>1.5925004564119952E-2</v>
      </c>
      <c r="Q754" s="1252">
        <v>1.7890490934228301E-2</v>
      </c>
    </row>
    <row r="755" spans="1:17" s="212" customFormat="1" ht="15.5" x14ac:dyDescent="0.35">
      <c r="A755" s="198">
        <v>2028</v>
      </c>
      <c r="B755" s="197" t="s">
        <v>5842</v>
      </c>
      <c r="C755" s="197">
        <v>2020</v>
      </c>
      <c r="D755" s="213" t="str">
        <f t="shared" si="9"/>
        <v>2028_2020</v>
      </c>
      <c r="E755" s="1267">
        <v>6.9125303450346801E-2</v>
      </c>
      <c r="F755" s="1278">
        <v>2.8124989494497802E-3</v>
      </c>
      <c r="G755" s="1248">
        <v>0.27863133812725599</v>
      </c>
      <c r="H755" s="1278">
        <v>2.30900040830186E-2</v>
      </c>
      <c r="I755" s="1248">
        <v>1.47483477630398E-2</v>
      </c>
      <c r="J755" s="1278">
        <v>1.0879028894238401E-3</v>
      </c>
      <c r="K755" s="1248">
        <v>3.00000086096682E-3</v>
      </c>
      <c r="L755" s="1250">
        <v>2.0000005740737998E-3</v>
      </c>
      <c r="M755" s="1273">
        <v>2.0000005740737998E-3</v>
      </c>
      <c r="N755" s="1248">
        <v>3.1850009128239903E-2</v>
      </c>
      <c r="O755" s="1249">
        <v>3.1850009128239903E-2</v>
      </c>
      <c r="P755" s="1251">
        <v>1.5925004564119952E-2</v>
      </c>
      <c r="Q755" s="1252">
        <v>1.5415202604060501E-2</v>
      </c>
    </row>
    <row r="756" spans="1:17" s="212" customFormat="1" ht="15.5" x14ac:dyDescent="0.35">
      <c r="A756" s="198">
        <v>2028</v>
      </c>
      <c r="B756" s="197" t="s">
        <v>5842</v>
      </c>
      <c r="C756" s="197">
        <v>2021</v>
      </c>
      <c r="D756" s="213" t="str">
        <f t="shared" si="9"/>
        <v>2028_2021</v>
      </c>
      <c r="E756" s="1267">
        <v>6.7842809459612005E-2</v>
      </c>
      <c r="F756" s="1278">
        <v>2.4021012367325201E-3</v>
      </c>
      <c r="G756" s="1248">
        <v>0.22003829205675299</v>
      </c>
      <c r="H756" s="1278">
        <v>1.9326991417705799E-2</v>
      </c>
      <c r="I756" s="1248">
        <v>1.37482582137797E-2</v>
      </c>
      <c r="J756" s="1278">
        <v>1.0880791580557901E-3</v>
      </c>
      <c r="K756" s="1248">
        <v>3.0000008609690899E-3</v>
      </c>
      <c r="L756" s="1250">
        <v>2.0000005740754999E-3</v>
      </c>
      <c r="M756" s="1273">
        <v>2.0000005740754999E-3</v>
      </c>
      <c r="N756" s="1248">
        <v>3.1850009128239903E-2</v>
      </c>
      <c r="O756" s="1249">
        <v>3.1850009128239903E-2</v>
      </c>
      <c r="P756" s="1251">
        <v>1.5925004564119952E-2</v>
      </c>
      <c r="Q756" s="1252">
        <v>1.43698934432145E-2</v>
      </c>
    </row>
    <row r="757" spans="1:17" s="212" customFormat="1" ht="15.5" x14ac:dyDescent="0.35">
      <c r="A757" s="198">
        <v>2028</v>
      </c>
      <c r="B757" s="197" t="s">
        <v>5842</v>
      </c>
      <c r="C757" s="197">
        <v>2022</v>
      </c>
      <c r="D757" s="213" t="str">
        <f t="shared" si="9"/>
        <v>2028_2022</v>
      </c>
      <c r="E757" s="1267">
        <v>6.6480190710216103E-2</v>
      </c>
      <c r="F757" s="1278">
        <v>1.9933554333791698E-3</v>
      </c>
      <c r="G757" s="1248">
        <v>0.163804583139984</v>
      </c>
      <c r="H757" s="1278">
        <v>1.5687994067118901E-2</v>
      </c>
      <c r="I757" s="1248">
        <v>1.26876769966171E-2</v>
      </c>
      <c r="J757" s="1278">
        <v>1.0882477488955E-3</v>
      </c>
      <c r="K757" s="1248">
        <v>3.00000086097129E-3</v>
      </c>
      <c r="L757" s="1250">
        <v>2.00000057407716E-3</v>
      </c>
      <c r="M757" s="1273">
        <v>2.00000057407716E-3</v>
      </c>
      <c r="N757" s="1248">
        <v>3.1850009128239903E-2</v>
      </c>
      <c r="O757" s="1249">
        <v>3.1850009128239903E-2</v>
      </c>
      <c r="P757" s="1251">
        <v>1.5925004564119952E-2</v>
      </c>
      <c r="Q757" s="1252">
        <v>1.32613574496713E-2</v>
      </c>
    </row>
    <row r="758" spans="1:17" s="212" customFormat="1" ht="15.5" x14ac:dyDescent="0.35">
      <c r="A758" s="198">
        <v>2028</v>
      </c>
      <c r="B758" s="197" t="s">
        <v>5842</v>
      </c>
      <c r="C758" s="197">
        <v>2023</v>
      </c>
      <c r="D758" s="213" t="str">
        <f t="shared" si="9"/>
        <v>2028_2023</v>
      </c>
      <c r="E758" s="1267">
        <v>6.5037579423958505E-2</v>
      </c>
      <c r="F758" s="1278">
        <v>2.0221089212448299E-3</v>
      </c>
      <c r="G758" s="1248">
        <v>0.15647128679646</v>
      </c>
      <c r="H758" s="1278">
        <v>1.55945571731063E-2</v>
      </c>
      <c r="I758" s="1248">
        <v>1.15666019202945E-2</v>
      </c>
      <c r="J758" s="1278">
        <v>1.08840751503846E-3</v>
      </c>
      <c r="K758" s="1248">
        <v>3.0000008609734198E-3</v>
      </c>
      <c r="L758" s="1250">
        <v>2.0000005740787499E-3</v>
      </c>
      <c r="M758" s="1273">
        <v>2.0000005740787499E-3</v>
      </c>
      <c r="N758" s="1248">
        <v>3.1850009128239903E-2</v>
      </c>
      <c r="O758" s="1249">
        <v>3.1850009128239903E-2</v>
      </c>
      <c r="P758" s="1251">
        <v>1.5925004564119952E-2</v>
      </c>
      <c r="Q758" s="1252">
        <v>1.2089592333094401E-2</v>
      </c>
    </row>
    <row r="759" spans="1:17" s="212" customFormat="1" ht="15.5" x14ac:dyDescent="0.35">
      <c r="A759" s="198">
        <v>2028</v>
      </c>
      <c r="B759" s="197" t="s">
        <v>5842</v>
      </c>
      <c r="C759" s="197">
        <v>2024</v>
      </c>
      <c r="D759" s="213" t="str">
        <f t="shared" si="9"/>
        <v>2028_2024</v>
      </c>
      <c r="E759" s="1267">
        <v>6.3514523641111403E-2</v>
      </c>
      <c r="F759" s="1278">
        <v>2.1101305220984101E-3</v>
      </c>
      <c r="G759" s="1248">
        <v>0.148741428808422</v>
      </c>
      <c r="H759" s="1278">
        <v>1.6079367632323201E-2</v>
      </c>
      <c r="I759" s="1248">
        <v>1.0384974128383699E-2</v>
      </c>
      <c r="J759" s="1278">
        <v>1.0885576474753099E-3</v>
      </c>
      <c r="K759" s="1248">
        <v>3.0000008609754499E-3</v>
      </c>
      <c r="L759" s="1250">
        <v>2.0000005740802699E-3</v>
      </c>
      <c r="M759" s="1275">
        <v>2.0000005740115601E-3</v>
      </c>
      <c r="N759" s="1248">
        <v>3.1850009128239903E-2</v>
      </c>
      <c r="O759" s="1249">
        <v>3.1850009128239903E-2</v>
      </c>
      <c r="P759" s="1260">
        <v>1.59250045641199E-2</v>
      </c>
      <c r="Q759" s="1252">
        <v>1.0854536575829099E-2</v>
      </c>
    </row>
    <row r="760" spans="1:17" s="212" customFormat="1" ht="15.5" x14ac:dyDescent="0.35">
      <c r="A760" s="198">
        <v>2028</v>
      </c>
      <c r="B760" s="197" t="s">
        <v>5842</v>
      </c>
      <c r="C760" s="197">
        <v>2025</v>
      </c>
      <c r="D760" s="213" t="str">
        <f t="shared" si="9"/>
        <v>2028_2025</v>
      </c>
      <c r="E760" s="1267">
        <v>6.1910569766848798E-2</v>
      </c>
      <c r="F760" s="1278">
        <v>2.2896897829669002E-3</v>
      </c>
      <c r="G760" s="1248">
        <v>0.14061450203290499</v>
      </c>
      <c r="H760" s="1278">
        <v>1.7478376790484699E-2</v>
      </c>
      <c r="I760" s="1248">
        <v>9.1427490064328494E-3</v>
      </c>
      <c r="J760" s="1278">
        <v>1.08869546088835E-3</v>
      </c>
      <c r="K760" s="1248">
        <v>3.0000008609773498E-3</v>
      </c>
      <c r="L760" s="1250">
        <v>2.0000005740817002E-3</v>
      </c>
      <c r="M760" s="1275">
        <v>2.00000057401349E-3</v>
      </c>
      <c r="N760" s="1248">
        <v>3.1850009128239903E-2</v>
      </c>
      <c r="O760" s="1249">
        <v>3.1850009128239903E-2</v>
      </c>
      <c r="P760" s="1260">
        <v>1.59250045641199E-2</v>
      </c>
      <c r="Q760" s="1252">
        <v>9.5561435461558892E-3</v>
      </c>
    </row>
    <row r="761" spans="1:17" s="212" customFormat="1" ht="15.5" x14ac:dyDescent="0.35">
      <c r="A761" s="198">
        <v>2028</v>
      </c>
      <c r="B761" s="197" t="s">
        <v>5842</v>
      </c>
      <c r="C761" s="197">
        <v>2026</v>
      </c>
      <c r="D761" s="213" t="str">
        <f t="shared" si="9"/>
        <v>2028_2026</v>
      </c>
      <c r="E761" s="1267">
        <v>6.0227330817006999E-2</v>
      </c>
      <c r="F761" s="1278">
        <v>2.5566555241064198E-3</v>
      </c>
      <c r="G761" s="1248">
        <v>0.132107028142672</v>
      </c>
      <c r="H761" s="1278">
        <v>1.9768763963647299E-2</v>
      </c>
      <c r="I761" s="1248">
        <v>7.8401045583327209E-3</v>
      </c>
      <c r="J761" s="1278">
        <v>1.0888337839988201E-3</v>
      </c>
      <c r="K761" s="1248">
        <v>3.0000008609792602E-3</v>
      </c>
      <c r="L761" s="1250">
        <v>2.00000057408313E-3</v>
      </c>
      <c r="M761" s="1275">
        <v>2.0000005740154398E-3</v>
      </c>
      <c r="N761" s="1248">
        <v>3.1850009128239903E-2</v>
      </c>
      <c r="O761" s="1249">
        <v>3.1850009128239903E-2</v>
      </c>
      <c r="P761" s="1260">
        <v>1.59250045641199E-2</v>
      </c>
      <c r="Q761" s="1252">
        <v>8.1945992965117998E-3</v>
      </c>
    </row>
    <row r="762" spans="1:17" s="212" customFormat="1" ht="15.5" x14ac:dyDescent="0.35">
      <c r="A762" s="198">
        <v>2028</v>
      </c>
      <c r="B762" s="197" t="s">
        <v>5842</v>
      </c>
      <c r="C762" s="197">
        <v>2027</v>
      </c>
      <c r="D762" s="213" t="str">
        <f t="shared" si="9"/>
        <v>2028_2027</v>
      </c>
      <c r="E762" s="1267">
        <v>5.8465846166241897E-2</v>
      </c>
      <c r="F762" s="1278">
        <v>2.8130277850066999E-3</v>
      </c>
      <c r="G762" s="1248">
        <v>0.12319033763001799</v>
      </c>
      <c r="H762" s="1278">
        <v>2.1972416484706301E-2</v>
      </c>
      <c r="I762" s="1248">
        <v>6.4770802900551401E-3</v>
      </c>
      <c r="J762" s="1278">
        <v>1.0889772220259201E-3</v>
      </c>
      <c r="K762" s="1248">
        <v>3.0000008609812499E-3</v>
      </c>
      <c r="L762" s="1250">
        <v>2.0000005740846102E-3</v>
      </c>
      <c r="M762" s="1275">
        <v>2.0000005740171199E-3</v>
      </c>
      <c r="N762" s="1248">
        <v>3.1850009128239903E-2</v>
      </c>
      <c r="O762" s="1249">
        <v>3.1850009128239903E-2</v>
      </c>
      <c r="P762" s="1260">
        <v>1.59250045641199E-2</v>
      </c>
      <c r="Q762" s="1252">
        <v>6.7699451191533203E-3</v>
      </c>
    </row>
    <row r="763" spans="1:17" s="212" customFormat="1" ht="15.5" x14ac:dyDescent="0.35">
      <c r="A763" s="198">
        <v>2028</v>
      </c>
      <c r="B763" s="197" t="s">
        <v>5842</v>
      </c>
      <c r="C763" s="197">
        <v>2028</v>
      </c>
      <c r="D763" s="213" t="str">
        <f t="shared" si="9"/>
        <v>2028_2028</v>
      </c>
      <c r="E763" s="1267">
        <v>5.6625342174655001E-2</v>
      </c>
      <c r="F763" s="1278">
        <v>2.73947741398005E-3</v>
      </c>
      <c r="G763" s="1248">
        <v>0.113878584702233</v>
      </c>
      <c r="H763" s="1278">
        <v>2.0900501104489402E-2</v>
      </c>
      <c r="I763" s="1248">
        <v>5.05354277534924E-3</v>
      </c>
      <c r="J763" s="1278">
        <v>1.0891227256087301E-3</v>
      </c>
      <c r="K763" s="1248">
        <v>3.00000086098326E-3</v>
      </c>
      <c r="L763" s="1250">
        <v>2.0000005740861198E-3</v>
      </c>
      <c r="M763" s="1275">
        <v>2.0000005740164499E-3</v>
      </c>
      <c r="N763" s="1248">
        <v>3.1850009128239903E-2</v>
      </c>
      <c r="O763" s="1249">
        <v>3.1850009128239903E-2</v>
      </c>
      <c r="P763" s="1260">
        <v>1.59250045641199E-2</v>
      </c>
      <c r="Q763" s="1252">
        <v>5.2820415548865901E-3</v>
      </c>
    </row>
    <row r="764" spans="1:17" s="212" customFormat="1" ht="15.5" x14ac:dyDescent="0.35">
      <c r="A764" s="198">
        <v>2028</v>
      </c>
      <c r="B764" s="197" t="s">
        <v>5842</v>
      </c>
      <c r="C764" s="197">
        <v>2029</v>
      </c>
      <c r="D764" s="213" t="str">
        <f t="shared" si="9"/>
        <v>2028_2029</v>
      </c>
      <c r="E764" s="1268">
        <v>5.6625342174655001E-2</v>
      </c>
      <c r="F764" s="1279">
        <v>2.73947741398005E-3</v>
      </c>
      <c r="G764" s="1255">
        <v>0.113878584702233</v>
      </c>
      <c r="H764" s="1279">
        <v>2.0900501104489402E-2</v>
      </c>
      <c r="I764" s="1255">
        <v>5.05354277534924E-3</v>
      </c>
      <c r="J764" s="1279">
        <v>1.0891227256087301E-3</v>
      </c>
      <c r="K764" s="1255">
        <v>3.00000086098326E-3</v>
      </c>
      <c r="L764" s="1253">
        <v>2.0000005740861198E-3</v>
      </c>
      <c r="M764" s="1273">
        <v>2.0000005740164499E-3</v>
      </c>
      <c r="N764" s="1255">
        <v>3.1850009128239903E-2</v>
      </c>
      <c r="O764" s="1256">
        <v>3.1850009128239903E-2</v>
      </c>
      <c r="P764" s="1251">
        <v>1.59250045641199E-2</v>
      </c>
      <c r="Q764" s="1254">
        <v>5.2820415548865901E-3</v>
      </c>
    </row>
    <row r="765" spans="1:17" s="212" customFormat="1" ht="15.5" x14ac:dyDescent="0.35">
      <c r="A765" s="198">
        <v>2029</v>
      </c>
      <c r="B765" s="197" t="s">
        <v>5842</v>
      </c>
      <c r="C765" s="197">
        <v>1971</v>
      </c>
      <c r="D765" s="213" t="str">
        <f t="shared" si="9"/>
        <v>2029_1971</v>
      </c>
      <c r="E765" s="1268">
        <v>0.234697971610451</v>
      </c>
      <c r="F765" s="1279">
        <v>2.0489294817484902</v>
      </c>
      <c r="G765" s="1255">
        <v>5.0840065692398797</v>
      </c>
      <c r="H765" s="1279">
        <v>3.9730857214316599</v>
      </c>
      <c r="I765" s="1255">
        <v>0.176900044441899</v>
      </c>
      <c r="J765" s="1279">
        <v>1.5486271915442801E-2</v>
      </c>
      <c r="K765" s="1255">
        <v>3.0000008615237101E-3</v>
      </c>
      <c r="L765" s="1253">
        <v>2.00000057412523E-3</v>
      </c>
      <c r="M765" s="1273">
        <v>2.00000057412523E-3</v>
      </c>
      <c r="N765" s="1255">
        <v>3.1850009128239903E-2</v>
      </c>
      <c r="O765" s="1256">
        <v>3.1850009128239903E-2</v>
      </c>
      <c r="P765" s="1251">
        <v>1.5925004564119952E-2</v>
      </c>
      <c r="Q765" s="1254">
        <v>0.18489867946923999</v>
      </c>
    </row>
    <row r="766" spans="1:17" s="212" customFormat="1" ht="15.5" x14ac:dyDescent="0.35">
      <c r="A766" s="198">
        <v>2029</v>
      </c>
      <c r="B766" s="197" t="s">
        <v>5842</v>
      </c>
      <c r="C766" s="197">
        <v>1972</v>
      </c>
      <c r="D766" s="213" t="str">
        <f t="shared" si="9"/>
        <v>2029_1972</v>
      </c>
      <c r="E766" s="1268">
        <v>0.234697971610451</v>
      </c>
      <c r="F766" s="1279">
        <v>2.0489294817484902</v>
      </c>
      <c r="G766" s="1255">
        <v>5.0840065692398797</v>
      </c>
      <c r="H766" s="1279">
        <v>3.9730857214316599</v>
      </c>
      <c r="I766" s="1255">
        <v>0.176900044441899</v>
      </c>
      <c r="J766" s="1279">
        <v>1.5486271915442801E-2</v>
      </c>
      <c r="K766" s="1255">
        <v>3.0000008615237101E-3</v>
      </c>
      <c r="L766" s="1253">
        <v>2.00000057412523E-3</v>
      </c>
      <c r="M766" s="1273">
        <v>2.00000057412523E-3</v>
      </c>
      <c r="N766" s="1255">
        <v>3.1850009128239903E-2</v>
      </c>
      <c r="O766" s="1256">
        <v>3.1850009128239903E-2</v>
      </c>
      <c r="P766" s="1251">
        <v>1.5925004564119952E-2</v>
      </c>
      <c r="Q766" s="1254">
        <v>0.18489867946923999</v>
      </c>
    </row>
    <row r="767" spans="1:17" s="212" customFormat="1" ht="15.5" x14ac:dyDescent="0.35">
      <c r="A767" s="198">
        <v>2029</v>
      </c>
      <c r="B767" s="197" t="s">
        <v>5842</v>
      </c>
      <c r="C767" s="197">
        <v>1973</v>
      </c>
      <c r="D767" s="213" t="str">
        <f t="shared" si="9"/>
        <v>2029_1973</v>
      </c>
      <c r="E767" s="1268">
        <v>0.234697971610451</v>
      </c>
      <c r="F767" s="1279">
        <v>2.0489294817484902</v>
      </c>
      <c r="G767" s="1255">
        <v>5.0840065692398797</v>
      </c>
      <c r="H767" s="1279">
        <v>3.9730857214316599</v>
      </c>
      <c r="I767" s="1255">
        <v>0.176900044441899</v>
      </c>
      <c r="J767" s="1279">
        <v>1.5486271915442801E-2</v>
      </c>
      <c r="K767" s="1255">
        <v>3.0000008615237101E-3</v>
      </c>
      <c r="L767" s="1253">
        <v>2.00000057412523E-3</v>
      </c>
      <c r="M767" s="1273">
        <v>2.00000057412523E-3</v>
      </c>
      <c r="N767" s="1255">
        <v>3.1850009128239903E-2</v>
      </c>
      <c r="O767" s="1256">
        <v>3.1850009128239903E-2</v>
      </c>
      <c r="P767" s="1251">
        <v>1.5925004564119952E-2</v>
      </c>
      <c r="Q767" s="1254">
        <v>0.18489867946923999</v>
      </c>
    </row>
    <row r="768" spans="1:17" s="212" customFormat="1" ht="15.5" x14ac:dyDescent="0.35">
      <c r="A768" s="198">
        <v>2029</v>
      </c>
      <c r="B768" s="197" t="s">
        <v>5842</v>
      </c>
      <c r="C768" s="197">
        <v>1974</v>
      </c>
      <c r="D768" s="213" t="str">
        <f t="shared" si="9"/>
        <v>2029_1974</v>
      </c>
      <c r="E768" s="1268">
        <v>0.234697971610451</v>
      </c>
      <c r="F768" s="1279">
        <v>2.0489294817484902</v>
      </c>
      <c r="G768" s="1255">
        <v>5.0840065692398797</v>
      </c>
      <c r="H768" s="1279">
        <v>3.9730857214316599</v>
      </c>
      <c r="I768" s="1255">
        <v>0.176900044441899</v>
      </c>
      <c r="J768" s="1279">
        <v>1.5486271915442801E-2</v>
      </c>
      <c r="K768" s="1255">
        <v>3.0000008615237101E-3</v>
      </c>
      <c r="L768" s="1253">
        <v>2.00000057412523E-3</v>
      </c>
      <c r="M768" s="1273">
        <v>2.00000057412523E-3</v>
      </c>
      <c r="N768" s="1255">
        <v>3.1850009128239903E-2</v>
      </c>
      <c r="O768" s="1256">
        <v>3.1850009128239903E-2</v>
      </c>
      <c r="P768" s="1251">
        <v>1.5925004564119952E-2</v>
      </c>
      <c r="Q768" s="1254">
        <v>0.18489867946923999</v>
      </c>
    </row>
    <row r="769" spans="1:17" s="212" customFormat="1" ht="15.5" x14ac:dyDescent="0.35">
      <c r="A769" s="198">
        <v>2029</v>
      </c>
      <c r="B769" s="197" t="s">
        <v>5842</v>
      </c>
      <c r="C769" s="197">
        <v>1975</v>
      </c>
      <c r="D769" s="213" t="str">
        <f t="shared" si="9"/>
        <v>2029_1975</v>
      </c>
      <c r="E769" s="1268">
        <v>0.234697971610451</v>
      </c>
      <c r="F769" s="1279">
        <v>2.0489294817484902</v>
      </c>
      <c r="G769" s="1255">
        <v>5.0840065692398797</v>
      </c>
      <c r="H769" s="1279">
        <v>3.9730857214316599</v>
      </c>
      <c r="I769" s="1255">
        <v>0.176900044441899</v>
      </c>
      <c r="J769" s="1279">
        <v>1.5486271915442801E-2</v>
      </c>
      <c r="K769" s="1255">
        <v>3.0000008615237101E-3</v>
      </c>
      <c r="L769" s="1253">
        <v>2.00000057412523E-3</v>
      </c>
      <c r="M769" s="1273">
        <v>2.00000057412523E-3</v>
      </c>
      <c r="N769" s="1255">
        <v>3.1850009128239903E-2</v>
      </c>
      <c r="O769" s="1256">
        <v>3.1850009128239903E-2</v>
      </c>
      <c r="P769" s="1251">
        <v>1.5925004564119952E-2</v>
      </c>
      <c r="Q769" s="1254">
        <v>0.18489867946923999</v>
      </c>
    </row>
    <row r="770" spans="1:17" s="212" customFormat="1" ht="15.5" x14ac:dyDescent="0.35">
      <c r="A770" s="198">
        <v>2029</v>
      </c>
      <c r="B770" s="197" t="s">
        <v>5842</v>
      </c>
      <c r="C770" s="197">
        <v>1976</v>
      </c>
      <c r="D770" s="213" t="str">
        <f t="shared" si="9"/>
        <v>2029_1976</v>
      </c>
      <c r="E770" s="1268">
        <v>0.234697971610451</v>
      </c>
      <c r="F770" s="1279">
        <v>2.0489294817484902</v>
      </c>
      <c r="G770" s="1255">
        <v>5.0840065692398797</v>
      </c>
      <c r="H770" s="1279">
        <v>3.9730857214316599</v>
      </c>
      <c r="I770" s="1255">
        <v>0.176900044441899</v>
      </c>
      <c r="J770" s="1279">
        <v>1.5486271915442801E-2</v>
      </c>
      <c r="K770" s="1255">
        <v>3.0000008615237101E-3</v>
      </c>
      <c r="L770" s="1253">
        <v>2.00000057412523E-3</v>
      </c>
      <c r="M770" s="1273">
        <v>2.00000057412523E-3</v>
      </c>
      <c r="N770" s="1255">
        <v>3.1850009128239903E-2</v>
      </c>
      <c r="O770" s="1256">
        <v>3.1850009128239903E-2</v>
      </c>
      <c r="P770" s="1251">
        <v>1.5925004564119952E-2</v>
      </c>
      <c r="Q770" s="1254">
        <v>0.18489867946923999</v>
      </c>
    </row>
    <row r="771" spans="1:17" s="212" customFormat="1" ht="15.5" x14ac:dyDescent="0.35">
      <c r="A771" s="198">
        <v>2029</v>
      </c>
      <c r="B771" s="197" t="s">
        <v>5842</v>
      </c>
      <c r="C771" s="197">
        <v>1977</v>
      </c>
      <c r="D771" s="213" t="str">
        <f t="shared" si="9"/>
        <v>2029_1977</v>
      </c>
      <c r="E771" s="1268">
        <v>0.234697971610451</v>
      </c>
      <c r="F771" s="1279">
        <v>2.0489294817484902</v>
      </c>
      <c r="G771" s="1255">
        <v>5.0840065692398797</v>
      </c>
      <c r="H771" s="1279">
        <v>3.9730857214316599</v>
      </c>
      <c r="I771" s="1255">
        <v>0.176900044441899</v>
      </c>
      <c r="J771" s="1279">
        <v>1.5486271915442801E-2</v>
      </c>
      <c r="K771" s="1255">
        <v>3.0000008615237101E-3</v>
      </c>
      <c r="L771" s="1253">
        <v>2.00000057412523E-3</v>
      </c>
      <c r="M771" s="1273">
        <v>2.00000057412523E-3</v>
      </c>
      <c r="N771" s="1255">
        <v>3.1850009128239903E-2</v>
      </c>
      <c r="O771" s="1256">
        <v>3.1850009128239903E-2</v>
      </c>
      <c r="P771" s="1251">
        <v>1.5925004564119952E-2</v>
      </c>
      <c r="Q771" s="1254">
        <v>0.18489867946923999</v>
      </c>
    </row>
    <row r="772" spans="1:17" s="212" customFormat="1" ht="15.5" x14ac:dyDescent="0.35">
      <c r="A772" s="198">
        <v>2029</v>
      </c>
      <c r="B772" s="197" t="s">
        <v>5842</v>
      </c>
      <c r="C772" s="197">
        <v>1978</v>
      </c>
      <c r="D772" s="213" t="str">
        <f t="shared" si="9"/>
        <v>2029_1978</v>
      </c>
      <c r="E772" s="1268">
        <v>0.234697971610451</v>
      </c>
      <c r="F772" s="1279">
        <v>2.0489294817484902</v>
      </c>
      <c r="G772" s="1255">
        <v>5.0840065692398797</v>
      </c>
      <c r="H772" s="1279">
        <v>3.9730857214316599</v>
      </c>
      <c r="I772" s="1255">
        <v>0.176900044441899</v>
      </c>
      <c r="J772" s="1279">
        <v>1.5486271915442801E-2</v>
      </c>
      <c r="K772" s="1255">
        <v>3.0000008615237101E-3</v>
      </c>
      <c r="L772" s="1253">
        <v>2.00000057412523E-3</v>
      </c>
      <c r="M772" s="1273">
        <v>2.00000057412523E-3</v>
      </c>
      <c r="N772" s="1255">
        <v>3.1850009128239903E-2</v>
      </c>
      <c r="O772" s="1256">
        <v>3.1850009128239903E-2</v>
      </c>
      <c r="P772" s="1251">
        <v>1.5925004564119952E-2</v>
      </c>
      <c r="Q772" s="1254">
        <v>0.18489867946923999</v>
      </c>
    </row>
    <row r="773" spans="1:17" s="212" customFormat="1" ht="15.5" x14ac:dyDescent="0.35">
      <c r="A773" s="198">
        <v>2029</v>
      </c>
      <c r="B773" s="197" t="s">
        <v>5842</v>
      </c>
      <c r="C773" s="197">
        <v>1979</v>
      </c>
      <c r="D773" s="213" t="str">
        <f t="shared" si="9"/>
        <v>2029_1979</v>
      </c>
      <c r="E773" s="1268">
        <v>0.234697971610451</v>
      </c>
      <c r="F773" s="1279">
        <v>2.0489294817484902</v>
      </c>
      <c r="G773" s="1255">
        <v>5.0840065692398797</v>
      </c>
      <c r="H773" s="1279">
        <v>3.9730857214316599</v>
      </c>
      <c r="I773" s="1255">
        <v>0.176900044441899</v>
      </c>
      <c r="J773" s="1279">
        <v>1.5486271915442801E-2</v>
      </c>
      <c r="K773" s="1255">
        <v>3.0000008615237101E-3</v>
      </c>
      <c r="L773" s="1253">
        <v>2.00000057412523E-3</v>
      </c>
      <c r="M773" s="1273">
        <v>2.00000057412523E-3</v>
      </c>
      <c r="N773" s="1255">
        <v>3.1850009128239903E-2</v>
      </c>
      <c r="O773" s="1256">
        <v>3.1850009128239903E-2</v>
      </c>
      <c r="P773" s="1251">
        <v>1.5925004564119952E-2</v>
      </c>
      <c r="Q773" s="1254">
        <v>0.18489867946923999</v>
      </c>
    </row>
    <row r="774" spans="1:17" s="212" customFormat="1" ht="15.5" x14ac:dyDescent="0.35">
      <c r="A774" s="198">
        <v>2029</v>
      </c>
      <c r="B774" s="197" t="s">
        <v>5842</v>
      </c>
      <c r="C774" s="197">
        <v>1980</v>
      </c>
      <c r="D774" s="213" t="str">
        <f t="shared" si="9"/>
        <v>2029_1980</v>
      </c>
      <c r="E774" s="1268">
        <v>0.234697971610451</v>
      </c>
      <c r="F774" s="1279">
        <v>2.0489294817484902</v>
      </c>
      <c r="G774" s="1255">
        <v>5.0840065692398797</v>
      </c>
      <c r="H774" s="1279">
        <v>3.9730857214316599</v>
      </c>
      <c r="I774" s="1255">
        <v>0.176900044441899</v>
      </c>
      <c r="J774" s="1279">
        <v>1.5486271915442801E-2</v>
      </c>
      <c r="K774" s="1255">
        <v>3.0000008615237101E-3</v>
      </c>
      <c r="L774" s="1253">
        <v>2.00000057412523E-3</v>
      </c>
      <c r="M774" s="1273">
        <v>2.00000057412523E-3</v>
      </c>
      <c r="N774" s="1255">
        <v>3.1850009128239903E-2</v>
      </c>
      <c r="O774" s="1256">
        <v>3.1850009128239903E-2</v>
      </c>
      <c r="P774" s="1251">
        <v>1.5925004564119952E-2</v>
      </c>
      <c r="Q774" s="1254">
        <v>0.18489867946923999</v>
      </c>
    </row>
    <row r="775" spans="1:17" s="212" customFormat="1" ht="15.5" x14ac:dyDescent="0.35">
      <c r="A775" s="198">
        <v>2029</v>
      </c>
      <c r="B775" s="197" t="s">
        <v>5842</v>
      </c>
      <c r="C775" s="197">
        <v>1981</v>
      </c>
      <c r="D775" s="213" t="str">
        <f t="shared" si="9"/>
        <v>2029_1981</v>
      </c>
      <c r="E775" s="1268">
        <v>0.234697971610451</v>
      </c>
      <c r="F775" s="1279">
        <v>2.0489294817484902</v>
      </c>
      <c r="G775" s="1255">
        <v>5.0840065692398797</v>
      </c>
      <c r="H775" s="1279">
        <v>3.9730857214316599</v>
      </c>
      <c r="I775" s="1255">
        <v>0.176900044441899</v>
      </c>
      <c r="J775" s="1279">
        <v>1.5486271915442801E-2</v>
      </c>
      <c r="K775" s="1255">
        <v>3.0000008615237101E-3</v>
      </c>
      <c r="L775" s="1253">
        <v>2.00000057412523E-3</v>
      </c>
      <c r="M775" s="1273">
        <v>2.00000057412523E-3</v>
      </c>
      <c r="N775" s="1255">
        <v>3.1850009128239903E-2</v>
      </c>
      <c r="O775" s="1256">
        <v>3.1850009128239903E-2</v>
      </c>
      <c r="P775" s="1251">
        <v>1.5925004564119952E-2</v>
      </c>
      <c r="Q775" s="1254">
        <v>0.18489867946923999</v>
      </c>
    </row>
    <row r="776" spans="1:17" s="212" customFormat="1" ht="15.5" x14ac:dyDescent="0.35">
      <c r="A776" s="198">
        <v>2029</v>
      </c>
      <c r="B776" s="197" t="s">
        <v>5842</v>
      </c>
      <c r="C776" s="197">
        <v>1982</v>
      </c>
      <c r="D776" s="213" t="str">
        <f t="shared" si="9"/>
        <v>2029_1982</v>
      </c>
      <c r="E776" s="1268">
        <v>0.234697971610451</v>
      </c>
      <c r="F776" s="1279">
        <v>2.0489294817484902</v>
      </c>
      <c r="G776" s="1255">
        <v>5.0840065692398797</v>
      </c>
      <c r="H776" s="1279">
        <v>3.9730857214316599</v>
      </c>
      <c r="I776" s="1255">
        <v>0.176900044441899</v>
      </c>
      <c r="J776" s="1279">
        <v>1.5486271915442801E-2</v>
      </c>
      <c r="K776" s="1255">
        <v>3.0000008615237101E-3</v>
      </c>
      <c r="L776" s="1253">
        <v>2.00000057412523E-3</v>
      </c>
      <c r="M776" s="1273">
        <v>2.00000057412523E-3</v>
      </c>
      <c r="N776" s="1255">
        <v>3.1850009128239903E-2</v>
      </c>
      <c r="O776" s="1256">
        <v>3.1850009128239903E-2</v>
      </c>
      <c r="P776" s="1251">
        <v>1.5925004564119952E-2</v>
      </c>
      <c r="Q776" s="1254">
        <v>0.18489867946923999</v>
      </c>
    </row>
    <row r="777" spans="1:17" s="212" customFormat="1" ht="15.5" x14ac:dyDescent="0.35">
      <c r="A777" s="198">
        <v>2029</v>
      </c>
      <c r="B777" s="197" t="s">
        <v>5842</v>
      </c>
      <c r="C777" s="197">
        <v>1983</v>
      </c>
      <c r="D777" s="213" t="str">
        <f t="shared" si="9"/>
        <v>2029_1983</v>
      </c>
      <c r="E777" s="1268">
        <v>0.234697971610451</v>
      </c>
      <c r="F777" s="1279">
        <v>2.0489294817484902</v>
      </c>
      <c r="G777" s="1255">
        <v>5.0840065692398797</v>
      </c>
      <c r="H777" s="1279">
        <v>3.9730857214316599</v>
      </c>
      <c r="I777" s="1255">
        <v>0.176900044441899</v>
      </c>
      <c r="J777" s="1279">
        <v>1.5486271915442801E-2</v>
      </c>
      <c r="K777" s="1255">
        <v>3.0000008615237101E-3</v>
      </c>
      <c r="L777" s="1253">
        <v>2.00000057412523E-3</v>
      </c>
      <c r="M777" s="1273">
        <v>2.00000057412523E-3</v>
      </c>
      <c r="N777" s="1255">
        <v>3.1850009128239903E-2</v>
      </c>
      <c r="O777" s="1256">
        <v>3.1850009128239903E-2</v>
      </c>
      <c r="P777" s="1251">
        <v>1.5925004564119952E-2</v>
      </c>
      <c r="Q777" s="1254">
        <v>0.18489867946923999</v>
      </c>
    </row>
    <row r="778" spans="1:17" s="212" customFormat="1" ht="15.5" x14ac:dyDescent="0.35">
      <c r="A778" s="198">
        <v>2029</v>
      </c>
      <c r="B778" s="197" t="s">
        <v>5842</v>
      </c>
      <c r="C778" s="197">
        <v>1984</v>
      </c>
      <c r="D778" s="213" t="str">
        <f t="shared" si="9"/>
        <v>2029_1984</v>
      </c>
      <c r="E778" s="1268">
        <v>0.234697971610451</v>
      </c>
      <c r="F778" s="1279">
        <v>2.0489294817484902</v>
      </c>
      <c r="G778" s="1255">
        <v>5.0840065692398797</v>
      </c>
      <c r="H778" s="1279">
        <v>3.9730857214316599</v>
      </c>
      <c r="I778" s="1255">
        <v>0.176900044441899</v>
      </c>
      <c r="J778" s="1279">
        <v>1.5486271915442801E-2</v>
      </c>
      <c r="K778" s="1255">
        <v>3.0000008615237101E-3</v>
      </c>
      <c r="L778" s="1253">
        <v>2.00000057412523E-3</v>
      </c>
      <c r="M778" s="1273">
        <v>2.00000057412523E-3</v>
      </c>
      <c r="N778" s="1255">
        <v>3.1850009128239903E-2</v>
      </c>
      <c r="O778" s="1256">
        <v>3.1850009128239903E-2</v>
      </c>
      <c r="P778" s="1251">
        <v>1.5925004564119952E-2</v>
      </c>
      <c r="Q778" s="1254">
        <v>0.18489867946923999</v>
      </c>
    </row>
    <row r="779" spans="1:17" s="212" customFormat="1" ht="15.5" x14ac:dyDescent="0.35">
      <c r="A779" s="198">
        <v>2029</v>
      </c>
      <c r="B779" s="197" t="s">
        <v>5842</v>
      </c>
      <c r="C779" s="197">
        <v>1985</v>
      </c>
      <c r="D779" s="213" t="str">
        <f t="shared" si="9"/>
        <v>2029_1985</v>
      </c>
      <c r="E779" s="1267">
        <v>0.234697971610451</v>
      </c>
      <c r="F779" s="1278">
        <v>2.0489294817484902</v>
      </c>
      <c r="G779" s="1248">
        <v>5.0840065692398797</v>
      </c>
      <c r="H779" s="1278">
        <v>3.9730857214316599</v>
      </c>
      <c r="I779" s="1248">
        <v>0.176900044441899</v>
      </c>
      <c r="J779" s="1278">
        <v>1.5486271915442801E-2</v>
      </c>
      <c r="K779" s="1248">
        <v>3.0000008615237101E-3</v>
      </c>
      <c r="L779" s="1250">
        <v>2.00000057412523E-3</v>
      </c>
      <c r="M779" s="1273">
        <v>2.00000057412523E-3</v>
      </c>
      <c r="N779" s="1248">
        <v>3.1850009128239903E-2</v>
      </c>
      <c r="O779" s="1249">
        <v>3.1850009128239903E-2</v>
      </c>
      <c r="P779" s="1251">
        <v>1.5925004564119952E-2</v>
      </c>
      <c r="Q779" s="1252">
        <v>0.18489867946923999</v>
      </c>
    </row>
    <row r="780" spans="1:17" s="212" customFormat="1" ht="15.5" x14ac:dyDescent="0.35">
      <c r="A780" s="198">
        <v>2029</v>
      </c>
      <c r="B780" s="197" t="s">
        <v>5842</v>
      </c>
      <c r="C780" s="197">
        <v>1986</v>
      </c>
      <c r="D780" s="213" t="str">
        <f t="shared" si="9"/>
        <v>2029_1986</v>
      </c>
      <c r="E780" s="1267">
        <v>0.22757452544301099</v>
      </c>
      <c r="F780" s="1278">
        <v>1.60929647963467</v>
      </c>
      <c r="G780" s="1248">
        <v>5.1977206230878803</v>
      </c>
      <c r="H780" s="1278">
        <v>4.3096533798368704</v>
      </c>
      <c r="I780" s="1248">
        <v>0.171530854691546</v>
      </c>
      <c r="J780" s="1278">
        <v>1.53924035928222E-2</v>
      </c>
      <c r="K780" s="1248">
        <v>3.0000008612423999E-3</v>
      </c>
      <c r="L780" s="1250">
        <v>2.0000005740780299E-3</v>
      </c>
      <c r="M780" s="1273">
        <v>2.0000005740780299E-3</v>
      </c>
      <c r="N780" s="1248">
        <v>3.1850009128239903E-2</v>
      </c>
      <c r="O780" s="1249">
        <v>3.1850009128239903E-2</v>
      </c>
      <c r="P780" s="1251">
        <v>1.5925004564119952E-2</v>
      </c>
      <c r="Q780" s="1252">
        <v>0.17928671878380301</v>
      </c>
    </row>
    <row r="781" spans="1:17" s="212" customFormat="1" ht="15.5" x14ac:dyDescent="0.35">
      <c r="A781" s="198">
        <v>2029</v>
      </c>
      <c r="B781" s="197" t="s">
        <v>5842</v>
      </c>
      <c r="C781" s="197">
        <v>1987</v>
      </c>
      <c r="D781" s="213" t="str">
        <f t="shared" si="9"/>
        <v>2029_1987</v>
      </c>
      <c r="E781" s="1267">
        <v>0.28326318730066802</v>
      </c>
      <c r="F781" s="1278">
        <v>2.0099561016995402</v>
      </c>
      <c r="G781" s="1248">
        <v>5.3387642772999797</v>
      </c>
      <c r="H781" s="1278">
        <v>4.50523501967443</v>
      </c>
      <c r="I781" s="1248">
        <v>0.192912863288494</v>
      </c>
      <c r="J781" s="1278">
        <v>1.53378351440739E-2</v>
      </c>
      <c r="K781" s="1248">
        <v>3.0000008612067201E-3</v>
      </c>
      <c r="L781" s="1250">
        <v>2.0000005741663998E-3</v>
      </c>
      <c r="M781" s="1273">
        <v>2.0000005741663998E-3</v>
      </c>
      <c r="N781" s="1248">
        <v>3.1850009128239903E-2</v>
      </c>
      <c r="O781" s="1249">
        <v>3.1850009128239903E-2</v>
      </c>
      <c r="P781" s="1251">
        <v>1.5925004564119952E-2</v>
      </c>
      <c r="Q781" s="1252">
        <v>0.20163552692824699</v>
      </c>
    </row>
    <row r="782" spans="1:17" s="212" customFormat="1" ht="15.5" x14ac:dyDescent="0.35">
      <c r="A782" s="198">
        <v>2029</v>
      </c>
      <c r="B782" s="197" t="s">
        <v>5842</v>
      </c>
      <c r="C782" s="197">
        <v>1988</v>
      </c>
      <c r="D782" s="213" t="str">
        <f t="shared" si="9"/>
        <v>2029_1988</v>
      </c>
      <c r="E782" s="1267">
        <v>0.27852344513092703</v>
      </c>
      <c r="F782" s="1278">
        <v>0.48433101720383898</v>
      </c>
      <c r="G782" s="1248">
        <v>5.3800484259634596</v>
      </c>
      <c r="H782" s="1278">
        <v>1.2150253029482601</v>
      </c>
      <c r="I782" s="1248">
        <v>0.18968492095709799</v>
      </c>
      <c r="J782" s="1278">
        <v>1.3743953548106499E-2</v>
      </c>
      <c r="K782" s="1248">
        <v>3.0000008610309198E-3</v>
      </c>
      <c r="L782" s="1250">
        <v>2.00000057414973E-3</v>
      </c>
      <c r="M782" s="1273">
        <v>2.00000057414973E-3</v>
      </c>
      <c r="N782" s="1248">
        <v>3.1850009128239903E-2</v>
      </c>
      <c r="O782" s="1249">
        <v>3.1850009128239903E-2</v>
      </c>
      <c r="P782" s="1251">
        <v>1.5925004564119952E-2</v>
      </c>
      <c r="Q782" s="1252">
        <v>0.19826163136840799</v>
      </c>
    </row>
    <row r="783" spans="1:17" s="212" customFormat="1" ht="15.5" x14ac:dyDescent="0.35">
      <c r="A783" s="198">
        <v>2029</v>
      </c>
      <c r="B783" s="197" t="s">
        <v>5842</v>
      </c>
      <c r="C783" s="197">
        <v>1989</v>
      </c>
      <c r="D783" s="213" t="str">
        <f t="shared" si="9"/>
        <v>2029_1989</v>
      </c>
      <c r="E783" s="1267">
        <v>0.279916096657156</v>
      </c>
      <c r="F783" s="1278">
        <v>0.327875336181638</v>
      </c>
      <c r="G783" s="1248">
        <v>5.3780526253525398</v>
      </c>
      <c r="H783" s="1278">
        <v>1.6425440864355201</v>
      </c>
      <c r="I783" s="1248">
        <v>0.190633368921862</v>
      </c>
      <c r="J783" s="1278">
        <v>1.3422712956048299E-2</v>
      </c>
      <c r="K783" s="1248">
        <v>3.0000008611532499E-3</v>
      </c>
      <c r="L783" s="1250">
        <v>2.0000005740743601E-3</v>
      </c>
      <c r="M783" s="1273">
        <v>2.0000005740743601E-3</v>
      </c>
      <c r="N783" s="1248">
        <v>3.1850009128239903E-2</v>
      </c>
      <c r="O783" s="1249">
        <v>3.1850009128239903E-2</v>
      </c>
      <c r="P783" s="1251">
        <v>1.5925004564119952E-2</v>
      </c>
      <c r="Q783" s="1252">
        <v>0.199252963941463</v>
      </c>
    </row>
    <row r="784" spans="1:17" s="212" customFormat="1" ht="15.5" x14ac:dyDescent="0.35">
      <c r="A784" s="198">
        <v>2029</v>
      </c>
      <c r="B784" s="197" t="s">
        <v>5842</v>
      </c>
      <c r="C784" s="197">
        <v>1990</v>
      </c>
      <c r="D784" s="213" t="str">
        <f t="shared" si="9"/>
        <v>2029_1990</v>
      </c>
      <c r="E784" s="1267">
        <v>0.28065124258375601</v>
      </c>
      <c r="F784" s="1278">
        <v>0.44695071776616202</v>
      </c>
      <c r="G784" s="1248">
        <v>5.3721137718102403</v>
      </c>
      <c r="H784" s="1278">
        <v>1.66222891394857</v>
      </c>
      <c r="I784" s="1248">
        <v>0.19113403089275499</v>
      </c>
      <c r="J784" s="1278">
        <v>1.3979285784613601E-2</v>
      </c>
      <c r="K784" s="1248">
        <v>3.0000008611375398E-3</v>
      </c>
      <c r="L784" s="1250">
        <v>2.0000005742098498E-3</v>
      </c>
      <c r="M784" s="1273">
        <v>2.0000005742098498E-3</v>
      </c>
      <c r="N784" s="1248">
        <v>3.1850009128239903E-2</v>
      </c>
      <c r="O784" s="1249">
        <v>3.1850009128239903E-2</v>
      </c>
      <c r="P784" s="1251">
        <v>1.5925004564119952E-2</v>
      </c>
      <c r="Q784" s="1252">
        <v>0.19977626362502399</v>
      </c>
    </row>
    <row r="785" spans="1:17" s="212" customFormat="1" ht="15.5" x14ac:dyDescent="0.35">
      <c r="A785" s="198">
        <v>2029</v>
      </c>
      <c r="B785" s="197" t="s">
        <v>5842</v>
      </c>
      <c r="C785" s="197">
        <v>1991</v>
      </c>
      <c r="D785" s="213" t="str">
        <f t="shared" si="9"/>
        <v>2029_1991</v>
      </c>
      <c r="E785" s="1267">
        <v>0.36904381765081001</v>
      </c>
      <c r="F785" s="1278">
        <v>0.46454987674891102</v>
      </c>
      <c r="G785" s="1248">
        <v>9.3430602838505497</v>
      </c>
      <c r="H785" s="1278">
        <v>2.9042948502525898</v>
      </c>
      <c r="I785" s="1248">
        <v>5.2302103177540603E-2</v>
      </c>
      <c r="J785" s="1278">
        <v>7.45652443796935E-3</v>
      </c>
      <c r="K785" s="1248">
        <v>3.00000086130039E-3</v>
      </c>
      <c r="L785" s="1250">
        <v>2.00000057406825E-3</v>
      </c>
      <c r="M785" s="1273">
        <v>2.00000057406825E-3</v>
      </c>
      <c r="N785" s="1248">
        <v>3.1850009128239903E-2</v>
      </c>
      <c r="O785" s="1249">
        <v>3.1850009128239903E-2</v>
      </c>
      <c r="P785" s="1251">
        <v>1.5925004564119952E-2</v>
      </c>
      <c r="Q785" s="1252">
        <v>5.4666972196083498E-2</v>
      </c>
    </row>
    <row r="786" spans="1:17" s="212" customFormat="1" ht="15.5" x14ac:dyDescent="0.35">
      <c r="A786" s="198">
        <v>2029</v>
      </c>
      <c r="B786" s="197" t="s">
        <v>5842</v>
      </c>
      <c r="C786" s="197">
        <v>1992</v>
      </c>
      <c r="D786" s="213" t="str">
        <f t="shared" si="9"/>
        <v>2029_1992</v>
      </c>
      <c r="E786" s="1267">
        <v>0.36987533848721998</v>
      </c>
      <c r="F786" s="1278">
        <v>0.46842855784338899</v>
      </c>
      <c r="G786" s="1248">
        <v>9.3337924604910008</v>
      </c>
      <c r="H786" s="1278">
        <v>2.9090265345008701</v>
      </c>
      <c r="I786" s="1248">
        <v>5.2419949044345902E-2</v>
      </c>
      <c r="J786" s="1278">
        <v>7.5484513397821498E-3</v>
      </c>
      <c r="K786" s="1248">
        <v>3.0000008612817899E-3</v>
      </c>
      <c r="L786" s="1250">
        <v>2.0000005741409401E-3</v>
      </c>
      <c r="M786" s="1273">
        <v>2.0000005741409401E-3</v>
      </c>
      <c r="N786" s="1248">
        <v>3.1850009128239903E-2</v>
      </c>
      <c r="O786" s="1249">
        <v>3.1850009128239903E-2</v>
      </c>
      <c r="P786" s="1251">
        <v>1.5925004564119952E-2</v>
      </c>
      <c r="Q786" s="1252">
        <v>5.4790146530052403E-2</v>
      </c>
    </row>
    <row r="787" spans="1:17" s="212" customFormat="1" ht="15.5" x14ac:dyDescent="0.35">
      <c r="A787" s="198">
        <v>2029</v>
      </c>
      <c r="B787" s="197" t="s">
        <v>5842</v>
      </c>
      <c r="C787" s="197">
        <v>1993</v>
      </c>
      <c r="D787" s="213" t="str">
        <f t="shared" si="9"/>
        <v>2029_1993</v>
      </c>
      <c r="E787" s="1267">
        <v>0.371703202066691</v>
      </c>
      <c r="F787" s="1278">
        <v>0.45912039120203801</v>
      </c>
      <c r="G787" s="1248">
        <v>9.3011370583628104</v>
      </c>
      <c r="H787" s="1278">
        <v>2.88943813363572</v>
      </c>
      <c r="I787" s="1248">
        <v>5.2678999880467502E-2</v>
      </c>
      <c r="J787" s="1278">
        <v>7.4268978038862102E-3</v>
      </c>
      <c r="K787" s="1248">
        <v>3.0000008613423499E-3</v>
      </c>
      <c r="L787" s="1250">
        <v>2.0000005740681498E-3</v>
      </c>
      <c r="M787" s="1273">
        <v>2.0000005740681498E-3</v>
      </c>
      <c r="N787" s="1248">
        <v>3.1850009128239903E-2</v>
      </c>
      <c r="O787" s="1249">
        <v>3.1850009128239903E-2</v>
      </c>
      <c r="P787" s="1251">
        <v>1.5925004564119952E-2</v>
      </c>
      <c r="Q787" s="1252">
        <v>5.5060910495462398E-2</v>
      </c>
    </row>
    <row r="788" spans="1:17" s="212" customFormat="1" ht="15.5" x14ac:dyDescent="0.35">
      <c r="A788" s="198">
        <v>2029</v>
      </c>
      <c r="B788" s="197" t="s">
        <v>5842</v>
      </c>
      <c r="C788" s="197">
        <v>1994</v>
      </c>
      <c r="D788" s="213" t="str">
        <f t="shared" si="9"/>
        <v>2029_1994</v>
      </c>
      <c r="E788" s="1267">
        <v>0.36570022718971401</v>
      </c>
      <c r="F788" s="1278">
        <v>0.45556975325002003</v>
      </c>
      <c r="G788" s="1248">
        <v>9.3941941358198005</v>
      </c>
      <c r="H788" s="1278">
        <v>2.8806485643916599</v>
      </c>
      <c r="I788" s="1248">
        <v>5.2364020134876503E-2</v>
      </c>
      <c r="J788" s="1278">
        <v>7.3925915322692898E-3</v>
      </c>
      <c r="K788" s="1248">
        <v>3.0000008612594202E-3</v>
      </c>
      <c r="L788" s="1250">
        <v>2.0000005740547599E-3</v>
      </c>
      <c r="M788" s="1273">
        <v>2.0000005740547599E-3</v>
      </c>
      <c r="N788" s="1248">
        <v>3.1850009128239903E-2</v>
      </c>
      <c r="O788" s="1249">
        <v>3.1850009128239903E-2</v>
      </c>
      <c r="P788" s="1251">
        <v>1.5925004564119952E-2</v>
      </c>
      <c r="Q788" s="1252">
        <v>5.4731688763477698E-2</v>
      </c>
    </row>
    <row r="789" spans="1:17" s="212" customFormat="1" ht="15.5" x14ac:dyDescent="0.35">
      <c r="A789" s="198">
        <v>2029</v>
      </c>
      <c r="B789" s="197" t="s">
        <v>5842</v>
      </c>
      <c r="C789" s="197">
        <v>1995</v>
      </c>
      <c r="D789" s="213" t="str">
        <f t="shared" si="9"/>
        <v>2029_1995</v>
      </c>
      <c r="E789" s="1267">
        <v>0.36783972947800703</v>
      </c>
      <c r="F789" s="1278">
        <v>0.24451209597374199</v>
      </c>
      <c r="G789" s="1248">
        <v>9.3795398011124504</v>
      </c>
      <c r="H789" s="1278">
        <v>1.64645271351918</v>
      </c>
      <c r="I789" s="1248">
        <v>5.2670371984214197E-2</v>
      </c>
      <c r="J789" s="1278">
        <v>4.8540280353045404E-3</v>
      </c>
      <c r="K789" s="1248">
        <v>3.0000008612540699E-3</v>
      </c>
      <c r="L789" s="1250">
        <v>2.0000005741226201E-3</v>
      </c>
      <c r="M789" s="1273">
        <v>2.0000005741226201E-3</v>
      </c>
      <c r="N789" s="1248">
        <v>3.1850009128239903E-2</v>
      </c>
      <c r="O789" s="1249">
        <v>3.1850009128239903E-2</v>
      </c>
      <c r="P789" s="1251">
        <v>1.5925004564119952E-2</v>
      </c>
      <c r="Q789" s="1252">
        <v>5.5051892484026199E-2</v>
      </c>
    </row>
    <row r="790" spans="1:17" s="212" customFormat="1" ht="15.5" x14ac:dyDescent="0.35">
      <c r="A790" s="198">
        <v>2029</v>
      </c>
      <c r="B790" s="197" t="s">
        <v>5842</v>
      </c>
      <c r="C790" s="197">
        <v>1996</v>
      </c>
      <c r="D790" s="213" t="str">
        <f t="shared" si="9"/>
        <v>2029_1996</v>
      </c>
      <c r="E790" s="1267">
        <v>0.369270339198222</v>
      </c>
      <c r="F790" s="1278">
        <v>2.2386287190846201E-2</v>
      </c>
      <c r="G790" s="1248">
        <v>9.3554073482833502</v>
      </c>
      <c r="H790" s="1278">
        <v>0.39328631945130699</v>
      </c>
      <c r="I790" s="1248">
        <v>5.2875218660876702E-2</v>
      </c>
      <c r="J790" s="1278">
        <v>2.1823429212246598E-3</v>
      </c>
      <c r="K790" s="1248">
        <v>3.0000008612889998E-3</v>
      </c>
      <c r="L790" s="1250">
        <v>2.0000005741376298E-3</v>
      </c>
      <c r="M790" s="1273">
        <v>2.0000005741376298E-3</v>
      </c>
      <c r="N790" s="1248">
        <v>3.1850009128239903E-2</v>
      </c>
      <c r="O790" s="1249">
        <v>3.1850009128239903E-2</v>
      </c>
      <c r="P790" s="1251">
        <v>1.5925004564119952E-2</v>
      </c>
      <c r="Q790" s="1252">
        <v>5.5266001418413702E-2</v>
      </c>
    </row>
    <row r="791" spans="1:17" s="212" customFormat="1" ht="15.5" x14ac:dyDescent="0.35">
      <c r="A791" s="198">
        <v>2029</v>
      </c>
      <c r="B791" s="197" t="s">
        <v>5842</v>
      </c>
      <c r="C791" s="197">
        <v>1997</v>
      </c>
      <c r="D791" s="213" t="str">
        <f t="shared" si="9"/>
        <v>2029_1997</v>
      </c>
      <c r="E791" s="1267">
        <v>0.37110147981446701</v>
      </c>
      <c r="F791" s="1278">
        <v>2.15008885043876E-2</v>
      </c>
      <c r="G791" s="1248">
        <v>9.31107450177449</v>
      </c>
      <c r="H791" s="1278">
        <v>0.38785578587623298</v>
      </c>
      <c r="I791" s="1248">
        <v>5.31374167044373E-2</v>
      </c>
      <c r="J791" s="1278">
        <v>2.1000046707691298E-3</v>
      </c>
      <c r="K791" s="1248">
        <v>3.0000008612894201E-3</v>
      </c>
      <c r="L791" s="1250">
        <v>2.0000005740546502E-3</v>
      </c>
      <c r="M791" s="1273">
        <v>2.0000005740546502E-3</v>
      </c>
      <c r="N791" s="1248">
        <v>3.1850009128239903E-2</v>
      </c>
      <c r="O791" s="1249">
        <v>3.1850009128239903E-2</v>
      </c>
      <c r="P791" s="1251">
        <v>1.5925004564119952E-2</v>
      </c>
      <c r="Q791" s="1252">
        <v>5.5540054894017497E-2</v>
      </c>
    </row>
    <row r="792" spans="1:17" s="212" customFormat="1" ht="15.5" x14ac:dyDescent="0.35">
      <c r="A792" s="198">
        <v>2029</v>
      </c>
      <c r="B792" s="197" t="s">
        <v>5842</v>
      </c>
      <c r="C792" s="197">
        <v>1998</v>
      </c>
      <c r="D792" s="213" t="str">
        <f t="shared" si="9"/>
        <v>2029_1998</v>
      </c>
      <c r="E792" s="1267">
        <v>0.37267574447322399</v>
      </c>
      <c r="F792" s="1278">
        <v>2.17881835161595E-2</v>
      </c>
      <c r="G792" s="1248">
        <v>9.2986492805224508</v>
      </c>
      <c r="H792" s="1278">
        <v>0.38988627175371598</v>
      </c>
      <c r="I792" s="1248">
        <v>5.3362833097864999E-2</v>
      </c>
      <c r="J792" s="1278">
        <v>2.1309401811652E-3</v>
      </c>
      <c r="K792" s="1248">
        <v>3.00000086137123E-3</v>
      </c>
      <c r="L792" s="1250">
        <v>2.00000057409666E-3</v>
      </c>
      <c r="M792" s="1273">
        <v>2.00000057409666E-3</v>
      </c>
      <c r="N792" s="1248">
        <v>3.1850009128239903E-2</v>
      </c>
      <c r="O792" s="1249">
        <v>3.1850009128239903E-2</v>
      </c>
      <c r="P792" s="1251">
        <v>1.5925004564119952E-2</v>
      </c>
      <c r="Q792" s="1252">
        <v>5.5775663616485498E-2</v>
      </c>
    </row>
    <row r="793" spans="1:17" s="212" customFormat="1" ht="15.5" x14ac:dyDescent="0.35">
      <c r="A793" s="198">
        <v>2029</v>
      </c>
      <c r="B793" s="197" t="s">
        <v>5842</v>
      </c>
      <c r="C793" s="197">
        <v>1999</v>
      </c>
      <c r="D793" s="213" t="str">
        <f t="shared" si="9"/>
        <v>2029_1999</v>
      </c>
      <c r="E793" s="1267">
        <v>0.370583142303548</v>
      </c>
      <c r="F793" s="1278">
        <v>2.1835785106515598E-2</v>
      </c>
      <c r="G793" s="1248">
        <v>9.3302040110939899</v>
      </c>
      <c r="H793" s="1278">
        <v>0.39017794195653999</v>
      </c>
      <c r="I793" s="1248">
        <v>5.3063196800153999E-2</v>
      </c>
      <c r="J793" s="1278">
        <v>2.13086609093462E-3</v>
      </c>
      <c r="K793" s="1248">
        <v>3.0000008613363699E-3</v>
      </c>
      <c r="L793" s="1250">
        <v>2.00000057411139E-3</v>
      </c>
      <c r="M793" s="1273">
        <v>2.00000057411139E-3</v>
      </c>
      <c r="N793" s="1248">
        <v>3.1850009128239903E-2</v>
      </c>
      <c r="O793" s="1249">
        <v>3.1850009128239903E-2</v>
      </c>
      <c r="P793" s="1251">
        <v>1.5925004564119952E-2</v>
      </c>
      <c r="Q793" s="1252">
        <v>5.5462479095008503E-2</v>
      </c>
    </row>
    <row r="794" spans="1:17" s="212" customFormat="1" ht="15.5" x14ac:dyDescent="0.35">
      <c r="A794" s="198">
        <v>2029</v>
      </c>
      <c r="B794" s="197" t="s">
        <v>5842</v>
      </c>
      <c r="C794" s="197">
        <v>2000</v>
      </c>
      <c r="D794" s="213" t="str">
        <f t="shared" si="9"/>
        <v>2029_2000</v>
      </c>
      <c r="E794" s="1267">
        <v>0.36686012352145098</v>
      </c>
      <c r="F794" s="1278">
        <v>2.2127565782769299E-2</v>
      </c>
      <c r="G794" s="1248">
        <v>9.4068868400510102</v>
      </c>
      <c r="H794" s="1278">
        <v>0.39271873705190502</v>
      </c>
      <c r="I794" s="1248">
        <v>5.25301038021911E-2</v>
      </c>
      <c r="J794" s="1278">
        <v>2.1626546603087898E-3</v>
      </c>
      <c r="K794" s="1248">
        <v>3.0000008612539198E-3</v>
      </c>
      <c r="L794" s="1250">
        <v>2.0000005741508901E-3</v>
      </c>
      <c r="M794" s="1273">
        <v>2.0000005741508901E-3</v>
      </c>
      <c r="N794" s="1248">
        <v>3.1850009128239903E-2</v>
      </c>
      <c r="O794" s="1249">
        <v>3.1850009128239903E-2</v>
      </c>
      <c r="P794" s="1251">
        <v>1.5925004564119952E-2</v>
      </c>
      <c r="Q794" s="1252">
        <v>5.49052819972429E-2</v>
      </c>
    </row>
    <row r="795" spans="1:17" s="212" customFormat="1" ht="15.5" x14ac:dyDescent="0.35">
      <c r="A795" s="198">
        <v>2029</v>
      </c>
      <c r="B795" s="197" t="s">
        <v>5842</v>
      </c>
      <c r="C795" s="197">
        <v>2001</v>
      </c>
      <c r="D795" s="213" t="str">
        <f t="shared" si="9"/>
        <v>2029_2001</v>
      </c>
      <c r="E795" s="1267">
        <v>0.37032210807014598</v>
      </c>
      <c r="F795" s="1278">
        <v>2.22144226158284E-2</v>
      </c>
      <c r="G795" s="1248">
        <v>9.3358558823690103</v>
      </c>
      <c r="H795" s="1278">
        <v>0.393996899783704</v>
      </c>
      <c r="I795" s="1248">
        <v>5.3025819733262897E-2</v>
      </c>
      <c r="J795" s="1278">
        <v>2.1736846488171302E-3</v>
      </c>
      <c r="K795" s="1248">
        <v>3.00000086133463E-3</v>
      </c>
      <c r="L795" s="1250">
        <v>2.0000005741795E-3</v>
      </c>
      <c r="M795" s="1273">
        <v>2.0000005741795E-3</v>
      </c>
      <c r="N795" s="1248">
        <v>3.1850009128239903E-2</v>
      </c>
      <c r="O795" s="1249">
        <v>3.1850009128239903E-2</v>
      </c>
      <c r="P795" s="1251">
        <v>1.5925004564119952E-2</v>
      </c>
      <c r="Q795" s="1252">
        <v>5.5423412003010902E-2</v>
      </c>
    </row>
    <row r="796" spans="1:17" s="212" customFormat="1" ht="15.5" x14ac:dyDescent="0.35">
      <c r="A796" s="198">
        <v>2029</v>
      </c>
      <c r="B796" s="197" t="s">
        <v>5842</v>
      </c>
      <c r="C796" s="197">
        <v>2002</v>
      </c>
      <c r="D796" s="213" t="str">
        <f t="shared" si="9"/>
        <v>2029_2002</v>
      </c>
      <c r="E796" s="1267">
        <v>0.28712797209162999</v>
      </c>
      <c r="F796" s="1278">
        <v>2.2147167495414202E-2</v>
      </c>
      <c r="G796" s="1248">
        <v>7.1942393170888401</v>
      </c>
      <c r="H796" s="1278">
        <v>0.31758201315321999</v>
      </c>
      <c r="I796" s="1248">
        <v>5.3520053354438303E-2</v>
      </c>
      <c r="J796" s="1278">
        <v>2.1711351130633298E-3</v>
      </c>
      <c r="K796" s="1248">
        <v>3.0000008613482601E-3</v>
      </c>
      <c r="L796" s="1250">
        <v>2.0000005741544302E-3</v>
      </c>
      <c r="M796" s="1273">
        <v>2.0000005741544302E-3</v>
      </c>
      <c r="N796" s="1248">
        <v>3.1850009128239903E-2</v>
      </c>
      <c r="O796" s="1249">
        <v>3.1850009128239903E-2</v>
      </c>
      <c r="P796" s="1251">
        <v>1.5925004564119952E-2</v>
      </c>
      <c r="Q796" s="1252">
        <v>5.59399926754066E-2</v>
      </c>
    </row>
    <row r="797" spans="1:17" s="212" customFormat="1" ht="15.5" x14ac:dyDescent="0.35">
      <c r="A797" s="198">
        <v>2029</v>
      </c>
      <c r="B797" s="197" t="s">
        <v>5842</v>
      </c>
      <c r="C797" s="197">
        <v>2003</v>
      </c>
      <c r="D797" s="213" t="str">
        <f t="shared" si="9"/>
        <v>2029_2003</v>
      </c>
      <c r="E797" s="1267">
        <v>0.284581124008079</v>
      </c>
      <c r="F797" s="1278">
        <v>2.1839255113169E-2</v>
      </c>
      <c r="G797" s="1248">
        <v>7.2377900731919302</v>
      </c>
      <c r="H797" s="1278">
        <v>0.31688330298501799</v>
      </c>
      <c r="I797" s="1248">
        <v>5.3045326199419797E-2</v>
      </c>
      <c r="J797" s="1278">
        <v>2.1399007008528498E-3</v>
      </c>
      <c r="K797" s="1248">
        <v>3.0000008612732498E-3</v>
      </c>
      <c r="L797" s="1250">
        <v>2.0000005741403E-3</v>
      </c>
      <c r="M797" s="1273">
        <v>2.0000005741403E-3</v>
      </c>
      <c r="N797" s="1248">
        <v>3.1850009128239903E-2</v>
      </c>
      <c r="O797" s="1249">
        <v>3.1850009128239903E-2</v>
      </c>
      <c r="P797" s="1251">
        <v>1.5925004564119952E-2</v>
      </c>
      <c r="Q797" s="1252">
        <v>5.5443800465008797E-2</v>
      </c>
    </row>
    <row r="798" spans="1:17" s="212" customFormat="1" ht="15.5" x14ac:dyDescent="0.35">
      <c r="A798" s="198">
        <v>2029</v>
      </c>
      <c r="B798" s="197" t="s">
        <v>5842</v>
      </c>
      <c r="C798" s="197">
        <v>2004</v>
      </c>
      <c r="D798" s="213" t="str">
        <f t="shared" si="9"/>
        <v>2029_2004</v>
      </c>
      <c r="E798" s="1267">
        <v>0.57684720345720697</v>
      </c>
      <c r="F798" s="1278">
        <v>1.4297208659658899E-2</v>
      </c>
      <c r="G798" s="1248">
        <v>4.1449201697226297</v>
      </c>
      <c r="H798" s="1278">
        <v>0.26797572469612801</v>
      </c>
      <c r="I798" s="1248">
        <v>0.15026362054992401</v>
      </c>
      <c r="J798" s="1278">
        <v>1.39146125659795E-4</v>
      </c>
      <c r="K798" s="1248">
        <v>3.0000008612683102E-3</v>
      </c>
      <c r="L798" s="1250">
        <v>2.0000005740750202E-3</v>
      </c>
      <c r="M798" s="1273">
        <v>2.0000005740750202E-3</v>
      </c>
      <c r="N798" s="1248">
        <v>3.1850009128239903E-2</v>
      </c>
      <c r="O798" s="1249">
        <v>3.1850009128239903E-2</v>
      </c>
      <c r="P798" s="1251">
        <v>1.5925004564119952E-2</v>
      </c>
      <c r="Q798" s="1252">
        <v>0.15705787468625099</v>
      </c>
    </row>
    <row r="799" spans="1:17" s="212" customFormat="1" ht="15.5" x14ac:dyDescent="0.35">
      <c r="A799" s="198">
        <v>2029</v>
      </c>
      <c r="B799" s="197" t="s">
        <v>5842</v>
      </c>
      <c r="C799" s="197">
        <v>2005</v>
      </c>
      <c r="D799" s="213" t="str">
        <f t="shared" si="9"/>
        <v>2029_2005</v>
      </c>
      <c r="E799" s="1267">
        <v>0.57458047176178295</v>
      </c>
      <c r="F799" s="1278">
        <v>1.44372096497223E-2</v>
      </c>
      <c r="G799" s="1248">
        <v>4.1376498544700802</v>
      </c>
      <c r="H799" s="1278">
        <v>0.26999719910417203</v>
      </c>
      <c r="I799" s="1248">
        <v>0.14975675740045299</v>
      </c>
      <c r="J799" s="1278">
        <v>1.41066505172336E-4</v>
      </c>
      <c r="K799" s="1248">
        <v>3.0000008612433501E-3</v>
      </c>
      <c r="L799" s="1250">
        <v>2.0000005741134899E-3</v>
      </c>
      <c r="M799" s="1273">
        <v>2.0000005741134899E-3</v>
      </c>
      <c r="N799" s="1248">
        <v>3.1850009128239903E-2</v>
      </c>
      <c r="O799" s="1249">
        <v>3.1850009128239903E-2</v>
      </c>
      <c r="P799" s="1251">
        <v>1.5925004564119952E-2</v>
      </c>
      <c r="Q799" s="1252">
        <v>0.15652809343433199</v>
      </c>
    </row>
    <row r="800" spans="1:17" s="212" customFormat="1" ht="15.5" x14ac:dyDescent="0.35">
      <c r="A800" s="198">
        <v>2029</v>
      </c>
      <c r="B800" s="197" t="s">
        <v>5842</v>
      </c>
      <c r="C800" s="197">
        <v>2006</v>
      </c>
      <c r="D800" s="213" t="str">
        <f t="shared" si="9"/>
        <v>2029_2006</v>
      </c>
      <c r="E800" s="1267">
        <v>0.57008893860141896</v>
      </c>
      <c r="F800" s="1278">
        <v>1.45474072266236E-2</v>
      </c>
      <c r="G800" s="1248">
        <v>4.1243505919505399</v>
      </c>
      <c r="H800" s="1278">
        <v>0.27111461887190602</v>
      </c>
      <c r="I800" s="1248">
        <v>0.14879597607837899</v>
      </c>
      <c r="J800" s="1278">
        <v>1.4203019910911401E-4</v>
      </c>
      <c r="K800" s="1248">
        <v>3.0000008612296402E-3</v>
      </c>
      <c r="L800" s="1250">
        <v>2.0000005741283599E-3</v>
      </c>
      <c r="M800" s="1273">
        <v>2.0000005741283599E-3</v>
      </c>
      <c r="N800" s="1248">
        <v>3.1850009128239903E-2</v>
      </c>
      <c r="O800" s="1249">
        <v>3.1850009128239903E-2</v>
      </c>
      <c r="P800" s="1251">
        <v>1.5925004564119952E-2</v>
      </c>
      <c r="Q800" s="1252">
        <v>0.15552386984427799</v>
      </c>
    </row>
    <row r="801" spans="1:17" s="212" customFormat="1" ht="15.5" x14ac:dyDescent="0.35">
      <c r="A801" s="198">
        <v>2029</v>
      </c>
      <c r="B801" s="197" t="s">
        <v>5842</v>
      </c>
      <c r="C801" s="197">
        <v>2007</v>
      </c>
      <c r="D801" s="213" t="str">
        <f t="shared" si="9"/>
        <v>2029_2007</v>
      </c>
      <c r="E801" s="1267">
        <v>0.33167803050539602</v>
      </c>
      <c r="F801" s="1278">
        <v>1.4372860162271701E-2</v>
      </c>
      <c r="G801" s="1248">
        <v>2.48054096253653</v>
      </c>
      <c r="H801" s="1278">
        <v>0.27064954697857402</v>
      </c>
      <c r="I801" s="1248">
        <v>8.7174159913017094E-2</v>
      </c>
      <c r="J801" s="1278">
        <v>1.4516951379177701E-4</v>
      </c>
      <c r="K801" s="1248">
        <v>3.0000008612330901E-3</v>
      </c>
      <c r="L801" s="1250">
        <v>2.0000005741840502E-3</v>
      </c>
      <c r="M801" s="1273">
        <v>2.0000005741840502E-3</v>
      </c>
      <c r="N801" s="1248">
        <v>3.1850009128239903E-2</v>
      </c>
      <c r="O801" s="1249">
        <v>3.1850009128239903E-2</v>
      </c>
      <c r="P801" s="1251">
        <v>1.5925004564119952E-2</v>
      </c>
      <c r="Q801" s="1252">
        <v>9.1115788594678199E-2</v>
      </c>
    </row>
    <row r="802" spans="1:17" s="212" customFormat="1" ht="15.5" x14ac:dyDescent="0.35">
      <c r="A802" s="198">
        <v>2029</v>
      </c>
      <c r="B802" s="197" t="s">
        <v>5842</v>
      </c>
      <c r="C802" s="197">
        <v>2008</v>
      </c>
      <c r="D802" s="213" t="str">
        <f t="shared" ref="D802:D880" si="10">CONCATENATE(A802,"_",C802)</f>
        <v>2029_2008</v>
      </c>
      <c r="E802" s="1267">
        <v>0.33756662077199001</v>
      </c>
      <c r="F802" s="1278">
        <v>9.6452655387213801E-3</v>
      </c>
      <c r="G802" s="1248">
        <v>2.5015812892708098</v>
      </c>
      <c r="H802" s="1278">
        <v>0.1554093009751</v>
      </c>
      <c r="I802" s="1248">
        <v>8.8404884205049702E-2</v>
      </c>
      <c r="J802" s="1278">
        <v>1.4136647418911099E-4</v>
      </c>
      <c r="K802" s="1248">
        <v>3.0000008613201802E-3</v>
      </c>
      <c r="L802" s="1250">
        <v>2.0000005742072599E-3</v>
      </c>
      <c r="M802" s="1273">
        <v>2.0000005742072599E-3</v>
      </c>
      <c r="N802" s="1248">
        <v>3.1850009128239903E-2</v>
      </c>
      <c r="O802" s="1249">
        <v>3.1850009128239903E-2</v>
      </c>
      <c r="P802" s="1251">
        <v>1.5925004564119952E-2</v>
      </c>
      <c r="Q802" s="1252">
        <v>9.2402160777938405E-2</v>
      </c>
    </row>
    <row r="803" spans="1:17" s="212" customFormat="1" ht="15.5" x14ac:dyDescent="0.35">
      <c r="A803" s="198">
        <v>2029</v>
      </c>
      <c r="B803" s="197" t="s">
        <v>5842</v>
      </c>
      <c r="C803" s="197">
        <v>2009</v>
      </c>
      <c r="D803" s="213" t="str">
        <f t="shared" si="10"/>
        <v>2029_2009</v>
      </c>
      <c r="E803" s="1267">
        <v>0.33398411655035798</v>
      </c>
      <c r="F803" s="1278">
        <v>4.6500844646022201E-3</v>
      </c>
      <c r="G803" s="1248">
        <v>2.49277594475166</v>
      </c>
      <c r="H803" s="1278">
        <v>4.09614261955299E-2</v>
      </c>
      <c r="I803" s="1248">
        <v>8.7640735502369602E-2</v>
      </c>
      <c r="J803" s="1278">
        <v>1.2997320478800499E-4</v>
      </c>
      <c r="K803" s="1248">
        <v>3.00000086128138E-3</v>
      </c>
      <c r="L803" s="1250">
        <v>2.0000005741510601E-3</v>
      </c>
      <c r="M803" s="1273">
        <v>2.0000005741510601E-3</v>
      </c>
      <c r="N803" s="1248">
        <v>3.1850009128239903E-2</v>
      </c>
      <c r="O803" s="1249">
        <v>3.1850009128239903E-2</v>
      </c>
      <c r="P803" s="1251">
        <v>1.5925004564119952E-2</v>
      </c>
      <c r="Q803" s="1252">
        <v>9.1603460661782696E-2</v>
      </c>
    </row>
    <row r="804" spans="1:17" s="212" customFormat="1" ht="15.5" x14ac:dyDescent="0.35">
      <c r="A804" s="198">
        <v>2029</v>
      </c>
      <c r="B804" s="197" t="s">
        <v>5842</v>
      </c>
      <c r="C804" s="197">
        <v>2010</v>
      </c>
      <c r="D804" s="213" t="str">
        <f t="shared" si="10"/>
        <v>2029_2010</v>
      </c>
      <c r="E804" s="1267">
        <v>8.9145898685399794E-2</v>
      </c>
      <c r="F804" s="1278">
        <v>4.6844877844315997E-3</v>
      </c>
      <c r="G804" s="1248">
        <v>0.80561357287032098</v>
      </c>
      <c r="H804" s="1278">
        <v>4.0735876448697701E-2</v>
      </c>
      <c r="I804" s="1248">
        <v>2.3905555392748301E-2</v>
      </c>
      <c r="J804" s="1278">
        <v>1.58759879491174E-4</v>
      </c>
      <c r="K804" s="1248">
        <v>3.0000008613262799E-3</v>
      </c>
      <c r="L804" s="1250">
        <v>2.0000005741281101E-3</v>
      </c>
      <c r="M804" s="1273">
        <v>2.0000005741281101E-3</v>
      </c>
      <c r="N804" s="1248">
        <v>3.1850009128239903E-2</v>
      </c>
      <c r="O804" s="1249">
        <v>3.1850009128239903E-2</v>
      </c>
      <c r="P804" s="1251">
        <v>1.5925004564119952E-2</v>
      </c>
      <c r="Q804" s="1252">
        <v>2.4986458528277401E-2</v>
      </c>
    </row>
    <row r="805" spans="1:17" s="212" customFormat="1" ht="15.5" x14ac:dyDescent="0.35">
      <c r="A805" s="198">
        <v>2029</v>
      </c>
      <c r="B805" s="197" t="s">
        <v>5842</v>
      </c>
      <c r="C805" s="197">
        <v>2011</v>
      </c>
      <c r="D805" s="213" t="str">
        <f t="shared" si="10"/>
        <v>2029_2011</v>
      </c>
      <c r="E805" s="1267">
        <v>8.7808580362182406E-2</v>
      </c>
      <c r="F805" s="1278">
        <v>4.8406438419004404E-3</v>
      </c>
      <c r="G805" s="1248">
        <v>0.79402226729918002</v>
      </c>
      <c r="H805" s="1278">
        <v>4.0168438620022902E-2</v>
      </c>
      <c r="I805" s="1248">
        <v>2.33766459152514E-2</v>
      </c>
      <c r="J805" s="1278">
        <v>2.1705500170574399E-4</v>
      </c>
      <c r="K805" s="1248">
        <v>3.0000008612970802E-3</v>
      </c>
      <c r="L805" s="1250">
        <v>2.0000005742280601E-3</v>
      </c>
      <c r="M805" s="1273">
        <v>2.0000005742280601E-3</v>
      </c>
      <c r="N805" s="1248">
        <v>3.1850009128239903E-2</v>
      </c>
      <c r="O805" s="1249">
        <v>3.1850009128239903E-2</v>
      </c>
      <c r="P805" s="1251">
        <v>1.5925004564119952E-2</v>
      </c>
      <c r="Q805" s="1252">
        <v>2.4433634111209201E-2</v>
      </c>
    </row>
    <row r="806" spans="1:17" s="212" customFormat="1" ht="15.5" x14ac:dyDescent="0.35">
      <c r="A806" s="198">
        <v>2029</v>
      </c>
      <c r="B806" s="197" t="s">
        <v>5842</v>
      </c>
      <c r="C806" s="197">
        <v>2012</v>
      </c>
      <c r="D806" s="213" t="str">
        <f t="shared" si="10"/>
        <v>2029_2012</v>
      </c>
      <c r="E806" s="1267">
        <v>8.7929693974880999E-2</v>
      </c>
      <c r="F806" s="1278">
        <v>4.8073313048062599E-3</v>
      </c>
      <c r="G806" s="1248">
        <v>0.78757539503484697</v>
      </c>
      <c r="H806" s="1278">
        <v>3.9833893852392901E-2</v>
      </c>
      <c r="I806" s="1248">
        <v>2.3065373520768501E-2</v>
      </c>
      <c r="J806" s="1278">
        <v>3.1693347061650799E-4</v>
      </c>
      <c r="K806" s="1248">
        <v>3.0000008613557901E-3</v>
      </c>
      <c r="L806" s="1250">
        <v>2.0000005742369701E-3</v>
      </c>
      <c r="M806" s="1273">
        <v>2.0000005742369701E-3</v>
      </c>
      <c r="N806" s="1248">
        <v>3.1850009128239903E-2</v>
      </c>
      <c r="O806" s="1249">
        <v>3.1850009128239903E-2</v>
      </c>
      <c r="P806" s="1251">
        <v>1.5925004564119952E-2</v>
      </c>
      <c r="Q806" s="1252">
        <v>2.4108287360298498E-2</v>
      </c>
    </row>
    <row r="807" spans="1:17" s="212" customFormat="1" ht="15.5" x14ac:dyDescent="0.35">
      <c r="A807" s="198">
        <v>2029</v>
      </c>
      <c r="B807" s="197" t="s">
        <v>5842</v>
      </c>
      <c r="C807" s="197">
        <v>2013</v>
      </c>
      <c r="D807" s="213" t="str">
        <f t="shared" si="10"/>
        <v>2029_2013</v>
      </c>
      <c r="E807" s="1267">
        <v>8.7245145383674699E-2</v>
      </c>
      <c r="F807" s="1278">
        <v>4.84150481090387E-3</v>
      </c>
      <c r="G807" s="1248">
        <v>0.77559517250973198</v>
      </c>
      <c r="H807" s="1278">
        <v>3.9359679095670098E-2</v>
      </c>
      <c r="I807" s="1248">
        <v>2.2544677049223201E-2</v>
      </c>
      <c r="J807" s="1278">
        <v>4.7587810339493199E-4</v>
      </c>
      <c r="K807" s="1248">
        <v>3.0000008613798E-3</v>
      </c>
      <c r="L807" s="1250">
        <v>2.0000005742735502E-3</v>
      </c>
      <c r="M807" s="1273">
        <v>2.0000005742735502E-3</v>
      </c>
      <c r="N807" s="1248">
        <v>3.1850009128239903E-2</v>
      </c>
      <c r="O807" s="1249">
        <v>3.1850009128239903E-2</v>
      </c>
      <c r="P807" s="1251">
        <v>1.5925004564119952E-2</v>
      </c>
      <c r="Q807" s="1252">
        <v>2.35640473048663E-2</v>
      </c>
    </row>
    <row r="808" spans="1:17" s="212" customFormat="1" ht="15.5" x14ac:dyDescent="0.35">
      <c r="A808" s="198">
        <v>2029</v>
      </c>
      <c r="B808" s="197" t="s">
        <v>5842</v>
      </c>
      <c r="C808" s="197">
        <v>2014</v>
      </c>
      <c r="D808" s="213" t="str">
        <f t="shared" si="10"/>
        <v>2029_2014</v>
      </c>
      <c r="E808" s="1267">
        <v>8.5491569472387299E-2</v>
      </c>
      <c r="F808" s="1278">
        <v>4.7300372622664198E-3</v>
      </c>
      <c r="G808" s="1248">
        <v>0.75970142566496801</v>
      </c>
      <c r="H808" s="1278">
        <v>3.9311277822600701E-2</v>
      </c>
      <c r="I808" s="1248">
        <v>2.18063341885497E-2</v>
      </c>
      <c r="J808" s="1278">
        <v>6.6080125329891996E-4</v>
      </c>
      <c r="K808" s="1248">
        <v>3.0000008613164102E-3</v>
      </c>
      <c r="L808" s="1250">
        <v>2.0000005742289799E-3</v>
      </c>
      <c r="M808" s="1273">
        <v>2.0000005742289799E-3</v>
      </c>
      <c r="N808" s="1248">
        <v>3.1850009128239903E-2</v>
      </c>
      <c r="O808" s="1249">
        <v>3.1850009128239903E-2</v>
      </c>
      <c r="P808" s="1251">
        <v>1.5925004564119952E-2</v>
      </c>
      <c r="Q808" s="1252">
        <v>2.2792319856380999E-2</v>
      </c>
    </row>
    <row r="809" spans="1:17" s="212" customFormat="1" ht="15.5" x14ac:dyDescent="0.35">
      <c r="A809" s="198">
        <v>2029</v>
      </c>
      <c r="B809" s="197" t="s">
        <v>5842</v>
      </c>
      <c r="C809" s="197">
        <v>2015</v>
      </c>
      <c r="D809" s="213" t="str">
        <f t="shared" si="10"/>
        <v>2029_2015</v>
      </c>
      <c r="E809" s="1267">
        <v>8.4912345275829304E-2</v>
      </c>
      <c r="F809" s="1278">
        <v>4.8589215308006001E-3</v>
      </c>
      <c r="G809" s="1248">
        <v>0.74725022420593701</v>
      </c>
      <c r="H809" s="1278">
        <v>3.8851928239183098E-2</v>
      </c>
      <c r="I809" s="1248">
        <v>2.12197406227333E-2</v>
      </c>
      <c r="J809" s="1278">
        <v>8.3621162287642503E-4</v>
      </c>
      <c r="K809" s="1248">
        <v>3.00000086132607E-3</v>
      </c>
      <c r="L809" s="1250">
        <v>2.0000005742638201E-3</v>
      </c>
      <c r="M809" s="1273">
        <v>2.0000005742638201E-3</v>
      </c>
      <c r="N809" s="1248">
        <v>3.1850009128239903E-2</v>
      </c>
      <c r="O809" s="1249">
        <v>3.1850009128239903E-2</v>
      </c>
      <c r="P809" s="1251">
        <v>1.5925004564119952E-2</v>
      </c>
      <c r="Q809" s="1252">
        <v>2.21792031324889E-2</v>
      </c>
    </row>
    <row r="810" spans="1:17" s="212" customFormat="1" ht="15.5" x14ac:dyDescent="0.35">
      <c r="A810" s="198">
        <v>2029</v>
      </c>
      <c r="B810" s="197" t="s">
        <v>5842</v>
      </c>
      <c r="C810" s="197">
        <v>2016</v>
      </c>
      <c r="D810" s="213" t="str">
        <f t="shared" si="10"/>
        <v>2029_2016</v>
      </c>
      <c r="E810" s="1267">
        <v>8.4134449814720597E-2</v>
      </c>
      <c r="F810" s="1278">
        <v>4.50299698328581E-3</v>
      </c>
      <c r="G810" s="1248">
        <v>0.64784135836264301</v>
      </c>
      <c r="H810" s="1278">
        <v>3.6154863746054297E-2</v>
      </c>
      <c r="I810" s="1248">
        <v>2.0548968162494199E-2</v>
      </c>
      <c r="J810" s="1278">
        <v>9.6224639927735601E-4</v>
      </c>
      <c r="K810" s="1248">
        <v>3.0000008613415901E-3</v>
      </c>
      <c r="L810" s="1250">
        <v>2.0000005742449299E-3</v>
      </c>
      <c r="M810" s="1273">
        <v>2.0000005742449299E-3</v>
      </c>
      <c r="N810" s="1248">
        <v>3.1850009128239903E-2</v>
      </c>
      <c r="O810" s="1249">
        <v>3.1850009128239903E-2</v>
      </c>
      <c r="P810" s="1251">
        <v>1.5925004564119952E-2</v>
      </c>
      <c r="Q810" s="1252">
        <v>2.1478101318106499E-2</v>
      </c>
    </row>
    <row r="811" spans="1:17" s="212" customFormat="1" ht="15.5" x14ac:dyDescent="0.35">
      <c r="A811" s="198">
        <v>2029</v>
      </c>
      <c r="B811" s="197" t="s">
        <v>5842</v>
      </c>
      <c r="C811" s="197">
        <v>2017</v>
      </c>
      <c r="D811" s="213" t="str">
        <f t="shared" si="10"/>
        <v>2029_2017</v>
      </c>
      <c r="E811" s="1267">
        <v>8.2170723951298194E-2</v>
      </c>
      <c r="F811" s="1278">
        <v>4.30249970096039E-3</v>
      </c>
      <c r="G811" s="1248">
        <v>0.54709212745662406</v>
      </c>
      <c r="H811" s="1278">
        <v>3.35914276832745E-2</v>
      </c>
      <c r="I811" s="1248">
        <v>1.9628542268663399E-2</v>
      </c>
      <c r="J811" s="1278">
        <v>1.0376546682358699E-3</v>
      </c>
      <c r="K811" s="1248">
        <v>3.0000008612873301E-3</v>
      </c>
      <c r="L811" s="1250">
        <v>2.00000057429759E-3</v>
      </c>
      <c r="M811" s="1273">
        <v>2.00000057429759E-3</v>
      </c>
      <c r="N811" s="1248">
        <v>3.1850009128239903E-2</v>
      </c>
      <c r="O811" s="1249">
        <v>3.1850009128239903E-2</v>
      </c>
      <c r="P811" s="1251">
        <v>1.5925004564119952E-2</v>
      </c>
      <c r="Q811" s="1252">
        <v>2.05160578496861E-2</v>
      </c>
    </row>
    <row r="812" spans="1:17" s="212" customFormat="1" ht="15.5" x14ac:dyDescent="0.35">
      <c r="A812" s="198">
        <v>2029</v>
      </c>
      <c r="B812" s="197" t="s">
        <v>5842</v>
      </c>
      <c r="C812" s="197">
        <v>2018</v>
      </c>
      <c r="D812" s="213" t="str">
        <f t="shared" si="10"/>
        <v>2029_2018</v>
      </c>
      <c r="E812" s="1267">
        <v>8.19162948071393E-2</v>
      </c>
      <c r="F812" s="1278">
        <v>3.8574205965341102E-3</v>
      </c>
      <c r="G812" s="1248">
        <v>0.44410541018035299</v>
      </c>
      <c r="H812" s="1278">
        <v>3.0209237511570002E-2</v>
      </c>
      <c r="I812" s="1248">
        <v>1.89442347119444E-2</v>
      </c>
      <c r="J812" s="1278">
        <v>1.0793283673437399E-3</v>
      </c>
      <c r="K812" s="1248">
        <v>3.0000008613479002E-3</v>
      </c>
      <c r="L812" s="1250">
        <v>2.0000005742491101E-3</v>
      </c>
      <c r="M812" s="1273">
        <v>2.0000005742491101E-3</v>
      </c>
      <c r="N812" s="1248">
        <v>3.1850009128239903E-2</v>
      </c>
      <c r="O812" s="1249">
        <v>3.1850009128239903E-2</v>
      </c>
      <c r="P812" s="1251">
        <v>1.5925004564119952E-2</v>
      </c>
      <c r="Q812" s="1252">
        <v>1.9800808941821998E-2</v>
      </c>
    </row>
    <row r="813" spans="1:17" s="212" customFormat="1" ht="15.5" x14ac:dyDescent="0.35">
      <c r="A813" s="198">
        <v>2029</v>
      </c>
      <c r="B813" s="197" t="s">
        <v>5842</v>
      </c>
      <c r="C813" s="197">
        <v>2019</v>
      </c>
      <c r="D813" s="213" t="str">
        <f t="shared" si="10"/>
        <v>2029_2019</v>
      </c>
      <c r="E813" s="1267">
        <v>8.0947054705758498E-2</v>
      </c>
      <c r="F813" s="1278">
        <v>3.3839128026481899E-3</v>
      </c>
      <c r="G813" s="1248">
        <v>0.37521253588284598</v>
      </c>
      <c r="H813" s="1278">
        <v>2.6712403701190799E-2</v>
      </c>
      <c r="I813" s="1248">
        <v>1.8083875962477701E-2</v>
      </c>
      <c r="J813" s="1278">
        <v>1.1007508602816399E-3</v>
      </c>
      <c r="K813" s="1248">
        <v>3.0000008613966199E-3</v>
      </c>
      <c r="L813" s="1250">
        <v>2.0000005742016802E-3</v>
      </c>
      <c r="M813" s="1273">
        <v>2.0000005742016802E-3</v>
      </c>
      <c r="N813" s="1248">
        <v>3.1850009128239903E-2</v>
      </c>
      <c r="O813" s="1249">
        <v>3.1850009128239903E-2</v>
      </c>
      <c r="P813" s="1251">
        <v>1.5925004564119952E-2</v>
      </c>
      <c r="Q813" s="1252">
        <v>1.8901548587489801E-2</v>
      </c>
    </row>
    <row r="814" spans="1:17" s="212" customFormat="1" ht="15.5" x14ac:dyDescent="0.35">
      <c r="A814" s="198">
        <v>2029</v>
      </c>
      <c r="B814" s="197" t="s">
        <v>5842</v>
      </c>
      <c r="C814" s="197">
        <v>2020</v>
      </c>
      <c r="D814" s="213" t="str">
        <f t="shared" si="10"/>
        <v>2029_2020</v>
      </c>
      <c r="E814" s="1267">
        <v>7.0372823286494093E-2</v>
      </c>
      <c r="F814" s="1278">
        <v>2.80148689152219E-3</v>
      </c>
      <c r="G814" s="1248">
        <v>0.28839183993102302</v>
      </c>
      <c r="H814" s="1278">
        <v>2.3374672044803101E-2</v>
      </c>
      <c r="I814" s="1248">
        <v>1.5695169956180401E-2</v>
      </c>
      <c r="J814" s="1278">
        <v>1.08799217634426E-3</v>
      </c>
      <c r="K814" s="1248">
        <v>3.0000008609679398E-3</v>
      </c>
      <c r="L814" s="1250">
        <v>2.0000005740746498E-3</v>
      </c>
      <c r="M814" s="1273">
        <v>2.0000005740746498E-3</v>
      </c>
      <c r="N814" s="1248">
        <v>3.1850009128239903E-2</v>
      </c>
      <c r="O814" s="1249">
        <v>3.1850009128239903E-2</v>
      </c>
      <c r="P814" s="1251">
        <v>1.5925004564119952E-2</v>
      </c>
      <c r="Q814" s="1252">
        <v>1.6404835895313701E-2</v>
      </c>
    </row>
    <row r="815" spans="1:17" s="212" customFormat="1" ht="15.5" x14ac:dyDescent="0.35">
      <c r="A815" s="198">
        <v>2029</v>
      </c>
      <c r="B815" s="197" t="s">
        <v>5842</v>
      </c>
      <c r="C815" s="197">
        <v>2021</v>
      </c>
      <c r="D815" s="213" t="str">
        <f t="shared" si="10"/>
        <v>2029_2021</v>
      </c>
      <c r="E815" s="1267">
        <v>6.9168602502466106E-2</v>
      </c>
      <c r="F815" s="1278">
        <v>2.4025179516767598E-3</v>
      </c>
      <c r="G815" s="1248">
        <v>0.228546934832213</v>
      </c>
      <c r="H815" s="1278">
        <v>1.9704030716204399E-2</v>
      </c>
      <c r="I815" s="1248">
        <v>1.4754955748216E-2</v>
      </c>
      <c r="J815" s="1278">
        <v>1.08816847525805E-3</v>
      </c>
      <c r="K815" s="1248">
        <v>3.0000008609702201E-3</v>
      </c>
      <c r="L815" s="1250">
        <v>2.0000005740763598E-3</v>
      </c>
      <c r="M815" s="1273">
        <v>2.0000005740763598E-3</v>
      </c>
      <c r="N815" s="1248">
        <v>3.1850009128239903E-2</v>
      </c>
      <c r="O815" s="1249">
        <v>3.1850009128239903E-2</v>
      </c>
      <c r="P815" s="1251">
        <v>1.5925004564119952E-2</v>
      </c>
      <c r="Q815" s="1252">
        <v>1.54221093730039E-2</v>
      </c>
    </row>
    <row r="816" spans="1:17" s="212" customFormat="1" ht="15.5" x14ac:dyDescent="0.35">
      <c r="A816" s="198">
        <v>2029</v>
      </c>
      <c r="B816" s="197" t="s">
        <v>5842</v>
      </c>
      <c r="C816" s="197">
        <v>2022</v>
      </c>
      <c r="D816" s="213" t="str">
        <f t="shared" si="10"/>
        <v>2029_2022</v>
      </c>
      <c r="E816" s="1267">
        <v>6.7884278913312696E-2</v>
      </c>
      <c r="F816" s="1278">
        <v>1.9916683169017698E-3</v>
      </c>
      <c r="G816" s="1248">
        <v>0.17079919980238301</v>
      </c>
      <c r="H816" s="1278">
        <v>1.6008781999096101E-2</v>
      </c>
      <c r="I816" s="1248">
        <v>1.37542639414796E-2</v>
      </c>
      <c r="J816" s="1278">
        <v>1.08833707548218E-3</v>
      </c>
      <c r="K816" s="1248">
        <v>3.0000008609724202E-3</v>
      </c>
      <c r="L816" s="1250">
        <v>2.00000057407801E-3</v>
      </c>
      <c r="M816" s="1273">
        <v>2.00000057407801E-3</v>
      </c>
      <c r="N816" s="1248">
        <v>3.1850009128239903E-2</v>
      </c>
      <c r="O816" s="1249">
        <v>3.1850009128239903E-2</v>
      </c>
      <c r="P816" s="1251">
        <v>1.5925004564119952E-2</v>
      </c>
      <c r="Q816" s="1252">
        <v>1.4376170723270999E-2</v>
      </c>
    </row>
    <row r="817" spans="1:17" s="212" customFormat="1" ht="15.5" x14ac:dyDescent="0.35">
      <c r="A817" s="198">
        <v>2029</v>
      </c>
      <c r="B817" s="197" t="s">
        <v>5842</v>
      </c>
      <c r="C817" s="197">
        <v>2023</v>
      </c>
      <c r="D817" s="213" t="str">
        <f t="shared" si="10"/>
        <v>2029_2023</v>
      </c>
      <c r="E817" s="1267">
        <v>6.6519987569939806E-2</v>
      </c>
      <c r="F817" s="1278">
        <v>1.9952446527338498E-3</v>
      </c>
      <c r="G817" s="1248">
        <v>0.16385818055695001</v>
      </c>
      <c r="H817" s="1278">
        <v>1.5687649791232799E-2</v>
      </c>
      <c r="I817" s="1248">
        <v>1.2693092098288099E-2</v>
      </c>
      <c r="J817" s="1278">
        <v>1.088496839945E-3</v>
      </c>
      <c r="K817" s="1248">
        <v>3.00000086097455E-3</v>
      </c>
      <c r="L817" s="1250">
        <v>2.0000005740796098E-3</v>
      </c>
      <c r="M817" s="1273">
        <v>2.0000005740796098E-3</v>
      </c>
      <c r="N817" s="1248">
        <v>3.1850009128239903E-2</v>
      </c>
      <c r="O817" s="1249">
        <v>3.1850009128239903E-2</v>
      </c>
      <c r="P817" s="1251">
        <v>1.5925004564119952E-2</v>
      </c>
      <c r="Q817" s="1252">
        <v>1.32670173982107E-2</v>
      </c>
    </row>
    <row r="818" spans="1:17" s="212" customFormat="1" ht="15.5" x14ac:dyDescent="0.35">
      <c r="A818" s="198">
        <v>2029</v>
      </c>
      <c r="B818" s="197" t="s">
        <v>5842</v>
      </c>
      <c r="C818" s="197">
        <v>2024</v>
      </c>
      <c r="D818" s="213" t="str">
        <f t="shared" si="10"/>
        <v>2029_2024</v>
      </c>
      <c r="E818" s="1267">
        <v>6.5075259350466402E-2</v>
      </c>
      <c r="F818" s="1278">
        <v>2.0239559344207799E-3</v>
      </c>
      <c r="G818" s="1248">
        <v>0.15652062392298599</v>
      </c>
      <c r="H818" s="1278">
        <v>1.55942019811446E-2</v>
      </c>
      <c r="I818" s="1248">
        <v>1.15713742434847E-2</v>
      </c>
      <c r="J818" s="1278">
        <v>1.0886469455704199E-3</v>
      </c>
      <c r="K818" s="1248">
        <v>3.00000086097658E-3</v>
      </c>
      <c r="L818" s="1250">
        <v>2.0000005740811299E-3</v>
      </c>
      <c r="M818" s="1275">
        <v>2.00000057401178E-3</v>
      </c>
      <c r="N818" s="1248">
        <v>3.1850009128239903E-2</v>
      </c>
      <c r="O818" s="1249">
        <v>3.1850009128239903E-2</v>
      </c>
      <c r="P818" s="1260">
        <v>1.59250045641199E-2</v>
      </c>
      <c r="Q818" s="1252">
        <v>1.20945804395623E-2</v>
      </c>
    </row>
    <row r="819" spans="1:17" s="212" customFormat="1" ht="15.5" x14ac:dyDescent="0.35">
      <c r="A819" s="198">
        <v>2029</v>
      </c>
      <c r="B819" s="197" t="s">
        <v>5842</v>
      </c>
      <c r="C819" s="197">
        <v>2025</v>
      </c>
      <c r="D819" s="213" t="str">
        <f t="shared" si="10"/>
        <v>2029_2025</v>
      </c>
      <c r="E819" s="1267">
        <v>6.3549626392710695E-2</v>
      </c>
      <c r="F819" s="1278">
        <v>2.1119623170266001E-3</v>
      </c>
      <c r="G819" s="1248">
        <v>0.14878597999627899</v>
      </c>
      <c r="H819" s="1278">
        <v>1.6078997333950702E-2</v>
      </c>
      <c r="I819" s="1248">
        <v>1.0389057171299799E-2</v>
      </c>
      <c r="J819" s="1278">
        <v>1.0887847134642399E-3</v>
      </c>
      <c r="K819" s="1248">
        <v>3.00000086097848E-3</v>
      </c>
      <c r="L819" s="1250">
        <v>2.0000005740825502E-3</v>
      </c>
      <c r="M819" s="1275">
        <v>2.00000057401366E-3</v>
      </c>
      <c r="N819" s="1248">
        <v>3.1850009128239903E-2</v>
      </c>
      <c r="O819" s="1249">
        <v>3.1850009128239903E-2</v>
      </c>
      <c r="P819" s="1260">
        <v>1.59250045641199E-2</v>
      </c>
      <c r="Q819" s="1252">
        <v>1.08588042358276E-2</v>
      </c>
    </row>
    <row r="820" spans="1:17" s="212" customFormat="1" ht="15.5" x14ac:dyDescent="0.35">
      <c r="A820" s="198">
        <v>2029</v>
      </c>
      <c r="B820" s="197" t="s">
        <v>5842</v>
      </c>
      <c r="C820" s="197">
        <v>2026</v>
      </c>
      <c r="D820" s="213" t="str">
        <f t="shared" si="10"/>
        <v>2029_2026</v>
      </c>
      <c r="E820" s="1267">
        <v>6.1944743273470597E-2</v>
      </c>
      <c r="F820" s="1278">
        <v>2.2898508182279801E-3</v>
      </c>
      <c r="G820" s="1248">
        <v>0.14067181626063799</v>
      </c>
      <c r="H820" s="1278">
        <v>1.7464058403896001E-2</v>
      </c>
      <c r="I820" s="1248">
        <v>9.1463408363724203E-3</v>
      </c>
      <c r="J820" s="1278">
        <v>1.08892298424393E-3</v>
      </c>
      <c r="K820" s="1248">
        <v>3.0000008609803899E-3</v>
      </c>
      <c r="L820" s="1250">
        <v>2.00000057408398E-3</v>
      </c>
      <c r="M820" s="1275">
        <v>2.0000005740155999E-3</v>
      </c>
      <c r="N820" s="1248">
        <v>3.1850009128239903E-2</v>
      </c>
      <c r="O820" s="1249">
        <v>3.1850009128239903E-2</v>
      </c>
      <c r="P820" s="1260">
        <v>1.59250045641199E-2</v>
      </c>
      <c r="Q820" s="1252">
        <v>9.5598977827068207E-3</v>
      </c>
    </row>
    <row r="821" spans="1:17" s="212" customFormat="1" ht="15.5" x14ac:dyDescent="0.35">
      <c r="A821" s="198">
        <v>2029</v>
      </c>
      <c r="B821" s="197" t="s">
        <v>5842</v>
      </c>
      <c r="C821" s="197">
        <v>2027</v>
      </c>
      <c r="D821" s="213" t="str">
        <f t="shared" si="10"/>
        <v>2029_2027</v>
      </c>
      <c r="E821" s="1267">
        <v>6.0261685626585897E-2</v>
      </c>
      <c r="F821" s="1278">
        <v>2.55893573290234E-3</v>
      </c>
      <c r="G821" s="1248">
        <v>0.132147734348496</v>
      </c>
      <c r="H821" s="1278">
        <v>1.9768270401429599E-2</v>
      </c>
      <c r="I821" s="1248">
        <v>7.8432823511946706E-3</v>
      </c>
      <c r="J821" s="1278">
        <v>1.08906636955132E-3</v>
      </c>
      <c r="K821" s="1248">
        <v>3.0000008609823801E-3</v>
      </c>
      <c r="L821" s="1250">
        <v>2.0000005740854702E-3</v>
      </c>
      <c r="M821" s="1275">
        <v>2.0000005740176E-3</v>
      </c>
      <c r="N821" s="1248">
        <v>3.1850009128239903E-2</v>
      </c>
      <c r="O821" s="1249">
        <v>3.1850009128239903E-2</v>
      </c>
      <c r="P821" s="1260">
        <v>1.59250045641199E-2</v>
      </c>
      <c r="Q821" s="1252">
        <v>8.1979207750657208E-3</v>
      </c>
    </row>
    <row r="822" spans="1:17" s="212" customFormat="1" ht="15.5" x14ac:dyDescent="0.35">
      <c r="A822" s="198">
        <v>2029</v>
      </c>
      <c r="B822" s="197" t="s">
        <v>5842</v>
      </c>
      <c r="C822" s="197">
        <v>2028</v>
      </c>
      <c r="D822" s="213" t="str">
        <f t="shared" si="10"/>
        <v>2029_2028</v>
      </c>
      <c r="E822" s="1267">
        <v>5.84996632271651E-2</v>
      </c>
      <c r="F822" s="1278">
        <v>2.8155645376627902E-3</v>
      </c>
      <c r="G822" s="1248">
        <v>0.12322873296671</v>
      </c>
      <c r="H822" s="1278">
        <v>2.1971836916153301E-2</v>
      </c>
      <c r="I822" s="1248">
        <v>6.4797402754943698E-3</v>
      </c>
      <c r="J822" s="1278">
        <v>1.0892118165363399E-3</v>
      </c>
      <c r="K822" s="1248">
        <v>3.0000008609843902E-3</v>
      </c>
      <c r="L822" s="1250">
        <v>2.0000005740869798E-3</v>
      </c>
      <c r="M822" s="1275">
        <v>2.00000057401929E-3</v>
      </c>
      <c r="N822" s="1248">
        <v>3.1850009128239903E-2</v>
      </c>
      <c r="O822" s="1249">
        <v>3.1850009128239903E-2</v>
      </c>
      <c r="P822" s="1260">
        <v>1.59250045641199E-2</v>
      </c>
      <c r="Q822" s="1252">
        <v>6.7727253773306002E-3</v>
      </c>
    </row>
    <row r="823" spans="1:17" s="212" customFormat="1" ht="15.5" x14ac:dyDescent="0.35">
      <c r="A823" s="198">
        <v>2029</v>
      </c>
      <c r="B823" s="197" t="s">
        <v>5842</v>
      </c>
      <c r="C823" s="197">
        <v>2029</v>
      </c>
      <c r="D823" s="213" t="str">
        <f t="shared" si="10"/>
        <v>2029_2029</v>
      </c>
      <c r="E823" s="1267">
        <v>5.66582806994326E-2</v>
      </c>
      <c r="F823" s="1278">
        <v>2.7419599499461799E-3</v>
      </c>
      <c r="G823" s="1248">
        <v>0.113914265612707</v>
      </c>
      <c r="H823" s="1278">
        <v>2.0899940027738401E-2</v>
      </c>
      <c r="I823" s="1248">
        <v>5.0556296645170098E-3</v>
      </c>
      <c r="J823" s="1278">
        <v>1.08935837960948E-3</v>
      </c>
      <c r="K823" s="1248">
        <v>3.0000008609864298E-3</v>
      </c>
      <c r="L823" s="1250">
        <v>2.0000005740884999E-3</v>
      </c>
      <c r="M823" s="1275">
        <v>2.00000057401863E-3</v>
      </c>
      <c r="N823" s="1248">
        <v>3.1850009128239903E-2</v>
      </c>
      <c r="O823" s="1249">
        <v>3.1850009128239903E-2</v>
      </c>
      <c r="P823" s="1260">
        <v>1.59250045641199E-2</v>
      </c>
      <c r="Q823" s="1252">
        <v>5.2842228039220902E-3</v>
      </c>
    </row>
    <row r="824" spans="1:17" s="212" customFormat="1" ht="15.5" x14ac:dyDescent="0.35">
      <c r="A824" s="198">
        <v>2029</v>
      </c>
      <c r="B824" s="197" t="s">
        <v>5842</v>
      </c>
      <c r="C824" s="197">
        <v>2030</v>
      </c>
      <c r="D824" s="213" t="str">
        <f t="shared" si="10"/>
        <v>2029_2030</v>
      </c>
      <c r="E824" s="1268">
        <v>5.66582806994326E-2</v>
      </c>
      <c r="F824" s="1279">
        <v>2.7419599499461799E-3</v>
      </c>
      <c r="G824" s="1255">
        <v>0.113914265612707</v>
      </c>
      <c r="H824" s="1279">
        <v>2.0899940027738401E-2</v>
      </c>
      <c r="I824" s="1255">
        <v>5.0556296645170098E-3</v>
      </c>
      <c r="J824" s="1279">
        <v>1.08935837960948E-3</v>
      </c>
      <c r="K824" s="1255">
        <v>3.0000008609864298E-3</v>
      </c>
      <c r="L824" s="1253">
        <v>2.0000005740884999E-3</v>
      </c>
      <c r="M824" s="1273">
        <v>2.00000057401863E-3</v>
      </c>
      <c r="N824" s="1255">
        <v>3.1850009128239903E-2</v>
      </c>
      <c r="O824" s="1256">
        <v>3.1850009128239903E-2</v>
      </c>
      <c r="P824" s="1251">
        <v>1.59250045641199E-2</v>
      </c>
      <c r="Q824" s="1254">
        <v>5.2842228039220902E-3</v>
      </c>
    </row>
    <row r="825" spans="1:17" s="212" customFormat="1" ht="15.5" x14ac:dyDescent="0.35">
      <c r="A825" s="198">
        <v>2030</v>
      </c>
      <c r="B825" s="197" t="s">
        <v>5842</v>
      </c>
      <c r="C825" s="197">
        <v>1971</v>
      </c>
      <c r="D825" s="213" t="str">
        <f t="shared" si="10"/>
        <v>2030_1971</v>
      </c>
      <c r="E825" s="1268">
        <v>0.227607497610326</v>
      </c>
      <c r="F825" s="1279">
        <v>1.60965915324529</v>
      </c>
      <c r="G825" s="1255">
        <v>5.1972387043883703</v>
      </c>
      <c r="H825" s="1279">
        <v>4.3093080715088199</v>
      </c>
      <c r="I825" s="1255">
        <v>0.17155570696369499</v>
      </c>
      <c r="J825" s="1279">
        <v>1.5395659793934801E-2</v>
      </c>
      <c r="K825" s="1255">
        <v>3.00000086124391E-3</v>
      </c>
      <c r="L825" s="1253">
        <v>2.0000005740792399E-3</v>
      </c>
      <c r="M825" s="1273">
        <v>2.0000005740792399E-3</v>
      </c>
      <c r="N825" s="1255">
        <v>3.1850009128239903E-2</v>
      </c>
      <c r="O825" s="1256">
        <v>3.1850009128239903E-2</v>
      </c>
      <c r="P825" s="1251">
        <v>1.5925004564119952E-2</v>
      </c>
      <c r="Q825" s="1254">
        <v>0.179312694765418</v>
      </c>
    </row>
    <row r="826" spans="1:17" s="212" customFormat="1" ht="15.5" x14ac:dyDescent="0.35">
      <c r="A826" s="198">
        <v>2030</v>
      </c>
      <c r="B826" s="197" t="s">
        <v>5842</v>
      </c>
      <c r="C826" s="197">
        <v>1972</v>
      </c>
      <c r="D826" s="213" t="str">
        <f t="shared" si="10"/>
        <v>2030_1972</v>
      </c>
      <c r="E826" s="1268">
        <v>0.227607497610326</v>
      </c>
      <c r="F826" s="1279">
        <v>1.60965915324529</v>
      </c>
      <c r="G826" s="1255">
        <v>5.1972387043883703</v>
      </c>
      <c r="H826" s="1279">
        <v>4.3093080715088199</v>
      </c>
      <c r="I826" s="1255">
        <v>0.17155570696369499</v>
      </c>
      <c r="J826" s="1279">
        <v>1.5395659793934801E-2</v>
      </c>
      <c r="K826" s="1255">
        <v>3.00000086124391E-3</v>
      </c>
      <c r="L826" s="1253">
        <v>2.0000005740792399E-3</v>
      </c>
      <c r="M826" s="1273">
        <v>2.0000005740792399E-3</v>
      </c>
      <c r="N826" s="1255">
        <v>3.1850009128239903E-2</v>
      </c>
      <c r="O826" s="1256">
        <v>3.1850009128239903E-2</v>
      </c>
      <c r="P826" s="1251">
        <v>1.5925004564119952E-2</v>
      </c>
      <c r="Q826" s="1254">
        <v>0.179312694765418</v>
      </c>
    </row>
    <row r="827" spans="1:17" s="212" customFormat="1" ht="15.5" x14ac:dyDescent="0.35">
      <c r="A827" s="198">
        <v>2030</v>
      </c>
      <c r="B827" s="197" t="s">
        <v>5842</v>
      </c>
      <c r="C827" s="197">
        <v>1973</v>
      </c>
      <c r="D827" s="213" t="str">
        <f t="shared" si="10"/>
        <v>2030_1973</v>
      </c>
      <c r="E827" s="1268">
        <v>0.227607497610326</v>
      </c>
      <c r="F827" s="1279">
        <v>1.60965915324529</v>
      </c>
      <c r="G827" s="1255">
        <v>5.1972387043883703</v>
      </c>
      <c r="H827" s="1279">
        <v>4.3093080715088199</v>
      </c>
      <c r="I827" s="1255">
        <v>0.17155570696369499</v>
      </c>
      <c r="J827" s="1279">
        <v>1.5395659793934801E-2</v>
      </c>
      <c r="K827" s="1255">
        <v>3.00000086124391E-3</v>
      </c>
      <c r="L827" s="1253">
        <v>2.0000005740792399E-3</v>
      </c>
      <c r="M827" s="1273">
        <v>2.0000005740792399E-3</v>
      </c>
      <c r="N827" s="1255">
        <v>3.1850009128239903E-2</v>
      </c>
      <c r="O827" s="1256">
        <v>3.1850009128239903E-2</v>
      </c>
      <c r="P827" s="1251">
        <v>1.5925004564119952E-2</v>
      </c>
      <c r="Q827" s="1254">
        <v>0.179312694765418</v>
      </c>
    </row>
    <row r="828" spans="1:17" s="212" customFormat="1" ht="15.5" x14ac:dyDescent="0.35">
      <c r="A828" s="198">
        <v>2030</v>
      </c>
      <c r="B828" s="197" t="s">
        <v>5842</v>
      </c>
      <c r="C828" s="197">
        <v>1974</v>
      </c>
      <c r="D828" s="213" t="str">
        <f t="shared" si="10"/>
        <v>2030_1974</v>
      </c>
      <c r="E828" s="1268">
        <v>0.227607497610326</v>
      </c>
      <c r="F828" s="1279">
        <v>1.60965915324529</v>
      </c>
      <c r="G828" s="1255">
        <v>5.1972387043883703</v>
      </c>
      <c r="H828" s="1279">
        <v>4.3093080715088199</v>
      </c>
      <c r="I828" s="1255">
        <v>0.17155570696369499</v>
      </c>
      <c r="J828" s="1279">
        <v>1.5395659793934801E-2</v>
      </c>
      <c r="K828" s="1255">
        <v>3.00000086124391E-3</v>
      </c>
      <c r="L828" s="1253">
        <v>2.0000005740792399E-3</v>
      </c>
      <c r="M828" s="1273">
        <v>2.0000005740792399E-3</v>
      </c>
      <c r="N828" s="1255">
        <v>3.1850009128239903E-2</v>
      </c>
      <c r="O828" s="1256">
        <v>3.1850009128239903E-2</v>
      </c>
      <c r="P828" s="1251">
        <v>1.5925004564119952E-2</v>
      </c>
      <c r="Q828" s="1254">
        <v>0.179312694765418</v>
      </c>
    </row>
    <row r="829" spans="1:17" s="212" customFormat="1" ht="15.5" x14ac:dyDescent="0.35">
      <c r="A829" s="198">
        <v>2030</v>
      </c>
      <c r="B829" s="197" t="s">
        <v>5842</v>
      </c>
      <c r="C829" s="197">
        <v>1975</v>
      </c>
      <c r="D829" s="213" t="str">
        <f t="shared" si="10"/>
        <v>2030_1975</v>
      </c>
      <c r="E829" s="1268">
        <v>0.227607497610326</v>
      </c>
      <c r="F829" s="1279">
        <v>1.60965915324529</v>
      </c>
      <c r="G829" s="1255">
        <v>5.1972387043883703</v>
      </c>
      <c r="H829" s="1279">
        <v>4.3093080715088199</v>
      </c>
      <c r="I829" s="1255">
        <v>0.17155570696369499</v>
      </c>
      <c r="J829" s="1279">
        <v>1.5395659793934801E-2</v>
      </c>
      <c r="K829" s="1255">
        <v>3.00000086124391E-3</v>
      </c>
      <c r="L829" s="1253">
        <v>2.0000005740792399E-3</v>
      </c>
      <c r="M829" s="1273">
        <v>2.0000005740792399E-3</v>
      </c>
      <c r="N829" s="1255">
        <v>3.1850009128239903E-2</v>
      </c>
      <c r="O829" s="1256">
        <v>3.1850009128239903E-2</v>
      </c>
      <c r="P829" s="1251">
        <v>1.5925004564119952E-2</v>
      </c>
      <c r="Q829" s="1254">
        <v>0.179312694765418</v>
      </c>
    </row>
    <row r="830" spans="1:17" s="212" customFormat="1" ht="15.5" x14ac:dyDescent="0.35">
      <c r="A830" s="198">
        <v>2030</v>
      </c>
      <c r="B830" s="197" t="s">
        <v>5842</v>
      </c>
      <c r="C830" s="197">
        <v>1976</v>
      </c>
      <c r="D830" s="213" t="str">
        <f t="shared" si="10"/>
        <v>2030_1976</v>
      </c>
      <c r="E830" s="1268">
        <v>0.227607497610326</v>
      </c>
      <c r="F830" s="1279">
        <v>1.60965915324529</v>
      </c>
      <c r="G830" s="1255">
        <v>5.1972387043883703</v>
      </c>
      <c r="H830" s="1279">
        <v>4.3093080715088199</v>
      </c>
      <c r="I830" s="1255">
        <v>0.17155570696369499</v>
      </c>
      <c r="J830" s="1279">
        <v>1.5395659793934801E-2</v>
      </c>
      <c r="K830" s="1255">
        <v>3.00000086124391E-3</v>
      </c>
      <c r="L830" s="1253">
        <v>2.0000005740792399E-3</v>
      </c>
      <c r="M830" s="1273">
        <v>2.0000005740792399E-3</v>
      </c>
      <c r="N830" s="1255">
        <v>3.1850009128239903E-2</v>
      </c>
      <c r="O830" s="1256">
        <v>3.1850009128239903E-2</v>
      </c>
      <c r="P830" s="1251">
        <v>1.5925004564119952E-2</v>
      </c>
      <c r="Q830" s="1254">
        <v>0.179312694765418</v>
      </c>
    </row>
    <row r="831" spans="1:17" s="212" customFormat="1" ht="15.5" x14ac:dyDescent="0.35">
      <c r="A831" s="198">
        <v>2030</v>
      </c>
      <c r="B831" s="197" t="s">
        <v>5842</v>
      </c>
      <c r="C831" s="197">
        <v>1977</v>
      </c>
      <c r="D831" s="213" t="str">
        <f t="shared" si="10"/>
        <v>2030_1977</v>
      </c>
      <c r="E831" s="1268">
        <v>0.227607497610326</v>
      </c>
      <c r="F831" s="1279">
        <v>1.60965915324529</v>
      </c>
      <c r="G831" s="1255">
        <v>5.1972387043883703</v>
      </c>
      <c r="H831" s="1279">
        <v>4.3093080715088199</v>
      </c>
      <c r="I831" s="1255">
        <v>0.17155570696369499</v>
      </c>
      <c r="J831" s="1279">
        <v>1.5395659793934801E-2</v>
      </c>
      <c r="K831" s="1255">
        <v>3.00000086124391E-3</v>
      </c>
      <c r="L831" s="1253">
        <v>2.0000005740792399E-3</v>
      </c>
      <c r="M831" s="1273">
        <v>2.0000005740792399E-3</v>
      </c>
      <c r="N831" s="1255">
        <v>3.1850009128239903E-2</v>
      </c>
      <c r="O831" s="1256">
        <v>3.1850009128239903E-2</v>
      </c>
      <c r="P831" s="1251">
        <v>1.5925004564119952E-2</v>
      </c>
      <c r="Q831" s="1254">
        <v>0.179312694765418</v>
      </c>
    </row>
    <row r="832" spans="1:17" s="212" customFormat="1" ht="15.5" x14ac:dyDescent="0.35">
      <c r="A832" s="198">
        <v>2030</v>
      </c>
      <c r="B832" s="197" t="s">
        <v>5842</v>
      </c>
      <c r="C832" s="197">
        <v>1978</v>
      </c>
      <c r="D832" s="213" t="str">
        <f t="shared" si="10"/>
        <v>2030_1978</v>
      </c>
      <c r="E832" s="1268">
        <v>0.227607497610326</v>
      </c>
      <c r="F832" s="1279">
        <v>1.60965915324529</v>
      </c>
      <c r="G832" s="1255">
        <v>5.1972387043883703</v>
      </c>
      <c r="H832" s="1279">
        <v>4.3093080715088199</v>
      </c>
      <c r="I832" s="1255">
        <v>0.17155570696369499</v>
      </c>
      <c r="J832" s="1279">
        <v>1.5395659793934801E-2</v>
      </c>
      <c r="K832" s="1255">
        <v>3.00000086124391E-3</v>
      </c>
      <c r="L832" s="1253">
        <v>2.0000005740792399E-3</v>
      </c>
      <c r="M832" s="1273">
        <v>2.0000005740792399E-3</v>
      </c>
      <c r="N832" s="1255">
        <v>3.1850009128239903E-2</v>
      </c>
      <c r="O832" s="1256">
        <v>3.1850009128239903E-2</v>
      </c>
      <c r="P832" s="1251">
        <v>1.5925004564119952E-2</v>
      </c>
      <c r="Q832" s="1254">
        <v>0.179312694765418</v>
      </c>
    </row>
    <row r="833" spans="1:17" s="212" customFormat="1" ht="15.5" x14ac:dyDescent="0.35">
      <c r="A833" s="198">
        <v>2030</v>
      </c>
      <c r="B833" s="197" t="s">
        <v>5842</v>
      </c>
      <c r="C833" s="197">
        <v>1979</v>
      </c>
      <c r="D833" s="213" t="str">
        <f t="shared" si="10"/>
        <v>2030_1979</v>
      </c>
      <c r="E833" s="1268">
        <v>0.227607497610326</v>
      </c>
      <c r="F833" s="1279">
        <v>1.60965915324529</v>
      </c>
      <c r="G833" s="1255">
        <v>5.1972387043883703</v>
      </c>
      <c r="H833" s="1279">
        <v>4.3093080715088199</v>
      </c>
      <c r="I833" s="1255">
        <v>0.17155570696369499</v>
      </c>
      <c r="J833" s="1279">
        <v>1.5395659793934801E-2</v>
      </c>
      <c r="K833" s="1255">
        <v>3.00000086124391E-3</v>
      </c>
      <c r="L833" s="1253">
        <v>2.0000005740792399E-3</v>
      </c>
      <c r="M833" s="1273">
        <v>2.0000005740792399E-3</v>
      </c>
      <c r="N833" s="1255">
        <v>3.1850009128239903E-2</v>
      </c>
      <c r="O833" s="1256">
        <v>3.1850009128239903E-2</v>
      </c>
      <c r="P833" s="1251">
        <v>1.5925004564119952E-2</v>
      </c>
      <c r="Q833" s="1254">
        <v>0.179312694765418</v>
      </c>
    </row>
    <row r="834" spans="1:17" s="212" customFormat="1" ht="15.5" x14ac:dyDescent="0.35">
      <c r="A834" s="198">
        <v>2030</v>
      </c>
      <c r="B834" s="197" t="s">
        <v>5842</v>
      </c>
      <c r="C834" s="197">
        <v>1980</v>
      </c>
      <c r="D834" s="213" t="str">
        <f t="shared" si="10"/>
        <v>2030_1980</v>
      </c>
      <c r="E834" s="1268">
        <v>0.227607497610326</v>
      </c>
      <c r="F834" s="1279">
        <v>1.60965915324529</v>
      </c>
      <c r="G834" s="1255">
        <v>5.1972387043883703</v>
      </c>
      <c r="H834" s="1279">
        <v>4.3093080715088199</v>
      </c>
      <c r="I834" s="1255">
        <v>0.17155570696369499</v>
      </c>
      <c r="J834" s="1279">
        <v>1.5395659793934801E-2</v>
      </c>
      <c r="K834" s="1255">
        <v>3.00000086124391E-3</v>
      </c>
      <c r="L834" s="1253">
        <v>2.0000005740792399E-3</v>
      </c>
      <c r="M834" s="1273">
        <v>2.0000005740792399E-3</v>
      </c>
      <c r="N834" s="1255">
        <v>3.1850009128239903E-2</v>
      </c>
      <c r="O834" s="1256">
        <v>3.1850009128239903E-2</v>
      </c>
      <c r="P834" s="1251">
        <v>1.5925004564119952E-2</v>
      </c>
      <c r="Q834" s="1254">
        <v>0.179312694765418</v>
      </c>
    </row>
    <row r="835" spans="1:17" s="212" customFormat="1" ht="15.5" x14ac:dyDescent="0.35">
      <c r="A835" s="198">
        <v>2030</v>
      </c>
      <c r="B835" s="197" t="s">
        <v>5842</v>
      </c>
      <c r="C835" s="197">
        <v>1981</v>
      </c>
      <c r="D835" s="213" t="str">
        <f t="shared" si="10"/>
        <v>2030_1981</v>
      </c>
      <c r="E835" s="1268">
        <v>0.227607497610326</v>
      </c>
      <c r="F835" s="1279">
        <v>1.60965915324529</v>
      </c>
      <c r="G835" s="1255">
        <v>5.1972387043883703</v>
      </c>
      <c r="H835" s="1279">
        <v>4.3093080715088199</v>
      </c>
      <c r="I835" s="1255">
        <v>0.17155570696369499</v>
      </c>
      <c r="J835" s="1279">
        <v>1.5395659793934801E-2</v>
      </c>
      <c r="K835" s="1255">
        <v>3.00000086124391E-3</v>
      </c>
      <c r="L835" s="1253">
        <v>2.0000005740792399E-3</v>
      </c>
      <c r="M835" s="1273">
        <v>2.0000005740792399E-3</v>
      </c>
      <c r="N835" s="1255">
        <v>3.1850009128239903E-2</v>
      </c>
      <c r="O835" s="1256">
        <v>3.1850009128239903E-2</v>
      </c>
      <c r="P835" s="1251">
        <v>1.5925004564119952E-2</v>
      </c>
      <c r="Q835" s="1254">
        <v>0.179312694765418</v>
      </c>
    </row>
    <row r="836" spans="1:17" s="212" customFormat="1" ht="15.5" x14ac:dyDescent="0.35">
      <c r="A836" s="198">
        <v>2030</v>
      </c>
      <c r="B836" s="197" t="s">
        <v>5842</v>
      </c>
      <c r="C836" s="197">
        <v>1982</v>
      </c>
      <c r="D836" s="213" t="str">
        <f t="shared" si="10"/>
        <v>2030_1982</v>
      </c>
      <c r="E836" s="1268">
        <v>0.227607497610326</v>
      </c>
      <c r="F836" s="1279">
        <v>1.60965915324529</v>
      </c>
      <c r="G836" s="1255">
        <v>5.1972387043883703</v>
      </c>
      <c r="H836" s="1279">
        <v>4.3093080715088199</v>
      </c>
      <c r="I836" s="1255">
        <v>0.17155570696369499</v>
      </c>
      <c r="J836" s="1279">
        <v>1.5395659793934801E-2</v>
      </c>
      <c r="K836" s="1255">
        <v>3.00000086124391E-3</v>
      </c>
      <c r="L836" s="1253">
        <v>2.0000005740792399E-3</v>
      </c>
      <c r="M836" s="1273">
        <v>2.0000005740792399E-3</v>
      </c>
      <c r="N836" s="1255">
        <v>3.1850009128239903E-2</v>
      </c>
      <c r="O836" s="1256">
        <v>3.1850009128239903E-2</v>
      </c>
      <c r="P836" s="1251">
        <v>1.5925004564119952E-2</v>
      </c>
      <c r="Q836" s="1254">
        <v>0.179312694765418</v>
      </c>
    </row>
    <row r="837" spans="1:17" s="212" customFormat="1" ht="15.5" x14ac:dyDescent="0.35">
      <c r="A837" s="198">
        <v>2030</v>
      </c>
      <c r="B837" s="197" t="s">
        <v>5842</v>
      </c>
      <c r="C837" s="197">
        <v>1983</v>
      </c>
      <c r="D837" s="213" t="str">
        <f t="shared" si="10"/>
        <v>2030_1983</v>
      </c>
      <c r="E837" s="1268">
        <v>0.227607497610326</v>
      </c>
      <c r="F837" s="1279">
        <v>1.60965915324529</v>
      </c>
      <c r="G837" s="1255">
        <v>5.1972387043883703</v>
      </c>
      <c r="H837" s="1279">
        <v>4.3093080715088199</v>
      </c>
      <c r="I837" s="1255">
        <v>0.17155570696369499</v>
      </c>
      <c r="J837" s="1279">
        <v>1.5395659793934801E-2</v>
      </c>
      <c r="K837" s="1255">
        <v>3.00000086124391E-3</v>
      </c>
      <c r="L837" s="1253">
        <v>2.0000005740792399E-3</v>
      </c>
      <c r="M837" s="1273">
        <v>2.0000005740792399E-3</v>
      </c>
      <c r="N837" s="1255">
        <v>3.1850009128239903E-2</v>
      </c>
      <c r="O837" s="1256">
        <v>3.1850009128239903E-2</v>
      </c>
      <c r="P837" s="1251">
        <v>1.5925004564119952E-2</v>
      </c>
      <c r="Q837" s="1254">
        <v>0.179312694765418</v>
      </c>
    </row>
    <row r="838" spans="1:17" s="212" customFormat="1" ht="15.5" x14ac:dyDescent="0.35">
      <c r="A838" s="198">
        <v>2030</v>
      </c>
      <c r="B838" s="197" t="s">
        <v>5842</v>
      </c>
      <c r="C838" s="197">
        <v>1984</v>
      </c>
      <c r="D838" s="213" t="str">
        <f t="shared" si="10"/>
        <v>2030_1984</v>
      </c>
      <c r="E838" s="1268">
        <v>0.227607497610326</v>
      </c>
      <c r="F838" s="1279">
        <v>1.60965915324529</v>
      </c>
      <c r="G838" s="1255">
        <v>5.1972387043883703</v>
      </c>
      <c r="H838" s="1279">
        <v>4.3093080715088199</v>
      </c>
      <c r="I838" s="1255">
        <v>0.17155570696369499</v>
      </c>
      <c r="J838" s="1279">
        <v>1.5395659793934801E-2</v>
      </c>
      <c r="K838" s="1255">
        <v>3.00000086124391E-3</v>
      </c>
      <c r="L838" s="1253">
        <v>2.0000005740792399E-3</v>
      </c>
      <c r="M838" s="1273">
        <v>2.0000005740792399E-3</v>
      </c>
      <c r="N838" s="1255">
        <v>3.1850009128239903E-2</v>
      </c>
      <c r="O838" s="1256">
        <v>3.1850009128239903E-2</v>
      </c>
      <c r="P838" s="1251">
        <v>1.5925004564119952E-2</v>
      </c>
      <c r="Q838" s="1254">
        <v>0.179312694765418</v>
      </c>
    </row>
    <row r="839" spans="1:17" s="212" customFormat="1" ht="15.5" x14ac:dyDescent="0.35">
      <c r="A839" s="198">
        <v>2030</v>
      </c>
      <c r="B839" s="197" t="s">
        <v>5842</v>
      </c>
      <c r="C839" s="197">
        <v>1985</v>
      </c>
      <c r="D839" s="213" t="str">
        <f t="shared" si="10"/>
        <v>2030_1985</v>
      </c>
      <c r="E839" s="1268">
        <v>0.227607497610326</v>
      </c>
      <c r="F839" s="1279">
        <v>1.60965915324529</v>
      </c>
      <c r="G839" s="1255">
        <v>5.1972387043883703</v>
      </c>
      <c r="H839" s="1279">
        <v>4.3093080715088199</v>
      </c>
      <c r="I839" s="1255">
        <v>0.17155570696369499</v>
      </c>
      <c r="J839" s="1279">
        <v>1.5395659793934801E-2</v>
      </c>
      <c r="K839" s="1255">
        <v>3.00000086124391E-3</v>
      </c>
      <c r="L839" s="1253">
        <v>2.0000005740792399E-3</v>
      </c>
      <c r="M839" s="1273">
        <v>2.0000005740792399E-3</v>
      </c>
      <c r="N839" s="1255">
        <v>3.1850009128239903E-2</v>
      </c>
      <c r="O839" s="1256">
        <v>3.1850009128239903E-2</v>
      </c>
      <c r="P839" s="1251">
        <v>1.5925004564119952E-2</v>
      </c>
      <c r="Q839" s="1254">
        <v>0.179312694765418</v>
      </c>
    </row>
    <row r="840" spans="1:17" s="212" customFormat="1" ht="15.5" x14ac:dyDescent="0.35">
      <c r="A840" s="198">
        <v>2030</v>
      </c>
      <c r="B840" s="197" t="s">
        <v>5842</v>
      </c>
      <c r="C840" s="197">
        <v>1986</v>
      </c>
      <c r="D840" s="213" t="str">
        <f t="shared" si="10"/>
        <v>2030_1986</v>
      </c>
      <c r="E840" s="1267">
        <v>0.227607497610326</v>
      </c>
      <c r="F840" s="1278">
        <v>1.60965915324529</v>
      </c>
      <c r="G840" s="1248">
        <v>5.1972387043883703</v>
      </c>
      <c r="H840" s="1278">
        <v>4.3093080715088199</v>
      </c>
      <c r="I840" s="1248">
        <v>0.17155570696369499</v>
      </c>
      <c r="J840" s="1278">
        <v>1.5395659793934801E-2</v>
      </c>
      <c r="K840" s="1248">
        <v>3.00000086124391E-3</v>
      </c>
      <c r="L840" s="1250">
        <v>2.0000005740792399E-3</v>
      </c>
      <c r="M840" s="1273">
        <v>2.0000005740792399E-3</v>
      </c>
      <c r="N840" s="1248">
        <v>3.1850009128239903E-2</v>
      </c>
      <c r="O840" s="1249">
        <v>3.1850009128239903E-2</v>
      </c>
      <c r="P840" s="1251">
        <v>1.5925004564119952E-2</v>
      </c>
      <c r="Q840" s="1252">
        <v>0.179312694765418</v>
      </c>
    </row>
    <row r="841" spans="1:17" s="212" customFormat="1" ht="15.5" x14ac:dyDescent="0.35">
      <c r="A841" s="198">
        <v>2030</v>
      </c>
      <c r="B841" s="197" t="s">
        <v>5842</v>
      </c>
      <c r="C841" s="197">
        <v>1987</v>
      </c>
      <c r="D841" s="213" t="str">
        <f t="shared" si="10"/>
        <v>2030_1987</v>
      </c>
      <c r="E841" s="1267">
        <v>0.28329526283304901</v>
      </c>
      <c r="F841" s="1278">
        <v>2.0105008466952401</v>
      </c>
      <c r="G841" s="1248">
        <v>5.3384623827271698</v>
      </c>
      <c r="H841" s="1278">
        <v>4.5047611849995501</v>
      </c>
      <c r="I841" s="1248">
        <v>0.19293470793005199</v>
      </c>
      <c r="J841" s="1278">
        <v>1.53419282830871E-2</v>
      </c>
      <c r="K841" s="1248">
        <v>3.0000008612080398E-3</v>
      </c>
      <c r="L841" s="1250">
        <v>2.0000005741680001E-3</v>
      </c>
      <c r="M841" s="1273">
        <v>2.0000005741680001E-3</v>
      </c>
      <c r="N841" s="1248">
        <v>3.1850009128239903E-2</v>
      </c>
      <c r="O841" s="1249">
        <v>3.1850009128239903E-2</v>
      </c>
      <c r="P841" s="1251">
        <v>1.5925004564119952E-2</v>
      </c>
      <c r="Q841" s="1252">
        <v>0.20165835928756201</v>
      </c>
    </row>
    <row r="842" spans="1:17" s="212" customFormat="1" ht="15.5" x14ac:dyDescent="0.35">
      <c r="A842" s="198">
        <v>2030</v>
      </c>
      <c r="B842" s="197" t="s">
        <v>5842</v>
      </c>
      <c r="C842" s="197">
        <v>1988</v>
      </c>
      <c r="D842" s="213" t="str">
        <f t="shared" si="10"/>
        <v>2030_1988</v>
      </c>
      <c r="E842" s="1267">
        <v>0.278554845774316</v>
      </c>
      <c r="F842" s="1278">
        <v>0.48447375612717702</v>
      </c>
      <c r="G842" s="1248">
        <v>5.3797360873493503</v>
      </c>
      <c r="H842" s="1278">
        <v>1.2151317504409</v>
      </c>
      <c r="I842" s="1248">
        <v>0.18970630597391899</v>
      </c>
      <c r="J842" s="1278">
        <v>1.37479458391867E-2</v>
      </c>
      <c r="K842" s="1248">
        <v>3.0000008610321901E-3</v>
      </c>
      <c r="L842" s="1250">
        <v>2.0000005741506398E-3</v>
      </c>
      <c r="M842" s="1273">
        <v>2.0000005741506398E-3</v>
      </c>
      <c r="N842" s="1248">
        <v>3.1850009128239903E-2</v>
      </c>
      <c r="O842" s="1249">
        <v>3.1850009128239903E-2</v>
      </c>
      <c r="P842" s="1251">
        <v>1.5925004564119952E-2</v>
      </c>
      <c r="Q842" s="1252">
        <v>0.198283983320794</v>
      </c>
    </row>
    <row r="843" spans="1:17" s="212" customFormat="1" ht="15.5" x14ac:dyDescent="0.35">
      <c r="A843" s="198">
        <v>2030</v>
      </c>
      <c r="B843" s="197" t="s">
        <v>5842</v>
      </c>
      <c r="C843" s="197">
        <v>1989</v>
      </c>
      <c r="D843" s="213" t="str">
        <f t="shared" si="10"/>
        <v>2030_1989</v>
      </c>
      <c r="E843" s="1267">
        <v>0.279947155478178</v>
      </c>
      <c r="F843" s="1278">
        <v>0.32801007296427198</v>
      </c>
      <c r="G843" s="1248">
        <v>5.3777342741540197</v>
      </c>
      <c r="H843" s="1278">
        <v>1.64275878952362</v>
      </c>
      <c r="I843" s="1248">
        <v>0.19065452114482101</v>
      </c>
      <c r="J843" s="1278">
        <v>1.3428253445165799E-2</v>
      </c>
      <c r="K843" s="1248">
        <v>3.0000008611547201E-3</v>
      </c>
      <c r="L843" s="1250">
        <v>2.0000005740757002E-3</v>
      </c>
      <c r="M843" s="1273">
        <v>2.0000005740757002E-3</v>
      </c>
      <c r="N843" s="1248">
        <v>3.1850009128239903E-2</v>
      </c>
      <c r="O843" s="1249">
        <v>3.1850009128239903E-2</v>
      </c>
      <c r="P843" s="1251">
        <v>1.5925004564119952E-2</v>
      </c>
      <c r="Q843" s="1252">
        <v>0.199275072574082</v>
      </c>
    </row>
    <row r="844" spans="1:17" s="212" customFormat="1" ht="15.5" x14ac:dyDescent="0.35">
      <c r="A844" s="198">
        <v>2030</v>
      </c>
      <c r="B844" s="197" t="s">
        <v>5842</v>
      </c>
      <c r="C844" s="197">
        <v>1990</v>
      </c>
      <c r="D844" s="213" t="str">
        <f t="shared" si="10"/>
        <v>2030_1990</v>
      </c>
      <c r="E844" s="1267">
        <v>0.28068333870357098</v>
      </c>
      <c r="F844" s="1278">
        <v>0.44707670850710302</v>
      </c>
      <c r="G844" s="1248">
        <v>5.3717936724289199</v>
      </c>
      <c r="H844" s="1278">
        <v>1.6623751750994999</v>
      </c>
      <c r="I844" s="1248">
        <v>0.19115588955512799</v>
      </c>
      <c r="J844" s="1278">
        <v>1.3983198239396999E-2</v>
      </c>
      <c r="K844" s="1248">
        <v>3.00000086113901E-3</v>
      </c>
      <c r="L844" s="1250">
        <v>2.0000005742107701E-3</v>
      </c>
      <c r="M844" s="1273">
        <v>2.0000005742107701E-3</v>
      </c>
      <c r="N844" s="1248">
        <v>3.1850009128239903E-2</v>
      </c>
      <c r="O844" s="1249">
        <v>3.1850009128239903E-2</v>
      </c>
      <c r="P844" s="1251">
        <v>1.5925004564119952E-2</v>
      </c>
      <c r="Q844" s="1252">
        <v>0.19979911063911401</v>
      </c>
    </row>
    <row r="845" spans="1:17" s="212" customFormat="1" ht="15.5" x14ac:dyDescent="0.35">
      <c r="A845" s="198">
        <v>2030</v>
      </c>
      <c r="B845" s="197" t="s">
        <v>5842</v>
      </c>
      <c r="C845" s="197">
        <v>1991</v>
      </c>
      <c r="D845" s="213" t="str">
        <f t="shared" si="10"/>
        <v>2030_1991</v>
      </c>
      <c r="E845" s="1267">
        <v>0.36908413980688998</v>
      </c>
      <c r="F845" s="1278">
        <v>0.46471471555096</v>
      </c>
      <c r="G845" s="1248">
        <v>9.3424631629047798</v>
      </c>
      <c r="H845" s="1278">
        <v>2.9046199551787701</v>
      </c>
      <c r="I845" s="1248">
        <v>5.2307817766071199E-2</v>
      </c>
      <c r="J845" s="1278">
        <v>7.4591749186826801E-3</v>
      </c>
      <c r="K845" s="1248">
        <v>3.0000008613018099E-3</v>
      </c>
      <c r="L845" s="1250">
        <v>2.0000005740694799E-3</v>
      </c>
      <c r="M845" s="1273">
        <v>2.0000005740694799E-3</v>
      </c>
      <c r="N845" s="1248">
        <v>3.1850009128239903E-2</v>
      </c>
      <c r="O845" s="1249">
        <v>3.1850009128239903E-2</v>
      </c>
      <c r="P845" s="1251">
        <v>1.5925004564119952E-2</v>
      </c>
      <c r="Q845" s="1252">
        <v>5.4672945172949301E-2</v>
      </c>
    </row>
    <row r="846" spans="1:17" s="212" customFormat="1" ht="15.5" x14ac:dyDescent="0.35">
      <c r="A846" s="198">
        <v>2030</v>
      </c>
      <c r="B846" s="197" t="s">
        <v>5842</v>
      </c>
      <c r="C846" s="197">
        <v>1992</v>
      </c>
      <c r="D846" s="213" t="str">
        <f t="shared" si="10"/>
        <v>2030_1992</v>
      </c>
      <c r="E846" s="1267">
        <v>0.36991576712166802</v>
      </c>
      <c r="F846" s="1278">
        <v>0.46856453823781402</v>
      </c>
      <c r="G846" s="1248">
        <v>9.3331876783259897</v>
      </c>
      <c r="H846" s="1278">
        <v>2.9092901267843501</v>
      </c>
      <c r="I846" s="1248">
        <v>5.2425678723340897E-2</v>
      </c>
      <c r="J846" s="1278">
        <v>7.5506239024345102E-3</v>
      </c>
      <c r="K846" s="1248">
        <v>3.0000008612831798E-3</v>
      </c>
      <c r="L846" s="1250">
        <v>2.0000005741419298E-3</v>
      </c>
      <c r="M846" s="1273">
        <v>2.0000005741419298E-3</v>
      </c>
      <c r="N846" s="1248">
        <v>3.1850009128239903E-2</v>
      </c>
      <c r="O846" s="1249">
        <v>3.1850009128239903E-2</v>
      </c>
      <c r="P846" s="1251">
        <v>1.5925004564119952E-2</v>
      </c>
      <c r="Q846" s="1252">
        <v>5.4796135279706497E-2</v>
      </c>
    </row>
    <row r="847" spans="1:17" s="212" customFormat="1" ht="15.5" x14ac:dyDescent="0.35">
      <c r="A847" s="198">
        <v>2030</v>
      </c>
      <c r="B847" s="197" t="s">
        <v>5842</v>
      </c>
      <c r="C847" s="197">
        <v>1993</v>
      </c>
      <c r="D847" s="213" t="str">
        <f t="shared" si="10"/>
        <v>2030_1993</v>
      </c>
      <c r="E847" s="1267">
        <v>0.37173091663083402</v>
      </c>
      <c r="F847" s="1278">
        <v>0.45923905926757502</v>
      </c>
      <c r="G847" s="1248">
        <v>9.3007414972175297</v>
      </c>
      <c r="H847" s="1278">
        <v>2.8896585952525302</v>
      </c>
      <c r="I847" s="1248">
        <v>5.26829276796177E-2</v>
      </c>
      <c r="J847" s="1278">
        <v>7.4287983989318202E-3</v>
      </c>
      <c r="K847" s="1248">
        <v>3.0000008613435499E-3</v>
      </c>
      <c r="L847" s="1250">
        <v>2.00000057406911E-3</v>
      </c>
      <c r="M847" s="1273">
        <v>2.00000057406911E-3</v>
      </c>
      <c r="N847" s="1248">
        <v>3.1850009128239903E-2</v>
      </c>
      <c r="O847" s="1249">
        <v>3.1850009128239903E-2</v>
      </c>
      <c r="P847" s="1251">
        <v>1.5925004564119952E-2</v>
      </c>
      <c r="Q847" s="1252">
        <v>5.5065015892260802E-2</v>
      </c>
    </row>
    <row r="848" spans="1:17" s="212" customFormat="1" ht="15.5" x14ac:dyDescent="0.35">
      <c r="A848" s="198">
        <v>2030</v>
      </c>
      <c r="B848" s="197" t="s">
        <v>5842</v>
      </c>
      <c r="C848" s="197">
        <v>1994</v>
      </c>
      <c r="D848" s="213" t="str">
        <f t="shared" si="10"/>
        <v>2030_1994</v>
      </c>
      <c r="E848" s="1267">
        <v>0.36573696326659699</v>
      </c>
      <c r="F848" s="1278">
        <v>0.45574414450057699</v>
      </c>
      <c r="G848" s="1248">
        <v>9.3936727046468196</v>
      </c>
      <c r="H848" s="1278">
        <v>2.8809847620273801</v>
      </c>
      <c r="I848" s="1248">
        <v>5.2369280313915398E-2</v>
      </c>
      <c r="J848" s="1278">
        <v>7.3954176140667198E-3</v>
      </c>
      <c r="K848" s="1248">
        <v>3.00000086126088E-3</v>
      </c>
      <c r="L848" s="1250">
        <v>2.0000005740559699E-3</v>
      </c>
      <c r="M848" s="1273">
        <v>2.0000005740559699E-3</v>
      </c>
      <c r="N848" s="1248">
        <v>3.1850009128239903E-2</v>
      </c>
      <c r="O848" s="1249">
        <v>3.1850009128239903E-2</v>
      </c>
      <c r="P848" s="1251">
        <v>1.5925004564119952E-2</v>
      </c>
      <c r="Q848" s="1252">
        <v>5.4737186784471002E-2</v>
      </c>
    </row>
    <row r="849" spans="1:17" s="212" customFormat="1" ht="15.5" x14ac:dyDescent="0.35">
      <c r="A849" s="198">
        <v>2030</v>
      </c>
      <c r="B849" s="197" t="s">
        <v>5842</v>
      </c>
      <c r="C849" s="197">
        <v>1995</v>
      </c>
      <c r="D849" s="213" t="str">
        <f t="shared" si="10"/>
        <v>2030_1995</v>
      </c>
      <c r="E849" s="1267">
        <v>0.36786998317474501</v>
      </c>
      <c r="F849" s="1278">
        <v>0.244580120752936</v>
      </c>
      <c r="G849" s="1248">
        <v>9.3791004623058996</v>
      </c>
      <c r="H849" s="1278">
        <v>1.646593130866</v>
      </c>
      <c r="I849" s="1248">
        <v>5.2674703961794099E-2</v>
      </c>
      <c r="J849" s="1278">
        <v>4.8553706299790302E-3</v>
      </c>
      <c r="K849" s="1248">
        <v>3.0000008612554702E-3</v>
      </c>
      <c r="L849" s="1250">
        <v>2.0000005741235599E-3</v>
      </c>
      <c r="M849" s="1273">
        <v>2.0000005741235599E-3</v>
      </c>
      <c r="N849" s="1248">
        <v>3.1850009128239903E-2</v>
      </c>
      <c r="O849" s="1249">
        <v>3.1850009128239903E-2</v>
      </c>
      <c r="P849" s="1251">
        <v>1.5925004564119952E-2</v>
      </c>
      <c r="Q849" s="1252">
        <v>5.5056420334409398E-2</v>
      </c>
    </row>
    <row r="850" spans="1:17" s="212" customFormat="1" ht="15.5" x14ac:dyDescent="0.35">
      <c r="A850" s="198">
        <v>2030</v>
      </c>
      <c r="B850" s="197" t="s">
        <v>5842</v>
      </c>
      <c r="C850" s="197">
        <v>1996</v>
      </c>
      <c r="D850" s="213" t="str">
        <f t="shared" si="10"/>
        <v>2030_1996</v>
      </c>
      <c r="E850" s="1267">
        <v>0.36929725455280998</v>
      </c>
      <c r="F850" s="1278">
        <v>2.23932122769324E-2</v>
      </c>
      <c r="G850" s="1248">
        <v>9.3550408449367897</v>
      </c>
      <c r="H850" s="1278">
        <v>0.39332341622976102</v>
      </c>
      <c r="I850" s="1248">
        <v>5.2879072626679201E-2</v>
      </c>
      <c r="J850" s="1278">
        <v>2.1830135499104502E-3</v>
      </c>
      <c r="K850" s="1248">
        <v>3.00000086129012E-3</v>
      </c>
      <c r="L850" s="1250">
        <v>2.00000057413877E-3</v>
      </c>
      <c r="M850" s="1273">
        <v>2.00000057413877E-3</v>
      </c>
      <c r="N850" s="1248">
        <v>3.1850009128239903E-2</v>
      </c>
      <c r="O850" s="1249">
        <v>3.1850009128239903E-2</v>
      </c>
      <c r="P850" s="1251">
        <v>1.5925004564119952E-2</v>
      </c>
      <c r="Q850" s="1252">
        <v>5.5270029643448099E-2</v>
      </c>
    </row>
    <row r="851" spans="1:17" s="212" customFormat="1" ht="15.5" x14ac:dyDescent="0.35">
      <c r="A851" s="198">
        <v>2030</v>
      </c>
      <c r="B851" s="197" t="s">
        <v>5842</v>
      </c>
      <c r="C851" s="197">
        <v>1997</v>
      </c>
      <c r="D851" s="213" t="str">
        <f t="shared" si="10"/>
        <v>2030_1997</v>
      </c>
      <c r="E851" s="1267">
        <v>0.37112812183097199</v>
      </c>
      <c r="F851" s="1278">
        <v>2.15082123136183E-2</v>
      </c>
      <c r="G851" s="1248">
        <v>9.3107079023583701</v>
      </c>
      <c r="H851" s="1278">
        <v>0.38789573693868901</v>
      </c>
      <c r="I851" s="1248">
        <v>5.3141231531404903E-2</v>
      </c>
      <c r="J851" s="1278">
        <v>2.1007182709503998E-3</v>
      </c>
      <c r="K851" s="1248">
        <v>3.00000086129065E-3</v>
      </c>
      <c r="L851" s="1250">
        <v>2.00000057405575E-3</v>
      </c>
      <c r="M851" s="1273">
        <v>2.00000057405575E-3</v>
      </c>
      <c r="N851" s="1248">
        <v>3.1850009128239903E-2</v>
      </c>
      <c r="O851" s="1249">
        <v>3.1850009128239903E-2</v>
      </c>
      <c r="P851" s="1251">
        <v>1.5925004564119952E-2</v>
      </c>
      <c r="Q851" s="1252">
        <v>5.5544042210532503E-2</v>
      </c>
    </row>
    <row r="852" spans="1:17" s="212" customFormat="1" ht="15.5" x14ac:dyDescent="0.35">
      <c r="A852" s="198">
        <v>2030</v>
      </c>
      <c r="B852" s="197" t="s">
        <v>5842</v>
      </c>
      <c r="C852" s="197">
        <v>1998</v>
      </c>
      <c r="D852" s="213" t="str">
        <f t="shared" si="10"/>
        <v>2030_1998</v>
      </c>
      <c r="E852" s="1267">
        <v>0.37269731607897599</v>
      </c>
      <c r="F852" s="1278">
        <v>2.1794886225466398E-2</v>
      </c>
      <c r="G852" s="1248">
        <v>9.2983702457019692</v>
      </c>
      <c r="H852" s="1278">
        <v>0.38992254008023802</v>
      </c>
      <c r="I852" s="1248">
        <v>5.3365921900971898E-2</v>
      </c>
      <c r="J852" s="1278">
        <v>2.1315920517454602E-3</v>
      </c>
      <c r="K852" s="1248">
        <v>3.0000008613722401E-3</v>
      </c>
      <c r="L852" s="1250">
        <v>2.00000057409769E-3</v>
      </c>
      <c r="M852" s="1273">
        <v>2.00000057409769E-3</v>
      </c>
      <c r="N852" s="1248">
        <v>3.1850009128239903E-2</v>
      </c>
      <c r="O852" s="1249">
        <v>3.1850009128239903E-2</v>
      </c>
      <c r="P852" s="1251">
        <v>1.5925004564119952E-2</v>
      </c>
      <c r="Q852" s="1252">
        <v>5.57788920815626E-2</v>
      </c>
    </row>
    <row r="853" spans="1:17" s="212" customFormat="1" ht="15.5" x14ac:dyDescent="0.35">
      <c r="A853" s="198">
        <v>2030</v>
      </c>
      <c r="B853" s="197" t="s">
        <v>5842</v>
      </c>
      <c r="C853" s="197">
        <v>1999</v>
      </c>
      <c r="D853" s="213" t="str">
        <f t="shared" si="10"/>
        <v>2030_1999</v>
      </c>
      <c r="E853" s="1267">
        <v>0.37061099935423503</v>
      </c>
      <c r="F853" s="1278">
        <v>2.1843195787982099E-2</v>
      </c>
      <c r="G853" s="1248">
        <v>9.3297864051775594</v>
      </c>
      <c r="H853" s="1278">
        <v>0.39021855386212101</v>
      </c>
      <c r="I853" s="1248">
        <v>5.3067185605887697E-2</v>
      </c>
      <c r="J853" s="1278">
        <v>2.13158885622004E-3</v>
      </c>
      <c r="K853" s="1248">
        <v>3.0000008613374398E-3</v>
      </c>
      <c r="L853" s="1250">
        <v>2.0000005741125202E-3</v>
      </c>
      <c r="M853" s="1273">
        <v>2.0000005741125202E-3</v>
      </c>
      <c r="N853" s="1248">
        <v>3.1850009128239903E-2</v>
      </c>
      <c r="O853" s="1249">
        <v>3.1850009128239903E-2</v>
      </c>
      <c r="P853" s="1251">
        <v>1.5925004564119952E-2</v>
      </c>
      <c r="Q853" s="1252">
        <v>5.5466648256837399E-2</v>
      </c>
    </row>
    <row r="854" spans="1:17" s="212" customFormat="1" ht="15.5" x14ac:dyDescent="0.35">
      <c r="A854" s="198">
        <v>2030</v>
      </c>
      <c r="B854" s="197" t="s">
        <v>5842</v>
      </c>
      <c r="C854" s="197">
        <v>2000</v>
      </c>
      <c r="D854" s="213" t="str">
        <f t="shared" si="10"/>
        <v>2030_2000</v>
      </c>
      <c r="E854" s="1267">
        <v>0.36688857707199002</v>
      </c>
      <c r="F854" s="1278">
        <v>2.2134178623577E-2</v>
      </c>
      <c r="G854" s="1248">
        <v>9.4064855707104407</v>
      </c>
      <c r="H854" s="1278">
        <v>0.39275476105537399</v>
      </c>
      <c r="I854" s="1248">
        <v>5.2534178019767501E-2</v>
      </c>
      <c r="J854" s="1278">
        <v>2.1632971672418001E-3</v>
      </c>
      <c r="K854" s="1248">
        <v>3.00000086125506E-3</v>
      </c>
      <c r="L854" s="1250">
        <v>2.0000005741518901E-3</v>
      </c>
      <c r="M854" s="1273">
        <v>2.0000005741518901E-3</v>
      </c>
      <c r="N854" s="1248">
        <v>3.1850009128239903E-2</v>
      </c>
      <c r="O854" s="1249">
        <v>3.1850009128239903E-2</v>
      </c>
      <c r="P854" s="1251">
        <v>1.5925004564119952E-2</v>
      </c>
      <c r="Q854" s="1252">
        <v>5.4909540432858998E-2</v>
      </c>
    </row>
    <row r="855" spans="1:17" s="212" customFormat="1" ht="15.5" x14ac:dyDescent="0.35">
      <c r="A855" s="198">
        <v>2030</v>
      </c>
      <c r="B855" s="197" t="s">
        <v>5842</v>
      </c>
      <c r="C855" s="197">
        <v>2001</v>
      </c>
      <c r="D855" s="213" t="str">
        <f t="shared" si="10"/>
        <v>2030_2001</v>
      </c>
      <c r="E855" s="1267">
        <v>0.370349322100262</v>
      </c>
      <c r="F855" s="1278">
        <v>2.2221951182506E-2</v>
      </c>
      <c r="G855" s="1248">
        <v>9.3354781083363303</v>
      </c>
      <c r="H855" s="1278">
        <v>0.39403908888052003</v>
      </c>
      <c r="I855" s="1248">
        <v>5.3029716465928002E-2</v>
      </c>
      <c r="J855" s="1278">
        <v>2.1744223678771702E-3</v>
      </c>
      <c r="K855" s="1248">
        <v>3.0000008613357701E-3</v>
      </c>
      <c r="L855" s="1250">
        <v>2.0000005741806501E-3</v>
      </c>
      <c r="M855" s="1273">
        <v>2.0000005741806501E-3</v>
      </c>
      <c r="N855" s="1248">
        <v>3.1850009128239903E-2</v>
      </c>
      <c r="O855" s="1249">
        <v>3.1850009128239903E-2</v>
      </c>
      <c r="P855" s="1251">
        <v>1.5925004564119952E-2</v>
      </c>
      <c r="Q855" s="1252">
        <v>5.5427484928635598E-2</v>
      </c>
    </row>
    <row r="856" spans="1:17" s="212" customFormat="1" ht="15.5" x14ac:dyDescent="0.35">
      <c r="A856" s="198">
        <v>2030</v>
      </c>
      <c r="B856" s="197" t="s">
        <v>5842</v>
      </c>
      <c r="C856" s="197">
        <v>2002</v>
      </c>
      <c r="D856" s="213" t="str">
        <f t="shared" si="10"/>
        <v>2030_2002</v>
      </c>
      <c r="E856" s="1267">
        <v>0.28714568242808403</v>
      </c>
      <c r="F856" s="1278">
        <v>2.2154888113403302E-2</v>
      </c>
      <c r="G856" s="1248">
        <v>7.1939983213431997</v>
      </c>
      <c r="H856" s="1278">
        <v>0.31761613878925898</v>
      </c>
      <c r="I856" s="1248">
        <v>5.3523354524105102E-2</v>
      </c>
      <c r="J856" s="1278">
        <v>2.1718911636301099E-3</v>
      </c>
      <c r="K856" s="1248">
        <v>3.0000008613493699E-3</v>
      </c>
      <c r="L856" s="1250">
        <v>2.0000005741556402E-3</v>
      </c>
      <c r="M856" s="1273">
        <v>2.0000005741556402E-3</v>
      </c>
      <c r="N856" s="1248">
        <v>3.1850009128239903E-2</v>
      </c>
      <c r="O856" s="1249">
        <v>3.1850009128239903E-2</v>
      </c>
      <c r="P856" s="1251">
        <v>1.5925004564119952E-2</v>
      </c>
      <c r="Q856" s="1252">
        <v>5.5943443109317002E-2</v>
      </c>
    </row>
    <row r="857" spans="1:17" s="212" customFormat="1" ht="15.5" x14ac:dyDescent="0.35">
      <c r="A857" s="198">
        <v>2030</v>
      </c>
      <c r="B857" s="197" t="s">
        <v>5842</v>
      </c>
      <c r="C857" s="197">
        <v>2003</v>
      </c>
      <c r="D857" s="213" t="str">
        <f t="shared" si="10"/>
        <v>2030_2003</v>
      </c>
      <c r="E857" s="1267">
        <v>0.284605378563347</v>
      </c>
      <c r="F857" s="1278">
        <v>2.1846567850011302E-2</v>
      </c>
      <c r="G857" s="1248">
        <v>7.2374509255763604</v>
      </c>
      <c r="H857" s="1278">
        <v>0.31691635199410001</v>
      </c>
      <c r="I857" s="1248">
        <v>5.3049847197783599E-2</v>
      </c>
      <c r="J857" s="1278">
        <v>2.1406180223891898E-3</v>
      </c>
      <c r="K857" s="1248">
        <v>3.0000008612744498E-3</v>
      </c>
      <c r="L857" s="1250">
        <v>2.0000005741414501E-3</v>
      </c>
      <c r="M857" s="1273">
        <v>2.0000005741414501E-3</v>
      </c>
      <c r="N857" s="1248">
        <v>3.1850009128239903E-2</v>
      </c>
      <c r="O857" s="1249">
        <v>3.1850009128239903E-2</v>
      </c>
      <c r="P857" s="1251">
        <v>1.5925004564119952E-2</v>
      </c>
      <c r="Q857" s="1252">
        <v>5.5448525882856897E-2</v>
      </c>
    </row>
    <row r="858" spans="1:17" s="212" customFormat="1" ht="15.5" x14ac:dyDescent="0.35">
      <c r="A858" s="198">
        <v>2030</v>
      </c>
      <c r="B858" s="197" t="s">
        <v>5842</v>
      </c>
      <c r="C858" s="197">
        <v>2004</v>
      </c>
      <c r="D858" s="213" t="str">
        <f t="shared" si="10"/>
        <v>2030_2004</v>
      </c>
      <c r="E858" s="1267">
        <v>0.57692693753036295</v>
      </c>
      <c r="F858" s="1278">
        <v>1.43022001518002E-2</v>
      </c>
      <c r="G858" s="1248">
        <v>4.1451858372958901</v>
      </c>
      <c r="H858" s="1278">
        <v>0.26800430388348501</v>
      </c>
      <c r="I858" s="1248">
        <v>0.150281529429345</v>
      </c>
      <c r="J858" s="1278">
        <v>1.3919473502883501E-4</v>
      </c>
      <c r="K858" s="1248">
        <v>3.00000086126941E-3</v>
      </c>
      <c r="L858" s="1250">
        <v>2.0000005740761599E-3</v>
      </c>
      <c r="M858" s="1273">
        <v>2.0000005740761599E-3</v>
      </c>
      <c r="N858" s="1248">
        <v>3.1850009128239903E-2</v>
      </c>
      <c r="O858" s="1249">
        <v>3.1850009128239903E-2</v>
      </c>
      <c r="P858" s="1251">
        <v>1.5925004564119952E-2</v>
      </c>
      <c r="Q858" s="1252">
        <v>0.15707659332572901</v>
      </c>
    </row>
    <row r="859" spans="1:17" s="212" customFormat="1" ht="15.5" x14ac:dyDescent="0.35">
      <c r="A859" s="198">
        <v>2030</v>
      </c>
      <c r="B859" s="197" t="s">
        <v>5842</v>
      </c>
      <c r="C859" s="197">
        <v>2005</v>
      </c>
      <c r="D859" s="213" t="str">
        <f t="shared" si="10"/>
        <v>2030_2005</v>
      </c>
      <c r="E859" s="1267">
        <v>0.57467217062716502</v>
      </c>
      <c r="F859" s="1278">
        <v>1.44422763586083E-2</v>
      </c>
      <c r="G859" s="1248">
        <v>4.1379537398497197</v>
      </c>
      <c r="H859" s="1278">
        <v>0.27002624071595299</v>
      </c>
      <c r="I859" s="1248">
        <v>0.14977729152944999</v>
      </c>
      <c r="J859" s="1278">
        <v>1.4111602378171899E-4</v>
      </c>
      <c r="K859" s="1248">
        <v>3.0000008612446399E-3</v>
      </c>
      <c r="L859" s="1250">
        <v>2.00000057411463E-3</v>
      </c>
      <c r="M859" s="1273">
        <v>2.00000057411463E-3</v>
      </c>
      <c r="N859" s="1248">
        <v>3.1850009128239903E-2</v>
      </c>
      <c r="O859" s="1249">
        <v>3.1850009128239903E-2</v>
      </c>
      <c r="P859" s="1251">
        <v>1.5925004564119952E-2</v>
      </c>
      <c r="Q859" s="1252">
        <v>0.15654955602552401</v>
      </c>
    </row>
    <row r="860" spans="1:17" s="212" customFormat="1" ht="15.5" x14ac:dyDescent="0.35">
      <c r="A860" s="198">
        <v>2030</v>
      </c>
      <c r="B860" s="197" t="s">
        <v>5842</v>
      </c>
      <c r="C860" s="197">
        <v>2006</v>
      </c>
      <c r="D860" s="213" t="str">
        <f t="shared" si="10"/>
        <v>2030_2006</v>
      </c>
      <c r="E860" s="1267">
        <v>0.57098128226635103</v>
      </c>
      <c r="F860" s="1278">
        <v>1.4602518506000899E-2</v>
      </c>
      <c r="G860" s="1248">
        <v>4.1252011350387896</v>
      </c>
      <c r="H860" s="1278">
        <v>0.27206383655463801</v>
      </c>
      <c r="I860" s="1248">
        <v>0.14894755639881399</v>
      </c>
      <c r="J860" s="1278">
        <v>1.4208118486123999E-4</v>
      </c>
      <c r="K860" s="1248">
        <v>3.0000008612309698E-3</v>
      </c>
      <c r="L860" s="1250">
        <v>2.00000057412952E-3</v>
      </c>
      <c r="M860" s="1273">
        <v>2.00000057412952E-3</v>
      </c>
      <c r="N860" s="1248">
        <v>3.1850009128239903E-2</v>
      </c>
      <c r="O860" s="1249">
        <v>3.1850009128239903E-2</v>
      </c>
      <c r="P860" s="1251">
        <v>1.5925004564119952E-2</v>
      </c>
      <c r="Q860" s="1252">
        <v>0.15568230395417601</v>
      </c>
    </row>
    <row r="861" spans="1:17" s="212" customFormat="1" ht="15.5" x14ac:dyDescent="0.35">
      <c r="A861" s="198">
        <v>2030</v>
      </c>
      <c r="B861" s="197" t="s">
        <v>5842</v>
      </c>
      <c r="C861" s="197">
        <v>2007</v>
      </c>
      <c r="D861" s="213" t="str">
        <f t="shared" si="10"/>
        <v>2030_2007</v>
      </c>
      <c r="E861" s="1267">
        <v>0.332694492755019</v>
      </c>
      <c r="F861" s="1278">
        <v>1.44923679861498E-2</v>
      </c>
      <c r="G861" s="1248">
        <v>2.48255648489818</v>
      </c>
      <c r="H861" s="1278">
        <v>0.272227287938067</v>
      </c>
      <c r="I861" s="1248">
        <v>8.7388000077692707E-2</v>
      </c>
      <c r="J861" s="1278">
        <v>1.45206563358292E-4</v>
      </c>
      <c r="K861" s="1248">
        <v>3.00000086123435E-3</v>
      </c>
      <c r="L861" s="1250">
        <v>2.0000005741849002E-3</v>
      </c>
      <c r="M861" s="1273">
        <v>2.0000005741849002E-3</v>
      </c>
      <c r="N861" s="1248">
        <v>3.1850009128239903E-2</v>
      </c>
      <c r="O861" s="1249">
        <v>3.1850009128239903E-2</v>
      </c>
      <c r="P861" s="1251">
        <v>1.5925004564119952E-2</v>
      </c>
      <c r="Q861" s="1252">
        <v>9.1339297662698701E-2</v>
      </c>
    </row>
    <row r="862" spans="1:17" s="212" customFormat="1" ht="15.5" x14ac:dyDescent="0.35">
      <c r="A862" s="198">
        <v>2030</v>
      </c>
      <c r="B862" s="197" t="s">
        <v>5842</v>
      </c>
      <c r="C862" s="197">
        <v>2008</v>
      </c>
      <c r="D862" s="213" t="str">
        <f t="shared" si="10"/>
        <v>2030_2008</v>
      </c>
      <c r="E862" s="1267">
        <v>0.33914868683371802</v>
      </c>
      <c r="F862" s="1278">
        <v>9.7663065923921707E-3</v>
      </c>
      <c r="G862" s="1248">
        <v>2.5046394529351899</v>
      </c>
      <c r="H862" s="1278">
        <v>0.15699150647235599</v>
      </c>
      <c r="I862" s="1248">
        <v>8.8735980182692201E-2</v>
      </c>
      <c r="J862" s="1278">
        <v>1.41399388190785E-4</v>
      </c>
      <c r="K862" s="1248">
        <v>3.00000086132144E-3</v>
      </c>
      <c r="L862" s="1250">
        <v>2.00000057420844E-3</v>
      </c>
      <c r="M862" s="1273">
        <v>2.00000057420844E-3</v>
      </c>
      <c r="N862" s="1248">
        <v>3.1850009128239903E-2</v>
      </c>
      <c r="O862" s="1249">
        <v>3.1850009128239903E-2</v>
      </c>
      <c r="P862" s="1251">
        <v>1.5925004564119952E-2</v>
      </c>
      <c r="Q862" s="1252">
        <v>9.2748227446473097E-2</v>
      </c>
    </row>
    <row r="863" spans="1:17" s="212" customFormat="1" ht="15.5" x14ac:dyDescent="0.35">
      <c r="A863" s="198">
        <v>2030</v>
      </c>
      <c r="B863" s="197" t="s">
        <v>5842</v>
      </c>
      <c r="C863" s="197">
        <v>2009</v>
      </c>
      <c r="D863" s="213" t="str">
        <f t="shared" si="10"/>
        <v>2030_2009</v>
      </c>
      <c r="E863" s="1267">
        <v>0.33609592083753498</v>
      </c>
      <c r="F863" s="1278">
        <v>4.7108289346427098E-3</v>
      </c>
      <c r="G863" s="1248">
        <v>2.4968340201968799</v>
      </c>
      <c r="H863" s="1278">
        <v>4.16751226294612E-2</v>
      </c>
      <c r="I863" s="1248">
        <v>8.8082803658620104E-2</v>
      </c>
      <c r="J863" s="1278">
        <v>1.29986397051527E-4</v>
      </c>
      <c r="K863" s="1248">
        <v>3.0000008612825202E-3</v>
      </c>
      <c r="L863" s="1250">
        <v>2.0000005741522401E-3</v>
      </c>
      <c r="M863" s="1273">
        <v>2.0000005741522401E-3</v>
      </c>
      <c r="N863" s="1248">
        <v>3.1850009128239903E-2</v>
      </c>
      <c r="O863" s="1249">
        <v>3.1850009128239903E-2</v>
      </c>
      <c r="P863" s="1251">
        <v>1.5925004564119952E-2</v>
      </c>
      <c r="Q863" s="1252">
        <v>9.2065517178410494E-2</v>
      </c>
    </row>
    <row r="864" spans="1:17" s="212" customFormat="1" ht="15.5" x14ac:dyDescent="0.35">
      <c r="A864" s="198">
        <v>2030</v>
      </c>
      <c r="B864" s="197" t="s">
        <v>5842</v>
      </c>
      <c r="C864" s="197">
        <v>2010</v>
      </c>
      <c r="D864" s="213" t="str">
        <f t="shared" si="10"/>
        <v>2030_2010</v>
      </c>
      <c r="E864" s="1267">
        <v>8.9583722999778306E-2</v>
      </c>
      <c r="F864" s="1278">
        <v>4.7306438480061597E-3</v>
      </c>
      <c r="G864" s="1248">
        <v>0.81245593113246695</v>
      </c>
      <c r="H864" s="1278">
        <v>4.1472461364884798E-2</v>
      </c>
      <c r="I864" s="1248">
        <v>2.4222471416544902E-2</v>
      </c>
      <c r="J864" s="1278">
        <v>1.5877518196285599E-4</v>
      </c>
      <c r="K864" s="1248">
        <v>3.0000008613274998E-3</v>
      </c>
      <c r="L864" s="1250">
        <v>2.0000005741293301E-3</v>
      </c>
      <c r="M864" s="1273">
        <v>2.0000005741293301E-3</v>
      </c>
      <c r="N864" s="1248">
        <v>3.1850009128239903E-2</v>
      </c>
      <c r="O864" s="1249">
        <v>3.1850009128239903E-2</v>
      </c>
      <c r="P864" s="1251">
        <v>1.5925004564119952E-2</v>
      </c>
      <c r="Q864" s="1252">
        <v>2.5317704088376101E-2</v>
      </c>
    </row>
    <row r="865" spans="1:17" s="212" customFormat="1" ht="15.5" x14ac:dyDescent="0.35">
      <c r="A865" s="198">
        <v>2030</v>
      </c>
      <c r="B865" s="197" t="s">
        <v>5842</v>
      </c>
      <c r="C865" s="197">
        <v>2011</v>
      </c>
      <c r="D865" s="213" t="str">
        <f t="shared" si="10"/>
        <v>2030_2011</v>
      </c>
      <c r="E865" s="1267">
        <v>8.8333533097640998E-2</v>
      </c>
      <c r="F865" s="1278">
        <v>4.8897094446673298E-3</v>
      </c>
      <c r="G865" s="1248">
        <v>0.80225113160929395</v>
      </c>
      <c r="H865" s="1278">
        <v>4.0890548574250597E-2</v>
      </c>
      <c r="I865" s="1248">
        <v>2.3757050724475599E-2</v>
      </c>
      <c r="J865" s="1278">
        <v>2.17073563822292E-4</v>
      </c>
      <c r="K865" s="1248">
        <v>3.00000086129834E-3</v>
      </c>
      <c r="L865" s="1250">
        <v>2.0000005742292098E-3</v>
      </c>
      <c r="M865" s="1273">
        <v>2.0000005742292098E-3</v>
      </c>
      <c r="N865" s="1248">
        <v>3.1850009128239903E-2</v>
      </c>
      <c r="O865" s="1249">
        <v>3.1850009128239903E-2</v>
      </c>
      <c r="P865" s="1251">
        <v>1.5925004564119952E-2</v>
      </c>
      <c r="Q865" s="1252">
        <v>2.4831239137885101E-2</v>
      </c>
    </row>
    <row r="866" spans="1:17" s="212" customFormat="1" ht="15.5" x14ac:dyDescent="0.35">
      <c r="A866" s="198">
        <v>2030</v>
      </c>
      <c r="B866" s="197" t="s">
        <v>5842</v>
      </c>
      <c r="C866" s="197">
        <v>2012</v>
      </c>
      <c r="D866" s="213" t="str">
        <f t="shared" si="10"/>
        <v>2030_2012</v>
      </c>
      <c r="E866" s="1267">
        <v>8.8544436724155406E-2</v>
      </c>
      <c r="F866" s="1278">
        <v>4.85773948566149E-3</v>
      </c>
      <c r="G866" s="1248">
        <v>0.79723125048806898</v>
      </c>
      <c r="H866" s="1278">
        <v>4.0545154380707098E-2</v>
      </c>
      <c r="I866" s="1248">
        <v>2.35126352010957E-2</v>
      </c>
      <c r="J866" s="1278">
        <v>3.1696092554897701E-4</v>
      </c>
      <c r="K866" s="1248">
        <v>3.0000008613569702E-3</v>
      </c>
      <c r="L866" s="1250">
        <v>2.0000005742380499E-3</v>
      </c>
      <c r="M866" s="1273">
        <v>2.0000005742380499E-3</v>
      </c>
      <c r="N866" s="1248">
        <v>3.1850009128239903E-2</v>
      </c>
      <c r="O866" s="1249">
        <v>3.1850009128239903E-2</v>
      </c>
      <c r="P866" s="1251">
        <v>1.5925004564119952E-2</v>
      </c>
      <c r="Q866" s="1252">
        <v>2.4575772229115798E-2</v>
      </c>
    </row>
    <row r="867" spans="1:17" s="212" customFormat="1" ht="15.5" x14ac:dyDescent="0.35">
      <c r="A867" s="198">
        <v>2030</v>
      </c>
      <c r="B867" s="197" t="s">
        <v>5842</v>
      </c>
      <c r="C867" s="197">
        <v>2013</v>
      </c>
      <c r="D867" s="213" t="str">
        <f t="shared" si="10"/>
        <v>2030_2013</v>
      </c>
      <c r="E867" s="1267">
        <v>8.7948734129906295E-2</v>
      </c>
      <c r="F867" s="1278">
        <v>4.8917819929833999E-3</v>
      </c>
      <c r="G867" s="1248">
        <v>0.78664646414397099</v>
      </c>
      <c r="H867" s="1278">
        <v>4.0053743719772397E-2</v>
      </c>
      <c r="I867" s="1248">
        <v>2.3057003022067198E-2</v>
      </c>
      <c r="J867" s="1278">
        <v>4.75914796362283E-4</v>
      </c>
      <c r="K867" s="1248">
        <v>3.0000008613809402E-3</v>
      </c>
      <c r="L867" s="1250">
        <v>2.0000005742745199E-3</v>
      </c>
      <c r="M867" s="1273">
        <v>2.0000005742745199E-3</v>
      </c>
      <c r="N867" s="1248">
        <v>3.1850009128239903E-2</v>
      </c>
      <c r="O867" s="1249">
        <v>3.1850009128239903E-2</v>
      </c>
      <c r="P867" s="1251">
        <v>1.5925004564119952E-2</v>
      </c>
      <c r="Q867" s="1252">
        <v>2.4099538384789499E-2</v>
      </c>
    </row>
    <row r="868" spans="1:17" s="212" customFormat="1" ht="15.5" x14ac:dyDescent="0.35">
      <c r="A868" s="198">
        <v>2030</v>
      </c>
      <c r="B868" s="197" t="s">
        <v>5842</v>
      </c>
      <c r="C868" s="197">
        <v>2014</v>
      </c>
      <c r="D868" s="213" t="str">
        <f t="shared" si="10"/>
        <v>2030_2014</v>
      </c>
      <c r="E868" s="1267">
        <v>8.62753142796472E-2</v>
      </c>
      <c r="F868" s="1278">
        <v>4.7719913683628903E-3</v>
      </c>
      <c r="G868" s="1248">
        <v>0.77210203566134805</v>
      </c>
      <c r="H868" s="1278">
        <v>3.9980303349137297E-2</v>
      </c>
      <c r="I868" s="1248">
        <v>2.2379649665639201E-2</v>
      </c>
      <c r="J868" s="1278">
        <v>6.6084940965403999E-4</v>
      </c>
      <c r="K868" s="1248">
        <v>3.0000008613174801E-3</v>
      </c>
      <c r="L868" s="1250">
        <v>2.0000005742299301E-3</v>
      </c>
      <c r="M868" s="1273">
        <v>2.0000005742299301E-3</v>
      </c>
      <c r="N868" s="1248">
        <v>3.1850009128239903E-2</v>
      </c>
      <c r="O868" s="1249">
        <v>3.1850009128239903E-2</v>
      </c>
      <c r="P868" s="1251">
        <v>1.5925004564119952E-2</v>
      </c>
      <c r="Q868" s="1252">
        <v>2.3391558115294801E-2</v>
      </c>
    </row>
    <row r="869" spans="1:17" s="212" customFormat="1" ht="15.5" x14ac:dyDescent="0.35">
      <c r="A869" s="198">
        <v>2030</v>
      </c>
      <c r="B869" s="197" t="s">
        <v>5842</v>
      </c>
      <c r="C869" s="197">
        <v>2015</v>
      </c>
      <c r="D869" s="213" t="str">
        <f t="shared" si="10"/>
        <v>2030_2015</v>
      </c>
      <c r="E869" s="1267">
        <v>8.5785682364534294E-2</v>
      </c>
      <c r="F869" s="1278">
        <v>4.8881006052079396E-3</v>
      </c>
      <c r="G869" s="1248">
        <v>0.76107283428026096</v>
      </c>
      <c r="H869" s="1278">
        <v>3.9453806986175503E-2</v>
      </c>
      <c r="I869" s="1248">
        <v>2.18591484511893E-2</v>
      </c>
      <c r="J869" s="1278">
        <v>8.3627429940728404E-4</v>
      </c>
      <c r="K869" s="1248">
        <v>3.0000008613271802E-3</v>
      </c>
      <c r="L869" s="1250">
        <v>2.0000005742648401E-3</v>
      </c>
      <c r="M869" s="1273">
        <v>2.0000005742648401E-3</v>
      </c>
      <c r="N869" s="1248">
        <v>3.1850009128239903E-2</v>
      </c>
      <c r="O869" s="1249">
        <v>3.1850009128239903E-2</v>
      </c>
      <c r="P869" s="1251">
        <v>1.5925004564119952E-2</v>
      </c>
      <c r="Q869" s="1252">
        <v>2.2847522145617399E-2</v>
      </c>
    </row>
    <row r="870" spans="1:17" s="212" customFormat="1" ht="15.5" x14ac:dyDescent="0.35">
      <c r="A870" s="198">
        <v>2030</v>
      </c>
      <c r="B870" s="197" t="s">
        <v>5842</v>
      </c>
      <c r="C870" s="197">
        <v>2016</v>
      </c>
      <c r="D870" s="213" t="str">
        <f t="shared" si="10"/>
        <v>2030_2016</v>
      </c>
      <c r="E870" s="1267">
        <v>8.5096396813444497E-2</v>
      </c>
      <c r="F870" s="1278">
        <v>4.50793337390236E-3</v>
      </c>
      <c r="G870" s="1248">
        <v>0.66130734717346795</v>
      </c>
      <c r="H870" s="1278">
        <v>3.6553297977302397E-2</v>
      </c>
      <c r="I870" s="1248">
        <v>2.1254085333410298E-2</v>
      </c>
      <c r="J870" s="1278">
        <v>9.6232671163436298E-4</v>
      </c>
      <c r="K870" s="1248">
        <v>3.0000008613426101E-3</v>
      </c>
      <c r="L870" s="1250">
        <v>2.0000005742460002E-3</v>
      </c>
      <c r="M870" s="1273">
        <v>2.0000005742460002E-3</v>
      </c>
      <c r="N870" s="1248">
        <v>3.1850009128239903E-2</v>
      </c>
      <c r="O870" s="1249">
        <v>3.1850009128239903E-2</v>
      </c>
      <c r="P870" s="1251">
        <v>1.5925004564119952E-2</v>
      </c>
      <c r="Q870" s="1252">
        <v>2.2215100758580301E-2</v>
      </c>
    </row>
    <row r="871" spans="1:17" s="212" customFormat="1" ht="15.5" x14ac:dyDescent="0.35">
      <c r="A871" s="198">
        <v>2030</v>
      </c>
      <c r="B871" s="197" t="s">
        <v>5842</v>
      </c>
      <c r="C871" s="197">
        <v>2017</v>
      </c>
      <c r="D871" s="213" t="str">
        <f t="shared" si="10"/>
        <v>2030_2017</v>
      </c>
      <c r="E871" s="1267">
        <v>8.3209884465903605E-2</v>
      </c>
      <c r="F871" s="1278">
        <v>4.2839840099848101E-3</v>
      </c>
      <c r="G871" s="1248">
        <v>0.55980246565678105</v>
      </c>
      <c r="H871" s="1278">
        <v>3.3795169824201401E-2</v>
      </c>
      <c r="I871" s="1248">
        <v>2.0392862406739098E-2</v>
      </c>
      <c r="J871" s="1278">
        <v>1.0377257009032601E-3</v>
      </c>
      <c r="K871" s="1248">
        <v>3.00000086128841E-3</v>
      </c>
      <c r="L871" s="1250">
        <v>2.00000057429845E-3</v>
      </c>
      <c r="M871" s="1273">
        <v>2.00000057429845E-3</v>
      </c>
      <c r="N871" s="1248">
        <v>3.1850009128239903E-2</v>
      </c>
      <c r="O871" s="1249">
        <v>3.1850009128239903E-2</v>
      </c>
      <c r="P871" s="1251">
        <v>1.5925004564119952E-2</v>
      </c>
      <c r="Q871" s="1252">
        <v>2.13149371527851E-2</v>
      </c>
    </row>
    <row r="872" spans="1:17" s="212" customFormat="1" ht="15.5" x14ac:dyDescent="0.35">
      <c r="A872" s="198">
        <v>2030</v>
      </c>
      <c r="B872" s="197" t="s">
        <v>5842</v>
      </c>
      <c r="C872" s="197">
        <v>2018</v>
      </c>
      <c r="D872" s="213" t="str">
        <f t="shared" si="10"/>
        <v>2030_2018</v>
      </c>
      <c r="E872" s="1267">
        <v>8.3052420638120406E-2</v>
      </c>
      <c r="F872" s="1278">
        <v>3.8249913859610802E-3</v>
      </c>
      <c r="G872" s="1248">
        <v>0.45557628696223001</v>
      </c>
      <c r="H872" s="1278">
        <v>3.02823055803274E-2</v>
      </c>
      <c r="I872" s="1248">
        <v>1.97789739746074E-2</v>
      </c>
      <c r="J872" s="1278">
        <v>1.0794052550533199E-3</v>
      </c>
      <c r="K872" s="1248">
        <v>3.0000008613488799E-3</v>
      </c>
      <c r="L872" s="1250">
        <v>2.00000057425001E-3</v>
      </c>
      <c r="M872" s="1273">
        <v>2.00000057425001E-3</v>
      </c>
      <c r="N872" s="1248">
        <v>3.1850009128239903E-2</v>
      </c>
      <c r="O872" s="1249">
        <v>3.1850009128239903E-2</v>
      </c>
      <c r="P872" s="1251">
        <v>1.5925004564119952E-2</v>
      </c>
      <c r="Q872" s="1252">
        <v>2.0673291409842001E-2</v>
      </c>
    </row>
    <row r="873" spans="1:17" s="212" customFormat="1" ht="15.5" x14ac:dyDescent="0.35">
      <c r="A873" s="198">
        <v>2030</v>
      </c>
      <c r="B873" s="197" t="s">
        <v>5842</v>
      </c>
      <c r="C873" s="197">
        <v>2019</v>
      </c>
      <c r="D873" s="213" t="str">
        <f t="shared" si="10"/>
        <v>2030_2019</v>
      </c>
      <c r="E873" s="1267">
        <v>8.2178581446954904E-2</v>
      </c>
      <c r="F873" s="1278">
        <v>3.35083068214967E-3</v>
      </c>
      <c r="G873" s="1248">
        <v>0.385963530879882</v>
      </c>
      <c r="H873" s="1278">
        <v>2.67619975937325E-2</v>
      </c>
      <c r="I873" s="1248">
        <v>1.89860250695701E-2</v>
      </c>
      <c r="J873" s="1278">
        <v>1.1008639424581899E-3</v>
      </c>
      <c r="K873" s="1248">
        <v>3.0000008613976898E-3</v>
      </c>
      <c r="L873" s="1250">
        <v>2.00000057420294E-3</v>
      </c>
      <c r="M873" s="1273">
        <v>2.00000057420294E-3</v>
      </c>
      <c r="N873" s="1248">
        <v>3.1850009128239903E-2</v>
      </c>
      <c r="O873" s="1249">
        <v>3.1850009128239903E-2</v>
      </c>
      <c r="P873" s="1251">
        <v>1.5925004564119952E-2</v>
      </c>
      <c r="Q873" s="1252">
        <v>1.9844488873977599E-2</v>
      </c>
    </row>
    <row r="874" spans="1:17" s="212" customFormat="1" ht="15.5" x14ac:dyDescent="0.35">
      <c r="A874" s="198">
        <v>2030</v>
      </c>
      <c r="B874" s="197" t="s">
        <v>5842</v>
      </c>
      <c r="C874" s="197">
        <v>2020</v>
      </c>
      <c r="D874" s="213" t="str">
        <f t="shared" si="10"/>
        <v>2030_2020</v>
      </c>
      <c r="E874" s="1267">
        <v>7.1542653004038698E-2</v>
      </c>
      <c r="F874" s="1278">
        <v>2.77858250654069E-3</v>
      </c>
      <c r="G874" s="1248">
        <v>0.29753859452523301</v>
      </c>
      <c r="H874" s="1278">
        <v>2.3500875176664701E-2</v>
      </c>
      <c r="I874" s="1248">
        <v>1.6582501647934698E-2</v>
      </c>
      <c r="J874" s="1278">
        <v>1.08807780039921E-3</v>
      </c>
      <c r="K874" s="1248">
        <v>3.00000086096906E-3</v>
      </c>
      <c r="L874" s="1250">
        <v>2.0000005740754899E-3</v>
      </c>
      <c r="M874" s="1273">
        <v>2.0000005740754899E-3</v>
      </c>
      <c r="N874" s="1248">
        <v>3.1850009128239903E-2</v>
      </c>
      <c r="O874" s="1249">
        <v>3.1850009128239903E-2</v>
      </c>
      <c r="P874" s="1251">
        <v>1.5925004564119952E-2</v>
      </c>
      <c r="Q874" s="1252">
        <v>1.7332288788693001E-2</v>
      </c>
    </row>
    <row r="875" spans="1:17" s="212" customFormat="1" ht="15.5" x14ac:dyDescent="0.35">
      <c r="A875" s="198">
        <v>2030</v>
      </c>
      <c r="B875" s="197" t="s">
        <v>5842</v>
      </c>
      <c r="C875" s="197">
        <v>2021</v>
      </c>
      <c r="D875" s="213" t="str">
        <f t="shared" si="10"/>
        <v>2030_2021</v>
      </c>
      <c r="E875" s="1267">
        <v>7.0416704850142994E-2</v>
      </c>
      <c r="F875" s="1278">
        <v>2.3930877845684401E-3</v>
      </c>
      <c r="G875" s="1248">
        <v>0.23655233732417799</v>
      </c>
      <c r="H875" s="1278">
        <v>1.9946914586356099E-2</v>
      </c>
      <c r="I875" s="1248">
        <v>1.5702164288016199E-2</v>
      </c>
      <c r="J875" s="1278">
        <v>1.0882541177052499E-3</v>
      </c>
      <c r="K875" s="1248">
        <v>3.0000008609713399E-3</v>
      </c>
      <c r="L875" s="1250">
        <v>2.0000005740772099E-3</v>
      </c>
      <c r="M875" s="1273">
        <v>2.0000005740772099E-3</v>
      </c>
      <c r="N875" s="1248">
        <v>3.1850009128239903E-2</v>
      </c>
      <c r="O875" s="1249">
        <v>3.1850009128239903E-2</v>
      </c>
      <c r="P875" s="1251">
        <v>1.5925004564119952E-2</v>
      </c>
      <c r="Q875" s="1252">
        <v>1.6412146479798301E-2</v>
      </c>
    </row>
    <row r="876" spans="1:17" s="212" customFormat="1" ht="15.5" x14ac:dyDescent="0.35">
      <c r="A876" s="198">
        <v>2030</v>
      </c>
      <c r="B876" s="197" t="s">
        <v>5842</v>
      </c>
      <c r="C876" s="197">
        <v>2022</v>
      </c>
      <c r="D876" s="213" t="str">
        <f t="shared" si="10"/>
        <v>2030_2022</v>
      </c>
      <c r="E876" s="1267">
        <v>6.9210678168678305E-2</v>
      </c>
      <c r="F876" s="1278">
        <v>1.9919940937623802E-3</v>
      </c>
      <c r="G876" s="1248">
        <v>0.17740333448475001</v>
      </c>
      <c r="H876" s="1278">
        <v>1.6321056185119E-2</v>
      </c>
      <c r="I876" s="1248">
        <v>1.47613643844694E-2</v>
      </c>
      <c r="J876" s="1278">
        <v>1.08842271842505E-3</v>
      </c>
      <c r="K876" s="1248">
        <v>3.0000008609735399E-3</v>
      </c>
      <c r="L876" s="1250">
        <v>2.00000057407886E-3</v>
      </c>
      <c r="M876" s="1273">
        <v>2.00000057407886E-3</v>
      </c>
      <c r="N876" s="1248">
        <v>3.1850009128239903E-2</v>
      </c>
      <c r="O876" s="1249">
        <v>3.1850009128239903E-2</v>
      </c>
      <c r="P876" s="1251">
        <v>1.5925004564119952E-2</v>
      </c>
      <c r="Q876" s="1252">
        <v>1.54288077793508E-2</v>
      </c>
    </row>
    <row r="877" spans="1:17" s="212" customFormat="1" ht="15.5" x14ac:dyDescent="0.35">
      <c r="A877" s="198">
        <v>2030</v>
      </c>
      <c r="B877" s="197" t="s">
        <v>5842</v>
      </c>
      <c r="C877" s="197">
        <v>2023</v>
      </c>
      <c r="D877" s="213" t="str">
        <f t="shared" si="10"/>
        <v>2030_2023</v>
      </c>
      <c r="E877" s="1267">
        <v>6.7924710549991205E-2</v>
      </c>
      <c r="F877" s="1278">
        <v>1.99353600590679E-3</v>
      </c>
      <c r="G877" s="1248">
        <v>0.170854612310816</v>
      </c>
      <c r="H877" s="1278">
        <v>1.6008399562466E-2</v>
      </c>
      <c r="I877" s="1248">
        <v>1.3760099182814E-2</v>
      </c>
      <c r="J877" s="1278">
        <v>1.08858247493903E-3</v>
      </c>
      <c r="K877" s="1248">
        <v>3.0000008609756702E-3</v>
      </c>
      <c r="L877" s="1250">
        <v>2.0000005740804499E-3</v>
      </c>
      <c r="M877" s="1273">
        <v>2.0000005740804499E-3</v>
      </c>
      <c r="N877" s="1248">
        <v>3.1850009128239903E-2</v>
      </c>
      <c r="O877" s="1249">
        <v>3.1850009128239903E-2</v>
      </c>
      <c r="P877" s="1251">
        <v>1.5925004564119952E-2</v>
      </c>
      <c r="Q877" s="1252">
        <v>1.4382269808325E-2</v>
      </c>
    </row>
    <row r="878" spans="1:17" s="212" customFormat="1" ht="15.5" x14ac:dyDescent="0.35">
      <c r="A878" s="198">
        <v>2030</v>
      </c>
      <c r="B878" s="197" t="s">
        <v>5842</v>
      </c>
      <c r="C878" s="197">
        <v>2024</v>
      </c>
      <c r="D878" s="213" t="str">
        <f t="shared" si="10"/>
        <v>2030_2024</v>
      </c>
      <c r="E878" s="1267">
        <v>6.6558316557028804E-2</v>
      </c>
      <c r="F878" s="1278">
        <v>1.9970468805113502E-3</v>
      </c>
      <c r="G878" s="1248">
        <v>0.16390938380408099</v>
      </c>
      <c r="H878" s="1278">
        <v>1.5687262418412899E-2</v>
      </c>
      <c r="I878" s="1248">
        <v>1.26982957866327E-2</v>
      </c>
      <c r="J878" s="1278">
        <v>1.0887325519612901E-3</v>
      </c>
      <c r="K878" s="1248">
        <v>3.0000008609776998E-3</v>
      </c>
      <c r="L878" s="1250">
        <v>2.0000005740819799E-3</v>
      </c>
      <c r="M878" s="1275">
        <v>2.0000005740121399E-3</v>
      </c>
      <c r="N878" s="1248">
        <v>3.1850009128239903E-2</v>
      </c>
      <c r="O878" s="1249">
        <v>3.1850009128239903E-2</v>
      </c>
      <c r="P878" s="1260">
        <v>1.59250045641199E-2</v>
      </c>
      <c r="Q878" s="1252">
        <v>1.32724563742512E-2</v>
      </c>
    </row>
    <row r="879" spans="1:17" s="212" customFormat="1" ht="15.5" x14ac:dyDescent="0.35">
      <c r="A879" s="198">
        <v>2030</v>
      </c>
      <c r="B879" s="197" t="s">
        <v>5842</v>
      </c>
      <c r="C879" s="197">
        <v>2025</v>
      </c>
      <c r="D879" s="213" t="str">
        <f t="shared" si="10"/>
        <v>2030_2025</v>
      </c>
      <c r="E879" s="1267">
        <v>6.5111014286111699E-2</v>
      </c>
      <c r="F879" s="1278">
        <v>2.0256922104399701E-3</v>
      </c>
      <c r="G879" s="1248">
        <v>0.156567057409501</v>
      </c>
      <c r="H879" s="1278">
        <v>1.5593813293173201E-2</v>
      </c>
      <c r="I879" s="1248">
        <v>1.15758926545056E-2</v>
      </c>
      <c r="J879" s="1278">
        <v>1.0888702759784001E-3</v>
      </c>
      <c r="K879" s="1248">
        <v>3.0000008609796002E-3</v>
      </c>
      <c r="L879" s="1250">
        <v>2.0000005740833998E-3</v>
      </c>
      <c r="M879" s="1275">
        <v>2.0000005740138599E-3</v>
      </c>
      <c r="N879" s="1248">
        <v>3.1850009128239903E-2</v>
      </c>
      <c r="O879" s="1249">
        <v>3.1850009128239903E-2</v>
      </c>
      <c r="P879" s="1260">
        <v>1.59250045641199E-2</v>
      </c>
      <c r="Q879" s="1252">
        <v>1.2099303153079499E-2</v>
      </c>
    </row>
    <row r="880" spans="1:17" s="212" customFormat="1" ht="15.5" x14ac:dyDescent="0.35">
      <c r="A880" s="198">
        <v>2030</v>
      </c>
      <c r="B880" s="197" t="s">
        <v>5842</v>
      </c>
      <c r="C880" s="197">
        <v>2026</v>
      </c>
      <c r="D880" s="213" t="str">
        <f t="shared" si="10"/>
        <v>2030_2026</v>
      </c>
      <c r="E880" s="1267">
        <v>6.3584497193459405E-2</v>
      </c>
      <c r="F880" s="1278">
        <v>2.1120891894426301E-3</v>
      </c>
      <c r="G880" s="1248">
        <v>0.148846197439441</v>
      </c>
      <c r="H880" s="1278">
        <v>1.60657950206364E-2</v>
      </c>
      <c r="I880" s="1248">
        <v>1.0393110507258101E-2</v>
      </c>
      <c r="J880" s="1278">
        <v>1.08900849641116E-3</v>
      </c>
      <c r="K880" s="1248">
        <v>3.0000008609815201E-3</v>
      </c>
      <c r="L880" s="1250">
        <v>2.0000005740848301E-3</v>
      </c>
      <c r="M880" s="1275">
        <v>2.0000005740157499E-3</v>
      </c>
      <c r="N880" s="1248">
        <v>3.1850009128239903E-2</v>
      </c>
      <c r="O880" s="1249">
        <v>3.1850009128239903E-2</v>
      </c>
      <c r="P880" s="1260">
        <v>1.59250045641199E-2</v>
      </c>
      <c r="Q880" s="1252">
        <v>1.0863040845651499E-2</v>
      </c>
    </row>
    <row r="881" spans="1:17" s="212" customFormat="1" ht="15.5" x14ac:dyDescent="0.35">
      <c r="A881" s="198">
        <v>2030</v>
      </c>
      <c r="B881" s="197" t="s">
        <v>5842</v>
      </c>
      <c r="C881" s="197">
        <v>2027</v>
      </c>
      <c r="D881" s="213" t="str">
        <f t="shared" ref="D881:D960" si="11">CONCATENATE(A881,"_",C881)</f>
        <v>2030_2027</v>
      </c>
      <c r="E881" s="1267">
        <v>6.1979875514050403E-2</v>
      </c>
      <c r="F881" s="1278">
        <v>2.29186956350355E-3</v>
      </c>
      <c r="G881" s="1248">
        <v>0.140714757623288</v>
      </c>
      <c r="H881" s="1278">
        <v>1.7463589480466502E-2</v>
      </c>
      <c r="I881" s="1248">
        <v>9.1500233282834405E-3</v>
      </c>
      <c r="J881" s="1278">
        <v>1.0891518306020401E-3</v>
      </c>
      <c r="K881" s="1248">
        <v>3.0000008609834998E-3</v>
      </c>
      <c r="L881" s="1250">
        <v>2.0000005740863202E-3</v>
      </c>
      <c r="M881" s="1275">
        <v>2.00000057401775E-3</v>
      </c>
      <c r="N881" s="1248">
        <v>3.1850009128239903E-2</v>
      </c>
      <c r="O881" s="1249">
        <v>3.1850009128239903E-2</v>
      </c>
      <c r="P881" s="1260">
        <v>1.59250045641199E-2</v>
      </c>
      <c r="Q881" s="1252">
        <v>9.5637467805612403E-3</v>
      </c>
    </row>
    <row r="882" spans="1:17" s="212" customFormat="1" ht="15.5" x14ac:dyDescent="0.35">
      <c r="A882" s="198">
        <v>2030</v>
      </c>
      <c r="B882" s="197" t="s">
        <v>5842</v>
      </c>
      <c r="C882" s="197">
        <v>2028</v>
      </c>
      <c r="D882" s="213" t="str">
        <f t="shared" si="11"/>
        <v>2030_2028</v>
      </c>
      <c r="E882" s="1267">
        <v>6.0296343524910298E-2</v>
      </c>
      <c r="F882" s="1278">
        <v>2.5612170324789598E-3</v>
      </c>
      <c r="G882" s="1248">
        <v>0.13218854114485501</v>
      </c>
      <c r="H882" s="1278">
        <v>1.9767711857742998E-2</v>
      </c>
      <c r="I882" s="1248">
        <v>7.8464820835782E-3</v>
      </c>
      <c r="J882" s="1278">
        <v>1.0892972233327201E-3</v>
      </c>
      <c r="K882" s="1248">
        <v>3.0000008609855099E-3</v>
      </c>
      <c r="L882" s="1250">
        <v>2.0000005740878298E-3</v>
      </c>
      <c r="M882" s="1275">
        <v>2.0000005740197701E-3</v>
      </c>
      <c r="N882" s="1248">
        <v>3.1850009128239903E-2</v>
      </c>
      <c r="O882" s="1249">
        <v>3.1850009128239903E-2</v>
      </c>
      <c r="P882" s="1260">
        <v>1.59250045641199E-2</v>
      </c>
      <c r="Q882" s="1252">
        <v>8.2012651851490308E-3</v>
      </c>
    </row>
    <row r="883" spans="1:17" s="212" customFormat="1" ht="15.5" x14ac:dyDescent="0.35">
      <c r="A883" s="198">
        <v>2030</v>
      </c>
      <c r="B883" s="197" t="s">
        <v>5842</v>
      </c>
      <c r="C883" s="197">
        <v>2029</v>
      </c>
      <c r="D883" s="213" t="str">
        <f t="shared" si="11"/>
        <v>2030_2029</v>
      </c>
      <c r="E883" s="1267">
        <v>5.8533499071839197E-2</v>
      </c>
      <c r="F883" s="1278">
        <v>2.8180870406611701E-3</v>
      </c>
      <c r="G883" s="1248">
        <v>0.123266988350949</v>
      </c>
      <c r="H883" s="1278">
        <v>2.1971205991761701E-2</v>
      </c>
      <c r="I883" s="1248">
        <v>6.4823984505288403E-3</v>
      </c>
      <c r="J883" s="1278">
        <v>1.0894437301353999E-3</v>
      </c>
      <c r="K883" s="1248">
        <v>3.00000086098755E-3</v>
      </c>
      <c r="L883" s="1250">
        <v>2.0000005740893499E-3</v>
      </c>
      <c r="M883" s="1275">
        <v>2.0000005740214801E-3</v>
      </c>
      <c r="N883" s="1248">
        <v>3.1850009128239903E-2</v>
      </c>
      <c r="O883" s="1249">
        <v>3.1850009128239903E-2</v>
      </c>
      <c r="P883" s="1260">
        <v>1.59250045641199E-2</v>
      </c>
      <c r="Q883" s="1252">
        <v>6.7755037432446598E-3</v>
      </c>
    </row>
    <row r="884" spans="1:17" s="212" customFormat="1" ht="15.5" x14ac:dyDescent="0.35">
      <c r="A884" s="198">
        <v>2030</v>
      </c>
      <c r="B884" s="197" t="s">
        <v>5842</v>
      </c>
      <c r="C884" s="197">
        <v>2030</v>
      </c>
      <c r="D884" s="213" t="str">
        <f t="shared" si="11"/>
        <v>2030_2030</v>
      </c>
      <c r="E884" s="1267">
        <v>5.6691471024571199E-2</v>
      </c>
      <c r="F884" s="1278">
        <v>2.7444390970411802E-3</v>
      </c>
      <c r="G884" s="1248">
        <v>0.11394995594615499</v>
      </c>
      <c r="H884" s="1278">
        <v>2.0899301208457701E-2</v>
      </c>
      <c r="I884" s="1248">
        <v>5.0577277370250804E-3</v>
      </c>
      <c r="J884" s="1278">
        <v>1.0895915929355301E-3</v>
      </c>
      <c r="K884" s="1248">
        <v>3.00000086098961E-3</v>
      </c>
      <c r="L884" s="1250">
        <v>2.0000005740908899E-3</v>
      </c>
      <c r="M884" s="1275">
        <v>2.00000057402083E-3</v>
      </c>
      <c r="N884" s="1248">
        <v>3.1850009128239903E-2</v>
      </c>
      <c r="O884" s="1249">
        <v>3.1850009128239903E-2</v>
      </c>
      <c r="P884" s="1260">
        <v>1.59250045641199E-2</v>
      </c>
      <c r="Q884" s="1252">
        <v>5.2864157419589101E-3</v>
      </c>
    </row>
    <row r="885" spans="1:17" s="212" customFormat="1" ht="15.5" x14ac:dyDescent="0.35">
      <c r="A885" s="198">
        <v>2030</v>
      </c>
      <c r="B885" s="197" t="s">
        <v>5842</v>
      </c>
      <c r="C885" s="197">
        <v>2031</v>
      </c>
      <c r="D885" s="213" t="str">
        <f t="shared" si="11"/>
        <v>2030_2031</v>
      </c>
      <c r="E885" s="1268">
        <v>5.6691471024571199E-2</v>
      </c>
      <c r="F885" s="1279">
        <v>2.7444390970411802E-3</v>
      </c>
      <c r="G885" s="1255">
        <v>0.11394995594615499</v>
      </c>
      <c r="H885" s="1279">
        <v>2.0899301208457701E-2</v>
      </c>
      <c r="I885" s="1255">
        <v>5.0577277370250804E-3</v>
      </c>
      <c r="J885" s="1279">
        <v>1.0895915929355301E-3</v>
      </c>
      <c r="K885" s="1255">
        <v>3.00000086098961E-3</v>
      </c>
      <c r="L885" s="1253">
        <v>2.0000005740908899E-3</v>
      </c>
      <c r="M885" s="1273">
        <v>2.00000057402083E-3</v>
      </c>
      <c r="N885" s="1255">
        <v>3.1850009128239903E-2</v>
      </c>
      <c r="O885" s="1256">
        <v>3.1850009128239903E-2</v>
      </c>
      <c r="P885" s="1251">
        <v>1.59250045641199E-2</v>
      </c>
      <c r="Q885" s="1254">
        <v>5.2864157419589101E-3</v>
      </c>
    </row>
    <row r="886" spans="1:17" s="212" customFormat="1" ht="15.5" x14ac:dyDescent="0.35">
      <c r="A886" s="198">
        <v>2031</v>
      </c>
      <c r="B886" s="197" t="s">
        <v>5842</v>
      </c>
      <c r="C886" s="197">
        <v>1971</v>
      </c>
      <c r="D886" s="213" t="str">
        <f t="shared" si="11"/>
        <v>2031_1971</v>
      </c>
      <c r="E886" s="1268">
        <v>0.28332444668625401</v>
      </c>
      <c r="F886" s="1279">
        <v>2.01099200195919</v>
      </c>
      <c r="G886" s="1255">
        <v>5.3381855590448497</v>
      </c>
      <c r="H886" s="1279">
        <v>4.5043364846999996</v>
      </c>
      <c r="I886" s="1255">
        <v>0.19295458322954701</v>
      </c>
      <c r="J886" s="1279">
        <v>1.5345637524983E-2</v>
      </c>
      <c r="K886" s="1255">
        <v>3.0000008612093201E-3</v>
      </c>
      <c r="L886" s="1253">
        <v>2.0000005741695002E-3</v>
      </c>
      <c r="M886" s="1273">
        <v>2.0000005741695002E-3</v>
      </c>
      <c r="N886" s="1255">
        <v>3.1850009128239903E-2</v>
      </c>
      <c r="O886" s="1256">
        <v>3.1850009128239903E-2</v>
      </c>
      <c r="P886" s="1251">
        <v>1.5925004564119952E-2</v>
      </c>
      <c r="Q886" s="1254">
        <v>0.201679133259905</v>
      </c>
    </row>
    <row r="887" spans="1:17" s="212" customFormat="1" ht="15.5" x14ac:dyDescent="0.35">
      <c r="A887" s="198">
        <v>2031</v>
      </c>
      <c r="B887" s="197" t="s">
        <v>5842</v>
      </c>
      <c r="C887" s="197">
        <v>1972</v>
      </c>
      <c r="D887" s="213" t="str">
        <f t="shared" si="11"/>
        <v>2031_1972</v>
      </c>
      <c r="E887" s="1268">
        <v>0.28332444668625401</v>
      </c>
      <c r="F887" s="1279">
        <v>2.01099200195919</v>
      </c>
      <c r="G887" s="1255">
        <v>5.3381855590448497</v>
      </c>
      <c r="H887" s="1279">
        <v>4.5043364846999996</v>
      </c>
      <c r="I887" s="1255">
        <v>0.19295458322954701</v>
      </c>
      <c r="J887" s="1279">
        <v>1.5345637524983E-2</v>
      </c>
      <c r="K887" s="1255">
        <v>3.0000008612093201E-3</v>
      </c>
      <c r="L887" s="1253">
        <v>2.0000005741695002E-3</v>
      </c>
      <c r="M887" s="1273">
        <v>2.0000005741695002E-3</v>
      </c>
      <c r="N887" s="1255">
        <v>3.1850009128239903E-2</v>
      </c>
      <c r="O887" s="1256">
        <v>3.1850009128239903E-2</v>
      </c>
      <c r="P887" s="1251">
        <v>1.5925004564119952E-2</v>
      </c>
      <c r="Q887" s="1254">
        <v>0.201679133259905</v>
      </c>
    </row>
    <row r="888" spans="1:17" s="212" customFormat="1" ht="15.5" x14ac:dyDescent="0.35">
      <c r="A888" s="198">
        <v>2031</v>
      </c>
      <c r="B888" s="197" t="s">
        <v>5842</v>
      </c>
      <c r="C888" s="197">
        <v>1973</v>
      </c>
      <c r="D888" s="213" t="str">
        <f t="shared" si="11"/>
        <v>2031_1973</v>
      </c>
      <c r="E888" s="1268">
        <v>0.28332444668625401</v>
      </c>
      <c r="F888" s="1279">
        <v>2.01099200195919</v>
      </c>
      <c r="G888" s="1255">
        <v>5.3381855590448497</v>
      </c>
      <c r="H888" s="1279">
        <v>4.5043364846999996</v>
      </c>
      <c r="I888" s="1255">
        <v>0.19295458322954701</v>
      </c>
      <c r="J888" s="1279">
        <v>1.5345637524983E-2</v>
      </c>
      <c r="K888" s="1255">
        <v>3.0000008612093201E-3</v>
      </c>
      <c r="L888" s="1253">
        <v>2.0000005741695002E-3</v>
      </c>
      <c r="M888" s="1273">
        <v>2.0000005741695002E-3</v>
      </c>
      <c r="N888" s="1255">
        <v>3.1850009128239903E-2</v>
      </c>
      <c r="O888" s="1256">
        <v>3.1850009128239903E-2</v>
      </c>
      <c r="P888" s="1251">
        <v>1.5925004564119952E-2</v>
      </c>
      <c r="Q888" s="1254">
        <v>0.201679133259905</v>
      </c>
    </row>
    <row r="889" spans="1:17" s="212" customFormat="1" ht="15.5" x14ac:dyDescent="0.35">
      <c r="A889" s="198">
        <v>2031</v>
      </c>
      <c r="B889" s="197" t="s">
        <v>5842</v>
      </c>
      <c r="C889" s="197">
        <v>1974</v>
      </c>
      <c r="D889" s="213" t="str">
        <f t="shared" si="11"/>
        <v>2031_1974</v>
      </c>
      <c r="E889" s="1268">
        <v>0.28332444668625401</v>
      </c>
      <c r="F889" s="1279">
        <v>2.01099200195919</v>
      </c>
      <c r="G889" s="1255">
        <v>5.3381855590448497</v>
      </c>
      <c r="H889" s="1279">
        <v>4.5043364846999996</v>
      </c>
      <c r="I889" s="1255">
        <v>0.19295458322954701</v>
      </c>
      <c r="J889" s="1279">
        <v>1.5345637524983E-2</v>
      </c>
      <c r="K889" s="1255">
        <v>3.0000008612093201E-3</v>
      </c>
      <c r="L889" s="1253">
        <v>2.0000005741695002E-3</v>
      </c>
      <c r="M889" s="1273">
        <v>2.0000005741695002E-3</v>
      </c>
      <c r="N889" s="1255">
        <v>3.1850009128239903E-2</v>
      </c>
      <c r="O889" s="1256">
        <v>3.1850009128239903E-2</v>
      </c>
      <c r="P889" s="1251">
        <v>1.5925004564119952E-2</v>
      </c>
      <c r="Q889" s="1254">
        <v>0.201679133259905</v>
      </c>
    </row>
    <row r="890" spans="1:17" s="212" customFormat="1" ht="15.5" x14ac:dyDescent="0.35">
      <c r="A890" s="198">
        <v>2031</v>
      </c>
      <c r="B890" s="197" t="s">
        <v>5842</v>
      </c>
      <c r="C890" s="197">
        <v>1975</v>
      </c>
      <c r="D890" s="213" t="str">
        <f t="shared" si="11"/>
        <v>2031_1975</v>
      </c>
      <c r="E890" s="1268">
        <v>0.28332444668625401</v>
      </c>
      <c r="F890" s="1279">
        <v>2.01099200195919</v>
      </c>
      <c r="G890" s="1255">
        <v>5.3381855590448497</v>
      </c>
      <c r="H890" s="1279">
        <v>4.5043364846999996</v>
      </c>
      <c r="I890" s="1255">
        <v>0.19295458322954701</v>
      </c>
      <c r="J890" s="1279">
        <v>1.5345637524983E-2</v>
      </c>
      <c r="K890" s="1255">
        <v>3.0000008612093201E-3</v>
      </c>
      <c r="L890" s="1253">
        <v>2.0000005741695002E-3</v>
      </c>
      <c r="M890" s="1273">
        <v>2.0000005741695002E-3</v>
      </c>
      <c r="N890" s="1255">
        <v>3.1850009128239903E-2</v>
      </c>
      <c r="O890" s="1256">
        <v>3.1850009128239903E-2</v>
      </c>
      <c r="P890" s="1251">
        <v>1.5925004564119952E-2</v>
      </c>
      <c r="Q890" s="1254">
        <v>0.201679133259905</v>
      </c>
    </row>
    <row r="891" spans="1:17" s="212" customFormat="1" ht="15.5" x14ac:dyDescent="0.35">
      <c r="A891" s="198">
        <v>2031</v>
      </c>
      <c r="B891" s="197" t="s">
        <v>5842</v>
      </c>
      <c r="C891" s="197">
        <v>1976</v>
      </c>
      <c r="D891" s="213" t="str">
        <f t="shared" si="11"/>
        <v>2031_1976</v>
      </c>
      <c r="E891" s="1268">
        <v>0.28332444668625401</v>
      </c>
      <c r="F891" s="1279">
        <v>2.01099200195919</v>
      </c>
      <c r="G891" s="1255">
        <v>5.3381855590448497</v>
      </c>
      <c r="H891" s="1279">
        <v>4.5043364846999996</v>
      </c>
      <c r="I891" s="1255">
        <v>0.19295458322954701</v>
      </c>
      <c r="J891" s="1279">
        <v>1.5345637524983E-2</v>
      </c>
      <c r="K891" s="1255">
        <v>3.0000008612093201E-3</v>
      </c>
      <c r="L891" s="1253">
        <v>2.0000005741695002E-3</v>
      </c>
      <c r="M891" s="1273">
        <v>2.0000005741695002E-3</v>
      </c>
      <c r="N891" s="1255">
        <v>3.1850009128239903E-2</v>
      </c>
      <c r="O891" s="1256">
        <v>3.1850009128239903E-2</v>
      </c>
      <c r="P891" s="1251">
        <v>1.5925004564119952E-2</v>
      </c>
      <c r="Q891" s="1254">
        <v>0.201679133259905</v>
      </c>
    </row>
    <row r="892" spans="1:17" s="212" customFormat="1" ht="15.5" x14ac:dyDescent="0.35">
      <c r="A892" s="198">
        <v>2031</v>
      </c>
      <c r="B892" s="197" t="s">
        <v>5842</v>
      </c>
      <c r="C892" s="197">
        <v>1977</v>
      </c>
      <c r="D892" s="213" t="str">
        <f t="shared" si="11"/>
        <v>2031_1977</v>
      </c>
      <c r="E892" s="1268">
        <v>0.28332444668625401</v>
      </c>
      <c r="F892" s="1279">
        <v>2.01099200195919</v>
      </c>
      <c r="G892" s="1255">
        <v>5.3381855590448497</v>
      </c>
      <c r="H892" s="1279">
        <v>4.5043364846999996</v>
      </c>
      <c r="I892" s="1255">
        <v>0.19295458322954701</v>
      </c>
      <c r="J892" s="1279">
        <v>1.5345637524983E-2</v>
      </c>
      <c r="K892" s="1255">
        <v>3.0000008612093201E-3</v>
      </c>
      <c r="L892" s="1253">
        <v>2.0000005741695002E-3</v>
      </c>
      <c r="M892" s="1273">
        <v>2.0000005741695002E-3</v>
      </c>
      <c r="N892" s="1255">
        <v>3.1850009128239903E-2</v>
      </c>
      <c r="O892" s="1256">
        <v>3.1850009128239903E-2</v>
      </c>
      <c r="P892" s="1251">
        <v>1.5925004564119952E-2</v>
      </c>
      <c r="Q892" s="1254">
        <v>0.201679133259905</v>
      </c>
    </row>
    <row r="893" spans="1:17" s="212" customFormat="1" ht="15.5" x14ac:dyDescent="0.35">
      <c r="A893" s="198">
        <v>2031</v>
      </c>
      <c r="B893" s="197" t="s">
        <v>5842</v>
      </c>
      <c r="C893" s="197">
        <v>1978</v>
      </c>
      <c r="D893" s="213" t="str">
        <f t="shared" si="11"/>
        <v>2031_1978</v>
      </c>
      <c r="E893" s="1268">
        <v>0.28332444668625401</v>
      </c>
      <c r="F893" s="1279">
        <v>2.01099200195919</v>
      </c>
      <c r="G893" s="1255">
        <v>5.3381855590448497</v>
      </c>
      <c r="H893" s="1279">
        <v>4.5043364846999996</v>
      </c>
      <c r="I893" s="1255">
        <v>0.19295458322954701</v>
      </c>
      <c r="J893" s="1279">
        <v>1.5345637524983E-2</v>
      </c>
      <c r="K893" s="1255">
        <v>3.0000008612093201E-3</v>
      </c>
      <c r="L893" s="1253">
        <v>2.0000005741695002E-3</v>
      </c>
      <c r="M893" s="1273">
        <v>2.0000005741695002E-3</v>
      </c>
      <c r="N893" s="1255">
        <v>3.1850009128239903E-2</v>
      </c>
      <c r="O893" s="1256">
        <v>3.1850009128239903E-2</v>
      </c>
      <c r="P893" s="1251">
        <v>1.5925004564119952E-2</v>
      </c>
      <c r="Q893" s="1254">
        <v>0.201679133259905</v>
      </c>
    </row>
    <row r="894" spans="1:17" s="212" customFormat="1" ht="15.5" x14ac:dyDescent="0.35">
      <c r="A894" s="198">
        <v>2031</v>
      </c>
      <c r="B894" s="197" t="s">
        <v>5842</v>
      </c>
      <c r="C894" s="197">
        <v>1979</v>
      </c>
      <c r="D894" s="213" t="str">
        <f t="shared" si="11"/>
        <v>2031_1979</v>
      </c>
      <c r="E894" s="1268">
        <v>0.28332444668625401</v>
      </c>
      <c r="F894" s="1279">
        <v>2.01099200195919</v>
      </c>
      <c r="G894" s="1255">
        <v>5.3381855590448497</v>
      </c>
      <c r="H894" s="1279">
        <v>4.5043364846999996</v>
      </c>
      <c r="I894" s="1255">
        <v>0.19295458322954701</v>
      </c>
      <c r="J894" s="1279">
        <v>1.5345637524983E-2</v>
      </c>
      <c r="K894" s="1255">
        <v>3.0000008612093201E-3</v>
      </c>
      <c r="L894" s="1253">
        <v>2.0000005741695002E-3</v>
      </c>
      <c r="M894" s="1273">
        <v>2.0000005741695002E-3</v>
      </c>
      <c r="N894" s="1255">
        <v>3.1850009128239903E-2</v>
      </c>
      <c r="O894" s="1256">
        <v>3.1850009128239903E-2</v>
      </c>
      <c r="P894" s="1251">
        <v>1.5925004564119952E-2</v>
      </c>
      <c r="Q894" s="1254">
        <v>0.201679133259905</v>
      </c>
    </row>
    <row r="895" spans="1:17" s="212" customFormat="1" ht="15.5" x14ac:dyDescent="0.35">
      <c r="A895" s="198">
        <v>2031</v>
      </c>
      <c r="B895" s="197" t="s">
        <v>5842</v>
      </c>
      <c r="C895" s="197">
        <v>1980</v>
      </c>
      <c r="D895" s="213" t="str">
        <f t="shared" si="11"/>
        <v>2031_1980</v>
      </c>
      <c r="E895" s="1268">
        <v>0.28332444668625401</v>
      </c>
      <c r="F895" s="1279">
        <v>2.01099200195919</v>
      </c>
      <c r="G895" s="1255">
        <v>5.3381855590448497</v>
      </c>
      <c r="H895" s="1279">
        <v>4.5043364846999996</v>
      </c>
      <c r="I895" s="1255">
        <v>0.19295458322954701</v>
      </c>
      <c r="J895" s="1279">
        <v>1.5345637524983E-2</v>
      </c>
      <c r="K895" s="1255">
        <v>3.0000008612093201E-3</v>
      </c>
      <c r="L895" s="1253">
        <v>2.0000005741695002E-3</v>
      </c>
      <c r="M895" s="1273">
        <v>2.0000005741695002E-3</v>
      </c>
      <c r="N895" s="1255">
        <v>3.1850009128239903E-2</v>
      </c>
      <c r="O895" s="1256">
        <v>3.1850009128239903E-2</v>
      </c>
      <c r="P895" s="1251">
        <v>1.5925004564119952E-2</v>
      </c>
      <c r="Q895" s="1254">
        <v>0.201679133259905</v>
      </c>
    </row>
    <row r="896" spans="1:17" s="212" customFormat="1" ht="15.5" x14ac:dyDescent="0.35">
      <c r="A896" s="198">
        <v>2031</v>
      </c>
      <c r="B896" s="197" t="s">
        <v>5842</v>
      </c>
      <c r="C896" s="197">
        <v>1981</v>
      </c>
      <c r="D896" s="213" t="str">
        <f t="shared" si="11"/>
        <v>2031_1981</v>
      </c>
      <c r="E896" s="1268">
        <v>0.28332444668625401</v>
      </c>
      <c r="F896" s="1279">
        <v>2.01099200195919</v>
      </c>
      <c r="G896" s="1255">
        <v>5.3381855590448497</v>
      </c>
      <c r="H896" s="1279">
        <v>4.5043364846999996</v>
      </c>
      <c r="I896" s="1255">
        <v>0.19295458322954701</v>
      </c>
      <c r="J896" s="1279">
        <v>1.5345637524983E-2</v>
      </c>
      <c r="K896" s="1255">
        <v>3.0000008612093201E-3</v>
      </c>
      <c r="L896" s="1253">
        <v>2.0000005741695002E-3</v>
      </c>
      <c r="M896" s="1273">
        <v>2.0000005741695002E-3</v>
      </c>
      <c r="N896" s="1255">
        <v>3.1850009128239903E-2</v>
      </c>
      <c r="O896" s="1256">
        <v>3.1850009128239903E-2</v>
      </c>
      <c r="P896" s="1251">
        <v>1.5925004564119952E-2</v>
      </c>
      <c r="Q896" s="1254">
        <v>0.201679133259905</v>
      </c>
    </row>
    <row r="897" spans="1:17" s="212" customFormat="1" ht="15.5" x14ac:dyDescent="0.35">
      <c r="A897" s="198">
        <v>2031</v>
      </c>
      <c r="B897" s="197" t="s">
        <v>5842</v>
      </c>
      <c r="C897" s="197">
        <v>1982</v>
      </c>
      <c r="D897" s="213" t="str">
        <f t="shared" si="11"/>
        <v>2031_1982</v>
      </c>
      <c r="E897" s="1268">
        <v>0.28332444668625401</v>
      </c>
      <c r="F897" s="1279">
        <v>2.01099200195919</v>
      </c>
      <c r="G897" s="1255">
        <v>5.3381855590448497</v>
      </c>
      <c r="H897" s="1279">
        <v>4.5043364846999996</v>
      </c>
      <c r="I897" s="1255">
        <v>0.19295458322954701</v>
      </c>
      <c r="J897" s="1279">
        <v>1.5345637524983E-2</v>
      </c>
      <c r="K897" s="1255">
        <v>3.0000008612093201E-3</v>
      </c>
      <c r="L897" s="1253">
        <v>2.0000005741695002E-3</v>
      </c>
      <c r="M897" s="1273">
        <v>2.0000005741695002E-3</v>
      </c>
      <c r="N897" s="1255">
        <v>3.1850009128239903E-2</v>
      </c>
      <c r="O897" s="1256">
        <v>3.1850009128239903E-2</v>
      </c>
      <c r="P897" s="1251">
        <v>1.5925004564119952E-2</v>
      </c>
      <c r="Q897" s="1254">
        <v>0.201679133259905</v>
      </c>
    </row>
    <row r="898" spans="1:17" s="212" customFormat="1" ht="15.5" x14ac:dyDescent="0.35">
      <c r="A898" s="198">
        <v>2031</v>
      </c>
      <c r="B898" s="197" t="s">
        <v>5842</v>
      </c>
      <c r="C898" s="197">
        <v>1983</v>
      </c>
      <c r="D898" s="213" t="str">
        <f t="shared" si="11"/>
        <v>2031_1983</v>
      </c>
      <c r="E898" s="1268">
        <v>0.28332444668625401</v>
      </c>
      <c r="F898" s="1279">
        <v>2.01099200195919</v>
      </c>
      <c r="G898" s="1255">
        <v>5.3381855590448497</v>
      </c>
      <c r="H898" s="1279">
        <v>4.5043364846999996</v>
      </c>
      <c r="I898" s="1255">
        <v>0.19295458322954701</v>
      </c>
      <c r="J898" s="1279">
        <v>1.5345637524983E-2</v>
      </c>
      <c r="K898" s="1255">
        <v>3.0000008612093201E-3</v>
      </c>
      <c r="L898" s="1253">
        <v>2.0000005741695002E-3</v>
      </c>
      <c r="M898" s="1273">
        <v>2.0000005741695002E-3</v>
      </c>
      <c r="N898" s="1255">
        <v>3.1850009128239903E-2</v>
      </c>
      <c r="O898" s="1256">
        <v>3.1850009128239903E-2</v>
      </c>
      <c r="P898" s="1251">
        <v>1.5925004564119952E-2</v>
      </c>
      <c r="Q898" s="1254">
        <v>0.201679133259905</v>
      </c>
    </row>
    <row r="899" spans="1:17" s="212" customFormat="1" ht="15.5" x14ac:dyDescent="0.35">
      <c r="A899" s="198">
        <v>2031</v>
      </c>
      <c r="B899" s="197" t="s">
        <v>5842</v>
      </c>
      <c r="C899" s="197">
        <v>1984</v>
      </c>
      <c r="D899" s="213" t="str">
        <f t="shared" si="11"/>
        <v>2031_1984</v>
      </c>
      <c r="E899" s="1268">
        <v>0.28332444668625401</v>
      </c>
      <c r="F899" s="1279">
        <v>2.01099200195919</v>
      </c>
      <c r="G899" s="1255">
        <v>5.3381855590448497</v>
      </c>
      <c r="H899" s="1279">
        <v>4.5043364846999996</v>
      </c>
      <c r="I899" s="1255">
        <v>0.19295458322954701</v>
      </c>
      <c r="J899" s="1279">
        <v>1.5345637524983E-2</v>
      </c>
      <c r="K899" s="1255">
        <v>3.0000008612093201E-3</v>
      </c>
      <c r="L899" s="1253">
        <v>2.0000005741695002E-3</v>
      </c>
      <c r="M899" s="1273">
        <v>2.0000005741695002E-3</v>
      </c>
      <c r="N899" s="1255">
        <v>3.1850009128239903E-2</v>
      </c>
      <c r="O899" s="1256">
        <v>3.1850009128239903E-2</v>
      </c>
      <c r="P899" s="1251">
        <v>1.5925004564119952E-2</v>
      </c>
      <c r="Q899" s="1254">
        <v>0.201679133259905</v>
      </c>
    </row>
    <row r="900" spans="1:17" s="212" customFormat="1" ht="15.5" x14ac:dyDescent="0.35">
      <c r="A900" s="198">
        <v>2031</v>
      </c>
      <c r="B900" s="197" t="s">
        <v>5842</v>
      </c>
      <c r="C900" s="197">
        <v>1985</v>
      </c>
      <c r="D900" s="213" t="str">
        <f t="shared" si="11"/>
        <v>2031_1985</v>
      </c>
      <c r="E900" s="1268">
        <v>0.28332444668625401</v>
      </c>
      <c r="F900" s="1279">
        <v>2.01099200195919</v>
      </c>
      <c r="G900" s="1255">
        <v>5.3381855590448497</v>
      </c>
      <c r="H900" s="1279">
        <v>4.5043364846999996</v>
      </c>
      <c r="I900" s="1255">
        <v>0.19295458322954701</v>
      </c>
      <c r="J900" s="1279">
        <v>1.5345637524983E-2</v>
      </c>
      <c r="K900" s="1255">
        <v>3.0000008612093201E-3</v>
      </c>
      <c r="L900" s="1253">
        <v>2.0000005741695002E-3</v>
      </c>
      <c r="M900" s="1273">
        <v>2.0000005741695002E-3</v>
      </c>
      <c r="N900" s="1255">
        <v>3.1850009128239903E-2</v>
      </c>
      <c r="O900" s="1256">
        <v>3.1850009128239903E-2</v>
      </c>
      <c r="P900" s="1251">
        <v>1.5925004564119952E-2</v>
      </c>
      <c r="Q900" s="1254">
        <v>0.201679133259905</v>
      </c>
    </row>
    <row r="901" spans="1:17" s="212" customFormat="1" ht="15.5" x14ac:dyDescent="0.35">
      <c r="A901" s="198">
        <v>2031</v>
      </c>
      <c r="B901" s="197" t="s">
        <v>5842</v>
      </c>
      <c r="C901" s="197">
        <v>1986</v>
      </c>
      <c r="D901" s="213" t="str">
        <f t="shared" si="11"/>
        <v>2031_1986</v>
      </c>
      <c r="E901" s="1268">
        <v>0.28332444668625401</v>
      </c>
      <c r="F901" s="1279">
        <v>2.01099200195919</v>
      </c>
      <c r="G901" s="1255">
        <v>5.3381855590448497</v>
      </c>
      <c r="H901" s="1279">
        <v>4.5043364846999996</v>
      </c>
      <c r="I901" s="1255">
        <v>0.19295458322954701</v>
      </c>
      <c r="J901" s="1279">
        <v>1.5345637524983E-2</v>
      </c>
      <c r="K901" s="1255">
        <v>3.0000008612093201E-3</v>
      </c>
      <c r="L901" s="1253">
        <v>2.0000005741695002E-3</v>
      </c>
      <c r="M901" s="1273">
        <v>2.0000005741695002E-3</v>
      </c>
      <c r="N901" s="1255">
        <v>3.1850009128239903E-2</v>
      </c>
      <c r="O901" s="1256">
        <v>3.1850009128239903E-2</v>
      </c>
      <c r="P901" s="1251">
        <v>1.5925004564119952E-2</v>
      </c>
      <c r="Q901" s="1254">
        <v>0.201679133259905</v>
      </c>
    </row>
    <row r="902" spans="1:17" s="212" customFormat="1" ht="15.5" x14ac:dyDescent="0.35">
      <c r="A902" s="198">
        <v>2031</v>
      </c>
      <c r="B902" s="197" t="s">
        <v>5842</v>
      </c>
      <c r="C902" s="197">
        <v>1987</v>
      </c>
      <c r="D902" s="213" t="str">
        <f t="shared" si="11"/>
        <v>2031_1987</v>
      </c>
      <c r="E902" s="1267">
        <v>0.28332444668625401</v>
      </c>
      <c r="F902" s="1278">
        <v>2.01099200195919</v>
      </c>
      <c r="G902" s="1248">
        <v>5.3381855590448497</v>
      </c>
      <c r="H902" s="1278">
        <v>4.5043364846999996</v>
      </c>
      <c r="I902" s="1248">
        <v>0.19295458322954701</v>
      </c>
      <c r="J902" s="1278">
        <v>1.5345637524983E-2</v>
      </c>
      <c r="K902" s="1248">
        <v>3.0000008612093201E-3</v>
      </c>
      <c r="L902" s="1250">
        <v>2.0000005741695002E-3</v>
      </c>
      <c r="M902" s="1273">
        <v>2.0000005741695002E-3</v>
      </c>
      <c r="N902" s="1248">
        <v>3.1850009128239903E-2</v>
      </c>
      <c r="O902" s="1249">
        <v>3.1850009128239903E-2</v>
      </c>
      <c r="P902" s="1251">
        <v>1.5925004564119952E-2</v>
      </c>
      <c r="Q902" s="1252">
        <v>0.201679133259905</v>
      </c>
    </row>
    <row r="903" spans="1:17" s="212" customFormat="1" ht="15.5" x14ac:dyDescent="0.35">
      <c r="A903" s="198">
        <v>2031</v>
      </c>
      <c r="B903" s="197" t="s">
        <v>5842</v>
      </c>
      <c r="C903" s="197">
        <v>1988</v>
      </c>
      <c r="D903" s="213" t="str">
        <f t="shared" si="11"/>
        <v>2031_1988</v>
      </c>
      <c r="E903" s="1267">
        <v>0.27858430840853698</v>
      </c>
      <c r="F903" s="1278">
        <v>0.48460341413969699</v>
      </c>
      <c r="G903" s="1248">
        <v>5.3794393055792504</v>
      </c>
      <c r="H903" s="1278">
        <v>1.2152252088675799</v>
      </c>
      <c r="I903" s="1248">
        <v>0.18972637113375099</v>
      </c>
      <c r="J903" s="1278">
        <v>1.3751556225334E-2</v>
      </c>
      <c r="K903" s="1248">
        <v>3.0000008610334599E-3</v>
      </c>
      <c r="L903" s="1250">
        <v>2.0000005741515098E-3</v>
      </c>
      <c r="M903" s="1273">
        <v>2.0000005741515098E-3</v>
      </c>
      <c r="N903" s="1248">
        <v>3.1850009128239903E-2</v>
      </c>
      <c r="O903" s="1249">
        <v>3.1850009128239903E-2</v>
      </c>
      <c r="P903" s="1251">
        <v>1.5925004564119952E-2</v>
      </c>
      <c r="Q903" s="1252">
        <v>0.19830495573811599</v>
      </c>
    </row>
    <row r="904" spans="1:17" s="212" customFormat="1" ht="15.5" x14ac:dyDescent="0.35">
      <c r="A904" s="198">
        <v>2031</v>
      </c>
      <c r="B904" s="197" t="s">
        <v>5842</v>
      </c>
      <c r="C904" s="197">
        <v>1989</v>
      </c>
      <c r="D904" s="213" t="str">
        <f t="shared" si="11"/>
        <v>2031_1989</v>
      </c>
      <c r="E904" s="1267">
        <v>0.27997486735853899</v>
      </c>
      <c r="F904" s="1278">
        <v>0.328133505265232</v>
      </c>
      <c r="G904" s="1248">
        <v>5.3774516228557703</v>
      </c>
      <c r="H904" s="1278">
        <v>1.64295556369879</v>
      </c>
      <c r="I904" s="1248">
        <v>0.19067339397555599</v>
      </c>
      <c r="J904" s="1278">
        <v>1.3433331292211E-2</v>
      </c>
      <c r="K904" s="1248">
        <v>3.0000008611561001E-3</v>
      </c>
      <c r="L904" s="1250">
        <v>2.00000057407697E-3</v>
      </c>
      <c r="M904" s="1273">
        <v>2.00000057407697E-3</v>
      </c>
      <c r="N904" s="1248">
        <v>3.1850009128239903E-2</v>
      </c>
      <c r="O904" s="1249">
        <v>3.1850009128239903E-2</v>
      </c>
      <c r="P904" s="1251">
        <v>1.5925004564119952E-2</v>
      </c>
      <c r="Q904" s="1252">
        <v>0.19929479875047601</v>
      </c>
    </row>
    <row r="905" spans="1:17" s="212" customFormat="1" ht="15.5" x14ac:dyDescent="0.35">
      <c r="A905" s="198">
        <v>2031</v>
      </c>
      <c r="B905" s="197" t="s">
        <v>5842</v>
      </c>
      <c r="C905" s="197">
        <v>1990</v>
      </c>
      <c r="D905" s="213" t="str">
        <f t="shared" si="11"/>
        <v>2031_1990</v>
      </c>
      <c r="E905" s="1267">
        <v>0.28071254156391601</v>
      </c>
      <c r="F905" s="1278">
        <v>0.44719179297085498</v>
      </c>
      <c r="G905" s="1248">
        <v>5.3715005337968904</v>
      </c>
      <c r="H905" s="1278">
        <v>1.6625078641244999</v>
      </c>
      <c r="I905" s="1248">
        <v>0.191175777799199</v>
      </c>
      <c r="J905" s="1278">
        <v>1.39867710401254E-2</v>
      </c>
      <c r="K905" s="1248">
        <v>3.0000008611404199E-3</v>
      </c>
      <c r="L905" s="1250">
        <v>2.00000057421166E-3</v>
      </c>
      <c r="M905" s="1273">
        <v>2.00000057421166E-3</v>
      </c>
      <c r="N905" s="1248">
        <v>3.1850009128239903E-2</v>
      </c>
      <c r="O905" s="1249">
        <v>3.1850009128239903E-2</v>
      </c>
      <c r="P905" s="1251">
        <v>1.5925004564119952E-2</v>
      </c>
      <c r="Q905" s="1252">
        <v>0.199819898141329</v>
      </c>
    </row>
    <row r="906" spans="1:17" s="212" customFormat="1" ht="15.5" x14ac:dyDescent="0.35">
      <c r="A906" s="198">
        <v>2031</v>
      </c>
      <c r="B906" s="197" t="s">
        <v>5842</v>
      </c>
      <c r="C906" s="197">
        <v>1991</v>
      </c>
      <c r="D906" s="213" t="str">
        <f t="shared" si="11"/>
        <v>2031_1991</v>
      </c>
      <c r="E906" s="1267">
        <v>0.369120861465357</v>
      </c>
      <c r="F906" s="1278">
        <v>0.46486561023776901</v>
      </c>
      <c r="G906" s="1248">
        <v>9.3419170000312306</v>
      </c>
      <c r="H906" s="1278">
        <v>2.9049145732946302</v>
      </c>
      <c r="I906" s="1248">
        <v>5.2313022080242397E-2</v>
      </c>
      <c r="J906" s="1278">
        <v>7.4615987705656797E-3</v>
      </c>
      <c r="K906" s="1248">
        <v>3.0000008613031799E-3</v>
      </c>
      <c r="L906" s="1250">
        <v>2.00000057407066E-3</v>
      </c>
      <c r="M906" s="1273">
        <v>2.00000057407066E-3</v>
      </c>
      <c r="N906" s="1248">
        <v>3.1850009128239903E-2</v>
      </c>
      <c r="O906" s="1249">
        <v>3.1850009128239903E-2</v>
      </c>
      <c r="P906" s="1251">
        <v>1.5925004564119952E-2</v>
      </c>
      <c r="Q906" s="1252">
        <v>5.4678384803113503E-2</v>
      </c>
    </row>
    <row r="907" spans="1:17" s="212" customFormat="1" ht="15.5" x14ac:dyDescent="0.35">
      <c r="A907" s="198">
        <v>2031</v>
      </c>
      <c r="B907" s="197" t="s">
        <v>5842</v>
      </c>
      <c r="C907" s="197">
        <v>1992</v>
      </c>
      <c r="D907" s="213" t="str">
        <f t="shared" si="11"/>
        <v>2031_1992</v>
      </c>
      <c r="E907" s="1267">
        <v>0.36995229106848698</v>
      </c>
      <c r="F907" s="1278">
        <v>0.46869184255412699</v>
      </c>
      <c r="G907" s="1248">
        <v>9.3326401742298106</v>
      </c>
      <c r="H907" s="1278">
        <v>2.9095367122878302</v>
      </c>
      <c r="I907" s="1248">
        <v>5.2430855017167301E-2</v>
      </c>
      <c r="J907" s="1278">
        <v>7.5526600118597199E-3</v>
      </c>
      <c r="K907" s="1248">
        <v>3.0000008612845199E-3</v>
      </c>
      <c r="L907" s="1250">
        <v>2.0000005741428999E-3</v>
      </c>
      <c r="M907" s="1273">
        <v>2.0000005741428999E-3</v>
      </c>
      <c r="N907" s="1248">
        <v>3.1850009128239903E-2</v>
      </c>
      <c r="O907" s="1249">
        <v>3.1850009128239903E-2</v>
      </c>
      <c r="P907" s="1251">
        <v>1.5925004564119952E-2</v>
      </c>
      <c r="Q907" s="1252">
        <v>5.4801545622570197E-2</v>
      </c>
    </row>
    <row r="908" spans="1:17" s="212" customFormat="1" ht="15.5" x14ac:dyDescent="0.35">
      <c r="A908" s="198">
        <v>2031</v>
      </c>
      <c r="B908" s="197" t="s">
        <v>5842</v>
      </c>
      <c r="C908" s="197">
        <v>1993</v>
      </c>
      <c r="D908" s="213" t="str">
        <f t="shared" si="11"/>
        <v>2031_1993</v>
      </c>
      <c r="E908" s="1267">
        <v>0.37175552867996797</v>
      </c>
      <c r="F908" s="1278">
        <v>0.45934907310047601</v>
      </c>
      <c r="G908" s="1248">
        <v>9.3003897361930896</v>
      </c>
      <c r="H908" s="1278">
        <v>2.88986051225808</v>
      </c>
      <c r="I908" s="1248">
        <v>5.2686415780140203E-2</v>
      </c>
      <c r="J908" s="1278">
        <v>7.4305587340168797E-3</v>
      </c>
      <c r="K908" s="1248">
        <v>3.00000086134471E-3</v>
      </c>
      <c r="L908" s="1250">
        <v>2.0000005740700602E-3</v>
      </c>
      <c r="M908" s="1273">
        <v>2.0000005740700602E-3</v>
      </c>
      <c r="N908" s="1248">
        <v>3.1850009128239903E-2</v>
      </c>
      <c r="O908" s="1249">
        <v>3.1850009128239903E-2</v>
      </c>
      <c r="P908" s="1251">
        <v>1.5925004564119952E-2</v>
      </c>
      <c r="Q908" s="1252">
        <v>5.5068661709210702E-2</v>
      </c>
    </row>
    <row r="909" spans="1:17" s="212" customFormat="1" ht="15.5" x14ac:dyDescent="0.35">
      <c r="A909" s="198">
        <v>2031</v>
      </c>
      <c r="B909" s="197" t="s">
        <v>5842</v>
      </c>
      <c r="C909" s="197">
        <v>1994</v>
      </c>
      <c r="D909" s="213" t="str">
        <f t="shared" si="11"/>
        <v>2031_1994</v>
      </c>
      <c r="E909" s="1267">
        <v>0.36576994121752798</v>
      </c>
      <c r="F909" s="1278">
        <v>0.45590478571960102</v>
      </c>
      <c r="G909" s="1248">
        <v>9.3932018627476896</v>
      </c>
      <c r="H909" s="1278">
        <v>2.8812931554187999</v>
      </c>
      <c r="I909" s="1248">
        <v>5.23740023730178E-2</v>
      </c>
      <c r="J909" s="1278">
        <v>7.3980206072419598E-3</v>
      </c>
      <c r="K909" s="1248">
        <v>3.0000008612622699E-3</v>
      </c>
      <c r="L909" s="1250">
        <v>2.00000057405712E-3</v>
      </c>
      <c r="M909" s="1273">
        <v>2.00000057405712E-3</v>
      </c>
      <c r="N909" s="1248">
        <v>3.1850009128239903E-2</v>
      </c>
      <c r="O909" s="1249">
        <v>3.1850009128239903E-2</v>
      </c>
      <c r="P909" s="1251">
        <v>1.5925004564119952E-2</v>
      </c>
      <c r="Q909" s="1252">
        <v>5.47421223541322E-2</v>
      </c>
    </row>
    <row r="910" spans="1:17" s="212" customFormat="1" ht="15.5" x14ac:dyDescent="0.35">
      <c r="A910" s="198">
        <v>2031</v>
      </c>
      <c r="B910" s="197" t="s">
        <v>5842</v>
      </c>
      <c r="C910" s="197">
        <v>1995</v>
      </c>
      <c r="D910" s="213" t="str">
        <f t="shared" si="11"/>
        <v>2031_1995</v>
      </c>
      <c r="E910" s="1267">
        <v>0.367896706035997</v>
      </c>
      <c r="F910" s="1278">
        <v>0.24464346678205301</v>
      </c>
      <c r="G910" s="1248">
        <v>9.3787135587442396</v>
      </c>
      <c r="H910" s="1278">
        <v>1.64672299373481</v>
      </c>
      <c r="I910" s="1248">
        <v>5.2678530364789297E-2</v>
      </c>
      <c r="J910" s="1278">
        <v>4.8566206732560098E-3</v>
      </c>
      <c r="K910" s="1248">
        <v>3.0000008612568198E-3</v>
      </c>
      <c r="L910" s="1250">
        <v>2.0000005741244698E-3</v>
      </c>
      <c r="M910" s="1273">
        <v>2.0000005741244698E-3</v>
      </c>
      <c r="N910" s="1248">
        <v>3.1850009128239903E-2</v>
      </c>
      <c r="O910" s="1249">
        <v>3.1850009128239903E-2</v>
      </c>
      <c r="P910" s="1251">
        <v>1.5925004564119952E-2</v>
      </c>
      <c r="Q910" s="1252">
        <v>5.5060419750368697E-2</v>
      </c>
    </row>
    <row r="911" spans="1:17" s="212" customFormat="1" ht="15.5" x14ac:dyDescent="0.35">
      <c r="A911" s="198">
        <v>2031</v>
      </c>
      <c r="B911" s="197" t="s">
        <v>5842</v>
      </c>
      <c r="C911" s="197">
        <v>1996</v>
      </c>
      <c r="D911" s="213" t="str">
        <f t="shared" si="11"/>
        <v>2031_1996</v>
      </c>
      <c r="E911" s="1267">
        <v>0.36932117117452101</v>
      </c>
      <c r="F911" s="1278">
        <v>2.2399517195551399E-2</v>
      </c>
      <c r="G911" s="1248">
        <v>9.3547147434789402</v>
      </c>
      <c r="H911" s="1278">
        <v>0.39335672659325299</v>
      </c>
      <c r="I911" s="1248">
        <v>5.2882497208803302E-2</v>
      </c>
      <c r="J911" s="1278">
        <v>2.1836231371843099E-3</v>
      </c>
      <c r="K911" s="1248">
        <v>3.0000008612912198E-3</v>
      </c>
      <c r="L911" s="1250">
        <v>2.0000005741398698E-3</v>
      </c>
      <c r="M911" s="1273">
        <v>2.0000005741398698E-3</v>
      </c>
      <c r="N911" s="1248">
        <v>3.1850009128239903E-2</v>
      </c>
      <c r="O911" s="1249">
        <v>3.1850009128239903E-2</v>
      </c>
      <c r="P911" s="1251">
        <v>1.5925004564119952E-2</v>
      </c>
      <c r="Q911" s="1252">
        <v>5.5273609069979503E-2</v>
      </c>
    </row>
    <row r="912" spans="1:17" s="212" customFormat="1" ht="15.5" x14ac:dyDescent="0.35">
      <c r="A912" s="198">
        <v>2031</v>
      </c>
      <c r="B912" s="197" t="s">
        <v>5842</v>
      </c>
      <c r="C912" s="197">
        <v>1997</v>
      </c>
      <c r="D912" s="213" t="str">
        <f t="shared" si="11"/>
        <v>2031_1997</v>
      </c>
      <c r="E912" s="1267">
        <v>0.37115187178133202</v>
      </c>
      <c r="F912" s="1278">
        <v>2.1514906356545498E-2</v>
      </c>
      <c r="G912" s="1248">
        <v>9.3103804125813099</v>
      </c>
      <c r="H912" s="1278">
        <v>0.38793199239285697</v>
      </c>
      <c r="I912" s="1248">
        <v>5.31446322481295E-2</v>
      </c>
      <c r="J912" s="1278">
        <v>2.1013701861525799E-3</v>
      </c>
      <c r="K912" s="1248">
        <v>3.00000086129185E-3</v>
      </c>
      <c r="L912" s="1250">
        <v>2.00000057405679E-3</v>
      </c>
      <c r="M912" s="1273">
        <v>2.00000057405679E-3</v>
      </c>
      <c r="N912" s="1248">
        <v>3.1850009128239903E-2</v>
      </c>
      <c r="O912" s="1249">
        <v>3.1850009128239903E-2</v>
      </c>
      <c r="P912" s="1251">
        <v>1.5925004564119952E-2</v>
      </c>
      <c r="Q912" s="1252">
        <v>5.5547596692577098E-2</v>
      </c>
    </row>
    <row r="913" spans="1:17" s="212" customFormat="1" ht="15.5" x14ac:dyDescent="0.35">
      <c r="A913" s="198">
        <v>2031</v>
      </c>
      <c r="B913" s="197" t="s">
        <v>5842</v>
      </c>
      <c r="C913" s="197">
        <v>1998</v>
      </c>
      <c r="D913" s="213" t="str">
        <f t="shared" si="11"/>
        <v>2031_1998</v>
      </c>
      <c r="E913" s="1267">
        <v>0.37271625957082599</v>
      </c>
      <c r="F913" s="1278">
        <v>2.18010976729518E-2</v>
      </c>
      <c r="G913" s="1248">
        <v>9.2981246396606991</v>
      </c>
      <c r="H913" s="1278">
        <v>0.38995605670105299</v>
      </c>
      <c r="I913" s="1248">
        <v>5.3368634388727999E-2</v>
      </c>
      <c r="J913" s="1278">
        <v>2.1321962756357098E-3</v>
      </c>
      <c r="K913" s="1248">
        <v>3.0000008613732501E-3</v>
      </c>
      <c r="L913" s="1250">
        <v>2.0000005740986801E-3</v>
      </c>
      <c r="M913" s="1273">
        <v>2.0000005740986801E-3</v>
      </c>
      <c r="N913" s="1248">
        <v>3.1850009128239903E-2</v>
      </c>
      <c r="O913" s="1249">
        <v>3.1850009128239903E-2</v>
      </c>
      <c r="P913" s="1251">
        <v>1.5925004564119952E-2</v>
      </c>
      <c r="Q913" s="1252">
        <v>5.5781727215978599E-2</v>
      </c>
    </row>
    <row r="914" spans="1:17" s="212" customFormat="1" ht="15.5" x14ac:dyDescent="0.35">
      <c r="A914" s="198">
        <v>2031</v>
      </c>
      <c r="B914" s="197" t="s">
        <v>5842</v>
      </c>
      <c r="C914" s="197">
        <v>1999</v>
      </c>
      <c r="D914" s="213" t="str">
        <f t="shared" si="11"/>
        <v>2031_1999</v>
      </c>
      <c r="E914" s="1267">
        <v>0.37063582970714398</v>
      </c>
      <c r="F914" s="1278">
        <v>2.18499830328534E-2</v>
      </c>
      <c r="G914" s="1248">
        <v>9.32941334609745</v>
      </c>
      <c r="H914" s="1278">
        <v>0.39025562248742601</v>
      </c>
      <c r="I914" s="1248">
        <v>5.3070741023694502E-2</v>
      </c>
      <c r="J914" s="1278">
        <v>2.1322507805238799E-3</v>
      </c>
      <c r="K914" s="1248">
        <v>3.0000008613384902E-3</v>
      </c>
      <c r="L914" s="1250">
        <v>2.0000005741135801E-3</v>
      </c>
      <c r="M914" s="1273">
        <v>2.0000005741135801E-3</v>
      </c>
      <c r="N914" s="1248">
        <v>3.1850009128239903E-2</v>
      </c>
      <c r="O914" s="1249">
        <v>3.1850009128239903E-2</v>
      </c>
      <c r="P914" s="1251">
        <v>1.5925004564119952E-2</v>
      </c>
      <c r="Q914" s="1252">
        <v>5.54703644348606E-2</v>
      </c>
    </row>
    <row r="915" spans="1:17" s="212" customFormat="1" ht="15.5" x14ac:dyDescent="0.35">
      <c r="A915" s="198">
        <v>2031</v>
      </c>
      <c r="B915" s="197" t="s">
        <v>5842</v>
      </c>
      <c r="C915" s="197">
        <v>2000</v>
      </c>
      <c r="D915" s="213" t="str">
        <f t="shared" si="11"/>
        <v>2031_2000</v>
      </c>
      <c r="E915" s="1267">
        <v>0.36691377339968001</v>
      </c>
      <c r="F915" s="1278">
        <v>2.2140292067632499E-2</v>
      </c>
      <c r="G915" s="1248">
        <v>9.4061305608858792</v>
      </c>
      <c r="H915" s="1278">
        <v>0.39278786657297199</v>
      </c>
      <c r="I915" s="1248">
        <v>5.25377858409075E-2</v>
      </c>
      <c r="J915" s="1278">
        <v>2.1638910726823998E-3</v>
      </c>
      <c r="K915" s="1248">
        <v>3.0000008612561602E-3</v>
      </c>
      <c r="L915" s="1250">
        <v>2.0000005741528499E-3</v>
      </c>
      <c r="M915" s="1273">
        <v>2.0000005741528499E-3</v>
      </c>
      <c r="N915" s="1248">
        <v>3.1850009128239903E-2</v>
      </c>
      <c r="O915" s="1249">
        <v>3.1850009128239903E-2</v>
      </c>
      <c r="P915" s="1251">
        <v>1.5925004564119952E-2</v>
      </c>
      <c r="Q915" s="1252">
        <v>5.4913311383661401E-2</v>
      </c>
    </row>
    <row r="916" spans="1:17" s="212" customFormat="1" ht="15.5" x14ac:dyDescent="0.35">
      <c r="A916" s="198">
        <v>2031</v>
      </c>
      <c r="B916" s="197" t="s">
        <v>5842</v>
      </c>
      <c r="C916" s="197">
        <v>2001</v>
      </c>
      <c r="D916" s="213" t="str">
        <f t="shared" si="11"/>
        <v>2031_2001</v>
      </c>
      <c r="E916" s="1267">
        <v>0.37037358195368503</v>
      </c>
      <c r="F916" s="1278">
        <v>2.22288810766521E-2</v>
      </c>
      <c r="G916" s="1248">
        <v>9.3351409522310398</v>
      </c>
      <c r="H916" s="1278">
        <v>0.39407783668636498</v>
      </c>
      <c r="I916" s="1248">
        <v>5.3033190194842199E-2</v>
      </c>
      <c r="J916" s="1278">
        <v>2.1751014357100601E-3</v>
      </c>
      <c r="K916" s="1248">
        <v>3.0000008613368799E-3</v>
      </c>
      <c r="L916" s="1250">
        <v>2.00000057418173E-3</v>
      </c>
      <c r="M916" s="1273">
        <v>2.00000057418173E-3</v>
      </c>
      <c r="N916" s="1248">
        <v>3.1850009128239903E-2</v>
      </c>
      <c r="O916" s="1249">
        <v>3.1850009128239903E-2</v>
      </c>
      <c r="P916" s="1251">
        <v>1.5925004564119952E-2</v>
      </c>
      <c r="Q916" s="1252">
        <v>5.54311157241568E-2</v>
      </c>
    </row>
    <row r="917" spans="1:17" s="212" customFormat="1" ht="15.5" x14ac:dyDescent="0.35">
      <c r="A917" s="198">
        <v>2031</v>
      </c>
      <c r="B917" s="197" t="s">
        <v>5842</v>
      </c>
      <c r="C917" s="197">
        <v>2002</v>
      </c>
      <c r="D917" s="213" t="str">
        <f t="shared" si="11"/>
        <v>2031_2002</v>
      </c>
      <c r="E917" s="1267">
        <v>0.28716124267305199</v>
      </c>
      <c r="F917" s="1278">
        <v>2.2161967375725102E-2</v>
      </c>
      <c r="G917" s="1248">
        <v>7.1937866577707803</v>
      </c>
      <c r="H917" s="1278">
        <v>0.31764729163947503</v>
      </c>
      <c r="I917" s="1248">
        <v>5.3526254921216598E-2</v>
      </c>
      <c r="J917" s="1278">
        <v>2.1725841668949601E-3</v>
      </c>
      <c r="K917" s="1248">
        <v>3.0000008613504602E-3</v>
      </c>
      <c r="L917" s="1250">
        <v>2.0000005741567699E-3</v>
      </c>
      <c r="M917" s="1273">
        <v>2.0000005741567699E-3</v>
      </c>
      <c r="N917" s="1248">
        <v>3.1850009128239903E-2</v>
      </c>
      <c r="O917" s="1249">
        <v>3.1850009128239903E-2</v>
      </c>
      <c r="P917" s="1251">
        <v>1.5925004564119952E-2</v>
      </c>
      <c r="Q917" s="1252">
        <v>5.59464746495155E-2</v>
      </c>
    </row>
    <row r="918" spans="1:17" s="212" customFormat="1" ht="15.5" x14ac:dyDescent="0.35">
      <c r="A918" s="198">
        <v>2031</v>
      </c>
      <c r="B918" s="197" t="s">
        <v>5842</v>
      </c>
      <c r="C918" s="197">
        <v>2003</v>
      </c>
      <c r="D918" s="213" t="str">
        <f t="shared" si="11"/>
        <v>2031_2003</v>
      </c>
      <c r="E918" s="1267">
        <v>0.28462692682010798</v>
      </c>
      <c r="F918" s="1278">
        <v>2.1853278000157399E-2</v>
      </c>
      <c r="G918" s="1248">
        <v>7.23714942843446</v>
      </c>
      <c r="H918" s="1278">
        <v>0.316946586189915</v>
      </c>
      <c r="I918" s="1248">
        <v>5.3053863747767098E-2</v>
      </c>
      <c r="J918" s="1278">
        <v>2.1412761393528601E-3</v>
      </c>
      <c r="K918" s="1248">
        <v>3.0000008612756099E-3</v>
      </c>
      <c r="L918" s="1250">
        <v>2.00000057414254E-3</v>
      </c>
      <c r="M918" s="1273">
        <v>2.00000057414254E-3</v>
      </c>
      <c r="N918" s="1248">
        <v>3.1850009128239903E-2</v>
      </c>
      <c r="O918" s="1249">
        <v>3.1850009128239903E-2</v>
      </c>
      <c r="P918" s="1251">
        <v>1.5925004564119952E-2</v>
      </c>
      <c r="Q918" s="1252">
        <v>5.5452724043407398E-2</v>
      </c>
    </row>
    <row r="919" spans="1:17" s="212" customFormat="1" ht="15.5" x14ac:dyDescent="0.35">
      <c r="A919" s="198">
        <v>2031</v>
      </c>
      <c r="B919" s="197" t="s">
        <v>5842</v>
      </c>
      <c r="C919" s="197">
        <v>2004</v>
      </c>
      <c r="D919" s="213" t="str">
        <f t="shared" si="11"/>
        <v>2031_2004</v>
      </c>
      <c r="E919" s="1267">
        <v>0.57699761993377696</v>
      </c>
      <c r="F919" s="1278">
        <v>1.43067875853217E-2</v>
      </c>
      <c r="G919" s="1248">
        <v>4.1454209601731202</v>
      </c>
      <c r="H919" s="1278">
        <v>0.26803051330531102</v>
      </c>
      <c r="I919" s="1248">
        <v>0.15029740178360401</v>
      </c>
      <c r="J919" s="1278">
        <v>1.3923940905371501E-4</v>
      </c>
      <c r="K919" s="1248">
        <v>3.0000008612704799E-3</v>
      </c>
      <c r="L919" s="1250">
        <v>2.0000005740772402E-3</v>
      </c>
      <c r="M919" s="1273">
        <v>2.0000005740772402E-3</v>
      </c>
      <c r="N919" s="1248">
        <v>3.1850009128239903E-2</v>
      </c>
      <c r="O919" s="1249">
        <v>3.1850009128239903E-2</v>
      </c>
      <c r="P919" s="1251">
        <v>1.5925004564119952E-2</v>
      </c>
      <c r="Q919" s="1252">
        <v>0.15709318335741601</v>
      </c>
    </row>
    <row r="920" spans="1:17" s="212" customFormat="1" ht="15.5" x14ac:dyDescent="0.35">
      <c r="A920" s="198">
        <v>2031</v>
      </c>
      <c r="B920" s="197" t="s">
        <v>5842</v>
      </c>
      <c r="C920" s="197">
        <v>2005</v>
      </c>
      <c r="D920" s="213" t="str">
        <f t="shared" si="11"/>
        <v>2031_2005</v>
      </c>
      <c r="E920" s="1267">
        <v>0.57475305662801701</v>
      </c>
      <c r="F920" s="1278">
        <v>1.4446934217342401E-2</v>
      </c>
      <c r="G920" s="1248">
        <v>4.1382212058194598</v>
      </c>
      <c r="H920" s="1278">
        <v>0.27005292252825702</v>
      </c>
      <c r="I920" s="1248">
        <v>0.14979540452318299</v>
      </c>
      <c r="J920" s="1278">
        <v>1.41161560912938E-4</v>
      </c>
      <c r="K920" s="1248">
        <v>3.0000008612458598E-3</v>
      </c>
      <c r="L920" s="1250">
        <v>2.0000005741157099E-3</v>
      </c>
      <c r="M920" s="1273">
        <v>2.0000005741157099E-3</v>
      </c>
      <c r="N920" s="1248">
        <v>3.1850009128239903E-2</v>
      </c>
      <c r="O920" s="1249">
        <v>3.1850009128239903E-2</v>
      </c>
      <c r="P920" s="1251">
        <v>1.5925004564119952E-2</v>
      </c>
      <c r="Q920" s="1252">
        <v>0.15656848800845799</v>
      </c>
    </row>
    <row r="921" spans="1:17" s="212" customFormat="1" ht="15.5" x14ac:dyDescent="0.35">
      <c r="A921" s="198">
        <v>2031</v>
      </c>
      <c r="B921" s="197" t="s">
        <v>5842</v>
      </c>
      <c r="C921" s="197">
        <v>2006</v>
      </c>
      <c r="D921" s="213" t="str">
        <f t="shared" si="11"/>
        <v>2031_2006</v>
      </c>
      <c r="E921" s="1267">
        <v>0.57107151786166899</v>
      </c>
      <c r="F921" s="1278">
        <v>1.4607343671788E-2</v>
      </c>
      <c r="G921" s="1248">
        <v>4.1255007854178896</v>
      </c>
      <c r="H921" s="1278">
        <v>0.27209153950165599</v>
      </c>
      <c r="I921" s="1248">
        <v>0.148967768122446</v>
      </c>
      <c r="J921" s="1278">
        <v>1.42128235539687E-4</v>
      </c>
      <c r="K921" s="1248">
        <v>3.0000008612322301E-3</v>
      </c>
      <c r="L921" s="1250">
        <v>2.0000005741306298E-3</v>
      </c>
      <c r="M921" s="1273">
        <v>2.0000005741306298E-3</v>
      </c>
      <c r="N921" s="1248">
        <v>3.1850009128239903E-2</v>
      </c>
      <c r="O921" s="1249">
        <v>3.1850009128239903E-2</v>
      </c>
      <c r="P921" s="1251">
        <v>1.5925004564119952E-2</v>
      </c>
      <c r="Q921" s="1252">
        <v>0.15570342956226199</v>
      </c>
    </row>
    <row r="922" spans="1:17" s="212" customFormat="1" ht="15.5" x14ac:dyDescent="0.35">
      <c r="A922" s="198">
        <v>2031</v>
      </c>
      <c r="B922" s="197" t="s">
        <v>5842</v>
      </c>
      <c r="C922" s="197">
        <v>2007</v>
      </c>
      <c r="D922" s="213" t="str">
        <f t="shared" si="11"/>
        <v>2031_2007</v>
      </c>
      <c r="E922" s="1267">
        <v>0.33317349312783101</v>
      </c>
      <c r="F922" s="1278">
        <v>1.45516796477981E-2</v>
      </c>
      <c r="G922" s="1248">
        <v>2.4835392849162301</v>
      </c>
      <c r="H922" s="1278">
        <v>0.27295094484854998</v>
      </c>
      <c r="I922" s="1248">
        <v>8.7489023616077202E-2</v>
      </c>
      <c r="J922" s="1278">
        <v>1.4524126422397199E-4</v>
      </c>
      <c r="K922" s="1248">
        <v>3.0000008612355599E-3</v>
      </c>
      <c r="L922" s="1250">
        <v>2.0000005741857198E-3</v>
      </c>
      <c r="M922" s="1273">
        <v>2.0000005741857198E-3</v>
      </c>
      <c r="N922" s="1248">
        <v>3.1850009128239903E-2</v>
      </c>
      <c r="O922" s="1249">
        <v>3.1850009128239903E-2</v>
      </c>
      <c r="P922" s="1251">
        <v>1.5925004564119952E-2</v>
      </c>
      <c r="Q922" s="1252">
        <v>9.1444889037203797E-2</v>
      </c>
    </row>
    <row r="923" spans="1:17" s="212" customFormat="1" ht="15.5" x14ac:dyDescent="0.35">
      <c r="A923" s="198">
        <v>2031</v>
      </c>
      <c r="B923" s="197" t="s">
        <v>5842</v>
      </c>
      <c r="C923" s="197">
        <v>2008</v>
      </c>
      <c r="D923" s="213" t="str">
        <f t="shared" si="11"/>
        <v>2031_2008</v>
      </c>
      <c r="E923" s="1267">
        <v>0.34018258273163199</v>
      </c>
      <c r="F923" s="1278">
        <v>9.8557057695283397E-3</v>
      </c>
      <c r="G923" s="1248">
        <v>2.5066580037114301</v>
      </c>
      <c r="H923" s="1278">
        <v>0.158040588616602</v>
      </c>
      <c r="I923" s="1248">
        <v>8.8952500162196205E-2</v>
      </c>
      <c r="J923" s="1278">
        <v>1.41429761514015E-4</v>
      </c>
      <c r="K923" s="1248">
        <v>3.00000086132266E-3</v>
      </c>
      <c r="L923" s="1250">
        <v>2.0000005742095602E-3</v>
      </c>
      <c r="M923" s="1273">
        <v>2.0000005742095602E-3</v>
      </c>
      <c r="N923" s="1248">
        <v>3.1850009128239903E-2</v>
      </c>
      <c r="O923" s="1249">
        <v>3.1850009128239903E-2</v>
      </c>
      <c r="P923" s="1251">
        <v>1.5925004564119952E-2</v>
      </c>
      <c r="Q923" s="1252">
        <v>9.2974537498657195E-2</v>
      </c>
    </row>
    <row r="924" spans="1:17" s="212" customFormat="1" ht="15.5" x14ac:dyDescent="0.35">
      <c r="A924" s="198">
        <v>2031</v>
      </c>
      <c r="B924" s="197" t="s">
        <v>5842</v>
      </c>
      <c r="C924" s="197">
        <v>2009</v>
      </c>
      <c r="D924" s="213" t="str">
        <f t="shared" si="11"/>
        <v>2031_2009</v>
      </c>
      <c r="E924" s="1267">
        <v>0.33766191037148402</v>
      </c>
      <c r="F924" s="1278">
        <v>4.7682348909425997E-3</v>
      </c>
      <c r="G924" s="1248">
        <v>2.4998540159526201</v>
      </c>
      <c r="H924" s="1278">
        <v>4.2271172967734097E-2</v>
      </c>
      <c r="I924" s="1248">
        <v>8.8410693284432296E-2</v>
      </c>
      <c r="J924" s="1278">
        <v>1.2999850696677199E-4</v>
      </c>
      <c r="K924" s="1248">
        <v>3.00000086128362E-3</v>
      </c>
      <c r="L924" s="1250">
        <v>2.0000005741533699E-3</v>
      </c>
      <c r="M924" s="1273">
        <v>2.0000005741533699E-3</v>
      </c>
      <c r="N924" s="1248">
        <v>3.1850009128239903E-2</v>
      </c>
      <c r="O924" s="1249">
        <v>3.1850009128239903E-2</v>
      </c>
      <c r="P924" s="1251">
        <v>1.5925004564119952E-2</v>
      </c>
      <c r="Q924" s="1252">
        <v>9.2408232518113295E-2</v>
      </c>
    </row>
    <row r="925" spans="1:17" s="212" customFormat="1" ht="15.5" x14ac:dyDescent="0.35">
      <c r="A925" s="198">
        <v>2031</v>
      </c>
      <c r="B925" s="197" t="s">
        <v>5842</v>
      </c>
      <c r="C925" s="197">
        <v>2010</v>
      </c>
      <c r="D925" s="213" t="str">
        <f t="shared" si="11"/>
        <v>2031_2010</v>
      </c>
      <c r="E925" s="1267">
        <v>8.9931769007705095E-2</v>
      </c>
      <c r="F925" s="1278">
        <v>4.7733902268280804E-3</v>
      </c>
      <c r="G925" s="1248">
        <v>0.81788427016176302</v>
      </c>
      <c r="H925" s="1278">
        <v>4.2145781737928399E-2</v>
      </c>
      <c r="I925" s="1248">
        <v>2.4473873732634401E-2</v>
      </c>
      <c r="J925" s="1278">
        <v>1.5878906295671E-4</v>
      </c>
      <c r="K925" s="1248">
        <v>3.0000008613286699E-3</v>
      </c>
      <c r="L925" s="1250">
        <v>2.0000005741304802E-3</v>
      </c>
      <c r="M925" s="1273">
        <v>2.0000005741304802E-3</v>
      </c>
      <c r="N925" s="1248">
        <v>3.1850009128239903E-2</v>
      </c>
      <c r="O925" s="1249">
        <v>3.1850009128239903E-2</v>
      </c>
      <c r="P925" s="1251">
        <v>1.5925004564119952E-2</v>
      </c>
      <c r="Q925" s="1252">
        <v>2.5580473701617899E-2</v>
      </c>
    </row>
    <row r="926" spans="1:17" s="212" customFormat="1" ht="15.5" x14ac:dyDescent="0.35">
      <c r="A926" s="198">
        <v>2031</v>
      </c>
      <c r="B926" s="197" t="s">
        <v>5842</v>
      </c>
      <c r="C926" s="197">
        <v>2011</v>
      </c>
      <c r="D926" s="213" t="str">
        <f t="shared" si="11"/>
        <v>2031_2011</v>
      </c>
      <c r="E926" s="1267">
        <v>8.8769346241773295E-2</v>
      </c>
      <c r="F926" s="1278">
        <v>4.9365274479778697E-3</v>
      </c>
      <c r="G926" s="1248">
        <v>0.80907152096124901</v>
      </c>
      <c r="H926" s="1278">
        <v>4.1585176051213403E-2</v>
      </c>
      <c r="I926" s="1248">
        <v>2.40723418553213E-2</v>
      </c>
      <c r="J926" s="1278">
        <v>2.17090542815281E-4</v>
      </c>
      <c r="K926" s="1248">
        <v>3.0000008612995599E-3</v>
      </c>
      <c r="L926" s="1250">
        <v>2.00000057423031E-3</v>
      </c>
      <c r="M926" s="1273">
        <v>2.00000057423031E-3</v>
      </c>
      <c r="N926" s="1248">
        <v>3.1850009128239903E-2</v>
      </c>
      <c r="O926" s="1249">
        <v>3.1850009128239903E-2</v>
      </c>
      <c r="P926" s="1251">
        <v>1.5925004564119952E-2</v>
      </c>
      <c r="Q926" s="1252">
        <v>2.5160786334584E-2</v>
      </c>
    </row>
    <row r="927" spans="1:17" s="212" customFormat="1" ht="15.5" x14ac:dyDescent="0.35">
      <c r="A927" s="198">
        <v>2031</v>
      </c>
      <c r="B927" s="197" t="s">
        <v>5842</v>
      </c>
      <c r="C927" s="197">
        <v>2012</v>
      </c>
      <c r="D927" s="213" t="str">
        <f t="shared" si="11"/>
        <v>2031_2012</v>
      </c>
      <c r="E927" s="1267">
        <v>8.9069510539285399E-2</v>
      </c>
      <c r="F927" s="1278">
        <v>4.9077506898088704E-3</v>
      </c>
      <c r="G927" s="1248">
        <v>0.80547395284587298</v>
      </c>
      <c r="H927" s="1278">
        <v>4.1251841666297299E-2</v>
      </c>
      <c r="I927" s="1248">
        <v>2.3894449050203E-2</v>
      </c>
      <c r="J927" s="1278">
        <v>3.1698626574613902E-4</v>
      </c>
      <c r="K927" s="1248">
        <v>3.0000008613580999E-3</v>
      </c>
      <c r="L927" s="1250">
        <v>2.0000005742390899E-3</v>
      </c>
      <c r="M927" s="1273">
        <v>2.0000005742390899E-3</v>
      </c>
      <c r="N927" s="1248">
        <v>3.1850009128239903E-2</v>
      </c>
      <c r="O927" s="1249">
        <v>3.1850009128239903E-2</v>
      </c>
      <c r="P927" s="1251">
        <v>1.5925004564119952E-2</v>
      </c>
      <c r="Q927" s="1252">
        <v>2.49748500062059E-2</v>
      </c>
    </row>
    <row r="928" spans="1:17" s="212" customFormat="1" ht="15.5" x14ac:dyDescent="0.35">
      <c r="A928" s="198">
        <v>2031</v>
      </c>
      <c r="B928" s="197" t="s">
        <v>5842</v>
      </c>
      <c r="C928" s="197">
        <v>2013</v>
      </c>
      <c r="D928" s="213" t="str">
        <f t="shared" si="11"/>
        <v>2031_2013</v>
      </c>
      <c r="E928" s="1267">
        <v>8.8562778681093607E-2</v>
      </c>
      <c r="F928" s="1278">
        <v>4.9459863443344102E-3</v>
      </c>
      <c r="G928" s="1248">
        <v>0.79628710785701196</v>
      </c>
      <c r="H928" s="1278">
        <v>4.0769866619321603E-2</v>
      </c>
      <c r="I928" s="1248">
        <v>2.35039480444851E-2</v>
      </c>
      <c r="J928" s="1278">
        <v>4.7594873039377201E-4</v>
      </c>
      <c r="K928" s="1248">
        <v>3.00000086138205E-3</v>
      </c>
      <c r="L928" s="1250">
        <v>2.0000005742754502E-3</v>
      </c>
      <c r="M928" s="1273">
        <v>2.0000005742754502E-3</v>
      </c>
      <c r="N928" s="1248">
        <v>3.1850009128239903E-2</v>
      </c>
      <c r="O928" s="1249">
        <v>3.1850009128239903E-2</v>
      </c>
      <c r="P928" s="1251">
        <v>1.5925004564119952E-2</v>
      </c>
      <c r="Q928" s="1252">
        <v>2.4566692277831901E-2</v>
      </c>
    </row>
    <row r="929" spans="1:17" s="212" customFormat="1" ht="15.5" x14ac:dyDescent="0.35">
      <c r="A929" s="198">
        <v>2031</v>
      </c>
      <c r="B929" s="197" t="s">
        <v>5842</v>
      </c>
      <c r="C929" s="197">
        <v>2014</v>
      </c>
      <c r="D929" s="213" t="str">
        <f t="shared" si="11"/>
        <v>2031_2014</v>
      </c>
      <c r="E929" s="1267">
        <v>8.6970472448195807E-2</v>
      </c>
      <c r="F929" s="1278">
        <v>4.8241435265300196E-3</v>
      </c>
      <c r="G929" s="1248">
        <v>0.78309844873093004</v>
      </c>
      <c r="H929" s="1278">
        <v>4.0711741978768298E-2</v>
      </c>
      <c r="I929" s="1248">
        <v>2.28880743619383E-2</v>
      </c>
      <c r="J929" s="1278">
        <v>6.6089309564295196E-4</v>
      </c>
      <c r="K929" s="1248">
        <v>3.00000086131853E-3</v>
      </c>
      <c r="L929" s="1250">
        <v>2.00000057423083E-3</v>
      </c>
      <c r="M929" s="1273">
        <v>2.00000057423083E-3</v>
      </c>
      <c r="N929" s="1248">
        <v>3.1850009128239903E-2</v>
      </c>
      <c r="O929" s="1249">
        <v>3.1850009128239903E-2</v>
      </c>
      <c r="P929" s="1251">
        <v>1.5925004564119952E-2</v>
      </c>
      <c r="Q929" s="1252">
        <v>2.3922971520259299E-2</v>
      </c>
    </row>
    <row r="930" spans="1:17" s="212" customFormat="1" ht="15.5" x14ac:dyDescent="0.35">
      <c r="A930" s="198">
        <v>2031</v>
      </c>
      <c r="B930" s="197" t="s">
        <v>5842</v>
      </c>
      <c r="C930" s="197">
        <v>2015</v>
      </c>
      <c r="D930" s="213" t="str">
        <f t="shared" si="11"/>
        <v>2031_2015</v>
      </c>
      <c r="E930" s="1267">
        <v>8.6570306784671799E-2</v>
      </c>
      <c r="F930" s="1278">
        <v>4.9341151319451304E-3</v>
      </c>
      <c r="G930" s="1248">
        <v>0.77348946978950595</v>
      </c>
      <c r="H930" s="1278">
        <v>4.0170263684360698E-2</v>
      </c>
      <c r="I930" s="1248">
        <v>2.24335506854044E-2</v>
      </c>
      <c r="J930" s="1278">
        <v>8.3633149908650503E-4</v>
      </c>
      <c r="K930" s="1248">
        <v>3.0000008613282701E-3</v>
      </c>
      <c r="L930" s="1250">
        <v>2.0000005742657999E-3</v>
      </c>
      <c r="M930" s="1273">
        <v>2.0000005742657999E-3</v>
      </c>
      <c r="N930" s="1248">
        <v>3.1850009128239903E-2</v>
      </c>
      <c r="O930" s="1249">
        <v>3.1850009128239903E-2</v>
      </c>
      <c r="P930" s="1251">
        <v>1.5925004564119952E-2</v>
      </c>
      <c r="Q930" s="1252">
        <v>2.34478962999916E-2</v>
      </c>
    </row>
    <row r="931" spans="1:17" s="212" customFormat="1" ht="15.5" x14ac:dyDescent="0.35">
      <c r="A931" s="198">
        <v>2031</v>
      </c>
      <c r="B931" s="197" t="s">
        <v>5842</v>
      </c>
      <c r="C931" s="197">
        <v>2016</v>
      </c>
      <c r="D931" s="213" t="str">
        <f t="shared" si="11"/>
        <v>2031_2016</v>
      </c>
      <c r="E931" s="1267">
        <v>8.5969581259840097E-2</v>
      </c>
      <c r="F931" s="1278">
        <v>4.5350865938196998E-3</v>
      </c>
      <c r="G931" s="1248">
        <v>0.67352976606049597</v>
      </c>
      <c r="H931" s="1278">
        <v>3.7119409364775299E-2</v>
      </c>
      <c r="I931" s="1248">
        <v>2.1894125205356399E-2</v>
      </c>
      <c r="J931" s="1278">
        <v>9.6240049632115201E-4</v>
      </c>
      <c r="K931" s="1248">
        <v>3.0000008613435998E-3</v>
      </c>
      <c r="L931" s="1250">
        <v>2.0000005742470098E-3</v>
      </c>
      <c r="M931" s="1273">
        <v>2.0000005742470098E-3</v>
      </c>
      <c r="N931" s="1248">
        <v>3.1850009128239903E-2</v>
      </c>
      <c r="O931" s="1249">
        <v>3.1850009128239903E-2</v>
      </c>
      <c r="P931" s="1251">
        <v>1.5925004564119952E-2</v>
      </c>
      <c r="Q931" s="1252">
        <v>2.28840803934009E-2</v>
      </c>
    </row>
    <row r="932" spans="1:17" s="212" customFormat="1" ht="15.5" x14ac:dyDescent="0.35">
      <c r="A932" s="198">
        <v>2031</v>
      </c>
      <c r="B932" s="197" t="s">
        <v>5842</v>
      </c>
      <c r="C932" s="197">
        <v>2017</v>
      </c>
      <c r="D932" s="213" t="str">
        <f t="shared" si="11"/>
        <v>2031_2017</v>
      </c>
      <c r="E932" s="1267">
        <v>8.41610629391608E-2</v>
      </c>
      <c r="F932" s="1278">
        <v>4.28820715393883E-3</v>
      </c>
      <c r="G932" s="1248">
        <v>0.57143783327077902</v>
      </c>
      <c r="H932" s="1278">
        <v>3.41681130508696E-2</v>
      </c>
      <c r="I932" s="1248">
        <v>2.1092588911916801E-2</v>
      </c>
      <c r="J932" s="1278">
        <v>1.0377910156592601E-3</v>
      </c>
      <c r="K932" s="1248">
        <v>3.00000086128944E-3</v>
      </c>
      <c r="L932" s="1250">
        <v>2.0000005742992701E-3</v>
      </c>
      <c r="M932" s="1273">
        <v>2.0000005742992701E-3</v>
      </c>
      <c r="N932" s="1248">
        <v>3.1850009128239903E-2</v>
      </c>
      <c r="O932" s="1249">
        <v>3.1850009128239903E-2</v>
      </c>
      <c r="P932" s="1251">
        <v>1.5925004564119952E-2</v>
      </c>
      <c r="Q932" s="1252">
        <v>2.20463021855366E-2</v>
      </c>
    </row>
    <row r="933" spans="1:17" s="212" customFormat="1" ht="15.5" x14ac:dyDescent="0.35">
      <c r="A933" s="198">
        <v>2031</v>
      </c>
      <c r="B933" s="197" t="s">
        <v>5842</v>
      </c>
      <c r="C933" s="197">
        <v>2018</v>
      </c>
      <c r="D933" s="213" t="str">
        <f t="shared" si="11"/>
        <v>2031_2018</v>
      </c>
      <c r="E933" s="1267">
        <v>8.4099725723379204E-2</v>
      </c>
      <c r="F933" s="1278">
        <v>3.8085067568294699E-3</v>
      </c>
      <c r="G933" s="1248">
        <v>0.46615236218903899</v>
      </c>
      <c r="H933" s="1278">
        <v>3.0465969477780599E-2</v>
      </c>
      <c r="I933" s="1248">
        <v>2.05486435701938E-2</v>
      </c>
      <c r="J933" s="1278">
        <v>1.0794759448611499E-3</v>
      </c>
      <c r="K933" s="1248">
        <v>3.0000008613498301E-3</v>
      </c>
      <c r="L933" s="1250">
        <v>2.00000057425088E-3</v>
      </c>
      <c r="M933" s="1273">
        <v>2.00000057425088E-3</v>
      </c>
      <c r="N933" s="1248">
        <v>3.1850009128239903E-2</v>
      </c>
      <c r="O933" s="1249">
        <v>3.1850009128239903E-2</v>
      </c>
      <c r="P933" s="1251">
        <v>1.5925004564119952E-2</v>
      </c>
      <c r="Q933" s="1252">
        <v>2.14777620491826E-2</v>
      </c>
    </row>
    <row r="934" spans="1:17" s="212" customFormat="1" ht="15.5" x14ac:dyDescent="0.35">
      <c r="A934" s="198">
        <v>2031</v>
      </c>
      <c r="B934" s="197" t="s">
        <v>5842</v>
      </c>
      <c r="C934" s="197">
        <v>2019</v>
      </c>
      <c r="D934" s="213" t="str">
        <f t="shared" si="11"/>
        <v>2031_2019</v>
      </c>
      <c r="E934" s="1267">
        <v>8.3320962102116702E-2</v>
      </c>
      <c r="F934" s="1278">
        <v>3.3230513806666502E-3</v>
      </c>
      <c r="G934" s="1248">
        <v>0.39593708467240102</v>
      </c>
      <c r="H934" s="1278">
        <v>2.6826386291944899E-2</v>
      </c>
      <c r="I934" s="1248">
        <v>1.9823006380765701E-2</v>
      </c>
      <c r="J934" s="1278">
        <v>1.1009684058005001E-3</v>
      </c>
      <c r="K934" s="1248">
        <v>3.0000008613987098E-3</v>
      </c>
      <c r="L934" s="1250">
        <v>2.00000057420413E-3</v>
      </c>
      <c r="M934" s="1273">
        <v>2.00000057420413E-3</v>
      </c>
      <c r="N934" s="1248">
        <v>3.1850009128239903E-2</v>
      </c>
      <c r="O934" s="1249">
        <v>3.1850009128239903E-2</v>
      </c>
      <c r="P934" s="1251">
        <v>1.5925004564119952E-2</v>
      </c>
      <c r="Q934" s="1252">
        <v>2.0719314766015899E-2</v>
      </c>
    </row>
    <row r="935" spans="1:17" s="212" customFormat="1" ht="15.5" x14ac:dyDescent="0.35">
      <c r="A935" s="198">
        <v>2031</v>
      </c>
      <c r="B935" s="197" t="s">
        <v>5842</v>
      </c>
      <c r="C935" s="197">
        <v>2020</v>
      </c>
      <c r="D935" s="213" t="str">
        <f t="shared" si="11"/>
        <v>2031_2020</v>
      </c>
      <c r="E935" s="1267">
        <v>7.2634404535257796E-2</v>
      </c>
      <c r="F935" s="1278">
        <v>2.7510051517250101E-3</v>
      </c>
      <c r="G935" s="1248">
        <v>0.30607052000182799</v>
      </c>
      <c r="H935" s="1278">
        <v>2.3545101928951699E-2</v>
      </c>
      <c r="I935" s="1248">
        <v>1.74102521943739E-2</v>
      </c>
      <c r="J935" s="1278">
        <v>1.08815762815183E-3</v>
      </c>
      <c r="K935" s="1248">
        <v>3.0000008609701498E-3</v>
      </c>
      <c r="L935" s="1250">
        <v>2.00000057407631E-3</v>
      </c>
      <c r="M935" s="1273">
        <v>2.00000057407631E-3</v>
      </c>
      <c r="N935" s="1248">
        <v>3.1850009128239903E-2</v>
      </c>
      <c r="O935" s="1249">
        <v>3.1850009128239903E-2</v>
      </c>
      <c r="P935" s="1251">
        <v>1.5925004564119952E-2</v>
      </c>
      <c r="Q935" s="1252">
        <v>1.8197466541753599E-2</v>
      </c>
    </row>
    <row r="936" spans="1:17" s="212" customFormat="1" ht="15.5" x14ac:dyDescent="0.35">
      <c r="A936" s="198">
        <v>2031</v>
      </c>
      <c r="B936" s="197" t="s">
        <v>5842</v>
      </c>
      <c r="C936" s="197">
        <v>2021</v>
      </c>
      <c r="D936" s="213" t="str">
        <f t="shared" si="11"/>
        <v>2031_2021</v>
      </c>
      <c r="E936" s="1267">
        <v>7.1586733112370196E-2</v>
      </c>
      <c r="F936" s="1278">
        <v>2.3734810089152099E-3</v>
      </c>
      <c r="G936" s="1248">
        <v>0.244053626821749</v>
      </c>
      <c r="H936" s="1278">
        <v>2.0054574465889902E-2</v>
      </c>
      <c r="I936" s="1248">
        <v>1.6589795447129501E-2</v>
      </c>
      <c r="J936" s="1278">
        <v>1.08833395477709E-3</v>
      </c>
      <c r="K936" s="1248">
        <v>3.0000008609724301E-3</v>
      </c>
      <c r="L936" s="1250">
        <v>2.0000005740780299E-3</v>
      </c>
      <c r="M936" s="1273">
        <v>2.0000005740780299E-3</v>
      </c>
      <c r="N936" s="1248">
        <v>3.1850009128239903E-2</v>
      </c>
      <c r="O936" s="1249">
        <v>3.1850009128239903E-2</v>
      </c>
      <c r="P936" s="1251">
        <v>1.5925004564119952E-2</v>
      </c>
      <c r="Q936" s="1252">
        <v>1.7339912381121699E-2</v>
      </c>
    </row>
    <row r="937" spans="1:17" s="212" customFormat="1" ht="15.5" x14ac:dyDescent="0.35">
      <c r="A937" s="198">
        <v>2031</v>
      </c>
      <c r="B937" s="197" t="s">
        <v>5842</v>
      </c>
      <c r="C937" s="197">
        <v>2022</v>
      </c>
      <c r="D937" s="213" t="str">
        <f t="shared" si="11"/>
        <v>2031_2022</v>
      </c>
      <c r="E937" s="1267">
        <v>7.0459009923058896E-2</v>
      </c>
      <c r="F937" s="1278">
        <v>1.9841404542262501E-3</v>
      </c>
      <c r="G937" s="1248">
        <v>0.18361632204393699</v>
      </c>
      <c r="H937" s="1278">
        <v>1.65222099100076E-2</v>
      </c>
      <c r="I937" s="1248">
        <v>1.5708892371732699E-2</v>
      </c>
      <c r="J937" s="1278">
        <v>1.0885025494278601E-3</v>
      </c>
      <c r="K937" s="1248">
        <v>3.0000008609746302E-3</v>
      </c>
      <c r="L937" s="1250">
        <v>2.0000005740796801E-3</v>
      </c>
      <c r="M937" s="1273">
        <v>2.0000005740796801E-3</v>
      </c>
      <c r="N937" s="1248">
        <v>3.1850009128239903E-2</v>
      </c>
      <c r="O937" s="1249">
        <v>3.1850009128239903E-2</v>
      </c>
      <c r="P937" s="1251">
        <v>1.5925004564119952E-2</v>
      </c>
      <c r="Q937" s="1252">
        <v>1.64191787776049E-2</v>
      </c>
    </row>
    <row r="938" spans="1:17" s="212" customFormat="1" ht="15.5" x14ac:dyDescent="0.35">
      <c r="A938" s="198">
        <v>2031</v>
      </c>
      <c r="B938" s="197" t="s">
        <v>5842</v>
      </c>
      <c r="C938" s="197">
        <v>2023</v>
      </c>
      <c r="D938" s="213" t="str">
        <f t="shared" si="11"/>
        <v>2031_2023</v>
      </c>
      <c r="E938" s="1267">
        <v>6.9251374555045403E-2</v>
      </c>
      <c r="F938" s="1278">
        <v>1.9938269548245898E-3</v>
      </c>
      <c r="G938" s="1248">
        <v>0.177459929551326</v>
      </c>
      <c r="H938" s="1278">
        <v>1.63206373879646E-2</v>
      </c>
      <c r="I938" s="1248">
        <v>1.47675397911465E-2</v>
      </c>
      <c r="J938" s="1278">
        <v>1.08866229281118E-3</v>
      </c>
      <c r="K938" s="1248">
        <v>3.00000086097676E-3</v>
      </c>
      <c r="L938" s="1250">
        <v>2.00000057408128E-3</v>
      </c>
      <c r="M938" s="1273">
        <v>2.00000057408128E-3</v>
      </c>
      <c r="N938" s="1248">
        <v>3.1850009128239903E-2</v>
      </c>
      <c r="O938" s="1249">
        <v>3.1850009128239903E-2</v>
      </c>
      <c r="P938" s="1251">
        <v>1.5925004564119952E-2</v>
      </c>
      <c r="Q938" s="1252">
        <v>1.5435262410514799E-2</v>
      </c>
    </row>
    <row r="939" spans="1:17" s="212" customFormat="1" ht="15.5" x14ac:dyDescent="0.35">
      <c r="A939" s="198">
        <v>2031</v>
      </c>
      <c r="B939" s="197" t="s">
        <v>5842</v>
      </c>
      <c r="C939" s="197">
        <v>2024</v>
      </c>
      <c r="D939" s="213" t="str">
        <f t="shared" si="11"/>
        <v>2031_2024</v>
      </c>
      <c r="E939" s="1267">
        <v>6.79633267128089E-2</v>
      </c>
      <c r="F939" s="1278">
        <v>1.9953013168817302E-3</v>
      </c>
      <c r="G939" s="1248">
        <v>0.17090706989940699</v>
      </c>
      <c r="H939" s="1278">
        <v>1.6007976304735699E-2</v>
      </c>
      <c r="I939" s="1248">
        <v>1.3765658195969799E-2</v>
      </c>
      <c r="J939" s="1278">
        <v>1.0888123409155299E-3</v>
      </c>
      <c r="K939" s="1248">
        <v>3.0000008609787901E-3</v>
      </c>
      <c r="L939" s="1250">
        <v>2.0000005740828E-3</v>
      </c>
      <c r="M939" s="1275">
        <v>2.0000005740127202E-3</v>
      </c>
      <c r="N939" s="1248">
        <v>3.1850009128239903E-2</v>
      </c>
      <c r="O939" s="1249">
        <v>3.1850009128239903E-2</v>
      </c>
      <c r="P939" s="1260">
        <v>1.59250045641199E-2</v>
      </c>
      <c r="Q939" s="1252">
        <v>1.4388080175388E-2</v>
      </c>
    </row>
    <row r="940" spans="1:17" s="212" customFormat="1" ht="15.5" x14ac:dyDescent="0.35">
      <c r="A940" s="198">
        <v>2031</v>
      </c>
      <c r="B940" s="197" t="s">
        <v>5842</v>
      </c>
      <c r="C940" s="197">
        <v>2025</v>
      </c>
      <c r="D940" s="213" t="str">
        <f t="shared" si="11"/>
        <v>2031_2025</v>
      </c>
      <c r="E940" s="1267">
        <v>6.6594370593255306E-2</v>
      </c>
      <c r="F940" s="1278">
        <v>1.99872452269929E-3</v>
      </c>
      <c r="G940" s="1248">
        <v>0.16395711089516099</v>
      </c>
      <c r="H940" s="1278">
        <v>1.56868442841781E-2</v>
      </c>
      <c r="I940" s="1248">
        <v>1.27031779467366E-2</v>
      </c>
      <c r="J940" s="1278">
        <v>1.08895002449165E-3</v>
      </c>
      <c r="K940" s="1248">
        <v>3.0000008609807E-3</v>
      </c>
      <c r="L940" s="1250">
        <v>2.0000005740842199E-3</v>
      </c>
      <c r="M940" s="1275">
        <v>2.0000005740142099E-3</v>
      </c>
      <c r="N940" s="1248">
        <v>3.1850009128239903E-2</v>
      </c>
      <c r="O940" s="1249">
        <v>3.1850009128239903E-2</v>
      </c>
      <c r="P940" s="1260">
        <v>1.59250045641199E-2</v>
      </c>
      <c r="Q940" s="1252">
        <v>1.3277559283970701E-2</v>
      </c>
    </row>
    <row r="941" spans="1:17" s="212" customFormat="1" ht="15.5" x14ac:dyDescent="0.35">
      <c r="A941" s="198">
        <v>2031</v>
      </c>
      <c r="B941" s="197" t="s">
        <v>5842</v>
      </c>
      <c r="C941" s="197">
        <v>2026</v>
      </c>
      <c r="D941" s="213" t="str">
        <f t="shared" si="11"/>
        <v>2031_2026</v>
      </c>
      <c r="E941" s="1267">
        <v>6.5146235831826105E-2</v>
      </c>
      <c r="F941" s="1278">
        <v>2.0257778327099399E-3</v>
      </c>
      <c r="G941" s="1248">
        <v>0.15662956450085</v>
      </c>
      <c r="H941" s="1278">
        <v>1.5580982544475401E-2</v>
      </c>
      <c r="I941" s="1248">
        <v>1.15803393191715E-2</v>
      </c>
      <c r="J941" s="1278">
        <v>1.08908819854469E-3</v>
      </c>
      <c r="K941" s="1248">
        <v>3.0000008609826099E-3</v>
      </c>
      <c r="L941" s="1250">
        <v>2.0000005740856601E-3</v>
      </c>
      <c r="M941" s="1275">
        <v>2.0000005740159399E-3</v>
      </c>
      <c r="N941" s="1248">
        <v>3.1850009128239903E-2</v>
      </c>
      <c r="O941" s="1249">
        <v>3.1850009128239903E-2</v>
      </c>
      <c r="P941" s="1260">
        <v>1.59250045641199E-2</v>
      </c>
      <c r="Q941" s="1252">
        <v>1.2103950876189699E-2</v>
      </c>
    </row>
    <row r="942" spans="1:17" s="212" customFormat="1" ht="15.5" x14ac:dyDescent="0.35">
      <c r="A942" s="198">
        <v>2031</v>
      </c>
      <c r="B942" s="197" t="s">
        <v>5842</v>
      </c>
      <c r="C942" s="197">
        <v>2027</v>
      </c>
      <c r="D942" s="213" t="str">
        <f t="shared" si="11"/>
        <v>2031_2027</v>
      </c>
      <c r="E942" s="1267">
        <v>6.3620065586364696E-2</v>
      </c>
      <c r="F942" s="1278">
        <v>2.1139136058712202E-3</v>
      </c>
      <c r="G942" s="1248">
        <v>0.14889081759213299</v>
      </c>
      <c r="H942" s="1278">
        <v>1.6065336025655901E-2</v>
      </c>
      <c r="I942" s="1248">
        <v>1.03972324168943E-2</v>
      </c>
      <c r="J942" s="1278">
        <v>1.08923148566738E-3</v>
      </c>
      <c r="K942" s="1248">
        <v>3.0000008609845901E-3</v>
      </c>
      <c r="L942" s="1250">
        <v>2.0000005740871398E-3</v>
      </c>
      <c r="M942" s="1275">
        <v>2.0000005740178801E-3</v>
      </c>
      <c r="N942" s="1248">
        <v>3.1850009128239903E-2</v>
      </c>
      <c r="O942" s="1249">
        <v>3.1850009128239903E-2</v>
      </c>
      <c r="P942" s="1260">
        <v>1.59250045641199E-2</v>
      </c>
      <c r="Q942" s="1252">
        <v>1.08673491297507E-2</v>
      </c>
    </row>
    <row r="943" spans="1:17" s="212" customFormat="1" ht="15.5" x14ac:dyDescent="0.35">
      <c r="A943" s="198">
        <v>2031</v>
      </c>
      <c r="B943" s="197" t="s">
        <v>5842</v>
      </c>
      <c r="C943" s="197">
        <v>2028</v>
      </c>
      <c r="D943" s="213" t="str">
        <f t="shared" si="11"/>
        <v>2031_2028</v>
      </c>
      <c r="E943" s="1267">
        <v>6.2015039521333498E-2</v>
      </c>
      <c r="F943" s="1278">
        <v>2.2938719512466698E-3</v>
      </c>
      <c r="G943" s="1248">
        <v>0.14075743755310499</v>
      </c>
      <c r="H943" s="1278">
        <v>1.74630661350955E-2</v>
      </c>
      <c r="I943" s="1248">
        <v>9.1537010226355395E-3</v>
      </c>
      <c r="J943" s="1278">
        <v>1.08937682835663E-3</v>
      </c>
      <c r="K943" s="1248">
        <v>3.0000008609866102E-3</v>
      </c>
      <c r="L943" s="1250">
        <v>2.0000005740886499E-3</v>
      </c>
      <c r="M943" s="1275">
        <v>2.0000005740198998E-3</v>
      </c>
      <c r="N943" s="1248">
        <v>3.1850009128239903E-2</v>
      </c>
      <c r="O943" s="1249">
        <v>3.1850009128239903E-2</v>
      </c>
      <c r="P943" s="1260">
        <v>1.59250045641199E-2</v>
      </c>
      <c r="Q943" s="1252">
        <v>9.5675907639324199E-3</v>
      </c>
    </row>
    <row r="944" spans="1:17" s="212" customFormat="1" ht="15.5" x14ac:dyDescent="0.35">
      <c r="A944" s="198">
        <v>2031</v>
      </c>
      <c r="B944" s="197" t="s">
        <v>5842</v>
      </c>
      <c r="C944" s="197">
        <v>2029</v>
      </c>
      <c r="D944" s="213" t="str">
        <f t="shared" si="11"/>
        <v>2031_2029</v>
      </c>
      <c r="E944" s="1267">
        <v>6.0330749086052703E-2</v>
      </c>
      <c r="F944" s="1278">
        <v>2.5634660485466402E-3</v>
      </c>
      <c r="G944" s="1248">
        <v>0.13222885233163501</v>
      </c>
      <c r="H944" s="1278">
        <v>1.9767110494908698E-2</v>
      </c>
      <c r="I944" s="1248">
        <v>7.8496536191683501E-3</v>
      </c>
      <c r="J944" s="1278">
        <v>1.08952328329177E-3</v>
      </c>
      <c r="K944" s="1248">
        <v>3.0000008609886398E-3</v>
      </c>
      <c r="L944" s="1250">
        <v>2.00000057409017E-3</v>
      </c>
      <c r="M944" s="1275">
        <v>2.0000005740219299E-3</v>
      </c>
      <c r="N944" s="1248">
        <v>3.1850009128239903E-2</v>
      </c>
      <c r="O944" s="1249">
        <v>3.1850009128239903E-2</v>
      </c>
      <c r="P944" s="1260">
        <v>1.59250045641199E-2</v>
      </c>
      <c r="Q944" s="1252">
        <v>8.2045801235050893E-3</v>
      </c>
    </row>
    <row r="945" spans="1:17" s="212" customFormat="1" ht="15.5" x14ac:dyDescent="0.35">
      <c r="A945" s="198">
        <v>2031</v>
      </c>
      <c r="B945" s="197" t="s">
        <v>5842</v>
      </c>
      <c r="C945" s="197">
        <v>2030</v>
      </c>
      <c r="D945" s="213" t="str">
        <f t="shared" si="11"/>
        <v>2031_2030</v>
      </c>
      <c r="E945" s="1267">
        <v>5.8567332452180897E-2</v>
      </c>
      <c r="F945" s="1278">
        <v>2.8205848758843998E-3</v>
      </c>
      <c r="G945" s="1248">
        <v>0.123304932691464</v>
      </c>
      <c r="H945" s="1278">
        <v>2.1970496990243001E-2</v>
      </c>
      <c r="I945" s="1248">
        <v>6.4850495634559101E-3</v>
      </c>
      <c r="J945" s="1278">
        <v>1.0896710938900699E-3</v>
      </c>
      <c r="K945" s="1248">
        <v>3.0000008609906998E-3</v>
      </c>
      <c r="L945" s="1250">
        <v>2.00000057409172E-3</v>
      </c>
      <c r="M945" s="1275">
        <v>2.0000005740236598E-3</v>
      </c>
      <c r="N945" s="1248">
        <v>3.1850009128239903E-2</v>
      </c>
      <c r="O945" s="1249">
        <v>3.1850009128239903E-2</v>
      </c>
      <c r="P945" s="1260">
        <v>1.59250045641199E-2</v>
      </c>
      <c r="Q945" s="1252">
        <v>6.7782747277341498E-3</v>
      </c>
    </row>
    <row r="946" spans="1:17" s="212" customFormat="1" ht="15.5" x14ac:dyDescent="0.35">
      <c r="A946" s="198">
        <v>2031</v>
      </c>
      <c r="B946" s="197" t="s">
        <v>5842</v>
      </c>
      <c r="C946" s="197">
        <v>2031</v>
      </c>
      <c r="D946" s="213" t="str">
        <f t="shared" si="11"/>
        <v>2031_2031</v>
      </c>
      <c r="E946" s="1267">
        <v>5.67249233387674E-2</v>
      </c>
      <c r="F946" s="1278">
        <v>2.7469112239839602E-3</v>
      </c>
      <c r="G946" s="1248">
        <v>0.113985625441057</v>
      </c>
      <c r="H946" s="1278">
        <v>2.0898581315131899E-2</v>
      </c>
      <c r="I946" s="1248">
        <v>5.0598365631125504E-3</v>
      </c>
      <c r="J946" s="1278">
        <v>1.08982165564493E-3</v>
      </c>
      <c r="K946" s="1248">
        <v>3.0000008609928101E-3</v>
      </c>
      <c r="L946" s="1250">
        <v>2.0000005740932999E-3</v>
      </c>
      <c r="M946" s="1275">
        <v>2.0000005740230401E-3</v>
      </c>
      <c r="N946" s="1248">
        <v>3.1850009128239903E-2</v>
      </c>
      <c r="O946" s="1249">
        <v>3.1850009128239903E-2</v>
      </c>
      <c r="P946" s="1260">
        <v>1.59250045641199E-2</v>
      </c>
      <c r="Q946" s="1252">
        <v>5.2886199198042896E-3</v>
      </c>
    </row>
    <row r="947" spans="1:17" s="212" customFormat="1" ht="15.5" x14ac:dyDescent="0.35">
      <c r="A947" s="198">
        <v>2031</v>
      </c>
      <c r="B947" s="197" t="s">
        <v>5842</v>
      </c>
      <c r="C947" s="197">
        <v>2032</v>
      </c>
      <c r="D947" s="213" t="str">
        <f t="shared" si="11"/>
        <v>2031_2032</v>
      </c>
      <c r="E947" s="1268">
        <v>5.67249233387674E-2</v>
      </c>
      <c r="F947" s="1279">
        <v>2.7469112239839602E-3</v>
      </c>
      <c r="G947" s="1255">
        <v>0.113985625441057</v>
      </c>
      <c r="H947" s="1279">
        <v>2.0898581315131899E-2</v>
      </c>
      <c r="I947" s="1255">
        <v>5.0598365631125504E-3</v>
      </c>
      <c r="J947" s="1279">
        <v>1.08982165564493E-3</v>
      </c>
      <c r="K947" s="1255">
        <v>3.0000008609928101E-3</v>
      </c>
      <c r="L947" s="1253">
        <v>2.0000005740932999E-3</v>
      </c>
      <c r="M947" s="1273">
        <v>2.0000005740230401E-3</v>
      </c>
      <c r="N947" s="1255">
        <v>3.1850009128239903E-2</v>
      </c>
      <c r="O947" s="1256">
        <v>3.1850009128239903E-2</v>
      </c>
      <c r="P947" s="1251">
        <v>1.59250045641199E-2</v>
      </c>
      <c r="Q947" s="1254">
        <v>5.2886199198042896E-3</v>
      </c>
    </row>
    <row r="948" spans="1:17" s="212" customFormat="1" ht="15.5" x14ac:dyDescent="0.35">
      <c r="A948" s="198">
        <v>2032</v>
      </c>
      <c r="B948" s="197" t="s">
        <v>5842</v>
      </c>
      <c r="C948" s="197">
        <v>1971</v>
      </c>
      <c r="D948" s="213" t="str">
        <f t="shared" si="11"/>
        <v>2032_1971</v>
      </c>
      <c r="E948" s="1268">
        <v>0.27859144149722598</v>
      </c>
      <c r="F948" s="1279">
        <v>0.48472620037923703</v>
      </c>
      <c r="G948" s="1255">
        <v>5.3791084429757197</v>
      </c>
      <c r="H948" s="1279">
        <v>1.2152830537049799</v>
      </c>
      <c r="I948" s="1255">
        <v>0.1897312290349</v>
      </c>
      <c r="J948" s="1279">
        <v>1.37549403308729E-2</v>
      </c>
      <c r="K948" s="1255">
        <v>3.0000008610346798E-3</v>
      </c>
      <c r="L948" s="1253">
        <v>2.0000005741523299E-3</v>
      </c>
      <c r="M948" s="1273">
        <v>2.0000005741523299E-3</v>
      </c>
      <c r="N948" s="1255">
        <v>3.1850009128239903E-2</v>
      </c>
      <c r="O948" s="1256">
        <v>3.1850009128239903E-2</v>
      </c>
      <c r="P948" s="1251">
        <v>1.5925004564119952E-2</v>
      </c>
      <c r="Q948" s="1254">
        <v>0.19831003329199801</v>
      </c>
    </row>
    <row r="949" spans="1:17" s="212" customFormat="1" ht="15.5" x14ac:dyDescent="0.35">
      <c r="A949" s="198">
        <v>2032</v>
      </c>
      <c r="B949" s="197" t="s">
        <v>5842</v>
      </c>
      <c r="C949" s="197">
        <v>1972</v>
      </c>
      <c r="D949" s="213" t="str">
        <f t="shared" si="11"/>
        <v>2032_1972</v>
      </c>
      <c r="E949" s="1268">
        <v>0.27859144149722598</v>
      </c>
      <c r="F949" s="1279">
        <v>0.48472620037923703</v>
      </c>
      <c r="G949" s="1255">
        <v>5.3791084429757197</v>
      </c>
      <c r="H949" s="1279">
        <v>1.2152830537049799</v>
      </c>
      <c r="I949" s="1255">
        <v>0.1897312290349</v>
      </c>
      <c r="J949" s="1279">
        <v>1.37549403308729E-2</v>
      </c>
      <c r="K949" s="1255">
        <v>3.0000008610346798E-3</v>
      </c>
      <c r="L949" s="1253">
        <v>2.0000005741523299E-3</v>
      </c>
      <c r="M949" s="1273">
        <v>2.0000005741523299E-3</v>
      </c>
      <c r="N949" s="1255">
        <v>3.1850009128239903E-2</v>
      </c>
      <c r="O949" s="1256">
        <v>3.1850009128239903E-2</v>
      </c>
      <c r="P949" s="1251">
        <v>1.5925004564119952E-2</v>
      </c>
      <c r="Q949" s="1254">
        <v>0.19831003329199801</v>
      </c>
    </row>
    <row r="950" spans="1:17" s="212" customFormat="1" ht="15.5" x14ac:dyDescent="0.35">
      <c r="A950" s="198">
        <v>2032</v>
      </c>
      <c r="B950" s="197" t="s">
        <v>5842</v>
      </c>
      <c r="C950" s="197">
        <v>1973</v>
      </c>
      <c r="D950" s="213" t="str">
        <f t="shared" si="11"/>
        <v>2032_1973</v>
      </c>
      <c r="E950" s="1268">
        <v>0.27859144149722598</v>
      </c>
      <c r="F950" s="1279">
        <v>0.48472620037923703</v>
      </c>
      <c r="G950" s="1255">
        <v>5.3791084429757197</v>
      </c>
      <c r="H950" s="1279">
        <v>1.2152830537049799</v>
      </c>
      <c r="I950" s="1255">
        <v>0.1897312290349</v>
      </c>
      <c r="J950" s="1279">
        <v>1.37549403308729E-2</v>
      </c>
      <c r="K950" s="1255">
        <v>3.0000008610346798E-3</v>
      </c>
      <c r="L950" s="1253">
        <v>2.0000005741523299E-3</v>
      </c>
      <c r="M950" s="1273">
        <v>2.0000005741523299E-3</v>
      </c>
      <c r="N950" s="1255">
        <v>3.1850009128239903E-2</v>
      </c>
      <c r="O950" s="1256">
        <v>3.1850009128239903E-2</v>
      </c>
      <c r="P950" s="1251">
        <v>1.5925004564119952E-2</v>
      </c>
      <c r="Q950" s="1254">
        <v>0.19831003329199801</v>
      </c>
    </row>
    <row r="951" spans="1:17" s="212" customFormat="1" ht="15.5" x14ac:dyDescent="0.35">
      <c r="A951" s="198">
        <v>2032</v>
      </c>
      <c r="B951" s="197" t="s">
        <v>5842</v>
      </c>
      <c r="C951" s="197">
        <v>1974</v>
      </c>
      <c r="D951" s="213" t="str">
        <f t="shared" si="11"/>
        <v>2032_1974</v>
      </c>
      <c r="E951" s="1268">
        <v>0.27859144149722598</v>
      </c>
      <c r="F951" s="1279">
        <v>0.48472620037923703</v>
      </c>
      <c r="G951" s="1255">
        <v>5.3791084429757197</v>
      </c>
      <c r="H951" s="1279">
        <v>1.2152830537049799</v>
      </c>
      <c r="I951" s="1255">
        <v>0.1897312290349</v>
      </c>
      <c r="J951" s="1279">
        <v>1.37549403308729E-2</v>
      </c>
      <c r="K951" s="1255">
        <v>3.0000008610346798E-3</v>
      </c>
      <c r="L951" s="1253">
        <v>2.0000005741523299E-3</v>
      </c>
      <c r="M951" s="1273">
        <v>2.0000005741523299E-3</v>
      </c>
      <c r="N951" s="1255">
        <v>3.1850009128239903E-2</v>
      </c>
      <c r="O951" s="1256">
        <v>3.1850009128239903E-2</v>
      </c>
      <c r="P951" s="1251">
        <v>1.5925004564119952E-2</v>
      </c>
      <c r="Q951" s="1254">
        <v>0.19831003329199801</v>
      </c>
    </row>
    <row r="952" spans="1:17" s="212" customFormat="1" ht="15.5" x14ac:dyDescent="0.35">
      <c r="A952" s="198">
        <v>2032</v>
      </c>
      <c r="B952" s="197" t="s">
        <v>5842</v>
      </c>
      <c r="C952" s="197">
        <v>1975</v>
      </c>
      <c r="D952" s="213" t="str">
        <f t="shared" si="11"/>
        <v>2032_1975</v>
      </c>
      <c r="E952" s="1268">
        <v>0.27859144149722598</v>
      </c>
      <c r="F952" s="1279">
        <v>0.48472620037923703</v>
      </c>
      <c r="G952" s="1255">
        <v>5.3791084429757197</v>
      </c>
      <c r="H952" s="1279">
        <v>1.2152830537049799</v>
      </c>
      <c r="I952" s="1255">
        <v>0.1897312290349</v>
      </c>
      <c r="J952" s="1279">
        <v>1.37549403308729E-2</v>
      </c>
      <c r="K952" s="1255">
        <v>3.0000008610346798E-3</v>
      </c>
      <c r="L952" s="1253">
        <v>2.0000005741523299E-3</v>
      </c>
      <c r="M952" s="1273">
        <v>2.0000005741523299E-3</v>
      </c>
      <c r="N952" s="1255">
        <v>3.1850009128239903E-2</v>
      </c>
      <c r="O952" s="1256">
        <v>3.1850009128239903E-2</v>
      </c>
      <c r="P952" s="1251">
        <v>1.5925004564119952E-2</v>
      </c>
      <c r="Q952" s="1254">
        <v>0.19831003329199801</v>
      </c>
    </row>
    <row r="953" spans="1:17" s="212" customFormat="1" ht="15.5" x14ac:dyDescent="0.35">
      <c r="A953" s="198">
        <v>2032</v>
      </c>
      <c r="B953" s="197" t="s">
        <v>5842</v>
      </c>
      <c r="C953" s="197">
        <v>1976</v>
      </c>
      <c r="D953" s="213" t="str">
        <f t="shared" si="11"/>
        <v>2032_1976</v>
      </c>
      <c r="E953" s="1268">
        <v>0.27859144149722598</v>
      </c>
      <c r="F953" s="1279">
        <v>0.48472620037923703</v>
      </c>
      <c r="G953" s="1255">
        <v>5.3791084429757197</v>
      </c>
      <c r="H953" s="1279">
        <v>1.2152830537049799</v>
      </c>
      <c r="I953" s="1255">
        <v>0.1897312290349</v>
      </c>
      <c r="J953" s="1279">
        <v>1.37549403308729E-2</v>
      </c>
      <c r="K953" s="1255">
        <v>3.0000008610346798E-3</v>
      </c>
      <c r="L953" s="1253">
        <v>2.0000005741523299E-3</v>
      </c>
      <c r="M953" s="1273">
        <v>2.0000005741523299E-3</v>
      </c>
      <c r="N953" s="1255">
        <v>3.1850009128239903E-2</v>
      </c>
      <c r="O953" s="1256">
        <v>3.1850009128239903E-2</v>
      </c>
      <c r="P953" s="1251">
        <v>1.5925004564119952E-2</v>
      </c>
      <c r="Q953" s="1254">
        <v>0.19831003329199801</v>
      </c>
    </row>
    <row r="954" spans="1:17" s="212" customFormat="1" ht="15.5" x14ac:dyDescent="0.35">
      <c r="A954" s="198">
        <v>2032</v>
      </c>
      <c r="B954" s="197" t="s">
        <v>5842</v>
      </c>
      <c r="C954" s="197">
        <v>1977</v>
      </c>
      <c r="D954" s="213" t="str">
        <f t="shared" si="11"/>
        <v>2032_1977</v>
      </c>
      <c r="E954" s="1268">
        <v>0.27859144149722598</v>
      </c>
      <c r="F954" s="1279">
        <v>0.48472620037923703</v>
      </c>
      <c r="G954" s="1255">
        <v>5.3791084429757197</v>
      </c>
      <c r="H954" s="1279">
        <v>1.2152830537049799</v>
      </c>
      <c r="I954" s="1255">
        <v>0.1897312290349</v>
      </c>
      <c r="J954" s="1279">
        <v>1.37549403308729E-2</v>
      </c>
      <c r="K954" s="1255">
        <v>3.0000008610346798E-3</v>
      </c>
      <c r="L954" s="1253">
        <v>2.0000005741523299E-3</v>
      </c>
      <c r="M954" s="1273">
        <v>2.0000005741523299E-3</v>
      </c>
      <c r="N954" s="1255">
        <v>3.1850009128239903E-2</v>
      </c>
      <c r="O954" s="1256">
        <v>3.1850009128239903E-2</v>
      </c>
      <c r="P954" s="1251">
        <v>1.5925004564119952E-2</v>
      </c>
      <c r="Q954" s="1254">
        <v>0.19831003329199801</v>
      </c>
    </row>
    <row r="955" spans="1:17" s="212" customFormat="1" ht="15.5" x14ac:dyDescent="0.35">
      <c r="A955" s="198">
        <v>2032</v>
      </c>
      <c r="B955" s="197" t="s">
        <v>5842</v>
      </c>
      <c r="C955" s="197">
        <v>1978</v>
      </c>
      <c r="D955" s="213" t="str">
        <f t="shared" si="11"/>
        <v>2032_1978</v>
      </c>
      <c r="E955" s="1268">
        <v>0.27859144149722598</v>
      </c>
      <c r="F955" s="1279">
        <v>0.48472620037923703</v>
      </c>
      <c r="G955" s="1255">
        <v>5.3791084429757197</v>
      </c>
      <c r="H955" s="1279">
        <v>1.2152830537049799</v>
      </c>
      <c r="I955" s="1255">
        <v>0.1897312290349</v>
      </c>
      <c r="J955" s="1279">
        <v>1.37549403308729E-2</v>
      </c>
      <c r="K955" s="1255">
        <v>3.0000008610346798E-3</v>
      </c>
      <c r="L955" s="1253">
        <v>2.0000005741523299E-3</v>
      </c>
      <c r="M955" s="1273">
        <v>2.0000005741523299E-3</v>
      </c>
      <c r="N955" s="1255">
        <v>3.1850009128239903E-2</v>
      </c>
      <c r="O955" s="1256">
        <v>3.1850009128239903E-2</v>
      </c>
      <c r="P955" s="1251">
        <v>1.5925004564119952E-2</v>
      </c>
      <c r="Q955" s="1254">
        <v>0.19831003329199801</v>
      </c>
    </row>
    <row r="956" spans="1:17" s="212" customFormat="1" ht="15.5" x14ac:dyDescent="0.35">
      <c r="A956" s="198">
        <v>2032</v>
      </c>
      <c r="B956" s="197" t="s">
        <v>5842</v>
      </c>
      <c r="C956" s="197">
        <v>1979</v>
      </c>
      <c r="D956" s="213" t="str">
        <f t="shared" si="11"/>
        <v>2032_1979</v>
      </c>
      <c r="E956" s="1268">
        <v>0.27859144149722598</v>
      </c>
      <c r="F956" s="1279">
        <v>0.48472620037923703</v>
      </c>
      <c r="G956" s="1255">
        <v>5.3791084429757197</v>
      </c>
      <c r="H956" s="1279">
        <v>1.2152830537049799</v>
      </c>
      <c r="I956" s="1255">
        <v>0.1897312290349</v>
      </c>
      <c r="J956" s="1279">
        <v>1.37549403308729E-2</v>
      </c>
      <c r="K956" s="1255">
        <v>3.0000008610346798E-3</v>
      </c>
      <c r="L956" s="1253">
        <v>2.0000005741523299E-3</v>
      </c>
      <c r="M956" s="1273">
        <v>2.0000005741523299E-3</v>
      </c>
      <c r="N956" s="1255">
        <v>3.1850009128239903E-2</v>
      </c>
      <c r="O956" s="1256">
        <v>3.1850009128239903E-2</v>
      </c>
      <c r="P956" s="1251">
        <v>1.5925004564119952E-2</v>
      </c>
      <c r="Q956" s="1254">
        <v>0.19831003329199801</v>
      </c>
    </row>
    <row r="957" spans="1:17" s="212" customFormat="1" ht="15.5" x14ac:dyDescent="0.35">
      <c r="A957" s="198">
        <v>2032</v>
      </c>
      <c r="B957" s="197" t="s">
        <v>5842</v>
      </c>
      <c r="C957" s="197">
        <v>1980</v>
      </c>
      <c r="D957" s="213" t="str">
        <f t="shared" si="11"/>
        <v>2032_1980</v>
      </c>
      <c r="E957" s="1268">
        <v>0.27859144149722598</v>
      </c>
      <c r="F957" s="1279">
        <v>0.48472620037923703</v>
      </c>
      <c r="G957" s="1255">
        <v>5.3791084429757197</v>
      </c>
      <c r="H957" s="1279">
        <v>1.2152830537049799</v>
      </c>
      <c r="I957" s="1255">
        <v>0.1897312290349</v>
      </c>
      <c r="J957" s="1279">
        <v>1.37549403308729E-2</v>
      </c>
      <c r="K957" s="1255">
        <v>3.0000008610346798E-3</v>
      </c>
      <c r="L957" s="1253">
        <v>2.0000005741523299E-3</v>
      </c>
      <c r="M957" s="1273">
        <v>2.0000005741523299E-3</v>
      </c>
      <c r="N957" s="1255">
        <v>3.1850009128239903E-2</v>
      </c>
      <c r="O957" s="1256">
        <v>3.1850009128239903E-2</v>
      </c>
      <c r="P957" s="1251">
        <v>1.5925004564119952E-2</v>
      </c>
      <c r="Q957" s="1254">
        <v>0.19831003329199801</v>
      </c>
    </row>
    <row r="958" spans="1:17" s="212" customFormat="1" ht="15.5" x14ac:dyDescent="0.35">
      <c r="A958" s="198">
        <v>2032</v>
      </c>
      <c r="B958" s="197" t="s">
        <v>5842</v>
      </c>
      <c r="C958" s="197">
        <v>1981</v>
      </c>
      <c r="D958" s="213" t="str">
        <f t="shared" si="11"/>
        <v>2032_1981</v>
      </c>
      <c r="E958" s="1268">
        <v>0.27859144149722598</v>
      </c>
      <c r="F958" s="1279">
        <v>0.48472620037923703</v>
      </c>
      <c r="G958" s="1255">
        <v>5.3791084429757197</v>
      </c>
      <c r="H958" s="1279">
        <v>1.2152830537049799</v>
      </c>
      <c r="I958" s="1255">
        <v>0.1897312290349</v>
      </c>
      <c r="J958" s="1279">
        <v>1.37549403308729E-2</v>
      </c>
      <c r="K958" s="1255">
        <v>3.0000008610346798E-3</v>
      </c>
      <c r="L958" s="1253">
        <v>2.0000005741523299E-3</v>
      </c>
      <c r="M958" s="1273">
        <v>2.0000005741523299E-3</v>
      </c>
      <c r="N958" s="1255">
        <v>3.1850009128239903E-2</v>
      </c>
      <c r="O958" s="1256">
        <v>3.1850009128239903E-2</v>
      </c>
      <c r="P958" s="1251">
        <v>1.5925004564119952E-2</v>
      </c>
      <c r="Q958" s="1254">
        <v>0.19831003329199801</v>
      </c>
    </row>
    <row r="959" spans="1:17" s="212" customFormat="1" ht="15.5" x14ac:dyDescent="0.35">
      <c r="A959" s="198">
        <v>2032</v>
      </c>
      <c r="B959" s="197" t="s">
        <v>5842</v>
      </c>
      <c r="C959" s="197">
        <v>1982</v>
      </c>
      <c r="D959" s="213" t="str">
        <f t="shared" si="11"/>
        <v>2032_1982</v>
      </c>
      <c r="E959" s="1268">
        <v>0.27859144149722598</v>
      </c>
      <c r="F959" s="1279">
        <v>0.48472620037923703</v>
      </c>
      <c r="G959" s="1255">
        <v>5.3791084429757197</v>
      </c>
      <c r="H959" s="1279">
        <v>1.2152830537049799</v>
      </c>
      <c r="I959" s="1255">
        <v>0.1897312290349</v>
      </c>
      <c r="J959" s="1279">
        <v>1.37549403308729E-2</v>
      </c>
      <c r="K959" s="1255">
        <v>3.0000008610346798E-3</v>
      </c>
      <c r="L959" s="1253">
        <v>2.0000005741523299E-3</v>
      </c>
      <c r="M959" s="1273">
        <v>2.0000005741523299E-3</v>
      </c>
      <c r="N959" s="1255">
        <v>3.1850009128239903E-2</v>
      </c>
      <c r="O959" s="1256">
        <v>3.1850009128239903E-2</v>
      </c>
      <c r="P959" s="1251">
        <v>1.5925004564119952E-2</v>
      </c>
      <c r="Q959" s="1254">
        <v>0.19831003329199801</v>
      </c>
    </row>
    <row r="960" spans="1:17" s="212" customFormat="1" ht="15.5" x14ac:dyDescent="0.35">
      <c r="A960" s="198">
        <v>2032</v>
      </c>
      <c r="B960" s="197" t="s">
        <v>5842</v>
      </c>
      <c r="C960" s="197">
        <v>1983</v>
      </c>
      <c r="D960" s="213" t="str">
        <f t="shared" si="11"/>
        <v>2032_1983</v>
      </c>
      <c r="E960" s="1268">
        <v>0.27859144149722598</v>
      </c>
      <c r="F960" s="1279">
        <v>0.48472620037923703</v>
      </c>
      <c r="G960" s="1255">
        <v>5.3791084429757197</v>
      </c>
      <c r="H960" s="1279">
        <v>1.2152830537049799</v>
      </c>
      <c r="I960" s="1255">
        <v>0.1897312290349</v>
      </c>
      <c r="J960" s="1279">
        <v>1.37549403308729E-2</v>
      </c>
      <c r="K960" s="1255">
        <v>3.0000008610346798E-3</v>
      </c>
      <c r="L960" s="1253">
        <v>2.0000005741523299E-3</v>
      </c>
      <c r="M960" s="1273">
        <v>2.0000005741523299E-3</v>
      </c>
      <c r="N960" s="1255">
        <v>3.1850009128239903E-2</v>
      </c>
      <c r="O960" s="1256">
        <v>3.1850009128239903E-2</v>
      </c>
      <c r="P960" s="1251">
        <v>1.5925004564119952E-2</v>
      </c>
      <c r="Q960" s="1254">
        <v>0.19831003329199801</v>
      </c>
    </row>
    <row r="961" spans="1:17" s="212" customFormat="1" ht="15.5" x14ac:dyDescent="0.35">
      <c r="A961" s="198">
        <v>2032</v>
      </c>
      <c r="B961" s="197" t="s">
        <v>5842</v>
      </c>
      <c r="C961" s="197">
        <v>1984</v>
      </c>
      <c r="D961" s="213" t="str">
        <f t="shared" ref="D961:D1059" si="12">CONCATENATE(A961,"_",C961)</f>
        <v>2032_1984</v>
      </c>
      <c r="E961" s="1268">
        <v>0.27859144149722598</v>
      </c>
      <c r="F961" s="1279">
        <v>0.48472620037923703</v>
      </c>
      <c r="G961" s="1255">
        <v>5.3791084429757197</v>
      </c>
      <c r="H961" s="1279">
        <v>1.2152830537049799</v>
      </c>
      <c r="I961" s="1255">
        <v>0.1897312290349</v>
      </c>
      <c r="J961" s="1279">
        <v>1.37549403308729E-2</v>
      </c>
      <c r="K961" s="1255">
        <v>3.0000008610346798E-3</v>
      </c>
      <c r="L961" s="1253">
        <v>2.0000005741523299E-3</v>
      </c>
      <c r="M961" s="1273">
        <v>2.0000005741523299E-3</v>
      </c>
      <c r="N961" s="1255">
        <v>3.1850009128239903E-2</v>
      </c>
      <c r="O961" s="1256">
        <v>3.1850009128239903E-2</v>
      </c>
      <c r="P961" s="1251">
        <v>1.5925004564119952E-2</v>
      </c>
      <c r="Q961" s="1254">
        <v>0.19831003329199801</v>
      </c>
    </row>
    <row r="962" spans="1:17" s="212" customFormat="1" ht="15.5" x14ac:dyDescent="0.35">
      <c r="A962" s="198">
        <v>2032</v>
      </c>
      <c r="B962" s="197" t="s">
        <v>5842</v>
      </c>
      <c r="C962" s="197">
        <v>1985</v>
      </c>
      <c r="D962" s="213" t="str">
        <f t="shared" si="12"/>
        <v>2032_1985</v>
      </c>
      <c r="E962" s="1268">
        <v>0.27859144149722598</v>
      </c>
      <c r="F962" s="1279">
        <v>0.48472620037923703</v>
      </c>
      <c r="G962" s="1255">
        <v>5.3791084429757197</v>
      </c>
      <c r="H962" s="1279">
        <v>1.2152830537049799</v>
      </c>
      <c r="I962" s="1255">
        <v>0.1897312290349</v>
      </c>
      <c r="J962" s="1279">
        <v>1.37549403308729E-2</v>
      </c>
      <c r="K962" s="1255">
        <v>3.0000008610346798E-3</v>
      </c>
      <c r="L962" s="1253">
        <v>2.0000005741523299E-3</v>
      </c>
      <c r="M962" s="1273">
        <v>2.0000005741523299E-3</v>
      </c>
      <c r="N962" s="1255">
        <v>3.1850009128239903E-2</v>
      </c>
      <c r="O962" s="1256">
        <v>3.1850009128239903E-2</v>
      </c>
      <c r="P962" s="1251">
        <v>1.5925004564119952E-2</v>
      </c>
      <c r="Q962" s="1254">
        <v>0.19831003329199801</v>
      </c>
    </row>
    <row r="963" spans="1:17" s="212" customFormat="1" ht="15.5" x14ac:dyDescent="0.35">
      <c r="A963" s="198">
        <v>2032</v>
      </c>
      <c r="B963" s="197" t="s">
        <v>5842</v>
      </c>
      <c r="C963" s="197">
        <v>1986</v>
      </c>
      <c r="D963" s="213" t="str">
        <f t="shared" si="12"/>
        <v>2032_1986</v>
      </c>
      <c r="E963" s="1268">
        <v>0.27859144149722598</v>
      </c>
      <c r="F963" s="1279">
        <v>0.48472620037923703</v>
      </c>
      <c r="G963" s="1255">
        <v>5.3791084429757197</v>
      </c>
      <c r="H963" s="1279">
        <v>1.2152830537049799</v>
      </c>
      <c r="I963" s="1255">
        <v>0.1897312290349</v>
      </c>
      <c r="J963" s="1279">
        <v>1.37549403308729E-2</v>
      </c>
      <c r="K963" s="1255">
        <v>3.0000008610346798E-3</v>
      </c>
      <c r="L963" s="1253">
        <v>2.0000005741523299E-3</v>
      </c>
      <c r="M963" s="1273">
        <v>2.0000005741523299E-3</v>
      </c>
      <c r="N963" s="1255">
        <v>3.1850009128239903E-2</v>
      </c>
      <c r="O963" s="1256">
        <v>3.1850009128239903E-2</v>
      </c>
      <c r="P963" s="1251">
        <v>1.5925004564119952E-2</v>
      </c>
      <c r="Q963" s="1254">
        <v>0.19831003329199801</v>
      </c>
    </row>
    <row r="964" spans="1:17" s="212" customFormat="1" ht="15.5" x14ac:dyDescent="0.35">
      <c r="A964" s="198">
        <v>2032</v>
      </c>
      <c r="B964" s="197" t="s">
        <v>5842</v>
      </c>
      <c r="C964" s="197">
        <v>1987</v>
      </c>
      <c r="D964" s="213" t="str">
        <f t="shared" si="12"/>
        <v>2032_1987</v>
      </c>
      <c r="E964" s="1268">
        <v>0.27859144149722598</v>
      </c>
      <c r="F964" s="1279">
        <v>0.48472620037923703</v>
      </c>
      <c r="G964" s="1255">
        <v>5.3791084429757197</v>
      </c>
      <c r="H964" s="1279">
        <v>1.2152830537049799</v>
      </c>
      <c r="I964" s="1255">
        <v>0.1897312290349</v>
      </c>
      <c r="J964" s="1279">
        <v>1.37549403308729E-2</v>
      </c>
      <c r="K964" s="1255">
        <v>3.0000008610346798E-3</v>
      </c>
      <c r="L964" s="1253">
        <v>2.0000005741523299E-3</v>
      </c>
      <c r="M964" s="1273">
        <v>2.0000005741523299E-3</v>
      </c>
      <c r="N964" s="1255">
        <v>3.1850009128239903E-2</v>
      </c>
      <c r="O964" s="1256">
        <v>3.1850009128239903E-2</v>
      </c>
      <c r="P964" s="1251">
        <v>1.5925004564119952E-2</v>
      </c>
      <c r="Q964" s="1254">
        <v>0.19831003329199801</v>
      </c>
    </row>
    <row r="965" spans="1:17" s="212" customFormat="1" ht="15.5" x14ac:dyDescent="0.35">
      <c r="A965" s="198">
        <v>2032</v>
      </c>
      <c r="B965" s="197" t="s">
        <v>5842</v>
      </c>
      <c r="C965" s="197">
        <v>1988</v>
      </c>
      <c r="D965" s="213" t="str">
        <f t="shared" si="12"/>
        <v>2032_1988</v>
      </c>
      <c r="E965" s="1267">
        <v>0.27859144149722598</v>
      </c>
      <c r="F965" s="1278">
        <v>0.48472620037923703</v>
      </c>
      <c r="G965" s="1248">
        <v>5.3791084429757197</v>
      </c>
      <c r="H965" s="1278">
        <v>1.2152830537049799</v>
      </c>
      <c r="I965" s="1248">
        <v>0.1897312290349</v>
      </c>
      <c r="J965" s="1278">
        <v>1.37549403308729E-2</v>
      </c>
      <c r="K965" s="1248">
        <v>3.0000008610346798E-3</v>
      </c>
      <c r="L965" s="1250">
        <v>2.0000005741523299E-3</v>
      </c>
      <c r="M965" s="1273">
        <v>2.0000005741523299E-3</v>
      </c>
      <c r="N965" s="1248">
        <v>3.1850009128239903E-2</v>
      </c>
      <c r="O965" s="1249">
        <v>3.1850009128239903E-2</v>
      </c>
      <c r="P965" s="1251">
        <v>1.5925004564119952E-2</v>
      </c>
      <c r="Q965" s="1252">
        <v>0.19831003329199801</v>
      </c>
    </row>
    <row r="966" spans="1:17" s="212" customFormat="1" ht="15.5" x14ac:dyDescent="0.35">
      <c r="A966" s="198">
        <v>2032</v>
      </c>
      <c r="B966" s="197" t="s">
        <v>5842</v>
      </c>
      <c r="C966" s="197">
        <v>1989</v>
      </c>
      <c r="D966" s="213" t="str">
        <f t="shared" si="12"/>
        <v>2032_1989</v>
      </c>
      <c r="E966" s="1267">
        <v>0.27997735649076499</v>
      </c>
      <c r="F966" s="1278">
        <v>0.32826388038641202</v>
      </c>
      <c r="G966" s="1248">
        <v>5.3770206224587396</v>
      </c>
      <c r="H966" s="1278">
        <v>1.6431271047801601</v>
      </c>
      <c r="I966" s="1248">
        <v>0.19067508916803599</v>
      </c>
      <c r="J966" s="1278">
        <v>1.3438654038664399E-2</v>
      </c>
      <c r="K966" s="1248">
        <v>3.0000008611573699E-3</v>
      </c>
      <c r="L966" s="1250">
        <v>2.0000005740781301E-3</v>
      </c>
      <c r="M966" s="1273">
        <v>2.0000005740781301E-3</v>
      </c>
      <c r="N966" s="1248">
        <v>3.1850009128239903E-2</v>
      </c>
      <c r="O966" s="1249">
        <v>3.1850009128239903E-2</v>
      </c>
      <c r="P966" s="1251">
        <v>1.5925004564119952E-2</v>
      </c>
      <c r="Q966" s="1252">
        <v>0.19929657059203701</v>
      </c>
    </row>
    <row r="967" spans="1:17" s="212" customFormat="1" ht="15.5" x14ac:dyDescent="0.35">
      <c r="A967" s="198">
        <v>2032</v>
      </c>
      <c r="B967" s="197" t="s">
        <v>5842</v>
      </c>
      <c r="C967" s="197">
        <v>1990</v>
      </c>
      <c r="D967" s="213" t="str">
        <f t="shared" si="12"/>
        <v>2032_1990</v>
      </c>
      <c r="E967" s="1267">
        <v>0.28072196941000999</v>
      </c>
      <c r="F967" s="1278">
        <v>0.44730877819105602</v>
      </c>
      <c r="G967" s="1248">
        <v>5.3710354494064196</v>
      </c>
      <c r="H967" s="1278">
        <v>1.66261490491674</v>
      </c>
      <c r="I967" s="1248">
        <v>0.19118219851627799</v>
      </c>
      <c r="J967" s="1278">
        <v>1.39903741804448E-2</v>
      </c>
      <c r="K967" s="1248">
        <v>3.00000086114174E-3</v>
      </c>
      <c r="L967" s="1250">
        <v>2.0000005742125001E-3</v>
      </c>
      <c r="M967" s="1273">
        <v>2.0000005742125001E-3</v>
      </c>
      <c r="N967" s="1248">
        <v>3.1850009128239903E-2</v>
      </c>
      <c r="O967" s="1249">
        <v>3.1850009128239903E-2</v>
      </c>
      <c r="P967" s="1251">
        <v>1.5925004564119952E-2</v>
      </c>
      <c r="Q967" s="1252">
        <v>0.19982660917474299</v>
      </c>
    </row>
    <row r="968" spans="1:17" s="212" customFormat="1" ht="15.5" x14ac:dyDescent="0.35">
      <c r="A968" s="198">
        <v>2032</v>
      </c>
      <c r="B968" s="197" t="s">
        <v>5842</v>
      </c>
      <c r="C968" s="197">
        <v>1991</v>
      </c>
      <c r="D968" s="213" t="str">
        <f t="shared" si="12"/>
        <v>2032_1991</v>
      </c>
      <c r="E968" s="1267">
        <v>0.36913420123572499</v>
      </c>
      <c r="F968" s="1278">
        <v>0.46501263936506698</v>
      </c>
      <c r="G968" s="1248">
        <v>9.34094872474396</v>
      </c>
      <c r="H968" s="1278">
        <v>2.9051422500750101</v>
      </c>
      <c r="I968" s="1248">
        <v>5.2314912636357402E-2</v>
      </c>
      <c r="J968" s="1278">
        <v>7.4639418798885899E-3</v>
      </c>
      <c r="K968" s="1248">
        <v>3.0000008613044701E-3</v>
      </c>
      <c r="L968" s="1250">
        <v>2.0000005740717598E-3</v>
      </c>
      <c r="M968" s="1273">
        <v>2.0000005740717598E-3</v>
      </c>
      <c r="N968" s="1248">
        <v>3.1850009128239903E-2</v>
      </c>
      <c r="O968" s="1249">
        <v>3.1850009128239903E-2</v>
      </c>
      <c r="P968" s="1251">
        <v>1.5925004564119952E-2</v>
      </c>
      <c r="Q968" s="1252">
        <v>5.4680360841786901E-2</v>
      </c>
    </row>
    <row r="969" spans="1:17" s="212" customFormat="1" ht="15.5" x14ac:dyDescent="0.35">
      <c r="A969" s="198">
        <v>2032</v>
      </c>
      <c r="B969" s="197" t="s">
        <v>5842</v>
      </c>
      <c r="C969" s="197">
        <v>1992</v>
      </c>
      <c r="D969" s="213" t="str">
        <f t="shared" si="12"/>
        <v>2032_1992</v>
      </c>
      <c r="E969" s="1267">
        <v>0.36996812323293099</v>
      </c>
      <c r="F969" s="1278">
        <v>0.46881714091113502</v>
      </c>
      <c r="G969" s="1248">
        <v>9.3318075719574392</v>
      </c>
      <c r="H969" s="1278">
        <v>2.9097205858086301</v>
      </c>
      <c r="I969" s="1248">
        <v>5.2433098803565198E-2</v>
      </c>
      <c r="J969" s="1278">
        <v>7.5546510131605602E-3</v>
      </c>
      <c r="K969" s="1248">
        <v>3.0000008612858201E-3</v>
      </c>
      <c r="L969" s="1250">
        <v>2.0000005741438098E-3</v>
      </c>
      <c r="M969" s="1273">
        <v>2.0000005741438098E-3</v>
      </c>
      <c r="N969" s="1248">
        <v>3.1850009128239903E-2</v>
      </c>
      <c r="O969" s="1249">
        <v>3.1850009128239903E-2</v>
      </c>
      <c r="P969" s="1251">
        <v>1.5925004564119952E-2</v>
      </c>
      <c r="Q969" s="1252">
        <v>5.4803890863032299E-2</v>
      </c>
    </row>
    <row r="970" spans="1:17" s="212" customFormat="1" ht="15.5" x14ac:dyDescent="0.35">
      <c r="A970" s="198">
        <v>2032</v>
      </c>
      <c r="B970" s="197" t="s">
        <v>5842</v>
      </c>
      <c r="C970" s="197">
        <v>1993</v>
      </c>
      <c r="D970" s="213" t="str">
        <f t="shared" si="12"/>
        <v>2032_1993</v>
      </c>
      <c r="E970" s="1267">
        <v>0.371761438734867</v>
      </c>
      <c r="F970" s="1278">
        <v>0.45945259220172202</v>
      </c>
      <c r="G970" s="1248">
        <v>9.2997404336053098</v>
      </c>
      <c r="H970" s="1278">
        <v>2.8899854276711201</v>
      </c>
      <c r="I970" s="1248">
        <v>5.2687253372551597E-2</v>
      </c>
      <c r="J970" s="1278">
        <v>7.4322001836477003E-3</v>
      </c>
      <c r="K970" s="1248">
        <v>3.0000008613458198E-3</v>
      </c>
      <c r="L970" s="1250">
        <v>2.0000005740709302E-3</v>
      </c>
      <c r="M970" s="1273">
        <v>2.0000005740709302E-3</v>
      </c>
      <c r="N970" s="1248">
        <v>3.1850009128239903E-2</v>
      </c>
      <c r="O970" s="1249">
        <v>3.1850009128239903E-2</v>
      </c>
      <c r="P970" s="1251">
        <v>1.5925004564119952E-2</v>
      </c>
      <c r="Q970" s="1252">
        <v>5.5069537173834199E-2</v>
      </c>
    </row>
    <row r="971" spans="1:17" s="212" customFormat="1" ht="15.5" x14ac:dyDescent="0.35">
      <c r="A971" s="198">
        <v>2032</v>
      </c>
      <c r="B971" s="197" t="s">
        <v>5842</v>
      </c>
      <c r="C971" s="197">
        <v>1994</v>
      </c>
      <c r="D971" s="213" t="str">
        <f t="shared" si="12"/>
        <v>2032_1994</v>
      </c>
      <c r="E971" s="1267">
        <v>0.36578195125794</v>
      </c>
      <c r="F971" s="1278">
        <v>0.45606130552601998</v>
      </c>
      <c r="G971" s="1248">
        <v>9.39246336872184</v>
      </c>
      <c r="H971" s="1278">
        <v>2.88153346457934</v>
      </c>
      <c r="I971" s="1248">
        <v>5.2375722071150897E-2</v>
      </c>
      <c r="J971" s="1278">
        <v>7.4005398133772399E-3</v>
      </c>
      <c r="K971" s="1248">
        <v>3.0000008612635701E-3</v>
      </c>
      <c r="L971" s="1250">
        <v>2.0000005740581899E-3</v>
      </c>
      <c r="M971" s="1273">
        <v>2.0000005740581899E-3</v>
      </c>
      <c r="N971" s="1248">
        <v>3.1850009128239903E-2</v>
      </c>
      <c r="O971" s="1249">
        <v>3.1850009128239903E-2</v>
      </c>
      <c r="P971" s="1251">
        <v>1.5925004564119952E-2</v>
      </c>
      <c r="Q971" s="1252">
        <v>5.4743919809383798E-2</v>
      </c>
    </row>
    <row r="972" spans="1:17" s="212" customFormat="1" ht="15.5" x14ac:dyDescent="0.35">
      <c r="A972" s="198">
        <v>2032</v>
      </c>
      <c r="B972" s="197" t="s">
        <v>5842</v>
      </c>
      <c r="C972" s="197">
        <v>1995</v>
      </c>
      <c r="D972" s="213" t="str">
        <f t="shared" si="12"/>
        <v>2032_1995</v>
      </c>
      <c r="E972" s="1267">
        <v>0.36790140478646799</v>
      </c>
      <c r="F972" s="1278">
        <v>0.24470118552537201</v>
      </c>
      <c r="G972" s="1248">
        <v>9.3778767731041306</v>
      </c>
      <c r="H972" s="1278">
        <v>1.64680581954657</v>
      </c>
      <c r="I972" s="1248">
        <v>5.2679203171219303E-2</v>
      </c>
      <c r="J972" s="1278">
        <v>4.8577507896009299E-3</v>
      </c>
      <c r="K972" s="1248">
        <v>3.0000008612581001E-3</v>
      </c>
      <c r="L972" s="1250">
        <v>2.0000005741253298E-3</v>
      </c>
      <c r="M972" s="1273">
        <v>2.0000005741253298E-3</v>
      </c>
      <c r="N972" s="1248">
        <v>3.1850009128239903E-2</v>
      </c>
      <c r="O972" s="1249">
        <v>3.1850009128239903E-2</v>
      </c>
      <c r="P972" s="1251">
        <v>1.5925004564119952E-2</v>
      </c>
      <c r="Q972" s="1252">
        <v>5.5061122978119797E-2</v>
      </c>
    </row>
    <row r="973" spans="1:17" s="212" customFormat="1" ht="15.5" x14ac:dyDescent="0.35">
      <c r="A973" s="198">
        <v>2032</v>
      </c>
      <c r="B973" s="197" t="s">
        <v>5842</v>
      </c>
      <c r="C973" s="197">
        <v>1996</v>
      </c>
      <c r="D973" s="213" t="str">
        <f t="shared" si="12"/>
        <v>2032_1996</v>
      </c>
      <c r="E973" s="1267">
        <v>0.369320337786816</v>
      </c>
      <c r="F973" s="1278">
        <v>2.2405514921515698E-2</v>
      </c>
      <c r="G973" s="1248">
        <v>9.3539431219937192</v>
      </c>
      <c r="H973" s="1278">
        <v>0.393380283121195</v>
      </c>
      <c r="I973" s="1248">
        <v>5.2882377877374702E-2</v>
      </c>
      <c r="J973" s="1278">
        <v>2.1841981447432201E-3</v>
      </c>
      <c r="K973" s="1248">
        <v>3.0000008612922902E-3</v>
      </c>
      <c r="L973" s="1250">
        <v>2.0000005741408898E-3</v>
      </c>
      <c r="M973" s="1273">
        <v>2.0000005741408898E-3</v>
      </c>
      <c r="N973" s="1248">
        <v>3.1850009128239903E-2</v>
      </c>
      <c r="O973" s="1249">
        <v>3.1850009128239903E-2</v>
      </c>
      <c r="P973" s="1251">
        <v>1.5925004564119952E-2</v>
      </c>
      <c r="Q973" s="1252">
        <v>5.5273484342913203E-2</v>
      </c>
    </row>
    <row r="974" spans="1:17" s="212" customFormat="1" ht="15.5" x14ac:dyDescent="0.35">
      <c r="A974" s="198">
        <v>2032</v>
      </c>
      <c r="B974" s="197" t="s">
        <v>5842</v>
      </c>
      <c r="C974" s="197">
        <v>1997</v>
      </c>
      <c r="D974" s="213" t="str">
        <f t="shared" si="12"/>
        <v>2032_1997</v>
      </c>
      <c r="E974" s="1267">
        <v>0.371154556847341</v>
      </c>
      <c r="F974" s="1278">
        <v>2.1521438007501899E-2</v>
      </c>
      <c r="G974" s="1248">
        <v>9.3097509390212991</v>
      </c>
      <c r="H974" s="1278">
        <v>0.38795855474908197</v>
      </c>
      <c r="I974" s="1248">
        <v>5.3145016718359903E-2</v>
      </c>
      <c r="J974" s="1278">
        <v>2.10200164031478E-3</v>
      </c>
      <c r="K974" s="1248">
        <v>3.0000008612930101E-3</v>
      </c>
      <c r="L974" s="1250">
        <v>2.0000005740577502E-3</v>
      </c>
      <c r="M974" s="1273">
        <v>2.0000005740577502E-3</v>
      </c>
      <c r="N974" s="1248">
        <v>3.1850009128239903E-2</v>
      </c>
      <c r="O974" s="1249">
        <v>3.1850009128239903E-2</v>
      </c>
      <c r="P974" s="1251">
        <v>1.5925004564119952E-2</v>
      </c>
      <c r="Q974" s="1252">
        <v>5.5547998546845098E-2</v>
      </c>
    </row>
    <row r="975" spans="1:17" s="212" customFormat="1" ht="15.5" x14ac:dyDescent="0.35">
      <c r="A975" s="198">
        <v>2032</v>
      </c>
      <c r="B975" s="197" t="s">
        <v>5842</v>
      </c>
      <c r="C975" s="197">
        <v>1998</v>
      </c>
      <c r="D975" s="213" t="str">
        <f t="shared" si="12"/>
        <v>2032_1998</v>
      </c>
      <c r="E975" s="1267">
        <v>0.37270978373625901</v>
      </c>
      <c r="F975" s="1278">
        <v>2.1807360982919199E-2</v>
      </c>
      <c r="G975" s="1248">
        <v>9.2974895508720596</v>
      </c>
      <c r="H975" s="1278">
        <v>0.38998106791141901</v>
      </c>
      <c r="I975" s="1248">
        <v>5.33677071245197E-2</v>
      </c>
      <c r="J975" s="1278">
        <v>2.1328012216965601E-3</v>
      </c>
      <c r="K975" s="1248">
        <v>3.0000008613742398E-3</v>
      </c>
      <c r="L975" s="1250">
        <v>2.00000057409958E-3</v>
      </c>
      <c r="M975" s="1273">
        <v>2.00000057409958E-3</v>
      </c>
      <c r="N975" s="1248">
        <v>3.1850009128239903E-2</v>
      </c>
      <c r="O975" s="1249">
        <v>3.1850009128239903E-2</v>
      </c>
      <c r="P975" s="1251">
        <v>1.5925004564119952E-2</v>
      </c>
      <c r="Q975" s="1252">
        <v>5.5780758024997497E-2</v>
      </c>
    </row>
    <row r="976" spans="1:17" s="212" customFormat="1" ht="15.5" x14ac:dyDescent="0.35">
      <c r="A976" s="198">
        <v>2032</v>
      </c>
      <c r="B976" s="197" t="s">
        <v>5842</v>
      </c>
      <c r="C976" s="197">
        <v>1999</v>
      </c>
      <c r="D976" s="213" t="str">
        <f t="shared" si="12"/>
        <v>2032_1999</v>
      </c>
      <c r="E976" s="1267">
        <v>0.37063790165510901</v>
      </c>
      <c r="F976" s="1278">
        <v>2.1856278213205502E-2</v>
      </c>
      <c r="G976" s="1248">
        <v>9.3286836589259394</v>
      </c>
      <c r="H976" s="1278">
        <v>0.39028135683572701</v>
      </c>
      <c r="I976" s="1248">
        <v>5.3071037702550297E-2</v>
      </c>
      <c r="J976" s="1278">
        <v>2.1328604762636399E-3</v>
      </c>
      <c r="K976" s="1248">
        <v>3.0000008613395102E-3</v>
      </c>
      <c r="L976" s="1250">
        <v>2.0000005741145602E-3</v>
      </c>
      <c r="M976" s="1273">
        <v>2.0000005741145602E-3</v>
      </c>
      <c r="N976" s="1248">
        <v>3.1850009128239903E-2</v>
      </c>
      <c r="O976" s="1249">
        <v>3.1850009128239903E-2</v>
      </c>
      <c r="P976" s="1251">
        <v>1.5925004564119952E-2</v>
      </c>
      <c r="Q976" s="1252">
        <v>5.5470674528217599E-2</v>
      </c>
    </row>
    <row r="977" spans="1:17" s="212" customFormat="1" ht="15.5" x14ac:dyDescent="0.35">
      <c r="A977" s="198">
        <v>2032</v>
      </c>
      <c r="B977" s="197" t="s">
        <v>5842</v>
      </c>
      <c r="C977" s="197">
        <v>2000</v>
      </c>
      <c r="D977" s="213" t="str">
        <f t="shared" si="12"/>
        <v>2032_2000</v>
      </c>
      <c r="E977" s="1267">
        <v>0.36691261060769298</v>
      </c>
      <c r="F977" s="1278">
        <v>2.2146542275143798E-2</v>
      </c>
      <c r="G977" s="1248">
        <v>9.40536253832596</v>
      </c>
      <c r="H977" s="1278">
        <v>0.39281395910483702</v>
      </c>
      <c r="I977" s="1248">
        <v>5.2537619342615902E-2</v>
      </c>
      <c r="J977" s="1278">
        <v>2.16449400777282E-3</v>
      </c>
      <c r="K977" s="1248">
        <v>3.0000008612572301E-3</v>
      </c>
      <c r="L977" s="1250">
        <v>2.0000005741537398E-3</v>
      </c>
      <c r="M977" s="1273">
        <v>2.0000005741537398E-3</v>
      </c>
      <c r="N977" s="1248">
        <v>3.1850009128239903E-2</v>
      </c>
      <c r="O977" s="1249">
        <v>3.1850009128239903E-2</v>
      </c>
      <c r="P977" s="1251">
        <v>1.5925004564119952E-2</v>
      </c>
      <c r="Q977" s="1252">
        <v>5.4913137357055899E-2</v>
      </c>
    </row>
    <row r="978" spans="1:17" s="212" customFormat="1" ht="15.5" x14ac:dyDescent="0.35">
      <c r="A978" s="198">
        <v>2032</v>
      </c>
      <c r="B978" s="197" t="s">
        <v>5842</v>
      </c>
      <c r="C978" s="197">
        <v>2001</v>
      </c>
      <c r="D978" s="213" t="str">
        <f t="shared" si="12"/>
        <v>2032_2001</v>
      </c>
      <c r="E978" s="1267">
        <v>0.37037051879594202</v>
      </c>
      <c r="F978" s="1278">
        <v>2.2235156050129299E-2</v>
      </c>
      <c r="G978" s="1248">
        <v>9.3343380869719592</v>
      </c>
      <c r="H978" s="1278">
        <v>0.39410467349471001</v>
      </c>
      <c r="I978" s="1248">
        <v>5.3032751586272103E-2</v>
      </c>
      <c r="J978" s="1278">
        <v>2.1757124408458501E-3</v>
      </c>
      <c r="K978" s="1248">
        <v>3.0000008613379498E-3</v>
      </c>
      <c r="L978" s="1250">
        <v>2.0000005741827201E-3</v>
      </c>
      <c r="M978" s="1273">
        <v>2.0000005741827201E-3</v>
      </c>
      <c r="N978" s="1248">
        <v>3.1850009128239903E-2</v>
      </c>
      <c r="O978" s="1249">
        <v>3.1850009128239903E-2</v>
      </c>
      <c r="P978" s="1251">
        <v>1.5925004564119952E-2</v>
      </c>
      <c r="Q978" s="1252">
        <v>5.5430657283653498E-2</v>
      </c>
    </row>
    <row r="979" spans="1:17" s="212" customFormat="1" ht="15.5" x14ac:dyDescent="0.35">
      <c r="A979" s="198">
        <v>2032</v>
      </c>
      <c r="B979" s="197" t="s">
        <v>5842</v>
      </c>
      <c r="C979" s="197">
        <v>2002</v>
      </c>
      <c r="D979" s="213" t="str">
        <f t="shared" si="12"/>
        <v>2032_2002</v>
      </c>
      <c r="E979" s="1267">
        <v>0.28715855042338401</v>
      </c>
      <c r="F979" s="1278">
        <v>2.21687290365855E-2</v>
      </c>
      <c r="G979" s="1248">
        <v>7.19325971588996</v>
      </c>
      <c r="H979" s="1278">
        <v>0.31767061107966599</v>
      </c>
      <c r="I979" s="1248">
        <v>5.3525753091510503E-2</v>
      </c>
      <c r="J979" s="1278">
        <v>2.1732418038926901E-3</v>
      </c>
      <c r="K979" s="1248">
        <v>3.0000008613515002E-3</v>
      </c>
      <c r="L979" s="1250">
        <v>2.0000005741578099E-3</v>
      </c>
      <c r="M979" s="1273">
        <v>2.0000005741578099E-3</v>
      </c>
      <c r="N979" s="1248">
        <v>3.1850009128239903E-2</v>
      </c>
      <c r="O979" s="1249">
        <v>3.1850009128239903E-2</v>
      </c>
      <c r="P979" s="1251">
        <v>1.5925004564119952E-2</v>
      </c>
      <c r="Q979" s="1252">
        <v>5.5945950129296998E-2</v>
      </c>
    </row>
    <row r="980" spans="1:17" s="212" customFormat="1" ht="15.5" x14ac:dyDescent="0.35">
      <c r="A980" s="198">
        <v>2032</v>
      </c>
      <c r="B980" s="197" t="s">
        <v>5842</v>
      </c>
      <c r="C980" s="197">
        <v>2003</v>
      </c>
      <c r="D980" s="213" t="str">
        <f t="shared" si="12"/>
        <v>2032_2003</v>
      </c>
      <c r="E980" s="1267">
        <v>0.28462772177147799</v>
      </c>
      <c r="F980" s="1278">
        <v>2.1859709977143701E-2</v>
      </c>
      <c r="G980" s="1248">
        <v>7.2364802072539502</v>
      </c>
      <c r="H980" s="1278">
        <v>0.316968621741889</v>
      </c>
      <c r="I980" s="1248">
        <v>5.3054011925039397E-2</v>
      </c>
      <c r="J980" s="1278">
        <v>2.1419028177673402E-3</v>
      </c>
      <c r="K980" s="1248">
        <v>3.0000008612766898E-3</v>
      </c>
      <c r="L980" s="1250">
        <v>2.0000005741435301E-3</v>
      </c>
      <c r="M980" s="1273">
        <v>2.0000005741435301E-3</v>
      </c>
      <c r="N980" s="1248">
        <v>3.1850009128239903E-2</v>
      </c>
      <c r="O980" s="1249">
        <v>3.1850009128239903E-2</v>
      </c>
      <c r="P980" s="1251">
        <v>1.5925004564119952E-2</v>
      </c>
      <c r="Q980" s="1252">
        <v>5.5452878920598497E-2</v>
      </c>
    </row>
    <row r="981" spans="1:17" s="212" customFormat="1" ht="15.5" x14ac:dyDescent="0.35">
      <c r="A981" s="198">
        <v>2032</v>
      </c>
      <c r="B981" s="197" t="s">
        <v>5842</v>
      </c>
      <c r="C981" s="197">
        <v>2004</v>
      </c>
      <c r="D981" s="213" t="str">
        <f t="shared" si="12"/>
        <v>2032_2004</v>
      </c>
      <c r="E981" s="1267">
        <v>0.577055482446586</v>
      </c>
      <c r="F981" s="1278">
        <v>1.4311191206529799E-2</v>
      </c>
      <c r="G981" s="1248">
        <v>4.1455901377164297</v>
      </c>
      <c r="H981" s="1278">
        <v>0.26804952283626798</v>
      </c>
      <c r="I981" s="1248">
        <v>0.15030462369619099</v>
      </c>
      <c r="J981" s="1278">
        <v>1.3928201976989E-4</v>
      </c>
      <c r="K981" s="1248">
        <v>3.00000086127148E-3</v>
      </c>
      <c r="L981" s="1250">
        <v>2.0000005740782199E-3</v>
      </c>
      <c r="M981" s="1273">
        <v>2.0000005740782199E-3</v>
      </c>
      <c r="N981" s="1248">
        <v>3.1850009128239903E-2</v>
      </c>
      <c r="O981" s="1249">
        <v>3.1850009128239903E-2</v>
      </c>
      <c r="P981" s="1251">
        <v>1.5925004564119952E-2</v>
      </c>
      <c r="Q981" s="1252">
        <v>0.15710073181284301</v>
      </c>
    </row>
    <row r="982" spans="1:17" s="212" customFormat="1" ht="15.5" x14ac:dyDescent="0.35">
      <c r="A982" s="198">
        <v>2032</v>
      </c>
      <c r="B982" s="197" t="s">
        <v>5842</v>
      </c>
      <c r="C982" s="197">
        <v>2005</v>
      </c>
      <c r="D982" s="213" t="str">
        <f t="shared" si="12"/>
        <v>2032_2005</v>
      </c>
      <c r="E982" s="1267">
        <v>0.57482718450690296</v>
      </c>
      <c r="F982" s="1278">
        <v>1.44514820305964E-2</v>
      </c>
      <c r="G982" s="1248">
        <v>4.1384434308468796</v>
      </c>
      <c r="H982" s="1278">
        <v>0.27007330628392101</v>
      </c>
      <c r="I982" s="1248">
        <v>0.149806543491602</v>
      </c>
      <c r="J982" s="1278">
        <v>1.41205743521744E-4</v>
      </c>
      <c r="K982" s="1248">
        <v>3.000000861247E-3</v>
      </c>
      <c r="L982" s="1250">
        <v>2.00000057411669E-3</v>
      </c>
      <c r="M982" s="1273">
        <v>2.00000057411669E-3</v>
      </c>
      <c r="N982" s="1248">
        <v>3.1850009128239903E-2</v>
      </c>
      <c r="O982" s="1249">
        <v>3.1850009128239903E-2</v>
      </c>
      <c r="P982" s="1251">
        <v>1.5925004564119952E-2</v>
      </c>
      <c r="Q982" s="1252">
        <v>0.15658013063160101</v>
      </c>
    </row>
    <row r="983" spans="1:17" s="212" customFormat="1" ht="15.5" x14ac:dyDescent="0.35">
      <c r="A983" s="198">
        <v>2032</v>
      </c>
      <c r="B983" s="197" t="s">
        <v>5842</v>
      </c>
      <c r="C983" s="197">
        <v>2006</v>
      </c>
      <c r="D983" s="213" t="str">
        <f t="shared" si="12"/>
        <v>2032_2006</v>
      </c>
      <c r="E983" s="1267">
        <v>0.57115036371237804</v>
      </c>
      <c r="F983" s="1278">
        <v>1.4612157601577601E-2</v>
      </c>
      <c r="G983" s="1248">
        <v>4.1257380478827699</v>
      </c>
      <c r="H983" s="1278">
        <v>0.27211343902912599</v>
      </c>
      <c r="I983" s="1248">
        <v>0.14897948330049701</v>
      </c>
      <c r="J983" s="1278">
        <v>1.4217488559347701E-4</v>
      </c>
      <c r="K983" s="1248">
        <v>3.0000008612334201E-3</v>
      </c>
      <c r="L983" s="1250">
        <v>2.0000005741316398E-3</v>
      </c>
      <c r="M983" s="1273">
        <v>2.0000005741316398E-3</v>
      </c>
      <c r="N983" s="1248">
        <v>3.1850009128239903E-2</v>
      </c>
      <c r="O983" s="1249">
        <v>3.1850009128239903E-2</v>
      </c>
      <c r="P983" s="1251">
        <v>1.5925004564119952E-2</v>
      </c>
      <c r="Q983" s="1252">
        <v>0.15571567444867901</v>
      </c>
    </row>
    <row r="984" spans="1:17" s="212" customFormat="1" ht="15.5" x14ac:dyDescent="0.35">
      <c r="A984" s="198">
        <v>2032</v>
      </c>
      <c r="B984" s="197" t="s">
        <v>5842</v>
      </c>
      <c r="C984" s="197">
        <v>2007</v>
      </c>
      <c r="D984" s="213" t="str">
        <f t="shared" si="12"/>
        <v>2032_2007</v>
      </c>
      <c r="E984" s="1267">
        <v>0.33321877706283098</v>
      </c>
      <c r="F984" s="1278">
        <v>1.45549030022497E-2</v>
      </c>
      <c r="G984" s="1248">
        <v>2.4836196175259602</v>
      </c>
      <c r="H984" s="1278">
        <v>0.27296459831393699</v>
      </c>
      <c r="I984" s="1248">
        <v>8.7495028658896301E-2</v>
      </c>
      <c r="J984" s="1278">
        <v>1.4527321491646501E-4</v>
      </c>
      <c r="K984" s="1248">
        <v>3.00000086123671E-3</v>
      </c>
      <c r="L984" s="1250">
        <v>2.0000005741864801E-3</v>
      </c>
      <c r="M984" s="1273">
        <v>2.0000005741864801E-3</v>
      </c>
      <c r="N984" s="1248">
        <v>3.1850009128239903E-2</v>
      </c>
      <c r="O984" s="1249">
        <v>3.1850009128239903E-2</v>
      </c>
      <c r="P984" s="1251">
        <v>1.5925004564119952E-2</v>
      </c>
      <c r="Q984" s="1252">
        <v>9.1451165601412102E-2</v>
      </c>
    </row>
    <row r="985" spans="1:17" s="212" customFormat="1" ht="15.5" x14ac:dyDescent="0.35">
      <c r="A985" s="198">
        <v>2032</v>
      </c>
      <c r="B985" s="197" t="s">
        <v>5842</v>
      </c>
      <c r="C985" s="197">
        <v>2008</v>
      </c>
      <c r="D985" s="213" t="str">
        <f t="shared" si="12"/>
        <v>2032_2008</v>
      </c>
      <c r="E985" s="1267">
        <v>0.34067514412239502</v>
      </c>
      <c r="F985" s="1278">
        <v>9.8998315110567295E-3</v>
      </c>
      <c r="G985" s="1248">
        <v>2.5075951068408799</v>
      </c>
      <c r="H985" s="1278">
        <v>0.158518485417069</v>
      </c>
      <c r="I985" s="1248">
        <v>8.9052625243689898E-2</v>
      </c>
      <c r="J985" s="1278">
        <v>1.41446484272411E-4</v>
      </c>
      <c r="K985" s="1248">
        <v>3.00000086132384E-3</v>
      </c>
      <c r="L985" s="1250">
        <v>2.0000005742105802E-3</v>
      </c>
      <c r="M985" s="1273">
        <v>2.0000005742105802E-3</v>
      </c>
      <c r="N985" s="1248">
        <v>3.1850009128239903E-2</v>
      </c>
      <c r="O985" s="1249">
        <v>3.1850009128239903E-2</v>
      </c>
      <c r="P985" s="1251">
        <v>1.5925004564119952E-2</v>
      </c>
      <c r="Q985" s="1252">
        <v>9.3079189792037595E-2</v>
      </c>
    </row>
    <row r="986" spans="1:17" s="212" customFormat="1" ht="15.5" x14ac:dyDescent="0.35">
      <c r="A986" s="198">
        <v>2032</v>
      </c>
      <c r="B986" s="197" t="s">
        <v>5842</v>
      </c>
      <c r="C986" s="197">
        <v>2009</v>
      </c>
      <c r="D986" s="213" t="str">
        <f t="shared" si="12"/>
        <v>2032_2009</v>
      </c>
      <c r="E986" s="1267">
        <v>0.33868533120144201</v>
      </c>
      <c r="F986" s="1278">
        <v>4.8104587590902101E-3</v>
      </c>
      <c r="G986" s="1248">
        <v>2.5017756124608201</v>
      </c>
      <c r="H986" s="1278">
        <v>4.2679734462321602E-2</v>
      </c>
      <c r="I986" s="1248">
        <v>8.8621477897080997E-2</v>
      </c>
      <c r="J986" s="1278">
        <v>1.29982438745798E-4</v>
      </c>
      <c r="K986" s="1248">
        <v>3.0000008612846899E-3</v>
      </c>
      <c r="L986" s="1250">
        <v>2.0000005741543998E-3</v>
      </c>
      <c r="M986" s="1273">
        <v>2.0000005741543998E-3</v>
      </c>
      <c r="N986" s="1248">
        <v>3.1850009128239903E-2</v>
      </c>
      <c r="O986" s="1249">
        <v>3.1850009128239903E-2</v>
      </c>
      <c r="P986" s="1251">
        <v>1.5925004564119952E-2</v>
      </c>
      <c r="Q986" s="1252">
        <v>9.2628547875602998E-2</v>
      </c>
    </row>
    <row r="987" spans="1:17" s="212" customFormat="1" ht="15.5" x14ac:dyDescent="0.35">
      <c r="A987" s="198">
        <v>2032</v>
      </c>
      <c r="B987" s="197" t="s">
        <v>5842</v>
      </c>
      <c r="C987" s="197">
        <v>2010</v>
      </c>
      <c r="D987" s="213" t="str">
        <f t="shared" si="12"/>
        <v>2032_2010</v>
      </c>
      <c r="E987" s="1267">
        <v>9.0202107110126495E-2</v>
      </c>
      <c r="F987" s="1278">
        <v>4.8069880644644701E-3</v>
      </c>
      <c r="G987" s="1248">
        <v>0.82181445022511002</v>
      </c>
      <c r="H987" s="1278">
        <v>4.2685626728036503E-2</v>
      </c>
      <c r="I987" s="1248">
        <v>2.4660081088594198E-2</v>
      </c>
      <c r="J987" s="1278">
        <v>1.5876700251924101E-4</v>
      </c>
      <c r="K987" s="1248">
        <v>3.0000008613297901E-3</v>
      </c>
      <c r="L987" s="1250">
        <v>2.0000005741315401E-3</v>
      </c>
      <c r="M987" s="1273">
        <v>2.0000005741315401E-3</v>
      </c>
      <c r="N987" s="1248">
        <v>3.1850009128239903E-2</v>
      </c>
      <c r="O987" s="1249">
        <v>3.1850009128239903E-2</v>
      </c>
      <c r="P987" s="1251">
        <v>1.5925004564119952E-2</v>
      </c>
      <c r="Q987" s="1252">
        <v>2.5775100527931201E-2</v>
      </c>
    </row>
    <row r="988" spans="1:17" s="212" customFormat="1" ht="15.5" x14ac:dyDescent="0.35">
      <c r="A988" s="198">
        <v>2032</v>
      </c>
      <c r="B988" s="197" t="s">
        <v>5842</v>
      </c>
      <c r="C988" s="197">
        <v>2011</v>
      </c>
      <c r="D988" s="213" t="str">
        <f t="shared" si="12"/>
        <v>2032_2011</v>
      </c>
      <c r="E988" s="1267">
        <v>8.9128888532457595E-2</v>
      </c>
      <c r="F988" s="1278">
        <v>4.9753387578661597E-3</v>
      </c>
      <c r="G988" s="1248">
        <v>0.81441088888966195</v>
      </c>
      <c r="H988" s="1278">
        <v>4.2186726902874401E-2</v>
      </c>
      <c r="I988" s="1248">
        <v>2.43230956738144E-2</v>
      </c>
      <c r="J988" s="1278">
        <v>2.1706407924029501E-4</v>
      </c>
      <c r="K988" s="1248">
        <v>3.00000086130073E-3</v>
      </c>
      <c r="L988" s="1250">
        <v>2.0000005742313301E-3</v>
      </c>
      <c r="M988" s="1273">
        <v>2.0000005742313301E-3</v>
      </c>
      <c r="N988" s="1248">
        <v>3.1850009128239903E-2</v>
      </c>
      <c r="O988" s="1249">
        <v>3.1850009128239903E-2</v>
      </c>
      <c r="P988" s="1251">
        <v>1.5925004564119952E-2</v>
      </c>
      <c r="Q988" s="1252">
        <v>2.5422878128045698E-2</v>
      </c>
    </row>
    <row r="989" spans="1:17" s="212" customFormat="1" ht="15.5" x14ac:dyDescent="0.35">
      <c r="A989" s="198">
        <v>2032</v>
      </c>
      <c r="B989" s="197" t="s">
        <v>5842</v>
      </c>
      <c r="C989" s="197">
        <v>2012</v>
      </c>
      <c r="D989" s="213" t="str">
        <f t="shared" si="12"/>
        <v>2032_2012</v>
      </c>
      <c r="E989" s="1267">
        <v>8.9517357275920306E-2</v>
      </c>
      <c r="F989" s="1278">
        <v>4.9499465154490803E-3</v>
      </c>
      <c r="G989" s="1248">
        <v>0.812226839491479</v>
      </c>
      <c r="H989" s="1278">
        <v>4.1886936369067103E-2</v>
      </c>
      <c r="I989" s="1248">
        <v>2.4211274952880599E-2</v>
      </c>
      <c r="J989" s="1278">
        <v>3.1694363649443699E-4</v>
      </c>
      <c r="K989" s="1248">
        <v>3.0000008613591798E-3</v>
      </c>
      <c r="L989" s="1250">
        <v>2.0000005742400401E-3</v>
      </c>
      <c r="M989" s="1273">
        <v>2.0000005742400401E-3</v>
      </c>
      <c r="N989" s="1248">
        <v>3.1850009128239903E-2</v>
      </c>
      <c r="O989" s="1249">
        <v>3.1850009128239903E-2</v>
      </c>
      <c r="P989" s="1251">
        <v>1.5925004564119952E-2</v>
      </c>
      <c r="Q989" s="1252">
        <v>2.5306001370308501E-2</v>
      </c>
    </row>
    <row r="990" spans="1:17" s="212" customFormat="1" ht="15.5" x14ac:dyDescent="0.35">
      <c r="A990" s="198">
        <v>2032</v>
      </c>
      <c r="B990" s="197" t="s">
        <v>5842</v>
      </c>
      <c r="C990" s="197">
        <v>2013</v>
      </c>
      <c r="D990" s="213" t="str">
        <f t="shared" si="12"/>
        <v>2032_2013</v>
      </c>
      <c r="E990" s="1267">
        <v>8.9096305326182998E-2</v>
      </c>
      <c r="F990" s="1278">
        <v>4.99412485166422E-3</v>
      </c>
      <c r="G990" s="1248">
        <v>0.80443556156974205</v>
      </c>
      <c r="H990" s="1278">
        <v>4.1430333698104699E-2</v>
      </c>
      <c r="I990" s="1248">
        <v>2.3885462960630599E-2</v>
      </c>
      <c r="J990" s="1278">
        <v>4.7586770456990198E-4</v>
      </c>
      <c r="K990" s="1248">
        <v>3.0000008613830999E-3</v>
      </c>
      <c r="L990" s="1250">
        <v>2.0000005742763101E-3</v>
      </c>
      <c r="M990" s="1273">
        <v>2.0000005742763101E-3</v>
      </c>
      <c r="N990" s="1248">
        <v>3.1850009128239903E-2</v>
      </c>
      <c r="O990" s="1249">
        <v>3.1850009128239903E-2</v>
      </c>
      <c r="P990" s="1251">
        <v>1.5925004564119952E-2</v>
      </c>
      <c r="Q990" s="1252">
        <v>2.4965457605538099E-2</v>
      </c>
    </row>
    <row r="991" spans="1:17" s="212" customFormat="1" ht="15.5" x14ac:dyDescent="0.35">
      <c r="A991" s="198">
        <v>2032</v>
      </c>
      <c r="B991" s="197" t="s">
        <v>5842</v>
      </c>
      <c r="C991" s="197">
        <v>2014</v>
      </c>
      <c r="D991" s="213" t="str">
        <f t="shared" si="12"/>
        <v>2032_2014</v>
      </c>
      <c r="E991" s="1267">
        <v>8.7588387248827004E-2</v>
      </c>
      <c r="F991" s="1278">
        <v>4.8754065747743302E-3</v>
      </c>
      <c r="G991" s="1248">
        <v>0.79260485242165402</v>
      </c>
      <c r="H991" s="1278">
        <v>4.1414150891912999E-2</v>
      </c>
      <c r="I991" s="1248">
        <v>2.3331781340382499E-2</v>
      </c>
      <c r="J991" s="1278">
        <v>6.6078294589016204E-4</v>
      </c>
      <c r="K991" s="1248">
        <v>3.0000008613195301E-3</v>
      </c>
      <c r="L991" s="1250">
        <v>2.0000005742316401E-3</v>
      </c>
      <c r="M991" s="1273">
        <v>2.0000005742316401E-3</v>
      </c>
      <c r="N991" s="1248">
        <v>3.1850009128239903E-2</v>
      </c>
      <c r="O991" s="1249">
        <v>3.1850009128239903E-2</v>
      </c>
      <c r="P991" s="1251">
        <v>1.5925004564119952E-2</v>
      </c>
      <c r="Q991" s="1252">
        <v>2.4386740959348299E-2</v>
      </c>
    </row>
    <row r="992" spans="1:17" s="212" customFormat="1" ht="15.5" x14ac:dyDescent="0.35">
      <c r="A992" s="198">
        <v>2032</v>
      </c>
      <c r="B992" s="197" t="s">
        <v>5842</v>
      </c>
      <c r="C992" s="197">
        <v>2015</v>
      </c>
      <c r="D992" s="213" t="str">
        <f t="shared" si="12"/>
        <v>2032_2015</v>
      </c>
      <c r="E992" s="1267">
        <v>8.7277239239849203E-2</v>
      </c>
      <c r="F992" s="1278">
        <v>4.9860710154951398E-3</v>
      </c>
      <c r="G992" s="1248">
        <v>0.78441673981221405</v>
      </c>
      <c r="H992" s="1278">
        <v>4.0905940318456999E-2</v>
      </c>
      <c r="I992" s="1248">
        <v>2.2943105651899599E-2</v>
      </c>
      <c r="J992" s="1278">
        <v>8.3620996098465598E-4</v>
      </c>
      <c r="K992" s="1248">
        <v>3.0000008613293E-3</v>
      </c>
      <c r="L992" s="1250">
        <v>2.0000005742667002E-3</v>
      </c>
      <c r="M992" s="1273">
        <v>2.0000005742667002E-3</v>
      </c>
      <c r="N992" s="1248">
        <v>3.1850009128239903E-2</v>
      </c>
      <c r="O992" s="1249">
        <v>3.1850009128239903E-2</v>
      </c>
      <c r="P992" s="1251">
        <v>1.5925004564119952E-2</v>
      </c>
      <c r="Q992" s="1252">
        <v>2.3980491080954899E-2</v>
      </c>
    </row>
    <row r="993" spans="1:17" s="212" customFormat="1" ht="15.5" x14ac:dyDescent="0.35">
      <c r="A993" s="198">
        <v>2032</v>
      </c>
      <c r="B993" s="197" t="s">
        <v>5842</v>
      </c>
      <c r="C993" s="197">
        <v>2016</v>
      </c>
      <c r="D993" s="213" t="str">
        <f t="shared" si="12"/>
        <v>2032_2016</v>
      </c>
      <c r="E993" s="1267">
        <v>8.6764449026192902E-2</v>
      </c>
      <c r="F993" s="1278">
        <v>4.5766315750136403E-3</v>
      </c>
      <c r="G993" s="1248">
        <v>0.68443869597566698</v>
      </c>
      <c r="H993" s="1278">
        <v>3.7785432352314803E-2</v>
      </c>
      <c r="I993" s="1248">
        <v>2.2469227466012001E-2</v>
      </c>
      <c r="J993" s="1278">
        <v>9.6226595489743599E-4</v>
      </c>
      <c r="K993" s="1248">
        <v>3.00000086134455E-3</v>
      </c>
      <c r="L993" s="1250">
        <v>2.00000057424794E-3</v>
      </c>
      <c r="M993" s="1273">
        <v>2.00000057424794E-3</v>
      </c>
      <c r="N993" s="1248">
        <v>3.1850009128239903E-2</v>
      </c>
      <c r="O993" s="1249">
        <v>3.1850009128239903E-2</v>
      </c>
      <c r="P993" s="1251">
        <v>1.5925004564119952E-2</v>
      </c>
      <c r="Q993" s="1252">
        <v>2.34851862263049E-2</v>
      </c>
    </row>
    <row r="994" spans="1:17" s="212" customFormat="1" ht="15.5" x14ac:dyDescent="0.35">
      <c r="A994" s="198">
        <v>2032</v>
      </c>
      <c r="B994" s="197" t="s">
        <v>5842</v>
      </c>
      <c r="C994" s="197">
        <v>2017</v>
      </c>
      <c r="D994" s="213" t="str">
        <f t="shared" si="12"/>
        <v>2032_2017</v>
      </c>
      <c r="E994" s="1267">
        <v>8.5035577272441196E-2</v>
      </c>
      <c r="F994" s="1278">
        <v>4.3123618141165197E-3</v>
      </c>
      <c r="G994" s="1248">
        <v>0.58193138041961101</v>
      </c>
      <c r="H994" s="1278">
        <v>3.4690037954120602E-2</v>
      </c>
      <c r="I994" s="1248">
        <v>2.1727840461330101E-2</v>
      </c>
      <c r="J994" s="1278">
        <v>1.03761832370346E-3</v>
      </c>
      <c r="K994" s="1248">
        <v>3.0000008612904201E-3</v>
      </c>
      <c r="L994" s="1250">
        <v>2.0000005743000299E-3</v>
      </c>
      <c r="M994" s="1273">
        <v>2.0000005743000299E-3</v>
      </c>
      <c r="N994" s="1248">
        <v>3.1850009128239903E-2</v>
      </c>
      <c r="O994" s="1249">
        <v>3.1850009128239903E-2</v>
      </c>
      <c r="P994" s="1251">
        <v>1.5925004564119952E-2</v>
      </c>
      <c r="Q994" s="1252">
        <v>2.27102769911273E-2</v>
      </c>
    </row>
    <row r="995" spans="1:17" s="212" customFormat="1" ht="15.5" x14ac:dyDescent="0.35">
      <c r="A995" s="198">
        <v>2032</v>
      </c>
      <c r="B995" s="197" t="s">
        <v>5842</v>
      </c>
      <c r="C995" s="197">
        <v>2018</v>
      </c>
      <c r="D995" s="213" t="str">
        <f t="shared" si="12"/>
        <v>2032_2018</v>
      </c>
      <c r="E995" s="1267">
        <v>8.5070063189186806E-2</v>
      </c>
      <c r="F995" s="1278">
        <v>3.8110886205008502E-3</v>
      </c>
      <c r="G995" s="1248">
        <v>0.47577552329894501</v>
      </c>
      <c r="H995" s="1278">
        <v>3.0794916001377501E-2</v>
      </c>
      <c r="I995" s="1248">
        <v>2.12533559617329E-2</v>
      </c>
      <c r="J995" s="1278">
        <v>1.0792860372164899E-3</v>
      </c>
      <c r="K995" s="1248">
        <v>3.0000008613507399E-3</v>
      </c>
      <c r="L995" s="1250">
        <v>2.0000005742516801E-3</v>
      </c>
      <c r="M995" s="1273">
        <v>2.0000005742516801E-3</v>
      </c>
      <c r="N995" s="1248">
        <v>3.1850009128239903E-2</v>
      </c>
      <c r="O995" s="1249">
        <v>3.1850009128239903E-2</v>
      </c>
      <c r="P995" s="1251">
        <v>1.5925004564119952E-2</v>
      </c>
      <c r="Q995" s="1252">
        <v>2.22143384079522E-2</v>
      </c>
    </row>
    <row r="996" spans="1:17" s="212" customFormat="1" ht="15.5" x14ac:dyDescent="0.35">
      <c r="A996" s="198">
        <v>2032</v>
      </c>
      <c r="B996" s="197" t="s">
        <v>5842</v>
      </c>
      <c r="C996" s="197">
        <v>2019</v>
      </c>
      <c r="D996" s="213" t="str">
        <f t="shared" si="12"/>
        <v>2032_2019</v>
      </c>
      <c r="E996" s="1267">
        <v>8.4386428976750499E-2</v>
      </c>
      <c r="F996" s="1278">
        <v>3.3082069854693799E-3</v>
      </c>
      <c r="G996" s="1248">
        <v>0.40509513012069498</v>
      </c>
      <c r="H996" s="1278">
        <v>2.698248043274E-2</v>
      </c>
      <c r="I996" s="1248">
        <v>2.0595255539195299E-2</v>
      </c>
      <c r="J996" s="1278">
        <v>1.1008173669780599E-3</v>
      </c>
      <c r="K996" s="1248">
        <v>3.00000086139967E-3</v>
      </c>
      <c r="L996" s="1250">
        <v>2.0000005742052298E-3</v>
      </c>
      <c r="M996" s="1273">
        <v>2.0000005742052298E-3</v>
      </c>
      <c r="N996" s="1248">
        <v>3.1850009128239903E-2</v>
      </c>
      <c r="O996" s="1249">
        <v>3.1850009128239903E-2</v>
      </c>
      <c r="P996" s="1251">
        <v>1.5925004564119952E-2</v>
      </c>
      <c r="Q996" s="1252">
        <v>2.1526481604584799E-2</v>
      </c>
    </row>
    <row r="997" spans="1:17" s="212" customFormat="1" ht="15.5" x14ac:dyDescent="0.35">
      <c r="A997" s="198">
        <v>2032</v>
      </c>
      <c r="B997" s="197" t="s">
        <v>5842</v>
      </c>
      <c r="C997" s="197">
        <v>2020</v>
      </c>
      <c r="D997" s="213" t="str">
        <f t="shared" si="12"/>
        <v>2032_2020</v>
      </c>
      <c r="E997" s="1267">
        <v>7.3655463579278796E-2</v>
      </c>
      <c r="F997" s="1278">
        <v>2.7269355556890202E-3</v>
      </c>
      <c r="G997" s="1248">
        <v>0.31394659278937498</v>
      </c>
      <c r="H997" s="1278">
        <v>2.3596743300957301E-2</v>
      </c>
      <c r="I997" s="1248">
        <v>1.8178045019591301E-2</v>
      </c>
      <c r="J997" s="1278">
        <v>1.0879688121440501E-3</v>
      </c>
      <c r="K997" s="1248">
        <v>3.0000008609711699E-3</v>
      </c>
      <c r="L997" s="1250">
        <v>2.0000005740770902E-3</v>
      </c>
      <c r="M997" s="1273">
        <v>2.0000005740770902E-3</v>
      </c>
      <c r="N997" s="1248">
        <v>3.1850009128239903E-2</v>
      </c>
      <c r="O997" s="1249">
        <v>3.1850009128239903E-2</v>
      </c>
      <c r="P997" s="1251">
        <v>1.5925004564119952E-2</v>
      </c>
      <c r="Q997" s="1252">
        <v>1.89999755514971E-2</v>
      </c>
    </row>
    <row r="998" spans="1:17" s="212" customFormat="1" ht="15.5" x14ac:dyDescent="0.35">
      <c r="A998" s="198">
        <v>2032</v>
      </c>
      <c r="B998" s="197" t="s">
        <v>5842</v>
      </c>
      <c r="C998" s="197">
        <v>2021</v>
      </c>
      <c r="D998" s="213" t="str">
        <f t="shared" si="12"/>
        <v>2032_2021</v>
      </c>
      <c r="E998" s="1267">
        <v>7.2686020949126101E-2</v>
      </c>
      <c r="F998" s="1278">
        <v>2.34911454051697E-3</v>
      </c>
      <c r="G998" s="1248">
        <v>0.25101805768104002</v>
      </c>
      <c r="H998" s="1278">
        <v>2.0087555447923601E-2</v>
      </c>
      <c r="I998" s="1248">
        <v>1.74174933451949E-2</v>
      </c>
      <c r="J998" s="1278">
        <v>1.0881449827717399E-3</v>
      </c>
      <c r="K998" s="1248">
        <v>3.0000008609734501E-3</v>
      </c>
      <c r="L998" s="1250">
        <v>2.0000005740788002E-3</v>
      </c>
      <c r="M998" s="1273">
        <v>2.0000005740788002E-3</v>
      </c>
      <c r="N998" s="1248">
        <v>3.1850009128239903E-2</v>
      </c>
      <c r="O998" s="1249">
        <v>3.1850009128239903E-2</v>
      </c>
      <c r="P998" s="1251">
        <v>1.5925004564119952E-2</v>
      </c>
      <c r="Q998" s="1252">
        <v>1.8205035105282499E-2</v>
      </c>
    </row>
    <row r="999" spans="1:17" s="212" customFormat="1" ht="15.5" x14ac:dyDescent="0.35">
      <c r="A999" s="198">
        <v>2032</v>
      </c>
      <c r="B999" s="197" t="s">
        <v>5842</v>
      </c>
      <c r="C999" s="197">
        <v>2022</v>
      </c>
      <c r="D999" s="213" t="str">
        <f t="shared" si="12"/>
        <v>2032_2022</v>
      </c>
      <c r="E999" s="1267">
        <v>7.1636539470974397E-2</v>
      </c>
      <c r="F999" s="1278">
        <v>1.9672071234852601E-3</v>
      </c>
      <c r="G999" s="1248">
        <v>0.18941348998445201</v>
      </c>
      <c r="H999" s="1278">
        <v>1.66074441384629E-2</v>
      </c>
      <c r="I999" s="1248">
        <v>1.65965122344531E-2</v>
      </c>
      <c r="J999" s="1278">
        <v>1.088313424139E-3</v>
      </c>
      <c r="K999" s="1248">
        <v>3.0000008609756602E-3</v>
      </c>
      <c r="L999" s="1250">
        <v>2.0000005740804499E-3</v>
      </c>
      <c r="M999" s="1273">
        <v>2.0000005740804499E-3</v>
      </c>
      <c r="N999" s="1248">
        <v>3.1850009128239903E-2</v>
      </c>
      <c r="O999" s="1249">
        <v>3.1850009128239903E-2</v>
      </c>
      <c r="P999" s="1251">
        <v>1.5925004564119952E-2</v>
      </c>
      <c r="Q999" s="1252">
        <v>1.73469328717628E-2</v>
      </c>
    </row>
    <row r="1000" spans="1:17" s="212" customFormat="1" ht="15.5" x14ac:dyDescent="0.35">
      <c r="A1000" s="198">
        <v>2032</v>
      </c>
      <c r="B1000" s="197" t="s">
        <v>5842</v>
      </c>
      <c r="C1000" s="197">
        <v>2023</v>
      </c>
      <c r="D1000" s="213" t="str">
        <f t="shared" si="12"/>
        <v>2032_2023</v>
      </c>
      <c r="E1000" s="1267">
        <v>7.0507159222721202E-2</v>
      </c>
      <c r="F1000" s="1278">
        <v>1.9852836488531999E-3</v>
      </c>
      <c r="G1000" s="1248">
        <v>0.18365023812300499</v>
      </c>
      <c r="H1000" s="1278">
        <v>1.6517860575433901E-2</v>
      </c>
      <c r="I1000" s="1248">
        <v>1.5715097787399799E-2</v>
      </c>
      <c r="J1000" s="1278">
        <v>1.08847301373101E-3</v>
      </c>
      <c r="K1000" s="1248">
        <v>3.00000086097779E-3</v>
      </c>
      <c r="L1000" s="1250">
        <v>2.0000005740820502E-3</v>
      </c>
      <c r="M1000" s="1273">
        <v>2.0000005740820502E-3</v>
      </c>
      <c r="N1000" s="1248">
        <v>3.1850009128239903E-2</v>
      </c>
      <c r="O1000" s="1249">
        <v>3.1850009128239903E-2</v>
      </c>
      <c r="P1000" s="1251">
        <v>1.5925004564119952E-2</v>
      </c>
      <c r="Q1000" s="1252">
        <v>1.6425664774632399E-2</v>
      </c>
    </row>
    <row r="1001" spans="1:17" s="212" customFormat="1" ht="15.5" x14ac:dyDescent="0.35">
      <c r="A1001" s="198">
        <v>2032</v>
      </c>
      <c r="B1001" s="197" t="s">
        <v>5842</v>
      </c>
      <c r="C1001" s="197">
        <v>2024</v>
      </c>
      <c r="D1001" s="213" t="str">
        <f t="shared" si="12"/>
        <v>2032_2024</v>
      </c>
      <c r="E1001" s="1267">
        <v>6.9297367515348998E-2</v>
      </c>
      <c r="F1001" s="1278">
        <v>1.9949074401459598E-3</v>
      </c>
      <c r="G1001" s="1248">
        <v>0.17749061044667799</v>
      </c>
      <c r="H1001" s="1278">
        <v>1.6316324088261499E-2</v>
      </c>
      <c r="I1001" s="1248">
        <v>1.47731645031256E-2</v>
      </c>
      <c r="J1001" s="1278">
        <v>1.0886229076309201E-3</v>
      </c>
      <c r="K1001" s="1248">
        <v>3.0000008609798201E-3</v>
      </c>
      <c r="L1001" s="1250">
        <v>2.0000005740835698E-3</v>
      </c>
      <c r="M1001" s="1275">
        <v>2.0000005740132098E-3</v>
      </c>
      <c r="N1001" s="1248">
        <v>3.1850009128239903E-2</v>
      </c>
      <c r="O1001" s="1249">
        <v>3.1850009128239903E-2</v>
      </c>
      <c r="P1001" s="1260">
        <v>1.59250045641199E-2</v>
      </c>
      <c r="Q1001" s="1252">
        <v>1.5441141447010399E-2</v>
      </c>
    </row>
    <row r="1002" spans="1:17" s="212" customFormat="1" ht="15.5" x14ac:dyDescent="0.35">
      <c r="A1002" s="198">
        <v>2032</v>
      </c>
      <c r="B1002" s="197" t="s">
        <v>5842</v>
      </c>
      <c r="C1002" s="197">
        <v>2025</v>
      </c>
      <c r="D1002" s="213" t="str">
        <f t="shared" si="12"/>
        <v>2032_2025</v>
      </c>
      <c r="E1002" s="1267">
        <v>6.80066539744454E-2</v>
      </c>
      <c r="F1002" s="1278">
        <v>1.99629242274732E-3</v>
      </c>
      <c r="G1002" s="1248">
        <v>0.170933932620879</v>
      </c>
      <c r="H1002" s="1278">
        <v>1.6003738625381202E-2</v>
      </c>
      <c r="I1002" s="1248">
        <v>1.37706347850451E-2</v>
      </c>
      <c r="J1002" s="1278">
        <v>1.08876042629619E-3</v>
      </c>
      <c r="K1002" s="1248">
        <v>3.00000086098172E-3</v>
      </c>
      <c r="L1002" s="1250">
        <v>2.0000005740850001E-3</v>
      </c>
      <c r="M1002" s="1275">
        <v>2.0000005740147399E-3</v>
      </c>
      <c r="N1002" s="1248">
        <v>3.1850009128239903E-2</v>
      </c>
      <c r="O1002" s="1249">
        <v>3.1850009128239903E-2</v>
      </c>
      <c r="P1002" s="1260">
        <v>1.59250045641199E-2</v>
      </c>
      <c r="Q1002" s="1252">
        <v>1.4393281783738001E-2</v>
      </c>
    </row>
    <row r="1003" spans="1:17" s="212" customFormat="1" ht="15.5" x14ac:dyDescent="0.35">
      <c r="A1003" s="198">
        <v>2032</v>
      </c>
      <c r="B1003" s="197" t="s">
        <v>5842</v>
      </c>
      <c r="C1003" s="197">
        <v>2026</v>
      </c>
      <c r="D1003" s="213" t="str">
        <f t="shared" si="12"/>
        <v>2032_2026</v>
      </c>
      <c r="E1003" s="1267">
        <v>6.6636788624794094E-2</v>
      </c>
      <c r="F1003" s="1278">
        <v>1.9981237953267598E-3</v>
      </c>
      <c r="G1003" s="1248">
        <v>0.16400061854871201</v>
      </c>
      <c r="H1003" s="1278">
        <v>1.5670201816207499E-2</v>
      </c>
      <c r="I1003" s="1248">
        <v>1.2707768179544301E-2</v>
      </c>
      <c r="J1003" s="1278">
        <v>1.0888984235254699E-3</v>
      </c>
      <c r="K1003" s="1248">
        <v>3.0000008609836299E-3</v>
      </c>
      <c r="L1003" s="1250">
        <v>2.0000005740864299E-3</v>
      </c>
      <c r="M1003" s="1275">
        <v>2.00000057401624E-3</v>
      </c>
      <c r="N1003" s="1248">
        <v>3.1850009128239903E-2</v>
      </c>
      <c r="O1003" s="1249">
        <v>3.1850009128239903E-2</v>
      </c>
      <c r="P1003" s="1260">
        <v>1.59250045641199E-2</v>
      </c>
      <c r="Q1003" s="1252">
        <v>1.3282357066737201E-2</v>
      </c>
    </row>
    <row r="1004" spans="1:17" s="212" customFormat="1" ht="15.5" x14ac:dyDescent="0.35">
      <c r="A1004" s="198">
        <v>2032</v>
      </c>
      <c r="B1004" s="197" t="s">
        <v>5842</v>
      </c>
      <c r="C1004" s="197">
        <v>2027</v>
      </c>
      <c r="D1004" s="213" t="str">
        <f t="shared" si="12"/>
        <v>2032_2027</v>
      </c>
      <c r="E1004" s="1267">
        <v>6.5188946038915799E-2</v>
      </c>
      <c r="F1004" s="1278">
        <v>2.0268331613443901E-3</v>
      </c>
      <c r="G1004" s="1248">
        <v>0.15665557430065999</v>
      </c>
      <c r="H1004" s="1278">
        <v>1.55768208941194E-2</v>
      </c>
      <c r="I1004" s="1248">
        <v>1.15846701848593E-2</v>
      </c>
      <c r="J1004" s="1278">
        <v>1.08904153091291E-3</v>
      </c>
      <c r="K1004" s="1248">
        <v>3.0000008609856201E-3</v>
      </c>
      <c r="L1004" s="1250">
        <v>2.0000005740879101E-3</v>
      </c>
      <c r="M1004" s="1275">
        <v>2.0000005740180198E-3</v>
      </c>
      <c r="N1004" s="1248">
        <v>3.1850009128239903E-2</v>
      </c>
      <c r="O1004" s="1249">
        <v>3.1850009128239903E-2</v>
      </c>
      <c r="P1004" s="1260">
        <v>1.59250045641199E-2</v>
      </c>
      <c r="Q1004" s="1252">
        <v>1.2108477564406099E-2</v>
      </c>
    </row>
    <row r="1005" spans="1:17" s="212" customFormat="1" ht="15.5" x14ac:dyDescent="0.35">
      <c r="A1005" s="198">
        <v>2032</v>
      </c>
      <c r="B1005" s="197" t="s">
        <v>5842</v>
      </c>
      <c r="C1005" s="197">
        <v>2028</v>
      </c>
      <c r="D1005" s="213" t="str">
        <f t="shared" si="12"/>
        <v>2032_2028</v>
      </c>
      <c r="E1005" s="1267">
        <v>6.3662292388375494E-2</v>
      </c>
      <c r="F1005" s="1278">
        <v>2.11503626154976E-3</v>
      </c>
      <c r="G1005" s="1248">
        <v>0.14891608917211499</v>
      </c>
      <c r="H1005" s="1278">
        <v>1.6061018988905301E-2</v>
      </c>
      <c r="I1005" s="1248">
        <v>1.0401177852229E-2</v>
      </c>
      <c r="J1005" s="1278">
        <v>1.08918669219058E-3</v>
      </c>
      <c r="K1005" s="1248">
        <v>3.0000008609876302E-3</v>
      </c>
      <c r="L1005" s="1250">
        <v>2.0000005740894301E-3</v>
      </c>
      <c r="M1005" s="1275">
        <v>2.00000057401998E-3</v>
      </c>
      <c r="N1005" s="1248">
        <v>3.1850009128239903E-2</v>
      </c>
      <c r="O1005" s="1249">
        <v>3.1850009128239903E-2</v>
      </c>
      <c r="P1005" s="1260">
        <v>1.59250045641199E-2</v>
      </c>
      <c r="Q1005" s="1252">
        <v>1.08714729601636E-2</v>
      </c>
    </row>
    <row r="1006" spans="1:17" s="212" customFormat="1" ht="15.5" x14ac:dyDescent="0.35">
      <c r="A1006" s="198">
        <v>2032</v>
      </c>
      <c r="B1006" s="197" t="s">
        <v>5842</v>
      </c>
      <c r="C1006" s="197">
        <v>2029</v>
      </c>
      <c r="D1006" s="213" t="str">
        <f t="shared" si="12"/>
        <v>2032_2029</v>
      </c>
      <c r="E1006" s="1267">
        <v>6.2056414057337597E-2</v>
      </c>
      <c r="F1006" s="1278">
        <v>2.2951008483745499E-3</v>
      </c>
      <c r="G1006" s="1248">
        <v>0.14078157944736999</v>
      </c>
      <c r="H1006" s="1278">
        <v>1.7458361686002101E-2</v>
      </c>
      <c r="I1006" s="1248">
        <v>9.1571967194956708E-3</v>
      </c>
      <c r="J1006" s="1278">
        <v>1.0893329610571899E-3</v>
      </c>
      <c r="K1006" s="1248">
        <v>3.0000008609896698E-3</v>
      </c>
      <c r="L1006" s="1250">
        <v>2.0000005740909502E-3</v>
      </c>
      <c r="M1006" s="1275">
        <v>2.0000005740220101E-3</v>
      </c>
      <c r="N1006" s="1248">
        <v>3.1850009128239903E-2</v>
      </c>
      <c r="O1006" s="1249">
        <v>3.1850009128239903E-2</v>
      </c>
      <c r="P1006" s="1260">
        <v>1.59250045641199E-2</v>
      </c>
      <c r="Q1006" s="1252">
        <v>9.5712445206926396E-3</v>
      </c>
    </row>
    <row r="1007" spans="1:17" s="212" customFormat="1" ht="15.5" x14ac:dyDescent="0.35">
      <c r="A1007" s="198">
        <v>2032</v>
      </c>
      <c r="B1007" s="197" t="s">
        <v>5842</v>
      </c>
      <c r="C1007" s="197">
        <v>2030</v>
      </c>
      <c r="D1007" s="213" t="str">
        <f t="shared" si="12"/>
        <v>2032_2030</v>
      </c>
      <c r="E1007" s="1267">
        <v>6.0371456199451702E-2</v>
      </c>
      <c r="F1007" s="1278">
        <v>2.5648610863522399E-3</v>
      </c>
      <c r="G1007" s="1248">
        <v>0.13225192821510501</v>
      </c>
      <c r="H1007" s="1278">
        <v>1.9761744462514101E-2</v>
      </c>
      <c r="I1007" s="1248">
        <v>7.8526898857353301E-3</v>
      </c>
      <c r="J1007" s="1278">
        <v>1.0894805790671799E-3</v>
      </c>
      <c r="K1007" s="1248">
        <v>3.0000008609917298E-3</v>
      </c>
      <c r="L1007" s="1250">
        <v>2.0000005740924902E-3</v>
      </c>
      <c r="M1007" s="1275">
        <v>2.0000005740240701E-3</v>
      </c>
      <c r="N1007" s="1248">
        <v>3.1850009128239903E-2</v>
      </c>
      <c r="O1007" s="1249">
        <v>3.1850009128239903E-2</v>
      </c>
      <c r="P1007" s="1260">
        <v>1.59250045641199E-2</v>
      </c>
      <c r="Q1007" s="1252">
        <v>8.2077536765729903E-3</v>
      </c>
    </row>
    <row r="1008" spans="1:17" s="212" customFormat="1" ht="15.5" x14ac:dyDescent="0.35">
      <c r="A1008" s="198">
        <v>2032</v>
      </c>
      <c r="B1008" s="197" t="s">
        <v>5842</v>
      </c>
      <c r="C1008" s="197">
        <v>2031</v>
      </c>
      <c r="D1008" s="213" t="str">
        <f t="shared" si="12"/>
        <v>2032_2031</v>
      </c>
      <c r="E1008" s="1267">
        <v>5.8607563085893703E-2</v>
      </c>
      <c r="F1008" s="1278">
        <v>2.8221610344740401E-3</v>
      </c>
      <c r="G1008" s="1248">
        <v>0.123327108200171</v>
      </c>
      <c r="H1008" s="1278">
        <v>2.19644804352708E-2</v>
      </c>
      <c r="I1008" s="1248">
        <v>6.4876105465059598E-3</v>
      </c>
      <c r="J1008" s="1278">
        <v>1.0896309476529701E-3</v>
      </c>
      <c r="K1008" s="1248">
        <v>3.0000008609938401E-3</v>
      </c>
      <c r="L1008" s="1250">
        <v>2.0000005740940701E-3</v>
      </c>
      <c r="M1008" s="1275">
        <v>2.0000005740258299E-3</v>
      </c>
      <c r="N1008" s="1248">
        <v>3.1850009128239903E-2</v>
      </c>
      <c r="O1008" s="1249">
        <v>3.1850009128239903E-2</v>
      </c>
      <c r="P1008" s="1260">
        <v>1.59250045641199E-2</v>
      </c>
      <c r="Q1008" s="1252">
        <v>6.7809515070735302E-3</v>
      </c>
    </row>
    <row r="1009" spans="1:17" s="212" customFormat="1" ht="15.5" x14ac:dyDescent="0.35">
      <c r="A1009" s="198">
        <v>2032</v>
      </c>
      <c r="B1009" s="197" t="s">
        <v>5842</v>
      </c>
      <c r="C1009" s="197">
        <v>2032</v>
      </c>
      <c r="D1009" s="213" t="str">
        <f t="shared" si="12"/>
        <v>2032_2032</v>
      </c>
      <c r="E1009" s="1267">
        <v>5.6764139059482403E-2</v>
      </c>
      <c r="F1009" s="1278">
        <v>2.7484603305359401E-3</v>
      </c>
      <c r="G1009" s="1248">
        <v>0.114006342888803</v>
      </c>
      <c r="H1009" s="1278">
        <v>2.08928308698757E-2</v>
      </c>
      <c r="I1009" s="1248">
        <v>5.06184987703618E-3</v>
      </c>
      <c r="J1009" s="1278">
        <v>1.0897822959382399E-3</v>
      </c>
      <c r="K1009" s="1248">
        <v>3.0000008609959699E-3</v>
      </c>
      <c r="L1009" s="1250">
        <v>2.0000005740956699E-3</v>
      </c>
      <c r="M1009" s="1275">
        <v>2.0000005740252202E-3</v>
      </c>
      <c r="N1009" s="1248">
        <v>3.1850009128239903E-2</v>
      </c>
      <c r="O1009" s="1249">
        <v>3.1850009128239903E-2</v>
      </c>
      <c r="P1009" s="1260">
        <v>1.59250045641199E-2</v>
      </c>
      <c r="Q1009" s="1252">
        <v>5.2907242668495903E-3</v>
      </c>
    </row>
    <row r="1010" spans="1:17" s="212" customFormat="1" ht="15.5" x14ac:dyDescent="0.35">
      <c r="A1010" s="198">
        <v>2032</v>
      </c>
      <c r="B1010" s="197" t="s">
        <v>5842</v>
      </c>
      <c r="C1010" s="197">
        <v>2033</v>
      </c>
      <c r="D1010" s="213" t="str">
        <f t="shared" si="12"/>
        <v>2032_2033</v>
      </c>
      <c r="E1010" s="1268">
        <v>5.6764139059482403E-2</v>
      </c>
      <c r="F1010" s="1279">
        <v>2.7484603305359401E-3</v>
      </c>
      <c r="G1010" s="1255">
        <v>0.114006342888803</v>
      </c>
      <c r="H1010" s="1279">
        <v>2.08928308698757E-2</v>
      </c>
      <c r="I1010" s="1255">
        <v>5.06184987703618E-3</v>
      </c>
      <c r="J1010" s="1279">
        <v>1.0897822959382399E-3</v>
      </c>
      <c r="K1010" s="1255">
        <v>3.0000008609959699E-3</v>
      </c>
      <c r="L1010" s="1253">
        <v>2.0000005740956699E-3</v>
      </c>
      <c r="M1010" s="1273">
        <v>2.0000005740252202E-3</v>
      </c>
      <c r="N1010" s="1255">
        <v>3.1850009128239903E-2</v>
      </c>
      <c r="O1010" s="1256">
        <v>3.1850009128239903E-2</v>
      </c>
      <c r="P1010" s="1251">
        <v>1.59250045641199E-2</v>
      </c>
      <c r="Q1010" s="1254">
        <v>5.2907242668495903E-3</v>
      </c>
    </row>
    <row r="1011" spans="1:17" s="212" customFormat="1" ht="15.5" x14ac:dyDescent="0.35">
      <c r="A1011" s="198">
        <v>2033</v>
      </c>
      <c r="B1011" s="197" t="s">
        <v>5842</v>
      </c>
      <c r="C1011" s="197">
        <v>1971</v>
      </c>
      <c r="D1011" s="213" t="str">
        <f t="shared" si="12"/>
        <v>2033_1971</v>
      </c>
      <c r="E1011" s="1268">
        <v>0.27991090201774399</v>
      </c>
      <c r="F1011" s="1279">
        <v>0.32794749688893399</v>
      </c>
      <c r="G1011" s="1255">
        <v>5.3798380949427598</v>
      </c>
      <c r="H1011" s="1279">
        <v>1.6425531397043001</v>
      </c>
      <c r="I1011" s="1255">
        <v>0.19062983117743301</v>
      </c>
      <c r="J1011" s="1279">
        <v>1.34258975575746E-2</v>
      </c>
      <c r="K1011" s="1255">
        <v>3.00000086115853E-3</v>
      </c>
      <c r="L1011" s="1253">
        <v>2.0000005740792E-3</v>
      </c>
      <c r="M1011" s="1273">
        <v>2.0000005740792E-3</v>
      </c>
      <c r="N1011" s="1255">
        <v>3.1850009128239903E-2</v>
      </c>
      <c r="O1011" s="1256">
        <v>3.1850009128239903E-2</v>
      </c>
      <c r="P1011" s="1251">
        <v>1.5925004564119952E-2</v>
      </c>
      <c r="Q1011" s="1254">
        <v>0.19924926623592901</v>
      </c>
    </row>
    <row r="1012" spans="1:17" s="212" customFormat="1" ht="15.5" x14ac:dyDescent="0.35">
      <c r="A1012" s="198">
        <v>2033</v>
      </c>
      <c r="B1012" s="197" t="s">
        <v>5842</v>
      </c>
      <c r="C1012" s="197">
        <v>1972</v>
      </c>
      <c r="D1012" s="213" t="str">
        <f t="shared" si="12"/>
        <v>2033_1972</v>
      </c>
      <c r="E1012" s="1268">
        <v>0.27991090201774399</v>
      </c>
      <c r="F1012" s="1279">
        <v>0.32794749688893399</v>
      </c>
      <c r="G1012" s="1255">
        <v>5.3798380949427598</v>
      </c>
      <c r="H1012" s="1279">
        <v>1.6425531397043001</v>
      </c>
      <c r="I1012" s="1255">
        <v>0.19062983117743301</v>
      </c>
      <c r="J1012" s="1279">
        <v>1.34258975575746E-2</v>
      </c>
      <c r="K1012" s="1255">
        <v>3.00000086115853E-3</v>
      </c>
      <c r="L1012" s="1253">
        <v>2.0000005740792E-3</v>
      </c>
      <c r="M1012" s="1273">
        <v>2.0000005740792E-3</v>
      </c>
      <c r="N1012" s="1255">
        <v>3.1850009128239903E-2</v>
      </c>
      <c r="O1012" s="1256">
        <v>3.1850009128239903E-2</v>
      </c>
      <c r="P1012" s="1251">
        <v>1.5925004564119952E-2</v>
      </c>
      <c r="Q1012" s="1254">
        <v>0.19924926623592901</v>
      </c>
    </row>
    <row r="1013" spans="1:17" s="212" customFormat="1" ht="15.5" x14ac:dyDescent="0.35">
      <c r="A1013" s="198">
        <v>2033</v>
      </c>
      <c r="B1013" s="197" t="s">
        <v>5842</v>
      </c>
      <c r="C1013" s="197">
        <v>1973</v>
      </c>
      <c r="D1013" s="213" t="str">
        <f t="shared" si="12"/>
        <v>2033_1973</v>
      </c>
      <c r="E1013" s="1268">
        <v>0.27991090201774399</v>
      </c>
      <c r="F1013" s="1279">
        <v>0.32794749688893399</v>
      </c>
      <c r="G1013" s="1255">
        <v>5.3798380949427598</v>
      </c>
      <c r="H1013" s="1279">
        <v>1.6425531397043001</v>
      </c>
      <c r="I1013" s="1255">
        <v>0.19062983117743301</v>
      </c>
      <c r="J1013" s="1279">
        <v>1.34258975575746E-2</v>
      </c>
      <c r="K1013" s="1255">
        <v>3.00000086115853E-3</v>
      </c>
      <c r="L1013" s="1253">
        <v>2.0000005740792E-3</v>
      </c>
      <c r="M1013" s="1273">
        <v>2.0000005740792E-3</v>
      </c>
      <c r="N1013" s="1255">
        <v>3.1850009128239903E-2</v>
      </c>
      <c r="O1013" s="1256">
        <v>3.1850009128239903E-2</v>
      </c>
      <c r="P1013" s="1251">
        <v>1.5925004564119952E-2</v>
      </c>
      <c r="Q1013" s="1254">
        <v>0.19924926623592901</v>
      </c>
    </row>
    <row r="1014" spans="1:17" s="212" customFormat="1" ht="15.5" x14ac:dyDescent="0.35">
      <c r="A1014" s="198">
        <v>2033</v>
      </c>
      <c r="B1014" s="197" t="s">
        <v>5842</v>
      </c>
      <c r="C1014" s="197">
        <v>1974</v>
      </c>
      <c r="D1014" s="213" t="str">
        <f t="shared" si="12"/>
        <v>2033_1974</v>
      </c>
      <c r="E1014" s="1268">
        <v>0.27991090201774399</v>
      </c>
      <c r="F1014" s="1279">
        <v>0.32794749688893399</v>
      </c>
      <c r="G1014" s="1255">
        <v>5.3798380949427598</v>
      </c>
      <c r="H1014" s="1279">
        <v>1.6425531397043001</v>
      </c>
      <c r="I1014" s="1255">
        <v>0.19062983117743301</v>
      </c>
      <c r="J1014" s="1279">
        <v>1.34258975575746E-2</v>
      </c>
      <c r="K1014" s="1255">
        <v>3.00000086115853E-3</v>
      </c>
      <c r="L1014" s="1253">
        <v>2.0000005740792E-3</v>
      </c>
      <c r="M1014" s="1273">
        <v>2.0000005740792E-3</v>
      </c>
      <c r="N1014" s="1255">
        <v>3.1850009128239903E-2</v>
      </c>
      <c r="O1014" s="1256">
        <v>3.1850009128239903E-2</v>
      </c>
      <c r="P1014" s="1251">
        <v>1.5925004564119952E-2</v>
      </c>
      <c r="Q1014" s="1254">
        <v>0.19924926623592901</v>
      </c>
    </row>
    <row r="1015" spans="1:17" s="212" customFormat="1" ht="15.5" x14ac:dyDescent="0.35">
      <c r="A1015" s="198">
        <v>2033</v>
      </c>
      <c r="B1015" s="197" t="s">
        <v>5842</v>
      </c>
      <c r="C1015" s="197">
        <v>1975</v>
      </c>
      <c r="D1015" s="213" t="str">
        <f t="shared" si="12"/>
        <v>2033_1975</v>
      </c>
      <c r="E1015" s="1268">
        <v>0.27991090201774399</v>
      </c>
      <c r="F1015" s="1279">
        <v>0.32794749688893399</v>
      </c>
      <c r="G1015" s="1255">
        <v>5.3798380949427598</v>
      </c>
      <c r="H1015" s="1279">
        <v>1.6425531397043001</v>
      </c>
      <c r="I1015" s="1255">
        <v>0.19062983117743301</v>
      </c>
      <c r="J1015" s="1279">
        <v>1.34258975575746E-2</v>
      </c>
      <c r="K1015" s="1255">
        <v>3.00000086115853E-3</v>
      </c>
      <c r="L1015" s="1253">
        <v>2.0000005740792E-3</v>
      </c>
      <c r="M1015" s="1273">
        <v>2.0000005740792E-3</v>
      </c>
      <c r="N1015" s="1255">
        <v>3.1850009128239903E-2</v>
      </c>
      <c r="O1015" s="1256">
        <v>3.1850009128239903E-2</v>
      </c>
      <c r="P1015" s="1251">
        <v>1.5925004564119952E-2</v>
      </c>
      <c r="Q1015" s="1254">
        <v>0.19924926623592901</v>
      </c>
    </row>
    <row r="1016" spans="1:17" s="212" customFormat="1" ht="15.5" x14ac:dyDescent="0.35">
      <c r="A1016" s="198">
        <v>2033</v>
      </c>
      <c r="B1016" s="197" t="s">
        <v>5842</v>
      </c>
      <c r="C1016" s="197">
        <v>1976</v>
      </c>
      <c r="D1016" s="213" t="str">
        <f t="shared" si="12"/>
        <v>2033_1976</v>
      </c>
      <c r="E1016" s="1268">
        <v>0.27991090201774399</v>
      </c>
      <c r="F1016" s="1279">
        <v>0.32794749688893399</v>
      </c>
      <c r="G1016" s="1255">
        <v>5.3798380949427598</v>
      </c>
      <c r="H1016" s="1279">
        <v>1.6425531397043001</v>
      </c>
      <c r="I1016" s="1255">
        <v>0.19062983117743301</v>
      </c>
      <c r="J1016" s="1279">
        <v>1.34258975575746E-2</v>
      </c>
      <c r="K1016" s="1255">
        <v>3.00000086115853E-3</v>
      </c>
      <c r="L1016" s="1253">
        <v>2.0000005740792E-3</v>
      </c>
      <c r="M1016" s="1273">
        <v>2.0000005740792E-3</v>
      </c>
      <c r="N1016" s="1255">
        <v>3.1850009128239903E-2</v>
      </c>
      <c r="O1016" s="1256">
        <v>3.1850009128239903E-2</v>
      </c>
      <c r="P1016" s="1251">
        <v>1.5925004564119952E-2</v>
      </c>
      <c r="Q1016" s="1254">
        <v>0.19924926623592901</v>
      </c>
    </row>
    <row r="1017" spans="1:17" s="212" customFormat="1" ht="15.5" x14ac:dyDescent="0.35">
      <c r="A1017" s="198">
        <v>2033</v>
      </c>
      <c r="B1017" s="197" t="s">
        <v>5842</v>
      </c>
      <c r="C1017" s="197">
        <v>1977</v>
      </c>
      <c r="D1017" s="213" t="str">
        <f t="shared" si="12"/>
        <v>2033_1977</v>
      </c>
      <c r="E1017" s="1268">
        <v>0.27991090201774399</v>
      </c>
      <c r="F1017" s="1279">
        <v>0.32794749688893399</v>
      </c>
      <c r="G1017" s="1255">
        <v>5.3798380949427598</v>
      </c>
      <c r="H1017" s="1279">
        <v>1.6425531397043001</v>
      </c>
      <c r="I1017" s="1255">
        <v>0.19062983117743301</v>
      </c>
      <c r="J1017" s="1279">
        <v>1.34258975575746E-2</v>
      </c>
      <c r="K1017" s="1255">
        <v>3.00000086115853E-3</v>
      </c>
      <c r="L1017" s="1253">
        <v>2.0000005740792E-3</v>
      </c>
      <c r="M1017" s="1273">
        <v>2.0000005740792E-3</v>
      </c>
      <c r="N1017" s="1255">
        <v>3.1850009128239903E-2</v>
      </c>
      <c r="O1017" s="1256">
        <v>3.1850009128239903E-2</v>
      </c>
      <c r="P1017" s="1251">
        <v>1.5925004564119952E-2</v>
      </c>
      <c r="Q1017" s="1254">
        <v>0.19924926623592901</v>
      </c>
    </row>
    <row r="1018" spans="1:17" s="212" customFormat="1" ht="15.5" x14ac:dyDescent="0.35">
      <c r="A1018" s="198">
        <v>2033</v>
      </c>
      <c r="B1018" s="197" t="s">
        <v>5842</v>
      </c>
      <c r="C1018" s="197">
        <v>1978</v>
      </c>
      <c r="D1018" s="213" t="str">
        <f t="shared" si="12"/>
        <v>2033_1978</v>
      </c>
      <c r="E1018" s="1268">
        <v>0.27991090201774399</v>
      </c>
      <c r="F1018" s="1279">
        <v>0.32794749688893399</v>
      </c>
      <c r="G1018" s="1255">
        <v>5.3798380949427598</v>
      </c>
      <c r="H1018" s="1279">
        <v>1.6425531397043001</v>
      </c>
      <c r="I1018" s="1255">
        <v>0.19062983117743301</v>
      </c>
      <c r="J1018" s="1279">
        <v>1.34258975575746E-2</v>
      </c>
      <c r="K1018" s="1255">
        <v>3.00000086115853E-3</v>
      </c>
      <c r="L1018" s="1253">
        <v>2.0000005740792E-3</v>
      </c>
      <c r="M1018" s="1273">
        <v>2.0000005740792E-3</v>
      </c>
      <c r="N1018" s="1255">
        <v>3.1850009128239903E-2</v>
      </c>
      <c r="O1018" s="1256">
        <v>3.1850009128239903E-2</v>
      </c>
      <c r="P1018" s="1251">
        <v>1.5925004564119952E-2</v>
      </c>
      <c r="Q1018" s="1254">
        <v>0.19924926623592901</v>
      </c>
    </row>
    <row r="1019" spans="1:17" s="212" customFormat="1" ht="15.5" x14ac:dyDescent="0.35">
      <c r="A1019" s="198">
        <v>2033</v>
      </c>
      <c r="B1019" s="197" t="s">
        <v>5842</v>
      </c>
      <c r="C1019" s="197">
        <v>1979</v>
      </c>
      <c r="D1019" s="213" t="str">
        <f t="shared" si="12"/>
        <v>2033_1979</v>
      </c>
      <c r="E1019" s="1268">
        <v>0.27991090201774399</v>
      </c>
      <c r="F1019" s="1279">
        <v>0.32794749688893399</v>
      </c>
      <c r="G1019" s="1255">
        <v>5.3798380949427598</v>
      </c>
      <c r="H1019" s="1279">
        <v>1.6425531397043001</v>
      </c>
      <c r="I1019" s="1255">
        <v>0.19062983117743301</v>
      </c>
      <c r="J1019" s="1279">
        <v>1.34258975575746E-2</v>
      </c>
      <c r="K1019" s="1255">
        <v>3.00000086115853E-3</v>
      </c>
      <c r="L1019" s="1253">
        <v>2.0000005740792E-3</v>
      </c>
      <c r="M1019" s="1273">
        <v>2.0000005740792E-3</v>
      </c>
      <c r="N1019" s="1255">
        <v>3.1850009128239903E-2</v>
      </c>
      <c r="O1019" s="1256">
        <v>3.1850009128239903E-2</v>
      </c>
      <c r="P1019" s="1251">
        <v>1.5925004564119952E-2</v>
      </c>
      <c r="Q1019" s="1254">
        <v>0.19924926623592901</v>
      </c>
    </row>
    <row r="1020" spans="1:17" s="212" customFormat="1" ht="15.5" x14ac:dyDescent="0.35">
      <c r="A1020" s="198">
        <v>2033</v>
      </c>
      <c r="B1020" s="197" t="s">
        <v>5842</v>
      </c>
      <c r="C1020" s="197">
        <v>1980</v>
      </c>
      <c r="D1020" s="213" t="str">
        <f t="shared" si="12"/>
        <v>2033_1980</v>
      </c>
      <c r="E1020" s="1268">
        <v>0.27991090201774399</v>
      </c>
      <c r="F1020" s="1279">
        <v>0.32794749688893399</v>
      </c>
      <c r="G1020" s="1255">
        <v>5.3798380949427598</v>
      </c>
      <c r="H1020" s="1279">
        <v>1.6425531397043001</v>
      </c>
      <c r="I1020" s="1255">
        <v>0.19062983117743301</v>
      </c>
      <c r="J1020" s="1279">
        <v>1.34258975575746E-2</v>
      </c>
      <c r="K1020" s="1255">
        <v>3.00000086115853E-3</v>
      </c>
      <c r="L1020" s="1253">
        <v>2.0000005740792E-3</v>
      </c>
      <c r="M1020" s="1273">
        <v>2.0000005740792E-3</v>
      </c>
      <c r="N1020" s="1255">
        <v>3.1850009128239903E-2</v>
      </c>
      <c r="O1020" s="1256">
        <v>3.1850009128239903E-2</v>
      </c>
      <c r="P1020" s="1251">
        <v>1.5925004564119952E-2</v>
      </c>
      <c r="Q1020" s="1254">
        <v>0.19924926623592901</v>
      </c>
    </row>
    <row r="1021" spans="1:17" s="212" customFormat="1" ht="15.5" x14ac:dyDescent="0.35">
      <c r="A1021" s="198">
        <v>2033</v>
      </c>
      <c r="B1021" s="197" t="s">
        <v>5842</v>
      </c>
      <c r="C1021" s="197">
        <v>1981</v>
      </c>
      <c r="D1021" s="213" t="str">
        <f t="shared" si="12"/>
        <v>2033_1981</v>
      </c>
      <c r="E1021" s="1268">
        <v>0.27991090201774399</v>
      </c>
      <c r="F1021" s="1279">
        <v>0.32794749688893399</v>
      </c>
      <c r="G1021" s="1255">
        <v>5.3798380949427598</v>
      </c>
      <c r="H1021" s="1279">
        <v>1.6425531397043001</v>
      </c>
      <c r="I1021" s="1255">
        <v>0.19062983117743301</v>
      </c>
      <c r="J1021" s="1279">
        <v>1.34258975575746E-2</v>
      </c>
      <c r="K1021" s="1255">
        <v>3.00000086115853E-3</v>
      </c>
      <c r="L1021" s="1253">
        <v>2.0000005740792E-3</v>
      </c>
      <c r="M1021" s="1273">
        <v>2.0000005740792E-3</v>
      </c>
      <c r="N1021" s="1255">
        <v>3.1850009128239903E-2</v>
      </c>
      <c r="O1021" s="1256">
        <v>3.1850009128239903E-2</v>
      </c>
      <c r="P1021" s="1251">
        <v>1.5925004564119952E-2</v>
      </c>
      <c r="Q1021" s="1254">
        <v>0.19924926623592901</v>
      </c>
    </row>
    <row r="1022" spans="1:17" s="212" customFormat="1" ht="15.5" x14ac:dyDescent="0.35">
      <c r="A1022" s="198">
        <v>2033</v>
      </c>
      <c r="B1022" s="197" t="s">
        <v>5842</v>
      </c>
      <c r="C1022" s="197">
        <v>1982</v>
      </c>
      <c r="D1022" s="213" t="str">
        <f t="shared" si="12"/>
        <v>2033_1982</v>
      </c>
      <c r="E1022" s="1268">
        <v>0.27991090201774399</v>
      </c>
      <c r="F1022" s="1279">
        <v>0.32794749688893399</v>
      </c>
      <c r="G1022" s="1255">
        <v>5.3798380949427598</v>
      </c>
      <c r="H1022" s="1279">
        <v>1.6425531397043001</v>
      </c>
      <c r="I1022" s="1255">
        <v>0.19062983117743301</v>
      </c>
      <c r="J1022" s="1279">
        <v>1.34258975575746E-2</v>
      </c>
      <c r="K1022" s="1255">
        <v>3.00000086115853E-3</v>
      </c>
      <c r="L1022" s="1253">
        <v>2.0000005740792E-3</v>
      </c>
      <c r="M1022" s="1273">
        <v>2.0000005740792E-3</v>
      </c>
      <c r="N1022" s="1255">
        <v>3.1850009128239903E-2</v>
      </c>
      <c r="O1022" s="1256">
        <v>3.1850009128239903E-2</v>
      </c>
      <c r="P1022" s="1251">
        <v>1.5925004564119952E-2</v>
      </c>
      <c r="Q1022" s="1254">
        <v>0.19924926623592901</v>
      </c>
    </row>
    <row r="1023" spans="1:17" s="212" customFormat="1" ht="15.5" x14ac:dyDescent="0.35">
      <c r="A1023" s="198">
        <v>2033</v>
      </c>
      <c r="B1023" s="197" t="s">
        <v>5842</v>
      </c>
      <c r="C1023" s="197">
        <v>1983</v>
      </c>
      <c r="D1023" s="213" t="str">
        <f t="shared" si="12"/>
        <v>2033_1983</v>
      </c>
      <c r="E1023" s="1268">
        <v>0.27991090201774399</v>
      </c>
      <c r="F1023" s="1279">
        <v>0.32794749688893399</v>
      </c>
      <c r="G1023" s="1255">
        <v>5.3798380949427598</v>
      </c>
      <c r="H1023" s="1279">
        <v>1.6425531397043001</v>
      </c>
      <c r="I1023" s="1255">
        <v>0.19062983117743301</v>
      </c>
      <c r="J1023" s="1279">
        <v>1.34258975575746E-2</v>
      </c>
      <c r="K1023" s="1255">
        <v>3.00000086115853E-3</v>
      </c>
      <c r="L1023" s="1253">
        <v>2.0000005740792E-3</v>
      </c>
      <c r="M1023" s="1273">
        <v>2.0000005740792E-3</v>
      </c>
      <c r="N1023" s="1255">
        <v>3.1850009128239903E-2</v>
      </c>
      <c r="O1023" s="1256">
        <v>3.1850009128239903E-2</v>
      </c>
      <c r="P1023" s="1251">
        <v>1.5925004564119952E-2</v>
      </c>
      <c r="Q1023" s="1254">
        <v>0.19924926623592901</v>
      </c>
    </row>
    <row r="1024" spans="1:17" s="212" customFormat="1" ht="15.5" x14ac:dyDescent="0.35">
      <c r="A1024" s="198">
        <v>2033</v>
      </c>
      <c r="B1024" s="197" t="s">
        <v>5842</v>
      </c>
      <c r="C1024" s="197">
        <v>1984</v>
      </c>
      <c r="D1024" s="213" t="str">
        <f t="shared" si="12"/>
        <v>2033_1984</v>
      </c>
      <c r="E1024" s="1268">
        <v>0.27991090201774399</v>
      </c>
      <c r="F1024" s="1279">
        <v>0.32794749688893399</v>
      </c>
      <c r="G1024" s="1255">
        <v>5.3798380949427598</v>
      </c>
      <c r="H1024" s="1279">
        <v>1.6425531397043001</v>
      </c>
      <c r="I1024" s="1255">
        <v>0.19062983117743301</v>
      </c>
      <c r="J1024" s="1279">
        <v>1.34258975575746E-2</v>
      </c>
      <c r="K1024" s="1255">
        <v>3.00000086115853E-3</v>
      </c>
      <c r="L1024" s="1253">
        <v>2.0000005740792E-3</v>
      </c>
      <c r="M1024" s="1273">
        <v>2.0000005740792E-3</v>
      </c>
      <c r="N1024" s="1255">
        <v>3.1850009128239903E-2</v>
      </c>
      <c r="O1024" s="1256">
        <v>3.1850009128239903E-2</v>
      </c>
      <c r="P1024" s="1251">
        <v>1.5925004564119952E-2</v>
      </c>
      <c r="Q1024" s="1254">
        <v>0.19924926623592901</v>
      </c>
    </row>
    <row r="1025" spans="1:17" s="212" customFormat="1" ht="15.5" x14ac:dyDescent="0.35">
      <c r="A1025" s="198">
        <v>2033</v>
      </c>
      <c r="B1025" s="197" t="s">
        <v>5842</v>
      </c>
      <c r="C1025" s="197">
        <v>1985</v>
      </c>
      <c r="D1025" s="213" t="str">
        <f t="shared" si="12"/>
        <v>2033_1985</v>
      </c>
      <c r="E1025" s="1268">
        <v>0.27991090201774399</v>
      </c>
      <c r="F1025" s="1279">
        <v>0.32794749688893399</v>
      </c>
      <c r="G1025" s="1255">
        <v>5.3798380949427598</v>
      </c>
      <c r="H1025" s="1279">
        <v>1.6425531397043001</v>
      </c>
      <c r="I1025" s="1255">
        <v>0.19062983117743301</v>
      </c>
      <c r="J1025" s="1279">
        <v>1.34258975575746E-2</v>
      </c>
      <c r="K1025" s="1255">
        <v>3.00000086115853E-3</v>
      </c>
      <c r="L1025" s="1253">
        <v>2.0000005740792E-3</v>
      </c>
      <c r="M1025" s="1273">
        <v>2.0000005740792E-3</v>
      </c>
      <c r="N1025" s="1255">
        <v>3.1850009128239903E-2</v>
      </c>
      <c r="O1025" s="1256">
        <v>3.1850009128239903E-2</v>
      </c>
      <c r="P1025" s="1251">
        <v>1.5925004564119952E-2</v>
      </c>
      <c r="Q1025" s="1254">
        <v>0.19924926623592901</v>
      </c>
    </row>
    <row r="1026" spans="1:17" s="212" customFormat="1" ht="15.5" x14ac:dyDescent="0.35">
      <c r="A1026" s="198">
        <v>2033</v>
      </c>
      <c r="B1026" s="197" t="s">
        <v>5842</v>
      </c>
      <c r="C1026" s="197">
        <v>1986</v>
      </c>
      <c r="D1026" s="213" t="str">
        <f t="shared" si="12"/>
        <v>2033_1986</v>
      </c>
      <c r="E1026" s="1268">
        <v>0.27991090201774399</v>
      </c>
      <c r="F1026" s="1279">
        <v>0.32794749688893399</v>
      </c>
      <c r="G1026" s="1255">
        <v>5.3798380949427598</v>
      </c>
      <c r="H1026" s="1279">
        <v>1.6425531397043001</v>
      </c>
      <c r="I1026" s="1255">
        <v>0.19062983117743301</v>
      </c>
      <c r="J1026" s="1279">
        <v>1.34258975575746E-2</v>
      </c>
      <c r="K1026" s="1255">
        <v>3.00000086115853E-3</v>
      </c>
      <c r="L1026" s="1253">
        <v>2.0000005740792E-3</v>
      </c>
      <c r="M1026" s="1273">
        <v>2.0000005740792E-3</v>
      </c>
      <c r="N1026" s="1255">
        <v>3.1850009128239903E-2</v>
      </c>
      <c r="O1026" s="1256">
        <v>3.1850009128239903E-2</v>
      </c>
      <c r="P1026" s="1251">
        <v>1.5925004564119952E-2</v>
      </c>
      <c r="Q1026" s="1254">
        <v>0.19924926623592901</v>
      </c>
    </row>
    <row r="1027" spans="1:17" s="212" customFormat="1" ht="15.5" x14ac:dyDescent="0.35">
      <c r="A1027" s="198">
        <v>2033</v>
      </c>
      <c r="B1027" s="197" t="s">
        <v>5842</v>
      </c>
      <c r="C1027" s="197">
        <v>1987</v>
      </c>
      <c r="D1027" s="213" t="str">
        <f t="shared" si="12"/>
        <v>2033_1987</v>
      </c>
      <c r="E1027" s="1268">
        <v>0.27991090201774399</v>
      </c>
      <c r="F1027" s="1279">
        <v>0.32794749688893399</v>
      </c>
      <c r="G1027" s="1255">
        <v>5.3798380949427598</v>
      </c>
      <c r="H1027" s="1279">
        <v>1.6425531397043001</v>
      </c>
      <c r="I1027" s="1255">
        <v>0.19062983117743301</v>
      </c>
      <c r="J1027" s="1279">
        <v>1.34258975575746E-2</v>
      </c>
      <c r="K1027" s="1255">
        <v>3.00000086115853E-3</v>
      </c>
      <c r="L1027" s="1253">
        <v>2.0000005740792E-3</v>
      </c>
      <c r="M1027" s="1273">
        <v>2.0000005740792E-3</v>
      </c>
      <c r="N1027" s="1255">
        <v>3.1850009128239903E-2</v>
      </c>
      <c r="O1027" s="1256">
        <v>3.1850009128239903E-2</v>
      </c>
      <c r="P1027" s="1251">
        <v>1.5925004564119952E-2</v>
      </c>
      <c r="Q1027" s="1254">
        <v>0.19924926623592901</v>
      </c>
    </row>
    <row r="1028" spans="1:17" s="212" customFormat="1" ht="15.5" x14ac:dyDescent="0.35">
      <c r="A1028" s="198">
        <v>2033</v>
      </c>
      <c r="B1028" s="197" t="s">
        <v>5842</v>
      </c>
      <c r="C1028" s="197">
        <v>1988</v>
      </c>
      <c r="D1028" s="213" t="str">
        <f t="shared" si="12"/>
        <v>2033_1988</v>
      </c>
      <c r="E1028" s="1268">
        <v>0.27991090201774399</v>
      </c>
      <c r="F1028" s="1279">
        <v>0.32794749688893399</v>
      </c>
      <c r="G1028" s="1255">
        <v>5.3798380949427598</v>
      </c>
      <c r="H1028" s="1279">
        <v>1.6425531397043001</v>
      </c>
      <c r="I1028" s="1255">
        <v>0.19062983117743301</v>
      </c>
      <c r="J1028" s="1279">
        <v>1.34258975575746E-2</v>
      </c>
      <c r="K1028" s="1255">
        <v>3.00000086115853E-3</v>
      </c>
      <c r="L1028" s="1253">
        <v>2.0000005740792E-3</v>
      </c>
      <c r="M1028" s="1273">
        <v>2.0000005740792E-3</v>
      </c>
      <c r="N1028" s="1255">
        <v>3.1850009128239903E-2</v>
      </c>
      <c r="O1028" s="1256">
        <v>3.1850009128239903E-2</v>
      </c>
      <c r="P1028" s="1251">
        <v>1.5925004564119952E-2</v>
      </c>
      <c r="Q1028" s="1254">
        <v>0.19924926623592901</v>
      </c>
    </row>
    <row r="1029" spans="1:17" s="212" customFormat="1" ht="15.5" x14ac:dyDescent="0.35">
      <c r="A1029" s="198">
        <v>2033</v>
      </c>
      <c r="B1029" s="197" t="s">
        <v>5842</v>
      </c>
      <c r="C1029" s="197">
        <v>1989</v>
      </c>
      <c r="D1029" s="213" t="str">
        <f t="shared" si="12"/>
        <v>2033_1989</v>
      </c>
      <c r="E1029" s="1267">
        <v>0.27991090201774399</v>
      </c>
      <c r="F1029" s="1278">
        <v>0.32794749688893399</v>
      </c>
      <c r="G1029" s="1248">
        <v>5.3798380949427598</v>
      </c>
      <c r="H1029" s="1278">
        <v>1.6425531397043001</v>
      </c>
      <c r="I1029" s="1248">
        <v>0.19062983117743301</v>
      </c>
      <c r="J1029" s="1278">
        <v>1.34258975575746E-2</v>
      </c>
      <c r="K1029" s="1248">
        <v>3.00000086115853E-3</v>
      </c>
      <c r="L1029" s="1250">
        <v>2.0000005740792E-3</v>
      </c>
      <c r="M1029" s="1273">
        <v>2.0000005740792E-3</v>
      </c>
      <c r="N1029" s="1248">
        <v>3.1850009128239903E-2</v>
      </c>
      <c r="O1029" s="1249">
        <v>3.1850009128239903E-2</v>
      </c>
      <c r="P1029" s="1251">
        <v>1.5925004564119952E-2</v>
      </c>
      <c r="Q1029" s="1252">
        <v>0.19924926623592901</v>
      </c>
    </row>
    <row r="1030" spans="1:17" s="212" customFormat="1" ht="15.5" x14ac:dyDescent="0.35">
      <c r="A1030" s="198">
        <v>2033</v>
      </c>
      <c r="B1030" s="197" t="s">
        <v>5842</v>
      </c>
      <c r="C1030" s="197">
        <v>1990</v>
      </c>
      <c r="D1030" s="213" t="str">
        <f t="shared" si="12"/>
        <v>2033_1990</v>
      </c>
      <c r="E1030" s="1267">
        <v>0.28067341234209803</v>
      </c>
      <c r="F1030" s="1278">
        <v>0.44692829911921</v>
      </c>
      <c r="G1030" s="1248">
        <v>5.3739240557594199</v>
      </c>
      <c r="H1030" s="1278">
        <v>1.66207930329792</v>
      </c>
      <c r="I1030" s="1248">
        <v>0.19114912933036299</v>
      </c>
      <c r="J1030" s="1278">
        <v>1.3978594302068501E-2</v>
      </c>
      <c r="K1030" s="1248">
        <v>3.0000008611429899E-3</v>
      </c>
      <c r="L1030" s="1250">
        <v>2.0000005742132898E-3</v>
      </c>
      <c r="M1030" s="1273">
        <v>2.0000005742132898E-3</v>
      </c>
      <c r="N1030" s="1248">
        <v>3.1850009128239903E-2</v>
      </c>
      <c r="O1030" s="1249">
        <v>3.1850009128239903E-2</v>
      </c>
      <c r="P1030" s="1251">
        <v>1.5925004564119952E-2</v>
      </c>
      <c r="Q1030" s="1252">
        <v>0.19979204474698301</v>
      </c>
    </row>
    <row r="1031" spans="1:17" s="212" customFormat="1" ht="15.5" x14ac:dyDescent="0.35">
      <c r="A1031" s="198">
        <v>2033</v>
      </c>
      <c r="B1031" s="197" t="s">
        <v>5842</v>
      </c>
      <c r="C1031" s="197">
        <v>1991</v>
      </c>
      <c r="D1031" s="213" t="str">
        <f t="shared" si="12"/>
        <v>2033_1991</v>
      </c>
      <c r="E1031" s="1267">
        <v>0.36910503373070003</v>
      </c>
      <c r="F1031" s="1278">
        <v>0.46449951776729898</v>
      </c>
      <c r="G1031" s="1248">
        <v>9.3446636048014895</v>
      </c>
      <c r="H1031" s="1278">
        <v>2.9039911464814798</v>
      </c>
      <c r="I1031" s="1248">
        <v>5.2310778921648399E-2</v>
      </c>
      <c r="J1031" s="1278">
        <v>7.4558071169514503E-3</v>
      </c>
      <c r="K1031" s="1248">
        <v>3.0000008613056601E-3</v>
      </c>
      <c r="L1031" s="1250">
        <v>2.0000005740727698E-3</v>
      </c>
      <c r="M1031" s="1273">
        <v>2.0000005740727698E-3</v>
      </c>
      <c r="N1031" s="1248">
        <v>3.1850009128239903E-2</v>
      </c>
      <c r="O1031" s="1249">
        <v>3.1850009128239903E-2</v>
      </c>
      <c r="P1031" s="1251">
        <v>1.5925004564119952E-2</v>
      </c>
      <c r="Q1031" s="1252">
        <v>5.4676040218841801E-2</v>
      </c>
    </row>
    <row r="1032" spans="1:17" s="212" customFormat="1" ht="15.5" x14ac:dyDescent="0.35">
      <c r="A1032" s="198">
        <v>2033</v>
      </c>
      <c r="B1032" s="197" t="s">
        <v>5842</v>
      </c>
      <c r="C1032" s="197">
        <v>1992</v>
      </c>
      <c r="D1032" s="213" t="str">
        <f t="shared" si="12"/>
        <v>2033_1992</v>
      </c>
      <c r="E1032" s="1267">
        <v>0.36993827953730801</v>
      </c>
      <c r="F1032" s="1278">
        <v>0.46833139538614399</v>
      </c>
      <c r="G1032" s="1248">
        <v>9.33543067766505</v>
      </c>
      <c r="H1032" s="1278">
        <v>2.9086123190337401</v>
      </c>
      <c r="I1032" s="1248">
        <v>5.24288692569016E-2</v>
      </c>
      <c r="J1032" s="1278">
        <v>7.5469027991782499E-3</v>
      </c>
      <c r="K1032" s="1248">
        <v>3.00000086128703E-3</v>
      </c>
      <c r="L1032" s="1250">
        <v>2.0000005741446702E-3</v>
      </c>
      <c r="M1032" s="1273">
        <v>2.0000005741446702E-3</v>
      </c>
      <c r="N1032" s="1248">
        <v>3.1850009128239903E-2</v>
      </c>
      <c r="O1032" s="1249">
        <v>3.1850009128239903E-2</v>
      </c>
      <c r="P1032" s="1251">
        <v>1.5925004564119952E-2</v>
      </c>
      <c r="Q1032" s="1252">
        <v>5.4799470075037E-2</v>
      </c>
    </row>
    <row r="1033" spans="1:17" s="212" customFormat="1" ht="15.5" x14ac:dyDescent="0.35">
      <c r="A1033" s="198">
        <v>2033</v>
      </c>
      <c r="B1033" s="197" t="s">
        <v>5842</v>
      </c>
      <c r="C1033" s="197">
        <v>1993</v>
      </c>
      <c r="D1033" s="213" t="str">
        <f t="shared" si="12"/>
        <v>2033_1993</v>
      </c>
      <c r="E1033" s="1267">
        <v>0.371717787146913</v>
      </c>
      <c r="F1033" s="1278">
        <v>0.45887916405093998</v>
      </c>
      <c r="G1033" s="1248">
        <v>9.3031559422889902</v>
      </c>
      <c r="H1033" s="1278">
        <v>2.8887131220528799</v>
      </c>
      <c r="I1033" s="1248">
        <v>5.2681066925989402E-2</v>
      </c>
      <c r="J1033" s="1278">
        <v>7.4230131678872796E-3</v>
      </c>
      <c r="K1033" s="1248">
        <v>3.0000008613468598E-3</v>
      </c>
      <c r="L1033" s="1250">
        <v>2.0000005740717398E-3</v>
      </c>
      <c r="M1033" s="1273">
        <v>2.0000005740717398E-3</v>
      </c>
      <c r="N1033" s="1248">
        <v>3.1850009128239903E-2</v>
      </c>
      <c r="O1033" s="1249">
        <v>3.1850009128239903E-2</v>
      </c>
      <c r="P1033" s="1251">
        <v>1.5925004564119952E-2</v>
      </c>
      <c r="Q1033" s="1252">
        <v>5.5063071003610298E-2</v>
      </c>
    </row>
    <row r="1034" spans="1:17" s="212" customFormat="1" ht="15.5" x14ac:dyDescent="0.35">
      <c r="A1034" s="198">
        <v>2033</v>
      </c>
      <c r="B1034" s="197" t="s">
        <v>5842</v>
      </c>
      <c r="C1034" s="197">
        <v>1994</v>
      </c>
      <c r="D1034" s="213" t="str">
        <f t="shared" si="12"/>
        <v>2033_1994</v>
      </c>
      <c r="E1034" s="1267">
        <v>0.36572257375192602</v>
      </c>
      <c r="F1034" s="1278">
        <v>0.45554282400525098</v>
      </c>
      <c r="G1034" s="1248">
        <v>9.3965863918047798</v>
      </c>
      <c r="H1034" s="1278">
        <v>2.8803641170093002</v>
      </c>
      <c r="I1034" s="1248">
        <v>5.2367219902737197E-2</v>
      </c>
      <c r="J1034" s="1278">
        <v>7.39222144327895E-3</v>
      </c>
      <c r="K1034" s="1248">
        <v>3.00000086126478E-3</v>
      </c>
      <c r="L1034" s="1250">
        <v>2.00000057405917E-3</v>
      </c>
      <c r="M1034" s="1273">
        <v>2.00000057405917E-3</v>
      </c>
      <c r="N1034" s="1248">
        <v>3.1850009128239903E-2</v>
      </c>
      <c r="O1034" s="1249">
        <v>3.1850009128239903E-2</v>
      </c>
      <c r="P1034" s="1251">
        <v>1.5925004564119952E-2</v>
      </c>
      <c r="Q1034" s="1252">
        <v>5.4735033210642298E-2</v>
      </c>
    </row>
    <row r="1035" spans="1:17" s="212" customFormat="1" ht="15.5" x14ac:dyDescent="0.35">
      <c r="A1035" s="198">
        <v>2033</v>
      </c>
      <c r="B1035" s="197" t="s">
        <v>5842</v>
      </c>
      <c r="C1035" s="197">
        <v>1995</v>
      </c>
      <c r="D1035" s="213" t="str">
        <f t="shared" si="12"/>
        <v>2033_1995</v>
      </c>
      <c r="E1035" s="1267">
        <v>0.36787580845517898</v>
      </c>
      <c r="F1035" s="1278">
        <v>0.244429173883841</v>
      </c>
      <c r="G1035" s="1248">
        <v>9.3817033129696199</v>
      </c>
      <c r="H1035" s="1278">
        <v>1.6461472017076899</v>
      </c>
      <c r="I1035" s="1248">
        <v>5.2675538074215301E-2</v>
      </c>
      <c r="J1035" s="1278">
        <v>4.8524086159033499E-3</v>
      </c>
      <c r="K1035" s="1248">
        <v>3.00000086125931E-3</v>
      </c>
      <c r="L1035" s="1250">
        <v>2.0000005741261299E-3</v>
      </c>
      <c r="M1035" s="1273">
        <v>2.0000005741261299E-3</v>
      </c>
      <c r="N1035" s="1248">
        <v>3.1850009128239903E-2</v>
      </c>
      <c r="O1035" s="1249">
        <v>3.1850009128239903E-2</v>
      </c>
      <c r="P1035" s="1251">
        <v>1.5925004564119952E-2</v>
      </c>
      <c r="Q1035" s="1252">
        <v>5.5057292161693E-2</v>
      </c>
    </row>
    <row r="1036" spans="1:17" s="212" customFormat="1" ht="15.5" x14ac:dyDescent="0.35">
      <c r="A1036" s="198">
        <v>2033</v>
      </c>
      <c r="B1036" s="197" t="s">
        <v>5842</v>
      </c>
      <c r="C1036" s="197">
        <v>1996</v>
      </c>
      <c r="D1036" s="213" t="str">
        <f t="shared" si="12"/>
        <v>2033_1996</v>
      </c>
      <c r="E1036" s="1267">
        <v>0.36928141394627401</v>
      </c>
      <c r="F1036" s="1278">
        <v>2.2384487746395398E-2</v>
      </c>
      <c r="G1036" s="1248">
        <v>9.3574158195588009</v>
      </c>
      <c r="H1036" s="1278">
        <v>0.393243217765186</v>
      </c>
      <c r="I1036" s="1248">
        <v>5.2876804436019401E-2</v>
      </c>
      <c r="J1036" s="1278">
        <v>2.1821692821702501E-3</v>
      </c>
      <c r="K1036" s="1248">
        <v>3.0000008612933002E-3</v>
      </c>
      <c r="L1036" s="1250">
        <v>2.00000057414184E-3</v>
      </c>
      <c r="M1036" s="1273">
        <v>2.00000057414184E-3</v>
      </c>
      <c r="N1036" s="1248">
        <v>3.1850009128239903E-2</v>
      </c>
      <c r="O1036" s="1249">
        <v>3.1850009128239903E-2</v>
      </c>
      <c r="P1036" s="1251">
        <v>1.5925004564119952E-2</v>
      </c>
      <c r="Q1036" s="1252">
        <v>5.5267658895271597E-2</v>
      </c>
    </row>
    <row r="1037" spans="1:17" s="212" customFormat="1" ht="15.5" x14ac:dyDescent="0.35">
      <c r="A1037" s="198">
        <v>2033</v>
      </c>
      <c r="B1037" s="197" t="s">
        <v>5842</v>
      </c>
      <c r="C1037" s="197">
        <v>1997</v>
      </c>
      <c r="D1037" s="213" t="str">
        <f t="shared" si="12"/>
        <v>2033_1997</v>
      </c>
      <c r="E1037" s="1267">
        <v>0.37111627471532899</v>
      </c>
      <c r="F1037" s="1278">
        <v>2.1494431207104599E-2</v>
      </c>
      <c r="G1037" s="1248">
        <v>9.3131008834468201</v>
      </c>
      <c r="H1037" s="1278">
        <v>0.38778996230145901</v>
      </c>
      <c r="I1037" s="1248">
        <v>5.3139535162204203E-2</v>
      </c>
      <c r="J1037" s="1278">
        <v>2.0993921176132501E-3</v>
      </c>
      <c r="K1037" s="1248">
        <v>3.0000008612941199E-3</v>
      </c>
      <c r="L1037" s="1250">
        <v>2.0000005740586401E-3</v>
      </c>
      <c r="M1037" s="1273">
        <v>2.0000005740586401E-3</v>
      </c>
      <c r="N1037" s="1248">
        <v>3.1850009128239903E-2</v>
      </c>
      <c r="O1037" s="1249">
        <v>3.1850009128239903E-2</v>
      </c>
      <c r="P1037" s="1251">
        <v>1.5925004564119952E-2</v>
      </c>
      <c r="Q1037" s="1252">
        <v>5.5542269139044101E-2</v>
      </c>
    </row>
    <row r="1038" spans="1:17" s="212" customFormat="1" ht="15.5" x14ac:dyDescent="0.35">
      <c r="A1038" s="198">
        <v>2033</v>
      </c>
      <c r="B1038" s="197" t="s">
        <v>5842</v>
      </c>
      <c r="C1038" s="197">
        <v>1998</v>
      </c>
      <c r="D1038" s="213" t="str">
        <f t="shared" si="12"/>
        <v>2033_1998</v>
      </c>
      <c r="E1038" s="1267">
        <v>0.37266012474896798</v>
      </c>
      <c r="F1038" s="1278">
        <v>2.1782598241801E-2</v>
      </c>
      <c r="G1038" s="1248">
        <v>9.3002639207447899</v>
      </c>
      <c r="H1038" s="1278">
        <v>0.38982475851113502</v>
      </c>
      <c r="I1038" s="1248">
        <v>5.3360596534979203E-2</v>
      </c>
      <c r="J1038" s="1278">
        <v>2.1304054411757502E-3</v>
      </c>
      <c r="K1038" s="1248">
        <v>3.00000086137517E-3</v>
      </c>
      <c r="L1038" s="1250">
        <v>2.00000057410041E-3</v>
      </c>
      <c r="M1038" s="1273">
        <v>2.00000057410041E-3</v>
      </c>
      <c r="N1038" s="1248">
        <v>3.1850009128239903E-2</v>
      </c>
      <c r="O1038" s="1249">
        <v>3.1850009128239903E-2</v>
      </c>
      <c r="P1038" s="1251">
        <v>1.5925004564119952E-2</v>
      </c>
      <c r="Q1038" s="1252">
        <v>5.5773325926150703E-2</v>
      </c>
    </row>
    <row r="1039" spans="1:17" s="212" customFormat="1" ht="15.5" x14ac:dyDescent="0.35">
      <c r="A1039" s="198">
        <v>2033</v>
      </c>
      <c r="B1039" s="197" t="s">
        <v>5842</v>
      </c>
      <c r="C1039" s="197">
        <v>1999</v>
      </c>
      <c r="D1039" s="213" t="str">
        <f t="shared" si="12"/>
        <v>2033_1999</v>
      </c>
      <c r="E1039" s="1267">
        <v>0.37060284312065001</v>
      </c>
      <c r="F1039" s="1278">
        <v>2.1831596255829099E-2</v>
      </c>
      <c r="G1039" s="1248">
        <v>9.3319437742858096</v>
      </c>
      <c r="H1039" s="1278">
        <v>0.39012551075561802</v>
      </c>
      <c r="I1039" s="1248">
        <v>5.3066017728079902E-2</v>
      </c>
      <c r="J1039" s="1278">
        <v>2.1304800637605499E-3</v>
      </c>
      <c r="K1039" s="1248">
        <v>3.0000008613404699E-3</v>
      </c>
      <c r="L1039" s="1250">
        <v>2.0000005741154501E-3</v>
      </c>
      <c r="M1039" s="1273">
        <v>2.0000005741154501E-3</v>
      </c>
      <c r="N1039" s="1248">
        <v>3.1850009128239903E-2</v>
      </c>
      <c r="O1039" s="1249">
        <v>3.1850009128239903E-2</v>
      </c>
      <c r="P1039" s="1251">
        <v>1.5925004564119952E-2</v>
      </c>
      <c r="Q1039" s="1252">
        <v>5.5465427572777601E-2</v>
      </c>
    </row>
    <row r="1040" spans="1:17" s="212" customFormat="1" ht="15.5" x14ac:dyDescent="0.35">
      <c r="A1040" s="198">
        <v>2033</v>
      </c>
      <c r="B1040" s="197" t="s">
        <v>5842</v>
      </c>
      <c r="C1040" s="197">
        <v>2000</v>
      </c>
      <c r="D1040" s="213" t="str">
        <f t="shared" si="12"/>
        <v>2033_2000</v>
      </c>
      <c r="E1040" s="1267">
        <v>0.36686272144538001</v>
      </c>
      <c r="F1040" s="1278">
        <v>2.21248206937689E-2</v>
      </c>
      <c r="G1040" s="1248">
        <v>9.4090553030152702</v>
      </c>
      <c r="H1040" s="1278">
        <v>0.39267198445928198</v>
      </c>
      <c r="I1040" s="1248">
        <v>5.2530475794688801E-2</v>
      </c>
      <c r="J1040" s="1278">
        <v>2.1623935028978899E-3</v>
      </c>
      <c r="K1040" s="1248">
        <v>3.0000008612582202E-3</v>
      </c>
      <c r="L1040" s="1250">
        <v>2.0000005741545599E-3</v>
      </c>
      <c r="M1040" s="1273">
        <v>2.0000005741545599E-3</v>
      </c>
      <c r="N1040" s="1248">
        <v>3.1850009128239903E-2</v>
      </c>
      <c r="O1040" s="1249">
        <v>3.1850009128239903E-2</v>
      </c>
      <c r="P1040" s="1251">
        <v>1.5925004564119952E-2</v>
      </c>
      <c r="Q1040" s="1252">
        <v>5.4905670809590697E-2</v>
      </c>
    </row>
    <row r="1041" spans="1:17" s="212" customFormat="1" ht="15.5" x14ac:dyDescent="0.35">
      <c r="A1041" s="198">
        <v>2033</v>
      </c>
      <c r="B1041" s="197" t="s">
        <v>5842</v>
      </c>
      <c r="C1041" s="197">
        <v>2001</v>
      </c>
      <c r="D1041" s="213" t="str">
        <f t="shared" si="12"/>
        <v>2033_2001</v>
      </c>
      <c r="E1041" s="1267">
        <v>0.37033242156609902</v>
      </c>
      <c r="F1041" s="1278">
        <v>2.22129430074633E-2</v>
      </c>
      <c r="G1041" s="1248">
        <v>9.3375822629442098</v>
      </c>
      <c r="H1041" s="1278">
        <v>0.39396296643883799</v>
      </c>
      <c r="I1041" s="1248">
        <v>5.3027296505956903E-2</v>
      </c>
      <c r="J1041" s="1278">
        <v>2.1735658870302502E-3</v>
      </c>
      <c r="K1041" s="1248">
        <v>3.0000008613389499E-3</v>
      </c>
      <c r="L1041" s="1250">
        <v>2.0000005741836299E-3</v>
      </c>
      <c r="M1041" s="1273">
        <v>2.0000005741836299E-3</v>
      </c>
      <c r="N1041" s="1248">
        <v>3.1850009128239903E-2</v>
      </c>
      <c r="O1041" s="1249">
        <v>3.1850009128239903E-2</v>
      </c>
      <c r="P1041" s="1251">
        <v>1.5925004564119952E-2</v>
      </c>
      <c r="Q1041" s="1252">
        <v>5.5424955548813097E-2</v>
      </c>
    </row>
    <row r="1042" spans="1:17" s="212" customFormat="1" ht="15.5" x14ac:dyDescent="0.35">
      <c r="A1042" s="198">
        <v>2033</v>
      </c>
      <c r="B1042" s="197" t="s">
        <v>5842</v>
      </c>
      <c r="C1042" s="197">
        <v>2002</v>
      </c>
      <c r="D1042" s="213" t="str">
        <f t="shared" si="12"/>
        <v>2033_2002</v>
      </c>
      <c r="E1042" s="1267">
        <v>0.28712371208443699</v>
      </c>
      <c r="F1042" s="1278">
        <v>2.2146973884608099E-2</v>
      </c>
      <c r="G1042" s="1248">
        <v>7.1958359768604598</v>
      </c>
      <c r="H1042" s="1278">
        <v>0.31755687449918002</v>
      </c>
      <c r="I1042" s="1248">
        <v>5.3519259298008999E-2</v>
      </c>
      <c r="J1042" s="1278">
        <v>2.17113428677478E-3</v>
      </c>
      <c r="K1042" s="1248">
        <v>3.0000008613524699E-3</v>
      </c>
      <c r="L1042" s="1250">
        <v>2.0000005741587601E-3</v>
      </c>
      <c r="M1042" s="1273">
        <v>2.0000005741587601E-3</v>
      </c>
      <c r="N1042" s="1248">
        <v>3.1850009128239903E-2</v>
      </c>
      <c r="O1042" s="1249">
        <v>3.1850009128239903E-2</v>
      </c>
      <c r="P1042" s="1251">
        <v>1.5925004564119952E-2</v>
      </c>
      <c r="Q1042" s="1252">
        <v>5.5939162715269102E-2</v>
      </c>
    </row>
    <row r="1043" spans="1:17" s="212" customFormat="1" ht="15.5" x14ac:dyDescent="0.35">
      <c r="A1043" s="198">
        <v>2033</v>
      </c>
      <c r="B1043" s="197" t="s">
        <v>5842</v>
      </c>
      <c r="C1043" s="197">
        <v>2003</v>
      </c>
      <c r="D1043" s="213" t="str">
        <f t="shared" si="12"/>
        <v>2033_2003</v>
      </c>
      <c r="E1043" s="1267">
        <v>0.28459502030306699</v>
      </c>
      <c r="F1043" s="1278">
        <v>2.1836525709664101E-2</v>
      </c>
      <c r="G1043" s="1248">
        <v>7.2393302117604996</v>
      </c>
      <c r="H1043" s="1278">
        <v>0.31684867687794299</v>
      </c>
      <c r="I1043" s="1248">
        <v>5.3047916439735901E-2</v>
      </c>
      <c r="J1043" s="1278">
        <v>2.1396582821003999E-3</v>
      </c>
      <c r="K1043" s="1248">
        <v>3.0000008612777098E-3</v>
      </c>
      <c r="L1043" s="1250">
        <v>2.00000057414443E-3</v>
      </c>
      <c r="M1043" s="1273">
        <v>2.00000057414443E-3</v>
      </c>
      <c r="N1043" s="1248">
        <v>3.1850009128239903E-2</v>
      </c>
      <c r="O1043" s="1249">
        <v>3.1850009128239903E-2</v>
      </c>
      <c r="P1043" s="1251">
        <v>1.5925004564119952E-2</v>
      </c>
      <c r="Q1043" s="1252">
        <v>5.54465078244979E-2</v>
      </c>
    </row>
    <row r="1044" spans="1:17" s="212" customFormat="1" ht="15.5" x14ac:dyDescent="0.35">
      <c r="A1044" s="198">
        <v>2033</v>
      </c>
      <c r="B1044" s="197" t="s">
        <v>5842</v>
      </c>
      <c r="C1044" s="197">
        <v>2004</v>
      </c>
      <c r="D1044" s="213" t="str">
        <f t="shared" si="12"/>
        <v>2033_2004</v>
      </c>
      <c r="E1044" s="1267">
        <v>0.57655669246548402</v>
      </c>
      <c r="F1044" s="1278">
        <v>1.42943903406096E-2</v>
      </c>
      <c r="G1044" s="1248">
        <v>4.1440275771875701</v>
      </c>
      <c r="H1044" s="1278">
        <v>0.267938844549996</v>
      </c>
      <c r="I1044" s="1248">
        <v>0.15020048503721201</v>
      </c>
      <c r="J1044" s="1278">
        <v>1.39120361601546E-4</v>
      </c>
      <c r="K1044" s="1248">
        <v>3.0000008612723998E-3</v>
      </c>
      <c r="L1044" s="1250">
        <v>2.0000005740791198E-3</v>
      </c>
      <c r="M1044" s="1273">
        <v>2.0000005740791198E-3</v>
      </c>
      <c r="N1044" s="1248">
        <v>3.1850009128239903E-2</v>
      </c>
      <c r="O1044" s="1249">
        <v>3.1850009128239903E-2</v>
      </c>
      <c r="P1044" s="1251">
        <v>1.5925004564119952E-2</v>
      </c>
      <c r="Q1044" s="1252">
        <v>0.156991884465814</v>
      </c>
    </row>
    <row r="1045" spans="1:17" s="212" customFormat="1" ht="15.5" x14ac:dyDescent="0.35">
      <c r="A1045" s="198">
        <v>2033</v>
      </c>
      <c r="B1045" s="197" t="s">
        <v>5842</v>
      </c>
      <c r="C1045" s="197">
        <v>2005</v>
      </c>
      <c r="D1045" s="213" t="str">
        <f t="shared" si="12"/>
        <v>2033_2005</v>
      </c>
      <c r="E1045" s="1267">
        <v>0.57431383141782</v>
      </c>
      <c r="F1045" s="1278">
        <v>1.4435126850439701E-2</v>
      </c>
      <c r="G1045" s="1248">
        <v>4.1368396929682802</v>
      </c>
      <c r="H1045" s="1278">
        <v>0.269965506498757</v>
      </c>
      <c r="I1045" s="1248">
        <v>0.14970063456810601</v>
      </c>
      <c r="J1045" s="1278">
        <v>1.41047770632436E-4</v>
      </c>
      <c r="K1045" s="1248">
        <v>3.0000008612480499E-3</v>
      </c>
      <c r="L1045" s="1250">
        <v>2.0000005741175799E-3</v>
      </c>
      <c r="M1045" s="1273">
        <v>2.0000005741175799E-3</v>
      </c>
      <c r="N1045" s="1248">
        <v>3.1850009128239903E-2</v>
      </c>
      <c r="O1045" s="1249">
        <v>3.1850009128239903E-2</v>
      </c>
      <c r="P1045" s="1251">
        <v>1.5925004564119952E-2</v>
      </c>
      <c r="Q1045" s="1252">
        <v>0.156469432976548</v>
      </c>
    </row>
    <row r="1046" spans="1:17" s="212" customFormat="1" ht="15.5" x14ac:dyDescent="0.35">
      <c r="A1046" s="198">
        <v>2033</v>
      </c>
      <c r="B1046" s="197" t="s">
        <v>5842</v>
      </c>
      <c r="C1046" s="197">
        <v>2006</v>
      </c>
      <c r="D1046" s="213" t="str">
        <f t="shared" si="12"/>
        <v>2033_2006</v>
      </c>
      <c r="E1046" s="1267">
        <v>0.57061313105267797</v>
      </c>
      <c r="F1046" s="1278">
        <v>1.4596612963591301E-2</v>
      </c>
      <c r="G1046" s="1248">
        <v>4.1240634835350196</v>
      </c>
      <c r="H1046" s="1278">
        <v>0.27200976875724198</v>
      </c>
      <c r="I1046" s="1248">
        <v>0.14886912561672999</v>
      </c>
      <c r="J1046" s="1278">
        <v>1.4202547733245199E-4</v>
      </c>
      <c r="K1046" s="1248">
        <v>3.00000086123451E-3</v>
      </c>
      <c r="L1046" s="1250">
        <v>2.0000005741325601E-3</v>
      </c>
      <c r="M1046" s="1273">
        <v>2.0000005741325601E-3</v>
      </c>
      <c r="N1046" s="1248">
        <v>3.1850009128239903E-2</v>
      </c>
      <c r="O1046" s="1249">
        <v>3.1850009128239903E-2</v>
      </c>
      <c r="P1046" s="1251">
        <v>1.5925004564119952E-2</v>
      </c>
      <c r="Q1046" s="1252">
        <v>0.15560032688015801</v>
      </c>
    </row>
    <row r="1047" spans="1:17" s="212" customFormat="1" ht="15.5" x14ac:dyDescent="0.35">
      <c r="A1047" s="198">
        <v>2033</v>
      </c>
      <c r="B1047" s="197" t="s">
        <v>5842</v>
      </c>
      <c r="C1047" s="197">
        <v>2007</v>
      </c>
      <c r="D1047" s="213" t="str">
        <f t="shared" si="12"/>
        <v>2033_2007</v>
      </c>
      <c r="E1047" s="1267">
        <v>0.33291380746154797</v>
      </c>
      <c r="F1047" s="1278">
        <v>1.4539130992655899E-2</v>
      </c>
      <c r="G1047" s="1248">
        <v>2.4826959958550998</v>
      </c>
      <c r="H1047" s="1278">
        <v>0.272859670998371</v>
      </c>
      <c r="I1047" s="1248">
        <v>8.7433953872442099E-2</v>
      </c>
      <c r="J1047" s="1278">
        <v>1.4511761075907599E-4</v>
      </c>
      <c r="K1047" s="1248">
        <v>3.00000086123777E-3</v>
      </c>
      <c r="L1047" s="1250">
        <v>2.00000057418718E-3</v>
      </c>
      <c r="M1047" s="1273">
        <v>2.00000057418718E-3</v>
      </c>
      <c r="N1047" s="1248">
        <v>3.1850009128239903E-2</v>
      </c>
      <c r="O1047" s="1249">
        <v>3.1850009128239903E-2</v>
      </c>
      <c r="P1047" s="1251">
        <v>1.5925004564119952E-2</v>
      </c>
      <c r="Q1047" s="1252">
        <v>9.1387329284129806E-2</v>
      </c>
    </row>
    <row r="1048" spans="1:17" s="212" customFormat="1" ht="15.5" x14ac:dyDescent="0.35">
      <c r="A1048" s="198">
        <v>2033</v>
      </c>
      <c r="B1048" s="197" t="s">
        <v>5842</v>
      </c>
      <c r="C1048" s="197">
        <v>2008</v>
      </c>
      <c r="D1048" s="213" t="str">
        <f t="shared" si="12"/>
        <v>2033_2008</v>
      </c>
      <c r="E1048" s="1267">
        <v>0.340397119837477</v>
      </c>
      <c r="F1048" s="1278">
        <v>9.8880671568980297E-3</v>
      </c>
      <c r="G1048" s="1248">
        <v>2.5067572364116599</v>
      </c>
      <c r="H1048" s="1278">
        <v>0.158484850746138</v>
      </c>
      <c r="I1048" s="1248">
        <v>8.8997117024824504E-2</v>
      </c>
      <c r="J1048" s="1278">
        <v>1.41359714215959E-4</v>
      </c>
      <c r="K1048" s="1248">
        <v>3.0000008613249498E-3</v>
      </c>
      <c r="L1048" s="1250">
        <v>2.00000057421152E-3</v>
      </c>
      <c r="M1048" s="1273">
        <v>2.00000057421152E-3</v>
      </c>
      <c r="N1048" s="1248">
        <v>3.1850009128239903E-2</v>
      </c>
      <c r="O1048" s="1249">
        <v>3.1850009128239903E-2</v>
      </c>
      <c r="P1048" s="1251">
        <v>1.5925004564119952E-2</v>
      </c>
      <c r="Q1048" s="1252">
        <v>9.30211717378292E-2</v>
      </c>
    </row>
    <row r="1049" spans="1:17" s="212" customFormat="1" ht="15.5" x14ac:dyDescent="0.35">
      <c r="A1049" s="198">
        <v>2033</v>
      </c>
      <c r="B1049" s="197" t="s">
        <v>5842</v>
      </c>
      <c r="C1049" s="197">
        <v>2009</v>
      </c>
      <c r="D1049" s="213" t="str">
        <f t="shared" si="12"/>
        <v>2033_2009</v>
      </c>
      <c r="E1049" s="1267">
        <v>0.33884017820152201</v>
      </c>
      <c r="F1049" s="1278">
        <v>4.8194368949499604E-3</v>
      </c>
      <c r="G1049" s="1248">
        <v>2.5017221513299299</v>
      </c>
      <c r="H1049" s="1278">
        <v>4.2903257755177303E-2</v>
      </c>
      <c r="I1049" s="1248">
        <v>8.8655569446459595E-2</v>
      </c>
      <c r="J1049" s="1278">
        <v>1.29946461857037E-4</v>
      </c>
      <c r="K1049" s="1248">
        <v>3.00000086128568E-3</v>
      </c>
      <c r="L1049" s="1250">
        <v>2.0000005741553401E-3</v>
      </c>
      <c r="M1049" s="1273">
        <v>2.0000005741553401E-3</v>
      </c>
      <c r="N1049" s="1248">
        <v>3.1850009128239903E-2</v>
      </c>
      <c r="O1049" s="1249">
        <v>3.1850009128239903E-2</v>
      </c>
      <c r="P1049" s="1251">
        <v>1.5925004564119952E-2</v>
      </c>
      <c r="Q1049" s="1252">
        <v>9.2664180893565595E-2</v>
      </c>
    </row>
    <row r="1050" spans="1:17" s="212" customFormat="1" ht="15.5" x14ac:dyDescent="0.35">
      <c r="A1050" s="198">
        <v>2033</v>
      </c>
      <c r="B1050" s="197" t="s">
        <v>5842</v>
      </c>
      <c r="C1050" s="197">
        <v>2010</v>
      </c>
      <c r="D1050" s="213" t="str">
        <f t="shared" si="12"/>
        <v>2033_2010</v>
      </c>
      <c r="E1050" s="1267">
        <v>9.0272263535838504E-2</v>
      </c>
      <c r="F1050" s="1278">
        <v>4.81803259577907E-3</v>
      </c>
      <c r="G1050" s="1248">
        <v>0.82412841222129996</v>
      </c>
      <c r="H1050" s="1278">
        <v>4.3090946904772498E-2</v>
      </c>
      <c r="I1050" s="1248">
        <v>2.47636018070099E-2</v>
      </c>
      <c r="J1050" s="1278">
        <v>1.5872107765069399E-4</v>
      </c>
      <c r="K1050" s="1248">
        <v>3.0000008613308301E-3</v>
      </c>
      <c r="L1050" s="1250">
        <v>2.0000005741324899E-3</v>
      </c>
      <c r="M1050" s="1273">
        <v>2.0000005741324899E-3</v>
      </c>
      <c r="N1050" s="1248">
        <v>3.1850009128239903E-2</v>
      </c>
      <c r="O1050" s="1249">
        <v>3.1850009128239903E-2</v>
      </c>
      <c r="P1050" s="1251">
        <v>1.5925004564119952E-2</v>
      </c>
      <c r="Q1050" s="1252">
        <v>2.5883301993867399E-2</v>
      </c>
    </row>
    <row r="1051" spans="1:17" s="212" customFormat="1" ht="15.5" x14ac:dyDescent="0.35">
      <c r="A1051" s="198">
        <v>2033</v>
      </c>
      <c r="B1051" s="197" t="s">
        <v>5842</v>
      </c>
      <c r="C1051" s="197">
        <v>2011</v>
      </c>
      <c r="D1051" s="213" t="str">
        <f t="shared" si="12"/>
        <v>2033_2011</v>
      </c>
      <c r="E1051" s="1267">
        <v>8.9276363179919799E-2</v>
      </c>
      <c r="F1051" s="1278">
        <v>4.9938045446898498E-3</v>
      </c>
      <c r="G1051" s="1248">
        <v>0.81814309788430395</v>
      </c>
      <c r="H1051" s="1278">
        <v>4.2693664386632198E-2</v>
      </c>
      <c r="I1051" s="1248">
        <v>2.44900513528871E-2</v>
      </c>
      <c r="J1051" s="1278">
        <v>2.17006942235623E-4</v>
      </c>
      <c r="K1051" s="1248">
        <v>3.0000008613018099E-3</v>
      </c>
      <c r="L1051" s="1250">
        <v>2.0000005742322599E-3</v>
      </c>
      <c r="M1051" s="1273">
        <v>2.0000005742322599E-3</v>
      </c>
      <c r="N1051" s="1248">
        <v>3.1850009128239903E-2</v>
      </c>
      <c r="O1051" s="1249">
        <v>3.1850009128239903E-2</v>
      </c>
      <c r="P1051" s="1251">
        <v>1.5925004564119952E-2</v>
      </c>
      <c r="Q1051" s="1252">
        <v>2.55973828020713E-2</v>
      </c>
    </row>
    <row r="1052" spans="1:17" s="212" customFormat="1" ht="15.5" x14ac:dyDescent="0.35">
      <c r="A1052" s="198">
        <v>2033</v>
      </c>
      <c r="B1052" s="197" t="s">
        <v>5842</v>
      </c>
      <c r="C1052" s="197">
        <v>2012</v>
      </c>
      <c r="D1052" s="213" t="str">
        <f t="shared" si="12"/>
        <v>2033_2012</v>
      </c>
      <c r="E1052" s="1267">
        <v>8.9763491616335303E-2</v>
      </c>
      <c r="F1052" s="1278">
        <v>4.9720185378623301E-3</v>
      </c>
      <c r="G1052" s="1248">
        <v>0.81735954909060404</v>
      </c>
      <c r="H1052" s="1278">
        <v>4.2452131649043399E-2</v>
      </c>
      <c r="I1052" s="1248">
        <v>2.4445326662173202E-2</v>
      </c>
      <c r="J1052" s="1278">
        <v>3.1687126164526999E-4</v>
      </c>
      <c r="K1052" s="1248">
        <v>3.0000008613601799E-3</v>
      </c>
      <c r="L1052" s="1250">
        <v>2.00000057424092E-3</v>
      </c>
      <c r="M1052" s="1273">
        <v>2.00000057424092E-3</v>
      </c>
      <c r="N1052" s="1248">
        <v>3.1850009128239903E-2</v>
      </c>
      <c r="O1052" s="1249">
        <v>3.1850009128239903E-2</v>
      </c>
      <c r="P1052" s="1251">
        <v>1.5925004564119952E-2</v>
      </c>
      <c r="Q1052" s="1252">
        <v>2.5550635859306201E-2</v>
      </c>
    </row>
    <row r="1053" spans="1:17" s="212" customFormat="1" ht="15.5" x14ac:dyDescent="0.35">
      <c r="A1053" s="198">
        <v>2033</v>
      </c>
      <c r="B1053" s="197" t="s">
        <v>5842</v>
      </c>
      <c r="C1053" s="197">
        <v>2013</v>
      </c>
      <c r="D1053" s="213" t="str">
        <f t="shared" si="12"/>
        <v>2033_2013</v>
      </c>
      <c r="E1053" s="1267">
        <v>8.9424362212232406E-2</v>
      </c>
      <c r="F1053" s="1278">
        <v>5.0224224400772398E-3</v>
      </c>
      <c r="G1053" s="1248">
        <v>0.81094942418396698</v>
      </c>
      <c r="H1053" s="1278">
        <v>4.2029127495935098E-2</v>
      </c>
      <c r="I1053" s="1248">
        <v>2.4183626815123E-2</v>
      </c>
      <c r="J1053" s="1278">
        <v>4.7574501938458001E-4</v>
      </c>
      <c r="K1053" s="1248">
        <v>3.00000086138408E-3</v>
      </c>
      <c r="L1053" s="1250">
        <v>2.0000005742770999E-3</v>
      </c>
      <c r="M1053" s="1273">
        <v>2.0000005742770999E-3</v>
      </c>
      <c r="N1053" s="1248">
        <v>3.1850009128239903E-2</v>
      </c>
      <c r="O1053" s="1249">
        <v>3.1850009128239903E-2</v>
      </c>
      <c r="P1053" s="1251">
        <v>1.5925004564119952E-2</v>
      </c>
      <c r="Q1053" s="1252">
        <v>2.52771031064483E-2</v>
      </c>
    </row>
    <row r="1054" spans="1:17" s="212" customFormat="1" ht="15.5" x14ac:dyDescent="0.35">
      <c r="A1054" s="198">
        <v>2033</v>
      </c>
      <c r="B1054" s="197" t="s">
        <v>5842</v>
      </c>
      <c r="C1054" s="197">
        <v>2014</v>
      </c>
      <c r="D1054" s="213" t="str">
        <f t="shared" si="12"/>
        <v>2033_2014</v>
      </c>
      <c r="E1054" s="1267">
        <v>8.7997908427727797E-2</v>
      </c>
      <c r="F1054" s="1278">
        <v>4.9089676555762098E-3</v>
      </c>
      <c r="G1054" s="1248">
        <v>0.80050690062277197</v>
      </c>
      <c r="H1054" s="1278">
        <v>4.2066168860076698E-2</v>
      </c>
      <c r="I1054" s="1248">
        <v>2.3692620681845199E-2</v>
      </c>
      <c r="J1054" s="1278">
        <v>6.6060849650280103E-4</v>
      </c>
      <c r="K1054" s="1248">
        <v>3.0000008613204599E-3</v>
      </c>
      <c r="L1054" s="1250">
        <v>2.00000057423238E-3</v>
      </c>
      <c r="M1054" s="1273">
        <v>2.00000057423238E-3</v>
      </c>
      <c r="N1054" s="1248">
        <v>3.1850009128239903E-2</v>
      </c>
      <c r="O1054" s="1249">
        <v>3.1850009128239903E-2</v>
      </c>
      <c r="P1054" s="1251">
        <v>1.5925004564119952E-2</v>
      </c>
      <c r="Q1054" s="1252">
        <v>2.47638958546311E-2</v>
      </c>
    </row>
    <row r="1055" spans="1:17" s="212" customFormat="1" ht="15.5" x14ac:dyDescent="0.35">
      <c r="A1055" s="198">
        <v>2033</v>
      </c>
      <c r="B1055" s="197" t="s">
        <v>5842</v>
      </c>
      <c r="C1055" s="197">
        <v>2015</v>
      </c>
      <c r="D1055" s="213" t="str">
        <f t="shared" si="12"/>
        <v>2033_2015</v>
      </c>
      <c r="E1055" s="1267">
        <v>8.7777311426494004E-2</v>
      </c>
      <c r="F1055" s="1278">
        <v>5.0263850751865197E-3</v>
      </c>
      <c r="G1055" s="1248">
        <v>0.79372391549191401</v>
      </c>
      <c r="H1055" s="1278">
        <v>4.1618338023595602E-2</v>
      </c>
      <c r="I1055" s="1248">
        <v>2.3369859296585301E-2</v>
      </c>
      <c r="J1055" s="1278">
        <v>8.3603559660637905E-4</v>
      </c>
      <c r="K1055" s="1248">
        <v>3.0000008613302602E-3</v>
      </c>
      <c r="L1055" s="1250">
        <v>2.0000005742675199E-3</v>
      </c>
      <c r="M1055" s="1273">
        <v>2.0000005742675199E-3</v>
      </c>
      <c r="N1055" s="1248">
        <v>3.1850009128239903E-2</v>
      </c>
      <c r="O1055" s="1249">
        <v>3.1850009128239903E-2</v>
      </c>
      <c r="P1055" s="1251">
        <v>1.5925004564119952E-2</v>
      </c>
      <c r="Q1055" s="1252">
        <v>2.4426540631762202E-2</v>
      </c>
    </row>
    <row r="1056" spans="1:17" s="212" customFormat="1" ht="15.5" x14ac:dyDescent="0.35">
      <c r="A1056" s="198">
        <v>2033</v>
      </c>
      <c r="B1056" s="197" t="s">
        <v>5842</v>
      </c>
      <c r="C1056" s="197">
        <v>2016</v>
      </c>
      <c r="D1056" s="213" t="str">
        <f t="shared" si="12"/>
        <v>2033_2016</v>
      </c>
      <c r="E1056" s="1267">
        <v>8.7356380194154606E-2</v>
      </c>
      <c r="F1056" s="1278">
        <v>4.6151662655427098E-3</v>
      </c>
      <c r="G1056" s="1248">
        <v>0.69391840781012704</v>
      </c>
      <c r="H1056" s="1278">
        <v>3.85090546228272E-2</v>
      </c>
      <c r="I1056" s="1248">
        <v>2.29622070329801E-2</v>
      </c>
      <c r="J1056" s="1278">
        <v>9.6204022800889404E-4</v>
      </c>
      <c r="K1056" s="1248">
        <v>3.0000008613454299E-3</v>
      </c>
      <c r="L1056" s="1250">
        <v>2.0000005742488E-3</v>
      </c>
      <c r="M1056" s="1273">
        <v>2.0000005742488E-3</v>
      </c>
      <c r="N1056" s="1248">
        <v>3.1850009128239903E-2</v>
      </c>
      <c r="O1056" s="1249">
        <v>3.1850009128239903E-2</v>
      </c>
      <c r="P1056" s="1251">
        <v>1.5925004564119952E-2</v>
      </c>
      <c r="Q1056" s="1252">
        <v>2.4000456141726901E-2</v>
      </c>
    </row>
    <row r="1057" spans="1:17" s="212" customFormat="1" ht="15.5" x14ac:dyDescent="0.35">
      <c r="A1057" s="198">
        <v>2033</v>
      </c>
      <c r="B1057" s="197" t="s">
        <v>5842</v>
      </c>
      <c r="C1057" s="197">
        <v>2017</v>
      </c>
      <c r="D1057" s="213" t="str">
        <f t="shared" si="12"/>
        <v>2033_2017</v>
      </c>
      <c r="E1057" s="1267">
        <v>8.5700980343681399E-2</v>
      </c>
      <c r="F1057" s="1278">
        <v>4.3429840235546897E-3</v>
      </c>
      <c r="G1057" s="1248">
        <v>0.59119769696412705</v>
      </c>
      <c r="H1057" s="1278">
        <v>3.5339623439619702E-2</v>
      </c>
      <c r="I1057" s="1248">
        <v>2.2280995553997499E-2</v>
      </c>
      <c r="J1057" s="1278">
        <v>1.0373529982351901E-3</v>
      </c>
      <c r="K1057" s="1248">
        <v>3.00000086129134E-3</v>
      </c>
      <c r="L1057" s="1250">
        <v>2.0000005743007199E-3</v>
      </c>
      <c r="M1057" s="1273">
        <v>2.0000005743007199E-3</v>
      </c>
      <c r="N1057" s="1248">
        <v>3.1850009128239903E-2</v>
      </c>
      <c r="O1057" s="1249">
        <v>3.1850009128239903E-2</v>
      </c>
      <c r="P1057" s="1251">
        <v>1.5925004564119952E-2</v>
      </c>
      <c r="Q1057" s="1252">
        <v>2.3288443302495899E-2</v>
      </c>
    </row>
    <row r="1058" spans="1:17" s="212" customFormat="1" ht="15.5" x14ac:dyDescent="0.35">
      <c r="A1058" s="198">
        <v>2033</v>
      </c>
      <c r="B1058" s="197" t="s">
        <v>5842</v>
      </c>
      <c r="C1058" s="197">
        <v>2018</v>
      </c>
      <c r="D1058" s="213" t="str">
        <f t="shared" si="12"/>
        <v>2033_2018</v>
      </c>
      <c r="E1058" s="1267">
        <v>8.5841756833112695E-2</v>
      </c>
      <c r="F1058" s="1278">
        <v>3.8249878595033098E-3</v>
      </c>
      <c r="G1058" s="1248">
        <v>0.48438933035318299</v>
      </c>
      <c r="H1058" s="1278">
        <v>3.1289867962600797E-2</v>
      </c>
      <c r="I1058" s="1248">
        <v>2.1877375024542799E-2</v>
      </c>
      <c r="J1058" s="1278">
        <v>1.0790190678773299E-3</v>
      </c>
      <c r="K1058" s="1248">
        <v>3.0000008613515999E-3</v>
      </c>
      <c r="L1058" s="1250">
        <v>2.00000057425242E-3</v>
      </c>
      <c r="M1058" s="1273">
        <v>2.00000057425242E-3</v>
      </c>
      <c r="N1058" s="1248">
        <v>3.1850009128239903E-2</v>
      </c>
      <c r="O1058" s="1249">
        <v>3.1850009128239903E-2</v>
      </c>
      <c r="P1058" s="1251">
        <v>1.5925004564119952E-2</v>
      </c>
      <c r="Q1058" s="1252">
        <v>2.2866572843738699E-2</v>
      </c>
    </row>
    <row r="1059" spans="1:17" s="212" customFormat="1" ht="15.5" x14ac:dyDescent="0.35">
      <c r="A1059" s="198">
        <v>2033</v>
      </c>
      <c r="B1059" s="197" t="s">
        <v>5842</v>
      </c>
      <c r="C1059" s="197">
        <v>2019</v>
      </c>
      <c r="D1059" s="213" t="str">
        <f t="shared" si="12"/>
        <v>2033_2019</v>
      </c>
      <c r="E1059" s="1267">
        <v>8.52527354046001E-2</v>
      </c>
      <c r="F1059" s="1278">
        <v>3.3039396389324001E-3</v>
      </c>
      <c r="G1059" s="1248">
        <v>0.41337335825461102</v>
      </c>
      <c r="H1059" s="1278">
        <v>2.7299083201377201E-2</v>
      </c>
      <c r="I1059" s="1248">
        <v>2.12869019264533E-2</v>
      </c>
      <c r="J1059" s="1278">
        <v>1.10064552934818E-3</v>
      </c>
      <c r="K1059" s="1248">
        <v>3.0000008614005599E-3</v>
      </c>
      <c r="L1059" s="1250">
        <v>2.0000005742062199E-3</v>
      </c>
      <c r="M1059" s="1273">
        <v>2.0000005742062199E-3</v>
      </c>
      <c r="N1059" s="1248">
        <v>3.1850009128239903E-2</v>
      </c>
      <c r="O1059" s="1249">
        <v>3.1850009128239903E-2</v>
      </c>
      <c r="P1059" s="1251">
        <v>1.5925004564119952E-2</v>
      </c>
      <c r="Q1059" s="1252">
        <v>2.2249401172339301E-2</v>
      </c>
    </row>
    <row r="1060" spans="1:17" s="212" customFormat="1" ht="15.5" x14ac:dyDescent="0.35">
      <c r="A1060" s="198">
        <v>2033</v>
      </c>
      <c r="B1060" s="197" t="s">
        <v>5842</v>
      </c>
      <c r="C1060" s="197">
        <v>2020</v>
      </c>
      <c r="D1060" s="213" t="str">
        <f t="shared" ref="D1060:D1142" si="13">CONCATENATE(A1060,"_",C1060)</f>
        <v>2033_2020</v>
      </c>
      <c r="E1060" s="1267">
        <v>7.4394006258082498E-2</v>
      </c>
      <c r="F1060" s="1278">
        <v>2.7070889464219901E-3</v>
      </c>
      <c r="G1060" s="1248">
        <v>0.32101740535796702</v>
      </c>
      <c r="H1060" s="1278">
        <v>2.3759428106656998E-2</v>
      </c>
      <c r="I1060" s="1248">
        <v>1.8857287981893199E-2</v>
      </c>
      <c r="J1060" s="1278">
        <v>1.0877281514370799E-3</v>
      </c>
      <c r="K1060" s="1248">
        <v>3.00000086097213E-3</v>
      </c>
      <c r="L1060" s="1250">
        <v>2.0000005740778101E-3</v>
      </c>
      <c r="M1060" s="1273">
        <v>2.0000005740778101E-3</v>
      </c>
      <c r="N1060" s="1248">
        <v>3.1850009128239903E-2</v>
      </c>
      <c r="O1060" s="1249">
        <v>3.1850009128239903E-2</v>
      </c>
      <c r="P1060" s="1251">
        <v>1.5925004564119952E-2</v>
      </c>
      <c r="Q1060" s="1252">
        <v>1.9709930866458301E-2</v>
      </c>
    </row>
    <row r="1061" spans="1:17" s="212" customFormat="1" ht="15.5" x14ac:dyDescent="0.35">
      <c r="A1061" s="198">
        <v>2033</v>
      </c>
      <c r="B1061" s="197" t="s">
        <v>5842</v>
      </c>
      <c r="C1061" s="197">
        <v>2021</v>
      </c>
      <c r="D1061" s="213" t="str">
        <f t="shared" si="13"/>
        <v>2033_2021</v>
      </c>
      <c r="E1061" s="1267">
        <v>7.3505633519413999E-2</v>
      </c>
      <c r="F1061" s="1278">
        <v>2.3223888575909799E-3</v>
      </c>
      <c r="G1061" s="1248">
        <v>0.25732603344493199</v>
      </c>
      <c r="H1061" s="1278">
        <v>2.0152710187519601E-2</v>
      </c>
      <c r="I1061" s="1248">
        <v>1.81577696957806E-2</v>
      </c>
      <c r="J1061" s="1278">
        <v>1.08790518707745E-3</v>
      </c>
      <c r="K1061" s="1248">
        <v>3.0000008609744099E-3</v>
      </c>
      <c r="L1061" s="1250">
        <v>2.0000005740795201E-3</v>
      </c>
      <c r="M1061" s="1273">
        <v>2.0000005740795201E-3</v>
      </c>
      <c r="N1061" s="1248">
        <v>3.1850009128239903E-2</v>
      </c>
      <c r="O1061" s="1249">
        <v>3.1850009128239903E-2</v>
      </c>
      <c r="P1061" s="1251">
        <v>1.5925004564119952E-2</v>
      </c>
      <c r="Q1061" s="1252">
        <v>1.8978783467514099E-2</v>
      </c>
    </row>
    <row r="1062" spans="1:17" s="212" customFormat="1" ht="15.5" x14ac:dyDescent="0.35">
      <c r="A1062" s="198">
        <v>2033</v>
      </c>
      <c r="B1062" s="197" t="s">
        <v>5842</v>
      </c>
      <c r="C1062" s="197">
        <v>2022</v>
      </c>
      <c r="D1062" s="213" t="str">
        <f t="shared" si="13"/>
        <v>2033_2022</v>
      </c>
      <c r="E1062" s="1267">
        <v>7.2537433020773201E-2</v>
      </c>
      <c r="F1062" s="1278">
        <v>1.9418637841151301E-3</v>
      </c>
      <c r="G1062" s="1248">
        <v>0.19470444208537299</v>
      </c>
      <c r="H1062" s="1278">
        <v>1.6652174845486301E-2</v>
      </c>
      <c r="I1062" s="1248">
        <v>1.73979252277951E-2</v>
      </c>
      <c r="J1062" s="1278">
        <v>1.0880744046686799E-3</v>
      </c>
      <c r="K1062" s="1248">
        <v>3.0000008609766199E-3</v>
      </c>
      <c r="L1062" s="1250">
        <v>2.0000005740811802E-3</v>
      </c>
      <c r="M1062" s="1273">
        <v>2.0000005740811802E-3</v>
      </c>
      <c r="N1062" s="1248">
        <v>3.1850009128239903E-2</v>
      </c>
      <c r="O1062" s="1249">
        <v>3.1850009128239903E-2</v>
      </c>
      <c r="P1062" s="1251">
        <v>1.5925004564119952E-2</v>
      </c>
      <c r="Q1062" s="1252">
        <v>1.8184582204446201E-2</v>
      </c>
    </row>
    <row r="1063" spans="1:17" s="212" customFormat="1" ht="15.5" x14ac:dyDescent="0.35">
      <c r="A1063" s="198">
        <v>2033</v>
      </c>
      <c r="B1063" s="197" t="s">
        <v>5842</v>
      </c>
      <c r="C1063" s="197">
        <v>2023</v>
      </c>
      <c r="D1063" s="213" t="str">
        <f t="shared" si="13"/>
        <v>2033_2023</v>
      </c>
      <c r="E1063" s="1267">
        <v>7.1489544930415205E-2</v>
      </c>
      <c r="F1063" s="1278">
        <v>1.9631490616235101E-3</v>
      </c>
      <c r="G1063" s="1248">
        <v>0.18933769725494401</v>
      </c>
      <c r="H1063" s="1278">
        <v>1.6620444387906799E-2</v>
      </c>
      <c r="I1063" s="1248">
        <v>1.6577749676750499E-2</v>
      </c>
      <c r="J1063" s="1278">
        <v>1.0882346757855E-3</v>
      </c>
      <c r="K1063" s="1248">
        <v>3.0000008609787502E-3</v>
      </c>
      <c r="L1063" s="1250">
        <v>2.0000005740827701E-3</v>
      </c>
      <c r="M1063" s="1273">
        <v>2.0000005740827701E-3</v>
      </c>
      <c r="N1063" s="1248">
        <v>3.1850009128239903E-2</v>
      </c>
      <c r="O1063" s="1249">
        <v>3.1850009128239903E-2</v>
      </c>
      <c r="P1063" s="1251">
        <v>1.5925004564119952E-2</v>
      </c>
      <c r="Q1063" s="1252">
        <v>1.7327321954458401E-2</v>
      </c>
    </row>
    <row r="1064" spans="1:17" s="212" customFormat="1" ht="15.5" x14ac:dyDescent="0.35">
      <c r="A1064" s="198">
        <v>2033</v>
      </c>
      <c r="B1064" s="197" t="s">
        <v>5842</v>
      </c>
      <c r="C1064" s="197">
        <v>2024</v>
      </c>
      <c r="D1064" s="213" t="str">
        <f t="shared" si="13"/>
        <v>2033_2024</v>
      </c>
      <c r="E1064" s="1267">
        <v>7.0361440897381097E-2</v>
      </c>
      <c r="F1064" s="1278">
        <v>1.9811322536377098E-3</v>
      </c>
      <c r="G1064" s="1248">
        <v>0.183574859900972</v>
      </c>
      <c r="H1064" s="1278">
        <v>1.6530760161190899E-2</v>
      </c>
      <c r="I1064" s="1248">
        <v>1.56971510266436E-2</v>
      </c>
      <c r="J1064" s="1278">
        <v>1.08838514349914E-3</v>
      </c>
      <c r="K1064" s="1248">
        <v>3.0000008609807798E-3</v>
      </c>
      <c r="L1064" s="1250">
        <v>2.0000005740843001E-3</v>
      </c>
      <c r="M1064" s="1275">
        <v>2.00000057401384E-3</v>
      </c>
      <c r="N1064" s="1248">
        <v>3.1850009128239903E-2</v>
      </c>
      <c r="O1064" s="1249">
        <v>3.1850009128239903E-2</v>
      </c>
      <c r="P1064" s="1260">
        <v>1.59250045641199E-2</v>
      </c>
      <c r="Q1064" s="1252">
        <v>1.6406906540992298E-2</v>
      </c>
    </row>
    <row r="1065" spans="1:17" s="212" customFormat="1" ht="15.5" x14ac:dyDescent="0.35">
      <c r="A1065" s="198">
        <v>2033</v>
      </c>
      <c r="B1065" s="197" t="s">
        <v>5842</v>
      </c>
      <c r="C1065" s="197">
        <v>2025</v>
      </c>
      <c r="D1065" s="213" t="str">
        <f t="shared" si="13"/>
        <v>2033_2025</v>
      </c>
      <c r="E1065" s="1267">
        <v>6.9152591667975105E-2</v>
      </c>
      <c r="F1065" s="1278">
        <v>1.9906566664588399E-3</v>
      </c>
      <c r="G1065" s="1248">
        <v>0.177415215333181</v>
      </c>
      <c r="H1065" s="1278">
        <v>1.6329046628328101E-2</v>
      </c>
      <c r="I1065" s="1248">
        <v>1.47560435062336E-2</v>
      </c>
      <c r="J1065" s="1278">
        <v>1.0885231272450399E-3</v>
      </c>
      <c r="K1065" s="1248">
        <v>3.0000008609826802E-3</v>
      </c>
      <c r="L1065" s="1250">
        <v>2.00000057408572E-3</v>
      </c>
      <c r="M1065" s="1275">
        <v>2.00000057401518E-3</v>
      </c>
      <c r="N1065" s="1248">
        <v>3.1850009128239903E-2</v>
      </c>
      <c r="O1065" s="1249">
        <v>3.1850009128240001E-2</v>
      </c>
      <c r="P1065" s="1260">
        <v>1.59250045641199E-2</v>
      </c>
      <c r="Q1065" s="1252">
        <v>1.5423246314612201E-2</v>
      </c>
    </row>
    <row r="1066" spans="1:17" s="212" customFormat="1" ht="15.5" x14ac:dyDescent="0.35">
      <c r="A1066" s="198">
        <v>2033</v>
      </c>
      <c r="B1066" s="197" t="s">
        <v>5842</v>
      </c>
      <c r="C1066" s="197">
        <v>2026</v>
      </c>
      <c r="D1066" s="213" t="str">
        <f t="shared" si="13"/>
        <v>2033_2026</v>
      </c>
      <c r="E1066" s="1267">
        <v>6.7864824767210702E-2</v>
      </c>
      <c r="F1066" s="1278">
        <v>1.9904619236169501E-3</v>
      </c>
      <c r="G1066" s="1248">
        <v>0.170880037274807</v>
      </c>
      <c r="H1066" s="1278">
        <v>1.6003447814776198E-2</v>
      </c>
      <c r="I1066" s="1248">
        <v>1.3754707367826999E-2</v>
      </c>
      <c r="J1066" s="1278">
        <v>1.08866149242412E-3</v>
      </c>
      <c r="K1066" s="1248">
        <v>3.0000008609845901E-3</v>
      </c>
      <c r="L1066" s="1250">
        <v>2.0000005740871498E-3</v>
      </c>
      <c r="M1066" s="1275">
        <v>2.00000057401672E-3</v>
      </c>
      <c r="N1066" s="1248">
        <v>3.1850009128239903E-2</v>
      </c>
      <c r="O1066" s="1249">
        <v>3.1850009128239903E-2</v>
      </c>
      <c r="P1066" s="1260">
        <v>1.59250045641199E-2</v>
      </c>
      <c r="Q1066" s="1252">
        <v>1.43766341993902E-2</v>
      </c>
    </row>
    <row r="1067" spans="1:17" s="212" customFormat="1" ht="15.5" x14ac:dyDescent="0.35">
      <c r="A1067" s="198">
        <v>2033</v>
      </c>
      <c r="B1067" s="197" t="s">
        <v>5842</v>
      </c>
      <c r="C1067" s="197">
        <v>2027</v>
      </c>
      <c r="D1067" s="213" t="str">
        <f t="shared" si="13"/>
        <v>2033_2027</v>
      </c>
      <c r="E1067" s="1267">
        <v>6.6499352119716706E-2</v>
      </c>
      <c r="F1067" s="1278">
        <v>1.9939362292240299E-3</v>
      </c>
      <c r="G1067" s="1248">
        <v>0.16393286644227201</v>
      </c>
      <c r="H1067" s="1278">
        <v>1.5682354468720301E-2</v>
      </c>
      <c r="I1067" s="1248">
        <v>1.2693263598779101E-2</v>
      </c>
      <c r="J1067" s="1278">
        <v>1.08880495941525E-3</v>
      </c>
      <c r="K1067" s="1248">
        <v>3.0000008609865798E-3</v>
      </c>
      <c r="L1067" s="1250">
        <v>2.0000005740886399E-3</v>
      </c>
      <c r="M1067" s="1275">
        <v>2.00000057401827E-3</v>
      </c>
      <c r="N1067" s="1248">
        <v>3.1850009128239903E-2</v>
      </c>
      <c r="O1067" s="1249">
        <v>3.1850009128239903E-2</v>
      </c>
      <c r="P1067" s="1260">
        <v>1.59250045641199E-2</v>
      </c>
      <c r="Q1067" s="1252">
        <v>1.32671966531928E-2</v>
      </c>
    </row>
    <row r="1068" spans="1:17" s="212" customFormat="1" ht="15.5" x14ac:dyDescent="0.35">
      <c r="A1068" s="198">
        <v>2033</v>
      </c>
      <c r="B1068" s="197" t="s">
        <v>5842</v>
      </c>
      <c r="C1068" s="197">
        <v>2028</v>
      </c>
      <c r="D1068" s="213" t="str">
        <f t="shared" si="13"/>
        <v>2033_2028</v>
      </c>
      <c r="E1068" s="1267">
        <v>6.5055320728086397E-2</v>
      </c>
      <c r="F1068" s="1278">
        <v>2.02261718881503E-3</v>
      </c>
      <c r="G1068" s="1248">
        <v>0.156591652403098</v>
      </c>
      <c r="H1068" s="1278">
        <v>1.55888601354826E-2</v>
      </c>
      <c r="I1068" s="1248">
        <v>1.15715415535355E-2</v>
      </c>
      <c r="J1068" s="1278">
        <v>1.08895043122769E-3</v>
      </c>
      <c r="K1068" s="1248">
        <v>3.0000008609885899E-3</v>
      </c>
      <c r="L1068" s="1250">
        <v>2.00000057409015E-3</v>
      </c>
      <c r="M1068" s="1275">
        <v>2.0000005740200698E-3</v>
      </c>
      <c r="N1068" s="1248">
        <v>3.1850009128239903E-2</v>
      </c>
      <c r="O1068" s="1249">
        <v>3.1850009128239903E-2</v>
      </c>
      <c r="P1068" s="1260">
        <v>1.59250045641199E-2</v>
      </c>
      <c r="Q1068" s="1252">
        <v>1.20947553146312E-2</v>
      </c>
    </row>
    <row r="1069" spans="1:17" s="212" customFormat="1" ht="15.5" x14ac:dyDescent="0.35">
      <c r="A1069" s="198">
        <v>2033</v>
      </c>
      <c r="B1069" s="197" t="s">
        <v>5842</v>
      </c>
      <c r="C1069" s="197">
        <v>2029</v>
      </c>
      <c r="D1069" s="213" t="str">
        <f t="shared" si="13"/>
        <v>2033_2029</v>
      </c>
      <c r="E1069" s="1267">
        <v>6.3532308333989096E-2</v>
      </c>
      <c r="F1069" s="1278">
        <v>2.11065843163394E-3</v>
      </c>
      <c r="G1069" s="1248">
        <v>0.14885580038058299</v>
      </c>
      <c r="H1069" s="1278">
        <v>1.6073404700697101E-2</v>
      </c>
      <c r="I1069" s="1248">
        <v>1.03894433400633E-2</v>
      </c>
      <c r="J1069" s="1278">
        <v>1.0890969813507801E-3</v>
      </c>
      <c r="K1069" s="1248">
        <v>3.00000086099063E-3</v>
      </c>
      <c r="L1069" s="1250">
        <v>2.0000005740916701E-3</v>
      </c>
      <c r="M1069" s="1275">
        <v>2.00000057402205E-3</v>
      </c>
      <c r="N1069" s="1248">
        <v>3.1850009128239903E-2</v>
      </c>
      <c r="O1069" s="1249">
        <v>3.1850009128239903E-2</v>
      </c>
      <c r="P1069" s="1260">
        <v>1.59250045641199E-2</v>
      </c>
      <c r="Q1069" s="1252">
        <v>1.08592078654289E-2</v>
      </c>
    </row>
    <row r="1070" spans="1:17" s="212" customFormat="1" ht="15.5" x14ac:dyDescent="0.35">
      <c r="A1070" s="198">
        <v>2033</v>
      </c>
      <c r="B1070" s="197" t="s">
        <v>5842</v>
      </c>
      <c r="C1070" s="197">
        <v>2030</v>
      </c>
      <c r="D1070" s="213" t="str">
        <f t="shared" si="13"/>
        <v>2033_2030</v>
      </c>
      <c r="E1070" s="1267">
        <v>6.1930467809916699E-2</v>
      </c>
      <c r="F1070" s="1278">
        <v>2.2903824502079101E-3</v>
      </c>
      <c r="G1070" s="1248">
        <v>0.140725202597317</v>
      </c>
      <c r="H1070" s="1278">
        <v>1.74717696703495E-2</v>
      </c>
      <c r="I1070" s="1248">
        <v>9.1469352541003798E-3</v>
      </c>
      <c r="J1070" s="1278">
        <v>1.0892448314271099E-3</v>
      </c>
      <c r="K1070" s="1248">
        <v>3.00000086099269E-3</v>
      </c>
      <c r="L1070" s="1250">
        <v>2.0000005740932101E-3</v>
      </c>
      <c r="M1070" s="1275">
        <v>2.0000005740241E-3</v>
      </c>
      <c r="N1070" s="1248">
        <v>3.1850009128239903E-2</v>
      </c>
      <c r="O1070" s="1249">
        <v>3.1850009128239903E-2</v>
      </c>
      <c r="P1070" s="1260">
        <v>1.59250045641199E-2</v>
      </c>
      <c r="Q1070" s="1252">
        <v>9.5605190773667397E-3</v>
      </c>
    </row>
    <row r="1071" spans="1:17" s="212" customFormat="1" ht="15.5" x14ac:dyDescent="0.35">
      <c r="A1071" s="198">
        <v>2033</v>
      </c>
      <c r="B1071" s="197" t="s">
        <v>5842</v>
      </c>
      <c r="C1071" s="197">
        <v>2031</v>
      </c>
      <c r="D1071" s="213" t="str">
        <f t="shared" si="13"/>
        <v>2033_2031</v>
      </c>
      <c r="E1071" s="1267">
        <v>6.0249953735903403E-2</v>
      </c>
      <c r="F1071" s="1278">
        <v>2.5596400184243499E-3</v>
      </c>
      <c r="G1071" s="1248">
        <v>0.13219985953254901</v>
      </c>
      <c r="H1071" s="1278">
        <v>1.9776851982786E-2</v>
      </c>
      <c r="I1071" s="1248">
        <v>7.8439754604713308E-3</v>
      </c>
      <c r="J1071" s="1278">
        <v>1.08939542794216E-3</v>
      </c>
      <c r="K1071" s="1248">
        <v>3.0000008609947998E-3</v>
      </c>
      <c r="L1071" s="1250">
        <v>2.00000057409479E-3</v>
      </c>
      <c r="M1071" s="1275">
        <v>2.0000005740261899E-3</v>
      </c>
      <c r="N1071" s="1248">
        <v>3.1850009128239903E-2</v>
      </c>
      <c r="O1071" s="1249">
        <v>3.1850009128239903E-2</v>
      </c>
      <c r="P1071" s="1260">
        <v>1.59250045641199E-2</v>
      </c>
      <c r="Q1071" s="1252">
        <v>8.1986452236682394E-3</v>
      </c>
    </row>
    <row r="1072" spans="1:17" s="212" customFormat="1" ht="15.5" x14ac:dyDescent="0.35">
      <c r="A1072" s="198">
        <v>2033</v>
      </c>
      <c r="B1072" s="197" t="s">
        <v>5842</v>
      </c>
      <c r="C1072" s="197">
        <v>2032</v>
      </c>
      <c r="D1072" s="213" t="str">
        <f t="shared" si="13"/>
        <v>2033_2032</v>
      </c>
      <c r="E1072" s="1267">
        <v>5.8490155087985801E-2</v>
      </c>
      <c r="F1072" s="1278">
        <v>2.8164467163028198E-3</v>
      </c>
      <c r="G1072" s="1248">
        <v>0.12327896405015699</v>
      </c>
      <c r="H1072" s="1278">
        <v>2.1981217432453501E-2</v>
      </c>
      <c r="I1072" s="1248">
        <v>6.4804485011216101E-3</v>
      </c>
      <c r="J1072" s="1278">
        <v>1.0895469777060401E-3</v>
      </c>
      <c r="K1072" s="1248">
        <v>3.0000008609969301E-3</v>
      </c>
      <c r="L1072" s="1250">
        <v>2.0000005740963898E-3</v>
      </c>
      <c r="M1072" s="1275">
        <v>2.0000005740279801E-3</v>
      </c>
      <c r="N1072" s="1248">
        <v>3.1850009128239903E-2</v>
      </c>
      <c r="O1072" s="1249">
        <v>3.1850009128239903E-2</v>
      </c>
      <c r="P1072" s="1260">
        <v>1.59250045641199E-2</v>
      </c>
      <c r="Q1072" s="1252">
        <v>6.7734656257779999E-3</v>
      </c>
    </row>
    <row r="1073" spans="1:17" s="212" customFormat="1" ht="15.5" x14ac:dyDescent="0.35">
      <c r="A1073" s="198">
        <v>2033</v>
      </c>
      <c r="B1073" s="197" t="s">
        <v>5842</v>
      </c>
      <c r="C1073" s="197">
        <v>2033</v>
      </c>
      <c r="D1073" s="213" t="str">
        <f t="shared" si="13"/>
        <v>2033_2033</v>
      </c>
      <c r="E1073" s="1267">
        <v>5.6651216254969203E-2</v>
      </c>
      <c r="F1073" s="1278">
        <v>2.7429382693495998E-3</v>
      </c>
      <c r="G1073" s="1248">
        <v>0.11396239512087999</v>
      </c>
      <c r="H1073" s="1278">
        <v>2.0908672050613801E-2</v>
      </c>
      <c r="I1073" s="1248">
        <v>5.0563055286268598E-3</v>
      </c>
      <c r="J1073" s="1278">
        <v>1.0896999906335901E-3</v>
      </c>
      <c r="K1073" s="1248">
        <v>3.0000008609990898E-3</v>
      </c>
      <c r="L1073" s="1250">
        <v>2.0000005740980101E-3</v>
      </c>
      <c r="M1073" s="1275">
        <v>2.0000005740273799E-3</v>
      </c>
      <c r="N1073" s="1248">
        <v>3.1850009128239903E-2</v>
      </c>
      <c r="O1073" s="1249">
        <v>3.1850009128239903E-2</v>
      </c>
      <c r="P1073" s="1260">
        <v>1.59250045641199E-2</v>
      </c>
      <c r="Q1073" s="1252">
        <v>5.2849292276078898E-3</v>
      </c>
    </row>
    <row r="1074" spans="1:17" s="212" customFormat="1" ht="15.5" x14ac:dyDescent="0.35">
      <c r="A1074" s="198">
        <v>2033</v>
      </c>
      <c r="B1074" s="197" t="s">
        <v>5842</v>
      </c>
      <c r="C1074" s="197">
        <v>2034</v>
      </c>
      <c r="D1074" s="213" t="str">
        <f t="shared" si="13"/>
        <v>2033_2034</v>
      </c>
      <c r="E1074" s="1268">
        <v>5.6651216254969203E-2</v>
      </c>
      <c r="F1074" s="1279">
        <v>2.7429382693495998E-3</v>
      </c>
      <c r="G1074" s="1255">
        <v>0.11396239512087999</v>
      </c>
      <c r="H1074" s="1279">
        <v>2.0908672050613801E-2</v>
      </c>
      <c r="I1074" s="1255">
        <v>5.0563055286268598E-3</v>
      </c>
      <c r="J1074" s="1279">
        <v>1.0896999906335901E-3</v>
      </c>
      <c r="K1074" s="1255">
        <v>3.0000008609990898E-3</v>
      </c>
      <c r="L1074" s="1253">
        <v>2.0000005740980101E-3</v>
      </c>
      <c r="M1074" s="1273">
        <v>2.0000005740273799E-3</v>
      </c>
      <c r="N1074" s="1255">
        <v>3.1850009128239903E-2</v>
      </c>
      <c r="O1074" s="1256">
        <v>3.1850009128239903E-2</v>
      </c>
      <c r="P1074" s="1251">
        <v>1.59250045641199E-2</v>
      </c>
      <c r="Q1074" s="1254">
        <v>5.2849292276078898E-3</v>
      </c>
    </row>
    <row r="1075" spans="1:17" s="212" customFormat="1" ht="15.5" x14ac:dyDescent="0.35">
      <c r="A1075" s="198">
        <v>2034</v>
      </c>
      <c r="B1075" s="197" t="s">
        <v>5842</v>
      </c>
      <c r="C1075" s="197">
        <v>1971</v>
      </c>
      <c r="D1075" s="213" t="str">
        <f t="shared" si="13"/>
        <v>2034_1971</v>
      </c>
      <c r="E1075" s="1268">
        <v>0.28069290251972301</v>
      </c>
      <c r="F1075" s="1279">
        <v>0.44700628830115602</v>
      </c>
      <c r="G1075" s="1255">
        <v>5.3737292111149797</v>
      </c>
      <c r="H1075" s="1279">
        <v>1.66216404507962</v>
      </c>
      <c r="I1075" s="1255">
        <v>0.19116240287292099</v>
      </c>
      <c r="J1075" s="1279">
        <v>1.3980997354196801E-2</v>
      </c>
      <c r="K1075" s="1255">
        <v>3.00000086114414E-3</v>
      </c>
      <c r="L1075" s="1253">
        <v>2.0000005742140101E-3</v>
      </c>
      <c r="M1075" s="1273">
        <v>2.0000005742140101E-3</v>
      </c>
      <c r="N1075" s="1255">
        <v>3.1850009128239903E-2</v>
      </c>
      <c r="O1075" s="1256">
        <v>3.1850009128239903E-2</v>
      </c>
      <c r="P1075" s="1251">
        <v>1.5925004564119952E-2</v>
      </c>
      <c r="Q1075" s="1254">
        <v>0.19980591846023499</v>
      </c>
    </row>
    <row r="1076" spans="1:17" s="212" customFormat="1" ht="15.5" x14ac:dyDescent="0.35">
      <c r="A1076" s="198">
        <v>2034</v>
      </c>
      <c r="B1076" s="197" t="s">
        <v>5842</v>
      </c>
      <c r="C1076" s="197">
        <v>1972</v>
      </c>
      <c r="D1076" s="213" t="str">
        <f t="shared" si="13"/>
        <v>2034_1972</v>
      </c>
      <c r="E1076" s="1268">
        <v>0.28069290251972301</v>
      </c>
      <c r="F1076" s="1279">
        <v>0.44700628830115602</v>
      </c>
      <c r="G1076" s="1255">
        <v>5.3737292111149797</v>
      </c>
      <c r="H1076" s="1279">
        <v>1.66216404507962</v>
      </c>
      <c r="I1076" s="1255">
        <v>0.19116240287292099</v>
      </c>
      <c r="J1076" s="1279">
        <v>1.3980997354196801E-2</v>
      </c>
      <c r="K1076" s="1255">
        <v>3.00000086114414E-3</v>
      </c>
      <c r="L1076" s="1253">
        <v>2.0000005742140101E-3</v>
      </c>
      <c r="M1076" s="1273">
        <v>2.0000005742140101E-3</v>
      </c>
      <c r="N1076" s="1255">
        <v>3.1850009128239903E-2</v>
      </c>
      <c r="O1076" s="1256">
        <v>3.1850009128239903E-2</v>
      </c>
      <c r="P1076" s="1251">
        <v>1.5925004564119952E-2</v>
      </c>
      <c r="Q1076" s="1254">
        <v>0.19980591846023499</v>
      </c>
    </row>
    <row r="1077" spans="1:17" s="212" customFormat="1" ht="15.5" x14ac:dyDescent="0.35">
      <c r="A1077" s="198">
        <v>2034</v>
      </c>
      <c r="B1077" s="197" t="s">
        <v>5842</v>
      </c>
      <c r="C1077" s="197">
        <v>1973</v>
      </c>
      <c r="D1077" s="213" t="str">
        <f t="shared" si="13"/>
        <v>2034_1973</v>
      </c>
      <c r="E1077" s="1268">
        <v>0.28069290251972301</v>
      </c>
      <c r="F1077" s="1279">
        <v>0.44700628830115602</v>
      </c>
      <c r="G1077" s="1255">
        <v>5.3737292111149797</v>
      </c>
      <c r="H1077" s="1279">
        <v>1.66216404507962</v>
      </c>
      <c r="I1077" s="1255">
        <v>0.19116240287292099</v>
      </c>
      <c r="J1077" s="1279">
        <v>1.3980997354196801E-2</v>
      </c>
      <c r="K1077" s="1255">
        <v>3.00000086114414E-3</v>
      </c>
      <c r="L1077" s="1253">
        <v>2.0000005742140101E-3</v>
      </c>
      <c r="M1077" s="1273">
        <v>2.0000005742140101E-3</v>
      </c>
      <c r="N1077" s="1255">
        <v>3.1850009128239903E-2</v>
      </c>
      <c r="O1077" s="1256">
        <v>3.1850009128239903E-2</v>
      </c>
      <c r="P1077" s="1251">
        <v>1.5925004564119952E-2</v>
      </c>
      <c r="Q1077" s="1254">
        <v>0.19980591846023499</v>
      </c>
    </row>
    <row r="1078" spans="1:17" s="212" customFormat="1" ht="15.5" x14ac:dyDescent="0.35">
      <c r="A1078" s="198">
        <v>2034</v>
      </c>
      <c r="B1078" s="197" t="s">
        <v>5842</v>
      </c>
      <c r="C1078" s="197">
        <v>1974</v>
      </c>
      <c r="D1078" s="213" t="str">
        <f t="shared" si="13"/>
        <v>2034_1974</v>
      </c>
      <c r="E1078" s="1268">
        <v>0.28069290251972301</v>
      </c>
      <c r="F1078" s="1279">
        <v>0.44700628830115602</v>
      </c>
      <c r="G1078" s="1255">
        <v>5.3737292111149797</v>
      </c>
      <c r="H1078" s="1279">
        <v>1.66216404507962</v>
      </c>
      <c r="I1078" s="1255">
        <v>0.19116240287292099</v>
      </c>
      <c r="J1078" s="1279">
        <v>1.3980997354196801E-2</v>
      </c>
      <c r="K1078" s="1255">
        <v>3.00000086114414E-3</v>
      </c>
      <c r="L1078" s="1253">
        <v>2.0000005742140101E-3</v>
      </c>
      <c r="M1078" s="1273">
        <v>2.0000005742140101E-3</v>
      </c>
      <c r="N1078" s="1255">
        <v>3.1850009128239903E-2</v>
      </c>
      <c r="O1078" s="1256">
        <v>3.1850009128239903E-2</v>
      </c>
      <c r="P1078" s="1251">
        <v>1.5925004564119952E-2</v>
      </c>
      <c r="Q1078" s="1254">
        <v>0.19980591846023499</v>
      </c>
    </row>
    <row r="1079" spans="1:17" s="212" customFormat="1" ht="15.5" x14ac:dyDescent="0.35">
      <c r="A1079" s="198">
        <v>2034</v>
      </c>
      <c r="B1079" s="197" t="s">
        <v>5842</v>
      </c>
      <c r="C1079" s="197">
        <v>1975</v>
      </c>
      <c r="D1079" s="213" t="str">
        <f t="shared" si="13"/>
        <v>2034_1975</v>
      </c>
      <c r="E1079" s="1268">
        <v>0.28069290251972301</v>
      </c>
      <c r="F1079" s="1279">
        <v>0.44700628830115602</v>
      </c>
      <c r="G1079" s="1255">
        <v>5.3737292111149797</v>
      </c>
      <c r="H1079" s="1279">
        <v>1.66216404507962</v>
      </c>
      <c r="I1079" s="1255">
        <v>0.19116240287292099</v>
      </c>
      <c r="J1079" s="1279">
        <v>1.3980997354196801E-2</v>
      </c>
      <c r="K1079" s="1255">
        <v>3.00000086114414E-3</v>
      </c>
      <c r="L1079" s="1253">
        <v>2.0000005742140101E-3</v>
      </c>
      <c r="M1079" s="1273">
        <v>2.0000005742140101E-3</v>
      </c>
      <c r="N1079" s="1255">
        <v>3.1850009128239903E-2</v>
      </c>
      <c r="O1079" s="1256">
        <v>3.1850009128239903E-2</v>
      </c>
      <c r="P1079" s="1251">
        <v>1.5925004564119952E-2</v>
      </c>
      <c r="Q1079" s="1254">
        <v>0.19980591846023499</v>
      </c>
    </row>
    <row r="1080" spans="1:17" s="212" customFormat="1" ht="15.5" x14ac:dyDescent="0.35">
      <c r="A1080" s="198">
        <v>2034</v>
      </c>
      <c r="B1080" s="197" t="s">
        <v>5842</v>
      </c>
      <c r="C1080" s="197">
        <v>1976</v>
      </c>
      <c r="D1080" s="213" t="str">
        <f t="shared" si="13"/>
        <v>2034_1976</v>
      </c>
      <c r="E1080" s="1268">
        <v>0.28069290251972301</v>
      </c>
      <c r="F1080" s="1279">
        <v>0.44700628830115602</v>
      </c>
      <c r="G1080" s="1255">
        <v>5.3737292111149797</v>
      </c>
      <c r="H1080" s="1279">
        <v>1.66216404507962</v>
      </c>
      <c r="I1080" s="1255">
        <v>0.19116240287292099</v>
      </c>
      <c r="J1080" s="1279">
        <v>1.3980997354196801E-2</v>
      </c>
      <c r="K1080" s="1255">
        <v>3.00000086114414E-3</v>
      </c>
      <c r="L1080" s="1253">
        <v>2.0000005742140101E-3</v>
      </c>
      <c r="M1080" s="1273">
        <v>2.0000005742140101E-3</v>
      </c>
      <c r="N1080" s="1255">
        <v>3.1850009128239903E-2</v>
      </c>
      <c r="O1080" s="1256">
        <v>3.1850009128239903E-2</v>
      </c>
      <c r="P1080" s="1251">
        <v>1.5925004564119952E-2</v>
      </c>
      <c r="Q1080" s="1254">
        <v>0.19980591846023499</v>
      </c>
    </row>
    <row r="1081" spans="1:17" s="212" customFormat="1" ht="15.5" x14ac:dyDescent="0.35">
      <c r="A1081" s="198">
        <v>2034</v>
      </c>
      <c r="B1081" s="197" t="s">
        <v>5842</v>
      </c>
      <c r="C1081" s="197">
        <v>1977</v>
      </c>
      <c r="D1081" s="213" t="str">
        <f t="shared" si="13"/>
        <v>2034_1977</v>
      </c>
      <c r="E1081" s="1268">
        <v>0.28069290251972301</v>
      </c>
      <c r="F1081" s="1279">
        <v>0.44700628830115602</v>
      </c>
      <c r="G1081" s="1255">
        <v>5.3737292111149797</v>
      </c>
      <c r="H1081" s="1279">
        <v>1.66216404507962</v>
      </c>
      <c r="I1081" s="1255">
        <v>0.19116240287292099</v>
      </c>
      <c r="J1081" s="1279">
        <v>1.3980997354196801E-2</v>
      </c>
      <c r="K1081" s="1255">
        <v>3.00000086114414E-3</v>
      </c>
      <c r="L1081" s="1253">
        <v>2.0000005742140101E-3</v>
      </c>
      <c r="M1081" s="1273">
        <v>2.0000005742140101E-3</v>
      </c>
      <c r="N1081" s="1255">
        <v>3.1850009128239903E-2</v>
      </c>
      <c r="O1081" s="1256">
        <v>3.1850009128239903E-2</v>
      </c>
      <c r="P1081" s="1251">
        <v>1.5925004564119952E-2</v>
      </c>
      <c r="Q1081" s="1254">
        <v>0.19980591846023499</v>
      </c>
    </row>
    <row r="1082" spans="1:17" s="212" customFormat="1" ht="15.5" x14ac:dyDescent="0.35">
      <c r="A1082" s="198">
        <v>2034</v>
      </c>
      <c r="B1082" s="197" t="s">
        <v>5842</v>
      </c>
      <c r="C1082" s="197">
        <v>1978</v>
      </c>
      <c r="D1082" s="213" t="str">
        <f t="shared" si="13"/>
        <v>2034_1978</v>
      </c>
      <c r="E1082" s="1268">
        <v>0.28069290251972301</v>
      </c>
      <c r="F1082" s="1279">
        <v>0.44700628830115602</v>
      </c>
      <c r="G1082" s="1255">
        <v>5.3737292111149797</v>
      </c>
      <c r="H1082" s="1279">
        <v>1.66216404507962</v>
      </c>
      <c r="I1082" s="1255">
        <v>0.19116240287292099</v>
      </c>
      <c r="J1082" s="1279">
        <v>1.3980997354196801E-2</v>
      </c>
      <c r="K1082" s="1255">
        <v>3.00000086114414E-3</v>
      </c>
      <c r="L1082" s="1253">
        <v>2.0000005742140101E-3</v>
      </c>
      <c r="M1082" s="1273">
        <v>2.0000005742140101E-3</v>
      </c>
      <c r="N1082" s="1255">
        <v>3.1850009128239903E-2</v>
      </c>
      <c r="O1082" s="1256">
        <v>3.1850009128239903E-2</v>
      </c>
      <c r="P1082" s="1251">
        <v>1.5925004564119952E-2</v>
      </c>
      <c r="Q1082" s="1254">
        <v>0.19980591846023499</v>
      </c>
    </row>
    <row r="1083" spans="1:17" s="212" customFormat="1" ht="15.5" x14ac:dyDescent="0.35">
      <c r="A1083" s="198">
        <v>2034</v>
      </c>
      <c r="B1083" s="197" t="s">
        <v>5842</v>
      </c>
      <c r="C1083" s="197">
        <v>1979</v>
      </c>
      <c r="D1083" s="213" t="str">
        <f t="shared" si="13"/>
        <v>2034_1979</v>
      </c>
      <c r="E1083" s="1268">
        <v>0.28069290251972301</v>
      </c>
      <c r="F1083" s="1279">
        <v>0.44700628830115602</v>
      </c>
      <c r="G1083" s="1255">
        <v>5.3737292111149797</v>
      </c>
      <c r="H1083" s="1279">
        <v>1.66216404507962</v>
      </c>
      <c r="I1083" s="1255">
        <v>0.19116240287292099</v>
      </c>
      <c r="J1083" s="1279">
        <v>1.3980997354196801E-2</v>
      </c>
      <c r="K1083" s="1255">
        <v>3.00000086114414E-3</v>
      </c>
      <c r="L1083" s="1253">
        <v>2.0000005742140101E-3</v>
      </c>
      <c r="M1083" s="1273">
        <v>2.0000005742140101E-3</v>
      </c>
      <c r="N1083" s="1255">
        <v>3.1850009128239903E-2</v>
      </c>
      <c r="O1083" s="1256">
        <v>3.1850009128239903E-2</v>
      </c>
      <c r="P1083" s="1251">
        <v>1.5925004564119952E-2</v>
      </c>
      <c r="Q1083" s="1254">
        <v>0.19980591846023499</v>
      </c>
    </row>
    <row r="1084" spans="1:17" s="212" customFormat="1" ht="15.5" x14ac:dyDescent="0.35">
      <c r="A1084" s="198">
        <v>2034</v>
      </c>
      <c r="B1084" s="197" t="s">
        <v>5842</v>
      </c>
      <c r="C1084" s="197">
        <v>1980</v>
      </c>
      <c r="D1084" s="213" t="str">
        <f t="shared" si="13"/>
        <v>2034_1980</v>
      </c>
      <c r="E1084" s="1268">
        <v>0.28069290251972301</v>
      </c>
      <c r="F1084" s="1279">
        <v>0.44700628830115602</v>
      </c>
      <c r="G1084" s="1255">
        <v>5.3737292111149797</v>
      </c>
      <c r="H1084" s="1279">
        <v>1.66216404507962</v>
      </c>
      <c r="I1084" s="1255">
        <v>0.19116240287292099</v>
      </c>
      <c r="J1084" s="1279">
        <v>1.3980997354196801E-2</v>
      </c>
      <c r="K1084" s="1255">
        <v>3.00000086114414E-3</v>
      </c>
      <c r="L1084" s="1253">
        <v>2.0000005742140101E-3</v>
      </c>
      <c r="M1084" s="1273">
        <v>2.0000005742140101E-3</v>
      </c>
      <c r="N1084" s="1255">
        <v>3.1850009128239903E-2</v>
      </c>
      <c r="O1084" s="1256">
        <v>3.1850009128239903E-2</v>
      </c>
      <c r="P1084" s="1251">
        <v>1.5925004564119952E-2</v>
      </c>
      <c r="Q1084" s="1254">
        <v>0.19980591846023499</v>
      </c>
    </row>
    <row r="1085" spans="1:17" s="212" customFormat="1" ht="15.5" x14ac:dyDescent="0.35">
      <c r="A1085" s="198">
        <v>2034</v>
      </c>
      <c r="B1085" s="197" t="s">
        <v>5842</v>
      </c>
      <c r="C1085" s="197">
        <v>1981</v>
      </c>
      <c r="D1085" s="213" t="str">
        <f t="shared" si="13"/>
        <v>2034_1981</v>
      </c>
      <c r="E1085" s="1268">
        <v>0.28069290251972301</v>
      </c>
      <c r="F1085" s="1279">
        <v>0.44700628830115602</v>
      </c>
      <c r="G1085" s="1255">
        <v>5.3737292111149797</v>
      </c>
      <c r="H1085" s="1279">
        <v>1.66216404507962</v>
      </c>
      <c r="I1085" s="1255">
        <v>0.19116240287292099</v>
      </c>
      <c r="J1085" s="1279">
        <v>1.3980997354196801E-2</v>
      </c>
      <c r="K1085" s="1255">
        <v>3.00000086114414E-3</v>
      </c>
      <c r="L1085" s="1253">
        <v>2.0000005742140101E-3</v>
      </c>
      <c r="M1085" s="1273">
        <v>2.0000005742140101E-3</v>
      </c>
      <c r="N1085" s="1255">
        <v>3.1850009128239903E-2</v>
      </c>
      <c r="O1085" s="1256">
        <v>3.1850009128239903E-2</v>
      </c>
      <c r="P1085" s="1251">
        <v>1.5925004564119952E-2</v>
      </c>
      <c r="Q1085" s="1254">
        <v>0.19980591846023499</v>
      </c>
    </row>
    <row r="1086" spans="1:17" s="212" customFormat="1" ht="15.5" x14ac:dyDescent="0.35">
      <c r="A1086" s="198">
        <v>2034</v>
      </c>
      <c r="B1086" s="197" t="s">
        <v>5842</v>
      </c>
      <c r="C1086" s="197">
        <v>1982</v>
      </c>
      <c r="D1086" s="213" t="str">
        <f t="shared" si="13"/>
        <v>2034_1982</v>
      </c>
      <c r="E1086" s="1268">
        <v>0.28069290251972301</v>
      </c>
      <c r="F1086" s="1279">
        <v>0.44700628830115602</v>
      </c>
      <c r="G1086" s="1255">
        <v>5.3737292111149797</v>
      </c>
      <c r="H1086" s="1279">
        <v>1.66216404507962</v>
      </c>
      <c r="I1086" s="1255">
        <v>0.19116240287292099</v>
      </c>
      <c r="J1086" s="1279">
        <v>1.3980997354196801E-2</v>
      </c>
      <c r="K1086" s="1255">
        <v>3.00000086114414E-3</v>
      </c>
      <c r="L1086" s="1253">
        <v>2.0000005742140101E-3</v>
      </c>
      <c r="M1086" s="1273">
        <v>2.0000005742140101E-3</v>
      </c>
      <c r="N1086" s="1255">
        <v>3.1850009128239903E-2</v>
      </c>
      <c r="O1086" s="1256">
        <v>3.1850009128239903E-2</v>
      </c>
      <c r="P1086" s="1251">
        <v>1.5925004564119952E-2</v>
      </c>
      <c r="Q1086" s="1254">
        <v>0.19980591846023499</v>
      </c>
    </row>
    <row r="1087" spans="1:17" s="212" customFormat="1" ht="15.5" x14ac:dyDescent="0.35">
      <c r="A1087" s="198">
        <v>2034</v>
      </c>
      <c r="B1087" s="197" t="s">
        <v>5842</v>
      </c>
      <c r="C1087" s="197">
        <v>1983</v>
      </c>
      <c r="D1087" s="213" t="str">
        <f t="shared" si="13"/>
        <v>2034_1983</v>
      </c>
      <c r="E1087" s="1268">
        <v>0.28069290251972301</v>
      </c>
      <c r="F1087" s="1279">
        <v>0.44700628830115602</v>
      </c>
      <c r="G1087" s="1255">
        <v>5.3737292111149797</v>
      </c>
      <c r="H1087" s="1279">
        <v>1.66216404507962</v>
      </c>
      <c r="I1087" s="1255">
        <v>0.19116240287292099</v>
      </c>
      <c r="J1087" s="1279">
        <v>1.3980997354196801E-2</v>
      </c>
      <c r="K1087" s="1255">
        <v>3.00000086114414E-3</v>
      </c>
      <c r="L1087" s="1253">
        <v>2.0000005742140101E-3</v>
      </c>
      <c r="M1087" s="1273">
        <v>2.0000005742140101E-3</v>
      </c>
      <c r="N1087" s="1255">
        <v>3.1850009128239903E-2</v>
      </c>
      <c r="O1087" s="1256">
        <v>3.1850009128239903E-2</v>
      </c>
      <c r="P1087" s="1251">
        <v>1.5925004564119952E-2</v>
      </c>
      <c r="Q1087" s="1254">
        <v>0.19980591846023499</v>
      </c>
    </row>
    <row r="1088" spans="1:17" s="212" customFormat="1" ht="15.5" x14ac:dyDescent="0.35">
      <c r="A1088" s="198">
        <v>2034</v>
      </c>
      <c r="B1088" s="197" t="s">
        <v>5842</v>
      </c>
      <c r="C1088" s="197">
        <v>1984</v>
      </c>
      <c r="D1088" s="213" t="str">
        <f t="shared" si="13"/>
        <v>2034_1984</v>
      </c>
      <c r="E1088" s="1268">
        <v>0.28069290251972301</v>
      </c>
      <c r="F1088" s="1279">
        <v>0.44700628830115602</v>
      </c>
      <c r="G1088" s="1255">
        <v>5.3737292111149797</v>
      </c>
      <c r="H1088" s="1279">
        <v>1.66216404507962</v>
      </c>
      <c r="I1088" s="1255">
        <v>0.19116240287292099</v>
      </c>
      <c r="J1088" s="1279">
        <v>1.3980997354196801E-2</v>
      </c>
      <c r="K1088" s="1255">
        <v>3.00000086114414E-3</v>
      </c>
      <c r="L1088" s="1253">
        <v>2.0000005742140101E-3</v>
      </c>
      <c r="M1088" s="1273">
        <v>2.0000005742140101E-3</v>
      </c>
      <c r="N1088" s="1255">
        <v>3.1850009128239903E-2</v>
      </c>
      <c r="O1088" s="1256">
        <v>3.1850009128239903E-2</v>
      </c>
      <c r="P1088" s="1251">
        <v>1.5925004564119952E-2</v>
      </c>
      <c r="Q1088" s="1254">
        <v>0.19980591846023499</v>
      </c>
    </row>
    <row r="1089" spans="1:17" s="212" customFormat="1" ht="15.5" x14ac:dyDescent="0.35">
      <c r="A1089" s="198">
        <v>2034</v>
      </c>
      <c r="B1089" s="197" t="s">
        <v>5842</v>
      </c>
      <c r="C1089" s="197">
        <v>1985</v>
      </c>
      <c r="D1089" s="213" t="str">
        <f t="shared" si="13"/>
        <v>2034_1985</v>
      </c>
      <c r="E1089" s="1268">
        <v>0.28069290251972301</v>
      </c>
      <c r="F1089" s="1279">
        <v>0.44700628830115602</v>
      </c>
      <c r="G1089" s="1255">
        <v>5.3737292111149797</v>
      </c>
      <c r="H1089" s="1279">
        <v>1.66216404507962</v>
      </c>
      <c r="I1089" s="1255">
        <v>0.19116240287292099</v>
      </c>
      <c r="J1089" s="1279">
        <v>1.3980997354196801E-2</v>
      </c>
      <c r="K1089" s="1255">
        <v>3.00000086114414E-3</v>
      </c>
      <c r="L1089" s="1253">
        <v>2.0000005742140101E-3</v>
      </c>
      <c r="M1089" s="1273">
        <v>2.0000005742140101E-3</v>
      </c>
      <c r="N1089" s="1255">
        <v>3.1850009128239903E-2</v>
      </c>
      <c r="O1089" s="1256">
        <v>3.1850009128239903E-2</v>
      </c>
      <c r="P1089" s="1251">
        <v>1.5925004564119952E-2</v>
      </c>
      <c r="Q1089" s="1254">
        <v>0.19980591846023499</v>
      </c>
    </row>
    <row r="1090" spans="1:17" s="212" customFormat="1" ht="15.5" x14ac:dyDescent="0.35">
      <c r="A1090" s="198">
        <v>2034</v>
      </c>
      <c r="B1090" s="197" t="s">
        <v>5842</v>
      </c>
      <c r="C1090" s="197">
        <v>1986</v>
      </c>
      <c r="D1090" s="213" t="str">
        <f t="shared" si="13"/>
        <v>2034_1986</v>
      </c>
      <c r="E1090" s="1268">
        <v>0.28069290251972301</v>
      </c>
      <c r="F1090" s="1279">
        <v>0.44700628830115602</v>
      </c>
      <c r="G1090" s="1255">
        <v>5.3737292111149797</v>
      </c>
      <c r="H1090" s="1279">
        <v>1.66216404507962</v>
      </c>
      <c r="I1090" s="1255">
        <v>0.19116240287292099</v>
      </c>
      <c r="J1090" s="1279">
        <v>1.3980997354196801E-2</v>
      </c>
      <c r="K1090" s="1255">
        <v>3.00000086114414E-3</v>
      </c>
      <c r="L1090" s="1253">
        <v>2.0000005742140101E-3</v>
      </c>
      <c r="M1090" s="1273">
        <v>2.0000005742140101E-3</v>
      </c>
      <c r="N1090" s="1255">
        <v>3.1850009128239903E-2</v>
      </c>
      <c r="O1090" s="1256">
        <v>3.1850009128239903E-2</v>
      </c>
      <c r="P1090" s="1251">
        <v>1.5925004564119952E-2</v>
      </c>
      <c r="Q1090" s="1254">
        <v>0.19980591846023499</v>
      </c>
    </row>
    <row r="1091" spans="1:17" s="212" customFormat="1" ht="15.5" x14ac:dyDescent="0.35">
      <c r="A1091" s="198">
        <v>2034</v>
      </c>
      <c r="B1091" s="197" t="s">
        <v>5842</v>
      </c>
      <c r="C1091" s="197">
        <v>1987</v>
      </c>
      <c r="D1091" s="213" t="str">
        <f t="shared" si="13"/>
        <v>2034_1987</v>
      </c>
      <c r="E1091" s="1268">
        <v>0.28069290251972301</v>
      </c>
      <c r="F1091" s="1279">
        <v>0.44700628830115602</v>
      </c>
      <c r="G1091" s="1255">
        <v>5.3737292111149797</v>
      </c>
      <c r="H1091" s="1279">
        <v>1.66216404507962</v>
      </c>
      <c r="I1091" s="1255">
        <v>0.19116240287292099</v>
      </c>
      <c r="J1091" s="1279">
        <v>1.3980997354196801E-2</v>
      </c>
      <c r="K1091" s="1255">
        <v>3.00000086114414E-3</v>
      </c>
      <c r="L1091" s="1253">
        <v>2.0000005742140101E-3</v>
      </c>
      <c r="M1091" s="1273">
        <v>2.0000005742140101E-3</v>
      </c>
      <c r="N1091" s="1255">
        <v>3.1850009128239903E-2</v>
      </c>
      <c r="O1091" s="1256">
        <v>3.1850009128239903E-2</v>
      </c>
      <c r="P1091" s="1251">
        <v>1.5925004564119952E-2</v>
      </c>
      <c r="Q1091" s="1254">
        <v>0.19980591846023499</v>
      </c>
    </row>
    <row r="1092" spans="1:17" s="212" customFormat="1" ht="15.5" x14ac:dyDescent="0.35">
      <c r="A1092" s="198">
        <v>2034</v>
      </c>
      <c r="B1092" s="197" t="s">
        <v>5842</v>
      </c>
      <c r="C1092" s="197">
        <v>1988</v>
      </c>
      <c r="D1092" s="213" t="str">
        <f t="shared" si="13"/>
        <v>2034_1988</v>
      </c>
      <c r="E1092" s="1268">
        <v>0.28069290251972301</v>
      </c>
      <c r="F1092" s="1279">
        <v>0.44700628830115602</v>
      </c>
      <c r="G1092" s="1255">
        <v>5.3737292111149797</v>
      </c>
      <c r="H1092" s="1279">
        <v>1.66216404507962</v>
      </c>
      <c r="I1092" s="1255">
        <v>0.19116240287292099</v>
      </c>
      <c r="J1092" s="1279">
        <v>1.3980997354196801E-2</v>
      </c>
      <c r="K1092" s="1255">
        <v>3.00000086114414E-3</v>
      </c>
      <c r="L1092" s="1253">
        <v>2.0000005742140101E-3</v>
      </c>
      <c r="M1092" s="1273">
        <v>2.0000005742140101E-3</v>
      </c>
      <c r="N1092" s="1255">
        <v>3.1850009128239903E-2</v>
      </c>
      <c r="O1092" s="1256">
        <v>3.1850009128239903E-2</v>
      </c>
      <c r="P1092" s="1251">
        <v>1.5925004564119952E-2</v>
      </c>
      <c r="Q1092" s="1254">
        <v>0.19980591846023499</v>
      </c>
    </row>
    <row r="1093" spans="1:17" s="212" customFormat="1" ht="15.5" x14ac:dyDescent="0.35">
      <c r="A1093" s="198">
        <v>2034</v>
      </c>
      <c r="B1093" s="197" t="s">
        <v>5842</v>
      </c>
      <c r="C1093" s="197">
        <v>1989</v>
      </c>
      <c r="D1093" s="213" t="str">
        <f t="shared" si="13"/>
        <v>2034_1989</v>
      </c>
      <c r="E1093" s="1268">
        <v>0.28069290251972301</v>
      </c>
      <c r="F1093" s="1279">
        <v>0.44700628830115602</v>
      </c>
      <c r="G1093" s="1255">
        <v>5.3737292111149797</v>
      </c>
      <c r="H1093" s="1279">
        <v>1.66216404507962</v>
      </c>
      <c r="I1093" s="1255">
        <v>0.19116240287292099</v>
      </c>
      <c r="J1093" s="1279">
        <v>1.3980997354196801E-2</v>
      </c>
      <c r="K1093" s="1255">
        <v>3.00000086114414E-3</v>
      </c>
      <c r="L1093" s="1253">
        <v>2.0000005742140101E-3</v>
      </c>
      <c r="M1093" s="1273">
        <v>2.0000005742140101E-3</v>
      </c>
      <c r="N1093" s="1255">
        <v>3.1850009128239903E-2</v>
      </c>
      <c r="O1093" s="1256">
        <v>3.1850009128239903E-2</v>
      </c>
      <c r="P1093" s="1251">
        <v>1.5925004564119952E-2</v>
      </c>
      <c r="Q1093" s="1254">
        <v>0.19980591846023499</v>
      </c>
    </row>
    <row r="1094" spans="1:17" s="212" customFormat="1" ht="15.5" x14ac:dyDescent="0.35">
      <c r="A1094" s="198">
        <v>2034</v>
      </c>
      <c r="B1094" s="197" t="s">
        <v>5842</v>
      </c>
      <c r="C1094" s="197">
        <v>1990</v>
      </c>
      <c r="D1094" s="213" t="str">
        <f t="shared" si="13"/>
        <v>2034_1990</v>
      </c>
      <c r="E1094" s="1267">
        <v>0.28069290251972301</v>
      </c>
      <c r="F1094" s="1278">
        <v>0.44700628830115602</v>
      </c>
      <c r="G1094" s="1248">
        <v>5.3737292111149797</v>
      </c>
      <c r="H1094" s="1278">
        <v>1.66216404507962</v>
      </c>
      <c r="I1094" s="1248">
        <v>0.19116240287292099</v>
      </c>
      <c r="J1094" s="1278">
        <v>1.3980997354196801E-2</v>
      </c>
      <c r="K1094" s="1248">
        <v>3.00000086114414E-3</v>
      </c>
      <c r="L1094" s="1250">
        <v>2.0000005742140101E-3</v>
      </c>
      <c r="M1094" s="1273">
        <v>2.0000005742140101E-3</v>
      </c>
      <c r="N1094" s="1248">
        <v>3.1850009128239903E-2</v>
      </c>
      <c r="O1094" s="1249">
        <v>3.1850009128239903E-2</v>
      </c>
      <c r="P1094" s="1251">
        <v>1.5925004564119952E-2</v>
      </c>
      <c r="Q1094" s="1252">
        <v>0.19980591846023499</v>
      </c>
    </row>
    <row r="1095" spans="1:17" s="212" customFormat="1" ht="15.5" x14ac:dyDescent="0.35">
      <c r="A1095" s="198">
        <v>2034</v>
      </c>
      <c r="B1095" s="197" t="s">
        <v>5842</v>
      </c>
      <c r="C1095" s="197">
        <v>1991</v>
      </c>
      <c r="D1095" s="213" t="str">
        <f t="shared" si="13"/>
        <v>2034_1991</v>
      </c>
      <c r="E1095" s="1267">
        <v>0.36912804452300402</v>
      </c>
      <c r="F1095" s="1278">
        <v>0.46460333998132203</v>
      </c>
      <c r="G1095" s="1248">
        <v>9.3443269468150394</v>
      </c>
      <c r="H1095" s="1278">
        <v>2.9041846757896801</v>
      </c>
      <c r="I1095" s="1248">
        <v>5.2314040086788499E-2</v>
      </c>
      <c r="J1095" s="1278">
        <v>7.4574644645125096E-3</v>
      </c>
      <c r="K1095" s="1248">
        <v>3.00000086130674E-3</v>
      </c>
      <c r="L1095" s="1250">
        <v>2.0000005740737001E-3</v>
      </c>
      <c r="M1095" s="1273">
        <v>2.0000005740737001E-3</v>
      </c>
      <c r="N1095" s="1248">
        <v>3.1850009128239903E-2</v>
      </c>
      <c r="O1095" s="1249">
        <v>3.1850009128239903E-2</v>
      </c>
      <c r="P1095" s="1251">
        <v>1.5925004564119952E-2</v>
      </c>
      <c r="Q1095" s="1252">
        <v>5.4679448839398299E-2</v>
      </c>
    </row>
    <row r="1096" spans="1:17" s="212" customFormat="1" ht="15.5" x14ac:dyDescent="0.35">
      <c r="A1096" s="198">
        <v>2034</v>
      </c>
      <c r="B1096" s="197" t="s">
        <v>5842</v>
      </c>
      <c r="C1096" s="197">
        <v>1992</v>
      </c>
      <c r="D1096" s="213" t="str">
        <f t="shared" si="13"/>
        <v>2034_1992</v>
      </c>
      <c r="E1096" s="1267">
        <v>0.369962230485535</v>
      </c>
      <c r="F1096" s="1278">
        <v>0.46842329096652702</v>
      </c>
      <c r="G1096" s="1248">
        <v>9.3350713674538603</v>
      </c>
      <c r="H1096" s="1278">
        <v>2.9087841454737999</v>
      </c>
      <c r="I1096" s="1248">
        <v>5.2432263664029997E-2</v>
      </c>
      <c r="J1096" s="1278">
        <v>7.5483669231410401E-3</v>
      </c>
      <c r="K1096" s="1248">
        <v>3.0000008612881602E-3</v>
      </c>
      <c r="L1096" s="1250">
        <v>2.0000005741454799E-3</v>
      </c>
      <c r="M1096" s="1273">
        <v>2.0000005741454799E-3</v>
      </c>
      <c r="N1096" s="1248">
        <v>3.1850009128239903E-2</v>
      </c>
      <c r="O1096" s="1249">
        <v>3.1850009128239903E-2</v>
      </c>
      <c r="P1096" s="1251">
        <v>1.5925004564119952E-2</v>
      </c>
      <c r="Q1096" s="1252">
        <v>5.48030179621933E-2</v>
      </c>
    </row>
    <row r="1097" spans="1:17" s="212" customFormat="1" ht="15.5" x14ac:dyDescent="0.35">
      <c r="A1097" s="198">
        <v>2034</v>
      </c>
      <c r="B1097" s="197" t="s">
        <v>5842</v>
      </c>
      <c r="C1097" s="197">
        <v>1993</v>
      </c>
      <c r="D1097" s="213" t="str">
        <f t="shared" si="13"/>
        <v>2034_1993</v>
      </c>
      <c r="E1097" s="1267">
        <v>0.371732514486729</v>
      </c>
      <c r="F1097" s="1278">
        <v>0.45895268606421902</v>
      </c>
      <c r="G1097" s="1248">
        <v>9.3029524652994002</v>
      </c>
      <c r="H1097" s="1278">
        <v>2.8888399129597002</v>
      </c>
      <c r="I1097" s="1248">
        <v>5.2683154133008503E-2</v>
      </c>
      <c r="J1097" s="1278">
        <v>7.42418035767129E-3</v>
      </c>
      <c r="K1097" s="1248">
        <v>3.0000008613478299E-3</v>
      </c>
      <c r="L1097" s="1250">
        <v>2.0000005740724901E-3</v>
      </c>
      <c r="M1097" s="1273">
        <v>2.0000005740724901E-3</v>
      </c>
      <c r="N1097" s="1248">
        <v>3.1850009128239903E-2</v>
      </c>
      <c r="O1097" s="1249">
        <v>3.1850009128239903E-2</v>
      </c>
      <c r="P1097" s="1251">
        <v>1.5925004564119952E-2</v>
      </c>
      <c r="Q1097" s="1252">
        <v>5.50652525848691E-2</v>
      </c>
    </row>
    <row r="1098" spans="1:17" s="212" customFormat="1" ht="15.5" x14ac:dyDescent="0.35">
      <c r="A1098" s="198">
        <v>2034</v>
      </c>
      <c r="B1098" s="197" t="s">
        <v>5842</v>
      </c>
      <c r="C1098" s="197">
        <v>1994</v>
      </c>
      <c r="D1098" s="213" t="str">
        <f t="shared" si="13"/>
        <v>2034_1994</v>
      </c>
      <c r="E1098" s="1267">
        <v>0.36574317489672797</v>
      </c>
      <c r="F1098" s="1278">
        <v>0.45565504451879801</v>
      </c>
      <c r="G1098" s="1248">
        <v>9.3962997898119003</v>
      </c>
      <c r="H1098" s="1278">
        <v>2.8805727182333301</v>
      </c>
      <c r="I1098" s="1248">
        <v>5.2370169747120797E-2</v>
      </c>
      <c r="J1098" s="1278">
        <v>7.3940324582775904E-3</v>
      </c>
      <c r="K1098" s="1248">
        <v>3.0000008612658799E-3</v>
      </c>
      <c r="L1098" s="1250">
        <v>2.0000005740600699E-3</v>
      </c>
      <c r="M1098" s="1273">
        <v>2.0000005740600699E-3</v>
      </c>
      <c r="N1098" s="1248">
        <v>3.1850009128239903E-2</v>
      </c>
      <c r="O1098" s="1249">
        <v>3.1850009128239903E-2</v>
      </c>
      <c r="P1098" s="1251">
        <v>1.5925004564119952E-2</v>
      </c>
      <c r="Q1098" s="1252">
        <v>5.4738116433899101E-2</v>
      </c>
    </row>
    <row r="1099" spans="1:17" s="212" customFormat="1" ht="15.5" x14ac:dyDescent="0.35">
      <c r="A1099" s="198">
        <v>2034</v>
      </c>
      <c r="B1099" s="197" t="s">
        <v>5842</v>
      </c>
      <c r="C1099" s="197">
        <v>1995</v>
      </c>
      <c r="D1099" s="213" t="str">
        <f t="shared" si="13"/>
        <v>2034_1995</v>
      </c>
      <c r="E1099" s="1267">
        <v>0.36789192392890901</v>
      </c>
      <c r="F1099" s="1278">
        <v>0.244474109540535</v>
      </c>
      <c r="G1099" s="1248">
        <v>9.3814745651230798</v>
      </c>
      <c r="H1099" s="1278">
        <v>1.6462350818284901</v>
      </c>
      <c r="I1099" s="1248">
        <v>5.2677845622661097E-2</v>
      </c>
      <c r="J1099" s="1278">
        <v>4.8532904202443104E-3</v>
      </c>
      <c r="K1099" s="1248">
        <v>3.0000008612604298E-3</v>
      </c>
      <c r="L1099" s="1250">
        <v>2.0000005741268698E-3</v>
      </c>
      <c r="M1099" s="1273">
        <v>2.0000005741268698E-3</v>
      </c>
      <c r="N1099" s="1248">
        <v>3.1850009128239903E-2</v>
      </c>
      <c r="O1099" s="1249">
        <v>3.1850009128239903E-2</v>
      </c>
      <c r="P1099" s="1251">
        <v>1.5925004564119952E-2</v>
      </c>
      <c r="Q1099" s="1252">
        <v>5.50597040472399E-2</v>
      </c>
    </row>
    <row r="1100" spans="1:17" s="212" customFormat="1" ht="15.5" x14ac:dyDescent="0.35">
      <c r="A1100" s="198">
        <v>2034</v>
      </c>
      <c r="B1100" s="197" t="s">
        <v>5842</v>
      </c>
      <c r="C1100" s="197">
        <v>1996</v>
      </c>
      <c r="D1100" s="213" t="str">
        <f t="shared" si="13"/>
        <v>2034_1996</v>
      </c>
      <c r="E1100" s="1267">
        <v>0.369295099025306</v>
      </c>
      <c r="F1100" s="1278">
        <v>2.23886499574419E-2</v>
      </c>
      <c r="G1100" s="1248">
        <v>9.3572402211094801</v>
      </c>
      <c r="H1100" s="1278">
        <v>0.39326366364527898</v>
      </c>
      <c r="I1100" s="1248">
        <v>5.2878763980205398E-2</v>
      </c>
      <c r="J1100" s="1278">
        <v>2.1825677306115299E-3</v>
      </c>
      <c r="K1100" s="1248">
        <v>3.00000086129424E-3</v>
      </c>
      <c r="L1100" s="1250">
        <v>2.0000005741427E-3</v>
      </c>
      <c r="M1100" s="1273">
        <v>2.0000005741427E-3</v>
      </c>
      <c r="N1100" s="1248">
        <v>3.1850009128239903E-2</v>
      </c>
      <c r="O1100" s="1249">
        <v>3.1850009128239903E-2</v>
      </c>
      <c r="P1100" s="1251">
        <v>1.5925004564119952E-2</v>
      </c>
      <c r="Q1100" s="1252">
        <v>5.5269707041350299E-2</v>
      </c>
    </row>
    <row r="1101" spans="1:17" s="212" customFormat="1" ht="15.5" x14ac:dyDescent="0.35">
      <c r="A1101" s="198">
        <v>2034</v>
      </c>
      <c r="B1101" s="197" t="s">
        <v>5842</v>
      </c>
      <c r="C1101" s="197">
        <v>1997</v>
      </c>
      <c r="D1101" s="213" t="str">
        <f t="shared" si="13"/>
        <v>2034_1997</v>
      </c>
      <c r="E1101" s="1267">
        <v>0.37113032414665298</v>
      </c>
      <c r="F1101" s="1278">
        <v>2.1499111978283299E-2</v>
      </c>
      <c r="G1101" s="1248">
        <v>9.3129153552207899</v>
      </c>
      <c r="H1101" s="1278">
        <v>0.38781436867072799</v>
      </c>
      <c r="I1101" s="1248">
        <v>5.3141546877401503E-2</v>
      </c>
      <c r="J1101" s="1278">
        <v>2.09984583412871E-3</v>
      </c>
      <c r="K1101" s="1248">
        <v>3.0000008612951498E-3</v>
      </c>
      <c r="L1101" s="1250">
        <v>2.0000005740594602E-3</v>
      </c>
      <c r="M1101" s="1273">
        <v>2.0000005740594602E-3</v>
      </c>
      <c r="N1101" s="1248">
        <v>3.1850009128239903E-2</v>
      </c>
      <c r="O1101" s="1249">
        <v>3.1850009128239903E-2</v>
      </c>
      <c r="P1101" s="1251">
        <v>1.5925004564119952E-2</v>
      </c>
      <c r="Q1101" s="1252">
        <v>5.5544371815075801E-2</v>
      </c>
    </row>
    <row r="1102" spans="1:17" s="212" customFormat="1" ht="15.5" x14ac:dyDescent="0.35">
      <c r="A1102" s="198">
        <v>2034</v>
      </c>
      <c r="B1102" s="197" t="s">
        <v>5842</v>
      </c>
      <c r="C1102" s="197">
        <v>1998</v>
      </c>
      <c r="D1102" s="213" t="str">
        <f t="shared" si="13"/>
        <v>2034_1998</v>
      </c>
      <c r="E1102" s="1267">
        <v>0.372669993998412</v>
      </c>
      <c r="F1102" s="1278">
        <v>2.17868857637302E-2</v>
      </c>
      <c r="G1102" s="1248">
        <v>9.3001525098617694</v>
      </c>
      <c r="H1102" s="1278">
        <v>0.38984712338543598</v>
      </c>
      <c r="I1102" s="1248">
        <v>5.3362009696739002E-2</v>
      </c>
      <c r="J1102" s="1278">
        <v>2.1308205953949099E-3</v>
      </c>
      <c r="K1102" s="1248">
        <v>3.00000086137603E-3</v>
      </c>
      <c r="L1102" s="1250">
        <v>2.0000005741011699E-3</v>
      </c>
      <c r="M1102" s="1273">
        <v>2.0000005741011699E-3</v>
      </c>
      <c r="N1102" s="1248">
        <v>3.1850009128239903E-2</v>
      </c>
      <c r="O1102" s="1249">
        <v>3.1850009128239903E-2</v>
      </c>
      <c r="P1102" s="1251">
        <v>1.5925004564119952E-2</v>
      </c>
      <c r="Q1102" s="1252">
        <v>5.5774802984814499E-2</v>
      </c>
    </row>
    <row r="1103" spans="1:17" s="212" customFormat="1" ht="15.5" x14ac:dyDescent="0.35">
      <c r="A1103" s="198">
        <v>2034</v>
      </c>
      <c r="B1103" s="197" t="s">
        <v>5842</v>
      </c>
      <c r="C1103" s="197">
        <v>1999</v>
      </c>
      <c r="D1103" s="213" t="str">
        <f t="shared" si="13"/>
        <v>2034_1999</v>
      </c>
      <c r="E1103" s="1267">
        <v>0.37061755345775899</v>
      </c>
      <c r="F1103" s="1278">
        <v>2.1836313878073499E-2</v>
      </c>
      <c r="G1103" s="1248">
        <v>9.3317259418602596</v>
      </c>
      <c r="H1103" s="1278">
        <v>0.39015045699928003</v>
      </c>
      <c r="I1103" s="1248">
        <v>5.3068124077300598E-2</v>
      </c>
      <c r="J1103" s="1278">
        <v>2.13093825290828E-3</v>
      </c>
      <c r="K1103" s="1248">
        <v>3.0000008613413598E-3</v>
      </c>
      <c r="L1103" s="1250">
        <v>2.0000005741162702E-3</v>
      </c>
      <c r="M1103" s="1273">
        <v>2.0000005741162702E-3</v>
      </c>
      <c r="N1103" s="1248">
        <v>3.1850009128239903E-2</v>
      </c>
      <c r="O1103" s="1249">
        <v>3.1850009128239903E-2</v>
      </c>
      <c r="P1103" s="1251">
        <v>1.5925004564119952E-2</v>
      </c>
      <c r="Q1103" s="1252">
        <v>5.5467629161763198E-2</v>
      </c>
    </row>
    <row r="1104" spans="1:17" s="212" customFormat="1" ht="15.5" x14ac:dyDescent="0.35">
      <c r="A1104" s="198">
        <v>2034</v>
      </c>
      <c r="B1104" s="197" t="s">
        <v>5842</v>
      </c>
      <c r="C1104" s="197">
        <v>2000</v>
      </c>
      <c r="D1104" s="213" t="str">
        <f t="shared" si="13"/>
        <v>2034_2000</v>
      </c>
      <c r="E1104" s="1267">
        <v>0.36687754459335498</v>
      </c>
      <c r="F1104" s="1278">
        <v>2.2129191875310102E-2</v>
      </c>
      <c r="G1104" s="1248">
        <v>9.4088539356003498</v>
      </c>
      <c r="H1104" s="1278">
        <v>0.39269474977771102</v>
      </c>
      <c r="I1104" s="1248">
        <v>5.2532598297113799E-2</v>
      </c>
      <c r="J1104" s="1278">
        <v>2.1628161935028801E-3</v>
      </c>
      <c r="K1104" s="1248">
        <v>3.00000086125915E-3</v>
      </c>
      <c r="L1104" s="1250">
        <v>2.0000005741553201E-3</v>
      </c>
      <c r="M1104" s="1273">
        <v>2.0000005741553201E-3</v>
      </c>
      <c r="N1104" s="1248">
        <v>3.1850009128239903E-2</v>
      </c>
      <c r="O1104" s="1249">
        <v>3.1850009128239903E-2</v>
      </c>
      <c r="P1104" s="1251">
        <v>1.5925004564119952E-2</v>
      </c>
      <c r="Q1104" s="1252">
        <v>5.4907889282156799E-2</v>
      </c>
    </row>
    <row r="1105" spans="1:17" s="212" customFormat="1" ht="15.5" x14ac:dyDescent="0.35">
      <c r="A1105" s="198">
        <v>2034</v>
      </c>
      <c r="B1105" s="197" t="s">
        <v>5842</v>
      </c>
      <c r="C1105" s="197">
        <v>2001</v>
      </c>
      <c r="D1105" s="213" t="str">
        <f t="shared" si="13"/>
        <v>2034_2001</v>
      </c>
      <c r="E1105" s="1267">
        <v>0.37034632750359198</v>
      </c>
      <c r="F1105" s="1278">
        <v>2.22177137986691E-2</v>
      </c>
      <c r="G1105" s="1248">
        <v>9.3374000920076092</v>
      </c>
      <c r="H1105" s="1278">
        <v>0.39398890481332599</v>
      </c>
      <c r="I1105" s="1248">
        <v>5.3029287674506299E-2</v>
      </c>
      <c r="J1105" s="1278">
        <v>2.1740315565474898E-3</v>
      </c>
      <c r="K1105" s="1248">
        <v>3.0000008613398602E-3</v>
      </c>
      <c r="L1105" s="1250">
        <v>2.00000057418445E-3</v>
      </c>
      <c r="M1105" s="1273">
        <v>2.00000057418445E-3</v>
      </c>
      <c r="N1105" s="1248">
        <v>3.1850009128239903E-2</v>
      </c>
      <c r="O1105" s="1249">
        <v>3.1850009128239903E-2</v>
      </c>
      <c r="P1105" s="1251">
        <v>1.5925004564119952E-2</v>
      </c>
      <c r="Q1105" s="1252">
        <v>5.5427036749168601E-2</v>
      </c>
    </row>
    <row r="1106" spans="1:17" s="212" customFormat="1" ht="15.5" x14ac:dyDescent="0.35">
      <c r="A1106" s="198">
        <v>2034</v>
      </c>
      <c r="B1106" s="197" t="s">
        <v>5842</v>
      </c>
      <c r="C1106" s="197">
        <v>2002</v>
      </c>
      <c r="D1106" s="213" t="str">
        <f t="shared" si="13"/>
        <v>2034_2002</v>
      </c>
      <c r="E1106" s="1267">
        <v>0.28713214280063998</v>
      </c>
      <c r="F1106" s="1278">
        <v>2.2151831279454502E-2</v>
      </c>
      <c r="G1106" s="1248">
        <v>7.1957311760926501</v>
      </c>
      <c r="H1106" s="1278">
        <v>0.31757754607745498</v>
      </c>
      <c r="I1106" s="1248">
        <v>5.3520830765873197E-2</v>
      </c>
      <c r="J1106" s="1278">
        <v>2.1716076661275098E-3</v>
      </c>
      <c r="K1106" s="1248">
        <v>3.0000008613533702E-3</v>
      </c>
      <c r="L1106" s="1250">
        <v>2.0000005741596201E-3</v>
      </c>
      <c r="M1106" s="1273">
        <v>2.0000005741596201E-3</v>
      </c>
      <c r="N1106" s="1248">
        <v>3.1850009128239903E-2</v>
      </c>
      <c r="O1106" s="1249">
        <v>3.1850009128239903E-2</v>
      </c>
      <c r="P1106" s="1251">
        <v>1.5925004564119952E-2</v>
      </c>
      <c r="Q1106" s="1252">
        <v>5.5940805237936798E-2</v>
      </c>
    </row>
    <row r="1107" spans="1:17" s="212" customFormat="1" ht="15.5" x14ac:dyDescent="0.35">
      <c r="A1107" s="198">
        <v>2034</v>
      </c>
      <c r="B1107" s="197" t="s">
        <v>5842</v>
      </c>
      <c r="C1107" s="197">
        <v>2003</v>
      </c>
      <c r="D1107" s="213" t="str">
        <f t="shared" si="13"/>
        <v>2034_2003</v>
      </c>
      <c r="E1107" s="1267">
        <v>0.28460782120033101</v>
      </c>
      <c r="F1107" s="1278">
        <v>2.1841168275299899E-2</v>
      </c>
      <c r="G1107" s="1248">
        <v>7.2391583651297298</v>
      </c>
      <c r="H1107" s="1278">
        <v>0.31686905880863803</v>
      </c>
      <c r="I1107" s="1248">
        <v>5.3050302500207799E-2</v>
      </c>
      <c r="J1107" s="1278">
        <v>2.1401119733805598E-3</v>
      </c>
      <c r="K1107" s="1248">
        <v>3.00000086127864E-3</v>
      </c>
      <c r="L1107" s="1250">
        <v>2.00000057414525E-3</v>
      </c>
      <c r="M1107" s="1273">
        <v>2.00000057414525E-3</v>
      </c>
      <c r="N1107" s="1248">
        <v>3.1850009128239903E-2</v>
      </c>
      <c r="O1107" s="1249">
        <v>3.1850009128239903E-2</v>
      </c>
      <c r="P1107" s="1251">
        <v>1.5925004564119952E-2</v>
      </c>
      <c r="Q1107" s="1252">
        <v>5.5449001772036301E-2</v>
      </c>
    </row>
    <row r="1108" spans="1:17" s="212" customFormat="1" ht="15.5" x14ac:dyDescent="0.35">
      <c r="A1108" s="198">
        <v>2034</v>
      </c>
      <c r="B1108" s="197" t="s">
        <v>5842</v>
      </c>
      <c r="C1108" s="197">
        <v>2004</v>
      </c>
      <c r="D1108" s="213" t="str">
        <f t="shared" si="13"/>
        <v>2034_2004</v>
      </c>
      <c r="E1108" s="1267">
        <v>0.576597417538668</v>
      </c>
      <c r="F1108" s="1278">
        <v>1.4297608804125801E-2</v>
      </c>
      <c r="G1108" s="1248">
        <v>4.1441623044725899</v>
      </c>
      <c r="H1108" s="1278">
        <v>0.26795682488197903</v>
      </c>
      <c r="I1108" s="1248">
        <v>0.15020964899873099</v>
      </c>
      <c r="J1108" s="1278">
        <v>1.3915161272455199E-4</v>
      </c>
      <c r="K1108" s="1248">
        <v>3.0000008612732399E-3</v>
      </c>
      <c r="L1108" s="1250">
        <v>2.0000005740799399E-3</v>
      </c>
      <c r="M1108" s="1273">
        <v>2.0000005740799399E-3</v>
      </c>
      <c r="N1108" s="1248">
        <v>3.1850009128239903E-2</v>
      </c>
      <c r="O1108" s="1249">
        <v>3.1850009128239903E-2</v>
      </c>
      <c r="P1108" s="1251">
        <v>1.5925004564119952E-2</v>
      </c>
      <c r="Q1108" s="1252">
        <v>0.15700146278100799</v>
      </c>
    </row>
    <row r="1109" spans="1:17" s="212" customFormat="1" ht="15.5" x14ac:dyDescent="0.35">
      <c r="A1109" s="198">
        <v>2034</v>
      </c>
      <c r="B1109" s="197" t="s">
        <v>5842</v>
      </c>
      <c r="C1109" s="197">
        <v>2005</v>
      </c>
      <c r="D1109" s="213" t="str">
        <f t="shared" si="13"/>
        <v>2034_2005</v>
      </c>
      <c r="E1109" s="1267">
        <v>0.57436154791996796</v>
      </c>
      <c r="F1109" s="1278">
        <v>1.44383975716443E-2</v>
      </c>
      <c r="G1109" s="1248">
        <v>4.1369962380041096</v>
      </c>
      <c r="H1109" s="1278">
        <v>0.26998385219333099</v>
      </c>
      <c r="I1109" s="1248">
        <v>0.149711341661449</v>
      </c>
      <c r="J1109" s="1278">
        <v>1.4107966228399699E-4</v>
      </c>
      <c r="K1109" s="1248">
        <v>3.0000008612490201E-3</v>
      </c>
      <c r="L1109" s="1250">
        <v>2.0000005741184E-3</v>
      </c>
      <c r="M1109" s="1273">
        <v>2.0000005741184E-3</v>
      </c>
      <c r="N1109" s="1248">
        <v>3.1850009128239903E-2</v>
      </c>
      <c r="O1109" s="1249">
        <v>3.1850009128239903E-2</v>
      </c>
      <c r="P1109" s="1251">
        <v>1.5925004564119952E-2</v>
      </c>
      <c r="Q1109" s="1252">
        <v>0.15648062419714001</v>
      </c>
    </row>
    <row r="1110" spans="1:17" s="212" customFormat="1" ht="15.5" x14ac:dyDescent="0.35">
      <c r="A1110" s="198">
        <v>2034</v>
      </c>
      <c r="B1110" s="197" t="s">
        <v>5842</v>
      </c>
      <c r="C1110" s="197">
        <v>2006</v>
      </c>
      <c r="D1110" s="213" t="str">
        <f t="shared" si="13"/>
        <v>2034_2006</v>
      </c>
      <c r="E1110" s="1267">
        <v>0.57066857538469395</v>
      </c>
      <c r="F1110" s="1278">
        <v>1.46000712528655E-2</v>
      </c>
      <c r="G1110" s="1248">
        <v>4.1242463661222803</v>
      </c>
      <c r="H1110" s="1278">
        <v>0.27202919487350402</v>
      </c>
      <c r="I1110" s="1248">
        <v>0.14888155746041301</v>
      </c>
      <c r="J1110" s="1278">
        <v>1.4205911148120701E-4</v>
      </c>
      <c r="K1110" s="1248">
        <v>3.00000086123552E-3</v>
      </c>
      <c r="L1110" s="1250">
        <v>2.0000005741334101E-3</v>
      </c>
      <c r="M1110" s="1273">
        <v>2.0000005741334101E-3</v>
      </c>
      <c r="N1110" s="1248">
        <v>3.1850009128239903E-2</v>
      </c>
      <c r="O1110" s="1249">
        <v>3.1850009128239903E-2</v>
      </c>
      <c r="P1110" s="1251">
        <v>1.5925004564119952E-2</v>
      </c>
      <c r="Q1110" s="1252">
        <v>0.155613320836646</v>
      </c>
    </row>
    <row r="1111" spans="1:17" s="212" customFormat="1" ht="15.5" x14ac:dyDescent="0.35">
      <c r="A1111" s="198">
        <v>2034</v>
      </c>
      <c r="B1111" s="197" t="s">
        <v>5842</v>
      </c>
      <c r="C1111" s="197">
        <v>2007</v>
      </c>
      <c r="D1111" s="213" t="str">
        <f t="shared" si="13"/>
        <v>2034_2007</v>
      </c>
      <c r="E1111" s="1267">
        <v>0.33293728840507802</v>
      </c>
      <c r="F1111" s="1278">
        <v>1.4541625857921099E-2</v>
      </c>
      <c r="G1111" s="1248">
        <v>2.4827798931811</v>
      </c>
      <c r="H1111" s="1278">
        <v>0.27287421020285602</v>
      </c>
      <c r="I1111" s="1248">
        <v>8.7439227018701701E-2</v>
      </c>
      <c r="J1111" s="1278">
        <v>1.4514244998393199E-4</v>
      </c>
      <c r="K1111" s="1248">
        <v>3.0000008612387401E-3</v>
      </c>
      <c r="L1111" s="1250">
        <v>2.0000005741878301E-3</v>
      </c>
      <c r="M1111" s="1273">
        <v>2.0000005741878301E-3</v>
      </c>
      <c r="N1111" s="1248">
        <v>3.1850009128239903E-2</v>
      </c>
      <c r="O1111" s="1249">
        <v>3.1850009128239903E-2</v>
      </c>
      <c r="P1111" s="1251">
        <v>1.5925004564119952E-2</v>
      </c>
      <c r="Q1111" s="1252">
        <v>9.1392840858664101E-2</v>
      </c>
    </row>
    <row r="1112" spans="1:17" s="212" customFormat="1" ht="15.5" x14ac:dyDescent="0.35">
      <c r="A1112" s="198">
        <v>2034</v>
      </c>
      <c r="B1112" s="197" t="s">
        <v>5842</v>
      </c>
      <c r="C1112" s="197">
        <v>2008</v>
      </c>
      <c r="D1112" s="213" t="str">
        <f t="shared" si="13"/>
        <v>2034_2008</v>
      </c>
      <c r="E1112" s="1267">
        <v>0.34042397835689697</v>
      </c>
      <c r="F1112" s="1278">
        <v>9.8903457023593704E-3</v>
      </c>
      <c r="G1112" s="1248">
        <v>2.5068523837807</v>
      </c>
      <c r="H1112" s="1278">
        <v>0.158493203950204</v>
      </c>
      <c r="I1112" s="1248">
        <v>8.9003094116805903E-2</v>
      </c>
      <c r="J1112" s="1278">
        <v>1.4138111722884601E-4</v>
      </c>
      <c r="K1112" s="1248">
        <v>3.0000008613259798E-3</v>
      </c>
      <c r="L1112" s="1250">
        <v>2.0000005742123799E-3</v>
      </c>
      <c r="M1112" s="1273">
        <v>2.0000005742123799E-3</v>
      </c>
      <c r="N1112" s="1248">
        <v>3.1850009128239903E-2</v>
      </c>
      <c r="O1112" s="1249">
        <v>3.1850009128239903E-2</v>
      </c>
      <c r="P1112" s="1251">
        <v>1.5925004564119952E-2</v>
      </c>
      <c r="Q1112" s="1252">
        <v>9.3027419087387E-2</v>
      </c>
    </row>
    <row r="1113" spans="1:17" s="212" customFormat="1" ht="15.5" x14ac:dyDescent="0.35">
      <c r="A1113" s="198">
        <v>2034</v>
      </c>
      <c r="B1113" s="197" t="s">
        <v>5842</v>
      </c>
      <c r="C1113" s="197">
        <v>2009</v>
      </c>
      <c r="D1113" s="213" t="str">
        <f t="shared" si="13"/>
        <v>2034_2009</v>
      </c>
      <c r="E1113" s="1267">
        <v>0.33886298389571401</v>
      </c>
      <c r="F1113" s="1278">
        <v>4.8208031428430701E-3</v>
      </c>
      <c r="G1113" s="1248">
        <v>2.5018047823605598</v>
      </c>
      <c r="H1113" s="1278">
        <v>4.2902583359422798E-2</v>
      </c>
      <c r="I1113" s="1248">
        <v>8.8660678916146804E-2</v>
      </c>
      <c r="J1113" s="1278">
        <v>1.2995492975833301E-4</v>
      </c>
      <c r="K1113" s="1248">
        <v>3.0000008612865998E-3</v>
      </c>
      <c r="L1113" s="1250">
        <v>2.0000005741561901E-3</v>
      </c>
      <c r="M1113" s="1273">
        <v>2.0000005741561901E-3</v>
      </c>
      <c r="N1113" s="1248">
        <v>3.1850009128239903E-2</v>
      </c>
      <c r="O1113" s="1249">
        <v>3.1850009128239903E-2</v>
      </c>
      <c r="P1113" s="1251">
        <v>1.5925004564119952E-2</v>
      </c>
      <c r="Q1113" s="1252">
        <v>9.2669521390798995E-2</v>
      </c>
    </row>
    <row r="1114" spans="1:17" s="212" customFormat="1" ht="15.5" x14ac:dyDescent="0.35">
      <c r="A1114" s="198">
        <v>2034</v>
      </c>
      <c r="B1114" s="197" t="s">
        <v>5842</v>
      </c>
      <c r="C1114" s="197">
        <v>2010</v>
      </c>
      <c r="D1114" s="213" t="str">
        <f t="shared" si="13"/>
        <v>2034_2010</v>
      </c>
      <c r="E1114" s="1267">
        <v>9.0349573004734202E-2</v>
      </c>
      <c r="F1114" s="1278">
        <v>4.8297801770482802E-3</v>
      </c>
      <c r="G1114" s="1248">
        <v>0.82530860284434604</v>
      </c>
      <c r="H1114" s="1278">
        <v>4.3267239162804901E-2</v>
      </c>
      <c r="I1114" s="1248">
        <v>2.4818110703873301E-2</v>
      </c>
      <c r="J1114" s="1278">
        <v>1.5873051217946E-4</v>
      </c>
      <c r="K1114" s="1248">
        <v>3.0000008613317898E-3</v>
      </c>
      <c r="L1114" s="1250">
        <v>2.0000005741333598E-3</v>
      </c>
      <c r="M1114" s="1273">
        <v>2.0000005741333598E-3</v>
      </c>
      <c r="N1114" s="1248">
        <v>3.1850009128239903E-2</v>
      </c>
      <c r="O1114" s="1249">
        <v>3.1850009128239903E-2</v>
      </c>
      <c r="P1114" s="1251">
        <v>1.5925004564119952E-2</v>
      </c>
      <c r="Q1114" s="1252">
        <v>2.59402755411672E-2</v>
      </c>
    </row>
    <row r="1115" spans="1:17" s="212" customFormat="1" ht="15.5" x14ac:dyDescent="0.35">
      <c r="A1115" s="198">
        <v>2034</v>
      </c>
      <c r="B1115" s="197" t="s">
        <v>5842</v>
      </c>
      <c r="C1115" s="197">
        <v>2011</v>
      </c>
      <c r="D1115" s="213" t="str">
        <f t="shared" si="13"/>
        <v>2034_2011</v>
      </c>
      <c r="E1115" s="1267">
        <v>8.9443447674643503E-2</v>
      </c>
      <c r="F1115" s="1278">
        <v>5.0135775511823497E-3</v>
      </c>
      <c r="G1115" s="1248">
        <v>0.82073177206687797</v>
      </c>
      <c r="H1115" s="1278">
        <v>4.30189302064738E-2</v>
      </c>
      <c r="I1115" s="1248">
        <v>2.4609605543891501E-2</v>
      </c>
      <c r="J1115" s="1278">
        <v>2.1701878237025799E-4</v>
      </c>
      <c r="K1115" s="1248">
        <v>3.0000008613028299E-3</v>
      </c>
      <c r="L1115" s="1250">
        <v>2.0000005742331099E-3</v>
      </c>
      <c r="M1115" s="1273">
        <v>2.0000005742331099E-3</v>
      </c>
      <c r="N1115" s="1248">
        <v>3.1850009128239903E-2</v>
      </c>
      <c r="O1115" s="1249">
        <v>3.1850009128239903E-2</v>
      </c>
      <c r="P1115" s="1251">
        <v>1.5925004564119952E-2</v>
      </c>
      <c r="Q1115" s="1252">
        <v>2.5722342703079E-2</v>
      </c>
    </row>
    <row r="1116" spans="1:17" s="212" customFormat="1" ht="15.5" x14ac:dyDescent="0.35">
      <c r="A1116" s="198">
        <v>2034</v>
      </c>
      <c r="B1116" s="197" t="s">
        <v>5842</v>
      </c>
      <c r="C1116" s="197">
        <v>2012</v>
      </c>
      <c r="D1116" s="213" t="str">
        <f t="shared" si="13"/>
        <v>2034_2012</v>
      </c>
      <c r="E1116" s="1267">
        <v>9.0018266802427901E-2</v>
      </c>
      <c r="F1116" s="1278">
        <v>4.9954203606503104E-3</v>
      </c>
      <c r="G1116" s="1248">
        <v>0.82135625088785502</v>
      </c>
      <c r="H1116" s="1278">
        <v>4.2861791956609101E-2</v>
      </c>
      <c r="I1116" s="1248">
        <v>2.46303900824489E-2</v>
      </c>
      <c r="J1116" s="1278">
        <v>3.16888917844029E-4</v>
      </c>
      <c r="K1116" s="1248">
        <v>3.0000008613611201E-3</v>
      </c>
      <c r="L1116" s="1250">
        <v>2.0000005742417302E-3</v>
      </c>
      <c r="M1116" s="1273">
        <v>2.0000005742417302E-3</v>
      </c>
      <c r="N1116" s="1248">
        <v>3.1850009128239903E-2</v>
      </c>
      <c r="O1116" s="1249">
        <v>3.1850009128239903E-2</v>
      </c>
      <c r="P1116" s="1251">
        <v>1.5925004564119952E-2</v>
      </c>
      <c r="Q1116" s="1252">
        <v>2.5744067026239999E-2</v>
      </c>
    </row>
    <row r="1117" spans="1:17" s="212" customFormat="1" ht="15.5" x14ac:dyDescent="0.35">
      <c r="A1117" s="198">
        <v>2034</v>
      </c>
      <c r="B1117" s="197" t="s">
        <v>5842</v>
      </c>
      <c r="C1117" s="197">
        <v>2013</v>
      </c>
      <c r="D1117" s="213" t="str">
        <f t="shared" si="13"/>
        <v>2034_2013</v>
      </c>
      <c r="E1117" s="1267">
        <v>8.9768249344924E-2</v>
      </c>
      <c r="F1117" s="1278">
        <v>5.0506543153452203E-3</v>
      </c>
      <c r="G1117" s="1248">
        <v>0.81634987851066898</v>
      </c>
      <c r="H1117" s="1278">
        <v>4.2483108201644498E-2</v>
      </c>
      <c r="I1117" s="1248">
        <v>2.4433928260140899E-2</v>
      </c>
      <c r="J1117" s="1278">
        <v>4.7576856992577899E-4</v>
      </c>
      <c r="K1117" s="1248">
        <v>3.0000008613849899E-3</v>
      </c>
      <c r="L1117" s="1250">
        <v>2.0000005742778302E-3</v>
      </c>
      <c r="M1117" s="1273">
        <v>2.0000005742778302E-3</v>
      </c>
      <c r="N1117" s="1248">
        <v>3.1850009128239903E-2</v>
      </c>
      <c r="O1117" s="1249">
        <v>3.1850009128239903E-2</v>
      </c>
      <c r="P1117" s="1251">
        <v>1.5925004564119952E-2</v>
      </c>
      <c r="Q1117" s="1252">
        <v>2.55387220721136E-2</v>
      </c>
    </row>
    <row r="1118" spans="1:17" s="212" customFormat="1" ht="15.5" x14ac:dyDescent="0.35">
      <c r="A1118" s="198">
        <v>2034</v>
      </c>
      <c r="B1118" s="197" t="s">
        <v>5842</v>
      </c>
      <c r="C1118" s="197">
        <v>2014</v>
      </c>
      <c r="D1118" s="213" t="str">
        <f t="shared" si="13"/>
        <v>2034_2014</v>
      </c>
      <c r="E1118" s="1267">
        <v>8.8425810734563196E-2</v>
      </c>
      <c r="F1118" s="1278">
        <v>4.9429728343835799E-3</v>
      </c>
      <c r="G1118" s="1248">
        <v>0.80728226507946599</v>
      </c>
      <c r="H1118" s="1278">
        <v>4.2569620859812099E-2</v>
      </c>
      <c r="I1118" s="1248">
        <v>2.4005839033362002E-2</v>
      </c>
      <c r="J1118" s="1278">
        <v>6.6063800992789104E-4</v>
      </c>
      <c r="K1118" s="1248">
        <v>3.0000008613213299E-3</v>
      </c>
      <c r="L1118" s="1250">
        <v>2.00000057423306E-3</v>
      </c>
      <c r="M1118" s="1273">
        <v>2.00000057423306E-3</v>
      </c>
      <c r="N1118" s="1248">
        <v>3.1850009128239903E-2</v>
      </c>
      <c r="O1118" s="1249">
        <v>3.1850009128239903E-2</v>
      </c>
      <c r="P1118" s="1251">
        <v>1.5925004564119952E-2</v>
      </c>
      <c r="Q1118" s="1252">
        <v>2.50912765501176E-2</v>
      </c>
    </row>
    <row r="1119" spans="1:17" s="212" customFormat="1" ht="15.5" x14ac:dyDescent="0.35">
      <c r="A1119" s="198">
        <v>2034</v>
      </c>
      <c r="B1119" s="197" t="s">
        <v>5842</v>
      </c>
      <c r="C1119" s="197">
        <v>2015</v>
      </c>
      <c r="D1119" s="213" t="str">
        <f t="shared" si="13"/>
        <v>2034_2015</v>
      </c>
      <c r="E1119" s="1267">
        <v>8.8293624306086907E-2</v>
      </c>
      <c r="F1119" s="1278">
        <v>5.0684949247949496E-3</v>
      </c>
      <c r="G1119" s="1248">
        <v>0.801911202719641</v>
      </c>
      <c r="H1119" s="1278">
        <v>4.2188991826748297E-2</v>
      </c>
      <c r="I1119" s="1248">
        <v>2.37485572886066E-2</v>
      </c>
      <c r="J1119" s="1278">
        <v>8.3607489797062604E-4</v>
      </c>
      <c r="K1119" s="1248">
        <v>3.0000008613311501E-3</v>
      </c>
      <c r="L1119" s="1250">
        <v>2.0000005742682701E-3</v>
      </c>
      <c r="M1119" s="1273">
        <v>2.0000005742682701E-3</v>
      </c>
      <c r="N1119" s="1248">
        <v>3.1850009128239903E-2</v>
      </c>
      <c r="O1119" s="1249">
        <v>3.1850009128239903E-2</v>
      </c>
      <c r="P1119" s="1251">
        <v>1.5925004564119952E-2</v>
      </c>
      <c r="Q1119" s="1252">
        <v>2.48223616665352E-2</v>
      </c>
    </row>
    <row r="1120" spans="1:17" s="212" customFormat="1" ht="15.5" x14ac:dyDescent="0.35">
      <c r="A1120" s="198">
        <v>2034</v>
      </c>
      <c r="B1120" s="197" t="s">
        <v>5842</v>
      </c>
      <c r="C1120" s="197">
        <v>2016</v>
      </c>
      <c r="D1120" s="213" t="str">
        <f t="shared" si="13"/>
        <v>2034_2016</v>
      </c>
      <c r="E1120" s="1267">
        <v>8.79611401825975E-2</v>
      </c>
      <c r="F1120" s="1278">
        <v>4.6625095069470403E-3</v>
      </c>
      <c r="G1120" s="1248">
        <v>0.70240009906937795</v>
      </c>
      <c r="H1120" s="1278">
        <v>3.9156634504686899E-2</v>
      </c>
      <c r="I1120" s="1248">
        <v>2.3406317955638599E-2</v>
      </c>
      <c r="J1120" s="1278">
        <v>9.62091548339777E-4</v>
      </c>
      <c r="K1120" s="1248">
        <v>3.00000086134625E-3</v>
      </c>
      <c r="L1120" s="1250">
        <v>2.0000005742495798E-3</v>
      </c>
      <c r="M1120" s="1273">
        <v>2.0000005742495798E-3</v>
      </c>
      <c r="N1120" s="1248">
        <v>3.1850009128239903E-2</v>
      </c>
      <c r="O1120" s="1249">
        <v>3.1850009128239903E-2</v>
      </c>
      <c r="P1120" s="1251">
        <v>1.5925004564119952E-2</v>
      </c>
      <c r="Q1120" s="1252">
        <v>2.4464647789594899E-2</v>
      </c>
    </row>
    <row r="1121" spans="1:17" s="212" customFormat="1" ht="15.5" x14ac:dyDescent="0.35">
      <c r="A1121" s="198">
        <v>2034</v>
      </c>
      <c r="B1121" s="197" t="s">
        <v>5842</v>
      </c>
      <c r="C1121" s="197">
        <v>2017</v>
      </c>
      <c r="D1121" s="213" t="str">
        <f t="shared" si="13"/>
        <v>2034_2017</v>
      </c>
      <c r="E1121" s="1267">
        <v>8.6386460242100699E-2</v>
      </c>
      <c r="F1121" s="1278">
        <v>4.3894375214680601E-3</v>
      </c>
      <c r="G1121" s="1248">
        <v>0.59960006894947904</v>
      </c>
      <c r="H1121" s="1278">
        <v>3.5994755105888503E-2</v>
      </c>
      <c r="I1121" s="1248">
        <v>2.2786245514188699E-2</v>
      </c>
      <c r="J1121" s="1278">
        <v>1.0373974363850501E-3</v>
      </c>
      <c r="K1121" s="1248">
        <v>3.00000086129218E-3</v>
      </c>
      <c r="L1121" s="1250">
        <v>2.00000057430135E-3</v>
      </c>
      <c r="M1121" s="1273">
        <v>2.00000057430135E-3</v>
      </c>
      <c r="N1121" s="1248">
        <v>3.1850009128239903E-2</v>
      </c>
      <c r="O1121" s="1249">
        <v>3.1850009128239903E-2</v>
      </c>
      <c r="P1121" s="1251">
        <v>1.5925004564119952E-2</v>
      </c>
      <c r="Q1121" s="1252">
        <v>2.38165384238734E-2</v>
      </c>
    </row>
    <row r="1122" spans="1:17" s="212" customFormat="1" ht="15.5" x14ac:dyDescent="0.35">
      <c r="A1122" s="198">
        <v>2034</v>
      </c>
      <c r="B1122" s="197" t="s">
        <v>5842</v>
      </c>
      <c r="C1122" s="197">
        <v>2018</v>
      </c>
      <c r="D1122" s="213" t="str">
        <f t="shared" si="13"/>
        <v>2034_2018</v>
      </c>
      <c r="E1122" s="1267">
        <v>8.6620909169979401E-2</v>
      </c>
      <c r="F1122" s="1278">
        <v>3.8605720259922999E-3</v>
      </c>
      <c r="G1122" s="1248">
        <v>0.49227395481905101</v>
      </c>
      <c r="H1122" s="1278">
        <v>3.18584246072307E-2</v>
      </c>
      <c r="I1122" s="1248">
        <v>2.2451144855441502E-2</v>
      </c>
      <c r="J1122" s="1278">
        <v>1.07906697440436E-3</v>
      </c>
      <c r="K1122" s="1248">
        <v>3.0000008613523801E-3</v>
      </c>
      <c r="L1122" s="1250">
        <v>2.0000005742531E-3</v>
      </c>
      <c r="M1122" s="1273">
        <v>2.0000005742531E-3</v>
      </c>
      <c r="N1122" s="1248">
        <v>3.1850009128239903E-2</v>
      </c>
      <c r="O1122" s="1249">
        <v>3.1850009128239903E-2</v>
      </c>
      <c r="P1122" s="1251">
        <v>1.5925004564119952E-2</v>
      </c>
      <c r="Q1122" s="1252">
        <v>2.3466286000324799E-2</v>
      </c>
    </row>
    <row r="1123" spans="1:17" s="212" customFormat="1" ht="15.5" x14ac:dyDescent="0.35">
      <c r="A1123" s="198">
        <v>2034</v>
      </c>
      <c r="B1123" s="197" t="s">
        <v>5842</v>
      </c>
      <c r="C1123" s="197">
        <v>2019</v>
      </c>
      <c r="D1123" s="213" t="str">
        <f t="shared" si="13"/>
        <v>2034_2019</v>
      </c>
      <c r="E1123" s="1267">
        <v>8.6125497071455503E-2</v>
      </c>
      <c r="F1123" s="1278">
        <v>3.3236374119334101E-3</v>
      </c>
      <c r="G1123" s="1248">
        <v>0.42100755442494397</v>
      </c>
      <c r="H1123" s="1278">
        <v>2.7722114873437401E-2</v>
      </c>
      <c r="I1123" s="1248">
        <v>2.1927550080839998E-2</v>
      </c>
      <c r="J1123" s="1278">
        <v>1.1007164462227799E-3</v>
      </c>
      <c r="K1123" s="1248">
        <v>3.00000086140138E-3</v>
      </c>
      <c r="L1123" s="1250">
        <v>2.0000005742071198E-3</v>
      </c>
      <c r="M1123" s="1273">
        <v>2.0000005742071198E-3</v>
      </c>
      <c r="N1123" s="1248">
        <v>3.1850009128239903E-2</v>
      </c>
      <c r="O1123" s="1249">
        <v>3.1850009128239903E-2</v>
      </c>
      <c r="P1123" s="1251">
        <v>1.5925004564119952E-2</v>
      </c>
      <c r="Q1123" s="1252">
        <v>2.2919016593433199E-2</v>
      </c>
    </row>
    <row r="1124" spans="1:17" s="212" customFormat="1" ht="15.5" x14ac:dyDescent="0.35">
      <c r="A1124" s="198">
        <v>2034</v>
      </c>
      <c r="B1124" s="197" t="s">
        <v>5842</v>
      </c>
      <c r="C1124" s="197">
        <v>2020</v>
      </c>
      <c r="D1124" s="213" t="str">
        <f t="shared" si="13"/>
        <v>2034_2020</v>
      </c>
      <c r="E1124" s="1267">
        <v>7.5247718223483404E-2</v>
      </c>
      <c r="F1124" s="1278">
        <v>2.7096679839585698E-3</v>
      </c>
      <c r="G1124" s="1248">
        <v>0.32769490870788698</v>
      </c>
      <c r="H1124" s="1278">
        <v>2.4021831444005898E-2</v>
      </c>
      <c r="I1124" s="1248">
        <v>1.9504838929526199E-2</v>
      </c>
      <c r="J1124" s="1278">
        <v>1.0877874626150101E-3</v>
      </c>
      <c r="K1124" s="1248">
        <v>3.0000008609730399E-3</v>
      </c>
      <c r="L1124" s="1250">
        <v>2.0000005740784901E-3</v>
      </c>
      <c r="M1124" s="1273">
        <v>2.0000005740784901E-3</v>
      </c>
      <c r="N1124" s="1248">
        <v>3.1850009128239903E-2</v>
      </c>
      <c r="O1124" s="1249">
        <v>3.1850009128239903E-2</v>
      </c>
      <c r="P1124" s="1251">
        <v>1.5925004564119952E-2</v>
      </c>
      <c r="Q1124" s="1252">
        <v>2.0386761194478499E-2</v>
      </c>
    </row>
    <row r="1125" spans="1:17" s="212" customFormat="1" ht="15.5" x14ac:dyDescent="0.35">
      <c r="A1125" s="198">
        <v>2034</v>
      </c>
      <c r="B1125" s="197" t="s">
        <v>5842</v>
      </c>
      <c r="C1125" s="197">
        <v>2021</v>
      </c>
      <c r="D1125" s="213" t="str">
        <f t="shared" si="13"/>
        <v>2034_2021</v>
      </c>
      <c r="E1125" s="1267">
        <v>7.4437447634607301E-2</v>
      </c>
      <c r="F1125" s="1278">
        <v>2.3122699954051099E-3</v>
      </c>
      <c r="G1125" s="1248">
        <v>0.26330642065386001</v>
      </c>
      <c r="H1125" s="1278">
        <v>2.0275119037728401E-2</v>
      </c>
      <c r="I1125" s="1248">
        <v>1.88651224030673E-2</v>
      </c>
      <c r="J1125" s="1278">
        <v>1.08796449794114E-3</v>
      </c>
      <c r="K1125" s="1248">
        <v>3.0000008609753202E-3</v>
      </c>
      <c r="L1125" s="1250">
        <v>2.0000005740802101E-3</v>
      </c>
      <c r="M1125" s="1273">
        <v>2.0000005740802101E-3</v>
      </c>
      <c r="N1125" s="1248">
        <v>3.1850009128239903E-2</v>
      </c>
      <c r="O1125" s="1249">
        <v>3.1850009128239903E-2</v>
      </c>
      <c r="P1125" s="1251">
        <v>1.5925004564119952E-2</v>
      </c>
      <c r="Q1125" s="1252">
        <v>1.97181195253932E-2</v>
      </c>
    </row>
    <row r="1126" spans="1:17" s="212" customFormat="1" ht="15.5" x14ac:dyDescent="0.35">
      <c r="A1126" s="198">
        <v>2034</v>
      </c>
      <c r="B1126" s="197" t="s">
        <v>5842</v>
      </c>
      <c r="C1126" s="197">
        <v>2022</v>
      </c>
      <c r="D1126" s="213" t="str">
        <f t="shared" si="13"/>
        <v>2034_2022</v>
      </c>
      <c r="E1126" s="1267">
        <v>7.3547385627281997E-2</v>
      </c>
      <c r="F1126" s="1278">
        <v>1.9254043568477E-3</v>
      </c>
      <c r="G1126" s="1248">
        <v>0.19973702410889499</v>
      </c>
      <c r="H1126" s="1278">
        <v>1.6692598546100501E-2</v>
      </c>
      <c r="I1126" s="1248">
        <v>1.81651003677771E-2</v>
      </c>
      <c r="J1126" s="1278">
        <v>1.08813370789372E-3</v>
      </c>
      <c r="K1126" s="1248">
        <v>3.0000008609775298E-3</v>
      </c>
      <c r="L1126" s="1250">
        <v>2.0000005740818602E-3</v>
      </c>
      <c r="M1126" s="1273">
        <v>2.0000005740818602E-3</v>
      </c>
      <c r="N1126" s="1248">
        <v>3.1850009128239903E-2</v>
      </c>
      <c r="O1126" s="1249">
        <v>3.1850009128239903E-2</v>
      </c>
      <c r="P1126" s="1251">
        <v>1.5925004564119952E-2</v>
      </c>
      <c r="Q1126" s="1252">
        <v>1.8986445599968899E-2</v>
      </c>
    </row>
    <row r="1127" spans="1:17" s="212" customFormat="1" ht="15.5" x14ac:dyDescent="0.35">
      <c r="A1127" s="198">
        <v>2034</v>
      </c>
      <c r="B1127" s="197" t="s">
        <v>5842</v>
      </c>
      <c r="C1127" s="197">
        <v>2023</v>
      </c>
      <c r="D1127" s="213" t="str">
        <f t="shared" si="13"/>
        <v>2034_2023</v>
      </c>
      <c r="E1127" s="1267">
        <v>7.2577673004663099E-2</v>
      </c>
      <c r="F1127" s="1278">
        <v>1.9435293648630001E-3</v>
      </c>
      <c r="G1127" s="1248">
        <v>0.19476239159186501</v>
      </c>
      <c r="H1127" s="1278">
        <v>1.6651676368887799E-2</v>
      </c>
      <c r="I1127" s="1248">
        <v>1.7404767122735299E-2</v>
      </c>
      <c r="J1127" s="1278">
        <v>1.0882939695600401E-3</v>
      </c>
      <c r="K1127" s="1248">
        <v>3.00000086097966E-3</v>
      </c>
      <c r="L1127" s="1250">
        <v>2.0000005740834601E-3</v>
      </c>
      <c r="M1127" s="1273">
        <v>2.0000005740834601E-3</v>
      </c>
      <c r="N1127" s="1248">
        <v>3.1850009128239903E-2</v>
      </c>
      <c r="O1127" s="1249">
        <v>3.1850009128239903E-2</v>
      </c>
      <c r="P1127" s="1251">
        <v>1.5925004564119952E-2</v>
      </c>
      <c r="Q1127" s="1252">
        <v>1.8191733459515101E-2</v>
      </c>
    </row>
    <row r="1128" spans="1:17" s="212" customFormat="1" ht="15.5" x14ac:dyDescent="0.35">
      <c r="A1128" s="198">
        <v>2034</v>
      </c>
      <c r="B1128" s="197" t="s">
        <v>5842</v>
      </c>
      <c r="C1128" s="197">
        <v>2024</v>
      </c>
      <c r="D1128" s="213" t="str">
        <f t="shared" si="13"/>
        <v>2034_2024</v>
      </c>
      <c r="E1128" s="1267">
        <v>7.1527768327686203E-2</v>
      </c>
      <c r="F1128" s="1278">
        <v>1.9647634257171898E-3</v>
      </c>
      <c r="G1128" s="1248">
        <v>0.18939173168585999</v>
      </c>
      <c r="H1128" s="1278">
        <v>1.6619936486317401E-2</v>
      </c>
      <c r="I1128" s="1248">
        <v>1.65840246661434E-2</v>
      </c>
      <c r="J1128" s="1278">
        <v>1.08844441976145E-3</v>
      </c>
      <c r="K1128" s="1248">
        <v>3.0000008609816901E-3</v>
      </c>
      <c r="L1128" s="1250">
        <v>2.0000005740849801E-3</v>
      </c>
      <c r="M1128" s="1275">
        <v>2.0000005740145399E-3</v>
      </c>
      <c r="N1128" s="1248">
        <v>3.1850009128239903E-2</v>
      </c>
      <c r="O1128" s="1249">
        <v>3.1850009128239903E-2</v>
      </c>
      <c r="P1128" s="1260">
        <v>1.59250045641199E-2</v>
      </c>
      <c r="Q1128" s="1252">
        <v>1.73338806710269E-2</v>
      </c>
    </row>
    <row r="1129" spans="1:17" s="212" customFormat="1" ht="15.5" x14ac:dyDescent="0.35">
      <c r="A1129" s="198">
        <v>2034</v>
      </c>
      <c r="B1129" s="197" t="s">
        <v>5842</v>
      </c>
      <c r="C1129" s="197">
        <v>2025</v>
      </c>
      <c r="D1129" s="213" t="str">
        <f t="shared" si="13"/>
        <v>2034_2025</v>
      </c>
      <c r="E1129" s="1267">
        <v>7.0397129424987701E-2</v>
      </c>
      <c r="F1129" s="1278">
        <v>1.9826696389923099E-3</v>
      </c>
      <c r="G1129" s="1248">
        <v>0.183624292449339</v>
      </c>
      <c r="H1129" s="1278">
        <v>1.6530254313675299E-2</v>
      </c>
      <c r="I1129" s="1248">
        <v>1.5702779846792699E-2</v>
      </c>
      <c r="J1129" s="1278">
        <v>1.0885823802249299E-3</v>
      </c>
      <c r="K1129" s="1248">
        <v>3.00000086098359E-3</v>
      </c>
      <c r="L1129" s="1250">
        <v>2.00000057408641E-3</v>
      </c>
      <c r="M1129" s="1275">
        <v>2.0000005740157798E-3</v>
      </c>
      <c r="N1129" s="1248">
        <v>3.1850009128239903E-2</v>
      </c>
      <c r="O1129" s="1249">
        <v>3.1850009128239903E-2</v>
      </c>
      <c r="P1129" s="1260">
        <v>1.59250045641199E-2</v>
      </c>
      <c r="Q1129" s="1252">
        <v>1.6412789871410999E-2</v>
      </c>
    </row>
    <row r="1130" spans="1:17" s="212" customFormat="1" ht="15.5" x14ac:dyDescent="0.35">
      <c r="A1130" s="198">
        <v>2034</v>
      </c>
      <c r="B1130" s="197" t="s">
        <v>5842</v>
      </c>
      <c r="C1130" s="197">
        <v>2026</v>
      </c>
      <c r="D1130" s="213" t="str">
        <f t="shared" si="13"/>
        <v>2034_2026</v>
      </c>
      <c r="E1130" s="1267">
        <v>6.91876129722762E-2</v>
      </c>
      <c r="F1130" s="1278">
        <v>1.9906130502933298E-3</v>
      </c>
      <c r="G1130" s="1248">
        <v>0.177482148245027</v>
      </c>
      <c r="H1130" s="1278">
        <v>1.6315545754876599E-2</v>
      </c>
      <c r="I1130" s="1248">
        <v>1.4761329085761899E-2</v>
      </c>
      <c r="J1130" s="1278">
        <v>1.0887207171964999E-3</v>
      </c>
      <c r="K1130" s="1248">
        <v>3.0000008609855E-3</v>
      </c>
      <c r="L1130" s="1250">
        <v>2.0000005740878398E-3</v>
      </c>
      <c r="M1130" s="1275">
        <v>2.0000005740171299E-3</v>
      </c>
      <c r="N1130" s="1248">
        <v>3.1850009128239903E-2</v>
      </c>
      <c r="O1130" s="1249">
        <v>3.1850009128239903E-2</v>
      </c>
      <c r="P1130" s="1260">
        <v>1.59250045641199E-2</v>
      </c>
      <c r="Q1130" s="1252">
        <v>1.54287708845923E-2</v>
      </c>
    </row>
    <row r="1131" spans="1:17" s="212" customFormat="1" ht="15.5" x14ac:dyDescent="0.35">
      <c r="A1131" s="198">
        <v>2034</v>
      </c>
      <c r="B1131" s="197" t="s">
        <v>5842</v>
      </c>
      <c r="C1131" s="197">
        <v>2027</v>
      </c>
      <c r="D1131" s="213" t="str">
        <f t="shared" si="13"/>
        <v>2034_2027</v>
      </c>
      <c r="E1131" s="1267">
        <v>6.7900459357938203E-2</v>
      </c>
      <c r="F1131" s="1278">
        <v>1.9920538961326001E-3</v>
      </c>
      <c r="G1131" s="1248">
        <v>0.17092751851840701</v>
      </c>
      <c r="H1131" s="1278">
        <v>1.6002925924972801E-2</v>
      </c>
      <c r="I1131" s="1248">
        <v>1.3759807345128799E-2</v>
      </c>
      <c r="J1131" s="1278">
        <v>1.08886415517132E-3</v>
      </c>
      <c r="K1131" s="1248">
        <v>3.0000008609874901E-3</v>
      </c>
      <c r="L1131" s="1250">
        <v>2.00000057408932E-3</v>
      </c>
      <c r="M1131" s="1275">
        <v>2.0000005740187102E-3</v>
      </c>
      <c r="N1131" s="1248">
        <v>3.1850009128239903E-2</v>
      </c>
      <c r="O1131" s="1249">
        <v>3.1850009128239903E-2</v>
      </c>
      <c r="P1131" s="1260">
        <v>1.59250045641199E-2</v>
      </c>
      <c r="Q1131" s="1252">
        <v>1.4381964775034801E-2</v>
      </c>
    </row>
    <row r="1132" spans="1:17" s="212" customFormat="1" ht="15.5" x14ac:dyDescent="0.35">
      <c r="A1132" s="198">
        <v>2034</v>
      </c>
      <c r="B1132" s="197" t="s">
        <v>5842</v>
      </c>
      <c r="C1132" s="197">
        <v>2028</v>
      </c>
      <c r="D1132" s="213" t="str">
        <f t="shared" si="13"/>
        <v>2034_2028</v>
      </c>
      <c r="E1132" s="1267">
        <v>6.6534803744408996E-2</v>
      </c>
      <c r="F1132" s="1278">
        <v>1.9955507749098E-3</v>
      </c>
      <c r="G1132" s="1248">
        <v>0.16397899540873301</v>
      </c>
      <c r="H1132" s="1278">
        <v>1.5681820545341299E-2</v>
      </c>
      <c r="I1132" s="1248">
        <v>1.2698038029869199E-2</v>
      </c>
      <c r="J1132" s="1278">
        <v>1.0890095965915001E-3</v>
      </c>
      <c r="K1132" s="1248">
        <v>3.0000008609894998E-3</v>
      </c>
      <c r="L1132" s="1250">
        <v>2.00000057409083E-3</v>
      </c>
      <c r="M1132" s="1275">
        <v>2.0000005740202901E-3</v>
      </c>
      <c r="N1132" s="1248">
        <v>3.1850009128239903E-2</v>
      </c>
      <c r="O1132" s="1249">
        <v>3.1850009128239903E-2</v>
      </c>
      <c r="P1132" s="1260">
        <v>1.59250045641199E-2</v>
      </c>
      <c r="Q1132" s="1252">
        <v>1.32721869628707E-2</v>
      </c>
    </row>
    <row r="1133" spans="1:17" s="212" customFormat="1" ht="15.5" x14ac:dyDescent="0.35">
      <c r="A1133" s="198">
        <v>2034</v>
      </c>
      <c r="B1133" s="197" t="s">
        <v>5842</v>
      </c>
      <c r="C1133" s="197">
        <v>2029</v>
      </c>
      <c r="D1133" s="213" t="str">
        <f t="shared" si="13"/>
        <v>2034_2029</v>
      </c>
      <c r="E1133" s="1267">
        <v>6.5090218442071704E-2</v>
      </c>
      <c r="F1133" s="1278">
        <v>2.0242639836557199E-3</v>
      </c>
      <c r="G1133" s="1248">
        <v>0.15663597381501099</v>
      </c>
      <c r="H1133" s="1278">
        <v>1.55883219932893E-2</v>
      </c>
      <c r="I1133" s="1248">
        <v>1.1575920578875401E-2</v>
      </c>
      <c r="J1133" s="1278">
        <v>1.0891561153619301E-3</v>
      </c>
      <c r="K1133" s="1248">
        <v>3.0000008609915398E-3</v>
      </c>
      <c r="L1133" s="1250">
        <v>2.0000005740923601E-3</v>
      </c>
      <c r="M1133" s="1275">
        <v>2.0000005740220999E-3</v>
      </c>
      <c r="N1133" s="1248">
        <v>3.1850009128239903E-2</v>
      </c>
      <c r="O1133" s="1249">
        <v>3.1850009128239903E-2</v>
      </c>
      <c r="P1133" s="1260">
        <v>1.59250045641199E-2</v>
      </c>
      <c r="Q1133" s="1252">
        <v>1.20993323400654E-2</v>
      </c>
    </row>
    <row r="1134" spans="1:17" s="212" customFormat="1" ht="15.5" x14ac:dyDescent="0.35">
      <c r="A1134" s="198">
        <v>2034</v>
      </c>
      <c r="B1134" s="197" t="s">
        <v>5842</v>
      </c>
      <c r="C1134" s="197">
        <v>2030</v>
      </c>
      <c r="D1134" s="213" t="str">
        <f t="shared" si="13"/>
        <v>2034_2030</v>
      </c>
      <c r="E1134" s="1267">
        <v>6.3566864491587105E-2</v>
      </c>
      <c r="F1134" s="1278">
        <v>2.1123943666066201E-3</v>
      </c>
      <c r="G1134" s="1248">
        <v>0.14889835832678799</v>
      </c>
      <c r="H1134" s="1278">
        <v>1.6072819604582001E-2</v>
      </c>
      <c r="I1134" s="1248">
        <v>1.0393424882391001E-2</v>
      </c>
      <c r="J1134" s="1278">
        <v>1.08930393420218E-3</v>
      </c>
      <c r="K1134" s="1248">
        <v>3.0000008609935998E-3</v>
      </c>
      <c r="L1134" s="1250">
        <v>2.0000005740939001E-3</v>
      </c>
      <c r="M1134" s="1275">
        <v>2.0000005740241E-3</v>
      </c>
      <c r="N1134" s="1248">
        <v>3.1850009128239903E-2</v>
      </c>
      <c r="O1134" s="1249">
        <v>3.1850009128239903E-2</v>
      </c>
      <c r="P1134" s="1260">
        <v>1.59250045641199E-2</v>
      </c>
      <c r="Q1134" s="1252">
        <v>1.0863369435432899E-2</v>
      </c>
    </row>
    <row r="1135" spans="1:17" s="212" customFormat="1" ht="15.5" x14ac:dyDescent="0.35">
      <c r="A1135" s="198">
        <v>2034</v>
      </c>
      <c r="B1135" s="197" t="s">
        <v>5842</v>
      </c>
      <c r="C1135" s="197">
        <v>2031</v>
      </c>
      <c r="D1135" s="213" t="str">
        <f t="shared" si="13"/>
        <v>2034_2031</v>
      </c>
      <c r="E1135" s="1267">
        <v>6.1964905889162897E-2</v>
      </c>
      <c r="F1135" s="1278">
        <v>2.2922995437068099E-3</v>
      </c>
      <c r="G1135" s="1248">
        <v>0.14076617278940601</v>
      </c>
      <c r="H1135" s="1278">
        <v>1.74710955810976E-2</v>
      </c>
      <c r="I1135" s="1248">
        <v>9.1505141465104099E-3</v>
      </c>
      <c r="J1135" s="1278">
        <v>1.0894544980432699E-3</v>
      </c>
      <c r="K1135" s="1248">
        <v>3.0000008609957101E-3</v>
      </c>
      <c r="L1135" s="1250">
        <v>2.00000057409548E-3</v>
      </c>
      <c r="M1135" s="1275">
        <v>2.0000005740261899E-3</v>
      </c>
      <c r="N1135" s="1248">
        <v>3.1850009128239903E-2</v>
      </c>
      <c r="O1135" s="1249">
        <v>3.1850009128239903E-2</v>
      </c>
      <c r="P1135" s="1260">
        <v>1.59250045641199E-2</v>
      </c>
      <c r="Q1135" s="1252">
        <v>9.5642597914104496E-3</v>
      </c>
    </row>
    <row r="1136" spans="1:17" s="212" customFormat="1" ht="15.5" x14ac:dyDescent="0.35">
      <c r="A1136" s="198">
        <v>2034</v>
      </c>
      <c r="B1136" s="197" t="s">
        <v>5842</v>
      </c>
      <c r="C1136" s="197">
        <v>2032</v>
      </c>
      <c r="D1136" s="213" t="str">
        <f t="shared" si="13"/>
        <v>2034_2032</v>
      </c>
      <c r="E1136" s="1267">
        <v>6.0283720501356199E-2</v>
      </c>
      <c r="F1136" s="1278">
        <v>2.56179531651856E-3</v>
      </c>
      <c r="G1136" s="1248">
        <v>0.13223858553519099</v>
      </c>
      <c r="H1136" s="1278">
        <v>1.9776066803059999E-2</v>
      </c>
      <c r="I1136" s="1248">
        <v>7.8470673469407306E-3</v>
      </c>
      <c r="J1136" s="1278">
        <v>1.0896060148156801E-3</v>
      </c>
      <c r="K1136" s="1248">
        <v>3.0000008609978399E-3</v>
      </c>
      <c r="L1136" s="1250">
        <v>2.0000005740970798E-3</v>
      </c>
      <c r="M1136" s="1275">
        <v>2.0000005740283002E-3</v>
      </c>
      <c r="N1136" s="1248">
        <v>3.1850009128239903E-2</v>
      </c>
      <c r="O1136" s="1249">
        <v>3.1850009128239903E-2</v>
      </c>
      <c r="P1136" s="1260">
        <v>1.59250045641199E-2</v>
      </c>
      <c r="Q1136" s="1252">
        <v>8.2018769115237405E-3</v>
      </c>
    </row>
    <row r="1137" spans="1:17" s="212" customFormat="1" ht="15.5" x14ac:dyDescent="0.35">
      <c r="A1137" s="198">
        <v>2034</v>
      </c>
      <c r="B1137" s="197" t="s">
        <v>5842</v>
      </c>
      <c r="C1137" s="197">
        <v>2033</v>
      </c>
      <c r="D1137" s="213" t="str">
        <f t="shared" si="13"/>
        <v>2034_2033</v>
      </c>
      <c r="E1137" s="1267">
        <v>5.85234615788452E-2</v>
      </c>
      <c r="F1137" s="1278">
        <v>2.8188460273481002E-3</v>
      </c>
      <c r="G1137" s="1248">
        <v>0.12331549156231</v>
      </c>
      <c r="H1137" s="1278">
        <v>2.1980291977656899E-2</v>
      </c>
      <c r="I1137" s="1248">
        <v>6.4830401514491204E-3</v>
      </c>
      <c r="J1137" s="1278">
        <v>1.0897589905395199E-3</v>
      </c>
      <c r="K1137" s="1248">
        <v>3.0000008610000001E-3</v>
      </c>
      <c r="L1137" s="1250">
        <v>2.0000005740987E-3</v>
      </c>
      <c r="M1137" s="1275">
        <v>2.0000005740301E-3</v>
      </c>
      <c r="N1137" s="1248">
        <v>3.1850009128239903E-2</v>
      </c>
      <c r="O1137" s="1249">
        <v>3.1850009128239903E-2</v>
      </c>
      <c r="P1137" s="1260">
        <v>1.59250045641199E-2</v>
      </c>
      <c r="Q1137" s="1252">
        <v>6.7761744590330497E-3</v>
      </c>
    </row>
    <row r="1138" spans="1:17" s="212" customFormat="1" ht="15.5" x14ac:dyDescent="0.35">
      <c r="A1138" s="198">
        <v>2034</v>
      </c>
      <c r="B1138" s="197" t="s">
        <v>5842</v>
      </c>
      <c r="C1138" s="197">
        <v>2034</v>
      </c>
      <c r="D1138" s="213" t="str">
        <f t="shared" si="13"/>
        <v>2034_2034</v>
      </c>
      <c r="E1138" s="1267">
        <v>5.66842866586484E-2</v>
      </c>
      <c r="F1138" s="1278">
        <v>2.7453224507706601E-3</v>
      </c>
      <c r="G1138" s="1248">
        <v>0.11399685055781</v>
      </c>
      <c r="H1138" s="1278">
        <v>2.0907728454800201E-2</v>
      </c>
      <c r="I1138" s="1248">
        <v>5.0583756115173302E-3</v>
      </c>
      <c r="J1138" s="1278">
        <v>1.08991513296211E-3</v>
      </c>
      <c r="K1138" s="1248">
        <v>3.0000008610022201E-3</v>
      </c>
      <c r="L1138" s="1250">
        <v>2.0000005741003602E-3</v>
      </c>
      <c r="M1138" s="1275">
        <v>2.0000005740295401E-3</v>
      </c>
      <c r="N1138" s="1248">
        <v>3.1850009128239903E-2</v>
      </c>
      <c r="O1138" s="1249">
        <v>3.1850009128239903E-2</v>
      </c>
      <c r="P1138" s="1260">
        <v>1.59250045641199E-2</v>
      </c>
      <c r="Q1138" s="1252">
        <v>5.2870929104608102E-3</v>
      </c>
    </row>
    <row r="1139" spans="1:17" s="212" customFormat="1" ht="15.5" x14ac:dyDescent="0.35">
      <c r="A1139" s="198">
        <v>2034</v>
      </c>
      <c r="B1139" s="197" t="s">
        <v>5842</v>
      </c>
      <c r="C1139" s="197">
        <v>2035</v>
      </c>
      <c r="D1139" s="213" t="str">
        <f t="shared" si="13"/>
        <v>2034_2035</v>
      </c>
      <c r="E1139" s="1268">
        <v>5.66842866586484E-2</v>
      </c>
      <c r="F1139" s="1279">
        <v>2.7453224507706601E-3</v>
      </c>
      <c r="G1139" s="1255">
        <v>0.11399685055781</v>
      </c>
      <c r="H1139" s="1279">
        <v>2.0907728454800201E-2</v>
      </c>
      <c r="I1139" s="1255">
        <v>5.0583756115173302E-3</v>
      </c>
      <c r="J1139" s="1279">
        <v>1.08991513296211E-3</v>
      </c>
      <c r="K1139" s="1255">
        <v>3.0000008610022201E-3</v>
      </c>
      <c r="L1139" s="1253">
        <v>2.0000005741003602E-3</v>
      </c>
      <c r="M1139" s="1273">
        <v>2.0000005740295401E-3</v>
      </c>
      <c r="N1139" s="1255">
        <v>3.1850009128239903E-2</v>
      </c>
      <c r="O1139" s="1256">
        <v>3.1850009128239903E-2</v>
      </c>
      <c r="P1139" s="1251">
        <v>1.59250045641199E-2</v>
      </c>
      <c r="Q1139" s="1254">
        <v>5.2870929104608102E-3</v>
      </c>
    </row>
    <row r="1140" spans="1:17" s="212" customFormat="1" ht="15.5" x14ac:dyDescent="0.35">
      <c r="A1140" s="198">
        <v>2035</v>
      </c>
      <c r="B1140" s="197" t="s">
        <v>5842</v>
      </c>
      <c r="C1140" s="197">
        <v>1971</v>
      </c>
      <c r="D1140" s="213" t="str">
        <f t="shared" si="13"/>
        <v>2035_1971</v>
      </c>
      <c r="E1140" s="1268">
        <v>0.36914935787763098</v>
      </c>
      <c r="F1140" s="1279">
        <v>0.46470275879304002</v>
      </c>
      <c r="G1140" s="1255">
        <v>9.3440123386316198</v>
      </c>
      <c r="H1140" s="1279">
        <v>2.9043708762711198</v>
      </c>
      <c r="I1140" s="1255">
        <v>5.2317060685480199E-2</v>
      </c>
      <c r="J1140" s="1279">
        <v>7.4590527987110902E-3</v>
      </c>
      <c r="K1140" s="1255">
        <v>3.00000086130777E-3</v>
      </c>
      <c r="L1140" s="1253">
        <v>2.0000005740746E-3</v>
      </c>
      <c r="M1140" s="1273">
        <v>2.0000005740746E-3</v>
      </c>
      <c r="N1140" s="1255">
        <v>3.1850009128239903E-2</v>
      </c>
      <c r="O1140" s="1256">
        <v>3.1850009128239903E-2</v>
      </c>
      <c r="P1140" s="1251">
        <v>1.5925004564119952E-2</v>
      </c>
      <c r="Q1140" s="1254">
        <v>5.4682606016159097E-2</v>
      </c>
    </row>
    <row r="1141" spans="1:17" s="212" customFormat="1" ht="15.5" x14ac:dyDescent="0.35">
      <c r="A1141" s="198">
        <v>2035</v>
      </c>
      <c r="B1141" s="197" t="s">
        <v>5842</v>
      </c>
      <c r="C1141" s="197">
        <v>1972</v>
      </c>
      <c r="D1141" s="213" t="str">
        <f t="shared" si="13"/>
        <v>2035_1972</v>
      </c>
      <c r="E1141" s="1268">
        <v>0.36914935787763098</v>
      </c>
      <c r="F1141" s="1279">
        <v>0.46470275879304002</v>
      </c>
      <c r="G1141" s="1255">
        <v>9.3440123386316198</v>
      </c>
      <c r="H1141" s="1279">
        <v>2.9043708762711198</v>
      </c>
      <c r="I1141" s="1255">
        <v>5.2317060685480199E-2</v>
      </c>
      <c r="J1141" s="1279">
        <v>7.4590527987110902E-3</v>
      </c>
      <c r="K1141" s="1255">
        <v>3.00000086130777E-3</v>
      </c>
      <c r="L1141" s="1253">
        <v>2.0000005740746E-3</v>
      </c>
      <c r="M1141" s="1273">
        <v>2.0000005740746E-3</v>
      </c>
      <c r="N1141" s="1255">
        <v>3.1850009128239903E-2</v>
      </c>
      <c r="O1141" s="1256">
        <v>3.1850009128239903E-2</v>
      </c>
      <c r="P1141" s="1251">
        <v>1.5925004564119952E-2</v>
      </c>
      <c r="Q1141" s="1254">
        <v>5.4682606016159097E-2</v>
      </c>
    </row>
    <row r="1142" spans="1:17" s="212" customFormat="1" ht="15.5" x14ac:dyDescent="0.35">
      <c r="A1142" s="198">
        <v>2035</v>
      </c>
      <c r="B1142" s="197" t="s">
        <v>5842</v>
      </c>
      <c r="C1142" s="197">
        <v>1973</v>
      </c>
      <c r="D1142" s="213" t="str">
        <f t="shared" si="13"/>
        <v>2035_1973</v>
      </c>
      <c r="E1142" s="1268">
        <v>0.36914935787763098</v>
      </c>
      <c r="F1142" s="1279">
        <v>0.46470275879304002</v>
      </c>
      <c r="G1142" s="1255">
        <v>9.3440123386316198</v>
      </c>
      <c r="H1142" s="1279">
        <v>2.9043708762711198</v>
      </c>
      <c r="I1142" s="1255">
        <v>5.2317060685480199E-2</v>
      </c>
      <c r="J1142" s="1279">
        <v>7.4590527987110902E-3</v>
      </c>
      <c r="K1142" s="1255">
        <v>3.00000086130777E-3</v>
      </c>
      <c r="L1142" s="1253">
        <v>2.0000005740746E-3</v>
      </c>
      <c r="M1142" s="1273">
        <v>2.0000005740746E-3</v>
      </c>
      <c r="N1142" s="1255">
        <v>3.1850009128239903E-2</v>
      </c>
      <c r="O1142" s="1256">
        <v>3.1850009128239903E-2</v>
      </c>
      <c r="P1142" s="1251">
        <v>1.5925004564119952E-2</v>
      </c>
      <c r="Q1142" s="1254">
        <v>5.4682606016159097E-2</v>
      </c>
    </row>
    <row r="1143" spans="1:17" s="212" customFormat="1" ht="15.5" x14ac:dyDescent="0.35">
      <c r="A1143" s="198">
        <v>2035</v>
      </c>
      <c r="B1143" s="197" t="s">
        <v>5842</v>
      </c>
      <c r="C1143" s="197">
        <v>1974</v>
      </c>
      <c r="D1143" s="213" t="str">
        <f t="shared" ref="D1143:D1247" si="14">CONCATENATE(A1143,"_",C1143)</f>
        <v>2035_1974</v>
      </c>
      <c r="E1143" s="1268">
        <v>0.36914935787763098</v>
      </c>
      <c r="F1143" s="1279">
        <v>0.46470275879304002</v>
      </c>
      <c r="G1143" s="1255">
        <v>9.3440123386316198</v>
      </c>
      <c r="H1143" s="1279">
        <v>2.9043708762711198</v>
      </c>
      <c r="I1143" s="1255">
        <v>5.2317060685480199E-2</v>
      </c>
      <c r="J1143" s="1279">
        <v>7.4590527987110902E-3</v>
      </c>
      <c r="K1143" s="1255">
        <v>3.00000086130777E-3</v>
      </c>
      <c r="L1143" s="1253">
        <v>2.0000005740746E-3</v>
      </c>
      <c r="M1143" s="1273">
        <v>2.0000005740746E-3</v>
      </c>
      <c r="N1143" s="1255">
        <v>3.1850009128239903E-2</v>
      </c>
      <c r="O1143" s="1256">
        <v>3.1850009128239903E-2</v>
      </c>
      <c r="P1143" s="1251">
        <v>1.5925004564119952E-2</v>
      </c>
      <c r="Q1143" s="1254">
        <v>5.4682606016159097E-2</v>
      </c>
    </row>
    <row r="1144" spans="1:17" s="212" customFormat="1" ht="15.5" x14ac:dyDescent="0.35">
      <c r="A1144" s="198">
        <v>2035</v>
      </c>
      <c r="B1144" s="197" t="s">
        <v>5842</v>
      </c>
      <c r="C1144" s="197">
        <v>1975</v>
      </c>
      <c r="D1144" s="213" t="str">
        <f t="shared" si="14"/>
        <v>2035_1975</v>
      </c>
      <c r="E1144" s="1268">
        <v>0.36914935787763098</v>
      </c>
      <c r="F1144" s="1279">
        <v>0.46470275879304002</v>
      </c>
      <c r="G1144" s="1255">
        <v>9.3440123386316198</v>
      </c>
      <c r="H1144" s="1279">
        <v>2.9043708762711198</v>
      </c>
      <c r="I1144" s="1255">
        <v>5.2317060685480199E-2</v>
      </c>
      <c r="J1144" s="1279">
        <v>7.4590527987110902E-3</v>
      </c>
      <c r="K1144" s="1255">
        <v>3.00000086130777E-3</v>
      </c>
      <c r="L1144" s="1253">
        <v>2.0000005740746E-3</v>
      </c>
      <c r="M1144" s="1273">
        <v>2.0000005740746E-3</v>
      </c>
      <c r="N1144" s="1255">
        <v>3.1850009128239903E-2</v>
      </c>
      <c r="O1144" s="1256">
        <v>3.1850009128239903E-2</v>
      </c>
      <c r="P1144" s="1251">
        <v>1.5925004564119952E-2</v>
      </c>
      <c r="Q1144" s="1254">
        <v>5.4682606016159097E-2</v>
      </c>
    </row>
    <row r="1145" spans="1:17" s="212" customFormat="1" ht="15.5" x14ac:dyDescent="0.35">
      <c r="A1145" s="198">
        <v>2035</v>
      </c>
      <c r="B1145" s="197" t="s">
        <v>5842</v>
      </c>
      <c r="C1145" s="197">
        <v>1976</v>
      </c>
      <c r="D1145" s="213" t="str">
        <f t="shared" si="14"/>
        <v>2035_1976</v>
      </c>
      <c r="E1145" s="1268">
        <v>0.36914935787763098</v>
      </c>
      <c r="F1145" s="1279">
        <v>0.46470275879304002</v>
      </c>
      <c r="G1145" s="1255">
        <v>9.3440123386316198</v>
      </c>
      <c r="H1145" s="1279">
        <v>2.9043708762711198</v>
      </c>
      <c r="I1145" s="1255">
        <v>5.2317060685480199E-2</v>
      </c>
      <c r="J1145" s="1279">
        <v>7.4590527987110902E-3</v>
      </c>
      <c r="K1145" s="1255">
        <v>3.00000086130777E-3</v>
      </c>
      <c r="L1145" s="1253">
        <v>2.0000005740746E-3</v>
      </c>
      <c r="M1145" s="1273">
        <v>2.0000005740746E-3</v>
      </c>
      <c r="N1145" s="1255">
        <v>3.1850009128239903E-2</v>
      </c>
      <c r="O1145" s="1256">
        <v>3.1850009128239903E-2</v>
      </c>
      <c r="P1145" s="1251">
        <v>1.5925004564119952E-2</v>
      </c>
      <c r="Q1145" s="1254">
        <v>5.4682606016159097E-2</v>
      </c>
    </row>
    <row r="1146" spans="1:17" s="212" customFormat="1" ht="15.5" x14ac:dyDescent="0.35">
      <c r="A1146" s="198">
        <v>2035</v>
      </c>
      <c r="B1146" s="197" t="s">
        <v>5842</v>
      </c>
      <c r="C1146" s="197">
        <v>1977</v>
      </c>
      <c r="D1146" s="213" t="str">
        <f t="shared" si="14"/>
        <v>2035_1977</v>
      </c>
      <c r="E1146" s="1268">
        <v>0.36914935787763098</v>
      </c>
      <c r="F1146" s="1279">
        <v>0.46470275879304002</v>
      </c>
      <c r="G1146" s="1255">
        <v>9.3440123386316198</v>
      </c>
      <c r="H1146" s="1279">
        <v>2.9043708762711198</v>
      </c>
      <c r="I1146" s="1255">
        <v>5.2317060685480199E-2</v>
      </c>
      <c r="J1146" s="1279">
        <v>7.4590527987110902E-3</v>
      </c>
      <c r="K1146" s="1255">
        <v>3.00000086130777E-3</v>
      </c>
      <c r="L1146" s="1253">
        <v>2.0000005740746E-3</v>
      </c>
      <c r="M1146" s="1273">
        <v>2.0000005740746E-3</v>
      </c>
      <c r="N1146" s="1255">
        <v>3.1850009128239903E-2</v>
      </c>
      <c r="O1146" s="1256">
        <v>3.1850009128239903E-2</v>
      </c>
      <c r="P1146" s="1251">
        <v>1.5925004564119952E-2</v>
      </c>
      <c r="Q1146" s="1254">
        <v>5.4682606016159097E-2</v>
      </c>
    </row>
    <row r="1147" spans="1:17" s="212" customFormat="1" ht="15.5" x14ac:dyDescent="0.35">
      <c r="A1147" s="198">
        <v>2035</v>
      </c>
      <c r="B1147" s="197" t="s">
        <v>5842</v>
      </c>
      <c r="C1147" s="197">
        <v>1978</v>
      </c>
      <c r="D1147" s="213" t="str">
        <f t="shared" si="14"/>
        <v>2035_1978</v>
      </c>
      <c r="E1147" s="1268">
        <v>0.36914935787763098</v>
      </c>
      <c r="F1147" s="1279">
        <v>0.46470275879304002</v>
      </c>
      <c r="G1147" s="1255">
        <v>9.3440123386316198</v>
      </c>
      <c r="H1147" s="1279">
        <v>2.9043708762711198</v>
      </c>
      <c r="I1147" s="1255">
        <v>5.2317060685480199E-2</v>
      </c>
      <c r="J1147" s="1279">
        <v>7.4590527987110902E-3</v>
      </c>
      <c r="K1147" s="1255">
        <v>3.00000086130777E-3</v>
      </c>
      <c r="L1147" s="1253">
        <v>2.0000005740746E-3</v>
      </c>
      <c r="M1147" s="1273">
        <v>2.0000005740746E-3</v>
      </c>
      <c r="N1147" s="1255">
        <v>3.1850009128239903E-2</v>
      </c>
      <c r="O1147" s="1256">
        <v>3.1850009128239903E-2</v>
      </c>
      <c r="P1147" s="1251">
        <v>1.5925004564119952E-2</v>
      </c>
      <c r="Q1147" s="1254">
        <v>5.4682606016159097E-2</v>
      </c>
    </row>
    <row r="1148" spans="1:17" s="212" customFormat="1" ht="15.5" x14ac:dyDescent="0.35">
      <c r="A1148" s="198">
        <v>2035</v>
      </c>
      <c r="B1148" s="197" t="s">
        <v>5842</v>
      </c>
      <c r="C1148" s="197">
        <v>1979</v>
      </c>
      <c r="D1148" s="213" t="str">
        <f t="shared" si="14"/>
        <v>2035_1979</v>
      </c>
      <c r="E1148" s="1268">
        <v>0.36914935787763098</v>
      </c>
      <c r="F1148" s="1279">
        <v>0.46470275879304002</v>
      </c>
      <c r="G1148" s="1255">
        <v>9.3440123386316198</v>
      </c>
      <c r="H1148" s="1279">
        <v>2.9043708762711198</v>
      </c>
      <c r="I1148" s="1255">
        <v>5.2317060685480199E-2</v>
      </c>
      <c r="J1148" s="1279">
        <v>7.4590527987110902E-3</v>
      </c>
      <c r="K1148" s="1255">
        <v>3.00000086130777E-3</v>
      </c>
      <c r="L1148" s="1253">
        <v>2.0000005740746E-3</v>
      </c>
      <c r="M1148" s="1273">
        <v>2.0000005740746E-3</v>
      </c>
      <c r="N1148" s="1255">
        <v>3.1850009128239903E-2</v>
      </c>
      <c r="O1148" s="1256">
        <v>3.1850009128239903E-2</v>
      </c>
      <c r="P1148" s="1251">
        <v>1.5925004564119952E-2</v>
      </c>
      <c r="Q1148" s="1254">
        <v>5.4682606016159097E-2</v>
      </c>
    </row>
    <row r="1149" spans="1:17" s="212" customFormat="1" ht="15.5" x14ac:dyDescent="0.35">
      <c r="A1149" s="198">
        <v>2035</v>
      </c>
      <c r="B1149" s="197" t="s">
        <v>5842</v>
      </c>
      <c r="C1149" s="197">
        <v>1980</v>
      </c>
      <c r="D1149" s="213" t="str">
        <f t="shared" si="14"/>
        <v>2035_1980</v>
      </c>
      <c r="E1149" s="1268">
        <v>0.36914935787763098</v>
      </c>
      <c r="F1149" s="1279">
        <v>0.46470275879304002</v>
      </c>
      <c r="G1149" s="1255">
        <v>9.3440123386316198</v>
      </c>
      <c r="H1149" s="1279">
        <v>2.9043708762711198</v>
      </c>
      <c r="I1149" s="1255">
        <v>5.2317060685480199E-2</v>
      </c>
      <c r="J1149" s="1279">
        <v>7.4590527987110902E-3</v>
      </c>
      <c r="K1149" s="1255">
        <v>3.00000086130777E-3</v>
      </c>
      <c r="L1149" s="1253">
        <v>2.0000005740746E-3</v>
      </c>
      <c r="M1149" s="1273">
        <v>2.0000005740746E-3</v>
      </c>
      <c r="N1149" s="1255">
        <v>3.1850009128239903E-2</v>
      </c>
      <c r="O1149" s="1256">
        <v>3.1850009128239903E-2</v>
      </c>
      <c r="P1149" s="1251">
        <v>1.5925004564119952E-2</v>
      </c>
      <c r="Q1149" s="1254">
        <v>5.4682606016159097E-2</v>
      </c>
    </row>
    <row r="1150" spans="1:17" s="212" customFormat="1" ht="15.5" x14ac:dyDescent="0.35">
      <c r="A1150" s="198">
        <v>2035</v>
      </c>
      <c r="B1150" s="197" t="s">
        <v>5842</v>
      </c>
      <c r="C1150" s="197">
        <v>1981</v>
      </c>
      <c r="D1150" s="213" t="str">
        <f t="shared" si="14"/>
        <v>2035_1981</v>
      </c>
      <c r="E1150" s="1268">
        <v>0.36914935787763098</v>
      </c>
      <c r="F1150" s="1279">
        <v>0.46470275879304002</v>
      </c>
      <c r="G1150" s="1255">
        <v>9.3440123386316198</v>
      </c>
      <c r="H1150" s="1279">
        <v>2.9043708762711198</v>
      </c>
      <c r="I1150" s="1255">
        <v>5.2317060685480199E-2</v>
      </c>
      <c r="J1150" s="1279">
        <v>7.4590527987110902E-3</v>
      </c>
      <c r="K1150" s="1255">
        <v>3.00000086130777E-3</v>
      </c>
      <c r="L1150" s="1253">
        <v>2.0000005740746E-3</v>
      </c>
      <c r="M1150" s="1273">
        <v>2.0000005740746E-3</v>
      </c>
      <c r="N1150" s="1255">
        <v>3.1850009128239903E-2</v>
      </c>
      <c r="O1150" s="1256">
        <v>3.1850009128239903E-2</v>
      </c>
      <c r="P1150" s="1251">
        <v>1.5925004564119952E-2</v>
      </c>
      <c r="Q1150" s="1254">
        <v>5.4682606016159097E-2</v>
      </c>
    </row>
    <row r="1151" spans="1:17" s="212" customFormat="1" ht="15.5" x14ac:dyDescent="0.35">
      <c r="A1151" s="198">
        <v>2035</v>
      </c>
      <c r="B1151" s="197" t="s">
        <v>5842</v>
      </c>
      <c r="C1151" s="197">
        <v>1982</v>
      </c>
      <c r="D1151" s="213" t="str">
        <f t="shared" si="14"/>
        <v>2035_1982</v>
      </c>
      <c r="E1151" s="1268">
        <v>0.36914935787763098</v>
      </c>
      <c r="F1151" s="1279">
        <v>0.46470275879304002</v>
      </c>
      <c r="G1151" s="1255">
        <v>9.3440123386316198</v>
      </c>
      <c r="H1151" s="1279">
        <v>2.9043708762711198</v>
      </c>
      <c r="I1151" s="1255">
        <v>5.2317060685480199E-2</v>
      </c>
      <c r="J1151" s="1279">
        <v>7.4590527987110902E-3</v>
      </c>
      <c r="K1151" s="1255">
        <v>3.00000086130777E-3</v>
      </c>
      <c r="L1151" s="1253">
        <v>2.0000005740746E-3</v>
      </c>
      <c r="M1151" s="1273">
        <v>2.0000005740746E-3</v>
      </c>
      <c r="N1151" s="1255">
        <v>3.1850009128239903E-2</v>
      </c>
      <c r="O1151" s="1256">
        <v>3.1850009128239903E-2</v>
      </c>
      <c r="P1151" s="1251">
        <v>1.5925004564119952E-2</v>
      </c>
      <c r="Q1151" s="1254">
        <v>5.4682606016159097E-2</v>
      </c>
    </row>
    <row r="1152" spans="1:17" s="212" customFormat="1" ht="15.5" x14ac:dyDescent="0.35">
      <c r="A1152" s="198">
        <v>2035</v>
      </c>
      <c r="B1152" s="197" t="s">
        <v>5842</v>
      </c>
      <c r="C1152" s="197">
        <v>1983</v>
      </c>
      <c r="D1152" s="213" t="str">
        <f t="shared" si="14"/>
        <v>2035_1983</v>
      </c>
      <c r="E1152" s="1268">
        <v>0.36914935787763098</v>
      </c>
      <c r="F1152" s="1279">
        <v>0.46470275879304002</v>
      </c>
      <c r="G1152" s="1255">
        <v>9.3440123386316198</v>
      </c>
      <c r="H1152" s="1279">
        <v>2.9043708762711198</v>
      </c>
      <c r="I1152" s="1255">
        <v>5.2317060685480199E-2</v>
      </c>
      <c r="J1152" s="1279">
        <v>7.4590527987110902E-3</v>
      </c>
      <c r="K1152" s="1255">
        <v>3.00000086130777E-3</v>
      </c>
      <c r="L1152" s="1253">
        <v>2.0000005740746E-3</v>
      </c>
      <c r="M1152" s="1273">
        <v>2.0000005740746E-3</v>
      </c>
      <c r="N1152" s="1255">
        <v>3.1850009128239903E-2</v>
      </c>
      <c r="O1152" s="1256">
        <v>3.1850009128239903E-2</v>
      </c>
      <c r="P1152" s="1251">
        <v>1.5925004564119952E-2</v>
      </c>
      <c r="Q1152" s="1254">
        <v>5.4682606016159097E-2</v>
      </c>
    </row>
    <row r="1153" spans="1:17" s="212" customFormat="1" ht="15.5" x14ac:dyDescent="0.35">
      <c r="A1153" s="198">
        <v>2035</v>
      </c>
      <c r="B1153" s="197" t="s">
        <v>5842</v>
      </c>
      <c r="C1153" s="197">
        <v>1984</v>
      </c>
      <c r="D1153" s="213" t="str">
        <f t="shared" si="14"/>
        <v>2035_1984</v>
      </c>
      <c r="E1153" s="1268">
        <v>0.36914935787763098</v>
      </c>
      <c r="F1153" s="1279">
        <v>0.46470275879304002</v>
      </c>
      <c r="G1153" s="1255">
        <v>9.3440123386316198</v>
      </c>
      <c r="H1153" s="1279">
        <v>2.9043708762711198</v>
      </c>
      <c r="I1153" s="1255">
        <v>5.2317060685480199E-2</v>
      </c>
      <c r="J1153" s="1279">
        <v>7.4590527987110902E-3</v>
      </c>
      <c r="K1153" s="1255">
        <v>3.00000086130777E-3</v>
      </c>
      <c r="L1153" s="1253">
        <v>2.0000005740746E-3</v>
      </c>
      <c r="M1153" s="1273">
        <v>2.0000005740746E-3</v>
      </c>
      <c r="N1153" s="1255">
        <v>3.1850009128239903E-2</v>
      </c>
      <c r="O1153" s="1256">
        <v>3.1850009128239903E-2</v>
      </c>
      <c r="P1153" s="1251">
        <v>1.5925004564119952E-2</v>
      </c>
      <c r="Q1153" s="1254">
        <v>5.4682606016159097E-2</v>
      </c>
    </row>
    <row r="1154" spans="1:17" s="212" customFormat="1" ht="15.5" x14ac:dyDescent="0.35">
      <c r="A1154" s="198">
        <v>2035</v>
      </c>
      <c r="B1154" s="197" t="s">
        <v>5842</v>
      </c>
      <c r="C1154" s="197">
        <v>1985</v>
      </c>
      <c r="D1154" s="213" t="str">
        <f t="shared" si="14"/>
        <v>2035_1985</v>
      </c>
      <c r="E1154" s="1268">
        <v>0.36914935787763098</v>
      </c>
      <c r="F1154" s="1279">
        <v>0.46470275879304002</v>
      </c>
      <c r="G1154" s="1255">
        <v>9.3440123386316198</v>
      </c>
      <c r="H1154" s="1279">
        <v>2.9043708762711198</v>
      </c>
      <c r="I1154" s="1255">
        <v>5.2317060685480199E-2</v>
      </c>
      <c r="J1154" s="1279">
        <v>7.4590527987110902E-3</v>
      </c>
      <c r="K1154" s="1255">
        <v>3.00000086130777E-3</v>
      </c>
      <c r="L1154" s="1253">
        <v>2.0000005740746E-3</v>
      </c>
      <c r="M1154" s="1273">
        <v>2.0000005740746E-3</v>
      </c>
      <c r="N1154" s="1255">
        <v>3.1850009128239903E-2</v>
      </c>
      <c r="O1154" s="1256">
        <v>3.1850009128239903E-2</v>
      </c>
      <c r="P1154" s="1251">
        <v>1.5925004564119952E-2</v>
      </c>
      <c r="Q1154" s="1254">
        <v>5.4682606016159097E-2</v>
      </c>
    </row>
    <row r="1155" spans="1:17" s="212" customFormat="1" ht="15.5" x14ac:dyDescent="0.35">
      <c r="A1155" s="198">
        <v>2035</v>
      </c>
      <c r="B1155" s="197" t="s">
        <v>5842</v>
      </c>
      <c r="C1155" s="197">
        <v>1986</v>
      </c>
      <c r="D1155" s="213" t="str">
        <f t="shared" si="14"/>
        <v>2035_1986</v>
      </c>
      <c r="E1155" s="1268">
        <v>0.36914935787763098</v>
      </c>
      <c r="F1155" s="1279">
        <v>0.46470275879304002</v>
      </c>
      <c r="G1155" s="1255">
        <v>9.3440123386316198</v>
      </c>
      <c r="H1155" s="1279">
        <v>2.9043708762711198</v>
      </c>
      <c r="I1155" s="1255">
        <v>5.2317060685480199E-2</v>
      </c>
      <c r="J1155" s="1279">
        <v>7.4590527987110902E-3</v>
      </c>
      <c r="K1155" s="1255">
        <v>3.00000086130777E-3</v>
      </c>
      <c r="L1155" s="1253">
        <v>2.0000005740746E-3</v>
      </c>
      <c r="M1155" s="1273">
        <v>2.0000005740746E-3</v>
      </c>
      <c r="N1155" s="1255">
        <v>3.1850009128239903E-2</v>
      </c>
      <c r="O1155" s="1256">
        <v>3.1850009128239903E-2</v>
      </c>
      <c r="P1155" s="1251">
        <v>1.5925004564119952E-2</v>
      </c>
      <c r="Q1155" s="1254">
        <v>5.4682606016159097E-2</v>
      </c>
    </row>
    <row r="1156" spans="1:17" s="212" customFormat="1" ht="15.5" x14ac:dyDescent="0.35">
      <c r="A1156" s="198">
        <v>2035</v>
      </c>
      <c r="B1156" s="197" t="s">
        <v>5842</v>
      </c>
      <c r="C1156" s="197">
        <v>1987</v>
      </c>
      <c r="D1156" s="213" t="str">
        <f t="shared" si="14"/>
        <v>2035_1987</v>
      </c>
      <c r="E1156" s="1268">
        <v>0.36914935787763098</v>
      </c>
      <c r="F1156" s="1279">
        <v>0.46470275879304002</v>
      </c>
      <c r="G1156" s="1255">
        <v>9.3440123386316198</v>
      </c>
      <c r="H1156" s="1279">
        <v>2.9043708762711198</v>
      </c>
      <c r="I1156" s="1255">
        <v>5.2317060685480199E-2</v>
      </c>
      <c r="J1156" s="1279">
        <v>7.4590527987110902E-3</v>
      </c>
      <c r="K1156" s="1255">
        <v>3.00000086130777E-3</v>
      </c>
      <c r="L1156" s="1253">
        <v>2.0000005740746E-3</v>
      </c>
      <c r="M1156" s="1273">
        <v>2.0000005740746E-3</v>
      </c>
      <c r="N1156" s="1255">
        <v>3.1850009128239903E-2</v>
      </c>
      <c r="O1156" s="1256">
        <v>3.1850009128239903E-2</v>
      </c>
      <c r="P1156" s="1251">
        <v>1.5925004564119952E-2</v>
      </c>
      <c r="Q1156" s="1254">
        <v>5.4682606016159097E-2</v>
      </c>
    </row>
    <row r="1157" spans="1:17" s="212" customFormat="1" ht="15.5" x14ac:dyDescent="0.35">
      <c r="A1157" s="198">
        <v>2035</v>
      </c>
      <c r="B1157" s="197" t="s">
        <v>5842</v>
      </c>
      <c r="C1157" s="197">
        <v>1988</v>
      </c>
      <c r="D1157" s="213" t="str">
        <f t="shared" si="14"/>
        <v>2035_1988</v>
      </c>
      <c r="E1157" s="1268">
        <v>0.36914935787763098</v>
      </c>
      <c r="F1157" s="1279">
        <v>0.46470275879304002</v>
      </c>
      <c r="G1157" s="1255">
        <v>9.3440123386316198</v>
      </c>
      <c r="H1157" s="1279">
        <v>2.9043708762711198</v>
      </c>
      <c r="I1157" s="1255">
        <v>5.2317060685480199E-2</v>
      </c>
      <c r="J1157" s="1279">
        <v>7.4590527987110902E-3</v>
      </c>
      <c r="K1157" s="1255">
        <v>3.00000086130777E-3</v>
      </c>
      <c r="L1157" s="1253">
        <v>2.0000005740746E-3</v>
      </c>
      <c r="M1157" s="1273">
        <v>2.0000005740746E-3</v>
      </c>
      <c r="N1157" s="1255">
        <v>3.1850009128239903E-2</v>
      </c>
      <c r="O1157" s="1256">
        <v>3.1850009128239903E-2</v>
      </c>
      <c r="P1157" s="1251">
        <v>1.5925004564119952E-2</v>
      </c>
      <c r="Q1157" s="1254">
        <v>5.4682606016159097E-2</v>
      </c>
    </row>
    <row r="1158" spans="1:17" s="212" customFormat="1" ht="15.5" x14ac:dyDescent="0.35">
      <c r="A1158" s="198">
        <v>2035</v>
      </c>
      <c r="B1158" s="197" t="s">
        <v>5842</v>
      </c>
      <c r="C1158" s="197">
        <v>1989</v>
      </c>
      <c r="D1158" s="213" t="str">
        <f t="shared" si="14"/>
        <v>2035_1989</v>
      </c>
      <c r="E1158" s="1268">
        <v>0.36914935787763098</v>
      </c>
      <c r="F1158" s="1279">
        <v>0.46470275879304002</v>
      </c>
      <c r="G1158" s="1255">
        <v>9.3440123386316198</v>
      </c>
      <c r="H1158" s="1279">
        <v>2.9043708762711198</v>
      </c>
      <c r="I1158" s="1255">
        <v>5.2317060685480199E-2</v>
      </c>
      <c r="J1158" s="1279">
        <v>7.4590527987110902E-3</v>
      </c>
      <c r="K1158" s="1255">
        <v>3.00000086130777E-3</v>
      </c>
      <c r="L1158" s="1253">
        <v>2.0000005740746E-3</v>
      </c>
      <c r="M1158" s="1273">
        <v>2.0000005740746E-3</v>
      </c>
      <c r="N1158" s="1255">
        <v>3.1850009128239903E-2</v>
      </c>
      <c r="O1158" s="1256">
        <v>3.1850009128239903E-2</v>
      </c>
      <c r="P1158" s="1251">
        <v>1.5925004564119952E-2</v>
      </c>
      <c r="Q1158" s="1254">
        <v>5.4682606016159097E-2</v>
      </c>
    </row>
    <row r="1159" spans="1:17" s="212" customFormat="1" ht="15.5" x14ac:dyDescent="0.35">
      <c r="A1159" s="198">
        <v>2035</v>
      </c>
      <c r="B1159" s="197" t="s">
        <v>5842</v>
      </c>
      <c r="C1159" s="197">
        <v>1990</v>
      </c>
      <c r="D1159" s="213" t="str">
        <f t="shared" si="14"/>
        <v>2035_1990</v>
      </c>
      <c r="E1159" s="1268">
        <v>0.36914935787763098</v>
      </c>
      <c r="F1159" s="1279">
        <v>0.46470275879304002</v>
      </c>
      <c r="G1159" s="1255">
        <v>9.3440123386316198</v>
      </c>
      <c r="H1159" s="1279">
        <v>2.9043708762711198</v>
      </c>
      <c r="I1159" s="1255">
        <v>5.2317060685480199E-2</v>
      </c>
      <c r="J1159" s="1279">
        <v>7.4590527987110902E-3</v>
      </c>
      <c r="K1159" s="1255">
        <v>3.00000086130777E-3</v>
      </c>
      <c r="L1159" s="1253">
        <v>2.0000005740746E-3</v>
      </c>
      <c r="M1159" s="1273">
        <v>2.0000005740746E-3</v>
      </c>
      <c r="N1159" s="1255">
        <v>3.1850009128239903E-2</v>
      </c>
      <c r="O1159" s="1256">
        <v>3.1850009128239903E-2</v>
      </c>
      <c r="P1159" s="1251">
        <v>1.5925004564119952E-2</v>
      </c>
      <c r="Q1159" s="1254">
        <v>5.4682606016159097E-2</v>
      </c>
    </row>
    <row r="1160" spans="1:17" s="212" customFormat="1" ht="15.5" x14ac:dyDescent="0.35">
      <c r="A1160" s="198">
        <v>2035</v>
      </c>
      <c r="B1160" s="197" t="s">
        <v>5842</v>
      </c>
      <c r="C1160" s="197">
        <v>1991</v>
      </c>
      <c r="D1160" s="213" t="str">
        <f t="shared" si="14"/>
        <v>2035_1991</v>
      </c>
      <c r="E1160" s="1267">
        <v>0.36914935787763098</v>
      </c>
      <c r="F1160" s="1278">
        <v>0.46470275879304002</v>
      </c>
      <c r="G1160" s="1248">
        <v>9.3440123386316198</v>
      </c>
      <c r="H1160" s="1278">
        <v>2.9043708762711198</v>
      </c>
      <c r="I1160" s="1248">
        <v>5.2317060685480199E-2</v>
      </c>
      <c r="J1160" s="1278">
        <v>7.4590527987110902E-3</v>
      </c>
      <c r="K1160" s="1248">
        <v>3.00000086130777E-3</v>
      </c>
      <c r="L1160" s="1250">
        <v>2.0000005740746E-3</v>
      </c>
      <c r="M1160" s="1273">
        <v>2.0000005740746E-3</v>
      </c>
      <c r="N1160" s="1248">
        <v>3.1850009128239903E-2</v>
      </c>
      <c r="O1160" s="1249">
        <v>3.1850009128239903E-2</v>
      </c>
      <c r="P1160" s="1251">
        <v>1.5925004564119952E-2</v>
      </c>
      <c r="Q1160" s="1252">
        <v>5.4682606016159097E-2</v>
      </c>
    </row>
    <row r="1161" spans="1:17" s="212" customFormat="1" ht="15.5" x14ac:dyDescent="0.35">
      <c r="A1161" s="198">
        <v>2035</v>
      </c>
      <c r="B1161" s="197" t="s">
        <v>5842</v>
      </c>
      <c r="C1161" s="197">
        <v>1992</v>
      </c>
      <c r="D1161" s="213" t="str">
        <f t="shared" si="14"/>
        <v>2035_1992</v>
      </c>
      <c r="E1161" s="1267">
        <v>0.36998417141674</v>
      </c>
      <c r="F1161" s="1278">
        <v>0.46851128922171797</v>
      </c>
      <c r="G1161" s="1248">
        <v>9.3347417940070603</v>
      </c>
      <c r="H1161" s="1278">
        <v>2.9089487565721499</v>
      </c>
      <c r="I1161" s="1248">
        <v>5.2435373204937803E-2</v>
      </c>
      <c r="J1161" s="1278">
        <v>7.5497698021625096E-3</v>
      </c>
      <c r="K1161" s="1248">
        <v>3.0000008612892401E-3</v>
      </c>
      <c r="L1161" s="1250">
        <v>2.0000005741462701E-3</v>
      </c>
      <c r="M1161" s="1273">
        <v>2.0000005741462701E-3</v>
      </c>
      <c r="N1161" s="1248">
        <v>3.1850009128239903E-2</v>
      </c>
      <c r="O1161" s="1249">
        <v>3.1850009128239903E-2</v>
      </c>
      <c r="P1161" s="1251">
        <v>1.5925004564119952E-2</v>
      </c>
      <c r="Q1161" s="1252">
        <v>5.4806268102742597E-2</v>
      </c>
    </row>
    <row r="1162" spans="1:17" s="212" customFormat="1" ht="15.5" x14ac:dyDescent="0.35">
      <c r="A1162" s="198">
        <v>2035</v>
      </c>
      <c r="B1162" s="197" t="s">
        <v>5842</v>
      </c>
      <c r="C1162" s="197">
        <v>1993</v>
      </c>
      <c r="D1162" s="213" t="str">
        <f t="shared" si="14"/>
        <v>2035_1993</v>
      </c>
      <c r="E1162" s="1267">
        <v>0.37174635064592498</v>
      </c>
      <c r="F1162" s="1278">
        <v>0.459022069758804</v>
      </c>
      <c r="G1162" s="1248">
        <v>9.3027584024991192</v>
      </c>
      <c r="H1162" s="1278">
        <v>2.88895901773863</v>
      </c>
      <c r="I1162" s="1248">
        <v>5.2685115038980102E-2</v>
      </c>
      <c r="J1162" s="1278">
        <v>7.4252811377348302E-3</v>
      </c>
      <c r="K1162" s="1248">
        <v>3.0000008613487701E-3</v>
      </c>
      <c r="L1162" s="1250">
        <v>2.00000057407321E-3</v>
      </c>
      <c r="M1162" s="1273">
        <v>2.00000057407321E-3</v>
      </c>
      <c r="N1162" s="1248">
        <v>3.1850009128239903E-2</v>
      </c>
      <c r="O1162" s="1249">
        <v>3.1850009128239903E-2</v>
      </c>
      <c r="P1162" s="1251">
        <v>1.5925004564119952E-2</v>
      </c>
      <c r="Q1162" s="1252">
        <v>5.5067302154307302E-2</v>
      </c>
    </row>
    <row r="1163" spans="1:17" s="212" customFormat="1" ht="15.5" x14ac:dyDescent="0.35">
      <c r="A1163" s="198">
        <v>2035</v>
      </c>
      <c r="B1163" s="197" t="s">
        <v>5842</v>
      </c>
      <c r="C1163" s="197">
        <v>1994</v>
      </c>
      <c r="D1163" s="213" t="str">
        <f t="shared" si="14"/>
        <v>2035_1994</v>
      </c>
      <c r="E1163" s="1267">
        <v>0.36576247245487797</v>
      </c>
      <c r="F1163" s="1278">
        <v>0.45575999573099601</v>
      </c>
      <c r="G1163" s="1248">
        <v>9.3960266138115607</v>
      </c>
      <c r="H1163" s="1278">
        <v>2.88076803695404</v>
      </c>
      <c r="I1163" s="1248">
        <v>5.2372932933053798E-2</v>
      </c>
      <c r="J1163" s="1278">
        <v>7.3957266201346997E-3</v>
      </c>
      <c r="K1163" s="1248">
        <v>3.0000008612669701E-3</v>
      </c>
      <c r="L1163" s="1250">
        <v>2.0000005740609199E-3</v>
      </c>
      <c r="M1163" s="1273">
        <v>2.0000005740609199E-3</v>
      </c>
      <c r="N1163" s="1248">
        <v>3.1850009128239903E-2</v>
      </c>
      <c r="O1163" s="1249">
        <v>3.1850009128239903E-2</v>
      </c>
      <c r="P1163" s="1251">
        <v>1.5925004564119952E-2</v>
      </c>
      <c r="Q1163" s="1252">
        <v>5.4741004558838603E-2</v>
      </c>
    </row>
    <row r="1164" spans="1:17" s="212" customFormat="1" ht="15.5" x14ac:dyDescent="0.35">
      <c r="A1164" s="198">
        <v>2035</v>
      </c>
      <c r="B1164" s="197" t="s">
        <v>5842</v>
      </c>
      <c r="C1164" s="197">
        <v>1995</v>
      </c>
      <c r="D1164" s="213" t="str">
        <f t="shared" si="14"/>
        <v>2035_1995</v>
      </c>
      <c r="E1164" s="1267">
        <v>0.36790719897158802</v>
      </c>
      <c r="F1164" s="1278">
        <v>0.24451701999233999</v>
      </c>
      <c r="G1164" s="1248">
        <v>9.3812543728942792</v>
      </c>
      <c r="H1164" s="1278">
        <v>1.64631894959289</v>
      </c>
      <c r="I1164" s="1248">
        <v>5.2680032831153002E-2</v>
      </c>
      <c r="J1164" s="1278">
        <v>4.8541325335161598E-3</v>
      </c>
      <c r="K1164" s="1248">
        <v>3.0000008612615201E-3</v>
      </c>
      <c r="L1164" s="1250">
        <v>2.0000005741275901E-3</v>
      </c>
      <c r="M1164" s="1273">
        <v>2.0000005741275901E-3</v>
      </c>
      <c r="N1164" s="1248">
        <v>3.1850009128239903E-2</v>
      </c>
      <c r="O1164" s="1249">
        <v>3.1850009128239903E-2</v>
      </c>
      <c r="P1164" s="1251">
        <v>1.5925004564119952E-2</v>
      </c>
      <c r="Q1164" s="1252">
        <v>5.5061990151594201E-2</v>
      </c>
    </row>
    <row r="1165" spans="1:17" s="212" customFormat="1" ht="15.5" x14ac:dyDescent="0.35">
      <c r="A1165" s="198">
        <v>2035</v>
      </c>
      <c r="B1165" s="197" t="s">
        <v>5842</v>
      </c>
      <c r="C1165" s="197">
        <v>1996</v>
      </c>
      <c r="D1165" s="213" t="str">
        <f t="shared" si="14"/>
        <v>2035_1996</v>
      </c>
      <c r="E1165" s="1267">
        <v>0.36930827527626903</v>
      </c>
      <c r="F1165" s="1278">
        <v>2.2392540134235701E-2</v>
      </c>
      <c r="G1165" s="1248">
        <v>9.3570655097631796</v>
      </c>
      <c r="H1165" s="1278">
        <v>0.39328267223111402</v>
      </c>
      <c r="I1165" s="1248">
        <v>5.2880650666128397E-2</v>
      </c>
      <c r="J1165" s="1278">
        <v>2.1829398395143301E-3</v>
      </c>
      <c r="K1165" s="1248">
        <v>3.0000008612951698E-3</v>
      </c>
      <c r="L1165" s="1250">
        <v>2.0000005741435301E-3</v>
      </c>
      <c r="M1165" s="1273">
        <v>2.0000005741435301E-3</v>
      </c>
      <c r="N1165" s="1248">
        <v>3.1850009128239903E-2</v>
      </c>
      <c r="O1165" s="1249">
        <v>3.1850009128239903E-2</v>
      </c>
      <c r="P1165" s="1251">
        <v>1.5925004564119952E-2</v>
      </c>
      <c r="Q1165" s="1252">
        <v>5.5271679034838803E-2</v>
      </c>
    </row>
    <row r="1166" spans="1:17" s="212" customFormat="1" ht="15.5" x14ac:dyDescent="0.35">
      <c r="A1166" s="198">
        <v>2035</v>
      </c>
      <c r="B1166" s="197" t="s">
        <v>5842</v>
      </c>
      <c r="C1166" s="197">
        <v>1997</v>
      </c>
      <c r="D1166" s="213" t="str">
        <f t="shared" si="14"/>
        <v>2035_1997</v>
      </c>
      <c r="E1166" s="1267">
        <v>0.37114336581236301</v>
      </c>
      <c r="F1166" s="1278">
        <v>2.15035475099013E-2</v>
      </c>
      <c r="G1166" s="1248">
        <v>9.3127414596231208</v>
      </c>
      <c r="H1166" s="1278">
        <v>0.38783751885870998</v>
      </c>
      <c r="I1166" s="1248">
        <v>5.3143414292281498E-2</v>
      </c>
      <c r="J1166" s="1278">
        <v>2.1002758944036401E-3</v>
      </c>
      <c r="K1166" s="1248">
        <v>3.0000008612961699E-3</v>
      </c>
      <c r="L1166" s="1250">
        <v>2.0000005740602399E-3</v>
      </c>
      <c r="M1166" s="1273">
        <v>2.0000005740602399E-3</v>
      </c>
      <c r="N1166" s="1248">
        <v>3.1850009128239903E-2</v>
      </c>
      <c r="O1166" s="1249">
        <v>3.1850009128239903E-2</v>
      </c>
      <c r="P1166" s="1251">
        <v>1.5925004564119952E-2</v>
      </c>
      <c r="Q1166" s="1252">
        <v>5.55463236661701E-2</v>
      </c>
    </row>
    <row r="1167" spans="1:17" s="212" customFormat="1" ht="15.5" x14ac:dyDescent="0.35">
      <c r="A1167" s="198">
        <v>2035</v>
      </c>
      <c r="B1167" s="197" t="s">
        <v>5842</v>
      </c>
      <c r="C1167" s="197">
        <v>1998</v>
      </c>
      <c r="D1167" s="213" t="str">
        <f t="shared" si="14"/>
        <v>2035_1998</v>
      </c>
      <c r="E1167" s="1267">
        <v>0.372679693227082</v>
      </c>
      <c r="F1167" s="1278">
        <v>2.1790972682343101E-2</v>
      </c>
      <c r="G1167" s="1248">
        <v>9.3000367219604794</v>
      </c>
      <c r="H1167" s="1278">
        <v>0.38986857697454202</v>
      </c>
      <c r="I1167" s="1248">
        <v>5.3363398513500901E-2</v>
      </c>
      <c r="J1167" s="1278">
        <v>2.1312167313847002E-3</v>
      </c>
      <c r="K1167" s="1248">
        <v>3.00000086137691E-3</v>
      </c>
      <c r="L1167" s="1250">
        <v>2.0000005741018902E-3</v>
      </c>
      <c r="M1167" s="1273">
        <v>2.0000005741018902E-3</v>
      </c>
      <c r="N1167" s="1248">
        <v>3.1850009128239903E-2</v>
      </c>
      <c r="O1167" s="1249">
        <v>3.1850009128239903E-2</v>
      </c>
      <c r="P1167" s="1251">
        <v>1.5925004564119952E-2</v>
      </c>
      <c r="Q1167" s="1252">
        <v>5.5776254597707499E-2</v>
      </c>
    </row>
    <row r="1168" spans="1:17" s="212" customFormat="1" ht="15.5" x14ac:dyDescent="0.35">
      <c r="A1168" s="198">
        <v>2035</v>
      </c>
      <c r="B1168" s="197" t="s">
        <v>5842</v>
      </c>
      <c r="C1168" s="197">
        <v>1999</v>
      </c>
      <c r="D1168" s="213" t="str">
        <f t="shared" si="14"/>
        <v>2035_1999</v>
      </c>
      <c r="E1168" s="1267">
        <v>0.37063132330246501</v>
      </c>
      <c r="F1168" s="1278">
        <v>2.1840760985593399E-2</v>
      </c>
      <c r="G1168" s="1248">
        <v>9.3315204599759998</v>
      </c>
      <c r="H1168" s="1278">
        <v>0.390174059723151</v>
      </c>
      <c r="I1168" s="1248">
        <v>5.3070095758945397E-2</v>
      </c>
      <c r="J1168" s="1278">
        <v>2.1313703383972499E-3</v>
      </c>
      <c r="K1168" s="1248">
        <v>3.0000008613422298E-3</v>
      </c>
      <c r="L1168" s="1250">
        <v>2.00000057411704E-3</v>
      </c>
      <c r="M1168" s="1273">
        <v>2.00000057411704E-3</v>
      </c>
      <c r="N1168" s="1248">
        <v>3.1850009128239903E-2</v>
      </c>
      <c r="O1168" s="1249">
        <v>3.1850009128239903E-2</v>
      </c>
      <c r="P1168" s="1251">
        <v>1.5925004564119952E-2</v>
      </c>
      <c r="Q1168" s="1252">
        <v>5.5469689994102699E-2</v>
      </c>
    </row>
    <row r="1169" spans="1:17" s="212" customFormat="1" ht="15.5" x14ac:dyDescent="0.35">
      <c r="A1169" s="198">
        <v>2035</v>
      </c>
      <c r="B1169" s="197" t="s">
        <v>5842</v>
      </c>
      <c r="C1169" s="197">
        <v>2000</v>
      </c>
      <c r="D1169" s="213" t="str">
        <f t="shared" si="14"/>
        <v>2035_2000</v>
      </c>
      <c r="E1169" s="1267">
        <v>0.36689144787577799</v>
      </c>
      <c r="F1169" s="1278">
        <v>2.21333072649866E-2</v>
      </c>
      <c r="G1169" s="1248">
        <v>9.4086625487974302</v>
      </c>
      <c r="H1169" s="1278">
        <v>0.39271619456746498</v>
      </c>
      <c r="I1169" s="1248">
        <v>5.2534589085487998E-2</v>
      </c>
      <c r="J1169" s="1278">
        <v>2.1632141650805101E-3</v>
      </c>
      <c r="K1169" s="1248">
        <v>3.0000008612600499E-3</v>
      </c>
      <c r="L1169" s="1250">
        <v>2.00000057415605E-3</v>
      </c>
      <c r="M1169" s="1273">
        <v>2.00000057415605E-3</v>
      </c>
      <c r="N1169" s="1248">
        <v>3.1850009128239903E-2</v>
      </c>
      <c r="O1169" s="1249">
        <v>3.1850009128239903E-2</v>
      </c>
      <c r="P1169" s="1251">
        <v>1.5925004564119952E-2</v>
      </c>
      <c r="Q1169" s="1252">
        <v>5.4909970085147301E-2</v>
      </c>
    </row>
    <row r="1170" spans="1:17" s="212" customFormat="1" ht="15.5" x14ac:dyDescent="0.35">
      <c r="A1170" s="198">
        <v>2035</v>
      </c>
      <c r="B1170" s="197" t="s">
        <v>5842</v>
      </c>
      <c r="C1170" s="197">
        <v>2001</v>
      </c>
      <c r="D1170" s="213" t="str">
        <f t="shared" si="14"/>
        <v>2035_2001</v>
      </c>
      <c r="E1170" s="1267">
        <v>0.37035936837496602</v>
      </c>
      <c r="F1170" s="1278">
        <v>2.2222216898169601E-2</v>
      </c>
      <c r="G1170" s="1248">
        <v>9.3372266139560995</v>
      </c>
      <c r="H1170" s="1278">
        <v>0.39401341359775099</v>
      </c>
      <c r="I1170" s="1248">
        <v>5.3031154975646498E-2</v>
      </c>
      <c r="J1170" s="1278">
        <v>2.1744710540362502E-3</v>
      </c>
      <c r="K1170" s="1248">
        <v>3.0000008613407601E-3</v>
      </c>
      <c r="L1170" s="1250">
        <v>2.0000005741852298E-3</v>
      </c>
      <c r="M1170" s="1273">
        <v>2.0000005741852298E-3</v>
      </c>
      <c r="N1170" s="1248">
        <v>3.1850009128239903E-2</v>
      </c>
      <c r="O1170" s="1249">
        <v>3.1850009128239903E-2</v>
      </c>
      <c r="P1170" s="1251">
        <v>1.5925004564119952E-2</v>
      </c>
      <c r="Q1170" s="1252">
        <v>5.5428988481380302E-2</v>
      </c>
    </row>
    <row r="1171" spans="1:17" s="212" customFormat="1" ht="15.5" x14ac:dyDescent="0.35">
      <c r="A1171" s="198">
        <v>2035</v>
      </c>
      <c r="B1171" s="197" t="s">
        <v>5842</v>
      </c>
      <c r="C1171" s="197">
        <v>2002</v>
      </c>
      <c r="D1171" s="213" t="str">
        <f t="shared" si="14"/>
        <v>2035_2002</v>
      </c>
      <c r="E1171" s="1267">
        <v>0.28714020358305498</v>
      </c>
      <c r="F1171" s="1278">
        <v>2.2156381880475799E-2</v>
      </c>
      <c r="G1171" s="1248">
        <v>7.1956277496331396</v>
      </c>
      <c r="H1171" s="1278">
        <v>0.31759693236863301</v>
      </c>
      <c r="I1171" s="1248">
        <v>5.35223332788528E-2</v>
      </c>
      <c r="J1171" s="1278">
        <v>2.1720510700582799E-3</v>
      </c>
      <c r="K1171" s="1248">
        <v>3.0000008613542601E-3</v>
      </c>
      <c r="L1171" s="1250">
        <v>2.0000005741604302E-3</v>
      </c>
      <c r="M1171" s="1273">
        <v>2.0000005741604302E-3</v>
      </c>
      <c r="N1171" s="1248">
        <v>3.1850009128239903E-2</v>
      </c>
      <c r="O1171" s="1249">
        <v>3.1850009128239903E-2</v>
      </c>
      <c r="P1171" s="1251">
        <v>1.5925004564119952E-2</v>
      </c>
      <c r="Q1171" s="1252">
        <v>5.5942375687886098E-2</v>
      </c>
    </row>
    <row r="1172" spans="1:17" s="212" customFormat="1" ht="15.5" x14ac:dyDescent="0.35">
      <c r="A1172" s="198">
        <v>2035</v>
      </c>
      <c r="B1172" s="197" t="s">
        <v>5842</v>
      </c>
      <c r="C1172" s="197">
        <v>2003</v>
      </c>
      <c r="D1172" s="213" t="str">
        <f t="shared" si="14"/>
        <v>2035_2003</v>
      </c>
      <c r="E1172" s="1267">
        <v>0.28461974474056101</v>
      </c>
      <c r="F1172" s="1278">
        <v>2.1845580497876601E-2</v>
      </c>
      <c r="G1172" s="1248">
        <v>7.2389966950261497</v>
      </c>
      <c r="H1172" s="1278">
        <v>0.31688847730393499</v>
      </c>
      <c r="I1172" s="1248">
        <v>5.3052525023163703E-2</v>
      </c>
      <c r="J1172" s="1278">
        <v>2.1405432215019799E-3</v>
      </c>
      <c r="K1172" s="1248">
        <v>3.0000008612795399E-3</v>
      </c>
      <c r="L1172" s="1250">
        <v>2.0000005741460298E-3</v>
      </c>
      <c r="M1172" s="1273">
        <v>2.0000005741460298E-3</v>
      </c>
      <c r="N1172" s="1248">
        <v>3.1850009128239903E-2</v>
      </c>
      <c r="O1172" s="1249">
        <v>3.1850009128239903E-2</v>
      </c>
      <c r="P1172" s="1251">
        <v>1.5925004564119952E-2</v>
      </c>
      <c r="Q1172" s="1252">
        <v>5.5451324787618002E-2</v>
      </c>
    </row>
    <row r="1173" spans="1:17" s="212" customFormat="1" ht="15.5" x14ac:dyDescent="0.35">
      <c r="A1173" s="198">
        <v>2035</v>
      </c>
      <c r="B1173" s="197" t="s">
        <v>5842</v>
      </c>
      <c r="C1173" s="197">
        <v>2004</v>
      </c>
      <c r="D1173" s="213" t="str">
        <f t="shared" si="14"/>
        <v>2035_2004</v>
      </c>
      <c r="E1173" s="1267">
        <v>0.57663609541376504</v>
      </c>
      <c r="F1173" s="1278">
        <v>1.4300631914788199E-2</v>
      </c>
      <c r="G1173" s="1248">
        <v>4.1442904316180202</v>
      </c>
      <c r="H1173" s="1278">
        <v>0.267973762569097</v>
      </c>
      <c r="I1173" s="1248">
        <v>0.15021834319872299</v>
      </c>
      <c r="J1173" s="1278">
        <v>1.39180972238528E-4</v>
      </c>
      <c r="K1173" s="1248">
        <v>3.0000008612740599E-3</v>
      </c>
      <c r="L1173" s="1250">
        <v>2.0000005740807201E-3</v>
      </c>
      <c r="M1173" s="1273">
        <v>2.0000005740807201E-3</v>
      </c>
      <c r="N1173" s="1248">
        <v>3.1850009128239903E-2</v>
      </c>
      <c r="O1173" s="1249">
        <v>3.1850009128239903E-2</v>
      </c>
      <c r="P1173" s="1251">
        <v>1.5925004564119952E-2</v>
      </c>
      <c r="Q1173" s="1252">
        <v>0.157010550094144</v>
      </c>
    </row>
    <row r="1174" spans="1:17" s="212" customFormat="1" ht="15.5" x14ac:dyDescent="0.35">
      <c r="A1174" s="198">
        <v>2035</v>
      </c>
      <c r="B1174" s="197" t="s">
        <v>5842</v>
      </c>
      <c r="C1174" s="197">
        <v>2005</v>
      </c>
      <c r="D1174" s="213" t="str">
        <f t="shared" si="14"/>
        <v>2035_2005</v>
      </c>
      <c r="E1174" s="1267">
        <v>0.57440637368655101</v>
      </c>
      <c r="F1174" s="1278">
        <v>1.4441496006045801E-2</v>
      </c>
      <c r="G1174" s="1248">
        <v>4.1371434030957897</v>
      </c>
      <c r="H1174" s="1278">
        <v>0.27000131154031698</v>
      </c>
      <c r="I1174" s="1248">
        <v>0.14972139197713999</v>
      </c>
      <c r="J1174" s="1278">
        <v>1.4110989078443701E-4</v>
      </c>
      <c r="K1174" s="1248">
        <v>3.0000008612499599E-3</v>
      </c>
      <c r="L1174" s="1250">
        <v>2.0000005741191702E-3</v>
      </c>
      <c r="M1174" s="1273">
        <v>2.0000005741191702E-3</v>
      </c>
      <c r="N1174" s="1248">
        <v>3.1850009128239903E-2</v>
      </c>
      <c r="O1174" s="1249">
        <v>3.1850009128239903E-2</v>
      </c>
      <c r="P1174" s="1251">
        <v>1.5925004564119952E-2</v>
      </c>
      <c r="Q1174" s="1252">
        <v>0.156491128943509</v>
      </c>
    </row>
    <row r="1175" spans="1:17" s="212" customFormat="1" ht="15.5" x14ac:dyDescent="0.35">
      <c r="A1175" s="198">
        <v>2035</v>
      </c>
      <c r="B1175" s="197" t="s">
        <v>5842</v>
      </c>
      <c r="C1175" s="197">
        <v>2006</v>
      </c>
      <c r="D1175" s="213" t="str">
        <f t="shared" si="14"/>
        <v>2035_2006</v>
      </c>
      <c r="E1175" s="1267">
        <v>0.57072072156977005</v>
      </c>
      <c r="F1175" s="1278">
        <v>1.46033404274113E-2</v>
      </c>
      <c r="G1175" s="1248">
        <v>4.1244184695780799</v>
      </c>
      <c r="H1175" s="1278">
        <v>0.27204759427602199</v>
      </c>
      <c r="I1175" s="1248">
        <v>0.14889324234676801</v>
      </c>
      <c r="J1175" s="1278">
        <v>1.4209090657398799E-4</v>
      </c>
      <c r="K1175" s="1248">
        <v>3.0000008612365001E-3</v>
      </c>
      <c r="L1175" s="1250">
        <v>2.0000005741342098E-3</v>
      </c>
      <c r="M1175" s="1273">
        <v>2.0000005741342098E-3</v>
      </c>
      <c r="N1175" s="1248">
        <v>3.1850009128239903E-2</v>
      </c>
      <c r="O1175" s="1249">
        <v>3.1850009128239903E-2</v>
      </c>
      <c r="P1175" s="1251">
        <v>1.5925004564119952E-2</v>
      </c>
      <c r="Q1175" s="1252">
        <v>0.15562553406171101</v>
      </c>
    </row>
    <row r="1176" spans="1:17" s="212" customFormat="1" ht="15.5" x14ac:dyDescent="0.35">
      <c r="A1176" s="198">
        <v>2035</v>
      </c>
      <c r="B1176" s="197" t="s">
        <v>5842</v>
      </c>
      <c r="C1176" s="197">
        <v>2007</v>
      </c>
      <c r="D1176" s="213" t="str">
        <f t="shared" si="14"/>
        <v>2035_2007</v>
      </c>
      <c r="E1176" s="1267">
        <v>0.33295902372991198</v>
      </c>
      <c r="F1176" s="1278">
        <v>1.4544043359708899E-2</v>
      </c>
      <c r="G1176" s="1248">
        <v>2.4828575056671802</v>
      </c>
      <c r="H1176" s="1278">
        <v>0.27288833923952399</v>
      </c>
      <c r="I1176" s="1248">
        <v>8.7444104708900405E-2</v>
      </c>
      <c r="J1176" s="1278">
        <v>1.4516653067795699E-4</v>
      </c>
      <c r="K1176" s="1248">
        <v>3.0000008612396899E-3</v>
      </c>
      <c r="L1176" s="1250">
        <v>2.0000005741884598E-3</v>
      </c>
      <c r="M1176" s="1273">
        <v>2.0000005741884598E-3</v>
      </c>
      <c r="N1176" s="1248">
        <v>3.1850009128239903E-2</v>
      </c>
      <c r="O1176" s="1249">
        <v>3.1850009128239903E-2</v>
      </c>
      <c r="P1176" s="1251">
        <v>1.5925004564119952E-2</v>
      </c>
      <c r="Q1176" s="1252">
        <v>9.1397939096369105E-2</v>
      </c>
    </row>
    <row r="1177" spans="1:17" s="212" customFormat="1" ht="15.5" x14ac:dyDescent="0.35">
      <c r="A1177" s="198">
        <v>2035</v>
      </c>
      <c r="B1177" s="197" t="s">
        <v>5842</v>
      </c>
      <c r="C1177" s="197">
        <v>2008</v>
      </c>
      <c r="D1177" s="213" t="str">
        <f t="shared" si="14"/>
        <v>2035_2008</v>
      </c>
      <c r="E1177" s="1267">
        <v>0.34044972153378</v>
      </c>
      <c r="F1177" s="1278">
        <v>9.8925220296797005E-3</v>
      </c>
      <c r="G1177" s="1248">
        <v>2.5069433598986501</v>
      </c>
      <c r="H1177" s="1278">
        <v>0.158501196199232</v>
      </c>
      <c r="I1177" s="1248">
        <v>8.9008811781731395E-2</v>
      </c>
      <c r="J1177" s="1278">
        <v>1.4140152770101701E-4</v>
      </c>
      <c r="K1177" s="1248">
        <v>3.0000008613269898E-3</v>
      </c>
      <c r="L1177" s="1250">
        <v>2.0000005742132E-3</v>
      </c>
      <c r="M1177" s="1273">
        <v>2.0000005742132E-3</v>
      </c>
      <c r="N1177" s="1248">
        <v>3.1850009128239903E-2</v>
      </c>
      <c r="O1177" s="1249">
        <v>3.1850009128239903E-2</v>
      </c>
      <c r="P1177" s="1251">
        <v>1.5925004564119952E-2</v>
      </c>
      <c r="Q1177" s="1252">
        <v>9.3033395279748701E-2</v>
      </c>
    </row>
    <row r="1178" spans="1:17" s="212" customFormat="1" ht="15.5" x14ac:dyDescent="0.35">
      <c r="A1178" s="198">
        <v>2035</v>
      </c>
      <c r="B1178" s="197" t="s">
        <v>5842</v>
      </c>
      <c r="C1178" s="197">
        <v>2009</v>
      </c>
      <c r="D1178" s="213" t="str">
        <f t="shared" si="14"/>
        <v>2035_2009</v>
      </c>
      <c r="E1178" s="1267">
        <v>0.33888504119100998</v>
      </c>
      <c r="F1178" s="1278">
        <v>4.8221016013096198E-3</v>
      </c>
      <c r="G1178" s="1248">
        <v>2.5018844002902498</v>
      </c>
      <c r="H1178" s="1278">
        <v>4.2901880345162999E-2</v>
      </c>
      <c r="I1178" s="1248">
        <v>8.8665606443223605E-2</v>
      </c>
      <c r="J1178" s="1278">
        <v>1.2996285888967299E-4</v>
      </c>
      <c r="K1178" s="1248">
        <v>3.0000008612875101E-3</v>
      </c>
      <c r="L1178" s="1250">
        <v>2.0000005741570002E-3</v>
      </c>
      <c r="M1178" s="1273">
        <v>2.0000005741570002E-3</v>
      </c>
      <c r="N1178" s="1248">
        <v>3.1850009128239903E-2</v>
      </c>
      <c r="O1178" s="1249">
        <v>3.1850009128239903E-2</v>
      </c>
      <c r="P1178" s="1251">
        <v>1.5925004564119952E-2</v>
      </c>
      <c r="Q1178" s="1252">
        <v>9.2674671718784796E-2</v>
      </c>
    </row>
    <row r="1179" spans="1:17" s="212" customFormat="1" ht="15.5" x14ac:dyDescent="0.35">
      <c r="A1179" s="198">
        <v>2035</v>
      </c>
      <c r="B1179" s="197" t="s">
        <v>5842</v>
      </c>
      <c r="C1179" s="197">
        <v>2010</v>
      </c>
      <c r="D1179" s="213" t="str">
        <f t="shared" si="14"/>
        <v>2035_2010</v>
      </c>
      <c r="E1179" s="1267">
        <v>9.0354158305797197E-2</v>
      </c>
      <c r="F1179" s="1278">
        <v>4.8310580018442696E-3</v>
      </c>
      <c r="G1179" s="1248">
        <v>0.825333338564889</v>
      </c>
      <c r="H1179" s="1278">
        <v>4.3266244281814498E-2</v>
      </c>
      <c r="I1179" s="1248">
        <v>2.4819057298614802E-2</v>
      </c>
      <c r="J1179" s="1278">
        <v>1.5873947428828901E-4</v>
      </c>
      <c r="K1179" s="1248">
        <v>3.00000086133273E-3</v>
      </c>
      <c r="L1179" s="1250">
        <v>2.0000005741342098E-3</v>
      </c>
      <c r="M1179" s="1273">
        <v>2.0000005741342098E-3</v>
      </c>
      <c r="N1179" s="1248">
        <v>3.1850009128239903E-2</v>
      </c>
      <c r="O1179" s="1249">
        <v>3.1850009128239903E-2</v>
      </c>
      <c r="P1179" s="1251">
        <v>1.5925004564119952E-2</v>
      </c>
      <c r="Q1179" s="1252">
        <v>2.59412649367225E-2</v>
      </c>
    </row>
    <row r="1180" spans="1:17" s="212" customFormat="1" ht="15.5" x14ac:dyDescent="0.35">
      <c r="A1180" s="198">
        <v>2035</v>
      </c>
      <c r="B1180" s="197" t="s">
        <v>5842</v>
      </c>
      <c r="C1180" s="197">
        <v>2011</v>
      </c>
      <c r="D1180" s="213" t="str">
        <f t="shared" si="14"/>
        <v>2035_2011</v>
      </c>
      <c r="E1180" s="1267">
        <v>8.9522729937594095E-2</v>
      </c>
      <c r="F1180" s="1278">
        <v>5.0230641618582896E-3</v>
      </c>
      <c r="G1180" s="1248">
        <v>0.82191761170811295</v>
      </c>
      <c r="H1180" s="1278">
        <v>4.3168263595208499E-2</v>
      </c>
      <c r="I1180" s="1248">
        <v>2.46642695960957E-2</v>
      </c>
      <c r="J1180" s="1278">
        <v>2.17029933767165E-4</v>
      </c>
      <c r="K1180" s="1248">
        <v>3.00000086130383E-3</v>
      </c>
      <c r="L1180" s="1250">
        <v>2.00000057423393E-3</v>
      </c>
      <c r="M1180" s="1273">
        <v>2.00000057423393E-3</v>
      </c>
      <c r="N1180" s="1248">
        <v>3.1850009128239903E-2</v>
      </c>
      <c r="O1180" s="1249">
        <v>3.1850009128239903E-2</v>
      </c>
      <c r="P1180" s="1251">
        <v>1.5925004564119952E-2</v>
      </c>
      <c r="Q1180" s="1252">
        <v>2.5779478421155799E-2</v>
      </c>
    </row>
    <row r="1181" spans="1:17" s="212" customFormat="1" ht="15.5" x14ac:dyDescent="0.35">
      <c r="A1181" s="198">
        <v>2035</v>
      </c>
      <c r="B1181" s="197" t="s">
        <v>5842</v>
      </c>
      <c r="C1181" s="197">
        <v>2012</v>
      </c>
      <c r="D1181" s="213" t="str">
        <f t="shared" si="14"/>
        <v>2035_2012</v>
      </c>
      <c r="E1181" s="1267">
        <v>9.0184587376607603E-2</v>
      </c>
      <c r="F1181" s="1278">
        <v>5.0097567682916401E-3</v>
      </c>
      <c r="G1181" s="1248">
        <v>0.823945084814941</v>
      </c>
      <c r="H1181" s="1278">
        <v>4.3128962686218797E-2</v>
      </c>
      <c r="I1181" s="1248">
        <v>2.4750211588124699E-2</v>
      </c>
      <c r="J1181" s="1278">
        <v>3.16905681999282E-4</v>
      </c>
      <c r="K1181" s="1248">
        <v>3.0000008613620499E-3</v>
      </c>
      <c r="L1181" s="1250">
        <v>2.0000005742425099E-3</v>
      </c>
      <c r="M1181" s="1273">
        <v>2.0000005742425099E-3</v>
      </c>
      <c r="N1181" s="1248">
        <v>3.1850009128239903E-2</v>
      </c>
      <c r="O1181" s="1249">
        <v>3.1850009128239903E-2</v>
      </c>
      <c r="P1181" s="1251">
        <v>1.5925004564119952E-2</v>
      </c>
      <c r="Q1181" s="1252">
        <v>2.58693063287024E-2</v>
      </c>
    </row>
    <row r="1182" spans="1:17" s="212" customFormat="1" ht="15.5" x14ac:dyDescent="0.35">
      <c r="A1182" s="198">
        <v>2035</v>
      </c>
      <c r="B1182" s="197" t="s">
        <v>5842</v>
      </c>
      <c r="C1182" s="197">
        <v>2013</v>
      </c>
      <c r="D1182" s="213" t="str">
        <f t="shared" si="14"/>
        <v>2035_2013</v>
      </c>
      <c r="E1182" s="1267">
        <v>9.0023673346219094E-2</v>
      </c>
      <c r="F1182" s="1278">
        <v>5.0684724263199499E-3</v>
      </c>
      <c r="G1182" s="1248">
        <v>0.82034432570249505</v>
      </c>
      <c r="H1182" s="1278">
        <v>4.2808611543522203E-2</v>
      </c>
      <c r="I1182" s="1248">
        <v>2.46190251466483E-2</v>
      </c>
      <c r="J1182" s="1278">
        <v>4.7579085777362998E-4</v>
      </c>
      <c r="K1182" s="1248">
        <v>3.0000008613859002E-3</v>
      </c>
      <c r="L1182" s="1250">
        <v>2.0000005742785401E-3</v>
      </c>
      <c r="M1182" s="1273">
        <v>2.0000005742785401E-3</v>
      </c>
      <c r="N1182" s="1248">
        <v>3.1850009128239903E-2</v>
      </c>
      <c r="O1182" s="1249">
        <v>3.1850009128239903E-2</v>
      </c>
      <c r="P1182" s="1251">
        <v>1.5925004564119952E-2</v>
      </c>
      <c r="Q1182" s="1252">
        <v>2.5732188218473701E-2</v>
      </c>
    </row>
    <row r="1183" spans="1:17" s="212" customFormat="1" ht="15.5" x14ac:dyDescent="0.35">
      <c r="A1183" s="198">
        <v>2035</v>
      </c>
      <c r="B1183" s="197" t="s">
        <v>5842</v>
      </c>
      <c r="C1183" s="197">
        <v>2014</v>
      </c>
      <c r="D1183" s="213" t="str">
        <f t="shared" si="14"/>
        <v>2035_2014</v>
      </c>
      <c r="E1183" s="1267">
        <v>8.8766131786817706E-2</v>
      </c>
      <c r="F1183" s="1278">
        <v>4.9652169758742397E-3</v>
      </c>
      <c r="G1183" s="1248">
        <v>0.81265773190000101</v>
      </c>
      <c r="H1183" s="1278">
        <v>4.2937341750679203E-2</v>
      </c>
      <c r="I1183" s="1248">
        <v>2.4254321429386601E-2</v>
      </c>
      <c r="J1183" s="1278">
        <v>6.6066613077913196E-4</v>
      </c>
      <c r="K1183" s="1248">
        <v>3.0000008613221998E-3</v>
      </c>
      <c r="L1183" s="1250">
        <v>2.0000005742337201E-3</v>
      </c>
      <c r="M1183" s="1273">
        <v>2.0000005742337201E-3</v>
      </c>
      <c r="N1183" s="1248">
        <v>3.1850009128239903E-2</v>
      </c>
      <c r="O1183" s="1249">
        <v>3.1850009128239903E-2</v>
      </c>
      <c r="P1183" s="1251">
        <v>1.5925004564119952E-2</v>
      </c>
      <c r="Q1183" s="1252">
        <v>2.5350994217466099E-2</v>
      </c>
    </row>
    <row r="1184" spans="1:17" s="212" customFormat="1" ht="15.5" x14ac:dyDescent="0.35">
      <c r="A1184" s="198">
        <v>2035</v>
      </c>
      <c r="B1184" s="197" t="s">
        <v>5842</v>
      </c>
      <c r="C1184" s="197">
        <v>2015</v>
      </c>
      <c r="D1184" s="213" t="str">
        <f t="shared" si="14"/>
        <v>2035_2015</v>
      </c>
      <c r="E1184" s="1267">
        <v>8.8722100208555005E-2</v>
      </c>
      <c r="F1184" s="1278">
        <v>5.0984662493904704E-3</v>
      </c>
      <c r="G1184" s="1248">
        <v>0.80869618268006804</v>
      </c>
      <c r="H1184" s="1278">
        <v>4.26124588949158E-2</v>
      </c>
      <c r="I1184" s="1248">
        <v>2.40623753836284E-2</v>
      </c>
      <c r="J1184" s="1278">
        <v>8.3611223409866902E-4</v>
      </c>
      <c r="K1184" s="1248">
        <v>3.0000008613320201E-3</v>
      </c>
      <c r="L1184" s="1250">
        <v>2.000000574269E-3</v>
      </c>
      <c r="M1184" s="1273">
        <v>2.000000574269E-3</v>
      </c>
      <c r="N1184" s="1248">
        <v>3.1850009128239903E-2</v>
      </c>
      <c r="O1184" s="1249">
        <v>3.1850009128239903E-2</v>
      </c>
      <c r="P1184" s="1251">
        <v>1.5925004564119952E-2</v>
      </c>
      <c r="Q1184" s="1252">
        <v>2.5150369223266699E-2</v>
      </c>
    </row>
    <row r="1185" spans="1:17" s="212" customFormat="1" ht="15.5" x14ac:dyDescent="0.35">
      <c r="A1185" s="198">
        <v>2035</v>
      </c>
      <c r="B1185" s="197" t="s">
        <v>5842</v>
      </c>
      <c r="C1185" s="197">
        <v>2016</v>
      </c>
      <c r="D1185" s="213" t="str">
        <f t="shared" si="14"/>
        <v>2035_2016</v>
      </c>
      <c r="E1185" s="1267">
        <v>8.8477971867419E-2</v>
      </c>
      <c r="F1185" s="1278">
        <v>4.7016808152973502E-3</v>
      </c>
      <c r="G1185" s="1248">
        <v>0.70964134281824698</v>
      </c>
      <c r="H1185" s="1278">
        <v>3.9693385872513601E-2</v>
      </c>
      <c r="I1185" s="1248">
        <v>2.3785470843212302E-2</v>
      </c>
      <c r="J1185" s="1278">
        <v>9.6214013027966195E-4</v>
      </c>
      <c r="K1185" s="1248">
        <v>3.0000008613470601E-3</v>
      </c>
      <c r="L1185" s="1250">
        <v>2.00000057425034E-3</v>
      </c>
      <c r="M1185" s="1273">
        <v>2.00000057425034E-3</v>
      </c>
      <c r="N1185" s="1248">
        <v>3.1850009128239903E-2</v>
      </c>
      <c r="O1185" s="1249">
        <v>3.1850009128239903E-2</v>
      </c>
      <c r="P1185" s="1251">
        <v>1.5925004564119952E-2</v>
      </c>
      <c r="Q1185" s="1252">
        <v>2.4860944288278598E-2</v>
      </c>
    </row>
    <row r="1186" spans="1:17" s="212" customFormat="1" ht="15.5" x14ac:dyDescent="0.35">
      <c r="A1186" s="198">
        <v>2035</v>
      </c>
      <c r="B1186" s="197" t="s">
        <v>5842</v>
      </c>
      <c r="C1186" s="197">
        <v>2017</v>
      </c>
      <c r="D1186" s="213" t="str">
        <f t="shared" si="14"/>
        <v>2035_2017</v>
      </c>
      <c r="E1186" s="1267">
        <v>8.6984991008068002E-2</v>
      </c>
      <c r="F1186" s="1278">
        <v>4.4341718652078296E-3</v>
      </c>
      <c r="G1186" s="1248">
        <v>0.606930654192821</v>
      </c>
      <c r="H1186" s="1278">
        <v>3.6600415179664898E-2</v>
      </c>
      <c r="I1186" s="1248">
        <v>2.3227043261480999E-2</v>
      </c>
      <c r="J1186" s="1278">
        <v>1.03744026556502E-3</v>
      </c>
      <c r="K1186" s="1248">
        <v>3.00000086129302E-3</v>
      </c>
      <c r="L1186" s="1250">
        <v>2.0000005743019602E-3</v>
      </c>
      <c r="M1186" s="1273">
        <v>2.0000005743019602E-3</v>
      </c>
      <c r="N1186" s="1248">
        <v>3.1850009128239903E-2</v>
      </c>
      <c r="O1186" s="1249">
        <v>3.1850009128239903E-2</v>
      </c>
      <c r="P1186" s="1251">
        <v>1.5925004564119952E-2</v>
      </c>
      <c r="Q1186" s="1252">
        <v>2.4277267089287201E-2</v>
      </c>
    </row>
    <row r="1187" spans="1:17" s="212" customFormat="1" ht="15.5" x14ac:dyDescent="0.35">
      <c r="A1187" s="198">
        <v>2035</v>
      </c>
      <c r="B1187" s="197" t="s">
        <v>5842</v>
      </c>
      <c r="C1187" s="197">
        <v>2018</v>
      </c>
      <c r="D1187" s="213" t="str">
        <f t="shared" si="14"/>
        <v>2035_2018</v>
      </c>
      <c r="E1187" s="1267">
        <v>8.7312164344723595E-2</v>
      </c>
      <c r="F1187" s="1278">
        <v>3.90188765364358E-3</v>
      </c>
      <c r="G1187" s="1248">
        <v>0.49926615065159002</v>
      </c>
      <c r="H1187" s="1278">
        <v>3.2448956443270803E-2</v>
      </c>
      <c r="I1187" s="1248">
        <v>2.2959966733732198E-2</v>
      </c>
      <c r="J1187" s="1278">
        <v>1.0791129381857E-3</v>
      </c>
      <c r="K1187" s="1248">
        <v>3.0000008613531599E-3</v>
      </c>
      <c r="L1187" s="1250">
        <v>2.00000057425377E-3</v>
      </c>
      <c r="M1187" s="1273">
        <v>2.00000057425377E-3</v>
      </c>
      <c r="N1187" s="1248">
        <v>3.1850009128239903E-2</v>
      </c>
      <c r="O1187" s="1249">
        <v>3.1850009128239903E-2</v>
      </c>
      <c r="P1187" s="1251">
        <v>1.5925004564119952E-2</v>
      </c>
      <c r="Q1187" s="1252">
        <v>2.3998114546088099E-2</v>
      </c>
    </row>
    <row r="1188" spans="1:17" s="212" customFormat="1" ht="15.5" x14ac:dyDescent="0.35">
      <c r="A1188" s="198">
        <v>2035</v>
      </c>
      <c r="B1188" s="197" t="s">
        <v>5842</v>
      </c>
      <c r="C1188" s="197">
        <v>2019</v>
      </c>
      <c r="D1188" s="213" t="str">
        <f t="shared" si="14"/>
        <v>2035_2019</v>
      </c>
      <c r="E1188" s="1267">
        <v>8.6910054688449603E-2</v>
      </c>
      <c r="F1188" s="1278">
        <v>3.3548113043412901E-3</v>
      </c>
      <c r="G1188" s="1248">
        <v>0.427866149854147</v>
      </c>
      <c r="H1188" s="1278">
        <v>2.82256445171538E-2</v>
      </c>
      <c r="I1188" s="1248">
        <v>2.2503120610820201E-2</v>
      </c>
      <c r="J1188" s="1278">
        <v>1.1007825223513E-3</v>
      </c>
      <c r="K1188" s="1248">
        <v>3.0000008614021901E-3</v>
      </c>
      <c r="L1188" s="1250">
        <v>2.0000005742079599E-3</v>
      </c>
      <c r="M1188" s="1273">
        <v>2.0000005742079599E-3</v>
      </c>
      <c r="N1188" s="1248">
        <v>3.1850009128239903E-2</v>
      </c>
      <c r="O1188" s="1249">
        <v>3.1850009128239903E-2</v>
      </c>
      <c r="P1188" s="1251">
        <v>1.5925004564119952E-2</v>
      </c>
      <c r="Q1188" s="1252">
        <v>2.3520611868722702E-2</v>
      </c>
    </row>
    <row r="1189" spans="1:17" s="212" customFormat="1" ht="15.5" x14ac:dyDescent="0.35">
      <c r="A1189" s="198">
        <v>2035</v>
      </c>
      <c r="B1189" s="197" t="s">
        <v>5842</v>
      </c>
      <c r="C1189" s="197">
        <v>2020</v>
      </c>
      <c r="D1189" s="213" t="str">
        <f t="shared" si="14"/>
        <v>2035_2020</v>
      </c>
      <c r="E1189" s="1267">
        <v>7.6023688256327701E-2</v>
      </c>
      <c r="F1189" s="1278">
        <v>2.7256558184843502E-3</v>
      </c>
      <c r="G1189" s="1248">
        <v>0.33375798750699098</v>
      </c>
      <c r="H1189" s="1278">
        <v>2.43943850531727E-2</v>
      </c>
      <c r="I1189" s="1248">
        <v>2.0092827364538501E-2</v>
      </c>
      <c r="J1189" s="1278">
        <v>1.0878439580055399E-3</v>
      </c>
      <c r="K1189" s="1248">
        <v>3.0000008609739198E-3</v>
      </c>
      <c r="L1189" s="1250">
        <v>2.0000005740791601E-3</v>
      </c>
      <c r="M1189" s="1273">
        <v>2.0000005740791601E-3</v>
      </c>
      <c r="N1189" s="1248">
        <v>3.1850009128239903E-2</v>
      </c>
      <c r="O1189" s="1249">
        <v>3.1850009128239903E-2</v>
      </c>
      <c r="P1189" s="1251">
        <v>1.5925004564119952E-2</v>
      </c>
      <c r="Q1189" s="1252">
        <v>2.1001335857362E-2</v>
      </c>
    </row>
    <row r="1190" spans="1:17" s="212" customFormat="1" ht="15.5" x14ac:dyDescent="0.35">
      <c r="A1190" s="198">
        <v>2035</v>
      </c>
      <c r="B1190" s="197" t="s">
        <v>5842</v>
      </c>
      <c r="C1190" s="197">
        <v>2021</v>
      </c>
      <c r="D1190" s="213" t="str">
        <f t="shared" si="14"/>
        <v>2035_2021</v>
      </c>
      <c r="E1190" s="1267">
        <v>7.5291512921933701E-2</v>
      </c>
      <c r="F1190" s="1278">
        <v>2.31445669667198E-3</v>
      </c>
      <c r="G1190" s="1248">
        <v>0.26878297253612499</v>
      </c>
      <c r="H1190" s="1278">
        <v>2.04990138167538E-2</v>
      </c>
      <c r="I1190" s="1248">
        <v>1.9512908506234099E-2</v>
      </c>
      <c r="J1190" s="1278">
        <v>1.0880209963007399E-3</v>
      </c>
      <c r="K1190" s="1248">
        <v>3.0000008609762101E-3</v>
      </c>
      <c r="L1190" s="1250">
        <v>2.0000005740808701E-3</v>
      </c>
      <c r="M1190" s="1273">
        <v>2.0000005740808701E-3</v>
      </c>
      <c r="N1190" s="1248">
        <v>3.1850009128239903E-2</v>
      </c>
      <c r="O1190" s="1249">
        <v>3.1850009128239903E-2</v>
      </c>
      <c r="P1190" s="1251">
        <v>1.5925004564119952E-2</v>
      </c>
      <c r="Q1190" s="1252">
        <v>2.0395195641636901E-2</v>
      </c>
    </row>
    <row r="1191" spans="1:17" s="212" customFormat="1" ht="15.5" x14ac:dyDescent="0.35">
      <c r="A1191" s="198">
        <v>2035</v>
      </c>
      <c r="B1191" s="197" t="s">
        <v>5842</v>
      </c>
      <c r="C1191" s="197">
        <v>2022</v>
      </c>
      <c r="D1191" s="213" t="str">
        <f t="shared" si="14"/>
        <v>2035_2022</v>
      </c>
      <c r="E1191" s="1267">
        <v>7.4479584377097202E-2</v>
      </c>
      <c r="F1191" s="1278">
        <v>1.91700175973414E-3</v>
      </c>
      <c r="G1191" s="1248">
        <v>0.204378630938611</v>
      </c>
      <c r="H1191" s="1278">
        <v>1.6793968260346698E-2</v>
      </c>
      <c r="I1191" s="1248">
        <v>1.8872705704286799E-2</v>
      </c>
      <c r="J1191" s="1278">
        <v>1.08819020350418E-3</v>
      </c>
      <c r="K1191" s="1248">
        <v>3.0000008609784102E-3</v>
      </c>
      <c r="L1191" s="1250">
        <v>2.0000005740825298E-3</v>
      </c>
      <c r="M1191" s="1273">
        <v>2.0000005740825298E-3</v>
      </c>
      <c r="N1191" s="1248">
        <v>3.1850009128239903E-2</v>
      </c>
      <c r="O1191" s="1249">
        <v>3.1850009128239903E-2</v>
      </c>
      <c r="P1191" s="1251">
        <v>1.5925004564119952E-2</v>
      </c>
      <c r="Q1191" s="1252">
        <v>1.97260457098434E-2</v>
      </c>
    </row>
    <row r="1192" spans="1:17" s="212" customFormat="1" ht="15.5" x14ac:dyDescent="0.35">
      <c r="A1192" s="198">
        <v>2035</v>
      </c>
      <c r="B1192" s="197" t="s">
        <v>5842</v>
      </c>
      <c r="C1192" s="197">
        <v>2023</v>
      </c>
      <c r="D1192" s="213" t="str">
        <f t="shared" si="14"/>
        <v>2035_2023</v>
      </c>
      <c r="E1192" s="1267">
        <v>7.3588043603478898E-2</v>
      </c>
      <c r="F1192" s="1278">
        <v>1.9270423546387399E-3</v>
      </c>
      <c r="G1192" s="1248">
        <v>0.19979609829991399</v>
      </c>
      <c r="H1192" s="1278">
        <v>1.6692076857345899E-2</v>
      </c>
      <c r="I1192" s="1248">
        <v>1.8172212346254199E-2</v>
      </c>
      <c r="J1192" s="1278">
        <v>1.0883504616743601E-3</v>
      </c>
      <c r="K1192" s="1248">
        <v>3.00000086098054E-3</v>
      </c>
      <c r="L1192" s="1250">
        <v>2.0000005740841201E-3</v>
      </c>
      <c r="M1192" s="1273">
        <v>2.0000005740841201E-3</v>
      </c>
      <c r="N1192" s="1248">
        <v>3.1850009128239903E-2</v>
      </c>
      <c r="O1192" s="1249">
        <v>3.1850009128239903E-2</v>
      </c>
      <c r="P1192" s="1251">
        <v>1.5925004564119952E-2</v>
      </c>
      <c r="Q1192" s="1252">
        <v>1.89938791505538E-2</v>
      </c>
    </row>
    <row r="1193" spans="1:17" s="212" customFormat="1" ht="15.5" x14ac:dyDescent="0.35">
      <c r="A1193" s="198">
        <v>2035</v>
      </c>
      <c r="B1193" s="197" t="s">
        <v>5842</v>
      </c>
      <c r="C1193" s="197">
        <v>2024</v>
      </c>
      <c r="D1193" s="213" t="str">
        <f t="shared" si="14"/>
        <v>2035_2024</v>
      </c>
      <c r="E1193" s="1267">
        <v>7.2616336836414094E-2</v>
      </c>
      <c r="F1193" s="1278">
        <v>1.9451139933719401E-3</v>
      </c>
      <c r="G1193" s="1248">
        <v>0.19481760937844</v>
      </c>
      <c r="H1193" s="1278">
        <v>1.6651145696094102E-2</v>
      </c>
      <c r="I1193" s="1248">
        <v>1.7411324707438801E-2</v>
      </c>
      <c r="J1193" s="1278">
        <v>1.08850090193152E-3</v>
      </c>
      <c r="K1193" s="1248">
        <v>3.00000086098257E-3</v>
      </c>
      <c r="L1193" s="1250">
        <v>2.0000005740856502E-3</v>
      </c>
      <c r="M1193" s="1275">
        <v>2.00000057401502E-3</v>
      </c>
      <c r="N1193" s="1248">
        <v>3.1850009128239903E-2</v>
      </c>
      <c r="O1193" s="1249">
        <v>3.1850009128239903E-2</v>
      </c>
      <c r="P1193" s="1260">
        <v>1.59250045641199E-2</v>
      </c>
      <c r="Q1193" s="1252">
        <v>1.81985875491E-2</v>
      </c>
    </row>
    <row r="1194" spans="1:17" s="212" customFormat="1" ht="15.5" x14ac:dyDescent="0.35">
      <c r="A1194" s="198">
        <v>2035</v>
      </c>
      <c r="B1194" s="197" t="s">
        <v>5842</v>
      </c>
      <c r="C1194" s="197">
        <v>2025</v>
      </c>
      <c r="D1194" s="213" t="str">
        <f t="shared" si="14"/>
        <v>2035_2025</v>
      </c>
      <c r="E1194" s="1267">
        <v>7.1563909290372804E-2</v>
      </c>
      <c r="F1194" s="1278">
        <v>1.9662743881820799E-3</v>
      </c>
      <c r="G1194" s="1248">
        <v>0.189442376191716</v>
      </c>
      <c r="H1194" s="1278">
        <v>1.6619406219591799E-2</v>
      </c>
      <c r="I1194" s="1248">
        <v>1.65899425196834E-2</v>
      </c>
      <c r="J1194" s="1278">
        <v>1.0886388477408099E-3</v>
      </c>
      <c r="K1194" s="1248">
        <v>3.00000086098448E-3</v>
      </c>
      <c r="L1194" s="1250">
        <v>2.00000057408707E-3</v>
      </c>
      <c r="M1194" s="1275">
        <v>2.0000005740164598E-3</v>
      </c>
      <c r="N1194" s="1248">
        <v>3.1850009128239903E-2</v>
      </c>
      <c r="O1194" s="1249">
        <v>3.1850009128239903E-2</v>
      </c>
      <c r="P1194" s="1260">
        <v>1.59250045641199E-2</v>
      </c>
      <c r="Q1194" s="1252">
        <v>1.73400661036439E-2</v>
      </c>
    </row>
    <row r="1195" spans="1:17" s="212" customFormat="1" ht="15.5" x14ac:dyDescent="0.35">
      <c r="A1195" s="198">
        <v>2035</v>
      </c>
      <c r="B1195" s="197" t="s">
        <v>5842</v>
      </c>
      <c r="C1195" s="197">
        <v>2026</v>
      </c>
      <c r="D1195" s="213" t="str">
        <f t="shared" si="14"/>
        <v>2035_2026</v>
      </c>
      <c r="E1195" s="1267">
        <v>7.0432644540617595E-2</v>
      </c>
      <c r="F1195" s="1278">
        <v>1.9826123917808698E-3</v>
      </c>
      <c r="G1195" s="1248">
        <v>0.183693224958075</v>
      </c>
      <c r="H1195" s="1278">
        <v>1.6516565551821401E-2</v>
      </c>
      <c r="I1195" s="1248">
        <v>1.57083771747842E-2</v>
      </c>
      <c r="J1195" s="1278">
        <v>1.0887771652572E-3</v>
      </c>
      <c r="K1195" s="1248">
        <v>3.0000008609863899E-3</v>
      </c>
      <c r="L1195" s="1250">
        <v>2.0000005740884999E-3</v>
      </c>
      <c r="M1195" s="1275">
        <v>2.0000005740177101E-3</v>
      </c>
      <c r="N1195" s="1248">
        <v>3.1850009128239903E-2</v>
      </c>
      <c r="O1195" s="1249">
        <v>3.1850009128239903E-2</v>
      </c>
      <c r="P1195" s="1260">
        <v>1.59250045641199E-2</v>
      </c>
      <c r="Q1195" s="1252">
        <v>1.6418640285736599E-2</v>
      </c>
    </row>
    <row r="1196" spans="1:17" s="212" customFormat="1" ht="15.5" x14ac:dyDescent="0.35">
      <c r="A1196" s="198">
        <v>2035</v>
      </c>
      <c r="B1196" s="197" t="s">
        <v>5842</v>
      </c>
      <c r="C1196" s="197">
        <v>2027</v>
      </c>
      <c r="D1196" s="213" t="str">
        <f t="shared" si="14"/>
        <v>2035_2027</v>
      </c>
      <c r="E1196" s="1267">
        <v>6.9223809952306606E-2</v>
      </c>
      <c r="F1196" s="1278">
        <v>1.9921913448824398E-3</v>
      </c>
      <c r="G1196" s="1248">
        <v>0.177531135022956</v>
      </c>
      <c r="H1196" s="1278">
        <v>1.63149923714579E-2</v>
      </c>
      <c r="I1196" s="1248">
        <v>1.47667768559485E-2</v>
      </c>
      <c r="J1196" s="1278">
        <v>1.0889205834506499E-3</v>
      </c>
      <c r="K1196" s="1248">
        <v>3.0000008609883701E-3</v>
      </c>
      <c r="L1196" s="1250">
        <v>2.00000057408999E-3</v>
      </c>
      <c r="M1196" s="1275">
        <v>2.0000005740191001E-3</v>
      </c>
      <c r="N1196" s="1248">
        <v>3.1850009128239903E-2</v>
      </c>
      <c r="O1196" s="1249">
        <v>3.1850009128239903E-2</v>
      </c>
      <c r="P1196" s="1260">
        <v>1.59250045641199E-2</v>
      </c>
      <c r="Q1196" s="1252">
        <v>1.54344649787727E-2</v>
      </c>
    </row>
    <row r="1197" spans="1:17" s="212" customFormat="1" ht="15.5" x14ac:dyDescent="0.35">
      <c r="A1197" s="198">
        <v>2035</v>
      </c>
      <c r="B1197" s="197" t="s">
        <v>5842</v>
      </c>
      <c r="C1197" s="197">
        <v>2028</v>
      </c>
      <c r="D1197" s="213" t="str">
        <f t="shared" si="14"/>
        <v>2035_2028</v>
      </c>
      <c r="E1197" s="1267">
        <v>6.7936529678002594E-2</v>
      </c>
      <c r="F1197" s="1278">
        <v>1.9936531758359302E-3</v>
      </c>
      <c r="G1197" s="1248">
        <v>0.17097530081680901</v>
      </c>
      <c r="H1197" s="1278">
        <v>1.60023601613422E-2</v>
      </c>
      <c r="I1197" s="1248">
        <v>1.3764959438379401E-2</v>
      </c>
      <c r="J1197" s="1278">
        <v>1.08906600401151E-3</v>
      </c>
      <c r="K1197" s="1248">
        <v>3.0000008609903902E-3</v>
      </c>
      <c r="L1197" s="1250">
        <v>2.0000005740915001E-3</v>
      </c>
      <c r="M1197" s="1275">
        <v>2.0000005740207199E-3</v>
      </c>
      <c r="N1197" s="1248">
        <v>3.1850009128239903E-2</v>
      </c>
      <c r="O1197" s="1249">
        <v>3.1850009128239903E-2</v>
      </c>
      <c r="P1197" s="1260">
        <v>1.59250045641199E-2</v>
      </c>
      <c r="Q1197" s="1252">
        <v>1.43873498230801E-2</v>
      </c>
    </row>
    <row r="1198" spans="1:17" s="212" customFormat="1" ht="15.5" x14ac:dyDescent="0.35">
      <c r="A1198" s="198">
        <v>2035</v>
      </c>
      <c r="B1198" s="197" t="s">
        <v>5842</v>
      </c>
      <c r="C1198" s="197">
        <v>2029</v>
      </c>
      <c r="D1198" s="213" t="str">
        <f t="shared" si="14"/>
        <v>2035_2029</v>
      </c>
      <c r="E1198" s="1267">
        <v>6.6570370962979394E-2</v>
      </c>
      <c r="F1198" s="1278">
        <v>1.99716183927385E-3</v>
      </c>
      <c r="G1198" s="1248">
        <v>0.16402510762737499</v>
      </c>
      <c r="H1198" s="1278">
        <v>1.5681258685101999E-2</v>
      </c>
      <c r="I1198" s="1248">
        <v>1.2702821869598299E-2</v>
      </c>
      <c r="J1198" s="1278">
        <v>1.0892125012887199E-3</v>
      </c>
      <c r="K1198" s="1248">
        <v>3.0000008609924198E-3</v>
      </c>
      <c r="L1198" s="1250">
        <v>2.0000005740930201E-3</v>
      </c>
      <c r="M1198" s="1275">
        <v>2.0000005740222998E-3</v>
      </c>
      <c r="N1198" s="1248">
        <v>3.1850009128239903E-2</v>
      </c>
      <c r="O1198" s="1249">
        <v>3.1850009128239903E-2</v>
      </c>
      <c r="P1198" s="1260">
        <v>1.59250045641199E-2</v>
      </c>
      <c r="Q1198" s="1252">
        <v>1.32771871066044E-2</v>
      </c>
    </row>
    <row r="1199" spans="1:17" s="212" customFormat="1" ht="15.5" x14ac:dyDescent="0.35">
      <c r="A1199" s="198">
        <v>2035</v>
      </c>
      <c r="B1199" s="197" t="s">
        <v>5842</v>
      </c>
      <c r="C1199" s="197">
        <v>2030</v>
      </c>
      <c r="D1199" s="213" t="str">
        <f t="shared" si="14"/>
        <v>2035_2030</v>
      </c>
      <c r="E1199" s="1267">
        <v>6.5125502651029302E-2</v>
      </c>
      <c r="F1199" s="1278">
        <v>2.0259150668251202E-3</v>
      </c>
      <c r="G1199" s="1248">
        <v>0.15668047191942899</v>
      </c>
      <c r="H1199" s="1278">
        <v>1.55877341163334E-2</v>
      </c>
      <c r="I1199" s="1248">
        <v>1.1580337486217901E-2</v>
      </c>
      <c r="J1199" s="1278">
        <v>1.0893602990518199E-3</v>
      </c>
      <c r="K1199" s="1248">
        <v>3.0000008609944802E-3</v>
      </c>
      <c r="L1199" s="1250">
        <v>2.0000005740945701E-3</v>
      </c>
      <c r="M1199" s="1275">
        <v>2.0000005740241299E-3</v>
      </c>
      <c r="N1199" s="1248">
        <v>3.1850009128239903E-2</v>
      </c>
      <c r="O1199" s="1249">
        <v>3.1850009128239903E-2</v>
      </c>
      <c r="P1199" s="1260">
        <v>1.59250045641199E-2</v>
      </c>
      <c r="Q1199" s="1252">
        <v>1.21039489603581E-2</v>
      </c>
    </row>
    <row r="1200" spans="1:17" s="212" customFormat="1" ht="15.5" x14ac:dyDescent="0.35">
      <c r="A1200" s="198">
        <v>2035</v>
      </c>
      <c r="B1200" s="197" t="s">
        <v>5842</v>
      </c>
      <c r="C1200" s="197">
        <v>2031</v>
      </c>
      <c r="D1200" s="213" t="str">
        <f t="shared" si="14"/>
        <v>2035_2031</v>
      </c>
      <c r="E1200" s="1267">
        <v>6.3602097766601598E-2</v>
      </c>
      <c r="F1200" s="1278">
        <v>2.1141481675080501E-3</v>
      </c>
      <c r="G1200" s="1248">
        <v>0.148941439919064</v>
      </c>
      <c r="H1200" s="1278">
        <v>1.6072178384436E-2</v>
      </c>
      <c r="I1200" s="1248">
        <v>1.0397474330739899E-2</v>
      </c>
      <c r="J1200" s="1278">
        <v>1.0895108407474399E-3</v>
      </c>
      <c r="K1200" s="1248">
        <v>3.0000008609965901E-3</v>
      </c>
      <c r="L1200" s="1250">
        <v>2.00000057409615E-3</v>
      </c>
      <c r="M1200" s="1275">
        <v>2.00000057402617E-3</v>
      </c>
      <c r="N1200" s="1248">
        <v>3.1850009128239903E-2</v>
      </c>
      <c r="O1200" s="1249">
        <v>3.1850009128239903E-2</v>
      </c>
      <c r="P1200" s="1260">
        <v>1.59250045641199E-2</v>
      </c>
      <c r="Q1200" s="1252">
        <v>1.0867601981867E-2</v>
      </c>
    </row>
    <row r="1201" spans="1:17" s="212" customFormat="1" ht="15.5" x14ac:dyDescent="0.35">
      <c r="A1201" s="198">
        <v>2035</v>
      </c>
      <c r="B1201" s="197" t="s">
        <v>5842</v>
      </c>
      <c r="C1201" s="197">
        <v>2032</v>
      </c>
      <c r="D1201" s="213" t="str">
        <f t="shared" si="14"/>
        <v>2035_2032</v>
      </c>
      <c r="E1201" s="1267">
        <v>6.1999523737990898E-2</v>
      </c>
      <c r="F1201" s="1278">
        <v>2.2942143033007601E-3</v>
      </c>
      <c r="G1201" s="1248">
        <v>0.140807156813574</v>
      </c>
      <c r="H1201" s="1278">
        <v>1.7470378977817301E-2</v>
      </c>
      <c r="I1201" s="1248">
        <v>9.1541061210049495E-3</v>
      </c>
      <c r="J1201" s="1278">
        <v>1.08966233549557E-3</v>
      </c>
      <c r="K1201" s="1248">
        <v>3.0000008609987199E-3</v>
      </c>
      <c r="L1201" s="1250">
        <v>2.0000005740977399E-3</v>
      </c>
      <c r="M1201" s="1275">
        <v>2.0000005740282798E-3</v>
      </c>
      <c r="N1201" s="1248">
        <v>3.1850009128239903E-2</v>
      </c>
      <c r="O1201" s="1249">
        <v>3.1850009128239903E-2</v>
      </c>
      <c r="P1201" s="1260">
        <v>1.59250045641199E-2</v>
      </c>
      <c r="Q1201" s="1252">
        <v>9.5680141790524895E-3</v>
      </c>
    </row>
    <row r="1202" spans="1:17" s="212" customFormat="1" ht="15.5" x14ac:dyDescent="0.35">
      <c r="A1202" s="198">
        <v>2035</v>
      </c>
      <c r="B1202" s="197" t="s">
        <v>5842</v>
      </c>
      <c r="C1202" s="197">
        <v>2033</v>
      </c>
      <c r="D1202" s="213" t="str">
        <f t="shared" si="14"/>
        <v>2035_2033</v>
      </c>
      <c r="E1202" s="1267">
        <v>6.03179424010344E-2</v>
      </c>
      <c r="F1202" s="1278">
        <v>2.56396052851505E-3</v>
      </c>
      <c r="G1202" s="1248">
        <v>0.13227753300675699</v>
      </c>
      <c r="H1202" s="1278">
        <v>1.9775208184053799E-2</v>
      </c>
      <c r="I1202" s="1248">
        <v>7.8501928495574493E-3</v>
      </c>
      <c r="J1202" s="1278">
        <v>1.08981528602275E-3</v>
      </c>
      <c r="K1202" s="1248">
        <v>3.00000086100089E-3</v>
      </c>
      <c r="L1202" s="1250">
        <v>2.0000005740993601E-3</v>
      </c>
      <c r="M1202" s="1275">
        <v>2.0000005740304101E-3</v>
      </c>
      <c r="N1202" s="1248">
        <v>3.1850009128239903E-2</v>
      </c>
      <c r="O1202" s="1249">
        <v>3.1850009128239903E-2</v>
      </c>
      <c r="P1202" s="1260">
        <v>1.59250045641199E-2</v>
      </c>
      <c r="Q1202" s="1252">
        <v>8.2051437354995899E-3</v>
      </c>
    </row>
    <row r="1203" spans="1:17" s="212" customFormat="1" ht="15.5" x14ac:dyDescent="0.35">
      <c r="A1203" s="198">
        <v>2035</v>
      </c>
      <c r="B1203" s="197" t="s">
        <v>5842</v>
      </c>
      <c r="C1203" s="197">
        <v>2034</v>
      </c>
      <c r="D1203" s="213" t="str">
        <f t="shared" si="14"/>
        <v>2035_2034</v>
      </c>
      <c r="E1203" s="1267">
        <v>5.8557523697981201E-2</v>
      </c>
      <c r="F1203" s="1278">
        <v>2.8212774257810598E-3</v>
      </c>
      <c r="G1203" s="1248">
        <v>0.12335255773795099</v>
      </c>
      <c r="H1203" s="1278">
        <v>2.1979271097870599E-2</v>
      </c>
      <c r="I1203" s="1248">
        <v>6.4856839976232903E-3</v>
      </c>
      <c r="J1203" s="1278">
        <v>1.0899714027829601E-3</v>
      </c>
      <c r="K1203" s="1248">
        <v>3.00000086100311E-3</v>
      </c>
      <c r="L1203" s="1250">
        <v>2.0000005741010198E-3</v>
      </c>
      <c r="M1203" s="1275">
        <v>2.0000005740322502E-3</v>
      </c>
      <c r="N1203" s="1248">
        <v>3.1850009128239903E-2</v>
      </c>
      <c r="O1203" s="1249">
        <v>3.1850009128239903E-2</v>
      </c>
      <c r="P1203" s="1260">
        <v>1.59250045641199E-2</v>
      </c>
      <c r="Q1203" s="1252">
        <v>6.7789378481993203E-3</v>
      </c>
    </row>
    <row r="1204" spans="1:17" s="212" customFormat="1" ht="15.5" x14ac:dyDescent="0.35">
      <c r="A1204" s="198">
        <v>2035</v>
      </c>
      <c r="B1204" s="197" t="s">
        <v>5842</v>
      </c>
      <c r="C1204" s="197">
        <v>2035</v>
      </c>
      <c r="D1204" s="213" t="str">
        <f t="shared" si="14"/>
        <v>2035_2035</v>
      </c>
      <c r="E1204" s="1267">
        <v>5.6718004046928998E-2</v>
      </c>
      <c r="F1204" s="1278">
        <v>2.74773217716492E-3</v>
      </c>
      <c r="G1204" s="1248">
        <v>0.114031730743027</v>
      </c>
      <c r="H1204" s="1278">
        <v>2.09067021116273E-2</v>
      </c>
      <c r="I1204" s="1248">
        <v>5.0604811722406596E-3</v>
      </c>
      <c r="J1204" s="1278">
        <v>1.090130219922E-3</v>
      </c>
      <c r="K1204" s="1248">
        <v>3.0000008610053799E-3</v>
      </c>
      <c r="L1204" s="1250">
        <v>2.0000005741027198E-3</v>
      </c>
      <c r="M1204" s="1275">
        <v>2.0000005740317202E-3</v>
      </c>
      <c r="N1204" s="1248">
        <v>3.1850009128239903E-2</v>
      </c>
      <c r="O1204" s="1249">
        <v>3.1850009128239903E-2</v>
      </c>
      <c r="P1204" s="1260">
        <v>1.59250045641199E-2</v>
      </c>
      <c r="Q1204" s="1252">
        <v>5.28929367529676E-3</v>
      </c>
    </row>
    <row r="1205" spans="1:17" s="212" customFormat="1" ht="15.5" x14ac:dyDescent="0.35">
      <c r="A1205" s="198">
        <v>2035</v>
      </c>
      <c r="B1205" s="197" t="s">
        <v>5842</v>
      </c>
      <c r="C1205" s="197">
        <v>2036</v>
      </c>
      <c r="D1205" s="213" t="str">
        <f t="shared" si="14"/>
        <v>2035_2036</v>
      </c>
      <c r="E1205" s="1268">
        <v>5.6718004046928998E-2</v>
      </c>
      <c r="F1205" s="1279">
        <v>2.74773217716492E-3</v>
      </c>
      <c r="G1205" s="1255">
        <v>0.114031730743027</v>
      </c>
      <c r="H1205" s="1279">
        <v>2.09067021116273E-2</v>
      </c>
      <c r="I1205" s="1255">
        <v>5.0604811722406596E-3</v>
      </c>
      <c r="J1205" s="1279">
        <v>1.090130219922E-3</v>
      </c>
      <c r="K1205" s="1255">
        <v>3.0000008610053799E-3</v>
      </c>
      <c r="L1205" s="1253">
        <v>2.0000005741027198E-3</v>
      </c>
      <c r="M1205" s="1273">
        <v>2.0000005740317202E-3</v>
      </c>
      <c r="N1205" s="1255">
        <v>3.1850009128239903E-2</v>
      </c>
      <c r="O1205" s="1256">
        <v>3.1850009128239903E-2</v>
      </c>
      <c r="P1205" s="1251">
        <v>1.59250045641199E-2</v>
      </c>
      <c r="Q1205" s="1254">
        <v>5.28929367529676E-3</v>
      </c>
    </row>
    <row r="1206" spans="1:17" s="212" customFormat="1" ht="15.5" x14ac:dyDescent="0.35">
      <c r="A1206" s="198">
        <v>2036</v>
      </c>
      <c r="B1206" s="197" t="s">
        <v>5842</v>
      </c>
      <c r="C1206" s="197">
        <v>1971</v>
      </c>
      <c r="D1206" s="213" t="str">
        <f t="shared" si="14"/>
        <v>2036_1971</v>
      </c>
      <c r="E1206" s="1268">
        <v>0.36989617251065299</v>
      </c>
      <c r="F1206" s="1279">
        <v>0.46840194719182798</v>
      </c>
      <c r="G1206" s="1255">
        <v>9.33420799298462</v>
      </c>
      <c r="H1206" s="1279">
        <v>2.9085717998927798</v>
      </c>
      <c r="I1206" s="1255">
        <v>5.2422901710644801E-2</v>
      </c>
      <c r="J1206" s="1279">
        <v>7.54801507062148E-3</v>
      </c>
      <c r="K1206" s="1255">
        <v>3.0000057520598701E-3</v>
      </c>
      <c r="L1206" s="1253">
        <v>1.9999884922092398E-3</v>
      </c>
      <c r="M1206" s="1273">
        <v>1.9999884922092398E-3</v>
      </c>
      <c r="N1206" s="1255">
        <v>3.1850009128239903E-2</v>
      </c>
      <c r="O1206" s="1256">
        <v>3.1850009128239903E-2</v>
      </c>
      <c r="P1206" s="1251">
        <v>1.5925004564119952E-2</v>
      </c>
      <c r="Q1206" s="1254">
        <v>5.4793232702819099E-2</v>
      </c>
    </row>
    <row r="1207" spans="1:17" s="212" customFormat="1" ht="15.5" x14ac:dyDescent="0.35">
      <c r="A1207" s="198">
        <v>2036</v>
      </c>
      <c r="B1207" s="197" t="s">
        <v>5842</v>
      </c>
      <c r="C1207" s="197">
        <v>1972</v>
      </c>
      <c r="D1207" s="213" t="str">
        <f t="shared" si="14"/>
        <v>2036_1972</v>
      </c>
      <c r="E1207" s="1268">
        <v>0.36989617251065299</v>
      </c>
      <c r="F1207" s="1279">
        <v>0.46840194719182798</v>
      </c>
      <c r="G1207" s="1255">
        <v>9.33420799298462</v>
      </c>
      <c r="H1207" s="1279">
        <v>2.9085717998927798</v>
      </c>
      <c r="I1207" s="1255">
        <v>5.2422901710644801E-2</v>
      </c>
      <c r="J1207" s="1279">
        <v>7.54801507062148E-3</v>
      </c>
      <c r="K1207" s="1255">
        <v>3.0000057520598701E-3</v>
      </c>
      <c r="L1207" s="1253">
        <v>1.9999884922092398E-3</v>
      </c>
      <c r="M1207" s="1273">
        <v>1.9999884922092398E-3</v>
      </c>
      <c r="N1207" s="1255">
        <v>3.1850009128239903E-2</v>
      </c>
      <c r="O1207" s="1256">
        <v>3.1850009128239903E-2</v>
      </c>
      <c r="P1207" s="1251">
        <v>1.5925004564119952E-2</v>
      </c>
      <c r="Q1207" s="1254">
        <v>5.4793232702819099E-2</v>
      </c>
    </row>
    <row r="1208" spans="1:17" s="212" customFormat="1" ht="15.5" x14ac:dyDescent="0.35">
      <c r="A1208" s="198">
        <v>2036</v>
      </c>
      <c r="B1208" s="197" t="s">
        <v>5842</v>
      </c>
      <c r="C1208" s="197">
        <v>1973</v>
      </c>
      <c r="D1208" s="213" t="str">
        <f t="shared" si="14"/>
        <v>2036_1973</v>
      </c>
      <c r="E1208" s="1268">
        <v>0.36989617251065299</v>
      </c>
      <c r="F1208" s="1279">
        <v>0.46840194719182798</v>
      </c>
      <c r="G1208" s="1255">
        <v>9.33420799298462</v>
      </c>
      <c r="H1208" s="1279">
        <v>2.9085717998927798</v>
      </c>
      <c r="I1208" s="1255">
        <v>5.2422901710644801E-2</v>
      </c>
      <c r="J1208" s="1279">
        <v>7.54801507062148E-3</v>
      </c>
      <c r="K1208" s="1255">
        <v>3.0000057520598701E-3</v>
      </c>
      <c r="L1208" s="1253">
        <v>1.9999884922092398E-3</v>
      </c>
      <c r="M1208" s="1273">
        <v>1.9999884922092398E-3</v>
      </c>
      <c r="N1208" s="1255">
        <v>3.1850009128239903E-2</v>
      </c>
      <c r="O1208" s="1256">
        <v>3.1850009128239903E-2</v>
      </c>
      <c r="P1208" s="1251">
        <v>1.5925004564119952E-2</v>
      </c>
      <c r="Q1208" s="1254">
        <v>5.4793232702819099E-2</v>
      </c>
    </row>
    <row r="1209" spans="1:17" s="212" customFormat="1" ht="15.5" x14ac:dyDescent="0.35">
      <c r="A1209" s="198">
        <v>2036</v>
      </c>
      <c r="B1209" s="197" t="s">
        <v>5842</v>
      </c>
      <c r="C1209" s="197">
        <v>1974</v>
      </c>
      <c r="D1209" s="213" t="str">
        <f t="shared" si="14"/>
        <v>2036_1974</v>
      </c>
      <c r="E1209" s="1268">
        <v>0.36989617251065299</v>
      </c>
      <c r="F1209" s="1279">
        <v>0.46840194719182798</v>
      </c>
      <c r="G1209" s="1255">
        <v>9.33420799298462</v>
      </c>
      <c r="H1209" s="1279">
        <v>2.9085717998927798</v>
      </c>
      <c r="I1209" s="1255">
        <v>5.2422901710644801E-2</v>
      </c>
      <c r="J1209" s="1279">
        <v>7.54801507062148E-3</v>
      </c>
      <c r="K1209" s="1255">
        <v>3.0000057520598701E-3</v>
      </c>
      <c r="L1209" s="1253">
        <v>1.9999884922092398E-3</v>
      </c>
      <c r="M1209" s="1273">
        <v>1.9999884922092398E-3</v>
      </c>
      <c r="N1209" s="1255">
        <v>3.1850009128239903E-2</v>
      </c>
      <c r="O1209" s="1256">
        <v>3.1850009128239903E-2</v>
      </c>
      <c r="P1209" s="1251">
        <v>1.5925004564119952E-2</v>
      </c>
      <c r="Q1209" s="1254">
        <v>5.4793232702819099E-2</v>
      </c>
    </row>
    <row r="1210" spans="1:17" s="212" customFormat="1" ht="15.5" x14ac:dyDescent="0.35">
      <c r="A1210" s="198">
        <v>2036</v>
      </c>
      <c r="B1210" s="197" t="s">
        <v>5842</v>
      </c>
      <c r="C1210" s="197">
        <v>1975</v>
      </c>
      <c r="D1210" s="213" t="str">
        <f t="shared" si="14"/>
        <v>2036_1975</v>
      </c>
      <c r="E1210" s="1268">
        <v>0.36989617251065299</v>
      </c>
      <c r="F1210" s="1279">
        <v>0.46840194719182798</v>
      </c>
      <c r="G1210" s="1255">
        <v>9.33420799298462</v>
      </c>
      <c r="H1210" s="1279">
        <v>2.9085717998927798</v>
      </c>
      <c r="I1210" s="1255">
        <v>5.2422901710644801E-2</v>
      </c>
      <c r="J1210" s="1279">
        <v>7.54801507062148E-3</v>
      </c>
      <c r="K1210" s="1255">
        <v>3.0000057520598701E-3</v>
      </c>
      <c r="L1210" s="1253">
        <v>1.9999884922092398E-3</v>
      </c>
      <c r="M1210" s="1273">
        <v>1.9999884922092398E-3</v>
      </c>
      <c r="N1210" s="1255">
        <v>3.1850009128239903E-2</v>
      </c>
      <c r="O1210" s="1256">
        <v>3.1850009128239903E-2</v>
      </c>
      <c r="P1210" s="1251">
        <v>1.5925004564119952E-2</v>
      </c>
      <c r="Q1210" s="1254">
        <v>5.4793232702819099E-2</v>
      </c>
    </row>
    <row r="1211" spans="1:17" s="212" customFormat="1" ht="15.5" x14ac:dyDescent="0.35">
      <c r="A1211" s="198">
        <v>2036</v>
      </c>
      <c r="B1211" s="197" t="s">
        <v>5842</v>
      </c>
      <c r="C1211" s="197">
        <v>1976</v>
      </c>
      <c r="D1211" s="213" t="str">
        <f t="shared" si="14"/>
        <v>2036_1976</v>
      </c>
      <c r="E1211" s="1268">
        <v>0.36989617251065299</v>
      </c>
      <c r="F1211" s="1279">
        <v>0.46840194719182798</v>
      </c>
      <c r="G1211" s="1255">
        <v>9.33420799298462</v>
      </c>
      <c r="H1211" s="1279">
        <v>2.9085717998927798</v>
      </c>
      <c r="I1211" s="1255">
        <v>5.2422901710644801E-2</v>
      </c>
      <c r="J1211" s="1279">
        <v>7.54801507062148E-3</v>
      </c>
      <c r="K1211" s="1255">
        <v>3.0000057520598701E-3</v>
      </c>
      <c r="L1211" s="1253">
        <v>1.9999884922092398E-3</v>
      </c>
      <c r="M1211" s="1273">
        <v>1.9999884922092398E-3</v>
      </c>
      <c r="N1211" s="1255">
        <v>3.1850009128239903E-2</v>
      </c>
      <c r="O1211" s="1256">
        <v>3.1850009128239903E-2</v>
      </c>
      <c r="P1211" s="1251">
        <v>1.5925004564119952E-2</v>
      </c>
      <c r="Q1211" s="1254">
        <v>5.4793232702819099E-2</v>
      </c>
    </row>
    <row r="1212" spans="1:17" s="212" customFormat="1" ht="15.5" x14ac:dyDescent="0.35">
      <c r="A1212" s="198">
        <v>2036</v>
      </c>
      <c r="B1212" s="197" t="s">
        <v>5842</v>
      </c>
      <c r="C1212" s="197">
        <v>1977</v>
      </c>
      <c r="D1212" s="213" t="str">
        <f t="shared" si="14"/>
        <v>2036_1977</v>
      </c>
      <c r="E1212" s="1268">
        <v>0.36989617251065299</v>
      </c>
      <c r="F1212" s="1279">
        <v>0.46840194719182798</v>
      </c>
      <c r="G1212" s="1255">
        <v>9.33420799298462</v>
      </c>
      <c r="H1212" s="1279">
        <v>2.9085717998927798</v>
      </c>
      <c r="I1212" s="1255">
        <v>5.2422901710644801E-2</v>
      </c>
      <c r="J1212" s="1279">
        <v>7.54801507062148E-3</v>
      </c>
      <c r="K1212" s="1255">
        <v>3.0000057520598701E-3</v>
      </c>
      <c r="L1212" s="1253">
        <v>1.9999884922092398E-3</v>
      </c>
      <c r="M1212" s="1273">
        <v>1.9999884922092398E-3</v>
      </c>
      <c r="N1212" s="1255">
        <v>3.1850009128239903E-2</v>
      </c>
      <c r="O1212" s="1256">
        <v>3.1850009128239903E-2</v>
      </c>
      <c r="P1212" s="1251">
        <v>1.5925004564119952E-2</v>
      </c>
      <c r="Q1212" s="1254">
        <v>5.4793232702819099E-2</v>
      </c>
    </row>
    <row r="1213" spans="1:17" s="212" customFormat="1" ht="15.5" x14ac:dyDescent="0.35">
      <c r="A1213" s="198">
        <v>2036</v>
      </c>
      <c r="B1213" s="197" t="s">
        <v>5842</v>
      </c>
      <c r="C1213" s="197">
        <v>1978</v>
      </c>
      <c r="D1213" s="213" t="str">
        <f t="shared" si="14"/>
        <v>2036_1978</v>
      </c>
      <c r="E1213" s="1268">
        <v>0.36989617251065299</v>
      </c>
      <c r="F1213" s="1279">
        <v>0.46840194719182798</v>
      </c>
      <c r="G1213" s="1255">
        <v>9.33420799298462</v>
      </c>
      <c r="H1213" s="1279">
        <v>2.9085717998927798</v>
      </c>
      <c r="I1213" s="1255">
        <v>5.2422901710644801E-2</v>
      </c>
      <c r="J1213" s="1279">
        <v>7.54801507062148E-3</v>
      </c>
      <c r="K1213" s="1255">
        <v>3.0000057520598701E-3</v>
      </c>
      <c r="L1213" s="1253">
        <v>1.9999884922092398E-3</v>
      </c>
      <c r="M1213" s="1273">
        <v>1.9999884922092398E-3</v>
      </c>
      <c r="N1213" s="1255">
        <v>3.1850009128239903E-2</v>
      </c>
      <c r="O1213" s="1256">
        <v>3.1850009128239903E-2</v>
      </c>
      <c r="P1213" s="1251">
        <v>1.5925004564119952E-2</v>
      </c>
      <c r="Q1213" s="1254">
        <v>5.4793232702819099E-2</v>
      </c>
    </row>
    <row r="1214" spans="1:17" s="212" customFormat="1" ht="15.5" x14ac:dyDescent="0.35">
      <c r="A1214" s="198">
        <v>2036</v>
      </c>
      <c r="B1214" s="197" t="s">
        <v>5842</v>
      </c>
      <c r="C1214" s="197">
        <v>1979</v>
      </c>
      <c r="D1214" s="213" t="str">
        <f t="shared" si="14"/>
        <v>2036_1979</v>
      </c>
      <c r="E1214" s="1268">
        <v>0.36989617251065299</v>
      </c>
      <c r="F1214" s="1279">
        <v>0.46840194719182798</v>
      </c>
      <c r="G1214" s="1255">
        <v>9.33420799298462</v>
      </c>
      <c r="H1214" s="1279">
        <v>2.9085717998927798</v>
      </c>
      <c r="I1214" s="1255">
        <v>5.2422901710644801E-2</v>
      </c>
      <c r="J1214" s="1279">
        <v>7.54801507062148E-3</v>
      </c>
      <c r="K1214" s="1255">
        <v>3.0000057520598701E-3</v>
      </c>
      <c r="L1214" s="1253">
        <v>1.9999884922092398E-3</v>
      </c>
      <c r="M1214" s="1273">
        <v>1.9999884922092398E-3</v>
      </c>
      <c r="N1214" s="1255">
        <v>3.1850009128239903E-2</v>
      </c>
      <c r="O1214" s="1256">
        <v>3.1850009128239903E-2</v>
      </c>
      <c r="P1214" s="1251">
        <v>1.5925004564119952E-2</v>
      </c>
      <c r="Q1214" s="1254">
        <v>5.4793232702819099E-2</v>
      </c>
    </row>
    <row r="1215" spans="1:17" s="212" customFormat="1" ht="15.5" x14ac:dyDescent="0.35">
      <c r="A1215" s="198">
        <v>2036</v>
      </c>
      <c r="B1215" s="197" t="s">
        <v>5842</v>
      </c>
      <c r="C1215" s="197">
        <v>1980</v>
      </c>
      <c r="D1215" s="213" t="str">
        <f t="shared" si="14"/>
        <v>2036_1980</v>
      </c>
      <c r="E1215" s="1268">
        <v>0.36989617251065299</v>
      </c>
      <c r="F1215" s="1279">
        <v>0.46840194719182798</v>
      </c>
      <c r="G1215" s="1255">
        <v>9.33420799298462</v>
      </c>
      <c r="H1215" s="1279">
        <v>2.9085717998927798</v>
      </c>
      <c r="I1215" s="1255">
        <v>5.2422901710644801E-2</v>
      </c>
      <c r="J1215" s="1279">
        <v>7.54801507062148E-3</v>
      </c>
      <c r="K1215" s="1255">
        <v>3.0000057520598701E-3</v>
      </c>
      <c r="L1215" s="1253">
        <v>1.9999884922092398E-3</v>
      </c>
      <c r="M1215" s="1273">
        <v>1.9999884922092398E-3</v>
      </c>
      <c r="N1215" s="1255">
        <v>3.1850009128239903E-2</v>
      </c>
      <c r="O1215" s="1256">
        <v>3.1850009128239903E-2</v>
      </c>
      <c r="P1215" s="1251">
        <v>1.5925004564119952E-2</v>
      </c>
      <c r="Q1215" s="1254">
        <v>5.4793232702819099E-2</v>
      </c>
    </row>
    <row r="1216" spans="1:17" s="212" customFormat="1" ht="15.5" x14ac:dyDescent="0.35">
      <c r="A1216" s="198">
        <v>2036</v>
      </c>
      <c r="B1216" s="197" t="s">
        <v>5842</v>
      </c>
      <c r="C1216" s="197">
        <v>1981</v>
      </c>
      <c r="D1216" s="213" t="str">
        <f t="shared" si="14"/>
        <v>2036_1981</v>
      </c>
      <c r="E1216" s="1268">
        <v>0.36989617251065299</v>
      </c>
      <c r="F1216" s="1279">
        <v>0.46840194719182798</v>
      </c>
      <c r="G1216" s="1255">
        <v>9.33420799298462</v>
      </c>
      <c r="H1216" s="1279">
        <v>2.9085717998927798</v>
      </c>
      <c r="I1216" s="1255">
        <v>5.2422901710644801E-2</v>
      </c>
      <c r="J1216" s="1279">
        <v>7.54801507062148E-3</v>
      </c>
      <c r="K1216" s="1255">
        <v>3.0000057520598701E-3</v>
      </c>
      <c r="L1216" s="1253">
        <v>1.9999884922092398E-3</v>
      </c>
      <c r="M1216" s="1273">
        <v>1.9999884922092398E-3</v>
      </c>
      <c r="N1216" s="1255">
        <v>3.1850009128239903E-2</v>
      </c>
      <c r="O1216" s="1256">
        <v>3.1850009128239903E-2</v>
      </c>
      <c r="P1216" s="1251">
        <v>1.5925004564119952E-2</v>
      </c>
      <c r="Q1216" s="1254">
        <v>5.4793232702819099E-2</v>
      </c>
    </row>
    <row r="1217" spans="1:17" s="212" customFormat="1" ht="15.5" x14ac:dyDescent="0.35">
      <c r="A1217" s="198">
        <v>2036</v>
      </c>
      <c r="B1217" s="197" t="s">
        <v>5842</v>
      </c>
      <c r="C1217" s="197">
        <v>1982</v>
      </c>
      <c r="D1217" s="213" t="str">
        <f t="shared" si="14"/>
        <v>2036_1982</v>
      </c>
      <c r="E1217" s="1268">
        <v>0.36989617251065299</v>
      </c>
      <c r="F1217" s="1279">
        <v>0.46840194719182798</v>
      </c>
      <c r="G1217" s="1255">
        <v>9.33420799298462</v>
      </c>
      <c r="H1217" s="1279">
        <v>2.9085717998927798</v>
      </c>
      <c r="I1217" s="1255">
        <v>5.2422901710644801E-2</v>
      </c>
      <c r="J1217" s="1279">
        <v>7.54801507062148E-3</v>
      </c>
      <c r="K1217" s="1255">
        <v>3.0000057520598701E-3</v>
      </c>
      <c r="L1217" s="1253">
        <v>1.9999884922092398E-3</v>
      </c>
      <c r="M1217" s="1273">
        <v>1.9999884922092398E-3</v>
      </c>
      <c r="N1217" s="1255">
        <v>3.1850009128239903E-2</v>
      </c>
      <c r="O1217" s="1256">
        <v>3.1850009128239903E-2</v>
      </c>
      <c r="P1217" s="1251">
        <v>1.5925004564119952E-2</v>
      </c>
      <c r="Q1217" s="1254">
        <v>5.4793232702819099E-2</v>
      </c>
    </row>
    <row r="1218" spans="1:17" s="212" customFormat="1" ht="15.5" x14ac:dyDescent="0.35">
      <c r="A1218" s="198">
        <v>2036</v>
      </c>
      <c r="B1218" s="197" t="s">
        <v>5842</v>
      </c>
      <c r="C1218" s="197">
        <v>1983</v>
      </c>
      <c r="D1218" s="213" t="str">
        <f t="shared" si="14"/>
        <v>2036_1983</v>
      </c>
      <c r="E1218" s="1268">
        <v>0.36989617251065299</v>
      </c>
      <c r="F1218" s="1279">
        <v>0.46840194719182798</v>
      </c>
      <c r="G1218" s="1255">
        <v>9.33420799298462</v>
      </c>
      <c r="H1218" s="1279">
        <v>2.9085717998927798</v>
      </c>
      <c r="I1218" s="1255">
        <v>5.2422901710644801E-2</v>
      </c>
      <c r="J1218" s="1279">
        <v>7.54801507062148E-3</v>
      </c>
      <c r="K1218" s="1255">
        <v>3.0000057520598701E-3</v>
      </c>
      <c r="L1218" s="1253">
        <v>1.9999884922092398E-3</v>
      </c>
      <c r="M1218" s="1273">
        <v>1.9999884922092398E-3</v>
      </c>
      <c r="N1218" s="1255">
        <v>3.1850009128239903E-2</v>
      </c>
      <c r="O1218" s="1256">
        <v>3.1850009128239903E-2</v>
      </c>
      <c r="P1218" s="1251">
        <v>1.5925004564119952E-2</v>
      </c>
      <c r="Q1218" s="1254">
        <v>5.4793232702819099E-2</v>
      </c>
    </row>
    <row r="1219" spans="1:17" s="212" customFormat="1" ht="15.5" x14ac:dyDescent="0.35">
      <c r="A1219" s="198">
        <v>2036</v>
      </c>
      <c r="B1219" s="197" t="s">
        <v>5842</v>
      </c>
      <c r="C1219" s="197">
        <v>1984</v>
      </c>
      <c r="D1219" s="213" t="str">
        <f t="shared" si="14"/>
        <v>2036_1984</v>
      </c>
      <c r="E1219" s="1268">
        <v>0.36989617251065299</v>
      </c>
      <c r="F1219" s="1279">
        <v>0.46840194719182798</v>
      </c>
      <c r="G1219" s="1255">
        <v>9.33420799298462</v>
      </c>
      <c r="H1219" s="1279">
        <v>2.9085717998927798</v>
      </c>
      <c r="I1219" s="1255">
        <v>5.2422901710644801E-2</v>
      </c>
      <c r="J1219" s="1279">
        <v>7.54801507062148E-3</v>
      </c>
      <c r="K1219" s="1255">
        <v>3.0000057520598701E-3</v>
      </c>
      <c r="L1219" s="1253">
        <v>1.9999884922092398E-3</v>
      </c>
      <c r="M1219" s="1273">
        <v>1.9999884922092398E-3</v>
      </c>
      <c r="N1219" s="1255">
        <v>3.1850009128239903E-2</v>
      </c>
      <c r="O1219" s="1256">
        <v>3.1850009128239903E-2</v>
      </c>
      <c r="P1219" s="1251">
        <v>1.5925004564119952E-2</v>
      </c>
      <c r="Q1219" s="1254">
        <v>5.4793232702819099E-2</v>
      </c>
    </row>
    <row r="1220" spans="1:17" s="212" customFormat="1" ht="15.5" x14ac:dyDescent="0.35">
      <c r="A1220" s="198">
        <v>2036</v>
      </c>
      <c r="B1220" s="197" t="s">
        <v>5842</v>
      </c>
      <c r="C1220" s="197">
        <v>1985</v>
      </c>
      <c r="D1220" s="213" t="str">
        <f t="shared" si="14"/>
        <v>2036_1985</v>
      </c>
      <c r="E1220" s="1268">
        <v>0.36989617251065299</v>
      </c>
      <c r="F1220" s="1279">
        <v>0.46840194719182798</v>
      </c>
      <c r="G1220" s="1255">
        <v>9.33420799298462</v>
      </c>
      <c r="H1220" s="1279">
        <v>2.9085717998927798</v>
      </c>
      <c r="I1220" s="1255">
        <v>5.2422901710644801E-2</v>
      </c>
      <c r="J1220" s="1279">
        <v>7.54801507062148E-3</v>
      </c>
      <c r="K1220" s="1255">
        <v>3.0000057520598701E-3</v>
      </c>
      <c r="L1220" s="1253">
        <v>1.9999884922092398E-3</v>
      </c>
      <c r="M1220" s="1273">
        <v>1.9999884922092398E-3</v>
      </c>
      <c r="N1220" s="1255">
        <v>3.1850009128239903E-2</v>
      </c>
      <c r="O1220" s="1256">
        <v>3.1850009128239903E-2</v>
      </c>
      <c r="P1220" s="1251">
        <v>1.5925004564119952E-2</v>
      </c>
      <c r="Q1220" s="1254">
        <v>5.4793232702819099E-2</v>
      </c>
    </row>
    <row r="1221" spans="1:17" s="212" customFormat="1" ht="15.5" x14ac:dyDescent="0.35">
      <c r="A1221" s="198">
        <v>2036</v>
      </c>
      <c r="B1221" s="197" t="s">
        <v>5842</v>
      </c>
      <c r="C1221" s="197">
        <v>1986</v>
      </c>
      <c r="D1221" s="213" t="str">
        <f t="shared" si="14"/>
        <v>2036_1986</v>
      </c>
      <c r="E1221" s="1268">
        <v>0.36989617251065299</v>
      </c>
      <c r="F1221" s="1279">
        <v>0.46840194719182798</v>
      </c>
      <c r="G1221" s="1255">
        <v>9.33420799298462</v>
      </c>
      <c r="H1221" s="1279">
        <v>2.9085717998927798</v>
      </c>
      <c r="I1221" s="1255">
        <v>5.2422901710644801E-2</v>
      </c>
      <c r="J1221" s="1279">
        <v>7.54801507062148E-3</v>
      </c>
      <c r="K1221" s="1255">
        <v>3.0000057520598701E-3</v>
      </c>
      <c r="L1221" s="1253">
        <v>1.9999884922092398E-3</v>
      </c>
      <c r="M1221" s="1273">
        <v>1.9999884922092398E-3</v>
      </c>
      <c r="N1221" s="1255">
        <v>3.1850009128239903E-2</v>
      </c>
      <c r="O1221" s="1256">
        <v>3.1850009128239903E-2</v>
      </c>
      <c r="P1221" s="1251">
        <v>1.5925004564119952E-2</v>
      </c>
      <c r="Q1221" s="1254">
        <v>5.4793232702819099E-2</v>
      </c>
    </row>
    <row r="1222" spans="1:17" s="212" customFormat="1" ht="15.5" x14ac:dyDescent="0.35">
      <c r="A1222" s="198">
        <v>2036</v>
      </c>
      <c r="B1222" s="197" t="s">
        <v>5842</v>
      </c>
      <c r="C1222" s="197">
        <v>1987</v>
      </c>
      <c r="D1222" s="213" t="str">
        <f t="shared" si="14"/>
        <v>2036_1987</v>
      </c>
      <c r="E1222" s="1268">
        <v>0.36989617251065299</v>
      </c>
      <c r="F1222" s="1279">
        <v>0.46840194719182798</v>
      </c>
      <c r="G1222" s="1255">
        <v>9.33420799298462</v>
      </c>
      <c r="H1222" s="1279">
        <v>2.9085717998927798</v>
      </c>
      <c r="I1222" s="1255">
        <v>5.2422901710644801E-2</v>
      </c>
      <c r="J1222" s="1279">
        <v>7.54801507062148E-3</v>
      </c>
      <c r="K1222" s="1255">
        <v>3.0000057520598701E-3</v>
      </c>
      <c r="L1222" s="1253">
        <v>1.9999884922092398E-3</v>
      </c>
      <c r="M1222" s="1273">
        <v>1.9999884922092398E-3</v>
      </c>
      <c r="N1222" s="1255">
        <v>3.1850009128239903E-2</v>
      </c>
      <c r="O1222" s="1256">
        <v>3.1850009128239903E-2</v>
      </c>
      <c r="P1222" s="1251">
        <v>1.5925004564119952E-2</v>
      </c>
      <c r="Q1222" s="1254">
        <v>5.4793232702819099E-2</v>
      </c>
    </row>
    <row r="1223" spans="1:17" s="212" customFormat="1" ht="15.5" x14ac:dyDescent="0.35">
      <c r="A1223" s="198">
        <v>2036</v>
      </c>
      <c r="B1223" s="197" t="s">
        <v>5842</v>
      </c>
      <c r="C1223" s="197">
        <v>1988</v>
      </c>
      <c r="D1223" s="213" t="str">
        <f t="shared" si="14"/>
        <v>2036_1988</v>
      </c>
      <c r="E1223" s="1268">
        <v>0.36989617251065299</v>
      </c>
      <c r="F1223" s="1279">
        <v>0.46840194719182798</v>
      </c>
      <c r="G1223" s="1255">
        <v>9.33420799298462</v>
      </c>
      <c r="H1223" s="1279">
        <v>2.9085717998927798</v>
      </c>
      <c r="I1223" s="1255">
        <v>5.2422901710644801E-2</v>
      </c>
      <c r="J1223" s="1279">
        <v>7.54801507062148E-3</v>
      </c>
      <c r="K1223" s="1255">
        <v>3.0000057520598701E-3</v>
      </c>
      <c r="L1223" s="1253">
        <v>1.9999884922092398E-3</v>
      </c>
      <c r="M1223" s="1273">
        <v>1.9999884922092398E-3</v>
      </c>
      <c r="N1223" s="1255">
        <v>3.1850009128239903E-2</v>
      </c>
      <c r="O1223" s="1256">
        <v>3.1850009128239903E-2</v>
      </c>
      <c r="P1223" s="1251">
        <v>1.5925004564119952E-2</v>
      </c>
      <c r="Q1223" s="1254">
        <v>5.4793232702819099E-2</v>
      </c>
    </row>
    <row r="1224" spans="1:17" s="212" customFormat="1" ht="15.5" x14ac:dyDescent="0.35">
      <c r="A1224" s="198">
        <v>2036</v>
      </c>
      <c r="B1224" s="197" t="s">
        <v>5842</v>
      </c>
      <c r="C1224" s="197">
        <v>1989</v>
      </c>
      <c r="D1224" s="213" t="str">
        <f t="shared" si="14"/>
        <v>2036_1989</v>
      </c>
      <c r="E1224" s="1268">
        <v>0.36989617251065299</v>
      </c>
      <c r="F1224" s="1279">
        <v>0.46840194719182798</v>
      </c>
      <c r="G1224" s="1255">
        <v>9.33420799298462</v>
      </c>
      <c r="H1224" s="1279">
        <v>2.9085717998927798</v>
      </c>
      <c r="I1224" s="1255">
        <v>5.2422901710644801E-2</v>
      </c>
      <c r="J1224" s="1279">
        <v>7.54801507062148E-3</v>
      </c>
      <c r="K1224" s="1255">
        <v>3.0000057520598701E-3</v>
      </c>
      <c r="L1224" s="1253">
        <v>1.9999884922092398E-3</v>
      </c>
      <c r="M1224" s="1273">
        <v>1.9999884922092398E-3</v>
      </c>
      <c r="N1224" s="1255">
        <v>3.1850009128239903E-2</v>
      </c>
      <c r="O1224" s="1256">
        <v>3.1850009128239903E-2</v>
      </c>
      <c r="P1224" s="1251">
        <v>1.5925004564119952E-2</v>
      </c>
      <c r="Q1224" s="1254">
        <v>5.4793232702819099E-2</v>
      </c>
    </row>
    <row r="1225" spans="1:17" s="212" customFormat="1" ht="15.5" x14ac:dyDescent="0.35">
      <c r="A1225" s="198">
        <v>2036</v>
      </c>
      <c r="B1225" s="197" t="s">
        <v>5842</v>
      </c>
      <c r="C1225" s="197">
        <v>1990</v>
      </c>
      <c r="D1225" s="213" t="str">
        <f t="shared" si="14"/>
        <v>2036_1990</v>
      </c>
      <c r="E1225" s="1268">
        <v>0.36989617251065299</v>
      </c>
      <c r="F1225" s="1279">
        <v>0.46840194719182798</v>
      </c>
      <c r="G1225" s="1255">
        <v>9.33420799298462</v>
      </c>
      <c r="H1225" s="1279">
        <v>2.9085717998927798</v>
      </c>
      <c r="I1225" s="1255">
        <v>5.2422901710644801E-2</v>
      </c>
      <c r="J1225" s="1279">
        <v>7.54801507062148E-3</v>
      </c>
      <c r="K1225" s="1255">
        <v>3.0000057520598701E-3</v>
      </c>
      <c r="L1225" s="1253">
        <v>1.9999884922092398E-3</v>
      </c>
      <c r="M1225" s="1273">
        <v>1.9999884922092398E-3</v>
      </c>
      <c r="N1225" s="1255">
        <v>3.1850009128239903E-2</v>
      </c>
      <c r="O1225" s="1256">
        <v>3.1850009128239903E-2</v>
      </c>
      <c r="P1225" s="1251">
        <v>1.5925004564119952E-2</v>
      </c>
      <c r="Q1225" s="1254">
        <v>5.4793232702819099E-2</v>
      </c>
    </row>
    <row r="1226" spans="1:17" s="212" customFormat="1" ht="15.5" x14ac:dyDescent="0.35">
      <c r="A1226" s="198">
        <v>2036</v>
      </c>
      <c r="B1226" s="197" t="s">
        <v>5842</v>
      </c>
      <c r="C1226" s="197">
        <v>1991</v>
      </c>
      <c r="D1226" s="213" t="str">
        <f t="shared" si="14"/>
        <v>2036_1991</v>
      </c>
      <c r="E1226" s="1268">
        <v>0.36989617251065299</v>
      </c>
      <c r="F1226" s="1279">
        <v>0.46840194719182798</v>
      </c>
      <c r="G1226" s="1255">
        <v>9.33420799298462</v>
      </c>
      <c r="H1226" s="1279">
        <v>2.9085717998927798</v>
      </c>
      <c r="I1226" s="1255">
        <v>5.2422901710644801E-2</v>
      </c>
      <c r="J1226" s="1279">
        <v>7.54801507062148E-3</v>
      </c>
      <c r="K1226" s="1255">
        <v>3.0000057520598701E-3</v>
      </c>
      <c r="L1226" s="1253">
        <v>1.9999884922092398E-3</v>
      </c>
      <c r="M1226" s="1273">
        <v>1.9999884922092398E-3</v>
      </c>
      <c r="N1226" s="1255">
        <v>3.1850009128239903E-2</v>
      </c>
      <c r="O1226" s="1256">
        <v>3.1850009128239903E-2</v>
      </c>
      <c r="P1226" s="1251">
        <v>1.5925004564119952E-2</v>
      </c>
      <c r="Q1226" s="1254">
        <v>5.4793232702819099E-2</v>
      </c>
    </row>
    <row r="1227" spans="1:17" s="212" customFormat="1" ht="15.5" x14ac:dyDescent="0.35">
      <c r="A1227" s="198">
        <v>2036</v>
      </c>
      <c r="B1227" s="197" t="s">
        <v>5842</v>
      </c>
      <c r="C1227" s="197">
        <v>1992</v>
      </c>
      <c r="D1227" s="213" t="str">
        <f t="shared" si="14"/>
        <v>2036_1992</v>
      </c>
      <c r="E1227" s="1267">
        <v>0.36989617251065299</v>
      </c>
      <c r="F1227" s="1278">
        <v>0.46840194719182798</v>
      </c>
      <c r="G1227" s="1248">
        <v>9.33420799298462</v>
      </c>
      <c r="H1227" s="1278">
        <v>2.9085717998927798</v>
      </c>
      <c r="I1227" s="1248">
        <v>5.2422901710644801E-2</v>
      </c>
      <c r="J1227" s="1278">
        <v>7.54801507062148E-3</v>
      </c>
      <c r="K1227" s="1248">
        <v>3.0000057520598701E-3</v>
      </c>
      <c r="L1227" s="1250">
        <v>1.9999884922092398E-3</v>
      </c>
      <c r="M1227" s="1273">
        <v>1.9999884922092398E-3</v>
      </c>
      <c r="N1227" s="1248">
        <v>3.1850009128239903E-2</v>
      </c>
      <c r="O1227" s="1249">
        <v>3.1850009128239903E-2</v>
      </c>
      <c r="P1227" s="1251">
        <v>1.5925004564119952E-2</v>
      </c>
      <c r="Q1227" s="1252">
        <v>5.4793232702819099E-2</v>
      </c>
    </row>
    <row r="1228" spans="1:17" s="212" customFormat="1" ht="15.5" x14ac:dyDescent="0.35">
      <c r="A1228" s="198">
        <v>2036</v>
      </c>
      <c r="B1228" s="197" t="s">
        <v>5842</v>
      </c>
      <c r="C1228" s="197">
        <v>1993</v>
      </c>
      <c r="D1228" s="213" t="str">
        <f t="shared" si="14"/>
        <v>2036_1993</v>
      </c>
      <c r="E1228" s="1267">
        <v>0.37165651584470799</v>
      </c>
      <c r="F1228" s="1278">
        <v>0.45886127530915299</v>
      </c>
      <c r="G1228" s="1248">
        <v>9.3023142392822091</v>
      </c>
      <c r="H1228" s="1278">
        <v>2.8884724867163101</v>
      </c>
      <c r="I1228" s="1248">
        <v>5.2672383355593398E-2</v>
      </c>
      <c r="J1228" s="1278">
        <v>7.4226862590318901E-3</v>
      </c>
      <c r="K1228" s="1248">
        <v>3.00000522667739E-3</v>
      </c>
      <c r="L1228" s="1250">
        <v>1.9999920500796001E-3</v>
      </c>
      <c r="M1228" s="1273">
        <v>1.9999920500796001E-3</v>
      </c>
      <c r="N1228" s="1248">
        <v>3.1850009128239903E-2</v>
      </c>
      <c r="O1228" s="1249">
        <v>3.1850009128239903E-2</v>
      </c>
      <c r="P1228" s="1251">
        <v>1.5925004564119952E-2</v>
      </c>
      <c r="Q1228" s="1252">
        <v>5.5053994800693902E-2</v>
      </c>
    </row>
    <row r="1229" spans="1:17" s="212" customFormat="1" ht="15.5" x14ac:dyDescent="0.35">
      <c r="A1229" s="198">
        <v>2036</v>
      </c>
      <c r="B1229" s="197" t="s">
        <v>5842</v>
      </c>
      <c r="C1229" s="197">
        <v>1994</v>
      </c>
      <c r="D1229" s="213" t="str">
        <f t="shared" si="14"/>
        <v>2036_1994</v>
      </c>
      <c r="E1229" s="1267">
        <v>0.36566673284048501</v>
      </c>
      <c r="F1229" s="1278">
        <v>0.45564530781330997</v>
      </c>
      <c r="G1229" s="1248">
        <v>9.3957708879645203</v>
      </c>
      <c r="H1229" s="1278">
        <v>2.8803698627499101</v>
      </c>
      <c r="I1229" s="1248">
        <v>5.2359224133542499E-2</v>
      </c>
      <c r="J1229" s="1278">
        <v>7.3938779697462296E-3</v>
      </c>
      <c r="K1229" s="1248">
        <v>3.0000057312300501E-3</v>
      </c>
      <c r="L1229" s="1250">
        <v>1.9999880896127099E-3</v>
      </c>
      <c r="M1229" s="1273">
        <v>1.9999880896127099E-3</v>
      </c>
      <c r="N1229" s="1248">
        <v>3.1850009128239903E-2</v>
      </c>
      <c r="O1229" s="1249">
        <v>3.1850009128239903E-2</v>
      </c>
      <c r="P1229" s="1251">
        <v>1.5925004564119952E-2</v>
      </c>
      <c r="Q1229" s="1252">
        <v>5.4726675908245301E-2</v>
      </c>
    </row>
    <row r="1230" spans="1:17" s="212" customFormat="1" ht="15.5" x14ac:dyDescent="0.35">
      <c r="A1230" s="198">
        <v>2036</v>
      </c>
      <c r="B1230" s="197" t="s">
        <v>5842</v>
      </c>
      <c r="C1230" s="197">
        <v>1995</v>
      </c>
      <c r="D1230" s="213" t="str">
        <f t="shared" si="14"/>
        <v>2036_1995</v>
      </c>
      <c r="E1230" s="1267">
        <v>0.36780473172035899</v>
      </c>
      <c r="F1230" s="1278">
        <v>0.244440012396758</v>
      </c>
      <c r="G1230" s="1248">
        <v>9.3805490924850492</v>
      </c>
      <c r="H1230" s="1278">
        <v>1.6460642623113999</v>
      </c>
      <c r="I1230" s="1248">
        <v>5.2665360712276399E-2</v>
      </c>
      <c r="J1230" s="1278">
        <v>4.8526120125433501E-3</v>
      </c>
      <c r="K1230" s="1248">
        <v>3.0000079117261302E-3</v>
      </c>
      <c r="L1230" s="1250">
        <v>1.9999952468749398E-3</v>
      </c>
      <c r="M1230" s="1273">
        <v>1.9999952468749398E-3</v>
      </c>
      <c r="N1230" s="1248">
        <v>3.1850009128239903E-2</v>
      </c>
      <c r="O1230" s="1249">
        <v>3.1850009128239903E-2</v>
      </c>
      <c r="P1230" s="1251">
        <v>1.5925004564119952E-2</v>
      </c>
      <c r="Q1230" s="1252">
        <v>5.5046654624608497E-2</v>
      </c>
    </row>
    <row r="1231" spans="1:17" s="212" customFormat="1" ht="15.5" x14ac:dyDescent="0.35">
      <c r="A1231" s="198">
        <v>2036</v>
      </c>
      <c r="B1231" s="197" t="s">
        <v>5842</v>
      </c>
      <c r="C1231" s="197">
        <v>1996</v>
      </c>
      <c r="D1231" s="213" t="str">
        <f t="shared" si="14"/>
        <v>2036_1996</v>
      </c>
      <c r="E1231" s="1267">
        <v>0.369210428618721</v>
      </c>
      <c r="F1231" s="1278">
        <v>2.23869503838291E-2</v>
      </c>
      <c r="G1231" s="1248">
        <v>9.3564172148671307</v>
      </c>
      <c r="H1231" s="1278">
        <v>0.39323083709971501</v>
      </c>
      <c r="I1231" s="1248">
        <v>5.2866640162538198E-2</v>
      </c>
      <c r="J1231" s="1278">
        <v>2.1823950041960898E-3</v>
      </c>
      <c r="K1231" s="1248">
        <v>3.0000083195565598E-3</v>
      </c>
      <c r="L1231" s="1250">
        <v>1.9999929646164699E-3</v>
      </c>
      <c r="M1231" s="1273">
        <v>1.9999929646164699E-3</v>
      </c>
      <c r="N1231" s="1248">
        <v>3.1850009128239903E-2</v>
      </c>
      <c r="O1231" s="1249">
        <v>3.1850009128239903E-2</v>
      </c>
      <c r="P1231" s="1251">
        <v>1.5925004564119952E-2</v>
      </c>
      <c r="Q1231" s="1252">
        <v>5.5257035038446901E-2</v>
      </c>
    </row>
    <row r="1232" spans="1:17" s="212" customFormat="1" ht="15.5" x14ac:dyDescent="0.35">
      <c r="A1232" s="198">
        <v>2036</v>
      </c>
      <c r="B1232" s="197" t="s">
        <v>5842</v>
      </c>
      <c r="C1232" s="197">
        <v>1997</v>
      </c>
      <c r="D1232" s="213" t="str">
        <f t="shared" si="14"/>
        <v>2036_1997</v>
      </c>
      <c r="E1232" s="1267">
        <v>0.37105161896323702</v>
      </c>
      <c r="F1232" s="1278">
        <v>2.1496373468930401E-2</v>
      </c>
      <c r="G1232" s="1248">
        <v>9.3122739597280209</v>
      </c>
      <c r="H1232" s="1278">
        <v>0.387775349937103</v>
      </c>
      <c r="I1232" s="1248">
        <v>5.3130277210328099E-2</v>
      </c>
      <c r="J1232" s="1278">
        <v>2.09957975126162E-3</v>
      </c>
      <c r="K1232" s="1248">
        <v>3.0000066314439301E-3</v>
      </c>
      <c r="L1232" s="1250">
        <v>1.9999925027172098E-3</v>
      </c>
      <c r="M1232" s="1273">
        <v>1.9999925027172098E-3</v>
      </c>
      <c r="N1232" s="1248">
        <v>3.1850009128239903E-2</v>
      </c>
      <c r="O1232" s="1249">
        <v>3.1850009128239903E-2</v>
      </c>
      <c r="P1232" s="1251">
        <v>1.5925004564119952E-2</v>
      </c>
      <c r="Q1232" s="1252">
        <v>5.5532592583665698E-2</v>
      </c>
    </row>
    <row r="1233" spans="1:17" s="212" customFormat="1" ht="15.5" x14ac:dyDescent="0.35">
      <c r="A1233" s="198">
        <v>2036</v>
      </c>
      <c r="B1233" s="197" t="s">
        <v>5842</v>
      </c>
      <c r="C1233" s="197">
        <v>1998</v>
      </c>
      <c r="D1233" s="213" t="str">
        <f t="shared" si="14"/>
        <v>2036_1998</v>
      </c>
      <c r="E1233" s="1267">
        <v>0.37258999624030298</v>
      </c>
      <c r="F1233" s="1278">
        <v>2.1784605691330901E-2</v>
      </c>
      <c r="G1233" s="1248">
        <v>9.2995434536157209</v>
      </c>
      <c r="H1233" s="1278">
        <v>0.38981241083159301</v>
      </c>
      <c r="I1233" s="1248">
        <v>5.3350554947999701E-2</v>
      </c>
      <c r="J1233" s="1278">
        <v>2.1305974519596101E-3</v>
      </c>
      <c r="K1233" s="1248">
        <v>3.0000146934684702E-3</v>
      </c>
      <c r="L1233" s="1250">
        <v>1.9999939401693602E-3</v>
      </c>
      <c r="M1233" s="1273">
        <v>1.9999939401693602E-3</v>
      </c>
      <c r="N1233" s="1248">
        <v>3.1850009128239903E-2</v>
      </c>
      <c r="O1233" s="1249">
        <v>3.1850009128239903E-2</v>
      </c>
      <c r="P1233" s="1251">
        <v>1.5925004564119952E-2</v>
      </c>
      <c r="Q1233" s="1252">
        <v>5.5762830303166797E-2</v>
      </c>
    </row>
    <row r="1234" spans="1:17" s="212" customFormat="1" ht="15.5" x14ac:dyDescent="0.35">
      <c r="A1234" s="198">
        <v>2036</v>
      </c>
      <c r="B1234" s="197" t="s">
        <v>5842</v>
      </c>
      <c r="C1234" s="197">
        <v>1999</v>
      </c>
      <c r="D1234" s="213" t="str">
        <f t="shared" si="14"/>
        <v>2036_1999</v>
      </c>
      <c r="E1234" s="1267">
        <v>0.370537150784644</v>
      </c>
      <c r="F1234" s="1278">
        <v>2.1833791913431599E-2</v>
      </c>
      <c r="G1234" s="1248">
        <v>9.3308471651263503</v>
      </c>
      <c r="H1234" s="1278">
        <v>0.39011447226433699</v>
      </c>
      <c r="I1234" s="1248">
        <v>5.3056611349440903E-2</v>
      </c>
      <c r="J1234" s="1278">
        <v>2.1306963779422999E-3</v>
      </c>
      <c r="K1234" s="1248">
        <v>3.00000790687681E-3</v>
      </c>
      <c r="L1234" s="1250">
        <v>1.9999968731087702E-3</v>
      </c>
      <c r="M1234" s="1273">
        <v>1.9999968731087702E-3</v>
      </c>
      <c r="N1234" s="1248">
        <v>3.1850009128239903E-2</v>
      </c>
      <c r="O1234" s="1249">
        <v>3.1850009128239903E-2</v>
      </c>
      <c r="P1234" s="1251">
        <v>1.5925004564119952E-2</v>
      </c>
      <c r="Q1234" s="1252">
        <v>5.5455595879436603E-2</v>
      </c>
    </row>
    <row r="1235" spans="1:17" s="212" customFormat="1" ht="15.5" x14ac:dyDescent="0.35">
      <c r="A1235" s="198">
        <v>2036</v>
      </c>
      <c r="B1235" s="197" t="s">
        <v>5842</v>
      </c>
      <c r="C1235" s="197">
        <v>2000</v>
      </c>
      <c r="D1235" s="213" t="str">
        <f t="shared" si="14"/>
        <v>2036_2000</v>
      </c>
      <c r="E1235" s="1267">
        <v>0.36677854277278799</v>
      </c>
      <c r="F1235" s="1278">
        <v>2.2127473943411999E-2</v>
      </c>
      <c r="G1235" s="1248">
        <v>9.4079213663150494</v>
      </c>
      <c r="H1235" s="1278">
        <v>0.39266333312567703</v>
      </c>
      <c r="I1235" s="1248">
        <v>5.2518422387611598E-2</v>
      </c>
      <c r="J1235" s="1278">
        <v>2.1626466339541199E-3</v>
      </c>
      <c r="K1235" s="1248">
        <v>3.0000101582334199E-3</v>
      </c>
      <c r="L1235" s="1250">
        <v>1.9999949398600298E-3</v>
      </c>
      <c r="M1235" s="1273">
        <v>1.9999949398600298E-3</v>
      </c>
      <c r="N1235" s="1248">
        <v>3.1850009128239903E-2</v>
      </c>
      <c r="O1235" s="1249">
        <v>3.1850009128239903E-2</v>
      </c>
      <c r="P1235" s="1251">
        <v>1.5925004564119952E-2</v>
      </c>
      <c r="Q1235" s="1252">
        <v>5.4893072400931602E-2</v>
      </c>
    </row>
    <row r="1236" spans="1:17" s="212" customFormat="1" ht="15.5" x14ac:dyDescent="0.35">
      <c r="A1236" s="198">
        <v>2036</v>
      </c>
      <c r="B1236" s="197" t="s">
        <v>5842</v>
      </c>
      <c r="C1236" s="197">
        <v>2001</v>
      </c>
      <c r="D1236" s="213" t="str">
        <f t="shared" si="14"/>
        <v>2036_2001</v>
      </c>
      <c r="E1236" s="1267">
        <v>0.37025955127937299</v>
      </c>
      <c r="F1236" s="1278">
        <v>2.2216147244260201E-2</v>
      </c>
      <c r="G1236" s="1248">
        <v>9.3365085700618593</v>
      </c>
      <c r="H1236" s="1278">
        <v>0.39396007007345601</v>
      </c>
      <c r="I1236" s="1248">
        <v>5.3016862328240703E-2</v>
      </c>
      <c r="J1236" s="1278">
        <v>2.1738834017533399E-3</v>
      </c>
      <c r="K1236" s="1248">
        <v>3.0000110884945098E-3</v>
      </c>
      <c r="L1236" s="1250">
        <v>1.9999969875076802E-3</v>
      </c>
      <c r="M1236" s="1273">
        <v>1.9999969875076802E-3</v>
      </c>
      <c r="N1236" s="1248">
        <v>3.1850009128239903E-2</v>
      </c>
      <c r="O1236" s="1249">
        <v>3.1850009128239903E-2</v>
      </c>
      <c r="P1236" s="1251">
        <v>1.5925004564119952E-2</v>
      </c>
      <c r="Q1236" s="1252">
        <v>5.5414049583881499E-2</v>
      </c>
    </row>
    <row r="1237" spans="1:17" s="212" customFormat="1" ht="15.5" x14ac:dyDescent="0.35">
      <c r="A1237" s="198">
        <v>2036</v>
      </c>
      <c r="B1237" s="197" t="s">
        <v>5842</v>
      </c>
      <c r="C1237" s="197">
        <v>2002</v>
      </c>
      <c r="D1237" s="213" t="str">
        <f t="shared" si="14"/>
        <v>2036_2002</v>
      </c>
      <c r="E1237" s="1267">
        <v>0.287057913512833</v>
      </c>
      <c r="F1237" s="1278">
        <v>2.2150300616575101E-2</v>
      </c>
      <c r="G1237" s="1248">
        <v>7.19513813400558</v>
      </c>
      <c r="H1237" s="1278">
        <v>0.31755353096116501</v>
      </c>
      <c r="I1237" s="1248">
        <v>5.3506994581906199E-2</v>
      </c>
      <c r="J1237" s="1278">
        <v>2.1714597780709E-3</v>
      </c>
      <c r="K1237" s="1248">
        <v>3.0000131271067602E-3</v>
      </c>
      <c r="L1237" s="1250">
        <v>1.9999959678298402E-3</v>
      </c>
      <c r="M1237" s="1273">
        <v>1.9999959678298402E-3</v>
      </c>
      <c r="N1237" s="1248">
        <v>3.1850009128239903E-2</v>
      </c>
      <c r="O1237" s="1249">
        <v>3.1850009128239903E-2</v>
      </c>
      <c r="P1237" s="1251">
        <v>1.5925004564119952E-2</v>
      </c>
      <c r="Q1237" s="1252">
        <v>5.59263434431281E-2</v>
      </c>
    </row>
    <row r="1238" spans="1:17" s="212" customFormat="1" ht="15.5" x14ac:dyDescent="0.35">
      <c r="A1238" s="198">
        <v>2036</v>
      </c>
      <c r="B1238" s="197" t="s">
        <v>5842</v>
      </c>
      <c r="C1238" s="197">
        <v>2003</v>
      </c>
      <c r="D1238" s="213" t="str">
        <f t="shared" si="14"/>
        <v>2036_2003</v>
      </c>
      <c r="E1238" s="1267">
        <v>0.28453451372083999</v>
      </c>
      <c r="F1238" s="1278">
        <v>2.1838986307436799E-2</v>
      </c>
      <c r="G1238" s="1248">
        <v>7.23842846397058</v>
      </c>
      <c r="H1238" s="1278">
        <v>0.31684276530271499</v>
      </c>
      <c r="I1238" s="1248">
        <v>5.3036638139382697E-2</v>
      </c>
      <c r="J1238" s="1278">
        <v>2.1399035239754701E-3</v>
      </c>
      <c r="K1238" s="1248">
        <v>3.0000111670358399E-3</v>
      </c>
      <c r="L1238" s="1250">
        <v>1.9999954715848802E-3</v>
      </c>
      <c r="M1238" s="1273">
        <v>1.9999954715848802E-3</v>
      </c>
      <c r="N1238" s="1248">
        <v>3.1850009128239903E-2</v>
      </c>
      <c r="O1238" s="1249">
        <v>3.1850009128239903E-2</v>
      </c>
      <c r="P1238" s="1251">
        <v>1.5925004564119952E-2</v>
      </c>
      <c r="Q1238" s="1252">
        <v>5.5434719569449398E-2</v>
      </c>
    </row>
    <row r="1239" spans="1:17" s="212" customFormat="1" ht="15.5" x14ac:dyDescent="0.35">
      <c r="A1239" s="198">
        <v>2036</v>
      </c>
      <c r="B1239" s="197" t="s">
        <v>5842</v>
      </c>
      <c r="C1239" s="197">
        <v>2004</v>
      </c>
      <c r="D1239" s="213" t="str">
        <f t="shared" si="14"/>
        <v>2036_2004</v>
      </c>
      <c r="E1239" s="1267">
        <v>0.576489635494429</v>
      </c>
      <c r="F1239" s="1278">
        <v>1.4295656755112501E-2</v>
      </c>
      <c r="G1239" s="1248">
        <v>4.1437582815335396</v>
      </c>
      <c r="H1239" s="1278">
        <v>0.267930562765477</v>
      </c>
      <c r="I1239" s="1248">
        <v>0.150168703501082</v>
      </c>
      <c r="J1239" s="1278">
        <v>1.3913300613197001E-4</v>
      </c>
      <c r="K1239" s="1248">
        <v>3.00001476061718E-3</v>
      </c>
      <c r="L1239" s="1250">
        <v>1.9999955840307999E-3</v>
      </c>
      <c r="M1239" s="1273">
        <v>1.9999955840307999E-3</v>
      </c>
      <c r="N1239" s="1248">
        <v>3.1850009128239903E-2</v>
      </c>
      <c r="O1239" s="1249">
        <v>3.1850009128239903E-2</v>
      </c>
      <c r="P1239" s="1251">
        <v>1.5925004564119952E-2</v>
      </c>
      <c r="Q1239" s="1252">
        <v>0.15695866590964799</v>
      </c>
    </row>
    <row r="1240" spans="1:17" s="212" customFormat="1" ht="15.5" x14ac:dyDescent="0.35">
      <c r="A1240" s="198">
        <v>2036</v>
      </c>
      <c r="B1240" s="197" t="s">
        <v>5842</v>
      </c>
      <c r="C1240" s="197">
        <v>2005</v>
      </c>
      <c r="D1240" s="213" t="str">
        <f t="shared" si="14"/>
        <v>2036_2005</v>
      </c>
      <c r="E1240" s="1267">
        <v>0.57425881574980098</v>
      </c>
      <c r="F1240" s="1278">
        <v>1.44369029074675E-2</v>
      </c>
      <c r="G1240" s="1248">
        <v>4.1366073318535097</v>
      </c>
      <c r="H1240" s="1278">
        <v>0.26996056253532402</v>
      </c>
      <c r="I1240" s="1248">
        <v>0.14967158406377401</v>
      </c>
      <c r="J1240" s="1278">
        <v>1.4106545668289699E-4</v>
      </c>
      <c r="K1240" s="1248">
        <v>3.00001304084835E-3</v>
      </c>
      <c r="L1240" s="1250">
        <v>1.9999951528887599E-3</v>
      </c>
      <c r="M1240" s="1273">
        <v>1.9999951528887599E-3</v>
      </c>
      <c r="N1240" s="1248">
        <v>3.1850009128239903E-2</v>
      </c>
      <c r="O1240" s="1249">
        <v>3.1850009128239903E-2</v>
      </c>
      <c r="P1240" s="1251">
        <v>1.5925004564119952E-2</v>
      </c>
      <c r="Q1240" s="1252">
        <v>0.15643906893732001</v>
      </c>
    </row>
    <row r="1241" spans="1:17" s="212" customFormat="1" ht="15.5" x14ac:dyDescent="0.35">
      <c r="A1241" s="198">
        <v>2036</v>
      </c>
      <c r="B1241" s="197" t="s">
        <v>5842</v>
      </c>
      <c r="C1241" s="197">
        <v>2006</v>
      </c>
      <c r="D1241" s="213" t="str">
        <f t="shared" si="14"/>
        <v>2036_2006</v>
      </c>
      <c r="E1241" s="1267">
        <v>0.57056797115481395</v>
      </c>
      <c r="F1241" s="1278">
        <v>1.45991682626427E-2</v>
      </c>
      <c r="G1241" s="1248">
        <v>4.1238622088356403</v>
      </c>
      <c r="H1241" s="1278">
        <v>0.27200918794954698</v>
      </c>
      <c r="I1241" s="1248">
        <v>0.14884105096478201</v>
      </c>
      <c r="J1241" s="1278">
        <v>1.4205076746308401E-4</v>
      </c>
      <c r="K1241" s="1248">
        <v>3.0000137207972801E-3</v>
      </c>
      <c r="L1241" s="1250">
        <v>1.9999939807146898E-3</v>
      </c>
      <c r="M1241" s="1273">
        <v>1.9999939807146898E-3</v>
      </c>
      <c r="N1241" s="1248">
        <v>3.1850009128239903E-2</v>
      </c>
      <c r="O1241" s="1249">
        <v>3.1850009128239903E-2</v>
      </c>
      <c r="P1241" s="1251">
        <v>1.5925004564119952E-2</v>
      </c>
      <c r="Q1241" s="1252">
        <v>0.155570982817028</v>
      </c>
    </row>
    <row r="1242" spans="1:17" s="212" customFormat="1" ht="15.5" x14ac:dyDescent="0.35">
      <c r="A1242" s="198">
        <v>2036</v>
      </c>
      <c r="B1242" s="197" t="s">
        <v>5842</v>
      </c>
      <c r="C1242" s="197">
        <v>2007</v>
      </c>
      <c r="D1242" s="213" t="str">
        <f t="shared" si="14"/>
        <v>2036_2007</v>
      </c>
      <c r="E1242" s="1267">
        <v>0.33288968950549402</v>
      </c>
      <c r="F1242" s="1278">
        <v>1.45393409512099E-2</v>
      </c>
      <c r="G1242" s="1248">
        <v>2.4823890454150499</v>
      </c>
      <c r="H1242" s="1278">
        <v>0.27284745254776199</v>
      </c>
      <c r="I1242" s="1248">
        <v>8.7417026627989294E-2</v>
      </c>
      <c r="J1242" s="1278">
        <v>1.45120073541968E-4</v>
      </c>
      <c r="K1242" s="1248">
        <v>3.0000147551548701E-3</v>
      </c>
      <c r="L1242" s="1250">
        <v>1.9999974159496401E-3</v>
      </c>
      <c r="M1242" s="1273">
        <v>1.9999974159496401E-3</v>
      </c>
      <c r="N1242" s="1248">
        <v>3.1850009128239903E-2</v>
      </c>
      <c r="O1242" s="1249">
        <v>3.1850009128239903E-2</v>
      </c>
      <c r="P1242" s="1251">
        <v>1.5925004564119952E-2</v>
      </c>
      <c r="Q1242" s="1252">
        <v>9.1369636664796403E-2</v>
      </c>
    </row>
    <row r="1243" spans="1:17" s="212" customFormat="1" ht="15.5" x14ac:dyDescent="0.35">
      <c r="A1243" s="198">
        <v>2036</v>
      </c>
      <c r="B1243" s="197" t="s">
        <v>5842</v>
      </c>
      <c r="C1243" s="197">
        <v>2008</v>
      </c>
      <c r="D1243" s="213" t="str">
        <f t="shared" si="14"/>
        <v>2036_2008</v>
      </c>
      <c r="E1243" s="1267">
        <v>0.34039187490325901</v>
      </c>
      <c r="F1243" s="1278">
        <v>9.8877808580919505E-3</v>
      </c>
      <c r="G1243" s="1248">
        <v>2.5065439739145798</v>
      </c>
      <c r="H1243" s="1278">
        <v>0.15846892705351701</v>
      </c>
      <c r="I1243" s="1248">
        <v>8.8985762352022504E-2</v>
      </c>
      <c r="J1243" s="1278">
        <v>1.4133592852243499E-4</v>
      </c>
      <c r="K1243" s="1248">
        <v>3.0000085431074598E-3</v>
      </c>
      <c r="L1243" s="1250">
        <v>1.9999953033915099E-3</v>
      </c>
      <c r="M1243" s="1273">
        <v>1.9999953033915099E-3</v>
      </c>
      <c r="N1243" s="1248">
        <v>3.1850009128239903E-2</v>
      </c>
      <c r="O1243" s="1249">
        <v>3.1850009128239903E-2</v>
      </c>
      <c r="P1243" s="1251">
        <v>1.5925004564119952E-2</v>
      </c>
      <c r="Q1243" s="1252">
        <v>9.3009303657108605E-2</v>
      </c>
    </row>
    <row r="1244" spans="1:17" s="212" customFormat="1" ht="15.5" x14ac:dyDescent="0.35">
      <c r="A1244" s="198">
        <v>2036</v>
      </c>
      <c r="B1244" s="197" t="s">
        <v>5842</v>
      </c>
      <c r="C1244" s="197">
        <v>2009</v>
      </c>
      <c r="D1244" s="213" t="str">
        <f t="shared" si="14"/>
        <v>2036_2009</v>
      </c>
      <c r="E1244" s="1267">
        <v>0.33882036351832001</v>
      </c>
      <c r="F1244" s="1278">
        <v>4.8156249229856004E-3</v>
      </c>
      <c r="G1244" s="1248">
        <v>2.5014615904841202</v>
      </c>
      <c r="H1244" s="1278">
        <v>4.2873491546928599E-2</v>
      </c>
      <c r="I1244" s="1248">
        <v>8.8641005401828496E-2</v>
      </c>
      <c r="J1244" s="1278">
        <v>1.29858426541204E-4</v>
      </c>
      <c r="K1244" s="1248">
        <v>3.0000093730967398E-3</v>
      </c>
      <c r="L1244" s="1250">
        <v>1.9999938026814398E-3</v>
      </c>
      <c r="M1244" s="1273">
        <v>1.9999938026814398E-3</v>
      </c>
      <c r="N1244" s="1248">
        <v>3.1850009128239903E-2</v>
      </c>
      <c r="O1244" s="1249">
        <v>3.1850009128239903E-2</v>
      </c>
      <c r="P1244" s="1251">
        <v>1.5925004564119952E-2</v>
      </c>
      <c r="Q1244" s="1252">
        <v>9.2648958327463296E-2</v>
      </c>
    </row>
    <row r="1245" spans="1:17" s="212" customFormat="1" ht="15.5" x14ac:dyDescent="0.35">
      <c r="A1245" s="198">
        <v>2036</v>
      </c>
      <c r="B1245" s="197" t="s">
        <v>5842</v>
      </c>
      <c r="C1245" s="197">
        <v>2010</v>
      </c>
      <c r="D1245" s="213" t="str">
        <f t="shared" si="14"/>
        <v>2036_2010</v>
      </c>
      <c r="E1245" s="1267">
        <v>9.0367614405967495E-2</v>
      </c>
      <c r="F1245" s="1278">
        <v>4.8242693096494501E-3</v>
      </c>
      <c r="G1245" s="1248">
        <v>0.82498624143052002</v>
      </c>
      <c r="H1245" s="1278">
        <v>4.32357429700546E-2</v>
      </c>
      <c r="I1245" s="1248">
        <v>2.4815731969563101E-2</v>
      </c>
      <c r="J1245" s="1278">
        <v>1.58604780595674E-4</v>
      </c>
      <c r="K1245" s="1248">
        <v>3.0000146549660398E-3</v>
      </c>
      <c r="L1245" s="1250">
        <v>1.9999997264792801E-3</v>
      </c>
      <c r="M1245" s="1273">
        <v>1.9999997264792801E-3</v>
      </c>
      <c r="N1245" s="1248">
        <v>3.1850009128239903E-2</v>
      </c>
      <c r="O1245" s="1249">
        <v>3.1850009128239903E-2</v>
      </c>
      <c r="P1245" s="1251">
        <v>1.5925004564119952E-2</v>
      </c>
      <c r="Q1245" s="1252">
        <v>2.5937789251046998E-2</v>
      </c>
    </row>
    <row r="1246" spans="1:17" s="212" customFormat="1" ht="15.5" x14ac:dyDescent="0.35">
      <c r="A1246" s="198">
        <v>2036</v>
      </c>
      <c r="B1246" s="197" t="s">
        <v>5842</v>
      </c>
      <c r="C1246" s="197">
        <v>2011</v>
      </c>
      <c r="D1246" s="213" t="str">
        <f t="shared" si="14"/>
        <v>2036_2011</v>
      </c>
      <c r="E1246" s="1267">
        <v>8.9538121424157194E-2</v>
      </c>
      <c r="F1246" s="1278">
        <v>5.0171543404168304E-3</v>
      </c>
      <c r="G1246" s="1248">
        <v>0.82155879754092098</v>
      </c>
      <c r="H1246" s="1278">
        <v>4.3138032948338699E-2</v>
      </c>
      <c r="I1246" s="1248">
        <v>2.4661018925716399E-2</v>
      </c>
      <c r="J1246" s="1278">
        <v>2.16859394811952E-4</v>
      </c>
      <c r="K1246" s="1248">
        <v>3.0000152962837202E-3</v>
      </c>
      <c r="L1246" s="1250">
        <v>1.9999968386309498E-3</v>
      </c>
      <c r="M1246" s="1273">
        <v>1.9999968386309498E-3</v>
      </c>
      <c r="N1246" s="1248">
        <v>3.1850009128239903E-2</v>
      </c>
      <c r="O1246" s="1249">
        <v>3.1850009128239903E-2</v>
      </c>
      <c r="P1246" s="1251">
        <v>1.5925004564119952E-2</v>
      </c>
      <c r="Q1246" s="1252">
        <v>2.5776080769886599E-2</v>
      </c>
    </row>
    <row r="1247" spans="1:17" s="212" customFormat="1" ht="15.5" x14ac:dyDescent="0.35">
      <c r="A1247" s="198">
        <v>2036</v>
      </c>
      <c r="B1247" s="197" t="s">
        <v>5842</v>
      </c>
      <c r="C1247" s="197">
        <v>2012</v>
      </c>
      <c r="D1247" s="213" t="str">
        <f t="shared" si="14"/>
        <v>2036_2012</v>
      </c>
      <c r="E1247" s="1267">
        <v>9.0271520909266503E-2</v>
      </c>
      <c r="F1247" s="1278">
        <v>5.0092680657226997E-3</v>
      </c>
      <c r="G1247" s="1248">
        <v>0.824755849894659</v>
      </c>
      <c r="H1247" s="1278">
        <v>4.3220600898734703E-2</v>
      </c>
      <c r="I1247" s="1248">
        <v>2.4800563035418201E-2</v>
      </c>
      <c r="J1247" s="1278">
        <v>3.1665766397838001E-4</v>
      </c>
      <c r="K1247" s="1248">
        <v>3.0000139769525399E-3</v>
      </c>
      <c r="L1247" s="1250">
        <v>1.9999954206175998E-3</v>
      </c>
      <c r="M1247" s="1273">
        <v>1.9999954206175998E-3</v>
      </c>
      <c r="N1247" s="1248">
        <v>3.1850009128239903E-2</v>
      </c>
      <c r="O1247" s="1249">
        <v>3.1850009128239903E-2</v>
      </c>
      <c r="P1247" s="1251">
        <v>1.5925004564119952E-2</v>
      </c>
      <c r="Q1247" s="1252">
        <v>2.5921934445011199E-2</v>
      </c>
    </row>
    <row r="1248" spans="1:17" s="212" customFormat="1" ht="15.5" x14ac:dyDescent="0.35">
      <c r="A1248" s="198">
        <v>2036</v>
      </c>
      <c r="B1248" s="197" t="s">
        <v>5842</v>
      </c>
      <c r="C1248" s="197">
        <v>2013</v>
      </c>
      <c r="D1248" s="213" t="str">
        <f t="shared" ref="D1248:D1333" si="15">CONCATENATE(A1248,"_",C1248)</f>
        <v>2036_2013</v>
      </c>
      <c r="E1248" s="1267">
        <v>9.0196588251179002E-2</v>
      </c>
      <c r="F1248" s="1278">
        <v>5.0708480445432703E-3</v>
      </c>
      <c r="G1248" s="1248">
        <v>0.82253213781452905</v>
      </c>
      <c r="H1248" s="1278">
        <v>4.2979988901979002E-2</v>
      </c>
      <c r="I1248" s="1248">
        <v>2.4733848403953599E-2</v>
      </c>
      <c r="J1248" s="1278">
        <v>4.7539245561085801E-4</v>
      </c>
      <c r="K1248" s="1248">
        <v>3.0000148492119101E-3</v>
      </c>
      <c r="L1248" s="1250">
        <v>1.9999991518037902E-3</v>
      </c>
      <c r="M1248" s="1273">
        <v>1.9999991518037902E-3</v>
      </c>
      <c r="N1248" s="1248">
        <v>3.1850009128239903E-2</v>
      </c>
      <c r="O1248" s="1249">
        <v>3.1850009128239903E-2</v>
      </c>
      <c r="P1248" s="1251">
        <v>1.5925004564119952E-2</v>
      </c>
      <c r="Q1248" s="1252">
        <v>2.58522032739536E-2</v>
      </c>
    </row>
    <row r="1249" spans="1:17" s="212" customFormat="1" ht="15.5" x14ac:dyDescent="0.35">
      <c r="A1249" s="198">
        <v>2036</v>
      </c>
      <c r="B1249" s="197" t="s">
        <v>5842</v>
      </c>
      <c r="C1249" s="197">
        <v>2014</v>
      </c>
      <c r="D1249" s="213" t="str">
        <f t="shared" si="15"/>
        <v>2036_2014</v>
      </c>
      <c r="E1249" s="1267">
        <v>8.9028504223105695E-2</v>
      </c>
      <c r="F1249" s="1278">
        <v>4.97002112406408E-3</v>
      </c>
      <c r="G1249" s="1248">
        <v>0.81622408756964204</v>
      </c>
      <c r="H1249" s="1278">
        <v>4.31467083407737E-2</v>
      </c>
      <c r="I1249" s="1248">
        <v>2.4433352755024298E-2</v>
      </c>
      <c r="J1249" s="1278">
        <v>6.6008079582265296E-4</v>
      </c>
      <c r="K1249" s="1248">
        <v>3.00001570499374E-3</v>
      </c>
      <c r="L1249" s="1250">
        <v>2.0000001552651701E-3</v>
      </c>
      <c r="M1249" s="1273">
        <v>2.0000001552651701E-3</v>
      </c>
      <c r="N1249" s="1248">
        <v>3.1850009128239903E-2</v>
      </c>
      <c r="O1249" s="1249">
        <v>3.1850009128239903E-2</v>
      </c>
      <c r="P1249" s="1251">
        <v>1.5925004564119952E-2</v>
      </c>
      <c r="Q1249" s="1252">
        <v>2.5538120545209399E-2</v>
      </c>
    </row>
    <row r="1250" spans="1:17" s="212" customFormat="1" ht="15.5" x14ac:dyDescent="0.35">
      <c r="A1250" s="198">
        <v>2036</v>
      </c>
      <c r="B1250" s="197" t="s">
        <v>5842</v>
      </c>
      <c r="C1250" s="197">
        <v>2015</v>
      </c>
      <c r="D1250" s="213" t="str">
        <f t="shared" si="15"/>
        <v>2036_2015</v>
      </c>
      <c r="E1250" s="1267">
        <v>8.9069855384720995E-2</v>
      </c>
      <c r="F1250" s="1278">
        <v>5.1091629405243802E-3</v>
      </c>
      <c r="G1250" s="1248">
        <v>0.81368117137435103</v>
      </c>
      <c r="H1250" s="1278">
        <v>4.2861539454352303E-2</v>
      </c>
      <c r="I1250" s="1248">
        <v>2.4306455020842901E-2</v>
      </c>
      <c r="J1250" s="1278">
        <v>8.35435936373063E-4</v>
      </c>
      <c r="K1250" s="1248">
        <v>3.0000153994098498E-3</v>
      </c>
      <c r="L1250" s="1250">
        <v>1.9999999607327899E-3</v>
      </c>
      <c r="M1250" s="1273">
        <v>1.9999999607327899E-3</v>
      </c>
      <c r="N1250" s="1248">
        <v>3.1850009128239903E-2</v>
      </c>
      <c r="O1250" s="1249">
        <v>3.1850009128239903E-2</v>
      </c>
      <c r="P1250" s="1251">
        <v>1.5925004564119952E-2</v>
      </c>
      <c r="Q1250" s="1252">
        <v>2.5405485058588698E-2</v>
      </c>
    </row>
    <row r="1251" spans="1:17" s="212" customFormat="1" ht="15.5" x14ac:dyDescent="0.35">
      <c r="A1251" s="198">
        <v>2036</v>
      </c>
      <c r="B1251" s="197" t="s">
        <v>5842</v>
      </c>
      <c r="C1251" s="197">
        <v>2016</v>
      </c>
      <c r="D1251" s="213" t="str">
        <f t="shared" si="15"/>
        <v>2036_2016</v>
      </c>
      <c r="E1251" s="1267">
        <v>8.8915244670421806E-2</v>
      </c>
      <c r="F1251" s="1278">
        <v>4.7225727775821597E-3</v>
      </c>
      <c r="G1251" s="1248">
        <v>0.71529190243798202</v>
      </c>
      <c r="H1251" s="1278">
        <v>4.0064500575996399E-2</v>
      </c>
      <c r="I1251" s="1248">
        <v>2.40950021743346E-2</v>
      </c>
      <c r="J1251" s="1278">
        <v>9.6136080995107601E-4</v>
      </c>
      <c r="K1251" s="1248">
        <v>3.0000164370153001E-3</v>
      </c>
      <c r="L1251" s="1250">
        <v>1.99999852638262E-3</v>
      </c>
      <c r="M1251" s="1273">
        <v>1.99999852638262E-3</v>
      </c>
      <c r="N1251" s="1248">
        <v>3.1850009128239903E-2</v>
      </c>
      <c r="O1251" s="1249">
        <v>3.1850009128239903E-2</v>
      </c>
      <c r="P1251" s="1251">
        <v>1.5925004564119952E-2</v>
      </c>
      <c r="Q1251" s="1252">
        <v>2.5184471252669399E-2</v>
      </c>
    </row>
    <row r="1252" spans="1:17" s="212" customFormat="1" ht="15.5" x14ac:dyDescent="0.35">
      <c r="A1252" s="198">
        <v>2036</v>
      </c>
      <c r="B1252" s="197" t="s">
        <v>5842</v>
      </c>
      <c r="C1252" s="197">
        <v>2017</v>
      </c>
      <c r="D1252" s="213" t="str">
        <f t="shared" si="15"/>
        <v>2036_2017</v>
      </c>
      <c r="E1252" s="1267">
        <v>8.7505331093456706E-2</v>
      </c>
      <c r="F1252" s="1278">
        <v>4.464777940991E-3</v>
      </c>
      <c r="G1252" s="1248">
        <v>0.61286827569692004</v>
      </c>
      <c r="H1252" s="1278">
        <v>3.7076558789003303E-2</v>
      </c>
      <c r="I1252" s="1248">
        <v>2.3598474386005999E-2</v>
      </c>
      <c r="J1252" s="1278">
        <v>1.0365924727548199E-3</v>
      </c>
      <c r="K1252" s="1248">
        <v>3.0000172817020898E-3</v>
      </c>
      <c r="L1252" s="1250">
        <v>2.00000064003325E-3</v>
      </c>
      <c r="M1252" s="1273">
        <v>2.00000064003325E-3</v>
      </c>
      <c r="N1252" s="1248">
        <v>3.1850009128239903E-2</v>
      </c>
      <c r="O1252" s="1249">
        <v>3.1850009128239903E-2</v>
      </c>
      <c r="P1252" s="1251">
        <v>1.5925004564119952E-2</v>
      </c>
      <c r="Q1252" s="1252">
        <v>2.4665492681061999E-2</v>
      </c>
    </row>
    <row r="1253" spans="1:17" s="212" customFormat="1" ht="15.5" x14ac:dyDescent="0.35">
      <c r="A1253" s="198">
        <v>2036</v>
      </c>
      <c r="B1253" s="197" t="s">
        <v>5842</v>
      </c>
      <c r="C1253" s="197">
        <v>2018</v>
      </c>
      <c r="D1253" s="213" t="str">
        <f t="shared" si="15"/>
        <v>2036_2018</v>
      </c>
      <c r="E1253" s="1267">
        <v>8.7927189672129702E-2</v>
      </c>
      <c r="F1253" s="1278">
        <v>3.9358413720938399E-3</v>
      </c>
      <c r="G1253" s="1248">
        <v>0.50511740593247501</v>
      </c>
      <c r="H1253" s="1278">
        <v>3.29706298555935E-2</v>
      </c>
      <c r="I1253" s="1248">
        <v>2.3399706980661902E-2</v>
      </c>
      <c r="J1253" s="1278">
        <v>1.07819277696084E-3</v>
      </c>
      <c r="K1253" s="1248">
        <v>3.0000157935042098E-3</v>
      </c>
      <c r="L1253" s="1250">
        <v>2.0000009243335099E-3</v>
      </c>
      <c r="M1253" s="1273">
        <v>2.0000009243335099E-3</v>
      </c>
      <c r="N1253" s="1248">
        <v>3.1850009128239903E-2</v>
      </c>
      <c r="O1253" s="1249">
        <v>3.1850009128239903E-2</v>
      </c>
      <c r="P1253" s="1251">
        <v>1.5925004564119952E-2</v>
      </c>
      <c r="Q1253" s="1252">
        <v>2.44577378956655E-2</v>
      </c>
    </row>
    <row r="1254" spans="1:17" s="212" customFormat="1" ht="15.5" x14ac:dyDescent="0.35">
      <c r="A1254" s="198">
        <v>2036</v>
      </c>
      <c r="B1254" s="197" t="s">
        <v>5842</v>
      </c>
      <c r="C1254" s="197">
        <v>2019</v>
      </c>
      <c r="D1254" s="213" t="str">
        <f t="shared" si="15"/>
        <v>2036_2019</v>
      </c>
      <c r="E1254" s="1267">
        <v>8.7615485553238004E-2</v>
      </c>
      <c r="F1254" s="1278">
        <v>3.3860467824070898E-3</v>
      </c>
      <c r="G1254" s="1248">
        <v>0.43374833102849603</v>
      </c>
      <c r="H1254" s="1278">
        <v>2.8729466281548401E-2</v>
      </c>
      <c r="I1254" s="1248">
        <v>2.3009559523285601E-2</v>
      </c>
      <c r="J1254" s="1278">
        <v>1.09992335006108E-3</v>
      </c>
      <c r="K1254" s="1248">
        <v>3.0000160935061502E-3</v>
      </c>
      <c r="L1254" s="1250">
        <v>1.9999915087252499E-3</v>
      </c>
      <c r="M1254" s="1273">
        <v>1.9999915087252499E-3</v>
      </c>
      <c r="N1254" s="1248">
        <v>3.1850009128239903E-2</v>
      </c>
      <c r="O1254" s="1249">
        <v>3.1850009128239903E-2</v>
      </c>
      <c r="P1254" s="1251">
        <v>1.5925004564119952E-2</v>
      </c>
      <c r="Q1254" s="1252">
        <v>2.4049949701520398E-2</v>
      </c>
    </row>
    <row r="1255" spans="1:17" s="212" customFormat="1" ht="15.5" x14ac:dyDescent="0.35">
      <c r="A1255" s="198">
        <v>2036</v>
      </c>
      <c r="B1255" s="197" t="s">
        <v>5842</v>
      </c>
      <c r="C1255" s="197">
        <v>2020</v>
      </c>
      <c r="D1255" s="213" t="str">
        <f t="shared" si="15"/>
        <v>2036_2020</v>
      </c>
      <c r="E1255" s="1267">
        <v>7.6709319861464301E-2</v>
      </c>
      <c r="F1255" s="1278">
        <v>2.74606727103109E-3</v>
      </c>
      <c r="G1255" s="1248">
        <v>0.33894069032645702</v>
      </c>
      <c r="H1255" s="1278">
        <v>2.48199049540638E-2</v>
      </c>
      <c r="I1255" s="1248">
        <v>2.0611691898830199E-2</v>
      </c>
      <c r="J1255" s="1278">
        <v>1.08685320965969E-3</v>
      </c>
      <c r="K1255" s="1248">
        <v>3.0000052729050901E-3</v>
      </c>
      <c r="L1255" s="1250">
        <v>1.9999913293811699E-3</v>
      </c>
      <c r="M1255" s="1273">
        <v>1.9999913293811699E-3</v>
      </c>
      <c r="N1255" s="1248">
        <v>3.1850009128239903E-2</v>
      </c>
      <c r="O1255" s="1249">
        <v>3.1850009128239903E-2</v>
      </c>
      <c r="P1255" s="1251">
        <v>1.5925004564119952E-2</v>
      </c>
      <c r="Q1255" s="1252">
        <v>2.1543661143467101E-2</v>
      </c>
    </row>
    <row r="1256" spans="1:17" s="212" customFormat="1" ht="15.5" x14ac:dyDescent="0.35">
      <c r="A1256" s="198">
        <v>2036</v>
      </c>
      <c r="B1256" s="197" t="s">
        <v>5842</v>
      </c>
      <c r="C1256" s="197">
        <v>2021</v>
      </c>
      <c r="D1256" s="213" t="str">
        <f t="shared" si="15"/>
        <v>2036_2021</v>
      </c>
      <c r="E1256" s="1267">
        <v>7.6055481150734003E-2</v>
      </c>
      <c r="F1256" s="1278">
        <v>2.3238592872459598E-3</v>
      </c>
      <c r="G1256" s="1248">
        <v>0.27354129404945299</v>
      </c>
      <c r="H1256" s="1278">
        <v>2.0801953921854101E-2</v>
      </c>
      <c r="I1256" s="1248">
        <v>2.0091833087014701E-2</v>
      </c>
      <c r="J1256" s="1278">
        <v>1.0870305548923999E-3</v>
      </c>
      <c r="K1256" s="1248">
        <v>3.00000540189464E-3</v>
      </c>
      <c r="L1256" s="1250">
        <v>1.9999914288867699E-3</v>
      </c>
      <c r="M1256" s="1273">
        <v>1.9999914288867699E-3</v>
      </c>
      <c r="N1256" s="1248">
        <v>3.1850009128239903E-2</v>
      </c>
      <c r="O1256" s="1249">
        <v>3.1850009128239903E-2</v>
      </c>
      <c r="P1256" s="1251">
        <v>1.5925004564119952E-2</v>
      </c>
      <c r="Q1256" s="1252">
        <v>2.1000296623020699E-2</v>
      </c>
    </row>
    <row r="1257" spans="1:17" s="212" customFormat="1" ht="15.5" x14ac:dyDescent="0.35">
      <c r="A1257" s="198">
        <v>2036</v>
      </c>
      <c r="B1257" s="197" t="s">
        <v>5842</v>
      </c>
      <c r="C1257" s="197">
        <v>2022</v>
      </c>
      <c r="D1257" s="213" t="str">
        <f t="shared" si="15"/>
        <v>2036_2022</v>
      </c>
      <c r="E1257" s="1267">
        <v>7.5321928911948999E-2</v>
      </c>
      <c r="F1257" s="1278">
        <v>1.9153144980792701E-3</v>
      </c>
      <c r="G1257" s="1248">
        <v>0.20846603765213401</v>
      </c>
      <c r="H1257" s="1278">
        <v>1.6967197511454101E-2</v>
      </c>
      <c r="I1257" s="1248">
        <v>1.95117371002748E-2</v>
      </c>
      <c r="J1257" s="1278">
        <v>1.08719999727093E-3</v>
      </c>
      <c r="K1257" s="1248">
        <v>3.0000055326331399E-3</v>
      </c>
      <c r="L1257" s="1250">
        <v>1.9999915272130402E-3</v>
      </c>
      <c r="M1257" s="1273">
        <v>1.9999915272130402E-3</v>
      </c>
      <c r="N1257" s="1248">
        <v>3.1850009128239903E-2</v>
      </c>
      <c r="O1257" s="1249">
        <v>3.1850009128239903E-2</v>
      </c>
      <c r="P1257" s="1251">
        <v>1.5925004564119952E-2</v>
      </c>
      <c r="Q1257" s="1252">
        <v>2.0393971269898101E-2</v>
      </c>
    </row>
    <row r="1258" spans="1:17" s="212" customFormat="1" ht="15.5" x14ac:dyDescent="0.35">
      <c r="A1258" s="198">
        <v>2036</v>
      </c>
      <c r="B1258" s="197" t="s">
        <v>5842</v>
      </c>
      <c r="C1258" s="197">
        <v>2023</v>
      </c>
      <c r="D1258" s="213" t="str">
        <f t="shared" si="15"/>
        <v>2036_2023</v>
      </c>
      <c r="E1258" s="1267">
        <v>7.4508802768038201E-2</v>
      </c>
      <c r="F1258" s="1278">
        <v>1.9151377314116399E-3</v>
      </c>
      <c r="G1258" s="1248">
        <v>0.20427901408906801</v>
      </c>
      <c r="H1258" s="1278">
        <v>1.6781346945843101E-2</v>
      </c>
      <c r="I1258" s="1248">
        <v>1.8871396082382402E-2</v>
      </c>
      <c r="J1258" s="1278">
        <v>1.0873604239635701E-3</v>
      </c>
      <c r="K1258" s="1248">
        <v>3.0000056645180699E-3</v>
      </c>
      <c r="L1258" s="1250">
        <v>1.9999916232082702E-3</v>
      </c>
      <c r="M1258" s="1273">
        <v>1.9999916232082702E-3</v>
      </c>
      <c r="N1258" s="1248">
        <v>3.1850009128239903E-2</v>
      </c>
      <c r="O1258" s="1249">
        <v>3.1850009128239903E-2</v>
      </c>
      <c r="P1258" s="1251">
        <v>1.5925004564119952E-2</v>
      </c>
      <c r="Q1258" s="1252">
        <v>1.9724676872647898E-2</v>
      </c>
    </row>
    <row r="1259" spans="1:17" s="212" customFormat="1" ht="15.5" x14ac:dyDescent="0.35">
      <c r="A1259" s="198">
        <v>2036</v>
      </c>
      <c r="B1259" s="197" t="s">
        <v>5842</v>
      </c>
      <c r="C1259" s="197">
        <v>2024</v>
      </c>
      <c r="D1259" s="213" t="str">
        <f t="shared" si="15"/>
        <v>2036_2024</v>
      </c>
      <c r="E1259" s="1267">
        <v>7.3615536294840106E-2</v>
      </c>
      <c r="F1259" s="1278">
        <v>1.9251048700508E-3</v>
      </c>
      <c r="G1259" s="1248">
        <v>0.19969639695904501</v>
      </c>
      <c r="H1259" s="1278">
        <v>1.6679515596662399E-2</v>
      </c>
      <c r="I1259" s="1248">
        <v>1.8170700835989099E-2</v>
      </c>
      <c r="J1259" s="1278">
        <v>1.0875109731182E-3</v>
      </c>
      <c r="K1259" s="1248">
        <v>3.0000057976252502E-3</v>
      </c>
      <c r="L1259" s="1250">
        <v>1.9999917166330901E-3</v>
      </c>
      <c r="M1259" s="1275">
        <v>2.00000054746277E-3</v>
      </c>
      <c r="N1259" s="1248">
        <v>3.1850009128239903E-2</v>
      </c>
      <c r="O1259" s="1249">
        <v>3.1850009128239903E-2</v>
      </c>
      <c r="P1259" s="1260">
        <v>1.59250045641199E-2</v>
      </c>
      <c r="Q1259" s="1252">
        <v>1.8992299296501699E-2</v>
      </c>
    </row>
    <row r="1260" spans="1:17" s="212" customFormat="1" ht="15.5" x14ac:dyDescent="0.35">
      <c r="A1260" s="198">
        <v>2036</v>
      </c>
      <c r="B1260" s="197" t="s">
        <v>5842</v>
      </c>
      <c r="C1260" s="197">
        <v>2025</v>
      </c>
      <c r="D1260" s="213" t="str">
        <f t="shared" si="15"/>
        <v>2036_2025</v>
      </c>
      <c r="E1260" s="1267">
        <v>7.2641562111611394E-2</v>
      </c>
      <c r="F1260" s="1278">
        <v>1.94307213237848E-3</v>
      </c>
      <c r="G1260" s="1248">
        <v>0.19471735674141899</v>
      </c>
      <c r="H1260" s="1278">
        <v>1.66386081068522E-2</v>
      </c>
      <c r="I1260" s="1248">
        <v>1.7409543960084699E-2</v>
      </c>
      <c r="J1260" s="1278">
        <v>1.08764892107208E-3</v>
      </c>
      <c r="K1260" s="1248">
        <v>3.0000059329714402E-3</v>
      </c>
      <c r="L1260" s="1250">
        <v>1.9999918074869701E-3</v>
      </c>
      <c r="M1260" s="1275">
        <v>2.0000006277638501E-3</v>
      </c>
      <c r="N1260" s="1248">
        <v>3.1850009128239903E-2</v>
      </c>
      <c r="O1260" s="1249">
        <v>3.1850009128239903E-2</v>
      </c>
      <c r="P1260" s="1260">
        <v>1.59250045641199E-2</v>
      </c>
      <c r="Q1260" s="1252">
        <v>1.81967262842526E-2</v>
      </c>
    </row>
    <row r="1261" spans="1:17" s="212" customFormat="1" ht="15.5" x14ac:dyDescent="0.35">
      <c r="A1261" s="198">
        <v>2036</v>
      </c>
      <c r="B1261" s="197" t="s">
        <v>5842</v>
      </c>
      <c r="C1261" s="197">
        <v>2026</v>
      </c>
      <c r="D1261" s="213" t="str">
        <f t="shared" si="15"/>
        <v>2036_2026</v>
      </c>
      <c r="E1261" s="1267">
        <v>7.1588799905554598E-2</v>
      </c>
      <c r="F1261" s="1278">
        <v>1.96264786853196E-3</v>
      </c>
      <c r="G1261" s="1248">
        <v>0.189365424078799</v>
      </c>
      <c r="H1261" s="1278">
        <v>1.6593662772135601E-2</v>
      </c>
      <c r="I1261" s="1248">
        <v>1.6588252670844999E-2</v>
      </c>
      <c r="J1261" s="1278">
        <v>1.08778720014685E-3</v>
      </c>
      <c r="K1261" s="1248">
        <v>3.0000060751431399E-3</v>
      </c>
      <c r="L1261" s="1250">
        <v>1.9999919012467101E-3</v>
      </c>
      <c r="M1261" s="1275">
        <v>2.0000007066188E-3</v>
      </c>
      <c r="N1261" s="1248">
        <v>3.1850009128239903E-2</v>
      </c>
      <c r="O1261" s="1249">
        <v>3.1850009128239903E-2</v>
      </c>
      <c r="P1261" s="1260">
        <v>1.59250045641199E-2</v>
      </c>
      <c r="Q1261" s="1252">
        <v>1.7338299847339599E-2</v>
      </c>
    </row>
    <row r="1262" spans="1:17" s="212" customFormat="1" ht="15.5" x14ac:dyDescent="0.35">
      <c r="A1262" s="198">
        <v>2036</v>
      </c>
      <c r="B1262" s="197" t="s">
        <v>5842</v>
      </c>
      <c r="C1262" s="197">
        <v>2027</v>
      </c>
      <c r="D1262" s="213" t="str">
        <f t="shared" si="15"/>
        <v>2036_2027</v>
      </c>
      <c r="E1262" s="1267">
        <v>7.0458544737974596E-2</v>
      </c>
      <c r="F1262" s="1278">
        <v>1.9805857883592498E-3</v>
      </c>
      <c r="G1262" s="1248">
        <v>0.18360045907800701</v>
      </c>
      <c r="H1262" s="1278">
        <v>1.6504082140384999E-2</v>
      </c>
      <c r="I1262" s="1248">
        <v>1.5706988098216398E-2</v>
      </c>
      <c r="J1262" s="1278">
        <v>1.08793058692588E-3</v>
      </c>
      <c r="K1262" s="1248">
        <v>3.0000062221697799E-3</v>
      </c>
      <c r="L1262" s="1250">
        <v>1.9999919979536299E-3</v>
      </c>
      <c r="M1262" s="1275">
        <v>2.0000008124820101E-3</v>
      </c>
      <c r="N1262" s="1248">
        <v>3.1850009128239903E-2</v>
      </c>
      <c r="O1262" s="1249">
        <v>3.1850009128239903E-2</v>
      </c>
      <c r="P1262" s="1260">
        <v>1.59250045641199E-2</v>
      </c>
      <c r="Q1262" s="1252">
        <v>1.6417188401290299E-2</v>
      </c>
    </row>
    <row r="1263" spans="1:17" s="212" customFormat="1" ht="15.5" x14ac:dyDescent="0.35">
      <c r="A1263" s="198">
        <v>2036</v>
      </c>
      <c r="B1263" s="197" t="s">
        <v>5842</v>
      </c>
      <c r="C1263" s="197">
        <v>2028</v>
      </c>
      <c r="D1263" s="213" t="str">
        <f t="shared" si="15"/>
        <v>2036_2028</v>
      </c>
      <c r="E1263" s="1267">
        <v>6.92499083475204E-2</v>
      </c>
      <c r="F1263" s="1278">
        <v>1.9901786215047899E-3</v>
      </c>
      <c r="G1263" s="1248">
        <v>0.17744219947829701</v>
      </c>
      <c r="H1263" s="1278">
        <v>1.6302631050176101E-2</v>
      </c>
      <c r="I1263" s="1248">
        <v>1.47655625958352E-2</v>
      </c>
      <c r="J1263" s="1278">
        <v>1.08807598000514E-3</v>
      </c>
      <c r="K1263" s="1248">
        <v>3.0000063727490698E-3</v>
      </c>
      <c r="L1263" s="1250">
        <v>1.9999920962727302E-3</v>
      </c>
      <c r="M1263" s="1275">
        <v>2.0000009093212902E-3</v>
      </c>
      <c r="N1263" s="1248">
        <v>3.1850009128239903E-2</v>
      </c>
      <c r="O1263" s="1249">
        <v>3.1850009128239903E-2</v>
      </c>
      <c r="P1263" s="1260">
        <v>1.59250045641199E-2</v>
      </c>
      <c r="Q1263" s="1252">
        <v>1.54331958152052E-2</v>
      </c>
    </row>
    <row r="1264" spans="1:17" s="212" customFormat="1" ht="15.5" x14ac:dyDescent="0.35">
      <c r="A1264" s="198">
        <v>2036</v>
      </c>
      <c r="B1264" s="197" t="s">
        <v>5842</v>
      </c>
      <c r="C1264" s="197">
        <v>2029</v>
      </c>
      <c r="D1264" s="213" t="str">
        <f t="shared" si="15"/>
        <v>2036_2029</v>
      </c>
      <c r="E1264" s="1267">
        <v>6.7962454096273495E-2</v>
      </c>
      <c r="F1264" s="1278">
        <v>1.9916518335593701E-3</v>
      </c>
      <c r="G1264" s="1248">
        <v>0.17089002131307299</v>
      </c>
      <c r="H1264" s="1278">
        <v>1.5990221378978701E-2</v>
      </c>
      <c r="I1264" s="1248">
        <v>1.3763870784151901E-2</v>
      </c>
      <c r="J1264" s="1278">
        <v>1.0882224511936901E-3</v>
      </c>
      <c r="K1264" s="1248">
        <v>3.0000065247991398E-3</v>
      </c>
      <c r="L1264" s="1250">
        <v>1.9999921953564202E-3</v>
      </c>
      <c r="M1264" s="1275">
        <v>2.0000009823532899E-3</v>
      </c>
      <c r="N1264" s="1248">
        <v>3.1850009128239903E-2</v>
      </c>
      <c r="O1264" s="1249">
        <v>3.1850009128239903E-2</v>
      </c>
      <c r="P1264" s="1260">
        <v>1.59250045641199E-2</v>
      </c>
      <c r="Q1264" s="1252">
        <v>1.43862119447392E-2</v>
      </c>
    </row>
    <row r="1265" spans="1:17" s="212" customFormat="1" ht="15.5" x14ac:dyDescent="0.35">
      <c r="A1265" s="198">
        <v>2036</v>
      </c>
      <c r="B1265" s="197" t="s">
        <v>5842</v>
      </c>
      <c r="C1265" s="197">
        <v>2030</v>
      </c>
      <c r="D1265" s="213" t="str">
        <f t="shared" si="15"/>
        <v>2036_2030</v>
      </c>
      <c r="E1265" s="1267">
        <v>6.6596356070783097E-2</v>
      </c>
      <c r="F1265" s="1278">
        <v>1.9951774335645101E-3</v>
      </c>
      <c r="G1265" s="1248">
        <v>0.16394384901536799</v>
      </c>
      <c r="H1265" s="1278">
        <v>1.56693272220822E-2</v>
      </c>
      <c r="I1265" s="1248">
        <v>1.2701888883008799E-2</v>
      </c>
      <c r="J1265" s="1278">
        <v>1.0883702080695899E-3</v>
      </c>
      <c r="K1265" s="1248">
        <v>3.00000668274303E-3</v>
      </c>
      <c r="L1265" s="1250">
        <v>1.99999229662794E-3</v>
      </c>
      <c r="M1265" s="1275">
        <v>2.0000010639073598E-3</v>
      </c>
      <c r="N1265" s="1248">
        <v>3.1850009128239903E-2</v>
      </c>
      <c r="O1265" s="1249">
        <v>3.1850009128239903E-2</v>
      </c>
      <c r="P1265" s="1260">
        <v>1.59250045641199E-2</v>
      </c>
      <c r="Q1265" s="1252">
        <v>1.3276211934501301E-2</v>
      </c>
    </row>
    <row r="1266" spans="1:17" s="212" customFormat="1" ht="15.5" x14ac:dyDescent="0.35">
      <c r="A1266" s="198">
        <v>2036</v>
      </c>
      <c r="B1266" s="197" t="s">
        <v>5842</v>
      </c>
      <c r="C1266" s="197">
        <v>2031</v>
      </c>
      <c r="D1266" s="213" t="str">
        <f t="shared" si="15"/>
        <v>2036_2031</v>
      </c>
      <c r="E1266" s="1267">
        <v>6.5151796924008895E-2</v>
      </c>
      <c r="F1266" s="1278">
        <v>2.0239355727772902E-3</v>
      </c>
      <c r="G1266" s="1248">
        <v>0.15660375323838099</v>
      </c>
      <c r="H1266" s="1278">
        <v>1.5575833195416699E-2</v>
      </c>
      <c r="I1266" s="1248">
        <v>1.1579589710607499E-2</v>
      </c>
      <c r="J1266" s="1278">
        <v>1.0885207104177001E-3</v>
      </c>
      <c r="K1266" s="1248">
        <v>3.0000068439903099E-3</v>
      </c>
      <c r="L1266" s="1250">
        <v>1.99999239962334E-3</v>
      </c>
      <c r="M1266" s="1275">
        <v>2.00000111900733E-3</v>
      </c>
      <c r="N1266" s="1248">
        <v>3.1850009128239903E-2</v>
      </c>
      <c r="O1266" s="1249">
        <v>3.1850009128239903E-2</v>
      </c>
      <c r="P1266" s="1260">
        <v>1.59250045641199E-2</v>
      </c>
      <c r="Q1266" s="1252">
        <v>1.21031673736529E-2</v>
      </c>
    </row>
    <row r="1267" spans="1:17" s="212" customFormat="1" ht="15.5" x14ac:dyDescent="0.35">
      <c r="A1267" s="198">
        <v>2036</v>
      </c>
      <c r="B1267" s="197" t="s">
        <v>5842</v>
      </c>
      <c r="C1267" s="197">
        <v>2032</v>
      </c>
      <c r="D1267" s="213" t="str">
        <f t="shared" si="15"/>
        <v>2036_2032</v>
      </c>
      <c r="E1267" s="1267">
        <v>6.3628133913503304E-2</v>
      </c>
      <c r="F1267" s="1278">
        <v>2.1120972925059499E-3</v>
      </c>
      <c r="G1267" s="1248">
        <v>0.148868856274989</v>
      </c>
      <c r="H1267" s="1278">
        <v>1.6059882768439299E-2</v>
      </c>
      <c r="I1267" s="1248">
        <v>1.0396841883562401E-2</v>
      </c>
      <c r="J1267" s="1278">
        <v>1.08867216662431E-3</v>
      </c>
      <c r="K1267" s="1248">
        <v>3.0000070073807898E-3</v>
      </c>
      <c r="L1267" s="1250">
        <v>1.99999250346759E-3</v>
      </c>
      <c r="M1267" s="1275">
        <v>2.0000011550865299E-3</v>
      </c>
      <c r="N1267" s="1248">
        <v>3.1850009128239903E-2</v>
      </c>
      <c r="O1267" s="1249">
        <v>3.1850009128239903E-2</v>
      </c>
      <c r="P1267" s="1260">
        <v>1.59250045641199E-2</v>
      </c>
      <c r="Q1267" s="1252">
        <v>1.0866940938234501E-2</v>
      </c>
    </row>
    <row r="1268" spans="1:17" s="212" customFormat="1" ht="15.5" x14ac:dyDescent="0.35">
      <c r="A1268" s="198">
        <v>2036</v>
      </c>
      <c r="B1268" s="197" t="s">
        <v>5842</v>
      </c>
      <c r="C1268" s="197">
        <v>2033</v>
      </c>
      <c r="D1268" s="213" t="str">
        <f t="shared" si="15"/>
        <v>2036_2033</v>
      </c>
      <c r="E1268" s="1267">
        <v>6.2025535496419197E-2</v>
      </c>
      <c r="F1268" s="1278">
        <v>2.29201593964154E-3</v>
      </c>
      <c r="G1268" s="1248">
        <v>0.14073908433110799</v>
      </c>
      <c r="H1268" s="1278">
        <v>1.74569647789143E-2</v>
      </c>
      <c r="I1268" s="1248">
        <v>9.1536093765194702E-3</v>
      </c>
      <c r="J1268" s="1278">
        <v>1.0888250940584399E-3</v>
      </c>
      <c r="K1268" s="1248">
        <v>3.0000071732180799E-3</v>
      </c>
      <c r="L1268" s="1250">
        <v>1.9999926080364202E-3</v>
      </c>
      <c r="M1268" s="1275">
        <v>2.0000011855992798E-3</v>
      </c>
      <c r="N1268" s="1248">
        <v>3.1850009128239903E-2</v>
      </c>
      <c r="O1268" s="1249">
        <v>3.1850009128239903E-2</v>
      </c>
      <c r="P1268" s="1260">
        <v>1.59250045641199E-2</v>
      </c>
      <c r="Q1268" s="1252">
        <v>9.5674949739856397E-3</v>
      </c>
    </row>
    <row r="1269" spans="1:17" s="212" customFormat="1" ht="15.5" x14ac:dyDescent="0.35">
      <c r="A1269" s="198">
        <v>2036</v>
      </c>
      <c r="B1269" s="197" t="s">
        <v>5842</v>
      </c>
      <c r="C1269" s="197">
        <v>2034</v>
      </c>
      <c r="D1269" s="213" t="str">
        <f t="shared" si="15"/>
        <v>2036_2034</v>
      </c>
      <c r="E1269" s="1267">
        <v>6.0344184882990801E-2</v>
      </c>
      <c r="F1269" s="1278">
        <v>2.5615535601830599E-3</v>
      </c>
      <c r="G1269" s="1248">
        <v>0.13221445968148601</v>
      </c>
      <c r="H1269" s="1278">
        <v>1.9759957470902999E-2</v>
      </c>
      <c r="I1269" s="1248">
        <v>7.8498480239738398E-3</v>
      </c>
      <c r="J1269" s="1278">
        <v>1.0889812563314E-3</v>
      </c>
      <c r="K1269" s="1248">
        <v>3.0000073361572399E-3</v>
      </c>
      <c r="L1269" s="1250">
        <v>1.99999271164115E-3</v>
      </c>
      <c r="M1269" s="1275">
        <v>2.0000012140230601E-3</v>
      </c>
      <c r="N1269" s="1248">
        <v>3.1850009128239903E-2</v>
      </c>
      <c r="O1269" s="1249">
        <v>3.1850009128239903E-2</v>
      </c>
      <c r="P1269" s="1260">
        <v>1.59250045641199E-2</v>
      </c>
      <c r="Q1269" s="1252">
        <v>8.2047833184332297E-3</v>
      </c>
    </row>
    <row r="1270" spans="1:17" s="212" customFormat="1" ht="15.5" x14ac:dyDescent="0.35">
      <c r="A1270" s="198">
        <v>2036</v>
      </c>
      <c r="B1270" s="197" t="s">
        <v>5842</v>
      </c>
      <c r="C1270" s="197">
        <v>2035</v>
      </c>
      <c r="D1270" s="213" t="str">
        <f t="shared" si="15"/>
        <v>2036_2035</v>
      </c>
      <c r="E1270" s="1267">
        <v>5.85838208220128E-2</v>
      </c>
      <c r="F1270" s="1278">
        <v>2.8186780098489999E-3</v>
      </c>
      <c r="G1270" s="1248">
        <v>0.12329447936221299</v>
      </c>
      <c r="H1270" s="1278">
        <v>2.1962255091409099E-2</v>
      </c>
      <c r="I1270" s="1248">
        <v>6.4854594732169498E-3</v>
      </c>
      <c r="J1270" s="1278">
        <v>1.08914015285673E-3</v>
      </c>
      <c r="K1270" s="1248">
        <v>3.0000074979619098E-3</v>
      </c>
      <c r="L1270" s="1250">
        <v>1.99999281518815E-3</v>
      </c>
      <c r="M1270" s="1275">
        <v>2.0000012828777099E-3</v>
      </c>
      <c r="N1270" s="1248">
        <v>3.1850009128239903E-2</v>
      </c>
      <c r="O1270" s="1249">
        <v>3.1850009128239903E-2</v>
      </c>
      <c r="P1270" s="1260">
        <v>1.59250045641199E-2</v>
      </c>
      <c r="Q1270" s="1252">
        <v>6.7787031717956399E-3</v>
      </c>
    </row>
    <row r="1271" spans="1:17" s="212" customFormat="1" ht="15.5" x14ac:dyDescent="0.35">
      <c r="A1271" s="198">
        <v>2036</v>
      </c>
      <c r="B1271" s="197" t="s">
        <v>5842</v>
      </c>
      <c r="C1271" s="197">
        <v>2036</v>
      </c>
      <c r="D1271" s="213" t="str">
        <f t="shared" si="15"/>
        <v>2036_2036</v>
      </c>
      <c r="E1271" s="1267">
        <v>5.6744307298455102E-2</v>
      </c>
      <c r="F1271" s="1278">
        <v>2.7452497336209799E-3</v>
      </c>
      <c r="G1271" s="1248">
        <v>0.11397872782929599</v>
      </c>
      <c r="H1271" s="1278">
        <v>2.0890445817279599E-2</v>
      </c>
      <c r="I1271" s="1248">
        <v>5.0603547971475099E-3</v>
      </c>
      <c r="J1271" s="1278">
        <v>1.08930174642584E-3</v>
      </c>
      <c r="K1271" s="1248">
        <v>3.0000076621864102E-3</v>
      </c>
      <c r="L1271" s="1250">
        <v>1.9999929195836301E-3</v>
      </c>
      <c r="M1271" s="1275">
        <v>2.0000016493904298E-3</v>
      </c>
      <c r="N1271" s="1248">
        <v>3.1850009128239903E-2</v>
      </c>
      <c r="O1271" s="1249">
        <v>3.1850009128239903E-2</v>
      </c>
      <c r="P1271" s="1260">
        <v>1.59250045641199E-2</v>
      </c>
      <c r="Q1271" s="1252">
        <v>5.2891615860826699E-3</v>
      </c>
    </row>
    <row r="1272" spans="1:17" s="212" customFormat="1" ht="15.5" x14ac:dyDescent="0.35">
      <c r="A1272" s="198">
        <v>2036</v>
      </c>
      <c r="B1272" s="197" t="s">
        <v>5842</v>
      </c>
      <c r="C1272" s="197">
        <v>2037</v>
      </c>
      <c r="D1272" s="213" t="str">
        <f t="shared" si="15"/>
        <v>2036_2037</v>
      </c>
      <c r="E1272" s="1268">
        <v>5.6744307298455102E-2</v>
      </c>
      <c r="F1272" s="1279">
        <v>2.7452497336209799E-3</v>
      </c>
      <c r="G1272" s="1255">
        <v>0.11397872782929599</v>
      </c>
      <c r="H1272" s="1279">
        <v>2.0890445817279599E-2</v>
      </c>
      <c r="I1272" s="1255">
        <v>5.0603547971475099E-3</v>
      </c>
      <c r="J1272" s="1279">
        <v>1.08930174642584E-3</v>
      </c>
      <c r="K1272" s="1255">
        <v>3.0000076621864102E-3</v>
      </c>
      <c r="L1272" s="1253">
        <v>1.9999929195836301E-3</v>
      </c>
      <c r="M1272" s="1273">
        <v>2.0000016493904298E-3</v>
      </c>
      <c r="N1272" s="1255">
        <v>3.1850009128239903E-2</v>
      </c>
      <c r="O1272" s="1256">
        <v>3.1850009128239903E-2</v>
      </c>
      <c r="P1272" s="1251">
        <v>1.59250045641199E-2</v>
      </c>
      <c r="Q1272" s="1254">
        <v>5.2891615860826699E-3</v>
      </c>
    </row>
    <row r="1273" spans="1:17" s="212" customFormat="1" ht="15.5" x14ac:dyDescent="0.35">
      <c r="A1273" s="198">
        <v>2037</v>
      </c>
      <c r="B1273" s="197" t="s">
        <v>5842</v>
      </c>
      <c r="C1273" s="197">
        <v>1971</v>
      </c>
      <c r="D1273" s="213" t="str">
        <f t="shared" si="15"/>
        <v>2037_1971</v>
      </c>
      <c r="E1273" s="1268">
        <v>0.37166920414078403</v>
      </c>
      <c r="F1273" s="1279">
        <v>0.45892214458687097</v>
      </c>
      <c r="G1273" s="1255">
        <v>9.3021268141421896</v>
      </c>
      <c r="H1273" s="1279">
        <v>2.8885738492805801</v>
      </c>
      <c r="I1273" s="1255">
        <v>5.2674181582629799E-2</v>
      </c>
      <c r="J1273" s="1279">
        <v>7.4236494952216901E-3</v>
      </c>
      <c r="K1273" s="1255">
        <v>3.0000052437823702E-3</v>
      </c>
      <c r="L1273" s="1253">
        <v>1.9999920858685999E-3</v>
      </c>
      <c r="M1273" s="1273">
        <v>1.9999920858685999E-3</v>
      </c>
      <c r="N1273" s="1255">
        <v>3.1850009128239903E-2</v>
      </c>
      <c r="O1273" s="1256">
        <v>3.1850009128239903E-2</v>
      </c>
      <c r="P1273" s="1251">
        <v>1.5925004564119952E-2</v>
      </c>
      <c r="Q1273" s="1254">
        <v>5.50558743355773E-2</v>
      </c>
    </row>
    <row r="1274" spans="1:17" s="212" customFormat="1" ht="15.5" x14ac:dyDescent="0.35">
      <c r="A1274" s="198">
        <v>2037</v>
      </c>
      <c r="B1274" s="197" t="s">
        <v>5842</v>
      </c>
      <c r="C1274" s="197">
        <v>1972</v>
      </c>
      <c r="D1274" s="213" t="str">
        <f t="shared" si="15"/>
        <v>2037_1972</v>
      </c>
      <c r="E1274" s="1268">
        <v>0.37166920414078403</v>
      </c>
      <c r="F1274" s="1279">
        <v>0.45892214458687097</v>
      </c>
      <c r="G1274" s="1255">
        <v>9.3021268141421896</v>
      </c>
      <c r="H1274" s="1279">
        <v>2.8885738492805801</v>
      </c>
      <c r="I1274" s="1255">
        <v>5.2674181582629799E-2</v>
      </c>
      <c r="J1274" s="1279">
        <v>7.4236494952216901E-3</v>
      </c>
      <c r="K1274" s="1255">
        <v>3.0000052437823702E-3</v>
      </c>
      <c r="L1274" s="1253">
        <v>1.9999920858685999E-3</v>
      </c>
      <c r="M1274" s="1273">
        <v>1.9999920858685999E-3</v>
      </c>
      <c r="N1274" s="1255">
        <v>3.1850009128239903E-2</v>
      </c>
      <c r="O1274" s="1256">
        <v>3.1850009128239903E-2</v>
      </c>
      <c r="P1274" s="1251">
        <v>1.5925004564119952E-2</v>
      </c>
      <c r="Q1274" s="1254">
        <v>5.50558743355773E-2</v>
      </c>
    </row>
    <row r="1275" spans="1:17" s="212" customFormat="1" ht="15.5" x14ac:dyDescent="0.35">
      <c r="A1275" s="198">
        <v>2037</v>
      </c>
      <c r="B1275" s="197" t="s">
        <v>5842</v>
      </c>
      <c r="C1275" s="197">
        <v>1973</v>
      </c>
      <c r="D1275" s="213" t="str">
        <f t="shared" si="15"/>
        <v>2037_1973</v>
      </c>
      <c r="E1275" s="1268">
        <v>0.37166920414078403</v>
      </c>
      <c r="F1275" s="1279">
        <v>0.45892214458687097</v>
      </c>
      <c r="G1275" s="1255">
        <v>9.3021268141421896</v>
      </c>
      <c r="H1275" s="1279">
        <v>2.8885738492805801</v>
      </c>
      <c r="I1275" s="1255">
        <v>5.2674181582629799E-2</v>
      </c>
      <c r="J1275" s="1279">
        <v>7.4236494952216901E-3</v>
      </c>
      <c r="K1275" s="1255">
        <v>3.0000052437823702E-3</v>
      </c>
      <c r="L1275" s="1253">
        <v>1.9999920858685999E-3</v>
      </c>
      <c r="M1275" s="1273">
        <v>1.9999920858685999E-3</v>
      </c>
      <c r="N1275" s="1255">
        <v>3.1850009128239903E-2</v>
      </c>
      <c r="O1275" s="1256">
        <v>3.1850009128239903E-2</v>
      </c>
      <c r="P1275" s="1251">
        <v>1.5925004564119952E-2</v>
      </c>
      <c r="Q1275" s="1254">
        <v>5.50558743355773E-2</v>
      </c>
    </row>
    <row r="1276" spans="1:17" s="212" customFormat="1" ht="15.5" x14ac:dyDescent="0.35">
      <c r="A1276" s="198">
        <v>2037</v>
      </c>
      <c r="B1276" s="197" t="s">
        <v>5842</v>
      </c>
      <c r="C1276" s="197">
        <v>1974</v>
      </c>
      <c r="D1276" s="213" t="str">
        <f t="shared" si="15"/>
        <v>2037_1974</v>
      </c>
      <c r="E1276" s="1268">
        <v>0.37166920414078403</v>
      </c>
      <c r="F1276" s="1279">
        <v>0.45892214458687097</v>
      </c>
      <c r="G1276" s="1255">
        <v>9.3021268141421896</v>
      </c>
      <c r="H1276" s="1279">
        <v>2.8885738492805801</v>
      </c>
      <c r="I1276" s="1255">
        <v>5.2674181582629799E-2</v>
      </c>
      <c r="J1276" s="1279">
        <v>7.4236494952216901E-3</v>
      </c>
      <c r="K1276" s="1255">
        <v>3.0000052437823702E-3</v>
      </c>
      <c r="L1276" s="1253">
        <v>1.9999920858685999E-3</v>
      </c>
      <c r="M1276" s="1273">
        <v>1.9999920858685999E-3</v>
      </c>
      <c r="N1276" s="1255">
        <v>3.1850009128239903E-2</v>
      </c>
      <c r="O1276" s="1256">
        <v>3.1850009128239903E-2</v>
      </c>
      <c r="P1276" s="1251">
        <v>1.5925004564119952E-2</v>
      </c>
      <c r="Q1276" s="1254">
        <v>5.50558743355773E-2</v>
      </c>
    </row>
    <row r="1277" spans="1:17" s="212" customFormat="1" ht="15.5" x14ac:dyDescent="0.35">
      <c r="A1277" s="198">
        <v>2037</v>
      </c>
      <c r="B1277" s="197" t="s">
        <v>5842</v>
      </c>
      <c r="C1277" s="197">
        <v>1975</v>
      </c>
      <c r="D1277" s="213" t="str">
        <f t="shared" si="15"/>
        <v>2037_1975</v>
      </c>
      <c r="E1277" s="1268">
        <v>0.37166920414078403</v>
      </c>
      <c r="F1277" s="1279">
        <v>0.45892214458687097</v>
      </c>
      <c r="G1277" s="1255">
        <v>9.3021268141421896</v>
      </c>
      <c r="H1277" s="1279">
        <v>2.8885738492805801</v>
      </c>
      <c r="I1277" s="1255">
        <v>5.2674181582629799E-2</v>
      </c>
      <c r="J1277" s="1279">
        <v>7.4236494952216901E-3</v>
      </c>
      <c r="K1277" s="1255">
        <v>3.0000052437823702E-3</v>
      </c>
      <c r="L1277" s="1253">
        <v>1.9999920858685999E-3</v>
      </c>
      <c r="M1277" s="1273">
        <v>1.9999920858685999E-3</v>
      </c>
      <c r="N1277" s="1255">
        <v>3.1850009128239903E-2</v>
      </c>
      <c r="O1277" s="1256">
        <v>3.1850009128239903E-2</v>
      </c>
      <c r="P1277" s="1251">
        <v>1.5925004564119952E-2</v>
      </c>
      <c r="Q1277" s="1254">
        <v>5.50558743355773E-2</v>
      </c>
    </row>
    <row r="1278" spans="1:17" s="212" customFormat="1" ht="15.5" x14ac:dyDescent="0.35">
      <c r="A1278" s="198">
        <v>2037</v>
      </c>
      <c r="B1278" s="197" t="s">
        <v>5842</v>
      </c>
      <c r="C1278" s="197">
        <v>1976</v>
      </c>
      <c r="D1278" s="213" t="str">
        <f t="shared" si="15"/>
        <v>2037_1976</v>
      </c>
      <c r="E1278" s="1268">
        <v>0.37166920414078403</v>
      </c>
      <c r="F1278" s="1279">
        <v>0.45892214458687097</v>
      </c>
      <c r="G1278" s="1255">
        <v>9.3021268141421896</v>
      </c>
      <c r="H1278" s="1279">
        <v>2.8885738492805801</v>
      </c>
      <c r="I1278" s="1255">
        <v>5.2674181582629799E-2</v>
      </c>
      <c r="J1278" s="1279">
        <v>7.4236494952216901E-3</v>
      </c>
      <c r="K1278" s="1255">
        <v>3.0000052437823702E-3</v>
      </c>
      <c r="L1278" s="1253">
        <v>1.9999920858685999E-3</v>
      </c>
      <c r="M1278" s="1273">
        <v>1.9999920858685999E-3</v>
      </c>
      <c r="N1278" s="1255">
        <v>3.1850009128239903E-2</v>
      </c>
      <c r="O1278" s="1256">
        <v>3.1850009128239903E-2</v>
      </c>
      <c r="P1278" s="1251">
        <v>1.5925004564119952E-2</v>
      </c>
      <c r="Q1278" s="1254">
        <v>5.50558743355773E-2</v>
      </c>
    </row>
    <row r="1279" spans="1:17" s="212" customFormat="1" ht="15.5" x14ac:dyDescent="0.35">
      <c r="A1279" s="198">
        <v>2037</v>
      </c>
      <c r="B1279" s="197" t="s">
        <v>5842</v>
      </c>
      <c r="C1279" s="197">
        <v>1977</v>
      </c>
      <c r="D1279" s="213" t="str">
        <f t="shared" si="15"/>
        <v>2037_1977</v>
      </c>
      <c r="E1279" s="1268">
        <v>0.37166920414078403</v>
      </c>
      <c r="F1279" s="1279">
        <v>0.45892214458687097</v>
      </c>
      <c r="G1279" s="1255">
        <v>9.3021268141421896</v>
      </c>
      <c r="H1279" s="1279">
        <v>2.8885738492805801</v>
      </c>
      <c r="I1279" s="1255">
        <v>5.2674181582629799E-2</v>
      </c>
      <c r="J1279" s="1279">
        <v>7.4236494952216901E-3</v>
      </c>
      <c r="K1279" s="1255">
        <v>3.0000052437823702E-3</v>
      </c>
      <c r="L1279" s="1253">
        <v>1.9999920858685999E-3</v>
      </c>
      <c r="M1279" s="1273">
        <v>1.9999920858685999E-3</v>
      </c>
      <c r="N1279" s="1255">
        <v>3.1850009128239903E-2</v>
      </c>
      <c r="O1279" s="1256">
        <v>3.1850009128239903E-2</v>
      </c>
      <c r="P1279" s="1251">
        <v>1.5925004564119952E-2</v>
      </c>
      <c r="Q1279" s="1254">
        <v>5.50558743355773E-2</v>
      </c>
    </row>
    <row r="1280" spans="1:17" s="212" customFormat="1" ht="15.5" x14ac:dyDescent="0.35">
      <c r="A1280" s="198">
        <v>2037</v>
      </c>
      <c r="B1280" s="197" t="s">
        <v>5842</v>
      </c>
      <c r="C1280" s="197">
        <v>1978</v>
      </c>
      <c r="D1280" s="213" t="str">
        <f t="shared" si="15"/>
        <v>2037_1978</v>
      </c>
      <c r="E1280" s="1268">
        <v>0.37166920414078403</v>
      </c>
      <c r="F1280" s="1279">
        <v>0.45892214458687097</v>
      </c>
      <c r="G1280" s="1255">
        <v>9.3021268141421896</v>
      </c>
      <c r="H1280" s="1279">
        <v>2.8885738492805801</v>
      </c>
      <c r="I1280" s="1255">
        <v>5.2674181582629799E-2</v>
      </c>
      <c r="J1280" s="1279">
        <v>7.4236494952216901E-3</v>
      </c>
      <c r="K1280" s="1255">
        <v>3.0000052437823702E-3</v>
      </c>
      <c r="L1280" s="1253">
        <v>1.9999920858685999E-3</v>
      </c>
      <c r="M1280" s="1273">
        <v>1.9999920858685999E-3</v>
      </c>
      <c r="N1280" s="1255">
        <v>3.1850009128239903E-2</v>
      </c>
      <c r="O1280" s="1256">
        <v>3.1850009128239903E-2</v>
      </c>
      <c r="P1280" s="1251">
        <v>1.5925004564119952E-2</v>
      </c>
      <c r="Q1280" s="1254">
        <v>5.50558743355773E-2</v>
      </c>
    </row>
    <row r="1281" spans="1:17" s="212" customFormat="1" ht="15.5" x14ac:dyDescent="0.35">
      <c r="A1281" s="198">
        <v>2037</v>
      </c>
      <c r="B1281" s="197" t="s">
        <v>5842</v>
      </c>
      <c r="C1281" s="197">
        <v>1979</v>
      </c>
      <c r="D1281" s="213" t="str">
        <f t="shared" si="15"/>
        <v>2037_1979</v>
      </c>
      <c r="E1281" s="1268">
        <v>0.37166920414078403</v>
      </c>
      <c r="F1281" s="1279">
        <v>0.45892214458687097</v>
      </c>
      <c r="G1281" s="1255">
        <v>9.3021268141421896</v>
      </c>
      <c r="H1281" s="1279">
        <v>2.8885738492805801</v>
      </c>
      <c r="I1281" s="1255">
        <v>5.2674181582629799E-2</v>
      </c>
      <c r="J1281" s="1279">
        <v>7.4236494952216901E-3</v>
      </c>
      <c r="K1281" s="1255">
        <v>3.0000052437823702E-3</v>
      </c>
      <c r="L1281" s="1253">
        <v>1.9999920858685999E-3</v>
      </c>
      <c r="M1281" s="1273">
        <v>1.9999920858685999E-3</v>
      </c>
      <c r="N1281" s="1255">
        <v>3.1850009128239903E-2</v>
      </c>
      <c r="O1281" s="1256">
        <v>3.1850009128239903E-2</v>
      </c>
      <c r="P1281" s="1251">
        <v>1.5925004564119952E-2</v>
      </c>
      <c r="Q1281" s="1254">
        <v>5.50558743355773E-2</v>
      </c>
    </row>
    <row r="1282" spans="1:17" s="212" customFormat="1" ht="15.5" x14ac:dyDescent="0.35">
      <c r="A1282" s="198">
        <v>2037</v>
      </c>
      <c r="B1282" s="197" t="s">
        <v>5842</v>
      </c>
      <c r="C1282" s="197">
        <v>1980</v>
      </c>
      <c r="D1282" s="213" t="str">
        <f t="shared" si="15"/>
        <v>2037_1980</v>
      </c>
      <c r="E1282" s="1268">
        <v>0.37166920414078403</v>
      </c>
      <c r="F1282" s="1279">
        <v>0.45892214458687097</v>
      </c>
      <c r="G1282" s="1255">
        <v>9.3021268141421896</v>
      </c>
      <c r="H1282" s="1279">
        <v>2.8885738492805801</v>
      </c>
      <c r="I1282" s="1255">
        <v>5.2674181582629799E-2</v>
      </c>
      <c r="J1282" s="1279">
        <v>7.4236494952216901E-3</v>
      </c>
      <c r="K1282" s="1255">
        <v>3.0000052437823702E-3</v>
      </c>
      <c r="L1282" s="1253">
        <v>1.9999920858685999E-3</v>
      </c>
      <c r="M1282" s="1273">
        <v>1.9999920858685999E-3</v>
      </c>
      <c r="N1282" s="1255">
        <v>3.1850009128239903E-2</v>
      </c>
      <c r="O1282" s="1256">
        <v>3.1850009128239903E-2</v>
      </c>
      <c r="P1282" s="1251">
        <v>1.5925004564119952E-2</v>
      </c>
      <c r="Q1282" s="1254">
        <v>5.50558743355773E-2</v>
      </c>
    </row>
    <row r="1283" spans="1:17" s="212" customFormat="1" ht="15.5" x14ac:dyDescent="0.35">
      <c r="A1283" s="198">
        <v>2037</v>
      </c>
      <c r="B1283" s="197" t="s">
        <v>5842</v>
      </c>
      <c r="C1283" s="197">
        <v>1981</v>
      </c>
      <c r="D1283" s="213" t="str">
        <f t="shared" si="15"/>
        <v>2037_1981</v>
      </c>
      <c r="E1283" s="1268">
        <v>0.37166920414078403</v>
      </c>
      <c r="F1283" s="1279">
        <v>0.45892214458687097</v>
      </c>
      <c r="G1283" s="1255">
        <v>9.3021268141421896</v>
      </c>
      <c r="H1283" s="1279">
        <v>2.8885738492805801</v>
      </c>
      <c r="I1283" s="1255">
        <v>5.2674181582629799E-2</v>
      </c>
      <c r="J1283" s="1279">
        <v>7.4236494952216901E-3</v>
      </c>
      <c r="K1283" s="1255">
        <v>3.0000052437823702E-3</v>
      </c>
      <c r="L1283" s="1253">
        <v>1.9999920858685999E-3</v>
      </c>
      <c r="M1283" s="1273">
        <v>1.9999920858685999E-3</v>
      </c>
      <c r="N1283" s="1255">
        <v>3.1850009128239903E-2</v>
      </c>
      <c r="O1283" s="1256">
        <v>3.1850009128239903E-2</v>
      </c>
      <c r="P1283" s="1251">
        <v>1.5925004564119952E-2</v>
      </c>
      <c r="Q1283" s="1254">
        <v>5.50558743355773E-2</v>
      </c>
    </row>
    <row r="1284" spans="1:17" s="212" customFormat="1" ht="15.5" x14ac:dyDescent="0.35">
      <c r="A1284" s="198">
        <v>2037</v>
      </c>
      <c r="B1284" s="197" t="s">
        <v>5842</v>
      </c>
      <c r="C1284" s="197">
        <v>1982</v>
      </c>
      <c r="D1284" s="213" t="str">
        <f t="shared" si="15"/>
        <v>2037_1982</v>
      </c>
      <c r="E1284" s="1268">
        <v>0.37166920414078403</v>
      </c>
      <c r="F1284" s="1279">
        <v>0.45892214458687097</v>
      </c>
      <c r="G1284" s="1255">
        <v>9.3021268141421896</v>
      </c>
      <c r="H1284" s="1279">
        <v>2.8885738492805801</v>
      </c>
      <c r="I1284" s="1255">
        <v>5.2674181582629799E-2</v>
      </c>
      <c r="J1284" s="1279">
        <v>7.4236494952216901E-3</v>
      </c>
      <c r="K1284" s="1255">
        <v>3.0000052437823702E-3</v>
      </c>
      <c r="L1284" s="1253">
        <v>1.9999920858685999E-3</v>
      </c>
      <c r="M1284" s="1273">
        <v>1.9999920858685999E-3</v>
      </c>
      <c r="N1284" s="1255">
        <v>3.1850009128239903E-2</v>
      </c>
      <c r="O1284" s="1256">
        <v>3.1850009128239903E-2</v>
      </c>
      <c r="P1284" s="1251">
        <v>1.5925004564119952E-2</v>
      </c>
      <c r="Q1284" s="1254">
        <v>5.50558743355773E-2</v>
      </c>
    </row>
    <row r="1285" spans="1:17" s="212" customFormat="1" ht="15.5" x14ac:dyDescent="0.35">
      <c r="A1285" s="198">
        <v>2037</v>
      </c>
      <c r="B1285" s="197" t="s">
        <v>5842</v>
      </c>
      <c r="C1285" s="197">
        <v>1983</v>
      </c>
      <c r="D1285" s="213" t="str">
        <f t="shared" si="15"/>
        <v>2037_1983</v>
      </c>
      <c r="E1285" s="1268">
        <v>0.37166920414078403</v>
      </c>
      <c r="F1285" s="1279">
        <v>0.45892214458687097</v>
      </c>
      <c r="G1285" s="1255">
        <v>9.3021268141421896</v>
      </c>
      <c r="H1285" s="1279">
        <v>2.8885738492805801</v>
      </c>
      <c r="I1285" s="1255">
        <v>5.2674181582629799E-2</v>
      </c>
      <c r="J1285" s="1279">
        <v>7.4236494952216901E-3</v>
      </c>
      <c r="K1285" s="1255">
        <v>3.0000052437823702E-3</v>
      </c>
      <c r="L1285" s="1253">
        <v>1.9999920858685999E-3</v>
      </c>
      <c r="M1285" s="1273">
        <v>1.9999920858685999E-3</v>
      </c>
      <c r="N1285" s="1255">
        <v>3.1850009128239903E-2</v>
      </c>
      <c r="O1285" s="1256">
        <v>3.1850009128239903E-2</v>
      </c>
      <c r="P1285" s="1251">
        <v>1.5925004564119952E-2</v>
      </c>
      <c r="Q1285" s="1254">
        <v>5.50558743355773E-2</v>
      </c>
    </row>
    <row r="1286" spans="1:17" s="212" customFormat="1" ht="15.5" x14ac:dyDescent="0.35">
      <c r="A1286" s="198">
        <v>2037</v>
      </c>
      <c r="B1286" s="197" t="s">
        <v>5842</v>
      </c>
      <c r="C1286" s="197">
        <v>1984</v>
      </c>
      <c r="D1286" s="213" t="str">
        <f t="shared" si="15"/>
        <v>2037_1984</v>
      </c>
      <c r="E1286" s="1268">
        <v>0.37166920414078403</v>
      </c>
      <c r="F1286" s="1279">
        <v>0.45892214458687097</v>
      </c>
      <c r="G1286" s="1255">
        <v>9.3021268141421896</v>
      </c>
      <c r="H1286" s="1279">
        <v>2.8885738492805801</v>
      </c>
      <c r="I1286" s="1255">
        <v>5.2674181582629799E-2</v>
      </c>
      <c r="J1286" s="1279">
        <v>7.4236494952216901E-3</v>
      </c>
      <c r="K1286" s="1255">
        <v>3.0000052437823702E-3</v>
      </c>
      <c r="L1286" s="1253">
        <v>1.9999920858685999E-3</v>
      </c>
      <c r="M1286" s="1273">
        <v>1.9999920858685999E-3</v>
      </c>
      <c r="N1286" s="1255">
        <v>3.1850009128239903E-2</v>
      </c>
      <c r="O1286" s="1256">
        <v>3.1850009128239903E-2</v>
      </c>
      <c r="P1286" s="1251">
        <v>1.5925004564119952E-2</v>
      </c>
      <c r="Q1286" s="1254">
        <v>5.50558743355773E-2</v>
      </c>
    </row>
    <row r="1287" spans="1:17" s="212" customFormat="1" ht="15.5" x14ac:dyDescent="0.35">
      <c r="A1287" s="198">
        <v>2037</v>
      </c>
      <c r="B1287" s="197" t="s">
        <v>5842</v>
      </c>
      <c r="C1287" s="197">
        <v>1985</v>
      </c>
      <c r="D1287" s="213" t="str">
        <f t="shared" si="15"/>
        <v>2037_1985</v>
      </c>
      <c r="E1287" s="1268">
        <v>0.37166920414078403</v>
      </c>
      <c r="F1287" s="1279">
        <v>0.45892214458687097</v>
      </c>
      <c r="G1287" s="1255">
        <v>9.3021268141421896</v>
      </c>
      <c r="H1287" s="1279">
        <v>2.8885738492805801</v>
      </c>
      <c r="I1287" s="1255">
        <v>5.2674181582629799E-2</v>
      </c>
      <c r="J1287" s="1279">
        <v>7.4236494952216901E-3</v>
      </c>
      <c r="K1287" s="1255">
        <v>3.0000052437823702E-3</v>
      </c>
      <c r="L1287" s="1253">
        <v>1.9999920858685999E-3</v>
      </c>
      <c r="M1287" s="1273">
        <v>1.9999920858685999E-3</v>
      </c>
      <c r="N1287" s="1255">
        <v>3.1850009128239903E-2</v>
      </c>
      <c r="O1287" s="1256">
        <v>3.1850009128239903E-2</v>
      </c>
      <c r="P1287" s="1251">
        <v>1.5925004564119952E-2</v>
      </c>
      <c r="Q1287" s="1254">
        <v>5.50558743355773E-2</v>
      </c>
    </row>
    <row r="1288" spans="1:17" s="212" customFormat="1" ht="15.5" x14ac:dyDescent="0.35">
      <c r="A1288" s="198">
        <v>2037</v>
      </c>
      <c r="B1288" s="197" t="s">
        <v>5842</v>
      </c>
      <c r="C1288" s="197">
        <v>1986</v>
      </c>
      <c r="D1288" s="213" t="str">
        <f t="shared" si="15"/>
        <v>2037_1986</v>
      </c>
      <c r="E1288" s="1268">
        <v>0.37166920414078403</v>
      </c>
      <c r="F1288" s="1279">
        <v>0.45892214458687097</v>
      </c>
      <c r="G1288" s="1255">
        <v>9.3021268141421896</v>
      </c>
      <c r="H1288" s="1279">
        <v>2.8885738492805801</v>
      </c>
      <c r="I1288" s="1255">
        <v>5.2674181582629799E-2</v>
      </c>
      <c r="J1288" s="1279">
        <v>7.4236494952216901E-3</v>
      </c>
      <c r="K1288" s="1255">
        <v>3.0000052437823702E-3</v>
      </c>
      <c r="L1288" s="1253">
        <v>1.9999920858685999E-3</v>
      </c>
      <c r="M1288" s="1273">
        <v>1.9999920858685999E-3</v>
      </c>
      <c r="N1288" s="1255">
        <v>3.1850009128239903E-2</v>
      </c>
      <c r="O1288" s="1256">
        <v>3.1850009128239903E-2</v>
      </c>
      <c r="P1288" s="1251">
        <v>1.5925004564119952E-2</v>
      </c>
      <c r="Q1288" s="1254">
        <v>5.50558743355773E-2</v>
      </c>
    </row>
    <row r="1289" spans="1:17" s="212" customFormat="1" ht="15.5" x14ac:dyDescent="0.35">
      <c r="A1289" s="198">
        <v>2037</v>
      </c>
      <c r="B1289" s="197" t="s">
        <v>5842</v>
      </c>
      <c r="C1289" s="197">
        <v>1987</v>
      </c>
      <c r="D1289" s="213" t="str">
        <f t="shared" si="15"/>
        <v>2037_1987</v>
      </c>
      <c r="E1289" s="1268">
        <v>0.37166920414078403</v>
      </c>
      <c r="F1289" s="1279">
        <v>0.45892214458687097</v>
      </c>
      <c r="G1289" s="1255">
        <v>9.3021268141421896</v>
      </c>
      <c r="H1289" s="1279">
        <v>2.8885738492805801</v>
      </c>
      <c r="I1289" s="1255">
        <v>5.2674181582629799E-2</v>
      </c>
      <c r="J1289" s="1279">
        <v>7.4236494952216901E-3</v>
      </c>
      <c r="K1289" s="1255">
        <v>3.0000052437823702E-3</v>
      </c>
      <c r="L1289" s="1253">
        <v>1.9999920858685999E-3</v>
      </c>
      <c r="M1289" s="1273">
        <v>1.9999920858685999E-3</v>
      </c>
      <c r="N1289" s="1255">
        <v>3.1850009128239903E-2</v>
      </c>
      <c r="O1289" s="1256">
        <v>3.1850009128239903E-2</v>
      </c>
      <c r="P1289" s="1251">
        <v>1.5925004564119952E-2</v>
      </c>
      <c r="Q1289" s="1254">
        <v>5.50558743355773E-2</v>
      </c>
    </row>
    <row r="1290" spans="1:17" s="212" customFormat="1" ht="15.5" x14ac:dyDescent="0.35">
      <c r="A1290" s="198">
        <v>2037</v>
      </c>
      <c r="B1290" s="197" t="s">
        <v>5842</v>
      </c>
      <c r="C1290" s="197">
        <v>1988</v>
      </c>
      <c r="D1290" s="213" t="str">
        <f t="shared" si="15"/>
        <v>2037_1988</v>
      </c>
      <c r="E1290" s="1268">
        <v>0.37166920414078403</v>
      </c>
      <c r="F1290" s="1279">
        <v>0.45892214458687097</v>
      </c>
      <c r="G1290" s="1255">
        <v>9.3021268141421896</v>
      </c>
      <c r="H1290" s="1279">
        <v>2.8885738492805801</v>
      </c>
      <c r="I1290" s="1255">
        <v>5.2674181582629799E-2</v>
      </c>
      <c r="J1290" s="1279">
        <v>7.4236494952216901E-3</v>
      </c>
      <c r="K1290" s="1255">
        <v>3.0000052437823702E-3</v>
      </c>
      <c r="L1290" s="1253">
        <v>1.9999920858685999E-3</v>
      </c>
      <c r="M1290" s="1273">
        <v>1.9999920858685999E-3</v>
      </c>
      <c r="N1290" s="1255">
        <v>3.1850009128239903E-2</v>
      </c>
      <c r="O1290" s="1256">
        <v>3.1850009128239903E-2</v>
      </c>
      <c r="P1290" s="1251">
        <v>1.5925004564119952E-2</v>
      </c>
      <c r="Q1290" s="1254">
        <v>5.50558743355773E-2</v>
      </c>
    </row>
    <row r="1291" spans="1:17" s="212" customFormat="1" ht="15.5" x14ac:dyDescent="0.35">
      <c r="A1291" s="198">
        <v>2037</v>
      </c>
      <c r="B1291" s="197" t="s">
        <v>5842</v>
      </c>
      <c r="C1291" s="197">
        <v>1989</v>
      </c>
      <c r="D1291" s="213" t="str">
        <f t="shared" si="15"/>
        <v>2037_1989</v>
      </c>
      <c r="E1291" s="1268">
        <v>0.37166920414078403</v>
      </c>
      <c r="F1291" s="1279">
        <v>0.45892214458687097</v>
      </c>
      <c r="G1291" s="1255">
        <v>9.3021268141421896</v>
      </c>
      <c r="H1291" s="1279">
        <v>2.8885738492805801</v>
      </c>
      <c r="I1291" s="1255">
        <v>5.2674181582629799E-2</v>
      </c>
      <c r="J1291" s="1279">
        <v>7.4236494952216901E-3</v>
      </c>
      <c r="K1291" s="1255">
        <v>3.0000052437823702E-3</v>
      </c>
      <c r="L1291" s="1253">
        <v>1.9999920858685999E-3</v>
      </c>
      <c r="M1291" s="1273">
        <v>1.9999920858685999E-3</v>
      </c>
      <c r="N1291" s="1255">
        <v>3.1850009128239903E-2</v>
      </c>
      <c r="O1291" s="1256">
        <v>3.1850009128239903E-2</v>
      </c>
      <c r="P1291" s="1251">
        <v>1.5925004564119952E-2</v>
      </c>
      <c r="Q1291" s="1254">
        <v>5.50558743355773E-2</v>
      </c>
    </row>
    <row r="1292" spans="1:17" s="212" customFormat="1" ht="15.5" x14ac:dyDescent="0.35">
      <c r="A1292" s="198">
        <v>2037</v>
      </c>
      <c r="B1292" s="197" t="s">
        <v>5842</v>
      </c>
      <c r="C1292" s="197">
        <v>1990</v>
      </c>
      <c r="D1292" s="213" t="str">
        <f t="shared" si="15"/>
        <v>2037_1990</v>
      </c>
      <c r="E1292" s="1268">
        <v>0.37166920414078403</v>
      </c>
      <c r="F1292" s="1279">
        <v>0.45892214458687097</v>
      </c>
      <c r="G1292" s="1255">
        <v>9.3021268141421896</v>
      </c>
      <c r="H1292" s="1279">
        <v>2.8885738492805801</v>
      </c>
      <c r="I1292" s="1255">
        <v>5.2674181582629799E-2</v>
      </c>
      <c r="J1292" s="1279">
        <v>7.4236494952216901E-3</v>
      </c>
      <c r="K1292" s="1255">
        <v>3.0000052437823702E-3</v>
      </c>
      <c r="L1292" s="1253">
        <v>1.9999920858685999E-3</v>
      </c>
      <c r="M1292" s="1273">
        <v>1.9999920858685999E-3</v>
      </c>
      <c r="N1292" s="1255">
        <v>3.1850009128239903E-2</v>
      </c>
      <c r="O1292" s="1256">
        <v>3.1850009128239903E-2</v>
      </c>
      <c r="P1292" s="1251">
        <v>1.5925004564119952E-2</v>
      </c>
      <c r="Q1292" s="1254">
        <v>5.50558743355773E-2</v>
      </c>
    </row>
    <row r="1293" spans="1:17" s="212" customFormat="1" ht="15.5" x14ac:dyDescent="0.35">
      <c r="A1293" s="198">
        <v>2037</v>
      </c>
      <c r="B1293" s="197" t="s">
        <v>5842</v>
      </c>
      <c r="C1293" s="197">
        <v>1991</v>
      </c>
      <c r="D1293" s="213" t="str">
        <f t="shared" si="15"/>
        <v>2037_1991</v>
      </c>
      <c r="E1293" s="1268">
        <v>0.37166920414078403</v>
      </c>
      <c r="F1293" s="1279">
        <v>0.45892214458687097</v>
      </c>
      <c r="G1293" s="1255">
        <v>9.3021268141421896</v>
      </c>
      <c r="H1293" s="1279">
        <v>2.8885738492805801</v>
      </c>
      <c r="I1293" s="1255">
        <v>5.2674181582629799E-2</v>
      </c>
      <c r="J1293" s="1279">
        <v>7.4236494952216901E-3</v>
      </c>
      <c r="K1293" s="1255">
        <v>3.0000052437823702E-3</v>
      </c>
      <c r="L1293" s="1253">
        <v>1.9999920858685999E-3</v>
      </c>
      <c r="M1293" s="1273">
        <v>1.9999920858685999E-3</v>
      </c>
      <c r="N1293" s="1255">
        <v>3.1850009128239903E-2</v>
      </c>
      <c r="O1293" s="1256">
        <v>3.1850009128239903E-2</v>
      </c>
      <c r="P1293" s="1251">
        <v>1.5925004564119952E-2</v>
      </c>
      <c r="Q1293" s="1254">
        <v>5.50558743355773E-2</v>
      </c>
    </row>
    <row r="1294" spans="1:17" s="212" customFormat="1" ht="15.5" x14ac:dyDescent="0.35">
      <c r="A1294" s="198">
        <v>2037</v>
      </c>
      <c r="B1294" s="197" t="s">
        <v>5842</v>
      </c>
      <c r="C1294" s="197">
        <v>1992</v>
      </c>
      <c r="D1294" s="213" t="str">
        <f t="shared" si="15"/>
        <v>2037_1992</v>
      </c>
      <c r="E1294" s="1268">
        <v>0.37166920414078403</v>
      </c>
      <c r="F1294" s="1279">
        <v>0.45892214458687097</v>
      </c>
      <c r="G1294" s="1255">
        <v>9.3021268141421896</v>
      </c>
      <c r="H1294" s="1279">
        <v>2.8885738492805801</v>
      </c>
      <c r="I1294" s="1255">
        <v>5.2674181582629799E-2</v>
      </c>
      <c r="J1294" s="1279">
        <v>7.4236494952216901E-3</v>
      </c>
      <c r="K1294" s="1255">
        <v>3.0000052437823702E-3</v>
      </c>
      <c r="L1294" s="1253">
        <v>1.9999920858685999E-3</v>
      </c>
      <c r="M1294" s="1273">
        <v>1.9999920858685999E-3</v>
      </c>
      <c r="N1294" s="1255">
        <v>3.1850009128239903E-2</v>
      </c>
      <c r="O1294" s="1256">
        <v>3.1850009128239903E-2</v>
      </c>
      <c r="P1294" s="1251">
        <v>1.5925004564119952E-2</v>
      </c>
      <c r="Q1294" s="1254">
        <v>5.50558743355773E-2</v>
      </c>
    </row>
    <row r="1295" spans="1:17" s="212" customFormat="1" ht="15.5" x14ac:dyDescent="0.35">
      <c r="A1295" s="198">
        <v>2037</v>
      </c>
      <c r="B1295" s="197" t="s">
        <v>5842</v>
      </c>
      <c r="C1295" s="197">
        <v>1993</v>
      </c>
      <c r="D1295" s="213" t="str">
        <f t="shared" si="15"/>
        <v>2037_1993</v>
      </c>
      <c r="E1295" s="1267">
        <v>0.37166920414078403</v>
      </c>
      <c r="F1295" s="1278">
        <v>0.45892214458687097</v>
      </c>
      <c r="G1295" s="1248">
        <v>9.3021268141421896</v>
      </c>
      <c r="H1295" s="1278">
        <v>2.8885738492805801</v>
      </c>
      <c r="I1295" s="1248">
        <v>5.2674181582629799E-2</v>
      </c>
      <c r="J1295" s="1278">
        <v>7.4236494952216901E-3</v>
      </c>
      <c r="K1295" s="1248">
        <v>3.0000052437823702E-3</v>
      </c>
      <c r="L1295" s="1250">
        <v>1.9999920858685999E-3</v>
      </c>
      <c r="M1295" s="1273">
        <v>1.9999920858685999E-3</v>
      </c>
      <c r="N1295" s="1248">
        <v>3.1850009128239903E-2</v>
      </c>
      <c r="O1295" s="1249">
        <v>3.1850009128239903E-2</v>
      </c>
      <c r="P1295" s="1251">
        <v>1.5925004564119952E-2</v>
      </c>
      <c r="Q1295" s="1252">
        <v>5.50558743355773E-2</v>
      </c>
    </row>
    <row r="1296" spans="1:17" s="212" customFormat="1" ht="15.5" x14ac:dyDescent="0.35">
      <c r="A1296" s="198">
        <v>2037</v>
      </c>
      <c r="B1296" s="197" t="s">
        <v>5842</v>
      </c>
      <c r="C1296" s="197">
        <v>1994</v>
      </c>
      <c r="D1296" s="213" t="str">
        <f t="shared" si="15"/>
        <v>2037_1994</v>
      </c>
      <c r="E1296" s="1267">
        <v>0.36568359299077102</v>
      </c>
      <c r="F1296" s="1278">
        <v>0.45573396108814801</v>
      </c>
      <c r="G1296" s="1248">
        <v>9.39552544241789</v>
      </c>
      <c r="H1296" s="1278">
        <v>2.8805315131613098</v>
      </c>
      <c r="I1296" s="1248">
        <v>5.23616383110121E-2</v>
      </c>
      <c r="J1296" s="1278">
        <v>7.3953057442174702E-3</v>
      </c>
      <c r="K1296" s="1248">
        <v>3.00000575937277E-3</v>
      </c>
      <c r="L1296" s="1250">
        <v>1.9999881293993401E-3</v>
      </c>
      <c r="M1296" s="1273">
        <v>1.9999881293993401E-3</v>
      </c>
      <c r="N1296" s="1248">
        <v>3.1850009128239903E-2</v>
      </c>
      <c r="O1296" s="1249">
        <v>3.1850009128239903E-2</v>
      </c>
      <c r="P1296" s="1251">
        <v>1.5925004564119952E-2</v>
      </c>
      <c r="Q1296" s="1252">
        <v>5.4729199244107199E-2</v>
      </c>
    </row>
    <row r="1297" spans="1:17" s="212" customFormat="1" ht="15.5" x14ac:dyDescent="0.35">
      <c r="A1297" s="198">
        <v>2037</v>
      </c>
      <c r="B1297" s="197" t="s">
        <v>5842</v>
      </c>
      <c r="C1297" s="197">
        <v>1995</v>
      </c>
      <c r="D1297" s="213" t="str">
        <f t="shared" si="15"/>
        <v>2037_1995</v>
      </c>
      <c r="E1297" s="1267">
        <v>0.367818215351361</v>
      </c>
      <c r="F1297" s="1278">
        <v>0.244477815843853</v>
      </c>
      <c r="G1297" s="1248">
        <v>9.3803465885060398</v>
      </c>
      <c r="H1297" s="1278">
        <v>1.6461368605351101</v>
      </c>
      <c r="I1297" s="1248">
        <v>5.2667291411446902E-2</v>
      </c>
      <c r="J1297" s="1278">
        <v>4.8533529836573197E-3</v>
      </c>
      <c r="K1297" s="1248">
        <v>3.0000079306050399E-3</v>
      </c>
      <c r="L1297" s="1250">
        <v>1.9999952843933202E-3</v>
      </c>
      <c r="M1297" s="1273">
        <v>1.9999952843933202E-3</v>
      </c>
      <c r="N1297" s="1248">
        <v>3.1850009128239903E-2</v>
      </c>
      <c r="O1297" s="1249">
        <v>3.1850009128239903E-2</v>
      </c>
      <c r="P1297" s="1251">
        <v>1.5925004564119952E-2</v>
      </c>
      <c r="Q1297" s="1252">
        <v>5.50486726214282E-2</v>
      </c>
    </row>
    <row r="1298" spans="1:17" s="212" customFormat="1" ht="15.5" x14ac:dyDescent="0.35">
      <c r="A1298" s="198">
        <v>2037</v>
      </c>
      <c r="B1298" s="197" t="s">
        <v>5842</v>
      </c>
      <c r="C1298" s="197">
        <v>1996</v>
      </c>
      <c r="D1298" s="213" t="str">
        <f t="shared" si="15"/>
        <v>2037_1996</v>
      </c>
      <c r="E1298" s="1267">
        <v>0.36922233792586401</v>
      </c>
      <c r="F1298" s="1278">
        <v>2.2390237215421799E-2</v>
      </c>
      <c r="G1298" s="1248">
        <v>9.3562500222596601</v>
      </c>
      <c r="H1298" s="1278">
        <v>0.39324622377142199</v>
      </c>
      <c r="I1298" s="1248">
        <v>5.2868345436838597E-2</v>
      </c>
      <c r="J1298" s="1278">
        <v>2.1827078870053601E-3</v>
      </c>
      <c r="K1298" s="1248">
        <v>3.0000083345945601E-3</v>
      </c>
      <c r="L1298" s="1250">
        <v>1.9999929970955601E-3</v>
      </c>
      <c r="M1298" s="1273">
        <v>1.9999929970955601E-3</v>
      </c>
      <c r="N1298" s="1248">
        <v>3.1850009128239903E-2</v>
      </c>
      <c r="O1298" s="1249">
        <v>3.1850009128239903E-2</v>
      </c>
      <c r="P1298" s="1251">
        <v>1.5925004564119952E-2</v>
      </c>
      <c r="Q1298" s="1252">
        <v>5.5258817417684097E-2</v>
      </c>
    </row>
    <row r="1299" spans="1:17" s="212" customFormat="1" ht="15.5" x14ac:dyDescent="0.35">
      <c r="A1299" s="198">
        <v>2037</v>
      </c>
      <c r="B1299" s="197" t="s">
        <v>5842</v>
      </c>
      <c r="C1299" s="197">
        <v>1997</v>
      </c>
      <c r="D1299" s="213" t="str">
        <f t="shared" si="15"/>
        <v>2037_1997</v>
      </c>
      <c r="E1299" s="1267">
        <v>0.371063313377547</v>
      </c>
      <c r="F1299" s="1278">
        <v>2.1500166065590399E-2</v>
      </c>
      <c r="G1299" s="1248">
        <v>9.3121084056890808</v>
      </c>
      <c r="H1299" s="1278">
        <v>0.38779475091012999</v>
      </c>
      <c r="I1299" s="1248">
        <v>5.3131951714473401E-2</v>
      </c>
      <c r="J1299" s="1278">
        <v>2.0999467170293301E-3</v>
      </c>
      <c r="K1299" s="1248">
        <v>3.0000066485234601E-3</v>
      </c>
      <c r="L1299" s="1250">
        <v>1.99999253968796E-3</v>
      </c>
      <c r="M1299" s="1273">
        <v>1.99999253968796E-3</v>
      </c>
      <c r="N1299" s="1248">
        <v>3.1850009128239903E-2</v>
      </c>
      <c r="O1299" s="1249">
        <v>3.1850009128239903E-2</v>
      </c>
      <c r="P1299" s="1251">
        <v>1.5925004564119952E-2</v>
      </c>
      <c r="Q1299" s="1252">
        <v>5.5534342801457998E-2</v>
      </c>
    </row>
    <row r="1300" spans="1:17" s="212" customFormat="1" ht="15.5" x14ac:dyDescent="0.35">
      <c r="A1300" s="198">
        <v>2037</v>
      </c>
      <c r="B1300" s="197" t="s">
        <v>5842</v>
      </c>
      <c r="C1300" s="197">
        <v>1998</v>
      </c>
      <c r="D1300" s="213" t="str">
        <f t="shared" si="15"/>
        <v>2037_1998</v>
      </c>
      <c r="E1300" s="1267">
        <v>0.37259881685025897</v>
      </c>
      <c r="F1300" s="1278">
        <v>2.17881323949017E-2</v>
      </c>
      <c r="G1300" s="1248">
        <v>9.2994284780083394</v>
      </c>
      <c r="H1300" s="1278">
        <v>0.389830479957399</v>
      </c>
      <c r="I1300" s="1248">
        <v>5.3351817956778402E-2</v>
      </c>
      <c r="J1300" s="1278">
        <v>2.1309383975623699E-3</v>
      </c>
      <c r="K1300" s="1248">
        <v>3.0000147089428498E-3</v>
      </c>
      <c r="L1300" s="1250">
        <v>1.99999397523527E-3</v>
      </c>
      <c r="M1300" s="1273">
        <v>1.99999397523527E-3</v>
      </c>
      <c r="N1300" s="1248">
        <v>3.1850009128239903E-2</v>
      </c>
      <c r="O1300" s="1249">
        <v>3.1850009128239903E-2</v>
      </c>
      <c r="P1300" s="1251">
        <v>1.5925004564119952E-2</v>
      </c>
      <c r="Q1300" s="1252">
        <v>5.5764150419598098E-2</v>
      </c>
    </row>
    <row r="1301" spans="1:17" s="212" customFormat="1" ht="15.5" x14ac:dyDescent="0.35">
      <c r="A1301" s="198">
        <v>2037</v>
      </c>
      <c r="B1301" s="197" t="s">
        <v>5842</v>
      </c>
      <c r="C1301" s="197">
        <v>1999</v>
      </c>
      <c r="D1301" s="213" t="str">
        <f t="shared" si="15"/>
        <v>2037_1999</v>
      </c>
      <c r="E1301" s="1267">
        <v>0.37054972049676399</v>
      </c>
      <c r="F1301" s="1278">
        <v>2.18376109632481E-2</v>
      </c>
      <c r="G1301" s="1248">
        <v>9.3306511646259693</v>
      </c>
      <c r="H1301" s="1278">
        <v>0.39013439494527302</v>
      </c>
      <c r="I1301" s="1248">
        <v>5.3058411186054602E-2</v>
      </c>
      <c r="J1301" s="1278">
        <v>2.1310667601329701E-3</v>
      </c>
      <c r="K1301" s="1248">
        <v>3.00000791827968E-3</v>
      </c>
      <c r="L1301" s="1250">
        <v>1.9999969097051601E-3</v>
      </c>
      <c r="M1301" s="1273">
        <v>1.9999969097051601E-3</v>
      </c>
      <c r="N1301" s="1248">
        <v>3.1850009128239903E-2</v>
      </c>
      <c r="O1301" s="1249">
        <v>3.1850009128239903E-2</v>
      </c>
      <c r="P1301" s="1251">
        <v>1.5925004564119952E-2</v>
      </c>
      <c r="Q1301" s="1252">
        <v>5.5457477096675402E-2</v>
      </c>
    </row>
    <row r="1302" spans="1:17" s="212" customFormat="1" ht="15.5" x14ac:dyDescent="0.35">
      <c r="A1302" s="198">
        <v>2037</v>
      </c>
      <c r="B1302" s="197" t="s">
        <v>5842</v>
      </c>
      <c r="C1302" s="197">
        <v>2000</v>
      </c>
      <c r="D1302" s="213" t="str">
        <f t="shared" si="15"/>
        <v>2037_2000</v>
      </c>
      <c r="E1302" s="1267">
        <v>0.36679124717223799</v>
      </c>
      <c r="F1302" s="1278">
        <v>2.2131137388170598E-2</v>
      </c>
      <c r="G1302" s="1248">
        <v>9.4077364683253606</v>
      </c>
      <c r="H1302" s="1278">
        <v>0.39268209463578302</v>
      </c>
      <c r="I1302" s="1248">
        <v>5.2520241509884803E-2</v>
      </c>
      <c r="J1302" s="1278">
        <v>2.1630004349026399E-3</v>
      </c>
      <c r="K1302" s="1248">
        <v>3.0000101714765201E-3</v>
      </c>
      <c r="L1302" s="1250">
        <v>1.99999497579043E-3</v>
      </c>
      <c r="M1302" s="1273">
        <v>1.99999497579043E-3</v>
      </c>
      <c r="N1302" s="1248">
        <v>3.1850009128239903E-2</v>
      </c>
      <c r="O1302" s="1249">
        <v>3.1850009128239903E-2</v>
      </c>
      <c r="P1302" s="1251">
        <v>1.5925004564119952E-2</v>
      </c>
      <c r="Q1302" s="1252">
        <v>5.4894973775841703E-2</v>
      </c>
    </row>
    <row r="1303" spans="1:17" s="212" customFormat="1" ht="15.5" x14ac:dyDescent="0.35">
      <c r="A1303" s="198">
        <v>2037</v>
      </c>
      <c r="B1303" s="197" t="s">
        <v>5842</v>
      </c>
      <c r="C1303" s="197">
        <v>2001</v>
      </c>
      <c r="D1303" s="213" t="str">
        <f t="shared" si="15"/>
        <v>2037_2001</v>
      </c>
      <c r="E1303" s="1267">
        <v>0.37027133079779201</v>
      </c>
      <c r="F1303" s="1278">
        <v>2.22200225297805E-2</v>
      </c>
      <c r="G1303" s="1248">
        <v>9.3363427701517399</v>
      </c>
      <c r="H1303" s="1278">
        <v>0.39398085151291401</v>
      </c>
      <c r="I1303" s="1248">
        <v>5.3018549018305001E-2</v>
      </c>
      <c r="J1303" s="1278">
        <v>2.1742609598102299E-3</v>
      </c>
      <c r="K1303" s="1248">
        <v>3.0000111029942198E-3</v>
      </c>
      <c r="L1303" s="1250">
        <v>1.9999970223643E-3</v>
      </c>
      <c r="M1303" s="1273">
        <v>1.9999970223643E-3</v>
      </c>
      <c r="N1303" s="1248">
        <v>3.1850009128239903E-2</v>
      </c>
      <c r="O1303" s="1249">
        <v>3.1850009128239903E-2</v>
      </c>
      <c r="P1303" s="1251">
        <v>1.5925004564119952E-2</v>
      </c>
      <c r="Q1303" s="1252">
        <v>5.54158125385859E-2</v>
      </c>
    </row>
    <row r="1304" spans="1:17" s="212" customFormat="1" ht="15.5" x14ac:dyDescent="0.35">
      <c r="A1304" s="198">
        <v>2037</v>
      </c>
      <c r="B1304" s="197" t="s">
        <v>5842</v>
      </c>
      <c r="C1304" s="197">
        <v>2002</v>
      </c>
      <c r="D1304" s="213" t="str">
        <f t="shared" si="15"/>
        <v>2037_2002</v>
      </c>
      <c r="E1304" s="1267">
        <v>0.28706525577672298</v>
      </c>
      <c r="F1304" s="1278">
        <v>2.21542007246253E-2</v>
      </c>
      <c r="G1304" s="1248">
        <v>7.1950371513663001</v>
      </c>
      <c r="H1304" s="1278">
        <v>0.31756986457094</v>
      </c>
      <c r="I1304" s="1248">
        <v>5.3508363164535999E-2</v>
      </c>
      <c r="J1304" s="1278">
        <v>2.1718389767108799E-3</v>
      </c>
      <c r="K1304" s="1248">
        <v>3.0000131402842501E-3</v>
      </c>
      <c r="L1304" s="1250">
        <v>1.99999600151051E-3</v>
      </c>
      <c r="M1304" s="1273">
        <v>1.99999600151051E-3</v>
      </c>
      <c r="N1304" s="1248">
        <v>3.1850009128239903E-2</v>
      </c>
      <c r="O1304" s="1249">
        <v>3.1850009128239903E-2</v>
      </c>
      <c r="P1304" s="1251">
        <v>1.5925004564119952E-2</v>
      </c>
      <c r="Q1304" s="1252">
        <v>5.5927773906991302E-2</v>
      </c>
    </row>
    <row r="1305" spans="1:17" s="212" customFormat="1" ht="15.5" x14ac:dyDescent="0.35">
      <c r="A1305" s="198">
        <v>2037</v>
      </c>
      <c r="B1305" s="197" t="s">
        <v>5842</v>
      </c>
      <c r="C1305" s="197">
        <v>2003</v>
      </c>
      <c r="D1305" s="213" t="str">
        <f t="shared" si="15"/>
        <v>2037_2003</v>
      </c>
      <c r="E1305" s="1267">
        <v>0.284545185535719</v>
      </c>
      <c r="F1305" s="1278">
        <v>2.18428163017413E-2</v>
      </c>
      <c r="G1305" s="1248">
        <v>7.2382761777234501</v>
      </c>
      <c r="H1305" s="1278">
        <v>0.31685933767944702</v>
      </c>
      <c r="I1305" s="1248">
        <v>5.3038627343351602E-2</v>
      </c>
      <c r="J1305" s="1278">
        <v>2.14027708580625E-3</v>
      </c>
      <c r="K1305" s="1248">
        <v>3.0000111855240301E-3</v>
      </c>
      <c r="L1305" s="1250">
        <v>1.9999955056043501E-3</v>
      </c>
      <c r="M1305" s="1273">
        <v>1.9999955056043501E-3</v>
      </c>
      <c r="N1305" s="1248">
        <v>3.1850009128239903E-2</v>
      </c>
      <c r="O1305" s="1249">
        <v>3.1850009128239903E-2</v>
      </c>
      <c r="P1305" s="1251">
        <v>1.5925004564119952E-2</v>
      </c>
      <c r="Q1305" s="1252">
        <v>5.54367987163948E-2</v>
      </c>
    </row>
    <row r="1306" spans="1:17" s="212" customFormat="1" ht="15.5" x14ac:dyDescent="0.35">
      <c r="A1306" s="198">
        <v>2037</v>
      </c>
      <c r="B1306" s="197" t="s">
        <v>5842</v>
      </c>
      <c r="C1306" s="197">
        <v>2004</v>
      </c>
      <c r="D1306" s="213" t="str">
        <f t="shared" si="15"/>
        <v>2037_2004</v>
      </c>
      <c r="E1306" s="1267">
        <v>0.57652538021078203</v>
      </c>
      <c r="F1306" s="1278">
        <v>1.4298277901764401E-2</v>
      </c>
      <c r="G1306" s="1248">
        <v>4.1438759796312397</v>
      </c>
      <c r="H1306" s="1278">
        <v>0.26794502034050899</v>
      </c>
      <c r="I1306" s="1248">
        <v>0.150176707911752</v>
      </c>
      <c r="J1306" s="1278">
        <v>1.3915841415813399E-4</v>
      </c>
      <c r="K1306" s="1248">
        <v>3.0000147749950599E-3</v>
      </c>
      <c r="L1306" s="1250">
        <v>1.9999956215568599E-3</v>
      </c>
      <c r="M1306" s="1273">
        <v>1.9999956215568599E-3</v>
      </c>
      <c r="N1306" s="1248">
        <v>3.1850009128239903E-2</v>
      </c>
      <c r="O1306" s="1249">
        <v>3.1850009128239903E-2</v>
      </c>
      <c r="P1306" s="1251">
        <v>1.5925004564119952E-2</v>
      </c>
      <c r="Q1306" s="1252">
        <v>0.15696703224424999</v>
      </c>
    </row>
    <row r="1307" spans="1:17" s="212" customFormat="1" ht="15.5" x14ac:dyDescent="0.35">
      <c r="A1307" s="198">
        <v>2037</v>
      </c>
      <c r="B1307" s="197" t="s">
        <v>5842</v>
      </c>
      <c r="C1307" s="197">
        <v>2005</v>
      </c>
      <c r="D1307" s="213" t="str">
        <f t="shared" si="15"/>
        <v>2037_2005</v>
      </c>
      <c r="E1307" s="1267">
        <v>0.57429929302259897</v>
      </c>
      <c r="F1307" s="1278">
        <v>1.4439565382496401E-2</v>
      </c>
      <c r="G1307" s="1248">
        <v>4.1367395742112496</v>
      </c>
      <c r="H1307" s="1278">
        <v>0.269975349028509</v>
      </c>
      <c r="I1307" s="1248">
        <v>0.14968063531081599</v>
      </c>
      <c r="J1307" s="1278">
        <v>1.4109138716582599E-4</v>
      </c>
      <c r="K1307" s="1248">
        <v>3.0000130574152099E-3</v>
      </c>
      <c r="L1307" s="1250">
        <v>1.9999951889060098E-3</v>
      </c>
      <c r="M1307" s="1273">
        <v>1.9999951889060098E-3</v>
      </c>
      <c r="N1307" s="1248">
        <v>3.1850009128239903E-2</v>
      </c>
      <c r="O1307" s="1249">
        <v>3.1850009128239903E-2</v>
      </c>
      <c r="P1307" s="1251">
        <v>1.5925004564119952E-2</v>
      </c>
      <c r="Q1307" s="1252">
        <v>0.15644852944158899</v>
      </c>
    </row>
    <row r="1308" spans="1:17" s="212" customFormat="1" ht="15.5" x14ac:dyDescent="0.35">
      <c r="A1308" s="198">
        <v>2037</v>
      </c>
      <c r="B1308" s="197" t="s">
        <v>5842</v>
      </c>
      <c r="C1308" s="197">
        <v>2006</v>
      </c>
      <c r="D1308" s="213" t="str">
        <f t="shared" si="15"/>
        <v>2037_2006</v>
      </c>
      <c r="E1308" s="1267">
        <v>0.57061460847595202</v>
      </c>
      <c r="F1308" s="1278">
        <v>1.46020016564961E-2</v>
      </c>
      <c r="G1308" s="1248">
        <v>4.1240153454587398</v>
      </c>
      <c r="H1308" s="1278">
        <v>0.27202494662704002</v>
      </c>
      <c r="I1308" s="1248">
        <v>0.148851474881327</v>
      </c>
      <c r="J1308" s="1278">
        <v>1.4207828307581099E-4</v>
      </c>
      <c r="K1308" s="1248">
        <v>3.0000137410847402E-3</v>
      </c>
      <c r="L1308" s="1250">
        <v>1.9999940180342899E-3</v>
      </c>
      <c r="M1308" s="1273">
        <v>1.9999940180342899E-3</v>
      </c>
      <c r="N1308" s="1248">
        <v>3.1850009128239903E-2</v>
      </c>
      <c r="O1308" s="1249">
        <v>3.1850009128239903E-2</v>
      </c>
      <c r="P1308" s="1251">
        <v>1.5925004564119952E-2</v>
      </c>
      <c r="Q1308" s="1252">
        <v>0.155581878056823</v>
      </c>
    </row>
    <row r="1309" spans="1:17" s="212" customFormat="1" ht="15.5" x14ac:dyDescent="0.35">
      <c r="A1309" s="198">
        <v>2037</v>
      </c>
      <c r="B1309" s="197" t="s">
        <v>5842</v>
      </c>
      <c r="C1309" s="197">
        <v>2007</v>
      </c>
      <c r="D1309" s="213" t="str">
        <f t="shared" si="15"/>
        <v>2037_2007</v>
      </c>
      <c r="E1309" s="1267">
        <v>0.33290895658811598</v>
      </c>
      <c r="F1309" s="1278">
        <v>1.45415126169696E-2</v>
      </c>
      <c r="G1309" s="1248">
        <v>2.4824571180524799</v>
      </c>
      <c r="H1309" s="1278">
        <v>0.27285995241378902</v>
      </c>
      <c r="I1309" s="1248">
        <v>8.7421331042537506E-2</v>
      </c>
      <c r="J1309" s="1278">
        <v>1.45141680161938E-4</v>
      </c>
      <c r="K1309" s="1248">
        <v>3.0000147766356699E-3</v>
      </c>
      <c r="L1309" s="1250">
        <v>1.99999744892205E-3</v>
      </c>
      <c r="M1309" s="1273">
        <v>1.99999744892205E-3</v>
      </c>
      <c r="N1309" s="1248">
        <v>3.1850009128239903E-2</v>
      </c>
      <c r="O1309" s="1249">
        <v>3.1850009128239903E-2</v>
      </c>
      <c r="P1309" s="1251">
        <v>1.5925004564119952E-2</v>
      </c>
      <c r="Q1309" s="1252">
        <v>9.1374135705869899E-2</v>
      </c>
    </row>
    <row r="1310" spans="1:17" s="212" customFormat="1" ht="15.5" x14ac:dyDescent="0.35">
      <c r="A1310" s="198">
        <v>2037</v>
      </c>
      <c r="B1310" s="197" t="s">
        <v>5842</v>
      </c>
      <c r="C1310" s="197">
        <v>2008</v>
      </c>
      <c r="D1310" s="213" t="str">
        <f t="shared" si="15"/>
        <v>2037_2008</v>
      </c>
      <c r="E1310" s="1267">
        <v>0.34041490118502798</v>
      </c>
      <c r="F1310" s="1278">
        <v>9.8896509164306898E-3</v>
      </c>
      <c r="G1310" s="1248">
        <v>2.5066245129443399</v>
      </c>
      <c r="H1310" s="1278">
        <v>0.15847560490464299</v>
      </c>
      <c r="I1310" s="1248">
        <v>8.89908593296143E-2</v>
      </c>
      <c r="J1310" s="1278">
        <v>1.41353387987953E-4</v>
      </c>
      <c r="K1310" s="1248">
        <v>3.0000085627838401E-3</v>
      </c>
      <c r="L1310" s="1250">
        <v>1.9999953367340101E-3</v>
      </c>
      <c r="M1310" s="1273">
        <v>1.9999953367340101E-3</v>
      </c>
      <c r="N1310" s="1248">
        <v>3.1850009128239903E-2</v>
      </c>
      <c r="O1310" s="1249">
        <v>3.1850009128239903E-2</v>
      </c>
      <c r="P1310" s="1251">
        <v>1.5925004564119952E-2</v>
      </c>
      <c r="Q1310" s="1252">
        <v>9.3014631097409706E-2</v>
      </c>
    </row>
    <row r="1311" spans="1:17" s="212" customFormat="1" ht="15.5" x14ac:dyDescent="0.35">
      <c r="A1311" s="198">
        <v>2037</v>
      </c>
      <c r="B1311" s="197" t="s">
        <v>5842</v>
      </c>
      <c r="C1311" s="197">
        <v>2009</v>
      </c>
      <c r="D1311" s="213" t="str">
        <f t="shared" si="15"/>
        <v>2037_2009</v>
      </c>
      <c r="E1311" s="1267">
        <v>0.33884025256523898</v>
      </c>
      <c r="F1311" s="1278">
        <v>4.8167335353680599E-3</v>
      </c>
      <c r="G1311" s="1248">
        <v>2.5015324467451898</v>
      </c>
      <c r="H1311" s="1278">
        <v>4.2872799181690999E-2</v>
      </c>
      <c r="I1311" s="1248">
        <v>8.8645430553332905E-2</v>
      </c>
      <c r="J1311" s="1278">
        <v>1.2986508225725101E-4</v>
      </c>
      <c r="K1311" s="1248">
        <v>3.00000939017792E-3</v>
      </c>
      <c r="L1311" s="1250">
        <v>1.9999938412694801E-3</v>
      </c>
      <c r="M1311" s="1273">
        <v>1.9999938412694801E-3</v>
      </c>
      <c r="N1311" s="1248">
        <v>3.1850009128239903E-2</v>
      </c>
      <c r="O1311" s="1249">
        <v>3.1850009128239903E-2</v>
      </c>
      <c r="P1311" s="1251">
        <v>1.5925004564119952E-2</v>
      </c>
      <c r="Q1311" s="1252">
        <v>9.2653583564682396E-2</v>
      </c>
    </row>
    <row r="1312" spans="1:17" s="212" customFormat="1" ht="15.5" x14ac:dyDescent="0.35">
      <c r="A1312" s="198">
        <v>2037</v>
      </c>
      <c r="B1312" s="197" t="s">
        <v>5842</v>
      </c>
      <c r="C1312" s="197">
        <v>2010</v>
      </c>
      <c r="D1312" s="213" t="str">
        <f t="shared" si="15"/>
        <v>2037_2010</v>
      </c>
      <c r="E1312" s="1267">
        <v>9.0371673909511396E-2</v>
      </c>
      <c r="F1312" s="1278">
        <v>4.8253242335832402E-3</v>
      </c>
      <c r="G1312" s="1248">
        <v>0.82500749880269597</v>
      </c>
      <c r="H1312" s="1278">
        <v>4.3234886871122299E-2</v>
      </c>
      <c r="I1312" s="1248">
        <v>2.4816563302145801E-2</v>
      </c>
      <c r="J1312" s="1278">
        <v>1.5861215814240399E-4</v>
      </c>
      <c r="K1312" s="1248">
        <v>3.0000146691886299E-3</v>
      </c>
      <c r="L1312" s="1250">
        <v>1.9999997633612801E-3</v>
      </c>
      <c r="M1312" s="1273">
        <v>1.9999997633612801E-3</v>
      </c>
      <c r="N1312" s="1248">
        <v>3.1850009128239903E-2</v>
      </c>
      <c r="O1312" s="1249">
        <v>3.1850009128239903E-2</v>
      </c>
      <c r="P1312" s="1251">
        <v>1.5925004564119952E-2</v>
      </c>
      <c r="Q1312" s="1252">
        <v>2.59386581728001E-2</v>
      </c>
    </row>
    <row r="1313" spans="1:17" s="212" customFormat="1" ht="15.5" x14ac:dyDescent="0.35">
      <c r="A1313" s="198">
        <v>2037</v>
      </c>
      <c r="B1313" s="197" t="s">
        <v>5842</v>
      </c>
      <c r="C1313" s="197">
        <v>2011</v>
      </c>
      <c r="D1313" s="213" t="str">
        <f t="shared" si="15"/>
        <v>2037_2011</v>
      </c>
      <c r="E1313" s="1267">
        <v>8.9544673962852595E-2</v>
      </c>
      <c r="F1313" s="1278">
        <v>5.0182089161628701E-3</v>
      </c>
      <c r="G1313" s="1248">
        <v>0.82159051705619301</v>
      </c>
      <c r="H1313" s="1278">
        <v>4.3137040730509599E-2</v>
      </c>
      <c r="I1313" s="1248">
        <v>2.4662320204403398E-2</v>
      </c>
      <c r="J1313" s="1278">
        <v>2.1686898575766701E-4</v>
      </c>
      <c r="K1313" s="1248">
        <v>3.0000153135845199E-3</v>
      </c>
      <c r="L1313" s="1250">
        <v>1.9999968683264498E-3</v>
      </c>
      <c r="M1313" s="1273">
        <v>1.9999968683264498E-3</v>
      </c>
      <c r="N1313" s="1248">
        <v>3.1850009128239903E-2</v>
      </c>
      <c r="O1313" s="1249">
        <v>3.1850009128239903E-2</v>
      </c>
      <c r="P1313" s="1251">
        <v>1.5925004564119952E-2</v>
      </c>
      <c r="Q1313" s="1252">
        <v>2.5777440886621501E-2</v>
      </c>
    </row>
    <row r="1314" spans="1:17" s="212" customFormat="1" ht="15.5" x14ac:dyDescent="0.35">
      <c r="A1314" s="198">
        <v>2037</v>
      </c>
      <c r="B1314" s="197" t="s">
        <v>5842</v>
      </c>
      <c r="C1314" s="197">
        <v>2012</v>
      </c>
      <c r="D1314" s="213" t="str">
        <f t="shared" si="15"/>
        <v>2037_2012</v>
      </c>
      <c r="E1314" s="1267">
        <v>9.0276405680719304E-2</v>
      </c>
      <c r="F1314" s="1278">
        <v>5.0103122494189597E-3</v>
      </c>
      <c r="G1314" s="1248">
        <v>0.82478032805186796</v>
      </c>
      <c r="H1314" s="1278">
        <v>4.3219756934504701E-2</v>
      </c>
      <c r="I1314" s="1248">
        <v>2.4801546366332E-2</v>
      </c>
      <c r="J1314" s="1278">
        <v>3.1667194256121802E-4</v>
      </c>
      <c r="K1314" s="1248">
        <v>3.0000139894152101E-3</v>
      </c>
      <c r="L1314" s="1250">
        <v>1.99999545186549E-3</v>
      </c>
      <c r="M1314" s="1273">
        <v>1.99999545186549E-3</v>
      </c>
      <c r="N1314" s="1248">
        <v>3.1850009128239903E-2</v>
      </c>
      <c r="O1314" s="1249">
        <v>3.1850009128239903E-2</v>
      </c>
      <c r="P1314" s="1251">
        <v>1.5925004564119952E-2</v>
      </c>
      <c r="Q1314" s="1252">
        <v>2.59229622377855E-2</v>
      </c>
    </row>
    <row r="1315" spans="1:17" s="212" customFormat="1" ht="15.5" x14ac:dyDescent="0.35">
      <c r="A1315" s="198">
        <v>2037</v>
      </c>
      <c r="B1315" s="197" t="s">
        <v>5842</v>
      </c>
      <c r="C1315" s="197">
        <v>2013</v>
      </c>
      <c r="D1315" s="213" t="str">
        <f t="shared" si="15"/>
        <v>2037_2013</v>
      </c>
      <c r="E1315" s="1267">
        <v>9.0274719487950794E-2</v>
      </c>
      <c r="F1315" s="1278">
        <v>5.0751729791252203E-3</v>
      </c>
      <c r="G1315" s="1248">
        <v>0.82371207065799801</v>
      </c>
      <c r="H1315" s="1278">
        <v>4.3068102954687597E-2</v>
      </c>
      <c r="I1315" s="1248">
        <v>2.4788436644933999E-2</v>
      </c>
      <c r="J1315" s="1278">
        <v>4.7541182536329401E-4</v>
      </c>
      <c r="K1315" s="1248">
        <v>3.0000148653317299E-3</v>
      </c>
      <c r="L1315" s="1250">
        <v>1.9999991815346399E-3</v>
      </c>
      <c r="M1315" s="1273">
        <v>1.9999991815346399E-3</v>
      </c>
      <c r="N1315" s="1248">
        <v>3.1850009128239903E-2</v>
      </c>
      <c r="O1315" s="1249">
        <v>3.1850009128239903E-2</v>
      </c>
      <c r="P1315" s="1251">
        <v>1.5925004564119952E-2</v>
      </c>
      <c r="Q1315" s="1252">
        <v>2.59092597529594E-2</v>
      </c>
    </row>
    <row r="1316" spans="1:17" s="212" customFormat="1" ht="15.5" x14ac:dyDescent="0.35">
      <c r="A1316" s="198">
        <v>2037</v>
      </c>
      <c r="B1316" s="197" t="s">
        <v>5842</v>
      </c>
      <c r="C1316" s="197">
        <v>2014</v>
      </c>
      <c r="D1316" s="213" t="str">
        <f t="shared" si="15"/>
        <v>2037_2014</v>
      </c>
      <c r="E1316" s="1267">
        <v>8.9193664498282199E-2</v>
      </c>
      <c r="F1316" s="1278">
        <v>4.9759135660826697E-3</v>
      </c>
      <c r="G1316" s="1248">
        <v>0.81879794416146001</v>
      </c>
      <c r="H1316" s="1278">
        <v>4.3285560511533198E-2</v>
      </c>
      <c r="I1316" s="1248">
        <v>2.4552316342936101E-2</v>
      </c>
      <c r="J1316" s="1278">
        <v>6.6010523382208303E-4</v>
      </c>
      <c r="K1316" s="1248">
        <v>3.0000157193165299E-3</v>
      </c>
      <c r="L1316" s="1250">
        <v>2.0000001837032701E-3</v>
      </c>
      <c r="M1316" s="1273">
        <v>2.0000001837032701E-3</v>
      </c>
      <c r="N1316" s="1248">
        <v>3.1850009128239903E-2</v>
      </c>
      <c r="O1316" s="1249">
        <v>3.1850009128239903E-2</v>
      </c>
      <c r="P1316" s="1251">
        <v>1.5925004564119952E-2</v>
      </c>
      <c r="Q1316" s="1252">
        <v>2.56624631386735E-2</v>
      </c>
    </row>
    <row r="1317" spans="1:17" s="212" customFormat="1" ht="15.5" x14ac:dyDescent="0.35">
      <c r="A1317" s="198">
        <v>2037</v>
      </c>
      <c r="B1317" s="197" t="s">
        <v>5842</v>
      </c>
      <c r="C1317" s="197">
        <v>2015</v>
      </c>
      <c r="D1317" s="213" t="str">
        <f t="shared" si="15"/>
        <v>2037_2015</v>
      </c>
      <c r="E1317" s="1267">
        <v>8.9322527321260906E-2</v>
      </c>
      <c r="F1317" s="1278">
        <v>5.1177462373436103E-3</v>
      </c>
      <c r="G1317" s="1248">
        <v>0.81765861024155495</v>
      </c>
      <c r="H1317" s="1278">
        <v>4.3021462299312203E-2</v>
      </c>
      <c r="I1317" s="1248">
        <v>2.449043065058E-2</v>
      </c>
      <c r="J1317" s="1278">
        <v>8.3546765323996896E-4</v>
      </c>
      <c r="K1317" s="1248">
        <v>3.0000154176869501E-3</v>
      </c>
      <c r="L1317" s="1250">
        <v>1.9999999885076899E-3</v>
      </c>
      <c r="M1317" s="1273">
        <v>1.9999999885076899E-3</v>
      </c>
      <c r="N1317" s="1248">
        <v>3.1850009128239903E-2</v>
      </c>
      <c r="O1317" s="1249">
        <v>3.1850009128239903E-2</v>
      </c>
      <c r="P1317" s="1251">
        <v>1.5925004564119952E-2</v>
      </c>
      <c r="Q1317" s="1252">
        <v>2.5597779249922702E-2</v>
      </c>
    </row>
    <row r="1318" spans="1:17" s="212" customFormat="1" ht="15.5" x14ac:dyDescent="0.35">
      <c r="A1318" s="198">
        <v>2037</v>
      </c>
      <c r="B1318" s="197" t="s">
        <v>5842</v>
      </c>
      <c r="C1318" s="197">
        <v>2016</v>
      </c>
      <c r="D1318" s="213" t="str">
        <f t="shared" si="15"/>
        <v>2037_2016</v>
      </c>
      <c r="E1318" s="1267">
        <v>8.9256104705657202E-2</v>
      </c>
      <c r="F1318" s="1278">
        <v>4.7392601584880997E-3</v>
      </c>
      <c r="G1318" s="1248">
        <v>0.72004906982924999</v>
      </c>
      <c r="H1318" s="1278">
        <v>4.0326514454817997E-2</v>
      </c>
      <c r="I1318" s="1248">
        <v>2.4344147092096799E-2</v>
      </c>
      <c r="J1318" s="1278">
        <v>9.6140265387469005E-4</v>
      </c>
      <c r="K1318" s="1248">
        <v>3.0000164515625598E-3</v>
      </c>
      <c r="L1318" s="1250">
        <v>1.9999985579316E-3</v>
      </c>
      <c r="M1318" s="1273">
        <v>1.9999985579316E-3</v>
      </c>
      <c r="N1318" s="1248">
        <v>3.1850009128239903E-2</v>
      </c>
      <c r="O1318" s="1249">
        <v>3.1850009128239903E-2</v>
      </c>
      <c r="P1318" s="1251">
        <v>1.5925004564119952E-2</v>
      </c>
      <c r="Q1318" s="1252">
        <v>2.54448813980486E-2</v>
      </c>
    </row>
    <row r="1319" spans="1:17" s="212" customFormat="1" ht="15.5" x14ac:dyDescent="0.35">
      <c r="A1319" s="198">
        <v>2037</v>
      </c>
      <c r="B1319" s="197" t="s">
        <v>5842</v>
      </c>
      <c r="C1319" s="197">
        <v>2017</v>
      </c>
      <c r="D1319" s="213" t="str">
        <f t="shared" si="15"/>
        <v>2037_2017</v>
      </c>
      <c r="E1319" s="1267">
        <v>8.7929838332585497E-2</v>
      </c>
      <c r="F1319" s="1278">
        <v>4.4909698235154703E-3</v>
      </c>
      <c r="G1319" s="1248">
        <v>0.61805165676153295</v>
      </c>
      <c r="H1319" s="1278">
        <v>3.7448931781282099E-2</v>
      </c>
      <c r="I1319" s="1248">
        <v>2.3910251784503699E-2</v>
      </c>
      <c r="J1319" s="1278">
        <v>1.0366291432284799E-3</v>
      </c>
      <c r="K1319" s="1248">
        <v>3.0000172982713102E-3</v>
      </c>
      <c r="L1319" s="1250">
        <v>2.0000006679354301E-3</v>
      </c>
      <c r="M1319" s="1273">
        <v>2.0000006679354301E-3</v>
      </c>
      <c r="N1319" s="1248">
        <v>3.1850009128239903E-2</v>
      </c>
      <c r="O1319" s="1249">
        <v>3.1850009128239903E-2</v>
      </c>
      <c r="P1319" s="1251">
        <v>1.5925004564119952E-2</v>
      </c>
      <c r="Q1319" s="1252">
        <v>2.4991367270028E-2</v>
      </c>
    </row>
    <row r="1320" spans="1:17" s="212" customFormat="1" ht="15.5" x14ac:dyDescent="0.35">
      <c r="A1320" s="198">
        <v>2037</v>
      </c>
      <c r="B1320" s="197" t="s">
        <v>5842</v>
      </c>
      <c r="C1320" s="197">
        <v>2018</v>
      </c>
      <c r="D1320" s="213" t="str">
        <f t="shared" si="15"/>
        <v>2037_2018</v>
      </c>
      <c r="E1320" s="1267">
        <v>8.8442855919584604E-2</v>
      </c>
      <c r="F1320" s="1278">
        <v>3.96864226908554E-3</v>
      </c>
      <c r="G1320" s="1248">
        <v>0.51032210894935803</v>
      </c>
      <c r="H1320" s="1278">
        <v>3.3422844786246297E-2</v>
      </c>
      <c r="I1320" s="1248">
        <v>2.3778572359164502E-2</v>
      </c>
      <c r="J1320" s="1278">
        <v>1.0782326315103999E-3</v>
      </c>
      <c r="K1320" s="1248">
        <v>3.0000158080153E-3</v>
      </c>
      <c r="L1320" s="1250">
        <v>2.0000009527582998E-3</v>
      </c>
      <c r="M1320" s="1273">
        <v>2.0000009527582998E-3</v>
      </c>
      <c r="N1320" s="1248">
        <v>3.1850009128239903E-2</v>
      </c>
      <c r="O1320" s="1249">
        <v>3.1850009128239903E-2</v>
      </c>
      <c r="P1320" s="1251">
        <v>1.5925004564119952E-2</v>
      </c>
      <c r="Q1320" s="1252">
        <v>2.48537338853939E-2</v>
      </c>
    </row>
    <row r="1321" spans="1:17" s="212" customFormat="1" ht="15.5" x14ac:dyDescent="0.35">
      <c r="A1321" s="198">
        <v>2037</v>
      </c>
      <c r="B1321" s="197" t="s">
        <v>5842</v>
      </c>
      <c r="C1321" s="197">
        <v>2019</v>
      </c>
      <c r="D1321" s="213" t="str">
        <f t="shared" si="15"/>
        <v>2037_2019</v>
      </c>
      <c r="E1321" s="1267">
        <v>8.8223452250746903E-2</v>
      </c>
      <c r="F1321" s="1278">
        <v>3.4207421149830101E-3</v>
      </c>
      <c r="G1321" s="1248">
        <v>0.43905249826899001</v>
      </c>
      <c r="H1321" s="1278">
        <v>2.9212683174639601E-2</v>
      </c>
      <c r="I1321" s="1248">
        <v>2.3454826177906399E-2</v>
      </c>
      <c r="J1321" s="1278">
        <v>1.09997982532679E-3</v>
      </c>
      <c r="K1321" s="1248">
        <v>3.0000161115575998E-3</v>
      </c>
      <c r="L1321" s="1250">
        <v>1.9999915430483901E-3</v>
      </c>
      <c r="M1321" s="1273">
        <v>1.9999915430483901E-3</v>
      </c>
      <c r="N1321" s="1248">
        <v>3.1850009128239903E-2</v>
      </c>
      <c r="O1321" s="1249">
        <v>3.1850009128239903E-2</v>
      </c>
      <c r="P1321" s="1251">
        <v>1.5925004564119952E-2</v>
      </c>
      <c r="Q1321" s="1252">
        <v>2.4515349338421599E-2</v>
      </c>
    </row>
    <row r="1322" spans="1:17" s="212" customFormat="1" ht="15.5" x14ac:dyDescent="0.35">
      <c r="A1322" s="198">
        <v>2037</v>
      </c>
      <c r="B1322" s="197" t="s">
        <v>5842</v>
      </c>
      <c r="C1322" s="197">
        <v>2020</v>
      </c>
      <c r="D1322" s="213" t="str">
        <f t="shared" si="15"/>
        <v>2037_2020</v>
      </c>
      <c r="E1322" s="1267">
        <v>7.7329116567043402E-2</v>
      </c>
      <c r="F1322" s="1278">
        <v>2.77550303132664E-3</v>
      </c>
      <c r="G1322" s="1248">
        <v>0.34376963730445498</v>
      </c>
      <c r="H1322" s="1278">
        <v>2.5280055602237901E-2</v>
      </c>
      <c r="I1322" s="1248">
        <v>2.1080187906650401E-2</v>
      </c>
      <c r="J1322" s="1278">
        <v>1.08690300471692E-3</v>
      </c>
      <c r="K1322" s="1248">
        <v>3.0000053242730802E-3</v>
      </c>
      <c r="L1322" s="1250">
        <v>1.9999913689192801E-3</v>
      </c>
      <c r="M1322" s="1273">
        <v>1.9999913689192801E-3</v>
      </c>
      <c r="N1322" s="1248">
        <v>3.1850009128239903E-2</v>
      </c>
      <c r="O1322" s="1249">
        <v>3.1850009128239903E-2</v>
      </c>
      <c r="P1322" s="1251">
        <v>1.5925004564119952E-2</v>
      </c>
      <c r="Q1322" s="1252">
        <v>2.2033340461840599E-2</v>
      </c>
    </row>
    <row r="1323" spans="1:17" s="212" customFormat="1" ht="15.5" x14ac:dyDescent="0.35">
      <c r="A1323" s="198">
        <v>2037</v>
      </c>
      <c r="B1323" s="197" t="s">
        <v>5842</v>
      </c>
      <c r="C1323" s="197">
        <v>2021</v>
      </c>
      <c r="D1323" s="213" t="str">
        <f t="shared" si="15"/>
        <v>2037_2021</v>
      </c>
      <c r="E1323" s="1267">
        <v>7.6753343530844301E-2</v>
      </c>
      <c r="F1323" s="1278">
        <v>2.3455064892526399E-3</v>
      </c>
      <c r="G1323" s="1248">
        <v>0.27800544427458002</v>
      </c>
      <c r="H1323" s="1278">
        <v>2.1179994312798701E-2</v>
      </c>
      <c r="I1323" s="1248">
        <v>2.0620091295316001E-2</v>
      </c>
      <c r="J1323" s="1278">
        <v>1.0870803426518999E-3</v>
      </c>
      <c r="K1323" s="1248">
        <v>3.00000545318891E-3</v>
      </c>
      <c r="L1323" s="1250">
        <v>1.9999914683793002E-3</v>
      </c>
      <c r="M1323" s="1273">
        <v>1.9999914683793002E-3</v>
      </c>
      <c r="N1323" s="1248">
        <v>3.1850009128239903E-2</v>
      </c>
      <c r="O1323" s="1249">
        <v>3.1850009128239903E-2</v>
      </c>
      <c r="P1323" s="1251">
        <v>1.5925004564119952E-2</v>
      </c>
      <c r="Q1323" s="1252">
        <v>2.1552440323390199E-2</v>
      </c>
    </row>
    <row r="1324" spans="1:17" s="212" customFormat="1" ht="15.5" x14ac:dyDescent="0.35">
      <c r="A1324" s="198">
        <v>2037</v>
      </c>
      <c r="B1324" s="197" t="s">
        <v>5842</v>
      </c>
      <c r="C1324" s="197">
        <v>2022</v>
      </c>
      <c r="D1324" s="213" t="str">
        <f t="shared" si="15"/>
        <v>2037_2022</v>
      </c>
      <c r="E1324" s="1267">
        <v>7.6097899729917401E-2</v>
      </c>
      <c r="F1324" s="1278">
        <v>1.92657589778191E-3</v>
      </c>
      <c r="G1324" s="1248">
        <v>0.21232171491772001</v>
      </c>
      <c r="H1324" s="1278">
        <v>1.7230303522892301E-2</v>
      </c>
      <c r="I1324" s="1248">
        <v>2.0099781273061799E-2</v>
      </c>
      <c r="J1324" s="1278">
        <v>1.0872497751811499E-3</v>
      </c>
      <c r="K1324" s="1248">
        <v>3.0000055838558001E-3</v>
      </c>
      <c r="L1324" s="1250">
        <v>1.9999915666600002E-3</v>
      </c>
      <c r="M1324" s="1273">
        <v>1.9999915666600002E-3</v>
      </c>
      <c r="N1324" s="1248">
        <v>3.1850009128239903E-2</v>
      </c>
      <c r="O1324" s="1249">
        <v>3.1850009128239903E-2</v>
      </c>
      <c r="P1324" s="1251">
        <v>1.5925004564119952E-2</v>
      </c>
      <c r="Q1324" s="1252">
        <v>2.1008604190771201E-2</v>
      </c>
    </row>
    <row r="1325" spans="1:17" s="212" customFormat="1" ht="15.5" x14ac:dyDescent="0.35">
      <c r="A1325" s="198">
        <v>2037</v>
      </c>
      <c r="B1325" s="197" t="s">
        <v>5842</v>
      </c>
      <c r="C1325" s="197">
        <v>2023</v>
      </c>
      <c r="D1325" s="213" t="str">
        <f t="shared" si="15"/>
        <v>2037_2023</v>
      </c>
      <c r="E1325" s="1267">
        <v>7.5362924153997105E-2</v>
      </c>
      <c r="F1325" s="1278">
        <v>1.91690941370158E-3</v>
      </c>
      <c r="G1325" s="1248">
        <v>0.20852646000518499</v>
      </c>
      <c r="H1325" s="1278">
        <v>1.6966623994287802E-2</v>
      </c>
      <c r="I1325" s="1248">
        <v>1.9519248841071101E-2</v>
      </c>
      <c r="J1325" s="1278">
        <v>1.08741019289541E-3</v>
      </c>
      <c r="K1325" s="1248">
        <v>3.0000057156734901E-3</v>
      </c>
      <c r="L1325" s="1250">
        <v>1.9999916626107501E-3</v>
      </c>
      <c r="M1325" s="1273">
        <v>1.9999916626107501E-3</v>
      </c>
      <c r="N1325" s="1248">
        <v>3.1850009128239903E-2</v>
      </c>
      <c r="O1325" s="1249">
        <v>3.1850009128239903E-2</v>
      </c>
      <c r="P1325" s="1251">
        <v>1.5925004564119952E-2</v>
      </c>
      <c r="Q1325" s="1252">
        <v>2.0401822658280399E-2</v>
      </c>
    </row>
    <row r="1326" spans="1:17" s="212" customFormat="1" ht="15.5" x14ac:dyDescent="0.35">
      <c r="A1326" s="198">
        <v>2037</v>
      </c>
      <c r="B1326" s="197" t="s">
        <v>5842</v>
      </c>
      <c r="C1326" s="197">
        <v>2024</v>
      </c>
      <c r="D1326" s="213" t="str">
        <f t="shared" si="15"/>
        <v>2037_2024</v>
      </c>
      <c r="E1326" s="1267">
        <v>7.4547839177386097E-2</v>
      </c>
      <c r="F1326" s="1278">
        <v>1.9166640079543E-3</v>
      </c>
      <c r="G1326" s="1248">
        <v>0.20433569603000301</v>
      </c>
      <c r="H1326" s="1278">
        <v>1.6780770092200002E-2</v>
      </c>
      <c r="I1326" s="1248">
        <v>1.8878379555435101E-2</v>
      </c>
      <c r="J1326" s="1278">
        <v>1.0875607291031099E-3</v>
      </c>
      <c r="K1326" s="1248">
        <v>3.0000058487193999E-3</v>
      </c>
      <c r="L1326" s="1250">
        <v>1.9999917559923599E-3</v>
      </c>
      <c r="M1326" s="1275">
        <v>2.00000059059003E-3</v>
      </c>
      <c r="N1326" s="1248">
        <v>3.1850009128239903E-2</v>
      </c>
      <c r="O1326" s="1249">
        <v>3.1850009128239903E-2</v>
      </c>
      <c r="P1326" s="1260">
        <v>1.59250045641199E-2</v>
      </c>
      <c r="Q1326" s="1252">
        <v>1.9731976107363301E-2</v>
      </c>
    </row>
    <row r="1327" spans="1:17" s="212" customFormat="1" ht="15.5" x14ac:dyDescent="0.35">
      <c r="A1327" s="198">
        <v>2037</v>
      </c>
      <c r="B1327" s="197" t="s">
        <v>5842</v>
      </c>
      <c r="C1327" s="197">
        <v>2025</v>
      </c>
      <c r="D1327" s="213" t="str">
        <f t="shared" si="15"/>
        <v>2037_2025</v>
      </c>
      <c r="E1327" s="1267">
        <v>7.3652065736430794E-2</v>
      </c>
      <c r="F1327" s="1278">
        <v>1.92654908408024E-3</v>
      </c>
      <c r="G1327" s="1248">
        <v>0.19974855992656501</v>
      </c>
      <c r="H1327" s="1278">
        <v>1.6678941772936499E-2</v>
      </c>
      <c r="I1327" s="1248">
        <v>1.8177059445607699E-2</v>
      </c>
      <c r="J1327" s="1278">
        <v>1.0876986611371899E-3</v>
      </c>
      <c r="K1327" s="1248">
        <v>3.00000598401162E-3</v>
      </c>
      <c r="L1327" s="1250">
        <v>1.9999918468050202E-3</v>
      </c>
      <c r="M1327" s="1275">
        <v>2.0000006733355098E-3</v>
      </c>
      <c r="N1327" s="1248">
        <v>3.1850009128239903E-2</v>
      </c>
      <c r="O1327" s="1249">
        <v>3.1850009128239903E-2</v>
      </c>
      <c r="P1327" s="1260">
        <v>1.59250045641199E-2</v>
      </c>
      <c r="Q1327" s="1252">
        <v>1.8998945414231399E-2</v>
      </c>
    </row>
    <row r="1328" spans="1:17" s="212" customFormat="1" ht="15.5" x14ac:dyDescent="0.35">
      <c r="A1328" s="198">
        <v>2037</v>
      </c>
      <c r="B1328" s="197" t="s">
        <v>5842</v>
      </c>
      <c r="C1328" s="197">
        <v>2026</v>
      </c>
      <c r="D1328" s="213" t="str">
        <f t="shared" si="15"/>
        <v>2037_2026</v>
      </c>
      <c r="E1328" s="1267">
        <v>7.2677545882893602E-2</v>
      </c>
      <c r="F1328" s="1278">
        <v>1.9429792106085001E-3</v>
      </c>
      <c r="G1328" s="1248">
        <v>0.194789236291317</v>
      </c>
      <c r="H1328" s="1278">
        <v>1.66247880007247E-2</v>
      </c>
      <c r="I1328" s="1248">
        <v>1.7415628347223999E-2</v>
      </c>
      <c r="J1328" s="1278">
        <v>1.08783691984411E-3</v>
      </c>
      <c r="K1328" s="1248">
        <v>3.0000061261303101E-3</v>
      </c>
      <c r="L1328" s="1250">
        <v>1.9999919405230002E-3</v>
      </c>
      <c r="M1328" s="1275">
        <v>2.00000075770428E-3</v>
      </c>
      <c r="N1328" s="1248">
        <v>3.1850009128239903E-2</v>
      </c>
      <c r="O1328" s="1249">
        <v>3.1850009128239903E-2</v>
      </c>
      <c r="P1328" s="1260">
        <v>1.59250045641199E-2</v>
      </c>
      <c r="Q1328" s="1252">
        <v>1.82030857803793E-2</v>
      </c>
    </row>
    <row r="1329" spans="1:17" s="212" customFormat="1" ht="15.5" x14ac:dyDescent="0.35">
      <c r="A1329" s="198">
        <v>2037</v>
      </c>
      <c r="B1329" s="197" t="s">
        <v>5842</v>
      </c>
      <c r="C1329" s="197">
        <v>2027</v>
      </c>
      <c r="D1329" s="213" t="str">
        <f t="shared" si="15"/>
        <v>2037_2027</v>
      </c>
      <c r="E1329" s="1267">
        <v>7.1625598566860293E-2</v>
      </c>
      <c r="F1329" s="1278">
        <v>1.9641668494922398E-3</v>
      </c>
      <c r="G1329" s="1248">
        <v>0.18941650851042</v>
      </c>
      <c r="H1329" s="1278">
        <v>1.6593058556307601E-2</v>
      </c>
      <c r="I1329" s="1248">
        <v>1.6594259107477999E-2</v>
      </c>
      <c r="J1329" s="1278">
        <v>1.0879802857062799E-3</v>
      </c>
      <c r="K1329" s="1248">
        <v>3.0000062731014199E-3</v>
      </c>
      <c r="L1329" s="1250">
        <v>1.9999920371861E-3</v>
      </c>
      <c r="M1329" s="1275">
        <v>2.0000008396828099E-3</v>
      </c>
      <c r="N1329" s="1248">
        <v>3.1850009128239903E-2</v>
      </c>
      <c r="O1329" s="1249">
        <v>3.1850009128239903E-2</v>
      </c>
      <c r="P1329" s="1260">
        <v>1.59250045641199E-2</v>
      </c>
      <c r="Q1329" s="1252">
        <v>1.7344577868383899E-2</v>
      </c>
    </row>
    <row r="1330" spans="1:17" s="212" customFormat="1" ht="15.5" x14ac:dyDescent="0.35">
      <c r="A1330" s="198">
        <v>2037</v>
      </c>
      <c r="B1330" s="197" t="s">
        <v>5842</v>
      </c>
      <c r="C1330" s="197">
        <v>2028</v>
      </c>
      <c r="D1330" s="213" t="str">
        <f t="shared" si="15"/>
        <v>2037_2028</v>
      </c>
      <c r="E1330" s="1267">
        <v>7.0495326361861801E-2</v>
      </c>
      <c r="F1330" s="1278">
        <v>1.9821383552922202E-3</v>
      </c>
      <c r="G1330" s="1248">
        <v>0.18365063581683599</v>
      </c>
      <c r="H1330" s="1278">
        <v>1.6503457771936601E-2</v>
      </c>
      <c r="I1330" s="1248">
        <v>1.5712759425027301E-2</v>
      </c>
      <c r="J1330" s="1278">
        <v>1.08812565731571E-3</v>
      </c>
      <c r="K1330" s="1248">
        <v>3.0000064236246401E-3</v>
      </c>
      <c r="L1330" s="1250">
        <v>1.9999921354605498E-3</v>
      </c>
      <c r="M1330" s="1275">
        <v>2.00000094766477E-3</v>
      </c>
      <c r="N1330" s="1248">
        <v>3.1850009128239903E-2</v>
      </c>
      <c r="O1330" s="1249">
        <v>3.1850009128239903E-2</v>
      </c>
      <c r="P1330" s="1260">
        <v>1.59250045641199E-2</v>
      </c>
      <c r="Q1330" s="1252">
        <v>1.64232206818897E-2</v>
      </c>
    </row>
    <row r="1331" spans="1:17" s="212" customFormat="1" ht="15.5" x14ac:dyDescent="0.35">
      <c r="A1331" s="198">
        <v>2037</v>
      </c>
      <c r="B1331" s="197" t="s">
        <v>5842</v>
      </c>
      <c r="C1331" s="197">
        <v>2029</v>
      </c>
      <c r="D1331" s="213" t="str">
        <f t="shared" si="15"/>
        <v>2037_2029</v>
      </c>
      <c r="E1331" s="1267">
        <v>6.9286288343526403E-2</v>
      </c>
      <c r="F1331" s="1278">
        <v>1.99174763848532E-3</v>
      </c>
      <c r="G1331" s="1248">
        <v>0.177490986115342</v>
      </c>
      <c r="H1331" s="1278">
        <v>1.6302006770780801E-2</v>
      </c>
      <c r="I1331" s="1248">
        <v>1.47710218046574E-2</v>
      </c>
      <c r="J1331" s="1278">
        <v>1.0882721068607101E-3</v>
      </c>
      <c r="K1331" s="1248">
        <v>3.00000657561809E-3</v>
      </c>
      <c r="L1331" s="1250">
        <v>1.9999922344992199E-3</v>
      </c>
      <c r="M1331" s="1275">
        <v>2.0000010453862802E-3</v>
      </c>
      <c r="N1331" s="1248">
        <v>3.1850009128239903E-2</v>
      </c>
      <c r="O1331" s="1249">
        <v>3.1850009128239903E-2</v>
      </c>
      <c r="P1331" s="1260">
        <v>1.59250045641199E-2</v>
      </c>
      <c r="Q1331" s="1252">
        <v>1.54389018652255E-2</v>
      </c>
    </row>
    <row r="1332" spans="1:17" s="212" customFormat="1" ht="15.5" x14ac:dyDescent="0.35">
      <c r="A1332" s="198">
        <v>2037</v>
      </c>
      <c r="B1332" s="197" t="s">
        <v>5842</v>
      </c>
      <c r="C1332" s="197">
        <v>2030</v>
      </c>
      <c r="D1332" s="213" t="str">
        <f t="shared" si="15"/>
        <v>2037_2030</v>
      </c>
      <c r="E1332" s="1267">
        <v>6.7998665546364898E-2</v>
      </c>
      <c r="F1332" s="1278">
        <v>1.9932384981235199E-3</v>
      </c>
      <c r="G1332" s="1248">
        <v>0.170937494506789</v>
      </c>
      <c r="H1332" s="1278">
        <v>1.5989579008660101E-2</v>
      </c>
      <c r="I1332" s="1248">
        <v>1.3769025584868E-2</v>
      </c>
      <c r="J1332" s="1278">
        <v>1.0884198424088E-3</v>
      </c>
      <c r="K1332" s="1248">
        <v>3.00000673350626E-3</v>
      </c>
      <c r="L1332" s="1250">
        <v>1.9999923357251399E-3</v>
      </c>
      <c r="M1332" s="1275">
        <v>2.0000011218323402E-3</v>
      </c>
      <c r="N1332" s="1248">
        <v>3.1850009128239903E-2</v>
      </c>
      <c r="O1332" s="1249">
        <v>3.1850009128239903E-2</v>
      </c>
      <c r="P1332" s="1260">
        <v>1.59250045641199E-2</v>
      </c>
      <c r="Q1332" s="1252">
        <v>1.4391599822669601E-2</v>
      </c>
    </row>
    <row r="1333" spans="1:17" s="212" customFormat="1" ht="15.5" x14ac:dyDescent="0.35">
      <c r="A1333" s="198">
        <v>2037</v>
      </c>
      <c r="B1333" s="197" t="s">
        <v>5842</v>
      </c>
      <c r="C1333" s="197">
        <v>2031</v>
      </c>
      <c r="D1333" s="213" t="str">
        <f t="shared" si="15"/>
        <v>2037_2031</v>
      </c>
      <c r="E1333" s="1267">
        <v>6.6632649029673099E-2</v>
      </c>
      <c r="F1333" s="1278">
        <v>1.9967960181299801E-3</v>
      </c>
      <c r="G1333" s="1248">
        <v>0.16399025236113099</v>
      </c>
      <c r="H1333" s="1278">
        <v>1.5668663796468099E-2</v>
      </c>
      <c r="I1333" s="1248">
        <v>1.2706748057044401E-2</v>
      </c>
      <c r="J1333" s="1278">
        <v>1.0885703226285999E-3</v>
      </c>
      <c r="K1333" s="1248">
        <v>3.0000068946961301E-3</v>
      </c>
      <c r="L1333" s="1250">
        <v>1.9999924386732699E-3</v>
      </c>
      <c r="M1333" s="1275">
        <v>2.00000120541674E-3</v>
      </c>
      <c r="N1333" s="1248">
        <v>3.1850009128239903E-2</v>
      </c>
      <c r="O1333" s="1249">
        <v>3.1850009128239903E-2</v>
      </c>
      <c r="P1333" s="1260">
        <v>1.59250045641199E-2</v>
      </c>
      <c r="Q1333" s="1252">
        <v>1.32812908188246E-2</v>
      </c>
    </row>
    <row r="1334" spans="1:17" s="212" customFormat="1" ht="15.5" x14ac:dyDescent="0.35">
      <c r="A1334" s="198">
        <v>2037</v>
      </c>
      <c r="B1334" s="197" t="s">
        <v>5842</v>
      </c>
      <c r="C1334" s="197">
        <v>2032</v>
      </c>
      <c r="D1334" s="213" t="str">
        <f t="shared" ref="D1334:D1420" si="16">CONCATENATE(A1334,"_",C1334)</f>
        <v>2037_2032</v>
      </c>
      <c r="E1334" s="1267">
        <v>6.5187586872639494E-2</v>
      </c>
      <c r="F1334" s="1278">
        <v>2.0255876973275301E-3</v>
      </c>
      <c r="G1334" s="1248">
        <v>0.15664836154585501</v>
      </c>
      <c r="H1334" s="1278">
        <v>1.5575156478620599E-2</v>
      </c>
      <c r="I1334" s="1248">
        <v>1.15840531997717E-2</v>
      </c>
      <c r="J1334" s="1278">
        <v>1.0887217570902899E-3</v>
      </c>
      <c r="K1334" s="1248">
        <v>3.0000070580289201E-3</v>
      </c>
      <c r="L1334" s="1250">
        <v>1.99999254246977E-3</v>
      </c>
      <c r="M1334" s="1275">
        <v>2.00000126174335E-3</v>
      </c>
      <c r="N1334" s="1248">
        <v>3.1850009128239903E-2</v>
      </c>
      <c r="O1334" s="1249">
        <v>3.1850009128239903E-2</v>
      </c>
      <c r="P1334" s="1260">
        <v>1.59250045641199E-2</v>
      </c>
      <c r="Q1334" s="1252">
        <v>1.21078326819906E-2</v>
      </c>
    </row>
    <row r="1335" spans="1:17" s="212" customFormat="1" ht="15.5" x14ac:dyDescent="0.35">
      <c r="A1335" s="198">
        <v>2037</v>
      </c>
      <c r="B1335" s="197" t="s">
        <v>5842</v>
      </c>
      <c r="C1335" s="197">
        <v>2033</v>
      </c>
      <c r="D1335" s="213" t="str">
        <f t="shared" si="16"/>
        <v>2037_2033</v>
      </c>
      <c r="E1335" s="1267">
        <v>6.36636555242477E-2</v>
      </c>
      <c r="F1335" s="1278">
        <v>2.1138422370298002E-3</v>
      </c>
      <c r="G1335" s="1248">
        <v>0.14891176262096101</v>
      </c>
      <c r="H1335" s="1278">
        <v>1.60591470557843E-2</v>
      </c>
      <c r="I1335" s="1248">
        <v>1.0400908957260001E-2</v>
      </c>
      <c r="J1335" s="1278">
        <v>1.08887466096442E-3</v>
      </c>
      <c r="K1335" s="1248">
        <v>3.0000072238084E-3</v>
      </c>
      <c r="L1335" s="1250">
        <v>1.9999926469896302E-3</v>
      </c>
      <c r="M1335" s="1275">
        <v>2.0000012991510901E-3</v>
      </c>
      <c r="N1335" s="1248">
        <v>3.1850009128239903E-2</v>
      </c>
      <c r="O1335" s="1249">
        <v>3.1850009128239903E-2</v>
      </c>
      <c r="P1335" s="1260">
        <v>1.59250045641199E-2</v>
      </c>
      <c r="Q1335" s="1252">
        <v>1.08711919069574E-2</v>
      </c>
    </row>
    <row r="1336" spans="1:17" s="212" customFormat="1" ht="15.5" x14ac:dyDescent="0.35">
      <c r="A1336" s="198">
        <v>2037</v>
      </c>
      <c r="B1336" s="197" t="s">
        <v>5842</v>
      </c>
      <c r="C1336" s="197">
        <v>2034</v>
      </c>
      <c r="D1336" s="213" t="str">
        <f t="shared" si="16"/>
        <v>2037_2034</v>
      </c>
      <c r="E1336" s="1267">
        <v>6.2061049832039798E-2</v>
      </c>
      <c r="F1336" s="1278">
        <v>2.2939495807897899E-3</v>
      </c>
      <c r="G1336" s="1248">
        <v>0.140780505703931</v>
      </c>
      <c r="H1336" s="1278">
        <v>1.74561133231044E-2</v>
      </c>
      <c r="I1336" s="1248">
        <v>9.1572771916640303E-3</v>
      </c>
      <c r="J1336" s="1278">
        <v>1.08903080043615E-3</v>
      </c>
      <c r="K1336" s="1248">
        <v>3.0000073866869202E-3</v>
      </c>
      <c r="L1336" s="1250">
        <v>1.9999927505441198E-3</v>
      </c>
      <c r="M1336" s="1275">
        <v>2.0000013279694901E-3</v>
      </c>
      <c r="N1336" s="1248">
        <v>3.1850009128239903E-2</v>
      </c>
      <c r="O1336" s="1249">
        <v>3.1850009128239903E-2</v>
      </c>
      <c r="P1336" s="1260">
        <v>1.59250045641199E-2</v>
      </c>
      <c r="Q1336" s="1252">
        <v>9.5713286314553607E-3</v>
      </c>
    </row>
    <row r="1337" spans="1:17" s="212" customFormat="1" ht="15.5" x14ac:dyDescent="0.35">
      <c r="A1337" s="198">
        <v>2037</v>
      </c>
      <c r="B1337" s="197" t="s">
        <v>5842</v>
      </c>
      <c r="C1337" s="197">
        <v>2035</v>
      </c>
      <c r="D1337" s="213" t="str">
        <f t="shared" si="16"/>
        <v>2037_2035</v>
      </c>
      <c r="E1337" s="1267">
        <v>6.03795102744452E-2</v>
      </c>
      <c r="F1337" s="1278">
        <v>2.56375382308506E-3</v>
      </c>
      <c r="G1337" s="1248">
        <v>0.13225408993281901</v>
      </c>
      <c r="H1337" s="1278">
        <v>1.9758941940280099E-2</v>
      </c>
      <c r="I1337" s="1248">
        <v>7.8530599098920999E-3</v>
      </c>
      <c r="J1337" s="1278">
        <v>1.08918967834761E-3</v>
      </c>
      <c r="K1337" s="1248">
        <v>3.0000075484278499E-3</v>
      </c>
      <c r="L1337" s="1250">
        <v>1.9999928540399398E-3</v>
      </c>
      <c r="M1337" s="1275">
        <v>2.00000135580399E-3</v>
      </c>
      <c r="N1337" s="1248">
        <v>3.1850009128239903E-2</v>
      </c>
      <c r="O1337" s="1249">
        <v>3.1850009128239903E-2</v>
      </c>
      <c r="P1337" s="1260">
        <v>1.59250045641199E-2</v>
      </c>
      <c r="Q1337" s="1252">
        <v>8.2081404315801805E-3</v>
      </c>
    </row>
    <row r="1338" spans="1:17" s="212" customFormat="1" ht="15.5" x14ac:dyDescent="0.35">
      <c r="A1338" s="198">
        <v>2037</v>
      </c>
      <c r="B1338" s="197" t="s">
        <v>5842</v>
      </c>
      <c r="C1338" s="197">
        <v>2036</v>
      </c>
      <c r="D1338" s="213" t="str">
        <f t="shared" si="16"/>
        <v>2037_2036</v>
      </c>
      <c r="E1338" s="1267">
        <v>5.86189032429476E-2</v>
      </c>
      <c r="F1338" s="1278">
        <v>2.8211433853619801E-3</v>
      </c>
      <c r="G1338" s="1248">
        <v>0.123332104305045</v>
      </c>
      <c r="H1338" s="1278">
        <v>2.1961059802860301E-2</v>
      </c>
      <c r="I1338" s="1248">
        <v>6.4881699743105804E-3</v>
      </c>
      <c r="J1338" s="1278">
        <v>1.0893512498973701E-3</v>
      </c>
      <c r="K1338" s="1248">
        <v>3.0000077125878202E-3</v>
      </c>
      <c r="L1338" s="1250">
        <v>1.9999929583824098E-3</v>
      </c>
      <c r="M1338" s="1275">
        <v>2.0000014259952902E-3</v>
      </c>
      <c r="N1338" s="1248">
        <v>3.1850009128239903E-2</v>
      </c>
      <c r="O1338" s="1249">
        <v>3.1850009128239903E-2</v>
      </c>
      <c r="P1338" s="1260">
        <v>1.59250045641199E-2</v>
      </c>
      <c r="Q1338" s="1252">
        <v>6.7815362297210498E-3</v>
      </c>
    </row>
    <row r="1339" spans="1:17" s="212" customFormat="1" ht="15.5" x14ac:dyDescent="0.35">
      <c r="A1339" s="198">
        <v>2037</v>
      </c>
      <c r="B1339" s="197" t="s">
        <v>5842</v>
      </c>
      <c r="C1339" s="197">
        <v>2037</v>
      </c>
      <c r="D1339" s="213" t="str">
        <f t="shared" si="16"/>
        <v>2037_2037</v>
      </c>
      <c r="E1339" s="1267">
        <v>5.6778765191141403E-2</v>
      </c>
      <c r="F1339" s="1278">
        <v>2.74767470263548E-3</v>
      </c>
      <c r="G1339" s="1248">
        <v>0.114013857074852</v>
      </c>
      <c r="H1339" s="1278">
        <v>2.0889257569556102E-2</v>
      </c>
      <c r="I1339" s="1248">
        <v>5.0624968166770304E-3</v>
      </c>
      <c r="J1339" s="1278">
        <v>1.0895139327946699E-3</v>
      </c>
      <c r="K1339" s="1248">
        <v>3.00000787835575E-3</v>
      </c>
      <c r="L1339" s="1250">
        <v>1.99999306297144E-3</v>
      </c>
      <c r="M1339" s="1275">
        <v>2.0000017932975699E-3</v>
      </c>
      <c r="N1339" s="1248">
        <v>3.1850009128239903E-2</v>
      </c>
      <c r="O1339" s="1249">
        <v>3.1850009128239903E-2</v>
      </c>
      <c r="P1339" s="1260">
        <v>1.59250045641199E-2</v>
      </c>
      <c r="Q1339" s="1252">
        <v>5.2914004582302497E-3</v>
      </c>
    </row>
    <row r="1340" spans="1:17" s="212" customFormat="1" ht="15.5" x14ac:dyDescent="0.35">
      <c r="A1340" s="198">
        <v>2037</v>
      </c>
      <c r="B1340" s="197" t="s">
        <v>5842</v>
      </c>
      <c r="C1340" s="197">
        <v>2038</v>
      </c>
      <c r="D1340" s="213" t="str">
        <f t="shared" si="16"/>
        <v>2037_2038</v>
      </c>
      <c r="E1340" s="1268">
        <v>5.6778765191141403E-2</v>
      </c>
      <c r="F1340" s="1279">
        <v>2.74767470263548E-3</v>
      </c>
      <c r="G1340" s="1255">
        <v>0.114013857074852</v>
      </c>
      <c r="H1340" s="1279">
        <v>2.0889257569556102E-2</v>
      </c>
      <c r="I1340" s="1255">
        <v>5.0624968166770304E-3</v>
      </c>
      <c r="J1340" s="1279">
        <v>1.0895139327946699E-3</v>
      </c>
      <c r="K1340" s="1255">
        <v>3.00000787835575E-3</v>
      </c>
      <c r="L1340" s="1253">
        <v>1.99999306297144E-3</v>
      </c>
      <c r="M1340" s="1273">
        <v>2.0000017932975699E-3</v>
      </c>
      <c r="N1340" s="1255">
        <v>3.1850009128239903E-2</v>
      </c>
      <c r="O1340" s="1256">
        <v>3.1850009128239903E-2</v>
      </c>
      <c r="P1340" s="1251">
        <v>1.59250045641199E-2</v>
      </c>
      <c r="Q1340" s="1254">
        <v>5.2914004582302497E-3</v>
      </c>
    </row>
    <row r="1341" spans="1:17" s="212" customFormat="1" ht="15.5" x14ac:dyDescent="0.35">
      <c r="A1341" s="198">
        <v>2038</v>
      </c>
      <c r="B1341" s="197" t="s">
        <v>5842</v>
      </c>
      <c r="C1341" s="197">
        <v>1971</v>
      </c>
      <c r="D1341" s="213" t="str">
        <f t="shared" si="16"/>
        <v>2038_1971</v>
      </c>
      <c r="E1341" s="1268">
        <v>0.36557660811139903</v>
      </c>
      <c r="F1341" s="1279">
        <v>0.454861269709119</v>
      </c>
      <c r="G1341" s="1255">
        <v>9.4033938512645605</v>
      </c>
      <c r="H1341" s="1279">
        <v>2.8782491470053002</v>
      </c>
      <c r="I1341" s="1255">
        <v>5.2346319320316699E-2</v>
      </c>
      <c r="J1341" s="1279">
        <v>7.3812458911702303E-3</v>
      </c>
      <c r="K1341" s="1255">
        <v>3.00000086126992E-3</v>
      </c>
      <c r="L1341" s="1253">
        <v>2.0000005740631898E-3</v>
      </c>
      <c r="M1341" s="1273">
        <v>2.0000005740631898E-3</v>
      </c>
      <c r="N1341" s="1255">
        <v>3.1850009128239903E-2</v>
      </c>
      <c r="O1341" s="1256">
        <v>3.1850009128239903E-2</v>
      </c>
      <c r="P1341" s="1251">
        <v>1.5925004564119952E-2</v>
      </c>
      <c r="Q1341" s="1254">
        <v>5.47131875966297E-2</v>
      </c>
    </row>
    <row r="1342" spans="1:17" s="212" customFormat="1" ht="15.5" x14ac:dyDescent="0.35">
      <c r="A1342" s="198">
        <v>2038</v>
      </c>
      <c r="B1342" s="197" t="s">
        <v>5842</v>
      </c>
      <c r="C1342" s="197">
        <v>1972</v>
      </c>
      <c r="D1342" s="213" t="str">
        <f t="shared" si="16"/>
        <v>2038_1972</v>
      </c>
      <c r="E1342" s="1268">
        <v>0.36557660811139903</v>
      </c>
      <c r="F1342" s="1279">
        <v>0.454861269709119</v>
      </c>
      <c r="G1342" s="1255">
        <v>9.4033938512645605</v>
      </c>
      <c r="H1342" s="1279">
        <v>2.8782491470053002</v>
      </c>
      <c r="I1342" s="1255">
        <v>5.2346319320316699E-2</v>
      </c>
      <c r="J1342" s="1279">
        <v>7.3812458911702303E-3</v>
      </c>
      <c r="K1342" s="1255">
        <v>3.00000086126992E-3</v>
      </c>
      <c r="L1342" s="1253">
        <v>2.0000005740631898E-3</v>
      </c>
      <c r="M1342" s="1273">
        <v>2.0000005740631898E-3</v>
      </c>
      <c r="N1342" s="1255">
        <v>3.1850009128239903E-2</v>
      </c>
      <c r="O1342" s="1256">
        <v>3.1850009128239903E-2</v>
      </c>
      <c r="P1342" s="1251">
        <v>1.5925004564119952E-2</v>
      </c>
      <c r="Q1342" s="1254">
        <v>5.47131875966297E-2</v>
      </c>
    </row>
    <row r="1343" spans="1:17" s="212" customFormat="1" ht="15.5" x14ac:dyDescent="0.35">
      <c r="A1343" s="198">
        <v>2038</v>
      </c>
      <c r="B1343" s="197" t="s">
        <v>5842</v>
      </c>
      <c r="C1343" s="197">
        <v>1973</v>
      </c>
      <c r="D1343" s="213" t="str">
        <f t="shared" si="16"/>
        <v>2038_1973</v>
      </c>
      <c r="E1343" s="1268">
        <v>0.36557660811139903</v>
      </c>
      <c r="F1343" s="1279">
        <v>0.454861269709119</v>
      </c>
      <c r="G1343" s="1255">
        <v>9.4033938512645605</v>
      </c>
      <c r="H1343" s="1279">
        <v>2.8782491470053002</v>
      </c>
      <c r="I1343" s="1255">
        <v>5.2346319320316699E-2</v>
      </c>
      <c r="J1343" s="1279">
        <v>7.3812458911702303E-3</v>
      </c>
      <c r="K1343" s="1255">
        <v>3.00000086126992E-3</v>
      </c>
      <c r="L1343" s="1253">
        <v>2.0000005740631898E-3</v>
      </c>
      <c r="M1343" s="1273">
        <v>2.0000005740631898E-3</v>
      </c>
      <c r="N1343" s="1255">
        <v>3.1850009128239903E-2</v>
      </c>
      <c r="O1343" s="1256">
        <v>3.1850009128239903E-2</v>
      </c>
      <c r="P1343" s="1251">
        <v>1.5925004564119952E-2</v>
      </c>
      <c r="Q1343" s="1254">
        <v>5.47131875966297E-2</v>
      </c>
    </row>
    <row r="1344" spans="1:17" s="212" customFormat="1" ht="15.5" x14ac:dyDescent="0.35">
      <c r="A1344" s="198">
        <v>2038</v>
      </c>
      <c r="B1344" s="197" t="s">
        <v>5842</v>
      </c>
      <c r="C1344" s="197">
        <v>1974</v>
      </c>
      <c r="D1344" s="213" t="str">
        <f t="shared" si="16"/>
        <v>2038_1974</v>
      </c>
      <c r="E1344" s="1268">
        <v>0.36557660811139903</v>
      </c>
      <c r="F1344" s="1279">
        <v>0.454861269709119</v>
      </c>
      <c r="G1344" s="1255">
        <v>9.4033938512645605</v>
      </c>
      <c r="H1344" s="1279">
        <v>2.8782491470053002</v>
      </c>
      <c r="I1344" s="1255">
        <v>5.2346319320316699E-2</v>
      </c>
      <c r="J1344" s="1279">
        <v>7.3812458911702303E-3</v>
      </c>
      <c r="K1344" s="1255">
        <v>3.00000086126992E-3</v>
      </c>
      <c r="L1344" s="1253">
        <v>2.0000005740631898E-3</v>
      </c>
      <c r="M1344" s="1273">
        <v>2.0000005740631898E-3</v>
      </c>
      <c r="N1344" s="1255">
        <v>3.1850009128239903E-2</v>
      </c>
      <c r="O1344" s="1256">
        <v>3.1850009128239903E-2</v>
      </c>
      <c r="P1344" s="1251">
        <v>1.5925004564119952E-2</v>
      </c>
      <c r="Q1344" s="1254">
        <v>5.47131875966297E-2</v>
      </c>
    </row>
    <row r="1345" spans="1:17" s="212" customFormat="1" ht="15.5" x14ac:dyDescent="0.35">
      <c r="A1345" s="198">
        <v>2038</v>
      </c>
      <c r="B1345" s="197" t="s">
        <v>5842</v>
      </c>
      <c r="C1345" s="197">
        <v>1975</v>
      </c>
      <c r="D1345" s="213" t="str">
        <f t="shared" si="16"/>
        <v>2038_1975</v>
      </c>
      <c r="E1345" s="1268">
        <v>0.36557660811139903</v>
      </c>
      <c r="F1345" s="1279">
        <v>0.454861269709119</v>
      </c>
      <c r="G1345" s="1255">
        <v>9.4033938512645605</v>
      </c>
      <c r="H1345" s="1279">
        <v>2.8782491470053002</v>
      </c>
      <c r="I1345" s="1255">
        <v>5.2346319320316699E-2</v>
      </c>
      <c r="J1345" s="1279">
        <v>7.3812458911702303E-3</v>
      </c>
      <c r="K1345" s="1255">
        <v>3.00000086126992E-3</v>
      </c>
      <c r="L1345" s="1253">
        <v>2.0000005740631898E-3</v>
      </c>
      <c r="M1345" s="1273">
        <v>2.0000005740631898E-3</v>
      </c>
      <c r="N1345" s="1255">
        <v>3.1850009128239903E-2</v>
      </c>
      <c r="O1345" s="1256">
        <v>3.1850009128239903E-2</v>
      </c>
      <c r="P1345" s="1251">
        <v>1.5925004564119952E-2</v>
      </c>
      <c r="Q1345" s="1254">
        <v>5.47131875966297E-2</v>
      </c>
    </row>
    <row r="1346" spans="1:17" s="212" customFormat="1" ht="15.5" x14ac:dyDescent="0.35">
      <c r="A1346" s="198">
        <v>2038</v>
      </c>
      <c r="B1346" s="197" t="s">
        <v>5842</v>
      </c>
      <c r="C1346" s="197">
        <v>1976</v>
      </c>
      <c r="D1346" s="213" t="str">
        <f t="shared" si="16"/>
        <v>2038_1976</v>
      </c>
      <c r="E1346" s="1268">
        <v>0.36557660811139903</v>
      </c>
      <c r="F1346" s="1279">
        <v>0.454861269709119</v>
      </c>
      <c r="G1346" s="1255">
        <v>9.4033938512645605</v>
      </c>
      <c r="H1346" s="1279">
        <v>2.8782491470053002</v>
      </c>
      <c r="I1346" s="1255">
        <v>5.2346319320316699E-2</v>
      </c>
      <c r="J1346" s="1279">
        <v>7.3812458911702303E-3</v>
      </c>
      <c r="K1346" s="1255">
        <v>3.00000086126992E-3</v>
      </c>
      <c r="L1346" s="1253">
        <v>2.0000005740631898E-3</v>
      </c>
      <c r="M1346" s="1273">
        <v>2.0000005740631898E-3</v>
      </c>
      <c r="N1346" s="1255">
        <v>3.1850009128239903E-2</v>
      </c>
      <c r="O1346" s="1256">
        <v>3.1850009128239903E-2</v>
      </c>
      <c r="P1346" s="1251">
        <v>1.5925004564119952E-2</v>
      </c>
      <c r="Q1346" s="1254">
        <v>5.47131875966297E-2</v>
      </c>
    </row>
    <row r="1347" spans="1:17" s="212" customFormat="1" ht="15.5" x14ac:dyDescent="0.35">
      <c r="A1347" s="198">
        <v>2038</v>
      </c>
      <c r="B1347" s="197" t="s">
        <v>5842</v>
      </c>
      <c r="C1347" s="197">
        <v>1977</v>
      </c>
      <c r="D1347" s="213" t="str">
        <f t="shared" si="16"/>
        <v>2038_1977</v>
      </c>
      <c r="E1347" s="1268">
        <v>0.36557660811139903</v>
      </c>
      <c r="F1347" s="1279">
        <v>0.454861269709119</v>
      </c>
      <c r="G1347" s="1255">
        <v>9.4033938512645605</v>
      </c>
      <c r="H1347" s="1279">
        <v>2.8782491470053002</v>
      </c>
      <c r="I1347" s="1255">
        <v>5.2346319320316699E-2</v>
      </c>
      <c r="J1347" s="1279">
        <v>7.3812458911702303E-3</v>
      </c>
      <c r="K1347" s="1255">
        <v>3.00000086126992E-3</v>
      </c>
      <c r="L1347" s="1253">
        <v>2.0000005740631898E-3</v>
      </c>
      <c r="M1347" s="1273">
        <v>2.0000005740631898E-3</v>
      </c>
      <c r="N1347" s="1255">
        <v>3.1850009128239903E-2</v>
      </c>
      <c r="O1347" s="1256">
        <v>3.1850009128239903E-2</v>
      </c>
      <c r="P1347" s="1251">
        <v>1.5925004564119952E-2</v>
      </c>
      <c r="Q1347" s="1254">
        <v>5.47131875966297E-2</v>
      </c>
    </row>
    <row r="1348" spans="1:17" s="212" customFormat="1" ht="15.5" x14ac:dyDescent="0.35">
      <c r="A1348" s="198">
        <v>2038</v>
      </c>
      <c r="B1348" s="197" t="s">
        <v>5842</v>
      </c>
      <c r="C1348" s="197">
        <v>1978</v>
      </c>
      <c r="D1348" s="213" t="str">
        <f t="shared" si="16"/>
        <v>2038_1978</v>
      </c>
      <c r="E1348" s="1268">
        <v>0.36557660811139903</v>
      </c>
      <c r="F1348" s="1279">
        <v>0.454861269709119</v>
      </c>
      <c r="G1348" s="1255">
        <v>9.4033938512645605</v>
      </c>
      <c r="H1348" s="1279">
        <v>2.8782491470053002</v>
      </c>
      <c r="I1348" s="1255">
        <v>5.2346319320316699E-2</v>
      </c>
      <c r="J1348" s="1279">
        <v>7.3812458911702303E-3</v>
      </c>
      <c r="K1348" s="1255">
        <v>3.00000086126992E-3</v>
      </c>
      <c r="L1348" s="1253">
        <v>2.0000005740631898E-3</v>
      </c>
      <c r="M1348" s="1273">
        <v>2.0000005740631898E-3</v>
      </c>
      <c r="N1348" s="1255">
        <v>3.1850009128239903E-2</v>
      </c>
      <c r="O1348" s="1256">
        <v>3.1850009128239903E-2</v>
      </c>
      <c r="P1348" s="1251">
        <v>1.5925004564119952E-2</v>
      </c>
      <c r="Q1348" s="1254">
        <v>5.47131875966297E-2</v>
      </c>
    </row>
    <row r="1349" spans="1:17" s="212" customFormat="1" ht="15.5" x14ac:dyDescent="0.35">
      <c r="A1349" s="198">
        <v>2038</v>
      </c>
      <c r="B1349" s="197" t="s">
        <v>5842</v>
      </c>
      <c r="C1349" s="197">
        <v>1979</v>
      </c>
      <c r="D1349" s="213" t="str">
        <f t="shared" si="16"/>
        <v>2038_1979</v>
      </c>
      <c r="E1349" s="1268">
        <v>0.36557660811139903</v>
      </c>
      <c r="F1349" s="1279">
        <v>0.454861269709119</v>
      </c>
      <c r="G1349" s="1255">
        <v>9.4033938512645605</v>
      </c>
      <c r="H1349" s="1279">
        <v>2.8782491470053002</v>
      </c>
      <c r="I1349" s="1255">
        <v>5.2346319320316699E-2</v>
      </c>
      <c r="J1349" s="1279">
        <v>7.3812458911702303E-3</v>
      </c>
      <c r="K1349" s="1255">
        <v>3.00000086126992E-3</v>
      </c>
      <c r="L1349" s="1253">
        <v>2.0000005740631898E-3</v>
      </c>
      <c r="M1349" s="1273">
        <v>2.0000005740631898E-3</v>
      </c>
      <c r="N1349" s="1255">
        <v>3.1850009128239903E-2</v>
      </c>
      <c r="O1349" s="1256">
        <v>3.1850009128239903E-2</v>
      </c>
      <c r="P1349" s="1251">
        <v>1.5925004564119952E-2</v>
      </c>
      <c r="Q1349" s="1254">
        <v>5.47131875966297E-2</v>
      </c>
    </row>
    <row r="1350" spans="1:17" s="212" customFormat="1" ht="15.5" x14ac:dyDescent="0.35">
      <c r="A1350" s="198">
        <v>2038</v>
      </c>
      <c r="B1350" s="197" t="s">
        <v>5842</v>
      </c>
      <c r="C1350" s="197">
        <v>1980</v>
      </c>
      <c r="D1350" s="213" t="str">
        <f t="shared" si="16"/>
        <v>2038_1980</v>
      </c>
      <c r="E1350" s="1268">
        <v>0.36557660811139903</v>
      </c>
      <c r="F1350" s="1279">
        <v>0.454861269709119</v>
      </c>
      <c r="G1350" s="1255">
        <v>9.4033938512645605</v>
      </c>
      <c r="H1350" s="1279">
        <v>2.8782491470053002</v>
      </c>
      <c r="I1350" s="1255">
        <v>5.2346319320316699E-2</v>
      </c>
      <c r="J1350" s="1279">
        <v>7.3812458911702303E-3</v>
      </c>
      <c r="K1350" s="1255">
        <v>3.00000086126992E-3</v>
      </c>
      <c r="L1350" s="1253">
        <v>2.0000005740631898E-3</v>
      </c>
      <c r="M1350" s="1273">
        <v>2.0000005740631898E-3</v>
      </c>
      <c r="N1350" s="1255">
        <v>3.1850009128239903E-2</v>
      </c>
      <c r="O1350" s="1256">
        <v>3.1850009128239903E-2</v>
      </c>
      <c r="P1350" s="1251">
        <v>1.5925004564119952E-2</v>
      </c>
      <c r="Q1350" s="1254">
        <v>5.47131875966297E-2</v>
      </c>
    </row>
    <row r="1351" spans="1:17" s="212" customFormat="1" ht="15.5" x14ac:dyDescent="0.35">
      <c r="A1351" s="198">
        <v>2038</v>
      </c>
      <c r="B1351" s="197" t="s">
        <v>5842</v>
      </c>
      <c r="C1351" s="197">
        <v>1981</v>
      </c>
      <c r="D1351" s="213" t="str">
        <f t="shared" si="16"/>
        <v>2038_1981</v>
      </c>
      <c r="E1351" s="1268">
        <v>0.36557660811139903</v>
      </c>
      <c r="F1351" s="1279">
        <v>0.454861269709119</v>
      </c>
      <c r="G1351" s="1255">
        <v>9.4033938512645605</v>
      </c>
      <c r="H1351" s="1279">
        <v>2.8782491470053002</v>
      </c>
      <c r="I1351" s="1255">
        <v>5.2346319320316699E-2</v>
      </c>
      <c r="J1351" s="1279">
        <v>7.3812458911702303E-3</v>
      </c>
      <c r="K1351" s="1255">
        <v>3.00000086126992E-3</v>
      </c>
      <c r="L1351" s="1253">
        <v>2.0000005740631898E-3</v>
      </c>
      <c r="M1351" s="1273">
        <v>2.0000005740631898E-3</v>
      </c>
      <c r="N1351" s="1255">
        <v>3.1850009128239903E-2</v>
      </c>
      <c r="O1351" s="1256">
        <v>3.1850009128239903E-2</v>
      </c>
      <c r="P1351" s="1251">
        <v>1.5925004564119952E-2</v>
      </c>
      <c r="Q1351" s="1254">
        <v>5.47131875966297E-2</v>
      </c>
    </row>
    <row r="1352" spans="1:17" s="212" customFormat="1" ht="15.5" x14ac:dyDescent="0.35">
      <c r="A1352" s="198">
        <v>2038</v>
      </c>
      <c r="B1352" s="197" t="s">
        <v>5842</v>
      </c>
      <c r="C1352" s="197">
        <v>1982</v>
      </c>
      <c r="D1352" s="213" t="str">
        <f t="shared" si="16"/>
        <v>2038_1982</v>
      </c>
      <c r="E1352" s="1268">
        <v>0.36557660811139903</v>
      </c>
      <c r="F1352" s="1279">
        <v>0.454861269709119</v>
      </c>
      <c r="G1352" s="1255">
        <v>9.4033938512645605</v>
      </c>
      <c r="H1352" s="1279">
        <v>2.8782491470053002</v>
      </c>
      <c r="I1352" s="1255">
        <v>5.2346319320316699E-2</v>
      </c>
      <c r="J1352" s="1279">
        <v>7.3812458911702303E-3</v>
      </c>
      <c r="K1352" s="1255">
        <v>3.00000086126992E-3</v>
      </c>
      <c r="L1352" s="1253">
        <v>2.0000005740631898E-3</v>
      </c>
      <c r="M1352" s="1273">
        <v>2.0000005740631898E-3</v>
      </c>
      <c r="N1352" s="1255">
        <v>3.1850009128239903E-2</v>
      </c>
      <c r="O1352" s="1256">
        <v>3.1850009128239903E-2</v>
      </c>
      <c r="P1352" s="1251">
        <v>1.5925004564119952E-2</v>
      </c>
      <c r="Q1352" s="1254">
        <v>5.47131875966297E-2</v>
      </c>
    </row>
    <row r="1353" spans="1:17" s="212" customFormat="1" ht="15.5" x14ac:dyDescent="0.35">
      <c r="A1353" s="198">
        <v>2038</v>
      </c>
      <c r="B1353" s="197" t="s">
        <v>5842</v>
      </c>
      <c r="C1353" s="197">
        <v>1983</v>
      </c>
      <c r="D1353" s="213" t="str">
        <f t="shared" si="16"/>
        <v>2038_1983</v>
      </c>
      <c r="E1353" s="1268">
        <v>0.36557660811139903</v>
      </c>
      <c r="F1353" s="1279">
        <v>0.454861269709119</v>
      </c>
      <c r="G1353" s="1255">
        <v>9.4033938512645605</v>
      </c>
      <c r="H1353" s="1279">
        <v>2.8782491470053002</v>
      </c>
      <c r="I1353" s="1255">
        <v>5.2346319320316699E-2</v>
      </c>
      <c r="J1353" s="1279">
        <v>7.3812458911702303E-3</v>
      </c>
      <c r="K1353" s="1255">
        <v>3.00000086126992E-3</v>
      </c>
      <c r="L1353" s="1253">
        <v>2.0000005740631898E-3</v>
      </c>
      <c r="M1353" s="1273">
        <v>2.0000005740631898E-3</v>
      </c>
      <c r="N1353" s="1255">
        <v>3.1850009128239903E-2</v>
      </c>
      <c r="O1353" s="1256">
        <v>3.1850009128239903E-2</v>
      </c>
      <c r="P1353" s="1251">
        <v>1.5925004564119952E-2</v>
      </c>
      <c r="Q1353" s="1254">
        <v>5.47131875966297E-2</v>
      </c>
    </row>
    <row r="1354" spans="1:17" s="212" customFormat="1" ht="15.5" x14ac:dyDescent="0.35">
      <c r="A1354" s="198">
        <v>2038</v>
      </c>
      <c r="B1354" s="197" t="s">
        <v>5842</v>
      </c>
      <c r="C1354" s="197">
        <v>1984</v>
      </c>
      <c r="D1354" s="213" t="str">
        <f t="shared" si="16"/>
        <v>2038_1984</v>
      </c>
      <c r="E1354" s="1268">
        <v>0.36557660811139903</v>
      </c>
      <c r="F1354" s="1279">
        <v>0.454861269709119</v>
      </c>
      <c r="G1354" s="1255">
        <v>9.4033938512645605</v>
      </c>
      <c r="H1354" s="1279">
        <v>2.8782491470053002</v>
      </c>
      <c r="I1354" s="1255">
        <v>5.2346319320316699E-2</v>
      </c>
      <c r="J1354" s="1279">
        <v>7.3812458911702303E-3</v>
      </c>
      <c r="K1354" s="1255">
        <v>3.00000086126992E-3</v>
      </c>
      <c r="L1354" s="1253">
        <v>2.0000005740631898E-3</v>
      </c>
      <c r="M1354" s="1273">
        <v>2.0000005740631898E-3</v>
      </c>
      <c r="N1354" s="1255">
        <v>3.1850009128239903E-2</v>
      </c>
      <c r="O1354" s="1256">
        <v>3.1850009128239903E-2</v>
      </c>
      <c r="P1354" s="1251">
        <v>1.5925004564119952E-2</v>
      </c>
      <c r="Q1354" s="1254">
        <v>5.47131875966297E-2</v>
      </c>
    </row>
    <row r="1355" spans="1:17" s="212" customFormat="1" ht="15.5" x14ac:dyDescent="0.35">
      <c r="A1355" s="198">
        <v>2038</v>
      </c>
      <c r="B1355" s="197" t="s">
        <v>5842</v>
      </c>
      <c r="C1355" s="197">
        <v>1985</v>
      </c>
      <c r="D1355" s="213" t="str">
        <f t="shared" si="16"/>
        <v>2038_1985</v>
      </c>
      <c r="E1355" s="1268">
        <v>0.36557660811139903</v>
      </c>
      <c r="F1355" s="1279">
        <v>0.454861269709119</v>
      </c>
      <c r="G1355" s="1255">
        <v>9.4033938512645605</v>
      </c>
      <c r="H1355" s="1279">
        <v>2.8782491470053002</v>
      </c>
      <c r="I1355" s="1255">
        <v>5.2346319320316699E-2</v>
      </c>
      <c r="J1355" s="1279">
        <v>7.3812458911702303E-3</v>
      </c>
      <c r="K1355" s="1255">
        <v>3.00000086126992E-3</v>
      </c>
      <c r="L1355" s="1253">
        <v>2.0000005740631898E-3</v>
      </c>
      <c r="M1355" s="1273">
        <v>2.0000005740631898E-3</v>
      </c>
      <c r="N1355" s="1255">
        <v>3.1850009128239903E-2</v>
      </c>
      <c r="O1355" s="1256">
        <v>3.1850009128239903E-2</v>
      </c>
      <c r="P1355" s="1251">
        <v>1.5925004564119952E-2</v>
      </c>
      <c r="Q1355" s="1254">
        <v>5.47131875966297E-2</v>
      </c>
    </row>
    <row r="1356" spans="1:17" s="212" customFormat="1" ht="15.5" x14ac:dyDescent="0.35">
      <c r="A1356" s="198">
        <v>2038</v>
      </c>
      <c r="B1356" s="197" t="s">
        <v>5842</v>
      </c>
      <c r="C1356" s="197">
        <v>1986</v>
      </c>
      <c r="D1356" s="213" t="str">
        <f t="shared" si="16"/>
        <v>2038_1986</v>
      </c>
      <c r="E1356" s="1268">
        <v>0.36557660811139903</v>
      </c>
      <c r="F1356" s="1279">
        <v>0.454861269709119</v>
      </c>
      <c r="G1356" s="1255">
        <v>9.4033938512645605</v>
      </c>
      <c r="H1356" s="1279">
        <v>2.8782491470053002</v>
      </c>
      <c r="I1356" s="1255">
        <v>5.2346319320316699E-2</v>
      </c>
      <c r="J1356" s="1279">
        <v>7.3812458911702303E-3</v>
      </c>
      <c r="K1356" s="1255">
        <v>3.00000086126992E-3</v>
      </c>
      <c r="L1356" s="1253">
        <v>2.0000005740631898E-3</v>
      </c>
      <c r="M1356" s="1273">
        <v>2.0000005740631898E-3</v>
      </c>
      <c r="N1356" s="1255">
        <v>3.1850009128239903E-2</v>
      </c>
      <c r="O1356" s="1256">
        <v>3.1850009128239903E-2</v>
      </c>
      <c r="P1356" s="1251">
        <v>1.5925004564119952E-2</v>
      </c>
      <c r="Q1356" s="1254">
        <v>5.47131875966297E-2</v>
      </c>
    </row>
    <row r="1357" spans="1:17" s="212" customFormat="1" ht="15.5" x14ac:dyDescent="0.35">
      <c r="A1357" s="198">
        <v>2038</v>
      </c>
      <c r="B1357" s="197" t="s">
        <v>5842</v>
      </c>
      <c r="C1357" s="197">
        <v>1987</v>
      </c>
      <c r="D1357" s="213" t="str">
        <f t="shared" si="16"/>
        <v>2038_1987</v>
      </c>
      <c r="E1357" s="1268">
        <v>0.36557660811139903</v>
      </c>
      <c r="F1357" s="1279">
        <v>0.454861269709119</v>
      </c>
      <c r="G1357" s="1255">
        <v>9.4033938512645605</v>
      </c>
      <c r="H1357" s="1279">
        <v>2.8782491470053002</v>
      </c>
      <c r="I1357" s="1255">
        <v>5.2346319320316699E-2</v>
      </c>
      <c r="J1357" s="1279">
        <v>7.3812458911702303E-3</v>
      </c>
      <c r="K1357" s="1255">
        <v>3.00000086126992E-3</v>
      </c>
      <c r="L1357" s="1253">
        <v>2.0000005740631898E-3</v>
      </c>
      <c r="M1357" s="1273">
        <v>2.0000005740631898E-3</v>
      </c>
      <c r="N1357" s="1255">
        <v>3.1850009128239903E-2</v>
      </c>
      <c r="O1357" s="1256">
        <v>3.1850009128239903E-2</v>
      </c>
      <c r="P1357" s="1251">
        <v>1.5925004564119952E-2</v>
      </c>
      <c r="Q1357" s="1254">
        <v>5.47131875966297E-2</v>
      </c>
    </row>
    <row r="1358" spans="1:17" s="212" customFormat="1" ht="15.5" x14ac:dyDescent="0.35">
      <c r="A1358" s="198">
        <v>2038</v>
      </c>
      <c r="B1358" s="197" t="s">
        <v>5842</v>
      </c>
      <c r="C1358" s="197">
        <v>1988</v>
      </c>
      <c r="D1358" s="213" t="str">
        <f t="shared" si="16"/>
        <v>2038_1988</v>
      </c>
      <c r="E1358" s="1268">
        <v>0.36557660811139903</v>
      </c>
      <c r="F1358" s="1279">
        <v>0.454861269709119</v>
      </c>
      <c r="G1358" s="1255">
        <v>9.4033938512645605</v>
      </c>
      <c r="H1358" s="1279">
        <v>2.8782491470053002</v>
      </c>
      <c r="I1358" s="1255">
        <v>5.2346319320316699E-2</v>
      </c>
      <c r="J1358" s="1279">
        <v>7.3812458911702303E-3</v>
      </c>
      <c r="K1358" s="1255">
        <v>3.00000086126992E-3</v>
      </c>
      <c r="L1358" s="1253">
        <v>2.0000005740631898E-3</v>
      </c>
      <c r="M1358" s="1273">
        <v>2.0000005740631898E-3</v>
      </c>
      <c r="N1358" s="1255">
        <v>3.1850009128239903E-2</v>
      </c>
      <c r="O1358" s="1256">
        <v>3.1850009128239903E-2</v>
      </c>
      <c r="P1358" s="1251">
        <v>1.5925004564119952E-2</v>
      </c>
      <c r="Q1358" s="1254">
        <v>5.47131875966297E-2</v>
      </c>
    </row>
    <row r="1359" spans="1:17" s="212" customFormat="1" ht="15.5" x14ac:dyDescent="0.35">
      <c r="A1359" s="198">
        <v>2038</v>
      </c>
      <c r="B1359" s="197" t="s">
        <v>5842</v>
      </c>
      <c r="C1359" s="197">
        <v>1989</v>
      </c>
      <c r="D1359" s="213" t="str">
        <f t="shared" si="16"/>
        <v>2038_1989</v>
      </c>
      <c r="E1359" s="1268">
        <v>0.36557660811139903</v>
      </c>
      <c r="F1359" s="1279">
        <v>0.454861269709119</v>
      </c>
      <c r="G1359" s="1255">
        <v>9.4033938512645605</v>
      </c>
      <c r="H1359" s="1279">
        <v>2.8782491470053002</v>
      </c>
      <c r="I1359" s="1255">
        <v>5.2346319320316699E-2</v>
      </c>
      <c r="J1359" s="1279">
        <v>7.3812458911702303E-3</v>
      </c>
      <c r="K1359" s="1255">
        <v>3.00000086126992E-3</v>
      </c>
      <c r="L1359" s="1253">
        <v>2.0000005740631898E-3</v>
      </c>
      <c r="M1359" s="1273">
        <v>2.0000005740631898E-3</v>
      </c>
      <c r="N1359" s="1255">
        <v>3.1850009128239903E-2</v>
      </c>
      <c r="O1359" s="1256">
        <v>3.1850009128239903E-2</v>
      </c>
      <c r="P1359" s="1251">
        <v>1.5925004564119952E-2</v>
      </c>
      <c r="Q1359" s="1254">
        <v>5.47131875966297E-2</v>
      </c>
    </row>
    <row r="1360" spans="1:17" s="212" customFormat="1" ht="15.5" x14ac:dyDescent="0.35">
      <c r="A1360" s="198">
        <v>2038</v>
      </c>
      <c r="B1360" s="197" t="s">
        <v>5842</v>
      </c>
      <c r="C1360" s="197">
        <v>1990</v>
      </c>
      <c r="D1360" s="213" t="str">
        <f t="shared" si="16"/>
        <v>2038_1990</v>
      </c>
      <c r="E1360" s="1268">
        <v>0.36557660811139903</v>
      </c>
      <c r="F1360" s="1279">
        <v>0.454861269709119</v>
      </c>
      <c r="G1360" s="1255">
        <v>9.4033938512645605</v>
      </c>
      <c r="H1360" s="1279">
        <v>2.8782491470053002</v>
      </c>
      <c r="I1360" s="1255">
        <v>5.2346319320316699E-2</v>
      </c>
      <c r="J1360" s="1279">
        <v>7.3812458911702303E-3</v>
      </c>
      <c r="K1360" s="1255">
        <v>3.00000086126992E-3</v>
      </c>
      <c r="L1360" s="1253">
        <v>2.0000005740631898E-3</v>
      </c>
      <c r="M1360" s="1273">
        <v>2.0000005740631898E-3</v>
      </c>
      <c r="N1360" s="1255">
        <v>3.1850009128239903E-2</v>
      </c>
      <c r="O1360" s="1256">
        <v>3.1850009128239903E-2</v>
      </c>
      <c r="P1360" s="1251">
        <v>1.5925004564119952E-2</v>
      </c>
      <c r="Q1360" s="1254">
        <v>5.47131875966297E-2</v>
      </c>
    </row>
    <row r="1361" spans="1:17" s="212" customFormat="1" ht="15.5" x14ac:dyDescent="0.35">
      <c r="A1361" s="198">
        <v>2038</v>
      </c>
      <c r="B1361" s="197" t="s">
        <v>5842</v>
      </c>
      <c r="C1361" s="197">
        <v>1991</v>
      </c>
      <c r="D1361" s="213" t="str">
        <f t="shared" si="16"/>
        <v>2038_1991</v>
      </c>
      <c r="E1361" s="1268">
        <v>0.36557660811139903</v>
      </c>
      <c r="F1361" s="1279">
        <v>0.454861269709119</v>
      </c>
      <c r="G1361" s="1255">
        <v>9.4033938512645605</v>
      </c>
      <c r="H1361" s="1279">
        <v>2.8782491470053002</v>
      </c>
      <c r="I1361" s="1255">
        <v>5.2346319320316699E-2</v>
      </c>
      <c r="J1361" s="1279">
        <v>7.3812458911702303E-3</v>
      </c>
      <c r="K1361" s="1255">
        <v>3.00000086126992E-3</v>
      </c>
      <c r="L1361" s="1253">
        <v>2.0000005740631898E-3</v>
      </c>
      <c r="M1361" s="1273">
        <v>2.0000005740631898E-3</v>
      </c>
      <c r="N1361" s="1255">
        <v>3.1850009128239903E-2</v>
      </c>
      <c r="O1361" s="1256">
        <v>3.1850009128239903E-2</v>
      </c>
      <c r="P1361" s="1251">
        <v>1.5925004564119952E-2</v>
      </c>
      <c r="Q1361" s="1254">
        <v>5.47131875966297E-2</v>
      </c>
    </row>
    <row r="1362" spans="1:17" s="212" customFormat="1" ht="15.5" x14ac:dyDescent="0.35">
      <c r="A1362" s="198">
        <v>2038</v>
      </c>
      <c r="B1362" s="197" t="s">
        <v>5842</v>
      </c>
      <c r="C1362" s="197">
        <v>1992</v>
      </c>
      <c r="D1362" s="213" t="str">
        <f t="shared" si="16"/>
        <v>2038_1992</v>
      </c>
      <c r="E1362" s="1268">
        <v>0.36557660811139903</v>
      </c>
      <c r="F1362" s="1279">
        <v>0.454861269709119</v>
      </c>
      <c r="G1362" s="1255">
        <v>9.4033938512645605</v>
      </c>
      <c r="H1362" s="1279">
        <v>2.8782491470053002</v>
      </c>
      <c r="I1362" s="1255">
        <v>5.2346319320316699E-2</v>
      </c>
      <c r="J1362" s="1279">
        <v>7.3812458911702303E-3</v>
      </c>
      <c r="K1362" s="1255">
        <v>3.00000086126992E-3</v>
      </c>
      <c r="L1362" s="1253">
        <v>2.0000005740631898E-3</v>
      </c>
      <c r="M1362" s="1273">
        <v>2.0000005740631898E-3</v>
      </c>
      <c r="N1362" s="1255">
        <v>3.1850009128239903E-2</v>
      </c>
      <c r="O1362" s="1256">
        <v>3.1850009128239903E-2</v>
      </c>
      <c r="P1362" s="1251">
        <v>1.5925004564119952E-2</v>
      </c>
      <c r="Q1362" s="1254">
        <v>5.47131875966297E-2</v>
      </c>
    </row>
    <row r="1363" spans="1:17" s="212" customFormat="1" ht="15.5" x14ac:dyDescent="0.35">
      <c r="A1363" s="198">
        <v>2038</v>
      </c>
      <c r="B1363" s="197" t="s">
        <v>5842</v>
      </c>
      <c r="C1363" s="197">
        <v>1993</v>
      </c>
      <c r="D1363" s="213" t="str">
        <f t="shared" si="16"/>
        <v>2038_1993</v>
      </c>
      <c r="E1363" s="1268">
        <v>0.36557660811139903</v>
      </c>
      <c r="F1363" s="1279">
        <v>0.454861269709119</v>
      </c>
      <c r="G1363" s="1255">
        <v>9.4033938512645605</v>
      </c>
      <c r="H1363" s="1279">
        <v>2.8782491470053002</v>
      </c>
      <c r="I1363" s="1255">
        <v>5.2346319320316699E-2</v>
      </c>
      <c r="J1363" s="1279">
        <v>7.3812458911702303E-3</v>
      </c>
      <c r="K1363" s="1255">
        <v>3.00000086126992E-3</v>
      </c>
      <c r="L1363" s="1253">
        <v>2.0000005740631898E-3</v>
      </c>
      <c r="M1363" s="1273">
        <v>2.0000005740631898E-3</v>
      </c>
      <c r="N1363" s="1255">
        <v>3.1850009128239903E-2</v>
      </c>
      <c r="O1363" s="1256">
        <v>3.1850009128239903E-2</v>
      </c>
      <c r="P1363" s="1251">
        <v>1.5925004564119952E-2</v>
      </c>
      <c r="Q1363" s="1254">
        <v>5.47131875966297E-2</v>
      </c>
    </row>
    <row r="1364" spans="1:17" s="212" customFormat="1" ht="15.5" x14ac:dyDescent="0.35">
      <c r="A1364" s="198">
        <v>2038</v>
      </c>
      <c r="B1364" s="197" t="s">
        <v>5842</v>
      </c>
      <c r="C1364" s="197">
        <v>1994</v>
      </c>
      <c r="D1364" s="213" t="str">
        <f t="shared" si="16"/>
        <v>2038_1994</v>
      </c>
      <c r="E1364" s="1267">
        <v>0.36557660811139903</v>
      </c>
      <c r="F1364" s="1278">
        <v>0.454861269709119</v>
      </c>
      <c r="G1364" s="1248">
        <v>9.4033938512645605</v>
      </c>
      <c r="H1364" s="1278">
        <v>2.8782491470053002</v>
      </c>
      <c r="I1364" s="1248">
        <v>5.2346319320316699E-2</v>
      </c>
      <c r="J1364" s="1278">
        <v>7.3812458911702303E-3</v>
      </c>
      <c r="K1364" s="1248">
        <v>3.00000086126992E-3</v>
      </c>
      <c r="L1364" s="1250">
        <v>2.0000005740631898E-3</v>
      </c>
      <c r="M1364" s="1273">
        <v>2.0000005740631898E-3</v>
      </c>
      <c r="N1364" s="1248">
        <v>3.1850009128239903E-2</v>
      </c>
      <c r="O1364" s="1249">
        <v>3.1850009128239903E-2</v>
      </c>
      <c r="P1364" s="1251">
        <v>1.5925004564119952E-2</v>
      </c>
      <c r="Q1364" s="1252">
        <v>5.47131875966297E-2</v>
      </c>
    </row>
    <row r="1365" spans="1:17" s="212" customFormat="1" ht="15.5" x14ac:dyDescent="0.35">
      <c r="A1365" s="198">
        <v>2038</v>
      </c>
      <c r="B1365" s="197" t="s">
        <v>5842</v>
      </c>
      <c r="C1365" s="197">
        <v>1995</v>
      </c>
      <c r="D1365" s="213" t="str">
        <f t="shared" si="16"/>
        <v>2038_1995</v>
      </c>
      <c r="E1365" s="1267">
        <v>0.36772204752846499</v>
      </c>
      <c r="F1365" s="1278">
        <v>0.24402427577072</v>
      </c>
      <c r="G1365" s="1248">
        <v>9.3856938010586699</v>
      </c>
      <c r="H1365" s="1278">
        <v>1.64487402914687</v>
      </c>
      <c r="I1365" s="1248">
        <v>5.2653521297457297E-2</v>
      </c>
      <c r="J1365" s="1278">
        <v>4.8444144909386196E-3</v>
      </c>
      <c r="K1365" s="1248">
        <v>3.0000008612646499E-3</v>
      </c>
      <c r="L1365" s="1250">
        <v>2.0000005741295599E-3</v>
      </c>
      <c r="M1365" s="1273">
        <v>2.0000005741295599E-3</v>
      </c>
      <c r="N1365" s="1248">
        <v>3.1850009128239903E-2</v>
      </c>
      <c r="O1365" s="1249">
        <v>3.1850009128239903E-2</v>
      </c>
      <c r="P1365" s="1251">
        <v>1.5925004564119952E-2</v>
      </c>
      <c r="Q1365" s="1252">
        <v>5.5034279883987999E-2</v>
      </c>
    </row>
    <row r="1366" spans="1:17" s="212" customFormat="1" ht="15.5" x14ac:dyDescent="0.35">
      <c r="A1366" s="198">
        <v>2038</v>
      </c>
      <c r="B1366" s="197" t="s">
        <v>5842</v>
      </c>
      <c r="C1366" s="197">
        <v>1996</v>
      </c>
      <c r="D1366" s="213" t="str">
        <f t="shared" si="16"/>
        <v>2038_1996</v>
      </c>
      <c r="E1366" s="1267">
        <v>0.36910962048853302</v>
      </c>
      <c r="F1366" s="1278">
        <v>2.2356334890948699E-2</v>
      </c>
      <c r="G1366" s="1248">
        <v>9.3609270990366493</v>
      </c>
      <c r="H1366" s="1278">
        <v>0.39299343923316798</v>
      </c>
      <c r="I1366" s="1248">
        <v>5.2852205610502301E-2</v>
      </c>
      <c r="J1366" s="1278">
        <v>2.1794232051279001E-3</v>
      </c>
      <c r="K1366" s="1248">
        <v>3.0000008612978898E-3</v>
      </c>
      <c r="L1366" s="1250">
        <v>2.00000057414578E-3</v>
      </c>
      <c r="M1366" s="1273">
        <v>2.00000057414578E-3</v>
      </c>
      <c r="N1366" s="1248">
        <v>3.1850009128239903E-2</v>
      </c>
      <c r="O1366" s="1249">
        <v>3.1850009128239903E-2</v>
      </c>
      <c r="P1366" s="1251">
        <v>1.5925004564119952E-2</v>
      </c>
      <c r="Q1366" s="1252">
        <v>5.5241947820020398E-2</v>
      </c>
    </row>
    <row r="1367" spans="1:17" s="212" customFormat="1" ht="15.5" x14ac:dyDescent="0.35">
      <c r="A1367" s="198">
        <v>2038</v>
      </c>
      <c r="B1367" s="197" t="s">
        <v>5842</v>
      </c>
      <c r="C1367" s="197">
        <v>1997</v>
      </c>
      <c r="D1367" s="213" t="str">
        <f t="shared" si="16"/>
        <v>2038_1997</v>
      </c>
      <c r="E1367" s="1267">
        <v>0.37098627287237301</v>
      </c>
      <c r="F1367" s="1278">
        <v>2.1455833477615802E-2</v>
      </c>
      <c r="G1367" s="1248">
        <v>9.3178339593243091</v>
      </c>
      <c r="H1367" s="1278">
        <v>0.38747059486329699</v>
      </c>
      <c r="I1367" s="1248">
        <v>5.3120920409967298E-2</v>
      </c>
      <c r="J1367" s="1278">
        <v>2.0956485787190699E-3</v>
      </c>
      <c r="K1367" s="1248">
        <v>3.0000008612990499E-3</v>
      </c>
      <c r="L1367" s="1250">
        <v>2.0000005740623602E-3</v>
      </c>
      <c r="M1367" s="1273">
        <v>2.0000005740623602E-3</v>
      </c>
      <c r="N1367" s="1248">
        <v>3.1850009128239903E-2</v>
      </c>
      <c r="O1367" s="1249">
        <v>3.1850009128239903E-2</v>
      </c>
      <c r="P1367" s="1251">
        <v>1.5925004564119952E-2</v>
      </c>
      <c r="Q1367" s="1252">
        <v>5.5522812710312799E-2</v>
      </c>
    </row>
    <row r="1368" spans="1:17" s="212" customFormat="1" ht="15.5" x14ac:dyDescent="0.35">
      <c r="A1368" s="198">
        <v>2038</v>
      </c>
      <c r="B1368" s="197" t="s">
        <v>5842</v>
      </c>
      <c r="C1368" s="197">
        <v>1998</v>
      </c>
      <c r="D1368" s="213" t="str">
        <f t="shared" si="16"/>
        <v>2038_1998</v>
      </c>
      <c r="E1368" s="1267">
        <v>0.37240568405056401</v>
      </c>
      <c r="F1368" s="1278">
        <v>2.17449712166898E-2</v>
      </c>
      <c r="G1368" s="1248">
        <v>9.3021229505324392</v>
      </c>
      <c r="H1368" s="1278">
        <v>0.38951698273726498</v>
      </c>
      <c r="I1368" s="1248">
        <v>5.3324163585629601E-2</v>
      </c>
      <c r="J1368" s="1278">
        <v>2.1267489202301199E-3</v>
      </c>
      <c r="K1368" s="1248">
        <v>3.0000008613794401E-3</v>
      </c>
      <c r="L1368" s="1250">
        <v>2.00000057410386E-3</v>
      </c>
      <c r="M1368" s="1273">
        <v>2.00000057410386E-3</v>
      </c>
      <c r="N1368" s="1248">
        <v>3.1850009128239903E-2</v>
      </c>
      <c r="O1368" s="1249">
        <v>3.1850009128239903E-2</v>
      </c>
      <c r="P1368" s="1251">
        <v>1.5925004564119952E-2</v>
      </c>
      <c r="Q1368" s="1252">
        <v>5.5735245640500301E-2</v>
      </c>
    </row>
    <row r="1369" spans="1:17" s="212" customFormat="1" ht="15.5" x14ac:dyDescent="0.35">
      <c r="A1369" s="198">
        <v>2038</v>
      </c>
      <c r="B1369" s="197" t="s">
        <v>5842</v>
      </c>
      <c r="C1369" s="197">
        <v>1999</v>
      </c>
      <c r="D1369" s="213" t="str">
        <f t="shared" si="16"/>
        <v>2038_1999</v>
      </c>
      <c r="E1369" s="1267">
        <v>0.37047166878553101</v>
      </c>
      <c r="F1369" s="1278">
        <v>2.1795738897847999E-2</v>
      </c>
      <c r="G1369" s="1248">
        <v>9.3353435352903809</v>
      </c>
      <c r="H1369" s="1278">
        <v>0.38982774842241902</v>
      </c>
      <c r="I1369" s="1248">
        <v>5.3047235088599098E-2</v>
      </c>
      <c r="J1369" s="1278">
        <v>2.1270100897000099E-3</v>
      </c>
      <c r="K1369" s="1248">
        <v>3.00000086134472E-3</v>
      </c>
      <c r="L1369" s="1250">
        <v>2.0000005741191299E-3</v>
      </c>
      <c r="M1369" s="1273">
        <v>2.0000005741191299E-3</v>
      </c>
      <c r="N1369" s="1248">
        <v>3.1850009128239903E-2</v>
      </c>
      <c r="O1369" s="1249">
        <v>3.1850009128239903E-2</v>
      </c>
      <c r="P1369" s="1251">
        <v>1.5925004564119952E-2</v>
      </c>
      <c r="Q1369" s="1252">
        <v>5.5445795665686103E-2</v>
      </c>
    </row>
    <row r="1370" spans="1:17" s="212" customFormat="1" ht="15.5" x14ac:dyDescent="0.35">
      <c r="A1370" s="198">
        <v>2038</v>
      </c>
      <c r="B1370" s="197" t="s">
        <v>5842</v>
      </c>
      <c r="C1370" s="197">
        <v>2000</v>
      </c>
      <c r="D1370" s="213" t="str">
        <f t="shared" si="16"/>
        <v>2038_2000</v>
      </c>
      <c r="E1370" s="1267">
        <v>0.36668162131229098</v>
      </c>
      <c r="F1370" s="1278">
        <v>2.20955882196756E-2</v>
      </c>
      <c r="G1370" s="1248">
        <v>9.4129165793796208</v>
      </c>
      <c r="H1370" s="1278">
        <v>0.392417710224431</v>
      </c>
      <c r="I1370" s="1248">
        <v>5.2504544361480901E-2</v>
      </c>
      <c r="J1370" s="1278">
        <v>2.1595464913455099E-3</v>
      </c>
      <c r="K1370" s="1248">
        <v>3.0000008612626199E-3</v>
      </c>
      <c r="L1370" s="1250">
        <v>2.0000005741580501E-3</v>
      </c>
      <c r="M1370" s="1273">
        <v>2.0000005741580501E-3</v>
      </c>
      <c r="N1370" s="1248">
        <v>3.1850009128239903E-2</v>
      </c>
      <c r="O1370" s="1249">
        <v>3.1850009128239903E-2</v>
      </c>
      <c r="P1370" s="1251">
        <v>1.5925004564119952E-2</v>
      </c>
      <c r="Q1370" s="1252">
        <v>5.4878566872042102E-2</v>
      </c>
    </row>
    <row r="1371" spans="1:17" s="212" customFormat="1" ht="15.5" x14ac:dyDescent="0.35">
      <c r="A1371" s="198">
        <v>2038</v>
      </c>
      <c r="B1371" s="197" t="s">
        <v>5842</v>
      </c>
      <c r="C1371" s="197">
        <v>2001</v>
      </c>
      <c r="D1371" s="213" t="str">
        <f t="shared" si="16"/>
        <v>2038_2001</v>
      </c>
      <c r="E1371" s="1267">
        <v>0.37011842564825298</v>
      </c>
      <c r="F1371" s="1278">
        <v>2.2181730080265399E-2</v>
      </c>
      <c r="G1371" s="1248">
        <v>9.3399942762926909</v>
      </c>
      <c r="H1371" s="1278">
        <v>0.39369723683091401</v>
      </c>
      <c r="I1371" s="1248">
        <v>5.2996654778887202E-2</v>
      </c>
      <c r="J1371" s="1278">
        <v>2.17054025070655E-3</v>
      </c>
      <c r="K1371" s="1248">
        <v>3.0000008613433001E-3</v>
      </c>
      <c r="L1371" s="1250">
        <v>2.0000005741873301E-3</v>
      </c>
      <c r="M1371" s="1273">
        <v>2.0000005741873301E-3</v>
      </c>
      <c r="N1371" s="1248">
        <v>3.1850009128239903E-2</v>
      </c>
      <c r="O1371" s="1249">
        <v>3.1850009128239903E-2</v>
      </c>
      <c r="P1371" s="1251">
        <v>1.5925004564119952E-2</v>
      </c>
      <c r="Q1371" s="1252">
        <v>5.53929283388159E-2</v>
      </c>
    </row>
    <row r="1372" spans="1:17" s="212" customFormat="1" ht="15.5" x14ac:dyDescent="0.35">
      <c r="A1372" s="198">
        <v>2038</v>
      </c>
      <c r="B1372" s="197" t="s">
        <v>5842</v>
      </c>
      <c r="C1372" s="197">
        <v>2002</v>
      </c>
      <c r="D1372" s="213" t="str">
        <f t="shared" si="16"/>
        <v>2038_2002</v>
      </c>
      <c r="E1372" s="1267">
        <v>0.28697295675842599</v>
      </c>
      <c r="F1372" s="1278">
        <v>2.2118520483509301E-2</v>
      </c>
      <c r="G1372" s="1248">
        <v>7.1986594416001797</v>
      </c>
      <c r="H1372" s="1278">
        <v>0.31735586365259999</v>
      </c>
      <c r="I1372" s="1248">
        <v>5.3491158820605997E-2</v>
      </c>
      <c r="J1372" s="1278">
        <v>2.1683656750330401E-3</v>
      </c>
      <c r="K1372" s="1248">
        <v>3.0000008613568002E-3</v>
      </c>
      <c r="L1372" s="1250">
        <v>2.0000005741625999E-3</v>
      </c>
      <c r="M1372" s="1273">
        <v>2.0000005741625999E-3</v>
      </c>
      <c r="N1372" s="1248">
        <v>3.1850009128239903E-2</v>
      </c>
      <c r="O1372" s="1249">
        <v>3.1850009128239903E-2</v>
      </c>
      <c r="P1372" s="1251">
        <v>1.5925004564119952E-2</v>
      </c>
      <c r="Q1372" s="1252">
        <v>5.5909791658972002E-2</v>
      </c>
    </row>
    <row r="1373" spans="1:17" s="212" customFormat="1" ht="15.5" x14ac:dyDescent="0.35">
      <c r="A1373" s="198">
        <v>2038</v>
      </c>
      <c r="B1373" s="197" t="s">
        <v>5842</v>
      </c>
      <c r="C1373" s="197">
        <v>2003</v>
      </c>
      <c r="D1373" s="213" t="str">
        <f t="shared" si="16"/>
        <v>2038_2003</v>
      </c>
      <c r="E1373" s="1267">
        <v>0.28443837177036102</v>
      </c>
      <c r="F1373" s="1278">
        <v>2.1804646190509699E-2</v>
      </c>
      <c r="G1373" s="1248">
        <v>7.2423985783852904</v>
      </c>
      <c r="H1373" s="1278">
        <v>0.31663128788444</v>
      </c>
      <c r="I1373" s="1248">
        <v>5.3018717480932703E-2</v>
      </c>
      <c r="J1373" s="1278">
        <v>2.1365643462206698E-3</v>
      </c>
      <c r="K1373" s="1248">
        <v>3.00000086128209E-3</v>
      </c>
      <c r="L1373" s="1250">
        <v>2.0000005741481301E-3</v>
      </c>
      <c r="M1373" s="1273">
        <v>2.0000005741481301E-3</v>
      </c>
      <c r="N1373" s="1248">
        <v>3.1850009128239903E-2</v>
      </c>
      <c r="O1373" s="1249">
        <v>3.1850009128239903E-2</v>
      </c>
      <c r="P1373" s="1251">
        <v>1.5925004564119952E-2</v>
      </c>
      <c r="Q1373" s="1252">
        <v>5.5415988618346103E-2</v>
      </c>
    </row>
    <row r="1374" spans="1:17" s="212" customFormat="1" ht="15.5" x14ac:dyDescent="0.35">
      <c r="A1374" s="198">
        <v>2038</v>
      </c>
      <c r="B1374" s="197" t="s">
        <v>5842</v>
      </c>
      <c r="C1374" s="197">
        <v>2004</v>
      </c>
      <c r="D1374" s="213" t="str">
        <f t="shared" si="16"/>
        <v>2038_2004</v>
      </c>
      <c r="E1374" s="1267">
        <v>0.57562901405993405</v>
      </c>
      <c r="F1374" s="1278">
        <v>1.42709529520404E-2</v>
      </c>
      <c r="G1374" s="1248">
        <v>4.1409732838923397</v>
      </c>
      <c r="H1374" s="1278">
        <v>0.26773704271367299</v>
      </c>
      <c r="I1374" s="1248">
        <v>0.149967380266852</v>
      </c>
      <c r="J1374" s="1278">
        <v>1.38894217177678E-4</v>
      </c>
      <c r="K1374" s="1248">
        <v>3.0000008612763702E-3</v>
      </c>
      <c r="L1374" s="1250">
        <v>2.0000005740828E-3</v>
      </c>
      <c r="M1374" s="1273">
        <v>2.0000005740828E-3</v>
      </c>
      <c r="N1374" s="1248">
        <v>3.1850009128239903E-2</v>
      </c>
      <c r="O1374" s="1249">
        <v>3.1850009128239903E-2</v>
      </c>
      <c r="P1374" s="1251">
        <v>1.5925004564119952E-2</v>
      </c>
      <c r="Q1374" s="1252">
        <v>0.15674823973212501</v>
      </c>
    </row>
    <row r="1375" spans="1:17" s="212" customFormat="1" ht="15.5" x14ac:dyDescent="0.35">
      <c r="A1375" s="198">
        <v>2038</v>
      </c>
      <c r="B1375" s="197" t="s">
        <v>5842</v>
      </c>
      <c r="C1375" s="197">
        <v>2005</v>
      </c>
      <c r="D1375" s="213" t="str">
        <f t="shared" si="16"/>
        <v>2038_2005</v>
      </c>
      <c r="E1375" s="1267">
        <v>0.57334865110339905</v>
      </c>
      <c r="F1375" s="1278">
        <v>1.4413570064054301E-2</v>
      </c>
      <c r="G1375" s="1248">
        <v>4.1336957635976201</v>
      </c>
      <c r="H1375" s="1278">
        <v>0.269775370305333</v>
      </c>
      <c r="I1375" s="1248">
        <v>0.149467794130346</v>
      </c>
      <c r="J1375" s="1278">
        <v>1.40839066325304E-4</v>
      </c>
      <c r="K1375" s="1248">
        <v>3.0000008612525901E-3</v>
      </c>
      <c r="L1375" s="1250">
        <v>2.0000005741212302E-3</v>
      </c>
      <c r="M1375" s="1273">
        <v>2.0000005741212302E-3</v>
      </c>
      <c r="N1375" s="1248">
        <v>3.1850009128239903E-2</v>
      </c>
      <c r="O1375" s="1249">
        <v>3.1850009128239903E-2</v>
      </c>
      <c r="P1375" s="1251">
        <v>1.5925004564119952E-2</v>
      </c>
      <c r="Q1375" s="1252">
        <v>0.156226064527407</v>
      </c>
    </row>
    <row r="1376" spans="1:17" s="212" customFormat="1" ht="15.5" x14ac:dyDescent="0.35">
      <c r="A1376" s="198">
        <v>2038</v>
      </c>
      <c r="B1376" s="197" t="s">
        <v>5842</v>
      </c>
      <c r="C1376" s="197">
        <v>2006</v>
      </c>
      <c r="D1376" s="213" t="str">
        <f t="shared" si="16"/>
        <v>2038_2006</v>
      </c>
      <c r="E1376" s="1267">
        <v>0.56959949824759504</v>
      </c>
      <c r="F1376" s="1278">
        <v>1.4576754269189701E-2</v>
      </c>
      <c r="G1376" s="1248">
        <v>4.12076124924962</v>
      </c>
      <c r="H1376" s="1278">
        <v>0.27182989901948801</v>
      </c>
      <c r="I1376" s="1248">
        <v>0.148622883262581</v>
      </c>
      <c r="J1376" s="1278">
        <v>1.41834190428844E-4</v>
      </c>
      <c r="K1376" s="1248">
        <v>3.0000008612392098E-3</v>
      </c>
      <c r="L1376" s="1250">
        <v>2.00000057413637E-3</v>
      </c>
      <c r="M1376" s="1273">
        <v>2.00000057413637E-3</v>
      </c>
      <c r="N1376" s="1248">
        <v>3.1850009128239903E-2</v>
      </c>
      <c r="O1376" s="1249">
        <v>3.1850009128239903E-2</v>
      </c>
      <c r="P1376" s="1251">
        <v>1.5925004564119952E-2</v>
      </c>
      <c r="Q1376" s="1252">
        <v>0.155342950539438</v>
      </c>
    </row>
    <row r="1377" spans="1:17" s="212" customFormat="1" ht="15.5" x14ac:dyDescent="0.35">
      <c r="A1377" s="198">
        <v>2038</v>
      </c>
      <c r="B1377" s="197" t="s">
        <v>5842</v>
      </c>
      <c r="C1377" s="197">
        <v>2007</v>
      </c>
      <c r="D1377" s="213" t="str">
        <f t="shared" si="16"/>
        <v>2038_2007</v>
      </c>
      <c r="E1377" s="1267">
        <v>0.33235040561846801</v>
      </c>
      <c r="F1377" s="1278">
        <v>1.45162920764057E-2</v>
      </c>
      <c r="G1377" s="1248">
        <v>2.4804596056727499</v>
      </c>
      <c r="H1377" s="1278">
        <v>0.27266393501876701</v>
      </c>
      <c r="I1377" s="1248">
        <v>8.7294236429986197E-2</v>
      </c>
      <c r="J1377" s="1278">
        <v>1.4489186848238799E-4</v>
      </c>
      <c r="K1377" s="1248">
        <v>3.00000086124236E-3</v>
      </c>
      <c r="L1377" s="1250">
        <v>2.0000005741902202E-3</v>
      </c>
      <c r="M1377" s="1273">
        <v>2.0000005741902202E-3</v>
      </c>
      <c r="N1377" s="1248">
        <v>3.1850009128239903E-2</v>
      </c>
      <c r="O1377" s="1249">
        <v>3.1850009128239903E-2</v>
      </c>
      <c r="P1377" s="1251">
        <v>1.5925004564119952E-2</v>
      </c>
      <c r="Q1377" s="1252">
        <v>9.1241294438913004E-2</v>
      </c>
    </row>
    <row r="1378" spans="1:17" s="212" customFormat="1" ht="15.5" x14ac:dyDescent="0.35">
      <c r="A1378" s="198">
        <v>2038</v>
      </c>
      <c r="B1378" s="197" t="s">
        <v>5842</v>
      </c>
      <c r="C1378" s="197">
        <v>2008</v>
      </c>
      <c r="D1378" s="213" t="str">
        <f t="shared" si="16"/>
        <v>2038_2008</v>
      </c>
      <c r="E1378" s="1267">
        <v>0.33988700177273601</v>
      </c>
      <c r="F1378" s="1278">
        <v>9.86774618802648E-3</v>
      </c>
      <c r="G1378" s="1248">
        <v>2.5048477433998202</v>
      </c>
      <c r="H1378" s="1278">
        <v>0.158396616916468</v>
      </c>
      <c r="I1378" s="1248">
        <v>8.8876354806531693E-2</v>
      </c>
      <c r="J1378" s="1278">
        <v>1.41176896700874E-4</v>
      </c>
      <c r="K1378" s="1248">
        <v>3.0000008613298599E-3</v>
      </c>
      <c r="L1378" s="1250">
        <v>2.00000057421542E-3</v>
      </c>
      <c r="M1378" s="1273">
        <v>2.00000057421542E-3</v>
      </c>
      <c r="N1378" s="1248">
        <v>3.1850009128239903E-2</v>
      </c>
      <c r="O1378" s="1249">
        <v>3.1850009128239903E-2</v>
      </c>
      <c r="P1378" s="1251">
        <v>1.5925004564119952E-2</v>
      </c>
      <c r="Q1378" s="1252">
        <v>9.2894949187899506E-2</v>
      </c>
    </row>
    <row r="1379" spans="1:17" s="212" customFormat="1" ht="15.5" x14ac:dyDescent="0.35">
      <c r="A1379" s="198">
        <v>2038</v>
      </c>
      <c r="B1379" s="197" t="s">
        <v>5842</v>
      </c>
      <c r="C1379" s="197">
        <v>2009</v>
      </c>
      <c r="D1379" s="213" t="str">
        <f t="shared" si="16"/>
        <v>2038_2009</v>
      </c>
      <c r="E1379" s="1267">
        <v>0.33830266272685</v>
      </c>
      <c r="F1379" s="1278">
        <v>4.7951234505733504E-3</v>
      </c>
      <c r="G1379" s="1248">
        <v>2.4997013392540399</v>
      </c>
      <c r="H1379" s="1278">
        <v>4.2926554232879603E-2</v>
      </c>
      <c r="I1379" s="1248">
        <v>8.8527658049547001E-2</v>
      </c>
      <c r="J1379" s="1278">
        <v>1.2980418736337399E-4</v>
      </c>
      <c r="K1379" s="1248">
        <v>3.00000086129011E-3</v>
      </c>
      <c r="L1379" s="1250">
        <v>2.00000057415914E-3</v>
      </c>
      <c r="M1379" s="1273">
        <v>2.00000057415914E-3</v>
      </c>
      <c r="N1379" s="1248">
        <v>3.1850009128239903E-2</v>
      </c>
      <c r="O1379" s="1249">
        <v>3.1850009128239903E-2</v>
      </c>
      <c r="P1379" s="1251">
        <v>1.5925004564119952E-2</v>
      </c>
      <c r="Q1379" s="1252">
        <v>9.2530485910883004E-2</v>
      </c>
    </row>
    <row r="1380" spans="1:17" s="212" customFormat="1" ht="15.5" x14ac:dyDescent="0.35">
      <c r="A1380" s="198">
        <v>2038</v>
      </c>
      <c r="B1380" s="197" t="s">
        <v>5842</v>
      </c>
      <c r="C1380" s="197">
        <v>2010</v>
      </c>
      <c r="D1380" s="213" t="str">
        <f t="shared" si="16"/>
        <v>2038_2010</v>
      </c>
      <c r="E1380" s="1267">
        <v>9.0240025429156004E-2</v>
      </c>
      <c r="F1380" s="1278">
        <v>4.7999729224532297E-3</v>
      </c>
      <c r="G1380" s="1248">
        <v>0.82424853673882004</v>
      </c>
      <c r="H1380" s="1278">
        <v>4.3258949053234103E-2</v>
      </c>
      <c r="I1380" s="1248">
        <v>2.4788603984139599E-2</v>
      </c>
      <c r="J1380" s="1278">
        <v>1.5843346828811299E-4</v>
      </c>
      <c r="K1380" s="1248">
        <v>3.0000008613354401E-3</v>
      </c>
      <c r="L1380" s="1250">
        <v>2.0000005741364199E-3</v>
      </c>
      <c r="M1380" s="1273">
        <v>2.0000005741364199E-3</v>
      </c>
      <c r="N1380" s="1248">
        <v>3.1850009128239903E-2</v>
      </c>
      <c r="O1380" s="1249">
        <v>3.1850009128239903E-2</v>
      </c>
      <c r="P1380" s="1251">
        <v>1.5925004564119952E-2</v>
      </c>
      <c r="Q1380" s="1252">
        <v>2.5909434658501401E-2</v>
      </c>
    </row>
    <row r="1381" spans="1:17" s="212" customFormat="1" ht="15.5" x14ac:dyDescent="0.35">
      <c r="A1381" s="198">
        <v>2038</v>
      </c>
      <c r="B1381" s="197" t="s">
        <v>5842</v>
      </c>
      <c r="C1381" s="197">
        <v>2011</v>
      </c>
      <c r="D1381" s="213" t="str">
        <f t="shared" si="16"/>
        <v>2038_2011</v>
      </c>
      <c r="E1381" s="1267">
        <v>8.9397601259402396E-2</v>
      </c>
      <c r="F1381" s="1278">
        <v>4.9994684891699302E-3</v>
      </c>
      <c r="G1381" s="1248">
        <v>0.820862303030232</v>
      </c>
      <c r="H1381" s="1278">
        <v>4.3187514772829103E-2</v>
      </c>
      <c r="I1381" s="1248">
        <v>2.4632804129108E-2</v>
      </c>
      <c r="J1381" s="1278">
        <v>2.1679157323486101E-4</v>
      </c>
      <c r="K1381" s="1248">
        <v>3.0000008613066801E-3</v>
      </c>
      <c r="L1381" s="1250">
        <v>2.00000057423614E-3</v>
      </c>
      <c r="M1381" s="1273">
        <v>2.00000057423614E-3</v>
      </c>
      <c r="N1381" s="1248">
        <v>3.1850009128239903E-2</v>
      </c>
      <c r="O1381" s="1249">
        <v>3.1850009128239903E-2</v>
      </c>
      <c r="P1381" s="1251">
        <v>1.5925004564119952E-2</v>
      </c>
      <c r="Q1381" s="1252">
        <v>2.57465902253768E-2</v>
      </c>
    </row>
    <row r="1382" spans="1:17" s="212" customFormat="1" ht="15.5" x14ac:dyDescent="0.35">
      <c r="A1382" s="198">
        <v>2038</v>
      </c>
      <c r="B1382" s="197" t="s">
        <v>5842</v>
      </c>
      <c r="C1382" s="197">
        <v>2012</v>
      </c>
      <c r="D1382" s="213" t="str">
        <f t="shared" si="16"/>
        <v>2038_2012</v>
      </c>
      <c r="E1382" s="1267">
        <v>9.0150028055385897E-2</v>
      </c>
      <c r="F1382" s="1278">
        <v>4.99014566746637E-3</v>
      </c>
      <c r="G1382" s="1248">
        <v>0.824059963729176</v>
      </c>
      <c r="H1382" s="1278">
        <v>4.3256750235274699E-2</v>
      </c>
      <c r="I1382" s="1248">
        <v>2.47748218125588E-2</v>
      </c>
      <c r="J1382" s="1278">
        <v>3.1647047955341099E-4</v>
      </c>
      <c r="K1382" s="1248">
        <v>3.0000008613647001E-3</v>
      </c>
      <c r="L1382" s="1250">
        <v>2.0000005742446098E-3</v>
      </c>
      <c r="M1382" s="1273">
        <v>2.0000005742446098E-3</v>
      </c>
      <c r="N1382" s="1248">
        <v>3.1850009128239903E-2</v>
      </c>
      <c r="O1382" s="1249">
        <v>3.1850009128239903E-2</v>
      </c>
      <c r="P1382" s="1251">
        <v>1.5925004564119952E-2</v>
      </c>
      <c r="Q1382" s="1252">
        <v>2.5895029318279101E-2</v>
      </c>
    </row>
    <row r="1383" spans="1:17" s="212" customFormat="1" ht="15.5" x14ac:dyDescent="0.35">
      <c r="A1383" s="198">
        <v>2038</v>
      </c>
      <c r="B1383" s="197" t="s">
        <v>5842</v>
      </c>
      <c r="C1383" s="197">
        <v>2013</v>
      </c>
      <c r="D1383" s="213" t="str">
        <f t="shared" si="16"/>
        <v>2038_2013</v>
      </c>
      <c r="E1383" s="1267">
        <v>9.0101678557892098E-2</v>
      </c>
      <c r="F1383" s="1278">
        <v>5.0535134180201401E-3</v>
      </c>
      <c r="G1383" s="1248">
        <v>0.82302766525441395</v>
      </c>
      <c r="H1383" s="1278">
        <v>4.3093895165507899E-2</v>
      </c>
      <c r="I1383" s="1248">
        <v>2.4756211482129E-2</v>
      </c>
      <c r="J1383" s="1278">
        <v>4.7499467473195701E-4</v>
      </c>
      <c r="K1383" s="1248">
        <v>3.0000008613884801E-3</v>
      </c>
      <c r="L1383" s="1250">
        <v>2.0000005742804999E-3</v>
      </c>
      <c r="M1383" s="1273">
        <v>2.0000005742804999E-3</v>
      </c>
      <c r="N1383" s="1248">
        <v>3.1850009128239903E-2</v>
      </c>
      <c r="O1383" s="1249">
        <v>3.1850009128239903E-2</v>
      </c>
      <c r="P1383" s="1251">
        <v>1.5925004564119952E-2</v>
      </c>
      <c r="Q1383" s="1252">
        <v>2.5875577511289501E-2</v>
      </c>
    </row>
    <row r="1384" spans="1:17" s="212" customFormat="1" ht="15.5" x14ac:dyDescent="0.35">
      <c r="A1384" s="198">
        <v>2038</v>
      </c>
      <c r="B1384" s="197" t="s">
        <v>5842</v>
      </c>
      <c r="C1384" s="197">
        <v>2014</v>
      </c>
      <c r="D1384" s="213" t="str">
        <f t="shared" si="16"/>
        <v>2038_2014</v>
      </c>
      <c r="E1384" s="1267">
        <v>8.9112878135262405E-2</v>
      </c>
      <c r="F1384" s="1278">
        <v>4.9560989069447302E-3</v>
      </c>
      <c r="G1384" s="1248">
        <v>0.81920499274162695</v>
      </c>
      <c r="H1384" s="1278">
        <v>4.3368612491359398E-2</v>
      </c>
      <c r="I1384" s="1248">
        <v>2.4575004771540301E-2</v>
      </c>
      <c r="J1384" s="1278">
        <v>6.5953060293579902E-4</v>
      </c>
      <c r="K1384" s="1248">
        <v>3.00000086132469E-3</v>
      </c>
      <c r="L1384" s="1250">
        <v>2.0000005742355199E-3</v>
      </c>
      <c r="M1384" s="1273">
        <v>2.0000005742355199E-3</v>
      </c>
      <c r="N1384" s="1248">
        <v>3.1850009128239903E-2</v>
      </c>
      <c r="O1384" s="1249">
        <v>3.1850009128239903E-2</v>
      </c>
      <c r="P1384" s="1251">
        <v>1.5925004564119952E-2</v>
      </c>
      <c r="Q1384" s="1252">
        <v>2.5686177437340699E-2</v>
      </c>
    </row>
    <row r="1385" spans="1:17" s="212" customFormat="1" ht="15.5" x14ac:dyDescent="0.35">
      <c r="A1385" s="198">
        <v>2038</v>
      </c>
      <c r="B1385" s="197" t="s">
        <v>5842</v>
      </c>
      <c r="C1385" s="197">
        <v>2015</v>
      </c>
      <c r="D1385" s="213" t="str">
        <f t="shared" si="16"/>
        <v>2038_2015</v>
      </c>
      <c r="E1385" s="1267">
        <v>8.9323294726983499E-2</v>
      </c>
      <c r="F1385" s="1278">
        <v>5.0998647662700196E-3</v>
      </c>
      <c r="G1385" s="1248">
        <v>0.81944110350272104</v>
      </c>
      <c r="H1385" s="1278">
        <v>4.3124761481000598E-2</v>
      </c>
      <c r="I1385" s="1248">
        <v>2.4576921017271901E-2</v>
      </c>
      <c r="J1385" s="1278">
        <v>8.3480219710151701E-4</v>
      </c>
      <c r="K1385" s="1248">
        <v>3.0000008613345298E-3</v>
      </c>
      <c r="L1385" s="1250">
        <v>2.0000005742710002E-3</v>
      </c>
      <c r="M1385" s="1273">
        <v>2.0000005742710002E-3</v>
      </c>
      <c r="N1385" s="1248">
        <v>3.1850009128239903E-2</v>
      </c>
      <c r="O1385" s="1249">
        <v>3.1850009128239903E-2</v>
      </c>
      <c r="P1385" s="1251">
        <v>1.5925004564119952E-2</v>
      </c>
      <c r="Q1385" s="1252">
        <v>2.5688180327201202E-2</v>
      </c>
    </row>
    <row r="1386" spans="1:17" s="212" customFormat="1" ht="15.5" x14ac:dyDescent="0.35">
      <c r="A1386" s="198">
        <v>2038</v>
      </c>
      <c r="B1386" s="197" t="s">
        <v>5842</v>
      </c>
      <c r="C1386" s="197">
        <v>2016</v>
      </c>
      <c r="D1386" s="213" t="str">
        <f t="shared" si="16"/>
        <v>2038_2016</v>
      </c>
      <c r="E1386" s="1267">
        <v>8.9346209289750303E-2</v>
      </c>
      <c r="F1386" s="1278">
        <v>4.7252809232203302E-3</v>
      </c>
      <c r="G1386" s="1248">
        <v>0.72290673476897804</v>
      </c>
      <c r="H1386" s="1278">
        <v>4.0500548500942903E-2</v>
      </c>
      <c r="I1386" s="1248">
        <v>2.4496653239977299E-2</v>
      </c>
      <c r="J1386" s="1278">
        <v>9.6049262016996103E-4</v>
      </c>
      <c r="K1386" s="1248">
        <v>3.0000008613494198E-3</v>
      </c>
      <c r="L1386" s="1250">
        <v>2.0000005742524E-3</v>
      </c>
      <c r="M1386" s="1273">
        <v>2.0000005742524E-3</v>
      </c>
      <c r="N1386" s="1248">
        <v>3.1850009128239903E-2</v>
      </c>
      <c r="O1386" s="1249">
        <v>3.1850009128239903E-2</v>
      </c>
      <c r="P1386" s="1251">
        <v>1.5925004564119952E-2</v>
      </c>
      <c r="Q1386" s="1252">
        <v>2.5604283197200199E-2</v>
      </c>
    </row>
    <row r="1387" spans="1:17" s="212" customFormat="1" ht="15.5" x14ac:dyDescent="0.35">
      <c r="A1387" s="198">
        <v>2038</v>
      </c>
      <c r="B1387" s="197" t="s">
        <v>5842</v>
      </c>
      <c r="C1387" s="197">
        <v>2017</v>
      </c>
      <c r="D1387" s="213" t="str">
        <f t="shared" si="16"/>
        <v>2038_2017</v>
      </c>
      <c r="E1387" s="1267">
        <v>8.8096363941268394E-2</v>
      </c>
      <c r="F1387" s="1278">
        <v>4.4867530466522502E-3</v>
      </c>
      <c r="G1387" s="1248">
        <v>0.62155166067017198</v>
      </c>
      <c r="H1387" s="1278">
        <v>3.7710823535586697E-2</v>
      </c>
      <c r="I1387" s="1248">
        <v>2.41242351876267E-2</v>
      </c>
      <c r="J1387" s="1278">
        <v>1.0356045933408099E-3</v>
      </c>
      <c r="K1387" s="1248">
        <v>3.00000086129544E-3</v>
      </c>
      <c r="L1387" s="1250">
        <v>2.0000005743036498E-3</v>
      </c>
      <c r="M1387" s="1273">
        <v>2.0000005743036498E-3</v>
      </c>
      <c r="N1387" s="1248">
        <v>3.1850009128239903E-2</v>
      </c>
      <c r="O1387" s="1249">
        <v>3.1850009128239903E-2</v>
      </c>
      <c r="P1387" s="1251">
        <v>1.5925004564119952E-2</v>
      </c>
      <c r="Q1387" s="1252">
        <v>2.5215026053102999E-2</v>
      </c>
    </row>
    <row r="1388" spans="1:17" s="212" customFormat="1" ht="15.5" x14ac:dyDescent="0.35">
      <c r="A1388" s="198">
        <v>2038</v>
      </c>
      <c r="B1388" s="197" t="s">
        <v>5842</v>
      </c>
      <c r="C1388" s="197">
        <v>2018</v>
      </c>
      <c r="D1388" s="213" t="str">
        <f t="shared" si="16"/>
        <v>2038_2018</v>
      </c>
      <c r="E1388" s="1267">
        <v>8.8731865689511302E-2</v>
      </c>
      <c r="F1388" s="1278">
        <v>3.97422514438281E-3</v>
      </c>
      <c r="G1388" s="1248">
        <v>0.51412434665102302</v>
      </c>
      <c r="H1388" s="1278">
        <v>3.3773514813851602E-2</v>
      </c>
      <c r="I1388" s="1248">
        <v>2.40633596594826E-2</v>
      </c>
      <c r="J1388" s="1278">
        <v>1.07717445978672E-3</v>
      </c>
      <c r="K1388" s="1248">
        <v>3.0000008613554302E-3</v>
      </c>
      <c r="L1388" s="1250">
        <v>2.0000005742556201E-3</v>
      </c>
      <c r="M1388" s="1273">
        <v>2.0000005742556201E-3</v>
      </c>
      <c r="N1388" s="1248">
        <v>3.1850009128239903E-2</v>
      </c>
      <c r="O1388" s="1249">
        <v>3.1850009128239903E-2</v>
      </c>
      <c r="P1388" s="1251">
        <v>1.5925004564119952E-2</v>
      </c>
      <c r="Q1388" s="1252">
        <v>2.51513980037073E-2</v>
      </c>
    </row>
    <row r="1389" spans="1:17" s="212" customFormat="1" ht="15.5" x14ac:dyDescent="0.35">
      <c r="A1389" s="198">
        <v>2038</v>
      </c>
      <c r="B1389" s="197" t="s">
        <v>5842</v>
      </c>
      <c r="C1389" s="197">
        <v>2019</v>
      </c>
      <c r="D1389" s="213" t="str">
        <f t="shared" si="16"/>
        <v>2038_2019</v>
      </c>
      <c r="E1389" s="1267">
        <v>8.86118072993064E-2</v>
      </c>
      <c r="F1389" s="1278">
        <v>3.4348525154076701E-3</v>
      </c>
      <c r="G1389" s="1248">
        <v>0.44313616105465697</v>
      </c>
      <c r="H1389" s="1278">
        <v>2.9644260193885601E-2</v>
      </c>
      <c r="I1389" s="1248">
        <v>2.3806934080772599E-2</v>
      </c>
      <c r="J1389" s="1278">
        <v>1.0994178554971201E-3</v>
      </c>
      <c r="K1389" s="1248">
        <v>3.00000086140447E-3</v>
      </c>
      <c r="L1389" s="1250">
        <v>2.0000005742102402E-3</v>
      </c>
      <c r="M1389" s="1273">
        <v>2.0000005742102402E-3</v>
      </c>
      <c r="N1389" s="1248">
        <v>3.1850009128239903E-2</v>
      </c>
      <c r="O1389" s="1249">
        <v>3.1850009128239903E-2</v>
      </c>
      <c r="P1389" s="1251">
        <v>1.5925004564119952E-2</v>
      </c>
      <c r="Q1389" s="1252">
        <v>2.4883377998199799E-2</v>
      </c>
    </row>
    <row r="1390" spans="1:17" s="212" customFormat="1" ht="15.5" x14ac:dyDescent="0.35">
      <c r="A1390" s="198">
        <v>2038</v>
      </c>
      <c r="B1390" s="197" t="s">
        <v>5842</v>
      </c>
      <c r="C1390" s="197">
        <v>2020</v>
      </c>
      <c r="D1390" s="213" t="str">
        <f t="shared" si="16"/>
        <v>2038_2020</v>
      </c>
      <c r="E1390" s="1267">
        <v>7.74581118224828E-2</v>
      </c>
      <c r="F1390" s="1278">
        <v>2.7885148205713298E-3</v>
      </c>
      <c r="G1390" s="1248">
        <v>0.34754505952078302</v>
      </c>
      <c r="H1390" s="1278">
        <v>2.5735874265335901E-2</v>
      </c>
      <c r="I1390" s="1248">
        <v>2.1424210596862898E-2</v>
      </c>
      <c r="J1390" s="1278">
        <v>1.0861501941757899E-3</v>
      </c>
      <c r="K1390" s="1248">
        <v>3.0000008609764E-3</v>
      </c>
      <c r="L1390" s="1250">
        <v>2.0000005740810202E-3</v>
      </c>
      <c r="M1390" s="1273">
        <v>2.0000005740810202E-3</v>
      </c>
      <c r="N1390" s="1248">
        <v>3.1850009128239903E-2</v>
      </c>
      <c r="O1390" s="1249">
        <v>3.1850009128239903E-2</v>
      </c>
      <c r="P1390" s="1251">
        <v>1.5925004564119952E-2</v>
      </c>
      <c r="Q1390" s="1252">
        <v>2.2392918331526498E-2</v>
      </c>
    </row>
    <row r="1391" spans="1:17" s="212" customFormat="1" ht="15.5" x14ac:dyDescent="0.35">
      <c r="A1391" s="198">
        <v>2038</v>
      </c>
      <c r="B1391" s="197" t="s">
        <v>5842</v>
      </c>
      <c r="C1391" s="197">
        <v>2021</v>
      </c>
      <c r="D1391" s="213" t="str">
        <f t="shared" si="16"/>
        <v>2038_2021</v>
      </c>
      <c r="E1391" s="1267">
        <v>7.6964696776753105E-2</v>
      </c>
      <c r="F1391" s="1278">
        <v>2.3576834036023999E-3</v>
      </c>
      <c r="G1391" s="1248">
        <v>0.28160983993450001</v>
      </c>
      <c r="H1391" s="1278">
        <v>2.15978936927223E-2</v>
      </c>
      <c r="I1391" s="1248">
        <v>2.10252742587753E-2</v>
      </c>
      <c r="J1391" s="1278">
        <v>1.0863191908122101E-3</v>
      </c>
      <c r="K1391" s="1248">
        <v>3.0000008609786799E-3</v>
      </c>
      <c r="L1391" s="1250">
        <v>2.0000005740827302E-3</v>
      </c>
      <c r="M1391" s="1273">
        <v>2.0000005740827302E-3</v>
      </c>
      <c r="N1391" s="1248">
        <v>3.1850009128239903E-2</v>
      </c>
      <c r="O1391" s="1249">
        <v>3.1850009128239903E-2</v>
      </c>
      <c r="P1391" s="1251">
        <v>1.5925004564119952E-2</v>
      </c>
      <c r="Q1391" s="1252">
        <v>2.1975943862484401E-2</v>
      </c>
    </row>
    <row r="1392" spans="1:17" s="212" customFormat="1" ht="15.5" x14ac:dyDescent="0.35">
      <c r="A1392" s="198">
        <v>2038</v>
      </c>
      <c r="B1392" s="197" t="s">
        <v>5842</v>
      </c>
      <c r="C1392" s="197">
        <v>2022</v>
      </c>
      <c r="D1392" s="213" t="str">
        <f t="shared" si="16"/>
        <v>2038_2022</v>
      </c>
      <c r="E1392" s="1267">
        <v>7.6391956773986594E-2</v>
      </c>
      <c r="F1392" s="1278">
        <v>1.9338961915345699E-3</v>
      </c>
      <c r="G1392" s="1248">
        <v>0.21551394683195299</v>
      </c>
      <c r="H1392" s="1278">
        <v>1.7563748205124699E-2</v>
      </c>
      <c r="I1392" s="1248">
        <v>2.0566311232033299E-2</v>
      </c>
      <c r="J1392" s="1278">
        <v>1.08648070936679E-3</v>
      </c>
      <c r="K1392" s="1248">
        <v>3.00000086098088E-3</v>
      </c>
      <c r="L1392" s="1250">
        <v>2.0000005740843899E-3</v>
      </c>
      <c r="M1392" s="1273">
        <v>2.0000005740843899E-3</v>
      </c>
      <c r="N1392" s="1248">
        <v>3.1850009128239903E-2</v>
      </c>
      <c r="O1392" s="1249">
        <v>3.1850009128239903E-2</v>
      </c>
      <c r="P1392" s="1251">
        <v>1.5925004564119952E-2</v>
      </c>
      <c r="Q1392" s="1252">
        <v>2.14962285642913E-2</v>
      </c>
    </row>
    <row r="1393" spans="1:17" s="212" customFormat="1" ht="15.5" x14ac:dyDescent="0.35">
      <c r="A1393" s="198">
        <v>2038</v>
      </c>
      <c r="B1393" s="197" t="s">
        <v>5842</v>
      </c>
      <c r="C1393" s="197">
        <v>2023</v>
      </c>
      <c r="D1393" s="213" t="str">
        <f t="shared" si="16"/>
        <v>2038_2023</v>
      </c>
      <c r="E1393" s="1267">
        <v>7.5740019142342199E-2</v>
      </c>
      <c r="F1393" s="1278">
        <v>1.9176509462806E-3</v>
      </c>
      <c r="G1393" s="1248">
        <v>0.21211465405250901</v>
      </c>
      <c r="H1393" s="1278">
        <v>1.72494813096035E-2</v>
      </c>
      <c r="I1393" s="1248">
        <v>2.0047308974276999E-2</v>
      </c>
      <c r="J1393" s="1278">
        <v>1.08663362033344E-3</v>
      </c>
      <c r="K1393" s="1248">
        <v>3.0000008609830202E-3</v>
      </c>
      <c r="L1393" s="1250">
        <v>2.0000005740859802E-3</v>
      </c>
      <c r="M1393" s="1273">
        <v>2.0000005740859802E-3</v>
      </c>
      <c r="N1393" s="1248">
        <v>3.1850009128239903E-2</v>
      </c>
      <c r="O1393" s="1249">
        <v>3.1850009128239903E-2</v>
      </c>
      <c r="P1393" s="1251">
        <v>1.5925004564119952E-2</v>
      </c>
      <c r="Q1393" s="1252">
        <v>2.09537593274777E-2</v>
      </c>
    </row>
    <row r="1394" spans="1:17" s="212" customFormat="1" ht="15.5" x14ac:dyDescent="0.35">
      <c r="A1394" s="198">
        <v>2038</v>
      </c>
      <c r="B1394" s="197" t="s">
        <v>5842</v>
      </c>
      <c r="C1394" s="197">
        <v>2024</v>
      </c>
      <c r="D1394" s="213" t="str">
        <f t="shared" si="16"/>
        <v>2038_2024</v>
      </c>
      <c r="E1394" s="1267">
        <v>7.5008296468886806E-2</v>
      </c>
      <c r="F1394" s="1278">
        <v>1.9079674263175501E-3</v>
      </c>
      <c r="G1394" s="1248">
        <v>0.20832043105533299</v>
      </c>
      <c r="H1394" s="1278">
        <v>1.6985323080403399E-2</v>
      </c>
      <c r="I1394" s="1248">
        <v>1.9468147534876201E-2</v>
      </c>
      <c r="J1394" s="1278">
        <v>1.0867769809061499E-3</v>
      </c>
      <c r="K1394" s="1248">
        <v>3.0000008609850498E-3</v>
      </c>
      <c r="L1394" s="1250">
        <v>2.0000005740875102E-3</v>
      </c>
      <c r="M1394" s="1275">
        <v>2.0000005740165401E-3</v>
      </c>
      <c r="N1394" s="1248">
        <v>3.1850009128239903E-2</v>
      </c>
      <c r="O1394" s="1249">
        <v>3.1850009128239903E-2</v>
      </c>
      <c r="P1394" s="1260">
        <v>1.59250045641199E-2</v>
      </c>
      <c r="Q1394" s="1252">
        <v>2.0348410777777999E-2</v>
      </c>
    </row>
    <row r="1395" spans="1:17" s="212" customFormat="1" ht="15.5" x14ac:dyDescent="0.35">
      <c r="A1395" s="198">
        <v>2038</v>
      </c>
      <c r="B1395" s="197" t="s">
        <v>5842</v>
      </c>
      <c r="C1395" s="197">
        <v>2025</v>
      </c>
      <c r="D1395" s="213" t="str">
        <f t="shared" si="16"/>
        <v>2038_2025</v>
      </c>
      <c r="E1395" s="1267">
        <v>7.4196180119145499E-2</v>
      </c>
      <c r="F1395" s="1278">
        <v>1.9076388743633299E-3</v>
      </c>
      <c r="G1395" s="1248">
        <v>0.20413037894901701</v>
      </c>
      <c r="H1395" s="1278">
        <v>1.6799102743215801E-2</v>
      </c>
      <c r="I1395" s="1248">
        <v>1.8828704249363101E-2</v>
      </c>
      <c r="J1395" s="1278">
        <v>1.0869080829248199E-3</v>
      </c>
      <c r="K1395" s="1248">
        <v>3.0000008609869502E-3</v>
      </c>
      <c r="L1395" s="1250">
        <v>2.0000005740889301E-3</v>
      </c>
      <c r="M1395" s="1275">
        <v>2.0000005740179001E-3</v>
      </c>
      <c r="N1395" s="1248">
        <v>3.1850009128239903E-2</v>
      </c>
      <c r="O1395" s="1249">
        <v>3.1850009128239903E-2</v>
      </c>
      <c r="P1395" s="1260">
        <v>1.59250045641199E-2</v>
      </c>
      <c r="Q1395" s="1252">
        <v>1.9680054704381601E-2</v>
      </c>
    </row>
    <row r="1396" spans="1:17" s="212" customFormat="1" ht="15.5" x14ac:dyDescent="0.35">
      <c r="A1396" s="198">
        <v>2038</v>
      </c>
      <c r="B1396" s="197" t="s">
        <v>5842</v>
      </c>
      <c r="C1396" s="197">
        <v>2026</v>
      </c>
      <c r="D1396" s="213" t="str">
        <f t="shared" si="16"/>
        <v>2038_2026</v>
      </c>
      <c r="E1396" s="1267">
        <v>7.3305729343403098E-2</v>
      </c>
      <c r="F1396" s="1278">
        <v>1.9159525838854401E-3</v>
      </c>
      <c r="G1396" s="1248">
        <v>0.199569261908246</v>
      </c>
      <c r="H1396" s="1278">
        <v>1.66837081284892E-2</v>
      </c>
      <c r="I1396" s="1248">
        <v>1.8129341435790799E-2</v>
      </c>
      <c r="J1396" s="1278">
        <v>1.0870394056806999E-3</v>
      </c>
      <c r="K1396" s="1248">
        <v>3.0000008609888601E-3</v>
      </c>
      <c r="L1396" s="1250">
        <v>2.0000005740903599E-3</v>
      </c>
      <c r="M1396" s="1275">
        <v>2.0000005740192801E-3</v>
      </c>
      <c r="N1396" s="1248">
        <v>3.1850009128239903E-2</v>
      </c>
      <c r="O1396" s="1249">
        <v>3.1850009128239903E-2</v>
      </c>
      <c r="P1396" s="1260">
        <v>1.59250045641199E-2</v>
      </c>
      <c r="Q1396" s="1252">
        <v>1.8949069807756101E-2</v>
      </c>
    </row>
    <row r="1397" spans="1:17" s="212" customFormat="1" ht="15.5" x14ac:dyDescent="0.35">
      <c r="A1397" s="198">
        <v>2038</v>
      </c>
      <c r="B1397" s="197" t="s">
        <v>5842</v>
      </c>
      <c r="C1397" s="197">
        <v>2027</v>
      </c>
      <c r="D1397" s="213" t="str">
        <f t="shared" si="16"/>
        <v>2038_2027</v>
      </c>
      <c r="E1397" s="1267">
        <v>7.2338318609993402E-2</v>
      </c>
      <c r="F1397" s="1278">
        <v>1.93388490918951E-3</v>
      </c>
      <c r="G1397" s="1248">
        <v>0.19459493766373301</v>
      </c>
      <c r="H1397" s="1278">
        <v>1.6642593465982201E-2</v>
      </c>
      <c r="I1397" s="1248">
        <v>1.73702465238539E-2</v>
      </c>
      <c r="J1397" s="1278">
        <v>1.0871756938608901E-3</v>
      </c>
      <c r="K1397" s="1248">
        <v>3.0000008609908499E-3</v>
      </c>
      <c r="L1397" s="1250">
        <v>2.0000005740918501E-3</v>
      </c>
      <c r="M1397" s="1275">
        <v>2.0000005740207299E-3</v>
      </c>
      <c r="N1397" s="1248">
        <v>3.1850009128239903E-2</v>
      </c>
      <c r="O1397" s="1249">
        <v>3.1850009128239903E-2</v>
      </c>
      <c r="P1397" s="1260">
        <v>1.59250045641199E-2</v>
      </c>
      <c r="Q1397" s="1252">
        <v>1.8155651992335198E-2</v>
      </c>
    </row>
    <row r="1398" spans="1:17" s="212" customFormat="1" ht="15.5" x14ac:dyDescent="0.35">
      <c r="A1398" s="198">
        <v>2038</v>
      </c>
      <c r="B1398" s="197" t="s">
        <v>5842</v>
      </c>
      <c r="C1398" s="197">
        <v>2028</v>
      </c>
      <c r="D1398" s="213" t="str">
        <f t="shared" si="16"/>
        <v>2038_2028</v>
      </c>
      <c r="E1398" s="1267">
        <v>7.1293015418034095E-2</v>
      </c>
      <c r="F1398" s="1278">
        <v>1.9549973869016799E-3</v>
      </c>
      <c r="G1398" s="1248">
        <v>0.189228116005344</v>
      </c>
      <c r="H1398" s="1278">
        <v>1.66106426397255E-2</v>
      </c>
      <c r="I1398" s="1248">
        <v>1.6551219054843601E-2</v>
      </c>
      <c r="J1398" s="1278">
        <v>1.0873139299528399E-3</v>
      </c>
      <c r="K1398" s="1248">
        <v>3.00000086099286E-3</v>
      </c>
      <c r="L1398" s="1250">
        <v>2.0000005740933601E-3</v>
      </c>
      <c r="M1398" s="1275">
        <v>2.0000005740222399E-3</v>
      </c>
      <c r="N1398" s="1248">
        <v>3.1850009128239903E-2</v>
      </c>
      <c r="O1398" s="1249">
        <v>3.1850009128239903E-2</v>
      </c>
      <c r="P1398" s="1260">
        <v>1.59250045641199E-2</v>
      </c>
      <c r="Q1398" s="1252">
        <v>1.7299591735556799E-2</v>
      </c>
    </row>
    <row r="1399" spans="1:17" s="212" customFormat="1" ht="15.5" x14ac:dyDescent="0.35">
      <c r="A1399" s="198">
        <v>2038</v>
      </c>
      <c r="B1399" s="197" t="s">
        <v>5842</v>
      </c>
      <c r="C1399" s="197">
        <v>2029</v>
      </c>
      <c r="D1399" s="213" t="str">
        <f t="shared" si="16"/>
        <v>2038_2029</v>
      </c>
      <c r="E1399" s="1267">
        <v>7.0169372162242102E-2</v>
      </c>
      <c r="F1399" s="1278">
        <v>1.9728984080357699E-3</v>
      </c>
      <c r="G1399" s="1248">
        <v>0.18346816106479699</v>
      </c>
      <c r="H1399" s="1278">
        <v>1.65207757113736E-2</v>
      </c>
      <c r="I1399" s="1248">
        <v>1.5672148687562198E-2</v>
      </c>
      <c r="J1399" s="1278">
        <v>1.08745320279762E-3</v>
      </c>
      <c r="K1399" s="1248">
        <v>3.0000008609949E-3</v>
      </c>
      <c r="L1399" s="1250">
        <v>2.0000005740948802E-3</v>
      </c>
      <c r="M1399" s="1275">
        <v>2.00000057402358E-3</v>
      </c>
      <c r="N1399" s="1248">
        <v>3.1850009128239903E-2</v>
      </c>
      <c r="O1399" s="1249">
        <v>3.1850009128239903E-2</v>
      </c>
      <c r="P1399" s="1260">
        <v>1.59250045641199E-2</v>
      </c>
      <c r="Q1399" s="1252">
        <v>1.63807737070839E-2</v>
      </c>
    </row>
    <row r="1400" spans="1:17" s="212" customFormat="1" ht="15.5" x14ac:dyDescent="0.35">
      <c r="A1400" s="198">
        <v>2038</v>
      </c>
      <c r="B1400" s="197" t="s">
        <v>5842</v>
      </c>
      <c r="C1400" s="197">
        <v>2030</v>
      </c>
      <c r="D1400" s="213" t="str">
        <f t="shared" si="16"/>
        <v>2038_2030</v>
      </c>
      <c r="E1400" s="1267">
        <v>6.8967570542654996E-2</v>
      </c>
      <c r="F1400" s="1278">
        <v>1.9824834545633298E-3</v>
      </c>
      <c r="G1400" s="1248">
        <v>0.17731500770676001</v>
      </c>
      <c r="H1400" s="1278">
        <v>1.6318919392488699E-2</v>
      </c>
      <c r="I1400" s="1248">
        <v>1.4733015905073799E-2</v>
      </c>
      <c r="J1400" s="1278">
        <v>1.08759361134662E-3</v>
      </c>
      <c r="K1400" s="1248">
        <v>3.00000086099696E-3</v>
      </c>
      <c r="L1400" s="1250">
        <v>2.0000005740964302E-3</v>
      </c>
      <c r="M1400" s="1275">
        <v>2.0000005740250198E-3</v>
      </c>
      <c r="N1400" s="1248">
        <v>3.1850009128239903E-2</v>
      </c>
      <c r="O1400" s="1249">
        <v>3.1850009128239903E-2</v>
      </c>
      <c r="P1400" s="1260">
        <v>1.59250045641199E-2</v>
      </c>
      <c r="Q1400" s="1252">
        <v>1.5399177507511399E-2</v>
      </c>
    </row>
    <row r="1401" spans="1:17" s="212" customFormat="1" ht="15.5" x14ac:dyDescent="0.35">
      <c r="A1401" s="198">
        <v>2038</v>
      </c>
      <c r="B1401" s="197" t="s">
        <v>5842</v>
      </c>
      <c r="C1401" s="197">
        <v>2031</v>
      </c>
      <c r="D1401" s="213" t="str">
        <f t="shared" si="16"/>
        <v>2038_2031</v>
      </c>
      <c r="E1401" s="1267">
        <v>6.7687815805637999E-2</v>
      </c>
      <c r="F1401" s="1278">
        <v>1.9840006309316E-3</v>
      </c>
      <c r="G1401" s="1248">
        <v>0.170768784073211</v>
      </c>
      <c r="H1401" s="1278">
        <v>1.60059713006519E-2</v>
      </c>
      <c r="I1401" s="1248">
        <v>1.37338027622878E-2</v>
      </c>
      <c r="J1401" s="1278">
        <v>1.0877367030579701E-3</v>
      </c>
      <c r="K1401" s="1248">
        <v>3.0000008609990698E-3</v>
      </c>
      <c r="L1401" s="1250">
        <v>2.0000005740980101E-3</v>
      </c>
      <c r="M1401" s="1275">
        <v>2.0000005740266999E-3</v>
      </c>
      <c r="N1401" s="1248">
        <v>3.1850009128239903E-2</v>
      </c>
      <c r="O1401" s="1249">
        <v>3.1850009128239903E-2</v>
      </c>
      <c r="P1401" s="1260">
        <v>1.59250045641199E-2</v>
      </c>
      <c r="Q1401" s="1252">
        <v>1.43547843803513E-2</v>
      </c>
    </row>
    <row r="1402" spans="1:17" s="212" customFormat="1" ht="15.5" x14ac:dyDescent="0.35">
      <c r="A1402" s="198">
        <v>2038</v>
      </c>
      <c r="B1402" s="197" t="s">
        <v>5842</v>
      </c>
      <c r="C1402" s="197">
        <v>2032</v>
      </c>
      <c r="D1402" s="213" t="str">
        <f t="shared" si="16"/>
        <v>2038_2032</v>
      </c>
      <c r="E1402" s="1267">
        <v>6.6329435293843803E-2</v>
      </c>
      <c r="F1402" s="1278">
        <v>1.98755590993567E-3</v>
      </c>
      <c r="G1402" s="1248">
        <v>0.16382856973701401</v>
      </c>
      <c r="H1402" s="1278">
        <v>1.5684550810760801E-2</v>
      </c>
      <c r="I1402" s="1248">
        <v>1.2674366760427099E-2</v>
      </c>
      <c r="J1402" s="1278">
        <v>1.08788069582333E-3</v>
      </c>
      <c r="K1402" s="1248">
        <v>3.0000008610012001E-3</v>
      </c>
      <c r="L1402" s="1250">
        <v>2.0000005740995999E-3</v>
      </c>
      <c r="M1402" s="1275">
        <v>2.00000057402836E-3</v>
      </c>
      <c r="N1402" s="1248">
        <v>3.1850009128239903E-2</v>
      </c>
      <c r="O1402" s="1249">
        <v>3.1850009128239903E-2</v>
      </c>
      <c r="P1402" s="1260">
        <v>1.59250045641199E-2</v>
      </c>
      <c r="Q1402" s="1252">
        <v>1.3247445383664101E-2</v>
      </c>
    </row>
    <row r="1403" spans="1:17" s="212" customFormat="1" ht="15.5" x14ac:dyDescent="0.35">
      <c r="A1403" s="198">
        <v>2038</v>
      </c>
      <c r="B1403" s="197" t="s">
        <v>5842</v>
      </c>
      <c r="C1403" s="197">
        <v>2033</v>
      </c>
      <c r="D1403" s="213" t="str">
        <f t="shared" si="16"/>
        <v>2038_2033</v>
      </c>
      <c r="E1403" s="1267">
        <v>6.4892612364885499E-2</v>
      </c>
      <c r="F1403" s="1278">
        <v>2.0162385274207599E-3</v>
      </c>
      <c r="G1403" s="1248">
        <v>0.15649432131809499</v>
      </c>
      <c r="H1403" s="1278">
        <v>1.5590752982063499E-2</v>
      </c>
      <c r="I1403" s="1248">
        <v>1.15546788135425E-2</v>
      </c>
      <c r="J1403" s="1278">
        <v>1.0880261005119501E-3</v>
      </c>
      <c r="K1403" s="1248">
        <v>3.0000008610033598E-3</v>
      </c>
      <c r="L1403" s="1250">
        <v>2.0000005741012202E-3</v>
      </c>
      <c r="M1403" s="1275">
        <v>2.00000057403026E-3</v>
      </c>
      <c r="N1403" s="1248">
        <v>3.1850009128239903E-2</v>
      </c>
      <c r="O1403" s="1249">
        <v>3.1850009128239903E-2</v>
      </c>
      <c r="P1403" s="1260">
        <v>1.59250045641199E-2</v>
      </c>
      <c r="Q1403" s="1252">
        <v>1.20771301163631E-2</v>
      </c>
    </row>
    <row r="1404" spans="1:17" s="212" customFormat="1" ht="15.5" x14ac:dyDescent="0.35">
      <c r="A1404" s="198">
        <v>2038</v>
      </c>
      <c r="B1404" s="197" t="s">
        <v>5842</v>
      </c>
      <c r="C1404" s="197">
        <v>2034</v>
      </c>
      <c r="D1404" s="213" t="str">
        <f t="shared" si="16"/>
        <v>2038_2034</v>
      </c>
      <c r="E1404" s="1267">
        <v>6.3377553158786501E-2</v>
      </c>
      <c r="F1404" s="1278">
        <v>2.1041277762656198E-3</v>
      </c>
      <c r="G1404" s="1248">
        <v>0.148766132210056</v>
      </c>
      <c r="H1404" s="1278">
        <v>1.6075017747249301E-2</v>
      </c>
      <c r="I1404" s="1248">
        <v>1.03747062497722E-2</v>
      </c>
      <c r="J1404" s="1278">
        <v>1.0881748712658801E-3</v>
      </c>
      <c r="K1404" s="1248">
        <v>3.0000008610055798E-3</v>
      </c>
      <c r="L1404" s="1250">
        <v>2.0000005741028799E-3</v>
      </c>
      <c r="M1404" s="1275">
        <v>2.0000005740323798E-3</v>
      </c>
      <c r="N1404" s="1248">
        <v>3.1850009128239903E-2</v>
      </c>
      <c r="O1404" s="1249">
        <v>3.1850009128239903E-2</v>
      </c>
      <c r="P1404" s="1260">
        <v>1.59250045641199E-2</v>
      </c>
      <c r="Q1404" s="1252">
        <v>1.0843804429309699E-2</v>
      </c>
    </row>
    <row r="1405" spans="1:17" s="212" customFormat="1" ht="15.5" x14ac:dyDescent="0.35">
      <c r="A1405" s="198">
        <v>2038</v>
      </c>
      <c r="B1405" s="197" t="s">
        <v>5842</v>
      </c>
      <c r="C1405" s="197">
        <v>2035</v>
      </c>
      <c r="D1405" s="213" t="str">
        <f t="shared" si="16"/>
        <v>2038_2035</v>
      </c>
      <c r="E1405" s="1267">
        <v>6.17839935639228E-2</v>
      </c>
      <c r="F1405" s="1278">
        <v>2.2834488302169299E-3</v>
      </c>
      <c r="G1405" s="1248">
        <v>0.14064350157816199</v>
      </c>
      <c r="H1405" s="1278">
        <v>1.7473142601291201E-2</v>
      </c>
      <c r="I1405" s="1248">
        <v>9.1343498806019004E-3</v>
      </c>
      <c r="J1405" s="1278">
        <v>1.08832647840276E-3</v>
      </c>
      <c r="K1405" s="1248">
        <v>3.0000008610078501E-3</v>
      </c>
      <c r="L1405" s="1250">
        <v>2.0000005741045799E-3</v>
      </c>
      <c r="M1405" s="1275">
        <v>2.0000005740345799E-3</v>
      </c>
      <c r="N1405" s="1248">
        <v>3.1850009128239903E-2</v>
      </c>
      <c r="O1405" s="1249">
        <v>3.1850009128239903E-2</v>
      </c>
      <c r="P1405" s="1260">
        <v>1.59250045641199E-2</v>
      </c>
      <c r="Q1405" s="1252">
        <v>9.5473646491254401E-3</v>
      </c>
    </row>
    <row r="1406" spans="1:17" s="212" customFormat="1" ht="15.5" x14ac:dyDescent="0.35">
      <c r="A1406" s="198">
        <v>2038</v>
      </c>
      <c r="B1406" s="197" t="s">
        <v>5842</v>
      </c>
      <c r="C1406" s="197">
        <v>2036</v>
      </c>
      <c r="D1406" s="213" t="str">
        <f t="shared" si="16"/>
        <v>2038_2036</v>
      </c>
      <c r="E1406" s="1267">
        <v>6.0111799825440203E-2</v>
      </c>
      <c r="F1406" s="1278">
        <v>2.55206547810727E-3</v>
      </c>
      <c r="G1406" s="1248">
        <v>0.13212601366879201</v>
      </c>
      <c r="H1406" s="1278">
        <v>1.9777957389068901E-2</v>
      </c>
      <c r="I1406" s="1248">
        <v>7.8335227638810494E-3</v>
      </c>
      <c r="J1406" s="1278">
        <v>1.08848074596458E-3</v>
      </c>
      <c r="K1406" s="1248">
        <v>3.0000008610101799E-3</v>
      </c>
      <c r="L1406" s="1250">
        <v>2.0000005741063298E-3</v>
      </c>
      <c r="M1406" s="1275">
        <v>2.0000005740368298E-3</v>
      </c>
      <c r="N1406" s="1248">
        <v>3.1850009128239903E-2</v>
      </c>
      <c r="O1406" s="1249">
        <v>3.1850009128239903E-2</v>
      </c>
      <c r="P1406" s="1260">
        <v>1.59250045641199E-2</v>
      </c>
      <c r="Q1406" s="1252">
        <v>8.1877199025213003E-3</v>
      </c>
    </row>
    <row r="1407" spans="1:17" s="212" customFormat="1" ht="15.5" x14ac:dyDescent="0.35">
      <c r="A1407" s="198">
        <v>2038</v>
      </c>
      <c r="B1407" s="197" t="s">
        <v>5842</v>
      </c>
      <c r="C1407" s="197">
        <v>2037</v>
      </c>
      <c r="D1407" s="213" t="str">
        <f t="shared" si="16"/>
        <v>2038_2037</v>
      </c>
      <c r="E1407" s="1267">
        <v>5.8360493206013199E-2</v>
      </c>
      <c r="F1407" s="1278">
        <v>2.8083140971526901E-3</v>
      </c>
      <c r="G1407" s="1248">
        <v>0.123212960372833</v>
      </c>
      <c r="H1407" s="1278">
        <v>2.1981917340430701E-2</v>
      </c>
      <c r="I1407" s="1248">
        <v>6.4721095006367597E-3</v>
      </c>
      <c r="J1407" s="1278">
        <v>1.0886360915466401E-3</v>
      </c>
      <c r="K1407" s="1248">
        <v>3.00000086101254E-3</v>
      </c>
      <c r="L1407" s="1250">
        <v>2.0000005741080901E-3</v>
      </c>
      <c r="M1407" s="1275">
        <v>2.0000005740387701E-3</v>
      </c>
      <c r="N1407" s="1248">
        <v>3.1850009128239903E-2</v>
      </c>
      <c r="O1407" s="1249">
        <v>3.1850009128239903E-2</v>
      </c>
      <c r="P1407" s="1260">
        <v>1.59250045641199E-2</v>
      </c>
      <c r="Q1407" s="1252">
        <v>6.76474957269499E-3</v>
      </c>
    </row>
    <row r="1408" spans="1:17" s="212" customFormat="1" ht="15.5" x14ac:dyDescent="0.35">
      <c r="A1408" s="198">
        <v>2038</v>
      </c>
      <c r="B1408" s="197" t="s">
        <v>5842</v>
      </c>
      <c r="C1408" s="197">
        <v>2038</v>
      </c>
      <c r="D1408" s="213" t="str">
        <f t="shared" si="16"/>
        <v>2038_2038</v>
      </c>
      <c r="E1408" s="1267">
        <v>5.6529557526829602E-2</v>
      </c>
      <c r="F1408" s="1278">
        <v>2.7351940098217101E-3</v>
      </c>
      <c r="G1408" s="1248">
        <v>0.113903739717836</v>
      </c>
      <c r="H1408" s="1278">
        <v>2.0908870614512E-2</v>
      </c>
      <c r="I1408" s="1248">
        <v>5.0500087325289298E-3</v>
      </c>
      <c r="J1408" s="1278">
        <v>1.0887919437153201E-3</v>
      </c>
      <c r="K1408" s="1248">
        <v>3.0000008610149001E-3</v>
      </c>
      <c r="L1408" s="1250">
        <v>2.00000057410986E-3</v>
      </c>
      <c r="M1408" s="1275">
        <v>2.00000057403829E-3</v>
      </c>
      <c r="N1408" s="1248">
        <v>3.1850009128239903E-2</v>
      </c>
      <c r="O1408" s="1249">
        <v>3.1850009128239903E-2</v>
      </c>
      <c r="P1408" s="1260">
        <v>1.59250045641199E-2</v>
      </c>
      <c r="Q1408" s="1252">
        <v>5.2783477183320198E-3</v>
      </c>
    </row>
    <row r="1409" spans="1:17" s="212" customFormat="1" ht="15.5" x14ac:dyDescent="0.35">
      <c r="A1409" s="198">
        <v>2038</v>
      </c>
      <c r="B1409" s="197" t="s">
        <v>5842</v>
      </c>
      <c r="C1409" s="197">
        <v>2039</v>
      </c>
      <c r="D1409" s="213" t="str">
        <f t="shared" si="16"/>
        <v>2038_2039</v>
      </c>
      <c r="E1409" s="1268">
        <v>5.6529557526829602E-2</v>
      </c>
      <c r="F1409" s="1279">
        <v>2.7351940098217101E-3</v>
      </c>
      <c r="G1409" s="1255">
        <v>0.113903739717836</v>
      </c>
      <c r="H1409" s="1279">
        <v>2.0908870614512E-2</v>
      </c>
      <c r="I1409" s="1255">
        <v>5.0500087325289298E-3</v>
      </c>
      <c r="J1409" s="1279">
        <v>1.0887919437153201E-3</v>
      </c>
      <c r="K1409" s="1255">
        <v>3.0000008610149001E-3</v>
      </c>
      <c r="L1409" s="1253">
        <v>2.00000057410986E-3</v>
      </c>
      <c r="M1409" s="1273">
        <v>2.00000057403829E-3</v>
      </c>
      <c r="N1409" s="1255">
        <v>3.1850009128239903E-2</v>
      </c>
      <c r="O1409" s="1256">
        <v>3.1850009128239903E-2</v>
      </c>
      <c r="P1409" s="1251">
        <v>1.59250045641199E-2</v>
      </c>
      <c r="Q1409" s="1254">
        <v>5.2783477183320198E-3</v>
      </c>
    </row>
    <row r="1410" spans="1:17" s="212" customFormat="1" ht="15.5" x14ac:dyDescent="0.35">
      <c r="A1410" s="198">
        <v>2039</v>
      </c>
      <c r="B1410" s="197" t="s">
        <v>5842</v>
      </c>
      <c r="C1410" s="197">
        <v>1971</v>
      </c>
      <c r="D1410" s="213" t="str">
        <f t="shared" si="16"/>
        <v>2039_1971</v>
      </c>
      <c r="E1410" s="1268">
        <v>0.367734398946576</v>
      </c>
      <c r="F1410" s="1279">
        <v>0.244058488203721</v>
      </c>
      <c r="G1410" s="1255">
        <v>9.3854963545538901</v>
      </c>
      <c r="H1410" s="1279">
        <v>1.6449395867576</v>
      </c>
      <c r="I1410" s="1255">
        <v>5.2655289876907201E-2</v>
      </c>
      <c r="J1410" s="1279">
        <v>4.8450843548107098E-3</v>
      </c>
      <c r="K1410" s="1255">
        <v>3.00000086126565E-3</v>
      </c>
      <c r="L1410" s="1253">
        <v>2.0000005741301601E-3</v>
      </c>
      <c r="M1410" s="1273">
        <v>2.0000005741301601E-3</v>
      </c>
      <c r="N1410" s="1255">
        <v>3.1850009128239903E-2</v>
      </c>
      <c r="O1410" s="1256">
        <v>3.1850009128239903E-2</v>
      </c>
      <c r="P1410" s="1251">
        <v>1.5925004564119952E-2</v>
      </c>
      <c r="Q1410" s="1254">
        <v>5.5036128430752597E-2</v>
      </c>
    </row>
    <row r="1411" spans="1:17" s="212" customFormat="1" ht="15.5" x14ac:dyDescent="0.35">
      <c r="A1411" s="198">
        <v>2039</v>
      </c>
      <c r="B1411" s="197" t="s">
        <v>5842</v>
      </c>
      <c r="C1411" s="197">
        <v>1972</v>
      </c>
      <c r="D1411" s="213" t="str">
        <f t="shared" si="16"/>
        <v>2039_1972</v>
      </c>
      <c r="E1411" s="1268">
        <v>0.367734398946576</v>
      </c>
      <c r="F1411" s="1279">
        <v>0.244058488203721</v>
      </c>
      <c r="G1411" s="1255">
        <v>9.3854963545538901</v>
      </c>
      <c r="H1411" s="1279">
        <v>1.6449395867576</v>
      </c>
      <c r="I1411" s="1255">
        <v>5.2655289876907201E-2</v>
      </c>
      <c r="J1411" s="1279">
        <v>4.8450843548107098E-3</v>
      </c>
      <c r="K1411" s="1255">
        <v>3.00000086126565E-3</v>
      </c>
      <c r="L1411" s="1253">
        <v>2.0000005741301601E-3</v>
      </c>
      <c r="M1411" s="1273">
        <v>2.0000005741301601E-3</v>
      </c>
      <c r="N1411" s="1255">
        <v>3.1850009128239903E-2</v>
      </c>
      <c r="O1411" s="1256">
        <v>3.1850009128239903E-2</v>
      </c>
      <c r="P1411" s="1251">
        <v>1.5925004564119952E-2</v>
      </c>
      <c r="Q1411" s="1254">
        <v>5.5036128430752597E-2</v>
      </c>
    </row>
    <row r="1412" spans="1:17" s="212" customFormat="1" ht="15.5" x14ac:dyDescent="0.35">
      <c r="A1412" s="198">
        <v>2039</v>
      </c>
      <c r="B1412" s="197" t="s">
        <v>5842</v>
      </c>
      <c r="C1412" s="197">
        <v>1973</v>
      </c>
      <c r="D1412" s="213" t="str">
        <f t="shared" si="16"/>
        <v>2039_1973</v>
      </c>
      <c r="E1412" s="1268">
        <v>0.367734398946576</v>
      </c>
      <c r="F1412" s="1279">
        <v>0.244058488203721</v>
      </c>
      <c r="G1412" s="1255">
        <v>9.3854963545538901</v>
      </c>
      <c r="H1412" s="1279">
        <v>1.6449395867576</v>
      </c>
      <c r="I1412" s="1255">
        <v>5.2655289876907201E-2</v>
      </c>
      <c r="J1412" s="1279">
        <v>4.8450843548107098E-3</v>
      </c>
      <c r="K1412" s="1255">
        <v>3.00000086126565E-3</v>
      </c>
      <c r="L1412" s="1253">
        <v>2.0000005741301601E-3</v>
      </c>
      <c r="M1412" s="1273">
        <v>2.0000005741301601E-3</v>
      </c>
      <c r="N1412" s="1255">
        <v>3.1850009128239903E-2</v>
      </c>
      <c r="O1412" s="1256">
        <v>3.1850009128239903E-2</v>
      </c>
      <c r="P1412" s="1251">
        <v>1.5925004564119952E-2</v>
      </c>
      <c r="Q1412" s="1254">
        <v>5.5036128430752597E-2</v>
      </c>
    </row>
    <row r="1413" spans="1:17" s="212" customFormat="1" ht="15.5" x14ac:dyDescent="0.35">
      <c r="A1413" s="198">
        <v>2039</v>
      </c>
      <c r="B1413" s="197" t="s">
        <v>5842</v>
      </c>
      <c r="C1413" s="197">
        <v>1974</v>
      </c>
      <c r="D1413" s="213" t="str">
        <f t="shared" si="16"/>
        <v>2039_1974</v>
      </c>
      <c r="E1413" s="1268">
        <v>0.367734398946576</v>
      </c>
      <c r="F1413" s="1279">
        <v>0.244058488203721</v>
      </c>
      <c r="G1413" s="1255">
        <v>9.3854963545538901</v>
      </c>
      <c r="H1413" s="1279">
        <v>1.6449395867576</v>
      </c>
      <c r="I1413" s="1255">
        <v>5.2655289876907201E-2</v>
      </c>
      <c r="J1413" s="1279">
        <v>4.8450843548107098E-3</v>
      </c>
      <c r="K1413" s="1255">
        <v>3.00000086126565E-3</v>
      </c>
      <c r="L1413" s="1253">
        <v>2.0000005741301601E-3</v>
      </c>
      <c r="M1413" s="1273">
        <v>2.0000005741301601E-3</v>
      </c>
      <c r="N1413" s="1255">
        <v>3.1850009128239903E-2</v>
      </c>
      <c r="O1413" s="1256">
        <v>3.1850009128239903E-2</v>
      </c>
      <c r="P1413" s="1251">
        <v>1.5925004564119952E-2</v>
      </c>
      <c r="Q1413" s="1254">
        <v>5.5036128430752597E-2</v>
      </c>
    </row>
    <row r="1414" spans="1:17" s="212" customFormat="1" ht="15.5" x14ac:dyDescent="0.35">
      <c r="A1414" s="198">
        <v>2039</v>
      </c>
      <c r="B1414" s="197" t="s">
        <v>5842</v>
      </c>
      <c r="C1414" s="197">
        <v>1975</v>
      </c>
      <c r="D1414" s="213" t="str">
        <f t="shared" si="16"/>
        <v>2039_1975</v>
      </c>
      <c r="E1414" s="1268">
        <v>0.367734398946576</v>
      </c>
      <c r="F1414" s="1279">
        <v>0.244058488203721</v>
      </c>
      <c r="G1414" s="1255">
        <v>9.3854963545538901</v>
      </c>
      <c r="H1414" s="1279">
        <v>1.6449395867576</v>
      </c>
      <c r="I1414" s="1255">
        <v>5.2655289876907201E-2</v>
      </c>
      <c r="J1414" s="1279">
        <v>4.8450843548107098E-3</v>
      </c>
      <c r="K1414" s="1255">
        <v>3.00000086126565E-3</v>
      </c>
      <c r="L1414" s="1253">
        <v>2.0000005741301601E-3</v>
      </c>
      <c r="M1414" s="1273">
        <v>2.0000005741301601E-3</v>
      </c>
      <c r="N1414" s="1255">
        <v>3.1850009128239903E-2</v>
      </c>
      <c r="O1414" s="1256">
        <v>3.1850009128239903E-2</v>
      </c>
      <c r="P1414" s="1251">
        <v>1.5925004564119952E-2</v>
      </c>
      <c r="Q1414" s="1254">
        <v>5.5036128430752597E-2</v>
      </c>
    </row>
    <row r="1415" spans="1:17" s="212" customFormat="1" ht="15.5" x14ac:dyDescent="0.35">
      <c r="A1415" s="198">
        <v>2039</v>
      </c>
      <c r="B1415" s="197" t="s">
        <v>5842</v>
      </c>
      <c r="C1415" s="197">
        <v>1976</v>
      </c>
      <c r="D1415" s="213" t="str">
        <f t="shared" si="16"/>
        <v>2039_1976</v>
      </c>
      <c r="E1415" s="1268">
        <v>0.367734398946576</v>
      </c>
      <c r="F1415" s="1279">
        <v>0.244058488203721</v>
      </c>
      <c r="G1415" s="1255">
        <v>9.3854963545538901</v>
      </c>
      <c r="H1415" s="1279">
        <v>1.6449395867576</v>
      </c>
      <c r="I1415" s="1255">
        <v>5.2655289876907201E-2</v>
      </c>
      <c r="J1415" s="1279">
        <v>4.8450843548107098E-3</v>
      </c>
      <c r="K1415" s="1255">
        <v>3.00000086126565E-3</v>
      </c>
      <c r="L1415" s="1253">
        <v>2.0000005741301601E-3</v>
      </c>
      <c r="M1415" s="1273">
        <v>2.0000005741301601E-3</v>
      </c>
      <c r="N1415" s="1255">
        <v>3.1850009128239903E-2</v>
      </c>
      <c r="O1415" s="1256">
        <v>3.1850009128239903E-2</v>
      </c>
      <c r="P1415" s="1251">
        <v>1.5925004564119952E-2</v>
      </c>
      <c r="Q1415" s="1254">
        <v>5.5036128430752597E-2</v>
      </c>
    </row>
    <row r="1416" spans="1:17" s="212" customFormat="1" ht="15.5" x14ac:dyDescent="0.35">
      <c r="A1416" s="198">
        <v>2039</v>
      </c>
      <c r="B1416" s="197" t="s">
        <v>5842</v>
      </c>
      <c r="C1416" s="197">
        <v>1977</v>
      </c>
      <c r="D1416" s="213" t="str">
        <f t="shared" si="16"/>
        <v>2039_1977</v>
      </c>
      <c r="E1416" s="1268">
        <v>0.367734398946576</v>
      </c>
      <c r="F1416" s="1279">
        <v>0.244058488203721</v>
      </c>
      <c r="G1416" s="1255">
        <v>9.3854963545538901</v>
      </c>
      <c r="H1416" s="1279">
        <v>1.6449395867576</v>
      </c>
      <c r="I1416" s="1255">
        <v>5.2655289876907201E-2</v>
      </c>
      <c r="J1416" s="1279">
        <v>4.8450843548107098E-3</v>
      </c>
      <c r="K1416" s="1255">
        <v>3.00000086126565E-3</v>
      </c>
      <c r="L1416" s="1253">
        <v>2.0000005741301601E-3</v>
      </c>
      <c r="M1416" s="1273">
        <v>2.0000005741301601E-3</v>
      </c>
      <c r="N1416" s="1255">
        <v>3.1850009128239903E-2</v>
      </c>
      <c r="O1416" s="1256">
        <v>3.1850009128239903E-2</v>
      </c>
      <c r="P1416" s="1251">
        <v>1.5925004564119952E-2</v>
      </c>
      <c r="Q1416" s="1254">
        <v>5.5036128430752597E-2</v>
      </c>
    </row>
    <row r="1417" spans="1:17" s="212" customFormat="1" ht="15.5" x14ac:dyDescent="0.35">
      <c r="A1417" s="198">
        <v>2039</v>
      </c>
      <c r="B1417" s="197" t="s">
        <v>5842</v>
      </c>
      <c r="C1417" s="197">
        <v>1978</v>
      </c>
      <c r="D1417" s="213" t="str">
        <f t="shared" si="16"/>
        <v>2039_1978</v>
      </c>
      <c r="E1417" s="1268">
        <v>0.367734398946576</v>
      </c>
      <c r="F1417" s="1279">
        <v>0.244058488203721</v>
      </c>
      <c r="G1417" s="1255">
        <v>9.3854963545538901</v>
      </c>
      <c r="H1417" s="1279">
        <v>1.6449395867576</v>
      </c>
      <c r="I1417" s="1255">
        <v>5.2655289876907201E-2</v>
      </c>
      <c r="J1417" s="1279">
        <v>4.8450843548107098E-3</v>
      </c>
      <c r="K1417" s="1255">
        <v>3.00000086126565E-3</v>
      </c>
      <c r="L1417" s="1253">
        <v>2.0000005741301601E-3</v>
      </c>
      <c r="M1417" s="1273">
        <v>2.0000005741301601E-3</v>
      </c>
      <c r="N1417" s="1255">
        <v>3.1850009128239903E-2</v>
      </c>
      <c r="O1417" s="1256">
        <v>3.1850009128239903E-2</v>
      </c>
      <c r="P1417" s="1251">
        <v>1.5925004564119952E-2</v>
      </c>
      <c r="Q1417" s="1254">
        <v>5.5036128430752597E-2</v>
      </c>
    </row>
    <row r="1418" spans="1:17" s="212" customFormat="1" ht="15.5" x14ac:dyDescent="0.35">
      <c r="A1418" s="198">
        <v>2039</v>
      </c>
      <c r="B1418" s="197" t="s">
        <v>5842</v>
      </c>
      <c r="C1418" s="197">
        <v>1979</v>
      </c>
      <c r="D1418" s="213" t="str">
        <f t="shared" si="16"/>
        <v>2039_1979</v>
      </c>
      <c r="E1418" s="1268">
        <v>0.367734398946576</v>
      </c>
      <c r="F1418" s="1279">
        <v>0.244058488203721</v>
      </c>
      <c r="G1418" s="1255">
        <v>9.3854963545538901</v>
      </c>
      <c r="H1418" s="1279">
        <v>1.6449395867576</v>
      </c>
      <c r="I1418" s="1255">
        <v>5.2655289876907201E-2</v>
      </c>
      <c r="J1418" s="1279">
        <v>4.8450843548107098E-3</v>
      </c>
      <c r="K1418" s="1255">
        <v>3.00000086126565E-3</v>
      </c>
      <c r="L1418" s="1253">
        <v>2.0000005741301601E-3</v>
      </c>
      <c r="M1418" s="1273">
        <v>2.0000005741301601E-3</v>
      </c>
      <c r="N1418" s="1255">
        <v>3.1850009128239903E-2</v>
      </c>
      <c r="O1418" s="1256">
        <v>3.1850009128239903E-2</v>
      </c>
      <c r="P1418" s="1251">
        <v>1.5925004564119952E-2</v>
      </c>
      <c r="Q1418" s="1254">
        <v>5.5036128430752597E-2</v>
      </c>
    </row>
    <row r="1419" spans="1:17" s="212" customFormat="1" ht="15.5" x14ac:dyDescent="0.35">
      <c r="A1419" s="198">
        <v>2039</v>
      </c>
      <c r="B1419" s="197" t="s">
        <v>5842</v>
      </c>
      <c r="C1419" s="197">
        <v>1980</v>
      </c>
      <c r="D1419" s="213" t="str">
        <f t="shared" si="16"/>
        <v>2039_1980</v>
      </c>
      <c r="E1419" s="1268">
        <v>0.367734398946576</v>
      </c>
      <c r="F1419" s="1279">
        <v>0.244058488203721</v>
      </c>
      <c r="G1419" s="1255">
        <v>9.3854963545538901</v>
      </c>
      <c r="H1419" s="1279">
        <v>1.6449395867576</v>
      </c>
      <c r="I1419" s="1255">
        <v>5.2655289876907201E-2</v>
      </c>
      <c r="J1419" s="1279">
        <v>4.8450843548107098E-3</v>
      </c>
      <c r="K1419" s="1255">
        <v>3.00000086126565E-3</v>
      </c>
      <c r="L1419" s="1253">
        <v>2.0000005741301601E-3</v>
      </c>
      <c r="M1419" s="1273">
        <v>2.0000005741301601E-3</v>
      </c>
      <c r="N1419" s="1255">
        <v>3.1850009128239903E-2</v>
      </c>
      <c r="O1419" s="1256">
        <v>3.1850009128239903E-2</v>
      </c>
      <c r="P1419" s="1251">
        <v>1.5925004564119952E-2</v>
      </c>
      <c r="Q1419" s="1254">
        <v>5.5036128430752597E-2</v>
      </c>
    </row>
    <row r="1420" spans="1:17" s="212" customFormat="1" ht="15.5" x14ac:dyDescent="0.35">
      <c r="A1420" s="198">
        <v>2039</v>
      </c>
      <c r="B1420" s="197" t="s">
        <v>5842</v>
      </c>
      <c r="C1420" s="197">
        <v>1981</v>
      </c>
      <c r="D1420" s="213" t="str">
        <f t="shared" si="16"/>
        <v>2039_1981</v>
      </c>
      <c r="E1420" s="1268">
        <v>0.367734398946576</v>
      </c>
      <c r="F1420" s="1279">
        <v>0.244058488203721</v>
      </c>
      <c r="G1420" s="1255">
        <v>9.3854963545538901</v>
      </c>
      <c r="H1420" s="1279">
        <v>1.6449395867576</v>
      </c>
      <c r="I1420" s="1255">
        <v>5.2655289876907201E-2</v>
      </c>
      <c r="J1420" s="1279">
        <v>4.8450843548107098E-3</v>
      </c>
      <c r="K1420" s="1255">
        <v>3.00000086126565E-3</v>
      </c>
      <c r="L1420" s="1253">
        <v>2.0000005741301601E-3</v>
      </c>
      <c r="M1420" s="1273">
        <v>2.0000005741301601E-3</v>
      </c>
      <c r="N1420" s="1255">
        <v>3.1850009128239903E-2</v>
      </c>
      <c r="O1420" s="1256">
        <v>3.1850009128239903E-2</v>
      </c>
      <c r="P1420" s="1251">
        <v>1.5925004564119952E-2</v>
      </c>
      <c r="Q1420" s="1254">
        <v>5.5036128430752597E-2</v>
      </c>
    </row>
    <row r="1421" spans="1:17" s="212" customFormat="1" ht="15.5" x14ac:dyDescent="0.35">
      <c r="A1421" s="198">
        <v>2039</v>
      </c>
      <c r="B1421" s="197" t="s">
        <v>5842</v>
      </c>
      <c r="C1421" s="197">
        <v>1982</v>
      </c>
      <c r="D1421" s="213" t="str">
        <f t="shared" ref="D1421:D1533" si="17">CONCATENATE(A1421,"_",C1421)</f>
        <v>2039_1982</v>
      </c>
      <c r="E1421" s="1268">
        <v>0.367734398946576</v>
      </c>
      <c r="F1421" s="1279">
        <v>0.244058488203721</v>
      </c>
      <c r="G1421" s="1255">
        <v>9.3854963545538901</v>
      </c>
      <c r="H1421" s="1279">
        <v>1.6449395867576</v>
      </c>
      <c r="I1421" s="1255">
        <v>5.2655289876907201E-2</v>
      </c>
      <c r="J1421" s="1279">
        <v>4.8450843548107098E-3</v>
      </c>
      <c r="K1421" s="1255">
        <v>3.00000086126565E-3</v>
      </c>
      <c r="L1421" s="1253">
        <v>2.0000005741301601E-3</v>
      </c>
      <c r="M1421" s="1273">
        <v>2.0000005741301601E-3</v>
      </c>
      <c r="N1421" s="1255">
        <v>3.1850009128239903E-2</v>
      </c>
      <c r="O1421" s="1256">
        <v>3.1850009128239903E-2</v>
      </c>
      <c r="P1421" s="1251">
        <v>1.5925004564119952E-2</v>
      </c>
      <c r="Q1421" s="1254">
        <v>5.5036128430752597E-2</v>
      </c>
    </row>
    <row r="1422" spans="1:17" s="212" customFormat="1" ht="15.5" x14ac:dyDescent="0.35">
      <c r="A1422" s="198">
        <v>2039</v>
      </c>
      <c r="B1422" s="197" t="s">
        <v>5842</v>
      </c>
      <c r="C1422" s="197">
        <v>1983</v>
      </c>
      <c r="D1422" s="213" t="str">
        <f t="shared" si="17"/>
        <v>2039_1983</v>
      </c>
      <c r="E1422" s="1268">
        <v>0.367734398946576</v>
      </c>
      <c r="F1422" s="1279">
        <v>0.244058488203721</v>
      </c>
      <c r="G1422" s="1255">
        <v>9.3854963545538901</v>
      </c>
      <c r="H1422" s="1279">
        <v>1.6449395867576</v>
      </c>
      <c r="I1422" s="1255">
        <v>5.2655289876907201E-2</v>
      </c>
      <c r="J1422" s="1279">
        <v>4.8450843548107098E-3</v>
      </c>
      <c r="K1422" s="1255">
        <v>3.00000086126565E-3</v>
      </c>
      <c r="L1422" s="1253">
        <v>2.0000005741301601E-3</v>
      </c>
      <c r="M1422" s="1273">
        <v>2.0000005741301601E-3</v>
      </c>
      <c r="N1422" s="1255">
        <v>3.1850009128239903E-2</v>
      </c>
      <c r="O1422" s="1256">
        <v>3.1850009128239903E-2</v>
      </c>
      <c r="P1422" s="1251">
        <v>1.5925004564119952E-2</v>
      </c>
      <c r="Q1422" s="1254">
        <v>5.5036128430752597E-2</v>
      </c>
    </row>
    <row r="1423" spans="1:17" s="212" customFormat="1" ht="15.5" x14ac:dyDescent="0.35">
      <c r="A1423" s="198">
        <v>2039</v>
      </c>
      <c r="B1423" s="197" t="s">
        <v>5842</v>
      </c>
      <c r="C1423" s="197">
        <v>1984</v>
      </c>
      <c r="D1423" s="213" t="str">
        <f t="shared" si="17"/>
        <v>2039_1984</v>
      </c>
      <c r="E1423" s="1268">
        <v>0.367734398946576</v>
      </c>
      <c r="F1423" s="1279">
        <v>0.244058488203721</v>
      </c>
      <c r="G1423" s="1255">
        <v>9.3854963545538901</v>
      </c>
      <c r="H1423" s="1279">
        <v>1.6449395867576</v>
      </c>
      <c r="I1423" s="1255">
        <v>5.2655289876907201E-2</v>
      </c>
      <c r="J1423" s="1279">
        <v>4.8450843548107098E-3</v>
      </c>
      <c r="K1423" s="1255">
        <v>3.00000086126565E-3</v>
      </c>
      <c r="L1423" s="1253">
        <v>2.0000005741301601E-3</v>
      </c>
      <c r="M1423" s="1273">
        <v>2.0000005741301601E-3</v>
      </c>
      <c r="N1423" s="1255">
        <v>3.1850009128239903E-2</v>
      </c>
      <c r="O1423" s="1256">
        <v>3.1850009128239903E-2</v>
      </c>
      <c r="P1423" s="1251">
        <v>1.5925004564119952E-2</v>
      </c>
      <c r="Q1423" s="1254">
        <v>5.5036128430752597E-2</v>
      </c>
    </row>
    <row r="1424" spans="1:17" s="212" customFormat="1" ht="15.5" x14ac:dyDescent="0.35">
      <c r="A1424" s="198">
        <v>2039</v>
      </c>
      <c r="B1424" s="197" t="s">
        <v>5842</v>
      </c>
      <c r="C1424" s="197">
        <v>1985</v>
      </c>
      <c r="D1424" s="213" t="str">
        <f t="shared" si="17"/>
        <v>2039_1985</v>
      </c>
      <c r="E1424" s="1268">
        <v>0.367734398946576</v>
      </c>
      <c r="F1424" s="1279">
        <v>0.244058488203721</v>
      </c>
      <c r="G1424" s="1255">
        <v>9.3854963545538901</v>
      </c>
      <c r="H1424" s="1279">
        <v>1.6449395867576</v>
      </c>
      <c r="I1424" s="1255">
        <v>5.2655289876907201E-2</v>
      </c>
      <c r="J1424" s="1279">
        <v>4.8450843548107098E-3</v>
      </c>
      <c r="K1424" s="1255">
        <v>3.00000086126565E-3</v>
      </c>
      <c r="L1424" s="1253">
        <v>2.0000005741301601E-3</v>
      </c>
      <c r="M1424" s="1273">
        <v>2.0000005741301601E-3</v>
      </c>
      <c r="N1424" s="1255">
        <v>3.1850009128239903E-2</v>
      </c>
      <c r="O1424" s="1256">
        <v>3.1850009128239903E-2</v>
      </c>
      <c r="P1424" s="1251">
        <v>1.5925004564119952E-2</v>
      </c>
      <c r="Q1424" s="1254">
        <v>5.5036128430752597E-2</v>
      </c>
    </row>
    <row r="1425" spans="1:17" s="212" customFormat="1" ht="15.5" x14ac:dyDescent="0.35">
      <c r="A1425" s="198">
        <v>2039</v>
      </c>
      <c r="B1425" s="197" t="s">
        <v>5842</v>
      </c>
      <c r="C1425" s="197">
        <v>1986</v>
      </c>
      <c r="D1425" s="213" t="str">
        <f t="shared" si="17"/>
        <v>2039_1986</v>
      </c>
      <c r="E1425" s="1268">
        <v>0.367734398946576</v>
      </c>
      <c r="F1425" s="1279">
        <v>0.244058488203721</v>
      </c>
      <c r="G1425" s="1255">
        <v>9.3854963545538901</v>
      </c>
      <c r="H1425" s="1279">
        <v>1.6449395867576</v>
      </c>
      <c r="I1425" s="1255">
        <v>5.2655289876907201E-2</v>
      </c>
      <c r="J1425" s="1279">
        <v>4.8450843548107098E-3</v>
      </c>
      <c r="K1425" s="1255">
        <v>3.00000086126565E-3</v>
      </c>
      <c r="L1425" s="1253">
        <v>2.0000005741301601E-3</v>
      </c>
      <c r="M1425" s="1273">
        <v>2.0000005741301601E-3</v>
      </c>
      <c r="N1425" s="1255">
        <v>3.1850009128239903E-2</v>
      </c>
      <c r="O1425" s="1256">
        <v>3.1850009128239903E-2</v>
      </c>
      <c r="P1425" s="1251">
        <v>1.5925004564119952E-2</v>
      </c>
      <c r="Q1425" s="1254">
        <v>5.5036128430752597E-2</v>
      </c>
    </row>
    <row r="1426" spans="1:17" s="212" customFormat="1" ht="15.5" x14ac:dyDescent="0.35">
      <c r="A1426" s="198">
        <v>2039</v>
      </c>
      <c r="B1426" s="197" t="s">
        <v>5842</v>
      </c>
      <c r="C1426" s="197">
        <v>1987</v>
      </c>
      <c r="D1426" s="213" t="str">
        <f t="shared" si="17"/>
        <v>2039_1987</v>
      </c>
      <c r="E1426" s="1268">
        <v>0.367734398946576</v>
      </c>
      <c r="F1426" s="1279">
        <v>0.244058488203721</v>
      </c>
      <c r="G1426" s="1255">
        <v>9.3854963545538901</v>
      </c>
      <c r="H1426" s="1279">
        <v>1.6449395867576</v>
      </c>
      <c r="I1426" s="1255">
        <v>5.2655289876907201E-2</v>
      </c>
      <c r="J1426" s="1279">
        <v>4.8450843548107098E-3</v>
      </c>
      <c r="K1426" s="1255">
        <v>3.00000086126565E-3</v>
      </c>
      <c r="L1426" s="1253">
        <v>2.0000005741301601E-3</v>
      </c>
      <c r="M1426" s="1273">
        <v>2.0000005741301601E-3</v>
      </c>
      <c r="N1426" s="1255">
        <v>3.1850009128239903E-2</v>
      </c>
      <c r="O1426" s="1256">
        <v>3.1850009128239903E-2</v>
      </c>
      <c r="P1426" s="1251">
        <v>1.5925004564119952E-2</v>
      </c>
      <c r="Q1426" s="1254">
        <v>5.5036128430752597E-2</v>
      </c>
    </row>
    <row r="1427" spans="1:17" s="212" customFormat="1" ht="15.5" x14ac:dyDescent="0.35">
      <c r="A1427" s="198">
        <v>2039</v>
      </c>
      <c r="B1427" s="197" t="s">
        <v>5842</v>
      </c>
      <c r="C1427" s="197">
        <v>1988</v>
      </c>
      <c r="D1427" s="213" t="str">
        <f t="shared" si="17"/>
        <v>2039_1988</v>
      </c>
      <c r="E1427" s="1268">
        <v>0.367734398946576</v>
      </c>
      <c r="F1427" s="1279">
        <v>0.244058488203721</v>
      </c>
      <c r="G1427" s="1255">
        <v>9.3854963545538901</v>
      </c>
      <c r="H1427" s="1279">
        <v>1.6449395867576</v>
      </c>
      <c r="I1427" s="1255">
        <v>5.2655289876907201E-2</v>
      </c>
      <c r="J1427" s="1279">
        <v>4.8450843548107098E-3</v>
      </c>
      <c r="K1427" s="1255">
        <v>3.00000086126565E-3</v>
      </c>
      <c r="L1427" s="1253">
        <v>2.0000005741301601E-3</v>
      </c>
      <c r="M1427" s="1273">
        <v>2.0000005741301601E-3</v>
      </c>
      <c r="N1427" s="1255">
        <v>3.1850009128239903E-2</v>
      </c>
      <c r="O1427" s="1256">
        <v>3.1850009128239903E-2</v>
      </c>
      <c r="P1427" s="1251">
        <v>1.5925004564119952E-2</v>
      </c>
      <c r="Q1427" s="1254">
        <v>5.5036128430752597E-2</v>
      </c>
    </row>
    <row r="1428" spans="1:17" s="212" customFormat="1" ht="15.5" x14ac:dyDescent="0.35">
      <c r="A1428" s="198">
        <v>2039</v>
      </c>
      <c r="B1428" s="197" t="s">
        <v>5842</v>
      </c>
      <c r="C1428" s="197">
        <v>1989</v>
      </c>
      <c r="D1428" s="213" t="str">
        <f t="shared" si="17"/>
        <v>2039_1989</v>
      </c>
      <c r="E1428" s="1268">
        <v>0.367734398946576</v>
      </c>
      <c r="F1428" s="1279">
        <v>0.244058488203721</v>
      </c>
      <c r="G1428" s="1255">
        <v>9.3854963545538901</v>
      </c>
      <c r="H1428" s="1279">
        <v>1.6449395867576</v>
      </c>
      <c r="I1428" s="1255">
        <v>5.2655289876907201E-2</v>
      </c>
      <c r="J1428" s="1279">
        <v>4.8450843548107098E-3</v>
      </c>
      <c r="K1428" s="1255">
        <v>3.00000086126565E-3</v>
      </c>
      <c r="L1428" s="1253">
        <v>2.0000005741301601E-3</v>
      </c>
      <c r="M1428" s="1273">
        <v>2.0000005741301601E-3</v>
      </c>
      <c r="N1428" s="1255">
        <v>3.1850009128239903E-2</v>
      </c>
      <c r="O1428" s="1256">
        <v>3.1850009128239903E-2</v>
      </c>
      <c r="P1428" s="1251">
        <v>1.5925004564119952E-2</v>
      </c>
      <c r="Q1428" s="1254">
        <v>5.5036128430752597E-2</v>
      </c>
    </row>
    <row r="1429" spans="1:17" s="212" customFormat="1" ht="15.5" x14ac:dyDescent="0.35">
      <c r="A1429" s="198">
        <v>2039</v>
      </c>
      <c r="B1429" s="197" t="s">
        <v>5842</v>
      </c>
      <c r="C1429" s="197">
        <v>1990</v>
      </c>
      <c r="D1429" s="213" t="str">
        <f t="shared" si="17"/>
        <v>2039_1990</v>
      </c>
      <c r="E1429" s="1268">
        <v>0.367734398946576</v>
      </c>
      <c r="F1429" s="1279">
        <v>0.244058488203721</v>
      </c>
      <c r="G1429" s="1255">
        <v>9.3854963545538901</v>
      </c>
      <c r="H1429" s="1279">
        <v>1.6449395867576</v>
      </c>
      <c r="I1429" s="1255">
        <v>5.2655289876907201E-2</v>
      </c>
      <c r="J1429" s="1279">
        <v>4.8450843548107098E-3</v>
      </c>
      <c r="K1429" s="1255">
        <v>3.00000086126565E-3</v>
      </c>
      <c r="L1429" s="1253">
        <v>2.0000005741301601E-3</v>
      </c>
      <c r="M1429" s="1273">
        <v>2.0000005741301601E-3</v>
      </c>
      <c r="N1429" s="1255">
        <v>3.1850009128239903E-2</v>
      </c>
      <c r="O1429" s="1256">
        <v>3.1850009128239903E-2</v>
      </c>
      <c r="P1429" s="1251">
        <v>1.5925004564119952E-2</v>
      </c>
      <c r="Q1429" s="1254">
        <v>5.5036128430752597E-2</v>
      </c>
    </row>
    <row r="1430" spans="1:17" s="212" customFormat="1" ht="15.5" x14ac:dyDescent="0.35">
      <c r="A1430" s="198">
        <v>2039</v>
      </c>
      <c r="B1430" s="197" t="s">
        <v>5842</v>
      </c>
      <c r="C1430" s="197">
        <v>1991</v>
      </c>
      <c r="D1430" s="213" t="str">
        <f t="shared" si="17"/>
        <v>2039_1991</v>
      </c>
      <c r="E1430" s="1268">
        <v>0.367734398946576</v>
      </c>
      <c r="F1430" s="1279">
        <v>0.244058488203721</v>
      </c>
      <c r="G1430" s="1255">
        <v>9.3854963545538901</v>
      </c>
      <c r="H1430" s="1279">
        <v>1.6449395867576</v>
      </c>
      <c r="I1430" s="1255">
        <v>5.2655289876907201E-2</v>
      </c>
      <c r="J1430" s="1279">
        <v>4.8450843548107098E-3</v>
      </c>
      <c r="K1430" s="1255">
        <v>3.00000086126565E-3</v>
      </c>
      <c r="L1430" s="1253">
        <v>2.0000005741301601E-3</v>
      </c>
      <c r="M1430" s="1273">
        <v>2.0000005741301601E-3</v>
      </c>
      <c r="N1430" s="1255">
        <v>3.1850009128239903E-2</v>
      </c>
      <c r="O1430" s="1256">
        <v>3.1850009128239903E-2</v>
      </c>
      <c r="P1430" s="1251">
        <v>1.5925004564119952E-2</v>
      </c>
      <c r="Q1430" s="1254">
        <v>5.5036128430752597E-2</v>
      </c>
    </row>
    <row r="1431" spans="1:17" s="212" customFormat="1" ht="15.5" x14ac:dyDescent="0.35">
      <c r="A1431" s="198">
        <v>2039</v>
      </c>
      <c r="B1431" s="197" t="s">
        <v>5842</v>
      </c>
      <c r="C1431" s="197">
        <v>1992</v>
      </c>
      <c r="D1431" s="213" t="str">
        <f t="shared" si="17"/>
        <v>2039_1992</v>
      </c>
      <c r="E1431" s="1268">
        <v>0.367734398946576</v>
      </c>
      <c r="F1431" s="1279">
        <v>0.244058488203721</v>
      </c>
      <c r="G1431" s="1255">
        <v>9.3854963545538901</v>
      </c>
      <c r="H1431" s="1279">
        <v>1.6449395867576</v>
      </c>
      <c r="I1431" s="1255">
        <v>5.2655289876907201E-2</v>
      </c>
      <c r="J1431" s="1279">
        <v>4.8450843548107098E-3</v>
      </c>
      <c r="K1431" s="1255">
        <v>3.00000086126565E-3</v>
      </c>
      <c r="L1431" s="1253">
        <v>2.0000005741301601E-3</v>
      </c>
      <c r="M1431" s="1273">
        <v>2.0000005741301601E-3</v>
      </c>
      <c r="N1431" s="1255">
        <v>3.1850009128239903E-2</v>
      </c>
      <c r="O1431" s="1256">
        <v>3.1850009128239903E-2</v>
      </c>
      <c r="P1431" s="1251">
        <v>1.5925004564119952E-2</v>
      </c>
      <c r="Q1431" s="1254">
        <v>5.5036128430752597E-2</v>
      </c>
    </row>
    <row r="1432" spans="1:17" s="212" customFormat="1" ht="15.5" x14ac:dyDescent="0.35">
      <c r="A1432" s="198">
        <v>2039</v>
      </c>
      <c r="B1432" s="197" t="s">
        <v>5842</v>
      </c>
      <c r="C1432" s="197">
        <v>1993</v>
      </c>
      <c r="D1432" s="213" t="str">
        <f t="shared" si="17"/>
        <v>2039_1993</v>
      </c>
      <c r="E1432" s="1268">
        <v>0.367734398946576</v>
      </c>
      <c r="F1432" s="1279">
        <v>0.244058488203721</v>
      </c>
      <c r="G1432" s="1255">
        <v>9.3854963545538901</v>
      </c>
      <c r="H1432" s="1279">
        <v>1.6449395867576</v>
      </c>
      <c r="I1432" s="1255">
        <v>5.2655289876907201E-2</v>
      </c>
      <c r="J1432" s="1279">
        <v>4.8450843548107098E-3</v>
      </c>
      <c r="K1432" s="1255">
        <v>3.00000086126565E-3</v>
      </c>
      <c r="L1432" s="1253">
        <v>2.0000005741301601E-3</v>
      </c>
      <c r="M1432" s="1273">
        <v>2.0000005741301601E-3</v>
      </c>
      <c r="N1432" s="1255">
        <v>3.1850009128239903E-2</v>
      </c>
      <c r="O1432" s="1256">
        <v>3.1850009128239903E-2</v>
      </c>
      <c r="P1432" s="1251">
        <v>1.5925004564119952E-2</v>
      </c>
      <c r="Q1432" s="1254">
        <v>5.5036128430752597E-2</v>
      </c>
    </row>
    <row r="1433" spans="1:17" s="212" customFormat="1" ht="15.5" x14ac:dyDescent="0.35">
      <c r="A1433" s="198">
        <v>2039</v>
      </c>
      <c r="B1433" s="197" t="s">
        <v>5842</v>
      </c>
      <c r="C1433" s="197">
        <v>1994</v>
      </c>
      <c r="D1433" s="213" t="str">
        <f t="shared" si="17"/>
        <v>2039_1994</v>
      </c>
      <c r="E1433" s="1268">
        <v>0.367734398946576</v>
      </c>
      <c r="F1433" s="1279">
        <v>0.244058488203721</v>
      </c>
      <c r="G1433" s="1255">
        <v>9.3854963545538901</v>
      </c>
      <c r="H1433" s="1279">
        <v>1.6449395867576</v>
      </c>
      <c r="I1433" s="1255">
        <v>5.2655289876907201E-2</v>
      </c>
      <c r="J1433" s="1279">
        <v>4.8450843548107098E-3</v>
      </c>
      <c r="K1433" s="1255">
        <v>3.00000086126565E-3</v>
      </c>
      <c r="L1433" s="1253">
        <v>2.0000005741301601E-3</v>
      </c>
      <c r="M1433" s="1273">
        <v>2.0000005741301601E-3</v>
      </c>
      <c r="N1433" s="1255">
        <v>3.1850009128239903E-2</v>
      </c>
      <c r="O1433" s="1256">
        <v>3.1850009128239903E-2</v>
      </c>
      <c r="P1433" s="1251">
        <v>1.5925004564119952E-2</v>
      </c>
      <c r="Q1433" s="1254">
        <v>5.5036128430752597E-2</v>
      </c>
    </row>
    <row r="1434" spans="1:17" s="212" customFormat="1" ht="15.5" x14ac:dyDescent="0.35">
      <c r="A1434" s="198">
        <v>2039</v>
      </c>
      <c r="B1434" s="197" t="s">
        <v>5842</v>
      </c>
      <c r="C1434" s="197">
        <v>1995</v>
      </c>
      <c r="D1434" s="213" t="str">
        <f t="shared" si="17"/>
        <v>2039_1995</v>
      </c>
      <c r="E1434" s="1267">
        <v>0.367734398946576</v>
      </c>
      <c r="F1434" s="1278">
        <v>0.244058488203721</v>
      </c>
      <c r="G1434" s="1248">
        <v>9.3854963545538901</v>
      </c>
      <c r="H1434" s="1278">
        <v>1.6449395867576</v>
      </c>
      <c r="I1434" s="1248">
        <v>5.2655289876907201E-2</v>
      </c>
      <c r="J1434" s="1278">
        <v>4.8450843548107098E-3</v>
      </c>
      <c r="K1434" s="1248">
        <v>3.00000086126565E-3</v>
      </c>
      <c r="L1434" s="1250">
        <v>2.0000005741301601E-3</v>
      </c>
      <c r="M1434" s="1273">
        <v>2.0000005741301601E-3</v>
      </c>
      <c r="N1434" s="1248">
        <v>3.1850009128239903E-2</v>
      </c>
      <c r="O1434" s="1249">
        <v>3.1850009128239903E-2</v>
      </c>
      <c r="P1434" s="1251">
        <v>1.5925004564119952E-2</v>
      </c>
      <c r="Q1434" s="1252">
        <v>5.5036128430752597E-2</v>
      </c>
    </row>
    <row r="1435" spans="1:17" s="212" customFormat="1" ht="15.5" x14ac:dyDescent="0.35">
      <c r="A1435" s="198">
        <v>2039</v>
      </c>
      <c r="B1435" s="197" t="s">
        <v>5842</v>
      </c>
      <c r="C1435" s="197">
        <v>1996</v>
      </c>
      <c r="D1435" s="213" t="str">
        <f t="shared" si="17"/>
        <v>2039_1996</v>
      </c>
      <c r="E1435" s="1267">
        <v>0.36912112994896901</v>
      </c>
      <c r="F1435" s="1278">
        <v>2.2359221414096499E-2</v>
      </c>
      <c r="G1435" s="1248">
        <v>9.3607490264480493</v>
      </c>
      <c r="H1435" s="1278">
        <v>0.39300657307725001</v>
      </c>
      <c r="I1435" s="1248">
        <v>5.2853853631403602E-2</v>
      </c>
      <c r="J1435" s="1278">
        <v>2.17969679705729E-3</v>
      </c>
      <c r="K1435" s="1248">
        <v>3.0000008612987598E-3</v>
      </c>
      <c r="L1435" s="1250">
        <v>2.00000057414647E-3</v>
      </c>
      <c r="M1435" s="1273">
        <v>2.00000057414647E-3</v>
      </c>
      <c r="N1435" s="1248">
        <v>3.1850009128239903E-2</v>
      </c>
      <c r="O1435" s="1249">
        <v>3.1850009128239903E-2</v>
      </c>
      <c r="P1435" s="1251">
        <v>1.5925004564119952E-2</v>
      </c>
      <c r="Q1435" s="1252">
        <v>5.5243670357113701E-2</v>
      </c>
    </row>
    <row r="1436" spans="1:17" s="212" customFormat="1" ht="15.5" x14ac:dyDescent="0.35">
      <c r="A1436" s="198">
        <v>2039</v>
      </c>
      <c r="B1436" s="197" t="s">
        <v>5842</v>
      </c>
      <c r="C1436" s="197">
        <v>1997</v>
      </c>
      <c r="D1436" s="213" t="str">
        <f t="shared" si="17"/>
        <v>2039_1997</v>
      </c>
      <c r="E1436" s="1267">
        <v>0.37099716513216502</v>
      </c>
      <c r="F1436" s="1278">
        <v>2.1459245616659801E-2</v>
      </c>
      <c r="G1436" s="1248">
        <v>9.3176669349092691</v>
      </c>
      <c r="H1436" s="1278">
        <v>0.387487960534313</v>
      </c>
      <c r="I1436" s="1248">
        <v>5.3122480054913199E-2</v>
      </c>
      <c r="J1436" s="1278">
        <v>2.0959782207706102E-3</v>
      </c>
      <c r="K1436" s="1248">
        <v>3.0000008612999399E-3</v>
      </c>
      <c r="L1436" s="1250">
        <v>2.0000005740630098E-3</v>
      </c>
      <c r="M1436" s="1273">
        <v>2.0000005740630098E-3</v>
      </c>
      <c r="N1436" s="1248">
        <v>3.1850009128239903E-2</v>
      </c>
      <c r="O1436" s="1249">
        <v>3.1850009128239903E-2</v>
      </c>
      <c r="P1436" s="1251">
        <v>1.5925004564119952E-2</v>
      </c>
      <c r="Q1436" s="1252">
        <v>5.5524442875482298E-2</v>
      </c>
    </row>
    <row r="1437" spans="1:17" s="212" customFormat="1" ht="15.5" x14ac:dyDescent="0.35">
      <c r="A1437" s="198">
        <v>2039</v>
      </c>
      <c r="B1437" s="197" t="s">
        <v>5842</v>
      </c>
      <c r="C1437" s="197">
        <v>1998</v>
      </c>
      <c r="D1437" s="213" t="str">
        <f t="shared" si="17"/>
        <v>2039_1998</v>
      </c>
      <c r="E1437" s="1267">
        <v>0.37241447688257301</v>
      </c>
      <c r="F1437" s="1278">
        <v>2.17481046110472E-2</v>
      </c>
      <c r="G1437" s="1248">
        <v>9.3019908755246998</v>
      </c>
      <c r="H1437" s="1278">
        <v>0.38953286162267198</v>
      </c>
      <c r="I1437" s="1248">
        <v>5.3325422616929297E-2</v>
      </c>
      <c r="J1437" s="1278">
        <v>2.12705111345081E-3</v>
      </c>
      <c r="K1437" s="1248">
        <v>3.0000008613802402E-3</v>
      </c>
      <c r="L1437" s="1250">
        <v>2.0000005741044498E-3</v>
      </c>
      <c r="M1437" s="1273">
        <v>2.0000005741044498E-3</v>
      </c>
      <c r="N1437" s="1248">
        <v>3.1850009128239903E-2</v>
      </c>
      <c r="O1437" s="1249">
        <v>3.1850009128239903E-2</v>
      </c>
      <c r="P1437" s="1251">
        <v>1.5925004564119952E-2</v>
      </c>
      <c r="Q1437" s="1252">
        <v>5.5736561599608603E-2</v>
      </c>
    </row>
    <row r="1438" spans="1:17" s="212" customFormat="1" ht="15.5" x14ac:dyDescent="0.35">
      <c r="A1438" s="198">
        <v>2039</v>
      </c>
      <c r="B1438" s="197" t="s">
        <v>5842</v>
      </c>
      <c r="C1438" s="197">
        <v>1999</v>
      </c>
      <c r="D1438" s="213" t="str">
        <f t="shared" si="17"/>
        <v>2039_1999</v>
      </c>
      <c r="E1438" s="1267">
        <v>0.37048344761082602</v>
      </c>
      <c r="F1438" s="1278">
        <v>2.1799112338980998E-2</v>
      </c>
      <c r="G1438" s="1248">
        <v>9.3351485875640599</v>
      </c>
      <c r="H1438" s="1278">
        <v>0.38984522133426902</v>
      </c>
      <c r="I1438" s="1248">
        <v>5.3048921679416002E-2</v>
      </c>
      <c r="J1438" s="1278">
        <v>2.1273366238238802E-3</v>
      </c>
      <c r="K1438" s="1248">
        <v>3.0000008613455102E-3</v>
      </c>
      <c r="L1438" s="1250">
        <v>2.00000057411975E-3</v>
      </c>
      <c r="M1438" s="1273">
        <v>2.00000057411975E-3</v>
      </c>
      <c r="N1438" s="1248">
        <v>3.1850009128239903E-2</v>
      </c>
      <c r="O1438" s="1249">
        <v>3.1850009128239903E-2</v>
      </c>
      <c r="P1438" s="1251">
        <v>1.5925004564119952E-2</v>
      </c>
      <c r="Q1438" s="1252">
        <v>5.5447558516655601E-2</v>
      </c>
    </row>
    <row r="1439" spans="1:17" s="212" customFormat="1" ht="15.5" x14ac:dyDescent="0.35">
      <c r="A1439" s="198">
        <v>2039</v>
      </c>
      <c r="B1439" s="197" t="s">
        <v>5842</v>
      </c>
      <c r="C1439" s="197">
        <v>2000</v>
      </c>
      <c r="D1439" s="213" t="str">
        <f t="shared" si="17"/>
        <v>2039_2000</v>
      </c>
      <c r="E1439" s="1267">
        <v>0.36669361590663502</v>
      </c>
      <c r="F1439" s="1278">
        <v>2.2098854599767001E-2</v>
      </c>
      <c r="G1439" s="1248">
        <v>9.4127273074060192</v>
      </c>
      <c r="H1439" s="1278">
        <v>0.392434225066985</v>
      </c>
      <c r="I1439" s="1248">
        <v>5.2506261847916597E-2</v>
      </c>
      <c r="J1439" s="1278">
        <v>2.1598611448072299E-3</v>
      </c>
      <c r="K1439" s="1248">
        <v>3.00000086126341E-3</v>
      </c>
      <c r="L1439" s="1250">
        <v>2.0000005741586599E-3</v>
      </c>
      <c r="M1439" s="1273">
        <v>2.0000005741586599E-3</v>
      </c>
      <c r="N1439" s="1248">
        <v>3.1850009128239903E-2</v>
      </c>
      <c r="O1439" s="1249">
        <v>3.1850009128239903E-2</v>
      </c>
      <c r="P1439" s="1251">
        <v>1.5925004564119952E-2</v>
      </c>
      <c r="Q1439" s="1252">
        <v>5.4880362015593202E-2</v>
      </c>
    </row>
    <row r="1440" spans="1:17" s="212" customFormat="1" ht="15.5" x14ac:dyDescent="0.35">
      <c r="A1440" s="198">
        <v>2039</v>
      </c>
      <c r="B1440" s="197" t="s">
        <v>5842</v>
      </c>
      <c r="C1440" s="197">
        <v>2001</v>
      </c>
      <c r="D1440" s="213" t="str">
        <f t="shared" si="17"/>
        <v>2039_2001</v>
      </c>
      <c r="E1440" s="1267">
        <v>0.37012944747172599</v>
      </c>
      <c r="F1440" s="1278">
        <v>2.2185212973870098E-2</v>
      </c>
      <c r="G1440" s="1248">
        <v>9.3398233775237198</v>
      </c>
      <c r="H1440" s="1278">
        <v>0.39371574497098599</v>
      </c>
      <c r="I1440" s="1248">
        <v>5.2998232975845799E-2</v>
      </c>
      <c r="J1440" s="1278">
        <v>2.1708787704648098E-3</v>
      </c>
      <c r="K1440" s="1248">
        <v>3.0000008613440799E-3</v>
      </c>
      <c r="L1440" s="1250">
        <v>2.0000005741879702E-3</v>
      </c>
      <c r="M1440" s="1273">
        <v>2.0000005741879702E-3</v>
      </c>
      <c r="N1440" s="1248">
        <v>3.1850009128239903E-2</v>
      </c>
      <c r="O1440" s="1249">
        <v>3.1850009128239903E-2</v>
      </c>
      <c r="P1440" s="1251">
        <v>1.5925004564119952E-2</v>
      </c>
      <c r="Q1440" s="1252">
        <v>5.5394577894837801E-2</v>
      </c>
    </row>
    <row r="1441" spans="1:17" s="212" customFormat="1" ht="15.5" x14ac:dyDescent="0.35">
      <c r="A1441" s="198">
        <v>2039</v>
      </c>
      <c r="B1441" s="197" t="s">
        <v>5842</v>
      </c>
      <c r="C1441" s="197">
        <v>2002</v>
      </c>
      <c r="D1441" s="213" t="str">
        <f t="shared" si="17"/>
        <v>2039_2002</v>
      </c>
      <c r="E1441" s="1267">
        <v>0.28698008652927598</v>
      </c>
      <c r="F1441" s="1278">
        <v>2.2121999396122801E-2</v>
      </c>
      <c r="G1441" s="1248">
        <v>7.1985509796386404</v>
      </c>
      <c r="H1441" s="1278">
        <v>0.31737035484793702</v>
      </c>
      <c r="I1441" s="1248">
        <v>5.3492487794977499E-2</v>
      </c>
      <c r="J1441" s="1278">
        <v>2.16870327776616E-3</v>
      </c>
      <c r="K1441" s="1248">
        <v>3.0000008613575999E-3</v>
      </c>
      <c r="L1441" s="1250">
        <v>2.0000005741632599E-3</v>
      </c>
      <c r="M1441" s="1273">
        <v>2.0000005741632599E-3</v>
      </c>
      <c r="N1441" s="1248">
        <v>3.1850009128239903E-2</v>
      </c>
      <c r="O1441" s="1249">
        <v>3.1850009128239903E-2</v>
      </c>
      <c r="P1441" s="1251">
        <v>1.5925004564119952E-2</v>
      </c>
      <c r="Q1441" s="1252">
        <v>5.5911180723667402E-2</v>
      </c>
    </row>
    <row r="1442" spans="1:17" s="212" customFormat="1" ht="15.5" x14ac:dyDescent="0.35">
      <c r="A1442" s="198">
        <v>2039</v>
      </c>
      <c r="B1442" s="197" t="s">
        <v>5842</v>
      </c>
      <c r="C1442" s="197">
        <v>2003</v>
      </c>
      <c r="D1442" s="213" t="str">
        <f t="shared" si="17"/>
        <v>2039_2003</v>
      </c>
      <c r="E1442" s="1267">
        <v>0.28444812366022598</v>
      </c>
      <c r="F1442" s="1278">
        <v>2.18081365831269E-2</v>
      </c>
      <c r="G1442" s="1248">
        <v>7.2422486579416301</v>
      </c>
      <c r="H1442" s="1278">
        <v>0.31664629114626103</v>
      </c>
      <c r="I1442" s="1248">
        <v>5.3020535212803602E-2</v>
      </c>
      <c r="J1442" s="1278">
        <v>2.1369041689798698E-3</v>
      </c>
      <c r="K1442" s="1248">
        <v>3.0000008612828801E-3</v>
      </c>
      <c r="L1442" s="1250">
        <v>2.0000005741487802E-3</v>
      </c>
      <c r="M1442" s="1273">
        <v>2.0000005741487802E-3</v>
      </c>
      <c r="N1442" s="1248">
        <v>3.1850009128239903E-2</v>
      </c>
      <c r="O1442" s="1249">
        <v>3.1850009128239903E-2</v>
      </c>
      <c r="P1442" s="1251">
        <v>1.5925004564119952E-2</v>
      </c>
      <c r="Q1442" s="1252">
        <v>5.5417888539986103E-2</v>
      </c>
    </row>
    <row r="1443" spans="1:17" s="212" customFormat="1" ht="15.5" x14ac:dyDescent="0.35">
      <c r="A1443" s="198">
        <v>2039</v>
      </c>
      <c r="B1443" s="197" t="s">
        <v>5842</v>
      </c>
      <c r="C1443" s="197">
        <v>2004</v>
      </c>
      <c r="D1443" s="213" t="str">
        <f t="shared" si="17"/>
        <v>2039_2004</v>
      </c>
      <c r="E1443" s="1267">
        <v>0.57566508999014998</v>
      </c>
      <c r="F1443" s="1278">
        <v>1.4273291293276201E-2</v>
      </c>
      <c r="G1443" s="1248">
        <v>4.14109195990976</v>
      </c>
      <c r="H1443" s="1278">
        <v>0.267749859656917</v>
      </c>
      <c r="I1443" s="1248">
        <v>0.14997539037934399</v>
      </c>
      <c r="J1443" s="1278">
        <v>1.3891684229356199E-4</v>
      </c>
      <c r="K1443" s="1248">
        <v>3.0000008612771E-3</v>
      </c>
      <c r="L1443" s="1250">
        <v>2.0000005740834202E-3</v>
      </c>
      <c r="M1443" s="1273">
        <v>2.0000005740834202E-3</v>
      </c>
      <c r="N1443" s="1248">
        <v>3.1850009128239903E-2</v>
      </c>
      <c r="O1443" s="1249">
        <v>3.1850009128239903E-2</v>
      </c>
      <c r="P1443" s="1251">
        <v>1.5925004564119952E-2</v>
      </c>
      <c r="Q1443" s="1252">
        <v>0.15675661202635899</v>
      </c>
    </row>
    <row r="1444" spans="1:17" s="212" customFormat="1" ht="15.5" x14ac:dyDescent="0.35">
      <c r="A1444" s="198">
        <v>2039</v>
      </c>
      <c r="B1444" s="197" t="s">
        <v>5842</v>
      </c>
      <c r="C1444" s="197">
        <v>2005</v>
      </c>
      <c r="D1444" s="213" t="str">
        <f t="shared" si="17"/>
        <v>2039_2005</v>
      </c>
      <c r="E1444" s="1267">
        <v>0.57338697013428896</v>
      </c>
      <c r="F1444" s="1278">
        <v>1.44159340851056E-2</v>
      </c>
      <c r="G1444" s="1248">
        <v>4.1338209591983697</v>
      </c>
      <c r="H1444" s="1278">
        <v>0.26978841540263199</v>
      </c>
      <c r="I1444" s="1248">
        <v>0.14947631329380101</v>
      </c>
      <c r="J1444" s="1278">
        <v>1.40862049461618E-4</v>
      </c>
      <c r="K1444" s="1248">
        <v>3.0000008612534098E-3</v>
      </c>
      <c r="L1444" s="1250">
        <v>2.0000005741218499E-3</v>
      </c>
      <c r="M1444" s="1273">
        <v>2.0000005741218499E-3</v>
      </c>
      <c r="N1444" s="1248">
        <v>3.1850009128239903E-2</v>
      </c>
      <c r="O1444" s="1249">
        <v>3.1850009128239903E-2</v>
      </c>
      <c r="P1444" s="1251">
        <v>1.5925004564119952E-2</v>
      </c>
      <c r="Q1444" s="1252">
        <v>0.15623496888963001</v>
      </c>
    </row>
    <row r="1445" spans="1:17" s="212" customFormat="1" ht="15.5" x14ac:dyDescent="0.35">
      <c r="A1445" s="198">
        <v>2039</v>
      </c>
      <c r="B1445" s="197" t="s">
        <v>5842</v>
      </c>
      <c r="C1445" s="197">
        <v>2006</v>
      </c>
      <c r="D1445" s="213" t="str">
        <f t="shared" si="17"/>
        <v>2039_2006</v>
      </c>
      <c r="E1445" s="1267">
        <v>0.56964343441586196</v>
      </c>
      <c r="F1445" s="1278">
        <v>1.45792797608401E-2</v>
      </c>
      <c r="G1445" s="1248">
        <v>4.1209054316728801</v>
      </c>
      <c r="H1445" s="1278">
        <v>0.27184389454631402</v>
      </c>
      <c r="I1445" s="1248">
        <v>0.148632641853156</v>
      </c>
      <c r="J1445" s="1278">
        <v>1.4185867741525399E-4</v>
      </c>
      <c r="K1445" s="1248">
        <v>3.0000008612400498E-3</v>
      </c>
      <c r="L1445" s="1250">
        <v>2.0000005741370301E-3</v>
      </c>
      <c r="M1445" s="1273">
        <v>2.0000005741370301E-3</v>
      </c>
      <c r="N1445" s="1248">
        <v>3.1850009128239903E-2</v>
      </c>
      <c r="O1445" s="1249">
        <v>3.1850009128239903E-2</v>
      </c>
      <c r="P1445" s="1251">
        <v>1.5925004564119952E-2</v>
      </c>
      <c r="Q1445" s="1252">
        <v>0.155353150370176</v>
      </c>
    </row>
    <row r="1446" spans="1:17" s="212" customFormat="1" ht="15.5" x14ac:dyDescent="0.35">
      <c r="A1446" s="198">
        <v>2039</v>
      </c>
      <c r="B1446" s="197" t="s">
        <v>5842</v>
      </c>
      <c r="C1446" s="197">
        <v>2007</v>
      </c>
      <c r="D1446" s="213" t="str">
        <f t="shared" si="17"/>
        <v>2039_2007</v>
      </c>
      <c r="E1446" s="1267">
        <v>0.33236856601356901</v>
      </c>
      <c r="F1446" s="1278">
        <v>1.45183067669005E-2</v>
      </c>
      <c r="G1446" s="1248">
        <v>2.4805230019768199</v>
      </c>
      <c r="H1446" s="1278">
        <v>0.27267546504915002</v>
      </c>
      <c r="I1446" s="1248">
        <v>8.72982476732371E-2</v>
      </c>
      <c r="J1446" s="1278">
        <v>1.44911880290452E-4</v>
      </c>
      <c r="K1446" s="1248">
        <v>3.0000008612432001E-3</v>
      </c>
      <c r="L1446" s="1250">
        <v>2.0000005741907701E-3</v>
      </c>
      <c r="M1446" s="1273">
        <v>2.0000005741907701E-3</v>
      </c>
      <c r="N1446" s="1248">
        <v>3.1850009128239903E-2</v>
      </c>
      <c r="O1446" s="1249">
        <v>3.1850009128239903E-2</v>
      </c>
      <c r="P1446" s="1251">
        <v>1.5925004564119952E-2</v>
      </c>
      <c r="Q1446" s="1252">
        <v>9.1245487052784097E-2</v>
      </c>
    </row>
    <row r="1447" spans="1:17" s="212" customFormat="1" ht="15.5" x14ac:dyDescent="0.35">
      <c r="A1447" s="198">
        <v>2039</v>
      </c>
      <c r="B1447" s="197" t="s">
        <v>5842</v>
      </c>
      <c r="C1447" s="197">
        <v>2008</v>
      </c>
      <c r="D1447" s="213" t="str">
        <f t="shared" si="17"/>
        <v>2039_2008</v>
      </c>
      <c r="E1447" s="1267">
        <v>0.33990920725797202</v>
      </c>
      <c r="F1447" s="1278">
        <v>9.8694308678496899E-3</v>
      </c>
      <c r="G1447" s="1248">
        <v>2.5049245880181599</v>
      </c>
      <c r="H1447" s="1278">
        <v>0.15840252761613899</v>
      </c>
      <c r="I1447" s="1248">
        <v>8.8881223643607093E-2</v>
      </c>
      <c r="J1447" s="1278">
        <v>1.4119252369604901E-4</v>
      </c>
      <c r="K1447" s="1248">
        <v>3.0000008613307698E-3</v>
      </c>
      <c r="L1447" s="1250">
        <v>2.0000005742161001E-3</v>
      </c>
      <c r="M1447" s="1273">
        <v>2.0000005742161001E-3</v>
      </c>
      <c r="N1447" s="1248">
        <v>3.1850009128239903E-2</v>
      </c>
      <c r="O1447" s="1249">
        <v>3.1850009128239903E-2</v>
      </c>
      <c r="P1447" s="1251">
        <v>1.5925004564119952E-2</v>
      </c>
      <c r="Q1447" s="1252">
        <v>9.2900038172182398E-2</v>
      </c>
    </row>
    <row r="1448" spans="1:17" s="212" customFormat="1" ht="15.5" x14ac:dyDescent="0.35">
      <c r="A1448" s="198">
        <v>2039</v>
      </c>
      <c r="B1448" s="197" t="s">
        <v>5842</v>
      </c>
      <c r="C1448" s="197">
        <v>2009</v>
      </c>
      <c r="D1448" s="213" t="str">
        <f t="shared" si="17"/>
        <v>2039_2009</v>
      </c>
      <c r="E1448" s="1267">
        <v>0.338322724199697</v>
      </c>
      <c r="F1448" s="1278">
        <v>4.7961205550850396E-3</v>
      </c>
      <c r="G1448" s="1248">
        <v>2.4997716570217601</v>
      </c>
      <c r="H1448" s="1278">
        <v>4.2925808813889202E-2</v>
      </c>
      <c r="I1448" s="1248">
        <v>8.8532066117628705E-2</v>
      </c>
      <c r="J1448" s="1278">
        <v>1.29809973177238E-4</v>
      </c>
      <c r="K1448" s="1248">
        <v>3.0000008612909401E-3</v>
      </c>
      <c r="L1448" s="1250">
        <v>2.0000005741598E-3</v>
      </c>
      <c r="M1448" s="1273">
        <v>2.0000005741598E-3</v>
      </c>
      <c r="N1448" s="1248">
        <v>3.1850009128239903E-2</v>
      </c>
      <c r="O1448" s="1249">
        <v>3.1850009128239903E-2</v>
      </c>
      <c r="P1448" s="1251">
        <v>1.5925004564119952E-2</v>
      </c>
      <c r="Q1448" s="1252">
        <v>9.2535093292242895E-2</v>
      </c>
    </row>
    <row r="1449" spans="1:17" s="212" customFormat="1" ht="15.5" x14ac:dyDescent="0.35">
      <c r="A1449" s="198">
        <v>2039</v>
      </c>
      <c r="B1449" s="197" t="s">
        <v>5842</v>
      </c>
      <c r="C1449" s="197">
        <v>2010</v>
      </c>
      <c r="D1449" s="213" t="str">
        <f t="shared" si="17"/>
        <v>2039_2010</v>
      </c>
      <c r="E1449" s="1267">
        <v>9.0244350384594094E-2</v>
      </c>
      <c r="F1449" s="1278">
        <v>4.8009457891862398E-3</v>
      </c>
      <c r="G1449" s="1248">
        <v>0.82426930935003395</v>
      </c>
      <c r="H1449" s="1278">
        <v>4.3258088750921901E-2</v>
      </c>
      <c r="I1449" s="1248">
        <v>2.4789461588169099E-2</v>
      </c>
      <c r="J1449" s="1278">
        <v>1.5844010832267999E-4</v>
      </c>
      <c r="K1449" s="1248">
        <v>3.0000008613363001E-3</v>
      </c>
      <c r="L1449" s="1250">
        <v>2.0000005741370899E-3</v>
      </c>
      <c r="M1449" s="1273">
        <v>2.0000005741370899E-3</v>
      </c>
      <c r="N1449" s="1248">
        <v>3.1850009128239903E-2</v>
      </c>
      <c r="O1449" s="1249">
        <v>3.1850009128239903E-2</v>
      </c>
      <c r="P1449" s="1251">
        <v>1.5925004564119952E-2</v>
      </c>
      <c r="Q1449" s="1252">
        <v>2.5910331039579501E-2</v>
      </c>
    </row>
    <row r="1450" spans="1:17" s="212" customFormat="1" ht="15.5" x14ac:dyDescent="0.35">
      <c r="A1450" s="198">
        <v>2039</v>
      </c>
      <c r="B1450" s="197" t="s">
        <v>5842</v>
      </c>
      <c r="C1450" s="197">
        <v>2011</v>
      </c>
      <c r="D1450" s="213" t="str">
        <f t="shared" si="17"/>
        <v>2039_2011</v>
      </c>
      <c r="E1450" s="1267">
        <v>8.94040768795272E-2</v>
      </c>
      <c r="F1450" s="1278">
        <v>5.0004256612920196E-3</v>
      </c>
      <c r="G1450" s="1248">
        <v>0.82089215942771798</v>
      </c>
      <c r="H1450" s="1278">
        <v>4.3186548466979703E-2</v>
      </c>
      <c r="I1450" s="1248">
        <v>2.4634067823184998E-2</v>
      </c>
      <c r="J1450" s="1278">
        <v>2.1680011534295099E-4</v>
      </c>
      <c r="K1450" s="1248">
        <v>3.00000086130759E-3</v>
      </c>
      <c r="L1450" s="1250">
        <v>2.00000057423682E-3</v>
      </c>
      <c r="M1450" s="1273">
        <v>2.00000057423682E-3</v>
      </c>
      <c r="N1450" s="1248">
        <v>3.1850009128239903E-2</v>
      </c>
      <c r="O1450" s="1249">
        <v>3.1850009128239903E-2</v>
      </c>
      <c r="P1450" s="1251">
        <v>1.5925004564119952E-2</v>
      </c>
      <c r="Q1450" s="1252">
        <v>2.5747911058092501E-2</v>
      </c>
    </row>
    <row r="1451" spans="1:17" s="212" customFormat="1" ht="15.5" x14ac:dyDescent="0.35">
      <c r="A1451" s="198">
        <v>2039</v>
      </c>
      <c r="B1451" s="197" t="s">
        <v>5842</v>
      </c>
      <c r="C1451" s="197">
        <v>2012</v>
      </c>
      <c r="D1451" s="213" t="str">
        <f t="shared" si="17"/>
        <v>2039_2012</v>
      </c>
      <c r="E1451" s="1267">
        <v>9.0155136269329597E-2</v>
      </c>
      <c r="F1451" s="1278">
        <v>4.9911122788369603E-3</v>
      </c>
      <c r="G1451" s="1248">
        <v>0.82408387176526399</v>
      </c>
      <c r="H1451" s="1278">
        <v>4.3255855878907797E-2</v>
      </c>
      <c r="I1451" s="1248">
        <v>2.4775824327220999E-2</v>
      </c>
      <c r="J1451" s="1278">
        <v>3.1648324665814698E-4</v>
      </c>
      <c r="K1451" s="1248">
        <v>3.0000008613655501E-3</v>
      </c>
      <c r="L1451" s="1250">
        <v>2.0000005742452599E-3</v>
      </c>
      <c r="M1451" s="1273">
        <v>2.0000005742452599E-3</v>
      </c>
      <c r="N1451" s="1248">
        <v>3.1850009128239903E-2</v>
      </c>
      <c r="O1451" s="1249">
        <v>3.1850009128239903E-2</v>
      </c>
      <c r="P1451" s="1251">
        <v>1.5925004564119952E-2</v>
      </c>
      <c r="Q1451" s="1252">
        <v>2.58960771622057E-2</v>
      </c>
    </row>
    <row r="1452" spans="1:17" s="212" customFormat="1" ht="15.5" x14ac:dyDescent="0.35">
      <c r="A1452" s="198">
        <v>2039</v>
      </c>
      <c r="B1452" s="197" t="s">
        <v>5842</v>
      </c>
      <c r="C1452" s="197">
        <v>2013</v>
      </c>
      <c r="D1452" s="213" t="str">
        <f t="shared" si="17"/>
        <v>2039_2013</v>
      </c>
      <c r="E1452" s="1267">
        <v>9.0107390866326298E-2</v>
      </c>
      <c r="F1452" s="1278">
        <v>5.0543917734312297E-3</v>
      </c>
      <c r="G1452" s="1248">
        <v>0.823054436105781</v>
      </c>
      <c r="H1452" s="1278">
        <v>4.3092989948769797E-2</v>
      </c>
      <c r="I1452" s="1248">
        <v>2.4757333132112799E-2</v>
      </c>
      <c r="J1452" s="1278">
        <v>4.7501174557110801E-4</v>
      </c>
      <c r="K1452" s="1248">
        <v>3.0000008613893102E-3</v>
      </c>
      <c r="L1452" s="1250">
        <v>2.0000005742811101E-3</v>
      </c>
      <c r="M1452" s="1273">
        <v>2.0000005742811101E-3</v>
      </c>
      <c r="N1452" s="1248">
        <v>3.1850009128239903E-2</v>
      </c>
      <c r="O1452" s="1249">
        <v>3.1850009128239903E-2</v>
      </c>
      <c r="P1452" s="1251">
        <v>1.5925004564119952E-2</v>
      </c>
      <c r="Q1452" s="1252">
        <v>2.58767498773083E-2</v>
      </c>
    </row>
    <row r="1453" spans="1:17" s="212" customFormat="1" ht="15.5" x14ac:dyDescent="0.35">
      <c r="A1453" s="198">
        <v>2039</v>
      </c>
      <c r="B1453" s="197" t="s">
        <v>5842</v>
      </c>
      <c r="C1453" s="197">
        <v>2014</v>
      </c>
      <c r="D1453" s="213" t="str">
        <f t="shared" si="17"/>
        <v>2039_2014</v>
      </c>
      <c r="E1453" s="1267">
        <v>8.9118914502133897E-2</v>
      </c>
      <c r="F1453" s="1278">
        <v>4.9569603431207704E-3</v>
      </c>
      <c r="G1453" s="1248">
        <v>0.81923241458738005</v>
      </c>
      <c r="H1453" s="1278">
        <v>4.3367715480025402E-2</v>
      </c>
      <c r="I1453" s="1248">
        <v>2.45761757681725E-2</v>
      </c>
      <c r="J1453" s="1278">
        <v>6.5955334641734696E-4</v>
      </c>
      <c r="K1453" s="1248">
        <v>3.0000008613254902E-3</v>
      </c>
      <c r="L1453" s="1250">
        <v>2.0000005742360901E-3</v>
      </c>
      <c r="M1453" s="1273">
        <v>2.0000005742360901E-3</v>
      </c>
      <c r="N1453" s="1248">
        <v>3.1850009128239903E-2</v>
      </c>
      <c r="O1453" s="1249">
        <v>3.1850009128239903E-2</v>
      </c>
      <c r="P1453" s="1251">
        <v>1.5925004564119952E-2</v>
      </c>
      <c r="Q1453" s="1252">
        <v>2.56874013812445E-2</v>
      </c>
    </row>
    <row r="1454" spans="1:17" s="212" customFormat="1" ht="15.5" x14ac:dyDescent="0.35">
      <c r="A1454" s="198">
        <v>2039</v>
      </c>
      <c r="B1454" s="197" t="s">
        <v>5842</v>
      </c>
      <c r="C1454" s="197">
        <v>2015</v>
      </c>
      <c r="D1454" s="213" t="str">
        <f t="shared" si="17"/>
        <v>2039_2015</v>
      </c>
      <c r="E1454" s="1267">
        <v>8.9400326442175895E-2</v>
      </c>
      <c r="F1454" s="1278">
        <v>5.1009088931352102E-3</v>
      </c>
      <c r="G1454" s="1248">
        <v>0.82061395168754403</v>
      </c>
      <c r="H1454" s="1278">
        <v>4.3151663751679399E-2</v>
      </c>
      <c r="I1454" s="1248">
        <v>2.46310773860078E-2</v>
      </c>
      <c r="J1454" s="1278">
        <v>8.3483034426093199E-4</v>
      </c>
      <c r="K1454" s="1248">
        <v>3.0000008613353299E-3</v>
      </c>
      <c r="L1454" s="1250">
        <v>2.0000005742716199E-3</v>
      </c>
      <c r="M1454" s="1273">
        <v>2.0000005742716199E-3</v>
      </c>
      <c r="N1454" s="1248">
        <v>3.1850009128239903E-2</v>
      </c>
      <c r="O1454" s="1249">
        <v>3.1850009128239903E-2</v>
      </c>
      <c r="P1454" s="1251">
        <v>1.5925004564119952E-2</v>
      </c>
      <c r="Q1454" s="1252">
        <v>2.57447854066159E-2</v>
      </c>
    </row>
    <row r="1455" spans="1:17" s="212" customFormat="1" ht="15.5" x14ac:dyDescent="0.35">
      <c r="A1455" s="198">
        <v>2039</v>
      </c>
      <c r="B1455" s="197" t="s">
        <v>5842</v>
      </c>
      <c r="C1455" s="197">
        <v>2016</v>
      </c>
      <c r="D1455" s="213" t="str">
        <f t="shared" si="17"/>
        <v>2039_2016</v>
      </c>
      <c r="E1455" s="1267">
        <v>8.95111058582964E-2</v>
      </c>
      <c r="F1455" s="1278">
        <v>4.7282313992139903E-3</v>
      </c>
      <c r="G1455" s="1248">
        <v>0.72518216363038601</v>
      </c>
      <c r="H1455" s="1278">
        <v>4.0573254803304502E-2</v>
      </c>
      <c r="I1455" s="1248">
        <v>2.4615748746559699E-2</v>
      </c>
      <c r="J1455" s="1278">
        <v>9.6052971993361403E-4</v>
      </c>
      <c r="K1455" s="1248">
        <v>3.0000008613501701E-3</v>
      </c>
      <c r="L1455" s="1250">
        <v>2.0000005742530302E-3</v>
      </c>
      <c r="M1455" s="1273">
        <v>2.0000005742530302E-3</v>
      </c>
      <c r="N1455" s="1248">
        <v>3.1850009128239903E-2</v>
      </c>
      <c r="O1455" s="1249">
        <v>3.1850009128239903E-2</v>
      </c>
      <c r="P1455" s="1251">
        <v>1.5925004564119952E-2</v>
      </c>
      <c r="Q1455" s="1252">
        <v>2.57287636741119E-2</v>
      </c>
    </row>
    <row r="1456" spans="1:17" s="212" customFormat="1" ht="15.5" x14ac:dyDescent="0.35">
      <c r="A1456" s="198">
        <v>2039</v>
      </c>
      <c r="B1456" s="197" t="s">
        <v>5842</v>
      </c>
      <c r="C1456" s="197">
        <v>2017</v>
      </c>
      <c r="D1456" s="213" t="str">
        <f t="shared" si="17"/>
        <v>2039_2017</v>
      </c>
      <c r="E1456" s="1267">
        <v>8.8346770039337996E-2</v>
      </c>
      <c r="F1456" s="1278">
        <v>4.4941717294677899E-3</v>
      </c>
      <c r="G1456" s="1248">
        <v>0.62458971744235503</v>
      </c>
      <c r="H1456" s="1278">
        <v>3.7851661983609397E-2</v>
      </c>
      <c r="I1456" s="1248">
        <v>2.4306887584632401E-2</v>
      </c>
      <c r="J1456" s="1278">
        <v>1.03563804793025E-3</v>
      </c>
      <c r="K1456" s="1248">
        <v>3.0000008612962102E-3</v>
      </c>
      <c r="L1456" s="1250">
        <v>2.0000005743041902E-3</v>
      </c>
      <c r="M1456" s="1273">
        <v>2.0000005743041902E-3</v>
      </c>
      <c r="N1456" s="1248">
        <v>3.1850009128239903E-2</v>
      </c>
      <c r="O1456" s="1249">
        <v>3.1850009128239903E-2</v>
      </c>
      <c r="P1456" s="1251">
        <v>1.5925004564119952E-2</v>
      </c>
      <c r="Q1456" s="1252">
        <v>2.54059371809933E-2</v>
      </c>
    </row>
    <row r="1457" spans="1:17" s="212" customFormat="1" ht="15.5" x14ac:dyDescent="0.35">
      <c r="A1457" s="198">
        <v>2039</v>
      </c>
      <c r="B1457" s="197" t="s">
        <v>5842</v>
      </c>
      <c r="C1457" s="197">
        <v>2018</v>
      </c>
      <c r="D1457" s="213" t="str">
        <f t="shared" si="17"/>
        <v>2039_2018</v>
      </c>
      <c r="E1457" s="1267">
        <v>8.9071693766299601E-2</v>
      </c>
      <c r="F1457" s="1278">
        <v>3.9880809035852801E-3</v>
      </c>
      <c r="G1457" s="1248">
        <v>0.517542147338931</v>
      </c>
      <c r="H1457" s="1278">
        <v>3.3994545672058799E-2</v>
      </c>
      <c r="I1457" s="1248">
        <v>2.43121004502025E-2</v>
      </c>
      <c r="J1457" s="1278">
        <v>1.0772103876177E-3</v>
      </c>
      <c r="K1457" s="1248">
        <v>3.00000086135617E-3</v>
      </c>
      <c r="L1457" s="1250">
        <v>2.0000005742562099E-3</v>
      </c>
      <c r="M1457" s="1273">
        <v>2.0000005742562099E-3</v>
      </c>
      <c r="N1457" s="1248">
        <v>3.1850009128239903E-2</v>
      </c>
      <c r="O1457" s="1249">
        <v>3.1850009128239903E-2</v>
      </c>
      <c r="P1457" s="1251">
        <v>1.5925004564119952E-2</v>
      </c>
      <c r="Q1457" s="1252">
        <v>2.54113857492127E-2</v>
      </c>
    </row>
    <row r="1458" spans="1:17" s="212" customFormat="1" ht="15.5" x14ac:dyDescent="0.35">
      <c r="A1458" s="198">
        <v>2039</v>
      </c>
      <c r="B1458" s="197" t="s">
        <v>5842</v>
      </c>
      <c r="C1458" s="197">
        <v>2019</v>
      </c>
      <c r="D1458" s="213" t="str">
        <f t="shared" si="17"/>
        <v>2039_2019</v>
      </c>
      <c r="E1458" s="1267">
        <v>8.9042782947793095E-2</v>
      </c>
      <c r="F1458" s="1278">
        <v>3.4551785895806202E-3</v>
      </c>
      <c r="G1458" s="1248">
        <v>0.44688559591952498</v>
      </c>
      <c r="H1458" s="1278">
        <v>2.9941780176403601E-2</v>
      </c>
      <c r="I1458" s="1248">
        <v>2.41216449400341E-2</v>
      </c>
      <c r="J1458" s="1278">
        <v>1.09946625467754E-3</v>
      </c>
      <c r="K1458" s="1248">
        <v>3.0000008614051998E-3</v>
      </c>
      <c r="L1458" s="1250">
        <v>2.0000005742109401E-3</v>
      </c>
      <c r="M1458" s="1273">
        <v>2.0000005742109401E-3</v>
      </c>
      <c r="N1458" s="1248">
        <v>3.1850009128239903E-2</v>
      </c>
      <c r="O1458" s="1249">
        <v>3.1850009128239903E-2</v>
      </c>
      <c r="P1458" s="1251">
        <v>1.5925004564119952E-2</v>
      </c>
      <c r="Q1458" s="1252">
        <v>2.52123186860083E-2</v>
      </c>
    </row>
    <row r="1459" spans="1:17" s="212" customFormat="1" ht="15.5" x14ac:dyDescent="0.35">
      <c r="A1459" s="198">
        <v>2039</v>
      </c>
      <c r="B1459" s="197" t="s">
        <v>5842</v>
      </c>
      <c r="C1459" s="197">
        <v>2020</v>
      </c>
      <c r="D1459" s="213" t="str">
        <f t="shared" si="17"/>
        <v>2039_2020</v>
      </c>
      <c r="E1459" s="1267">
        <v>7.7919489208881199E-2</v>
      </c>
      <c r="F1459" s="1278">
        <v>2.8118121376644201E-3</v>
      </c>
      <c r="G1459" s="1248">
        <v>0.35113966717880302</v>
      </c>
      <c r="H1459" s="1278">
        <v>2.60889247353807E-2</v>
      </c>
      <c r="I1459" s="1248">
        <v>2.1772375991885601E-2</v>
      </c>
      <c r="J1459" s="1278">
        <v>1.08619392777315E-3</v>
      </c>
      <c r="K1459" s="1248">
        <v>3.0000008609771698E-3</v>
      </c>
      <c r="L1459" s="1250">
        <v>2.00000057408159E-3</v>
      </c>
      <c r="M1459" s="1273">
        <v>2.00000057408159E-3</v>
      </c>
      <c r="N1459" s="1248">
        <v>3.1850009128239903E-2</v>
      </c>
      <c r="O1459" s="1249">
        <v>3.1850009128239903E-2</v>
      </c>
      <c r="P1459" s="1251">
        <v>1.5925004564119952E-2</v>
      </c>
      <c r="Q1459" s="1252">
        <v>2.2756826220751099E-2</v>
      </c>
    </row>
    <row r="1460" spans="1:17" s="212" customFormat="1" ht="15.5" x14ac:dyDescent="0.35">
      <c r="A1460" s="198">
        <v>2039</v>
      </c>
      <c r="B1460" s="197" t="s">
        <v>5842</v>
      </c>
      <c r="C1460" s="197">
        <v>2021</v>
      </c>
      <c r="D1460" s="213" t="str">
        <f t="shared" si="17"/>
        <v>2039_2021</v>
      </c>
      <c r="E1460" s="1267">
        <v>7.75037141623027E-2</v>
      </c>
      <c r="F1460" s="1278">
        <v>2.3817341299804998E-3</v>
      </c>
      <c r="G1460" s="1248">
        <v>0.28506115086032402</v>
      </c>
      <c r="H1460" s="1278">
        <v>2.1961316109995199E-2</v>
      </c>
      <c r="I1460" s="1248">
        <v>2.1433013392959999E-2</v>
      </c>
      <c r="J1460" s="1278">
        <v>1.0863629156174701E-3</v>
      </c>
      <c r="K1460" s="1248">
        <v>3.0000008609794501E-3</v>
      </c>
      <c r="L1460" s="1250">
        <v>2.00000057408331E-3</v>
      </c>
      <c r="M1460" s="1273">
        <v>2.00000057408331E-3</v>
      </c>
      <c r="N1460" s="1248">
        <v>3.1850009128239903E-2</v>
      </c>
      <c r="O1460" s="1249">
        <v>3.1850009128239903E-2</v>
      </c>
      <c r="P1460" s="1251">
        <v>1.5925004564119952E-2</v>
      </c>
      <c r="Q1460" s="1252">
        <v>2.24021191510013E-2</v>
      </c>
    </row>
    <row r="1461" spans="1:17" s="212" customFormat="1" ht="15.5" x14ac:dyDescent="0.35">
      <c r="A1461" s="198">
        <v>2039</v>
      </c>
      <c r="B1461" s="197" t="s">
        <v>5842</v>
      </c>
      <c r="C1461" s="197">
        <v>2022</v>
      </c>
      <c r="D1461" s="213" t="str">
        <f t="shared" si="17"/>
        <v>2039_2022</v>
      </c>
      <c r="E1461" s="1267">
        <v>7.7008663071173405E-2</v>
      </c>
      <c r="F1461" s="1278">
        <v>1.9545936399099099E-3</v>
      </c>
      <c r="G1461" s="1248">
        <v>0.21858314602541001</v>
      </c>
      <c r="H1461" s="1278">
        <v>1.7889335899604099E-2</v>
      </c>
      <c r="I1461" s="1248">
        <v>2.1033650604659799E-2</v>
      </c>
      <c r="J1461" s="1278">
        <v>1.0865244252047301E-3</v>
      </c>
      <c r="K1461" s="1248">
        <v>3.0000008609816502E-3</v>
      </c>
      <c r="L1461" s="1250">
        <v>2.0000005740849602E-3</v>
      </c>
      <c r="M1461" s="1273">
        <v>2.0000005740849602E-3</v>
      </c>
      <c r="N1461" s="1248">
        <v>3.1850009128239903E-2</v>
      </c>
      <c r="O1461" s="1249">
        <v>3.1850009128239903E-2</v>
      </c>
      <c r="P1461" s="1251">
        <v>1.5925004564119952E-2</v>
      </c>
      <c r="Q1461" s="1252">
        <v>2.1984698949560299E-2</v>
      </c>
    </row>
    <row r="1462" spans="1:17" s="212" customFormat="1" ht="15.5" x14ac:dyDescent="0.35">
      <c r="A1462" s="198">
        <v>2039</v>
      </c>
      <c r="B1462" s="197" t="s">
        <v>5842</v>
      </c>
      <c r="C1462" s="197">
        <v>2023</v>
      </c>
      <c r="D1462" s="213" t="str">
        <f t="shared" si="17"/>
        <v>2039_2023</v>
      </c>
      <c r="E1462" s="1267">
        <v>7.6434461710309695E-2</v>
      </c>
      <c r="F1462" s="1278">
        <v>1.9354820638030101E-3</v>
      </c>
      <c r="G1462" s="1248">
        <v>0.21557508056564101</v>
      </c>
      <c r="H1462" s="1278">
        <v>1.75629256805689E-2</v>
      </c>
      <c r="I1462" s="1248">
        <v>2.0574273632148098E-2</v>
      </c>
      <c r="J1462" s="1278">
        <v>1.0866773292574599E-3</v>
      </c>
      <c r="K1462" s="1248">
        <v>3.00000086098379E-3</v>
      </c>
      <c r="L1462" s="1250">
        <v>2.00000057408656E-3</v>
      </c>
      <c r="M1462" s="1273">
        <v>2.00000057408656E-3</v>
      </c>
      <c r="N1462" s="1248">
        <v>3.1850009128239903E-2</v>
      </c>
      <c r="O1462" s="1249">
        <v>3.1850009128239903E-2</v>
      </c>
      <c r="P1462" s="1251">
        <v>1.5925004564119952E-2</v>
      </c>
      <c r="Q1462" s="1252">
        <v>2.1504550988806801E-2</v>
      </c>
    </row>
    <row r="1463" spans="1:17" s="212" customFormat="1" ht="15.5" x14ac:dyDescent="0.35">
      <c r="A1463" s="198">
        <v>2039</v>
      </c>
      <c r="B1463" s="197" t="s">
        <v>5842</v>
      </c>
      <c r="C1463" s="197">
        <v>2024</v>
      </c>
      <c r="D1463" s="213" t="str">
        <f t="shared" si="17"/>
        <v>2039_2024</v>
      </c>
      <c r="E1463" s="1267">
        <v>7.5780511970914205E-2</v>
      </c>
      <c r="F1463" s="1278">
        <v>1.919153673001E-3</v>
      </c>
      <c r="G1463" s="1248">
        <v>0.212172181065579</v>
      </c>
      <c r="H1463" s="1278">
        <v>1.72486753481189E-2</v>
      </c>
      <c r="I1463" s="1248">
        <v>2.0054757615365099E-2</v>
      </c>
      <c r="J1463" s="1278">
        <v>1.08682067959942E-3</v>
      </c>
      <c r="K1463" s="1248">
        <v>3.00000086098582E-3</v>
      </c>
      <c r="L1463" s="1250">
        <v>2.0000005740880801E-3</v>
      </c>
      <c r="M1463" s="1275">
        <v>2.00000057401725E-3</v>
      </c>
      <c r="N1463" s="1248">
        <v>3.1850009128239903E-2</v>
      </c>
      <c r="O1463" s="1249">
        <v>3.1850009128239903E-2</v>
      </c>
      <c r="P1463" s="1260">
        <v>1.59250045641199E-2</v>
      </c>
      <c r="Q1463" s="1252">
        <v>2.0961544763063E-2</v>
      </c>
    </row>
    <row r="1464" spans="1:17" s="212" customFormat="1" ht="15.5" x14ac:dyDescent="0.35">
      <c r="A1464" s="198">
        <v>2039</v>
      </c>
      <c r="B1464" s="197" t="s">
        <v>5842</v>
      </c>
      <c r="C1464" s="197">
        <v>2025</v>
      </c>
      <c r="D1464" s="213" t="str">
        <f t="shared" si="17"/>
        <v>2039_2025</v>
      </c>
      <c r="E1464" s="1267">
        <v>7.5046194063875901E-2</v>
      </c>
      <c r="F1464" s="1278">
        <v>1.9093717447229101E-3</v>
      </c>
      <c r="G1464" s="1248">
        <v>0.20837351778676799</v>
      </c>
      <c r="H1464" s="1278">
        <v>1.6984541958634101E-2</v>
      </c>
      <c r="I1464" s="1248">
        <v>1.9474973735832801E-2</v>
      </c>
      <c r="J1464" s="1278">
        <v>1.0869517684761901E-3</v>
      </c>
      <c r="K1464" s="1248">
        <v>3.00000086098772E-3</v>
      </c>
      <c r="L1464" s="1250">
        <v>2.0000005740895099E-3</v>
      </c>
      <c r="M1464" s="1275">
        <v>2.0000005740183802E-3</v>
      </c>
      <c r="N1464" s="1248">
        <v>3.1850009128239903E-2</v>
      </c>
      <c r="O1464" s="1249">
        <v>3.1850009128239903E-2</v>
      </c>
      <c r="P1464" s="1260">
        <v>1.592500456412E-2</v>
      </c>
      <c r="Q1464" s="1252">
        <v>2.0355545629251098E-2</v>
      </c>
    </row>
    <row r="1465" spans="1:17" s="212" customFormat="1" ht="15.5" x14ac:dyDescent="0.35">
      <c r="A1465" s="198">
        <v>2039</v>
      </c>
      <c r="B1465" s="197" t="s">
        <v>5842</v>
      </c>
      <c r="C1465" s="197">
        <v>2026</v>
      </c>
      <c r="D1465" s="213" t="str">
        <f t="shared" si="17"/>
        <v>2039_2026</v>
      </c>
      <c r="E1465" s="1267">
        <v>7.4233586178032801E-2</v>
      </c>
      <c r="F1465" s="1278">
        <v>1.90751991811076E-3</v>
      </c>
      <c r="G1465" s="1248">
        <v>0.20420441080895599</v>
      </c>
      <c r="H1465" s="1278">
        <v>1.6784954965900899E-2</v>
      </c>
      <c r="I1465" s="1248">
        <v>1.88352948519733E-2</v>
      </c>
      <c r="J1465" s="1278">
        <v>1.08708307393004E-3</v>
      </c>
      <c r="K1465" s="1248">
        <v>3.0000008609896399E-3</v>
      </c>
      <c r="L1465" s="1250">
        <v>2.0000005740909402E-3</v>
      </c>
      <c r="M1465" s="1275">
        <v>2.0000005740197502E-3</v>
      </c>
      <c r="N1465" s="1248">
        <v>3.1850009128239903E-2</v>
      </c>
      <c r="O1465" s="1249">
        <v>3.1850009128239903E-2</v>
      </c>
      <c r="P1465" s="1260">
        <v>1.59250045641199E-2</v>
      </c>
      <c r="Q1465" s="1252">
        <v>1.9686943304796499E-2</v>
      </c>
    </row>
    <row r="1466" spans="1:17" s="212" customFormat="1" ht="15.5" x14ac:dyDescent="0.35">
      <c r="A1466" s="198">
        <v>2039</v>
      </c>
      <c r="B1466" s="197" t="s">
        <v>5842</v>
      </c>
      <c r="C1466" s="197">
        <v>2027</v>
      </c>
      <c r="D1466" s="213" t="str">
        <f t="shared" si="17"/>
        <v>2039_2027</v>
      </c>
      <c r="E1466" s="1267">
        <v>7.3344084215751601E-2</v>
      </c>
      <c r="F1466" s="1278">
        <v>1.9174078130404801E-3</v>
      </c>
      <c r="G1466" s="1248">
        <v>0.199621805007899</v>
      </c>
      <c r="H1466" s="1278">
        <v>1.6682904154389101E-2</v>
      </c>
      <c r="I1466" s="1248">
        <v>1.8135918774075301E-2</v>
      </c>
      <c r="J1466" s="1278">
        <v>1.08721934464698E-3</v>
      </c>
      <c r="K1466" s="1248">
        <v>3.0000008609916201E-3</v>
      </c>
      <c r="L1466" s="1250">
        <v>2.0000005740924299E-3</v>
      </c>
      <c r="M1466" s="1275">
        <v>2.00000057402118E-3</v>
      </c>
      <c r="N1466" s="1248">
        <v>3.1850009128239903E-2</v>
      </c>
      <c r="O1466" s="1249">
        <v>3.1850009128239903E-2</v>
      </c>
      <c r="P1466" s="1260">
        <v>1.59250045641199E-2</v>
      </c>
      <c r="Q1466" s="1252">
        <v>1.8955944544091299E-2</v>
      </c>
    </row>
    <row r="1467" spans="1:17" s="212" customFormat="1" ht="15.5" x14ac:dyDescent="0.35">
      <c r="A1467" s="198">
        <v>2039</v>
      </c>
      <c r="B1467" s="197" t="s">
        <v>5842</v>
      </c>
      <c r="C1467" s="197">
        <v>2028</v>
      </c>
      <c r="D1467" s="213" t="str">
        <f t="shared" si="17"/>
        <v>2039_2028</v>
      </c>
      <c r="E1467" s="1267">
        <v>7.2376747838602096E-2</v>
      </c>
      <c r="F1467" s="1278">
        <v>1.93537288483837E-3</v>
      </c>
      <c r="G1467" s="1248">
        <v>0.194646850334983</v>
      </c>
      <c r="H1467" s="1278">
        <v>1.6641767387130399E-2</v>
      </c>
      <c r="I1467" s="1248">
        <v>1.7376641140327699E-2</v>
      </c>
      <c r="J1467" s="1278">
        <v>1.08735756275975E-3</v>
      </c>
      <c r="K1467" s="1248">
        <v>3.0000008609936302E-3</v>
      </c>
      <c r="L1467" s="1250">
        <v>2.00000057409394E-3</v>
      </c>
      <c r="M1467" s="1275">
        <v>2.0000005740226502E-3</v>
      </c>
      <c r="N1467" s="1248">
        <v>3.1850009128239903E-2</v>
      </c>
      <c r="O1467" s="1249">
        <v>3.1850009128239903E-2</v>
      </c>
      <c r="P1467" s="1260">
        <v>1.59250045641199E-2</v>
      </c>
      <c r="Q1467" s="1252">
        <v>1.81623357449902E-2</v>
      </c>
    </row>
    <row r="1468" spans="1:17" s="212" customFormat="1" ht="15.5" x14ac:dyDescent="0.35">
      <c r="A1468" s="198">
        <v>2039</v>
      </c>
      <c r="B1468" s="197" t="s">
        <v>5842</v>
      </c>
      <c r="C1468" s="197">
        <v>2029</v>
      </c>
      <c r="D1468" s="213" t="str">
        <f t="shared" si="17"/>
        <v>2039_2029</v>
      </c>
      <c r="E1468" s="1267">
        <v>7.13311261585972E-2</v>
      </c>
      <c r="F1468" s="1278">
        <v>1.95651029654731E-3</v>
      </c>
      <c r="G1468" s="1248">
        <v>0.189278904567666</v>
      </c>
      <c r="H1468" s="1278">
        <v>1.6609810108801502E-2</v>
      </c>
      <c r="I1468" s="1248">
        <v>1.6557349908594501E-2</v>
      </c>
      <c r="J1468" s="1278">
        <v>1.0874968181740401E-3</v>
      </c>
      <c r="K1468" s="1248">
        <v>3.0000008609956698E-3</v>
      </c>
      <c r="L1468" s="1250">
        <v>2.00000057409546E-3</v>
      </c>
      <c r="M1468" s="1275">
        <v>2.0000005740241798E-3</v>
      </c>
      <c r="N1468" s="1248">
        <v>3.1850009128239903E-2</v>
      </c>
      <c r="O1468" s="1249">
        <v>3.1850009128239903E-2</v>
      </c>
      <c r="P1468" s="1260">
        <v>1.59250045641199E-2</v>
      </c>
      <c r="Q1468" s="1252">
        <v>1.7305999799309101E-2</v>
      </c>
    </row>
    <row r="1469" spans="1:17" s="212" customFormat="1" ht="15.5" x14ac:dyDescent="0.35">
      <c r="A1469" s="198">
        <v>2039</v>
      </c>
      <c r="B1469" s="197" t="s">
        <v>5842</v>
      </c>
      <c r="C1469" s="197">
        <v>2030</v>
      </c>
      <c r="D1469" s="213" t="str">
        <f t="shared" si="17"/>
        <v>2039_2030</v>
      </c>
      <c r="E1469" s="1267">
        <v>7.0207406962779204E-2</v>
      </c>
      <c r="F1469" s="1278">
        <v>1.97444105605295E-3</v>
      </c>
      <c r="G1469" s="1248">
        <v>0.18351791167988199</v>
      </c>
      <c r="H1469" s="1278">
        <v>1.6519915153744E-2</v>
      </c>
      <c r="I1469" s="1248">
        <v>1.5678028318806998E-2</v>
      </c>
      <c r="J1469" s="1278">
        <v>1.0876372097438E-3</v>
      </c>
      <c r="K1469" s="1248">
        <v>3.0000008609977302E-3</v>
      </c>
      <c r="L1469" s="1250">
        <v>2.000000574097E-3</v>
      </c>
      <c r="M1469" s="1275">
        <v>2.0000005740255298E-3</v>
      </c>
      <c r="N1469" s="1248">
        <v>3.1850009128239903E-2</v>
      </c>
      <c r="O1469" s="1249">
        <v>3.1850009128239903E-2</v>
      </c>
      <c r="P1469" s="1260">
        <v>1.59250045641199E-2</v>
      </c>
      <c r="Q1469" s="1252">
        <v>1.6386919189163102E-2</v>
      </c>
    </row>
    <row r="1470" spans="1:17" s="212" customFormat="1" ht="15.5" x14ac:dyDescent="0.35">
      <c r="A1470" s="198">
        <v>2039</v>
      </c>
      <c r="B1470" s="197" t="s">
        <v>5842</v>
      </c>
      <c r="C1470" s="197">
        <v>2031</v>
      </c>
      <c r="D1470" s="213" t="str">
        <f t="shared" si="17"/>
        <v>2039_2031</v>
      </c>
      <c r="E1470" s="1267">
        <v>6.9005803355277298E-2</v>
      </c>
      <c r="F1470" s="1278">
        <v>1.9840626662035398E-3</v>
      </c>
      <c r="G1470" s="1248">
        <v>0.177364019094084</v>
      </c>
      <c r="H1470" s="1278">
        <v>1.6318032779075901E-2</v>
      </c>
      <c r="I1470" s="1248">
        <v>1.4738662605622101E-2</v>
      </c>
      <c r="J1470" s="1278">
        <v>1.08778028395266E-3</v>
      </c>
      <c r="K1470" s="1248">
        <v>3.0000008609998401E-3</v>
      </c>
      <c r="L1470" s="1250">
        <v>2.0000005740985799E-3</v>
      </c>
      <c r="M1470" s="1275">
        <v>2.00000057402701E-3</v>
      </c>
      <c r="N1470" s="1248">
        <v>3.1850009128239903E-2</v>
      </c>
      <c r="O1470" s="1249">
        <v>3.1850009128239903E-2</v>
      </c>
      <c r="P1470" s="1260">
        <v>1.59250045641199E-2</v>
      </c>
      <c r="Q1470" s="1252">
        <v>1.54050795268017E-2</v>
      </c>
    </row>
    <row r="1471" spans="1:17" s="212" customFormat="1" ht="15.5" x14ac:dyDescent="0.35">
      <c r="A1471" s="198">
        <v>2039</v>
      </c>
      <c r="B1471" s="197" t="s">
        <v>5842</v>
      </c>
      <c r="C1471" s="197">
        <v>2032</v>
      </c>
      <c r="D1471" s="213" t="str">
        <f t="shared" si="17"/>
        <v>2039_2032</v>
      </c>
      <c r="E1471" s="1267">
        <v>6.7725634646566904E-2</v>
      </c>
      <c r="F1471" s="1278">
        <v>1.9855909344987802E-3</v>
      </c>
      <c r="G1471" s="1248">
        <v>0.17081628853261299</v>
      </c>
      <c r="H1471" s="1278">
        <v>1.60050835459471E-2</v>
      </c>
      <c r="I1471" s="1248">
        <v>1.3739106196731601E-2</v>
      </c>
      <c r="J1471" s="1278">
        <v>1.0879242598757801E-3</v>
      </c>
      <c r="K1471" s="1248">
        <v>3.0000008610019699E-3</v>
      </c>
      <c r="L1471" s="1250">
        <v>2.0000005741001802E-3</v>
      </c>
      <c r="M1471" s="1275">
        <v>2.0000005740287E-3</v>
      </c>
      <c r="N1471" s="1248">
        <v>3.1850009128239903E-2</v>
      </c>
      <c r="O1471" s="1249">
        <v>3.1850009128239903E-2</v>
      </c>
      <c r="P1471" s="1260">
        <v>1.59250045641199E-2</v>
      </c>
      <c r="Q1471" s="1252">
        <v>1.4360327612567E-2</v>
      </c>
    </row>
    <row r="1472" spans="1:17" s="212" customFormat="1" ht="15.5" x14ac:dyDescent="0.35">
      <c r="A1472" s="198">
        <v>2039</v>
      </c>
      <c r="B1472" s="197" t="s">
        <v>5842</v>
      </c>
      <c r="C1472" s="197">
        <v>2033</v>
      </c>
      <c r="D1472" s="213" t="str">
        <f t="shared" si="17"/>
        <v>2039_2033</v>
      </c>
      <c r="E1472" s="1267">
        <v>6.6367091686968194E-2</v>
      </c>
      <c r="F1472" s="1278">
        <v>1.9891686566281298E-3</v>
      </c>
      <c r="G1472" s="1248">
        <v>0.16387468985294801</v>
      </c>
      <c r="H1472" s="1278">
        <v>1.5683643147821402E-2</v>
      </c>
      <c r="I1472" s="1248">
        <v>1.26793336643343E-2</v>
      </c>
      <c r="J1472" s="1278">
        <v>1.08806964701289E-3</v>
      </c>
      <c r="K1472" s="1248">
        <v>3.00000086100413E-3</v>
      </c>
      <c r="L1472" s="1250">
        <v>2.0000005741018E-3</v>
      </c>
      <c r="M1472" s="1275">
        <v>2.0000005740303801E-3</v>
      </c>
      <c r="N1472" s="1248">
        <v>3.1850009128239903E-2</v>
      </c>
      <c r="O1472" s="1249">
        <v>3.1850009128239903E-2</v>
      </c>
      <c r="P1472" s="1260">
        <v>1.59250045641199E-2</v>
      </c>
      <c r="Q1472" s="1252">
        <v>1.32526368689256E-2</v>
      </c>
    </row>
    <row r="1473" spans="1:17" s="212" customFormat="1" ht="15.5" x14ac:dyDescent="0.35">
      <c r="A1473" s="198">
        <v>2039</v>
      </c>
      <c r="B1473" s="197" t="s">
        <v>5842</v>
      </c>
      <c r="C1473" s="197">
        <v>2034</v>
      </c>
      <c r="D1473" s="213" t="str">
        <f t="shared" si="17"/>
        <v>2039_2034</v>
      </c>
      <c r="E1473" s="1267">
        <v>6.4930391496092393E-2</v>
      </c>
      <c r="F1473" s="1278">
        <v>2.0179105726870501E-3</v>
      </c>
      <c r="G1473" s="1248">
        <v>0.156539342867726</v>
      </c>
      <c r="H1473" s="1278">
        <v>1.5589805701121199E-2</v>
      </c>
      <c r="I1473" s="1248">
        <v>1.15593180076188E-2</v>
      </c>
      <c r="J1473" s="1278">
        <v>1.0882184016909699E-3</v>
      </c>
      <c r="K1473" s="1248">
        <v>3.00000086100635E-3</v>
      </c>
      <c r="L1473" s="1250">
        <v>2.0000005741034601E-3</v>
      </c>
      <c r="M1473" s="1275">
        <v>2.00000057403233E-3</v>
      </c>
      <c r="N1473" s="1248">
        <v>3.1850009128239903E-2</v>
      </c>
      <c r="O1473" s="1249">
        <v>3.1850009128239903E-2</v>
      </c>
      <c r="P1473" s="1260">
        <v>1.59250045641199E-2</v>
      </c>
      <c r="Q1473" s="1252">
        <v>1.20819790742093E-2</v>
      </c>
    </row>
    <row r="1474" spans="1:17" s="212" customFormat="1" ht="15.5" x14ac:dyDescent="0.35">
      <c r="A1474" s="198">
        <v>2039</v>
      </c>
      <c r="B1474" s="197" t="s">
        <v>5842</v>
      </c>
      <c r="C1474" s="197">
        <v>2035</v>
      </c>
      <c r="D1474" s="213" t="str">
        <f t="shared" si="17"/>
        <v>2039_2035</v>
      </c>
      <c r="E1474" s="1267">
        <v>6.3415271846787705E-2</v>
      </c>
      <c r="F1474" s="1278">
        <v>2.1059056298809199E-3</v>
      </c>
      <c r="G1474" s="1248">
        <v>0.14880974939115699</v>
      </c>
      <c r="H1474" s="1278">
        <v>1.60739998263177E-2</v>
      </c>
      <c r="I1474" s="1248">
        <v>1.0378960543861501E-2</v>
      </c>
      <c r="J1474" s="1278">
        <v>1.0883699970409199E-3</v>
      </c>
      <c r="K1474" s="1248">
        <v>3.0000008610086199E-3</v>
      </c>
      <c r="L1474" s="1250">
        <v>2.0000005741051602E-3</v>
      </c>
      <c r="M1474" s="1275">
        <v>2.0000005740344801E-3</v>
      </c>
      <c r="N1474" s="1248">
        <v>3.1850009128239903E-2</v>
      </c>
      <c r="O1474" s="1249">
        <v>3.1850009128239903E-2</v>
      </c>
      <c r="P1474" s="1260">
        <v>1.59250045641199E-2</v>
      </c>
      <c r="Q1474" s="1252">
        <v>1.0848251083699601E-2</v>
      </c>
    </row>
    <row r="1475" spans="1:17" s="212" customFormat="1" ht="15.5" x14ac:dyDescent="0.35">
      <c r="A1475" s="198">
        <v>2039</v>
      </c>
      <c r="B1475" s="197" t="s">
        <v>5842</v>
      </c>
      <c r="C1475" s="197">
        <v>2036</v>
      </c>
      <c r="D1475" s="213" t="str">
        <f t="shared" si="17"/>
        <v>2039_2036</v>
      </c>
      <c r="E1475" s="1267">
        <v>6.1821601398943E-2</v>
      </c>
      <c r="F1475" s="1278">
        <v>2.28541423165422E-3</v>
      </c>
      <c r="G1475" s="1248">
        <v>0.14068549756504301</v>
      </c>
      <c r="H1475" s="1278">
        <v>1.7471982580578801E-2</v>
      </c>
      <c r="I1475" s="1248">
        <v>9.13817599394064E-3</v>
      </c>
      <c r="J1475" s="1278">
        <v>1.0885242508232901E-3</v>
      </c>
      <c r="K1475" s="1248">
        <v>3.0000008610109501E-3</v>
      </c>
      <c r="L1475" s="1250">
        <v>2.0000005741069001E-3</v>
      </c>
      <c r="M1475" s="1275">
        <v>2.0000005740367201E-3</v>
      </c>
      <c r="N1475" s="1248">
        <v>3.1850009128239903E-2</v>
      </c>
      <c r="O1475" s="1249">
        <v>3.1850009128239903E-2</v>
      </c>
      <c r="P1475" s="1260">
        <v>1.59250045641199E-2</v>
      </c>
      <c r="Q1475" s="1252">
        <v>9.5513637623312296E-3</v>
      </c>
    </row>
    <row r="1476" spans="1:17" s="212" customFormat="1" ht="15.5" x14ac:dyDescent="0.35">
      <c r="A1476" s="198">
        <v>2039</v>
      </c>
      <c r="B1476" s="197" t="s">
        <v>5842</v>
      </c>
      <c r="C1476" s="197">
        <v>2037</v>
      </c>
      <c r="D1476" s="213" t="str">
        <f t="shared" si="17"/>
        <v>2039_2037</v>
      </c>
      <c r="E1476" s="1267">
        <v>6.0148896297610499E-2</v>
      </c>
      <c r="F1476" s="1278">
        <v>2.5542842119248999E-3</v>
      </c>
      <c r="G1476" s="1248">
        <v>0.13216586514518699</v>
      </c>
      <c r="H1476" s="1278">
        <v>1.9776595651925799E-2</v>
      </c>
      <c r="I1476" s="1248">
        <v>7.8368459159147696E-3</v>
      </c>
      <c r="J1476" s="1278">
        <v>1.0886795838431901E-3</v>
      </c>
      <c r="K1476" s="1248">
        <v>3.0000008610133002E-3</v>
      </c>
      <c r="L1476" s="1250">
        <v>2.0000005741086699E-3</v>
      </c>
      <c r="M1476" s="1275">
        <v>2.000000574039E-3</v>
      </c>
      <c r="N1476" s="1248">
        <v>3.1850009128239903E-2</v>
      </c>
      <c r="O1476" s="1249">
        <v>3.1850009128239903E-2</v>
      </c>
      <c r="P1476" s="1260">
        <v>1.59250045641199E-2</v>
      </c>
      <c r="Q1476" s="1252">
        <v>8.1911933127437296E-3</v>
      </c>
    </row>
    <row r="1477" spans="1:17" s="212" customFormat="1" ht="15.5" x14ac:dyDescent="0.35">
      <c r="A1477" s="198">
        <v>2039</v>
      </c>
      <c r="B1477" s="197" t="s">
        <v>5842</v>
      </c>
      <c r="C1477" s="197">
        <v>2038</v>
      </c>
      <c r="D1477" s="213" t="str">
        <f t="shared" si="17"/>
        <v>2039_2038</v>
      </c>
      <c r="E1477" s="1267">
        <v>5.8396631289219403E-2</v>
      </c>
      <c r="F1477" s="1278">
        <v>2.8107624277462001E-3</v>
      </c>
      <c r="G1477" s="1248">
        <v>0.12325023454070801</v>
      </c>
      <c r="H1477" s="1278">
        <v>2.1980389095891902E-2</v>
      </c>
      <c r="I1477" s="1248">
        <v>6.47486435441786E-3</v>
      </c>
      <c r="J1477" s="1278">
        <v>1.0888354280058901E-3</v>
      </c>
      <c r="K1477" s="1248">
        <v>3.0000008610156698E-3</v>
      </c>
      <c r="L1477" s="1250">
        <v>2.0000005741104398E-3</v>
      </c>
      <c r="M1477" s="1275">
        <v>2.0000005740409398E-3</v>
      </c>
      <c r="N1477" s="1248">
        <v>3.1850009128239903E-2</v>
      </c>
      <c r="O1477" s="1249">
        <v>3.1850009128239903E-2</v>
      </c>
      <c r="P1477" s="1260">
        <v>1.59250045641199E-2</v>
      </c>
      <c r="Q1477" s="1252">
        <v>6.7676289887396001E-3</v>
      </c>
    </row>
    <row r="1478" spans="1:17" s="212" customFormat="1" ht="15.5" x14ac:dyDescent="0.35">
      <c r="A1478" s="198">
        <v>2039</v>
      </c>
      <c r="B1478" s="197" t="s">
        <v>5842</v>
      </c>
      <c r="C1478" s="197">
        <v>2039</v>
      </c>
      <c r="D1478" s="213" t="str">
        <f t="shared" si="17"/>
        <v>2039_2039</v>
      </c>
      <c r="E1478" s="1267">
        <v>5.6565326638450701E-2</v>
      </c>
      <c r="F1478" s="1278">
        <v>2.7376235875523299E-3</v>
      </c>
      <c r="G1478" s="1248">
        <v>0.113938836141063</v>
      </c>
      <c r="H1478" s="1278">
        <v>2.0907358323104301E-2</v>
      </c>
      <c r="I1478" s="1248">
        <v>5.0522030939589499E-3</v>
      </c>
      <c r="J1478" s="1278">
        <v>1.08899424517581E-3</v>
      </c>
      <c r="K1478" s="1248">
        <v>3.0000008610180898E-3</v>
      </c>
      <c r="L1478" s="1250">
        <v>2.00000057411225E-3</v>
      </c>
      <c r="M1478" s="1275">
        <v>2.0000005740404901E-3</v>
      </c>
      <c r="N1478" s="1248">
        <v>3.1850009128239903E-2</v>
      </c>
      <c r="O1478" s="1249">
        <v>3.1850009128239903E-2</v>
      </c>
      <c r="P1478" s="1260">
        <v>1.59250045641199E-2</v>
      </c>
      <c r="Q1478" s="1252">
        <v>5.2806412990485802E-3</v>
      </c>
    </row>
    <row r="1479" spans="1:17" s="212" customFormat="1" ht="15.5" x14ac:dyDescent="0.35">
      <c r="A1479" s="198">
        <v>2039</v>
      </c>
      <c r="B1479" s="197" t="s">
        <v>5842</v>
      </c>
      <c r="C1479" s="197">
        <v>2040</v>
      </c>
      <c r="D1479" s="213" t="str">
        <f t="shared" si="17"/>
        <v>2039_2040</v>
      </c>
      <c r="E1479" s="1268">
        <v>5.6565326638450701E-2</v>
      </c>
      <c r="F1479" s="1279">
        <v>2.7376235875523299E-3</v>
      </c>
      <c r="G1479" s="1255">
        <v>0.113938836141063</v>
      </c>
      <c r="H1479" s="1279">
        <v>2.0907358323104301E-2</v>
      </c>
      <c r="I1479" s="1255">
        <v>5.0522030939589499E-3</v>
      </c>
      <c r="J1479" s="1279">
        <v>1.08899424517581E-3</v>
      </c>
      <c r="K1479" s="1255">
        <v>3.0000008610180898E-3</v>
      </c>
      <c r="L1479" s="1253">
        <v>2.00000057411225E-3</v>
      </c>
      <c r="M1479" s="1273">
        <v>2.0000005740404901E-3</v>
      </c>
      <c r="N1479" s="1255">
        <v>3.1850009128239903E-2</v>
      </c>
      <c r="O1479" s="1256">
        <v>3.1850009128239903E-2</v>
      </c>
      <c r="P1479" s="1251">
        <v>1.59250045641199E-2</v>
      </c>
      <c r="Q1479" s="1254">
        <v>5.2806412990485802E-3</v>
      </c>
    </row>
    <row r="1480" spans="1:17" s="212" customFormat="1" ht="15.5" x14ac:dyDescent="0.35">
      <c r="A1480" s="198">
        <v>2040</v>
      </c>
      <c r="B1480" s="197" t="s">
        <v>5842</v>
      </c>
      <c r="C1480" s="197">
        <v>1971</v>
      </c>
      <c r="D1480" s="213" t="str">
        <f t="shared" si="17"/>
        <v>2040_1971</v>
      </c>
      <c r="E1480" s="1268">
        <v>0.369132969593987</v>
      </c>
      <c r="F1480" s="1279">
        <v>2.2362004245623901E-2</v>
      </c>
      <c r="G1480" s="1255">
        <v>9.3605601058059307</v>
      </c>
      <c r="H1480" s="1279">
        <v>0.39301947125669401</v>
      </c>
      <c r="I1480" s="1255">
        <v>5.2855548930897597E-2</v>
      </c>
      <c r="J1480" s="1279">
        <v>2.1799612976891201E-3</v>
      </c>
      <c r="K1480" s="1255">
        <v>3.0000008612995599E-3</v>
      </c>
      <c r="L1480" s="1253">
        <v>2.0000005741470902E-3</v>
      </c>
      <c r="M1480" s="1273">
        <v>2.0000005741470902E-3</v>
      </c>
      <c r="N1480" s="1255">
        <v>3.1850009128239903E-2</v>
      </c>
      <c r="O1480" s="1256">
        <v>3.1850009128239903E-2</v>
      </c>
      <c r="P1480" s="1251">
        <v>1.5925004564119952E-2</v>
      </c>
      <c r="Q1480" s="1254">
        <v>5.5245442310528102E-2</v>
      </c>
    </row>
    <row r="1481" spans="1:17" s="212" customFormat="1" ht="15.5" x14ac:dyDescent="0.35">
      <c r="A1481" s="198">
        <v>2040</v>
      </c>
      <c r="B1481" s="197" t="s">
        <v>5842</v>
      </c>
      <c r="C1481" s="197">
        <v>1972</v>
      </c>
      <c r="D1481" s="213" t="str">
        <f t="shared" si="17"/>
        <v>2040_1972</v>
      </c>
      <c r="E1481" s="1268">
        <v>0.369132969593987</v>
      </c>
      <c r="F1481" s="1279">
        <v>2.2362004245623901E-2</v>
      </c>
      <c r="G1481" s="1255">
        <v>9.3605601058059307</v>
      </c>
      <c r="H1481" s="1279">
        <v>0.39301947125669401</v>
      </c>
      <c r="I1481" s="1255">
        <v>5.2855548930897597E-2</v>
      </c>
      <c r="J1481" s="1279">
        <v>2.1799612976891201E-3</v>
      </c>
      <c r="K1481" s="1255">
        <v>3.0000008612995599E-3</v>
      </c>
      <c r="L1481" s="1253">
        <v>2.0000005741470902E-3</v>
      </c>
      <c r="M1481" s="1273">
        <v>2.0000005741470902E-3</v>
      </c>
      <c r="N1481" s="1255">
        <v>3.1850009128239903E-2</v>
      </c>
      <c r="O1481" s="1256">
        <v>3.1850009128239903E-2</v>
      </c>
      <c r="P1481" s="1251">
        <v>1.5925004564119952E-2</v>
      </c>
      <c r="Q1481" s="1254">
        <v>5.5245442310528102E-2</v>
      </c>
    </row>
    <row r="1482" spans="1:17" s="212" customFormat="1" ht="15.5" x14ac:dyDescent="0.35">
      <c r="A1482" s="198">
        <v>2040</v>
      </c>
      <c r="B1482" s="197" t="s">
        <v>5842</v>
      </c>
      <c r="C1482" s="197">
        <v>1973</v>
      </c>
      <c r="D1482" s="213" t="str">
        <f t="shared" si="17"/>
        <v>2040_1973</v>
      </c>
      <c r="E1482" s="1268">
        <v>0.369132969593987</v>
      </c>
      <c r="F1482" s="1279">
        <v>2.2362004245623901E-2</v>
      </c>
      <c r="G1482" s="1255">
        <v>9.3605601058059307</v>
      </c>
      <c r="H1482" s="1279">
        <v>0.39301947125669401</v>
      </c>
      <c r="I1482" s="1255">
        <v>5.2855548930897597E-2</v>
      </c>
      <c r="J1482" s="1279">
        <v>2.1799612976891201E-3</v>
      </c>
      <c r="K1482" s="1255">
        <v>3.0000008612995599E-3</v>
      </c>
      <c r="L1482" s="1253">
        <v>2.0000005741470902E-3</v>
      </c>
      <c r="M1482" s="1273">
        <v>2.0000005741470902E-3</v>
      </c>
      <c r="N1482" s="1255">
        <v>3.1850009128239903E-2</v>
      </c>
      <c r="O1482" s="1256">
        <v>3.1850009128239903E-2</v>
      </c>
      <c r="P1482" s="1251">
        <v>1.5925004564119952E-2</v>
      </c>
      <c r="Q1482" s="1254">
        <v>5.5245442310528102E-2</v>
      </c>
    </row>
    <row r="1483" spans="1:17" s="212" customFormat="1" ht="15.5" x14ac:dyDescent="0.35">
      <c r="A1483" s="198">
        <v>2040</v>
      </c>
      <c r="B1483" s="197" t="s">
        <v>5842</v>
      </c>
      <c r="C1483" s="197">
        <v>1974</v>
      </c>
      <c r="D1483" s="213" t="str">
        <f t="shared" si="17"/>
        <v>2040_1974</v>
      </c>
      <c r="E1483" s="1268">
        <v>0.369132969593987</v>
      </c>
      <c r="F1483" s="1279">
        <v>2.2362004245623901E-2</v>
      </c>
      <c r="G1483" s="1255">
        <v>9.3605601058059307</v>
      </c>
      <c r="H1483" s="1279">
        <v>0.39301947125669401</v>
      </c>
      <c r="I1483" s="1255">
        <v>5.2855548930897597E-2</v>
      </c>
      <c r="J1483" s="1279">
        <v>2.1799612976891201E-3</v>
      </c>
      <c r="K1483" s="1255">
        <v>3.0000008612995599E-3</v>
      </c>
      <c r="L1483" s="1253">
        <v>2.0000005741470902E-3</v>
      </c>
      <c r="M1483" s="1273">
        <v>2.0000005741470902E-3</v>
      </c>
      <c r="N1483" s="1255">
        <v>3.1850009128239903E-2</v>
      </c>
      <c r="O1483" s="1256">
        <v>3.1850009128239903E-2</v>
      </c>
      <c r="P1483" s="1251">
        <v>1.5925004564119952E-2</v>
      </c>
      <c r="Q1483" s="1254">
        <v>5.5245442310528102E-2</v>
      </c>
    </row>
    <row r="1484" spans="1:17" s="212" customFormat="1" ht="15.5" x14ac:dyDescent="0.35">
      <c r="A1484" s="198">
        <v>2040</v>
      </c>
      <c r="B1484" s="197" t="s">
        <v>5842</v>
      </c>
      <c r="C1484" s="197">
        <v>1975</v>
      </c>
      <c r="D1484" s="213" t="str">
        <f t="shared" si="17"/>
        <v>2040_1975</v>
      </c>
      <c r="E1484" s="1268">
        <v>0.369132969593987</v>
      </c>
      <c r="F1484" s="1279">
        <v>2.2362004245623901E-2</v>
      </c>
      <c r="G1484" s="1255">
        <v>9.3605601058059307</v>
      </c>
      <c r="H1484" s="1279">
        <v>0.39301947125669401</v>
      </c>
      <c r="I1484" s="1255">
        <v>5.2855548930897597E-2</v>
      </c>
      <c r="J1484" s="1279">
        <v>2.1799612976891201E-3</v>
      </c>
      <c r="K1484" s="1255">
        <v>3.0000008612995599E-3</v>
      </c>
      <c r="L1484" s="1253">
        <v>2.0000005741470902E-3</v>
      </c>
      <c r="M1484" s="1273">
        <v>2.0000005741470902E-3</v>
      </c>
      <c r="N1484" s="1255">
        <v>3.1850009128239903E-2</v>
      </c>
      <c r="O1484" s="1256">
        <v>3.1850009128239903E-2</v>
      </c>
      <c r="P1484" s="1251">
        <v>1.5925004564119952E-2</v>
      </c>
      <c r="Q1484" s="1254">
        <v>5.5245442310528102E-2</v>
      </c>
    </row>
    <row r="1485" spans="1:17" s="212" customFormat="1" ht="15.5" x14ac:dyDescent="0.35">
      <c r="A1485" s="198">
        <v>2040</v>
      </c>
      <c r="B1485" s="197" t="s">
        <v>5842</v>
      </c>
      <c r="C1485" s="197">
        <v>1976</v>
      </c>
      <c r="D1485" s="213" t="str">
        <f t="shared" si="17"/>
        <v>2040_1976</v>
      </c>
      <c r="E1485" s="1268">
        <v>0.369132969593987</v>
      </c>
      <c r="F1485" s="1279">
        <v>2.2362004245623901E-2</v>
      </c>
      <c r="G1485" s="1255">
        <v>9.3605601058059307</v>
      </c>
      <c r="H1485" s="1279">
        <v>0.39301947125669401</v>
      </c>
      <c r="I1485" s="1255">
        <v>5.2855548930897597E-2</v>
      </c>
      <c r="J1485" s="1279">
        <v>2.1799612976891201E-3</v>
      </c>
      <c r="K1485" s="1255">
        <v>3.0000008612995599E-3</v>
      </c>
      <c r="L1485" s="1253">
        <v>2.0000005741470902E-3</v>
      </c>
      <c r="M1485" s="1273">
        <v>2.0000005741470902E-3</v>
      </c>
      <c r="N1485" s="1255">
        <v>3.1850009128239903E-2</v>
      </c>
      <c r="O1485" s="1256">
        <v>3.1850009128239903E-2</v>
      </c>
      <c r="P1485" s="1251">
        <v>1.5925004564119952E-2</v>
      </c>
      <c r="Q1485" s="1254">
        <v>5.5245442310528102E-2</v>
      </c>
    </row>
    <row r="1486" spans="1:17" s="212" customFormat="1" ht="15.5" x14ac:dyDescent="0.35">
      <c r="A1486" s="198">
        <v>2040</v>
      </c>
      <c r="B1486" s="197" t="s">
        <v>5842</v>
      </c>
      <c r="C1486" s="197">
        <v>1977</v>
      </c>
      <c r="D1486" s="213" t="str">
        <f t="shared" si="17"/>
        <v>2040_1977</v>
      </c>
      <c r="E1486" s="1268">
        <v>0.369132969593987</v>
      </c>
      <c r="F1486" s="1279">
        <v>2.2362004245623901E-2</v>
      </c>
      <c r="G1486" s="1255">
        <v>9.3605601058059307</v>
      </c>
      <c r="H1486" s="1279">
        <v>0.39301947125669401</v>
      </c>
      <c r="I1486" s="1255">
        <v>5.2855548930897597E-2</v>
      </c>
      <c r="J1486" s="1279">
        <v>2.1799612976891201E-3</v>
      </c>
      <c r="K1486" s="1255">
        <v>3.0000008612995599E-3</v>
      </c>
      <c r="L1486" s="1253">
        <v>2.0000005741470902E-3</v>
      </c>
      <c r="M1486" s="1273">
        <v>2.0000005741470902E-3</v>
      </c>
      <c r="N1486" s="1255">
        <v>3.1850009128239903E-2</v>
      </c>
      <c r="O1486" s="1256">
        <v>3.1850009128239903E-2</v>
      </c>
      <c r="P1486" s="1251">
        <v>1.5925004564119952E-2</v>
      </c>
      <c r="Q1486" s="1254">
        <v>5.5245442310528102E-2</v>
      </c>
    </row>
    <row r="1487" spans="1:17" s="212" customFormat="1" ht="15.5" x14ac:dyDescent="0.35">
      <c r="A1487" s="198">
        <v>2040</v>
      </c>
      <c r="B1487" s="197" t="s">
        <v>5842</v>
      </c>
      <c r="C1487" s="197">
        <v>1978</v>
      </c>
      <c r="D1487" s="213" t="str">
        <f t="shared" si="17"/>
        <v>2040_1978</v>
      </c>
      <c r="E1487" s="1268">
        <v>0.369132969593987</v>
      </c>
      <c r="F1487" s="1279">
        <v>2.2362004245623901E-2</v>
      </c>
      <c r="G1487" s="1255">
        <v>9.3605601058059307</v>
      </c>
      <c r="H1487" s="1279">
        <v>0.39301947125669401</v>
      </c>
      <c r="I1487" s="1255">
        <v>5.2855548930897597E-2</v>
      </c>
      <c r="J1487" s="1279">
        <v>2.1799612976891201E-3</v>
      </c>
      <c r="K1487" s="1255">
        <v>3.0000008612995599E-3</v>
      </c>
      <c r="L1487" s="1253">
        <v>2.0000005741470902E-3</v>
      </c>
      <c r="M1487" s="1273">
        <v>2.0000005741470902E-3</v>
      </c>
      <c r="N1487" s="1255">
        <v>3.1850009128239903E-2</v>
      </c>
      <c r="O1487" s="1256">
        <v>3.1850009128239903E-2</v>
      </c>
      <c r="P1487" s="1251">
        <v>1.5925004564119952E-2</v>
      </c>
      <c r="Q1487" s="1254">
        <v>5.5245442310528102E-2</v>
      </c>
    </row>
    <row r="1488" spans="1:17" s="212" customFormat="1" ht="15.5" x14ac:dyDescent="0.35">
      <c r="A1488" s="198">
        <v>2040</v>
      </c>
      <c r="B1488" s="197" t="s">
        <v>5842</v>
      </c>
      <c r="C1488" s="197">
        <v>1979</v>
      </c>
      <c r="D1488" s="213" t="str">
        <f t="shared" si="17"/>
        <v>2040_1979</v>
      </c>
      <c r="E1488" s="1268">
        <v>0.369132969593987</v>
      </c>
      <c r="F1488" s="1279">
        <v>2.2362004245623901E-2</v>
      </c>
      <c r="G1488" s="1255">
        <v>9.3605601058059307</v>
      </c>
      <c r="H1488" s="1279">
        <v>0.39301947125669401</v>
      </c>
      <c r="I1488" s="1255">
        <v>5.2855548930897597E-2</v>
      </c>
      <c r="J1488" s="1279">
        <v>2.1799612976891201E-3</v>
      </c>
      <c r="K1488" s="1255">
        <v>3.0000008612995599E-3</v>
      </c>
      <c r="L1488" s="1253">
        <v>2.0000005741470902E-3</v>
      </c>
      <c r="M1488" s="1273">
        <v>2.0000005741470902E-3</v>
      </c>
      <c r="N1488" s="1255">
        <v>3.1850009128239903E-2</v>
      </c>
      <c r="O1488" s="1256">
        <v>3.1850009128239903E-2</v>
      </c>
      <c r="P1488" s="1251">
        <v>1.5925004564119952E-2</v>
      </c>
      <c r="Q1488" s="1254">
        <v>5.5245442310528102E-2</v>
      </c>
    </row>
    <row r="1489" spans="1:17" s="212" customFormat="1" ht="15.5" x14ac:dyDescent="0.35">
      <c r="A1489" s="198">
        <v>2040</v>
      </c>
      <c r="B1489" s="197" t="s">
        <v>5842</v>
      </c>
      <c r="C1489" s="197">
        <v>1980</v>
      </c>
      <c r="D1489" s="213" t="str">
        <f t="shared" si="17"/>
        <v>2040_1980</v>
      </c>
      <c r="E1489" s="1268">
        <v>0.369132969593987</v>
      </c>
      <c r="F1489" s="1279">
        <v>2.2362004245623901E-2</v>
      </c>
      <c r="G1489" s="1255">
        <v>9.3605601058059307</v>
      </c>
      <c r="H1489" s="1279">
        <v>0.39301947125669401</v>
      </c>
      <c r="I1489" s="1255">
        <v>5.2855548930897597E-2</v>
      </c>
      <c r="J1489" s="1279">
        <v>2.1799612976891201E-3</v>
      </c>
      <c r="K1489" s="1255">
        <v>3.0000008612995599E-3</v>
      </c>
      <c r="L1489" s="1253">
        <v>2.0000005741470902E-3</v>
      </c>
      <c r="M1489" s="1273">
        <v>2.0000005741470902E-3</v>
      </c>
      <c r="N1489" s="1255">
        <v>3.1850009128239903E-2</v>
      </c>
      <c r="O1489" s="1256">
        <v>3.1850009128239903E-2</v>
      </c>
      <c r="P1489" s="1251">
        <v>1.5925004564119952E-2</v>
      </c>
      <c r="Q1489" s="1254">
        <v>5.5245442310528102E-2</v>
      </c>
    </row>
    <row r="1490" spans="1:17" s="212" customFormat="1" ht="15.5" x14ac:dyDescent="0.35">
      <c r="A1490" s="198">
        <v>2040</v>
      </c>
      <c r="B1490" s="197" t="s">
        <v>5842</v>
      </c>
      <c r="C1490" s="197">
        <v>1981</v>
      </c>
      <c r="D1490" s="213" t="str">
        <f t="shared" si="17"/>
        <v>2040_1981</v>
      </c>
      <c r="E1490" s="1268">
        <v>0.369132969593987</v>
      </c>
      <c r="F1490" s="1279">
        <v>2.2362004245623901E-2</v>
      </c>
      <c r="G1490" s="1255">
        <v>9.3605601058059307</v>
      </c>
      <c r="H1490" s="1279">
        <v>0.39301947125669401</v>
      </c>
      <c r="I1490" s="1255">
        <v>5.2855548930897597E-2</v>
      </c>
      <c r="J1490" s="1279">
        <v>2.1799612976891201E-3</v>
      </c>
      <c r="K1490" s="1255">
        <v>3.0000008612995599E-3</v>
      </c>
      <c r="L1490" s="1253">
        <v>2.0000005741470902E-3</v>
      </c>
      <c r="M1490" s="1273">
        <v>2.0000005741470902E-3</v>
      </c>
      <c r="N1490" s="1255">
        <v>3.1850009128239903E-2</v>
      </c>
      <c r="O1490" s="1256">
        <v>3.1850009128239903E-2</v>
      </c>
      <c r="P1490" s="1251">
        <v>1.5925004564119952E-2</v>
      </c>
      <c r="Q1490" s="1254">
        <v>5.5245442310528102E-2</v>
      </c>
    </row>
    <row r="1491" spans="1:17" s="212" customFormat="1" ht="15.5" x14ac:dyDescent="0.35">
      <c r="A1491" s="198">
        <v>2040</v>
      </c>
      <c r="B1491" s="197" t="s">
        <v>5842</v>
      </c>
      <c r="C1491" s="197">
        <v>1982</v>
      </c>
      <c r="D1491" s="213" t="str">
        <f t="shared" si="17"/>
        <v>2040_1982</v>
      </c>
      <c r="E1491" s="1268">
        <v>0.369132969593987</v>
      </c>
      <c r="F1491" s="1279">
        <v>2.2362004245623901E-2</v>
      </c>
      <c r="G1491" s="1255">
        <v>9.3605601058059307</v>
      </c>
      <c r="H1491" s="1279">
        <v>0.39301947125669401</v>
      </c>
      <c r="I1491" s="1255">
        <v>5.2855548930897597E-2</v>
      </c>
      <c r="J1491" s="1279">
        <v>2.1799612976891201E-3</v>
      </c>
      <c r="K1491" s="1255">
        <v>3.0000008612995599E-3</v>
      </c>
      <c r="L1491" s="1253">
        <v>2.0000005741470902E-3</v>
      </c>
      <c r="M1491" s="1273">
        <v>2.0000005741470902E-3</v>
      </c>
      <c r="N1491" s="1255">
        <v>3.1850009128239903E-2</v>
      </c>
      <c r="O1491" s="1256">
        <v>3.1850009128239903E-2</v>
      </c>
      <c r="P1491" s="1251">
        <v>1.5925004564119952E-2</v>
      </c>
      <c r="Q1491" s="1254">
        <v>5.5245442310528102E-2</v>
      </c>
    </row>
    <row r="1492" spans="1:17" s="212" customFormat="1" ht="15.5" x14ac:dyDescent="0.35">
      <c r="A1492" s="198">
        <v>2040</v>
      </c>
      <c r="B1492" s="197" t="s">
        <v>5842</v>
      </c>
      <c r="C1492" s="197">
        <v>1983</v>
      </c>
      <c r="D1492" s="213" t="str">
        <f t="shared" si="17"/>
        <v>2040_1983</v>
      </c>
      <c r="E1492" s="1268">
        <v>0.369132969593987</v>
      </c>
      <c r="F1492" s="1279">
        <v>2.2362004245623901E-2</v>
      </c>
      <c r="G1492" s="1255">
        <v>9.3605601058059307</v>
      </c>
      <c r="H1492" s="1279">
        <v>0.39301947125669401</v>
      </c>
      <c r="I1492" s="1255">
        <v>5.2855548930897597E-2</v>
      </c>
      <c r="J1492" s="1279">
        <v>2.1799612976891201E-3</v>
      </c>
      <c r="K1492" s="1255">
        <v>3.0000008612995599E-3</v>
      </c>
      <c r="L1492" s="1253">
        <v>2.0000005741470902E-3</v>
      </c>
      <c r="M1492" s="1273">
        <v>2.0000005741470902E-3</v>
      </c>
      <c r="N1492" s="1255">
        <v>3.1850009128239903E-2</v>
      </c>
      <c r="O1492" s="1256">
        <v>3.1850009128239903E-2</v>
      </c>
      <c r="P1492" s="1251">
        <v>1.5925004564119952E-2</v>
      </c>
      <c r="Q1492" s="1254">
        <v>5.5245442310528102E-2</v>
      </c>
    </row>
    <row r="1493" spans="1:17" s="212" customFormat="1" ht="15.5" x14ac:dyDescent="0.35">
      <c r="A1493" s="198">
        <v>2040</v>
      </c>
      <c r="B1493" s="197" t="s">
        <v>5842</v>
      </c>
      <c r="C1493" s="197">
        <v>1984</v>
      </c>
      <c r="D1493" s="213" t="str">
        <f t="shared" si="17"/>
        <v>2040_1984</v>
      </c>
      <c r="E1493" s="1268">
        <v>0.369132969593987</v>
      </c>
      <c r="F1493" s="1279">
        <v>2.2362004245623901E-2</v>
      </c>
      <c r="G1493" s="1255">
        <v>9.3605601058059307</v>
      </c>
      <c r="H1493" s="1279">
        <v>0.39301947125669401</v>
      </c>
      <c r="I1493" s="1255">
        <v>5.2855548930897597E-2</v>
      </c>
      <c r="J1493" s="1279">
        <v>2.1799612976891201E-3</v>
      </c>
      <c r="K1493" s="1255">
        <v>3.0000008612995599E-3</v>
      </c>
      <c r="L1493" s="1253">
        <v>2.0000005741470902E-3</v>
      </c>
      <c r="M1493" s="1273">
        <v>2.0000005741470902E-3</v>
      </c>
      <c r="N1493" s="1255">
        <v>3.1850009128239903E-2</v>
      </c>
      <c r="O1493" s="1256">
        <v>3.1850009128239903E-2</v>
      </c>
      <c r="P1493" s="1251">
        <v>1.5925004564119952E-2</v>
      </c>
      <c r="Q1493" s="1254">
        <v>5.5245442310528102E-2</v>
      </c>
    </row>
    <row r="1494" spans="1:17" s="212" customFormat="1" ht="15.5" x14ac:dyDescent="0.35">
      <c r="A1494" s="198">
        <v>2040</v>
      </c>
      <c r="B1494" s="197" t="s">
        <v>5842</v>
      </c>
      <c r="C1494" s="197">
        <v>1985</v>
      </c>
      <c r="D1494" s="213" t="str">
        <f t="shared" si="17"/>
        <v>2040_1985</v>
      </c>
      <c r="E1494" s="1268">
        <v>0.369132969593987</v>
      </c>
      <c r="F1494" s="1279">
        <v>2.2362004245623901E-2</v>
      </c>
      <c r="G1494" s="1255">
        <v>9.3605601058059307</v>
      </c>
      <c r="H1494" s="1279">
        <v>0.39301947125669401</v>
      </c>
      <c r="I1494" s="1255">
        <v>5.2855548930897597E-2</v>
      </c>
      <c r="J1494" s="1279">
        <v>2.1799612976891201E-3</v>
      </c>
      <c r="K1494" s="1255">
        <v>3.0000008612995599E-3</v>
      </c>
      <c r="L1494" s="1253">
        <v>2.0000005741470902E-3</v>
      </c>
      <c r="M1494" s="1273">
        <v>2.0000005741470902E-3</v>
      </c>
      <c r="N1494" s="1255">
        <v>3.1850009128239903E-2</v>
      </c>
      <c r="O1494" s="1256">
        <v>3.1850009128239903E-2</v>
      </c>
      <c r="P1494" s="1251">
        <v>1.5925004564119952E-2</v>
      </c>
      <c r="Q1494" s="1254">
        <v>5.5245442310528102E-2</v>
      </c>
    </row>
    <row r="1495" spans="1:17" s="212" customFormat="1" ht="15.5" x14ac:dyDescent="0.35">
      <c r="A1495" s="198">
        <v>2040</v>
      </c>
      <c r="B1495" s="197" t="s">
        <v>5842</v>
      </c>
      <c r="C1495" s="197">
        <v>1986</v>
      </c>
      <c r="D1495" s="213" t="str">
        <f t="shared" si="17"/>
        <v>2040_1986</v>
      </c>
      <c r="E1495" s="1268">
        <v>0.369132969593987</v>
      </c>
      <c r="F1495" s="1279">
        <v>2.2362004245623901E-2</v>
      </c>
      <c r="G1495" s="1255">
        <v>9.3605601058059307</v>
      </c>
      <c r="H1495" s="1279">
        <v>0.39301947125669401</v>
      </c>
      <c r="I1495" s="1255">
        <v>5.2855548930897597E-2</v>
      </c>
      <c r="J1495" s="1279">
        <v>2.1799612976891201E-3</v>
      </c>
      <c r="K1495" s="1255">
        <v>3.0000008612995599E-3</v>
      </c>
      <c r="L1495" s="1253">
        <v>2.0000005741470902E-3</v>
      </c>
      <c r="M1495" s="1273">
        <v>2.0000005741470902E-3</v>
      </c>
      <c r="N1495" s="1255">
        <v>3.1850009128239903E-2</v>
      </c>
      <c r="O1495" s="1256">
        <v>3.1850009128239903E-2</v>
      </c>
      <c r="P1495" s="1251">
        <v>1.5925004564119952E-2</v>
      </c>
      <c r="Q1495" s="1254">
        <v>5.5245442310528102E-2</v>
      </c>
    </row>
    <row r="1496" spans="1:17" s="212" customFormat="1" ht="15.5" x14ac:dyDescent="0.35">
      <c r="A1496" s="198">
        <v>2040</v>
      </c>
      <c r="B1496" s="197" t="s">
        <v>5842</v>
      </c>
      <c r="C1496" s="197">
        <v>1987</v>
      </c>
      <c r="D1496" s="213" t="str">
        <f t="shared" si="17"/>
        <v>2040_1987</v>
      </c>
      <c r="E1496" s="1268">
        <v>0.369132969593987</v>
      </c>
      <c r="F1496" s="1279">
        <v>2.2362004245623901E-2</v>
      </c>
      <c r="G1496" s="1255">
        <v>9.3605601058059307</v>
      </c>
      <c r="H1496" s="1279">
        <v>0.39301947125669401</v>
      </c>
      <c r="I1496" s="1255">
        <v>5.2855548930897597E-2</v>
      </c>
      <c r="J1496" s="1279">
        <v>2.1799612976891201E-3</v>
      </c>
      <c r="K1496" s="1255">
        <v>3.0000008612995599E-3</v>
      </c>
      <c r="L1496" s="1253">
        <v>2.0000005741470902E-3</v>
      </c>
      <c r="M1496" s="1273">
        <v>2.0000005741470902E-3</v>
      </c>
      <c r="N1496" s="1255">
        <v>3.1850009128239903E-2</v>
      </c>
      <c r="O1496" s="1256">
        <v>3.1850009128239903E-2</v>
      </c>
      <c r="P1496" s="1251">
        <v>1.5925004564119952E-2</v>
      </c>
      <c r="Q1496" s="1254">
        <v>5.5245442310528102E-2</v>
      </c>
    </row>
    <row r="1497" spans="1:17" s="212" customFormat="1" ht="15.5" x14ac:dyDescent="0.35">
      <c r="A1497" s="198">
        <v>2040</v>
      </c>
      <c r="B1497" s="197" t="s">
        <v>5842</v>
      </c>
      <c r="C1497" s="197">
        <v>1988</v>
      </c>
      <c r="D1497" s="213" t="str">
        <f t="shared" si="17"/>
        <v>2040_1988</v>
      </c>
      <c r="E1497" s="1268">
        <v>0.369132969593987</v>
      </c>
      <c r="F1497" s="1279">
        <v>2.2362004245623901E-2</v>
      </c>
      <c r="G1497" s="1255">
        <v>9.3605601058059307</v>
      </c>
      <c r="H1497" s="1279">
        <v>0.39301947125669401</v>
      </c>
      <c r="I1497" s="1255">
        <v>5.2855548930897597E-2</v>
      </c>
      <c r="J1497" s="1279">
        <v>2.1799612976891201E-3</v>
      </c>
      <c r="K1497" s="1255">
        <v>3.0000008612995599E-3</v>
      </c>
      <c r="L1497" s="1253">
        <v>2.0000005741470902E-3</v>
      </c>
      <c r="M1497" s="1273">
        <v>2.0000005741470902E-3</v>
      </c>
      <c r="N1497" s="1255">
        <v>3.1850009128239903E-2</v>
      </c>
      <c r="O1497" s="1256">
        <v>3.1850009128239903E-2</v>
      </c>
      <c r="P1497" s="1251">
        <v>1.5925004564119952E-2</v>
      </c>
      <c r="Q1497" s="1254">
        <v>5.5245442310528102E-2</v>
      </c>
    </row>
    <row r="1498" spans="1:17" s="212" customFormat="1" ht="15.5" x14ac:dyDescent="0.35">
      <c r="A1498" s="198">
        <v>2040</v>
      </c>
      <c r="B1498" s="197" t="s">
        <v>5842</v>
      </c>
      <c r="C1498" s="197">
        <v>1989</v>
      </c>
      <c r="D1498" s="213" t="str">
        <f t="shared" si="17"/>
        <v>2040_1989</v>
      </c>
      <c r="E1498" s="1268">
        <v>0.369132969593987</v>
      </c>
      <c r="F1498" s="1279">
        <v>2.2362004245623901E-2</v>
      </c>
      <c r="G1498" s="1255">
        <v>9.3605601058059307</v>
      </c>
      <c r="H1498" s="1279">
        <v>0.39301947125669401</v>
      </c>
      <c r="I1498" s="1255">
        <v>5.2855548930897597E-2</v>
      </c>
      <c r="J1498" s="1279">
        <v>2.1799612976891201E-3</v>
      </c>
      <c r="K1498" s="1255">
        <v>3.0000008612995599E-3</v>
      </c>
      <c r="L1498" s="1253">
        <v>2.0000005741470902E-3</v>
      </c>
      <c r="M1498" s="1273">
        <v>2.0000005741470902E-3</v>
      </c>
      <c r="N1498" s="1255">
        <v>3.1850009128239903E-2</v>
      </c>
      <c r="O1498" s="1256">
        <v>3.1850009128239903E-2</v>
      </c>
      <c r="P1498" s="1251">
        <v>1.5925004564119952E-2</v>
      </c>
      <c r="Q1498" s="1254">
        <v>5.5245442310528102E-2</v>
      </c>
    </row>
    <row r="1499" spans="1:17" s="212" customFormat="1" ht="15.5" x14ac:dyDescent="0.35">
      <c r="A1499" s="198">
        <v>2040</v>
      </c>
      <c r="B1499" s="197" t="s">
        <v>5842</v>
      </c>
      <c r="C1499" s="197">
        <v>1990</v>
      </c>
      <c r="D1499" s="213" t="str">
        <f t="shared" si="17"/>
        <v>2040_1990</v>
      </c>
      <c r="E1499" s="1268">
        <v>0.369132969593987</v>
      </c>
      <c r="F1499" s="1279">
        <v>2.2362004245623901E-2</v>
      </c>
      <c r="G1499" s="1255">
        <v>9.3605601058059307</v>
      </c>
      <c r="H1499" s="1279">
        <v>0.39301947125669401</v>
      </c>
      <c r="I1499" s="1255">
        <v>5.2855548930897597E-2</v>
      </c>
      <c r="J1499" s="1279">
        <v>2.1799612976891201E-3</v>
      </c>
      <c r="K1499" s="1255">
        <v>3.0000008612995599E-3</v>
      </c>
      <c r="L1499" s="1253">
        <v>2.0000005741470902E-3</v>
      </c>
      <c r="M1499" s="1273">
        <v>2.0000005741470902E-3</v>
      </c>
      <c r="N1499" s="1255">
        <v>3.1850009128239903E-2</v>
      </c>
      <c r="O1499" s="1256">
        <v>3.1850009128239903E-2</v>
      </c>
      <c r="P1499" s="1251">
        <v>1.5925004564119952E-2</v>
      </c>
      <c r="Q1499" s="1254">
        <v>5.5245442310528102E-2</v>
      </c>
    </row>
    <row r="1500" spans="1:17" s="212" customFormat="1" ht="15.5" x14ac:dyDescent="0.35">
      <c r="A1500" s="198">
        <v>2040</v>
      </c>
      <c r="B1500" s="197" t="s">
        <v>5842</v>
      </c>
      <c r="C1500" s="197">
        <v>1991</v>
      </c>
      <c r="D1500" s="213" t="str">
        <f t="shared" si="17"/>
        <v>2040_1991</v>
      </c>
      <c r="E1500" s="1268">
        <v>0.369132969593987</v>
      </c>
      <c r="F1500" s="1279">
        <v>2.2362004245623901E-2</v>
      </c>
      <c r="G1500" s="1255">
        <v>9.3605601058059307</v>
      </c>
      <c r="H1500" s="1279">
        <v>0.39301947125669401</v>
      </c>
      <c r="I1500" s="1255">
        <v>5.2855548930897597E-2</v>
      </c>
      <c r="J1500" s="1279">
        <v>2.1799612976891201E-3</v>
      </c>
      <c r="K1500" s="1255">
        <v>3.0000008612995599E-3</v>
      </c>
      <c r="L1500" s="1253">
        <v>2.0000005741470902E-3</v>
      </c>
      <c r="M1500" s="1273">
        <v>2.0000005741470902E-3</v>
      </c>
      <c r="N1500" s="1255">
        <v>3.1850009128239903E-2</v>
      </c>
      <c r="O1500" s="1256">
        <v>3.1850009128239903E-2</v>
      </c>
      <c r="P1500" s="1251">
        <v>1.5925004564119952E-2</v>
      </c>
      <c r="Q1500" s="1254">
        <v>5.5245442310528102E-2</v>
      </c>
    </row>
    <row r="1501" spans="1:17" s="212" customFormat="1" ht="15.5" x14ac:dyDescent="0.35">
      <c r="A1501" s="198">
        <v>2040</v>
      </c>
      <c r="B1501" s="197" t="s">
        <v>5842</v>
      </c>
      <c r="C1501" s="197">
        <v>1992</v>
      </c>
      <c r="D1501" s="213" t="str">
        <f t="shared" si="17"/>
        <v>2040_1992</v>
      </c>
      <c r="E1501" s="1268">
        <v>0.369132969593987</v>
      </c>
      <c r="F1501" s="1279">
        <v>2.2362004245623901E-2</v>
      </c>
      <c r="G1501" s="1255">
        <v>9.3605601058059307</v>
      </c>
      <c r="H1501" s="1279">
        <v>0.39301947125669401</v>
      </c>
      <c r="I1501" s="1255">
        <v>5.2855548930897597E-2</v>
      </c>
      <c r="J1501" s="1279">
        <v>2.1799612976891201E-3</v>
      </c>
      <c r="K1501" s="1255">
        <v>3.0000008612995599E-3</v>
      </c>
      <c r="L1501" s="1253">
        <v>2.0000005741470902E-3</v>
      </c>
      <c r="M1501" s="1273">
        <v>2.0000005741470902E-3</v>
      </c>
      <c r="N1501" s="1255">
        <v>3.1850009128239903E-2</v>
      </c>
      <c r="O1501" s="1256">
        <v>3.1850009128239903E-2</v>
      </c>
      <c r="P1501" s="1251">
        <v>1.5925004564119952E-2</v>
      </c>
      <c r="Q1501" s="1254">
        <v>5.5245442310528102E-2</v>
      </c>
    </row>
    <row r="1502" spans="1:17" s="212" customFormat="1" ht="15.5" x14ac:dyDescent="0.35">
      <c r="A1502" s="198">
        <v>2040</v>
      </c>
      <c r="B1502" s="197" t="s">
        <v>5842</v>
      </c>
      <c r="C1502" s="197">
        <v>1993</v>
      </c>
      <c r="D1502" s="213" t="str">
        <f t="shared" si="17"/>
        <v>2040_1993</v>
      </c>
      <c r="E1502" s="1268">
        <v>0.369132969593987</v>
      </c>
      <c r="F1502" s="1279">
        <v>2.2362004245623901E-2</v>
      </c>
      <c r="G1502" s="1255">
        <v>9.3605601058059307</v>
      </c>
      <c r="H1502" s="1279">
        <v>0.39301947125669401</v>
      </c>
      <c r="I1502" s="1255">
        <v>5.2855548930897597E-2</v>
      </c>
      <c r="J1502" s="1279">
        <v>2.1799612976891201E-3</v>
      </c>
      <c r="K1502" s="1255">
        <v>3.0000008612995599E-3</v>
      </c>
      <c r="L1502" s="1253">
        <v>2.0000005741470902E-3</v>
      </c>
      <c r="M1502" s="1273">
        <v>2.0000005741470902E-3</v>
      </c>
      <c r="N1502" s="1255">
        <v>3.1850009128239903E-2</v>
      </c>
      <c r="O1502" s="1256">
        <v>3.1850009128239903E-2</v>
      </c>
      <c r="P1502" s="1251">
        <v>1.5925004564119952E-2</v>
      </c>
      <c r="Q1502" s="1254">
        <v>5.5245442310528102E-2</v>
      </c>
    </row>
    <row r="1503" spans="1:17" s="212" customFormat="1" ht="15.5" x14ac:dyDescent="0.35">
      <c r="A1503" s="198">
        <v>2040</v>
      </c>
      <c r="B1503" s="197" t="s">
        <v>5842</v>
      </c>
      <c r="C1503" s="197">
        <v>1994</v>
      </c>
      <c r="D1503" s="213" t="str">
        <f t="shared" si="17"/>
        <v>2040_1994</v>
      </c>
      <c r="E1503" s="1268">
        <v>0.369132969593987</v>
      </c>
      <c r="F1503" s="1279">
        <v>2.2362004245623901E-2</v>
      </c>
      <c r="G1503" s="1255">
        <v>9.3605601058059307</v>
      </c>
      <c r="H1503" s="1279">
        <v>0.39301947125669401</v>
      </c>
      <c r="I1503" s="1255">
        <v>5.2855548930897597E-2</v>
      </c>
      <c r="J1503" s="1279">
        <v>2.1799612976891201E-3</v>
      </c>
      <c r="K1503" s="1255">
        <v>3.0000008612995599E-3</v>
      </c>
      <c r="L1503" s="1253">
        <v>2.0000005741470902E-3</v>
      </c>
      <c r="M1503" s="1273">
        <v>2.0000005741470902E-3</v>
      </c>
      <c r="N1503" s="1255">
        <v>3.1850009128239903E-2</v>
      </c>
      <c r="O1503" s="1256">
        <v>3.1850009128239903E-2</v>
      </c>
      <c r="P1503" s="1251">
        <v>1.5925004564119952E-2</v>
      </c>
      <c r="Q1503" s="1254">
        <v>5.5245442310528102E-2</v>
      </c>
    </row>
    <row r="1504" spans="1:17" s="212" customFormat="1" ht="15.5" x14ac:dyDescent="0.35">
      <c r="A1504" s="198">
        <v>2040</v>
      </c>
      <c r="B1504" s="197" t="s">
        <v>5842</v>
      </c>
      <c r="C1504" s="197">
        <v>1995</v>
      </c>
      <c r="D1504" s="213" t="str">
        <f t="shared" si="17"/>
        <v>2040_1995</v>
      </c>
      <c r="E1504" s="1268">
        <v>0.369132969593987</v>
      </c>
      <c r="F1504" s="1279">
        <v>2.2362004245623901E-2</v>
      </c>
      <c r="G1504" s="1255">
        <v>9.3605601058059307</v>
      </c>
      <c r="H1504" s="1279">
        <v>0.39301947125669401</v>
      </c>
      <c r="I1504" s="1255">
        <v>5.2855548930897597E-2</v>
      </c>
      <c r="J1504" s="1279">
        <v>2.1799612976891201E-3</v>
      </c>
      <c r="K1504" s="1255">
        <v>3.0000008612995599E-3</v>
      </c>
      <c r="L1504" s="1253">
        <v>2.0000005741470902E-3</v>
      </c>
      <c r="M1504" s="1273">
        <v>2.0000005741470902E-3</v>
      </c>
      <c r="N1504" s="1255">
        <v>3.1850009128239903E-2</v>
      </c>
      <c r="O1504" s="1256">
        <v>3.1850009128239903E-2</v>
      </c>
      <c r="P1504" s="1251">
        <v>1.5925004564119952E-2</v>
      </c>
      <c r="Q1504" s="1254">
        <v>5.5245442310528102E-2</v>
      </c>
    </row>
    <row r="1505" spans="1:17" s="212" customFormat="1" ht="15.5" x14ac:dyDescent="0.35">
      <c r="A1505" s="198">
        <v>2040</v>
      </c>
      <c r="B1505" s="197" t="s">
        <v>5842</v>
      </c>
      <c r="C1505" s="197">
        <v>1996</v>
      </c>
      <c r="D1505" s="213" t="str">
        <f t="shared" si="17"/>
        <v>2040_1996</v>
      </c>
      <c r="E1505" s="1267">
        <v>0.369132969593987</v>
      </c>
      <c r="F1505" s="1278">
        <v>2.2362004245623901E-2</v>
      </c>
      <c r="G1505" s="1248">
        <v>9.3605601058059307</v>
      </c>
      <c r="H1505" s="1278">
        <v>0.39301947125669401</v>
      </c>
      <c r="I1505" s="1248">
        <v>5.2855548930897597E-2</v>
      </c>
      <c r="J1505" s="1278">
        <v>2.1799612976891201E-3</v>
      </c>
      <c r="K1505" s="1248">
        <v>3.0000008612995599E-3</v>
      </c>
      <c r="L1505" s="1250">
        <v>2.0000005741470902E-3</v>
      </c>
      <c r="M1505" s="1273">
        <v>2.0000005741470902E-3</v>
      </c>
      <c r="N1505" s="1248">
        <v>3.1850009128239903E-2</v>
      </c>
      <c r="O1505" s="1249">
        <v>3.1850009128239903E-2</v>
      </c>
      <c r="P1505" s="1251">
        <v>1.5925004564119952E-2</v>
      </c>
      <c r="Q1505" s="1252">
        <v>5.5245442310528102E-2</v>
      </c>
    </row>
    <row r="1506" spans="1:17" s="212" customFormat="1" ht="15.5" x14ac:dyDescent="0.35">
      <c r="A1506" s="198">
        <v>2040</v>
      </c>
      <c r="B1506" s="197" t="s">
        <v>5842</v>
      </c>
      <c r="C1506" s="197">
        <v>1997</v>
      </c>
      <c r="D1506" s="213" t="str">
        <f t="shared" si="17"/>
        <v>2040_1997</v>
      </c>
      <c r="E1506" s="1267">
        <v>0.37100829805890101</v>
      </c>
      <c r="F1506" s="1278">
        <v>2.1462504330208899E-2</v>
      </c>
      <c r="G1506" s="1248">
        <v>9.3174900807631396</v>
      </c>
      <c r="H1506" s="1278">
        <v>0.38750468081813599</v>
      </c>
      <c r="I1506" s="1248">
        <v>5.3124074160566997E-2</v>
      </c>
      <c r="J1506" s="1278">
        <v>2.09629344066811E-3</v>
      </c>
      <c r="K1506" s="1248">
        <v>3.00000086130075E-3</v>
      </c>
      <c r="L1506" s="1250">
        <v>2.0000005740636101E-3</v>
      </c>
      <c r="M1506" s="1273">
        <v>2.0000005740636101E-3</v>
      </c>
      <c r="N1506" s="1248">
        <v>3.1850009128239903E-2</v>
      </c>
      <c r="O1506" s="1249">
        <v>3.1850009128239903E-2</v>
      </c>
      <c r="P1506" s="1251">
        <v>1.5925004564119952E-2</v>
      </c>
      <c r="Q1506" s="1252">
        <v>5.5526109059520101E-2</v>
      </c>
    </row>
    <row r="1507" spans="1:17" s="212" customFormat="1" ht="15.5" x14ac:dyDescent="0.35">
      <c r="A1507" s="198">
        <v>2040</v>
      </c>
      <c r="B1507" s="197" t="s">
        <v>5842</v>
      </c>
      <c r="C1507" s="197">
        <v>1998</v>
      </c>
      <c r="D1507" s="213" t="str">
        <f t="shared" si="17"/>
        <v>2040_1998</v>
      </c>
      <c r="E1507" s="1267">
        <v>0.37242370115906298</v>
      </c>
      <c r="F1507" s="1278">
        <v>2.17510891776539E-2</v>
      </c>
      <c r="G1507" s="1248">
        <v>9.3018466113075</v>
      </c>
      <c r="H1507" s="1278">
        <v>0.38954811269788903</v>
      </c>
      <c r="I1507" s="1248">
        <v>5.3326743426061897E-2</v>
      </c>
      <c r="J1507" s="1278">
        <v>2.1273393241521498E-3</v>
      </c>
      <c r="K1507" s="1248">
        <v>3.0000008613809701E-3</v>
      </c>
      <c r="L1507" s="1250">
        <v>2.0000005741050001E-3</v>
      </c>
      <c r="M1507" s="1273">
        <v>2.0000005741050001E-3</v>
      </c>
      <c r="N1507" s="1248">
        <v>3.1850009128239903E-2</v>
      </c>
      <c r="O1507" s="1249">
        <v>3.1850009128239903E-2</v>
      </c>
      <c r="P1507" s="1251">
        <v>1.5925004564119952E-2</v>
      </c>
      <c r="Q1507" s="1252">
        <v>5.5737942129869003E-2</v>
      </c>
    </row>
    <row r="1508" spans="1:17" s="212" customFormat="1" ht="15.5" x14ac:dyDescent="0.35">
      <c r="A1508" s="198">
        <v>2040</v>
      </c>
      <c r="B1508" s="197" t="s">
        <v>5842</v>
      </c>
      <c r="C1508" s="197">
        <v>1999</v>
      </c>
      <c r="D1508" s="213" t="str">
        <f t="shared" si="17"/>
        <v>2040_1999</v>
      </c>
      <c r="E1508" s="1267">
        <v>0.37049538776412799</v>
      </c>
      <c r="F1508" s="1278">
        <v>2.18023209010655E-2</v>
      </c>
      <c r="G1508" s="1248">
        <v>9.3349467183038595</v>
      </c>
      <c r="H1508" s="1278">
        <v>0.389861955542954</v>
      </c>
      <c r="I1508" s="1248">
        <v>5.3050631370527603E-2</v>
      </c>
      <c r="J1508" s="1278">
        <v>2.1276475313940302E-3</v>
      </c>
      <c r="K1508" s="1248">
        <v>3.0000008613462301E-3</v>
      </c>
      <c r="L1508" s="1250">
        <v>2.0000005741203299E-3</v>
      </c>
      <c r="M1508" s="1273">
        <v>2.0000005741203299E-3</v>
      </c>
      <c r="N1508" s="1248">
        <v>3.1850009128239903E-2</v>
      </c>
      <c r="O1508" s="1249">
        <v>3.1850009128239903E-2</v>
      </c>
      <c r="P1508" s="1251">
        <v>1.5925004564119952E-2</v>
      </c>
      <c r="Q1508" s="1252">
        <v>5.5449345512412603E-2</v>
      </c>
    </row>
    <row r="1509" spans="1:17" s="212" customFormat="1" ht="15.5" x14ac:dyDescent="0.35">
      <c r="A1509" s="198">
        <v>2040</v>
      </c>
      <c r="B1509" s="197" t="s">
        <v>5842</v>
      </c>
      <c r="C1509" s="197">
        <v>2000</v>
      </c>
      <c r="D1509" s="213" t="str">
        <f t="shared" si="17"/>
        <v>2040_2000</v>
      </c>
      <c r="E1509" s="1267">
        <v>0.36670573328276201</v>
      </c>
      <c r="F1509" s="1278">
        <v>2.2101963849490099E-2</v>
      </c>
      <c r="G1509" s="1248">
        <v>9.4125311926965001</v>
      </c>
      <c r="H1509" s="1278">
        <v>0.39245006376221903</v>
      </c>
      <c r="I1509" s="1248">
        <v>5.2507996915276002E-2</v>
      </c>
      <c r="J1509" s="1278">
        <v>2.1601609986511799E-3</v>
      </c>
      <c r="K1509" s="1248">
        <v>3.0000008612641499E-3</v>
      </c>
      <c r="L1509" s="1250">
        <v>2.0000005741592202E-3</v>
      </c>
      <c r="M1509" s="1273">
        <v>2.0000005741592202E-3</v>
      </c>
      <c r="N1509" s="1248">
        <v>3.1850009128239903E-2</v>
      </c>
      <c r="O1509" s="1249">
        <v>3.1850009128239903E-2</v>
      </c>
      <c r="P1509" s="1251">
        <v>1.5925004564119952E-2</v>
      </c>
      <c r="Q1509" s="1252">
        <v>5.48821755349993E-2</v>
      </c>
    </row>
    <row r="1510" spans="1:17" s="212" customFormat="1" ht="15.5" x14ac:dyDescent="0.35">
      <c r="A1510" s="198">
        <v>2040</v>
      </c>
      <c r="B1510" s="197" t="s">
        <v>5842</v>
      </c>
      <c r="C1510" s="197">
        <v>2001</v>
      </c>
      <c r="D1510" s="213" t="str">
        <f t="shared" si="17"/>
        <v>2040_2001</v>
      </c>
      <c r="E1510" s="1267">
        <v>0.37014048749764999</v>
      </c>
      <c r="F1510" s="1278">
        <v>2.21885124908912E-2</v>
      </c>
      <c r="G1510" s="1248">
        <v>9.3396481330899004</v>
      </c>
      <c r="H1510" s="1278">
        <v>0.39373336077042898</v>
      </c>
      <c r="I1510" s="1248">
        <v>5.2999813779183502E-2</v>
      </c>
      <c r="J1510" s="1278">
        <v>2.1711996950944299E-3</v>
      </c>
      <c r="K1510" s="1248">
        <v>3.0000008613447898E-3</v>
      </c>
      <c r="L1510" s="1250">
        <v>2.00000057418855E-3</v>
      </c>
      <c r="M1510" s="1273">
        <v>2.00000057418855E-3</v>
      </c>
      <c r="N1510" s="1248">
        <v>3.1850009128239903E-2</v>
      </c>
      <c r="O1510" s="1249">
        <v>3.1850009128239903E-2</v>
      </c>
      <c r="P1510" s="1251">
        <v>1.5925004564119952E-2</v>
      </c>
      <c r="Q1510" s="1252">
        <v>5.5396230175087699E-2</v>
      </c>
    </row>
    <row r="1511" spans="1:17" s="212" customFormat="1" ht="15.5" x14ac:dyDescent="0.35">
      <c r="A1511" s="198">
        <v>2040</v>
      </c>
      <c r="B1511" s="197" t="s">
        <v>5842</v>
      </c>
      <c r="C1511" s="197">
        <v>2002</v>
      </c>
      <c r="D1511" s="213" t="str">
        <f t="shared" si="17"/>
        <v>2040_2002</v>
      </c>
      <c r="E1511" s="1267">
        <v>0.286987457503185</v>
      </c>
      <c r="F1511" s="1278">
        <v>2.21253062617013E-2</v>
      </c>
      <c r="G1511" s="1248">
        <v>7.1984347495449201</v>
      </c>
      <c r="H1511" s="1278">
        <v>0.31738424211574301</v>
      </c>
      <c r="I1511" s="1248">
        <v>5.3493861729094802E-2</v>
      </c>
      <c r="J1511" s="1278">
        <v>2.1690245391804098E-3</v>
      </c>
      <c r="K1511" s="1248">
        <v>3.0000008613583402E-3</v>
      </c>
      <c r="L1511" s="1250">
        <v>2.0000005741638502E-3</v>
      </c>
      <c r="M1511" s="1273">
        <v>2.0000005741638502E-3</v>
      </c>
      <c r="N1511" s="1248">
        <v>3.1850009128239903E-2</v>
      </c>
      <c r="O1511" s="1249">
        <v>3.1850009128239903E-2</v>
      </c>
      <c r="P1511" s="1251">
        <v>1.5925004564119952E-2</v>
      </c>
      <c r="Q1511" s="1252">
        <v>5.5912616780988703E-2</v>
      </c>
    </row>
    <row r="1512" spans="1:17" s="212" customFormat="1" ht="15.5" x14ac:dyDescent="0.35">
      <c r="A1512" s="198">
        <v>2040</v>
      </c>
      <c r="B1512" s="197" t="s">
        <v>5842</v>
      </c>
      <c r="C1512" s="197">
        <v>2003</v>
      </c>
      <c r="D1512" s="213" t="str">
        <f t="shared" si="17"/>
        <v>2040_2003</v>
      </c>
      <c r="E1512" s="1267">
        <v>0.284457833282456</v>
      </c>
      <c r="F1512" s="1278">
        <v>2.18114438814897E-2</v>
      </c>
      <c r="G1512" s="1248">
        <v>7.2420955232152897</v>
      </c>
      <c r="H1512" s="1278">
        <v>0.31666057147752003</v>
      </c>
      <c r="I1512" s="1248">
        <v>5.3022345066075699E-2</v>
      </c>
      <c r="J1512" s="1278">
        <v>2.13722639562742E-3</v>
      </c>
      <c r="K1512" s="1248">
        <v>3.0000008612836001E-3</v>
      </c>
      <c r="L1512" s="1250">
        <v>2.00000057414937E-3</v>
      </c>
      <c r="M1512" s="1273">
        <v>2.00000057414937E-3</v>
      </c>
      <c r="N1512" s="1248">
        <v>3.1850009128239903E-2</v>
      </c>
      <c r="O1512" s="1249">
        <v>3.1850009128239903E-2</v>
      </c>
      <c r="P1512" s="1251">
        <v>1.5925004564119952E-2</v>
      </c>
      <c r="Q1512" s="1252">
        <v>5.5419780226792101E-2</v>
      </c>
    </row>
    <row r="1513" spans="1:17" s="212" customFormat="1" ht="15.5" x14ac:dyDescent="0.35">
      <c r="A1513" s="198">
        <v>2040</v>
      </c>
      <c r="B1513" s="197" t="s">
        <v>5842</v>
      </c>
      <c r="C1513" s="197">
        <v>2004</v>
      </c>
      <c r="D1513" s="213" t="str">
        <f t="shared" si="17"/>
        <v>2040_2004</v>
      </c>
      <c r="E1513" s="1267">
        <v>0.575702388563333</v>
      </c>
      <c r="F1513" s="1278">
        <v>1.4275505658552699E-2</v>
      </c>
      <c r="G1513" s="1248">
        <v>4.1412148157677997</v>
      </c>
      <c r="H1513" s="1278">
        <v>0.26776202489745599</v>
      </c>
      <c r="I1513" s="1248">
        <v>0.149983656577406</v>
      </c>
      <c r="J1513" s="1278">
        <v>1.38938275195582E-4</v>
      </c>
      <c r="K1513" s="1248">
        <v>3.0000008612777701E-3</v>
      </c>
      <c r="L1513" s="1250">
        <v>2.000000574084E-3</v>
      </c>
      <c r="M1513" s="1273">
        <v>2.000000574084E-3</v>
      </c>
      <c r="N1513" s="1248">
        <v>3.1850009128239903E-2</v>
      </c>
      <c r="O1513" s="1249">
        <v>3.1850009128239903E-2</v>
      </c>
      <c r="P1513" s="1251">
        <v>1.5925004564119952E-2</v>
      </c>
      <c r="Q1513" s="1252">
        <v>0.15676525198521701</v>
      </c>
    </row>
    <row r="1514" spans="1:17" s="212" customFormat="1" ht="15.5" x14ac:dyDescent="0.35">
      <c r="A1514" s="198">
        <v>2040</v>
      </c>
      <c r="B1514" s="197" t="s">
        <v>5842</v>
      </c>
      <c r="C1514" s="197">
        <v>2005</v>
      </c>
      <c r="D1514" s="213" t="str">
        <f t="shared" si="17"/>
        <v>2040_2005</v>
      </c>
      <c r="E1514" s="1267">
        <v>0.573426314976064</v>
      </c>
      <c r="F1514" s="1278">
        <v>1.44181616855821E-2</v>
      </c>
      <c r="G1514" s="1248">
        <v>4.1339497808023697</v>
      </c>
      <c r="H1514" s="1278">
        <v>0.26980074799095899</v>
      </c>
      <c r="I1514" s="1248">
        <v>0.149485042883684</v>
      </c>
      <c r="J1514" s="1278">
        <v>1.40883716308435E-4</v>
      </c>
      <c r="K1514" s="1248">
        <v>3.0000008612541601E-3</v>
      </c>
      <c r="L1514" s="1250">
        <v>2.0000005741224098E-3</v>
      </c>
      <c r="M1514" s="1273">
        <v>2.0000005741224098E-3</v>
      </c>
      <c r="N1514" s="1248">
        <v>3.1850009128239903E-2</v>
      </c>
      <c r="O1514" s="1249">
        <v>3.1850009128239903E-2</v>
      </c>
      <c r="P1514" s="1251">
        <v>1.5925004564119952E-2</v>
      </c>
      <c r="Q1514" s="1252">
        <v>0.15624409319283</v>
      </c>
    </row>
    <row r="1515" spans="1:17" s="212" customFormat="1" ht="15.5" x14ac:dyDescent="0.35">
      <c r="A1515" s="198">
        <v>2040</v>
      </c>
      <c r="B1515" s="197" t="s">
        <v>5842</v>
      </c>
      <c r="C1515" s="197">
        <v>2006</v>
      </c>
      <c r="D1515" s="213" t="str">
        <f t="shared" si="17"/>
        <v>2040_2006</v>
      </c>
      <c r="E1515" s="1267">
        <v>0.56968713616797095</v>
      </c>
      <c r="F1515" s="1278">
        <v>1.45816785848542E-2</v>
      </c>
      <c r="G1515" s="1248">
        <v>4.12104896225991</v>
      </c>
      <c r="H1515" s="1278">
        <v>0.27185725009754902</v>
      </c>
      <c r="I1515" s="1248">
        <v>0.14864233479889499</v>
      </c>
      <c r="J1515" s="1278">
        <v>1.4188195047028899E-4</v>
      </c>
      <c r="K1515" s="1248">
        <v>3.00000086124082E-3</v>
      </c>
      <c r="L1515" s="1250">
        <v>2.0000005741376298E-3</v>
      </c>
      <c r="M1515" s="1273">
        <v>2.0000005741376298E-3</v>
      </c>
      <c r="N1515" s="1248">
        <v>3.1850009128239903E-2</v>
      </c>
      <c r="O1515" s="1249">
        <v>3.1850009128239903E-2</v>
      </c>
      <c r="P1515" s="1251">
        <v>1.5925004564119952E-2</v>
      </c>
      <c r="Q1515" s="1252">
        <v>0.15536328158790899</v>
      </c>
    </row>
    <row r="1516" spans="1:17" s="212" customFormat="1" ht="15.5" x14ac:dyDescent="0.35">
      <c r="A1516" s="198">
        <v>2040</v>
      </c>
      <c r="B1516" s="197" t="s">
        <v>5842</v>
      </c>
      <c r="C1516" s="197">
        <v>2007</v>
      </c>
      <c r="D1516" s="213" t="str">
        <f t="shared" si="17"/>
        <v>2040_2007</v>
      </c>
      <c r="E1516" s="1267">
        <v>0.33238728284152302</v>
      </c>
      <c r="F1516" s="1278">
        <v>1.4520267316959099E-2</v>
      </c>
      <c r="G1516" s="1248">
        <v>2.4805882882800598</v>
      </c>
      <c r="H1516" s="1278">
        <v>0.27268674675326499</v>
      </c>
      <c r="I1516" s="1248">
        <v>8.7302364657071405E-2</v>
      </c>
      <c r="J1516" s="1278">
        <v>1.4493137268600101E-4</v>
      </c>
      <c r="K1516" s="1248">
        <v>3.0000008612439599E-3</v>
      </c>
      <c r="L1516" s="1250">
        <v>2.00000057419129E-3</v>
      </c>
      <c r="M1516" s="1273">
        <v>2.00000057419129E-3</v>
      </c>
      <c r="N1516" s="1248">
        <v>3.1850009128239903E-2</v>
      </c>
      <c r="O1516" s="1249">
        <v>3.1850009128239903E-2</v>
      </c>
      <c r="P1516" s="1251">
        <v>1.5925004564119952E-2</v>
      </c>
      <c r="Q1516" s="1252">
        <v>9.1249790188358507E-2</v>
      </c>
    </row>
    <row r="1517" spans="1:17" s="212" customFormat="1" ht="15.5" x14ac:dyDescent="0.35">
      <c r="A1517" s="198">
        <v>2040</v>
      </c>
      <c r="B1517" s="197" t="s">
        <v>5842</v>
      </c>
      <c r="C1517" s="197">
        <v>2008</v>
      </c>
      <c r="D1517" s="213" t="str">
        <f t="shared" si="17"/>
        <v>2040_2008</v>
      </c>
      <c r="E1517" s="1267">
        <v>0.33993166168829297</v>
      </c>
      <c r="F1517" s="1278">
        <v>9.8710224183161006E-3</v>
      </c>
      <c r="G1517" s="1248">
        <v>2.5050022338716502</v>
      </c>
      <c r="H1517" s="1278">
        <v>0.15840813136991599</v>
      </c>
      <c r="I1517" s="1248">
        <v>8.8886133679740201E-2</v>
      </c>
      <c r="J1517" s="1278">
        <v>1.4120727739113799E-4</v>
      </c>
      <c r="K1517" s="1248">
        <v>3.0000008613315999E-3</v>
      </c>
      <c r="L1517" s="1250">
        <v>2.0000005742167198E-3</v>
      </c>
      <c r="M1517" s="1273">
        <v>2.0000005742167198E-3</v>
      </c>
      <c r="N1517" s="1248">
        <v>3.1850009128239903E-2</v>
      </c>
      <c r="O1517" s="1249">
        <v>3.1850009128239903E-2</v>
      </c>
      <c r="P1517" s="1251">
        <v>1.5925004564119952E-2</v>
      </c>
      <c r="Q1517" s="1252">
        <v>9.2905170218361505E-2</v>
      </c>
    </row>
    <row r="1518" spans="1:17" s="212" customFormat="1" ht="15.5" x14ac:dyDescent="0.35">
      <c r="A1518" s="198">
        <v>2040</v>
      </c>
      <c r="B1518" s="197" t="s">
        <v>5842</v>
      </c>
      <c r="C1518" s="197">
        <v>2009</v>
      </c>
      <c r="D1518" s="213" t="str">
        <f t="shared" si="17"/>
        <v>2040_2009</v>
      </c>
      <c r="E1518" s="1267">
        <v>0.33834344934670402</v>
      </c>
      <c r="F1518" s="1278">
        <v>4.7970690275102599E-3</v>
      </c>
      <c r="G1518" s="1248">
        <v>2.4998441972069401</v>
      </c>
      <c r="H1518" s="1278">
        <v>4.2925061790128997E-2</v>
      </c>
      <c r="I1518" s="1248">
        <v>8.8536606090595202E-2</v>
      </c>
      <c r="J1518" s="1278">
        <v>1.29815406685676E-4</v>
      </c>
      <c r="K1518" s="1248">
        <v>3.0000008612916899E-3</v>
      </c>
      <c r="L1518" s="1250">
        <v>2.0000005741604098E-3</v>
      </c>
      <c r="M1518" s="1273">
        <v>2.0000005741604098E-3</v>
      </c>
      <c r="N1518" s="1248">
        <v>3.1850009128239903E-2</v>
      </c>
      <c r="O1518" s="1249">
        <v>3.1850009128239903E-2</v>
      </c>
      <c r="P1518" s="1251">
        <v>1.5925004564119952E-2</v>
      </c>
      <c r="Q1518" s="1252">
        <v>9.2539838542641001E-2</v>
      </c>
    </row>
    <row r="1519" spans="1:17" s="212" customFormat="1" ht="15.5" x14ac:dyDescent="0.35">
      <c r="A1519" s="198">
        <v>2040</v>
      </c>
      <c r="B1519" s="197" t="s">
        <v>5842</v>
      </c>
      <c r="C1519" s="197">
        <v>2010</v>
      </c>
      <c r="D1519" s="213" t="str">
        <f t="shared" si="17"/>
        <v>2040_2010</v>
      </c>
      <c r="E1519" s="1267">
        <v>9.0249008151777402E-2</v>
      </c>
      <c r="F1519" s="1278">
        <v>4.8018499248483303E-3</v>
      </c>
      <c r="G1519" s="1248">
        <v>0.82429119430270403</v>
      </c>
      <c r="H1519" s="1278">
        <v>4.3257283532279901E-2</v>
      </c>
      <c r="I1519" s="1248">
        <v>2.4790376756435101E-2</v>
      </c>
      <c r="J1519" s="1278">
        <v>1.58446262476517E-4</v>
      </c>
      <c r="K1519" s="1248">
        <v>3.0000008613370898E-3</v>
      </c>
      <c r="L1519" s="1250">
        <v>2.0000005741377101E-3</v>
      </c>
      <c r="M1519" s="1273">
        <v>2.0000005741377101E-3</v>
      </c>
      <c r="N1519" s="1248">
        <v>3.1850009128239903E-2</v>
      </c>
      <c r="O1519" s="1249">
        <v>3.1850009128239903E-2</v>
      </c>
      <c r="P1519" s="1251">
        <v>1.5925004564119952E-2</v>
      </c>
      <c r="Q1519" s="1252">
        <v>2.5911287587693399E-2</v>
      </c>
    </row>
    <row r="1520" spans="1:17" s="212" customFormat="1" ht="15.5" x14ac:dyDescent="0.35">
      <c r="A1520" s="198">
        <v>2040</v>
      </c>
      <c r="B1520" s="197" t="s">
        <v>5842</v>
      </c>
      <c r="C1520" s="197">
        <v>2011</v>
      </c>
      <c r="D1520" s="213" t="str">
        <f t="shared" si="17"/>
        <v>2040_2011</v>
      </c>
      <c r="E1520" s="1267">
        <v>8.9410700506671104E-2</v>
      </c>
      <c r="F1520" s="1278">
        <v>5.0013455054045601E-3</v>
      </c>
      <c r="G1520" s="1248">
        <v>0.82092234741235504</v>
      </c>
      <c r="H1520" s="1278">
        <v>4.3185598254675599E-2</v>
      </c>
      <c r="I1520" s="1248">
        <v>2.46353539187293E-2</v>
      </c>
      <c r="J1520" s="1278">
        <v>2.1680824468238701E-4</v>
      </c>
      <c r="K1520" s="1248">
        <v>3.00000086130843E-3</v>
      </c>
      <c r="L1520" s="1250">
        <v>2.0000005742374502E-3</v>
      </c>
      <c r="M1520" s="1273">
        <v>2.0000005742374502E-3</v>
      </c>
      <c r="N1520" s="1248">
        <v>3.1850009128239903E-2</v>
      </c>
      <c r="O1520" s="1249">
        <v>3.1850009128239903E-2</v>
      </c>
      <c r="P1520" s="1251">
        <v>1.5925004564119952E-2</v>
      </c>
      <c r="Q1520" s="1252">
        <v>2.5749255305170301E-2</v>
      </c>
    </row>
    <row r="1521" spans="1:17" s="212" customFormat="1" ht="15.5" x14ac:dyDescent="0.35">
      <c r="A1521" s="198">
        <v>2040</v>
      </c>
      <c r="B1521" s="197" t="s">
        <v>5842</v>
      </c>
      <c r="C1521" s="197">
        <v>2012</v>
      </c>
      <c r="D1521" s="213" t="str">
        <f t="shared" si="17"/>
        <v>2040_2012</v>
      </c>
      <c r="E1521" s="1267">
        <v>9.0160497851856397E-2</v>
      </c>
      <c r="F1521" s="1278">
        <v>4.9920433484193401E-3</v>
      </c>
      <c r="G1521" s="1248">
        <v>0.82410862882737002</v>
      </c>
      <c r="H1521" s="1278">
        <v>4.3254968555417599E-2</v>
      </c>
      <c r="I1521" s="1248">
        <v>2.4776870471949299E-2</v>
      </c>
      <c r="J1521" s="1278">
        <v>3.1649542200489801E-4</v>
      </c>
      <c r="K1521" s="1248">
        <v>3.0000008613663299E-3</v>
      </c>
      <c r="L1521" s="1250">
        <v>2.0000005742458701E-3</v>
      </c>
      <c r="M1521" s="1273">
        <v>2.0000005742458701E-3</v>
      </c>
      <c r="N1521" s="1248">
        <v>3.1850009128239903E-2</v>
      </c>
      <c r="O1521" s="1249">
        <v>3.1850009128239903E-2</v>
      </c>
      <c r="P1521" s="1251">
        <v>1.5925004564119952E-2</v>
      </c>
      <c r="Q1521" s="1252">
        <v>2.58971706089565E-2</v>
      </c>
    </row>
    <row r="1522" spans="1:17" s="212" customFormat="1" ht="15.5" x14ac:dyDescent="0.35">
      <c r="A1522" s="198">
        <v>2040</v>
      </c>
      <c r="B1522" s="197" t="s">
        <v>5842</v>
      </c>
      <c r="C1522" s="197">
        <v>2013</v>
      </c>
      <c r="D1522" s="213" t="str">
        <f t="shared" si="17"/>
        <v>2040_2013</v>
      </c>
      <c r="E1522" s="1267">
        <v>9.0113319837532804E-2</v>
      </c>
      <c r="F1522" s="1278">
        <v>5.0552389699664597E-3</v>
      </c>
      <c r="G1522" s="1248">
        <v>0.82308179775914403</v>
      </c>
      <c r="H1522" s="1278">
        <v>4.3092093064511998E-2</v>
      </c>
      <c r="I1522" s="1248">
        <v>2.47584898193332E-2</v>
      </c>
      <c r="J1522" s="1278">
        <v>4.7502801741169498E-4</v>
      </c>
      <c r="K1522" s="1248">
        <v>3.00000086139007E-3</v>
      </c>
      <c r="L1522" s="1250">
        <v>2.00000057428169E-3</v>
      </c>
      <c r="M1522" s="1273">
        <v>2.00000057428169E-3</v>
      </c>
      <c r="N1522" s="1248">
        <v>3.1850009128239903E-2</v>
      </c>
      <c r="O1522" s="1249">
        <v>3.1850009128239903E-2</v>
      </c>
      <c r="P1522" s="1251">
        <v>1.5925004564119952E-2</v>
      </c>
      <c r="Q1522" s="1252">
        <v>2.5877958864792099E-2</v>
      </c>
    </row>
    <row r="1523" spans="1:17" s="212" customFormat="1" ht="15.5" x14ac:dyDescent="0.35">
      <c r="A1523" s="198">
        <v>2040</v>
      </c>
      <c r="B1523" s="197" t="s">
        <v>5842</v>
      </c>
      <c r="C1523" s="197">
        <v>2014</v>
      </c>
      <c r="D1523" s="213" t="str">
        <f t="shared" si="17"/>
        <v>2040_2014</v>
      </c>
      <c r="E1523" s="1267">
        <v>8.9125182436022896E-2</v>
      </c>
      <c r="F1523" s="1278">
        <v>4.9578026744687203E-3</v>
      </c>
      <c r="G1523" s="1248">
        <v>0.81926055353312099</v>
      </c>
      <c r="H1523" s="1278">
        <v>4.3366810280857503E-2</v>
      </c>
      <c r="I1523" s="1248">
        <v>2.4577385784673299E-2</v>
      </c>
      <c r="J1523" s="1278">
        <v>6.5957533338881799E-4</v>
      </c>
      <c r="K1523" s="1248">
        <v>3.00000086132623E-3</v>
      </c>
      <c r="L1523" s="1250">
        <v>2.0000005742366301E-3</v>
      </c>
      <c r="M1523" s="1273">
        <v>2.0000005742366301E-3</v>
      </c>
      <c r="N1523" s="1248">
        <v>3.1850009128239903E-2</v>
      </c>
      <c r="O1523" s="1249">
        <v>3.1850009128239903E-2</v>
      </c>
      <c r="P1523" s="1251">
        <v>1.5925004564119952E-2</v>
      </c>
      <c r="Q1523" s="1252">
        <v>2.5688666109322099E-2</v>
      </c>
    </row>
    <row r="1524" spans="1:17" s="212" customFormat="1" ht="15.5" x14ac:dyDescent="0.35">
      <c r="A1524" s="198">
        <v>2040</v>
      </c>
      <c r="B1524" s="197" t="s">
        <v>5842</v>
      </c>
      <c r="C1524" s="197">
        <v>2015</v>
      </c>
      <c r="D1524" s="213" t="str">
        <f t="shared" si="17"/>
        <v>2040_2015</v>
      </c>
      <c r="E1524" s="1267">
        <v>8.9405634729043004E-2</v>
      </c>
      <c r="F1524" s="1278">
        <v>5.1017177746433403E-3</v>
      </c>
      <c r="G1524" s="1248">
        <v>0.82063916974098905</v>
      </c>
      <c r="H1524" s="1278">
        <v>4.3150774525334099E-2</v>
      </c>
      <c r="I1524" s="1248">
        <v>2.4632122950688499E-2</v>
      </c>
      <c r="J1524" s="1278">
        <v>8.3485709711043595E-4</v>
      </c>
      <c r="K1524" s="1248">
        <v>3.0000008613360499E-3</v>
      </c>
      <c r="L1524" s="1250">
        <v>2.0000005742722001E-3</v>
      </c>
      <c r="M1524" s="1273">
        <v>2.0000005742722001E-3</v>
      </c>
      <c r="N1524" s="1248">
        <v>3.1850009128239903E-2</v>
      </c>
      <c r="O1524" s="1249">
        <v>3.1850009128239903E-2</v>
      </c>
      <c r="P1524" s="1251">
        <v>1.5925004564119952E-2</v>
      </c>
      <c r="Q1524" s="1252">
        <v>2.5745878247091899E-2</v>
      </c>
    </row>
    <row r="1525" spans="1:17" s="212" customFormat="1" ht="15.5" x14ac:dyDescent="0.35">
      <c r="A1525" s="198">
        <v>2040</v>
      </c>
      <c r="B1525" s="197" t="s">
        <v>5842</v>
      </c>
      <c r="C1525" s="197">
        <v>2016</v>
      </c>
      <c r="D1525" s="213" t="str">
        <f t="shared" si="17"/>
        <v>2040_2016</v>
      </c>
      <c r="E1525" s="1267">
        <v>8.9588491026162898E-2</v>
      </c>
      <c r="F1525" s="1278">
        <v>4.7292782127679404E-3</v>
      </c>
      <c r="G1525" s="1248">
        <v>0.72621978035325097</v>
      </c>
      <c r="H1525" s="1278">
        <v>4.0598504219738103E-2</v>
      </c>
      <c r="I1525" s="1248">
        <v>2.46700088074501E-2</v>
      </c>
      <c r="J1525" s="1278">
        <v>9.6056482683831105E-4</v>
      </c>
      <c r="K1525" s="1248">
        <v>3.0000008613508601E-3</v>
      </c>
      <c r="L1525" s="1250">
        <v>2.00000057425361E-3</v>
      </c>
      <c r="M1525" s="1273">
        <v>2.00000057425361E-3</v>
      </c>
      <c r="N1525" s="1248">
        <v>3.1850009128239903E-2</v>
      </c>
      <c r="O1525" s="1249">
        <v>3.1850009128239903E-2</v>
      </c>
      <c r="P1525" s="1251">
        <v>1.5925004564119952E-2</v>
      </c>
      <c r="Q1525" s="1252">
        <v>2.57854771341803E-2</v>
      </c>
    </row>
    <row r="1526" spans="1:17" s="212" customFormat="1" ht="15.5" x14ac:dyDescent="0.35">
      <c r="A1526" s="198">
        <v>2040</v>
      </c>
      <c r="B1526" s="197" t="s">
        <v>5842</v>
      </c>
      <c r="C1526" s="197">
        <v>2017</v>
      </c>
      <c r="D1526" s="213" t="str">
        <f t="shared" si="17"/>
        <v>2040_2017</v>
      </c>
      <c r="E1526" s="1267">
        <v>8.8510719049316802E-2</v>
      </c>
      <c r="F1526" s="1278">
        <v>4.4967910911586301E-3</v>
      </c>
      <c r="G1526" s="1248">
        <v>0.62655854435229497</v>
      </c>
      <c r="H1526" s="1278">
        <v>3.7919823401059399E-2</v>
      </c>
      <c r="I1526" s="1248">
        <v>2.44252255263365E-2</v>
      </c>
      <c r="J1526" s="1278">
        <v>1.03567006305546E-3</v>
      </c>
      <c r="K1526" s="1248">
        <v>3.0000008612969201E-3</v>
      </c>
      <c r="L1526" s="1250">
        <v>2.0000005743047002E-3</v>
      </c>
      <c r="M1526" s="1273">
        <v>2.0000005743047002E-3</v>
      </c>
      <c r="N1526" s="1248">
        <v>3.1850009128239903E-2</v>
      </c>
      <c r="O1526" s="1249">
        <v>3.1850009128239903E-2</v>
      </c>
      <c r="P1526" s="1251">
        <v>1.5925004564119952E-2</v>
      </c>
      <c r="Q1526" s="1252">
        <v>2.5529625839304401E-2</v>
      </c>
    </row>
    <row r="1527" spans="1:17" s="212" customFormat="1" ht="15.5" x14ac:dyDescent="0.35">
      <c r="A1527" s="198">
        <v>2040</v>
      </c>
      <c r="B1527" s="197" t="s">
        <v>5842</v>
      </c>
      <c r="C1527" s="197">
        <v>2018</v>
      </c>
      <c r="D1527" s="213" t="str">
        <f t="shared" si="17"/>
        <v>2040_2018</v>
      </c>
      <c r="E1527" s="1267">
        <v>8.9324109271958899E-2</v>
      </c>
      <c r="F1527" s="1278">
        <v>3.9946858729877199E-3</v>
      </c>
      <c r="G1527" s="1248">
        <v>0.52006968287609801</v>
      </c>
      <c r="H1527" s="1278">
        <v>3.4121448577197198E-2</v>
      </c>
      <c r="I1527" s="1248">
        <v>2.4496029758517401E-2</v>
      </c>
      <c r="J1527" s="1278">
        <v>1.07724458692529E-3</v>
      </c>
      <c r="K1527" s="1248">
        <v>3.0000008613568401E-3</v>
      </c>
      <c r="L1527" s="1250">
        <v>2.0000005742567598E-3</v>
      </c>
      <c r="M1527" s="1273">
        <v>2.0000005742567598E-3</v>
      </c>
      <c r="N1527" s="1248">
        <v>3.1850009128239903E-2</v>
      </c>
      <c r="O1527" s="1249">
        <v>3.1850009128239903E-2</v>
      </c>
      <c r="P1527" s="1251">
        <v>1.5925004564119952E-2</v>
      </c>
      <c r="Q1527" s="1252">
        <v>2.5603631524675399E-2</v>
      </c>
    </row>
    <row r="1528" spans="1:17" s="212" customFormat="1" ht="15.5" x14ac:dyDescent="0.35">
      <c r="A1528" s="198">
        <v>2040</v>
      </c>
      <c r="B1528" s="197" t="s">
        <v>5842</v>
      </c>
      <c r="C1528" s="197">
        <v>2019</v>
      </c>
      <c r="D1528" s="213" t="str">
        <f t="shared" si="17"/>
        <v>2040_2019</v>
      </c>
      <c r="E1528" s="1267">
        <v>8.9385827331362799E-2</v>
      </c>
      <c r="F1528" s="1278">
        <v>3.4673339012434102E-3</v>
      </c>
      <c r="G1528" s="1248">
        <v>0.449860782416586</v>
      </c>
      <c r="H1528" s="1278">
        <v>3.0137672164354101E-2</v>
      </c>
      <c r="I1528" s="1248">
        <v>2.4371357741872001E-2</v>
      </c>
      <c r="J1528" s="1278">
        <v>1.0995102335524299E-3</v>
      </c>
      <c r="K1528" s="1248">
        <v>3.0000008614058699E-3</v>
      </c>
      <c r="L1528" s="1250">
        <v>2.0000005742115698E-3</v>
      </c>
      <c r="M1528" s="1273">
        <v>2.0000005742115698E-3</v>
      </c>
      <c r="N1528" s="1248">
        <v>3.1850009128239903E-2</v>
      </c>
      <c r="O1528" s="1249">
        <v>3.1850009128239903E-2</v>
      </c>
      <c r="P1528" s="1251">
        <v>1.5925004564119952E-2</v>
      </c>
      <c r="Q1528" s="1252">
        <v>2.5473322392661198E-2</v>
      </c>
    </row>
    <row r="1529" spans="1:17" s="212" customFormat="1" ht="15.5" x14ac:dyDescent="0.35">
      <c r="A1529" s="198">
        <v>2040</v>
      </c>
      <c r="B1529" s="197" t="s">
        <v>5842</v>
      </c>
      <c r="C1529" s="197">
        <v>2020</v>
      </c>
      <c r="D1529" s="213" t="str">
        <f t="shared" si="17"/>
        <v>2040_2020</v>
      </c>
      <c r="E1529" s="1267">
        <v>7.8303180242562401E-2</v>
      </c>
      <c r="F1529" s="1278">
        <v>2.82837580923943E-3</v>
      </c>
      <c r="G1529" s="1248">
        <v>0.35412007846323201</v>
      </c>
      <c r="H1529" s="1278">
        <v>2.6350954681077898E-2</v>
      </c>
      <c r="I1529" s="1248">
        <v>2.2061050727455799E-2</v>
      </c>
      <c r="J1529" s="1278">
        <v>1.0862353706834599E-3</v>
      </c>
      <c r="K1529" s="1248">
        <v>3.0000008609778902E-3</v>
      </c>
      <c r="L1529" s="1250">
        <v>2.0000005740821399E-3</v>
      </c>
      <c r="M1529" s="1273">
        <v>2.0000005740821399E-3</v>
      </c>
      <c r="N1529" s="1248">
        <v>3.1850009128239903E-2</v>
      </c>
      <c r="O1529" s="1249">
        <v>3.1850009128239903E-2</v>
      </c>
      <c r="P1529" s="1251">
        <v>1.5925004564119952E-2</v>
      </c>
      <c r="Q1529" s="1252">
        <v>2.3058553546888599E-2</v>
      </c>
    </row>
    <row r="1530" spans="1:17" s="212" customFormat="1" ht="15.5" x14ac:dyDescent="0.35">
      <c r="A1530" s="198">
        <v>2040</v>
      </c>
      <c r="B1530" s="197" t="s">
        <v>5842</v>
      </c>
      <c r="C1530" s="197">
        <v>2021</v>
      </c>
      <c r="D1530" s="213" t="str">
        <f t="shared" si="17"/>
        <v>2040_2021</v>
      </c>
      <c r="E1530" s="1267">
        <v>7.7965033552660601E-2</v>
      </c>
      <c r="F1530" s="1278">
        <v>2.4016141895099102E-3</v>
      </c>
      <c r="G1530" s="1248">
        <v>0.288008795309591</v>
      </c>
      <c r="H1530" s="1278">
        <v>2.2262580173329501E-2</v>
      </c>
      <c r="I1530" s="1248">
        <v>2.1781255030534501E-2</v>
      </c>
      <c r="J1530" s="1278">
        <v>1.0864043550636701E-3</v>
      </c>
      <c r="K1530" s="1248">
        <v>3.00000086098017E-3</v>
      </c>
      <c r="L1530" s="1250">
        <v>2.0000005740838499E-3</v>
      </c>
      <c r="M1530" s="1273">
        <v>2.0000005740838499E-3</v>
      </c>
      <c r="N1530" s="1248">
        <v>3.1850009128239903E-2</v>
      </c>
      <c r="O1530" s="1249">
        <v>3.1850009128239903E-2</v>
      </c>
      <c r="P1530" s="1251">
        <v>1.5925004564119952E-2</v>
      </c>
      <c r="Q1530" s="1252">
        <v>2.2766106730127501E-2</v>
      </c>
    </row>
    <row r="1531" spans="1:17" s="212" customFormat="1" ht="15.5" x14ac:dyDescent="0.35">
      <c r="A1531" s="198">
        <v>2040</v>
      </c>
      <c r="B1531" s="197" t="s">
        <v>5842</v>
      </c>
      <c r="C1531" s="197">
        <v>2022</v>
      </c>
      <c r="D1531" s="213" t="str">
        <f t="shared" si="17"/>
        <v>2040_2022</v>
      </c>
      <c r="E1531" s="1267">
        <v>7.7547661573142607E-2</v>
      </c>
      <c r="F1531" s="1278">
        <v>1.9745171160856999E-3</v>
      </c>
      <c r="G1531" s="1248">
        <v>0.221261486774287</v>
      </c>
      <c r="H1531" s="1278">
        <v>1.8190350338336801E-2</v>
      </c>
      <c r="I1531" s="1248">
        <v>2.14414866044043E-2</v>
      </c>
      <c r="J1531" s="1278">
        <v>1.08656586146504E-3</v>
      </c>
      <c r="K1531" s="1248">
        <v>3.0000008609823801E-3</v>
      </c>
      <c r="L1531" s="1250">
        <v>2.0000005740855101E-3</v>
      </c>
      <c r="M1531" s="1273">
        <v>2.0000005740855101E-3</v>
      </c>
      <c r="N1531" s="1248">
        <v>3.1850009128239903E-2</v>
      </c>
      <c r="O1531" s="1249">
        <v>3.1850009128239903E-2</v>
      </c>
      <c r="P1531" s="1251">
        <v>1.5925004564119952E-2</v>
      </c>
      <c r="Q1531" s="1252">
        <v>2.24109754834678E-2</v>
      </c>
    </row>
    <row r="1532" spans="1:17" s="212" customFormat="1" ht="15.5" x14ac:dyDescent="0.35">
      <c r="A1532" s="198">
        <v>2040</v>
      </c>
      <c r="B1532" s="197" t="s">
        <v>5842</v>
      </c>
      <c r="C1532" s="197">
        <v>2023</v>
      </c>
      <c r="D1532" s="213" t="str">
        <f t="shared" si="17"/>
        <v>2040_2023</v>
      </c>
      <c r="E1532" s="1267">
        <v>7.7051188228924997E-2</v>
      </c>
      <c r="F1532" s="1278">
        <v>1.95618137007934E-3</v>
      </c>
      <c r="G1532" s="1248">
        <v>0.218644621961022</v>
      </c>
      <c r="H1532" s="1278">
        <v>1.7888493234938099E-2</v>
      </c>
      <c r="I1532" s="1248">
        <v>2.1041729912943698E-2</v>
      </c>
      <c r="J1532" s="1278">
        <v>1.08671876447654E-3</v>
      </c>
      <c r="K1532" s="1248">
        <v>3.0000008609845099E-3</v>
      </c>
      <c r="L1532" s="1250">
        <v>2.0000005740871099E-3</v>
      </c>
      <c r="M1532" s="1273">
        <v>2.0000005740871099E-3</v>
      </c>
      <c r="N1532" s="1248">
        <v>3.1850009128239903E-2</v>
      </c>
      <c r="O1532" s="1249">
        <v>3.1850009128239903E-2</v>
      </c>
      <c r="P1532" s="1251">
        <v>1.5925004564119952E-2</v>
      </c>
      <c r="Q1532" s="1252">
        <v>2.19931435683134E-2</v>
      </c>
    </row>
    <row r="1533" spans="1:17" s="212" customFormat="1" ht="15.5" x14ac:dyDescent="0.35">
      <c r="A1533" s="198">
        <v>2040</v>
      </c>
      <c r="B1533" s="197" t="s">
        <v>5842</v>
      </c>
      <c r="C1533" s="197">
        <v>2024</v>
      </c>
      <c r="D1533" s="213" t="str">
        <f t="shared" si="17"/>
        <v>2040_2024</v>
      </c>
      <c r="E1533" s="1267">
        <v>7.6475005084290296E-2</v>
      </c>
      <c r="F1533" s="1278">
        <v>1.9369838103825399E-3</v>
      </c>
      <c r="G1533" s="1248">
        <v>0.215633024956224</v>
      </c>
      <c r="H1533" s="1278">
        <v>1.7562100376435599E-2</v>
      </c>
      <c r="I1533" s="1248">
        <v>2.05818554062124E-2</v>
      </c>
      <c r="J1533" s="1278">
        <v>1.08686211019925E-3</v>
      </c>
      <c r="K1533" s="1248">
        <v>3.0000008609865399E-3</v>
      </c>
      <c r="L1533" s="1250">
        <v>2.00000057408863E-3</v>
      </c>
      <c r="M1533" s="1275">
        <v>2.00000057401794E-3</v>
      </c>
      <c r="N1533" s="1248">
        <v>3.1850009128239903E-2</v>
      </c>
      <c r="O1533" s="1249">
        <v>3.1850009128239903E-2</v>
      </c>
      <c r="P1533" s="1260">
        <v>1.59250045641199E-2</v>
      </c>
      <c r="Q1533" s="1252">
        <v>2.1512475577050601E-2</v>
      </c>
    </row>
    <row r="1534" spans="1:17" s="212" customFormat="1" ht="15.5" x14ac:dyDescent="0.35">
      <c r="A1534" s="198">
        <v>2040</v>
      </c>
      <c r="B1534" s="197" t="s">
        <v>5842</v>
      </c>
      <c r="C1534" s="197">
        <v>2025</v>
      </c>
      <c r="D1534" s="213" t="str">
        <f t="shared" ref="D1534:D1623" si="18">CONCATENATE(A1534,"_",C1534)</f>
        <v>2040_2025</v>
      </c>
      <c r="E1534" s="1267">
        <v>7.5818481751013495E-2</v>
      </c>
      <c r="F1534" s="1278">
        <v>1.92055141855485E-3</v>
      </c>
      <c r="G1534" s="1248">
        <v>0.21222573664935601</v>
      </c>
      <c r="H1534" s="1278">
        <v>1.7247877588362499E-2</v>
      </c>
      <c r="I1534" s="1248">
        <v>2.0061728420795202E-2</v>
      </c>
      <c r="J1534" s="1278">
        <v>1.0869931911280501E-3</v>
      </c>
      <c r="K1534" s="1248">
        <v>3.0000008609884399E-3</v>
      </c>
      <c r="L1534" s="1250">
        <v>2.0000005740900498E-3</v>
      </c>
      <c r="M1534" s="1275">
        <v>2.0000005740190702E-3</v>
      </c>
      <c r="N1534" s="1248">
        <v>3.1850009128239903E-2</v>
      </c>
      <c r="O1534" s="1249">
        <v>3.1850009128239903E-2</v>
      </c>
      <c r="P1534" s="1260">
        <v>1.59250045641199E-2</v>
      </c>
      <c r="Q1534" s="1252">
        <v>2.0968830757382099E-2</v>
      </c>
    </row>
    <row r="1535" spans="1:17" s="212" customFormat="1" ht="15.5" x14ac:dyDescent="0.35">
      <c r="A1535" s="198">
        <v>2040</v>
      </c>
      <c r="B1535" s="197" t="s">
        <v>5842</v>
      </c>
      <c r="C1535" s="197">
        <v>2026</v>
      </c>
      <c r="D1535" s="213" t="str">
        <f t="shared" si="18"/>
        <v>2040_2026</v>
      </c>
      <c r="E1535" s="1267">
        <v>7.5083713286629397E-2</v>
      </c>
      <c r="F1535" s="1278">
        <v>1.9092379584538001E-3</v>
      </c>
      <c r="G1535" s="1248">
        <v>0.208448584615084</v>
      </c>
      <c r="H1535" s="1278">
        <v>1.6970233626180501E-2</v>
      </c>
      <c r="I1535" s="1248">
        <v>1.9481731163596101E-2</v>
      </c>
      <c r="J1535" s="1278">
        <v>1.0871244845760901E-3</v>
      </c>
      <c r="K1535" s="1248">
        <v>3.0000008609903598E-3</v>
      </c>
      <c r="L1535" s="1250">
        <v>2.0000005740914901E-3</v>
      </c>
      <c r="M1535" s="1275">
        <v>2.0000005740201999E-3</v>
      </c>
      <c r="N1535" s="1248">
        <v>3.1850009128239903E-2</v>
      </c>
      <c r="O1535" s="1249">
        <v>3.1850009128239903E-2</v>
      </c>
      <c r="P1535" s="1260">
        <v>1.59250045641199E-2</v>
      </c>
      <c r="Q1535" s="1252">
        <v>2.03626085979122E-2</v>
      </c>
    </row>
    <row r="1536" spans="1:17" s="212" customFormat="1" ht="15.5" x14ac:dyDescent="0.35">
      <c r="A1536" s="198">
        <v>2040</v>
      </c>
      <c r="B1536" s="197" t="s">
        <v>5842</v>
      </c>
      <c r="C1536" s="197">
        <v>2027</v>
      </c>
      <c r="D1536" s="213" t="str">
        <f t="shared" si="18"/>
        <v>2040_2027</v>
      </c>
      <c r="E1536" s="1267">
        <v>7.4272115441622405E-2</v>
      </c>
      <c r="F1536" s="1278">
        <v>1.90895405751043E-3</v>
      </c>
      <c r="G1536" s="1248">
        <v>0.204257681861959</v>
      </c>
      <c r="H1536" s="1278">
        <v>1.6784141782042201E-2</v>
      </c>
      <c r="I1536" s="1248">
        <v>1.8842071035201299E-2</v>
      </c>
      <c r="J1536" s="1278">
        <v>1.08726074308401E-3</v>
      </c>
      <c r="K1536" s="1248">
        <v>3.00000086099234E-3</v>
      </c>
      <c r="L1536" s="1250">
        <v>2.0000005740929698E-3</v>
      </c>
      <c r="M1536" s="1275">
        <v>2.0000005740216098E-3</v>
      </c>
      <c r="N1536" s="1248">
        <v>3.1850009128239903E-2</v>
      </c>
      <c r="O1536" s="1249">
        <v>3.1850009128239903E-2</v>
      </c>
      <c r="P1536" s="1260">
        <v>1.59250045641199E-2</v>
      </c>
      <c r="Q1536" s="1252">
        <v>1.9694025876961199E-2</v>
      </c>
    </row>
    <row r="1537" spans="1:17" s="212" customFormat="1" ht="15.5" x14ac:dyDescent="0.35">
      <c r="A1537" s="198">
        <v>2040</v>
      </c>
      <c r="B1537" s="197" t="s">
        <v>5842</v>
      </c>
      <c r="C1537" s="197">
        <v>2028</v>
      </c>
      <c r="D1537" s="213" t="str">
        <f t="shared" si="18"/>
        <v>2040_2028</v>
      </c>
      <c r="E1537" s="1267">
        <v>7.3382740952259204E-2</v>
      </c>
      <c r="F1537" s="1278">
        <v>1.9188683804142301E-3</v>
      </c>
      <c r="G1537" s="1248">
        <v>0.19967457835351099</v>
      </c>
      <c r="H1537" s="1278">
        <v>1.6682071796349E-2</v>
      </c>
      <c r="I1537" s="1248">
        <v>1.8142540219019399E-2</v>
      </c>
      <c r="J1537" s="1278">
        <v>1.08739894861319E-3</v>
      </c>
      <c r="K1537" s="1248">
        <v>3.0000008609943601E-3</v>
      </c>
      <c r="L1537" s="1250">
        <v>2.0000005740944799E-3</v>
      </c>
      <c r="M1537" s="1275">
        <v>2.00000057402307E-3</v>
      </c>
      <c r="N1537" s="1248">
        <v>3.1850009128239903E-2</v>
      </c>
      <c r="O1537" s="1249">
        <v>3.1850009128239903E-2</v>
      </c>
      <c r="P1537" s="1260">
        <v>1.59250045641199E-2</v>
      </c>
      <c r="Q1537" s="1252">
        <v>1.8962865381393499E-2</v>
      </c>
    </row>
    <row r="1538" spans="1:17" s="212" customFormat="1" ht="15.5" x14ac:dyDescent="0.35">
      <c r="A1538" s="198">
        <v>2040</v>
      </c>
      <c r="B1538" s="197" t="s">
        <v>5842</v>
      </c>
      <c r="C1538" s="197">
        <v>2029</v>
      </c>
      <c r="D1538" s="213" t="str">
        <f t="shared" si="18"/>
        <v>2040_2029</v>
      </c>
      <c r="E1538" s="1267">
        <v>7.2415136017484505E-2</v>
      </c>
      <c r="F1538" s="1278">
        <v>1.9368557818718801E-3</v>
      </c>
      <c r="G1538" s="1248">
        <v>0.19469862624078299</v>
      </c>
      <c r="H1538" s="1278">
        <v>1.6640929054769001E-2</v>
      </c>
      <c r="I1538" s="1248">
        <v>1.7383025155711E-2</v>
      </c>
      <c r="J1538" s="1278">
        <v>1.08753819207837E-3</v>
      </c>
      <c r="K1538" s="1248">
        <v>3.0000008609963901E-3</v>
      </c>
      <c r="L1538" s="1250">
        <v>2.0000005740959999E-3</v>
      </c>
      <c r="M1538" s="1275">
        <v>2.0000005740245502E-3</v>
      </c>
      <c r="N1538" s="1248">
        <v>3.1850009128239903E-2</v>
      </c>
      <c r="O1538" s="1249">
        <v>3.1850009128239903E-2</v>
      </c>
      <c r="P1538" s="1260">
        <v>1.59250045641199E-2</v>
      </c>
      <c r="Q1538" s="1252">
        <v>1.8169008417220502E-2</v>
      </c>
    </row>
    <row r="1539" spans="1:17" s="212" customFormat="1" ht="15.5" x14ac:dyDescent="0.35">
      <c r="A1539" s="198">
        <v>2040</v>
      </c>
      <c r="B1539" s="197" t="s">
        <v>5842</v>
      </c>
      <c r="C1539" s="197">
        <v>2030</v>
      </c>
      <c r="D1539" s="213" t="str">
        <f t="shared" si="18"/>
        <v>2040_2030</v>
      </c>
      <c r="E1539" s="1267">
        <v>7.1369494193265104E-2</v>
      </c>
      <c r="F1539" s="1278">
        <v>1.9580251900562602E-3</v>
      </c>
      <c r="G1539" s="1248">
        <v>0.18932977818036201</v>
      </c>
      <c r="H1539" s="1278">
        <v>1.66089406831804E-2</v>
      </c>
      <c r="I1539" s="1248">
        <v>1.6563511697744199E-2</v>
      </c>
      <c r="J1539" s="1278">
        <v>1.0876785723428E-3</v>
      </c>
      <c r="K1539" s="1248">
        <v>3.0000008609984501E-3</v>
      </c>
      <c r="L1539" s="1250">
        <v>2.0000005740975499E-3</v>
      </c>
      <c r="M1539" s="1275">
        <v>2.0000005740260902E-3</v>
      </c>
      <c r="N1539" s="1248">
        <v>3.1850009128239903E-2</v>
      </c>
      <c r="O1539" s="1249">
        <v>3.1850009128239903E-2</v>
      </c>
      <c r="P1539" s="1260">
        <v>1.59250045641199E-2</v>
      </c>
      <c r="Q1539" s="1252">
        <v>1.7312440197221599E-2</v>
      </c>
    </row>
    <row r="1540" spans="1:17" s="212" customFormat="1" ht="15.5" x14ac:dyDescent="0.35">
      <c r="A1540" s="198">
        <v>2040</v>
      </c>
      <c r="B1540" s="197" t="s">
        <v>5842</v>
      </c>
      <c r="C1540" s="197">
        <v>2031</v>
      </c>
      <c r="D1540" s="213" t="str">
        <f t="shared" si="18"/>
        <v>2040_2031</v>
      </c>
      <c r="E1540" s="1267">
        <v>7.0246035961236297E-2</v>
      </c>
      <c r="F1540" s="1278">
        <v>1.9759988181227402E-3</v>
      </c>
      <c r="G1540" s="1248">
        <v>0.18356819976642799</v>
      </c>
      <c r="H1540" s="1278">
        <v>1.65190134340551E-2</v>
      </c>
      <c r="I1540" s="1248">
        <v>1.56839900404287E-2</v>
      </c>
      <c r="J1540" s="1278">
        <v>1.0878216345586299E-3</v>
      </c>
      <c r="K1540" s="1248">
        <v>3.00000086100056E-3</v>
      </c>
      <c r="L1540" s="1250">
        <v>2.0000005740991298E-3</v>
      </c>
      <c r="M1540" s="1275">
        <v>2.0000005740274801E-3</v>
      </c>
      <c r="N1540" s="1248">
        <v>3.1850009128239903E-2</v>
      </c>
      <c r="O1540" s="1249">
        <v>3.1850009128239903E-2</v>
      </c>
      <c r="P1540" s="1260">
        <v>1.59250045641199E-2</v>
      </c>
      <c r="Q1540" s="1252">
        <v>1.6393150473381801E-2</v>
      </c>
    </row>
    <row r="1541" spans="1:17" s="212" customFormat="1" ht="15.5" x14ac:dyDescent="0.35">
      <c r="A1541" s="198">
        <v>2040</v>
      </c>
      <c r="B1541" s="197" t="s">
        <v>5842</v>
      </c>
      <c r="C1541" s="197">
        <v>2032</v>
      </c>
      <c r="D1541" s="213" t="str">
        <f t="shared" si="18"/>
        <v>2040_2032</v>
      </c>
      <c r="E1541" s="1267">
        <v>6.9044073334556894E-2</v>
      </c>
      <c r="F1541" s="1278">
        <v>1.98563794946955E-3</v>
      </c>
      <c r="G1541" s="1248">
        <v>0.177412936367281</v>
      </c>
      <c r="H1541" s="1278">
        <v>1.6317123602275801E-2</v>
      </c>
      <c r="I1541" s="1248">
        <v>1.47443098677928E-2</v>
      </c>
      <c r="J1541" s="1278">
        <v>1.08796559932429E-3</v>
      </c>
      <c r="K1541" s="1248">
        <v>3.0000008610026902E-3</v>
      </c>
      <c r="L1541" s="1250">
        <v>2.0000005741007201E-3</v>
      </c>
      <c r="M1541" s="1275">
        <v>2.0000005740289802E-3</v>
      </c>
      <c r="N1541" s="1248">
        <v>3.1850009128239903E-2</v>
      </c>
      <c r="O1541" s="1249">
        <v>3.1850009128239903E-2</v>
      </c>
      <c r="P1541" s="1260">
        <v>1.59250045641199E-2</v>
      </c>
      <c r="Q1541" s="1252">
        <v>1.5410982133108399E-2</v>
      </c>
    </row>
    <row r="1542" spans="1:17" s="212" customFormat="1" ht="15.5" x14ac:dyDescent="0.35">
      <c r="A1542" s="198">
        <v>2040</v>
      </c>
      <c r="B1542" s="197" t="s">
        <v>5842</v>
      </c>
      <c r="C1542" s="197">
        <v>2033</v>
      </c>
      <c r="D1542" s="213" t="str">
        <f t="shared" si="18"/>
        <v>2040_2033</v>
      </c>
      <c r="E1542" s="1267">
        <v>6.7763804322692994E-2</v>
      </c>
      <c r="F1542" s="1278">
        <v>1.9871870409585101E-3</v>
      </c>
      <c r="G1542" s="1248">
        <v>0.17086397048344901</v>
      </c>
      <c r="H1542" s="1278">
        <v>1.6004153325241799E-2</v>
      </c>
      <c r="I1542" s="1248">
        <v>1.3744449238858401E-2</v>
      </c>
      <c r="J1542" s="1278">
        <v>1.0881109750001899E-3</v>
      </c>
      <c r="K1542" s="1248">
        <v>3.0000008610048599E-3</v>
      </c>
      <c r="L1542" s="1250">
        <v>2.0000005741023399E-3</v>
      </c>
      <c r="M1542" s="1275">
        <v>2.0000005740306902E-3</v>
      </c>
      <c r="N1542" s="1248">
        <v>3.1850009128239903E-2</v>
      </c>
      <c r="O1542" s="1249">
        <v>3.1850009128239903E-2</v>
      </c>
      <c r="P1542" s="1260">
        <v>1.59250045641199E-2</v>
      </c>
      <c r="Q1542" s="1252">
        <v>1.4365912243349301E-2</v>
      </c>
    </row>
    <row r="1543" spans="1:17" s="212" customFormat="1" ht="15.5" x14ac:dyDescent="0.35">
      <c r="A1543" s="198">
        <v>2040</v>
      </c>
      <c r="B1543" s="197" t="s">
        <v>5842</v>
      </c>
      <c r="C1543" s="197">
        <v>2034</v>
      </c>
      <c r="D1543" s="213" t="str">
        <f t="shared" si="18"/>
        <v>2040_2034</v>
      </c>
      <c r="E1543" s="1267">
        <v>6.6405456371101401E-2</v>
      </c>
      <c r="F1543" s="1278">
        <v>1.99080323029973E-3</v>
      </c>
      <c r="G1543" s="1248">
        <v>0.16392144720370599</v>
      </c>
      <c r="H1543" s="1278">
        <v>1.56826863186122E-2</v>
      </c>
      <c r="I1543" s="1248">
        <v>1.2684386590856E-2</v>
      </c>
      <c r="J1543" s="1278">
        <v>1.0882597198431901E-3</v>
      </c>
      <c r="K1543" s="1248">
        <v>3.00000086100707E-3</v>
      </c>
      <c r="L1543" s="1250">
        <v>2.0000005741040001E-3</v>
      </c>
      <c r="M1543" s="1275">
        <v>2.0000005740324102E-3</v>
      </c>
      <c r="N1543" s="1248">
        <v>3.1850009128239903E-2</v>
      </c>
      <c r="O1543" s="1249">
        <v>3.1850009128239903E-2</v>
      </c>
      <c r="P1543" s="1260">
        <v>1.59250045641199E-2</v>
      </c>
      <c r="Q1543" s="1252">
        <v>1.32579182663627E-2</v>
      </c>
    </row>
    <row r="1544" spans="1:17" s="212" customFormat="1" ht="15.5" x14ac:dyDescent="0.35">
      <c r="A1544" s="198">
        <v>2040</v>
      </c>
      <c r="B1544" s="197" t="s">
        <v>5842</v>
      </c>
      <c r="C1544" s="197">
        <v>2035</v>
      </c>
      <c r="D1544" s="213" t="str">
        <f t="shared" si="18"/>
        <v>2040_2035</v>
      </c>
      <c r="E1544" s="1267">
        <v>6.4968769244538704E-2</v>
      </c>
      <c r="F1544" s="1278">
        <v>2.0196004242426101E-3</v>
      </c>
      <c r="G1544" s="1248">
        <v>0.15658487128242099</v>
      </c>
      <c r="H1544" s="1278">
        <v>1.5588814602075E-2</v>
      </c>
      <c r="I1544" s="1248">
        <v>1.1564023824723799E-2</v>
      </c>
      <c r="J1544" s="1278">
        <v>1.0884113095662399E-3</v>
      </c>
      <c r="K1544" s="1248">
        <v>3.0000008610093398E-3</v>
      </c>
      <c r="L1544" s="1250">
        <v>2.0000005741057001E-3</v>
      </c>
      <c r="M1544" s="1275">
        <v>2.0000005740343899E-3</v>
      </c>
      <c r="N1544" s="1248">
        <v>3.1850009128239903E-2</v>
      </c>
      <c r="O1544" s="1249">
        <v>3.1850009128239903E-2</v>
      </c>
      <c r="P1544" s="1260">
        <v>1.59250045641199E-2</v>
      </c>
      <c r="Q1544" s="1252">
        <v>1.20868976674821E-2</v>
      </c>
    </row>
    <row r="1545" spans="1:17" s="212" customFormat="1" ht="15.5" x14ac:dyDescent="0.35">
      <c r="A1545" s="198">
        <v>2040</v>
      </c>
      <c r="B1545" s="197" t="s">
        <v>5842</v>
      </c>
      <c r="C1545" s="197">
        <v>2036</v>
      </c>
      <c r="D1545" s="213" t="str">
        <f t="shared" si="18"/>
        <v>2040_2036</v>
      </c>
      <c r="E1545" s="1267">
        <v>6.3453614003809597E-2</v>
      </c>
      <c r="F1545" s="1278">
        <v>2.1077024283308599E-3</v>
      </c>
      <c r="G1545" s="1248">
        <v>0.14885383475167899</v>
      </c>
      <c r="H1545" s="1278">
        <v>1.6072928709448799E-2</v>
      </c>
      <c r="I1545" s="1248">
        <v>1.0383277282723501E-2</v>
      </c>
      <c r="J1545" s="1278">
        <v>1.08856555625546E-3</v>
      </c>
      <c r="K1545" s="1248">
        <v>3.00000086101167E-3</v>
      </c>
      <c r="L1545" s="1250">
        <v>2.00000057410745E-3</v>
      </c>
      <c r="M1545" s="1275">
        <v>2.00000057403658E-3</v>
      </c>
      <c r="N1545" s="1248">
        <v>3.1850009128239903E-2</v>
      </c>
      <c r="O1545" s="1249">
        <v>3.1850009128239903E-2</v>
      </c>
      <c r="P1545" s="1260">
        <v>1.59250045641199E-2</v>
      </c>
      <c r="Q1545" s="1252">
        <v>1.0852763006337701E-2</v>
      </c>
    </row>
    <row r="1546" spans="1:17" s="212" customFormat="1" ht="15.5" x14ac:dyDescent="0.35">
      <c r="A1546" s="198">
        <v>2040</v>
      </c>
      <c r="B1546" s="197" t="s">
        <v>5842</v>
      </c>
      <c r="C1546" s="197">
        <v>2037</v>
      </c>
      <c r="D1546" s="213" t="str">
        <f t="shared" si="18"/>
        <v>2040_2037</v>
      </c>
      <c r="E1546" s="1267">
        <v>6.18595019717737E-2</v>
      </c>
      <c r="F1546" s="1278">
        <v>2.2873840753048699E-3</v>
      </c>
      <c r="G1546" s="1248">
        <v>0.140727602089499</v>
      </c>
      <c r="H1546" s="1278">
        <v>1.7470775293736002E-2</v>
      </c>
      <c r="I1546" s="1248">
        <v>9.14202568826291E-3</v>
      </c>
      <c r="J1546" s="1278">
        <v>1.08872088331551E-3</v>
      </c>
      <c r="K1546" s="1248">
        <v>3.0000008610140301E-3</v>
      </c>
      <c r="L1546" s="1250">
        <v>2.0000005741092099E-3</v>
      </c>
      <c r="M1546" s="1275">
        <v>2.0000005740388499E-3</v>
      </c>
      <c r="N1546" s="1248">
        <v>3.1850009128239903E-2</v>
      </c>
      <c r="O1546" s="1249">
        <v>3.1850009128239903E-2</v>
      </c>
      <c r="P1546" s="1260">
        <v>1.59250045641199E-2</v>
      </c>
      <c r="Q1546" s="1252">
        <v>9.5553875227479806E-3</v>
      </c>
    </row>
    <row r="1547" spans="1:17" s="212" customFormat="1" ht="15.5" x14ac:dyDescent="0.35">
      <c r="A1547" s="198">
        <v>2040</v>
      </c>
      <c r="B1547" s="197" t="s">
        <v>5842</v>
      </c>
      <c r="C1547" s="197">
        <v>2038</v>
      </c>
      <c r="D1547" s="213" t="str">
        <f t="shared" si="18"/>
        <v>2040_2038</v>
      </c>
      <c r="E1547" s="1267">
        <v>6.01858993854942E-2</v>
      </c>
      <c r="F1547" s="1278">
        <v>2.5564921202752399E-3</v>
      </c>
      <c r="G1547" s="1248">
        <v>0.13220554104733701</v>
      </c>
      <c r="H1547" s="1278">
        <v>1.9775215820676501E-2</v>
      </c>
      <c r="I1547" s="1248">
        <v>7.8401587507345508E-3</v>
      </c>
      <c r="J1547" s="1278">
        <v>1.0888767260707601E-3</v>
      </c>
      <c r="K1547" s="1248">
        <v>3.0000008610163902E-3</v>
      </c>
      <c r="L1547" s="1250">
        <v>2.0000005741109802E-3</v>
      </c>
      <c r="M1547" s="1275">
        <v>2.0000005740411302E-3</v>
      </c>
      <c r="N1547" s="1248">
        <v>3.1850009128239903E-2</v>
      </c>
      <c r="O1547" s="1249">
        <v>3.1850009128239903E-2</v>
      </c>
      <c r="P1547" s="1260">
        <v>1.59250045641199E-2</v>
      </c>
      <c r="Q1547" s="1252">
        <v>8.1946559392535694E-3</v>
      </c>
    </row>
    <row r="1548" spans="1:17" s="212" customFormat="1" ht="15.5" x14ac:dyDescent="0.35">
      <c r="A1548" s="198">
        <v>2040</v>
      </c>
      <c r="B1548" s="197" t="s">
        <v>5842</v>
      </c>
      <c r="C1548" s="197">
        <v>2039</v>
      </c>
      <c r="D1548" s="213" t="str">
        <f t="shared" si="18"/>
        <v>2040_2039</v>
      </c>
      <c r="E1548" s="1267">
        <v>5.8433347606464098E-2</v>
      </c>
      <c r="F1548" s="1278">
        <v>2.8132383632612301E-3</v>
      </c>
      <c r="G1548" s="1248">
        <v>0.12328792619571501</v>
      </c>
      <c r="H1548" s="1278">
        <v>2.1978793854685898E-2</v>
      </c>
      <c r="I1548" s="1248">
        <v>6.4776590102298302E-3</v>
      </c>
      <c r="J1548" s="1278">
        <v>1.08903554399122E-3</v>
      </c>
      <c r="K1548" s="1248">
        <v>3.0000008610188101E-3</v>
      </c>
      <c r="L1548" s="1250">
        <v>2.0000005741127899E-3</v>
      </c>
      <c r="M1548" s="1275">
        <v>2.00000057404311E-3</v>
      </c>
      <c r="N1548" s="1248">
        <v>3.1850009128239903E-2</v>
      </c>
      <c r="O1548" s="1249">
        <v>3.1850009128239903E-2</v>
      </c>
      <c r="P1548" s="1260">
        <v>1.59250045641199E-2</v>
      </c>
      <c r="Q1548" s="1252">
        <v>6.7705500064862796E-3</v>
      </c>
    </row>
    <row r="1549" spans="1:17" s="212" customFormat="1" ht="15.5" x14ac:dyDescent="0.35">
      <c r="A1549" s="198">
        <v>2040</v>
      </c>
      <c r="B1549" s="197" t="s">
        <v>5842</v>
      </c>
      <c r="C1549" s="197">
        <v>2040</v>
      </c>
      <c r="D1549" s="213" t="str">
        <f t="shared" si="18"/>
        <v>2040_2040</v>
      </c>
      <c r="E1549" s="1267">
        <v>5.66014391835487E-2</v>
      </c>
      <c r="F1549" s="1278">
        <v>2.7400644514642301E-3</v>
      </c>
      <c r="G1549" s="1248">
        <v>0.113974108067442</v>
      </c>
      <c r="H1549" s="1278">
        <v>2.0905790206571E-2</v>
      </c>
      <c r="I1549" s="1248">
        <v>5.0544153127403098E-3</v>
      </c>
      <c r="J1549" s="1278">
        <v>1.0891959797090301E-3</v>
      </c>
      <c r="K1549" s="1248">
        <v>3.00000086102125E-3</v>
      </c>
      <c r="L1549" s="1250">
        <v>2.00000057411462E-3</v>
      </c>
      <c r="M1549" s="1275">
        <v>2.0000005740426702E-3</v>
      </c>
      <c r="N1549" s="1248">
        <v>3.1850009128239903E-2</v>
      </c>
      <c r="O1549" s="1249">
        <v>3.1850009128239903E-2</v>
      </c>
      <c r="P1549" s="1260">
        <v>1.59250045641199E-2</v>
      </c>
      <c r="Q1549" s="1252">
        <v>5.2829535445466499E-3</v>
      </c>
    </row>
    <row r="1550" spans="1:17" s="212" customFormat="1" ht="15.5" x14ac:dyDescent="0.35">
      <c r="A1550" s="198">
        <v>2040</v>
      </c>
      <c r="B1550" s="197" t="s">
        <v>5842</v>
      </c>
      <c r="C1550" s="197">
        <v>2041</v>
      </c>
      <c r="D1550" s="213" t="str">
        <f t="shared" si="18"/>
        <v>2040_2041</v>
      </c>
      <c r="E1550" s="1268">
        <v>5.66014391835487E-2</v>
      </c>
      <c r="F1550" s="1279">
        <v>2.7400644514642301E-3</v>
      </c>
      <c r="G1550" s="1255">
        <v>0.113974108067442</v>
      </c>
      <c r="H1550" s="1279">
        <v>2.0905790206571E-2</v>
      </c>
      <c r="I1550" s="1255">
        <v>5.0544153127403098E-3</v>
      </c>
      <c r="J1550" s="1279">
        <v>1.0891959797090301E-3</v>
      </c>
      <c r="K1550" s="1255">
        <v>3.00000086102125E-3</v>
      </c>
      <c r="L1550" s="1253">
        <v>2.00000057411462E-3</v>
      </c>
      <c r="M1550" s="1273">
        <v>2.0000005740426702E-3</v>
      </c>
      <c r="N1550" s="1255">
        <v>3.1850009128239903E-2</v>
      </c>
      <c r="O1550" s="1256">
        <v>3.1850009128239903E-2</v>
      </c>
      <c r="P1550" s="1251">
        <v>1.59250045641199E-2</v>
      </c>
      <c r="Q1550" s="1254">
        <v>5.2829535445466499E-3</v>
      </c>
    </row>
    <row r="1551" spans="1:17" s="212" customFormat="1" ht="15.5" x14ac:dyDescent="0.35">
      <c r="A1551" s="198">
        <v>2041</v>
      </c>
      <c r="B1551" s="197" t="s">
        <v>5842</v>
      </c>
      <c r="C1551" s="197">
        <v>1971</v>
      </c>
      <c r="D1551" s="213" t="str">
        <f t="shared" si="18"/>
        <v>2041_1971</v>
      </c>
      <c r="E1551" s="1268">
        <v>0.37101949794067302</v>
      </c>
      <c r="F1551" s="1279">
        <v>2.146562621117E-2</v>
      </c>
      <c r="G1551" s="1255">
        <v>9.3173095717691794</v>
      </c>
      <c r="H1551" s="1279">
        <v>0.38752061079302502</v>
      </c>
      <c r="I1551" s="1255">
        <v>5.3125677853403303E-2</v>
      </c>
      <c r="J1551" s="1279">
        <v>2.0965949757462601E-3</v>
      </c>
      <c r="K1551" s="1255">
        <v>3.0000008613015202E-3</v>
      </c>
      <c r="L1551" s="1253">
        <v>2.0000005740641799E-3</v>
      </c>
      <c r="M1551" s="1273">
        <v>2.0000005740641799E-3</v>
      </c>
      <c r="N1551" s="1255">
        <v>3.1850009128239903E-2</v>
      </c>
      <c r="O1551" s="1256">
        <v>3.1850009128239903E-2</v>
      </c>
      <c r="P1551" s="1251">
        <v>1.5925004564119952E-2</v>
      </c>
      <c r="Q1551" s="1254">
        <v>5.5527785264230203E-2</v>
      </c>
    </row>
    <row r="1552" spans="1:17" s="212" customFormat="1" ht="15.5" x14ac:dyDescent="0.35">
      <c r="A1552" s="198">
        <v>2041</v>
      </c>
      <c r="B1552" s="197" t="s">
        <v>5842</v>
      </c>
      <c r="C1552" s="197">
        <v>1972</v>
      </c>
      <c r="D1552" s="213" t="str">
        <f t="shared" si="18"/>
        <v>2041_1972</v>
      </c>
      <c r="E1552" s="1268">
        <v>0.37101949794067302</v>
      </c>
      <c r="F1552" s="1279">
        <v>2.146562621117E-2</v>
      </c>
      <c r="G1552" s="1255">
        <v>9.3173095717691794</v>
      </c>
      <c r="H1552" s="1279">
        <v>0.38752061079302502</v>
      </c>
      <c r="I1552" s="1255">
        <v>5.3125677853403303E-2</v>
      </c>
      <c r="J1552" s="1279">
        <v>2.0965949757462601E-3</v>
      </c>
      <c r="K1552" s="1255">
        <v>3.0000008613015202E-3</v>
      </c>
      <c r="L1552" s="1253">
        <v>2.0000005740641799E-3</v>
      </c>
      <c r="M1552" s="1273">
        <v>2.0000005740641799E-3</v>
      </c>
      <c r="N1552" s="1255">
        <v>3.1850009128239903E-2</v>
      </c>
      <c r="O1552" s="1256">
        <v>3.1850009128239903E-2</v>
      </c>
      <c r="P1552" s="1251">
        <v>1.5925004564119952E-2</v>
      </c>
      <c r="Q1552" s="1254">
        <v>5.5527785264230203E-2</v>
      </c>
    </row>
    <row r="1553" spans="1:17" s="212" customFormat="1" ht="15.5" x14ac:dyDescent="0.35">
      <c r="A1553" s="198">
        <v>2041</v>
      </c>
      <c r="B1553" s="197" t="s">
        <v>5842</v>
      </c>
      <c r="C1553" s="197">
        <v>1973</v>
      </c>
      <c r="D1553" s="213" t="str">
        <f t="shared" si="18"/>
        <v>2041_1973</v>
      </c>
      <c r="E1553" s="1268">
        <v>0.37101949794067302</v>
      </c>
      <c r="F1553" s="1279">
        <v>2.146562621117E-2</v>
      </c>
      <c r="G1553" s="1255">
        <v>9.3173095717691794</v>
      </c>
      <c r="H1553" s="1279">
        <v>0.38752061079302502</v>
      </c>
      <c r="I1553" s="1255">
        <v>5.3125677853403303E-2</v>
      </c>
      <c r="J1553" s="1279">
        <v>2.0965949757462601E-3</v>
      </c>
      <c r="K1553" s="1255">
        <v>3.0000008613015202E-3</v>
      </c>
      <c r="L1553" s="1253">
        <v>2.0000005740641799E-3</v>
      </c>
      <c r="M1553" s="1273">
        <v>2.0000005740641799E-3</v>
      </c>
      <c r="N1553" s="1255">
        <v>3.1850009128239903E-2</v>
      </c>
      <c r="O1553" s="1256">
        <v>3.1850009128239903E-2</v>
      </c>
      <c r="P1553" s="1251">
        <v>1.5925004564119952E-2</v>
      </c>
      <c r="Q1553" s="1254">
        <v>5.5527785264230203E-2</v>
      </c>
    </row>
    <row r="1554" spans="1:17" s="212" customFormat="1" ht="15.5" x14ac:dyDescent="0.35">
      <c r="A1554" s="198">
        <v>2041</v>
      </c>
      <c r="B1554" s="197" t="s">
        <v>5842</v>
      </c>
      <c r="C1554" s="197">
        <v>1974</v>
      </c>
      <c r="D1554" s="213" t="str">
        <f t="shared" si="18"/>
        <v>2041_1974</v>
      </c>
      <c r="E1554" s="1268">
        <v>0.37101949794067302</v>
      </c>
      <c r="F1554" s="1279">
        <v>2.146562621117E-2</v>
      </c>
      <c r="G1554" s="1255">
        <v>9.3173095717691794</v>
      </c>
      <c r="H1554" s="1279">
        <v>0.38752061079302502</v>
      </c>
      <c r="I1554" s="1255">
        <v>5.3125677853403303E-2</v>
      </c>
      <c r="J1554" s="1279">
        <v>2.0965949757462601E-3</v>
      </c>
      <c r="K1554" s="1255">
        <v>3.0000008613015202E-3</v>
      </c>
      <c r="L1554" s="1253">
        <v>2.0000005740641799E-3</v>
      </c>
      <c r="M1554" s="1273">
        <v>2.0000005740641799E-3</v>
      </c>
      <c r="N1554" s="1255">
        <v>3.1850009128239903E-2</v>
      </c>
      <c r="O1554" s="1256">
        <v>3.1850009128239903E-2</v>
      </c>
      <c r="P1554" s="1251">
        <v>1.5925004564119952E-2</v>
      </c>
      <c r="Q1554" s="1254">
        <v>5.5527785264230203E-2</v>
      </c>
    </row>
    <row r="1555" spans="1:17" s="212" customFormat="1" ht="15.5" x14ac:dyDescent="0.35">
      <c r="A1555" s="198">
        <v>2041</v>
      </c>
      <c r="B1555" s="197" t="s">
        <v>5842</v>
      </c>
      <c r="C1555" s="197">
        <v>1975</v>
      </c>
      <c r="D1555" s="213" t="str">
        <f t="shared" si="18"/>
        <v>2041_1975</v>
      </c>
      <c r="E1555" s="1268">
        <v>0.37101949794067302</v>
      </c>
      <c r="F1555" s="1279">
        <v>2.146562621117E-2</v>
      </c>
      <c r="G1555" s="1255">
        <v>9.3173095717691794</v>
      </c>
      <c r="H1555" s="1279">
        <v>0.38752061079302502</v>
      </c>
      <c r="I1555" s="1255">
        <v>5.3125677853403303E-2</v>
      </c>
      <c r="J1555" s="1279">
        <v>2.0965949757462601E-3</v>
      </c>
      <c r="K1555" s="1255">
        <v>3.0000008613015202E-3</v>
      </c>
      <c r="L1555" s="1253">
        <v>2.0000005740641799E-3</v>
      </c>
      <c r="M1555" s="1273">
        <v>2.0000005740641799E-3</v>
      </c>
      <c r="N1555" s="1255">
        <v>3.1850009128239903E-2</v>
      </c>
      <c r="O1555" s="1256">
        <v>3.1850009128239903E-2</v>
      </c>
      <c r="P1555" s="1251">
        <v>1.5925004564119952E-2</v>
      </c>
      <c r="Q1555" s="1254">
        <v>5.5527785264230203E-2</v>
      </c>
    </row>
    <row r="1556" spans="1:17" s="212" customFormat="1" ht="15.5" x14ac:dyDescent="0.35">
      <c r="A1556" s="198">
        <v>2041</v>
      </c>
      <c r="B1556" s="197" t="s">
        <v>5842</v>
      </c>
      <c r="C1556" s="197">
        <v>1976</v>
      </c>
      <c r="D1556" s="213" t="str">
        <f t="shared" si="18"/>
        <v>2041_1976</v>
      </c>
      <c r="E1556" s="1268">
        <v>0.37101949794067302</v>
      </c>
      <c r="F1556" s="1279">
        <v>2.146562621117E-2</v>
      </c>
      <c r="G1556" s="1255">
        <v>9.3173095717691794</v>
      </c>
      <c r="H1556" s="1279">
        <v>0.38752061079302502</v>
      </c>
      <c r="I1556" s="1255">
        <v>5.3125677853403303E-2</v>
      </c>
      <c r="J1556" s="1279">
        <v>2.0965949757462601E-3</v>
      </c>
      <c r="K1556" s="1255">
        <v>3.0000008613015202E-3</v>
      </c>
      <c r="L1556" s="1253">
        <v>2.0000005740641799E-3</v>
      </c>
      <c r="M1556" s="1273">
        <v>2.0000005740641799E-3</v>
      </c>
      <c r="N1556" s="1255">
        <v>3.1850009128239903E-2</v>
      </c>
      <c r="O1556" s="1256">
        <v>3.1850009128239903E-2</v>
      </c>
      <c r="P1556" s="1251">
        <v>1.5925004564119952E-2</v>
      </c>
      <c r="Q1556" s="1254">
        <v>5.5527785264230203E-2</v>
      </c>
    </row>
    <row r="1557" spans="1:17" s="212" customFormat="1" ht="15.5" x14ac:dyDescent="0.35">
      <c r="A1557" s="198">
        <v>2041</v>
      </c>
      <c r="B1557" s="197" t="s">
        <v>5842</v>
      </c>
      <c r="C1557" s="197">
        <v>1977</v>
      </c>
      <c r="D1557" s="213" t="str">
        <f t="shared" si="18"/>
        <v>2041_1977</v>
      </c>
      <c r="E1557" s="1268">
        <v>0.37101949794067302</v>
      </c>
      <c r="F1557" s="1279">
        <v>2.146562621117E-2</v>
      </c>
      <c r="G1557" s="1255">
        <v>9.3173095717691794</v>
      </c>
      <c r="H1557" s="1279">
        <v>0.38752061079302502</v>
      </c>
      <c r="I1557" s="1255">
        <v>5.3125677853403303E-2</v>
      </c>
      <c r="J1557" s="1279">
        <v>2.0965949757462601E-3</v>
      </c>
      <c r="K1557" s="1255">
        <v>3.0000008613015202E-3</v>
      </c>
      <c r="L1557" s="1253">
        <v>2.0000005740641799E-3</v>
      </c>
      <c r="M1557" s="1273">
        <v>2.0000005740641799E-3</v>
      </c>
      <c r="N1557" s="1255">
        <v>3.1850009128239903E-2</v>
      </c>
      <c r="O1557" s="1256">
        <v>3.1850009128239903E-2</v>
      </c>
      <c r="P1557" s="1251">
        <v>1.5925004564119952E-2</v>
      </c>
      <c r="Q1557" s="1254">
        <v>5.5527785264230203E-2</v>
      </c>
    </row>
    <row r="1558" spans="1:17" s="212" customFormat="1" ht="15.5" x14ac:dyDescent="0.35">
      <c r="A1558" s="198">
        <v>2041</v>
      </c>
      <c r="B1558" s="197" t="s">
        <v>5842</v>
      </c>
      <c r="C1558" s="197">
        <v>1978</v>
      </c>
      <c r="D1558" s="213" t="str">
        <f t="shared" si="18"/>
        <v>2041_1978</v>
      </c>
      <c r="E1558" s="1268">
        <v>0.37101949794067302</v>
      </c>
      <c r="F1558" s="1279">
        <v>2.146562621117E-2</v>
      </c>
      <c r="G1558" s="1255">
        <v>9.3173095717691794</v>
      </c>
      <c r="H1558" s="1279">
        <v>0.38752061079302502</v>
      </c>
      <c r="I1558" s="1255">
        <v>5.3125677853403303E-2</v>
      </c>
      <c r="J1558" s="1279">
        <v>2.0965949757462601E-3</v>
      </c>
      <c r="K1558" s="1255">
        <v>3.0000008613015202E-3</v>
      </c>
      <c r="L1558" s="1253">
        <v>2.0000005740641799E-3</v>
      </c>
      <c r="M1558" s="1273">
        <v>2.0000005740641799E-3</v>
      </c>
      <c r="N1558" s="1255">
        <v>3.1850009128239903E-2</v>
      </c>
      <c r="O1558" s="1256">
        <v>3.1850009128239903E-2</v>
      </c>
      <c r="P1558" s="1251">
        <v>1.5925004564119952E-2</v>
      </c>
      <c r="Q1558" s="1254">
        <v>5.5527785264230203E-2</v>
      </c>
    </row>
    <row r="1559" spans="1:17" s="212" customFormat="1" ht="15.5" x14ac:dyDescent="0.35">
      <c r="A1559" s="198">
        <v>2041</v>
      </c>
      <c r="B1559" s="197" t="s">
        <v>5842</v>
      </c>
      <c r="C1559" s="197">
        <v>1979</v>
      </c>
      <c r="D1559" s="213" t="str">
        <f t="shared" si="18"/>
        <v>2041_1979</v>
      </c>
      <c r="E1559" s="1268">
        <v>0.37101949794067302</v>
      </c>
      <c r="F1559" s="1279">
        <v>2.146562621117E-2</v>
      </c>
      <c r="G1559" s="1255">
        <v>9.3173095717691794</v>
      </c>
      <c r="H1559" s="1279">
        <v>0.38752061079302502</v>
      </c>
      <c r="I1559" s="1255">
        <v>5.3125677853403303E-2</v>
      </c>
      <c r="J1559" s="1279">
        <v>2.0965949757462601E-3</v>
      </c>
      <c r="K1559" s="1255">
        <v>3.0000008613015202E-3</v>
      </c>
      <c r="L1559" s="1253">
        <v>2.0000005740641799E-3</v>
      </c>
      <c r="M1559" s="1273">
        <v>2.0000005740641799E-3</v>
      </c>
      <c r="N1559" s="1255">
        <v>3.1850009128239903E-2</v>
      </c>
      <c r="O1559" s="1256">
        <v>3.1850009128239903E-2</v>
      </c>
      <c r="P1559" s="1251">
        <v>1.5925004564119952E-2</v>
      </c>
      <c r="Q1559" s="1254">
        <v>5.5527785264230203E-2</v>
      </c>
    </row>
    <row r="1560" spans="1:17" s="212" customFormat="1" ht="15.5" x14ac:dyDescent="0.35">
      <c r="A1560" s="198">
        <v>2041</v>
      </c>
      <c r="B1560" s="197" t="s">
        <v>5842</v>
      </c>
      <c r="C1560" s="197">
        <v>1980</v>
      </c>
      <c r="D1560" s="213" t="str">
        <f t="shared" si="18"/>
        <v>2041_1980</v>
      </c>
      <c r="E1560" s="1268">
        <v>0.37101949794067302</v>
      </c>
      <c r="F1560" s="1279">
        <v>2.146562621117E-2</v>
      </c>
      <c r="G1560" s="1255">
        <v>9.3173095717691794</v>
      </c>
      <c r="H1560" s="1279">
        <v>0.38752061079302502</v>
      </c>
      <c r="I1560" s="1255">
        <v>5.3125677853403303E-2</v>
      </c>
      <c r="J1560" s="1279">
        <v>2.0965949757462601E-3</v>
      </c>
      <c r="K1560" s="1255">
        <v>3.0000008613015202E-3</v>
      </c>
      <c r="L1560" s="1253">
        <v>2.0000005740641799E-3</v>
      </c>
      <c r="M1560" s="1273">
        <v>2.0000005740641799E-3</v>
      </c>
      <c r="N1560" s="1255">
        <v>3.1850009128239903E-2</v>
      </c>
      <c r="O1560" s="1256">
        <v>3.1850009128239903E-2</v>
      </c>
      <c r="P1560" s="1251">
        <v>1.5925004564119952E-2</v>
      </c>
      <c r="Q1560" s="1254">
        <v>5.5527785264230203E-2</v>
      </c>
    </row>
    <row r="1561" spans="1:17" s="212" customFormat="1" ht="15.5" x14ac:dyDescent="0.35">
      <c r="A1561" s="198">
        <v>2041</v>
      </c>
      <c r="B1561" s="197" t="s">
        <v>5842</v>
      </c>
      <c r="C1561" s="197">
        <v>1981</v>
      </c>
      <c r="D1561" s="213" t="str">
        <f t="shared" si="18"/>
        <v>2041_1981</v>
      </c>
      <c r="E1561" s="1268">
        <v>0.37101949794067302</v>
      </c>
      <c r="F1561" s="1279">
        <v>2.146562621117E-2</v>
      </c>
      <c r="G1561" s="1255">
        <v>9.3173095717691794</v>
      </c>
      <c r="H1561" s="1279">
        <v>0.38752061079302502</v>
      </c>
      <c r="I1561" s="1255">
        <v>5.3125677853403303E-2</v>
      </c>
      <c r="J1561" s="1279">
        <v>2.0965949757462601E-3</v>
      </c>
      <c r="K1561" s="1255">
        <v>3.0000008613015202E-3</v>
      </c>
      <c r="L1561" s="1253">
        <v>2.0000005740641799E-3</v>
      </c>
      <c r="M1561" s="1273">
        <v>2.0000005740641799E-3</v>
      </c>
      <c r="N1561" s="1255">
        <v>3.1850009128239903E-2</v>
      </c>
      <c r="O1561" s="1256">
        <v>3.1850009128239903E-2</v>
      </c>
      <c r="P1561" s="1251">
        <v>1.5925004564119952E-2</v>
      </c>
      <c r="Q1561" s="1254">
        <v>5.5527785264230203E-2</v>
      </c>
    </row>
    <row r="1562" spans="1:17" s="212" customFormat="1" ht="15.5" x14ac:dyDescent="0.35">
      <c r="A1562" s="198">
        <v>2041</v>
      </c>
      <c r="B1562" s="197" t="s">
        <v>5842</v>
      </c>
      <c r="C1562" s="197">
        <v>1982</v>
      </c>
      <c r="D1562" s="213" t="str">
        <f t="shared" si="18"/>
        <v>2041_1982</v>
      </c>
      <c r="E1562" s="1268">
        <v>0.37101949794067302</v>
      </c>
      <c r="F1562" s="1279">
        <v>2.146562621117E-2</v>
      </c>
      <c r="G1562" s="1255">
        <v>9.3173095717691794</v>
      </c>
      <c r="H1562" s="1279">
        <v>0.38752061079302502</v>
      </c>
      <c r="I1562" s="1255">
        <v>5.3125677853403303E-2</v>
      </c>
      <c r="J1562" s="1279">
        <v>2.0965949757462601E-3</v>
      </c>
      <c r="K1562" s="1255">
        <v>3.0000008613015202E-3</v>
      </c>
      <c r="L1562" s="1253">
        <v>2.0000005740641799E-3</v>
      </c>
      <c r="M1562" s="1273">
        <v>2.0000005740641799E-3</v>
      </c>
      <c r="N1562" s="1255">
        <v>3.1850009128239903E-2</v>
      </c>
      <c r="O1562" s="1256">
        <v>3.1850009128239903E-2</v>
      </c>
      <c r="P1562" s="1251">
        <v>1.5925004564119952E-2</v>
      </c>
      <c r="Q1562" s="1254">
        <v>5.5527785264230203E-2</v>
      </c>
    </row>
    <row r="1563" spans="1:17" s="212" customFormat="1" ht="15.5" x14ac:dyDescent="0.35">
      <c r="A1563" s="198">
        <v>2041</v>
      </c>
      <c r="B1563" s="197" t="s">
        <v>5842</v>
      </c>
      <c r="C1563" s="197">
        <v>1983</v>
      </c>
      <c r="D1563" s="213" t="str">
        <f t="shared" si="18"/>
        <v>2041_1983</v>
      </c>
      <c r="E1563" s="1268">
        <v>0.37101949794067302</v>
      </c>
      <c r="F1563" s="1279">
        <v>2.146562621117E-2</v>
      </c>
      <c r="G1563" s="1255">
        <v>9.3173095717691794</v>
      </c>
      <c r="H1563" s="1279">
        <v>0.38752061079302502</v>
      </c>
      <c r="I1563" s="1255">
        <v>5.3125677853403303E-2</v>
      </c>
      <c r="J1563" s="1279">
        <v>2.0965949757462601E-3</v>
      </c>
      <c r="K1563" s="1255">
        <v>3.0000008613015202E-3</v>
      </c>
      <c r="L1563" s="1253">
        <v>2.0000005740641799E-3</v>
      </c>
      <c r="M1563" s="1273">
        <v>2.0000005740641799E-3</v>
      </c>
      <c r="N1563" s="1255">
        <v>3.1850009128239903E-2</v>
      </c>
      <c r="O1563" s="1256">
        <v>3.1850009128239903E-2</v>
      </c>
      <c r="P1563" s="1251">
        <v>1.5925004564119952E-2</v>
      </c>
      <c r="Q1563" s="1254">
        <v>5.5527785264230203E-2</v>
      </c>
    </row>
    <row r="1564" spans="1:17" s="212" customFormat="1" ht="15.5" x14ac:dyDescent="0.35">
      <c r="A1564" s="198">
        <v>2041</v>
      </c>
      <c r="B1564" s="197" t="s">
        <v>5842</v>
      </c>
      <c r="C1564" s="197">
        <v>1984</v>
      </c>
      <c r="D1564" s="213" t="str">
        <f t="shared" si="18"/>
        <v>2041_1984</v>
      </c>
      <c r="E1564" s="1268">
        <v>0.37101949794067302</v>
      </c>
      <c r="F1564" s="1279">
        <v>2.146562621117E-2</v>
      </c>
      <c r="G1564" s="1255">
        <v>9.3173095717691794</v>
      </c>
      <c r="H1564" s="1279">
        <v>0.38752061079302502</v>
      </c>
      <c r="I1564" s="1255">
        <v>5.3125677853403303E-2</v>
      </c>
      <c r="J1564" s="1279">
        <v>2.0965949757462601E-3</v>
      </c>
      <c r="K1564" s="1255">
        <v>3.0000008613015202E-3</v>
      </c>
      <c r="L1564" s="1253">
        <v>2.0000005740641799E-3</v>
      </c>
      <c r="M1564" s="1273">
        <v>2.0000005740641799E-3</v>
      </c>
      <c r="N1564" s="1255">
        <v>3.1850009128239903E-2</v>
      </c>
      <c r="O1564" s="1256">
        <v>3.1850009128239903E-2</v>
      </c>
      <c r="P1564" s="1251">
        <v>1.5925004564119952E-2</v>
      </c>
      <c r="Q1564" s="1254">
        <v>5.5527785264230203E-2</v>
      </c>
    </row>
    <row r="1565" spans="1:17" s="212" customFormat="1" ht="15.5" x14ac:dyDescent="0.35">
      <c r="A1565" s="198">
        <v>2041</v>
      </c>
      <c r="B1565" s="197" t="s">
        <v>5842</v>
      </c>
      <c r="C1565" s="197">
        <v>1985</v>
      </c>
      <c r="D1565" s="213" t="str">
        <f t="shared" si="18"/>
        <v>2041_1985</v>
      </c>
      <c r="E1565" s="1268">
        <v>0.37101949794067302</v>
      </c>
      <c r="F1565" s="1279">
        <v>2.146562621117E-2</v>
      </c>
      <c r="G1565" s="1255">
        <v>9.3173095717691794</v>
      </c>
      <c r="H1565" s="1279">
        <v>0.38752061079302502</v>
      </c>
      <c r="I1565" s="1255">
        <v>5.3125677853403303E-2</v>
      </c>
      <c r="J1565" s="1279">
        <v>2.0965949757462601E-3</v>
      </c>
      <c r="K1565" s="1255">
        <v>3.0000008613015202E-3</v>
      </c>
      <c r="L1565" s="1253">
        <v>2.0000005740641799E-3</v>
      </c>
      <c r="M1565" s="1273">
        <v>2.0000005740641799E-3</v>
      </c>
      <c r="N1565" s="1255">
        <v>3.1850009128239903E-2</v>
      </c>
      <c r="O1565" s="1256">
        <v>3.1850009128239903E-2</v>
      </c>
      <c r="P1565" s="1251">
        <v>1.5925004564119952E-2</v>
      </c>
      <c r="Q1565" s="1254">
        <v>5.5527785264230203E-2</v>
      </c>
    </row>
    <row r="1566" spans="1:17" s="212" customFormat="1" ht="15.5" x14ac:dyDescent="0.35">
      <c r="A1566" s="198">
        <v>2041</v>
      </c>
      <c r="B1566" s="197" t="s">
        <v>5842</v>
      </c>
      <c r="C1566" s="197">
        <v>1986</v>
      </c>
      <c r="D1566" s="213" t="str">
        <f t="shared" si="18"/>
        <v>2041_1986</v>
      </c>
      <c r="E1566" s="1268">
        <v>0.37101949794067302</v>
      </c>
      <c r="F1566" s="1279">
        <v>2.146562621117E-2</v>
      </c>
      <c r="G1566" s="1255">
        <v>9.3173095717691794</v>
      </c>
      <c r="H1566" s="1279">
        <v>0.38752061079302502</v>
      </c>
      <c r="I1566" s="1255">
        <v>5.3125677853403303E-2</v>
      </c>
      <c r="J1566" s="1279">
        <v>2.0965949757462601E-3</v>
      </c>
      <c r="K1566" s="1255">
        <v>3.0000008613015202E-3</v>
      </c>
      <c r="L1566" s="1253">
        <v>2.0000005740641799E-3</v>
      </c>
      <c r="M1566" s="1273">
        <v>2.0000005740641799E-3</v>
      </c>
      <c r="N1566" s="1255">
        <v>3.1850009128239903E-2</v>
      </c>
      <c r="O1566" s="1256">
        <v>3.1850009128239903E-2</v>
      </c>
      <c r="P1566" s="1251">
        <v>1.5925004564119952E-2</v>
      </c>
      <c r="Q1566" s="1254">
        <v>5.5527785264230203E-2</v>
      </c>
    </row>
    <row r="1567" spans="1:17" s="212" customFormat="1" ht="15.5" x14ac:dyDescent="0.35">
      <c r="A1567" s="198">
        <v>2041</v>
      </c>
      <c r="B1567" s="197" t="s">
        <v>5842</v>
      </c>
      <c r="C1567" s="197">
        <v>1987</v>
      </c>
      <c r="D1567" s="213" t="str">
        <f t="shared" si="18"/>
        <v>2041_1987</v>
      </c>
      <c r="E1567" s="1268">
        <v>0.37101949794067302</v>
      </c>
      <c r="F1567" s="1279">
        <v>2.146562621117E-2</v>
      </c>
      <c r="G1567" s="1255">
        <v>9.3173095717691794</v>
      </c>
      <c r="H1567" s="1279">
        <v>0.38752061079302502</v>
      </c>
      <c r="I1567" s="1255">
        <v>5.3125677853403303E-2</v>
      </c>
      <c r="J1567" s="1279">
        <v>2.0965949757462601E-3</v>
      </c>
      <c r="K1567" s="1255">
        <v>3.0000008613015202E-3</v>
      </c>
      <c r="L1567" s="1253">
        <v>2.0000005740641799E-3</v>
      </c>
      <c r="M1567" s="1273">
        <v>2.0000005740641799E-3</v>
      </c>
      <c r="N1567" s="1255">
        <v>3.1850009128239903E-2</v>
      </c>
      <c r="O1567" s="1256">
        <v>3.1850009128239903E-2</v>
      </c>
      <c r="P1567" s="1251">
        <v>1.5925004564119952E-2</v>
      </c>
      <c r="Q1567" s="1254">
        <v>5.5527785264230203E-2</v>
      </c>
    </row>
    <row r="1568" spans="1:17" s="212" customFormat="1" ht="15.5" x14ac:dyDescent="0.35">
      <c r="A1568" s="198">
        <v>2041</v>
      </c>
      <c r="B1568" s="197" t="s">
        <v>5842</v>
      </c>
      <c r="C1568" s="197">
        <v>1988</v>
      </c>
      <c r="D1568" s="213" t="str">
        <f t="shared" si="18"/>
        <v>2041_1988</v>
      </c>
      <c r="E1568" s="1268">
        <v>0.37101949794067302</v>
      </c>
      <c r="F1568" s="1279">
        <v>2.146562621117E-2</v>
      </c>
      <c r="G1568" s="1255">
        <v>9.3173095717691794</v>
      </c>
      <c r="H1568" s="1279">
        <v>0.38752061079302502</v>
      </c>
      <c r="I1568" s="1255">
        <v>5.3125677853403303E-2</v>
      </c>
      <c r="J1568" s="1279">
        <v>2.0965949757462601E-3</v>
      </c>
      <c r="K1568" s="1255">
        <v>3.0000008613015202E-3</v>
      </c>
      <c r="L1568" s="1253">
        <v>2.0000005740641799E-3</v>
      </c>
      <c r="M1568" s="1273">
        <v>2.0000005740641799E-3</v>
      </c>
      <c r="N1568" s="1255">
        <v>3.1850009128239903E-2</v>
      </c>
      <c r="O1568" s="1256">
        <v>3.1850009128239903E-2</v>
      </c>
      <c r="P1568" s="1251">
        <v>1.5925004564119952E-2</v>
      </c>
      <c r="Q1568" s="1254">
        <v>5.5527785264230203E-2</v>
      </c>
    </row>
    <row r="1569" spans="1:17" s="212" customFormat="1" ht="15.5" x14ac:dyDescent="0.35">
      <c r="A1569" s="198">
        <v>2041</v>
      </c>
      <c r="B1569" s="197" t="s">
        <v>5842</v>
      </c>
      <c r="C1569" s="197">
        <v>1989</v>
      </c>
      <c r="D1569" s="213" t="str">
        <f t="shared" si="18"/>
        <v>2041_1989</v>
      </c>
      <c r="E1569" s="1268">
        <v>0.37101949794067302</v>
      </c>
      <c r="F1569" s="1279">
        <v>2.146562621117E-2</v>
      </c>
      <c r="G1569" s="1255">
        <v>9.3173095717691794</v>
      </c>
      <c r="H1569" s="1279">
        <v>0.38752061079302502</v>
      </c>
      <c r="I1569" s="1255">
        <v>5.3125677853403303E-2</v>
      </c>
      <c r="J1569" s="1279">
        <v>2.0965949757462601E-3</v>
      </c>
      <c r="K1569" s="1255">
        <v>3.0000008613015202E-3</v>
      </c>
      <c r="L1569" s="1253">
        <v>2.0000005740641799E-3</v>
      </c>
      <c r="M1569" s="1273">
        <v>2.0000005740641799E-3</v>
      </c>
      <c r="N1569" s="1255">
        <v>3.1850009128239903E-2</v>
      </c>
      <c r="O1569" s="1256">
        <v>3.1850009128239903E-2</v>
      </c>
      <c r="P1569" s="1251">
        <v>1.5925004564119952E-2</v>
      </c>
      <c r="Q1569" s="1254">
        <v>5.5527785264230203E-2</v>
      </c>
    </row>
    <row r="1570" spans="1:17" s="212" customFormat="1" ht="15.5" x14ac:dyDescent="0.35">
      <c r="A1570" s="198">
        <v>2041</v>
      </c>
      <c r="B1570" s="197" t="s">
        <v>5842</v>
      </c>
      <c r="C1570" s="197">
        <v>1990</v>
      </c>
      <c r="D1570" s="213" t="str">
        <f t="shared" si="18"/>
        <v>2041_1990</v>
      </c>
      <c r="E1570" s="1268">
        <v>0.37101949794067302</v>
      </c>
      <c r="F1570" s="1279">
        <v>2.146562621117E-2</v>
      </c>
      <c r="G1570" s="1255">
        <v>9.3173095717691794</v>
      </c>
      <c r="H1570" s="1279">
        <v>0.38752061079302502</v>
      </c>
      <c r="I1570" s="1255">
        <v>5.3125677853403303E-2</v>
      </c>
      <c r="J1570" s="1279">
        <v>2.0965949757462601E-3</v>
      </c>
      <c r="K1570" s="1255">
        <v>3.0000008613015202E-3</v>
      </c>
      <c r="L1570" s="1253">
        <v>2.0000005740641799E-3</v>
      </c>
      <c r="M1570" s="1273">
        <v>2.0000005740641799E-3</v>
      </c>
      <c r="N1570" s="1255">
        <v>3.1850009128239903E-2</v>
      </c>
      <c r="O1570" s="1256">
        <v>3.1850009128239903E-2</v>
      </c>
      <c r="P1570" s="1251">
        <v>1.5925004564119952E-2</v>
      </c>
      <c r="Q1570" s="1254">
        <v>5.5527785264230203E-2</v>
      </c>
    </row>
    <row r="1571" spans="1:17" s="212" customFormat="1" ht="15.5" x14ac:dyDescent="0.35">
      <c r="A1571" s="198">
        <v>2041</v>
      </c>
      <c r="B1571" s="197" t="s">
        <v>5842</v>
      </c>
      <c r="C1571" s="197">
        <v>1991</v>
      </c>
      <c r="D1571" s="213" t="str">
        <f t="shared" si="18"/>
        <v>2041_1991</v>
      </c>
      <c r="E1571" s="1268">
        <v>0.37101949794067302</v>
      </c>
      <c r="F1571" s="1279">
        <v>2.146562621117E-2</v>
      </c>
      <c r="G1571" s="1255">
        <v>9.3173095717691794</v>
      </c>
      <c r="H1571" s="1279">
        <v>0.38752061079302502</v>
      </c>
      <c r="I1571" s="1255">
        <v>5.3125677853403303E-2</v>
      </c>
      <c r="J1571" s="1279">
        <v>2.0965949757462601E-3</v>
      </c>
      <c r="K1571" s="1255">
        <v>3.0000008613015202E-3</v>
      </c>
      <c r="L1571" s="1253">
        <v>2.0000005740641799E-3</v>
      </c>
      <c r="M1571" s="1273">
        <v>2.0000005740641799E-3</v>
      </c>
      <c r="N1571" s="1255">
        <v>3.1850009128239903E-2</v>
      </c>
      <c r="O1571" s="1256">
        <v>3.1850009128239903E-2</v>
      </c>
      <c r="P1571" s="1251">
        <v>1.5925004564119952E-2</v>
      </c>
      <c r="Q1571" s="1254">
        <v>5.5527785264230203E-2</v>
      </c>
    </row>
    <row r="1572" spans="1:17" s="212" customFormat="1" ht="15.5" x14ac:dyDescent="0.35">
      <c r="A1572" s="198">
        <v>2041</v>
      </c>
      <c r="B1572" s="197" t="s">
        <v>5842</v>
      </c>
      <c r="C1572" s="197">
        <v>1992</v>
      </c>
      <c r="D1572" s="213" t="str">
        <f t="shared" si="18"/>
        <v>2041_1992</v>
      </c>
      <c r="E1572" s="1268">
        <v>0.37101949794067302</v>
      </c>
      <c r="F1572" s="1279">
        <v>2.146562621117E-2</v>
      </c>
      <c r="G1572" s="1255">
        <v>9.3173095717691794</v>
      </c>
      <c r="H1572" s="1279">
        <v>0.38752061079302502</v>
      </c>
      <c r="I1572" s="1255">
        <v>5.3125677853403303E-2</v>
      </c>
      <c r="J1572" s="1279">
        <v>2.0965949757462601E-3</v>
      </c>
      <c r="K1572" s="1255">
        <v>3.0000008613015202E-3</v>
      </c>
      <c r="L1572" s="1253">
        <v>2.0000005740641799E-3</v>
      </c>
      <c r="M1572" s="1273">
        <v>2.0000005740641799E-3</v>
      </c>
      <c r="N1572" s="1255">
        <v>3.1850009128239903E-2</v>
      </c>
      <c r="O1572" s="1256">
        <v>3.1850009128239903E-2</v>
      </c>
      <c r="P1572" s="1251">
        <v>1.5925004564119952E-2</v>
      </c>
      <c r="Q1572" s="1254">
        <v>5.5527785264230203E-2</v>
      </c>
    </row>
    <row r="1573" spans="1:17" s="212" customFormat="1" ht="15.5" x14ac:dyDescent="0.35">
      <c r="A1573" s="198">
        <v>2041</v>
      </c>
      <c r="B1573" s="197" t="s">
        <v>5842</v>
      </c>
      <c r="C1573" s="197">
        <v>1993</v>
      </c>
      <c r="D1573" s="213" t="str">
        <f t="shared" si="18"/>
        <v>2041_1993</v>
      </c>
      <c r="E1573" s="1268">
        <v>0.37101949794067302</v>
      </c>
      <c r="F1573" s="1279">
        <v>2.146562621117E-2</v>
      </c>
      <c r="G1573" s="1255">
        <v>9.3173095717691794</v>
      </c>
      <c r="H1573" s="1279">
        <v>0.38752061079302502</v>
      </c>
      <c r="I1573" s="1255">
        <v>5.3125677853403303E-2</v>
      </c>
      <c r="J1573" s="1279">
        <v>2.0965949757462601E-3</v>
      </c>
      <c r="K1573" s="1255">
        <v>3.0000008613015202E-3</v>
      </c>
      <c r="L1573" s="1253">
        <v>2.0000005740641799E-3</v>
      </c>
      <c r="M1573" s="1273">
        <v>2.0000005740641799E-3</v>
      </c>
      <c r="N1573" s="1255">
        <v>3.1850009128239903E-2</v>
      </c>
      <c r="O1573" s="1256">
        <v>3.1850009128239903E-2</v>
      </c>
      <c r="P1573" s="1251">
        <v>1.5925004564119952E-2</v>
      </c>
      <c r="Q1573" s="1254">
        <v>5.5527785264230203E-2</v>
      </c>
    </row>
    <row r="1574" spans="1:17" s="212" customFormat="1" ht="15.5" x14ac:dyDescent="0.35">
      <c r="A1574" s="198">
        <v>2041</v>
      </c>
      <c r="B1574" s="197" t="s">
        <v>5842</v>
      </c>
      <c r="C1574" s="197">
        <v>1994</v>
      </c>
      <c r="D1574" s="213" t="str">
        <f t="shared" si="18"/>
        <v>2041_1994</v>
      </c>
      <c r="E1574" s="1268">
        <v>0.37101949794067302</v>
      </c>
      <c r="F1574" s="1279">
        <v>2.146562621117E-2</v>
      </c>
      <c r="G1574" s="1255">
        <v>9.3173095717691794</v>
      </c>
      <c r="H1574" s="1279">
        <v>0.38752061079302502</v>
      </c>
      <c r="I1574" s="1255">
        <v>5.3125677853403303E-2</v>
      </c>
      <c r="J1574" s="1279">
        <v>2.0965949757462601E-3</v>
      </c>
      <c r="K1574" s="1255">
        <v>3.0000008613015202E-3</v>
      </c>
      <c r="L1574" s="1253">
        <v>2.0000005740641799E-3</v>
      </c>
      <c r="M1574" s="1273">
        <v>2.0000005740641799E-3</v>
      </c>
      <c r="N1574" s="1255">
        <v>3.1850009128239903E-2</v>
      </c>
      <c r="O1574" s="1256">
        <v>3.1850009128239903E-2</v>
      </c>
      <c r="P1574" s="1251">
        <v>1.5925004564119952E-2</v>
      </c>
      <c r="Q1574" s="1254">
        <v>5.5527785264230203E-2</v>
      </c>
    </row>
    <row r="1575" spans="1:17" s="212" customFormat="1" ht="15.5" x14ac:dyDescent="0.35">
      <c r="A1575" s="198">
        <v>2041</v>
      </c>
      <c r="B1575" s="197" t="s">
        <v>5842</v>
      </c>
      <c r="C1575" s="197">
        <v>1995</v>
      </c>
      <c r="D1575" s="213" t="str">
        <f t="shared" si="18"/>
        <v>2041_1995</v>
      </c>
      <c r="E1575" s="1268">
        <v>0.37101949794067302</v>
      </c>
      <c r="F1575" s="1279">
        <v>2.146562621117E-2</v>
      </c>
      <c r="G1575" s="1255">
        <v>9.3173095717691794</v>
      </c>
      <c r="H1575" s="1279">
        <v>0.38752061079302502</v>
      </c>
      <c r="I1575" s="1255">
        <v>5.3125677853403303E-2</v>
      </c>
      <c r="J1575" s="1279">
        <v>2.0965949757462601E-3</v>
      </c>
      <c r="K1575" s="1255">
        <v>3.0000008613015202E-3</v>
      </c>
      <c r="L1575" s="1253">
        <v>2.0000005740641799E-3</v>
      </c>
      <c r="M1575" s="1273">
        <v>2.0000005740641799E-3</v>
      </c>
      <c r="N1575" s="1255">
        <v>3.1850009128239903E-2</v>
      </c>
      <c r="O1575" s="1256">
        <v>3.1850009128239903E-2</v>
      </c>
      <c r="P1575" s="1251">
        <v>1.5925004564119952E-2</v>
      </c>
      <c r="Q1575" s="1254">
        <v>5.5527785264230203E-2</v>
      </c>
    </row>
    <row r="1576" spans="1:17" s="212" customFormat="1" ht="15.5" x14ac:dyDescent="0.35">
      <c r="A1576" s="198">
        <v>2041</v>
      </c>
      <c r="B1576" s="197" t="s">
        <v>5842</v>
      </c>
      <c r="C1576" s="197">
        <v>1996</v>
      </c>
      <c r="D1576" s="213" t="str">
        <f t="shared" si="18"/>
        <v>2041_1996</v>
      </c>
      <c r="E1576" s="1268">
        <v>0.37101949794067302</v>
      </c>
      <c r="F1576" s="1279">
        <v>2.146562621117E-2</v>
      </c>
      <c r="G1576" s="1255">
        <v>9.3173095717691794</v>
      </c>
      <c r="H1576" s="1279">
        <v>0.38752061079302502</v>
      </c>
      <c r="I1576" s="1255">
        <v>5.3125677853403303E-2</v>
      </c>
      <c r="J1576" s="1279">
        <v>2.0965949757462601E-3</v>
      </c>
      <c r="K1576" s="1255">
        <v>3.0000008613015202E-3</v>
      </c>
      <c r="L1576" s="1253">
        <v>2.0000005740641799E-3</v>
      </c>
      <c r="M1576" s="1273">
        <v>2.0000005740641799E-3</v>
      </c>
      <c r="N1576" s="1255">
        <v>3.1850009128239903E-2</v>
      </c>
      <c r="O1576" s="1256">
        <v>3.1850009128239903E-2</v>
      </c>
      <c r="P1576" s="1251">
        <v>1.5925004564119952E-2</v>
      </c>
      <c r="Q1576" s="1254">
        <v>5.5527785264230203E-2</v>
      </c>
    </row>
    <row r="1577" spans="1:17" s="212" customFormat="1" ht="15.5" x14ac:dyDescent="0.35">
      <c r="A1577" s="198">
        <v>2041</v>
      </c>
      <c r="B1577" s="197" t="s">
        <v>5842</v>
      </c>
      <c r="C1577" s="197">
        <v>1997</v>
      </c>
      <c r="D1577" s="213" t="str">
        <f t="shared" si="18"/>
        <v>2041_1997</v>
      </c>
      <c r="E1577" s="1267">
        <v>0.37101949794067302</v>
      </c>
      <c r="F1577" s="1278">
        <v>2.146562621117E-2</v>
      </c>
      <c r="G1577" s="1248">
        <v>9.3173095717691794</v>
      </c>
      <c r="H1577" s="1278">
        <v>0.38752061079302502</v>
      </c>
      <c r="I1577" s="1248">
        <v>5.3125677853403303E-2</v>
      </c>
      <c r="J1577" s="1278">
        <v>2.0965949757462601E-3</v>
      </c>
      <c r="K1577" s="1248">
        <v>3.0000008613015202E-3</v>
      </c>
      <c r="L1577" s="1250">
        <v>2.0000005740641799E-3</v>
      </c>
      <c r="M1577" s="1273">
        <v>2.0000005740641799E-3</v>
      </c>
      <c r="N1577" s="1248">
        <v>3.1850009128239903E-2</v>
      </c>
      <c r="O1577" s="1249">
        <v>3.1850009128239903E-2</v>
      </c>
      <c r="P1577" s="1251">
        <v>1.5925004564119952E-2</v>
      </c>
      <c r="Q1577" s="1252">
        <v>5.5527785264230203E-2</v>
      </c>
    </row>
    <row r="1578" spans="1:17" s="212" customFormat="1" ht="15.5" x14ac:dyDescent="0.35">
      <c r="A1578" s="198">
        <v>2041</v>
      </c>
      <c r="B1578" s="197" t="s">
        <v>5842</v>
      </c>
      <c r="C1578" s="197">
        <v>1998</v>
      </c>
      <c r="D1578" s="213" t="str">
        <f t="shared" si="18"/>
        <v>2041_1998</v>
      </c>
      <c r="E1578" s="1267">
        <v>0.37243341022794002</v>
      </c>
      <c r="F1578" s="1278">
        <v>2.1753899402764901E-2</v>
      </c>
      <c r="G1578" s="1248">
        <v>9.3016923111894094</v>
      </c>
      <c r="H1578" s="1278">
        <v>0.38956230309351197</v>
      </c>
      <c r="I1578" s="1248">
        <v>5.3328133651827099E-2</v>
      </c>
      <c r="J1578" s="1278">
        <v>2.1276100162711401E-3</v>
      </c>
      <c r="K1578" s="1248">
        <v>3.00000086138169E-3</v>
      </c>
      <c r="L1578" s="1250">
        <v>2.0000005741055201E-3</v>
      </c>
      <c r="M1578" s="1273">
        <v>2.0000005741055201E-3</v>
      </c>
      <c r="N1578" s="1248">
        <v>3.1850009128239903E-2</v>
      </c>
      <c r="O1578" s="1249">
        <v>3.1850009128239903E-2</v>
      </c>
      <c r="P1578" s="1251">
        <v>1.5925004564119952E-2</v>
      </c>
      <c r="Q1578" s="1252">
        <v>5.5739395215474399E-2</v>
      </c>
    </row>
    <row r="1579" spans="1:17" s="212" customFormat="1" ht="15.5" x14ac:dyDescent="0.35">
      <c r="A1579" s="198">
        <v>2041</v>
      </c>
      <c r="B1579" s="197" t="s">
        <v>5842</v>
      </c>
      <c r="C1579" s="197">
        <v>1999</v>
      </c>
      <c r="D1579" s="213" t="str">
        <f t="shared" si="18"/>
        <v>2041_1999</v>
      </c>
      <c r="E1579" s="1267">
        <v>0.37050759063781702</v>
      </c>
      <c r="F1579" s="1278">
        <v>2.1805382841643298E-2</v>
      </c>
      <c r="G1579" s="1248">
        <v>9.3347387299754399</v>
      </c>
      <c r="H1579" s="1278">
        <v>0.38987784060170999</v>
      </c>
      <c r="I1579" s="1248">
        <v>5.3052378680143598E-2</v>
      </c>
      <c r="J1579" s="1278">
        <v>2.1279437609848899E-3</v>
      </c>
      <c r="K1579" s="1248">
        <v>3.0000008613469201E-3</v>
      </c>
      <c r="L1579" s="1250">
        <v>2.0000005741208798E-3</v>
      </c>
      <c r="M1579" s="1273">
        <v>2.0000005741208798E-3</v>
      </c>
      <c r="N1579" s="1248">
        <v>3.1850009128239903E-2</v>
      </c>
      <c r="O1579" s="1249">
        <v>3.1850009128239903E-2</v>
      </c>
      <c r="P1579" s="1251">
        <v>1.5925004564119952E-2</v>
      </c>
      <c r="Q1579" s="1252">
        <v>5.54511718276159E-2</v>
      </c>
    </row>
    <row r="1580" spans="1:17" s="212" customFormat="1" ht="15.5" x14ac:dyDescent="0.35">
      <c r="A1580" s="198">
        <v>2041</v>
      </c>
      <c r="B1580" s="197" t="s">
        <v>5842</v>
      </c>
      <c r="C1580" s="197">
        <v>2000</v>
      </c>
      <c r="D1580" s="213" t="str">
        <f t="shared" si="18"/>
        <v>2041_2000</v>
      </c>
      <c r="E1580" s="1267">
        <v>0.36671823079809701</v>
      </c>
      <c r="F1580" s="1278">
        <v>2.2104973337810301E-2</v>
      </c>
      <c r="G1580" s="1248">
        <v>9.4123260515756204</v>
      </c>
      <c r="H1580" s="1278">
        <v>0.39246531837122101</v>
      </c>
      <c r="I1580" s="1248">
        <v>5.2509786414149599E-2</v>
      </c>
      <c r="J1580" s="1278">
        <v>2.16045078200884E-3</v>
      </c>
      <c r="K1580" s="1248">
        <v>3.0000008612648499E-3</v>
      </c>
      <c r="L1580" s="1250">
        <v>2.0000005741597502E-3</v>
      </c>
      <c r="M1580" s="1273">
        <v>2.0000005741597502E-3</v>
      </c>
      <c r="N1580" s="1248">
        <v>3.1850009128239903E-2</v>
      </c>
      <c r="O1580" s="1249">
        <v>3.1850009128239903E-2</v>
      </c>
      <c r="P1580" s="1251">
        <v>1.5925004564119952E-2</v>
      </c>
      <c r="Q1580" s="1252">
        <v>5.4884045947071199E-2</v>
      </c>
    </row>
    <row r="1581" spans="1:17" s="212" customFormat="1" ht="15.5" x14ac:dyDescent="0.35">
      <c r="A1581" s="198">
        <v>2041</v>
      </c>
      <c r="B1581" s="197" t="s">
        <v>5842</v>
      </c>
      <c r="C1581" s="197">
        <v>2001</v>
      </c>
      <c r="D1581" s="213" t="str">
        <f t="shared" si="18"/>
        <v>2041_2001</v>
      </c>
      <c r="E1581" s="1267">
        <v>0.37015184871358903</v>
      </c>
      <c r="F1581" s="1278">
        <v>2.21916763158897E-2</v>
      </c>
      <c r="G1581" s="1248">
        <v>9.3394652900710806</v>
      </c>
      <c r="H1581" s="1278">
        <v>0.39375019418254298</v>
      </c>
      <c r="I1581" s="1248">
        <v>5.3001440573196702E-2</v>
      </c>
      <c r="J1581" s="1278">
        <v>2.17150699170154E-3</v>
      </c>
      <c r="K1581" s="1248">
        <v>3.0000008613454698E-3</v>
      </c>
      <c r="L1581" s="1250">
        <v>2.0000005741891099E-3</v>
      </c>
      <c r="M1581" s="1273">
        <v>2.0000005741891099E-3</v>
      </c>
      <c r="N1581" s="1248">
        <v>3.1850009128239903E-2</v>
      </c>
      <c r="O1581" s="1249">
        <v>3.1850009128239903E-2</v>
      </c>
      <c r="P1581" s="1251">
        <v>1.5925004564119952E-2</v>
      </c>
      <c r="Q1581" s="1252">
        <v>5.5397930525507399E-2</v>
      </c>
    </row>
    <row r="1582" spans="1:17" s="212" customFormat="1" ht="15.5" x14ac:dyDescent="0.35">
      <c r="A1582" s="198">
        <v>2041</v>
      </c>
      <c r="B1582" s="197" t="s">
        <v>5842</v>
      </c>
      <c r="C1582" s="197">
        <v>2002</v>
      </c>
      <c r="D1582" s="213" t="str">
        <f t="shared" si="18"/>
        <v>2041_2002</v>
      </c>
      <c r="E1582" s="1267">
        <v>0.28699498095197701</v>
      </c>
      <c r="F1582" s="1278">
        <v>2.21284550014571E-2</v>
      </c>
      <c r="G1582" s="1248">
        <v>7.1983146891499104</v>
      </c>
      <c r="H1582" s="1278">
        <v>0.31739740641935799</v>
      </c>
      <c r="I1582" s="1248">
        <v>5.34952640842115E-2</v>
      </c>
      <c r="J1582" s="1278">
        <v>2.16932997156999E-3</v>
      </c>
      <c r="K1582" s="1248">
        <v>3.0000008613590501E-3</v>
      </c>
      <c r="L1582" s="1250">
        <v>2.0000005741644101E-3</v>
      </c>
      <c r="M1582" s="1273">
        <v>2.0000005741644101E-3</v>
      </c>
      <c r="N1582" s="1248">
        <v>3.1850009128239903E-2</v>
      </c>
      <c r="O1582" s="1249">
        <v>3.1850009128239903E-2</v>
      </c>
      <c r="P1582" s="1251">
        <v>1.5925004564119952E-2</v>
      </c>
      <c r="Q1582" s="1252">
        <v>5.5914082544380898E-2</v>
      </c>
    </row>
    <row r="1583" spans="1:17" s="212" customFormat="1" ht="15.5" x14ac:dyDescent="0.35">
      <c r="A1583" s="198">
        <v>2041</v>
      </c>
      <c r="B1583" s="197" t="s">
        <v>5842</v>
      </c>
      <c r="C1583" s="197">
        <v>2003</v>
      </c>
      <c r="D1583" s="213" t="str">
        <f t="shared" si="18"/>
        <v>2041_2003</v>
      </c>
      <c r="E1583" s="1267">
        <v>0.28446774671962</v>
      </c>
      <c r="F1583" s="1278">
        <v>2.18146361577672E-2</v>
      </c>
      <c r="G1583" s="1248">
        <v>7.2419368914563096</v>
      </c>
      <c r="H1583" s="1278">
        <v>0.31667427163893502</v>
      </c>
      <c r="I1583" s="1248">
        <v>5.3024192910025102E-2</v>
      </c>
      <c r="J1583" s="1278">
        <v>2.13753691394918E-3</v>
      </c>
      <c r="K1583" s="1248">
        <v>3.0000008612843E-3</v>
      </c>
      <c r="L1583" s="1250">
        <v>2.0000005741499399E-3</v>
      </c>
      <c r="M1583" s="1273">
        <v>2.0000005741499399E-3</v>
      </c>
      <c r="N1583" s="1248">
        <v>3.1850009128239903E-2</v>
      </c>
      <c r="O1583" s="1249">
        <v>3.1850009128239903E-2</v>
      </c>
      <c r="P1583" s="1251">
        <v>1.5925004564119952E-2</v>
      </c>
      <c r="Q1583" s="1252">
        <v>5.5421711622045199E-2</v>
      </c>
    </row>
    <row r="1584" spans="1:17" s="212" customFormat="1" ht="15.5" x14ac:dyDescent="0.35">
      <c r="A1584" s="198">
        <v>2041</v>
      </c>
      <c r="B1584" s="197" t="s">
        <v>5842</v>
      </c>
      <c r="C1584" s="197">
        <v>2004</v>
      </c>
      <c r="D1584" s="213" t="str">
        <f t="shared" si="18"/>
        <v>2041_2004</v>
      </c>
      <c r="E1584" s="1267">
        <v>0.57574056240766402</v>
      </c>
      <c r="F1584" s="1278">
        <v>1.42776399098614E-2</v>
      </c>
      <c r="G1584" s="1248">
        <v>4.1413409588487804</v>
      </c>
      <c r="H1584" s="1278">
        <v>0.26777370904891801</v>
      </c>
      <c r="I1584" s="1248">
        <v>0.14999211340884799</v>
      </c>
      <c r="J1584" s="1278">
        <v>1.3895890643607299E-4</v>
      </c>
      <c r="K1584" s="1248">
        <v>3.0000008612784102E-3</v>
      </c>
      <c r="L1584" s="1250">
        <v>2.0000005740845599E-3</v>
      </c>
      <c r="M1584" s="1273">
        <v>2.0000005740845599E-3</v>
      </c>
      <c r="N1584" s="1248">
        <v>3.1850009128239903E-2</v>
      </c>
      <c r="O1584" s="1249">
        <v>3.1850009128239903E-2</v>
      </c>
      <c r="P1584" s="1251">
        <v>1.5925004564119952E-2</v>
      </c>
      <c r="Q1584" s="1252">
        <v>0.15677409119705099</v>
      </c>
    </row>
    <row r="1585" spans="1:17" s="212" customFormat="1" ht="15.5" x14ac:dyDescent="0.35">
      <c r="A1585" s="198">
        <v>2041</v>
      </c>
      <c r="B1585" s="197" t="s">
        <v>5842</v>
      </c>
      <c r="C1585" s="197">
        <v>2005</v>
      </c>
      <c r="D1585" s="213" t="str">
        <f t="shared" si="18"/>
        <v>2041_2005</v>
      </c>
      <c r="E1585" s="1267">
        <v>0.57346572897977299</v>
      </c>
      <c r="F1585" s="1278">
        <v>1.44203022449482E-2</v>
      </c>
      <c r="G1585" s="1248">
        <v>4.1340792830847803</v>
      </c>
      <c r="H1585" s="1278">
        <v>0.26981255322213299</v>
      </c>
      <c r="I1585" s="1248">
        <v>0.14949378388211801</v>
      </c>
      <c r="J1585" s="1278">
        <v>1.4090450778980201E-4</v>
      </c>
      <c r="K1585" s="1248">
        <v>3.00000086125489E-3</v>
      </c>
      <c r="L1585" s="1250">
        <v>2.0000005741229602E-3</v>
      </c>
      <c r="M1585" s="1273">
        <v>2.0000005741229602E-3</v>
      </c>
      <c r="N1585" s="1248">
        <v>3.1850009128239903E-2</v>
      </c>
      <c r="O1585" s="1249">
        <v>3.1850009128239903E-2</v>
      </c>
      <c r="P1585" s="1251">
        <v>1.5925004564119952E-2</v>
      </c>
      <c r="Q1585" s="1252">
        <v>0.15625322942042699</v>
      </c>
    </row>
    <row r="1586" spans="1:17" s="212" customFormat="1" ht="15.5" x14ac:dyDescent="0.35">
      <c r="A1586" s="198">
        <v>2041</v>
      </c>
      <c r="B1586" s="197" t="s">
        <v>5842</v>
      </c>
      <c r="C1586" s="197">
        <v>2006</v>
      </c>
      <c r="D1586" s="213" t="str">
        <f t="shared" si="18"/>
        <v>2041_2006</v>
      </c>
      <c r="E1586" s="1267">
        <v>0.56973058131118204</v>
      </c>
      <c r="F1586" s="1278">
        <v>1.4583983883712501E-2</v>
      </c>
      <c r="G1586" s="1248">
        <v>4.1211920656632097</v>
      </c>
      <c r="H1586" s="1278">
        <v>0.27187006568420202</v>
      </c>
      <c r="I1586" s="1248">
        <v>0.14865196567205199</v>
      </c>
      <c r="J1586" s="1278">
        <v>1.41904291900635E-4</v>
      </c>
      <c r="K1586" s="1248">
        <v>3.0000008612415699E-3</v>
      </c>
      <c r="L1586" s="1250">
        <v>2.0000005741382101E-3</v>
      </c>
      <c r="M1586" s="1273">
        <v>2.0000005741382101E-3</v>
      </c>
      <c r="N1586" s="1248">
        <v>3.1850009128239903E-2</v>
      </c>
      <c r="O1586" s="1249">
        <v>3.1850009128239903E-2</v>
      </c>
      <c r="P1586" s="1251">
        <v>1.5925004564119952E-2</v>
      </c>
      <c r="Q1586" s="1252">
        <v>0.155373347926413</v>
      </c>
    </row>
    <row r="1587" spans="1:17" s="212" customFormat="1" ht="15.5" x14ac:dyDescent="0.35">
      <c r="A1587" s="198">
        <v>2041</v>
      </c>
      <c r="B1587" s="197" t="s">
        <v>5842</v>
      </c>
      <c r="C1587" s="197">
        <v>2007</v>
      </c>
      <c r="D1587" s="213" t="str">
        <f t="shared" si="18"/>
        <v>2041_2007</v>
      </c>
      <c r="E1587" s="1267">
        <v>0.33240620801247101</v>
      </c>
      <c r="F1587" s="1278">
        <v>1.45221711767572E-2</v>
      </c>
      <c r="G1587" s="1248">
        <v>2.48065451025054</v>
      </c>
      <c r="H1587" s="1278">
        <v>0.27269765759949599</v>
      </c>
      <c r="I1587" s="1248">
        <v>8.7306520349539701E-2</v>
      </c>
      <c r="J1587" s="1278">
        <v>1.4495027535345599E-4</v>
      </c>
      <c r="K1587" s="1248">
        <v>3.0000008612446798E-3</v>
      </c>
      <c r="L1587" s="1250">
        <v>2.0000005741917901E-3</v>
      </c>
      <c r="M1587" s="1273">
        <v>2.0000005741917901E-3</v>
      </c>
      <c r="N1587" s="1248">
        <v>3.1850009128239903E-2</v>
      </c>
      <c r="O1587" s="1249">
        <v>3.1850009128239903E-2</v>
      </c>
      <c r="P1587" s="1251">
        <v>1.5925004564119952E-2</v>
      </c>
      <c r="Q1587" s="1252">
        <v>9.1254133782799604E-2</v>
      </c>
    </row>
    <row r="1588" spans="1:17" s="212" customFormat="1" ht="15.5" x14ac:dyDescent="0.35">
      <c r="A1588" s="198">
        <v>2041</v>
      </c>
      <c r="B1588" s="197" t="s">
        <v>5842</v>
      </c>
      <c r="C1588" s="197">
        <v>2008</v>
      </c>
      <c r="D1588" s="213" t="str">
        <f t="shared" si="18"/>
        <v>2041_2008</v>
      </c>
      <c r="E1588" s="1267">
        <v>0.33995404885163799</v>
      </c>
      <c r="F1588" s="1278">
        <v>9.8725416493775208E-3</v>
      </c>
      <c r="G1588" s="1248">
        <v>2.50507982898197</v>
      </c>
      <c r="H1588" s="1278">
        <v>0.15841342118712301</v>
      </c>
      <c r="I1588" s="1248">
        <v>8.8891023683624795E-2</v>
      </c>
      <c r="J1588" s="1278">
        <v>1.4122132413075099E-4</v>
      </c>
      <c r="K1588" s="1248">
        <v>3.00000086133239E-3</v>
      </c>
      <c r="L1588" s="1250">
        <v>2.00000057421732E-3</v>
      </c>
      <c r="M1588" s="1273">
        <v>2.00000057421732E-3</v>
      </c>
      <c r="N1588" s="1248">
        <v>3.1850009128239903E-2</v>
      </c>
      <c r="O1588" s="1249">
        <v>3.1850009128239903E-2</v>
      </c>
      <c r="P1588" s="1251">
        <v>1.5925004564119952E-2</v>
      </c>
      <c r="Q1588" s="1252">
        <v>9.2910281326522695E-2</v>
      </c>
    </row>
    <row r="1589" spans="1:17" s="212" customFormat="1" ht="15.5" x14ac:dyDescent="0.35">
      <c r="A1589" s="198">
        <v>2041</v>
      </c>
      <c r="B1589" s="197" t="s">
        <v>5842</v>
      </c>
      <c r="C1589" s="197">
        <v>2009</v>
      </c>
      <c r="D1589" s="213" t="str">
        <f t="shared" si="18"/>
        <v>2041_2009</v>
      </c>
      <c r="E1589" s="1267">
        <v>0.33836476567306201</v>
      </c>
      <c r="F1589" s="1278">
        <v>4.7979686812740299E-3</v>
      </c>
      <c r="G1589" s="1248">
        <v>2.4999189196624698</v>
      </c>
      <c r="H1589" s="1278">
        <v>4.2924326062799403E-2</v>
      </c>
      <c r="I1589" s="1248">
        <v>8.8541268711871304E-2</v>
      </c>
      <c r="J1589" s="1278">
        <v>1.29820524707088E-4</v>
      </c>
      <c r="K1589" s="1248">
        <v>3.0000008612924198E-3</v>
      </c>
      <c r="L1589" s="1250">
        <v>2.0000005741609901E-3</v>
      </c>
      <c r="M1589" s="1273">
        <v>2.0000005741609901E-3</v>
      </c>
      <c r="N1589" s="1248">
        <v>3.1850009128239903E-2</v>
      </c>
      <c r="O1589" s="1249">
        <v>3.1850009128239903E-2</v>
      </c>
      <c r="P1589" s="1251">
        <v>1.5925004564119952E-2</v>
      </c>
      <c r="Q1589" s="1252">
        <v>9.2544711986961098E-2</v>
      </c>
    </row>
    <row r="1590" spans="1:17" s="212" customFormat="1" ht="15.5" x14ac:dyDescent="0.35">
      <c r="A1590" s="198">
        <v>2041</v>
      </c>
      <c r="B1590" s="197" t="s">
        <v>5842</v>
      </c>
      <c r="C1590" s="197">
        <v>2010</v>
      </c>
      <c r="D1590" s="213" t="str">
        <f t="shared" si="18"/>
        <v>2041_2010</v>
      </c>
      <c r="E1590" s="1267">
        <v>9.0253783479746802E-2</v>
      </c>
      <c r="F1590" s="1278">
        <v>4.8026975768572597E-3</v>
      </c>
      <c r="G1590" s="1248">
        <v>0.82431359476364297</v>
      </c>
      <c r="H1590" s="1278">
        <v>4.3256533240848397E-2</v>
      </c>
      <c r="I1590" s="1248">
        <v>2.47913129832073E-2</v>
      </c>
      <c r="J1590" s="1278">
        <v>1.58452037595756E-4</v>
      </c>
      <c r="K1590" s="1248">
        <v>3.00000086133786E-3</v>
      </c>
      <c r="L1590" s="1250">
        <v>2.0000005741382899E-3</v>
      </c>
      <c r="M1590" s="1273">
        <v>2.0000005741382899E-3</v>
      </c>
      <c r="N1590" s="1248">
        <v>3.1850009128239903E-2</v>
      </c>
      <c r="O1590" s="1249">
        <v>3.1850009128239903E-2</v>
      </c>
      <c r="P1590" s="1251">
        <v>1.5925004564119952E-2</v>
      </c>
      <c r="Q1590" s="1252">
        <v>2.59122661464859E-2</v>
      </c>
    </row>
    <row r="1591" spans="1:17" s="212" customFormat="1" ht="15.5" x14ac:dyDescent="0.35">
      <c r="A1591" s="198">
        <v>2041</v>
      </c>
      <c r="B1591" s="197" t="s">
        <v>5842</v>
      </c>
      <c r="C1591" s="197">
        <v>2011</v>
      </c>
      <c r="D1591" s="213" t="str">
        <f t="shared" si="18"/>
        <v>2041_2011</v>
      </c>
      <c r="E1591" s="1267">
        <v>8.9417320976554304E-2</v>
      </c>
      <c r="F1591" s="1278">
        <v>5.0022182357104096E-3</v>
      </c>
      <c r="G1591" s="1248">
        <v>0.82095245495110203</v>
      </c>
      <c r="H1591" s="1278">
        <v>4.3184677132005397E-2</v>
      </c>
      <c r="I1591" s="1248">
        <v>2.4636636948671499E-2</v>
      </c>
      <c r="J1591" s="1278">
        <v>2.16815917768346E-4</v>
      </c>
      <c r="K1591" s="1248">
        <v>3.0000008613092401E-3</v>
      </c>
      <c r="L1591" s="1250">
        <v>2.0000005742380499E-3</v>
      </c>
      <c r="M1591" s="1273">
        <v>2.0000005742380499E-3</v>
      </c>
      <c r="N1591" s="1248">
        <v>3.1850009128239903E-2</v>
      </c>
      <c r="O1591" s="1249">
        <v>3.1850009128239903E-2</v>
      </c>
      <c r="P1591" s="1251">
        <v>1.5925004564119952E-2</v>
      </c>
      <c r="Q1591" s="1252">
        <v>2.5750596348033099E-2</v>
      </c>
    </row>
    <row r="1592" spans="1:17" s="212" customFormat="1" ht="15.5" x14ac:dyDescent="0.35">
      <c r="A1592" s="198">
        <v>2041</v>
      </c>
      <c r="B1592" s="197" t="s">
        <v>5842</v>
      </c>
      <c r="C1592" s="197">
        <v>2012</v>
      </c>
      <c r="D1592" s="213" t="str">
        <f t="shared" si="18"/>
        <v>2041_2012</v>
      </c>
      <c r="E1592" s="1267">
        <v>9.0166080182124506E-2</v>
      </c>
      <c r="F1592" s="1278">
        <v>4.9929189757275602E-3</v>
      </c>
      <c r="G1592" s="1248">
        <v>0.82413431420418903</v>
      </c>
      <c r="H1592" s="1278">
        <v>4.3254114247365201E-2</v>
      </c>
      <c r="I1592" s="1248">
        <v>2.4777956501857799E-2</v>
      </c>
      <c r="J1592" s="1278">
        <v>3.1650682128300101E-4</v>
      </c>
      <c r="K1592" s="1248">
        <v>3.0000008613670901E-3</v>
      </c>
      <c r="L1592" s="1250">
        <v>2.0000005742464399E-3</v>
      </c>
      <c r="M1592" s="1273">
        <v>2.0000005742464399E-3</v>
      </c>
      <c r="N1592" s="1248">
        <v>3.1850009128239903E-2</v>
      </c>
      <c r="O1592" s="1249">
        <v>3.1850009128239903E-2</v>
      </c>
      <c r="P1592" s="1251">
        <v>1.5925004564119952E-2</v>
      </c>
      <c r="Q1592" s="1252">
        <v>2.5898305744318301E-2</v>
      </c>
    </row>
    <row r="1593" spans="1:17" s="212" customFormat="1" ht="15.5" x14ac:dyDescent="0.35">
      <c r="A1593" s="198">
        <v>2041</v>
      </c>
      <c r="B1593" s="197" t="s">
        <v>5842</v>
      </c>
      <c r="C1593" s="197">
        <v>2013</v>
      </c>
      <c r="D1593" s="213" t="str">
        <f t="shared" si="18"/>
        <v>2041_2013</v>
      </c>
      <c r="E1593" s="1267">
        <v>9.0119414676580495E-2</v>
      </c>
      <c r="F1593" s="1278">
        <v>5.0560538125599E-3</v>
      </c>
      <c r="G1593" s="1248">
        <v>0.82310972152293604</v>
      </c>
      <c r="H1593" s="1278">
        <v>4.3091204927734397E-2</v>
      </c>
      <c r="I1593" s="1248">
        <v>2.47596740294177E-2</v>
      </c>
      <c r="J1593" s="1278">
        <v>4.7504351422966701E-4</v>
      </c>
      <c r="K1593" s="1248">
        <v>3.0000008613908198E-3</v>
      </c>
      <c r="L1593" s="1250">
        <v>2.0000005742822399E-3</v>
      </c>
      <c r="M1593" s="1273">
        <v>2.0000005742822399E-3</v>
      </c>
      <c r="N1593" s="1248">
        <v>3.1850009128239903E-2</v>
      </c>
      <c r="O1593" s="1249">
        <v>3.1850009128239903E-2</v>
      </c>
      <c r="P1593" s="1251">
        <v>1.5925004564119952E-2</v>
      </c>
      <c r="Q1593" s="1252">
        <v>2.5879196619601599E-2</v>
      </c>
    </row>
    <row r="1594" spans="1:17" s="212" customFormat="1" ht="15.5" x14ac:dyDescent="0.35">
      <c r="A1594" s="198">
        <v>2041</v>
      </c>
      <c r="B1594" s="197" t="s">
        <v>5842</v>
      </c>
      <c r="C1594" s="197">
        <v>2014</v>
      </c>
      <c r="D1594" s="213" t="str">
        <f t="shared" si="18"/>
        <v>2041_2014</v>
      </c>
      <c r="E1594" s="1267">
        <v>8.91316154569088E-2</v>
      </c>
      <c r="F1594" s="1278">
        <v>4.95861974640034E-3</v>
      </c>
      <c r="G1594" s="1248">
        <v>0.819289378824543</v>
      </c>
      <c r="H1594" s="1278">
        <v>4.33659119389442E-2</v>
      </c>
      <c r="I1594" s="1248">
        <v>2.4578625424492899E-2</v>
      </c>
      <c r="J1594" s="1278">
        <v>6.5959651095539803E-4</v>
      </c>
      <c r="K1594" s="1248">
        <v>3.00000086132694E-3</v>
      </c>
      <c r="L1594" s="1250">
        <v>2.0000005742371501E-3</v>
      </c>
      <c r="M1594" s="1273">
        <v>2.0000005742371501E-3</v>
      </c>
      <c r="N1594" s="1248">
        <v>3.1850009128239903E-2</v>
      </c>
      <c r="O1594" s="1249">
        <v>3.1850009128239903E-2</v>
      </c>
      <c r="P1594" s="1251">
        <v>1.5925004564119952E-2</v>
      </c>
      <c r="Q1594" s="1252">
        <v>2.56899618001535E-2</v>
      </c>
    </row>
    <row r="1595" spans="1:17" s="212" customFormat="1" ht="15.5" x14ac:dyDescent="0.35">
      <c r="A1595" s="198">
        <v>2041</v>
      </c>
      <c r="B1595" s="197" t="s">
        <v>5842</v>
      </c>
      <c r="C1595" s="197">
        <v>2015</v>
      </c>
      <c r="D1595" s="213" t="str">
        <f t="shared" si="18"/>
        <v>2041_2015</v>
      </c>
      <c r="E1595" s="1267">
        <v>8.9411055428350594E-2</v>
      </c>
      <c r="F1595" s="1278">
        <v>5.1024983766392298E-3</v>
      </c>
      <c r="G1595" s="1248">
        <v>0.82066472404187496</v>
      </c>
      <c r="H1595" s="1278">
        <v>4.3149890641232799E-2</v>
      </c>
      <c r="I1595" s="1248">
        <v>2.4633186333752999E-2</v>
      </c>
      <c r="J1595" s="1278">
        <v>8.3488268419371298E-4</v>
      </c>
      <c r="K1595" s="1248">
        <v>3.0000008613367598E-3</v>
      </c>
      <c r="L1595" s="1250">
        <v>2.0000005742727501E-3</v>
      </c>
      <c r="M1595" s="1273">
        <v>2.0000005742727501E-3</v>
      </c>
      <c r="N1595" s="1248">
        <v>3.1850009128239903E-2</v>
      </c>
      <c r="O1595" s="1249">
        <v>3.1850009128239903E-2</v>
      </c>
      <c r="P1595" s="1251">
        <v>1.5925004564119952E-2</v>
      </c>
      <c r="Q1595" s="1252">
        <v>2.5746989711619799E-2</v>
      </c>
    </row>
    <row r="1596" spans="1:17" s="212" customFormat="1" ht="15.5" x14ac:dyDescent="0.35">
      <c r="A1596" s="198">
        <v>2041</v>
      </c>
      <c r="B1596" s="197" t="s">
        <v>5842</v>
      </c>
      <c r="C1596" s="197">
        <v>2016</v>
      </c>
      <c r="D1596" s="213" t="str">
        <f t="shared" si="18"/>
        <v>2041_2016</v>
      </c>
      <c r="E1596" s="1267">
        <v>8.9594003803794994E-2</v>
      </c>
      <c r="F1596" s="1278">
        <v>4.7301076922396804E-3</v>
      </c>
      <c r="G1596" s="1248">
        <v>0.72624206289456195</v>
      </c>
      <c r="H1596" s="1278">
        <v>4.0597615813779603E-2</v>
      </c>
      <c r="I1596" s="1248">
        <v>2.4671078607167499E-2</v>
      </c>
      <c r="J1596" s="1278">
        <v>9.6059853797818404E-4</v>
      </c>
      <c r="K1596" s="1248">
        <v>3.0000008613515301E-3</v>
      </c>
      <c r="L1596" s="1250">
        <v>2.0000005742541699E-3</v>
      </c>
      <c r="M1596" s="1273">
        <v>2.0000005742541699E-3</v>
      </c>
      <c r="N1596" s="1248">
        <v>3.1850009128239903E-2</v>
      </c>
      <c r="O1596" s="1249">
        <v>3.1850009128239903E-2</v>
      </c>
      <c r="P1596" s="1251">
        <v>1.5925004564119952E-2</v>
      </c>
      <c r="Q1596" s="1252">
        <v>2.5786595305493699E-2</v>
      </c>
    </row>
    <row r="1597" spans="1:17" s="212" customFormat="1" ht="15.5" x14ac:dyDescent="0.35">
      <c r="A1597" s="198">
        <v>2041</v>
      </c>
      <c r="B1597" s="197" t="s">
        <v>5842</v>
      </c>
      <c r="C1597" s="197">
        <v>2017</v>
      </c>
      <c r="D1597" s="213" t="str">
        <f t="shared" si="18"/>
        <v>2041_2017</v>
      </c>
      <c r="E1597" s="1267">
        <v>8.8588021944574699E-2</v>
      </c>
      <c r="F1597" s="1278">
        <v>4.4976172305877899E-3</v>
      </c>
      <c r="G1597" s="1248">
        <v>0.62745768848198602</v>
      </c>
      <c r="H1597" s="1278">
        <v>3.79436106344921E-2</v>
      </c>
      <c r="I1597" s="1248">
        <v>2.4479211482408701E-2</v>
      </c>
      <c r="J1597" s="1278">
        <v>1.03570072567302E-3</v>
      </c>
      <c r="K1597" s="1248">
        <v>3.0000008612976101E-3</v>
      </c>
      <c r="L1597" s="1250">
        <v>2.0000005743051798E-3</v>
      </c>
      <c r="M1597" s="1273">
        <v>2.0000005743051798E-3</v>
      </c>
      <c r="N1597" s="1248">
        <v>3.1850009128239903E-2</v>
      </c>
      <c r="O1597" s="1249">
        <v>3.1850009128239903E-2</v>
      </c>
      <c r="P1597" s="1251">
        <v>1.5925004564119952E-2</v>
      </c>
      <c r="Q1597" s="1252">
        <v>2.5586052800751002E-2</v>
      </c>
    </row>
    <row r="1598" spans="1:17" s="212" customFormat="1" ht="15.5" x14ac:dyDescent="0.35">
      <c r="A1598" s="198">
        <v>2041</v>
      </c>
      <c r="B1598" s="197" t="s">
        <v>5842</v>
      </c>
      <c r="C1598" s="197">
        <v>2018</v>
      </c>
      <c r="D1598" s="213" t="str">
        <f t="shared" si="18"/>
        <v>2041_2018</v>
      </c>
      <c r="E1598" s="1267">
        <v>8.9488936801608798E-2</v>
      </c>
      <c r="F1598" s="1278">
        <v>3.9970268639008596E-3</v>
      </c>
      <c r="G1598" s="1248">
        <v>0.52170662452441496</v>
      </c>
      <c r="H1598" s="1278">
        <v>3.4182833442413497E-2</v>
      </c>
      <c r="I1598" s="1248">
        <v>2.4615114142349698E-2</v>
      </c>
      <c r="J1598" s="1278">
        <v>1.0772774683918301E-3</v>
      </c>
      <c r="K1598" s="1248">
        <v>3.0000008613574802E-3</v>
      </c>
      <c r="L1598" s="1250">
        <v>2.0000005742572902E-3</v>
      </c>
      <c r="M1598" s="1273">
        <v>2.0000005742572902E-3</v>
      </c>
      <c r="N1598" s="1248">
        <v>3.1850009128239903E-2</v>
      </c>
      <c r="O1598" s="1249">
        <v>3.1850009128239903E-2</v>
      </c>
      <c r="P1598" s="1251">
        <v>1.5925004564119952E-2</v>
      </c>
      <c r="Q1598" s="1252">
        <v>2.57281003759155E-2</v>
      </c>
    </row>
    <row r="1599" spans="1:17" s="212" customFormat="1" ht="15.5" x14ac:dyDescent="0.35">
      <c r="A1599" s="198">
        <v>2041</v>
      </c>
      <c r="B1599" s="197" t="s">
        <v>5842</v>
      </c>
      <c r="C1599" s="197">
        <v>2019</v>
      </c>
      <c r="D1599" s="213" t="str">
        <f t="shared" si="18"/>
        <v>2041_2019</v>
      </c>
      <c r="E1599" s="1267">
        <v>8.9640853018786798E-2</v>
      </c>
      <c r="F1599" s="1278">
        <v>3.47317305703548E-3</v>
      </c>
      <c r="G1599" s="1248">
        <v>0.45206162418477402</v>
      </c>
      <c r="H1599" s="1278">
        <v>3.0250124361201398E-2</v>
      </c>
      <c r="I1599" s="1248">
        <v>2.45560529476582E-2</v>
      </c>
      <c r="J1599" s="1278">
        <v>1.0995517364989001E-3</v>
      </c>
      <c r="K1599" s="1248">
        <v>3.00000086140651E-3</v>
      </c>
      <c r="L1599" s="1250">
        <v>2.00000057421218E-3</v>
      </c>
      <c r="M1599" s="1273">
        <v>2.00000057421218E-3</v>
      </c>
      <c r="N1599" s="1248">
        <v>3.1850009128239903E-2</v>
      </c>
      <c r="O1599" s="1249">
        <v>3.1850009128239903E-2</v>
      </c>
      <c r="P1599" s="1251">
        <v>1.5925004564119952E-2</v>
      </c>
      <c r="Q1599" s="1252">
        <v>2.5666368696080199E-2</v>
      </c>
    </row>
    <row r="1600" spans="1:17" s="212" customFormat="1" ht="15.5" x14ac:dyDescent="0.35">
      <c r="A1600" s="198">
        <v>2041</v>
      </c>
      <c r="B1600" s="197" t="s">
        <v>5842</v>
      </c>
      <c r="C1600" s="197">
        <v>2020</v>
      </c>
      <c r="D1600" s="213" t="str">
        <f t="shared" si="18"/>
        <v>2041_2020</v>
      </c>
      <c r="E1600" s="1267">
        <v>7.8608933117227497E-2</v>
      </c>
      <c r="F1600" s="1278">
        <v>2.8382730013297199E-3</v>
      </c>
      <c r="G1600" s="1248">
        <v>0.35648583845582898</v>
      </c>
      <c r="H1600" s="1278">
        <v>2.6523520766455699E-2</v>
      </c>
      <c r="I1600" s="1248">
        <v>2.2290178345553899E-2</v>
      </c>
      <c r="J1600" s="1278">
        <v>1.0862743363751299E-3</v>
      </c>
      <c r="K1600" s="1248">
        <v>3.0000008609785702E-3</v>
      </c>
      <c r="L1600" s="1250">
        <v>2.0000005740826499E-3</v>
      </c>
      <c r="M1600" s="1273">
        <v>2.0000005740826499E-3</v>
      </c>
      <c r="N1600" s="1248">
        <v>3.1850009128239903E-2</v>
      </c>
      <c r="O1600" s="1249">
        <v>3.1850009128239903E-2</v>
      </c>
      <c r="P1600" s="1251">
        <v>1.5925004564119952E-2</v>
      </c>
      <c r="Q1600" s="1252">
        <v>2.3298041299138299E-2</v>
      </c>
    </row>
    <row r="1601" spans="1:17" s="212" customFormat="1" ht="15.5" x14ac:dyDescent="0.35">
      <c r="A1601" s="198">
        <v>2041</v>
      </c>
      <c r="B1601" s="197" t="s">
        <v>5842</v>
      </c>
      <c r="C1601" s="197">
        <v>2021</v>
      </c>
      <c r="D1601" s="213" t="str">
        <f t="shared" si="18"/>
        <v>2041_2021</v>
      </c>
      <c r="E1601" s="1267">
        <v>7.8348401515244206E-2</v>
      </c>
      <c r="F1601" s="1278">
        <v>2.4157368396834902E-3</v>
      </c>
      <c r="G1601" s="1248">
        <v>0.29045239594606898</v>
      </c>
      <c r="H1601" s="1278">
        <v>2.24861875843635E-2</v>
      </c>
      <c r="I1601" s="1248">
        <v>2.2069942270420299E-2</v>
      </c>
      <c r="J1601" s="1278">
        <v>1.08644331805363E-3</v>
      </c>
      <c r="K1601" s="1248">
        <v>3.00000086098086E-3</v>
      </c>
      <c r="L1601" s="1250">
        <v>2.0000005740843699E-3</v>
      </c>
      <c r="M1601" s="1273">
        <v>2.0000005740843699E-3</v>
      </c>
      <c r="N1601" s="1248">
        <v>3.1850009128239903E-2</v>
      </c>
      <c r="O1601" s="1249">
        <v>3.1850009128239903E-2</v>
      </c>
      <c r="P1601" s="1251">
        <v>1.5925004564119952E-2</v>
      </c>
      <c r="Q1601" s="1252">
        <v>2.30678471259704E-2</v>
      </c>
    </row>
    <row r="1602" spans="1:17" s="212" customFormat="1" ht="15.5" x14ac:dyDescent="0.35">
      <c r="A1602" s="198">
        <v>2041</v>
      </c>
      <c r="B1602" s="197" t="s">
        <v>5842</v>
      </c>
      <c r="C1602" s="197">
        <v>2022</v>
      </c>
      <c r="D1602" s="213" t="str">
        <f t="shared" si="18"/>
        <v>2041_2022</v>
      </c>
      <c r="E1602" s="1267">
        <v>7.8008697321345105E-2</v>
      </c>
      <c r="F1602" s="1278">
        <v>1.9909778764604898E-3</v>
      </c>
      <c r="G1602" s="1248">
        <v>0.22354867313293</v>
      </c>
      <c r="H1602" s="1278">
        <v>1.8439891337781001E-2</v>
      </c>
      <c r="I1602" s="1248">
        <v>2.1789761972927899E-2</v>
      </c>
      <c r="J1602" s="1278">
        <v>1.0866048219310999E-3</v>
      </c>
      <c r="K1602" s="1248">
        <v>3.0000008609830701E-3</v>
      </c>
      <c r="L1602" s="1250">
        <v>2.0000005740860201E-3</v>
      </c>
      <c r="M1602" s="1273">
        <v>2.0000005740860201E-3</v>
      </c>
      <c r="N1602" s="1248">
        <v>3.1850009128239903E-2</v>
      </c>
      <c r="O1602" s="1249">
        <v>3.1850009128239903E-2</v>
      </c>
      <c r="P1602" s="1251">
        <v>1.5925004564119952E-2</v>
      </c>
      <c r="Q1602" s="1252">
        <v>2.2774998318706999E-2</v>
      </c>
    </row>
    <row r="1603" spans="1:17" s="212" customFormat="1" ht="15.5" x14ac:dyDescent="0.35">
      <c r="A1603" s="198">
        <v>2041</v>
      </c>
      <c r="B1603" s="197" t="s">
        <v>5842</v>
      </c>
      <c r="C1603" s="197">
        <v>2023</v>
      </c>
      <c r="D1603" s="213" t="str">
        <f t="shared" si="18"/>
        <v>2041_2023</v>
      </c>
      <c r="E1603" s="1267">
        <v>7.7589942276257401E-2</v>
      </c>
      <c r="F1603" s="1278">
        <v>1.9761008997691201E-3</v>
      </c>
      <c r="G1603" s="1248">
        <v>0.22132297930741601</v>
      </c>
      <c r="H1603" s="1278">
        <v>1.8189500295719599E-2</v>
      </c>
      <c r="I1603" s="1248">
        <v>2.1449620281130601E-2</v>
      </c>
      <c r="J1603" s="1278">
        <v>1.0867577239665699E-3</v>
      </c>
      <c r="K1603" s="1248">
        <v>3.0000008609851999E-3</v>
      </c>
      <c r="L1603" s="1250">
        <v>2.0000005740876199E-3</v>
      </c>
      <c r="M1603" s="1273">
        <v>2.0000005740876199E-3</v>
      </c>
      <c r="N1603" s="1248">
        <v>3.1850009128239903E-2</v>
      </c>
      <c r="O1603" s="1249">
        <v>3.1850009128239903E-2</v>
      </c>
      <c r="P1603" s="1251">
        <v>1.5925004564119952E-2</v>
      </c>
      <c r="Q1603" s="1252">
        <v>2.2419476928963001E-2</v>
      </c>
    </row>
    <row r="1604" spans="1:17" s="212" customFormat="1" ht="15.5" x14ac:dyDescent="0.35">
      <c r="A1604" s="198">
        <v>2041</v>
      </c>
      <c r="B1604" s="197" t="s">
        <v>5842</v>
      </c>
      <c r="C1604" s="197">
        <v>2024</v>
      </c>
      <c r="D1604" s="213" t="str">
        <f t="shared" si="18"/>
        <v>2041_2024</v>
      </c>
      <c r="E1604" s="1267">
        <v>7.7091518391970495E-2</v>
      </c>
      <c r="F1604" s="1278">
        <v>1.9576791987418901E-3</v>
      </c>
      <c r="G1604" s="1248">
        <v>0.218702661488095</v>
      </c>
      <c r="H1604" s="1278">
        <v>1.78876594747189E-2</v>
      </c>
      <c r="I1604" s="1248">
        <v>2.1049383251792099E-2</v>
      </c>
      <c r="J1604" s="1278">
        <v>1.0869010654476899E-3</v>
      </c>
      <c r="K1604" s="1248">
        <v>3.0000008609872299E-3</v>
      </c>
      <c r="L1604" s="1250">
        <v>2.00000057408914E-3</v>
      </c>
      <c r="M1604" s="1275">
        <v>2.00000057401809E-3</v>
      </c>
      <c r="N1604" s="1248">
        <v>3.1850009128239903E-2</v>
      </c>
      <c r="O1604" s="1249">
        <v>3.1850009128239903E-2</v>
      </c>
      <c r="P1604" s="1260">
        <v>1.59250045641199E-2</v>
      </c>
      <c r="Q1604" s="1252">
        <v>2.2001142957183299E-2</v>
      </c>
    </row>
    <row r="1605" spans="1:17" s="212" customFormat="1" ht="15.5" x14ac:dyDescent="0.35">
      <c r="A1605" s="198">
        <v>2041</v>
      </c>
      <c r="B1605" s="197" t="s">
        <v>5842</v>
      </c>
      <c r="C1605" s="197">
        <v>2025</v>
      </c>
      <c r="D1605" s="213" t="str">
        <f t="shared" si="18"/>
        <v>2041_2025</v>
      </c>
      <c r="E1605" s="1267">
        <v>7.6512785230953298E-2</v>
      </c>
      <c r="F1605" s="1278">
        <v>1.93837473653839E-3</v>
      </c>
      <c r="G1605" s="1248">
        <v>0.21568673265573801</v>
      </c>
      <c r="H1605" s="1278">
        <v>1.7561294963629501E-2</v>
      </c>
      <c r="I1605" s="1248">
        <v>2.0588910683702499E-2</v>
      </c>
      <c r="J1605" s="1278">
        <v>1.0870321389224199E-3</v>
      </c>
      <c r="K1605" s="1248">
        <v>3.0000008609891299E-3</v>
      </c>
      <c r="L1605" s="1250">
        <v>2.0000005740905698E-3</v>
      </c>
      <c r="M1605" s="1275">
        <v>2.0000005740197198E-3</v>
      </c>
      <c r="N1605" s="1248">
        <v>3.1850009128239903E-2</v>
      </c>
      <c r="O1605" s="1249">
        <v>3.1850009128239903E-2</v>
      </c>
      <c r="P1605" s="1260">
        <v>1.59250045641199E-2</v>
      </c>
      <c r="Q1605" s="1252">
        <v>2.15198498628815E-2</v>
      </c>
    </row>
    <row r="1606" spans="1:17" s="212" customFormat="1" ht="15.5" x14ac:dyDescent="0.35">
      <c r="A1606" s="198">
        <v>2041</v>
      </c>
      <c r="B1606" s="197" t="s">
        <v>5842</v>
      </c>
      <c r="C1606" s="197">
        <v>2026</v>
      </c>
      <c r="D1606" s="213" t="str">
        <f t="shared" si="18"/>
        <v>2041_2026</v>
      </c>
      <c r="E1606" s="1267">
        <v>7.5855852323210696E-2</v>
      </c>
      <c r="F1606" s="1278">
        <v>1.92039718232603E-3</v>
      </c>
      <c r="G1606" s="1248">
        <v>0.212301479067911</v>
      </c>
      <c r="H1606" s="1278">
        <v>1.7233354239529899E-2</v>
      </c>
      <c r="I1606" s="1248">
        <v>2.0068592885339302E-2</v>
      </c>
      <c r="J1606" s="1278">
        <v>1.08716342059154E-3</v>
      </c>
      <c r="K1606" s="1248">
        <v>3.0000008609910398E-3</v>
      </c>
      <c r="L1606" s="1250">
        <v>2.0000005740920001E-3</v>
      </c>
      <c r="M1606" s="1275">
        <v>2.00000057402086E-3</v>
      </c>
      <c r="N1606" s="1248">
        <v>3.1850009128239903E-2</v>
      </c>
      <c r="O1606" s="1249">
        <v>3.1850009128239903E-2</v>
      </c>
      <c r="P1606" s="1260">
        <v>1.59250045641199E-2</v>
      </c>
      <c r="Q1606" s="1252">
        <v>2.0976005602552299E-2</v>
      </c>
    </row>
    <row r="1607" spans="1:17" s="212" customFormat="1" ht="15.5" x14ac:dyDescent="0.35">
      <c r="A1607" s="198">
        <v>2041</v>
      </c>
      <c r="B1607" s="197" t="s">
        <v>5842</v>
      </c>
      <c r="C1607" s="197">
        <v>2027</v>
      </c>
      <c r="D1607" s="213" t="str">
        <f t="shared" si="18"/>
        <v>2041_2027</v>
      </c>
      <c r="E1607" s="1267">
        <v>7.5122153915549897E-2</v>
      </c>
      <c r="F1607" s="1278">
        <v>1.91065381838199E-3</v>
      </c>
      <c r="G1607" s="1248">
        <v>0.208502263201608</v>
      </c>
      <c r="H1607" s="1278">
        <v>1.6969418227906999E-2</v>
      </c>
      <c r="I1607" s="1248">
        <v>1.94886460974363E-2</v>
      </c>
      <c r="J1607" s="1278">
        <v>1.087299667413E-3</v>
      </c>
      <c r="K1607" s="1248">
        <v>3.00000086099303E-3</v>
      </c>
      <c r="L1607" s="1250">
        <v>2.0000005740934798E-3</v>
      </c>
      <c r="M1607" s="1275">
        <v>2.00000057402203E-3</v>
      </c>
      <c r="N1607" s="1248">
        <v>3.1850009128239903E-2</v>
      </c>
      <c r="O1607" s="1249">
        <v>3.1850009128239903E-2</v>
      </c>
      <c r="P1607" s="1260">
        <v>1.59250045641199E-2</v>
      </c>
      <c r="Q1607" s="1252">
        <v>2.0369836194376101E-2</v>
      </c>
    </row>
    <row r="1608" spans="1:17" s="212" customFormat="1" ht="15.5" x14ac:dyDescent="0.35">
      <c r="A1608" s="198">
        <v>2041</v>
      </c>
      <c r="B1608" s="197" t="s">
        <v>5842</v>
      </c>
      <c r="C1608" s="197">
        <v>2028</v>
      </c>
      <c r="D1608" s="213" t="str">
        <f t="shared" si="18"/>
        <v>2041_2028</v>
      </c>
      <c r="E1608" s="1267">
        <v>7.43107366028294E-2</v>
      </c>
      <c r="F1608" s="1278">
        <v>1.9103886097118601E-3</v>
      </c>
      <c r="G1608" s="1248">
        <v>0.20431099470272801</v>
      </c>
      <c r="H1608" s="1278">
        <v>1.67833111208083E-2</v>
      </c>
      <c r="I1608" s="1248">
        <v>1.8848859476911398E-2</v>
      </c>
      <c r="J1608" s="1278">
        <v>1.0874378609682599E-3</v>
      </c>
      <c r="K1608" s="1248">
        <v>3.0000008609950401E-3</v>
      </c>
      <c r="L1608" s="1250">
        <v>2.0000005740949999E-3</v>
      </c>
      <c r="M1608" s="1275">
        <v>2.0000005740234798E-3</v>
      </c>
      <c r="N1608" s="1248">
        <v>3.1850009128239903E-2</v>
      </c>
      <c r="O1608" s="1249">
        <v>3.1850009128239903E-2</v>
      </c>
      <c r="P1608" s="1260">
        <v>1.59250045641199E-2</v>
      </c>
      <c r="Q1608" s="1252">
        <v>1.9701121261882198E-2</v>
      </c>
    </row>
    <row r="1609" spans="1:17" s="212" customFormat="1" ht="15.5" x14ac:dyDescent="0.35">
      <c r="A1609" s="198">
        <v>2041</v>
      </c>
      <c r="B1609" s="197" t="s">
        <v>5842</v>
      </c>
      <c r="C1609" s="197">
        <v>2029</v>
      </c>
      <c r="D1609" s="213" t="str">
        <f t="shared" si="18"/>
        <v>2041_2029</v>
      </c>
      <c r="E1609" s="1267">
        <v>7.3421144059503798E-2</v>
      </c>
      <c r="F1609" s="1278">
        <v>1.9203189585505699E-3</v>
      </c>
      <c r="G1609" s="1248">
        <v>0.19972702085616301</v>
      </c>
      <c r="H1609" s="1278">
        <v>1.6681238199605201E-2</v>
      </c>
      <c r="I1609" s="1248">
        <v>1.8149118135644699E-2</v>
      </c>
      <c r="J1609" s="1278">
        <v>1.0875770932049699E-3</v>
      </c>
      <c r="K1609" s="1248">
        <v>3.0000008609970801E-3</v>
      </c>
      <c r="L1609" s="1250">
        <v>2.0000005740965199E-3</v>
      </c>
      <c r="M1609" s="1275">
        <v>2.00000057402494E-3</v>
      </c>
      <c r="N1609" s="1248">
        <v>3.1850009128239903E-2</v>
      </c>
      <c r="O1609" s="1249">
        <v>3.1850009128239903E-2</v>
      </c>
      <c r="P1609" s="1260">
        <v>1.59250045641199E-2</v>
      </c>
      <c r="Q1609" s="1252">
        <v>1.8969740722219599E-2</v>
      </c>
    </row>
    <row r="1610" spans="1:17" s="212" customFormat="1" ht="15.5" x14ac:dyDescent="0.35">
      <c r="A1610" s="198">
        <v>2041</v>
      </c>
      <c r="B1610" s="197" t="s">
        <v>5842</v>
      </c>
      <c r="C1610" s="197">
        <v>2030</v>
      </c>
      <c r="D1610" s="213" t="str">
        <f t="shared" si="18"/>
        <v>2041_2030</v>
      </c>
      <c r="E1610" s="1267">
        <v>7.2453575209875096E-2</v>
      </c>
      <c r="F1610" s="1278">
        <v>1.93833560583818E-3</v>
      </c>
      <c r="G1610" s="1248">
        <v>0.194750302469581</v>
      </c>
      <c r="H1610" s="1278">
        <v>1.6640064789939402E-2</v>
      </c>
      <c r="I1610" s="1248">
        <v>1.7389410382051999E-2</v>
      </c>
      <c r="J1610" s="1278">
        <v>1.0877174627468001E-3</v>
      </c>
      <c r="K1610" s="1248">
        <v>3.0000008609991401E-3</v>
      </c>
      <c r="L1610" s="1250">
        <v>2.0000005740980599E-3</v>
      </c>
      <c r="M1610" s="1275">
        <v>2.0000005740264401E-3</v>
      </c>
      <c r="N1610" s="1248">
        <v>3.1850009128239903E-2</v>
      </c>
      <c r="O1610" s="1249">
        <v>3.1850009128239903E-2</v>
      </c>
      <c r="P1610" s="1260">
        <v>1.59250045641199E-2</v>
      </c>
      <c r="Q1610" s="1252">
        <v>1.81756823551627E-2</v>
      </c>
    </row>
    <row r="1611" spans="1:17" s="212" customFormat="1" ht="15.5" x14ac:dyDescent="0.35">
      <c r="A1611" s="198">
        <v>2041</v>
      </c>
      <c r="B1611" s="197" t="s">
        <v>5842</v>
      </c>
      <c r="C1611" s="197">
        <v>2031</v>
      </c>
      <c r="D1611" s="213" t="str">
        <f t="shared" si="18"/>
        <v>2041_2031</v>
      </c>
      <c r="E1611" s="1267">
        <v>7.1408257569814101E-2</v>
      </c>
      <c r="F1611" s="1278">
        <v>1.9595499231390601E-3</v>
      </c>
      <c r="G1611" s="1248">
        <v>0.18938102236468701</v>
      </c>
      <c r="H1611" s="1278">
        <v>1.66080409388084E-2</v>
      </c>
      <c r="I1611" s="1248">
        <v>1.65697301753224E-2</v>
      </c>
      <c r="J1611" s="1278">
        <v>1.0878605135000001E-3</v>
      </c>
      <c r="K1611" s="1248">
        <v>3.00000086100124E-3</v>
      </c>
      <c r="L1611" s="1250">
        <v>2.0000005740996398E-3</v>
      </c>
      <c r="M1611" s="1275">
        <v>2.00000057402802E-3</v>
      </c>
      <c r="N1611" s="1248">
        <v>3.1850009128239903E-2</v>
      </c>
      <c r="O1611" s="1249">
        <v>3.1850009128239903E-2</v>
      </c>
      <c r="P1611" s="1260">
        <v>1.59250045641199E-2</v>
      </c>
      <c r="Q1611" s="1252">
        <v>1.7318939846761802E-2</v>
      </c>
    </row>
    <row r="1612" spans="1:17" s="212" customFormat="1" ht="15.5" x14ac:dyDescent="0.35">
      <c r="A1612" s="198">
        <v>2041</v>
      </c>
      <c r="B1612" s="197" t="s">
        <v>5842</v>
      </c>
      <c r="C1612" s="197">
        <v>2032</v>
      </c>
      <c r="D1612" s="213" t="str">
        <f t="shared" si="18"/>
        <v>2041_2032</v>
      </c>
      <c r="E1612" s="1267">
        <v>7.0284496505852403E-2</v>
      </c>
      <c r="F1612" s="1278">
        <v>1.9775474423987202E-3</v>
      </c>
      <c r="G1612" s="1248">
        <v>0.18361821097157099</v>
      </c>
      <c r="H1612" s="1278">
        <v>1.6518099912604101E-2</v>
      </c>
      <c r="I1612" s="1248">
        <v>1.56899237760122E-2</v>
      </c>
      <c r="J1612" s="1278">
        <v>1.0880044676667699E-3</v>
      </c>
      <c r="K1612" s="1248">
        <v>3.0000008610033802E-3</v>
      </c>
      <c r="L1612" s="1250">
        <v>2.0000005741012401E-3</v>
      </c>
      <c r="M1612" s="1275">
        <v>2.0000005740294299E-3</v>
      </c>
      <c r="N1612" s="1248">
        <v>3.1850009128239903E-2</v>
      </c>
      <c r="O1612" s="1249">
        <v>3.1850009128239903E-2</v>
      </c>
      <c r="P1612" s="1260">
        <v>1.59250045641199E-2</v>
      </c>
      <c r="Q1612" s="1252">
        <v>1.6399352506157899E-2</v>
      </c>
    </row>
    <row r="1613" spans="1:17" s="212" customFormat="1" ht="15.5" x14ac:dyDescent="0.35">
      <c r="A1613" s="198">
        <v>2041</v>
      </c>
      <c r="B1613" s="197" t="s">
        <v>5842</v>
      </c>
      <c r="C1613" s="197">
        <v>2033</v>
      </c>
      <c r="D1613" s="213" t="str">
        <f t="shared" si="18"/>
        <v>2041_2033</v>
      </c>
      <c r="E1613" s="1267">
        <v>6.9082496908465199E-2</v>
      </c>
      <c r="F1613" s="1278">
        <v>1.9872137348757399E-3</v>
      </c>
      <c r="G1613" s="1248">
        <v>0.17746186290688301</v>
      </c>
      <c r="H1613" s="1278">
        <v>1.63161820748467E-2</v>
      </c>
      <c r="I1613" s="1248">
        <v>1.4749972570079701E-2</v>
      </c>
      <c r="J1613" s="1278">
        <v>1.0881498328062799E-3</v>
      </c>
      <c r="K1613" s="1248">
        <v>3.0000008610055399E-3</v>
      </c>
      <c r="L1613" s="1250">
        <v>2.0000005741028599E-3</v>
      </c>
      <c r="M1613" s="1275">
        <v>2.00000057403094E-3</v>
      </c>
      <c r="N1613" s="1248">
        <v>3.1850009128239903E-2</v>
      </c>
      <c r="O1613" s="1249">
        <v>3.1850009128239903E-2</v>
      </c>
      <c r="P1613" s="1260">
        <v>1.59250045641199E-2</v>
      </c>
      <c r="Q1613" s="1252">
        <v>1.5416900877664799E-2</v>
      </c>
    </row>
    <row r="1614" spans="1:17" s="212" customFormat="1" ht="15.5" x14ac:dyDescent="0.35">
      <c r="A1614" s="198">
        <v>2041</v>
      </c>
      <c r="B1614" s="197" t="s">
        <v>5842</v>
      </c>
      <c r="C1614" s="197">
        <v>2034</v>
      </c>
      <c r="D1614" s="213" t="str">
        <f t="shared" si="18"/>
        <v>2041_2034</v>
      </c>
      <c r="E1614" s="1267">
        <v>6.7802496209341895E-2</v>
      </c>
      <c r="F1614" s="1278">
        <v>1.9887996214661102E-3</v>
      </c>
      <c r="G1614" s="1248">
        <v>0.170912147420272</v>
      </c>
      <c r="H1614" s="1278">
        <v>1.60031836964327E-2</v>
      </c>
      <c r="I1614" s="1248">
        <v>1.3749860202463699E-2</v>
      </c>
      <c r="J1614" s="1278">
        <v>1.0882985689802699E-3</v>
      </c>
      <c r="K1614" s="1248">
        <v>3.0000008610077599E-3</v>
      </c>
      <c r="L1614" s="1250">
        <v>2.00000057410452E-3</v>
      </c>
      <c r="M1614" s="1275">
        <v>2.0000005740326999E-3</v>
      </c>
      <c r="N1614" s="1248">
        <v>3.1850009128239903E-2</v>
      </c>
      <c r="O1614" s="1249">
        <v>3.1850009128239903E-2</v>
      </c>
      <c r="P1614" s="1260">
        <v>1.59250045641199E-2</v>
      </c>
      <c r="Q1614" s="1252">
        <v>1.43715678667181E-2</v>
      </c>
    </row>
    <row r="1615" spans="1:17" s="212" customFormat="1" ht="15.5" x14ac:dyDescent="0.35">
      <c r="A1615" s="198">
        <v>2041</v>
      </c>
      <c r="B1615" s="197" t="s">
        <v>5842</v>
      </c>
      <c r="C1615" s="197">
        <v>2035</v>
      </c>
      <c r="D1615" s="213" t="str">
        <f t="shared" si="18"/>
        <v>2041_2035</v>
      </c>
      <c r="E1615" s="1267">
        <v>6.6444236232375498E-2</v>
      </c>
      <c r="F1615" s="1278">
        <v>1.99245002155937E-3</v>
      </c>
      <c r="G1615" s="1248">
        <v>0.16396857244735699</v>
      </c>
      <c r="H1615" s="1278">
        <v>1.56816959442619E-2</v>
      </c>
      <c r="I1615" s="1248">
        <v>1.2689489229027601E-2</v>
      </c>
      <c r="J1615" s="1278">
        <v>1.0884501541008401E-3</v>
      </c>
      <c r="K1615" s="1248">
        <v>3.0000008610100298E-3</v>
      </c>
      <c r="L1615" s="1250">
        <v>2.0000005741062201E-3</v>
      </c>
      <c r="M1615" s="1275">
        <v>2.0000005740344498E-3</v>
      </c>
      <c r="N1615" s="1248">
        <v>3.1850009128239903E-2</v>
      </c>
      <c r="O1615" s="1249">
        <v>3.1850009128239903E-2</v>
      </c>
      <c r="P1615" s="1260">
        <v>1.59250045641199E-2</v>
      </c>
      <c r="Q1615" s="1252">
        <v>1.32632516231898E-2</v>
      </c>
    </row>
    <row r="1616" spans="1:17" s="212" customFormat="1" ht="15.5" x14ac:dyDescent="0.35">
      <c r="A1616" s="198">
        <v>2041</v>
      </c>
      <c r="B1616" s="197" t="s">
        <v>5842</v>
      </c>
      <c r="C1616" s="197">
        <v>2036</v>
      </c>
      <c r="D1616" s="213" t="str">
        <f t="shared" si="18"/>
        <v>2041_2036</v>
      </c>
      <c r="E1616" s="1267">
        <v>6.5007590478535604E-2</v>
      </c>
      <c r="F1616" s="1278">
        <v>2.0213029184283199E-3</v>
      </c>
      <c r="G1616" s="1248">
        <v>0.15663073398056099</v>
      </c>
      <c r="H1616" s="1278">
        <v>1.5587782476472301E-2</v>
      </c>
      <c r="I1616" s="1248">
        <v>1.1568777585558699E-2</v>
      </c>
      <c r="J1616" s="1278">
        <v>1.08860439525008E-3</v>
      </c>
      <c r="K1616" s="1248">
        <v>3.00000086101236E-3</v>
      </c>
      <c r="L1616" s="1250">
        <v>2.00000057410796E-3</v>
      </c>
      <c r="M1616" s="1275">
        <v>2.0000005740364699E-3</v>
      </c>
      <c r="N1616" s="1248">
        <v>3.1850009128239903E-2</v>
      </c>
      <c r="O1616" s="1249">
        <v>3.1850009128239903E-2</v>
      </c>
      <c r="P1616" s="1260">
        <v>1.59250045641199E-2</v>
      </c>
      <c r="Q1616" s="1252">
        <v>1.2091866372287499E-2</v>
      </c>
    </row>
    <row r="1617" spans="1:17" s="212" customFormat="1" ht="15.5" x14ac:dyDescent="0.35">
      <c r="A1617" s="198">
        <v>2041</v>
      </c>
      <c r="B1617" s="197" t="s">
        <v>5842</v>
      </c>
      <c r="C1617" s="197">
        <v>2037</v>
      </c>
      <c r="D1617" s="213" t="str">
        <f t="shared" si="18"/>
        <v>2041_2037</v>
      </c>
      <c r="E1617" s="1267">
        <v>6.3492065749739104E-2</v>
      </c>
      <c r="F1617" s="1278">
        <v>2.1094975481885298E-3</v>
      </c>
      <c r="G1617" s="1248">
        <v>0.148897884075118</v>
      </c>
      <c r="H1617" s="1278">
        <v>1.60718250070177E-2</v>
      </c>
      <c r="I1617" s="1248">
        <v>1.0387601366086701E-2</v>
      </c>
      <c r="J1617" s="1278">
        <v>1.08875971790975E-3</v>
      </c>
      <c r="K1617" s="1248">
        <v>3.0000008610147101E-3</v>
      </c>
      <c r="L1617" s="1250">
        <v>2.0000005741097298E-3</v>
      </c>
      <c r="M1617" s="1275">
        <v>2.0000005740386799E-3</v>
      </c>
      <c r="N1617" s="1248">
        <v>3.1850009128239903E-2</v>
      </c>
      <c r="O1617" s="1249">
        <v>3.1850009128239903E-2</v>
      </c>
      <c r="P1617" s="1260">
        <v>1.59250045641199E-2</v>
      </c>
      <c r="Q1617" s="1252">
        <v>1.0857282605562801E-2</v>
      </c>
    </row>
    <row r="1618" spans="1:17" s="212" customFormat="1" ht="15.5" x14ac:dyDescent="0.35">
      <c r="A1618" s="198">
        <v>2041</v>
      </c>
      <c r="B1618" s="197" t="s">
        <v>5842</v>
      </c>
      <c r="C1618" s="197">
        <v>2038</v>
      </c>
      <c r="D1618" s="213" t="str">
        <f t="shared" si="18"/>
        <v>2041_2038</v>
      </c>
      <c r="E1618" s="1267">
        <v>6.1897120272588202E-2</v>
      </c>
      <c r="F1618" s="1278">
        <v>2.2893379475995802E-3</v>
      </c>
      <c r="G1618" s="1248">
        <v>0.14076937672227899</v>
      </c>
      <c r="H1618" s="1278">
        <v>1.7469563876961101E-2</v>
      </c>
      <c r="I1618" s="1248">
        <v>9.14584620012804E-3</v>
      </c>
      <c r="J1618" s="1278">
        <v>1.08891556066428E-3</v>
      </c>
      <c r="K1618" s="1248">
        <v>3.0000008610170802E-3</v>
      </c>
      <c r="L1618" s="1250">
        <v>2.0000005741115001E-3</v>
      </c>
      <c r="M1618" s="1275">
        <v>2.0000005740409602E-3</v>
      </c>
      <c r="N1618" s="1248">
        <v>3.1850009128239903E-2</v>
      </c>
      <c r="O1618" s="1249">
        <v>3.1850009128239903E-2</v>
      </c>
      <c r="P1618" s="1260">
        <v>1.59250045641199E-2</v>
      </c>
      <c r="Q1618" s="1252">
        <v>9.5593807812063905E-3</v>
      </c>
    </row>
    <row r="1619" spans="1:17" s="212" customFormat="1" ht="15.5" x14ac:dyDescent="0.35">
      <c r="A1619" s="198">
        <v>2041</v>
      </c>
      <c r="B1619" s="197" t="s">
        <v>5842</v>
      </c>
      <c r="C1619" s="197">
        <v>2039</v>
      </c>
      <c r="D1619" s="213" t="str">
        <f t="shared" si="18"/>
        <v>2041_2039</v>
      </c>
      <c r="E1619" s="1267">
        <v>6.0223315643000201E-2</v>
      </c>
      <c r="F1619" s="1278">
        <v>2.5587180307634098E-3</v>
      </c>
      <c r="G1619" s="1248">
        <v>0.132245528831579</v>
      </c>
      <c r="H1619" s="1278">
        <v>1.9773789198575101E-2</v>
      </c>
      <c r="I1619" s="1248">
        <v>7.8435049332291305E-3</v>
      </c>
      <c r="J1619" s="1278">
        <v>1.08907438075893E-3</v>
      </c>
      <c r="K1619" s="1248">
        <v>3.0000008610195001E-3</v>
      </c>
      <c r="L1619" s="1250">
        <v>2.0000005741133099E-3</v>
      </c>
      <c r="M1619" s="1275">
        <v>2.00000057404328E-3</v>
      </c>
      <c r="N1619" s="1248">
        <v>3.1850009128239903E-2</v>
      </c>
      <c r="O1619" s="1249">
        <v>3.1850009128239903E-2</v>
      </c>
      <c r="P1619" s="1260">
        <v>1.59250045641199E-2</v>
      </c>
      <c r="Q1619" s="1252">
        <v>8.1981534212720898E-3</v>
      </c>
    </row>
    <row r="1620" spans="1:17" s="212" customFormat="1" ht="15.5" x14ac:dyDescent="0.35">
      <c r="A1620" s="198">
        <v>2041</v>
      </c>
      <c r="B1620" s="197" t="s">
        <v>5842</v>
      </c>
      <c r="C1620" s="197">
        <v>2040</v>
      </c>
      <c r="D1620" s="213" t="str">
        <f t="shared" si="18"/>
        <v>2041_2040</v>
      </c>
      <c r="E1620" s="1267">
        <v>5.8470240523413097E-2</v>
      </c>
      <c r="F1620" s="1278">
        <v>2.8157180323252098E-3</v>
      </c>
      <c r="G1620" s="1248">
        <v>0.12332568022185</v>
      </c>
      <c r="H1620" s="1278">
        <v>2.1977154961461E-2</v>
      </c>
      <c r="I1620" s="1248">
        <v>6.4804642379565902E-3</v>
      </c>
      <c r="J1620" s="1278">
        <v>1.0892348219312801E-3</v>
      </c>
      <c r="K1620" s="1248">
        <v>3.00000086102194E-3</v>
      </c>
      <c r="L1620" s="1250">
        <v>2.00000057411514E-3</v>
      </c>
      <c r="M1620" s="1275">
        <v>2.0000005740452801E-3</v>
      </c>
      <c r="N1620" s="1248">
        <v>3.1850009128239903E-2</v>
      </c>
      <c r="O1620" s="1249">
        <v>3.1850009128239903E-2</v>
      </c>
      <c r="P1620" s="1260">
        <v>1.59250045641199E-2</v>
      </c>
      <c r="Q1620" s="1252">
        <v>6.7734820741628303E-3</v>
      </c>
    </row>
    <row r="1621" spans="1:17" s="212" customFormat="1" ht="15.5" x14ac:dyDescent="0.35">
      <c r="A1621" s="198">
        <v>2041</v>
      </c>
      <c r="B1621" s="197" t="s">
        <v>5842</v>
      </c>
      <c r="C1621" s="197">
        <v>2041</v>
      </c>
      <c r="D1621" s="213" t="str">
        <f t="shared" si="18"/>
        <v>2041_2041</v>
      </c>
      <c r="E1621" s="1267">
        <v>5.6637475689831802E-2</v>
      </c>
      <c r="F1621" s="1278">
        <v>2.7424948044443898E-3</v>
      </c>
      <c r="G1621" s="1248">
        <v>0.114009236747841</v>
      </c>
      <c r="H1621" s="1278">
        <v>2.0904200500706498E-2</v>
      </c>
      <c r="I1621" s="1248">
        <v>5.0566212582298401E-3</v>
      </c>
      <c r="J1621" s="1278">
        <v>1.08939598674299E-3</v>
      </c>
      <c r="K1621" s="1248">
        <v>3.0000008610243998E-3</v>
      </c>
      <c r="L1621" s="1250">
        <v>2.0000005741169702E-3</v>
      </c>
      <c r="M1621" s="1275">
        <v>2.0000005740448399E-3</v>
      </c>
      <c r="N1621" s="1248">
        <v>3.1850009128239903E-2</v>
      </c>
      <c r="O1621" s="1249">
        <v>3.1850009128239903E-2</v>
      </c>
      <c r="P1621" s="1260">
        <v>1.59250045641199E-2</v>
      </c>
      <c r="Q1621" s="1252">
        <v>5.2852592331024796E-3</v>
      </c>
    </row>
    <row r="1622" spans="1:17" s="212" customFormat="1" ht="15.5" x14ac:dyDescent="0.35">
      <c r="A1622" s="198">
        <v>2041</v>
      </c>
      <c r="B1622" s="197" t="s">
        <v>5842</v>
      </c>
      <c r="C1622" s="197">
        <v>2042</v>
      </c>
      <c r="D1622" s="213" t="str">
        <f t="shared" si="18"/>
        <v>2041_2042</v>
      </c>
      <c r="E1622" s="1268">
        <v>5.6637475689831802E-2</v>
      </c>
      <c r="F1622" s="1279">
        <v>2.7424948044443898E-3</v>
      </c>
      <c r="G1622" s="1255">
        <v>0.114009236747841</v>
      </c>
      <c r="H1622" s="1279">
        <v>2.0904200500706498E-2</v>
      </c>
      <c r="I1622" s="1255">
        <v>5.0566212582298401E-3</v>
      </c>
      <c r="J1622" s="1279">
        <v>1.08939598674299E-3</v>
      </c>
      <c r="K1622" s="1255">
        <v>3.0000008610243998E-3</v>
      </c>
      <c r="L1622" s="1253">
        <v>2.0000005741169702E-3</v>
      </c>
      <c r="M1622" s="1273">
        <v>2.0000005740448399E-3</v>
      </c>
      <c r="N1622" s="1255">
        <v>3.1850009128239903E-2</v>
      </c>
      <c r="O1622" s="1256">
        <v>3.1850009128239903E-2</v>
      </c>
      <c r="P1622" s="1251">
        <v>1.59250045641199E-2</v>
      </c>
      <c r="Q1622" s="1254">
        <v>5.2852592331024796E-3</v>
      </c>
    </row>
    <row r="1623" spans="1:17" s="212" customFormat="1" ht="15.5" x14ac:dyDescent="0.35">
      <c r="A1623" s="198">
        <v>2042</v>
      </c>
      <c r="B1623" s="197" t="s">
        <v>5842</v>
      </c>
      <c r="C1623" s="197">
        <v>1971</v>
      </c>
      <c r="D1623" s="213" t="str">
        <f t="shared" si="18"/>
        <v>2042_1971</v>
      </c>
      <c r="E1623" s="1268">
        <v>0.37244327601036398</v>
      </c>
      <c r="F1623" s="1279">
        <v>2.1756549852298399E-2</v>
      </c>
      <c r="G1623" s="1255">
        <v>9.3015351023572492</v>
      </c>
      <c r="H1623" s="1279">
        <v>0.38957561459017398</v>
      </c>
      <c r="I1623" s="1255">
        <v>5.3329546317149902E-2</v>
      </c>
      <c r="J1623" s="1279">
        <v>2.12786513665548E-3</v>
      </c>
      <c r="K1623" s="1255">
        <v>3.0000008613823102E-3</v>
      </c>
      <c r="L1623" s="1253">
        <v>2.0000005741060002E-3</v>
      </c>
      <c r="M1623" s="1273">
        <v>2.0000005741060002E-3</v>
      </c>
      <c r="N1623" s="1255">
        <v>3.1850009128239903E-2</v>
      </c>
      <c r="O1623" s="1256">
        <v>3.1850009128239903E-2</v>
      </c>
      <c r="P1623" s="1251">
        <v>1.5925004564119952E-2</v>
      </c>
      <c r="Q1623" s="1254">
        <v>5.5740871755254398E-2</v>
      </c>
    </row>
    <row r="1624" spans="1:17" s="212" customFormat="1" ht="15.5" x14ac:dyDescent="0.35">
      <c r="A1624" s="198">
        <v>2042</v>
      </c>
      <c r="B1624" s="197" t="s">
        <v>5842</v>
      </c>
      <c r="C1624" s="197">
        <v>1972</v>
      </c>
      <c r="D1624" s="213" t="str">
        <f t="shared" ref="D1624:D1742" si="19">CONCATENATE(A1624,"_",C1624)</f>
        <v>2042_1972</v>
      </c>
      <c r="E1624" s="1268">
        <v>0.37244327601036398</v>
      </c>
      <c r="F1624" s="1279">
        <v>2.1756549852298399E-2</v>
      </c>
      <c r="G1624" s="1255">
        <v>9.3015351023572492</v>
      </c>
      <c r="H1624" s="1279">
        <v>0.38957561459017398</v>
      </c>
      <c r="I1624" s="1255">
        <v>5.3329546317149902E-2</v>
      </c>
      <c r="J1624" s="1279">
        <v>2.12786513665548E-3</v>
      </c>
      <c r="K1624" s="1255">
        <v>3.0000008613823102E-3</v>
      </c>
      <c r="L1624" s="1253">
        <v>2.0000005741060002E-3</v>
      </c>
      <c r="M1624" s="1273">
        <v>2.0000005741060002E-3</v>
      </c>
      <c r="N1624" s="1255">
        <v>3.1850009128239903E-2</v>
      </c>
      <c r="O1624" s="1256">
        <v>3.1850009128239903E-2</v>
      </c>
      <c r="P1624" s="1251">
        <v>1.5925004564119952E-2</v>
      </c>
      <c r="Q1624" s="1254">
        <v>5.5740871755254398E-2</v>
      </c>
    </row>
    <row r="1625" spans="1:17" s="212" customFormat="1" ht="15.5" x14ac:dyDescent="0.35">
      <c r="A1625" s="198">
        <v>2042</v>
      </c>
      <c r="B1625" s="197" t="s">
        <v>5842</v>
      </c>
      <c r="C1625" s="197">
        <v>1973</v>
      </c>
      <c r="D1625" s="213" t="str">
        <f t="shared" si="19"/>
        <v>2042_1973</v>
      </c>
      <c r="E1625" s="1268">
        <v>0.37244327601036398</v>
      </c>
      <c r="F1625" s="1279">
        <v>2.1756549852298399E-2</v>
      </c>
      <c r="G1625" s="1255">
        <v>9.3015351023572492</v>
      </c>
      <c r="H1625" s="1279">
        <v>0.38957561459017398</v>
      </c>
      <c r="I1625" s="1255">
        <v>5.3329546317149902E-2</v>
      </c>
      <c r="J1625" s="1279">
        <v>2.12786513665548E-3</v>
      </c>
      <c r="K1625" s="1255">
        <v>3.0000008613823102E-3</v>
      </c>
      <c r="L1625" s="1253">
        <v>2.0000005741060002E-3</v>
      </c>
      <c r="M1625" s="1273">
        <v>2.0000005741060002E-3</v>
      </c>
      <c r="N1625" s="1255">
        <v>3.1850009128239903E-2</v>
      </c>
      <c r="O1625" s="1256">
        <v>3.1850009128239903E-2</v>
      </c>
      <c r="P1625" s="1251">
        <v>1.5925004564119952E-2</v>
      </c>
      <c r="Q1625" s="1254">
        <v>5.5740871755254398E-2</v>
      </c>
    </row>
    <row r="1626" spans="1:17" s="212" customFormat="1" ht="15.5" x14ac:dyDescent="0.35">
      <c r="A1626" s="198">
        <v>2042</v>
      </c>
      <c r="B1626" s="197" t="s">
        <v>5842</v>
      </c>
      <c r="C1626" s="197">
        <v>1974</v>
      </c>
      <c r="D1626" s="213" t="str">
        <f t="shared" si="19"/>
        <v>2042_1974</v>
      </c>
      <c r="E1626" s="1268">
        <v>0.37244327601036398</v>
      </c>
      <c r="F1626" s="1279">
        <v>2.1756549852298399E-2</v>
      </c>
      <c r="G1626" s="1255">
        <v>9.3015351023572492</v>
      </c>
      <c r="H1626" s="1279">
        <v>0.38957561459017398</v>
      </c>
      <c r="I1626" s="1255">
        <v>5.3329546317149902E-2</v>
      </c>
      <c r="J1626" s="1279">
        <v>2.12786513665548E-3</v>
      </c>
      <c r="K1626" s="1255">
        <v>3.0000008613823102E-3</v>
      </c>
      <c r="L1626" s="1253">
        <v>2.0000005741060002E-3</v>
      </c>
      <c r="M1626" s="1273">
        <v>2.0000005741060002E-3</v>
      </c>
      <c r="N1626" s="1255">
        <v>3.1850009128239903E-2</v>
      </c>
      <c r="O1626" s="1256">
        <v>3.1850009128239903E-2</v>
      </c>
      <c r="P1626" s="1251">
        <v>1.5925004564119952E-2</v>
      </c>
      <c r="Q1626" s="1254">
        <v>5.5740871755254398E-2</v>
      </c>
    </row>
    <row r="1627" spans="1:17" s="212" customFormat="1" ht="15.5" x14ac:dyDescent="0.35">
      <c r="A1627" s="198">
        <v>2042</v>
      </c>
      <c r="B1627" s="197" t="s">
        <v>5842</v>
      </c>
      <c r="C1627" s="197">
        <v>1975</v>
      </c>
      <c r="D1627" s="213" t="str">
        <f t="shared" si="19"/>
        <v>2042_1975</v>
      </c>
      <c r="E1627" s="1268">
        <v>0.37244327601036398</v>
      </c>
      <c r="F1627" s="1279">
        <v>2.1756549852298399E-2</v>
      </c>
      <c r="G1627" s="1255">
        <v>9.3015351023572492</v>
      </c>
      <c r="H1627" s="1279">
        <v>0.38957561459017398</v>
      </c>
      <c r="I1627" s="1255">
        <v>5.3329546317149902E-2</v>
      </c>
      <c r="J1627" s="1279">
        <v>2.12786513665548E-3</v>
      </c>
      <c r="K1627" s="1255">
        <v>3.0000008613823102E-3</v>
      </c>
      <c r="L1627" s="1253">
        <v>2.0000005741060002E-3</v>
      </c>
      <c r="M1627" s="1273">
        <v>2.0000005741060002E-3</v>
      </c>
      <c r="N1627" s="1255">
        <v>3.1850009128239903E-2</v>
      </c>
      <c r="O1627" s="1256">
        <v>3.1850009128239903E-2</v>
      </c>
      <c r="P1627" s="1251">
        <v>1.5925004564119952E-2</v>
      </c>
      <c r="Q1627" s="1254">
        <v>5.5740871755254398E-2</v>
      </c>
    </row>
    <row r="1628" spans="1:17" s="212" customFormat="1" ht="15.5" x14ac:dyDescent="0.35">
      <c r="A1628" s="198">
        <v>2042</v>
      </c>
      <c r="B1628" s="197" t="s">
        <v>5842</v>
      </c>
      <c r="C1628" s="197">
        <v>1976</v>
      </c>
      <c r="D1628" s="213" t="str">
        <f t="shared" si="19"/>
        <v>2042_1976</v>
      </c>
      <c r="E1628" s="1268">
        <v>0.37244327601036398</v>
      </c>
      <c r="F1628" s="1279">
        <v>2.1756549852298399E-2</v>
      </c>
      <c r="G1628" s="1255">
        <v>9.3015351023572492</v>
      </c>
      <c r="H1628" s="1279">
        <v>0.38957561459017398</v>
      </c>
      <c r="I1628" s="1255">
        <v>5.3329546317149902E-2</v>
      </c>
      <c r="J1628" s="1279">
        <v>2.12786513665548E-3</v>
      </c>
      <c r="K1628" s="1255">
        <v>3.0000008613823102E-3</v>
      </c>
      <c r="L1628" s="1253">
        <v>2.0000005741060002E-3</v>
      </c>
      <c r="M1628" s="1273">
        <v>2.0000005741060002E-3</v>
      </c>
      <c r="N1628" s="1255">
        <v>3.1850009128239903E-2</v>
      </c>
      <c r="O1628" s="1256">
        <v>3.1850009128239903E-2</v>
      </c>
      <c r="P1628" s="1251">
        <v>1.5925004564119952E-2</v>
      </c>
      <c r="Q1628" s="1254">
        <v>5.5740871755254398E-2</v>
      </c>
    </row>
    <row r="1629" spans="1:17" s="212" customFormat="1" ht="15.5" x14ac:dyDescent="0.35">
      <c r="A1629" s="198">
        <v>2042</v>
      </c>
      <c r="B1629" s="197" t="s">
        <v>5842</v>
      </c>
      <c r="C1629" s="197">
        <v>1977</v>
      </c>
      <c r="D1629" s="213" t="str">
        <f t="shared" si="19"/>
        <v>2042_1977</v>
      </c>
      <c r="E1629" s="1268">
        <v>0.37244327601036398</v>
      </c>
      <c r="F1629" s="1279">
        <v>2.1756549852298399E-2</v>
      </c>
      <c r="G1629" s="1255">
        <v>9.3015351023572492</v>
      </c>
      <c r="H1629" s="1279">
        <v>0.38957561459017398</v>
      </c>
      <c r="I1629" s="1255">
        <v>5.3329546317149902E-2</v>
      </c>
      <c r="J1629" s="1279">
        <v>2.12786513665548E-3</v>
      </c>
      <c r="K1629" s="1255">
        <v>3.0000008613823102E-3</v>
      </c>
      <c r="L1629" s="1253">
        <v>2.0000005741060002E-3</v>
      </c>
      <c r="M1629" s="1273">
        <v>2.0000005741060002E-3</v>
      </c>
      <c r="N1629" s="1255">
        <v>3.1850009128239903E-2</v>
      </c>
      <c r="O1629" s="1256">
        <v>3.1850009128239903E-2</v>
      </c>
      <c r="P1629" s="1251">
        <v>1.5925004564119952E-2</v>
      </c>
      <c r="Q1629" s="1254">
        <v>5.5740871755254398E-2</v>
      </c>
    </row>
    <row r="1630" spans="1:17" s="212" customFormat="1" ht="15.5" x14ac:dyDescent="0.35">
      <c r="A1630" s="198">
        <v>2042</v>
      </c>
      <c r="B1630" s="197" t="s">
        <v>5842</v>
      </c>
      <c r="C1630" s="197">
        <v>1978</v>
      </c>
      <c r="D1630" s="213" t="str">
        <f t="shared" si="19"/>
        <v>2042_1978</v>
      </c>
      <c r="E1630" s="1268">
        <v>0.37244327601036398</v>
      </c>
      <c r="F1630" s="1279">
        <v>2.1756549852298399E-2</v>
      </c>
      <c r="G1630" s="1255">
        <v>9.3015351023572492</v>
      </c>
      <c r="H1630" s="1279">
        <v>0.38957561459017398</v>
      </c>
      <c r="I1630" s="1255">
        <v>5.3329546317149902E-2</v>
      </c>
      <c r="J1630" s="1279">
        <v>2.12786513665548E-3</v>
      </c>
      <c r="K1630" s="1255">
        <v>3.0000008613823102E-3</v>
      </c>
      <c r="L1630" s="1253">
        <v>2.0000005741060002E-3</v>
      </c>
      <c r="M1630" s="1273">
        <v>2.0000005741060002E-3</v>
      </c>
      <c r="N1630" s="1255">
        <v>3.1850009128239903E-2</v>
      </c>
      <c r="O1630" s="1256">
        <v>3.1850009128239903E-2</v>
      </c>
      <c r="P1630" s="1251">
        <v>1.5925004564119952E-2</v>
      </c>
      <c r="Q1630" s="1254">
        <v>5.5740871755254398E-2</v>
      </c>
    </row>
    <row r="1631" spans="1:17" s="212" customFormat="1" ht="15.5" x14ac:dyDescent="0.35">
      <c r="A1631" s="198">
        <v>2042</v>
      </c>
      <c r="B1631" s="197" t="s">
        <v>5842</v>
      </c>
      <c r="C1631" s="197">
        <v>1979</v>
      </c>
      <c r="D1631" s="213" t="str">
        <f t="shared" si="19"/>
        <v>2042_1979</v>
      </c>
      <c r="E1631" s="1268">
        <v>0.37244327601036398</v>
      </c>
      <c r="F1631" s="1279">
        <v>2.1756549852298399E-2</v>
      </c>
      <c r="G1631" s="1255">
        <v>9.3015351023572492</v>
      </c>
      <c r="H1631" s="1279">
        <v>0.38957561459017398</v>
      </c>
      <c r="I1631" s="1255">
        <v>5.3329546317149902E-2</v>
      </c>
      <c r="J1631" s="1279">
        <v>2.12786513665548E-3</v>
      </c>
      <c r="K1631" s="1255">
        <v>3.0000008613823102E-3</v>
      </c>
      <c r="L1631" s="1253">
        <v>2.0000005741060002E-3</v>
      </c>
      <c r="M1631" s="1273">
        <v>2.0000005741060002E-3</v>
      </c>
      <c r="N1631" s="1255">
        <v>3.1850009128239903E-2</v>
      </c>
      <c r="O1631" s="1256">
        <v>3.1850009128239903E-2</v>
      </c>
      <c r="P1631" s="1251">
        <v>1.5925004564119952E-2</v>
      </c>
      <c r="Q1631" s="1254">
        <v>5.5740871755254398E-2</v>
      </c>
    </row>
    <row r="1632" spans="1:17" s="212" customFormat="1" ht="15.5" x14ac:dyDescent="0.35">
      <c r="A1632" s="198">
        <v>2042</v>
      </c>
      <c r="B1632" s="197" t="s">
        <v>5842</v>
      </c>
      <c r="C1632" s="197">
        <v>1980</v>
      </c>
      <c r="D1632" s="213" t="str">
        <f t="shared" si="19"/>
        <v>2042_1980</v>
      </c>
      <c r="E1632" s="1268">
        <v>0.37244327601036398</v>
      </c>
      <c r="F1632" s="1279">
        <v>2.1756549852298399E-2</v>
      </c>
      <c r="G1632" s="1255">
        <v>9.3015351023572492</v>
      </c>
      <c r="H1632" s="1279">
        <v>0.38957561459017398</v>
      </c>
      <c r="I1632" s="1255">
        <v>5.3329546317149902E-2</v>
      </c>
      <c r="J1632" s="1279">
        <v>2.12786513665548E-3</v>
      </c>
      <c r="K1632" s="1255">
        <v>3.0000008613823102E-3</v>
      </c>
      <c r="L1632" s="1253">
        <v>2.0000005741060002E-3</v>
      </c>
      <c r="M1632" s="1273">
        <v>2.0000005741060002E-3</v>
      </c>
      <c r="N1632" s="1255">
        <v>3.1850009128239903E-2</v>
      </c>
      <c r="O1632" s="1256">
        <v>3.1850009128239903E-2</v>
      </c>
      <c r="P1632" s="1251">
        <v>1.5925004564119952E-2</v>
      </c>
      <c r="Q1632" s="1254">
        <v>5.5740871755254398E-2</v>
      </c>
    </row>
    <row r="1633" spans="1:17" s="212" customFormat="1" ht="15.5" x14ac:dyDescent="0.35">
      <c r="A1633" s="198">
        <v>2042</v>
      </c>
      <c r="B1633" s="197" t="s">
        <v>5842</v>
      </c>
      <c r="C1633" s="197">
        <v>1981</v>
      </c>
      <c r="D1633" s="213" t="str">
        <f t="shared" si="19"/>
        <v>2042_1981</v>
      </c>
      <c r="E1633" s="1268">
        <v>0.37244327601036398</v>
      </c>
      <c r="F1633" s="1279">
        <v>2.1756549852298399E-2</v>
      </c>
      <c r="G1633" s="1255">
        <v>9.3015351023572492</v>
      </c>
      <c r="H1633" s="1279">
        <v>0.38957561459017398</v>
      </c>
      <c r="I1633" s="1255">
        <v>5.3329546317149902E-2</v>
      </c>
      <c r="J1633" s="1279">
        <v>2.12786513665548E-3</v>
      </c>
      <c r="K1633" s="1255">
        <v>3.0000008613823102E-3</v>
      </c>
      <c r="L1633" s="1253">
        <v>2.0000005741060002E-3</v>
      </c>
      <c r="M1633" s="1273">
        <v>2.0000005741060002E-3</v>
      </c>
      <c r="N1633" s="1255">
        <v>3.1850009128239903E-2</v>
      </c>
      <c r="O1633" s="1256">
        <v>3.1850009128239903E-2</v>
      </c>
      <c r="P1633" s="1251">
        <v>1.5925004564119952E-2</v>
      </c>
      <c r="Q1633" s="1254">
        <v>5.5740871755254398E-2</v>
      </c>
    </row>
    <row r="1634" spans="1:17" s="212" customFormat="1" ht="15.5" x14ac:dyDescent="0.35">
      <c r="A1634" s="198">
        <v>2042</v>
      </c>
      <c r="B1634" s="197" t="s">
        <v>5842</v>
      </c>
      <c r="C1634" s="197">
        <v>1982</v>
      </c>
      <c r="D1634" s="213" t="str">
        <f t="shared" si="19"/>
        <v>2042_1982</v>
      </c>
      <c r="E1634" s="1268">
        <v>0.37244327601036398</v>
      </c>
      <c r="F1634" s="1279">
        <v>2.1756549852298399E-2</v>
      </c>
      <c r="G1634" s="1255">
        <v>9.3015351023572492</v>
      </c>
      <c r="H1634" s="1279">
        <v>0.38957561459017398</v>
      </c>
      <c r="I1634" s="1255">
        <v>5.3329546317149902E-2</v>
      </c>
      <c r="J1634" s="1279">
        <v>2.12786513665548E-3</v>
      </c>
      <c r="K1634" s="1255">
        <v>3.0000008613823102E-3</v>
      </c>
      <c r="L1634" s="1253">
        <v>2.0000005741060002E-3</v>
      </c>
      <c r="M1634" s="1273">
        <v>2.0000005741060002E-3</v>
      </c>
      <c r="N1634" s="1255">
        <v>3.1850009128239903E-2</v>
      </c>
      <c r="O1634" s="1256">
        <v>3.1850009128239903E-2</v>
      </c>
      <c r="P1634" s="1251">
        <v>1.5925004564119952E-2</v>
      </c>
      <c r="Q1634" s="1254">
        <v>5.5740871755254398E-2</v>
      </c>
    </row>
    <row r="1635" spans="1:17" s="212" customFormat="1" ht="15.5" x14ac:dyDescent="0.35">
      <c r="A1635" s="198">
        <v>2042</v>
      </c>
      <c r="B1635" s="197" t="s">
        <v>5842</v>
      </c>
      <c r="C1635" s="197">
        <v>1983</v>
      </c>
      <c r="D1635" s="213" t="str">
        <f t="shared" si="19"/>
        <v>2042_1983</v>
      </c>
      <c r="E1635" s="1268">
        <v>0.37244327601036398</v>
      </c>
      <c r="F1635" s="1279">
        <v>2.1756549852298399E-2</v>
      </c>
      <c r="G1635" s="1255">
        <v>9.3015351023572492</v>
      </c>
      <c r="H1635" s="1279">
        <v>0.38957561459017398</v>
      </c>
      <c r="I1635" s="1255">
        <v>5.3329546317149902E-2</v>
      </c>
      <c r="J1635" s="1279">
        <v>2.12786513665548E-3</v>
      </c>
      <c r="K1635" s="1255">
        <v>3.0000008613823102E-3</v>
      </c>
      <c r="L1635" s="1253">
        <v>2.0000005741060002E-3</v>
      </c>
      <c r="M1635" s="1273">
        <v>2.0000005741060002E-3</v>
      </c>
      <c r="N1635" s="1255">
        <v>3.1850009128239903E-2</v>
      </c>
      <c r="O1635" s="1256">
        <v>3.1850009128239903E-2</v>
      </c>
      <c r="P1635" s="1251">
        <v>1.5925004564119952E-2</v>
      </c>
      <c r="Q1635" s="1254">
        <v>5.5740871755254398E-2</v>
      </c>
    </row>
    <row r="1636" spans="1:17" s="212" customFormat="1" ht="15.5" x14ac:dyDescent="0.35">
      <c r="A1636" s="198">
        <v>2042</v>
      </c>
      <c r="B1636" s="197" t="s">
        <v>5842</v>
      </c>
      <c r="C1636" s="197">
        <v>1984</v>
      </c>
      <c r="D1636" s="213" t="str">
        <f t="shared" si="19"/>
        <v>2042_1984</v>
      </c>
      <c r="E1636" s="1268">
        <v>0.37244327601036398</v>
      </c>
      <c r="F1636" s="1279">
        <v>2.1756549852298399E-2</v>
      </c>
      <c r="G1636" s="1255">
        <v>9.3015351023572492</v>
      </c>
      <c r="H1636" s="1279">
        <v>0.38957561459017398</v>
      </c>
      <c r="I1636" s="1255">
        <v>5.3329546317149902E-2</v>
      </c>
      <c r="J1636" s="1279">
        <v>2.12786513665548E-3</v>
      </c>
      <c r="K1636" s="1255">
        <v>3.0000008613823102E-3</v>
      </c>
      <c r="L1636" s="1253">
        <v>2.0000005741060002E-3</v>
      </c>
      <c r="M1636" s="1273">
        <v>2.0000005741060002E-3</v>
      </c>
      <c r="N1636" s="1255">
        <v>3.1850009128239903E-2</v>
      </c>
      <c r="O1636" s="1256">
        <v>3.1850009128239903E-2</v>
      </c>
      <c r="P1636" s="1251">
        <v>1.5925004564119952E-2</v>
      </c>
      <c r="Q1636" s="1254">
        <v>5.5740871755254398E-2</v>
      </c>
    </row>
    <row r="1637" spans="1:17" s="212" customFormat="1" ht="15.5" x14ac:dyDescent="0.35">
      <c r="A1637" s="198">
        <v>2042</v>
      </c>
      <c r="B1637" s="197" t="s">
        <v>5842</v>
      </c>
      <c r="C1637" s="197">
        <v>1985</v>
      </c>
      <c r="D1637" s="213" t="str">
        <f t="shared" si="19"/>
        <v>2042_1985</v>
      </c>
      <c r="E1637" s="1268">
        <v>0.37244327601036398</v>
      </c>
      <c r="F1637" s="1279">
        <v>2.1756549852298399E-2</v>
      </c>
      <c r="G1637" s="1255">
        <v>9.3015351023572492</v>
      </c>
      <c r="H1637" s="1279">
        <v>0.38957561459017398</v>
      </c>
      <c r="I1637" s="1255">
        <v>5.3329546317149902E-2</v>
      </c>
      <c r="J1637" s="1279">
        <v>2.12786513665548E-3</v>
      </c>
      <c r="K1637" s="1255">
        <v>3.0000008613823102E-3</v>
      </c>
      <c r="L1637" s="1253">
        <v>2.0000005741060002E-3</v>
      </c>
      <c r="M1637" s="1273">
        <v>2.0000005741060002E-3</v>
      </c>
      <c r="N1637" s="1255">
        <v>3.1850009128239903E-2</v>
      </c>
      <c r="O1637" s="1256">
        <v>3.1850009128239903E-2</v>
      </c>
      <c r="P1637" s="1251">
        <v>1.5925004564119952E-2</v>
      </c>
      <c r="Q1637" s="1254">
        <v>5.5740871755254398E-2</v>
      </c>
    </row>
    <row r="1638" spans="1:17" s="212" customFormat="1" ht="15.5" x14ac:dyDescent="0.35">
      <c r="A1638" s="198">
        <v>2042</v>
      </c>
      <c r="B1638" s="197" t="s">
        <v>5842</v>
      </c>
      <c r="C1638" s="197">
        <v>1986</v>
      </c>
      <c r="D1638" s="213" t="str">
        <f t="shared" si="19"/>
        <v>2042_1986</v>
      </c>
      <c r="E1638" s="1268">
        <v>0.37244327601036398</v>
      </c>
      <c r="F1638" s="1279">
        <v>2.1756549852298399E-2</v>
      </c>
      <c r="G1638" s="1255">
        <v>9.3015351023572492</v>
      </c>
      <c r="H1638" s="1279">
        <v>0.38957561459017398</v>
      </c>
      <c r="I1638" s="1255">
        <v>5.3329546317149902E-2</v>
      </c>
      <c r="J1638" s="1279">
        <v>2.12786513665548E-3</v>
      </c>
      <c r="K1638" s="1255">
        <v>3.0000008613823102E-3</v>
      </c>
      <c r="L1638" s="1253">
        <v>2.0000005741060002E-3</v>
      </c>
      <c r="M1638" s="1273">
        <v>2.0000005741060002E-3</v>
      </c>
      <c r="N1638" s="1255">
        <v>3.1850009128239903E-2</v>
      </c>
      <c r="O1638" s="1256">
        <v>3.1850009128239903E-2</v>
      </c>
      <c r="P1638" s="1251">
        <v>1.5925004564119952E-2</v>
      </c>
      <c r="Q1638" s="1254">
        <v>5.5740871755254398E-2</v>
      </c>
    </row>
    <row r="1639" spans="1:17" s="212" customFormat="1" ht="15.5" x14ac:dyDescent="0.35">
      <c r="A1639" s="198">
        <v>2042</v>
      </c>
      <c r="B1639" s="197" t="s">
        <v>5842</v>
      </c>
      <c r="C1639" s="197">
        <v>1987</v>
      </c>
      <c r="D1639" s="213" t="str">
        <f t="shared" si="19"/>
        <v>2042_1987</v>
      </c>
      <c r="E1639" s="1268">
        <v>0.37244327601036398</v>
      </c>
      <c r="F1639" s="1279">
        <v>2.1756549852298399E-2</v>
      </c>
      <c r="G1639" s="1255">
        <v>9.3015351023572492</v>
      </c>
      <c r="H1639" s="1279">
        <v>0.38957561459017398</v>
      </c>
      <c r="I1639" s="1255">
        <v>5.3329546317149902E-2</v>
      </c>
      <c r="J1639" s="1279">
        <v>2.12786513665548E-3</v>
      </c>
      <c r="K1639" s="1255">
        <v>3.0000008613823102E-3</v>
      </c>
      <c r="L1639" s="1253">
        <v>2.0000005741060002E-3</v>
      </c>
      <c r="M1639" s="1273">
        <v>2.0000005741060002E-3</v>
      </c>
      <c r="N1639" s="1255">
        <v>3.1850009128239903E-2</v>
      </c>
      <c r="O1639" s="1256">
        <v>3.1850009128239903E-2</v>
      </c>
      <c r="P1639" s="1251">
        <v>1.5925004564119952E-2</v>
      </c>
      <c r="Q1639" s="1254">
        <v>5.5740871755254398E-2</v>
      </c>
    </row>
    <row r="1640" spans="1:17" s="212" customFormat="1" ht="15.5" x14ac:dyDescent="0.35">
      <c r="A1640" s="198">
        <v>2042</v>
      </c>
      <c r="B1640" s="197" t="s">
        <v>5842</v>
      </c>
      <c r="C1640" s="197">
        <v>1988</v>
      </c>
      <c r="D1640" s="213" t="str">
        <f t="shared" si="19"/>
        <v>2042_1988</v>
      </c>
      <c r="E1640" s="1268">
        <v>0.37244327601036398</v>
      </c>
      <c r="F1640" s="1279">
        <v>2.1756549852298399E-2</v>
      </c>
      <c r="G1640" s="1255">
        <v>9.3015351023572492</v>
      </c>
      <c r="H1640" s="1279">
        <v>0.38957561459017398</v>
      </c>
      <c r="I1640" s="1255">
        <v>5.3329546317149902E-2</v>
      </c>
      <c r="J1640" s="1279">
        <v>2.12786513665548E-3</v>
      </c>
      <c r="K1640" s="1255">
        <v>3.0000008613823102E-3</v>
      </c>
      <c r="L1640" s="1253">
        <v>2.0000005741060002E-3</v>
      </c>
      <c r="M1640" s="1273">
        <v>2.0000005741060002E-3</v>
      </c>
      <c r="N1640" s="1255">
        <v>3.1850009128239903E-2</v>
      </c>
      <c r="O1640" s="1256">
        <v>3.1850009128239903E-2</v>
      </c>
      <c r="P1640" s="1251">
        <v>1.5925004564119952E-2</v>
      </c>
      <c r="Q1640" s="1254">
        <v>5.5740871755254398E-2</v>
      </c>
    </row>
    <row r="1641" spans="1:17" s="212" customFormat="1" ht="15.5" x14ac:dyDescent="0.35">
      <c r="A1641" s="198">
        <v>2042</v>
      </c>
      <c r="B1641" s="197" t="s">
        <v>5842</v>
      </c>
      <c r="C1641" s="197">
        <v>1989</v>
      </c>
      <c r="D1641" s="213" t="str">
        <f t="shared" si="19"/>
        <v>2042_1989</v>
      </c>
      <c r="E1641" s="1268">
        <v>0.37244327601036398</v>
      </c>
      <c r="F1641" s="1279">
        <v>2.1756549852298399E-2</v>
      </c>
      <c r="G1641" s="1255">
        <v>9.3015351023572492</v>
      </c>
      <c r="H1641" s="1279">
        <v>0.38957561459017398</v>
      </c>
      <c r="I1641" s="1255">
        <v>5.3329546317149902E-2</v>
      </c>
      <c r="J1641" s="1279">
        <v>2.12786513665548E-3</v>
      </c>
      <c r="K1641" s="1255">
        <v>3.0000008613823102E-3</v>
      </c>
      <c r="L1641" s="1253">
        <v>2.0000005741060002E-3</v>
      </c>
      <c r="M1641" s="1273">
        <v>2.0000005741060002E-3</v>
      </c>
      <c r="N1641" s="1255">
        <v>3.1850009128239903E-2</v>
      </c>
      <c r="O1641" s="1256">
        <v>3.1850009128239903E-2</v>
      </c>
      <c r="P1641" s="1251">
        <v>1.5925004564119952E-2</v>
      </c>
      <c r="Q1641" s="1254">
        <v>5.5740871755254398E-2</v>
      </c>
    </row>
    <row r="1642" spans="1:17" s="212" customFormat="1" ht="15.5" x14ac:dyDescent="0.35">
      <c r="A1642" s="198">
        <v>2042</v>
      </c>
      <c r="B1642" s="197" t="s">
        <v>5842</v>
      </c>
      <c r="C1642" s="197">
        <v>1990</v>
      </c>
      <c r="D1642" s="213" t="str">
        <f t="shared" si="19"/>
        <v>2042_1990</v>
      </c>
      <c r="E1642" s="1268">
        <v>0.37244327601036398</v>
      </c>
      <c r="F1642" s="1279">
        <v>2.1756549852298399E-2</v>
      </c>
      <c r="G1642" s="1255">
        <v>9.3015351023572492</v>
      </c>
      <c r="H1642" s="1279">
        <v>0.38957561459017398</v>
      </c>
      <c r="I1642" s="1255">
        <v>5.3329546317149902E-2</v>
      </c>
      <c r="J1642" s="1279">
        <v>2.12786513665548E-3</v>
      </c>
      <c r="K1642" s="1255">
        <v>3.0000008613823102E-3</v>
      </c>
      <c r="L1642" s="1253">
        <v>2.0000005741060002E-3</v>
      </c>
      <c r="M1642" s="1273">
        <v>2.0000005741060002E-3</v>
      </c>
      <c r="N1642" s="1255">
        <v>3.1850009128239903E-2</v>
      </c>
      <c r="O1642" s="1256">
        <v>3.1850009128239903E-2</v>
      </c>
      <c r="P1642" s="1251">
        <v>1.5925004564119952E-2</v>
      </c>
      <c r="Q1642" s="1254">
        <v>5.5740871755254398E-2</v>
      </c>
    </row>
    <row r="1643" spans="1:17" s="212" customFormat="1" ht="15.5" x14ac:dyDescent="0.35">
      <c r="A1643" s="198">
        <v>2042</v>
      </c>
      <c r="B1643" s="197" t="s">
        <v>5842</v>
      </c>
      <c r="C1643" s="197">
        <v>1991</v>
      </c>
      <c r="D1643" s="213" t="str">
        <f t="shared" si="19"/>
        <v>2042_1991</v>
      </c>
      <c r="E1643" s="1268">
        <v>0.37244327601036398</v>
      </c>
      <c r="F1643" s="1279">
        <v>2.1756549852298399E-2</v>
      </c>
      <c r="G1643" s="1255">
        <v>9.3015351023572492</v>
      </c>
      <c r="H1643" s="1279">
        <v>0.38957561459017398</v>
      </c>
      <c r="I1643" s="1255">
        <v>5.3329546317149902E-2</v>
      </c>
      <c r="J1643" s="1279">
        <v>2.12786513665548E-3</v>
      </c>
      <c r="K1643" s="1255">
        <v>3.0000008613823102E-3</v>
      </c>
      <c r="L1643" s="1253">
        <v>2.0000005741060002E-3</v>
      </c>
      <c r="M1643" s="1273">
        <v>2.0000005741060002E-3</v>
      </c>
      <c r="N1643" s="1255">
        <v>3.1850009128239903E-2</v>
      </c>
      <c r="O1643" s="1256">
        <v>3.1850009128239903E-2</v>
      </c>
      <c r="P1643" s="1251">
        <v>1.5925004564119952E-2</v>
      </c>
      <c r="Q1643" s="1254">
        <v>5.5740871755254398E-2</v>
      </c>
    </row>
    <row r="1644" spans="1:17" s="212" customFormat="1" ht="15.5" x14ac:dyDescent="0.35">
      <c r="A1644" s="198">
        <v>2042</v>
      </c>
      <c r="B1644" s="197" t="s">
        <v>5842</v>
      </c>
      <c r="C1644" s="197">
        <v>1992</v>
      </c>
      <c r="D1644" s="213" t="str">
        <f t="shared" si="19"/>
        <v>2042_1992</v>
      </c>
      <c r="E1644" s="1268">
        <v>0.37244327601036398</v>
      </c>
      <c r="F1644" s="1279">
        <v>2.1756549852298399E-2</v>
      </c>
      <c r="G1644" s="1255">
        <v>9.3015351023572492</v>
      </c>
      <c r="H1644" s="1279">
        <v>0.38957561459017398</v>
      </c>
      <c r="I1644" s="1255">
        <v>5.3329546317149902E-2</v>
      </c>
      <c r="J1644" s="1279">
        <v>2.12786513665548E-3</v>
      </c>
      <c r="K1644" s="1255">
        <v>3.0000008613823102E-3</v>
      </c>
      <c r="L1644" s="1253">
        <v>2.0000005741060002E-3</v>
      </c>
      <c r="M1644" s="1273">
        <v>2.0000005741060002E-3</v>
      </c>
      <c r="N1644" s="1255">
        <v>3.1850009128239903E-2</v>
      </c>
      <c r="O1644" s="1256">
        <v>3.1850009128239903E-2</v>
      </c>
      <c r="P1644" s="1251">
        <v>1.5925004564119952E-2</v>
      </c>
      <c r="Q1644" s="1254">
        <v>5.5740871755254398E-2</v>
      </c>
    </row>
    <row r="1645" spans="1:17" s="212" customFormat="1" ht="15.5" x14ac:dyDescent="0.35">
      <c r="A1645" s="198">
        <v>2042</v>
      </c>
      <c r="B1645" s="197" t="s">
        <v>5842</v>
      </c>
      <c r="C1645" s="197">
        <v>1993</v>
      </c>
      <c r="D1645" s="213" t="str">
        <f t="shared" si="19"/>
        <v>2042_1993</v>
      </c>
      <c r="E1645" s="1268">
        <v>0.37244327601036398</v>
      </c>
      <c r="F1645" s="1279">
        <v>2.1756549852298399E-2</v>
      </c>
      <c r="G1645" s="1255">
        <v>9.3015351023572492</v>
      </c>
      <c r="H1645" s="1279">
        <v>0.38957561459017398</v>
      </c>
      <c r="I1645" s="1255">
        <v>5.3329546317149902E-2</v>
      </c>
      <c r="J1645" s="1279">
        <v>2.12786513665548E-3</v>
      </c>
      <c r="K1645" s="1255">
        <v>3.0000008613823102E-3</v>
      </c>
      <c r="L1645" s="1253">
        <v>2.0000005741060002E-3</v>
      </c>
      <c r="M1645" s="1273">
        <v>2.0000005741060002E-3</v>
      </c>
      <c r="N1645" s="1255">
        <v>3.1850009128239903E-2</v>
      </c>
      <c r="O1645" s="1256">
        <v>3.1850009128239903E-2</v>
      </c>
      <c r="P1645" s="1251">
        <v>1.5925004564119952E-2</v>
      </c>
      <c r="Q1645" s="1254">
        <v>5.5740871755254398E-2</v>
      </c>
    </row>
    <row r="1646" spans="1:17" s="212" customFormat="1" ht="15.5" x14ac:dyDescent="0.35">
      <c r="A1646" s="198">
        <v>2042</v>
      </c>
      <c r="B1646" s="197" t="s">
        <v>5842</v>
      </c>
      <c r="C1646" s="197">
        <v>1994</v>
      </c>
      <c r="D1646" s="213" t="str">
        <f t="shared" si="19"/>
        <v>2042_1994</v>
      </c>
      <c r="E1646" s="1268">
        <v>0.37244327601036398</v>
      </c>
      <c r="F1646" s="1279">
        <v>2.1756549852298399E-2</v>
      </c>
      <c r="G1646" s="1255">
        <v>9.3015351023572492</v>
      </c>
      <c r="H1646" s="1279">
        <v>0.38957561459017398</v>
      </c>
      <c r="I1646" s="1255">
        <v>5.3329546317149902E-2</v>
      </c>
      <c r="J1646" s="1279">
        <v>2.12786513665548E-3</v>
      </c>
      <c r="K1646" s="1255">
        <v>3.0000008613823102E-3</v>
      </c>
      <c r="L1646" s="1253">
        <v>2.0000005741060002E-3</v>
      </c>
      <c r="M1646" s="1273">
        <v>2.0000005741060002E-3</v>
      </c>
      <c r="N1646" s="1255">
        <v>3.1850009128239903E-2</v>
      </c>
      <c r="O1646" s="1256">
        <v>3.1850009128239903E-2</v>
      </c>
      <c r="P1646" s="1251">
        <v>1.5925004564119952E-2</v>
      </c>
      <c r="Q1646" s="1254">
        <v>5.5740871755254398E-2</v>
      </c>
    </row>
    <row r="1647" spans="1:17" s="212" customFormat="1" ht="15.5" x14ac:dyDescent="0.35">
      <c r="A1647" s="198">
        <v>2042</v>
      </c>
      <c r="B1647" s="197" t="s">
        <v>5842</v>
      </c>
      <c r="C1647" s="197">
        <v>1995</v>
      </c>
      <c r="D1647" s="213" t="str">
        <f t="shared" si="19"/>
        <v>2042_1995</v>
      </c>
      <c r="E1647" s="1268">
        <v>0.37244327601036398</v>
      </c>
      <c r="F1647" s="1279">
        <v>2.1756549852298399E-2</v>
      </c>
      <c r="G1647" s="1255">
        <v>9.3015351023572492</v>
      </c>
      <c r="H1647" s="1279">
        <v>0.38957561459017398</v>
      </c>
      <c r="I1647" s="1255">
        <v>5.3329546317149902E-2</v>
      </c>
      <c r="J1647" s="1279">
        <v>2.12786513665548E-3</v>
      </c>
      <c r="K1647" s="1255">
        <v>3.0000008613823102E-3</v>
      </c>
      <c r="L1647" s="1253">
        <v>2.0000005741060002E-3</v>
      </c>
      <c r="M1647" s="1273">
        <v>2.0000005741060002E-3</v>
      </c>
      <c r="N1647" s="1255">
        <v>3.1850009128239903E-2</v>
      </c>
      <c r="O1647" s="1256">
        <v>3.1850009128239903E-2</v>
      </c>
      <c r="P1647" s="1251">
        <v>1.5925004564119952E-2</v>
      </c>
      <c r="Q1647" s="1254">
        <v>5.5740871755254398E-2</v>
      </c>
    </row>
    <row r="1648" spans="1:17" s="212" customFormat="1" ht="15.5" x14ac:dyDescent="0.35">
      <c r="A1648" s="198">
        <v>2042</v>
      </c>
      <c r="B1648" s="197" t="s">
        <v>5842</v>
      </c>
      <c r="C1648" s="197">
        <v>1996</v>
      </c>
      <c r="D1648" s="213" t="str">
        <f t="shared" si="19"/>
        <v>2042_1996</v>
      </c>
      <c r="E1648" s="1268">
        <v>0.37244327601036398</v>
      </c>
      <c r="F1648" s="1279">
        <v>2.1756549852298399E-2</v>
      </c>
      <c r="G1648" s="1255">
        <v>9.3015351023572492</v>
      </c>
      <c r="H1648" s="1279">
        <v>0.38957561459017398</v>
      </c>
      <c r="I1648" s="1255">
        <v>5.3329546317149902E-2</v>
      </c>
      <c r="J1648" s="1279">
        <v>2.12786513665548E-3</v>
      </c>
      <c r="K1648" s="1255">
        <v>3.0000008613823102E-3</v>
      </c>
      <c r="L1648" s="1253">
        <v>2.0000005741060002E-3</v>
      </c>
      <c r="M1648" s="1273">
        <v>2.0000005741060002E-3</v>
      </c>
      <c r="N1648" s="1255">
        <v>3.1850009128239903E-2</v>
      </c>
      <c r="O1648" s="1256">
        <v>3.1850009128239903E-2</v>
      </c>
      <c r="P1648" s="1251">
        <v>1.5925004564119952E-2</v>
      </c>
      <c r="Q1648" s="1254">
        <v>5.5740871755254398E-2</v>
      </c>
    </row>
    <row r="1649" spans="1:17" s="212" customFormat="1" ht="15.5" x14ac:dyDescent="0.35">
      <c r="A1649" s="198">
        <v>2042</v>
      </c>
      <c r="B1649" s="197" t="s">
        <v>5842</v>
      </c>
      <c r="C1649" s="197">
        <v>1997</v>
      </c>
      <c r="D1649" s="213" t="str">
        <f t="shared" si="19"/>
        <v>2042_1997</v>
      </c>
      <c r="E1649" s="1268">
        <v>0.37244327601036398</v>
      </c>
      <c r="F1649" s="1279">
        <v>2.1756549852298399E-2</v>
      </c>
      <c r="G1649" s="1255">
        <v>9.3015351023572492</v>
      </c>
      <c r="H1649" s="1279">
        <v>0.38957561459017398</v>
      </c>
      <c r="I1649" s="1255">
        <v>5.3329546317149902E-2</v>
      </c>
      <c r="J1649" s="1279">
        <v>2.12786513665548E-3</v>
      </c>
      <c r="K1649" s="1255">
        <v>3.0000008613823102E-3</v>
      </c>
      <c r="L1649" s="1253">
        <v>2.0000005741060002E-3</v>
      </c>
      <c r="M1649" s="1273">
        <v>2.0000005741060002E-3</v>
      </c>
      <c r="N1649" s="1255">
        <v>3.1850009128239903E-2</v>
      </c>
      <c r="O1649" s="1256">
        <v>3.1850009128239903E-2</v>
      </c>
      <c r="P1649" s="1251">
        <v>1.5925004564119952E-2</v>
      </c>
      <c r="Q1649" s="1254">
        <v>5.5740871755254398E-2</v>
      </c>
    </row>
    <row r="1650" spans="1:17" s="212" customFormat="1" ht="15.5" x14ac:dyDescent="0.35">
      <c r="A1650" s="198">
        <v>2042</v>
      </c>
      <c r="B1650" s="197" t="s">
        <v>5842</v>
      </c>
      <c r="C1650" s="197">
        <v>1998</v>
      </c>
      <c r="D1650" s="213" t="str">
        <f t="shared" si="19"/>
        <v>2042_1998</v>
      </c>
      <c r="E1650" s="1267">
        <v>0.37244327601036398</v>
      </c>
      <c r="F1650" s="1278">
        <v>2.1756549852298399E-2</v>
      </c>
      <c r="G1650" s="1248">
        <v>9.3015351023572492</v>
      </c>
      <c r="H1650" s="1278">
        <v>0.38957561459017398</v>
      </c>
      <c r="I1650" s="1248">
        <v>5.3329546317149902E-2</v>
      </c>
      <c r="J1650" s="1278">
        <v>2.12786513665548E-3</v>
      </c>
      <c r="K1650" s="1248">
        <v>3.0000008613823102E-3</v>
      </c>
      <c r="L1650" s="1250">
        <v>2.0000005741060002E-3</v>
      </c>
      <c r="M1650" s="1273">
        <v>2.0000005741060002E-3</v>
      </c>
      <c r="N1650" s="1248">
        <v>3.1850009128239903E-2</v>
      </c>
      <c r="O1650" s="1249">
        <v>3.1850009128239903E-2</v>
      </c>
      <c r="P1650" s="1251">
        <v>1.5925004564119952E-2</v>
      </c>
      <c r="Q1650" s="1252">
        <v>5.5740871755254398E-2</v>
      </c>
    </row>
    <row r="1651" spans="1:17" s="212" customFormat="1" ht="15.5" x14ac:dyDescent="0.35">
      <c r="A1651" s="198">
        <v>2042</v>
      </c>
      <c r="B1651" s="197" t="s">
        <v>5842</v>
      </c>
      <c r="C1651" s="197">
        <v>1999</v>
      </c>
      <c r="D1651" s="213" t="str">
        <f t="shared" si="19"/>
        <v>2042_1999</v>
      </c>
      <c r="E1651" s="1267">
        <v>0.370519846523441</v>
      </c>
      <c r="F1651" s="1278">
        <v>2.1808250119754399E-2</v>
      </c>
      <c r="G1651" s="1248">
        <v>9.3345298892930408</v>
      </c>
      <c r="H1651" s="1278">
        <v>0.38989268668678001</v>
      </c>
      <c r="I1651" s="1248">
        <v>5.3054133580452197E-2</v>
      </c>
      <c r="J1651" s="1278">
        <v>2.1282210840464699E-3</v>
      </c>
      <c r="K1651" s="1248">
        <v>3.0000008613475398E-3</v>
      </c>
      <c r="L1651" s="1250">
        <v>2.0000005741213798E-3</v>
      </c>
      <c r="M1651" s="1273">
        <v>2.0000005741213798E-3</v>
      </c>
      <c r="N1651" s="1248">
        <v>3.1850009128239903E-2</v>
      </c>
      <c r="O1651" s="1249">
        <v>3.1850009128239903E-2</v>
      </c>
      <c r="P1651" s="1251">
        <v>1.5925004564119952E-2</v>
      </c>
      <c r="Q1651" s="1252">
        <v>5.5453006076729199E-2</v>
      </c>
    </row>
    <row r="1652" spans="1:17" s="212" customFormat="1" ht="15.5" x14ac:dyDescent="0.35">
      <c r="A1652" s="198">
        <v>2042</v>
      </c>
      <c r="B1652" s="197" t="s">
        <v>5842</v>
      </c>
      <c r="C1652" s="197">
        <v>2000</v>
      </c>
      <c r="D1652" s="213" t="str">
        <f t="shared" si="19"/>
        <v>2042_2000</v>
      </c>
      <c r="E1652" s="1267">
        <v>0.36673077255903602</v>
      </c>
      <c r="F1652" s="1278">
        <v>2.2107808866943E-2</v>
      </c>
      <c r="G1652" s="1248">
        <v>9.4121201910657692</v>
      </c>
      <c r="H1652" s="1278">
        <v>0.39247970660520498</v>
      </c>
      <c r="I1652" s="1248">
        <v>5.2511582248479099E-2</v>
      </c>
      <c r="J1652" s="1278">
        <v>2.1607238879921401E-3</v>
      </c>
      <c r="K1652" s="1248">
        <v>3.00000086126548E-3</v>
      </c>
      <c r="L1652" s="1250">
        <v>2.0000005741602398E-3</v>
      </c>
      <c r="M1652" s="1273">
        <v>2.0000005741602398E-3</v>
      </c>
      <c r="N1652" s="1248">
        <v>3.1850009128239903E-2</v>
      </c>
      <c r="O1652" s="1249">
        <v>3.1850009128239903E-2</v>
      </c>
      <c r="P1652" s="1251">
        <v>1.5925004564119952E-2</v>
      </c>
      <c r="Q1652" s="1252">
        <v>5.4885922981060202E-2</v>
      </c>
    </row>
    <row r="1653" spans="1:17" s="212" customFormat="1" ht="15.5" x14ac:dyDescent="0.35">
      <c r="A1653" s="198">
        <v>2042</v>
      </c>
      <c r="B1653" s="197" t="s">
        <v>5842</v>
      </c>
      <c r="C1653" s="197">
        <v>2001</v>
      </c>
      <c r="D1653" s="213" t="str">
        <f t="shared" si="19"/>
        <v>2042_2001</v>
      </c>
      <c r="E1653" s="1267">
        <v>0.37016326537233701</v>
      </c>
      <c r="F1653" s="1278">
        <v>2.2194681589564402E-2</v>
      </c>
      <c r="G1653" s="1248">
        <v>9.3392813010673006</v>
      </c>
      <c r="H1653" s="1278">
        <v>0.39376620615790398</v>
      </c>
      <c r="I1653" s="1248">
        <v>5.3003075305975297E-2</v>
      </c>
      <c r="J1653" s="1278">
        <v>2.1717990095300801E-3</v>
      </c>
      <c r="K1653" s="1248">
        <v>3.00000086134608E-3</v>
      </c>
      <c r="L1653" s="1250">
        <v>2.0000005741896199E-3</v>
      </c>
      <c r="M1653" s="1273">
        <v>2.0000005741896199E-3</v>
      </c>
      <c r="N1653" s="1248">
        <v>3.1850009128239903E-2</v>
      </c>
      <c r="O1653" s="1249">
        <v>3.1850009128239903E-2</v>
      </c>
      <c r="P1653" s="1251">
        <v>1.5925004564119952E-2</v>
      </c>
      <c r="Q1653" s="1252">
        <v>5.5399639173648201E-2</v>
      </c>
    </row>
    <row r="1654" spans="1:17" s="212" customFormat="1" ht="15.5" x14ac:dyDescent="0.35">
      <c r="A1654" s="198">
        <v>2042</v>
      </c>
      <c r="B1654" s="197" t="s">
        <v>5842</v>
      </c>
      <c r="C1654" s="197">
        <v>2002</v>
      </c>
      <c r="D1654" s="213" t="str">
        <f t="shared" si="19"/>
        <v>2042_2002</v>
      </c>
      <c r="E1654" s="1267">
        <v>0.28700253380466201</v>
      </c>
      <c r="F1654" s="1278">
        <v>2.2131439478634399E-2</v>
      </c>
      <c r="G1654" s="1248">
        <v>7.1981941188189298</v>
      </c>
      <c r="H1654" s="1278">
        <v>0.31740990442633998</v>
      </c>
      <c r="I1654" s="1248">
        <v>5.3496671920151999E-2</v>
      </c>
      <c r="J1654" s="1278">
        <v>2.1696195425627198E-3</v>
      </c>
      <c r="K1654" s="1248">
        <v>3.0000008613597002E-3</v>
      </c>
      <c r="L1654" s="1250">
        <v>2.0000005741649301E-3</v>
      </c>
      <c r="M1654" s="1273">
        <v>2.0000005741649301E-3</v>
      </c>
      <c r="N1654" s="1248">
        <v>3.1850009128239903E-2</v>
      </c>
      <c r="O1654" s="1249">
        <v>3.1850009128239903E-2</v>
      </c>
      <c r="P1654" s="1251">
        <v>1.5925004564119952E-2</v>
      </c>
      <c r="Q1654" s="1252">
        <v>5.5915554036415398E-2</v>
      </c>
    </row>
    <row r="1655" spans="1:17" s="212" customFormat="1" ht="15.5" x14ac:dyDescent="0.35">
      <c r="A1655" s="198">
        <v>2042</v>
      </c>
      <c r="B1655" s="197" t="s">
        <v>5842</v>
      </c>
      <c r="C1655" s="197">
        <v>2003</v>
      </c>
      <c r="D1655" s="213" t="str">
        <f t="shared" si="19"/>
        <v>2042_2003</v>
      </c>
      <c r="E1655" s="1267">
        <v>0.284477498381352</v>
      </c>
      <c r="F1655" s="1278">
        <v>2.1817651530173499E-2</v>
      </c>
      <c r="G1655" s="1248">
        <v>7.2417810403333203</v>
      </c>
      <c r="H1655" s="1278">
        <v>0.31668718216886699</v>
      </c>
      <c r="I1655" s="1248">
        <v>5.3026010599372599E-2</v>
      </c>
      <c r="J1655" s="1278">
        <v>2.1378301546364099E-3</v>
      </c>
      <c r="K1655" s="1248">
        <v>3.0000008612849302E-3</v>
      </c>
      <c r="L1655" s="1250">
        <v>2.0000005741504698E-3</v>
      </c>
      <c r="M1655" s="1273">
        <v>2.0000005741504698E-3</v>
      </c>
      <c r="N1655" s="1248">
        <v>3.1850009128239903E-2</v>
      </c>
      <c r="O1655" s="1249">
        <v>3.1850009128239903E-2</v>
      </c>
      <c r="P1655" s="1251">
        <v>1.5925004564119952E-2</v>
      </c>
      <c r="Q1655" s="1252">
        <v>5.5423611499239099E-2</v>
      </c>
    </row>
    <row r="1656" spans="1:17" s="212" customFormat="1" ht="15.5" x14ac:dyDescent="0.35">
      <c r="A1656" s="198">
        <v>2042</v>
      </c>
      <c r="B1656" s="197" t="s">
        <v>5842</v>
      </c>
      <c r="C1656" s="197">
        <v>2004</v>
      </c>
      <c r="D1656" s="213" t="str">
        <f t="shared" si="19"/>
        <v>2042_2004</v>
      </c>
      <c r="E1656" s="1267">
        <v>0.57577845321481502</v>
      </c>
      <c r="F1656" s="1278">
        <v>1.42796673211893E-2</v>
      </c>
      <c r="G1656" s="1248">
        <v>4.1414661302118203</v>
      </c>
      <c r="H1656" s="1278">
        <v>0.26778479985783399</v>
      </c>
      <c r="I1656" s="1248">
        <v>0.15000051395133601</v>
      </c>
      <c r="J1656" s="1278">
        <v>1.3897850668410301E-4</v>
      </c>
      <c r="K1656" s="1248">
        <v>3.00000086127899E-3</v>
      </c>
      <c r="L1656" s="1250">
        <v>2.0000005740850699E-3</v>
      </c>
      <c r="M1656" s="1273">
        <v>2.0000005740850699E-3</v>
      </c>
      <c r="N1656" s="1248">
        <v>3.1850009128239903E-2</v>
      </c>
      <c r="O1656" s="1249">
        <v>3.1850009128239903E-2</v>
      </c>
      <c r="P1656" s="1251">
        <v>1.5925004564119952E-2</v>
      </c>
      <c r="Q1656" s="1252">
        <v>0.15678287157479301</v>
      </c>
    </row>
    <row r="1657" spans="1:17" s="212" customFormat="1" ht="15.5" x14ac:dyDescent="0.35">
      <c r="A1657" s="198">
        <v>2042</v>
      </c>
      <c r="B1657" s="197" t="s">
        <v>5842</v>
      </c>
      <c r="C1657" s="197">
        <v>2005</v>
      </c>
      <c r="D1657" s="213" t="str">
        <f t="shared" si="19"/>
        <v>2042_2005</v>
      </c>
      <c r="E1657" s="1267">
        <v>0.57350459175275603</v>
      </c>
      <c r="F1657" s="1278">
        <v>1.44223159167799E-2</v>
      </c>
      <c r="G1657" s="1248">
        <v>4.1342069967222104</v>
      </c>
      <c r="H1657" s="1278">
        <v>0.26982362779357</v>
      </c>
      <c r="I1657" s="1248">
        <v>0.14950240808888399</v>
      </c>
      <c r="J1657" s="1278">
        <v>1.40924060160091E-4</v>
      </c>
      <c r="K1657" s="1248">
        <v>3.00000086125555E-3</v>
      </c>
      <c r="L1657" s="1250">
        <v>2.0000005741234602E-3</v>
      </c>
      <c r="M1657" s="1273">
        <v>2.0000005741234602E-3</v>
      </c>
      <c r="N1657" s="1248">
        <v>3.1850009128239903E-2</v>
      </c>
      <c r="O1657" s="1249">
        <v>3.1850009128239903E-2</v>
      </c>
      <c r="P1657" s="1251">
        <v>1.5925004564119952E-2</v>
      </c>
      <c r="Q1657" s="1252">
        <v>0.15626224357555299</v>
      </c>
    </row>
    <row r="1658" spans="1:17" s="212" customFormat="1" ht="15.5" x14ac:dyDescent="0.35">
      <c r="A1658" s="198">
        <v>2042</v>
      </c>
      <c r="B1658" s="197" t="s">
        <v>5842</v>
      </c>
      <c r="C1658" s="197">
        <v>2006</v>
      </c>
      <c r="D1658" s="213" t="str">
        <f t="shared" si="19"/>
        <v>2042_2006</v>
      </c>
      <c r="E1658" s="1267">
        <v>0.56977321860212604</v>
      </c>
      <c r="F1658" s="1278">
        <v>1.45861436382338E-2</v>
      </c>
      <c r="G1658" s="1248">
        <v>4.1213325485498897</v>
      </c>
      <c r="H1658" s="1278">
        <v>0.27188207329229902</v>
      </c>
      <c r="I1658" s="1248">
        <v>0.14866142140017599</v>
      </c>
      <c r="J1658" s="1278">
        <v>1.4192522341540301E-4</v>
      </c>
      <c r="K1658" s="1248">
        <v>3.0000008612422499E-3</v>
      </c>
      <c r="L1658" s="1250">
        <v>2.0000005741387401E-3</v>
      </c>
      <c r="M1658" s="1273">
        <v>2.0000005741387401E-3</v>
      </c>
      <c r="N1658" s="1248">
        <v>3.1850009128239903E-2</v>
      </c>
      <c r="O1658" s="1249">
        <v>3.1850009128239903E-2</v>
      </c>
      <c r="P1658" s="1251">
        <v>1.5925004564119952E-2</v>
      </c>
      <c r="Q1658" s="1252">
        <v>0.15538323120060399</v>
      </c>
    </row>
    <row r="1659" spans="1:17" s="212" customFormat="1" ht="15.5" x14ac:dyDescent="0.35">
      <c r="A1659" s="198">
        <v>2042</v>
      </c>
      <c r="B1659" s="197" t="s">
        <v>5842</v>
      </c>
      <c r="C1659" s="197">
        <v>2007</v>
      </c>
      <c r="D1659" s="213" t="str">
        <f t="shared" si="19"/>
        <v>2042_2007</v>
      </c>
      <c r="E1659" s="1267">
        <v>0.33242511587747098</v>
      </c>
      <c r="F1659" s="1278">
        <v>1.45239557656636E-2</v>
      </c>
      <c r="G1659" s="1248">
        <v>2.4807207535140399</v>
      </c>
      <c r="H1659" s="1278">
        <v>0.27270786992094898</v>
      </c>
      <c r="I1659" s="1248">
        <v>8.73106723365875E-2</v>
      </c>
      <c r="J1659" s="1278">
        <v>1.44967992385417E-4</v>
      </c>
      <c r="K1659" s="1248">
        <v>3.0000008612453399E-3</v>
      </c>
      <c r="L1659" s="1250">
        <v>2.0000005741922502E-3</v>
      </c>
      <c r="M1659" s="1273">
        <v>2.0000005741922502E-3</v>
      </c>
      <c r="N1659" s="1248">
        <v>3.1850009128239903E-2</v>
      </c>
      <c r="O1659" s="1249">
        <v>3.1850009128239903E-2</v>
      </c>
      <c r="P1659" s="1251">
        <v>1.5925004564119952E-2</v>
      </c>
      <c r="Q1659" s="1252">
        <v>9.1258473504277696E-2</v>
      </c>
    </row>
    <row r="1660" spans="1:17" s="212" customFormat="1" ht="15.5" x14ac:dyDescent="0.35">
      <c r="A1660" s="198">
        <v>2042</v>
      </c>
      <c r="B1660" s="197" t="s">
        <v>5842</v>
      </c>
      <c r="C1660" s="197">
        <v>2008</v>
      </c>
      <c r="D1660" s="213" t="str">
        <f t="shared" si="19"/>
        <v>2042_2008</v>
      </c>
      <c r="E1660" s="1267">
        <v>0.33997598668692802</v>
      </c>
      <c r="F1660" s="1278">
        <v>9.8739650698325496E-3</v>
      </c>
      <c r="G1660" s="1248">
        <v>2.5051559596958799</v>
      </c>
      <c r="H1660" s="1278">
        <v>0.158418353397833</v>
      </c>
      <c r="I1660" s="1248">
        <v>8.8895816323509194E-2</v>
      </c>
      <c r="J1660" s="1278">
        <v>1.41234488498834E-4</v>
      </c>
      <c r="K1660" s="1248">
        <v>3.0000008613331199E-3</v>
      </c>
      <c r="L1660" s="1250">
        <v>2.0000005742178699E-3</v>
      </c>
      <c r="M1660" s="1273">
        <v>2.0000005742178699E-3</v>
      </c>
      <c r="N1660" s="1248">
        <v>3.1850009128239903E-2</v>
      </c>
      <c r="O1660" s="1249">
        <v>3.1850009128239903E-2</v>
      </c>
      <c r="P1660" s="1251">
        <v>1.5925004564119952E-2</v>
      </c>
      <c r="Q1660" s="1252">
        <v>9.2915290668315595E-2</v>
      </c>
    </row>
    <row r="1661" spans="1:17" s="212" customFormat="1" ht="15.5" x14ac:dyDescent="0.35">
      <c r="A1661" s="198">
        <v>2042</v>
      </c>
      <c r="B1661" s="197" t="s">
        <v>5842</v>
      </c>
      <c r="C1661" s="197">
        <v>2009</v>
      </c>
      <c r="D1661" s="213" t="str">
        <f t="shared" si="19"/>
        <v>2042_2009</v>
      </c>
      <c r="E1661" s="1267">
        <v>0.338386003768332</v>
      </c>
      <c r="F1661" s="1278">
        <v>4.7988069064664601E-3</v>
      </c>
      <c r="G1661" s="1248">
        <v>2.4999933919411901</v>
      </c>
      <c r="H1661" s="1278">
        <v>4.2923658017334297E-2</v>
      </c>
      <c r="I1661" s="1248">
        <v>8.8545916517675294E-2</v>
      </c>
      <c r="J1661" s="1278">
        <v>1.2982533252019299E-4</v>
      </c>
      <c r="K1661" s="1248">
        <v>3.0000008612930799E-3</v>
      </c>
      <c r="L1661" s="1250">
        <v>2.00000057416153E-3</v>
      </c>
      <c r="M1661" s="1273">
        <v>2.00000057416153E-3</v>
      </c>
      <c r="N1661" s="1248">
        <v>3.1850009128239903E-2</v>
      </c>
      <c r="O1661" s="1249">
        <v>3.1850009128239903E-2</v>
      </c>
      <c r="P1661" s="1251">
        <v>1.5925004564119952E-2</v>
      </c>
      <c r="Q1661" s="1252">
        <v>9.2549569945919299E-2</v>
      </c>
    </row>
    <row r="1662" spans="1:17" s="212" customFormat="1" ht="15.5" x14ac:dyDescent="0.35">
      <c r="A1662" s="198">
        <v>2042</v>
      </c>
      <c r="B1662" s="197" t="s">
        <v>5842</v>
      </c>
      <c r="C1662" s="197">
        <v>2010</v>
      </c>
      <c r="D1662" s="213" t="str">
        <f t="shared" si="19"/>
        <v>2042_2010</v>
      </c>
      <c r="E1662" s="1267">
        <v>9.0258442712356196E-2</v>
      </c>
      <c r="F1662" s="1278">
        <v>4.8035008674791003E-3</v>
      </c>
      <c r="G1662" s="1248">
        <v>0.82433560974328901</v>
      </c>
      <c r="H1662" s="1278">
        <v>4.3255851600363798E-2</v>
      </c>
      <c r="I1662" s="1248">
        <v>2.4792228729521502E-2</v>
      </c>
      <c r="J1662" s="1278">
        <v>1.5845757517900201E-4</v>
      </c>
      <c r="K1662" s="1248">
        <v>3.00000086133856E-3</v>
      </c>
      <c r="L1662" s="1250">
        <v>2.0000005741388298E-3</v>
      </c>
      <c r="M1662" s="1273">
        <v>2.0000005741388298E-3</v>
      </c>
      <c r="N1662" s="1248">
        <v>3.1850009128239903E-2</v>
      </c>
      <c r="O1662" s="1249">
        <v>3.1850009128239903E-2</v>
      </c>
      <c r="P1662" s="1251">
        <v>1.5925004564119952E-2</v>
      </c>
      <c r="Q1662" s="1252">
        <v>2.5913223298784802E-2</v>
      </c>
    </row>
    <row r="1663" spans="1:17" s="212" customFormat="1" ht="15.5" x14ac:dyDescent="0.35">
      <c r="A1663" s="198">
        <v>2042</v>
      </c>
      <c r="B1663" s="197" t="s">
        <v>5842</v>
      </c>
      <c r="C1663" s="197">
        <v>2011</v>
      </c>
      <c r="D1663" s="213" t="str">
        <f t="shared" si="19"/>
        <v>2042_2011</v>
      </c>
      <c r="E1663" s="1267">
        <v>8.94237545290716E-2</v>
      </c>
      <c r="F1663" s="1278">
        <v>5.0030388416084197E-3</v>
      </c>
      <c r="G1663" s="1248">
        <v>0.82098184095778703</v>
      </c>
      <c r="H1663" s="1278">
        <v>4.3183830571960097E-2</v>
      </c>
      <c r="I1663" s="1248">
        <v>2.4637885239362198E-2</v>
      </c>
      <c r="J1663" s="1278">
        <v>2.1682320024402399E-4</v>
      </c>
      <c r="K1663" s="1248">
        <v>3.00000086130998E-3</v>
      </c>
      <c r="L1663" s="1250">
        <v>2.0000005742386098E-3</v>
      </c>
      <c r="M1663" s="1273">
        <v>2.0000005742386098E-3</v>
      </c>
      <c r="N1663" s="1248">
        <v>3.1850009128239903E-2</v>
      </c>
      <c r="O1663" s="1249">
        <v>3.1850009128239903E-2</v>
      </c>
      <c r="P1663" s="1251">
        <v>1.5925004564119952E-2</v>
      </c>
      <c r="Q1663" s="1252">
        <v>2.5751901080889601E-2</v>
      </c>
    </row>
    <row r="1664" spans="1:17" s="212" customFormat="1" ht="15.5" x14ac:dyDescent="0.35">
      <c r="A1664" s="198">
        <v>2042</v>
      </c>
      <c r="B1664" s="197" t="s">
        <v>5842</v>
      </c>
      <c r="C1664" s="197">
        <v>2012</v>
      </c>
      <c r="D1664" s="213" t="str">
        <f t="shared" si="19"/>
        <v>2042_2012</v>
      </c>
      <c r="E1664" s="1267">
        <v>9.0171552758979895E-2</v>
      </c>
      <c r="F1664" s="1278">
        <v>4.9937504074489903E-3</v>
      </c>
      <c r="G1664" s="1248">
        <v>0.82415968599968603</v>
      </c>
      <c r="H1664" s="1278">
        <v>4.3253315680953898E-2</v>
      </c>
      <c r="I1664" s="1248">
        <v>2.4779023748098102E-2</v>
      </c>
      <c r="J1664" s="1278">
        <v>3.1651770547773698E-4</v>
      </c>
      <c r="K1664" s="1248">
        <v>3.0000008613677901E-3</v>
      </c>
      <c r="L1664" s="1250">
        <v>2.0000005742469799E-3</v>
      </c>
      <c r="M1664" s="1273">
        <v>2.0000005742469799E-3</v>
      </c>
      <c r="N1664" s="1248">
        <v>3.1850009128239903E-2</v>
      </c>
      <c r="O1664" s="1249">
        <v>3.1850009128239903E-2</v>
      </c>
      <c r="P1664" s="1251">
        <v>1.5925004564119952E-2</v>
      </c>
      <c r="Q1664" s="1252">
        <v>2.5899421246697699E-2</v>
      </c>
    </row>
    <row r="1665" spans="1:17" s="212" customFormat="1" ht="15.5" x14ac:dyDescent="0.35">
      <c r="A1665" s="198">
        <v>2042</v>
      </c>
      <c r="B1665" s="197" t="s">
        <v>5842</v>
      </c>
      <c r="C1665" s="197">
        <v>2013</v>
      </c>
      <c r="D1665" s="213" t="str">
        <f t="shared" si="19"/>
        <v>2042_2013</v>
      </c>
      <c r="E1665" s="1267">
        <v>9.0125326662630498E-2</v>
      </c>
      <c r="F1665" s="1278">
        <v>5.0568110397591903E-3</v>
      </c>
      <c r="G1665" s="1248">
        <v>0.82313690132133399</v>
      </c>
      <c r="H1665" s="1278">
        <v>4.3090388739955E-2</v>
      </c>
      <c r="I1665" s="1248">
        <v>2.4760823798950098E-2</v>
      </c>
      <c r="J1665" s="1278">
        <v>4.7505800532981601E-4</v>
      </c>
      <c r="K1665" s="1248">
        <v>3.0000008613914899E-3</v>
      </c>
      <c r="L1665" s="1250">
        <v>2.0000005742827399E-3</v>
      </c>
      <c r="M1665" s="1273">
        <v>2.0000005742827399E-3</v>
      </c>
      <c r="N1665" s="1248">
        <v>3.1850009128239903E-2</v>
      </c>
      <c r="O1665" s="1249">
        <v>3.1850009128239903E-2</v>
      </c>
      <c r="P1665" s="1251">
        <v>1.5925004564119952E-2</v>
      </c>
      <c r="Q1665" s="1252">
        <v>2.5880398376610301E-2</v>
      </c>
    </row>
    <row r="1666" spans="1:17" s="212" customFormat="1" ht="15.5" x14ac:dyDescent="0.35">
      <c r="A1666" s="198">
        <v>2042</v>
      </c>
      <c r="B1666" s="197" t="s">
        <v>5842</v>
      </c>
      <c r="C1666" s="197">
        <v>2014</v>
      </c>
      <c r="D1666" s="213" t="str">
        <f t="shared" si="19"/>
        <v>2042_2014</v>
      </c>
      <c r="E1666" s="1267">
        <v>8.9137931741697096E-2</v>
      </c>
      <c r="F1666" s="1278">
        <v>4.9593952592694402E-3</v>
      </c>
      <c r="G1666" s="1248">
        <v>0.81931781449381702</v>
      </c>
      <c r="H1666" s="1278">
        <v>4.3365069248916303E-2</v>
      </c>
      <c r="I1666" s="1248">
        <v>2.4579844188638698E-2</v>
      </c>
      <c r="J1666" s="1278">
        <v>6.5961675141646998E-4</v>
      </c>
      <c r="K1666" s="1248">
        <v>3.00000086132759E-3</v>
      </c>
      <c r="L1666" s="1250">
        <v>2.0000005742376301E-3</v>
      </c>
      <c r="M1666" s="1273">
        <v>2.0000005742376301E-3</v>
      </c>
      <c r="N1666" s="1248">
        <v>3.1850009128239903E-2</v>
      </c>
      <c r="O1666" s="1249">
        <v>3.1850009128239903E-2</v>
      </c>
      <c r="P1666" s="1251">
        <v>1.5925004564119952E-2</v>
      </c>
      <c r="Q1666" s="1252">
        <v>2.5691235671405799E-2</v>
      </c>
    </row>
    <row r="1667" spans="1:17" s="212" customFormat="1" ht="15.5" x14ac:dyDescent="0.35">
      <c r="A1667" s="198">
        <v>2042</v>
      </c>
      <c r="B1667" s="197" t="s">
        <v>5842</v>
      </c>
      <c r="C1667" s="197">
        <v>2015</v>
      </c>
      <c r="D1667" s="213" t="str">
        <f t="shared" si="19"/>
        <v>2042_2015</v>
      </c>
      <c r="E1667" s="1267">
        <v>8.9416312910158294E-2</v>
      </c>
      <c r="F1667" s="1278">
        <v>5.1032245308025199E-3</v>
      </c>
      <c r="G1667" s="1248">
        <v>0.82068962657830202</v>
      </c>
      <c r="H1667" s="1278">
        <v>4.3149072111669601E-2</v>
      </c>
      <c r="I1667" s="1248">
        <v>2.4634219073585401E-2</v>
      </c>
      <c r="J1667" s="1278">
        <v>8.3490664269364402E-4</v>
      </c>
      <c r="K1667" s="1248">
        <v>3.0000008613374099E-3</v>
      </c>
      <c r="L1667" s="1250">
        <v>2.00000057427327E-3</v>
      </c>
      <c r="M1667" s="1273">
        <v>2.00000057427327E-3</v>
      </c>
      <c r="N1667" s="1248">
        <v>3.1850009128239903E-2</v>
      </c>
      <c r="O1667" s="1249">
        <v>3.1850009128239903E-2</v>
      </c>
      <c r="P1667" s="1251">
        <v>1.5925004564119952E-2</v>
      </c>
      <c r="Q1667" s="1252">
        <v>2.5748069147364799E-2</v>
      </c>
    </row>
    <row r="1668" spans="1:17" s="212" customFormat="1" ht="15.5" x14ac:dyDescent="0.35">
      <c r="A1668" s="198">
        <v>2042</v>
      </c>
      <c r="B1668" s="197" t="s">
        <v>5842</v>
      </c>
      <c r="C1668" s="197">
        <v>2016</v>
      </c>
      <c r="D1668" s="213" t="str">
        <f t="shared" si="19"/>
        <v>2042_2016</v>
      </c>
      <c r="E1668" s="1267">
        <v>8.9599408255251797E-2</v>
      </c>
      <c r="F1668" s="1278">
        <v>4.7308865688274696E-3</v>
      </c>
      <c r="G1668" s="1248">
        <v>0.72626401658333495</v>
      </c>
      <c r="H1668" s="1278">
        <v>4.0596795631879401E-2</v>
      </c>
      <c r="I1668" s="1248">
        <v>2.4672128913964999E-2</v>
      </c>
      <c r="J1668" s="1278">
        <v>9.6063041960105797E-4</v>
      </c>
      <c r="K1668" s="1248">
        <v>3.0000008613521299E-3</v>
      </c>
      <c r="L1668" s="1250">
        <v>2.0000005742546898E-3</v>
      </c>
      <c r="M1668" s="1273">
        <v>2.0000005742546898E-3</v>
      </c>
      <c r="N1668" s="1248">
        <v>3.1850009128239903E-2</v>
      </c>
      <c r="O1668" s="1249">
        <v>3.1850009128239903E-2</v>
      </c>
      <c r="P1668" s="1251">
        <v>1.5925004564119952E-2</v>
      </c>
      <c r="Q1668" s="1252">
        <v>2.5787693102503902E-2</v>
      </c>
    </row>
    <row r="1669" spans="1:17" s="212" customFormat="1" ht="15.5" x14ac:dyDescent="0.35">
      <c r="A1669" s="198">
        <v>2042</v>
      </c>
      <c r="B1669" s="197" t="s">
        <v>5842</v>
      </c>
      <c r="C1669" s="197">
        <v>2017</v>
      </c>
      <c r="D1669" s="213" t="str">
        <f t="shared" si="19"/>
        <v>2042_2017</v>
      </c>
      <c r="E1669" s="1267">
        <v>8.85939934863018E-2</v>
      </c>
      <c r="F1669" s="1278">
        <v>4.4982244651537396E-3</v>
      </c>
      <c r="G1669" s="1248">
        <v>0.62747879399698803</v>
      </c>
      <c r="H1669" s="1278">
        <v>3.7942999358040803E-2</v>
      </c>
      <c r="I1669" s="1248">
        <v>2.44803719393294E-2</v>
      </c>
      <c r="J1669" s="1278">
        <v>1.03572965765941E-3</v>
      </c>
      <c r="K1669" s="1248">
        <v>3.0000008612982498E-3</v>
      </c>
      <c r="L1669" s="1250">
        <v>2.00000057430564E-3</v>
      </c>
      <c r="M1669" s="1273">
        <v>2.00000057430564E-3</v>
      </c>
      <c r="N1669" s="1248">
        <v>3.1850009128239903E-2</v>
      </c>
      <c r="O1669" s="1249">
        <v>3.1850009128239903E-2</v>
      </c>
      <c r="P1669" s="1251">
        <v>1.5925004564119952E-2</v>
      </c>
      <c r="Q1669" s="1252">
        <v>2.5587265728384202E-2</v>
      </c>
    </row>
    <row r="1670" spans="1:17" s="212" customFormat="1" ht="15.5" x14ac:dyDescent="0.35">
      <c r="A1670" s="198">
        <v>2042</v>
      </c>
      <c r="B1670" s="197" t="s">
        <v>5842</v>
      </c>
      <c r="C1670" s="197">
        <v>2018</v>
      </c>
      <c r="D1670" s="213" t="str">
        <f t="shared" si="19"/>
        <v>2042_2018</v>
      </c>
      <c r="E1670" s="1267">
        <v>8.9565913139092193E-2</v>
      </c>
      <c r="F1670" s="1278">
        <v>3.9977606564883398E-3</v>
      </c>
      <c r="G1670" s="1248">
        <v>0.52245230002762499</v>
      </c>
      <c r="H1670" s="1278">
        <v>3.4204250255366199E-2</v>
      </c>
      <c r="I1670" s="1248">
        <v>2.4669302059203799E-2</v>
      </c>
      <c r="J1670" s="1278">
        <v>1.0773086306863099E-3</v>
      </c>
      <c r="K1670" s="1248">
        <v>3.00000086135807E-3</v>
      </c>
      <c r="L1670" s="1250">
        <v>2.0000005742577798E-3</v>
      </c>
      <c r="M1670" s="1273">
        <v>2.0000005742577798E-3</v>
      </c>
      <c r="N1670" s="1248">
        <v>3.1850009128239903E-2</v>
      </c>
      <c r="O1670" s="1249">
        <v>3.1850009128239903E-2</v>
      </c>
      <c r="P1670" s="1251">
        <v>1.5925004564119952E-2</v>
      </c>
      <c r="Q1670" s="1252">
        <v>2.5784738429914401E-2</v>
      </c>
    </row>
    <row r="1671" spans="1:17" s="212" customFormat="1" ht="15.5" x14ac:dyDescent="0.35">
      <c r="A1671" s="198">
        <v>2042</v>
      </c>
      <c r="B1671" s="197" t="s">
        <v>5842</v>
      </c>
      <c r="C1671" s="197">
        <v>2019</v>
      </c>
      <c r="D1671" s="213" t="str">
        <f t="shared" si="19"/>
        <v>2042_2019</v>
      </c>
      <c r="E1671" s="1267">
        <v>8.9807599229468293E-2</v>
      </c>
      <c r="F1671" s="1278">
        <v>3.4752663948109199E-3</v>
      </c>
      <c r="G1671" s="1248">
        <v>0.45348753904651501</v>
      </c>
      <c r="H1671" s="1278">
        <v>3.03045517945356E-2</v>
      </c>
      <c r="I1671" s="1248">
        <v>2.4675678123189701E-2</v>
      </c>
      <c r="J1671" s="1278">
        <v>1.09958990075238E-3</v>
      </c>
      <c r="K1671" s="1248">
        <v>3.0000008614070998E-3</v>
      </c>
      <c r="L1671" s="1250">
        <v>2.0000005742127299E-3</v>
      </c>
      <c r="M1671" s="1273">
        <v>2.0000005742127299E-3</v>
      </c>
      <c r="N1671" s="1248">
        <v>3.1850009128239903E-2</v>
      </c>
      <c r="O1671" s="1249">
        <v>3.1850009128239903E-2</v>
      </c>
      <c r="P1671" s="1251">
        <v>1.5925004564119952E-2</v>
      </c>
      <c r="Q1671" s="1252">
        <v>2.5791402791220299E-2</v>
      </c>
    </row>
    <row r="1672" spans="1:17" s="212" customFormat="1" ht="15.5" x14ac:dyDescent="0.35">
      <c r="A1672" s="198">
        <v>2042</v>
      </c>
      <c r="B1672" s="197" t="s">
        <v>5842</v>
      </c>
      <c r="C1672" s="197">
        <v>2020</v>
      </c>
      <c r="D1672" s="213" t="str">
        <f t="shared" si="19"/>
        <v>2042_2020</v>
      </c>
      <c r="E1672" s="1267">
        <v>7.8836698151157306E-2</v>
      </c>
      <c r="F1672" s="1278">
        <v>2.8430000626487001E-3</v>
      </c>
      <c r="G1672" s="1248">
        <v>0.358236873781973</v>
      </c>
      <c r="H1672" s="1278">
        <v>2.66226699657395E-2</v>
      </c>
      <c r="I1672" s="1248">
        <v>2.24597409585683E-2</v>
      </c>
      <c r="J1672" s="1278">
        <v>1.08631138078861E-3</v>
      </c>
      <c r="K1672" s="1248">
        <v>3.0000008609792198E-3</v>
      </c>
      <c r="L1672" s="1250">
        <v>2.00000057408313E-3</v>
      </c>
      <c r="M1672" s="1273">
        <v>2.00000057408313E-3</v>
      </c>
      <c r="N1672" s="1248">
        <v>3.1850009128239903E-2</v>
      </c>
      <c r="O1672" s="1249">
        <v>3.1850009128239903E-2</v>
      </c>
      <c r="P1672" s="1251">
        <v>1.5925004564119952E-2</v>
      </c>
      <c r="Q1672" s="1252">
        <v>2.34752707810903E-2</v>
      </c>
    </row>
    <row r="1673" spans="1:17" s="212" customFormat="1" ht="15.5" x14ac:dyDescent="0.35">
      <c r="A1673" s="198">
        <v>2042</v>
      </c>
      <c r="B1673" s="197" t="s">
        <v>5842</v>
      </c>
      <c r="C1673" s="197">
        <v>2021</v>
      </c>
      <c r="D1673" s="213" t="str">
        <f t="shared" si="19"/>
        <v>2042_2021</v>
      </c>
      <c r="E1673" s="1267">
        <v>7.8653767013570797E-2</v>
      </c>
      <c r="F1673" s="1278">
        <v>2.4241670041888499E-3</v>
      </c>
      <c r="G1673" s="1248">
        <v>0.29239188761593699</v>
      </c>
      <c r="H1673" s="1278">
        <v>2.2633465761367998E-2</v>
      </c>
      <c r="I1673" s="1248">
        <v>2.2299056396155901E-2</v>
      </c>
      <c r="J1673" s="1278">
        <v>1.08648036084905E-3</v>
      </c>
      <c r="K1673" s="1248">
        <v>3.0000008609815001E-3</v>
      </c>
      <c r="L1673" s="1250">
        <v>2.00000057408485E-3</v>
      </c>
      <c r="M1673" s="1273">
        <v>2.00000057408485E-3</v>
      </c>
      <c r="N1673" s="1248">
        <v>3.1850009128239903E-2</v>
      </c>
      <c r="O1673" s="1249">
        <v>3.1850009128239903E-2</v>
      </c>
      <c r="P1673" s="1251">
        <v>1.5925004564119952E-2</v>
      </c>
      <c r="Q1673" s="1252">
        <v>2.3307320775792902E-2</v>
      </c>
    </row>
    <row r="1674" spans="1:17" s="212" customFormat="1" ht="15.5" x14ac:dyDescent="0.35">
      <c r="A1674" s="198">
        <v>2042</v>
      </c>
      <c r="B1674" s="197" t="s">
        <v>5842</v>
      </c>
      <c r="C1674" s="197">
        <v>2022</v>
      </c>
      <c r="D1674" s="213" t="str">
        <f t="shared" si="19"/>
        <v>2042_2022</v>
      </c>
      <c r="E1674" s="1267">
        <v>7.8391717996386501E-2</v>
      </c>
      <c r="F1674" s="1278">
        <v>2.0026667206721198E-3</v>
      </c>
      <c r="G1674" s="1248">
        <v>0.22544465069091901</v>
      </c>
      <c r="H1674" s="1278">
        <v>1.8625121091037099E-2</v>
      </c>
      <c r="I1674" s="1248">
        <v>2.20784571729612E-2</v>
      </c>
      <c r="J1674" s="1278">
        <v>1.08664186347311E-3</v>
      </c>
      <c r="K1674" s="1248">
        <v>3.0000008609837102E-3</v>
      </c>
      <c r="L1674" s="1250">
        <v>2.0000005740865101E-3</v>
      </c>
      <c r="M1674" s="1273">
        <v>2.0000005740865101E-3</v>
      </c>
      <c r="N1674" s="1248">
        <v>3.1850009128239903E-2</v>
      </c>
      <c r="O1674" s="1249">
        <v>3.1850009128239903E-2</v>
      </c>
      <c r="P1674" s="1251">
        <v>1.5925004564119952E-2</v>
      </c>
      <c r="Q1674" s="1252">
        <v>2.3076747034619802E-2</v>
      </c>
    </row>
    <row r="1675" spans="1:17" s="212" customFormat="1" ht="15.5" x14ac:dyDescent="0.35">
      <c r="A1675" s="198">
        <v>2042</v>
      </c>
      <c r="B1675" s="197" t="s">
        <v>5842</v>
      </c>
      <c r="C1675" s="197">
        <v>2023</v>
      </c>
      <c r="D1675" s="213" t="str">
        <f t="shared" si="19"/>
        <v>2042_2023</v>
      </c>
      <c r="E1675" s="1267">
        <v>7.8050670410847303E-2</v>
      </c>
      <c r="F1675" s="1278">
        <v>1.99255592609166E-3</v>
      </c>
      <c r="G1675" s="1248">
        <v>0.223610094451171</v>
      </c>
      <c r="H1675" s="1278">
        <v>1.8439047280374699E-2</v>
      </c>
      <c r="I1675" s="1248">
        <v>2.1797924400651099E-2</v>
      </c>
      <c r="J1675" s="1278">
        <v>1.08679476569094E-3</v>
      </c>
      <c r="K1675" s="1248">
        <v>3.00000086098584E-3</v>
      </c>
      <c r="L1675" s="1250">
        <v>2.00000057408811E-3</v>
      </c>
      <c r="M1675" s="1273">
        <v>2.00000057408811E-3</v>
      </c>
      <c r="N1675" s="1248">
        <v>3.1850009128239903E-2</v>
      </c>
      <c r="O1675" s="1249">
        <v>3.1850009128239903E-2</v>
      </c>
      <c r="P1675" s="1251">
        <v>1.5925004564119952E-2</v>
      </c>
      <c r="Q1675" s="1252">
        <v>2.2783529815191501E-2</v>
      </c>
    </row>
    <row r="1676" spans="1:17" s="212" customFormat="1" ht="15.5" x14ac:dyDescent="0.35">
      <c r="A1676" s="198">
        <v>2042</v>
      </c>
      <c r="B1676" s="197" t="s">
        <v>5842</v>
      </c>
      <c r="C1676" s="197">
        <v>2024</v>
      </c>
      <c r="D1676" s="213" t="str">
        <f t="shared" si="19"/>
        <v>2042_2024</v>
      </c>
      <c r="E1676" s="1267">
        <v>7.7629997110016405E-2</v>
      </c>
      <c r="F1676" s="1278">
        <v>1.9775951594334699E-3</v>
      </c>
      <c r="G1676" s="1248">
        <v>0.22138102841068</v>
      </c>
      <c r="H1676" s="1278">
        <v>1.8188670043354602E-2</v>
      </c>
      <c r="I1676" s="1248">
        <v>2.1457319971896399E-2</v>
      </c>
      <c r="J1676" s="1278">
        <v>1.08693810372856E-3</v>
      </c>
      <c r="K1676" s="1248">
        <v>3.00000086098787E-3</v>
      </c>
      <c r="L1676" s="1250">
        <v>2.00000057408963E-3</v>
      </c>
      <c r="M1676" s="1275">
        <v>2.0000005740185602E-3</v>
      </c>
      <c r="N1676" s="1248">
        <v>3.1850009128239903E-2</v>
      </c>
      <c r="O1676" s="1249">
        <v>3.1850009128239903E-2</v>
      </c>
      <c r="P1676" s="1260">
        <v>1.59250045641199E-2</v>
      </c>
      <c r="Q1676" s="1252">
        <v>2.2427524765578299E-2</v>
      </c>
    </row>
    <row r="1677" spans="1:17" s="212" customFormat="1" ht="15.5" x14ac:dyDescent="0.35">
      <c r="A1677" s="198">
        <v>2042</v>
      </c>
      <c r="B1677" s="197" t="s">
        <v>5842</v>
      </c>
      <c r="C1677" s="197">
        <v>2025</v>
      </c>
      <c r="D1677" s="213" t="str">
        <f t="shared" si="19"/>
        <v>2042_2025</v>
      </c>
      <c r="E1677" s="1267">
        <v>7.7129048237818604E-2</v>
      </c>
      <c r="F1677" s="1278">
        <v>1.9590663209747301E-3</v>
      </c>
      <c r="G1677" s="1248">
        <v>0.21875643920726501</v>
      </c>
      <c r="H1677" s="1278">
        <v>1.7886856484330801E-2</v>
      </c>
      <c r="I1677" s="1248">
        <v>2.1056498470441401E-2</v>
      </c>
      <c r="J1677" s="1278">
        <v>1.08706917021451E-3</v>
      </c>
      <c r="K1677" s="1248">
        <v>3.00000086098978E-3</v>
      </c>
      <c r="L1677" s="1250">
        <v>2.0000005740910499E-3</v>
      </c>
      <c r="M1677" s="1275">
        <v>2.0000005740198399E-3</v>
      </c>
      <c r="N1677" s="1248">
        <v>3.1850009128239903E-2</v>
      </c>
      <c r="O1677" s="1249">
        <v>3.1850009128239903E-2</v>
      </c>
      <c r="P1677" s="1260">
        <v>1.59250045641199E-2</v>
      </c>
      <c r="Q1677" s="1252">
        <v>2.2008579894446701E-2</v>
      </c>
    </row>
    <row r="1678" spans="1:17" s="212" customFormat="1" ht="15.5" x14ac:dyDescent="0.35">
      <c r="A1678" s="198">
        <v>2042</v>
      </c>
      <c r="B1678" s="197" t="s">
        <v>5842</v>
      </c>
      <c r="C1678" s="197">
        <v>2026</v>
      </c>
      <c r="D1678" s="213" t="str">
        <f t="shared" si="19"/>
        <v>2042_2026</v>
      </c>
      <c r="E1678" s="1267">
        <v>7.6549945735726099E-2</v>
      </c>
      <c r="F1678" s="1278">
        <v>1.93820056245178E-3</v>
      </c>
      <c r="G1678" s="1248">
        <v>0.21576302337735301</v>
      </c>
      <c r="H1678" s="1278">
        <v>1.75465248260929E-2</v>
      </c>
      <c r="I1678" s="1248">
        <v>2.0595857118717299E-2</v>
      </c>
      <c r="J1678" s="1278">
        <v>1.08720044091791E-3</v>
      </c>
      <c r="K1678" s="1248">
        <v>3.0000008609916899E-3</v>
      </c>
      <c r="L1678" s="1250">
        <v>2.0000005740924802E-3</v>
      </c>
      <c r="M1678" s="1275">
        <v>2.0000005740214801E-3</v>
      </c>
      <c r="N1678" s="1248">
        <v>3.1850009128239903E-2</v>
      </c>
      <c r="O1678" s="1249">
        <v>3.1850009128239903E-2</v>
      </c>
      <c r="P1678" s="1260">
        <v>1.59250045641199E-2</v>
      </c>
      <c r="Q1678" s="1252">
        <v>2.15271103848633E-2</v>
      </c>
    </row>
    <row r="1679" spans="1:17" s="212" customFormat="1" ht="15.5" x14ac:dyDescent="0.35">
      <c r="A1679" s="198">
        <v>2042</v>
      </c>
      <c r="B1679" s="197" t="s">
        <v>5842</v>
      </c>
      <c r="C1679" s="197">
        <v>2027</v>
      </c>
      <c r="D1679" s="213" t="str">
        <f t="shared" si="19"/>
        <v>2042_2027</v>
      </c>
      <c r="E1679" s="1267">
        <v>7.5894140708700999E-2</v>
      </c>
      <c r="F1679" s="1278">
        <v>1.92180297169144E-3</v>
      </c>
      <c r="G1679" s="1248">
        <v>0.21235547384680001</v>
      </c>
      <c r="H1679" s="1278">
        <v>1.7232543033792801E-2</v>
      </c>
      <c r="I1679" s="1248">
        <v>2.0075620194952799E-2</v>
      </c>
      <c r="J1679" s="1278">
        <v>1.0873366768157601E-3</v>
      </c>
      <c r="K1679" s="1248">
        <v>3.0000008609936701E-3</v>
      </c>
      <c r="L1679" s="1250">
        <v>2.0000005740939699E-3</v>
      </c>
      <c r="M1679" s="1275">
        <v>2.0000005740226702E-3</v>
      </c>
      <c r="N1679" s="1248">
        <v>3.1850009128239903E-2</v>
      </c>
      <c r="O1679" s="1249">
        <v>3.1850009128239903E-2</v>
      </c>
      <c r="P1679" s="1260">
        <v>1.59250045641199E-2</v>
      </c>
      <c r="Q1679" s="1252">
        <v>2.09833506559233E-2</v>
      </c>
    </row>
    <row r="1680" spans="1:17" s="212" customFormat="1" ht="15.5" x14ac:dyDescent="0.35">
      <c r="A1680" s="198">
        <v>2042</v>
      </c>
      <c r="B1680" s="197" t="s">
        <v>5842</v>
      </c>
      <c r="C1680" s="197">
        <v>2028</v>
      </c>
      <c r="D1680" s="213" t="str">
        <f t="shared" si="19"/>
        <v>2042_2028</v>
      </c>
      <c r="E1680" s="1267">
        <v>7.5160674447791398E-2</v>
      </c>
      <c r="F1680" s="1278">
        <v>1.9120713919941301E-3</v>
      </c>
      <c r="G1680" s="1248">
        <v>0.20855601967776699</v>
      </c>
      <c r="H1680" s="1278">
        <v>1.6968595019196599E-2</v>
      </c>
      <c r="I1680" s="1248">
        <v>1.94955742677329E-2</v>
      </c>
      <c r="J1680" s="1278">
        <v>1.08747485909876E-3</v>
      </c>
      <c r="K1680" s="1248">
        <v>3.0000008609956902E-3</v>
      </c>
      <c r="L1680" s="1250">
        <v>2.00000057409548E-3</v>
      </c>
      <c r="M1680" s="1275">
        <v>2.0000005740238701E-3</v>
      </c>
      <c r="N1680" s="1248">
        <v>3.1850009128239903E-2</v>
      </c>
      <c r="O1680" s="1249">
        <v>3.1850009128239903E-2</v>
      </c>
      <c r="P1680" s="1260">
        <v>1.59250045641199E-2</v>
      </c>
      <c r="Q1680" s="1252">
        <v>2.0377077625790201E-2</v>
      </c>
    </row>
    <row r="1681" spans="1:17" s="212" customFormat="1" ht="15.5" x14ac:dyDescent="0.35">
      <c r="A1681" s="198">
        <v>2042</v>
      </c>
      <c r="B1681" s="197" t="s">
        <v>5842</v>
      </c>
      <c r="C1681" s="197">
        <v>2029</v>
      </c>
      <c r="D1681" s="213" t="str">
        <f t="shared" si="19"/>
        <v>2042_2029</v>
      </c>
      <c r="E1681" s="1267">
        <v>7.4349088547561296E-2</v>
      </c>
      <c r="F1681" s="1278">
        <v>1.91181453351695E-3</v>
      </c>
      <c r="G1681" s="1248">
        <v>0.204364004119718</v>
      </c>
      <c r="H1681" s="1278">
        <v>1.6782488946323799E-2</v>
      </c>
      <c r="I1681" s="1248">
        <v>1.88556033182085E-2</v>
      </c>
      <c r="J1681" s="1278">
        <v>1.08761408095101E-3</v>
      </c>
      <c r="K1681" s="1248">
        <v>3.0000008609977198E-3</v>
      </c>
      <c r="L1681" s="1250">
        <v>2.000000574097E-3</v>
      </c>
      <c r="M1681" s="1275">
        <v>2.0000005740253199E-3</v>
      </c>
      <c r="N1681" s="1248">
        <v>3.1850009128239903E-2</v>
      </c>
      <c r="O1681" s="1249">
        <v>3.1850009128239903E-2</v>
      </c>
      <c r="P1681" s="1260">
        <v>1.59250045641199E-2</v>
      </c>
      <c r="Q1681" s="1252">
        <v>1.9708170029757398E-2</v>
      </c>
    </row>
    <row r="1682" spans="1:17" s="212" customFormat="1" ht="15.5" x14ac:dyDescent="0.35">
      <c r="A1682" s="198">
        <v>2042</v>
      </c>
      <c r="B1682" s="197" t="s">
        <v>5842</v>
      </c>
      <c r="C1682" s="197">
        <v>2030</v>
      </c>
      <c r="D1682" s="213" t="str">
        <f t="shared" si="19"/>
        <v>2042_2030</v>
      </c>
      <c r="E1682" s="1267">
        <v>7.3459586956924505E-2</v>
      </c>
      <c r="F1682" s="1278">
        <v>1.92176781986383E-3</v>
      </c>
      <c r="G1682" s="1248">
        <v>0.19977939565981101</v>
      </c>
      <c r="H1682" s="1278">
        <v>1.66803882450921E-2</v>
      </c>
      <c r="I1682" s="1248">
        <v>1.8155697961726201E-2</v>
      </c>
      <c r="J1682" s="1278">
        <v>1.08775444068066E-3</v>
      </c>
      <c r="K1682" s="1248">
        <v>3.0000008609997802E-3</v>
      </c>
      <c r="L1682" s="1250">
        <v>2.00000057409854E-3</v>
      </c>
      <c r="M1682" s="1275">
        <v>2.0000005740268001E-3</v>
      </c>
      <c r="N1682" s="1248">
        <v>3.1850009128239903E-2</v>
      </c>
      <c r="O1682" s="1249">
        <v>3.1850009128239903E-2</v>
      </c>
      <c r="P1682" s="1260">
        <v>1.59250045641199E-2</v>
      </c>
      <c r="Q1682" s="1252">
        <v>1.89766180588389E-2</v>
      </c>
    </row>
    <row r="1683" spans="1:17" s="212" customFormat="1" ht="15.5" x14ac:dyDescent="0.35">
      <c r="A1683" s="198">
        <v>2042</v>
      </c>
      <c r="B1683" s="197" t="s">
        <v>5842</v>
      </c>
      <c r="C1683" s="197">
        <v>2031</v>
      </c>
      <c r="D1683" s="213" t="str">
        <f t="shared" si="19"/>
        <v>2042_2031</v>
      </c>
      <c r="E1683" s="1267">
        <v>7.2492403810719794E-2</v>
      </c>
      <c r="F1683" s="1278">
        <v>1.93982650376642E-3</v>
      </c>
      <c r="G1683" s="1248">
        <v>0.19480239332320001</v>
      </c>
      <c r="H1683" s="1278">
        <v>1.66391797605774E-2</v>
      </c>
      <c r="I1683" s="1248">
        <v>1.7395855712858E-2</v>
      </c>
      <c r="J1683" s="1278">
        <v>1.08789748081354E-3</v>
      </c>
      <c r="K1683" s="1248">
        <v>3.0000008610018901E-3</v>
      </c>
      <c r="L1683" s="1250">
        <v>2.0000005741001299E-3</v>
      </c>
      <c r="M1683" s="1275">
        <v>2.0000005740283401E-3</v>
      </c>
      <c r="N1683" s="1248">
        <v>3.1850009128239903E-2</v>
      </c>
      <c r="O1683" s="1249">
        <v>3.1850009128239903E-2</v>
      </c>
      <c r="P1683" s="1260">
        <v>1.59250045641199E-2</v>
      </c>
      <c r="Q1683" s="1252">
        <v>1.8182419115227E-2</v>
      </c>
    </row>
    <row r="1684" spans="1:17" s="212" customFormat="1" ht="15.5" x14ac:dyDescent="0.35">
      <c r="A1684" s="198">
        <v>2042</v>
      </c>
      <c r="B1684" s="197" t="s">
        <v>5842</v>
      </c>
      <c r="C1684" s="197">
        <v>2032</v>
      </c>
      <c r="D1684" s="213" t="str">
        <f t="shared" si="19"/>
        <v>2042_2032</v>
      </c>
      <c r="E1684" s="1267">
        <v>7.1446838459228099E-2</v>
      </c>
      <c r="F1684" s="1278">
        <v>1.96106696239196E-3</v>
      </c>
      <c r="G1684" s="1248">
        <v>0.18943201398824899</v>
      </c>
      <c r="H1684" s="1278">
        <v>1.66071388987598E-2</v>
      </c>
      <c r="I1684" s="1248">
        <v>1.65759197253144E-2</v>
      </c>
      <c r="J1684" s="1278">
        <v>1.08804142517958E-3</v>
      </c>
      <c r="K1684" s="1248">
        <v>3.0000008610040299E-3</v>
      </c>
      <c r="L1684" s="1250">
        <v>2.0000005741017202E-3</v>
      </c>
      <c r="M1684" s="1275">
        <v>2.0000005740299399E-3</v>
      </c>
      <c r="N1684" s="1248">
        <v>3.1850009128239903E-2</v>
      </c>
      <c r="O1684" s="1249">
        <v>3.1850009128239903E-2</v>
      </c>
      <c r="P1684" s="1260">
        <v>1.59250045641199E-2</v>
      </c>
      <c r="Q1684" s="1252">
        <v>1.7325409260738701E-2</v>
      </c>
    </row>
    <row r="1685" spans="1:17" s="212" customFormat="1" ht="15.5" x14ac:dyDescent="0.35">
      <c r="A1685" s="198">
        <v>2042</v>
      </c>
      <c r="B1685" s="197" t="s">
        <v>5842</v>
      </c>
      <c r="C1685" s="197">
        <v>2033</v>
      </c>
      <c r="D1685" s="213" t="str">
        <f t="shared" si="19"/>
        <v>2042_2033</v>
      </c>
      <c r="E1685" s="1267">
        <v>7.0323102344520799E-2</v>
      </c>
      <c r="F1685" s="1278">
        <v>1.97909794546368E-3</v>
      </c>
      <c r="G1685" s="1248">
        <v>0.183668263810294</v>
      </c>
      <c r="H1685" s="1278">
        <v>1.6517163143365501E-2</v>
      </c>
      <c r="I1685" s="1248">
        <v>1.5695874546519301E-2</v>
      </c>
      <c r="J1685" s="1278">
        <v>1.0881867806774399E-3</v>
      </c>
      <c r="K1685" s="1248">
        <v>3.00000086100619E-3</v>
      </c>
      <c r="L1685" s="1250">
        <v>2.00000057410334E-3</v>
      </c>
      <c r="M1685" s="1275">
        <v>2.0000005740313598E-3</v>
      </c>
      <c r="N1685" s="1248">
        <v>3.1850009128239903E-2</v>
      </c>
      <c r="O1685" s="1249">
        <v>3.1850009128239903E-2</v>
      </c>
      <c r="P1685" s="1260">
        <v>1.59250045641199E-2</v>
      </c>
      <c r="Q1685" s="1252">
        <v>1.6405572344101099E-2</v>
      </c>
    </row>
    <row r="1686" spans="1:17" s="212" customFormat="1" ht="15.5" x14ac:dyDescent="0.35">
      <c r="A1686" s="198">
        <v>2042</v>
      </c>
      <c r="B1686" s="197" t="s">
        <v>5842</v>
      </c>
      <c r="C1686" s="197">
        <v>2034</v>
      </c>
      <c r="D1686" s="213" t="str">
        <f t="shared" si="19"/>
        <v>2042_2034</v>
      </c>
      <c r="E1686" s="1267">
        <v>6.9121442425315704E-2</v>
      </c>
      <c r="F1686" s="1278">
        <v>1.98880739602744E-3</v>
      </c>
      <c r="G1686" s="1248">
        <v>0.177511335064123</v>
      </c>
      <c r="H1686" s="1278">
        <v>1.6315209735709199E-2</v>
      </c>
      <c r="I1686" s="1248">
        <v>1.47557087966615E-2</v>
      </c>
      <c r="J1686" s="1278">
        <v>1.0883355089879301E-3</v>
      </c>
      <c r="K1686" s="1248">
        <v>3.0000008610084001E-3</v>
      </c>
      <c r="L1686" s="1250">
        <v>2.0000005741050001E-3</v>
      </c>
      <c r="M1686" s="1275">
        <v>2.0000005740329202E-3</v>
      </c>
      <c r="N1686" s="1248">
        <v>3.1850009128239903E-2</v>
      </c>
      <c r="O1686" s="1249">
        <v>3.1850009128239903E-2</v>
      </c>
      <c r="P1686" s="1260">
        <v>1.59250045641199E-2</v>
      </c>
      <c r="Q1686" s="1252">
        <v>1.54228964709585E-2</v>
      </c>
    </row>
    <row r="1687" spans="1:17" s="212" customFormat="1" ht="15.5" x14ac:dyDescent="0.35">
      <c r="A1687" s="198">
        <v>2042</v>
      </c>
      <c r="B1687" s="197" t="s">
        <v>5842</v>
      </c>
      <c r="C1687" s="197">
        <v>2035</v>
      </c>
      <c r="D1687" s="213" t="str">
        <f t="shared" si="19"/>
        <v>2042_2035</v>
      </c>
      <c r="E1687" s="1267">
        <v>6.7841602687020094E-2</v>
      </c>
      <c r="F1687" s="1278">
        <v>1.9904258386746602E-3</v>
      </c>
      <c r="G1687" s="1248">
        <v>0.17096073913941301</v>
      </c>
      <c r="H1687" s="1278">
        <v>1.6002188962857902E-2</v>
      </c>
      <c r="I1687" s="1248">
        <v>1.37553257611693E-2</v>
      </c>
      <c r="J1687" s="1278">
        <v>1.0884870899512901E-3</v>
      </c>
      <c r="K1687" s="1248">
        <v>3.0000008610106799E-3</v>
      </c>
      <c r="L1687" s="1250">
        <v>2.0000005741067002E-3</v>
      </c>
      <c r="M1687" s="1275">
        <v>2.00000057403471E-3</v>
      </c>
      <c r="N1687" s="1248">
        <v>3.1850009128239903E-2</v>
      </c>
      <c r="O1687" s="1249">
        <v>3.1850009128239903E-2</v>
      </c>
      <c r="P1687" s="1260">
        <v>1.59250045641199E-2</v>
      </c>
      <c r="Q1687" s="1252">
        <v>1.43772805537353E-2</v>
      </c>
    </row>
    <row r="1688" spans="1:17" s="212" customFormat="1" ht="15.5" x14ac:dyDescent="0.35">
      <c r="A1688" s="198">
        <v>2042</v>
      </c>
      <c r="B1688" s="197" t="s">
        <v>5842</v>
      </c>
      <c r="C1688" s="197">
        <v>2036</v>
      </c>
      <c r="D1688" s="213" t="str">
        <f t="shared" si="19"/>
        <v>2042_2036</v>
      </c>
      <c r="E1688" s="1267">
        <v>6.6483459070124998E-2</v>
      </c>
      <c r="F1688" s="1278">
        <v>1.9941106639411801E-3</v>
      </c>
      <c r="G1688" s="1248">
        <v>0.16401607604443</v>
      </c>
      <c r="H1688" s="1278">
        <v>1.56806732874952E-2</v>
      </c>
      <c r="I1688" s="1248">
        <v>1.26946449437128E-2</v>
      </c>
      <c r="J1688" s="1278">
        <v>1.08864132613007E-3</v>
      </c>
      <c r="K1688" s="1248">
        <v>3.0000008610130001E-3</v>
      </c>
      <c r="L1688" s="1250">
        <v>2.0000005741084501E-3</v>
      </c>
      <c r="M1688" s="1275">
        <v>2.0000005740364998E-3</v>
      </c>
      <c r="N1688" s="1248">
        <v>3.1850009128239903E-2</v>
      </c>
      <c r="O1688" s="1249">
        <v>3.1850009128239903E-2</v>
      </c>
      <c r="P1688" s="1260">
        <v>1.59250045641199E-2</v>
      </c>
      <c r="Q1688" s="1252">
        <v>1.32686404564148E-2</v>
      </c>
    </row>
    <row r="1689" spans="1:17" s="212" customFormat="1" ht="15.5" x14ac:dyDescent="0.35">
      <c r="A1689" s="198">
        <v>2042</v>
      </c>
      <c r="B1689" s="197" t="s">
        <v>5842</v>
      </c>
      <c r="C1689" s="197">
        <v>2037</v>
      </c>
      <c r="D1689" s="213" t="str">
        <f t="shared" si="19"/>
        <v>2042_2037</v>
      </c>
      <c r="E1689" s="1267">
        <v>6.5046514261663302E-2</v>
      </c>
      <c r="F1689" s="1278">
        <v>2.0230052247434301E-3</v>
      </c>
      <c r="G1689" s="1248">
        <v>0.15667658637113599</v>
      </c>
      <c r="H1689" s="1278">
        <v>1.55867276459902E-2</v>
      </c>
      <c r="I1689" s="1248">
        <v>1.1573540025276399E-2</v>
      </c>
      <c r="J1689" s="1278">
        <v>1.08879664492647E-3</v>
      </c>
      <c r="K1689" s="1248">
        <v>3.0000008610153602E-3</v>
      </c>
      <c r="L1689" s="1250">
        <v>2.0000005741102099E-3</v>
      </c>
      <c r="M1689" s="1275">
        <v>2.0000005740385398E-3</v>
      </c>
      <c r="N1689" s="1248">
        <v>3.1850009128239903E-2</v>
      </c>
      <c r="O1689" s="1249">
        <v>3.1850009128239903E-2</v>
      </c>
      <c r="P1689" s="1260">
        <v>1.59250045641199E-2</v>
      </c>
      <c r="Q1689" s="1252">
        <v>1.20968441483961E-2</v>
      </c>
    </row>
    <row r="1690" spans="1:17" s="212" customFormat="1" ht="15.5" x14ac:dyDescent="0.35">
      <c r="A1690" s="198">
        <v>2042</v>
      </c>
      <c r="B1690" s="197" t="s">
        <v>5842</v>
      </c>
      <c r="C1690" s="197">
        <v>2038</v>
      </c>
      <c r="D1690" s="213" t="str">
        <f t="shared" si="19"/>
        <v>2042_2038</v>
      </c>
      <c r="E1690" s="1267">
        <v>6.3530218939190905E-2</v>
      </c>
      <c r="F1690" s="1278">
        <v>2.1112794490408E-3</v>
      </c>
      <c r="G1690" s="1248">
        <v>0.14894161120677099</v>
      </c>
      <c r="H1690" s="1278">
        <v>1.6070726645509299E-2</v>
      </c>
      <c r="I1690" s="1248">
        <v>1.03918928044984E-2</v>
      </c>
      <c r="J1690" s="1278">
        <v>1.08895248796029E-3</v>
      </c>
      <c r="K1690" s="1248">
        <v>3.0000008610177298E-3</v>
      </c>
      <c r="L1690" s="1250">
        <v>2.0000005741119798E-3</v>
      </c>
      <c r="M1690" s="1275">
        <v>2.0000005740407598E-3</v>
      </c>
      <c r="N1690" s="1248">
        <v>3.1850009128239903E-2</v>
      </c>
      <c r="O1690" s="1249">
        <v>3.1850009128239903E-2</v>
      </c>
      <c r="P1690" s="1260">
        <v>1.59250045641199E-2</v>
      </c>
      <c r="Q1690" s="1252">
        <v>1.08617680837765E-2</v>
      </c>
    </row>
    <row r="1691" spans="1:17" s="212" customFormat="1" ht="15.5" x14ac:dyDescent="0.35">
      <c r="A1691" s="198">
        <v>2042</v>
      </c>
      <c r="B1691" s="197" t="s">
        <v>5842</v>
      </c>
      <c r="C1691" s="197">
        <v>2039</v>
      </c>
      <c r="D1691" s="213" t="str">
        <f t="shared" si="19"/>
        <v>2042_2039</v>
      </c>
      <c r="E1691" s="1267">
        <v>6.19351541243627E-2</v>
      </c>
      <c r="F1691" s="1278">
        <v>2.29130954102262E-3</v>
      </c>
      <c r="G1691" s="1248">
        <v>0.14081150801732001</v>
      </c>
      <c r="H1691" s="1278">
        <v>1.74683210667953E-2</v>
      </c>
      <c r="I1691" s="1248">
        <v>9.1497059907333297E-3</v>
      </c>
      <c r="J1691" s="1278">
        <v>1.0891113105652901E-3</v>
      </c>
      <c r="K1691" s="1248">
        <v>3.0000008610201398E-3</v>
      </c>
      <c r="L1691" s="1250">
        <v>2.00000057411379E-3</v>
      </c>
      <c r="M1691" s="1275">
        <v>2.00000057404308E-3</v>
      </c>
      <c r="N1691" s="1248">
        <v>3.1850009128239903E-2</v>
      </c>
      <c r="O1691" s="1249">
        <v>3.1850009128239903E-2</v>
      </c>
      <c r="P1691" s="1260">
        <v>1.59250045641199E-2</v>
      </c>
      <c r="Q1691" s="1252">
        <v>9.5634150944152799E-3</v>
      </c>
    </row>
    <row r="1692" spans="1:17" s="212" customFormat="1" ht="15.5" x14ac:dyDescent="0.35">
      <c r="A1692" s="198">
        <v>2042</v>
      </c>
      <c r="B1692" s="197" t="s">
        <v>5842</v>
      </c>
      <c r="C1692" s="197">
        <v>2040</v>
      </c>
      <c r="D1692" s="213" t="str">
        <f t="shared" si="19"/>
        <v>2042_2040</v>
      </c>
      <c r="E1692" s="1267">
        <v>6.0260904836774903E-2</v>
      </c>
      <c r="F1692" s="1278">
        <v>2.56094912715019E-3</v>
      </c>
      <c r="G1692" s="1248">
        <v>0.13228560660677899</v>
      </c>
      <c r="H1692" s="1278">
        <v>1.9772334541350599E-2</v>
      </c>
      <c r="I1692" s="1248">
        <v>7.8468642427020896E-3</v>
      </c>
      <c r="J1692" s="1278">
        <v>1.0892717572940299E-3</v>
      </c>
      <c r="K1692" s="1248">
        <v>3.0000008610225901E-3</v>
      </c>
      <c r="L1692" s="1250">
        <v>2.0000005741156201E-3</v>
      </c>
      <c r="M1692" s="1275">
        <v>2.0000005740454202E-3</v>
      </c>
      <c r="N1692" s="1248">
        <v>3.1850009128239903E-2</v>
      </c>
      <c r="O1692" s="1249">
        <v>3.1850009128239903E-2</v>
      </c>
      <c r="P1692" s="1260">
        <v>1.59250045641199E-2</v>
      </c>
      <c r="Q1692" s="1252">
        <v>8.2016646238127003E-3</v>
      </c>
    </row>
    <row r="1693" spans="1:17" s="212" customFormat="1" ht="15.5" x14ac:dyDescent="0.35">
      <c r="A1693" s="198">
        <v>2042</v>
      </c>
      <c r="B1693" s="197" t="s">
        <v>5842</v>
      </c>
      <c r="C1693" s="197">
        <v>2041</v>
      </c>
      <c r="D1693" s="213" t="str">
        <f t="shared" si="19"/>
        <v>2042_2041</v>
      </c>
      <c r="E1693" s="1267">
        <v>5.8507045724711701E-2</v>
      </c>
      <c r="F1693" s="1278">
        <v>2.8181888470445002E-3</v>
      </c>
      <c r="G1693" s="1248">
        <v>0.123363300374151</v>
      </c>
      <c r="H1693" s="1278">
        <v>2.1975505873335601E-2</v>
      </c>
      <c r="I1693" s="1248">
        <v>6.4832616623245604E-3</v>
      </c>
      <c r="J1693" s="1278">
        <v>1.0894329300619699E-3</v>
      </c>
      <c r="K1693" s="1248">
        <v>3.00000086102504E-3</v>
      </c>
      <c r="L1693" s="1250">
        <v>2.0000005741174602E-3</v>
      </c>
      <c r="M1693" s="1275">
        <v>2.0000005740474199E-3</v>
      </c>
      <c r="N1693" s="1248">
        <v>3.1850009128239903E-2</v>
      </c>
      <c r="O1693" s="1249">
        <v>3.1850009128239903E-2</v>
      </c>
      <c r="P1693" s="1260">
        <v>1.59250045641199E-2</v>
      </c>
      <c r="Q1693" s="1252">
        <v>6.7764059856473399E-3</v>
      </c>
    </row>
    <row r="1694" spans="1:17" s="212" customFormat="1" ht="15.5" x14ac:dyDescent="0.35">
      <c r="A1694" s="198">
        <v>2042</v>
      </c>
      <c r="B1694" s="197" t="s">
        <v>5842</v>
      </c>
      <c r="C1694" s="197">
        <v>2042</v>
      </c>
      <c r="D1694" s="213" t="str">
        <f t="shared" si="19"/>
        <v>2042_2042</v>
      </c>
      <c r="E1694" s="1267">
        <v>5.6673636413159298E-2</v>
      </c>
      <c r="F1694" s="1278">
        <v>2.7449315230774099E-3</v>
      </c>
      <c r="G1694" s="1248">
        <v>0.11404444741940099</v>
      </c>
      <c r="H1694" s="1278">
        <v>2.0902593675499199E-2</v>
      </c>
      <c r="I1694" s="1248">
        <v>5.0588341140049399E-3</v>
      </c>
      <c r="J1694" s="1278">
        <v>1.08959618903887E-3</v>
      </c>
      <c r="K1694" s="1248">
        <v>3.0000008610275302E-3</v>
      </c>
      <c r="L1694" s="1250">
        <v>2.0000005741193198E-3</v>
      </c>
      <c r="M1694" s="1275">
        <v>2.0000005740470001E-3</v>
      </c>
      <c r="N1694" s="1248">
        <v>3.1850009128239903E-2</v>
      </c>
      <c r="O1694" s="1249">
        <v>3.1850009128239903E-2</v>
      </c>
      <c r="P1694" s="1260">
        <v>1.59250045641199E-2</v>
      </c>
      <c r="Q1694" s="1252">
        <v>5.2875721443963299E-3</v>
      </c>
    </row>
    <row r="1695" spans="1:17" s="212" customFormat="1" ht="15.5" x14ac:dyDescent="0.35">
      <c r="A1695" s="198">
        <v>2042</v>
      </c>
      <c r="B1695" s="197" t="s">
        <v>5842</v>
      </c>
      <c r="C1695" s="197">
        <v>2043</v>
      </c>
      <c r="D1695" s="213" t="str">
        <f t="shared" si="19"/>
        <v>2042_2043</v>
      </c>
      <c r="E1695" s="1268">
        <v>5.6673636413159298E-2</v>
      </c>
      <c r="F1695" s="1279">
        <v>2.7449315230774099E-3</v>
      </c>
      <c r="G1695" s="1255">
        <v>0.11404444741940099</v>
      </c>
      <c r="H1695" s="1279">
        <v>2.0902593675499199E-2</v>
      </c>
      <c r="I1695" s="1255">
        <v>5.0588341140049399E-3</v>
      </c>
      <c r="J1695" s="1279">
        <v>1.08959618903887E-3</v>
      </c>
      <c r="K1695" s="1255">
        <v>3.0000008610275302E-3</v>
      </c>
      <c r="L1695" s="1253">
        <v>2.0000005741193198E-3</v>
      </c>
      <c r="M1695" s="1273">
        <v>2.0000005740470001E-3</v>
      </c>
      <c r="N1695" s="1255">
        <v>3.1850009128239903E-2</v>
      </c>
      <c r="O1695" s="1256">
        <v>3.1850009128239903E-2</v>
      </c>
      <c r="P1695" s="1251">
        <v>1.59250045641199E-2</v>
      </c>
      <c r="Q1695" s="1254">
        <v>5.2875721443963299E-3</v>
      </c>
    </row>
    <row r="1696" spans="1:17" s="212" customFormat="1" ht="15.5" x14ac:dyDescent="0.35">
      <c r="A1696" s="198">
        <v>2043</v>
      </c>
      <c r="B1696" s="197" t="s">
        <v>5842</v>
      </c>
      <c r="C1696" s="197">
        <v>1971</v>
      </c>
      <c r="D1696" s="213" t="str">
        <f t="shared" si="19"/>
        <v>2043_1971</v>
      </c>
      <c r="E1696" s="1268">
        <v>0.37053134834215201</v>
      </c>
      <c r="F1696" s="1279">
        <v>2.1810884606023401E-2</v>
      </c>
      <c r="G1696" s="1255">
        <v>9.3343336207408694</v>
      </c>
      <c r="H1696" s="1279">
        <v>0.38990624232833598</v>
      </c>
      <c r="I1696" s="1255">
        <v>5.3055780507147397E-2</v>
      </c>
      <c r="J1696" s="1279">
        <v>2.1284756066150602E-3</v>
      </c>
      <c r="K1696" s="1255">
        <v>3.0000008613481101E-3</v>
      </c>
      <c r="L1696" s="1253">
        <v>2.00000057412184E-3</v>
      </c>
      <c r="M1696" s="1273">
        <v>2.00000057412184E-3</v>
      </c>
      <c r="N1696" s="1255">
        <v>3.1850009128239903E-2</v>
      </c>
      <c r="O1696" s="1256">
        <v>3.1850009128239903E-2</v>
      </c>
      <c r="P1696" s="1251">
        <v>1.5925004564119952E-2</v>
      </c>
      <c r="Q1696" s="1254">
        <v>5.54547274701414E-2</v>
      </c>
    </row>
    <row r="1697" spans="1:17" s="212" customFormat="1" ht="15.5" x14ac:dyDescent="0.35">
      <c r="A1697" s="198">
        <v>2043</v>
      </c>
      <c r="B1697" s="197" t="s">
        <v>5842</v>
      </c>
      <c r="C1697" s="197">
        <v>1972</v>
      </c>
      <c r="D1697" s="213" t="str">
        <f t="shared" si="19"/>
        <v>2043_1972</v>
      </c>
      <c r="E1697" s="1268">
        <v>0.37053134834215201</v>
      </c>
      <c r="F1697" s="1279">
        <v>2.1810884606023401E-2</v>
      </c>
      <c r="G1697" s="1255">
        <v>9.3343336207408694</v>
      </c>
      <c r="H1697" s="1279">
        <v>0.38990624232833598</v>
      </c>
      <c r="I1697" s="1255">
        <v>5.3055780507147397E-2</v>
      </c>
      <c r="J1697" s="1279">
        <v>2.1284756066150602E-3</v>
      </c>
      <c r="K1697" s="1255">
        <v>3.0000008613481101E-3</v>
      </c>
      <c r="L1697" s="1253">
        <v>2.00000057412184E-3</v>
      </c>
      <c r="M1697" s="1273">
        <v>2.00000057412184E-3</v>
      </c>
      <c r="N1697" s="1255">
        <v>3.1850009128239903E-2</v>
      </c>
      <c r="O1697" s="1256">
        <v>3.1850009128239903E-2</v>
      </c>
      <c r="P1697" s="1251">
        <v>1.5925004564119952E-2</v>
      </c>
      <c r="Q1697" s="1254">
        <v>5.54547274701414E-2</v>
      </c>
    </row>
    <row r="1698" spans="1:17" s="212" customFormat="1" ht="15.5" x14ac:dyDescent="0.35">
      <c r="A1698" s="198">
        <v>2043</v>
      </c>
      <c r="B1698" s="197" t="s">
        <v>5842</v>
      </c>
      <c r="C1698" s="197">
        <v>1973</v>
      </c>
      <c r="D1698" s="213" t="str">
        <f t="shared" si="19"/>
        <v>2043_1973</v>
      </c>
      <c r="E1698" s="1268">
        <v>0.37053134834215201</v>
      </c>
      <c r="F1698" s="1279">
        <v>2.1810884606023401E-2</v>
      </c>
      <c r="G1698" s="1255">
        <v>9.3343336207408694</v>
      </c>
      <c r="H1698" s="1279">
        <v>0.38990624232833598</v>
      </c>
      <c r="I1698" s="1255">
        <v>5.3055780507147397E-2</v>
      </c>
      <c r="J1698" s="1279">
        <v>2.1284756066150602E-3</v>
      </c>
      <c r="K1698" s="1255">
        <v>3.0000008613481101E-3</v>
      </c>
      <c r="L1698" s="1253">
        <v>2.00000057412184E-3</v>
      </c>
      <c r="M1698" s="1273">
        <v>2.00000057412184E-3</v>
      </c>
      <c r="N1698" s="1255">
        <v>3.1850009128239903E-2</v>
      </c>
      <c r="O1698" s="1256">
        <v>3.1850009128239903E-2</v>
      </c>
      <c r="P1698" s="1251">
        <v>1.5925004564119952E-2</v>
      </c>
      <c r="Q1698" s="1254">
        <v>5.54547274701414E-2</v>
      </c>
    </row>
    <row r="1699" spans="1:17" s="212" customFormat="1" ht="15.5" x14ac:dyDescent="0.35">
      <c r="A1699" s="198">
        <v>2043</v>
      </c>
      <c r="B1699" s="197" t="s">
        <v>5842</v>
      </c>
      <c r="C1699" s="197">
        <v>1974</v>
      </c>
      <c r="D1699" s="213" t="str">
        <f t="shared" si="19"/>
        <v>2043_1974</v>
      </c>
      <c r="E1699" s="1268">
        <v>0.37053134834215201</v>
      </c>
      <c r="F1699" s="1279">
        <v>2.1810884606023401E-2</v>
      </c>
      <c r="G1699" s="1255">
        <v>9.3343336207408694</v>
      </c>
      <c r="H1699" s="1279">
        <v>0.38990624232833598</v>
      </c>
      <c r="I1699" s="1255">
        <v>5.3055780507147397E-2</v>
      </c>
      <c r="J1699" s="1279">
        <v>2.1284756066150602E-3</v>
      </c>
      <c r="K1699" s="1255">
        <v>3.0000008613481101E-3</v>
      </c>
      <c r="L1699" s="1253">
        <v>2.00000057412184E-3</v>
      </c>
      <c r="M1699" s="1273">
        <v>2.00000057412184E-3</v>
      </c>
      <c r="N1699" s="1255">
        <v>3.1850009128239903E-2</v>
      </c>
      <c r="O1699" s="1256">
        <v>3.1850009128239903E-2</v>
      </c>
      <c r="P1699" s="1251">
        <v>1.5925004564119952E-2</v>
      </c>
      <c r="Q1699" s="1254">
        <v>5.54547274701414E-2</v>
      </c>
    </row>
    <row r="1700" spans="1:17" s="212" customFormat="1" ht="15.5" x14ac:dyDescent="0.35">
      <c r="A1700" s="198">
        <v>2043</v>
      </c>
      <c r="B1700" s="197" t="s">
        <v>5842</v>
      </c>
      <c r="C1700" s="197">
        <v>1975</v>
      </c>
      <c r="D1700" s="213" t="str">
        <f t="shared" si="19"/>
        <v>2043_1975</v>
      </c>
      <c r="E1700" s="1268">
        <v>0.37053134834215201</v>
      </c>
      <c r="F1700" s="1279">
        <v>2.1810884606023401E-2</v>
      </c>
      <c r="G1700" s="1255">
        <v>9.3343336207408694</v>
      </c>
      <c r="H1700" s="1279">
        <v>0.38990624232833598</v>
      </c>
      <c r="I1700" s="1255">
        <v>5.3055780507147397E-2</v>
      </c>
      <c r="J1700" s="1279">
        <v>2.1284756066150602E-3</v>
      </c>
      <c r="K1700" s="1255">
        <v>3.0000008613481101E-3</v>
      </c>
      <c r="L1700" s="1253">
        <v>2.00000057412184E-3</v>
      </c>
      <c r="M1700" s="1273">
        <v>2.00000057412184E-3</v>
      </c>
      <c r="N1700" s="1255">
        <v>3.1850009128239903E-2</v>
      </c>
      <c r="O1700" s="1256">
        <v>3.1850009128239903E-2</v>
      </c>
      <c r="P1700" s="1251">
        <v>1.5925004564119952E-2</v>
      </c>
      <c r="Q1700" s="1254">
        <v>5.54547274701414E-2</v>
      </c>
    </row>
    <row r="1701" spans="1:17" s="212" customFormat="1" ht="15.5" x14ac:dyDescent="0.35">
      <c r="A1701" s="198">
        <v>2043</v>
      </c>
      <c r="B1701" s="197" t="s">
        <v>5842</v>
      </c>
      <c r="C1701" s="197">
        <v>1976</v>
      </c>
      <c r="D1701" s="213" t="str">
        <f t="shared" si="19"/>
        <v>2043_1976</v>
      </c>
      <c r="E1701" s="1268">
        <v>0.37053134834215201</v>
      </c>
      <c r="F1701" s="1279">
        <v>2.1810884606023401E-2</v>
      </c>
      <c r="G1701" s="1255">
        <v>9.3343336207408694</v>
      </c>
      <c r="H1701" s="1279">
        <v>0.38990624232833598</v>
      </c>
      <c r="I1701" s="1255">
        <v>5.3055780507147397E-2</v>
      </c>
      <c r="J1701" s="1279">
        <v>2.1284756066150602E-3</v>
      </c>
      <c r="K1701" s="1255">
        <v>3.0000008613481101E-3</v>
      </c>
      <c r="L1701" s="1253">
        <v>2.00000057412184E-3</v>
      </c>
      <c r="M1701" s="1273">
        <v>2.00000057412184E-3</v>
      </c>
      <c r="N1701" s="1255">
        <v>3.1850009128239903E-2</v>
      </c>
      <c r="O1701" s="1256">
        <v>3.1850009128239903E-2</v>
      </c>
      <c r="P1701" s="1251">
        <v>1.5925004564119952E-2</v>
      </c>
      <c r="Q1701" s="1254">
        <v>5.54547274701414E-2</v>
      </c>
    </row>
    <row r="1702" spans="1:17" s="212" customFormat="1" ht="15.5" x14ac:dyDescent="0.35">
      <c r="A1702" s="198">
        <v>2043</v>
      </c>
      <c r="B1702" s="197" t="s">
        <v>5842</v>
      </c>
      <c r="C1702" s="197">
        <v>1977</v>
      </c>
      <c r="D1702" s="213" t="str">
        <f t="shared" si="19"/>
        <v>2043_1977</v>
      </c>
      <c r="E1702" s="1268">
        <v>0.37053134834215201</v>
      </c>
      <c r="F1702" s="1279">
        <v>2.1810884606023401E-2</v>
      </c>
      <c r="G1702" s="1255">
        <v>9.3343336207408694</v>
      </c>
      <c r="H1702" s="1279">
        <v>0.38990624232833598</v>
      </c>
      <c r="I1702" s="1255">
        <v>5.3055780507147397E-2</v>
      </c>
      <c r="J1702" s="1279">
        <v>2.1284756066150602E-3</v>
      </c>
      <c r="K1702" s="1255">
        <v>3.0000008613481101E-3</v>
      </c>
      <c r="L1702" s="1253">
        <v>2.00000057412184E-3</v>
      </c>
      <c r="M1702" s="1273">
        <v>2.00000057412184E-3</v>
      </c>
      <c r="N1702" s="1255">
        <v>3.1850009128239903E-2</v>
      </c>
      <c r="O1702" s="1256">
        <v>3.1850009128239903E-2</v>
      </c>
      <c r="P1702" s="1251">
        <v>1.5925004564119952E-2</v>
      </c>
      <c r="Q1702" s="1254">
        <v>5.54547274701414E-2</v>
      </c>
    </row>
    <row r="1703" spans="1:17" s="212" customFormat="1" ht="15.5" x14ac:dyDescent="0.35">
      <c r="A1703" s="198">
        <v>2043</v>
      </c>
      <c r="B1703" s="197" t="s">
        <v>5842</v>
      </c>
      <c r="C1703" s="197">
        <v>1978</v>
      </c>
      <c r="D1703" s="213" t="str">
        <f t="shared" si="19"/>
        <v>2043_1978</v>
      </c>
      <c r="E1703" s="1268">
        <v>0.37053134834215201</v>
      </c>
      <c r="F1703" s="1279">
        <v>2.1810884606023401E-2</v>
      </c>
      <c r="G1703" s="1255">
        <v>9.3343336207408694</v>
      </c>
      <c r="H1703" s="1279">
        <v>0.38990624232833598</v>
      </c>
      <c r="I1703" s="1255">
        <v>5.3055780507147397E-2</v>
      </c>
      <c r="J1703" s="1279">
        <v>2.1284756066150602E-3</v>
      </c>
      <c r="K1703" s="1255">
        <v>3.0000008613481101E-3</v>
      </c>
      <c r="L1703" s="1253">
        <v>2.00000057412184E-3</v>
      </c>
      <c r="M1703" s="1273">
        <v>2.00000057412184E-3</v>
      </c>
      <c r="N1703" s="1255">
        <v>3.1850009128239903E-2</v>
      </c>
      <c r="O1703" s="1256">
        <v>3.1850009128239903E-2</v>
      </c>
      <c r="P1703" s="1251">
        <v>1.5925004564119952E-2</v>
      </c>
      <c r="Q1703" s="1254">
        <v>5.54547274701414E-2</v>
      </c>
    </row>
    <row r="1704" spans="1:17" s="212" customFormat="1" ht="15.5" x14ac:dyDescent="0.35">
      <c r="A1704" s="198">
        <v>2043</v>
      </c>
      <c r="B1704" s="197" t="s">
        <v>5842</v>
      </c>
      <c r="C1704" s="197">
        <v>1979</v>
      </c>
      <c r="D1704" s="213" t="str">
        <f t="shared" si="19"/>
        <v>2043_1979</v>
      </c>
      <c r="E1704" s="1268">
        <v>0.37053134834215201</v>
      </c>
      <c r="F1704" s="1279">
        <v>2.1810884606023401E-2</v>
      </c>
      <c r="G1704" s="1255">
        <v>9.3343336207408694</v>
      </c>
      <c r="H1704" s="1279">
        <v>0.38990624232833598</v>
      </c>
      <c r="I1704" s="1255">
        <v>5.3055780507147397E-2</v>
      </c>
      <c r="J1704" s="1279">
        <v>2.1284756066150602E-3</v>
      </c>
      <c r="K1704" s="1255">
        <v>3.0000008613481101E-3</v>
      </c>
      <c r="L1704" s="1253">
        <v>2.00000057412184E-3</v>
      </c>
      <c r="M1704" s="1273">
        <v>2.00000057412184E-3</v>
      </c>
      <c r="N1704" s="1255">
        <v>3.1850009128239903E-2</v>
      </c>
      <c r="O1704" s="1256">
        <v>3.1850009128239903E-2</v>
      </c>
      <c r="P1704" s="1251">
        <v>1.5925004564119952E-2</v>
      </c>
      <c r="Q1704" s="1254">
        <v>5.54547274701414E-2</v>
      </c>
    </row>
    <row r="1705" spans="1:17" s="212" customFormat="1" ht="15.5" x14ac:dyDescent="0.35">
      <c r="A1705" s="198">
        <v>2043</v>
      </c>
      <c r="B1705" s="197" t="s">
        <v>5842</v>
      </c>
      <c r="C1705" s="197">
        <v>1980</v>
      </c>
      <c r="D1705" s="213" t="str">
        <f t="shared" si="19"/>
        <v>2043_1980</v>
      </c>
      <c r="E1705" s="1268">
        <v>0.37053134834215201</v>
      </c>
      <c r="F1705" s="1279">
        <v>2.1810884606023401E-2</v>
      </c>
      <c r="G1705" s="1255">
        <v>9.3343336207408694</v>
      </c>
      <c r="H1705" s="1279">
        <v>0.38990624232833598</v>
      </c>
      <c r="I1705" s="1255">
        <v>5.3055780507147397E-2</v>
      </c>
      <c r="J1705" s="1279">
        <v>2.1284756066150602E-3</v>
      </c>
      <c r="K1705" s="1255">
        <v>3.0000008613481101E-3</v>
      </c>
      <c r="L1705" s="1253">
        <v>2.00000057412184E-3</v>
      </c>
      <c r="M1705" s="1273">
        <v>2.00000057412184E-3</v>
      </c>
      <c r="N1705" s="1255">
        <v>3.1850009128239903E-2</v>
      </c>
      <c r="O1705" s="1256">
        <v>3.1850009128239903E-2</v>
      </c>
      <c r="P1705" s="1251">
        <v>1.5925004564119952E-2</v>
      </c>
      <c r="Q1705" s="1254">
        <v>5.54547274701414E-2</v>
      </c>
    </row>
    <row r="1706" spans="1:17" s="212" customFormat="1" ht="15.5" x14ac:dyDescent="0.35">
      <c r="A1706" s="198">
        <v>2043</v>
      </c>
      <c r="B1706" s="197" t="s">
        <v>5842</v>
      </c>
      <c r="C1706" s="197">
        <v>1981</v>
      </c>
      <c r="D1706" s="213" t="str">
        <f t="shared" si="19"/>
        <v>2043_1981</v>
      </c>
      <c r="E1706" s="1268">
        <v>0.37053134834215201</v>
      </c>
      <c r="F1706" s="1279">
        <v>2.1810884606023401E-2</v>
      </c>
      <c r="G1706" s="1255">
        <v>9.3343336207408694</v>
      </c>
      <c r="H1706" s="1279">
        <v>0.38990624232833598</v>
      </c>
      <c r="I1706" s="1255">
        <v>5.3055780507147397E-2</v>
      </c>
      <c r="J1706" s="1279">
        <v>2.1284756066150602E-3</v>
      </c>
      <c r="K1706" s="1255">
        <v>3.0000008613481101E-3</v>
      </c>
      <c r="L1706" s="1253">
        <v>2.00000057412184E-3</v>
      </c>
      <c r="M1706" s="1273">
        <v>2.00000057412184E-3</v>
      </c>
      <c r="N1706" s="1255">
        <v>3.1850009128239903E-2</v>
      </c>
      <c r="O1706" s="1256">
        <v>3.1850009128239903E-2</v>
      </c>
      <c r="P1706" s="1251">
        <v>1.5925004564119952E-2</v>
      </c>
      <c r="Q1706" s="1254">
        <v>5.54547274701414E-2</v>
      </c>
    </row>
    <row r="1707" spans="1:17" s="212" customFormat="1" ht="15.5" x14ac:dyDescent="0.35">
      <c r="A1707" s="198">
        <v>2043</v>
      </c>
      <c r="B1707" s="197" t="s">
        <v>5842</v>
      </c>
      <c r="C1707" s="197">
        <v>1982</v>
      </c>
      <c r="D1707" s="213" t="str">
        <f t="shared" si="19"/>
        <v>2043_1982</v>
      </c>
      <c r="E1707" s="1268">
        <v>0.37053134834215201</v>
      </c>
      <c r="F1707" s="1279">
        <v>2.1810884606023401E-2</v>
      </c>
      <c r="G1707" s="1255">
        <v>9.3343336207408694</v>
      </c>
      <c r="H1707" s="1279">
        <v>0.38990624232833598</v>
      </c>
      <c r="I1707" s="1255">
        <v>5.3055780507147397E-2</v>
      </c>
      <c r="J1707" s="1279">
        <v>2.1284756066150602E-3</v>
      </c>
      <c r="K1707" s="1255">
        <v>3.0000008613481101E-3</v>
      </c>
      <c r="L1707" s="1253">
        <v>2.00000057412184E-3</v>
      </c>
      <c r="M1707" s="1273">
        <v>2.00000057412184E-3</v>
      </c>
      <c r="N1707" s="1255">
        <v>3.1850009128239903E-2</v>
      </c>
      <c r="O1707" s="1256">
        <v>3.1850009128239903E-2</v>
      </c>
      <c r="P1707" s="1251">
        <v>1.5925004564119952E-2</v>
      </c>
      <c r="Q1707" s="1254">
        <v>5.54547274701414E-2</v>
      </c>
    </row>
    <row r="1708" spans="1:17" s="212" customFormat="1" ht="15.5" x14ac:dyDescent="0.35">
      <c r="A1708" s="198">
        <v>2043</v>
      </c>
      <c r="B1708" s="197" t="s">
        <v>5842</v>
      </c>
      <c r="C1708" s="197">
        <v>1983</v>
      </c>
      <c r="D1708" s="213" t="str">
        <f t="shared" si="19"/>
        <v>2043_1983</v>
      </c>
      <c r="E1708" s="1268">
        <v>0.37053134834215201</v>
      </c>
      <c r="F1708" s="1279">
        <v>2.1810884606023401E-2</v>
      </c>
      <c r="G1708" s="1255">
        <v>9.3343336207408694</v>
      </c>
      <c r="H1708" s="1279">
        <v>0.38990624232833598</v>
      </c>
      <c r="I1708" s="1255">
        <v>5.3055780507147397E-2</v>
      </c>
      <c r="J1708" s="1279">
        <v>2.1284756066150602E-3</v>
      </c>
      <c r="K1708" s="1255">
        <v>3.0000008613481101E-3</v>
      </c>
      <c r="L1708" s="1253">
        <v>2.00000057412184E-3</v>
      </c>
      <c r="M1708" s="1273">
        <v>2.00000057412184E-3</v>
      </c>
      <c r="N1708" s="1255">
        <v>3.1850009128239903E-2</v>
      </c>
      <c r="O1708" s="1256">
        <v>3.1850009128239903E-2</v>
      </c>
      <c r="P1708" s="1251">
        <v>1.5925004564119952E-2</v>
      </c>
      <c r="Q1708" s="1254">
        <v>5.54547274701414E-2</v>
      </c>
    </row>
    <row r="1709" spans="1:17" s="212" customFormat="1" ht="15.5" x14ac:dyDescent="0.35">
      <c r="A1709" s="198">
        <v>2043</v>
      </c>
      <c r="B1709" s="197" t="s">
        <v>5842</v>
      </c>
      <c r="C1709" s="197">
        <v>1984</v>
      </c>
      <c r="D1709" s="213" t="str">
        <f t="shared" si="19"/>
        <v>2043_1984</v>
      </c>
      <c r="E1709" s="1268">
        <v>0.37053134834215201</v>
      </c>
      <c r="F1709" s="1279">
        <v>2.1810884606023401E-2</v>
      </c>
      <c r="G1709" s="1255">
        <v>9.3343336207408694</v>
      </c>
      <c r="H1709" s="1279">
        <v>0.38990624232833598</v>
      </c>
      <c r="I1709" s="1255">
        <v>5.3055780507147397E-2</v>
      </c>
      <c r="J1709" s="1279">
        <v>2.1284756066150602E-3</v>
      </c>
      <c r="K1709" s="1255">
        <v>3.0000008613481101E-3</v>
      </c>
      <c r="L1709" s="1253">
        <v>2.00000057412184E-3</v>
      </c>
      <c r="M1709" s="1273">
        <v>2.00000057412184E-3</v>
      </c>
      <c r="N1709" s="1255">
        <v>3.1850009128239903E-2</v>
      </c>
      <c r="O1709" s="1256">
        <v>3.1850009128239903E-2</v>
      </c>
      <c r="P1709" s="1251">
        <v>1.5925004564119952E-2</v>
      </c>
      <c r="Q1709" s="1254">
        <v>5.54547274701414E-2</v>
      </c>
    </row>
    <row r="1710" spans="1:17" s="212" customFormat="1" ht="15.5" x14ac:dyDescent="0.35">
      <c r="A1710" s="198">
        <v>2043</v>
      </c>
      <c r="B1710" s="197" t="s">
        <v>5842</v>
      </c>
      <c r="C1710" s="197">
        <v>1985</v>
      </c>
      <c r="D1710" s="213" t="str">
        <f t="shared" si="19"/>
        <v>2043_1985</v>
      </c>
      <c r="E1710" s="1268">
        <v>0.37053134834215201</v>
      </c>
      <c r="F1710" s="1279">
        <v>2.1810884606023401E-2</v>
      </c>
      <c r="G1710" s="1255">
        <v>9.3343336207408694</v>
      </c>
      <c r="H1710" s="1279">
        <v>0.38990624232833598</v>
      </c>
      <c r="I1710" s="1255">
        <v>5.3055780507147397E-2</v>
      </c>
      <c r="J1710" s="1279">
        <v>2.1284756066150602E-3</v>
      </c>
      <c r="K1710" s="1255">
        <v>3.0000008613481101E-3</v>
      </c>
      <c r="L1710" s="1253">
        <v>2.00000057412184E-3</v>
      </c>
      <c r="M1710" s="1273">
        <v>2.00000057412184E-3</v>
      </c>
      <c r="N1710" s="1255">
        <v>3.1850009128239903E-2</v>
      </c>
      <c r="O1710" s="1256">
        <v>3.1850009128239903E-2</v>
      </c>
      <c r="P1710" s="1251">
        <v>1.5925004564119952E-2</v>
      </c>
      <c r="Q1710" s="1254">
        <v>5.54547274701414E-2</v>
      </c>
    </row>
    <row r="1711" spans="1:17" s="212" customFormat="1" ht="15.5" x14ac:dyDescent="0.35">
      <c r="A1711" s="198">
        <v>2043</v>
      </c>
      <c r="B1711" s="197" t="s">
        <v>5842</v>
      </c>
      <c r="C1711" s="197">
        <v>1986</v>
      </c>
      <c r="D1711" s="213" t="str">
        <f t="shared" si="19"/>
        <v>2043_1986</v>
      </c>
      <c r="E1711" s="1268">
        <v>0.37053134834215201</v>
      </c>
      <c r="F1711" s="1279">
        <v>2.1810884606023401E-2</v>
      </c>
      <c r="G1711" s="1255">
        <v>9.3343336207408694</v>
      </c>
      <c r="H1711" s="1279">
        <v>0.38990624232833598</v>
      </c>
      <c r="I1711" s="1255">
        <v>5.3055780507147397E-2</v>
      </c>
      <c r="J1711" s="1279">
        <v>2.1284756066150602E-3</v>
      </c>
      <c r="K1711" s="1255">
        <v>3.0000008613481101E-3</v>
      </c>
      <c r="L1711" s="1253">
        <v>2.00000057412184E-3</v>
      </c>
      <c r="M1711" s="1273">
        <v>2.00000057412184E-3</v>
      </c>
      <c r="N1711" s="1255">
        <v>3.1850009128239903E-2</v>
      </c>
      <c r="O1711" s="1256">
        <v>3.1850009128239903E-2</v>
      </c>
      <c r="P1711" s="1251">
        <v>1.5925004564119952E-2</v>
      </c>
      <c r="Q1711" s="1254">
        <v>5.54547274701414E-2</v>
      </c>
    </row>
    <row r="1712" spans="1:17" s="212" customFormat="1" ht="15.5" x14ac:dyDescent="0.35">
      <c r="A1712" s="198">
        <v>2043</v>
      </c>
      <c r="B1712" s="197" t="s">
        <v>5842</v>
      </c>
      <c r="C1712" s="197">
        <v>1987</v>
      </c>
      <c r="D1712" s="213" t="str">
        <f t="shared" si="19"/>
        <v>2043_1987</v>
      </c>
      <c r="E1712" s="1268">
        <v>0.37053134834215201</v>
      </c>
      <c r="F1712" s="1279">
        <v>2.1810884606023401E-2</v>
      </c>
      <c r="G1712" s="1255">
        <v>9.3343336207408694</v>
      </c>
      <c r="H1712" s="1279">
        <v>0.38990624232833598</v>
      </c>
      <c r="I1712" s="1255">
        <v>5.3055780507147397E-2</v>
      </c>
      <c r="J1712" s="1279">
        <v>2.1284756066150602E-3</v>
      </c>
      <c r="K1712" s="1255">
        <v>3.0000008613481101E-3</v>
      </c>
      <c r="L1712" s="1253">
        <v>2.00000057412184E-3</v>
      </c>
      <c r="M1712" s="1273">
        <v>2.00000057412184E-3</v>
      </c>
      <c r="N1712" s="1255">
        <v>3.1850009128239903E-2</v>
      </c>
      <c r="O1712" s="1256">
        <v>3.1850009128239903E-2</v>
      </c>
      <c r="P1712" s="1251">
        <v>1.5925004564119952E-2</v>
      </c>
      <c r="Q1712" s="1254">
        <v>5.54547274701414E-2</v>
      </c>
    </row>
    <row r="1713" spans="1:17" s="212" customFormat="1" ht="15.5" x14ac:dyDescent="0.35">
      <c r="A1713" s="198">
        <v>2043</v>
      </c>
      <c r="B1713" s="197" t="s">
        <v>5842</v>
      </c>
      <c r="C1713" s="197">
        <v>1988</v>
      </c>
      <c r="D1713" s="213" t="str">
        <f t="shared" si="19"/>
        <v>2043_1988</v>
      </c>
      <c r="E1713" s="1268">
        <v>0.37053134834215201</v>
      </c>
      <c r="F1713" s="1279">
        <v>2.1810884606023401E-2</v>
      </c>
      <c r="G1713" s="1255">
        <v>9.3343336207408694</v>
      </c>
      <c r="H1713" s="1279">
        <v>0.38990624232833598</v>
      </c>
      <c r="I1713" s="1255">
        <v>5.3055780507147397E-2</v>
      </c>
      <c r="J1713" s="1279">
        <v>2.1284756066150602E-3</v>
      </c>
      <c r="K1713" s="1255">
        <v>3.0000008613481101E-3</v>
      </c>
      <c r="L1713" s="1253">
        <v>2.00000057412184E-3</v>
      </c>
      <c r="M1713" s="1273">
        <v>2.00000057412184E-3</v>
      </c>
      <c r="N1713" s="1255">
        <v>3.1850009128239903E-2</v>
      </c>
      <c r="O1713" s="1256">
        <v>3.1850009128239903E-2</v>
      </c>
      <c r="P1713" s="1251">
        <v>1.5925004564119952E-2</v>
      </c>
      <c r="Q1713" s="1254">
        <v>5.54547274701414E-2</v>
      </c>
    </row>
    <row r="1714" spans="1:17" s="212" customFormat="1" ht="15.5" x14ac:dyDescent="0.35">
      <c r="A1714" s="198">
        <v>2043</v>
      </c>
      <c r="B1714" s="197" t="s">
        <v>5842</v>
      </c>
      <c r="C1714" s="197">
        <v>1989</v>
      </c>
      <c r="D1714" s="213" t="str">
        <f t="shared" si="19"/>
        <v>2043_1989</v>
      </c>
      <c r="E1714" s="1268">
        <v>0.37053134834215201</v>
      </c>
      <c r="F1714" s="1279">
        <v>2.1810884606023401E-2</v>
      </c>
      <c r="G1714" s="1255">
        <v>9.3343336207408694</v>
      </c>
      <c r="H1714" s="1279">
        <v>0.38990624232833598</v>
      </c>
      <c r="I1714" s="1255">
        <v>5.3055780507147397E-2</v>
      </c>
      <c r="J1714" s="1279">
        <v>2.1284756066150602E-3</v>
      </c>
      <c r="K1714" s="1255">
        <v>3.0000008613481101E-3</v>
      </c>
      <c r="L1714" s="1253">
        <v>2.00000057412184E-3</v>
      </c>
      <c r="M1714" s="1273">
        <v>2.00000057412184E-3</v>
      </c>
      <c r="N1714" s="1255">
        <v>3.1850009128239903E-2</v>
      </c>
      <c r="O1714" s="1256">
        <v>3.1850009128239903E-2</v>
      </c>
      <c r="P1714" s="1251">
        <v>1.5925004564119952E-2</v>
      </c>
      <c r="Q1714" s="1254">
        <v>5.54547274701414E-2</v>
      </c>
    </row>
    <row r="1715" spans="1:17" s="212" customFormat="1" ht="15.5" x14ac:dyDescent="0.35">
      <c r="A1715" s="198">
        <v>2043</v>
      </c>
      <c r="B1715" s="197" t="s">
        <v>5842</v>
      </c>
      <c r="C1715" s="197">
        <v>1990</v>
      </c>
      <c r="D1715" s="213" t="str">
        <f t="shared" si="19"/>
        <v>2043_1990</v>
      </c>
      <c r="E1715" s="1268">
        <v>0.37053134834215201</v>
      </c>
      <c r="F1715" s="1279">
        <v>2.1810884606023401E-2</v>
      </c>
      <c r="G1715" s="1255">
        <v>9.3343336207408694</v>
      </c>
      <c r="H1715" s="1279">
        <v>0.38990624232833598</v>
      </c>
      <c r="I1715" s="1255">
        <v>5.3055780507147397E-2</v>
      </c>
      <c r="J1715" s="1279">
        <v>2.1284756066150602E-3</v>
      </c>
      <c r="K1715" s="1255">
        <v>3.0000008613481101E-3</v>
      </c>
      <c r="L1715" s="1253">
        <v>2.00000057412184E-3</v>
      </c>
      <c r="M1715" s="1273">
        <v>2.00000057412184E-3</v>
      </c>
      <c r="N1715" s="1255">
        <v>3.1850009128239903E-2</v>
      </c>
      <c r="O1715" s="1256">
        <v>3.1850009128239903E-2</v>
      </c>
      <c r="P1715" s="1251">
        <v>1.5925004564119952E-2</v>
      </c>
      <c r="Q1715" s="1254">
        <v>5.54547274701414E-2</v>
      </c>
    </row>
    <row r="1716" spans="1:17" s="212" customFormat="1" ht="15.5" x14ac:dyDescent="0.35">
      <c r="A1716" s="198">
        <v>2043</v>
      </c>
      <c r="B1716" s="197" t="s">
        <v>5842</v>
      </c>
      <c r="C1716" s="197">
        <v>1991</v>
      </c>
      <c r="D1716" s="213" t="str">
        <f t="shared" si="19"/>
        <v>2043_1991</v>
      </c>
      <c r="E1716" s="1268">
        <v>0.37053134834215201</v>
      </c>
      <c r="F1716" s="1279">
        <v>2.1810884606023401E-2</v>
      </c>
      <c r="G1716" s="1255">
        <v>9.3343336207408694</v>
      </c>
      <c r="H1716" s="1279">
        <v>0.38990624232833598</v>
      </c>
      <c r="I1716" s="1255">
        <v>5.3055780507147397E-2</v>
      </c>
      <c r="J1716" s="1279">
        <v>2.1284756066150602E-3</v>
      </c>
      <c r="K1716" s="1255">
        <v>3.0000008613481101E-3</v>
      </c>
      <c r="L1716" s="1253">
        <v>2.00000057412184E-3</v>
      </c>
      <c r="M1716" s="1273">
        <v>2.00000057412184E-3</v>
      </c>
      <c r="N1716" s="1255">
        <v>3.1850009128239903E-2</v>
      </c>
      <c r="O1716" s="1256">
        <v>3.1850009128239903E-2</v>
      </c>
      <c r="P1716" s="1251">
        <v>1.5925004564119952E-2</v>
      </c>
      <c r="Q1716" s="1254">
        <v>5.54547274701414E-2</v>
      </c>
    </row>
    <row r="1717" spans="1:17" s="212" customFormat="1" ht="15.5" x14ac:dyDescent="0.35">
      <c r="A1717" s="198">
        <v>2043</v>
      </c>
      <c r="B1717" s="197" t="s">
        <v>5842</v>
      </c>
      <c r="C1717" s="197">
        <v>1992</v>
      </c>
      <c r="D1717" s="213" t="str">
        <f t="shared" si="19"/>
        <v>2043_1992</v>
      </c>
      <c r="E1717" s="1268">
        <v>0.37053134834215201</v>
      </c>
      <c r="F1717" s="1279">
        <v>2.1810884606023401E-2</v>
      </c>
      <c r="G1717" s="1255">
        <v>9.3343336207408694</v>
      </c>
      <c r="H1717" s="1279">
        <v>0.38990624232833598</v>
      </c>
      <c r="I1717" s="1255">
        <v>5.3055780507147397E-2</v>
      </c>
      <c r="J1717" s="1279">
        <v>2.1284756066150602E-3</v>
      </c>
      <c r="K1717" s="1255">
        <v>3.0000008613481101E-3</v>
      </c>
      <c r="L1717" s="1253">
        <v>2.00000057412184E-3</v>
      </c>
      <c r="M1717" s="1273">
        <v>2.00000057412184E-3</v>
      </c>
      <c r="N1717" s="1255">
        <v>3.1850009128239903E-2</v>
      </c>
      <c r="O1717" s="1256">
        <v>3.1850009128239903E-2</v>
      </c>
      <c r="P1717" s="1251">
        <v>1.5925004564119952E-2</v>
      </c>
      <c r="Q1717" s="1254">
        <v>5.54547274701414E-2</v>
      </c>
    </row>
    <row r="1718" spans="1:17" s="212" customFormat="1" ht="15.5" x14ac:dyDescent="0.35">
      <c r="A1718" s="198">
        <v>2043</v>
      </c>
      <c r="B1718" s="197" t="s">
        <v>5842</v>
      </c>
      <c r="C1718" s="197">
        <v>1993</v>
      </c>
      <c r="D1718" s="213" t="str">
        <f t="shared" si="19"/>
        <v>2043_1993</v>
      </c>
      <c r="E1718" s="1268">
        <v>0.37053134834215201</v>
      </c>
      <c r="F1718" s="1279">
        <v>2.1810884606023401E-2</v>
      </c>
      <c r="G1718" s="1255">
        <v>9.3343336207408694</v>
      </c>
      <c r="H1718" s="1279">
        <v>0.38990624232833598</v>
      </c>
      <c r="I1718" s="1255">
        <v>5.3055780507147397E-2</v>
      </c>
      <c r="J1718" s="1279">
        <v>2.1284756066150602E-3</v>
      </c>
      <c r="K1718" s="1255">
        <v>3.0000008613481101E-3</v>
      </c>
      <c r="L1718" s="1253">
        <v>2.00000057412184E-3</v>
      </c>
      <c r="M1718" s="1273">
        <v>2.00000057412184E-3</v>
      </c>
      <c r="N1718" s="1255">
        <v>3.1850009128239903E-2</v>
      </c>
      <c r="O1718" s="1256">
        <v>3.1850009128239903E-2</v>
      </c>
      <c r="P1718" s="1251">
        <v>1.5925004564119952E-2</v>
      </c>
      <c r="Q1718" s="1254">
        <v>5.54547274701414E-2</v>
      </c>
    </row>
    <row r="1719" spans="1:17" s="212" customFormat="1" ht="15.5" x14ac:dyDescent="0.35">
      <c r="A1719" s="198">
        <v>2043</v>
      </c>
      <c r="B1719" s="197" t="s">
        <v>5842</v>
      </c>
      <c r="C1719" s="197">
        <v>1994</v>
      </c>
      <c r="D1719" s="213" t="str">
        <f t="shared" si="19"/>
        <v>2043_1994</v>
      </c>
      <c r="E1719" s="1268">
        <v>0.37053134834215201</v>
      </c>
      <c r="F1719" s="1279">
        <v>2.1810884606023401E-2</v>
      </c>
      <c r="G1719" s="1255">
        <v>9.3343336207408694</v>
      </c>
      <c r="H1719" s="1279">
        <v>0.38990624232833598</v>
      </c>
      <c r="I1719" s="1255">
        <v>5.3055780507147397E-2</v>
      </c>
      <c r="J1719" s="1279">
        <v>2.1284756066150602E-3</v>
      </c>
      <c r="K1719" s="1255">
        <v>3.0000008613481101E-3</v>
      </c>
      <c r="L1719" s="1253">
        <v>2.00000057412184E-3</v>
      </c>
      <c r="M1719" s="1273">
        <v>2.00000057412184E-3</v>
      </c>
      <c r="N1719" s="1255">
        <v>3.1850009128239903E-2</v>
      </c>
      <c r="O1719" s="1256">
        <v>3.1850009128239903E-2</v>
      </c>
      <c r="P1719" s="1251">
        <v>1.5925004564119952E-2</v>
      </c>
      <c r="Q1719" s="1254">
        <v>5.54547274701414E-2</v>
      </c>
    </row>
    <row r="1720" spans="1:17" s="212" customFormat="1" ht="15.5" x14ac:dyDescent="0.35">
      <c r="A1720" s="198">
        <v>2043</v>
      </c>
      <c r="B1720" s="197" t="s">
        <v>5842</v>
      </c>
      <c r="C1720" s="197">
        <v>1995</v>
      </c>
      <c r="D1720" s="213" t="str">
        <f t="shared" si="19"/>
        <v>2043_1995</v>
      </c>
      <c r="E1720" s="1268">
        <v>0.37053134834215201</v>
      </c>
      <c r="F1720" s="1279">
        <v>2.1810884606023401E-2</v>
      </c>
      <c r="G1720" s="1255">
        <v>9.3343336207408694</v>
      </c>
      <c r="H1720" s="1279">
        <v>0.38990624232833598</v>
      </c>
      <c r="I1720" s="1255">
        <v>5.3055780507147397E-2</v>
      </c>
      <c r="J1720" s="1279">
        <v>2.1284756066150602E-3</v>
      </c>
      <c r="K1720" s="1255">
        <v>3.0000008613481101E-3</v>
      </c>
      <c r="L1720" s="1253">
        <v>2.00000057412184E-3</v>
      </c>
      <c r="M1720" s="1273">
        <v>2.00000057412184E-3</v>
      </c>
      <c r="N1720" s="1255">
        <v>3.1850009128239903E-2</v>
      </c>
      <c r="O1720" s="1256">
        <v>3.1850009128239903E-2</v>
      </c>
      <c r="P1720" s="1251">
        <v>1.5925004564119952E-2</v>
      </c>
      <c r="Q1720" s="1254">
        <v>5.54547274701414E-2</v>
      </c>
    </row>
    <row r="1721" spans="1:17" s="212" customFormat="1" ht="15.5" x14ac:dyDescent="0.35">
      <c r="A1721" s="198">
        <v>2043</v>
      </c>
      <c r="B1721" s="197" t="s">
        <v>5842</v>
      </c>
      <c r="C1721" s="197">
        <v>1996</v>
      </c>
      <c r="D1721" s="213" t="str">
        <f t="shared" si="19"/>
        <v>2043_1996</v>
      </c>
      <c r="E1721" s="1268">
        <v>0.37053134834215201</v>
      </c>
      <c r="F1721" s="1279">
        <v>2.1810884606023401E-2</v>
      </c>
      <c r="G1721" s="1255">
        <v>9.3343336207408694</v>
      </c>
      <c r="H1721" s="1279">
        <v>0.38990624232833598</v>
      </c>
      <c r="I1721" s="1255">
        <v>5.3055780507147397E-2</v>
      </c>
      <c r="J1721" s="1279">
        <v>2.1284756066150602E-3</v>
      </c>
      <c r="K1721" s="1255">
        <v>3.0000008613481101E-3</v>
      </c>
      <c r="L1721" s="1253">
        <v>2.00000057412184E-3</v>
      </c>
      <c r="M1721" s="1273">
        <v>2.00000057412184E-3</v>
      </c>
      <c r="N1721" s="1255">
        <v>3.1850009128239903E-2</v>
      </c>
      <c r="O1721" s="1256">
        <v>3.1850009128239903E-2</v>
      </c>
      <c r="P1721" s="1251">
        <v>1.5925004564119952E-2</v>
      </c>
      <c r="Q1721" s="1254">
        <v>5.54547274701414E-2</v>
      </c>
    </row>
    <row r="1722" spans="1:17" s="212" customFormat="1" ht="15.5" x14ac:dyDescent="0.35">
      <c r="A1722" s="198">
        <v>2043</v>
      </c>
      <c r="B1722" s="197" t="s">
        <v>5842</v>
      </c>
      <c r="C1722" s="197">
        <v>1997</v>
      </c>
      <c r="D1722" s="213" t="str">
        <f t="shared" si="19"/>
        <v>2043_1997</v>
      </c>
      <c r="E1722" s="1268">
        <v>0.37053134834215201</v>
      </c>
      <c r="F1722" s="1279">
        <v>2.1810884606023401E-2</v>
      </c>
      <c r="G1722" s="1255">
        <v>9.3343336207408694</v>
      </c>
      <c r="H1722" s="1279">
        <v>0.38990624232833598</v>
      </c>
      <c r="I1722" s="1255">
        <v>5.3055780507147397E-2</v>
      </c>
      <c r="J1722" s="1279">
        <v>2.1284756066150602E-3</v>
      </c>
      <c r="K1722" s="1255">
        <v>3.0000008613481101E-3</v>
      </c>
      <c r="L1722" s="1253">
        <v>2.00000057412184E-3</v>
      </c>
      <c r="M1722" s="1273">
        <v>2.00000057412184E-3</v>
      </c>
      <c r="N1722" s="1255">
        <v>3.1850009128239903E-2</v>
      </c>
      <c r="O1722" s="1256">
        <v>3.1850009128239903E-2</v>
      </c>
      <c r="P1722" s="1251">
        <v>1.5925004564119952E-2</v>
      </c>
      <c r="Q1722" s="1254">
        <v>5.54547274701414E-2</v>
      </c>
    </row>
    <row r="1723" spans="1:17" s="212" customFormat="1" ht="15.5" x14ac:dyDescent="0.35">
      <c r="A1723" s="198">
        <v>2043</v>
      </c>
      <c r="B1723" s="197" t="s">
        <v>5842</v>
      </c>
      <c r="C1723" s="197">
        <v>1998</v>
      </c>
      <c r="D1723" s="213" t="str">
        <f t="shared" si="19"/>
        <v>2043_1998</v>
      </c>
      <c r="E1723" s="1268">
        <v>0.37053134834215201</v>
      </c>
      <c r="F1723" s="1279">
        <v>2.1810884606023401E-2</v>
      </c>
      <c r="G1723" s="1255">
        <v>9.3343336207408694</v>
      </c>
      <c r="H1723" s="1279">
        <v>0.38990624232833598</v>
      </c>
      <c r="I1723" s="1255">
        <v>5.3055780507147397E-2</v>
      </c>
      <c r="J1723" s="1279">
        <v>2.1284756066150602E-3</v>
      </c>
      <c r="K1723" s="1255">
        <v>3.0000008613481101E-3</v>
      </c>
      <c r="L1723" s="1253">
        <v>2.00000057412184E-3</v>
      </c>
      <c r="M1723" s="1273">
        <v>2.00000057412184E-3</v>
      </c>
      <c r="N1723" s="1255">
        <v>3.1850009128239903E-2</v>
      </c>
      <c r="O1723" s="1256">
        <v>3.1850009128239903E-2</v>
      </c>
      <c r="P1723" s="1251">
        <v>1.5925004564119952E-2</v>
      </c>
      <c r="Q1723" s="1254">
        <v>5.54547274701414E-2</v>
      </c>
    </row>
    <row r="1724" spans="1:17" s="212" customFormat="1" ht="15.5" x14ac:dyDescent="0.35">
      <c r="A1724" s="198">
        <v>2043</v>
      </c>
      <c r="B1724" s="197" t="s">
        <v>5842</v>
      </c>
      <c r="C1724" s="197">
        <v>1999</v>
      </c>
      <c r="D1724" s="213" t="str">
        <f t="shared" si="19"/>
        <v>2043_1999</v>
      </c>
      <c r="E1724" s="1267">
        <v>0.37053134834215201</v>
      </c>
      <c r="F1724" s="1278">
        <v>2.1810884606023401E-2</v>
      </c>
      <c r="G1724" s="1248">
        <v>9.3343336207408694</v>
      </c>
      <c r="H1724" s="1278">
        <v>0.38990624232833598</v>
      </c>
      <c r="I1724" s="1248">
        <v>5.3055780507147397E-2</v>
      </c>
      <c r="J1724" s="1278">
        <v>2.1284756066150602E-3</v>
      </c>
      <c r="K1724" s="1248">
        <v>3.0000008613481101E-3</v>
      </c>
      <c r="L1724" s="1250">
        <v>2.00000057412184E-3</v>
      </c>
      <c r="M1724" s="1273">
        <v>2.00000057412184E-3</v>
      </c>
      <c r="N1724" s="1248">
        <v>3.1850009128239903E-2</v>
      </c>
      <c r="O1724" s="1249">
        <v>3.1850009128239903E-2</v>
      </c>
      <c r="P1724" s="1251">
        <v>1.5925004564119952E-2</v>
      </c>
      <c r="Q1724" s="1252">
        <v>5.54547274701414E-2</v>
      </c>
    </row>
    <row r="1725" spans="1:17" s="212" customFormat="1" ht="15.5" x14ac:dyDescent="0.35">
      <c r="A1725" s="198">
        <v>2043</v>
      </c>
      <c r="B1725" s="197" t="s">
        <v>5842</v>
      </c>
      <c r="C1725" s="197">
        <v>2000</v>
      </c>
      <c r="D1725" s="213" t="str">
        <f t="shared" si="19"/>
        <v>2043_2000</v>
      </c>
      <c r="E1725" s="1267">
        <v>0.36674246672305</v>
      </c>
      <c r="F1725" s="1278">
        <v>2.21104174587591E-2</v>
      </c>
      <c r="G1725" s="1248">
        <v>9.4119284404756502</v>
      </c>
      <c r="H1725" s="1278">
        <v>0.39249280142612702</v>
      </c>
      <c r="I1725" s="1248">
        <v>5.2513256716785098E-2</v>
      </c>
      <c r="J1725" s="1278">
        <v>2.1609746667395702E-3</v>
      </c>
      <c r="K1725" s="1248">
        <v>3.0000008612660598E-3</v>
      </c>
      <c r="L1725" s="1250">
        <v>2.00000057416069E-3</v>
      </c>
      <c r="M1725" s="1273">
        <v>2.00000057416069E-3</v>
      </c>
      <c r="N1725" s="1248">
        <v>3.1850009128239903E-2</v>
      </c>
      <c r="O1725" s="1249">
        <v>3.1850009128239903E-2</v>
      </c>
      <c r="P1725" s="1251">
        <v>1.5925004564119952E-2</v>
      </c>
      <c r="Q1725" s="1252">
        <v>5.4887673161392599E-2</v>
      </c>
    </row>
    <row r="1726" spans="1:17" s="212" customFormat="1" ht="15.5" x14ac:dyDescent="0.35">
      <c r="A1726" s="198">
        <v>2043</v>
      </c>
      <c r="B1726" s="197" t="s">
        <v>5842</v>
      </c>
      <c r="C1726" s="197">
        <v>2001</v>
      </c>
      <c r="D1726" s="213" t="str">
        <f t="shared" si="19"/>
        <v>2043_2001</v>
      </c>
      <c r="E1726" s="1267">
        <v>0.37017401196855898</v>
      </c>
      <c r="F1726" s="1278">
        <v>2.2197415621980601E-2</v>
      </c>
      <c r="G1726" s="1248">
        <v>9.3391079526329897</v>
      </c>
      <c r="H1726" s="1278">
        <v>0.393780667103791</v>
      </c>
      <c r="I1726" s="1248">
        <v>5.3004614093591799E-2</v>
      </c>
      <c r="J1726" s="1278">
        <v>2.17206429793622E-3</v>
      </c>
      <c r="K1726" s="1248">
        <v>3.0000008613466299E-3</v>
      </c>
      <c r="L1726" s="1250">
        <v>2.00000057419009E-3</v>
      </c>
      <c r="M1726" s="1273">
        <v>2.00000057419009E-3</v>
      </c>
      <c r="N1726" s="1248">
        <v>3.1850009128239903E-2</v>
      </c>
      <c r="O1726" s="1249">
        <v>3.1850009128239903E-2</v>
      </c>
      <c r="P1726" s="1251">
        <v>1.5925004564119952E-2</v>
      </c>
      <c r="Q1726" s="1252">
        <v>5.5401247538412503E-2</v>
      </c>
    </row>
    <row r="1727" spans="1:17" s="212" customFormat="1" ht="15.5" x14ac:dyDescent="0.35">
      <c r="A1727" s="198">
        <v>2043</v>
      </c>
      <c r="B1727" s="197" t="s">
        <v>5842</v>
      </c>
      <c r="C1727" s="197">
        <v>2002</v>
      </c>
      <c r="D1727" s="213" t="str">
        <f t="shared" si="19"/>
        <v>2043_2002</v>
      </c>
      <c r="E1727" s="1267">
        <v>0.28700953439664501</v>
      </c>
      <c r="F1727" s="1278">
        <v>2.2134191896913898E-2</v>
      </c>
      <c r="G1727" s="1248">
        <v>7.1980828388948801</v>
      </c>
      <c r="H1727" s="1278">
        <v>0.31742138189682001</v>
      </c>
      <c r="I1727" s="1248">
        <v>5.34979768158532E-2</v>
      </c>
      <c r="J1727" s="1278">
        <v>2.1698863885961399E-3</v>
      </c>
      <c r="K1727" s="1248">
        <v>3.00000086136028E-3</v>
      </c>
      <c r="L1727" s="1250">
        <v>2.0000005741654002E-3</v>
      </c>
      <c r="M1727" s="1273">
        <v>2.0000005741654002E-3</v>
      </c>
      <c r="N1727" s="1248">
        <v>3.1850009128239903E-2</v>
      </c>
      <c r="O1727" s="1249">
        <v>3.1850009128239903E-2</v>
      </c>
      <c r="P1727" s="1251">
        <v>1.5925004564119952E-2</v>
      </c>
      <c r="Q1727" s="1252">
        <v>5.59169179337098E-2</v>
      </c>
    </row>
    <row r="1728" spans="1:17" s="212" customFormat="1" ht="15.5" x14ac:dyDescent="0.35">
      <c r="A1728" s="198">
        <v>2043</v>
      </c>
      <c r="B1728" s="197" t="s">
        <v>5842</v>
      </c>
      <c r="C1728" s="197">
        <v>2003</v>
      </c>
      <c r="D1728" s="213" t="str">
        <f t="shared" si="19"/>
        <v>2043_2003</v>
      </c>
      <c r="E1728" s="1267">
        <v>0.28448664222547199</v>
      </c>
      <c r="F1728" s="1278">
        <v>2.1820424057949799E-2</v>
      </c>
      <c r="G1728" s="1248">
        <v>7.2416346607457296</v>
      </c>
      <c r="H1728" s="1278">
        <v>0.31669898107942301</v>
      </c>
      <c r="I1728" s="1248">
        <v>5.3027714992788501E-2</v>
      </c>
      <c r="J1728" s="1278">
        <v>2.1380994986996298E-3</v>
      </c>
      <c r="K1728" s="1248">
        <v>3.0000008612855E-3</v>
      </c>
      <c r="L1728" s="1250">
        <v>2.0000005741509599E-3</v>
      </c>
      <c r="M1728" s="1273">
        <v>2.0000005741509599E-3</v>
      </c>
      <c r="N1728" s="1248">
        <v>3.1850009128239903E-2</v>
      </c>
      <c r="O1728" s="1249">
        <v>3.1850009128239903E-2</v>
      </c>
      <c r="P1728" s="1251">
        <v>1.5925004564119952E-2</v>
      </c>
      <c r="Q1728" s="1252">
        <v>5.5425392957762103E-2</v>
      </c>
    </row>
    <row r="1729" spans="1:17" s="212" customFormat="1" ht="15.5" x14ac:dyDescent="0.35">
      <c r="A1729" s="198">
        <v>2043</v>
      </c>
      <c r="B1729" s="197" t="s">
        <v>5842</v>
      </c>
      <c r="C1729" s="197">
        <v>2004</v>
      </c>
      <c r="D1729" s="213" t="str">
        <f t="shared" si="19"/>
        <v>2043_2004</v>
      </c>
      <c r="E1729" s="1267">
        <v>0.57581486544284</v>
      </c>
      <c r="F1729" s="1278">
        <v>1.4281522393476499E-2</v>
      </c>
      <c r="G1729" s="1248">
        <v>4.14158640566815</v>
      </c>
      <c r="H1729" s="1278">
        <v>0.26779486734317298</v>
      </c>
      <c r="I1729" s="1248">
        <v>0.150008585395872</v>
      </c>
      <c r="J1729" s="1278">
        <v>1.3899641610503E-4</v>
      </c>
      <c r="K1729" s="1248">
        <v>3.00000086127952E-3</v>
      </c>
      <c r="L1729" s="1250">
        <v>2.00000057408554E-3</v>
      </c>
      <c r="M1729" s="1273">
        <v>2.00000057408554E-3</v>
      </c>
      <c r="N1729" s="1248">
        <v>3.1850009128239903E-2</v>
      </c>
      <c r="O1729" s="1249">
        <v>3.1850009128239903E-2</v>
      </c>
      <c r="P1729" s="1251">
        <v>1.5925004564119952E-2</v>
      </c>
      <c r="Q1729" s="1252">
        <v>0.15679130797423399</v>
      </c>
    </row>
    <row r="1730" spans="1:17" s="212" customFormat="1" ht="15.5" x14ac:dyDescent="0.35">
      <c r="A1730" s="198">
        <v>2043</v>
      </c>
      <c r="B1730" s="197" t="s">
        <v>5842</v>
      </c>
      <c r="C1730" s="197">
        <v>2005</v>
      </c>
      <c r="D1730" s="213" t="str">
        <f t="shared" si="19"/>
        <v>2043_2005</v>
      </c>
      <c r="E1730" s="1267">
        <v>0.57354124787610805</v>
      </c>
      <c r="F1730" s="1278">
        <v>1.4424152518545201E-2</v>
      </c>
      <c r="G1730" s="1248">
        <v>4.1343275041204501</v>
      </c>
      <c r="H1730" s="1278">
        <v>0.26983364460576897</v>
      </c>
      <c r="I1730" s="1248">
        <v>0.14951054227295199</v>
      </c>
      <c r="J1730" s="1278">
        <v>1.40941867565409E-4</v>
      </c>
      <c r="K1730" s="1248">
        <v>3.0000008612561602E-3</v>
      </c>
      <c r="L1730" s="1250">
        <v>2.0000005741239199E-3</v>
      </c>
      <c r="M1730" s="1273">
        <v>2.0000005741239199E-3</v>
      </c>
      <c r="N1730" s="1248">
        <v>3.1850009128239903E-2</v>
      </c>
      <c r="O1730" s="1249">
        <v>3.1850009128239903E-2</v>
      </c>
      <c r="P1730" s="1251">
        <v>1.5925004564119952E-2</v>
      </c>
      <c r="Q1730" s="1252">
        <v>0.156270745551329</v>
      </c>
    </row>
    <row r="1731" spans="1:17" s="212" customFormat="1" ht="15.5" x14ac:dyDescent="0.35">
      <c r="A1731" s="198">
        <v>2043</v>
      </c>
      <c r="B1731" s="197" t="s">
        <v>5842</v>
      </c>
      <c r="C1731" s="197">
        <v>2006</v>
      </c>
      <c r="D1731" s="213" t="str">
        <f t="shared" si="19"/>
        <v>2043_2006</v>
      </c>
      <c r="E1731" s="1267">
        <v>0.56981313744607698</v>
      </c>
      <c r="F1731" s="1278">
        <v>1.4588118521039899E-2</v>
      </c>
      <c r="G1731" s="1248">
        <v>4.1214640660911703</v>
      </c>
      <c r="H1731" s="1278">
        <v>0.27189302181943997</v>
      </c>
      <c r="I1731" s="1248">
        <v>0.14867027342792899</v>
      </c>
      <c r="J1731" s="1278">
        <v>1.41944351120464E-4</v>
      </c>
      <c r="K1731" s="1248">
        <v>3.0000008612428701E-3</v>
      </c>
      <c r="L1731" s="1250">
        <v>2.0000005741392301E-3</v>
      </c>
      <c r="M1731" s="1273">
        <v>2.0000005741392301E-3</v>
      </c>
      <c r="N1731" s="1248">
        <v>3.1850009128239903E-2</v>
      </c>
      <c r="O1731" s="1249">
        <v>3.1850009128239903E-2</v>
      </c>
      <c r="P1731" s="1251">
        <v>1.5925004564119952E-2</v>
      </c>
      <c r="Q1731" s="1252">
        <v>0.15539248347777199</v>
      </c>
    </row>
    <row r="1732" spans="1:17" s="212" customFormat="1" ht="15.5" x14ac:dyDescent="0.35">
      <c r="A1732" s="198">
        <v>2043</v>
      </c>
      <c r="B1732" s="197" t="s">
        <v>5842</v>
      </c>
      <c r="C1732" s="197">
        <v>2007</v>
      </c>
      <c r="D1732" s="213" t="str">
        <f t="shared" si="19"/>
        <v>2043_2007</v>
      </c>
      <c r="E1732" s="1267">
        <v>0.33244266560678198</v>
      </c>
      <c r="F1732" s="1278">
        <v>1.4525591999505601E-2</v>
      </c>
      <c r="G1732" s="1248">
        <v>2.4807822785745901</v>
      </c>
      <c r="H1732" s="1278">
        <v>0.27271718813992402</v>
      </c>
      <c r="I1732" s="1248">
        <v>8.7314526983590393E-2</v>
      </c>
      <c r="J1732" s="1278">
        <v>1.44984219652995E-4</v>
      </c>
      <c r="K1732" s="1248">
        <v>3.0000008612459501E-3</v>
      </c>
      <c r="L1732" s="1250">
        <v>2.00000057419267E-3</v>
      </c>
      <c r="M1732" s="1273">
        <v>2.00000057419267E-3</v>
      </c>
      <c r="N1732" s="1248">
        <v>3.1850009128239903E-2</v>
      </c>
      <c r="O1732" s="1249">
        <v>3.1850009128239903E-2</v>
      </c>
      <c r="P1732" s="1251">
        <v>1.5925004564119952E-2</v>
      </c>
      <c r="Q1732" s="1252">
        <v>9.1262502441313204E-2</v>
      </c>
    </row>
    <row r="1733" spans="1:17" s="212" customFormat="1" ht="15.5" x14ac:dyDescent="0.35">
      <c r="A1733" s="198">
        <v>2043</v>
      </c>
      <c r="B1733" s="197" t="s">
        <v>5842</v>
      </c>
      <c r="C1733" s="197">
        <v>2008</v>
      </c>
      <c r="D1733" s="213" t="str">
        <f t="shared" si="19"/>
        <v>2043_2008</v>
      </c>
      <c r="E1733" s="1267">
        <v>0.33999621076791903</v>
      </c>
      <c r="F1733" s="1278">
        <v>9.8752553008905793E-3</v>
      </c>
      <c r="G1733" s="1248">
        <v>2.5052261801856299</v>
      </c>
      <c r="H1733" s="1278">
        <v>0.15842276241460701</v>
      </c>
      <c r="I1733" s="1248">
        <v>8.8900235499401695E-2</v>
      </c>
      <c r="J1733" s="1278">
        <v>1.4124640410972101E-4</v>
      </c>
      <c r="K1733" s="1248">
        <v>3.00000086133378E-3</v>
      </c>
      <c r="L1733" s="1250">
        <v>2.0000005742183799E-3</v>
      </c>
      <c r="M1733" s="1273">
        <v>2.0000005742183799E-3</v>
      </c>
      <c r="N1733" s="1248">
        <v>3.1850009128239903E-2</v>
      </c>
      <c r="O1733" s="1249">
        <v>3.1850009128239903E-2</v>
      </c>
      <c r="P1733" s="1251">
        <v>1.5925004564119952E-2</v>
      </c>
      <c r="Q1733" s="1252">
        <v>9.2919909659732194E-2</v>
      </c>
    </row>
    <row r="1734" spans="1:17" s="212" customFormat="1" ht="15.5" x14ac:dyDescent="0.35">
      <c r="A1734" s="198">
        <v>2043</v>
      </c>
      <c r="B1734" s="197" t="s">
        <v>5842</v>
      </c>
      <c r="C1734" s="197">
        <v>2009</v>
      </c>
      <c r="D1734" s="213" t="str">
        <f t="shared" si="19"/>
        <v>2043_2009</v>
      </c>
      <c r="E1734" s="1267">
        <v>0.33840565643634801</v>
      </c>
      <c r="F1734" s="1278">
        <v>4.7995640551400697E-3</v>
      </c>
      <c r="G1734" s="1248">
        <v>2.5000623769383798</v>
      </c>
      <c r="H1734" s="1278">
        <v>4.2923057391493803E-2</v>
      </c>
      <c r="I1734" s="1248">
        <v>8.85502191567029E-2</v>
      </c>
      <c r="J1734" s="1278">
        <v>1.29829693132764E-4</v>
      </c>
      <c r="K1734" s="1248">
        <v>3.0000008612936901E-3</v>
      </c>
      <c r="L1734" s="1250">
        <v>2.0000005741620201E-3</v>
      </c>
      <c r="M1734" s="1273">
        <v>2.0000005741620201E-3</v>
      </c>
      <c r="N1734" s="1248">
        <v>3.1850009128239903E-2</v>
      </c>
      <c r="O1734" s="1249">
        <v>3.1850009128239903E-2</v>
      </c>
      <c r="P1734" s="1251">
        <v>1.5925004564119952E-2</v>
      </c>
      <c r="Q1734" s="1252">
        <v>9.2554067131191006E-2</v>
      </c>
    </row>
    <row r="1735" spans="1:17" s="212" customFormat="1" ht="15.5" x14ac:dyDescent="0.35">
      <c r="A1735" s="198">
        <v>2043</v>
      </c>
      <c r="B1735" s="197" t="s">
        <v>5842</v>
      </c>
      <c r="C1735" s="197">
        <v>2010</v>
      </c>
      <c r="D1735" s="213" t="str">
        <f t="shared" si="19"/>
        <v>2043_2010</v>
      </c>
      <c r="E1735" s="1267">
        <v>9.0262771903055802E-2</v>
      </c>
      <c r="F1735" s="1278">
        <v>4.8042320663796798E-3</v>
      </c>
      <c r="G1735" s="1248">
        <v>0.82435615702468601</v>
      </c>
      <c r="H1735" s="1278">
        <v>4.3255254594121099E-2</v>
      </c>
      <c r="I1735" s="1248">
        <v>2.47930809298866E-2</v>
      </c>
      <c r="J1735" s="1278">
        <v>1.58462675191494E-4</v>
      </c>
      <c r="K1735" s="1248">
        <v>3.0000008613392101E-3</v>
      </c>
      <c r="L1735" s="1250">
        <v>2.0000005741393199E-3</v>
      </c>
      <c r="M1735" s="1273">
        <v>2.0000005741393199E-3</v>
      </c>
      <c r="N1735" s="1248">
        <v>3.1850009128239903E-2</v>
      </c>
      <c r="O1735" s="1249">
        <v>3.1850009128239903E-2</v>
      </c>
      <c r="P1735" s="1251">
        <v>1.5925004564119952E-2</v>
      </c>
      <c r="Q1735" s="1252">
        <v>2.5914114031868801E-2</v>
      </c>
    </row>
    <row r="1736" spans="1:17" s="212" customFormat="1" ht="15.5" x14ac:dyDescent="0.35">
      <c r="A1736" s="198">
        <v>2043</v>
      </c>
      <c r="B1736" s="197" t="s">
        <v>5842</v>
      </c>
      <c r="C1736" s="197">
        <v>2011</v>
      </c>
      <c r="D1736" s="213" t="str">
        <f t="shared" si="19"/>
        <v>2043_2011</v>
      </c>
      <c r="E1736" s="1267">
        <v>8.9429676402253494E-2</v>
      </c>
      <c r="F1736" s="1278">
        <v>5.0037846783956303E-3</v>
      </c>
      <c r="G1736" s="1248">
        <v>0.82100899134368499</v>
      </c>
      <c r="H1736" s="1278">
        <v>4.3183066065056903E-2</v>
      </c>
      <c r="I1736" s="1248">
        <v>2.4639035733697402E-2</v>
      </c>
      <c r="J1736" s="1278">
        <v>2.1682985935983501E-4</v>
      </c>
      <c r="K1736" s="1248">
        <v>3.00000086131066E-3</v>
      </c>
      <c r="L1736" s="1250">
        <v>2.0000005742391198E-3</v>
      </c>
      <c r="M1736" s="1273">
        <v>2.0000005742391198E-3</v>
      </c>
      <c r="N1736" s="1248">
        <v>3.1850009128239903E-2</v>
      </c>
      <c r="O1736" s="1249">
        <v>3.1850009128239903E-2</v>
      </c>
      <c r="P1736" s="1251">
        <v>1.5925004564119952E-2</v>
      </c>
      <c r="Q1736" s="1252">
        <v>2.5753103595473399E-2</v>
      </c>
    </row>
    <row r="1737" spans="1:17" s="212" customFormat="1" ht="15.5" x14ac:dyDescent="0.35">
      <c r="A1737" s="198">
        <v>2043</v>
      </c>
      <c r="B1737" s="197" t="s">
        <v>5842</v>
      </c>
      <c r="C1737" s="197">
        <v>2012</v>
      </c>
      <c r="D1737" s="213" t="str">
        <f t="shared" si="19"/>
        <v>2043_2012</v>
      </c>
      <c r="E1737" s="1267">
        <v>9.01766273461201E-2</v>
      </c>
      <c r="F1737" s="1278">
        <v>4.9945053564254801E-3</v>
      </c>
      <c r="G1737" s="1248">
        <v>0.82418335594116399</v>
      </c>
      <c r="H1737" s="1278">
        <v>4.3252587994841898E-2</v>
      </c>
      <c r="I1737" s="1248">
        <v>2.4780015159595901E-2</v>
      </c>
      <c r="J1737" s="1278">
        <v>3.1652761202124102E-4</v>
      </c>
      <c r="K1737" s="1248">
        <v>3.0000008613684302E-3</v>
      </c>
      <c r="L1737" s="1250">
        <v>2.00000057424746E-3</v>
      </c>
      <c r="M1737" s="1273">
        <v>2.00000057424746E-3</v>
      </c>
      <c r="N1737" s="1248">
        <v>3.1850009128239903E-2</v>
      </c>
      <c r="O1737" s="1249">
        <v>3.1850009128239903E-2</v>
      </c>
      <c r="P1737" s="1251">
        <v>1.5925004564119952E-2</v>
      </c>
      <c r="Q1737" s="1252">
        <v>2.5900457485424199E-2</v>
      </c>
    </row>
    <row r="1738" spans="1:17" s="212" customFormat="1" ht="15.5" x14ac:dyDescent="0.35">
      <c r="A1738" s="198">
        <v>2043</v>
      </c>
      <c r="B1738" s="197" t="s">
        <v>5842</v>
      </c>
      <c r="C1738" s="197">
        <v>2013</v>
      </c>
      <c r="D1738" s="213" t="str">
        <f t="shared" si="19"/>
        <v>2043_2013</v>
      </c>
      <c r="E1738" s="1267">
        <v>9.0130842139697895E-2</v>
      </c>
      <c r="F1738" s="1278">
        <v>5.0575162984499902E-3</v>
      </c>
      <c r="G1738" s="1248">
        <v>0.82316226597020603</v>
      </c>
      <c r="H1738" s="1278">
        <v>4.3089610020555301E-2</v>
      </c>
      <c r="I1738" s="1248">
        <v>2.47618962861757E-2</v>
      </c>
      <c r="J1738" s="1278">
        <v>4.7507144077539798E-4</v>
      </c>
      <c r="K1738" s="1248">
        <v>3.00000086139211E-3</v>
      </c>
      <c r="L1738" s="1250">
        <v>2.00000057428321E-3</v>
      </c>
      <c r="M1738" s="1273">
        <v>2.00000057428321E-3</v>
      </c>
      <c r="N1738" s="1248">
        <v>3.1850009128239903E-2</v>
      </c>
      <c r="O1738" s="1249">
        <v>3.1850009128239903E-2</v>
      </c>
      <c r="P1738" s="1251">
        <v>1.5925004564119952E-2</v>
      </c>
      <c r="Q1738" s="1252">
        <v>2.5881519356949101E-2</v>
      </c>
    </row>
    <row r="1739" spans="1:17" s="212" customFormat="1" ht="15.5" x14ac:dyDescent="0.35">
      <c r="A1739" s="198">
        <v>2043</v>
      </c>
      <c r="B1739" s="197" t="s">
        <v>5842</v>
      </c>
      <c r="C1739" s="197">
        <v>2014</v>
      </c>
      <c r="D1739" s="213" t="str">
        <f t="shared" si="19"/>
        <v>2043_2014</v>
      </c>
      <c r="E1739" s="1267">
        <v>8.9143890085858393E-2</v>
      </c>
      <c r="F1739" s="1278">
        <v>4.9601265183767899E-3</v>
      </c>
      <c r="G1739" s="1248">
        <v>0.81934464755013303</v>
      </c>
      <c r="H1739" s="1278">
        <v>4.3364266913421802E-2</v>
      </c>
      <c r="I1739" s="1248">
        <v>2.4580993860390601E-2</v>
      </c>
      <c r="J1739" s="1278">
        <v>6.5963581024737299E-4</v>
      </c>
      <c r="K1739" s="1248">
        <v>3.0000008613281898E-3</v>
      </c>
      <c r="L1739" s="1250">
        <v>2.0000005742380799E-3</v>
      </c>
      <c r="M1739" s="1273">
        <v>2.0000005742380799E-3</v>
      </c>
      <c r="N1739" s="1248">
        <v>3.1850009128239903E-2</v>
      </c>
      <c r="O1739" s="1249">
        <v>3.1850009128239903E-2</v>
      </c>
      <c r="P1739" s="1251">
        <v>1.5925004564119952E-2</v>
      </c>
      <c r="Q1739" s="1252">
        <v>2.5692437326212701E-2</v>
      </c>
    </row>
    <row r="1740" spans="1:17" s="212" customFormat="1" ht="15.5" x14ac:dyDescent="0.35">
      <c r="A1740" s="198">
        <v>2043</v>
      </c>
      <c r="B1740" s="197" t="s">
        <v>5842</v>
      </c>
      <c r="C1740" s="197">
        <v>2015</v>
      </c>
      <c r="D1740" s="213" t="str">
        <f t="shared" si="19"/>
        <v>2043_2015</v>
      </c>
      <c r="E1740" s="1267">
        <v>8.9421268237351206E-2</v>
      </c>
      <c r="F1740" s="1278">
        <v>5.1038935511087298E-3</v>
      </c>
      <c r="G1740" s="1248">
        <v>0.82071310012980803</v>
      </c>
      <c r="H1740" s="1278">
        <v>4.3148306862885101E-2</v>
      </c>
      <c r="I1740" s="1248">
        <v>2.4635192287992699E-2</v>
      </c>
      <c r="J1740" s="1278">
        <v>8.3492867761661795E-4</v>
      </c>
      <c r="K1740" s="1248">
        <v>3.0000008613380001E-3</v>
      </c>
      <c r="L1740" s="1250">
        <v>2.0000005742737401E-3</v>
      </c>
      <c r="M1740" s="1273">
        <v>2.0000005742737401E-3</v>
      </c>
      <c r="N1740" s="1248">
        <v>3.1850009128239903E-2</v>
      </c>
      <c r="O1740" s="1249">
        <v>3.1850009128239903E-2</v>
      </c>
      <c r="P1740" s="1251">
        <v>1.5925004564119952E-2</v>
      </c>
      <c r="Q1740" s="1252">
        <v>2.5749086366209002E-2</v>
      </c>
    </row>
    <row r="1741" spans="1:17" s="212" customFormat="1" ht="15.5" x14ac:dyDescent="0.35">
      <c r="A1741" s="198">
        <v>2043</v>
      </c>
      <c r="B1741" s="197" t="s">
        <v>5842</v>
      </c>
      <c r="C1741" s="197">
        <v>2016</v>
      </c>
      <c r="D1741" s="213" t="str">
        <f t="shared" si="19"/>
        <v>2043_2016</v>
      </c>
      <c r="E1741" s="1267">
        <v>8.9604482519596199E-2</v>
      </c>
      <c r="F1741" s="1278">
        <v>4.7316106553886E-3</v>
      </c>
      <c r="G1741" s="1248">
        <v>0.72628466231039002</v>
      </c>
      <c r="H1741" s="1278">
        <v>4.0596031153055302E-2</v>
      </c>
      <c r="I1741" s="1248">
        <v>2.46731152213692E-2</v>
      </c>
      <c r="J1741" s="1278">
        <v>9.6066007977910596E-4</v>
      </c>
      <c r="K1741" s="1248">
        <v>3.0000008613526902E-3</v>
      </c>
      <c r="L1741" s="1250">
        <v>2.0000005742551699E-3</v>
      </c>
      <c r="M1741" s="1273">
        <v>2.0000005742551699E-3</v>
      </c>
      <c r="N1741" s="1248">
        <v>3.1850009128239903E-2</v>
      </c>
      <c r="O1741" s="1249">
        <v>3.1850009128239903E-2</v>
      </c>
      <c r="P1741" s="1251">
        <v>1.5925004564119952E-2</v>
      </c>
      <c r="Q1741" s="1252">
        <v>2.5788724006352199E-2</v>
      </c>
    </row>
    <row r="1742" spans="1:17" s="212" customFormat="1" ht="15.5" x14ac:dyDescent="0.35">
      <c r="A1742" s="198">
        <v>2043</v>
      </c>
      <c r="B1742" s="197" t="s">
        <v>5842</v>
      </c>
      <c r="C1742" s="197">
        <v>2017</v>
      </c>
      <c r="D1742" s="213" t="str">
        <f t="shared" si="19"/>
        <v>2043_2017</v>
      </c>
      <c r="E1742" s="1267">
        <v>8.8599701783778406E-2</v>
      </c>
      <c r="F1742" s="1278">
        <v>4.4987900548895798E-3</v>
      </c>
      <c r="G1742" s="1248">
        <v>0.62749893116308497</v>
      </c>
      <c r="H1742" s="1278">
        <v>3.7942422685843698E-2</v>
      </c>
      <c r="I1742" s="1248">
        <v>2.4481480136082898E-2</v>
      </c>
      <c r="J1742" s="1278">
        <v>1.0357565634171199E-3</v>
      </c>
      <c r="K1742" s="1248">
        <v>3.0000008612988301E-3</v>
      </c>
      <c r="L1742" s="1250">
        <v>2.0000005743060498E-3</v>
      </c>
      <c r="M1742" s="1273">
        <v>2.0000005743060498E-3</v>
      </c>
      <c r="N1742" s="1248">
        <v>3.1850009128239903E-2</v>
      </c>
      <c r="O1742" s="1249">
        <v>3.1850009128239903E-2</v>
      </c>
      <c r="P1742" s="1251">
        <v>1.5925004564119952E-2</v>
      </c>
      <c r="Q1742" s="1252">
        <v>2.5588424032877401E-2</v>
      </c>
    </row>
    <row r="1743" spans="1:17" s="212" customFormat="1" ht="15.5" x14ac:dyDescent="0.35">
      <c r="A1743" s="198">
        <v>2043</v>
      </c>
      <c r="B1743" s="197" t="s">
        <v>5842</v>
      </c>
      <c r="C1743" s="197">
        <v>2018</v>
      </c>
      <c r="D1743" s="213" t="str">
        <f t="shared" ref="D1743:D1835" si="20">CONCATENATE(A1743,"_",C1743)</f>
        <v>2043_2018</v>
      </c>
      <c r="E1743" s="1267">
        <v>8.9570722930235297E-2</v>
      </c>
      <c r="F1743" s="1278">
        <v>3.9982959948886704E-3</v>
      </c>
      <c r="G1743" s="1248">
        <v>0.52246660692927704</v>
      </c>
      <c r="H1743" s="1278">
        <v>3.4203659504979403E-2</v>
      </c>
      <c r="I1743" s="1248">
        <v>2.4670241726977099E-2</v>
      </c>
      <c r="J1743" s="1278">
        <v>1.07733749209766E-3</v>
      </c>
      <c r="K1743" s="1248">
        <v>3.0000008613586099E-3</v>
      </c>
      <c r="L1743" s="1250">
        <v>2.00000057425823E-3</v>
      </c>
      <c r="M1743" s="1273">
        <v>2.00000057425823E-3</v>
      </c>
      <c r="N1743" s="1248">
        <v>3.1850009128239903E-2</v>
      </c>
      <c r="O1743" s="1249">
        <v>3.1850009128239903E-2</v>
      </c>
      <c r="P1743" s="1251">
        <v>1.5925004564119952E-2</v>
      </c>
      <c r="Q1743" s="1252">
        <v>2.57857205852947E-2</v>
      </c>
    </row>
    <row r="1744" spans="1:17" s="212" customFormat="1" ht="15.5" x14ac:dyDescent="0.35">
      <c r="A1744" s="198">
        <v>2043</v>
      </c>
      <c r="B1744" s="197" t="s">
        <v>5842</v>
      </c>
      <c r="C1744" s="197">
        <v>2019</v>
      </c>
      <c r="D1744" s="213" t="str">
        <f t="shared" si="20"/>
        <v>2043_2019</v>
      </c>
      <c r="E1744" s="1267">
        <v>8.9885899597436397E-2</v>
      </c>
      <c r="F1744" s="1278">
        <v>3.4759562991697299E-3</v>
      </c>
      <c r="G1744" s="1248">
        <v>0.45413800755743799</v>
      </c>
      <c r="H1744" s="1278">
        <v>3.0323532139948001E-2</v>
      </c>
      <c r="I1744" s="1248">
        <v>2.4730192795758801E-2</v>
      </c>
      <c r="J1744" s="1278">
        <v>1.0996255374699599E-3</v>
      </c>
      <c r="K1744" s="1248">
        <v>3.0000008614076302E-3</v>
      </c>
      <c r="L1744" s="1250">
        <v>2.0000005742132499E-3</v>
      </c>
      <c r="M1744" s="1273">
        <v>2.0000005742132499E-3</v>
      </c>
      <c r="N1744" s="1248">
        <v>3.1850009128239903E-2</v>
      </c>
      <c r="O1744" s="1249">
        <v>3.1850009128239903E-2</v>
      </c>
      <c r="P1744" s="1251">
        <v>1.5925004564119952E-2</v>
      </c>
      <c r="Q1744" s="1252">
        <v>2.5848382375377801E-2</v>
      </c>
    </row>
    <row r="1745" spans="1:17" s="212" customFormat="1" ht="15.5" x14ac:dyDescent="0.35">
      <c r="A1745" s="198">
        <v>2043</v>
      </c>
      <c r="B1745" s="197" t="s">
        <v>5842</v>
      </c>
      <c r="C1745" s="197">
        <v>2020</v>
      </c>
      <c r="D1745" s="213" t="str">
        <f t="shared" si="20"/>
        <v>2043_2020</v>
      </c>
      <c r="E1745" s="1267">
        <v>7.8986120421659201E-2</v>
      </c>
      <c r="F1745" s="1278">
        <v>2.8446614534239799E-3</v>
      </c>
      <c r="G1745" s="1248">
        <v>0.35937229348225203</v>
      </c>
      <c r="H1745" s="1278">
        <v>2.6670735771287601E-2</v>
      </c>
      <c r="I1745" s="1248">
        <v>2.2569656852003302E-2</v>
      </c>
      <c r="J1745" s="1278">
        <v>1.0863450340191001E-3</v>
      </c>
      <c r="K1745" s="1248">
        <v>3.0000008609798001E-3</v>
      </c>
      <c r="L1745" s="1250">
        <v>2.0000005740835698E-3</v>
      </c>
      <c r="M1745" s="1273">
        <v>2.0000005740835698E-3</v>
      </c>
      <c r="N1745" s="1248">
        <v>3.1850009128239903E-2</v>
      </c>
      <c r="O1745" s="1249">
        <v>3.1850009128239903E-2</v>
      </c>
      <c r="P1745" s="1251">
        <v>1.5925004564119952E-2</v>
      </c>
      <c r="Q1745" s="1252">
        <v>2.3590156583481899E-2</v>
      </c>
    </row>
    <row r="1746" spans="1:17" s="212" customFormat="1" ht="15.5" x14ac:dyDescent="0.35">
      <c r="A1746" s="198">
        <v>2043</v>
      </c>
      <c r="B1746" s="197" t="s">
        <v>5842</v>
      </c>
      <c r="C1746" s="197">
        <v>2021</v>
      </c>
      <c r="D1746" s="213" t="str">
        <f t="shared" si="20"/>
        <v>2043_2021</v>
      </c>
      <c r="E1746" s="1267">
        <v>7.8880772999629506E-2</v>
      </c>
      <c r="F1746" s="1278">
        <v>2.4281667485571501E-3</v>
      </c>
      <c r="G1746" s="1248">
        <v>0.29382653533060099</v>
      </c>
      <c r="H1746" s="1278">
        <v>2.2718100110799899E-2</v>
      </c>
      <c r="I1746" s="1248">
        <v>2.24685149550715E-2</v>
      </c>
      <c r="J1746" s="1278">
        <v>1.08651401087994E-3</v>
      </c>
      <c r="K1746" s="1248">
        <v>3.0000008609820899E-3</v>
      </c>
      <c r="L1746" s="1250">
        <v>2.0000005740852902E-3</v>
      </c>
      <c r="M1746" s="1273">
        <v>2.0000005740852902E-3</v>
      </c>
      <c r="N1746" s="1248">
        <v>3.1850009128239903E-2</v>
      </c>
      <c r="O1746" s="1249">
        <v>3.1850009128239903E-2</v>
      </c>
      <c r="P1746" s="1251">
        <v>1.5925004564119952E-2</v>
      </c>
      <c r="Q1746" s="1252">
        <v>2.34844414987814E-2</v>
      </c>
    </row>
    <row r="1747" spans="1:17" s="212" customFormat="1" ht="15.5" x14ac:dyDescent="0.35">
      <c r="A1747" s="198">
        <v>2043</v>
      </c>
      <c r="B1747" s="197" t="s">
        <v>5842</v>
      </c>
      <c r="C1747" s="197">
        <v>2022</v>
      </c>
      <c r="D1747" s="213" t="str">
        <f t="shared" si="20"/>
        <v>2043_2022</v>
      </c>
      <c r="E1747" s="1267">
        <v>7.8696364590383094E-2</v>
      </c>
      <c r="F1747" s="1278">
        <v>2.0096242423687698E-3</v>
      </c>
      <c r="G1747" s="1248">
        <v>0.226948846342926</v>
      </c>
      <c r="H1747" s="1278">
        <v>1.8747132614595902E-2</v>
      </c>
      <c r="I1747" s="1248">
        <v>2.2307489157981902E-2</v>
      </c>
      <c r="J1747" s="1278">
        <v>1.08667551041132E-3</v>
      </c>
      <c r="K1747" s="1248">
        <v>3.00000086098429E-3</v>
      </c>
      <c r="L1747" s="1250">
        <v>2.0000005740869399E-3</v>
      </c>
      <c r="M1747" s="1273">
        <v>2.0000005740869399E-3</v>
      </c>
      <c r="N1747" s="1248">
        <v>3.1850009128239903E-2</v>
      </c>
      <c r="O1747" s="1249">
        <v>3.1850009128239903E-2</v>
      </c>
      <c r="P1747" s="1251">
        <v>1.5925004564119952E-2</v>
      </c>
      <c r="Q1747" s="1252">
        <v>2.3316134829688799E-2</v>
      </c>
    </row>
    <row r="1748" spans="1:17" s="212" customFormat="1" ht="15.5" x14ac:dyDescent="0.35">
      <c r="A1748" s="198">
        <v>2043</v>
      </c>
      <c r="B1748" s="197" t="s">
        <v>5842</v>
      </c>
      <c r="C1748" s="197">
        <v>2023</v>
      </c>
      <c r="D1748" s="213" t="str">
        <f t="shared" si="20"/>
        <v>2043_2023</v>
      </c>
      <c r="E1748" s="1267">
        <v>7.8433011810177006E-2</v>
      </c>
      <c r="F1748" s="1278">
        <v>2.00422295854869E-3</v>
      </c>
      <c r="G1748" s="1248">
        <v>0.22550539213764001</v>
      </c>
      <c r="H1748" s="1278">
        <v>1.86242907539651E-2</v>
      </c>
      <c r="I1748" s="1248">
        <v>2.2086558772357798E-2</v>
      </c>
      <c r="J1748" s="1278">
        <v>1.08682841032572E-3</v>
      </c>
      <c r="K1748" s="1248">
        <v>3.0000008609864198E-3</v>
      </c>
      <c r="L1748" s="1250">
        <v>2.0000005740885402E-3</v>
      </c>
      <c r="M1748" s="1273">
        <v>2.0000005740885402E-3</v>
      </c>
      <c r="N1748" s="1248">
        <v>3.1850009128239903E-2</v>
      </c>
      <c r="O1748" s="1249">
        <v>3.1850009128239903E-2</v>
      </c>
      <c r="P1748" s="1251">
        <v>1.5925004564119952E-2</v>
      </c>
      <c r="Q1748" s="1252">
        <v>2.3085214952390701E-2</v>
      </c>
    </row>
    <row r="1749" spans="1:17" s="212" customFormat="1" ht="15.5" x14ac:dyDescent="0.35">
      <c r="A1749" s="198">
        <v>2043</v>
      </c>
      <c r="B1749" s="197" t="s">
        <v>5842</v>
      </c>
      <c r="C1749" s="197">
        <v>2024</v>
      </c>
      <c r="D1749" s="213" t="str">
        <f t="shared" si="20"/>
        <v>2043_2024</v>
      </c>
      <c r="E1749" s="1267">
        <v>7.8090079125764794E-2</v>
      </c>
      <c r="F1749" s="1278">
        <v>1.9940316511252699E-3</v>
      </c>
      <c r="G1749" s="1248">
        <v>0.22366754944049799</v>
      </c>
      <c r="H1749" s="1278">
        <v>1.84382278075623E-2</v>
      </c>
      <c r="I1749" s="1248">
        <v>2.1805581829250999E-2</v>
      </c>
      <c r="J1749" s="1278">
        <v>1.0869717427122701E-3</v>
      </c>
      <c r="K1749" s="1248">
        <v>3.0000008609884598E-3</v>
      </c>
      <c r="L1749" s="1250">
        <v>2.0000005740900598E-3</v>
      </c>
      <c r="M1749" s="1275">
        <v>2.0000005740187302E-3</v>
      </c>
      <c r="N1749" s="1248">
        <v>3.1850009128239903E-2</v>
      </c>
      <c r="O1749" s="1249">
        <v>3.1850009128239903E-2</v>
      </c>
      <c r="P1749" s="1260">
        <v>1.59250045641199E-2</v>
      </c>
      <c r="Q1749" s="1252">
        <v>2.2791533478733399E-2</v>
      </c>
    </row>
    <row r="1750" spans="1:17" s="212" customFormat="1" ht="15.5" x14ac:dyDescent="0.35">
      <c r="A1750" s="198">
        <v>2043</v>
      </c>
      <c r="B1750" s="197" t="s">
        <v>5842</v>
      </c>
      <c r="C1750" s="197">
        <v>2025</v>
      </c>
      <c r="D1750" s="213" t="str">
        <f t="shared" si="20"/>
        <v>2043_2025</v>
      </c>
      <c r="E1750" s="1267">
        <v>7.7666907851820594E-2</v>
      </c>
      <c r="F1750" s="1278">
        <v>1.9789656021921799E-3</v>
      </c>
      <c r="G1750" s="1248">
        <v>0.221434280052138</v>
      </c>
      <c r="H1750" s="1278">
        <v>1.81878755687786E-2</v>
      </c>
      <c r="I1750" s="1248">
        <v>2.14644080120539E-2</v>
      </c>
      <c r="J1750" s="1278">
        <v>1.0871028001466999E-3</v>
      </c>
      <c r="K1750" s="1248">
        <v>3.0000008609903598E-3</v>
      </c>
      <c r="L1750" s="1250">
        <v>2.0000005740914901E-3</v>
      </c>
      <c r="M1750" s="1275">
        <v>2.0000005740202801E-3</v>
      </c>
      <c r="N1750" s="1248">
        <v>3.1850009128239903E-2</v>
      </c>
      <c r="O1750" s="1249">
        <v>3.1850009128239903E-2</v>
      </c>
      <c r="P1750" s="1260">
        <v>1.592500456412E-2</v>
      </c>
      <c r="Q1750" s="1252">
        <v>2.2434933295459099E-2</v>
      </c>
    </row>
    <row r="1751" spans="1:17" s="212" customFormat="1" ht="15.5" x14ac:dyDescent="0.35">
      <c r="A1751" s="198">
        <v>2043</v>
      </c>
      <c r="B1751" s="197" t="s">
        <v>5842</v>
      </c>
      <c r="C1751" s="197">
        <v>2026</v>
      </c>
      <c r="D1751" s="213" t="str">
        <f t="shared" si="20"/>
        <v>2043_2026</v>
      </c>
      <c r="E1751" s="1267">
        <v>7.7165630055422901E-2</v>
      </c>
      <c r="F1751" s="1278">
        <v>1.958859745473E-3</v>
      </c>
      <c r="G1751" s="1248">
        <v>0.21883264205128999</v>
      </c>
      <c r="H1751" s="1278">
        <v>1.7871834327499999E-2</v>
      </c>
      <c r="I1751" s="1248">
        <v>2.1063440230907799E-2</v>
      </c>
      <c r="J1751" s="1278">
        <v>1.0872340579598601E-3</v>
      </c>
      <c r="K1751" s="1248">
        <v>3.0000008609922702E-3</v>
      </c>
      <c r="L1751" s="1250">
        <v>2.0000005740929199E-3</v>
      </c>
      <c r="M1751" s="1275">
        <v>2.0000005740215599E-3</v>
      </c>
      <c r="N1751" s="1248">
        <v>3.1850009128239903E-2</v>
      </c>
      <c r="O1751" s="1249">
        <v>3.1850009128239903E-2</v>
      </c>
      <c r="P1751" s="1260">
        <v>1.59250045641199E-2</v>
      </c>
      <c r="Q1751" s="1252">
        <v>2.2015835530517801E-2</v>
      </c>
    </row>
    <row r="1752" spans="1:17" s="212" customFormat="1" ht="15.5" x14ac:dyDescent="0.35">
      <c r="A1752" s="198">
        <v>2043</v>
      </c>
      <c r="B1752" s="197" t="s">
        <v>5842</v>
      </c>
      <c r="C1752" s="197">
        <v>2027</v>
      </c>
      <c r="D1752" s="213" t="str">
        <f t="shared" si="20"/>
        <v>2043_2027</v>
      </c>
      <c r="E1752" s="1267">
        <v>7.6587712182070097E-2</v>
      </c>
      <c r="F1752" s="1278">
        <v>1.93958912240593E-3</v>
      </c>
      <c r="G1752" s="1248">
        <v>0.215816740067233</v>
      </c>
      <c r="H1752" s="1278">
        <v>1.7545720354054901E-2</v>
      </c>
      <c r="I1752" s="1248">
        <v>2.0602910019531E-2</v>
      </c>
      <c r="J1752" s="1278">
        <v>1.08737028112341E-3</v>
      </c>
      <c r="K1752" s="1248">
        <v>3.0000008609942499E-3</v>
      </c>
      <c r="L1752" s="1250">
        <v>2.0000005740944101E-3</v>
      </c>
      <c r="M1752" s="1275">
        <v>2.00000057402325E-3</v>
      </c>
      <c r="N1752" s="1248">
        <v>3.1850009128239903E-2</v>
      </c>
      <c r="O1752" s="1249">
        <v>3.1850009128239903E-2</v>
      </c>
      <c r="P1752" s="1260">
        <v>1.59250045641199E-2</v>
      </c>
      <c r="Q1752" s="1252">
        <v>2.1534482186555098E-2</v>
      </c>
    </row>
    <row r="1753" spans="1:17" s="212" customFormat="1" ht="15.5" x14ac:dyDescent="0.35">
      <c r="A1753" s="198">
        <v>2043</v>
      </c>
      <c r="B1753" s="197" t="s">
        <v>5842</v>
      </c>
      <c r="C1753" s="197">
        <v>2028</v>
      </c>
      <c r="D1753" s="213" t="str">
        <f t="shared" si="20"/>
        <v>2043_2028</v>
      </c>
      <c r="E1753" s="1267">
        <v>7.5932190992199694E-2</v>
      </c>
      <c r="F1753" s="1278">
        <v>1.9231987829961101E-3</v>
      </c>
      <c r="G1753" s="1248">
        <v>0.21240908217034701</v>
      </c>
      <c r="H1753" s="1278">
        <v>1.72317282518781E-2</v>
      </c>
      <c r="I1753" s="1248">
        <v>2.0082601785737699E-2</v>
      </c>
      <c r="J1753" s="1278">
        <v>1.0875084502225E-3</v>
      </c>
      <c r="K1753" s="1248">
        <v>3.00000086099627E-3</v>
      </c>
      <c r="L1753" s="1250">
        <v>2.0000005740959202E-3</v>
      </c>
      <c r="M1753" s="1275">
        <v>2.00000057402446E-3</v>
      </c>
      <c r="N1753" s="1248">
        <v>3.1850009128239903E-2</v>
      </c>
      <c r="O1753" s="1249">
        <v>3.1850009128239903E-2</v>
      </c>
      <c r="P1753" s="1260">
        <v>1.59250045641199E-2</v>
      </c>
      <c r="Q1753" s="1252">
        <v>2.09906479232632E-2</v>
      </c>
    </row>
    <row r="1754" spans="1:17" s="212" customFormat="1" ht="15.5" x14ac:dyDescent="0.35">
      <c r="A1754" s="198">
        <v>2043</v>
      </c>
      <c r="B1754" s="197" t="s">
        <v>5842</v>
      </c>
      <c r="C1754" s="197">
        <v>2029</v>
      </c>
      <c r="D1754" s="213" t="str">
        <f t="shared" si="20"/>
        <v>2043_2029</v>
      </c>
      <c r="E1754" s="1267">
        <v>7.5198606366960297E-2</v>
      </c>
      <c r="F1754" s="1278">
        <v>1.9134686729212699E-3</v>
      </c>
      <c r="G1754" s="1248">
        <v>0.20860900831056101</v>
      </c>
      <c r="H1754" s="1278">
        <v>1.69677847316375E-2</v>
      </c>
      <c r="I1754" s="1248">
        <v>1.9502398566192899E-2</v>
      </c>
      <c r="J1754" s="1278">
        <v>1.0876476595953399E-3</v>
      </c>
      <c r="K1754" s="1248">
        <v>3.0000008609983001E-3</v>
      </c>
      <c r="L1754" s="1250">
        <v>2.0000005740974402E-3</v>
      </c>
      <c r="M1754" s="1275">
        <v>2.0000005740256699E-3</v>
      </c>
      <c r="N1754" s="1248">
        <v>3.1850009128239903E-2</v>
      </c>
      <c r="O1754" s="1249">
        <v>3.1850009128239903E-2</v>
      </c>
      <c r="P1754" s="1260">
        <v>1.59250045641199E-2</v>
      </c>
      <c r="Q1754" s="1252">
        <v>2.0384210488744201E-2</v>
      </c>
    </row>
    <row r="1755" spans="1:17" s="212" customFormat="1" ht="15.5" x14ac:dyDescent="0.35">
      <c r="A1755" s="198">
        <v>2043</v>
      </c>
      <c r="B1755" s="197" t="s">
        <v>5842</v>
      </c>
      <c r="C1755" s="197">
        <v>2030</v>
      </c>
      <c r="D1755" s="213" t="str">
        <f t="shared" si="20"/>
        <v>2043_2030</v>
      </c>
      <c r="E1755" s="1267">
        <v>7.4387166934725996E-2</v>
      </c>
      <c r="F1755" s="1278">
        <v>1.9132270639032E-3</v>
      </c>
      <c r="G1755" s="1248">
        <v>0.20441649418925001</v>
      </c>
      <c r="H1755" s="1278">
        <v>1.6781654649574301E-2</v>
      </c>
      <c r="I1755" s="1248">
        <v>1.88622931357749E-2</v>
      </c>
      <c r="J1755" s="1278">
        <v>1.08778800715732E-3</v>
      </c>
      <c r="K1755" s="1248">
        <v>3.00000086100036E-3</v>
      </c>
      <c r="L1755" s="1250">
        <v>2.0000005740989802E-3</v>
      </c>
      <c r="M1755" s="1275">
        <v>2.0000005740271401E-3</v>
      </c>
      <c r="N1755" s="1248">
        <v>3.1850009128239903E-2</v>
      </c>
      <c r="O1755" s="1249">
        <v>3.1850009128239903E-2</v>
      </c>
      <c r="P1755" s="1260">
        <v>1.59250045641199E-2</v>
      </c>
      <c r="Q1755" s="1252">
        <v>1.9715162331188502E-2</v>
      </c>
    </row>
    <row r="1756" spans="1:17" s="212" customFormat="1" ht="15.5" x14ac:dyDescent="0.35">
      <c r="A1756" s="198">
        <v>2043</v>
      </c>
      <c r="B1756" s="197" t="s">
        <v>5842</v>
      </c>
      <c r="C1756" s="197">
        <v>2031</v>
      </c>
      <c r="D1756" s="213" t="str">
        <f t="shared" si="20"/>
        <v>2043_2031</v>
      </c>
      <c r="E1756" s="1267">
        <v>7.34981131100442E-2</v>
      </c>
      <c r="F1756" s="1278">
        <v>1.92321586881605E-3</v>
      </c>
      <c r="G1756" s="1248">
        <v>0.199831754105908</v>
      </c>
      <c r="H1756" s="1278">
        <v>1.6679521861018599E-2</v>
      </c>
      <c r="I1756" s="1248">
        <v>1.8162286370828E-2</v>
      </c>
      <c r="J1756" s="1278">
        <v>1.0879310341337801E-3</v>
      </c>
      <c r="K1756" s="1248">
        <v>3.0000008610024699E-3</v>
      </c>
      <c r="L1756" s="1250">
        <v>2.0000005741005601E-3</v>
      </c>
      <c r="M1756" s="1275">
        <v>2.0000005740286602E-3</v>
      </c>
      <c r="N1756" s="1248">
        <v>3.1850009128239903E-2</v>
      </c>
      <c r="O1756" s="1249">
        <v>3.1850009128239903E-2</v>
      </c>
      <c r="P1756" s="1260">
        <v>1.59250045641199E-2</v>
      </c>
      <c r="Q1756" s="1252">
        <v>1.89835043665647E-2</v>
      </c>
    </row>
    <row r="1757" spans="1:17" s="212" customFormat="1" ht="15.5" x14ac:dyDescent="0.35">
      <c r="A1757" s="198">
        <v>2043</v>
      </c>
      <c r="B1757" s="197" t="s">
        <v>5842</v>
      </c>
      <c r="C1757" s="197">
        <v>2032</v>
      </c>
      <c r="D1757" s="213" t="str">
        <f t="shared" si="20"/>
        <v>2043_2032</v>
      </c>
      <c r="E1757" s="1267">
        <v>7.2530738856650998E-2</v>
      </c>
      <c r="F1757" s="1278">
        <v>1.9412978620677399E-3</v>
      </c>
      <c r="G1757" s="1248">
        <v>0.19485379277809001</v>
      </c>
      <c r="H1757" s="1278">
        <v>1.6638296867451899E-2</v>
      </c>
      <c r="I1757" s="1248">
        <v>1.7402218636208101E-2</v>
      </c>
      <c r="J1757" s="1278">
        <v>1.08807496598688E-3</v>
      </c>
      <c r="K1757" s="1248">
        <v>3.0000008610046101E-3</v>
      </c>
      <c r="L1757" s="1250">
        <v>2.00000057410216E-3</v>
      </c>
      <c r="M1757" s="1275">
        <v>2.0000005740302101E-3</v>
      </c>
      <c r="N1757" s="1248">
        <v>3.1850009128239903E-2</v>
      </c>
      <c r="O1757" s="1249">
        <v>3.1850009128239903E-2</v>
      </c>
      <c r="P1757" s="1260">
        <v>1.59250045641199E-2</v>
      </c>
      <c r="Q1757" s="1252">
        <v>1.8189069741735901E-2</v>
      </c>
    </row>
    <row r="1758" spans="1:17" s="212" customFormat="1" ht="15.5" x14ac:dyDescent="0.35">
      <c r="A1758" s="198">
        <v>2043</v>
      </c>
      <c r="B1758" s="197" t="s">
        <v>5842</v>
      </c>
      <c r="C1758" s="197">
        <v>2033</v>
      </c>
      <c r="D1758" s="213" t="str">
        <f t="shared" si="20"/>
        <v>2043_2033</v>
      </c>
      <c r="E1758" s="1267">
        <v>7.1485261810106504E-2</v>
      </c>
      <c r="F1758" s="1278">
        <v>1.9625737669746101E-3</v>
      </c>
      <c r="G1758" s="1248">
        <v>0.18948262729895901</v>
      </c>
      <c r="H1758" s="1278">
        <v>1.66062179844742E-2</v>
      </c>
      <c r="I1758" s="1248">
        <v>1.6582077473943701E-2</v>
      </c>
      <c r="J1758" s="1278">
        <v>1.0882203089931099E-3</v>
      </c>
      <c r="K1758" s="1248">
        <v>3.0000008610067698E-3</v>
      </c>
      <c r="L1758" s="1250">
        <v>2.0000005741037802E-3</v>
      </c>
      <c r="M1758" s="1275">
        <v>2.0000005740318299E-3</v>
      </c>
      <c r="N1758" s="1248">
        <v>3.1850009128239903E-2</v>
      </c>
      <c r="O1758" s="1249">
        <v>3.1850009128239903E-2</v>
      </c>
      <c r="P1758" s="1260">
        <v>1.59250045641199E-2</v>
      </c>
      <c r="Q1758" s="1252">
        <v>1.7331845435436401E-2</v>
      </c>
    </row>
    <row r="1759" spans="1:17" s="212" customFormat="1" ht="15.5" x14ac:dyDescent="0.35">
      <c r="A1759" s="198">
        <v>2043</v>
      </c>
      <c r="B1759" s="197" t="s">
        <v>5842</v>
      </c>
      <c r="C1759" s="197">
        <v>2034</v>
      </c>
      <c r="D1759" s="213" t="str">
        <f t="shared" si="20"/>
        <v>2043_2034</v>
      </c>
      <c r="E1759" s="1267">
        <v>7.0361938050407094E-2</v>
      </c>
      <c r="F1759" s="1278">
        <v>1.9806540123883799E-3</v>
      </c>
      <c r="G1759" s="1248">
        <v>0.18371847189453</v>
      </c>
      <c r="H1759" s="1278">
        <v>1.6516199727650099E-2</v>
      </c>
      <c r="I1759" s="1248">
        <v>1.5701856256409401E-2</v>
      </c>
      <c r="J1759" s="1278">
        <v>1.0883690264221701E-3</v>
      </c>
      <c r="K1759" s="1248">
        <v>3.0000008610089899E-3</v>
      </c>
      <c r="L1759" s="1250">
        <v>2.0000005741054399E-3</v>
      </c>
      <c r="M1759" s="1275">
        <v>2.0000005740332901E-3</v>
      </c>
      <c r="N1759" s="1248">
        <v>3.1850009128239903E-2</v>
      </c>
      <c r="O1759" s="1249">
        <v>3.1850009128239903E-2</v>
      </c>
      <c r="P1759" s="1260">
        <v>1.59250045641199E-2</v>
      </c>
      <c r="Q1759" s="1252">
        <v>1.6411824520369E-2</v>
      </c>
    </row>
    <row r="1760" spans="1:17" s="212" customFormat="1" ht="15.5" x14ac:dyDescent="0.35">
      <c r="A1760" s="198">
        <v>2043</v>
      </c>
      <c r="B1760" s="197" t="s">
        <v>5842</v>
      </c>
      <c r="C1760" s="197">
        <v>2035</v>
      </c>
      <c r="D1760" s="213" t="str">
        <f t="shared" si="20"/>
        <v>2043_2035</v>
      </c>
      <c r="E1760" s="1267">
        <v>6.9160513799217893E-2</v>
      </c>
      <c r="F1760" s="1278">
        <v>1.99040237784625E-3</v>
      </c>
      <c r="G1760" s="1248">
        <v>0.177560841648427</v>
      </c>
      <c r="H1760" s="1278">
        <v>1.6314216320751099E-2</v>
      </c>
      <c r="I1760" s="1248">
        <v>1.47614590689972E-2</v>
      </c>
      <c r="J1760" s="1278">
        <v>1.0885205996484101E-3</v>
      </c>
      <c r="K1760" s="1248">
        <v>3.0000008610112602E-3</v>
      </c>
      <c r="L1760" s="1250">
        <v>2.0000005741071399E-3</v>
      </c>
      <c r="M1760" s="1275">
        <v>2.00000057403488E-3</v>
      </c>
      <c r="N1760" s="1248">
        <v>3.1850009128239903E-2</v>
      </c>
      <c r="O1760" s="1249">
        <v>3.1850009128239903E-2</v>
      </c>
      <c r="P1760" s="1260">
        <v>1.59250045641199E-2</v>
      </c>
      <c r="Q1760" s="1252">
        <v>1.5428906745092799E-2</v>
      </c>
    </row>
    <row r="1761" spans="1:17" s="212" customFormat="1" ht="15.5" x14ac:dyDescent="0.35">
      <c r="A1761" s="198">
        <v>2043</v>
      </c>
      <c r="B1761" s="197" t="s">
        <v>5842</v>
      </c>
      <c r="C1761" s="197">
        <v>2036</v>
      </c>
      <c r="D1761" s="213" t="str">
        <f t="shared" si="20"/>
        <v>2043_2036</v>
      </c>
      <c r="E1761" s="1267">
        <v>6.7880867521037794E-2</v>
      </c>
      <c r="F1761" s="1278">
        <v>1.9920534754837701E-3</v>
      </c>
      <c r="G1761" s="1248">
        <v>0.17100934075764199</v>
      </c>
      <c r="H1761" s="1278">
        <v>1.60011658502471E-2</v>
      </c>
      <c r="I1761" s="1248">
        <v>1.37608069759625E-2</v>
      </c>
      <c r="J1761" s="1278">
        <v>1.08867482749431E-3</v>
      </c>
      <c r="K1761" s="1248">
        <v>3.0000008610135899E-3</v>
      </c>
      <c r="L1761" s="1250">
        <v>2.0000005741088798E-3</v>
      </c>
      <c r="M1761" s="1275">
        <v>2.0000005740367101E-3</v>
      </c>
      <c r="N1761" s="1248">
        <v>3.1850009128239903E-2</v>
      </c>
      <c r="O1761" s="1249">
        <v>3.1850009128239903E-2</v>
      </c>
      <c r="P1761" s="1260">
        <v>1.59250045641199E-2</v>
      </c>
      <c r="Q1761" s="1252">
        <v>1.4383009604739001E-2</v>
      </c>
    </row>
    <row r="1762" spans="1:17" s="212" customFormat="1" ht="15.5" x14ac:dyDescent="0.35">
      <c r="A1762" s="198">
        <v>2043</v>
      </c>
      <c r="B1762" s="197" t="s">
        <v>5842</v>
      </c>
      <c r="C1762" s="197">
        <v>2037</v>
      </c>
      <c r="D1762" s="213" t="str">
        <f t="shared" si="20"/>
        <v>2043_2037</v>
      </c>
      <c r="E1762" s="1267">
        <v>6.6522498114050102E-2</v>
      </c>
      <c r="F1762" s="1278">
        <v>1.99575866255167E-3</v>
      </c>
      <c r="G1762" s="1248">
        <v>0.164063199219593</v>
      </c>
      <c r="H1762" s="1278">
        <v>1.56796323086488E-2</v>
      </c>
      <c r="I1762" s="1248">
        <v>1.2699771451508E-2</v>
      </c>
      <c r="J1762" s="1278">
        <v>1.0888301388019201E-3</v>
      </c>
      <c r="K1762" s="1248">
        <v>3.00000086101594E-3</v>
      </c>
      <c r="L1762" s="1250">
        <v>2.0000005741106501E-3</v>
      </c>
      <c r="M1762" s="1275">
        <v>2.0000005740385299E-3</v>
      </c>
      <c r="N1762" s="1248">
        <v>3.1850009128239903E-2</v>
      </c>
      <c r="O1762" s="1249">
        <v>3.1850009128239903E-2</v>
      </c>
      <c r="P1762" s="1260">
        <v>1.59250045641199E-2</v>
      </c>
      <c r="Q1762" s="1252">
        <v>1.3273998762143999E-2</v>
      </c>
    </row>
    <row r="1763" spans="1:17" s="212" customFormat="1" ht="15.5" x14ac:dyDescent="0.35">
      <c r="A1763" s="198">
        <v>2043</v>
      </c>
      <c r="B1763" s="197" t="s">
        <v>5842</v>
      </c>
      <c r="C1763" s="197">
        <v>2038</v>
      </c>
      <c r="D1763" s="213" t="str">
        <f t="shared" si="20"/>
        <v>2043_2038</v>
      </c>
      <c r="E1763" s="1267">
        <v>6.5084849149787502E-2</v>
      </c>
      <c r="F1763" s="1278">
        <v>2.02468219773284E-3</v>
      </c>
      <c r="G1763" s="1248">
        <v>0.15672174605512901</v>
      </c>
      <c r="H1763" s="1278">
        <v>1.55856825423416E-2</v>
      </c>
      <c r="I1763" s="1248">
        <v>1.1578230710449E-2</v>
      </c>
      <c r="J1763" s="1278">
        <v>1.0889859779285201E-3</v>
      </c>
      <c r="K1763" s="1248">
        <v>3.0000008610183101E-3</v>
      </c>
      <c r="L1763" s="1250">
        <v>2.00000057411242E-3</v>
      </c>
      <c r="M1763" s="1275">
        <v>2.0000005740405799E-3</v>
      </c>
      <c r="N1763" s="1248">
        <v>3.1850009128239903E-2</v>
      </c>
      <c r="O1763" s="1249">
        <v>3.1850009128239903E-2</v>
      </c>
      <c r="P1763" s="1260">
        <v>1.59250045641199E-2</v>
      </c>
      <c r="Q1763" s="1252">
        <v>1.21017469255377E-2</v>
      </c>
    </row>
    <row r="1764" spans="1:17" s="212" customFormat="1" ht="15.5" x14ac:dyDescent="0.35">
      <c r="A1764" s="198">
        <v>2043</v>
      </c>
      <c r="B1764" s="197" t="s">
        <v>5842</v>
      </c>
      <c r="C1764" s="197">
        <v>2039</v>
      </c>
      <c r="D1764" s="213" t="str">
        <f t="shared" si="20"/>
        <v>2043_2039</v>
      </c>
      <c r="E1764" s="1267">
        <v>6.3568520340074902E-2</v>
      </c>
      <c r="F1764" s="1278">
        <v>2.1130644097632901E-3</v>
      </c>
      <c r="G1764" s="1248">
        <v>0.14898537760311401</v>
      </c>
      <c r="H1764" s="1278">
        <v>1.60696041850945E-2</v>
      </c>
      <c r="I1764" s="1248">
        <v>1.0396196900153899E-2</v>
      </c>
      <c r="J1764" s="1278">
        <v>1.0891447988161901E-3</v>
      </c>
      <c r="K1764" s="1248">
        <v>3.00000086102073E-3</v>
      </c>
      <c r="L1764" s="1250">
        <v>2.0000005741142302E-3</v>
      </c>
      <c r="M1764" s="1275">
        <v>2.0000005740428298E-3</v>
      </c>
      <c r="N1764" s="1248">
        <v>3.1850009128239903E-2</v>
      </c>
      <c r="O1764" s="1249">
        <v>3.1850009128239903E-2</v>
      </c>
      <c r="P1764" s="1260">
        <v>1.59250045641199E-2</v>
      </c>
      <c r="Q1764" s="1252">
        <v>1.08662667915384E-2</v>
      </c>
    </row>
    <row r="1765" spans="1:17" s="212" customFormat="1" ht="15.5" x14ac:dyDescent="0.35">
      <c r="A1765" s="198">
        <v>2043</v>
      </c>
      <c r="B1765" s="197" t="s">
        <v>5842</v>
      </c>
      <c r="C1765" s="197">
        <v>2040</v>
      </c>
      <c r="D1765" s="213" t="str">
        <f t="shared" si="20"/>
        <v>2043_2040</v>
      </c>
      <c r="E1765" s="1267">
        <v>6.1973093290916999E-2</v>
      </c>
      <c r="F1765" s="1278">
        <v>2.2932713138295101E-3</v>
      </c>
      <c r="G1765" s="1248">
        <v>0.14085341433564999</v>
      </c>
      <c r="H1765" s="1278">
        <v>1.74670587762784E-2</v>
      </c>
      <c r="I1765" s="1248">
        <v>9.1535528237719904E-3</v>
      </c>
      <c r="J1765" s="1278">
        <v>1.08930524648373E-3</v>
      </c>
      <c r="K1765" s="1248">
        <v>3.0000008610231699E-3</v>
      </c>
      <c r="L1765" s="1250">
        <v>2.0000005741160599E-3</v>
      </c>
      <c r="M1765" s="1275">
        <v>2.0000005740451699E-3</v>
      </c>
      <c r="N1765" s="1248">
        <v>3.1850009128239903E-2</v>
      </c>
      <c r="O1765" s="1249">
        <v>3.1850009128239903E-2</v>
      </c>
      <c r="P1765" s="1260">
        <v>1.59250045641199E-2</v>
      </c>
      <c r="Q1765" s="1252">
        <v>9.5674358641738792E-3</v>
      </c>
    </row>
    <row r="1766" spans="1:17" s="212" customFormat="1" ht="15.5" x14ac:dyDescent="0.35">
      <c r="A1766" s="198">
        <v>2043</v>
      </c>
      <c r="B1766" s="197" t="s">
        <v>5842</v>
      </c>
      <c r="C1766" s="197">
        <v>2041</v>
      </c>
      <c r="D1766" s="213" t="str">
        <f t="shared" si="20"/>
        <v>2043_2041</v>
      </c>
      <c r="E1766" s="1267">
        <v>6.0298136990034397E-2</v>
      </c>
      <c r="F1766" s="1278">
        <v>2.5631559331422901E-3</v>
      </c>
      <c r="G1766" s="1248">
        <v>0.13232523802544199</v>
      </c>
      <c r="H1766" s="1278">
        <v>1.9770876818105201E-2</v>
      </c>
      <c r="I1766" s="1248">
        <v>7.8501897291254896E-3</v>
      </c>
      <c r="J1766" s="1278">
        <v>1.08946642265502E-3</v>
      </c>
      <c r="K1766" s="1248">
        <v>3.0000008610256302E-3</v>
      </c>
      <c r="L1766" s="1250">
        <v>2.0000005741179E-3</v>
      </c>
      <c r="M1766" s="1275">
        <v>2.0000005740475201E-3</v>
      </c>
      <c r="N1766" s="1248">
        <v>3.1850009128239903E-2</v>
      </c>
      <c r="O1766" s="1249">
        <v>3.1850009128239903E-2</v>
      </c>
      <c r="P1766" s="1260">
        <v>1.59250045641199E-2</v>
      </c>
      <c r="Q1766" s="1252">
        <v>8.2051404739755304E-3</v>
      </c>
    </row>
    <row r="1767" spans="1:17" s="212" customFormat="1" ht="15.5" x14ac:dyDescent="0.35">
      <c r="A1767" s="198">
        <v>2043</v>
      </c>
      <c r="B1767" s="197" t="s">
        <v>5842</v>
      </c>
      <c r="C1767" s="197">
        <v>2042</v>
      </c>
      <c r="D1767" s="213" t="str">
        <f t="shared" si="20"/>
        <v>2043_2042</v>
      </c>
      <c r="E1767" s="1267">
        <v>5.8543719050547803E-2</v>
      </c>
      <c r="F1767" s="1278">
        <v>2.8206482606778099E-3</v>
      </c>
      <c r="G1767" s="1248">
        <v>0.123400725682749</v>
      </c>
      <c r="H1767" s="1278">
        <v>2.19738456744464E-2</v>
      </c>
      <c r="I1767" s="1248">
        <v>6.4860477102564804E-3</v>
      </c>
      <c r="J1767" s="1278">
        <v>1.08962968678327E-3</v>
      </c>
      <c r="K1767" s="1248">
        <v>3.00000086102811E-3</v>
      </c>
      <c r="L1767" s="1250">
        <v>2.00000057411976E-3</v>
      </c>
      <c r="M1767" s="1275">
        <v>2.0000005740495501E-3</v>
      </c>
      <c r="N1767" s="1248">
        <v>3.1850009128239903E-2</v>
      </c>
      <c r="O1767" s="1249">
        <v>3.1850009128239903E-2</v>
      </c>
      <c r="P1767" s="1260">
        <v>1.59250045641199E-2</v>
      </c>
      <c r="Q1767" s="1252">
        <v>6.7793180063038198E-3</v>
      </c>
    </row>
    <row r="1768" spans="1:17" s="212" customFormat="1" ht="15.5" x14ac:dyDescent="0.35">
      <c r="A1768" s="198">
        <v>2043</v>
      </c>
      <c r="B1768" s="197" t="s">
        <v>5842</v>
      </c>
      <c r="C1768" s="197">
        <v>2043</v>
      </c>
      <c r="D1768" s="213" t="str">
        <f t="shared" si="20"/>
        <v>2043_2043</v>
      </c>
      <c r="E1768" s="1267">
        <v>5.67092878837544E-2</v>
      </c>
      <c r="F1768" s="1278">
        <v>2.7473323407092502E-3</v>
      </c>
      <c r="G1768" s="1248">
        <v>0.114079121503515</v>
      </c>
      <c r="H1768" s="1278">
        <v>2.09009972252595E-2</v>
      </c>
      <c r="I1768" s="1248">
        <v>5.0610149370056102E-3</v>
      </c>
      <c r="J1768" s="1278">
        <v>1.0897931000344099E-3</v>
      </c>
      <c r="K1768" s="1248">
        <v>3.0000008610305902E-3</v>
      </c>
      <c r="L1768" s="1250">
        <v>2.0000005741216101E-3</v>
      </c>
      <c r="M1768" s="1275">
        <v>2.0000005740491099E-3</v>
      </c>
      <c r="N1768" s="1248">
        <v>3.1850009128239903E-2</v>
      </c>
      <c r="O1768" s="1249">
        <v>3.1850009128239903E-2</v>
      </c>
      <c r="P1768" s="1260">
        <v>1.59250045641199E-2</v>
      </c>
      <c r="Q1768" s="1252">
        <v>5.2898515745358398E-3</v>
      </c>
    </row>
    <row r="1769" spans="1:17" s="212" customFormat="1" ht="15.5" x14ac:dyDescent="0.35">
      <c r="A1769" s="198">
        <v>2043</v>
      </c>
      <c r="B1769" s="197" t="s">
        <v>5842</v>
      </c>
      <c r="C1769" s="197">
        <v>2044</v>
      </c>
      <c r="D1769" s="213" t="str">
        <f t="shared" si="20"/>
        <v>2043_2044</v>
      </c>
      <c r="E1769" s="1268">
        <v>5.67092878837544E-2</v>
      </c>
      <c r="F1769" s="1279">
        <v>2.7473323407092502E-3</v>
      </c>
      <c r="G1769" s="1255">
        <v>0.114079121503515</v>
      </c>
      <c r="H1769" s="1279">
        <v>2.09009972252595E-2</v>
      </c>
      <c r="I1769" s="1255">
        <v>5.0610149370056102E-3</v>
      </c>
      <c r="J1769" s="1279">
        <v>1.0897931000344099E-3</v>
      </c>
      <c r="K1769" s="1255">
        <v>3.0000008610305902E-3</v>
      </c>
      <c r="L1769" s="1253">
        <v>2.0000005741216101E-3</v>
      </c>
      <c r="M1769" s="1273">
        <v>2.0000005740491099E-3</v>
      </c>
      <c r="N1769" s="1255">
        <v>3.1850009128239903E-2</v>
      </c>
      <c r="O1769" s="1256">
        <v>3.1850009128239903E-2</v>
      </c>
      <c r="P1769" s="1251">
        <v>1.59250045641199E-2</v>
      </c>
      <c r="Q1769" s="1254">
        <v>5.2898515745358398E-3</v>
      </c>
    </row>
    <row r="1770" spans="1:17" s="212" customFormat="1" ht="15.5" x14ac:dyDescent="0.35">
      <c r="A1770" s="198">
        <v>2044</v>
      </c>
      <c r="B1770" s="197" t="s">
        <v>5842</v>
      </c>
      <c r="C1770" s="197">
        <v>1971</v>
      </c>
      <c r="D1770" s="213" t="str">
        <f t="shared" si="20"/>
        <v>2044_1971</v>
      </c>
      <c r="E1770" s="1268">
        <v>0.36675590448190099</v>
      </c>
      <c r="F1770" s="1279">
        <v>2.21130645286103E-2</v>
      </c>
      <c r="G1770" s="1255">
        <v>9.4116965651129298</v>
      </c>
      <c r="H1770" s="1279">
        <v>0.39250638020488599</v>
      </c>
      <c r="I1770" s="1255">
        <v>5.2515180847596897E-2</v>
      </c>
      <c r="J1770" s="1279">
        <v>2.1612298614654599E-3</v>
      </c>
      <c r="K1770" s="1255">
        <v>3.0000008612665898E-3</v>
      </c>
      <c r="L1770" s="1253">
        <v>2.0000005741611102E-3</v>
      </c>
      <c r="M1770" s="1273">
        <v>2.0000005741611102E-3</v>
      </c>
      <c r="N1770" s="1255">
        <v>3.1850009128239903E-2</v>
      </c>
      <c r="O1770" s="1256">
        <v>3.1850009128239903E-2</v>
      </c>
      <c r="P1770" s="1251">
        <v>1.5925004564119952E-2</v>
      </c>
      <c r="Q1770" s="1254">
        <v>5.48896842928615E-2</v>
      </c>
    </row>
    <row r="1771" spans="1:17" s="212" customFormat="1" ht="15.5" x14ac:dyDescent="0.35">
      <c r="A1771" s="198">
        <v>2044</v>
      </c>
      <c r="B1771" s="197" t="s">
        <v>5842</v>
      </c>
      <c r="C1771" s="197">
        <v>1972</v>
      </c>
      <c r="D1771" s="213" t="str">
        <f t="shared" si="20"/>
        <v>2044_1972</v>
      </c>
      <c r="E1771" s="1268">
        <v>0.36675590448190099</v>
      </c>
      <c r="F1771" s="1279">
        <v>2.21130645286103E-2</v>
      </c>
      <c r="G1771" s="1255">
        <v>9.4116965651129298</v>
      </c>
      <c r="H1771" s="1279">
        <v>0.39250638020488599</v>
      </c>
      <c r="I1771" s="1255">
        <v>5.2515180847596897E-2</v>
      </c>
      <c r="J1771" s="1279">
        <v>2.1612298614654599E-3</v>
      </c>
      <c r="K1771" s="1255">
        <v>3.0000008612665898E-3</v>
      </c>
      <c r="L1771" s="1253">
        <v>2.0000005741611102E-3</v>
      </c>
      <c r="M1771" s="1273">
        <v>2.0000005741611102E-3</v>
      </c>
      <c r="N1771" s="1255">
        <v>3.1850009128239903E-2</v>
      </c>
      <c r="O1771" s="1256">
        <v>3.1850009128239903E-2</v>
      </c>
      <c r="P1771" s="1251">
        <v>1.5925004564119952E-2</v>
      </c>
      <c r="Q1771" s="1254">
        <v>5.48896842928615E-2</v>
      </c>
    </row>
    <row r="1772" spans="1:17" s="212" customFormat="1" ht="15.5" x14ac:dyDescent="0.35">
      <c r="A1772" s="198">
        <v>2044</v>
      </c>
      <c r="B1772" s="197" t="s">
        <v>5842</v>
      </c>
      <c r="C1772" s="197">
        <v>1973</v>
      </c>
      <c r="D1772" s="213" t="str">
        <f t="shared" si="20"/>
        <v>2044_1973</v>
      </c>
      <c r="E1772" s="1268">
        <v>0.36675590448190099</v>
      </c>
      <c r="F1772" s="1279">
        <v>2.21130645286103E-2</v>
      </c>
      <c r="G1772" s="1255">
        <v>9.4116965651129298</v>
      </c>
      <c r="H1772" s="1279">
        <v>0.39250638020488599</v>
      </c>
      <c r="I1772" s="1255">
        <v>5.2515180847596897E-2</v>
      </c>
      <c r="J1772" s="1279">
        <v>2.1612298614654599E-3</v>
      </c>
      <c r="K1772" s="1255">
        <v>3.0000008612665898E-3</v>
      </c>
      <c r="L1772" s="1253">
        <v>2.0000005741611102E-3</v>
      </c>
      <c r="M1772" s="1273">
        <v>2.0000005741611102E-3</v>
      </c>
      <c r="N1772" s="1255">
        <v>3.1850009128239903E-2</v>
      </c>
      <c r="O1772" s="1256">
        <v>3.1850009128239903E-2</v>
      </c>
      <c r="P1772" s="1251">
        <v>1.5925004564119952E-2</v>
      </c>
      <c r="Q1772" s="1254">
        <v>5.48896842928615E-2</v>
      </c>
    </row>
    <row r="1773" spans="1:17" s="212" customFormat="1" ht="15.5" x14ac:dyDescent="0.35">
      <c r="A1773" s="198">
        <v>2044</v>
      </c>
      <c r="B1773" s="197" t="s">
        <v>5842</v>
      </c>
      <c r="C1773" s="197">
        <v>1974</v>
      </c>
      <c r="D1773" s="213" t="str">
        <f t="shared" si="20"/>
        <v>2044_1974</v>
      </c>
      <c r="E1773" s="1268">
        <v>0.36675590448190099</v>
      </c>
      <c r="F1773" s="1279">
        <v>2.21130645286103E-2</v>
      </c>
      <c r="G1773" s="1255">
        <v>9.4116965651129298</v>
      </c>
      <c r="H1773" s="1279">
        <v>0.39250638020488599</v>
      </c>
      <c r="I1773" s="1255">
        <v>5.2515180847596897E-2</v>
      </c>
      <c r="J1773" s="1279">
        <v>2.1612298614654599E-3</v>
      </c>
      <c r="K1773" s="1255">
        <v>3.0000008612665898E-3</v>
      </c>
      <c r="L1773" s="1253">
        <v>2.0000005741611102E-3</v>
      </c>
      <c r="M1773" s="1273">
        <v>2.0000005741611102E-3</v>
      </c>
      <c r="N1773" s="1255">
        <v>3.1850009128239903E-2</v>
      </c>
      <c r="O1773" s="1256">
        <v>3.1850009128239903E-2</v>
      </c>
      <c r="P1773" s="1251">
        <v>1.5925004564119952E-2</v>
      </c>
      <c r="Q1773" s="1254">
        <v>5.48896842928615E-2</v>
      </c>
    </row>
    <row r="1774" spans="1:17" s="212" customFormat="1" ht="15.5" x14ac:dyDescent="0.35">
      <c r="A1774" s="198">
        <v>2044</v>
      </c>
      <c r="B1774" s="197" t="s">
        <v>5842</v>
      </c>
      <c r="C1774" s="197">
        <v>1975</v>
      </c>
      <c r="D1774" s="213" t="str">
        <f t="shared" si="20"/>
        <v>2044_1975</v>
      </c>
      <c r="E1774" s="1268">
        <v>0.36675590448190099</v>
      </c>
      <c r="F1774" s="1279">
        <v>2.21130645286103E-2</v>
      </c>
      <c r="G1774" s="1255">
        <v>9.4116965651129298</v>
      </c>
      <c r="H1774" s="1279">
        <v>0.39250638020488599</v>
      </c>
      <c r="I1774" s="1255">
        <v>5.2515180847596897E-2</v>
      </c>
      <c r="J1774" s="1279">
        <v>2.1612298614654599E-3</v>
      </c>
      <c r="K1774" s="1255">
        <v>3.0000008612665898E-3</v>
      </c>
      <c r="L1774" s="1253">
        <v>2.0000005741611102E-3</v>
      </c>
      <c r="M1774" s="1273">
        <v>2.0000005741611102E-3</v>
      </c>
      <c r="N1774" s="1255">
        <v>3.1850009128239903E-2</v>
      </c>
      <c r="O1774" s="1256">
        <v>3.1850009128239903E-2</v>
      </c>
      <c r="P1774" s="1251">
        <v>1.5925004564119952E-2</v>
      </c>
      <c r="Q1774" s="1254">
        <v>5.48896842928615E-2</v>
      </c>
    </row>
    <row r="1775" spans="1:17" s="212" customFormat="1" ht="15.5" x14ac:dyDescent="0.35">
      <c r="A1775" s="198">
        <v>2044</v>
      </c>
      <c r="B1775" s="197" t="s">
        <v>5842</v>
      </c>
      <c r="C1775" s="197">
        <v>1976</v>
      </c>
      <c r="D1775" s="213" t="str">
        <f t="shared" si="20"/>
        <v>2044_1976</v>
      </c>
      <c r="E1775" s="1268">
        <v>0.36675590448190099</v>
      </c>
      <c r="F1775" s="1279">
        <v>2.21130645286103E-2</v>
      </c>
      <c r="G1775" s="1255">
        <v>9.4116965651129298</v>
      </c>
      <c r="H1775" s="1279">
        <v>0.39250638020488599</v>
      </c>
      <c r="I1775" s="1255">
        <v>5.2515180847596897E-2</v>
      </c>
      <c r="J1775" s="1279">
        <v>2.1612298614654599E-3</v>
      </c>
      <c r="K1775" s="1255">
        <v>3.0000008612665898E-3</v>
      </c>
      <c r="L1775" s="1253">
        <v>2.0000005741611102E-3</v>
      </c>
      <c r="M1775" s="1273">
        <v>2.0000005741611102E-3</v>
      </c>
      <c r="N1775" s="1255">
        <v>3.1850009128239903E-2</v>
      </c>
      <c r="O1775" s="1256">
        <v>3.1850009128239903E-2</v>
      </c>
      <c r="P1775" s="1251">
        <v>1.5925004564119952E-2</v>
      </c>
      <c r="Q1775" s="1254">
        <v>5.48896842928615E-2</v>
      </c>
    </row>
    <row r="1776" spans="1:17" s="212" customFormat="1" ht="15.5" x14ac:dyDescent="0.35">
      <c r="A1776" s="198">
        <v>2044</v>
      </c>
      <c r="B1776" s="197" t="s">
        <v>5842</v>
      </c>
      <c r="C1776" s="197">
        <v>1977</v>
      </c>
      <c r="D1776" s="213" t="str">
        <f t="shared" si="20"/>
        <v>2044_1977</v>
      </c>
      <c r="E1776" s="1268">
        <v>0.36675590448190099</v>
      </c>
      <c r="F1776" s="1279">
        <v>2.21130645286103E-2</v>
      </c>
      <c r="G1776" s="1255">
        <v>9.4116965651129298</v>
      </c>
      <c r="H1776" s="1279">
        <v>0.39250638020488599</v>
      </c>
      <c r="I1776" s="1255">
        <v>5.2515180847596897E-2</v>
      </c>
      <c r="J1776" s="1279">
        <v>2.1612298614654599E-3</v>
      </c>
      <c r="K1776" s="1255">
        <v>3.0000008612665898E-3</v>
      </c>
      <c r="L1776" s="1253">
        <v>2.0000005741611102E-3</v>
      </c>
      <c r="M1776" s="1273">
        <v>2.0000005741611102E-3</v>
      </c>
      <c r="N1776" s="1255">
        <v>3.1850009128239903E-2</v>
      </c>
      <c r="O1776" s="1256">
        <v>3.1850009128239903E-2</v>
      </c>
      <c r="P1776" s="1251">
        <v>1.5925004564119952E-2</v>
      </c>
      <c r="Q1776" s="1254">
        <v>5.48896842928615E-2</v>
      </c>
    </row>
    <row r="1777" spans="1:17" s="212" customFormat="1" ht="15.5" x14ac:dyDescent="0.35">
      <c r="A1777" s="198">
        <v>2044</v>
      </c>
      <c r="B1777" s="197" t="s">
        <v>5842</v>
      </c>
      <c r="C1777" s="197">
        <v>1978</v>
      </c>
      <c r="D1777" s="213" t="str">
        <f t="shared" si="20"/>
        <v>2044_1978</v>
      </c>
      <c r="E1777" s="1268">
        <v>0.36675590448190099</v>
      </c>
      <c r="F1777" s="1279">
        <v>2.21130645286103E-2</v>
      </c>
      <c r="G1777" s="1255">
        <v>9.4116965651129298</v>
      </c>
      <c r="H1777" s="1279">
        <v>0.39250638020488599</v>
      </c>
      <c r="I1777" s="1255">
        <v>5.2515180847596897E-2</v>
      </c>
      <c r="J1777" s="1279">
        <v>2.1612298614654599E-3</v>
      </c>
      <c r="K1777" s="1255">
        <v>3.0000008612665898E-3</v>
      </c>
      <c r="L1777" s="1253">
        <v>2.0000005741611102E-3</v>
      </c>
      <c r="M1777" s="1273">
        <v>2.0000005741611102E-3</v>
      </c>
      <c r="N1777" s="1255">
        <v>3.1850009128239903E-2</v>
      </c>
      <c r="O1777" s="1256">
        <v>3.1850009128239903E-2</v>
      </c>
      <c r="P1777" s="1251">
        <v>1.5925004564119952E-2</v>
      </c>
      <c r="Q1777" s="1254">
        <v>5.48896842928615E-2</v>
      </c>
    </row>
    <row r="1778" spans="1:17" s="212" customFormat="1" ht="15.5" x14ac:dyDescent="0.35">
      <c r="A1778" s="198">
        <v>2044</v>
      </c>
      <c r="B1778" s="197" t="s">
        <v>5842</v>
      </c>
      <c r="C1778" s="197">
        <v>1979</v>
      </c>
      <c r="D1778" s="213" t="str">
        <f t="shared" si="20"/>
        <v>2044_1979</v>
      </c>
      <c r="E1778" s="1268">
        <v>0.36675590448190099</v>
      </c>
      <c r="F1778" s="1279">
        <v>2.21130645286103E-2</v>
      </c>
      <c r="G1778" s="1255">
        <v>9.4116965651129298</v>
      </c>
      <c r="H1778" s="1279">
        <v>0.39250638020488599</v>
      </c>
      <c r="I1778" s="1255">
        <v>5.2515180847596897E-2</v>
      </c>
      <c r="J1778" s="1279">
        <v>2.1612298614654599E-3</v>
      </c>
      <c r="K1778" s="1255">
        <v>3.0000008612665898E-3</v>
      </c>
      <c r="L1778" s="1253">
        <v>2.0000005741611102E-3</v>
      </c>
      <c r="M1778" s="1273">
        <v>2.0000005741611102E-3</v>
      </c>
      <c r="N1778" s="1255">
        <v>3.1850009128239903E-2</v>
      </c>
      <c r="O1778" s="1256">
        <v>3.1850009128239903E-2</v>
      </c>
      <c r="P1778" s="1251">
        <v>1.5925004564119952E-2</v>
      </c>
      <c r="Q1778" s="1254">
        <v>5.48896842928615E-2</v>
      </c>
    </row>
    <row r="1779" spans="1:17" s="212" customFormat="1" ht="15.5" x14ac:dyDescent="0.35">
      <c r="A1779" s="198">
        <v>2044</v>
      </c>
      <c r="B1779" s="197" t="s">
        <v>5842</v>
      </c>
      <c r="C1779" s="197">
        <v>1980</v>
      </c>
      <c r="D1779" s="213" t="str">
        <f t="shared" si="20"/>
        <v>2044_1980</v>
      </c>
      <c r="E1779" s="1268">
        <v>0.36675590448190099</v>
      </c>
      <c r="F1779" s="1279">
        <v>2.21130645286103E-2</v>
      </c>
      <c r="G1779" s="1255">
        <v>9.4116965651129298</v>
      </c>
      <c r="H1779" s="1279">
        <v>0.39250638020488599</v>
      </c>
      <c r="I1779" s="1255">
        <v>5.2515180847596897E-2</v>
      </c>
      <c r="J1779" s="1279">
        <v>2.1612298614654599E-3</v>
      </c>
      <c r="K1779" s="1255">
        <v>3.0000008612665898E-3</v>
      </c>
      <c r="L1779" s="1253">
        <v>2.0000005741611102E-3</v>
      </c>
      <c r="M1779" s="1273">
        <v>2.0000005741611102E-3</v>
      </c>
      <c r="N1779" s="1255">
        <v>3.1850009128239903E-2</v>
      </c>
      <c r="O1779" s="1256">
        <v>3.1850009128239903E-2</v>
      </c>
      <c r="P1779" s="1251">
        <v>1.5925004564119952E-2</v>
      </c>
      <c r="Q1779" s="1254">
        <v>5.48896842928615E-2</v>
      </c>
    </row>
    <row r="1780" spans="1:17" s="212" customFormat="1" ht="15.5" x14ac:dyDescent="0.35">
      <c r="A1780" s="198">
        <v>2044</v>
      </c>
      <c r="B1780" s="197" t="s">
        <v>5842</v>
      </c>
      <c r="C1780" s="197">
        <v>1981</v>
      </c>
      <c r="D1780" s="213" t="str">
        <f t="shared" si="20"/>
        <v>2044_1981</v>
      </c>
      <c r="E1780" s="1268">
        <v>0.36675590448190099</v>
      </c>
      <c r="F1780" s="1279">
        <v>2.21130645286103E-2</v>
      </c>
      <c r="G1780" s="1255">
        <v>9.4116965651129298</v>
      </c>
      <c r="H1780" s="1279">
        <v>0.39250638020488599</v>
      </c>
      <c r="I1780" s="1255">
        <v>5.2515180847596897E-2</v>
      </c>
      <c r="J1780" s="1279">
        <v>2.1612298614654599E-3</v>
      </c>
      <c r="K1780" s="1255">
        <v>3.0000008612665898E-3</v>
      </c>
      <c r="L1780" s="1253">
        <v>2.0000005741611102E-3</v>
      </c>
      <c r="M1780" s="1273">
        <v>2.0000005741611102E-3</v>
      </c>
      <c r="N1780" s="1255">
        <v>3.1850009128239903E-2</v>
      </c>
      <c r="O1780" s="1256">
        <v>3.1850009128239903E-2</v>
      </c>
      <c r="P1780" s="1251">
        <v>1.5925004564119952E-2</v>
      </c>
      <c r="Q1780" s="1254">
        <v>5.48896842928615E-2</v>
      </c>
    </row>
    <row r="1781" spans="1:17" s="212" customFormat="1" ht="15.5" x14ac:dyDescent="0.35">
      <c r="A1781" s="198">
        <v>2044</v>
      </c>
      <c r="B1781" s="197" t="s">
        <v>5842</v>
      </c>
      <c r="C1781" s="197">
        <v>1982</v>
      </c>
      <c r="D1781" s="213" t="str">
        <f t="shared" si="20"/>
        <v>2044_1982</v>
      </c>
      <c r="E1781" s="1268">
        <v>0.36675590448190099</v>
      </c>
      <c r="F1781" s="1279">
        <v>2.21130645286103E-2</v>
      </c>
      <c r="G1781" s="1255">
        <v>9.4116965651129298</v>
      </c>
      <c r="H1781" s="1279">
        <v>0.39250638020488599</v>
      </c>
      <c r="I1781" s="1255">
        <v>5.2515180847596897E-2</v>
      </c>
      <c r="J1781" s="1279">
        <v>2.1612298614654599E-3</v>
      </c>
      <c r="K1781" s="1255">
        <v>3.0000008612665898E-3</v>
      </c>
      <c r="L1781" s="1253">
        <v>2.0000005741611102E-3</v>
      </c>
      <c r="M1781" s="1273">
        <v>2.0000005741611102E-3</v>
      </c>
      <c r="N1781" s="1255">
        <v>3.1850009128239903E-2</v>
      </c>
      <c r="O1781" s="1256">
        <v>3.1850009128239903E-2</v>
      </c>
      <c r="P1781" s="1251">
        <v>1.5925004564119952E-2</v>
      </c>
      <c r="Q1781" s="1254">
        <v>5.48896842928615E-2</v>
      </c>
    </row>
    <row r="1782" spans="1:17" s="212" customFormat="1" ht="15.5" x14ac:dyDescent="0.35">
      <c r="A1782" s="198">
        <v>2044</v>
      </c>
      <c r="B1782" s="197" t="s">
        <v>5842</v>
      </c>
      <c r="C1782" s="197">
        <v>1983</v>
      </c>
      <c r="D1782" s="213" t="str">
        <f t="shared" si="20"/>
        <v>2044_1983</v>
      </c>
      <c r="E1782" s="1268">
        <v>0.36675590448190099</v>
      </c>
      <c r="F1782" s="1279">
        <v>2.21130645286103E-2</v>
      </c>
      <c r="G1782" s="1255">
        <v>9.4116965651129298</v>
      </c>
      <c r="H1782" s="1279">
        <v>0.39250638020488599</v>
      </c>
      <c r="I1782" s="1255">
        <v>5.2515180847596897E-2</v>
      </c>
      <c r="J1782" s="1279">
        <v>2.1612298614654599E-3</v>
      </c>
      <c r="K1782" s="1255">
        <v>3.0000008612665898E-3</v>
      </c>
      <c r="L1782" s="1253">
        <v>2.0000005741611102E-3</v>
      </c>
      <c r="M1782" s="1273">
        <v>2.0000005741611102E-3</v>
      </c>
      <c r="N1782" s="1255">
        <v>3.1850009128239903E-2</v>
      </c>
      <c r="O1782" s="1256">
        <v>3.1850009128239903E-2</v>
      </c>
      <c r="P1782" s="1251">
        <v>1.5925004564119952E-2</v>
      </c>
      <c r="Q1782" s="1254">
        <v>5.48896842928615E-2</v>
      </c>
    </row>
    <row r="1783" spans="1:17" s="212" customFormat="1" ht="15.5" x14ac:dyDescent="0.35">
      <c r="A1783" s="198">
        <v>2044</v>
      </c>
      <c r="B1783" s="197" t="s">
        <v>5842</v>
      </c>
      <c r="C1783" s="197">
        <v>1984</v>
      </c>
      <c r="D1783" s="213" t="str">
        <f t="shared" si="20"/>
        <v>2044_1984</v>
      </c>
      <c r="E1783" s="1268">
        <v>0.36675590448190099</v>
      </c>
      <c r="F1783" s="1279">
        <v>2.21130645286103E-2</v>
      </c>
      <c r="G1783" s="1255">
        <v>9.4116965651129298</v>
      </c>
      <c r="H1783" s="1279">
        <v>0.39250638020488599</v>
      </c>
      <c r="I1783" s="1255">
        <v>5.2515180847596897E-2</v>
      </c>
      <c r="J1783" s="1279">
        <v>2.1612298614654599E-3</v>
      </c>
      <c r="K1783" s="1255">
        <v>3.0000008612665898E-3</v>
      </c>
      <c r="L1783" s="1253">
        <v>2.0000005741611102E-3</v>
      </c>
      <c r="M1783" s="1273">
        <v>2.0000005741611102E-3</v>
      </c>
      <c r="N1783" s="1255">
        <v>3.1850009128239903E-2</v>
      </c>
      <c r="O1783" s="1256">
        <v>3.1850009128239903E-2</v>
      </c>
      <c r="P1783" s="1251">
        <v>1.5925004564119952E-2</v>
      </c>
      <c r="Q1783" s="1254">
        <v>5.48896842928615E-2</v>
      </c>
    </row>
    <row r="1784" spans="1:17" s="212" customFormat="1" ht="15.5" x14ac:dyDescent="0.35">
      <c r="A1784" s="198">
        <v>2044</v>
      </c>
      <c r="B1784" s="197" t="s">
        <v>5842</v>
      </c>
      <c r="C1784" s="197">
        <v>1985</v>
      </c>
      <c r="D1784" s="213" t="str">
        <f t="shared" si="20"/>
        <v>2044_1985</v>
      </c>
      <c r="E1784" s="1268">
        <v>0.36675590448190099</v>
      </c>
      <c r="F1784" s="1279">
        <v>2.21130645286103E-2</v>
      </c>
      <c r="G1784" s="1255">
        <v>9.4116965651129298</v>
      </c>
      <c r="H1784" s="1279">
        <v>0.39250638020488599</v>
      </c>
      <c r="I1784" s="1255">
        <v>5.2515180847596897E-2</v>
      </c>
      <c r="J1784" s="1279">
        <v>2.1612298614654599E-3</v>
      </c>
      <c r="K1784" s="1255">
        <v>3.0000008612665898E-3</v>
      </c>
      <c r="L1784" s="1253">
        <v>2.0000005741611102E-3</v>
      </c>
      <c r="M1784" s="1273">
        <v>2.0000005741611102E-3</v>
      </c>
      <c r="N1784" s="1255">
        <v>3.1850009128239903E-2</v>
      </c>
      <c r="O1784" s="1256">
        <v>3.1850009128239903E-2</v>
      </c>
      <c r="P1784" s="1251">
        <v>1.5925004564119952E-2</v>
      </c>
      <c r="Q1784" s="1254">
        <v>5.48896842928615E-2</v>
      </c>
    </row>
    <row r="1785" spans="1:17" s="212" customFormat="1" ht="15.5" x14ac:dyDescent="0.35">
      <c r="A1785" s="198">
        <v>2044</v>
      </c>
      <c r="B1785" s="197" t="s">
        <v>5842</v>
      </c>
      <c r="C1785" s="197">
        <v>1986</v>
      </c>
      <c r="D1785" s="213" t="str">
        <f t="shared" si="20"/>
        <v>2044_1986</v>
      </c>
      <c r="E1785" s="1268">
        <v>0.36675590448190099</v>
      </c>
      <c r="F1785" s="1279">
        <v>2.21130645286103E-2</v>
      </c>
      <c r="G1785" s="1255">
        <v>9.4116965651129298</v>
      </c>
      <c r="H1785" s="1279">
        <v>0.39250638020488599</v>
      </c>
      <c r="I1785" s="1255">
        <v>5.2515180847596897E-2</v>
      </c>
      <c r="J1785" s="1279">
        <v>2.1612298614654599E-3</v>
      </c>
      <c r="K1785" s="1255">
        <v>3.0000008612665898E-3</v>
      </c>
      <c r="L1785" s="1253">
        <v>2.0000005741611102E-3</v>
      </c>
      <c r="M1785" s="1273">
        <v>2.0000005741611102E-3</v>
      </c>
      <c r="N1785" s="1255">
        <v>3.1850009128239903E-2</v>
      </c>
      <c r="O1785" s="1256">
        <v>3.1850009128239903E-2</v>
      </c>
      <c r="P1785" s="1251">
        <v>1.5925004564119952E-2</v>
      </c>
      <c r="Q1785" s="1254">
        <v>5.48896842928615E-2</v>
      </c>
    </row>
    <row r="1786" spans="1:17" s="212" customFormat="1" ht="15.5" x14ac:dyDescent="0.35">
      <c r="A1786" s="198">
        <v>2044</v>
      </c>
      <c r="B1786" s="197" t="s">
        <v>5842</v>
      </c>
      <c r="C1786" s="197">
        <v>1987</v>
      </c>
      <c r="D1786" s="213" t="str">
        <f t="shared" si="20"/>
        <v>2044_1987</v>
      </c>
      <c r="E1786" s="1268">
        <v>0.36675590448190099</v>
      </c>
      <c r="F1786" s="1279">
        <v>2.21130645286103E-2</v>
      </c>
      <c r="G1786" s="1255">
        <v>9.4116965651129298</v>
      </c>
      <c r="H1786" s="1279">
        <v>0.39250638020488599</v>
      </c>
      <c r="I1786" s="1255">
        <v>5.2515180847596897E-2</v>
      </c>
      <c r="J1786" s="1279">
        <v>2.1612298614654599E-3</v>
      </c>
      <c r="K1786" s="1255">
        <v>3.0000008612665898E-3</v>
      </c>
      <c r="L1786" s="1253">
        <v>2.0000005741611102E-3</v>
      </c>
      <c r="M1786" s="1273">
        <v>2.0000005741611102E-3</v>
      </c>
      <c r="N1786" s="1255">
        <v>3.1850009128239903E-2</v>
      </c>
      <c r="O1786" s="1256">
        <v>3.1850009128239903E-2</v>
      </c>
      <c r="P1786" s="1251">
        <v>1.5925004564119952E-2</v>
      </c>
      <c r="Q1786" s="1254">
        <v>5.48896842928615E-2</v>
      </c>
    </row>
    <row r="1787" spans="1:17" s="212" customFormat="1" ht="15.5" x14ac:dyDescent="0.35">
      <c r="A1787" s="198">
        <v>2044</v>
      </c>
      <c r="B1787" s="197" t="s">
        <v>5842</v>
      </c>
      <c r="C1787" s="197">
        <v>1988</v>
      </c>
      <c r="D1787" s="213" t="str">
        <f t="shared" si="20"/>
        <v>2044_1988</v>
      </c>
      <c r="E1787" s="1268">
        <v>0.36675590448190099</v>
      </c>
      <c r="F1787" s="1279">
        <v>2.21130645286103E-2</v>
      </c>
      <c r="G1787" s="1255">
        <v>9.4116965651129298</v>
      </c>
      <c r="H1787" s="1279">
        <v>0.39250638020488599</v>
      </c>
      <c r="I1787" s="1255">
        <v>5.2515180847596897E-2</v>
      </c>
      <c r="J1787" s="1279">
        <v>2.1612298614654599E-3</v>
      </c>
      <c r="K1787" s="1255">
        <v>3.0000008612665898E-3</v>
      </c>
      <c r="L1787" s="1253">
        <v>2.0000005741611102E-3</v>
      </c>
      <c r="M1787" s="1273">
        <v>2.0000005741611102E-3</v>
      </c>
      <c r="N1787" s="1255">
        <v>3.1850009128239903E-2</v>
      </c>
      <c r="O1787" s="1256">
        <v>3.1850009128239903E-2</v>
      </c>
      <c r="P1787" s="1251">
        <v>1.5925004564119952E-2</v>
      </c>
      <c r="Q1787" s="1254">
        <v>5.48896842928615E-2</v>
      </c>
    </row>
    <row r="1788" spans="1:17" s="212" customFormat="1" ht="15.5" x14ac:dyDescent="0.35">
      <c r="A1788" s="198">
        <v>2044</v>
      </c>
      <c r="B1788" s="197" t="s">
        <v>5842</v>
      </c>
      <c r="C1788" s="197">
        <v>1989</v>
      </c>
      <c r="D1788" s="213" t="str">
        <f t="shared" si="20"/>
        <v>2044_1989</v>
      </c>
      <c r="E1788" s="1268">
        <v>0.36675590448190099</v>
      </c>
      <c r="F1788" s="1279">
        <v>2.21130645286103E-2</v>
      </c>
      <c r="G1788" s="1255">
        <v>9.4116965651129298</v>
      </c>
      <c r="H1788" s="1279">
        <v>0.39250638020488599</v>
      </c>
      <c r="I1788" s="1255">
        <v>5.2515180847596897E-2</v>
      </c>
      <c r="J1788" s="1279">
        <v>2.1612298614654599E-3</v>
      </c>
      <c r="K1788" s="1255">
        <v>3.0000008612665898E-3</v>
      </c>
      <c r="L1788" s="1253">
        <v>2.0000005741611102E-3</v>
      </c>
      <c r="M1788" s="1273">
        <v>2.0000005741611102E-3</v>
      </c>
      <c r="N1788" s="1255">
        <v>3.1850009128239903E-2</v>
      </c>
      <c r="O1788" s="1256">
        <v>3.1850009128239903E-2</v>
      </c>
      <c r="P1788" s="1251">
        <v>1.5925004564119952E-2</v>
      </c>
      <c r="Q1788" s="1254">
        <v>5.48896842928615E-2</v>
      </c>
    </row>
    <row r="1789" spans="1:17" s="212" customFormat="1" ht="15.5" x14ac:dyDescent="0.35">
      <c r="A1789" s="198">
        <v>2044</v>
      </c>
      <c r="B1789" s="197" t="s">
        <v>5842</v>
      </c>
      <c r="C1789" s="197">
        <v>1990</v>
      </c>
      <c r="D1789" s="213" t="str">
        <f t="shared" si="20"/>
        <v>2044_1990</v>
      </c>
      <c r="E1789" s="1268">
        <v>0.36675590448190099</v>
      </c>
      <c r="F1789" s="1279">
        <v>2.21130645286103E-2</v>
      </c>
      <c r="G1789" s="1255">
        <v>9.4116965651129298</v>
      </c>
      <c r="H1789" s="1279">
        <v>0.39250638020488599</v>
      </c>
      <c r="I1789" s="1255">
        <v>5.2515180847596897E-2</v>
      </c>
      <c r="J1789" s="1279">
        <v>2.1612298614654599E-3</v>
      </c>
      <c r="K1789" s="1255">
        <v>3.0000008612665898E-3</v>
      </c>
      <c r="L1789" s="1253">
        <v>2.0000005741611102E-3</v>
      </c>
      <c r="M1789" s="1273">
        <v>2.0000005741611102E-3</v>
      </c>
      <c r="N1789" s="1255">
        <v>3.1850009128239903E-2</v>
      </c>
      <c r="O1789" s="1256">
        <v>3.1850009128239903E-2</v>
      </c>
      <c r="P1789" s="1251">
        <v>1.5925004564119952E-2</v>
      </c>
      <c r="Q1789" s="1254">
        <v>5.48896842928615E-2</v>
      </c>
    </row>
    <row r="1790" spans="1:17" s="212" customFormat="1" ht="15.5" x14ac:dyDescent="0.35">
      <c r="A1790" s="198">
        <v>2044</v>
      </c>
      <c r="B1790" s="197" t="s">
        <v>5842</v>
      </c>
      <c r="C1790" s="197">
        <v>1991</v>
      </c>
      <c r="D1790" s="213" t="str">
        <f t="shared" si="20"/>
        <v>2044_1991</v>
      </c>
      <c r="E1790" s="1268">
        <v>0.36675590448190099</v>
      </c>
      <c r="F1790" s="1279">
        <v>2.21130645286103E-2</v>
      </c>
      <c r="G1790" s="1255">
        <v>9.4116965651129298</v>
      </c>
      <c r="H1790" s="1279">
        <v>0.39250638020488599</v>
      </c>
      <c r="I1790" s="1255">
        <v>5.2515180847596897E-2</v>
      </c>
      <c r="J1790" s="1279">
        <v>2.1612298614654599E-3</v>
      </c>
      <c r="K1790" s="1255">
        <v>3.0000008612665898E-3</v>
      </c>
      <c r="L1790" s="1253">
        <v>2.0000005741611102E-3</v>
      </c>
      <c r="M1790" s="1273">
        <v>2.0000005741611102E-3</v>
      </c>
      <c r="N1790" s="1255">
        <v>3.1850009128239903E-2</v>
      </c>
      <c r="O1790" s="1256">
        <v>3.1850009128239903E-2</v>
      </c>
      <c r="P1790" s="1251">
        <v>1.5925004564119952E-2</v>
      </c>
      <c r="Q1790" s="1254">
        <v>5.48896842928615E-2</v>
      </c>
    </row>
    <row r="1791" spans="1:17" s="212" customFormat="1" ht="15.5" x14ac:dyDescent="0.35">
      <c r="A1791" s="198">
        <v>2044</v>
      </c>
      <c r="B1791" s="197" t="s">
        <v>5842</v>
      </c>
      <c r="C1791" s="197">
        <v>1992</v>
      </c>
      <c r="D1791" s="213" t="str">
        <f t="shared" si="20"/>
        <v>2044_1992</v>
      </c>
      <c r="E1791" s="1268">
        <v>0.36675590448190099</v>
      </c>
      <c r="F1791" s="1279">
        <v>2.21130645286103E-2</v>
      </c>
      <c r="G1791" s="1255">
        <v>9.4116965651129298</v>
      </c>
      <c r="H1791" s="1279">
        <v>0.39250638020488599</v>
      </c>
      <c r="I1791" s="1255">
        <v>5.2515180847596897E-2</v>
      </c>
      <c r="J1791" s="1279">
        <v>2.1612298614654599E-3</v>
      </c>
      <c r="K1791" s="1255">
        <v>3.0000008612665898E-3</v>
      </c>
      <c r="L1791" s="1253">
        <v>2.0000005741611102E-3</v>
      </c>
      <c r="M1791" s="1273">
        <v>2.0000005741611102E-3</v>
      </c>
      <c r="N1791" s="1255">
        <v>3.1850009128239903E-2</v>
      </c>
      <c r="O1791" s="1256">
        <v>3.1850009128239903E-2</v>
      </c>
      <c r="P1791" s="1251">
        <v>1.5925004564119952E-2</v>
      </c>
      <c r="Q1791" s="1254">
        <v>5.48896842928615E-2</v>
      </c>
    </row>
    <row r="1792" spans="1:17" s="212" customFormat="1" ht="15.5" x14ac:dyDescent="0.35">
      <c r="A1792" s="198">
        <v>2044</v>
      </c>
      <c r="B1792" s="197" t="s">
        <v>5842</v>
      </c>
      <c r="C1792" s="197">
        <v>1993</v>
      </c>
      <c r="D1792" s="213" t="str">
        <f t="shared" si="20"/>
        <v>2044_1993</v>
      </c>
      <c r="E1792" s="1268">
        <v>0.36675590448190099</v>
      </c>
      <c r="F1792" s="1279">
        <v>2.21130645286103E-2</v>
      </c>
      <c r="G1792" s="1255">
        <v>9.4116965651129298</v>
      </c>
      <c r="H1792" s="1279">
        <v>0.39250638020488599</v>
      </c>
      <c r="I1792" s="1255">
        <v>5.2515180847596897E-2</v>
      </c>
      <c r="J1792" s="1279">
        <v>2.1612298614654599E-3</v>
      </c>
      <c r="K1792" s="1255">
        <v>3.0000008612665898E-3</v>
      </c>
      <c r="L1792" s="1253">
        <v>2.0000005741611102E-3</v>
      </c>
      <c r="M1792" s="1273">
        <v>2.0000005741611102E-3</v>
      </c>
      <c r="N1792" s="1255">
        <v>3.1850009128239903E-2</v>
      </c>
      <c r="O1792" s="1256">
        <v>3.1850009128239903E-2</v>
      </c>
      <c r="P1792" s="1251">
        <v>1.5925004564119952E-2</v>
      </c>
      <c r="Q1792" s="1254">
        <v>5.48896842928615E-2</v>
      </c>
    </row>
    <row r="1793" spans="1:17" s="212" customFormat="1" ht="15.5" x14ac:dyDescent="0.35">
      <c r="A1793" s="198">
        <v>2044</v>
      </c>
      <c r="B1793" s="197" t="s">
        <v>5842</v>
      </c>
      <c r="C1793" s="197">
        <v>1994</v>
      </c>
      <c r="D1793" s="213" t="str">
        <f t="shared" si="20"/>
        <v>2044_1994</v>
      </c>
      <c r="E1793" s="1268">
        <v>0.36675590448190099</v>
      </c>
      <c r="F1793" s="1279">
        <v>2.21130645286103E-2</v>
      </c>
      <c r="G1793" s="1255">
        <v>9.4116965651129298</v>
      </c>
      <c r="H1793" s="1279">
        <v>0.39250638020488599</v>
      </c>
      <c r="I1793" s="1255">
        <v>5.2515180847596897E-2</v>
      </c>
      <c r="J1793" s="1279">
        <v>2.1612298614654599E-3</v>
      </c>
      <c r="K1793" s="1255">
        <v>3.0000008612665898E-3</v>
      </c>
      <c r="L1793" s="1253">
        <v>2.0000005741611102E-3</v>
      </c>
      <c r="M1793" s="1273">
        <v>2.0000005741611102E-3</v>
      </c>
      <c r="N1793" s="1255">
        <v>3.1850009128239903E-2</v>
      </c>
      <c r="O1793" s="1256">
        <v>3.1850009128239903E-2</v>
      </c>
      <c r="P1793" s="1251">
        <v>1.5925004564119952E-2</v>
      </c>
      <c r="Q1793" s="1254">
        <v>5.48896842928615E-2</v>
      </c>
    </row>
    <row r="1794" spans="1:17" s="212" customFormat="1" ht="15.5" x14ac:dyDescent="0.35">
      <c r="A1794" s="198">
        <v>2044</v>
      </c>
      <c r="B1794" s="197" t="s">
        <v>5842</v>
      </c>
      <c r="C1794" s="197">
        <v>1995</v>
      </c>
      <c r="D1794" s="213" t="str">
        <f t="shared" si="20"/>
        <v>2044_1995</v>
      </c>
      <c r="E1794" s="1268">
        <v>0.36675590448190099</v>
      </c>
      <c r="F1794" s="1279">
        <v>2.21130645286103E-2</v>
      </c>
      <c r="G1794" s="1255">
        <v>9.4116965651129298</v>
      </c>
      <c r="H1794" s="1279">
        <v>0.39250638020488599</v>
      </c>
      <c r="I1794" s="1255">
        <v>5.2515180847596897E-2</v>
      </c>
      <c r="J1794" s="1279">
        <v>2.1612298614654599E-3</v>
      </c>
      <c r="K1794" s="1255">
        <v>3.0000008612665898E-3</v>
      </c>
      <c r="L1794" s="1253">
        <v>2.0000005741611102E-3</v>
      </c>
      <c r="M1794" s="1273">
        <v>2.0000005741611102E-3</v>
      </c>
      <c r="N1794" s="1255">
        <v>3.1850009128239903E-2</v>
      </c>
      <c r="O1794" s="1256">
        <v>3.1850009128239903E-2</v>
      </c>
      <c r="P1794" s="1251">
        <v>1.5925004564119952E-2</v>
      </c>
      <c r="Q1794" s="1254">
        <v>5.48896842928615E-2</v>
      </c>
    </row>
    <row r="1795" spans="1:17" s="212" customFormat="1" ht="15.5" x14ac:dyDescent="0.35">
      <c r="A1795" s="198">
        <v>2044</v>
      </c>
      <c r="B1795" s="197" t="s">
        <v>5842</v>
      </c>
      <c r="C1795" s="197">
        <v>1996</v>
      </c>
      <c r="D1795" s="213" t="str">
        <f t="shared" si="20"/>
        <v>2044_1996</v>
      </c>
      <c r="E1795" s="1268">
        <v>0.36675590448190099</v>
      </c>
      <c r="F1795" s="1279">
        <v>2.21130645286103E-2</v>
      </c>
      <c r="G1795" s="1255">
        <v>9.4116965651129298</v>
      </c>
      <c r="H1795" s="1279">
        <v>0.39250638020488599</v>
      </c>
      <c r="I1795" s="1255">
        <v>5.2515180847596897E-2</v>
      </c>
      <c r="J1795" s="1279">
        <v>2.1612298614654599E-3</v>
      </c>
      <c r="K1795" s="1255">
        <v>3.0000008612665898E-3</v>
      </c>
      <c r="L1795" s="1253">
        <v>2.0000005741611102E-3</v>
      </c>
      <c r="M1795" s="1273">
        <v>2.0000005741611102E-3</v>
      </c>
      <c r="N1795" s="1255">
        <v>3.1850009128239903E-2</v>
      </c>
      <c r="O1795" s="1256">
        <v>3.1850009128239903E-2</v>
      </c>
      <c r="P1795" s="1251">
        <v>1.5925004564119952E-2</v>
      </c>
      <c r="Q1795" s="1254">
        <v>5.48896842928615E-2</v>
      </c>
    </row>
    <row r="1796" spans="1:17" s="212" customFormat="1" ht="15.5" x14ac:dyDescent="0.35">
      <c r="A1796" s="198">
        <v>2044</v>
      </c>
      <c r="B1796" s="197" t="s">
        <v>5842</v>
      </c>
      <c r="C1796" s="197">
        <v>1997</v>
      </c>
      <c r="D1796" s="213" t="str">
        <f t="shared" si="20"/>
        <v>2044_1997</v>
      </c>
      <c r="E1796" s="1268">
        <v>0.36675590448190099</v>
      </c>
      <c r="F1796" s="1279">
        <v>2.21130645286103E-2</v>
      </c>
      <c r="G1796" s="1255">
        <v>9.4116965651129298</v>
      </c>
      <c r="H1796" s="1279">
        <v>0.39250638020488599</v>
      </c>
      <c r="I1796" s="1255">
        <v>5.2515180847596897E-2</v>
      </c>
      <c r="J1796" s="1279">
        <v>2.1612298614654599E-3</v>
      </c>
      <c r="K1796" s="1255">
        <v>3.0000008612665898E-3</v>
      </c>
      <c r="L1796" s="1253">
        <v>2.0000005741611102E-3</v>
      </c>
      <c r="M1796" s="1273">
        <v>2.0000005741611102E-3</v>
      </c>
      <c r="N1796" s="1255">
        <v>3.1850009128239903E-2</v>
      </c>
      <c r="O1796" s="1256">
        <v>3.1850009128239903E-2</v>
      </c>
      <c r="P1796" s="1251">
        <v>1.5925004564119952E-2</v>
      </c>
      <c r="Q1796" s="1254">
        <v>5.48896842928615E-2</v>
      </c>
    </row>
    <row r="1797" spans="1:17" s="212" customFormat="1" ht="15.5" x14ac:dyDescent="0.35">
      <c r="A1797" s="198">
        <v>2044</v>
      </c>
      <c r="B1797" s="197" t="s">
        <v>5842</v>
      </c>
      <c r="C1797" s="197">
        <v>1998</v>
      </c>
      <c r="D1797" s="213" t="str">
        <f t="shared" si="20"/>
        <v>2044_1998</v>
      </c>
      <c r="E1797" s="1268">
        <v>0.36675590448190099</v>
      </c>
      <c r="F1797" s="1279">
        <v>2.21130645286103E-2</v>
      </c>
      <c r="G1797" s="1255">
        <v>9.4116965651129298</v>
      </c>
      <c r="H1797" s="1279">
        <v>0.39250638020488599</v>
      </c>
      <c r="I1797" s="1255">
        <v>5.2515180847596897E-2</v>
      </c>
      <c r="J1797" s="1279">
        <v>2.1612298614654599E-3</v>
      </c>
      <c r="K1797" s="1255">
        <v>3.0000008612665898E-3</v>
      </c>
      <c r="L1797" s="1253">
        <v>2.0000005741611102E-3</v>
      </c>
      <c r="M1797" s="1273">
        <v>2.0000005741611102E-3</v>
      </c>
      <c r="N1797" s="1255">
        <v>3.1850009128239903E-2</v>
      </c>
      <c r="O1797" s="1256">
        <v>3.1850009128239903E-2</v>
      </c>
      <c r="P1797" s="1251">
        <v>1.5925004564119952E-2</v>
      </c>
      <c r="Q1797" s="1254">
        <v>5.48896842928615E-2</v>
      </c>
    </row>
    <row r="1798" spans="1:17" s="212" customFormat="1" ht="15.5" x14ac:dyDescent="0.35">
      <c r="A1798" s="198">
        <v>2044</v>
      </c>
      <c r="B1798" s="197" t="s">
        <v>5842</v>
      </c>
      <c r="C1798" s="197">
        <v>1999</v>
      </c>
      <c r="D1798" s="213" t="str">
        <f t="shared" si="20"/>
        <v>2044_1999</v>
      </c>
      <c r="E1798" s="1268">
        <v>0.36675590448190099</v>
      </c>
      <c r="F1798" s="1279">
        <v>2.21130645286103E-2</v>
      </c>
      <c r="G1798" s="1255">
        <v>9.4116965651129298</v>
      </c>
      <c r="H1798" s="1279">
        <v>0.39250638020488599</v>
      </c>
      <c r="I1798" s="1255">
        <v>5.2515180847596897E-2</v>
      </c>
      <c r="J1798" s="1279">
        <v>2.1612298614654599E-3</v>
      </c>
      <c r="K1798" s="1255">
        <v>3.0000008612665898E-3</v>
      </c>
      <c r="L1798" s="1253">
        <v>2.0000005741611102E-3</v>
      </c>
      <c r="M1798" s="1273">
        <v>2.0000005741611102E-3</v>
      </c>
      <c r="N1798" s="1255">
        <v>3.1850009128239903E-2</v>
      </c>
      <c r="O1798" s="1256">
        <v>3.1850009128239903E-2</v>
      </c>
      <c r="P1798" s="1251">
        <v>1.5925004564119952E-2</v>
      </c>
      <c r="Q1798" s="1254">
        <v>5.48896842928615E-2</v>
      </c>
    </row>
    <row r="1799" spans="1:17" s="212" customFormat="1" ht="15.5" x14ac:dyDescent="0.35">
      <c r="A1799" s="198">
        <v>2044</v>
      </c>
      <c r="B1799" s="197" t="s">
        <v>5842</v>
      </c>
      <c r="C1799" s="197">
        <v>2000</v>
      </c>
      <c r="D1799" s="213" t="str">
        <f t="shared" si="20"/>
        <v>2044_2000</v>
      </c>
      <c r="E1799" s="1267">
        <v>0.36675590448190099</v>
      </c>
      <c r="F1799" s="1278">
        <v>2.21130645286103E-2</v>
      </c>
      <c r="G1799" s="1248">
        <v>9.4116965651129298</v>
      </c>
      <c r="H1799" s="1278">
        <v>0.39250638020488599</v>
      </c>
      <c r="I1799" s="1248">
        <v>5.2515180847596897E-2</v>
      </c>
      <c r="J1799" s="1278">
        <v>2.1612298614654599E-3</v>
      </c>
      <c r="K1799" s="1248">
        <v>3.0000008612665898E-3</v>
      </c>
      <c r="L1799" s="1250">
        <v>2.0000005741611102E-3</v>
      </c>
      <c r="M1799" s="1273">
        <v>2.0000005741611102E-3</v>
      </c>
      <c r="N1799" s="1248">
        <v>3.1850009128239903E-2</v>
      </c>
      <c r="O1799" s="1249">
        <v>3.1850009128239903E-2</v>
      </c>
      <c r="P1799" s="1251">
        <v>1.5925004564119952E-2</v>
      </c>
      <c r="Q1799" s="1252">
        <v>5.48896842928615E-2</v>
      </c>
    </row>
    <row r="1800" spans="1:17" s="212" customFormat="1" ht="15.5" x14ac:dyDescent="0.35">
      <c r="A1800" s="198">
        <v>2044</v>
      </c>
      <c r="B1800" s="197" t="s">
        <v>5842</v>
      </c>
      <c r="C1800" s="197">
        <v>2001</v>
      </c>
      <c r="D1800" s="213" t="str">
        <f t="shared" si="20"/>
        <v>2044_2001</v>
      </c>
      <c r="E1800" s="1267">
        <v>0.37018601056281297</v>
      </c>
      <c r="F1800" s="1278">
        <v>2.2200183077461001E-2</v>
      </c>
      <c r="G1800" s="1248">
        <v>9.33890532131886</v>
      </c>
      <c r="H1800" s="1278">
        <v>0.39379557406160798</v>
      </c>
      <c r="I1800" s="1248">
        <v>5.3006332152768197E-2</v>
      </c>
      <c r="J1800" s="1278">
        <v>2.1723334542728201E-3</v>
      </c>
      <c r="K1800" s="1248">
        <v>3.00000086134713E-3</v>
      </c>
      <c r="L1800" s="1250">
        <v>2.0000005741905198E-3</v>
      </c>
      <c r="M1800" s="1273">
        <v>2.0000005741905198E-3</v>
      </c>
      <c r="N1800" s="1248">
        <v>3.1850009128239903E-2</v>
      </c>
      <c r="O1800" s="1249">
        <v>3.1850009128239903E-2</v>
      </c>
      <c r="P1800" s="1251">
        <v>1.5925004564119952E-2</v>
      </c>
      <c r="Q1800" s="1252">
        <v>5.5403043280601097E-2</v>
      </c>
    </row>
    <row r="1801" spans="1:17" s="212" customFormat="1" ht="15.5" x14ac:dyDescent="0.35">
      <c r="A1801" s="198">
        <v>2044</v>
      </c>
      <c r="B1801" s="197" t="s">
        <v>5842</v>
      </c>
      <c r="C1801" s="197">
        <v>2002</v>
      </c>
      <c r="D1801" s="213" t="str">
        <f t="shared" si="20"/>
        <v>2044_2002</v>
      </c>
      <c r="E1801" s="1267">
        <v>0.28701770225801199</v>
      </c>
      <c r="F1801" s="1278">
        <v>2.2137006040188398E-2</v>
      </c>
      <c r="G1801" s="1248">
        <v>7.19794438810532</v>
      </c>
      <c r="H1801" s="1278">
        <v>0.31743334552604702</v>
      </c>
      <c r="I1801" s="1248">
        <v>5.3499499288125599E-2</v>
      </c>
      <c r="J1801" s="1278">
        <v>2.1701598479245301E-3</v>
      </c>
      <c r="K1801" s="1248">
        <v>3.0000008613608399E-3</v>
      </c>
      <c r="L1801" s="1250">
        <v>2.0000005741658499E-3</v>
      </c>
      <c r="M1801" s="1273">
        <v>2.0000005741658499E-3</v>
      </c>
      <c r="N1801" s="1248">
        <v>3.1850009128239903E-2</v>
      </c>
      <c r="O1801" s="1249">
        <v>3.1850009128239903E-2</v>
      </c>
      <c r="P1801" s="1251">
        <v>1.5925004564119952E-2</v>
      </c>
      <c r="Q1801" s="1252">
        <v>5.5918509245422597E-2</v>
      </c>
    </row>
    <row r="1802" spans="1:17" s="212" customFormat="1" ht="15.5" x14ac:dyDescent="0.35">
      <c r="A1802" s="198">
        <v>2044</v>
      </c>
      <c r="B1802" s="197" t="s">
        <v>5842</v>
      </c>
      <c r="C1802" s="197">
        <v>2003</v>
      </c>
      <c r="D1802" s="213" t="str">
        <f t="shared" si="20"/>
        <v>2044_2003</v>
      </c>
      <c r="E1802" s="1267">
        <v>0.28449692339437499</v>
      </c>
      <c r="F1802" s="1278">
        <v>2.1823238586278899E-2</v>
      </c>
      <c r="G1802" s="1248">
        <v>7.2414615806583704</v>
      </c>
      <c r="H1802" s="1278">
        <v>0.31671113648055998</v>
      </c>
      <c r="I1802" s="1248">
        <v>5.3029631381164802E-2</v>
      </c>
      <c r="J1802" s="1278">
        <v>2.13837342481442E-3</v>
      </c>
      <c r="K1802" s="1248">
        <v>3.0000008612860399E-3</v>
      </c>
      <c r="L1802" s="1250">
        <v>2.00000057415142E-3</v>
      </c>
      <c r="M1802" s="1273">
        <v>2.00000057415142E-3</v>
      </c>
      <c r="N1802" s="1248">
        <v>3.1850009128239903E-2</v>
      </c>
      <c r="O1802" s="1249">
        <v>3.1850009128239903E-2</v>
      </c>
      <c r="P1802" s="1251">
        <v>1.5925004564119952E-2</v>
      </c>
      <c r="Q1802" s="1252">
        <v>5.5427395996716901E-2</v>
      </c>
    </row>
    <row r="1803" spans="1:17" s="212" customFormat="1" ht="15.5" x14ac:dyDescent="0.35">
      <c r="A1803" s="198">
        <v>2044</v>
      </c>
      <c r="B1803" s="197" t="s">
        <v>5842</v>
      </c>
      <c r="C1803" s="197">
        <v>2004</v>
      </c>
      <c r="D1803" s="213" t="str">
        <f t="shared" si="20"/>
        <v>2044_2004</v>
      </c>
      <c r="E1803" s="1267">
        <v>0.57585597405329703</v>
      </c>
      <c r="F1803" s="1278">
        <v>1.42834109278881E-2</v>
      </c>
      <c r="G1803" s="1248">
        <v>4.1417224416640304</v>
      </c>
      <c r="H1803" s="1278">
        <v>0.26780524777910703</v>
      </c>
      <c r="I1803" s="1248">
        <v>0.150017664493133</v>
      </c>
      <c r="J1803" s="1278">
        <v>1.3901467840471299E-4</v>
      </c>
      <c r="K1803" s="1248">
        <v>3.00000086128003E-3</v>
      </c>
      <c r="L1803" s="1250">
        <v>2.0000005740859902E-3</v>
      </c>
      <c r="M1803" s="1273">
        <v>2.0000005740859902E-3</v>
      </c>
      <c r="N1803" s="1248">
        <v>3.1850009128239903E-2</v>
      </c>
      <c r="O1803" s="1249">
        <v>3.1850009128239903E-2</v>
      </c>
      <c r="P1803" s="1251">
        <v>1.5925004564119952E-2</v>
      </c>
      <c r="Q1803" s="1252">
        <v>0.15680079758798601</v>
      </c>
    </row>
    <row r="1804" spans="1:17" s="212" customFormat="1" ht="15.5" x14ac:dyDescent="0.35">
      <c r="A1804" s="198">
        <v>2044</v>
      </c>
      <c r="B1804" s="197" t="s">
        <v>5842</v>
      </c>
      <c r="C1804" s="197">
        <v>2005</v>
      </c>
      <c r="D1804" s="213" t="str">
        <f t="shared" si="20"/>
        <v>2044_2005</v>
      </c>
      <c r="E1804" s="1267">
        <v>0.57358302691302698</v>
      </c>
      <c r="F1804" s="1278">
        <v>1.4425997021321199E-2</v>
      </c>
      <c r="G1804" s="1248">
        <v>4.1344652705325204</v>
      </c>
      <c r="H1804" s="1278">
        <v>0.26984380152679799</v>
      </c>
      <c r="I1804" s="1248">
        <v>0.14951977481371301</v>
      </c>
      <c r="J1804" s="1278">
        <v>1.40959770098966E-4</v>
      </c>
      <c r="K1804" s="1248">
        <v>3.00000086125675E-3</v>
      </c>
      <c r="L1804" s="1250">
        <v>2.0000005741243601E-3</v>
      </c>
      <c r="M1804" s="1273">
        <v>2.0000005741243601E-3</v>
      </c>
      <c r="N1804" s="1248">
        <v>3.1850009128239903E-2</v>
      </c>
      <c r="O1804" s="1249">
        <v>3.1850009128239903E-2</v>
      </c>
      <c r="P1804" s="1251">
        <v>1.5925004564119952E-2</v>
      </c>
      <c r="Q1804" s="1252">
        <v>0.15628039554661499</v>
      </c>
    </row>
    <row r="1805" spans="1:17" s="212" customFormat="1" ht="15.5" x14ac:dyDescent="0.35">
      <c r="A1805" s="198">
        <v>2044</v>
      </c>
      <c r="B1805" s="197" t="s">
        <v>5842</v>
      </c>
      <c r="C1805" s="197">
        <v>2006</v>
      </c>
      <c r="D1805" s="213" t="str">
        <f t="shared" si="20"/>
        <v>2044_2006</v>
      </c>
      <c r="E1805" s="1267">
        <v>0.56985757819458005</v>
      </c>
      <c r="F1805" s="1278">
        <v>1.4590102955807E-2</v>
      </c>
      <c r="G1805" s="1248">
        <v>4.1216109254480999</v>
      </c>
      <c r="H1805" s="1278">
        <v>0.271904152758561</v>
      </c>
      <c r="I1805" s="1248">
        <v>0.148680094416313</v>
      </c>
      <c r="J1805" s="1278">
        <v>1.41963594267527E-4</v>
      </c>
      <c r="K1805" s="1248">
        <v>3.0000008612434698E-3</v>
      </c>
      <c r="L1805" s="1250">
        <v>2.0000005741396898E-3</v>
      </c>
      <c r="M1805" s="1273">
        <v>2.0000005741396898E-3</v>
      </c>
      <c r="N1805" s="1248">
        <v>3.1850009128239903E-2</v>
      </c>
      <c r="O1805" s="1249">
        <v>3.1850009128239903E-2</v>
      </c>
      <c r="P1805" s="1251">
        <v>1.5925004564119952E-2</v>
      </c>
      <c r="Q1805" s="1252">
        <v>0.155402748527671</v>
      </c>
    </row>
    <row r="1806" spans="1:17" s="212" customFormat="1" ht="15.5" x14ac:dyDescent="0.35">
      <c r="A1806" s="198">
        <v>2044</v>
      </c>
      <c r="B1806" s="197" t="s">
        <v>5842</v>
      </c>
      <c r="C1806" s="197">
        <v>2007</v>
      </c>
      <c r="D1806" s="213" t="str">
        <f t="shared" si="20"/>
        <v>2044_2007</v>
      </c>
      <c r="E1806" s="1267">
        <v>0.33246326511215002</v>
      </c>
      <c r="F1806" s="1278">
        <v>1.45272536568336E-2</v>
      </c>
      <c r="G1806" s="1248">
        <v>2.4808542139074499</v>
      </c>
      <c r="H1806" s="1278">
        <v>0.27272674088275101</v>
      </c>
      <c r="I1806" s="1248">
        <v>8.73190164210772E-2</v>
      </c>
      <c r="J1806" s="1278">
        <v>1.4500071635153601E-4</v>
      </c>
      <c r="K1806" s="1248">
        <v>3.0000008612465199E-3</v>
      </c>
      <c r="L1806" s="1250">
        <v>2.0000005741930798E-3</v>
      </c>
      <c r="M1806" s="1273">
        <v>2.0000005741930798E-3</v>
      </c>
      <c r="N1806" s="1248">
        <v>3.1850009128239903E-2</v>
      </c>
      <c r="O1806" s="1249">
        <v>3.1850009128239903E-2</v>
      </c>
      <c r="P1806" s="1251">
        <v>1.5925004564119952E-2</v>
      </c>
      <c r="Q1806" s="1252">
        <v>9.1267194871241603E-2</v>
      </c>
    </row>
    <row r="1807" spans="1:17" s="212" customFormat="1" ht="15.5" x14ac:dyDescent="0.35">
      <c r="A1807" s="198">
        <v>2044</v>
      </c>
      <c r="B1807" s="197" t="s">
        <v>5842</v>
      </c>
      <c r="C1807" s="197">
        <v>2008</v>
      </c>
      <c r="D1807" s="213" t="str">
        <f t="shared" si="20"/>
        <v>2044_2008</v>
      </c>
      <c r="E1807" s="1267">
        <v>0.34001906728105602</v>
      </c>
      <c r="F1807" s="1278">
        <v>9.8765221922762093E-3</v>
      </c>
      <c r="G1807" s="1248">
        <v>2.5053054714435401</v>
      </c>
      <c r="H1807" s="1278">
        <v>0.15842713270704101</v>
      </c>
      <c r="I1807" s="1248">
        <v>8.89052019948917E-2</v>
      </c>
      <c r="J1807" s="1278">
        <v>1.41258082614607E-4</v>
      </c>
      <c r="K1807" s="1248">
        <v>3.0000008613344001E-3</v>
      </c>
      <c r="L1807" s="1250">
        <v>2.00000057421886E-3</v>
      </c>
      <c r="M1807" s="1273">
        <v>2.00000057421886E-3</v>
      </c>
      <c r="N1807" s="1248">
        <v>3.1850009128239903E-2</v>
      </c>
      <c r="O1807" s="1249">
        <v>3.1850009128239903E-2</v>
      </c>
      <c r="P1807" s="1251">
        <v>1.5925004564119952E-2</v>
      </c>
      <c r="Q1807" s="1252">
        <v>9.2925100718109693E-2</v>
      </c>
    </row>
    <row r="1808" spans="1:17" s="212" customFormat="1" ht="15.5" x14ac:dyDescent="0.35">
      <c r="A1808" s="198">
        <v>2044</v>
      </c>
      <c r="B1808" s="197" t="s">
        <v>5842</v>
      </c>
      <c r="C1808" s="197">
        <v>2009</v>
      </c>
      <c r="D1808" s="213" t="str">
        <f t="shared" si="20"/>
        <v>2044_2009</v>
      </c>
      <c r="E1808" s="1267">
        <v>0.33842795867401498</v>
      </c>
      <c r="F1808" s="1278">
        <v>4.8003214333261499E-3</v>
      </c>
      <c r="G1808" s="1248">
        <v>2.5001403573018899</v>
      </c>
      <c r="H1808" s="1278">
        <v>4.29223928508378E-2</v>
      </c>
      <c r="I1808" s="1248">
        <v>8.85550735245096E-2</v>
      </c>
      <c r="J1808" s="1278">
        <v>1.2983392254940001E-4</v>
      </c>
      <c r="K1808" s="1248">
        <v>3.0000008612942699E-3</v>
      </c>
      <c r="L1808" s="1250">
        <v>2.0000005741624802E-3</v>
      </c>
      <c r="M1808" s="1273">
        <v>2.0000005741624802E-3</v>
      </c>
      <c r="N1808" s="1248">
        <v>3.1850009128239903E-2</v>
      </c>
      <c r="O1808" s="1249">
        <v>3.1850009128239903E-2</v>
      </c>
      <c r="P1808" s="1251">
        <v>1.5925004564119952E-2</v>
      </c>
      <c r="Q1808" s="1252">
        <v>9.2559140991969102E-2</v>
      </c>
    </row>
    <row r="1809" spans="1:17" s="212" customFormat="1" ht="15.5" x14ac:dyDescent="0.35">
      <c r="A1809" s="198">
        <v>2044</v>
      </c>
      <c r="B1809" s="197" t="s">
        <v>5842</v>
      </c>
      <c r="C1809" s="197">
        <v>2010</v>
      </c>
      <c r="D1809" s="213" t="str">
        <f t="shared" si="20"/>
        <v>2044_2010</v>
      </c>
      <c r="E1809" s="1267">
        <v>9.0268085123402494E-2</v>
      </c>
      <c r="F1809" s="1278">
        <v>4.8049711629070003E-3</v>
      </c>
      <c r="G1809" s="1248">
        <v>0.82438028443837996</v>
      </c>
      <c r="H1809" s="1278">
        <v>4.3254595145574601E-2</v>
      </c>
      <c r="I1809" s="1248">
        <v>2.4794108920318601E-2</v>
      </c>
      <c r="J1809" s="1278">
        <v>1.58467668995668E-4</v>
      </c>
      <c r="K1809" s="1248">
        <v>3.0000008613398298E-3</v>
      </c>
      <c r="L1809" s="1250">
        <v>2.00000057413978E-3</v>
      </c>
      <c r="M1809" s="1273">
        <v>2.00000057413978E-3</v>
      </c>
      <c r="N1809" s="1248">
        <v>3.1850009128239903E-2</v>
      </c>
      <c r="O1809" s="1249">
        <v>3.1850009128239903E-2</v>
      </c>
      <c r="P1809" s="1251">
        <v>1.5925004564119952E-2</v>
      </c>
      <c r="Q1809" s="1252">
        <v>2.59151885034665E-2</v>
      </c>
    </row>
    <row r="1810" spans="1:17" s="212" customFormat="1" ht="15.5" x14ac:dyDescent="0.35">
      <c r="A1810" s="198">
        <v>2044</v>
      </c>
      <c r="B1810" s="197" t="s">
        <v>5842</v>
      </c>
      <c r="C1810" s="197">
        <v>2011</v>
      </c>
      <c r="D1810" s="213" t="str">
        <f t="shared" si="20"/>
        <v>2044_2011</v>
      </c>
      <c r="E1810" s="1267">
        <v>8.9436578705933106E-2</v>
      </c>
      <c r="F1810" s="1278">
        <v>5.0045560782078103E-3</v>
      </c>
      <c r="G1810" s="1248">
        <v>0.821039689745932</v>
      </c>
      <c r="H1810" s="1278">
        <v>4.31822165084901E-2</v>
      </c>
      <c r="I1810" s="1248">
        <v>2.46403605831832E-2</v>
      </c>
      <c r="J1810" s="1278">
        <v>2.1683651944401201E-4</v>
      </c>
      <c r="K1810" s="1248">
        <v>3.0000008613113101E-3</v>
      </c>
      <c r="L1810" s="1250">
        <v>2.0000005742396099E-3</v>
      </c>
      <c r="M1810" s="1273">
        <v>2.0000005742396099E-3</v>
      </c>
      <c r="N1810" s="1248">
        <v>3.1850009128239903E-2</v>
      </c>
      <c r="O1810" s="1249">
        <v>3.1850009128239903E-2</v>
      </c>
      <c r="P1810" s="1251">
        <v>1.5925004564119952E-2</v>
      </c>
      <c r="Q1810" s="1252">
        <v>2.5754488348774002E-2</v>
      </c>
    </row>
    <row r="1811" spans="1:17" s="212" customFormat="1" ht="15.5" x14ac:dyDescent="0.35">
      <c r="A1811" s="198">
        <v>2044</v>
      </c>
      <c r="B1811" s="197" t="s">
        <v>5842</v>
      </c>
      <c r="C1811" s="197">
        <v>2012</v>
      </c>
      <c r="D1811" s="213" t="str">
        <f t="shared" si="20"/>
        <v>2044_2012</v>
      </c>
      <c r="E1811" s="1267">
        <v>9.0182823000674706E-2</v>
      </c>
      <c r="F1811" s="1278">
        <v>4.9952682481736004E-3</v>
      </c>
      <c r="G1811" s="1248">
        <v>0.824211146140991</v>
      </c>
      <c r="H1811" s="1278">
        <v>4.32518096403968E-2</v>
      </c>
      <c r="I1811" s="1248">
        <v>2.4781207555087999E-2</v>
      </c>
      <c r="J1811" s="1278">
        <v>3.1653738850770299E-4</v>
      </c>
      <c r="K1811" s="1248">
        <v>3.0000008613690499E-3</v>
      </c>
      <c r="L1811" s="1250">
        <v>2.0000005742479301E-3</v>
      </c>
      <c r="M1811" s="1273">
        <v>2.0000005742479301E-3</v>
      </c>
      <c r="N1811" s="1248">
        <v>3.1850009128239903E-2</v>
      </c>
      <c r="O1811" s="1249">
        <v>3.1850009128239903E-2</v>
      </c>
      <c r="P1811" s="1251">
        <v>1.5925004564119952E-2</v>
      </c>
      <c r="Q1811" s="1252">
        <v>2.5901703795749201E-2</v>
      </c>
    </row>
    <row r="1812" spans="1:17" s="212" customFormat="1" ht="15.5" x14ac:dyDescent="0.35">
      <c r="A1812" s="198">
        <v>2044</v>
      </c>
      <c r="B1812" s="197" t="s">
        <v>5842</v>
      </c>
      <c r="C1812" s="197">
        <v>2013</v>
      </c>
      <c r="D1812" s="213" t="str">
        <f t="shared" si="20"/>
        <v>2044_2013</v>
      </c>
      <c r="E1812" s="1267">
        <v>9.0137293380134598E-2</v>
      </c>
      <c r="F1812" s="1278">
        <v>5.0582368213367502E-3</v>
      </c>
      <c r="G1812" s="1248">
        <v>0.82319102453723603</v>
      </c>
      <c r="H1812" s="1278">
        <v>4.3088782620857399E-2</v>
      </c>
      <c r="I1812" s="1248">
        <v>2.4763135201301901E-2</v>
      </c>
      <c r="J1812" s="1278">
        <v>4.7508485165893898E-4</v>
      </c>
      <c r="K1812" s="1248">
        <v>3.0000008613926999E-3</v>
      </c>
      <c r="L1812" s="1250">
        <v>2.0000005742836602E-3</v>
      </c>
      <c r="M1812" s="1273">
        <v>2.0000005742836602E-3</v>
      </c>
      <c r="N1812" s="1248">
        <v>3.1850009128239903E-2</v>
      </c>
      <c r="O1812" s="1249">
        <v>3.1850009128239903E-2</v>
      </c>
      <c r="P1812" s="1251">
        <v>1.5925004564119952E-2</v>
      </c>
      <c r="Q1812" s="1252">
        <v>2.58828142903198E-2</v>
      </c>
    </row>
    <row r="1813" spans="1:17" s="212" customFormat="1" ht="15.5" x14ac:dyDescent="0.35">
      <c r="A1813" s="198">
        <v>2044</v>
      </c>
      <c r="B1813" s="197" t="s">
        <v>5842</v>
      </c>
      <c r="C1813" s="197">
        <v>2014</v>
      </c>
      <c r="D1813" s="213" t="str">
        <f t="shared" si="20"/>
        <v>2044_2014</v>
      </c>
      <c r="E1813" s="1267">
        <v>8.9150713137804399E-2</v>
      </c>
      <c r="F1813" s="1278">
        <v>4.9608704478348196E-3</v>
      </c>
      <c r="G1813" s="1248">
        <v>0.81937462885151402</v>
      </c>
      <c r="H1813" s="1278">
        <v>4.3363404141233998E-2</v>
      </c>
      <c r="I1813" s="1248">
        <v>2.4582297492347999E-2</v>
      </c>
      <c r="J1813" s="1278">
        <v>6.5965472182379797E-4</v>
      </c>
      <c r="K1813" s="1248">
        <v>3.0000008613287501E-3</v>
      </c>
      <c r="L1813" s="1250">
        <v>2.0000005742385201E-3</v>
      </c>
      <c r="M1813" s="1273">
        <v>2.0000005742385201E-3</v>
      </c>
      <c r="N1813" s="1248">
        <v>3.1850009128239903E-2</v>
      </c>
      <c r="O1813" s="1249">
        <v>3.1850009128239903E-2</v>
      </c>
      <c r="P1813" s="1251">
        <v>1.5925004564119952E-2</v>
      </c>
      <c r="Q1813" s="1252">
        <v>2.56937999026224E-2</v>
      </c>
    </row>
    <row r="1814" spans="1:17" s="212" customFormat="1" ht="15.5" x14ac:dyDescent="0.35">
      <c r="A1814" s="198">
        <v>2044</v>
      </c>
      <c r="B1814" s="197" t="s">
        <v>5842</v>
      </c>
      <c r="C1814" s="197">
        <v>2015</v>
      </c>
      <c r="D1814" s="213" t="str">
        <f t="shared" si="20"/>
        <v>2044_2015</v>
      </c>
      <c r="E1814" s="1267">
        <v>8.94270809636806E-2</v>
      </c>
      <c r="F1814" s="1278">
        <v>5.1045631826771402E-3</v>
      </c>
      <c r="G1814" s="1248">
        <v>0.82073959321370504</v>
      </c>
      <c r="H1814" s="1278">
        <v>4.3147509273558898E-2</v>
      </c>
      <c r="I1814" s="1248">
        <v>2.4636316811591799E-2</v>
      </c>
      <c r="J1814" s="1278">
        <v>8.3495025063968001E-4</v>
      </c>
      <c r="K1814" s="1248">
        <v>3.00000086133856E-3</v>
      </c>
      <c r="L1814" s="1250">
        <v>2.0000005742741999E-3</v>
      </c>
      <c r="M1814" s="1273">
        <v>2.0000005742741999E-3</v>
      </c>
      <c r="N1814" s="1248">
        <v>3.1850009128239903E-2</v>
      </c>
      <c r="O1814" s="1249">
        <v>3.1850009128239903E-2</v>
      </c>
      <c r="P1814" s="1251">
        <v>1.5925004564119952E-2</v>
      </c>
      <c r="Q1814" s="1252">
        <v>2.5750261735775298E-2</v>
      </c>
    </row>
    <row r="1815" spans="1:17" s="212" customFormat="1" ht="15.5" x14ac:dyDescent="0.35">
      <c r="A1815" s="198">
        <v>2044</v>
      </c>
      <c r="B1815" s="197" t="s">
        <v>5842</v>
      </c>
      <c r="C1815" s="197">
        <v>2016</v>
      </c>
      <c r="D1815" s="213" t="str">
        <f t="shared" si="20"/>
        <v>2044_2016</v>
      </c>
      <c r="E1815" s="1267">
        <v>8.9610431084607603E-2</v>
      </c>
      <c r="F1815" s="1278">
        <v>4.7323362517607799E-3</v>
      </c>
      <c r="G1815" s="1248">
        <v>0.72630806519219904</v>
      </c>
      <c r="H1815" s="1278">
        <v>4.0595237824398098E-2</v>
      </c>
      <c r="I1815" s="1248">
        <v>2.4674256391249001E-2</v>
      </c>
      <c r="J1815" s="1278">
        <v>9.6068924462217997E-4</v>
      </c>
      <c r="K1815" s="1248">
        <v>3.0000008613532102E-3</v>
      </c>
      <c r="L1815" s="1250">
        <v>2.0000005742556301E-3</v>
      </c>
      <c r="M1815" s="1273">
        <v>2.0000005742556301E-3</v>
      </c>
      <c r="N1815" s="1248">
        <v>3.1850009128239903E-2</v>
      </c>
      <c r="O1815" s="1249">
        <v>3.1850009128239903E-2</v>
      </c>
      <c r="P1815" s="1251">
        <v>1.5925004564119952E-2</v>
      </c>
      <c r="Q1815" s="1252">
        <v>2.5789916774870102E-2</v>
      </c>
    </row>
    <row r="1816" spans="1:17" s="212" customFormat="1" ht="15.5" x14ac:dyDescent="0.35">
      <c r="A1816" s="198">
        <v>2044</v>
      </c>
      <c r="B1816" s="197" t="s">
        <v>5842</v>
      </c>
      <c r="C1816" s="197">
        <v>2017</v>
      </c>
      <c r="D1816" s="213" t="str">
        <f t="shared" si="20"/>
        <v>2044_2017</v>
      </c>
      <c r="E1816" s="1267">
        <v>8.8606286127950504E-2</v>
      </c>
      <c r="F1816" s="1278">
        <v>4.4993494965552099E-3</v>
      </c>
      <c r="G1816" s="1248">
        <v>0.62752146951666099</v>
      </c>
      <c r="H1816" s="1278">
        <v>3.7941823819755201E-2</v>
      </c>
      <c r="I1816" s="1248">
        <v>2.44827436515365E-2</v>
      </c>
      <c r="J1816" s="1278">
        <v>1.03578261535788E-3</v>
      </c>
      <c r="K1816" s="1248">
        <v>3.0000008612993899E-3</v>
      </c>
      <c r="L1816" s="1250">
        <v>2.0000005743064501E-3</v>
      </c>
      <c r="M1816" s="1273">
        <v>2.0000005743064501E-3</v>
      </c>
      <c r="N1816" s="1248">
        <v>3.1850009128239903E-2</v>
      </c>
      <c r="O1816" s="1249">
        <v>3.1850009128239903E-2</v>
      </c>
      <c r="P1816" s="1251">
        <v>1.5925004564119952E-2</v>
      </c>
      <c r="Q1816" s="1252">
        <v>2.5589744678893099E-2</v>
      </c>
    </row>
    <row r="1817" spans="1:17" s="212" customFormat="1" ht="15.5" x14ac:dyDescent="0.35">
      <c r="A1817" s="198">
        <v>2044</v>
      </c>
      <c r="B1817" s="197" t="s">
        <v>5842</v>
      </c>
      <c r="C1817" s="197">
        <v>2018</v>
      </c>
      <c r="D1817" s="213" t="str">
        <f t="shared" si="20"/>
        <v>2044_2018</v>
      </c>
      <c r="E1817" s="1267">
        <v>8.9576510942947205E-2</v>
      </c>
      <c r="F1817" s="1278">
        <v>3.9988399493874598E-3</v>
      </c>
      <c r="G1817" s="1248">
        <v>0.52248318366187196</v>
      </c>
      <c r="H1817" s="1278">
        <v>3.42030357218083E-2</v>
      </c>
      <c r="I1817" s="1248">
        <v>2.4671355975647999E-2</v>
      </c>
      <c r="J1817" s="1278">
        <v>1.07736617568815E-3</v>
      </c>
      <c r="K1817" s="1248">
        <v>3.0000008613591299E-3</v>
      </c>
      <c r="L1817" s="1250">
        <v>2.0000005742586702E-3</v>
      </c>
      <c r="M1817" s="1273">
        <v>2.0000005742586702E-3</v>
      </c>
      <c r="N1817" s="1248">
        <v>3.1850009128239903E-2</v>
      </c>
      <c r="O1817" s="1249">
        <v>3.1850009128239903E-2</v>
      </c>
      <c r="P1817" s="1251">
        <v>1.5925004564119952E-2</v>
      </c>
      <c r="Q1817" s="1252">
        <v>2.5786885215346101E-2</v>
      </c>
    </row>
    <row r="1818" spans="1:17" s="212" customFormat="1" ht="15.5" x14ac:dyDescent="0.35">
      <c r="A1818" s="198">
        <v>2044</v>
      </c>
      <c r="B1818" s="197" t="s">
        <v>5842</v>
      </c>
      <c r="C1818" s="197">
        <v>2019</v>
      </c>
      <c r="D1818" s="213" t="str">
        <f t="shared" si="20"/>
        <v>2044_2019</v>
      </c>
      <c r="E1818" s="1267">
        <v>8.9892750350286196E-2</v>
      </c>
      <c r="F1818" s="1278">
        <v>3.4764953696062402E-3</v>
      </c>
      <c r="G1818" s="1248">
        <v>0.45415479295040601</v>
      </c>
      <c r="H1818" s="1278">
        <v>3.0322970073012798E-2</v>
      </c>
      <c r="I1818" s="1248">
        <v>2.4731504568475299E-2</v>
      </c>
      <c r="J1818" s="1278">
        <v>1.09965975324741E-3</v>
      </c>
      <c r="K1818" s="1248">
        <v>3.0000008614081502E-3</v>
      </c>
      <c r="L1818" s="1250">
        <v>2.00000057421373E-3</v>
      </c>
      <c r="M1818" s="1273">
        <v>2.00000057421373E-3</v>
      </c>
      <c r="N1818" s="1248">
        <v>3.1850009128239903E-2</v>
      </c>
      <c r="O1818" s="1249">
        <v>3.1850009128239903E-2</v>
      </c>
      <c r="P1818" s="1251">
        <v>1.5925004564119952E-2</v>
      </c>
      <c r="Q1818" s="1252">
        <v>2.5849753460635599E-2</v>
      </c>
    </row>
    <row r="1819" spans="1:17" s="212" customFormat="1" ht="15.5" x14ac:dyDescent="0.35">
      <c r="A1819" s="198">
        <v>2044</v>
      </c>
      <c r="B1819" s="197" t="s">
        <v>5842</v>
      </c>
      <c r="C1819" s="197">
        <v>2020</v>
      </c>
      <c r="D1819" s="213" t="str">
        <f t="shared" si="20"/>
        <v>2044_2020</v>
      </c>
      <c r="E1819" s="1267">
        <v>7.9058051637296498E-2</v>
      </c>
      <c r="F1819" s="1278">
        <v>2.8451970352515901E-3</v>
      </c>
      <c r="G1819" s="1248">
        <v>0.35989362508581402</v>
      </c>
      <c r="H1819" s="1278">
        <v>2.6687564055005102E-2</v>
      </c>
      <c r="I1819" s="1248">
        <v>2.2620073324705899E-2</v>
      </c>
      <c r="J1819" s="1278">
        <v>1.0863774312497999E-3</v>
      </c>
      <c r="K1819" s="1248">
        <v>3.00000086098035E-3</v>
      </c>
      <c r="L1819" s="1250">
        <v>2.00000057408399E-3</v>
      </c>
      <c r="M1819" s="1273">
        <v>2.00000057408399E-3</v>
      </c>
      <c r="N1819" s="1248">
        <v>3.1850009128239903E-2</v>
      </c>
      <c r="O1819" s="1249">
        <v>3.1850009128239903E-2</v>
      </c>
      <c r="P1819" s="1251">
        <v>1.5925004564119952E-2</v>
      </c>
      <c r="Q1819" s="1252">
        <v>2.3642852665360301E-2</v>
      </c>
    </row>
    <row r="1820" spans="1:17" s="212" customFormat="1" ht="15.5" x14ac:dyDescent="0.35">
      <c r="A1820" s="198">
        <v>2044</v>
      </c>
      <c r="B1820" s="197" t="s">
        <v>5842</v>
      </c>
      <c r="C1820" s="197">
        <v>2021</v>
      </c>
      <c r="D1820" s="213" t="str">
        <f t="shared" si="20"/>
        <v>2044_2021</v>
      </c>
      <c r="E1820" s="1267">
        <v>7.9030269283711499E-2</v>
      </c>
      <c r="F1820" s="1278">
        <v>2.4295801032350101E-3</v>
      </c>
      <c r="G1820" s="1248">
        <v>0.294757584166703</v>
      </c>
      <c r="H1820" s="1278">
        <v>2.2759097179466399E-2</v>
      </c>
      <c r="I1820" s="1248">
        <v>2.2578463794456501E-2</v>
      </c>
      <c r="J1820" s="1278">
        <v>1.08654640821399E-3</v>
      </c>
      <c r="K1820" s="1248">
        <v>3.0000008609826398E-3</v>
      </c>
      <c r="L1820" s="1250">
        <v>2.0000005740857E-3</v>
      </c>
      <c r="M1820" s="1273">
        <v>2.0000005740857E-3</v>
      </c>
      <c r="N1820" s="1248">
        <v>3.1850009128239903E-2</v>
      </c>
      <c r="O1820" s="1249">
        <v>3.1850009128239903E-2</v>
      </c>
      <c r="P1820" s="1251">
        <v>1.5925004564119952E-2</v>
      </c>
      <c r="Q1820" s="1252">
        <v>2.3599361736792598E-2</v>
      </c>
    </row>
    <row r="1821" spans="1:17" s="212" customFormat="1" ht="15.5" x14ac:dyDescent="0.35">
      <c r="A1821" s="198">
        <v>2044</v>
      </c>
      <c r="B1821" s="197" t="s">
        <v>5842</v>
      </c>
      <c r="C1821" s="197">
        <v>2022</v>
      </c>
      <c r="D1821" s="213" t="str">
        <f t="shared" si="20"/>
        <v>2044_2022</v>
      </c>
      <c r="E1821" s="1267">
        <v>7.8923484232301E-2</v>
      </c>
      <c r="F1821" s="1278">
        <v>2.0129353827112199E-3</v>
      </c>
      <c r="G1821" s="1248">
        <v>0.22806221873166799</v>
      </c>
      <c r="H1821" s="1278">
        <v>1.88172187774539E-2</v>
      </c>
      <c r="I1821" s="1248">
        <v>2.2477001905137101E-2</v>
      </c>
      <c r="J1821" s="1278">
        <v>1.0867079078449001E-3</v>
      </c>
      <c r="K1821" s="1248">
        <v>3.0000008609848499E-3</v>
      </c>
      <c r="L1821" s="1250">
        <v>2.0000005740873602E-3</v>
      </c>
      <c r="M1821" s="1273">
        <v>2.0000005740873602E-3</v>
      </c>
      <c r="N1821" s="1248">
        <v>3.1850009128239903E-2</v>
      </c>
      <c r="O1821" s="1249">
        <v>3.1850009128239903E-2</v>
      </c>
      <c r="P1821" s="1251">
        <v>1.5925004564119952E-2</v>
      </c>
      <c r="Q1821" s="1252">
        <v>2.3493312191068701E-2</v>
      </c>
    </row>
    <row r="1822" spans="1:17" s="212" customFormat="1" ht="15.5" x14ac:dyDescent="0.35">
      <c r="A1822" s="198">
        <v>2044</v>
      </c>
      <c r="B1822" s="197" t="s">
        <v>5842</v>
      </c>
      <c r="C1822" s="197">
        <v>2023</v>
      </c>
      <c r="D1822" s="213" t="str">
        <f t="shared" si="20"/>
        <v>2044_2023</v>
      </c>
      <c r="E1822" s="1267">
        <v>7.8737810095723199E-2</v>
      </c>
      <c r="F1822" s="1278">
        <v>2.0111812894756699E-3</v>
      </c>
      <c r="G1822" s="1248">
        <v>0.22700982179055099</v>
      </c>
      <c r="H1822" s="1278">
        <v>1.8746281101682201E-2</v>
      </c>
      <c r="I1822" s="1248">
        <v>2.2315665076078399E-2</v>
      </c>
      <c r="J1822" s="1278">
        <v>1.0868608084044901E-3</v>
      </c>
      <c r="K1822" s="1248">
        <v>3.0000008609869801E-3</v>
      </c>
      <c r="L1822" s="1250">
        <v>2.00000057408896E-3</v>
      </c>
      <c r="M1822" s="1273">
        <v>2.00000057408896E-3</v>
      </c>
      <c r="N1822" s="1248">
        <v>3.1850009128239903E-2</v>
      </c>
      <c r="O1822" s="1249">
        <v>3.1850009128240001E-2</v>
      </c>
      <c r="P1822" s="1251">
        <v>1.592500456412E-2</v>
      </c>
      <c r="Q1822" s="1252">
        <v>2.3324680426521499E-2</v>
      </c>
    </row>
    <row r="1823" spans="1:17" s="212" customFormat="1" ht="15.5" x14ac:dyDescent="0.35">
      <c r="A1823" s="198">
        <v>2044</v>
      </c>
      <c r="B1823" s="197" t="s">
        <v>5842</v>
      </c>
      <c r="C1823" s="197">
        <v>2024</v>
      </c>
      <c r="D1823" s="213" t="str">
        <f t="shared" si="20"/>
        <v>2044_2024</v>
      </c>
      <c r="E1823" s="1267">
        <v>7.8472602893332993E-2</v>
      </c>
      <c r="F1823" s="1278">
        <v>2.0057026954457199E-3</v>
      </c>
      <c r="G1823" s="1248">
        <v>0.225563161960979</v>
      </c>
      <c r="H1823" s="1278">
        <v>1.8623447574401999E-2</v>
      </c>
      <c r="I1823" s="1248">
        <v>2.20943076233415E-2</v>
      </c>
      <c r="J1823" s="1278">
        <v>1.08700413582614E-3</v>
      </c>
      <c r="K1823" s="1248">
        <v>3.0000008609890102E-3</v>
      </c>
      <c r="L1823" s="1250">
        <v>2.0000005740904801E-3</v>
      </c>
      <c r="M1823" s="1275">
        <v>2.00000057401862E-3</v>
      </c>
      <c r="N1823" s="1248">
        <v>3.1850009128239903E-2</v>
      </c>
      <c r="O1823" s="1249">
        <v>3.1850009128239903E-2</v>
      </c>
      <c r="P1823" s="1260">
        <v>1.59250045641199E-2</v>
      </c>
      <c r="Q1823" s="1252">
        <v>2.30933141720309E-2</v>
      </c>
    </row>
    <row r="1824" spans="1:17" s="212" customFormat="1" ht="15.5" x14ac:dyDescent="0.35">
      <c r="A1824" s="198">
        <v>2044</v>
      </c>
      <c r="B1824" s="197" t="s">
        <v>5842</v>
      </c>
      <c r="C1824" s="197">
        <v>2025</v>
      </c>
      <c r="D1824" s="213" t="str">
        <f t="shared" si="20"/>
        <v>2044_2025</v>
      </c>
      <c r="E1824" s="1267">
        <v>7.8127195730667898E-2</v>
      </c>
      <c r="F1824" s="1278">
        <v>1.99540882237376E-3</v>
      </c>
      <c r="G1824" s="1248">
        <v>0.22372117779526701</v>
      </c>
      <c r="H1824" s="1278">
        <v>1.8437407267270299E-2</v>
      </c>
      <c r="I1824" s="1248">
        <v>2.1812774653936901E-2</v>
      </c>
      <c r="J1824" s="1278">
        <v>1.08713518284555E-3</v>
      </c>
      <c r="K1824" s="1248">
        <v>3.0000008609909201E-3</v>
      </c>
      <c r="L1824" s="1250">
        <v>2.0000005740919099E-3</v>
      </c>
      <c r="M1824" s="1275">
        <v>2.0000005740204302E-3</v>
      </c>
      <c r="N1824" s="1248">
        <v>3.1850009128239903E-2</v>
      </c>
      <c r="O1824" s="1249">
        <v>3.1850009128239903E-2</v>
      </c>
      <c r="P1824" s="1260">
        <v>1.59250045641199E-2</v>
      </c>
      <c r="Q1824" s="1252">
        <v>2.2799051531033999E-2</v>
      </c>
    </row>
    <row r="1825" spans="1:17" s="212" customFormat="1" ht="15.5" x14ac:dyDescent="0.35">
      <c r="A1825" s="198">
        <v>2044</v>
      </c>
      <c r="B1825" s="197" t="s">
        <v>5842</v>
      </c>
      <c r="C1825" s="197">
        <v>2026</v>
      </c>
      <c r="D1825" s="213" t="str">
        <f t="shared" si="20"/>
        <v>2044_2026</v>
      </c>
      <c r="E1825" s="1267">
        <v>7.7703729328458301E-2</v>
      </c>
      <c r="F1825" s="1278">
        <v>1.9787522328793602E-3</v>
      </c>
      <c r="G1825" s="1248">
        <v>0.22151124124529301</v>
      </c>
      <c r="H1825" s="1278">
        <v>1.81725858055879E-2</v>
      </c>
      <c r="I1825" s="1248">
        <v>2.1471473688627101E-2</v>
      </c>
      <c r="J1825" s="1278">
        <v>1.08726642644994E-3</v>
      </c>
      <c r="K1825" s="1248">
        <v>3.00000086099283E-3</v>
      </c>
      <c r="L1825" s="1250">
        <v>2.0000005740933402E-3</v>
      </c>
      <c r="M1825" s="1275">
        <v>2.0000005740219802E-3</v>
      </c>
      <c r="N1825" s="1248">
        <v>3.1850009128239903E-2</v>
      </c>
      <c r="O1825" s="1249">
        <v>3.1850009128239903E-2</v>
      </c>
      <c r="P1825" s="1260">
        <v>1.59250045641199E-2</v>
      </c>
      <c r="Q1825" s="1252">
        <v>2.2442318450573501E-2</v>
      </c>
    </row>
    <row r="1826" spans="1:17" s="212" customFormat="1" ht="15.5" x14ac:dyDescent="0.35">
      <c r="A1826" s="198">
        <v>2044</v>
      </c>
      <c r="B1826" s="197" t="s">
        <v>5842</v>
      </c>
      <c r="C1826" s="197">
        <v>2027</v>
      </c>
      <c r="D1826" s="213" t="str">
        <f t="shared" si="20"/>
        <v>2044_2027</v>
      </c>
      <c r="E1826" s="1267">
        <v>7.7203683813043503E-2</v>
      </c>
      <c r="F1826" s="1278">
        <v>1.96025842451287E-3</v>
      </c>
      <c r="G1826" s="1248">
        <v>0.21888694957802901</v>
      </c>
      <c r="H1826" s="1278">
        <v>1.7871000462210899E-2</v>
      </c>
      <c r="I1826" s="1248">
        <v>2.1070642709535101E-2</v>
      </c>
      <c r="J1826" s="1278">
        <v>1.08740263557519E-3</v>
      </c>
      <c r="K1826" s="1248">
        <v>3.0000008609948098E-3</v>
      </c>
      <c r="L1826" s="1250">
        <v>2.0000005740948199E-3</v>
      </c>
      <c r="M1826" s="1275">
        <v>2.0000005740233098E-3</v>
      </c>
      <c r="N1826" s="1248">
        <v>3.1850009128239903E-2</v>
      </c>
      <c r="O1826" s="1249">
        <v>3.1850009128239903E-2</v>
      </c>
      <c r="P1826" s="1260">
        <v>1.59250045641199E-2</v>
      </c>
      <c r="Q1826" s="1252">
        <v>2.2023363673268001E-2</v>
      </c>
    </row>
    <row r="1827" spans="1:17" s="212" customFormat="1" ht="15.5" x14ac:dyDescent="0.35">
      <c r="A1827" s="198">
        <v>2044</v>
      </c>
      <c r="B1827" s="197" t="s">
        <v>5842</v>
      </c>
      <c r="C1827" s="197">
        <v>2028</v>
      </c>
      <c r="D1827" s="213" t="str">
        <f t="shared" si="20"/>
        <v>2044_2028</v>
      </c>
      <c r="E1827" s="1267">
        <v>7.6626092307254395E-2</v>
      </c>
      <c r="F1827" s="1278">
        <v>1.9409931768583099E-3</v>
      </c>
      <c r="G1827" s="1248">
        <v>0.21587104968041099</v>
      </c>
      <c r="H1827" s="1278">
        <v>1.75448766507619E-2</v>
      </c>
      <c r="I1827" s="1248">
        <v>2.0610064411563801E-2</v>
      </c>
      <c r="J1827" s="1278">
        <v>1.0875407901239E-3</v>
      </c>
      <c r="K1827" s="1248">
        <v>3.0000008609968299E-3</v>
      </c>
      <c r="L1827" s="1250">
        <v>2.00000057409634E-3</v>
      </c>
      <c r="M1827" s="1275">
        <v>2.0000005740250198E-3</v>
      </c>
      <c r="N1827" s="1248">
        <v>3.1850009128239903E-2</v>
      </c>
      <c r="O1827" s="1249">
        <v>3.1850009128239903E-2</v>
      </c>
      <c r="P1827" s="1260">
        <v>1.59250045641199E-2</v>
      </c>
      <c r="Q1827" s="1252">
        <v>2.1541960068448399E-2</v>
      </c>
    </row>
    <row r="1828" spans="1:17" s="212" customFormat="1" ht="15.5" x14ac:dyDescent="0.35">
      <c r="A1828" s="198">
        <v>2044</v>
      </c>
      <c r="B1828" s="197" t="s">
        <v>5842</v>
      </c>
      <c r="C1828" s="197">
        <v>2029</v>
      </c>
      <c r="D1828" s="213" t="str">
        <f t="shared" si="20"/>
        <v>2044_2029</v>
      </c>
      <c r="E1828" s="1267">
        <v>7.5970493418561505E-2</v>
      </c>
      <c r="F1828" s="1278">
        <v>1.92459953494666E-3</v>
      </c>
      <c r="G1828" s="1248">
        <v>0.21246287903083999</v>
      </c>
      <c r="H1828" s="1278">
        <v>1.7230891628160001E-2</v>
      </c>
      <c r="I1828" s="1248">
        <v>2.0089621085129902E-2</v>
      </c>
      <c r="J1828" s="1278">
        <v>1.0876799858036299E-3</v>
      </c>
      <c r="K1828" s="1248">
        <v>3.0000008609988599E-3</v>
      </c>
      <c r="L1828" s="1250">
        <v>2.00000057409786E-3</v>
      </c>
      <c r="M1828" s="1275">
        <v>2.0000005740262402E-3</v>
      </c>
      <c r="N1828" s="1248">
        <v>3.1850009128239903E-2</v>
      </c>
      <c r="O1828" s="1249">
        <v>3.1850009128239903E-2</v>
      </c>
      <c r="P1828" s="1260">
        <v>1.59250045641199E-2</v>
      </c>
      <c r="Q1828" s="1252">
        <v>2.0997984604226201E-2</v>
      </c>
    </row>
    <row r="1829" spans="1:17" s="212" customFormat="1" ht="15.5" x14ac:dyDescent="0.35">
      <c r="A1829" s="198">
        <v>2044</v>
      </c>
      <c r="B1829" s="197" t="s">
        <v>5842</v>
      </c>
      <c r="C1829" s="197">
        <v>2030</v>
      </c>
      <c r="D1829" s="213" t="str">
        <f t="shared" si="20"/>
        <v>2044_2030</v>
      </c>
      <c r="E1829" s="1267">
        <v>7.5237100023202594E-2</v>
      </c>
      <c r="F1829" s="1278">
        <v>1.91487776124413E-3</v>
      </c>
      <c r="G1829" s="1248">
        <v>0.20866241998305399</v>
      </c>
      <c r="H1829" s="1278">
        <v>1.6966927741006398E-2</v>
      </c>
      <c r="I1829" s="1248">
        <v>1.9509307500981302E-2</v>
      </c>
      <c r="J1829" s="1278">
        <v>1.0878203198869301E-3</v>
      </c>
      <c r="K1829" s="1248">
        <v>3.0000008610009199E-3</v>
      </c>
      <c r="L1829" s="1250">
        <v>2.0000005740994E-3</v>
      </c>
      <c r="M1829" s="1275">
        <v>2.0000005740274801E-3</v>
      </c>
      <c r="N1829" s="1248">
        <v>3.1850009128239903E-2</v>
      </c>
      <c r="O1829" s="1249">
        <v>3.1850009128239903E-2</v>
      </c>
      <c r="P1829" s="1260">
        <v>1.59250045641199E-2</v>
      </c>
      <c r="Q1829" s="1252">
        <v>2.0391431814905801E-2</v>
      </c>
    </row>
    <row r="1830" spans="1:17" s="212" customFormat="1" ht="15.5" x14ac:dyDescent="0.35">
      <c r="A1830" s="198">
        <v>2044</v>
      </c>
      <c r="B1830" s="197" t="s">
        <v>5842</v>
      </c>
      <c r="C1830" s="197">
        <v>2031</v>
      </c>
      <c r="D1830" s="213" t="str">
        <f t="shared" si="20"/>
        <v>2044_2031</v>
      </c>
      <c r="E1830" s="1267">
        <v>7.44261583312847E-2</v>
      </c>
      <c r="F1830" s="1278">
        <v>1.91466396867393E-3</v>
      </c>
      <c r="G1830" s="1248">
        <v>0.20446990101548601</v>
      </c>
      <c r="H1830" s="1278">
        <v>1.6780769768419999E-2</v>
      </c>
      <c r="I1830" s="1248">
        <v>1.88691276795637E-2</v>
      </c>
      <c r="J1830" s="1278">
        <v>1.08796333198894E-3</v>
      </c>
      <c r="K1830" s="1248">
        <v>3.0000008610030298E-3</v>
      </c>
      <c r="L1830" s="1250">
        <v>2.0000005741009799E-3</v>
      </c>
      <c r="M1830" s="1275">
        <v>2.0000005740289802E-3</v>
      </c>
      <c r="N1830" s="1248">
        <v>3.1850009128239903E-2</v>
      </c>
      <c r="O1830" s="1249">
        <v>3.1850009128239903E-2</v>
      </c>
      <c r="P1830" s="1260">
        <v>1.59250045641199E-2</v>
      </c>
      <c r="Q1830" s="1252">
        <v>1.9722305902719599E-2</v>
      </c>
    </row>
    <row r="1831" spans="1:17" s="212" customFormat="1" ht="15.5" x14ac:dyDescent="0.35">
      <c r="A1831" s="198">
        <v>2044</v>
      </c>
      <c r="B1831" s="197" t="s">
        <v>5842</v>
      </c>
      <c r="C1831" s="197">
        <v>2032</v>
      </c>
      <c r="D1831" s="213" t="str">
        <f t="shared" si="20"/>
        <v>2044_2032</v>
      </c>
      <c r="E1831" s="1267">
        <v>7.3536957650370702E-2</v>
      </c>
      <c r="F1831" s="1278">
        <v>1.92466986104989E-3</v>
      </c>
      <c r="G1831" s="1248">
        <v>0.19988431617748101</v>
      </c>
      <c r="H1831" s="1278">
        <v>1.6678623767147901E-2</v>
      </c>
      <c r="I1831" s="1248">
        <v>1.8168919531071099E-2</v>
      </c>
      <c r="J1831" s="1278">
        <v>1.0881072494001399E-3</v>
      </c>
      <c r="K1831" s="1248">
        <v>3.00000086100516E-3</v>
      </c>
      <c r="L1831" s="1250">
        <v>2.0000005741025802E-3</v>
      </c>
      <c r="M1831" s="1275">
        <v>2.0000005740305098E-3</v>
      </c>
      <c r="N1831" s="1248">
        <v>3.1850009128239903E-2</v>
      </c>
      <c r="O1831" s="1249">
        <v>3.1850009128239903E-2</v>
      </c>
      <c r="P1831" s="1260">
        <v>1.59250045641199E-2</v>
      </c>
      <c r="Q1831" s="1252">
        <v>1.89904374488798E-2</v>
      </c>
    </row>
    <row r="1832" spans="1:17" s="212" customFormat="1" ht="15.5" x14ac:dyDescent="0.35">
      <c r="A1832" s="198">
        <v>2044</v>
      </c>
      <c r="B1832" s="197" t="s">
        <v>5842</v>
      </c>
      <c r="C1832" s="197">
        <v>2033</v>
      </c>
      <c r="D1832" s="213" t="str">
        <f t="shared" si="20"/>
        <v>2044_2033</v>
      </c>
      <c r="E1832" s="1267">
        <v>7.2569721527637396E-2</v>
      </c>
      <c r="F1832" s="1278">
        <v>1.9427846245651801E-3</v>
      </c>
      <c r="G1832" s="1248">
        <v>0.194905692990789</v>
      </c>
      <c r="H1832" s="1278">
        <v>1.6637361299220998E-2</v>
      </c>
      <c r="I1832" s="1248">
        <v>1.7408673437232802E-2</v>
      </c>
      <c r="J1832" s="1278">
        <v>1.08825257806921E-3</v>
      </c>
      <c r="K1832" s="1248">
        <v>3.0000008610073202E-3</v>
      </c>
      <c r="L1832" s="1250">
        <v>2.0000005741042E-3</v>
      </c>
      <c r="M1832" s="1275">
        <v>2.0000005740320901E-3</v>
      </c>
      <c r="N1832" s="1248">
        <v>3.1850009128239903E-2</v>
      </c>
      <c r="O1832" s="1249">
        <v>3.1850009128239903E-2</v>
      </c>
      <c r="P1832" s="1260">
        <v>1.59250045641199E-2</v>
      </c>
      <c r="Q1832" s="1252">
        <v>1.8195816400220201E-2</v>
      </c>
    </row>
    <row r="1833" spans="1:17" s="212" customFormat="1" ht="15.5" x14ac:dyDescent="0.35">
      <c r="A1833" s="198">
        <v>2044</v>
      </c>
      <c r="B1833" s="197" t="s">
        <v>5842</v>
      </c>
      <c r="C1833" s="197">
        <v>2034</v>
      </c>
      <c r="D1833" s="213" t="str">
        <f t="shared" si="20"/>
        <v>2044_2034</v>
      </c>
      <c r="E1833" s="1267">
        <v>7.1524714706903705E-2</v>
      </c>
      <c r="F1833" s="1278">
        <v>1.9641119024364001E-3</v>
      </c>
      <c r="G1833" s="1248">
        <v>0.18953426647942201</v>
      </c>
      <c r="H1833" s="1278">
        <v>1.6605236574408901E-2</v>
      </c>
      <c r="I1833" s="1248">
        <v>1.65883872893966E-2</v>
      </c>
      <c r="J1833" s="1278">
        <v>1.0884012825600599E-3</v>
      </c>
      <c r="K1833" s="1248">
        <v>3.0000008610095402E-3</v>
      </c>
      <c r="L1833" s="1250">
        <v>2.0000005741058601E-3</v>
      </c>
      <c r="M1833" s="1275">
        <v>2.0000005740337399E-3</v>
      </c>
      <c r="N1833" s="1248">
        <v>3.1850009128239903E-2</v>
      </c>
      <c r="O1833" s="1249">
        <v>3.1850009128239903E-2</v>
      </c>
      <c r="P1833" s="1260">
        <v>1.59250045641199E-2</v>
      </c>
      <c r="Q1833" s="1252">
        <v>1.7338440552744701E-2</v>
      </c>
    </row>
    <row r="1834" spans="1:17" s="212" customFormat="1" ht="15.5" x14ac:dyDescent="0.35">
      <c r="A1834" s="198">
        <v>2044</v>
      </c>
      <c r="B1834" s="197" t="s">
        <v>5842</v>
      </c>
      <c r="C1834" s="197">
        <v>2035</v>
      </c>
      <c r="D1834" s="213" t="str">
        <f t="shared" si="20"/>
        <v>2044_2035</v>
      </c>
      <c r="E1834" s="1267">
        <v>7.0401685728837302E-2</v>
      </c>
      <c r="F1834" s="1278">
        <v>1.9822374567693198E-3</v>
      </c>
      <c r="G1834" s="1248">
        <v>0.18376955568955</v>
      </c>
      <c r="H1834" s="1278">
        <v>1.6515181406955799E-2</v>
      </c>
      <c r="I1834" s="1248">
        <v>1.57079660421264E-2</v>
      </c>
      <c r="J1834" s="1278">
        <v>1.0885528457030701E-3</v>
      </c>
      <c r="K1834" s="1248">
        <v>3.0000008610118201E-3</v>
      </c>
      <c r="L1834" s="1250">
        <v>2.0000005741075601E-3</v>
      </c>
      <c r="M1834" s="1275">
        <v>2.00000057403524E-3</v>
      </c>
      <c r="N1834" s="1248">
        <v>3.1850009128239903E-2</v>
      </c>
      <c r="O1834" s="1249">
        <v>3.1850009128239903E-2</v>
      </c>
      <c r="P1834" s="1260">
        <v>1.59250045641199E-2</v>
      </c>
      <c r="Q1834" s="1252">
        <v>1.64182105634843E-2</v>
      </c>
    </row>
    <row r="1835" spans="1:17" s="212" customFormat="1" ht="15.5" x14ac:dyDescent="0.35">
      <c r="A1835" s="198">
        <v>2044</v>
      </c>
      <c r="B1835" s="197" t="s">
        <v>5842</v>
      </c>
      <c r="C1835" s="197">
        <v>2036</v>
      </c>
      <c r="D1835" s="213" t="str">
        <f t="shared" si="20"/>
        <v>2044_2036</v>
      </c>
      <c r="E1835" s="1267">
        <v>6.9200515630860604E-2</v>
      </c>
      <c r="F1835" s="1278">
        <v>1.9920249162085498E-3</v>
      </c>
      <c r="G1835" s="1248">
        <v>0.17761116912158101</v>
      </c>
      <c r="H1835" s="1278">
        <v>1.63131608652081E-2</v>
      </c>
      <c r="I1835" s="1248">
        <v>1.4767332310473801E-2</v>
      </c>
      <c r="J1835" s="1278">
        <v>1.08870706293569E-3</v>
      </c>
      <c r="K1835" s="1248">
        <v>3.0000008610141398E-3</v>
      </c>
      <c r="L1835" s="1250">
        <v>2.0000005741093001E-3</v>
      </c>
      <c r="M1835" s="1275">
        <v>2.0000005740368702E-3</v>
      </c>
      <c r="N1835" s="1248">
        <v>3.1850009128239903E-2</v>
      </c>
      <c r="O1835" s="1249">
        <v>3.1850009128239903E-2</v>
      </c>
      <c r="P1835" s="1260">
        <v>1.59250045641199E-2</v>
      </c>
      <c r="Q1835" s="1252">
        <v>1.5435045548486801E-2</v>
      </c>
    </row>
    <row r="1836" spans="1:17" s="212" customFormat="1" ht="15.5" x14ac:dyDescent="0.35">
      <c r="A1836" s="198">
        <v>2044</v>
      </c>
      <c r="B1836" s="197" t="s">
        <v>5842</v>
      </c>
      <c r="C1836" s="197">
        <v>2037</v>
      </c>
      <c r="D1836" s="213" t="str">
        <f t="shared" ref="D1836:D1960" si="21">CONCATENATE(A1836,"_",C1836)</f>
        <v>2044_2037</v>
      </c>
      <c r="E1836" s="1267">
        <v>6.7920699783732705E-2</v>
      </c>
      <c r="F1836" s="1278">
        <v>1.9936946484697101E-3</v>
      </c>
      <c r="G1836" s="1248">
        <v>0.17105832698637899</v>
      </c>
      <c r="H1836" s="1278">
        <v>1.6000091539852698E-2</v>
      </c>
      <c r="I1836" s="1248">
        <v>1.3766355556991201E-2</v>
      </c>
      <c r="J1836" s="1278">
        <v>1.0888623640509501E-3</v>
      </c>
      <c r="K1836" s="1248">
        <v>3.0000008610164999E-3</v>
      </c>
      <c r="L1836" s="1250">
        <v>2.0000005741110699E-3</v>
      </c>
      <c r="M1836" s="1275">
        <v>2.0000005740387198E-3</v>
      </c>
      <c r="N1836" s="1248">
        <v>3.1850009128239903E-2</v>
      </c>
      <c r="O1836" s="1249">
        <v>3.1850009128239903E-2</v>
      </c>
      <c r="P1836" s="1260">
        <v>1.59250045641199E-2</v>
      </c>
      <c r="Q1836" s="1252">
        <v>1.4388809067980299E-2</v>
      </c>
    </row>
    <row r="1837" spans="1:17" s="212" customFormat="1" ht="15.5" x14ac:dyDescent="0.35">
      <c r="A1837" s="198">
        <v>2044</v>
      </c>
      <c r="B1837" s="197" t="s">
        <v>5842</v>
      </c>
      <c r="C1837" s="197">
        <v>2038</v>
      </c>
      <c r="D1837" s="213" t="str">
        <f t="shared" si="21"/>
        <v>2044_2038</v>
      </c>
      <c r="E1837" s="1267">
        <v>6.6561675188221606E-2</v>
      </c>
      <c r="F1837" s="1278">
        <v>1.99740789449137E-3</v>
      </c>
      <c r="G1837" s="1248">
        <v>0.164110347153477</v>
      </c>
      <c r="H1837" s="1278">
        <v>1.5678569248246801E-2</v>
      </c>
      <c r="I1837" s="1248">
        <v>1.27049106682759E-2</v>
      </c>
      <c r="J1837" s="1278">
        <v>1.0890181960595401E-3</v>
      </c>
      <c r="K1837" s="1248">
        <v>3.00000086101887E-3</v>
      </c>
      <c r="L1837" s="1250">
        <v>2.0000005741128402E-3</v>
      </c>
      <c r="M1837" s="1275">
        <v>2.00000057404054E-3</v>
      </c>
      <c r="N1837" s="1248">
        <v>3.1850009128239903E-2</v>
      </c>
      <c r="O1837" s="1249">
        <v>3.1850009128239903E-2</v>
      </c>
      <c r="P1837" s="1260">
        <v>1.59250045641199E-2</v>
      </c>
      <c r="Q1837" s="1252">
        <v>1.3279370351489199E-2</v>
      </c>
    </row>
    <row r="1838" spans="1:17" s="212" customFormat="1" ht="15.5" x14ac:dyDescent="0.35">
      <c r="A1838" s="198">
        <v>2044</v>
      </c>
      <c r="B1838" s="197" t="s">
        <v>5842</v>
      </c>
      <c r="C1838" s="197">
        <v>2039</v>
      </c>
      <c r="D1838" s="213" t="str">
        <f t="shared" si="21"/>
        <v>2044_2039</v>
      </c>
      <c r="E1838" s="1267">
        <v>6.5124059562152795E-2</v>
      </c>
      <c r="F1838" s="1278">
        <v>2.02638868232619E-3</v>
      </c>
      <c r="G1838" s="1248">
        <v>0.15676766322187999</v>
      </c>
      <c r="H1838" s="1278">
        <v>1.5584582390500101E-2</v>
      </c>
      <c r="I1838" s="1248">
        <v>1.15830188129972E-2</v>
      </c>
      <c r="J1838" s="1278">
        <v>1.0891770122807799E-3</v>
      </c>
      <c r="K1838" s="1248">
        <v>3.0000008610212799E-3</v>
      </c>
      <c r="L1838" s="1250">
        <v>2.00000057411465E-3</v>
      </c>
      <c r="M1838" s="1275">
        <v>2.0000005740426299E-3</v>
      </c>
      <c r="N1838" s="1248">
        <v>3.1850009128239903E-2</v>
      </c>
      <c r="O1838" s="1249">
        <v>3.1850009128239903E-2</v>
      </c>
      <c r="P1838" s="1260">
        <v>1.59250045641199E-2</v>
      </c>
      <c r="Q1838" s="1252">
        <v>1.2106751524836199E-2</v>
      </c>
    </row>
    <row r="1839" spans="1:17" s="212" customFormat="1" ht="15.5" x14ac:dyDescent="0.35">
      <c r="A1839" s="198">
        <v>2044</v>
      </c>
      <c r="B1839" s="197" t="s">
        <v>5842</v>
      </c>
      <c r="C1839" s="197">
        <v>2040</v>
      </c>
      <c r="D1839" s="213" t="str">
        <f t="shared" si="21"/>
        <v>2044_2040</v>
      </c>
      <c r="E1839" s="1267">
        <v>6.3607431308102605E-2</v>
      </c>
      <c r="F1839" s="1278">
        <v>2.1148680463615298E-3</v>
      </c>
      <c r="G1839" s="1248">
        <v>0.14902958697765101</v>
      </c>
      <c r="H1839" s="1278">
        <v>1.6068431136817302E-2</v>
      </c>
      <c r="I1839" s="1248">
        <v>1.0400561089242699E-2</v>
      </c>
      <c r="J1839" s="1278">
        <v>1.0893374578235899E-3</v>
      </c>
      <c r="K1839" s="1248">
        <v>3.0000008610237298E-3</v>
      </c>
      <c r="L1839" s="1250">
        <v>2.0000005741164801E-3</v>
      </c>
      <c r="M1839" s="1275">
        <v>2.0000005740449102E-3</v>
      </c>
      <c r="N1839" s="1248">
        <v>3.1850009128239903E-2</v>
      </c>
      <c r="O1839" s="1249">
        <v>3.1850009128239903E-2</v>
      </c>
      <c r="P1839" s="1260">
        <v>1.59250045641199E-2</v>
      </c>
      <c r="Q1839" s="1252">
        <v>1.0870828309891899E-2</v>
      </c>
    </row>
    <row r="1840" spans="1:17" s="212" customFormat="1" ht="15.5" x14ac:dyDescent="0.35">
      <c r="A1840" s="198">
        <v>2044</v>
      </c>
      <c r="B1840" s="197" t="s">
        <v>5842</v>
      </c>
      <c r="C1840" s="197">
        <v>2041</v>
      </c>
      <c r="D1840" s="213" t="str">
        <f t="shared" si="21"/>
        <v>2044_2041</v>
      </c>
      <c r="E1840" s="1267">
        <v>6.2011354087376097E-2</v>
      </c>
      <c r="F1840" s="1278">
        <v>2.2952414205937499E-3</v>
      </c>
      <c r="G1840" s="1248">
        <v>0.14089548926331499</v>
      </c>
      <c r="H1840" s="1278">
        <v>1.7465758271010299E-2</v>
      </c>
      <c r="I1840" s="1248">
        <v>9.1574260665100594E-3</v>
      </c>
      <c r="J1840" s="1278">
        <v>1.08949863412014E-3</v>
      </c>
      <c r="K1840" s="1248">
        <v>3.0000008610261801E-3</v>
      </c>
      <c r="L1840" s="1250">
        <v>2.0000005741183202E-3</v>
      </c>
      <c r="M1840" s="1275">
        <v>2.0000005740472499E-3</v>
      </c>
      <c r="N1840" s="1248">
        <v>3.1850009128239903E-2</v>
      </c>
      <c r="O1840" s="1249">
        <v>3.1850009128239903E-2</v>
      </c>
      <c r="P1840" s="1260">
        <v>1.59250045641199E-2</v>
      </c>
      <c r="Q1840" s="1252">
        <v>9.5714842377613001E-3</v>
      </c>
    </row>
    <row r="1841" spans="1:17" s="212" customFormat="1" ht="15.5" x14ac:dyDescent="0.35">
      <c r="A1841" s="198">
        <v>2044</v>
      </c>
      <c r="B1841" s="197" t="s">
        <v>5842</v>
      </c>
      <c r="C1841" s="197">
        <v>2042</v>
      </c>
      <c r="D1841" s="213" t="str">
        <f t="shared" si="21"/>
        <v>2044_2042</v>
      </c>
      <c r="E1841" s="1267">
        <v>6.0335903284850202E-2</v>
      </c>
      <c r="F1841" s="1278">
        <v>2.5653859814293001E-3</v>
      </c>
      <c r="G1841" s="1248">
        <v>0.13236526536433599</v>
      </c>
      <c r="H1841" s="1278">
        <v>1.97693688811066E-2</v>
      </c>
      <c r="I1841" s="1248">
        <v>7.85355792481994E-3</v>
      </c>
      <c r="J1841" s="1278">
        <v>1.08966190013166E-3</v>
      </c>
      <c r="K1841" s="1248">
        <v>3.0000008610286699E-3</v>
      </c>
      <c r="L1841" s="1250">
        <v>2.0000005741201798E-3</v>
      </c>
      <c r="M1841" s="1275">
        <v>2.0000005740496199E-3</v>
      </c>
      <c r="N1841" s="1248">
        <v>3.1850009128239903E-2</v>
      </c>
      <c r="O1841" s="1249">
        <v>3.1850009128239903E-2</v>
      </c>
      <c r="P1841" s="1260">
        <v>1.59250045641199E-2</v>
      </c>
      <c r="Q1841" s="1252">
        <v>8.2086609645331404E-3</v>
      </c>
    </row>
    <row r="1842" spans="1:17" s="212" customFormat="1" ht="15.5" x14ac:dyDescent="0.35">
      <c r="A1842" s="198">
        <v>2044</v>
      </c>
      <c r="B1842" s="197" t="s">
        <v>5842</v>
      </c>
      <c r="C1842" s="197">
        <v>2043</v>
      </c>
      <c r="D1842" s="213" t="str">
        <f t="shared" si="21"/>
        <v>2044_2043</v>
      </c>
      <c r="E1842" s="1267">
        <v>5.8580516609321398E-2</v>
      </c>
      <c r="F1842" s="1278">
        <v>2.8231077527568599E-3</v>
      </c>
      <c r="G1842" s="1248">
        <v>0.123438134464122</v>
      </c>
      <c r="H1842" s="1278">
        <v>2.1972151688573902E-2</v>
      </c>
      <c r="I1842" s="1248">
        <v>6.48883934570496E-3</v>
      </c>
      <c r="J1842" s="1278">
        <v>1.08982531632948E-3</v>
      </c>
      <c r="K1842" s="1248">
        <v>3.0000008610311401E-3</v>
      </c>
      <c r="L1842" s="1250">
        <v>2.0000005741220299E-3</v>
      </c>
      <c r="M1842" s="1275">
        <v>2.00000057405165E-3</v>
      </c>
      <c r="N1842" s="1248">
        <v>3.1850009128239903E-2</v>
      </c>
      <c r="O1842" s="1249">
        <v>3.1850009128239903E-2</v>
      </c>
      <c r="P1842" s="1260">
        <v>1.59250045641199E-2</v>
      </c>
      <c r="Q1842" s="1252">
        <v>6.7822358671196003E-3</v>
      </c>
    </row>
    <row r="1843" spans="1:17" s="212" customFormat="1" ht="15.5" x14ac:dyDescent="0.35">
      <c r="A1843" s="198">
        <v>2044</v>
      </c>
      <c r="B1843" s="197" t="s">
        <v>5842</v>
      </c>
      <c r="C1843" s="197">
        <v>2044</v>
      </c>
      <c r="D1843" s="213" t="str">
        <f t="shared" si="21"/>
        <v>2044_2044</v>
      </c>
      <c r="E1843" s="1267">
        <v>5.6745518685988899E-2</v>
      </c>
      <c r="F1843" s="1278">
        <v>2.7497596934798001E-3</v>
      </c>
      <c r="G1843" s="1248">
        <v>0.114114150066812</v>
      </c>
      <c r="H1843" s="1278">
        <v>2.08993294543371E-2</v>
      </c>
      <c r="I1843" s="1248">
        <v>5.0632266004568202E-3</v>
      </c>
      <c r="J1843" s="1278">
        <v>1.0899904121280701E-3</v>
      </c>
      <c r="K1843" s="1248">
        <v>3.0000008610336498E-3</v>
      </c>
      <c r="L1843" s="1250">
        <v>2.0000005741239099E-3</v>
      </c>
      <c r="M1843" s="1275">
        <v>2.0000005740512302E-3</v>
      </c>
      <c r="N1843" s="1248">
        <v>3.1850009128239903E-2</v>
      </c>
      <c r="O1843" s="1249">
        <v>3.1850009128239903E-2</v>
      </c>
      <c r="P1843" s="1260">
        <v>1.59250045641199E-2</v>
      </c>
      <c r="Q1843" s="1252">
        <v>5.2921632395941899E-3</v>
      </c>
    </row>
    <row r="1844" spans="1:17" s="212" customFormat="1" ht="15.5" x14ac:dyDescent="0.35">
      <c r="A1844" s="198">
        <v>2044</v>
      </c>
      <c r="B1844" s="197" t="s">
        <v>5842</v>
      </c>
      <c r="C1844" s="197">
        <v>2045</v>
      </c>
      <c r="D1844" s="213" t="str">
        <f t="shared" si="21"/>
        <v>2044_2045</v>
      </c>
      <c r="E1844" s="1268">
        <v>5.6745518685988899E-2</v>
      </c>
      <c r="F1844" s="1279">
        <v>2.7497596934798001E-3</v>
      </c>
      <c r="G1844" s="1255">
        <v>0.114114150066812</v>
      </c>
      <c r="H1844" s="1279">
        <v>2.08993294543371E-2</v>
      </c>
      <c r="I1844" s="1255">
        <v>5.0632266004568202E-3</v>
      </c>
      <c r="J1844" s="1279">
        <v>1.0899904121280701E-3</v>
      </c>
      <c r="K1844" s="1255">
        <v>3.0000008610336498E-3</v>
      </c>
      <c r="L1844" s="1253">
        <v>2.0000005741239099E-3</v>
      </c>
      <c r="M1844" s="1273">
        <v>2.0000005740512302E-3</v>
      </c>
      <c r="N1844" s="1255">
        <v>3.1850009128239903E-2</v>
      </c>
      <c r="O1844" s="1256">
        <v>3.1850009128239903E-2</v>
      </c>
      <c r="P1844" s="1251">
        <v>1.59250045641199E-2</v>
      </c>
      <c r="Q1844" s="1254">
        <v>5.2921632395941899E-3</v>
      </c>
    </row>
    <row r="1845" spans="1:17" s="212" customFormat="1" ht="15.5" x14ac:dyDescent="0.35">
      <c r="A1845" s="198">
        <v>2045</v>
      </c>
      <c r="B1845" s="197" t="s">
        <v>5842</v>
      </c>
      <c r="C1845" s="197">
        <v>1971</v>
      </c>
      <c r="D1845" s="213" t="str">
        <f t="shared" si="21"/>
        <v>2045_1971</v>
      </c>
      <c r="E1845" s="1268">
        <v>0.37019554942049998</v>
      </c>
      <c r="F1845" s="1279">
        <v>2.2202485026447699E-2</v>
      </c>
      <c r="G1845" s="1255">
        <v>9.3387572561029799</v>
      </c>
      <c r="H1845" s="1279">
        <v>0.39380791814722199</v>
      </c>
      <c r="I1845" s="1255">
        <v>5.3007698006270101E-2</v>
      </c>
      <c r="J1845" s="1279">
        <v>2.17255677029657E-3</v>
      </c>
      <c r="K1845" s="1255">
        <v>3.0000008613475298E-3</v>
      </c>
      <c r="L1845" s="1253">
        <v>2.0000005741908902E-3</v>
      </c>
      <c r="M1845" s="1273">
        <v>2.0000005741908902E-3</v>
      </c>
      <c r="N1845" s="1255">
        <v>3.1850009128239903E-2</v>
      </c>
      <c r="O1845" s="1256">
        <v>3.1850009128239903E-2</v>
      </c>
      <c r="P1845" s="1251">
        <v>1.5925004564119952E-2</v>
      </c>
      <c r="Q1845" s="1254">
        <v>5.5404470891937403E-2</v>
      </c>
    </row>
    <row r="1846" spans="1:17" s="212" customFormat="1" ht="15.5" x14ac:dyDescent="0.35">
      <c r="A1846" s="198">
        <v>2045</v>
      </c>
      <c r="B1846" s="197" t="s">
        <v>5842</v>
      </c>
      <c r="C1846" s="197">
        <v>1972</v>
      </c>
      <c r="D1846" s="213" t="str">
        <f t="shared" si="21"/>
        <v>2045_1972</v>
      </c>
      <c r="E1846" s="1268">
        <v>0.37019554942049998</v>
      </c>
      <c r="F1846" s="1279">
        <v>2.2202485026447699E-2</v>
      </c>
      <c r="G1846" s="1255">
        <v>9.3387572561029799</v>
      </c>
      <c r="H1846" s="1279">
        <v>0.39380791814722199</v>
      </c>
      <c r="I1846" s="1255">
        <v>5.3007698006270101E-2</v>
      </c>
      <c r="J1846" s="1279">
        <v>2.17255677029657E-3</v>
      </c>
      <c r="K1846" s="1255">
        <v>3.0000008613475298E-3</v>
      </c>
      <c r="L1846" s="1253">
        <v>2.0000005741908902E-3</v>
      </c>
      <c r="M1846" s="1273">
        <v>2.0000005741908902E-3</v>
      </c>
      <c r="N1846" s="1255">
        <v>3.1850009128239903E-2</v>
      </c>
      <c r="O1846" s="1256">
        <v>3.1850009128239903E-2</v>
      </c>
      <c r="P1846" s="1251">
        <v>1.5925004564119952E-2</v>
      </c>
      <c r="Q1846" s="1254">
        <v>5.5404470891937403E-2</v>
      </c>
    </row>
    <row r="1847" spans="1:17" s="212" customFormat="1" ht="15.5" x14ac:dyDescent="0.35">
      <c r="A1847" s="198">
        <v>2045</v>
      </c>
      <c r="B1847" s="197" t="s">
        <v>5842</v>
      </c>
      <c r="C1847" s="197">
        <v>1973</v>
      </c>
      <c r="D1847" s="213" t="str">
        <f t="shared" si="21"/>
        <v>2045_1973</v>
      </c>
      <c r="E1847" s="1268">
        <v>0.37019554942049998</v>
      </c>
      <c r="F1847" s="1279">
        <v>2.2202485026447699E-2</v>
      </c>
      <c r="G1847" s="1255">
        <v>9.3387572561029799</v>
      </c>
      <c r="H1847" s="1279">
        <v>0.39380791814722199</v>
      </c>
      <c r="I1847" s="1255">
        <v>5.3007698006270101E-2</v>
      </c>
      <c r="J1847" s="1279">
        <v>2.17255677029657E-3</v>
      </c>
      <c r="K1847" s="1255">
        <v>3.0000008613475298E-3</v>
      </c>
      <c r="L1847" s="1253">
        <v>2.0000005741908902E-3</v>
      </c>
      <c r="M1847" s="1273">
        <v>2.0000005741908902E-3</v>
      </c>
      <c r="N1847" s="1255">
        <v>3.1850009128239903E-2</v>
      </c>
      <c r="O1847" s="1256">
        <v>3.1850009128239903E-2</v>
      </c>
      <c r="P1847" s="1251">
        <v>1.5925004564119952E-2</v>
      </c>
      <c r="Q1847" s="1254">
        <v>5.5404470891937403E-2</v>
      </c>
    </row>
    <row r="1848" spans="1:17" s="212" customFormat="1" ht="15.5" x14ac:dyDescent="0.35">
      <c r="A1848" s="198">
        <v>2045</v>
      </c>
      <c r="B1848" s="197" t="s">
        <v>5842</v>
      </c>
      <c r="C1848" s="197">
        <v>1974</v>
      </c>
      <c r="D1848" s="213" t="str">
        <f t="shared" si="21"/>
        <v>2045_1974</v>
      </c>
      <c r="E1848" s="1268">
        <v>0.37019554942049998</v>
      </c>
      <c r="F1848" s="1279">
        <v>2.2202485026447699E-2</v>
      </c>
      <c r="G1848" s="1255">
        <v>9.3387572561029799</v>
      </c>
      <c r="H1848" s="1279">
        <v>0.39380791814722199</v>
      </c>
      <c r="I1848" s="1255">
        <v>5.3007698006270101E-2</v>
      </c>
      <c r="J1848" s="1279">
        <v>2.17255677029657E-3</v>
      </c>
      <c r="K1848" s="1255">
        <v>3.0000008613475298E-3</v>
      </c>
      <c r="L1848" s="1253">
        <v>2.0000005741908902E-3</v>
      </c>
      <c r="M1848" s="1273">
        <v>2.0000005741908902E-3</v>
      </c>
      <c r="N1848" s="1255">
        <v>3.1850009128239903E-2</v>
      </c>
      <c r="O1848" s="1256">
        <v>3.1850009128239903E-2</v>
      </c>
      <c r="P1848" s="1251">
        <v>1.5925004564119952E-2</v>
      </c>
      <c r="Q1848" s="1254">
        <v>5.5404470891937403E-2</v>
      </c>
    </row>
    <row r="1849" spans="1:17" s="212" customFormat="1" ht="15.5" x14ac:dyDescent="0.35">
      <c r="A1849" s="198">
        <v>2045</v>
      </c>
      <c r="B1849" s="197" t="s">
        <v>5842</v>
      </c>
      <c r="C1849" s="197">
        <v>1975</v>
      </c>
      <c r="D1849" s="213" t="str">
        <f t="shared" si="21"/>
        <v>2045_1975</v>
      </c>
      <c r="E1849" s="1268">
        <v>0.37019554942049998</v>
      </c>
      <c r="F1849" s="1279">
        <v>2.2202485026447699E-2</v>
      </c>
      <c r="G1849" s="1255">
        <v>9.3387572561029799</v>
      </c>
      <c r="H1849" s="1279">
        <v>0.39380791814722199</v>
      </c>
      <c r="I1849" s="1255">
        <v>5.3007698006270101E-2</v>
      </c>
      <c r="J1849" s="1279">
        <v>2.17255677029657E-3</v>
      </c>
      <c r="K1849" s="1255">
        <v>3.0000008613475298E-3</v>
      </c>
      <c r="L1849" s="1253">
        <v>2.0000005741908902E-3</v>
      </c>
      <c r="M1849" s="1273">
        <v>2.0000005741908902E-3</v>
      </c>
      <c r="N1849" s="1255">
        <v>3.1850009128239903E-2</v>
      </c>
      <c r="O1849" s="1256">
        <v>3.1850009128239903E-2</v>
      </c>
      <c r="P1849" s="1251">
        <v>1.5925004564119952E-2</v>
      </c>
      <c r="Q1849" s="1254">
        <v>5.5404470891937403E-2</v>
      </c>
    </row>
    <row r="1850" spans="1:17" s="212" customFormat="1" ht="15.5" x14ac:dyDescent="0.35">
      <c r="A1850" s="198">
        <v>2045</v>
      </c>
      <c r="B1850" s="197" t="s">
        <v>5842</v>
      </c>
      <c r="C1850" s="197">
        <v>1976</v>
      </c>
      <c r="D1850" s="213" t="str">
        <f t="shared" si="21"/>
        <v>2045_1976</v>
      </c>
      <c r="E1850" s="1268">
        <v>0.37019554942049998</v>
      </c>
      <c r="F1850" s="1279">
        <v>2.2202485026447699E-2</v>
      </c>
      <c r="G1850" s="1255">
        <v>9.3387572561029799</v>
      </c>
      <c r="H1850" s="1279">
        <v>0.39380791814722199</v>
      </c>
      <c r="I1850" s="1255">
        <v>5.3007698006270101E-2</v>
      </c>
      <c r="J1850" s="1279">
        <v>2.17255677029657E-3</v>
      </c>
      <c r="K1850" s="1255">
        <v>3.0000008613475298E-3</v>
      </c>
      <c r="L1850" s="1253">
        <v>2.0000005741908902E-3</v>
      </c>
      <c r="M1850" s="1273">
        <v>2.0000005741908902E-3</v>
      </c>
      <c r="N1850" s="1255">
        <v>3.1850009128239903E-2</v>
      </c>
      <c r="O1850" s="1256">
        <v>3.1850009128239903E-2</v>
      </c>
      <c r="P1850" s="1251">
        <v>1.5925004564119952E-2</v>
      </c>
      <c r="Q1850" s="1254">
        <v>5.5404470891937403E-2</v>
      </c>
    </row>
    <row r="1851" spans="1:17" s="212" customFormat="1" ht="15.5" x14ac:dyDescent="0.35">
      <c r="A1851" s="198">
        <v>2045</v>
      </c>
      <c r="B1851" s="197" t="s">
        <v>5842</v>
      </c>
      <c r="C1851" s="197">
        <v>1977</v>
      </c>
      <c r="D1851" s="213" t="str">
        <f t="shared" si="21"/>
        <v>2045_1977</v>
      </c>
      <c r="E1851" s="1268">
        <v>0.37019554942049998</v>
      </c>
      <c r="F1851" s="1279">
        <v>2.2202485026447699E-2</v>
      </c>
      <c r="G1851" s="1255">
        <v>9.3387572561029799</v>
      </c>
      <c r="H1851" s="1279">
        <v>0.39380791814722199</v>
      </c>
      <c r="I1851" s="1255">
        <v>5.3007698006270101E-2</v>
      </c>
      <c r="J1851" s="1279">
        <v>2.17255677029657E-3</v>
      </c>
      <c r="K1851" s="1255">
        <v>3.0000008613475298E-3</v>
      </c>
      <c r="L1851" s="1253">
        <v>2.0000005741908902E-3</v>
      </c>
      <c r="M1851" s="1273">
        <v>2.0000005741908902E-3</v>
      </c>
      <c r="N1851" s="1255">
        <v>3.1850009128239903E-2</v>
      </c>
      <c r="O1851" s="1256">
        <v>3.1850009128239903E-2</v>
      </c>
      <c r="P1851" s="1251">
        <v>1.5925004564119952E-2</v>
      </c>
      <c r="Q1851" s="1254">
        <v>5.5404470891937403E-2</v>
      </c>
    </row>
    <row r="1852" spans="1:17" s="212" customFormat="1" ht="15.5" x14ac:dyDescent="0.35">
      <c r="A1852" s="198">
        <v>2045</v>
      </c>
      <c r="B1852" s="197" t="s">
        <v>5842</v>
      </c>
      <c r="C1852" s="197">
        <v>1978</v>
      </c>
      <c r="D1852" s="213" t="str">
        <f t="shared" si="21"/>
        <v>2045_1978</v>
      </c>
      <c r="E1852" s="1268">
        <v>0.37019554942049998</v>
      </c>
      <c r="F1852" s="1279">
        <v>2.2202485026447699E-2</v>
      </c>
      <c r="G1852" s="1255">
        <v>9.3387572561029799</v>
      </c>
      <c r="H1852" s="1279">
        <v>0.39380791814722199</v>
      </c>
      <c r="I1852" s="1255">
        <v>5.3007698006270101E-2</v>
      </c>
      <c r="J1852" s="1279">
        <v>2.17255677029657E-3</v>
      </c>
      <c r="K1852" s="1255">
        <v>3.0000008613475298E-3</v>
      </c>
      <c r="L1852" s="1253">
        <v>2.0000005741908902E-3</v>
      </c>
      <c r="M1852" s="1273">
        <v>2.0000005741908902E-3</v>
      </c>
      <c r="N1852" s="1255">
        <v>3.1850009128239903E-2</v>
      </c>
      <c r="O1852" s="1256">
        <v>3.1850009128239903E-2</v>
      </c>
      <c r="P1852" s="1251">
        <v>1.5925004564119952E-2</v>
      </c>
      <c r="Q1852" s="1254">
        <v>5.5404470891937403E-2</v>
      </c>
    </row>
    <row r="1853" spans="1:17" s="212" customFormat="1" ht="15.5" x14ac:dyDescent="0.35">
      <c r="A1853" s="198">
        <v>2045</v>
      </c>
      <c r="B1853" s="197" t="s">
        <v>5842</v>
      </c>
      <c r="C1853" s="197">
        <v>1979</v>
      </c>
      <c r="D1853" s="213" t="str">
        <f t="shared" si="21"/>
        <v>2045_1979</v>
      </c>
      <c r="E1853" s="1268">
        <v>0.37019554942049998</v>
      </c>
      <c r="F1853" s="1279">
        <v>2.2202485026447699E-2</v>
      </c>
      <c r="G1853" s="1255">
        <v>9.3387572561029799</v>
      </c>
      <c r="H1853" s="1279">
        <v>0.39380791814722199</v>
      </c>
      <c r="I1853" s="1255">
        <v>5.3007698006270101E-2</v>
      </c>
      <c r="J1853" s="1279">
        <v>2.17255677029657E-3</v>
      </c>
      <c r="K1853" s="1255">
        <v>3.0000008613475298E-3</v>
      </c>
      <c r="L1853" s="1253">
        <v>2.0000005741908902E-3</v>
      </c>
      <c r="M1853" s="1273">
        <v>2.0000005741908902E-3</v>
      </c>
      <c r="N1853" s="1255">
        <v>3.1850009128239903E-2</v>
      </c>
      <c r="O1853" s="1256">
        <v>3.1850009128239903E-2</v>
      </c>
      <c r="P1853" s="1251">
        <v>1.5925004564119952E-2</v>
      </c>
      <c r="Q1853" s="1254">
        <v>5.5404470891937403E-2</v>
      </c>
    </row>
    <row r="1854" spans="1:17" s="212" customFormat="1" ht="15.5" x14ac:dyDescent="0.35">
      <c r="A1854" s="198">
        <v>2045</v>
      </c>
      <c r="B1854" s="197" t="s">
        <v>5842</v>
      </c>
      <c r="C1854" s="197">
        <v>1980</v>
      </c>
      <c r="D1854" s="213" t="str">
        <f t="shared" si="21"/>
        <v>2045_1980</v>
      </c>
      <c r="E1854" s="1268">
        <v>0.37019554942049998</v>
      </c>
      <c r="F1854" s="1279">
        <v>2.2202485026447699E-2</v>
      </c>
      <c r="G1854" s="1255">
        <v>9.3387572561029799</v>
      </c>
      <c r="H1854" s="1279">
        <v>0.39380791814722199</v>
      </c>
      <c r="I1854" s="1255">
        <v>5.3007698006270101E-2</v>
      </c>
      <c r="J1854" s="1279">
        <v>2.17255677029657E-3</v>
      </c>
      <c r="K1854" s="1255">
        <v>3.0000008613475298E-3</v>
      </c>
      <c r="L1854" s="1253">
        <v>2.0000005741908902E-3</v>
      </c>
      <c r="M1854" s="1273">
        <v>2.0000005741908902E-3</v>
      </c>
      <c r="N1854" s="1255">
        <v>3.1850009128239903E-2</v>
      </c>
      <c r="O1854" s="1256">
        <v>3.1850009128239903E-2</v>
      </c>
      <c r="P1854" s="1251">
        <v>1.5925004564119952E-2</v>
      </c>
      <c r="Q1854" s="1254">
        <v>5.5404470891937403E-2</v>
      </c>
    </row>
    <row r="1855" spans="1:17" s="212" customFormat="1" ht="15.5" x14ac:dyDescent="0.35">
      <c r="A1855" s="198">
        <v>2045</v>
      </c>
      <c r="B1855" s="197" t="s">
        <v>5842</v>
      </c>
      <c r="C1855" s="197">
        <v>1981</v>
      </c>
      <c r="D1855" s="213" t="str">
        <f t="shared" si="21"/>
        <v>2045_1981</v>
      </c>
      <c r="E1855" s="1268">
        <v>0.37019554942049998</v>
      </c>
      <c r="F1855" s="1279">
        <v>2.2202485026447699E-2</v>
      </c>
      <c r="G1855" s="1255">
        <v>9.3387572561029799</v>
      </c>
      <c r="H1855" s="1279">
        <v>0.39380791814722199</v>
      </c>
      <c r="I1855" s="1255">
        <v>5.3007698006270101E-2</v>
      </c>
      <c r="J1855" s="1279">
        <v>2.17255677029657E-3</v>
      </c>
      <c r="K1855" s="1255">
        <v>3.0000008613475298E-3</v>
      </c>
      <c r="L1855" s="1253">
        <v>2.0000005741908902E-3</v>
      </c>
      <c r="M1855" s="1273">
        <v>2.0000005741908902E-3</v>
      </c>
      <c r="N1855" s="1255">
        <v>3.1850009128239903E-2</v>
      </c>
      <c r="O1855" s="1256">
        <v>3.1850009128239903E-2</v>
      </c>
      <c r="P1855" s="1251">
        <v>1.5925004564119952E-2</v>
      </c>
      <c r="Q1855" s="1254">
        <v>5.5404470891937403E-2</v>
      </c>
    </row>
    <row r="1856" spans="1:17" s="212" customFormat="1" ht="15.5" x14ac:dyDescent="0.35">
      <c r="A1856" s="198">
        <v>2045</v>
      </c>
      <c r="B1856" s="197" t="s">
        <v>5842</v>
      </c>
      <c r="C1856" s="197">
        <v>1982</v>
      </c>
      <c r="D1856" s="213" t="str">
        <f t="shared" si="21"/>
        <v>2045_1982</v>
      </c>
      <c r="E1856" s="1268">
        <v>0.37019554942049998</v>
      </c>
      <c r="F1856" s="1279">
        <v>2.2202485026447699E-2</v>
      </c>
      <c r="G1856" s="1255">
        <v>9.3387572561029799</v>
      </c>
      <c r="H1856" s="1279">
        <v>0.39380791814722199</v>
      </c>
      <c r="I1856" s="1255">
        <v>5.3007698006270101E-2</v>
      </c>
      <c r="J1856" s="1279">
        <v>2.17255677029657E-3</v>
      </c>
      <c r="K1856" s="1255">
        <v>3.0000008613475298E-3</v>
      </c>
      <c r="L1856" s="1253">
        <v>2.0000005741908902E-3</v>
      </c>
      <c r="M1856" s="1273">
        <v>2.0000005741908902E-3</v>
      </c>
      <c r="N1856" s="1255">
        <v>3.1850009128239903E-2</v>
      </c>
      <c r="O1856" s="1256">
        <v>3.1850009128239903E-2</v>
      </c>
      <c r="P1856" s="1251">
        <v>1.5925004564119952E-2</v>
      </c>
      <c r="Q1856" s="1254">
        <v>5.5404470891937403E-2</v>
      </c>
    </row>
    <row r="1857" spans="1:17" s="212" customFormat="1" ht="15.5" x14ac:dyDescent="0.35">
      <c r="A1857" s="198">
        <v>2045</v>
      </c>
      <c r="B1857" s="197" t="s">
        <v>5842</v>
      </c>
      <c r="C1857" s="197">
        <v>1983</v>
      </c>
      <c r="D1857" s="213" t="str">
        <f t="shared" si="21"/>
        <v>2045_1983</v>
      </c>
      <c r="E1857" s="1268">
        <v>0.37019554942049998</v>
      </c>
      <c r="F1857" s="1279">
        <v>2.2202485026447699E-2</v>
      </c>
      <c r="G1857" s="1255">
        <v>9.3387572561029799</v>
      </c>
      <c r="H1857" s="1279">
        <v>0.39380791814722199</v>
      </c>
      <c r="I1857" s="1255">
        <v>5.3007698006270101E-2</v>
      </c>
      <c r="J1857" s="1279">
        <v>2.17255677029657E-3</v>
      </c>
      <c r="K1857" s="1255">
        <v>3.0000008613475298E-3</v>
      </c>
      <c r="L1857" s="1253">
        <v>2.0000005741908902E-3</v>
      </c>
      <c r="M1857" s="1273">
        <v>2.0000005741908902E-3</v>
      </c>
      <c r="N1857" s="1255">
        <v>3.1850009128239903E-2</v>
      </c>
      <c r="O1857" s="1256">
        <v>3.1850009128239903E-2</v>
      </c>
      <c r="P1857" s="1251">
        <v>1.5925004564119952E-2</v>
      </c>
      <c r="Q1857" s="1254">
        <v>5.5404470891937403E-2</v>
      </c>
    </row>
    <row r="1858" spans="1:17" s="212" customFormat="1" ht="15.5" x14ac:dyDescent="0.35">
      <c r="A1858" s="198">
        <v>2045</v>
      </c>
      <c r="B1858" s="197" t="s">
        <v>5842</v>
      </c>
      <c r="C1858" s="197">
        <v>1984</v>
      </c>
      <c r="D1858" s="213" t="str">
        <f t="shared" si="21"/>
        <v>2045_1984</v>
      </c>
      <c r="E1858" s="1268">
        <v>0.37019554942049998</v>
      </c>
      <c r="F1858" s="1279">
        <v>2.2202485026447699E-2</v>
      </c>
      <c r="G1858" s="1255">
        <v>9.3387572561029799</v>
      </c>
      <c r="H1858" s="1279">
        <v>0.39380791814722199</v>
      </c>
      <c r="I1858" s="1255">
        <v>5.3007698006270101E-2</v>
      </c>
      <c r="J1858" s="1279">
        <v>2.17255677029657E-3</v>
      </c>
      <c r="K1858" s="1255">
        <v>3.0000008613475298E-3</v>
      </c>
      <c r="L1858" s="1253">
        <v>2.0000005741908902E-3</v>
      </c>
      <c r="M1858" s="1273">
        <v>2.0000005741908902E-3</v>
      </c>
      <c r="N1858" s="1255">
        <v>3.1850009128239903E-2</v>
      </c>
      <c r="O1858" s="1256">
        <v>3.1850009128239903E-2</v>
      </c>
      <c r="P1858" s="1251">
        <v>1.5925004564119952E-2</v>
      </c>
      <c r="Q1858" s="1254">
        <v>5.5404470891937403E-2</v>
      </c>
    </row>
    <row r="1859" spans="1:17" s="212" customFormat="1" ht="15.5" x14ac:dyDescent="0.35">
      <c r="A1859" s="198">
        <v>2045</v>
      </c>
      <c r="B1859" s="197" t="s">
        <v>5842</v>
      </c>
      <c r="C1859" s="197">
        <v>1985</v>
      </c>
      <c r="D1859" s="213" t="str">
        <f t="shared" si="21"/>
        <v>2045_1985</v>
      </c>
      <c r="E1859" s="1268">
        <v>0.37019554942049998</v>
      </c>
      <c r="F1859" s="1279">
        <v>2.2202485026447699E-2</v>
      </c>
      <c r="G1859" s="1255">
        <v>9.3387572561029799</v>
      </c>
      <c r="H1859" s="1279">
        <v>0.39380791814722199</v>
      </c>
      <c r="I1859" s="1255">
        <v>5.3007698006270101E-2</v>
      </c>
      <c r="J1859" s="1279">
        <v>2.17255677029657E-3</v>
      </c>
      <c r="K1859" s="1255">
        <v>3.0000008613475298E-3</v>
      </c>
      <c r="L1859" s="1253">
        <v>2.0000005741908902E-3</v>
      </c>
      <c r="M1859" s="1273">
        <v>2.0000005741908902E-3</v>
      </c>
      <c r="N1859" s="1255">
        <v>3.1850009128239903E-2</v>
      </c>
      <c r="O1859" s="1256">
        <v>3.1850009128239903E-2</v>
      </c>
      <c r="P1859" s="1251">
        <v>1.5925004564119952E-2</v>
      </c>
      <c r="Q1859" s="1254">
        <v>5.5404470891937403E-2</v>
      </c>
    </row>
    <row r="1860" spans="1:17" s="212" customFormat="1" ht="15.5" x14ac:dyDescent="0.35">
      <c r="A1860" s="198">
        <v>2045</v>
      </c>
      <c r="B1860" s="197" t="s">
        <v>5842</v>
      </c>
      <c r="C1860" s="197">
        <v>1986</v>
      </c>
      <c r="D1860" s="213" t="str">
        <f t="shared" si="21"/>
        <v>2045_1986</v>
      </c>
      <c r="E1860" s="1268">
        <v>0.37019554942049998</v>
      </c>
      <c r="F1860" s="1279">
        <v>2.2202485026447699E-2</v>
      </c>
      <c r="G1860" s="1255">
        <v>9.3387572561029799</v>
      </c>
      <c r="H1860" s="1279">
        <v>0.39380791814722199</v>
      </c>
      <c r="I1860" s="1255">
        <v>5.3007698006270101E-2</v>
      </c>
      <c r="J1860" s="1279">
        <v>2.17255677029657E-3</v>
      </c>
      <c r="K1860" s="1255">
        <v>3.0000008613475298E-3</v>
      </c>
      <c r="L1860" s="1253">
        <v>2.0000005741908902E-3</v>
      </c>
      <c r="M1860" s="1273">
        <v>2.0000005741908902E-3</v>
      </c>
      <c r="N1860" s="1255">
        <v>3.1850009128239903E-2</v>
      </c>
      <c r="O1860" s="1256">
        <v>3.1850009128239903E-2</v>
      </c>
      <c r="P1860" s="1251">
        <v>1.5925004564119952E-2</v>
      </c>
      <c r="Q1860" s="1254">
        <v>5.5404470891937403E-2</v>
      </c>
    </row>
    <row r="1861" spans="1:17" s="212" customFormat="1" ht="15.5" x14ac:dyDescent="0.35">
      <c r="A1861" s="198">
        <v>2045</v>
      </c>
      <c r="B1861" s="197" t="s">
        <v>5842</v>
      </c>
      <c r="C1861" s="197">
        <v>1987</v>
      </c>
      <c r="D1861" s="213" t="str">
        <f t="shared" si="21"/>
        <v>2045_1987</v>
      </c>
      <c r="E1861" s="1268">
        <v>0.37019554942049998</v>
      </c>
      <c r="F1861" s="1279">
        <v>2.2202485026447699E-2</v>
      </c>
      <c r="G1861" s="1255">
        <v>9.3387572561029799</v>
      </c>
      <c r="H1861" s="1279">
        <v>0.39380791814722199</v>
      </c>
      <c r="I1861" s="1255">
        <v>5.3007698006270101E-2</v>
      </c>
      <c r="J1861" s="1279">
        <v>2.17255677029657E-3</v>
      </c>
      <c r="K1861" s="1255">
        <v>3.0000008613475298E-3</v>
      </c>
      <c r="L1861" s="1253">
        <v>2.0000005741908902E-3</v>
      </c>
      <c r="M1861" s="1273">
        <v>2.0000005741908902E-3</v>
      </c>
      <c r="N1861" s="1255">
        <v>3.1850009128239903E-2</v>
      </c>
      <c r="O1861" s="1256">
        <v>3.1850009128239903E-2</v>
      </c>
      <c r="P1861" s="1251">
        <v>1.5925004564119952E-2</v>
      </c>
      <c r="Q1861" s="1254">
        <v>5.5404470891937403E-2</v>
      </c>
    </row>
    <row r="1862" spans="1:17" s="212" customFormat="1" ht="15.5" x14ac:dyDescent="0.35">
      <c r="A1862" s="198">
        <v>2045</v>
      </c>
      <c r="B1862" s="197" t="s">
        <v>5842</v>
      </c>
      <c r="C1862" s="197">
        <v>1988</v>
      </c>
      <c r="D1862" s="213" t="str">
        <f t="shared" si="21"/>
        <v>2045_1988</v>
      </c>
      <c r="E1862" s="1268">
        <v>0.37019554942049998</v>
      </c>
      <c r="F1862" s="1279">
        <v>2.2202485026447699E-2</v>
      </c>
      <c r="G1862" s="1255">
        <v>9.3387572561029799</v>
      </c>
      <c r="H1862" s="1279">
        <v>0.39380791814722199</v>
      </c>
      <c r="I1862" s="1255">
        <v>5.3007698006270101E-2</v>
      </c>
      <c r="J1862" s="1279">
        <v>2.17255677029657E-3</v>
      </c>
      <c r="K1862" s="1255">
        <v>3.0000008613475298E-3</v>
      </c>
      <c r="L1862" s="1253">
        <v>2.0000005741908902E-3</v>
      </c>
      <c r="M1862" s="1273">
        <v>2.0000005741908902E-3</v>
      </c>
      <c r="N1862" s="1255">
        <v>3.1850009128239903E-2</v>
      </c>
      <c r="O1862" s="1256">
        <v>3.1850009128239903E-2</v>
      </c>
      <c r="P1862" s="1251">
        <v>1.5925004564119952E-2</v>
      </c>
      <c r="Q1862" s="1254">
        <v>5.5404470891937403E-2</v>
      </c>
    </row>
    <row r="1863" spans="1:17" s="212" customFormat="1" ht="15.5" x14ac:dyDescent="0.35">
      <c r="A1863" s="198">
        <v>2045</v>
      </c>
      <c r="B1863" s="197" t="s">
        <v>5842</v>
      </c>
      <c r="C1863" s="197">
        <v>1989</v>
      </c>
      <c r="D1863" s="213" t="str">
        <f t="shared" si="21"/>
        <v>2045_1989</v>
      </c>
      <c r="E1863" s="1268">
        <v>0.37019554942049998</v>
      </c>
      <c r="F1863" s="1279">
        <v>2.2202485026447699E-2</v>
      </c>
      <c r="G1863" s="1255">
        <v>9.3387572561029799</v>
      </c>
      <c r="H1863" s="1279">
        <v>0.39380791814722199</v>
      </c>
      <c r="I1863" s="1255">
        <v>5.3007698006270101E-2</v>
      </c>
      <c r="J1863" s="1279">
        <v>2.17255677029657E-3</v>
      </c>
      <c r="K1863" s="1255">
        <v>3.0000008613475298E-3</v>
      </c>
      <c r="L1863" s="1253">
        <v>2.0000005741908902E-3</v>
      </c>
      <c r="M1863" s="1273">
        <v>2.0000005741908902E-3</v>
      </c>
      <c r="N1863" s="1255">
        <v>3.1850009128239903E-2</v>
      </c>
      <c r="O1863" s="1256">
        <v>3.1850009128239903E-2</v>
      </c>
      <c r="P1863" s="1251">
        <v>1.5925004564119952E-2</v>
      </c>
      <c r="Q1863" s="1254">
        <v>5.5404470891937403E-2</v>
      </c>
    </row>
    <row r="1864" spans="1:17" s="212" customFormat="1" ht="15.5" x14ac:dyDescent="0.35">
      <c r="A1864" s="198">
        <v>2045</v>
      </c>
      <c r="B1864" s="197" t="s">
        <v>5842</v>
      </c>
      <c r="C1864" s="197">
        <v>1990</v>
      </c>
      <c r="D1864" s="213" t="str">
        <f t="shared" si="21"/>
        <v>2045_1990</v>
      </c>
      <c r="E1864" s="1268">
        <v>0.37019554942049998</v>
      </c>
      <c r="F1864" s="1279">
        <v>2.2202485026447699E-2</v>
      </c>
      <c r="G1864" s="1255">
        <v>9.3387572561029799</v>
      </c>
      <c r="H1864" s="1279">
        <v>0.39380791814722199</v>
      </c>
      <c r="I1864" s="1255">
        <v>5.3007698006270101E-2</v>
      </c>
      <c r="J1864" s="1279">
        <v>2.17255677029657E-3</v>
      </c>
      <c r="K1864" s="1255">
        <v>3.0000008613475298E-3</v>
      </c>
      <c r="L1864" s="1253">
        <v>2.0000005741908902E-3</v>
      </c>
      <c r="M1864" s="1273">
        <v>2.0000005741908902E-3</v>
      </c>
      <c r="N1864" s="1255">
        <v>3.1850009128239903E-2</v>
      </c>
      <c r="O1864" s="1256">
        <v>3.1850009128239903E-2</v>
      </c>
      <c r="P1864" s="1251">
        <v>1.5925004564119952E-2</v>
      </c>
      <c r="Q1864" s="1254">
        <v>5.5404470891937403E-2</v>
      </c>
    </row>
    <row r="1865" spans="1:17" s="212" customFormat="1" ht="15.5" x14ac:dyDescent="0.35">
      <c r="A1865" s="198">
        <v>2045</v>
      </c>
      <c r="B1865" s="197" t="s">
        <v>5842</v>
      </c>
      <c r="C1865" s="197">
        <v>1991</v>
      </c>
      <c r="D1865" s="213" t="str">
        <f t="shared" si="21"/>
        <v>2045_1991</v>
      </c>
      <c r="E1865" s="1268">
        <v>0.37019554942049998</v>
      </c>
      <c r="F1865" s="1279">
        <v>2.2202485026447699E-2</v>
      </c>
      <c r="G1865" s="1255">
        <v>9.3387572561029799</v>
      </c>
      <c r="H1865" s="1279">
        <v>0.39380791814722199</v>
      </c>
      <c r="I1865" s="1255">
        <v>5.3007698006270101E-2</v>
      </c>
      <c r="J1865" s="1279">
        <v>2.17255677029657E-3</v>
      </c>
      <c r="K1865" s="1255">
        <v>3.0000008613475298E-3</v>
      </c>
      <c r="L1865" s="1253">
        <v>2.0000005741908902E-3</v>
      </c>
      <c r="M1865" s="1273">
        <v>2.0000005741908902E-3</v>
      </c>
      <c r="N1865" s="1255">
        <v>3.1850009128239903E-2</v>
      </c>
      <c r="O1865" s="1256">
        <v>3.1850009128239903E-2</v>
      </c>
      <c r="P1865" s="1251">
        <v>1.5925004564119952E-2</v>
      </c>
      <c r="Q1865" s="1254">
        <v>5.5404470891937403E-2</v>
      </c>
    </row>
    <row r="1866" spans="1:17" s="212" customFormat="1" ht="15.5" x14ac:dyDescent="0.35">
      <c r="A1866" s="198">
        <v>2045</v>
      </c>
      <c r="B1866" s="197" t="s">
        <v>5842</v>
      </c>
      <c r="C1866" s="197">
        <v>1992</v>
      </c>
      <c r="D1866" s="213" t="str">
        <f t="shared" si="21"/>
        <v>2045_1992</v>
      </c>
      <c r="E1866" s="1268">
        <v>0.37019554942049998</v>
      </c>
      <c r="F1866" s="1279">
        <v>2.2202485026447699E-2</v>
      </c>
      <c r="G1866" s="1255">
        <v>9.3387572561029799</v>
      </c>
      <c r="H1866" s="1279">
        <v>0.39380791814722199</v>
      </c>
      <c r="I1866" s="1255">
        <v>5.3007698006270101E-2</v>
      </c>
      <c r="J1866" s="1279">
        <v>2.17255677029657E-3</v>
      </c>
      <c r="K1866" s="1255">
        <v>3.0000008613475298E-3</v>
      </c>
      <c r="L1866" s="1253">
        <v>2.0000005741908902E-3</v>
      </c>
      <c r="M1866" s="1273">
        <v>2.0000005741908902E-3</v>
      </c>
      <c r="N1866" s="1255">
        <v>3.1850009128239903E-2</v>
      </c>
      <c r="O1866" s="1256">
        <v>3.1850009128239903E-2</v>
      </c>
      <c r="P1866" s="1251">
        <v>1.5925004564119952E-2</v>
      </c>
      <c r="Q1866" s="1254">
        <v>5.5404470891937403E-2</v>
      </c>
    </row>
    <row r="1867" spans="1:17" s="212" customFormat="1" ht="15.5" x14ac:dyDescent="0.35">
      <c r="A1867" s="198">
        <v>2045</v>
      </c>
      <c r="B1867" s="197" t="s">
        <v>5842</v>
      </c>
      <c r="C1867" s="197">
        <v>1993</v>
      </c>
      <c r="D1867" s="213" t="str">
        <f t="shared" si="21"/>
        <v>2045_1993</v>
      </c>
      <c r="E1867" s="1268">
        <v>0.37019554942049998</v>
      </c>
      <c r="F1867" s="1279">
        <v>2.2202485026447699E-2</v>
      </c>
      <c r="G1867" s="1255">
        <v>9.3387572561029799</v>
      </c>
      <c r="H1867" s="1279">
        <v>0.39380791814722199</v>
      </c>
      <c r="I1867" s="1255">
        <v>5.3007698006270101E-2</v>
      </c>
      <c r="J1867" s="1279">
        <v>2.17255677029657E-3</v>
      </c>
      <c r="K1867" s="1255">
        <v>3.0000008613475298E-3</v>
      </c>
      <c r="L1867" s="1253">
        <v>2.0000005741908902E-3</v>
      </c>
      <c r="M1867" s="1273">
        <v>2.0000005741908902E-3</v>
      </c>
      <c r="N1867" s="1255">
        <v>3.1850009128239903E-2</v>
      </c>
      <c r="O1867" s="1256">
        <v>3.1850009128239903E-2</v>
      </c>
      <c r="P1867" s="1251">
        <v>1.5925004564119952E-2</v>
      </c>
      <c r="Q1867" s="1254">
        <v>5.5404470891937403E-2</v>
      </c>
    </row>
    <row r="1868" spans="1:17" s="212" customFormat="1" ht="15.5" x14ac:dyDescent="0.35">
      <c r="A1868" s="198">
        <v>2045</v>
      </c>
      <c r="B1868" s="197" t="s">
        <v>5842</v>
      </c>
      <c r="C1868" s="197">
        <v>1994</v>
      </c>
      <c r="D1868" s="213" t="str">
        <f t="shared" si="21"/>
        <v>2045_1994</v>
      </c>
      <c r="E1868" s="1268">
        <v>0.37019554942049998</v>
      </c>
      <c r="F1868" s="1279">
        <v>2.2202485026447699E-2</v>
      </c>
      <c r="G1868" s="1255">
        <v>9.3387572561029799</v>
      </c>
      <c r="H1868" s="1279">
        <v>0.39380791814722199</v>
      </c>
      <c r="I1868" s="1255">
        <v>5.3007698006270101E-2</v>
      </c>
      <c r="J1868" s="1279">
        <v>2.17255677029657E-3</v>
      </c>
      <c r="K1868" s="1255">
        <v>3.0000008613475298E-3</v>
      </c>
      <c r="L1868" s="1253">
        <v>2.0000005741908902E-3</v>
      </c>
      <c r="M1868" s="1273">
        <v>2.0000005741908902E-3</v>
      </c>
      <c r="N1868" s="1255">
        <v>3.1850009128239903E-2</v>
      </c>
      <c r="O1868" s="1256">
        <v>3.1850009128239903E-2</v>
      </c>
      <c r="P1868" s="1251">
        <v>1.5925004564119952E-2</v>
      </c>
      <c r="Q1868" s="1254">
        <v>5.5404470891937403E-2</v>
      </c>
    </row>
    <row r="1869" spans="1:17" s="212" customFormat="1" ht="15.5" x14ac:dyDescent="0.35">
      <c r="A1869" s="198">
        <v>2045</v>
      </c>
      <c r="B1869" s="197" t="s">
        <v>5842</v>
      </c>
      <c r="C1869" s="197">
        <v>1995</v>
      </c>
      <c r="D1869" s="213" t="str">
        <f t="shared" si="21"/>
        <v>2045_1995</v>
      </c>
      <c r="E1869" s="1268">
        <v>0.37019554942049998</v>
      </c>
      <c r="F1869" s="1279">
        <v>2.2202485026447699E-2</v>
      </c>
      <c r="G1869" s="1255">
        <v>9.3387572561029799</v>
      </c>
      <c r="H1869" s="1279">
        <v>0.39380791814722199</v>
      </c>
      <c r="I1869" s="1255">
        <v>5.3007698006270101E-2</v>
      </c>
      <c r="J1869" s="1279">
        <v>2.17255677029657E-3</v>
      </c>
      <c r="K1869" s="1255">
        <v>3.0000008613475298E-3</v>
      </c>
      <c r="L1869" s="1253">
        <v>2.0000005741908902E-3</v>
      </c>
      <c r="M1869" s="1273">
        <v>2.0000005741908902E-3</v>
      </c>
      <c r="N1869" s="1255">
        <v>3.1850009128239903E-2</v>
      </c>
      <c r="O1869" s="1256">
        <v>3.1850009128239903E-2</v>
      </c>
      <c r="P1869" s="1251">
        <v>1.5925004564119952E-2</v>
      </c>
      <c r="Q1869" s="1254">
        <v>5.5404470891937403E-2</v>
      </c>
    </row>
    <row r="1870" spans="1:17" s="212" customFormat="1" ht="15.5" x14ac:dyDescent="0.35">
      <c r="A1870" s="198">
        <v>2045</v>
      </c>
      <c r="B1870" s="197" t="s">
        <v>5842</v>
      </c>
      <c r="C1870" s="197">
        <v>1996</v>
      </c>
      <c r="D1870" s="213" t="str">
        <f t="shared" si="21"/>
        <v>2045_1996</v>
      </c>
      <c r="E1870" s="1268">
        <v>0.37019554942049998</v>
      </c>
      <c r="F1870" s="1279">
        <v>2.2202485026447699E-2</v>
      </c>
      <c r="G1870" s="1255">
        <v>9.3387572561029799</v>
      </c>
      <c r="H1870" s="1279">
        <v>0.39380791814722199</v>
      </c>
      <c r="I1870" s="1255">
        <v>5.3007698006270101E-2</v>
      </c>
      <c r="J1870" s="1279">
        <v>2.17255677029657E-3</v>
      </c>
      <c r="K1870" s="1255">
        <v>3.0000008613475298E-3</v>
      </c>
      <c r="L1870" s="1253">
        <v>2.0000005741908902E-3</v>
      </c>
      <c r="M1870" s="1273">
        <v>2.0000005741908902E-3</v>
      </c>
      <c r="N1870" s="1255">
        <v>3.1850009128239903E-2</v>
      </c>
      <c r="O1870" s="1256">
        <v>3.1850009128239903E-2</v>
      </c>
      <c r="P1870" s="1251">
        <v>1.5925004564119952E-2</v>
      </c>
      <c r="Q1870" s="1254">
        <v>5.5404470891937403E-2</v>
      </c>
    </row>
    <row r="1871" spans="1:17" s="212" customFormat="1" ht="15.5" x14ac:dyDescent="0.35">
      <c r="A1871" s="198">
        <v>2045</v>
      </c>
      <c r="B1871" s="197" t="s">
        <v>5842</v>
      </c>
      <c r="C1871" s="197">
        <v>1997</v>
      </c>
      <c r="D1871" s="213" t="str">
        <f t="shared" si="21"/>
        <v>2045_1997</v>
      </c>
      <c r="E1871" s="1268">
        <v>0.37019554942049998</v>
      </c>
      <c r="F1871" s="1279">
        <v>2.2202485026447699E-2</v>
      </c>
      <c r="G1871" s="1255">
        <v>9.3387572561029799</v>
      </c>
      <c r="H1871" s="1279">
        <v>0.39380791814722199</v>
      </c>
      <c r="I1871" s="1255">
        <v>5.3007698006270101E-2</v>
      </c>
      <c r="J1871" s="1279">
        <v>2.17255677029657E-3</v>
      </c>
      <c r="K1871" s="1255">
        <v>3.0000008613475298E-3</v>
      </c>
      <c r="L1871" s="1253">
        <v>2.0000005741908902E-3</v>
      </c>
      <c r="M1871" s="1273">
        <v>2.0000005741908902E-3</v>
      </c>
      <c r="N1871" s="1255">
        <v>3.1850009128239903E-2</v>
      </c>
      <c r="O1871" s="1256">
        <v>3.1850009128239903E-2</v>
      </c>
      <c r="P1871" s="1251">
        <v>1.5925004564119952E-2</v>
      </c>
      <c r="Q1871" s="1254">
        <v>5.5404470891937403E-2</v>
      </c>
    </row>
    <row r="1872" spans="1:17" s="212" customFormat="1" ht="15.5" x14ac:dyDescent="0.35">
      <c r="A1872" s="198">
        <v>2045</v>
      </c>
      <c r="B1872" s="197" t="s">
        <v>5842</v>
      </c>
      <c r="C1872" s="197">
        <v>1998</v>
      </c>
      <c r="D1872" s="213" t="str">
        <f t="shared" si="21"/>
        <v>2045_1998</v>
      </c>
      <c r="E1872" s="1268">
        <v>0.37019554942049998</v>
      </c>
      <c r="F1872" s="1279">
        <v>2.2202485026447699E-2</v>
      </c>
      <c r="G1872" s="1255">
        <v>9.3387572561029799</v>
      </c>
      <c r="H1872" s="1279">
        <v>0.39380791814722199</v>
      </c>
      <c r="I1872" s="1255">
        <v>5.3007698006270101E-2</v>
      </c>
      <c r="J1872" s="1279">
        <v>2.17255677029657E-3</v>
      </c>
      <c r="K1872" s="1255">
        <v>3.0000008613475298E-3</v>
      </c>
      <c r="L1872" s="1253">
        <v>2.0000005741908902E-3</v>
      </c>
      <c r="M1872" s="1273">
        <v>2.0000005741908902E-3</v>
      </c>
      <c r="N1872" s="1255">
        <v>3.1850009128239903E-2</v>
      </c>
      <c r="O1872" s="1256">
        <v>3.1850009128239903E-2</v>
      </c>
      <c r="P1872" s="1251">
        <v>1.5925004564119952E-2</v>
      </c>
      <c r="Q1872" s="1254">
        <v>5.5404470891937403E-2</v>
      </c>
    </row>
    <row r="1873" spans="1:17" s="212" customFormat="1" ht="15.5" x14ac:dyDescent="0.35">
      <c r="A1873" s="198">
        <v>2045</v>
      </c>
      <c r="B1873" s="197" t="s">
        <v>5842</v>
      </c>
      <c r="C1873" s="197">
        <v>1999</v>
      </c>
      <c r="D1873" s="213" t="str">
        <f t="shared" si="21"/>
        <v>2045_1999</v>
      </c>
      <c r="E1873" s="1268">
        <v>0.37019554942049998</v>
      </c>
      <c r="F1873" s="1279">
        <v>2.2202485026447699E-2</v>
      </c>
      <c r="G1873" s="1255">
        <v>9.3387572561029799</v>
      </c>
      <c r="H1873" s="1279">
        <v>0.39380791814722199</v>
      </c>
      <c r="I1873" s="1255">
        <v>5.3007698006270101E-2</v>
      </c>
      <c r="J1873" s="1279">
        <v>2.17255677029657E-3</v>
      </c>
      <c r="K1873" s="1255">
        <v>3.0000008613475298E-3</v>
      </c>
      <c r="L1873" s="1253">
        <v>2.0000005741908902E-3</v>
      </c>
      <c r="M1873" s="1273">
        <v>2.0000005741908902E-3</v>
      </c>
      <c r="N1873" s="1255">
        <v>3.1850009128239903E-2</v>
      </c>
      <c r="O1873" s="1256">
        <v>3.1850009128239903E-2</v>
      </c>
      <c r="P1873" s="1251">
        <v>1.5925004564119952E-2</v>
      </c>
      <c r="Q1873" s="1254">
        <v>5.5404470891937403E-2</v>
      </c>
    </row>
    <row r="1874" spans="1:17" s="212" customFormat="1" ht="15.5" x14ac:dyDescent="0.35">
      <c r="A1874" s="198">
        <v>2045</v>
      </c>
      <c r="B1874" s="197" t="s">
        <v>5842</v>
      </c>
      <c r="C1874" s="197">
        <v>2000</v>
      </c>
      <c r="D1874" s="213" t="str">
        <f t="shared" si="21"/>
        <v>2045_2000</v>
      </c>
      <c r="E1874" s="1268">
        <v>0.37019554942049998</v>
      </c>
      <c r="F1874" s="1279">
        <v>2.2202485026447699E-2</v>
      </c>
      <c r="G1874" s="1255">
        <v>9.3387572561029799</v>
      </c>
      <c r="H1874" s="1279">
        <v>0.39380791814722199</v>
      </c>
      <c r="I1874" s="1255">
        <v>5.3007698006270101E-2</v>
      </c>
      <c r="J1874" s="1279">
        <v>2.17255677029657E-3</v>
      </c>
      <c r="K1874" s="1255">
        <v>3.0000008613475298E-3</v>
      </c>
      <c r="L1874" s="1253">
        <v>2.0000005741908902E-3</v>
      </c>
      <c r="M1874" s="1273">
        <v>2.0000005741908902E-3</v>
      </c>
      <c r="N1874" s="1255">
        <v>3.1850009128239903E-2</v>
      </c>
      <c r="O1874" s="1256">
        <v>3.1850009128239903E-2</v>
      </c>
      <c r="P1874" s="1251">
        <v>1.5925004564119952E-2</v>
      </c>
      <c r="Q1874" s="1254">
        <v>5.5404470891937403E-2</v>
      </c>
    </row>
    <row r="1875" spans="1:17" s="212" customFormat="1" ht="15.5" x14ac:dyDescent="0.35">
      <c r="A1875" s="198">
        <v>2045</v>
      </c>
      <c r="B1875" s="197" t="s">
        <v>5842</v>
      </c>
      <c r="C1875" s="197">
        <v>2001</v>
      </c>
      <c r="D1875" s="213" t="str">
        <f t="shared" si="21"/>
        <v>2045_2001</v>
      </c>
      <c r="E1875" s="1267">
        <v>0.37019554942049998</v>
      </c>
      <c r="F1875" s="1278">
        <v>2.2202485026447699E-2</v>
      </c>
      <c r="G1875" s="1248">
        <v>9.3387572561029799</v>
      </c>
      <c r="H1875" s="1278">
        <v>0.39380791814722199</v>
      </c>
      <c r="I1875" s="1248">
        <v>5.3007698006270101E-2</v>
      </c>
      <c r="J1875" s="1278">
        <v>2.17255677029657E-3</v>
      </c>
      <c r="K1875" s="1248">
        <v>3.0000008613475298E-3</v>
      </c>
      <c r="L1875" s="1250">
        <v>2.0000005741908902E-3</v>
      </c>
      <c r="M1875" s="1273">
        <v>2.0000005741908902E-3</v>
      </c>
      <c r="N1875" s="1248">
        <v>3.1850009128239903E-2</v>
      </c>
      <c r="O1875" s="1249">
        <v>3.1850009128239903E-2</v>
      </c>
      <c r="P1875" s="1251">
        <v>1.5925004564119952E-2</v>
      </c>
      <c r="Q1875" s="1252">
        <v>5.5404470891937403E-2</v>
      </c>
    </row>
    <row r="1876" spans="1:17" s="212" customFormat="1" ht="15.5" x14ac:dyDescent="0.35">
      <c r="A1876" s="198">
        <v>2045</v>
      </c>
      <c r="B1876" s="197" t="s">
        <v>5842</v>
      </c>
      <c r="C1876" s="197">
        <v>2002</v>
      </c>
      <c r="D1876" s="213" t="str">
        <f t="shared" si="21"/>
        <v>2045_2002</v>
      </c>
      <c r="E1876" s="1267">
        <v>0.28702398367099902</v>
      </c>
      <c r="F1876" s="1278">
        <v>2.2139349994319799E-2</v>
      </c>
      <c r="G1876" s="1248">
        <v>7.1978480294381901</v>
      </c>
      <c r="H1876" s="1278">
        <v>0.31744326840753501</v>
      </c>
      <c r="I1876" s="1248">
        <v>5.3500670130366398E-2</v>
      </c>
      <c r="J1876" s="1278">
        <v>2.1703870716332698E-3</v>
      </c>
      <c r="K1876" s="1248">
        <v>3.0000008613613001E-3</v>
      </c>
      <c r="L1876" s="1250">
        <v>2.0000005741662298E-3</v>
      </c>
      <c r="M1876" s="1273">
        <v>2.0000005741662298E-3</v>
      </c>
      <c r="N1876" s="1248">
        <v>3.1850009128239903E-2</v>
      </c>
      <c r="O1876" s="1249">
        <v>3.1850009128239903E-2</v>
      </c>
      <c r="P1876" s="1251">
        <v>1.5925004564119952E-2</v>
      </c>
      <c r="Q1876" s="1252">
        <v>5.5919733027953902E-2</v>
      </c>
    </row>
    <row r="1877" spans="1:17" s="212" customFormat="1" ht="15.5" x14ac:dyDescent="0.35">
      <c r="A1877" s="198">
        <v>2045</v>
      </c>
      <c r="B1877" s="197" t="s">
        <v>5842</v>
      </c>
      <c r="C1877" s="197">
        <v>2003</v>
      </c>
      <c r="D1877" s="213" t="str">
        <f t="shared" si="21"/>
        <v>2045_2003</v>
      </c>
      <c r="E1877" s="1267">
        <v>0.28450504551415101</v>
      </c>
      <c r="F1877" s="1278">
        <v>2.1825593342742301E-2</v>
      </c>
      <c r="G1877" s="1248">
        <v>7.2413358184472001</v>
      </c>
      <c r="H1877" s="1278">
        <v>0.31672128605531602</v>
      </c>
      <c r="I1877" s="1248">
        <v>5.3031145327300397E-2</v>
      </c>
      <c r="J1877" s="1278">
        <v>2.13860219570288E-3</v>
      </c>
      <c r="K1877" s="1248">
        <v>3.0000008612864702E-3</v>
      </c>
      <c r="L1877" s="1250">
        <v>2.0000005741518099E-3</v>
      </c>
      <c r="M1877" s="1273">
        <v>2.0000005741518099E-3</v>
      </c>
      <c r="N1877" s="1248">
        <v>3.1850009128239903E-2</v>
      </c>
      <c r="O1877" s="1249">
        <v>3.1850009128239903E-2</v>
      </c>
      <c r="P1877" s="1251">
        <v>1.5925004564119952E-2</v>
      </c>
      <c r="Q1877" s="1252">
        <v>5.5428978396778697E-2</v>
      </c>
    </row>
    <row r="1878" spans="1:17" s="212" customFormat="1" ht="15.5" x14ac:dyDescent="0.35">
      <c r="A1878" s="198">
        <v>2045</v>
      </c>
      <c r="B1878" s="197" t="s">
        <v>5842</v>
      </c>
      <c r="C1878" s="197">
        <v>2004</v>
      </c>
      <c r="D1878" s="213" t="str">
        <f t="shared" si="21"/>
        <v>2045_2004</v>
      </c>
      <c r="E1878" s="1267">
        <v>0.57588807589099</v>
      </c>
      <c r="F1878" s="1278">
        <v>1.42849916716732E-2</v>
      </c>
      <c r="G1878" s="1248">
        <v>4.1418296742777203</v>
      </c>
      <c r="H1878" s="1278">
        <v>0.26781393883851801</v>
      </c>
      <c r="I1878" s="1248">
        <v>0.15002480149693001</v>
      </c>
      <c r="J1878" s="1278">
        <v>1.3902994033232599E-4</v>
      </c>
      <c r="K1878" s="1248">
        <v>3.0000008612804498E-3</v>
      </c>
      <c r="L1878" s="1250">
        <v>2.0000005740863701E-3</v>
      </c>
      <c r="M1878" s="1273">
        <v>2.0000005740863701E-3</v>
      </c>
      <c r="N1878" s="1248">
        <v>3.1850009128239903E-2</v>
      </c>
      <c r="O1878" s="1249">
        <v>3.1850009128239903E-2</v>
      </c>
      <c r="P1878" s="1251">
        <v>1.5925004564119952E-2</v>
      </c>
      <c r="Q1878" s="1252">
        <v>0.156808257295425</v>
      </c>
    </row>
    <row r="1879" spans="1:17" s="212" customFormat="1" ht="15.5" x14ac:dyDescent="0.35">
      <c r="A1879" s="198">
        <v>2045</v>
      </c>
      <c r="B1879" s="197" t="s">
        <v>5842</v>
      </c>
      <c r="C1879" s="197">
        <v>2005</v>
      </c>
      <c r="D1879" s="213" t="str">
        <f t="shared" si="21"/>
        <v>2045_2005</v>
      </c>
      <c r="E1879" s="1267">
        <v>0.57361518723483096</v>
      </c>
      <c r="F1879" s="1278">
        <v>1.44275246438339E-2</v>
      </c>
      <c r="G1879" s="1248">
        <v>4.13457218734038</v>
      </c>
      <c r="H1879" s="1278">
        <v>0.269852172816128</v>
      </c>
      <c r="I1879" s="1248">
        <v>0.149526930122307</v>
      </c>
      <c r="J1879" s="1278">
        <v>1.4097456253661601E-4</v>
      </c>
      <c r="K1879" s="1248">
        <v>3.0000008612572401E-3</v>
      </c>
      <c r="L1879" s="1250">
        <v>2.00000057412472E-3</v>
      </c>
      <c r="M1879" s="1273">
        <v>2.00000057412472E-3</v>
      </c>
      <c r="N1879" s="1248">
        <v>3.1850009128239903E-2</v>
      </c>
      <c r="O1879" s="1249">
        <v>3.1850009128239903E-2</v>
      </c>
      <c r="P1879" s="1251">
        <v>1.5925004564119952E-2</v>
      </c>
      <c r="Q1879" s="1252">
        <v>0.15628787438651201</v>
      </c>
    </row>
    <row r="1880" spans="1:17" s="212" customFormat="1" ht="15.5" x14ac:dyDescent="0.35">
      <c r="A1880" s="198">
        <v>2045</v>
      </c>
      <c r="B1880" s="197" t="s">
        <v>5842</v>
      </c>
      <c r="C1880" s="197">
        <v>2006</v>
      </c>
      <c r="D1880" s="213" t="str">
        <f t="shared" si="21"/>
        <v>2045_2006</v>
      </c>
      <c r="E1880" s="1267">
        <v>0.56989227016024102</v>
      </c>
      <c r="F1880" s="1278">
        <v>1.45917566500776E-2</v>
      </c>
      <c r="G1880" s="1248">
        <v>4.1217264798594897</v>
      </c>
      <c r="H1880" s="1278">
        <v>0.271913413741671</v>
      </c>
      <c r="I1880" s="1248">
        <v>0.14868780561994199</v>
      </c>
      <c r="J1880" s="1278">
        <v>1.4197960356932199E-4</v>
      </c>
      <c r="K1880" s="1248">
        <v>3.0000008612439499E-3</v>
      </c>
      <c r="L1880" s="1250">
        <v>2.0000005741400801E-3</v>
      </c>
      <c r="M1880" s="1273">
        <v>2.0000005741400801E-3</v>
      </c>
      <c r="N1880" s="1248">
        <v>3.1850009128239903E-2</v>
      </c>
      <c r="O1880" s="1249">
        <v>3.1850009128239903E-2</v>
      </c>
      <c r="P1880" s="1251">
        <v>1.5925004564119952E-2</v>
      </c>
      <c r="Q1880" s="1252">
        <v>0.15541080839770999</v>
      </c>
    </row>
    <row r="1881" spans="1:17" s="212" customFormat="1" ht="15.5" x14ac:dyDescent="0.35">
      <c r="A1881" s="198">
        <v>2045</v>
      </c>
      <c r="B1881" s="197" t="s">
        <v>5842</v>
      </c>
      <c r="C1881" s="197">
        <v>2007</v>
      </c>
      <c r="D1881" s="213" t="str">
        <f t="shared" si="21"/>
        <v>2045_2007</v>
      </c>
      <c r="E1881" s="1267">
        <v>0.33247804251653401</v>
      </c>
      <c r="F1881" s="1278">
        <v>1.45286190175074E-2</v>
      </c>
      <c r="G1881" s="1248">
        <v>2.4809070391744998</v>
      </c>
      <c r="H1881" s="1278">
        <v>0.27273457370828003</v>
      </c>
      <c r="I1881" s="1248">
        <v>8.7322279823623006E-2</v>
      </c>
      <c r="J1881" s="1278">
        <v>1.45014240552944E-4</v>
      </c>
      <c r="K1881" s="1248">
        <v>3.000000861247E-3</v>
      </c>
      <c r="L1881" s="1250">
        <v>2.0000005741934099E-3</v>
      </c>
      <c r="M1881" s="1273">
        <v>2.0000005741934099E-3</v>
      </c>
      <c r="N1881" s="1248">
        <v>3.1850009128239903E-2</v>
      </c>
      <c r="O1881" s="1249">
        <v>3.1850009128239903E-2</v>
      </c>
      <c r="P1881" s="1251">
        <v>1.5925004564119952E-2</v>
      </c>
      <c r="Q1881" s="1252">
        <v>9.1270605830369403E-2</v>
      </c>
    </row>
    <row r="1882" spans="1:17" s="212" customFormat="1" ht="15.5" x14ac:dyDescent="0.35">
      <c r="A1882" s="198">
        <v>2045</v>
      </c>
      <c r="B1882" s="197" t="s">
        <v>5842</v>
      </c>
      <c r="C1882" s="197">
        <v>2008</v>
      </c>
      <c r="D1882" s="213" t="str">
        <f t="shared" si="21"/>
        <v>2045_2008</v>
      </c>
      <c r="E1882" s="1267">
        <v>0.34003671170789401</v>
      </c>
      <c r="F1882" s="1278">
        <v>9.8775699687182195E-3</v>
      </c>
      <c r="G1882" s="1248">
        <v>2.5053676001724901</v>
      </c>
      <c r="H1882" s="1278">
        <v>0.158430717431122</v>
      </c>
      <c r="I1882" s="1248">
        <v>8.8909066922740601E-2</v>
      </c>
      <c r="J1882" s="1278">
        <v>1.4126777284973499E-4</v>
      </c>
      <c r="K1882" s="1248">
        <v>3.0000008613349301E-3</v>
      </c>
      <c r="L1882" s="1250">
        <v>2.0000005742192698E-3</v>
      </c>
      <c r="M1882" s="1273">
        <v>2.0000005742192698E-3</v>
      </c>
      <c r="N1882" s="1248">
        <v>3.1850009128239903E-2</v>
      </c>
      <c r="O1882" s="1249">
        <v>3.1850009128239903E-2</v>
      </c>
      <c r="P1882" s="1251">
        <v>1.5925004564119952E-2</v>
      </c>
      <c r="Q1882" s="1252">
        <v>9.29291404008456E-2</v>
      </c>
    </row>
    <row r="1883" spans="1:17" s="212" customFormat="1" ht="15.5" x14ac:dyDescent="0.35">
      <c r="A1883" s="198">
        <v>2045</v>
      </c>
      <c r="B1883" s="197" t="s">
        <v>5842</v>
      </c>
      <c r="C1883" s="197">
        <v>2009</v>
      </c>
      <c r="D1883" s="213" t="str">
        <f t="shared" si="21"/>
        <v>2045_2009</v>
      </c>
      <c r="E1883" s="1267">
        <v>0.33844505837133598</v>
      </c>
      <c r="F1883" s="1278">
        <v>4.8009488211298501E-3</v>
      </c>
      <c r="G1883" s="1248">
        <v>2.5002011926691998</v>
      </c>
      <c r="H1883" s="1278">
        <v>4.29219466324674E-2</v>
      </c>
      <c r="I1883" s="1248">
        <v>8.8558830000462593E-2</v>
      </c>
      <c r="J1883" s="1278">
        <v>1.2983761623524401E-4</v>
      </c>
      <c r="K1883" s="1248">
        <v>3.00000086129476E-3</v>
      </c>
      <c r="L1883" s="1250">
        <v>2.00000057416288E-3</v>
      </c>
      <c r="M1883" s="1273">
        <v>2.00000057416288E-3</v>
      </c>
      <c r="N1883" s="1248">
        <v>3.1850009128239903E-2</v>
      </c>
      <c r="O1883" s="1249">
        <v>3.1850009128239903E-2</v>
      </c>
      <c r="P1883" s="1251">
        <v>1.5925004564119952E-2</v>
      </c>
      <c r="Q1883" s="1252">
        <v>9.2563067319095499E-2</v>
      </c>
    </row>
    <row r="1884" spans="1:17" s="212" customFormat="1" ht="15.5" x14ac:dyDescent="0.35">
      <c r="A1884" s="198">
        <v>2045</v>
      </c>
      <c r="B1884" s="197" t="s">
        <v>5842</v>
      </c>
      <c r="C1884" s="197">
        <v>2010</v>
      </c>
      <c r="D1884" s="213" t="str">
        <f t="shared" si="21"/>
        <v>2045_2010</v>
      </c>
      <c r="E1884" s="1267">
        <v>9.0271743023025694E-2</v>
      </c>
      <c r="F1884" s="1278">
        <v>4.8055856354241103E-3</v>
      </c>
      <c r="G1884" s="1248">
        <v>0.824398384667547</v>
      </c>
      <c r="H1884" s="1278">
        <v>4.3254175801592597E-2</v>
      </c>
      <c r="I1884" s="1248">
        <v>2.4794836735133299E-2</v>
      </c>
      <c r="J1884" s="1278">
        <v>1.5847209823644301E-4</v>
      </c>
      <c r="K1884" s="1248">
        <v>3.0000008613403602E-3</v>
      </c>
      <c r="L1884" s="1250">
        <v>2.0000005741401599E-3</v>
      </c>
      <c r="M1884" s="1273">
        <v>2.0000005741401599E-3</v>
      </c>
      <c r="N1884" s="1248">
        <v>3.1850009128239903E-2</v>
      </c>
      <c r="O1884" s="1249">
        <v>3.1850009128239903E-2</v>
      </c>
      <c r="P1884" s="1251">
        <v>1.5925004564119952E-2</v>
      </c>
      <c r="Q1884" s="1252">
        <v>2.5915949226837501E-2</v>
      </c>
    </row>
    <row r="1885" spans="1:17" s="212" customFormat="1" ht="15.5" x14ac:dyDescent="0.35">
      <c r="A1885" s="198">
        <v>2045</v>
      </c>
      <c r="B1885" s="197" t="s">
        <v>5842</v>
      </c>
      <c r="C1885" s="197">
        <v>2011</v>
      </c>
      <c r="D1885" s="213" t="str">
        <f t="shared" si="21"/>
        <v>2045_2011</v>
      </c>
      <c r="E1885" s="1267">
        <v>8.94417491052064E-2</v>
      </c>
      <c r="F1885" s="1278">
        <v>5.0051847693772999E-3</v>
      </c>
      <c r="G1885" s="1248">
        <v>0.821063994503621</v>
      </c>
      <c r="H1885" s="1278">
        <v>4.3181612941930403E-2</v>
      </c>
      <c r="I1885" s="1248">
        <v>2.4641370319753698E-2</v>
      </c>
      <c r="J1885" s="1278">
        <v>2.1684222209715601E-4</v>
      </c>
      <c r="K1885" s="1248">
        <v>3.00000086131187E-3</v>
      </c>
      <c r="L1885" s="1250">
        <v>2.0000005742400202E-3</v>
      </c>
      <c r="M1885" s="1273">
        <v>2.0000005742400202E-3</v>
      </c>
      <c r="N1885" s="1248">
        <v>3.1850009128239903E-2</v>
      </c>
      <c r="O1885" s="1249">
        <v>3.1850009128239903E-2</v>
      </c>
      <c r="P1885" s="1251">
        <v>1.5925004564119952E-2</v>
      </c>
      <c r="Q1885" s="1252">
        <v>2.5755543741151601E-2</v>
      </c>
    </row>
    <row r="1886" spans="1:17" s="212" customFormat="1" ht="15.5" x14ac:dyDescent="0.35">
      <c r="A1886" s="198">
        <v>2045</v>
      </c>
      <c r="B1886" s="197" t="s">
        <v>5842</v>
      </c>
      <c r="C1886" s="197">
        <v>2012</v>
      </c>
      <c r="D1886" s="213" t="str">
        <f t="shared" si="21"/>
        <v>2045_2012</v>
      </c>
      <c r="E1886" s="1267">
        <v>9.0187257770660598E-2</v>
      </c>
      <c r="F1886" s="1278">
        <v>4.9959001646808299E-3</v>
      </c>
      <c r="G1886" s="1248">
        <v>0.82423250098681899</v>
      </c>
      <c r="H1886" s="1278">
        <v>4.3251243012091801E-2</v>
      </c>
      <c r="I1886" s="1248">
        <v>2.4782080406411298E-2</v>
      </c>
      <c r="J1886" s="1278">
        <v>3.1654582727768299E-4</v>
      </c>
      <c r="K1886" s="1248">
        <v>3.0000008613695699E-3</v>
      </c>
      <c r="L1886" s="1250">
        <v>2.0000005742483299E-3</v>
      </c>
      <c r="M1886" s="1273">
        <v>2.0000005742483299E-3</v>
      </c>
      <c r="N1886" s="1248">
        <v>3.1850009128239903E-2</v>
      </c>
      <c r="O1886" s="1249">
        <v>3.1850009128239903E-2</v>
      </c>
      <c r="P1886" s="1251">
        <v>1.5925004564119952E-2</v>
      </c>
      <c r="Q1886" s="1252">
        <v>2.59026161135361E-2</v>
      </c>
    </row>
    <row r="1887" spans="1:17" s="212" customFormat="1" ht="15.5" x14ac:dyDescent="0.35">
      <c r="A1887" s="198">
        <v>2045</v>
      </c>
      <c r="B1887" s="197" t="s">
        <v>5842</v>
      </c>
      <c r="C1887" s="197">
        <v>2013</v>
      </c>
      <c r="D1887" s="213" t="str">
        <f t="shared" si="21"/>
        <v>2045_2013</v>
      </c>
      <c r="E1887" s="1267">
        <v>9.01421363247073E-2</v>
      </c>
      <c r="F1887" s="1278">
        <v>5.0588166062429897E-3</v>
      </c>
      <c r="G1887" s="1248">
        <v>0.82321375593156798</v>
      </c>
      <c r="H1887" s="1278">
        <v>4.3088179290575297E-2</v>
      </c>
      <c r="I1887" s="1248">
        <v>2.4764080181855299E-2</v>
      </c>
      <c r="J1887" s="1278">
        <v>4.7509609917513598E-4</v>
      </c>
      <c r="K1887" s="1248">
        <v>3.0000008613931999E-3</v>
      </c>
      <c r="L1887" s="1250">
        <v>2.00000057428405E-3</v>
      </c>
      <c r="M1887" s="1273">
        <v>2.00000057428405E-3</v>
      </c>
      <c r="N1887" s="1248">
        <v>3.1850009128239903E-2</v>
      </c>
      <c r="O1887" s="1249">
        <v>3.1850009128239903E-2</v>
      </c>
      <c r="P1887" s="1251">
        <v>1.5925004564119952E-2</v>
      </c>
      <c r="Q1887" s="1252">
        <v>2.5883801998700499E-2</v>
      </c>
    </row>
    <row r="1888" spans="1:17" s="212" customFormat="1" ht="15.5" x14ac:dyDescent="0.35">
      <c r="A1888" s="198">
        <v>2045</v>
      </c>
      <c r="B1888" s="197" t="s">
        <v>5842</v>
      </c>
      <c r="C1888" s="197">
        <v>2014</v>
      </c>
      <c r="D1888" s="213" t="str">
        <f t="shared" si="21"/>
        <v>2045_2014</v>
      </c>
      <c r="E1888" s="1267">
        <v>8.9155853768057E-2</v>
      </c>
      <c r="F1888" s="1278">
        <v>4.9615000407713297E-3</v>
      </c>
      <c r="G1888" s="1248">
        <v>0.81939839635818701</v>
      </c>
      <c r="H1888" s="1278">
        <v>4.33627486695395E-2</v>
      </c>
      <c r="I1888" s="1248">
        <v>2.4583294939466E-2</v>
      </c>
      <c r="J1888" s="1278">
        <v>6.5967138122987104E-4</v>
      </c>
      <c r="K1888" s="1248">
        <v>3.0000008613292298E-3</v>
      </c>
      <c r="L1888" s="1250">
        <v>2.00000057423889E-3</v>
      </c>
      <c r="M1888" s="1273">
        <v>2.00000057423889E-3</v>
      </c>
      <c r="N1888" s="1248">
        <v>3.1850009128239903E-2</v>
      </c>
      <c r="O1888" s="1249">
        <v>3.1850009128239903E-2</v>
      </c>
      <c r="P1888" s="1251">
        <v>1.5925004564119952E-2</v>
      </c>
      <c r="Q1888" s="1252">
        <v>2.5694842449872898E-2</v>
      </c>
    </row>
    <row r="1889" spans="1:17" s="212" customFormat="1" ht="15.5" x14ac:dyDescent="0.35">
      <c r="A1889" s="198">
        <v>2045</v>
      </c>
      <c r="B1889" s="197" t="s">
        <v>5842</v>
      </c>
      <c r="C1889" s="197">
        <v>2015</v>
      </c>
      <c r="D1889" s="213" t="str">
        <f t="shared" si="21"/>
        <v>2045_2015</v>
      </c>
      <c r="E1889" s="1267">
        <v>8.9431250966529804E-2</v>
      </c>
      <c r="F1889" s="1278">
        <v>5.1051138284735299E-3</v>
      </c>
      <c r="G1889" s="1248">
        <v>0.82076003203376402</v>
      </c>
      <c r="H1889" s="1278">
        <v>4.3146917228074198E-2</v>
      </c>
      <c r="I1889" s="1248">
        <v>2.46371423725192E-2</v>
      </c>
      <c r="J1889" s="1278">
        <v>8.3496873154532199E-4</v>
      </c>
      <c r="K1889" s="1248">
        <v>3.0000008613390301E-3</v>
      </c>
      <c r="L1889" s="1250">
        <v>2.0000005742745802E-3</v>
      </c>
      <c r="M1889" s="1273">
        <v>2.0000005742745802E-3</v>
      </c>
      <c r="N1889" s="1248">
        <v>3.1850009128239903E-2</v>
      </c>
      <c r="O1889" s="1249">
        <v>3.1850009128239903E-2</v>
      </c>
      <c r="P1889" s="1251">
        <v>1.5925004564119952E-2</v>
      </c>
      <c r="Q1889" s="1252">
        <v>2.5751124624904399E-2</v>
      </c>
    </row>
    <row r="1890" spans="1:17" s="212" customFormat="1" ht="15.5" x14ac:dyDescent="0.35">
      <c r="A1890" s="198">
        <v>2045</v>
      </c>
      <c r="B1890" s="197" t="s">
        <v>5842</v>
      </c>
      <c r="C1890" s="197">
        <v>2016</v>
      </c>
      <c r="D1890" s="213" t="str">
        <f t="shared" si="21"/>
        <v>2045_2016</v>
      </c>
      <c r="E1890" s="1267">
        <v>8.9614732499643496E-2</v>
      </c>
      <c r="F1890" s="1278">
        <v>4.7329386168605001E-3</v>
      </c>
      <c r="G1890" s="1248">
        <v>0.72632612556575704</v>
      </c>
      <c r="H1890" s="1278">
        <v>4.0594650454169399E-2</v>
      </c>
      <c r="I1890" s="1248">
        <v>2.4675098335079901E-2</v>
      </c>
      <c r="J1890" s="1278">
        <v>9.6071444482301804E-4</v>
      </c>
      <c r="K1890" s="1248">
        <v>3.0000008613536599E-3</v>
      </c>
      <c r="L1890" s="1250">
        <v>2.00000057425601E-3</v>
      </c>
      <c r="M1890" s="1273">
        <v>2.00000057425601E-3</v>
      </c>
      <c r="N1890" s="1248">
        <v>3.1850009128239903E-2</v>
      </c>
      <c r="O1890" s="1249">
        <v>3.1850009128239903E-2</v>
      </c>
      <c r="P1890" s="1251">
        <v>1.5925004564119952E-2</v>
      </c>
      <c r="Q1890" s="1252">
        <v>2.5790796787665E-2</v>
      </c>
    </row>
    <row r="1891" spans="1:17" s="212" customFormat="1" ht="15.5" x14ac:dyDescent="0.35">
      <c r="A1891" s="198">
        <v>2045</v>
      </c>
      <c r="B1891" s="197" t="s">
        <v>5842</v>
      </c>
      <c r="C1891" s="197">
        <v>2017</v>
      </c>
      <c r="D1891" s="213" t="str">
        <f t="shared" si="21"/>
        <v>2045_2017</v>
      </c>
      <c r="E1891" s="1267">
        <v>8.8611196637787604E-2</v>
      </c>
      <c r="F1891" s="1278">
        <v>4.4998180810884901E-3</v>
      </c>
      <c r="G1891" s="1248">
        <v>0.62753926070261401</v>
      </c>
      <c r="H1891" s="1278">
        <v>3.7941384368708302E-2</v>
      </c>
      <c r="I1891" s="1248">
        <v>2.4483702603896099E-2</v>
      </c>
      <c r="J1891" s="1278">
        <v>1.0358054142163E-3</v>
      </c>
      <c r="K1891" s="1248">
        <v>3.00000086129987E-3</v>
      </c>
      <c r="L1891" s="1250">
        <v>2.0000005743067901E-3</v>
      </c>
      <c r="M1891" s="1273">
        <v>2.0000005743067901E-3</v>
      </c>
      <c r="N1891" s="1248">
        <v>3.1850009128239903E-2</v>
      </c>
      <c r="O1891" s="1249">
        <v>3.1850009128239903E-2</v>
      </c>
      <c r="P1891" s="1251">
        <v>1.5925004564119952E-2</v>
      </c>
      <c r="Q1891" s="1252">
        <v>2.5590746990823001E-2</v>
      </c>
    </row>
    <row r="1892" spans="1:17" s="212" customFormat="1" ht="15.5" x14ac:dyDescent="0.35">
      <c r="A1892" s="198">
        <v>2045</v>
      </c>
      <c r="B1892" s="197" t="s">
        <v>5842</v>
      </c>
      <c r="C1892" s="197">
        <v>2018</v>
      </c>
      <c r="D1892" s="213" t="str">
        <f t="shared" si="21"/>
        <v>2045_2018</v>
      </c>
      <c r="E1892" s="1267">
        <v>8.9580785805113805E-2</v>
      </c>
      <c r="F1892" s="1278">
        <v>3.9992862396209597E-3</v>
      </c>
      <c r="G1892" s="1248">
        <v>0.52249626288838302</v>
      </c>
      <c r="H1892" s="1278">
        <v>3.42025769603512E-2</v>
      </c>
      <c r="I1892" s="1248">
        <v>2.4672195760938698E-2</v>
      </c>
      <c r="J1892" s="1278">
        <v>1.0773907015369699E-3</v>
      </c>
      <c r="K1892" s="1248">
        <v>3.0000008613595601E-3</v>
      </c>
      <c r="L1892" s="1250">
        <v>2.0000005742590301E-3</v>
      </c>
      <c r="M1892" s="1273">
        <v>2.0000005742590301E-3</v>
      </c>
      <c r="N1892" s="1248">
        <v>3.1850009128239903E-2</v>
      </c>
      <c r="O1892" s="1249">
        <v>3.1850009128239903E-2</v>
      </c>
      <c r="P1892" s="1251">
        <v>1.5925004564119952E-2</v>
      </c>
      <c r="Q1892" s="1252">
        <v>2.57877629720011E-2</v>
      </c>
    </row>
    <row r="1893" spans="1:17" s="212" customFormat="1" ht="15.5" x14ac:dyDescent="0.35">
      <c r="A1893" s="198">
        <v>2045</v>
      </c>
      <c r="B1893" s="197" t="s">
        <v>5842</v>
      </c>
      <c r="C1893" s="197">
        <v>2019</v>
      </c>
      <c r="D1893" s="213" t="str">
        <f t="shared" si="21"/>
        <v>2045_2019</v>
      </c>
      <c r="E1893" s="1267">
        <v>8.9897902472829402E-2</v>
      </c>
      <c r="F1893" s="1278">
        <v>3.4769420717192302E-3</v>
      </c>
      <c r="G1893" s="1248">
        <v>0.45416815490021301</v>
      </c>
      <c r="H1893" s="1278">
        <v>3.0322548309306099E-2</v>
      </c>
      <c r="I1893" s="1248">
        <v>2.4732508126788601E-2</v>
      </c>
      <c r="J1893" s="1278">
        <v>1.0996891136917E-3</v>
      </c>
      <c r="K1893" s="1248">
        <v>3.00000086140857E-3</v>
      </c>
      <c r="L1893" s="1250">
        <v>2.0000005742141298E-3</v>
      </c>
      <c r="M1893" s="1273">
        <v>2.0000005742141298E-3</v>
      </c>
      <c r="N1893" s="1248">
        <v>3.1850009128239903E-2</v>
      </c>
      <c r="O1893" s="1249">
        <v>3.1850009128239903E-2</v>
      </c>
      <c r="P1893" s="1251">
        <v>1.5925004564119952E-2</v>
      </c>
      <c r="Q1893" s="1252">
        <v>2.5850802395402599E-2</v>
      </c>
    </row>
    <row r="1894" spans="1:17" s="212" customFormat="1" ht="15.5" x14ac:dyDescent="0.35">
      <c r="A1894" s="198">
        <v>2045</v>
      </c>
      <c r="B1894" s="197" t="s">
        <v>5842</v>
      </c>
      <c r="C1894" s="197">
        <v>2020</v>
      </c>
      <c r="D1894" s="213" t="str">
        <f t="shared" si="21"/>
        <v>2045_2020</v>
      </c>
      <c r="E1894" s="1267">
        <v>7.9064744159174305E-2</v>
      </c>
      <c r="F1894" s="1278">
        <v>2.8455472143665002E-3</v>
      </c>
      <c r="G1894" s="1248">
        <v>0.35990847003410298</v>
      </c>
      <c r="H1894" s="1278">
        <v>2.66873168079396E-2</v>
      </c>
      <c r="I1894" s="1248">
        <v>2.2621384968014299E-2</v>
      </c>
      <c r="J1894" s="1278">
        <v>1.08640562593299E-3</v>
      </c>
      <c r="K1894" s="1248">
        <v>3.0000008609808201E-3</v>
      </c>
      <c r="L1894" s="1250">
        <v>2.00000057408434E-3</v>
      </c>
      <c r="M1894" s="1273">
        <v>2.00000057408434E-3</v>
      </c>
      <c r="N1894" s="1248">
        <v>3.1850009128239903E-2</v>
      </c>
      <c r="O1894" s="1249">
        <v>3.1850009128239903E-2</v>
      </c>
      <c r="P1894" s="1251">
        <v>1.5925004564119952E-2</v>
      </c>
      <c r="Q1894" s="1252">
        <v>2.3644223615358801E-2</v>
      </c>
    </row>
    <row r="1895" spans="1:17" s="212" customFormat="1" ht="15.5" x14ac:dyDescent="0.35">
      <c r="A1895" s="198">
        <v>2045</v>
      </c>
      <c r="B1895" s="197" t="s">
        <v>5842</v>
      </c>
      <c r="C1895" s="197">
        <v>2021</v>
      </c>
      <c r="D1895" s="213" t="str">
        <f t="shared" si="21"/>
        <v>2045_2021</v>
      </c>
      <c r="E1895" s="1267">
        <v>7.9100557431989196E-2</v>
      </c>
      <c r="F1895" s="1278">
        <v>2.4299752984949801E-3</v>
      </c>
      <c r="G1895" s="1248">
        <v>0.29518267050485297</v>
      </c>
      <c r="H1895" s="1278">
        <v>2.2773559338397E-2</v>
      </c>
      <c r="I1895" s="1248">
        <v>2.2628588589845899E-2</v>
      </c>
      <c r="J1895" s="1278">
        <v>1.08657460447137E-3</v>
      </c>
      <c r="K1895" s="1248">
        <v>3.00000086098311E-3</v>
      </c>
      <c r="L1895" s="1250">
        <v>2.00000057408606E-3</v>
      </c>
      <c r="M1895" s="1273">
        <v>2.00000057408606E-3</v>
      </c>
      <c r="N1895" s="1248">
        <v>3.1850009128239903E-2</v>
      </c>
      <c r="O1895" s="1249">
        <v>3.1850009128239903E-2</v>
      </c>
      <c r="P1895" s="1251">
        <v>1.5925004564119952E-2</v>
      </c>
      <c r="Q1895" s="1252">
        <v>2.3651752953004E-2</v>
      </c>
    </row>
    <row r="1896" spans="1:17" s="212" customFormat="1" ht="15.5" x14ac:dyDescent="0.35">
      <c r="A1896" s="198">
        <v>2045</v>
      </c>
      <c r="B1896" s="197" t="s">
        <v>5842</v>
      </c>
      <c r="C1896" s="197">
        <v>2022</v>
      </c>
      <c r="D1896" s="213" t="str">
        <f t="shared" si="21"/>
        <v>2045_2022</v>
      </c>
      <c r="E1896" s="1267">
        <v>7.9071378262883102E-2</v>
      </c>
      <c r="F1896" s="1278">
        <v>2.0140554732256599E-3</v>
      </c>
      <c r="G1896" s="1248">
        <v>0.22878293384928899</v>
      </c>
      <c r="H1896" s="1278">
        <v>1.88512608991914E-2</v>
      </c>
      <c r="I1896" s="1248">
        <v>2.2586681381586701E-2</v>
      </c>
      <c r="J1896" s="1278">
        <v>1.08673610522721E-3</v>
      </c>
      <c r="K1896" s="1248">
        <v>3.00000086098532E-3</v>
      </c>
      <c r="L1896" s="1250">
        <v>2.0000005740877101E-3</v>
      </c>
      <c r="M1896" s="1273">
        <v>2.0000005740877101E-3</v>
      </c>
      <c r="N1896" s="1248">
        <v>3.1850009128239903E-2</v>
      </c>
      <c r="O1896" s="1249">
        <v>3.1850009128239903E-2</v>
      </c>
      <c r="P1896" s="1251">
        <v>1.5925004564119952E-2</v>
      </c>
      <c r="Q1896" s="1252">
        <v>2.3607950886747799E-2</v>
      </c>
    </row>
    <row r="1897" spans="1:17" s="212" customFormat="1" ht="15.5" x14ac:dyDescent="0.35">
      <c r="A1897" s="198">
        <v>2045</v>
      </c>
      <c r="B1897" s="197" t="s">
        <v>5842</v>
      </c>
      <c r="C1897" s="197">
        <v>2023</v>
      </c>
      <c r="D1897" s="213" t="str">
        <f t="shared" si="21"/>
        <v>2045_2023</v>
      </c>
      <c r="E1897" s="1267">
        <v>7.8963368122592997E-2</v>
      </c>
      <c r="F1897" s="1278">
        <v>2.0144434293398899E-3</v>
      </c>
      <c r="G1897" s="1248">
        <v>0.22812155251643301</v>
      </c>
      <c r="H1897" s="1278">
        <v>1.8816448644962298E-2</v>
      </c>
      <c r="I1897" s="1248">
        <v>2.24849303782205E-2</v>
      </c>
      <c r="J1897" s="1278">
        <v>1.0868890067547701E-3</v>
      </c>
      <c r="K1897" s="1248">
        <v>3.0000008609874498E-3</v>
      </c>
      <c r="L1897" s="1250">
        <v>2.00000057408931E-3</v>
      </c>
      <c r="M1897" s="1273">
        <v>2.00000057408931E-3</v>
      </c>
      <c r="N1897" s="1248">
        <v>3.1850009128239903E-2</v>
      </c>
      <c r="O1897" s="1249">
        <v>3.1850009128239903E-2</v>
      </c>
      <c r="P1897" s="1251">
        <v>1.5925004564119952E-2</v>
      </c>
      <c r="Q1897" s="1252">
        <v>2.3501599154522799E-2</v>
      </c>
    </row>
    <row r="1898" spans="1:17" s="212" customFormat="1" ht="15.5" x14ac:dyDescent="0.35">
      <c r="A1898" s="198">
        <v>2045</v>
      </c>
      <c r="B1898" s="197" t="s">
        <v>5842</v>
      </c>
      <c r="C1898" s="197">
        <v>2024</v>
      </c>
      <c r="D1898" s="213" t="str">
        <f t="shared" si="21"/>
        <v>2045_2024</v>
      </c>
      <c r="E1898" s="1267">
        <v>7.8775875237208304E-2</v>
      </c>
      <c r="F1898" s="1278">
        <v>2.0126145901620601E-3</v>
      </c>
      <c r="G1898" s="1248">
        <v>0.22706604219790699</v>
      </c>
      <c r="H1898" s="1278">
        <v>1.8745516880389501E-2</v>
      </c>
      <c r="I1898" s="1248">
        <v>2.23231864638785E-2</v>
      </c>
      <c r="J1898" s="1278">
        <v>1.0870323294978901E-3</v>
      </c>
      <c r="K1898" s="1248">
        <v>3.0000008609894799E-3</v>
      </c>
      <c r="L1898" s="1250">
        <v>2.00000057409084E-3</v>
      </c>
      <c r="M1898" s="1275">
        <v>2.0000005740191001E-3</v>
      </c>
      <c r="N1898" s="1248">
        <v>3.1850009128239903E-2</v>
      </c>
      <c r="O1898" s="1249">
        <v>3.1850009128239903E-2</v>
      </c>
      <c r="P1898" s="1260">
        <v>1.59250045641199E-2</v>
      </c>
      <c r="Q1898" s="1252">
        <v>2.3332541898102199E-2</v>
      </c>
    </row>
    <row r="1899" spans="1:17" s="212" customFormat="1" ht="15.5" x14ac:dyDescent="0.35">
      <c r="A1899" s="198">
        <v>2045</v>
      </c>
      <c r="B1899" s="197" t="s">
        <v>5842</v>
      </c>
      <c r="C1899" s="197">
        <v>2025</v>
      </c>
      <c r="D1899" s="213" t="str">
        <f t="shared" si="21"/>
        <v>2045_2025</v>
      </c>
      <c r="E1899" s="1267">
        <v>7.8508225078552193E-2</v>
      </c>
      <c r="F1899" s="1278">
        <v>2.0070364517017899E-3</v>
      </c>
      <c r="G1899" s="1248">
        <v>0.225615319669734</v>
      </c>
      <c r="H1899" s="1278">
        <v>1.8622702912650502E-2</v>
      </c>
      <c r="I1899" s="1248">
        <v>2.2101290479264499E-2</v>
      </c>
      <c r="J1899" s="1278">
        <v>1.08716336610731E-3</v>
      </c>
      <c r="K1899" s="1248">
        <v>3.0000008609913898E-3</v>
      </c>
      <c r="L1899" s="1250">
        <v>2.0000005740922599E-3</v>
      </c>
      <c r="M1899" s="1275">
        <v>2.0000005740202502E-3</v>
      </c>
      <c r="N1899" s="1248">
        <v>3.1850009128239903E-2</v>
      </c>
      <c r="O1899" s="1249">
        <v>3.1850009128239903E-2</v>
      </c>
      <c r="P1899" s="1260">
        <v>1.59250045641199E-2</v>
      </c>
      <c r="Q1899" s="1252">
        <v>2.3100612761712901E-2</v>
      </c>
    </row>
    <row r="1900" spans="1:17" s="212" customFormat="1" ht="15.5" x14ac:dyDescent="0.35">
      <c r="A1900" s="198">
        <v>2045</v>
      </c>
      <c r="B1900" s="197" t="s">
        <v>5842</v>
      </c>
      <c r="C1900" s="197">
        <v>2026</v>
      </c>
      <c r="D1900" s="213" t="str">
        <f t="shared" si="21"/>
        <v>2045_2026</v>
      </c>
      <c r="E1900" s="1267">
        <v>7.81625646151589E-2</v>
      </c>
      <c r="F1900" s="1278">
        <v>1.99514246710594E-3</v>
      </c>
      <c r="G1900" s="1248">
        <v>0.22379702186957301</v>
      </c>
      <c r="H1900" s="1278">
        <v>1.84219911195651E-2</v>
      </c>
      <c r="I1900" s="1248">
        <v>2.1819653312165201E-2</v>
      </c>
      <c r="J1900" s="1278">
        <v>1.0872945953563601E-3</v>
      </c>
      <c r="K1900" s="1248">
        <v>3.0000008609933002E-3</v>
      </c>
      <c r="L1900" s="1250">
        <v>2.0000005740936902E-3</v>
      </c>
      <c r="M1900" s="1275">
        <v>2.0000005740220699E-3</v>
      </c>
      <c r="N1900" s="1248">
        <v>3.1850009128239903E-2</v>
      </c>
      <c r="O1900" s="1249">
        <v>3.1850009128239903E-2</v>
      </c>
      <c r="P1900" s="1260">
        <v>1.59250045641199E-2</v>
      </c>
      <c r="Q1900" s="1252">
        <v>2.2806241211663698E-2</v>
      </c>
    </row>
    <row r="1901" spans="1:17" s="212" customFormat="1" ht="15.5" x14ac:dyDescent="0.35">
      <c r="A1901" s="198">
        <v>2045</v>
      </c>
      <c r="B1901" s="197" t="s">
        <v>5842</v>
      </c>
      <c r="C1901" s="197">
        <v>2027</v>
      </c>
      <c r="D1901" s="213" t="str">
        <f t="shared" si="21"/>
        <v>2045_2027</v>
      </c>
      <c r="E1901" s="1267">
        <v>7.7740386252333996E-2</v>
      </c>
      <c r="F1901" s="1278">
        <v>1.98011428981035E-3</v>
      </c>
      <c r="G1901" s="1248">
        <v>0.22156432026312201</v>
      </c>
      <c r="H1901" s="1278">
        <v>1.8171820257424798E-2</v>
      </c>
      <c r="I1901" s="1248">
        <v>2.1478518628391199E-2</v>
      </c>
      <c r="J1901" s="1278">
        <v>1.0874307903925599E-3</v>
      </c>
      <c r="K1901" s="1248">
        <v>3.0000008609952799E-3</v>
      </c>
      <c r="L1901" s="1250">
        <v>2.0000005740951799E-3</v>
      </c>
      <c r="M1901" s="1275">
        <v>2.0000005740236698E-3</v>
      </c>
      <c r="N1901" s="1248">
        <v>3.1850009128239903E-2</v>
      </c>
      <c r="O1901" s="1249">
        <v>3.1850009128239903E-2</v>
      </c>
      <c r="P1901" s="1260">
        <v>1.59250045641199E-2</v>
      </c>
      <c r="Q1901" s="1252">
        <v>2.2449681931252199E-2</v>
      </c>
    </row>
    <row r="1902" spans="1:17" s="212" customFormat="1" ht="15.5" x14ac:dyDescent="0.35">
      <c r="A1902" s="198">
        <v>2045</v>
      </c>
      <c r="B1902" s="197" t="s">
        <v>5842</v>
      </c>
      <c r="C1902" s="197">
        <v>2028</v>
      </c>
      <c r="D1902" s="213" t="str">
        <f t="shared" si="21"/>
        <v>2045_2028</v>
      </c>
      <c r="E1902" s="1267">
        <v>7.7240720171680904E-2</v>
      </c>
      <c r="F1902" s="1278">
        <v>1.9616270793554498E-3</v>
      </c>
      <c r="G1902" s="1248">
        <v>0.21894015996556099</v>
      </c>
      <c r="H1902" s="1278">
        <v>1.7870222224552999E-2</v>
      </c>
      <c r="I1902" s="1248">
        <v>2.10776678238788E-2</v>
      </c>
      <c r="J1902" s="1278">
        <v>1.0875689300387801E-3</v>
      </c>
      <c r="K1902" s="1248">
        <v>3.0000008609973E-3</v>
      </c>
      <c r="L1902" s="1250">
        <v>2.0000005740966899E-3</v>
      </c>
      <c r="M1902" s="1275">
        <v>2.0000005740250198E-3</v>
      </c>
      <c r="N1902" s="1248">
        <v>3.1850009128239903E-2</v>
      </c>
      <c r="O1902" s="1249">
        <v>3.1850009128239903E-2</v>
      </c>
      <c r="P1902" s="1260">
        <v>1.59250045641199E-2</v>
      </c>
      <c r="Q1902" s="1252">
        <v>2.2030706432108801E-2</v>
      </c>
    </row>
    <row r="1903" spans="1:17" s="212" customFormat="1" ht="15.5" x14ac:dyDescent="0.35">
      <c r="A1903" s="198">
        <v>2045</v>
      </c>
      <c r="B1903" s="197" t="s">
        <v>5842</v>
      </c>
      <c r="C1903" s="197">
        <v>2029</v>
      </c>
      <c r="D1903" s="213" t="str">
        <f t="shared" si="21"/>
        <v>2045_2029</v>
      </c>
      <c r="E1903" s="1267">
        <v>7.6663104169409996E-2</v>
      </c>
      <c r="F1903" s="1278">
        <v>1.9423570259665701E-3</v>
      </c>
      <c r="G1903" s="1248">
        <v>0.21592387684276501</v>
      </c>
      <c r="H1903" s="1278">
        <v>1.7544104563870101E-2</v>
      </c>
      <c r="I1903" s="1248">
        <v>2.0616982645923002E-2</v>
      </c>
      <c r="J1903" s="1278">
        <v>1.0877081116545399E-3</v>
      </c>
      <c r="K1903" s="1248">
        <v>3.0000008609993301E-3</v>
      </c>
      <c r="L1903" s="1250">
        <v>2.00000057409821E-3</v>
      </c>
      <c r="M1903" s="1275">
        <v>2.0000005740267498E-3</v>
      </c>
      <c r="N1903" s="1248">
        <v>3.1850009128239903E-2</v>
      </c>
      <c r="O1903" s="1249">
        <v>3.1850009128239903E-2</v>
      </c>
      <c r="P1903" s="1260">
        <v>1.59250045641199E-2</v>
      </c>
      <c r="Q1903" s="1252">
        <v>2.1549191114666098E-2</v>
      </c>
    </row>
    <row r="1904" spans="1:17" s="212" customFormat="1" ht="15.5" x14ac:dyDescent="0.35">
      <c r="A1904" s="198">
        <v>2045</v>
      </c>
      <c r="B1904" s="197" t="s">
        <v>5842</v>
      </c>
      <c r="C1904" s="197">
        <v>2030</v>
      </c>
      <c r="D1904" s="213" t="str">
        <f t="shared" si="21"/>
        <v>2045_2030</v>
      </c>
      <c r="E1904" s="1267">
        <v>7.60077550326584E-2</v>
      </c>
      <c r="F1904" s="1278">
        <v>1.925967376235E-3</v>
      </c>
      <c r="G1904" s="1248">
        <v>0.212515459419858</v>
      </c>
      <c r="H1904" s="1278">
        <v>1.72300997663393E-2</v>
      </c>
      <c r="I1904" s="1248">
        <v>2.0096459712279399E-2</v>
      </c>
      <c r="J1904" s="1278">
        <v>1.08784843170236E-3</v>
      </c>
      <c r="K1904" s="1248">
        <v>3.00000086100139E-3</v>
      </c>
      <c r="L1904" s="1250">
        <v>2.00000057409975E-3</v>
      </c>
      <c r="M1904" s="1275">
        <v>2.0000005740279901E-3</v>
      </c>
      <c r="N1904" s="1248">
        <v>3.1850009128239903E-2</v>
      </c>
      <c r="O1904" s="1249">
        <v>3.1850009128239903E-2</v>
      </c>
      <c r="P1904" s="1260">
        <v>1.59250045641199E-2</v>
      </c>
      <c r="Q1904" s="1252">
        <v>2.1005132443749401E-2</v>
      </c>
    </row>
    <row r="1905" spans="1:17" s="212" customFormat="1" ht="15.5" x14ac:dyDescent="0.35">
      <c r="A1905" s="198">
        <v>2045</v>
      </c>
      <c r="B1905" s="197" t="s">
        <v>5842</v>
      </c>
      <c r="C1905" s="197">
        <v>2031</v>
      </c>
      <c r="D1905" s="213" t="str">
        <f t="shared" si="21"/>
        <v>2045_2031</v>
      </c>
      <c r="E1905" s="1267">
        <v>7.5274924389633097E-2</v>
      </c>
      <c r="F1905" s="1278">
        <v>1.9162666924869599E-3</v>
      </c>
      <c r="G1905" s="1248">
        <v>0.20871514936732899</v>
      </c>
      <c r="H1905" s="1278">
        <v>1.69661104251097E-2</v>
      </c>
      <c r="I1905" s="1248">
        <v>1.9516105986121999E-2</v>
      </c>
      <c r="J1905" s="1278">
        <v>1.0879914281256601E-3</v>
      </c>
      <c r="K1905" s="1248">
        <v>3.0000008610034999E-3</v>
      </c>
      <c r="L1905" s="1250">
        <v>2.0000005741013299E-3</v>
      </c>
      <c r="M1905" s="1275">
        <v>2.00000057402925E-3</v>
      </c>
      <c r="N1905" s="1248">
        <v>3.1850009128239903E-2</v>
      </c>
      <c r="O1905" s="1249">
        <v>3.1850009128239903E-2</v>
      </c>
      <c r="P1905" s="1260">
        <v>1.59250045641199E-2</v>
      </c>
      <c r="Q1905" s="1252">
        <v>2.03985376973768E-2</v>
      </c>
    </row>
    <row r="1906" spans="1:17" s="212" customFormat="1" ht="15.5" x14ac:dyDescent="0.35">
      <c r="A1906" s="198">
        <v>2045</v>
      </c>
      <c r="B1906" s="197" t="s">
        <v>5842</v>
      </c>
      <c r="C1906" s="197">
        <v>2032</v>
      </c>
      <c r="D1906" s="213" t="str">
        <f t="shared" si="21"/>
        <v>2045_2032</v>
      </c>
      <c r="E1906" s="1267">
        <v>7.4463897501376497E-2</v>
      </c>
      <c r="F1906" s="1278">
        <v>1.91606228396451E-3</v>
      </c>
      <c r="G1906" s="1248">
        <v>0.20452193144864</v>
      </c>
      <c r="H1906" s="1278">
        <v>1.6779942820864199E-2</v>
      </c>
      <c r="I1906" s="1248">
        <v>1.8875757237356301E-2</v>
      </c>
      <c r="J1906" s="1278">
        <v>1.08813533009783E-3</v>
      </c>
      <c r="K1906" s="1248">
        <v>3.0000008610056301E-3</v>
      </c>
      <c r="L1906" s="1250">
        <v>2.0000005741029302E-3</v>
      </c>
      <c r="M1906" s="1275">
        <v>2.00000057403078E-3</v>
      </c>
      <c r="N1906" s="1248">
        <v>3.1850009128239903E-2</v>
      </c>
      <c r="O1906" s="1249">
        <v>3.1850009128239903E-2</v>
      </c>
      <c r="P1906" s="1260">
        <v>1.59250045641199E-2</v>
      </c>
      <c r="Q1906" s="1252">
        <v>1.97292352196974E-2</v>
      </c>
    </row>
    <row r="1907" spans="1:17" s="212" customFormat="1" ht="15.5" x14ac:dyDescent="0.35">
      <c r="A1907" s="198">
        <v>2045</v>
      </c>
      <c r="B1907" s="197" t="s">
        <v>5842</v>
      </c>
      <c r="C1907" s="197">
        <v>2033</v>
      </c>
      <c r="D1907" s="213" t="str">
        <f t="shared" si="21"/>
        <v>2045_2033</v>
      </c>
      <c r="E1907" s="1267">
        <v>7.3574903509502895E-2</v>
      </c>
      <c r="F1907" s="1278">
        <v>1.92609441120907E-3</v>
      </c>
      <c r="G1907" s="1248">
        <v>0.19993584304578699</v>
      </c>
      <c r="H1907" s="1278">
        <v>1.66777621773583E-2</v>
      </c>
      <c r="I1907" s="1248">
        <v>1.81754065268027E-2</v>
      </c>
      <c r="J1907" s="1278">
        <v>1.0882806433013599E-3</v>
      </c>
      <c r="K1907" s="1248">
        <v>3.0000008610077899E-3</v>
      </c>
      <c r="L1907" s="1250">
        <v>2.00000057410455E-3</v>
      </c>
      <c r="M1907" s="1275">
        <v>2.00000057403233E-3</v>
      </c>
      <c r="N1907" s="1248">
        <v>3.1850009128239903E-2</v>
      </c>
      <c r="O1907" s="1249">
        <v>3.1850009128239903E-2</v>
      </c>
      <c r="P1907" s="1260">
        <v>1.59250045641199E-2</v>
      </c>
      <c r="Q1907" s="1252">
        <v>1.89972177577728E-2</v>
      </c>
    </row>
    <row r="1908" spans="1:17" s="212" customFormat="1" ht="15.5" x14ac:dyDescent="0.35">
      <c r="A1908" s="198">
        <v>2045</v>
      </c>
      <c r="B1908" s="197" t="s">
        <v>5842</v>
      </c>
      <c r="C1908" s="197">
        <v>2034</v>
      </c>
      <c r="D1908" s="213" t="str">
        <f t="shared" si="21"/>
        <v>2045_2034</v>
      </c>
      <c r="E1908" s="1267">
        <v>7.2608215368727094E-2</v>
      </c>
      <c r="F1908" s="1278">
        <v>1.94425730363369E-3</v>
      </c>
      <c r="G1908" s="1248">
        <v>0.194957138861274</v>
      </c>
      <c r="H1908" s="1278">
        <v>1.6636454221094901E-2</v>
      </c>
      <c r="I1908" s="1248">
        <v>1.74150560326275E-2</v>
      </c>
      <c r="J1908" s="1278">
        <v>1.08842933354068E-3</v>
      </c>
      <c r="K1908" s="1248">
        <v>3.0000008610100099E-3</v>
      </c>
      <c r="L1908" s="1250">
        <v>2.0000005741062101E-3</v>
      </c>
      <c r="M1908" s="1275">
        <v>2.0000005740339402E-3</v>
      </c>
      <c r="N1908" s="1248">
        <v>3.1850009128239903E-2</v>
      </c>
      <c r="O1908" s="1249">
        <v>3.1850009128239903E-2</v>
      </c>
      <c r="P1908" s="1260">
        <v>1.59250045641199E-2</v>
      </c>
      <c r="Q1908" s="1252">
        <v>1.8202487588256201E-2</v>
      </c>
    </row>
    <row r="1909" spans="1:17" s="212" customFormat="1" ht="15.5" x14ac:dyDescent="0.35">
      <c r="A1909" s="198">
        <v>2045</v>
      </c>
      <c r="B1909" s="197" t="s">
        <v>5842</v>
      </c>
      <c r="C1909" s="197">
        <v>2035</v>
      </c>
      <c r="D1909" s="213" t="str">
        <f t="shared" si="21"/>
        <v>2045_2035</v>
      </c>
      <c r="E1909" s="1267">
        <v>7.1563584123369897E-2</v>
      </c>
      <c r="F1909" s="1278">
        <v>1.9656316446984199E-3</v>
      </c>
      <c r="G1909" s="1248">
        <v>0.189585342247132</v>
      </c>
      <c r="H1909" s="1278">
        <v>1.6604288865346099E-2</v>
      </c>
      <c r="I1909" s="1248">
        <v>1.6594611660150901E-2</v>
      </c>
      <c r="J1909" s="1278">
        <v>1.0885808850855799E-3</v>
      </c>
      <c r="K1909" s="1248">
        <v>3.0000008610122802E-3</v>
      </c>
      <c r="L1909" s="1250">
        <v>2.0000005741079101E-3</v>
      </c>
      <c r="M1909" s="1275">
        <v>2.0000005740356298E-3</v>
      </c>
      <c r="N1909" s="1248">
        <v>3.1850009128239903E-2</v>
      </c>
      <c r="O1909" s="1249">
        <v>3.1850009128239903E-2</v>
      </c>
      <c r="P1909" s="1260">
        <v>1.59250045641199E-2</v>
      </c>
      <c r="Q1909" s="1252">
        <v>1.73449463619243E-2</v>
      </c>
    </row>
    <row r="1910" spans="1:17" s="212" customFormat="1" ht="15.5" x14ac:dyDescent="0.35">
      <c r="A1910" s="198">
        <v>2045</v>
      </c>
      <c r="B1910" s="197" t="s">
        <v>5842</v>
      </c>
      <c r="C1910" s="197">
        <v>2036</v>
      </c>
      <c r="D1910" s="213" t="str">
        <f t="shared" si="21"/>
        <v>2045_2036</v>
      </c>
      <c r="E1910" s="1267">
        <v>7.0440893283361103E-2</v>
      </c>
      <c r="F1910" s="1278">
        <v>1.9838023742755301E-3</v>
      </c>
      <c r="G1910" s="1248">
        <v>0.18382006597827399</v>
      </c>
      <c r="H1910" s="1278">
        <v>1.6514188769239001E-2</v>
      </c>
      <c r="I1910" s="1248">
        <v>1.5713997546019199E-2</v>
      </c>
      <c r="J1910" s="1278">
        <v>1.0887350900140201E-3</v>
      </c>
      <c r="K1910" s="1248">
        <v>3.0000008610146099E-3</v>
      </c>
      <c r="L1910" s="1250">
        <v>2.00000057410966E-3</v>
      </c>
      <c r="M1910" s="1275">
        <v>2.0000005740371698E-3</v>
      </c>
      <c r="N1910" s="1248">
        <v>3.1850009128239903E-2</v>
      </c>
      <c r="O1910" s="1249">
        <v>3.1850009128239903E-2</v>
      </c>
      <c r="P1910" s="1260">
        <v>1.59250045641199E-2</v>
      </c>
      <c r="Q1910" s="1252">
        <v>1.6424514785218801E-2</v>
      </c>
    </row>
    <row r="1911" spans="1:17" s="212" customFormat="1" ht="15.5" x14ac:dyDescent="0.35">
      <c r="A1911" s="198">
        <v>2045</v>
      </c>
      <c r="B1911" s="197" t="s">
        <v>5842</v>
      </c>
      <c r="C1911" s="197">
        <v>2037</v>
      </c>
      <c r="D1911" s="213" t="str">
        <f t="shared" si="21"/>
        <v>2045_2037</v>
      </c>
      <c r="E1911" s="1267">
        <v>6.9239635101847302E-2</v>
      </c>
      <c r="F1911" s="1278">
        <v>1.9936148391357699E-3</v>
      </c>
      <c r="G1911" s="1248">
        <v>0.17766052143130801</v>
      </c>
      <c r="H1911" s="1278">
        <v>1.63121406122806E-2</v>
      </c>
      <c r="I1911" s="1248">
        <v>1.47730813539873E-2</v>
      </c>
      <c r="J1911" s="1278">
        <v>1.0888903789639901E-3</v>
      </c>
      <c r="K1911" s="1248">
        <v>3.00000086101697E-3</v>
      </c>
      <c r="L1911" s="1250">
        <v>2.0000005741114199E-3</v>
      </c>
      <c r="M1911" s="1275">
        <v>2.00000057403882E-3</v>
      </c>
      <c r="N1911" s="1248">
        <v>3.1850009128239903E-2</v>
      </c>
      <c r="O1911" s="1249">
        <v>3.1850009128239903E-2</v>
      </c>
      <c r="P1911" s="1260">
        <v>1.59250045641199E-2</v>
      </c>
      <c r="Q1911" s="1252">
        <v>1.5441054538236999E-2</v>
      </c>
    </row>
    <row r="1912" spans="1:17" s="212" customFormat="1" ht="15.5" x14ac:dyDescent="0.35">
      <c r="A1912" s="198">
        <v>2045</v>
      </c>
      <c r="B1912" s="197" t="s">
        <v>5842</v>
      </c>
      <c r="C1912" s="197">
        <v>2038</v>
      </c>
      <c r="D1912" s="213" t="str">
        <f t="shared" si="21"/>
        <v>2045_2038</v>
      </c>
      <c r="E1912" s="1267">
        <v>6.7959240488936395E-2</v>
      </c>
      <c r="F1912" s="1278">
        <v>1.9952909193663901E-3</v>
      </c>
      <c r="G1912" s="1248">
        <v>0.17110601619282301</v>
      </c>
      <c r="H1912" s="1278">
        <v>1.5999080413959699E-2</v>
      </c>
      <c r="I1912" s="1248">
        <v>1.37717348880058E-2</v>
      </c>
      <c r="J1912" s="1278">
        <v>1.08904620158131E-3</v>
      </c>
      <c r="K1912" s="1248">
        <v>3.0000008610193301E-3</v>
      </c>
      <c r="L1912" s="1250">
        <v>2.0000005741131902E-3</v>
      </c>
      <c r="M1912" s="1275">
        <v>2.00000057404068E-3</v>
      </c>
      <c r="N1912" s="1248">
        <v>3.1850009128239903E-2</v>
      </c>
      <c r="O1912" s="1249">
        <v>3.1850009128239903E-2</v>
      </c>
      <c r="P1912" s="1260">
        <v>1.59250045641199E-2</v>
      </c>
      <c r="Q1912" s="1252">
        <v>1.43944316284729E-2</v>
      </c>
    </row>
    <row r="1913" spans="1:17" s="212" customFormat="1" ht="15.5" x14ac:dyDescent="0.35">
      <c r="A1913" s="198">
        <v>2045</v>
      </c>
      <c r="B1913" s="197" t="s">
        <v>5842</v>
      </c>
      <c r="C1913" s="197">
        <v>2039</v>
      </c>
      <c r="D1913" s="213" t="str">
        <f t="shared" si="21"/>
        <v>2045_2039</v>
      </c>
      <c r="E1913" s="1267">
        <v>6.6600344427550695E-2</v>
      </c>
      <c r="F1913" s="1278">
        <v>1.9990400478584898E-3</v>
      </c>
      <c r="G1913" s="1248">
        <v>0.16415701944563099</v>
      </c>
      <c r="H1913" s="1278">
        <v>1.5677534810596801E-2</v>
      </c>
      <c r="I1913" s="1248">
        <v>1.27099879175545E-2</v>
      </c>
      <c r="J1913" s="1278">
        <v>1.0892050109531E-3</v>
      </c>
      <c r="K1913" s="1248">
        <v>3.0000008610217501E-3</v>
      </c>
      <c r="L1913" s="1250">
        <v>2.0000005741149999E-3</v>
      </c>
      <c r="M1913" s="1275">
        <v>2.0000005740425301E-3</v>
      </c>
      <c r="N1913" s="1248">
        <v>3.1850009128239903E-2</v>
      </c>
      <c r="O1913" s="1249">
        <v>3.1850009128239903E-2</v>
      </c>
      <c r="P1913" s="1260">
        <v>1.59250045641199E-2</v>
      </c>
      <c r="Q1913" s="1252">
        <v>1.3284677171450199E-2</v>
      </c>
    </row>
    <row r="1914" spans="1:17" s="212" customFormat="1" ht="15.5" x14ac:dyDescent="0.35">
      <c r="A1914" s="198">
        <v>2045</v>
      </c>
      <c r="B1914" s="197" t="s">
        <v>5842</v>
      </c>
      <c r="C1914" s="197">
        <v>2040</v>
      </c>
      <c r="D1914" s="213" t="str">
        <f t="shared" si="21"/>
        <v>2045_2040</v>
      </c>
      <c r="E1914" s="1267">
        <v>6.5162522317866706E-2</v>
      </c>
      <c r="F1914" s="1278">
        <v>2.0280662522344302E-3</v>
      </c>
      <c r="G1914" s="1248">
        <v>0.15681283492023099</v>
      </c>
      <c r="H1914" s="1278">
        <v>1.5583516685044299E-2</v>
      </c>
      <c r="I1914" s="1248">
        <v>1.15877199829197E-2</v>
      </c>
      <c r="J1914" s="1278">
        <v>1.0893654519035401E-3</v>
      </c>
      <c r="K1914" s="1248">
        <v>3.0000008610241999E-3</v>
      </c>
      <c r="L1914" s="1250">
        <v>2.0000005741168301E-3</v>
      </c>
      <c r="M1914" s="1275">
        <v>2.00000057404464E-3</v>
      </c>
      <c r="N1914" s="1248">
        <v>3.1850009128239903E-2</v>
      </c>
      <c r="O1914" s="1249">
        <v>3.1850009128239903E-2</v>
      </c>
      <c r="P1914" s="1260">
        <v>1.59250045641199E-2</v>
      </c>
      <c r="Q1914" s="1252">
        <v>1.21116652608014E-2</v>
      </c>
    </row>
    <row r="1915" spans="1:17" s="212" customFormat="1" ht="15.5" x14ac:dyDescent="0.35">
      <c r="A1915" s="198">
        <v>2045</v>
      </c>
      <c r="B1915" s="197" t="s">
        <v>5842</v>
      </c>
      <c r="C1915" s="197">
        <v>2041</v>
      </c>
      <c r="D1915" s="213" t="str">
        <f t="shared" si="21"/>
        <v>2045_2041</v>
      </c>
      <c r="E1915" s="1267">
        <v>6.3645332855822703E-2</v>
      </c>
      <c r="F1915" s="1278">
        <v>2.11663053394765E-3</v>
      </c>
      <c r="G1915" s="1248">
        <v>0.14907282326139701</v>
      </c>
      <c r="H1915" s="1278">
        <v>1.6067309053228999E-2</v>
      </c>
      <c r="I1915" s="1248">
        <v>1.04048171542525E-2</v>
      </c>
      <c r="J1915" s="1278">
        <v>1.0895266256557201E-3</v>
      </c>
      <c r="K1915" s="1248">
        <v>3.0000008610266502E-3</v>
      </c>
      <c r="L1915" s="1250">
        <v>2.0000005741186702E-3</v>
      </c>
      <c r="M1915" s="1275">
        <v>2.0000005740469298E-3</v>
      </c>
      <c r="N1915" s="1248">
        <v>3.1850009128239903E-2</v>
      </c>
      <c r="O1915" s="1249">
        <v>3.1850009128239903E-2</v>
      </c>
      <c r="P1915" s="1260">
        <v>1.59250045641199E-2</v>
      </c>
      <c r="Q1915" s="1252">
        <v>1.08752768152755E-2</v>
      </c>
    </row>
    <row r="1916" spans="1:17" s="212" customFormat="1" ht="15.5" x14ac:dyDescent="0.35">
      <c r="A1916" s="198">
        <v>2045</v>
      </c>
      <c r="B1916" s="197" t="s">
        <v>5842</v>
      </c>
      <c r="C1916" s="197">
        <v>2042</v>
      </c>
      <c r="D1916" s="213" t="str">
        <f t="shared" si="21"/>
        <v>2045_2042</v>
      </c>
      <c r="E1916" s="1267">
        <v>6.2048858968689703E-2</v>
      </c>
      <c r="F1916" s="1278">
        <v>2.29717937766356E-3</v>
      </c>
      <c r="G1916" s="1248">
        <v>0.14093689739026399</v>
      </c>
      <c r="H1916" s="1278">
        <v>1.7464507010169199E-2</v>
      </c>
      <c r="I1916" s="1248">
        <v>9.1612275544679794E-3</v>
      </c>
      <c r="J1916" s="1278">
        <v>1.0896898908592701E-3</v>
      </c>
      <c r="K1916" s="1248">
        <v>3.00000086102914E-3</v>
      </c>
      <c r="L1916" s="1250">
        <v>2.0000005741205298E-3</v>
      </c>
      <c r="M1916" s="1275">
        <v>2.0000005740492899E-3</v>
      </c>
      <c r="N1916" s="1248">
        <v>3.1850009128239903E-2</v>
      </c>
      <c r="O1916" s="1249">
        <v>3.1850009128239903E-2</v>
      </c>
      <c r="P1916" s="1260">
        <v>1.59250045641199E-2</v>
      </c>
      <c r="Q1916" s="1252">
        <v>9.5754576121358306E-3</v>
      </c>
    </row>
    <row r="1917" spans="1:17" s="212" customFormat="1" ht="15.5" x14ac:dyDescent="0.35">
      <c r="A1917" s="198">
        <v>2045</v>
      </c>
      <c r="B1917" s="197" t="s">
        <v>5842</v>
      </c>
      <c r="C1917" s="197">
        <v>2043</v>
      </c>
      <c r="D1917" s="213" t="str">
        <f t="shared" si="21"/>
        <v>2045_2043</v>
      </c>
      <c r="E1917" s="1267">
        <v>6.0372528196519303E-2</v>
      </c>
      <c r="F1917" s="1278">
        <v>2.56755694506472E-3</v>
      </c>
      <c r="G1917" s="1248">
        <v>0.132404252704618</v>
      </c>
      <c r="H1917" s="1278">
        <v>1.9767936524543998E-2</v>
      </c>
      <c r="I1917" s="1248">
        <v>7.8568286485891196E-3</v>
      </c>
      <c r="J1917" s="1278">
        <v>1.0898533073517901E-3</v>
      </c>
      <c r="K1917" s="1248">
        <v>3.0000008610316098E-3</v>
      </c>
      <c r="L1917" s="1250">
        <v>2.0000005741223799E-3</v>
      </c>
      <c r="M1917" s="1275">
        <v>2.00000057405166E-3</v>
      </c>
      <c r="N1917" s="1248">
        <v>3.1850009128239903E-2</v>
      </c>
      <c r="O1917" s="1249">
        <v>3.1850009128239903E-2</v>
      </c>
      <c r="P1917" s="1260">
        <v>1.59250045641199E-2</v>
      </c>
      <c r="Q1917" s="1252">
        <v>8.21207957591754E-3</v>
      </c>
    </row>
    <row r="1918" spans="1:17" s="212" customFormat="1" ht="15.5" x14ac:dyDescent="0.35">
      <c r="A1918" s="198">
        <v>2045</v>
      </c>
      <c r="B1918" s="197" t="s">
        <v>5842</v>
      </c>
      <c r="C1918" s="197">
        <v>2044</v>
      </c>
      <c r="D1918" s="213" t="str">
        <f t="shared" si="21"/>
        <v>2045_2044</v>
      </c>
      <c r="E1918" s="1267">
        <v>5.8616681205105103E-2</v>
      </c>
      <c r="F1918" s="1278">
        <v>2.82552948253363E-3</v>
      </c>
      <c r="G1918" s="1248">
        <v>0.123474974124176</v>
      </c>
      <c r="H1918" s="1278">
        <v>2.1970500481070101E-2</v>
      </c>
      <c r="I1918" s="1248">
        <v>6.4915844616356801E-3</v>
      </c>
      <c r="J1918" s="1278">
        <v>1.09001840525311E-3</v>
      </c>
      <c r="K1918" s="1248">
        <v>3.0000008610341199E-3</v>
      </c>
      <c r="L1918" s="1250">
        <v>2.0000005741242599E-3</v>
      </c>
      <c r="M1918" s="1275">
        <v>2.00000057405371E-3</v>
      </c>
      <c r="N1918" s="1248">
        <v>3.1850009128239903E-2</v>
      </c>
      <c r="O1918" s="1249">
        <v>3.1850009128239903E-2</v>
      </c>
      <c r="P1918" s="1260">
        <v>1.59250045641199E-2</v>
      </c>
      <c r="Q1918" s="1252">
        <v>6.7851051050114202E-3</v>
      </c>
    </row>
    <row r="1919" spans="1:17" s="212" customFormat="1" ht="15.5" x14ac:dyDescent="0.35">
      <c r="A1919" s="198">
        <v>2045</v>
      </c>
      <c r="B1919" s="197" t="s">
        <v>5842</v>
      </c>
      <c r="C1919" s="197">
        <v>2045</v>
      </c>
      <c r="D1919" s="213" t="str">
        <f t="shared" si="21"/>
        <v>2045_2045</v>
      </c>
      <c r="E1919" s="1267">
        <v>5.6780241053591897E-2</v>
      </c>
      <c r="F1919" s="1278">
        <v>2.7521011062709199E-3</v>
      </c>
      <c r="G1919" s="1248">
        <v>0.114147979860486</v>
      </c>
      <c r="H1919" s="1278">
        <v>2.0897788132042901E-2</v>
      </c>
      <c r="I1919" s="1248">
        <v>5.0653512130831397E-3</v>
      </c>
      <c r="J1919" s="1278">
        <v>1.0901827290065601E-3</v>
      </c>
      <c r="K1919" s="1248">
        <v>3.0000008610366002E-3</v>
      </c>
      <c r="L1919" s="1250">
        <v>2.00000057412612E-3</v>
      </c>
      <c r="M1919" s="1275">
        <v>2.0000005740532598E-3</v>
      </c>
      <c r="N1919" s="1248">
        <v>3.1850009128239903E-2</v>
      </c>
      <c r="O1919" s="1249">
        <v>3.1850009128239903E-2</v>
      </c>
      <c r="P1919" s="1260">
        <v>1.59250045641199E-2</v>
      </c>
      <c r="Q1919" s="1252">
        <v>5.2943839177756399E-3</v>
      </c>
    </row>
    <row r="1920" spans="1:17" s="212" customFormat="1" ht="15.5" x14ac:dyDescent="0.35">
      <c r="A1920" s="198">
        <v>2045</v>
      </c>
      <c r="B1920" s="197" t="s">
        <v>5842</v>
      </c>
      <c r="C1920" s="197">
        <v>2046</v>
      </c>
      <c r="D1920" s="213" t="str">
        <f t="shared" si="21"/>
        <v>2045_2046</v>
      </c>
      <c r="E1920" s="1268">
        <v>5.6780241053591897E-2</v>
      </c>
      <c r="F1920" s="1279">
        <v>2.7521011062709199E-3</v>
      </c>
      <c r="G1920" s="1255">
        <v>0.114147979860486</v>
      </c>
      <c r="H1920" s="1279">
        <v>2.0897788132042901E-2</v>
      </c>
      <c r="I1920" s="1255">
        <v>5.0653512130831397E-3</v>
      </c>
      <c r="J1920" s="1279">
        <v>1.0901827290065601E-3</v>
      </c>
      <c r="K1920" s="1255">
        <v>3.0000008610366002E-3</v>
      </c>
      <c r="L1920" s="1253">
        <v>2.00000057412612E-3</v>
      </c>
      <c r="M1920" s="1273">
        <v>2.0000005740532598E-3</v>
      </c>
      <c r="N1920" s="1255">
        <v>3.1850009128239903E-2</v>
      </c>
      <c r="O1920" s="1256">
        <v>3.1850009128239903E-2</v>
      </c>
      <c r="P1920" s="1251">
        <v>1.59250045641199E-2</v>
      </c>
      <c r="Q1920" s="1254">
        <v>5.2943839177756399E-3</v>
      </c>
    </row>
    <row r="1921" spans="1:17" s="212" customFormat="1" ht="15.5" x14ac:dyDescent="0.35">
      <c r="A1921" s="198">
        <v>2046</v>
      </c>
      <c r="B1921" s="197" t="s">
        <v>5842</v>
      </c>
      <c r="C1921" s="197">
        <v>1971</v>
      </c>
      <c r="D1921" s="213" t="str">
        <f t="shared" si="21"/>
        <v>2046_1971</v>
      </c>
      <c r="E1921" s="1268">
        <v>0.28703152802926202</v>
      </c>
      <c r="F1921" s="1279">
        <v>2.21417675783698E-2</v>
      </c>
      <c r="G1921" s="1255">
        <v>7.1977316423751203</v>
      </c>
      <c r="H1921" s="1279">
        <v>0.31745398214521298</v>
      </c>
      <c r="I1921" s="1255">
        <v>5.3502076382964503E-2</v>
      </c>
      <c r="J1921" s="1279">
        <v>2.1706226804154398E-3</v>
      </c>
      <c r="K1921" s="1255">
        <v>3.0000008613616999E-3</v>
      </c>
      <c r="L1921" s="1253">
        <v>2.0000005741665802E-3</v>
      </c>
      <c r="M1921" s="1273">
        <v>2.0000005741665802E-3</v>
      </c>
      <c r="N1921" s="1255">
        <v>3.1850009128239903E-2</v>
      </c>
      <c r="O1921" s="1256">
        <v>3.1850009128239903E-2</v>
      </c>
      <c r="P1921" s="1251">
        <v>1.5925004564119952E-2</v>
      </c>
      <c r="Q1921" s="1254">
        <v>5.5921202865054399E-2</v>
      </c>
    </row>
    <row r="1922" spans="1:17" s="212" customFormat="1" ht="15.5" x14ac:dyDescent="0.35">
      <c r="A1922" s="198">
        <v>2046</v>
      </c>
      <c r="B1922" s="197" t="s">
        <v>5842</v>
      </c>
      <c r="C1922" s="197">
        <v>1972</v>
      </c>
      <c r="D1922" s="213" t="str">
        <f t="shared" si="21"/>
        <v>2046_1972</v>
      </c>
      <c r="E1922" s="1268">
        <v>0.28703152802926202</v>
      </c>
      <c r="F1922" s="1279">
        <v>2.21417675783698E-2</v>
      </c>
      <c r="G1922" s="1255">
        <v>7.1977316423751203</v>
      </c>
      <c r="H1922" s="1279">
        <v>0.31745398214521298</v>
      </c>
      <c r="I1922" s="1255">
        <v>5.3502076382964503E-2</v>
      </c>
      <c r="J1922" s="1279">
        <v>2.1706226804154398E-3</v>
      </c>
      <c r="K1922" s="1255">
        <v>3.0000008613616999E-3</v>
      </c>
      <c r="L1922" s="1253">
        <v>2.0000005741665802E-3</v>
      </c>
      <c r="M1922" s="1273">
        <v>2.0000005741665802E-3</v>
      </c>
      <c r="N1922" s="1255">
        <v>3.1850009128239903E-2</v>
      </c>
      <c r="O1922" s="1256">
        <v>3.1850009128239903E-2</v>
      </c>
      <c r="P1922" s="1251">
        <v>1.5925004564119952E-2</v>
      </c>
      <c r="Q1922" s="1254">
        <v>5.5921202865054399E-2</v>
      </c>
    </row>
    <row r="1923" spans="1:17" s="212" customFormat="1" ht="15.5" x14ac:dyDescent="0.35">
      <c r="A1923" s="198">
        <v>2046</v>
      </c>
      <c r="B1923" s="197" t="s">
        <v>5842</v>
      </c>
      <c r="C1923" s="197">
        <v>1973</v>
      </c>
      <c r="D1923" s="213" t="str">
        <f t="shared" si="21"/>
        <v>2046_1973</v>
      </c>
      <c r="E1923" s="1268">
        <v>0.28703152802926202</v>
      </c>
      <c r="F1923" s="1279">
        <v>2.21417675783698E-2</v>
      </c>
      <c r="G1923" s="1255">
        <v>7.1977316423751203</v>
      </c>
      <c r="H1923" s="1279">
        <v>0.31745398214521298</v>
      </c>
      <c r="I1923" s="1255">
        <v>5.3502076382964503E-2</v>
      </c>
      <c r="J1923" s="1279">
        <v>2.1706226804154398E-3</v>
      </c>
      <c r="K1923" s="1255">
        <v>3.0000008613616999E-3</v>
      </c>
      <c r="L1923" s="1253">
        <v>2.0000005741665802E-3</v>
      </c>
      <c r="M1923" s="1273">
        <v>2.0000005741665802E-3</v>
      </c>
      <c r="N1923" s="1255">
        <v>3.1850009128239903E-2</v>
      </c>
      <c r="O1923" s="1256">
        <v>3.1850009128239903E-2</v>
      </c>
      <c r="P1923" s="1251">
        <v>1.5925004564119952E-2</v>
      </c>
      <c r="Q1923" s="1254">
        <v>5.5921202865054399E-2</v>
      </c>
    </row>
    <row r="1924" spans="1:17" s="212" customFormat="1" ht="15.5" x14ac:dyDescent="0.35">
      <c r="A1924" s="198">
        <v>2046</v>
      </c>
      <c r="B1924" s="197" t="s">
        <v>5842</v>
      </c>
      <c r="C1924" s="197">
        <v>1974</v>
      </c>
      <c r="D1924" s="213" t="str">
        <f t="shared" si="21"/>
        <v>2046_1974</v>
      </c>
      <c r="E1924" s="1268">
        <v>0.28703152802926202</v>
      </c>
      <c r="F1924" s="1279">
        <v>2.21417675783698E-2</v>
      </c>
      <c r="G1924" s="1255">
        <v>7.1977316423751203</v>
      </c>
      <c r="H1924" s="1279">
        <v>0.31745398214521298</v>
      </c>
      <c r="I1924" s="1255">
        <v>5.3502076382964503E-2</v>
      </c>
      <c r="J1924" s="1279">
        <v>2.1706226804154398E-3</v>
      </c>
      <c r="K1924" s="1255">
        <v>3.0000008613616999E-3</v>
      </c>
      <c r="L1924" s="1253">
        <v>2.0000005741665802E-3</v>
      </c>
      <c r="M1924" s="1273">
        <v>2.0000005741665802E-3</v>
      </c>
      <c r="N1924" s="1255">
        <v>3.1850009128239903E-2</v>
      </c>
      <c r="O1924" s="1256">
        <v>3.1850009128239903E-2</v>
      </c>
      <c r="P1924" s="1251">
        <v>1.5925004564119952E-2</v>
      </c>
      <c r="Q1924" s="1254">
        <v>5.5921202865054399E-2</v>
      </c>
    </row>
    <row r="1925" spans="1:17" s="212" customFormat="1" ht="15.5" x14ac:dyDescent="0.35">
      <c r="A1925" s="198">
        <v>2046</v>
      </c>
      <c r="B1925" s="197" t="s">
        <v>5842</v>
      </c>
      <c r="C1925" s="197">
        <v>1975</v>
      </c>
      <c r="D1925" s="213" t="str">
        <f t="shared" si="21"/>
        <v>2046_1975</v>
      </c>
      <c r="E1925" s="1268">
        <v>0.28703152802926202</v>
      </c>
      <c r="F1925" s="1279">
        <v>2.21417675783698E-2</v>
      </c>
      <c r="G1925" s="1255">
        <v>7.1977316423751203</v>
      </c>
      <c r="H1925" s="1279">
        <v>0.31745398214521298</v>
      </c>
      <c r="I1925" s="1255">
        <v>5.3502076382964503E-2</v>
      </c>
      <c r="J1925" s="1279">
        <v>2.1706226804154398E-3</v>
      </c>
      <c r="K1925" s="1255">
        <v>3.0000008613616999E-3</v>
      </c>
      <c r="L1925" s="1253">
        <v>2.0000005741665802E-3</v>
      </c>
      <c r="M1925" s="1273">
        <v>2.0000005741665802E-3</v>
      </c>
      <c r="N1925" s="1255">
        <v>3.1850009128239903E-2</v>
      </c>
      <c r="O1925" s="1256">
        <v>3.1850009128239903E-2</v>
      </c>
      <c r="P1925" s="1251">
        <v>1.5925004564119952E-2</v>
      </c>
      <c r="Q1925" s="1254">
        <v>5.5921202865054399E-2</v>
      </c>
    </row>
    <row r="1926" spans="1:17" s="212" customFormat="1" ht="15.5" x14ac:dyDescent="0.35">
      <c r="A1926" s="198">
        <v>2046</v>
      </c>
      <c r="B1926" s="197" t="s">
        <v>5842</v>
      </c>
      <c r="C1926" s="197">
        <v>1976</v>
      </c>
      <c r="D1926" s="213" t="str">
        <f t="shared" si="21"/>
        <v>2046_1976</v>
      </c>
      <c r="E1926" s="1268">
        <v>0.28703152802926202</v>
      </c>
      <c r="F1926" s="1279">
        <v>2.21417675783698E-2</v>
      </c>
      <c r="G1926" s="1255">
        <v>7.1977316423751203</v>
      </c>
      <c r="H1926" s="1279">
        <v>0.31745398214521298</v>
      </c>
      <c r="I1926" s="1255">
        <v>5.3502076382964503E-2</v>
      </c>
      <c r="J1926" s="1279">
        <v>2.1706226804154398E-3</v>
      </c>
      <c r="K1926" s="1255">
        <v>3.0000008613616999E-3</v>
      </c>
      <c r="L1926" s="1253">
        <v>2.0000005741665802E-3</v>
      </c>
      <c r="M1926" s="1273">
        <v>2.0000005741665802E-3</v>
      </c>
      <c r="N1926" s="1255">
        <v>3.1850009128239903E-2</v>
      </c>
      <c r="O1926" s="1256">
        <v>3.1850009128239903E-2</v>
      </c>
      <c r="P1926" s="1251">
        <v>1.5925004564119952E-2</v>
      </c>
      <c r="Q1926" s="1254">
        <v>5.5921202865054399E-2</v>
      </c>
    </row>
    <row r="1927" spans="1:17" s="212" customFormat="1" ht="15.5" x14ac:dyDescent="0.35">
      <c r="A1927" s="198">
        <v>2046</v>
      </c>
      <c r="B1927" s="197" t="s">
        <v>5842</v>
      </c>
      <c r="C1927" s="197">
        <v>1977</v>
      </c>
      <c r="D1927" s="213" t="str">
        <f t="shared" si="21"/>
        <v>2046_1977</v>
      </c>
      <c r="E1927" s="1268">
        <v>0.28703152802926202</v>
      </c>
      <c r="F1927" s="1279">
        <v>2.21417675783698E-2</v>
      </c>
      <c r="G1927" s="1255">
        <v>7.1977316423751203</v>
      </c>
      <c r="H1927" s="1279">
        <v>0.31745398214521298</v>
      </c>
      <c r="I1927" s="1255">
        <v>5.3502076382964503E-2</v>
      </c>
      <c r="J1927" s="1279">
        <v>2.1706226804154398E-3</v>
      </c>
      <c r="K1927" s="1255">
        <v>3.0000008613616999E-3</v>
      </c>
      <c r="L1927" s="1253">
        <v>2.0000005741665802E-3</v>
      </c>
      <c r="M1927" s="1273">
        <v>2.0000005741665802E-3</v>
      </c>
      <c r="N1927" s="1255">
        <v>3.1850009128239903E-2</v>
      </c>
      <c r="O1927" s="1256">
        <v>3.1850009128239903E-2</v>
      </c>
      <c r="P1927" s="1251">
        <v>1.5925004564119952E-2</v>
      </c>
      <c r="Q1927" s="1254">
        <v>5.5921202865054399E-2</v>
      </c>
    </row>
    <row r="1928" spans="1:17" s="212" customFormat="1" ht="15.5" x14ac:dyDescent="0.35">
      <c r="A1928" s="198">
        <v>2046</v>
      </c>
      <c r="B1928" s="197" t="s">
        <v>5842</v>
      </c>
      <c r="C1928" s="197">
        <v>1978</v>
      </c>
      <c r="D1928" s="213" t="str">
        <f t="shared" si="21"/>
        <v>2046_1978</v>
      </c>
      <c r="E1928" s="1268">
        <v>0.28703152802926202</v>
      </c>
      <c r="F1928" s="1279">
        <v>2.21417675783698E-2</v>
      </c>
      <c r="G1928" s="1255">
        <v>7.1977316423751203</v>
      </c>
      <c r="H1928" s="1279">
        <v>0.31745398214521298</v>
      </c>
      <c r="I1928" s="1255">
        <v>5.3502076382964503E-2</v>
      </c>
      <c r="J1928" s="1279">
        <v>2.1706226804154398E-3</v>
      </c>
      <c r="K1928" s="1255">
        <v>3.0000008613616999E-3</v>
      </c>
      <c r="L1928" s="1253">
        <v>2.0000005741665802E-3</v>
      </c>
      <c r="M1928" s="1273">
        <v>2.0000005741665802E-3</v>
      </c>
      <c r="N1928" s="1255">
        <v>3.1850009128239903E-2</v>
      </c>
      <c r="O1928" s="1256">
        <v>3.1850009128239903E-2</v>
      </c>
      <c r="P1928" s="1251">
        <v>1.5925004564119952E-2</v>
      </c>
      <c r="Q1928" s="1254">
        <v>5.5921202865054399E-2</v>
      </c>
    </row>
    <row r="1929" spans="1:17" s="212" customFormat="1" ht="15.5" x14ac:dyDescent="0.35">
      <c r="A1929" s="198">
        <v>2046</v>
      </c>
      <c r="B1929" s="197" t="s">
        <v>5842</v>
      </c>
      <c r="C1929" s="197">
        <v>1979</v>
      </c>
      <c r="D1929" s="213" t="str">
        <f t="shared" si="21"/>
        <v>2046_1979</v>
      </c>
      <c r="E1929" s="1268">
        <v>0.28703152802926202</v>
      </c>
      <c r="F1929" s="1279">
        <v>2.21417675783698E-2</v>
      </c>
      <c r="G1929" s="1255">
        <v>7.1977316423751203</v>
      </c>
      <c r="H1929" s="1279">
        <v>0.31745398214521298</v>
      </c>
      <c r="I1929" s="1255">
        <v>5.3502076382964503E-2</v>
      </c>
      <c r="J1929" s="1279">
        <v>2.1706226804154398E-3</v>
      </c>
      <c r="K1929" s="1255">
        <v>3.0000008613616999E-3</v>
      </c>
      <c r="L1929" s="1253">
        <v>2.0000005741665802E-3</v>
      </c>
      <c r="M1929" s="1273">
        <v>2.0000005741665802E-3</v>
      </c>
      <c r="N1929" s="1255">
        <v>3.1850009128239903E-2</v>
      </c>
      <c r="O1929" s="1256">
        <v>3.1850009128239903E-2</v>
      </c>
      <c r="P1929" s="1251">
        <v>1.5925004564119952E-2</v>
      </c>
      <c r="Q1929" s="1254">
        <v>5.5921202865054399E-2</v>
      </c>
    </row>
    <row r="1930" spans="1:17" s="212" customFormat="1" ht="15.5" x14ac:dyDescent="0.35">
      <c r="A1930" s="198">
        <v>2046</v>
      </c>
      <c r="B1930" s="197" t="s">
        <v>5842</v>
      </c>
      <c r="C1930" s="197">
        <v>1980</v>
      </c>
      <c r="D1930" s="213" t="str">
        <f t="shared" si="21"/>
        <v>2046_1980</v>
      </c>
      <c r="E1930" s="1268">
        <v>0.28703152802926202</v>
      </c>
      <c r="F1930" s="1279">
        <v>2.21417675783698E-2</v>
      </c>
      <c r="G1930" s="1255">
        <v>7.1977316423751203</v>
      </c>
      <c r="H1930" s="1279">
        <v>0.31745398214521298</v>
      </c>
      <c r="I1930" s="1255">
        <v>5.3502076382964503E-2</v>
      </c>
      <c r="J1930" s="1279">
        <v>2.1706226804154398E-3</v>
      </c>
      <c r="K1930" s="1255">
        <v>3.0000008613616999E-3</v>
      </c>
      <c r="L1930" s="1253">
        <v>2.0000005741665802E-3</v>
      </c>
      <c r="M1930" s="1273">
        <v>2.0000005741665802E-3</v>
      </c>
      <c r="N1930" s="1255">
        <v>3.1850009128239903E-2</v>
      </c>
      <c r="O1930" s="1256">
        <v>3.1850009128239903E-2</v>
      </c>
      <c r="P1930" s="1251">
        <v>1.5925004564119952E-2</v>
      </c>
      <c r="Q1930" s="1254">
        <v>5.5921202865054399E-2</v>
      </c>
    </row>
    <row r="1931" spans="1:17" s="212" customFormat="1" ht="15.5" x14ac:dyDescent="0.35">
      <c r="A1931" s="198">
        <v>2046</v>
      </c>
      <c r="B1931" s="197" t="s">
        <v>5842</v>
      </c>
      <c r="C1931" s="197">
        <v>1981</v>
      </c>
      <c r="D1931" s="213" t="str">
        <f t="shared" si="21"/>
        <v>2046_1981</v>
      </c>
      <c r="E1931" s="1268">
        <v>0.28703152802926202</v>
      </c>
      <c r="F1931" s="1279">
        <v>2.21417675783698E-2</v>
      </c>
      <c r="G1931" s="1255">
        <v>7.1977316423751203</v>
      </c>
      <c r="H1931" s="1279">
        <v>0.31745398214521298</v>
      </c>
      <c r="I1931" s="1255">
        <v>5.3502076382964503E-2</v>
      </c>
      <c r="J1931" s="1279">
        <v>2.1706226804154398E-3</v>
      </c>
      <c r="K1931" s="1255">
        <v>3.0000008613616999E-3</v>
      </c>
      <c r="L1931" s="1253">
        <v>2.0000005741665802E-3</v>
      </c>
      <c r="M1931" s="1273">
        <v>2.0000005741665802E-3</v>
      </c>
      <c r="N1931" s="1255">
        <v>3.1850009128239903E-2</v>
      </c>
      <c r="O1931" s="1256">
        <v>3.1850009128239903E-2</v>
      </c>
      <c r="P1931" s="1251">
        <v>1.5925004564119952E-2</v>
      </c>
      <c r="Q1931" s="1254">
        <v>5.5921202865054399E-2</v>
      </c>
    </row>
    <row r="1932" spans="1:17" s="212" customFormat="1" ht="15.5" x14ac:dyDescent="0.35">
      <c r="A1932" s="198">
        <v>2046</v>
      </c>
      <c r="B1932" s="197" t="s">
        <v>5842</v>
      </c>
      <c r="C1932" s="197">
        <v>1982</v>
      </c>
      <c r="D1932" s="213" t="str">
        <f t="shared" si="21"/>
        <v>2046_1982</v>
      </c>
      <c r="E1932" s="1268">
        <v>0.28703152802926202</v>
      </c>
      <c r="F1932" s="1279">
        <v>2.21417675783698E-2</v>
      </c>
      <c r="G1932" s="1255">
        <v>7.1977316423751203</v>
      </c>
      <c r="H1932" s="1279">
        <v>0.31745398214521298</v>
      </c>
      <c r="I1932" s="1255">
        <v>5.3502076382964503E-2</v>
      </c>
      <c r="J1932" s="1279">
        <v>2.1706226804154398E-3</v>
      </c>
      <c r="K1932" s="1255">
        <v>3.0000008613616999E-3</v>
      </c>
      <c r="L1932" s="1253">
        <v>2.0000005741665802E-3</v>
      </c>
      <c r="M1932" s="1273">
        <v>2.0000005741665802E-3</v>
      </c>
      <c r="N1932" s="1255">
        <v>3.1850009128239903E-2</v>
      </c>
      <c r="O1932" s="1256">
        <v>3.1850009128239903E-2</v>
      </c>
      <c r="P1932" s="1251">
        <v>1.5925004564119952E-2</v>
      </c>
      <c r="Q1932" s="1254">
        <v>5.5921202865054399E-2</v>
      </c>
    </row>
    <row r="1933" spans="1:17" s="212" customFormat="1" ht="15.5" x14ac:dyDescent="0.35">
      <c r="A1933" s="198">
        <v>2046</v>
      </c>
      <c r="B1933" s="197" t="s">
        <v>5842</v>
      </c>
      <c r="C1933" s="197">
        <v>1983</v>
      </c>
      <c r="D1933" s="213" t="str">
        <f t="shared" si="21"/>
        <v>2046_1983</v>
      </c>
      <c r="E1933" s="1268">
        <v>0.28703152802926202</v>
      </c>
      <c r="F1933" s="1279">
        <v>2.21417675783698E-2</v>
      </c>
      <c r="G1933" s="1255">
        <v>7.1977316423751203</v>
      </c>
      <c r="H1933" s="1279">
        <v>0.31745398214521298</v>
      </c>
      <c r="I1933" s="1255">
        <v>5.3502076382964503E-2</v>
      </c>
      <c r="J1933" s="1279">
        <v>2.1706226804154398E-3</v>
      </c>
      <c r="K1933" s="1255">
        <v>3.0000008613616999E-3</v>
      </c>
      <c r="L1933" s="1253">
        <v>2.0000005741665802E-3</v>
      </c>
      <c r="M1933" s="1273">
        <v>2.0000005741665802E-3</v>
      </c>
      <c r="N1933" s="1255">
        <v>3.1850009128239903E-2</v>
      </c>
      <c r="O1933" s="1256">
        <v>3.1850009128239903E-2</v>
      </c>
      <c r="P1933" s="1251">
        <v>1.5925004564119952E-2</v>
      </c>
      <c r="Q1933" s="1254">
        <v>5.5921202865054399E-2</v>
      </c>
    </row>
    <row r="1934" spans="1:17" s="212" customFormat="1" ht="15.5" x14ac:dyDescent="0.35">
      <c r="A1934" s="198">
        <v>2046</v>
      </c>
      <c r="B1934" s="197" t="s">
        <v>5842</v>
      </c>
      <c r="C1934" s="197">
        <v>1984</v>
      </c>
      <c r="D1934" s="213" t="str">
        <f t="shared" si="21"/>
        <v>2046_1984</v>
      </c>
      <c r="E1934" s="1268">
        <v>0.28703152802926202</v>
      </c>
      <c r="F1934" s="1279">
        <v>2.21417675783698E-2</v>
      </c>
      <c r="G1934" s="1255">
        <v>7.1977316423751203</v>
      </c>
      <c r="H1934" s="1279">
        <v>0.31745398214521298</v>
      </c>
      <c r="I1934" s="1255">
        <v>5.3502076382964503E-2</v>
      </c>
      <c r="J1934" s="1279">
        <v>2.1706226804154398E-3</v>
      </c>
      <c r="K1934" s="1255">
        <v>3.0000008613616999E-3</v>
      </c>
      <c r="L1934" s="1253">
        <v>2.0000005741665802E-3</v>
      </c>
      <c r="M1934" s="1273">
        <v>2.0000005741665802E-3</v>
      </c>
      <c r="N1934" s="1255">
        <v>3.1850009128239903E-2</v>
      </c>
      <c r="O1934" s="1256">
        <v>3.1850009128239903E-2</v>
      </c>
      <c r="P1934" s="1251">
        <v>1.5925004564119952E-2</v>
      </c>
      <c r="Q1934" s="1254">
        <v>5.5921202865054399E-2</v>
      </c>
    </row>
    <row r="1935" spans="1:17" s="212" customFormat="1" ht="15.5" x14ac:dyDescent="0.35">
      <c r="A1935" s="198">
        <v>2046</v>
      </c>
      <c r="B1935" s="197" t="s">
        <v>5842</v>
      </c>
      <c r="C1935" s="197">
        <v>1985</v>
      </c>
      <c r="D1935" s="213" t="str">
        <f t="shared" si="21"/>
        <v>2046_1985</v>
      </c>
      <c r="E1935" s="1268">
        <v>0.28703152802926202</v>
      </c>
      <c r="F1935" s="1279">
        <v>2.21417675783698E-2</v>
      </c>
      <c r="G1935" s="1255">
        <v>7.1977316423751203</v>
      </c>
      <c r="H1935" s="1279">
        <v>0.31745398214521298</v>
      </c>
      <c r="I1935" s="1255">
        <v>5.3502076382964503E-2</v>
      </c>
      <c r="J1935" s="1279">
        <v>2.1706226804154398E-3</v>
      </c>
      <c r="K1935" s="1255">
        <v>3.0000008613616999E-3</v>
      </c>
      <c r="L1935" s="1253">
        <v>2.0000005741665802E-3</v>
      </c>
      <c r="M1935" s="1273">
        <v>2.0000005741665802E-3</v>
      </c>
      <c r="N1935" s="1255">
        <v>3.1850009128239903E-2</v>
      </c>
      <c r="O1935" s="1256">
        <v>3.1850009128239903E-2</v>
      </c>
      <c r="P1935" s="1251">
        <v>1.5925004564119952E-2</v>
      </c>
      <c r="Q1935" s="1254">
        <v>5.5921202865054399E-2</v>
      </c>
    </row>
    <row r="1936" spans="1:17" s="212" customFormat="1" ht="15.5" x14ac:dyDescent="0.35">
      <c r="A1936" s="198">
        <v>2046</v>
      </c>
      <c r="B1936" s="197" t="s">
        <v>5842</v>
      </c>
      <c r="C1936" s="197">
        <v>1986</v>
      </c>
      <c r="D1936" s="213" t="str">
        <f t="shared" si="21"/>
        <v>2046_1986</v>
      </c>
      <c r="E1936" s="1268">
        <v>0.28703152802926202</v>
      </c>
      <c r="F1936" s="1279">
        <v>2.21417675783698E-2</v>
      </c>
      <c r="G1936" s="1255">
        <v>7.1977316423751203</v>
      </c>
      <c r="H1936" s="1279">
        <v>0.31745398214521298</v>
      </c>
      <c r="I1936" s="1255">
        <v>5.3502076382964503E-2</v>
      </c>
      <c r="J1936" s="1279">
        <v>2.1706226804154398E-3</v>
      </c>
      <c r="K1936" s="1255">
        <v>3.0000008613616999E-3</v>
      </c>
      <c r="L1936" s="1253">
        <v>2.0000005741665802E-3</v>
      </c>
      <c r="M1936" s="1273">
        <v>2.0000005741665802E-3</v>
      </c>
      <c r="N1936" s="1255">
        <v>3.1850009128239903E-2</v>
      </c>
      <c r="O1936" s="1256">
        <v>3.1850009128239903E-2</v>
      </c>
      <c r="P1936" s="1251">
        <v>1.5925004564119952E-2</v>
      </c>
      <c r="Q1936" s="1254">
        <v>5.5921202865054399E-2</v>
      </c>
    </row>
    <row r="1937" spans="1:17" s="212" customFormat="1" ht="15.5" x14ac:dyDescent="0.35">
      <c r="A1937" s="198">
        <v>2046</v>
      </c>
      <c r="B1937" s="197" t="s">
        <v>5842</v>
      </c>
      <c r="C1937" s="197">
        <v>1987</v>
      </c>
      <c r="D1937" s="213" t="str">
        <f t="shared" si="21"/>
        <v>2046_1987</v>
      </c>
      <c r="E1937" s="1268">
        <v>0.28703152802926202</v>
      </c>
      <c r="F1937" s="1279">
        <v>2.21417675783698E-2</v>
      </c>
      <c r="G1937" s="1255">
        <v>7.1977316423751203</v>
      </c>
      <c r="H1937" s="1279">
        <v>0.31745398214521298</v>
      </c>
      <c r="I1937" s="1255">
        <v>5.3502076382964503E-2</v>
      </c>
      <c r="J1937" s="1279">
        <v>2.1706226804154398E-3</v>
      </c>
      <c r="K1937" s="1255">
        <v>3.0000008613616999E-3</v>
      </c>
      <c r="L1937" s="1253">
        <v>2.0000005741665802E-3</v>
      </c>
      <c r="M1937" s="1273">
        <v>2.0000005741665802E-3</v>
      </c>
      <c r="N1937" s="1255">
        <v>3.1850009128239903E-2</v>
      </c>
      <c r="O1937" s="1256">
        <v>3.1850009128239903E-2</v>
      </c>
      <c r="P1937" s="1251">
        <v>1.5925004564119952E-2</v>
      </c>
      <c r="Q1937" s="1254">
        <v>5.5921202865054399E-2</v>
      </c>
    </row>
    <row r="1938" spans="1:17" s="212" customFormat="1" ht="15.5" x14ac:dyDescent="0.35">
      <c r="A1938" s="198">
        <v>2046</v>
      </c>
      <c r="B1938" s="197" t="s">
        <v>5842</v>
      </c>
      <c r="C1938" s="197">
        <v>1988</v>
      </c>
      <c r="D1938" s="213" t="str">
        <f t="shared" si="21"/>
        <v>2046_1988</v>
      </c>
      <c r="E1938" s="1268">
        <v>0.28703152802926202</v>
      </c>
      <c r="F1938" s="1279">
        <v>2.21417675783698E-2</v>
      </c>
      <c r="G1938" s="1255">
        <v>7.1977316423751203</v>
      </c>
      <c r="H1938" s="1279">
        <v>0.31745398214521298</v>
      </c>
      <c r="I1938" s="1255">
        <v>5.3502076382964503E-2</v>
      </c>
      <c r="J1938" s="1279">
        <v>2.1706226804154398E-3</v>
      </c>
      <c r="K1938" s="1255">
        <v>3.0000008613616999E-3</v>
      </c>
      <c r="L1938" s="1253">
        <v>2.0000005741665802E-3</v>
      </c>
      <c r="M1938" s="1273">
        <v>2.0000005741665802E-3</v>
      </c>
      <c r="N1938" s="1255">
        <v>3.1850009128239903E-2</v>
      </c>
      <c r="O1938" s="1256">
        <v>3.1850009128239903E-2</v>
      </c>
      <c r="P1938" s="1251">
        <v>1.5925004564119952E-2</v>
      </c>
      <c r="Q1938" s="1254">
        <v>5.5921202865054399E-2</v>
      </c>
    </row>
    <row r="1939" spans="1:17" s="212" customFormat="1" ht="15.5" x14ac:dyDescent="0.35">
      <c r="A1939" s="198">
        <v>2046</v>
      </c>
      <c r="B1939" s="197" t="s">
        <v>5842</v>
      </c>
      <c r="C1939" s="197">
        <v>1989</v>
      </c>
      <c r="D1939" s="213" t="str">
        <f t="shared" si="21"/>
        <v>2046_1989</v>
      </c>
      <c r="E1939" s="1268">
        <v>0.28703152802926202</v>
      </c>
      <c r="F1939" s="1279">
        <v>2.21417675783698E-2</v>
      </c>
      <c r="G1939" s="1255">
        <v>7.1977316423751203</v>
      </c>
      <c r="H1939" s="1279">
        <v>0.31745398214521298</v>
      </c>
      <c r="I1939" s="1255">
        <v>5.3502076382964503E-2</v>
      </c>
      <c r="J1939" s="1279">
        <v>2.1706226804154398E-3</v>
      </c>
      <c r="K1939" s="1255">
        <v>3.0000008613616999E-3</v>
      </c>
      <c r="L1939" s="1253">
        <v>2.0000005741665802E-3</v>
      </c>
      <c r="M1939" s="1273">
        <v>2.0000005741665802E-3</v>
      </c>
      <c r="N1939" s="1255">
        <v>3.1850009128239903E-2</v>
      </c>
      <c r="O1939" s="1256">
        <v>3.1850009128239903E-2</v>
      </c>
      <c r="P1939" s="1251">
        <v>1.5925004564119952E-2</v>
      </c>
      <c r="Q1939" s="1254">
        <v>5.5921202865054399E-2</v>
      </c>
    </row>
    <row r="1940" spans="1:17" s="212" customFormat="1" ht="15.5" x14ac:dyDescent="0.35">
      <c r="A1940" s="198">
        <v>2046</v>
      </c>
      <c r="B1940" s="197" t="s">
        <v>5842</v>
      </c>
      <c r="C1940" s="197">
        <v>1990</v>
      </c>
      <c r="D1940" s="213" t="str">
        <f t="shared" si="21"/>
        <v>2046_1990</v>
      </c>
      <c r="E1940" s="1268">
        <v>0.28703152802926202</v>
      </c>
      <c r="F1940" s="1279">
        <v>2.21417675783698E-2</v>
      </c>
      <c r="G1940" s="1255">
        <v>7.1977316423751203</v>
      </c>
      <c r="H1940" s="1279">
        <v>0.31745398214521298</v>
      </c>
      <c r="I1940" s="1255">
        <v>5.3502076382964503E-2</v>
      </c>
      <c r="J1940" s="1279">
        <v>2.1706226804154398E-3</v>
      </c>
      <c r="K1940" s="1255">
        <v>3.0000008613616999E-3</v>
      </c>
      <c r="L1940" s="1253">
        <v>2.0000005741665802E-3</v>
      </c>
      <c r="M1940" s="1273">
        <v>2.0000005741665802E-3</v>
      </c>
      <c r="N1940" s="1255">
        <v>3.1850009128239903E-2</v>
      </c>
      <c r="O1940" s="1256">
        <v>3.1850009128239903E-2</v>
      </c>
      <c r="P1940" s="1251">
        <v>1.5925004564119952E-2</v>
      </c>
      <c r="Q1940" s="1254">
        <v>5.5921202865054399E-2</v>
      </c>
    </row>
    <row r="1941" spans="1:17" s="212" customFormat="1" ht="15.5" x14ac:dyDescent="0.35">
      <c r="A1941" s="198">
        <v>2046</v>
      </c>
      <c r="B1941" s="197" t="s">
        <v>5842</v>
      </c>
      <c r="C1941" s="197">
        <v>1991</v>
      </c>
      <c r="D1941" s="213" t="str">
        <f t="shared" si="21"/>
        <v>2046_1991</v>
      </c>
      <c r="E1941" s="1268">
        <v>0.28703152802926202</v>
      </c>
      <c r="F1941" s="1279">
        <v>2.21417675783698E-2</v>
      </c>
      <c r="G1941" s="1255">
        <v>7.1977316423751203</v>
      </c>
      <c r="H1941" s="1279">
        <v>0.31745398214521298</v>
      </c>
      <c r="I1941" s="1255">
        <v>5.3502076382964503E-2</v>
      </c>
      <c r="J1941" s="1279">
        <v>2.1706226804154398E-3</v>
      </c>
      <c r="K1941" s="1255">
        <v>3.0000008613616999E-3</v>
      </c>
      <c r="L1941" s="1253">
        <v>2.0000005741665802E-3</v>
      </c>
      <c r="M1941" s="1273">
        <v>2.0000005741665802E-3</v>
      </c>
      <c r="N1941" s="1255">
        <v>3.1850009128239903E-2</v>
      </c>
      <c r="O1941" s="1256">
        <v>3.1850009128239903E-2</v>
      </c>
      <c r="P1941" s="1251">
        <v>1.5925004564119952E-2</v>
      </c>
      <c r="Q1941" s="1254">
        <v>5.5921202865054399E-2</v>
      </c>
    </row>
    <row r="1942" spans="1:17" s="212" customFormat="1" ht="15.5" x14ac:dyDescent="0.35">
      <c r="A1942" s="198">
        <v>2046</v>
      </c>
      <c r="B1942" s="197" t="s">
        <v>5842</v>
      </c>
      <c r="C1942" s="197">
        <v>1992</v>
      </c>
      <c r="D1942" s="213" t="str">
        <f t="shared" si="21"/>
        <v>2046_1992</v>
      </c>
      <c r="E1942" s="1268">
        <v>0.28703152802926202</v>
      </c>
      <c r="F1942" s="1279">
        <v>2.21417675783698E-2</v>
      </c>
      <c r="G1942" s="1255">
        <v>7.1977316423751203</v>
      </c>
      <c r="H1942" s="1279">
        <v>0.31745398214521298</v>
      </c>
      <c r="I1942" s="1255">
        <v>5.3502076382964503E-2</v>
      </c>
      <c r="J1942" s="1279">
        <v>2.1706226804154398E-3</v>
      </c>
      <c r="K1942" s="1255">
        <v>3.0000008613616999E-3</v>
      </c>
      <c r="L1942" s="1253">
        <v>2.0000005741665802E-3</v>
      </c>
      <c r="M1942" s="1273">
        <v>2.0000005741665802E-3</v>
      </c>
      <c r="N1942" s="1255">
        <v>3.1850009128239903E-2</v>
      </c>
      <c r="O1942" s="1256">
        <v>3.1850009128239903E-2</v>
      </c>
      <c r="P1942" s="1251">
        <v>1.5925004564119952E-2</v>
      </c>
      <c r="Q1942" s="1254">
        <v>5.5921202865054399E-2</v>
      </c>
    </row>
    <row r="1943" spans="1:17" s="212" customFormat="1" ht="15.5" x14ac:dyDescent="0.35">
      <c r="A1943" s="198">
        <v>2046</v>
      </c>
      <c r="B1943" s="197" t="s">
        <v>5842</v>
      </c>
      <c r="C1943" s="197">
        <v>1993</v>
      </c>
      <c r="D1943" s="213" t="str">
        <f t="shared" si="21"/>
        <v>2046_1993</v>
      </c>
      <c r="E1943" s="1268">
        <v>0.28703152802926202</v>
      </c>
      <c r="F1943" s="1279">
        <v>2.21417675783698E-2</v>
      </c>
      <c r="G1943" s="1255">
        <v>7.1977316423751203</v>
      </c>
      <c r="H1943" s="1279">
        <v>0.31745398214521298</v>
      </c>
      <c r="I1943" s="1255">
        <v>5.3502076382964503E-2</v>
      </c>
      <c r="J1943" s="1279">
        <v>2.1706226804154398E-3</v>
      </c>
      <c r="K1943" s="1255">
        <v>3.0000008613616999E-3</v>
      </c>
      <c r="L1943" s="1253">
        <v>2.0000005741665802E-3</v>
      </c>
      <c r="M1943" s="1273">
        <v>2.0000005741665802E-3</v>
      </c>
      <c r="N1943" s="1255">
        <v>3.1850009128239903E-2</v>
      </c>
      <c r="O1943" s="1256">
        <v>3.1850009128239903E-2</v>
      </c>
      <c r="P1943" s="1251">
        <v>1.5925004564119952E-2</v>
      </c>
      <c r="Q1943" s="1254">
        <v>5.5921202865054399E-2</v>
      </c>
    </row>
    <row r="1944" spans="1:17" s="212" customFormat="1" ht="15.5" x14ac:dyDescent="0.35">
      <c r="A1944" s="198">
        <v>2046</v>
      </c>
      <c r="B1944" s="197" t="s">
        <v>5842</v>
      </c>
      <c r="C1944" s="197">
        <v>1994</v>
      </c>
      <c r="D1944" s="213" t="str">
        <f t="shared" si="21"/>
        <v>2046_1994</v>
      </c>
      <c r="E1944" s="1268">
        <v>0.28703152802926202</v>
      </c>
      <c r="F1944" s="1279">
        <v>2.21417675783698E-2</v>
      </c>
      <c r="G1944" s="1255">
        <v>7.1977316423751203</v>
      </c>
      <c r="H1944" s="1279">
        <v>0.31745398214521298</v>
      </c>
      <c r="I1944" s="1255">
        <v>5.3502076382964503E-2</v>
      </c>
      <c r="J1944" s="1279">
        <v>2.1706226804154398E-3</v>
      </c>
      <c r="K1944" s="1255">
        <v>3.0000008613616999E-3</v>
      </c>
      <c r="L1944" s="1253">
        <v>2.0000005741665802E-3</v>
      </c>
      <c r="M1944" s="1273">
        <v>2.0000005741665802E-3</v>
      </c>
      <c r="N1944" s="1255">
        <v>3.1850009128239903E-2</v>
      </c>
      <c r="O1944" s="1256">
        <v>3.1850009128239903E-2</v>
      </c>
      <c r="P1944" s="1251">
        <v>1.5925004564119952E-2</v>
      </c>
      <c r="Q1944" s="1254">
        <v>5.5921202865054399E-2</v>
      </c>
    </row>
    <row r="1945" spans="1:17" s="212" customFormat="1" ht="15.5" x14ac:dyDescent="0.35">
      <c r="A1945" s="198">
        <v>2046</v>
      </c>
      <c r="B1945" s="197" t="s">
        <v>5842</v>
      </c>
      <c r="C1945" s="197">
        <v>1995</v>
      </c>
      <c r="D1945" s="213" t="str">
        <f t="shared" si="21"/>
        <v>2046_1995</v>
      </c>
      <c r="E1945" s="1268">
        <v>0.28703152802926202</v>
      </c>
      <c r="F1945" s="1279">
        <v>2.21417675783698E-2</v>
      </c>
      <c r="G1945" s="1255">
        <v>7.1977316423751203</v>
      </c>
      <c r="H1945" s="1279">
        <v>0.31745398214521298</v>
      </c>
      <c r="I1945" s="1255">
        <v>5.3502076382964503E-2</v>
      </c>
      <c r="J1945" s="1279">
        <v>2.1706226804154398E-3</v>
      </c>
      <c r="K1945" s="1255">
        <v>3.0000008613616999E-3</v>
      </c>
      <c r="L1945" s="1253">
        <v>2.0000005741665802E-3</v>
      </c>
      <c r="M1945" s="1273">
        <v>2.0000005741665802E-3</v>
      </c>
      <c r="N1945" s="1255">
        <v>3.1850009128239903E-2</v>
      </c>
      <c r="O1945" s="1256">
        <v>3.1850009128239903E-2</v>
      </c>
      <c r="P1945" s="1251">
        <v>1.5925004564119952E-2</v>
      </c>
      <c r="Q1945" s="1254">
        <v>5.5921202865054399E-2</v>
      </c>
    </row>
    <row r="1946" spans="1:17" s="212" customFormat="1" ht="15.5" x14ac:dyDescent="0.35">
      <c r="A1946" s="198">
        <v>2046</v>
      </c>
      <c r="B1946" s="197" t="s">
        <v>5842</v>
      </c>
      <c r="C1946" s="197">
        <v>1996</v>
      </c>
      <c r="D1946" s="213" t="str">
        <f t="shared" si="21"/>
        <v>2046_1996</v>
      </c>
      <c r="E1946" s="1268">
        <v>0.28703152802926202</v>
      </c>
      <c r="F1946" s="1279">
        <v>2.21417675783698E-2</v>
      </c>
      <c r="G1946" s="1255">
        <v>7.1977316423751203</v>
      </c>
      <c r="H1946" s="1279">
        <v>0.31745398214521298</v>
      </c>
      <c r="I1946" s="1255">
        <v>5.3502076382964503E-2</v>
      </c>
      <c r="J1946" s="1279">
        <v>2.1706226804154398E-3</v>
      </c>
      <c r="K1946" s="1255">
        <v>3.0000008613616999E-3</v>
      </c>
      <c r="L1946" s="1253">
        <v>2.0000005741665802E-3</v>
      </c>
      <c r="M1946" s="1273">
        <v>2.0000005741665802E-3</v>
      </c>
      <c r="N1946" s="1255">
        <v>3.1850009128239903E-2</v>
      </c>
      <c r="O1946" s="1256">
        <v>3.1850009128239903E-2</v>
      </c>
      <c r="P1946" s="1251">
        <v>1.5925004564119952E-2</v>
      </c>
      <c r="Q1946" s="1254">
        <v>5.5921202865054399E-2</v>
      </c>
    </row>
    <row r="1947" spans="1:17" s="212" customFormat="1" ht="15.5" x14ac:dyDescent="0.35">
      <c r="A1947" s="198">
        <v>2046</v>
      </c>
      <c r="B1947" s="197" t="s">
        <v>5842</v>
      </c>
      <c r="C1947" s="197">
        <v>1997</v>
      </c>
      <c r="D1947" s="213" t="str">
        <f t="shared" si="21"/>
        <v>2046_1997</v>
      </c>
      <c r="E1947" s="1268">
        <v>0.28703152802926202</v>
      </c>
      <c r="F1947" s="1279">
        <v>2.21417675783698E-2</v>
      </c>
      <c r="G1947" s="1255">
        <v>7.1977316423751203</v>
      </c>
      <c r="H1947" s="1279">
        <v>0.31745398214521298</v>
      </c>
      <c r="I1947" s="1255">
        <v>5.3502076382964503E-2</v>
      </c>
      <c r="J1947" s="1279">
        <v>2.1706226804154398E-3</v>
      </c>
      <c r="K1947" s="1255">
        <v>3.0000008613616999E-3</v>
      </c>
      <c r="L1947" s="1253">
        <v>2.0000005741665802E-3</v>
      </c>
      <c r="M1947" s="1273">
        <v>2.0000005741665802E-3</v>
      </c>
      <c r="N1947" s="1255">
        <v>3.1850009128239903E-2</v>
      </c>
      <c r="O1947" s="1256">
        <v>3.1850009128239903E-2</v>
      </c>
      <c r="P1947" s="1251">
        <v>1.5925004564119952E-2</v>
      </c>
      <c r="Q1947" s="1254">
        <v>5.5921202865054399E-2</v>
      </c>
    </row>
    <row r="1948" spans="1:17" s="212" customFormat="1" ht="15.5" x14ac:dyDescent="0.35">
      <c r="A1948" s="198">
        <v>2046</v>
      </c>
      <c r="B1948" s="197" t="s">
        <v>5842</v>
      </c>
      <c r="C1948" s="197">
        <v>1998</v>
      </c>
      <c r="D1948" s="213" t="str">
        <f t="shared" si="21"/>
        <v>2046_1998</v>
      </c>
      <c r="E1948" s="1268">
        <v>0.28703152802926202</v>
      </c>
      <c r="F1948" s="1279">
        <v>2.21417675783698E-2</v>
      </c>
      <c r="G1948" s="1255">
        <v>7.1977316423751203</v>
      </c>
      <c r="H1948" s="1279">
        <v>0.31745398214521298</v>
      </c>
      <c r="I1948" s="1255">
        <v>5.3502076382964503E-2</v>
      </c>
      <c r="J1948" s="1279">
        <v>2.1706226804154398E-3</v>
      </c>
      <c r="K1948" s="1255">
        <v>3.0000008613616999E-3</v>
      </c>
      <c r="L1948" s="1253">
        <v>2.0000005741665802E-3</v>
      </c>
      <c r="M1948" s="1273">
        <v>2.0000005741665802E-3</v>
      </c>
      <c r="N1948" s="1255">
        <v>3.1850009128239903E-2</v>
      </c>
      <c r="O1948" s="1256">
        <v>3.1850009128239903E-2</v>
      </c>
      <c r="P1948" s="1251">
        <v>1.5925004564119952E-2</v>
      </c>
      <c r="Q1948" s="1254">
        <v>5.5921202865054399E-2</v>
      </c>
    </row>
    <row r="1949" spans="1:17" s="212" customFormat="1" ht="15.5" x14ac:dyDescent="0.35">
      <c r="A1949" s="198">
        <v>2046</v>
      </c>
      <c r="B1949" s="197" t="s">
        <v>5842</v>
      </c>
      <c r="C1949" s="197">
        <v>1999</v>
      </c>
      <c r="D1949" s="213" t="str">
        <f t="shared" si="21"/>
        <v>2046_1999</v>
      </c>
      <c r="E1949" s="1268">
        <v>0.28703152802926202</v>
      </c>
      <c r="F1949" s="1279">
        <v>2.21417675783698E-2</v>
      </c>
      <c r="G1949" s="1255">
        <v>7.1977316423751203</v>
      </c>
      <c r="H1949" s="1279">
        <v>0.31745398214521298</v>
      </c>
      <c r="I1949" s="1255">
        <v>5.3502076382964503E-2</v>
      </c>
      <c r="J1949" s="1279">
        <v>2.1706226804154398E-3</v>
      </c>
      <c r="K1949" s="1255">
        <v>3.0000008613616999E-3</v>
      </c>
      <c r="L1949" s="1253">
        <v>2.0000005741665802E-3</v>
      </c>
      <c r="M1949" s="1273">
        <v>2.0000005741665802E-3</v>
      </c>
      <c r="N1949" s="1255">
        <v>3.1850009128239903E-2</v>
      </c>
      <c r="O1949" s="1256">
        <v>3.1850009128239903E-2</v>
      </c>
      <c r="P1949" s="1251">
        <v>1.5925004564119952E-2</v>
      </c>
      <c r="Q1949" s="1254">
        <v>5.5921202865054399E-2</v>
      </c>
    </row>
    <row r="1950" spans="1:17" s="212" customFormat="1" ht="15.5" x14ac:dyDescent="0.35">
      <c r="A1950" s="198">
        <v>2046</v>
      </c>
      <c r="B1950" s="197" t="s">
        <v>5842</v>
      </c>
      <c r="C1950" s="197">
        <v>2000</v>
      </c>
      <c r="D1950" s="213" t="str">
        <f t="shared" si="21"/>
        <v>2046_2000</v>
      </c>
      <c r="E1950" s="1268">
        <v>0.28703152802926202</v>
      </c>
      <c r="F1950" s="1279">
        <v>2.21417675783698E-2</v>
      </c>
      <c r="G1950" s="1255">
        <v>7.1977316423751203</v>
      </c>
      <c r="H1950" s="1279">
        <v>0.31745398214521298</v>
      </c>
      <c r="I1950" s="1255">
        <v>5.3502076382964503E-2</v>
      </c>
      <c r="J1950" s="1279">
        <v>2.1706226804154398E-3</v>
      </c>
      <c r="K1950" s="1255">
        <v>3.0000008613616999E-3</v>
      </c>
      <c r="L1950" s="1253">
        <v>2.0000005741665802E-3</v>
      </c>
      <c r="M1950" s="1273">
        <v>2.0000005741665802E-3</v>
      </c>
      <c r="N1950" s="1255">
        <v>3.1850009128239903E-2</v>
      </c>
      <c r="O1950" s="1256">
        <v>3.1850009128239903E-2</v>
      </c>
      <c r="P1950" s="1251">
        <v>1.5925004564119952E-2</v>
      </c>
      <c r="Q1950" s="1254">
        <v>5.5921202865054399E-2</v>
      </c>
    </row>
    <row r="1951" spans="1:17" s="212" customFormat="1" ht="15.5" x14ac:dyDescent="0.35">
      <c r="A1951" s="198">
        <v>2046</v>
      </c>
      <c r="B1951" s="197" t="s">
        <v>5842</v>
      </c>
      <c r="C1951" s="197">
        <v>2001</v>
      </c>
      <c r="D1951" s="213" t="str">
        <f t="shared" si="21"/>
        <v>2046_2001</v>
      </c>
      <c r="E1951" s="1268">
        <v>0.28703152802926202</v>
      </c>
      <c r="F1951" s="1279">
        <v>2.21417675783698E-2</v>
      </c>
      <c r="G1951" s="1255">
        <v>7.1977316423751203</v>
      </c>
      <c r="H1951" s="1279">
        <v>0.31745398214521298</v>
      </c>
      <c r="I1951" s="1255">
        <v>5.3502076382964503E-2</v>
      </c>
      <c r="J1951" s="1279">
        <v>2.1706226804154398E-3</v>
      </c>
      <c r="K1951" s="1255">
        <v>3.0000008613616999E-3</v>
      </c>
      <c r="L1951" s="1253">
        <v>2.0000005741665802E-3</v>
      </c>
      <c r="M1951" s="1273">
        <v>2.0000005741665802E-3</v>
      </c>
      <c r="N1951" s="1255">
        <v>3.1850009128239903E-2</v>
      </c>
      <c r="O1951" s="1256">
        <v>3.1850009128239903E-2</v>
      </c>
      <c r="P1951" s="1251">
        <v>1.5925004564119952E-2</v>
      </c>
      <c r="Q1951" s="1254">
        <v>5.5921202865054399E-2</v>
      </c>
    </row>
    <row r="1952" spans="1:17" s="212" customFormat="1" ht="15.5" x14ac:dyDescent="0.35">
      <c r="A1952" s="198">
        <v>2046</v>
      </c>
      <c r="B1952" s="197" t="s">
        <v>5842</v>
      </c>
      <c r="C1952" s="197">
        <v>2002</v>
      </c>
      <c r="D1952" s="213" t="str">
        <f t="shared" si="21"/>
        <v>2046_2002</v>
      </c>
      <c r="E1952" s="1267">
        <v>0.28703152802926202</v>
      </c>
      <c r="F1952" s="1278">
        <v>2.21417675783698E-2</v>
      </c>
      <c r="G1952" s="1248">
        <v>7.1977316423751203</v>
      </c>
      <c r="H1952" s="1278">
        <v>0.31745398214521298</v>
      </c>
      <c r="I1952" s="1248">
        <v>5.3502076382964503E-2</v>
      </c>
      <c r="J1952" s="1278">
        <v>2.1706226804154398E-3</v>
      </c>
      <c r="K1952" s="1248">
        <v>3.0000008613616999E-3</v>
      </c>
      <c r="L1952" s="1250">
        <v>2.0000005741665802E-3</v>
      </c>
      <c r="M1952" s="1273">
        <v>2.0000005741665802E-3</v>
      </c>
      <c r="N1952" s="1248">
        <v>3.1850009128239903E-2</v>
      </c>
      <c r="O1952" s="1249">
        <v>3.1850009128239903E-2</v>
      </c>
      <c r="P1952" s="1251">
        <v>1.5925004564119952E-2</v>
      </c>
      <c r="Q1952" s="1252">
        <v>5.5921202865054399E-2</v>
      </c>
    </row>
    <row r="1953" spans="1:17" s="212" customFormat="1" ht="15.5" x14ac:dyDescent="0.35">
      <c r="A1953" s="198">
        <v>2046</v>
      </c>
      <c r="B1953" s="197" t="s">
        <v>5842</v>
      </c>
      <c r="C1953" s="197">
        <v>2003</v>
      </c>
      <c r="D1953" s="213" t="str">
        <f t="shared" si="21"/>
        <v>2046_2003</v>
      </c>
      <c r="E1953" s="1267">
        <v>0.28451452143745998</v>
      </c>
      <c r="F1953" s="1278">
        <v>2.1828017038240499E-2</v>
      </c>
      <c r="G1953" s="1248">
        <v>7.2411888486568703</v>
      </c>
      <c r="H1953" s="1278">
        <v>0.31673215413116601</v>
      </c>
      <c r="I1953" s="1248">
        <v>5.3032911619582498E-2</v>
      </c>
      <c r="J1953" s="1278">
        <v>2.1388387286494898E-3</v>
      </c>
      <c r="K1953" s="1248">
        <v>3.0000008612868401E-3</v>
      </c>
      <c r="L1953" s="1250">
        <v>2.0000005741521898E-3</v>
      </c>
      <c r="M1953" s="1273">
        <v>2.0000005741521898E-3</v>
      </c>
      <c r="N1953" s="1248">
        <v>3.1850009128239903E-2</v>
      </c>
      <c r="O1953" s="1249">
        <v>3.1850009128239903E-2</v>
      </c>
      <c r="P1953" s="1251">
        <v>1.5925004564119952E-2</v>
      </c>
      <c r="Q1953" s="1252">
        <v>5.5430824552960098E-2</v>
      </c>
    </row>
    <row r="1954" spans="1:17" s="212" customFormat="1" ht="15.5" x14ac:dyDescent="0.35">
      <c r="A1954" s="198">
        <v>2046</v>
      </c>
      <c r="B1954" s="197" t="s">
        <v>5842</v>
      </c>
      <c r="C1954" s="197">
        <v>2004</v>
      </c>
      <c r="D1954" s="213" t="str">
        <f t="shared" si="21"/>
        <v>2046_2004</v>
      </c>
      <c r="E1954" s="1267">
        <v>0.57592468144434295</v>
      </c>
      <c r="F1954" s="1278">
        <v>1.42866157276881E-2</v>
      </c>
      <c r="G1954" s="1248">
        <v>4.1419532780623598</v>
      </c>
      <c r="H1954" s="1278">
        <v>0.26782319452792203</v>
      </c>
      <c r="I1954" s="1248">
        <v>0.15003294304794201</v>
      </c>
      <c r="J1954" s="1278">
        <v>1.3904568205943299E-4</v>
      </c>
      <c r="K1954" s="1248">
        <v>3.0000008612808002E-3</v>
      </c>
      <c r="L1954" s="1250">
        <v>2.00000057408673E-3</v>
      </c>
      <c r="M1954" s="1273">
        <v>2.00000057408673E-3</v>
      </c>
      <c r="N1954" s="1248">
        <v>3.1850009128239903E-2</v>
      </c>
      <c r="O1954" s="1249">
        <v>3.1850009128239903E-2</v>
      </c>
      <c r="P1954" s="1251">
        <v>1.5925004564119952E-2</v>
      </c>
      <c r="Q1954" s="1252">
        <v>0.156816766971245</v>
      </c>
    </row>
    <row r="1955" spans="1:17" s="212" customFormat="1" ht="15.5" x14ac:dyDescent="0.35">
      <c r="A1955" s="198">
        <v>2046</v>
      </c>
      <c r="B1955" s="197" t="s">
        <v>5842</v>
      </c>
      <c r="C1955" s="197">
        <v>2005</v>
      </c>
      <c r="D1955" s="213" t="str">
        <f t="shared" si="21"/>
        <v>2046_2005</v>
      </c>
      <c r="E1955" s="1267">
        <v>0.57365223799104104</v>
      </c>
      <c r="F1955" s="1278">
        <v>1.4429079054622099E-2</v>
      </c>
      <c r="G1955" s="1248">
        <v>4.13469687381152</v>
      </c>
      <c r="H1955" s="1278">
        <v>0.26986101501464899</v>
      </c>
      <c r="I1955" s="1248">
        <v>0.14953517184866699</v>
      </c>
      <c r="J1955" s="1278">
        <v>1.40989674139752E-4</v>
      </c>
      <c r="K1955" s="1248">
        <v>3.0000008612576798E-3</v>
      </c>
      <c r="L1955" s="1250">
        <v>2.00000057412507E-3</v>
      </c>
      <c r="M1955" s="1273">
        <v>2.00000057412507E-3</v>
      </c>
      <c r="N1955" s="1248">
        <v>3.1850009128239903E-2</v>
      </c>
      <c r="O1955" s="1249">
        <v>3.1850009128239903E-2</v>
      </c>
      <c r="P1955" s="1251">
        <v>1.5925004564119952E-2</v>
      </c>
      <c r="Q1955" s="1252">
        <v>0.15629648876716701</v>
      </c>
    </row>
    <row r="1956" spans="1:17" s="212" customFormat="1" ht="15.5" x14ac:dyDescent="0.35">
      <c r="A1956" s="198">
        <v>2046</v>
      </c>
      <c r="B1956" s="197" t="s">
        <v>5842</v>
      </c>
      <c r="C1956" s="197">
        <v>2006</v>
      </c>
      <c r="D1956" s="213" t="str">
        <f t="shared" si="21"/>
        <v>2046_2006</v>
      </c>
      <c r="E1956" s="1267">
        <v>0.56993177724667299</v>
      </c>
      <c r="F1956" s="1278">
        <v>1.4593439006617699E-2</v>
      </c>
      <c r="G1956" s="1248">
        <v>4.1218595038035497</v>
      </c>
      <c r="H1956" s="1278">
        <v>0.27192316381279202</v>
      </c>
      <c r="I1956" s="1248">
        <v>0.14869658812122899</v>
      </c>
      <c r="J1956" s="1278">
        <v>1.41995949208243E-4</v>
      </c>
      <c r="K1956" s="1248">
        <v>3.0000008612443901E-3</v>
      </c>
      <c r="L1956" s="1250">
        <v>2.0000005741404401E-3</v>
      </c>
      <c r="M1956" s="1273">
        <v>2.0000005741404401E-3</v>
      </c>
      <c r="N1956" s="1248">
        <v>3.1850009128239903E-2</v>
      </c>
      <c r="O1956" s="1249">
        <v>3.1850009128239903E-2</v>
      </c>
      <c r="P1956" s="1251">
        <v>1.5925004564119952E-2</v>
      </c>
      <c r="Q1956" s="1252">
        <v>0.155419988004733</v>
      </c>
    </row>
    <row r="1957" spans="1:17" s="212" customFormat="1" ht="15.5" x14ac:dyDescent="0.35">
      <c r="A1957" s="198">
        <v>2046</v>
      </c>
      <c r="B1957" s="197" t="s">
        <v>5842</v>
      </c>
      <c r="C1957" s="197">
        <v>2007</v>
      </c>
      <c r="D1957" s="213" t="str">
        <f t="shared" si="21"/>
        <v>2046_2007</v>
      </c>
      <c r="E1957" s="1267">
        <v>0.33249630677582098</v>
      </c>
      <c r="F1957" s="1278">
        <v>1.45300148873011E-2</v>
      </c>
      <c r="G1957" s="1248">
        <v>2.4809729743480502</v>
      </c>
      <c r="H1957" s="1278">
        <v>0.27274288067187202</v>
      </c>
      <c r="I1957" s="1248">
        <v>8.7326299659103102E-2</v>
      </c>
      <c r="J1957" s="1278">
        <v>1.45028121356575E-4</v>
      </c>
      <c r="K1957" s="1248">
        <v>3.0000008612474198E-3</v>
      </c>
      <c r="L1957" s="1250">
        <v>2.0000005741937299E-3</v>
      </c>
      <c r="M1957" s="1273">
        <v>2.0000005741937299E-3</v>
      </c>
      <c r="N1957" s="1248">
        <v>3.1850009128239903E-2</v>
      </c>
      <c r="O1957" s="1249">
        <v>3.1850009128239903E-2</v>
      </c>
      <c r="P1957" s="1251">
        <v>1.5925004564119952E-2</v>
      </c>
      <c r="Q1957" s="1252">
        <v>9.1274807424972099E-2</v>
      </c>
    </row>
    <row r="1958" spans="1:17" s="212" customFormat="1" ht="15.5" x14ac:dyDescent="0.35">
      <c r="A1958" s="198">
        <v>2046</v>
      </c>
      <c r="B1958" s="197" t="s">
        <v>5842</v>
      </c>
      <c r="C1958" s="197">
        <v>2008</v>
      </c>
      <c r="D1958" s="213" t="str">
        <f t="shared" si="21"/>
        <v>2046_2008</v>
      </c>
      <c r="E1958" s="1267">
        <v>0.34005763555275798</v>
      </c>
      <c r="F1958" s="1278">
        <v>9.8786429227294397E-3</v>
      </c>
      <c r="G1958" s="1248">
        <v>2.50544213572591</v>
      </c>
      <c r="H1958" s="1278">
        <v>0.15843462407955</v>
      </c>
      <c r="I1958" s="1248">
        <v>8.8913642240663504E-2</v>
      </c>
      <c r="J1958" s="1278">
        <v>1.4127776867996401E-4</v>
      </c>
      <c r="K1958" s="1248">
        <v>3.0000008613353898E-3</v>
      </c>
      <c r="L1958" s="1250">
        <v>2.0000005742196601E-3</v>
      </c>
      <c r="M1958" s="1273">
        <v>2.0000005742196601E-3</v>
      </c>
      <c r="N1958" s="1248">
        <v>3.1850009128239903E-2</v>
      </c>
      <c r="O1958" s="1249">
        <v>3.1850009128239903E-2</v>
      </c>
      <c r="P1958" s="1251">
        <v>1.5925004564119952E-2</v>
      </c>
      <c r="Q1958" s="1252">
        <v>9.29339225943423E-2</v>
      </c>
    </row>
    <row r="1959" spans="1:17" s="212" customFormat="1" ht="15.5" x14ac:dyDescent="0.35">
      <c r="A1959" s="198">
        <v>2046</v>
      </c>
      <c r="B1959" s="197" t="s">
        <v>5842</v>
      </c>
      <c r="C1959" s="197">
        <v>2009</v>
      </c>
      <c r="D1959" s="213" t="str">
        <f t="shared" si="21"/>
        <v>2046_2009</v>
      </c>
      <c r="E1959" s="1267">
        <v>0.33846598311641402</v>
      </c>
      <c r="F1959" s="1278">
        <v>4.8015966518952001E-3</v>
      </c>
      <c r="G1959" s="1248">
        <v>2.5002763188021202</v>
      </c>
      <c r="H1959" s="1278">
        <v>4.2921552719277001E-2</v>
      </c>
      <c r="I1959" s="1248">
        <v>8.8563414665228796E-2</v>
      </c>
      <c r="J1959" s="1278">
        <v>1.29841492099408E-4</v>
      </c>
      <c r="K1959" s="1248">
        <v>3.0000008612951698E-3</v>
      </c>
      <c r="L1959" s="1250">
        <v>2.0000005741632599E-3</v>
      </c>
      <c r="M1959" s="1273">
        <v>2.0000005741632599E-3</v>
      </c>
      <c r="N1959" s="1248">
        <v>3.1850009128239903E-2</v>
      </c>
      <c r="O1959" s="1249">
        <v>3.1850009128239903E-2</v>
      </c>
      <c r="P1959" s="1251">
        <v>1.5925004564119952E-2</v>
      </c>
      <c r="Q1959" s="1252">
        <v>9.2567859282058296E-2</v>
      </c>
    </row>
    <row r="1960" spans="1:17" s="212" customFormat="1" ht="15.5" x14ac:dyDescent="0.35">
      <c r="A1960" s="198">
        <v>2046</v>
      </c>
      <c r="B1960" s="197" t="s">
        <v>5842</v>
      </c>
      <c r="C1960" s="197">
        <v>2010</v>
      </c>
      <c r="D1960" s="213" t="str">
        <f t="shared" si="21"/>
        <v>2046_2010</v>
      </c>
      <c r="E1960" s="1267">
        <v>9.0276369185052996E-2</v>
      </c>
      <c r="F1960" s="1278">
        <v>4.8062104863596296E-3</v>
      </c>
      <c r="G1960" s="1248">
        <v>0.82442112947310298</v>
      </c>
      <c r="H1960" s="1278">
        <v>4.3253829806954601E-2</v>
      </c>
      <c r="I1960" s="1248">
        <v>2.4795750565458598E-2</v>
      </c>
      <c r="J1960" s="1278">
        <v>1.58476701391337E-4</v>
      </c>
      <c r="K1960" s="1248">
        <v>3.0000008613408099E-3</v>
      </c>
      <c r="L1960" s="1250">
        <v>2.0000005741405199E-3</v>
      </c>
      <c r="M1960" s="1273">
        <v>2.0000005741405199E-3</v>
      </c>
      <c r="N1960" s="1248">
        <v>3.1850009128239903E-2</v>
      </c>
      <c r="O1960" s="1249">
        <v>3.1850009128239903E-2</v>
      </c>
      <c r="P1960" s="1251">
        <v>1.5925004564119952E-2</v>
      </c>
      <c r="Q1960" s="1252">
        <v>2.5916904376515101E-2</v>
      </c>
    </row>
    <row r="1961" spans="1:17" s="212" customFormat="1" ht="15.5" x14ac:dyDescent="0.35">
      <c r="A1961" s="198">
        <v>2046</v>
      </c>
      <c r="B1961" s="197" t="s">
        <v>5842</v>
      </c>
      <c r="C1961" s="197">
        <v>2011</v>
      </c>
      <c r="D1961" s="213" t="str">
        <f t="shared" ref="D1961:D2056" si="22">CONCATENATE(A1961,"_",C1961)</f>
        <v>2046_2011</v>
      </c>
      <c r="E1961" s="1267">
        <v>8.9447811987720699E-2</v>
      </c>
      <c r="F1961" s="1278">
        <v>5.00583934075019E-3</v>
      </c>
      <c r="G1961" s="1248">
        <v>0.82109260093046899</v>
      </c>
      <c r="H1961" s="1278">
        <v>4.3181057236803502E-2</v>
      </c>
      <c r="I1961" s="1248">
        <v>2.46425512488666E-2</v>
      </c>
      <c r="J1961" s="1278">
        <v>2.1684825728765199E-4</v>
      </c>
      <c r="K1961" s="1248">
        <v>3.00000086131236E-3</v>
      </c>
      <c r="L1961" s="1250">
        <v>2.00000057424041E-3</v>
      </c>
      <c r="M1961" s="1273">
        <v>2.00000057424041E-3</v>
      </c>
      <c r="N1961" s="1248">
        <v>3.1850009128239903E-2</v>
      </c>
      <c r="O1961" s="1249">
        <v>3.1850009128239903E-2</v>
      </c>
      <c r="P1961" s="1251">
        <v>1.5925004564119952E-2</v>
      </c>
      <c r="Q1961" s="1252">
        <v>2.5756778066638699E-2</v>
      </c>
    </row>
    <row r="1962" spans="1:17" s="212" customFormat="1" ht="15.5" x14ac:dyDescent="0.35">
      <c r="A1962" s="198">
        <v>2046</v>
      </c>
      <c r="B1962" s="197" t="s">
        <v>5842</v>
      </c>
      <c r="C1962" s="197">
        <v>2012</v>
      </c>
      <c r="D1962" s="213" t="str">
        <f t="shared" si="22"/>
        <v>2046_2012</v>
      </c>
      <c r="E1962" s="1267">
        <v>9.0192753771176706E-2</v>
      </c>
      <c r="F1962" s="1278">
        <v>4.99655594565285E-3</v>
      </c>
      <c r="G1962" s="1248">
        <v>0.82425884983681197</v>
      </c>
      <c r="H1962" s="1278">
        <v>4.3250722308441798E-2</v>
      </c>
      <c r="I1962" s="1248">
        <v>2.47831560592E-2</v>
      </c>
      <c r="J1962" s="1278">
        <v>3.1655473543279499E-4</v>
      </c>
      <c r="K1962" s="1248">
        <v>3.00000086137004E-3</v>
      </c>
      <c r="L1962" s="1250">
        <v>2.0000005742486998E-3</v>
      </c>
      <c r="M1962" s="1273">
        <v>2.0000005742486998E-3</v>
      </c>
      <c r="N1962" s="1248">
        <v>3.1850009128239903E-2</v>
      </c>
      <c r="O1962" s="1249">
        <v>3.1850009128239903E-2</v>
      </c>
      <c r="P1962" s="1251">
        <v>1.5925004564119952E-2</v>
      </c>
      <c r="Q1962" s="1252">
        <v>2.5903740402570801E-2</v>
      </c>
    </row>
    <row r="1963" spans="1:17" s="212" customFormat="1" ht="15.5" x14ac:dyDescent="0.35">
      <c r="A1963" s="198">
        <v>2046</v>
      </c>
      <c r="B1963" s="197" t="s">
        <v>5842</v>
      </c>
      <c r="C1963" s="197">
        <v>2013</v>
      </c>
      <c r="D1963" s="213" t="str">
        <f t="shared" si="22"/>
        <v>2046_2013</v>
      </c>
      <c r="E1963" s="1267">
        <v>9.0147830267654105E-2</v>
      </c>
      <c r="F1963" s="1278">
        <v>5.0594090904916202E-3</v>
      </c>
      <c r="G1963" s="1248">
        <v>0.82324062385940799</v>
      </c>
      <c r="H1963" s="1278">
        <v>4.3087643693363202E-2</v>
      </c>
      <c r="I1963" s="1248">
        <v>2.4765188842600799E-2</v>
      </c>
      <c r="J1963" s="1278">
        <v>4.7510787787115701E-4</v>
      </c>
      <c r="K1963" s="1248">
        <v>3.0000008613936401E-3</v>
      </c>
      <c r="L1963" s="1250">
        <v>2.0000005742844E-3</v>
      </c>
      <c r="M1963" s="1273">
        <v>2.0000005742844E-3</v>
      </c>
      <c r="N1963" s="1248">
        <v>3.1850009128239903E-2</v>
      </c>
      <c r="O1963" s="1249">
        <v>3.1850009128239903E-2</v>
      </c>
      <c r="P1963" s="1251">
        <v>1.5925004564119952E-2</v>
      </c>
      <c r="Q1963" s="1252">
        <v>2.5884960788165299E-2</v>
      </c>
    </row>
    <row r="1964" spans="1:17" s="212" customFormat="1" ht="15.5" x14ac:dyDescent="0.35">
      <c r="A1964" s="198">
        <v>2046</v>
      </c>
      <c r="B1964" s="197" t="s">
        <v>5842</v>
      </c>
      <c r="C1964" s="197">
        <v>2014</v>
      </c>
      <c r="D1964" s="213" t="str">
        <f t="shared" si="22"/>
        <v>2046_2014</v>
      </c>
      <c r="E1964" s="1267">
        <v>8.9161841321648894E-2</v>
      </c>
      <c r="F1964" s="1278">
        <v>4.9621282159862798E-3</v>
      </c>
      <c r="G1964" s="1248">
        <v>0.81942636135578695</v>
      </c>
      <c r="H1964" s="1278">
        <v>4.3362176824101997E-2</v>
      </c>
      <c r="I1964" s="1248">
        <v>2.4584456294034801E-2</v>
      </c>
      <c r="J1964" s="1278">
        <v>6.59688479532542E-4</v>
      </c>
      <c r="K1964" s="1248">
        <v>3.00000086132965E-3</v>
      </c>
      <c r="L1964" s="1250">
        <v>2.00000057423924E-3</v>
      </c>
      <c r="M1964" s="1273">
        <v>2.00000057423924E-3</v>
      </c>
      <c r="N1964" s="1248">
        <v>3.1850009128239903E-2</v>
      </c>
      <c r="O1964" s="1249">
        <v>3.1850009128239903E-2</v>
      </c>
      <c r="P1964" s="1251">
        <v>1.5925004564119952E-2</v>
      </c>
      <c r="Q1964" s="1252">
        <v>2.5696056315742E-2</v>
      </c>
    </row>
    <row r="1965" spans="1:17" s="212" customFormat="1" ht="15.5" x14ac:dyDescent="0.35">
      <c r="A1965" s="198">
        <v>2046</v>
      </c>
      <c r="B1965" s="197" t="s">
        <v>5842</v>
      </c>
      <c r="C1965" s="197">
        <v>2015</v>
      </c>
      <c r="D1965" s="213" t="str">
        <f t="shared" si="22"/>
        <v>2046_2015</v>
      </c>
      <c r="E1965" s="1267">
        <v>8.9436376118042699E-2</v>
      </c>
      <c r="F1965" s="1278">
        <v>5.1056871667956097E-3</v>
      </c>
      <c r="G1965" s="1248">
        <v>0.82078503470130704</v>
      </c>
      <c r="H1965" s="1278">
        <v>4.3146376184741403E-2</v>
      </c>
      <c r="I1965" s="1248">
        <v>2.46381512030578E-2</v>
      </c>
      <c r="J1965" s="1278">
        <v>8.34988429519938E-4</v>
      </c>
      <c r="K1965" s="1248">
        <v>3.0000008613394499E-3</v>
      </c>
      <c r="L1965" s="1250">
        <v>2.0000005742749401E-3</v>
      </c>
      <c r="M1965" s="1273">
        <v>2.0000005742749401E-3</v>
      </c>
      <c r="N1965" s="1248">
        <v>3.1850009128239903E-2</v>
      </c>
      <c r="O1965" s="1249">
        <v>3.1850009128239903E-2</v>
      </c>
      <c r="P1965" s="1251">
        <v>1.5925004564119952E-2</v>
      </c>
      <c r="Q1965" s="1252">
        <v>2.57521790702833E-2</v>
      </c>
    </row>
    <row r="1966" spans="1:17" s="212" customFormat="1" ht="15.5" x14ac:dyDescent="0.35">
      <c r="A1966" s="198">
        <v>2046</v>
      </c>
      <c r="B1966" s="197" t="s">
        <v>5842</v>
      </c>
      <c r="C1966" s="197">
        <v>2016</v>
      </c>
      <c r="D1966" s="213" t="str">
        <f t="shared" si="22"/>
        <v>2046_2016</v>
      </c>
      <c r="E1966" s="1267">
        <v>8.9619906408907102E-2</v>
      </c>
      <c r="F1966" s="1278">
        <v>4.7335598385054196E-3</v>
      </c>
      <c r="G1966" s="1248">
        <v>0.72634793023113398</v>
      </c>
      <c r="H1966" s="1278">
        <v>4.0594114162109299E-2</v>
      </c>
      <c r="I1966" s="1248">
        <v>2.4676108186827601E-2</v>
      </c>
      <c r="J1966" s="1278">
        <v>9.6074096921435598E-4</v>
      </c>
      <c r="K1966" s="1248">
        <v>3.0000008613540398E-3</v>
      </c>
      <c r="L1966" s="1250">
        <v>2.0000005742563699E-3</v>
      </c>
      <c r="M1966" s="1273">
        <v>2.0000005742563699E-3</v>
      </c>
      <c r="N1966" s="1248">
        <v>3.1850009128239903E-2</v>
      </c>
      <c r="O1966" s="1249">
        <v>3.1850009128239903E-2</v>
      </c>
      <c r="P1966" s="1251">
        <v>1.5925004564119952E-2</v>
      </c>
      <c r="Q1966" s="1252">
        <v>2.57918523004276E-2</v>
      </c>
    </row>
    <row r="1967" spans="1:17" s="212" customFormat="1" ht="15.5" x14ac:dyDescent="0.35">
      <c r="A1967" s="198">
        <v>2046</v>
      </c>
      <c r="B1967" s="197" t="s">
        <v>5842</v>
      </c>
      <c r="C1967" s="197">
        <v>2017</v>
      </c>
      <c r="D1967" s="213" t="str">
        <f t="shared" si="22"/>
        <v>2046_2017</v>
      </c>
      <c r="E1967" s="1267">
        <v>8.8617018357773594E-2</v>
      </c>
      <c r="F1967" s="1278">
        <v>4.5002849300142898E-3</v>
      </c>
      <c r="G1967" s="1248">
        <v>0.62756045077114098</v>
      </c>
      <c r="H1967" s="1278">
        <v>3.7941011988355602E-2</v>
      </c>
      <c r="I1967" s="1248">
        <v>2.4484837164871699E-2</v>
      </c>
      <c r="J1967" s="1278">
        <v>1.03582878766344E-3</v>
      </c>
      <c r="K1967" s="1248">
        <v>3.0000008613002898E-3</v>
      </c>
      <c r="L1967" s="1250">
        <v>2.0000005743071002E-3</v>
      </c>
      <c r="M1967" s="1273">
        <v>2.0000005743071002E-3</v>
      </c>
      <c r="N1967" s="1248">
        <v>3.1850009128239903E-2</v>
      </c>
      <c r="O1967" s="1249">
        <v>3.1850009128239903E-2</v>
      </c>
      <c r="P1967" s="1251">
        <v>1.5925004564119952E-2</v>
      </c>
      <c r="Q1967" s="1252">
        <v>2.5591932851611501E-2</v>
      </c>
    </row>
    <row r="1968" spans="1:17" s="212" customFormat="1" ht="15.5" x14ac:dyDescent="0.35">
      <c r="A1968" s="198">
        <v>2046</v>
      </c>
      <c r="B1968" s="197" t="s">
        <v>5842</v>
      </c>
      <c r="C1968" s="197">
        <v>2018</v>
      </c>
      <c r="D1968" s="213" t="str">
        <f t="shared" si="22"/>
        <v>2046_2018</v>
      </c>
      <c r="E1968" s="1267">
        <v>8.9585810850932202E-2</v>
      </c>
      <c r="F1968" s="1278">
        <v>3.9997551992513296E-3</v>
      </c>
      <c r="G1968" s="1248">
        <v>0.52251172992543404</v>
      </c>
      <c r="H1968" s="1278">
        <v>3.4202155409989998E-2</v>
      </c>
      <c r="I1968" s="1248">
        <v>2.46731812111965E-2</v>
      </c>
      <c r="J1968" s="1278">
        <v>1.0774170712930099E-3</v>
      </c>
      <c r="K1968" s="1248">
        <v>3.0000008613599201E-3</v>
      </c>
      <c r="L1968" s="1250">
        <v>2.0000005742593701E-3</v>
      </c>
      <c r="M1968" s="1273">
        <v>2.0000005742593701E-3</v>
      </c>
      <c r="N1968" s="1248">
        <v>3.1850009128239903E-2</v>
      </c>
      <c r="O1968" s="1249">
        <v>3.1850009128239903E-2</v>
      </c>
      <c r="P1968" s="1251">
        <v>1.5925004564119952E-2</v>
      </c>
      <c r="Q1968" s="1252">
        <v>2.5788792979946702E-2</v>
      </c>
    </row>
    <row r="1969" spans="1:17" s="212" customFormat="1" ht="15.5" x14ac:dyDescent="0.35">
      <c r="A1969" s="198">
        <v>2046</v>
      </c>
      <c r="B1969" s="197" t="s">
        <v>5842</v>
      </c>
      <c r="C1969" s="197">
        <v>2019</v>
      </c>
      <c r="D1969" s="213" t="str">
        <f t="shared" si="22"/>
        <v>2046_2019</v>
      </c>
      <c r="E1969" s="1267">
        <v>8.9903868364291997E-2</v>
      </c>
      <c r="F1969" s="1278">
        <v>3.47741639301072E-3</v>
      </c>
      <c r="G1969" s="1248">
        <v>0.45418370974867101</v>
      </c>
      <c r="H1969" s="1278">
        <v>3.0322149215782499E-2</v>
      </c>
      <c r="I1969" s="1248">
        <v>2.4733668449897099E-2</v>
      </c>
      <c r="J1969" s="1278">
        <v>1.0997207646143399E-3</v>
      </c>
      <c r="K1969" s="1248">
        <v>3.0000008614089499E-3</v>
      </c>
      <c r="L1969" s="1250">
        <v>2.0000005742145202E-3</v>
      </c>
      <c r="M1969" s="1273">
        <v>2.0000005742145202E-3</v>
      </c>
      <c r="N1969" s="1248">
        <v>3.1850009128239903E-2</v>
      </c>
      <c r="O1969" s="1249">
        <v>3.1850009128239903E-2</v>
      </c>
      <c r="P1969" s="1251">
        <v>1.5925004564119952E-2</v>
      </c>
      <c r="Q1969" s="1252">
        <v>2.5852015183173201E-2</v>
      </c>
    </row>
    <row r="1970" spans="1:17" s="212" customFormat="1" ht="15.5" x14ac:dyDescent="0.35">
      <c r="A1970" s="198">
        <v>2046</v>
      </c>
      <c r="B1970" s="197" t="s">
        <v>5842</v>
      </c>
      <c r="C1970" s="197">
        <v>2020</v>
      </c>
      <c r="D1970" s="213" t="str">
        <f t="shared" si="22"/>
        <v>2046_2020</v>
      </c>
      <c r="E1970" s="1267">
        <v>7.9071329785311395E-2</v>
      </c>
      <c r="F1970" s="1278">
        <v>2.84589615941464E-3</v>
      </c>
      <c r="G1970" s="1248">
        <v>0.35992345269772702</v>
      </c>
      <c r="H1970" s="1278">
        <v>2.6687118237124101E-2</v>
      </c>
      <c r="I1970" s="1248">
        <v>2.2622683944256199E-2</v>
      </c>
      <c r="J1970" s="1278">
        <v>1.08643447003444E-3</v>
      </c>
      <c r="K1970" s="1248">
        <v>3.0000008609812599E-3</v>
      </c>
      <c r="L1970" s="1250">
        <v>2.00000057408467E-3</v>
      </c>
      <c r="M1970" s="1273">
        <v>2.00000057408467E-3</v>
      </c>
      <c r="N1970" s="1248">
        <v>3.1850009128239903E-2</v>
      </c>
      <c r="O1970" s="1249">
        <v>3.1850009128239903E-2</v>
      </c>
      <c r="P1970" s="1251">
        <v>1.5925004564119952E-2</v>
      </c>
      <c r="Q1970" s="1252">
        <v>2.36455813255422E-2</v>
      </c>
    </row>
    <row r="1971" spans="1:17" s="212" customFormat="1" ht="15.5" x14ac:dyDescent="0.35">
      <c r="A1971" s="198">
        <v>2046</v>
      </c>
      <c r="B1971" s="197" t="s">
        <v>5842</v>
      </c>
      <c r="C1971" s="197">
        <v>2021</v>
      </c>
      <c r="D1971" s="213" t="str">
        <f t="shared" si="22"/>
        <v>2046_2021</v>
      </c>
      <c r="E1971" s="1267">
        <v>7.9107146867175696E-2</v>
      </c>
      <c r="F1971" s="1278">
        <v>2.43027318744765E-3</v>
      </c>
      <c r="G1971" s="1248">
        <v>0.29519496044435301</v>
      </c>
      <c r="H1971" s="1278">
        <v>2.2773389483053599E-2</v>
      </c>
      <c r="I1971" s="1248">
        <v>2.26298882280201E-2</v>
      </c>
      <c r="J1971" s="1278">
        <v>1.08660344841918E-3</v>
      </c>
      <c r="K1971" s="1248">
        <v>3.0000008609835501E-3</v>
      </c>
      <c r="L1971" s="1250">
        <v>2.00000057408639E-3</v>
      </c>
      <c r="M1971" s="1273">
        <v>2.00000057408639E-3</v>
      </c>
      <c r="N1971" s="1248">
        <v>3.1850009128239903E-2</v>
      </c>
      <c r="O1971" s="1249">
        <v>3.1850009128239903E-2</v>
      </c>
      <c r="P1971" s="1251">
        <v>1.5925004564119952E-2</v>
      </c>
      <c r="Q1971" s="1252">
        <v>2.3653111355049401E-2</v>
      </c>
    </row>
    <row r="1972" spans="1:17" s="212" customFormat="1" ht="15.5" x14ac:dyDescent="0.35">
      <c r="A1972" s="198">
        <v>2046</v>
      </c>
      <c r="B1972" s="197" t="s">
        <v>5842</v>
      </c>
      <c r="C1972" s="197">
        <v>2022</v>
      </c>
      <c r="D1972" s="213" t="str">
        <f t="shared" si="22"/>
        <v>2046_2022</v>
      </c>
      <c r="E1972" s="1267">
        <v>7.9141595037310303E-2</v>
      </c>
      <c r="F1972" s="1278">
        <v>2.0143820662062899E-3</v>
      </c>
      <c r="G1972" s="1248">
        <v>0.22911296167904099</v>
      </c>
      <c r="H1972" s="1278">
        <v>1.88632739888543E-2</v>
      </c>
      <c r="I1972" s="1248">
        <v>2.2636811686699201E-2</v>
      </c>
      <c r="J1972" s="1278">
        <v>1.08676494824497E-3</v>
      </c>
      <c r="K1972" s="1248">
        <v>3.0000008609857502E-3</v>
      </c>
      <c r="L1972" s="1250">
        <v>2.0000005740880402E-3</v>
      </c>
      <c r="M1972" s="1273">
        <v>2.0000005740880402E-3</v>
      </c>
      <c r="N1972" s="1248">
        <v>3.1850009128239903E-2</v>
      </c>
      <c r="O1972" s="1249">
        <v>3.1850009128239903E-2</v>
      </c>
      <c r="P1972" s="1251">
        <v>1.5925004564119952E-2</v>
      </c>
      <c r="Q1972" s="1252">
        <v>2.3660347861807599E-2</v>
      </c>
    </row>
    <row r="1973" spans="1:17" s="212" customFormat="1" ht="15.5" x14ac:dyDescent="0.35">
      <c r="A1973" s="198">
        <v>2046</v>
      </c>
      <c r="B1973" s="197" t="s">
        <v>5842</v>
      </c>
      <c r="C1973" s="197">
        <v>2023</v>
      </c>
      <c r="D1973" s="213" t="str">
        <f t="shared" si="22"/>
        <v>2046_2023</v>
      </c>
      <c r="E1973" s="1267">
        <v>7.9111228063383998E-2</v>
      </c>
      <c r="F1973" s="1278">
        <v>2.0155633216015299E-3</v>
      </c>
      <c r="G1973" s="1248">
        <v>0.22884254107375601</v>
      </c>
      <c r="H1973" s="1278">
        <v>1.8850523551187E-2</v>
      </c>
      <c r="I1973" s="1248">
        <v>2.2594635650848099E-2</v>
      </c>
      <c r="J1973" s="1278">
        <v>1.08691784851482E-3</v>
      </c>
      <c r="K1973" s="1248">
        <v>3.00000086098788E-3</v>
      </c>
      <c r="L1973" s="1250">
        <v>2.00000057408964E-3</v>
      </c>
      <c r="M1973" s="1273">
        <v>2.00000057408964E-3</v>
      </c>
      <c r="N1973" s="1248">
        <v>3.1850009128239903E-2</v>
      </c>
      <c r="O1973" s="1249">
        <v>3.1850009128239903E-2</v>
      </c>
      <c r="P1973" s="1251">
        <v>1.5925004564119952E-2</v>
      </c>
      <c r="Q1973" s="1252">
        <v>2.3616264812768701E-2</v>
      </c>
    </row>
    <row r="1974" spans="1:17" s="212" customFormat="1" ht="15.5" x14ac:dyDescent="0.35">
      <c r="A1974" s="198">
        <v>2046</v>
      </c>
      <c r="B1974" s="197" t="s">
        <v>5842</v>
      </c>
      <c r="C1974" s="197">
        <v>2024</v>
      </c>
      <c r="D1974" s="213" t="str">
        <f t="shared" si="22"/>
        <v>2046_2024</v>
      </c>
      <c r="E1974" s="1267">
        <v>7.9001430195141401E-2</v>
      </c>
      <c r="F1974" s="1278">
        <v>2.0158779168782501E-3</v>
      </c>
      <c r="G1974" s="1248">
        <v>0.228178129737372</v>
      </c>
      <c r="H1974" s="1278">
        <v>1.8815715848473E-2</v>
      </c>
      <c r="I1974" s="1248">
        <v>2.2492495334541701E-2</v>
      </c>
      <c r="J1974" s="1278">
        <v>1.0870611632752701E-3</v>
      </c>
      <c r="K1974" s="1248">
        <v>3.00000086098992E-3</v>
      </c>
      <c r="L1974" s="1250">
        <v>2.0000005740911601E-3</v>
      </c>
      <c r="M1974" s="1275">
        <v>2.0000005740196001E-3</v>
      </c>
      <c r="N1974" s="1248">
        <v>3.1850009128239903E-2</v>
      </c>
      <c r="O1974" s="1249">
        <v>3.1850009128239903E-2</v>
      </c>
      <c r="P1974" s="1260">
        <v>1.59250045641199E-2</v>
      </c>
      <c r="Q1974" s="1252">
        <v>2.3509506164599799E-2</v>
      </c>
    </row>
    <row r="1975" spans="1:17" s="212" customFormat="1" ht="15.5" x14ac:dyDescent="0.35">
      <c r="A1975" s="198">
        <v>2046</v>
      </c>
      <c r="B1975" s="197" t="s">
        <v>5842</v>
      </c>
      <c r="C1975" s="197">
        <v>2025</v>
      </c>
      <c r="D1975" s="213" t="str">
        <f t="shared" si="22"/>
        <v>2046_2025</v>
      </c>
      <c r="E1975" s="1267">
        <v>7.8811519949239905E-2</v>
      </c>
      <c r="F1975" s="1278">
        <v>2.0139517072329301E-3</v>
      </c>
      <c r="G1975" s="1248">
        <v>0.227118624310051</v>
      </c>
      <c r="H1975" s="1278">
        <v>1.87448016386061E-2</v>
      </c>
      <c r="I1975" s="1248">
        <v>2.2330227643995299E-2</v>
      </c>
      <c r="J1975" s="1278">
        <v>1.0871921853849601E-3</v>
      </c>
      <c r="K1975" s="1248">
        <v>3.00000086099182E-3</v>
      </c>
      <c r="L1975" s="1250">
        <v>2.0000005740925899E-3</v>
      </c>
      <c r="M1975" s="1275">
        <v>2.0000005740207099E-3</v>
      </c>
      <c r="N1975" s="1248">
        <v>3.1850009128239903E-2</v>
      </c>
      <c r="O1975" s="1249">
        <v>3.1850009128239903E-2</v>
      </c>
      <c r="P1975" s="1260">
        <v>1.59250045641199E-2</v>
      </c>
      <c r="Q1975" s="1252">
        <v>2.3339901449139101E-2</v>
      </c>
    </row>
    <row r="1976" spans="1:17" s="212" customFormat="1" ht="15.5" x14ac:dyDescent="0.35">
      <c r="A1976" s="198">
        <v>2046</v>
      </c>
      <c r="B1976" s="197" t="s">
        <v>5842</v>
      </c>
      <c r="C1976" s="197">
        <v>2026</v>
      </c>
      <c r="D1976" s="213" t="str">
        <f t="shared" si="22"/>
        <v>2046_2026</v>
      </c>
      <c r="E1976" s="1267">
        <v>7.85436485701098E-2</v>
      </c>
      <c r="F1976" s="1278">
        <v>2.0067672189044402E-3</v>
      </c>
      <c r="G1976" s="1248">
        <v>0.22569187849290101</v>
      </c>
      <c r="H1976" s="1278">
        <v>1.8607166020488099E-2</v>
      </c>
      <c r="I1976" s="1248">
        <v>2.2108245667522401E-2</v>
      </c>
      <c r="J1976" s="1278">
        <v>1.0873233962832101E-3</v>
      </c>
      <c r="K1976" s="1248">
        <v>3.0000008609937299E-3</v>
      </c>
      <c r="L1976" s="1250">
        <v>2.0000005740940202E-3</v>
      </c>
      <c r="M1976" s="1275">
        <v>2.00000057402187E-3</v>
      </c>
      <c r="N1976" s="1248">
        <v>3.1850009128239903E-2</v>
      </c>
      <c r="O1976" s="1249">
        <v>3.1850009128239903E-2</v>
      </c>
      <c r="P1976" s="1260">
        <v>1.59250045641199E-2</v>
      </c>
      <c r="Q1976" s="1252">
        <v>2.3107882432720599E-2</v>
      </c>
    </row>
    <row r="1977" spans="1:17" s="212" customFormat="1" ht="15.5" x14ac:dyDescent="0.35">
      <c r="A1977" s="198">
        <v>2046</v>
      </c>
      <c r="B1977" s="197" t="s">
        <v>5842</v>
      </c>
      <c r="C1977" s="197">
        <v>2027</v>
      </c>
      <c r="D1977" s="213" t="str">
        <f t="shared" si="22"/>
        <v>2046_2027</v>
      </c>
      <c r="E1977" s="1267">
        <v>7.8199319261338801E-2</v>
      </c>
      <c r="F1977" s="1278">
        <v>1.9965144439461702E-3</v>
      </c>
      <c r="G1977" s="1248">
        <v>0.223850719029868</v>
      </c>
      <c r="H1977" s="1278">
        <v>1.8421248963191202E-2</v>
      </c>
      <c r="I1977" s="1248">
        <v>2.1826797975602101E-2</v>
      </c>
      <c r="J1977" s="1278">
        <v>1.08745957355985E-3</v>
      </c>
      <c r="K1977" s="1248">
        <v>3.0000008609957101E-3</v>
      </c>
      <c r="L1977" s="1250">
        <v>2.0000005740954999E-3</v>
      </c>
      <c r="M1977" s="1275">
        <v>2.0000005740237301E-3</v>
      </c>
      <c r="N1977" s="1248">
        <v>3.1850009128239903E-2</v>
      </c>
      <c r="O1977" s="1249">
        <v>3.1850009128239903E-2</v>
      </c>
      <c r="P1977" s="1260">
        <v>1.59250045641199E-2</v>
      </c>
      <c r="Q1977" s="1252">
        <v>2.2813708925077301E-2</v>
      </c>
    </row>
    <row r="1978" spans="1:17" s="212" customFormat="1" ht="15.5" x14ac:dyDescent="0.35">
      <c r="A1978" s="198">
        <v>2046</v>
      </c>
      <c r="B1978" s="197" t="s">
        <v>5842</v>
      </c>
      <c r="C1978" s="197">
        <v>2028</v>
      </c>
      <c r="D1978" s="213" t="str">
        <f t="shared" si="22"/>
        <v>2046_2028</v>
      </c>
      <c r="E1978" s="1267">
        <v>7.77775599158987E-2</v>
      </c>
      <c r="F1978" s="1278">
        <v>1.9814953949309601E-3</v>
      </c>
      <c r="G1978" s="1248">
        <v>0.22161824880954301</v>
      </c>
      <c r="H1978" s="1278">
        <v>1.8171062446353501E-2</v>
      </c>
      <c r="I1978" s="1248">
        <v>2.14856650702996E-2</v>
      </c>
      <c r="J1978" s="1278">
        <v>1.08759769430244E-3</v>
      </c>
      <c r="K1978" s="1248">
        <v>3.0000008609977302E-3</v>
      </c>
      <c r="L1978" s="1250">
        <v>2.00000057409702E-3</v>
      </c>
      <c r="M1978" s="1275">
        <v>2.0000005740253598E-3</v>
      </c>
      <c r="N1978" s="1248">
        <v>3.1850009128239903E-2</v>
      </c>
      <c r="O1978" s="1249">
        <v>3.1850009128239903E-2</v>
      </c>
      <c r="P1978" s="1260">
        <v>1.59250045641199E-2</v>
      </c>
      <c r="Q1978" s="1252">
        <v>2.24571515035519E-2</v>
      </c>
    </row>
    <row r="1979" spans="1:17" s="212" customFormat="1" ht="15.5" x14ac:dyDescent="0.35">
      <c r="A1979" s="198">
        <v>2046</v>
      </c>
      <c r="B1979" s="197" t="s">
        <v>5842</v>
      </c>
      <c r="C1979" s="197">
        <v>2029</v>
      </c>
      <c r="D1979" s="213" t="str">
        <f t="shared" si="22"/>
        <v>2046_2029</v>
      </c>
      <c r="E1979" s="1267">
        <v>7.7277908018027905E-2</v>
      </c>
      <c r="F1979" s="1278">
        <v>1.96300398486771E-3</v>
      </c>
      <c r="G1979" s="1248">
        <v>0.218993802996609</v>
      </c>
      <c r="H1979" s="1278">
        <v>1.78694688628598E-2</v>
      </c>
      <c r="I1979" s="1248">
        <v>2.1084728366065699E-2</v>
      </c>
      <c r="J1979" s="1278">
        <v>1.0877368579352801E-3</v>
      </c>
      <c r="K1979" s="1248">
        <v>3.0000008609997598E-3</v>
      </c>
      <c r="L1979" s="1250">
        <v>2.00000057409854E-3</v>
      </c>
      <c r="M1979" s="1275">
        <v>2.0000005740267298E-3</v>
      </c>
      <c r="N1979" s="1248">
        <v>3.1850009128239903E-2</v>
      </c>
      <c r="O1979" s="1249">
        <v>3.1850009128239903E-2</v>
      </c>
      <c r="P1979" s="1260">
        <v>1.59250045641199E-2</v>
      </c>
      <c r="Q1979" s="1252">
        <v>2.20380862206828E-2</v>
      </c>
    </row>
    <row r="1980" spans="1:17" s="212" customFormat="1" ht="15.5" x14ac:dyDescent="0.35">
      <c r="A1980" s="198">
        <v>2046</v>
      </c>
      <c r="B1980" s="197" t="s">
        <v>5842</v>
      </c>
      <c r="C1980" s="197">
        <v>2030</v>
      </c>
      <c r="D1980" s="213" t="str">
        <f t="shared" si="22"/>
        <v>2046_2030</v>
      </c>
      <c r="E1980" s="1267">
        <v>7.6700583806199304E-2</v>
      </c>
      <c r="F1980" s="1278">
        <v>1.9437360092863401E-3</v>
      </c>
      <c r="G1980" s="1248">
        <v>0.215977375667427</v>
      </c>
      <c r="H1980" s="1278">
        <v>1.7543330813676501E-2</v>
      </c>
      <c r="I1980" s="1248">
        <v>2.06239861574656E-2</v>
      </c>
      <c r="J1980" s="1278">
        <v>1.08787715963168E-3</v>
      </c>
      <c r="K1980" s="1248">
        <v>3.0000008610018198E-3</v>
      </c>
      <c r="L1980" s="1250">
        <v>2.00000057410008E-3</v>
      </c>
      <c r="M1980" s="1275">
        <v>2.0000005740284702E-3</v>
      </c>
      <c r="N1980" s="1248">
        <v>3.1850009128239903E-2</v>
      </c>
      <c r="O1980" s="1249">
        <v>3.1850009128239903E-2</v>
      </c>
      <c r="P1980" s="1260">
        <v>1.59250045641199E-2</v>
      </c>
      <c r="Q1980" s="1252">
        <v>2.1556511293923102E-2</v>
      </c>
    </row>
    <row r="1981" spans="1:17" s="212" customFormat="1" ht="15.5" x14ac:dyDescent="0.35">
      <c r="A1981" s="198">
        <v>2046</v>
      </c>
      <c r="B1981" s="197" t="s">
        <v>5842</v>
      </c>
      <c r="C1981" s="197">
        <v>2031</v>
      </c>
      <c r="D1981" s="213" t="str">
        <f t="shared" si="22"/>
        <v>2046_2031</v>
      </c>
      <c r="E1981" s="1267">
        <v>7.6045844127054299E-2</v>
      </c>
      <c r="F1981" s="1278">
        <v>1.92736282085244E-3</v>
      </c>
      <c r="G1981" s="1248">
        <v>0.212569220932075</v>
      </c>
      <c r="H1981" s="1278">
        <v>1.7229301774092001E-2</v>
      </c>
      <c r="I1981" s="1248">
        <v>2.01034481820077E-2</v>
      </c>
      <c r="J1981" s="1278">
        <v>1.0880201362195301E-3</v>
      </c>
      <c r="K1981" s="1248">
        <v>3.0000008610039301E-3</v>
      </c>
      <c r="L1981" s="1250">
        <v>2.0000005741016599E-3</v>
      </c>
      <c r="M1981" s="1275">
        <v>2.00000057402974E-3</v>
      </c>
      <c r="N1981" s="1248">
        <v>3.1850009128239903E-2</v>
      </c>
      <c r="O1981" s="1249">
        <v>3.1850009128239903E-2</v>
      </c>
      <c r="P1981" s="1260">
        <v>1.59250045641199E-2</v>
      </c>
      <c r="Q1981" s="1252">
        <v>2.10124369010679E-2</v>
      </c>
    </row>
    <row r="1982" spans="1:17" s="212" customFormat="1" ht="15.5" x14ac:dyDescent="0.35">
      <c r="A1982" s="198">
        <v>2046</v>
      </c>
      <c r="B1982" s="197" t="s">
        <v>5842</v>
      </c>
      <c r="C1982" s="197">
        <v>2032</v>
      </c>
      <c r="D1982" s="213" t="str">
        <f t="shared" si="22"/>
        <v>2046_2032</v>
      </c>
      <c r="E1982" s="1267">
        <v>7.5312970642804095E-2</v>
      </c>
      <c r="F1982" s="1278">
        <v>1.9176646036670999E-3</v>
      </c>
      <c r="G1982" s="1248">
        <v>0.20876831543442501</v>
      </c>
      <c r="H1982" s="1278">
        <v>1.69653059302457E-2</v>
      </c>
      <c r="I1982" s="1248">
        <v>1.9522948354087799E-2</v>
      </c>
      <c r="J1982" s="1278">
        <v>1.0881640181956401E-3</v>
      </c>
      <c r="K1982" s="1248">
        <v>3.0000008610060699E-3</v>
      </c>
      <c r="L1982" s="1250">
        <v>2.0000005741032602E-3</v>
      </c>
      <c r="M1982" s="1275">
        <v>2.0000005740310198E-3</v>
      </c>
      <c r="N1982" s="1248">
        <v>3.1850009128239903E-2</v>
      </c>
      <c r="O1982" s="1249">
        <v>3.1850009128239903E-2</v>
      </c>
      <c r="P1982" s="1260">
        <v>1.59250045641199E-2</v>
      </c>
      <c r="Q1982" s="1252">
        <v>2.0405689446859401E-2</v>
      </c>
    </row>
    <row r="1983" spans="1:17" s="212" customFormat="1" ht="15.5" x14ac:dyDescent="0.35">
      <c r="A1983" s="198">
        <v>2046</v>
      </c>
      <c r="B1983" s="197" t="s">
        <v>5842</v>
      </c>
      <c r="C1983" s="197">
        <v>2033</v>
      </c>
      <c r="D1983" s="213" t="str">
        <f t="shared" si="22"/>
        <v>2046_2033</v>
      </c>
      <c r="E1983" s="1267">
        <v>7.4502197804040202E-2</v>
      </c>
      <c r="F1983" s="1278">
        <v>1.91747883174002E-3</v>
      </c>
      <c r="G1983" s="1248">
        <v>0.20457470589482199</v>
      </c>
      <c r="H1983" s="1278">
        <v>1.6779107313366601E-2</v>
      </c>
      <c r="I1983" s="1248">
        <v>1.88824822598402E-2</v>
      </c>
      <c r="J1983" s="1278">
        <v>1.08830931114274E-3</v>
      </c>
      <c r="K1983" s="1248">
        <v>3.0000008610082301E-3</v>
      </c>
      <c r="L1983" s="1250">
        <v>2.00000057410488E-3</v>
      </c>
      <c r="M1983" s="1275">
        <v>2.0000005740325698E-3</v>
      </c>
      <c r="N1983" s="1248">
        <v>3.1850009128239903E-2</v>
      </c>
      <c r="O1983" s="1249">
        <v>3.1850009128239903E-2</v>
      </c>
      <c r="P1983" s="1260">
        <v>1.59250045641199E-2</v>
      </c>
      <c r="Q1983" s="1252">
        <v>1.9736264317856099E-2</v>
      </c>
    </row>
    <row r="1984" spans="1:17" s="212" customFormat="1" ht="15.5" x14ac:dyDescent="0.35">
      <c r="A1984" s="198">
        <v>2046</v>
      </c>
      <c r="B1984" s="197" t="s">
        <v>5842</v>
      </c>
      <c r="C1984" s="197">
        <v>2034</v>
      </c>
      <c r="D1984" s="213" t="str">
        <f t="shared" si="22"/>
        <v>2046_2034</v>
      </c>
      <c r="E1984" s="1267">
        <v>7.3613806306506796E-2</v>
      </c>
      <c r="F1984" s="1278">
        <v>1.9275527437149101E-3</v>
      </c>
      <c r="G1984" s="1248">
        <v>0.199988665546772</v>
      </c>
      <c r="H1984" s="1278">
        <v>1.6676884103079999E-2</v>
      </c>
      <c r="I1984" s="1248">
        <v>1.81820561290582E-2</v>
      </c>
      <c r="J1984" s="1278">
        <v>1.0884579819123801E-3</v>
      </c>
      <c r="K1984" s="1248">
        <v>3.0000008610104501E-3</v>
      </c>
      <c r="L1984" s="1250">
        <v>2.0000005741065401E-3</v>
      </c>
      <c r="M1984" s="1275">
        <v>2.0000005740341601E-3</v>
      </c>
      <c r="N1984" s="1248">
        <v>3.1850009128239903E-2</v>
      </c>
      <c r="O1984" s="1249">
        <v>3.1850009128239903E-2</v>
      </c>
      <c r="P1984" s="1260">
        <v>1.59250045641199E-2</v>
      </c>
      <c r="Q1984" s="1252">
        <v>1.90041680255351E-2</v>
      </c>
    </row>
    <row r="1985" spans="1:17" s="212" customFormat="1" ht="15.5" x14ac:dyDescent="0.35">
      <c r="A1985" s="198">
        <v>2046</v>
      </c>
      <c r="B1985" s="197" t="s">
        <v>5842</v>
      </c>
      <c r="C1985" s="197">
        <v>2035</v>
      </c>
      <c r="D1985" s="213" t="str">
        <f t="shared" si="22"/>
        <v>2046_2035</v>
      </c>
      <c r="E1985" s="1267">
        <v>7.2647549799242303E-2</v>
      </c>
      <c r="F1985" s="1278">
        <v>1.9457599340464201E-3</v>
      </c>
      <c r="G1985" s="1248">
        <v>0.195009722318842</v>
      </c>
      <c r="H1985" s="1278">
        <v>1.66355359036683E-2</v>
      </c>
      <c r="I1985" s="1248">
        <v>1.7421576888000299E-2</v>
      </c>
      <c r="J1985" s="1278">
        <v>1.08860951609981E-3</v>
      </c>
      <c r="K1985" s="1248">
        <v>3.00000086101272E-3</v>
      </c>
      <c r="L1985" s="1250">
        <v>2.0000005741082402E-3</v>
      </c>
      <c r="M1985" s="1275">
        <v>2.0000005740358098E-3</v>
      </c>
      <c r="N1985" s="1248">
        <v>3.1850009128239903E-2</v>
      </c>
      <c r="O1985" s="1249">
        <v>3.1850009128239903E-2</v>
      </c>
      <c r="P1985" s="1260">
        <v>1.59250045641199E-2</v>
      </c>
      <c r="Q1985" s="1252">
        <v>1.8209303287773201E-2</v>
      </c>
    </row>
    <row r="1986" spans="1:17" s="212" customFormat="1" ht="15.5" x14ac:dyDescent="0.35">
      <c r="A1986" s="198">
        <v>2046</v>
      </c>
      <c r="B1986" s="197" t="s">
        <v>5842</v>
      </c>
      <c r="C1986" s="197">
        <v>2036</v>
      </c>
      <c r="D1986" s="213" t="str">
        <f t="shared" si="22"/>
        <v>2046_2036</v>
      </c>
      <c r="E1986" s="1267">
        <v>7.1603314308838095E-2</v>
      </c>
      <c r="F1986" s="1278">
        <v>1.9671816043034499E-3</v>
      </c>
      <c r="G1986" s="1248">
        <v>0.18963749339159999</v>
      </c>
      <c r="H1986" s="1278">
        <v>1.6603322086745E-2</v>
      </c>
      <c r="I1986" s="1248">
        <v>1.6600970190492201E-2</v>
      </c>
      <c r="J1986" s="1278">
        <v>1.08876370272472E-3</v>
      </c>
      <c r="K1986" s="1248">
        <v>3.0000008610150501E-3</v>
      </c>
      <c r="L1986" s="1250">
        <v>2.0000005741099801E-3</v>
      </c>
      <c r="M1986" s="1275">
        <v>2.0000005740375402E-3</v>
      </c>
      <c r="N1986" s="1248">
        <v>3.1850009128239903E-2</v>
      </c>
      <c r="O1986" s="1249">
        <v>3.1850009128239903E-2</v>
      </c>
      <c r="P1986" s="1260">
        <v>1.59250045641199E-2</v>
      </c>
      <c r="Q1986" s="1252">
        <v>1.7351592396792102E-2</v>
      </c>
    </row>
    <row r="1987" spans="1:17" s="212" customFormat="1" ht="15.5" x14ac:dyDescent="0.35">
      <c r="A1987" s="198">
        <v>2046</v>
      </c>
      <c r="B1987" s="197" t="s">
        <v>5842</v>
      </c>
      <c r="C1987" s="197">
        <v>2037</v>
      </c>
      <c r="D1987" s="213" t="str">
        <f t="shared" si="22"/>
        <v>2046_2037</v>
      </c>
      <c r="E1987" s="1267">
        <v>7.0480589345692596E-2</v>
      </c>
      <c r="F1987" s="1278">
        <v>1.9853837982283201E-3</v>
      </c>
      <c r="G1987" s="1248">
        <v>0.183871182232693</v>
      </c>
      <c r="H1987" s="1278">
        <v>1.6513187074574501E-2</v>
      </c>
      <c r="I1987" s="1248">
        <v>1.5720102109801699E-2</v>
      </c>
      <c r="J1987" s="1278">
        <v>1.0889189731610599E-3</v>
      </c>
      <c r="K1987" s="1248">
        <v>3.0000008610173998E-3</v>
      </c>
      <c r="L1987" s="1250">
        <v>2.0000005741117499E-3</v>
      </c>
      <c r="M1987" s="1275">
        <v>2.0000005740390902E-3</v>
      </c>
      <c r="N1987" s="1248">
        <v>3.1850009128239903E-2</v>
      </c>
      <c r="O1987" s="1249">
        <v>3.1850009128239903E-2</v>
      </c>
      <c r="P1987" s="1260">
        <v>1.59250045641199E-2</v>
      </c>
      <c r="Q1987" s="1252">
        <v>1.6430895370286899E-2</v>
      </c>
    </row>
    <row r="1988" spans="1:17" s="212" customFormat="1" ht="15.5" x14ac:dyDescent="0.35">
      <c r="A1988" s="198">
        <v>2046</v>
      </c>
      <c r="B1988" s="197" t="s">
        <v>5842</v>
      </c>
      <c r="C1988" s="197">
        <v>2038</v>
      </c>
      <c r="D1988" s="213" t="str">
        <f t="shared" si="22"/>
        <v>2046_2038</v>
      </c>
      <c r="E1988" s="1267">
        <v>6.9278800182893702E-2</v>
      </c>
      <c r="F1988" s="1278">
        <v>1.9952090488930302E-3</v>
      </c>
      <c r="G1988" s="1248">
        <v>0.17771008697288199</v>
      </c>
      <c r="H1988" s="1278">
        <v>1.6311140590643199E-2</v>
      </c>
      <c r="I1988" s="1248">
        <v>1.47788416081582E-2</v>
      </c>
      <c r="J1988" s="1278">
        <v>1.0890747794832E-3</v>
      </c>
      <c r="K1988" s="1248">
        <v>3.0000008610197699E-3</v>
      </c>
      <c r="L1988" s="1250">
        <v>2.0000005741135198E-3</v>
      </c>
      <c r="M1988" s="1275">
        <v>2.0000005740407499E-3</v>
      </c>
      <c r="N1988" s="1248">
        <v>3.1850009128239903E-2</v>
      </c>
      <c r="O1988" s="1249">
        <v>3.1850009128239903E-2</v>
      </c>
      <c r="P1988" s="1260">
        <v>1.59250045641199E-2</v>
      </c>
      <c r="Q1988" s="1252">
        <v>1.5447075245540801E-2</v>
      </c>
    </row>
    <row r="1989" spans="1:17" s="212" customFormat="1" ht="15.5" x14ac:dyDescent="0.35">
      <c r="A1989" s="198">
        <v>2046</v>
      </c>
      <c r="B1989" s="197" t="s">
        <v>5842</v>
      </c>
      <c r="C1989" s="197">
        <v>2039</v>
      </c>
      <c r="D1989" s="213" t="str">
        <f t="shared" si="22"/>
        <v>2046_2039</v>
      </c>
      <c r="E1989" s="1267">
        <v>6.7998598306347205E-2</v>
      </c>
      <c r="F1989" s="1278">
        <v>1.9969192879872801E-3</v>
      </c>
      <c r="G1989" s="1248">
        <v>0.171154710704228</v>
      </c>
      <c r="H1989" s="1278">
        <v>1.5998055127966301E-2</v>
      </c>
      <c r="I1989" s="1248">
        <v>1.3777226637703199E-2</v>
      </c>
      <c r="J1989" s="1278">
        <v>1.0892335748741099E-3</v>
      </c>
      <c r="K1989" s="1248">
        <v>3.0000008610221898E-3</v>
      </c>
      <c r="L1989" s="1250">
        <v>2.00000057411533E-3</v>
      </c>
      <c r="M1989" s="1275">
        <v>2.0000005740426498E-3</v>
      </c>
      <c r="N1989" s="1248">
        <v>3.1850009128239903E-2</v>
      </c>
      <c r="O1989" s="1249">
        <v>3.1850009128239903E-2</v>
      </c>
      <c r="P1989" s="1260">
        <v>1.59250045641199E-2</v>
      </c>
      <c r="Q1989" s="1252">
        <v>1.4400171690722399E-2</v>
      </c>
    </row>
    <row r="1990" spans="1:17" s="212" customFormat="1" ht="15.5" x14ac:dyDescent="0.35">
      <c r="A1990" s="198">
        <v>2046</v>
      </c>
      <c r="B1990" s="197" t="s">
        <v>5842</v>
      </c>
      <c r="C1990" s="197">
        <v>2040</v>
      </c>
      <c r="D1990" s="213" t="str">
        <f t="shared" si="22"/>
        <v>2046_2040</v>
      </c>
      <c r="E1990" s="1267">
        <v>6.6639556394016794E-2</v>
      </c>
      <c r="F1990" s="1278">
        <v>2.0006928539034502E-3</v>
      </c>
      <c r="G1990" s="1248">
        <v>0.16420434981556201</v>
      </c>
      <c r="H1990" s="1278">
        <v>1.56764925176303E-2</v>
      </c>
      <c r="I1990" s="1248">
        <v>1.27151353386547E-2</v>
      </c>
      <c r="J1990" s="1278">
        <v>1.0893940037622E-3</v>
      </c>
      <c r="K1990" s="1248">
        <v>3.0000008610246301E-3</v>
      </c>
      <c r="L1990" s="1250">
        <v>2.0000005741171601E-3</v>
      </c>
      <c r="M1990" s="1275">
        <v>2.0000005740445199E-3</v>
      </c>
      <c r="N1990" s="1248">
        <v>3.1850009128239903E-2</v>
      </c>
      <c r="O1990" s="1249">
        <v>3.1850009128239903E-2</v>
      </c>
      <c r="P1990" s="1260">
        <v>1.59250045641199E-2</v>
      </c>
      <c r="Q1990" s="1252">
        <v>1.32900573360913E-2</v>
      </c>
    </row>
    <row r="1991" spans="1:17" s="212" customFormat="1" ht="15.5" x14ac:dyDescent="0.35">
      <c r="A1991" s="198">
        <v>2046</v>
      </c>
      <c r="B1991" s="197" t="s">
        <v>5842</v>
      </c>
      <c r="C1991" s="197">
        <v>2041</v>
      </c>
      <c r="D1991" s="213" t="str">
        <f t="shared" si="22"/>
        <v>2046_2041</v>
      </c>
      <c r="E1991" s="1267">
        <v>6.5201228613579895E-2</v>
      </c>
      <c r="F1991" s="1278">
        <v>2.02975418045272E-3</v>
      </c>
      <c r="G1991" s="1248">
        <v>0.156858355570278</v>
      </c>
      <c r="H1991" s="1278">
        <v>1.55824581436647E-2</v>
      </c>
      <c r="I1991" s="1248">
        <v>1.15924514710472E-2</v>
      </c>
      <c r="J1991" s="1278">
        <v>1.0895551674845901E-3</v>
      </c>
      <c r="K1991" s="1248">
        <v>3.00000086102709E-3</v>
      </c>
      <c r="L1991" s="1250">
        <v>2.0000005741190002E-3</v>
      </c>
      <c r="M1991" s="1275">
        <v>2.0000005740466401E-3</v>
      </c>
      <c r="N1991" s="1248">
        <v>3.1850009128239903E-2</v>
      </c>
      <c r="O1991" s="1249">
        <v>3.1850009128239903E-2</v>
      </c>
      <c r="P1991" s="1260">
        <v>1.59250045641199E-2</v>
      </c>
      <c r="Q1991" s="1252">
        <v>1.2116610685826401E-2</v>
      </c>
    </row>
    <row r="1992" spans="1:17" s="212" customFormat="1" ht="15.5" x14ac:dyDescent="0.35">
      <c r="A1992" s="198">
        <v>2046</v>
      </c>
      <c r="B1992" s="197" t="s">
        <v>5842</v>
      </c>
      <c r="C1992" s="197">
        <v>2042</v>
      </c>
      <c r="D1992" s="213" t="str">
        <f t="shared" si="22"/>
        <v>2046_2042</v>
      </c>
      <c r="E1992" s="1267">
        <v>6.3683705130386403E-2</v>
      </c>
      <c r="F1992" s="1278">
        <v>2.1184152936804899E-3</v>
      </c>
      <c r="G1992" s="1248">
        <v>0.149116657814471</v>
      </c>
      <c r="H1992" s="1278">
        <v>1.6066188661193199E-2</v>
      </c>
      <c r="I1992" s="1248">
        <v>1.04091269502413E-2</v>
      </c>
      <c r="J1992" s="1278">
        <v>1.0897184242720901E-3</v>
      </c>
      <c r="K1992" s="1248">
        <v>3.0000008610295702E-3</v>
      </c>
      <c r="L1992" s="1250">
        <v>2.0000005741208598E-3</v>
      </c>
      <c r="M1992" s="1275">
        <v>2.0000005740489399E-3</v>
      </c>
      <c r="N1992" s="1248">
        <v>3.1850009128239903E-2</v>
      </c>
      <c r="O1992" s="1249">
        <v>3.1850009128239903E-2</v>
      </c>
      <c r="P1992" s="1260">
        <v>1.59250045641199E-2</v>
      </c>
      <c r="Q1992" s="1252">
        <v>1.08797814811144E-2</v>
      </c>
    </row>
    <row r="1993" spans="1:17" s="212" customFormat="1" ht="15.5" x14ac:dyDescent="0.35">
      <c r="A1993" s="198">
        <v>2046</v>
      </c>
      <c r="B1993" s="197" t="s">
        <v>5842</v>
      </c>
      <c r="C1993" s="197">
        <v>2043</v>
      </c>
      <c r="D1993" s="213" t="str">
        <f t="shared" si="22"/>
        <v>2046_2043</v>
      </c>
      <c r="E1993" s="1267">
        <v>6.2086403920972297E-2</v>
      </c>
      <c r="F1993" s="1278">
        <v>2.2991206933897202E-3</v>
      </c>
      <c r="G1993" s="1248">
        <v>0.14097842946790601</v>
      </c>
      <c r="H1993" s="1278">
        <v>1.7463275105834099E-2</v>
      </c>
      <c r="I1993" s="1248">
        <v>9.1650343059989595E-3</v>
      </c>
      <c r="J1993" s="1278">
        <v>1.0898818336430101E-3</v>
      </c>
      <c r="K1993" s="1248">
        <v>3.00000086103205E-3</v>
      </c>
      <c r="L1993" s="1250">
        <v>2.0000005741227099E-3</v>
      </c>
      <c r="M1993" s="1275">
        <v>2.00000057405131E-3</v>
      </c>
      <c r="N1993" s="1248">
        <v>3.1850009128239903E-2</v>
      </c>
      <c r="O1993" s="1249">
        <v>3.1850009128239903E-2</v>
      </c>
      <c r="P1993" s="1260">
        <v>1.59250045641199E-2</v>
      </c>
      <c r="Q1993" s="1252">
        <v>9.5794364880788293E-3</v>
      </c>
    </row>
    <row r="1994" spans="1:17" s="212" customFormat="1" ht="15.5" x14ac:dyDescent="0.35">
      <c r="A1994" s="198">
        <v>2046</v>
      </c>
      <c r="B1994" s="197" t="s">
        <v>5842</v>
      </c>
      <c r="C1994" s="197">
        <v>2044</v>
      </c>
      <c r="D1994" s="213" t="str">
        <f t="shared" si="22"/>
        <v>2046_2044</v>
      </c>
      <c r="E1994" s="1267">
        <v>6.0409681071450803E-2</v>
      </c>
      <c r="F1994" s="1278">
        <v>2.5697563870000499E-3</v>
      </c>
      <c r="G1994" s="1248">
        <v>0.132443785629663</v>
      </c>
      <c r="H1994" s="1278">
        <v>1.9766488918644302E-2</v>
      </c>
      <c r="I1994" s="1248">
        <v>7.8601450148966003E-3</v>
      </c>
      <c r="J1994" s="1278">
        <v>1.0900469263888999E-3</v>
      </c>
      <c r="K1994" s="1248">
        <v>3.0000008610345601E-3</v>
      </c>
      <c r="L1994" s="1250">
        <v>2.0000005741245899E-3</v>
      </c>
      <c r="M1994" s="1275">
        <v>2.00000057405369E-3</v>
      </c>
      <c r="N1994" s="1248">
        <v>3.1850009128239903E-2</v>
      </c>
      <c r="O1994" s="1249">
        <v>3.1850009128239903E-2</v>
      </c>
      <c r="P1994" s="1260">
        <v>1.59250045641199E-2</v>
      </c>
      <c r="Q1994" s="1252">
        <v>8.2155458935932908E-3</v>
      </c>
    </row>
    <row r="1995" spans="1:17" s="212" customFormat="1" ht="15.5" x14ac:dyDescent="0.35">
      <c r="A1995" s="198">
        <v>2046</v>
      </c>
      <c r="B1995" s="197" t="s">
        <v>5842</v>
      </c>
      <c r="C1995" s="197">
        <v>2045</v>
      </c>
      <c r="D1995" s="213" t="str">
        <f t="shared" si="22"/>
        <v>2046_2045</v>
      </c>
      <c r="E1995" s="1267">
        <v>5.8652432051770197E-2</v>
      </c>
      <c r="F1995" s="1278">
        <v>2.8279319279137299E-3</v>
      </c>
      <c r="G1995" s="1248">
        <v>0.123511593462131</v>
      </c>
      <c r="H1995" s="1278">
        <v>2.1968922492065199E-2</v>
      </c>
      <c r="I1995" s="1248">
        <v>6.4943021158973104E-3</v>
      </c>
      <c r="J1995" s="1278">
        <v>1.09021124560393E-3</v>
      </c>
      <c r="K1995" s="1248">
        <v>3.0000008610370399E-3</v>
      </c>
      <c r="L1995" s="1250">
        <v>2.00000057412645E-3</v>
      </c>
      <c r="M1995" s="1275">
        <v>2.0000005740557201E-3</v>
      </c>
      <c r="N1995" s="1248">
        <v>3.1850009128239903E-2</v>
      </c>
      <c r="O1995" s="1249">
        <v>3.1850009128239903E-2</v>
      </c>
      <c r="P1995" s="1260">
        <v>1.59250045641199E-2</v>
      </c>
      <c r="Q1995" s="1252">
        <v>6.7879456395393599E-3</v>
      </c>
    </row>
    <row r="1996" spans="1:17" s="212" customFormat="1" ht="15.5" x14ac:dyDescent="0.35">
      <c r="A1996" s="198">
        <v>2046</v>
      </c>
      <c r="B1996" s="197" t="s">
        <v>5842</v>
      </c>
      <c r="C1996" s="197">
        <v>2046</v>
      </c>
      <c r="D1996" s="213" t="str">
        <f t="shared" si="22"/>
        <v>2046_2046</v>
      </c>
      <c r="E1996" s="1267">
        <v>5.6815016534795398E-2</v>
      </c>
      <c r="F1996" s="1278">
        <v>2.7544520481122799E-3</v>
      </c>
      <c r="G1996" s="1248">
        <v>0.114182032096068</v>
      </c>
      <c r="H1996" s="1278">
        <v>2.0896296192969999E-2</v>
      </c>
      <c r="I1996" s="1248">
        <v>5.0674816022291602E-3</v>
      </c>
      <c r="J1996" s="1278">
        <v>1.09037691070457E-3</v>
      </c>
      <c r="K1996" s="1248">
        <v>3.0000008610395201E-3</v>
      </c>
      <c r="L1996" s="1250">
        <v>2.0000005741283001E-3</v>
      </c>
      <c r="M1996" s="1275">
        <v>2.0000005740552799E-3</v>
      </c>
      <c r="N1996" s="1248">
        <v>3.1850009128239903E-2</v>
      </c>
      <c r="O1996" s="1249">
        <v>3.1850009128239903E-2</v>
      </c>
      <c r="P1996" s="1260">
        <v>1.59250045641199E-2</v>
      </c>
      <c r="Q1996" s="1252">
        <v>5.2966106336653799E-3</v>
      </c>
    </row>
    <row r="1997" spans="1:17" s="212" customFormat="1" ht="15.5" x14ac:dyDescent="0.35">
      <c r="A1997" s="198">
        <v>2046</v>
      </c>
      <c r="B1997" s="197" t="s">
        <v>5842</v>
      </c>
      <c r="C1997" s="197">
        <v>2047</v>
      </c>
      <c r="D1997" s="213" t="str">
        <f t="shared" si="22"/>
        <v>2046_2047</v>
      </c>
      <c r="E1997" s="1268">
        <v>5.6815016534795398E-2</v>
      </c>
      <c r="F1997" s="1279">
        <v>2.7544520481122799E-3</v>
      </c>
      <c r="G1997" s="1255">
        <v>0.114182032096068</v>
      </c>
      <c r="H1997" s="1279">
        <v>2.0896296192969999E-2</v>
      </c>
      <c r="I1997" s="1255">
        <v>5.0674816022291602E-3</v>
      </c>
      <c r="J1997" s="1279">
        <v>1.09037691070457E-3</v>
      </c>
      <c r="K1997" s="1255">
        <v>3.0000008610395201E-3</v>
      </c>
      <c r="L1997" s="1253">
        <v>2.0000005741283001E-3</v>
      </c>
      <c r="M1997" s="1273">
        <v>2.0000005740552799E-3</v>
      </c>
      <c r="N1997" s="1255">
        <v>3.1850009128239903E-2</v>
      </c>
      <c r="O1997" s="1256">
        <v>3.1850009128239903E-2</v>
      </c>
      <c r="P1997" s="1251">
        <v>1.59250045641199E-2</v>
      </c>
      <c r="Q1997" s="1254">
        <v>5.2966106336653799E-3</v>
      </c>
    </row>
    <row r="1998" spans="1:17" s="212" customFormat="1" ht="15.5" x14ac:dyDescent="0.35">
      <c r="A1998" s="198">
        <v>2047</v>
      </c>
      <c r="B1998" s="197" t="s">
        <v>5842</v>
      </c>
      <c r="C1998" s="197">
        <v>1971</v>
      </c>
      <c r="D1998" s="213" t="str">
        <f t="shared" si="22"/>
        <v>2047_1971</v>
      </c>
      <c r="E1998" s="1268">
        <v>0.28452361444352198</v>
      </c>
      <c r="F1998" s="1279">
        <v>2.1830240754512901E-2</v>
      </c>
      <c r="G1998" s="1255">
        <v>7.2410478866773396</v>
      </c>
      <c r="H1998" s="1279">
        <v>0.31674225513349902</v>
      </c>
      <c r="I1998" s="1255">
        <v>5.3034606536890801E-2</v>
      </c>
      <c r="J1998" s="1279">
        <v>2.1390561223948402E-3</v>
      </c>
      <c r="K1998" s="1255">
        <v>3.0000008612871801E-3</v>
      </c>
      <c r="L1998" s="1253">
        <v>2.0000005741525198E-3</v>
      </c>
      <c r="M1998" s="1273">
        <v>2.0000005741525198E-3</v>
      </c>
      <c r="N1998" s="1255">
        <v>3.1850009128239903E-2</v>
      </c>
      <c r="O1998" s="1256">
        <v>3.1850009128239903E-2</v>
      </c>
      <c r="P1998" s="1251">
        <v>1.5925004564119952E-2</v>
      </c>
      <c r="Q1998" s="1254">
        <v>5.54325961069079E-2</v>
      </c>
    </row>
    <row r="1999" spans="1:17" s="212" customFormat="1" ht="15.5" x14ac:dyDescent="0.35">
      <c r="A1999" s="198">
        <v>2047</v>
      </c>
      <c r="B1999" s="197" t="s">
        <v>5842</v>
      </c>
      <c r="C1999" s="197">
        <v>1972</v>
      </c>
      <c r="D1999" s="213" t="str">
        <f t="shared" si="22"/>
        <v>2047_1972</v>
      </c>
      <c r="E1999" s="1268">
        <v>0.28452361444352198</v>
      </c>
      <c r="F1999" s="1279">
        <v>2.1830240754512901E-2</v>
      </c>
      <c r="G1999" s="1255">
        <v>7.2410478866773396</v>
      </c>
      <c r="H1999" s="1279">
        <v>0.31674225513349902</v>
      </c>
      <c r="I1999" s="1255">
        <v>5.3034606536890801E-2</v>
      </c>
      <c r="J1999" s="1279">
        <v>2.1390561223948402E-3</v>
      </c>
      <c r="K1999" s="1255">
        <v>3.0000008612871801E-3</v>
      </c>
      <c r="L1999" s="1253">
        <v>2.0000005741525198E-3</v>
      </c>
      <c r="M1999" s="1273">
        <v>2.0000005741525198E-3</v>
      </c>
      <c r="N1999" s="1255">
        <v>3.1850009128239903E-2</v>
      </c>
      <c r="O1999" s="1256">
        <v>3.1850009128239903E-2</v>
      </c>
      <c r="P1999" s="1251">
        <v>1.5925004564119952E-2</v>
      </c>
      <c r="Q1999" s="1254">
        <v>5.54325961069079E-2</v>
      </c>
    </row>
    <row r="2000" spans="1:17" s="212" customFormat="1" ht="15.5" x14ac:dyDescent="0.35">
      <c r="A2000" s="198">
        <v>2047</v>
      </c>
      <c r="B2000" s="197" t="s">
        <v>5842</v>
      </c>
      <c r="C2000" s="197">
        <v>1973</v>
      </c>
      <c r="D2000" s="213" t="str">
        <f t="shared" si="22"/>
        <v>2047_1973</v>
      </c>
      <c r="E2000" s="1268">
        <v>0.28452361444352198</v>
      </c>
      <c r="F2000" s="1279">
        <v>2.1830240754512901E-2</v>
      </c>
      <c r="G2000" s="1255">
        <v>7.2410478866773396</v>
      </c>
      <c r="H2000" s="1279">
        <v>0.31674225513349902</v>
      </c>
      <c r="I2000" s="1255">
        <v>5.3034606536890801E-2</v>
      </c>
      <c r="J2000" s="1279">
        <v>2.1390561223948402E-3</v>
      </c>
      <c r="K2000" s="1255">
        <v>3.0000008612871801E-3</v>
      </c>
      <c r="L2000" s="1253">
        <v>2.0000005741525198E-3</v>
      </c>
      <c r="M2000" s="1273">
        <v>2.0000005741525198E-3</v>
      </c>
      <c r="N2000" s="1255">
        <v>3.1850009128239903E-2</v>
      </c>
      <c r="O2000" s="1256">
        <v>3.1850009128239903E-2</v>
      </c>
      <c r="P2000" s="1251">
        <v>1.5925004564119952E-2</v>
      </c>
      <c r="Q2000" s="1254">
        <v>5.54325961069079E-2</v>
      </c>
    </row>
    <row r="2001" spans="1:17" s="212" customFormat="1" ht="15.5" x14ac:dyDescent="0.35">
      <c r="A2001" s="198">
        <v>2047</v>
      </c>
      <c r="B2001" s="197" t="s">
        <v>5842</v>
      </c>
      <c r="C2001" s="197">
        <v>1974</v>
      </c>
      <c r="D2001" s="213" t="str">
        <f t="shared" si="22"/>
        <v>2047_1974</v>
      </c>
      <c r="E2001" s="1268">
        <v>0.28452361444352198</v>
      </c>
      <c r="F2001" s="1279">
        <v>2.1830240754512901E-2</v>
      </c>
      <c r="G2001" s="1255">
        <v>7.2410478866773396</v>
      </c>
      <c r="H2001" s="1279">
        <v>0.31674225513349902</v>
      </c>
      <c r="I2001" s="1255">
        <v>5.3034606536890801E-2</v>
      </c>
      <c r="J2001" s="1279">
        <v>2.1390561223948402E-3</v>
      </c>
      <c r="K2001" s="1255">
        <v>3.0000008612871801E-3</v>
      </c>
      <c r="L2001" s="1253">
        <v>2.0000005741525198E-3</v>
      </c>
      <c r="M2001" s="1273">
        <v>2.0000005741525198E-3</v>
      </c>
      <c r="N2001" s="1255">
        <v>3.1850009128239903E-2</v>
      </c>
      <c r="O2001" s="1256">
        <v>3.1850009128239903E-2</v>
      </c>
      <c r="P2001" s="1251">
        <v>1.5925004564119952E-2</v>
      </c>
      <c r="Q2001" s="1254">
        <v>5.54325961069079E-2</v>
      </c>
    </row>
    <row r="2002" spans="1:17" s="212" customFormat="1" ht="15.5" x14ac:dyDescent="0.35">
      <c r="A2002" s="198">
        <v>2047</v>
      </c>
      <c r="B2002" s="197" t="s">
        <v>5842</v>
      </c>
      <c r="C2002" s="197">
        <v>1975</v>
      </c>
      <c r="D2002" s="213" t="str">
        <f t="shared" si="22"/>
        <v>2047_1975</v>
      </c>
      <c r="E2002" s="1268">
        <v>0.28452361444352198</v>
      </c>
      <c r="F2002" s="1279">
        <v>2.1830240754512901E-2</v>
      </c>
      <c r="G2002" s="1255">
        <v>7.2410478866773396</v>
      </c>
      <c r="H2002" s="1279">
        <v>0.31674225513349902</v>
      </c>
      <c r="I2002" s="1255">
        <v>5.3034606536890801E-2</v>
      </c>
      <c r="J2002" s="1279">
        <v>2.1390561223948402E-3</v>
      </c>
      <c r="K2002" s="1255">
        <v>3.0000008612871801E-3</v>
      </c>
      <c r="L2002" s="1253">
        <v>2.0000005741525198E-3</v>
      </c>
      <c r="M2002" s="1273">
        <v>2.0000005741525198E-3</v>
      </c>
      <c r="N2002" s="1255">
        <v>3.1850009128239903E-2</v>
      </c>
      <c r="O2002" s="1256">
        <v>3.1850009128239903E-2</v>
      </c>
      <c r="P2002" s="1251">
        <v>1.5925004564119952E-2</v>
      </c>
      <c r="Q2002" s="1254">
        <v>5.54325961069079E-2</v>
      </c>
    </row>
    <row r="2003" spans="1:17" s="212" customFormat="1" ht="15.5" x14ac:dyDescent="0.35">
      <c r="A2003" s="198">
        <v>2047</v>
      </c>
      <c r="B2003" s="197" t="s">
        <v>5842</v>
      </c>
      <c r="C2003" s="197">
        <v>1976</v>
      </c>
      <c r="D2003" s="213" t="str">
        <f t="shared" si="22"/>
        <v>2047_1976</v>
      </c>
      <c r="E2003" s="1268">
        <v>0.28452361444352198</v>
      </c>
      <c r="F2003" s="1279">
        <v>2.1830240754512901E-2</v>
      </c>
      <c r="G2003" s="1255">
        <v>7.2410478866773396</v>
      </c>
      <c r="H2003" s="1279">
        <v>0.31674225513349902</v>
      </c>
      <c r="I2003" s="1255">
        <v>5.3034606536890801E-2</v>
      </c>
      <c r="J2003" s="1279">
        <v>2.1390561223948402E-3</v>
      </c>
      <c r="K2003" s="1255">
        <v>3.0000008612871801E-3</v>
      </c>
      <c r="L2003" s="1253">
        <v>2.0000005741525198E-3</v>
      </c>
      <c r="M2003" s="1273">
        <v>2.0000005741525198E-3</v>
      </c>
      <c r="N2003" s="1255">
        <v>3.1850009128239903E-2</v>
      </c>
      <c r="O2003" s="1256">
        <v>3.1850009128239903E-2</v>
      </c>
      <c r="P2003" s="1251">
        <v>1.5925004564119952E-2</v>
      </c>
      <c r="Q2003" s="1254">
        <v>5.54325961069079E-2</v>
      </c>
    </row>
    <row r="2004" spans="1:17" s="212" customFormat="1" ht="15.5" x14ac:dyDescent="0.35">
      <c r="A2004" s="198">
        <v>2047</v>
      </c>
      <c r="B2004" s="197" t="s">
        <v>5842</v>
      </c>
      <c r="C2004" s="197">
        <v>1977</v>
      </c>
      <c r="D2004" s="213" t="str">
        <f t="shared" si="22"/>
        <v>2047_1977</v>
      </c>
      <c r="E2004" s="1268">
        <v>0.28452361444352198</v>
      </c>
      <c r="F2004" s="1279">
        <v>2.1830240754512901E-2</v>
      </c>
      <c r="G2004" s="1255">
        <v>7.2410478866773396</v>
      </c>
      <c r="H2004" s="1279">
        <v>0.31674225513349902</v>
      </c>
      <c r="I2004" s="1255">
        <v>5.3034606536890801E-2</v>
      </c>
      <c r="J2004" s="1279">
        <v>2.1390561223948402E-3</v>
      </c>
      <c r="K2004" s="1255">
        <v>3.0000008612871801E-3</v>
      </c>
      <c r="L2004" s="1253">
        <v>2.0000005741525198E-3</v>
      </c>
      <c r="M2004" s="1273">
        <v>2.0000005741525198E-3</v>
      </c>
      <c r="N2004" s="1255">
        <v>3.1850009128239903E-2</v>
      </c>
      <c r="O2004" s="1256">
        <v>3.1850009128239903E-2</v>
      </c>
      <c r="P2004" s="1251">
        <v>1.5925004564119952E-2</v>
      </c>
      <c r="Q2004" s="1254">
        <v>5.54325961069079E-2</v>
      </c>
    </row>
    <row r="2005" spans="1:17" s="212" customFormat="1" ht="15.5" x14ac:dyDescent="0.35">
      <c r="A2005" s="198">
        <v>2047</v>
      </c>
      <c r="B2005" s="197" t="s">
        <v>5842</v>
      </c>
      <c r="C2005" s="197">
        <v>1978</v>
      </c>
      <c r="D2005" s="213" t="str">
        <f t="shared" si="22"/>
        <v>2047_1978</v>
      </c>
      <c r="E2005" s="1268">
        <v>0.28452361444352198</v>
      </c>
      <c r="F2005" s="1279">
        <v>2.1830240754512901E-2</v>
      </c>
      <c r="G2005" s="1255">
        <v>7.2410478866773396</v>
      </c>
      <c r="H2005" s="1279">
        <v>0.31674225513349902</v>
      </c>
      <c r="I2005" s="1255">
        <v>5.3034606536890801E-2</v>
      </c>
      <c r="J2005" s="1279">
        <v>2.1390561223948402E-3</v>
      </c>
      <c r="K2005" s="1255">
        <v>3.0000008612871801E-3</v>
      </c>
      <c r="L2005" s="1253">
        <v>2.0000005741525198E-3</v>
      </c>
      <c r="M2005" s="1273">
        <v>2.0000005741525198E-3</v>
      </c>
      <c r="N2005" s="1255">
        <v>3.1850009128239903E-2</v>
      </c>
      <c r="O2005" s="1256">
        <v>3.1850009128239903E-2</v>
      </c>
      <c r="P2005" s="1251">
        <v>1.5925004564119952E-2</v>
      </c>
      <c r="Q2005" s="1254">
        <v>5.54325961069079E-2</v>
      </c>
    </row>
    <row r="2006" spans="1:17" s="212" customFormat="1" ht="15.5" x14ac:dyDescent="0.35">
      <c r="A2006" s="198">
        <v>2047</v>
      </c>
      <c r="B2006" s="197" t="s">
        <v>5842</v>
      </c>
      <c r="C2006" s="197">
        <v>1979</v>
      </c>
      <c r="D2006" s="213" t="str">
        <f t="shared" si="22"/>
        <v>2047_1979</v>
      </c>
      <c r="E2006" s="1268">
        <v>0.28452361444352198</v>
      </c>
      <c r="F2006" s="1279">
        <v>2.1830240754512901E-2</v>
      </c>
      <c r="G2006" s="1255">
        <v>7.2410478866773396</v>
      </c>
      <c r="H2006" s="1279">
        <v>0.31674225513349902</v>
      </c>
      <c r="I2006" s="1255">
        <v>5.3034606536890801E-2</v>
      </c>
      <c r="J2006" s="1279">
        <v>2.1390561223948402E-3</v>
      </c>
      <c r="K2006" s="1255">
        <v>3.0000008612871801E-3</v>
      </c>
      <c r="L2006" s="1253">
        <v>2.0000005741525198E-3</v>
      </c>
      <c r="M2006" s="1273">
        <v>2.0000005741525198E-3</v>
      </c>
      <c r="N2006" s="1255">
        <v>3.1850009128239903E-2</v>
      </c>
      <c r="O2006" s="1256">
        <v>3.1850009128239903E-2</v>
      </c>
      <c r="P2006" s="1251">
        <v>1.5925004564119952E-2</v>
      </c>
      <c r="Q2006" s="1254">
        <v>5.54325961069079E-2</v>
      </c>
    </row>
    <row r="2007" spans="1:17" s="212" customFormat="1" ht="15.5" x14ac:dyDescent="0.35">
      <c r="A2007" s="198">
        <v>2047</v>
      </c>
      <c r="B2007" s="197" t="s">
        <v>5842</v>
      </c>
      <c r="C2007" s="197">
        <v>1980</v>
      </c>
      <c r="D2007" s="213" t="str">
        <f t="shared" si="22"/>
        <v>2047_1980</v>
      </c>
      <c r="E2007" s="1268">
        <v>0.28452361444352198</v>
      </c>
      <c r="F2007" s="1279">
        <v>2.1830240754512901E-2</v>
      </c>
      <c r="G2007" s="1255">
        <v>7.2410478866773396</v>
      </c>
      <c r="H2007" s="1279">
        <v>0.31674225513349902</v>
      </c>
      <c r="I2007" s="1255">
        <v>5.3034606536890801E-2</v>
      </c>
      <c r="J2007" s="1279">
        <v>2.1390561223948402E-3</v>
      </c>
      <c r="K2007" s="1255">
        <v>3.0000008612871801E-3</v>
      </c>
      <c r="L2007" s="1253">
        <v>2.0000005741525198E-3</v>
      </c>
      <c r="M2007" s="1273">
        <v>2.0000005741525198E-3</v>
      </c>
      <c r="N2007" s="1255">
        <v>3.1850009128239903E-2</v>
      </c>
      <c r="O2007" s="1256">
        <v>3.1850009128239903E-2</v>
      </c>
      <c r="P2007" s="1251">
        <v>1.5925004564119952E-2</v>
      </c>
      <c r="Q2007" s="1254">
        <v>5.54325961069079E-2</v>
      </c>
    </row>
    <row r="2008" spans="1:17" s="212" customFormat="1" ht="15.5" x14ac:dyDescent="0.35">
      <c r="A2008" s="198">
        <v>2047</v>
      </c>
      <c r="B2008" s="197" t="s">
        <v>5842</v>
      </c>
      <c r="C2008" s="197">
        <v>1981</v>
      </c>
      <c r="D2008" s="213" t="str">
        <f t="shared" si="22"/>
        <v>2047_1981</v>
      </c>
      <c r="E2008" s="1268">
        <v>0.28452361444352198</v>
      </c>
      <c r="F2008" s="1279">
        <v>2.1830240754512901E-2</v>
      </c>
      <c r="G2008" s="1255">
        <v>7.2410478866773396</v>
      </c>
      <c r="H2008" s="1279">
        <v>0.31674225513349902</v>
      </c>
      <c r="I2008" s="1255">
        <v>5.3034606536890801E-2</v>
      </c>
      <c r="J2008" s="1279">
        <v>2.1390561223948402E-3</v>
      </c>
      <c r="K2008" s="1255">
        <v>3.0000008612871801E-3</v>
      </c>
      <c r="L2008" s="1253">
        <v>2.0000005741525198E-3</v>
      </c>
      <c r="M2008" s="1273">
        <v>2.0000005741525198E-3</v>
      </c>
      <c r="N2008" s="1255">
        <v>3.1850009128239903E-2</v>
      </c>
      <c r="O2008" s="1256">
        <v>3.1850009128239903E-2</v>
      </c>
      <c r="P2008" s="1251">
        <v>1.5925004564119952E-2</v>
      </c>
      <c r="Q2008" s="1254">
        <v>5.54325961069079E-2</v>
      </c>
    </row>
    <row r="2009" spans="1:17" s="212" customFormat="1" ht="15.5" x14ac:dyDescent="0.35">
      <c r="A2009" s="198">
        <v>2047</v>
      </c>
      <c r="B2009" s="197" t="s">
        <v>5842</v>
      </c>
      <c r="C2009" s="197">
        <v>1982</v>
      </c>
      <c r="D2009" s="213" t="str">
        <f t="shared" si="22"/>
        <v>2047_1982</v>
      </c>
      <c r="E2009" s="1268">
        <v>0.28452361444352198</v>
      </c>
      <c r="F2009" s="1279">
        <v>2.1830240754512901E-2</v>
      </c>
      <c r="G2009" s="1255">
        <v>7.2410478866773396</v>
      </c>
      <c r="H2009" s="1279">
        <v>0.31674225513349902</v>
      </c>
      <c r="I2009" s="1255">
        <v>5.3034606536890801E-2</v>
      </c>
      <c r="J2009" s="1279">
        <v>2.1390561223948402E-3</v>
      </c>
      <c r="K2009" s="1255">
        <v>3.0000008612871801E-3</v>
      </c>
      <c r="L2009" s="1253">
        <v>2.0000005741525198E-3</v>
      </c>
      <c r="M2009" s="1273">
        <v>2.0000005741525198E-3</v>
      </c>
      <c r="N2009" s="1255">
        <v>3.1850009128239903E-2</v>
      </c>
      <c r="O2009" s="1256">
        <v>3.1850009128239903E-2</v>
      </c>
      <c r="P2009" s="1251">
        <v>1.5925004564119952E-2</v>
      </c>
      <c r="Q2009" s="1254">
        <v>5.54325961069079E-2</v>
      </c>
    </row>
    <row r="2010" spans="1:17" s="212" customFormat="1" ht="15.5" x14ac:dyDescent="0.35">
      <c r="A2010" s="198">
        <v>2047</v>
      </c>
      <c r="B2010" s="197" t="s">
        <v>5842</v>
      </c>
      <c r="C2010" s="197">
        <v>1983</v>
      </c>
      <c r="D2010" s="213" t="str">
        <f t="shared" si="22"/>
        <v>2047_1983</v>
      </c>
      <c r="E2010" s="1268">
        <v>0.28452361444352198</v>
      </c>
      <c r="F2010" s="1279">
        <v>2.1830240754512901E-2</v>
      </c>
      <c r="G2010" s="1255">
        <v>7.2410478866773396</v>
      </c>
      <c r="H2010" s="1279">
        <v>0.31674225513349902</v>
      </c>
      <c r="I2010" s="1255">
        <v>5.3034606536890801E-2</v>
      </c>
      <c r="J2010" s="1279">
        <v>2.1390561223948402E-3</v>
      </c>
      <c r="K2010" s="1255">
        <v>3.0000008612871801E-3</v>
      </c>
      <c r="L2010" s="1253">
        <v>2.0000005741525198E-3</v>
      </c>
      <c r="M2010" s="1273">
        <v>2.0000005741525198E-3</v>
      </c>
      <c r="N2010" s="1255">
        <v>3.1850009128239903E-2</v>
      </c>
      <c r="O2010" s="1256">
        <v>3.1850009128239903E-2</v>
      </c>
      <c r="P2010" s="1251">
        <v>1.5925004564119952E-2</v>
      </c>
      <c r="Q2010" s="1254">
        <v>5.54325961069079E-2</v>
      </c>
    </row>
    <row r="2011" spans="1:17" s="212" customFormat="1" ht="15.5" x14ac:dyDescent="0.35">
      <c r="A2011" s="198">
        <v>2047</v>
      </c>
      <c r="B2011" s="197" t="s">
        <v>5842</v>
      </c>
      <c r="C2011" s="197">
        <v>1984</v>
      </c>
      <c r="D2011" s="213" t="str">
        <f t="shared" si="22"/>
        <v>2047_1984</v>
      </c>
      <c r="E2011" s="1268">
        <v>0.28452361444352198</v>
      </c>
      <c r="F2011" s="1279">
        <v>2.1830240754512901E-2</v>
      </c>
      <c r="G2011" s="1255">
        <v>7.2410478866773396</v>
      </c>
      <c r="H2011" s="1279">
        <v>0.31674225513349902</v>
      </c>
      <c r="I2011" s="1255">
        <v>5.3034606536890801E-2</v>
      </c>
      <c r="J2011" s="1279">
        <v>2.1390561223948402E-3</v>
      </c>
      <c r="K2011" s="1255">
        <v>3.0000008612871801E-3</v>
      </c>
      <c r="L2011" s="1253">
        <v>2.0000005741525198E-3</v>
      </c>
      <c r="M2011" s="1273">
        <v>2.0000005741525198E-3</v>
      </c>
      <c r="N2011" s="1255">
        <v>3.1850009128239903E-2</v>
      </c>
      <c r="O2011" s="1256">
        <v>3.1850009128239903E-2</v>
      </c>
      <c r="P2011" s="1251">
        <v>1.5925004564119952E-2</v>
      </c>
      <c r="Q2011" s="1254">
        <v>5.54325961069079E-2</v>
      </c>
    </row>
    <row r="2012" spans="1:17" s="212" customFormat="1" ht="15.5" x14ac:dyDescent="0.35">
      <c r="A2012" s="198">
        <v>2047</v>
      </c>
      <c r="B2012" s="197" t="s">
        <v>5842</v>
      </c>
      <c r="C2012" s="197">
        <v>1985</v>
      </c>
      <c r="D2012" s="213" t="str">
        <f t="shared" si="22"/>
        <v>2047_1985</v>
      </c>
      <c r="E2012" s="1268">
        <v>0.28452361444352198</v>
      </c>
      <c r="F2012" s="1279">
        <v>2.1830240754512901E-2</v>
      </c>
      <c r="G2012" s="1255">
        <v>7.2410478866773396</v>
      </c>
      <c r="H2012" s="1279">
        <v>0.31674225513349902</v>
      </c>
      <c r="I2012" s="1255">
        <v>5.3034606536890801E-2</v>
      </c>
      <c r="J2012" s="1279">
        <v>2.1390561223948402E-3</v>
      </c>
      <c r="K2012" s="1255">
        <v>3.0000008612871801E-3</v>
      </c>
      <c r="L2012" s="1253">
        <v>2.0000005741525198E-3</v>
      </c>
      <c r="M2012" s="1273">
        <v>2.0000005741525198E-3</v>
      </c>
      <c r="N2012" s="1255">
        <v>3.1850009128239903E-2</v>
      </c>
      <c r="O2012" s="1256">
        <v>3.1850009128239903E-2</v>
      </c>
      <c r="P2012" s="1251">
        <v>1.5925004564119952E-2</v>
      </c>
      <c r="Q2012" s="1254">
        <v>5.54325961069079E-2</v>
      </c>
    </row>
    <row r="2013" spans="1:17" s="212" customFormat="1" ht="15.5" x14ac:dyDescent="0.35">
      <c r="A2013" s="198">
        <v>2047</v>
      </c>
      <c r="B2013" s="197" t="s">
        <v>5842</v>
      </c>
      <c r="C2013" s="197">
        <v>1986</v>
      </c>
      <c r="D2013" s="213" t="str">
        <f t="shared" si="22"/>
        <v>2047_1986</v>
      </c>
      <c r="E2013" s="1268">
        <v>0.28452361444352198</v>
      </c>
      <c r="F2013" s="1279">
        <v>2.1830240754512901E-2</v>
      </c>
      <c r="G2013" s="1255">
        <v>7.2410478866773396</v>
      </c>
      <c r="H2013" s="1279">
        <v>0.31674225513349902</v>
      </c>
      <c r="I2013" s="1255">
        <v>5.3034606536890801E-2</v>
      </c>
      <c r="J2013" s="1279">
        <v>2.1390561223948402E-3</v>
      </c>
      <c r="K2013" s="1255">
        <v>3.0000008612871801E-3</v>
      </c>
      <c r="L2013" s="1253">
        <v>2.0000005741525198E-3</v>
      </c>
      <c r="M2013" s="1273">
        <v>2.0000005741525198E-3</v>
      </c>
      <c r="N2013" s="1255">
        <v>3.1850009128239903E-2</v>
      </c>
      <c r="O2013" s="1256">
        <v>3.1850009128239903E-2</v>
      </c>
      <c r="P2013" s="1251">
        <v>1.5925004564119952E-2</v>
      </c>
      <c r="Q2013" s="1254">
        <v>5.54325961069079E-2</v>
      </c>
    </row>
    <row r="2014" spans="1:17" s="212" customFormat="1" ht="15.5" x14ac:dyDescent="0.35">
      <c r="A2014" s="198">
        <v>2047</v>
      </c>
      <c r="B2014" s="197" t="s">
        <v>5842</v>
      </c>
      <c r="C2014" s="197">
        <v>1987</v>
      </c>
      <c r="D2014" s="213" t="str">
        <f t="shared" si="22"/>
        <v>2047_1987</v>
      </c>
      <c r="E2014" s="1268">
        <v>0.28452361444352198</v>
      </c>
      <c r="F2014" s="1279">
        <v>2.1830240754512901E-2</v>
      </c>
      <c r="G2014" s="1255">
        <v>7.2410478866773396</v>
      </c>
      <c r="H2014" s="1279">
        <v>0.31674225513349902</v>
      </c>
      <c r="I2014" s="1255">
        <v>5.3034606536890801E-2</v>
      </c>
      <c r="J2014" s="1279">
        <v>2.1390561223948402E-3</v>
      </c>
      <c r="K2014" s="1255">
        <v>3.0000008612871801E-3</v>
      </c>
      <c r="L2014" s="1253">
        <v>2.0000005741525198E-3</v>
      </c>
      <c r="M2014" s="1273">
        <v>2.0000005741525198E-3</v>
      </c>
      <c r="N2014" s="1255">
        <v>3.1850009128239903E-2</v>
      </c>
      <c r="O2014" s="1256">
        <v>3.1850009128239903E-2</v>
      </c>
      <c r="P2014" s="1251">
        <v>1.5925004564119952E-2</v>
      </c>
      <c r="Q2014" s="1254">
        <v>5.54325961069079E-2</v>
      </c>
    </row>
    <row r="2015" spans="1:17" s="212" customFormat="1" ht="15.5" x14ac:dyDescent="0.35">
      <c r="A2015" s="198">
        <v>2047</v>
      </c>
      <c r="B2015" s="197" t="s">
        <v>5842</v>
      </c>
      <c r="C2015" s="197">
        <v>1988</v>
      </c>
      <c r="D2015" s="213" t="str">
        <f t="shared" si="22"/>
        <v>2047_1988</v>
      </c>
      <c r="E2015" s="1268">
        <v>0.28452361444352198</v>
      </c>
      <c r="F2015" s="1279">
        <v>2.1830240754512901E-2</v>
      </c>
      <c r="G2015" s="1255">
        <v>7.2410478866773396</v>
      </c>
      <c r="H2015" s="1279">
        <v>0.31674225513349902</v>
      </c>
      <c r="I2015" s="1255">
        <v>5.3034606536890801E-2</v>
      </c>
      <c r="J2015" s="1279">
        <v>2.1390561223948402E-3</v>
      </c>
      <c r="K2015" s="1255">
        <v>3.0000008612871801E-3</v>
      </c>
      <c r="L2015" s="1253">
        <v>2.0000005741525198E-3</v>
      </c>
      <c r="M2015" s="1273">
        <v>2.0000005741525198E-3</v>
      </c>
      <c r="N2015" s="1255">
        <v>3.1850009128239903E-2</v>
      </c>
      <c r="O2015" s="1256">
        <v>3.1850009128239903E-2</v>
      </c>
      <c r="P2015" s="1251">
        <v>1.5925004564119952E-2</v>
      </c>
      <c r="Q2015" s="1254">
        <v>5.54325961069079E-2</v>
      </c>
    </row>
    <row r="2016" spans="1:17" s="212" customFormat="1" ht="15.5" x14ac:dyDescent="0.35">
      <c r="A2016" s="198">
        <v>2047</v>
      </c>
      <c r="B2016" s="197" t="s">
        <v>5842</v>
      </c>
      <c r="C2016" s="197">
        <v>1989</v>
      </c>
      <c r="D2016" s="213" t="str">
        <f t="shared" si="22"/>
        <v>2047_1989</v>
      </c>
      <c r="E2016" s="1268">
        <v>0.28452361444352198</v>
      </c>
      <c r="F2016" s="1279">
        <v>2.1830240754512901E-2</v>
      </c>
      <c r="G2016" s="1255">
        <v>7.2410478866773396</v>
      </c>
      <c r="H2016" s="1279">
        <v>0.31674225513349902</v>
      </c>
      <c r="I2016" s="1255">
        <v>5.3034606536890801E-2</v>
      </c>
      <c r="J2016" s="1279">
        <v>2.1390561223948402E-3</v>
      </c>
      <c r="K2016" s="1255">
        <v>3.0000008612871801E-3</v>
      </c>
      <c r="L2016" s="1253">
        <v>2.0000005741525198E-3</v>
      </c>
      <c r="M2016" s="1273">
        <v>2.0000005741525198E-3</v>
      </c>
      <c r="N2016" s="1255">
        <v>3.1850009128239903E-2</v>
      </c>
      <c r="O2016" s="1256">
        <v>3.1850009128239903E-2</v>
      </c>
      <c r="P2016" s="1251">
        <v>1.5925004564119952E-2</v>
      </c>
      <c r="Q2016" s="1254">
        <v>5.54325961069079E-2</v>
      </c>
    </row>
    <row r="2017" spans="1:17" s="212" customFormat="1" ht="15.5" x14ac:dyDescent="0.35">
      <c r="A2017" s="198">
        <v>2047</v>
      </c>
      <c r="B2017" s="197" t="s">
        <v>5842</v>
      </c>
      <c r="C2017" s="197">
        <v>1990</v>
      </c>
      <c r="D2017" s="213" t="str">
        <f t="shared" si="22"/>
        <v>2047_1990</v>
      </c>
      <c r="E2017" s="1268">
        <v>0.28452361444352198</v>
      </c>
      <c r="F2017" s="1279">
        <v>2.1830240754512901E-2</v>
      </c>
      <c r="G2017" s="1255">
        <v>7.2410478866773396</v>
      </c>
      <c r="H2017" s="1279">
        <v>0.31674225513349902</v>
      </c>
      <c r="I2017" s="1255">
        <v>5.3034606536890801E-2</v>
      </c>
      <c r="J2017" s="1279">
        <v>2.1390561223948402E-3</v>
      </c>
      <c r="K2017" s="1255">
        <v>3.0000008612871801E-3</v>
      </c>
      <c r="L2017" s="1253">
        <v>2.0000005741525198E-3</v>
      </c>
      <c r="M2017" s="1273">
        <v>2.0000005741525198E-3</v>
      </c>
      <c r="N2017" s="1255">
        <v>3.1850009128239903E-2</v>
      </c>
      <c r="O2017" s="1256">
        <v>3.1850009128239903E-2</v>
      </c>
      <c r="P2017" s="1251">
        <v>1.5925004564119952E-2</v>
      </c>
      <c r="Q2017" s="1254">
        <v>5.54325961069079E-2</v>
      </c>
    </row>
    <row r="2018" spans="1:17" s="212" customFormat="1" ht="15.5" x14ac:dyDescent="0.35">
      <c r="A2018" s="198">
        <v>2047</v>
      </c>
      <c r="B2018" s="197" t="s">
        <v>5842</v>
      </c>
      <c r="C2018" s="197">
        <v>1991</v>
      </c>
      <c r="D2018" s="213" t="str">
        <f t="shared" si="22"/>
        <v>2047_1991</v>
      </c>
      <c r="E2018" s="1268">
        <v>0.28452361444352198</v>
      </c>
      <c r="F2018" s="1279">
        <v>2.1830240754512901E-2</v>
      </c>
      <c r="G2018" s="1255">
        <v>7.2410478866773396</v>
      </c>
      <c r="H2018" s="1279">
        <v>0.31674225513349902</v>
      </c>
      <c r="I2018" s="1255">
        <v>5.3034606536890801E-2</v>
      </c>
      <c r="J2018" s="1279">
        <v>2.1390561223948402E-3</v>
      </c>
      <c r="K2018" s="1255">
        <v>3.0000008612871801E-3</v>
      </c>
      <c r="L2018" s="1253">
        <v>2.0000005741525198E-3</v>
      </c>
      <c r="M2018" s="1273">
        <v>2.0000005741525198E-3</v>
      </c>
      <c r="N2018" s="1255">
        <v>3.1850009128239903E-2</v>
      </c>
      <c r="O2018" s="1256">
        <v>3.1850009128239903E-2</v>
      </c>
      <c r="P2018" s="1251">
        <v>1.5925004564119952E-2</v>
      </c>
      <c r="Q2018" s="1254">
        <v>5.54325961069079E-2</v>
      </c>
    </row>
    <row r="2019" spans="1:17" s="212" customFormat="1" ht="15.5" x14ac:dyDescent="0.35">
      <c r="A2019" s="198">
        <v>2047</v>
      </c>
      <c r="B2019" s="197" t="s">
        <v>5842</v>
      </c>
      <c r="C2019" s="197">
        <v>1992</v>
      </c>
      <c r="D2019" s="213" t="str">
        <f t="shared" si="22"/>
        <v>2047_1992</v>
      </c>
      <c r="E2019" s="1268">
        <v>0.28452361444352198</v>
      </c>
      <c r="F2019" s="1279">
        <v>2.1830240754512901E-2</v>
      </c>
      <c r="G2019" s="1255">
        <v>7.2410478866773396</v>
      </c>
      <c r="H2019" s="1279">
        <v>0.31674225513349902</v>
      </c>
      <c r="I2019" s="1255">
        <v>5.3034606536890801E-2</v>
      </c>
      <c r="J2019" s="1279">
        <v>2.1390561223948402E-3</v>
      </c>
      <c r="K2019" s="1255">
        <v>3.0000008612871801E-3</v>
      </c>
      <c r="L2019" s="1253">
        <v>2.0000005741525198E-3</v>
      </c>
      <c r="M2019" s="1273">
        <v>2.0000005741525198E-3</v>
      </c>
      <c r="N2019" s="1255">
        <v>3.1850009128239903E-2</v>
      </c>
      <c r="O2019" s="1256">
        <v>3.1850009128239903E-2</v>
      </c>
      <c r="P2019" s="1251">
        <v>1.5925004564119952E-2</v>
      </c>
      <c r="Q2019" s="1254">
        <v>5.54325961069079E-2</v>
      </c>
    </row>
    <row r="2020" spans="1:17" s="212" customFormat="1" ht="15.5" x14ac:dyDescent="0.35">
      <c r="A2020" s="198">
        <v>2047</v>
      </c>
      <c r="B2020" s="197" t="s">
        <v>5842</v>
      </c>
      <c r="C2020" s="197">
        <v>1993</v>
      </c>
      <c r="D2020" s="213" t="str">
        <f t="shared" si="22"/>
        <v>2047_1993</v>
      </c>
      <c r="E2020" s="1268">
        <v>0.28452361444352198</v>
      </c>
      <c r="F2020" s="1279">
        <v>2.1830240754512901E-2</v>
      </c>
      <c r="G2020" s="1255">
        <v>7.2410478866773396</v>
      </c>
      <c r="H2020" s="1279">
        <v>0.31674225513349902</v>
      </c>
      <c r="I2020" s="1255">
        <v>5.3034606536890801E-2</v>
      </c>
      <c r="J2020" s="1279">
        <v>2.1390561223948402E-3</v>
      </c>
      <c r="K2020" s="1255">
        <v>3.0000008612871801E-3</v>
      </c>
      <c r="L2020" s="1253">
        <v>2.0000005741525198E-3</v>
      </c>
      <c r="M2020" s="1273">
        <v>2.0000005741525198E-3</v>
      </c>
      <c r="N2020" s="1255">
        <v>3.1850009128239903E-2</v>
      </c>
      <c r="O2020" s="1256">
        <v>3.1850009128239903E-2</v>
      </c>
      <c r="P2020" s="1251">
        <v>1.5925004564119952E-2</v>
      </c>
      <c r="Q2020" s="1254">
        <v>5.54325961069079E-2</v>
      </c>
    </row>
    <row r="2021" spans="1:17" s="212" customFormat="1" ht="15.5" x14ac:dyDescent="0.35">
      <c r="A2021" s="198">
        <v>2047</v>
      </c>
      <c r="B2021" s="197" t="s">
        <v>5842</v>
      </c>
      <c r="C2021" s="197">
        <v>1994</v>
      </c>
      <c r="D2021" s="213" t="str">
        <f t="shared" si="22"/>
        <v>2047_1994</v>
      </c>
      <c r="E2021" s="1268">
        <v>0.28452361444352198</v>
      </c>
      <c r="F2021" s="1279">
        <v>2.1830240754512901E-2</v>
      </c>
      <c r="G2021" s="1255">
        <v>7.2410478866773396</v>
      </c>
      <c r="H2021" s="1279">
        <v>0.31674225513349902</v>
      </c>
      <c r="I2021" s="1255">
        <v>5.3034606536890801E-2</v>
      </c>
      <c r="J2021" s="1279">
        <v>2.1390561223948402E-3</v>
      </c>
      <c r="K2021" s="1255">
        <v>3.0000008612871801E-3</v>
      </c>
      <c r="L2021" s="1253">
        <v>2.0000005741525198E-3</v>
      </c>
      <c r="M2021" s="1273">
        <v>2.0000005741525198E-3</v>
      </c>
      <c r="N2021" s="1255">
        <v>3.1850009128239903E-2</v>
      </c>
      <c r="O2021" s="1256">
        <v>3.1850009128239903E-2</v>
      </c>
      <c r="P2021" s="1251">
        <v>1.5925004564119952E-2</v>
      </c>
      <c r="Q2021" s="1254">
        <v>5.54325961069079E-2</v>
      </c>
    </row>
    <row r="2022" spans="1:17" s="212" customFormat="1" ht="15.5" x14ac:dyDescent="0.35">
      <c r="A2022" s="198">
        <v>2047</v>
      </c>
      <c r="B2022" s="197" t="s">
        <v>5842</v>
      </c>
      <c r="C2022" s="197">
        <v>1995</v>
      </c>
      <c r="D2022" s="213" t="str">
        <f t="shared" si="22"/>
        <v>2047_1995</v>
      </c>
      <c r="E2022" s="1268">
        <v>0.28452361444352198</v>
      </c>
      <c r="F2022" s="1279">
        <v>2.1830240754512901E-2</v>
      </c>
      <c r="G2022" s="1255">
        <v>7.2410478866773396</v>
      </c>
      <c r="H2022" s="1279">
        <v>0.31674225513349902</v>
      </c>
      <c r="I2022" s="1255">
        <v>5.3034606536890801E-2</v>
      </c>
      <c r="J2022" s="1279">
        <v>2.1390561223948402E-3</v>
      </c>
      <c r="K2022" s="1255">
        <v>3.0000008612871801E-3</v>
      </c>
      <c r="L2022" s="1253">
        <v>2.0000005741525198E-3</v>
      </c>
      <c r="M2022" s="1273">
        <v>2.0000005741525198E-3</v>
      </c>
      <c r="N2022" s="1255">
        <v>3.1850009128239903E-2</v>
      </c>
      <c r="O2022" s="1256">
        <v>3.1850009128239903E-2</v>
      </c>
      <c r="P2022" s="1251">
        <v>1.5925004564119952E-2</v>
      </c>
      <c r="Q2022" s="1254">
        <v>5.54325961069079E-2</v>
      </c>
    </row>
    <row r="2023" spans="1:17" s="212" customFormat="1" ht="15.5" x14ac:dyDescent="0.35">
      <c r="A2023" s="198">
        <v>2047</v>
      </c>
      <c r="B2023" s="197" t="s">
        <v>5842</v>
      </c>
      <c r="C2023" s="197">
        <v>1996</v>
      </c>
      <c r="D2023" s="213" t="str">
        <f t="shared" si="22"/>
        <v>2047_1996</v>
      </c>
      <c r="E2023" s="1268">
        <v>0.28452361444352198</v>
      </c>
      <c r="F2023" s="1279">
        <v>2.1830240754512901E-2</v>
      </c>
      <c r="G2023" s="1255">
        <v>7.2410478866773396</v>
      </c>
      <c r="H2023" s="1279">
        <v>0.31674225513349902</v>
      </c>
      <c r="I2023" s="1255">
        <v>5.3034606536890801E-2</v>
      </c>
      <c r="J2023" s="1279">
        <v>2.1390561223948402E-3</v>
      </c>
      <c r="K2023" s="1255">
        <v>3.0000008612871801E-3</v>
      </c>
      <c r="L2023" s="1253">
        <v>2.0000005741525198E-3</v>
      </c>
      <c r="M2023" s="1273">
        <v>2.0000005741525198E-3</v>
      </c>
      <c r="N2023" s="1255">
        <v>3.1850009128239903E-2</v>
      </c>
      <c r="O2023" s="1256">
        <v>3.1850009128239903E-2</v>
      </c>
      <c r="P2023" s="1251">
        <v>1.5925004564119952E-2</v>
      </c>
      <c r="Q2023" s="1254">
        <v>5.54325961069079E-2</v>
      </c>
    </row>
    <row r="2024" spans="1:17" s="212" customFormat="1" ht="15.5" x14ac:dyDescent="0.35">
      <c r="A2024" s="198">
        <v>2047</v>
      </c>
      <c r="B2024" s="197" t="s">
        <v>5842</v>
      </c>
      <c r="C2024" s="197">
        <v>1997</v>
      </c>
      <c r="D2024" s="213" t="str">
        <f t="shared" si="22"/>
        <v>2047_1997</v>
      </c>
      <c r="E2024" s="1268">
        <v>0.28452361444352198</v>
      </c>
      <c r="F2024" s="1279">
        <v>2.1830240754512901E-2</v>
      </c>
      <c r="G2024" s="1255">
        <v>7.2410478866773396</v>
      </c>
      <c r="H2024" s="1279">
        <v>0.31674225513349902</v>
      </c>
      <c r="I2024" s="1255">
        <v>5.3034606536890801E-2</v>
      </c>
      <c r="J2024" s="1279">
        <v>2.1390561223948402E-3</v>
      </c>
      <c r="K2024" s="1255">
        <v>3.0000008612871801E-3</v>
      </c>
      <c r="L2024" s="1253">
        <v>2.0000005741525198E-3</v>
      </c>
      <c r="M2024" s="1273">
        <v>2.0000005741525198E-3</v>
      </c>
      <c r="N2024" s="1255">
        <v>3.1850009128239903E-2</v>
      </c>
      <c r="O2024" s="1256">
        <v>3.1850009128239903E-2</v>
      </c>
      <c r="P2024" s="1251">
        <v>1.5925004564119952E-2</v>
      </c>
      <c r="Q2024" s="1254">
        <v>5.54325961069079E-2</v>
      </c>
    </row>
    <row r="2025" spans="1:17" s="212" customFormat="1" ht="15.5" x14ac:dyDescent="0.35">
      <c r="A2025" s="198">
        <v>2047</v>
      </c>
      <c r="B2025" s="197" t="s">
        <v>5842</v>
      </c>
      <c r="C2025" s="197">
        <v>1998</v>
      </c>
      <c r="D2025" s="213" t="str">
        <f t="shared" si="22"/>
        <v>2047_1998</v>
      </c>
      <c r="E2025" s="1268">
        <v>0.28452361444352198</v>
      </c>
      <c r="F2025" s="1279">
        <v>2.1830240754512901E-2</v>
      </c>
      <c r="G2025" s="1255">
        <v>7.2410478866773396</v>
      </c>
      <c r="H2025" s="1279">
        <v>0.31674225513349902</v>
      </c>
      <c r="I2025" s="1255">
        <v>5.3034606536890801E-2</v>
      </c>
      <c r="J2025" s="1279">
        <v>2.1390561223948402E-3</v>
      </c>
      <c r="K2025" s="1255">
        <v>3.0000008612871801E-3</v>
      </c>
      <c r="L2025" s="1253">
        <v>2.0000005741525198E-3</v>
      </c>
      <c r="M2025" s="1273">
        <v>2.0000005741525198E-3</v>
      </c>
      <c r="N2025" s="1255">
        <v>3.1850009128239903E-2</v>
      </c>
      <c r="O2025" s="1256">
        <v>3.1850009128239903E-2</v>
      </c>
      <c r="P2025" s="1251">
        <v>1.5925004564119952E-2</v>
      </c>
      <c r="Q2025" s="1254">
        <v>5.54325961069079E-2</v>
      </c>
    </row>
    <row r="2026" spans="1:17" s="212" customFormat="1" ht="15.5" x14ac:dyDescent="0.35">
      <c r="A2026" s="198">
        <v>2047</v>
      </c>
      <c r="B2026" s="197" t="s">
        <v>5842</v>
      </c>
      <c r="C2026" s="197">
        <v>1999</v>
      </c>
      <c r="D2026" s="213" t="str">
        <f t="shared" si="22"/>
        <v>2047_1999</v>
      </c>
      <c r="E2026" s="1268">
        <v>0.28452361444352198</v>
      </c>
      <c r="F2026" s="1279">
        <v>2.1830240754512901E-2</v>
      </c>
      <c r="G2026" s="1255">
        <v>7.2410478866773396</v>
      </c>
      <c r="H2026" s="1279">
        <v>0.31674225513349902</v>
      </c>
      <c r="I2026" s="1255">
        <v>5.3034606536890801E-2</v>
      </c>
      <c r="J2026" s="1279">
        <v>2.1390561223948402E-3</v>
      </c>
      <c r="K2026" s="1255">
        <v>3.0000008612871801E-3</v>
      </c>
      <c r="L2026" s="1253">
        <v>2.0000005741525198E-3</v>
      </c>
      <c r="M2026" s="1273">
        <v>2.0000005741525198E-3</v>
      </c>
      <c r="N2026" s="1255">
        <v>3.1850009128239903E-2</v>
      </c>
      <c r="O2026" s="1256">
        <v>3.1850009128239903E-2</v>
      </c>
      <c r="P2026" s="1251">
        <v>1.5925004564119952E-2</v>
      </c>
      <c r="Q2026" s="1254">
        <v>5.54325961069079E-2</v>
      </c>
    </row>
    <row r="2027" spans="1:17" s="212" customFormat="1" ht="15.5" x14ac:dyDescent="0.35">
      <c r="A2027" s="198">
        <v>2047</v>
      </c>
      <c r="B2027" s="197" t="s">
        <v>5842</v>
      </c>
      <c r="C2027" s="197">
        <v>2000</v>
      </c>
      <c r="D2027" s="213" t="str">
        <f t="shared" si="22"/>
        <v>2047_2000</v>
      </c>
      <c r="E2027" s="1268">
        <v>0.28452361444352198</v>
      </c>
      <c r="F2027" s="1279">
        <v>2.1830240754512901E-2</v>
      </c>
      <c r="G2027" s="1255">
        <v>7.2410478866773396</v>
      </c>
      <c r="H2027" s="1279">
        <v>0.31674225513349902</v>
      </c>
      <c r="I2027" s="1255">
        <v>5.3034606536890801E-2</v>
      </c>
      <c r="J2027" s="1279">
        <v>2.1390561223948402E-3</v>
      </c>
      <c r="K2027" s="1255">
        <v>3.0000008612871801E-3</v>
      </c>
      <c r="L2027" s="1253">
        <v>2.0000005741525198E-3</v>
      </c>
      <c r="M2027" s="1273">
        <v>2.0000005741525198E-3</v>
      </c>
      <c r="N2027" s="1255">
        <v>3.1850009128239903E-2</v>
      </c>
      <c r="O2027" s="1256">
        <v>3.1850009128239903E-2</v>
      </c>
      <c r="P2027" s="1251">
        <v>1.5925004564119952E-2</v>
      </c>
      <c r="Q2027" s="1254">
        <v>5.54325961069079E-2</v>
      </c>
    </row>
    <row r="2028" spans="1:17" s="212" customFormat="1" ht="15.5" x14ac:dyDescent="0.35">
      <c r="A2028" s="198">
        <v>2047</v>
      </c>
      <c r="B2028" s="197" t="s">
        <v>5842</v>
      </c>
      <c r="C2028" s="197">
        <v>2001</v>
      </c>
      <c r="D2028" s="213" t="str">
        <f t="shared" si="22"/>
        <v>2047_2001</v>
      </c>
      <c r="E2028" s="1268">
        <v>0.28452361444352198</v>
      </c>
      <c r="F2028" s="1279">
        <v>2.1830240754512901E-2</v>
      </c>
      <c r="G2028" s="1255">
        <v>7.2410478866773396</v>
      </c>
      <c r="H2028" s="1279">
        <v>0.31674225513349902</v>
      </c>
      <c r="I2028" s="1255">
        <v>5.3034606536890801E-2</v>
      </c>
      <c r="J2028" s="1279">
        <v>2.1390561223948402E-3</v>
      </c>
      <c r="K2028" s="1255">
        <v>3.0000008612871801E-3</v>
      </c>
      <c r="L2028" s="1253">
        <v>2.0000005741525198E-3</v>
      </c>
      <c r="M2028" s="1273">
        <v>2.0000005741525198E-3</v>
      </c>
      <c r="N2028" s="1255">
        <v>3.1850009128239903E-2</v>
      </c>
      <c r="O2028" s="1256">
        <v>3.1850009128239903E-2</v>
      </c>
      <c r="P2028" s="1251">
        <v>1.5925004564119952E-2</v>
      </c>
      <c r="Q2028" s="1254">
        <v>5.54325961069079E-2</v>
      </c>
    </row>
    <row r="2029" spans="1:17" s="212" customFormat="1" ht="15.5" x14ac:dyDescent="0.35">
      <c r="A2029" s="198">
        <v>2047</v>
      </c>
      <c r="B2029" s="197" t="s">
        <v>5842</v>
      </c>
      <c r="C2029" s="197">
        <v>2002</v>
      </c>
      <c r="D2029" s="213" t="str">
        <f t="shared" si="22"/>
        <v>2047_2002</v>
      </c>
      <c r="E2029" s="1268">
        <v>0.28452361444352198</v>
      </c>
      <c r="F2029" s="1279">
        <v>2.1830240754512901E-2</v>
      </c>
      <c r="G2029" s="1255">
        <v>7.2410478866773396</v>
      </c>
      <c r="H2029" s="1279">
        <v>0.31674225513349902</v>
      </c>
      <c r="I2029" s="1255">
        <v>5.3034606536890801E-2</v>
      </c>
      <c r="J2029" s="1279">
        <v>2.1390561223948402E-3</v>
      </c>
      <c r="K2029" s="1255">
        <v>3.0000008612871801E-3</v>
      </c>
      <c r="L2029" s="1253">
        <v>2.0000005741525198E-3</v>
      </c>
      <c r="M2029" s="1273">
        <v>2.0000005741525198E-3</v>
      </c>
      <c r="N2029" s="1255">
        <v>3.1850009128239903E-2</v>
      </c>
      <c r="O2029" s="1256">
        <v>3.1850009128239903E-2</v>
      </c>
      <c r="P2029" s="1251">
        <v>1.5925004564119952E-2</v>
      </c>
      <c r="Q2029" s="1254">
        <v>5.54325961069079E-2</v>
      </c>
    </row>
    <row r="2030" spans="1:17" s="212" customFormat="1" ht="15.5" x14ac:dyDescent="0.35">
      <c r="A2030" s="198">
        <v>2047</v>
      </c>
      <c r="B2030" s="197" t="s">
        <v>5842</v>
      </c>
      <c r="C2030" s="197">
        <v>2003</v>
      </c>
      <c r="D2030" s="213" t="str">
        <f t="shared" si="22"/>
        <v>2047_2003</v>
      </c>
      <c r="E2030" s="1267">
        <v>0.28452361444352198</v>
      </c>
      <c r="F2030" s="1278">
        <v>2.1830240754512901E-2</v>
      </c>
      <c r="G2030" s="1248">
        <v>7.2410478866773396</v>
      </c>
      <c r="H2030" s="1278">
        <v>0.31674225513349902</v>
      </c>
      <c r="I2030" s="1248">
        <v>5.3034606536890801E-2</v>
      </c>
      <c r="J2030" s="1278">
        <v>2.1390561223948402E-3</v>
      </c>
      <c r="K2030" s="1248">
        <v>3.0000008612871801E-3</v>
      </c>
      <c r="L2030" s="1250">
        <v>2.0000005741525198E-3</v>
      </c>
      <c r="M2030" s="1273">
        <v>2.0000005741525198E-3</v>
      </c>
      <c r="N2030" s="1248">
        <v>3.1850009128239903E-2</v>
      </c>
      <c r="O2030" s="1249">
        <v>3.1850009128239903E-2</v>
      </c>
      <c r="P2030" s="1251">
        <v>1.5925004564119952E-2</v>
      </c>
      <c r="Q2030" s="1252">
        <v>5.54325961069079E-2</v>
      </c>
    </row>
    <row r="2031" spans="1:17" s="212" customFormat="1" ht="15.5" x14ac:dyDescent="0.35">
      <c r="A2031" s="198">
        <v>2047</v>
      </c>
      <c r="B2031" s="197" t="s">
        <v>5842</v>
      </c>
      <c r="C2031" s="197">
        <v>2004</v>
      </c>
      <c r="D2031" s="213" t="str">
        <f t="shared" si="22"/>
        <v>2047_2004</v>
      </c>
      <c r="E2031" s="1267">
        <v>0.57596022877430098</v>
      </c>
      <c r="F2031" s="1278">
        <v>1.4288087845820399E-2</v>
      </c>
      <c r="G2031" s="1248">
        <v>4.1420735792386401</v>
      </c>
      <c r="H2031" s="1278">
        <v>0.26783169210851299</v>
      </c>
      <c r="I2031" s="1248">
        <v>0.15004084851729199</v>
      </c>
      <c r="J2031" s="1278">
        <v>1.3905997521143599E-4</v>
      </c>
      <c r="K2031" s="1248">
        <v>3.0000008612811099E-3</v>
      </c>
      <c r="L2031" s="1250">
        <v>2.0000005740870501E-3</v>
      </c>
      <c r="M2031" s="1273">
        <v>2.0000005740870501E-3</v>
      </c>
      <c r="N2031" s="1248">
        <v>3.1850009128239903E-2</v>
      </c>
      <c r="O2031" s="1249">
        <v>3.1850009128239903E-2</v>
      </c>
      <c r="P2031" s="1251">
        <v>1.5925004564119952E-2</v>
      </c>
      <c r="Q2031" s="1252">
        <v>0.15682502989083999</v>
      </c>
    </row>
    <row r="2032" spans="1:17" s="212" customFormat="1" ht="15.5" x14ac:dyDescent="0.35">
      <c r="A2032" s="198">
        <v>2047</v>
      </c>
      <c r="B2032" s="197" t="s">
        <v>5842</v>
      </c>
      <c r="C2032" s="197">
        <v>2005</v>
      </c>
      <c r="D2032" s="213" t="str">
        <f t="shared" si="22"/>
        <v>2047_2005</v>
      </c>
      <c r="E2032" s="1267">
        <v>0.57368789626446803</v>
      </c>
      <c r="F2032" s="1278">
        <v>1.44304756696503E-2</v>
      </c>
      <c r="G2032" s="1248">
        <v>4.1348171773216498</v>
      </c>
      <c r="H2032" s="1278">
        <v>0.26986906777812503</v>
      </c>
      <c r="I2032" s="1248">
        <v>0.149543102981161</v>
      </c>
      <c r="J2032" s="1278">
        <v>1.410032761274E-4</v>
      </c>
      <c r="K2032" s="1248">
        <v>3.0000008612580701E-3</v>
      </c>
      <c r="L2032" s="1250">
        <v>2.0000005741253701E-3</v>
      </c>
      <c r="M2032" s="1273">
        <v>2.0000005741253701E-3</v>
      </c>
      <c r="N2032" s="1248">
        <v>3.1850009128239903E-2</v>
      </c>
      <c r="O2032" s="1249">
        <v>3.1850009128239903E-2</v>
      </c>
      <c r="P2032" s="1251">
        <v>1.5925004564119952E-2</v>
      </c>
      <c r="Q2032" s="1252">
        <v>0.15630477851027699</v>
      </c>
    </row>
    <row r="2033" spans="1:17" s="212" customFormat="1" ht="15.5" x14ac:dyDescent="0.35">
      <c r="A2033" s="198">
        <v>2047</v>
      </c>
      <c r="B2033" s="197" t="s">
        <v>5842</v>
      </c>
      <c r="C2033" s="197">
        <v>2006</v>
      </c>
      <c r="D2033" s="213" t="str">
        <f t="shared" si="22"/>
        <v>2047_2006</v>
      </c>
      <c r="E2033" s="1267">
        <v>0.56996896290162502</v>
      </c>
      <c r="F2033" s="1278">
        <v>1.4594930841423E-2</v>
      </c>
      <c r="G2033" s="1248">
        <v>4.1219850198056296</v>
      </c>
      <c r="H2033" s="1278">
        <v>0.27193191225303398</v>
      </c>
      <c r="I2033" s="1248">
        <v>0.148704856008221</v>
      </c>
      <c r="J2033" s="1278">
        <v>1.42010463352516E-4</v>
      </c>
      <c r="K2033" s="1248">
        <v>3.00000086124479E-3</v>
      </c>
      <c r="L2033" s="1250">
        <v>2.0000005741407601E-3</v>
      </c>
      <c r="M2033" s="1273">
        <v>2.0000005741407601E-3</v>
      </c>
      <c r="N2033" s="1248">
        <v>3.1850009128239903E-2</v>
      </c>
      <c r="O2033" s="1249">
        <v>3.1850009128239903E-2</v>
      </c>
      <c r="P2033" s="1251">
        <v>1.5925004564119952E-2</v>
      </c>
      <c r="Q2033" s="1252">
        <v>0.15542862972888699</v>
      </c>
    </row>
    <row r="2034" spans="1:17" s="212" customFormat="1" ht="15.5" x14ac:dyDescent="0.35">
      <c r="A2034" s="198">
        <v>2047</v>
      </c>
      <c r="B2034" s="197" t="s">
        <v>5842</v>
      </c>
      <c r="C2034" s="197">
        <v>2007</v>
      </c>
      <c r="D2034" s="213" t="str">
        <f t="shared" si="22"/>
        <v>2047_2007</v>
      </c>
      <c r="E2034" s="1267">
        <v>0.33251402866049101</v>
      </c>
      <c r="F2034" s="1278">
        <v>1.45312435177282E-2</v>
      </c>
      <c r="G2034" s="1248">
        <v>2.4810370569028</v>
      </c>
      <c r="H2034" s="1278">
        <v>0.27275028215513097</v>
      </c>
      <c r="I2034" s="1248">
        <v>8.7330198682192994E-2</v>
      </c>
      <c r="J2034" s="1278">
        <v>1.4504035288148199E-4</v>
      </c>
      <c r="K2034" s="1248">
        <v>3.0000008612478001E-3</v>
      </c>
      <c r="L2034" s="1250">
        <v>2.0000005741940001E-3</v>
      </c>
      <c r="M2034" s="1273">
        <v>2.0000005741940001E-3</v>
      </c>
      <c r="N2034" s="1248">
        <v>3.1850009128239903E-2</v>
      </c>
      <c r="O2034" s="1249">
        <v>3.1850009128239903E-2</v>
      </c>
      <c r="P2034" s="1251">
        <v>1.5925004564119952E-2</v>
      </c>
      <c r="Q2034" s="1252">
        <v>9.1278882744584497E-2</v>
      </c>
    </row>
    <row r="2035" spans="1:17" s="212" customFormat="1" ht="15.5" x14ac:dyDescent="0.35">
      <c r="A2035" s="198">
        <v>2047</v>
      </c>
      <c r="B2035" s="197" t="s">
        <v>5842</v>
      </c>
      <c r="C2035" s="197">
        <v>2008</v>
      </c>
      <c r="D2035" s="213" t="str">
        <f t="shared" si="22"/>
        <v>2047_2008</v>
      </c>
      <c r="E2035" s="1267">
        <v>0.34007721999488599</v>
      </c>
      <c r="F2035" s="1278">
        <v>9.8795767909677402E-3</v>
      </c>
      <c r="G2035" s="1248">
        <v>2.50551212355973</v>
      </c>
      <c r="H2035" s="1278">
        <v>0.158438088783247</v>
      </c>
      <c r="I2035" s="1248">
        <v>8.8917926122367694E-2</v>
      </c>
      <c r="J2035" s="1278">
        <v>1.41286499242978E-4</v>
      </c>
      <c r="K2035" s="1248">
        <v>3.0000008613357901E-3</v>
      </c>
      <c r="L2035" s="1250">
        <v>2.0000005742200001E-3</v>
      </c>
      <c r="M2035" s="1273">
        <v>2.0000005742200001E-3</v>
      </c>
      <c r="N2035" s="1248">
        <v>3.1850009128239903E-2</v>
      </c>
      <c r="O2035" s="1249">
        <v>3.1850009128239903E-2</v>
      </c>
      <c r="P2035" s="1251">
        <v>1.5925004564119952E-2</v>
      </c>
      <c r="Q2035" s="1252">
        <v>9.2938400174167698E-2</v>
      </c>
    </row>
    <row r="2036" spans="1:17" s="212" customFormat="1" ht="15.5" x14ac:dyDescent="0.35">
      <c r="A2036" s="198">
        <v>2047</v>
      </c>
      <c r="B2036" s="197" t="s">
        <v>5842</v>
      </c>
      <c r="C2036" s="197">
        <v>2009</v>
      </c>
      <c r="D2036" s="213" t="str">
        <f t="shared" si="22"/>
        <v>2047_2009</v>
      </c>
      <c r="E2036" s="1267">
        <v>0.33848582261723897</v>
      </c>
      <c r="F2036" s="1278">
        <v>4.8021595969191498E-3</v>
      </c>
      <c r="G2036" s="1248">
        <v>2.5003477318187399</v>
      </c>
      <c r="H2036" s="1278">
        <v>4.2921246616865402E-2</v>
      </c>
      <c r="I2036" s="1248">
        <v>8.8567762593570895E-2</v>
      </c>
      <c r="J2036" s="1278">
        <v>1.29844918300646E-4</v>
      </c>
      <c r="K2036" s="1248">
        <v>3.0000008612955402E-3</v>
      </c>
      <c r="L2036" s="1250">
        <v>2.00000057416359E-3</v>
      </c>
      <c r="M2036" s="1273">
        <v>2.00000057416359E-3</v>
      </c>
      <c r="N2036" s="1248">
        <v>3.1850009128239903E-2</v>
      </c>
      <c r="O2036" s="1249">
        <v>3.1850009128239903E-2</v>
      </c>
      <c r="P2036" s="1251">
        <v>1.5925004564119952E-2</v>
      </c>
      <c r="Q2036" s="1252">
        <v>9.2572403804426301E-2</v>
      </c>
    </row>
    <row r="2037" spans="1:17" s="212" customFormat="1" ht="15.5" x14ac:dyDescent="0.35">
      <c r="A2037" s="198">
        <v>2047</v>
      </c>
      <c r="B2037" s="197" t="s">
        <v>5842</v>
      </c>
      <c r="C2037" s="197">
        <v>2010</v>
      </c>
      <c r="D2037" s="213" t="str">
        <f t="shared" si="22"/>
        <v>2047_2010</v>
      </c>
      <c r="E2037" s="1267">
        <v>9.0280828291495002E-2</v>
      </c>
      <c r="F2037" s="1278">
        <v>4.8067483207666004E-3</v>
      </c>
      <c r="G2037" s="1248">
        <v>0.82444309959822204</v>
      </c>
      <c r="H2037" s="1278">
        <v>4.3253597520621197E-2</v>
      </c>
      <c r="I2037" s="1248">
        <v>2.4796631304208099E-2</v>
      </c>
      <c r="J2037" s="1278">
        <v>1.58480783423585E-4</v>
      </c>
      <c r="K2037" s="1248">
        <v>3.0000008613412202E-3</v>
      </c>
      <c r="L2037" s="1250">
        <v>2.00000057414082E-3</v>
      </c>
      <c r="M2037" s="1273">
        <v>2.00000057414082E-3</v>
      </c>
      <c r="N2037" s="1248">
        <v>3.1850009128239903E-2</v>
      </c>
      <c r="O2037" s="1249">
        <v>3.1850009128239903E-2</v>
      </c>
      <c r="P2037" s="1251">
        <v>1.5925004564119952E-2</v>
      </c>
      <c r="Q2037" s="1252">
        <v>2.5917824938362699E-2</v>
      </c>
    </row>
    <row r="2038" spans="1:17" s="212" customFormat="1" ht="15.5" x14ac:dyDescent="0.35">
      <c r="A2038" s="198">
        <v>2047</v>
      </c>
      <c r="B2038" s="197" t="s">
        <v>5842</v>
      </c>
      <c r="C2038" s="197">
        <v>2011</v>
      </c>
      <c r="D2038" s="213" t="str">
        <f t="shared" si="22"/>
        <v>2047_2011</v>
      </c>
      <c r="E2038" s="1267">
        <v>8.9453437822290496E-2</v>
      </c>
      <c r="F2038" s="1278">
        <v>5.0064074123280502E-3</v>
      </c>
      <c r="G2038" s="1248">
        <v>0.82111932827735901</v>
      </c>
      <c r="H2038" s="1278">
        <v>4.3180607503021502E-2</v>
      </c>
      <c r="I2038" s="1248">
        <v>2.4643648622211901E-2</v>
      </c>
      <c r="J2038" s="1278">
        <v>2.16853576567757E-4</v>
      </c>
      <c r="K2038" s="1248">
        <v>3.0000008613127898E-3</v>
      </c>
      <c r="L2038" s="1250">
        <v>2.00000057424075E-3</v>
      </c>
      <c r="M2038" s="1273">
        <v>2.00000057424075E-3</v>
      </c>
      <c r="N2038" s="1248">
        <v>3.1850009128239903E-2</v>
      </c>
      <c r="O2038" s="1249">
        <v>3.1850009128239903E-2</v>
      </c>
      <c r="P2038" s="1251">
        <v>1.5925004564119952E-2</v>
      </c>
      <c r="Q2038" s="1252">
        <v>2.57579250583371E-2</v>
      </c>
    </row>
    <row r="2039" spans="1:17" s="212" customFormat="1" ht="15.5" x14ac:dyDescent="0.35">
      <c r="A2039" s="198">
        <v>2047</v>
      </c>
      <c r="B2039" s="197" t="s">
        <v>5842</v>
      </c>
      <c r="C2039" s="197">
        <v>2012</v>
      </c>
      <c r="D2039" s="213" t="str">
        <f t="shared" si="22"/>
        <v>2047_2012</v>
      </c>
      <c r="E2039" s="1267">
        <v>9.0197840171869298E-2</v>
      </c>
      <c r="F2039" s="1278">
        <v>4.9971234050501098E-3</v>
      </c>
      <c r="G2039" s="1248">
        <v>0.82428346277841102</v>
      </c>
      <c r="H2039" s="1278">
        <v>4.3250308058991001E-2</v>
      </c>
      <c r="I2039" s="1248">
        <v>2.4784153750223099E-2</v>
      </c>
      <c r="J2039" s="1278">
        <v>3.1656255648016999E-4</v>
      </c>
      <c r="K2039" s="1248">
        <v>3.0000008613704499E-3</v>
      </c>
      <c r="L2039" s="1250">
        <v>2.0000005742490199E-3</v>
      </c>
      <c r="M2039" s="1273">
        <v>2.0000005742490199E-3</v>
      </c>
      <c r="N2039" s="1248">
        <v>3.1850009128239903E-2</v>
      </c>
      <c r="O2039" s="1249">
        <v>3.1850009128239903E-2</v>
      </c>
      <c r="P2039" s="1251">
        <v>1.5925004564119952E-2</v>
      </c>
      <c r="Q2039" s="1252">
        <v>2.5904783204754801E-2</v>
      </c>
    </row>
    <row r="2040" spans="1:17" s="212" customFormat="1" ht="15.5" x14ac:dyDescent="0.35">
      <c r="A2040" s="198">
        <v>2047</v>
      </c>
      <c r="B2040" s="197" t="s">
        <v>5842</v>
      </c>
      <c r="C2040" s="197">
        <v>2013</v>
      </c>
      <c r="D2040" s="213" t="str">
        <f t="shared" si="22"/>
        <v>2047_2013</v>
      </c>
      <c r="E2040" s="1267">
        <v>9.0153156677687196E-2</v>
      </c>
      <c r="F2040" s="1278">
        <v>5.0599255351869796E-3</v>
      </c>
      <c r="G2040" s="1248">
        <v>0.82326583259500397</v>
      </c>
      <c r="H2040" s="1278">
        <v>4.3087199824973499E-2</v>
      </c>
      <c r="I2040" s="1248">
        <v>2.47662259749531E-2</v>
      </c>
      <c r="J2040" s="1278">
        <v>4.7511824511892002E-4</v>
      </c>
      <c r="K2040" s="1248">
        <v>3.0000008613940399E-3</v>
      </c>
      <c r="L2040" s="1250">
        <v>2.0000005742847101E-3</v>
      </c>
      <c r="M2040" s="1273">
        <v>2.0000005742847101E-3</v>
      </c>
      <c r="N2040" s="1248">
        <v>3.1850009128239903E-2</v>
      </c>
      <c r="O2040" s="1249">
        <v>3.1850009128239903E-2</v>
      </c>
      <c r="P2040" s="1251">
        <v>1.5925004564119952E-2</v>
      </c>
      <c r="Q2040" s="1252">
        <v>2.58860448150404E-2</v>
      </c>
    </row>
    <row r="2041" spans="1:17" s="212" customFormat="1" ht="15.5" x14ac:dyDescent="0.35">
      <c r="A2041" s="198">
        <v>2047</v>
      </c>
      <c r="B2041" s="197" t="s">
        <v>5842</v>
      </c>
      <c r="C2041" s="197">
        <v>2014</v>
      </c>
      <c r="D2041" s="213" t="str">
        <f t="shared" si="22"/>
        <v>2047_2014</v>
      </c>
      <c r="E2041" s="1267">
        <v>8.9167517895678103E-2</v>
      </c>
      <c r="F2041" s="1278">
        <v>4.96270205491477E-3</v>
      </c>
      <c r="G2041" s="1248">
        <v>0.81945295790692996</v>
      </c>
      <c r="H2041" s="1278">
        <v>4.3361670197427003E-2</v>
      </c>
      <c r="I2041" s="1248">
        <v>2.4585557573226901E-2</v>
      </c>
      <c r="J2041" s="1278">
        <v>6.5970416315638001E-4</v>
      </c>
      <c r="K2041" s="1248">
        <v>3.00000086133002E-3</v>
      </c>
      <c r="L2041" s="1250">
        <v>2.0000005742395401E-3</v>
      </c>
      <c r="M2041" s="1273">
        <v>2.0000005742395401E-3</v>
      </c>
      <c r="N2041" s="1248">
        <v>3.1850009128239903E-2</v>
      </c>
      <c r="O2041" s="1249">
        <v>3.1850009128239903E-2</v>
      </c>
      <c r="P2041" s="1251">
        <v>1.5925004564119952E-2</v>
      </c>
      <c r="Q2041" s="1252">
        <v>2.5697207389892299E-2</v>
      </c>
    </row>
    <row r="2042" spans="1:17" s="212" customFormat="1" ht="15.5" x14ac:dyDescent="0.35">
      <c r="A2042" s="198">
        <v>2047</v>
      </c>
      <c r="B2042" s="197" t="s">
        <v>5842</v>
      </c>
      <c r="C2042" s="197">
        <v>2015</v>
      </c>
      <c r="D2042" s="213" t="str">
        <f t="shared" si="22"/>
        <v>2047_2015</v>
      </c>
      <c r="E2042" s="1267">
        <v>8.94413007169928E-2</v>
      </c>
      <c r="F2042" s="1278">
        <v>5.10619074569197E-3</v>
      </c>
      <c r="G2042" s="1248">
        <v>0.82080907940136005</v>
      </c>
      <c r="H2042" s="1278">
        <v>4.3145922975657197E-2</v>
      </c>
      <c r="I2042" s="1248">
        <v>2.4639120181141502E-2</v>
      </c>
      <c r="J2042" s="1278">
        <v>8.3500589131128898E-4</v>
      </c>
      <c r="K2042" s="1248">
        <v>3.0000008613398298E-3</v>
      </c>
      <c r="L2042" s="1250">
        <v>2.0000005742752498E-3</v>
      </c>
      <c r="M2042" s="1273">
        <v>2.0000005742752498E-3</v>
      </c>
      <c r="N2042" s="1248">
        <v>3.1850009128239903E-2</v>
      </c>
      <c r="O2042" s="1249">
        <v>3.1850009128239903E-2</v>
      </c>
      <c r="P2042" s="1251">
        <v>1.5925004564119952E-2</v>
      </c>
      <c r="Q2042" s="1252">
        <v>2.57531918612562E-2</v>
      </c>
    </row>
    <row r="2043" spans="1:17" s="212" customFormat="1" ht="15.5" x14ac:dyDescent="0.35">
      <c r="A2043" s="198">
        <v>2047</v>
      </c>
      <c r="B2043" s="197" t="s">
        <v>5842</v>
      </c>
      <c r="C2043" s="197">
        <v>2016</v>
      </c>
      <c r="D2043" s="213" t="str">
        <f t="shared" si="22"/>
        <v>2047_2016</v>
      </c>
      <c r="E2043" s="1267">
        <v>8.9624920880564701E-2</v>
      </c>
      <c r="F2043" s="1278">
        <v>4.7341177634793903E-3</v>
      </c>
      <c r="G2043" s="1248">
        <v>0.72636906283178604</v>
      </c>
      <c r="H2043" s="1278">
        <v>4.0593656320866103E-2</v>
      </c>
      <c r="I2043" s="1248">
        <v>2.46770860142758E-2</v>
      </c>
      <c r="J2043" s="1278">
        <v>9.6076498750158204E-4</v>
      </c>
      <c r="K2043" s="1248">
        <v>3.0000008613543798E-3</v>
      </c>
      <c r="L2043" s="1250">
        <v>2.0000005742567E-3</v>
      </c>
      <c r="M2043" s="1273">
        <v>2.0000005742567E-3</v>
      </c>
      <c r="N2043" s="1248">
        <v>3.1850009128239903E-2</v>
      </c>
      <c r="O2043" s="1249">
        <v>3.1850009128239903E-2</v>
      </c>
      <c r="P2043" s="1251">
        <v>1.5925004564119952E-2</v>
      </c>
      <c r="Q2043" s="1252">
        <v>2.57928743408939E-2</v>
      </c>
    </row>
    <row r="2044" spans="1:17" s="212" customFormat="1" ht="15.5" x14ac:dyDescent="0.35">
      <c r="A2044" s="198">
        <v>2047</v>
      </c>
      <c r="B2044" s="197" t="s">
        <v>5842</v>
      </c>
      <c r="C2044" s="197">
        <v>2017</v>
      </c>
      <c r="D2044" s="213" t="str">
        <f t="shared" si="22"/>
        <v>2047_2017</v>
      </c>
      <c r="E2044" s="1267">
        <v>8.8622672762678906E-2</v>
      </c>
      <c r="F2044" s="1278">
        <v>4.5007092284803903E-3</v>
      </c>
      <c r="G2044" s="1248">
        <v>0.62758100971969</v>
      </c>
      <c r="H2044" s="1278">
        <v>3.7940687192681198E-2</v>
      </c>
      <c r="I2044" s="1248">
        <v>2.4485937736155702E-2</v>
      </c>
      <c r="J2044" s="1278">
        <v>1.0358501468624799E-3</v>
      </c>
      <c r="K2044" s="1248">
        <v>3.0000008613006702E-3</v>
      </c>
      <c r="L2044" s="1250">
        <v>2.0000005743073899E-3</v>
      </c>
      <c r="M2044" s="1273">
        <v>2.0000005743073899E-3</v>
      </c>
      <c r="N2044" s="1248">
        <v>3.1850009128239903E-2</v>
      </c>
      <c r="O2044" s="1249">
        <v>3.1850009128239903E-2</v>
      </c>
      <c r="P2044" s="1251">
        <v>1.5925004564119952E-2</v>
      </c>
      <c r="Q2044" s="1252">
        <v>2.5593083185845199E-2</v>
      </c>
    </row>
    <row r="2045" spans="1:17" s="212" customFormat="1" ht="15.5" x14ac:dyDescent="0.35">
      <c r="A2045" s="198">
        <v>2047</v>
      </c>
      <c r="B2045" s="197" t="s">
        <v>5842</v>
      </c>
      <c r="C2045" s="197">
        <v>2018</v>
      </c>
      <c r="D2045" s="213" t="str">
        <f t="shared" si="22"/>
        <v>2047_2018</v>
      </c>
      <c r="E2045" s="1267">
        <v>8.9590759528550196E-2</v>
      </c>
      <c r="F2045" s="1278">
        <v>4.0001806565543698E-3</v>
      </c>
      <c r="G2045" s="1248">
        <v>0.52252690660988799</v>
      </c>
      <c r="H2045" s="1278">
        <v>3.4201785555160902E-2</v>
      </c>
      <c r="I2045" s="1248">
        <v>2.4674149813992099E-2</v>
      </c>
      <c r="J2045" s="1278">
        <v>1.0774410790781301E-3</v>
      </c>
      <c r="K2045" s="1248">
        <v>3.0000008613602501E-3</v>
      </c>
      <c r="L2045" s="1250">
        <v>2.0000005742596698E-3</v>
      </c>
      <c r="M2045" s="1273">
        <v>2.0000005742596698E-3</v>
      </c>
      <c r="N2045" s="1248">
        <v>3.1850009128239903E-2</v>
      </c>
      <c r="O2045" s="1249">
        <v>3.1850009128239903E-2</v>
      </c>
      <c r="P2045" s="1251">
        <v>1.5925004564119952E-2</v>
      </c>
      <c r="Q2045" s="1252">
        <v>2.5789805378662701E-2</v>
      </c>
    </row>
    <row r="2046" spans="1:17" s="212" customFormat="1" ht="15.5" x14ac:dyDescent="0.35">
      <c r="A2046" s="198">
        <v>2047</v>
      </c>
      <c r="B2046" s="197" t="s">
        <v>5842</v>
      </c>
      <c r="C2046" s="197">
        <v>2019</v>
      </c>
      <c r="D2046" s="213" t="str">
        <f t="shared" si="22"/>
        <v>2047_2019</v>
      </c>
      <c r="E2046" s="1267">
        <v>8.9909583987126396E-2</v>
      </c>
      <c r="F2046" s="1278">
        <v>3.47786228362098E-3</v>
      </c>
      <c r="G2046" s="1248">
        <v>0.45419864145170302</v>
      </c>
      <c r="H2046" s="1278">
        <v>3.0321777907929202E-2</v>
      </c>
      <c r="I2046" s="1248">
        <v>2.4734779643526598E-2</v>
      </c>
      <c r="J2046" s="1278">
        <v>1.09975049479078E-3</v>
      </c>
      <c r="K2046" s="1248">
        <v>3.0000008614092899E-3</v>
      </c>
      <c r="L2046" s="1250">
        <v>2.0000005742148901E-3</v>
      </c>
      <c r="M2046" s="1273">
        <v>2.0000005742148901E-3</v>
      </c>
      <c r="N2046" s="1248">
        <v>3.1850009128239903E-2</v>
      </c>
      <c r="O2046" s="1249">
        <v>3.1850009128239903E-2</v>
      </c>
      <c r="P2046" s="1251">
        <v>1.5925004564119952E-2</v>
      </c>
      <c r="Q2046" s="1252">
        <v>2.58531766200478E-2</v>
      </c>
    </row>
    <row r="2047" spans="1:17" s="212" customFormat="1" ht="15.5" x14ac:dyDescent="0.35">
      <c r="A2047" s="198">
        <v>2047</v>
      </c>
      <c r="B2047" s="197" t="s">
        <v>5842</v>
      </c>
      <c r="C2047" s="197">
        <v>2020</v>
      </c>
      <c r="D2047" s="213" t="str">
        <f t="shared" si="22"/>
        <v>2047_2020</v>
      </c>
      <c r="E2047" s="1267">
        <v>7.9076925467398501E-2</v>
      </c>
      <c r="F2047" s="1278">
        <v>2.84619683420905E-3</v>
      </c>
      <c r="G2047" s="1248">
        <v>0.35993636345590702</v>
      </c>
      <c r="H2047" s="1278">
        <v>2.66869700645E-2</v>
      </c>
      <c r="I2047" s="1248">
        <v>2.2623791752671998E-2</v>
      </c>
      <c r="J2047" s="1278">
        <v>1.0864597861004E-3</v>
      </c>
      <c r="K2047" s="1248">
        <v>3.0000008609816298E-3</v>
      </c>
      <c r="L2047" s="1250">
        <v>2.0000005740849502E-3</v>
      </c>
      <c r="M2047" s="1273">
        <v>2.0000005740849502E-3</v>
      </c>
      <c r="N2047" s="1248">
        <v>3.1850009128239903E-2</v>
      </c>
      <c r="O2047" s="1249">
        <v>3.1850009128239903E-2</v>
      </c>
      <c r="P2047" s="1251">
        <v>1.5925004564119952E-2</v>
      </c>
      <c r="Q2047" s="1252">
        <v>2.3646739224138701E-2</v>
      </c>
    </row>
    <row r="2048" spans="1:17" s="212" customFormat="1" ht="15.5" x14ac:dyDescent="0.35">
      <c r="A2048" s="198">
        <v>2047</v>
      </c>
      <c r="B2048" s="197" t="s">
        <v>5842</v>
      </c>
      <c r="C2048" s="197">
        <v>2021</v>
      </c>
      <c r="D2048" s="213" t="str">
        <f t="shared" si="22"/>
        <v>2047_2021</v>
      </c>
      <c r="E2048" s="1267">
        <v>7.9112743213683404E-2</v>
      </c>
      <c r="F2048" s="1278">
        <v>2.43052977608565E-3</v>
      </c>
      <c r="G2048" s="1248">
        <v>0.29520554689480999</v>
      </c>
      <c r="H2048" s="1278">
        <v>2.2773262855681001E-2</v>
      </c>
      <c r="I2048" s="1248">
        <v>2.26309961210872E-2</v>
      </c>
      <c r="J2048" s="1278">
        <v>1.08662875841908E-3</v>
      </c>
      <c r="K2048" s="1248">
        <v>3.0000008609839201E-3</v>
      </c>
      <c r="L2048" s="1250">
        <v>2.0000005740866702E-3</v>
      </c>
      <c r="M2048" s="1273">
        <v>2.0000005740866702E-3</v>
      </c>
      <c r="N2048" s="1248">
        <v>3.1850009128239903E-2</v>
      </c>
      <c r="O2048" s="1249">
        <v>3.1850009128239903E-2</v>
      </c>
      <c r="P2048" s="1251">
        <v>1.5925004564119952E-2</v>
      </c>
      <c r="Q2048" s="1252">
        <v>2.3654269342124799E-2</v>
      </c>
    </row>
    <row r="2049" spans="1:17" s="212" customFormat="1" ht="15.5" x14ac:dyDescent="0.35">
      <c r="A2049" s="198">
        <v>2047</v>
      </c>
      <c r="B2049" s="197" t="s">
        <v>5842</v>
      </c>
      <c r="C2049" s="197">
        <v>2022</v>
      </c>
      <c r="D2049" s="213" t="str">
        <f t="shared" si="22"/>
        <v>2047_2022</v>
      </c>
      <c r="E2049" s="1267">
        <v>7.9147192069036296E-2</v>
      </c>
      <c r="F2049" s="1278">
        <v>2.0145946025797402E-3</v>
      </c>
      <c r="G2049" s="1248">
        <v>0.229121176273542</v>
      </c>
      <c r="H2049" s="1278">
        <v>1.88631689356905E-2</v>
      </c>
      <c r="I2049" s="1248">
        <v>2.2637919658168401E-2</v>
      </c>
      <c r="J2049" s="1278">
        <v>1.08679025109013E-3</v>
      </c>
      <c r="K2049" s="1248">
        <v>3.0000008609861301E-3</v>
      </c>
      <c r="L2049" s="1250">
        <v>2.0000005740883199E-3</v>
      </c>
      <c r="M2049" s="1273">
        <v>2.0000005740883199E-3</v>
      </c>
      <c r="N2049" s="1248">
        <v>3.1850009128239903E-2</v>
      </c>
      <c r="O2049" s="1249">
        <v>3.1850009128239903E-2</v>
      </c>
      <c r="P2049" s="1251">
        <v>1.5925004564119952E-2</v>
      </c>
      <c r="Q2049" s="1252">
        <v>2.36615059308301E-2</v>
      </c>
    </row>
    <row r="2050" spans="1:17" s="212" customFormat="1" ht="15.5" x14ac:dyDescent="0.35">
      <c r="A2050" s="198">
        <v>2047</v>
      </c>
      <c r="B2050" s="197" t="s">
        <v>5842</v>
      </c>
      <c r="C2050" s="197">
        <v>2023</v>
      </c>
      <c r="D2050" s="213" t="str">
        <f t="shared" si="22"/>
        <v>2047_2023</v>
      </c>
      <c r="E2050" s="1267">
        <v>7.9180481671113898E-2</v>
      </c>
      <c r="F2050" s="1278">
        <v>2.0158556741403798E-3</v>
      </c>
      <c r="G2050" s="1248">
        <v>0.22917132697404399</v>
      </c>
      <c r="H2050" s="1278">
        <v>1.8862571954182401E-2</v>
      </c>
      <c r="I2050" s="1248">
        <v>2.2644590953281502E-2</v>
      </c>
      <c r="J2050" s="1278">
        <v>1.0869431434998801E-3</v>
      </c>
      <c r="K2050" s="1248">
        <v>3.0000008609882599E-3</v>
      </c>
      <c r="L2050" s="1250">
        <v>2.0000005740899202E-3</v>
      </c>
      <c r="M2050" s="1273">
        <v>2.0000005740899202E-3</v>
      </c>
      <c r="N2050" s="1248">
        <v>3.1850009128239903E-2</v>
      </c>
      <c r="O2050" s="1249">
        <v>3.1850009128239903E-2</v>
      </c>
      <c r="P2050" s="1251">
        <v>1.5925004564119952E-2</v>
      </c>
      <c r="Q2050" s="1252">
        <v>2.36684788723047E-2</v>
      </c>
    </row>
    <row r="2051" spans="1:17" s="212" customFormat="1" ht="15.5" x14ac:dyDescent="0.35">
      <c r="A2051" s="198">
        <v>2047</v>
      </c>
      <c r="B2051" s="197" t="s">
        <v>5842</v>
      </c>
      <c r="C2051" s="197">
        <v>2024</v>
      </c>
      <c r="D2051" s="213" t="str">
        <f t="shared" si="22"/>
        <v>2047_2024</v>
      </c>
      <c r="E2051" s="1267">
        <v>7.9148358386088205E-2</v>
      </c>
      <c r="F2051" s="1278">
        <v>2.0169639657894498E-3</v>
      </c>
      <c r="G2051" s="1248">
        <v>0.22889796462165199</v>
      </c>
      <c r="H2051" s="1278">
        <v>1.8849825454639701E-2</v>
      </c>
      <c r="I2051" s="1248">
        <v>2.26020442846829E-2</v>
      </c>
      <c r="J2051" s="1278">
        <v>1.08708644348857E-3</v>
      </c>
      <c r="K2051" s="1248">
        <v>3.00000086099029E-3</v>
      </c>
      <c r="L2051" s="1250">
        <v>2.0000005740914502E-3</v>
      </c>
      <c r="M2051" s="1275">
        <v>2.0000005740198399E-3</v>
      </c>
      <c r="N2051" s="1248">
        <v>3.1850009128239903E-2</v>
      </c>
      <c r="O2051" s="1249">
        <v>3.1850009128239903E-2</v>
      </c>
      <c r="P2051" s="1260">
        <v>1.59250045641199E-2</v>
      </c>
      <c r="Q2051" s="1252">
        <v>2.3624008432150099E-2</v>
      </c>
    </row>
    <row r="2052" spans="1:17" s="212" customFormat="1" ht="15.5" x14ac:dyDescent="0.35">
      <c r="A2052" s="198">
        <v>2047</v>
      </c>
      <c r="B2052" s="197" t="s">
        <v>5842</v>
      </c>
      <c r="C2052" s="197">
        <v>2025</v>
      </c>
      <c r="D2052" s="213" t="str">
        <f t="shared" si="22"/>
        <v>2047_2025</v>
      </c>
      <c r="E2052" s="1267">
        <v>7.9036170906790104E-2</v>
      </c>
      <c r="F2052" s="1278">
        <v>2.0171824302647901E-3</v>
      </c>
      <c r="G2052" s="1248">
        <v>0.228229634972165</v>
      </c>
      <c r="H2052" s="1278">
        <v>1.8815034121845601E-2</v>
      </c>
      <c r="I2052" s="1248">
        <v>2.2499396698207701E-2</v>
      </c>
      <c r="J2052" s="1278">
        <v>1.08721744411999E-3</v>
      </c>
      <c r="K2052" s="1248">
        <v>3.0000008609921999E-3</v>
      </c>
      <c r="L2052" s="1250">
        <v>2.0000005740928701E-3</v>
      </c>
      <c r="M2052" s="1275">
        <v>2.00000057402117E-3</v>
      </c>
      <c r="N2052" s="1248">
        <v>3.1850009128239903E-2</v>
      </c>
      <c r="O2052" s="1249">
        <v>3.1850009128239903E-2</v>
      </c>
      <c r="P2052" s="1260">
        <v>1.59250045641199E-2</v>
      </c>
      <c r="Q2052" s="1252">
        <v>2.35167195773065E-2</v>
      </c>
    </row>
    <row r="2053" spans="1:17" s="212" customFormat="1" ht="15.5" x14ac:dyDescent="0.35">
      <c r="A2053" s="198">
        <v>2047</v>
      </c>
      <c r="B2053" s="197" t="s">
        <v>5842</v>
      </c>
      <c r="C2053" s="197">
        <v>2026</v>
      </c>
      <c r="D2053" s="213" t="str">
        <f t="shared" si="22"/>
        <v>2047_2026</v>
      </c>
      <c r="E2053" s="1267">
        <v>7.8846072600520803E-2</v>
      </c>
      <c r="F2053" s="1278">
        <v>2.0136467218036902E-3</v>
      </c>
      <c r="G2053" s="1248">
        <v>0.22719435987982101</v>
      </c>
      <c r="H2053" s="1278">
        <v>1.8729199130295599E-2</v>
      </c>
      <c r="I2053" s="1248">
        <v>2.2337062283613499E-2</v>
      </c>
      <c r="J2053" s="1278">
        <v>1.08734862989696E-3</v>
      </c>
      <c r="K2053" s="1248">
        <v>3.0000008609941098E-3</v>
      </c>
      <c r="L2053" s="1250">
        <v>2.0000005740942999E-3</v>
      </c>
      <c r="M2053" s="1275">
        <v>2.0000005740222898E-3</v>
      </c>
      <c r="N2053" s="1248">
        <v>3.1850009128239903E-2</v>
      </c>
      <c r="O2053" s="1249">
        <v>3.1850009128239903E-2</v>
      </c>
      <c r="P2053" s="1260">
        <v>1.59250045641199E-2</v>
      </c>
      <c r="Q2053" s="1252">
        <v>2.3347045120832698E-2</v>
      </c>
    </row>
    <row r="2054" spans="1:17" s="212" customFormat="1" ht="15.5" x14ac:dyDescent="0.35">
      <c r="A2054" s="198">
        <v>2047</v>
      </c>
      <c r="B2054" s="197" t="s">
        <v>5842</v>
      </c>
      <c r="C2054" s="197">
        <v>2027</v>
      </c>
      <c r="D2054" s="213" t="str">
        <f t="shared" si="22"/>
        <v>2047_2027</v>
      </c>
      <c r="E2054" s="1267">
        <v>7.8579575780586705E-2</v>
      </c>
      <c r="F2054" s="1278">
        <v>2.0081123947266401E-3</v>
      </c>
      <c r="G2054" s="1248">
        <v>0.225744702498305</v>
      </c>
      <c r="H2054" s="1278">
        <v>1.8606452556007898E-2</v>
      </c>
      <c r="I2054" s="1248">
        <v>2.2115293698266002E-2</v>
      </c>
      <c r="J2054" s="1278">
        <v>1.08748478244515E-3</v>
      </c>
      <c r="K2054" s="1248">
        <v>3.00000086099609E-3</v>
      </c>
      <c r="L2054" s="1250">
        <v>2.00000057409579E-3</v>
      </c>
      <c r="M2054" s="1275">
        <v>2.0000005740234898E-3</v>
      </c>
      <c r="N2054" s="1248">
        <v>3.1850009128239903E-2</v>
      </c>
      <c r="O2054" s="1249">
        <v>3.1850009128239903E-2</v>
      </c>
      <c r="P2054" s="1260">
        <v>1.59250045641199E-2</v>
      </c>
      <c r="Q2054" s="1252">
        <v>2.3115249144139201E-2</v>
      </c>
    </row>
    <row r="2055" spans="1:17" s="212" customFormat="1" ht="15.5" x14ac:dyDescent="0.35">
      <c r="A2055" s="198">
        <v>2047</v>
      </c>
      <c r="B2055" s="197" t="s">
        <v>5842</v>
      </c>
      <c r="C2055" s="197">
        <v>2028</v>
      </c>
      <c r="D2055" s="213" t="str">
        <f t="shared" si="22"/>
        <v>2047_2028</v>
      </c>
      <c r="E2055" s="1267">
        <v>7.8235706878472797E-2</v>
      </c>
      <c r="F2055" s="1278">
        <v>1.9978722804050199E-3</v>
      </c>
      <c r="G2055" s="1248">
        <v>0.223903883104102</v>
      </c>
      <c r="H2055" s="1278">
        <v>1.84205167259818E-2</v>
      </c>
      <c r="I2055" s="1248">
        <v>2.1833870989443699E-2</v>
      </c>
      <c r="J2055" s="1278">
        <v>1.0876228770011201E-3</v>
      </c>
      <c r="K2055" s="1248">
        <v>3.0000008609981001E-3</v>
      </c>
      <c r="L2055" s="1250">
        <v>2.0000005740973001E-3</v>
      </c>
      <c r="M2055" s="1275">
        <v>2.0000005740253798E-3</v>
      </c>
      <c r="N2055" s="1248">
        <v>3.1850009128239903E-2</v>
      </c>
      <c r="O2055" s="1249">
        <v>3.1850009128239903E-2</v>
      </c>
      <c r="P2055" s="1260">
        <v>1.59250045641199E-2</v>
      </c>
      <c r="Q2055" s="1252">
        <v>2.2821101749218701E-2</v>
      </c>
    </row>
    <row r="2056" spans="1:17" s="212" customFormat="1" ht="15.5" x14ac:dyDescent="0.35">
      <c r="A2056" s="198">
        <v>2047</v>
      </c>
      <c r="B2056" s="197" t="s">
        <v>5842</v>
      </c>
      <c r="C2056" s="197">
        <v>2029</v>
      </c>
      <c r="D2056" s="213" t="str">
        <f t="shared" si="22"/>
        <v>2047_2029</v>
      </c>
      <c r="E2056" s="1267">
        <v>7.7814003480393898E-2</v>
      </c>
      <c r="F2056" s="1278">
        <v>1.9828517299915601E-3</v>
      </c>
      <c r="G2056" s="1248">
        <v>0.22167123696157401</v>
      </c>
      <c r="H2056" s="1278">
        <v>1.8170332055328999E-2</v>
      </c>
      <c r="I2056" s="1248">
        <v>2.1492675434826101E-2</v>
      </c>
      <c r="J2056" s="1278">
        <v>1.0877620151467E-3</v>
      </c>
      <c r="K2056" s="1248">
        <v>3.0000008610001402E-3</v>
      </c>
      <c r="L2056" s="1250">
        <v>2.0000005740988202E-3</v>
      </c>
      <c r="M2056" s="1275">
        <v>2.00000057402702E-3</v>
      </c>
      <c r="N2056" s="1248">
        <v>3.1850009128239903E-2</v>
      </c>
      <c r="O2056" s="1249">
        <v>3.1850009128239903E-2</v>
      </c>
      <c r="P2056" s="1260">
        <v>1.59250045641199E-2</v>
      </c>
      <c r="Q2056" s="1252">
        <v>2.2464478845654199E-2</v>
      </c>
    </row>
    <row r="2057" spans="1:17" s="212" customFormat="1" ht="15.5" x14ac:dyDescent="0.35">
      <c r="A2057" s="198">
        <v>2047</v>
      </c>
      <c r="B2057" s="197" t="s">
        <v>5842</v>
      </c>
      <c r="C2057" s="197">
        <v>2030</v>
      </c>
      <c r="D2057" s="213" t="str">
        <f t="shared" ref="D2057:D2153" si="23">CONCATENATE(A2057,"_",C2057)</f>
        <v>2047_2030</v>
      </c>
      <c r="E2057" s="1267">
        <v>7.7314688880704099E-2</v>
      </c>
      <c r="F2057" s="1278">
        <v>1.9643633483915801E-3</v>
      </c>
      <c r="G2057" s="1248">
        <v>0.21904676316826599</v>
      </c>
      <c r="H2057" s="1278">
        <v>1.78687159909931E-2</v>
      </c>
      <c r="I2057" s="1248">
        <v>2.1091706848355599E-2</v>
      </c>
      <c r="J2057" s="1278">
        <v>1.0879022905132599E-3</v>
      </c>
      <c r="K2057" s="1248">
        <v>3.0000008610022002E-3</v>
      </c>
      <c r="L2057" s="1250">
        <v>2.0000005741003602E-3</v>
      </c>
      <c r="M2057" s="1275">
        <v>2.0000005740283999E-3</v>
      </c>
      <c r="N2057" s="1248">
        <v>3.1850009128239903E-2</v>
      </c>
      <c r="O2057" s="1249">
        <v>3.1850009128239903E-2</v>
      </c>
      <c r="P2057" s="1260">
        <v>1.59250045641199E-2</v>
      </c>
      <c r="Q2057" s="1252">
        <v>2.2045380238975201E-2</v>
      </c>
    </row>
    <row r="2058" spans="1:17" s="212" customFormat="1" ht="15.5" x14ac:dyDescent="0.35">
      <c r="A2058" s="198">
        <v>2047</v>
      </c>
      <c r="B2058" s="197" t="s">
        <v>5842</v>
      </c>
      <c r="C2058" s="197">
        <v>2031</v>
      </c>
      <c r="D2058" s="213" t="str">
        <f t="shared" si="23"/>
        <v>2047_2031</v>
      </c>
      <c r="E2058" s="1267">
        <v>7.6738024882300901E-2</v>
      </c>
      <c r="F2058" s="1278">
        <v>1.94511029134711E-3</v>
      </c>
      <c r="G2058" s="1248">
        <v>0.21603072745365401</v>
      </c>
      <c r="H2058" s="1278">
        <v>1.7542553073237401E-2</v>
      </c>
      <c r="I2058" s="1248">
        <v>2.0630977565880899E-2</v>
      </c>
      <c r="J2058" s="1278">
        <v>1.0880452391298201E-3</v>
      </c>
      <c r="K2058" s="1248">
        <v>3.00000086100431E-3</v>
      </c>
      <c r="L2058" s="1250">
        <v>2.0000005741019401E-3</v>
      </c>
      <c r="M2058" s="1275">
        <v>2.0000005740301802E-3</v>
      </c>
      <c r="N2058" s="1248">
        <v>3.1850009128239903E-2</v>
      </c>
      <c r="O2058" s="1249">
        <v>3.1850009128239903E-2</v>
      </c>
      <c r="P2058" s="1260">
        <v>1.59250045641199E-2</v>
      </c>
      <c r="Q2058" s="1252">
        <v>2.1563818822803001E-2</v>
      </c>
    </row>
    <row r="2059" spans="1:17" s="212" customFormat="1" ht="15.5" x14ac:dyDescent="0.35">
      <c r="A2059" s="198">
        <v>2047</v>
      </c>
      <c r="B2059" s="197" t="s">
        <v>5842</v>
      </c>
      <c r="C2059" s="197">
        <v>2032</v>
      </c>
      <c r="D2059" s="213" t="str">
        <f t="shared" si="23"/>
        <v>2047_2032</v>
      </c>
      <c r="E2059" s="1267">
        <v>7.6083290047063198E-2</v>
      </c>
      <c r="F2059" s="1278">
        <v>1.9287349874134399E-3</v>
      </c>
      <c r="G2059" s="1248">
        <v>0.21262209956655601</v>
      </c>
      <c r="H2059" s="1278">
        <v>1.7228519115964701E-2</v>
      </c>
      <c r="I2059" s="1248">
        <v>2.0110319940149501E-2</v>
      </c>
      <c r="J2059" s="1278">
        <v>1.08818909240454E-3</v>
      </c>
      <c r="K2059" s="1248">
        <v>3.0000008610064398E-3</v>
      </c>
      <c r="L2059" s="1250">
        <v>2.0000005741035399E-3</v>
      </c>
      <c r="M2059" s="1275">
        <v>2.00000057403147E-3</v>
      </c>
      <c r="N2059" s="1248">
        <v>3.1850009128239903E-2</v>
      </c>
      <c r="O2059" s="1249">
        <v>3.1850009128239903E-2</v>
      </c>
      <c r="P2059" s="1260">
        <v>1.59250045641199E-2</v>
      </c>
      <c r="Q2059" s="1252">
        <v>2.10196193696199E-2</v>
      </c>
    </row>
    <row r="2060" spans="1:17" s="212" customFormat="1" ht="15.5" x14ac:dyDescent="0.35">
      <c r="A2060" s="198">
        <v>2047</v>
      </c>
      <c r="B2060" s="197" t="s">
        <v>5842</v>
      </c>
      <c r="C2060" s="197">
        <v>2033</v>
      </c>
      <c r="D2060" s="213" t="str">
        <f t="shared" si="23"/>
        <v>2047_2033</v>
      </c>
      <c r="E2060" s="1267">
        <v>7.5350723846111203E-2</v>
      </c>
      <c r="F2060" s="1278">
        <v>1.91904857339067E-3</v>
      </c>
      <c r="G2060" s="1248">
        <v>0.20882093505917401</v>
      </c>
      <c r="H2060" s="1278">
        <v>1.69644951646984E-2</v>
      </c>
      <c r="I2060" s="1248">
        <v>1.9529731931696898E-2</v>
      </c>
      <c r="J2060" s="1278">
        <v>1.08833435602514E-3</v>
      </c>
      <c r="K2060" s="1248">
        <v>3.0000008610086E-3</v>
      </c>
      <c r="L2060" s="1250">
        <v>2.0000005741051602E-3</v>
      </c>
      <c r="M2060" s="1275">
        <v>2.0000005740327701E-3</v>
      </c>
      <c r="N2060" s="1248">
        <v>3.1850009128239903E-2</v>
      </c>
      <c r="O2060" s="1249">
        <v>3.1850009128239903E-2</v>
      </c>
      <c r="P2060" s="1260">
        <v>1.59250045641199E-2</v>
      </c>
      <c r="Q2060" s="1252">
        <v>2.0412779747746301E-2</v>
      </c>
    </row>
    <row r="2061" spans="1:17" s="212" customFormat="1" ht="15.5" x14ac:dyDescent="0.35">
      <c r="A2061" s="198">
        <v>2047</v>
      </c>
      <c r="B2061" s="197" t="s">
        <v>5842</v>
      </c>
      <c r="C2061" s="197">
        <v>2034</v>
      </c>
      <c r="D2061" s="213" t="str">
        <f t="shared" si="23"/>
        <v>2047_2034</v>
      </c>
      <c r="E2061" s="1267">
        <v>7.4540614280741394E-2</v>
      </c>
      <c r="F2061" s="1278">
        <v>1.91889678772654E-3</v>
      </c>
      <c r="G2061" s="1248">
        <v>0.20462752458797101</v>
      </c>
      <c r="H2061" s="1278">
        <v>1.67782576897774E-2</v>
      </c>
      <c r="I2061" s="1248">
        <v>1.88892235938437E-2</v>
      </c>
      <c r="J2061" s="1278">
        <v>1.0884829977824799E-3</v>
      </c>
      <c r="K2061" s="1248">
        <v>3.00000086101082E-3</v>
      </c>
      <c r="L2061" s="1250">
        <v>2.0000005741068199E-3</v>
      </c>
      <c r="M2061" s="1275">
        <v>2.00000057403435E-3</v>
      </c>
      <c r="N2061" s="1248">
        <v>3.1850009128239903E-2</v>
      </c>
      <c r="O2061" s="1249">
        <v>3.1850009128239903E-2</v>
      </c>
      <c r="P2061" s="1260">
        <v>1.59250045641199E-2</v>
      </c>
      <c r="Q2061" s="1252">
        <v>1.9743310465069101E-2</v>
      </c>
    </row>
    <row r="2062" spans="1:17" s="212" customFormat="1" ht="15.5" x14ac:dyDescent="0.35">
      <c r="A2062" s="198">
        <v>2047</v>
      </c>
      <c r="B2062" s="197" t="s">
        <v>5842</v>
      </c>
      <c r="C2062" s="197">
        <v>2035</v>
      </c>
      <c r="D2062" s="213" t="str">
        <f t="shared" si="23"/>
        <v>2047_2035</v>
      </c>
      <c r="E2062" s="1267">
        <v>7.3652717639824894E-2</v>
      </c>
      <c r="F2062" s="1278">
        <v>1.9290083511287099E-3</v>
      </c>
      <c r="G2062" s="1248">
        <v>0.20004140084009001</v>
      </c>
      <c r="H2062" s="1278">
        <v>1.6675997289841201E-2</v>
      </c>
      <c r="I2062" s="1248">
        <v>1.8188702932992799E-2</v>
      </c>
      <c r="J2062" s="1278">
        <v>1.0886345041597599E-3</v>
      </c>
      <c r="K2062" s="1248">
        <v>3.0000008610130899E-3</v>
      </c>
      <c r="L2062" s="1250">
        <v>2.0000005741085199E-3</v>
      </c>
      <c r="M2062" s="1275">
        <v>2.0000005740359798E-3</v>
      </c>
      <c r="N2062" s="1248">
        <v>3.1850009128239903E-2</v>
      </c>
      <c r="O2062" s="1249">
        <v>3.1850009128239903E-2</v>
      </c>
      <c r="P2062" s="1260">
        <v>1.59250045641199E-2</v>
      </c>
      <c r="Q2062" s="1252">
        <v>1.9011115368448898E-2</v>
      </c>
    </row>
    <row r="2063" spans="1:17" s="212" customFormat="1" ht="15.5" x14ac:dyDescent="0.35">
      <c r="A2063" s="198">
        <v>2047</v>
      </c>
      <c r="B2063" s="197" t="s">
        <v>5842</v>
      </c>
      <c r="C2063" s="197">
        <v>2036</v>
      </c>
      <c r="D2063" s="213" t="str">
        <f t="shared" si="23"/>
        <v>2047_2036</v>
      </c>
      <c r="E2063" s="1267">
        <v>7.26869226827071E-2</v>
      </c>
      <c r="F2063" s="1278">
        <v>1.9472596722291101E-3</v>
      </c>
      <c r="G2063" s="1248">
        <v>0.19506218577327999</v>
      </c>
      <c r="H2063" s="1278">
        <v>1.6634601166895999E-2</v>
      </c>
      <c r="I2063" s="1248">
        <v>1.7428097150139401E-2</v>
      </c>
      <c r="J2063" s="1278">
        <v>1.0887886620943399E-3</v>
      </c>
      <c r="K2063" s="1248">
        <v>3.00000086101542E-3</v>
      </c>
      <c r="L2063" s="1250">
        <v>2.0000005741102598E-3</v>
      </c>
      <c r="M2063" s="1275">
        <v>2.0000005740376699E-3</v>
      </c>
      <c r="N2063" s="1248">
        <v>3.1850009128239903E-2</v>
      </c>
      <c r="O2063" s="1249">
        <v>3.1850009128239903E-2</v>
      </c>
      <c r="P2063" s="1260">
        <v>1.59250045641199E-2</v>
      </c>
      <c r="Q2063" s="1252">
        <v>1.8216118367233001E-2</v>
      </c>
    </row>
    <row r="2064" spans="1:17" s="212" customFormat="1" ht="15.5" x14ac:dyDescent="0.35">
      <c r="A2064" s="198">
        <v>2047</v>
      </c>
      <c r="B2064" s="197" t="s">
        <v>5842</v>
      </c>
      <c r="C2064" s="197">
        <v>2037</v>
      </c>
      <c r="D2064" s="213" t="str">
        <f t="shared" si="23"/>
        <v>2047_2037</v>
      </c>
      <c r="E2064" s="1267">
        <v>7.1642716468256304E-2</v>
      </c>
      <c r="F2064" s="1278">
        <v>1.9687147354530798E-3</v>
      </c>
      <c r="G2064" s="1248">
        <v>0.18968907576144201</v>
      </c>
      <c r="H2064" s="1278">
        <v>1.66023489775394E-2</v>
      </c>
      <c r="I2064" s="1248">
        <v>1.6607270922905499E-2</v>
      </c>
      <c r="J2064" s="1278">
        <v>1.0889439032061E-3</v>
      </c>
      <c r="K2064" s="1248">
        <v>3.0000008610177702E-3</v>
      </c>
      <c r="L2064" s="1250">
        <v>2.0000005741120301E-3</v>
      </c>
      <c r="M2064" s="1275">
        <v>2.0000005740394202E-3</v>
      </c>
      <c r="N2064" s="1248">
        <v>3.1850009128239903E-2</v>
      </c>
      <c r="O2064" s="1249">
        <v>3.1850009128239903E-2</v>
      </c>
      <c r="P2064" s="1260">
        <v>1.59250045641199E-2</v>
      </c>
      <c r="Q2064" s="1252">
        <v>1.73581780203661E-2</v>
      </c>
    </row>
    <row r="2065" spans="1:17" s="212" customFormat="1" ht="15.5" x14ac:dyDescent="0.35">
      <c r="A2065" s="198">
        <v>2047</v>
      </c>
      <c r="B2065" s="197" t="s">
        <v>5842</v>
      </c>
      <c r="C2065" s="197">
        <v>2038</v>
      </c>
      <c r="D2065" s="213" t="str">
        <f t="shared" si="23"/>
        <v>2047_2038</v>
      </c>
      <c r="E2065" s="1267">
        <v>7.0519519085989205E-2</v>
      </c>
      <c r="F2065" s="1278">
        <v>1.9869359632301801E-3</v>
      </c>
      <c r="G2065" s="1248">
        <v>0.183921360306632</v>
      </c>
      <c r="H2065" s="1278">
        <v>1.65122087254434E-2</v>
      </c>
      <c r="I2065" s="1248">
        <v>1.5726090612887701E-2</v>
      </c>
      <c r="J2065" s="1278">
        <v>1.08909968180683E-3</v>
      </c>
      <c r="K2065" s="1248">
        <v>3.0000008610201398E-3</v>
      </c>
      <c r="L2065" s="1250">
        <v>2.0000005741137999E-3</v>
      </c>
      <c r="M2065" s="1275">
        <v>2.0000005740409802E-3</v>
      </c>
      <c r="N2065" s="1248">
        <v>3.1850009128239903E-2</v>
      </c>
      <c r="O2065" s="1249">
        <v>3.1850009128239903E-2</v>
      </c>
      <c r="P2065" s="1260">
        <v>1.59250045641199E-2</v>
      </c>
      <c r="Q2065" s="1252">
        <v>1.64371546469089E-2</v>
      </c>
    </row>
    <row r="2066" spans="1:17" s="212" customFormat="1" ht="15.5" x14ac:dyDescent="0.35">
      <c r="A2066" s="198">
        <v>2047</v>
      </c>
      <c r="B2066" s="197" t="s">
        <v>5842</v>
      </c>
      <c r="C2066" s="197">
        <v>2039</v>
      </c>
      <c r="D2066" s="213" t="str">
        <f t="shared" si="23"/>
        <v>2047_2039</v>
      </c>
      <c r="E2066" s="1267">
        <v>6.9317997844690393E-2</v>
      </c>
      <c r="F2066" s="1278">
        <v>1.99680161750164E-3</v>
      </c>
      <c r="G2066" s="1248">
        <v>0.17775957483844501</v>
      </c>
      <c r="H2066" s="1278">
        <v>1.6310129064662799E-2</v>
      </c>
      <c r="I2066" s="1248">
        <v>1.47846019528506E-2</v>
      </c>
      <c r="J2066" s="1278">
        <v>1.0892584517415E-3</v>
      </c>
      <c r="K2066" s="1248">
        <v>3.0000008610225602E-3</v>
      </c>
      <c r="L2066" s="1250">
        <v>2.0000005741156101E-3</v>
      </c>
      <c r="M2066" s="1275">
        <v>2.0000005740426702E-3</v>
      </c>
      <c r="N2066" s="1248">
        <v>3.1850009128239903E-2</v>
      </c>
      <c r="O2066" s="1249">
        <v>3.1850009128239903E-2</v>
      </c>
      <c r="P2066" s="1260">
        <v>1.59250045641199E-2</v>
      </c>
      <c r="Q2066" s="1252">
        <v>1.5453096047459E-2</v>
      </c>
    </row>
    <row r="2067" spans="1:17" s="212" customFormat="1" ht="15.5" x14ac:dyDescent="0.35">
      <c r="A2067" s="198">
        <v>2047</v>
      </c>
      <c r="B2067" s="197" t="s">
        <v>5842</v>
      </c>
      <c r="C2067" s="197">
        <v>2040</v>
      </c>
      <c r="D2067" s="213" t="str">
        <f t="shared" si="23"/>
        <v>2047_2040</v>
      </c>
      <c r="E2067" s="1267">
        <v>6.8037722862715699E-2</v>
      </c>
      <c r="F2067" s="1278">
        <v>1.9985344702501402E-3</v>
      </c>
      <c r="G2067" s="1248">
        <v>0.17120300899152599</v>
      </c>
      <c r="H2067" s="1278">
        <v>1.5997024829578099E-2</v>
      </c>
      <c r="I2067" s="1248">
        <v>1.37826818256416E-2</v>
      </c>
      <c r="J2067" s="1278">
        <v>1.08941885652618E-3</v>
      </c>
      <c r="K2067" s="1248">
        <v>3.0000008610250001E-3</v>
      </c>
      <c r="L2067" s="1250">
        <v>2.0000005741174398E-3</v>
      </c>
      <c r="M2067" s="1275">
        <v>2.0000005740445901E-3</v>
      </c>
      <c r="N2067" s="1248">
        <v>3.1850009128239903E-2</v>
      </c>
      <c r="O2067" s="1249">
        <v>3.1850009128239903E-2</v>
      </c>
      <c r="P2067" s="1260">
        <v>1.59250045641199E-2</v>
      </c>
      <c r="Q2067" s="1252">
        <v>1.44058735380523E-2</v>
      </c>
    </row>
    <row r="2068" spans="1:17" s="212" customFormat="1" ht="15.5" x14ac:dyDescent="0.35">
      <c r="A2068" s="198">
        <v>2047</v>
      </c>
      <c r="B2068" s="197" t="s">
        <v>5842</v>
      </c>
      <c r="C2068" s="197">
        <v>2041</v>
      </c>
      <c r="D2068" s="213" t="str">
        <f t="shared" si="23"/>
        <v>2047_2041</v>
      </c>
      <c r="E2068" s="1267">
        <v>6.6678244200631995E-2</v>
      </c>
      <c r="F2068" s="1278">
        <v>2.0023219526344601E-3</v>
      </c>
      <c r="G2068" s="1248">
        <v>0.16425100546040999</v>
      </c>
      <c r="H2068" s="1278">
        <v>1.5675460497280601E-2</v>
      </c>
      <c r="I2068" s="1248">
        <v>1.27202118747318E-2</v>
      </c>
      <c r="J2068" s="1278">
        <v>1.0895799977896001E-3</v>
      </c>
      <c r="K2068" s="1248">
        <v>3.0000008610274599E-3</v>
      </c>
      <c r="L2068" s="1250">
        <v>2.0000005741192799E-3</v>
      </c>
      <c r="M2068" s="1275">
        <v>2.0000005740464701E-3</v>
      </c>
      <c r="N2068" s="1248">
        <v>3.1850009128239903E-2</v>
      </c>
      <c r="O2068" s="1249">
        <v>3.1850009128239903E-2</v>
      </c>
      <c r="P2068" s="1260">
        <v>1.59250045641199E-2</v>
      </c>
      <c r="Q2068" s="1252">
        <v>1.3295363410603001E-2</v>
      </c>
    </row>
    <row r="2069" spans="1:17" s="212" customFormat="1" ht="15.5" x14ac:dyDescent="0.35">
      <c r="A2069" s="198">
        <v>2047</v>
      </c>
      <c r="B2069" s="197" t="s">
        <v>5842</v>
      </c>
      <c r="C2069" s="197">
        <v>2042</v>
      </c>
      <c r="D2069" s="213" t="str">
        <f t="shared" si="23"/>
        <v>2047_2042</v>
      </c>
      <c r="E2069" s="1267">
        <v>6.52396590305475E-2</v>
      </c>
      <c r="F2069" s="1278">
        <v>2.03142899903081E-3</v>
      </c>
      <c r="G2069" s="1248">
        <v>0.156903510394826</v>
      </c>
      <c r="H2069" s="1278">
        <v>1.5581404394871099E-2</v>
      </c>
      <c r="I2069" s="1248">
        <v>1.15971476706781E-2</v>
      </c>
      <c r="J2069" s="1278">
        <v>1.0897432334615201E-3</v>
      </c>
      <c r="K2069" s="1248">
        <v>3.0000008610299501E-3</v>
      </c>
      <c r="L2069" s="1250">
        <v>2.00000057412114E-3</v>
      </c>
      <c r="M2069" s="1275">
        <v>2.0000005740486099E-3</v>
      </c>
      <c r="N2069" s="1248">
        <v>3.1850009128239903E-2</v>
      </c>
      <c r="O2069" s="1249">
        <v>3.1850009128239903E-2</v>
      </c>
      <c r="P2069" s="1260">
        <v>1.59250045641199E-2</v>
      </c>
      <c r="Q2069" s="1252">
        <v>1.21215192267656E-2</v>
      </c>
    </row>
    <row r="2070" spans="1:17" s="212" customFormat="1" ht="15.5" x14ac:dyDescent="0.35">
      <c r="A2070" s="198">
        <v>2047</v>
      </c>
      <c r="B2070" s="197" t="s">
        <v>5842</v>
      </c>
      <c r="C2070" s="197">
        <v>2043</v>
      </c>
      <c r="D2070" s="213" t="str">
        <f t="shared" si="23"/>
        <v>2047_2043</v>
      </c>
      <c r="E2070" s="1267">
        <v>6.3721376443761205E-2</v>
      </c>
      <c r="F2070" s="1278">
        <v>2.1201671274944799E-3</v>
      </c>
      <c r="G2070" s="1248">
        <v>0.14915967563819499</v>
      </c>
      <c r="H2070" s="1278">
        <v>1.6065089457355401E-2</v>
      </c>
      <c r="I2070" s="1248">
        <v>1.0413357104278501E-2</v>
      </c>
      <c r="J2070" s="1278">
        <v>1.08990662326559E-3</v>
      </c>
      <c r="K2070" s="1248">
        <v>3.0000008610324199E-3</v>
      </c>
      <c r="L2070" s="1250">
        <v>2.0000005741229901E-3</v>
      </c>
      <c r="M2070" s="1275">
        <v>2.0000005740509101E-3</v>
      </c>
      <c r="N2070" s="1248">
        <v>3.1850009128239903E-2</v>
      </c>
      <c r="O2070" s="1249">
        <v>3.1850009128239903E-2</v>
      </c>
      <c r="P2070" s="1260">
        <v>1.59250045641199E-2</v>
      </c>
      <c r="Q2070" s="1252">
        <v>1.08842029039462E-2</v>
      </c>
    </row>
    <row r="2071" spans="1:17" s="212" customFormat="1" ht="15.5" x14ac:dyDescent="0.35">
      <c r="A2071" s="198">
        <v>2047</v>
      </c>
      <c r="B2071" s="197" t="s">
        <v>5842</v>
      </c>
      <c r="C2071" s="197">
        <v>2044</v>
      </c>
      <c r="D2071" s="213" t="str">
        <f t="shared" si="23"/>
        <v>2047_2044</v>
      </c>
      <c r="E2071" s="1267">
        <v>6.2123767258596301E-2</v>
      </c>
      <c r="F2071" s="1278">
        <v>2.30104837686299E-3</v>
      </c>
      <c r="G2071" s="1248">
        <v>0.141019645173003</v>
      </c>
      <c r="H2071" s="1278">
        <v>1.7462033504297401E-2</v>
      </c>
      <c r="I2071" s="1248">
        <v>9.1688187969093792E-3</v>
      </c>
      <c r="J2071" s="1278">
        <v>1.0900716983718399E-3</v>
      </c>
      <c r="K2071" s="1248">
        <v>3.00000086103493E-3</v>
      </c>
      <c r="L2071" s="1250">
        <v>2.0000005741248701E-3</v>
      </c>
      <c r="M2071" s="1275">
        <v>2.0000005740532902E-3</v>
      </c>
      <c r="N2071" s="1248">
        <v>3.1850009128239903E-2</v>
      </c>
      <c r="O2071" s="1249">
        <v>3.1850009128239903E-2</v>
      </c>
      <c r="P2071" s="1260">
        <v>1.59250045641199E-2</v>
      </c>
      <c r="Q2071" s="1252">
        <v>9.5833920968747908E-3</v>
      </c>
    </row>
    <row r="2072" spans="1:17" s="212" customFormat="1" ht="15.5" x14ac:dyDescent="0.35">
      <c r="A2072" s="198">
        <v>2047</v>
      </c>
      <c r="B2072" s="197" t="s">
        <v>5842</v>
      </c>
      <c r="C2072" s="197">
        <v>2045</v>
      </c>
      <c r="D2072" s="213" t="str">
        <f t="shared" si="23"/>
        <v>2047_2045</v>
      </c>
      <c r="E2072" s="1267">
        <v>6.04457006643584E-2</v>
      </c>
      <c r="F2072" s="1278">
        <v>2.5718944751507702E-3</v>
      </c>
      <c r="G2072" s="1248">
        <v>0.132482237489259</v>
      </c>
      <c r="H2072" s="1278">
        <v>1.9765111653436199E-2</v>
      </c>
      <c r="I2072" s="1248">
        <v>7.8633632095367004E-3</v>
      </c>
      <c r="J2072" s="1278">
        <v>1.09023600084762E-3</v>
      </c>
      <c r="K2072" s="1248">
        <v>3.0000008610374098E-3</v>
      </c>
      <c r="L2072" s="1250">
        <v>2.0000005741267301E-3</v>
      </c>
      <c r="M2072" s="1275">
        <v>2.0000005740556698E-3</v>
      </c>
      <c r="N2072" s="1248">
        <v>3.1850009128239903E-2</v>
      </c>
      <c r="O2072" s="1249">
        <v>3.1850009128239903E-2</v>
      </c>
      <c r="P2072" s="1260">
        <v>1.59250045641199E-2</v>
      </c>
      <c r="Q2072" s="1252">
        <v>8.2189096007144902E-3</v>
      </c>
    </row>
    <row r="2073" spans="1:17" s="212" customFormat="1" ht="15.5" x14ac:dyDescent="0.35">
      <c r="A2073" s="198">
        <v>2047</v>
      </c>
      <c r="B2073" s="197" t="s">
        <v>5842</v>
      </c>
      <c r="C2073" s="197">
        <v>2046</v>
      </c>
      <c r="D2073" s="213" t="str">
        <f t="shared" si="23"/>
        <v>2047_2046</v>
      </c>
      <c r="E2073" s="1267">
        <v>5.8687550400939301E-2</v>
      </c>
      <c r="F2073" s="1278">
        <v>2.8302959023912E-3</v>
      </c>
      <c r="G2073" s="1248">
        <v>0.123547664712537</v>
      </c>
      <c r="H2073" s="1278">
        <v>2.19674015088436E-2</v>
      </c>
      <c r="I2073" s="1248">
        <v>6.4969734551894301E-3</v>
      </c>
      <c r="J2073" s="1278">
        <v>1.0904016507027399E-3</v>
      </c>
      <c r="K2073" s="1248">
        <v>3.0000008610398901E-3</v>
      </c>
      <c r="L2073" s="1250">
        <v>2.0000005741285798E-3</v>
      </c>
      <c r="M2073" s="1275">
        <v>2.0000005740576999E-3</v>
      </c>
      <c r="N2073" s="1248">
        <v>3.1850009128239903E-2</v>
      </c>
      <c r="O2073" s="1249">
        <v>3.1850009128239903E-2</v>
      </c>
      <c r="P2073" s="1260">
        <v>1.59250045641199E-2</v>
      </c>
      <c r="Q2073" s="1252">
        <v>6.7907377649403704E-3</v>
      </c>
    </row>
    <row r="2074" spans="1:17" s="212" customFormat="1" ht="15.5" x14ac:dyDescent="0.35">
      <c r="A2074" s="198">
        <v>2047</v>
      </c>
      <c r="B2074" s="197" t="s">
        <v>5842</v>
      </c>
      <c r="C2074" s="197">
        <v>2047</v>
      </c>
      <c r="D2074" s="213" t="str">
        <f t="shared" si="23"/>
        <v>2047_2047</v>
      </c>
      <c r="E2074" s="1267">
        <v>5.6849003139825001E-2</v>
      </c>
      <c r="F2074" s="1278">
        <v>2.7567499343887302E-3</v>
      </c>
      <c r="G2074" s="1248">
        <v>0.114215321304734</v>
      </c>
      <c r="H2074" s="1278">
        <v>2.0894847379236501E-2</v>
      </c>
      <c r="I2074" s="1248">
        <v>5.0695634758336199E-3</v>
      </c>
      <c r="J2074" s="1278">
        <v>1.0905668156665799E-3</v>
      </c>
      <c r="K2074" s="1248">
        <v>3.0000008610423499E-3</v>
      </c>
      <c r="L2074" s="1250">
        <v>2.0000005741304299E-3</v>
      </c>
      <c r="M2074" s="1275">
        <v>2.0000005740572302E-3</v>
      </c>
      <c r="N2074" s="1248">
        <v>3.1850009128239903E-2</v>
      </c>
      <c r="O2074" s="1249">
        <v>3.1850009128239903E-2</v>
      </c>
      <c r="P2074" s="1260">
        <v>1.59250045641199E-2</v>
      </c>
      <c r="Q2074" s="1252">
        <v>5.29878664035607E-3</v>
      </c>
    </row>
    <row r="2075" spans="1:17" s="212" customFormat="1" ht="15.5" x14ac:dyDescent="0.35">
      <c r="A2075" s="198">
        <v>2047</v>
      </c>
      <c r="B2075" s="197" t="s">
        <v>5842</v>
      </c>
      <c r="C2075" s="197">
        <v>2048</v>
      </c>
      <c r="D2075" s="213" t="str">
        <f t="shared" si="23"/>
        <v>2047_2048</v>
      </c>
      <c r="E2075" s="1268">
        <v>5.6849003139825001E-2</v>
      </c>
      <c r="F2075" s="1279">
        <v>2.7567499343887302E-3</v>
      </c>
      <c r="G2075" s="1255">
        <v>0.114215321304734</v>
      </c>
      <c r="H2075" s="1279">
        <v>2.0894847379236501E-2</v>
      </c>
      <c r="I2075" s="1255">
        <v>5.0695634758336199E-3</v>
      </c>
      <c r="J2075" s="1279">
        <v>1.0905668156665799E-3</v>
      </c>
      <c r="K2075" s="1255">
        <v>3.0000008610423499E-3</v>
      </c>
      <c r="L2075" s="1253">
        <v>2.0000005741304299E-3</v>
      </c>
      <c r="M2075" s="1273">
        <v>2.0000005740572302E-3</v>
      </c>
      <c r="N2075" s="1255">
        <v>3.1850009128239903E-2</v>
      </c>
      <c r="O2075" s="1256">
        <v>3.1850009128239903E-2</v>
      </c>
      <c r="P2075" s="1251">
        <v>1.59250045641199E-2</v>
      </c>
      <c r="Q2075" s="1254">
        <v>5.29878664035607E-3</v>
      </c>
    </row>
    <row r="2076" spans="1:17" s="212" customFormat="1" ht="15.5" x14ac:dyDescent="0.35">
      <c r="A2076" s="198">
        <v>2048</v>
      </c>
      <c r="B2076" s="197" t="s">
        <v>5842</v>
      </c>
      <c r="C2076" s="197">
        <v>1971</v>
      </c>
      <c r="D2076" s="213" t="str">
        <f t="shared" si="23"/>
        <v>2048_1971</v>
      </c>
      <c r="E2076" s="1268">
        <v>0.575997693535507</v>
      </c>
      <c r="F2076" s="1279">
        <v>1.4289597900791399E-2</v>
      </c>
      <c r="G2076" s="1255">
        <v>4.1422014224017003</v>
      </c>
      <c r="H2076" s="1279">
        <v>0.26784063186121299</v>
      </c>
      <c r="I2076" s="1255">
        <v>0.15004919238550099</v>
      </c>
      <c r="J2076" s="1279">
        <v>1.39074678539736E-4</v>
      </c>
      <c r="K2076" s="1255">
        <v>3.0000008612813601E-3</v>
      </c>
      <c r="L2076" s="1253">
        <v>2.0000005740873502E-3</v>
      </c>
      <c r="M2076" s="1273">
        <v>2.0000005740873502E-3</v>
      </c>
      <c r="N2076" s="1255">
        <v>3.1850009128239903E-2</v>
      </c>
      <c r="O2076" s="1256">
        <v>3.1850009128239903E-2</v>
      </c>
      <c r="P2076" s="1251">
        <v>1.5925004564119952E-2</v>
      </c>
      <c r="Q2076" s="1254">
        <v>0.15683375103174399</v>
      </c>
    </row>
    <row r="2077" spans="1:17" s="212" customFormat="1" ht="15.5" x14ac:dyDescent="0.35">
      <c r="A2077" s="198">
        <v>2048</v>
      </c>
      <c r="B2077" s="197" t="s">
        <v>5842</v>
      </c>
      <c r="C2077" s="197">
        <v>1972</v>
      </c>
      <c r="D2077" s="213" t="str">
        <f t="shared" si="23"/>
        <v>2048_1972</v>
      </c>
      <c r="E2077" s="1268">
        <v>0.575997693535507</v>
      </c>
      <c r="F2077" s="1279">
        <v>1.4289597900791399E-2</v>
      </c>
      <c r="G2077" s="1255">
        <v>4.1422014224017003</v>
      </c>
      <c r="H2077" s="1279">
        <v>0.26784063186121299</v>
      </c>
      <c r="I2077" s="1255">
        <v>0.15004919238550099</v>
      </c>
      <c r="J2077" s="1279">
        <v>1.39074678539736E-4</v>
      </c>
      <c r="K2077" s="1255">
        <v>3.0000008612813601E-3</v>
      </c>
      <c r="L2077" s="1253">
        <v>2.0000005740873502E-3</v>
      </c>
      <c r="M2077" s="1273">
        <v>2.0000005740873502E-3</v>
      </c>
      <c r="N2077" s="1255">
        <v>3.1850009128239903E-2</v>
      </c>
      <c r="O2077" s="1256">
        <v>3.1850009128239903E-2</v>
      </c>
      <c r="P2077" s="1251">
        <v>1.5925004564119952E-2</v>
      </c>
      <c r="Q2077" s="1254">
        <v>0.15683375103174399</v>
      </c>
    </row>
    <row r="2078" spans="1:17" s="212" customFormat="1" ht="15.5" x14ac:dyDescent="0.35">
      <c r="A2078" s="198">
        <v>2048</v>
      </c>
      <c r="B2078" s="197" t="s">
        <v>5842</v>
      </c>
      <c r="C2078" s="197">
        <v>1973</v>
      </c>
      <c r="D2078" s="213" t="str">
        <f t="shared" si="23"/>
        <v>2048_1973</v>
      </c>
      <c r="E2078" s="1268">
        <v>0.575997693535507</v>
      </c>
      <c r="F2078" s="1279">
        <v>1.4289597900791399E-2</v>
      </c>
      <c r="G2078" s="1255">
        <v>4.1422014224017003</v>
      </c>
      <c r="H2078" s="1279">
        <v>0.26784063186121299</v>
      </c>
      <c r="I2078" s="1255">
        <v>0.15004919238550099</v>
      </c>
      <c r="J2078" s="1279">
        <v>1.39074678539736E-4</v>
      </c>
      <c r="K2078" s="1255">
        <v>3.0000008612813601E-3</v>
      </c>
      <c r="L2078" s="1253">
        <v>2.0000005740873502E-3</v>
      </c>
      <c r="M2078" s="1273">
        <v>2.0000005740873502E-3</v>
      </c>
      <c r="N2078" s="1255">
        <v>3.1850009128239903E-2</v>
      </c>
      <c r="O2078" s="1256">
        <v>3.1850009128239903E-2</v>
      </c>
      <c r="P2078" s="1251">
        <v>1.5925004564119952E-2</v>
      </c>
      <c r="Q2078" s="1254">
        <v>0.15683375103174399</v>
      </c>
    </row>
    <row r="2079" spans="1:17" s="212" customFormat="1" ht="15.5" x14ac:dyDescent="0.35">
      <c r="A2079" s="198">
        <v>2048</v>
      </c>
      <c r="B2079" s="197" t="s">
        <v>5842</v>
      </c>
      <c r="C2079" s="197">
        <v>1974</v>
      </c>
      <c r="D2079" s="213" t="str">
        <f t="shared" si="23"/>
        <v>2048_1974</v>
      </c>
      <c r="E2079" s="1268">
        <v>0.575997693535507</v>
      </c>
      <c r="F2079" s="1279">
        <v>1.4289597900791399E-2</v>
      </c>
      <c r="G2079" s="1255">
        <v>4.1422014224017003</v>
      </c>
      <c r="H2079" s="1279">
        <v>0.26784063186121299</v>
      </c>
      <c r="I2079" s="1255">
        <v>0.15004919238550099</v>
      </c>
      <c r="J2079" s="1279">
        <v>1.39074678539736E-4</v>
      </c>
      <c r="K2079" s="1255">
        <v>3.0000008612813601E-3</v>
      </c>
      <c r="L2079" s="1253">
        <v>2.0000005740873502E-3</v>
      </c>
      <c r="M2079" s="1273">
        <v>2.0000005740873502E-3</v>
      </c>
      <c r="N2079" s="1255">
        <v>3.1850009128239903E-2</v>
      </c>
      <c r="O2079" s="1256">
        <v>3.1850009128239903E-2</v>
      </c>
      <c r="P2079" s="1251">
        <v>1.5925004564119952E-2</v>
      </c>
      <c r="Q2079" s="1254">
        <v>0.15683375103174399</v>
      </c>
    </row>
    <row r="2080" spans="1:17" s="212" customFormat="1" ht="15.5" x14ac:dyDescent="0.35">
      <c r="A2080" s="198">
        <v>2048</v>
      </c>
      <c r="B2080" s="197" t="s">
        <v>5842</v>
      </c>
      <c r="C2080" s="197">
        <v>1975</v>
      </c>
      <c r="D2080" s="213" t="str">
        <f t="shared" si="23"/>
        <v>2048_1975</v>
      </c>
      <c r="E2080" s="1268">
        <v>0.575997693535507</v>
      </c>
      <c r="F2080" s="1279">
        <v>1.4289597900791399E-2</v>
      </c>
      <c r="G2080" s="1255">
        <v>4.1422014224017003</v>
      </c>
      <c r="H2080" s="1279">
        <v>0.26784063186121299</v>
      </c>
      <c r="I2080" s="1255">
        <v>0.15004919238550099</v>
      </c>
      <c r="J2080" s="1279">
        <v>1.39074678539736E-4</v>
      </c>
      <c r="K2080" s="1255">
        <v>3.0000008612813601E-3</v>
      </c>
      <c r="L2080" s="1253">
        <v>2.0000005740873502E-3</v>
      </c>
      <c r="M2080" s="1273">
        <v>2.0000005740873502E-3</v>
      </c>
      <c r="N2080" s="1255">
        <v>3.1850009128239903E-2</v>
      </c>
      <c r="O2080" s="1256">
        <v>3.1850009128239903E-2</v>
      </c>
      <c r="P2080" s="1251">
        <v>1.5925004564119952E-2</v>
      </c>
      <c r="Q2080" s="1254">
        <v>0.15683375103174399</v>
      </c>
    </row>
    <row r="2081" spans="1:17" s="212" customFormat="1" ht="15.5" x14ac:dyDescent="0.35">
      <c r="A2081" s="198">
        <v>2048</v>
      </c>
      <c r="B2081" s="197" t="s">
        <v>5842</v>
      </c>
      <c r="C2081" s="197">
        <v>1976</v>
      </c>
      <c r="D2081" s="213" t="str">
        <f t="shared" si="23"/>
        <v>2048_1976</v>
      </c>
      <c r="E2081" s="1268">
        <v>0.575997693535507</v>
      </c>
      <c r="F2081" s="1279">
        <v>1.4289597900791399E-2</v>
      </c>
      <c r="G2081" s="1255">
        <v>4.1422014224017003</v>
      </c>
      <c r="H2081" s="1279">
        <v>0.26784063186121299</v>
      </c>
      <c r="I2081" s="1255">
        <v>0.15004919238550099</v>
      </c>
      <c r="J2081" s="1279">
        <v>1.39074678539736E-4</v>
      </c>
      <c r="K2081" s="1255">
        <v>3.0000008612813601E-3</v>
      </c>
      <c r="L2081" s="1253">
        <v>2.0000005740873502E-3</v>
      </c>
      <c r="M2081" s="1273">
        <v>2.0000005740873502E-3</v>
      </c>
      <c r="N2081" s="1255">
        <v>3.1850009128239903E-2</v>
      </c>
      <c r="O2081" s="1256">
        <v>3.1850009128239903E-2</v>
      </c>
      <c r="P2081" s="1251">
        <v>1.5925004564119952E-2</v>
      </c>
      <c r="Q2081" s="1254">
        <v>0.15683375103174399</v>
      </c>
    </row>
    <row r="2082" spans="1:17" s="212" customFormat="1" ht="15.5" x14ac:dyDescent="0.35">
      <c r="A2082" s="198">
        <v>2048</v>
      </c>
      <c r="B2082" s="197" t="s">
        <v>5842</v>
      </c>
      <c r="C2082" s="197">
        <v>1977</v>
      </c>
      <c r="D2082" s="213" t="str">
        <f t="shared" si="23"/>
        <v>2048_1977</v>
      </c>
      <c r="E2082" s="1268">
        <v>0.575997693535507</v>
      </c>
      <c r="F2082" s="1279">
        <v>1.4289597900791399E-2</v>
      </c>
      <c r="G2082" s="1255">
        <v>4.1422014224017003</v>
      </c>
      <c r="H2082" s="1279">
        <v>0.26784063186121299</v>
      </c>
      <c r="I2082" s="1255">
        <v>0.15004919238550099</v>
      </c>
      <c r="J2082" s="1279">
        <v>1.39074678539736E-4</v>
      </c>
      <c r="K2082" s="1255">
        <v>3.0000008612813601E-3</v>
      </c>
      <c r="L2082" s="1253">
        <v>2.0000005740873502E-3</v>
      </c>
      <c r="M2082" s="1273">
        <v>2.0000005740873502E-3</v>
      </c>
      <c r="N2082" s="1255">
        <v>3.1850009128239903E-2</v>
      </c>
      <c r="O2082" s="1256">
        <v>3.1850009128239903E-2</v>
      </c>
      <c r="P2082" s="1251">
        <v>1.5925004564119952E-2</v>
      </c>
      <c r="Q2082" s="1254">
        <v>0.15683375103174399</v>
      </c>
    </row>
    <row r="2083" spans="1:17" s="212" customFormat="1" ht="15.5" x14ac:dyDescent="0.35">
      <c r="A2083" s="198">
        <v>2048</v>
      </c>
      <c r="B2083" s="197" t="s">
        <v>5842</v>
      </c>
      <c r="C2083" s="197">
        <v>1978</v>
      </c>
      <c r="D2083" s="213" t="str">
        <f t="shared" si="23"/>
        <v>2048_1978</v>
      </c>
      <c r="E2083" s="1268">
        <v>0.575997693535507</v>
      </c>
      <c r="F2083" s="1279">
        <v>1.4289597900791399E-2</v>
      </c>
      <c r="G2083" s="1255">
        <v>4.1422014224017003</v>
      </c>
      <c r="H2083" s="1279">
        <v>0.26784063186121299</v>
      </c>
      <c r="I2083" s="1255">
        <v>0.15004919238550099</v>
      </c>
      <c r="J2083" s="1279">
        <v>1.39074678539736E-4</v>
      </c>
      <c r="K2083" s="1255">
        <v>3.0000008612813601E-3</v>
      </c>
      <c r="L2083" s="1253">
        <v>2.0000005740873502E-3</v>
      </c>
      <c r="M2083" s="1273">
        <v>2.0000005740873502E-3</v>
      </c>
      <c r="N2083" s="1255">
        <v>3.1850009128239903E-2</v>
      </c>
      <c r="O2083" s="1256">
        <v>3.1850009128239903E-2</v>
      </c>
      <c r="P2083" s="1251">
        <v>1.5925004564119952E-2</v>
      </c>
      <c r="Q2083" s="1254">
        <v>0.15683375103174399</v>
      </c>
    </row>
    <row r="2084" spans="1:17" s="212" customFormat="1" ht="15.5" x14ac:dyDescent="0.35">
      <c r="A2084" s="198">
        <v>2048</v>
      </c>
      <c r="B2084" s="197" t="s">
        <v>5842</v>
      </c>
      <c r="C2084" s="197">
        <v>1979</v>
      </c>
      <c r="D2084" s="213" t="str">
        <f t="shared" si="23"/>
        <v>2048_1979</v>
      </c>
      <c r="E2084" s="1268">
        <v>0.575997693535507</v>
      </c>
      <c r="F2084" s="1279">
        <v>1.4289597900791399E-2</v>
      </c>
      <c r="G2084" s="1255">
        <v>4.1422014224017003</v>
      </c>
      <c r="H2084" s="1279">
        <v>0.26784063186121299</v>
      </c>
      <c r="I2084" s="1255">
        <v>0.15004919238550099</v>
      </c>
      <c r="J2084" s="1279">
        <v>1.39074678539736E-4</v>
      </c>
      <c r="K2084" s="1255">
        <v>3.0000008612813601E-3</v>
      </c>
      <c r="L2084" s="1253">
        <v>2.0000005740873502E-3</v>
      </c>
      <c r="M2084" s="1273">
        <v>2.0000005740873502E-3</v>
      </c>
      <c r="N2084" s="1255">
        <v>3.1850009128239903E-2</v>
      </c>
      <c r="O2084" s="1256">
        <v>3.1850009128239903E-2</v>
      </c>
      <c r="P2084" s="1251">
        <v>1.5925004564119952E-2</v>
      </c>
      <c r="Q2084" s="1254">
        <v>0.15683375103174399</v>
      </c>
    </row>
    <row r="2085" spans="1:17" s="212" customFormat="1" ht="15.5" x14ac:dyDescent="0.35">
      <c r="A2085" s="198">
        <v>2048</v>
      </c>
      <c r="B2085" s="197" t="s">
        <v>5842</v>
      </c>
      <c r="C2085" s="197">
        <v>1980</v>
      </c>
      <c r="D2085" s="213" t="str">
        <f t="shared" si="23"/>
        <v>2048_1980</v>
      </c>
      <c r="E2085" s="1268">
        <v>0.575997693535507</v>
      </c>
      <c r="F2085" s="1279">
        <v>1.4289597900791399E-2</v>
      </c>
      <c r="G2085" s="1255">
        <v>4.1422014224017003</v>
      </c>
      <c r="H2085" s="1279">
        <v>0.26784063186121299</v>
      </c>
      <c r="I2085" s="1255">
        <v>0.15004919238550099</v>
      </c>
      <c r="J2085" s="1279">
        <v>1.39074678539736E-4</v>
      </c>
      <c r="K2085" s="1255">
        <v>3.0000008612813601E-3</v>
      </c>
      <c r="L2085" s="1253">
        <v>2.0000005740873502E-3</v>
      </c>
      <c r="M2085" s="1273">
        <v>2.0000005740873502E-3</v>
      </c>
      <c r="N2085" s="1255">
        <v>3.1850009128239903E-2</v>
      </c>
      <c r="O2085" s="1256">
        <v>3.1850009128239903E-2</v>
      </c>
      <c r="P2085" s="1251">
        <v>1.5925004564119952E-2</v>
      </c>
      <c r="Q2085" s="1254">
        <v>0.15683375103174399</v>
      </c>
    </row>
    <row r="2086" spans="1:17" s="212" customFormat="1" ht="15.5" x14ac:dyDescent="0.35">
      <c r="A2086" s="198">
        <v>2048</v>
      </c>
      <c r="B2086" s="197" t="s">
        <v>5842</v>
      </c>
      <c r="C2086" s="197">
        <v>1981</v>
      </c>
      <c r="D2086" s="213" t="str">
        <f t="shared" si="23"/>
        <v>2048_1981</v>
      </c>
      <c r="E2086" s="1268">
        <v>0.575997693535507</v>
      </c>
      <c r="F2086" s="1279">
        <v>1.4289597900791399E-2</v>
      </c>
      <c r="G2086" s="1255">
        <v>4.1422014224017003</v>
      </c>
      <c r="H2086" s="1279">
        <v>0.26784063186121299</v>
      </c>
      <c r="I2086" s="1255">
        <v>0.15004919238550099</v>
      </c>
      <c r="J2086" s="1279">
        <v>1.39074678539736E-4</v>
      </c>
      <c r="K2086" s="1255">
        <v>3.0000008612813601E-3</v>
      </c>
      <c r="L2086" s="1253">
        <v>2.0000005740873502E-3</v>
      </c>
      <c r="M2086" s="1273">
        <v>2.0000005740873502E-3</v>
      </c>
      <c r="N2086" s="1255">
        <v>3.1850009128239903E-2</v>
      </c>
      <c r="O2086" s="1256">
        <v>3.1850009128239903E-2</v>
      </c>
      <c r="P2086" s="1251">
        <v>1.5925004564119952E-2</v>
      </c>
      <c r="Q2086" s="1254">
        <v>0.15683375103174399</v>
      </c>
    </row>
    <row r="2087" spans="1:17" s="212" customFormat="1" ht="15.5" x14ac:dyDescent="0.35">
      <c r="A2087" s="198">
        <v>2048</v>
      </c>
      <c r="B2087" s="197" t="s">
        <v>5842</v>
      </c>
      <c r="C2087" s="197">
        <v>1982</v>
      </c>
      <c r="D2087" s="213" t="str">
        <f t="shared" si="23"/>
        <v>2048_1982</v>
      </c>
      <c r="E2087" s="1268">
        <v>0.575997693535507</v>
      </c>
      <c r="F2087" s="1279">
        <v>1.4289597900791399E-2</v>
      </c>
      <c r="G2087" s="1255">
        <v>4.1422014224017003</v>
      </c>
      <c r="H2087" s="1279">
        <v>0.26784063186121299</v>
      </c>
      <c r="I2087" s="1255">
        <v>0.15004919238550099</v>
      </c>
      <c r="J2087" s="1279">
        <v>1.39074678539736E-4</v>
      </c>
      <c r="K2087" s="1255">
        <v>3.0000008612813601E-3</v>
      </c>
      <c r="L2087" s="1253">
        <v>2.0000005740873502E-3</v>
      </c>
      <c r="M2087" s="1273">
        <v>2.0000005740873502E-3</v>
      </c>
      <c r="N2087" s="1255">
        <v>3.1850009128239903E-2</v>
      </c>
      <c r="O2087" s="1256">
        <v>3.1850009128239903E-2</v>
      </c>
      <c r="P2087" s="1251">
        <v>1.5925004564119952E-2</v>
      </c>
      <c r="Q2087" s="1254">
        <v>0.15683375103174399</v>
      </c>
    </row>
    <row r="2088" spans="1:17" s="212" customFormat="1" ht="15.5" x14ac:dyDescent="0.35">
      <c r="A2088" s="198">
        <v>2048</v>
      </c>
      <c r="B2088" s="197" t="s">
        <v>5842</v>
      </c>
      <c r="C2088" s="197">
        <v>1983</v>
      </c>
      <c r="D2088" s="213" t="str">
        <f t="shared" si="23"/>
        <v>2048_1983</v>
      </c>
      <c r="E2088" s="1268">
        <v>0.575997693535507</v>
      </c>
      <c r="F2088" s="1279">
        <v>1.4289597900791399E-2</v>
      </c>
      <c r="G2088" s="1255">
        <v>4.1422014224017003</v>
      </c>
      <c r="H2088" s="1279">
        <v>0.26784063186121299</v>
      </c>
      <c r="I2088" s="1255">
        <v>0.15004919238550099</v>
      </c>
      <c r="J2088" s="1279">
        <v>1.39074678539736E-4</v>
      </c>
      <c r="K2088" s="1255">
        <v>3.0000008612813601E-3</v>
      </c>
      <c r="L2088" s="1253">
        <v>2.0000005740873502E-3</v>
      </c>
      <c r="M2088" s="1273">
        <v>2.0000005740873502E-3</v>
      </c>
      <c r="N2088" s="1255">
        <v>3.1850009128239903E-2</v>
      </c>
      <c r="O2088" s="1256">
        <v>3.1850009128239903E-2</v>
      </c>
      <c r="P2088" s="1251">
        <v>1.5925004564119952E-2</v>
      </c>
      <c r="Q2088" s="1254">
        <v>0.15683375103174399</v>
      </c>
    </row>
    <row r="2089" spans="1:17" s="212" customFormat="1" ht="15.5" x14ac:dyDescent="0.35">
      <c r="A2089" s="198">
        <v>2048</v>
      </c>
      <c r="B2089" s="197" t="s">
        <v>5842</v>
      </c>
      <c r="C2089" s="197">
        <v>1984</v>
      </c>
      <c r="D2089" s="213" t="str">
        <f t="shared" si="23"/>
        <v>2048_1984</v>
      </c>
      <c r="E2089" s="1268">
        <v>0.575997693535507</v>
      </c>
      <c r="F2089" s="1279">
        <v>1.4289597900791399E-2</v>
      </c>
      <c r="G2089" s="1255">
        <v>4.1422014224017003</v>
      </c>
      <c r="H2089" s="1279">
        <v>0.26784063186121299</v>
      </c>
      <c r="I2089" s="1255">
        <v>0.15004919238550099</v>
      </c>
      <c r="J2089" s="1279">
        <v>1.39074678539736E-4</v>
      </c>
      <c r="K2089" s="1255">
        <v>3.0000008612813601E-3</v>
      </c>
      <c r="L2089" s="1253">
        <v>2.0000005740873502E-3</v>
      </c>
      <c r="M2089" s="1273">
        <v>2.0000005740873502E-3</v>
      </c>
      <c r="N2089" s="1255">
        <v>3.1850009128239903E-2</v>
      </c>
      <c r="O2089" s="1256">
        <v>3.1850009128239903E-2</v>
      </c>
      <c r="P2089" s="1251">
        <v>1.5925004564119952E-2</v>
      </c>
      <c r="Q2089" s="1254">
        <v>0.15683375103174399</v>
      </c>
    </row>
    <row r="2090" spans="1:17" s="212" customFormat="1" ht="15.5" x14ac:dyDescent="0.35">
      <c r="A2090" s="198">
        <v>2048</v>
      </c>
      <c r="B2090" s="197" t="s">
        <v>5842</v>
      </c>
      <c r="C2090" s="197">
        <v>1985</v>
      </c>
      <c r="D2090" s="213" t="str">
        <f t="shared" si="23"/>
        <v>2048_1985</v>
      </c>
      <c r="E2090" s="1268">
        <v>0.575997693535507</v>
      </c>
      <c r="F2090" s="1279">
        <v>1.4289597900791399E-2</v>
      </c>
      <c r="G2090" s="1255">
        <v>4.1422014224017003</v>
      </c>
      <c r="H2090" s="1279">
        <v>0.26784063186121299</v>
      </c>
      <c r="I2090" s="1255">
        <v>0.15004919238550099</v>
      </c>
      <c r="J2090" s="1279">
        <v>1.39074678539736E-4</v>
      </c>
      <c r="K2090" s="1255">
        <v>3.0000008612813601E-3</v>
      </c>
      <c r="L2090" s="1253">
        <v>2.0000005740873502E-3</v>
      </c>
      <c r="M2090" s="1273">
        <v>2.0000005740873502E-3</v>
      </c>
      <c r="N2090" s="1255">
        <v>3.1850009128239903E-2</v>
      </c>
      <c r="O2090" s="1256">
        <v>3.1850009128239903E-2</v>
      </c>
      <c r="P2090" s="1251">
        <v>1.5925004564119952E-2</v>
      </c>
      <c r="Q2090" s="1254">
        <v>0.15683375103174399</v>
      </c>
    </row>
    <row r="2091" spans="1:17" s="212" customFormat="1" ht="15.5" x14ac:dyDescent="0.35">
      <c r="A2091" s="198">
        <v>2048</v>
      </c>
      <c r="B2091" s="197" t="s">
        <v>5842</v>
      </c>
      <c r="C2091" s="197">
        <v>1986</v>
      </c>
      <c r="D2091" s="213" t="str">
        <f t="shared" si="23"/>
        <v>2048_1986</v>
      </c>
      <c r="E2091" s="1268">
        <v>0.575997693535507</v>
      </c>
      <c r="F2091" s="1279">
        <v>1.4289597900791399E-2</v>
      </c>
      <c r="G2091" s="1255">
        <v>4.1422014224017003</v>
      </c>
      <c r="H2091" s="1279">
        <v>0.26784063186121299</v>
      </c>
      <c r="I2091" s="1255">
        <v>0.15004919238550099</v>
      </c>
      <c r="J2091" s="1279">
        <v>1.39074678539736E-4</v>
      </c>
      <c r="K2091" s="1255">
        <v>3.0000008612813601E-3</v>
      </c>
      <c r="L2091" s="1253">
        <v>2.0000005740873502E-3</v>
      </c>
      <c r="M2091" s="1273">
        <v>2.0000005740873502E-3</v>
      </c>
      <c r="N2091" s="1255">
        <v>3.1850009128239903E-2</v>
      </c>
      <c r="O2091" s="1256">
        <v>3.1850009128239903E-2</v>
      </c>
      <c r="P2091" s="1251">
        <v>1.5925004564119952E-2</v>
      </c>
      <c r="Q2091" s="1254">
        <v>0.15683375103174399</v>
      </c>
    </row>
    <row r="2092" spans="1:17" s="212" customFormat="1" ht="15.5" x14ac:dyDescent="0.35">
      <c r="A2092" s="198">
        <v>2048</v>
      </c>
      <c r="B2092" s="197" t="s">
        <v>5842</v>
      </c>
      <c r="C2092" s="197">
        <v>1987</v>
      </c>
      <c r="D2092" s="213" t="str">
        <f t="shared" si="23"/>
        <v>2048_1987</v>
      </c>
      <c r="E2092" s="1268">
        <v>0.575997693535507</v>
      </c>
      <c r="F2092" s="1279">
        <v>1.4289597900791399E-2</v>
      </c>
      <c r="G2092" s="1255">
        <v>4.1422014224017003</v>
      </c>
      <c r="H2092" s="1279">
        <v>0.26784063186121299</v>
      </c>
      <c r="I2092" s="1255">
        <v>0.15004919238550099</v>
      </c>
      <c r="J2092" s="1279">
        <v>1.39074678539736E-4</v>
      </c>
      <c r="K2092" s="1255">
        <v>3.0000008612813601E-3</v>
      </c>
      <c r="L2092" s="1253">
        <v>2.0000005740873502E-3</v>
      </c>
      <c r="M2092" s="1273">
        <v>2.0000005740873502E-3</v>
      </c>
      <c r="N2092" s="1255">
        <v>3.1850009128239903E-2</v>
      </c>
      <c r="O2092" s="1256">
        <v>3.1850009128239903E-2</v>
      </c>
      <c r="P2092" s="1251">
        <v>1.5925004564119952E-2</v>
      </c>
      <c r="Q2092" s="1254">
        <v>0.15683375103174399</v>
      </c>
    </row>
    <row r="2093" spans="1:17" s="212" customFormat="1" ht="15.5" x14ac:dyDescent="0.35">
      <c r="A2093" s="198">
        <v>2048</v>
      </c>
      <c r="B2093" s="197" t="s">
        <v>5842</v>
      </c>
      <c r="C2093" s="197">
        <v>1988</v>
      </c>
      <c r="D2093" s="213" t="str">
        <f t="shared" si="23"/>
        <v>2048_1988</v>
      </c>
      <c r="E2093" s="1268">
        <v>0.575997693535507</v>
      </c>
      <c r="F2093" s="1279">
        <v>1.4289597900791399E-2</v>
      </c>
      <c r="G2093" s="1255">
        <v>4.1422014224017003</v>
      </c>
      <c r="H2093" s="1279">
        <v>0.26784063186121299</v>
      </c>
      <c r="I2093" s="1255">
        <v>0.15004919238550099</v>
      </c>
      <c r="J2093" s="1279">
        <v>1.39074678539736E-4</v>
      </c>
      <c r="K2093" s="1255">
        <v>3.0000008612813601E-3</v>
      </c>
      <c r="L2093" s="1253">
        <v>2.0000005740873502E-3</v>
      </c>
      <c r="M2093" s="1273">
        <v>2.0000005740873502E-3</v>
      </c>
      <c r="N2093" s="1255">
        <v>3.1850009128239903E-2</v>
      </c>
      <c r="O2093" s="1256">
        <v>3.1850009128239903E-2</v>
      </c>
      <c r="P2093" s="1251">
        <v>1.5925004564119952E-2</v>
      </c>
      <c r="Q2093" s="1254">
        <v>0.15683375103174399</v>
      </c>
    </row>
    <row r="2094" spans="1:17" s="212" customFormat="1" ht="15.5" x14ac:dyDescent="0.35">
      <c r="A2094" s="198">
        <v>2048</v>
      </c>
      <c r="B2094" s="197" t="s">
        <v>5842</v>
      </c>
      <c r="C2094" s="197">
        <v>1989</v>
      </c>
      <c r="D2094" s="213" t="str">
        <f t="shared" si="23"/>
        <v>2048_1989</v>
      </c>
      <c r="E2094" s="1268">
        <v>0.575997693535507</v>
      </c>
      <c r="F2094" s="1279">
        <v>1.4289597900791399E-2</v>
      </c>
      <c r="G2094" s="1255">
        <v>4.1422014224017003</v>
      </c>
      <c r="H2094" s="1279">
        <v>0.26784063186121299</v>
      </c>
      <c r="I2094" s="1255">
        <v>0.15004919238550099</v>
      </c>
      <c r="J2094" s="1279">
        <v>1.39074678539736E-4</v>
      </c>
      <c r="K2094" s="1255">
        <v>3.0000008612813601E-3</v>
      </c>
      <c r="L2094" s="1253">
        <v>2.0000005740873502E-3</v>
      </c>
      <c r="M2094" s="1273">
        <v>2.0000005740873502E-3</v>
      </c>
      <c r="N2094" s="1255">
        <v>3.1850009128239903E-2</v>
      </c>
      <c r="O2094" s="1256">
        <v>3.1850009128239903E-2</v>
      </c>
      <c r="P2094" s="1251">
        <v>1.5925004564119952E-2</v>
      </c>
      <c r="Q2094" s="1254">
        <v>0.15683375103174399</v>
      </c>
    </row>
    <row r="2095" spans="1:17" s="212" customFormat="1" ht="15.5" x14ac:dyDescent="0.35">
      <c r="A2095" s="198">
        <v>2048</v>
      </c>
      <c r="B2095" s="197" t="s">
        <v>5842</v>
      </c>
      <c r="C2095" s="197">
        <v>1990</v>
      </c>
      <c r="D2095" s="213" t="str">
        <f t="shared" si="23"/>
        <v>2048_1990</v>
      </c>
      <c r="E2095" s="1268">
        <v>0.575997693535507</v>
      </c>
      <c r="F2095" s="1279">
        <v>1.4289597900791399E-2</v>
      </c>
      <c r="G2095" s="1255">
        <v>4.1422014224017003</v>
      </c>
      <c r="H2095" s="1279">
        <v>0.26784063186121299</v>
      </c>
      <c r="I2095" s="1255">
        <v>0.15004919238550099</v>
      </c>
      <c r="J2095" s="1279">
        <v>1.39074678539736E-4</v>
      </c>
      <c r="K2095" s="1255">
        <v>3.0000008612813601E-3</v>
      </c>
      <c r="L2095" s="1253">
        <v>2.0000005740873502E-3</v>
      </c>
      <c r="M2095" s="1273">
        <v>2.0000005740873502E-3</v>
      </c>
      <c r="N2095" s="1255">
        <v>3.1850009128239903E-2</v>
      </c>
      <c r="O2095" s="1256">
        <v>3.1850009128239903E-2</v>
      </c>
      <c r="P2095" s="1251">
        <v>1.5925004564119952E-2</v>
      </c>
      <c r="Q2095" s="1254">
        <v>0.15683375103174399</v>
      </c>
    </row>
    <row r="2096" spans="1:17" s="212" customFormat="1" ht="15.5" x14ac:dyDescent="0.35">
      <c r="A2096" s="198">
        <v>2048</v>
      </c>
      <c r="B2096" s="197" t="s">
        <v>5842</v>
      </c>
      <c r="C2096" s="197">
        <v>1991</v>
      </c>
      <c r="D2096" s="213" t="str">
        <f t="shared" si="23"/>
        <v>2048_1991</v>
      </c>
      <c r="E2096" s="1268">
        <v>0.575997693535507</v>
      </c>
      <c r="F2096" s="1279">
        <v>1.4289597900791399E-2</v>
      </c>
      <c r="G2096" s="1255">
        <v>4.1422014224017003</v>
      </c>
      <c r="H2096" s="1279">
        <v>0.26784063186121299</v>
      </c>
      <c r="I2096" s="1255">
        <v>0.15004919238550099</v>
      </c>
      <c r="J2096" s="1279">
        <v>1.39074678539736E-4</v>
      </c>
      <c r="K2096" s="1255">
        <v>3.0000008612813601E-3</v>
      </c>
      <c r="L2096" s="1253">
        <v>2.0000005740873502E-3</v>
      </c>
      <c r="M2096" s="1273">
        <v>2.0000005740873502E-3</v>
      </c>
      <c r="N2096" s="1255">
        <v>3.1850009128239903E-2</v>
      </c>
      <c r="O2096" s="1256">
        <v>3.1850009128239903E-2</v>
      </c>
      <c r="P2096" s="1251">
        <v>1.5925004564119952E-2</v>
      </c>
      <c r="Q2096" s="1254">
        <v>0.15683375103174399</v>
      </c>
    </row>
    <row r="2097" spans="1:17" s="212" customFormat="1" ht="15.5" x14ac:dyDescent="0.35">
      <c r="A2097" s="198">
        <v>2048</v>
      </c>
      <c r="B2097" s="197" t="s">
        <v>5842</v>
      </c>
      <c r="C2097" s="197">
        <v>1992</v>
      </c>
      <c r="D2097" s="213" t="str">
        <f t="shared" si="23"/>
        <v>2048_1992</v>
      </c>
      <c r="E2097" s="1268">
        <v>0.575997693535507</v>
      </c>
      <c r="F2097" s="1279">
        <v>1.4289597900791399E-2</v>
      </c>
      <c r="G2097" s="1255">
        <v>4.1422014224017003</v>
      </c>
      <c r="H2097" s="1279">
        <v>0.26784063186121299</v>
      </c>
      <c r="I2097" s="1255">
        <v>0.15004919238550099</v>
      </c>
      <c r="J2097" s="1279">
        <v>1.39074678539736E-4</v>
      </c>
      <c r="K2097" s="1255">
        <v>3.0000008612813601E-3</v>
      </c>
      <c r="L2097" s="1253">
        <v>2.0000005740873502E-3</v>
      </c>
      <c r="M2097" s="1273">
        <v>2.0000005740873502E-3</v>
      </c>
      <c r="N2097" s="1255">
        <v>3.1850009128239903E-2</v>
      </c>
      <c r="O2097" s="1256">
        <v>3.1850009128239903E-2</v>
      </c>
      <c r="P2097" s="1251">
        <v>1.5925004564119952E-2</v>
      </c>
      <c r="Q2097" s="1254">
        <v>0.15683375103174399</v>
      </c>
    </row>
    <row r="2098" spans="1:17" s="212" customFormat="1" ht="15.5" x14ac:dyDescent="0.35">
      <c r="A2098" s="198">
        <v>2048</v>
      </c>
      <c r="B2098" s="197" t="s">
        <v>5842</v>
      </c>
      <c r="C2098" s="197">
        <v>1993</v>
      </c>
      <c r="D2098" s="213" t="str">
        <f t="shared" si="23"/>
        <v>2048_1993</v>
      </c>
      <c r="E2098" s="1268">
        <v>0.575997693535507</v>
      </c>
      <c r="F2098" s="1279">
        <v>1.4289597900791399E-2</v>
      </c>
      <c r="G2098" s="1255">
        <v>4.1422014224017003</v>
      </c>
      <c r="H2098" s="1279">
        <v>0.26784063186121299</v>
      </c>
      <c r="I2098" s="1255">
        <v>0.15004919238550099</v>
      </c>
      <c r="J2098" s="1279">
        <v>1.39074678539736E-4</v>
      </c>
      <c r="K2098" s="1255">
        <v>3.0000008612813601E-3</v>
      </c>
      <c r="L2098" s="1253">
        <v>2.0000005740873502E-3</v>
      </c>
      <c r="M2098" s="1273">
        <v>2.0000005740873502E-3</v>
      </c>
      <c r="N2098" s="1255">
        <v>3.1850009128239903E-2</v>
      </c>
      <c r="O2098" s="1256">
        <v>3.1850009128239903E-2</v>
      </c>
      <c r="P2098" s="1251">
        <v>1.5925004564119952E-2</v>
      </c>
      <c r="Q2098" s="1254">
        <v>0.15683375103174399</v>
      </c>
    </row>
    <row r="2099" spans="1:17" s="212" customFormat="1" ht="15.5" x14ac:dyDescent="0.35">
      <c r="A2099" s="198">
        <v>2048</v>
      </c>
      <c r="B2099" s="197" t="s">
        <v>5842</v>
      </c>
      <c r="C2099" s="197">
        <v>1994</v>
      </c>
      <c r="D2099" s="213" t="str">
        <f t="shared" si="23"/>
        <v>2048_1994</v>
      </c>
      <c r="E2099" s="1268">
        <v>0.575997693535507</v>
      </c>
      <c r="F2099" s="1279">
        <v>1.4289597900791399E-2</v>
      </c>
      <c r="G2099" s="1255">
        <v>4.1422014224017003</v>
      </c>
      <c r="H2099" s="1279">
        <v>0.26784063186121299</v>
      </c>
      <c r="I2099" s="1255">
        <v>0.15004919238550099</v>
      </c>
      <c r="J2099" s="1279">
        <v>1.39074678539736E-4</v>
      </c>
      <c r="K2099" s="1255">
        <v>3.0000008612813601E-3</v>
      </c>
      <c r="L2099" s="1253">
        <v>2.0000005740873502E-3</v>
      </c>
      <c r="M2099" s="1273">
        <v>2.0000005740873502E-3</v>
      </c>
      <c r="N2099" s="1255">
        <v>3.1850009128239903E-2</v>
      </c>
      <c r="O2099" s="1256">
        <v>3.1850009128239903E-2</v>
      </c>
      <c r="P2099" s="1251">
        <v>1.5925004564119952E-2</v>
      </c>
      <c r="Q2099" s="1254">
        <v>0.15683375103174399</v>
      </c>
    </row>
    <row r="2100" spans="1:17" s="212" customFormat="1" ht="15.5" x14ac:dyDescent="0.35">
      <c r="A2100" s="198">
        <v>2048</v>
      </c>
      <c r="B2100" s="197" t="s">
        <v>5842</v>
      </c>
      <c r="C2100" s="197">
        <v>1995</v>
      </c>
      <c r="D2100" s="213" t="str">
        <f t="shared" si="23"/>
        <v>2048_1995</v>
      </c>
      <c r="E2100" s="1268">
        <v>0.575997693535507</v>
      </c>
      <c r="F2100" s="1279">
        <v>1.4289597900791399E-2</v>
      </c>
      <c r="G2100" s="1255">
        <v>4.1422014224017003</v>
      </c>
      <c r="H2100" s="1279">
        <v>0.26784063186121299</v>
      </c>
      <c r="I2100" s="1255">
        <v>0.15004919238550099</v>
      </c>
      <c r="J2100" s="1279">
        <v>1.39074678539736E-4</v>
      </c>
      <c r="K2100" s="1255">
        <v>3.0000008612813601E-3</v>
      </c>
      <c r="L2100" s="1253">
        <v>2.0000005740873502E-3</v>
      </c>
      <c r="M2100" s="1273">
        <v>2.0000005740873502E-3</v>
      </c>
      <c r="N2100" s="1255">
        <v>3.1850009128239903E-2</v>
      </c>
      <c r="O2100" s="1256">
        <v>3.1850009128239903E-2</v>
      </c>
      <c r="P2100" s="1251">
        <v>1.5925004564119952E-2</v>
      </c>
      <c r="Q2100" s="1254">
        <v>0.15683375103174399</v>
      </c>
    </row>
    <row r="2101" spans="1:17" s="212" customFormat="1" ht="15.5" x14ac:dyDescent="0.35">
      <c r="A2101" s="198">
        <v>2048</v>
      </c>
      <c r="B2101" s="197" t="s">
        <v>5842</v>
      </c>
      <c r="C2101" s="197">
        <v>1996</v>
      </c>
      <c r="D2101" s="213" t="str">
        <f t="shared" si="23"/>
        <v>2048_1996</v>
      </c>
      <c r="E2101" s="1268">
        <v>0.575997693535507</v>
      </c>
      <c r="F2101" s="1279">
        <v>1.4289597900791399E-2</v>
      </c>
      <c r="G2101" s="1255">
        <v>4.1422014224017003</v>
      </c>
      <c r="H2101" s="1279">
        <v>0.26784063186121299</v>
      </c>
      <c r="I2101" s="1255">
        <v>0.15004919238550099</v>
      </c>
      <c r="J2101" s="1279">
        <v>1.39074678539736E-4</v>
      </c>
      <c r="K2101" s="1255">
        <v>3.0000008612813601E-3</v>
      </c>
      <c r="L2101" s="1253">
        <v>2.0000005740873502E-3</v>
      </c>
      <c r="M2101" s="1273">
        <v>2.0000005740873502E-3</v>
      </c>
      <c r="N2101" s="1255">
        <v>3.1850009128239903E-2</v>
      </c>
      <c r="O2101" s="1256">
        <v>3.1850009128239903E-2</v>
      </c>
      <c r="P2101" s="1251">
        <v>1.5925004564119952E-2</v>
      </c>
      <c r="Q2101" s="1254">
        <v>0.15683375103174399</v>
      </c>
    </row>
    <row r="2102" spans="1:17" s="212" customFormat="1" ht="15.5" x14ac:dyDescent="0.35">
      <c r="A2102" s="198">
        <v>2048</v>
      </c>
      <c r="B2102" s="197" t="s">
        <v>5842</v>
      </c>
      <c r="C2102" s="197">
        <v>1997</v>
      </c>
      <c r="D2102" s="213" t="str">
        <f t="shared" si="23"/>
        <v>2048_1997</v>
      </c>
      <c r="E2102" s="1268">
        <v>0.575997693535507</v>
      </c>
      <c r="F2102" s="1279">
        <v>1.4289597900791399E-2</v>
      </c>
      <c r="G2102" s="1255">
        <v>4.1422014224017003</v>
      </c>
      <c r="H2102" s="1279">
        <v>0.26784063186121299</v>
      </c>
      <c r="I2102" s="1255">
        <v>0.15004919238550099</v>
      </c>
      <c r="J2102" s="1279">
        <v>1.39074678539736E-4</v>
      </c>
      <c r="K2102" s="1255">
        <v>3.0000008612813601E-3</v>
      </c>
      <c r="L2102" s="1253">
        <v>2.0000005740873502E-3</v>
      </c>
      <c r="M2102" s="1273">
        <v>2.0000005740873502E-3</v>
      </c>
      <c r="N2102" s="1255">
        <v>3.1850009128239903E-2</v>
      </c>
      <c r="O2102" s="1256">
        <v>3.1850009128239903E-2</v>
      </c>
      <c r="P2102" s="1251">
        <v>1.5925004564119952E-2</v>
      </c>
      <c r="Q2102" s="1254">
        <v>0.15683375103174399</v>
      </c>
    </row>
    <row r="2103" spans="1:17" s="212" customFormat="1" ht="15.5" x14ac:dyDescent="0.35">
      <c r="A2103" s="198">
        <v>2048</v>
      </c>
      <c r="B2103" s="197" t="s">
        <v>5842</v>
      </c>
      <c r="C2103" s="197">
        <v>1998</v>
      </c>
      <c r="D2103" s="213" t="str">
        <f t="shared" si="23"/>
        <v>2048_1998</v>
      </c>
      <c r="E2103" s="1268">
        <v>0.575997693535507</v>
      </c>
      <c r="F2103" s="1279">
        <v>1.4289597900791399E-2</v>
      </c>
      <c r="G2103" s="1255">
        <v>4.1422014224017003</v>
      </c>
      <c r="H2103" s="1279">
        <v>0.26784063186121299</v>
      </c>
      <c r="I2103" s="1255">
        <v>0.15004919238550099</v>
      </c>
      <c r="J2103" s="1279">
        <v>1.39074678539736E-4</v>
      </c>
      <c r="K2103" s="1255">
        <v>3.0000008612813601E-3</v>
      </c>
      <c r="L2103" s="1253">
        <v>2.0000005740873502E-3</v>
      </c>
      <c r="M2103" s="1273">
        <v>2.0000005740873502E-3</v>
      </c>
      <c r="N2103" s="1255">
        <v>3.1850009128239903E-2</v>
      </c>
      <c r="O2103" s="1256">
        <v>3.1850009128239903E-2</v>
      </c>
      <c r="P2103" s="1251">
        <v>1.5925004564119952E-2</v>
      </c>
      <c r="Q2103" s="1254">
        <v>0.15683375103174399</v>
      </c>
    </row>
    <row r="2104" spans="1:17" s="212" customFormat="1" ht="15.5" x14ac:dyDescent="0.35">
      <c r="A2104" s="198">
        <v>2048</v>
      </c>
      <c r="B2104" s="197" t="s">
        <v>5842</v>
      </c>
      <c r="C2104" s="197">
        <v>1999</v>
      </c>
      <c r="D2104" s="213" t="str">
        <f t="shared" si="23"/>
        <v>2048_1999</v>
      </c>
      <c r="E2104" s="1268">
        <v>0.575997693535507</v>
      </c>
      <c r="F2104" s="1279">
        <v>1.4289597900791399E-2</v>
      </c>
      <c r="G2104" s="1255">
        <v>4.1422014224017003</v>
      </c>
      <c r="H2104" s="1279">
        <v>0.26784063186121299</v>
      </c>
      <c r="I2104" s="1255">
        <v>0.15004919238550099</v>
      </c>
      <c r="J2104" s="1279">
        <v>1.39074678539736E-4</v>
      </c>
      <c r="K2104" s="1255">
        <v>3.0000008612813601E-3</v>
      </c>
      <c r="L2104" s="1253">
        <v>2.0000005740873502E-3</v>
      </c>
      <c r="M2104" s="1273">
        <v>2.0000005740873502E-3</v>
      </c>
      <c r="N2104" s="1255">
        <v>3.1850009128239903E-2</v>
      </c>
      <c r="O2104" s="1256">
        <v>3.1850009128239903E-2</v>
      </c>
      <c r="P2104" s="1251">
        <v>1.5925004564119952E-2</v>
      </c>
      <c r="Q2104" s="1254">
        <v>0.15683375103174399</v>
      </c>
    </row>
    <row r="2105" spans="1:17" s="212" customFormat="1" ht="15.5" x14ac:dyDescent="0.35">
      <c r="A2105" s="198">
        <v>2048</v>
      </c>
      <c r="B2105" s="197" t="s">
        <v>5842</v>
      </c>
      <c r="C2105" s="197">
        <v>2000</v>
      </c>
      <c r="D2105" s="213" t="str">
        <f t="shared" si="23"/>
        <v>2048_2000</v>
      </c>
      <c r="E2105" s="1268">
        <v>0.575997693535507</v>
      </c>
      <c r="F2105" s="1279">
        <v>1.4289597900791399E-2</v>
      </c>
      <c r="G2105" s="1255">
        <v>4.1422014224017003</v>
      </c>
      <c r="H2105" s="1279">
        <v>0.26784063186121299</v>
      </c>
      <c r="I2105" s="1255">
        <v>0.15004919238550099</v>
      </c>
      <c r="J2105" s="1279">
        <v>1.39074678539736E-4</v>
      </c>
      <c r="K2105" s="1255">
        <v>3.0000008612813601E-3</v>
      </c>
      <c r="L2105" s="1253">
        <v>2.0000005740873502E-3</v>
      </c>
      <c r="M2105" s="1273">
        <v>2.0000005740873502E-3</v>
      </c>
      <c r="N2105" s="1255">
        <v>3.1850009128239903E-2</v>
      </c>
      <c r="O2105" s="1256">
        <v>3.1850009128239903E-2</v>
      </c>
      <c r="P2105" s="1251">
        <v>1.5925004564119952E-2</v>
      </c>
      <c r="Q2105" s="1254">
        <v>0.15683375103174399</v>
      </c>
    </row>
    <row r="2106" spans="1:17" s="212" customFormat="1" ht="15.5" x14ac:dyDescent="0.35">
      <c r="A2106" s="198">
        <v>2048</v>
      </c>
      <c r="B2106" s="197" t="s">
        <v>5842</v>
      </c>
      <c r="C2106" s="197">
        <v>2001</v>
      </c>
      <c r="D2106" s="213" t="str">
        <f t="shared" si="23"/>
        <v>2048_2001</v>
      </c>
      <c r="E2106" s="1268">
        <v>0.575997693535507</v>
      </c>
      <c r="F2106" s="1279">
        <v>1.4289597900791399E-2</v>
      </c>
      <c r="G2106" s="1255">
        <v>4.1422014224017003</v>
      </c>
      <c r="H2106" s="1279">
        <v>0.26784063186121299</v>
      </c>
      <c r="I2106" s="1255">
        <v>0.15004919238550099</v>
      </c>
      <c r="J2106" s="1279">
        <v>1.39074678539736E-4</v>
      </c>
      <c r="K2106" s="1255">
        <v>3.0000008612813601E-3</v>
      </c>
      <c r="L2106" s="1253">
        <v>2.0000005740873502E-3</v>
      </c>
      <c r="M2106" s="1273">
        <v>2.0000005740873502E-3</v>
      </c>
      <c r="N2106" s="1255">
        <v>3.1850009128239903E-2</v>
      </c>
      <c r="O2106" s="1256">
        <v>3.1850009128239903E-2</v>
      </c>
      <c r="P2106" s="1251">
        <v>1.5925004564119952E-2</v>
      </c>
      <c r="Q2106" s="1254">
        <v>0.15683375103174399</v>
      </c>
    </row>
    <row r="2107" spans="1:17" s="212" customFormat="1" ht="15.5" x14ac:dyDescent="0.35">
      <c r="A2107" s="198">
        <v>2048</v>
      </c>
      <c r="B2107" s="197" t="s">
        <v>5842</v>
      </c>
      <c r="C2107" s="197">
        <v>2002</v>
      </c>
      <c r="D2107" s="213" t="str">
        <f t="shared" si="23"/>
        <v>2048_2002</v>
      </c>
      <c r="E2107" s="1268">
        <v>0.575997693535507</v>
      </c>
      <c r="F2107" s="1279">
        <v>1.4289597900791399E-2</v>
      </c>
      <c r="G2107" s="1255">
        <v>4.1422014224017003</v>
      </c>
      <c r="H2107" s="1279">
        <v>0.26784063186121299</v>
      </c>
      <c r="I2107" s="1255">
        <v>0.15004919238550099</v>
      </c>
      <c r="J2107" s="1279">
        <v>1.39074678539736E-4</v>
      </c>
      <c r="K2107" s="1255">
        <v>3.0000008612813601E-3</v>
      </c>
      <c r="L2107" s="1253">
        <v>2.0000005740873502E-3</v>
      </c>
      <c r="M2107" s="1273">
        <v>2.0000005740873502E-3</v>
      </c>
      <c r="N2107" s="1255">
        <v>3.1850009128239903E-2</v>
      </c>
      <c r="O2107" s="1256">
        <v>3.1850009128239903E-2</v>
      </c>
      <c r="P2107" s="1251">
        <v>1.5925004564119952E-2</v>
      </c>
      <c r="Q2107" s="1254">
        <v>0.15683375103174399</v>
      </c>
    </row>
    <row r="2108" spans="1:17" s="212" customFormat="1" ht="15.5" x14ac:dyDescent="0.35">
      <c r="A2108" s="198">
        <v>2048</v>
      </c>
      <c r="B2108" s="197" t="s">
        <v>5842</v>
      </c>
      <c r="C2108" s="197">
        <v>2003</v>
      </c>
      <c r="D2108" s="213" t="str">
        <f t="shared" si="23"/>
        <v>2048_2003</v>
      </c>
      <c r="E2108" s="1268">
        <v>0.575997693535507</v>
      </c>
      <c r="F2108" s="1279">
        <v>1.4289597900791399E-2</v>
      </c>
      <c r="G2108" s="1255">
        <v>4.1422014224017003</v>
      </c>
      <c r="H2108" s="1279">
        <v>0.26784063186121299</v>
      </c>
      <c r="I2108" s="1255">
        <v>0.15004919238550099</v>
      </c>
      <c r="J2108" s="1279">
        <v>1.39074678539736E-4</v>
      </c>
      <c r="K2108" s="1255">
        <v>3.0000008612813601E-3</v>
      </c>
      <c r="L2108" s="1253">
        <v>2.0000005740873502E-3</v>
      </c>
      <c r="M2108" s="1273">
        <v>2.0000005740873502E-3</v>
      </c>
      <c r="N2108" s="1255">
        <v>3.1850009128239903E-2</v>
      </c>
      <c r="O2108" s="1256">
        <v>3.1850009128239903E-2</v>
      </c>
      <c r="P2108" s="1251">
        <v>1.5925004564119952E-2</v>
      </c>
      <c r="Q2108" s="1254">
        <v>0.15683375103174399</v>
      </c>
    </row>
    <row r="2109" spans="1:17" s="212" customFormat="1" ht="15.5" x14ac:dyDescent="0.35">
      <c r="A2109" s="198">
        <v>2048</v>
      </c>
      <c r="B2109" s="197" t="s">
        <v>5842</v>
      </c>
      <c r="C2109" s="197">
        <v>2004</v>
      </c>
      <c r="D2109" s="213" t="str">
        <f t="shared" si="23"/>
        <v>2048_2004</v>
      </c>
      <c r="E2109" s="1267">
        <v>0.575997693535507</v>
      </c>
      <c r="F2109" s="1278">
        <v>1.4289597900791399E-2</v>
      </c>
      <c r="G2109" s="1248">
        <v>4.1422014224017003</v>
      </c>
      <c r="H2109" s="1278">
        <v>0.26784063186121299</v>
      </c>
      <c r="I2109" s="1248">
        <v>0.15004919238550099</v>
      </c>
      <c r="J2109" s="1278">
        <v>1.39074678539736E-4</v>
      </c>
      <c r="K2109" s="1248">
        <v>3.0000008612813601E-3</v>
      </c>
      <c r="L2109" s="1250">
        <v>2.0000005740873502E-3</v>
      </c>
      <c r="M2109" s="1273">
        <v>2.0000005740873502E-3</v>
      </c>
      <c r="N2109" s="1248">
        <v>3.1850009128239903E-2</v>
      </c>
      <c r="O2109" s="1249">
        <v>3.1850009128239903E-2</v>
      </c>
      <c r="P2109" s="1251">
        <v>1.5925004564119952E-2</v>
      </c>
      <c r="Q2109" s="1252">
        <v>0.15683375103174399</v>
      </c>
    </row>
    <row r="2110" spans="1:17" s="212" customFormat="1" ht="15.5" x14ac:dyDescent="0.35">
      <c r="A2110" s="198">
        <v>2048</v>
      </c>
      <c r="B2110" s="197" t="s">
        <v>5842</v>
      </c>
      <c r="C2110" s="197">
        <v>2005</v>
      </c>
      <c r="D2110" s="213" t="str">
        <f t="shared" si="23"/>
        <v>2048_2005</v>
      </c>
      <c r="E2110" s="1267">
        <v>0.57372590897536502</v>
      </c>
      <c r="F2110" s="1278">
        <v>1.4431897685573E-2</v>
      </c>
      <c r="G2110" s="1248">
        <v>4.1349466040093201</v>
      </c>
      <c r="H2110" s="1278">
        <v>0.269877502210156</v>
      </c>
      <c r="I2110" s="1248">
        <v>0.14955156688674701</v>
      </c>
      <c r="J2110" s="1278">
        <v>1.41017169296864E-4</v>
      </c>
      <c r="K2110" s="1248">
        <v>3.0000008612584002E-3</v>
      </c>
      <c r="L2110" s="1250">
        <v>2.0000005741256399E-3</v>
      </c>
      <c r="M2110" s="1273">
        <v>2.0000005741256399E-3</v>
      </c>
      <c r="N2110" s="1248">
        <v>3.1850009128239903E-2</v>
      </c>
      <c r="O2110" s="1249">
        <v>3.1850009128239903E-2</v>
      </c>
      <c r="P2110" s="1251">
        <v>1.5925004564119952E-2</v>
      </c>
      <c r="Q2110" s="1252">
        <v>0.15631362511611699</v>
      </c>
    </row>
    <row r="2111" spans="1:17" s="212" customFormat="1" ht="15.5" x14ac:dyDescent="0.35">
      <c r="A2111" s="198">
        <v>2048</v>
      </c>
      <c r="B2111" s="197" t="s">
        <v>5842</v>
      </c>
      <c r="C2111" s="197">
        <v>2006</v>
      </c>
      <c r="D2111" s="213" t="str">
        <f t="shared" si="23"/>
        <v>2048_2006</v>
      </c>
      <c r="E2111" s="1267">
        <v>0.57000844517066995</v>
      </c>
      <c r="F2111" s="1278">
        <v>1.45964536127997E-2</v>
      </c>
      <c r="G2111" s="1248">
        <v>4.12211940916609</v>
      </c>
      <c r="H2111" s="1278">
        <v>0.27194108075587498</v>
      </c>
      <c r="I2111" s="1248">
        <v>0.14871364424312</v>
      </c>
      <c r="J2111" s="1278">
        <v>1.4202532128037399E-4</v>
      </c>
      <c r="K2111" s="1248">
        <v>3.00000086124512E-3</v>
      </c>
      <c r="L2111" s="1250">
        <v>2.0000005741410498E-3</v>
      </c>
      <c r="M2111" s="1273">
        <v>2.0000005741410498E-3</v>
      </c>
      <c r="N2111" s="1248">
        <v>3.1850009128239903E-2</v>
      </c>
      <c r="O2111" s="1249">
        <v>3.1850009128239903E-2</v>
      </c>
      <c r="P2111" s="1251">
        <v>1.5925004564119952E-2</v>
      </c>
      <c r="Q2111" s="1252">
        <v>0.15543781532877099</v>
      </c>
    </row>
    <row r="2112" spans="1:17" s="212" customFormat="1" ht="15.5" x14ac:dyDescent="0.35">
      <c r="A2112" s="198">
        <v>2048</v>
      </c>
      <c r="B2112" s="197" t="s">
        <v>5842</v>
      </c>
      <c r="C2112" s="197">
        <v>2007</v>
      </c>
      <c r="D2112" s="213" t="str">
        <f t="shared" si="23"/>
        <v>2048_2007</v>
      </c>
      <c r="E2112" s="1267">
        <v>0.332533747540321</v>
      </c>
      <c r="F2112" s="1278">
        <v>1.4532516783998899E-2</v>
      </c>
      <c r="G2112" s="1248">
        <v>2.4811090188500602</v>
      </c>
      <c r="H2112" s="1278">
        <v>0.27275817869317098</v>
      </c>
      <c r="I2112" s="1248">
        <v>8.7334535592054605E-2</v>
      </c>
      <c r="J2112" s="1278">
        <v>1.4505307099327099E-4</v>
      </c>
      <c r="K2112" s="1248">
        <v>3.0000008612480998E-3</v>
      </c>
      <c r="L2112" s="1250">
        <v>2.0000005741942399E-3</v>
      </c>
      <c r="M2112" s="1273">
        <v>2.0000005741942399E-3</v>
      </c>
      <c r="N2112" s="1248">
        <v>3.1850009128239903E-2</v>
      </c>
      <c r="O2112" s="1249">
        <v>3.1850009128239903E-2</v>
      </c>
      <c r="P2112" s="1251">
        <v>1.5925004564119952E-2</v>
      </c>
      <c r="Q2112" s="1252">
        <v>9.1283415750265301E-2</v>
      </c>
    </row>
    <row r="2113" spans="1:17" s="212" customFormat="1" ht="15.5" x14ac:dyDescent="0.35">
      <c r="A2113" s="198">
        <v>2048</v>
      </c>
      <c r="B2113" s="197" t="s">
        <v>5842</v>
      </c>
      <c r="C2113" s="197">
        <v>2008</v>
      </c>
      <c r="D2113" s="213" t="str">
        <f t="shared" si="23"/>
        <v>2048_2008</v>
      </c>
      <c r="E2113" s="1267">
        <v>0.340098602240402</v>
      </c>
      <c r="F2113" s="1278">
        <v>9.8805323174388001E-3</v>
      </c>
      <c r="G2113" s="1248">
        <v>2.5055892955812999</v>
      </c>
      <c r="H2113" s="1278">
        <v>0.158441815292268</v>
      </c>
      <c r="I2113" s="1248">
        <v>8.8922604566820204E-2</v>
      </c>
      <c r="J2113" s="1278">
        <v>1.4129550094147899E-4</v>
      </c>
      <c r="K2113" s="1248">
        <v>3.0000008613361101E-3</v>
      </c>
      <c r="L2113" s="1250">
        <v>2.0000005742202998E-3</v>
      </c>
      <c r="M2113" s="1273">
        <v>2.0000005742202998E-3</v>
      </c>
      <c r="N2113" s="1248">
        <v>3.1850009128239903E-2</v>
      </c>
      <c r="O2113" s="1249">
        <v>3.1850009128239903E-2</v>
      </c>
      <c r="P2113" s="1251">
        <v>1.5925004564119952E-2</v>
      </c>
      <c r="Q2113" s="1252">
        <v>9.2943290157117997E-2</v>
      </c>
    </row>
    <row r="2114" spans="1:17" s="212" customFormat="1" ht="15.5" x14ac:dyDescent="0.35">
      <c r="A2114" s="198">
        <v>2048</v>
      </c>
      <c r="B2114" s="197" t="s">
        <v>5842</v>
      </c>
      <c r="C2114" s="197">
        <v>2009</v>
      </c>
      <c r="D2114" s="213" t="str">
        <f t="shared" si="23"/>
        <v>2048_2009</v>
      </c>
      <c r="E2114" s="1267">
        <v>0.33850791320991902</v>
      </c>
      <c r="F2114" s="1278">
        <v>4.8027395907309402E-3</v>
      </c>
      <c r="G2114" s="1248">
        <v>2.5004278937149902</v>
      </c>
      <c r="H2114" s="1278">
        <v>4.2921000067935297E-2</v>
      </c>
      <c r="I2114" s="1248">
        <v>8.8572603164928307E-2</v>
      </c>
      <c r="J2114" s="1278">
        <v>1.2984853090394199E-4</v>
      </c>
      <c r="K2114" s="1248">
        <v>3.0000008612958398E-3</v>
      </c>
      <c r="L2114" s="1250">
        <v>2.0000005741639001E-3</v>
      </c>
      <c r="M2114" s="1273">
        <v>2.0000005741639001E-3</v>
      </c>
      <c r="N2114" s="1248">
        <v>3.1850009128239903E-2</v>
      </c>
      <c r="O2114" s="1249">
        <v>3.1850009128239903E-2</v>
      </c>
      <c r="P2114" s="1251">
        <v>1.5925004564119952E-2</v>
      </c>
      <c r="Q2114" s="1252">
        <v>9.25774632449409E-2</v>
      </c>
    </row>
    <row r="2115" spans="1:17" s="212" customFormat="1" ht="15.5" x14ac:dyDescent="0.35">
      <c r="A2115" s="198">
        <v>2048</v>
      </c>
      <c r="B2115" s="197" t="s">
        <v>5842</v>
      </c>
      <c r="C2115" s="197">
        <v>2010</v>
      </c>
      <c r="D2115" s="213" t="str">
        <f t="shared" si="23"/>
        <v>2048_2010</v>
      </c>
      <c r="E2115" s="1267">
        <v>9.0285826073224607E-2</v>
      </c>
      <c r="F2115" s="1278">
        <v>4.8072964717833103E-3</v>
      </c>
      <c r="G2115" s="1248">
        <v>0.82446791554792997</v>
      </c>
      <c r="H2115" s="1278">
        <v>4.3253431382889902E-2</v>
      </c>
      <c r="I2115" s="1248">
        <v>2.4797617848304001E-2</v>
      </c>
      <c r="J2115" s="1278">
        <v>1.5848504386648999E-4</v>
      </c>
      <c r="K2115" s="1248">
        <v>3.0000008613415498E-3</v>
      </c>
      <c r="L2115" s="1250">
        <v>2.0000005741411002E-3</v>
      </c>
      <c r="M2115" s="1273">
        <v>2.0000005741411002E-3</v>
      </c>
      <c r="N2115" s="1248">
        <v>3.1850009128239903E-2</v>
      </c>
      <c r="O2115" s="1249">
        <v>3.1850009128239903E-2</v>
      </c>
      <c r="P2115" s="1251">
        <v>1.5925004564119952E-2</v>
      </c>
      <c r="Q2115" s="1252">
        <v>2.59188560896048E-2</v>
      </c>
    </row>
    <row r="2116" spans="1:17" s="212" customFormat="1" ht="15.5" x14ac:dyDescent="0.35">
      <c r="A2116" s="198">
        <v>2048</v>
      </c>
      <c r="B2116" s="197" t="s">
        <v>5842</v>
      </c>
      <c r="C2116" s="197">
        <v>2011</v>
      </c>
      <c r="D2116" s="213" t="str">
        <f t="shared" si="23"/>
        <v>2048_2011</v>
      </c>
      <c r="E2116" s="1267">
        <v>8.9459495085826596E-2</v>
      </c>
      <c r="F2116" s="1278">
        <v>5.0069904711160197E-3</v>
      </c>
      <c r="G2116" s="1248">
        <v>0.821148441852388</v>
      </c>
      <c r="H2116" s="1278">
        <v>4.3180218094124798E-2</v>
      </c>
      <c r="I2116" s="1248">
        <v>2.4644831532384601E-2</v>
      </c>
      <c r="J2116" s="1278">
        <v>2.1685916998626399E-4</v>
      </c>
      <c r="K2116" s="1248">
        <v>3.0000008613131502E-3</v>
      </c>
      <c r="L2116" s="1250">
        <v>2.0000005742410502E-3</v>
      </c>
      <c r="M2116" s="1273">
        <v>2.0000005742410502E-3</v>
      </c>
      <c r="N2116" s="1248">
        <v>3.1850009128239903E-2</v>
      </c>
      <c r="O2116" s="1249">
        <v>3.1850009128239903E-2</v>
      </c>
      <c r="P2116" s="1251">
        <v>1.5925004564119952E-2</v>
      </c>
      <c r="Q2116" s="1252">
        <v>2.57591614544588E-2</v>
      </c>
    </row>
    <row r="2117" spans="1:17" s="212" customFormat="1" ht="15.5" x14ac:dyDescent="0.35">
      <c r="A2117" s="198">
        <v>2048</v>
      </c>
      <c r="B2117" s="197" t="s">
        <v>5842</v>
      </c>
      <c r="C2117" s="197">
        <v>2012</v>
      </c>
      <c r="D2117" s="213" t="str">
        <f t="shared" si="23"/>
        <v>2048_2012</v>
      </c>
      <c r="E2117" s="1267">
        <v>9.0203459586432194E-2</v>
      </c>
      <c r="F2117" s="1278">
        <v>4.9977135577821304E-3</v>
      </c>
      <c r="G2117" s="1248">
        <v>0.82431088037566402</v>
      </c>
      <c r="H2117" s="1278">
        <v>4.3249934612555802E-2</v>
      </c>
      <c r="I2117" s="1248">
        <v>2.4785255982520401E-2</v>
      </c>
      <c r="J2117" s="1278">
        <v>3.1657085013561502E-4</v>
      </c>
      <c r="K2117" s="1248">
        <v>3.0000008613707899E-3</v>
      </c>
      <c r="L2117" s="1250">
        <v>2.00000057424932E-3</v>
      </c>
      <c r="M2117" s="1273">
        <v>2.00000057424932E-3</v>
      </c>
      <c r="N2117" s="1248">
        <v>3.1850009128239903E-2</v>
      </c>
      <c r="O2117" s="1249">
        <v>3.1850009128239903E-2</v>
      </c>
      <c r="P2117" s="1251">
        <v>1.5925004564119952E-2</v>
      </c>
      <c r="Q2117" s="1252">
        <v>2.5905935275105499E-2</v>
      </c>
    </row>
    <row r="2118" spans="1:17" s="212" customFormat="1" ht="15.5" x14ac:dyDescent="0.35">
      <c r="A2118" s="198">
        <v>2048</v>
      </c>
      <c r="B2118" s="197" t="s">
        <v>5842</v>
      </c>
      <c r="C2118" s="197">
        <v>2013</v>
      </c>
      <c r="D2118" s="213" t="str">
        <f t="shared" si="23"/>
        <v>2048_2013</v>
      </c>
      <c r="E2118" s="1267">
        <v>9.0158836952871996E-2</v>
      </c>
      <c r="F2118" s="1278">
        <v>5.0604569690161898E-3</v>
      </c>
      <c r="G2118" s="1248">
        <v>0.82329309903774295</v>
      </c>
      <c r="H2118" s="1278">
        <v>4.3086809600005001E-2</v>
      </c>
      <c r="I2118" s="1248">
        <v>2.4767334157841599E-2</v>
      </c>
      <c r="J2118" s="1278">
        <v>4.7512918819456201E-4</v>
      </c>
      <c r="K2118" s="1248">
        <v>3.00000086139436E-3</v>
      </c>
      <c r="L2118" s="1250">
        <v>2.0000005742849898E-3</v>
      </c>
      <c r="M2118" s="1273">
        <v>2.0000005742849898E-3</v>
      </c>
      <c r="N2118" s="1248">
        <v>3.1850009128239903E-2</v>
      </c>
      <c r="O2118" s="1249">
        <v>3.1850009128239903E-2</v>
      </c>
      <c r="P2118" s="1251">
        <v>1.5925004564119952E-2</v>
      </c>
      <c r="Q2118" s="1252">
        <v>2.5887203105041601E-2</v>
      </c>
    </row>
    <row r="2119" spans="1:17" s="212" customFormat="1" ht="15.5" x14ac:dyDescent="0.35">
      <c r="A2119" s="198">
        <v>2048</v>
      </c>
      <c r="B2119" s="197" t="s">
        <v>5842</v>
      </c>
      <c r="C2119" s="197">
        <v>2014</v>
      </c>
      <c r="D2119" s="213" t="str">
        <f t="shared" si="23"/>
        <v>2048_2014</v>
      </c>
      <c r="E2119" s="1267">
        <v>8.9173593970853199E-2</v>
      </c>
      <c r="F2119" s="1278">
        <v>4.9632838147197801E-3</v>
      </c>
      <c r="G2119" s="1248">
        <v>0.81948185864685996</v>
      </c>
      <c r="H2119" s="1278">
        <v>4.3361225538079799E-2</v>
      </c>
      <c r="I2119" s="1248">
        <v>2.45867390748543E-2</v>
      </c>
      <c r="J2119" s="1278">
        <v>6.5972051776455598E-4</v>
      </c>
      <c r="K2119" s="1248">
        <v>3.0000008613303101E-3</v>
      </c>
      <c r="L2119" s="1250">
        <v>2.0000005742398198E-3</v>
      </c>
      <c r="M2119" s="1273">
        <v>2.0000005742398198E-3</v>
      </c>
      <c r="N2119" s="1248">
        <v>3.1850009128239903E-2</v>
      </c>
      <c r="O2119" s="1249">
        <v>3.1850009128239903E-2</v>
      </c>
      <c r="P2119" s="1251">
        <v>1.5925004564119952E-2</v>
      </c>
      <c r="Q2119" s="1252">
        <v>2.56984423137805E-2</v>
      </c>
    </row>
    <row r="2120" spans="1:17" s="212" customFormat="1" ht="15.5" x14ac:dyDescent="0.35">
      <c r="A2120" s="198">
        <v>2048</v>
      </c>
      <c r="B2120" s="197" t="s">
        <v>5842</v>
      </c>
      <c r="C2120" s="197">
        <v>2015</v>
      </c>
      <c r="D2120" s="213" t="str">
        <f t="shared" si="23"/>
        <v>2048_2015</v>
      </c>
      <c r="E2120" s="1267">
        <v>8.9446603431819496E-2</v>
      </c>
      <c r="F2120" s="1278">
        <v>5.1067039634335202E-3</v>
      </c>
      <c r="G2120" s="1248">
        <v>0.82083529338885597</v>
      </c>
      <c r="H2120" s="1278">
        <v>4.3145530615434899E-2</v>
      </c>
      <c r="I2120" s="1248">
        <v>2.46401649291456E-2</v>
      </c>
      <c r="J2120" s="1278">
        <v>8.3502421464577605E-4</v>
      </c>
      <c r="K2120" s="1248">
        <v>3.0000008613401399E-3</v>
      </c>
      <c r="L2120" s="1250">
        <v>2.0000005742755299E-3</v>
      </c>
      <c r="M2120" s="1273">
        <v>2.0000005742755299E-3</v>
      </c>
      <c r="N2120" s="1248">
        <v>3.1850009128239903E-2</v>
      </c>
      <c r="O2120" s="1249">
        <v>3.1850009128239903E-2</v>
      </c>
      <c r="P2120" s="1251">
        <v>1.5925004564119952E-2</v>
      </c>
      <c r="Q2120" s="1252">
        <v>2.5754283848129101E-2</v>
      </c>
    </row>
    <row r="2121" spans="1:17" s="212" customFormat="1" ht="15.5" x14ac:dyDescent="0.35">
      <c r="A2121" s="198">
        <v>2048</v>
      </c>
      <c r="B2121" s="197" t="s">
        <v>5842</v>
      </c>
      <c r="C2121" s="197">
        <v>2016</v>
      </c>
      <c r="D2121" s="213" t="str">
        <f t="shared" si="23"/>
        <v>2048_2016</v>
      </c>
      <c r="E2121" s="1267">
        <v>8.9630228276464802E-2</v>
      </c>
      <c r="F2121" s="1278">
        <v>4.7346952288961301E-3</v>
      </c>
      <c r="G2121" s="1248">
        <v>0.72639182133506897</v>
      </c>
      <c r="H2121" s="1278">
        <v>4.05932397320726E-2</v>
      </c>
      <c r="I2121" s="1248">
        <v>2.4678123851025701E-2</v>
      </c>
      <c r="J2121" s="1278">
        <v>9.6079035702703304E-4</v>
      </c>
      <c r="K2121" s="1248">
        <v>3.00000086135465E-3</v>
      </c>
      <c r="L2121" s="1250">
        <v>2.0000005742569901E-3</v>
      </c>
      <c r="M2121" s="1273">
        <v>2.0000005742569901E-3</v>
      </c>
      <c r="N2121" s="1248">
        <v>3.1850009128239903E-2</v>
      </c>
      <c r="O2121" s="1249">
        <v>3.1850009128239903E-2</v>
      </c>
      <c r="P2121" s="1251">
        <v>1.5925004564119952E-2</v>
      </c>
      <c r="Q2121" s="1252">
        <v>2.5793959104016301E-2</v>
      </c>
    </row>
    <row r="2122" spans="1:17" s="212" customFormat="1" ht="15.5" x14ac:dyDescent="0.35">
      <c r="A2122" s="198">
        <v>2048</v>
      </c>
      <c r="B2122" s="197" t="s">
        <v>5842</v>
      </c>
      <c r="C2122" s="197">
        <v>2017</v>
      </c>
      <c r="D2122" s="213" t="str">
        <f t="shared" si="23"/>
        <v>2048_2017</v>
      </c>
      <c r="E2122" s="1267">
        <v>8.8628723477820998E-2</v>
      </c>
      <c r="F2122" s="1278">
        <v>4.5011362474396402E-3</v>
      </c>
      <c r="G2122" s="1248">
        <v>0.62760332162536403</v>
      </c>
      <c r="H2122" s="1278">
        <v>3.7940417289135699E-2</v>
      </c>
      <c r="I2122" s="1248">
        <v>2.4487117949573901E-2</v>
      </c>
      <c r="J2122" s="1278">
        <v>1.0358722797034099E-3</v>
      </c>
      <c r="K2122" s="1248">
        <v>3.0000008613009798E-3</v>
      </c>
      <c r="L2122" s="1250">
        <v>2.0000005743076501E-3</v>
      </c>
      <c r="M2122" s="1273">
        <v>2.0000005743076501E-3</v>
      </c>
      <c r="N2122" s="1248">
        <v>3.1850009128239903E-2</v>
      </c>
      <c r="O2122" s="1249">
        <v>3.1850009128239903E-2</v>
      </c>
      <c r="P2122" s="1251">
        <v>1.5925004564119952E-2</v>
      </c>
      <c r="Q2122" s="1252">
        <v>2.5594316763277E-2</v>
      </c>
    </row>
    <row r="2123" spans="1:17" s="212" customFormat="1" ht="15.5" x14ac:dyDescent="0.35">
      <c r="A2123" s="198">
        <v>2048</v>
      </c>
      <c r="B2123" s="197" t="s">
        <v>5842</v>
      </c>
      <c r="C2123" s="197">
        <v>2018</v>
      </c>
      <c r="D2123" s="213" t="str">
        <f t="shared" si="23"/>
        <v>2048_2018</v>
      </c>
      <c r="E2123" s="1267">
        <v>8.9595963513107502E-2</v>
      </c>
      <c r="F2123" s="1278">
        <v>4.0006159779981303E-3</v>
      </c>
      <c r="G2123" s="1248">
        <v>0.52254315994656497</v>
      </c>
      <c r="H2123" s="1278">
        <v>3.4201463161045602E-2</v>
      </c>
      <c r="I2123" s="1248">
        <v>2.4675171781460201E-2</v>
      </c>
      <c r="J2123" s="1278">
        <v>1.07746631993882E-3</v>
      </c>
      <c r="K2123" s="1248">
        <v>3.0000008613605099E-3</v>
      </c>
      <c r="L2123" s="1250">
        <v>2.00000057425995E-3</v>
      </c>
      <c r="M2123" s="1273">
        <v>2.00000057425995E-3</v>
      </c>
      <c r="N2123" s="1248">
        <v>3.1850009128239903E-2</v>
      </c>
      <c r="O2123" s="1249">
        <v>3.1850009128239903E-2</v>
      </c>
      <c r="P2123" s="1251">
        <v>1.5925004564119952E-2</v>
      </c>
      <c r="Q2123" s="1252">
        <v>2.5790873554964702E-2</v>
      </c>
    </row>
    <row r="2124" spans="1:17" s="212" customFormat="1" ht="15.5" x14ac:dyDescent="0.35">
      <c r="A2124" s="198">
        <v>2048</v>
      </c>
      <c r="B2124" s="197" t="s">
        <v>5842</v>
      </c>
      <c r="C2124" s="197">
        <v>2019</v>
      </c>
      <c r="D2124" s="213" t="str">
        <f t="shared" si="23"/>
        <v>2048_2019</v>
      </c>
      <c r="E2124" s="1267">
        <v>8.9915631590866796E-2</v>
      </c>
      <c r="F2124" s="1278">
        <v>3.4783220248876799E-3</v>
      </c>
      <c r="G2124" s="1248">
        <v>0.454214653193597</v>
      </c>
      <c r="H2124" s="1278">
        <v>3.0321442445617498E-2</v>
      </c>
      <c r="I2124" s="1248">
        <v>2.4735957788352299E-2</v>
      </c>
      <c r="J2124" s="1278">
        <v>1.0997817832105101E-3</v>
      </c>
      <c r="K2124" s="1248">
        <v>3.00000086140957E-3</v>
      </c>
      <c r="L2124" s="1250">
        <v>2.0000005742152301E-3</v>
      </c>
      <c r="M2124" s="1273">
        <v>2.0000005742152301E-3</v>
      </c>
      <c r="N2124" s="1248">
        <v>3.1850009128239903E-2</v>
      </c>
      <c r="O2124" s="1249">
        <v>3.1850009128239903E-2</v>
      </c>
      <c r="P2124" s="1251">
        <v>1.5925004564119952E-2</v>
      </c>
      <c r="Q2124" s="1252">
        <v>2.5854408035354499E-2</v>
      </c>
    </row>
    <row r="2125" spans="1:17" s="212" customFormat="1" ht="15.5" x14ac:dyDescent="0.35">
      <c r="A2125" s="198">
        <v>2048</v>
      </c>
      <c r="B2125" s="197" t="s">
        <v>5842</v>
      </c>
      <c r="C2125" s="197">
        <v>2020</v>
      </c>
      <c r="D2125" s="213" t="str">
        <f t="shared" si="23"/>
        <v>2048_2020</v>
      </c>
      <c r="E2125" s="1267">
        <v>7.9082551813237506E-2</v>
      </c>
      <c r="F2125" s="1278">
        <v>2.8465034271122E-3</v>
      </c>
      <c r="G2125" s="1248">
        <v>0.35994967175806097</v>
      </c>
      <c r="H2125" s="1278">
        <v>2.66868602320968E-2</v>
      </c>
      <c r="I2125" s="1248">
        <v>2.2624913564814199E-2</v>
      </c>
      <c r="J2125" s="1278">
        <v>1.08648633112092E-3</v>
      </c>
      <c r="K2125" s="1248">
        <v>3.0000008609819902E-3</v>
      </c>
      <c r="L2125" s="1250">
        <v>2.00000057408521E-3</v>
      </c>
      <c r="M2125" s="1273">
        <v>2.00000057408521E-3</v>
      </c>
      <c r="N2125" s="1248">
        <v>3.1850009128239903E-2</v>
      </c>
      <c r="O2125" s="1249">
        <v>3.1850009128239903E-2</v>
      </c>
      <c r="P2125" s="1251">
        <v>1.5925004564119952E-2</v>
      </c>
      <c r="Q2125" s="1252">
        <v>2.3647911759648099E-2</v>
      </c>
    </row>
    <row r="2126" spans="1:17" s="212" customFormat="1" ht="15.5" x14ac:dyDescent="0.35">
      <c r="A2126" s="198">
        <v>2048</v>
      </c>
      <c r="B2126" s="197" t="s">
        <v>5842</v>
      </c>
      <c r="C2126" s="197">
        <v>2021</v>
      </c>
      <c r="D2126" s="213" t="str">
        <f t="shared" si="23"/>
        <v>2048_2021</v>
      </c>
      <c r="E2126" s="1267">
        <v>7.9118368746481593E-2</v>
      </c>
      <c r="F2126" s="1278">
        <v>2.43079135856484E-3</v>
      </c>
      <c r="G2126" s="1248">
        <v>0.295216456995052</v>
      </c>
      <c r="H2126" s="1278">
        <v>2.2773169005327599E-2</v>
      </c>
      <c r="I2126" s="1248">
        <v>2.2632117741214298E-2</v>
      </c>
      <c r="J2126" s="1278">
        <v>1.0866552929289001E-3</v>
      </c>
      <c r="K2126" s="1248">
        <v>3.0000008609842701E-3</v>
      </c>
      <c r="L2126" s="1250">
        <v>2.0000005740869299E-3</v>
      </c>
      <c r="M2126" s="1273">
        <v>2.0000005740869299E-3</v>
      </c>
      <c r="N2126" s="1248">
        <v>3.1850009128239903E-2</v>
      </c>
      <c r="O2126" s="1249">
        <v>3.1850009128239903E-2</v>
      </c>
      <c r="P2126" s="1251">
        <v>1.5925004564119952E-2</v>
      </c>
      <c r="Q2126" s="1252">
        <v>2.3655441676936999E-2</v>
      </c>
    </row>
    <row r="2127" spans="1:17" s="212" customFormat="1" ht="15.5" x14ac:dyDescent="0.35">
      <c r="A2127" s="198">
        <v>2048</v>
      </c>
      <c r="B2127" s="197" t="s">
        <v>5842</v>
      </c>
      <c r="C2127" s="197">
        <v>2022</v>
      </c>
      <c r="D2127" s="213" t="str">
        <f t="shared" si="23"/>
        <v>2048_2022</v>
      </c>
      <c r="E2127" s="1267">
        <v>7.9152816728187803E-2</v>
      </c>
      <c r="F2127" s="1278">
        <v>2.01481122598493E-3</v>
      </c>
      <c r="G2127" s="1248">
        <v>0.22912964009079001</v>
      </c>
      <c r="H2127" s="1278">
        <v>1.8863091083002499E-2</v>
      </c>
      <c r="I2127" s="1248">
        <v>2.2639041064005799E-2</v>
      </c>
      <c r="J2127" s="1278">
        <v>1.08681677371357E-3</v>
      </c>
      <c r="K2127" s="1248">
        <v>3.0000008609864801E-3</v>
      </c>
      <c r="L2127" s="1250">
        <v>2.0000005740885901E-3</v>
      </c>
      <c r="M2127" s="1273">
        <v>2.0000005740885901E-3</v>
      </c>
      <c r="N2127" s="1248">
        <v>3.1850009128239903E-2</v>
      </c>
      <c r="O2127" s="1249">
        <v>3.1850009128239903E-2</v>
      </c>
      <c r="P2127" s="1251">
        <v>1.5925004564119952E-2</v>
      </c>
      <c r="Q2127" s="1252">
        <v>2.3662678041663301E-2</v>
      </c>
    </row>
    <row r="2128" spans="1:17" s="212" customFormat="1" ht="15.5" x14ac:dyDescent="0.35">
      <c r="A2128" s="198">
        <v>2048</v>
      </c>
      <c r="B2128" s="197" t="s">
        <v>5842</v>
      </c>
      <c r="C2128" s="197">
        <v>2023</v>
      </c>
      <c r="D2128" s="213" t="str">
        <f t="shared" si="23"/>
        <v>2048_2023</v>
      </c>
      <c r="E2128" s="1267">
        <v>7.9186105723310099E-2</v>
      </c>
      <c r="F2128" s="1278">
        <v>2.0160722458849199E-3</v>
      </c>
      <c r="G2128" s="1248">
        <v>0.22917978878879799</v>
      </c>
      <c r="H2128" s="1278">
        <v>1.88624939544733E-2</v>
      </c>
      <c r="I2128" s="1248">
        <v>2.26457121802878E-2</v>
      </c>
      <c r="J2128" s="1278">
        <v>1.08696965312209E-3</v>
      </c>
      <c r="K2128" s="1248">
        <v>3.0000008609886099E-3</v>
      </c>
      <c r="L2128" s="1250">
        <v>2.0000005740901899E-3</v>
      </c>
      <c r="M2128" s="1273">
        <v>2.0000005740901899E-3</v>
      </c>
      <c r="N2128" s="1248">
        <v>3.1850009128239903E-2</v>
      </c>
      <c r="O2128" s="1249">
        <v>3.1850009128239903E-2</v>
      </c>
      <c r="P2128" s="1251">
        <v>1.5925004564119952E-2</v>
      </c>
      <c r="Q2128" s="1252">
        <v>2.3669650796220899E-2</v>
      </c>
    </row>
    <row r="2129" spans="1:17" s="212" customFormat="1" ht="15.5" x14ac:dyDescent="0.35">
      <c r="A2129" s="198">
        <v>2048</v>
      </c>
      <c r="B2129" s="197" t="s">
        <v>5842</v>
      </c>
      <c r="C2129" s="197">
        <v>2024</v>
      </c>
      <c r="D2129" s="213" t="str">
        <f t="shared" si="23"/>
        <v>2048_2024</v>
      </c>
      <c r="E2129" s="1267">
        <v>7.92176648598866E-2</v>
      </c>
      <c r="F2129" s="1278">
        <v>2.01726027697213E-3</v>
      </c>
      <c r="G2129" s="1248">
        <v>0.22922707022903399</v>
      </c>
      <c r="H2129" s="1278">
        <v>1.8861900606239001E-2</v>
      </c>
      <c r="I2129" s="1248">
        <v>2.2652028093869601E-2</v>
      </c>
      <c r="J2129" s="1278">
        <v>1.0871129325427701E-3</v>
      </c>
      <c r="K2129" s="1248">
        <v>3.0000008609906499E-3</v>
      </c>
      <c r="L2129" s="1250">
        <v>2.00000057409171E-3</v>
      </c>
      <c r="M2129" s="1275">
        <v>2.00000057402035E-3</v>
      </c>
      <c r="N2129" s="1248">
        <v>3.1850009128239903E-2</v>
      </c>
      <c r="O2129" s="1249">
        <v>3.1850009128239903E-2</v>
      </c>
      <c r="P2129" s="1260">
        <v>1.59250045641199E-2</v>
      </c>
      <c r="Q2129" s="1252">
        <v>2.36762522873885E-2</v>
      </c>
    </row>
    <row r="2130" spans="1:17" s="212" customFormat="1" ht="15.5" x14ac:dyDescent="0.35">
      <c r="A2130" s="198">
        <v>2048</v>
      </c>
      <c r="B2130" s="197" t="s">
        <v>5842</v>
      </c>
      <c r="C2130" s="197">
        <v>2025</v>
      </c>
      <c r="D2130" s="213" t="str">
        <f t="shared" si="23"/>
        <v>2048_2025</v>
      </c>
      <c r="E2130" s="1267">
        <v>7.9183180495214806E-2</v>
      </c>
      <c r="F2130" s="1278">
        <v>2.01827282141398E-3</v>
      </c>
      <c r="G2130" s="1248">
        <v>0.228949867282352</v>
      </c>
      <c r="H2130" s="1278">
        <v>1.8849169784015001E-2</v>
      </c>
      <c r="I2130" s="1248">
        <v>2.26089906714773E-2</v>
      </c>
      <c r="J2130" s="1278">
        <v>1.08724390554122E-3</v>
      </c>
      <c r="K2130" s="1248">
        <v>3.0000008609925499E-3</v>
      </c>
      <c r="L2130" s="1250">
        <v>2.0000005740931398E-3</v>
      </c>
      <c r="M2130" s="1275">
        <v>2.0000005740213899E-3</v>
      </c>
      <c r="N2130" s="1248">
        <v>3.1850009128239903E-2</v>
      </c>
      <c r="O2130" s="1249">
        <v>3.1850009128239903E-2</v>
      </c>
      <c r="P2130" s="1260">
        <v>1.59250045641199E-2</v>
      </c>
      <c r="Q2130" s="1252">
        <v>2.3631268903731299E-2</v>
      </c>
    </row>
    <row r="2131" spans="1:17" s="212" customFormat="1" ht="15.5" x14ac:dyDescent="0.35">
      <c r="A2131" s="198">
        <v>2048</v>
      </c>
      <c r="B2131" s="197" t="s">
        <v>5842</v>
      </c>
      <c r="C2131" s="197">
        <v>2026</v>
      </c>
      <c r="D2131" s="213" t="str">
        <f t="shared" si="23"/>
        <v>2048_2026</v>
      </c>
      <c r="E2131" s="1267">
        <v>7.90708355352054E-2</v>
      </c>
      <c r="F2131" s="1278">
        <v>2.0168804851634602E-3</v>
      </c>
      <c r="G2131" s="1248">
        <v>0.22830597109706099</v>
      </c>
      <c r="H2131" s="1278">
        <v>1.87994004879025E-2</v>
      </c>
      <c r="I2131" s="1248">
        <v>2.2506293852815398E-2</v>
      </c>
      <c r="J2131" s="1278">
        <v>1.0873750596523499E-3</v>
      </c>
      <c r="K2131" s="1248">
        <v>3.0000008609944598E-3</v>
      </c>
      <c r="L2131" s="1250">
        <v>2.0000005740945701E-3</v>
      </c>
      <c r="M2131" s="1275">
        <v>2.00000057402273E-3</v>
      </c>
      <c r="N2131" s="1248">
        <v>3.1850009128239903E-2</v>
      </c>
      <c r="O2131" s="1249">
        <v>3.1850009128239903E-2</v>
      </c>
      <c r="P2131" s="1260">
        <v>1.59250045641199E-2</v>
      </c>
      <c r="Q2131" s="1252">
        <v>2.35239285906398E-2</v>
      </c>
    </row>
    <row r="2132" spans="1:17" s="212" customFormat="1" ht="15.5" x14ac:dyDescent="0.35">
      <c r="A2132" s="198">
        <v>2048</v>
      </c>
      <c r="B2132" s="197" t="s">
        <v>5842</v>
      </c>
      <c r="C2132" s="197">
        <v>2027</v>
      </c>
      <c r="D2132" s="213" t="str">
        <f t="shared" si="23"/>
        <v>2048_2027</v>
      </c>
      <c r="E2132" s="1267">
        <v>7.8882150015795793E-2</v>
      </c>
      <c r="F2132" s="1278">
        <v>2.0149999761249599E-3</v>
      </c>
      <c r="G2132" s="1248">
        <v>0.227247762421042</v>
      </c>
      <c r="H2132" s="1278">
        <v>1.8728508246726699E-2</v>
      </c>
      <c r="I2132" s="1248">
        <v>2.23441936182809E-2</v>
      </c>
      <c r="J2132" s="1278">
        <v>1.08751118103096E-3</v>
      </c>
      <c r="K2132" s="1248">
        <v>3.00000086099644E-3</v>
      </c>
      <c r="L2132" s="1250">
        <v>2.0000005740960498E-3</v>
      </c>
      <c r="M2132" s="1275">
        <v>2.0000005740238901E-3</v>
      </c>
      <c r="N2132" s="1248">
        <v>3.1850009128239903E-2</v>
      </c>
      <c r="O2132" s="1249">
        <v>3.1850009128239903E-2</v>
      </c>
      <c r="P2132" s="1260">
        <v>1.59250045641199E-2</v>
      </c>
      <c r="Q2132" s="1252">
        <v>2.3354498902808898E-2</v>
      </c>
    </row>
    <row r="2133" spans="1:17" s="212" customFormat="1" ht="15.5" x14ac:dyDescent="0.35">
      <c r="A2133" s="198">
        <v>2048</v>
      </c>
      <c r="B2133" s="197" t="s">
        <v>5842</v>
      </c>
      <c r="C2133" s="197">
        <v>2028</v>
      </c>
      <c r="D2133" s="213" t="str">
        <f t="shared" si="23"/>
        <v>2048_2028</v>
      </c>
      <c r="E2133" s="1267">
        <v>7.8616149611155206E-2</v>
      </c>
      <c r="F2133" s="1278">
        <v>2.0094814903561802E-3</v>
      </c>
      <c r="G2133" s="1248">
        <v>0.225798538535882</v>
      </c>
      <c r="H2133" s="1278">
        <v>1.8605740116837698E-2</v>
      </c>
      <c r="I2133" s="1248">
        <v>2.2122469975664302E-2</v>
      </c>
      <c r="J2133" s="1278">
        <v>1.08764924260059E-3</v>
      </c>
      <c r="K2133" s="1248">
        <v>3.0000008609984501E-3</v>
      </c>
      <c r="L2133" s="1250">
        <v>2.0000005740975599E-3</v>
      </c>
      <c r="M2133" s="1275">
        <v>2.00000057402512E-3</v>
      </c>
      <c r="N2133" s="1248">
        <v>3.1850009128239903E-2</v>
      </c>
      <c r="O2133" s="1249">
        <v>3.1850009128239903E-2</v>
      </c>
      <c r="P2133" s="1260">
        <v>1.59250045641199E-2</v>
      </c>
      <c r="Q2133" s="1252">
        <v>2.3122749900957199E-2</v>
      </c>
    </row>
    <row r="2134" spans="1:17" s="212" customFormat="1" ht="15.5" x14ac:dyDescent="0.35">
      <c r="A2134" s="198">
        <v>2048</v>
      </c>
      <c r="B2134" s="197" t="s">
        <v>5842</v>
      </c>
      <c r="C2134" s="197">
        <v>2029</v>
      </c>
      <c r="D2134" s="213" t="str">
        <f t="shared" si="23"/>
        <v>2048_2029</v>
      </c>
      <c r="E2134" s="1267">
        <v>7.8272372473940394E-2</v>
      </c>
      <c r="F2134" s="1278">
        <v>1.9992431164308198E-3</v>
      </c>
      <c r="G2134" s="1248">
        <v>0.22395763567372301</v>
      </c>
      <c r="H2134" s="1278">
        <v>1.8419803252432299E-2</v>
      </c>
      <c r="I2134" s="1248">
        <v>2.1841004269588699E-2</v>
      </c>
      <c r="J2134" s="1278">
        <v>1.0877883484104E-3</v>
      </c>
      <c r="K2134" s="1248">
        <v>3.0000008610004902E-3</v>
      </c>
      <c r="L2134" s="1250">
        <v>2.0000005740990799E-3</v>
      </c>
      <c r="M2134" s="1275">
        <v>2.00000057402702E-3</v>
      </c>
      <c r="N2134" s="1248">
        <v>3.1850009128239903E-2</v>
      </c>
      <c r="O2134" s="1249">
        <v>3.1850009128239903E-2</v>
      </c>
      <c r="P2134" s="1260">
        <v>1.59250045641199E-2</v>
      </c>
      <c r="Q2134" s="1252">
        <v>2.2828557564638498E-2</v>
      </c>
    </row>
    <row r="2135" spans="1:17" s="212" customFormat="1" ht="15.5" x14ac:dyDescent="0.35">
      <c r="A2135" s="198">
        <v>2048</v>
      </c>
      <c r="B2135" s="197" t="s">
        <v>5842</v>
      </c>
      <c r="C2135" s="197">
        <v>2030</v>
      </c>
      <c r="D2135" s="213" t="str">
        <f t="shared" si="23"/>
        <v>2048_2030</v>
      </c>
      <c r="E2135" s="1267">
        <v>7.7851044553110899E-2</v>
      </c>
      <c r="F2135" s="1278">
        <v>1.9842280257211598E-3</v>
      </c>
      <c r="G2135" s="1248">
        <v>0.221725057400604</v>
      </c>
      <c r="H2135" s="1278">
        <v>1.8169593144249999E-2</v>
      </c>
      <c r="I2135" s="1248">
        <v>2.1499797672636201E-2</v>
      </c>
      <c r="J2135" s="1278">
        <v>1.08792859022675E-3</v>
      </c>
      <c r="K2135" s="1248">
        <v>3.0000008610025501E-3</v>
      </c>
      <c r="L2135" s="1250">
        <v>2.0000005741006299E-3</v>
      </c>
      <c r="M2135" s="1275">
        <v>2.0000005740286801E-3</v>
      </c>
      <c r="N2135" s="1248">
        <v>3.1850009128239903E-2</v>
      </c>
      <c r="O2135" s="1249">
        <v>3.1850009128239903E-2</v>
      </c>
      <c r="P2135" s="1260">
        <v>1.59250045641199E-2</v>
      </c>
      <c r="Q2135" s="1252">
        <v>2.2471923119453601E-2</v>
      </c>
    </row>
    <row r="2136" spans="1:17" s="212" customFormat="1" ht="15.5" x14ac:dyDescent="0.35">
      <c r="A2136" s="198">
        <v>2048</v>
      </c>
      <c r="B2136" s="197" t="s">
        <v>5842</v>
      </c>
      <c r="C2136" s="197">
        <v>2031</v>
      </c>
      <c r="D2136" s="213" t="str">
        <f t="shared" si="23"/>
        <v>2048_2031</v>
      </c>
      <c r="E2136" s="1267">
        <v>7.7352432256630299E-2</v>
      </c>
      <c r="F2136" s="1278">
        <v>1.9657552853239598E-3</v>
      </c>
      <c r="G2136" s="1248">
        <v>0.21910108013634899</v>
      </c>
      <c r="H2136" s="1278">
        <v>1.7867950082823599E-2</v>
      </c>
      <c r="I2136" s="1248">
        <v>2.10988649259406E-2</v>
      </c>
      <c r="J2136" s="1278">
        <v>1.08807150335876E-3</v>
      </c>
      <c r="K2136" s="1248">
        <v>3.00000086100466E-3</v>
      </c>
      <c r="L2136" s="1250">
        <v>2.0000005741022098E-3</v>
      </c>
      <c r="M2136" s="1275">
        <v>2.0000005740301E-3</v>
      </c>
      <c r="N2136" s="1248">
        <v>3.1850009128239903E-2</v>
      </c>
      <c r="O2136" s="1249">
        <v>3.1850009128239903E-2</v>
      </c>
      <c r="P2136" s="1260">
        <v>1.59250045641199E-2</v>
      </c>
      <c r="Q2136" s="1252">
        <v>2.2052861973065101E-2</v>
      </c>
    </row>
    <row r="2137" spans="1:17" s="212" customFormat="1" ht="15.5" x14ac:dyDescent="0.35">
      <c r="A2137" s="198">
        <v>2048</v>
      </c>
      <c r="B2137" s="197" t="s">
        <v>5842</v>
      </c>
      <c r="C2137" s="197">
        <v>2032</v>
      </c>
      <c r="D2137" s="213" t="str">
        <f t="shared" si="23"/>
        <v>2048_2032</v>
      </c>
      <c r="E2137" s="1267">
        <v>7.6775811682341696E-2</v>
      </c>
      <c r="F2137" s="1278">
        <v>1.94649805079807E-3</v>
      </c>
      <c r="G2137" s="1248">
        <v>0.216084668128292</v>
      </c>
      <c r="H2137" s="1278">
        <v>1.75417820344183E-2</v>
      </c>
      <c r="I2137" s="1248">
        <v>2.0638037136870398E-2</v>
      </c>
      <c r="J2137" s="1278">
        <v>1.0882153201906199E-3</v>
      </c>
      <c r="K2137" s="1248">
        <v>3.0000008610067898E-3</v>
      </c>
      <c r="L2137" s="1250">
        <v>2.0000005741038001E-3</v>
      </c>
      <c r="M2137" s="1275">
        <v>2.0000005740318902E-3</v>
      </c>
      <c r="N2137" s="1248">
        <v>3.1850009128239903E-2</v>
      </c>
      <c r="O2137" s="1249">
        <v>3.1850009128239903E-2</v>
      </c>
      <c r="P2137" s="1260">
        <v>1.59250045641199E-2</v>
      </c>
      <c r="Q2137" s="1252">
        <v>2.15711975962662E-2</v>
      </c>
    </row>
    <row r="2138" spans="1:17" s="212" customFormat="1" ht="15.5" x14ac:dyDescent="0.35">
      <c r="A2138" s="198">
        <v>2048</v>
      </c>
      <c r="B2138" s="197" t="s">
        <v>5842</v>
      </c>
      <c r="C2138" s="197">
        <v>2033</v>
      </c>
      <c r="D2138" s="213" t="str">
        <f t="shared" si="23"/>
        <v>2048_2033</v>
      </c>
      <c r="E2138" s="1267">
        <v>7.6121427019801902E-2</v>
      </c>
      <c r="F2138" s="1278">
        <v>1.93012979741626E-3</v>
      </c>
      <c r="G2138" s="1248">
        <v>0.21267588522109801</v>
      </c>
      <c r="H2138" s="1278">
        <v>1.72277212236631E-2</v>
      </c>
      <c r="I2138" s="1248">
        <v>2.0117314484110398E-2</v>
      </c>
      <c r="J2138" s="1278">
        <v>1.08836054661888E-3</v>
      </c>
      <c r="K2138" s="1248">
        <v>3.00000086100895E-3</v>
      </c>
      <c r="L2138" s="1250">
        <v>2.0000005741054199E-3</v>
      </c>
      <c r="M2138" s="1275">
        <v>2.0000005740331999E-3</v>
      </c>
      <c r="N2138" s="1248">
        <v>3.1850009128239903E-2</v>
      </c>
      <c r="O2138" s="1249">
        <v>3.1850009128239903E-2</v>
      </c>
      <c r="P2138" s="1260">
        <v>1.59250045641199E-2</v>
      </c>
      <c r="Q2138" s="1252">
        <v>2.1026930175820899E-2</v>
      </c>
    </row>
    <row r="2139" spans="1:17" s="212" customFormat="1" ht="15.5" x14ac:dyDescent="0.35">
      <c r="A2139" s="198">
        <v>2048</v>
      </c>
      <c r="B2139" s="197" t="s">
        <v>5842</v>
      </c>
      <c r="C2139" s="197">
        <v>2034</v>
      </c>
      <c r="D2139" s="213" t="str">
        <f t="shared" si="23"/>
        <v>2048_2034</v>
      </c>
      <c r="E2139" s="1267">
        <v>7.5389573144020797E-2</v>
      </c>
      <c r="F2139" s="1278">
        <v>1.92047044778361E-3</v>
      </c>
      <c r="G2139" s="1248">
        <v>0.208875038391198</v>
      </c>
      <c r="H2139" s="1278">
        <v>1.69636612851813E-2</v>
      </c>
      <c r="I2139" s="1248">
        <v>1.9536710614088699E-2</v>
      </c>
      <c r="J2139" s="1278">
        <v>1.0885091513716701E-3</v>
      </c>
      <c r="K2139" s="1248">
        <v>3.00000086101117E-3</v>
      </c>
      <c r="L2139" s="1250">
        <v>2.0000005741070801E-3</v>
      </c>
      <c r="M2139" s="1275">
        <v>2.00000057403454E-3</v>
      </c>
      <c r="N2139" s="1248">
        <v>3.1850009128239903E-2</v>
      </c>
      <c r="O2139" s="1249">
        <v>3.1850009128239903E-2</v>
      </c>
      <c r="P2139" s="1260">
        <v>1.59250045641199E-2</v>
      </c>
      <c r="Q2139" s="1252">
        <v>2.0420073975188399E-2</v>
      </c>
    </row>
    <row r="2140" spans="1:17" s="212" customFormat="1" ht="15.5" x14ac:dyDescent="0.35">
      <c r="A2140" s="198">
        <v>2048</v>
      </c>
      <c r="B2140" s="197" t="s">
        <v>5842</v>
      </c>
      <c r="C2140" s="197">
        <v>2035</v>
      </c>
      <c r="D2140" s="213" t="str">
        <f t="shared" si="23"/>
        <v>2048_2035</v>
      </c>
      <c r="E2140" s="1267">
        <v>7.4580009031660996E-2</v>
      </c>
      <c r="F2140" s="1278">
        <v>1.92034855011111E-3</v>
      </c>
      <c r="G2140" s="1248">
        <v>0.204681665279563</v>
      </c>
      <c r="H2140" s="1278">
        <v>1.6777390376640701E-2</v>
      </c>
      <c r="I2140" s="1248">
        <v>1.8896134669844401E-2</v>
      </c>
      <c r="J2140" s="1278">
        <v>1.08866062156472E-3</v>
      </c>
      <c r="K2140" s="1248">
        <v>3.0000008610134399E-3</v>
      </c>
      <c r="L2140" s="1250">
        <v>2.0000005741087801E-3</v>
      </c>
      <c r="M2140" s="1275">
        <v>2.0000005740361598E-3</v>
      </c>
      <c r="N2140" s="1248">
        <v>3.1850009128239903E-2</v>
      </c>
      <c r="O2140" s="1249">
        <v>3.1850009128239903E-2</v>
      </c>
      <c r="P2140" s="1260">
        <v>1.59250045641199E-2</v>
      </c>
      <c r="Q2140" s="1252">
        <v>1.9750534029259002E-2</v>
      </c>
    </row>
    <row r="2141" spans="1:17" s="212" customFormat="1" ht="15.5" x14ac:dyDescent="0.35">
      <c r="A2141" s="198">
        <v>2048</v>
      </c>
      <c r="B2141" s="197" t="s">
        <v>5842</v>
      </c>
      <c r="C2141" s="197">
        <v>2036</v>
      </c>
      <c r="D2141" s="213" t="str">
        <f t="shared" si="23"/>
        <v>2048_2036</v>
      </c>
      <c r="E2141" s="1267">
        <v>7.3692626221178198E-2</v>
      </c>
      <c r="F2141" s="1278">
        <v>1.93049779040532E-3</v>
      </c>
      <c r="G2141" s="1248">
        <v>0.20009539276472901</v>
      </c>
      <c r="H2141" s="1278">
        <v>1.6675085097950199E-2</v>
      </c>
      <c r="I2141" s="1248">
        <v>1.8195515400674898E-2</v>
      </c>
      <c r="J2141" s="1278">
        <v>1.0888147422835599E-3</v>
      </c>
      <c r="K2141" s="1248">
        <v>3.00000086101577E-3</v>
      </c>
      <c r="L2141" s="1250">
        <v>2.00000057411052E-3</v>
      </c>
      <c r="M2141" s="1275">
        <v>2.0000005740378199E-3</v>
      </c>
      <c r="N2141" s="1248">
        <v>3.1850009128239903E-2</v>
      </c>
      <c r="O2141" s="1249">
        <v>3.1850009128239903E-2</v>
      </c>
      <c r="P2141" s="1260">
        <v>1.59250045641199E-2</v>
      </c>
      <c r="Q2141" s="1252">
        <v>1.9018235865689698E-2</v>
      </c>
    </row>
    <row r="2142" spans="1:17" s="212" customFormat="1" ht="15.5" x14ac:dyDescent="0.35">
      <c r="A2142" s="198">
        <v>2048</v>
      </c>
      <c r="B2142" s="197" t="s">
        <v>5842</v>
      </c>
      <c r="C2142" s="197">
        <v>2037</v>
      </c>
      <c r="D2142" s="213" t="str">
        <f t="shared" si="23"/>
        <v>2048_2037</v>
      </c>
      <c r="E2142" s="1267">
        <v>7.2726909679316804E-2</v>
      </c>
      <c r="F2142" s="1278">
        <v>1.9487798246286901E-3</v>
      </c>
      <c r="G2142" s="1248">
        <v>0.195115411025648</v>
      </c>
      <c r="H2142" s="1278">
        <v>1.66336510482912E-2</v>
      </c>
      <c r="I2142" s="1248">
        <v>1.7434716291113699E-2</v>
      </c>
      <c r="J2142" s="1278">
        <v>1.0889699452596401E-3</v>
      </c>
      <c r="K2142" s="1248">
        <v>3.0000008610181201E-3</v>
      </c>
      <c r="L2142" s="1250">
        <v>2.0000005741122899E-3</v>
      </c>
      <c r="M2142" s="1275">
        <v>2.0000005740395299E-3</v>
      </c>
      <c r="N2142" s="1248">
        <v>3.1850009128239903E-2</v>
      </c>
      <c r="O2142" s="1249">
        <v>3.1850009128239903E-2</v>
      </c>
      <c r="P2142" s="1260">
        <v>1.59250045641199E-2</v>
      </c>
      <c r="Q2142" s="1252">
        <v>1.8223036796390198E-2</v>
      </c>
    </row>
    <row r="2143" spans="1:17" s="212" customFormat="1" ht="15.5" x14ac:dyDescent="0.35">
      <c r="A2143" s="198">
        <v>2048</v>
      </c>
      <c r="B2143" s="197" t="s">
        <v>5842</v>
      </c>
      <c r="C2143" s="197">
        <v>2038</v>
      </c>
      <c r="D2143" s="213" t="str">
        <f t="shared" si="23"/>
        <v>2048_2038</v>
      </c>
      <c r="E2143" s="1267">
        <v>7.1682274777004201E-2</v>
      </c>
      <c r="F2143" s="1278">
        <v>1.97025636970199E-3</v>
      </c>
      <c r="G2143" s="1248">
        <v>0.189741001766322</v>
      </c>
      <c r="H2143" s="1278">
        <v>1.6601390182063299E-2</v>
      </c>
      <c r="I2143" s="1248">
        <v>1.66136013398996E-2</v>
      </c>
      <c r="J2143" s="1278">
        <v>1.0891256869370999E-3</v>
      </c>
      <c r="K2143" s="1248">
        <v>3.0000008610204902E-3</v>
      </c>
      <c r="L2143" s="1250">
        <v>2.0000005741140602E-3</v>
      </c>
      <c r="M2143" s="1275">
        <v>2.0000005740412898E-3</v>
      </c>
      <c r="N2143" s="1248">
        <v>3.1850009128239903E-2</v>
      </c>
      <c r="O2143" s="1249">
        <v>3.1850009128239903E-2</v>
      </c>
      <c r="P2143" s="1260">
        <v>1.59250045641199E-2</v>
      </c>
      <c r="Q2143" s="1252">
        <v>1.7364794670725801E-2</v>
      </c>
    </row>
    <row r="2144" spans="1:17" s="212" customFormat="1" ht="15.5" x14ac:dyDescent="0.35">
      <c r="A2144" s="198">
        <v>2048</v>
      </c>
      <c r="B2144" s="197" t="s">
        <v>5842</v>
      </c>
      <c r="C2144" s="197">
        <v>2039</v>
      </c>
      <c r="D2144" s="213" t="str">
        <f t="shared" si="23"/>
        <v>2048_2039</v>
      </c>
      <c r="E2144" s="1267">
        <v>7.0559403896423595E-2</v>
      </c>
      <c r="F2144" s="1278">
        <v>1.9885243850359599E-3</v>
      </c>
      <c r="G2144" s="1248">
        <v>0.183972731101751</v>
      </c>
      <c r="H2144" s="1278">
        <v>1.6511209471197E-2</v>
      </c>
      <c r="I2144" s="1248">
        <v>1.5732223647094201E-2</v>
      </c>
      <c r="J2144" s="1278">
        <v>1.0892844221684001E-3</v>
      </c>
      <c r="K2144" s="1248">
        <v>3.0000008610229102E-3</v>
      </c>
      <c r="L2144" s="1250">
        <v>2.0000005741158699E-3</v>
      </c>
      <c r="M2144" s="1275">
        <v>2.0000005740428901E-3</v>
      </c>
      <c r="N2144" s="1248">
        <v>3.1850009128239903E-2</v>
      </c>
      <c r="O2144" s="1249">
        <v>3.1850009128239903E-2</v>
      </c>
      <c r="P2144" s="1260">
        <v>1.59250045641199E-2</v>
      </c>
      <c r="Q2144" s="1252">
        <v>1.64435649897073E-2</v>
      </c>
    </row>
    <row r="2145" spans="1:17" s="212" customFormat="1" ht="15.5" x14ac:dyDescent="0.35">
      <c r="A2145" s="198">
        <v>2048</v>
      </c>
      <c r="B2145" s="197" t="s">
        <v>5842</v>
      </c>
      <c r="C2145" s="197">
        <v>2040</v>
      </c>
      <c r="D2145" s="213" t="str">
        <f t="shared" si="23"/>
        <v>2048_2040</v>
      </c>
      <c r="E2145" s="1267">
        <v>6.93578649113403E-2</v>
      </c>
      <c r="F2145" s="1278">
        <v>1.99841909449018E-3</v>
      </c>
      <c r="G2145" s="1248">
        <v>0.17780988265690401</v>
      </c>
      <c r="H2145" s="1278">
        <v>1.6309103164063699E-2</v>
      </c>
      <c r="I2145" s="1248">
        <v>1.4790458997047101E-2</v>
      </c>
      <c r="J2145" s="1278">
        <v>1.08944479360141E-3</v>
      </c>
      <c r="K2145" s="1248">
        <v>3.00000086102535E-3</v>
      </c>
      <c r="L2145" s="1250">
        <v>2.0000005741177E-3</v>
      </c>
      <c r="M2145" s="1275">
        <v>2.0000005740446001E-3</v>
      </c>
      <c r="N2145" s="1248">
        <v>3.1850009128239903E-2</v>
      </c>
      <c r="O2145" s="1249">
        <v>3.1850009128239903E-2</v>
      </c>
      <c r="P2145" s="1260">
        <v>1.59250045641199E-2</v>
      </c>
      <c r="Q2145" s="1252">
        <v>1.54592179212038E-2</v>
      </c>
    </row>
    <row r="2146" spans="1:17" s="212" customFormat="1" ht="15.5" x14ac:dyDescent="0.35">
      <c r="A2146" s="198">
        <v>2048</v>
      </c>
      <c r="B2146" s="197" t="s">
        <v>5842</v>
      </c>
      <c r="C2146" s="197">
        <v>2041</v>
      </c>
      <c r="D2146" s="213" t="str">
        <f t="shared" si="23"/>
        <v>2048_2041</v>
      </c>
      <c r="E2146" s="1267">
        <v>6.8077204155259294E-2</v>
      </c>
      <c r="F2146" s="1278">
        <v>2.0001641289989001E-3</v>
      </c>
      <c r="G2146" s="1248">
        <v>0.17125179131308901</v>
      </c>
      <c r="H2146" s="1278">
        <v>1.5995995793136899E-2</v>
      </c>
      <c r="I2146" s="1248">
        <v>1.37881870990377E-2</v>
      </c>
      <c r="J2146" s="1278">
        <v>1.0896059032626301E-3</v>
      </c>
      <c r="K2146" s="1248">
        <v>3.0000008610278099E-3</v>
      </c>
      <c r="L2146" s="1250">
        <v>2.0000005741195401E-3</v>
      </c>
      <c r="M2146" s="1275">
        <v>2.00000057404652E-3</v>
      </c>
      <c r="N2146" s="1248">
        <v>3.1850009128239903E-2</v>
      </c>
      <c r="O2146" s="1249">
        <v>3.1850009128239903E-2</v>
      </c>
      <c r="P2146" s="1260">
        <v>1.59250045641199E-2</v>
      </c>
      <c r="Q2146" s="1252">
        <v>1.44116277354821E-2</v>
      </c>
    </row>
    <row r="2147" spans="1:17" s="212" customFormat="1" ht="15.5" x14ac:dyDescent="0.35">
      <c r="A2147" s="198">
        <v>2048</v>
      </c>
      <c r="B2147" s="197" t="s">
        <v>5842</v>
      </c>
      <c r="C2147" s="197">
        <v>2042</v>
      </c>
      <c r="D2147" s="213" t="str">
        <f t="shared" si="23"/>
        <v>2048_2042</v>
      </c>
      <c r="E2147" s="1267">
        <v>6.6717525473849806E-2</v>
      </c>
      <c r="F2147" s="1278">
        <v>2.0039763817176698E-3</v>
      </c>
      <c r="G2147" s="1248">
        <v>0.16429841877948301</v>
      </c>
      <c r="H2147" s="1278">
        <v>1.5674424108413101E-2</v>
      </c>
      <c r="I2147" s="1248">
        <v>1.27253670229683E-2</v>
      </c>
      <c r="J2147" s="1278">
        <v>1.0897691086011001E-3</v>
      </c>
      <c r="K2147" s="1248">
        <v>3.0000008610302901E-3</v>
      </c>
      <c r="L2147" s="1250">
        <v>2.0000005741214002E-3</v>
      </c>
      <c r="M2147" s="1275">
        <v>2.00000057404842E-3</v>
      </c>
      <c r="N2147" s="1248">
        <v>3.1850009128239903E-2</v>
      </c>
      <c r="O2147" s="1249">
        <v>3.1850009128239903E-2</v>
      </c>
      <c r="P2147" s="1260">
        <v>1.59250045641199E-2</v>
      </c>
      <c r="Q2147" s="1252">
        <v>1.33007516517671E-2</v>
      </c>
    </row>
    <row r="2148" spans="1:17" s="212" customFormat="1" ht="15.5" x14ac:dyDescent="0.35">
      <c r="A2148" s="198">
        <v>2048</v>
      </c>
      <c r="B2148" s="197" t="s">
        <v>5842</v>
      </c>
      <c r="C2148" s="197">
        <v>2043</v>
      </c>
      <c r="D2148" s="213" t="str">
        <f t="shared" si="23"/>
        <v>2048_2043</v>
      </c>
      <c r="E2148" s="1267">
        <v>6.5278229720876393E-2</v>
      </c>
      <c r="F2148" s="1278">
        <v>2.0331111051647898E-3</v>
      </c>
      <c r="G2148" s="1248">
        <v>0.156948897194715</v>
      </c>
      <c r="H2148" s="1278">
        <v>1.5580361918483301E-2</v>
      </c>
      <c r="I2148" s="1248">
        <v>1.1601862312719599E-2</v>
      </c>
      <c r="J2148" s="1278">
        <v>1.0899324699725401E-3</v>
      </c>
      <c r="K2148" s="1248">
        <v>3.0000008610327699E-3</v>
      </c>
      <c r="L2148" s="1250">
        <v>2.0000005741232499E-3</v>
      </c>
      <c r="M2148" s="1275">
        <v>2.0000005740505502E-3</v>
      </c>
      <c r="N2148" s="1248">
        <v>3.1850009128239903E-2</v>
      </c>
      <c r="O2148" s="1249">
        <v>3.1850009128239903E-2</v>
      </c>
      <c r="P2148" s="1260">
        <v>1.59250045641199E-2</v>
      </c>
      <c r="Q2148" s="1252">
        <v>1.21264470439992E-2</v>
      </c>
    </row>
    <row r="2149" spans="1:17" s="212" customFormat="1" ht="15.5" x14ac:dyDescent="0.35">
      <c r="A2149" s="198">
        <v>2048</v>
      </c>
      <c r="B2149" s="197" t="s">
        <v>5842</v>
      </c>
      <c r="C2149" s="197">
        <v>2044</v>
      </c>
      <c r="D2149" s="213" t="str">
        <f t="shared" si="23"/>
        <v>2048_2044</v>
      </c>
      <c r="E2149" s="1267">
        <v>6.3759701835534505E-2</v>
      </c>
      <c r="F2149" s="1278">
        <v>2.1219470075184198E-3</v>
      </c>
      <c r="G2149" s="1248">
        <v>0.14920339817907299</v>
      </c>
      <c r="H2149" s="1278">
        <v>1.60639715813326E-2</v>
      </c>
      <c r="I2149" s="1248">
        <v>1.04176584288367E-2</v>
      </c>
      <c r="J2149" s="1278">
        <v>1.09009751887483E-3</v>
      </c>
      <c r="K2149" s="1248">
        <v>3.0000008610352701E-3</v>
      </c>
      <c r="L2149" s="1250">
        <v>2.0000005741251299E-3</v>
      </c>
      <c r="M2149" s="1275">
        <v>2.0000005740528799E-3</v>
      </c>
      <c r="N2149" s="1248">
        <v>3.1850009128239903E-2</v>
      </c>
      <c r="O2149" s="1249">
        <v>3.1850009128239903E-2</v>
      </c>
      <c r="P2149" s="1260">
        <v>1.59250045641199E-2</v>
      </c>
      <c r="Q2149" s="1252">
        <v>1.08886987153141E-2</v>
      </c>
    </row>
    <row r="2150" spans="1:17" s="212" customFormat="1" ht="15.5" x14ac:dyDescent="0.35">
      <c r="A2150" s="198">
        <v>2048</v>
      </c>
      <c r="B2150" s="197" t="s">
        <v>5842</v>
      </c>
      <c r="C2150" s="197">
        <v>2045</v>
      </c>
      <c r="D2150" s="213" t="str">
        <f t="shared" si="23"/>
        <v>2048_2045</v>
      </c>
      <c r="E2150" s="1267">
        <v>6.2160785879449003E-2</v>
      </c>
      <c r="F2150" s="1278">
        <v>2.30296524209895E-3</v>
      </c>
      <c r="G2150" s="1248">
        <v>0.141060693778497</v>
      </c>
      <c r="H2150" s="1278">
        <v>1.7460843304205598E-2</v>
      </c>
      <c r="I2150" s="1248">
        <v>9.1725738385427004E-3</v>
      </c>
      <c r="J2150" s="1278">
        <v>1.09026179623661E-3</v>
      </c>
      <c r="K2150" s="1248">
        <v>3.0000008610377598E-3</v>
      </c>
      <c r="L2150" s="1250">
        <v>2.0000005741269799E-3</v>
      </c>
      <c r="M2150" s="1275">
        <v>2.00000057405525E-3</v>
      </c>
      <c r="N2150" s="1248">
        <v>3.1850009128239903E-2</v>
      </c>
      <c r="O2150" s="1249">
        <v>3.1850009128239903E-2</v>
      </c>
      <c r="P2150" s="1260">
        <v>1.59250045641199E-2</v>
      </c>
      <c r="Q2150" s="1252">
        <v>9.58731692482802E-3</v>
      </c>
    </row>
    <row r="2151" spans="1:17" s="212" customFormat="1" ht="15.5" x14ac:dyDescent="0.35">
      <c r="A2151" s="198">
        <v>2048</v>
      </c>
      <c r="B2151" s="197" t="s">
        <v>5842</v>
      </c>
      <c r="C2151" s="197">
        <v>2046</v>
      </c>
      <c r="D2151" s="213" t="str">
        <f t="shared" si="23"/>
        <v>2048_2046</v>
      </c>
      <c r="E2151" s="1267">
        <v>6.04818691336792E-2</v>
      </c>
      <c r="F2151" s="1278">
        <v>2.57404696849375E-3</v>
      </c>
      <c r="G2151" s="1248">
        <v>0.13252102776357799</v>
      </c>
      <c r="H2151" s="1278">
        <v>1.9763773279661001E-2</v>
      </c>
      <c r="I2151" s="1248">
        <v>7.8665984695189799E-3</v>
      </c>
      <c r="J2151" s="1278">
        <v>1.0904274229801001E-3</v>
      </c>
      <c r="K2151" s="1248">
        <v>3.0000008610402301E-3</v>
      </c>
      <c r="L2151" s="1250">
        <v>2.00000057412884E-3</v>
      </c>
      <c r="M2151" s="1275">
        <v>2.0000005740576201E-3</v>
      </c>
      <c r="N2151" s="1248">
        <v>3.1850009128239903E-2</v>
      </c>
      <c r="O2151" s="1249">
        <v>3.1850009128239903E-2</v>
      </c>
      <c r="P2151" s="1260">
        <v>1.59250045641199E-2</v>
      </c>
      <c r="Q2151" s="1252">
        <v>8.2222911447969102E-3</v>
      </c>
    </row>
    <row r="2152" spans="1:17" s="212" customFormat="1" ht="15.5" x14ac:dyDescent="0.35">
      <c r="A2152" s="198">
        <v>2048</v>
      </c>
      <c r="B2152" s="197" t="s">
        <v>5842</v>
      </c>
      <c r="C2152" s="197">
        <v>2047</v>
      </c>
      <c r="D2152" s="213" t="str">
        <f t="shared" si="23"/>
        <v>2048_2047</v>
      </c>
      <c r="E2152" s="1267">
        <v>5.8722632860640701E-2</v>
      </c>
      <c r="F2152" s="1278">
        <v>2.8326597778053301E-3</v>
      </c>
      <c r="G2152" s="1248">
        <v>0.123583775533108</v>
      </c>
      <c r="H2152" s="1278">
        <v>2.1965911871785E-2</v>
      </c>
      <c r="I2152" s="1248">
        <v>6.4996431443827404E-3</v>
      </c>
      <c r="J2152" s="1278">
        <v>1.0905925658563601E-3</v>
      </c>
      <c r="K2152" s="1248">
        <v>3.0000008610426999E-3</v>
      </c>
      <c r="L2152" s="1250">
        <v>2.0000005741306901E-3</v>
      </c>
      <c r="M2152" s="1275">
        <v>2.0000005740596401E-3</v>
      </c>
      <c r="N2152" s="1248">
        <v>3.1850009128239903E-2</v>
      </c>
      <c r="O2152" s="1249">
        <v>3.1850009128239903E-2</v>
      </c>
      <c r="P2152" s="1260">
        <v>1.59250045641199E-2</v>
      </c>
      <c r="Q2152" s="1252">
        <v>6.7935281656324297E-3</v>
      </c>
    </row>
    <row r="2153" spans="1:17" s="212" customFormat="1" ht="15.5" x14ac:dyDescent="0.35">
      <c r="A2153" s="198">
        <v>2048</v>
      </c>
      <c r="B2153" s="197" t="s">
        <v>5842</v>
      </c>
      <c r="C2153" s="197">
        <v>2048</v>
      </c>
      <c r="D2153" s="213" t="str">
        <f t="shared" si="23"/>
        <v>2048_2048</v>
      </c>
      <c r="E2153" s="1267">
        <v>5.6883429582339197E-2</v>
      </c>
      <c r="F2153" s="1278">
        <v>2.7590820297568801E-3</v>
      </c>
      <c r="G2153" s="1248">
        <v>0.114249167324719</v>
      </c>
      <c r="H2153" s="1278">
        <v>2.0893422174450799E-2</v>
      </c>
      <c r="I2153" s="1248">
        <v>5.0716742602087703E-3</v>
      </c>
      <c r="J2153" s="1278">
        <v>1.0907604774734699E-3</v>
      </c>
      <c r="K2153" s="1248">
        <v>3.0000008610451801E-3</v>
      </c>
      <c r="L2153" s="1250">
        <v>2.0000005741325501E-3</v>
      </c>
      <c r="M2153" s="1275">
        <v>2.00000057405918E-3</v>
      </c>
      <c r="N2153" s="1248">
        <v>3.1850009128239903E-2</v>
      </c>
      <c r="O2153" s="1249">
        <v>3.1850009128239903E-2</v>
      </c>
      <c r="P2153" s="1260">
        <v>1.59250045641199E-2</v>
      </c>
      <c r="Q2153" s="1252">
        <v>5.3009928650341997E-3</v>
      </c>
    </row>
    <row r="2154" spans="1:17" s="212" customFormat="1" ht="15.5" x14ac:dyDescent="0.35">
      <c r="A2154" s="198">
        <v>2048</v>
      </c>
      <c r="B2154" s="197" t="s">
        <v>5842</v>
      </c>
      <c r="C2154" s="197">
        <v>2049</v>
      </c>
      <c r="D2154" s="213" t="str">
        <f t="shared" ref="D2154:D2286" si="24">CONCATENATE(A2154,"_",C2154)</f>
        <v>2048_2049</v>
      </c>
      <c r="E2154" s="1268">
        <v>5.6883429582339197E-2</v>
      </c>
      <c r="F2154" s="1279">
        <v>2.7590820297568801E-3</v>
      </c>
      <c r="G2154" s="1255">
        <v>0.114249167324719</v>
      </c>
      <c r="H2154" s="1279">
        <v>2.0893422174450799E-2</v>
      </c>
      <c r="I2154" s="1255">
        <v>5.0716742602087703E-3</v>
      </c>
      <c r="J2154" s="1279">
        <v>1.0907604774734699E-3</v>
      </c>
      <c r="K2154" s="1255">
        <v>3.0000008610451801E-3</v>
      </c>
      <c r="L2154" s="1253">
        <v>2.0000005741325501E-3</v>
      </c>
      <c r="M2154" s="1273">
        <v>2.00000057405918E-3</v>
      </c>
      <c r="N2154" s="1255">
        <v>3.1850009128239903E-2</v>
      </c>
      <c r="O2154" s="1256">
        <v>3.1850009128239903E-2</v>
      </c>
      <c r="P2154" s="1251">
        <v>1.59250045641199E-2</v>
      </c>
      <c r="Q2154" s="1254">
        <v>5.3009928650341997E-3</v>
      </c>
    </row>
    <row r="2155" spans="1:17" s="212" customFormat="1" ht="15.5" x14ac:dyDescent="0.35">
      <c r="A2155" s="198">
        <v>2049</v>
      </c>
      <c r="B2155" s="197" t="s">
        <v>5842</v>
      </c>
      <c r="C2155" s="197">
        <v>1971</v>
      </c>
      <c r="D2155" s="213" t="str">
        <f t="shared" si="24"/>
        <v>2049_1971</v>
      </c>
      <c r="E2155" s="1268">
        <v>0.57376563464012698</v>
      </c>
      <c r="F2155" s="1279">
        <v>1.4433262373112399E-2</v>
      </c>
      <c r="G2155" s="1255">
        <v>4.1350826346087999</v>
      </c>
      <c r="H2155" s="1279">
        <v>0.26988579296836002</v>
      </c>
      <c r="I2155" s="1255">
        <v>0.149560401734146</v>
      </c>
      <c r="J2155" s="1279">
        <v>1.4103053662554299E-4</v>
      </c>
      <c r="K2155" s="1255">
        <v>3.0000008612586699E-3</v>
      </c>
      <c r="L2155" s="1253">
        <v>2.0000005741258801E-3</v>
      </c>
      <c r="M2155" s="1273">
        <v>2.0000005741258801E-3</v>
      </c>
      <c r="N2155" s="1255">
        <v>3.1850009128239903E-2</v>
      </c>
      <c r="O2155" s="1256">
        <v>3.1850009128239903E-2</v>
      </c>
      <c r="P2155" s="1251">
        <v>1.5925004564119952E-2</v>
      </c>
      <c r="Q2155" s="1254">
        <v>0.15632285943610999</v>
      </c>
    </row>
    <row r="2156" spans="1:17" s="212" customFormat="1" ht="15.5" x14ac:dyDescent="0.35">
      <c r="A2156" s="198">
        <v>2049</v>
      </c>
      <c r="B2156" s="197" t="s">
        <v>5842</v>
      </c>
      <c r="C2156" s="197">
        <v>1972</v>
      </c>
      <c r="D2156" s="213" t="str">
        <f t="shared" si="24"/>
        <v>2049_1972</v>
      </c>
      <c r="E2156" s="1268">
        <v>0.57376563464012698</v>
      </c>
      <c r="F2156" s="1279">
        <v>1.4433262373112399E-2</v>
      </c>
      <c r="G2156" s="1255">
        <v>4.1350826346087999</v>
      </c>
      <c r="H2156" s="1279">
        <v>0.26988579296836002</v>
      </c>
      <c r="I2156" s="1255">
        <v>0.149560401734146</v>
      </c>
      <c r="J2156" s="1279">
        <v>1.4103053662554299E-4</v>
      </c>
      <c r="K2156" s="1255">
        <v>3.0000008612586699E-3</v>
      </c>
      <c r="L2156" s="1253">
        <v>2.0000005741258801E-3</v>
      </c>
      <c r="M2156" s="1273">
        <v>2.0000005741258801E-3</v>
      </c>
      <c r="N2156" s="1255">
        <v>3.1850009128239903E-2</v>
      </c>
      <c r="O2156" s="1256">
        <v>3.1850009128239903E-2</v>
      </c>
      <c r="P2156" s="1251">
        <v>1.5925004564119952E-2</v>
      </c>
      <c r="Q2156" s="1254">
        <v>0.15632285943610999</v>
      </c>
    </row>
    <row r="2157" spans="1:17" s="212" customFormat="1" ht="15.5" x14ac:dyDescent="0.35">
      <c r="A2157" s="198">
        <v>2049</v>
      </c>
      <c r="B2157" s="197" t="s">
        <v>5842</v>
      </c>
      <c r="C2157" s="197">
        <v>1973</v>
      </c>
      <c r="D2157" s="213" t="str">
        <f t="shared" si="24"/>
        <v>2049_1973</v>
      </c>
      <c r="E2157" s="1268">
        <v>0.57376563464012698</v>
      </c>
      <c r="F2157" s="1279">
        <v>1.4433262373112399E-2</v>
      </c>
      <c r="G2157" s="1255">
        <v>4.1350826346087999</v>
      </c>
      <c r="H2157" s="1279">
        <v>0.26988579296836002</v>
      </c>
      <c r="I2157" s="1255">
        <v>0.149560401734146</v>
      </c>
      <c r="J2157" s="1279">
        <v>1.4103053662554299E-4</v>
      </c>
      <c r="K2157" s="1255">
        <v>3.0000008612586699E-3</v>
      </c>
      <c r="L2157" s="1253">
        <v>2.0000005741258801E-3</v>
      </c>
      <c r="M2157" s="1273">
        <v>2.0000005741258801E-3</v>
      </c>
      <c r="N2157" s="1255">
        <v>3.1850009128239903E-2</v>
      </c>
      <c r="O2157" s="1256">
        <v>3.1850009128239903E-2</v>
      </c>
      <c r="P2157" s="1251">
        <v>1.5925004564119952E-2</v>
      </c>
      <c r="Q2157" s="1254">
        <v>0.15632285943610999</v>
      </c>
    </row>
    <row r="2158" spans="1:17" s="212" customFormat="1" ht="15.5" x14ac:dyDescent="0.35">
      <c r="A2158" s="198">
        <v>2049</v>
      </c>
      <c r="B2158" s="197" t="s">
        <v>5842</v>
      </c>
      <c r="C2158" s="197">
        <v>1974</v>
      </c>
      <c r="D2158" s="213" t="str">
        <f t="shared" si="24"/>
        <v>2049_1974</v>
      </c>
      <c r="E2158" s="1268">
        <v>0.57376563464012698</v>
      </c>
      <c r="F2158" s="1279">
        <v>1.4433262373112399E-2</v>
      </c>
      <c r="G2158" s="1255">
        <v>4.1350826346087999</v>
      </c>
      <c r="H2158" s="1279">
        <v>0.26988579296836002</v>
      </c>
      <c r="I2158" s="1255">
        <v>0.149560401734146</v>
      </c>
      <c r="J2158" s="1279">
        <v>1.4103053662554299E-4</v>
      </c>
      <c r="K2158" s="1255">
        <v>3.0000008612586699E-3</v>
      </c>
      <c r="L2158" s="1253">
        <v>2.0000005741258801E-3</v>
      </c>
      <c r="M2158" s="1273">
        <v>2.0000005741258801E-3</v>
      </c>
      <c r="N2158" s="1255">
        <v>3.1850009128239903E-2</v>
      </c>
      <c r="O2158" s="1256">
        <v>3.1850009128239903E-2</v>
      </c>
      <c r="P2158" s="1251">
        <v>1.5925004564119952E-2</v>
      </c>
      <c r="Q2158" s="1254">
        <v>0.15632285943610999</v>
      </c>
    </row>
    <row r="2159" spans="1:17" s="212" customFormat="1" ht="15.5" x14ac:dyDescent="0.35">
      <c r="A2159" s="198">
        <v>2049</v>
      </c>
      <c r="B2159" s="197" t="s">
        <v>5842</v>
      </c>
      <c r="C2159" s="197">
        <v>1975</v>
      </c>
      <c r="D2159" s="213" t="str">
        <f t="shared" si="24"/>
        <v>2049_1975</v>
      </c>
      <c r="E2159" s="1268">
        <v>0.57376563464012698</v>
      </c>
      <c r="F2159" s="1279">
        <v>1.4433262373112399E-2</v>
      </c>
      <c r="G2159" s="1255">
        <v>4.1350826346087999</v>
      </c>
      <c r="H2159" s="1279">
        <v>0.26988579296836002</v>
      </c>
      <c r="I2159" s="1255">
        <v>0.149560401734146</v>
      </c>
      <c r="J2159" s="1279">
        <v>1.4103053662554299E-4</v>
      </c>
      <c r="K2159" s="1255">
        <v>3.0000008612586699E-3</v>
      </c>
      <c r="L2159" s="1253">
        <v>2.0000005741258801E-3</v>
      </c>
      <c r="M2159" s="1273">
        <v>2.0000005741258801E-3</v>
      </c>
      <c r="N2159" s="1255">
        <v>3.1850009128239903E-2</v>
      </c>
      <c r="O2159" s="1256">
        <v>3.1850009128239903E-2</v>
      </c>
      <c r="P2159" s="1251">
        <v>1.5925004564119952E-2</v>
      </c>
      <c r="Q2159" s="1254">
        <v>0.15632285943610999</v>
      </c>
    </row>
    <row r="2160" spans="1:17" s="212" customFormat="1" ht="15.5" x14ac:dyDescent="0.35">
      <c r="A2160" s="198">
        <v>2049</v>
      </c>
      <c r="B2160" s="197" t="s">
        <v>5842</v>
      </c>
      <c r="C2160" s="197">
        <v>1976</v>
      </c>
      <c r="D2160" s="213" t="str">
        <f t="shared" si="24"/>
        <v>2049_1976</v>
      </c>
      <c r="E2160" s="1268">
        <v>0.57376563464012698</v>
      </c>
      <c r="F2160" s="1279">
        <v>1.4433262373112399E-2</v>
      </c>
      <c r="G2160" s="1255">
        <v>4.1350826346087999</v>
      </c>
      <c r="H2160" s="1279">
        <v>0.26988579296836002</v>
      </c>
      <c r="I2160" s="1255">
        <v>0.149560401734146</v>
      </c>
      <c r="J2160" s="1279">
        <v>1.4103053662554299E-4</v>
      </c>
      <c r="K2160" s="1255">
        <v>3.0000008612586699E-3</v>
      </c>
      <c r="L2160" s="1253">
        <v>2.0000005741258801E-3</v>
      </c>
      <c r="M2160" s="1273">
        <v>2.0000005741258801E-3</v>
      </c>
      <c r="N2160" s="1255">
        <v>3.1850009128239903E-2</v>
      </c>
      <c r="O2160" s="1256">
        <v>3.1850009128239903E-2</v>
      </c>
      <c r="P2160" s="1251">
        <v>1.5925004564119952E-2</v>
      </c>
      <c r="Q2160" s="1254">
        <v>0.15632285943610999</v>
      </c>
    </row>
    <row r="2161" spans="1:17" s="212" customFormat="1" ht="15.5" x14ac:dyDescent="0.35">
      <c r="A2161" s="198">
        <v>2049</v>
      </c>
      <c r="B2161" s="197" t="s">
        <v>5842</v>
      </c>
      <c r="C2161" s="197">
        <v>1977</v>
      </c>
      <c r="D2161" s="213" t="str">
        <f t="shared" si="24"/>
        <v>2049_1977</v>
      </c>
      <c r="E2161" s="1268">
        <v>0.57376563464012698</v>
      </c>
      <c r="F2161" s="1279">
        <v>1.4433262373112399E-2</v>
      </c>
      <c r="G2161" s="1255">
        <v>4.1350826346087999</v>
      </c>
      <c r="H2161" s="1279">
        <v>0.26988579296836002</v>
      </c>
      <c r="I2161" s="1255">
        <v>0.149560401734146</v>
      </c>
      <c r="J2161" s="1279">
        <v>1.4103053662554299E-4</v>
      </c>
      <c r="K2161" s="1255">
        <v>3.0000008612586699E-3</v>
      </c>
      <c r="L2161" s="1253">
        <v>2.0000005741258801E-3</v>
      </c>
      <c r="M2161" s="1273">
        <v>2.0000005741258801E-3</v>
      </c>
      <c r="N2161" s="1255">
        <v>3.1850009128239903E-2</v>
      </c>
      <c r="O2161" s="1256">
        <v>3.1850009128239903E-2</v>
      </c>
      <c r="P2161" s="1251">
        <v>1.5925004564119952E-2</v>
      </c>
      <c r="Q2161" s="1254">
        <v>0.15632285943610999</v>
      </c>
    </row>
    <row r="2162" spans="1:17" s="212" customFormat="1" ht="15.5" x14ac:dyDescent="0.35">
      <c r="A2162" s="198">
        <v>2049</v>
      </c>
      <c r="B2162" s="197" t="s">
        <v>5842</v>
      </c>
      <c r="C2162" s="197">
        <v>1978</v>
      </c>
      <c r="D2162" s="213" t="str">
        <f t="shared" si="24"/>
        <v>2049_1978</v>
      </c>
      <c r="E2162" s="1268">
        <v>0.57376563464012698</v>
      </c>
      <c r="F2162" s="1279">
        <v>1.4433262373112399E-2</v>
      </c>
      <c r="G2162" s="1255">
        <v>4.1350826346087999</v>
      </c>
      <c r="H2162" s="1279">
        <v>0.26988579296836002</v>
      </c>
      <c r="I2162" s="1255">
        <v>0.149560401734146</v>
      </c>
      <c r="J2162" s="1279">
        <v>1.4103053662554299E-4</v>
      </c>
      <c r="K2162" s="1255">
        <v>3.0000008612586699E-3</v>
      </c>
      <c r="L2162" s="1253">
        <v>2.0000005741258801E-3</v>
      </c>
      <c r="M2162" s="1273">
        <v>2.0000005741258801E-3</v>
      </c>
      <c r="N2162" s="1255">
        <v>3.1850009128239903E-2</v>
      </c>
      <c r="O2162" s="1256">
        <v>3.1850009128239903E-2</v>
      </c>
      <c r="P2162" s="1251">
        <v>1.5925004564119952E-2</v>
      </c>
      <c r="Q2162" s="1254">
        <v>0.15632285943610999</v>
      </c>
    </row>
    <row r="2163" spans="1:17" s="212" customFormat="1" ht="15.5" x14ac:dyDescent="0.35">
      <c r="A2163" s="198">
        <v>2049</v>
      </c>
      <c r="B2163" s="197" t="s">
        <v>5842</v>
      </c>
      <c r="C2163" s="197">
        <v>1979</v>
      </c>
      <c r="D2163" s="213" t="str">
        <f t="shared" si="24"/>
        <v>2049_1979</v>
      </c>
      <c r="E2163" s="1268">
        <v>0.57376563464012698</v>
      </c>
      <c r="F2163" s="1279">
        <v>1.4433262373112399E-2</v>
      </c>
      <c r="G2163" s="1255">
        <v>4.1350826346087999</v>
      </c>
      <c r="H2163" s="1279">
        <v>0.26988579296836002</v>
      </c>
      <c r="I2163" s="1255">
        <v>0.149560401734146</v>
      </c>
      <c r="J2163" s="1279">
        <v>1.4103053662554299E-4</v>
      </c>
      <c r="K2163" s="1255">
        <v>3.0000008612586699E-3</v>
      </c>
      <c r="L2163" s="1253">
        <v>2.0000005741258801E-3</v>
      </c>
      <c r="M2163" s="1273">
        <v>2.0000005741258801E-3</v>
      </c>
      <c r="N2163" s="1255">
        <v>3.1850009128239903E-2</v>
      </c>
      <c r="O2163" s="1256">
        <v>3.1850009128239903E-2</v>
      </c>
      <c r="P2163" s="1251">
        <v>1.5925004564119952E-2</v>
      </c>
      <c r="Q2163" s="1254">
        <v>0.15632285943610999</v>
      </c>
    </row>
    <row r="2164" spans="1:17" s="212" customFormat="1" ht="15.5" x14ac:dyDescent="0.35">
      <c r="A2164" s="198">
        <v>2049</v>
      </c>
      <c r="B2164" s="197" t="s">
        <v>5842</v>
      </c>
      <c r="C2164" s="197">
        <v>1980</v>
      </c>
      <c r="D2164" s="213" t="str">
        <f t="shared" si="24"/>
        <v>2049_1980</v>
      </c>
      <c r="E2164" s="1268">
        <v>0.57376563464012698</v>
      </c>
      <c r="F2164" s="1279">
        <v>1.4433262373112399E-2</v>
      </c>
      <c r="G2164" s="1255">
        <v>4.1350826346087999</v>
      </c>
      <c r="H2164" s="1279">
        <v>0.26988579296836002</v>
      </c>
      <c r="I2164" s="1255">
        <v>0.149560401734146</v>
      </c>
      <c r="J2164" s="1279">
        <v>1.4103053662554299E-4</v>
      </c>
      <c r="K2164" s="1255">
        <v>3.0000008612586699E-3</v>
      </c>
      <c r="L2164" s="1253">
        <v>2.0000005741258801E-3</v>
      </c>
      <c r="M2164" s="1273">
        <v>2.0000005741258801E-3</v>
      </c>
      <c r="N2164" s="1255">
        <v>3.1850009128239903E-2</v>
      </c>
      <c r="O2164" s="1256">
        <v>3.1850009128239903E-2</v>
      </c>
      <c r="P2164" s="1251">
        <v>1.5925004564119952E-2</v>
      </c>
      <c r="Q2164" s="1254">
        <v>0.15632285943610999</v>
      </c>
    </row>
    <row r="2165" spans="1:17" s="212" customFormat="1" ht="15.5" x14ac:dyDescent="0.35">
      <c r="A2165" s="198">
        <v>2049</v>
      </c>
      <c r="B2165" s="197" t="s">
        <v>5842</v>
      </c>
      <c r="C2165" s="197">
        <v>1981</v>
      </c>
      <c r="D2165" s="213" t="str">
        <f t="shared" si="24"/>
        <v>2049_1981</v>
      </c>
      <c r="E2165" s="1268">
        <v>0.57376563464012698</v>
      </c>
      <c r="F2165" s="1279">
        <v>1.4433262373112399E-2</v>
      </c>
      <c r="G2165" s="1255">
        <v>4.1350826346087999</v>
      </c>
      <c r="H2165" s="1279">
        <v>0.26988579296836002</v>
      </c>
      <c r="I2165" s="1255">
        <v>0.149560401734146</v>
      </c>
      <c r="J2165" s="1279">
        <v>1.4103053662554299E-4</v>
      </c>
      <c r="K2165" s="1255">
        <v>3.0000008612586699E-3</v>
      </c>
      <c r="L2165" s="1253">
        <v>2.0000005741258801E-3</v>
      </c>
      <c r="M2165" s="1273">
        <v>2.0000005741258801E-3</v>
      </c>
      <c r="N2165" s="1255">
        <v>3.1850009128239903E-2</v>
      </c>
      <c r="O2165" s="1256">
        <v>3.1850009128239903E-2</v>
      </c>
      <c r="P2165" s="1251">
        <v>1.5925004564119952E-2</v>
      </c>
      <c r="Q2165" s="1254">
        <v>0.15632285943610999</v>
      </c>
    </row>
    <row r="2166" spans="1:17" s="212" customFormat="1" ht="15.5" x14ac:dyDescent="0.35">
      <c r="A2166" s="198">
        <v>2049</v>
      </c>
      <c r="B2166" s="197" t="s">
        <v>5842</v>
      </c>
      <c r="C2166" s="197">
        <v>1982</v>
      </c>
      <c r="D2166" s="213" t="str">
        <f t="shared" si="24"/>
        <v>2049_1982</v>
      </c>
      <c r="E2166" s="1268">
        <v>0.57376563464012698</v>
      </c>
      <c r="F2166" s="1279">
        <v>1.4433262373112399E-2</v>
      </c>
      <c r="G2166" s="1255">
        <v>4.1350826346087999</v>
      </c>
      <c r="H2166" s="1279">
        <v>0.26988579296836002</v>
      </c>
      <c r="I2166" s="1255">
        <v>0.149560401734146</v>
      </c>
      <c r="J2166" s="1279">
        <v>1.4103053662554299E-4</v>
      </c>
      <c r="K2166" s="1255">
        <v>3.0000008612586699E-3</v>
      </c>
      <c r="L2166" s="1253">
        <v>2.0000005741258801E-3</v>
      </c>
      <c r="M2166" s="1273">
        <v>2.0000005741258801E-3</v>
      </c>
      <c r="N2166" s="1255">
        <v>3.1850009128239903E-2</v>
      </c>
      <c r="O2166" s="1256">
        <v>3.1850009128239903E-2</v>
      </c>
      <c r="P2166" s="1251">
        <v>1.5925004564119952E-2</v>
      </c>
      <c r="Q2166" s="1254">
        <v>0.15632285943610999</v>
      </c>
    </row>
    <row r="2167" spans="1:17" s="212" customFormat="1" ht="15.5" x14ac:dyDescent="0.35">
      <c r="A2167" s="198">
        <v>2049</v>
      </c>
      <c r="B2167" s="197" t="s">
        <v>5842</v>
      </c>
      <c r="C2167" s="197">
        <v>1983</v>
      </c>
      <c r="D2167" s="213" t="str">
        <f t="shared" si="24"/>
        <v>2049_1983</v>
      </c>
      <c r="E2167" s="1268">
        <v>0.57376563464012698</v>
      </c>
      <c r="F2167" s="1279">
        <v>1.4433262373112399E-2</v>
      </c>
      <c r="G2167" s="1255">
        <v>4.1350826346087999</v>
      </c>
      <c r="H2167" s="1279">
        <v>0.26988579296836002</v>
      </c>
      <c r="I2167" s="1255">
        <v>0.149560401734146</v>
      </c>
      <c r="J2167" s="1279">
        <v>1.4103053662554299E-4</v>
      </c>
      <c r="K2167" s="1255">
        <v>3.0000008612586699E-3</v>
      </c>
      <c r="L2167" s="1253">
        <v>2.0000005741258801E-3</v>
      </c>
      <c r="M2167" s="1273">
        <v>2.0000005741258801E-3</v>
      </c>
      <c r="N2167" s="1255">
        <v>3.1850009128239903E-2</v>
      </c>
      <c r="O2167" s="1256">
        <v>3.1850009128239903E-2</v>
      </c>
      <c r="P2167" s="1251">
        <v>1.5925004564119952E-2</v>
      </c>
      <c r="Q2167" s="1254">
        <v>0.15632285943610999</v>
      </c>
    </row>
    <row r="2168" spans="1:17" s="212" customFormat="1" ht="15.5" x14ac:dyDescent="0.35">
      <c r="A2168" s="198">
        <v>2049</v>
      </c>
      <c r="B2168" s="197" t="s">
        <v>5842</v>
      </c>
      <c r="C2168" s="197">
        <v>1984</v>
      </c>
      <c r="D2168" s="213" t="str">
        <f t="shared" si="24"/>
        <v>2049_1984</v>
      </c>
      <c r="E2168" s="1268">
        <v>0.57376563464012698</v>
      </c>
      <c r="F2168" s="1279">
        <v>1.4433262373112399E-2</v>
      </c>
      <c r="G2168" s="1255">
        <v>4.1350826346087999</v>
      </c>
      <c r="H2168" s="1279">
        <v>0.26988579296836002</v>
      </c>
      <c r="I2168" s="1255">
        <v>0.149560401734146</v>
      </c>
      <c r="J2168" s="1279">
        <v>1.4103053662554299E-4</v>
      </c>
      <c r="K2168" s="1255">
        <v>3.0000008612586699E-3</v>
      </c>
      <c r="L2168" s="1253">
        <v>2.0000005741258801E-3</v>
      </c>
      <c r="M2168" s="1273">
        <v>2.0000005741258801E-3</v>
      </c>
      <c r="N2168" s="1255">
        <v>3.1850009128239903E-2</v>
      </c>
      <c r="O2168" s="1256">
        <v>3.1850009128239903E-2</v>
      </c>
      <c r="P2168" s="1251">
        <v>1.5925004564119952E-2</v>
      </c>
      <c r="Q2168" s="1254">
        <v>0.15632285943610999</v>
      </c>
    </row>
    <row r="2169" spans="1:17" s="212" customFormat="1" ht="15.5" x14ac:dyDescent="0.35">
      <c r="A2169" s="198">
        <v>2049</v>
      </c>
      <c r="B2169" s="197" t="s">
        <v>5842</v>
      </c>
      <c r="C2169" s="197">
        <v>1985</v>
      </c>
      <c r="D2169" s="213" t="str">
        <f t="shared" si="24"/>
        <v>2049_1985</v>
      </c>
      <c r="E2169" s="1268">
        <v>0.57376563464012698</v>
      </c>
      <c r="F2169" s="1279">
        <v>1.4433262373112399E-2</v>
      </c>
      <c r="G2169" s="1255">
        <v>4.1350826346087999</v>
      </c>
      <c r="H2169" s="1279">
        <v>0.26988579296836002</v>
      </c>
      <c r="I2169" s="1255">
        <v>0.149560401734146</v>
      </c>
      <c r="J2169" s="1279">
        <v>1.4103053662554299E-4</v>
      </c>
      <c r="K2169" s="1255">
        <v>3.0000008612586699E-3</v>
      </c>
      <c r="L2169" s="1253">
        <v>2.0000005741258801E-3</v>
      </c>
      <c r="M2169" s="1273">
        <v>2.0000005741258801E-3</v>
      </c>
      <c r="N2169" s="1255">
        <v>3.1850009128239903E-2</v>
      </c>
      <c r="O2169" s="1256">
        <v>3.1850009128239903E-2</v>
      </c>
      <c r="P2169" s="1251">
        <v>1.5925004564119952E-2</v>
      </c>
      <c r="Q2169" s="1254">
        <v>0.15632285943610999</v>
      </c>
    </row>
    <row r="2170" spans="1:17" s="212" customFormat="1" ht="15.5" x14ac:dyDescent="0.35">
      <c r="A2170" s="198">
        <v>2049</v>
      </c>
      <c r="B2170" s="197" t="s">
        <v>5842</v>
      </c>
      <c r="C2170" s="197">
        <v>1986</v>
      </c>
      <c r="D2170" s="213" t="str">
        <f t="shared" si="24"/>
        <v>2049_1986</v>
      </c>
      <c r="E2170" s="1268">
        <v>0.57376563464012698</v>
      </c>
      <c r="F2170" s="1279">
        <v>1.4433262373112399E-2</v>
      </c>
      <c r="G2170" s="1255">
        <v>4.1350826346087999</v>
      </c>
      <c r="H2170" s="1279">
        <v>0.26988579296836002</v>
      </c>
      <c r="I2170" s="1255">
        <v>0.149560401734146</v>
      </c>
      <c r="J2170" s="1279">
        <v>1.4103053662554299E-4</v>
      </c>
      <c r="K2170" s="1255">
        <v>3.0000008612586699E-3</v>
      </c>
      <c r="L2170" s="1253">
        <v>2.0000005741258801E-3</v>
      </c>
      <c r="M2170" s="1273">
        <v>2.0000005741258801E-3</v>
      </c>
      <c r="N2170" s="1255">
        <v>3.1850009128239903E-2</v>
      </c>
      <c r="O2170" s="1256">
        <v>3.1850009128239903E-2</v>
      </c>
      <c r="P2170" s="1251">
        <v>1.5925004564119952E-2</v>
      </c>
      <c r="Q2170" s="1254">
        <v>0.15632285943610999</v>
      </c>
    </row>
    <row r="2171" spans="1:17" s="212" customFormat="1" ht="15.5" x14ac:dyDescent="0.35">
      <c r="A2171" s="198">
        <v>2049</v>
      </c>
      <c r="B2171" s="197" t="s">
        <v>5842</v>
      </c>
      <c r="C2171" s="197">
        <v>1987</v>
      </c>
      <c r="D2171" s="213" t="str">
        <f t="shared" si="24"/>
        <v>2049_1987</v>
      </c>
      <c r="E2171" s="1268">
        <v>0.57376563464012698</v>
      </c>
      <c r="F2171" s="1279">
        <v>1.4433262373112399E-2</v>
      </c>
      <c r="G2171" s="1255">
        <v>4.1350826346087999</v>
      </c>
      <c r="H2171" s="1279">
        <v>0.26988579296836002</v>
      </c>
      <c r="I2171" s="1255">
        <v>0.149560401734146</v>
      </c>
      <c r="J2171" s="1279">
        <v>1.4103053662554299E-4</v>
      </c>
      <c r="K2171" s="1255">
        <v>3.0000008612586699E-3</v>
      </c>
      <c r="L2171" s="1253">
        <v>2.0000005741258801E-3</v>
      </c>
      <c r="M2171" s="1273">
        <v>2.0000005741258801E-3</v>
      </c>
      <c r="N2171" s="1255">
        <v>3.1850009128239903E-2</v>
      </c>
      <c r="O2171" s="1256">
        <v>3.1850009128239903E-2</v>
      </c>
      <c r="P2171" s="1251">
        <v>1.5925004564119952E-2</v>
      </c>
      <c r="Q2171" s="1254">
        <v>0.15632285943610999</v>
      </c>
    </row>
    <row r="2172" spans="1:17" s="212" customFormat="1" ht="15.5" x14ac:dyDescent="0.35">
      <c r="A2172" s="198">
        <v>2049</v>
      </c>
      <c r="B2172" s="197" t="s">
        <v>5842</v>
      </c>
      <c r="C2172" s="197">
        <v>1988</v>
      </c>
      <c r="D2172" s="213" t="str">
        <f t="shared" si="24"/>
        <v>2049_1988</v>
      </c>
      <c r="E2172" s="1268">
        <v>0.57376563464012698</v>
      </c>
      <c r="F2172" s="1279">
        <v>1.4433262373112399E-2</v>
      </c>
      <c r="G2172" s="1255">
        <v>4.1350826346087999</v>
      </c>
      <c r="H2172" s="1279">
        <v>0.26988579296836002</v>
      </c>
      <c r="I2172" s="1255">
        <v>0.149560401734146</v>
      </c>
      <c r="J2172" s="1279">
        <v>1.4103053662554299E-4</v>
      </c>
      <c r="K2172" s="1255">
        <v>3.0000008612586699E-3</v>
      </c>
      <c r="L2172" s="1253">
        <v>2.0000005741258801E-3</v>
      </c>
      <c r="M2172" s="1273">
        <v>2.0000005741258801E-3</v>
      </c>
      <c r="N2172" s="1255">
        <v>3.1850009128239903E-2</v>
      </c>
      <c r="O2172" s="1256">
        <v>3.1850009128239903E-2</v>
      </c>
      <c r="P2172" s="1251">
        <v>1.5925004564119952E-2</v>
      </c>
      <c r="Q2172" s="1254">
        <v>0.15632285943610999</v>
      </c>
    </row>
    <row r="2173" spans="1:17" s="212" customFormat="1" ht="15.5" x14ac:dyDescent="0.35">
      <c r="A2173" s="198">
        <v>2049</v>
      </c>
      <c r="B2173" s="197" t="s">
        <v>5842</v>
      </c>
      <c r="C2173" s="197">
        <v>1989</v>
      </c>
      <c r="D2173" s="213" t="str">
        <f t="shared" si="24"/>
        <v>2049_1989</v>
      </c>
      <c r="E2173" s="1268">
        <v>0.57376563464012698</v>
      </c>
      <c r="F2173" s="1279">
        <v>1.4433262373112399E-2</v>
      </c>
      <c r="G2173" s="1255">
        <v>4.1350826346087999</v>
      </c>
      <c r="H2173" s="1279">
        <v>0.26988579296836002</v>
      </c>
      <c r="I2173" s="1255">
        <v>0.149560401734146</v>
      </c>
      <c r="J2173" s="1279">
        <v>1.4103053662554299E-4</v>
      </c>
      <c r="K2173" s="1255">
        <v>3.0000008612586699E-3</v>
      </c>
      <c r="L2173" s="1253">
        <v>2.0000005741258801E-3</v>
      </c>
      <c r="M2173" s="1273">
        <v>2.0000005741258801E-3</v>
      </c>
      <c r="N2173" s="1255">
        <v>3.1850009128239903E-2</v>
      </c>
      <c r="O2173" s="1256">
        <v>3.1850009128239903E-2</v>
      </c>
      <c r="P2173" s="1251">
        <v>1.5925004564119952E-2</v>
      </c>
      <c r="Q2173" s="1254">
        <v>0.15632285943610999</v>
      </c>
    </row>
    <row r="2174" spans="1:17" s="212" customFormat="1" ht="15.5" x14ac:dyDescent="0.35">
      <c r="A2174" s="198">
        <v>2049</v>
      </c>
      <c r="B2174" s="197" t="s">
        <v>5842</v>
      </c>
      <c r="C2174" s="197">
        <v>1990</v>
      </c>
      <c r="D2174" s="213" t="str">
        <f t="shared" si="24"/>
        <v>2049_1990</v>
      </c>
      <c r="E2174" s="1268">
        <v>0.57376563464012698</v>
      </c>
      <c r="F2174" s="1279">
        <v>1.4433262373112399E-2</v>
      </c>
      <c r="G2174" s="1255">
        <v>4.1350826346087999</v>
      </c>
      <c r="H2174" s="1279">
        <v>0.26988579296836002</v>
      </c>
      <c r="I2174" s="1255">
        <v>0.149560401734146</v>
      </c>
      <c r="J2174" s="1279">
        <v>1.4103053662554299E-4</v>
      </c>
      <c r="K2174" s="1255">
        <v>3.0000008612586699E-3</v>
      </c>
      <c r="L2174" s="1253">
        <v>2.0000005741258801E-3</v>
      </c>
      <c r="M2174" s="1273">
        <v>2.0000005741258801E-3</v>
      </c>
      <c r="N2174" s="1255">
        <v>3.1850009128239903E-2</v>
      </c>
      <c r="O2174" s="1256">
        <v>3.1850009128239903E-2</v>
      </c>
      <c r="P2174" s="1251">
        <v>1.5925004564119952E-2</v>
      </c>
      <c r="Q2174" s="1254">
        <v>0.15632285943610999</v>
      </c>
    </row>
    <row r="2175" spans="1:17" s="212" customFormat="1" ht="15.5" x14ac:dyDescent="0.35">
      <c r="A2175" s="198">
        <v>2049</v>
      </c>
      <c r="B2175" s="197" t="s">
        <v>5842</v>
      </c>
      <c r="C2175" s="197">
        <v>1991</v>
      </c>
      <c r="D2175" s="213" t="str">
        <f t="shared" si="24"/>
        <v>2049_1991</v>
      </c>
      <c r="E2175" s="1268">
        <v>0.57376563464012698</v>
      </c>
      <c r="F2175" s="1279">
        <v>1.4433262373112399E-2</v>
      </c>
      <c r="G2175" s="1255">
        <v>4.1350826346087999</v>
      </c>
      <c r="H2175" s="1279">
        <v>0.26988579296836002</v>
      </c>
      <c r="I2175" s="1255">
        <v>0.149560401734146</v>
      </c>
      <c r="J2175" s="1279">
        <v>1.4103053662554299E-4</v>
      </c>
      <c r="K2175" s="1255">
        <v>3.0000008612586699E-3</v>
      </c>
      <c r="L2175" s="1253">
        <v>2.0000005741258801E-3</v>
      </c>
      <c r="M2175" s="1273">
        <v>2.0000005741258801E-3</v>
      </c>
      <c r="N2175" s="1255">
        <v>3.1850009128239903E-2</v>
      </c>
      <c r="O2175" s="1256">
        <v>3.1850009128239903E-2</v>
      </c>
      <c r="P2175" s="1251">
        <v>1.5925004564119952E-2</v>
      </c>
      <c r="Q2175" s="1254">
        <v>0.15632285943610999</v>
      </c>
    </row>
    <row r="2176" spans="1:17" s="212" customFormat="1" ht="15.5" x14ac:dyDescent="0.35">
      <c r="A2176" s="198">
        <v>2049</v>
      </c>
      <c r="B2176" s="197" t="s">
        <v>5842</v>
      </c>
      <c r="C2176" s="197">
        <v>1992</v>
      </c>
      <c r="D2176" s="213" t="str">
        <f t="shared" si="24"/>
        <v>2049_1992</v>
      </c>
      <c r="E2176" s="1268">
        <v>0.57376563464012698</v>
      </c>
      <c r="F2176" s="1279">
        <v>1.4433262373112399E-2</v>
      </c>
      <c r="G2176" s="1255">
        <v>4.1350826346087999</v>
      </c>
      <c r="H2176" s="1279">
        <v>0.26988579296836002</v>
      </c>
      <c r="I2176" s="1255">
        <v>0.149560401734146</v>
      </c>
      <c r="J2176" s="1279">
        <v>1.4103053662554299E-4</v>
      </c>
      <c r="K2176" s="1255">
        <v>3.0000008612586699E-3</v>
      </c>
      <c r="L2176" s="1253">
        <v>2.0000005741258801E-3</v>
      </c>
      <c r="M2176" s="1273">
        <v>2.0000005741258801E-3</v>
      </c>
      <c r="N2176" s="1255">
        <v>3.1850009128239903E-2</v>
      </c>
      <c r="O2176" s="1256">
        <v>3.1850009128239903E-2</v>
      </c>
      <c r="P2176" s="1251">
        <v>1.5925004564119952E-2</v>
      </c>
      <c r="Q2176" s="1254">
        <v>0.15632285943610999</v>
      </c>
    </row>
    <row r="2177" spans="1:17" s="212" customFormat="1" ht="15.5" x14ac:dyDescent="0.35">
      <c r="A2177" s="198">
        <v>2049</v>
      </c>
      <c r="B2177" s="197" t="s">
        <v>5842</v>
      </c>
      <c r="C2177" s="197">
        <v>1993</v>
      </c>
      <c r="D2177" s="213" t="str">
        <f t="shared" si="24"/>
        <v>2049_1993</v>
      </c>
      <c r="E2177" s="1268">
        <v>0.57376563464012698</v>
      </c>
      <c r="F2177" s="1279">
        <v>1.4433262373112399E-2</v>
      </c>
      <c r="G2177" s="1255">
        <v>4.1350826346087999</v>
      </c>
      <c r="H2177" s="1279">
        <v>0.26988579296836002</v>
      </c>
      <c r="I2177" s="1255">
        <v>0.149560401734146</v>
      </c>
      <c r="J2177" s="1279">
        <v>1.4103053662554299E-4</v>
      </c>
      <c r="K2177" s="1255">
        <v>3.0000008612586699E-3</v>
      </c>
      <c r="L2177" s="1253">
        <v>2.0000005741258801E-3</v>
      </c>
      <c r="M2177" s="1273">
        <v>2.0000005741258801E-3</v>
      </c>
      <c r="N2177" s="1255">
        <v>3.1850009128239903E-2</v>
      </c>
      <c r="O2177" s="1256">
        <v>3.1850009128239903E-2</v>
      </c>
      <c r="P2177" s="1251">
        <v>1.5925004564119952E-2</v>
      </c>
      <c r="Q2177" s="1254">
        <v>0.15632285943610999</v>
      </c>
    </row>
    <row r="2178" spans="1:17" s="212" customFormat="1" ht="15.5" x14ac:dyDescent="0.35">
      <c r="A2178" s="198">
        <v>2049</v>
      </c>
      <c r="B2178" s="197" t="s">
        <v>5842</v>
      </c>
      <c r="C2178" s="197">
        <v>1994</v>
      </c>
      <c r="D2178" s="213" t="str">
        <f t="shared" si="24"/>
        <v>2049_1994</v>
      </c>
      <c r="E2178" s="1268">
        <v>0.57376563464012698</v>
      </c>
      <c r="F2178" s="1279">
        <v>1.4433262373112399E-2</v>
      </c>
      <c r="G2178" s="1255">
        <v>4.1350826346087999</v>
      </c>
      <c r="H2178" s="1279">
        <v>0.26988579296836002</v>
      </c>
      <c r="I2178" s="1255">
        <v>0.149560401734146</v>
      </c>
      <c r="J2178" s="1279">
        <v>1.4103053662554299E-4</v>
      </c>
      <c r="K2178" s="1255">
        <v>3.0000008612586699E-3</v>
      </c>
      <c r="L2178" s="1253">
        <v>2.0000005741258801E-3</v>
      </c>
      <c r="M2178" s="1273">
        <v>2.0000005741258801E-3</v>
      </c>
      <c r="N2178" s="1255">
        <v>3.1850009128239903E-2</v>
      </c>
      <c r="O2178" s="1256">
        <v>3.1850009128239903E-2</v>
      </c>
      <c r="P2178" s="1251">
        <v>1.5925004564119952E-2</v>
      </c>
      <c r="Q2178" s="1254">
        <v>0.15632285943610999</v>
      </c>
    </row>
    <row r="2179" spans="1:17" s="212" customFormat="1" ht="15.5" x14ac:dyDescent="0.35">
      <c r="A2179" s="198">
        <v>2049</v>
      </c>
      <c r="B2179" s="197" t="s">
        <v>5842</v>
      </c>
      <c r="C2179" s="197">
        <v>1995</v>
      </c>
      <c r="D2179" s="213" t="str">
        <f t="shared" si="24"/>
        <v>2049_1995</v>
      </c>
      <c r="E2179" s="1268">
        <v>0.57376563464012698</v>
      </c>
      <c r="F2179" s="1279">
        <v>1.4433262373112399E-2</v>
      </c>
      <c r="G2179" s="1255">
        <v>4.1350826346087999</v>
      </c>
      <c r="H2179" s="1279">
        <v>0.26988579296836002</v>
      </c>
      <c r="I2179" s="1255">
        <v>0.149560401734146</v>
      </c>
      <c r="J2179" s="1279">
        <v>1.4103053662554299E-4</v>
      </c>
      <c r="K2179" s="1255">
        <v>3.0000008612586699E-3</v>
      </c>
      <c r="L2179" s="1253">
        <v>2.0000005741258801E-3</v>
      </c>
      <c r="M2179" s="1273">
        <v>2.0000005741258801E-3</v>
      </c>
      <c r="N2179" s="1255">
        <v>3.1850009128239903E-2</v>
      </c>
      <c r="O2179" s="1256">
        <v>3.1850009128239903E-2</v>
      </c>
      <c r="P2179" s="1251">
        <v>1.5925004564119952E-2</v>
      </c>
      <c r="Q2179" s="1254">
        <v>0.15632285943610999</v>
      </c>
    </row>
    <row r="2180" spans="1:17" s="212" customFormat="1" ht="15.5" x14ac:dyDescent="0.35">
      <c r="A2180" s="198">
        <v>2049</v>
      </c>
      <c r="B2180" s="197" t="s">
        <v>5842</v>
      </c>
      <c r="C2180" s="197">
        <v>1996</v>
      </c>
      <c r="D2180" s="213" t="str">
        <f t="shared" si="24"/>
        <v>2049_1996</v>
      </c>
      <c r="E2180" s="1268">
        <v>0.57376563464012698</v>
      </c>
      <c r="F2180" s="1279">
        <v>1.4433262373112399E-2</v>
      </c>
      <c r="G2180" s="1255">
        <v>4.1350826346087999</v>
      </c>
      <c r="H2180" s="1279">
        <v>0.26988579296836002</v>
      </c>
      <c r="I2180" s="1255">
        <v>0.149560401734146</v>
      </c>
      <c r="J2180" s="1279">
        <v>1.4103053662554299E-4</v>
      </c>
      <c r="K2180" s="1255">
        <v>3.0000008612586699E-3</v>
      </c>
      <c r="L2180" s="1253">
        <v>2.0000005741258801E-3</v>
      </c>
      <c r="M2180" s="1273">
        <v>2.0000005741258801E-3</v>
      </c>
      <c r="N2180" s="1255">
        <v>3.1850009128239903E-2</v>
      </c>
      <c r="O2180" s="1256">
        <v>3.1850009128239903E-2</v>
      </c>
      <c r="P2180" s="1251">
        <v>1.5925004564119952E-2</v>
      </c>
      <c r="Q2180" s="1254">
        <v>0.15632285943610999</v>
      </c>
    </row>
    <row r="2181" spans="1:17" s="212" customFormat="1" ht="15.5" x14ac:dyDescent="0.35">
      <c r="A2181" s="198">
        <v>2049</v>
      </c>
      <c r="B2181" s="197" t="s">
        <v>5842</v>
      </c>
      <c r="C2181" s="197">
        <v>1997</v>
      </c>
      <c r="D2181" s="213" t="str">
        <f t="shared" si="24"/>
        <v>2049_1997</v>
      </c>
      <c r="E2181" s="1268">
        <v>0.57376563464012698</v>
      </c>
      <c r="F2181" s="1279">
        <v>1.4433262373112399E-2</v>
      </c>
      <c r="G2181" s="1255">
        <v>4.1350826346087999</v>
      </c>
      <c r="H2181" s="1279">
        <v>0.26988579296836002</v>
      </c>
      <c r="I2181" s="1255">
        <v>0.149560401734146</v>
      </c>
      <c r="J2181" s="1279">
        <v>1.4103053662554299E-4</v>
      </c>
      <c r="K2181" s="1255">
        <v>3.0000008612586699E-3</v>
      </c>
      <c r="L2181" s="1253">
        <v>2.0000005741258801E-3</v>
      </c>
      <c r="M2181" s="1273">
        <v>2.0000005741258801E-3</v>
      </c>
      <c r="N2181" s="1255">
        <v>3.1850009128239903E-2</v>
      </c>
      <c r="O2181" s="1256">
        <v>3.1850009128239903E-2</v>
      </c>
      <c r="P2181" s="1251">
        <v>1.5925004564119952E-2</v>
      </c>
      <c r="Q2181" s="1254">
        <v>0.15632285943610999</v>
      </c>
    </row>
    <row r="2182" spans="1:17" s="212" customFormat="1" ht="15.5" x14ac:dyDescent="0.35">
      <c r="A2182" s="198">
        <v>2049</v>
      </c>
      <c r="B2182" s="197" t="s">
        <v>5842</v>
      </c>
      <c r="C2182" s="197">
        <v>1998</v>
      </c>
      <c r="D2182" s="213" t="str">
        <f t="shared" si="24"/>
        <v>2049_1998</v>
      </c>
      <c r="E2182" s="1268">
        <v>0.57376563464012698</v>
      </c>
      <c r="F2182" s="1279">
        <v>1.4433262373112399E-2</v>
      </c>
      <c r="G2182" s="1255">
        <v>4.1350826346087999</v>
      </c>
      <c r="H2182" s="1279">
        <v>0.26988579296836002</v>
      </c>
      <c r="I2182" s="1255">
        <v>0.149560401734146</v>
      </c>
      <c r="J2182" s="1279">
        <v>1.4103053662554299E-4</v>
      </c>
      <c r="K2182" s="1255">
        <v>3.0000008612586699E-3</v>
      </c>
      <c r="L2182" s="1253">
        <v>2.0000005741258801E-3</v>
      </c>
      <c r="M2182" s="1273">
        <v>2.0000005741258801E-3</v>
      </c>
      <c r="N2182" s="1255">
        <v>3.1850009128239903E-2</v>
      </c>
      <c r="O2182" s="1256">
        <v>3.1850009128239903E-2</v>
      </c>
      <c r="P2182" s="1251">
        <v>1.5925004564119952E-2</v>
      </c>
      <c r="Q2182" s="1254">
        <v>0.15632285943610999</v>
      </c>
    </row>
    <row r="2183" spans="1:17" s="212" customFormat="1" ht="15.5" x14ac:dyDescent="0.35">
      <c r="A2183" s="198">
        <v>2049</v>
      </c>
      <c r="B2183" s="197" t="s">
        <v>5842</v>
      </c>
      <c r="C2183" s="197">
        <v>1999</v>
      </c>
      <c r="D2183" s="213" t="str">
        <f t="shared" si="24"/>
        <v>2049_1999</v>
      </c>
      <c r="E2183" s="1268">
        <v>0.57376563464012698</v>
      </c>
      <c r="F2183" s="1279">
        <v>1.4433262373112399E-2</v>
      </c>
      <c r="G2183" s="1255">
        <v>4.1350826346087999</v>
      </c>
      <c r="H2183" s="1279">
        <v>0.26988579296836002</v>
      </c>
      <c r="I2183" s="1255">
        <v>0.149560401734146</v>
      </c>
      <c r="J2183" s="1279">
        <v>1.4103053662554299E-4</v>
      </c>
      <c r="K2183" s="1255">
        <v>3.0000008612586699E-3</v>
      </c>
      <c r="L2183" s="1253">
        <v>2.0000005741258801E-3</v>
      </c>
      <c r="M2183" s="1273">
        <v>2.0000005741258801E-3</v>
      </c>
      <c r="N2183" s="1255">
        <v>3.1850009128239903E-2</v>
      </c>
      <c r="O2183" s="1256">
        <v>3.1850009128239903E-2</v>
      </c>
      <c r="P2183" s="1251">
        <v>1.5925004564119952E-2</v>
      </c>
      <c r="Q2183" s="1254">
        <v>0.15632285943610999</v>
      </c>
    </row>
    <row r="2184" spans="1:17" s="212" customFormat="1" ht="15.5" x14ac:dyDescent="0.35">
      <c r="A2184" s="198">
        <v>2049</v>
      </c>
      <c r="B2184" s="197" t="s">
        <v>5842</v>
      </c>
      <c r="C2184" s="197">
        <v>2000</v>
      </c>
      <c r="D2184" s="213" t="str">
        <f t="shared" si="24"/>
        <v>2049_2000</v>
      </c>
      <c r="E2184" s="1268">
        <v>0.57376563464012698</v>
      </c>
      <c r="F2184" s="1279">
        <v>1.4433262373112399E-2</v>
      </c>
      <c r="G2184" s="1255">
        <v>4.1350826346087999</v>
      </c>
      <c r="H2184" s="1279">
        <v>0.26988579296836002</v>
      </c>
      <c r="I2184" s="1255">
        <v>0.149560401734146</v>
      </c>
      <c r="J2184" s="1279">
        <v>1.4103053662554299E-4</v>
      </c>
      <c r="K2184" s="1255">
        <v>3.0000008612586699E-3</v>
      </c>
      <c r="L2184" s="1253">
        <v>2.0000005741258801E-3</v>
      </c>
      <c r="M2184" s="1273">
        <v>2.0000005741258801E-3</v>
      </c>
      <c r="N2184" s="1255">
        <v>3.1850009128239903E-2</v>
      </c>
      <c r="O2184" s="1256">
        <v>3.1850009128239903E-2</v>
      </c>
      <c r="P2184" s="1251">
        <v>1.5925004564119952E-2</v>
      </c>
      <c r="Q2184" s="1254">
        <v>0.15632285943610999</v>
      </c>
    </row>
    <row r="2185" spans="1:17" s="212" customFormat="1" ht="15.5" x14ac:dyDescent="0.35">
      <c r="A2185" s="198">
        <v>2049</v>
      </c>
      <c r="B2185" s="197" t="s">
        <v>5842</v>
      </c>
      <c r="C2185" s="197">
        <v>2001</v>
      </c>
      <c r="D2185" s="213" t="str">
        <f t="shared" si="24"/>
        <v>2049_2001</v>
      </c>
      <c r="E2185" s="1268">
        <v>0.57376563464012698</v>
      </c>
      <c r="F2185" s="1279">
        <v>1.4433262373112399E-2</v>
      </c>
      <c r="G2185" s="1255">
        <v>4.1350826346087999</v>
      </c>
      <c r="H2185" s="1279">
        <v>0.26988579296836002</v>
      </c>
      <c r="I2185" s="1255">
        <v>0.149560401734146</v>
      </c>
      <c r="J2185" s="1279">
        <v>1.4103053662554299E-4</v>
      </c>
      <c r="K2185" s="1255">
        <v>3.0000008612586699E-3</v>
      </c>
      <c r="L2185" s="1253">
        <v>2.0000005741258801E-3</v>
      </c>
      <c r="M2185" s="1273">
        <v>2.0000005741258801E-3</v>
      </c>
      <c r="N2185" s="1255">
        <v>3.1850009128239903E-2</v>
      </c>
      <c r="O2185" s="1256">
        <v>3.1850009128239903E-2</v>
      </c>
      <c r="P2185" s="1251">
        <v>1.5925004564119952E-2</v>
      </c>
      <c r="Q2185" s="1254">
        <v>0.15632285943610999</v>
      </c>
    </row>
    <row r="2186" spans="1:17" s="212" customFormat="1" ht="15.5" x14ac:dyDescent="0.35">
      <c r="A2186" s="198">
        <v>2049</v>
      </c>
      <c r="B2186" s="197" t="s">
        <v>5842</v>
      </c>
      <c r="C2186" s="197">
        <v>2002</v>
      </c>
      <c r="D2186" s="213" t="str">
        <f t="shared" si="24"/>
        <v>2049_2002</v>
      </c>
      <c r="E2186" s="1268">
        <v>0.57376563464012698</v>
      </c>
      <c r="F2186" s="1279">
        <v>1.4433262373112399E-2</v>
      </c>
      <c r="G2186" s="1255">
        <v>4.1350826346087999</v>
      </c>
      <c r="H2186" s="1279">
        <v>0.26988579296836002</v>
      </c>
      <c r="I2186" s="1255">
        <v>0.149560401734146</v>
      </c>
      <c r="J2186" s="1279">
        <v>1.4103053662554299E-4</v>
      </c>
      <c r="K2186" s="1255">
        <v>3.0000008612586699E-3</v>
      </c>
      <c r="L2186" s="1253">
        <v>2.0000005741258801E-3</v>
      </c>
      <c r="M2186" s="1273">
        <v>2.0000005741258801E-3</v>
      </c>
      <c r="N2186" s="1255">
        <v>3.1850009128239903E-2</v>
      </c>
      <c r="O2186" s="1256">
        <v>3.1850009128239903E-2</v>
      </c>
      <c r="P2186" s="1251">
        <v>1.5925004564119952E-2</v>
      </c>
      <c r="Q2186" s="1254">
        <v>0.15632285943610999</v>
      </c>
    </row>
    <row r="2187" spans="1:17" s="212" customFormat="1" ht="15.5" x14ac:dyDescent="0.35">
      <c r="A2187" s="198">
        <v>2049</v>
      </c>
      <c r="B2187" s="197" t="s">
        <v>5842</v>
      </c>
      <c r="C2187" s="197">
        <v>2003</v>
      </c>
      <c r="D2187" s="213" t="str">
        <f t="shared" si="24"/>
        <v>2049_2003</v>
      </c>
      <c r="E2187" s="1268">
        <v>0.57376563464012698</v>
      </c>
      <c r="F2187" s="1279">
        <v>1.4433262373112399E-2</v>
      </c>
      <c r="G2187" s="1255">
        <v>4.1350826346087999</v>
      </c>
      <c r="H2187" s="1279">
        <v>0.26988579296836002</v>
      </c>
      <c r="I2187" s="1255">
        <v>0.149560401734146</v>
      </c>
      <c r="J2187" s="1279">
        <v>1.4103053662554299E-4</v>
      </c>
      <c r="K2187" s="1255">
        <v>3.0000008612586699E-3</v>
      </c>
      <c r="L2187" s="1253">
        <v>2.0000005741258801E-3</v>
      </c>
      <c r="M2187" s="1273">
        <v>2.0000005741258801E-3</v>
      </c>
      <c r="N2187" s="1255">
        <v>3.1850009128239903E-2</v>
      </c>
      <c r="O2187" s="1256">
        <v>3.1850009128239903E-2</v>
      </c>
      <c r="P2187" s="1251">
        <v>1.5925004564119952E-2</v>
      </c>
      <c r="Q2187" s="1254">
        <v>0.15632285943610999</v>
      </c>
    </row>
    <row r="2188" spans="1:17" s="212" customFormat="1" ht="15.5" x14ac:dyDescent="0.35">
      <c r="A2188" s="198">
        <v>2049</v>
      </c>
      <c r="B2188" s="197" t="s">
        <v>5842</v>
      </c>
      <c r="C2188" s="197">
        <v>2004</v>
      </c>
      <c r="D2188" s="213" t="str">
        <f t="shared" si="24"/>
        <v>2049_2004</v>
      </c>
      <c r="E2188" s="1268">
        <v>0.57376563464012698</v>
      </c>
      <c r="F2188" s="1279">
        <v>1.4433262373112399E-2</v>
      </c>
      <c r="G2188" s="1255">
        <v>4.1350826346087999</v>
      </c>
      <c r="H2188" s="1279">
        <v>0.26988579296836002</v>
      </c>
      <c r="I2188" s="1255">
        <v>0.149560401734146</v>
      </c>
      <c r="J2188" s="1279">
        <v>1.4103053662554299E-4</v>
      </c>
      <c r="K2188" s="1255">
        <v>3.0000008612586699E-3</v>
      </c>
      <c r="L2188" s="1253">
        <v>2.0000005741258801E-3</v>
      </c>
      <c r="M2188" s="1273">
        <v>2.0000005741258801E-3</v>
      </c>
      <c r="N2188" s="1255">
        <v>3.1850009128239903E-2</v>
      </c>
      <c r="O2188" s="1256">
        <v>3.1850009128239903E-2</v>
      </c>
      <c r="P2188" s="1251">
        <v>1.5925004564119952E-2</v>
      </c>
      <c r="Q2188" s="1254">
        <v>0.15632285943610999</v>
      </c>
    </row>
    <row r="2189" spans="1:17" s="212" customFormat="1" ht="15.5" x14ac:dyDescent="0.35">
      <c r="A2189" s="198">
        <v>2049</v>
      </c>
      <c r="B2189" s="197" t="s">
        <v>5842</v>
      </c>
      <c r="C2189" s="197">
        <v>2005</v>
      </c>
      <c r="D2189" s="213" t="str">
        <f t="shared" si="24"/>
        <v>2049_2005</v>
      </c>
      <c r="E2189" s="1267">
        <v>0.57376563464012698</v>
      </c>
      <c r="F2189" s="1278">
        <v>1.4433262373112399E-2</v>
      </c>
      <c r="G2189" s="1248">
        <v>4.1350826346087999</v>
      </c>
      <c r="H2189" s="1278">
        <v>0.26988579296836002</v>
      </c>
      <c r="I2189" s="1248">
        <v>0.149560401734146</v>
      </c>
      <c r="J2189" s="1278">
        <v>1.4103053662554299E-4</v>
      </c>
      <c r="K2189" s="1248">
        <v>3.0000008612586699E-3</v>
      </c>
      <c r="L2189" s="1250">
        <v>2.0000005741258801E-3</v>
      </c>
      <c r="M2189" s="1273">
        <v>2.0000005741258801E-3</v>
      </c>
      <c r="N2189" s="1248">
        <v>3.1850009128239903E-2</v>
      </c>
      <c r="O2189" s="1249">
        <v>3.1850009128239903E-2</v>
      </c>
      <c r="P2189" s="1251">
        <v>1.5925004564119952E-2</v>
      </c>
      <c r="Q2189" s="1252">
        <v>0.15632285943610999</v>
      </c>
    </row>
    <row r="2190" spans="1:17" s="212" customFormat="1" ht="15.5" x14ac:dyDescent="0.35">
      <c r="A2190" s="198">
        <v>2049</v>
      </c>
      <c r="B2190" s="197" t="s">
        <v>5842</v>
      </c>
      <c r="C2190" s="197">
        <v>2006</v>
      </c>
      <c r="D2190" s="213" t="str">
        <f t="shared" si="24"/>
        <v>2049_2006</v>
      </c>
      <c r="E2190" s="1267">
        <v>0.57004906261909105</v>
      </c>
      <c r="F2190" s="1278">
        <v>1.4597906640117E-2</v>
      </c>
      <c r="G2190" s="1248">
        <v>4.1222584329316998</v>
      </c>
      <c r="H2190" s="1278">
        <v>0.271950034860306</v>
      </c>
      <c r="I2190" s="1248">
        <v>0.14872267723007601</v>
      </c>
      <c r="J2190" s="1278">
        <v>1.42039534846703E-4</v>
      </c>
      <c r="K2190" s="1248">
        <v>3.0000008612453902E-3</v>
      </c>
      <c r="L2190" s="1250">
        <v>2.0000005741413001E-3</v>
      </c>
      <c r="M2190" s="1273">
        <v>2.0000005741413001E-3</v>
      </c>
      <c r="N2190" s="1248">
        <v>3.1850009128239903E-2</v>
      </c>
      <c r="O2190" s="1249">
        <v>3.1850009128239903E-2</v>
      </c>
      <c r="P2190" s="1251">
        <v>1.5925004564119952E-2</v>
      </c>
      <c r="Q2190" s="1252">
        <v>0.15544725674731399</v>
      </c>
    </row>
    <row r="2191" spans="1:17" s="212" customFormat="1" ht="15.5" x14ac:dyDescent="0.35">
      <c r="A2191" s="198">
        <v>2049</v>
      </c>
      <c r="B2191" s="197" t="s">
        <v>5842</v>
      </c>
      <c r="C2191" s="197">
        <v>2007</v>
      </c>
      <c r="D2191" s="213" t="str">
        <f t="shared" si="24"/>
        <v>2049_2007</v>
      </c>
      <c r="E2191" s="1267">
        <v>0.33255447589771497</v>
      </c>
      <c r="F2191" s="1278">
        <v>1.4533717300265901E-2</v>
      </c>
      <c r="G2191" s="1248">
        <v>2.4811849145156599</v>
      </c>
      <c r="H2191" s="1278">
        <v>0.27276579797998501</v>
      </c>
      <c r="I2191" s="1248">
        <v>8.73390858491922E-2</v>
      </c>
      <c r="J2191" s="1278">
        <v>1.4506508691787399E-4</v>
      </c>
      <c r="K2191" s="1248">
        <v>3.0000008612483401E-3</v>
      </c>
      <c r="L2191" s="1250">
        <v>2.0000005741944498E-3</v>
      </c>
      <c r="M2191" s="1273">
        <v>2.0000005741944498E-3</v>
      </c>
      <c r="N2191" s="1248">
        <v>3.1850009128239903E-2</v>
      </c>
      <c r="O2191" s="1249">
        <v>3.1850009128239903E-2</v>
      </c>
      <c r="P2191" s="1251">
        <v>1.5925004564119952E-2</v>
      </c>
      <c r="Q2191" s="1252">
        <v>9.1288171749839095E-2</v>
      </c>
    </row>
    <row r="2192" spans="1:17" s="212" customFormat="1" ht="15.5" x14ac:dyDescent="0.35">
      <c r="A2192" s="198">
        <v>2049</v>
      </c>
      <c r="B2192" s="197" t="s">
        <v>5842</v>
      </c>
      <c r="C2192" s="197">
        <v>2008</v>
      </c>
      <c r="D2192" s="213" t="str">
        <f t="shared" si="24"/>
        <v>2049_2008</v>
      </c>
      <c r="E2192" s="1267">
        <v>0.34012103235741897</v>
      </c>
      <c r="F2192" s="1278">
        <v>9.8814370172995592E-3</v>
      </c>
      <c r="G2192" s="1248">
        <v>2.5056706140284302</v>
      </c>
      <c r="H2192" s="1278">
        <v>0.15844548326517899</v>
      </c>
      <c r="I2192" s="1248">
        <v>8.8927504411191099E-2</v>
      </c>
      <c r="J2192" s="1278">
        <v>1.4130406810247201E-4</v>
      </c>
      <c r="K2192" s="1248">
        <v>3.0000008613363599E-3</v>
      </c>
      <c r="L2192" s="1250">
        <v>2.00000057422057E-3</v>
      </c>
      <c r="M2192" s="1273">
        <v>2.00000057422057E-3</v>
      </c>
      <c r="N2192" s="1248">
        <v>3.1850009128239903E-2</v>
      </c>
      <c r="O2192" s="1249">
        <v>3.1850009128239903E-2</v>
      </c>
      <c r="P2192" s="1251">
        <v>1.5925004564119952E-2</v>
      </c>
      <c r="Q2192" s="1252">
        <v>9.2948411550708696E-2</v>
      </c>
    </row>
    <row r="2193" spans="1:17" s="212" customFormat="1" ht="15.5" x14ac:dyDescent="0.35">
      <c r="A2193" s="198">
        <v>2049</v>
      </c>
      <c r="B2193" s="197" t="s">
        <v>5842</v>
      </c>
      <c r="C2193" s="197">
        <v>2009</v>
      </c>
      <c r="D2193" s="213" t="str">
        <f t="shared" si="24"/>
        <v>2049_2009</v>
      </c>
      <c r="E2193" s="1267">
        <v>0.338530903006168</v>
      </c>
      <c r="F2193" s="1278">
        <v>4.8033008224026398E-3</v>
      </c>
      <c r="G2193" s="1248">
        <v>2.5005116594185099</v>
      </c>
      <c r="H2193" s="1278">
        <v>4.2920801708635201E-2</v>
      </c>
      <c r="I2193" s="1248">
        <v>8.8577633589308605E-2</v>
      </c>
      <c r="J2193" s="1278">
        <v>1.29852056642656E-4</v>
      </c>
      <c r="K2193" s="1248">
        <v>3.0000008612960601E-3</v>
      </c>
      <c r="L2193" s="1250">
        <v>2.0000005741641798E-3</v>
      </c>
      <c r="M2193" s="1273">
        <v>2.0000005741641798E-3</v>
      </c>
      <c r="N2193" s="1248">
        <v>3.1850009128239903E-2</v>
      </c>
      <c r="O2193" s="1249">
        <v>3.1850009128239903E-2</v>
      </c>
      <c r="P2193" s="1251">
        <v>1.5925004564119952E-2</v>
      </c>
      <c r="Q2193" s="1252">
        <v>9.2582721122789396E-2</v>
      </c>
    </row>
    <row r="2194" spans="1:17" s="212" customFormat="1" ht="15.5" x14ac:dyDescent="0.35">
      <c r="A2194" s="198">
        <v>2049</v>
      </c>
      <c r="B2194" s="197" t="s">
        <v>5842</v>
      </c>
      <c r="C2194" s="197">
        <v>2010</v>
      </c>
      <c r="D2194" s="213" t="str">
        <f t="shared" si="24"/>
        <v>2049_2010</v>
      </c>
      <c r="E2194" s="1267">
        <v>9.0291150844205206E-2</v>
      </c>
      <c r="F2194" s="1278">
        <v>4.8078049718751001E-3</v>
      </c>
      <c r="G2194" s="1248">
        <v>0.82449414212604599</v>
      </c>
      <c r="H2194" s="1278">
        <v>4.3253350430923501E-2</v>
      </c>
      <c r="I2194" s="1248">
        <v>2.4798663767423599E-2</v>
      </c>
      <c r="J2194" s="1278">
        <v>1.5848911263598899E-4</v>
      </c>
      <c r="K2194" s="1248">
        <v>3.0000008613418E-3</v>
      </c>
      <c r="L2194" s="1250">
        <v>2.00000057414132E-3</v>
      </c>
      <c r="M2194" s="1273">
        <v>2.00000057414132E-3</v>
      </c>
      <c r="N2194" s="1248">
        <v>3.1850009128239903E-2</v>
      </c>
      <c r="O2194" s="1249">
        <v>3.1850009128239903E-2</v>
      </c>
      <c r="P2194" s="1251">
        <v>1.5925004564119952E-2</v>
      </c>
      <c r="Q2194" s="1252">
        <v>2.5919949300545801E-2</v>
      </c>
    </row>
    <row r="2195" spans="1:17" s="212" customFormat="1" ht="15.5" x14ac:dyDescent="0.35">
      <c r="A2195" s="198">
        <v>2049</v>
      </c>
      <c r="B2195" s="197" t="s">
        <v>5842</v>
      </c>
      <c r="C2195" s="197">
        <v>2011</v>
      </c>
      <c r="D2195" s="213" t="str">
        <f t="shared" si="24"/>
        <v>2049_2011</v>
      </c>
      <c r="E2195" s="1267">
        <v>8.9465674280014701E-2</v>
      </c>
      <c r="F2195" s="1278">
        <v>5.0075526045781802E-3</v>
      </c>
      <c r="G2195" s="1248">
        <v>0.82117817914269697</v>
      </c>
      <c r="H2195" s="1278">
        <v>4.3179887288844601E-2</v>
      </c>
      <c r="I2195" s="1248">
        <v>2.46460362756055E-2</v>
      </c>
      <c r="J2195" s="1278">
        <v>2.1686461886149001E-4</v>
      </c>
      <c r="K2195" s="1248">
        <v>3.0000008613134299E-3</v>
      </c>
      <c r="L2195" s="1250">
        <v>2.0000005742413199E-3</v>
      </c>
      <c r="M2195" s="1273">
        <v>2.0000005742413199E-3</v>
      </c>
      <c r="N2195" s="1248">
        <v>3.1850009128239903E-2</v>
      </c>
      <c r="O2195" s="1249">
        <v>3.1850009128239903E-2</v>
      </c>
      <c r="P2195" s="1251">
        <v>1.5925004564119952E-2</v>
      </c>
      <c r="Q2195" s="1252">
        <v>2.5760420670822098E-2</v>
      </c>
    </row>
    <row r="2196" spans="1:17" s="212" customFormat="1" ht="15.5" x14ac:dyDescent="0.35">
      <c r="A2196" s="198">
        <v>2049</v>
      </c>
      <c r="B2196" s="197" t="s">
        <v>5842</v>
      </c>
      <c r="C2196" s="197">
        <v>2012</v>
      </c>
      <c r="D2196" s="213" t="str">
        <f t="shared" si="24"/>
        <v>2049_2012</v>
      </c>
      <c r="E2196" s="1267">
        <v>9.0209251349272102E-2</v>
      </c>
      <c r="F2196" s="1278">
        <v>4.9982749042810602E-3</v>
      </c>
      <c r="G2196" s="1248">
        <v>0.82433911239055102</v>
      </c>
      <c r="H2196" s="1278">
        <v>4.3249621251008001E-2</v>
      </c>
      <c r="I2196" s="1248">
        <v>2.47863893312332E-2</v>
      </c>
      <c r="J2196" s="1278">
        <v>3.1657883352770397E-4</v>
      </c>
      <c r="K2196" s="1248">
        <v>3.00000086137107E-3</v>
      </c>
      <c r="L2196" s="1250">
        <v>2.0000005742495798E-3</v>
      </c>
      <c r="M2196" s="1273">
        <v>2.0000005742495798E-3</v>
      </c>
      <c r="N2196" s="1248">
        <v>3.1850009128239903E-2</v>
      </c>
      <c r="O2196" s="1249">
        <v>3.1850009128239903E-2</v>
      </c>
      <c r="P2196" s="1251">
        <v>1.5925004564119952E-2</v>
      </c>
      <c r="Q2196" s="1252">
        <v>2.5907119868817899E-2</v>
      </c>
    </row>
    <row r="2197" spans="1:17" s="212" customFormat="1" ht="15.5" x14ac:dyDescent="0.35">
      <c r="A2197" s="198">
        <v>2049</v>
      </c>
      <c r="B2197" s="197" t="s">
        <v>5842</v>
      </c>
      <c r="C2197" s="197">
        <v>2013</v>
      </c>
      <c r="D2197" s="213" t="str">
        <f t="shared" si="24"/>
        <v>2049_2013</v>
      </c>
      <c r="E2197" s="1267">
        <v>9.0164714714280905E-2</v>
      </c>
      <c r="F2197" s="1278">
        <v>5.0609525322345E-3</v>
      </c>
      <c r="G2197" s="1248">
        <v>0.82332121718796702</v>
      </c>
      <c r="H2197" s="1278">
        <v>4.3086484745596502E-2</v>
      </c>
      <c r="I2197" s="1248">
        <v>2.4768477266458699E-2</v>
      </c>
      <c r="J2197" s="1278">
        <v>4.7513951921117402E-4</v>
      </c>
      <c r="K2197" s="1248">
        <v>3.0000008613946202E-3</v>
      </c>
      <c r="L2197" s="1250">
        <v>2.0000005742852301E-3</v>
      </c>
      <c r="M2197" s="1273">
        <v>2.0000005742852301E-3</v>
      </c>
      <c r="N2197" s="1248">
        <v>3.1850009128239903E-2</v>
      </c>
      <c r="O2197" s="1249">
        <v>3.1850009128239903E-2</v>
      </c>
      <c r="P2197" s="1251">
        <v>1.5925004564119952E-2</v>
      </c>
      <c r="Q2197" s="1252">
        <v>2.58883978999579E-2</v>
      </c>
    </row>
    <row r="2198" spans="1:17" s="212" customFormat="1" ht="15.5" x14ac:dyDescent="0.35">
      <c r="A2198" s="198">
        <v>2049</v>
      </c>
      <c r="B2198" s="197" t="s">
        <v>5842</v>
      </c>
      <c r="C2198" s="197">
        <v>2014</v>
      </c>
      <c r="D2198" s="213" t="str">
        <f t="shared" si="24"/>
        <v>2049_2014</v>
      </c>
      <c r="E2198" s="1267">
        <v>8.9179839428909696E-2</v>
      </c>
      <c r="F2198" s="1278">
        <v>4.9638213570765699E-3</v>
      </c>
      <c r="G2198" s="1248">
        <v>0.81951152849738296</v>
      </c>
      <c r="H2198" s="1278">
        <v>4.33608647401756E-2</v>
      </c>
      <c r="I2198" s="1248">
        <v>2.45879506168982E-2</v>
      </c>
      <c r="J2198" s="1278">
        <v>6.5973588441575704E-4</v>
      </c>
      <c r="K2198" s="1248">
        <v>3.0000008613305399E-3</v>
      </c>
      <c r="L2198" s="1250">
        <v>2.0000005742400601E-3</v>
      </c>
      <c r="M2198" s="1273">
        <v>2.0000005742400601E-3</v>
      </c>
      <c r="N2198" s="1248">
        <v>3.1850009128239903E-2</v>
      </c>
      <c r="O2198" s="1249">
        <v>3.1850009128239903E-2</v>
      </c>
      <c r="P2198" s="1251">
        <v>1.5925004564119952E-2</v>
      </c>
      <c r="Q2198" s="1252">
        <v>2.5699708636379399E-2</v>
      </c>
    </row>
    <row r="2199" spans="1:17" s="212" customFormat="1" ht="15.5" x14ac:dyDescent="0.35">
      <c r="A2199" s="198">
        <v>2049</v>
      </c>
      <c r="B2199" s="197" t="s">
        <v>5842</v>
      </c>
      <c r="C2199" s="197">
        <v>2015</v>
      </c>
      <c r="D2199" s="213" t="str">
        <f t="shared" si="24"/>
        <v>2049_2015</v>
      </c>
      <c r="E2199" s="1267">
        <v>8.9452188288154905E-2</v>
      </c>
      <c r="F2199" s="1278">
        <v>5.10719297525534E-3</v>
      </c>
      <c r="G2199" s="1248">
        <v>0.82086272644125302</v>
      </c>
      <c r="H2199" s="1278">
        <v>4.3145203022523698E-2</v>
      </c>
      <c r="I2199" s="1248">
        <v>2.4641260659478099E-2</v>
      </c>
      <c r="J2199" s="1278">
        <v>8.3504188794823297E-4</v>
      </c>
      <c r="K2199" s="1248">
        <v>3.0000008613403802E-3</v>
      </c>
      <c r="L2199" s="1250">
        <v>2.0000005742757598E-3</v>
      </c>
      <c r="M2199" s="1273">
        <v>2.0000005742757598E-3</v>
      </c>
      <c r="N2199" s="1248">
        <v>3.1850009128239903E-2</v>
      </c>
      <c r="O2199" s="1249">
        <v>3.1850009128239903E-2</v>
      </c>
      <c r="P2199" s="1251">
        <v>1.5925004564119952E-2</v>
      </c>
      <c r="Q2199" s="1252">
        <v>2.5755429122525E-2</v>
      </c>
    </row>
    <row r="2200" spans="1:17" s="212" customFormat="1" ht="15.5" x14ac:dyDescent="0.35">
      <c r="A2200" s="198">
        <v>2049</v>
      </c>
      <c r="B2200" s="197" t="s">
        <v>5842</v>
      </c>
      <c r="C2200" s="197">
        <v>2016</v>
      </c>
      <c r="D2200" s="213" t="str">
        <f t="shared" si="24"/>
        <v>2049_2016</v>
      </c>
      <c r="E2200" s="1267">
        <v>8.9635754737466294E-2</v>
      </c>
      <c r="F2200" s="1278">
        <v>4.7352423955386302E-3</v>
      </c>
      <c r="G2200" s="1248">
        <v>0.726415415972817</v>
      </c>
      <c r="H2200" s="1278">
        <v>4.0592887431429601E-2</v>
      </c>
      <c r="I2200" s="1248">
        <v>2.4679200739091099E-2</v>
      </c>
      <c r="J2200" s="1278">
        <v>9.60814715344475E-4</v>
      </c>
      <c r="K2200" s="1248">
        <v>3.0000008613548499E-3</v>
      </c>
      <c r="L2200" s="1250">
        <v>2.0000005742572499E-3</v>
      </c>
      <c r="M2200" s="1273">
        <v>2.0000005742572499E-3</v>
      </c>
      <c r="N2200" s="1248">
        <v>3.1850009128239903E-2</v>
      </c>
      <c r="O2200" s="1249">
        <v>3.1850009128239903E-2</v>
      </c>
      <c r="P2200" s="1251">
        <v>1.5925004564119952E-2</v>
      </c>
      <c r="Q2200" s="1252">
        <v>2.5795084684181499E-2</v>
      </c>
    </row>
    <row r="2201" spans="1:17" s="212" customFormat="1" ht="15.5" x14ac:dyDescent="0.35">
      <c r="A2201" s="198">
        <v>2049</v>
      </c>
      <c r="B2201" s="197" t="s">
        <v>5842</v>
      </c>
      <c r="C2201" s="197">
        <v>2017</v>
      </c>
      <c r="D2201" s="213" t="str">
        <f t="shared" si="24"/>
        <v>2049_2017</v>
      </c>
      <c r="E2201" s="1267">
        <v>8.8635034894534906E-2</v>
      </c>
      <c r="F2201" s="1278">
        <v>4.5015282651985396E-3</v>
      </c>
      <c r="G2201" s="1248">
        <v>0.62762649142674198</v>
      </c>
      <c r="H2201" s="1278">
        <v>3.7940211374896803E-2</v>
      </c>
      <c r="I2201" s="1248">
        <v>2.4488344928935601E-2</v>
      </c>
      <c r="J2201" s="1278">
        <v>1.0358929894345699E-3</v>
      </c>
      <c r="K2201" s="1248">
        <v>3.0000008613012301E-3</v>
      </c>
      <c r="L2201" s="1250">
        <v>2.00000057430786E-3</v>
      </c>
      <c r="M2201" s="1273">
        <v>2.00000057430786E-3</v>
      </c>
      <c r="N2201" s="1248">
        <v>3.1850009128239903E-2</v>
      </c>
      <c r="O2201" s="1249">
        <v>3.1850009128239903E-2</v>
      </c>
      <c r="P2201" s="1251">
        <v>1.5925004564119952E-2</v>
      </c>
      <c r="Q2201" s="1252">
        <v>2.5595599221200801E-2</v>
      </c>
    </row>
    <row r="2202" spans="1:17" s="212" customFormat="1" ht="15.5" x14ac:dyDescent="0.35">
      <c r="A2202" s="198">
        <v>2049</v>
      </c>
      <c r="B2202" s="197" t="s">
        <v>5842</v>
      </c>
      <c r="C2202" s="197">
        <v>2018</v>
      </c>
      <c r="D2202" s="213" t="str">
        <f t="shared" si="24"/>
        <v>2049_2018</v>
      </c>
      <c r="E2202" s="1267">
        <v>8.9601474415231502E-2</v>
      </c>
      <c r="F2202" s="1278">
        <v>4.0010398502069201E-3</v>
      </c>
      <c r="G2202" s="1248">
        <v>0.52256022750451103</v>
      </c>
      <c r="H2202" s="1278">
        <v>3.4201177629496898E-2</v>
      </c>
      <c r="I2202" s="1248">
        <v>2.46762487705844E-2</v>
      </c>
      <c r="J2202" s="1278">
        <v>1.0774910482556699E-3</v>
      </c>
      <c r="K2202" s="1248">
        <v>3.0000008613606998E-3</v>
      </c>
      <c r="L2202" s="1250">
        <v>2.0000005742601798E-3</v>
      </c>
      <c r="M2202" s="1273">
        <v>2.0000005742601798E-3</v>
      </c>
      <c r="N2202" s="1248">
        <v>3.1850009128239903E-2</v>
      </c>
      <c r="O2202" s="1249">
        <v>3.1850009128239903E-2</v>
      </c>
      <c r="P2202" s="1251">
        <v>1.5925004564119952E-2</v>
      </c>
      <c r="Q2202" s="1252">
        <v>2.5791999240758E-2</v>
      </c>
    </row>
    <row r="2203" spans="1:17" s="212" customFormat="1" ht="15.5" x14ac:dyDescent="0.35">
      <c r="A2203" s="198">
        <v>2049</v>
      </c>
      <c r="B2203" s="197" t="s">
        <v>5842</v>
      </c>
      <c r="C2203" s="197">
        <v>2019</v>
      </c>
      <c r="D2203" s="213" t="str">
        <f t="shared" si="24"/>
        <v>2049_2019</v>
      </c>
      <c r="E2203" s="1267">
        <v>8.9921858337868102E-2</v>
      </c>
      <c r="F2203" s="1278">
        <v>3.47877801779343E-3</v>
      </c>
      <c r="G2203" s="1248">
        <v>0.45423111761338603</v>
      </c>
      <c r="H2203" s="1278">
        <v>3.03211304287898E-2</v>
      </c>
      <c r="I2203" s="1248">
        <v>2.4737167916697399E-2</v>
      </c>
      <c r="J2203" s="1278">
        <v>1.0998129121872599E-3</v>
      </c>
      <c r="K2203" s="1248">
        <v>3.0000008614097899E-3</v>
      </c>
      <c r="L2203" s="1250">
        <v>2.0000005742155302E-3</v>
      </c>
      <c r="M2203" s="1273">
        <v>2.0000005742155302E-3</v>
      </c>
      <c r="N2203" s="1248">
        <v>3.1850009128239903E-2</v>
      </c>
      <c r="O2203" s="1249">
        <v>3.1850009128239903E-2</v>
      </c>
      <c r="P2203" s="1251">
        <v>1.5925004564119952E-2</v>
      </c>
      <c r="Q2203" s="1252">
        <v>2.5855672880333601E-2</v>
      </c>
    </row>
    <row r="2204" spans="1:17" s="212" customFormat="1" ht="15.5" x14ac:dyDescent="0.35">
      <c r="A2204" s="198">
        <v>2049</v>
      </c>
      <c r="B2204" s="197" t="s">
        <v>5842</v>
      </c>
      <c r="C2204" s="197">
        <v>2020</v>
      </c>
      <c r="D2204" s="213" t="str">
        <f t="shared" si="24"/>
        <v>2049_2020</v>
      </c>
      <c r="E2204" s="1267">
        <v>7.9087673206848605E-2</v>
      </c>
      <c r="F2204" s="1278">
        <v>2.8467862461550599E-3</v>
      </c>
      <c r="G2204" s="1248">
        <v>0.359962029134552</v>
      </c>
      <c r="H2204" s="1278">
        <v>2.6686794287513999E-2</v>
      </c>
      <c r="I2204" s="1248">
        <v>2.26259393920074E-2</v>
      </c>
      <c r="J2204" s="1278">
        <v>1.0865113935083499E-3</v>
      </c>
      <c r="K2204" s="1248">
        <v>3.0000008609822799E-3</v>
      </c>
      <c r="L2204" s="1250">
        <v>2.0000005740854398E-3</v>
      </c>
      <c r="M2204" s="1273">
        <v>2.0000005740854398E-3</v>
      </c>
      <c r="N2204" s="1248">
        <v>3.1850009128239903E-2</v>
      </c>
      <c r="O2204" s="1249">
        <v>3.1850009128239903E-2</v>
      </c>
      <c r="P2204" s="1251">
        <v>1.5925004564119952E-2</v>
      </c>
      <c r="Q2204" s="1252">
        <v>2.3648983970194899E-2</v>
      </c>
    </row>
    <row r="2205" spans="1:17" s="212" customFormat="1" ht="15.5" x14ac:dyDescent="0.35">
      <c r="A2205" s="198">
        <v>2049</v>
      </c>
      <c r="B2205" s="197" t="s">
        <v>5842</v>
      </c>
      <c r="C2205" s="197">
        <v>2021</v>
      </c>
      <c r="D2205" s="213" t="str">
        <f t="shared" si="24"/>
        <v>2049_2021</v>
      </c>
      <c r="E2205" s="1267">
        <v>7.9123488588199398E-2</v>
      </c>
      <c r="F2205" s="1278">
        <v>2.4310326386493201E-3</v>
      </c>
      <c r="G2205" s="1248">
        <v>0.29522658689537001</v>
      </c>
      <c r="H2205" s="1278">
        <v>2.2773112726857201E-2</v>
      </c>
      <c r="I2205" s="1248">
        <v>2.2633143258833199E-2</v>
      </c>
      <c r="J2205" s="1278">
        <v>1.0866803462009601E-3</v>
      </c>
      <c r="K2205" s="1248">
        <v>3.0000008609845702E-3</v>
      </c>
      <c r="L2205" s="1250">
        <v>2.0000005740871598E-3</v>
      </c>
      <c r="M2205" s="1273">
        <v>2.0000005740871598E-3</v>
      </c>
      <c r="N2205" s="1248">
        <v>3.1850009128239903E-2</v>
      </c>
      <c r="O2205" s="1249">
        <v>3.1850009128239903E-2</v>
      </c>
      <c r="P2205" s="1251">
        <v>1.5925004564119952E-2</v>
      </c>
      <c r="Q2205" s="1252">
        <v>2.36565135639118E-2</v>
      </c>
    </row>
    <row r="2206" spans="1:17" s="212" customFormat="1" ht="15.5" x14ac:dyDescent="0.35">
      <c r="A2206" s="198">
        <v>2049</v>
      </c>
      <c r="B2206" s="197" t="s">
        <v>5842</v>
      </c>
      <c r="C2206" s="197">
        <v>2022</v>
      </c>
      <c r="D2206" s="213" t="str">
        <f t="shared" si="24"/>
        <v>2049_2022</v>
      </c>
      <c r="E2206" s="1267">
        <v>7.9157934622514803E-2</v>
      </c>
      <c r="F2206" s="1278">
        <v>2.0150110089653902E-3</v>
      </c>
      <c r="G2206" s="1248">
        <v>0.22913749766529701</v>
      </c>
      <c r="H2206" s="1278">
        <v>1.88630444565243E-2</v>
      </c>
      <c r="I2206" s="1248">
        <v>2.26400661847414E-2</v>
      </c>
      <c r="J2206" s="1278">
        <v>1.0868418152278499E-3</v>
      </c>
      <c r="K2206" s="1248">
        <v>3.0000008609867802E-3</v>
      </c>
      <c r="L2206" s="1250">
        <v>2.00000057408881E-3</v>
      </c>
      <c r="M2206" s="1273">
        <v>2.00000057408881E-3</v>
      </c>
      <c r="N2206" s="1248">
        <v>3.1850009128239903E-2</v>
      </c>
      <c r="O2206" s="1249">
        <v>3.1850009128239903E-2</v>
      </c>
      <c r="P2206" s="1251">
        <v>1.5925004564119952E-2</v>
      </c>
      <c r="Q2206" s="1252">
        <v>2.36637495138096E-2</v>
      </c>
    </row>
    <row r="2207" spans="1:17" s="212" customFormat="1" ht="15.5" x14ac:dyDescent="0.35">
      <c r="A2207" s="198">
        <v>2049</v>
      </c>
      <c r="B2207" s="197" t="s">
        <v>5842</v>
      </c>
      <c r="C2207" s="197">
        <v>2023</v>
      </c>
      <c r="D2207" s="213" t="str">
        <f t="shared" si="24"/>
        <v>2049_2023</v>
      </c>
      <c r="E2207" s="1267">
        <v>7.9191221663551997E-2</v>
      </c>
      <c r="F2207" s="1278">
        <v>2.0162719438650799E-3</v>
      </c>
      <c r="G2207" s="1248">
        <v>0.22918764311520601</v>
      </c>
      <c r="H2207" s="1278">
        <v>1.8862447287597599E-2</v>
      </c>
      <c r="I2207" s="1248">
        <v>2.2646736885297801E-2</v>
      </c>
      <c r="J2207" s="1278">
        <v>1.0869946805543401E-3</v>
      </c>
      <c r="K2207" s="1248">
        <v>3.00000086098891E-3</v>
      </c>
      <c r="L2207" s="1250">
        <v>2.0000005740904098E-3</v>
      </c>
      <c r="M2207" s="1273">
        <v>2.0000005740904098E-3</v>
      </c>
      <c r="N2207" s="1248">
        <v>3.1850009128239903E-2</v>
      </c>
      <c r="O2207" s="1249">
        <v>3.1850009128239903E-2</v>
      </c>
      <c r="P2207" s="1251">
        <v>1.5925004564119952E-2</v>
      </c>
      <c r="Q2207" s="1252">
        <v>2.3670721833844399E-2</v>
      </c>
    </row>
    <row r="2208" spans="1:17" s="212" customFormat="1" ht="15.5" x14ac:dyDescent="0.35">
      <c r="A2208" s="198">
        <v>2049</v>
      </c>
      <c r="B2208" s="197" t="s">
        <v>5842</v>
      </c>
      <c r="C2208" s="197">
        <v>2024</v>
      </c>
      <c r="D2208" s="213" t="str">
        <f t="shared" si="24"/>
        <v>2049_2024</v>
      </c>
      <c r="E2208" s="1267">
        <v>7.9222776348948906E-2</v>
      </c>
      <c r="F2208" s="1278">
        <v>2.0174598063282499E-3</v>
      </c>
      <c r="G2208" s="1248">
        <v>0.229234918026891</v>
      </c>
      <c r="H2208" s="1278">
        <v>1.8861853990607198E-2</v>
      </c>
      <c r="I2208" s="1248">
        <v>2.2653051905175099E-2</v>
      </c>
      <c r="J2208" s="1278">
        <v>1.0871379377437201E-3</v>
      </c>
      <c r="K2208" s="1248">
        <v>3.0000008609909401E-3</v>
      </c>
      <c r="L2208" s="1250">
        <v>2.0000005740919398E-3</v>
      </c>
      <c r="M2208" s="1275">
        <v>2.0000005740209298E-3</v>
      </c>
      <c r="N2208" s="1248">
        <v>3.1850009128239903E-2</v>
      </c>
      <c r="O2208" s="1249">
        <v>3.1850009128239903E-2</v>
      </c>
      <c r="P2208" s="1260">
        <v>1.59250045641199E-2</v>
      </c>
      <c r="Q2208" s="1252">
        <v>2.3677322390897999E-2</v>
      </c>
    </row>
    <row r="2209" spans="1:17" s="212" customFormat="1" ht="15.5" x14ac:dyDescent="0.35">
      <c r="A2209" s="198">
        <v>2049</v>
      </c>
      <c r="B2209" s="197" t="s">
        <v>5842</v>
      </c>
      <c r="C2209" s="197">
        <v>2025</v>
      </c>
      <c r="D2209" s="213" t="str">
        <f t="shared" si="24"/>
        <v>2049_2025</v>
      </c>
      <c r="E2209" s="1267">
        <v>7.9251998937443793E-2</v>
      </c>
      <c r="F2209" s="1278">
        <v>2.01855203227937E-3</v>
      </c>
      <c r="G2209" s="1248">
        <v>0.22927842729959599</v>
      </c>
      <c r="H2209" s="1278">
        <v>1.8861276058027E-2</v>
      </c>
      <c r="I2209" s="1248">
        <v>2.2658891426571799E-2</v>
      </c>
      <c r="J2209" s="1278">
        <v>1.0872688807361799E-3</v>
      </c>
      <c r="K2209" s="1248">
        <v>3.00000086099285E-3</v>
      </c>
      <c r="L2209" s="1250">
        <v>2.0000005740933601E-3</v>
      </c>
      <c r="M2209" s="1275">
        <v>2.00000057402187E-3</v>
      </c>
      <c r="N2209" s="1248">
        <v>3.1850009128239903E-2</v>
      </c>
      <c r="O2209" s="1249">
        <v>3.1850009128239903E-2</v>
      </c>
      <c r="P2209" s="1260">
        <v>1.59250045641199E-2</v>
      </c>
      <c r="Q2209" s="1252">
        <v>2.3683425949539899E-2</v>
      </c>
    </row>
    <row r="2210" spans="1:17" s="212" customFormat="1" ht="15.5" x14ac:dyDescent="0.35">
      <c r="A2210" s="198">
        <v>2049</v>
      </c>
      <c r="B2210" s="197" t="s">
        <v>5842</v>
      </c>
      <c r="C2210" s="197">
        <v>2026</v>
      </c>
      <c r="D2210" s="213" t="str">
        <f t="shared" si="24"/>
        <v>2049_2026</v>
      </c>
      <c r="E2210" s="1267">
        <v>7.9217388523108195E-2</v>
      </c>
      <c r="F2210" s="1278">
        <v>2.01795334814879E-3</v>
      </c>
      <c r="G2210" s="1248">
        <v>0.22902582146936601</v>
      </c>
      <c r="H2210" s="1278">
        <v>1.8833539440418701E-2</v>
      </c>
      <c r="I2210" s="1248">
        <v>2.2615822669086998E-2</v>
      </c>
      <c r="J2210" s="1278">
        <v>1.0874000006832799E-3</v>
      </c>
      <c r="K2210" s="1248">
        <v>3.0000008609947599E-3</v>
      </c>
      <c r="L2210" s="1250">
        <v>2.00000057409479E-3</v>
      </c>
      <c r="M2210" s="1275">
        <v>2.00000057402292E-3</v>
      </c>
      <c r="N2210" s="1248">
        <v>3.1850009128239903E-2</v>
      </c>
      <c r="O2210" s="1249">
        <v>3.1850009128239903E-2</v>
      </c>
      <c r="P2210" s="1260">
        <v>1.59250045641199E-2</v>
      </c>
      <c r="Q2210" s="1252">
        <v>2.3638409813956301E-2</v>
      </c>
    </row>
    <row r="2211" spans="1:17" s="212" customFormat="1" ht="15.5" x14ac:dyDescent="0.35">
      <c r="A2211" s="198">
        <v>2049</v>
      </c>
      <c r="B2211" s="197" t="s">
        <v>5842</v>
      </c>
      <c r="C2211" s="197">
        <v>2027</v>
      </c>
      <c r="D2211" s="213" t="str">
        <f t="shared" si="24"/>
        <v>2049_2027</v>
      </c>
      <c r="E2211" s="1267">
        <v>7.91064945170777E-2</v>
      </c>
      <c r="F2211" s="1278">
        <v>2.0182185211131201E-3</v>
      </c>
      <c r="G2211" s="1248">
        <v>0.22835901286045099</v>
      </c>
      <c r="H2211" s="1278">
        <v>1.8798738677203899E-2</v>
      </c>
      <c r="I2211" s="1248">
        <v>2.25133807350393E-2</v>
      </c>
      <c r="J2211" s="1278">
        <v>1.0875360884109299E-3</v>
      </c>
      <c r="K2211" s="1248">
        <v>3.0000008609967401E-3</v>
      </c>
      <c r="L2211" s="1250">
        <v>2.0000005740962801E-3</v>
      </c>
      <c r="M2211" s="1275">
        <v>2.0000005740242999E-3</v>
      </c>
      <c r="N2211" s="1248">
        <v>3.1850009128239903E-2</v>
      </c>
      <c r="O2211" s="1249">
        <v>3.1850009128239903E-2</v>
      </c>
      <c r="P2211" s="1260">
        <v>1.59250045641199E-2</v>
      </c>
      <c r="Q2211" s="1252">
        <v>2.3531335910230398E-2</v>
      </c>
    </row>
    <row r="2212" spans="1:17" s="212" customFormat="1" ht="15.5" x14ac:dyDescent="0.35">
      <c r="A2212" s="198">
        <v>2049</v>
      </c>
      <c r="B2212" s="197" t="s">
        <v>5842</v>
      </c>
      <c r="C2212" s="197">
        <v>2028</v>
      </c>
      <c r="D2212" s="213" t="str">
        <f t="shared" si="24"/>
        <v>2049_2028</v>
      </c>
      <c r="E2212" s="1267">
        <v>7.8918342593396099E-2</v>
      </c>
      <c r="F2212" s="1278">
        <v>2.0163563363975599E-3</v>
      </c>
      <c r="G2212" s="1248">
        <v>0.227301335348505</v>
      </c>
      <c r="H2212" s="1278">
        <v>1.87278227985463E-2</v>
      </c>
      <c r="I2212" s="1248">
        <v>2.2351346017900502E-2</v>
      </c>
      <c r="J2212" s="1278">
        <v>1.08767411421892E-3</v>
      </c>
      <c r="K2212" s="1248">
        <v>3.0000008609987498E-3</v>
      </c>
      <c r="L2212" s="1250">
        <v>2.0000005740977902E-3</v>
      </c>
      <c r="M2212" s="1275">
        <v>2.0000005740254899E-3</v>
      </c>
      <c r="N2212" s="1248">
        <v>3.1850009128239903E-2</v>
      </c>
      <c r="O2212" s="1249">
        <v>3.1850009128239903E-2</v>
      </c>
      <c r="P2212" s="1260">
        <v>1.59250045641199E-2</v>
      </c>
      <c r="Q2212" s="1252">
        <v>2.3361974702200999E-2</v>
      </c>
    </row>
    <row r="2213" spans="1:17" s="212" customFormat="1" ht="15.5" x14ac:dyDescent="0.35">
      <c r="A2213" s="198">
        <v>2049</v>
      </c>
      <c r="B2213" s="197" t="s">
        <v>5842</v>
      </c>
      <c r="C2213" s="197">
        <v>2029</v>
      </c>
      <c r="D2213" s="213" t="str">
        <f t="shared" si="24"/>
        <v>2049_2029</v>
      </c>
      <c r="E2213" s="1267">
        <v>7.8652471860150897E-2</v>
      </c>
      <c r="F2213" s="1278">
        <v>2.0108428770753998E-3</v>
      </c>
      <c r="G2213" s="1248">
        <v>0.22585212689807599</v>
      </c>
      <c r="H2213" s="1278">
        <v>1.8605051022146601E-2</v>
      </c>
      <c r="I2213" s="1248">
        <v>2.2129600117745198E-2</v>
      </c>
      <c r="J2213" s="1278">
        <v>1.08781318468882E-3</v>
      </c>
      <c r="K2213" s="1248">
        <v>3.0000008610007898E-3</v>
      </c>
      <c r="L2213" s="1250">
        <v>2.0000005740993098E-3</v>
      </c>
      <c r="M2213" s="1275">
        <v>2.0000005740267199E-3</v>
      </c>
      <c r="N2213" s="1248">
        <v>3.1850009128239903E-2</v>
      </c>
      <c r="O2213" s="1249">
        <v>3.1850009128239903E-2</v>
      </c>
      <c r="P2213" s="1260">
        <v>1.59250045641199E-2</v>
      </c>
      <c r="Q2213" s="1252">
        <v>2.3130202436423501E-2</v>
      </c>
    </row>
    <row r="2214" spans="1:17" s="212" customFormat="1" ht="15.5" x14ac:dyDescent="0.35">
      <c r="A2214" s="198">
        <v>2049</v>
      </c>
      <c r="B2214" s="197" t="s">
        <v>5842</v>
      </c>
      <c r="C2214" s="197">
        <v>2030</v>
      </c>
      <c r="D2214" s="213" t="str">
        <f t="shared" si="24"/>
        <v>2049_2030</v>
      </c>
      <c r="E2214" s="1267">
        <v>7.8309110559020997E-2</v>
      </c>
      <c r="F2214" s="1278">
        <v>2.00061341283919E-3</v>
      </c>
      <c r="G2214" s="1248">
        <v>0.22401139504506701</v>
      </c>
      <c r="H2214" s="1278">
        <v>1.8419085535934802E-2</v>
      </c>
      <c r="I2214" s="1248">
        <v>2.1848145412013398E-2</v>
      </c>
      <c r="J2214" s="1278">
        <v>1.0879533895653999E-3</v>
      </c>
      <c r="K2214" s="1248">
        <v>3.0000008610028498E-3</v>
      </c>
      <c r="L2214" s="1250">
        <v>2.0000005741008498E-3</v>
      </c>
      <c r="M2214" s="1275">
        <v>2.0000005740286502E-3</v>
      </c>
      <c r="N2214" s="1248">
        <v>3.1850009128239903E-2</v>
      </c>
      <c r="O2214" s="1249">
        <v>3.1850009128239903E-2</v>
      </c>
      <c r="P2214" s="1260">
        <v>1.59250045641199E-2</v>
      </c>
      <c r="Q2214" s="1252">
        <v>2.2836021597835199E-2</v>
      </c>
    </row>
    <row r="2215" spans="1:17" s="212" customFormat="1" ht="15.5" x14ac:dyDescent="0.35">
      <c r="A2215" s="198">
        <v>2049</v>
      </c>
      <c r="B2215" s="197" t="s">
        <v>5842</v>
      </c>
      <c r="C2215" s="197">
        <v>2031</v>
      </c>
      <c r="D2215" s="213" t="str">
        <f t="shared" si="24"/>
        <v>2049_2031</v>
      </c>
      <c r="E2215" s="1267">
        <v>7.7888529375806703E-2</v>
      </c>
      <c r="F2215" s="1278">
        <v>1.9856167341070199E-3</v>
      </c>
      <c r="G2215" s="1248">
        <v>0.22177942599442699</v>
      </c>
      <c r="H2215" s="1278">
        <v>1.8168845357698801E-2</v>
      </c>
      <c r="I2215" s="1248">
        <v>2.1506998858116098E-2</v>
      </c>
      <c r="J2215" s="1278">
        <v>1.0880962635803999E-3</v>
      </c>
      <c r="K2215" s="1248">
        <v>3.0000008610049601E-3</v>
      </c>
      <c r="L2215" s="1250">
        <v>2.0000005741024301E-3</v>
      </c>
      <c r="M2215" s="1275">
        <v>2.0000005740303398E-3</v>
      </c>
      <c r="N2215" s="1248">
        <v>3.1850009128239903E-2</v>
      </c>
      <c r="O2215" s="1249">
        <v>3.1850009128239903E-2</v>
      </c>
      <c r="P2215" s="1260">
        <v>1.59250045641199E-2</v>
      </c>
      <c r="Q2215" s="1252">
        <v>2.2479449910586102E-2</v>
      </c>
    </row>
    <row r="2216" spans="1:17" s="212" customFormat="1" ht="15.5" x14ac:dyDescent="0.35">
      <c r="A2216" s="198">
        <v>2049</v>
      </c>
      <c r="B2216" s="197" t="s">
        <v>5842</v>
      </c>
      <c r="C2216" s="197">
        <v>2032</v>
      </c>
      <c r="D2216" s="213" t="str">
        <f t="shared" si="24"/>
        <v>2049_2032</v>
      </c>
      <c r="E2216" s="1267">
        <v>7.7390002462149193E-2</v>
      </c>
      <c r="F2216" s="1278">
        <v>1.96714057397582E-3</v>
      </c>
      <c r="G2216" s="1248">
        <v>0.219155179734455</v>
      </c>
      <c r="H2216" s="1278">
        <v>1.7867195360980699E-2</v>
      </c>
      <c r="I2216" s="1248">
        <v>2.1105990612014298E-2</v>
      </c>
      <c r="J2216" s="1278">
        <v>1.08824003978964E-3</v>
      </c>
      <c r="K2216" s="1248">
        <v>3.0000008610070899E-3</v>
      </c>
      <c r="L2216" s="1250">
        <v>2.00000057410403E-3</v>
      </c>
      <c r="M2216" s="1275">
        <v>2.0000005740317701E-3</v>
      </c>
      <c r="N2216" s="1248">
        <v>3.1850009128239903E-2</v>
      </c>
      <c r="O2216" s="1249">
        <v>3.1850009128239903E-2</v>
      </c>
      <c r="P2216" s="1260">
        <v>1.59250045641199E-2</v>
      </c>
      <c r="Q2216" s="1252">
        <v>2.2060309851043299E-2</v>
      </c>
    </row>
    <row r="2217" spans="1:17" s="212" customFormat="1" ht="15.5" x14ac:dyDescent="0.35">
      <c r="A2217" s="198">
        <v>2049</v>
      </c>
      <c r="B2217" s="197" t="s">
        <v>5842</v>
      </c>
      <c r="C2217" s="197">
        <v>2033</v>
      </c>
      <c r="D2217" s="213" t="str">
        <f t="shared" si="24"/>
        <v>2049_2033</v>
      </c>
      <c r="E2217" s="1267">
        <v>7.6813778423790599E-2</v>
      </c>
      <c r="F2217" s="1278">
        <v>1.94788861719321E-3</v>
      </c>
      <c r="G2217" s="1248">
        <v>0.21613872787522601</v>
      </c>
      <c r="H2217" s="1278">
        <v>1.7540999807146899E-2</v>
      </c>
      <c r="I2217" s="1248">
        <v>2.0645122915369501E-2</v>
      </c>
      <c r="J2217" s="1278">
        <v>1.08838522448548E-3</v>
      </c>
      <c r="K2217" s="1248">
        <v>3.0000008610092501E-3</v>
      </c>
      <c r="L2217" s="1250">
        <v>2.0000005741056502E-3</v>
      </c>
      <c r="M2217" s="1275">
        <v>2.0000005740335898E-3</v>
      </c>
      <c r="N2217" s="1248">
        <v>3.1850009128239903E-2</v>
      </c>
      <c r="O2217" s="1249">
        <v>3.1850009128239903E-2</v>
      </c>
      <c r="P2217" s="1260">
        <v>1.59250045641199E-2</v>
      </c>
      <c r="Q2217" s="1252">
        <v>2.1578603762226398E-2</v>
      </c>
    </row>
    <row r="2218" spans="1:17" s="212" customFormat="1" ht="15.5" x14ac:dyDescent="0.35">
      <c r="A2218" s="198">
        <v>2049</v>
      </c>
      <c r="B2218" s="197" t="s">
        <v>5842</v>
      </c>
      <c r="C2218" s="197">
        <v>2034</v>
      </c>
      <c r="D2218" s="213" t="str">
        <f t="shared" si="24"/>
        <v>2049_2034</v>
      </c>
      <c r="E2218" s="1267">
        <v>7.6160158554091806E-2</v>
      </c>
      <c r="F2218" s="1278">
        <v>1.93154287787258E-3</v>
      </c>
      <c r="G2218" s="1248">
        <v>0.212730392571572</v>
      </c>
      <c r="H2218" s="1278">
        <v>1.7226904159504501E-2</v>
      </c>
      <c r="I2218" s="1248">
        <v>2.0124412773064801E-2</v>
      </c>
      <c r="J2218" s="1278">
        <v>1.08853378719013E-3</v>
      </c>
      <c r="K2218" s="1248">
        <v>3.0000008610114601E-3</v>
      </c>
      <c r="L2218" s="1250">
        <v>2.0000005741073099E-3</v>
      </c>
      <c r="M2218" s="1275">
        <v>2.0000005740349398E-3</v>
      </c>
      <c r="N2218" s="1248">
        <v>3.1850009128239903E-2</v>
      </c>
      <c r="O2218" s="1249">
        <v>3.1850009128239903E-2</v>
      </c>
      <c r="P2218" s="1260">
        <v>1.59250045641199E-2</v>
      </c>
      <c r="Q2218" s="1252">
        <v>2.1034349417903699E-2</v>
      </c>
    </row>
    <row r="2219" spans="1:17" s="212" customFormat="1" ht="15.5" x14ac:dyDescent="0.35">
      <c r="A2219" s="198">
        <v>2049</v>
      </c>
      <c r="B2219" s="197" t="s">
        <v>5842</v>
      </c>
      <c r="C2219" s="197">
        <v>2035</v>
      </c>
      <c r="D2219" s="213" t="str">
        <f t="shared" si="24"/>
        <v>2049_2035</v>
      </c>
      <c r="E2219" s="1267">
        <v>7.5428904657192E-2</v>
      </c>
      <c r="F2219" s="1278">
        <v>1.92190643269387E-3</v>
      </c>
      <c r="G2219" s="1248">
        <v>0.208929716705545</v>
      </c>
      <c r="H2219" s="1278">
        <v>1.6962813774837399E-2</v>
      </c>
      <c r="I2219" s="1248">
        <v>1.9543770535663599E-2</v>
      </c>
      <c r="J2219" s="1278">
        <v>1.0886852155845999E-3</v>
      </c>
      <c r="K2219" s="1248">
        <v>3.00000086101374E-3</v>
      </c>
      <c r="L2219" s="1250">
        <v>2.0000005741090099E-3</v>
      </c>
      <c r="M2219" s="1275">
        <v>2.0000005740363098E-3</v>
      </c>
      <c r="N2219" s="1248">
        <v>3.1850009128239903E-2</v>
      </c>
      <c r="O2219" s="1249">
        <v>3.1850009128239903E-2</v>
      </c>
      <c r="P2219" s="1260">
        <v>1.59250045641199E-2</v>
      </c>
      <c r="Q2219" s="1252">
        <v>2.0427453115088999E-2</v>
      </c>
    </row>
    <row r="2220" spans="1:17" s="212" customFormat="1" ht="15.5" x14ac:dyDescent="0.35">
      <c r="A2220" s="198">
        <v>2049</v>
      </c>
      <c r="B2220" s="197" t="s">
        <v>5842</v>
      </c>
      <c r="C2220" s="197">
        <v>2036</v>
      </c>
      <c r="D2220" s="213" t="str">
        <f t="shared" si="24"/>
        <v>2049_2036</v>
      </c>
      <c r="E2220" s="1267">
        <v>7.46199109753337E-2</v>
      </c>
      <c r="F2220" s="1278">
        <v>1.9218142586098E-3</v>
      </c>
      <c r="G2220" s="1248">
        <v>0.20473633210717401</v>
      </c>
      <c r="H2220" s="1278">
        <v>1.67765018379188E-2</v>
      </c>
      <c r="I2220" s="1248">
        <v>1.89031264848178E-2</v>
      </c>
      <c r="J2220" s="1278">
        <v>1.08883929292607E-3</v>
      </c>
      <c r="K2220" s="1248">
        <v>3.0000008610160602E-3</v>
      </c>
      <c r="L2220" s="1250">
        <v>2.0000005741107499E-3</v>
      </c>
      <c r="M2220" s="1275">
        <v>2.00000057403796E-3</v>
      </c>
      <c r="N2220" s="1248">
        <v>3.1850009128239903E-2</v>
      </c>
      <c r="O2220" s="1249">
        <v>3.1850009128239903E-2</v>
      </c>
      <c r="P2220" s="1260">
        <v>1.59250045641199E-2</v>
      </c>
      <c r="Q2220" s="1252">
        <v>1.97578419830798E-2</v>
      </c>
    </row>
    <row r="2221" spans="1:17" s="212" customFormat="1" ht="15.5" x14ac:dyDescent="0.35">
      <c r="A2221" s="198">
        <v>2049</v>
      </c>
      <c r="B2221" s="197" t="s">
        <v>5842</v>
      </c>
      <c r="C2221" s="197">
        <v>2037</v>
      </c>
      <c r="D2221" s="213" t="str">
        <f t="shared" si="24"/>
        <v>2049_2037</v>
      </c>
      <c r="E2221" s="1267">
        <v>7.3732660852371706E-2</v>
      </c>
      <c r="F2221" s="1278">
        <v>1.93198764630421E-3</v>
      </c>
      <c r="G2221" s="1248">
        <v>0.20014942377811601</v>
      </c>
      <c r="H2221" s="1278">
        <v>1.6674161815213501E-2</v>
      </c>
      <c r="I2221" s="1248">
        <v>1.8202343132771699E-2</v>
      </c>
      <c r="J2221" s="1278">
        <v>1.0889944511746001E-3</v>
      </c>
      <c r="K2221" s="1248">
        <v>3.0000008610184198E-3</v>
      </c>
      <c r="L2221" s="1250">
        <v>2.0000005741125102E-3</v>
      </c>
      <c r="M2221" s="1275">
        <v>2.0000005740396501E-3</v>
      </c>
      <c r="N2221" s="1248">
        <v>3.1850009128239903E-2</v>
      </c>
      <c r="O2221" s="1249">
        <v>3.1850009128239903E-2</v>
      </c>
      <c r="P2221" s="1260">
        <v>1.59250045641199E-2</v>
      </c>
      <c r="Q2221" s="1252">
        <v>1.90253723175343E-2</v>
      </c>
    </row>
    <row r="2222" spans="1:17" s="212" customFormat="1" ht="15.5" x14ac:dyDescent="0.35">
      <c r="A2222" s="198">
        <v>2049</v>
      </c>
      <c r="B2222" s="197" t="s">
        <v>5842</v>
      </c>
      <c r="C2222" s="197">
        <v>2038</v>
      </c>
      <c r="D2222" s="213" t="str">
        <f t="shared" si="24"/>
        <v>2049_2038</v>
      </c>
      <c r="E2222" s="1267">
        <v>7.2766565377491099E-2</v>
      </c>
      <c r="F2222" s="1278">
        <v>1.95028840955553E-3</v>
      </c>
      <c r="G2222" s="1248">
        <v>0.19516826642155999</v>
      </c>
      <c r="H2222" s="1278">
        <v>1.6632719647199E-2</v>
      </c>
      <c r="I2222" s="1248">
        <v>1.7441282348249699E-2</v>
      </c>
      <c r="J2222" s="1278">
        <v>1.0891501487622301E-3</v>
      </c>
      <c r="K2222" s="1248">
        <v>3.0000008610207799E-3</v>
      </c>
      <c r="L2222" s="1250">
        <v>2.00000057411428E-3</v>
      </c>
      <c r="M2222" s="1275">
        <v>2.0000005740413601E-3</v>
      </c>
      <c r="N2222" s="1248">
        <v>3.1850009128239903E-2</v>
      </c>
      <c r="O2222" s="1249">
        <v>3.1850009128239903E-2</v>
      </c>
      <c r="P2222" s="1260">
        <v>1.59250045641199E-2</v>
      </c>
      <c r="Q2222" s="1252">
        <v>1.8229899741493399E-2</v>
      </c>
    </row>
    <row r="2223" spans="1:17" s="212" customFormat="1" ht="15.5" x14ac:dyDescent="0.35">
      <c r="A2223" s="198">
        <v>2049</v>
      </c>
      <c r="B2223" s="197" t="s">
        <v>5842</v>
      </c>
      <c r="C2223" s="197">
        <v>2039</v>
      </c>
      <c r="D2223" s="213" t="str">
        <f t="shared" si="24"/>
        <v>2049_2039</v>
      </c>
      <c r="E2223" s="1267">
        <v>7.1722321209651704E-2</v>
      </c>
      <c r="F2223" s="1278">
        <v>1.9718137675528201E-3</v>
      </c>
      <c r="G2223" s="1248">
        <v>0.189793455131434</v>
      </c>
      <c r="H2223" s="1278">
        <v>1.6600414782144701E-2</v>
      </c>
      <c r="I2223" s="1248">
        <v>1.6620004180407499E-2</v>
      </c>
      <c r="J2223" s="1278">
        <v>1.0893088416615499E-3</v>
      </c>
      <c r="K2223" s="1248">
        <v>3.0000008610231998E-3</v>
      </c>
      <c r="L2223" s="1250">
        <v>2.0000005741160902E-3</v>
      </c>
      <c r="M2223" s="1275">
        <v>2.0000005740431598E-3</v>
      </c>
      <c r="N2223" s="1248">
        <v>3.1850009128239903E-2</v>
      </c>
      <c r="O2223" s="1249">
        <v>3.1850009128239903E-2</v>
      </c>
      <c r="P2223" s="1260">
        <v>1.59250045641199E-2</v>
      </c>
      <c r="Q2223" s="1252">
        <v>1.7371487019269199E-2</v>
      </c>
    </row>
    <row r="2224" spans="1:17" s="212" customFormat="1" ht="15.5" x14ac:dyDescent="0.35">
      <c r="A2224" s="198">
        <v>2049</v>
      </c>
      <c r="B2224" s="197" t="s">
        <v>5842</v>
      </c>
      <c r="C2224" s="197">
        <v>2040</v>
      </c>
      <c r="D2224" s="213" t="str">
        <f t="shared" si="24"/>
        <v>2049_2040</v>
      </c>
      <c r="E2224" s="1267">
        <v>7.0599494282774594E-2</v>
      </c>
      <c r="F2224" s="1278">
        <v>1.9901172288898901E-3</v>
      </c>
      <c r="G2224" s="1248">
        <v>0.184024268269008</v>
      </c>
      <c r="H2224" s="1278">
        <v>1.65102001460261E-2</v>
      </c>
      <c r="I2224" s="1248">
        <v>1.5738383475793601E-2</v>
      </c>
      <c r="J2224" s="1278">
        <v>1.08946917167857E-3</v>
      </c>
      <c r="K2224" s="1248">
        <v>3.0000008610256501E-3</v>
      </c>
      <c r="L2224" s="1250">
        <v>2.0000005741179199E-3</v>
      </c>
      <c r="M2224" s="1275">
        <v>2.0000005740447701E-3</v>
      </c>
      <c r="N2224" s="1248">
        <v>3.1850009128239903E-2</v>
      </c>
      <c r="O2224" s="1249">
        <v>3.1850009128239903E-2</v>
      </c>
      <c r="P2224" s="1260">
        <v>1.59250045641199E-2</v>
      </c>
      <c r="Q2224" s="1252">
        <v>1.6450003338526701E-2</v>
      </c>
    </row>
    <row r="2225" spans="1:17" s="212" customFormat="1" ht="15.5" x14ac:dyDescent="0.35">
      <c r="A2225" s="198">
        <v>2049</v>
      </c>
      <c r="B2225" s="197" t="s">
        <v>5842</v>
      </c>
      <c r="C2225" s="197">
        <v>2041</v>
      </c>
      <c r="D2225" s="213" t="str">
        <f t="shared" si="24"/>
        <v>2049_2041</v>
      </c>
      <c r="E2225" s="1267">
        <v>6.9397627576045895E-2</v>
      </c>
      <c r="F2225" s="1278">
        <v>2.0000305668831202E-3</v>
      </c>
      <c r="G2225" s="1248">
        <v>0.177860033652088</v>
      </c>
      <c r="H2225" s="1278">
        <v>1.6308083055607901E-2</v>
      </c>
      <c r="I2225" s="1248">
        <v>1.4796298194574099E-2</v>
      </c>
      <c r="J2225" s="1278">
        <v>1.08963024125464E-3</v>
      </c>
      <c r="K2225" s="1248">
        <v>3.0000008610281E-3</v>
      </c>
      <c r="L2225" s="1250">
        <v>2.00000057411976E-3</v>
      </c>
      <c r="M2225" s="1275">
        <v>2.0000005740464901E-3</v>
      </c>
      <c r="N2225" s="1248">
        <v>3.1850009128239903E-2</v>
      </c>
      <c r="O2225" s="1249">
        <v>3.1850009128239903E-2</v>
      </c>
      <c r="P2225" s="1260">
        <v>1.59250045641199E-2</v>
      </c>
      <c r="Q2225" s="1252">
        <v>1.5465321141332001E-2</v>
      </c>
    </row>
    <row r="2226" spans="1:17" s="212" customFormat="1" ht="15.5" x14ac:dyDescent="0.35">
      <c r="A2226" s="198">
        <v>2049</v>
      </c>
      <c r="B2226" s="197" t="s">
        <v>5842</v>
      </c>
      <c r="C2226" s="197">
        <v>2042</v>
      </c>
      <c r="D2226" s="213" t="str">
        <f t="shared" si="24"/>
        <v>2049_2042</v>
      </c>
      <c r="E2226" s="1267">
        <v>6.8116831419301693E-2</v>
      </c>
      <c r="F2226" s="1278">
        <v>2.0017985878782499E-3</v>
      </c>
      <c r="G2226" s="1248">
        <v>0.17130072797006299</v>
      </c>
      <c r="H2226" s="1278">
        <v>1.5994966785752698E-2</v>
      </c>
      <c r="I2226" s="1248">
        <v>1.37937107723276E-2</v>
      </c>
      <c r="J2226" s="1278">
        <v>1.0897934076223199E-3</v>
      </c>
      <c r="K2226" s="1248">
        <v>3.0000008610305798E-3</v>
      </c>
      <c r="L2226" s="1250">
        <v>2.0000005741216201E-3</v>
      </c>
      <c r="M2226" s="1275">
        <v>2.0000005740484299E-3</v>
      </c>
      <c r="N2226" s="1248">
        <v>3.1850009128239903E-2</v>
      </c>
      <c r="O2226" s="1249">
        <v>3.1850009128239903E-2</v>
      </c>
      <c r="P2226" s="1260">
        <v>1.59250045641199E-2</v>
      </c>
      <c r="Q2226" s="1252">
        <v>1.44174011647672E-2</v>
      </c>
    </row>
    <row r="2227" spans="1:17" s="212" customFormat="1" ht="15.5" x14ac:dyDescent="0.35">
      <c r="A2227" s="198">
        <v>2049</v>
      </c>
      <c r="B2227" s="197" t="s">
        <v>5842</v>
      </c>
      <c r="C2227" s="197">
        <v>2043</v>
      </c>
      <c r="D2227" s="213" t="str">
        <f t="shared" si="24"/>
        <v>2049_2043</v>
      </c>
      <c r="E2227" s="1267">
        <v>6.6756499055727697E-2</v>
      </c>
      <c r="F2227" s="1278">
        <v>2.0056174620246502E-3</v>
      </c>
      <c r="G2227" s="1248">
        <v>0.16434546501893699</v>
      </c>
      <c r="H2227" s="1278">
        <v>1.5673403536387999E-2</v>
      </c>
      <c r="I2227" s="1248">
        <v>1.27304806999247E-2</v>
      </c>
      <c r="J2227" s="1278">
        <v>1.0899567321056001E-3</v>
      </c>
      <c r="K2227" s="1248">
        <v>3.00000086103306E-3</v>
      </c>
      <c r="L2227" s="1250">
        <v>2.0000005741234702E-3</v>
      </c>
      <c r="M2227" s="1275">
        <v>2.0000005740503299E-3</v>
      </c>
      <c r="N2227" s="1248">
        <v>3.1850009128239903E-2</v>
      </c>
      <c r="O2227" s="1249">
        <v>3.1850009128239903E-2</v>
      </c>
      <c r="P2227" s="1260">
        <v>1.59250045641199E-2</v>
      </c>
      <c r="Q2227" s="1252">
        <v>1.33060965465038E-2</v>
      </c>
    </row>
    <row r="2228" spans="1:17" s="212" customFormat="1" ht="15.5" x14ac:dyDescent="0.35">
      <c r="A2228" s="198">
        <v>2049</v>
      </c>
      <c r="B2228" s="197" t="s">
        <v>5842</v>
      </c>
      <c r="C2228" s="197">
        <v>2044</v>
      </c>
      <c r="D2228" s="213" t="str">
        <f t="shared" si="24"/>
        <v>2049_2044</v>
      </c>
      <c r="E2228" s="1267">
        <v>6.5317028808957095E-2</v>
      </c>
      <c r="F2228" s="1278">
        <v>2.0347992733776598E-3</v>
      </c>
      <c r="G2228" s="1248">
        <v>0.156994442695648</v>
      </c>
      <c r="H2228" s="1278">
        <v>1.55793058400433E-2</v>
      </c>
      <c r="I2228" s="1248">
        <v>1.1606599959656599E-2</v>
      </c>
      <c r="J2228" s="1278">
        <v>1.0901217460986201E-3</v>
      </c>
      <c r="K2228" s="1248">
        <v>3.0000008610355602E-3</v>
      </c>
      <c r="L2228" s="1250">
        <v>2.0000005741253502E-3</v>
      </c>
      <c r="M2228" s="1275">
        <v>2.00000057405249E-3</v>
      </c>
      <c r="N2228" s="1248">
        <v>3.1850009128239903E-2</v>
      </c>
      <c r="O2228" s="1249">
        <v>3.1850009128239903E-2</v>
      </c>
      <c r="P2228" s="1260">
        <v>1.59250045641199E-2</v>
      </c>
      <c r="Q2228" s="1252">
        <v>1.2131398906307701E-2</v>
      </c>
    </row>
    <row r="2229" spans="1:17" s="212" customFormat="1" ht="15.5" x14ac:dyDescent="0.35">
      <c r="A2229" s="198">
        <v>2049</v>
      </c>
      <c r="B2229" s="197" t="s">
        <v>5842</v>
      </c>
      <c r="C2229" s="197">
        <v>2045</v>
      </c>
      <c r="D2229" s="213" t="str">
        <f t="shared" si="24"/>
        <v>2049_2045</v>
      </c>
      <c r="E2229" s="1267">
        <v>6.3797240962401205E-2</v>
      </c>
      <c r="F2229" s="1278">
        <v>2.1236951457777099E-3</v>
      </c>
      <c r="G2229" s="1248">
        <v>0.14924638903131099</v>
      </c>
      <c r="H2229" s="1278">
        <v>1.60629057635833E-2</v>
      </c>
      <c r="I2229" s="1248">
        <v>1.0421875635761101E-2</v>
      </c>
      <c r="J2229" s="1278">
        <v>1.0902859898333499E-3</v>
      </c>
      <c r="K2229" s="1248">
        <v>3.0000008610380499E-3</v>
      </c>
      <c r="L2229" s="1250">
        <v>2.0000005741272098E-3</v>
      </c>
      <c r="M2229" s="1275">
        <v>2.0000005740547899E-3</v>
      </c>
      <c r="N2229" s="1248">
        <v>3.1850009128239903E-2</v>
      </c>
      <c r="O2229" s="1249">
        <v>3.1850009128239903E-2</v>
      </c>
      <c r="P2229" s="1260">
        <v>1.59250045641199E-2</v>
      </c>
      <c r="Q2229" s="1252">
        <v>1.0893106605622101E-2</v>
      </c>
    </row>
    <row r="2230" spans="1:17" s="212" customFormat="1" ht="15.5" x14ac:dyDescent="0.35">
      <c r="A2230" s="198">
        <v>2049</v>
      </c>
      <c r="B2230" s="197" t="s">
        <v>5842</v>
      </c>
      <c r="C2230" s="197">
        <v>2046</v>
      </c>
      <c r="D2230" s="213" t="str">
        <f t="shared" si="24"/>
        <v>2049_2046</v>
      </c>
      <c r="E2230" s="1267">
        <v>6.2197535817971203E-2</v>
      </c>
      <c r="F2230" s="1278">
        <v>2.30487139299768E-3</v>
      </c>
      <c r="G2230" s="1248">
        <v>0.141101578104633</v>
      </c>
      <c r="H2230" s="1278">
        <v>1.7459692713214899E-2</v>
      </c>
      <c r="I2230" s="1248">
        <v>9.1763041699165805E-3</v>
      </c>
      <c r="J2230" s="1278">
        <v>1.0904515854240199E-3</v>
      </c>
      <c r="K2230" s="1248">
        <v>3.0000008610405202E-3</v>
      </c>
      <c r="L2230" s="1250">
        <v>2.0000005741290599E-3</v>
      </c>
      <c r="M2230" s="1275">
        <v>2.0000005740571599E-3</v>
      </c>
      <c r="N2230" s="1248">
        <v>3.1850009128239903E-2</v>
      </c>
      <c r="O2230" s="1249">
        <v>3.1850009128239903E-2</v>
      </c>
      <c r="P2230" s="1260">
        <v>1.59250045641199E-2</v>
      </c>
      <c r="Q2230" s="1252">
        <v>9.5912159252335202E-3</v>
      </c>
    </row>
    <row r="2231" spans="1:17" s="212" customFormat="1" ht="15.5" x14ac:dyDescent="0.35">
      <c r="A2231" s="198">
        <v>2049</v>
      </c>
      <c r="B2231" s="197" t="s">
        <v>5842</v>
      </c>
      <c r="C2231" s="197">
        <v>2047</v>
      </c>
      <c r="D2231" s="213" t="str">
        <f t="shared" si="24"/>
        <v>2049_2047</v>
      </c>
      <c r="E2231" s="1267">
        <v>6.05175894520232E-2</v>
      </c>
      <c r="F2231" s="1278">
        <v>2.5761729622856902E-3</v>
      </c>
      <c r="G2231" s="1248">
        <v>0.13255936709670599</v>
      </c>
      <c r="H2231" s="1278">
        <v>1.9762469177545601E-2</v>
      </c>
      <c r="I2231" s="1248">
        <v>7.8697934026576294E-3</v>
      </c>
      <c r="J2231" s="1278">
        <v>1.09061669867894E-3</v>
      </c>
      <c r="K2231" s="1248">
        <v>3.00000086104299E-3</v>
      </c>
      <c r="L2231" s="1250">
        <v>2.00000057413091E-3</v>
      </c>
      <c r="M2231" s="1275">
        <v>2.00000057405953E-3</v>
      </c>
      <c r="N2231" s="1248">
        <v>3.1850009128239903E-2</v>
      </c>
      <c r="O2231" s="1249">
        <v>3.1850009128239903E-2</v>
      </c>
      <c r="P2231" s="1260">
        <v>1.59250045641199E-2</v>
      </c>
      <c r="Q2231" s="1252">
        <v>8.2256305386347994E-3</v>
      </c>
    </row>
    <row r="2232" spans="1:17" s="212" customFormat="1" ht="15.5" x14ac:dyDescent="0.35">
      <c r="A2232" s="198">
        <v>2049</v>
      </c>
      <c r="B2232" s="197" t="s">
        <v>5842</v>
      </c>
      <c r="C2232" s="197">
        <v>2048</v>
      </c>
      <c r="D2232" s="213" t="str">
        <f t="shared" si="24"/>
        <v>2049_2048</v>
      </c>
      <c r="E2232" s="1267">
        <v>5.8757770283281399E-2</v>
      </c>
      <c r="F2232" s="1278">
        <v>2.8350297513602299E-3</v>
      </c>
      <c r="G2232" s="1248">
        <v>0.123620028725864</v>
      </c>
      <c r="H2232" s="1278">
        <v>2.1964453885883799E-2</v>
      </c>
      <c r="I2232" s="1248">
        <v>6.5023182204719801E-3</v>
      </c>
      <c r="J2232" s="1278">
        <v>1.0907845828696801E-3</v>
      </c>
      <c r="K2232" s="1248">
        <v>3.0000008610454698E-3</v>
      </c>
      <c r="L2232" s="1250">
        <v>2.00000057413277E-3</v>
      </c>
      <c r="M2232" s="1275">
        <v>2.00000057406156E-3</v>
      </c>
      <c r="N2232" s="1248">
        <v>3.1850009128239903E-2</v>
      </c>
      <c r="O2232" s="1249">
        <v>3.1850009128239903E-2</v>
      </c>
      <c r="P2232" s="1260">
        <v>1.59250045641199E-2</v>
      </c>
      <c r="Q2232" s="1252">
        <v>6.7963241967919598E-3</v>
      </c>
    </row>
    <row r="2233" spans="1:17" s="212" customFormat="1" ht="15.5" x14ac:dyDescent="0.35">
      <c r="A2233" s="198">
        <v>2049</v>
      </c>
      <c r="B2233" s="197" t="s">
        <v>5842</v>
      </c>
      <c r="C2233" s="197">
        <v>2049</v>
      </c>
      <c r="D2233" s="213" t="str">
        <f t="shared" si="24"/>
        <v>2049_2049</v>
      </c>
      <c r="E2233" s="1267">
        <v>5.6917482710641502E-2</v>
      </c>
      <c r="F2233" s="1278">
        <v>2.7613901027524102E-3</v>
      </c>
      <c r="G2233" s="1248">
        <v>0.11428270571497801</v>
      </c>
      <c r="H2233" s="1278">
        <v>2.0892040399338799E-2</v>
      </c>
      <c r="I2233" s="1248">
        <v>5.0737625095321603E-3</v>
      </c>
      <c r="J2233" s="1278">
        <v>1.09095257876217E-3</v>
      </c>
      <c r="K2233" s="1248">
        <v>3.0000008610479301E-3</v>
      </c>
      <c r="L2233" s="1250">
        <v>2.0000005741346101E-3</v>
      </c>
      <c r="M2233" s="1275">
        <v>2.00000057406108E-3</v>
      </c>
      <c r="N2233" s="1248">
        <v>3.1850009128239903E-2</v>
      </c>
      <c r="O2233" s="1249">
        <v>3.1850009128239903E-2</v>
      </c>
      <c r="P2233" s="1260">
        <v>1.59250045641199E-2</v>
      </c>
      <c r="Q2233" s="1252">
        <v>5.3031755357255198E-3</v>
      </c>
    </row>
    <row r="2234" spans="1:17" s="212" customFormat="1" ht="15.5" x14ac:dyDescent="0.35">
      <c r="A2234" s="198">
        <v>2049</v>
      </c>
      <c r="B2234" s="197" t="s">
        <v>5842</v>
      </c>
      <c r="C2234" s="197">
        <v>2050</v>
      </c>
      <c r="D2234" s="213" t="str">
        <f t="shared" si="24"/>
        <v>2049_2050</v>
      </c>
      <c r="E2234" s="1268">
        <v>5.6917482710641502E-2</v>
      </c>
      <c r="F2234" s="1279">
        <v>2.7613901027524102E-3</v>
      </c>
      <c r="G2234" s="1255">
        <v>0.11428270571497801</v>
      </c>
      <c r="H2234" s="1279">
        <v>2.0892040399338799E-2</v>
      </c>
      <c r="I2234" s="1255">
        <v>5.0737625095321603E-3</v>
      </c>
      <c r="J2234" s="1279">
        <v>1.09095257876217E-3</v>
      </c>
      <c r="K2234" s="1255">
        <v>3.0000008610479301E-3</v>
      </c>
      <c r="L2234" s="1253">
        <v>2.0000005741346101E-3</v>
      </c>
      <c r="M2234" s="1273">
        <v>2.00000057406108E-3</v>
      </c>
      <c r="N2234" s="1255">
        <v>3.1850009128239903E-2</v>
      </c>
      <c r="O2234" s="1256">
        <v>3.1850009128239903E-2</v>
      </c>
      <c r="P2234" s="1251">
        <v>1.59250045641199E-2</v>
      </c>
      <c r="Q2234" s="1254">
        <v>5.3031755357255198E-3</v>
      </c>
    </row>
    <row r="2235" spans="1:17" s="212" customFormat="1" ht="15.5" x14ac:dyDescent="0.35">
      <c r="A2235" s="198">
        <v>2050</v>
      </c>
      <c r="B2235" s="197" t="s">
        <v>5842</v>
      </c>
      <c r="C2235" s="197">
        <v>1971</v>
      </c>
      <c r="D2235" s="213" t="str">
        <f t="shared" si="24"/>
        <v>2050_1971</v>
      </c>
      <c r="E2235" s="1268">
        <v>0.57009554281667496</v>
      </c>
      <c r="F2235" s="1279">
        <v>1.4599462239777299E-2</v>
      </c>
      <c r="G2235" s="1255">
        <v>4.1224172610569099</v>
      </c>
      <c r="H2235" s="1279">
        <v>0.27195974547535801</v>
      </c>
      <c r="I2235" s="1255">
        <v>0.14873299864096701</v>
      </c>
      <c r="J2235" s="1279">
        <v>1.42054783693421E-4</v>
      </c>
      <c r="K2235" s="1255">
        <v>3.0000008612456499E-3</v>
      </c>
      <c r="L2235" s="1253">
        <v>2.0000005741415599E-3</v>
      </c>
      <c r="M2235" s="1273">
        <v>2.0000005741415599E-3</v>
      </c>
      <c r="N2235" s="1255">
        <v>3.1850009128239903E-2</v>
      </c>
      <c r="O2235" s="1256">
        <v>3.1850009128239903E-2</v>
      </c>
      <c r="P2235" s="1251">
        <v>1.5925004564119952E-2</v>
      </c>
      <c r="Q2235" s="1254">
        <v>0.155458044846604</v>
      </c>
    </row>
    <row r="2236" spans="1:17" s="212" customFormat="1" ht="15.5" x14ac:dyDescent="0.35">
      <c r="A2236" s="198">
        <v>2050</v>
      </c>
      <c r="B2236" s="197" t="s">
        <v>5842</v>
      </c>
      <c r="C2236" s="197">
        <v>1972</v>
      </c>
      <c r="D2236" s="213" t="str">
        <f t="shared" si="24"/>
        <v>2050_1972</v>
      </c>
      <c r="E2236" s="1268">
        <v>0.57009554281667496</v>
      </c>
      <c r="F2236" s="1279">
        <v>1.4599462239777299E-2</v>
      </c>
      <c r="G2236" s="1255">
        <v>4.1224172610569099</v>
      </c>
      <c r="H2236" s="1279">
        <v>0.27195974547535801</v>
      </c>
      <c r="I2236" s="1255">
        <v>0.14873299864096701</v>
      </c>
      <c r="J2236" s="1279">
        <v>1.42054783693421E-4</v>
      </c>
      <c r="K2236" s="1255">
        <v>3.0000008612456499E-3</v>
      </c>
      <c r="L2236" s="1253">
        <v>2.0000005741415599E-3</v>
      </c>
      <c r="M2236" s="1273">
        <v>2.0000005741415599E-3</v>
      </c>
      <c r="N2236" s="1255">
        <v>3.1850009128239903E-2</v>
      </c>
      <c r="O2236" s="1256">
        <v>3.1850009128239903E-2</v>
      </c>
      <c r="P2236" s="1251">
        <v>1.5925004564119952E-2</v>
      </c>
      <c r="Q2236" s="1254">
        <v>0.155458044846604</v>
      </c>
    </row>
    <row r="2237" spans="1:17" s="212" customFormat="1" ht="15.5" x14ac:dyDescent="0.35">
      <c r="A2237" s="198">
        <v>2050</v>
      </c>
      <c r="B2237" s="197" t="s">
        <v>5842</v>
      </c>
      <c r="C2237" s="197">
        <v>1973</v>
      </c>
      <c r="D2237" s="213" t="str">
        <f t="shared" si="24"/>
        <v>2050_1973</v>
      </c>
      <c r="E2237" s="1268">
        <v>0.57009554281667496</v>
      </c>
      <c r="F2237" s="1279">
        <v>1.4599462239777299E-2</v>
      </c>
      <c r="G2237" s="1255">
        <v>4.1224172610569099</v>
      </c>
      <c r="H2237" s="1279">
        <v>0.27195974547535801</v>
      </c>
      <c r="I2237" s="1255">
        <v>0.14873299864096701</v>
      </c>
      <c r="J2237" s="1279">
        <v>1.42054783693421E-4</v>
      </c>
      <c r="K2237" s="1255">
        <v>3.0000008612456499E-3</v>
      </c>
      <c r="L2237" s="1253">
        <v>2.0000005741415599E-3</v>
      </c>
      <c r="M2237" s="1273">
        <v>2.0000005741415599E-3</v>
      </c>
      <c r="N2237" s="1255">
        <v>3.1850009128239903E-2</v>
      </c>
      <c r="O2237" s="1256">
        <v>3.1850009128239903E-2</v>
      </c>
      <c r="P2237" s="1251">
        <v>1.5925004564119952E-2</v>
      </c>
      <c r="Q2237" s="1254">
        <v>0.155458044846604</v>
      </c>
    </row>
    <row r="2238" spans="1:17" s="212" customFormat="1" ht="15.5" x14ac:dyDescent="0.35">
      <c r="A2238" s="198">
        <v>2050</v>
      </c>
      <c r="B2238" s="197" t="s">
        <v>5842</v>
      </c>
      <c r="C2238" s="197">
        <v>1974</v>
      </c>
      <c r="D2238" s="213" t="str">
        <f t="shared" si="24"/>
        <v>2050_1974</v>
      </c>
      <c r="E2238" s="1268">
        <v>0.57009554281667496</v>
      </c>
      <c r="F2238" s="1279">
        <v>1.4599462239777299E-2</v>
      </c>
      <c r="G2238" s="1255">
        <v>4.1224172610569099</v>
      </c>
      <c r="H2238" s="1279">
        <v>0.27195974547535801</v>
      </c>
      <c r="I2238" s="1255">
        <v>0.14873299864096701</v>
      </c>
      <c r="J2238" s="1279">
        <v>1.42054783693421E-4</v>
      </c>
      <c r="K2238" s="1255">
        <v>3.0000008612456499E-3</v>
      </c>
      <c r="L2238" s="1253">
        <v>2.0000005741415599E-3</v>
      </c>
      <c r="M2238" s="1273">
        <v>2.0000005741415599E-3</v>
      </c>
      <c r="N2238" s="1255">
        <v>3.1850009128239903E-2</v>
      </c>
      <c r="O2238" s="1256">
        <v>3.1850009128239903E-2</v>
      </c>
      <c r="P2238" s="1251">
        <v>1.5925004564119952E-2</v>
      </c>
      <c r="Q2238" s="1254">
        <v>0.155458044846604</v>
      </c>
    </row>
    <row r="2239" spans="1:17" s="212" customFormat="1" ht="15.5" x14ac:dyDescent="0.35">
      <c r="A2239" s="198">
        <v>2050</v>
      </c>
      <c r="B2239" s="197" t="s">
        <v>5842</v>
      </c>
      <c r="C2239" s="197">
        <v>1975</v>
      </c>
      <c r="D2239" s="213" t="str">
        <f t="shared" si="24"/>
        <v>2050_1975</v>
      </c>
      <c r="E2239" s="1268">
        <v>0.57009554281667496</v>
      </c>
      <c r="F2239" s="1279">
        <v>1.4599462239777299E-2</v>
      </c>
      <c r="G2239" s="1255">
        <v>4.1224172610569099</v>
      </c>
      <c r="H2239" s="1279">
        <v>0.27195974547535801</v>
      </c>
      <c r="I2239" s="1255">
        <v>0.14873299864096701</v>
      </c>
      <c r="J2239" s="1279">
        <v>1.42054783693421E-4</v>
      </c>
      <c r="K2239" s="1255">
        <v>3.0000008612456499E-3</v>
      </c>
      <c r="L2239" s="1253">
        <v>2.0000005741415599E-3</v>
      </c>
      <c r="M2239" s="1273">
        <v>2.0000005741415599E-3</v>
      </c>
      <c r="N2239" s="1255">
        <v>3.1850009128239903E-2</v>
      </c>
      <c r="O2239" s="1256">
        <v>3.1850009128239903E-2</v>
      </c>
      <c r="P2239" s="1251">
        <v>1.5925004564119952E-2</v>
      </c>
      <c r="Q2239" s="1254">
        <v>0.155458044846604</v>
      </c>
    </row>
    <row r="2240" spans="1:17" s="212" customFormat="1" ht="15.5" x14ac:dyDescent="0.35">
      <c r="A2240" s="198">
        <v>2050</v>
      </c>
      <c r="B2240" s="197" t="s">
        <v>5842</v>
      </c>
      <c r="C2240" s="197">
        <v>1976</v>
      </c>
      <c r="D2240" s="213" t="str">
        <f t="shared" si="24"/>
        <v>2050_1976</v>
      </c>
      <c r="E2240" s="1268">
        <v>0.57009554281667496</v>
      </c>
      <c r="F2240" s="1279">
        <v>1.4599462239777299E-2</v>
      </c>
      <c r="G2240" s="1255">
        <v>4.1224172610569099</v>
      </c>
      <c r="H2240" s="1279">
        <v>0.27195974547535801</v>
      </c>
      <c r="I2240" s="1255">
        <v>0.14873299864096701</v>
      </c>
      <c r="J2240" s="1279">
        <v>1.42054783693421E-4</v>
      </c>
      <c r="K2240" s="1255">
        <v>3.0000008612456499E-3</v>
      </c>
      <c r="L2240" s="1253">
        <v>2.0000005741415599E-3</v>
      </c>
      <c r="M2240" s="1273">
        <v>2.0000005741415599E-3</v>
      </c>
      <c r="N2240" s="1255">
        <v>3.1850009128239903E-2</v>
      </c>
      <c r="O2240" s="1256">
        <v>3.1850009128239903E-2</v>
      </c>
      <c r="P2240" s="1251">
        <v>1.5925004564119952E-2</v>
      </c>
      <c r="Q2240" s="1254">
        <v>0.155458044846604</v>
      </c>
    </row>
    <row r="2241" spans="1:17" s="212" customFormat="1" ht="15.5" x14ac:dyDescent="0.35">
      <c r="A2241" s="198">
        <v>2050</v>
      </c>
      <c r="B2241" s="197" t="s">
        <v>5842</v>
      </c>
      <c r="C2241" s="197">
        <v>1977</v>
      </c>
      <c r="D2241" s="213" t="str">
        <f t="shared" si="24"/>
        <v>2050_1977</v>
      </c>
      <c r="E2241" s="1268">
        <v>0.57009554281667496</v>
      </c>
      <c r="F2241" s="1279">
        <v>1.4599462239777299E-2</v>
      </c>
      <c r="G2241" s="1255">
        <v>4.1224172610569099</v>
      </c>
      <c r="H2241" s="1279">
        <v>0.27195974547535801</v>
      </c>
      <c r="I2241" s="1255">
        <v>0.14873299864096701</v>
      </c>
      <c r="J2241" s="1279">
        <v>1.42054783693421E-4</v>
      </c>
      <c r="K2241" s="1255">
        <v>3.0000008612456499E-3</v>
      </c>
      <c r="L2241" s="1253">
        <v>2.0000005741415599E-3</v>
      </c>
      <c r="M2241" s="1273">
        <v>2.0000005741415599E-3</v>
      </c>
      <c r="N2241" s="1255">
        <v>3.1850009128239903E-2</v>
      </c>
      <c r="O2241" s="1256">
        <v>3.1850009128239903E-2</v>
      </c>
      <c r="P2241" s="1251">
        <v>1.5925004564119952E-2</v>
      </c>
      <c r="Q2241" s="1254">
        <v>0.155458044846604</v>
      </c>
    </row>
    <row r="2242" spans="1:17" s="212" customFormat="1" ht="15.5" x14ac:dyDescent="0.35">
      <c r="A2242" s="198">
        <v>2050</v>
      </c>
      <c r="B2242" s="197" t="s">
        <v>5842</v>
      </c>
      <c r="C2242" s="197">
        <v>1978</v>
      </c>
      <c r="D2242" s="213" t="str">
        <f t="shared" si="24"/>
        <v>2050_1978</v>
      </c>
      <c r="E2242" s="1268">
        <v>0.57009554281667496</v>
      </c>
      <c r="F2242" s="1279">
        <v>1.4599462239777299E-2</v>
      </c>
      <c r="G2242" s="1255">
        <v>4.1224172610569099</v>
      </c>
      <c r="H2242" s="1279">
        <v>0.27195974547535801</v>
      </c>
      <c r="I2242" s="1255">
        <v>0.14873299864096701</v>
      </c>
      <c r="J2242" s="1279">
        <v>1.42054783693421E-4</v>
      </c>
      <c r="K2242" s="1255">
        <v>3.0000008612456499E-3</v>
      </c>
      <c r="L2242" s="1253">
        <v>2.0000005741415599E-3</v>
      </c>
      <c r="M2242" s="1273">
        <v>2.0000005741415599E-3</v>
      </c>
      <c r="N2242" s="1255">
        <v>3.1850009128239903E-2</v>
      </c>
      <c r="O2242" s="1256">
        <v>3.1850009128239903E-2</v>
      </c>
      <c r="P2242" s="1251">
        <v>1.5925004564119952E-2</v>
      </c>
      <c r="Q2242" s="1254">
        <v>0.155458044846604</v>
      </c>
    </row>
    <row r="2243" spans="1:17" s="212" customFormat="1" ht="15.5" x14ac:dyDescent="0.35">
      <c r="A2243" s="198">
        <v>2050</v>
      </c>
      <c r="B2243" s="197" t="s">
        <v>5842</v>
      </c>
      <c r="C2243" s="197">
        <v>1979</v>
      </c>
      <c r="D2243" s="213" t="str">
        <f t="shared" si="24"/>
        <v>2050_1979</v>
      </c>
      <c r="E2243" s="1268">
        <v>0.57009554281667496</v>
      </c>
      <c r="F2243" s="1279">
        <v>1.4599462239777299E-2</v>
      </c>
      <c r="G2243" s="1255">
        <v>4.1224172610569099</v>
      </c>
      <c r="H2243" s="1279">
        <v>0.27195974547535801</v>
      </c>
      <c r="I2243" s="1255">
        <v>0.14873299864096701</v>
      </c>
      <c r="J2243" s="1279">
        <v>1.42054783693421E-4</v>
      </c>
      <c r="K2243" s="1255">
        <v>3.0000008612456499E-3</v>
      </c>
      <c r="L2243" s="1253">
        <v>2.0000005741415599E-3</v>
      </c>
      <c r="M2243" s="1273">
        <v>2.0000005741415599E-3</v>
      </c>
      <c r="N2243" s="1255">
        <v>3.1850009128239903E-2</v>
      </c>
      <c r="O2243" s="1256">
        <v>3.1850009128239903E-2</v>
      </c>
      <c r="P2243" s="1251">
        <v>1.5925004564119952E-2</v>
      </c>
      <c r="Q2243" s="1254">
        <v>0.155458044846604</v>
      </c>
    </row>
    <row r="2244" spans="1:17" s="212" customFormat="1" ht="15.5" x14ac:dyDescent="0.35">
      <c r="A2244" s="198">
        <v>2050</v>
      </c>
      <c r="B2244" s="197" t="s">
        <v>5842</v>
      </c>
      <c r="C2244" s="197">
        <v>1980</v>
      </c>
      <c r="D2244" s="213" t="str">
        <f t="shared" si="24"/>
        <v>2050_1980</v>
      </c>
      <c r="E2244" s="1268">
        <v>0.57009554281667496</v>
      </c>
      <c r="F2244" s="1279">
        <v>1.4599462239777299E-2</v>
      </c>
      <c r="G2244" s="1255">
        <v>4.1224172610569099</v>
      </c>
      <c r="H2244" s="1279">
        <v>0.27195974547535801</v>
      </c>
      <c r="I2244" s="1255">
        <v>0.14873299864096701</v>
      </c>
      <c r="J2244" s="1279">
        <v>1.42054783693421E-4</v>
      </c>
      <c r="K2244" s="1255">
        <v>3.0000008612456499E-3</v>
      </c>
      <c r="L2244" s="1253">
        <v>2.0000005741415599E-3</v>
      </c>
      <c r="M2244" s="1273">
        <v>2.0000005741415599E-3</v>
      </c>
      <c r="N2244" s="1255">
        <v>3.1850009128239903E-2</v>
      </c>
      <c r="O2244" s="1256">
        <v>3.1850009128239903E-2</v>
      </c>
      <c r="P2244" s="1251">
        <v>1.5925004564119952E-2</v>
      </c>
      <c r="Q2244" s="1254">
        <v>0.155458044846604</v>
      </c>
    </row>
    <row r="2245" spans="1:17" s="212" customFormat="1" ht="15.5" x14ac:dyDescent="0.35">
      <c r="A2245" s="198">
        <v>2050</v>
      </c>
      <c r="B2245" s="197" t="s">
        <v>5842</v>
      </c>
      <c r="C2245" s="197">
        <v>1981</v>
      </c>
      <c r="D2245" s="213" t="str">
        <f t="shared" si="24"/>
        <v>2050_1981</v>
      </c>
      <c r="E2245" s="1268">
        <v>0.57009554281667496</v>
      </c>
      <c r="F2245" s="1279">
        <v>1.4599462239777299E-2</v>
      </c>
      <c r="G2245" s="1255">
        <v>4.1224172610569099</v>
      </c>
      <c r="H2245" s="1279">
        <v>0.27195974547535801</v>
      </c>
      <c r="I2245" s="1255">
        <v>0.14873299864096701</v>
      </c>
      <c r="J2245" s="1279">
        <v>1.42054783693421E-4</v>
      </c>
      <c r="K2245" s="1255">
        <v>3.0000008612456499E-3</v>
      </c>
      <c r="L2245" s="1253">
        <v>2.0000005741415599E-3</v>
      </c>
      <c r="M2245" s="1273">
        <v>2.0000005741415599E-3</v>
      </c>
      <c r="N2245" s="1255">
        <v>3.1850009128239903E-2</v>
      </c>
      <c r="O2245" s="1256">
        <v>3.1850009128239903E-2</v>
      </c>
      <c r="P2245" s="1251">
        <v>1.5925004564119952E-2</v>
      </c>
      <c r="Q2245" s="1254">
        <v>0.155458044846604</v>
      </c>
    </row>
    <row r="2246" spans="1:17" s="212" customFormat="1" ht="15.5" x14ac:dyDescent="0.35">
      <c r="A2246" s="198">
        <v>2050</v>
      </c>
      <c r="B2246" s="197" t="s">
        <v>5842</v>
      </c>
      <c r="C2246" s="197">
        <v>1982</v>
      </c>
      <c r="D2246" s="213" t="str">
        <f t="shared" si="24"/>
        <v>2050_1982</v>
      </c>
      <c r="E2246" s="1268">
        <v>0.57009554281667496</v>
      </c>
      <c r="F2246" s="1279">
        <v>1.4599462239777299E-2</v>
      </c>
      <c r="G2246" s="1255">
        <v>4.1224172610569099</v>
      </c>
      <c r="H2246" s="1279">
        <v>0.27195974547535801</v>
      </c>
      <c r="I2246" s="1255">
        <v>0.14873299864096701</v>
      </c>
      <c r="J2246" s="1279">
        <v>1.42054783693421E-4</v>
      </c>
      <c r="K2246" s="1255">
        <v>3.0000008612456499E-3</v>
      </c>
      <c r="L2246" s="1253">
        <v>2.0000005741415599E-3</v>
      </c>
      <c r="M2246" s="1273">
        <v>2.0000005741415599E-3</v>
      </c>
      <c r="N2246" s="1255">
        <v>3.1850009128239903E-2</v>
      </c>
      <c r="O2246" s="1256">
        <v>3.1850009128239903E-2</v>
      </c>
      <c r="P2246" s="1251">
        <v>1.5925004564119952E-2</v>
      </c>
      <c r="Q2246" s="1254">
        <v>0.155458044846604</v>
      </c>
    </row>
    <row r="2247" spans="1:17" s="212" customFormat="1" ht="15.5" x14ac:dyDescent="0.35">
      <c r="A2247" s="198">
        <v>2050</v>
      </c>
      <c r="B2247" s="197" t="s">
        <v>5842</v>
      </c>
      <c r="C2247" s="197">
        <v>1983</v>
      </c>
      <c r="D2247" s="213" t="str">
        <f t="shared" si="24"/>
        <v>2050_1983</v>
      </c>
      <c r="E2247" s="1268">
        <v>0.57009554281667496</v>
      </c>
      <c r="F2247" s="1279">
        <v>1.4599462239777299E-2</v>
      </c>
      <c r="G2247" s="1255">
        <v>4.1224172610569099</v>
      </c>
      <c r="H2247" s="1279">
        <v>0.27195974547535801</v>
      </c>
      <c r="I2247" s="1255">
        <v>0.14873299864096701</v>
      </c>
      <c r="J2247" s="1279">
        <v>1.42054783693421E-4</v>
      </c>
      <c r="K2247" s="1255">
        <v>3.0000008612456499E-3</v>
      </c>
      <c r="L2247" s="1253">
        <v>2.0000005741415599E-3</v>
      </c>
      <c r="M2247" s="1273">
        <v>2.0000005741415599E-3</v>
      </c>
      <c r="N2247" s="1255">
        <v>3.1850009128239903E-2</v>
      </c>
      <c r="O2247" s="1256">
        <v>3.1850009128239903E-2</v>
      </c>
      <c r="P2247" s="1251">
        <v>1.5925004564119952E-2</v>
      </c>
      <c r="Q2247" s="1254">
        <v>0.155458044846604</v>
      </c>
    </row>
    <row r="2248" spans="1:17" s="212" customFormat="1" ht="15.5" x14ac:dyDescent="0.35">
      <c r="A2248" s="198">
        <v>2050</v>
      </c>
      <c r="B2248" s="197" t="s">
        <v>5842</v>
      </c>
      <c r="C2248" s="197">
        <v>1984</v>
      </c>
      <c r="D2248" s="213" t="str">
        <f t="shared" si="24"/>
        <v>2050_1984</v>
      </c>
      <c r="E2248" s="1268">
        <v>0.57009554281667496</v>
      </c>
      <c r="F2248" s="1279">
        <v>1.4599462239777299E-2</v>
      </c>
      <c r="G2248" s="1255">
        <v>4.1224172610569099</v>
      </c>
      <c r="H2248" s="1279">
        <v>0.27195974547535801</v>
      </c>
      <c r="I2248" s="1255">
        <v>0.14873299864096701</v>
      </c>
      <c r="J2248" s="1279">
        <v>1.42054783693421E-4</v>
      </c>
      <c r="K2248" s="1255">
        <v>3.0000008612456499E-3</v>
      </c>
      <c r="L2248" s="1253">
        <v>2.0000005741415599E-3</v>
      </c>
      <c r="M2248" s="1273">
        <v>2.0000005741415599E-3</v>
      </c>
      <c r="N2248" s="1255">
        <v>3.1850009128239903E-2</v>
      </c>
      <c r="O2248" s="1256">
        <v>3.1850009128239903E-2</v>
      </c>
      <c r="P2248" s="1251">
        <v>1.5925004564119952E-2</v>
      </c>
      <c r="Q2248" s="1254">
        <v>0.155458044846604</v>
      </c>
    </row>
    <row r="2249" spans="1:17" s="212" customFormat="1" ht="15.5" x14ac:dyDescent="0.35">
      <c r="A2249" s="198">
        <v>2050</v>
      </c>
      <c r="B2249" s="197" t="s">
        <v>5842</v>
      </c>
      <c r="C2249" s="197">
        <v>1985</v>
      </c>
      <c r="D2249" s="213" t="str">
        <f t="shared" si="24"/>
        <v>2050_1985</v>
      </c>
      <c r="E2249" s="1268">
        <v>0.57009554281667496</v>
      </c>
      <c r="F2249" s="1279">
        <v>1.4599462239777299E-2</v>
      </c>
      <c r="G2249" s="1255">
        <v>4.1224172610569099</v>
      </c>
      <c r="H2249" s="1279">
        <v>0.27195974547535801</v>
      </c>
      <c r="I2249" s="1255">
        <v>0.14873299864096701</v>
      </c>
      <c r="J2249" s="1279">
        <v>1.42054783693421E-4</v>
      </c>
      <c r="K2249" s="1255">
        <v>3.0000008612456499E-3</v>
      </c>
      <c r="L2249" s="1253">
        <v>2.0000005741415599E-3</v>
      </c>
      <c r="M2249" s="1273">
        <v>2.0000005741415599E-3</v>
      </c>
      <c r="N2249" s="1255">
        <v>3.1850009128239903E-2</v>
      </c>
      <c r="O2249" s="1256">
        <v>3.1850009128239903E-2</v>
      </c>
      <c r="P2249" s="1251">
        <v>1.5925004564119952E-2</v>
      </c>
      <c r="Q2249" s="1254">
        <v>0.155458044846604</v>
      </c>
    </row>
    <row r="2250" spans="1:17" s="212" customFormat="1" ht="15.5" x14ac:dyDescent="0.35">
      <c r="A2250" s="198">
        <v>2050</v>
      </c>
      <c r="B2250" s="197" t="s">
        <v>5842</v>
      </c>
      <c r="C2250" s="197">
        <v>1986</v>
      </c>
      <c r="D2250" s="213" t="str">
        <f t="shared" si="24"/>
        <v>2050_1986</v>
      </c>
      <c r="E2250" s="1268">
        <v>0.57009554281667496</v>
      </c>
      <c r="F2250" s="1279">
        <v>1.4599462239777299E-2</v>
      </c>
      <c r="G2250" s="1255">
        <v>4.1224172610569099</v>
      </c>
      <c r="H2250" s="1279">
        <v>0.27195974547535801</v>
      </c>
      <c r="I2250" s="1255">
        <v>0.14873299864096701</v>
      </c>
      <c r="J2250" s="1279">
        <v>1.42054783693421E-4</v>
      </c>
      <c r="K2250" s="1255">
        <v>3.0000008612456499E-3</v>
      </c>
      <c r="L2250" s="1253">
        <v>2.0000005741415599E-3</v>
      </c>
      <c r="M2250" s="1273">
        <v>2.0000005741415599E-3</v>
      </c>
      <c r="N2250" s="1255">
        <v>3.1850009128239903E-2</v>
      </c>
      <c r="O2250" s="1256">
        <v>3.1850009128239903E-2</v>
      </c>
      <c r="P2250" s="1251">
        <v>1.5925004564119952E-2</v>
      </c>
      <c r="Q2250" s="1254">
        <v>0.155458044846604</v>
      </c>
    </row>
    <row r="2251" spans="1:17" s="212" customFormat="1" ht="15.5" x14ac:dyDescent="0.35">
      <c r="A2251" s="198">
        <v>2050</v>
      </c>
      <c r="B2251" s="197" t="s">
        <v>5842</v>
      </c>
      <c r="C2251" s="197">
        <v>1987</v>
      </c>
      <c r="D2251" s="213" t="str">
        <f t="shared" si="24"/>
        <v>2050_1987</v>
      </c>
      <c r="E2251" s="1268">
        <v>0.57009554281667496</v>
      </c>
      <c r="F2251" s="1279">
        <v>1.4599462239777299E-2</v>
      </c>
      <c r="G2251" s="1255">
        <v>4.1224172610569099</v>
      </c>
      <c r="H2251" s="1279">
        <v>0.27195974547535801</v>
      </c>
      <c r="I2251" s="1255">
        <v>0.14873299864096701</v>
      </c>
      <c r="J2251" s="1279">
        <v>1.42054783693421E-4</v>
      </c>
      <c r="K2251" s="1255">
        <v>3.0000008612456499E-3</v>
      </c>
      <c r="L2251" s="1253">
        <v>2.0000005741415599E-3</v>
      </c>
      <c r="M2251" s="1273">
        <v>2.0000005741415599E-3</v>
      </c>
      <c r="N2251" s="1255">
        <v>3.1850009128239903E-2</v>
      </c>
      <c r="O2251" s="1256">
        <v>3.1850009128239903E-2</v>
      </c>
      <c r="P2251" s="1251">
        <v>1.5925004564119952E-2</v>
      </c>
      <c r="Q2251" s="1254">
        <v>0.155458044846604</v>
      </c>
    </row>
    <row r="2252" spans="1:17" s="212" customFormat="1" ht="15.5" x14ac:dyDescent="0.35">
      <c r="A2252" s="198">
        <v>2050</v>
      </c>
      <c r="B2252" s="197" t="s">
        <v>5842</v>
      </c>
      <c r="C2252" s="197">
        <v>1988</v>
      </c>
      <c r="D2252" s="213" t="str">
        <f t="shared" si="24"/>
        <v>2050_1988</v>
      </c>
      <c r="E2252" s="1268">
        <v>0.57009554281667496</v>
      </c>
      <c r="F2252" s="1279">
        <v>1.4599462239777299E-2</v>
      </c>
      <c r="G2252" s="1255">
        <v>4.1224172610569099</v>
      </c>
      <c r="H2252" s="1279">
        <v>0.27195974547535801</v>
      </c>
      <c r="I2252" s="1255">
        <v>0.14873299864096701</v>
      </c>
      <c r="J2252" s="1279">
        <v>1.42054783693421E-4</v>
      </c>
      <c r="K2252" s="1255">
        <v>3.0000008612456499E-3</v>
      </c>
      <c r="L2252" s="1253">
        <v>2.0000005741415599E-3</v>
      </c>
      <c r="M2252" s="1273">
        <v>2.0000005741415599E-3</v>
      </c>
      <c r="N2252" s="1255">
        <v>3.1850009128239903E-2</v>
      </c>
      <c r="O2252" s="1256">
        <v>3.1850009128239903E-2</v>
      </c>
      <c r="P2252" s="1251">
        <v>1.5925004564119952E-2</v>
      </c>
      <c r="Q2252" s="1254">
        <v>0.155458044846604</v>
      </c>
    </row>
    <row r="2253" spans="1:17" s="212" customFormat="1" ht="15.5" x14ac:dyDescent="0.35">
      <c r="A2253" s="198">
        <v>2050</v>
      </c>
      <c r="B2253" s="197" t="s">
        <v>5842</v>
      </c>
      <c r="C2253" s="197">
        <v>1989</v>
      </c>
      <c r="D2253" s="213" t="str">
        <f t="shared" si="24"/>
        <v>2050_1989</v>
      </c>
      <c r="E2253" s="1268">
        <v>0.57009554281667496</v>
      </c>
      <c r="F2253" s="1279">
        <v>1.4599462239777299E-2</v>
      </c>
      <c r="G2253" s="1255">
        <v>4.1224172610569099</v>
      </c>
      <c r="H2253" s="1279">
        <v>0.27195974547535801</v>
      </c>
      <c r="I2253" s="1255">
        <v>0.14873299864096701</v>
      </c>
      <c r="J2253" s="1279">
        <v>1.42054783693421E-4</v>
      </c>
      <c r="K2253" s="1255">
        <v>3.0000008612456499E-3</v>
      </c>
      <c r="L2253" s="1253">
        <v>2.0000005741415599E-3</v>
      </c>
      <c r="M2253" s="1273">
        <v>2.0000005741415599E-3</v>
      </c>
      <c r="N2253" s="1255">
        <v>3.1850009128239903E-2</v>
      </c>
      <c r="O2253" s="1256">
        <v>3.1850009128239903E-2</v>
      </c>
      <c r="P2253" s="1251">
        <v>1.5925004564119952E-2</v>
      </c>
      <c r="Q2253" s="1254">
        <v>0.155458044846604</v>
      </c>
    </row>
    <row r="2254" spans="1:17" s="212" customFormat="1" ht="15.5" x14ac:dyDescent="0.35">
      <c r="A2254" s="198">
        <v>2050</v>
      </c>
      <c r="B2254" s="197" t="s">
        <v>5842</v>
      </c>
      <c r="C2254" s="197">
        <v>1990</v>
      </c>
      <c r="D2254" s="213" t="str">
        <f t="shared" si="24"/>
        <v>2050_1990</v>
      </c>
      <c r="E2254" s="1268">
        <v>0.57009554281667496</v>
      </c>
      <c r="F2254" s="1279">
        <v>1.4599462239777299E-2</v>
      </c>
      <c r="G2254" s="1255">
        <v>4.1224172610569099</v>
      </c>
      <c r="H2254" s="1279">
        <v>0.27195974547535801</v>
      </c>
      <c r="I2254" s="1255">
        <v>0.14873299864096701</v>
      </c>
      <c r="J2254" s="1279">
        <v>1.42054783693421E-4</v>
      </c>
      <c r="K2254" s="1255">
        <v>3.0000008612456499E-3</v>
      </c>
      <c r="L2254" s="1253">
        <v>2.0000005741415599E-3</v>
      </c>
      <c r="M2254" s="1273">
        <v>2.0000005741415599E-3</v>
      </c>
      <c r="N2254" s="1255">
        <v>3.1850009128239903E-2</v>
      </c>
      <c r="O2254" s="1256">
        <v>3.1850009128239903E-2</v>
      </c>
      <c r="P2254" s="1251">
        <v>1.5925004564119952E-2</v>
      </c>
      <c r="Q2254" s="1254">
        <v>0.155458044846604</v>
      </c>
    </row>
    <row r="2255" spans="1:17" s="212" customFormat="1" ht="15.5" x14ac:dyDescent="0.35">
      <c r="A2255" s="198">
        <v>2050</v>
      </c>
      <c r="B2255" s="197" t="s">
        <v>5842</v>
      </c>
      <c r="C2255" s="197">
        <v>1991</v>
      </c>
      <c r="D2255" s="213" t="str">
        <f t="shared" si="24"/>
        <v>2050_1991</v>
      </c>
      <c r="E2255" s="1268">
        <v>0.57009554281667496</v>
      </c>
      <c r="F2255" s="1279">
        <v>1.4599462239777299E-2</v>
      </c>
      <c r="G2255" s="1255">
        <v>4.1224172610569099</v>
      </c>
      <c r="H2255" s="1279">
        <v>0.27195974547535801</v>
      </c>
      <c r="I2255" s="1255">
        <v>0.14873299864096701</v>
      </c>
      <c r="J2255" s="1279">
        <v>1.42054783693421E-4</v>
      </c>
      <c r="K2255" s="1255">
        <v>3.0000008612456499E-3</v>
      </c>
      <c r="L2255" s="1253">
        <v>2.0000005741415599E-3</v>
      </c>
      <c r="M2255" s="1273">
        <v>2.0000005741415599E-3</v>
      </c>
      <c r="N2255" s="1255">
        <v>3.1850009128239903E-2</v>
      </c>
      <c r="O2255" s="1256">
        <v>3.1850009128239903E-2</v>
      </c>
      <c r="P2255" s="1251">
        <v>1.5925004564119952E-2</v>
      </c>
      <c r="Q2255" s="1254">
        <v>0.155458044846604</v>
      </c>
    </row>
    <row r="2256" spans="1:17" s="212" customFormat="1" ht="15.5" x14ac:dyDescent="0.35">
      <c r="A2256" s="198">
        <v>2050</v>
      </c>
      <c r="B2256" s="197" t="s">
        <v>5842</v>
      </c>
      <c r="C2256" s="197">
        <v>1992</v>
      </c>
      <c r="D2256" s="213" t="str">
        <f t="shared" si="24"/>
        <v>2050_1992</v>
      </c>
      <c r="E2256" s="1268">
        <v>0.57009554281667496</v>
      </c>
      <c r="F2256" s="1279">
        <v>1.4599462239777299E-2</v>
      </c>
      <c r="G2256" s="1255">
        <v>4.1224172610569099</v>
      </c>
      <c r="H2256" s="1279">
        <v>0.27195974547535801</v>
      </c>
      <c r="I2256" s="1255">
        <v>0.14873299864096701</v>
      </c>
      <c r="J2256" s="1279">
        <v>1.42054783693421E-4</v>
      </c>
      <c r="K2256" s="1255">
        <v>3.0000008612456499E-3</v>
      </c>
      <c r="L2256" s="1253">
        <v>2.0000005741415599E-3</v>
      </c>
      <c r="M2256" s="1273">
        <v>2.0000005741415599E-3</v>
      </c>
      <c r="N2256" s="1255">
        <v>3.1850009128239903E-2</v>
      </c>
      <c r="O2256" s="1256">
        <v>3.1850009128239903E-2</v>
      </c>
      <c r="P2256" s="1251">
        <v>1.5925004564119952E-2</v>
      </c>
      <c r="Q2256" s="1254">
        <v>0.155458044846604</v>
      </c>
    </row>
    <row r="2257" spans="1:17" s="212" customFormat="1" ht="15.5" x14ac:dyDescent="0.35">
      <c r="A2257" s="198">
        <v>2050</v>
      </c>
      <c r="B2257" s="197" t="s">
        <v>5842</v>
      </c>
      <c r="C2257" s="197">
        <v>1993</v>
      </c>
      <c r="D2257" s="213" t="str">
        <f t="shared" si="24"/>
        <v>2050_1993</v>
      </c>
      <c r="E2257" s="1268">
        <v>0.57009554281667496</v>
      </c>
      <c r="F2257" s="1279">
        <v>1.4599462239777299E-2</v>
      </c>
      <c r="G2257" s="1255">
        <v>4.1224172610569099</v>
      </c>
      <c r="H2257" s="1279">
        <v>0.27195974547535801</v>
      </c>
      <c r="I2257" s="1255">
        <v>0.14873299864096701</v>
      </c>
      <c r="J2257" s="1279">
        <v>1.42054783693421E-4</v>
      </c>
      <c r="K2257" s="1255">
        <v>3.0000008612456499E-3</v>
      </c>
      <c r="L2257" s="1253">
        <v>2.0000005741415599E-3</v>
      </c>
      <c r="M2257" s="1273">
        <v>2.0000005741415599E-3</v>
      </c>
      <c r="N2257" s="1255">
        <v>3.1850009128239903E-2</v>
      </c>
      <c r="O2257" s="1256">
        <v>3.1850009128239903E-2</v>
      </c>
      <c r="P2257" s="1251">
        <v>1.5925004564119952E-2</v>
      </c>
      <c r="Q2257" s="1254">
        <v>0.155458044846604</v>
      </c>
    </row>
    <row r="2258" spans="1:17" s="212" customFormat="1" ht="15.5" x14ac:dyDescent="0.35">
      <c r="A2258" s="198">
        <v>2050</v>
      </c>
      <c r="B2258" s="197" t="s">
        <v>5842</v>
      </c>
      <c r="C2258" s="197">
        <v>1994</v>
      </c>
      <c r="D2258" s="213" t="str">
        <f t="shared" si="24"/>
        <v>2050_1994</v>
      </c>
      <c r="E2258" s="1268">
        <v>0.57009554281667496</v>
      </c>
      <c r="F2258" s="1279">
        <v>1.4599462239777299E-2</v>
      </c>
      <c r="G2258" s="1255">
        <v>4.1224172610569099</v>
      </c>
      <c r="H2258" s="1279">
        <v>0.27195974547535801</v>
      </c>
      <c r="I2258" s="1255">
        <v>0.14873299864096701</v>
      </c>
      <c r="J2258" s="1279">
        <v>1.42054783693421E-4</v>
      </c>
      <c r="K2258" s="1255">
        <v>3.0000008612456499E-3</v>
      </c>
      <c r="L2258" s="1253">
        <v>2.0000005741415599E-3</v>
      </c>
      <c r="M2258" s="1273">
        <v>2.0000005741415599E-3</v>
      </c>
      <c r="N2258" s="1255">
        <v>3.1850009128239903E-2</v>
      </c>
      <c r="O2258" s="1256">
        <v>3.1850009128239903E-2</v>
      </c>
      <c r="P2258" s="1251">
        <v>1.5925004564119952E-2</v>
      </c>
      <c r="Q2258" s="1254">
        <v>0.155458044846604</v>
      </c>
    </row>
    <row r="2259" spans="1:17" s="212" customFormat="1" ht="15.5" x14ac:dyDescent="0.35">
      <c r="A2259" s="198">
        <v>2050</v>
      </c>
      <c r="B2259" s="197" t="s">
        <v>5842</v>
      </c>
      <c r="C2259" s="197">
        <v>1995</v>
      </c>
      <c r="D2259" s="213" t="str">
        <f t="shared" si="24"/>
        <v>2050_1995</v>
      </c>
      <c r="E2259" s="1268">
        <v>0.57009554281667496</v>
      </c>
      <c r="F2259" s="1279">
        <v>1.4599462239777299E-2</v>
      </c>
      <c r="G2259" s="1255">
        <v>4.1224172610569099</v>
      </c>
      <c r="H2259" s="1279">
        <v>0.27195974547535801</v>
      </c>
      <c r="I2259" s="1255">
        <v>0.14873299864096701</v>
      </c>
      <c r="J2259" s="1279">
        <v>1.42054783693421E-4</v>
      </c>
      <c r="K2259" s="1255">
        <v>3.0000008612456499E-3</v>
      </c>
      <c r="L2259" s="1253">
        <v>2.0000005741415599E-3</v>
      </c>
      <c r="M2259" s="1273">
        <v>2.0000005741415599E-3</v>
      </c>
      <c r="N2259" s="1255">
        <v>3.1850009128239903E-2</v>
      </c>
      <c r="O2259" s="1256">
        <v>3.1850009128239903E-2</v>
      </c>
      <c r="P2259" s="1251">
        <v>1.5925004564119952E-2</v>
      </c>
      <c r="Q2259" s="1254">
        <v>0.155458044846604</v>
      </c>
    </row>
    <row r="2260" spans="1:17" s="212" customFormat="1" ht="15.5" x14ac:dyDescent="0.35">
      <c r="A2260" s="198">
        <v>2050</v>
      </c>
      <c r="B2260" s="197" t="s">
        <v>5842</v>
      </c>
      <c r="C2260" s="197">
        <v>1996</v>
      </c>
      <c r="D2260" s="213" t="str">
        <f t="shared" si="24"/>
        <v>2050_1996</v>
      </c>
      <c r="E2260" s="1268">
        <v>0.57009554281667496</v>
      </c>
      <c r="F2260" s="1279">
        <v>1.4599462239777299E-2</v>
      </c>
      <c r="G2260" s="1255">
        <v>4.1224172610569099</v>
      </c>
      <c r="H2260" s="1279">
        <v>0.27195974547535801</v>
      </c>
      <c r="I2260" s="1255">
        <v>0.14873299864096701</v>
      </c>
      <c r="J2260" s="1279">
        <v>1.42054783693421E-4</v>
      </c>
      <c r="K2260" s="1255">
        <v>3.0000008612456499E-3</v>
      </c>
      <c r="L2260" s="1253">
        <v>2.0000005741415599E-3</v>
      </c>
      <c r="M2260" s="1273">
        <v>2.0000005741415599E-3</v>
      </c>
      <c r="N2260" s="1255">
        <v>3.1850009128239903E-2</v>
      </c>
      <c r="O2260" s="1256">
        <v>3.1850009128239903E-2</v>
      </c>
      <c r="P2260" s="1251">
        <v>1.5925004564119952E-2</v>
      </c>
      <c r="Q2260" s="1254">
        <v>0.155458044846604</v>
      </c>
    </row>
    <row r="2261" spans="1:17" s="212" customFormat="1" ht="15.5" x14ac:dyDescent="0.35">
      <c r="A2261" s="198">
        <v>2050</v>
      </c>
      <c r="B2261" s="197" t="s">
        <v>5842</v>
      </c>
      <c r="C2261" s="197">
        <v>1997</v>
      </c>
      <c r="D2261" s="213" t="str">
        <f t="shared" si="24"/>
        <v>2050_1997</v>
      </c>
      <c r="E2261" s="1268">
        <v>0.57009554281667496</v>
      </c>
      <c r="F2261" s="1279">
        <v>1.4599462239777299E-2</v>
      </c>
      <c r="G2261" s="1255">
        <v>4.1224172610569099</v>
      </c>
      <c r="H2261" s="1279">
        <v>0.27195974547535801</v>
      </c>
      <c r="I2261" s="1255">
        <v>0.14873299864096701</v>
      </c>
      <c r="J2261" s="1279">
        <v>1.42054783693421E-4</v>
      </c>
      <c r="K2261" s="1255">
        <v>3.0000008612456499E-3</v>
      </c>
      <c r="L2261" s="1253">
        <v>2.0000005741415599E-3</v>
      </c>
      <c r="M2261" s="1273">
        <v>2.0000005741415599E-3</v>
      </c>
      <c r="N2261" s="1255">
        <v>3.1850009128239903E-2</v>
      </c>
      <c r="O2261" s="1256">
        <v>3.1850009128239903E-2</v>
      </c>
      <c r="P2261" s="1251">
        <v>1.5925004564119952E-2</v>
      </c>
      <c r="Q2261" s="1254">
        <v>0.155458044846604</v>
      </c>
    </row>
    <row r="2262" spans="1:17" s="212" customFormat="1" ht="15.5" x14ac:dyDescent="0.35">
      <c r="A2262" s="198">
        <v>2050</v>
      </c>
      <c r="B2262" s="197" t="s">
        <v>5842</v>
      </c>
      <c r="C2262" s="197">
        <v>1998</v>
      </c>
      <c r="D2262" s="213" t="str">
        <f t="shared" si="24"/>
        <v>2050_1998</v>
      </c>
      <c r="E2262" s="1268">
        <v>0.57009554281667496</v>
      </c>
      <c r="F2262" s="1279">
        <v>1.4599462239777299E-2</v>
      </c>
      <c r="G2262" s="1255">
        <v>4.1224172610569099</v>
      </c>
      <c r="H2262" s="1279">
        <v>0.27195974547535801</v>
      </c>
      <c r="I2262" s="1255">
        <v>0.14873299864096701</v>
      </c>
      <c r="J2262" s="1279">
        <v>1.42054783693421E-4</v>
      </c>
      <c r="K2262" s="1255">
        <v>3.0000008612456499E-3</v>
      </c>
      <c r="L2262" s="1253">
        <v>2.0000005741415599E-3</v>
      </c>
      <c r="M2262" s="1273">
        <v>2.0000005741415599E-3</v>
      </c>
      <c r="N2262" s="1255">
        <v>3.1850009128239903E-2</v>
      </c>
      <c r="O2262" s="1256">
        <v>3.1850009128239903E-2</v>
      </c>
      <c r="P2262" s="1251">
        <v>1.5925004564119952E-2</v>
      </c>
      <c r="Q2262" s="1254">
        <v>0.155458044846604</v>
      </c>
    </row>
    <row r="2263" spans="1:17" s="212" customFormat="1" ht="15.5" x14ac:dyDescent="0.35">
      <c r="A2263" s="198">
        <v>2050</v>
      </c>
      <c r="B2263" s="197" t="s">
        <v>5842</v>
      </c>
      <c r="C2263" s="197">
        <v>1999</v>
      </c>
      <c r="D2263" s="213" t="str">
        <f t="shared" si="24"/>
        <v>2050_1999</v>
      </c>
      <c r="E2263" s="1268">
        <v>0.57009554281667496</v>
      </c>
      <c r="F2263" s="1279">
        <v>1.4599462239777299E-2</v>
      </c>
      <c r="G2263" s="1255">
        <v>4.1224172610569099</v>
      </c>
      <c r="H2263" s="1279">
        <v>0.27195974547535801</v>
      </c>
      <c r="I2263" s="1255">
        <v>0.14873299864096701</v>
      </c>
      <c r="J2263" s="1279">
        <v>1.42054783693421E-4</v>
      </c>
      <c r="K2263" s="1255">
        <v>3.0000008612456499E-3</v>
      </c>
      <c r="L2263" s="1253">
        <v>2.0000005741415599E-3</v>
      </c>
      <c r="M2263" s="1273">
        <v>2.0000005741415599E-3</v>
      </c>
      <c r="N2263" s="1255">
        <v>3.1850009128239903E-2</v>
      </c>
      <c r="O2263" s="1256">
        <v>3.1850009128239903E-2</v>
      </c>
      <c r="P2263" s="1251">
        <v>1.5925004564119952E-2</v>
      </c>
      <c r="Q2263" s="1254">
        <v>0.155458044846604</v>
      </c>
    </row>
    <row r="2264" spans="1:17" s="212" customFormat="1" ht="15.5" x14ac:dyDescent="0.35">
      <c r="A2264" s="198">
        <v>2050</v>
      </c>
      <c r="B2264" s="197" t="s">
        <v>5842</v>
      </c>
      <c r="C2264" s="197">
        <v>2000</v>
      </c>
      <c r="D2264" s="213" t="str">
        <f t="shared" si="24"/>
        <v>2050_2000</v>
      </c>
      <c r="E2264" s="1268">
        <v>0.57009554281667496</v>
      </c>
      <c r="F2264" s="1279">
        <v>1.4599462239777299E-2</v>
      </c>
      <c r="G2264" s="1255">
        <v>4.1224172610569099</v>
      </c>
      <c r="H2264" s="1279">
        <v>0.27195974547535801</v>
      </c>
      <c r="I2264" s="1255">
        <v>0.14873299864096701</v>
      </c>
      <c r="J2264" s="1279">
        <v>1.42054783693421E-4</v>
      </c>
      <c r="K2264" s="1255">
        <v>3.0000008612456499E-3</v>
      </c>
      <c r="L2264" s="1253">
        <v>2.0000005741415599E-3</v>
      </c>
      <c r="M2264" s="1273">
        <v>2.0000005741415599E-3</v>
      </c>
      <c r="N2264" s="1255">
        <v>3.1850009128239903E-2</v>
      </c>
      <c r="O2264" s="1256">
        <v>3.1850009128239903E-2</v>
      </c>
      <c r="P2264" s="1251">
        <v>1.5925004564119952E-2</v>
      </c>
      <c r="Q2264" s="1254">
        <v>0.155458044846604</v>
      </c>
    </row>
    <row r="2265" spans="1:17" s="212" customFormat="1" ht="15.5" x14ac:dyDescent="0.35">
      <c r="A2265" s="198">
        <v>2050</v>
      </c>
      <c r="B2265" s="197" t="s">
        <v>5842</v>
      </c>
      <c r="C2265" s="197">
        <v>2001</v>
      </c>
      <c r="D2265" s="213" t="str">
        <f t="shared" si="24"/>
        <v>2050_2001</v>
      </c>
      <c r="E2265" s="1268">
        <v>0.57009554281667496</v>
      </c>
      <c r="F2265" s="1279">
        <v>1.4599462239777299E-2</v>
      </c>
      <c r="G2265" s="1255">
        <v>4.1224172610569099</v>
      </c>
      <c r="H2265" s="1279">
        <v>0.27195974547535801</v>
      </c>
      <c r="I2265" s="1255">
        <v>0.14873299864096701</v>
      </c>
      <c r="J2265" s="1279">
        <v>1.42054783693421E-4</v>
      </c>
      <c r="K2265" s="1255">
        <v>3.0000008612456499E-3</v>
      </c>
      <c r="L2265" s="1253">
        <v>2.0000005741415599E-3</v>
      </c>
      <c r="M2265" s="1273">
        <v>2.0000005741415599E-3</v>
      </c>
      <c r="N2265" s="1255">
        <v>3.1850009128239903E-2</v>
      </c>
      <c r="O2265" s="1256">
        <v>3.1850009128239903E-2</v>
      </c>
      <c r="P2265" s="1251">
        <v>1.5925004564119952E-2</v>
      </c>
      <c r="Q2265" s="1254">
        <v>0.155458044846604</v>
      </c>
    </row>
    <row r="2266" spans="1:17" s="212" customFormat="1" ht="15.5" x14ac:dyDescent="0.35">
      <c r="A2266" s="198">
        <v>2050</v>
      </c>
      <c r="B2266" s="197" t="s">
        <v>5842</v>
      </c>
      <c r="C2266" s="197">
        <v>2002</v>
      </c>
      <c r="D2266" s="213" t="str">
        <f t="shared" si="24"/>
        <v>2050_2002</v>
      </c>
      <c r="E2266" s="1268">
        <v>0.57009554281667496</v>
      </c>
      <c r="F2266" s="1279">
        <v>1.4599462239777299E-2</v>
      </c>
      <c r="G2266" s="1255">
        <v>4.1224172610569099</v>
      </c>
      <c r="H2266" s="1279">
        <v>0.27195974547535801</v>
      </c>
      <c r="I2266" s="1255">
        <v>0.14873299864096701</v>
      </c>
      <c r="J2266" s="1279">
        <v>1.42054783693421E-4</v>
      </c>
      <c r="K2266" s="1255">
        <v>3.0000008612456499E-3</v>
      </c>
      <c r="L2266" s="1253">
        <v>2.0000005741415599E-3</v>
      </c>
      <c r="M2266" s="1273">
        <v>2.0000005741415599E-3</v>
      </c>
      <c r="N2266" s="1255">
        <v>3.1850009128239903E-2</v>
      </c>
      <c r="O2266" s="1256">
        <v>3.1850009128239903E-2</v>
      </c>
      <c r="P2266" s="1251">
        <v>1.5925004564119952E-2</v>
      </c>
      <c r="Q2266" s="1254">
        <v>0.155458044846604</v>
      </c>
    </row>
    <row r="2267" spans="1:17" s="212" customFormat="1" ht="15.5" x14ac:dyDescent="0.35">
      <c r="A2267" s="198">
        <v>2050</v>
      </c>
      <c r="B2267" s="197" t="s">
        <v>5842</v>
      </c>
      <c r="C2267" s="197">
        <v>2003</v>
      </c>
      <c r="D2267" s="213" t="str">
        <f t="shared" si="24"/>
        <v>2050_2003</v>
      </c>
      <c r="E2267" s="1268">
        <v>0.57009554281667496</v>
      </c>
      <c r="F2267" s="1279">
        <v>1.4599462239777299E-2</v>
      </c>
      <c r="G2267" s="1255">
        <v>4.1224172610569099</v>
      </c>
      <c r="H2267" s="1279">
        <v>0.27195974547535801</v>
      </c>
      <c r="I2267" s="1255">
        <v>0.14873299864096701</v>
      </c>
      <c r="J2267" s="1279">
        <v>1.42054783693421E-4</v>
      </c>
      <c r="K2267" s="1255">
        <v>3.0000008612456499E-3</v>
      </c>
      <c r="L2267" s="1253">
        <v>2.0000005741415599E-3</v>
      </c>
      <c r="M2267" s="1273">
        <v>2.0000005741415599E-3</v>
      </c>
      <c r="N2267" s="1255">
        <v>3.1850009128239903E-2</v>
      </c>
      <c r="O2267" s="1256">
        <v>3.1850009128239903E-2</v>
      </c>
      <c r="P2267" s="1251">
        <v>1.5925004564119952E-2</v>
      </c>
      <c r="Q2267" s="1254">
        <v>0.155458044846604</v>
      </c>
    </row>
    <row r="2268" spans="1:17" s="212" customFormat="1" ht="15.5" x14ac:dyDescent="0.35">
      <c r="A2268" s="198">
        <v>2050</v>
      </c>
      <c r="B2268" s="197" t="s">
        <v>5842</v>
      </c>
      <c r="C2268" s="197">
        <v>2004</v>
      </c>
      <c r="D2268" s="213" t="str">
        <f t="shared" si="24"/>
        <v>2050_2004</v>
      </c>
      <c r="E2268" s="1268">
        <v>0.57009554281667496</v>
      </c>
      <c r="F2268" s="1279">
        <v>1.4599462239777299E-2</v>
      </c>
      <c r="G2268" s="1255">
        <v>4.1224172610569099</v>
      </c>
      <c r="H2268" s="1279">
        <v>0.27195974547535801</v>
      </c>
      <c r="I2268" s="1255">
        <v>0.14873299864096701</v>
      </c>
      <c r="J2268" s="1279">
        <v>1.42054783693421E-4</v>
      </c>
      <c r="K2268" s="1255">
        <v>3.0000008612456499E-3</v>
      </c>
      <c r="L2268" s="1253">
        <v>2.0000005741415599E-3</v>
      </c>
      <c r="M2268" s="1273">
        <v>2.0000005741415599E-3</v>
      </c>
      <c r="N2268" s="1255">
        <v>3.1850009128239903E-2</v>
      </c>
      <c r="O2268" s="1256">
        <v>3.1850009128239903E-2</v>
      </c>
      <c r="P2268" s="1251">
        <v>1.5925004564119952E-2</v>
      </c>
      <c r="Q2268" s="1254">
        <v>0.155458044846604</v>
      </c>
    </row>
    <row r="2269" spans="1:17" s="212" customFormat="1" ht="15.5" x14ac:dyDescent="0.35">
      <c r="A2269" s="198">
        <v>2050</v>
      </c>
      <c r="B2269" s="197" t="s">
        <v>5842</v>
      </c>
      <c r="C2269" s="197">
        <v>2005</v>
      </c>
      <c r="D2269" s="213" t="str">
        <f t="shared" si="24"/>
        <v>2050_2005</v>
      </c>
      <c r="E2269" s="1268">
        <v>0.57009554281667496</v>
      </c>
      <c r="F2269" s="1279">
        <v>1.4599462239777299E-2</v>
      </c>
      <c r="G2269" s="1255">
        <v>4.1224172610569099</v>
      </c>
      <c r="H2269" s="1279">
        <v>0.27195974547535801</v>
      </c>
      <c r="I2269" s="1255">
        <v>0.14873299864096701</v>
      </c>
      <c r="J2269" s="1279">
        <v>1.42054783693421E-4</v>
      </c>
      <c r="K2269" s="1255">
        <v>3.0000008612456499E-3</v>
      </c>
      <c r="L2269" s="1253">
        <v>2.0000005741415599E-3</v>
      </c>
      <c r="M2269" s="1273">
        <v>2.0000005741415599E-3</v>
      </c>
      <c r="N2269" s="1255">
        <v>3.1850009128239903E-2</v>
      </c>
      <c r="O2269" s="1256">
        <v>3.1850009128239903E-2</v>
      </c>
      <c r="P2269" s="1251">
        <v>1.5925004564119952E-2</v>
      </c>
      <c r="Q2269" s="1254">
        <v>0.155458044846604</v>
      </c>
    </row>
    <row r="2270" spans="1:17" s="212" customFormat="1" ht="15.5" x14ac:dyDescent="0.35">
      <c r="A2270" s="198">
        <v>2050</v>
      </c>
      <c r="B2270" s="197" t="s">
        <v>5842</v>
      </c>
      <c r="C2270" s="197">
        <v>2006</v>
      </c>
      <c r="D2270" s="213" t="str">
        <f t="shared" si="24"/>
        <v>2050_2006</v>
      </c>
      <c r="E2270" s="1267">
        <v>0.57009554281667496</v>
      </c>
      <c r="F2270" s="1278">
        <v>1.4599462239777299E-2</v>
      </c>
      <c r="G2270" s="1248">
        <v>4.1224172610569099</v>
      </c>
      <c r="H2270" s="1278">
        <v>0.27195974547535801</v>
      </c>
      <c r="I2270" s="1248">
        <v>0.14873299864096701</v>
      </c>
      <c r="J2270" s="1278">
        <v>1.42054783693421E-4</v>
      </c>
      <c r="K2270" s="1248">
        <v>3.0000008612456499E-3</v>
      </c>
      <c r="L2270" s="1250">
        <v>2.0000005741415599E-3</v>
      </c>
      <c r="M2270" s="1273">
        <v>2.0000005741415599E-3</v>
      </c>
      <c r="N2270" s="1248">
        <v>3.1850009128239903E-2</v>
      </c>
      <c r="O2270" s="1249">
        <v>3.1850009128239903E-2</v>
      </c>
      <c r="P2270" s="1251">
        <v>1.5925004564119952E-2</v>
      </c>
      <c r="Q2270" s="1252">
        <v>0.155458044846604</v>
      </c>
    </row>
    <row r="2271" spans="1:17" s="212" customFormat="1" ht="15.5" x14ac:dyDescent="0.35">
      <c r="A2271" s="198">
        <v>2050</v>
      </c>
      <c r="B2271" s="197" t="s">
        <v>5842</v>
      </c>
      <c r="C2271" s="197">
        <v>2007</v>
      </c>
      <c r="D2271" s="213" t="str">
        <f t="shared" si="24"/>
        <v>2050_2007</v>
      </c>
      <c r="E2271" s="1267">
        <v>0.33257873669065102</v>
      </c>
      <c r="F2271" s="1278">
        <v>1.45349828318734E-2</v>
      </c>
      <c r="G2271" s="1248">
        <v>2.4812732047488901</v>
      </c>
      <c r="H2271" s="1278">
        <v>0.27277391567257803</v>
      </c>
      <c r="I2271" s="1248">
        <v>8.7344392674131105E-2</v>
      </c>
      <c r="J2271" s="1278">
        <v>1.4507777622284801E-4</v>
      </c>
      <c r="K2271" s="1248">
        <v>3.0000008612485699E-3</v>
      </c>
      <c r="L2271" s="1250">
        <v>2.0000005741946602E-3</v>
      </c>
      <c r="M2271" s="1273">
        <v>2.0000005741946602E-3</v>
      </c>
      <c r="N2271" s="1248">
        <v>3.1850009128239903E-2</v>
      </c>
      <c r="O2271" s="1249">
        <v>3.1850009128239903E-2</v>
      </c>
      <c r="P2271" s="1251">
        <v>1.5925004564119952E-2</v>
      </c>
      <c r="Q2271" s="1252">
        <v>9.1293718525853204E-2</v>
      </c>
    </row>
    <row r="2272" spans="1:17" s="212" customFormat="1" ht="15.5" x14ac:dyDescent="0.35">
      <c r="A2272" s="198">
        <v>2050</v>
      </c>
      <c r="B2272" s="197" t="s">
        <v>5842</v>
      </c>
      <c r="C2272" s="197">
        <v>2008</v>
      </c>
      <c r="D2272" s="213" t="str">
        <f t="shared" si="24"/>
        <v>2050_2008</v>
      </c>
      <c r="E2272" s="1267">
        <v>0.34014646123757702</v>
      </c>
      <c r="F2272" s="1278">
        <v>9.8824108815272795E-3</v>
      </c>
      <c r="G2272" s="1248">
        <v>2.5057625664899899</v>
      </c>
      <c r="H2272" s="1278">
        <v>0.15844955080733999</v>
      </c>
      <c r="I2272" s="1248">
        <v>8.8933047394433695E-2</v>
      </c>
      <c r="J2272" s="1278">
        <v>1.41313322626954E-4</v>
      </c>
      <c r="K2272" s="1248">
        <v>3.0000008613365898E-3</v>
      </c>
      <c r="L2272" s="1250">
        <v>2.0000005742208502E-3</v>
      </c>
      <c r="M2272" s="1273">
        <v>2.0000005742208502E-3</v>
      </c>
      <c r="N2272" s="1248">
        <v>3.1850009128239903E-2</v>
      </c>
      <c r="O2272" s="1249">
        <v>3.1850009128239903E-2</v>
      </c>
      <c r="P2272" s="1251">
        <v>1.5925004564119952E-2</v>
      </c>
      <c r="Q2272" s="1252">
        <v>9.2954205163056899E-2</v>
      </c>
    </row>
    <row r="2273" spans="1:17" s="212" customFormat="1" ht="15.5" x14ac:dyDescent="0.35">
      <c r="A2273" s="198">
        <v>2050</v>
      </c>
      <c r="B2273" s="197" t="s">
        <v>5842</v>
      </c>
      <c r="C2273" s="197">
        <v>2009</v>
      </c>
      <c r="D2273" s="213" t="str">
        <f t="shared" si="24"/>
        <v>2050_2009</v>
      </c>
      <c r="E2273" s="1267">
        <v>0.33855711652203502</v>
      </c>
      <c r="F2273" s="1278">
        <v>4.8039026053835702E-3</v>
      </c>
      <c r="G2273" s="1248">
        <v>2.5006068107769202</v>
      </c>
      <c r="H2273" s="1278">
        <v>4.2920601605969597E-2</v>
      </c>
      <c r="I2273" s="1248">
        <v>8.8583356600296301E-2</v>
      </c>
      <c r="J2273" s="1278">
        <v>1.29855834222036E-4</v>
      </c>
      <c r="K2273" s="1248">
        <v>3.00000086129627E-3</v>
      </c>
      <c r="L2273" s="1250">
        <v>2.0000005741644599E-3</v>
      </c>
      <c r="M2273" s="1273">
        <v>2.0000005741644599E-3</v>
      </c>
      <c r="N2273" s="1248">
        <v>3.1850009128239903E-2</v>
      </c>
      <c r="O2273" s="1249">
        <v>3.1850009128239903E-2</v>
      </c>
      <c r="P2273" s="1251">
        <v>1.5925004564119952E-2</v>
      </c>
      <c r="Q2273" s="1252">
        <v>9.2588702902938497E-2</v>
      </c>
    </row>
    <row r="2274" spans="1:17" s="212" customFormat="1" ht="15.5" x14ac:dyDescent="0.35">
      <c r="A2274" s="198">
        <v>2050</v>
      </c>
      <c r="B2274" s="197" t="s">
        <v>5842</v>
      </c>
      <c r="C2274" s="197">
        <v>2010</v>
      </c>
      <c r="D2274" s="213" t="str">
        <f t="shared" si="24"/>
        <v>2050_2010</v>
      </c>
      <c r="E2274" s="1267">
        <v>9.0297440041150298E-2</v>
      </c>
      <c r="F2274" s="1278">
        <v>4.8083780052751296E-3</v>
      </c>
      <c r="G2274" s="1248">
        <v>0.82452448452796501</v>
      </c>
      <c r="H2274" s="1278">
        <v>4.32532231970457E-2</v>
      </c>
      <c r="I2274" s="1248">
        <v>2.4799890885428701E-2</v>
      </c>
      <c r="J2274" s="1278">
        <v>1.5849359932001601E-4</v>
      </c>
      <c r="K2274" s="1248">
        <v>3.0000008613420498E-3</v>
      </c>
      <c r="L2274" s="1250">
        <v>2.0000005741415698E-3</v>
      </c>
      <c r="M2274" s="1273">
        <v>2.0000005741415698E-3</v>
      </c>
      <c r="N2274" s="1248">
        <v>3.1850009128239903E-2</v>
      </c>
      <c r="O2274" s="1249">
        <v>3.1850009128239903E-2</v>
      </c>
      <c r="P2274" s="1251">
        <v>1.5925004564119952E-2</v>
      </c>
      <c r="Q2274" s="1252">
        <v>2.59212319033819E-2</v>
      </c>
    </row>
    <row r="2275" spans="1:17" s="212" customFormat="1" ht="15.5" x14ac:dyDescent="0.35">
      <c r="A2275" s="198">
        <v>2050</v>
      </c>
      <c r="B2275" s="197" t="s">
        <v>5842</v>
      </c>
      <c r="C2275" s="197">
        <v>2011</v>
      </c>
      <c r="D2275" s="213" t="str">
        <f t="shared" si="24"/>
        <v>2050_2011</v>
      </c>
      <c r="E2275" s="1267">
        <v>8.9472768282417903E-2</v>
      </c>
      <c r="F2275" s="1278">
        <v>5.0081693426894097E-3</v>
      </c>
      <c r="G2275" s="1248">
        <v>0.82121181787722097</v>
      </c>
      <c r="H2275" s="1278">
        <v>4.3179539088216902E-2</v>
      </c>
      <c r="I2275" s="1248">
        <v>2.4647412632130099E-2</v>
      </c>
      <c r="J2275" s="1278">
        <v>2.1687058690486E-4</v>
      </c>
      <c r="K2275" s="1248">
        <v>3.0000008613136901E-3</v>
      </c>
      <c r="L2275" s="1250">
        <v>2.0000005742415901E-3</v>
      </c>
      <c r="M2275" s="1273">
        <v>2.0000005742415901E-3</v>
      </c>
      <c r="N2275" s="1248">
        <v>3.1850009128239903E-2</v>
      </c>
      <c r="O2275" s="1249">
        <v>3.1850009128239903E-2</v>
      </c>
      <c r="P2275" s="1251">
        <v>1.5925004564119952E-2</v>
      </c>
      <c r="Q2275" s="1252">
        <v>2.5761859260081298E-2</v>
      </c>
    </row>
    <row r="2276" spans="1:17" s="212" customFormat="1" ht="15.5" x14ac:dyDescent="0.35">
      <c r="A2276" s="198">
        <v>2050</v>
      </c>
      <c r="B2276" s="197" t="s">
        <v>5842</v>
      </c>
      <c r="C2276" s="197">
        <v>2012</v>
      </c>
      <c r="D2276" s="213" t="str">
        <f t="shared" si="24"/>
        <v>2050_2012</v>
      </c>
      <c r="E2276" s="1267">
        <v>9.0216041975839906E-2</v>
      </c>
      <c r="F2276" s="1278">
        <v>4.9988873396137603E-3</v>
      </c>
      <c r="G2276" s="1248">
        <v>0.82437158373271602</v>
      </c>
      <c r="H2276" s="1278">
        <v>4.3249286838278701E-2</v>
      </c>
      <c r="I2276" s="1248">
        <v>2.4787709996801001E-2</v>
      </c>
      <c r="J2276" s="1278">
        <v>3.16587531619151E-4</v>
      </c>
      <c r="K2276" s="1248">
        <v>3.0000008613713298E-3</v>
      </c>
      <c r="L2276" s="1250">
        <v>2.00000057424985E-3</v>
      </c>
      <c r="M2276" s="1273">
        <v>2.00000057424985E-3</v>
      </c>
      <c r="N2276" s="1248">
        <v>3.1850009128239903E-2</v>
      </c>
      <c r="O2276" s="1249">
        <v>3.1850009128239903E-2</v>
      </c>
      <c r="P2276" s="1251">
        <v>1.5925004564119952E-2</v>
      </c>
      <c r="Q2276" s="1252">
        <v>2.59085002490223E-2</v>
      </c>
    </row>
    <row r="2277" spans="1:17" s="212" customFormat="1" ht="15.5" x14ac:dyDescent="0.35">
      <c r="A2277" s="198">
        <v>2050</v>
      </c>
      <c r="B2277" s="197" t="s">
        <v>5842</v>
      </c>
      <c r="C2277" s="197">
        <v>2013</v>
      </c>
      <c r="D2277" s="213" t="str">
        <f t="shared" si="24"/>
        <v>2050_2013</v>
      </c>
      <c r="E2277" s="1267">
        <v>9.0171455057947006E-2</v>
      </c>
      <c r="F2277" s="1278">
        <v>5.0614974835307197E-3</v>
      </c>
      <c r="G2277" s="1248">
        <v>0.82335312960960205</v>
      </c>
      <c r="H2277" s="1278">
        <v>4.3086150565745301E-2</v>
      </c>
      <c r="I2277" s="1248">
        <v>2.4769783418901799E-2</v>
      </c>
      <c r="J2277" s="1278">
        <v>4.75150924945867E-4</v>
      </c>
      <c r="K2277" s="1248">
        <v>3.00000086139487E-3</v>
      </c>
      <c r="L2277" s="1250">
        <v>2.0000005742854799E-3</v>
      </c>
      <c r="M2277" s="1273">
        <v>2.0000005742854799E-3</v>
      </c>
      <c r="N2277" s="1248">
        <v>3.1850009128239903E-2</v>
      </c>
      <c r="O2277" s="1249">
        <v>3.1850009128239903E-2</v>
      </c>
      <c r="P2277" s="1251">
        <v>1.5925004564119952E-2</v>
      </c>
      <c r="Q2277" s="1252">
        <v>2.58897631108185E-2</v>
      </c>
    </row>
    <row r="2278" spans="1:17" s="212" customFormat="1" ht="15.5" x14ac:dyDescent="0.35">
      <c r="A2278" s="198">
        <v>2050</v>
      </c>
      <c r="B2278" s="197" t="s">
        <v>5842</v>
      </c>
      <c r="C2278" s="197">
        <v>2014</v>
      </c>
      <c r="D2278" s="213" t="str">
        <f t="shared" si="24"/>
        <v>2050_2014</v>
      </c>
      <c r="E2278" s="1267">
        <v>8.9186930018031504E-2</v>
      </c>
      <c r="F2278" s="1278">
        <v>4.9643969747107499E-3</v>
      </c>
      <c r="G2278" s="1248">
        <v>0.81954490495150401</v>
      </c>
      <c r="H2278" s="1278">
        <v>4.3360502096391897E-2</v>
      </c>
      <c r="I2278" s="1248">
        <v>2.4589321961227699E-2</v>
      </c>
      <c r="J2278" s="1278">
        <v>6.5975246233038296E-4</v>
      </c>
      <c r="K2278" s="1248">
        <v>3.0000008613307598E-3</v>
      </c>
      <c r="L2278" s="1250">
        <v>2.0000005742402999E-3</v>
      </c>
      <c r="M2278" s="1273">
        <v>2.0000005742402999E-3</v>
      </c>
      <c r="N2278" s="1248">
        <v>3.1850009128239903E-2</v>
      </c>
      <c r="O2278" s="1249">
        <v>3.1850009128239903E-2</v>
      </c>
      <c r="P2278" s="1251">
        <v>1.5925004564119952E-2</v>
      </c>
      <c r="Q2278" s="1252">
        <v>2.57011419868142E-2</v>
      </c>
    </row>
    <row r="2279" spans="1:17" s="212" customFormat="1" ht="15.5" x14ac:dyDescent="0.35">
      <c r="A2279" s="198">
        <v>2050</v>
      </c>
      <c r="B2279" s="197" t="s">
        <v>5842</v>
      </c>
      <c r="C2279" s="197">
        <v>2015</v>
      </c>
      <c r="D2279" s="213" t="str">
        <f t="shared" si="24"/>
        <v>2050_2015</v>
      </c>
      <c r="E2279" s="1267">
        <v>8.9458620371522399E-2</v>
      </c>
      <c r="F2279" s="1278">
        <v>5.1077198572500896E-3</v>
      </c>
      <c r="G2279" s="1248">
        <v>0.820893818248847</v>
      </c>
      <c r="H2279" s="1278">
        <v>4.31448812236645E-2</v>
      </c>
      <c r="I2279" s="1248">
        <v>2.46425158011663E-2</v>
      </c>
      <c r="J2279" s="1278">
        <v>8.3506109057372496E-4</v>
      </c>
      <c r="K2279" s="1248">
        <v>3.00000086134062E-3</v>
      </c>
      <c r="L2279" s="1250">
        <v>2.0000005742759901E-3</v>
      </c>
      <c r="M2279" s="1273">
        <v>2.0000005742759901E-3</v>
      </c>
      <c r="N2279" s="1248">
        <v>3.1850009128239903E-2</v>
      </c>
      <c r="O2279" s="1249">
        <v>3.1850009128239903E-2</v>
      </c>
      <c r="P2279" s="1251">
        <v>1.5925004564119952E-2</v>
      </c>
      <c r="Q2279" s="1252">
        <v>2.5756741016150698E-2</v>
      </c>
    </row>
    <row r="2280" spans="1:17" s="212" customFormat="1" ht="15.5" x14ac:dyDescent="0.35">
      <c r="A2280" s="198">
        <v>2050</v>
      </c>
      <c r="B2280" s="197" t="s">
        <v>5842</v>
      </c>
      <c r="C2280" s="197">
        <v>2016</v>
      </c>
      <c r="D2280" s="213" t="str">
        <f t="shared" si="24"/>
        <v>2050_2016</v>
      </c>
      <c r="E2280" s="1267">
        <v>8.9642069683360096E-2</v>
      </c>
      <c r="F2280" s="1278">
        <v>4.7358338421198496E-3</v>
      </c>
      <c r="G2280" s="1248">
        <v>0.72644204898865306</v>
      </c>
      <c r="H2280" s="1278">
        <v>4.0592516381230598E-2</v>
      </c>
      <c r="I2280" s="1248">
        <v>2.4680426257583401E-2</v>
      </c>
      <c r="J2280" s="1278">
        <v>9.6084106180903905E-4</v>
      </c>
      <c r="K2280" s="1248">
        <v>3.0000008613550399E-3</v>
      </c>
      <c r="L2280" s="1250">
        <v>2.0000005742575201E-3</v>
      </c>
      <c r="M2280" s="1273">
        <v>2.0000005742575201E-3</v>
      </c>
      <c r="N2280" s="1248">
        <v>3.1850009128239903E-2</v>
      </c>
      <c r="O2280" s="1249">
        <v>3.1850009128239903E-2</v>
      </c>
      <c r="P2280" s="1251">
        <v>1.5925004564119952E-2</v>
      </c>
      <c r="Q2280" s="1252">
        <v>2.57963656151818E-2</v>
      </c>
    </row>
    <row r="2281" spans="1:17" s="212" customFormat="1" ht="15.5" x14ac:dyDescent="0.35">
      <c r="A2281" s="198">
        <v>2050</v>
      </c>
      <c r="B2281" s="197" t="s">
        <v>5842</v>
      </c>
      <c r="C2281" s="197">
        <v>2017</v>
      </c>
      <c r="D2281" s="213" t="str">
        <f t="shared" si="24"/>
        <v>2050_2017</v>
      </c>
      <c r="E2281" s="1267">
        <v>8.8642130067302594E-2</v>
      </c>
      <c r="F2281" s="1278">
        <v>4.5019429632725599E-3</v>
      </c>
      <c r="G2281" s="1248">
        <v>0.62765230233218905</v>
      </c>
      <c r="H2281" s="1278">
        <v>3.7940012335994901E-2</v>
      </c>
      <c r="I2281" s="1248">
        <v>2.4489720259895199E-2</v>
      </c>
      <c r="J2281" s="1278">
        <v>1.03591506648523E-3</v>
      </c>
      <c r="K2281" s="1248">
        <v>3.0000008613014699E-3</v>
      </c>
      <c r="L2281" s="1250">
        <v>2.0000005743080799E-3</v>
      </c>
      <c r="M2281" s="1273">
        <v>2.0000005743080799E-3</v>
      </c>
      <c r="N2281" s="1248">
        <v>3.1850009128239903E-2</v>
      </c>
      <c r="O2281" s="1249">
        <v>3.1850009128239903E-2</v>
      </c>
      <c r="P2281" s="1251">
        <v>1.5925004564119952E-2</v>
      </c>
      <c r="Q2281" s="1252">
        <v>2.5597036738523499E-2</v>
      </c>
    </row>
    <row r="2282" spans="1:17" s="212" customFormat="1" ht="15.5" x14ac:dyDescent="0.35">
      <c r="A2282" s="198">
        <v>2050</v>
      </c>
      <c r="B2282" s="197" t="s">
        <v>5842</v>
      </c>
      <c r="C2282" s="197">
        <v>2018</v>
      </c>
      <c r="D2282" s="213" t="str">
        <f t="shared" si="24"/>
        <v>2050_2018</v>
      </c>
      <c r="E2282" s="1267">
        <v>8.9607806946924301E-2</v>
      </c>
      <c r="F2282" s="1278">
        <v>4.0015034332289102E-3</v>
      </c>
      <c r="G2282" s="1248">
        <v>0.52257956065821598</v>
      </c>
      <c r="H2282" s="1278">
        <v>3.4200884634937902E-2</v>
      </c>
      <c r="I2282" s="1248">
        <v>2.46774805961546E-2</v>
      </c>
      <c r="J2282" s="1278">
        <v>1.0775182300483399E-3</v>
      </c>
      <c r="K2282" s="1248">
        <v>3.0000008613608798E-3</v>
      </c>
      <c r="L2282" s="1250">
        <v>2.0000005742604201E-3</v>
      </c>
      <c r="M2282" s="1273">
        <v>2.0000005742604201E-3</v>
      </c>
      <c r="N2282" s="1248">
        <v>3.1850009128239903E-2</v>
      </c>
      <c r="O2282" s="1249">
        <v>3.1850009128239903E-2</v>
      </c>
      <c r="P2282" s="1251">
        <v>1.5925004564119952E-2</v>
      </c>
      <c r="Q2282" s="1252">
        <v>2.5793286764014399E-2</v>
      </c>
    </row>
    <row r="2283" spans="1:17" s="212" customFormat="1" ht="15.5" x14ac:dyDescent="0.35">
      <c r="A2283" s="198">
        <v>2050</v>
      </c>
      <c r="B2283" s="197" t="s">
        <v>5842</v>
      </c>
      <c r="C2283" s="197">
        <v>2019</v>
      </c>
      <c r="D2283" s="213" t="str">
        <f t="shared" si="24"/>
        <v>2050_2019</v>
      </c>
      <c r="E2283" s="1267">
        <v>8.9928917082224002E-2</v>
      </c>
      <c r="F2283" s="1278">
        <v>3.47925996618699E-3</v>
      </c>
      <c r="G2283" s="1248">
        <v>0.45424954361244801</v>
      </c>
      <c r="H2283" s="1278">
        <v>3.0320824082547999E-2</v>
      </c>
      <c r="I2283" s="1248">
        <v>2.4738533887122698E-2</v>
      </c>
      <c r="J2283" s="1278">
        <v>1.09984601916717E-3</v>
      </c>
      <c r="K2283" s="1248">
        <v>3.0000008614099998E-3</v>
      </c>
      <c r="L2283" s="1250">
        <v>2.0000005742158398E-3</v>
      </c>
      <c r="M2283" s="1273">
        <v>2.0000005742158398E-3</v>
      </c>
      <c r="N2283" s="1248">
        <v>3.1850009128239903E-2</v>
      </c>
      <c r="O2283" s="1249">
        <v>3.1850009128239903E-2</v>
      </c>
      <c r="P2283" s="1251">
        <v>1.5925004564119952E-2</v>
      </c>
      <c r="Q2283" s="1252">
        <v>2.58571006138801E-2</v>
      </c>
    </row>
    <row r="2284" spans="1:17" s="212" customFormat="1" ht="15.5" x14ac:dyDescent="0.35">
      <c r="A2284" s="198">
        <v>2050</v>
      </c>
      <c r="B2284" s="197" t="s">
        <v>5842</v>
      </c>
      <c r="C2284" s="197">
        <v>2020</v>
      </c>
      <c r="D2284" s="213" t="str">
        <f t="shared" si="24"/>
        <v>2050_2020</v>
      </c>
      <c r="E2284" s="1267">
        <v>7.9093321413401294E-2</v>
      </c>
      <c r="F2284" s="1278">
        <v>2.84709575829199E-3</v>
      </c>
      <c r="G2284" s="1248">
        <v>0.35997558609383401</v>
      </c>
      <c r="H2284" s="1278">
        <v>2.66867218524009E-2</v>
      </c>
      <c r="I2284" s="1248">
        <v>2.2627068863037701E-2</v>
      </c>
      <c r="J2284" s="1278">
        <v>1.08653868643918E-3</v>
      </c>
      <c r="K2284" s="1248">
        <v>3.00000086098259E-3</v>
      </c>
      <c r="L2284" s="1250">
        <v>2.0000005740856701E-3</v>
      </c>
      <c r="M2284" s="1273">
        <v>2.0000005740856701E-3</v>
      </c>
      <c r="N2284" s="1248">
        <v>3.1850009128239903E-2</v>
      </c>
      <c r="O2284" s="1249">
        <v>3.1850009128239903E-2</v>
      </c>
      <c r="P2284" s="1251">
        <v>1.5925004564119952E-2</v>
      </c>
      <c r="Q2284" s="1252">
        <v>2.3650164510893301E-2</v>
      </c>
    </row>
    <row r="2285" spans="1:17" s="212" customFormat="1" ht="15.5" x14ac:dyDescent="0.35">
      <c r="A2285" s="198">
        <v>2050</v>
      </c>
      <c r="B2285" s="197" t="s">
        <v>5842</v>
      </c>
      <c r="C2285" s="197">
        <v>2021</v>
      </c>
      <c r="D2285" s="213" t="str">
        <f t="shared" si="24"/>
        <v>2050_2021</v>
      </c>
      <c r="E2285" s="1267">
        <v>7.9129135208572093E-2</v>
      </c>
      <c r="F2285" s="1278">
        <v>2.43129668893967E-3</v>
      </c>
      <c r="G2285" s="1248">
        <v>0.29523769998676103</v>
      </c>
      <c r="H2285" s="1278">
        <v>2.2773050866355699E-2</v>
      </c>
      <c r="I2285" s="1248">
        <v>2.2634272399964898E-2</v>
      </c>
      <c r="J2285" s="1278">
        <v>1.08670762791766E-3</v>
      </c>
      <c r="K2285" s="1248">
        <v>3.0000008609848798E-3</v>
      </c>
      <c r="L2285" s="1250">
        <v>2.0000005740873901E-3</v>
      </c>
      <c r="M2285" s="1273">
        <v>2.0000005740873901E-3</v>
      </c>
      <c r="N2285" s="1248">
        <v>3.1850009128239903E-2</v>
      </c>
      <c r="O2285" s="1249">
        <v>3.1850009128239903E-2</v>
      </c>
      <c r="P2285" s="1251">
        <v>1.5925004564119952E-2</v>
      </c>
      <c r="Q2285" s="1252">
        <v>2.3657693759795099E-2</v>
      </c>
    </row>
    <row r="2286" spans="1:17" s="212" customFormat="1" ht="15.5" x14ac:dyDescent="0.35">
      <c r="A2286" s="198">
        <v>2050</v>
      </c>
      <c r="B2286" s="197" t="s">
        <v>5842</v>
      </c>
      <c r="C2286" s="197">
        <v>2022</v>
      </c>
      <c r="D2286" s="213" t="str">
        <f t="shared" si="24"/>
        <v>2050_2022</v>
      </c>
      <c r="E2286" s="1267">
        <v>7.9163579068162099E-2</v>
      </c>
      <c r="F2286" s="1278">
        <v>2.0152296404848799E-3</v>
      </c>
      <c r="G2286" s="1248">
        <v>0.22914611761272299</v>
      </c>
      <c r="H2286" s="1278">
        <v>1.8862993179626301E-2</v>
      </c>
      <c r="I2286" s="1248">
        <v>2.2641194873572801E-2</v>
      </c>
      <c r="J2286" s="1278">
        <v>1.08686908273806E-3</v>
      </c>
      <c r="K2286" s="1248">
        <v>3.0000008609870898E-3</v>
      </c>
      <c r="L2286" s="1250">
        <v>2.0000005740890502E-3</v>
      </c>
      <c r="M2286" s="1273">
        <v>2.0000005740890502E-3</v>
      </c>
      <c r="N2286" s="1248">
        <v>3.1850009128239903E-2</v>
      </c>
      <c r="O2286" s="1249">
        <v>3.1850009128239903E-2</v>
      </c>
      <c r="P2286" s="1251">
        <v>1.5925004564119952E-2</v>
      </c>
      <c r="Q2286" s="1252">
        <v>2.3664929236941398E-2</v>
      </c>
    </row>
    <row r="2287" spans="1:17" s="212" customFormat="1" ht="15.5" x14ac:dyDescent="0.35">
      <c r="A2287" s="198">
        <v>2050</v>
      </c>
      <c r="B2287" s="197" t="s">
        <v>5842</v>
      </c>
      <c r="C2287" s="197">
        <v>2023</v>
      </c>
      <c r="D2287" s="213" t="str">
        <f t="shared" ref="D2287:D2315" si="25">CONCATENATE(A2287,"_",C2287)</f>
        <v>2050_2023</v>
      </c>
      <c r="E2287" s="1267">
        <v>7.9196863772121595E-2</v>
      </c>
      <c r="F2287" s="1278">
        <v>2.01649047375232E-3</v>
      </c>
      <c r="G2287" s="1248">
        <v>0.22919625910216301</v>
      </c>
      <c r="H2287" s="1278">
        <v>1.8862395952148999E-2</v>
      </c>
      <c r="I2287" s="1248">
        <v>2.2647865075249098E-2</v>
      </c>
      <c r="J2287" s="1278">
        <v>1.08702193132845E-3</v>
      </c>
      <c r="K2287" s="1248">
        <v>3.0000008609892201E-3</v>
      </c>
      <c r="L2287" s="1250">
        <v>2.0000005740906501E-3</v>
      </c>
      <c r="M2287" s="1273">
        <v>2.0000005740906501E-3</v>
      </c>
      <c r="N2287" s="1248">
        <v>3.1850009128239903E-2</v>
      </c>
      <c r="O2287" s="1249">
        <v>3.1850009128239903E-2</v>
      </c>
      <c r="P2287" s="1251">
        <v>1.5925004564119952E-2</v>
      </c>
      <c r="Q2287" s="1252">
        <v>2.3671901035539001E-2</v>
      </c>
    </row>
    <row r="2288" spans="1:17" s="212" customFormat="1" ht="15.5" x14ac:dyDescent="0.35">
      <c r="A2288" s="198">
        <v>2050</v>
      </c>
      <c r="B2288" s="197" t="s">
        <v>5842</v>
      </c>
      <c r="C2288" s="197">
        <v>2024</v>
      </c>
      <c r="D2288" s="213" t="str">
        <f t="shared" si="25"/>
        <v>2050_2024</v>
      </c>
      <c r="E2288" s="1267">
        <v>7.9228413262162595E-2</v>
      </c>
      <c r="F2288" s="1278">
        <v>2.0176781398381798E-3</v>
      </c>
      <c r="G2288" s="1248">
        <v>0.22924352633018899</v>
      </c>
      <c r="H2288" s="1278">
        <v>1.8861802702547201E-2</v>
      </c>
      <c r="I2288" s="1248">
        <v>2.2654179050982201E-2</v>
      </c>
      <c r="J2288" s="1278">
        <v>1.0871651626644099E-3</v>
      </c>
      <c r="K2288" s="1248">
        <v>3.0000008609912501E-3</v>
      </c>
      <c r="L2288" s="1250">
        <v>2.0000005740921701E-3</v>
      </c>
      <c r="M2288" s="1275">
        <v>2.0000005740206501E-3</v>
      </c>
      <c r="N2288" s="1248">
        <v>3.1850009128239903E-2</v>
      </c>
      <c r="O2288" s="1249">
        <v>3.1850009128239903E-2</v>
      </c>
      <c r="P2288" s="1260">
        <v>1.59250045641199E-2</v>
      </c>
      <c r="Q2288" s="1252">
        <v>2.3678500501237001E-2</v>
      </c>
    </row>
    <row r="2289" spans="1:17" s="212" customFormat="1" ht="15.5" x14ac:dyDescent="0.35">
      <c r="A2289" s="198">
        <v>2050</v>
      </c>
      <c r="B2289" s="197" t="s">
        <v>5842</v>
      </c>
      <c r="C2289" s="197">
        <v>2025</v>
      </c>
      <c r="D2289" s="213" t="str">
        <f t="shared" si="25"/>
        <v>2050_2025</v>
      </c>
      <c r="E2289" s="1267">
        <v>7.9257628382414097E-2</v>
      </c>
      <c r="F2289" s="1278">
        <v>2.0187700900579598E-3</v>
      </c>
      <c r="G2289" s="1248">
        <v>0.22928702479379001</v>
      </c>
      <c r="H2289" s="1278">
        <v>1.8861224887121501E-2</v>
      </c>
      <c r="I2289" s="1248">
        <v>2.26600170877614E-2</v>
      </c>
      <c r="J2289" s="1278">
        <v>1.0872960715050701E-3</v>
      </c>
      <c r="K2289" s="1248">
        <v>3.0000008609931501E-3</v>
      </c>
      <c r="L2289" s="1250">
        <v>2.0000005740936E-3</v>
      </c>
      <c r="M2289" s="1275">
        <v>2.0000005740224598E-3</v>
      </c>
      <c r="N2289" s="1248">
        <v>3.1850009128239903E-2</v>
      </c>
      <c r="O2289" s="1249">
        <v>3.1850009128239903E-2</v>
      </c>
      <c r="P2289" s="1260">
        <v>1.59250045641199E-2</v>
      </c>
      <c r="Q2289" s="1252">
        <v>2.3684602508133298E-2</v>
      </c>
    </row>
    <row r="2290" spans="1:17" s="212" customFormat="1" ht="15.5" x14ac:dyDescent="0.35">
      <c r="A2290" s="198">
        <v>2050</v>
      </c>
      <c r="B2290" s="197" t="s">
        <v>5842</v>
      </c>
      <c r="C2290" s="197">
        <v>2026</v>
      </c>
      <c r="D2290" s="213" t="str">
        <f t="shared" si="25"/>
        <v>2050_2026</v>
      </c>
      <c r="E2290" s="1267">
        <v>7.9286750187017793E-2</v>
      </c>
      <c r="F2290" s="1278">
        <v>2.01825082578925E-3</v>
      </c>
      <c r="G2290" s="1248">
        <v>0.22935523545815201</v>
      </c>
      <c r="H2290" s="1278">
        <v>1.8845631181079701E-2</v>
      </c>
      <c r="I2290" s="1248">
        <v>2.2665839607684399E-2</v>
      </c>
      <c r="J2290" s="1278">
        <v>1.0874271535153E-3</v>
      </c>
      <c r="K2290" s="1248">
        <v>3.00000086099507E-3</v>
      </c>
      <c r="L2290" s="1250">
        <v>2.0000005740950298E-3</v>
      </c>
      <c r="M2290" s="1275">
        <v>2.0000005740234E-3</v>
      </c>
      <c r="N2290" s="1248">
        <v>3.1850009128239903E-2</v>
      </c>
      <c r="O2290" s="1249">
        <v>3.1850009128239903E-2</v>
      </c>
      <c r="P2290" s="1260">
        <v>1.59250045641199E-2</v>
      </c>
      <c r="Q2290" s="1252">
        <v>2.36906882965702E-2</v>
      </c>
    </row>
    <row r="2291" spans="1:17" s="212" customFormat="1" ht="15.5" x14ac:dyDescent="0.35">
      <c r="A2291" s="198">
        <v>2050</v>
      </c>
      <c r="B2291" s="197" t="s">
        <v>5842</v>
      </c>
      <c r="C2291" s="197">
        <v>2027</v>
      </c>
      <c r="D2291" s="213" t="str">
        <f t="shared" si="25"/>
        <v>2050_2027</v>
      </c>
      <c r="E2291" s="1267">
        <v>7.9253626334514604E-2</v>
      </c>
      <c r="F2291" s="1278">
        <v>2.0193103862624199E-3</v>
      </c>
      <c r="G2291" s="1248">
        <v>0.229079773699363</v>
      </c>
      <c r="H2291" s="1278">
        <v>1.88328719029618E-2</v>
      </c>
      <c r="I2291" s="1248">
        <v>2.2623044850911201E-2</v>
      </c>
      <c r="J2291" s="1278">
        <v>1.08756320393034E-3</v>
      </c>
      <c r="K2291" s="1248">
        <v>3.0000008609970502E-3</v>
      </c>
      <c r="L2291" s="1250">
        <v>2.00000057409651E-3</v>
      </c>
      <c r="M2291" s="1275">
        <v>2.0000005740244899E-3</v>
      </c>
      <c r="N2291" s="1248">
        <v>3.1850009128239903E-2</v>
      </c>
      <c r="O2291" s="1249">
        <v>3.1850009128239903E-2</v>
      </c>
      <c r="P2291" s="1260">
        <v>1.59250045641199E-2</v>
      </c>
      <c r="Q2291" s="1252">
        <v>2.36459585507947E-2</v>
      </c>
    </row>
    <row r="2292" spans="1:17" s="212" customFormat="1" ht="15.5" x14ac:dyDescent="0.35">
      <c r="A2292" s="198">
        <v>2050</v>
      </c>
      <c r="B2292" s="197" t="s">
        <v>5842</v>
      </c>
      <c r="C2292" s="197">
        <v>2028</v>
      </c>
      <c r="D2292" s="213" t="str">
        <f t="shared" si="25"/>
        <v>2050_2028</v>
      </c>
      <c r="E2292" s="1267">
        <v>7.9143300380469198E-2</v>
      </c>
      <c r="F2292" s="1278">
        <v>2.0195952787740198E-3</v>
      </c>
      <c r="G2292" s="1248">
        <v>0.228413586625897</v>
      </c>
      <c r="H2292" s="1278">
        <v>1.8798046165242499E-2</v>
      </c>
      <c r="I2292" s="1248">
        <v>2.2520687333364101E-2</v>
      </c>
      <c r="J2292" s="1278">
        <v>1.08770119036054E-3</v>
      </c>
      <c r="K2292" s="1248">
        <v>3.0000008609990599E-3</v>
      </c>
      <c r="L2292" s="1250">
        <v>2.00000057409802E-3</v>
      </c>
      <c r="M2292" s="1275">
        <v>2.0000005740259002E-3</v>
      </c>
      <c r="N2292" s="1248">
        <v>3.1850009128239903E-2</v>
      </c>
      <c r="O2292" s="1249">
        <v>3.1850009128239903E-2</v>
      </c>
      <c r="P2292" s="1260">
        <v>1.59250045641199E-2</v>
      </c>
      <c r="Q2292" s="1252">
        <v>2.35389728805088E-2</v>
      </c>
    </row>
    <row r="2293" spans="1:17" s="212" customFormat="1" ht="15.5" x14ac:dyDescent="0.35">
      <c r="A2293" s="198">
        <v>2050</v>
      </c>
      <c r="B2293" s="197" t="s">
        <v>5842</v>
      </c>
      <c r="C2293" s="197">
        <v>2029</v>
      </c>
      <c r="D2293" s="213" t="str">
        <f t="shared" si="25"/>
        <v>2050_2029</v>
      </c>
      <c r="E2293" s="1267">
        <v>7.89553127203029E-2</v>
      </c>
      <c r="F2293" s="1278">
        <v>2.0177405591710099E-3</v>
      </c>
      <c r="G2293" s="1248">
        <v>0.227356014624885</v>
      </c>
      <c r="H2293" s="1278">
        <v>1.8727124700766099E-2</v>
      </c>
      <c r="I2293" s="1248">
        <v>2.2358649086448398E-2</v>
      </c>
      <c r="J2293" s="1278">
        <v>1.0878402218241999E-3</v>
      </c>
      <c r="K2293" s="1248">
        <v>3.0000008610010899E-3</v>
      </c>
      <c r="L2293" s="1250">
        <v>2.0000005740995401E-3</v>
      </c>
      <c r="M2293" s="1275">
        <v>2.0000005740271002E-3</v>
      </c>
      <c r="N2293" s="1248">
        <v>3.1850009128239903E-2</v>
      </c>
      <c r="O2293" s="1249">
        <v>3.1850009128239903E-2</v>
      </c>
      <c r="P2293" s="1260">
        <v>1.59250045641199E-2</v>
      </c>
      <c r="Q2293" s="1252">
        <v>2.3369607983101601E-2</v>
      </c>
    </row>
    <row r="2294" spans="1:17" s="212" customFormat="1" ht="15.5" x14ac:dyDescent="0.35">
      <c r="A2294" s="198">
        <v>2050</v>
      </c>
      <c r="B2294" s="197" t="s">
        <v>5842</v>
      </c>
      <c r="C2294" s="197">
        <v>2030</v>
      </c>
      <c r="D2294" s="213" t="str">
        <f t="shared" si="25"/>
        <v>2050_2030</v>
      </c>
      <c r="E2294" s="1267">
        <v>7.8689893549533305E-2</v>
      </c>
      <c r="F2294" s="1278">
        <v>2.01223919939805E-3</v>
      </c>
      <c r="G2294" s="1248">
        <v>0.22590706873570399</v>
      </c>
      <c r="H2294" s="1278">
        <v>1.8604321636267001E-2</v>
      </c>
      <c r="I2294" s="1248">
        <v>2.2136933542621098E-2</v>
      </c>
      <c r="J2294" s="1278">
        <v>1.0879803860093201E-3</v>
      </c>
      <c r="K2294" s="1248">
        <v>3.0000008610031499E-3</v>
      </c>
      <c r="L2294" s="1250">
        <v>2.0000005741010801E-3</v>
      </c>
      <c r="M2294" s="1275">
        <v>2.00000057402836E-3</v>
      </c>
      <c r="N2294" s="1248">
        <v>3.1850009128239903E-2</v>
      </c>
      <c r="O2294" s="1249">
        <v>3.1850009128239903E-2</v>
      </c>
      <c r="P2294" s="1260">
        <v>1.59250045641199E-2</v>
      </c>
      <c r="Q2294" s="1252">
        <v>2.3137867446230601E-2</v>
      </c>
    </row>
    <row r="2295" spans="1:17" s="212" customFormat="1" ht="15.5" x14ac:dyDescent="0.35">
      <c r="A2295" s="198">
        <v>2050</v>
      </c>
      <c r="B2295" s="197" t="s">
        <v>5842</v>
      </c>
      <c r="C2295" s="197">
        <v>2031</v>
      </c>
      <c r="D2295" s="213" t="str">
        <f t="shared" si="25"/>
        <v>2050_2031</v>
      </c>
      <c r="E2295" s="1267">
        <v>7.83473174066288E-2</v>
      </c>
      <c r="F2295" s="1278">
        <v>2.0020315117149699E-3</v>
      </c>
      <c r="G2295" s="1248">
        <v>0.22406704393148399</v>
      </c>
      <c r="H2295" s="1278">
        <v>1.8418323078893201E-2</v>
      </c>
      <c r="I2295" s="1248">
        <v>2.1855559667461399E-2</v>
      </c>
      <c r="J2295" s="1278">
        <v>1.0881232169515701E-3</v>
      </c>
      <c r="K2295" s="1248">
        <v>3.0000008610052602E-3</v>
      </c>
      <c r="L2295" s="1250">
        <v>2.00000057410266E-3</v>
      </c>
      <c r="M2295" s="1275">
        <v>2.0000005740303099E-3</v>
      </c>
      <c r="N2295" s="1248">
        <v>3.1850009128239903E-2</v>
      </c>
      <c r="O2295" s="1249">
        <v>3.1850009128239903E-2</v>
      </c>
      <c r="P2295" s="1260">
        <v>1.59250045641199E-2</v>
      </c>
      <c r="Q2295" s="1252">
        <v>2.2843771093014401E-2</v>
      </c>
    </row>
    <row r="2296" spans="1:17" s="212" customFormat="1" ht="15.5" x14ac:dyDescent="0.35">
      <c r="A2296" s="198">
        <v>2050</v>
      </c>
      <c r="B2296" s="197" t="s">
        <v>5842</v>
      </c>
      <c r="C2296" s="197">
        <v>2032</v>
      </c>
      <c r="D2296" s="213" t="str">
        <f t="shared" si="25"/>
        <v>2050_2032</v>
      </c>
      <c r="E2296" s="1267">
        <v>7.7926857144724901E-2</v>
      </c>
      <c r="F2296" s="1278">
        <v>1.9870337487884202E-3</v>
      </c>
      <c r="G2296" s="1248">
        <v>0.22183489732625</v>
      </c>
      <c r="H2296" s="1278">
        <v>1.8168073601694101E-2</v>
      </c>
      <c r="I2296" s="1248">
        <v>2.1514356981154999E-2</v>
      </c>
      <c r="J2296" s="1278">
        <v>1.0882669484265899E-3</v>
      </c>
      <c r="K2296" s="1248">
        <v>3.00000086100739E-3</v>
      </c>
      <c r="L2296" s="1250">
        <v>2.0000005741042598E-3</v>
      </c>
      <c r="M2296" s="1275">
        <v>2.0000005740320199E-3</v>
      </c>
      <c r="N2296" s="1248">
        <v>3.1850009128239903E-2</v>
      </c>
      <c r="O2296" s="1249">
        <v>3.1850009128239903E-2</v>
      </c>
      <c r="P2296" s="1260">
        <v>1.59250045641199E-2</v>
      </c>
      <c r="Q2296" s="1252">
        <v>2.24871407352977E-2</v>
      </c>
    </row>
    <row r="2297" spans="1:17" s="212" customFormat="1" ht="15.5" x14ac:dyDescent="0.35">
      <c r="A2297" s="198">
        <v>2050</v>
      </c>
      <c r="B2297" s="197" t="s">
        <v>5842</v>
      </c>
      <c r="C2297" s="197">
        <v>2033</v>
      </c>
      <c r="D2297" s="213" t="str">
        <f t="shared" si="25"/>
        <v>2050_2033</v>
      </c>
      <c r="E2297" s="1267">
        <v>7.74287654721698E-2</v>
      </c>
      <c r="F2297" s="1278">
        <v>1.96856339691004E-3</v>
      </c>
      <c r="G2297" s="1248">
        <v>0.219210707743521</v>
      </c>
      <c r="H2297" s="1278">
        <v>1.7866394380249999E-2</v>
      </c>
      <c r="I2297" s="1248">
        <v>2.11133296289404E-2</v>
      </c>
      <c r="J2297" s="1278">
        <v>1.0884120872295599E-3</v>
      </c>
      <c r="K2297" s="1248">
        <v>3.0000008610095502E-3</v>
      </c>
      <c r="L2297" s="1250">
        <v>2.0000005741058801E-3</v>
      </c>
      <c r="M2297" s="1275">
        <v>2.0000005740334701E-3</v>
      </c>
      <c r="N2297" s="1248">
        <v>3.1850009128239903E-2</v>
      </c>
      <c r="O2297" s="1249">
        <v>3.1850009128239903E-2</v>
      </c>
      <c r="P2297" s="1260">
        <v>1.59250045641199E-2</v>
      </c>
      <c r="Q2297" s="1252">
        <v>2.2067980705748402E-2</v>
      </c>
    </row>
    <row r="2298" spans="1:17" s="212" customFormat="1" ht="15.5" x14ac:dyDescent="0.35">
      <c r="A2298" s="198">
        <v>2050</v>
      </c>
      <c r="B2298" s="197" t="s">
        <v>5842</v>
      </c>
      <c r="C2298" s="197">
        <v>2034</v>
      </c>
      <c r="D2298" s="213" t="str">
        <f t="shared" si="25"/>
        <v>2050_2034</v>
      </c>
      <c r="E2298" s="1267">
        <v>7.6853349572888405E-2</v>
      </c>
      <c r="F2298" s="1278">
        <v>1.9493319817385599E-3</v>
      </c>
      <c r="G2298" s="1248">
        <v>0.21619481127430301</v>
      </c>
      <c r="H2298" s="1278">
        <v>1.7540163738250601E-2</v>
      </c>
      <c r="I2298" s="1248">
        <v>2.0652497723764599E-2</v>
      </c>
      <c r="J2298" s="1278">
        <v>1.0885606033281801E-3</v>
      </c>
      <c r="K2298" s="1248">
        <v>3.0000008610117702E-3</v>
      </c>
      <c r="L2298" s="1250">
        <v>2.0000005741075402E-3</v>
      </c>
      <c r="M2298" s="1275">
        <v>2.0000005740353302E-3</v>
      </c>
      <c r="N2298" s="1248">
        <v>3.1850009128239903E-2</v>
      </c>
      <c r="O2298" s="1249">
        <v>3.1850009128239903E-2</v>
      </c>
      <c r="P2298" s="1260">
        <v>1.59250045641199E-2</v>
      </c>
      <c r="Q2298" s="1252">
        <v>2.1586312026731801E-2</v>
      </c>
    </row>
    <row r="2299" spans="1:17" s="212" customFormat="1" ht="15.5" x14ac:dyDescent="0.35">
      <c r="A2299" s="198">
        <v>2050</v>
      </c>
      <c r="B2299" s="197" t="s">
        <v>5842</v>
      </c>
      <c r="C2299" s="197">
        <v>2035</v>
      </c>
      <c r="D2299" s="213" t="str">
        <f t="shared" si="25"/>
        <v>2050_2035</v>
      </c>
      <c r="E2299" s="1267">
        <v>7.6200374206497903E-2</v>
      </c>
      <c r="F2299" s="1278">
        <v>1.9330042349273301E-3</v>
      </c>
      <c r="G2299" s="1248">
        <v>0.21278675634383401</v>
      </c>
      <c r="H2299" s="1278">
        <v>1.7226039411216601E-2</v>
      </c>
      <c r="I2299" s="1248">
        <v>2.0131772891511902E-2</v>
      </c>
      <c r="J2299" s="1278">
        <v>1.08871198509053E-3</v>
      </c>
      <c r="K2299" s="1248">
        <v>3.0000008610140401E-3</v>
      </c>
      <c r="L2299" s="1250">
        <v>2.0000005741092398E-3</v>
      </c>
      <c r="M2299" s="1275">
        <v>2.0000005740367101E-3</v>
      </c>
      <c r="N2299" s="1248">
        <v>3.1850009128239903E-2</v>
      </c>
      <c r="O2299" s="1249">
        <v>3.1850009128239903E-2</v>
      </c>
      <c r="P2299" s="1260">
        <v>1.59250045641199E-2</v>
      </c>
      <c r="Q2299" s="1252">
        <v>2.1042042328246899E-2</v>
      </c>
    </row>
    <row r="2300" spans="1:17" s="212" customFormat="1" ht="15.5" x14ac:dyDescent="0.35">
      <c r="A2300" s="198">
        <v>2050</v>
      </c>
      <c r="B2300" s="197" t="s">
        <v>5842</v>
      </c>
      <c r="C2300" s="197">
        <v>2036</v>
      </c>
      <c r="D2300" s="213" t="str">
        <f t="shared" si="25"/>
        <v>2050_2036</v>
      </c>
      <c r="E2300" s="1267">
        <v>7.5469736405998702E-2</v>
      </c>
      <c r="F2300" s="1278">
        <v>1.92339027045501E-3</v>
      </c>
      <c r="G2300" s="1248">
        <v>0.208986179922971</v>
      </c>
      <c r="H2300" s="1278">
        <v>1.69619114203211E-2</v>
      </c>
      <c r="I2300" s="1248">
        <v>1.9551086954918001E-2</v>
      </c>
      <c r="J2300" s="1278">
        <v>1.0888660142524399E-3</v>
      </c>
      <c r="K2300" s="1248">
        <v>3.0000008610163698E-3</v>
      </c>
      <c r="L2300" s="1250">
        <v>2.0000005741109802E-3</v>
      </c>
      <c r="M2300" s="1275">
        <v>2.00000057403812E-3</v>
      </c>
      <c r="N2300" s="1248">
        <v>3.1850009128239903E-2</v>
      </c>
      <c r="O2300" s="1249">
        <v>3.1850009128239903E-2</v>
      </c>
      <c r="P2300" s="1260">
        <v>1.59250045641199E-2</v>
      </c>
      <c r="Q2300" s="1252">
        <v>2.0435100350355999E-2</v>
      </c>
    </row>
    <row r="2301" spans="1:17" s="212" customFormat="1" ht="15.5" x14ac:dyDescent="0.35">
      <c r="A2301" s="198">
        <v>2050</v>
      </c>
      <c r="B2301" s="197" t="s">
        <v>5842</v>
      </c>
      <c r="C2301" s="197">
        <v>2037</v>
      </c>
      <c r="D2301" s="213" t="str">
        <f t="shared" si="25"/>
        <v>2050_2037</v>
      </c>
      <c r="E2301" s="1267">
        <v>7.4660918187280101E-2</v>
      </c>
      <c r="F2301" s="1278">
        <v>1.92331428861214E-3</v>
      </c>
      <c r="G2301" s="1248">
        <v>0.204792262651108</v>
      </c>
      <c r="H2301" s="1278">
        <v>1.67755690028067E-2</v>
      </c>
      <c r="I2301" s="1248">
        <v>1.8910301642711701E-2</v>
      </c>
      <c r="J2301" s="1278">
        <v>1.0890211227175799E-3</v>
      </c>
      <c r="K2301" s="1248">
        <v>3.0000008610187199E-3</v>
      </c>
      <c r="L2301" s="1250">
        <v>2.00000057411274E-3</v>
      </c>
      <c r="M2301" s="1275">
        <v>2.0000005740398001E-3</v>
      </c>
      <c r="N2301" s="1248">
        <v>3.1850009128239903E-2</v>
      </c>
      <c r="O2301" s="1249">
        <v>3.1850009128239903E-2</v>
      </c>
      <c r="P2301" s="1260">
        <v>1.59250045641199E-2</v>
      </c>
      <c r="Q2301" s="1252">
        <v>1.9765341569774299E-2</v>
      </c>
    </row>
    <row r="2302" spans="1:17" s="212" customFormat="1" ht="15.5" x14ac:dyDescent="0.35">
      <c r="A2302" s="198">
        <v>2050</v>
      </c>
      <c r="B2302" s="197" t="s">
        <v>5842</v>
      </c>
      <c r="C2302" s="197">
        <v>2038</v>
      </c>
      <c r="D2302" s="213" t="str">
        <f t="shared" si="25"/>
        <v>2050_2038</v>
      </c>
      <c r="E2302" s="1267">
        <v>7.3773326827767702E-2</v>
      </c>
      <c r="F2302" s="1278">
        <v>1.9335001454659801E-3</v>
      </c>
      <c r="G2302" s="1248">
        <v>0.20020427304257499</v>
      </c>
      <c r="H2302" s="1278">
        <v>1.66732242459624E-2</v>
      </c>
      <c r="I2302" s="1248">
        <v>1.8209276927342501E-2</v>
      </c>
      <c r="J2302" s="1278">
        <v>1.08917677077984E-3</v>
      </c>
      <c r="K2302" s="1248">
        <v>3.00000086102109E-3</v>
      </c>
      <c r="L2302" s="1250">
        <v>2.0000005741145099E-3</v>
      </c>
      <c r="M2302" s="1275">
        <v>2.0000005740414902E-3</v>
      </c>
      <c r="N2302" s="1248">
        <v>3.1850009128239903E-2</v>
      </c>
      <c r="O2302" s="1249">
        <v>3.1850009128239903E-2</v>
      </c>
      <c r="P2302" s="1260">
        <v>1.59250045641199E-2</v>
      </c>
      <c r="Q2302" s="1252">
        <v>1.9032619627527302E-2</v>
      </c>
    </row>
    <row r="2303" spans="1:17" s="212" customFormat="1" ht="15.5" x14ac:dyDescent="0.35">
      <c r="A2303" s="198">
        <v>2050</v>
      </c>
      <c r="B2303" s="197" t="s">
        <v>5842</v>
      </c>
      <c r="C2303" s="197">
        <v>2039</v>
      </c>
      <c r="D2303" s="213" t="str">
        <f t="shared" si="25"/>
        <v>2050_2039</v>
      </c>
      <c r="E2303" s="1267">
        <v>7.2807672502443799E-2</v>
      </c>
      <c r="F2303" s="1278">
        <v>1.95184705848248E-3</v>
      </c>
      <c r="G2303" s="1248">
        <v>0.19522283350983899</v>
      </c>
      <c r="H2303" s="1278">
        <v>1.6631738500896699E-2</v>
      </c>
      <c r="I2303" s="1248">
        <v>1.7448079391785502E-2</v>
      </c>
      <c r="J2303" s="1278">
        <v>1.08933541589591E-3</v>
      </c>
      <c r="K2303" s="1248">
        <v>3.0000008610235E-3</v>
      </c>
      <c r="L2303" s="1250">
        <v>2.0000005741163201E-3</v>
      </c>
      <c r="M2303" s="1275">
        <v>2.0000005740432401E-3</v>
      </c>
      <c r="N2303" s="1248">
        <v>3.1850009128239903E-2</v>
      </c>
      <c r="O2303" s="1249">
        <v>3.1850009128239903E-2</v>
      </c>
      <c r="P2303" s="1260">
        <v>1.59250045641199E-2</v>
      </c>
      <c r="Q2303" s="1252">
        <v>1.8237004117176402E-2</v>
      </c>
    </row>
    <row r="2304" spans="1:17" s="212" customFormat="1" ht="15.5" x14ac:dyDescent="0.35">
      <c r="A2304" s="198">
        <v>2050</v>
      </c>
      <c r="B2304" s="197" t="s">
        <v>5842</v>
      </c>
      <c r="C2304" s="197">
        <v>2040</v>
      </c>
      <c r="D2304" s="213" t="str">
        <f t="shared" si="25"/>
        <v>2050_2040</v>
      </c>
      <c r="E2304" s="1267">
        <v>7.1763519486789107E-2</v>
      </c>
      <c r="F2304" s="1278">
        <v>1.97341039751851E-3</v>
      </c>
      <c r="G2304" s="1248">
        <v>0.189847217851249</v>
      </c>
      <c r="H2304" s="1278">
        <v>1.65993961115058E-2</v>
      </c>
      <c r="I2304" s="1248">
        <v>1.66265830979603E-2</v>
      </c>
      <c r="J2304" s="1278">
        <v>1.08949569893559E-3</v>
      </c>
      <c r="K2304" s="1248">
        <v>3.0000008610259498E-3</v>
      </c>
      <c r="L2304" s="1250">
        <v>2.0000005741181502E-3</v>
      </c>
      <c r="M2304" s="1275">
        <v>2.0000005740450498E-3</v>
      </c>
      <c r="N2304" s="1248">
        <v>3.1850009128239903E-2</v>
      </c>
      <c r="O2304" s="1249">
        <v>3.1850009128239903E-2</v>
      </c>
      <c r="P2304" s="1260">
        <v>1.59250045641199E-2</v>
      </c>
      <c r="Q2304" s="1252">
        <v>1.7378363406280298E-2</v>
      </c>
    </row>
    <row r="2305" spans="1:17" s="212" customFormat="1" ht="15.5" x14ac:dyDescent="0.35">
      <c r="A2305" s="198">
        <v>2050</v>
      </c>
      <c r="B2305" s="197" t="s">
        <v>5842</v>
      </c>
      <c r="C2305" s="197">
        <v>2041</v>
      </c>
      <c r="D2305" s="213" t="str">
        <f t="shared" si="25"/>
        <v>2050_2041</v>
      </c>
      <c r="E2305" s="1267">
        <v>7.0640407772421004E-2</v>
      </c>
      <c r="F2305" s="1278">
        <v>1.9917392903880601E-3</v>
      </c>
      <c r="G2305" s="1248">
        <v>0.18407674755901701</v>
      </c>
      <c r="H2305" s="1278">
        <v>1.65091635940714E-2</v>
      </c>
      <c r="I2305" s="1248">
        <v>1.5744664436809198E-2</v>
      </c>
      <c r="J2305" s="1278">
        <v>1.08965672280453E-3</v>
      </c>
      <c r="K2305" s="1248">
        <v>3.0000008610284001E-3</v>
      </c>
      <c r="L2305" s="1250">
        <v>2.0000005741199899E-3</v>
      </c>
      <c r="M2305" s="1275">
        <v>2.00000057404668E-3</v>
      </c>
      <c r="N2305" s="1248">
        <v>3.1850009128239903E-2</v>
      </c>
      <c r="O2305" s="1249">
        <v>3.1850009128239903E-2</v>
      </c>
      <c r="P2305" s="1260">
        <v>1.59250045641199E-2</v>
      </c>
      <c r="Q2305" s="1252">
        <v>1.6456568296728001E-2</v>
      </c>
    </row>
    <row r="2306" spans="1:17" s="212" customFormat="1" ht="15.5" x14ac:dyDescent="0.35">
      <c r="A2306" s="198">
        <v>2050</v>
      </c>
      <c r="B2306" s="197" t="s">
        <v>5842</v>
      </c>
      <c r="C2306" s="197">
        <v>2042</v>
      </c>
      <c r="D2306" s="213" t="str">
        <f t="shared" si="25"/>
        <v>2050_2042</v>
      </c>
      <c r="E2306" s="1267">
        <v>6.9438453901455394E-2</v>
      </c>
      <c r="F2306" s="1278">
        <v>2.0016822385589498E-3</v>
      </c>
      <c r="G2306" s="1248">
        <v>0.177911413627172</v>
      </c>
      <c r="H2306" s="1278">
        <v>1.6307030148139601E-2</v>
      </c>
      <c r="I2306" s="1248">
        <v>1.4802289061514101E-2</v>
      </c>
      <c r="J2306" s="1278">
        <v>1.0898198445899699E-3</v>
      </c>
      <c r="K2306" s="1248">
        <v>3.0000008610308899E-3</v>
      </c>
      <c r="L2306" s="1250">
        <v>2.0000005741218499E-3</v>
      </c>
      <c r="M2306" s="1275">
        <v>2.00000057404841E-3</v>
      </c>
      <c r="N2306" s="1248">
        <v>3.1850009128239903E-2</v>
      </c>
      <c r="O2306" s="1249">
        <v>3.1850009128239903E-2</v>
      </c>
      <c r="P2306" s="1260">
        <v>1.59250045641199E-2</v>
      </c>
      <c r="Q2306" s="1252">
        <v>1.54715828886909E-2</v>
      </c>
    </row>
    <row r="2307" spans="1:17" s="212" customFormat="1" ht="15.5" x14ac:dyDescent="0.35">
      <c r="A2307" s="198">
        <v>2050</v>
      </c>
      <c r="B2307" s="197" t="s">
        <v>5842</v>
      </c>
      <c r="C2307" s="197">
        <v>2043</v>
      </c>
      <c r="D2307" s="213" t="str">
        <f t="shared" si="25"/>
        <v>2050_2043</v>
      </c>
      <c r="E2307" s="1267">
        <v>6.8157044099700206E-2</v>
      </c>
      <c r="F2307" s="1278">
        <v>2.00345518481622E-3</v>
      </c>
      <c r="G2307" s="1248">
        <v>0.17135031282527699</v>
      </c>
      <c r="H2307" s="1278">
        <v>1.59939215853518E-2</v>
      </c>
      <c r="I2307" s="1248">
        <v>1.37993126976054E-2</v>
      </c>
      <c r="J2307" s="1278">
        <v>1.0899831267591001E-3</v>
      </c>
      <c r="K2307" s="1248">
        <v>3.0000008610333601E-3</v>
      </c>
      <c r="L2307" s="1250">
        <v>2.0000005741237E-3</v>
      </c>
      <c r="M2307" s="1275">
        <v>2.0000005740503498E-3</v>
      </c>
      <c r="N2307" s="1248">
        <v>3.1850009128239903E-2</v>
      </c>
      <c r="O2307" s="1249">
        <v>3.1850009128239903E-2</v>
      </c>
      <c r="P2307" s="1260">
        <v>1.59250045641199E-2</v>
      </c>
      <c r="Q2307" s="1252">
        <v>1.44232563842479E-2</v>
      </c>
    </row>
    <row r="2308" spans="1:17" s="212" customFormat="1" ht="15.5" x14ac:dyDescent="0.35">
      <c r="A2308" s="198">
        <v>2050</v>
      </c>
      <c r="B2308" s="197" t="s">
        <v>5842</v>
      </c>
      <c r="C2308" s="197">
        <v>2044</v>
      </c>
      <c r="D2308" s="213" t="str">
        <f t="shared" si="25"/>
        <v>2050_2044</v>
      </c>
      <c r="E2308" s="1267">
        <v>6.6796589528823003E-2</v>
      </c>
      <c r="F2308" s="1278">
        <v>2.00730010510838E-3</v>
      </c>
      <c r="G2308" s="1248">
        <v>0.16439366815202899</v>
      </c>
      <c r="H2308" s="1278">
        <v>1.5672337437861901E-2</v>
      </c>
      <c r="I2308" s="1248">
        <v>1.2735733549398101E-2</v>
      </c>
      <c r="J2308" s="1278">
        <v>1.09014810085848E-3</v>
      </c>
      <c r="K2308" s="1248">
        <v>3.0000008610358698E-3</v>
      </c>
      <c r="L2308" s="1250">
        <v>2.00000057412558E-3</v>
      </c>
      <c r="M2308" s="1275">
        <v>2.0000005740522702E-3</v>
      </c>
      <c r="N2308" s="1248">
        <v>3.1850009128239903E-2</v>
      </c>
      <c r="O2308" s="1249">
        <v>3.1850009128239903E-2</v>
      </c>
      <c r="P2308" s="1260">
        <v>1.59250045641199E-2</v>
      </c>
      <c r="Q2308" s="1252">
        <v>1.3311586906521299E-2</v>
      </c>
    </row>
    <row r="2309" spans="1:17" s="212" customFormat="1" ht="15.5" x14ac:dyDescent="0.35">
      <c r="A2309" s="198">
        <v>2050</v>
      </c>
      <c r="B2309" s="197" t="s">
        <v>5842</v>
      </c>
      <c r="C2309" s="197">
        <v>2045</v>
      </c>
      <c r="D2309" s="213" t="str">
        <f t="shared" si="25"/>
        <v>2050_2045</v>
      </c>
      <c r="E2309" s="1267">
        <v>6.5355887818386998E-2</v>
      </c>
      <c r="F2309" s="1278">
        <v>2.03649313200009E-3</v>
      </c>
      <c r="G2309" s="1248">
        <v>0.157040165812428</v>
      </c>
      <c r="H2309" s="1278">
        <v>1.5578268487806199E-2</v>
      </c>
      <c r="I2309" s="1248">
        <v>1.16113478984284E-2</v>
      </c>
      <c r="J2309" s="1278">
        <v>1.09031230610492E-3</v>
      </c>
      <c r="K2309" s="1248">
        <v>3.0000008610383501E-3</v>
      </c>
      <c r="L2309" s="1250">
        <v>2.0000005741274301E-3</v>
      </c>
      <c r="M2309" s="1275">
        <v>2.00000057405441E-3</v>
      </c>
      <c r="N2309" s="1248">
        <v>3.1850009128239903E-2</v>
      </c>
      <c r="O2309" s="1249">
        <v>3.1850009128239903E-2</v>
      </c>
      <c r="P2309" s="1260">
        <v>1.59250045641199E-2</v>
      </c>
      <c r="Q2309" s="1252">
        <v>1.21363615258021E-2</v>
      </c>
    </row>
    <row r="2310" spans="1:17" s="212" customFormat="1" ht="15.5" x14ac:dyDescent="0.35">
      <c r="A2310" s="198">
        <v>2050</v>
      </c>
      <c r="B2310" s="197" t="s">
        <v>5842</v>
      </c>
      <c r="C2310" s="197">
        <v>2046</v>
      </c>
      <c r="D2310" s="213" t="str">
        <f t="shared" si="25"/>
        <v>2050_2046</v>
      </c>
      <c r="E2310" s="1267">
        <v>6.3835351750102895E-2</v>
      </c>
      <c r="F2310" s="1278">
        <v>2.1254711770183998E-3</v>
      </c>
      <c r="G2310" s="1248">
        <v>0.149290108844226</v>
      </c>
      <c r="H2310" s="1278">
        <v>1.60618434497257E-2</v>
      </c>
      <c r="I2310" s="1248">
        <v>1.0426158396867899E-2</v>
      </c>
      <c r="J2310" s="1278">
        <v>1.0904778660928401E-3</v>
      </c>
      <c r="K2310" s="1248">
        <v>3.0000008610408298E-3</v>
      </c>
      <c r="L2310" s="1250">
        <v>2.0000005741292902E-3</v>
      </c>
      <c r="M2310" s="1275">
        <v>2.0000005740567102E-3</v>
      </c>
      <c r="N2310" s="1248">
        <v>3.1850009128239903E-2</v>
      </c>
      <c r="O2310" s="1249">
        <v>3.1850009128239903E-2</v>
      </c>
      <c r="P2310" s="1260">
        <v>1.59250045641199E-2</v>
      </c>
      <c r="Q2310" s="1252">
        <v>1.0897583014181599E-2</v>
      </c>
    </row>
    <row r="2311" spans="1:17" s="212" customFormat="1" ht="15.5" x14ac:dyDescent="0.35">
      <c r="A2311" s="198">
        <v>2050</v>
      </c>
      <c r="B2311" s="197" t="s">
        <v>5842</v>
      </c>
      <c r="C2311" s="197">
        <v>2047</v>
      </c>
      <c r="D2311" s="213" t="str">
        <f t="shared" si="25"/>
        <v>2050_2047</v>
      </c>
      <c r="E2311" s="1267">
        <v>6.2234652447229602E-2</v>
      </c>
      <c r="F2311" s="1278">
        <v>2.30679485479447E-3</v>
      </c>
      <c r="G2311" s="1248">
        <v>0.14114283705458899</v>
      </c>
      <c r="H2311" s="1278">
        <v>1.7458536446350498E-2</v>
      </c>
      <c r="I2311" s="1248">
        <v>9.1800700397842092E-3</v>
      </c>
      <c r="J2311" s="1278">
        <v>1.0906429456693199E-3</v>
      </c>
      <c r="K2311" s="1248">
        <v>3.0000008610432901E-3</v>
      </c>
      <c r="L2311" s="1250">
        <v>2.0000005741311398E-3</v>
      </c>
      <c r="M2311" s="1275">
        <v>2.0000005740590699E-3</v>
      </c>
      <c r="N2311" s="1248">
        <v>3.1850009128239903E-2</v>
      </c>
      <c r="O2311" s="1249">
        <v>3.1850009128239903E-2</v>
      </c>
      <c r="P2311" s="1260">
        <v>1.59250045641199E-2</v>
      </c>
      <c r="Q2311" s="1252">
        <v>9.5951520710257608E-3</v>
      </c>
    </row>
    <row r="2312" spans="1:17" s="212" customFormat="1" ht="15.5" x14ac:dyDescent="0.35">
      <c r="A2312" s="198">
        <v>2050</v>
      </c>
      <c r="B2312" s="197" t="s">
        <v>5842</v>
      </c>
      <c r="C2312" s="197">
        <v>2048</v>
      </c>
      <c r="D2312" s="213" t="str">
        <f t="shared" si="25"/>
        <v>2050_2048</v>
      </c>
      <c r="E2312" s="1267">
        <v>6.0554173555993698E-2</v>
      </c>
      <c r="F2312" s="1278">
        <v>2.57835044584888E-3</v>
      </c>
      <c r="G2312" s="1248">
        <v>0.13259866385890001</v>
      </c>
      <c r="H2312" s="1278">
        <v>1.9761152635615301E-2</v>
      </c>
      <c r="I2312" s="1248">
        <v>7.8730658497920807E-3</v>
      </c>
      <c r="J2312" s="1278">
        <v>1.0908107987523999E-3</v>
      </c>
      <c r="K2312" s="1248">
        <v>3.0000008610457699E-3</v>
      </c>
      <c r="L2312" s="1250">
        <v>2.0000005741329899E-3</v>
      </c>
      <c r="M2312" s="1275">
        <v>2.0000005740614499E-3</v>
      </c>
      <c r="N2312" s="1248">
        <v>3.1850009128239903E-2</v>
      </c>
      <c r="O2312" s="1249">
        <v>3.1850009128239903E-2</v>
      </c>
      <c r="P2312" s="1260">
        <v>1.59250045641199E-2</v>
      </c>
      <c r="Q2312" s="1252">
        <v>8.2290509513073904E-3</v>
      </c>
    </row>
    <row r="2313" spans="1:17" s="212" customFormat="1" ht="15.5" x14ac:dyDescent="0.35">
      <c r="A2313" s="198">
        <v>2050</v>
      </c>
      <c r="B2313" s="197" t="s">
        <v>5842</v>
      </c>
      <c r="C2313" s="197">
        <v>2049</v>
      </c>
      <c r="D2313" s="213" t="str">
        <f t="shared" si="25"/>
        <v>2050_2049</v>
      </c>
      <c r="E2313" s="1267">
        <v>5.8793307178129001E-2</v>
      </c>
      <c r="F2313" s="1278">
        <v>2.8374256609763199E-3</v>
      </c>
      <c r="G2313" s="1248">
        <v>0.123656700697181</v>
      </c>
      <c r="H2313" s="1278">
        <v>2.1962995882832299E-2</v>
      </c>
      <c r="I2313" s="1248">
        <v>6.5050231669405503E-3</v>
      </c>
      <c r="J2313" s="1278">
        <v>1.0909787656979599E-3</v>
      </c>
      <c r="K2313" s="1248">
        <v>3.0000008610482302E-3</v>
      </c>
      <c r="L2313" s="1250">
        <v>2.00000057413484E-3</v>
      </c>
      <c r="M2313" s="1275">
        <v>2.00000057406347E-3</v>
      </c>
      <c r="N2313" s="1248">
        <v>3.1850009128239903E-2</v>
      </c>
      <c r="O2313" s="1249">
        <v>3.1850009128239903E-2</v>
      </c>
      <c r="P2313" s="1260">
        <v>1.59250045641199E-2</v>
      </c>
      <c r="Q2313" s="1252">
        <v>6.7991514489368103E-3</v>
      </c>
    </row>
    <row r="2314" spans="1:17" s="212" customFormat="1" ht="15.5" x14ac:dyDescent="0.35">
      <c r="A2314" s="198">
        <v>2050</v>
      </c>
      <c r="B2314" s="197" t="s">
        <v>5842</v>
      </c>
      <c r="C2314" s="197">
        <v>2050</v>
      </c>
      <c r="D2314" s="213" t="str">
        <f t="shared" si="25"/>
        <v>2050_2050</v>
      </c>
      <c r="E2314" s="1267">
        <v>5.69521754442886E-2</v>
      </c>
      <c r="F2314" s="1278">
        <v>2.7637423174711202E-3</v>
      </c>
      <c r="G2314" s="1248">
        <v>0.11431688639729901</v>
      </c>
      <c r="H2314" s="1278">
        <v>2.08906483375066E-2</v>
      </c>
      <c r="I2314" s="1248">
        <v>5.0758899268932298E-3</v>
      </c>
      <c r="J2314" s="1278">
        <v>1.0911485356580499E-3</v>
      </c>
      <c r="K2314" s="1248">
        <v>3.0000008610507E-3</v>
      </c>
      <c r="L2314" s="1250">
        <v>2.0000005741366901E-3</v>
      </c>
      <c r="M2314" s="1275">
        <v>2.0000005740629999E-3</v>
      </c>
      <c r="N2314" s="1248">
        <v>3.1850009128239903E-2</v>
      </c>
      <c r="O2314" s="1249">
        <v>3.1850009128239903E-2</v>
      </c>
      <c r="P2314" s="1260">
        <v>1.59250045641199E-2</v>
      </c>
      <c r="Q2314" s="1252">
        <v>5.3053991454593899E-3</v>
      </c>
    </row>
    <row r="2315" spans="1:17" s="212" customFormat="1" ht="16" thickBot="1" x14ac:dyDescent="0.4">
      <c r="A2315" s="214">
        <v>2050</v>
      </c>
      <c r="B2315" s="215" t="s">
        <v>5842</v>
      </c>
      <c r="C2315" s="215">
        <v>2051</v>
      </c>
      <c r="D2315" s="216" t="str">
        <f t="shared" si="25"/>
        <v>2050_2051</v>
      </c>
      <c r="E2315" s="1269">
        <v>5.69521754442886E-2</v>
      </c>
      <c r="F2315" s="1282">
        <v>2.7637423174711202E-3</v>
      </c>
      <c r="G2315" s="1261">
        <v>0.11431688639729901</v>
      </c>
      <c r="H2315" s="1282">
        <v>2.08906483375066E-2</v>
      </c>
      <c r="I2315" s="1261">
        <v>5.0758899268932298E-3</v>
      </c>
      <c r="J2315" s="1282">
        <v>1.0911485356580499E-3</v>
      </c>
      <c r="K2315" s="1261">
        <v>3.0000008610507E-3</v>
      </c>
      <c r="L2315" s="1263">
        <v>2.0000005741366901E-3</v>
      </c>
      <c r="M2315" s="1276">
        <v>2.0000005740629999E-3</v>
      </c>
      <c r="N2315" s="1261">
        <v>3.1850009128239903E-2</v>
      </c>
      <c r="O2315" s="1262">
        <v>3.1850009128239903E-2</v>
      </c>
      <c r="P2315" s="1264">
        <v>1.59250045641199E-2</v>
      </c>
      <c r="Q2315" s="1265">
        <v>5.3053991454593899E-3</v>
      </c>
    </row>
  </sheetData>
  <hyperlinks>
    <hyperlink ref="A24" r:id="rId1" tooltip="EMFAC2021 Database" xr:uid="{6C80786B-56B0-4E5B-B362-FF0CCB440EA7}"/>
  </hyperlinks>
  <pageMargins left="0.7" right="0.7" top="0.75" bottom="0.75" header="0.3" footer="0.3"/>
  <pageSetup scale="59" orientation="portrait" r:id="rId2"/>
  <headerFooter>
    <oddFooter>&amp;L&amp;"Avenir LT Std 55 Roman,Regular"&amp;12December 30, 2020&amp;C&amp;"Avenir LT Std 55 Roman,Regular"&amp;12&amp;P of &amp;N&amp;R&amp;"Avenir LT Std 55 Roman,Regular"&amp;12&amp;A</oddFooter>
  </headerFooter>
  <drawing r:id="rId3"/>
  <legacyDrawingHF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theme="1"/>
  </sheetPr>
  <dimension ref="A1:BU2394"/>
  <sheetViews>
    <sheetView showGridLines="0" zoomScaleNormal="100" zoomScalePageLayoutView="70" workbookViewId="0"/>
  </sheetViews>
  <sheetFormatPr defaultColWidth="9.08984375" defaultRowHeight="14" x14ac:dyDescent="0.3"/>
  <cols>
    <col min="1" max="1" width="12.453125" style="186" customWidth="1"/>
    <col min="2" max="2" width="14.453125" style="186" customWidth="1"/>
    <col min="3" max="3" width="12.453125" style="186" customWidth="1"/>
    <col min="4" max="4" width="20.453125" style="186" customWidth="1"/>
    <col min="5" max="5" width="15.453125" style="186" bestFit="1" customWidth="1"/>
    <col min="6" max="6" width="15.453125" style="186" customWidth="1"/>
    <col min="7" max="7" width="15.453125" style="186" bestFit="1" customWidth="1"/>
    <col min="8" max="8" width="15.453125" style="186" customWidth="1"/>
    <col min="9" max="9" width="18" style="186" bestFit="1" customWidth="1"/>
    <col min="10" max="12" width="18" style="186" customWidth="1"/>
    <col min="13" max="13" width="16.453125" style="186" bestFit="1" customWidth="1"/>
    <col min="14" max="14" width="16.453125" style="186" customWidth="1"/>
    <col min="15" max="16384" width="9.08984375" style="186"/>
  </cols>
  <sheetData>
    <row r="1" spans="1:73" s="117" customFormat="1" ht="15" customHeight="1" x14ac:dyDescent="0.35">
      <c r="A1" s="168"/>
      <c r="B1" s="168"/>
      <c r="C1" s="168"/>
      <c r="D1" s="168"/>
      <c r="E1" s="168"/>
      <c r="F1" s="168"/>
      <c r="G1" s="168"/>
      <c r="H1" s="168"/>
      <c r="I1" s="168"/>
      <c r="J1" s="168"/>
      <c r="K1" s="168"/>
      <c r="L1" s="168"/>
      <c r="M1" s="168"/>
      <c r="N1" s="168"/>
      <c r="O1" s="168"/>
      <c r="P1" s="168"/>
      <c r="Q1" s="168"/>
      <c r="R1" s="168"/>
      <c r="S1" s="168"/>
      <c r="T1" s="168"/>
      <c r="U1" s="168"/>
      <c r="V1" s="168"/>
      <c r="W1" s="168"/>
      <c r="X1" s="168"/>
      <c r="Y1" s="168"/>
      <c r="Z1" s="168"/>
      <c r="AA1" s="168"/>
      <c r="AB1" s="168"/>
      <c r="AC1" s="168"/>
      <c r="AD1" s="168"/>
      <c r="AE1" s="168"/>
      <c r="AF1" s="168"/>
      <c r="AG1" s="168"/>
      <c r="AH1" s="168"/>
      <c r="AI1" s="168"/>
      <c r="AJ1" s="168"/>
      <c r="AK1" s="168"/>
      <c r="AL1" s="168"/>
      <c r="AM1" s="168"/>
      <c r="AN1" s="168"/>
      <c r="AO1" s="168"/>
      <c r="AP1" s="168"/>
      <c r="AQ1" s="168"/>
      <c r="AR1" s="168"/>
      <c r="AS1" s="168"/>
      <c r="AT1" s="168"/>
      <c r="AU1" s="168"/>
      <c r="AV1" s="168"/>
      <c r="AW1" s="168"/>
      <c r="AX1" s="168"/>
      <c r="AY1" s="168"/>
      <c r="AZ1" s="168"/>
      <c r="BA1" s="168"/>
      <c r="BB1" s="168"/>
      <c r="BC1" s="168"/>
      <c r="BD1" s="168"/>
      <c r="BE1" s="168"/>
      <c r="BF1" s="168"/>
      <c r="BG1" s="168"/>
      <c r="BH1" s="168"/>
      <c r="BI1" s="168"/>
      <c r="BJ1" s="168"/>
      <c r="BK1" s="168"/>
      <c r="BL1" s="168"/>
      <c r="BM1" s="168"/>
      <c r="BN1" s="168"/>
      <c r="BO1" s="168"/>
      <c r="BP1" s="168"/>
      <c r="BQ1" s="168"/>
      <c r="BR1" s="168"/>
      <c r="BS1" s="168"/>
      <c r="BT1" s="168"/>
      <c r="BU1" s="168"/>
    </row>
    <row r="2" spans="1:73" s="117" customFormat="1" ht="15" customHeight="1" x14ac:dyDescent="0.35">
      <c r="A2" s="261"/>
      <c r="B2" s="261"/>
      <c r="C2" s="261"/>
      <c r="D2" s="261"/>
      <c r="E2" s="261"/>
      <c r="F2" s="169"/>
    </row>
    <row r="3" spans="1:73" s="117" customFormat="1" ht="20.5" x14ac:dyDescent="0.35">
      <c r="A3" s="168"/>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68"/>
      <c r="BI3" s="168"/>
      <c r="BJ3" s="168"/>
      <c r="BK3" s="168"/>
      <c r="BL3" s="168"/>
      <c r="BM3" s="168"/>
      <c r="BN3" s="168"/>
      <c r="BO3" s="168"/>
      <c r="BP3" s="168"/>
      <c r="BQ3" s="168"/>
      <c r="BR3" s="168"/>
      <c r="BS3" s="168"/>
      <c r="BT3" s="168"/>
      <c r="BU3" s="168"/>
    </row>
    <row r="4" spans="1:73" s="117" customFormat="1" ht="20.5" x14ac:dyDescent="0.35">
      <c r="A4" s="170"/>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170"/>
      <c r="AU4" s="170"/>
      <c r="AV4" s="170"/>
      <c r="AW4" s="170"/>
      <c r="AX4" s="170"/>
      <c r="AY4" s="170"/>
      <c r="AZ4" s="170"/>
      <c r="BA4" s="170"/>
      <c r="BB4" s="170"/>
      <c r="BC4" s="170"/>
      <c r="BD4" s="170"/>
      <c r="BE4" s="170"/>
      <c r="BF4" s="170"/>
      <c r="BG4" s="170"/>
      <c r="BH4" s="170"/>
      <c r="BI4" s="170"/>
      <c r="BJ4" s="170"/>
      <c r="BK4" s="170"/>
      <c r="BL4" s="170"/>
      <c r="BM4" s="170"/>
      <c r="BN4" s="170"/>
      <c r="BO4" s="170"/>
      <c r="BP4" s="170"/>
      <c r="BQ4" s="170"/>
      <c r="BR4" s="170"/>
      <c r="BS4" s="170"/>
      <c r="BT4" s="170"/>
      <c r="BU4" s="170"/>
    </row>
    <row r="5" spans="1:73" s="117" customFormat="1" ht="15" customHeight="1" x14ac:dyDescent="0.35">
      <c r="A5" s="261"/>
      <c r="B5" s="261"/>
      <c r="C5" s="261"/>
      <c r="D5" s="261"/>
      <c r="E5" s="261"/>
      <c r="F5" s="169"/>
    </row>
    <row r="6" spans="1:73" s="117" customFormat="1" ht="15" customHeight="1" x14ac:dyDescent="0.35">
      <c r="A6" s="168"/>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68"/>
      <c r="BI6" s="168"/>
      <c r="BJ6" s="168"/>
      <c r="BK6" s="168"/>
      <c r="BL6" s="168"/>
      <c r="BM6" s="168"/>
      <c r="BN6" s="168"/>
      <c r="BO6" s="168"/>
      <c r="BP6" s="168"/>
      <c r="BQ6" s="168"/>
      <c r="BR6" s="168"/>
      <c r="BS6" s="168"/>
      <c r="BT6" s="168"/>
      <c r="BU6" s="168"/>
    </row>
    <row r="7" spans="1:73" s="117" customFormat="1" ht="15" customHeight="1" x14ac:dyDescent="0.35">
      <c r="A7" s="171"/>
      <c r="B7" s="171"/>
      <c r="C7" s="171"/>
      <c r="D7" s="171"/>
      <c r="E7" s="171"/>
      <c r="F7" s="171"/>
      <c r="G7" s="171"/>
      <c r="H7" s="171"/>
      <c r="I7" s="171"/>
      <c r="J7" s="171"/>
      <c r="K7" s="171"/>
      <c r="L7" s="171"/>
      <c r="M7" s="171"/>
      <c r="N7" s="171"/>
      <c r="O7" s="171"/>
      <c r="P7" s="171"/>
      <c r="Q7" s="171"/>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c r="AQ7" s="171"/>
      <c r="AR7" s="171"/>
      <c r="AS7" s="171"/>
      <c r="AT7" s="171"/>
      <c r="AU7" s="171"/>
      <c r="AV7" s="171"/>
      <c r="AW7" s="171"/>
      <c r="AX7" s="171"/>
      <c r="AY7" s="171"/>
      <c r="AZ7" s="171"/>
      <c r="BA7" s="171"/>
      <c r="BB7" s="171"/>
      <c r="BC7" s="171"/>
      <c r="BD7" s="171"/>
      <c r="BE7" s="171"/>
      <c r="BF7" s="171"/>
      <c r="BG7" s="171"/>
      <c r="BH7" s="171"/>
      <c r="BI7" s="171"/>
      <c r="BJ7" s="171"/>
      <c r="BK7" s="171"/>
      <c r="BL7" s="171"/>
      <c r="BM7" s="171"/>
      <c r="BN7" s="171"/>
      <c r="BO7" s="171"/>
      <c r="BP7" s="171"/>
      <c r="BQ7" s="171"/>
      <c r="BR7" s="171"/>
      <c r="BS7" s="171"/>
      <c r="BT7" s="171"/>
      <c r="BU7" s="171"/>
    </row>
    <row r="8" spans="1:73" s="117" customFormat="1" ht="15" customHeight="1" x14ac:dyDescent="0.35">
      <c r="A8" s="171"/>
      <c r="B8" s="171"/>
      <c r="C8" s="171"/>
      <c r="D8" s="171"/>
      <c r="E8" s="171"/>
      <c r="F8" s="171"/>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171"/>
      <c r="AZ8" s="171"/>
      <c r="BA8" s="171"/>
      <c r="BB8" s="171"/>
      <c r="BC8" s="171"/>
      <c r="BD8" s="171"/>
      <c r="BE8" s="171"/>
      <c r="BF8" s="171"/>
      <c r="BG8" s="171"/>
      <c r="BH8" s="171"/>
      <c r="BI8" s="171"/>
      <c r="BJ8" s="171"/>
      <c r="BK8" s="171"/>
      <c r="BL8" s="171"/>
      <c r="BM8" s="171"/>
      <c r="BN8" s="171"/>
      <c r="BO8" s="171"/>
      <c r="BP8" s="171"/>
      <c r="BQ8" s="171"/>
      <c r="BR8" s="171"/>
      <c r="BS8" s="171"/>
      <c r="BT8" s="171"/>
      <c r="BU8" s="171"/>
    </row>
    <row r="9" spans="1:73" s="117" customFormat="1" ht="15" customHeight="1" x14ac:dyDescent="0.35">
      <c r="A9" s="172"/>
      <c r="B9" s="171"/>
      <c r="C9" s="171"/>
      <c r="D9" s="171"/>
      <c r="E9" s="171"/>
      <c r="F9" s="171"/>
      <c r="G9" s="171"/>
      <c r="H9" s="171"/>
      <c r="I9" s="171"/>
      <c r="J9" s="171"/>
      <c r="K9" s="171"/>
      <c r="L9" s="171"/>
      <c r="M9" s="171"/>
      <c r="N9" s="171"/>
      <c r="O9" s="171"/>
      <c r="P9" s="171"/>
      <c r="Q9" s="171"/>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c r="AQ9" s="171"/>
      <c r="AR9" s="171"/>
      <c r="AS9" s="171"/>
      <c r="AT9" s="171"/>
      <c r="AU9" s="171"/>
      <c r="AV9" s="171"/>
      <c r="AW9" s="171"/>
      <c r="AX9" s="171"/>
      <c r="AY9" s="171"/>
      <c r="AZ9" s="171"/>
      <c r="BA9" s="171"/>
      <c r="BB9" s="171"/>
      <c r="BC9" s="171"/>
      <c r="BD9" s="171"/>
      <c r="BE9" s="171"/>
      <c r="BF9" s="171"/>
      <c r="BG9" s="171"/>
      <c r="BH9" s="171"/>
      <c r="BI9" s="171"/>
      <c r="BJ9" s="171"/>
      <c r="BK9" s="171"/>
      <c r="BL9" s="171"/>
      <c r="BM9" s="171"/>
      <c r="BN9" s="171"/>
      <c r="BO9" s="171"/>
      <c r="BP9" s="171"/>
      <c r="BQ9" s="171"/>
      <c r="BR9" s="171"/>
      <c r="BS9" s="171"/>
      <c r="BT9" s="171"/>
      <c r="BU9" s="171"/>
    </row>
    <row r="10" spans="1:73" s="117" customFormat="1" ht="15" customHeight="1" thickBot="1" x14ac:dyDescent="0.4">
      <c r="A10" s="171"/>
      <c r="B10" s="171"/>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c r="AQ10" s="171"/>
      <c r="AR10" s="171"/>
      <c r="AS10" s="171"/>
      <c r="AT10" s="171"/>
      <c r="AU10" s="171"/>
      <c r="AV10" s="171"/>
      <c r="AW10" s="171"/>
      <c r="AX10" s="171"/>
      <c r="AY10" s="171"/>
      <c r="AZ10" s="171"/>
      <c r="BA10" s="171"/>
      <c r="BB10" s="171"/>
      <c r="BC10" s="171"/>
      <c r="BD10" s="171"/>
      <c r="BE10" s="171"/>
      <c r="BF10" s="171"/>
      <c r="BG10" s="171"/>
      <c r="BH10" s="171"/>
      <c r="BI10" s="171"/>
      <c r="BJ10" s="171"/>
      <c r="BK10" s="171"/>
      <c r="BL10" s="171"/>
      <c r="BM10" s="171"/>
      <c r="BN10" s="171"/>
      <c r="BO10" s="171"/>
      <c r="BP10" s="171"/>
      <c r="BQ10" s="171"/>
      <c r="BR10" s="171"/>
      <c r="BS10" s="171"/>
      <c r="BT10" s="171"/>
      <c r="BU10" s="171"/>
    </row>
    <row r="11" spans="1:73" s="117" customFormat="1" ht="15" customHeight="1" x14ac:dyDescent="0.35">
      <c r="A11" s="656" t="s">
        <v>5843</v>
      </c>
      <c r="B11" s="657"/>
      <c r="C11" s="657"/>
      <c r="D11" s="657"/>
      <c r="E11" s="657"/>
      <c r="F11" s="657"/>
      <c r="G11" s="657"/>
      <c r="H11" s="657"/>
      <c r="I11" s="657"/>
      <c r="J11" s="657"/>
      <c r="K11" s="657"/>
      <c r="L11" s="657"/>
      <c r="M11" s="657"/>
      <c r="N11" s="658"/>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c r="AL11" s="173"/>
      <c r="AM11" s="173"/>
      <c r="AN11" s="173"/>
      <c r="AO11" s="173"/>
      <c r="AP11" s="173"/>
      <c r="AQ11" s="173"/>
      <c r="AR11" s="173"/>
      <c r="AS11" s="173"/>
      <c r="AT11" s="173"/>
      <c r="AU11" s="173"/>
      <c r="AV11" s="173"/>
      <c r="AW11" s="173"/>
      <c r="AX11" s="173"/>
      <c r="AY11" s="173"/>
      <c r="AZ11" s="173"/>
      <c r="BA11" s="173"/>
      <c r="BB11" s="173"/>
      <c r="BC11" s="173"/>
      <c r="BD11" s="173"/>
      <c r="BE11" s="173"/>
      <c r="BF11" s="173"/>
      <c r="BG11" s="173"/>
      <c r="BH11" s="173"/>
      <c r="BI11" s="173"/>
      <c r="BJ11" s="173"/>
      <c r="BK11" s="173"/>
      <c r="BL11" s="173"/>
      <c r="BM11" s="173"/>
      <c r="BN11" s="173"/>
      <c r="BO11" s="173"/>
      <c r="BP11" s="173"/>
      <c r="BQ11" s="173"/>
      <c r="BR11" s="173"/>
      <c r="BS11" s="173"/>
      <c r="BT11" s="173"/>
      <c r="BU11" s="173"/>
    </row>
    <row r="12" spans="1:73" s="117" customFormat="1" ht="15" customHeight="1" x14ac:dyDescent="0.35">
      <c r="A12" s="537" t="s">
        <v>748</v>
      </c>
      <c r="B12" s="538"/>
      <c r="C12" s="538"/>
      <c r="D12" s="538"/>
      <c r="E12" s="538"/>
      <c r="F12" s="538"/>
      <c r="G12" s="538"/>
      <c r="H12" s="538"/>
      <c r="I12" s="538"/>
      <c r="J12" s="538"/>
      <c r="K12" s="538"/>
      <c r="L12" s="538"/>
      <c r="M12" s="538"/>
      <c r="N12" s="539"/>
      <c r="O12" s="173"/>
      <c r="P12" s="173"/>
      <c r="Q12" s="173"/>
      <c r="R12" s="173"/>
      <c r="S12" s="173"/>
      <c r="T12" s="173"/>
      <c r="U12" s="173"/>
      <c r="V12" s="173"/>
      <c r="W12" s="173"/>
      <c r="X12" s="173"/>
      <c r="Y12" s="173"/>
      <c r="Z12" s="173"/>
      <c r="AA12" s="173"/>
      <c r="AB12" s="173"/>
      <c r="AC12" s="173"/>
      <c r="AD12" s="173"/>
      <c r="AE12" s="173"/>
      <c r="AF12" s="173"/>
      <c r="AG12" s="173"/>
      <c r="AH12" s="173"/>
      <c r="AI12" s="173"/>
      <c r="AJ12" s="173"/>
      <c r="AK12" s="173"/>
      <c r="AL12" s="173"/>
      <c r="AM12" s="173"/>
      <c r="AN12" s="173"/>
      <c r="AO12" s="173"/>
      <c r="AP12" s="173"/>
      <c r="AQ12" s="173"/>
      <c r="AR12" s="173"/>
      <c r="AS12" s="173"/>
      <c r="AT12" s="173"/>
      <c r="AU12" s="173"/>
      <c r="AV12" s="173"/>
      <c r="AW12" s="173"/>
      <c r="AX12" s="173"/>
      <c r="AY12" s="173"/>
      <c r="AZ12" s="173"/>
      <c r="BA12" s="173"/>
      <c r="BB12" s="173"/>
      <c r="BC12" s="173"/>
      <c r="BD12" s="173"/>
      <c r="BE12" s="173"/>
      <c r="BF12" s="173"/>
      <c r="BG12" s="173"/>
      <c r="BH12" s="173"/>
      <c r="BI12" s="173"/>
      <c r="BJ12" s="173"/>
      <c r="BK12" s="173"/>
      <c r="BL12" s="173"/>
      <c r="BM12" s="173"/>
      <c r="BN12" s="173"/>
      <c r="BO12" s="173"/>
      <c r="BP12" s="173"/>
      <c r="BQ12" s="173"/>
      <c r="BR12" s="173"/>
      <c r="BS12" s="173"/>
      <c r="BT12" s="173"/>
      <c r="BU12" s="173"/>
    </row>
    <row r="13" spans="1:73" s="175" customFormat="1" ht="15.5" x14ac:dyDescent="0.35">
      <c r="A13" s="174" t="s">
        <v>976</v>
      </c>
      <c r="N13" s="176"/>
    </row>
    <row r="14" spans="1:73" s="175" customFormat="1" ht="15.5" x14ac:dyDescent="0.35">
      <c r="A14" s="177" t="s">
        <v>977</v>
      </c>
      <c r="N14" s="176"/>
    </row>
    <row r="15" spans="1:73" s="175" customFormat="1" ht="15.5" x14ac:dyDescent="0.35">
      <c r="A15" s="177" t="s">
        <v>978</v>
      </c>
      <c r="N15" s="176"/>
    </row>
    <row r="16" spans="1:73" s="175" customFormat="1" ht="15" customHeight="1" x14ac:dyDescent="0.35">
      <c r="A16" s="177" t="s">
        <v>979</v>
      </c>
      <c r="B16" s="178"/>
      <c r="C16" s="178"/>
      <c r="D16" s="178"/>
      <c r="E16" s="178"/>
      <c r="F16" s="178"/>
      <c r="G16" s="178"/>
      <c r="H16" s="178"/>
      <c r="I16" s="178"/>
      <c r="J16" s="178"/>
      <c r="K16" s="178"/>
      <c r="L16" s="178"/>
      <c r="M16" s="178"/>
      <c r="N16" s="655"/>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8"/>
      <c r="BR16" s="178"/>
      <c r="BS16" s="178"/>
      <c r="BT16" s="178"/>
      <c r="BU16" s="178"/>
    </row>
    <row r="17" spans="1:73" s="175" customFormat="1" ht="15.5" x14ac:dyDescent="0.35">
      <c r="A17" s="177" t="s">
        <v>980</v>
      </c>
      <c r="N17" s="176"/>
    </row>
    <row r="18" spans="1:73" s="175" customFormat="1" ht="15.5" x14ac:dyDescent="0.35">
      <c r="A18" s="177" t="s">
        <v>981</v>
      </c>
      <c r="N18" s="176"/>
    </row>
    <row r="19" spans="1:73" s="175" customFormat="1" ht="15.5" x14ac:dyDescent="0.35">
      <c r="A19" s="96" t="s">
        <v>982</v>
      </c>
      <c r="N19" s="176"/>
    </row>
    <row r="20" spans="1:73" s="175" customFormat="1" ht="15.5" x14ac:dyDescent="0.35">
      <c r="A20" s="177" t="s">
        <v>983</v>
      </c>
      <c r="N20" s="176"/>
    </row>
    <row r="21" spans="1:73" s="175" customFormat="1" ht="15.5" x14ac:dyDescent="0.35">
      <c r="A21" s="177" t="s">
        <v>5844</v>
      </c>
      <c r="N21" s="176"/>
    </row>
    <row r="22" spans="1:73" s="175" customFormat="1" ht="15.5" x14ac:dyDescent="0.35">
      <c r="A22" s="177" t="s">
        <v>5819</v>
      </c>
      <c r="N22" s="176"/>
    </row>
    <row r="23" spans="1:73" s="175" customFormat="1" ht="15" customHeight="1" x14ac:dyDescent="0.35">
      <c r="A23" s="179" t="s">
        <v>767</v>
      </c>
      <c r="B23" s="180"/>
      <c r="C23" s="180"/>
      <c r="D23" s="180"/>
      <c r="E23" s="180"/>
      <c r="F23" s="180"/>
      <c r="G23" s="180"/>
      <c r="H23" s="180"/>
      <c r="I23" s="180"/>
      <c r="J23" s="180"/>
      <c r="K23" s="180"/>
      <c r="L23" s="180"/>
      <c r="M23" s="180"/>
      <c r="N23" s="181"/>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Q23" s="180"/>
      <c r="BR23" s="180"/>
      <c r="BS23" s="180"/>
      <c r="BT23" s="180"/>
      <c r="BU23" s="180"/>
    </row>
    <row r="24" spans="1:73" s="175" customFormat="1" ht="16" thickBot="1" x14ac:dyDescent="0.4">
      <c r="A24" s="182" t="s">
        <v>768</v>
      </c>
      <c r="B24" s="183"/>
      <c r="C24" s="183"/>
      <c r="D24" s="183"/>
      <c r="E24" s="183"/>
      <c r="F24" s="183"/>
      <c r="G24" s="183"/>
      <c r="H24" s="183"/>
      <c r="I24" s="183"/>
      <c r="J24" s="183"/>
      <c r="K24" s="183"/>
      <c r="L24" s="183"/>
      <c r="M24" s="183"/>
      <c r="N24" s="184"/>
    </row>
    <row r="25" spans="1:73" s="175" customFormat="1" ht="15.5" x14ac:dyDescent="0.35">
      <c r="A25" s="185"/>
    </row>
    <row r="26" spans="1:73" s="175" customFormat="1" ht="17.5" x14ac:dyDescent="0.35">
      <c r="A26" s="541" t="s">
        <v>5845</v>
      </c>
      <c r="B26" s="541"/>
      <c r="C26" s="541"/>
      <c r="D26" s="541"/>
      <c r="E26" s="541"/>
      <c r="F26" s="541"/>
      <c r="G26" s="541"/>
      <c r="H26" s="541"/>
      <c r="I26" s="541"/>
      <c r="J26" s="541"/>
      <c r="K26" s="541"/>
      <c r="L26" s="541"/>
      <c r="M26" s="541"/>
      <c r="N26" s="541"/>
    </row>
    <row r="27" spans="1:73" ht="14.5" thickBot="1" x14ac:dyDescent="0.35"/>
    <row r="28" spans="1:73" ht="34.5" thickBot="1" x14ac:dyDescent="0.5">
      <c r="A28" s="187" t="s">
        <v>3293</v>
      </c>
      <c r="B28" s="188" t="s">
        <v>5821</v>
      </c>
      <c r="C28" s="188" t="s">
        <v>119</v>
      </c>
      <c r="D28" s="188" t="s">
        <v>988</v>
      </c>
      <c r="E28" s="187" t="s">
        <v>5822</v>
      </c>
      <c r="F28" s="189" t="s">
        <v>5846</v>
      </c>
      <c r="G28" s="190" t="s">
        <v>5823</v>
      </c>
      <c r="H28" s="191" t="s">
        <v>5847</v>
      </c>
      <c r="I28" s="187" t="s">
        <v>5825</v>
      </c>
      <c r="J28" s="192" t="s">
        <v>5848</v>
      </c>
      <c r="K28" s="192" t="s">
        <v>5827</v>
      </c>
      <c r="L28" s="193" t="s">
        <v>5829</v>
      </c>
      <c r="M28" s="187" t="s">
        <v>5831</v>
      </c>
      <c r="N28" s="193" t="s">
        <v>5849</v>
      </c>
    </row>
    <row r="29" spans="1:73" ht="15.5" x14ac:dyDescent="0.35">
      <c r="A29" s="194">
        <v>2015</v>
      </c>
      <c r="B29" s="195" t="s">
        <v>5850</v>
      </c>
      <c r="C29" s="195">
        <v>1971</v>
      </c>
      <c r="D29" s="196" t="str">
        <f>CONCATENATE(A29,"_",C29)</f>
        <v>2015_1971</v>
      </c>
      <c r="E29" s="1220">
        <v>2.3474033398112599</v>
      </c>
      <c r="F29" s="1221">
        <v>0.74101321899831896</v>
      </c>
      <c r="G29" s="1221">
        <v>19.6859286879127</v>
      </c>
      <c r="H29" s="1221">
        <v>1.3577780790707838</v>
      </c>
      <c r="I29" s="1221">
        <v>1.8083332001732899</v>
      </c>
      <c r="J29" s="1221">
        <v>0.14200089102831728</v>
      </c>
      <c r="K29" s="1222">
        <v>3.0000008604404902E-3</v>
      </c>
      <c r="L29" s="1223">
        <v>3.7762395124158202E-2</v>
      </c>
      <c r="M29" s="1224">
        <v>1.8900980031254</v>
      </c>
      <c r="N29" s="1225">
        <v>0.14842154120099679</v>
      </c>
    </row>
    <row r="30" spans="1:73" ht="15.5" x14ac:dyDescent="0.35">
      <c r="A30" s="194">
        <v>2015</v>
      </c>
      <c r="B30" s="195" t="s">
        <v>5850</v>
      </c>
      <c r="C30" s="197">
        <v>1972</v>
      </c>
      <c r="D30" s="110" t="str">
        <f t="shared" ref="D30:D41" si="0">CONCATENATE(A30,"_",C30)</f>
        <v>2015_1972</v>
      </c>
      <c r="E30" s="1226">
        <v>2.3474033398112599</v>
      </c>
      <c r="F30" s="1227">
        <v>0.74101321899831896</v>
      </c>
      <c r="G30" s="1227">
        <v>19.6859286879127</v>
      </c>
      <c r="H30" s="1227">
        <v>1.3577780790707838</v>
      </c>
      <c r="I30" s="1227">
        <v>1.8083332001732899</v>
      </c>
      <c r="J30" s="1227">
        <v>0.14200089102831728</v>
      </c>
      <c r="K30" s="1227">
        <v>3.0000008604404902E-3</v>
      </c>
      <c r="L30" s="1228">
        <v>3.7762395124158202E-2</v>
      </c>
      <c r="M30" s="1229">
        <v>1.8900980031254</v>
      </c>
      <c r="N30" s="1230">
        <v>0.14842154120099679</v>
      </c>
    </row>
    <row r="31" spans="1:73" ht="15.5" x14ac:dyDescent="0.35">
      <c r="A31" s="194">
        <v>2015</v>
      </c>
      <c r="B31" s="195" t="s">
        <v>5850</v>
      </c>
      <c r="C31" s="195">
        <v>1973</v>
      </c>
      <c r="D31" s="110" t="str">
        <f t="shared" si="0"/>
        <v>2015_1973</v>
      </c>
      <c r="E31" s="1226">
        <v>2.3474033398112599</v>
      </c>
      <c r="F31" s="1227">
        <v>0.74101321899831896</v>
      </c>
      <c r="G31" s="1227">
        <v>19.6859286879127</v>
      </c>
      <c r="H31" s="1227">
        <v>1.3577780790707838</v>
      </c>
      <c r="I31" s="1227">
        <v>1.8083332001732899</v>
      </c>
      <c r="J31" s="1227">
        <v>0.14200089102831728</v>
      </c>
      <c r="K31" s="1227">
        <v>3.0000008604404902E-3</v>
      </c>
      <c r="L31" s="1228">
        <v>3.7762395124158202E-2</v>
      </c>
      <c r="M31" s="1229">
        <v>1.8900980031254</v>
      </c>
      <c r="N31" s="1230">
        <v>0.14842154120099679</v>
      </c>
    </row>
    <row r="32" spans="1:73" ht="15.5" x14ac:dyDescent="0.35">
      <c r="A32" s="194">
        <v>2015</v>
      </c>
      <c r="B32" s="195" t="s">
        <v>5850</v>
      </c>
      <c r="C32" s="197">
        <v>1974</v>
      </c>
      <c r="D32" s="110" t="str">
        <f t="shared" si="0"/>
        <v>2015_1974</v>
      </c>
      <c r="E32" s="1226">
        <v>2.3474033398112599</v>
      </c>
      <c r="F32" s="1227">
        <v>0.74101321899831896</v>
      </c>
      <c r="G32" s="1227">
        <v>19.6859286879127</v>
      </c>
      <c r="H32" s="1227">
        <v>1.3577780790707838</v>
      </c>
      <c r="I32" s="1227">
        <v>1.8083332001732899</v>
      </c>
      <c r="J32" s="1227">
        <v>0.14200089102831728</v>
      </c>
      <c r="K32" s="1227">
        <v>3.0000008604404902E-3</v>
      </c>
      <c r="L32" s="1228">
        <v>3.7762395124158202E-2</v>
      </c>
      <c r="M32" s="1229">
        <v>1.8900980031254</v>
      </c>
      <c r="N32" s="1230">
        <v>0.14842154120099679</v>
      </c>
    </row>
    <row r="33" spans="1:14" ht="15.5" x14ac:dyDescent="0.35">
      <c r="A33" s="194">
        <v>2015</v>
      </c>
      <c r="B33" s="195" t="s">
        <v>5850</v>
      </c>
      <c r="C33" s="195">
        <v>1975</v>
      </c>
      <c r="D33" s="110" t="str">
        <f t="shared" si="0"/>
        <v>2015_1975</v>
      </c>
      <c r="E33" s="1226">
        <v>2.3474033398112599</v>
      </c>
      <c r="F33" s="1227">
        <v>0.74101321899831896</v>
      </c>
      <c r="G33" s="1227">
        <v>19.6859286879127</v>
      </c>
      <c r="H33" s="1227">
        <v>1.3577780790707838</v>
      </c>
      <c r="I33" s="1227">
        <v>1.8083332001732899</v>
      </c>
      <c r="J33" s="1227">
        <v>0.14200089102831728</v>
      </c>
      <c r="K33" s="1227">
        <v>3.0000008604404902E-3</v>
      </c>
      <c r="L33" s="1228">
        <v>3.7762395124158202E-2</v>
      </c>
      <c r="M33" s="1229">
        <v>1.8900980031254</v>
      </c>
      <c r="N33" s="1230">
        <v>0.14842154120099679</v>
      </c>
    </row>
    <row r="34" spans="1:14" ht="15.5" x14ac:dyDescent="0.35">
      <c r="A34" s="194">
        <v>2015</v>
      </c>
      <c r="B34" s="195" t="s">
        <v>5850</v>
      </c>
      <c r="C34" s="197">
        <v>1976</v>
      </c>
      <c r="D34" s="110" t="str">
        <f t="shared" si="0"/>
        <v>2015_1976</v>
      </c>
      <c r="E34" s="1226">
        <v>2.3474033398112599</v>
      </c>
      <c r="F34" s="1227">
        <v>0.74101321899831896</v>
      </c>
      <c r="G34" s="1227">
        <v>19.6859286879127</v>
      </c>
      <c r="H34" s="1227">
        <v>1.3577780790707838</v>
      </c>
      <c r="I34" s="1227">
        <v>1.8083332001732899</v>
      </c>
      <c r="J34" s="1227">
        <v>0.14200089102831728</v>
      </c>
      <c r="K34" s="1227">
        <v>3.0000008604404902E-3</v>
      </c>
      <c r="L34" s="1228">
        <v>3.7762395124158202E-2</v>
      </c>
      <c r="M34" s="1229">
        <v>1.8900980031254</v>
      </c>
      <c r="N34" s="1230">
        <v>0.14842154120099679</v>
      </c>
    </row>
    <row r="35" spans="1:14" ht="15.5" x14ac:dyDescent="0.35">
      <c r="A35" s="194">
        <v>2015</v>
      </c>
      <c r="B35" s="195" t="s">
        <v>5850</v>
      </c>
      <c r="C35" s="195">
        <v>1977</v>
      </c>
      <c r="D35" s="110" t="str">
        <f t="shared" si="0"/>
        <v>2015_1977</v>
      </c>
      <c r="E35" s="1226">
        <v>2.3474033398112599</v>
      </c>
      <c r="F35" s="1227">
        <v>0.74101321899831896</v>
      </c>
      <c r="G35" s="1227">
        <v>19.6859286879127</v>
      </c>
      <c r="H35" s="1227">
        <v>1.3577780790707838</v>
      </c>
      <c r="I35" s="1227">
        <v>1.8083332001732899</v>
      </c>
      <c r="J35" s="1227">
        <v>0.14200089102831728</v>
      </c>
      <c r="K35" s="1227">
        <v>3.0000008604404902E-3</v>
      </c>
      <c r="L35" s="1228">
        <v>3.7762395124158202E-2</v>
      </c>
      <c r="M35" s="1229">
        <v>1.8900980031254</v>
      </c>
      <c r="N35" s="1230">
        <v>0.14842154120099679</v>
      </c>
    </row>
    <row r="36" spans="1:14" ht="15.5" x14ac:dyDescent="0.35">
      <c r="A36" s="194">
        <v>2015</v>
      </c>
      <c r="B36" s="195" t="s">
        <v>5850</v>
      </c>
      <c r="C36" s="197">
        <v>1978</v>
      </c>
      <c r="D36" s="110" t="str">
        <f t="shared" si="0"/>
        <v>2015_1978</v>
      </c>
      <c r="E36" s="1226">
        <v>2.3474033398112599</v>
      </c>
      <c r="F36" s="1227">
        <v>0.74101321899831896</v>
      </c>
      <c r="G36" s="1227">
        <v>19.6859286879127</v>
      </c>
      <c r="H36" s="1227">
        <v>1.3577780790707838</v>
      </c>
      <c r="I36" s="1227">
        <v>1.8083332001732899</v>
      </c>
      <c r="J36" s="1227">
        <v>0.14200089102831728</v>
      </c>
      <c r="K36" s="1227">
        <v>3.0000008604404902E-3</v>
      </c>
      <c r="L36" s="1228">
        <v>3.7762395124158202E-2</v>
      </c>
      <c r="M36" s="1229">
        <v>1.8900980031254</v>
      </c>
      <c r="N36" s="1230">
        <v>0.14842154120099679</v>
      </c>
    </row>
    <row r="37" spans="1:14" ht="15.5" x14ac:dyDescent="0.35">
      <c r="A37" s="194">
        <v>2015</v>
      </c>
      <c r="B37" s="195" t="s">
        <v>5850</v>
      </c>
      <c r="C37" s="195">
        <v>1979</v>
      </c>
      <c r="D37" s="110" t="str">
        <f t="shared" si="0"/>
        <v>2015_1979</v>
      </c>
      <c r="E37" s="1226">
        <v>2.3474033398112599</v>
      </c>
      <c r="F37" s="1227">
        <v>0.74101321899831896</v>
      </c>
      <c r="G37" s="1227">
        <v>19.6859286879127</v>
      </c>
      <c r="H37" s="1227">
        <v>1.3577780790707838</v>
      </c>
      <c r="I37" s="1227">
        <v>1.8083332001732899</v>
      </c>
      <c r="J37" s="1227">
        <v>0.14200089102831728</v>
      </c>
      <c r="K37" s="1227">
        <v>3.0000008604404902E-3</v>
      </c>
      <c r="L37" s="1228">
        <v>3.7762395124158202E-2</v>
      </c>
      <c r="M37" s="1229">
        <v>1.8900980031254</v>
      </c>
      <c r="N37" s="1230">
        <v>0.14842154120099679</v>
      </c>
    </row>
    <row r="38" spans="1:14" ht="15.5" x14ac:dyDescent="0.35">
      <c r="A38" s="194">
        <v>2015</v>
      </c>
      <c r="B38" s="195" t="s">
        <v>5850</v>
      </c>
      <c r="C38" s="197">
        <v>1980</v>
      </c>
      <c r="D38" s="110" t="str">
        <f t="shared" si="0"/>
        <v>2015_1980</v>
      </c>
      <c r="E38" s="1226">
        <v>2.3474033398112599</v>
      </c>
      <c r="F38" s="1227">
        <v>0.74101321899831896</v>
      </c>
      <c r="G38" s="1227">
        <v>19.6859286879127</v>
      </c>
      <c r="H38" s="1227">
        <v>1.3577780790707838</v>
      </c>
      <c r="I38" s="1227">
        <v>1.8083332001732899</v>
      </c>
      <c r="J38" s="1227">
        <v>0.14200089102831728</v>
      </c>
      <c r="K38" s="1227">
        <v>3.0000008604404902E-3</v>
      </c>
      <c r="L38" s="1228">
        <v>3.7762395124158202E-2</v>
      </c>
      <c r="M38" s="1229">
        <v>1.8900980031254</v>
      </c>
      <c r="N38" s="1230">
        <v>0.14842154120099679</v>
      </c>
    </row>
    <row r="39" spans="1:14" ht="15.5" x14ac:dyDescent="0.35">
      <c r="A39" s="194">
        <v>2015</v>
      </c>
      <c r="B39" s="195" t="s">
        <v>5850</v>
      </c>
      <c r="C39" s="195">
        <v>1981</v>
      </c>
      <c r="D39" s="110" t="str">
        <f t="shared" si="0"/>
        <v>2015_1981</v>
      </c>
      <c r="E39" s="1226">
        <v>2.3474033398112599</v>
      </c>
      <c r="F39" s="1227">
        <v>0.74101321899831896</v>
      </c>
      <c r="G39" s="1227">
        <v>19.6859286879127</v>
      </c>
      <c r="H39" s="1227">
        <v>1.3577780790707838</v>
      </c>
      <c r="I39" s="1227">
        <v>1.8083332001732899</v>
      </c>
      <c r="J39" s="1227">
        <v>0.14200089102831728</v>
      </c>
      <c r="K39" s="1227">
        <v>3.0000008604404902E-3</v>
      </c>
      <c r="L39" s="1228">
        <v>3.7762395124158202E-2</v>
      </c>
      <c r="M39" s="1229">
        <v>1.8900980031254</v>
      </c>
      <c r="N39" s="1230">
        <v>0.14842154120099679</v>
      </c>
    </row>
    <row r="40" spans="1:14" ht="15.5" x14ac:dyDescent="0.35">
      <c r="A40" s="194">
        <v>2015</v>
      </c>
      <c r="B40" s="195" t="s">
        <v>5850</v>
      </c>
      <c r="C40" s="197">
        <v>1982</v>
      </c>
      <c r="D40" s="110" t="str">
        <f t="shared" si="0"/>
        <v>2015_1982</v>
      </c>
      <c r="E40" s="1226">
        <v>2.3474033398112599</v>
      </c>
      <c r="F40" s="1227">
        <v>0.74101321899831896</v>
      </c>
      <c r="G40" s="1227">
        <v>19.6859286879127</v>
      </c>
      <c r="H40" s="1227">
        <v>1.3577780790707838</v>
      </c>
      <c r="I40" s="1227">
        <v>1.8083332001732899</v>
      </c>
      <c r="J40" s="1227">
        <v>0.14200089102831728</v>
      </c>
      <c r="K40" s="1227">
        <v>3.0000008604404902E-3</v>
      </c>
      <c r="L40" s="1228">
        <v>3.7762395124158202E-2</v>
      </c>
      <c r="M40" s="1229">
        <v>1.8900980031254</v>
      </c>
      <c r="N40" s="1230">
        <v>0.14842154120099679</v>
      </c>
    </row>
    <row r="41" spans="1:14" ht="15.5" x14ac:dyDescent="0.35">
      <c r="A41" s="194">
        <v>2015</v>
      </c>
      <c r="B41" s="195" t="s">
        <v>5850</v>
      </c>
      <c r="C41" s="195">
        <v>1983</v>
      </c>
      <c r="D41" s="110" t="str">
        <f t="shared" si="0"/>
        <v>2015_1983</v>
      </c>
      <c r="E41" s="1231">
        <v>2.3474033398112599</v>
      </c>
      <c r="F41" s="1232">
        <v>0.74101321899831896</v>
      </c>
      <c r="G41" s="1232">
        <v>19.6859286879127</v>
      </c>
      <c r="H41" s="1232">
        <v>1.3577780790707838</v>
      </c>
      <c r="I41" s="1232">
        <v>1.8083332001732899</v>
      </c>
      <c r="J41" s="1232">
        <v>0.14200089102831728</v>
      </c>
      <c r="K41" s="1232">
        <v>3.0000008604404902E-3</v>
      </c>
      <c r="L41" s="1233">
        <v>3.7762395124158202E-2</v>
      </c>
      <c r="M41" s="1234">
        <v>1.8900980031254</v>
      </c>
      <c r="N41" s="1235">
        <v>0.14842154120099679</v>
      </c>
    </row>
    <row r="42" spans="1:14" ht="15.5" x14ac:dyDescent="0.35">
      <c r="A42" s="198">
        <v>2015</v>
      </c>
      <c r="B42" s="197" t="s">
        <v>5850</v>
      </c>
      <c r="C42" s="197">
        <v>1984</v>
      </c>
      <c r="D42" s="110" t="str">
        <f>CONCATENATE(A42,"_",C42)</f>
        <v>2015_1984</v>
      </c>
      <c r="E42" s="1231">
        <v>2.3474033398112599</v>
      </c>
      <c r="F42" s="1232">
        <v>0.74101321899831896</v>
      </c>
      <c r="G42" s="1232">
        <v>19.6859286879127</v>
      </c>
      <c r="H42" s="1232">
        <v>1.3577780790707838</v>
      </c>
      <c r="I42" s="1232">
        <v>1.8083332001732899</v>
      </c>
      <c r="J42" s="1232">
        <v>0.14200089102831728</v>
      </c>
      <c r="K42" s="1232">
        <v>3.0000008604404902E-3</v>
      </c>
      <c r="L42" s="1233">
        <v>3.7762395124158202E-2</v>
      </c>
      <c r="M42" s="1234">
        <v>1.8900980031254</v>
      </c>
      <c r="N42" s="1235">
        <v>0.14842154120099679</v>
      </c>
    </row>
    <row r="43" spans="1:14" ht="15.5" x14ac:dyDescent="0.35">
      <c r="A43" s="198">
        <v>2015</v>
      </c>
      <c r="B43" s="197" t="s">
        <v>5850</v>
      </c>
      <c r="C43" s="197">
        <v>1985</v>
      </c>
      <c r="D43" s="110" t="str">
        <f t="shared" ref="D43:D105" si="1">CONCATENATE(A43,"_",C43)</f>
        <v>2015_1985</v>
      </c>
      <c r="E43" s="1231">
        <v>2.3424759235047099</v>
      </c>
      <c r="F43" s="1232">
        <v>0.74119200601857083</v>
      </c>
      <c r="G43" s="1232">
        <v>19.674506622605001</v>
      </c>
      <c r="H43" s="1232">
        <v>1.3581056752467988</v>
      </c>
      <c r="I43" s="1232">
        <v>1.8055459482910201</v>
      </c>
      <c r="J43" s="1232">
        <v>0.14203515211236967</v>
      </c>
      <c r="K43" s="1232">
        <v>3.00000086042138E-3</v>
      </c>
      <c r="L43" s="1233">
        <v>3.7666362878392798E-2</v>
      </c>
      <c r="M43" s="1234">
        <v>1.88718472408126</v>
      </c>
      <c r="N43" s="1235">
        <v>0.1484573514192388</v>
      </c>
    </row>
    <row r="44" spans="1:14" ht="15.5" x14ac:dyDescent="0.35">
      <c r="A44" s="198">
        <v>2015</v>
      </c>
      <c r="B44" s="197" t="s">
        <v>5850</v>
      </c>
      <c r="C44" s="197">
        <v>1986</v>
      </c>
      <c r="D44" s="110" t="str">
        <f t="shared" si="1"/>
        <v>2015_1986</v>
      </c>
      <c r="E44" s="1231">
        <v>2.3474033398112599</v>
      </c>
      <c r="F44" s="1232">
        <v>0.74101321899831896</v>
      </c>
      <c r="G44" s="1232">
        <v>19.6859286879127</v>
      </c>
      <c r="H44" s="1232">
        <v>1.3577780790707838</v>
      </c>
      <c r="I44" s="1232">
        <v>1.8083332001732899</v>
      </c>
      <c r="J44" s="1232">
        <v>0.14200089102831728</v>
      </c>
      <c r="K44" s="1232">
        <v>3.0000008604404902E-3</v>
      </c>
      <c r="L44" s="1233">
        <v>3.7762395124158202E-2</v>
      </c>
      <c r="M44" s="1234">
        <v>1.8900980031254</v>
      </c>
      <c r="N44" s="1235">
        <v>0.14842154120099679</v>
      </c>
    </row>
    <row r="45" spans="1:14" ht="15.5" x14ac:dyDescent="0.35">
      <c r="A45" s="198">
        <v>2015</v>
      </c>
      <c r="B45" s="197" t="s">
        <v>5850</v>
      </c>
      <c r="C45" s="197">
        <v>1987</v>
      </c>
      <c r="D45" s="110" t="str">
        <f t="shared" si="1"/>
        <v>2015_1987</v>
      </c>
      <c r="E45" s="1231">
        <v>2.45218509060384</v>
      </c>
      <c r="F45" s="1232">
        <v>0.43404449500465336</v>
      </c>
      <c r="G45" s="1232">
        <v>19.837814338282602</v>
      </c>
      <c r="H45" s="1232">
        <v>2.0861828765428174</v>
      </c>
      <c r="I45" s="1232">
        <v>1.7657281896502099</v>
      </c>
      <c r="J45" s="1232">
        <v>7.0841812574070032E-2</v>
      </c>
      <c r="K45" s="1232">
        <v>3.0000008604239301E-3</v>
      </c>
      <c r="L45" s="1233">
        <v>3.7712088142404301E-2</v>
      </c>
      <c r="M45" s="1234">
        <v>1.8455665830834</v>
      </c>
      <c r="N45" s="1235">
        <v>7.4044964982781944E-2</v>
      </c>
    </row>
    <row r="46" spans="1:14" ht="15.5" x14ac:dyDescent="0.35">
      <c r="A46" s="198">
        <v>2015</v>
      </c>
      <c r="B46" s="197" t="s">
        <v>5850</v>
      </c>
      <c r="C46" s="197">
        <v>1988</v>
      </c>
      <c r="D46" s="110" t="str">
        <f t="shared" si="1"/>
        <v>2015_1988</v>
      </c>
      <c r="E46" s="1231">
        <v>2.4493094841033098</v>
      </c>
      <c r="F46" s="1232">
        <v>0.43405003599966102</v>
      </c>
      <c r="G46" s="1232">
        <v>19.832772542513698</v>
      </c>
      <c r="H46" s="1232">
        <v>2.086209508671637</v>
      </c>
      <c r="I46" s="1232">
        <v>1.7643475829004001</v>
      </c>
      <c r="J46" s="1232">
        <v>7.0842716937872086E-2</v>
      </c>
      <c r="K46" s="1232">
        <v>3.00000086042138E-3</v>
      </c>
      <c r="L46" s="1233">
        <v>3.7666362878392798E-2</v>
      </c>
      <c r="M46" s="1234">
        <v>1.8441235514227099</v>
      </c>
      <c r="N46" s="1235">
        <v>7.4045910237902149E-2</v>
      </c>
    </row>
    <row r="47" spans="1:14" ht="15.5" x14ac:dyDescent="0.35">
      <c r="A47" s="198">
        <v>2015</v>
      </c>
      <c r="B47" s="197" t="s">
        <v>5850</v>
      </c>
      <c r="C47" s="197">
        <v>1989</v>
      </c>
      <c r="D47" s="110" t="str">
        <f t="shared" si="1"/>
        <v>2015_1989</v>
      </c>
      <c r="E47" s="1231">
        <v>2.4486727059479501</v>
      </c>
      <c r="F47" s="1232">
        <v>0.43406646541481914</v>
      </c>
      <c r="G47" s="1232">
        <v>19.831807099250799</v>
      </c>
      <c r="H47" s="1232">
        <v>2.0862884746877164</v>
      </c>
      <c r="I47" s="1232">
        <v>1.76394460520368</v>
      </c>
      <c r="J47" s="1232">
        <v>7.08453984361119E-2</v>
      </c>
      <c r="K47" s="1232">
        <v>3.00000086041628E-3</v>
      </c>
      <c r="L47" s="1233">
        <v>3.7650767829940202E-2</v>
      </c>
      <c r="M47" s="1234">
        <v>1.8437023528627301</v>
      </c>
      <c r="N47" s="1235">
        <v>7.4048712981593379E-2</v>
      </c>
    </row>
    <row r="48" spans="1:14" ht="15.5" x14ac:dyDescent="0.35">
      <c r="A48" s="198">
        <v>2015</v>
      </c>
      <c r="B48" s="197" t="s">
        <v>5850</v>
      </c>
      <c r="C48" s="197">
        <v>1990</v>
      </c>
      <c r="D48" s="110" t="str">
        <f t="shared" si="1"/>
        <v>2015_1990</v>
      </c>
      <c r="E48" s="1231">
        <v>2.4483489634948699</v>
      </c>
      <c r="F48" s="1232">
        <v>0.4341397159569092</v>
      </c>
      <c r="G48" s="1232">
        <v>19.831102408775099</v>
      </c>
      <c r="H48" s="1232">
        <v>2.0866405446445171</v>
      </c>
      <c r="I48" s="1232">
        <v>1.7638430720212399</v>
      </c>
      <c r="J48" s="1232">
        <v>7.0857353895133743E-2</v>
      </c>
      <c r="K48" s="1232">
        <v>3.00000086041936E-3</v>
      </c>
      <c r="L48" s="1233">
        <v>3.7648650106280497E-2</v>
      </c>
      <c r="M48" s="1234">
        <v>1.84359622880033</v>
      </c>
      <c r="N48" s="1235">
        <v>7.4061209013420656E-2</v>
      </c>
    </row>
    <row r="49" spans="1:14" ht="15.5" x14ac:dyDescent="0.35">
      <c r="A49" s="198">
        <v>2015</v>
      </c>
      <c r="B49" s="197" t="s">
        <v>5850</v>
      </c>
      <c r="C49" s="197">
        <v>1991</v>
      </c>
      <c r="D49" s="110" t="str">
        <f t="shared" si="1"/>
        <v>2015_1991</v>
      </c>
      <c r="E49" s="1231">
        <v>1.5819741713867801</v>
      </c>
      <c r="F49" s="1232">
        <v>0.34634810135180716</v>
      </c>
      <c r="G49" s="1232">
        <v>23.725209526745001</v>
      </c>
      <c r="H49" s="1232">
        <v>2.332004330919601</v>
      </c>
      <c r="I49" s="1232">
        <v>0.75309097115974999</v>
      </c>
      <c r="J49" s="1232">
        <v>5.29799248201561E-2</v>
      </c>
      <c r="K49" s="1232">
        <v>3.00000086041628E-3</v>
      </c>
      <c r="L49" s="1233">
        <v>3.7650767829940202E-2</v>
      </c>
      <c r="M49" s="1234">
        <v>0.78714240308390304</v>
      </c>
      <c r="N49" s="1235">
        <v>5.5375441925588964E-2</v>
      </c>
    </row>
    <row r="50" spans="1:14" ht="15.5" x14ac:dyDescent="0.35">
      <c r="A50" s="198">
        <v>2015</v>
      </c>
      <c r="B50" s="197" t="s">
        <v>5850</v>
      </c>
      <c r="C50" s="197">
        <v>1992</v>
      </c>
      <c r="D50" s="110" t="str">
        <f t="shared" si="1"/>
        <v>2015_1992</v>
      </c>
      <c r="E50" s="1231">
        <v>1.5819060289708999</v>
      </c>
      <c r="F50" s="1232">
        <v>0.34639962948490394</v>
      </c>
      <c r="G50" s="1232">
        <v>23.724905419203399</v>
      </c>
      <c r="H50" s="1232">
        <v>2.3323512761723015</v>
      </c>
      <c r="I50" s="1232">
        <v>0.75306921590292597</v>
      </c>
      <c r="J50" s="1232">
        <v>5.2987806938195464E-2</v>
      </c>
      <c r="K50" s="1232">
        <v>3.0000008604175901E-3</v>
      </c>
      <c r="L50" s="1233">
        <v>3.7649991343090702E-2</v>
      </c>
      <c r="M50" s="1234">
        <v>0.78711966415090295</v>
      </c>
      <c r="N50" s="1235">
        <v>5.5383680438029832E-2</v>
      </c>
    </row>
    <row r="51" spans="1:14" ht="15.5" x14ac:dyDescent="0.35">
      <c r="A51" s="198">
        <v>2015</v>
      </c>
      <c r="B51" s="197" t="s">
        <v>5850</v>
      </c>
      <c r="C51" s="197">
        <v>1993</v>
      </c>
      <c r="D51" s="110" t="str">
        <f t="shared" si="1"/>
        <v>2015_1993</v>
      </c>
      <c r="E51" s="1231">
        <v>1.4908953376577001</v>
      </c>
      <c r="F51" s="1232">
        <v>0.34634304348332784</v>
      </c>
      <c r="G51" s="1232">
        <v>22.021728312847198</v>
      </c>
      <c r="H51" s="1232">
        <v>2.3319702756695455</v>
      </c>
      <c r="I51" s="1232">
        <v>0.78202328688398803</v>
      </c>
      <c r="J51" s="1232">
        <v>5.2979151131804063E-2</v>
      </c>
      <c r="K51" s="1232">
        <v>3.0000008604105601E-3</v>
      </c>
      <c r="L51" s="1233">
        <v>3.7593992168371899E-2</v>
      </c>
      <c r="M51" s="1234">
        <v>0.81738290973994199</v>
      </c>
      <c r="N51" s="1235">
        <v>5.5374633254482913E-2</v>
      </c>
    </row>
    <row r="52" spans="1:14" ht="15.5" x14ac:dyDescent="0.35">
      <c r="A52" s="198">
        <v>2015</v>
      </c>
      <c r="B52" s="197" t="s">
        <v>5850</v>
      </c>
      <c r="C52" s="197">
        <v>1994</v>
      </c>
      <c r="D52" s="110" t="str">
        <f t="shared" si="1"/>
        <v>2015_1994</v>
      </c>
      <c r="E52" s="1231">
        <v>1.4071745441108701</v>
      </c>
      <c r="F52" s="1232">
        <v>0.27721907863681994</v>
      </c>
      <c r="G52" s="1232">
        <v>19.512031315095101</v>
      </c>
      <c r="H52" s="1232">
        <v>2.5348963357791905</v>
      </c>
      <c r="I52" s="1232">
        <v>0.59929549846661201</v>
      </c>
      <c r="J52" s="1232">
        <v>3.9815076803432735E-2</v>
      </c>
      <c r="K52" s="1232">
        <v>3.0000008604127099E-3</v>
      </c>
      <c r="L52" s="1233">
        <v>3.7609218528045801E-2</v>
      </c>
      <c r="M52" s="1234">
        <v>0.62639298157288303</v>
      </c>
      <c r="N52" s="1235">
        <v>4.1615337899697312E-2</v>
      </c>
    </row>
    <row r="53" spans="1:14" ht="15.5" x14ac:dyDescent="0.35">
      <c r="A53" s="198">
        <v>2015</v>
      </c>
      <c r="B53" s="197" t="s">
        <v>5850</v>
      </c>
      <c r="C53" s="197">
        <v>1995</v>
      </c>
      <c r="D53" s="110" t="str">
        <f t="shared" si="1"/>
        <v>2015_1995</v>
      </c>
      <c r="E53" s="1231">
        <v>1.4067294007640201</v>
      </c>
      <c r="F53" s="1232">
        <v>0.27719537552240664</v>
      </c>
      <c r="G53" s="1232">
        <v>19.512757348599099</v>
      </c>
      <c r="H53" s="1232">
        <v>2.5346795940665836</v>
      </c>
      <c r="I53" s="1232">
        <v>0.59930398993985701</v>
      </c>
      <c r="J53" s="1232">
        <v>3.9811672487519559E-2</v>
      </c>
      <c r="K53" s="1232">
        <v>3.0000008604101598E-3</v>
      </c>
      <c r="L53" s="1233">
        <v>3.75962254462801E-2</v>
      </c>
      <c r="M53" s="1234">
        <v>0.62640185699286899</v>
      </c>
      <c r="N53" s="1235">
        <v>4.1611779655724976E-2</v>
      </c>
    </row>
    <row r="54" spans="1:14" ht="15.5" x14ac:dyDescent="0.35">
      <c r="A54" s="198">
        <v>2015</v>
      </c>
      <c r="B54" s="197" t="s">
        <v>5850</v>
      </c>
      <c r="C54" s="197">
        <v>1996</v>
      </c>
      <c r="D54" s="110" t="str">
        <f t="shared" si="1"/>
        <v>2015_1996</v>
      </c>
      <c r="E54" s="1231">
        <v>1.2158722096794501</v>
      </c>
      <c r="F54" s="1232">
        <v>0.24185994580022943</v>
      </c>
      <c r="G54" s="1232">
        <v>19.266295889394598</v>
      </c>
      <c r="H54" s="1232">
        <v>2.5347527530979876</v>
      </c>
      <c r="I54" s="1232">
        <v>0.52553485906889297</v>
      </c>
      <c r="J54" s="1232">
        <v>3.4736686829285143E-2</v>
      </c>
      <c r="K54" s="1232">
        <v>3.00000086041114E-3</v>
      </c>
      <c r="L54" s="1233">
        <v>3.7600305387054597E-2</v>
      </c>
      <c r="M54" s="1234">
        <v>0.54929721336958903</v>
      </c>
      <c r="N54" s="1235">
        <v>3.6307325665940533E-2</v>
      </c>
    </row>
    <row r="55" spans="1:14" ht="15.5" x14ac:dyDescent="0.35">
      <c r="A55" s="198">
        <v>2015</v>
      </c>
      <c r="B55" s="197" t="s">
        <v>5850</v>
      </c>
      <c r="C55" s="197">
        <v>1997</v>
      </c>
      <c r="D55" s="110" t="str">
        <f t="shared" si="1"/>
        <v>2015_1997</v>
      </c>
      <c r="E55" s="1231">
        <v>1.2155789395184</v>
      </c>
      <c r="F55" s="1232">
        <v>0.24185592349084625</v>
      </c>
      <c r="G55" s="1232">
        <v>19.2668200149899</v>
      </c>
      <c r="H55" s="1232">
        <v>2.5347105982891489</v>
      </c>
      <c r="I55" s="1232">
        <v>0.52554909602892397</v>
      </c>
      <c r="J55" s="1232">
        <v>3.4736109132548716E-2</v>
      </c>
      <c r="K55" s="1232">
        <v>3.0000008604095401E-3</v>
      </c>
      <c r="L55" s="1233">
        <v>3.7590534291281001E-2</v>
      </c>
      <c r="M55" s="1234">
        <v>0.54931209406177794</v>
      </c>
      <c r="N55" s="1235">
        <v>3.6306721848321198E-2</v>
      </c>
    </row>
    <row r="56" spans="1:14" ht="15.5" x14ac:dyDescent="0.35">
      <c r="A56" s="198">
        <v>2015</v>
      </c>
      <c r="B56" s="197" t="s">
        <v>5850</v>
      </c>
      <c r="C56" s="197">
        <v>1998</v>
      </c>
      <c r="D56" s="110" t="str">
        <f t="shared" si="1"/>
        <v>2015_1998</v>
      </c>
      <c r="E56" s="1231">
        <v>1.21284063928553</v>
      </c>
      <c r="F56" s="1232">
        <v>0.18444763965836583</v>
      </c>
      <c r="G56" s="1232">
        <v>19.428891295426599</v>
      </c>
      <c r="H56" s="1232">
        <v>2.7275930331986027</v>
      </c>
      <c r="I56" s="1232">
        <v>0.51363987858721705</v>
      </c>
      <c r="J56" s="1232">
        <v>2.4554154508460737E-2</v>
      </c>
      <c r="K56" s="1232">
        <v>3.00000086040942E-3</v>
      </c>
      <c r="L56" s="1233">
        <v>3.7587055148955599E-2</v>
      </c>
      <c r="M56" s="1234">
        <v>0.53686439465372704</v>
      </c>
      <c r="N56" s="1235">
        <v>2.5664384417886418E-2</v>
      </c>
    </row>
    <row r="57" spans="1:14" ht="15.5" x14ac:dyDescent="0.35">
      <c r="A57" s="198">
        <v>2015</v>
      </c>
      <c r="B57" s="197" t="s">
        <v>5850</v>
      </c>
      <c r="C57" s="197">
        <v>1999</v>
      </c>
      <c r="D57" s="110" t="str">
        <f t="shared" si="1"/>
        <v>2015_1999</v>
      </c>
      <c r="E57" s="1231">
        <v>1.4328757433081001</v>
      </c>
      <c r="F57" s="1232">
        <v>0.18444631597798716</v>
      </c>
      <c r="G57" s="1232">
        <v>24.1458939925948</v>
      </c>
      <c r="H57" s="1232">
        <v>2.7275734587471021</v>
      </c>
      <c r="I57" s="1232">
        <v>0.46432445672536299</v>
      </c>
      <c r="J57" s="1232">
        <v>2.4553978296650167E-2</v>
      </c>
      <c r="K57" s="1232">
        <v>3.0000008604092899E-3</v>
      </c>
      <c r="L57" s="1233">
        <v>3.7587135658627098E-2</v>
      </c>
      <c r="M57" s="1234">
        <v>0.48531914824922301</v>
      </c>
      <c r="N57" s="1235">
        <v>2.5664200238559618E-2</v>
      </c>
    </row>
    <row r="58" spans="1:14" ht="15.5" x14ac:dyDescent="0.35">
      <c r="A58" s="198">
        <v>2015</v>
      </c>
      <c r="B58" s="197" t="s">
        <v>5850</v>
      </c>
      <c r="C58" s="197">
        <v>2000</v>
      </c>
      <c r="D58" s="110" t="str">
        <f t="shared" si="1"/>
        <v>2015_2000</v>
      </c>
      <c r="E58" s="1231">
        <v>1.39871194810094</v>
      </c>
      <c r="F58" s="1232">
        <v>0.18444001070529054</v>
      </c>
      <c r="G58" s="1232">
        <v>24.016157542139801</v>
      </c>
      <c r="H58" s="1232">
        <v>2.7274802170124213</v>
      </c>
      <c r="I58" s="1232">
        <v>0.45627300547430799</v>
      </c>
      <c r="J58" s="1232">
        <v>2.4553138922178919E-2</v>
      </c>
      <c r="K58" s="1232">
        <v>3.0000008604087998E-3</v>
      </c>
      <c r="L58" s="1233">
        <v>3.7584894636492498E-2</v>
      </c>
      <c r="M58" s="1234">
        <v>0.47690364610038</v>
      </c>
      <c r="N58" s="1235">
        <v>2.5663322911299483E-2</v>
      </c>
    </row>
    <row r="59" spans="1:14" ht="15.5" x14ac:dyDescent="0.35">
      <c r="A59" s="198">
        <v>2015</v>
      </c>
      <c r="B59" s="197" t="s">
        <v>5850</v>
      </c>
      <c r="C59" s="197">
        <v>2001</v>
      </c>
      <c r="D59" s="110" t="str">
        <f t="shared" si="1"/>
        <v>2015_2001</v>
      </c>
      <c r="E59" s="1231">
        <v>1.3608765974028201</v>
      </c>
      <c r="F59" s="1232">
        <v>0.16600577879782086</v>
      </c>
      <c r="G59" s="1232">
        <v>23.871404040187201</v>
      </c>
      <c r="H59" s="1232">
        <v>2.4548766607060557</v>
      </c>
      <c r="I59" s="1232">
        <v>0.44734888533409101</v>
      </c>
      <c r="J59" s="1232">
        <v>2.2099125526620134E-2</v>
      </c>
      <c r="K59" s="1232">
        <v>3.0000008604092101E-3</v>
      </c>
      <c r="L59" s="1233">
        <v>3.7588420914971402E-2</v>
      </c>
      <c r="M59" s="1234">
        <v>0.46757601684762001</v>
      </c>
      <c r="N59" s="1235">
        <v>2.3098349919516818E-2</v>
      </c>
    </row>
    <row r="60" spans="1:14" ht="15.5" x14ac:dyDescent="0.35">
      <c r="A60" s="198">
        <v>2015</v>
      </c>
      <c r="B60" s="197" t="s">
        <v>5850</v>
      </c>
      <c r="C60" s="197">
        <v>2002</v>
      </c>
      <c r="D60" s="110" t="str">
        <f t="shared" si="1"/>
        <v>2015_2002</v>
      </c>
      <c r="E60" s="1231">
        <v>1.3188611644072299</v>
      </c>
      <c r="F60" s="1232">
        <v>0.14940753190581832</v>
      </c>
      <c r="G60" s="1232">
        <v>23.7101544733376</v>
      </c>
      <c r="H60" s="1232">
        <v>2.2094234650468905</v>
      </c>
      <c r="I60" s="1232">
        <v>0.43743521107236399</v>
      </c>
      <c r="J60" s="1232">
        <v>1.9889523281177084E-2</v>
      </c>
      <c r="K60" s="1232">
        <v>3.00000086041095E-3</v>
      </c>
      <c r="L60" s="1233">
        <v>3.7595896843454997E-2</v>
      </c>
      <c r="M60" s="1234">
        <v>0.457214090227055</v>
      </c>
      <c r="N60" s="1235">
        <v>2.0788839265499497E-2</v>
      </c>
    </row>
    <row r="61" spans="1:14" ht="15.5" x14ac:dyDescent="0.35">
      <c r="A61" s="198">
        <v>2015</v>
      </c>
      <c r="B61" s="197" t="s">
        <v>5850</v>
      </c>
      <c r="C61" s="197">
        <v>2003</v>
      </c>
      <c r="D61" s="110" t="str">
        <f t="shared" si="1"/>
        <v>2015_2003</v>
      </c>
      <c r="E61" s="1231">
        <v>0.84049220404957403</v>
      </c>
      <c r="F61" s="1232">
        <v>0.11027055378353899</v>
      </c>
      <c r="G61" s="1232">
        <v>13.1059470873361</v>
      </c>
      <c r="H61" s="1232">
        <v>2.0618386712657126</v>
      </c>
      <c r="I61" s="1232">
        <v>0.56712193871720495</v>
      </c>
      <c r="J61" s="1232">
        <v>1.385068831532971E-2</v>
      </c>
      <c r="K61" s="1232">
        <v>3.0000008604108598E-3</v>
      </c>
      <c r="L61" s="1233">
        <v>3.75972496272396E-2</v>
      </c>
      <c r="M61" s="1234">
        <v>0.592764676219666</v>
      </c>
      <c r="N61" s="1235">
        <v>1.4476954979429777E-2</v>
      </c>
    </row>
    <row r="62" spans="1:14" ht="15.5" x14ac:dyDescent="0.35">
      <c r="A62" s="198">
        <v>2015</v>
      </c>
      <c r="B62" s="197" t="s">
        <v>5850</v>
      </c>
      <c r="C62" s="197">
        <v>2004</v>
      </c>
      <c r="D62" s="110" t="str">
        <f t="shared" si="1"/>
        <v>2015_2004</v>
      </c>
      <c r="E62" s="1231">
        <v>0.80855265106437901</v>
      </c>
      <c r="F62" s="1232">
        <v>9.9242152447906989E-2</v>
      </c>
      <c r="G62" s="1232">
        <v>11.109660138569099</v>
      </c>
      <c r="H62" s="1232">
        <v>1.8556296374317096</v>
      </c>
      <c r="I62" s="1232">
        <v>0.68026734835330105</v>
      </c>
      <c r="J62" s="1232">
        <v>1.2465450422936009E-2</v>
      </c>
      <c r="K62" s="1232">
        <v>3.0000008604101399E-3</v>
      </c>
      <c r="L62" s="1233">
        <v>3.75918209111792E-2</v>
      </c>
      <c r="M62" s="1234">
        <v>0.71102601920418596</v>
      </c>
      <c r="N62" s="1235">
        <v>1.3029082776444097E-2</v>
      </c>
    </row>
    <row r="63" spans="1:14" ht="15.5" x14ac:dyDescent="0.35">
      <c r="A63" s="198">
        <v>2015</v>
      </c>
      <c r="B63" s="197" t="s">
        <v>5850</v>
      </c>
      <c r="C63" s="197">
        <v>2005</v>
      </c>
      <c r="D63" s="110" t="str">
        <f t="shared" si="1"/>
        <v>2015_2005</v>
      </c>
      <c r="E63" s="1231">
        <v>0.77329781034239398</v>
      </c>
      <c r="F63" s="1232">
        <v>8.931667313859E-2</v>
      </c>
      <c r="G63" s="1232">
        <v>10.968386436397299</v>
      </c>
      <c r="H63" s="1232">
        <v>1.6700430382116775</v>
      </c>
      <c r="I63" s="1232">
        <v>0.65914389708648902</v>
      </c>
      <c r="J63" s="1232">
        <v>1.1218746606036115E-2</v>
      </c>
      <c r="K63" s="1232">
        <v>3.0000008604105601E-3</v>
      </c>
      <c r="L63" s="1233">
        <v>3.7593992168371899E-2</v>
      </c>
      <c r="M63" s="1234">
        <v>0.68894745920501599</v>
      </c>
      <c r="N63" s="1235">
        <v>1.1726008545110264E-2</v>
      </c>
    </row>
    <row r="64" spans="1:14" ht="15.5" x14ac:dyDescent="0.35">
      <c r="A64" s="198">
        <v>2015</v>
      </c>
      <c r="B64" s="197" t="s">
        <v>5850</v>
      </c>
      <c r="C64" s="197">
        <v>2006</v>
      </c>
      <c r="D64" s="110" t="str">
        <f t="shared" si="1"/>
        <v>2015_2006</v>
      </c>
      <c r="E64" s="1231">
        <v>0.73232477919629602</v>
      </c>
      <c r="F64" s="1232">
        <v>8.0383845292974418E-2</v>
      </c>
      <c r="G64" s="1232">
        <v>10.8176442103121</v>
      </c>
      <c r="H64" s="1232">
        <v>1.5030170347692287</v>
      </c>
      <c r="I64" s="1232">
        <v>0.63438123276156</v>
      </c>
      <c r="J64" s="1232">
        <v>1.0096726175205611E-2</v>
      </c>
      <c r="K64" s="1232">
        <v>3.00000086040974E-3</v>
      </c>
      <c r="L64" s="1233">
        <v>3.7590330265431703E-2</v>
      </c>
      <c r="M64" s="1234">
        <v>0.66306513708200898</v>
      </c>
      <c r="N64" s="1235">
        <v>1.0553255329289576E-2</v>
      </c>
    </row>
    <row r="65" spans="1:14" ht="15.5" x14ac:dyDescent="0.35">
      <c r="A65" s="198">
        <v>2015</v>
      </c>
      <c r="B65" s="197" t="s">
        <v>5850</v>
      </c>
      <c r="C65" s="197">
        <v>2007</v>
      </c>
      <c r="D65" s="110" t="str">
        <f t="shared" si="1"/>
        <v>2015_2007</v>
      </c>
      <c r="E65" s="1231">
        <v>0.51025259570616699</v>
      </c>
      <c r="F65" s="1232">
        <v>6.0311525473823076E-2</v>
      </c>
      <c r="G65" s="1232">
        <v>9.7954808319892006</v>
      </c>
      <c r="H65" s="1232">
        <v>1.3526728850130905</v>
      </c>
      <c r="I65" s="1232">
        <v>0.439937264903904</v>
      </c>
      <c r="J65" s="1232">
        <v>7.6823020528194626E-3</v>
      </c>
      <c r="K65" s="1232">
        <v>3.0000008604093701E-3</v>
      </c>
      <c r="L65" s="1233">
        <v>3.7586643105729997E-2</v>
      </c>
      <c r="M65" s="1234">
        <v>0.45982927583015898</v>
      </c>
      <c r="N65" s="1235">
        <v>8.0296616619374896E-3</v>
      </c>
    </row>
    <row r="66" spans="1:14" ht="15.5" x14ac:dyDescent="0.35">
      <c r="A66" s="198">
        <v>2015</v>
      </c>
      <c r="B66" s="197" t="s">
        <v>5850</v>
      </c>
      <c r="C66" s="197">
        <v>2008</v>
      </c>
      <c r="D66" s="110" t="str">
        <f t="shared" si="1"/>
        <v>2015_2008</v>
      </c>
      <c r="E66" s="1231">
        <v>0.18259083245972499</v>
      </c>
      <c r="F66" s="1232">
        <v>2.7357867090009362E-2</v>
      </c>
      <c r="G66" s="1232">
        <v>7.6828219436350897</v>
      </c>
      <c r="H66" s="1232">
        <v>1.0398803515668984</v>
      </c>
      <c r="I66" s="1232">
        <v>4.1963050671362898E-2</v>
      </c>
      <c r="J66" s="1232">
        <v>4.2456549393156255E-4</v>
      </c>
      <c r="K66" s="1232">
        <v>3.00000086040907E-3</v>
      </c>
      <c r="L66" s="1233">
        <v>3.7585201520873003E-2</v>
      </c>
      <c r="M66" s="1234">
        <v>4.3860433614442397E-2</v>
      </c>
      <c r="N66" s="1235">
        <v>4.4376246158567143E-4</v>
      </c>
    </row>
    <row r="67" spans="1:14" ht="15.5" x14ac:dyDescent="0.35">
      <c r="A67" s="198">
        <v>2015</v>
      </c>
      <c r="B67" s="197" t="s">
        <v>5850</v>
      </c>
      <c r="C67" s="197">
        <v>2009</v>
      </c>
      <c r="D67" s="110" t="str">
        <f t="shared" si="1"/>
        <v>2015_2009</v>
      </c>
      <c r="E67" s="1231">
        <v>0.16295749212423999</v>
      </c>
      <c r="F67" s="1232">
        <v>2.5774947660770795E-2</v>
      </c>
      <c r="G67" s="1232">
        <v>7.4498666572473198</v>
      </c>
      <c r="H67" s="1232">
        <v>0.51719110848580629</v>
      </c>
      <c r="I67" s="1232">
        <v>3.0425283982494701E-2</v>
      </c>
      <c r="J67" s="1232">
        <v>1.0686852438112857E-4</v>
      </c>
      <c r="K67" s="1232">
        <v>3.0000008604093801E-3</v>
      </c>
      <c r="L67" s="1233">
        <v>3.7588474377619897E-2</v>
      </c>
      <c r="M67" s="1234">
        <v>3.1800980313984997E-2</v>
      </c>
      <c r="N67" s="1235">
        <v>1.1170064483158977E-4</v>
      </c>
    </row>
    <row r="68" spans="1:14" ht="15.5" x14ac:dyDescent="0.35">
      <c r="A68" s="198">
        <v>2015</v>
      </c>
      <c r="B68" s="197" t="s">
        <v>5850</v>
      </c>
      <c r="C68" s="197">
        <v>2010</v>
      </c>
      <c r="D68" s="110" t="str">
        <f t="shared" si="1"/>
        <v>2015_2010</v>
      </c>
      <c r="E68" s="1231">
        <v>0.16660247552836599</v>
      </c>
      <c r="F68" s="1232">
        <v>2.5843740737153186E-2</v>
      </c>
      <c r="G68" s="1232">
        <v>6.5407559209587802</v>
      </c>
      <c r="H68" s="1232">
        <v>0.46402187598775602</v>
      </c>
      <c r="I68" s="1232">
        <v>4.2679206987056899E-2</v>
      </c>
      <c r="J68" s="1232">
        <v>1.0686802762597129E-4</v>
      </c>
      <c r="K68" s="1232">
        <v>3.0000008604090401E-3</v>
      </c>
      <c r="L68" s="1233">
        <v>2.7981758426232899E-2</v>
      </c>
      <c r="M68" s="1234">
        <v>4.4608971340835503E-2</v>
      </c>
      <c r="N68" s="1235">
        <v>1.1170012561536845E-4</v>
      </c>
    </row>
    <row r="69" spans="1:14" ht="15.5" x14ac:dyDescent="0.35">
      <c r="A69" s="198">
        <v>2015</v>
      </c>
      <c r="B69" s="197" t="s">
        <v>5850</v>
      </c>
      <c r="C69" s="197">
        <v>2011</v>
      </c>
      <c r="D69" s="110" t="str">
        <f t="shared" si="1"/>
        <v>2015_2011</v>
      </c>
      <c r="E69" s="1231">
        <v>7.7973751964192706E-2</v>
      </c>
      <c r="F69" s="1232">
        <v>2.615930240833619E-2</v>
      </c>
      <c r="G69" s="1232">
        <v>3.34635836144259</v>
      </c>
      <c r="H69" s="1232">
        <v>0.35131189149732728</v>
      </c>
      <c r="I69" s="1232">
        <v>3.9020306467724503E-2</v>
      </c>
      <c r="J69" s="1232">
        <v>1.0687029725958356E-4</v>
      </c>
      <c r="K69" s="1232">
        <v>3.0000008604096902E-3</v>
      </c>
      <c r="L69" s="1233">
        <v>2.7983873736218998E-2</v>
      </c>
      <c r="M69" s="1234">
        <v>4.0784631576149498E-2</v>
      </c>
      <c r="N69" s="1235">
        <v>1.1170249787174165E-4</v>
      </c>
    </row>
    <row r="70" spans="1:14" ht="15.5" x14ac:dyDescent="0.35">
      <c r="A70" s="198">
        <v>2015</v>
      </c>
      <c r="B70" s="197" t="s">
        <v>5850</v>
      </c>
      <c r="C70" s="197">
        <v>2012</v>
      </c>
      <c r="D70" s="110" t="str">
        <f t="shared" si="1"/>
        <v>2015_2012</v>
      </c>
      <c r="E70" s="1231">
        <v>1.5822004939929701E-2</v>
      </c>
      <c r="F70" s="1232">
        <v>2.6246262599173877E-2</v>
      </c>
      <c r="G70" s="1232">
        <v>2.44379231038547</v>
      </c>
      <c r="H70" s="1232">
        <v>0.31015042763187639</v>
      </c>
      <c r="I70" s="1232">
        <v>1.8617791604139601E-2</v>
      </c>
      <c r="J70" s="1232">
        <v>1.0686740755771967E-4</v>
      </c>
      <c r="K70" s="1232">
        <v>3.0000008604090201E-3</v>
      </c>
      <c r="L70" s="1233">
        <v>2.7981461451871199E-2</v>
      </c>
      <c r="M70" s="1234">
        <v>1.94596055252521E-2</v>
      </c>
      <c r="N70" s="1235">
        <v>1.1169947751038205E-4</v>
      </c>
    </row>
    <row r="71" spans="1:14" ht="15.5" x14ac:dyDescent="0.35">
      <c r="A71" s="198">
        <v>2015</v>
      </c>
      <c r="B71" s="197" t="s">
        <v>5850</v>
      </c>
      <c r="C71" s="197">
        <v>2013</v>
      </c>
      <c r="D71" s="110" t="str">
        <f t="shared" si="1"/>
        <v>2015_2013</v>
      </c>
      <c r="E71" s="1231">
        <v>1.49016991673301E-2</v>
      </c>
      <c r="F71" s="1232">
        <v>2.6246163486397613E-2</v>
      </c>
      <c r="G71" s="1232">
        <v>2.1369852800889899</v>
      </c>
      <c r="H71" s="1232">
        <v>0.31014925642245844</v>
      </c>
      <c r="I71" s="1232">
        <v>1.58535336938136E-2</v>
      </c>
      <c r="J71" s="1232">
        <v>1.0686700399833987E-4</v>
      </c>
      <c r="K71" s="1232">
        <v>3.00000086040889E-3</v>
      </c>
      <c r="L71" s="1233">
        <v>2.7981116373856401E-2</v>
      </c>
      <c r="M71" s="1234">
        <v>1.6570360138434E-2</v>
      </c>
      <c r="N71" s="1235">
        <v>1.116990557038381E-4</v>
      </c>
    </row>
    <row r="72" spans="1:14" ht="15.5" x14ac:dyDescent="0.35">
      <c r="A72" s="198">
        <v>2015</v>
      </c>
      <c r="B72" s="197" t="s">
        <v>5850</v>
      </c>
      <c r="C72" s="197">
        <v>2014</v>
      </c>
      <c r="D72" s="110" t="str">
        <f t="shared" si="1"/>
        <v>2015_2014</v>
      </c>
      <c r="E72" s="1231">
        <v>7.9219865408734595E-3</v>
      </c>
      <c r="F72" s="1232">
        <v>2.6244977326252503E-2</v>
      </c>
      <c r="G72" s="1232">
        <v>0.94300823413093704</v>
      </c>
      <c r="H72" s="1232">
        <v>0.31013523964293216</v>
      </c>
      <c r="I72" s="1232">
        <v>1.8056247358206799E-2</v>
      </c>
      <c r="J72" s="1232">
        <v>1.0686217428747454E-4</v>
      </c>
      <c r="K72" s="1232">
        <v>3.0000008604086901E-3</v>
      </c>
      <c r="L72" s="1233">
        <v>2.7980447156578801E-2</v>
      </c>
      <c r="M72" s="1234">
        <v>1.8872670740334E-2</v>
      </c>
      <c r="N72" s="1235">
        <v>1.1169400761487854E-4</v>
      </c>
    </row>
    <row r="73" spans="1:14" ht="15.5" x14ac:dyDescent="0.35">
      <c r="A73" s="198">
        <v>2015</v>
      </c>
      <c r="B73" s="197" t="s">
        <v>5850</v>
      </c>
      <c r="C73" s="197">
        <v>2015</v>
      </c>
      <c r="D73" s="110" t="str">
        <f t="shared" si="1"/>
        <v>2015_2015</v>
      </c>
      <c r="E73" s="1231">
        <v>7.5752179338241703E-3</v>
      </c>
      <c r="F73" s="1232">
        <v>2.6244951585906461E-2</v>
      </c>
      <c r="G73" s="1232">
        <v>0.81892101854348798</v>
      </c>
      <c r="H73" s="1232">
        <v>0.31013493547088805</v>
      </c>
      <c r="I73" s="1232">
        <v>1.5571239588121301E-2</v>
      </c>
      <c r="J73" s="1232">
        <v>1.0686206948001634E-4</v>
      </c>
      <c r="K73" s="1232">
        <v>3.0000008604085999E-3</v>
      </c>
      <c r="L73" s="1233">
        <v>2.79803433096695E-2</v>
      </c>
      <c r="M73" s="1234">
        <v>1.6275301945943801E-2</v>
      </c>
      <c r="N73" s="1235">
        <v>1.1169389806849299E-4</v>
      </c>
    </row>
    <row r="74" spans="1:14" ht="15.5" x14ac:dyDescent="0.35">
      <c r="A74" s="198">
        <v>2015</v>
      </c>
      <c r="B74" s="197" t="s">
        <v>5850</v>
      </c>
      <c r="C74" s="197">
        <v>2016</v>
      </c>
      <c r="D74" s="110" t="str">
        <f t="shared" si="1"/>
        <v>2015_2016</v>
      </c>
      <c r="E74" s="1231">
        <v>7.2304590917142203E-3</v>
      </c>
      <c r="F74" s="1232">
        <v>6.2993705853982992E-2</v>
      </c>
      <c r="G74" s="1232">
        <v>0.61148498125051898</v>
      </c>
      <c r="H74" s="1232">
        <v>0.74439264390139925</v>
      </c>
      <c r="I74" s="1232">
        <v>1.30734748318845E-2</v>
      </c>
      <c r="J74" s="1232">
        <v>2.5649267249504E-4</v>
      </c>
      <c r="K74" s="1232">
        <v>3.0000008604113E-3</v>
      </c>
      <c r="L74" s="1233">
        <v>2.7992754976415301E-2</v>
      </c>
      <c r="M74" s="1234">
        <v>1.3664599351096899E-2</v>
      </c>
      <c r="N74" s="1235">
        <v>2.6809013297588726E-4</v>
      </c>
    </row>
    <row r="75" spans="1:14" ht="15.5" x14ac:dyDescent="0.35">
      <c r="A75" s="198">
        <v>2016</v>
      </c>
      <c r="B75" s="197" t="s">
        <v>5850</v>
      </c>
      <c r="C75" s="197">
        <v>1971</v>
      </c>
      <c r="D75" s="110" t="str">
        <f t="shared" si="1"/>
        <v>2016_1971</v>
      </c>
      <c r="E75" s="1226">
        <v>2.34049830755125</v>
      </c>
      <c r="F75" s="1227">
        <v>0.725897684934248</v>
      </c>
      <c r="G75" s="1227">
        <v>19.670888855058699</v>
      </c>
      <c r="H75" s="1227">
        <v>1.3300814870539961</v>
      </c>
      <c r="I75" s="1227">
        <v>1.8044445404402401</v>
      </c>
      <c r="J75" s="1227">
        <v>0.1391042904678457</v>
      </c>
      <c r="K75" s="1227">
        <v>3.0000008604164699E-3</v>
      </c>
      <c r="L75" s="1228">
        <v>3.7628820446416598E-2</v>
      </c>
      <c r="M75" s="1229">
        <v>1.88603351545489</v>
      </c>
      <c r="N75" s="1230">
        <v>0.14539396921665518</v>
      </c>
    </row>
    <row r="76" spans="1:14" ht="15.5" x14ac:dyDescent="0.35">
      <c r="A76" s="198">
        <v>2016</v>
      </c>
      <c r="B76" s="197" t="s">
        <v>5850</v>
      </c>
      <c r="C76" s="197">
        <v>1972</v>
      </c>
      <c r="D76" s="110" t="str">
        <f t="shared" si="1"/>
        <v>2016_1972</v>
      </c>
      <c r="E76" s="1231">
        <v>2.34049830755125</v>
      </c>
      <c r="F76" s="1232">
        <v>0.725897684934248</v>
      </c>
      <c r="G76" s="1232">
        <v>19.670888855058699</v>
      </c>
      <c r="H76" s="1232">
        <v>1.3300814870539961</v>
      </c>
      <c r="I76" s="1232">
        <v>1.8044445404402401</v>
      </c>
      <c r="J76" s="1232">
        <v>0.1391042904678457</v>
      </c>
      <c r="K76" s="1232">
        <v>3.0000008604164699E-3</v>
      </c>
      <c r="L76" s="1233">
        <v>3.7628820446416598E-2</v>
      </c>
      <c r="M76" s="1234">
        <v>1.88603351545489</v>
      </c>
      <c r="N76" s="1235">
        <v>0.14539396921665518</v>
      </c>
    </row>
    <row r="77" spans="1:14" ht="15.5" x14ac:dyDescent="0.35">
      <c r="A77" s="198">
        <v>2016</v>
      </c>
      <c r="B77" s="197" t="s">
        <v>5850</v>
      </c>
      <c r="C77" s="197">
        <v>1973</v>
      </c>
      <c r="D77" s="110" t="str">
        <f t="shared" si="1"/>
        <v>2016_1973</v>
      </c>
      <c r="E77" s="1229">
        <v>2.3439445489467747</v>
      </c>
      <c r="F77" s="1227">
        <v>0.72573416766417698</v>
      </c>
      <c r="G77" s="1227">
        <v>19.678394619834499</v>
      </c>
      <c r="H77" s="1227">
        <v>1.329781870044259</v>
      </c>
      <c r="I77" s="1227">
        <v>1.80638534003508</v>
      </c>
      <c r="J77" s="1227">
        <v>0.13907295553689836</v>
      </c>
      <c r="K77" s="1227">
        <v>3.0000008604284599E-3</v>
      </c>
      <c r="L77" s="1236">
        <v>3.7695487135212799E-2</v>
      </c>
      <c r="M77" s="1229">
        <v>1.8880620693952399</v>
      </c>
      <c r="N77" s="1230">
        <v>0.14536121745917713</v>
      </c>
    </row>
    <row r="78" spans="1:14" ht="15.5" x14ac:dyDescent="0.35">
      <c r="A78" s="198">
        <v>2016</v>
      </c>
      <c r="B78" s="197" t="s">
        <v>5850</v>
      </c>
      <c r="C78" s="197">
        <v>1974</v>
      </c>
      <c r="D78" s="110" t="str">
        <f t="shared" si="1"/>
        <v>2016_1974</v>
      </c>
      <c r="E78" s="1226">
        <v>2.3439445489467747</v>
      </c>
      <c r="F78" s="1227">
        <v>0.72573416766417698</v>
      </c>
      <c r="G78" s="1227">
        <v>19.678394619834499</v>
      </c>
      <c r="H78" s="1227">
        <v>1.329781870044259</v>
      </c>
      <c r="I78" s="1227">
        <v>1.80638534003508</v>
      </c>
      <c r="J78" s="1227">
        <v>0.13907295553689836</v>
      </c>
      <c r="K78" s="1227">
        <v>3.0000008604284599E-3</v>
      </c>
      <c r="L78" s="1228">
        <v>3.7695487135212799E-2</v>
      </c>
      <c r="M78" s="1229">
        <v>1.8880620693952399</v>
      </c>
      <c r="N78" s="1230">
        <v>0.14536121745917713</v>
      </c>
    </row>
    <row r="79" spans="1:14" ht="15.5" x14ac:dyDescent="0.35">
      <c r="A79" s="198">
        <v>2016</v>
      </c>
      <c r="B79" s="197" t="s">
        <v>5850</v>
      </c>
      <c r="C79" s="197">
        <v>1975</v>
      </c>
      <c r="D79" s="110" t="str">
        <f t="shared" si="1"/>
        <v>2016_1975</v>
      </c>
      <c r="E79" s="1226">
        <v>2.3439445489467747</v>
      </c>
      <c r="F79" s="1227">
        <v>0.72573416766417698</v>
      </c>
      <c r="G79" s="1227">
        <v>19.678394619834499</v>
      </c>
      <c r="H79" s="1227">
        <v>1.329781870044259</v>
      </c>
      <c r="I79" s="1227">
        <v>1.80638534003508</v>
      </c>
      <c r="J79" s="1227">
        <v>0.13907295553689836</v>
      </c>
      <c r="K79" s="1227">
        <v>3.0000008604284599E-3</v>
      </c>
      <c r="L79" s="1228">
        <v>3.7695487135212799E-2</v>
      </c>
      <c r="M79" s="1229">
        <v>1.8880620693952399</v>
      </c>
      <c r="N79" s="1230">
        <v>0.14536121745917713</v>
      </c>
    </row>
    <row r="80" spans="1:14" ht="15.5" x14ac:dyDescent="0.35">
      <c r="A80" s="198">
        <v>2016</v>
      </c>
      <c r="B80" s="197" t="s">
        <v>5850</v>
      </c>
      <c r="C80" s="197">
        <v>1976</v>
      </c>
      <c r="D80" s="110" t="str">
        <f t="shared" si="1"/>
        <v>2016_1976</v>
      </c>
      <c r="E80" s="1226">
        <v>2.3439445489467747</v>
      </c>
      <c r="F80" s="1227">
        <v>0.72573416766417698</v>
      </c>
      <c r="G80" s="1227">
        <v>19.678394619834499</v>
      </c>
      <c r="H80" s="1227">
        <v>1.329781870044259</v>
      </c>
      <c r="I80" s="1227">
        <v>1.80638534003508</v>
      </c>
      <c r="J80" s="1227">
        <v>0.13907295553689836</v>
      </c>
      <c r="K80" s="1227">
        <v>3.0000008604284599E-3</v>
      </c>
      <c r="L80" s="1228">
        <v>3.7695487135212799E-2</v>
      </c>
      <c r="M80" s="1229">
        <v>1.8880620693952399</v>
      </c>
      <c r="N80" s="1230">
        <v>0.14536121745917713</v>
      </c>
    </row>
    <row r="81" spans="1:14" ht="15.5" x14ac:dyDescent="0.35">
      <c r="A81" s="198">
        <v>2016</v>
      </c>
      <c r="B81" s="197" t="s">
        <v>5850</v>
      </c>
      <c r="C81" s="197">
        <v>1977</v>
      </c>
      <c r="D81" s="110" t="str">
        <f t="shared" si="1"/>
        <v>2016_1977</v>
      </c>
      <c r="E81" s="1226">
        <v>2.3439445489467747</v>
      </c>
      <c r="F81" s="1227">
        <v>0.72573416766417698</v>
      </c>
      <c r="G81" s="1227">
        <v>19.678394619834499</v>
      </c>
      <c r="H81" s="1227">
        <v>1.329781870044259</v>
      </c>
      <c r="I81" s="1227">
        <v>1.80638534003508</v>
      </c>
      <c r="J81" s="1227">
        <v>0.13907295553689836</v>
      </c>
      <c r="K81" s="1227">
        <v>3.0000008604284599E-3</v>
      </c>
      <c r="L81" s="1228">
        <v>3.7695487135212799E-2</v>
      </c>
      <c r="M81" s="1229">
        <v>1.8880620693952399</v>
      </c>
      <c r="N81" s="1230">
        <v>0.14536121745917713</v>
      </c>
    </row>
    <row r="82" spans="1:14" ht="15.5" x14ac:dyDescent="0.35">
      <c r="A82" s="198">
        <v>2016</v>
      </c>
      <c r="B82" s="197" t="s">
        <v>5850</v>
      </c>
      <c r="C82" s="197">
        <v>1978</v>
      </c>
      <c r="D82" s="110" t="str">
        <f t="shared" si="1"/>
        <v>2016_1978</v>
      </c>
      <c r="E82" s="1226">
        <v>2.3439445489467747</v>
      </c>
      <c r="F82" s="1227">
        <v>0.72573416766417698</v>
      </c>
      <c r="G82" s="1227">
        <v>19.678394619834499</v>
      </c>
      <c r="H82" s="1227">
        <v>1.329781870044259</v>
      </c>
      <c r="I82" s="1227">
        <v>1.80638534003508</v>
      </c>
      <c r="J82" s="1227">
        <v>0.13907295553689836</v>
      </c>
      <c r="K82" s="1227">
        <v>3.0000008604284599E-3</v>
      </c>
      <c r="L82" s="1228">
        <v>3.7695487135212799E-2</v>
      </c>
      <c r="M82" s="1229">
        <v>1.8880620693952399</v>
      </c>
      <c r="N82" s="1230">
        <v>0.14536121745917713</v>
      </c>
    </row>
    <row r="83" spans="1:14" ht="15.5" x14ac:dyDescent="0.35">
      <c r="A83" s="198">
        <v>2016</v>
      </c>
      <c r="B83" s="197" t="s">
        <v>5850</v>
      </c>
      <c r="C83" s="197">
        <v>1979</v>
      </c>
      <c r="D83" s="110" t="str">
        <f t="shared" si="1"/>
        <v>2016_1979</v>
      </c>
      <c r="E83" s="1226">
        <v>2.3439445489467747</v>
      </c>
      <c r="F83" s="1227">
        <v>0.72573416766417698</v>
      </c>
      <c r="G83" s="1227">
        <v>19.678394619834499</v>
      </c>
      <c r="H83" s="1227">
        <v>1.329781870044259</v>
      </c>
      <c r="I83" s="1227">
        <v>1.80638534003508</v>
      </c>
      <c r="J83" s="1227">
        <v>0.13907295553689836</v>
      </c>
      <c r="K83" s="1227">
        <v>3.0000008604284599E-3</v>
      </c>
      <c r="L83" s="1228">
        <v>3.7695487135212799E-2</v>
      </c>
      <c r="M83" s="1229">
        <v>1.8880620693952399</v>
      </c>
      <c r="N83" s="1230">
        <v>0.14536121745917713</v>
      </c>
    </row>
    <row r="84" spans="1:14" ht="15.5" x14ac:dyDescent="0.35">
      <c r="A84" s="198">
        <v>2016</v>
      </c>
      <c r="B84" s="197" t="s">
        <v>5850</v>
      </c>
      <c r="C84" s="197">
        <v>1980</v>
      </c>
      <c r="D84" s="110" t="str">
        <f t="shared" si="1"/>
        <v>2016_1980</v>
      </c>
      <c r="E84" s="1226">
        <v>2.3439445489467747</v>
      </c>
      <c r="F84" s="1227">
        <v>0.72573416766417698</v>
      </c>
      <c r="G84" s="1227">
        <v>19.678394619834499</v>
      </c>
      <c r="H84" s="1227">
        <v>1.329781870044259</v>
      </c>
      <c r="I84" s="1227">
        <v>1.80638534003508</v>
      </c>
      <c r="J84" s="1227">
        <v>0.13907295553689836</v>
      </c>
      <c r="K84" s="1227">
        <v>3.0000008604284599E-3</v>
      </c>
      <c r="L84" s="1228">
        <v>3.7695487135212799E-2</v>
      </c>
      <c r="M84" s="1229">
        <v>1.8880620693952399</v>
      </c>
      <c r="N84" s="1230">
        <v>0.14536121745917713</v>
      </c>
    </row>
    <row r="85" spans="1:14" ht="15.5" x14ac:dyDescent="0.35">
      <c r="A85" s="198">
        <v>2016</v>
      </c>
      <c r="B85" s="197" t="s">
        <v>5850</v>
      </c>
      <c r="C85" s="197">
        <v>1981</v>
      </c>
      <c r="D85" s="110" t="str">
        <f t="shared" si="1"/>
        <v>2016_1981</v>
      </c>
      <c r="E85" s="1226">
        <v>2.3439445489467747</v>
      </c>
      <c r="F85" s="1227">
        <v>0.72573416766417698</v>
      </c>
      <c r="G85" s="1227">
        <v>19.678394619834499</v>
      </c>
      <c r="H85" s="1227">
        <v>1.329781870044259</v>
      </c>
      <c r="I85" s="1227">
        <v>1.80638534003508</v>
      </c>
      <c r="J85" s="1227">
        <v>0.13907295553689836</v>
      </c>
      <c r="K85" s="1227">
        <v>3.0000008604284599E-3</v>
      </c>
      <c r="L85" s="1228">
        <v>3.7695487135212799E-2</v>
      </c>
      <c r="M85" s="1229">
        <v>1.8880620693952399</v>
      </c>
      <c r="N85" s="1230">
        <v>0.14536121745917713</v>
      </c>
    </row>
    <row r="86" spans="1:14" ht="15.5" x14ac:dyDescent="0.35">
      <c r="A86" s="198">
        <v>2016</v>
      </c>
      <c r="B86" s="197" t="s">
        <v>5850</v>
      </c>
      <c r="C86" s="197">
        <v>1982</v>
      </c>
      <c r="D86" s="110" t="str">
        <f t="shared" si="1"/>
        <v>2016_1982</v>
      </c>
      <c r="E86" s="1226">
        <v>2.3439445489467747</v>
      </c>
      <c r="F86" s="1227">
        <v>0.72573416766417698</v>
      </c>
      <c r="G86" s="1227">
        <v>19.678394619834499</v>
      </c>
      <c r="H86" s="1227">
        <v>1.329781870044259</v>
      </c>
      <c r="I86" s="1227">
        <v>1.80638534003508</v>
      </c>
      <c r="J86" s="1227">
        <v>0.13907295553689836</v>
      </c>
      <c r="K86" s="1227">
        <v>3.0000008604284599E-3</v>
      </c>
      <c r="L86" s="1228">
        <v>3.7695487135212799E-2</v>
      </c>
      <c r="M86" s="1229">
        <v>1.8880620693952399</v>
      </c>
      <c r="N86" s="1230">
        <v>0.14536121745917713</v>
      </c>
    </row>
    <row r="87" spans="1:14" ht="15.5" x14ac:dyDescent="0.35">
      <c r="A87" s="198">
        <v>2016</v>
      </c>
      <c r="B87" s="197" t="s">
        <v>5850</v>
      </c>
      <c r="C87" s="197">
        <v>1983</v>
      </c>
      <c r="D87" s="110" t="str">
        <f t="shared" si="1"/>
        <v>2016_1983</v>
      </c>
      <c r="E87" s="1226">
        <v>2.3439445489467747</v>
      </c>
      <c r="F87" s="1227">
        <v>0.72573416766417698</v>
      </c>
      <c r="G87" s="1227">
        <v>19.678394619834499</v>
      </c>
      <c r="H87" s="1227">
        <v>1.329781870044259</v>
      </c>
      <c r="I87" s="1227">
        <v>1.80638534003508</v>
      </c>
      <c r="J87" s="1227">
        <v>0.13907295553689836</v>
      </c>
      <c r="K87" s="1227">
        <v>3.0000008604284599E-3</v>
      </c>
      <c r="L87" s="1228">
        <v>3.7695487135212799E-2</v>
      </c>
      <c r="M87" s="1229">
        <v>1.8880620693952399</v>
      </c>
      <c r="N87" s="1230">
        <v>0.14536121745917713</v>
      </c>
    </row>
    <row r="88" spans="1:14" ht="15.5" x14ac:dyDescent="0.35">
      <c r="A88" s="198">
        <v>2016</v>
      </c>
      <c r="B88" s="197" t="s">
        <v>5850</v>
      </c>
      <c r="C88" s="197">
        <v>1984</v>
      </c>
      <c r="D88" s="110" t="str">
        <f t="shared" si="1"/>
        <v>2016_1984</v>
      </c>
      <c r="E88" s="1231">
        <v>2.3473907903422999</v>
      </c>
      <c r="F88" s="1232">
        <v>0.72557065039410595</v>
      </c>
      <c r="G88" s="1232">
        <v>19.685900384610299</v>
      </c>
      <c r="H88" s="1232">
        <v>1.3294822530345216</v>
      </c>
      <c r="I88" s="1232">
        <v>1.8083261396299199</v>
      </c>
      <c r="J88" s="1232">
        <v>0.13904162060595099</v>
      </c>
      <c r="K88" s="1232">
        <v>3.0000008604404499E-3</v>
      </c>
      <c r="L88" s="1233">
        <v>3.7762153824009E-2</v>
      </c>
      <c r="M88" s="1234">
        <v>1.8900906233355901</v>
      </c>
      <c r="N88" s="1235">
        <v>0.14532846570169911</v>
      </c>
    </row>
    <row r="89" spans="1:14" ht="15.5" x14ac:dyDescent="0.35">
      <c r="A89" s="198">
        <v>2016</v>
      </c>
      <c r="B89" s="197" t="s">
        <v>5850</v>
      </c>
      <c r="C89" s="197">
        <v>1985</v>
      </c>
      <c r="D89" s="110" t="str">
        <f t="shared" si="1"/>
        <v>2016_1985</v>
      </c>
      <c r="E89" s="1231">
        <v>2.3483778671162598</v>
      </c>
      <c r="F89" s="1232">
        <v>0.72568871406551172</v>
      </c>
      <c r="G89" s="1232">
        <v>19.685771322333999</v>
      </c>
      <c r="H89" s="1232">
        <v>1.3296985842157454</v>
      </c>
      <c r="I89" s="1232">
        <v>1.80857031373782</v>
      </c>
      <c r="J89" s="1232">
        <v>0.13906424523140667</v>
      </c>
      <c r="K89" s="1232">
        <v>3.0000008604261401E-3</v>
      </c>
      <c r="L89" s="1233">
        <v>3.7764522562892297E-2</v>
      </c>
      <c r="M89" s="1234">
        <v>1.8903458379131399</v>
      </c>
      <c r="N89" s="1235">
        <v>0.1453521133123217</v>
      </c>
    </row>
    <row r="90" spans="1:14" ht="15.5" x14ac:dyDescent="0.35">
      <c r="A90" s="198">
        <v>2016</v>
      </c>
      <c r="B90" s="197" t="s">
        <v>5850</v>
      </c>
      <c r="C90" s="197">
        <v>1986</v>
      </c>
      <c r="D90" s="110" t="str">
        <f t="shared" si="1"/>
        <v>2016_1986</v>
      </c>
      <c r="E90" s="1231">
        <v>2.3473907903422999</v>
      </c>
      <c r="F90" s="1232">
        <v>0.72557065039410595</v>
      </c>
      <c r="G90" s="1232">
        <v>19.685900384610299</v>
      </c>
      <c r="H90" s="1232">
        <v>1.3294822530345216</v>
      </c>
      <c r="I90" s="1232">
        <v>1.8083261396299199</v>
      </c>
      <c r="J90" s="1232">
        <v>0.13904162060595099</v>
      </c>
      <c r="K90" s="1232">
        <v>3.0000008604404499E-3</v>
      </c>
      <c r="L90" s="1233">
        <v>3.7762153824009E-2</v>
      </c>
      <c r="M90" s="1234">
        <v>1.8900906233355901</v>
      </c>
      <c r="N90" s="1235">
        <v>0.14532846570169911</v>
      </c>
    </row>
    <row r="91" spans="1:14" ht="15.5" x14ac:dyDescent="0.35">
      <c r="A91" s="198">
        <v>2016</v>
      </c>
      <c r="B91" s="197" t="s">
        <v>5850</v>
      </c>
      <c r="C91" s="197">
        <v>1987</v>
      </c>
      <c r="D91" s="110" t="str">
        <f t="shared" si="1"/>
        <v>2016_1987</v>
      </c>
      <c r="E91" s="1231">
        <v>2.4521758440325301</v>
      </c>
      <c r="F91" s="1232">
        <v>0.42500192125241953</v>
      </c>
      <c r="G91" s="1232">
        <v>19.837793946131001</v>
      </c>
      <c r="H91" s="1232">
        <v>2.0427208288981777</v>
      </c>
      <c r="I91" s="1232">
        <v>1.76572305807341</v>
      </c>
      <c r="J91" s="1232">
        <v>6.9365944725691756E-2</v>
      </c>
      <c r="K91" s="1232">
        <v>3.0000008604238902E-3</v>
      </c>
      <c r="L91" s="1233">
        <v>3.7711903633531801E-2</v>
      </c>
      <c r="M91" s="1234">
        <v>1.8455612194794599</v>
      </c>
      <c r="N91" s="1235">
        <v>7.250236493936657E-2</v>
      </c>
    </row>
    <row r="92" spans="1:14" ht="15.5" x14ac:dyDescent="0.35">
      <c r="A92" s="198">
        <v>2016</v>
      </c>
      <c r="B92" s="197" t="s">
        <v>5850</v>
      </c>
      <c r="C92" s="197">
        <v>1988</v>
      </c>
      <c r="D92" s="110" t="str">
        <f t="shared" si="1"/>
        <v>2016_1988</v>
      </c>
      <c r="E92" s="1231">
        <v>2.4521758440325301</v>
      </c>
      <c r="F92" s="1232">
        <v>0.42500192125241953</v>
      </c>
      <c r="G92" s="1232">
        <v>19.837793946131001</v>
      </c>
      <c r="H92" s="1232">
        <v>2.0427208288981777</v>
      </c>
      <c r="I92" s="1232">
        <v>1.76572305807341</v>
      </c>
      <c r="J92" s="1232">
        <v>6.9365944725691756E-2</v>
      </c>
      <c r="K92" s="1232">
        <v>3.0000008604238902E-3</v>
      </c>
      <c r="L92" s="1233">
        <v>3.7711903633531801E-2</v>
      </c>
      <c r="M92" s="1234">
        <v>1.8455612194794599</v>
      </c>
      <c r="N92" s="1235">
        <v>7.250236493936657E-2</v>
      </c>
    </row>
    <row r="93" spans="1:14" ht="15.5" x14ac:dyDescent="0.35">
      <c r="A93" s="198">
        <v>2016</v>
      </c>
      <c r="B93" s="197" t="s">
        <v>5850</v>
      </c>
      <c r="C93" s="197">
        <v>1989</v>
      </c>
      <c r="D93" s="110" t="str">
        <f t="shared" si="1"/>
        <v>2016_1989</v>
      </c>
      <c r="E93" s="1231">
        <v>2.4521758440325301</v>
      </c>
      <c r="F93" s="1232">
        <v>0.42500192125241953</v>
      </c>
      <c r="G93" s="1232">
        <v>19.837793946131001</v>
      </c>
      <c r="H93" s="1232">
        <v>2.0427208288981777</v>
      </c>
      <c r="I93" s="1232">
        <v>1.76572305807341</v>
      </c>
      <c r="J93" s="1232">
        <v>6.9365944725691756E-2</v>
      </c>
      <c r="K93" s="1232">
        <v>3.0000008604238902E-3</v>
      </c>
      <c r="L93" s="1233">
        <v>3.7711903633531801E-2</v>
      </c>
      <c r="M93" s="1234">
        <v>1.8455612194794599</v>
      </c>
      <c r="N93" s="1235">
        <v>7.250236493936657E-2</v>
      </c>
    </row>
    <row r="94" spans="1:14" ht="15.5" x14ac:dyDescent="0.35">
      <c r="A94" s="198">
        <v>2016</v>
      </c>
      <c r="B94" s="197" t="s">
        <v>5850</v>
      </c>
      <c r="C94" s="197">
        <v>1990</v>
      </c>
      <c r="D94" s="110" t="str">
        <f t="shared" si="1"/>
        <v>2016_1990</v>
      </c>
      <c r="E94" s="1231">
        <v>2.4495064439602499</v>
      </c>
      <c r="F94" s="1232">
        <v>0.4250475320743427</v>
      </c>
      <c r="G94" s="1232">
        <v>19.832796738553601</v>
      </c>
      <c r="H94" s="1232">
        <v>2.0429400518506071</v>
      </c>
      <c r="I94" s="1232">
        <v>1.7645378935334199</v>
      </c>
      <c r="J94" s="1232">
        <v>6.9373389016162287E-2</v>
      </c>
      <c r="K94" s="1232">
        <v>3.0000008604274498E-3</v>
      </c>
      <c r="L94" s="1233">
        <v>3.76746126589622E-2</v>
      </c>
      <c r="M94" s="1234">
        <v>1.84432246705807</v>
      </c>
      <c r="N94" s="1235">
        <v>7.2510145827618722E-2</v>
      </c>
    </row>
    <row r="95" spans="1:14" ht="15.5" x14ac:dyDescent="0.35">
      <c r="A95" s="198">
        <v>2016</v>
      </c>
      <c r="B95" s="197" t="s">
        <v>5850</v>
      </c>
      <c r="C95" s="197">
        <v>1991</v>
      </c>
      <c r="D95" s="110" t="str">
        <f t="shared" si="1"/>
        <v>2016_1991</v>
      </c>
      <c r="E95" s="1231">
        <v>1.58551807214691</v>
      </c>
      <c r="F95" s="1232">
        <v>0.33909080642414724</v>
      </c>
      <c r="G95" s="1232">
        <v>23.718461319867199</v>
      </c>
      <c r="H95" s="1232">
        <v>2.2831400722849828</v>
      </c>
      <c r="I95" s="1232">
        <v>0.75408415688046304</v>
      </c>
      <c r="J95" s="1232">
        <v>5.1869796200526168E-2</v>
      </c>
      <c r="K95" s="1232">
        <v>3.0000008604261401E-3</v>
      </c>
      <c r="L95" s="1233">
        <v>3.7764522562892297E-2</v>
      </c>
      <c r="M95" s="1234">
        <v>0.78818049625570996</v>
      </c>
      <c r="N95" s="1235">
        <v>5.4215118215902205E-2</v>
      </c>
    </row>
    <row r="96" spans="1:14" ht="15.5" x14ac:dyDescent="0.35">
      <c r="A96" s="198">
        <v>2016</v>
      </c>
      <c r="B96" s="197" t="s">
        <v>5850</v>
      </c>
      <c r="C96" s="197">
        <v>1992</v>
      </c>
      <c r="D96" s="110" t="str">
        <f t="shared" si="1"/>
        <v>2016_1992</v>
      </c>
      <c r="E96" s="1231">
        <v>1.58215187470003</v>
      </c>
      <c r="F96" s="1232">
        <v>0.3391177508467208</v>
      </c>
      <c r="G96" s="1232">
        <v>23.723461997459999</v>
      </c>
      <c r="H96" s="1232">
        <v>2.2833214923935081</v>
      </c>
      <c r="I96" s="1232">
        <v>0.75314133511461701</v>
      </c>
      <c r="J96" s="1232">
        <v>5.1873917815389053E-2</v>
      </c>
      <c r="K96" s="1232">
        <v>3.0000008604213401E-3</v>
      </c>
      <c r="L96" s="1233">
        <v>3.7666144937743701E-2</v>
      </c>
      <c r="M96" s="1234">
        <v>0.78719504427332199</v>
      </c>
      <c r="N96" s="1235">
        <v>5.4219426191899782E-2</v>
      </c>
    </row>
    <row r="97" spans="1:14" ht="15.5" x14ac:dyDescent="0.35">
      <c r="A97" s="198">
        <v>2016</v>
      </c>
      <c r="B97" s="197" t="s">
        <v>5850</v>
      </c>
      <c r="C97" s="197">
        <v>1993</v>
      </c>
      <c r="D97" s="110" t="str">
        <f t="shared" si="1"/>
        <v>2016_1993</v>
      </c>
      <c r="E97" s="1231">
        <v>1.4895490384587999</v>
      </c>
      <c r="F97" s="1232">
        <v>0.33914009912448689</v>
      </c>
      <c r="G97" s="1232">
        <v>21.992254700569902</v>
      </c>
      <c r="H97" s="1232">
        <v>2.2834719660942038</v>
      </c>
      <c r="I97" s="1232">
        <v>0.78253848467717102</v>
      </c>
      <c r="J97" s="1232">
        <v>5.1877336370511243E-2</v>
      </c>
      <c r="K97" s="1232">
        <v>3.0000008604111001E-3</v>
      </c>
      <c r="L97" s="1233">
        <v>3.7600115840588602E-2</v>
      </c>
      <c r="M97" s="1234">
        <v>0.81792140249117595</v>
      </c>
      <c r="N97" s="1235">
        <v>5.4222999318914965E-2</v>
      </c>
    </row>
    <row r="98" spans="1:14" ht="15.5" x14ac:dyDescent="0.35">
      <c r="A98" s="198">
        <v>2016</v>
      </c>
      <c r="B98" s="197" t="s">
        <v>5850</v>
      </c>
      <c r="C98" s="197">
        <v>1994</v>
      </c>
      <c r="D98" s="110" t="str">
        <f t="shared" si="1"/>
        <v>2016_1994</v>
      </c>
      <c r="E98" s="1231">
        <v>1.4033981025909401</v>
      </c>
      <c r="F98" s="1232">
        <v>0.27145706046063778</v>
      </c>
      <c r="G98" s="1232">
        <v>19.436343734717902</v>
      </c>
      <c r="H98" s="1232">
        <v>2.4822083359729752</v>
      </c>
      <c r="I98" s="1232">
        <v>0.600197161480167</v>
      </c>
      <c r="J98" s="1232">
        <v>3.8987517613222791E-2</v>
      </c>
      <c r="K98" s="1232">
        <v>3.00000086041539E-3</v>
      </c>
      <c r="L98" s="1233">
        <v>3.7619007408579597E-2</v>
      </c>
      <c r="M98" s="1234">
        <v>0.62733541378684099</v>
      </c>
      <c r="N98" s="1235">
        <v>4.07503601551455E-2</v>
      </c>
    </row>
    <row r="99" spans="1:14" ht="15.5" x14ac:dyDescent="0.35">
      <c r="A99" s="198">
        <v>2016</v>
      </c>
      <c r="B99" s="197" t="s">
        <v>5850</v>
      </c>
      <c r="C99" s="197">
        <v>1995</v>
      </c>
      <c r="D99" s="110" t="str">
        <f t="shared" si="1"/>
        <v>2016_1995</v>
      </c>
      <c r="E99" s="1231">
        <v>1.40322848161147</v>
      </c>
      <c r="F99" s="1232">
        <v>0.27145145339208598</v>
      </c>
      <c r="G99" s="1232">
        <v>19.4367958626266</v>
      </c>
      <c r="H99" s="1232">
        <v>2.4821570648353792</v>
      </c>
      <c r="I99" s="1232">
        <v>0.60021509840441101</v>
      </c>
      <c r="J99" s="1232">
        <v>3.8986712308385393E-2</v>
      </c>
      <c r="K99" s="1232">
        <v>3.0000008604131401E-3</v>
      </c>
      <c r="L99" s="1233">
        <v>3.76125063820811E-2</v>
      </c>
      <c r="M99" s="1234">
        <v>0.627354161739205</v>
      </c>
      <c r="N99" s="1235">
        <v>4.0749518437996915E-2</v>
      </c>
    </row>
    <row r="100" spans="1:14" ht="15.5" x14ac:dyDescent="0.35">
      <c r="A100" s="198">
        <v>2016</v>
      </c>
      <c r="B100" s="197" t="s">
        <v>5850</v>
      </c>
      <c r="C100" s="197">
        <v>1996</v>
      </c>
      <c r="D100" s="110" t="str">
        <f t="shared" si="1"/>
        <v>2016_1996</v>
      </c>
      <c r="E100" s="1231">
        <v>1.21216580931756</v>
      </c>
      <c r="F100" s="1232">
        <v>0.23681432852636211</v>
      </c>
      <c r="G100" s="1232">
        <v>19.187011317302101</v>
      </c>
      <c r="H100" s="1232">
        <v>2.4818734214926801</v>
      </c>
      <c r="I100" s="1232">
        <v>0.52639391668192304</v>
      </c>
      <c r="J100" s="1232">
        <v>3.4012019392009284E-2</v>
      </c>
      <c r="K100" s="1232">
        <v>3.0000008604116201E-3</v>
      </c>
      <c r="L100" s="1233">
        <v>3.7601214080677701E-2</v>
      </c>
      <c r="M100" s="1234">
        <v>0.55019511375586905</v>
      </c>
      <c r="N100" s="1235">
        <v>3.554989198281519E-2</v>
      </c>
    </row>
    <row r="101" spans="1:14" ht="15.5" x14ac:dyDescent="0.35">
      <c r="A101" s="198">
        <v>2016</v>
      </c>
      <c r="B101" s="197" t="s">
        <v>5850</v>
      </c>
      <c r="C101" s="197">
        <v>1997</v>
      </c>
      <c r="D101" s="110" t="str">
        <f t="shared" si="1"/>
        <v>2016_1997</v>
      </c>
      <c r="E101" s="1231">
        <v>1.21181013226241</v>
      </c>
      <c r="F101" s="1232">
        <v>0.23680939369003712</v>
      </c>
      <c r="G101" s="1232">
        <v>19.187522022851301</v>
      </c>
      <c r="H101" s="1232">
        <v>2.4818217031731455</v>
      </c>
      <c r="I101" s="1232">
        <v>0.52640022333337899</v>
      </c>
      <c r="J101" s="1232">
        <v>3.4011310635280678E-2</v>
      </c>
      <c r="K101" s="1232">
        <v>3.0000008604097001E-3</v>
      </c>
      <c r="L101" s="1233">
        <v>3.7590090099666497E-2</v>
      </c>
      <c r="M101" s="1234">
        <v>0.55020170556611903</v>
      </c>
      <c r="N101" s="1235">
        <v>3.554915117925242E-2</v>
      </c>
    </row>
    <row r="102" spans="1:14" ht="15.5" x14ac:dyDescent="0.35">
      <c r="A102" s="198">
        <v>2016</v>
      </c>
      <c r="B102" s="197" t="s">
        <v>5850</v>
      </c>
      <c r="C102" s="197">
        <v>1998</v>
      </c>
      <c r="D102" s="110" t="str">
        <f t="shared" si="1"/>
        <v>2016_1998</v>
      </c>
      <c r="E102" s="1231">
        <v>1.2091329330448299</v>
      </c>
      <c r="F102" s="1232">
        <v>0.18060268493051534</v>
      </c>
      <c r="G102" s="1232">
        <v>19.349018396592999</v>
      </c>
      <c r="H102" s="1232">
        <v>2.6707342317085292</v>
      </c>
      <c r="I102" s="1232">
        <v>0.51448336237716297</v>
      </c>
      <c r="J102" s="1232">
        <v>2.4042304030783015E-2</v>
      </c>
      <c r="K102" s="1232">
        <v>3.00000086040892E-3</v>
      </c>
      <c r="L102" s="1233">
        <v>3.7586749834575502E-2</v>
      </c>
      <c r="M102" s="1234">
        <v>0.53774601703775005</v>
      </c>
      <c r="N102" s="1235">
        <v>2.512939033291086E-2</v>
      </c>
    </row>
    <row r="103" spans="1:14" ht="15.5" x14ac:dyDescent="0.35">
      <c r="A103" s="198">
        <v>2016</v>
      </c>
      <c r="B103" s="197" t="s">
        <v>5850</v>
      </c>
      <c r="C103" s="197">
        <v>1999</v>
      </c>
      <c r="D103" s="110" t="str">
        <f t="shared" si="1"/>
        <v>2016_1999</v>
      </c>
      <c r="E103" s="1231">
        <v>1.4331247755444601</v>
      </c>
      <c r="F103" s="1232">
        <v>0.18060545323432725</v>
      </c>
      <c r="G103" s="1232">
        <v>24.1467360226995</v>
      </c>
      <c r="H103" s="1232">
        <v>2.6707751691052066</v>
      </c>
      <c r="I103" s="1232">
        <v>0.46438311784539299</v>
      </c>
      <c r="J103" s="1232">
        <v>2.4042672554661308E-2</v>
      </c>
      <c r="K103" s="1232">
        <v>3.0000008604093098E-3</v>
      </c>
      <c r="L103" s="1233">
        <v>3.7587544550406603E-2</v>
      </c>
      <c r="M103" s="1234">
        <v>0.48538046176479599</v>
      </c>
      <c r="N103" s="1235">
        <v>2.512977551980362E-2</v>
      </c>
    </row>
    <row r="104" spans="1:14" ht="15.5" x14ac:dyDescent="0.35">
      <c r="A104" s="198">
        <v>2016</v>
      </c>
      <c r="B104" s="197" t="s">
        <v>5850</v>
      </c>
      <c r="C104" s="197">
        <v>2000</v>
      </c>
      <c r="D104" s="110" t="str">
        <f t="shared" si="1"/>
        <v>2016_2000</v>
      </c>
      <c r="E104" s="1231">
        <v>1.43286605394577</v>
      </c>
      <c r="F104" s="1232">
        <v>0.18060615464193774</v>
      </c>
      <c r="G104" s="1232">
        <v>24.145871607387999</v>
      </c>
      <c r="H104" s="1232">
        <v>2.6707855414499764</v>
      </c>
      <c r="I104" s="1232">
        <v>0.464321478488112</v>
      </c>
      <c r="J104" s="1232">
        <v>2.4042765927885627E-2</v>
      </c>
      <c r="K104" s="1232">
        <v>3.0000008604093402E-3</v>
      </c>
      <c r="L104" s="1233">
        <v>3.7587177640677101E-2</v>
      </c>
      <c r="M104" s="1234">
        <v>0.48531603534929901</v>
      </c>
      <c r="N104" s="1235">
        <v>2.5129873114950935E-2</v>
      </c>
    </row>
    <row r="105" spans="1:14" ht="15.5" x14ac:dyDescent="0.35">
      <c r="A105" s="198">
        <v>2016</v>
      </c>
      <c r="B105" s="197" t="s">
        <v>5850</v>
      </c>
      <c r="C105" s="197">
        <v>2001</v>
      </c>
      <c r="D105" s="110" t="str">
        <f t="shared" si="1"/>
        <v>2016_2001</v>
      </c>
      <c r="E105" s="1231">
        <v>1.39877216146772</v>
      </c>
      <c r="F105" s="1232">
        <v>0.18060542977437083</v>
      </c>
      <c r="G105" s="1232">
        <v>24.0158350373475</v>
      </c>
      <c r="H105" s="1232">
        <v>2.6707748221817389</v>
      </c>
      <c r="I105" s="1232">
        <v>0.45628292438442197</v>
      </c>
      <c r="J105" s="1232">
        <v>2.4042669431610167E-2</v>
      </c>
      <c r="K105" s="1232">
        <v>3.00000086040942E-3</v>
      </c>
      <c r="L105" s="1233">
        <v>3.75881144614542E-2</v>
      </c>
      <c r="M105" s="1234">
        <v>0.476914013499596</v>
      </c>
      <c r="N105" s="1235">
        <v>2.5129772255542068E-2</v>
      </c>
    </row>
    <row r="106" spans="1:14" ht="15.5" x14ac:dyDescent="0.35">
      <c r="A106" s="198">
        <v>2016</v>
      </c>
      <c r="B106" s="197" t="s">
        <v>5850</v>
      </c>
      <c r="C106" s="197">
        <v>2002</v>
      </c>
      <c r="D106" s="110" t="str">
        <f>CONCATENATE(A106,"_",C106)</f>
        <v>2016_2002</v>
      </c>
      <c r="E106" s="1231">
        <v>1.3610261436040101</v>
      </c>
      <c r="F106" s="1232">
        <v>0.16255658227152905</v>
      </c>
      <c r="G106" s="1232">
        <v>23.8702947075551</v>
      </c>
      <c r="H106" s="1232">
        <v>2.403870291458547</v>
      </c>
      <c r="I106" s="1232">
        <v>0.44737145969365899</v>
      </c>
      <c r="J106" s="1232">
        <v>2.1639959420762252E-2</v>
      </c>
      <c r="K106" s="1232">
        <v>3.00000086041145E-3</v>
      </c>
      <c r="L106" s="1233">
        <v>3.7598764294208803E-2</v>
      </c>
      <c r="M106" s="1234">
        <v>0.46759961191955501</v>
      </c>
      <c r="N106" s="1235">
        <v>2.2618422359871441E-2</v>
      </c>
    </row>
    <row r="107" spans="1:14" ht="15.5" x14ac:dyDescent="0.35">
      <c r="A107" s="198">
        <v>2016</v>
      </c>
      <c r="B107" s="197" t="s">
        <v>5850</v>
      </c>
      <c r="C107" s="197">
        <v>2003</v>
      </c>
      <c r="D107" s="110" t="str">
        <f t="shared" ref="D107:D120" si="2">CONCATENATE(A107,"_",C107)</f>
        <v>2016_2003</v>
      </c>
      <c r="E107" s="1231">
        <v>0.86905797538895802</v>
      </c>
      <c r="F107" s="1232">
        <v>0.11996754894612185</v>
      </c>
      <c r="G107" s="1232">
        <v>13.239518294220399</v>
      </c>
      <c r="H107" s="1232">
        <v>2.2431530742072079</v>
      </c>
      <c r="I107" s="1232">
        <v>0.58099831855250395</v>
      </c>
      <c r="J107" s="1232">
        <v>1.5068693058970054E-2</v>
      </c>
      <c r="K107" s="1232">
        <v>3.0000008604109101E-3</v>
      </c>
      <c r="L107" s="1233">
        <v>3.7595699407066203E-2</v>
      </c>
      <c r="M107" s="1234">
        <v>0.607268484375593</v>
      </c>
      <c r="N107" s="1235">
        <v>1.5750032492761513E-2</v>
      </c>
    </row>
    <row r="108" spans="1:14" ht="15.5" x14ac:dyDescent="0.35">
      <c r="A108" s="198">
        <v>2016</v>
      </c>
      <c r="B108" s="197" t="s">
        <v>5850</v>
      </c>
      <c r="C108" s="197">
        <v>2004</v>
      </c>
      <c r="D108" s="110" t="str">
        <f t="shared" si="2"/>
        <v>2016_2004</v>
      </c>
      <c r="E108" s="1231">
        <v>0.84038367459652996</v>
      </c>
      <c r="F108" s="1232">
        <v>0.10797023365778589</v>
      </c>
      <c r="G108" s="1232">
        <v>11.237305346756701</v>
      </c>
      <c r="H108" s="1232">
        <v>2.0188272885453782</v>
      </c>
      <c r="I108" s="1232">
        <v>0.69922644084811303</v>
      </c>
      <c r="J108" s="1232">
        <v>1.3561753364029674E-2</v>
      </c>
      <c r="K108" s="1232">
        <v>3.0000008604105198E-3</v>
      </c>
      <c r="L108" s="1233">
        <v>3.75937751102167E-2</v>
      </c>
      <c r="M108" s="1234">
        <v>0.73084235773188599</v>
      </c>
      <c r="N108" s="1235">
        <v>1.4174955671761778E-2</v>
      </c>
    </row>
    <row r="109" spans="1:14" ht="15.5" x14ac:dyDescent="0.35">
      <c r="A109" s="198">
        <v>2016</v>
      </c>
      <c r="B109" s="197" t="s">
        <v>5850</v>
      </c>
      <c r="C109" s="197">
        <v>2005</v>
      </c>
      <c r="D109" s="110" t="str">
        <f t="shared" si="2"/>
        <v>2016_2005</v>
      </c>
      <c r="E109" s="1231">
        <v>0.80860736156555502</v>
      </c>
      <c r="F109" s="1232">
        <v>9.7174714334311296E-2</v>
      </c>
      <c r="G109" s="1232">
        <v>11.109936633387001</v>
      </c>
      <c r="H109" s="1232">
        <v>1.8169726822718779</v>
      </c>
      <c r="I109" s="1232">
        <v>0.68023082642162302</v>
      </c>
      <c r="J109" s="1232">
        <v>1.2205766944979959E-2</v>
      </c>
      <c r="K109" s="1232">
        <v>3.0000008604109799E-3</v>
      </c>
      <c r="L109" s="1233">
        <v>3.7594228727850502E-2</v>
      </c>
      <c r="M109" s="1234">
        <v>0.71098784591282105</v>
      </c>
      <c r="N109" s="1235">
        <v>1.2757657563943259E-2</v>
      </c>
    </row>
    <row r="110" spans="1:14" ht="15.5" x14ac:dyDescent="0.35">
      <c r="A110" s="198">
        <v>2016</v>
      </c>
      <c r="B110" s="197" t="s">
        <v>5850</v>
      </c>
      <c r="C110" s="197">
        <v>2006</v>
      </c>
      <c r="D110" s="110" t="str">
        <f t="shared" si="2"/>
        <v>2016_2006</v>
      </c>
      <c r="E110" s="1231">
        <v>0.77151920172952904</v>
      </c>
      <c r="F110" s="1232">
        <v>8.745479115055789E-2</v>
      </c>
      <c r="G110" s="1232">
        <v>10.975304761005001</v>
      </c>
      <c r="H110" s="1232">
        <v>1.6352295712203464</v>
      </c>
      <c r="I110" s="1232">
        <v>0.65774056585225904</v>
      </c>
      <c r="J110" s="1232">
        <v>1.098488229492737E-2</v>
      </c>
      <c r="K110" s="1232">
        <v>3.0000008604101598E-3</v>
      </c>
      <c r="L110" s="1233">
        <v>3.7592395895312998E-2</v>
      </c>
      <c r="M110" s="1234">
        <v>0.68748067555956405</v>
      </c>
      <c r="N110" s="1235">
        <v>1.1481569927610749E-2</v>
      </c>
    </row>
    <row r="111" spans="1:14" ht="15.5" x14ac:dyDescent="0.35">
      <c r="A111" s="198">
        <v>2016</v>
      </c>
      <c r="B111" s="197" t="s">
        <v>5850</v>
      </c>
      <c r="C111" s="197">
        <v>2007</v>
      </c>
      <c r="D111" s="110" t="str">
        <f t="shared" si="2"/>
        <v>2016_2007</v>
      </c>
      <c r="E111" s="1231">
        <v>0.54095596522026301</v>
      </c>
      <c r="F111" s="1232">
        <v>6.561731994023498E-2</v>
      </c>
      <c r="G111" s="1232">
        <v>9.9619501574621996</v>
      </c>
      <c r="H111" s="1232">
        <v>1.4716717704132465</v>
      </c>
      <c r="I111" s="1232">
        <v>0.45874280812567098</v>
      </c>
      <c r="J111" s="1232">
        <v>8.3581383113277008E-3</v>
      </c>
      <c r="K111" s="1232">
        <v>3.0000008604094399E-3</v>
      </c>
      <c r="L111" s="1233">
        <v>3.7587409005117499E-2</v>
      </c>
      <c r="M111" s="1234">
        <v>0.47948512226805201</v>
      </c>
      <c r="N111" s="1235">
        <v>8.7360562370764755E-3</v>
      </c>
    </row>
    <row r="112" spans="1:14" ht="15.5" x14ac:dyDescent="0.35">
      <c r="A112" s="198">
        <v>2016</v>
      </c>
      <c r="B112" s="197" t="s">
        <v>5850</v>
      </c>
      <c r="C112" s="197">
        <v>2008</v>
      </c>
      <c r="D112" s="110" t="str">
        <f t="shared" si="2"/>
        <v>2016_2008</v>
      </c>
      <c r="E112" s="1231">
        <v>0.19294903063163399</v>
      </c>
      <c r="F112" s="1232">
        <v>2.6787811158307331E-2</v>
      </c>
      <c r="G112" s="1232">
        <v>7.8322878444536501</v>
      </c>
      <c r="H112" s="1232">
        <v>1.01821236258513</v>
      </c>
      <c r="I112" s="1232">
        <v>4.45719804768736E-2</v>
      </c>
      <c r="J112" s="1232">
        <v>4.1571882187867935E-4</v>
      </c>
      <c r="K112" s="1232">
        <v>3.0000008604089399E-3</v>
      </c>
      <c r="L112" s="1233">
        <v>3.7585809560703599E-2</v>
      </c>
      <c r="M112" s="1234">
        <v>4.65873276488038E-2</v>
      </c>
      <c r="N112" s="1235">
        <v>4.345157822790825E-4</v>
      </c>
    </row>
    <row r="113" spans="1:14" ht="15.5" x14ac:dyDescent="0.35">
      <c r="A113" s="198">
        <v>2016</v>
      </c>
      <c r="B113" s="197" t="s">
        <v>5850</v>
      </c>
      <c r="C113" s="197">
        <v>2009</v>
      </c>
      <c r="D113" s="110" t="str">
        <f t="shared" si="2"/>
        <v>2016_2009</v>
      </c>
      <c r="E113" s="1231">
        <v>0.17257148115766299</v>
      </c>
      <c r="F113" s="1232">
        <v>2.5237899743928961E-2</v>
      </c>
      <c r="G113" s="1232">
        <v>7.5977169410273104</v>
      </c>
      <c r="H113" s="1232">
        <v>0.50641489232905523</v>
      </c>
      <c r="I113" s="1232">
        <v>3.2567529556813697E-2</v>
      </c>
      <c r="J113" s="1232">
        <v>1.0464180721567718E-4</v>
      </c>
      <c r="K113" s="1232">
        <v>3.0000008604095501E-3</v>
      </c>
      <c r="L113" s="1233">
        <v>3.7588071964797097E-2</v>
      </c>
      <c r="M113" s="1234">
        <v>3.4040088727100799E-2</v>
      </c>
      <c r="N113" s="1235">
        <v>1.0937324539682809E-4</v>
      </c>
    </row>
    <row r="114" spans="1:14" ht="15.5" x14ac:dyDescent="0.35">
      <c r="A114" s="198">
        <v>2016</v>
      </c>
      <c r="B114" s="197" t="s">
        <v>5850</v>
      </c>
      <c r="C114" s="197">
        <v>2010</v>
      </c>
      <c r="D114" s="110" t="str">
        <f t="shared" si="2"/>
        <v>2016_2010</v>
      </c>
      <c r="E114" s="1231">
        <v>0.17707746681078501</v>
      </c>
      <c r="F114" s="1232">
        <v>2.5305467819908702E-2</v>
      </c>
      <c r="G114" s="1232">
        <v>6.7005643464274902</v>
      </c>
      <c r="H114" s="1232">
        <v>0.4543572375983867</v>
      </c>
      <c r="I114" s="1232">
        <v>4.5937299005961503E-2</v>
      </c>
      <c r="J114" s="1232">
        <v>1.0464218247547808E-4</v>
      </c>
      <c r="K114" s="1232">
        <v>3.0000008604095601E-3</v>
      </c>
      <c r="L114" s="1233">
        <v>2.7984176462307799E-2</v>
      </c>
      <c r="M114" s="1234">
        <v>4.8014379823265799E-2</v>
      </c>
      <c r="N114" s="1235">
        <v>1.0937363762421128E-4</v>
      </c>
    </row>
    <row r="115" spans="1:14" ht="15.5" x14ac:dyDescent="0.35">
      <c r="A115" s="198">
        <v>2016</v>
      </c>
      <c r="B115" s="197" t="s">
        <v>5850</v>
      </c>
      <c r="C115" s="197">
        <v>2011</v>
      </c>
      <c r="D115" s="110" t="str">
        <f t="shared" si="2"/>
        <v>2016_2011</v>
      </c>
      <c r="E115" s="1231">
        <v>8.3047178044367606E-2</v>
      </c>
      <c r="F115" s="1232">
        <v>2.5614849606519819E-2</v>
      </c>
      <c r="G115" s="1232">
        <v>3.5430368520134801</v>
      </c>
      <c r="H115" s="1232">
        <v>0.34400004729554295</v>
      </c>
      <c r="I115" s="1232">
        <v>4.27214839182E-2</v>
      </c>
      <c r="J115" s="1232">
        <v>1.0464600886436305E-4</v>
      </c>
      <c r="K115" s="1232">
        <v>3.0000008604094998E-3</v>
      </c>
      <c r="L115" s="1233">
        <v>2.79850479403853E-2</v>
      </c>
      <c r="M115" s="1234">
        <v>4.4653159847203798E-2</v>
      </c>
      <c r="N115" s="1235">
        <v>1.0937763702542305E-4</v>
      </c>
    </row>
    <row r="116" spans="1:14" ht="15.5" x14ac:dyDescent="0.35">
      <c r="A116" s="198">
        <v>2016</v>
      </c>
      <c r="B116" s="197" t="s">
        <v>5850</v>
      </c>
      <c r="C116" s="197">
        <v>2012</v>
      </c>
      <c r="D116" s="110" t="str">
        <f t="shared" si="2"/>
        <v>2016_2012</v>
      </c>
      <c r="E116" s="1231">
        <v>1.6735724465353399E-2</v>
      </c>
      <c r="F116" s="1232">
        <v>2.5699217685721056E-2</v>
      </c>
      <c r="G116" s="1232">
        <v>2.64567744044591</v>
      </c>
      <c r="H116" s="1232">
        <v>0.30368603243655579</v>
      </c>
      <c r="I116" s="1232">
        <v>2.1081691309287401E-2</v>
      </c>
      <c r="J116" s="1232">
        <v>1.0463999435946197E-4</v>
      </c>
      <c r="K116" s="1232">
        <v>3.0000008604090301E-3</v>
      </c>
      <c r="L116" s="1233">
        <v>2.7981101054078299E-2</v>
      </c>
      <c r="M116" s="1234">
        <v>2.20349118416737E-2</v>
      </c>
      <c r="N116" s="1235">
        <v>1.0937135057129875E-4</v>
      </c>
    </row>
    <row r="117" spans="1:14" ht="15.5" x14ac:dyDescent="0.35">
      <c r="A117" s="198">
        <v>2016</v>
      </c>
      <c r="B117" s="197" t="s">
        <v>5850</v>
      </c>
      <c r="C117" s="197">
        <v>2013</v>
      </c>
      <c r="D117" s="110" t="str">
        <f t="shared" si="2"/>
        <v>2016_2013</v>
      </c>
      <c r="E117" s="1231">
        <v>1.5787397347231301E-2</v>
      </c>
      <c r="F117" s="1232">
        <v>2.5699327678438244E-2</v>
      </c>
      <c r="G117" s="1232">
        <v>2.3254750027797702</v>
      </c>
      <c r="H117" s="1232">
        <v>0.3036873322135481</v>
      </c>
      <c r="I117" s="1232">
        <v>1.8227710681464199E-2</v>
      </c>
      <c r="J117" s="1232">
        <v>1.0464044221890468E-4</v>
      </c>
      <c r="K117" s="1232">
        <v>3.0000008604091398E-3</v>
      </c>
      <c r="L117" s="1233">
        <v>2.7981593927030399E-2</v>
      </c>
      <c r="M117" s="1234">
        <v>1.9051886874211801E-2</v>
      </c>
      <c r="N117" s="1235">
        <v>1.0937181868095794E-4</v>
      </c>
    </row>
    <row r="118" spans="1:14" ht="15.5" x14ac:dyDescent="0.35">
      <c r="A118" s="198">
        <v>2016</v>
      </c>
      <c r="B118" s="197" t="s">
        <v>5850</v>
      </c>
      <c r="C118" s="197">
        <v>2014</v>
      </c>
      <c r="D118" s="110" t="str">
        <f t="shared" si="2"/>
        <v>2016_2014</v>
      </c>
      <c r="E118" s="1231">
        <v>8.2688065354606707E-3</v>
      </c>
      <c r="F118" s="1232">
        <v>2.5698464548702005E-2</v>
      </c>
      <c r="G118" s="1232">
        <v>1.0374378299701299</v>
      </c>
      <c r="H118" s="1232">
        <v>0.30367713266396318</v>
      </c>
      <c r="I118" s="1232">
        <v>2.0541107458895601E-2</v>
      </c>
      <c r="J118" s="1232">
        <v>1.0463692779710975E-4</v>
      </c>
      <c r="K118" s="1232">
        <v>3.0000008604086702E-3</v>
      </c>
      <c r="L118" s="1233">
        <v>2.7980703611618099E-2</v>
      </c>
      <c r="M118" s="1234">
        <v>2.1469885188372499E-2</v>
      </c>
      <c r="N118" s="1235">
        <v>1.0936814535260517E-4</v>
      </c>
    </row>
    <row r="119" spans="1:14" ht="15.5" x14ac:dyDescent="0.35">
      <c r="A119" s="198">
        <v>2016</v>
      </c>
      <c r="B119" s="197" t="s">
        <v>5850</v>
      </c>
      <c r="C119" s="197">
        <v>2015</v>
      </c>
      <c r="D119" s="110" t="str">
        <f t="shared" si="2"/>
        <v>2016_2015</v>
      </c>
      <c r="E119" s="1231">
        <v>7.9219185779093905E-3</v>
      </c>
      <c r="F119" s="1232">
        <v>2.5698147635036812E-2</v>
      </c>
      <c r="G119" s="1232">
        <v>0.94300217971784805</v>
      </c>
      <c r="H119" s="1232">
        <v>0.30367338771519553</v>
      </c>
      <c r="I119" s="1232">
        <v>1.8056757875326401E-2</v>
      </c>
      <c r="J119" s="1232">
        <v>1.0463563741370079E-4</v>
      </c>
      <c r="K119" s="1232">
        <v>3.0000008604086502E-3</v>
      </c>
      <c r="L119" s="1233">
        <v>2.79800920806729E-2</v>
      </c>
      <c r="M119" s="1234">
        <v>1.88732043407723E-2</v>
      </c>
      <c r="N119" s="1235">
        <v>1.0936679662378379E-4</v>
      </c>
    </row>
    <row r="120" spans="1:14" ht="15.5" x14ac:dyDescent="0.35">
      <c r="A120" s="198">
        <v>2016</v>
      </c>
      <c r="B120" s="197" t="s">
        <v>5850</v>
      </c>
      <c r="C120" s="197">
        <v>2016</v>
      </c>
      <c r="D120" s="110" t="str">
        <f t="shared" si="2"/>
        <v>2016_2016</v>
      </c>
      <c r="E120" s="1231">
        <v>7.5751165527647001E-3</v>
      </c>
      <c r="F120" s="1232">
        <v>2.5698296922825919E-2</v>
      </c>
      <c r="G120" s="1232">
        <v>0.81891337349446103</v>
      </c>
      <c r="H120" s="1232">
        <v>0.30367515183957161</v>
      </c>
      <c r="I120" s="1232">
        <v>1.5572017783920301E-2</v>
      </c>
      <c r="J120" s="1232">
        <v>1.0463624527163608E-4</v>
      </c>
      <c r="K120" s="1232">
        <v>3.0000008604084099E-3</v>
      </c>
      <c r="L120" s="1233">
        <v>2.7979693711833901E-2</v>
      </c>
      <c r="M120" s="1234">
        <v>1.62761153283036E-2</v>
      </c>
      <c r="N120" s="1235">
        <v>1.09367431966358E-4</v>
      </c>
    </row>
    <row r="121" spans="1:14" ht="15.5" x14ac:dyDescent="0.35">
      <c r="A121" s="198">
        <v>2016</v>
      </c>
      <c r="B121" s="197" t="s">
        <v>5850</v>
      </c>
      <c r="C121" s="197">
        <v>2017</v>
      </c>
      <c r="D121" s="110" t="str">
        <f t="shared" ref="D121:D248" si="3">CONCATENATE(A121,"_",C121)</f>
        <v>2016_2017</v>
      </c>
      <c r="E121" s="1231">
        <v>7.3756388176767296E-3</v>
      </c>
      <c r="F121" s="1232">
        <v>6.1681359561578455E-2</v>
      </c>
      <c r="G121" s="1232">
        <v>0.61144397388663696</v>
      </c>
      <c r="H121" s="1232">
        <v>0.72888473064127679</v>
      </c>
      <c r="I121" s="1232">
        <v>1.06703261616723E-2</v>
      </c>
      <c r="J121" s="1232">
        <v>2.5114916708899047E-4</v>
      </c>
      <c r="K121" s="1232">
        <v>3.0000008604108E-3</v>
      </c>
      <c r="L121" s="1233">
        <v>2.7989111627397902E-2</v>
      </c>
      <c r="M121" s="1234">
        <v>1.1152790961832E-2</v>
      </c>
      <c r="N121" s="1235">
        <v>2.6250501796683213E-4</v>
      </c>
    </row>
    <row r="122" spans="1:14" ht="15.5" x14ac:dyDescent="0.35">
      <c r="A122" s="198">
        <v>2017</v>
      </c>
      <c r="B122" s="197" t="s">
        <v>5850</v>
      </c>
      <c r="C122" s="197">
        <v>1971</v>
      </c>
      <c r="D122" s="110" t="str">
        <f t="shared" si="3"/>
        <v>2017_1971</v>
      </c>
      <c r="E122" s="1226">
        <v>2.33845688103357</v>
      </c>
      <c r="F122" s="1227">
        <v>0.78565722061338139</v>
      </c>
      <c r="G122" s="1227">
        <v>19.667954761247799</v>
      </c>
      <c r="H122" s="1227">
        <v>1.4395804615395771</v>
      </c>
      <c r="I122" s="1227">
        <v>1.8032776099630401</v>
      </c>
      <c r="J122" s="1227">
        <v>0.15055605286062285</v>
      </c>
      <c r="K122" s="1227">
        <v>3.0000008604094599E-3</v>
      </c>
      <c r="L122" s="1228">
        <v>3.7588519354796401E-2</v>
      </c>
      <c r="M122" s="1229">
        <v>1.8848138215596799</v>
      </c>
      <c r="N122" s="1230">
        <v>0.15736352948839105</v>
      </c>
    </row>
    <row r="123" spans="1:14" ht="15.5" x14ac:dyDescent="0.35">
      <c r="A123" s="198">
        <v>2017</v>
      </c>
      <c r="B123" s="197" t="s">
        <v>5850</v>
      </c>
      <c r="C123" s="197">
        <v>1972</v>
      </c>
      <c r="D123" s="110" t="str">
        <f t="shared" si="3"/>
        <v>2017_1972</v>
      </c>
      <c r="E123" s="1226">
        <v>2.33845688103357</v>
      </c>
      <c r="F123" s="1227">
        <v>0.78565722061338139</v>
      </c>
      <c r="G123" s="1227">
        <v>19.667954761247799</v>
      </c>
      <c r="H123" s="1227">
        <v>1.4395804615395771</v>
      </c>
      <c r="I123" s="1227">
        <v>1.8032776099630401</v>
      </c>
      <c r="J123" s="1227">
        <v>0.15055605286062285</v>
      </c>
      <c r="K123" s="1227">
        <v>3.0000008604094599E-3</v>
      </c>
      <c r="L123" s="1228">
        <v>3.7588519354796401E-2</v>
      </c>
      <c r="M123" s="1229">
        <v>1.8848138215596799</v>
      </c>
      <c r="N123" s="1230">
        <v>0.15736352948839105</v>
      </c>
    </row>
    <row r="124" spans="1:14" ht="15.5" x14ac:dyDescent="0.35">
      <c r="A124" s="198">
        <v>2017</v>
      </c>
      <c r="B124" s="197" t="s">
        <v>5850</v>
      </c>
      <c r="C124" s="197">
        <v>1973</v>
      </c>
      <c r="D124" s="110" t="str">
        <f t="shared" si="3"/>
        <v>2017_1973</v>
      </c>
      <c r="E124" s="1226">
        <v>2.33845688103357</v>
      </c>
      <c r="F124" s="1227">
        <v>0.78565722061338139</v>
      </c>
      <c r="G124" s="1227">
        <v>19.667954761247799</v>
      </c>
      <c r="H124" s="1227">
        <v>1.4395804615395771</v>
      </c>
      <c r="I124" s="1227">
        <v>1.8032776099630401</v>
      </c>
      <c r="J124" s="1227">
        <v>0.15055605286062285</v>
      </c>
      <c r="K124" s="1227">
        <v>3.0000008604094599E-3</v>
      </c>
      <c r="L124" s="1228">
        <v>3.7588519354796401E-2</v>
      </c>
      <c r="M124" s="1229">
        <v>1.8848138215596799</v>
      </c>
      <c r="N124" s="1230">
        <v>0.15736352948839105</v>
      </c>
    </row>
    <row r="125" spans="1:14" ht="15.5" x14ac:dyDescent="0.35">
      <c r="A125" s="198">
        <v>2017</v>
      </c>
      <c r="B125" s="197" t="s">
        <v>5850</v>
      </c>
      <c r="C125" s="197">
        <v>1974</v>
      </c>
      <c r="D125" s="110" t="str">
        <f t="shared" si="3"/>
        <v>2017_1974</v>
      </c>
      <c r="E125" s="1226">
        <v>2.33845688103357</v>
      </c>
      <c r="F125" s="1227">
        <v>0.78565722061338139</v>
      </c>
      <c r="G125" s="1227">
        <v>19.667954761247799</v>
      </c>
      <c r="H125" s="1227">
        <v>1.4395804615395771</v>
      </c>
      <c r="I125" s="1227">
        <v>1.8032776099630401</v>
      </c>
      <c r="J125" s="1227">
        <v>0.15055605286062285</v>
      </c>
      <c r="K125" s="1227">
        <v>3.0000008604094599E-3</v>
      </c>
      <c r="L125" s="1228">
        <v>3.7588519354796401E-2</v>
      </c>
      <c r="M125" s="1229">
        <v>1.8848138215596799</v>
      </c>
      <c r="N125" s="1230">
        <v>0.15736352948839105</v>
      </c>
    </row>
    <row r="126" spans="1:14" ht="15.5" x14ac:dyDescent="0.35">
      <c r="A126" s="198">
        <v>2017</v>
      </c>
      <c r="B126" s="197" t="s">
        <v>5850</v>
      </c>
      <c r="C126" s="197">
        <v>1975</v>
      </c>
      <c r="D126" s="110" t="str">
        <f t="shared" si="3"/>
        <v>2017_1975</v>
      </c>
      <c r="E126" s="1226">
        <v>2.33845688103357</v>
      </c>
      <c r="F126" s="1227">
        <v>0.78565722061338139</v>
      </c>
      <c r="G126" s="1227">
        <v>19.667954761247799</v>
      </c>
      <c r="H126" s="1227">
        <v>1.4395804615395771</v>
      </c>
      <c r="I126" s="1227">
        <v>1.8032776099630401</v>
      </c>
      <c r="J126" s="1227">
        <v>0.15055605286062285</v>
      </c>
      <c r="K126" s="1227">
        <v>3.0000008604094599E-3</v>
      </c>
      <c r="L126" s="1228">
        <v>3.7588519354796401E-2</v>
      </c>
      <c r="M126" s="1229">
        <v>1.8848138215596799</v>
      </c>
      <c r="N126" s="1230">
        <v>0.15736352948839105</v>
      </c>
    </row>
    <row r="127" spans="1:14" ht="15.5" x14ac:dyDescent="0.35">
      <c r="A127" s="198">
        <v>2017</v>
      </c>
      <c r="B127" s="197" t="s">
        <v>5850</v>
      </c>
      <c r="C127" s="197">
        <v>1976</v>
      </c>
      <c r="D127" s="110" t="str">
        <f t="shared" si="3"/>
        <v>2017_1976</v>
      </c>
      <c r="E127" s="1226">
        <v>2.33845688103357</v>
      </c>
      <c r="F127" s="1227">
        <v>0.78565722061338139</v>
      </c>
      <c r="G127" s="1227">
        <v>19.667954761247799</v>
      </c>
      <c r="H127" s="1227">
        <v>1.4395804615395771</v>
      </c>
      <c r="I127" s="1227">
        <v>1.8032776099630401</v>
      </c>
      <c r="J127" s="1227">
        <v>0.15055605286062285</v>
      </c>
      <c r="K127" s="1227">
        <v>3.0000008604094599E-3</v>
      </c>
      <c r="L127" s="1228">
        <v>3.7588519354796401E-2</v>
      </c>
      <c r="M127" s="1229">
        <v>1.8848138215596799</v>
      </c>
      <c r="N127" s="1230">
        <v>0.15736352948839105</v>
      </c>
    </row>
    <row r="128" spans="1:14" ht="15.5" x14ac:dyDescent="0.35">
      <c r="A128" s="198">
        <v>2017</v>
      </c>
      <c r="B128" s="197" t="s">
        <v>5850</v>
      </c>
      <c r="C128" s="197">
        <v>1977</v>
      </c>
      <c r="D128" s="110" t="str">
        <f t="shared" si="3"/>
        <v>2017_1977</v>
      </c>
      <c r="E128" s="1231">
        <v>2.33845688103357</v>
      </c>
      <c r="F128" s="1232">
        <v>0.78565722061338139</v>
      </c>
      <c r="G128" s="1232">
        <v>19.667954761247799</v>
      </c>
      <c r="H128" s="1232">
        <v>1.4395804615395771</v>
      </c>
      <c r="I128" s="1232">
        <v>1.8032776099630401</v>
      </c>
      <c r="J128" s="1232">
        <v>0.15055605286062285</v>
      </c>
      <c r="K128" s="1232">
        <v>3.0000008604094599E-3</v>
      </c>
      <c r="L128" s="1233">
        <v>3.7588519354796401E-2</v>
      </c>
      <c r="M128" s="1234">
        <v>1.8848138215596799</v>
      </c>
      <c r="N128" s="1235">
        <v>0.15736352948839105</v>
      </c>
    </row>
    <row r="129" spans="1:14" ht="15.5" x14ac:dyDescent="0.35">
      <c r="A129" s="198">
        <v>2017</v>
      </c>
      <c r="B129" s="197" t="s">
        <v>5850</v>
      </c>
      <c r="C129" s="197">
        <v>1978</v>
      </c>
      <c r="D129" s="110" t="str">
        <f t="shared" si="3"/>
        <v>2017_1978</v>
      </c>
      <c r="E129" s="1231">
        <v>2.33845688103357</v>
      </c>
      <c r="F129" s="1232">
        <v>0.78565722061338139</v>
      </c>
      <c r="G129" s="1232">
        <v>19.667954761247799</v>
      </c>
      <c r="H129" s="1232">
        <v>1.4395804615395771</v>
      </c>
      <c r="I129" s="1232">
        <v>1.8032776099630401</v>
      </c>
      <c r="J129" s="1232">
        <v>0.15055605286062285</v>
      </c>
      <c r="K129" s="1232">
        <v>3.0000008604094599E-3</v>
      </c>
      <c r="L129" s="1233">
        <v>3.7588519354796401E-2</v>
      </c>
      <c r="M129" s="1234">
        <v>1.8848138215596799</v>
      </c>
      <c r="N129" s="1235">
        <v>0.15736352948839105</v>
      </c>
    </row>
    <row r="130" spans="1:14" ht="15.5" x14ac:dyDescent="0.35">
      <c r="A130" s="198">
        <v>2017</v>
      </c>
      <c r="B130" s="197" t="s">
        <v>5850</v>
      </c>
      <c r="C130" s="197">
        <v>1979</v>
      </c>
      <c r="D130" s="110" t="str">
        <f t="shared" si="3"/>
        <v>2017_1979</v>
      </c>
      <c r="E130" s="1229">
        <v>2.33845688103357</v>
      </c>
      <c r="F130" s="1227">
        <v>0.78565722061338117</v>
      </c>
      <c r="G130" s="1227">
        <v>19.667954761247799</v>
      </c>
      <c r="H130" s="1227">
        <v>1.4395804615395766</v>
      </c>
      <c r="I130" s="1227">
        <v>1.8032776099630401</v>
      </c>
      <c r="J130" s="1227">
        <v>0.15055605286062282</v>
      </c>
      <c r="K130" s="1227">
        <v>3.0000008604094599E-3</v>
      </c>
      <c r="L130" s="1236">
        <v>3.7588519354796401E-2</v>
      </c>
      <c r="M130" s="1229">
        <v>1.8848138215596799</v>
      </c>
      <c r="N130" s="1230">
        <v>0.15736352948839102</v>
      </c>
    </row>
    <row r="131" spans="1:14" ht="15.5" x14ac:dyDescent="0.35">
      <c r="A131" s="198">
        <v>2017</v>
      </c>
      <c r="B131" s="197" t="s">
        <v>5850</v>
      </c>
      <c r="C131" s="197">
        <v>1980</v>
      </c>
      <c r="D131" s="110" t="str">
        <f t="shared" si="3"/>
        <v>2017_1980</v>
      </c>
      <c r="E131" s="1231">
        <v>2.33845688103357</v>
      </c>
      <c r="F131" s="1232">
        <v>0.78565722061338106</v>
      </c>
      <c r="G131" s="1232">
        <v>19.667954761247799</v>
      </c>
      <c r="H131" s="1232">
        <v>1.4395804615395764</v>
      </c>
      <c r="I131" s="1232">
        <v>1.8032776099630401</v>
      </c>
      <c r="J131" s="1232">
        <v>0.15055605286062279</v>
      </c>
      <c r="K131" s="1232">
        <v>3.0000008604094599E-3</v>
      </c>
      <c r="L131" s="1233">
        <v>3.7588519354796401E-2</v>
      </c>
      <c r="M131" s="1234">
        <v>1.8848138215596799</v>
      </c>
      <c r="N131" s="1235">
        <v>0.157363529488391</v>
      </c>
    </row>
    <row r="132" spans="1:14" ht="15.5" x14ac:dyDescent="0.35">
      <c r="A132" s="198">
        <v>2017</v>
      </c>
      <c r="B132" s="197" t="s">
        <v>5850</v>
      </c>
      <c r="C132" s="197">
        <v>1981</v>
      </c>
      <c r="D132" s="110" t="str">
        <f t="shared" si="3"/>
        <v>2017_1981</v>
      </c>
      <c r="E132" s="1231">
        <v>2.33845688103357</v>
      </c>
      <c r="F132" s="1232">
        <v>0.78565722061338106</v>
      </c>
      <c r="G132" s="1232">
        <v>19.667954761247799</v>
      </c>
      <c r="H132" s="1232">
        <v>1.4395804615395764</v>
      </c>
      <c r="I132" s="1232">
        <v>1.8032776099630401</v>
      </c>
      <c r="J132" s="1232">
        <v>0.15055605286062279</v>
      </c>
      <c r="K132" s="1232">
        <v>3.0000008604094599E-3</v>
      </c>
      <c r="L132" s="1233">
        <v>3.7588519354796401E-2</v>
      </c>
      <c r="M132" s="1234">
        <v>1.8848138215596799</v>
      </c>
      <c r="N132" s="1235">
        <v>0.157363529488391</v>
      </c>
    </row>
    <row r="133" spans="1:14" ht="15.5" x14ac:dyDescent="0.35">
      <c r="A133" s="198">
        <v>2017</v>
      </c>
      <c r="B133" s="197" t="s">
        <v>5850</v>
      </c>
      <c r="C133" s="197">
        <v>1982</v>
      </c>
      <c r="D133" s="110" t="str">
        <f t="shared" si="3"/>
        <v>2017_1982</v>
      </c>
      <c r="E133" s="1229">
        <v>2.33845688103357</v>
      </c>
      <c r="F133" s="1227">
        <v>0.78565722061338106</v>
      </c>
      <c r="G133" s="1227">
        <v>19.667954761247799</v>
      </c>
      <c r="H133" s="1227">
        <v>1.4395804615395764</v>
      </c>
      <c r="I133" s="1227">
        <v>1.8032776099630401</v>
      </c>
      <c r="J133" s="1227">
        <v>0.15055605286062279</v>
      </c>
      <c r="K133" s="1227">
        <v>3.0000008604094599E-3</v>
      </c>
      <c r="L133" s="1236">
        <v>3.7588519354796401E-2</v>
      </c>
      <c r="M133" s="1229">
        <v>1.8848138215596799</v>
      </c>
      <c r="N133" s="1230">
        <v>0.157363529488391</v>
      </c>
    </row>
    <row r="134" spans="1:14" ht="15.5" x14ac:dyDescent="0.35">
      <c r="A134" s="198">
        <v>2017</v>
      </c>
      <c r="B134" s="197" t="s">
        <v>5850</v>
      </c>
      <c r="C134" s="197">
        <v>1983</v>
      </c>
      <c r="D134" s="110" t="str">
        <f t="shared" si="3"/>
        <v>2017_1983</v>
      </c>
      <c r="E134" s="1231">
        <v>2.33845688103357</v>
      </c>
      <c r="F134" s="1232">
        <v>0.78565722061338106</v>
      </c>
      <c r="G134" s="1232">
        <v>19.667954761247799</v>
      </c>
      <c r="H134" s="1232">
        <v>1.4395804615395764</v>
      </c>
      <c r="I134" s="1232">
        <v>1.8032776099630401</v>
      </c>
      <c r="J134" s="1232">
        <v>0.15055605286062279</v>
      </c>
      <c r="K134" s="1232">
        <v>3.0000008604094599E-3</v>
      </c>
      <c r="L134" s="1233">
        <v>3.7588519354796401E-2</v>
      </c>
      <c r="M134" s="1234">
        <v>1.8848138215596799</v>
      </c>
      <c r="N134" s="1235">
        <v>0.157363529488391</v>
      </c>
    </row>
    <row r="135" spans="1:14" ht="15.5" x14ac:dyDescent="0.35">
      <c r="A135" s="198">
        <v>2017</v>
      </c>
      <c r="B135" s="197" t="s">
        <v>5850</v>
      </c>
      <c r="C135" s="197">
        <v>1984</v>
      </c>
      <c r="D135" s="110" t="str">
        <f t="shared" si="3"/>
        <v>2017_1984</v>
      </c>
      <c r="E135" s="1231">
        <v>2.33845688103357</v>
      </c>
      <c r="F135" s="1232">
        <v>0.78565722061338106</v>
      </c>
      <c r="G135" s="1232">
        <v>19.667954761247799</v>
      </c>
      <c r="H135" s="1232">
        <v>1.4395804615395764</v>
      </c>
      <c r="I135" s="1232">
        <v>1.8032776099630401</v>
      </c>
      <c r="J135" s="1232">
        <v>0.15055605286062279</v>
      </c>
      <c r="K135" s="1232">
        <v>3.0000008604094599E-3</v>
      </c>
      <c r="L135" s="1233">
        <v>3.7588519354796401E-2</v>
      </c>
      <c r="M135" s="1234">
        <v>1.8848138215596799</v>
      </c>
      <c r="N135" s="1235">
        <v>0.157363529488391</v>
      </c>
    </row>
    <row r="136" spans="1:14" ht="15.5" x14ac:dyDescent="0.35">
      <c r="A136" s="198">
        <v>2017</v>
      </c>
      <c r="B136" s="197" t="s">
        <v>5850</v>
      </c>
      <c r="C136" s="197">
        <v>1985</v>
      </c>
      <c r="D136" s="110" t="str">
        <f t="shared" si="3"/>
        <v>2017_1985</v>
      </c>
      <c r="E136" s="1231">
        <v>2.33845688103357</v>
      </c>
      <c r="F136" s="1232">
        <v>0.78565722061338039</v>
      </c>
      <c r="G136" s="1232">
        <v>19.667954761247799</v>
      </c>
      <c r="H136" s="1232">
        <v>1.4395804615395751</v>
      </c>
      <c r="I136" s="1232">
        <v>1.8032776099630401</v>
      </c>
      <c r="J136" s="1232">
        <v>0.15055605286062265</v>
      </c>
      <c r="K136" s="1232">
        <v>3.0000008604094599E-3</v>
      </c>
      <c r="L136" s="1233">
        <v>3.7588519354796401E-2</v>
      </c>
      <c r="M136" s="1234">
        <v>1.8848138215596799</v>
      </c>
      <c r="N136" s="1235">
        <v>0.15736352948839086</v>
      </c>
    </row>
    <row r="137" spans="1:14" ht="15.5" x14ac:dyDescent="0.35">
      <c r="A137" s="198">
        <v>2017</v>
      </c>
      <c r="B137" s="197" t="s">
        <v>5850</v>
      </c>
      <c r="C137" s="197">
        <v>1986</v>
      </c>
      <c r="D137" s="110" t="str">
        <f t="shared" si="3"/>
        <v>2017_1986</v>
      </c>
      <c r="E137" s="1231">
        <v>2.33845688103357</v>
      </c>
      <c r="F137" s="1232">
        <v>0.78565722061338139</v>
      </c>
      <c r="G137" s="1232">
        <v>19.667954761247799</v>
      </c>
      <c r="H137" s="1232">
        <v>1.4395804615395771</v>
      </c>
      <c r="I137" s="1232">
        <v>1.8032776099630401</v>
      </c>
      <c r="J137" s="1232">
        <v>0.15055605286062285</v>
      </c>
      <c r="K137" s="1232">
        <v>3.0000008604094599E-3</v>
      </c>
      <c r="L137" s="1233">
        <v>3.7588519354796401E-2</v>
      </c>
      <c r="M137" s="1234">
        <v>1.8848138215596799</v>
      </c>
      <c r="N137" s="1235">
        <v>0.15736352948839105</v>
      </c>
    </row>
    <row r="138" spans="1:14" ht="15.5" x14ac:dyDescent="0.35">
      <c r="A138" s="198">
        <v>2017</v>
      </c>
      <c r="B138" s="197" t="s">
        <v>5850</v>
      </c>
      <c r="C138" s="197">
        <v>1987</v>
      </c>
      <c r="D138" s="110" t="str">
        <f t="shared" si="3"/>
        <v>2017_1987</v>
      </c>
      <c r="E138" s="1231">
        <v>2.4451071447141199</v>
      </c>
      <c r="F138" s="1232">
        <v>0.46008934543485491</v>
      </c>
      <c r="G138" s="1232">
        <v>19.826167976588899</v>
      </c>
      <c r="H138" s="1232">
        <v>2.211364330552549</v>
      </c>
      <c r="I138" s="1232">
        <v>1.76213100278514</v>
      </c>
      <c r="J138" s="1232">
        <v>7.5092677252531784E-2</v>
      </c>
      <c r="K138" s="1232">
        <v>3.0000008604094599E-3</v>
      </c>
      <c r="L138" s="1233">
        <v>3.7588519354796401E-2</v>
      </c>
      <c r="M138" s="1234">
        <v>1.8418067473905599</v>
      </c>
      <c r="N138" s="1235">
        <v>7.8488034899071038E-2</v>
      </c>
    </row>
    <row r="139" spans="1:14" ht="15.5" x14ac:dyDescent="0.35">
      <c r="A139" s="198">
        <v>2017</v>
      </c>
      <c r="B139" s="197" t="s">
        <v>5850</v>
      </c>
      <c r="C139" s="197">
        <v>1988</v>
      </c>
      <c r="D139" s="110" t="str">
        <f t="shared" si="3"/>
        <v>2017_1988</v>
      </c>
      <c r="E139" s="1231">
        <v>2.4451071447141199</v>
      </c>
      <c r="F139" s="1232">
        <v>0.46008934543485552</v>
      </c>
      <c r="G139" s="1232">
        <v>19.826167976588899</v>
      </c>
      <c r="H139" s="1232">
        <v>2.211364330552545</v>
      </c>
      <c r="I139" s="1232">
        <v>1.76213100278514</v>
      </c>
      <c r="J139" s="1232">
        <v>7.5092677252531659E-2</v>
      </c>
      <c r="K139" s="1232">
        <v>3.0000008604094599E-3</v>
      </c>
      <c r="L139" s="1233">
        <v>3.7588519354796401E-2</v>
      </c>
      <c r="M139" s="1234">
        <v>1.8418067473905599</v>
      </c>
      <c r="N139" s="1235">
        <v>7.8488034899070899E-2</v>
      </c>
    </row>
    <row r="140" spans="1:14" ht="15.5" x14ac:dyDescent="0.35">
      <c r="A140" s="198">
        <v>2017</v>
      </c>
      <c r="B140" s="197" t="s">
        <v>5850</v>
      </c>
      <c r="C140" s="197">
        <v>1989</v>
      </c>
      <c r="D140" s="110" t="str">
        <f t="shared" si="3"/>
        <v>2017_1989</v>
      </c>
      <c r="E140" s="1231">
        <v>2.4451071447141199</v>
      </c>
      <c r="F140" s="1232">
        <v>0.46008934543485491</v>
      </c>
      <c r="G140" s="1232">
        <v>19.826167976588899</v>
      </c>
      <c r="H140" s="1232">
        <v>2.211364330552549</v>
      </c>
      <c r="I140" s="1232">
        <v>1.76213100278514</v>
      </c>
      <c r="J140" s="1232">
        <v>7.5092677252531784E-2</v>
      </c>
      <c r="K140" s="1232">
        <v>3.0000008604094599E-3</v>
      </c>
      <c r="L140" s="1233">
        <v>3.7588519354796401E-2</v>
      </c>
      <c r="M140" s="1234">
        <v>1.8418067473905599</v>
      </c>
      <c r="N140" s="1235">
        <v>7.8488034899071038E-2</v>
      </c>
    </row>
    <row r="141" spans="1:14" ht="15.5" x14ac:dyDescent="0.35">
      <c r="A141" s="199">
        <v>2017</v>
      </c>
      <c r="B141" s="110" t="s">
        <v>5850</v>
      </c>
      <c r="C141" s="110">
        <v>1990</v>
      </c>
      <c r="D141" s="110" t="str">
        <f t="shared" si="3"/>
        <v>2017_1990</v>
      </c>
      <c r="E141" s="1231">
        <v>2.4451071447141199</v>
      </c>
      <c r="F141" s="1232">
        <v>0.46008934543485785</v>
      </c>
      <c r="G141" s="1232">
        <v>19.826167976588899</v>
      </c>
      <c r="H141" s="1232">
        <v>2.2113643305525561</v>
      </c>
      <c r="I141" s="1232">
        <v>1.76213100278514</v>
      </c>
      <c r="J141" s="1232">
        <v>7.5092677252532034E-2</v>
      </c>
      <c r="K141" s="1232">
        <v>3.0000008604094599E-3</v>
      </c>
      <c r="L141" s="1233">
        <v>3.7588519354796401E-2</v>
      </c>
      <c r="M141" s="1234">
        <v>1.8418067473905599</v>
      </c>
      <c r="N141" s="1235">
        <v>7.8488034899071302E-2</v>
      </c>
    </row>
    <row r="142" spans="1:14" ht="15.5" x14ac:dyDescent="0.35">
      <c r="A142" s="199">
        <v>2017</v>
      </c>
      <c r="B142" s="110" t="s">
        <v>5850</v>
      </c>
      <c r="C142" s="110">
        <v>1991</v>
      </c>
      <c r="D142" s="110" t="str">
        <f t="shared" si="3"/>
        <v>2017_1991</v>
      </c>
      <c r="E142" s="1231">
        <v>1.58022122886718</v>
      </c>
      <c r="F142" s="1232">
        <v>0.36711214512107726</v>
      </c>
      <c r="G142" s="1232">
        <v>23.730335175227999</v>
      </c>
      <c r="H142" s="1232">
        <v>2.4718111894193258</v>
      </c>
      <c r="I142" s="1232">
        <v>0.752596589760678</v>
      </c>
      <c r="J142" s="1232">
        <v>5.6156143986840407E-2</v>
      </c>
      <c r="K142" s="1232">
        <v>3.0000008604094599E-3</v>
      </c>
      <c r="L142" s="1233">
        <v>3.7588519354796401E-2</v>
      </c>
      <c r="M142" s="1234">
        <v>0.78662566795175004</v>
      </c>
      <c r="N142" s="1235">
        <v>5.8695275628727034E-2</v>
      </c>
    </row>
    <row r="143" spans="1:14" ht="15.5" x14ac:dyDescent="0.35">
      <c r="A143" s="199">
        <v>2017</v>
      </c>
      <c r="B143" s="110" t="s">
        <v>5850</v>
      </c>
      <c r="C143" s="110">
        <v>1992</v>
      </c>
      <c r="D143" s="110" t="str">
        <f t="shared" si="3"/>
        <v>2017_1992</v>
      </c>
      <c r="E143" s="1231">
        <v>1.58022122886718</v>
      </c>
      <c r="F143" s="1232">
        <v>0.36711214512107698</v>
      </c>
      <c r="G143" s="1232">
        <v>23.730335175227999</v>
      </c>
      <c r="H143" s="1232">
        <v>2.471811189419324</v>
      </c>
      <c r="I143" s="1232">
        <v>0.752596589760678</v>
      </c>
      <c r="J143" s="1232">
        <v>5.6156143986840372E-2</v>
      </c>
      <c r="K143" s="1232">
        <v>3.0000008604094699E-3</v>
      </c>
      <c r="L143" s="1233">
        <v>3.7588519354796401E-2</v>
      </c>
      <c r="M143" s="1234">
        <v>0.78662566795175004</v>
      </c>
      <c r="N143" s="1235">
        <v>5.8695275628726992E-2</v>
      </c>
    </row>
    <row r="144" spans="1:14" ht="15.5" x14ac:dyDescent="0.35">
      <c r="A144" s="199">
        <v>2017</v>
      </c>
      <c r="B144" s="110" t="s">
        <v>5850</v>
      </c>
      <c r="C144" s="110">
        <v>1993</v>
      </c>
      <c r="D144" s="110" t="str">
        <f t="shared" si="3"/>
        <v>2017_1993</v>
      </c>
      <c r="E144" s="1231">
        <v>1.48923834801444</v>
      </c>
      <c r="F144" s="1232">
        <v>0.36711214512107671</v>
      </c>
      <c r="G144" s="1232">
        <v>21.993212371414099</v>
      </c>
      <c r="H144" s="1232">
        <v>2.4718111894193227</v>
      </c>
      <c r="I144" s="1232">
        <v>0.78250667053112299</v>
      </c>
      <c r="J144" s="1232">
        <v>5.6156143986840337E-2</v>
      </c>
      <c r="K144" s="1232">
        <v>3.0000008604094599E-3</v>
      </c>
      <c r="L144" s="1233">
        <v>3.7588519354796401E-2</v>
      </c>
      <c r="M144" s="1234">
        <v>0.81788814985061697</v>
      </c>
      <c r="N144" s="1235">
        <v>5.8695275628726951E-2</v>
      </c>
    </row>
    <row r="145" spans="1:14" ht="15.5" x14ac:dyDescent="0.35">
      <c r="A145" s="199">
        <v>2017</v>
      </c>
      <c r="B145" s="110" t="s">
        <v>5850</v>
      </c>
      <c r="C145" s="110">
        <v>1994</v>
      </c>
      <c r="D145" s="110" t="str">
        <f t="shared" si="3"/>
        <v>2017_1994</v>
      </c>
      <c r="E145" s="1231">
        <v>1.4023753605842</v>
      </c>
      <c r="F145" s="1232">
        <v>0.29381848710444863</v>
      </c>
      <c r="G145" s="1232">
        <v>19.438043535388701</v>
      </c>
      <c r="H145" s="1232">
        <v>2.6866816310323403</v>
      </c>
      <c r="I145" s="1232">
        <v>0.60023230558229301</v>
      </c>
      <c r="J145" s="1232">
        <v>4.2199136105123325E-2</v>
      </c>
      <c r="K145" s="1232">
        <v>3.0000008604094599E-3</v>
      </c>
      <c r="L145" s="1233">
        <v>3.7588519354796401E-2</v>
      </c>
      <c r="M145" s="1234">
        <v>0.62737214694931598</v>
      </c>
      <c r="N145" s="1235">
        <v>4.4107193783903854E-2</v>
      </c>
    </row>
    <row r="146" spans="1:14" ht="15.5" x14ac:dyDescent="0.35">
      <c r="A146" s="199">
        <v>2017</v>
      </c>
      <c r="B146" s="110" t="s">
        <v>5850</v>
      </c>
      <c r="C146" s="110">
        <v>1995</v>
      </c>
      <c r="D146" s="110" t="str">
        <f t="shared" si="3"/>
        <v>2017_1995</v>
      </c>
      <c r="E146" s="1231">
        <v>1.4023753608392799</v>
      </c>
      <c r="F146" s="1232">
        <v>0.29381848710444702</v>
      </c>
      <c r="G146" s="1232">
        <v>19.438043535388701</v>
      </c>
      <c r="H146" s="1232">
        <v>2.6866816310323256</v>
      </c>
      <c r="I146" s="1232">
        <v>0.60023230558229301</v>
      </c>
      <c r="J146" s="1232">
        <v>4.2199136105123103E-2</v>
      </c>
      <c r="K146" s="1232">
        <v>3.0000008604094599E-3</v>
      </c>
      <c r="L146" s="1233">
        <v>3.7588519354796401E-2</v>
      </c>
      <c r="M146" s="1234">
        <v>0.62737214694931598</v>
      </c>
      <c r="N146" s="1235">
        <v>4.4107193783903619E-2</v>
      </c>
    </row>
    <row r="147" spans="1:14" ht="15.5" x14ac:dyDescent="0.35">
      <c r="A147" s="199">
        <v>2017</v>
      </c>
      <c r="B147" s="110" t="s">
        <v>5850</v>
      </c>
      <c r="C147" s="110">
        <v>1996</v>
      </c>
      <c r="D147" s="110" t="str">
        <f t="shared" si="3"/>
        <v>2017_1996</v>
      </c>
      <c r="E147" s="1231">
        <v>1.2117594883841201</v>
      </c>
      <c r="F147" s="1232">
        <v>0.25635662999862946</v>
      </c>
      <c r="G147" s="1232">
        <v>19.187633916186101</v>
      </c>
      <c r="H147" s="1232">
        <v>2.6866816310323185</v>
      </c>
      <c r="I147" s="1232">
        <v>0.52640032449545204</v>
      </c>
      <c r="J147" s="1232">
        <v>3.6818746251719721E-2</v>
      </c>
      <c r="K147" s="1232">
        <v>3.0000008604094599E-3</v>
      </c>
      <c r="L147" s="1233">
        <v>3.7588519354796401E-2</v>
      </c>
      <c r="M147" s="1234">
        <v>0.55020181130229195</v>
      </c>
      <c r="N147" s="1235">
        <v>3.848352657645579E-2</v>
      </c>
    </row>
    <row r="148" spans="1:14" ht="15.5" x14ac:dyDescent="0.35">
      <c r="A148" s="199">
        <v>2017</v>
      </c>
      <c r="B148" s="110" t="s">
        <v>5850</v>
      </c>
      <c r="C148" s="110">
        <v>1997</v>
      </c>
      <c r="D148" s="110" t="str">
        <f t="shared" si="3"/>
        <v>2017_1997</v>
      </c>
      <c r="E148" s="1231">
        <v>1.2117594883841201</v>
      </c>
      <c r="F148" s="1232">
        <v>0.2563566299986304</v>
      </c>
      <c r="G148" s="1232">
        <v>19.187633916186101</v>
      </c>
      <c r="H148" s="1232">
        <v>2.6866816310323283</v>
      </c>
      <c r="I148" s="1232">
        <v>0.52640032449545204</v>
      </c>
      <c r="J148" s="1232">
        <v>3.681874625171986E-2</v>
      </c>
      <c r="K148" s="1232">
        <v>3.0000008604094599E-3</v>
      </c>
      <c r="L148" s="1233">
        <v>3.7588519354796401E-2</v>
      </c>
      <c r="M148" s="1234">
        <v>0.55020181130229195</v>
      </c>
      <c r="N148" s="1235">
        <v>3.8483526576455929E-2</v>
      </c>
    </row>
    <row r="149" spans="1:14" ht="15.5" x14ac:dyDescent="0.35">
      <c r="A149" s="199">
        <v>2017</v>
      </c>
      <c r="B149" s="110" t="s">
        <v>5850</v>
      </c>
      <c r="C149" s="110">
        <v>1998</v>
      </c>
      <c r="D149" s="110" t="str">
        <f t="shared" si="3"/>
        <v>2017_1998</v>
      </c>
      <c r="E149" s="1231">
        <v>1.2091769395239</v>
      </c>
      <c r="F149" s="1232">
        <v>0.19551523669158752</v>
      </c>
      <c r="G149" s="1232">
        <v>19.348915146585899</v>
      </c>
      <c r="H149" s="1232">
        <v>2.8912595383269917</v>
      </c>
      <c r="I149" s="1232">
        <v>0.51448095329809496</v>
      </c>
      <c r="J149" s="1232">
        <v>2.602750211049271E-2</v>
      </c>
      <c r="K149" s="1232">
        <v>3.0000008604094599E-3</v>
      </c>
      <c r="L149" s="1233">
        <v>3.7588519354796401E-2</v>
      </c>
      <c r="M149" s="1234">
        <v>0.53774349903081597</v>
      </c>
      <c r="N149" s="1235">
        <v>2.7204350260599124E-2</v>
      </c>
    </row>
    <row r="150" spans="1:14" ht="15.5" x14ac:dyDescent="0.35">
      <c r="A150" s="199">
        <v>2017</v>
      </c>
      <c r="B150" s="110" t="s">
        <v>5850</v>
      </c>
      <c r="C150" s="110">
        <v>1999</v>
      </c>
      <c r="D150" s="110" t="str">
        <f t="shared" si="3"/>
        <v>2017_1999</v>
      </c>
      <c r="E150" s="1231">
        <v>1.43314585381485</v>
      </c>
      <c r="F150" s="1232">
        <v>0.19551523669158744</v>
      </c>
      <c r="G150" s="1232">
        <v>24.1466893487143</v>
      </c>
      <c r="H150" s="1232">
        <v>2.8912595383269903</v>
      </c>
      <c r="I150" s="1232">
        <v>0.46438641198034297</v>
      </c>
      <c r="J150" s="1232">
        <v>2.6027502110492699E-2</v>
      </c>
      <c r="K150" s="1232">
        <v>3.0000008604094599E-3</v>
      </c>
      <c r="L150" s="1233">
        <v>3.7588519354796401E-2</v>
      </c>
      <c r="M150" s="1234">
        <v>0.48538390484591099</v>
      </c>
      <c r="N150" s="1235">
        <v>2.7204350260599117E-2</v>
      </c>
    </row>
    <row r="151" spans="1:14" ht="15.5" x14ac:dyDescent="0.35">
      <c r="A151" s="199">
        <v>2017</v>
      </c>
      <c r="B151" s="110" t="s">
        <v>5850</v>
      </c>
      <c r="C151" s="110">
        <v>2000</v>
      </c>
      <c r="D151" s="110" t="str">
        <f t="shared" si="3"/>
        <v>2017_2000</v>
      </c>
      <c r="E151" s="1231">
        <v>1.43314585381485</v>
      </c>
      <c r="F151" s="1232">
        <v>0.1955152366915873</v>
      </c>
      <c r="G151" s="1232">
        <v>24.1466893487143</v>
      </c>
      <c r="H151" s="1232">
        <v>2.8912595383269886</v>
      </c>
      <c r="I151" s="1232">
        <v>0.46438641198034297</v>
      </c>
      <c r="J151" s="1232">
        <v>2.6027502110492682E-2</v>
      </c>
      <c r="K151" s="1232">
        <v>3.0000008604094599E-3</v>
      </c>
      <c r="L151" s="1233">
        <v>3.7588519354796401E-2</v>
      </c>
      <c r="M151" s="1234">
        <v>0.48538390484591099</v>
      </c>
      <c r="N151" s="1235">
        <v>2.72043502605991E-2</v>
      </c>
    </row>
    <row r="152" spans="1:14" ht="15.5" x14ac:dyDescent="0.35">
      <c r="A152" s="199">
        <v>2017</v>
      </c>
      <c r="B152" s="110" t="s">
        <v>5850</v>
      </c>
      <c r="C152" s="110">
        <v>2001</v>
      </c>
      <c r="D152" s="110" t="str">
        <f t="shared" si="3"/>
        <v>2017_2001</v>
      </c>
      <c r="E152" s="1231">
        <v>1.4329085938969499</v>
      </c>
      <c r="F152" s="1232">
        <v>0.19551523669158721</v>
      </c>
      <c r="G152" s="1232">
        <v>24.145785659117699</v>
      </c>
      <c r="H152" s="1232">
        <v>2.8912595383269872</v>
      </c>
      <c r="I152" s="1232">
        <v>0.46433047718268999</v>
      </c>
      <c r="J152" s="1232">
        <v>2.6027502110492672E-2</v>
      </c>
      <c r="K152" s="1232">
        <v>3.0000008604094599E-3</v>
      </c>
      <c r="L152" s="1233">
        <v>3.7588519354796401E-2</v>
      </c>
      <c r="M152" s="1234">
        <v>0.48532544092491497</v>
      </c>
      <c r="N152" s="1235">
        <v>2.7204350260599083E-2</v>
      </c>
    </row>
    <row r="153" spans="1:14" ht="15.5" x14ac:dyDescent="0.35">
      <c r="A153" s="198">
        <v>2017</v>
      </c>
      <c r="B153" s="197" t="s">
        <v>5850</v>
      </c>
      <c r="C153" s="197">
        <v>2002</v>
      </c>
      <c r="D153" s="110" t="str">
        <f t="shared" si="3"/>
        <v>2017_2002</v>
      </c>
      <c r="E153" s="1231">
        <v>1.39878213389158</v>
      </c>
      <c r="F153" s="1232">
        <v>0.19551523669158735</v>
      </c>
      <c r="G153" s="1232">
        <v>24.015802781491701</v>
      </c>
      <c r="H153" s="1232">
        <v>2.8912595383269895</v>
      </c>
      <c r="I153" s="1232">
        <v>0.45628505319396601</v>
      </c>
      <c r="J153" s="1232">
        <v>2.6027502110492689E-2</v>
      </c>
      <c r="K153" s="1232">
        <v>3.0000008604094599E-3</v>
      </c>
      <c r="L153" s="1233">
        <v>3.7588519354796297E-2</v>
      </c>
      <c r="M153" s="1234">
        <v>0.47691623856446103</v>
      </c>
      <c r="N153" s="1235">
        <v>2.7204350260599103E-2</v>
      </c>
    </row>
    <row r="154" spans="1:14" ht="15.5" x14ac:dyDescent="0.35">
      <c r="A154" s="198">
        <v>2017</v>
      </c>
      <c r="B154" s="197" t="s">
        <v>5850</v>
      </c>
      <c r="C154" s="197">
        <v>2003</v>
      </c>
      <c r="D154" s="110" t="str">
        <f t="shared" si="3"/>
        <v>2017_2003</v>
      </c>
      <c r="E154" s="1231">
        <v>0.89463075881093301</v>
      </c>
      <c r="F154" s="1232">
        <v>0.14429616332376399</v>
      </c>
      <c r="G154" s="1232">
        <v>13.359362960620199</v>
      </c>
      <c r="H154" s="1232">
        <v>2.6980494742071857</v>
      </c>
      <c r="I154" s="1232">
        <v>0.59354893849796497</v>
      </c>
      <c r="J154" s="1232">
        <v>1.8124522954864646E-2</v>
      </c>
      <c r="K154" s="1232">
        <v>3.0000008604094599E-3</v>
      </c>
      <c r="L154" s="1233">
        <v>3.7588519354796401E-2</v>
      </c>
      <c r="M154" s="1234">
        <v>0.62038658766243604</v>
      </c>
      <c r="N154" s="1235">
        <v>1.8944033456504153E-2</v>
      </c>
    </row>
    <row r="155" spans="1:14" ht="15.5" x14ac:dyDescent="0.35">
      <c r="A155" s="199">
        <v>2017</v>
      </c>
      <c r="B155" s="110" t="s">
        <v>5850</v>
      </c>
      <c r="C155" s="110">
        <v>2004</v>
      </c>
      <c r="D155" s="110" t="str">
        <f t="shared" si="3"/>
        <v>2017_2004</v>
      </c>
      <c r="E155" s="1231">
        <v>0.868837532611763</v>
      </c>
      <c r="F155" s="1232">
        <v>0.12986654699138858</v>
      </c>
      <c r="G155" s="1232">
        <v>11.3512494911704</v>
      </c>
      <c r="H155" s="1232">
        <v>2.4282445267864641</v>
      </c>
      <c r="I155" s="1232">
        <v>0.71639704748619004</v>
      </c>
      <c r="J155" s="1232">
        <v>1.6312070659378161E-2</v>
      </c>
      <c r="K155" s="1232">
        <v>3.0000008604094599E-3</v>
      </c>
      <c r="L155" s="1233">
        <v>3.7588519354796401E-2</v>
      </c>
      <c r="M155" s="1234">
        <v>0.74878934300869904</v>
      </c>
      <c r="N155" s="1235">
        <v>1.7049630110853715E-2</v>
      </c>
    </row>
    <row r="156" spans="1:14" ht="15.5" x14ac:dyDescent="0.35">
      <c r="A156" s="199">
        <v>2017</v>
      </c>
      <c r="B156" s="110" t="s">
        <v>5850</v>
      </c>
      <c r="C156" s="110">
        <v>2005</v>
      </c>
      <c r="D156" s="110" t="str">
        <f t="shared" si="3"/>
        <v>2017_2005</v>
      </c>
      <c r="E156" s="1231">
        <v>0.84024019393053095</v>
      </c>
      <c r="F156" s="1232">
        <v>0.11687989229224882</v>
      </c>
      <c r="G156" s="1232">
        <v>11.2365980459436</v>
      </c>
      <c r="H156" s="1232">
        <v>2.1854200741078205</v>
      </c>
      <c r="I156" s="1232">
        <v>0.69930888052036899</v>
      </c>
      <c r="J156" s="1232">
        <v>1.4680863593440365E-2</v>
      </c>
      <c r="K156" s="1232">
        <v>3.0000008604094599E-3</v>
      </c>
      <c r="L156" s="1233">
        <v>3.7588519354796401E-2</v>
      </c>
      <c r="M156" s="1234">
        <v>0.73092852496030203</v>
      </c>
      <c r="N156" s="1235">
        <v>1.5344667099768361E-2</v>
      </c>
    </row>
    <row r="157" spans="1:14" ht="15.5" x14ac:dyDescent="0.35">
      <c r="A157" s="199">
        <v>2017</v>
      </c>
      <c r="B157" s="110" t="s">
        <v>5850</v>
      </c>
      <c r="C157" s="110">
        <v>2006</v>
      </c>
      <c r="D157" s="110" t="str">
        <f t="shared" si="3"/>
        <v>2017_2006</v>
      </c>
      <c r="E157" s="1231">
        <v>0.80664746956047695</v>
      </c>
      <c r="F157" s="1232">
        <v>0.10519190306302477</v>
      </c>
      <c r="G157" s="1232">
        <v>11.116432168550901</v>
      </c>
      <c r="H157" s="1232">
        <v>1.9668780666970356</v>
      </c>
      <c r="I157" s="1232">
        <v>0.67884738511266096</v>
      </c>
      <c r="J157" s="1232">
        <v>1.321277723409631E-2</v>
      </c>
      <c r="K157" s="1232">
        <v>3.0000008604094599E-3</v>
      </c>
      <c r="L157" s="1233">
        <v>3.7588519354796401E-2</v>
      </c>
      <c r="M157" s="1234">
        <v>0.70954185152679805</v>
      </c>
      <c r="N157" s="1235">
        <v>1.3810200389791508E-2</v>
      </c>
    </row>
    <row r="158" spans="1:14" ht="15.5" x14ac:dyDescent="0.35">
      <c r="A158" s="199">
        <v>2017</v>
      </c>
      <c r="B158" s="110" t="s">
        <v>5850</v>
      </c>
      <c r="C158" s="110">
        <v>2007</v>
      </c>
      <c r="D158" s="110" t="str">
        <f t="shared" si="3"/>
        <v>2017_2007</v>
      </c>
      <c r="E158" s="1231">
        <v>0.56860100239037303</v>
      </c>
      <c r="F158" s="1232">
        <v>7.892734166850611E-2</v>
      </c>
      <c r="G158" s="1232">
        <v>10.1117950595031</v>
      </c>
      <c r="H158" s="1232">
        <v>1.77019026002734</v>
      </c>
      <c r="I158" s="1232">
        <v>0.47566529541107</v>
      </c>
      <c r="J158" s="1232">
        <v>1.0053529141568774E-2</v>
      </c>
      <c r="K158" s="1232">
        <v>3.0000008604094599E-3</v>
      </c>
      <c r="L158" s="1233">
        <v>3.7588519354796401E-2</v>
      </c>
      <c r="M158" s="1234">
        <v>0.49717276933607102</v>
      </c>
      <c r="N158" s="1235">
        <v>1.0508105117475639E-2</v>
      </c>
    </row>
    <row r="159" spans="1:14" ht="15.5" x14ac:dyDescent="0.35">
      <c r="A159" s="199">
        <v>2017</v>
      </c>
      <c r="B159" s="110" t="s">
        <v>5850</v>
      </c>
      <c r="C159" s="110">
        <v>2008</v>
      </c>
      <c r="D159" s="110" t="str">
        <f t="shared" si="3"/>
        <v>2017_2008</v>
      </c>
      <c r="E159" s="1231">
        <v>0.202309435393659</v>
      </c>
      <c r="F159" s="1232">
        <v>3.2222215340445566E-2</v>
      </c>
      <c r="G159" s="1232">
        <v>7.96696218280269</v>
      </c>
      <c r="H159" s="1232">
        <v>1.2247756196141171</v>
      </c>
      <c r="I159" s="1232">
        <v>4.6921581788977297E-2</v>
      </c>
      <c r="J159" s="1232">
        <v>5.0005509298571571E-4</v>
      </c>
      <c r="K159" s="1232">
        <v>3.0000008604094599E-3</v>
      </c>
      <c r="L159" s="1233">
        <v>3.7588519354796401E-2</v>
      </c>
      <c r="M159" s="1234">
        <v>4.9043167506039299E-2</v>
      </c>
      <c r="N159" s="1235">
        <v>5.2266536532891812E-4</v>
      </c>
    </row>
    <row r="160" spans="1:14" ht="15.5" x14ac:dyDescent="0.35">
      <c r="A160" s="199">
        <v>2017</v>
      </c>
      <c r="B160" s="110" t="s">
        <v>5850</v>
      </c>
      <c r="C160" s="110">
        <v>2009</v>
      </c>
      <c r="D160" s="110" t="str">
        <f t="shared" si="3"/>
        <v>2017_2009</v>
      </c>
      <c r="E160" s="1231">
        <v>0.18220167006551</v>
      </c>
      <c r="F160" s="1232">
        <v>2.7321574313502184E-2</v>
      </c>
      <c r="G160" s="1232">
        <v>7.7456120560712103</v>
      </c>
      <c r="H160" s="1232">
        <v>0.54822517937772386</v>
      </c>
      <c r="I160" s="1232">
        <v>3.4710280879803102E-2</v>
      </c>
      <c r="J160" s="1232">
        <v>1.1328117399428297E-4</v>
      </c>
      <c r="K160" s="1232">
        <v>3.0000008604094599E-3</v>
      </c>
      <c r="L160" s="1233">
        <v>3.7588519354796401E-2</v>
      </c>
      <c r="M160" s="1234">
        <v>3.6279725756597603E-2</v>
      </c>
      <c r="N160" s="1235">
        <v>1.1840324600454017E-4</v>
      </c>
    </row>
    <row r="161" spans="1:14" ht="15.5" x14ac:dyDescent="0.35">
      <c r="A161" s="199">
        <v>2017</v>
      </c>
      <c r="B161" s="110" t="s">
        <v>5850</v>
      </c>
      <c r="C161" s="110">
        <v>2010</v>
      </c>
      <c r="D161" s="110" t="str">
        <f t="shared" si="3"/>
        <v>2017_2010</v>
      </c>
      <c r="E161" s="1231">
        <v>0.18751579110017599</v>
      </c>
      <c r="F161" s="1232">
        <v>2.7394622658845676E-2</v>
      </c>
      <c r="G161" s="1232">
        <v>6.8602437532068503</v>
      </c>
      <c r="H161" s="1232">
        <v>0.49186781153007719</v>
      </c>
      <c r="I161" s="1232">
        <v>4.91999067932034E-2</v>
      </c>
      <c r="J161" s="1232">
        <v>1.1328117399428215E-4</v>
      </c>
      <c r="K161" s="1232">
        <v>3.0000008604094599E-3</v>
      </c>
      <c r="L161" s="1233">
        <v>2.7983730374273E-2</v>
      </c>
      <c r="M161" s="1234">
        <v>5.1424508257039099E-2</v>
      </c>
      <c r="N161" s="1235">
        <v>1.1840324600453933E-4</v>
      </c>
    </row>
    <row r="162" spans="1:14" ht="15.5" x14ac:dyDescent="0.35">
      <c r="A162" s="199">
        <v>2017</v>
      </c>
      <c r="B162" s="110" t="s">
        <v>5850</v>
      </c>
      <c r="C162" s="110">
        <v>2011</v>
      </c>
      <c r="D162" s="110" t="str">
        <f t="shared" si="3"/>
        <v>2017_2011</v>
      </c>
      <c r="E162" s="1231">
        <v>8.8119108132150695E-2</v>
      </c>
      <c r="F162" s="1232">
        <v>2.7728532283295838E-2</v>
      </c>
      <c r="G162" s="1232">
        <v>3.7397689669246099</v>
      </c>
      <c r="H162" s="1232">
        <v>0.37238619642185389</v>
      </c>
      <c r="I162" s="1232">
        <v>4.64300149756924E-2</v>
      </c>
      <c r="J162" s="1232">
        <v>1.1328117399428236E-4</v>
      </c>
      <c r="K162" s="1232">
        <v>3.0000008604094599E-3</v>
      </c>
      <c r="L162" s="1233">
        <v>2.7983730374273E-2</v>
      </c>
      <c r="M162" s="1234">
        <v>4.8529374222753101E-2</v>
      </c>
      <c r="N162" s="1235">
        <v>1.1840324600453953E-4</v>
      </c>
    </row>
    <row r="163" spans="1:14" ht="15.5" x14ac:dyDescent="0.35">
      <c r="A163" s="198">
        <v>2017</v>
      </c>
      <c r="B163" s="197" t="s">
        <v>5850</v>
      </c>
      <c r="C163" s="197">
        <v>2012</v>
      </c>
      <c r="D163" s="110" t="str">
        <f t="shared" si="3"/>
        <v>2017_2012</v>
      </c>
      <c r="E163" s="1231">
        <v>1.7648917328783501E-2</v>
      </c>
      <c r="F163" s="1232">
        <v>2.7821461268168191E-2</v>
      </c>
      <c r="G163" s="1232">
        <v>2.8474270550571701</v>
      </c>
      <c r="H163" s="1232">
        <v>0.32876445082652039</v>
      </c>
      <c r="I163" s="1232">
        <v>2.3540097800056801E-2</v>
      </c>
      <c r="J163" s="1232">
        <v>1.1328117399428202E-4</v>
      </c>
      <c r="K163" s="1232">
        <v>3.0000008604094599E-3</v>
      </c>
      <c r="L163" s="1233">
        <v>2.7983730374273E-2</v>
      </c>
      <c r="M163" s="1234">
        <v>2.4604476564938499E-2</v>
      </c>
      <c r="N163" s="1235">
        <v>1.1840324600453918E-4</v>
      </c>
    </row>
    <row r="164" spans="1:14" ht="15.5" x14ac:dyDescent="0.35">
      <c r="A164" s="198">
        <v>2017</v>
      </c>
      <c r="B164" s="197" t="s">
        <v>5850</v>
      </c>
      <c r="C164" s="197">
        <v>2013</v>
      </c>
      <c r="D164" s="110" t="str">
        <f t="shared" si="3"/>
        <v>2017_2013</v>
      </c>
      <c r="E164" s="1231">
        <v>1.6672870703545301E-2</v>
      </c>
      <c r="F164" s="1232">
        <v>2.7821461268168278E-2</v>
      </c>
      <c r="G164" s="1232">
        <v>2.51393113436015</v>
      </c>
      <c r="H164" s="1232">
        <v>0.32876445082652139</v>
      </c>
      <c r="I164" s="1232">
        <v>2.0599100507993701E-2</v>
      </c>
      <c r="J164" s="1232">
        <v>1.1328117399428238E-4</v>
      </c>
      <c r="K164" s="1232">
        <v>3.0000008604094599E-3</v>
      </c>
      <c r="L164" s="1233">
        <v>2.7983730374273E-2</v>
      </c>
      <c r="M164" s="1234">
        <v>2.1530500425810499E-2</v>
      </c>
      <c r="N164" s="1235">
        <v>1.1840324600453955E-4</v>
      </c>
    </row>
    <row r="165" spans="1:14" ht="15.5" x14ac:dyDescent="0.35">
      <c r="A165" s="198">
        <v>2017</v>
      </c>
      <c r="B165" s="197" t="s">
        <v>5850</v>
      </c>
      <c r="C165" s="197">
        <v>2014</v>
      </c>
      <c r="D165" s="110" t="str">
        <f t="shared" si="3"/>
        <v>2017_2014</v>
      </c>
      <c r="E165" s="1231">
        <v>8.6161165182352794E-3</v>
      </c>
      <c r="F165" s="1232">
        <v>2.7821461268168191E-2</v>
      </c>
      <c r="G165" s="1232">
        <v>1.1156194406354001</v>
      </c>
      <c r="H165" s="1232">
        <v>0.32876445082652045</v>
      </c>
      <c r="I165" s="1232">
        <v>2.30207063461309E-2</v>
      </c>
      <c r="J165" s="1232">
        <v>1.1328117399428202E-4</v>
      </c>
      <c r="K165" s="1232">
        <v>3.0000008604094599E-3</v>
      </c>
      <c r="L165" s="1233">
        <v>2.7983730374273E-2</v>
      </c>
      <c r="M165" s="1234">
        <v>2.4061600534231401E-2</v>
      </c>
      <c r="N165" s="1235">
        <v>1.1840324600453921E-4</v>
      </c>
    </row>
    <row r="166" spans="1:14" ht="15.5" x14ac:dyDescent="0.35">
      <c r="A166" s="198">
        <v>2017</v>
      </c>
      <c r="B166" s="197" t="s">
        <v>5850</v>
      </c>
      <c r="C166" s="197">
        <v>2015</v>
      </c>
      <c r="D166" s="110" t="str">
        <f t="shared" si="3"/>
        <v>2017_2015</v>
      </c>
      <c r="E166" s="1231">
        <v>8.2693302428121403E-3</v>
      </c>
      <c r="F166" s="1232">
        <v>2.7821461268168084E-2</v>
      </c>
      <c r="G166" s="1232">
        <v>1.0374760548303299</v>
      </c>
      <c r="H166" s="1232">
        <v>0.32876445082651989</v>
      </c>
      <c r="I166" s="1232">
        <v>2.0536144006380801E-2</v>
      </c>
      <c r="J166" s="1232">
        <v>1.1328117399428186E-4</v>
      </c>
      <c r="K166" s="1232">
        <v>3.0000008604094599E-3</v>
      </c>
      <c r="L166" s="1233">
        <v>2.7983730374273E-2</v>
      </c>
      <c r="M166" s="1234">
        <v>2.1464697310559999E-2</v>
      </c>
      <c r="N166" s="1235">
        <v>1.1840324600453902E-4</v>
      </c>
    </row>
    <row r="167" spans="1:14" ht="15.5" x14ac:dyDescent="0.35">
      <c r="A167" s="198">
        <v>2017</v>
      </c>
      <c r="B167" s="197" t="s">
        <v>5850</v>
      </c>
      <c r="C167" s="197">
        <v>2016</v>
      </c>
      <c r="D167" s="110" t="str">
        <f t="shared" si="3"/>
        <v>2017_2016</v>
      </c>
      <c r="E167" s="1231">
        <v>7.9225439673889907E-3</v>
      </c>
      <c r="F167" s="1232">
        <v>2.7821461268168139E-2</v>
      </c>
      <c r="G167" s="1232">
        <v>0.94305002217898803</v>
      </c>
      <c r="H167" s="1232">
        <v>0.32876445082651978</v>
      </c>
      <c r="I167" s="1232">
        <v>1.8051581666630699E-2</v>
      </c>
      <c r="J167" s="1232">
        <v>1.1328117399428182E-4</v>
      </c>
      <c r="K167" s="1232">
        <v>3.0000008604094599E-3</v>
      </c>
      <c r="L167" s="1233">
        <v>2.7983730374273E-2</v>
      </c>
      <c r="M167" s="1234">
        <v>1.88677940868885E-2</v>
      </c>
      <c r="N167" s="1235">
        <v>1.1840324600453898E-4</v>
      </c>
    </row>
    <row r="168" spans="1:14" ht="15.5" x14ac:dyDescent="0.35">
      <c r="A168" s="198">
        <v>2017</v>
      </c>
      <c r="B168" s="197" t="s">
        <v>5850</v>
      </c>
      <c r="C168" s="197">
        <v>2017</v>
      </c>
      <c r="D168" s="110" t="str">
        <f t="shared" si="3"/>
        <v>2017_2017</v>
      </c>
      <c r="E168" s="1231">
        <v>7.7302481368330903E-3</v>
      </c>
      <c r="F168" s="1232">
        <v>2.7821461268168198E-2</v>
      </c>
      <c r="G168" s="1232">
        <v>0.81895543095721102</v>
      </c>
      <c r="H168" s="1232">
        <v>0.32876445082652056</v>
      </c>
      <c r="I168" s="1232">
        <v>1.2703049074127301E-2</v>
      </c>
      <c r="J168" s="1232">
        <v>1.1328117399428206E-4</v>
      </c>
      <c r="K168" s="1232">
        <v>3.0000008604094599E-3</v>
      </c>
      <c r="L168" s="1233">
        <v>2.7983730374273E-2</v>
      </c>
      <c r="M168" s="1234">
        <v>1.3277424584313999E-2</v>
      </c>
      <c r="N168" s="1235">
        <v>1.1840324600453923E-4</v>
      </c>
    </row>
    <row r="169" spans="1:14" ht="15.5" x14ac:dyDescent="0.35">
      <c r="A169" s="198">
        <v>2017</v>
      </c>
      <c r="B169" s="197" t="s">
        <v>5850</v>
      </c>
      <c r="C169" s="197">
        <v>2018</v>
      </c>
      <c r="D169" s="110" t="str">
        <f t="shared" si="3"/>
        <v>2017_2018</v>
      </c>
      <c r="E169" s="1231">
        <v>7.3763908824685401E-3</v>
      </c>
      <c r="F169" s="1232">
        <v>6.6771507033891647E-2</v>
      </c>
      <c r="G169" s="1232">
        <v>0.61139072392748195</v>
      </c>
      <c r="H169" s="1232">
        <v>0.78903468186888293</v>
      </c>
      <c r="I169" s="1232">
        <v>1.0675476192641401E-2</v>
      </c>
      <c r="J169" s="1232">
        <v>2.7187481754673232E-4</v>
      </c>
      <c r="K169" s="1232">
        <v>3.0000008604094599E-3</v>
      </c>
      <c r="L169" s="1233">
        <v>2.7983730374273E-2</v>
      </c>
      <c r="M169" s="1234">
        <v>1.1158173854348599E-2</v>
      </c>
      <c r="N169" s="1235">
        <v>2.8416779036956151E-4</v>
      </c>
    </row>
    <row r="170" spans="1:14" ht="15.5" x14ac:dyDescent="0.35">
      <c r="A170" s="198">
        <v>2018</v>
      </c>
      <c r="B170" s="197" t="s">
        <v>5850</v>
      </c>
      <c r="C170" s="197">
        <v>1971</v>
      </c>
      <c r="D170" s="110" t="str">
        <f t="shared" si="3"/>
        <v>2018_1971</v>
      </c>
      <c r="E170" s="1226">
        <v>2.33845688103357</v>
      </c>
      <c r="F170" s="1227">
        <v>0.84379132089338471</v>
      </c>
      <c r="G170" s="1227">
        <v>19.667954761247799</v>
      </c>
      <c r="H170" s="1227">
        <v>1.5461011078424758</v>
      </c>
      <c r="I170" s="1227">
        <v>1.8032776099630401</v>
      </c>
      <c r="J170" s="1227">
        <v>0.16169633190996158</v>
      </c>
      <c r="K170" s="1227">
        <v>3.0000008604094599E-3</v>
      </c>
      <c r="L170" s="1228">
        <v>3.7588519354796401E-2</v>
      </c>
      <c r="M170" s="1229">
        <v>1.8848138215596799</v>
      </c>
      <c r="N170" s="1230">
        <v>0.16900752252208481</v>
      </c>
    </row>
    <row r="171" spans="1:14" ht="15.5" x14ac:dyDescent="0.35">
      <c r="A171" s="198">
        <v>2018</v>
      </c>
      <c r="B171" s="197" t="s">
        <v>5850</v>
      </c>
      <c r="C171" s="197">
        <v>1972</v>
      </c>
      <c r="D171" s="110" t="str">
        <f t="shared" si="3"/>
        <v>2018_1972</v>
      </c>
      <c r="E171" s="1226">
        <v>2.33845688103357</v>
      </c>
      <c r="F171" s="1227">
        <v>0.84379132089338471</v>
      </c>
      <c r="G171" s="1227">
        <v>19.667954761247799</v>
      </c>
      <c r="H171" s="1227">
        <v>1.5461011078424758</v>
      </c>
      <c r="I171" s="1227">
        <v>1.8032776099630401</v>
      </c>
      <c r="J171" s="1227">
        <v>0.16169633190996158</v>
      </c>
      <c r="K171" s="1227">
        <v>3.0000008604094599E-3</v>
      </c>
      <c r="L171" s="1228">
        <v>3.7588519354796401E-2</v>
      </c>
      <c r="M171" s="1229">
        <v>1.8848138215596799</v>
      </c>
      <c r="N171" s="1230">
        <v>0.16900752252208481</v>
      </c>
    </row>
    <row r="172" spans="1:14" ht="15.5" x14ac:dyDescent="0.35">
      <c r="A172" s="198">
        <v>2018</v>
      </c>
      <c r="B172" s="197" t="s">
        <v>5850</v>
      </c>
      <c r="C172" s="197">
        <v>1973</v>
      </c>
      <c r="D172" s="110" t="str">
        <f t="shared" si="3"/>
        <v>2018_1973</v>
      </c>
      <c r="E172" s="1226">
        <v>2.33845688103357</v>
      </c>
      <c r="F172" s="1227">
        <v>0.84379132089338471</v>
      </c>
      <c r="G172" s="1227">
        <v>19.667954761247799</v>
      </c>
      <c r="H172" s="1227">
        <v>1.5461011078424758</v>
      </c>
      <c r="I172" s="1227">
        <v>1.8032776099630401</v>
      </c>
      <c r="J172" s="1227">
        <v>0.16169633190996158</v>
      </c>
      <c r="K172" s="1227">
        <v>3.0000008604094599E-3</v>
      </c>
      <c r="L172" s="1228">
        <v>3.7588519354796401E-2</v>
      </c>
      <c r="M172" s="1229">
        <v>1.8848138215596799</v>
      </c>
      <c r="N172" s="1230">
        <v>0.16900752252208481</v>
      </c>
    </row>
    <row r="173" spans="1:14" ht="15.5" x14ac:dyDescent="0.35">
      <c r="A173" s="198">
        <v>2018</v>
      </c>
      <c r="B173" s="197" t="s">
        <v>5850</v>
      </c>
      <c r="C173" s="197">
        <v>1974</v>
      </c>
      <c r="D173" s="110" t="str">
        <f t="shared" si="3"/>
        <v>2018_1974</v>
      </c>
      <c r="E173" s="1226">
        <v>2.33845688103357</v>
      </c>
      <c r="F173" s="1227">
        <v>0.84379132089338471</v>
      </c>
      <c r="G173" s="1227">
        <v>19.667954761247799</v>
      </c>
      <c r="H173" s="1227">
        <v>1.5461011078424758</v>
      </c>
      <c r="I173" s="1227">
        <v>1.8032776099630401</v>
      </c>
      <c r="J173" s="1227">
        <v>0.16169633190996158</v>
      </c>
      <c r="K173" s="1227">
        <v>3.0000008604094599E-3</v>
      </c>
      <c r="L173" s="1228">
        <v>3.7588519354796401E-2</v>
      </c>
      <c r="M173" s="1229">
        <v>1.8848138215596799</v>
      </c>
      <c r="N173" s="1230">
        <v>0.16900752252208481</v>
      </c>
    </row>
    <row r="174" spans="1:14" ht="15.5" x14ac:dyDescent="0.35">
      <c r="A174" s="198">
        <v>2018</v>
      </c>
      <c r="B174" s="197" t="s">
        <v>5850</v>
      </c>
      <c r="C174" s="197">
        <v>1975</v>
      </c>
      <c r="D174" s="110" t="str">
        <f t="shared" si="3"/>
        <v>2018_1975</v>
      </c>
      <c r="E174" s="1226">
        <v>2.33845688103357</v>
      </c>
      <c r="F174" s="1227">
        <v>0.84379132089338471</v>
      </c>
      <c r="G174" s="1227">
        <v>19.667954761247799</v>
      </c>
      <c r="H174" s="1227">
        <v>1.5461011078424758</v>
      </c>
      <c r="I174" s="1227">
        <v>1.8032776099630401</v>
      </c>
      <c r="J174" s="1227">
        <v>0.16169633190996158</v>
      </c>
      <c r="K174" s="1227">
        <v>3.0000008604094599E-3</v>
      </c>
      <c r="L174" s="1228">
        <v>3.7588519354796401E-2</v>
      </c>
      <c r="M174" s="1229">
        <v>1.8848138215596799</v>
      </c>
      <c r="N174" s="1230">
        <v>0.16900752252208481</v>
      </c>
    </row>
    <row r="175" spans="1:14" ht="15.5" x14ac:dyDescent="0.35">
      <c r="A175" s="198">
        <v>2018</v>
      </c>
      <c r="B175" s="197" t="s">
        <v>5850</v>
      </c>
      <c r="C175" s="197">
        <v>1976</v>
      </c>
      <c r="D175" s="110" t="str">
        <f t="shared" si="3"/>
        <v>2018_1976</v>
      </c>
      <c r="E175" s="1226">
        <v>2.33845688103357</v>
      </c>
      <c r="F175" s="1227">
        <v>0.84379132089338471</v>
      </c>
      <c r="G175" s="1227">
        <v>19.667954761247799</v>
      </c>
      <c r="H175" s="1227">
        <v>1.5461011078424758</v>
      </c>
      <c r="I175" s="1227">
        <v>1.8032776099630401</v>
      </c>
      <c r="J175" s="1227">
        <v>0.16169633190996158</v>
      </c>
      <c r="K175" s="1227">
        <v>3.0000008604094599E-3</v>
      </c>
      <c r="L175" s="1228">
        <v>3.7588519354796401E-2</v>
      </c>
      <c r="M175" s="1229">
        <v>1.8848138215596799</v>
      </c>
      <c r="N175" s="1230">
        <v>0.16900752252208481</v>
      </c>
    </row>
    <row r="176" spans="1:14" ht="15.5" x14ac:dyDescent="0.35">
      <c r="A176" s="198">
        <v>2018</v>
      </c>
      <c r="B176" s="197" t="s">
        <v>5850</v>
      </c>
      <c r="C176" s="197">
        <v>1977</v>
      </c>
      <c r="D176" s="110" t="str">
        <f t="shared" si="3"/>
        <v>2018_1977</v>
      </c>
      <c r="E176" s="1231">
        <v>2.33845688103357</v>
      </c>
      <c r="F176" s="1232">
        <v>0.84379132089338471</v>
      </c>
      <c r="G176" s="1232">
        <v>19.667954761247799</v>
      </c>
      <c r="H176" s="1232">
        <v>1.5461011078424758</v>
      </c>
      <c r="I176" s="1232">
        <v>1.8032776099630401</v>
      </c>
      <c r="J176" s="1232">
        <v>0.16169633190996158</v>
      </c>
      <c r="K176" s="1232">
        <v>3.0000008604094599E-3</v>
      </c>
      <c r="L176" s="1233">
        <v>3.7588519354796401E-2</v>
      </c>
      <c r="M176" s="1234">
        <v>1.8848138215596799</v>
      </c>
      <c r="N176" s="1235">
        <v>0.16900752252208481</v>
      </c>
    </row>
    <row r="177" spans="1:14" ht="15.5" x14ac:dyDescent="0.35">
      <c r="A177" s="198">
        <v>2018</v>
      </c>
      <c r="B177" s="197" t="s">
        <v>5850</v>
      </c>
      <c r="C177" s="197">
        <v>1978</v>
      </c>
      <c r="D177" s="110" t="str">
        <f t="shared" si="3"/>
        <v>2018_1978</v>
      </c>
      <c r="E177" s="1231">
        <v>2.33845688103357</v>
      </c>
      <c r="F177" s="1232">
        <v>0.84379132089338471</v>
      </c>
      <c r="G177" s="1232">
        <v>19.667954761247799</v>
      </c>
      <c r="H177" s="1232">
        <v>1.5461011078424758</v>
      </c>
      <c r="I177" s="1232">
        <v>1.8032776099630401</v>
      </c>
      <c r="J177" s="1232">
        <v>0.16169633190996158</v>
      </c>
      <c r="K177" s="1232">
        <v>3.0000008604094599E-3</v>
      </c>
      <c r="L177" s="1233">
        <v>3.7588519354796401E-2</v>
      </c>
      <c r="M177" s="1234">
        <v>1.8848138215596799</v>
      </c>
      <c r="N177" s="1235">
        <v>0.16900752252208481</v>
      </c>
    </row>
    <row r="178" spans="1:14" ht="15.5" x14ac:dyDescent="0.35">
      <c r="A178" s="198">
        <v>2018</v>
      </c>
      <c r="B178" s="197" t="s">
        <v>5850</v>
      </c>
      <c r="C178" s="197">
        <v>1979</v>
      </c>
      <c r="D178" s="110" t="str">
        <f t="shared" si="3"/>
        <v>2018_1979</v>
      </c>
      <c r="E178" s="1229">
        <v>2.33845688103357</v>
      </c>
      <c r="F178" s="1227">
        <v>0.84379132089338571</v>
      </c>
      <c r="G178" s="1227">
        <v>19.667954761247799</v>
      </c>
      <c r="H178" s="1227">
        <v>1.5461011078424767</v>
      </c>
      <c r="I178" s="1227">
        <v>1.8032776099630401</v>
      </c>
      <c r="J178" s="1227">
        <v>0.16169633190996174</v>
      </c>
      <c r="K178" s="1227">
        <v>3.0000008604094599E-3</v>
      </c>
      <c r="L178" s="1236">
        <v>3.7588519354796401E-2</v>
      </c>
      <c r="M178" s="1229">
        <v>1.8848138215596799</v>
      </c>
      <c r="N178" s="1230">
        <v>0.16900752252208501</v>
      </c>
    </row>
    <row r="179" spans="1:14" ht="15.5" x14ac:dyDescent="0.35">
      <c r="A179" s="198">
        <v>2018</v>
      </c>
      <c r="B179" s="197" t="s">
        <v>5850</v>
      </c>
      <c r="C179" s="197">
        <v>1980</v>
      </c>
      <c r="D179" s="110" t="str">
        <f t="shared" si="3"/>
        <v>2018_1980</v>
      </c>
      <c r="E179" s="1231">
        <v>2.33845688103357</v>
      </c>
      <c r="F179" s="1232">
        <v>0.84379132089338671</v>
      </c>
      <c r="G179" s="1232">
        <v>19.667954761247799</v>
      </c>
      <c r="H179" s="1232">
        <v>1.5461011078424776</v>
      </c>
      <c r="I179" s="1232">
        <v>1.8032776099630401</v>
      </c>
      <c r="J179" s="1232">
        <v>0.16169633190996194</v>
      </c>
      <c r="K179" s="1232">
        <v>3.0000008604094599E-3</v>
      </c>
      <c r="L179" s="1233">
        <v>3.7588519354796401E-2</v>
      </c>
      <c r="M179" s="1234">
        <v>1.8848138215596799</v>
      </c>
      <c r="N179" s="1235">
        <v>0.16900752252208517</v>
      </c>
    </row>
    <row r="180" spans="1:14" ht="15.5" x14ac:dyDescent="0.35">
      <c r="A180" s="198">
        <v>2018</v>
      </c>
      <c r="B180" s="197" t="s">
        <v>5850</v>
      </c>
      <c r="C180" s="197">
        <v>1981</v>
      </c>
      <c r="D180" s="110" t="str">
        <f t="shared" si="3"/>
        <v>2018_1981</v>
      </c>
      <c r="E180" s="1231">
        <v>2.33845688103357</v>
      </c>
      <c r="F180" s="1232">
        <v>0.84379132089338471</v>
      </c>
      <c r="G180" s="1232">
        <v>19.667954761247799</v>
      </c>
      <c r="H180" s="1232">
        <v>1.5461011078424758</v>
      </c>
      <c r="I180" s="1232">
        <v>1.8032776099630401</v>
      </c>
      <c r="J180" s="1232">
        <v>0.16169633190996158</v>
      </c>
      <c r="K180" s="1232">
        <v>3.0000008604094599E-3</v>
      </c>
      <c r="L180" s="1233">
        <v>3.7588519354796401E-2</v>
      </c>
      <c r="M180" s="1234">
        <v>1.8848138215596799</v>
      </c>
      <c r="N180" s="1235">
        <v>0.16900752252208481</v>
      </c>
    </row>
    <row r="181" spans="1:14" ht="15.5" x14ac:dyDescent="0.35">
      <c r="A181" s="198">
        <v>2018</v>
      </c>
      <c r="B181" s="197" t="s">
        <v>5850</v>
      </c>
      <c r="C181" s="197">
        <v>1982</v>
      </c>
      <c r="D181" s="110" t="str">
        <f t="shared" si="3"/>
        <v>2018_1982</v>
      </c>
      <c r="E181" s="1229">
        <v>2.33845688103357</v>
      </c>
      <c r="F181" s="1227">
        <v>0.84379132089338471</v>
      </c>
      <c r="G181" s="1227">
        <v>19.667954761247799</v>
      </c>
      <c r="H181" s="1227">
        <v>1.5461011078424758</v>
      </c>
      <c r="I181" s="1227">
        <v>1.8032776099630401</v>
      </c>
      <c r="J181" s="1227">
        <v>0.16169633190996158</v>
      </c>
      <c r="K181" s="1227">
        <v>3.0000008604094599E-3</v>
      </c>
      <c r="L181" s="1236">
        <v>3.7588519354796401E-2</v>
      </c>
      <c r="M181" s="1229">
        <v>1.8848138215596799</v>
      </c>
      <c r="N181" s="1230">
        <v>0.16900752252208481</v>
      </c>
    </row>
    <row r="182" spans="1:14" ht="15.5" x14ac:dyDescent="0.35">
      <c r="A182" s="198">
        <v>2018</v>
      </c>
      <c r="B182" s="197" t="s">
        <v>5850</v>
      </c>
      <c r="C182" s="197">
        <v>1983</v>
      </c>
      <c r="D182" s="110" t="str">
        <f t="shared" si="3"/>
        <v>2018_1983</v>
      </c>
      <c r="E182" s="1231">
        <v>2.33845688103357</v>
      </c>
      <c r="F182" s="1232">
        <v>0.84379132089338471</v>
      </c>
      <c r="G182" s="1232">
        <v>19.667954761247799</v>
      </c>
      <c r="H182" s="1232">
        <v>1.5461011078424758</v>
      </c>
      <c r="I182" s="1232">
        <v>1.8032776099630401</v>
      </c>
      <c r="J182" s="1232">
        <v>0.16169633190996158</v>
      </c>
      <c r="K182" s="1232">
        <v>3.0000008604094599E-3</v>
      </c>
      <c r="L182" s="1233">
        <v>3.7588519354796401E-2</v>
      </c>
      <c r="M182" s="1234">
        <v>1.8848138215596799</v>
      </c>
      <c r="N182" s="1235">
        <v>0.16900752252208481</v>
      </c>
    </row>
    <row r="183" spans="1:14" ht="15.5" x14ac:dyDescent="0.35">
      <c r="A183" s="198">
        <v>2018</v>
      </c>
      <c r="B183" s="197" t="s">
        <v>5850</v>
      </c>
      <c r="C183" s="197">
        <v>1984</v>
      </c>
      <c r="D183" s="110" t="str">
        <f t="shared" si="3"/>
        <v>2018_1984</v>
      </c>
      <c r="E183" s="1231">
        <v>2.33845688103357</v>
      </c>
      <c r="F183" s="1232">
        <v>0.84379132089338471</v>
      </c>
      <c r="G183" s="1232">
        <v>19.667954761247799</v>
      </c>
      <c r="H183" s="1232">
        <v>1.5461011078424758</v>
      </c>
      <c r="I183" s="1232">
        <v>1.8032776099630401</v>
      </c>
      <c r="J183" s="1232">
        <v>0.16169633190996158</v>
      </c>
      <c r="K183" s="1232">
        <v>3.0000008604094599E-3</v>
      </c>
      <c r="L183" s="1233">
        <v>3.7588519354796401E-2</v>
      </c>
      <c r="M183" s="1234">
        <v>1.8848138215596799</v>
      </c>
      <c r="N183" s="1235">
        <v>0.16900752252208481</v>
      </c>
    </row>
    <row r="184" spans="1:14" ht="15.5" x14ac:dyDescent="0.35">
      <c r="A184" s="198">
        <v>2018</v>
      </c>
      <c r="B184" s="197" t="s">
        <v>5850</v>
      </c>
      <c r="C184" s="197">
        <v>1985</v>
      </c>
      <c r="D184" s="110" t="str">
        <f t="shared" si="3"/>
        <v>2018_1985</v>
      </c>
      <c r="E184" s="1231">
        <v>2.33845688103357</v>
      </c>
      <c r="F184" s="1232">
        <v>0.84379132089338915</v>
      </c>
      <c r="G184" s="1232">
        <v>19.667954761247799</v>
      </c>
      <c r="H184" s="1232">
        <v>1.5461011078424809</v>
      </c>
      <c r="I184" s="1232">
        <v>1.8032776099630401</v>
      </c>
      <c r="J184" s="1232">
        <v>0.16169633190996213</v>
      </c>
      <c r="K184" s="1232">
        <v>3.0000008604094599E-3</v>
      </c>
      <c r="L184" s="1233">
        <v>3.7588519354796401E-2</v>
      </c>
      <c r="M184" s="1234">
        <v>1.8848138215596799</v>
      </c>
      <c r="N184" s="1235">
        <v>0.16900752252208537</v>
      </c>
    </row>
    <row r="185" spans="1:14" ht="15.5" x14ac:dyDescent="0.35">
      <c r="A185" s="198">
        <v>2018</v>
      </c>
      <c r="B185" s="197" t="s">
        <v>5850</v>
      </c>
      <c r="C185" s="197">
        <v>1986</v>
      </c>
      <c r="D185" s="110" t="str">
        <f t="shared" si="3"/>
        <v>2018_1986</v>
      </c>
      <c r="E185" s="1229">
        <v>2.3917820128738452</v>
      </c>
      <c r="F185" s="1227">
        <v>0.6689623113522627</v>
      </c>
      <c r="G185" s="1227">
        <v>19.747061368918349</v>
      </c>
      <c r="H185" s="1227">
        <v>1.9605468185114618</v>
      </c>
      <c r="I185" s="1227">
        <v>1.7827043063740899</v>
      </c>
      <c r="J185" s="1227">
        <v>0.12117271695883094</v>
      </c>
      <c r="K185" s="1227">
        <v>3.0000008604094599E-3</v>
      </c>
      <c r="L185" s="1236">
        <v>3.7588519354796401E-2</v>
      </c>
      <c r="M185" s="1229">
        <v>1.8633102844751199</v>
      </c>
      <c r="N185" s="1230">
        <v>0.12665160952374169</v>
      </c>
    </row>
    <row r="186" spans="1:14" ht="15.5" x14ac:dyDescent="0.35">
      <c r="A186" s="198">
        <v>2018</v>
      </c>
      <c r="B186" s="197" t="s">
        <v>5850</v>
      </c>
      <c r="C186" s="197">
        <v>1987</v>
      </c>
      <c r="D186" s="110" t="str">
        <f t="shared" si="3"/>
        <v>2018_1987</v>
      </c>
      <c r="E186" s="1231">
        <v>2.4451071447141199</v>
      </c>
      <c r="F186" s="1232">
        <v>0.49413330181113624</v>
      </c>
      <c r="G186" s="1232">
        <v>19.826167976588899</v>
      </c>
      <c r="H186" s="1232">
        <v>2.3749925291804428</v>
      </c>
      <c r="I186" s="1232">
        <v>1.76213100278514</v>
      </c>
      <c r="J186" s="1232">
        <v>8.0649102007699744E-2</v>
      </c>
      <c r="K186" s="1232">
        <v>3.0000008604094599E-3</v>
      </c>
      <c r="L186" s="1233">
        <v>3.7588519354796401E-2</v>
      </c>
      <c r="M186" s="1234">
        <v>1.8418067473905599</v>
      </c>
      <c r="N186" s="1235">
        <v>8.4295696525397992E-2</v>
      </c>
    </row>
    <row r="187" spans="1:14" ht="15.5" x14ac:dyDescent="0.35">
      <c r="A187" s="198">
        <v>2018</v>
      </c>
      <c r="B187" s="197" t="s">
        <v>5850</v>
      </c>
      <c r="C187" s="197">
        <v>1988</v>
      </c>
      <c r="D187" s="110" t="str">
        <f t="shared" si="3"/>
        <v>2018_1988</v>
      </c>
      <c r="E187" s="1231">
        <v>2.4451071447141199</v>
      </c>
      <c r="F187" s="1232">
        <v>0.49413330181113574</v>
      </c>
      <c r="G187" s="1232">
        <v>19.826167976588899</v>
      </c>
      <c r="H187" s="1232">
        <v>2.3749925291804477</v>
      </c>
      <c r="I187" s="1232">
        <v>1.76213100278514</v>
      </c>
      <c r="J187" s="1232">
        <v>8.064910200769991E-2</v>
      </c>
      <c r="K187" s="1232">
        <v>3.0000008604094599E-3</v>
      </c>
      <c r="L187" s="1233">
        <v>3.7588519354796401E-2</v>
      </c>
      <c r="M187" s="1234">
        <v>1.8418067473905599</v>
      </c>
      <c r="N187" s="1235">
        <v>8.4295696525398187E-2</v>
      </c>
    </row>
    <row r="188" spans="1:14" ht="15.5" x14ac:dyDescent="0.35">
      <c r="A188" s="198">
        <v>2018</v>
      </c>
      <c r="B188" s="197" t="s">
        <v>5850</v>
      </c>
      <c r="C188" s="197">
        <v>1989</v>
      </c>
      <c r="D188" s="110" t="str">
        <f t="shared" si="3"/>
        <v>2018_1989</v>
      </c>
      <c r="E188" s="1229">
        <v>2.4451071447141199</v>
      </c>
      <c r="F188" s="1227">
        <v>0.49413330181113513</v>
      </c>
      <c r="G188" s="1227">
        <v>19.826167976588849</v>
      </c>
      <c r="H188" s="1227">
        <v>2.374992529180445</v>
      </c>
      <c r="I188" s="1227">
        <v>1.7621310027851349</v>
      </c>
      <c r="J188" s="1227">
        <v>8.0649102007699813E-2</v>
      </c>
      <c r="K188" s="1227">
        <v>3.0000008604094599E-3</v>
      </c>
      <c r="L188" s="1236">
        <v>3.7588519354796401E-2</v>
      </c>
      <c r="M188" s="1229">
        <v>1.8418067473905599</v>
      </c>
      <c r="N188" s="1230">
        <v>8.4295696525398089E-2</v>
      </c>
    </row>
    <row r="189" spans="1:14" ht="15.5" x14ac:dyDescent="0.35">
      <c r="A189" s="198">
        <v>2018</v>
      </c>
      <c r="B189" s="197" t="s">
        <v>5850</v>
      </c>
      <c r="C189" s="197">
        <v>1990</v>
      </c>
      <c r="D189" s="110" t="str">
        <f t="shared" si="3"/>
        <v>2018_1990</v>
      </c>
      <c r="E189" s="1231">
        <v>2.4451071447141199</v>
      </c>
      <c r="F189" s="1232">
        <v>0.49413330181113457</v>
      </c>
      <c r="G189" s="1232">
        <v>19.826167976588799</v>
      </c>
      <c r="H189" s="1232">
        <v>2.3749925291804419</v>
      </c>
      <c r="I189" s="1232">
        <v>1.76213100278513</v>
      </c>
      <c r="J189" s="1232">
        <v>8.0649102007699716E-2</v>
      </c>
      <c r="K189" s="1232">
        <v>3.0000008604094599E-3</v>
      </c>
      <c r="L189" s="1233">
        <v>3.7588519354796401E-2</v>
      </c>
      <c r="M189" s="1234">
        <v>1.8418067473905599</v>
      </c>
      <c r="N189" s="1235">
        <v>8.4295696525397978E-2</v>
      </c>
    </row>
    <row r="190" spans="1:14" ht="15.5" x14ac:dyDescent="0.35">
      <c r="A190" s="198">
        <v>2018</v>
      </c>
      <c r="B190" s="197" t="s">
        <v>5850</v>
      </c>
      <c r="C190" s="197">
        <v>1991</v>
      </c>
      <c r="D190" s="110" t="str">
        <f t="shared" si="3"/>
        <v>2018_1991</v>
      </c>
      <c r="E190" s="1231">
        <v>1.58022122886718</v>
      </c>
      <c r="F190" s="1232">
        <v>0.39427632524764022</v>
      </c>
      <c r="G190" s="1232">
        <v>23.730335175227999</v>
      </c>
      <c r="H190" s="1232">
        <v>2.6547109525587214</v>
      </c>
      <c r="I190" s="1232">
        <v>0.752596589760678</v>
      </c>
      <c r="J190" s="1232">
        <v>6.031137456350421E-2</v>
      </c>
      <c r="K190" s="1232">
        <v>3.0000008604094599E-3</v>
      </c>
      <c r="L190" s="1233">
        <v>3.7588519354796401E-2</v>
      </c>
      <c r="M190" s="1234">
        <v>0.78662566795175004</v>
      </c>
      <c r="N190" s="1235">
        <v>6.3038387293504972E-2</v>
      </c>
    </row>
    <row r="191" spans="1:14" ht="15.5" x14ac:dyDescent="0.35">
      <c r="A191" s="198">
        <v>2018</v>
      </c>
      <c r="B191" s="197" t="s">
        <v>5850</v>
      </c>
      <c r="C191" s="197">
        <v>1992</v>
      </c>
      <c r="D191" s="110" t="str">
        <f t="shared" si="3"/>
        <v>2018_1992</v>
      </c>
      <c r="E191" s="1231">
        <v>1.58022122886718</v>
      </c>
      <c r="F191" s="1232">
        <v>0.39427632524764022</v>
      </c>
      <c r="G191" s="1232">
        <v>23.730335175227999</v>
      </c>
      <c r="H191" s="1232">
        <v>2.6547109525587214</v>
      </c>
      <c r="I191" s="1232">
        <v>0.752596589760678</v>
      </c>
      <c r="J191" s="1232">
        <v>6.031137456350421E-2</v>
      </c>
      <c r="K191" s="1232">
        <v>3.0000008604094599E-3</v>
      </c>
      <c r="L191" s="1233">
        <v>3.7588519354796401E-2</v>
      </c>
      <c r="M191" s="1234">
        <v>0.78662566795175004</v>
      </c>
      <c r="N191" s="1235">
        <v>6.3038387293504972E-2</v>
      </c>
    </row>
    <row r="192" spans="1:14" ht="15.5" x14ac:dyDescent="0.35">
      <c r="A192" s="198">
        <v>2018</v>
      </c>
      <c r="B192" s="197" t="s">
        <v>5850</v>
      </c>
      <c r="C192" s="197">
        <v>1993</v>
      </c>
      <c r="D192" s="110" t="str">
        <f t="shared" si="3"/>
        <v>2018_1993</v>
      </c>
      <c r="E192" s="1231">
        <v>1.48923834801444</v>
      </c>
      <c r="F192" s="1232">
        <v>0.39427632524763845</v>
      </c>
      <c r="G192" s="1232">
        <v>21.993212371414099</v>
      </c>
      <c r="H192" s="1232">
        <v>2.6547109525587098</v>
      </c>
      <c r="I192" s="1232">
        <v>0.78250667053112299</v>
      </c>
      <c r="J192" s="1232">
        <v>6.0311374563503939E-2</v>
      </c>
      <c r="K192" s="1232">
        <v>3.0000008604094599E-3</v>
      </c>
      <c r="L192" s="1233">
        <v>3.7588519354796401E-2</v>
      </c>
      <c r="M192" s="1234">
        <v>0.81788814985061697</v>
      </c>
      <c r="N192" s="1235">
        <v>6.3038387293504694E-2</v>
      </c>
    </row>
    <row r="193" spans="1:14" ht="15.5" x14ac:dyDescent="0.35">
      <c r="A193" s="198">
        <v>2018</v>
      </c>
      <c r="B193" s="197" t="s">
        <v>5850</v>
      </c>
      <c r="C193" s="197">
        <v>1994</v>
      </c>
      <c r="D193" s="110" t="str">
        <f t="shared" si="3"/>
        <v>2018_1994</v>
      </c>
      <c r="E193" s="1231">
        <v>1.4023753605842</v>
      </c>
      <c r="F193" s="1232">
        <v>0.31555935951711567</v>
      </c>
      <c r="G193" s="1232">
        <v>19.438043535388701</v>
      </c>
      <c r="H193" s="1232">
        <v>2.8854805668289365</v>
      </c>
      <c r="I193" s="1232">
        <v>0.60023230558229401</v>
      </c>
      <c r="J193" s="1232">
        <v>4.5321628644743948E-2</v>
      </c>
      <c r="K193" s="1232">
        <v>3.0000008604094699E-3</v>
      </c>
      <c r="L193" s="1233">
        <v>3.7588519354796401E-2</v>
      </c>
      <c r="M193" s="1234">
        <v>0.62737214694931598</v>
      </c>
      <c r="N193" s="1235">
        <v>4.7370871580310683E-2</v>
      </c>
    </row>
    <row r="194" spans="1:14" ht="15.5" x14ac:dyDescent="0.35">
      <c r="A194" s="198">
        <v>2018</v>
      </c>
      <c r="B194" s="197" t="s">
        <v>5850</v>
      </c>
      <c r="C194" s="197">
        <v>1995</v>
      </c>
      <c r="D194" s="110" t="str">
        <f t="shared" si="3"/>
        <v>2018_1995</v>
      </c>
      <c r="E194" s="1231">
        <v>1.4023753608392799</v>
      </c>
      <c r="F194" s="1232">
        <v>0.31555935951711783</v>
      </c>
      <c r="G194" s="1232">
        <v>19.438043535388701</v>
      </c>
      <c r="H194" s="1232">
        <v>2.885480566828956</v>
      </c>
      <c r="I194" s="1232">
        <v>0.60023230558229401</v>
      </c>
      <c r="J194" s="1232">
        <v>4.5321628644744254E-2</v>
      </c>
      <c r="K194" s="1232">
        <v>3.0000008604094699E-3</v>
      </c>
      <c r="L194" s="1233">
        <v>3.7588519354796401E-2</v>
      </c>
      <c r="M194" s="1234">
        <v>0.62737214694931598</v>
      </c>
      <c r="N194" s="1235">
        <v>4.7370871580311016E-2</v>
      </c>
    </row>
    <row r="195" spans="1:14" ht="15.5" x14ac:dyDescent="0.35">
      <c r="A195" s="198">
        <v>2018</v>
      </c>
      <c r="B195" s="197" t="s">
        <v>5850</v>
      </c>
      <c r="C195" s="197">
        <v>1996</v>
      </c>
      <c r="D195" s="110" t="str">
        <f t="shared" si="3"/>
        <v>2018_1996</v>
      </c>
      <c r="E195" s="1231">
        <v>1.2117594883841201</v>
      </c>
      <c r="F195" s="1232">
        <v>0.27532554117868646</v>
      </c>
      <c r="G195" s="1232">
        <v>19.187633916186101</v>
      </c>
      <c r="H195" s="1232">
        <v>2.8854805668289671</v>
      </c>
      <c r="I195" s="1232">
        <v>0.52640032449545204</v>
      </c>
      <c r="J195" s="1232">
        <v>3.9543120992539427E-2</v>
      </c>
      <c r="K195" s="1232">
        <v>3.0000008604094599E-3</v>
      </c>
      <c r="L195" s="1233">
        <v>3.7588519354796401E-2</v>
      </c>
      <c r="M195" s="1234">
        <v>0.55020181130229195</v>
      </c>
      <c r="N195" s="1235">
        <v>4.1331085453821498E-2</v>
      </c>
    </row>
    <row r="196" spans="1:14" ht="15.5" x14ac:dyDescent="0.35">
      <c r="A196" s="198">
        <v>2018</v>
      </c>
      <c r="B196" s="197" t="s">
        <v>5850</v>
      </c>
      <c r="C196" s="197">
        <v>1997</v>
      </c>
      <c r="D196" s="110" t="str">
        <f t="shared" si="3"/>
        <v>2018_1997</v>
      </c>
      <c r="E196" s="1231">
        <v>1.2117594883841201</v>
      </c>
      <c r="F196" s="1232">
        <v>0.27532554117868574</v>
      </c>
      <c r="G196" s="1232">
        <v>19.187633916186101</v>
      </c>
      <c r="H196" s="1232">
        <v>2.8854805668289596</v>
      </c>
      <c r="I196" s="1232">
        <v>0.52640032449545204</v>
      </c>
      <c r="J196" s="1232">
        <v>3.9543120992539323E-2</v>
      </c>
      <c r="K196" s="1232">
        <v>3.0000008604094599E-3</v>
      </c>
      <c r="L196" s="1233">
        <v>3.7588519354796401E-2</v>
      </c>
      <c r="M196" s="1234">
        <v>0.55020181130229195</v>
      </c>
      <c r="N196" s="1235">
        <v>4.1331085453821387E-2</v>
      </c>
    </row>
    <row r="197" spans="1:14" ht="15.5" x14ac:dyDescent="0.35">
      <c r="A197" s="198">
        <v>2018</v>
      </c>
      <c r="B197" s="197" t="s">
        <v>5850</v>
      </c>
      <c r="C197" s="197">
        <v>1998</v>
      </c>
      <c r="D197" s="110" t="str">
        <f t="shared" si="3"/>
        <v>2018_1998</v>
      </c>
      <c r="E197" s="1231">
        <v>1.2091769395239</v>
      </c>
      <c r="F197" s="1232">
        <v>0.20998223588396225</v>
      </c>
      <c r="G197" s="1232">
        <v>19.348915146585899</v>
      </c>
      <c r="H197" s="1232">
        <v>3.105196058639744</v>
      </c>
      <c r="I197" s="1232">
        <v>0.51448095329809496</v>
      </c>
      <c r="J197" s="1232">
        <v>2.7953387061372511E-2</v>
      </c>
      <c r="K197" s="1232">
        <v>3.0000008604094599E-3</v>
      </c>
      <c r="L197" s="1233">
        <v>3.7588519354796401E-2</v>
      </c>
      <c r="M197" s="1234">
        <v>0.53774349903081597</v>
      </c>
      <c r="N197" s="1235">
        <v>2.9217315182969807E-2</v>
      </c>
    </row>
    <row r="198" spans="1:14" ht="15.5" x14ac:dyDescent="0.35">
      <c r="A198" s="198">
        <v>2018</v>
      </c>
      <c r="B198" s="197" t="s">
        <v>5850</v>
      </c>
      <c r="C198" s="197">
        <v>1999</v>
      </c>
      <c r="D198" s="110" t="str">
        <f t="shared" si="3"/>
        <v>2018_1999</v>
      </c>
      <c r="E198" s="1231">
        <v>1.43314585381485</v>
      </c>
      <c r="F198" s="1232">
        <v>0.2099822358839625</v>
      </c>
      <c r="G198" s="1232">
        <v>24.146689348714201</v>
      </c>
      <c r="H198" s="1232">
        <v>3.1051960586397476</v>
      </c>
      <c r="I198" s="1232">
        <v>0.46438641198034297</v>
      </c>
      <c r="J198" s="1232">
        <v>2.7953387061372542E-2</v>
      </c>
      <c r="K198" s="1232">
        <v>3.0000008604094599E-3</v>
      </c>
      <c r="L198" s="1233">
        <v>3.7588519354796401E-2</v>
      </c>
      <c r="M198" s="1234">
        <v>0.48538390484591099</v>
      </c>
      <c r="N198" s="1235">
        <v>2.9217315182969689E-2</v>
      </c>
    </row>
    <row r="199" spans="1:14" ht="15.5" x14ac:dyDescent="0.35">
      <c r="A199" s="198">
        <v>2018</v>
      </c>
      <c r="B199" s="197" t="s">
        <v>5850</v>
      </c>
      <c r="C199" s="197">
        <v>2000</v>
      </c>
      <c r="D199" s="110" t="str">
        <f t="shared" si="3"/>
        <v>2018_2000</v>
      </c>
      <c r="E199" s="1231">
        <v>1.43314585381485</v>
      </c>
      <c r="F199" s="1232">
        <v>0.20998223588396261</v>
      </c>
      <c r="G199" s="1232">
        <v>24.1466893487143</v>
      </c>
      <c r="H199" s="1232">
        <v>3.1051960586397493</v>
      </c>
      <c r="I199" s="1232">
        <v>0.46438641198034403</v>
      </c>
      <c r="J199" s="1232">
        <v>2.7953387061372556E-2</v>
      </c>
      <c r="K199" s="1232">
        <v>3.0000008604094599E-3</v>
      </c>
      <c r="L199" s="1233">
        <v>3.7588519354796401E-2</v>
      </c>
      <c r="M199" s="1234">
        <v>0.48538390484591099</v>
      </c>
      <c r="N199" s="1235">
        <v>2.9217315182969859E-2</v>
      </c>
    </row>
    <row r="200" spans="1:14" ht="15.5" x14ac:dyDescent="0.35">
      <c r="A200" s="198">
        <v>2018</v>
      </c>
      <c r="B200" s="197" t="s">
        <v>5850</v>
      </c>
      <c r="C200" s="197">
        <v>2001</v>
      </c>
      <c r="D200" s="110" t="str">
        <f t="shared" si="3"/>
        <v>2018_2001</v>
      </c>
      <c r="E200" s="1231">
        <v>1.43314585381485</v>
      </c>
      <c r="F200" s="1232">
        <v>0.2099822358839627</v>
      </c>
      <c r="G200" s="1232">
        <v>24.1466893487143</v>
      </c>
      <c r="H200" s="1232">
        <v>3.1051960586397502</v>
      </c>
      <c r="I200" s="1232">
        <v>0.46438641198034297</v>
      </c>
      <c r="J200" s="1232">
        <v>2.7953387061372563E-2</v>
      </c>
      <c r="K200" s="1232">
        <v>3.0000008604094599E-3</v>
      </c>
      <c r="L200" s="1233">
        <v>3.7588519354796401E-2</v>
      </c>
      <c r="M200" s="1234">
        <v>0.48538390484591099</v>
      </c>
      <c r="N200" s="1235">
        <v>2.9217315182969869E-2</v>
      </c>
    </row>
    <row r="201" spans="1:14" ht="15.5" x14ac:dyDescent="0.35">
      <c r="A201" s="198">
        <v>2018</v>
      </c>
      <c r="B201" s="197" t="s">
        <v>5850</v>
      </c>
      <c r="C201" s="197">
        <v>2002</v>
      </c>
      <c r="D201" s="110" t="str">
        <f t="shared" si="3"/>
        <v>2018_2002</v>
      </c>
      <c r="E201" s="1231">
        <v>1.4329085938969499</v>
      </c>
      <c r="F201" s="1232">
        <v>0.20998223588396223</v>
      </c>
      <c r="G201" s="1232">
        <v>24.145785659117699</v>
      </c>
      <c r="H201" s="1232">
        <v>3.1051960586397436</v>
      </c>
      <c r="I201" s="1232">
        <v>0.46433047718269099</v>
      </c>
      <c r="J201" s="1232">
        <v>2.7953387061372504E-2</v>
      </c>
      <c r="K201" s="1232">
        <v>3.0000008604094599E-3</v>
      </c>
      <c r="L201" s="1233">
        <v>3.7588519354796401E-2</v>
      </c>
      <c r="M201" s="1234">
        <v>0.48532544092491497</v>
      </c>
      <c r="N201" s="1235">
        <v>2.9217315182969803E-2</v>
      </c>
    </row>
    <row r="202" spans="1:14" ht="15.5" x14ac:dyDescent="0.35">
      <c r="A202" s="198">
        <v>2018</v>
      </c>
      <c r="B202" s="197" t="s">
        <v>5850</v>
      </c>
      <c r="C202" s="197">
        <v>2003</v>
      </c>
      <c r="D202" s="110" t="str">
        <f t="shared" si="3"/>
        <v>2018_2003</v>
      </c>
      <c r="E202" s="1231">
        <v>0.91779604338522502</v>
      </c>
      <c r="F202" s="1232">
        <v>0.17219249630370886</v>
      </c>
      <c r="G202" s="1232">
        <v>13.4676749667151</v>
      </c>
      <c r="H202" s="1232">
        <v>3.2196550719940911</v>
      </c>
      <c r="I202" s="1232">
        <v>0.60477580690966004</v>
      </c>
      <c r="J202" s="1232">
        <v>2.1628481173885904E-2</v>
      </c>
      <c r="K202" s="1232">
        <v>3.0000008604094599E-3</v>
      </c>
      <c r="L202" s="1233">
        <v>3.7588519354796401E-2</v>
      </c>
      <c r="M202" s="1234">
        <v>0.63212108524521804</v>
      </c>
      <c r="N202" s="1235">
        <v>2.2606425117605394E-2</v>
      </c>
    </row>
    <row r="203" spans="1:14" ht="15.5" x14ac:dyDescent="0.35">
      <c r="A203" s="198">
        <v>2018</v>
      </c>
      <c r="B203" s="197" t="s">
        <v>5850</v>
      </c>
      <c r="C203" s="197">
        <v>2004</v>
      </c>
      <c r="D203" s="110" t="str">
        <f t="shared" si="3"/>
        <v>2018_2004</v>
      </c>
      <c r="E203" s="1231">
        <v>0.89457513742487205</v>
      </c>
      <c r="F203" s="1232">
        <v>0.15497324667333925</v>
      </c>
      <c r="G203" s="1232">
        <v>11.4544357918745</v>
      </c>
      <c r="H203" s="1232">
        <v>2.8976895647946797</v>
      </c>
      <c r="I203" s="1232">
        <v>0.73177639775542802</v>
      </c>
      <c r="J203" s="1232">
        <v>1.9465633056497438E-2</v>
      </c>
      <c r="K203" s="1232">
        <v>3.0000008604094599E-3</v>
      </c>
      <c r="L203" s="1233">
        <v>3.7588519354796401E-2</v>
      </c>
      <c r="M203" s="1234">
        <v>0.76486407925225597</v>
      </c>
      <c r="N203" s="1235">
        <v>2.0345782605844839E-2</v>
      </c>
    </row>
    <row r="204" spans="1:14" ht="15.5" x14ac:dyDescent="0.35">
      <c r="A204" s="198">
        <v>2018</v>
      </c>
      <c r="B204" s="197" t="s">
        <v>5850</v>
      </c>
      <c r="C204" s="197">
        <v>2005</v>
      </c>
      <c r="D204" s="110" t="str">
        <f t="shared" si="3"/>
        <v>2018_2005</v>
      </c>
      <c r="E204" s="1231">
        <v>0.868837532611763</v>
      </c>
      <c r="F204" s="1232">
        <v>0.1394759220060052</v>
      </c>
      <c r="G204" s="1232">
        <v>11.3512494911704</v>
      </c>
      <c r="H204" s="1232">
        <v>2.6079206083152093</v>
      </c>
      <c r="I204" s="1232">
        <v>0.71639704748619004</v>
      </c>
      <c r="J204" s="1232">
        <v>1.7519069750847677E-2</v>
      </c>
      <c r="K204" s="1232">
        <v>3.0000008604094599E-3</v>
      </c>
      <c r="L204" s="1233">
        <v>3.7588519354796401E-2</v>
      </c>
      <c r="M204" s="1234">
        <v>0.74878934300869904</v>
      </c>
      <c r="N204" s="1235">
        <v>1.8311204345260335E-2</v>
      </c>
    </row>
    <row r="205" spans="1:14" ht="15.5" x14ac:dyDescent="0.35">
      <c r="A205" s="198">
        <v>2018</v>
      </c>
      <c r="B205" s="197" t="s">
        <v>5850</v>
      </c>
      <c r="C205" s="197">
        <v>2006</v>
      </c>
      <c r="D205" s="110" t="str">
        <f t="shared" si="3"/>
        <v>2018_2006</v>
      </c>
      <c r="E205" s="1231">
        <v>0.83835084191234099</v>
      </c>
      <c r="F205" s="1232">
        <v>0.12552832980540465</v>
      </c>
      <c r="G205" s="1232">
        <v>11.243905508721999</v>
      </c>
      <c r="H205" s="1232">
        <v>2.3471285474836878</v>
      </c>
      <c r="I205" s="1232">
        <v>0.69779308203257195</v>
      </c>
      <c r="J205" s="1232">
        <v>1.5767162775762907E-2</v>
      </c>
      <c r="K205" s="1232">
        <v>3.0000008604094599E-3</v>
      </c>
      <c r="L205" s="1233">
        <v>3.7588519354796401E-2</v>
      </c>
      <c r="M205" s="1234">
        <v>0.72934418879114205</v>
      </c>
      <c r="N205" s="1235">
        <v>1.64800839107343E-2</v>
      </c>
    </row>
    <row r="206" spans="1:14" ht="15.5" x14ac:dyDescent="0.35">
      <c r="A206" s="198">
        <v>2018</v>
      </c>
      <c r="B206" s="197" t="s">
        <v>5850</v>
      </c>
      <c r="C206" s="197">
        <v>2007</v>
      </c>
      <c r="D206" s="110" t="str">
        <f t="shared" si="3"/>
        <v>2018_2007</v>
      </c>
      <c r="E206" s="1231">
        <v>0.59345795728141004</v>
      </c>
      <c r="F206" s="1232">
        <v>9.418612162280196E-2</v>
      </c>
      <c r="G206" s="1232">
        <v>10.246545129458999</v>
      </c>
      <c r="H206" s="1232">
        <v>2.1124156927353184</v>
      </c>
      <c r="I206" s="1232">
        <v>0.49090268409216098</v>
      </c>
      <c r="J206" s="1232">
        <v>1.1997146976559292E-2</v>
      </c>
      <c r="K206" s="1232">
        <v>3.0000008604094699E-3</v>
      </c>
      <c r="L206" s="1233">
        <v>3.7588519354796401E-2</v>
      </c>
      <c r="M206" s="1234">
        <v>0.51309912511841005</v>
      </c>
      <c r="N206" s="1235">
        <v>1.2539604726288013E-2</v>
      </c>
    </row>
    <row r="207" spans="1:14" ht="15.5" x14ac:dyDescent="0.35">
      <c r="A207" s="198">
        <v>2018</v>
      </c>
      <c r="B207" s="197" t="s">
        <v>5850</v>
      </c>
      <c r="C207" s="197">
        <v>2008</v>
      </c>
      <c r="D207" s="110" t="str">
        <f t="shared" si="3"/>
        <v>2018_2008</v>
      </c>
      <c r="E207" s="1231">
        <v>0.21069232364666199</v>
      </c>
      <c r="F207" s="1232">
        <v>3.845163702279291E-2</v>
      </c>
      <c r="G207" s="1232">
        <v>8.0880081043810303</v>
      </c>
      <c r="H207" s="1232">
        <v>1.4615577191756515</v>
      </c>
      <c r="I207" s="1232">
        <v>4.9034577347613399E-2</v>
      </c>
      <c r="J207" s="1232">
        <v>5.9672920448615593E-4</v>
      </c>
      <c r="K207" s="1232">
        <v>3.0000008604094599E-3</v>
      </c>
      <c r="L207" s="1233">
        <v>3.7588519354796401E-2</v>
      </c>
      <c r="M207" s="1234">
        <v>5.1251703347558103E-2</v>
      </c>
      <c r="N207" s="1235">
        <v>6.2371065116639194E-4</v>
      </c>
    </row>
    <row r="208" spans="1:14" ht="15.5" x14ac:dyDescent="0.35">
      <c r="A208" s="198">
        <v>2018</v>
      </c>
      <c r="B208" s="197" t="s">
        <v>5850</v>
      </c>
      <c r="C208" s="197">
        <v>2009</v>
      </c>
      <c r="D208" s="110" t="str">
        <f t="shared" si="3"/>
        <v>2018_2009</v>
      </c>
      <c r="E208" s="1231">
        <v>0.19086147136853401</v>
      </c>
      <c r="F208" s="1232">
        <v>3.2603570154761015E-2</v>
      </c>
      <c r="G208" s="1232">
        <v>7.8786945160928799</v>
      </c>
      <c r="H208" s="1232">
        <v>0.65421186536878195</v>
      </c>
      <c r="I208" s="1232">
        <v>3.6638519737372199E-2</v>
      </c>
      <c r="J208" s="1232">
        <v>1.351814745796346E-4</v>
      </c>
      <c r="K208" s="1232">
        <v>3.0000008604094599E-3</v>
      </c>
      <c r="L208" s="1233">
        <v>3.7588519354796401E-2</v>
      </c>
      <c r="M208" s="1234">
        <v>3.8295151018872799E-2</v>
      </c>
      <c r="N208" s="1235">
        <v>1.4129378100121695E-4</v>
      </c>
    </row>
    <row r="209" spans="1:14" ht="15.5" x14ac:dyDescent="0.35">
      <c r="A209" s="198">
        <v>2018</v>
      </c>
      <c r="B209" s="197" t="s">
        <v>5850</v>
      </c>
      <c r="C209" s="197">
        <v>2010</v>
      </c>
      <c r="D209" s="110" t="str">
        <f t="shared" si="3"/>
        <v>2018_2010</v>
      </c>
      <c r="E209" s="1231">
        <v>0.197959216298356</v>
      </c>
      <c r="F209" s="1232">
        <v>2.9421666640620393E-2</v>
      </c>
      <c r="G209" s="1232">
        <v>7.0199334339341997</v>
      </c>
      <c r="H209" s="1232">
        <v>0.52826319100316532</v>
      </c>
      <c r="I209" s="1232">
        <v>5.2461508874419999E-2</v>
      </c>
      <c r="J209" s="1232">
        <v>1.2166332712167113E-4</v>
      </c>
      <c r="K209" s="1232">
        <v>3.0000008604094599E-3</v>
      </c>
      <c r="L209" s="1233">
        <v>2.7983730374273E-2</v>
      </c>
      <c r="M209" s="1234">
        <v>5.4833585511223498E-2</v>
      </c>
      <c r="N209" s="1235">
        <v>1.2716440290109525E-4</v>
      </c>
    </row>
    <row r="210" spans="1:14" ht="15.5" x14ac:dyDescent="0.35">
      <c r="A210" s="198">
        <v>2018</v>
      </c>
      <c r="B210" s="197" t="s">
        <v>5850</v>
      </c>
      <c r="C210" s="197">
        <v>2011</v>
      </c>
      <c r="D210" s="110" t="str">
        <f t="shared" si="3"/>
        <v>2018_2011</v>
      </c>
      <c r="E210" s="1231">
        <v>9.3191627970144505E-2</v>
      </c>
      <c r="F210" s="1232">
        <v>2.9780283650279897E-2</v>
      </c>
      <c r="G210" s="1232">
        <v>3.9364678035531702</v>
      </c>
      <c r="H210" s="1232">
        <v>0.39994062590800478</v>
      </c>
      <c r="I210" s="1232">
        <v>5.0134591293680801E-2</v>
      </c>
      <c r="J210" s="1232">
        <v>1.2166332712167112E-4</v>
      </c>
      <c r="K210" s="1232">
        <v>3.0000008604094599E-3</v>
      </c>
      <c r="L210" s="1233">
        <v>2.7983730374273E-2</v>
      </c>
      <c r="M210" s="1234">
        <v>5.2401455043026998E-2</v>
      </c>
      <c r="N210" s="1235">
        <v>1.2716440290109519E-4</v>
      </c>
    </row>
    <row r="211" spans="1:14" ht="15.5" x14ac:dyDescent="0.35">
      <c r="A211" s="199">
        <v>2018</v>
      </c>
      <c r="B211" s="110" t="s">
        <v>5850</v>
      </c>
      <c r="C211" s="110">
        <v>2012</v>
      </c>
      <c r="D211" s="110" t="str">
        <f t="shared" si="3"/>
        <v>2018_2012</v>
      </c>
      <c r="E211" s="1231">
        <v>1.8562528165764099E-2</v>
      </c>
      <c r="F211" s="1232">
        <v>2.9880088843737492E-2</v>
      </c>
      <c r="G211" s="1232">
        <v>3.04928354759938</v>
      </c>
      <c r="H211" s="1232">
        <v>0.353091122880686</v>
      </c>
      <c r="I211" s="1232">
        <v>2.60028838670134E-2</v>
      </c>
      <c r="J211" s="1232">
        <v>1.2166332712167078E-4</v>
      </c>
      <c r="K211" s="1232">
        <v>3.0000008604094599E-3</v>
      </c>
      <c r="L211" s="1233">
        <v>2.7983730374273E-2</v>
      </c>
      <c r="M211" s="1234">
        <v>2.71786188893916E-2</v>
      </c>
      <c r="N211" s="1235">
        <v>1.2716440290109487E-4</v>
      </c>
    </row>
    <row r="212" spans="1:14" ht="15.5" x14ac:dyDescent="0.35">
      <c r="A212" s="199">
        <v>2018</v>
      </c>
      <c r="B212" s="110" t="s">
        <v>5850</v>
      </c>
      <c r="C212" s="110">
        <v>2013</v>
      </c>
      <c r="D212" s="110" t="str">
        <f t="shared" si="3"/>
        <v>2018_2013</v>
      </c>
      <c r="E212" s="1231">
        <v>1.7558747238479899E-2</v>
      </c>
      <c r="F212" s="1232">
        <v>2.9880088843737766E-2</v>
      </c>
      <c r="G212" s="1232">
        <v>2.7024475878795902</v>
      </c>
      <c r="H212" s="1232">
        <v>0.35309112288068834</v>
      </c>
      <c r="I212" s="1232">
        <v>2.29736014257097E-2</v>
      </c>
      <c r="J212" s="1232">
        <v>1.2166332712167161E-4</v>
      </c>
      <c r="K212" s="1232">
        <v>3.0000008604094599E-3</v>
      </c>
      <c r="L212" s="1233">
        <v>2.7983730374273E-2</v>
      </c>
      <c r="M212" s="1234">
        <v>2.4012365738333801E-2</v>
      </c>
      <c r="N212" s="1235">
        <v>1.2716440290109574E-4</v>
      </c>
    </row>
    <row r="213" spans="1:14" ht="15.5" x14ac:dyDescent="0.35">
      <c r="A213" s="199">
        <v>2018</v>
      </c>
      <c r="B213" s="110" t="s">
        <v>5850</v>
      </c>
      <c r="C213" s="110">
        <v>2014</v>
      </c>
      <c r="D213" s="110" t="str">
        <f t="shared" si="3"/>
        <v>2018_2014</v>
      </c>
      <c r="E213" s="1231">
        <v>8.9629027936584203E-3</v>
      </c>
      <c r="F213" s="1232">
        <v>2.9880088843737645E-2</v>
      </c>
      <c r="G213" s="1232">
        <v>1.1831979448988299</v>
      </c>
      <c r="H213" s="1232">
        <v>0.35309112288068689</v>
      </c>
      <c r="I213" s="1232">
        <v>2.5505268685880999E-2</v>
      </c>
      <c r="J213" s="1232">
        <v>1.2166332712167112E-4</v>
      </c>
      <c r="K213" s="1232">
        <v>3.0000008604094599E-3</v>
      </c>
      <c r="L213" s="1233">
        <v>2.7983730374273E-2</v>
      </c>
      <c r="M213" s="1234">
        <v>2.66585037579029E-2</v>
      </c>
      <c r="N213" s="1235">
        <v>1.2716440290109522E-4</v>
      </c>
    </row>
    <row r="214" spans="1:14" ht="15.5" x14ac:dyDescent="0.35">
      <c r="A214" s="199">
        <v>2018</v>
      </c>
      <c r="B214" s="110" t="s">
        <v>5850</v>
      </c>
      <c r="C214" s="110">
        <v>2015</v>
      </c>
      <c r="D214" s="110" t="str">
        <f t="shared" si="3"/>
        <v>2018_2015</v>
      </c>
      <c r="E214" s="1231">
        <v>8.6161165182352794E-3</v>
      </c>
      <c r="F214" s="1232">
        <v>2.9880088843737565E-2</v>
      </c>
      <c r="G214" s="1232">
        <v>1.1156194406354101</v>
      </c>
      <c r="H214" s="1232">
        <v>0.35309112288068595</v>
      </c>
      <c r="I214" s="1232">
        <v>2.30207063461309E-2</v>
      </c>
      <c r="J214" s="1232">
        <v>1.2166332712167079E-4</v>
      </c>
      <c r="K214" s="1232">
        <v>3.0000008604094599E-3</v>
      </c>
      <c r="L214" s="1233">
        <v>2.7983730374273E-2</v>
      </c>
      <c r="M214" s="1234">
        <v>2.4061600534231401E-2</v>
      </c>
      <c r="N214" s="1235">
        <v>1.2716440290109487E-4</v>
      </c>
    </row>
    <row r="215" spans="1:14" ht="15.5" x14ac:dyDescent="0.35">
      <c r="A215" s="199">
        <v>2018</v>
      </c>
      <c r="B215" s="110" t="s">
        <v>5850</v>
      </c>
      <c r="C215" s="110">
        <v>2016</v>
      </c>
      <c r="D215" s="110" t="str">
        <f t="shared" si="3"/>
        <v>2018_2016</v>
      </c>
      <c r="E215" s="1231">
        <v>8.2693302428121299E-3</v>
      </c>
      <c r="F215" s="1232">
        <v>2.9880088843737603E-2</v>
      </c>
      <c r="G215" s="1232">
        <v>1.0374760548303299</v>
      </c>
      <c r="H215" s="1232">
        <v>0.35309112288068645</v>
      </c>
      <c r="I215" s="1232">
        <v>2.0536144006380801E-2</v>
      </c>
      <c r="J215" s="1232">
        <v>1.2166332712167094E-4</v>
      </c>
      <c r="K215" s="1232">
        <v>3.0000008604094599E-3</v>
      </c>
      <c r="L215" s="1233">
        <v>2.7983730374273E-2</v>
      </c>
      <c r="M215" s="1234">
        <v>2.1464697310559999E-2</v>
      </c>
      <c r="N215" s="1235">
        <v>1.2716440290109503E-4</v>
      </c>
    </row>
    <row r="216" spans="1:14" ht="15.5" x14ac:dyDescent="0.35">
      <c r="A216" s="199">
        <v>2018</v>
      </c>
      <c r="B216" s="110" t="s">
        <v>5850</v>
      </c>
      <c r="C216" s="110">
        <v>2017</v>
      </c>
      <c r="D216" s="110" t="str">
        <f t="shared" si="3"/>
        <v>2018_2017</v>
      </c>
      <c r="E216" s="1231">
        <v>8.0841053913906606E-3</v>
      </c>
      <c r="F216" s="1232">
        <v>2.9880088843737631E-2</v>
      </c>
      <c r="G216" s="1232">
        <v>0.94305002217898803</v>
      </c>
      <c r="H216" s="1232">
        <v>0.35309112288068678</v>
      </c>
      <c r="I216" s="1232">
        <v>1.47306219567192E-2</v>
      </c>
      <c r="J216" s="1232">
        <v>1.2166332712167106E-4</v>
      </c>
      <c r="K216" s="1232">
        <v>3.0000008604094599E-3</v>
      </c>
      <c r="L216" s="1233">
        <v>2.7983730374273E-2</v>
      </c>
      <c r="M216" s="1234">
        <v>1.53966753154353E-2</v>
      </c>
      <c r="N216" s="1235">
        <v>1.2716440290109517E-4</v>
      </c>
    </row>
    <row r="217" spans="1:14" ht="15.5" x14ac:dyDescent="0.35">
      <c r="A217" s="199">
        <v>2018</v>
      </c>
      <c r="B217" s="110" t="s">
        <v>5850</v>
      </c>
      <c r="C217" s="110">
        <v>2018</v>
      </c>
      <c r="D217" s="110" t="str">
        <f t="shared" si="3"/>
        <v>2018_2018</v>
      </c>
      <c r="E217" s="1231">
        <v>7.7302481368330903E-3</v>
      </c>
      <c r="F217" s="1232">
        <v>2.9880088843737582E-2</v>
      </c>
      <c r="G217" s="1232">
        <v>0.81895543095721102</v>
      </c>
      <c r="H217" s="1232">
        <v>0.35309112288068623</v>
      </c>
      <c r="I217" s="1232">
        <v>1.2703049074127301E-2</v>
      </c>
      <c r="J217" s="1232">
        <v>1.2166332712167086E-4</v>
      </c>
      <c r="K217" s="1232">
        <v>3.0000008604094599E-3</v>
      </c>
      <c r="L217" s="1233">
        <v>2.7983730374273E-2</v>
      </c>
      <c r="M217" s="1234">
        <v>1.3277424584313999E-2</v>
      </c>
      <c r="N217" s="1235">
        <v>1.2716440290109495E-4</v>
      </c>
    </row>
    <row r="218" spans="1:14" ht="15.5" x14ac:dyDescent="0.35">
      <c r="A218" s="199">
        <v>2018</v>
      </c>
      <c r="B218" s="110" t="s">
        <v>5850</v>
      </c>
      <c r="C218" s="110">
        <v>2019</v>
      </c>
      <c r="D218" s="110" t="str">
        <f t="shared" si="3"/>
        <v>2018_2019</v>
      </c>
      <c r="E218" s="1231">
        <v>7.3763908824685401E-3</v>
      </c>
      <c r="F218" s="1232">
        <v>7.1712213214539522E-2</v>
      </c>
      <c r="G218" s="1232">
        <v>0.61139072392748195</v>
      </c>
      <c r="H218" s="1232">
        <v>0.84741869479038823</v>
      </c>
      <c r="I218" s="1232">
        <v>1.0675476192641401E-2</v>
      </c>
      <c r="J218" s="1232">
        <v>2.919919850495393E-4</v>
      </c>
      <c r="K218" s="1232">
        <v>3.0000008604094599E-3</v>
      </c>
      <c r="L218" s="1233">
        <v>2.7983730374273E-2</v>
      </c>
      <c r="M218" s="1234">
        <v>1.1158173854348599E-2</v>
      </c>
      <c r="N218" s="1235">
        <v>3.0519456691823675E-4</v>
      </c>
    </row>
    <row r="219" spans="1:14" ht="15.5" x14ac:dyDescent="0.35">
      <c r="A219" s="199">
        <v>2019</v>
      </c>
      <c r="B219" s="110" t="s">
        <v>5850</v>
      </c>
      <c r="C219" s="110">
        <v>1971</v>
      </c>
      <c r="D219" s="110" t="str">
        <f t="shared" si="3"/>
        <v>2019_1971</v>
      </c>
      <c r="E219" s="1226">
        <v>2.3357026912348702</v>
      </c>
      <c r="F219" s="1227">
        <v>0.71681163698597472</v>
      </c>
      <c r="G219" s="1227">
        <v>19.6555491063624</v>
      </c>
      <c r="H219" s="1227">
        <v>1.313432881586162</v>
      </c>
      <c r="I219" s="1227">
        <v>1.8006733712196901</v>
      </c>
      <c r="J219" s="1227">
        <v>0.13736312462693798</v>
      </c>
      <c r="K219" s="1227">
        <v>3.0000008603874198E-3</v>
      </c>
      <c r="L219" s="1228">
        <v>3.7470694055429299E-2</v>
      </c>
      <c r="M219" s="1229">
        <v>1.8820918306965</v>
      </c>
      <c r="N219" s="1230">
        <v>0.14357407558273005</v>
      </c>
    </row>
    <row r="220" spans="1:14" ht="15.5" x14ac:dyDescent="0.35">
      <c r="A220" s="199">
        <v>2019</v>
      </c>
      <c r="B220" s="110" t="s">
        <v>5850</v>
      </c>
      <c r="C220" s="110">
        <v>1972</v>
      </c>
      <c r="D220" s="110" t="str">
        <f t="shared" si="3"/>
        <v>2019_1972</v>
      </c>
      <c r="E220" s="1226">
        <v>2.3357026912348702</v>
      </c>
      <c r="F220" s="1227">
        <v>0.71681163698597472</v>
      </c>
      <c r="G220" s="1227">
        <v>19.6555491063624</v>
      </c>
      <c r="H220" s="1227">
        <v>1.313432881586162</v>
      </c>
      <c r="I220" s="1227">
        <v>1.8006733712196901</v>
      </c>
      <c r="J220" s="1227">
        <v>0.13736312462693798</v>
      </c>
      <c r="K220" s="1227">
        <v>3.0000008603874198E-3</v>
      </c>
      <c r="L220" s="1228">
        <v>3.7470694055429299E-2</v>
      </c>
      <c r="M220" s="1229">
        <v>1.8820918306965</v>
      </c>
      <c r="N220" s="1230">
        <v>0.14357407558273005</v>
      </c>
    </row>
    <row r="221" spans="1:14" ht="15.5" x14ac:dyDescent="0.35">
      <c r="A221" s="199">
        <v>2019</v>
      </c>
      <c r="B221" s="110" t="s">
        <v>5850</v>
      </c>
      <c r="C221" s="110">
        <v>1973</v>
      </c>
      <c r="D221" s="110" t="str">
        <f t="shared" si="3"/>
        <v>2019_1973</v>
      </c>
      <c r="E221" s="1226">
        <v>2.3357026912348702</v>
      </c>
      <c r="F221" s="1227">
        <v>0.71681163698597472</v>
      </c>
      <c r="G221" s="1227">
        <v>19.6555491063624</v>
      </c>
      <c r="H221" s="1227">
        <v>1.313432881586162</v>
      </c>
      <c r="I221" s="1227">
        <v>1.8006733712196901</v>
      </c>
      <c r="J221" s="1227">
        <v>0.13736312462693798</v>
      </c>
      <c r="K221" s="1227">
        <v>3.0000008603874198E-3</v>
      </c>
      <c r="L221" s="1228">
        <v>3.7470694055429299E-2</v>
      </c>
      <c r="M221" s="1229">
        <v>1.8820918306965</v>
      </c>
      <c r="N221" s="1230">
        <v>0.14357407558273005</v>
      </c>
    </row>
    <row r="222" spans="1:14" ht="15.5" x14ac:dyDescent="0.35">
      <c r="A222" s="199">
        <v>2019</v>
      </c>
      <c r="B222" s="110" t="s">
        <v>5850</v>
      </c>
      <c r="C222" s="110">
        <v>1974</v>
      </c>
      <c r="D222" s="110" t="str">
        <f t="shared" si="3"/>
        <v>2019_1974</v>
      </c>
      <c r="E222" s="1226">
        <v>2.3357026912348702</v>
      </c>
      <c r="F222" s="1227">
        <v>0.71681163698597472</v>
      </c>
      <c r="G222" s="1227">
        <v>19.6555491063624</v>
      </c>
      <c r="H222" s="1227">
        <v>1.313432881586162</v>
      </c>
      <c r="I222" s="1227">
        <v>1.8006733712196901</v>
      </c>
      <c r="J222" s="1227">
        <v>0.13736312462693798</v>
      </c>
      <c r="K222" s="1227">
        <v>3.0000008603874198E-3</v>
      </c>
      <c r="L222" s="1228">
        <v>3.7470694055429299E-2</v>
      </c>
      <c r="M222" s="1229">
        <v>1.8820918306965</v>
      </c>
      <c r="N222" s="1230">
        <v>0.14357407558273005</v>
      </c>
    </row>
    <row r="223" spans="1:14" ht="15.5" x14ac:dyDescent="0.35">
      <c r="A223" s="199">
        <v>2019</v>
      </c>
      <c r="B223" s="110" t="s">
        <v>5850</v>
      </c>
      <c r="C223" s="110">
        <v>1975</v>
      </c>
      <c r="D223" s="110" t="str">
        <f t="shared" si="3"/>
        <v>2019_1975</v>
      </c>
      <c r="E223" s="1226">
        <v>2.3357026912348702</v>
      </c>
      <c r="F223" s="1227">
        <v>0.71681163698597472</v>
      </c>
      <c r="G223" s="1227">
        <v>19.6555491063624</v>
      </c>
      <c r="H223" s="1227">
        <v>1.313432881586162</v>
      </c>
      <c r="I223" s="1227">
        <v>1.8006733712196901</v>
      </c>
      <c r="J223" s="1227">
        <v>0.13736312462693798</v>
      </c>
      <c r="K223" s="1227">
        <v>3.0000008603874198E-3</v>
      </c>
      <c r="L223" s="1228">
        <v>3.7470694055429299E-2</v>
      </c>
      <c r="M223" s="1229">
        <v>1.8820918306965</v>
      </c>
      <c r="N223" s="1230">
        <v>0.14357407558273005</v>
      </c>
    </row>
    <row r="224" spans="1:14" ht="15.5" x14ac:dyDescent="0.35">
      <c r="A224" s="199">
        <v>2019</v>
      </c>
      <c r="B224" s="110" t="s">
        <v>5850</v>
      </c>
      <c r="C224" s="110">
        <v>1976</v>
      </c>
      <c r="D224" s="110" t="str">
        <f t="shared" si="3"/>
        <v>2019_1976</v>
      </c>
      <c r="E224" s="1226">
        <v>2.3357026912348702</v>
      </c>
      <c r="F224" s="1227">
        <v>0.71681163698597472</v>
      </c>
      <c r="G224" s="1227">
        <v>19.6555491063624</v>
      </c>
      <c r="H224" s="1227">
        <v>1.313432881586162</v>
      </c>
      <c r="I224" s="1227">
        <v>1.8006733712196901</v>
      </c>
      <c r="J224" s="1227">
        <v>0.13736312462693798</v>
      </c>
      <c r="K224" s="1227">
        <v>3.0000008603874198E-3</v>
      </c>
      <c r="L224" s="1228">
        <v>3.7470694055429299E-2</v>
      </c>
      <c r="M224" s="1229">
        <v>1.8820918306965</v>
      </c>
      <c r="N224" s="1230">
        <v>0.14357407558273005</v>
      </c>
    </row>
    <row r="225" spans="1:14" ht="15.5" x14ac:dyDescent="0.35">
      <c r="A225" s="199">
        <v>2019</v>
      </c>
      <c r="B225" s="110" t="s">
        <v>5850</v>
      </c>
      <c r="C225" s="110">
        <v>1977</v>
      </c>
      <c r="D225" s="110" t="str">
        <f t="shared" si="3"/>
        <v>2019_1977</v>
      </c>
      <c r="E225" s="1226">
        <v>2.3357026912348702</v>
      </c>
      <c r="F225" s="1227">
        <v>0.71681163698597472</v>
      </c>
      <c r="G225" s="1227">
        <v>19.6555491063624</v>
      </c>
      <c r="H225" s="1227">
        <v>1.313432881586162</v>
      </c>
      <c r="I225" s="1227">
        <v>1.8006733712196901</v>
      </c>
      <c r="J225" s="1227">
        <v>0.13736312462693798</v>
      </c>
      <c r="K225" s="1227">
        <v>3.0000008603874198E-3</v>
      </c>
      <c r="L225" s="1228">
        <v>3.7470694055429299E-2</v>
      </c>
      <c r="M225" s="1229">
        <v>1.8820918306965</v>
      </c>
      <c r="N225" s="1230">
        <v>0.14357407558273005</v>
      </c>
    </row>
    <row r="226" spans="1:14" ht="15.5" x14ac:dyDescent="0.35">
      <c r="A226" s="199">
        <v>2019</v>
      </c>
      <c r="B226" s="110" t="s">
        <v>5850</v>
      </c>
      <c r="C226" s="110">
        <v>1978</v>
      </c>
      <c r="D226" s="110" t="str">
        <f t="shared" si="3"/>
        <v>2019_1978</v>
      </c>
      <c r="E226" s="1226">
        <v>2.3357026912348702</v>
      </c>
      <c r="F226" s="1227">
        <v>0.71681163698597472</v>
      </c>
      <c r="G226" s="1227">
        <v>19.6555491063624</v>
      </c>
      <c r="H226" s="1227">
        <v>1.313432881586162</v>
      </c>
      <c r="I226" s="1227">
        <v>1.8006733712196901</v>
      </c>
      <c r="J226" s="1227">
        <v>0.13736312462693798</v>
      </c>
      <c r="K226" s="1227">
        <v>3.0000008603874198E-3</v>
      </c>
      <c r="L226" s="1228">
        <v>3.7470694055429299E-2</v>
      </c>
      <c r="M226" s="1229">
        <v>1.8820918306965</v>
      </c>
      <c r="N226" s="1230">
        <v>0.14357407558273005</v>
      </c>
    </row>
    <row r="227" spans="1:14" ht="15.5" x14ac:dyDescent="0.35">
      <c r="A227" s="199">
        <v>2019</v>
      </c>
      <c r="B227" s="110" t="s">
        <v>5850</v>
      </c>
      <c r="C227" s="110">
        <v>1979</v>
      </c>
      <c r="D227" s="110" t="str">
        <f t="shared" si="3"/>
        <v>2019_1979</v>
      </c>
      <c r="E227" s="1226">
        <v>2.3357026912348702</v>
      </c>
      <c r="F227" s="1227">
        <v>0.71681163698597472</v>
      </c>
      <c r="G227" s="1227">
        <v>19.6555491063624</v>
      </c>
      <c r="H227" s="1227">
        <v>1.313432881586162</v>
      </c>
      <c r="I227" s="1227">
        <v>1.8006733712196901</v>
      </c>
      <c r="J227" s="1227">
        <v>0.13736312462693798</v>
      </c>
      <c r="K227" s="1227">
        <v>3.0000008603874198E-3</v>
      </c>
      <c r="L227" s="1228">
        <v>3.7470694055429299E-2</v>
      </c>
      <c r="M227" s="1229">
        <v>1.8820918306965</v>
      </c>
      <c r="N227" s="1230">
        <v>0.14357407558273005</v>
      </c>
    </row>
    <row r="228" spans="1:14" ht="15.5" x14ac:dyDescent="0.35">
      <c r="A228" s="199">
        <v>2019</v>
      </c>
      <c r="B228" s="110" t="s">
        <v>5850</v>
      </c>
      <c r="C228" s="110">
        <v>1980</v>
      </c>
      <c r="D228" s="110" t="str">
        <f t="shared" si="3"/>
        <v>2019_1980</v>
      </c>
      <c r="E228" s="1231">
        <v>2.3357026912348702</v>
      </c>
      <c r="F228" s="1232">
        <v>0.71681163698597472</v>
      </c>
      <c r="G228" s="1232">
        <v>19.6555491063624</v>
      </c>
      <c r="H228" s="1232">
        <v>1.313432881586162</v>
      </c>
      <c r="I228" s="1232">
        <v>1.8006733712196901</v>
      </c>
      <c r="J228" s="1232">
        <v>0.13736312462693798</v>
      </c>
      <c r="K228" s="1232">
        <v>3.0000008603874198E-3</v>
      </c>
      <c r="L228" s="1233">
        <v>3.7470694055429299E-2</v>
      </c>
      <c r="M228" s="1234">
        <v>1.8820918306965</v>
      </c>
      <c r="N228" s="1235">
        <v>0.14357407558273005</v>
      </c>
    </row>
    <row r="229" spans="1:14" ht="15.5" x14ac:dyDescent="0.35">
      <c r="A229" s="199">
        <v>2019</v>
      </c>
      <c r="B229" s="110" t="s">
        <v>5850</v>
      </c>
      <c r="C229" s="110">
        <v>1981</v>
      </c>
      <c r="D229" s="110" t="str">
        <f t="shared" si="3"/>
        <v>2019_1981</v>
      </c>
      <c r="E229" s="1229">
        <v>2.388965017744145</v>
      </c>
      <c r="F229" s="1227">
        <v>0.56829213291105074</v>
      </c>
      <c r="G229" s="1227">
        <v>19.734605817100451</v>
      </c>
      <c r="H229" s="1227">
        <v>1.6655098714180945</v>
      </c>
      <c r="I229" s="1227">
        <v>1.7801297789862249</v>
      </c>
      <c r="J229" s="1227">
        <v>0.10293778977168698</v>
      </c>
      <c r="K229" s="1227">
        <v>3.0000008603874198E-3</v>
      </c>
      <c r="L229" s="1236">
        <v>3.7470694056408849E-2</v>
      </c>
      <c r="M229" s="1226">
        <v>1.8606193483830751</v>
      </c>
      <c r="N229" s="1237">
        <v>0.10759217984548561</v>
      </c>
    </row>
    <row r="230" spans="1:14" ht="15.5" x14ac:dyDescent="0.35">
      <c r="A230" s="199">
        <v>2019</v>
      </c>
      <c r="B230" s="110" t="s">
        <v>5850</v>
      </c>
      <c r="C230" s="110">
        <v>1982</v>
      </c>
      <c r="D230" s="110" t="str">
        <f t="shared" si="3"/>
        <v>2019_1982</v>
      </c>
      <c r="E230" s="1229">
        <v>2.388965017744145</v>
      </c>
      <c r="F230" s="1227">
        <v>0.56829213291105074</v>
      </c>
      <c r="G230" s="1227">
        <v>19.734605817100451</v>
      </c>
      <c r="H230" s="1227">
        <v>1.6655098714180945</v>
      </c>
      <c r="I230" s="1227">
        <v>1.7801297789862249</v>
      </c>
      <c r="J230" s="1227">
        <v>0.10293778977168698</v>
      </c>
      <c r="K230" s="1227">
        <v>3.0000008603874198E-3</v>
      </c>
      <c r="L230" s="1236">
        <v>3.7470694056408849E-2</v>
      </c>
      <c r="M230" s="1226">
        <v>1.8606193483830751</v>
      </c>
      <c r="N230" s="1237">
        <v>0.10759217984548561</v>
      </c>
    </row>
    <row r="231" spans="1:14" ht="15.5" x14ac:dyDescent="0.35">
      <c r="A231" s="199">
        <v>2019</v>
      </c>
      <c r="B231" s="110" t="s">
        <v>5850</v>
      </c>
      <c r="C231" s="110">
        <v>1983</v>
      </c>
      <c r="D231" s="110" t="str">
        <f t="shared" si="3"/>
        <v>2019_1983</v>
      </c>
      <c r="E231" s="1229">
        <v>2.388965017744145</v>
      </c>
      <c r="F231" s="1227">
        <v>0.56829213291105074</v>
      </c>
      <c r="G231" s="1227">
        <v>19.734605817100451</v>
      </c>
      <c r="H231" s="1227">
        <v>1.6655098714180945</v>
      </c>
      <c r="I231" s="1227">
        <v>1.7801297789862249</v>
      </c>
      <c r="J231" s="1227">
        <v>0.10293778977168698</v>
      </c>
      <c r="K231" s="1227">
        <v>3.0000008603874198E-3</v>
      </c>
      <c r="L231" s="1236">
        <v>3.7470694056408849E-2</v>
      </c>
      <c r="M231" s="1226">
        <v>1.8606193483830751</v>
      </c>
      <c r="N231" s="1237">
        <v>0.10759217984548561</v>
      </c>
    </row>
    <row r="232" spans="1:14" ht="15.5" x14ac:dyDescent="0.35">
      <c r="A232" s="199">
        <v>2019</v>
      </c>
      <c r="B232" s="110" t="s">
        <v>5850</v>
      </c>
      <c r="C232" s="110">
        <v>1984</v>
      </c>
      <c r="D232" s="110" t="str">
        <f t="shared" si="3"/>
        <v>2019_1984</v>
      </c>
      <c r="E232" s="1229">
        <v>2.388965017744145</v>
      </c>
      <c r="F232" s="1227">
        <v>0.56829213291105074</v>
      </c>
      <c r="G232" s="1227">
        <v>19.734605817100451</v>
      </c>
      <c r="H232" s="1227">
        <v>1.6655098714180945</v>
      </c>
      <c r="I232" s="1227">
        <v>1.7801297789862249</v>
      </c>
      <c r="J232" s="1227">
        <v>0.10293778977168698</v>
      </c>
      <c r="K232" s="1227">
        <v>3.0000008603874198E-3</v>
      </c>
      <c r="L232" s="1236">
        <v>3.7470694056408849E-2</v>
      </c>
      <c r="M232" s="1226">
        <v>1.8606193483830751</v>
      </c>
      <c r="N232" s="1237">
        <v>0.10759217984548561</v>
      </c>
    </row>
    <row r="233" spans="1:14" ht="15.5" x14ac:dyDescent="0.35">
      <c r="A233" s="199">
        <v>2019</v>
      </c>
      <c r="B233" s="110" t="s">
        <v>5850</v>
      </c>
      <c r="C233" s="110">
        <v>1985</v>
      </c>
      <c r="D233" s="110" t="str">
        <f t="shared" si="3"/>
        <v>2019_1985</v>
      </c>
      <c r="E233" s="1229">
        <v>2.388965017744145</v>
      </c>
      <c r="F233" s="1227">
        <v>0.56829213291105074</v>
      </c>
      <c r="G233" s="1227">
        <v>19.734605817100451</v>
      </c>
      <c r="H233" s="1227">
        <v>1.6655098714180945</v>
      </c>
      <c r="I233" s="1227">
        <v>1.7801297789862249</v>
      </c>
      <c r="J233" s="1227">
        <v>0.10293778977168698</v>
      </c>
      <c r="K233" s="1227">
        <v>3.0000008603874198E-3</v>
      </c>
      <c r="L233" s="1236">
        <v>3.7470694056408849E-2</v>
      </c>
      <c r="M233" s="1226">
        <v>1.8606193483830751</v>
      </c>
      <c r="N233" s="1237">
        <v>0.10759217984548561</v>
      </c>
    </row>
    <row r="234" spans="1:14" ht="15.5" x14ac:dyDescent="0.35">
      <c r="A234" s="199">
        <v>2019</v>
      </c>
      <c r="B234" s="110" t="s">
        <v>5850</v>
      </c>
      <c r="C234" s="110">
        <v>1986</v>
      </c>
      <c r="D234" s="110" t="str">
        <f t="shared" si="3"/>
        <v>2019_1986</v>
      </c>
      <c r="E234" s="1229">
        <v>2.388965017744145</v>
      </c>
      <c r="F234" s="1227">
        <v>0.56829213291105074</v>
      </c>
      <c r="G234" s="1227">
        <v>19.734605817100451</v>
      </c>
      <c r="H234" s="1227">
        <v>1.6655098714180945</v>
      </c>
      <c r="I234" s="1227">
        <v>1.7801297789862249</v>
      </c>
      <c r="J234" s="1227">
        <v>0.10293778977168698</v>
      </c>
      <c r="K234" s="1227">
        <v>3.0000008603874198E-3</v>
      </c>
      <c r="L234" s="1236">
        <v>3.7470694056408849E-2</v>
      </c>
      <c r="M234" s="1226">
        <v>1.8606193483830751</v>
      </c>
      <c r="N234" s="1237">
        <v>0.10759217984548561</v>
      </c>
    </row>
    <row r="235" spans="1:14" ht="15.5" x14ac:dyDescent="0.35">
      <c r="A235" s="199">
        <v>2019</v>
      </c>
      <c r="B235" s="110" t="s">
        <v>5850</v>
      </c>
      <c r="C235" s="110">
        <v>1987</v>
      </c>
      <c r="D235" s="110" t="str">
        <f t="shared" si="3"/>
        <v>2019_1987</v>
      </c>
      <c r="E235" s="1229">
        <v>2.388965017744145</v>
      </c>
      <c r="F235" s="1227">
        <v>0.56829213291105074</v>
      </c>
      <c r="G235" s="1227">
        <v>19.734605817100451</v>
      </c>
      <c r="H235" s="1227">
        <v>1.6655098714180945</v>
      </c>
      <c r="I235" s="1227">
        <v>1.7801297789862249</v>
      </c>
      <c r="J235" s="1227">
        <v>0.10293778977168698</v>
      </c>
      <c r="K235" s="1227">
        <v>3.0000008603874198E-3</v>
      </c>
      <c r="L235" s="1236">
        <v>3.7470694056408849E-2</v>
      </c>
      <c r="M235" s="1226">
        <v>1.8606193483830751</v>
      </c>
      <c r="N235" s="1237">
        <v>0.10759217984548561</v>
      </c>
    </row>
    <row r="236" spans="1:14" ht="15.5" x14ac:dyDescent="0.35">
      <c r="A236" s="199">
        <v>2019</v>
      </c>
      <c r="B236" s="110" t="s">
        <v>5850</v>
      </c>
      <c r="C236" s="110">
        <v>1988</v>
      </c>
      <c r="D236" s="110" t="str">
        <f t="shared" si="3"/>
        <v>2019_1988</v>
      </c>
      <c r="E236" s="1229">
        <v>2.388965017744145</v>
      </c>
      <c r="F236" s="1227">
        <v>0.56829213291105074</v>
      </c>
      <c r="G236" s="1227">
        <v>19.734605817100451</v>
      </c>
      <c r="H236" s="1227">
        <v>1.6655098714180945</v>
      </c>
      <c r="I236" s="1227">
        <v>1.7801297789862249</v>
      </c>
      <c r="J236" s="1227">
        <v>0.10293778977168698</v>
      </c>
      <c r="K236" s="1227">
        <v>3.0000008603874198E-3</v>
      </c>
      <c r="L236" s="1236">
        <v>3.7470694056408849E-2</v>
      </c>
      <c r="M236" s="1226">
        <v>1.8606193483830751</v>
      </c>
      <c r="N236" s="1237">
        <v>0.10759217984548561</v>
      </c>
    </row>
    <row r="237" spans="1:14" ht="15.5" x14ac:dyDescent="0.35">
      <c r="A237" s="199">
        <v>2019</v>
      </c>
      <c r="B237" s="110" t="s">
        <v>5850</v>
      </c>
      <c r="C237" s="110">
        <v>1989</v>
      </c>
      <c r="D237" s="110" t="str">
        <f t="shared" si="3"/>
        <v>2019_1989</v>
      </c>
      <c r="E237" s="1229">
        <v>2.388965017744145</v>
      </c>
      <c r="F237" s="1227">
        <v>0.56829213291105074</v>
      </c>
      <c r="G237" s="1227">
        <v>19.734605817100451</v>
      </c>
      <c r="H237" s="1227">
        <v>1.6655098714180945</v>
      </c>
      <c r="I237" s="1227">
        <v>1.7801297789862249</v>
      </c>
      <c r="J237" s="1227">
        <v>0.10293778977168698</v>
      </c>
      <c r="K237" s="1227">
        <v>3.0000008603874198E-3</v>
      </c>
      <c r="L237" s="1236">
        <v>3.7470694056408849E-2</v>
      </c>
      <c r="M237" s="1226">
        <v>1.8606193483830751</v>
      </c>
      <c r="N237" s="1237">
        <v>0.10759217984548561</v>
      </c>
    </row>
    <row r="238" spans="1:14" ht="15.5" x14ac:dyDescent="0.35">
      <c r="A238" s="199">
        <v>2019</v>
      </c>
      <c r="B238" s="110" t="s">
        <v>5850</v>
      </c>
      <c r="C238" s="110">
        <v>1990</v>
      </c>
      <c r="D238" s="110" t="str">
        <f t="shared" si="3"/>
        <v>2019_1990</v>
      </c>
      <c r="E238" s="1231">
        <v>2.4422273442534199</v>
      </c>
      <c r="F238" s="1232">
        <v>0.41977262883612676</v>
      </c>
      <c r="G238" s="1232">
        <v>19.813662527838499</v>
      </c>
      <c r="H238" s="1232">
        <v>2.017586861250027</v>
      </c>
      <c r="I238" s="1232">
        <v>1.75958618675276</v>
      </c>
      <c r="J238" s="1232">
        <v>6.8512454916435983E-2</v>
      </c>
      <c r="K238" s="1232">
        <v>3.0000008603874198E-3</v>
      </c>
      <c r="L238" s="1233">
        <v>3.7470694057388398E-2</v>
      </c>
      <c r="M238" s="1234">
        <v>1.8391468660696499</v>
      </c>
      <c r="N238" s="1235">
        <v>7.1610284108241176E-2</v>
      </c>
    </row>
    <row r="239" spans="1:14" ht="15.5" x14ac:dyDescent="0.35">
      <c r="A239" s="199">
        <v>2019</v>
      </c>
      <c r="B239" s="110" t="s">
        <v>5850</v>
      </c>
      <c r="C239" s="110">
        <v>1991</v>
      </c>
      <c r="D239" s="110" t="str">
        <f t="shared" si="3"/>
        <v>2019_1991</v>
      </c>
      <c r="E239" s="1231">
        <v>1.57933066618075</v>
      </c>
      <c r="F239" s="1232">
        <v>0.33494283613434295</v>
      </c>
      <c r="G239" s="1232">
        <v>23.739360288648999</v>
      </c>
      <c r="H239" s="1232">
        <v>2.2552112785581118</v>
      </c>
      <c r="I239" s="1232">
        <v>0.75165748903102203</v>
      </c>
      <c r="J239" s="1232">
        <v>5.1235292493843947E-2</v>
      </c>
      <c r="K239" s="1232">
        <v>3.0000008603874198E-3</v>
      </c>
      <c r="L239" s="1233">
        <v>3.7470694055429299E-2</v>
      </c>
      <c r="M239" s="1234">
        <v>0.78564410525429595</v>
      </c>
      <c r="N239" s="1235">
        <v>5.3551925067172393E-2</v>
      </c>
    </row>
    <row r="240" spans="1:14" ht="15.5" x14ac:dyDescent="0.35">
      <c r="A240" s="199">
        <v>2019</v>
      </c>
      <c r="B240" s="110" t="s">
        <v>5850</v>
      </c>
      <c r="C240" s="110">
        <v>1992</v>
      </c>
      <c r="D240" s="110" t="str">
        <f t="shared" si="3"/>
        <v>2019_1992</v>
      </c>
      <c r="E240" s="1231">
        <v>1.57933066618075</v>
      </c>
      <c r="F240" s="1232">
        <v>0.33494283613434295</v>
      </c>
      <c r="G240" s="1232">
        <v>23.739360288648999</v>
      </c>
      <c r="H240" s="1232">
        <v>2.2552112785581118</v>
      </c>
      <c r="I240" s="1232">
        <v>0.75165748903102203</v>
      </c>
      <c r="J240" s="1232">
        <v>5.1235292493843947E-2</v>
      </c>
      <c r="K240" s="1232">
        <v>3.0000008603874198E-3</v>
      </c>
      <c r="L240" s="1233">
        <v>3.7470694055429299E-2</v>
      </c>
      <c r="M240" s="1234">
        <v>0.78564410525429595</v>
      </c>
      <c r="N240" s="1235">
        <v>5.3551925067172393E-2</v>
      </c>
    </row>
    <row r="241" spans="1:14" ht="15.5" x14ac:dyDescent="0.35">
      <c r="A241" s="199">
        <v>2019</v>
      </c>
      <c r="B241" s="110" t="s">
        <v>5850</v>
      </c>
      <c r="C241" s="110">
        <v>1993</v>
      </c>
      <c r="D241" s="110" t="str">
        <f t="shared" si="3"/>
        <v>2019_1993</v>
      </c>
      <c r="E241" s="1231">
        <v>1.4879883038536399</v>
      </c>
      <c r="F241" s="1232">
        <v>0.33494283613434273</v>
      </c>
      <c r="G241" s="1232">
        <v>22.000942967049401</v>
      </c>
      <c r="H241" s="1232">
        <v>2.2552112785581109</v>
      </c>
      <c r="I241" s="1232">
        <v>0.78174454397056703</v>
      </c>
      <c r="J241" s="1232">
        <v>5.1235292493843919E-2</v>
      </c>
      <c r="K241" s="1232">
        <v>3.0000008603874198E-3</v>
      </c>
      <c r="L241" s="1233">
        <v>3.7470694053109301E-2</v>
      </c>
      <c r="M241" s="1234">
        <v>0.817091563308879</v>
      </c>
      <c r="N241" s="1235">
        <v>5.3551925067172365E-2</v>
      </c>
    </row>
    <row r="242" spans="1:14" ht="15.5" x14ac:dyDescent="0.35">
      <c r="A242" s="199">
        <v>2019</v>
      </c>
      <c r="B242" s="110" t="s">
        <v>5850</v>
      </c>
      <c r="C242" s="110">
        <v>1994</v>
      </c>
      <c r="D242" s="110" t="str">
        <f t="shared" si="3"/>
        <v>2019_1994</v>
      </c>
      <c r="E242" s="1231">
        <v>1.4004847736374599</v>
      </c>
      <c r="F242" s="1232">
        <v>0.26807175596712607</v>
      </c>
      <c r="G242" s="1232">
        <v>19.443791518268601</v>
      </c>
      <c r="H242" s="1232">
        <v>2.4512530496402425</v>
      </c>
      <c r="I242" s="1232">
        <v>0.57078227073797005</v>
      </c>
      <c r="J242" s="1232">
        <v>3.8501309524389279E-2</v>
      </c>
      <c r="K242" s="1232">
        <v>3.0000008603874198E-3</v>
      </c>
      <c r="L242" s="1233">
        <v>3.7470694053494603E-2</v>
      </c>
      <c r="M242" s="1234">
        <v>0.59659051221192705</v>
      </c>
      <c r="N242" s="1235">
        <v>4.0242167894051488E-2</v>
      </c>
    </row>
    <row r="243" spans="1:14" ht="15.5" x14ac:dyDescent="0.35">
      <c r="A243" s="199">
        <v>2019</v>
      </c>
      <c r="B243" s="110" t="s">
        <v>5850</v>
      </c>
      <c r="C243" s="110">
        <v>1995</v>
      </c>
      <c r="D243" s="110" t="str">
        <f t="shared" si="3"/>
        <v>2019_1995</v>
      </c>
      <c r="E243" s="1231">
        <v>1.4004847739155499</v>
      </c>
      <c r="F243" s="1232">
        <v>0.26807175596712723</v>
      </c>
      <c r="G243" s="1232">
        <v>19.4437915183453</v>
      </c>
      <c r="H243" s="1232">
        <v>2.4512530496402412</v>
      </c>
      <c r="I243" s="1232">
        <v>0.57078227074546795</v>
      </c>
      <c r="J243" s="1232">
        <v>3.8501309524389397E-2</v>
      </c>
      <c r="K243" s="1232">
        <v>3.0000008603874198E-3</v>
      </c>
      <c r="L243" s="1233">
        <v>3.7470694053467597E-2</v>
      </c>
      <c r="M243" s="1234">
        <v>0.596590512219764</v>
      </c>
      <c r="N243" s="1235">
        <v>4.0242167894051474E-2</v>
      </c>
    </row>
    <row r="244" spans="1:14" ht="15.5" x14ac:dyDescent="0.35">
      <c r="A244" s="199">
        <v>2019</v>
      </c>
      <c r="B244" s="110" t="s">
        <v>5850</v>
      </c>
      <c r="C244" s="110">
        <v>1996</v>
      </c>
      <c r="D244" s="110" t="str">
        <f t="shared" si="3"/>
        <v>2019_1996</v>
      </c>
      <c r="E244" s="1231">
        <v>1.2100632770343001</v>
      </c>
      <c r="F244" s="1232">
        <v>0.23389260708131746</v>
      </c>
      <c r="G244" s="1232">
        <v>19.193195291840802</v>
      </c>
      <c r="H244" s="1232">
        <v>2.4512530496402425</v>
      </c>
      <c r="I244" s="1232">
        <v>0.50058949616599702</v>
      </c>
      <c r="J244" s="1232">
        <v>3.3592392560029757E-2</v>
      </c>
      <c r="K244" s="1232">
        <v>3.0000008603874198E-3</v>
      </c>
      <c r="L244" s="1233">
        <v>3.7470694053494603E-2</v>
      </c>
      <c r="M244" s="1234">
        <v>0.52322393184963301</v>
      </c>
      <c r="N244" s="1235">
        <v>3.511129148755994E-2</v>
      </c>
    </row>
    <row r="245" spans="1:14" ht="15.5" x14ac:dyDescent="0.35">
      <c r="A245" s="199">
        <v>2019</v>
      </c>
      <c r="B245" s="110" t="s">
        <v>5850</v>
      </c>
      <c r="C245" s="110">
        <v>1997</v>
      </c>
      <c r="D245" s="110" t="str">
        <f t="shared" si="3"/>
        <v>2019_1997</v>
      </c>
      <c r="E245" s="1231">
        <v>1.2100632770328399</v>
      </c>
      <c r="F245" s="1232">
        <v>0.23389260708131851</v>
      </c>
      <c r="G245" s="1232">
        <v>19.193195291885701</v>
      </c>
      <c r="H245" s="1232">
        <v>2.4512530496402531</v>
      </c>
      <c r="I245" s="1232">
        <v>0.50058949616753901</v>
      </c>
      <c r="J245" s="1232">
        <v>3.3592392560029778E-2</v>
      </c>
      <c r="K245" s="1232">
        <v>3.0000008603874198E-3</v>
      </c>
      <c r="L245" s="1233">
        <v>3.74706940531086E-2</v>
      </c>
      <c r="M245" s="1234">
        <v>0.52322393185124505</v>
      </c>
      <c r="N245" s="1235">
        <v>3.5111291487560092E-2</v>
      </c>
    </row>
    <row r="246" spans="1:14" ht="15.5" x14ac:dyDescent="0.35">
      <c r="A246" s="199">
        <v>2019</v>
      </c>
      <c r="B246" s="110" t="s">
        <v>5850</v>
      </c>
      <c r="C246" s="110">
        <v>1998</v>
      </c>
      <c r="D246" s="110" t="str">
        <f t="shared" si="3"/>
        <v>2019_1998</v>
      </c>
      <c r="E246" s="1231">
        <v>1.2074843432071201</v>
      </c>
      <c r="F246" s="1232">
        <v>0.17838262437043592</v>
      </c>
      <c r="G246" s="1232">
        <v>19.354523268294098</v>
      </c>
      <c r="H246" s="1232">
        <v>2.6379042007676565</v>
      </c>
      <c r="I246" s="1232">
        <v>0.49102297444649001</v>
      </c>
      <c r="J246" s="1232">
        <v>2.3746763734841345E-2</v>
      </c>
      <c r="K246" s="1232">
        <v>3.0000008603874198E-3</v>
      </c>
      <c r="L246" s="1233">
        <v>3.7470694053291002E-2</v>
      </c>
      <c r="M246" s="1234">
        <v>0.51322485446878097</v>
      </c>
      <c r="N246" s="1235">
        <v>2.4820487016227511E-2</v>
      </c>
    </row>
    <row r="247" spans="1:14" ht="15.5" x14ac:dyDescent="0.35">
      <c r="A247" s="199">
        <v>2019</v>
      </c>
      <c r="B247" s="110" t="s">
        <v>5850</v>
      </c>
      <c r="C247" s="110">
        <v>1999</v>
      </c>
      <c r="D247" s="110" t="str">
        <f t="shared" si="3"/>
        <v>2019_1999</v>
      </c>
      <c r="E247" s="1231">
        <v>1.4323381778733899</v>
      </c>
      <c r="F247" s="1232">
        <v>0.17838262437043576</v>
      </c>
      <c r="G247" s="1232">
        <v>24.155872809649502</v>
      </c>
      <c r="H247" s="1232">
        <v>2.6379042007676543</v>
      </c>
      <c r="I247" s="1232">
        <v>0.442903151234112</v>
      </c>
      <c r="J247" s="1232">
        <v>2.3746763734841327E-2</v>
      </c>
      <c r="K247" s="1232">
        <v>3.0000008603874198E-3</v>
      </c>
      <c r="L247" s="1233">
        <v>3.7470694053157498E-2</v>
      </c>
      <c r="M247" s="1234">
        <v>0.46292926637929299</v>
      </c>
      <c r="N247" s="1235">
        <v>2.4820487016227494E-2</v>
      </c>
    </row>
    <row r="248" spans="1:14" ht="15.5" x14ac:dyDescent="0.35">
      <c r="A248" s="198">
        <v>2019</v>
      </c>
      <c r="B248" s="197" t="s">
        <v>5850</v>
      </c>
      <c r="C248" s="197">
        <v>2000</v>
      </c>
      <c r="D248" s="110" t="str">
        <f t="shared" si="3"/>
        <v>2019_2000</v>
      </c>
      <c r="E248" s="1231">
        <v>1.4323381778676101</v>
      </c>
      <c r="F248" s="1232">
        <v>0.17838262437043598</v>
      </c>
      <c r="G248" s="1232">
        <v>24.155872809670001</v>
      </c>
      <c r="H248" s="1232">
        <v>2.6379042007676574</v>
      </c>
      <c r="I248" s="1232">
        <v>0.44290315123309498</v>
      </c>
      <c r="J248" s="1232">
        <v>2.3746763734841355E-2</v>
      </c>
      <c r="K248" s="1232">
        <v>3.0000008603874198E-3</v>
      </c>
      <c r="L248" s="1233">
        <v>3.7470694052942899E-2</v>
      </c>
      <c r="M248" s="1234">
        <v>0.46292926637823001</v>
      </c>
      <c r="N248" s="1235">
        <v>2.4820487016227525E-2</v>
      </c>
    </row>
    <row r="249" spans="1:14" ht="15.5" x14ac:dyDescent="0.35">
      <c r="A249" s="198">
        <v>2019</v>
      </c>
      <c r="B249" s="197" t="s">
        <v>5850</v>
      </c>
      <c r="C249" s="197">
        <v>2001</v>
      </c>
      <c r="D249" s="110" t="str">
        <f t="shared" ref="D249:D412" si="4">CONCATENATE(A249,"_",C249)</f>
        <v>2019_2001</v>
      </c>
      <c r="E249" s="1231">
        <v>1.43233817786609</v>
      </c>
      <c r="F249" s="1232">
        <v>0.17838262437043606</v>
      </c>
      <c r="G249" s="1232">
        <v>24.1558728096762</v>
      </c>
      <c r="H249" s="1232">
        <v>2.6379042007676587</v>
      </c>
      <c r="I249" s="1232">
        <v>0.44290315123284602</v>
      </c>
      <c r="J249" s="1232">
        <v>2.3746763734841369E-2</v>
      </c>
      <c r="K249" s="1232">
        <v>3.0000008603874198E-3</v>
      </c>
      <c r="L249" s="1233">
        <v>3.74706940528804E-2</v>
      </c>
      <c r="M249" s="1234">
        <v>0.462929266377969</v>
      </c>
      <c r="N249" s="1235">
        <v>2.4820487016227535E-2</v>
      </c>
    </row>
    <row r="250" spans="1:14" ht="15.5" x14ac:dyDescent="0.35">
      <c r="A250" s="199">
        <v>2019</v>
      </c>
      <c r="B250" s="110" t="s">
        <v>5850</v>
      </c>
      <c r="C250" s="110">
        <v>2002</v>
      </c>
      <c r="D250" s="110" t="str">
        <f t="shared" si="4"/>
        <v>2019_2002</v>
      </c>
      <c r="E250" s="1231">
        <v>1.4323381778722499</v>
      </c>
      <c r="F250" s="1232">
        <v>0.17838262437043617</v>
      </c>
      <c r="G250" s="1232">
        <v>24.1558728096979</v>
      </c>
      <c r="H250" s="1232">
        <v>2.6379042007676601</v>
      </c>
      <c r="I250" s="1232">
        <v>0.44290315123479101</v>
      </c>
      <c r="J250" s="1232">
        <v>2.3746763734841383E-2</v>
      </c>
      <c r="K250" s="1232">
        <v>3.0000008603874198E-3</v>
      </c>
      <c r="L250" s="1233">
        <v>3.7470694052681899E-2</v>
      </c>
      <c r="M250" s="1234">
        <v>0.46292926638000198</v>
      </c>
      <c r="N250" s="1235">
        <v>2.4820487016227553E-2</v>
      </c>
    </row>
    <row r="251" spans="1:14" ht="15.5" x14ac:dyDescent="0.35">
      <c r="A251" s="199">
        <v>2019</v>
      </c>
      <c r="B251" s="110" t="s">
        <v>5850</v>
      </c>
      <c r="C251" s="110">
        <v>2003</v>
      </c>
      <c r="D251" s="110" t="str">
        <f t="shared" si="4"/>
        <v>2019_2003</v>
      </c>
      <c r="E251" s="1231">
        <v>0.93762694155054804</v>
      </c>
      <c r="F251" s="1232">
        <v>0.14627975199066803</v>
      </c>
      <c r="G251" s="1232">
        <v>13.556582291743799</v>
      </c>
      <c r="H251" s="1232">
        <v>2.7351386125217996</v>
      </c>
      <c r="I251" s="1232">
        <v>0.58921386540756404</v>
      </c>
      <c r="J251" s="1232">
        <v>1.8373674404897518E-2</v>
      </c>
      <c r="K251" s="1232">
        <v>3.0000008603874198E-3</v>
      </c>
      <c r="L251" s="1233">
        <v>3.7470694052956603E-2</v>
      </c>
      <c r="M251" s="1234">
        <v>0.61585550180349002</v>
      </c>
      <c r="N251" s="1235">
        <v>1.9204450429514325E-2</v>
      </c>
    </row>
    <row r="252" spans="1:14" ht="15.5" x14ac:dyDescent="0.35">
      <c r="A252" s="199">
        <v>2019</v>
      </c>
      <c r="B252" s="110" t="s">
        <v>5850</v>
      </c>
      <c r="C252" s="110">
        <v>2004</v>
      </c>
      <c r="D252" s="110" t="str">
        <f t="shared" si="4"/>
        <v>2019_2004</v>
      </c>
      <c r="E252" s="1231">
        <v>0.91653200566529702</v>
      </c>
      <c r="F252" s="1232">
        <v>0.14627975199066798</v>
      </c>
      <c r="G252" s="1232">
        <v>11.532021403414101</v>
      </c>
      <c r="H252" s="1232">
        <v>2.7351386125217982</v>
      </c>
      <c r="I252" s="1232">
        <v>0.69683429510018702</v>
      </c>
      <c r="J252" s="1232">
        <v>1.8373674404897511E-2</v>
      </c>
      <c r="K252" s="1232">
        <v>3.0000008603874198E-3</v>
      </c>
      <c r="L252" s="1233">
        <v>3.7470694053109301E-2</v>
      </c>
      <c r="M252" s="1234">
        <v>0.72834204976822903</v>
      </c>
      <c r="N252" s="1235">
        <v>1.9204450429514318E-2</v>
      </c>
    </row>
    <row r="253" spans="1:14" ht="15.5" x14ac:dyDescent="0.35">
      <c r="A253" s="199">
        <v>2019</v>
      </c>
      <c r="B253" s="110" t="s">
        <v>5850</v>
      </c>
      <c r="C253" s="110">
        <v>2005</v>
      </c>
      <c r="D253" s="110" t="str">
        <f t="shared" si="4"/>
        <v>2019_2005</v>
      </c>
      <c r="E253" s="1231">
        <v>0.89339862554509397</v>
      </c>
      <c r="F253" s="1232">
        <v>0.13165177679160223</v>
      </c>
      <c r="G253" s="1232">
        <v>11.439276636664999</v>
      </c>
      <c r="H253" s="1232">
        <v>2.4616247512696154</v>
      </c>
      <c r="I253" s="1232">
        <v>0.68466268596059698</v>
      </c>
      <c r="J253" s="1232">
        <v>1.6536306964407738E-2</v>
      </c>
      <c r="K253" s="1232">
        <v>3.0000008603874198E-3</v>
      </c>
      <c r="L253" s="1233">
        <v>3.7470694052650098E-2</v>
      </c>
      <c r="M253" s="1234">
        <v>0.71562009447406205</v>
      </c>
      <c r="N253" s="1235">
        <v>1.7284005386562985E-2</v>
      </c>
    </row>
    <row r="254" spans="1:14" ht="15.5" x14ac:dyDescent="0.35">
      <c r="A254" s="199">
        <v>2019</v>
      </c>
      <c r="B254" s="110" t="s">
        <v>5850</v>
      </c>
      <c r="C254" s="110">
        <v>2006</v>
      </c>
      <c r="D254" s="110" t="str">
        <f t="shared" si="4"/>
        <v>2019_2006</v>
      </c>
      <c r="E254" s="1231">
        <v>0.86573306780231596</v>
      </c>
      <c r="F254" s="1232">
        <v>0.11848659911244093</v>
      </c>
      <c r="G254" s="1232">
        <v>11.343628703501601</v>
      </c>
      <c r="H254" s="1232">
        <v>2.2154622761426541</v>
      </c>
      <c r="I254" s="1232">
        <v>0.66968032383528797</v>
      </c>
      <c r="J254" s="1232">
        <v>1.4882676267966966E-2</v>
      </c>
      <c r="K254" s="1232">
        <v>3.0000008603874198E-3</v>
      </c>
      <c r="L254" s="1233">
        <v>3.7470694052438698E-2</v>
      </c>
      <c r="M254" s="1234">
        <v>0.69996029641669399</v>
      </c>
      <c r="N254" s="1235">
        <v>1.5555604847906577E-2</v>
      </c>
    </row>
    <row r="255" spans="1:14" ht="15.5" x14ac:dyDescent="0.35">
      <c r="A255" s="199">
        <v>2019</v>
      </c>
      <c r="B255" s="110" t="s">
        <v>5850</v>
      </c>
      <c r="C255" s="110">
        <v>2007</v>
      </c>
      <c r="D255" s="110" t="str">
        <f t="shared" si="4"/>
        <v>2019_2007</v>
      </c>
      <c r="E255" s="1231">
        <v>0.614490037446347</v>
      </c>
      <c r="F255" s="1232">
        <v>8.8902586786398591E-2</v>
      </c>
      <c r="G255" s="1232">
        <v>10.3556639425569</v>
      </c>
      <c r="H255" s="1232">
        <v>1.9939160485283935</v>
      </c>
      <c r="I255" s="1232">
        <v>0.47323914858993699</v>
      </c>
      <c r="J255" s="1232">
        <v>1.1324146083264595E-2</v>
      </c>
      <c r="K255" s="1232">
        <v>3.0000008603874198E-3</v>
      </c>
      <c r="L255" s="1233">
        <v>3.7470694052937202E-2</v>
      </c>
      <c r="M255" s="1234">
        <v>0.49463692292155398</v>
      </c>
      <c r="N255" s="1235">
        <v>1.1836173718995851E-2</v>
      </c>
    </row>
    <row r="256" spans="1:14" ht="15.5" x14ac:dyDescent="0.35">
      <c r="A256" s="199">
        <v>2019</v>
      </c>
      <c r="B256" s="110" t="s">
        <v>5850</v>
      </c>
      <c r="C256" s="110">
        <v>2008</v>
      </c>
      <c r="D256" s="110" t="str">
        <f t="shared" si="4"/>
        <v>2019_2008</v>
      </c>
      <c r="E256" s="1231">
        <v>0.21651175030358999</v>
      </c>
      <c r="F256" s="1232">
        <v>3.629462535030583E-2</v>
      </c>
      <c r="G256" s="1232">
        <v>8.1905749037934701</v>
      </c>
      <c r="H256" s="1232">
        <v>1.3795690886680143</v>
      </c>
      <c r="I256" s="1232">
        <v>4.5388915014460303E-2</v>
      </c>
      <c r="J256" s="1232">
        <v>5.6325463853652846E-4</v>
      </c>
      <c r="K256" s="1232">
        <v>3.0000008603874198E-3</v>
      </c>
      <c r="L256" s="1233">
        <v>3.7470694053157401E-2</v>
      </c>
      <c r="M256" s="1234">
        <v>4.7441200341086801E-2</v>
      </c>
      <c r="N256" s="1235">
        <v>5.8872251388570934E-4</v>
      </c>
    </row>
    <row r="257" spans="1:14" ht="15.5" x14ac:dyDescent="0.35">
      <c r="A257" s="199">
        <v>2019</v>
      </c>
      <c r="B257" s="110" t="s">
        <v>5850</v>
      </c>
      <c r="C257" s="110">
        <v>2009</v>
      </c>
      <c r="D257" s="110" t="str">
        <f t="shared" si="4"/>
        <v>2019_2009</v>
      </c>
      <c r="E257" s="1231">
        <v>0.196999865063539</v>
      </c>
      <c r="F257" s="1232">
        <v>3.0774615997441725E-2</v>
      </c>
      <c r="G257" s="1232">
        <v>7.9923555882772304</v>
      </c>
      <c r="H257" s="1232">
        <v>0.61751270925630042</v>
      </c>
      <c r="I257" s="1232">
        <v>3.4093332285051799E-2</v>
      </c>
      <c r="J257" s="1232">
        <v>1.2759823388693207E-4</v>
      </c>
      <c r="K257" s="1232">
        <v>3.0000008603874198E-3</v>
      </c>
      <c r="L257" s="1233">
        <v>3.7470694053584101E-2</v>
      </c>
      <c r="M257" s="1234">
        <v>3.5634881484060403E-2</v>
      </c>
      <c r="N257" s="1235">
        <v>1.3336765981452185E-4</v>
      </c>
    </row>
    <row r="258" spans="1:14" ht="15.5" x14ac:dyDescent="0.35">
      <c r="A258" s="199">
        <v>2019</v>
      </c>
      <c r="B258" s="110" t="s">
        <v>5850</v>
      </c>
      <c r="C258" s="110">
        <v>2010</v>
      </c>
      <c r="D258" s="110" t="str">
        <f t="shared" si="4"/>
        <v>2019_2010</v>
      </c>
      <c r="E258" s="1231">
        <v>0.20610832009685401</v>
      </c>
      <c r="F258" s="1232">
        <v>2.7771206912983255E-2</v>
      </c>
      <c r="G258" s="1232">
        <v>7.1566240616000298</v>
      </c>
      <c r="H258" s="1232">
        <v>0.49862934554520422</v>
      </c>
      <c r="I258" s="1232">
        <v>4.9436217799770699E-2</v>
      </c>
      <c r="J258" s="1232">
        <v>1.148384104982389E-4</v>
      </c>
      <c r="K258" s="1232">
        <v>3.0000008603874198E-3</v>
      </c>
      <c r="L258" s="1233">
        <v>2.78962274139485E-2</v>
      </c>
      <c r="M258" s="1234">
        <v>5.1671504198708799E-2</v>
      </c>
      <c r="N258" s="1235">
        <v>1.2003089383306971E-4</v>
      </c>
    </row>
    <row r="259" spans="1:14" ht="15.5" x14ac:dyDescent="0.35">
      <c r="A259" s="198">
        <v>2019</v>
      </c>
      <c r="B259" s="197" t="s">
        <v>5850</v>
      </c>
      <c r="C259" s="197">
        <v>2011</v>
      </c>
      <c r="D259" s="110" t="str">
        <f t="shared" si="4"/>
        <v>2019_2011</v>
      </c>
      <c r="E259" s="1231">
        <v>9.8091043270023701E-2</v>
      </c>
      <c r="F259" s="1232">
        <v>2.5298736008166487E-2</v>
      </c>
      <c r="G259" s="1232">
        <v>4.1239386083536198</v>
      </c>
      <c r="H259" s="1232">
        <v>0.3397547327824863</v>
      </c>
      <c r="I259" s="1232">
        <v>4.8993714255723901E-2</v>
      </c>
      <c r="J259" s="1232">
        <v>1.0335456944841549E-4</v>
      </c>
      <c r="K259" s="1232">
        <v>3.0000008603874198E-3</v>
      </c>
      <c r="L259" s="1233">
        <v>2.7896227414031301E-2</v>
      </c>
      <c r="M259" s="1234">
        <v>5.1208992607980598E-2</v>
      </c>
      <c r="N259" s="1235">
        <v>1.0802780444976386E-4</v>
      </c>
    </row>
    <row r="260" spans="1:14" ht="15.5" x14ac:dyDescent="0.35">
      <c r="A260" s="198">
        <v>2019</v>
      </c>
      <c r="B260" s="197" t="s">
        <v>5850</v>
      </c>
      <c r="C260" s="197">
        <v>2012</v>
      </c>
      <c r="D260" s="110" t="str">
        <f t="shared" si="4"/>
        <v>2019_2012</v>
      </c>
      <c r="E260" s="1231">
        <v>1.9452242524453999E-2</v>
      </c>
      <c r="F260" s="1232">
        <v>2.5383521810450185E-2</v>
      </c>
      <c r="G260" s="1232">
        <v>3.2424113225511402</v>
      </c>
      <c r="H260" s="1232">
        <v>0.29995547421528829</v>
      </c>
      <c r="I260" s="1232">
        <v>2.5583615098120301E-2</v>
      </c>
      <c r="J260" s="1232">
        <v>1.0335456944841466E-4</v>
      </c>
      <c r="K260" s="1232">
        <v>3.0000008603874198E-3</v>
      </c>
      <c r="L260" s="1233">
        <v>2.7896227414201499E-2</v>
      </c>
      <c r="M260" s="1234">
        <v>2.6740392647246699E-2</v>
      </c>
      <c r="N260" s="1235">
        <v>1.0802780444976299E-4</v>
      </c>
    </row>
    <row r="261" spans="1:14" ht="15.5" x14ac:dyDescent="0.35">
      <c r="A261" s="198">
        <v>2019</v>
      </c>
      <c r="B261" s="197" t="s">
        <v>5850</v>
      </c>
      <c r="C261" s="197">
        <v>2013</v>
      </c>
      <c r="D261" s="110" t="str">
        <f t="shared" si="4"/>
        <v>2019_2013</v>
      </c>
      <c r="E261" s="1231">
        <v>1.8421596828057E-2</v>
      </c>
      <c r="F261" s="1232">
        <v>2.538352181045023E-2</v>
      </c>
      <c r="G261" s="1232">
        <v>2.8826231274100702</v>
      </c>
      <c r="H261" s="1232">
        <v>0.2999554742152889</v>
      </c>
      <c r="I261" s="1232">
        <v>2.2901644706975199E-2</v>
      </c>
      <c r="J261" s="1232">
        <v>1.0335456944841485E-4</v>
      </c>
      <c r="K261" s="1232">
        <v>3.0000008603874198E-3</v>
      </c>
      <c r="L261" s="1233">
        <v>2.7896227414299899E-2</v>
      </c>
      <c r="M261" s="1234">
        <v>2.3937155456081299E-2</v>
      </c>
      <c r="N261" s="1235">
        <v>1.0802780444976318E-4</v>
      </c>
    </row>
    <row r="262" spans="1:14" ht="15.5" x14ac:dyDescent="0.35">
      <c r="A262" s="198">
        <v>2019</v>
      </c>
      <c r="B262" s="197" t="s">
        <v>5850</v>
      </c>
      <c r="C262" s="197">
        <v>2014</v>
      </c>
      <c r="D262" s="110" t="str">
        <f t="shared" si="4"/>
        <v>2019_2014</v>
      </c>
      <c r="E262" s="1231">
        <v>9.3007149922745506E-3</v>
      </c>
      <c r="F262" s="1232">
        <v>2.5383521810450217E-2</v>
      </c>
      <c r="G262" s="1232">
        <v>1.2375681389562501</v>
      </c>
      <c r="H262" s="1232">
        <v>0.29995547421528873</v>
      </c>
      <c r="I262" s="1232">
        <v>2.5689770446960102E-2</v>
      </c>
      <c r="J262" s="1232">
        <v>1.033545694484148E-4</v>
      </c>
      <c r="K262" s="1232">
        <v>3.0000008603874198E-3</v>
      </c>
      <c r="L262" s="1233">
        <v>2.7896227414135E-2</v>
      </c>
      <c r="M262" s="1234">
        <v>2.6851347869903602E-2</v>
      </c>
      <c r="N262" s="1235">
        <v>1.0802780444976251E-4</v>
      </c>
    </row>
    <row r="263" spans="1:14" ht="15.5" x14ac:dyDescent="0.35">
      <c r="A263" s="198">
        <v>2019</v>
      </c>
      <c r="B263" s="197" t="s">
        <v>5850</v>
      </c>
      <c r="C263" s="197">
        <v>2015</v>
      </c>
      <c r="D263" s="110" t="str">
        <f t="shared" si="4"/>
        <v>2019_2015</v>
      </c>
      <c r="E263" s="1231">
        <v>8.9542630015687005E-3</v>
      </c>
      <c r="F263" s="1232">
        <v>2.5383521810450276E-2</v>
      </c>
      <c r="G263" s="1232">
        <v>1.1777848481854001</v>
      </c>
      <c r="H263" s="1232">
        <v>0.29995547421528945</v>
      </c>
      <c r="I263" s="1232">
        <v>2.35671110234047E-2</v>
      </c>
      <c r="J263" s="1232">
        <v>1.0335456944841504E-4</v>
      </c>
      <c r="K263" s="1232">
        <v>3.0000008603874198E-3</v>
      </c>
      <c r="L263" s="1233">
        <v>2.7896227414183301E-2</v>
      </c>
      <c r="M263" s="1234">
        <v>2.4632711206376699E-2</v>
      </c>
      <c r="N263" s="1235">
        <v>1.080278044497634E-4</v>
      </c>
    </row>
    <row r="264" spans="1:14" ht="15.5" x14ac:dyDescent="0.35">
      <c r="A264" s="198">
        <v>2019</v>
      </c>
      <c r="B264" s="197" t="s">
        <v>5850</v>
      </c>
      <c r="C264" s="197">
        <v>2016</v>
      </c>
      <c r="D264" s="110" t="str">
        <f t="shared" si="4"/>
        <v>2019_2016</v>
      </c>
      <c r="E264" s="1231">
        <v>8.6078110108448493E-3</v>
      </c>
      <c r="F264" s="1232">
        <v>2.5383521810450269E-2</v>
      </c>
      <c r="G264" s="1232">
        <v>1.1105155136420599</v>
      </c>
      <c r="H264" s="1232">
        <v>0.29995547421528929</v>
      </c>
      <c r="I264" s="1232">
        <v>2.1444451599940101E-2</v>
      </c>
      <c r="J264" s="1232">
        <v>1.03354569448415E-4</v>
      </c>
      <c r="K264" s="1232">
        <v>3.0000008603874198E-3</v>
      </c>
      <c r="L264" s="1233">
        <v>2.78962274141786E-2</v>
      </c>
      <c r="M264" s="1234">
        <v>2.2414074542944799E-2</v>
      </c>
      <c r="N264" s="1235">
        <v>1.0802780444976272E-4</v>
      </c>
    </row>
    <row r="265" spans="1:14" ht="15.5" x14ac:dyDescent="0.35">
      <c r="A265" s="198">
        <v>2019</v>
      </c>
      <c r="B265" s="197" t="s">
        <v>5850</v>
      </c>
      <c r="C265" s="197">
        <v>2017</v>
      </c>
      <c r="D265" s="110" t="str">
        <f t="shared" si="4"/>
        <v>2019_2017</v>
      </c>
      <c r="E265" s="1231">
        <v>8.4364691963565806E-3</v>
      </c>
      <c r="F265" s="1232">
        <v>2.5383521810450251E-2</v>
      </c>
      <c r="G265" s="1232">
        <v>1.0327296315924701</v>
      </c>
      <c r="H265" s="1232">
        <v>0.2999554742152884</v>
      </c>
      <c r="I265" s="1232">
        <v>1.5766974774028698E-2</v>
      </c>
      <c r="J265" s="1232">
        <v>1.0335456944841468E-4</v>
      </c>
      <c r="K265" s="1232">
        <v>3.0000008603874198E-3</v>
      </c>
      <c r="L265" s="1233">
        <v>2.7896227414172199E-2</v>
      </c>
      <c r="M265" s="1234">
        <v>1.6479887408396E-2</v>
      </c>
      <c r="N265" s="1235">
        <v>1.08027804449763E-4</v>
      </c>
    </row>
    <row r="266" spans="1:14" ht="15.5" x14ac:dyDescent="0.35">
      <c r="A266" s="198">
        <v>2019</v>
      </c>
      <c r="B266" s="197" t="s">
        <v>5850</v>
      </c>
      <c r="C266" s="197">
        <v>2018</v>
      </c>
      <c r="D266" s="110" t="str">
        <f t="shared" si="4"/>
        <v>2019_2018</v>
      </c>
      <c r="E266" s="1231">
        <v>8.0826745718040396E-3</v>
      </c>
      <c r="F266" s="1232">
        <v>2.5383521810450269E-2</v>
      </c>
      <c r="G266" s="1232">
        <v>0.938735595334661</v>
      </c>
      <c r="H266" s="1232">
        <v>0.29995547421528851</v>
      </c>
      <c r="I266" s="1232">
        <v>1.40347641097405E-2</v>
      </c>
      <c r="J266" s="1232">
        <v>1.0335456944841475E-4</v>
      </c>
      <c r="K266" s="1232">
        <v>3.0000008603874198E-3</v>
      </c>
      <c r="L266" s="1233">
        <v>2.7896227414075301E-2</v>
      </c>
      <c r="M266" s="1234">
        <v>1.4669353864439599E-2</v>
      </c>
      <c r="N266" s="1235">
        <v>1.0802780444976307E-4</v>
      </c>
    </row>
    <row r="267" spans="1:14" ht="15.5" x14ac:dyDescent="0.35">
      <c r="A267" s="198">
        <v>2019</v>
      </c>
      <c r="B267" s="197" t="s">
        <v>5850</v>
      </c>
      <c r="C267" s="197">
        <v>2019</v>
      </c>
      <c r="D267" s="110" t="str">
        <f t="shared" si="4"/>
        <v>2019_2019</v>
      </c>
      <c r="E267" s="1231">
        <v>7.7288799469931299E-3</v>
      </c>
      <c r="F267" s="1232">
        <v>2.5383521810450255E-2</v>
      </c>
      <c r="G267" s="1232">
        <v>0.81520873331497701</v>
      </c>
      <c r="H267" s="1232">
        <v>0.29995547421528918</v>
      </c>
      <c r="I267" s="1232">
        <v>1.2302553444065001E-2</v>
      </c>
      <c r="J267" s="1232">
        <v>1.0335456944841495E-4</v>
      </c>
      <c r="K267" s="1232">
        <v>3.0000008603874198E-3</v>
      </c>
      <c r="L267" s="1233">
        <v>2.7896227414315401E-2</v>
      </c>
      <c r="M267" s="1234">
        <v>1.28588203190333E-2</v>
      </c>
      <c r="N267" s="1235">
        <v>1.080278044497633E-4</v>
      </c>
    </row>
    <row r="268" spans="1:14" ht="15.5" x14ac:dyDescent="0.35">
      <c r="A268" s="198">
        <v>2019</v>
      </c>
      <c r="B268" s="197" t="s">
        <v>5850</v>
      </c>
      <c r="C268" s="197">
        <v>2020</v>
      </c>
      <c r="D268" s="110" t="str">
        <f t="shared" si="4"/>
        <v>2019_2020</v>
      </c>
      <c r="E268" s="1231">
        <v>7.37508532244121E-3</v>
      </c>
      <c r="F268" s="1232">
        <v>6.0920452336219462E-2</v>
      </c>
      <c r="G268" s="1232">
        <v>0.60859362887326396</v>
      </c>
      <c r="H268" s="1232">
        <v>0.71989313801198385</v>
      </c>
      <c r="I268" s="1232">
        <v>1.05703427798024E-2</v>
      </c>
      <c r="J268" s="1232">
        <v>2.4805096664011576E-4</v>
      </c>
      <c r="K268" s="1232">
        <v>3.0000008603874198E-3</v>
      </c>
      <c r="L268" s="1233">
        <v>2.7896227414176401E-2</v>
      </c>
      <c r="M268" s="1234">
        <v>1.1048286775103699E-2</v>
      </c>
      <c r="N268" s="1235">
        <v>2.5926673064172043E-4</v>
      </c>
    </row>
    <row r="269" spans="1:14" ht="15.5" x14ac:dyDescent="0.35">
      <c r="A269" s="198">
        <v>2020</v>
      </c>
      <c r="B269" s="197" t="s">
        <v>5850</v>
      </c>
      <c r="C269" s="197">
        <v>1971</v>
      </c>
      <c r="D269" s="110" t="str">
        <f t="shared" si="4"/>
        <v>2020_1971</v>
      </c>
      <c r="E269" s="1226">
        <v>1.43233931699651</v>
      </c>
      <c r="F269" s="1227">
        <v>0.18329841805212801</v>
      </c>
      <c r="G269" s="1227">
        <v>24.155867842395399</v>
      </c>
      <c r="H269" s="1227">
        <v>2.7105984603616524</v>
      </c>
      <c r="I269" s="1227">
        <v>0.43050617708880701</v>
      </c>
      <c r="J269" s="1227">
        <v>2.4401167108154088E-2</v>
      </c>
      <c r="K269" s="1227">
        <v>3.0000008603874302E-3</v>
      </c>
      <c r="L269" s="1228">
        <v>3.7470745954061503E-2</v>
      </c>
      <c r="M269" s="1229">
        <v>0.449971756073895</v>
      </c>
      <c r="N269" s="1230">
        <v>2.5504479606209354E-2</v>
      </c>
    </row>
    <row r="270" spans="1:14" ht="15.5" x14ac:dyDescent="0.35">
      <c r="A270" s="198">
        <v>2020</v>
      </c>
      <c r="B270" s="197" t="s">
        <v>5850</v>
      </c>
      <c r="C270" s="197">
        <v>1972</v>
      </c>
      <c r="D270" s="110" t="str">
        <f t="shared" si="4"/>
        <v>2020_1972</v>
      </c>
      <c r="E270" s="1226">
        <v>1.43233931699651</v>
      </c>
      <c r="F270" s="1227">
        <v>0.18329841805212801</v>
      </c>
      <c r="G270" s="1227">
        <v>24.155867842395399</v>
      </c>
      <c r="H270" s="1227">
        <v>2.7105984603616524</v>
      </c>
      <c r="I270" s="1227">
        <v>0.43050617708880701</v>
      </c>
      <c r="J270" s="1227">
        <v>2.4401167108154088E-2</v>
      </c>
      <c r="K270" s="1227">
        <v>3.0000008603874302E-3</v>
      </c>
      <c r="L270" s="1228">
        <v>3.7470745954061503E-2</v>
      </c>
      <c r="M270" s="1229">
        <v>0.449971756073895</v>
      </c>
      <c r="N270" s="1230">
        <v>2.5504479606209354E-2</v>
      </c>
    </row>
    <row r="271" spans="1:14" ht="15.5" x14ac:dyDescent="0.35">
      <c r="A271" s="198">
        <v>2020</v>
      </c>
      <c r="B271" s="197" t="s">
        <v>5850</v>
      </c>
      <c r="C271" s="197">
        <v>1973</v>
      </c>
      <c r="D271" s="110" t="str">
        <f t="shared" si="4"/>
        <v>2020_1973</v>
      </c>
      <c r="E271" s="1226">
        <v>1.43233931699651</v>
      </c>
      <c r="F271" s="1227">
        <v>0.18329841805212801</v>
      </c>
      <c r="G271" s="1227">
        <v>24.155867842395399</v>
      </c>
      <c r="H271" s="1227">
        <v>2.7105984603616524</v>
      </c>
      <c r="I271" s="1227">
        <v>0.43050617708880701</v>
      </c>
      <c r="J271" s="1227">
        <v>2.4401167108154088E-2</v>
      </c>
      <c r="K271" s="1227">
        <v>3.0000008603874302E-3</v>
      </c>
      <c r="L271" s="1228">
        <v>3.7470745954061503E-2</v>
      </c>
      <c r="M271" s="1229">
        <v>0.449971756073895</v>
      </c>
      <c r="N271" s="1230">
        <v>2.5504479606209354E-2</v>
      </c>
    </row>
    <row r="272" spans="1:14" ht="15.5" x14ac:dyDescent="0.35">
      <c r="A272" s="198">
        <v>2020</v>
      </c>
      <c r="B272" s="197" t="s">
        <v>5850</v>
      </c>
      <c r="C272" s="197">
        <v>1974</v>
      </c>
      <c r="D272" s="110" t="str">
        <f t="shared" si="4"/>
        <v>2020_1974</v>
      </c>
      <c r="E272" s="1226">
        <v>1.43233931699651</v>
      </c>
      <c r="F272" s="1227">
        <v>0.18329841805212801</v>
      </c>
      <c r="G272" s="1227">
        <v>24.155867842395399</v>
      </c>
      <c r="H272" s="1227">
        <v>2.7105984603616524</v>
      </c>
      <c r="I272" s="1227">
        <v>0.43050617708880701</v>
      </c>
      <c r="J272" s="1227">
        <v>2.4401167108154088E-2</v>
      </c>
      <c r="K272" s="1227">
        <v>3.0000008603874302E-3</v>
      </c>
      <c r="L272" s="1228">
        <v>3.7470745954061503E-2</v>
      </c>
      <c r="M272" s="1229">
        <v>0.449971756073895</v>
      </c>
      <c r="N272" s="1230">
        <v>2.5504479606209354E-2</v>
      </c>
    </row>
    <row r="273" spans="1:14" ht="15.5" x14ac:dyDescent="0.35">
      <c r="A273" s="198">
        <v>2020</v>
      </c>
      <c r="B273" s="197" t="s">
        <v>5850</v>
      </c>
      <c r="C273" s="197">
        <v>1975</v>
      </c>
      <c r="D273" s="110" t="str">
        <f t="shared" si="4"/>
        <v>2020_1975</v>
      </c>
      <c r="E273" s="1226">
        <v>1.43233931699651</v>
      </c>
      <c r="F273" s="1227">
        <v>0.18329841805212801</v>
      </c>
      <c r="G273" s="1227">
        <v>24.155867842395399</v>
      </c>
      <c r="H273" s="1227">
        <v>2.7105984603616524</v>
      </c>
      <c r="I273" s="1227">
        <v>0.43050617708880701</v>
      </c>
      <c r="J273" s="1227">
        <v>2.4401167108154088E-2</v>
      </c>
      <c r="K273" s="1227">
        <v>3.0000008603874302E-3</v>
      </c>
      <c r="L273" s="1228">
        <v>3.7470745954061503E-2</v>
      </c>
      <c r="M273" s="1229">
        <v>0.449971756073895</v>
      </c>
      <c r="N273" s="1230">
        <v>2.5504479606209354E-2</v>
      </c>
    </row>
    <row r="274" spans="1:14" ht="15.5" x14ac:dyDescent="0.35">
      <c r="A274" s="198">
        <v>2020</v>
      </c>
      <c r="B274" s="197" t="s">
        <v>5850</v>
      </c>
      <c r="C274" s="197">
        <v>1976</v>
      </c>
      <c r="D274" s="110" t="str">
        <f t="shared" si="4"/>
        <v>2020_1976</v>
      </c>
      <c r="E274" s="1226">
        <v>1.43233931699651</v>
      </c>
      <c r="F274" s="1227">
        <v>0.18329841805212801</v>
      </c>
      <c r="G274" s="1227">
        <v>24.155867842395399</v>
      </c>
      <c r="H274" s="1227">
        <v>2.7105984603616524</v>
      </c>
      <c r="I274" s="1227">
        <v>0.43050617708880701</v>
      </c>
      <c r="J274" s="1227">
        <v>2.4401167108154088E-2</v>
      </c>
      <c r="K274" s="1227">
        <v>3.0000008603874302E-3</v>
      </c>
      <c r="L274" s="1228">
        <v>3.7470745954061503E-2</v>
      </c>
      <c r="M274" s="1229">
        <v>0.449971756073895</v>
      </c>
      <c r="N274" s="1230">
        <v>2.5504479606209354E-2</v>
      </c>
    </row>
    <row r="275" spans="1:14" ht="15.5" x14ac:dyDescent="0.35">
      <c r="A275" s="198">
        <v>2020</v>
      </c>
      <c r="B275" s="197" t="s">
        <v>5850</v>
      </c>
      <c r="C275" s="197">
        <v>1977</v>
      </c>
      <c r="D275" s="110" t="str">
        <f t="shared" si="4"/>
        <v>2020_1977</v>
      </c>
      <c r="E275" s="1226">
        <v>1.43233931699651</v>
      </c>
      <c r="F275" s="1227">
        <v>0.18329841805212801</v>
      </c>
      <c r="G275" s="1227">
        <v>24.155867842395399</v>
      </c>
      <c r="H275" s="1227">
        <v>2.7105984603616524</v>
      </c>
      <c r="I275" s="1227">
        <v>0.43050617708880701</v>
      </c>
      <c r="J275" s="1227">
        <v>2.4401167108154088E-2</v>
      </c>
      <c r="K275" s="1227">
        <v>3.0000008603874302E-3</v>
      </c>
      <c r="L275" s="1228">
        <v>3.7470745954061503E-2</v>
      </c>
      <c r="M275" s="1229">
        <v>0.449971756073895</v>
      </c>
      <c r="N275" s="1230">
        <v>2.5504479606209354E-2</v>
      </c>
    </row>
    <row r="276" spans="1:14" ht="15.5" x14ac:dyDescent="0.35">
      <c r="A276" s="198">
        <v>2020</v>
      </c>
      <c r="B276" s="197" t="s">
        <v>5850</v>
      </c>
      <c r="C276" s="197">
        <v>1978</v>
      </c>
      <c r="D276" s="110" t="str">
        <f t="shared" si="4"/>
        <v>2020_1978</v>
      </c>
      <c r="E276" s="1226">
        <v>1.43233931699651</v>
      </c>
      <c r="F276" s="1227">
        <v>0.18329841805212801</v>
      </c>
      <c r="G276" s="1227">
        <v>24.155867842395399</v>
      </c>
      <c r="H276" s="1227">
        <v>2.7105984603616524</v>
      </c>
      <c r="I276" s="1227">
        <v>0.43050617708880701</v>
      </c>
      <c r="J276" s="1227">
        <v>2.4401167108154088E-2</v>
      </c>
      <c r="K276" s="1227">
        <v>3.0000008603874302E-3</v>
      </c>
      <c r="L276" s="1228">
        <v>3.7470745954061503E-2</v>
      </c>
      <c r="M276" s="1229">
        <v>0.449971756073895</v>
      </c>
      <c r="N276" s="1230">
        <v>2.5504479606209354E-2</v>
      </c>
    </row>
    <row r="277" spans="1:14" ht="15.5" x14ac:dyDescent="0.35">
      <c r="A277" s="198">
        <v>2020</v>
      </c>
      <c r="B277" s="197" t="s">
        <v>5850</v>
      </c>
      <c r="C277" s="197">
        <v>1979</v>
      </c>
      <c r="D277" s="110" t="str">
        <f t="shared" si="4"/>
        <v>2020_1979</v>
      </c>
      <c r="E277" s="1226">
        <v>1.43233931699651</v>
      </c>
      <c r="F277" s="1227">
        <v>0.18329841805212801</v>
      </c>
      <c r="G277" s="1227">
        <v>24.155867842395399</v>
      </c>
      <c r="H277" s="1227">
        <v>2.7105984603616524</v>
      </c>
      <c r="I277" s="1227">
        <v>0.43050617708880701</v>
      </c>
      <c r="J277" s="1227">
        <v>2.4401167108154088E-2</v>
      </c>
      <c r="K277" s="1227">
        <v>3.0000008603874302E-3</v>
      </c>
      <c r="L277" s="1228">
        <v>3.7470745954061503E-2</v>
      </c>
      <c r="M277" s="1229">
        <v>0.449971756073895</v>
      </c>
      <c r="N277" s="1230">
        <v>2.5504479606209354E-2</v>
      </c>
    </row>
    <row r="278" spans="1:14" ht="15.5" x14ac:dyDescent="0.35">
      <c r="A278" s="198">
        <v>2020</v>
      </c>
      <c r="B278" s="197" t="s">
        <v>5850</v>
      </c>
      <c r="C278" s="197">
        <v>1980</v>
      </c>
      <c r="D278" s="110" t="str">
        <f t="shared" si="4"/>
        <v>2020_1980</v>
      </c>
      <c r="E278" s="1226">
        <v>1.43233931699651</v>
      </c>
      <c r="F278" s="1227">
        <v>0.18329841805212801</v>
      </c>
      <c r="G278" s="1227">
        <v>24.155867842395399</v>
      </c>
      <c r="H278" s="1227">
        <v>2.7105984603616524</v>
      </c>
      <c r="I278" s="1227">
        <v>0.43050617708880701</v>
      </c>
      <c r="J278" s="1227">
        <v>2.4401167108154088E-2</v>
      </c>
      <c r="K278" s="1227">
        <v>3.0000008603874302E-3</v>
      </c>
      <c r="L278" s="1228">
        <v>3.7470745954061503E-2</v>
      </c>
      <c r="M278" s="1229">
        <v>0.449971756073895</v>
      </c>
      <c r="N278" s="1230">
        <v>2.5504479606209354E-2</v>
      </c>
    </row>
    <row r="279" spans="1:14" ht="15.5" x14ac:dyDescent="0.35">
      <c r="A279" s="198">
        <v>2020</v>
      </c>
      <c r="B279" s="197" t="s">
        <v>5850</v>
      </c>
      <c r="C279" s="197">
        <v>1981</v>
      </c>
      <c r="D279" s="110" t="str">
        <f t="shared" si="4"/>
        <v>2020_1981</v>
      </c>
      <c r="E279" s="1226">
        <v>1.43233931699651</v>
      </c>
      <c r="F279" s="1227">
        <v>0.18329841805212801</v>
      </c>
      <c r="G279" s="1227">
        <v>24.155867842395399</v>
      </c>
      <c r="H279" s="1227">
        <v>2.7105984603616524</v>
      </c>
      <c r="I279" s="1227">
        <v>0.43050617708880701</v>
      </c>
      <c r="J279" s="1227">
        <v>2.4401167108154088E-2</v>
      </c>
      <c r="K279" s="1227">
        <v>3.0000008603874302E-3</v>
      </c>
      <c r="L279" s="1228">
        <v>3.7470745954061503E-2</v>
      </c>
      <c r="M279" s="1229">
        <v>0.449971756073895</v>
      </c>
      <c r="N279" s="1230">
        <v>2.5504479606209354E-2</v>
      </c>
    </row>
    <row r="280" spans="1:14" ht="15.5" x14ac:dyDescent="0.35">
      <c r="A280" s="198">
        <v>2020</v>
      </c>
      <c r="B280" s="197" t="s">
        <v>5850</v>
      </c>
      <c r="C280" s="197">
        <v>1982</v>
      </c>
      <c r="D280" s="110" t="str">
        <f t="shared" si="4"/>
        <v>2020_1982</v>
      </c>
      <c r="E280" s="1226">
        <v>1.43233931699651</v>
      </c>
      <c r="F280" s="1227">
        <v>0.18329841805212801</v>
      </c>
      <c r="G280" s="1227">
        <v>24.155867842395399</v>
      </c>
      <c r="H280" s="1227">
        <v>2.7105984603616524</v>
      </c>
      <c r="I280" s="1227">
        <v>0.43050617708880701</v>
      </c>
      <c r="J280" s="1227">
        <v>2.4401167108154088E-2</v>
      </c>
      <c r="K280" s="1227">
        <v>3.0000008603874302E-3</v>
      </c>
      <c r="L280" s="1228">
        <v>3.7470745954061503E-2</v>
      </c>
      <c r="M280" s="1229">
        <v>0.449971756073895</v>
      </c>
      <c r="N280" s="1230">
        <v>2.5504479606209354E-2</v>
      </c>
    </row>
    <row r="281" spans="1:14" ht="15.5" x14ac:dyDescent="0.35">
      <c r="A281" s="198">
        <v>2020</v>
      </c>
      <c r="B281" s="197" t="s">
        <v>5850</v>
      </c>
      <c r="C281" s="197">
        <v>1983</v>
      </c>
      <c r="D281" s="110" t="str">
        <f t="shared" si="4"/>
        <v>2020_1983</v>
      </c>
      <c r="E281" s="1226">
        <v>1.43233931699651</v>
      </c>
      <c r="F281" s="1227">
        <v>0.18329841805212801</v>
      </c>
      <c r="G281" s="1227">
        <v>24.155867842395399</v>
      </c>
      <c r="H281" s="1227">
        <v>2.7105984603616524</v>
      </c>
      <c r="I281" s="1227">
        <v>0.43050617708880701</v>
      </c>
      <c r="J281" s="1227">
        <v>2.4401167108154088E-2</v>
      </c>
      <c r="K281" s="1227">
        <v>3.0000008603874302E-3</v>
      </c>
      <c r="L281" s="1228">
        <v>3.7470745954061503E-2</v>
      </c>
      <c r="M281" s="1229">
        <v>0.449971756073895</v>
      </c>
      <c r="N281" s="1230">
        <v>2.5504479606209354E-2</v>
      </c>
    </row>
    <row r="282" spans="1:14" ht="15.5" x14ac:dyDescent="0.35">
      <c r="A282" s="198">
        <v>2020</v>
      </c>
      <c r="B282" s="197" t="s">
        <v>5850</v>
      </c>
      <c r="C282" s="197">
        <v>1984</v>
      </c>
      <c r="D282" s="110" t="str">
        <f t="shared" si="4"/>
        <v>2020_1984</v>
      </c>
      <c r="E282" s="1226">
        <v>1.43233931699651</v>
      </c>
      <c r="F282" s="1227">
        <v>0.18329841805212801</v>
      </c>
      <c r="G282" s="1227">
        <v>24.155867842395399</v>
      </c>
      <c r="H282" s="1227">
        <v>2.7105984603616524</v>
      </c>
      <c r="I282" s="1227">
        <v>0.43050617708880701</v>
      </c>
      <c r="J282" s="1227">
        <v>2.4401167108154088E-2</v>
      </c>
      <c r="K282" s="1227">
        <v>3.0000008603874302E-3</v>
      </c>
      <c r="L282" s="1228">
        <v>3.7470745954061503E-2</v>
      </c>
      <c r="M282" s="1229">
        <v>0.449971756073895</v>
      </c>
      <c r="N282" s="1230">
        <v>2.5504479606209354E-2</v>
      </c>
    </row>
    <row r="283" spans="1:14" ht="15.5" x14ac:dyDescent="0.35">
      <c r="A283" s="198">
        <v>2020</v>
      </c>
      <c r="B283" s="197" t="s">
        <v>5850</v>
      </c>
      <c r="C283" s="197">
        <v>1985</v>
      </c>
      <c r="D283" s="110" t="str">
        <f t="shared" si="4"/>
        <v>2020_1985</v>
      </c>
      <c r="E283" s="1226">
        <v>1.43233931699651</v>
      </c>
      <c r="F283" s="1227">
        <v>0.18329841805212801</v>
      </c>
      <c r="G283" s="1227">
        <v>24.155867842395399</v>
      </c>
      <c r="H283" s="1227">
        <v>2.7105984603616524</v>
      </c>
      <c r="I283" s="1227">
        <v>0.43050617708880701</v>
      </c>
      <c r="J283" s="1227">
        <v>2.4401167108154088E-2</v>
      </c>
      <c r="K283" s="1227">
        <v>3.0000008603874302E-3</v>
      </c>
      <c r="L283" s="1228">
        <v>3.7470745954061503E-2</v>
      </c>
      <c r="M283" s="1229">
        <v>0.449971756073895</v>
      </c>
      <c r="N283" s="1230">
        <v>2.5504479606209354E-2</v>
      </c>
    </row>
    <row r="284" spans="1:14" ht="15.5" x14ac:dyDescent="0.35">
      <c r="A284" s="198">
        <v>2020</v>
      </c>
      <c r="B284" s="197" t="s">
        <v>5850</v>
      </c>
      <c r="C284" s="197">
        <v>1986</v>
      </c>
      <c r="D284" s="110" t="str">
        <f t="shared" si="4"/>
        <v>2020_1986</v>
      </c>
      <c r="E284" s="1226">
        <v>1.43233931699651</v>
      </c>
      <c r="F284" s="1227">
        <v>0.18329841805212801</v>
      </c>
      <c r="G284" s="1227">
        <v>24.155867842395399</v>
      </c>
      <c r="H284" s="1227">
        <v>2.7105984603616524</v>
      </c>
      <c r="I284" s="1227">
        <v>0.43050617708880701</v>
      </c>
      <c r="J284" s="1227">
        <v>2.4401167108154088E-2</v>
      </c>
      <c r="K284" s="1227">
        <v>3.0000008603874302E-3</v>
      </c>
      <c r="L284" s="1228">
        <v>3.7470745954061503E-2</v>
      </c>
      <c r="M284" s="1229">
        <v>0.449971756073895</v>
      </c>
      <c r="N284" s="1230">
        <v>2.5504479606209354E-2</v>
      </c>
    </row>
    <row r="285" spans="1:14" ht="15.5" x14ac:dyDescent="0.35">
      <c r="A285" s="198">
        <v>2020</v>
      </c>
      <c r="B285" s="197" t="s">
        <v>5850</v>
      </c>
      <c r="C285" s="197">
        <v>1987</v>
      </c>
      <c r="D285" s="110" t="str">
        <f t="shared" si="4"/>
        <v>2020_1987</v>
      </c>
      <c r="E285" s="1226">
        <v>1.43233931699651</v>
      </c>
      <c r="F285" s="1227">
        <v>0.18329841805212801</v>
      </c>
      <c r="G285" s="1227">
        <v>24.155867842395399</v>
      </c>
      <c r="H285" s="1227">
        <v>2.7105984603616524</v>
      </c>
      <c r="I285" s="1227">
        <v>0.43050617708880701</v>
      </c>
      <c r="J285" s="1227">
        <v>2.4401167108154088E-2</v>
      </c>
      <c r="K285" s="1227">
        <v>3.0000008603874302E-3</v>
      </c>
      <c r="L285" s="1228">
        <v>3.7470745954061503E-2</v>
      </c>
      <c r="M285" s="1229">
        <v>0.449971756073895</v>
      </c>
      <c r="N285" s="1230">
        <v>2.5504479606209354E-2</v>
      </c>
    </row>
    <row r="286" spans="1:14" ht="15.5" x14ac:dyDescent="0.35">
      <c r="A286" s="198">
        <v>2020</v>
      </c>
      <c r="B286" s="197" t="s">
        <v>5850</v>
      </c>
      <c r="C286" s="197">
        <v>1988</v>
      </c>
      <c r="D286" s="110" t="str">
        <f t="shared" si="4"/>
        <v>2020_1988</v>
      </c>
      <c r="E286" s="1226">
        <v>1.43233931699651</v>
      </c>
      <c r="F286" s="1227">
        <v>0.18329841805212801</v>
      </c>
      <c r="G286" s="1227">
        <v>24.155867842395399</v>
      </c>
      <c r="H286" s="1227">
        <v>2.7105984603616524</v>
      </c>
      <c r="I286" s="1227">
        <v>0.43050617708880701</v>
      </c>
      <c r="J286" s="1227">
        <v>2.4401167108154088E-2</v>
      </c>
      <c r="K286" s="1227">
        <v>3.0000008603874302E-3</v>
      </c>
      <c r="L286" s="1228">
        <v>3.7470745954061503E-2</v>
      </c>
      <c r="M286" s="1229">
        <v>0.449971756073895</v>
      </c>
      <c r="N286" s="1230">
        <v>2.5504479606209354E-2</v>
      </c>
    </row>
    <row r="287" spans="1:14" ht="15.5" x14ac:dyDescent="0.35">
      <c r="A287" s="198">
        <v>2020</v>
      </c>
      <c r="B287" s="197" t="s">
        <v>5850</v>
      </c>
      <c r="C287" s="197">
        <v>1989</v>
      </c>
      <c r="D287" s="110" t="str">
        <f t="shared" si="4"/>
        <v>2020_1989</v>
      </c>
      <c r="E287" s="1226">
        <v>1.43233931699651</v>
      </c>
      <c r="F287" s="1227">
        <v>0.18329841805212801</v>
      </c>
      <c r="G287" s="1227">
        <v>24.155867842395399</v>
      </c>
      <c r="H287" s="1227">
        <v>2.7105984603616524</v>
      </c>
      <c r="I287" s="1227">
        <v>0.43050617708880701</v>
      </c>
      <c r="J287" s="1227">
        <v>2.4401167108154088E-2</v>
      </c>
      <c r="K287" s="1227">
        <v>3.0000008603874302E-3</v>
      </c>
      <c r="L287" s="1228">
        <v>3.7470745954061503E-2</v>
      </c>
      <c r="M287" s="1229">
        <v>0.449971756073895</v>
      </c>
      <c r="N287" s="1230">
        <v>2.5504479606209354E-2</v>
      </c>
    </row>
    <row r="288" spans="1:14" ht="15.5" x14ac:dyDescent="0.35">
      <c r="A288" s="198">
        <v>2020</v>
      </c>
      <c r="B288" s="197" t="s">
        <v>5850</v>
      </c>
      <c r="C288" s="197">
        <v>1990</v>
      </c>
      <c r="D288" s="110" t="str">
        <f t="shared" si="4"/>
        <v>2020_1990</v>
      </c>
      <c r="E288" s="1226">
        <v>1.43233931699651</v>
      </c>
      <c r="F288" s="1227">
        <v>0.18329841805212801</v>
      </c>
      <c r="G288" s="1227">
        <v>24.155867842395399</v>
      </c>
      <c r="H288" s="1227">
        <v>2.7105984603616524</v>
      </c>
      <c r="I288" s="1227">
        <v>0.43050617708880701</v>
      </c>
      <c r="J288" s="1227">
        <v>2.4401167108154088E-2</v>
      </c>
      <c r="K288" s="1227">
        <v>3.0000008603874302E-3</v>
      </c>
      <c r="L288" s="1228">
        <v>3.7470745954061503E-2</v>
      </c>
      <c r="M288" s="1229">
        <v>0.449971756073895</v>
      </c>
      <c r="N288" s="1230">
        <v>2.5504479606209354E-2</v>
      </c>
    </row>
    <row r="289" spans="1:14" ht="15.5" x14ac:dyDescent="0.35">
      <c r="A289" s="198">
        <v>2020</v>
      </c>
      <c r="B289" s="197" t="s">
        <v>5850</v>
      </c>
      <c r="C289" s="197">
        <v>1991</v>
      </c>
      <c r="D289" s="110" t="str">
        <f t="shared" si="4"/>
        <v>2020_1991</v>
      </c>
      <c r="E289" s="1226">
        <v>1.43233931699651</v>
      </c>
      <c r="F289" s="1227">
        <v>0.18329841805212801</v>
      </c>
      <c r="G289" s="1227">
        <v>24.155867842395399</v>
      </c>
      <c r="H289" s="1227">
        <v>2.7105984603616524</v>
      </c>
      <c r="I289" s="1227">
        <v>0.43050617708880701</v>
      </c>
      <c r="J289" s="1227">
        <v>2.4401167108154088E-2</v>
      </c>
      <c r="K289" s="1227">
        <v>3.0000008603874302E-3</v>
      </c>
      <c r="L289" s="1228">
        <v>3.7470745954061503E-2</v>
      </c>
      <c r="M289" s="1229">
        <v>0.449971756073895</v>
      </c>
      <c r="N289" s="1230">
        <v>2.5504479606209354E-2</v>
      </c>
    </row>
    <row r="290" spans="1:14" ht="15.5" x14ac:dyDescent="0.35">
      <c r="A290" s="198">
        <v>2020</v>
      </c>
      <c r="B290" s="197" t="s">
        <v>5850</v>
      </c>
      <c r="C290" s="197">
        <v>1992</v>
      </c>
      <c r="D290" s="110" t="str">
        <f t="shared" si="4"/>
        <v>2020_1992</v>
      </c>
      <c r="E290" s="1226">
        <v>1.43233931699651</v>
      </c>
      <c r="F290" s="1227">
        <v>0.18329841805212801</v>
      </c>
      <c r="G290" s="1227">
        <v>24.155867842395399</v>
      </c>
      <c r="H290" s="1227">
        <v>2.7105984603616524</v>
      </c>
      <c r="I290" s="1227">
        <v>0.43050617708880701</v>
      </c>
      <c r="J290" s="1227">
        <v>2.4401167108154088E-2</v>
      </c>
      <c r="K290" s="1227">
        <v>3.0000008603874302E-3</v>
      </c>
      <c r="L290" s="1228">
        <v>3.7470745954061503E-2</v>
      </c>
      <c r="M290" s="1229">
        <v>0.449971756073895</v>
      </c>
      <c r="N290" s="1230">
        <v>2.5504479606209354E-2</v>
      </c>
    </row>
    <row r="291" spans="1:14" ht="15.5" x14ac:dyDescent="0.35">
      <c r="A291" s="198">
        <v>2020</v>
      </c>
      <c r="B291" s="197" t="s">
        <v>5850</v>
      </c>
      <c r="C291" s="197">
        <v>1993</v>
      </c>
      <c r="D291" s="110" t="str">
        <f t="shared" si="4"/>
        <v>2020_1993</v>
      </c>
      <c r="E291" s="1226">
        <v>1.43233931699651</v>
      </c>
      <c r="F291" s="1227">
        <v>0.18329841805212801</v>
      </c>
      <c r="G291" s="1227">
        <v>24.155867842395399</v>
      </c>
      <c r="H291" s="1227">
        <v>2.7105984603616524</v>
      </c>
      <c r="I291" s="1227">
        <v>0.43050617708880701</v>
      </c>
      <c r="J291" s="1227">
        <v>2.4401167108154088E-2</v>
      </c>
      <c r="K291" s="1227">
        <v>3.0000008603874302E-3</v>
      </c>
      <c r="L291" s="1228">
        <v>3.7470745954061503E-2</v>
      </c>
      <c r="M291" s="1229">
        <v>0.449971756073895</v>
      </c>
      <c r="N291" s="1230">
        <v>2.5504479606209354E-2</v>
      </c>
    </row>
    <row r="292" spans="1:14" ht="15.5" x14ac:dyDescent="0.35">
      <c r="A292" s="198">
        <v>2020</v>
      </c>
      <c r="B292" s="197" t="s">
        <v>5850</v>
      </c>
      <c r="C292" s="197">
        <v>1994</v>
      </c>
      <c r="D292" s="110" t="str">
        <f t="shared" si="4"/>
        <v>2020_1994</v>
      </c>
      <c r="E292" s="1226">
        <v>1.43233931699651</v>
      </c>
      <c r="F292" s="1227">
        <v>0.18329841805212801</v>
      </c>
      <c r="G292" s="1227">
        <v>24.155867842395399</v>
      </c>
      <c r="H292" s="1227">
        <v>2.7105984603616524</v>
      </c>
      <c r="I292" s="1227">
        <v>0.43050617708880701</v>
      </c>
      <c r="J292" s="1227">
        <v>2.4401167108154088E-2</v>
      </c>
      <c r="K292" s="1227">
        <v>3.0000008603874302E-3</v>
      </c>
      <c r="L292" s="1228">
        <v>3.7470745954061503E-2</v>
      </c>
      <c r="M292" s="1229">
        <v>0.449971756073895</v>
      </c>
      <c r="N292" s="1230">
        <v>2.5504479606209354E-2</v>
      </c>
    </row>
    <row r="293" spans="1:14" ht="15.5" x14ac:dyDescent="0.35">
      <c r="A293" s="198">
        <v>2020</v>
      </c>
      <c r="B293" s="197" t="s">
        <v>5850</v>
      </c>
      <c r="C293" s="197">
        <v>1995</v>
      </c>
      <c r="D293" s="110" t="str">
        <f t="shared" si="4"/>
        <v>2020_1995</v>
      </c>
      <c r="E293" s="1226">
        <v>1.43233931699651</v>
      </c>
      <c r="F293" s="1227">
        <v>0.18329841805212801</v>
      </c>
      <c r="G293" s="1227">
        <v>24.155867842395399</v>
      </c>
      <c r="H293" s="1227">
        <v>2.7105984603616524</v>
      </c>
      <c r="I293" s="1227">
        <v>0.43050617708880701</v>
      </c>
      <c r="J293" s="1227">
        <v>2.4401167108154088E-2</v>
      </c>
      <c r="K293" s="1227">
        <v>3.0000008603874302E-3</v>
      </c>
      <c r="L293" s="1228">
        <v>3.7470745954061503E-2</v>
      </c>
      <c r="M293" s="1229">
        <v>0.449971756073895</v>
      </c>
      <c r="N293" s="1230">
        <v>2.5504479606209354E-2</v>
      </c>
    </row>
    <row r="294" spans="1:14" ht="15.5" x14ac:dyDescent="0.35">
      <c r="A294" s="198">
        <v>2020</v>
      </c>
      <c r="B294" s="197" t="s">
        <v>5850</v>
      </c>
      <c r="C294" s="197">
        <v>1996</v>
      </c>
      <c r="D294" s="110" t="str">
        <f t="shared" si="4"/>
        <v>2020_1996</v>
      </c>
      <c r="E294" s="1226">
        <v>1.43233931699651</v>
      </c>
      <c r="F294" s="1227">
        <v>0.18329841805212801</v>
      </c>
      <c r="G294" s="1227">
        <v>24.155867842395399</v>
      </c>
      <c r="H294" s="1227">
        <v>2.7105984603616524</v>
      </c>
      <c r="I294" s="1227">
        <v>0.43050617708880701</v>
      </c>
      <c r="J294" s="1227">
        <v>2.4401167108154088E-2</v>
      </c>
      <c r="K294" s="1227">
        <v>3.0000008603874302E-3</v>
      </c>
      <c r="L294" s="1228">
        <v>3.7470745954061503E-2</v>
      </c>
      <c r="M294" s="1229">
        <v>0.449971756073895</v>
      </c>
      <c r="N294" s="1230">
        <v>2.5504479606209354E-2</v>
      </c>
    </row>
    <row r="295" spans="1:14" ht="15.5" x14ac:dyDescent="0.35">
      <c r="A295" s="198">
        <v>2020</v>
      </c>
      <c r="B295" s="197" t="s">
        <v>5850</v>
      </c>
      <c r="C295" s="197">
        <v>1997</v>
      </c>
      <c r="D295" s="110" t="str">
        <f t="shared" si="4"/>
        <v>2020_1997</v>
      </c>
      <c r="E295" s="1226">
        <v>1.43233931699651</v>
      </c>
      <c r="F295" s="1227">
        <v>0.18329841805212801</v>
      </c>
      <c r="G295" s="1227">
        <v>24.155867842395399</v>
      </c>
      <c r="H295" s="1227">
        <v>2.7105984603616524</v>
      </c>
      <c r="I295" s="1227">
        <v>0.43050617708880701</v>
      </c>
      <c r="J295" s="1227">
        <v>2.4401167108154088E-2</v>
      </c>
      <c r="K295" s="1227">
        <v>3.0000008603874302E-3</v>
      </c>
      <c r="L295" s="1228">
        <v>3.7470745954061503E-2</v>
      </c>
      <c r="M295" s="1229">
        <v>0.449971756073895</v>
      </c>
      <c r="N295" s="1230">
        <v>2.5504479606209354E-2</v>
      </c>
    </row>
    <row r="296" spans="1:14" ht="15.5" x14ac:dyDescent="0.35">
      <c r="A296" s="198">
        <v>2020</v>
      </c>
      <c r="B296" s="197" t="s">
        <v>5850</v>
      </c>
      <c r="C296" s="197">
        <v>1998</v>
      </c>
      <c r="D296" s="110" t="str">
        <f t="shared" si="4"/>
        <v>2020_1998</v>
      </c>
      <c r="E296" s="1226">
        <v>1.43233931699651</v>
      </c>
      <c r="F296" s="1227">
        <v>0.18329841805212801</v>
      </c>
      <c r="G296" s="1227">
        <v>24.155867842395399</v>
      </c>
      <c r="H296" s="1227">
        <v>2.7105984603616524</v>
      </c>
      <c r="I296" s="1227">
        <v>0.43050617708880701</v>
      </c>
      <c r="J296" s="1227">
        <v>2.4401167108154088E-2</v>
      </c>
      <c r="K296" s="1227">
        <v>3.0000008603874302E-3</v>
      </c>
      <c r="L296" s="1228">
        <v>3.7470745954061503E-2</v>
      </c>
      <c r="M296" s="1229">
        <v>0.449971756073895</v>
      </c>
      <c r="N296" s="1230">
        <v>2.5504479606209354E-2</v>
      </c>
    </row>
    <row r="297" spans="1:14" ht="15.5" x14ac:dyDescent="0.35">
      <c r="A297" s="198">
        <v>2020</v>
      </c>
      <c r="B297" s="197" t="s">
        <v>5850</v>
      </c>
      <c r="C297" s="197">
        <v>1999</v>
      </c>
      <c r="D297" s="110" t="str">
        <f t="shared" si="4"/>
        <v>2020_1999</v>
      </c>
      <c r="E297" s="1226">
        <v>1.43233931699651</v>
      </c>
      <c r="F297" s="1227">
        <v>0.18329841805212801</v>
      </c>
      <c r="G297" s="1227">
        <v>24.155867842395399</v>
      </c>
      <c r="H297" s="1227">
        <v>2.7105984603616524</v>
      </c>
      <c r="I297" s="1227">
        <v>0.43050617708880701</v>
      </c>
      <c r="J297" s="1227">
        <v>2.4401167108154088E-2</v>
      </c>
      <c r="K297" s="1227">
        <v>3.0000008603874302E-3</v>
      </c>
      <c r="L297" s="1228">
        <v>3.7470745954061503E-2</v>
      </c>
      <c r="M297" s="1229">
        <v>0.449971756073895</v>
      </c>
      <c r="N297" s="1230">
        <v>2.5504479606209354E-2</v>
      </c>
    </row>
    <row r="298" spans="1:14" ht="15.5" x14ac:dyDescent="0.35">
      <c r="A298" s="198">
        <v>2020</v>
      </c>
      <c r="B298" s="197" t="s">
        <v>5850</v>
      </c>
      <c r="C298" s="197">
        <v>2000</v>
      </c>
      <c r="D298" s="110" t="str">
        <f t="shared" si="4"/>
        <v>2020_2000</v>
      </c>
      <c r="E298" s="1226">
        <v>1.43233931699651</v>
      </c>
      <c r="F298" s="1227">
        <v>0.18329841805212801</v>
      </c>
      <c r="G298" s="1227">
        <v>24.155867842395399</v>
      </c>
      <c r="H298" s="1227">
        <v>2.7105984603616524</v>
      </c>
      <c r="I298" s="1227">
        <v>0.43050617708880701</v>
      </c>
      <c r="J298" s="1227">
        <v>2.4401167108154088E-2</v>
      </c>
      <c r="K298" s="1227">
        <v>3.0000008603874302E-3</v>
      </c>
      <c r="L298" s="1228">
        <v>3.7470745954061503E-2</v>
      </c>
      <c r="M298" s="1229">
        <v>0.449971756073895</v>
      </c>
      <c r="N298" s="1230">
        <v>2.5504479606209354E-2</v>
      </c>
    </row>
    <row r="299" spans="1:14" ht="15.5" x14ac:dyDescent="0.35">
      <c r="A299" s="198">
        <v>2020</v>
      </c>
      <c r="B299" s="197" t="s">
        <v>5850</v>
      </c>
      <c r="C299" s="197">
        <v>2001</v>
      </c>
      <c r="D299" s="110" t="str">
        <f t="shared" si="4"/>
        <v>2020_2001</v>
      </c>
      <c r="E299" s="1231">
        <v>1.43233931699651</v>
      </c>
      <c r="F299" s="1232">
        <v>0.18329841805212801</v>
      </c>
      <c r="G299" s="1232">
        <v>24.155867842395399</v>
      </c>
      <c r="H299" s="1232">
        <v>2.7105984603616524</v>
      </c>
      <c r="I299" s="1232">
        <v>0.43050617708880701</v>
      </c>
      <c r="J299" s="1232">
        <v>2.4401167108154088E-2</v>
      </c>
      <c r="K299" s="1232">
        <v>3.0000008603874302E-3</v>
      </c>
      <c r="L299" s="1233">
        <v>3.7470745954061503E-2</v>
      </c>
      <c r="M299" s="1234">
        <v>0.449971756073895</v>
      </c>
      <c r="N299" s="1235">
        <v>2.5504479606209354E-2</v>
      </c>
    </row>
    <row r="300" spans="1:14" ht="15.5" x14ac:dyDescent="0.35">
      <c r="A300" s="198">
        <v>2020</v>
      </c>
      <c r="B300" s="197" t="s">
        <v>5850</v>
      </c>
      <c r="C300" s="197">
        <v>2002</v>
      </c>
      <c r="D300" s="110" t="str">
        <f t="shared" si="4"/>
        <v>2020_2002</v>
      </c>
      <c r="E300" s="1231">
        <v>1.4323393170026599</v>
      </c>
      <c r="F300" s="1232">
        <v>0.18329841805212571</v>
      </c>
      <c r="G300" s="1232">
        <v>24.155867842417099</v>
      </c>
      <c r="H300" s="1232">
        <v>2.710598460361632</v>
      </c>
      <c r="I300" s="1232">
        <v>0.430506177090697</v>
      </c>
      <c r="J300" s="1232">
        <v>2.4401167108153644E-2</v>
      </c>
      <c r="K300" s="1232">
        <v>3.0000008603874302E-3</v>
      </c>
      <c r="L300" s="1233">
        <v>3.7470745953862898E-2</v>
      </c>
      <c r="M300" s="1234">
        <v>0.44997175607586998</v>
      </c>
      <c r="N300" s="1235">
        <v>2.5504479606209038E-2</v>
      </c>
    </row>
    <row r="301" spans="1:14" ht="15.5" x14ac:dyDescent="0.35">
      <c r="A301" s="198">
        <v>2020</v>
      </c>
      <c r="B301" s="197" t="s">
        <v>5850</v>
      </c>
      <c r="C301" s="197">
        <v>2003</v>
      </c>
      <c r="D301" s="110" t="str">
        <f t="shared" si="4"/>
        <v>2020_2003</v>
      </c>
      <c r="E301" s="1231">
        <v>0.93777311913888795</v>
      </c>
      <c r="F301" s="1232">
        <v>0.15031086815533432</v>
      </c>
      <c r="G301" s="1232">
        <v>13.5572636413356</v>
      </c>
      <c r="H301" s="1232">
        <v>2.8105124173272604</v>
      </c>
      <c r="I301" s="1232">
        <v>0.57367303016489801</v>
      </c>
      <c r="J301" s="1232">
        <v>1.8880008431924021E-2</v>
      </c>
      <c r="K301" s="1232">
        <v>3.0000008603874302E-3</v>
      </c>
      <c r="L301" s="1233">
        <v>3.7470745954137602E-2</v>
      </c>
      <c r="M301" s="1234">
        <v>0.599611978952586</v>
      </c>
      <c r="N301" s="1235">
        <v>1.9733678634419129E-2</v>
      </c>
    </row>
    <row r="302" spans="1:14" ht="15.5" x14ac:dyDescent="0.35">
      <c r="A302" s="198">
        <v>2020</v>
      </c>
      <c r="B302" s="197" t="s">
        <v>5850</v>
      </c>
      <c r="C302" s="197">
        <v>2004</v>
      </c>
      <c r="D302" s="110" t="str">
        <f t="shared" si="4"/>
        <v>2020_2004</v>
      </c>
      <c r="E302" s="1231">
        <v>0.93735371745004104</v>
      </c>
      <c r="F302" s="1232">
        <v>0.15031086815533473</v>
      </c>
      <c r="G302" s="1232">
        <v>11.615499178294099</v>
      </c>
      <c r="H302" s="1232">
        <v>2.810512417327268</v>
      </c>
      <c r="I302" s="1232">
        <v>0.67475495746882297</v>
      </c>
      <c r="J302" s="1232">
        <v>1.888000843192407E-2</v>
      </c>
      <c r="K302" s="1232">
        <v>3.0000008603874302E-3</v>
      </c>
      <c r="L302" s="1233">
        <v>3.7470745954290299E-2</v>
      </c>
      <c r="M302" s="1234">
        <v>0.70526438246478496</v>
      </c>
      <c r="N302" s="1235">
        <v>1.9733678634419185E-2</v>
      </c>
    </row>
    <row r="303" spans="1:14" ht="15.5" x14ac:dyDescent="0.35">
      <c r="A303" s="198">
        <v>2020</v>
      </c>
      <c r="B303" s="197" t="s">
        <v>5850</v>
      </c>
      <c r="C303" s="197">
        <v>2005</v>
      </c>
      <c r="D303" s="110" t="str">
        <f t="shared" si="4"/>
        <v>2020_2005</v>
      </c>
      <c r="E303" s="1231">
        <v>0.91653363829687695</v>
      </c>
      <c r="F303" s="1232">
        <v>0.1503108681553362</v>
      </c>
      <c r="G303" s="1232">
        <v>11.532028834600601</v>
      </c>
      <c r="H303" s="1232">
        <v>2.8105124173272951</v>
      </c>
      <c r="I303" s="1232">
        <v>0.66477832105700096</v>
      </c>
      <c r="J303" s="1232">
        <v>1.8880008431924389E-2</v>
      </c>
      <c r="K303" s="1232">
        <v>3.0000008603874302E-3</v>
      </c>
      <c r="L303" s="1233">
        <v>3.7470745953831201E-2</v>
      </c>
      <c r="M303" s="1234">
        <v>0.69483664682508905</v>
      </c>
      <c r="N303" s="1235">
        <v>1.9733678634419376E-2</v>
      </c>
    </row>
    <row r="304" spans="1:14" ht="15.5" x14ac:dyDescent="0.35">
      <c r="A304" s="198">
        <v>2020</v>
      </c>
      <c r="B304" s="197" t="s">
        <v>5850</v>
      </c>
      <c r="C304" s="197">
        <v>2006</v>
      </c>
      <c r="D304" s="110" t="str">
        <f t="shared" si="4"/>
        <v>2020_2006</v>
      </c>
      <c r="E304" s="1231">
        <v>0.89138030170962401</v>
      </c>
      <c r="F304" s="1232">
        <v>0.13527978133980076</v>
      </c>
      <c r="G304" s="1232">
        <v>11.4467530935366</v>
      </c>
      <c r="H304" s="1232">
        <v>2.5294611755945318</v>
      </c>
      <c r="I304" s="1232">
        <v>0.65227272826008698</v>
      </c>
      <c r="J304" s="1232">
        <v>1.6992007588731723E-2</v>
      </c>
      <c r="K304" s="1232">
        <v>3.0000008603874302E-3</v>
      </c>
      <c r="L304" s="1233">
        <v>3.7470745953619697E-2</v>
      </c>
      <c r="M304" s="1234">
        <v>0.68176560661464403</v>
      </c>
      <c r="N304" s="1235">
        <v>1.77603107709772E-2</v>
      </c>
    </row>
    <row r="305" spans="1:14" ht="15.5" x14ac:dyDescent="0.35">
      <c r="A305" s="198">
        <v>2020</v>
      </c>
      <c r="B305" s="197" t="s">
        <v>5850</v>
      </c>
      <c r="C305" s="197">
        <v>2007</v>
      </c>
      <c r="D305" s="110" t="str">
        <f t="shared" si="4"/>
        <v>2020_2007</v>
      </c>
      <c r="E305" s="1231">
        <v>0.63458176174437297</v>
      </c>
      <c r="F305" s="1232">
        <v>0.10150280783731003</v>
      </c>
      <c r="G305" s="1232">
        <v>10.464689646961</v>
      </c>
      <c r="H305" s="1232">
        <v>2.276515058035065</v>
      </c>
      <c r="I305" s="1232">
        <v>0.46260010420300901</v>
      </c>
      <c r="J305" s="1232">
        <v>1.2929124622356824E-2</v>
      </c>
      <c r="K305" s="1232">
        <v>3.0000008603874302E-3</v>
      </c>
      <c r="L305" s="1233">
        <v>3.7470745954118201E-2</v>
      </c>
      <c r="M305" s="1234">
        <v>0.48351682815750902</v>
      </c>
      <c r="N305" s="1235">
        <v>1.3513722265638933E-2</v>
      </c>
    </row>
    <row r="306" spans="1:14" ht="15.5" x14ac:dyDescent="0.35">
      <c r="A306" s="198">
        <v>2020</v>
      </c>
      <c r="B306" s="197" t="s">
        <v>5850</v>
      </c>
      <c r="C306" s="197">
        <v>2008</v>
      </c>
      <c r="D306" s="110" t="str">
        <f t="shared" si="4"/>
        <v>2020_2008</v>
      </c>
      <c r="E306" s="1231">
        <v>0.223249273186752</v>
      </c>
      <c r="F306" s="1232">
        <v>4.1438686045329819E-2</v>
      </c>
      <c r="G306" s="1232">
        <v>8.2885494168120104</v>
      </c>
      <c r="H306" s="1232">
        <v>1.575096306722833</v>
      </c>
      <c r="I306" s="1232">
        <v>4.3287495240927197E-2</v>
      </c>
      <c r="J306" s="1232">
        <v>6.4308508228462351E-4</v>
      </c>
      <c r="K306" s="1232">
        <v>3.0000008603874302E-3</v>
      </c>
      <c r="L306" s="1233">
        <v>3.74707459543384E-2</v>
      </c>
      <c r="M306" s="1234">
        <v>4.5244763690306701E-2</v>
      </c>
      <c r="N306" s="1235">
        <v>6.7216253605774455E-4</v>
      </c>
    </row>
    <row r="307" spans="1:14" ht="15.5" x14ac:dyDescent="0.35">
      <c r="A307" s="198">
        <v>2020</v>
      </c>
      <c r="B307" s="197" t="s">
        <v>5850</v>
      </c>
      <c r="C307" s="197">
        <v>2009</v>
      </c>
      <c r="D307" s="110" t="str">
        <f t="shared" si="4"/>
        <v>2020_2009</v>
      </c>
      <c r="E307" s="1231">
        <v>0.20395685938765601</v>
      </c>
      <c r="F307" s="1232">
        <v>3.5136322201293584E-2</v>
      </c>
      <c r="G307" s="1232">
        <v>8.1000734343901808</v>
      </c>
      <c r="H307" s="1232">
        <v>0.70503318441493457</v>
      </c>
      <c r="I307" s="1232">
        <v>3.26470408091242E-2</v>
      </c>
      <c r="J307" s="1232">
        <v>1.4568281399644304E-4</v>
      </c>
      <c r="K307" s="1232">
        <v>3.0000008603874302E-3</v>
      </c>
      <c r="L307" s="1233">
        <v>3.7470745954765197E-2</v>
      </c>
      <c r="M307" s="1234">
        <v>3.4123195125414701E-2</v>
      </c>
      <c r="N307" s="1235">
        <v>1.5226994438745001E-4</v>
      </c>
    </row>
    <row r="308" spans="1:14" ht="15.5" x14ac:dyDescent="0.35">
      <c r="A308" s="198">
        <v>2020</v>
      </c>
      <c r="B308" s="197" t="s">
        <v>5850</v>
      </c>
      <c r="C308" s="197">
        <v>2010</v>
      </c>
      <c r="D308" s="110" t="str">
        <f t="shared" si="4"/>
        <v>2020_2010</v>
      </c>
      <c r="E308" s="1231">
        <v>0.21451718045753701</v>
      </c>
      <c r="F308" s="1232">
        <v>3.1707238007274874E-2</v>
      </c>
      <c r="G308" s="1232">
        <v>7.2858478551262396</v>
      </c>
      <c r="H308" s="1232">
        <v>0.56930040477362631</v>
      </c>
      <c r="I308" s="1232">
        <v>4.7703909106001398E-2</v>
      </c>
      <c r="J308" s="1232">
        <v>1.3111453259679871E-4</v>
      </c>
      <c r="K308" s="1232">
        <v>3.0000008603874302E-3</v>
      </c>
      <c r="L308" s="1233">
        <v>2.7896265958649202E-2</v>
      </c>
      <c r="M308" s="1234">
        <v>4.9860868192813199E-2</v>
      </c>
      <c r="N308" s="1235">
        <v>1.3704294994870499E-4</v>
      </c>
    </row>
    <row r="309" spans="1:14" ht="15.5" x14ac:dyDescent="0.35">
      <c r="A309" s="198">
        <v>2020</v>
      </c>
      <c r="B309" s="197" t="s">
        <v>5850</v>
      </c>
      <c r="C309" s="197">
        <v>2011</v>
      </c>
      <c r="D309" s="110" t="str">
        <f t="shared" si="4"/>
        <v>2020_2011</v>
      </c>
      <c r="E309" s="1231">
        <v>0.102648258299027</v>
      </c>
      <c r="F309" s="1232">
        <v>2.8884342204052168E-2</v>
      </c>
      <c r="G309" s="1232">
        <v>4.3005701159914196</v>
      </c>
      <c r="H309" s="1232">
        <v>0.38790839052068771</v>
      </c>
      <c r="I309" s="1232">
        <v>4.8668300608055499E-2</v>
      </c>
      <c r="J309" s="1232">
        <v>1.1800307933711906E-4</v>
      </c>
      <c r="K309" s="1232">
        <v>3.0000008603874302E-3</v>
      </c>
      <c r="L309" s="1233">
        <v>2.7896265958830799E-2</v>
      </c>
      <c r="M309" s="1234">
        <v>5.0868865199166301E-2</v>
      </c>
      <c r="N309" s="1235">
        <v>1.2333865495383473E-4</v>
      </c>
    </row>
    <row r="310" spans="1:14" ht="15.5" x14ac:dyDescent="0.35">
      <c r="A310" s="199">
        <v>2020</v>
      </c>
      <c r="B310" s="110" t="s">
        <v>5850</v>
      </c>
      <c r="C310" s="110">
        <v>2012</v>
      </c>
      <c r="D310" s="110" t="str">
        <f t="shared" si="4"/>
        <v>2020_2012</v>
      </c>
      <c r="E310" s="1231">
        <v>2.0364721979500101E-2</v>
      </c>
      <c r="F310" s="1232">
        <v>2.6083030277574037E-2</v>
      </c>
      <c r="G310" s="1232">
        <v>3.4437231251983502</v>
      </c>
      <c r="H310" s="1232">
        <v>0.30822152159596972</v>
      </c>
      <c r="I310" s="1232">
        <v>2.5764350443263299E-2</v>
      </c>
      <c r="J310" s="1232">
        <v>1.062027714034064E-4</v>
      </c>
      <c r="K310" s="1232">
        <v>3.0000008603874302E-3</v>
      </c>
      <c r="L310" s="1233">
        <v>2.7896265958942901E-2</v>
      </c>
      <c r="M310" s="1234">
        <v>2.6929300042695802E-2</v>
      </c>
      <c r="N310" s="1235">
        <v>1.1100478945845046E-4</v>
      </c>
    </row>
    <row r="311" spans="1:14" ht="15.5" x14ac:dyDescent="0.35">
      <c r="A311" s="199">
        <v>2020</v>
      </c>
      <c r="B311" s="110" t="s">
        <v>5850</v>
      </c>
      <c r="C311" s="110">
        <v>2013</v>
      </c>
      <c r="D311" s="110" t="str">
        <f t="shared" si="4"/>
        <v>2020_2013</v>
      </c>
      <c r="E311" s="1231">
        <v>1.93063557441959E-2</v>
      </c>
      <c r="F311" s="1232">
        <v>2.6083030277573964E-2</v>
      </c>
      <c r="G311" s="1232">
        <v>3.0705936360044701</v>
      </c>
      <c r="H311" s="1232">
        <v>0.30822152159596883</v>
      </c>
      <c r="I311" s="1232">
        <v>2.3274319324302899E-2</v>
      </c>
      <c r="J311" s="1232">
        <v>1.0620277140340609E-4</v>
      </c>
      <c r="K311" s="1232">
        <v>3.0000008603874302E-3</v>
      </c>
      <c r="L311" s="1233">
        <v>2.7896265958989201E-2</v>
      </c>
      <c r="M311" s="1234">
        <v>2.43266807658854E-2</v>
      </c>
      <c r="N311" s="1235">
        <v>1.1100478945845015E-4</v>
      </c>
    </row>
    <row r="312" spans="1:14" ht="15.5" x14ac:dyDescent="0.35">
      <c r="A312" s="199">
        <v>2020</v>
      </c>
      <c r="B312" s="110" t="s">
        <v>5850</v>
      </c>
      <c r="C312" s="110">
        <v>2014</v>
      </c>
      <c r="D312" s="110" t="str">
        <f t="shared" si="4"/>
        <v>2020_2014</v>
      </c>
      <c r="E312" s="1231">
        <v>9.6471754734927893E-3</v>
      </c>
      <c r="F312" s="1232">
        <v>2.6083030277574103E-2</v>
      </c>
      <c r="G312" s="1232">
        <v>1.29169689158945</v>
      </c>
      <c r="H312" s="1232">
        <v>0.30822152159597049</v>
      </c>
      <c r="I312" s="1232">
        <v>2.6284341104368499E-2</v>
      </c>
      <c r="J312" s="1232">
        <v>1.0620277140340666E-4</v>
      </c>
      <c r="K312" s="1232">
        <v>3.0000008603874302E-3</v>
      </c>
      <c r="L312" s="1233">
        <v>2.78962659588512E-2</v>
      </c>
      <c r="M312" s="1234">
        <v>2.7472802374071799E-2</v>
      </c>
      <c r="N312" s="1235">
        <v>1.1100478945845074E-4</v>
      </c>
    </row>
    <row r="313" spans="1:14" ht="15.5" x14ac:dyDescent="0.35">
      <c r="A313" s="199">
        <v>2020</v>
      </c>
      <c r="B313" s="110" t="s">
        <v>5850</v>
      </c>
      <c r="C313" s="110">
        <v>2015</v>
      </c>
      <c r="D313" s="110" t="str">
        <f t="shared" si="4"/>
        <v>2020_2015</v>
      </c>
      <c r="E313" s="1231">
        <v>9.3007231778706699E-3</v>
      </c>
      <c r="F313" s="1232">
        <v>2.6083030277573981E-2</v>
      </c>
      <c r="G313" s="1232">
        <v>1.23756879213473</v>
      </c>
      <c r="H313" s="1232">
        <v>0.30822152159596905</v>
      </c>
      <c r="I313" s="1232">
        <v>2.4367711085223599E-2</v>
      </c>
      <c r="J313" s="1232">
        <v>1.0620277140340616E-4</v>
      </c>
      <c r="K313" s="1232">
        <v>3.0000008603874302E-3</v>
      </c>
      <c r="L313" s="1233">
        <v>2.7896265958884E-2</v>
      </c>
      <c r="M313" s="1234">
        <v>2.5469510850380999E-2</v>
      </c>
      <c r="N313" s="1235">
        <v>1.1100478945845021E-4</v>
      </c>
    </row>
    <row r="314" spans="1:14" ht="15.5" x14ac:dyDescent="0.35">
      <c r="A314" s="199">
        <v>2020</v>
      </c>
      <c r="B314" s="110" t="s">
        <v>5850</v>
      </c>
      <c r="C314" s="110">
        <v>2016</v>
      </c>
      <c r="D314" s="110" t="str">
        <f t="shared" si="4"/>
        <v>2020_2016</v>
      </c>
      <c r="E314" s="1231">
        <v>8.9542708822332607E-3</v>
      </c>
      <c r="F314" s="1232">
        <v>2.6083030277574089E-2</v>
      </c>
      <c r="G314" s="1232">
        <v>1.1777854698081001</v>
      </c>
      <c r="H314" s="1232">
        <v>0.30822152159597033</v>
      </c>
      <c r="I314" s="1232">
        <v>2.2451081066140001E-2</v>
      </c>
      <c r="J314" s="1232">
        <v>1.062027714034066E-4</v>
      </c>
      <c r="K314" s="1232">
        <v>3.0000008603874302E-3</v>
      </c>
      <c r="L314" s="1233">
        <v>2.7896265958879299E-2</v>
      </c>
      <c r="M314" s="1234">
        <v>2.34662193267542E-2</v>
      </c>
      <c r="N314" s="1235">
        <v>1.1100478945845069E-4</v>
      </c>
    </row>
    <row r="315" spans="1:14" ht="15.5" x14ac:dyDescent="0.35">
      <c r="A315" s="199">
        <v>2020</v>
      </c>
      <c r="B315" s="110" t="s">
        <v>5850</v>
      </c>
      <c r="C315" s="110">
        <v>2017</v>
      </c>
      <c r="D315" s="110" t="str">
        <f t="shared" si="4"/>
        <v>2020_2017</v>
      </c>
      <c r="E315" s="1231">
        <v>8.7902568548142504E-3</v>
      </c>
      <c r="F315" s="1232">
        <v>2.6083030277573926E-2</v>
      </c>
      <c r="G315" s="1232">
        <v>1.11051609976574</v>
      </c>
      <c r="H315" s="1232">
        <v>0.30822152159596844</v>
      </c>
      <c r="I315" s="1232">
        <v>1.6756564673271801E-2</v>
      </c>
      <c r="J315" s="1232">
        <v>1.0620277140340594E-4</v>
      </c>
      <c r="K315" s="1232">
        <v>3.0000008603874302E-3</v>
      </c>
      <c r="L315" s="1233">
        <v>2.7896265958872901E-2</v>
      </c>
      <c r="M315" s="1234">
        <v>1.7514222171642699E-2</v>
      </c>
      <c r="N315" s="1235">
        <v>1.1100478945844998E-4</v>
      </c>
    </row>
    <row r="316" spans="1:14" ht="15.5" x14ac:dyDescent="0.35">
      <c r="A316" s="199">
        <v>2020</v>
      </c>
      <c r="B316" s="110" t="s">
        <v>5850</v>
      </c>
      <c r="C316" s="110">
        <v>2018</v>
      </c>
      <c r="D316" s="110" t="str">
        <f t="shared" si="4"/>
        <v>2020_2018</v>
      </c>
      <c r="E316" s="1231">
        <v>8.4364625106374304E-3</v>
      </c>
      <c r="F316" s="1232">
        <v>2.6083030277574054E-2</v>
      </c>
      <c r="G316" s="1232">
        <v>1.0327301766563499</v>
      </c>
      <c r="H316" s="1232">
        <v>0.30822152159596994</v>
      </c>
      <c r="I316" s="1232">
        <v>1.5192486511250301E-2</v>
      </c>
      <c r="J316" s="1232">
        <v>1.0620277140340647E-4</v>
      </c>
      <c r="K316" s="1232">
        <v>3.0000008603874302E-3</v>
      </c>
      <c r="L316" s="1233">
        <v>2.7896265958776E-2</v>
      </c>
      <c r="M316" s="1234">
        <v>1.5879423335628699E-2</v>
      </c>
      <c r="N316" s="1235">
        <v>1.1100478945845054E-4</v>
      </c>
    </row>
    <row r="317" spans="1:14" ht="15.5" x14ac:dyDescent="0.35">
      <c r="A317" s="199">
        <v>2020</v>
      </c>
      <c r="B317" s="110" t="s">
        <v>5850</v>
      </c>
      <c r="C317" s="110">
        <v>2019</v>
      </c>
      <c r="D317" s="110" t="str">
        <f t="shared" si="4"/>
        <v>2020_2019</v>
      </c>
      <c r="E317" s="1231">
        <v>8.0826681663955305E-3</v>
      </c>
      <c r="F317" s="1232">
        <v>2.6083030277574009E-2</v>
      </c>
      <c r="G317" s="1232">
        <v>0.93873609079142595</v>
      </c>
      <c r="H317" s="1232">
        <v>0.30822152159596944</v>
      </c>
      <c r="I317" s="1232">
        <v>1.36284083487843E-2</v>
      </c>
      <c r="J317" s="1232">
        <v>1.0620277140340629E-4</v>
      </c>
      <c r="K317" s="1232">
        <v>3.0000008603874302E-3</v>
      </c>
      <c r="L317" s="1233">
        <v>2.7896265958981599E-2</v>
      </c>
      <c r="M317" s="1234">
        <v>1.4244624499149899E-2</v>
      </c>
      <c r="N317" s="1235">
        <v>1.1100478945845035E-4</v>
      </c>
    </row>
    <row r="318" spans="1:14" ht="15.5" x14ac:dyDescent="0.35">
      <c r="A318" s="199">
        <v>2020</v>
      </c>
      <c r="B318" s="110" t="s">
        <v>5850</v>
      </c>
      <c r="C318" s="110">
        <v>2020</v>
      </c>
      <c r="D318" s="110" t="str">
        <f t="shared" si="4"/>
        <v>2020_2020</v>
      </c>
      <c r="E318" s="1231">
        <v>7.7291353807913601E-3</v>
      </c>
      <c r="F318" s="1232">
        <v>2.608303182731184E-2</v>
      </c>
      <c r="G318" s="1232">
        <v>0.81519078992433303</v>
      </c>
      <c r="H318" s="1232">
        <v>0.30822153990912349</v>
      </c>
      <c r="I318" s="1232">
        <v>1.2066189682350899E-2</v>
      </c>
      <c r="J318" s="1232">
        <v>1.0620277771350395E-4</v>
      </c>
      <c r="K318" s="1232">
        <v>3.0000008603871002E-3</v>
      </c>
      <c r="L318" s="1233">
        <v>2.78946199615667E-2</v>
      </c>
      <c r="M318" s="1234">
        <v>1.26117692368631E-2</v>
      </c>
      <c r="N318" s="1235">
        <v>1.1100479605386182E-4</v>
      </c>
    </row>
    <row r="319" spans="1:14" ht="15.5" x14ac:dyDescent="0.35">
      <c r="A319" s="199">
        <v>2020</v>
      </c>
      <c r="B319" s="110" t="s">
        <v>5850</v>
      </c>
      <c r="C319" s="110">
        <v>2021</v>
      </c>
      <c r="D319" s="110" t="str">
        <f t="shared" si="4"/>
        <v>2020_2021</v>
      </c>
      <c r="E319" s="1231">
        <v>7.3739013031533397E-3</v>
      </c>
      <c r="F319" s="1232">
        <v>6.2599255099705278E-2</v>
      </c>
      <c r="G319" s="1232">
        <v>0.60865870072004602</v>
      </c>
      <c r="H319" s="1232">
        <v>0.73973144424843174</v>
      </c>
      <c r="I319" s="1232">
        <v>1.0492612226709301E-2</v>
      </c>
      <c r="J319" s="1232">
        <v>2.5488657984243515E-4</v>
      </c>
      <c r="K319" s="1232">
        <v>3.0000008603889702E-3</v>
      </c>
      <c r="L319" s="1233">
        <v>2.79040359244839E-2</v>
      </c>
      <c r="M319" s="1234">
        <v>1.0967041591324E-2</v>
      </c>
      <c r="N319" s="1235">
        <v>2.6641141994046308E-4</v>
      </c>
    </row>
    <row r="320" spans="1:14" ht="15.5" x14ac:dyDescent="0.35">
      <c r="A320" s="199">
        <v>2021</v>
      </c>
      <c r="B320" s="110" t="s">
        <v>5850</v>
      </c>
      <c r="C320" s="110">
        <v>1971</v>
      </c>
      <c r="D320" s="110" t="str">
        <f t="shared" si="4"/>
        <v>2021_1971</v>
      </c>
      <c r="E320" s="1226">
        <v>0.91446008939594103</v>
      </c>
      <c r="F320" s="1227">
        <v>0.14924316349667663</v>
      </c>
      <c r="G320" s="1227">
        <v>11.539552430452099</v>
      </c>
      <c r="H320" s="1227">
        <v>2.7905484770079578</v>
      </c>
      <c r="I320" s="1227">
        <v>0.66025901279763299</v>
      </c>
      <c r="J320" s="1227">
        <v>1.8745897883527679E-2</v>
      </c>
      <c r="K320" s="1227">
        <v>3.0000008603874198E-3</v>
      </c>
      <c r="L320" s="1228">
        <v>3.74707036900696E-2</v>
      </c>
      <c r="M320" s="1229">
        <v>0.69011299550036498</v>
      </c>
      <c r="N320" s="1230">
        <v>1.959350420213091E-2</v>
      </c>
    </row>
    <row r="321" spans="1:14" ht="15.5" x14ac:dyDescent="0.35">
      <c r="A321" s="199">
        <v>2021</v>
      </c>
      <c r="B321" s="110" t="s">
        <v>5850</v>
      </c>
      <c r="C321" s="110">
        <v>1972</v>
      </c>
      <c r="D321" s="110" t="str">
        <f t="shared" si="4"/>
        <v>2021_1972</v>
      </c>
      <c r="E321" s="1226">
        <v>0.91446008939594103</v>
      </c>
      <c r="F321" s="1227">
        <v>0.14924316349667663</v>
      </c>
      <c r="G321" s="1227">
        <v>11.539552430452099</v>
      </c>
      <c r="H321" s="1227">
        <v>2.7905484770079578</v>
      </c>
      <c r="I321" s="1227">
        <v>0.66025901279763299</v>
      </c>
      <c r="J321" s="1227">
        <v>1.8745897883527679E-2</v>
      </c>
      <c r="K321" s="1227">
        <v>3.0000008603874198E-3</v>
      </c>
      <c r="L321" s="1228">
        <v>3.74707036900696E-2</v>
      </c>
      <c r="M321" s="1229">
        <v>0.69011299550036498</v>
      </c>
      <c r="N321" s="1230">
        <v>1.959350420213091E-2</v>
      </c>
    </row>
    <row r="322" spans="1:14" ht="15.5" x14ac:dyDescent="0.35">
      <c r="A322" s="199">
        <v>2021</v>
      </c>
      <c r="B322" s="110" t="s">
        <v>5850</v>
      </c>
      <c r="C322" s="110">
        <v>1973</v>
      </c>
      <c r="D322" s="110" t="str">
        <f t="shared" si="4"/>
        <v>2021_1973</v>
      </c>
      <c r="E322" s="1226">
        <v>0.91446008939594103</v>
      </c>
      <c r="F322" s="1227">
        <v>0.14924316349667663</v>
      </c>
      <c r="G322" s="1227">
        <v>11.539552430452099</v>
      </c>
      <c r="H322" s="1227">
        <v>2.7905484770079578</v>
      </c>
      <c r="I322" s="1227">
        <v>0.66025901279763299</v>
      </c>
      <c r="J322" s="1227">
        <v>1.8745897883527679E-2</v>
      </c>
      <c r="K322" s="1227">
        <v>3.0000008603874198E-3</v>
      </c>
      <c r="L322" s="1228">
        <v>3.74707036900696E-2</v>
      </c>
      <c r="M322" s="1229">
        <v>0.69011299550036498</v>
      </c>
      <c r="N322" s="1230">
        <v>1.959350420213091E-2</v>
      </c>
    </row>
    <row r="323" spans="1:14" ht="15.5" x14ac:dyDescent="0.35">
      <c r="A323" s="199">
        <v>2021</v>
      </c>
      <c r="B323" s="110" t="s">
        <v>5850</v>
      </c>
      <c r="C323" s="110">
        <v>1974</v>
      </c>
      <c r="D323" s="110" t="str">
        <f t="shared" si="4"/>
        <v>2021_1974</v>
      </c>
      <c r="E323" s="1226">
        <v>0.91446008939594103</v>
      </c>
      <c r="F323" s="1227">
        <v>0.14924316349667663</v>
      </c>
      <c r="G323" s="1227">
        <v>11.539552430452099</v>
      </c>
      <c r="H323" s="1227">
        <v>2.7905484770079578</v>
      </c>
      <c r="I323" s="1227">
        <v>0.66025901279763299</v>
      </c>
      <c r="J323" s="1227">
        <v>1.8745897883527679E-2</v>
      </c>
      <c r="K323" s="1227">
        <v>3.0000008603874198E-3</v>
      </c>
      <c r="L323" s="1228">
        <v>3.74707036900696E-2</v>
      </c>
      <c r="M323" s="1229">
        <v>0.69011299550036498</v>
      </c>
      <c r="N323" s="1230">
        <v>1.959350420213091E-2</v>
      </c>
    </row>
    <row r="324" spans="1:14" ht="15.5" x14ac:dyDescent="0.35">
      <c r="A324" s="199">
        <v>2021</v>
      </c>
      <c r="B324" s="110" t="s">
        <v>5850</v>
      </c>
      <c r="C324" s="110">
        <v>1975</v>
      </c>
      <c r="D324" s="110" t="str">
        <f t="shared" si="4"/>
        <v>2021_1975</v>
      </c>
      <c r="E324" s="1226">
        <v>0.91446008939594103</v>
      </c>
      <c r="F324" s="1227">
        <v>0.14924316349667663</v>
      </c>
      <c r="G324" s="1227">
        <v>11.539552430452099</v>
      </c>
      <c r="H324" s="1227">
        <v>2.7905484770079578</v>
      </c>
      <c r="I324" s="1227">
        <v>0.66025901279763299</v>
      </c>
      <c r="J324" s="1227">
        <v>1.8745897883527679E-2</v>
      </c>
      <c r="K324" s="1227">
        <v>3.0000008603874198E-3</v>
      </c>
      <c r="L324" s="1228">
        <v>3.74707036900696E-2</v>
      </c>
      <c r="M324" s="1229">
        <v>0.69011299550036498</v>
      </c>
      <c r="N324" s="1230">
        <v>1.959350420213091E-2</v>
      </c>
    </row>
    <row r="325" spans="1:14" ht="15.5" x14ac:dyDescent="0.35">
      <c r="A325" s="199">
        <v>2021</v>
      </c>
      <c r="B325" s="110" t="s">
        <v>5850</v>
      </c>
      <c r="C325" s="110">
        <v>1976</v>
      </c>
      <c r="D325" s="110" t="str">
        <f t="shared" si="4"/>
        <v>2021_1976</v>
      </c>
      <c r="E325" s="1226">
        <v>0.91446008939594103</v>
      </c>
      <c r="F325" s="1227">
        <v>0.14924316349667663</v>
      </c>
      <c r="G325" s="1227">
        <v>11.539552430452099</v>
      </c>
      <c r="H325" s="1227">
        <v>2.7905484770079578</v>
      </c>
      <c r="I325" s="1227">
        <v>0.66025901279763299</v>
      </c>
      <c r="J325" s="1227">
        <v>1.8745897883527679E-2</v>
      </c>
      <c r="K325" s="1227">
        <v>3.0000008603874198E-3</v>
      </c>
      <c r="L325" s="1228">
        <v>3.74707036900696E-2</v>
      </c>
      <c r="M325" s="1229">
        <v>0.69011299550036498</v>
      </c>
      <c r="N325" s="1230">
        <v>1.959350420213091E-2</v>
      </c>
    </row>
    <row r="326" spans="1:14" ht="15.5" x14ac:dyDescent="0.35">
      <c r="A326" s="199">
        <v>2021</v>
      </c>
      <c r="B326" s="110" t="s">
        <v>5850</v>
      </c>
      <c r="C326" s="110">
        <v>1977</v>
      </c>
      <c r="D326" s="110" t="str">
        <f t="shared" si="4"/>
        <v>2021_1977</v>
      </c>
      <c r="E326" s="1226">
        <v>0.91446008939594103</v>
      </c>
      <c r="F326" s="1227">
        <v>0.14924316349667663</v>
      </c>
      <c r="G326" s="1227">
        <v>11.539552430452099</v>
      </c>
      <c r="H326" s="1227">
        <v>2.7905484770079578</v>
      </c>
      <c r="I326" s="1227">
        <v>0.66025901279763299</v>
      </c>
      <c r="J326" s="1227">
        <v>1.8745897883527679E-2</v>
      </c>
      <c r="K326" s="1227">
        <v>3.0000008603874198E-3</v>
      </c>
      <c r="L326" s="1228">
        <v>3.74707036900696E-2</v>
      </c>
      <c r="M326" s="1229">
        <v>0.69011299550036498</v>
      </c>
      <c r="N326" s="1230">
        <v>1.959350420213091E-2</v>
      </c>
    </row>
    <row r="327" spans="1:14" ht="15.5" x14ac:dyDescent="0.35">
      <c r="A327" s="199">
        <v>2021</v>
      </c>
      <c r="B327" s="110" t="s">
        <v>5850</v>
      </c>
      <c r="C327" s="110">
        <v>1978</v>
      </c>
      <c r="D327" s="110" t="str">
        <f t="shared" si="4"/>
        <v>2021_1978</v>
      </c>
      <c r="E327" s="1226">
        <v>0.91446008939594103</v>
      </c>
      <c r="F327" s="1227">
        <v>0.14924316349667663</v>
      </c>
      <c r="G327" s="1227">
        <v>11.539552430452099</v>
      </c>
      <c r="H327" s="1227">
        <v>2.7905484770079578</v>
      </c>
      <c r="I327" s="1227">
        <v>0.66025901279763299</v>
      </c>
      <c r="J327" s="1227">
        <v>1.8745897883527679E-2</v>
      </c>
      <c r="K327" s="1227">
        <v>3.0000008603874198E-3</v>
      </c>
      <c r="L327" s="1228">
        <v>3.74707036900696E-2</v>
      </c>
      <c r="M327" s="1229">
        <v>0.69011299550036498</v>
      </c>
      <c r="N327" s="1230">
        <v>1.959350420213091E-2</v>
      </c>
    </row>
    <row r="328" spans="1:14" ht="15.5" x14ac:dyDescent="0.35">
      <c r="A328" s="199">
        <v>2021</v>
      </c>
      <c r="B328" s="110" t="s">
        <v>5850</v>
      </c>
      <c r="C328" s="110">
        <v>1979</v>
      </c>
      <c r="D328" s="110" t="str">
        <f t="shared" si="4"/>
        <v>2021_1979</v>
      </c>
      <c r="E328" s="1226">
        <v>0.91446008939594103</v>
      </c>
      <c r="F328" s="1227">
        <v>0.14924316349667663</v>
      </c>
      <c r="G328" s="1227">
        <v>11.539552430452099</v>
      </c>
      <c r="H328" s="1227">
        <v>2.7905484770079578</v>
      </c>
      <c r="I328" s="1227">
        <v>0.66025901279763299</v>
      </c>
      <c r="J328" s="1227">
        <v>1.8745897883527679E-2</v>
      </c>
      <c r="K328" s="1227">
        <v>3.0000008603874198E-3</v>
      </c>
      <c r="L328" s="1228">
        <v>3.74707036900696E-2</v>
      </c>
      <c r="M328" s="1229">
        <v>0.69011299550036498</v>
      </c>
      <c r="N328" s="1230">
        <v>1.959350420213091E-2</v>
      </c>
    </row>
    <row r="329" spans="1:14" ht="15.5" x14ac:dyDescent="0.35">
      <c r="A329" s="199">
        <v>2021</v>
      </c>
      <c r="B329" s="110" t="s">
        <v>5850</v>
      </c>
      <c r="C329" s="110">
        <v>1980</v>
      </c>
      <c r="D329" s="110" t="str">
        <f t="shared" si="4"/>
        <v>2021_1980</v>
      </c>
      <c r="E329" s="1226">
        <v>0.91446008939594103</v>
      </c>
      <c r="F329" s="1227">
        <v>0.14924316349667663</v>
      </c>
      <c r="G329" s="1227">
        <v>11.539552430452099</v>
      </c>
      <c r="H329" s="1227">
        <v>2.7905484770079578</v>
      </c>
      <c r="I329" s="1227">
        <v>0.66025901279763299</v>
      </c>
      <c r="J329" s="1227">
        <v>1.8745897883527679E-2</v>
      </c>
      <c r="K329" s="1227">
        <v>3.0000008603874198E-3</v>
      </c>
      <c r="L329" s="1228">
        <v>3.74707036900696E-2</v>
      </c>
      <c r="M329" s="1229">
        <v>0.69011299550036498</v>
      </c>
      <c r="N329" s="1230">
        <v>1.959350420213091E-2</v>
      </c>
    </row>
    <row r="330" spans="1:14" ht="15.5" x14ac:dyDescent="0.35">
      <c r="A330" s="199">
        <v>2021</v>
      </c>
      <c r="B330" s="110" t="s">
        <v>5850</v>
      </c>
      <c r="C330" s="110">
        <v>1981</v>
      </c>
      <c r="D330" s="110" t="str">
        <f t="shared" si="4"/>
        <v>2021_1981</v>
      </c>
      <c r="E330" s="1226">
        <v>0.91446008939594103</v>
      </c>
      <c r="F330" s="1227">
        <v>0.14924316349667663</v>
      </c>
      <c r="G330" s="1227">
        <v>11.539552430452099</v>
      </c>
      <c r="H330" s="1227">
        <v>2.7905484770079578</v>
      </c>
      <c r="I330" s="1227">
        <v>0.66025901279763299</v>
      </c>
      <c r="J330" s="1227">
        <v>1.8745897883527679E-2</v>
      </c>
      <c r="K330" s="1227">
        <v>3.0000008603874198E-3</v>
      </c>
      <c r="L330" s="1228">
        <v>3.74707036900696E-2</v>
      </c>
      <c r="M330" s="1229">
        <v>0.69011299550036498</v>
      </c>
      <c r="N330" s="1230">
        <v>1.959350420213091E-2</v>
      </c>
    </row>
    <row r="331" spans="1:14" ht="15.5" x14ac:dyDescent="0.35">
      <c r="A331" s="199">
        <v>2021</v>
      </c>
      <c r="B331" s="110" t="s">
        <v>5850</v>
      </c>
      <c r="C331" s="110">
        <v>1982</v>
      </c>
      <c r="D331" s="110" t="str">
        <f t="shared" si="4"/>
        <v>2021_1982</v>
      </c>
      <c r="E331" s="1226">
        <v>0.91446008939594103</v>
      </c>
      <c r="F331" s="1227">
        <v>0.14924316349667663</v>
      </c>
      <c r="G331" s="1227">
        <v>11.539552430452099</v>
      </c>
      <c r="H331" s="1227">
        <v>2.7905484770079578</v>
      </c>
      <c r="I331" s="1227">
        <v>0.66025901279763299</v>
      </c>
      <c r="J331" s="1227">
        <v>1.8745897883527679E-2</v>
      </c>
      <c r="K331" s="1227">
        <v>3.0000008603874198E-3</v>
      </c>
      <c r="L331" s="1228">
        <v>3.74707036900696E-2</v>
      </c>
      <c r="M331" s="1229">
        <v>0.69011299550036498</v>
      </c>
      <c r="N331" s="1230">
        <v>1.959350420213091E-2</v>
      </c>
    </row>
    <row r="332" spans="1:14" ht="15.5" x14ac:dyDescent="0.35">
      <c r="A332" s="199">
        <v>2021</v>
      </c>
      <c r="B332" s="110" t="s">
        <v>5850</v>
      </c>
      <c r="C332" s="110">
        <v>1983</v>
      </c>
      <c r="D332" s="110" t="str">
        <f t="shared" si="4"/>
        <v>2021_1983</v>
      </c>
      <c r="E332" s="1226">
        <v>0.91446008939594103</v>
      </c>
      <c r="F332" s="1227">
        <v>0.14924316349667663</v>
      </c>
      <c r="G332" s="1227">
        <v>11.539552430452099</v>
      </c>
      <c r="H332" s="1227">
        <v>2.7905484770079578</v>
      </c>
      <c r="I332" s="1227">
        <v>0.66025901279763299</v>
      </c>
      <c r="J332" s="1227">
        <v>1.8745897883527679E-2</v>
      </c>
      <c r="K332" s="1227">
        <v>3.0000008603874198E-3</v>
      </c>
      <c r="L332" s="1228">
        <v>3.74707036900696E-2</v>
      </c>
      <c r="M332" s="1229">
        <v>0.69011299550036498</v>
      </c>
      <c r="N332" s="1230">
        <v>1.959350420213091E-2</v>
      </c>
    </row>
    <row r="333" spans="1:14" ht="15.5" x14ac:dyDescent="0.35">
      <c r="A333" s="199">
        <v>2021</v>
      </c>
      <c r="B333" s="110" t="s">
        <v>5850</v>
      </c>
      <c r="C333" s="110">
        <v>1984</v>
      </c>
      <c r="D333" s="110" t="str">
        <f t="shared" si="4"/>
        <v>2021_1984</v>
      </c>
      <c r="E333" s="1226">
        <v>0.91446008939594103</v>
      </c>
      <c r="F333" s="1227">
        <v>0.14924316349667663</v>
      </c>
      <c r="G333" s="1227">
        <v>11.539552430452099</v>
      </c>
      <c r="H333" s="1227">
        <v>2.7905484770079578</v>
      </c>
      <c r="I333" s="1227">
        <v>0.66025901279763299</v>
      </c>
      <c r="J333" s="1227">
        <v>1.8745897883527679E-2</v>
      </c>
      <c r="K333" s="1227">
        <v>3.0000008603874198E-3</v>
      </c>
      <c r="L333" s="1228">
        <v>3.74707036900696E-2</v>
      </c>
      <c r="M333" s="1229">
        <v>0.69011299550036498</v>
      </c>
      <c r="N333" s="1230">
        <v>1.959350420213091E-2</v>
      </c>
    </row>
    <row r="334" spans="1:14" ht="15.5" x14ac:dyDescent="0.35">
      <c r="A334" s="199">
        <v>2021</v>
      </c>
      <c r="B334" s="110" t="s">
        <v>5850</v>
      </c>
      <c r="C334" s="110">
        <v>1985</v>
      </c>
      <c r="D334" s="110" t="str">
        <f t="shared" si="4"/>
        <v>2021_1985</v>
      </c>
      <c r="E334" s="1226">
        <v>0.91446008939594103</v>
      </c>
      <c r="F334" s="1227">
        <v>0.14924316349667663</v>
      </c>
      <c r="G334" s="1227">
        <v>11.539552430452099</v>
      </c>
      <c r="H334" s="1227">
        <v>2.7905484770079578</v>
      </c>
      <c r="I334" s="1227">
        <v>0.66025901279763299</v>
      </c>
      <c r="J334" s="1227">
        <v>1.8745897883527679E-2</v>
      </c>
      <c r="K334" s="1227">
        <v>3.0000008603874198E-3</v>
      </c>
      <c r="L334" s="1228">
        <v>3.74707036900696E-2</v>
      </c>
      <c r="M334" s="1229">
        <v>0.69011299550036498</v>
      </c>
      <c r="N334" s="1230">
        <v>1.959350420213091E-2</v>
      </c>
    </row>
    <row r="335" spans="1:14" ht="15.5" x14ac:dyDescent="0.35">
      <c r="A335" s="199">
        <v>2021</v>
      </c>
      <c r="B335" s="110" t="s">
        <v>5850</v>
      </c>
      <c r="C335" s="110">
        <v>1986</v>
      </c>
      <c r="D335" s="110" t="str">
        <f t="shared" si="4"/>
        <v>2021_1986</v>
      </c>
      <c r="E335" s="1226">
        <v>0.91446008939594103</v>
      </c>
      <c r="F335" s="1227">
        <v>0.14924316349667663</v>
      </c>
      <c r="G335" s="1227">
        <v>11.539552430452099</v>
      </c>
      <c r="H335" s="1227">
        <v>2.7905484770079578</v>
      </c>
      <c r="I335" s="1227">
        <v>0.66025901279763299</v>
      </c>
      <c r="J335" s="1227">
        <v>1.8745897883527679E-2</v>
      </c>
      <c r="K335" s="1227">
        <v>3.0000008603874198E-3</v>
      </c>
      <c r="L335" s="1228">
        <v>3.74707036900696E-2</v>
      </c>
      <c r="M335" s="1229">
        <v>0.69011299550036498</v>
      </c>
      <c r="N335" s="1230">
        <v>1.959350420213091E-2</v>
      </c>
    </row>
    <row r="336" spans="1:14" ht="15.5" x14ac:dyDescent="0.35">
      <c r="A336" s="199">
        <v>2021</v>
      </c>
      <c r="B336" s="110" t="s">
        <v>5850</v>
      </c>
      <c r="C336" s="110">
        <v>1987</v>
      </c>
      <c r="D336" s="110" t="str">
        <f t="shared" si="4"/>
        <v>2021_1987</v>
      </c>
      <c r="E336" s="1226">
        <v>0.91446008939594103</v>
      </c>
      <c r="F336" s="1227">
        <v>0.14924316349667663</v>
      </c>
      <c r="G336" s="1227">
        <v>11.539552430452099</v>
      </c>
      <c r="H336" s="1227">
        <v>2.7905484770079578</v>
      </c>
      <c r="I336" s="1227">
        <v>0.66025901279763299</v>
      </c>
      <c r="J336" s="1227">
        <v>1.8745897883527679E-2</v>
      </c>
      <c r="K336" s="1227">
        <v>3.0000008603874198E-3</v>
      </c>
      <c r="L336" s="1228">
        <v>3.74707036900696E-2</v>
      </c>
      <c r="M336" s="1229">
        <v>0.69011299550036498</v>
      </c>
      <c r="N336" s="1230">
        <v>1.959350420213091E-2</v>
      </c>
    </row>
    <row r="337" spans="1:14" ht="15.5" x14ac:dyDescent="0.35">
      <c r="A337" s="199">
        <v>2021</v>
      </c>
      <c r="B337" s="110" t="s">
        <v>5850</v>
      </c>
      <c r="C337" s="110">
        <v>1988</v>
      </c>
      <c r="D337" s="110" t="str">
        <f t="shared" si="4"/>
        <v>2021_1988</v>
      </c>
      <c r="E337" s="1226">
        <v>0.91446008939594103</v>
      </c>
      <c r="F337" s="1227">
        <v>0.14924316349667663</v>
      </c>
      <c r="G337" s="1227">
        <v>11.539552430452099</v>
      </c>
      <c r="H337" s="1227">
        <v>2.7905484770079578</v>
      </c>
      <c r="I337" s="1227">
        <v>0.66025901279763299</v>
      </c>
      <c r="J337" s="1227">
        <v>1.8745897883527679E-2</v>
      </c>
      <c r="K337" s="1227">
        <v>3.0000008603874198E-3</v>
      </c>
      <c r="L337" s="1228">
        <v>3.74707036900696E-2</v>
      </c>
      <c r="M337" s="1229">
        <v>0.69011299550036498</v>
      </c>
      <c r="N337" s="1230">
        <v>1.959350420213091E-2</v>
      </c>
    </row>
    <row r="338" spans="1:14" ht="15.5" x14ac:dyDescent="0.35">
      <c r="A338" s="199">
        <v>2021</v>
      </c>
      <c r="B338" s="110" t="s">
        <v>5850</v>
      </c>
      <c r="C338" s="110">
        <v>1989</v>
      </c>
      <c r="D338" s="110" t="str">
        <f t="shared" si="4"/>
        <v>2021_1989</v>
      </c>
      <c r="E338" s="1226">
        <v>0.91446008939594103</v>
      </c>
      <c r="F338" s="1227">
        <v>0.14924316349667663</v>
      </c>
      <c r="G338" s="1227">
        <v>11.539552430452099</v>
      </c>
      <c r="H338" s="1227">
        <v>2.7905484770079578</v>
      </c>
      <c r="I338" s="1227">
        <v>0.66025901279763299</v>
      </c>
      <c r="J338" s="1227">
        <v>1.8745897883527679E-2</v>
      </c>
      <c r="K338" s="1227">
        <v>3.0000008603874198E-3</v>
      </c>
      <c r="L338" s="1228">
        <v>3.74707036900696E-2</v>
      </c>
      <c r="M338" s="1229">
        <v>0.69011299550036498</v>
      </c>
      <c r="N338" s="1230">
        <v>1.959350420213091E-2</v>
      </c>
    </row>
    <row r="339" spans="1:14" ht="15.5" x14ac:dyDescent="0.35">
      <c r="A339" s="199">
        <v>2021</v>
      </c>
      <c r="B339" s="110" t="s">
        <v>5850</v>
      </c>
      <c r="C339" s="110">
        <v>1990</v>
      </c>
      <c r="D339" s="110" t="str">
        <f t="shared" si="4"/>
        <v>2021_1990</v>
      </c>
      <c r="E339" s="1226">
        <v>0.91446008939594103</v>
      </c>
      <c r="F339" s="1227">
        <v>0.14924316349667663</v>
      </c>
      <c r="G339" s="1227">
        <v>11.539552430452099</v>
      </c>
      <c r="H339" s="1227">
        <v>2.7905484770079578</v>
      </c>
      <c r="I339" s="1227">
        <v>0.66025901279763299</v>
      </c>
      <c r="J339" s="1227">
        <v>1.8745897883527679E-2</v>
      </c>
      <c r="K339" s="1227">
        <v>3.0000008603874198E-3</v>
      </c>
      <c r="L339" s="1228">
        <v>3.74707036900696E-2</v>
      </c>
      <c r="M339" s="1229">
        <v>0.69011299550036498</v>
      </c>
      <c r="N339" s="1230">
        <v>1.959350420213091E-2</v>
      </c>
    </row>
    <row r="340" spans="1:14" ht="15.5" x14ac:dyDescent="0.35">
      <c r="A340" s="199">
        <v>2021</v>
      </c>
      <c r="B340" s="110" t="s">
        <v>5850</v>
      </c>
      <c r="C340" s="110">
        <v>1991</v>
      </c>
      <c r="D340" s="110" t="str">
        <f t="shared" si="4"/>
        <v>2021_1991</v>
      </c>
      <c r="E340" s="1226">
        <v>0.91446008939594103</v>
      </c>
      <c r="F340" s="1227">
        <v>0.14924316349667663</v>
      </c>
      <c r="G340" s="1227">
        <v>11.539552430452099</v>
      </c>
      <c r="H340" s="1227">
        <v>2.7905484770079578</v>
      </c>
      <c r="I340" s="1227">
        <v>0.66025901279763299</v>
      </c>
      <c r="J340" s="1227">
        <v>1.8745897883527679E-2</v>
      </c>
      <c r="K340" s="1227">
        <v>3.0000008603874198E-3</v>
      </c>
      <c r="L340" s="1228">
        <v>3.74707036900696E-2</v>
      </c>
      <c r="M340" s="1229">
        <v>0.69011299550036498</v>
      </c>
      <c r="N340" s="1230">
        <v>1.959350420213091E-2</v>
      </c>
    </row>
    <row r="341" spans="1:14" ht="15.5" x14ac:dyDescent="0.35">
      <c r="A341" s="199">
        <v>2021</v>
      </c>
      <c r="B341" s="110" t="s">
        <v>5850</v>
      </c>
      <c r="C341" s="110">
        <v>1992</v>
      </c>
      <c r="D341" s="110" t="str">
        <f t="shared" si="4"/>
        <v>2021_1992</v>
      </c>
      <c r="E341" s="1226">
        <v>0.91446008939594103</v>
      </c>
      <c r="F341" s="1227">
        <v>0.14924316349667663</v>
      </c>
      <c r="G341" s="1227">
        <v>11.539552430452099</v>
      </c>
      <c r="H341" s="1227">
        <v>2.7905484770079578</v>
      </c>
      <c r="I341" s="1227">
        <v>0.66025901279763299</v>
      </c>
      <c r="J341" s="1227">
        <v>1.8745897883527679E-2</v>
      </c>
      <c r="K341" s="1227">
        <v>3.0000008603874198E-3</v>
      </c>
      <c r="L341" s="1228">
        <v>3.74707036900696E-2</v>
      </c>
      <c r="M341" s="1229">
        <v>0.69011299550036498</v>
      </c>
      <c r="N341" s="1230">
        <v>1.959350420213091E-2</v>
      </c>
    </row>
    <row r="342" spans="1:14" ht="15.5" x14ac:dyDescent="0.35">
      <c r="A342" s="199">
        <v>2021</v>
      </c>
      <c r="B342" s="110" t="s">
        <v>5850</v>
      </c>
      <c r="C342" s="110">
        <v>1993</v>
      </c>
      <c r="D342" s="110" t="str">
        <f t="shared" si="4"/>
        <v>2021_1993</v>
      </c>
      <c r="E342" s="1226">
        <v>0.91446008939594103</v>
      </c>
      <c r="F342" s="1227">
        <v>0.14924316349667663</v>
      </c>
      <c r="G342" s="1227">
        <v>11.539552430452099</v>
      </c>
      <c r="H342" s="1227">
        <v>2.7905484770079578</v>
      </c>
      <c r="I342" s="1227">
        <v>0.66025901279763299</v>
      </c>
      <c r="J342" s="1227">
        <v>1.8745897883527679E-2</v>
      </c>
      <c r="K342" s="1227">
        <v>3.0000008603874198E-3</v>
      </c>
      <c r="L342" s="1228">
        <v>3.74707036900696E-2</v>
      </c>
      <c r="M342" s="1229">
        <v>0.69011299550036498</v>
      </c>
      <c r="N342" s="1230">
        <v>1.959350420213091E-2</v>
      </c>
    </row>
    <row r="343" spans="1:14" ht="15.5" x14ac:dyDescent="0.35">
      <c r="A343" s="199">
        <v>2021</v>
      </c>
      <c r="B343" s="110" t="s">
        <v>5850</v>
      </c>
      <c r="C343" s="110">
        <v>1994</v>
      </c>
      <c r="D343" s="110" t="str">
        <f t="shared" si="4"/>
        <v>2021_1994</v>
      </c>
      <c r="E343" s="1226">
        <v>0.91446008939594103</v>
      </c>
      <c r="F343" s="1227">
        <v>0.14924316349667663</v>
      </c>
      <c r="G343" s="1227">
        <v>11.539552430452099</v>
      </c>
      <c r="H343" s="1227">
        <v>2.7905484770079578</v>
      </c>
      <c r="I343" s="1227">
        <v>0.66025901279763299</v>
      </c>
      <c r="J343" s="1227">
        <v>1.8745897883527679E-2</v>
      </c>
      <c r="K343" s="1227">
        <v>3.0000008603874198E-3</v>
      </c>
      <c r="L343" s="1228">
        <v>3.74707036900696E-2</v>
      </c>
      <c r="M343" s="1229">
        <v>0.69011299550036498</v>
      </c>
      <c r="N343" s="1230">
        <v>1.959350420213091E-2</v>
      </c>
    </row>
    <row r="344" spans="1:14" ht="15.5" x14ac:dyDescent="0.35">
      <c r="A344" s="199">
        <v>2021</v>
      </c>
      <c r="B344" s="110" t="s">
        <v>5850</v>
      </c>
      <c r="C344" s="110">
        <v>1995</v>
      </c>
      <c r="D344" s="110" t="str">
        <f t="shared" si="4"/>
        <v>2021_1995</v>
      </c>
      <c r="E344" s="1226">
        <v>0.91446008939594103</v>
      </c>
      <c r="F344" s="1227">
        <v>0.14924316349667663</v>
      </c>
      <c r="G344" s="1227">
        <v>11.539552430452099</v>
      </c>
      <c r="H344" s="1227">
        <v>2.7905484770079578</v>
      </c>
      <c r="I344" s="1227">
        <v>0.66025901279763299</v>
      </c>
      <c r="J344" s="1227">
        <v>1.8745897883527679E-2</v>
      </c>
      <c r="K344" s="1227">
        <v>3.0000008603874198E-3</v>
      </c>
      <c r="L344" s="1228">
        <v>3.74707036900696E-2</v>
      </c>
      <c r="M344" s="1229">
        <v>0.69011299550036498</v>
      </c>
      <c r="N344" s="1230">
        <v>1.959350420213091E-2</v>
      </c>
    </row>
    <row r="345" spans="1:14" ht="15.5" x14ac:dyDescent="0.35">
      <c r="A345" s="199">
        <v>2021</v>
      </c>
      <c r="B345" s="110" t="s">
        <v>5850</v>
      </c>
      <c r="C345" s="110">
        <v>1996</v>
      </c>
      <c r="D345" s="110" t="str">
        <f t="shared" si="4"/>
        <v>2021_1996</v>
      </c>
      <c r="E345" s="1226">
        <v>0.91446008939594103</v>
      </c>
      <c r="F345" s="1227">
        <v>0.14924316349667663</v>
      </c>
      <c r="G345" s="1227">
        <v>11.539552430452099</v>
      </c>
      <c r="H345" s="1227">
        <v>2.7905484770079578</v>
      </c>
      <c r="I345" s="1227">
        <v>0.66025901279763299</v>
      </c>
      <c r="J345" s="1227">
        <v>1.8745897883527679E-2</v>
      </c>
      <c r="K345" s="1227">
        <v>3.0000008603874198E-3</v>
      </c>
      <c r="L345" s="1228">
        <v>3.74707036900696E-2</v>
      </c>
      <c r="M345" s="1229">
        <v>0.69011299550036498</v>
      </c>
      <c r="N345" s="1230">
        <v>1.959350420213091E-2</v>
      </c>
    </row>
    <row r="346" spans="1:14" ht="15.5" x14ac:dyDescent="0.35">
      <c r="A346" s="199">
        <v>2021</v>
      </c>
      <c r="B346" s="110" t="s">
        <v>5850</v>
      </c>
      <c r="C346" s="110">
        <v>1997</v>
      </c>
      <c r="D346" s="110" t="str">
        <f t="shared" si="4"/>
        <v>2021_1997</v>
      </c>
      <c r="E346" s="1226">
        <v>0.91446008939594103</v>
      </c>
      <c r="F346" s="1227">
        <v>0.14924316349667663</v>
      </c>
      <c r="G346" s="1227">
        <v>11.539552430452099</v>
      </c>
      <c r="H346" s="1227">
        <v>2.7905484770079578</v>
      </c>
      <c r="I346" s="1227">
        <v>0.66025901279763299</v>
      </c>
      <c r="J346" s="1227">
        <v>1.8745897883527679E-2</v>
      </c>
      <c r="K346" s="1227">
        <v>3.0000008603874198E-3</v>
      </c>
      <c r="L346" s="1228">
        <v>3.74707036900696E-2</v>
      </c>
      <c r="M346" s="1229">
        <v>0.69011299550036498</v>
      </c>
      <c r="N346" s="1230">
        <v>1.959350420213091E-2</v>
      </c>
    </row>
    <row r="347" spans="1:14" ht="15.5" x14ac:dyDescent="0.35">
      <c r="A347" s="199">
        <v>2021</v>
      </c>
      <c r="B347" s="110" t="s">
        <v>5850</v>
      </c>
      <c r="C347" s="110">
        <v>1998</v>
      </c>
      <c r="D347" s="110" t="str">
        <f t="shared" si="4"/>
        <v>2021_1998</v>
      </c>
      <c r="E347" s="1226">
        <v>0.91446008939594103</v>
      </c>
      <c r="F347" s="1227">
        <v>0.14924316349667663</v>
      </c>
      <c r="G347" s="1227">
        <v>11.539552430452099</v>
      </c>
      <c r="H347" s="1227">
        <v>2.7905484770079578</v>
      </c>
      <c r="I347" s="1227">
        <v>0.66025901279763299</v>
      </c>
      <c r="J347" s="1227">
        <v>1.8745897883527679E-2</v>
      </c>
      <c r="K347" s="1227">
        <v>3.0000008603874198E-3</v>
      </c>
      <c r="L347" s="1228">
        <v>3.74707036900696E-2</v>
      </c>
      <c r="M347" s="1229">
        <v>0.69011299550036498</v>
      </c>
      <c r="N347" s="1230">
        <v>1.959350420213091E-2</v>
      </c>
    </row>
    <row r="348" spans="1:14" ht="15.5" x14ac:dyDescent="0.35">
      <c r="A348" s="199">
        <v>2021</v>
      </c>
      <c r="B348" s="110" t="s">
        <v>5850</v>
      </c>
      <c r="C348" s="110">
        <v>1999</v>
      </c>
      <c r="D348" s="110" t="str">
        <f t="shared" si="4"/>
        <v>2021_1999</v>
      </c>
      <c r="E348" s="1226">
        <v>0.91446008939594103</v>
      </c>
      <c r="F348" s="1227">
        <v>0.14924316349667663</v>
      </c>
      <c r="G348" s="1227">
        <v>11.539552430452099</v>
      </c>
      <c r="H348" s="1227">
        <v>2.7905484770079578</v>
      </c>
      <c r="I348" s="1227">
        <v>0.66025901279763299</v>
      </c>
      <c r="J348" s="1227">
        <v>1.8745897883527679E-2</v>
      </c>
      <c r="K348" s="1227">
        <v>3.0000008603874198E-3</v>
      </c>
      <c r="L348" s="1228">
        <v>3.74707036900696E-2</v>
      </c>
      <c r="M348" s="1229">
        <v>0.69011299550036498</v>
      </c>
      <c r="N348" s="1230">
        <v>1.959350420213091E-2</v>
      </c>
    </row>
    <row r="349" spans="1:14" ht="15.5" x14ac:dyDescent="0.35">
      <c r="A349" s="199">
        <v>2021</v>
      </c>
      <c r="B349" s="110" t="s">
        <v>5850</v>
      </c>
      <c r="C349" s="110">
        <v>2000</v>
      </c>
      <c r="D349" s="110" t="str">
        <f t="shared" si="4"/>
        <v>2021_2000</v>
      </c>
      <c r="E349" s="1226">
        <v>0.91446008939594103</v>
      </c>
      <c r="F349" s="1227">
        <v>0.14924316349667663</v>
      </c>
      <c r="G349" s="1227">
        <v>11.539552430452099</v>
      </c>
      <c r="H349" s="1227">
        <v>2.7905484770079578</v>
      </c>
      <c r="I349" s="1227">
        <v>0.66025901279763299</v>
      </c>
      <c r="J349" s="1227">
        <v>1.8745897883527679E-2</v>
      </c>
      <c r="K349" s="1227">
        <v>3.0000008603874198E-3</v>
      </c>
      <c r="L349" s="1228">
        <v>3.74707036900696E-2</v>
      </c>
      <c r="M349" s="1229">
        <v>0.69011299550036498</v>
      </c>
      <c r="N349" s="1230">
        <v>1.959350420213091E-2</v>
      </c>
    </row>
    <row r="350" spans="1:14" ht="15.5" x14ac:dyDescent="0.35">
      <c r="A350" s="199">
        <v>2021</v>
      </c>
      <c r="B350" s="110" t="s">
        <v>5850</v>
      </c>
      <c r="C350" s="110">
        <v>2001</v>
      </c>
      <c r="D350" s="110" t="str">
        <f t="shared" si="4"/>
        <v>2021_2001</v>
      </c>
      <c r="E350" s="1226">
        <v>0.91446008939594103</v>
      </c>
      <c r="F350" s="1227">
        <v>0.14924316349667663</v>
      </c>
      <c r="G350" s="1227">
        <v>11.539552430452099</v>
      </c>
      <c r="H350" s="1227">
        <v>2.7905484770079578</v>
      </c>
      <c r="I350" s="1227">
        <v>0.66025901279763299</v>
      </c>
      <c r="J350" s="1227">
        <v>1.8745897883527679E-2</v>
      </c>
      <c r="K350" s="1227">
        <v>3.0000008603874198E-3</v>
      </c>
      <c r="L350" s="1228">
        <v>3.74707036900696E-2</v>
      </c>
      <c r="M350" s="1229">
        <v>0.69011299550036498</v>
      </c>
      <c r="N350" s="1230">
        <v>1.959350420213091E-2</v>
      </c>
    </row>
    <row r="351" spans="1:14" ht="15.5" x14ac:dyDescent="0.35">
      <c r="A351" s="199">
        <v>2021</v>
      </c>
      <c r="B351" s="110" t="s">
        <v>5850</v>
      </c>
      <c r="C351" s="110">
        <v>2002</v>
      </c>
      <c r="D351" s="110" t="str">
        <f t="shared" si="4"/>
        <v>2021_2002</v>
      </c>
      <c r="E351" s="1226">
        <v>0.91446008939594103</v>
      </c>
      <c r="F351" s="1227">
        <v>0.14924316349667663</v>
      </c>
      <c r="G351" s="1227">
        <v>11.539552430452099</v>
      </c>
      <c r="H351" s="1227">
        <v>2.7905484770079578</v>
      </c>
      <c r="I351" s="1227">
        <v>0.66025901279763299</v>
      </c>
      <c r="J351" s="1227">
        <v>1.8745897883527679E-2</v>
      </c>
      <c r="K351" s="1227">
        <v>3.0000008603874198E-3</v>
      </c>
      <c r="L351" s="1228">
        <v>3.74707036900696E-2</v>
      </c>
      <c r="M351" s="1229">
        <v>0.69011299550036498</v>
      </c>
      <c r="N351" s="1230">
        <v>1.959350420213091E-2</v>
      </c>
    </row>
    <row r="352" spans="1:14" ht="15.5" x14ac:dyDescent="0.35">
      <c r="A352" s="199">
        <v>2021</v>
      </c>
      <c r="B352" s="110" t="s">
        <v>5850</v>
      </c>
      <c r="C352" s="110">
        <v>2003</v>
      </c>
      <c r="D352" s="110" t="str">
        <f t="shared" si="4"/>
        <v>2021_2003</v>
      </c>
      <c r="E352" s="1226">
        <v>0.91446008939594103</v>
      </c>
      <c r="F352" s="1227">
        <v>0.14924316349667663</v>
      </c>
      <c r="G352" s="1227">
        <v>11.539552430452099</v>
      </c>
      <c r="H352" s="1227">
        <v>2.7905484770079578</v>
      </c>
      <c r="I352" s="1227">
        <v>0.66025901279763299</v>
      </c>
      <c r="J352" s="1227">
        <v>1.8745897883527679E-2</v>
      </c>
      <c r="K352" s="1227">
        <v>3.0000008603874198E-3</v>
      </c>
      <c r="L352" s="1228">
        <v>3.74707036900696E-2</v>
      </c>
      <c r="M352" s="1229">
        <v>0.69011299550036498</v>
      </c>
      <c r="N352" s="1230">
        <v>1.959350420213091E-2</v>
      </c>
    </row>
    <row r="353" spans="1:14" ht="15.5" x14ac:dyDescent="0.35">
      <c r="A353" s="199">
        <v>2021</v>
      </c>
      <c r="B353" s="110" t="s">
        <v>5850</v>
      </c>
      <c r="C353" s="110">
        <v>2004</v>
      </c>
      <c r="D353" s="110" t="str">
        <f t="shared" si="4"/>
        <v>2021_2004</v>
      </c>
      <c r="E353" s="1226">
        <v>0.91446008939594103</v>
      </c>
      <c r="F353" s="1227">
        <v>0.14924316349667663</v>
      </c>
      <c r="G353" s="1227">
        <v>11.539552430452099</v>
      </c>
      <c r="H353" s="1227">
        <v>2.7905484770079578</v>
      </c>
      <c r="I353" s="1227">
        <v>0.66025901279763299</v>
      </c>
      <c r="J353" s="1227">
        <v>1.8745897883527679E-2</v>
      </c>
      <c r="K353" s="1227">
        <v>3.0000008603874198E-3</v>
      </c>
      <c r="L353" s="1228">
        <v>3.74707036900696E-2</v>
      </c>
      <c r="M353" s="1229">
        <v>0.69011299550036498</v>
      </c>
      <c r="N353" s="1230">
        <v>1.959350420213091E-2</v>
      </c>
    </row>
    <row r="354" spans="1:14" ht="15.5" x14ac:dyDescent="0.35">
      <c r="A354" s="199">
        <v>2021</v>
      </c>
      <c r="B354" s="110" t="s">
        <v>5850</v>
      </c>
      <c r="C354" s="110">
        <v>2005</v>
      </c>
      <c r="D354" s="110" t="str">
        <f t="shared" si="4"/>
        <v>2021_2005</v>
      </c>
      <c r="E354" s="1226">
        <v>0.91446008939594103</v>
      </c>
      <c r="F354" s="1227">
        <v>0.14924316349667663</v>
      </c>
      <c r="G354" s="1227">
        <v>11.539552430452099</v>
      </c>
      <c r="H354" s="1227">
        <v>2.7905484770079578</v>
      </c>
      <c r="I354" s="1227">
        <v>0.66025901279763299</v>
      </c>
      <c r="J354" s="1227">
        <v>1.8745897883527679E-2</v>
      </c>
      <c r="K354" s="1227">
        <v>3.0000008603874198E-3</v>
      </c>
      <c r="L354" s="1228">
        <v>3.74707036900696E-2</v>
      </c>
      <c r="M354" s="1229">
        <v>0.69011299550036498</v>
      </c>
      <c r="N354" s="1230">
        <v>1.959350420213091E-2</v>
      </c>
    </row>
    <row r="355" spans="1:14" ht="15.5" x14ac:dyDescent="0.35">
      <c r="A355" s="199">
        <v>2021</v>
      </c>
      <c r="B355" s="110" t="s">
        <v>5850</v>
      </c>
      <c r="C355" s="110">
        <v>2006</v>
      </c>
      <c r="D355" s="110" t="str">
        <f t="shared" si="4"/>
        <v>2021_2006</v>
      </c>
      <c r="E355" s="1231">
        <v>0.91446008939594103</v>
      </c>
      <c r="F355" s="1232">
        <v>0.14924316349667663</v>
      </c>
      <c r="G355" s="1232">
        <v>11.539552430452099</v>
      </c>
      <c r="H355" s="1232">
        <v>2.7905484770079578</v>
      </c>
      <c r="I355" s="1232">
        <v>0.66025901279763299</v>
      </c>
      <c r="J355" s="1232">
        <v>1.8745897883527679E-2</v>
      </c>
      <c r="K355" s="1232">
        <v>3.0000008603874198E-3</v>
      </c>
      <c r="L355" s="1233">
        <v>3.74707036900696E-2</v>
      </c>
      <c r="M355" s="1234">
        <v>0.69011299550036498</v>
      </c>
      <c r="N355" s="1235">
        <v>1.959350420213091E-2</v>
      </c>
    </row>
    <row r="356" spans="1:14" ht="15.5" x14ac:dyDescent="0.35">
      <c r="A356" s="198">
        <v>2021</v>
      </c>
      <c r="B356" s="197" t="s">
        <v>5850</v>
      </c>
      <c r="C356" s="197">
        <v>2007</v>
      </c>
      <c r="D356" s="110" t="str">
        <f t="shared" si="4"/>
        <v>2021_2007</v>
      </c>
      <c r="E356" s="1231">
        <v>0.65266196469608095</v>
      </c>
      <c r="F356" s="1232">
        <v>0.11197977994497636</v>
      </c>
      <c r="G356" s="1232">
        <v>10.562802294791799</v>
      </c>
      <c r="H356" s="1232">
        <v>2.5114936293071524</v>
      </c>
      <c r="I356" s="1232">
        <v>0.46934336065231302</v>
      </c>
      <c r="J356" s="1232">
        <v>1.4263650050087645E-2</v>
      </c>
      <c r="K356" s="1232">
        <v>3.0000008603874198E-3</v>
      </c>
      <c r="L356" s="1233">
        <v>3.7470703690568097E-2</v>
      </c>
      <c r="M356" s="1234">
        <v>0.49056498474069399</v>
      </c>
      <c r="N356" s="1235">
        <v>1.4908589011342982E-2</v>
      </c>
    </row>
    <row r="357" spans="1:14" ht="15.5" x14ac:dyDescent="0.35">
      <c r="A357" s="198">
        <v>2021</v>
      </c>
      <c r="B357" s="197" t="s">
        <v>5850</v>
      </c>
      <c r="C357" s="197">
        <v>2008</v>
      </c>
      <c r="D357" s="110" t="str">
        <f t="shared" si="4"/>
        <v>2021_2008</v>
      </c>
      <c r="E357" s="1231">
        <v>0.22931123237293499</v>
      </c>
      <c r="F357" s="1232">
        <v>4.5715926913100988E-2</v>
      </c>
      <c r="G357" s="1232">
        <v>8.3767203740548002</v>
      </c>
      <c r="H357" s="1232">
        <v>1.7376754552610048</v>
      </c>
      <c r="I357" s="1232">
        <v>4.3919130493821297E-2</v>
      </c>
      <c r="J357" s="1232">
        <v>7.0946338859464531E-4</v>
      </c>
      <c r="K357" s="1232">
        <v>3.0000008603874198E-3</v>
      </c>
      <c r="L357" s="1233">
        <v>3.7470703690788303E-2</v>
      </c>
      <c r="M357" s="1234">
        <v>4.59049586864968E-2</v>
      </c>
      <c r="N357" s="1235">
        <v>7.4154217482973379E-4</v>
      </c>
    </row>
    <row r="358" spans="1:14" ht="15.5" x14ac:dyDescent="0.35">
      <c r="A358" s="199">
        <v>2021</v>
      </c>
      <c r="B358" s="110" t="s">
        <v>5850</v>
      </c>
      <c r="C358" s="110">
        <v>2009</v>
      </c>
      <c r="D358" s="110" t="str">
        <f t="shared" si="4"/>
        <v>2021_2009</v>
      </c>
      <c r="E358" s="1231">
        <v>0.210216432426102</v>
      </c>
      <c r="F358" s="1232">
        <v>3.8763042244929526E-2</v>
      </c>
      <c r="G358" s="1232">
        <v>8.1970136039169308</v>
      </c>
      <c r="H358" s="1232">
        <v>0.77780568367360714</v>
      </c>
      <c r="I358" s="1232">
        <v>3.3283395846859597E-2</v>
      </c>
      <c r="J358" s="1232">
        <v>1.6071998204457571E-4</v>
      </c>
      <c r="K358" s="1232">
        <v>3.0000008603874198E-3</v>
      </c>
      <c r="L358" s="1233">
        <v>3.7470703691215003E-2</v>
      </c>
      <c r="M358" s="1234">
        <v>3.4788323314172899E-2</v>
      </c>
      <c r="N358" s="1235">
        <v>1.6798702644827435E-4</v>
      </c>
    </row>
    <row r="359" spans="1:14" ht="15.5" x14ac:dyDescent="0.35">
      <c r="A359" s="199">
        <v>2021</v>
      </c>
      <c r="B359" s="110" t="s">
        <v>5850</v>
      </c>
      <c r="C359" s="110">
        <v>2010</v>
      </c>
      <c r="D359" s="110" t="str">
        <f t="shared" si="4"/>
        <v>2021_2010</v>
      </c>
      <c r="E359" s="1231">
        <v>0.22208399556632699</v>
      </c>
      <c r="F359" s="1232">
        <v>3.4980012970759443E-2</v>
      </c>
      <c r="G359" s="1232">
        <v>7.4021456942580599</v>
      </c>
      <c r="H359" s="1232">
        <v>0.62806276404999228</v>
      </c>
      <c r="I359" s="1232">
        <v>4.8873768762919899E-2</v>
      </c>
      <c r="J359" s="1232">
        <v>1.4464798384011831E-4</v>
      </c>
      <c r="K359" s="1232">
        <v>3.0000008603874198E-3</v>
      </c>
      <c r="L359" s="1233">
        <v>2.7896234571388599E-2</v>
      </c>
      <c r="M359" s="1234">
        <v>5.1083623712242197E-2</v>
      </c>
      <c r="N359" s="1235">
        <v>1.5118832380344626E-4</v>
      </c>
    </row>
    <row r="360" spans="1:14" ht="15.5" x14ac:dyDescent="0.35">
      <c r="A360" s="199">
        <v>2021</v>
      </c>
      <c r="B360" s="110" t="s">
        <v>5850</v>
      </c>
      <c r="C360" s="110">
        <v>2011</v>
      </c>
      <c r="D360" s="110" t="str">
        <f t="shared" si="4"/>
        <v>2021_2011</v>
      </c>
      <c r="E360" s="1231">
        <v>0.10674976981057301</v>
      </c>
      <c r="F360" s="1232">
        <v>3.1865741970895714E-2</v>
      </c>
      <c r="G360" s="1232">
        <v>4.4595422234374604</v>
      </c>
      <c r="H360" s="1232">
        <v>0.42794773006613851</v>
      </c>
      <c r="I360" s="1232">
        <v>5.05096621191026E-2</v>
      </c>
      <c r="J360" s="1232">
        <v>1.3018318545610698E-4</v>
      </c>
      <c r="K360" s="1232">
        <v>3.0000008603874198E-3</v>
      </c>
      <c r="L360" s="1233">
        <v>2.78962345715702E-2</v>
      </c>
      <c r="M360" s="1234">
        <v>5.2793484906822202E-2</v>
      </c>
      <c r="N360" s="1235">
        <v>1.360694914231029E-4</v>
      </c>
    </row>
    <row r="361" spans="1:14" ht="15.5" x14ac:dyDescent="0.35">
      <c r="A361" s="199">
        <v>2021</v>
      </c>
      <c r="B361" s="110" t="s">
        <v>5850</v>
      </c>
      <c r="C361" s="110">
        <v>2012</v>
      </c>
      <c r="D361" s="110" t="str">
        <f t="shared" si="4"/>
        <v>2021_2012</v>
      </c>
      <c r="E361" s="1231">
        <v>2.1185971267805099E-2</v>
      </c>
      <c r="F361" s="1232">
        <v>2.8775282704123079E-2</v>
      </c>
      <c r="G361" s="1232">
        <v>3.6249084215032599</v>
      </c>
      <c r="H361" s="1232">
        <v>0.34003569849952048</v>
      </c>
      <c r="I361" s="1232">
        <v>2.7184452732330399E-2</v>
      </c>
      <c r="J361" s="1232">
        <v>1.1716486691049545E-4</v>
      </c>
      <c r="K361" s="1232">
        <v>3.0000008603874198E-3</v>
      </c>
      <c r="L361" s="1233">
        <v>2.7896234571682301E-2</v>
      </c>
      <c r="M361" s="1234">
        <v>2.8413613055663901E-2</v>
      </c>
      <c r="N361" s="1235">
        <v>1.2246254228079177E-4</v>
      </c>
    </row>
    <row r="362" spans="1:14" ht="15.5" x14ac:dyDescent="0.35">
      <c r="A362" s="199">
        <v>2021</v>
      </c>
      <c r="B362" s="110" t="s">
        <v>5850</v>
      </c>
      <c r="C362" s="110">
        <v>2013</v>
      </c>
      <c r="D362" s="110" t="str">
        <f t="shared" si="4"/>
        <v>2021_2013</v>
      </c>
      <c r="E362" s="1231">
        <v>2.0191135712298799E-2</v>
      </c>
      <c r="F362" s="1232">
        <v>2.589775443371075E-2</v>
      </c>
      <c r="G362" s="1232">
        <v>3.2585678288561599</v>
      </c>
      <c r="H362" s="1232">
        <v>0.30603212864956819</v>
      </c>
      <c r="I362" s="1232">
        <v>2.48533059864731E-2</v>
      </c>
      <c r="J362" s="1232">
        <v>1.0544838021944581E-4</v>
      </c>
      <c r="K362" s="1232">
        <v>3.0000008603874198E-3</v>
      </c>
      <c r="L362" s="1233">
        <v>2.7896234571670099E-2</v>
      </c>
      <c r="M362" s="1234">
        <v>2.59770621982694E-2</v>
      </c>
      <c r="N362" s="1235">
        <v>1.1021628805271248E-4</v>
      </c>
    </row>
    <row r="363" spans="1:14" ht="15.5" x14ac:dyDescent="0.35">
      <c r="A363" s="199">
        <v>2021</v>
      </c>
      <c r="B363" s="110" t="s">
        <v>5850</v>
      </c>
      <c r="C363" s="110">
        <v>2014</v>
      </c>
      <c r="D363" s="110" t="str">
        <f t="shared" si="4"/>
        <v>2021_2014</v>
      </c>
      <c r="E363" s="1231">
        <v>9.9936206069329604E-3</v>
      </c>
      <c r="F363" s="1232">
        <v>2.5897754433710823E-2</v>
      </c>
      <c r="G363" s="1232">
        <v>1.34137102240664</v>
      </c>
      <c r="H363" s="1232">
        <v>0.30603212864956897</v>
      </c>
      <c r="I363" s="1232">
        <v>2.7954738176002001E-2</v>
      </c>
      <c r="J363" s="1232">
        <v>1.0544838021944609E-4</v>
      </c>
      <c r="K363" s="1232">
        <v>3.0000008603874198E-3</v>
      </c>
      <c r="L363" s="1233">
        <v>2.7896234571561901E-2</v>
      </c>
      <c r="M363" s="1234">
        <v>2.9218727389007399E-2</v>
      </c>
      <c r="N363" s="1235">
        <v>1.1021628805271278E-4</v>
      </c>
    </row>
    <row r="364" spans="1:14" ht="15.5" x14ac:dyDescent="0.35">
      <c r="A364" s="199">
        <v>2021</v>
      </c>
      <c r="B364" s="110" t="s">
        <v>5850</v>
      </c>
      <c r="C364" s="110">
        <v>2015</v>
      </c>
      <c r="D364" s="110" t="str">
        <f t="shared" si="4"/>
        <v>2021_2015</v>
      </c>
      <c r="E364" s="1231">
        <v>9.6471685596055696E-3</v>
      </c>
      <c r="F364" s="1232">
        <v>2.5897754433710826E-2</v>
      </c>
      <c r="G364" s="1232">
        <v>1.29169633643176</v>
      </c>
      <c r="H364" s="1232">
        <v>0.30603212864956841</v>
      </c>
      <c r="I364" s="1232">
        <v>2.6067367170130501E-2</v>
      </c>
      <c r="J364" s="1232">
        <v>1.0544838021944612E-4</v>
      </c>
      <c r="K364" s="1232">
        <v>3.0000008603874198E-3</v>
      </c>
      <c r="L364" s="1233">
        <v>2.78962345715996E-2</v>
      </c>
      <c r="M364" s="1234">
        <v>2.72460178413352E-2</v>
      </c>
      <c r="N364" s="1235">
        <v>1.1021628805271279E-4</v>
      </c>
    </row>
    <row r="365" spans="1:14" ht="15.5" x14ac:dyDescent="0.35">
      <c r="A365" s="199">
        <v>2021</v>
      </c>
      <c r="B365" s="110" t="s">
        <v>5850</v>
      </c>
      <c r="C365" s="110">
        <v>2016</v>
      </c>
      <c r="D365" s="110" t="str">
        <f t="shared" si="4"/>
        <v>2021_2016</v>
      </c>
      <c r="E365" s="1231">
        <v>9.3007165122666394E-3</v>
      </c>
      <c r="F365" s="1232">
        <v>2.5897754433710819E-2</v>
      </c>
      <c r="G365" s="1232">
        <v>1.2375682602385201</v>
      </c>
      <c r="H365" s="1232">
        <v>0.30603212864956753</v>
      </c>
      <c r="I365" s="1232">
        <v>2.4179996164286201E-2</v>
      </c>
      <c r="J365" s="1232">
        <v>1.0544838021944582E-4</v>
      </c>
      <c r="K365" s="1232">
        <v>3.0000008603874198E-3</v>
      </c>
      <c r="L365" s="1233">
        <v>2.78962345716188E-2</v>
      </c>
      <c r="M365" s="1234">
        <v>2.5273308293691399E-2</v>
      </c>
      <c r="N365" s="1235">
        <v>1.1021628805271248E-4</v>
      </c>
    </row>
    <row r="366" spans="1:14" ht="15.5" x14ac:dyDescent="0.35">
      <c r="A366" s="199">
        <v>2021</v>
      </c>
      <c r="B366" s="110" t="s">
        <v>5850</v>
      </c>
      <c r="C366" s="110">
        <v>2017</v>
      </c>
      <c r="D366" s="110" t="str">
        <f t="shared" si="4"/>
        <v>2021_2017</v>
      </c>
      <c r="E366" s="1231">
        <v>9.1440570998378504E-3</v>
      </c>
      <c r="F366" s="1232">
        <v>2.5897754433710837E-2</v>
      </c>
      <c r="G366" s="1232">
        <v>1.17778496361159</v>
      </c>
      <c r="H366" s="1232">
        <v>0.30603212864956847</v>
      </c>
      <c r="I366" s="1232">
        <v>1.8191341503312999E-2</v>
      </c>
      <c r="J366" s="1232">
        <v>1.0544838021944616E-4</v>
      </c>
      <c r="K366" s="1232">
        <v>3.0000008603874198E-3</v>
      </c>
      <c r="L366" s="1233">
        <v>2.7896234571612399E-2</v>
      </c>
      <c r="M366" s="1234">
        <v>1.9013873243210501E-2</v>
      </c>
      <c r="N366" s="1235">
        <v>1.1021628805271283E-4</v>
      </c>
    </row>
    <row r="367" spans="1:14" ht="15.5" x14ac:dyDescent="0.35">
      <c r="A367" s="199">
        <v>2021</v>
      </c>
      <c r="B367" s="110" t="s">
        <v>5850</v>
      </c>
      <c r="C367" s="110">
        <v>2018</v>
      </c>
      <c r="D367" s="110" t="str">
        <f t="shared" si="4"/>
        <v>2021_2018</v>
      </c>
      <c r="E367" s="1231">
        <v>8.7902625273512704E-3</v>
      </c>
      <c r="F367" s="1232">
        <v>2.589775443371076E-2</v>
      </c>
      <c r="G367" s="1232">
        <v>1.11051562247547</v>
      </c>
      <c r="H367" s="1232">
        <v>0.3060321286495683</v>
      </c>
      <c r="I367" s="1232">
        <v>1.6651139700330601E-2</v>
      </c>
      <c r="J367" s="1232">
        <v>1.0544838021944585E-4</v>
      </c>
      <c r="K367" s="1232">
        <v>3.0000008603874198E-3</v>
      </c>
      <c r="L367" s="1233">
        <v>2.78962345715154E-2</v>
      </c>
      <c r="M367" s="1234">
        <v>1.7404030349241501E-2</v>
      </c>
      <c r="N367" s="1235">
        <v>1.1021628805271253E-4</v>
      </c>
    </row>
    <row r="368" spans="1:14" ht="15.5" x14ac:dyDescent="0.35">
      <c r="A368" s="198">
        <v>2021</v>
      </c>
      <c r="B368" s="197" t="s">
        <v>5850</v>
      </c>
      <c r="C368" s="197">
        <v>2019</v>
      </c>
      <c r="D368" s="110" t="str">
        <f t="shared" si="4"/>
        <v>2021_2019</v>
      </c>
      <c r="E368" s="1231">
        <v>8.4364679547968193E-3</v>
      </c>
      <c r="F368" s="1232">
        <v>2.5897754433710882E-2</v>
      </c>
      <c r="G368" s="1232">
        <v>1.0327297327999601</v>
      </c>
      <c r="H368" s="1232">
        <v>0.30603212864956902</v>
      </c>
      <c r="I368" s="1232">
        <v>1.51109378968587E-2</v>
      </c>
      <c r="J368" s="1232">
        <v>1.0544838021944634E-4</v>
      </c>
      <c r="K368" s="1232">
        <v>3.0000008603874198E-3</v>
      </c>
      <c r="L368" s="1233">
        <v>2.78962345717211E-2</v>
      </c>
      <c r="M368" s="1234">
        <v>1.57941874547608E-2</v>
      </c>
      <c r="N368" s="1235">
        <v>1.1021628805271305E-4</v>
      </c>
    </row>
    <row r="369" spans="1:14" ht="15.5" x14ac:dyDescent="0.35">
      <c r="A369" s="198">
        <v>2021</v>
      </c>
      <c r="B369" s="197" t="s">
        <v>5850</v>
      </c>
      <c r="C369" s="197">
        <v>2020</v>
      </c>
      <c r="D369" s="110" t="str">
        <f t="shared" si="4"/>
        <v>2021_2020</v>
      </c>
      <c r="E369" s="1231">
        <v>8.0826733823397695E-3</v>
      </c>
      <c r="F369" s="1232">
        <v>2.5897754433710767E-2</v>
      </c>
      <c r="G369" s="1232">
        <v>0.93873568733386403</v>
      </c>
      <c r="H369" s="1232">
        <v>0.30603212864956836</v>
      </c>
      <c r="I369" s="1232">
        <v>1.3570736093934299E-2</v>
      </c>
      <c r="J369" s="1232">
        <v>1.0544838021944586E-4</v>
      </c>
      <c r="K369" s="1232">
        <v>3.0000008603874198E-3</v>
      </c>
      <c r="L369" s="1233">
        <v>2.7896234571612999E-2</v>
      </c>
      <c r="M369" s="1234">
        <v>1.41843445608525E-2</v>
      </c>
      <c r="N369" s="1235">
        <v>1.1021628805271255E-4</v>
      </c>
    </row>
    <row r="370" spans="1:14" ht="15.5" x14ac:dyDescent="0.35">
      <c r="A370" s="198">
        <v>2021</v>
      </c>
      <c r="B370" s="197" t="s">
        <v>5850</v>
      </c>
      <c r="C370" s="197">
        <v>2021</v>
      </c>
      <c r="D370" s="110" t="str">
        <f t="shared" si="4"/>
        <v>2021_2021</v>
      </c>
      <c r="E370" s="1231">
        <v>7.7291404015826203E-3</v>
      </c>
      <c r="F370" s="1232">
        <v>2.5897754719475963E-2</v>
      </c>
      <c r="G370" s="1232">
        <v>0.81519043871990204</v>
      </c>
      <c r="H370" s="1232">
        <v>0.30603213202643681</v>
      </c>
      <c r="I370" s="1232">
        <v>1.2032388774771001E-2</v>
      </c>
      <c r="J370" s="1232">
        <v>1.054483813830018E-4</v>
      </c>
      <c r="K370" s="1232">
        <v>3.0000008603870902E-3</v>
      </c>
      <c r="L370" s="1233">
        <v>2.7894588409378401E-2</v>
      </c>
      <c r="M370" s="1234">
        <v>1.2576440002231799E-2</v>
      </c>
      <c r="N370" s="1235">
        <v>1.1021628926887852E-4</v>
      </c>
    </row>
    <row r="371" spans="1:14" ht="15.5" x14ac:dyDescent="0.35">
      <c r="A371" s="198">
        <v>2021</v>
      </c>
      <c r="B371" s="197" t="s">
        <v>5850</v>
      </c>
      <c r="C371" s="197">
        <v>2022</v>
      </c>
      <c r="D371" s="110" t="str">
        <f t="shared" si="4"/>
        <v>2021_2022</v>
      </c>
      <c r="E371" s="1231">
        <v>7.37390591217229E-3</v>
      </c>
      <c r="F371" s="1232">
        <v>6.2154607394359823E-2</v>
      </c>
      <c r="G371" s="1232">
        <v>0.60865844202481501</v>
      </c>
      <c r="H371" s="1232">
        <v>0.73447707039473409</v>
      </c>
      <c r="I371" s="1232">
        <v>1.0482699093103599E-2</v>
      </c>
      <c r="J371" s="1232">
        <v>2.5307609930764704E-4</v>
      </c>
      <c r="K371" s="1232">
        <v>3.0000008603889702E-3</v>
      </c>
      <c r="L371" s="1233">
        <v>2.79040053155995E-2</v>
      </c>
      <c r="M371" s="1234">
        <v>1.0956680229805499E-2</v>
      </c>
      <c r="N371" s="1235">
        <v>2.6451907750978023E-4</v>
      </c>
    </row>
    <row r="372" spans="1:14" ht="15.5" x14ac:dyDescent="0.35">
      <c r="A372" s="198">
        <v>2022</v>
      </c>
      <c r="B372" s="197" t="s">
        <v>5850</v>
      </c>
      <c r="C372" s="197">
        <v>1971</v>
      </c>
      <c r="D372" s="110" t="str">
        <f t="shared" si="4"/>
        <v>2022_1971</v>
      </c>
      <c r="E372" s="1226">
        <v>0.234768729337367</v>
      </c>
      <c r="F372" s="1227">
        <v>5.0490116029681655E-2</v>
      </c>
      <c r="G372" s="1227">
        <v>8.4560799716057602</v>
      </c>
      <c r="H372" s="1227">
        <v>1.9191437488477421</v>
      </c>
      <c r="I372" s="1227">
        <v>4.4402078372278199E-2</v>
      </c>
      <c r="J372" s="1227">
        <v>7.8355381215489323E-4</v>
      </c>
      <c r="K372" s="1227">
        <v>3.0000008603874302E-3</v>
      </c>
      <c r="L372" s="1228">
        <v>3.7470748260810899E-2</v>
      </c>
      <c r="M372" s="1229">
        <v>4.6409743324967903E-2</v>
      </c>
      <c r="N372" s="1230">
        <v>8.1898263857199194E-4</v>
      </c>
    </row>
    <row r="373" spans="1:14" ht="15.5" x14ac:dyDescent="0.35">
      <c r="A373" s="198">
        <v>2022</v>
      </c>
      <c r="B373" s="197" t="s">
        <v>5850</v>
      </c>
      <c r="C373" s="197">
        <v>1972</v>
      </c>
      <c r="D373" s="110" t="str">
        <f t="shared" si="4"/>
        <v>2022_1972</v>
      </c>
      <c r="E373" s="1226">
        <v>0.234768729337367</v>
      </c>
      <c r="F373" s="1227">
        <v>5.0490116029681655E-2</v>
      </c>
      <c r="G373" s="1227">
        <v>8.4560799716057602</v>
      </c>
      <c r="H373" s="1227">
        <v>1.9191437488477421</v>
      </c>
      <c r="I373" s="1227">
        <v>4.4402078372278199E-2</v>
      </c>
      <c r="J373" s="1227">
        <v>7.8355381215489323E-4</v>
      </c>
      <c r="K373" s="1227">
        <v>3.0000008603874302E-3</v>
      </c>
      <c r="L373" s="1228">
        <v>3.7470748260810899E-2</v>
      </c>
      <c r="M373" s="1229">
        <v>4.6409743324967903E-2</v>
      </c>
      <c r="N373" s="1230">
        <v>8.1898263857199194E-4</v>
      </c>
    </row>
    <row r="374" spans="1:14" ht="15.5" x14ac:dyDescent="0.35">
      <c r="A374" s="198">
        <v>2022</v>
      </c>
      <c r="B374" s="197" t="s">
        <v>5850</v>
      </c>
      <c r="C374" s="197">
        <v>1973</v>
      </c>
      <c r="D374" s="110" t="str">
        <f t="shared" si="4"/>
        <v>2022_1973</v>
      </c>
      <c r="E374" s="1226">
        <v>0.234768729337367</v>
      </c>
      <c r="F374" s="1227">
        <v>5.0490116029681655E-2</v>
      </c>
      <c r="G374" s="1227">
        <v>8.4560799716057602</v>
      </c>
      <c r="H374" s="1227">
        <v>1.9191437488477421</v>
      </c>
      <c r="I374" s="1227">
        <v>4.4402078372278199E-2</v>
      </c>
      <c r="J374" s="1227">
        <v>7.8355381215489323E-4</v>
      </c>
      <c r="K374" s="1227">
        <v>3.0000008603874302E-3</v>
      </c>
      <c r="L374" s="1228">
        <v>3.7470748260810899E-2</v>
      </c>
      <c r="M374" s="1229">
        <v>4.6409743324967903E-2</v>
      </c>
      <c r="N374" s="1230">
        <v>8.1898263857199194E-4</v>
      </c>
    </row>
    <row r="375" spans="1:14" ht="15.5" x14ac:dyDescent="0.35">
      <c r="A375" s="198">
        <v>2022</v>
      </c>
      <c r="B375" s="197" t="s">
        <v>5850</v>
      </c>
      <c r="C375" s="197">
        <v>1974</v>
      </c>
      <c r="D375" s="110" t="str">
        <f t="shared" si="4"/>
        <v>2022_1974</v>
      </c>
      <c r="E375" s="1226">
        <v>0.234768729337367</v>
      </c>
      <c r="F375" s="1227">
        <v>5.0490116029681655E-2</v>
      </c>
      <c r="G375" s="1227">
        <v>8.4560799716057602</v>
      </c>
      <c r="H375" s="1227">
        <v>1.9191437488477421</v>
      </c>
      <c r="I375" s="1227">
        <v>4.4402078372278199E-2</v>
      </c>
      <c r="J375" s="1227">
        <v>7.8355381215489323E-4</v>
      </c>
      <c r="K375" s="1227">
        <v>3.0000008603874302E-3</v>
      </c>
      <c r="L375" s="1228">
        <v>3.7470748260810899E-2</v>
      </c>
      <c r="M375" s="1229">
        <v>4.6409743324967903E-2</v>
      </c>
      <c r="N375" s="1230">
        <v>8.1898263857199194E-4</v>
      </c>
    </row>
    <row r="376" spans="1:14" ht="15.5" x14ac:dyDescent="0.35">
      <c r="A376" s="198">
        <v>2022</v>
      </c>
      <c r="B376" s="197" t="s">
        <v>5850</v>
      </c>
      <c r="C376" s="197">
        <v>1975</v>
      </c>
      <c r="D376" s="110" t="str">
        <f t="shared" si="4"/>
        <v>2022_1975</v>
      </c>
      <c r="E376" s="1226">
        <v>0.234768729337367</v>
      </c>
      <c r="F376" s="1227">
        <v>5.0490116029681655E-2</v>
      </c>
      <c r="G376" s="1227">
        <v>8.4560799716057602</v>
      </c>
      <c r="H376" s="1227">
        <v>1.9191437488477421</v>
      </c>
      <c r="I376" s="1227">
        <v>4.4402078372278199E-2</v>
      </c>
      <c r="J376" s="1227">
        <v>7.8355381215489323E-4</v>
      </c>
      <c r="K376" s="1227">
        <v>3.0000008603874302E-3</v>
      </c>
      <c r="L376" s="1228">
        <v>3.7470748260810899E-2</v>
      </c>
      <c r="M376" s="1229">
        <v>4.6409743324967903E-2</v>
      </c>
      <c r="N376" s="1230">
        <v>8.1898263857199194E-4</v>
      </c>
    </row>
    <row r="377" spans="1:14" ht="15.5" x14ac:dyDescent="0.35">
      <c r="A377" s="198">
        <v>2022</v>
      </c>
      <c r="B377" s="197" t="s">
        <v>5850</v>
      </c>
      <c r="C377" s="197">
        <v>1976</v>
      </c>
      <c r="D377" s="110" t="str">
        <f t="shared" si="4"/>
        <v>2022_1976</v>
      </c>
      <c r="E377" s="1226">
        <v>0.234768729337367</v>
      </c>
      <c r="F377" s="1227">
        <v>5.0490116029681655E-2</v>
      </c>
      <c r="G377" s="1227">
        <v>8.4560799716057602</v>
      </c>
      <c r="H377" s="1227">
        <v>1.9191437488477421</v>
      </c>
      <c r="I377" s="1227">
        <v>4.4402078372278199E-2</v>
      </c>
      <c r="J377" s="1227">
        <v>7.8355381215489323E-4</v>
      </c>
      <c r="K377" s="1227">
        <v>3.0000008603874302E-3</v>
      </c>
      <c r="L377" s="1228">
        <v>3.7470748260810899E-2</v>
      </c>
      <c r="M377" s="1229">
        <v>4.6409743324967903E-2</v>
      </c>
      <c r="N377" s="1230">
        <v>8.1898263857199194E-4</v>
      </c>
    </row>
    <row r="378" spans="1:14" ht="15.5" x14ac:dyDescent="0.35">
      <c r="A378" s="198">
        <v>2022</v>
      </c>
      <c r="B378" s="197" t="s">
        <v>5850</v>
      </c>
      <c r="C378" s="197">
        <v>1977</v>
      </c>
      <c r="D378" s="110" t="str">
        <f t="shared" si="4"/>
        <v>2022_1977</v>
      </c>
      <c r="E378" s="1226">
        <v>0.234768729337367</v>
      </c>
      <c r="F378" s="1227">
        <v>5.0490116029681655E-2</v>
      </c>
      <c r="G378" s="1227">
        <v>8.4560799716057602</v>
      </c>
      <c r="H378" s="1227">
        <v>1.9191437488477421</v>
      </c>
      <c r="I378" s="1227">
        <v>4.4402078372278199E-2</v>
      </c>
      <c r="J378" s="1227">
        <v>7.8355381215489323E-4</v>
      </c>
      <c r="K378" s="1227">
        <v>3.0000008603874302E-3</v>
      </c>
      <c r="L378" s="1228">
        <v>3.7470748260810899E-2</v>
      </c>
      <c r="M378" s="1229">
        <v>4.6409743324967903E-2</v>
      </c>
      <c r="N378" s="1230">
        <v>8.1898263857199194E-4</v>
      </c>
    </row>
    <row r="379" spans="1:14" ht="15.5" x14ac:dyDescent="0.35">
      <c r="A379" s="198">
        <v>2022</v>
      </c>
      <c r="B379" s="197" t="s">
        <v>5850</v>
      </c>
      <c r="C379" s="197">
        <v>1978</v>
      </c>
      <c r="D379" s="110" t="str">
        <f t="shared" si="4"/>
        <v>2022_1978</v>
      </c>
      <c r="E379" s="1226">
        <v>0.234768729337367</v>
      </c>
      <c r="F379" s="1227">
        <v>5.0490116029681655E-2</v>
      </c>
      <c r="G379" s="1227">
        <v>8.4560799716057602</v>
      </c>
      <c r="H379" s="1227">
        <v>1.9191437488477421</v>
      </c>
      <c r="I379" s="1227">
        <v>4.4402078372278199E-2</v>
      </c>
      <c r="J379" s="1227">
        <v>7.8355381215489323E-4</v>
      </c>
      <c r="K379" s="1227">
        <v>3.0000008603874302E-3</v>
      </c>
      <c r="L379" s="1228">
        <v>3.7470748260810899E-2</v>
      </c>
      <c r="M379" s="1229">
        <v>4.6409743324967903E-2</v>
      </c>
      <c r="N379" s="1230">
        <v>8.1898263857199194E-4</v>
      </c>
    </row>
    <row r="380" spans="1:14" ht="15.5" x14ac:dyDescent="0.35">
      <c r="A380" s="198">
        <v>2022</v>
      </c>
      <c r="B380" s="197" t="s">
        <v>5850</v>
      </c>
      <c r="C380" s="197">
        <v>1979</v>
      </c>
      <c r="D380" s="110" t="str">
        <f t="shared" si="4"/>
        <v>2022_1979</v>
      </c>
      <c r="E380" s="1226">
        <v>0.234768729337367</v>
      </c>
      <c r="F380" s="1227">
        <v>5.0490116029681655E-2</v>
      </c>
      <c r="G380" s="1227">
        <v>8.4560799716057602</v>
      </c>
      <c r="H380" s="1227">
        <v>1.9191437488477421</v>
      </c>
      <c r="I380" s="1227">
        <v>4.4402078372278199E-2</v>
      </c>
      <c r="J380" s="1227">
        <v>7.8355381215489323E-4</v>
      </c>
      <c r="K380" s="1227">
        <v>3.0000008603874302E-3</v>
      </c>
      <c r="L380" s="1228">
        <v>3.7470748260810899E-2</v>
      </c>
      <c r="M380" s="1229">
        <v>4.6409743324967903E-2</v>
      </c>
      <c r="N380" s="1230">
        <v>8.1898263857199194E-4</v>
      </c>
    </row>
    <row r="381" spans="1:14" ht="15.5" x14ac:dyDescent="0.35">
      <c r="A381" s="198">
        <v>2022</v>
      </c>
      <c r="B381" s="197" t="s">
        <v>5850</v>
      </c>
      <c r="C381" s="197">
        <v>1980</v>
      </c>
      <c r="D381" s="110" t="str">
        <f t="shared" si="4"/>
        <v>2022_1980</v>
      </c>
      <c r="E381" s="1226">
        <v>0.234768729337367</v>
      </c>
      <c r="F381" s="1227">
        <v>5.0490116029681655E-2</v>
      </c>
      <c r="G381" s="1227">
        <v>8.4560799716057602</v>
      </c>
      <c r="H381" s="1227">
        <v>1.9191437488477421</v>
      </c>
      <c r="I381" s="1227">
        <v>4.4402078372278199E-2</v>
      </c>
      <c r="J381" s="1227">
        <v>7.8355381215489323E-4</v>
      </c>
      <c r="K381" s="1227">
        <v>3.0000008603874302E-3</v>
      </c>
      <c r="L381" s="1228">
        <v>3.7470748260810899E-2</v>
      </c>
      <c r="M381" s="1229">
        <v>4.6409743324967903E-2</v>
      </c>
      <c r="N381" s="1230">
        <v>8.1898263857199194E-4</v>
      </c>
    </row>
    <row r="382" spans="1:14" ht="15.5" x14ac:dyDescent="0.35">
      <c r="A382" s="198">
        <v>2022</v>
      </c>
      <c r="B382" s="197" t="s">
        <v>5850</v>
      </c>
      <c r="C382" s="197">
        <v>1981</v>
      </c>
      <c r="D382" s="110" t="str">
        <f t="shared" si="4"/>
        <v>2022_1981</v>
      </c>
      <c r="E382" s="1226">
        <v>0.234768729337367</v>
      </c>
      <c r="F382" s="1227">
        <v>5.0490116029681655E-2</v>
      </c>
      <c r="G382" s="1227">
        <v>8.4560799716057602</v>
      </c>
      <c r="H382" s="1227">
        <v>1.9191437488477421</v>
      </c>
      <c r="I382" s="1227">
        <v>4.4402078372278199E-2</v>
      </c>
      <c r="J382" s="1227">
        <v>7.8355381215489323E-4</v>
      </c>
      <c r="K382" s="1227">
        <v>3.0000008603874302E-3</v>
      </c>
      <c r="L382" s="1228">
        <v>3.7470748260810899E-2</v>
      </c>
      <c r="M382" s="1229">
        <v>4.6409743324967903E-2</v>
      </c>
      <c r="N382" s="1230">
        <v>8.1898263857199194E-4</v>
      </c>
    </row>
    <row r="383" spans="1:14" ht="15.5" x14ac:dyDescent="0.35">
      <c r="A383" s="198">
        <v>2022</v>
      </c>
      <c r="B383" s="197" t="s">
        <v>5850</v>
      </c>
      <c r="C383" s="197">
        <v>1982</v>
      </c>
      <c r="D383" s="110" t="str">
        <f t="shared" si="4"/>
        <v>2022_1982</v>
      </c>
      <c r="E383" s="1226">
        <v>0.234768729337367</v>
      </c>
      <c r="F383" s="1227">
        <v>5.0490116029681655E-2</v>
      </c>
      <c r="G383" s="1227">
        <v>8.4560799716057602</v>
      </c>
      <c r="H383" s="1227">
        <v>1.9191437488477421</v>
      </c>
      <c r="I383" s="1227">
        <v>4.4402078372278199E-2</v>
      </c>
      <c r="J383" s="1227">
        <v>7.8355381215489323E-4</v>
      </c>
      <c r="K383" s="1227">
        <v>3.0000008603874302E-3</v>
      </c>
      <c r="L383" s="1228">
        <v>3.7470748260810899E-2</v>
      </c>
      <c r="M383" s="1229">
        <v>4.6409743324967903E-2</v>
      </c>
      <c r="N383" s="1230">
        <v>8.1898263857199194E-4</v>
      </c>
    </row>
    <row r="384" spans="1:14" ht="15.5" x14ac:dyDescent="0.35">
      <c r="A384" s="198">
        <v>2022</v>
      </c>
      <c r="B384" s="197" t="s">
        <v>5850</v>
      </c>
      <c r="C384" s="197">
        <v>1983</v>
      </c>
      <c r="D384" s="110" t="str">
        <f t="shared" si="4"/>
        <v>2022_1983</v>
      </c>
      <c r="E384" s="1226">
        <v>0.234768729337367</v>
      </c>
      <c r="F384" s="1227">
        <v>5.0490116029681655E-2</v>
      </c>
      <c r="G384" s="1227">
        <v>8.4560799716057602</v>
      </c>
      <c r="H384" s="1227">
        <v>1.9191437488477421</v>
      </c>
      <c r="I384" s="1227">
        <v>4.4402078372278199E-2</v>
      </c>
      <c r="J384" s="1227">
        <v>7.8355381215489323E-4</v>
      </c>
      <c r="K384" s="1227">
        <v>3.0000008603874302E-3</v>
      </c>
      <c r="L384" s="1228">
        <v>3.7470748260810899E-2</v>
      </c>
      <c r="M384" s="1229">
        <v>4.6409743324967903E-2</v>
      </c>
      <c r="N384" s="1230">
        <v>8.1898263857199194E-4</v>
      </c>
    </row>
    <row r="385" spans="1:14" ht="15.5" x14ac:dyDescent="0.35">
      <c r="A385" s="198">
        <v>2022</v>
      </c>
      <c r="B385" s="197" t="s">
        <v>5850</v>
      </c>
      <c r="C385" s="197">
        <v>1984</v>
      </c>
      <c r="D385" s="110" t="str">
        <f t="shared" si="4"/>
        <v>2022_1984</v>
      </c>
      <c r="E385" s="1226">
        <v>0.234768729337367</v>
      </c>
      <c r="F385" s="1227">
        <v>5.0490116029681655E-2</v>
      </c>
      <c r="G385" s="1227">
        <v>8.4560799716057602</v>
      </c>
      <c r="H385" s="1227">
        <v>1.9191437488477421</v>
      </c>
      <c r="I385" s="1227">
        <v>4.4402078372278199E-2</v>
      </c>
      <c r="J385" s="1227">
        <v>7.8355381215489323E-4</v>
      </c>
      <c r="K385" s="1227">
        <v>3.0000008603874302E-3</v>
      </c>
      <c r="L385" s="1228">
        <v>3.7470748260810899E-2</v>
      </c>
      <c r="M385" s="1229">
        <v>4.6409743324967903E-2</v>
      </c>
      <c r="N385" s="1230">
        <v>8.1898263857199194E-4</v>
      </c>
    </row>
    <row r="386" spans="1:14" ht="15.5" x14ac:dyDescent="0.35">
      <c r="A386" s="198">
        <v>2022</v>
      </c>
      <c r="B386" s="197" t="s">
        <v>5850</v>
      </c>
      <c r="C386" s="197">
        <v>1985</v>
      </c>
      <c r="D386" s="110" t="str">
        <f t="shared" si="4"/>
        <v>2022_1985</v>
      </c>
      <c r="E386" s="1226">
        <v>0.234768729337367</v>
      </c>
      <c r="F386" s="1227">
        <v>5.0490116029681655E-2</v>
      </c>
      <c r="G386" s="1227">
        <v>8.4560799716057602</v>
      </c>
      <c r="H386" s="1227">
        <v>1.9191437488477421</v>
      </c>
      <c r="I386" s="1227">
        <v>4.4402078372278199E-2</v>
      </c>
      <c r="J386" s="1227">
        <v>7.8355381215489323E-4</v>
      </c>
      <c r="K386" s="1227">
        <v>3.0000008603874302E-3</v>
      </c>
      <c r="L386" s="1228">
        <v>3.7470748260810899E-2</v>
      </c>
      <c r="M386" s="1229">
        <v>4.6409743324967903E-2</v>
      </c>
      <c r="N386" s="1230">
        <v>8.1898263857199194E-4</v>
      </c>
    </row>
    <row r="387" spans="1:14" ht="15.5" x14ac:dyDescent="0.35">
      <c r="A387" s="198">
        <v>2022</v>
      </c>
      <c r="B387" s="197" t="s">
        <v>5850</v>
      </c>
      <c r="C387" s="197">
        <v>1986</v>
      </c>
      <c r="D387" s="110" t="str">
        <f t="shared" si="4"/>
        <v>2022_1986</v>
      </c>
      <c r="E387" s="1226">
        <v>0.234768729337367</v>
      </c>
      <c r="F387" s="1227">
        <v>5.0490116029681655E-2</v>
      </c>
      <c r="G387" s="1227">
        <v>8.4560799716057602</v>
      </c>
      <c r="H387" s="1227">
        <v>1.9191437488477421</v>
      </c>
      <c r="I387" s="1227">
        <v>4.4402078372278199E-2</v>
      </c>
      <c r="J387" s="1227">
        <v>7.8355381215489323E-4</v>
      </c>
      <c r="K387" s="1227">
        <v>3.0000008603874302E-3</v>
      </c>
      <c r="L387" s="1228">
        <v>3.7470748260810899E-2</v>
      </c>
      <c r="M387" s="1229">
        <v>4.6409743324967903E-2</v>
      </c>
      <c r="N387" s="1230">
        <v>8.1898263857199194E-4</v>
      </c>
    </row>
    <row r="388" spans="1:14" ht="15.5" x14ac:dyDescent="0.35">
      <c r="A388" s="198">
        <v>2022</v>
      </c>
      <c r="B388" s="197" t="s">
        <v>5850</v>
      </c>
      <c r="C388" s="197">
        <v>1987</v>
      </c>
      <c r="D388" s="110" t="str">
        <f t="shared" si="4"/>
        <v>2022_1987</v>
      </c>
      <c r="E388" s="1226">
        <v>0.234768729337367</v>
      </c>
      <c r="F388" s="1227">
        <v>5.0490116029681655E-2</v>
      </c>
      <c r="G388" s="1227">
        <v>8.4560799716057602</v>
      </c>
      <c r="H388" s="1227">
        <v>1.9191437488477421</v>
      </c>
      <c r="I388" s="1227">
        <v>4.4402078372278199E-2</v>
      </c>
      <c r="J388" s="1227">
        <v>7.8355381215489323E-4</v>
      </c>
      <c r="K388" s="1227">
        <v>3.0000008603874302E-3</v>
      </c>
      <c r="L388" s="1228">
        <v>3.7470748260810899E-2</v>
      </c>
      <c r="M388" s="1229">
        <v>4.6409743324967903E-2</v>
      </c>
      <c r="N388" s="1230">
        <v>8.1898263857199194E-4</v>
      </c>
    </row>
    <row r="389" spans="1:14" ht="15.5" x14ac:dyDescent="0.35">
      <c r="A389" s="198">
        <v>2022</v>
      </c>
      <c r="B389" s="197" t="s">
        <v>5850</v>
      </c>
      <c r="C389" s="197">
        <v>1988</v>
      </c>
      <c r="D389" s="110" t="str">
        <f t="shared" si="4"/>
        <v>2022_1988</v>
      </c>
      <c r="E389" s="1226">
        <v>0.234768729337367</v>
      </c>
      <c r="F389" s="1227">
        <v>5.0490116029681655E-2</v>
      </c>
      <c r="G389" s="1227">
        <v>8.4560799716057602</v>
      </c>
      <c r="H389" s="1227">
        <v>1.9191437488477421</v>
      </c>
      <c r="I389" s="1227">
        <v>4.4402078372278199E-2</v>
      </c>
      <c r="J389" s="1227">
        <v>7.8355381215489323E-4</v>
      </c>
      <c r="K389" s="1227">
        <v>3.0000008603874302E-3</v>
      </c>
      <c r="L389" s="1228">
        <v>3.7470748260810899E-2</v>
      </c>
      <c r="M389" s="1229">
        <v>4.6409743324967903E-2</v>
      </c>
      <c r="N389" s="1230">
        <v>8.1898263857199194E-4</v>
      </c>
    </row>
    <row r="390" spans="1:14" ht="15.5" x14ac:dyDescent="0.35">
      <c r="A390" s="198">
        <v>2022</v>
      </c>
      <c r="B390" s="197" t="s">
        <v>5850</v>
      </c>
      <c r="C390" s="197">
        <v>1989</v>
      </c>
      <c r="D390" s="110" t="str">
        <f t="shared" si="4"/>
        <v>2022_1989</v>
      </c>
      <c r="E390" s="1226">
        <v>0.234768729337367</v>
      </c>
      <c r="F390" s="1227">
        <v>5.0490116029681655E-2</v>
      </c>
      <c r="G390" s="1227">
        <v>8.4560799716057602</v>
      </c>
      <c r="H390" s="1227">
        <v>1.9191437488477421</v>
      </c>
      <c r="I390" s="1227">
        <v>4.4402078372278199E-2</v>
      </c>
      <c r="J390" s="1227">
        <v>7.8355381215489323E-4</v>
      </c>
      <c r="K390" s="1227">
        <v>3.0000008603874302E-3</v>
      </c>
      <c r="L390" s="1228">
        <v>3.7470748260810899E-2</v>
      </c>
      <c r="M390" s="1229">
        <v>4.6409743324967903E-2</v>
      </c>
      <c r="N390" s="1230">
        <v>8.1898263857199194E-4</v>
      </c>
    </row>
    <row r="391" spans="1:14" ht="15.5" x14ac:dyDescent="0.35">
      <c r="A391" s="198">
        <v>2022</v>
      </c>
      <c r="B391" s="197" t="s">
        <v>5850</v>
      </c>
      <c r="C391" s="197">
        <v>1990</v>
      </c>
      <c r="D391" s="110" t="str">
        <f t="shared" si="4"/>
        <v>2022_1990</v>
      </c>
      <c r="E391" s="1226">
        <v>0.234768729337367</v>
      </c>
      <c r="F391" s="1227">
        <v>5.0490116029681655E-2</v>
      </c>
      <c r="G391" s="1227">
        <v>8.4560799716057602</v>
      </c>
      <c r="H391" s="1227">
        <v>1.9191437488477421</v>
      </c>
      <c r="I391" s="1227">
        <v>4.4402078372278199E-2</v>
      </c>
      <c r="J391" s="1227">
        <v>7.8355381215489323E-4</v>
      </c>
      <c r="K391" s="1227">
        <v>3.0000008603874302E-3</v>
      </c>
      <c r="L391" s="1228">
        <v>3.7470748260810899E-2</v>
      </c>
      <c r="M391" s="1229">
        <v>4.6409743324967903E-2</v>
      </c>
      <c r="N391" s="1230">
        <v>8.1898263857199194E-4</v>
      </c>
    </row>
    <row r="392" spans="1:14" ht="15.5" x14ac:dyDescent="0.35">
      <c r="A392" s="198">
        <v>2022</v>
      </c>
      <c r="B392" s="197" t="s">
        <v>5850</v>
      </c>
      <c r="C392" s="197">
        <v>1991</v>
      </c>
      <c r="D392" s="110" t="str">
        <f t="shared" si="4"/>
        <v>2022_1991</v>
      </c>
      <c r="E392" s="1226">
        <v>0.234768729337367</v>
      </c>
      <c r="F392" s="1227">
        <v>5.0490116029681655E-2</v>
      </c>
      <c r="G392" s="1227">
        <v>8.4560799716057602</v>
      </c>
      <c r="H392" s="1227">
        <v>1.9191437488477421</v>
      </c>
      <c r="I392" s="1227">
        <v>4.4402078372278199E-2</v>
      </c>
      <c r="J392" s="1227">
        <v>7.8355381215489323E-4</v>
      </c>
      <c r="K392" s="1227">
        <v>3.0000008603874302E-3</v>
      </c>
      <c r="L392" s="1228">
        <v>3.7470748260810899E-2</v>
      </c>
      <c r="M392" s="1229">
        <v>4.6409743324967903E-2</v>
      </c>
      <c r="N392" s="1230">
        <v>8.1898263857199194E-4</v>
      </c>
    </row>
    <row r="393" spans="1:14" ht="15.5" x14ac:dyDescent="0.35">
      <c r="A393" s="198">
        <v>2022</v>
      </c>
      <c r="B393" s="197" t="s">
        <v>5850</v>
      </c>
      <c r="C393" s="197">
        <v>1992</v>
      </c>
      <c r="D393" s="110" t="str">
        <f t="shared" si="4"/>
        <v>2022_1992</v>
      </c>
      <c r="E393" s="1226">
        <v>0.234768729337367</v>
      </c>
      <c r="F393" s="1227">
        <v>5.0490116029681655E-2</v>
      </c>
      <c r="G393" s="1227">
        <v>8.4560799716057602</v>
      </c>
      <c r="H393" s="1227">
        <v>1.9191437488477421</v>
      </c>
      <c r="I393" s="1227">
        <v>4.4402078372278199E-2</v>
      </c>
      <c r="J393" s="1227">
        <v>7.8355381215489323E-4</v>
      </c>
      <c r="K393" s="1227">
        <v>3.0000008603874302E-3</v>
      </c>
      <c r="L393" s="1228">
        <v>3.7470748260810899E-2</v>
      </c>
      <c r="M393" s="1229">
        <v>4.6409743324967903E-2</v>
      </c>
      <c r="N393" s="1230">
        <v>8.1898263857199194E-4</v>
      </c>
    </row>
    <row r="394" spans="1:14" ht="15.5" x14ac:dyDescent="0.35">
      <c r="A394" s="198">
        <v>2022</v>
      </c>
      <c r="B394" s="197" t="s">
        <v>5850</v>
      </c>
      <c r="C394" s="197">
        <v>1993</v>
      </c>
      <c r="D394" s="110" t="str">
        <f t="shared" si="4"/>
        <v>2022_1993</v>
      </c>
      <c r="E394" s="1226">
        <v>0.234768729337367</v>
      </c>
      <c r="F394" s="1227">
        <v>5.0490116029681655E-2</v>
      </c>
      <c r="G394" s="1227">
        <v>8.4560799716057602</v>
      </c>
      <c r="H394" s="1227">
        <v>1.9191437488477421</v>
      </c>
      <c r="I394" s="1227">
        <v>4.4402078372278199E-2</v>
      </c>
      <c r="J394" s="1227">
        <v>7.8355381215489323E-4</v>
      </c>
      <c r="K394" s="1227">
        <v>3.0000008603874302E-3</v>
      </c>
      <c r="L394" s="1228">
        <v>3.7470748260810899E-2</v>
      </c>
      <c r="M394" s="1229">
        <v>4.6409743324967903E-2</v>
      </c>
      <c r="N394" s="1230">
        <v>8.1898263857199194E-4</v>
      </c>
    </row>
    <row r="395" spans="1:14" ht="15.5" x14ac:dyDescent="0.35">
      <c r="A395" s="198">
        <v>2022</v>
      </c>
      <c r="B395" s="197" t="s">
        <v>5850</v>
      </c>
      <c r="C395" s="197">
        <v>1994</v>
      </c>
      <c r="D395" s="110" t="str">
        <f t="shared" si="4"/>
        <v>2022_1994</v>
      </c>
      <c r="E395" s="1226">
        <v>0.234768729337367</v>
      </c>
      <c r="F395" s="1227">
        <v>5.0490116029681655E-2</v>
      </c>
      <c r="G395" s="1227">
        <v>8.4560799716057602</v>
      </c>
      <c r="H395" s="1227">
        <v>1.9191437488477421</v>
      </c>
      <c r="I395" s="1227">
        <v>4.4402078372278199E-2</v>
      </c>
      <c r="J395" s="1227">
        <v>7.8355381215489323E-4</v>
      </c>
      <c r="K395" s="1227">
        <v>3.0000008603874302E-3</v>
      </c>
      <c r="L395" s="1228">
        <v>3.7470748260810899E-2</v>
      </c>
      <c r="M395" s="1229">
        <v>4.6409743324967903E-2</v>
      </c>
      <c r="N395" s="1230">
        <v>8.1898263857199194E-4</v>
      </c>
    </row>
    <row r="396" spans="1:14" ht="15.5" x14ac:dyDescent="0.35">
      <c r="A396" s="198">
        <v>2022</v>
      </c>
      <c r="B396" s="197" t="s">
        <v>5850</v>
      </c>
      <c r="C396" s="197">
        <v>1995</v>
      </c>
      <c r="D396" s="110" t="str">
        <f t="shared" si="4"/>
        <v>2022_1995</v>
      </c>
      <c r="E396" s="1226">
        <v>0.234768729337367</v>
      </c>
      <c r="F396" s="1227">
        <v>5.0490116029681655E-2</v>
      </c>
      <c r="G396" s="1227">
        <v>8.4560799716057602</v>
      </c>
      <c r="H396" s="1227">
        <v>1.9191437488477421</v>
      </c>
      <c r="I396" s="1227">
        <v>4.4402078372278199E-2</v>
      </c>
      <c r="J396" s="1227">
        <v>7.8355381215489323E-4</v>
      </c>
      <c r="K396" s="1227">
        <v>3.0000008603874302E-3</v>
      </c>
      <c r="L396" s="1228">
        <v>3.7470748260810899E-2</v>
      </c>
      <c r="M396" s="1229">
        <v>4.6409743324967903E-2</v>
      </c>
      <c r="N396" s="1230">
        <v>8.1898263857199194E-4</v>
      </c>
    </row>
    <row r="397" spans="1:14" ht="15.5" x14ac:dyDescent="0.35">
      <c r="A397" s="198">
        <v>2022</v>
      </c>
      <c r="B397" s="197" t="s">
        <v>5850</v>
      </c>
      <c r="C397" s="197">
        <v>1996</v>
      </c>
      <c r="D397" s="110" t="str">
        <f t="shared" si="4"/>
        <v>2022_1996</v>
      </c>
      <c r="E397" s="1226">
        <v>0.234768729337367</v>
      </c>
      <c r="F397" s="1227">
        <v>5.0490116029681655E-2</v>
      </c>
      <c r="G397" s="1227">
        <v>8.4560799716057602</v>
      </c>
      <c r="H397" s="1227">
        <v>1.9191437488477421</v>
      </c>
      <c r="I397" s="1227">
        <v>4.4402078372278199E-2</v>
      </c>
      <c r="J397" s="1227">
        <v>7.8355381215489323E-4</v>
      </c>
      <c r="K397" s="1227">
        <v>3.0000008603874302E-3</v>
      </c>
      <c r="L397" s="1228">
        <v>3.7470748260810899E-2</v>
      </c>
      <c r="M397" s="1229">
        <v>4.6409743324967903E-2</v>
      </c>
      <c r="N397" s="1230">
        <v>8.1898263857199194E-4</v>
      </c>
    </row>
    <row r="398" spans="1:14" ht="15.5" x14ac:dyDescent="0.35">
      <c r="A398" s="198">
        <v>2022</v>
      </c>
      <c r="B398" s="197" t="s">
        <v>5850</v>
      </c>
      <c r="C398" s="197">
        <v>1997</v>
      </c>
      <c r="D398" s="110" t="str">
        <f t="shared" si="4"/>
        <v>2022_1997</v>
      </c>
      <c r="E398" s="1226">
        <v>0.234768729337367</v>
      </c>
      <c r="F398" s="1227">
        <v>5.0490116029681655E-2</v>
      </c>
      <c r="G398" s="1227">
        <v>8.4560799716057602</v>
      </c>
      <c r="H398" s="1227">
        <v>1.9191437488477421</v>
      </c>
      <c r="I398" s="1227">
        <v>4.4402078372278199E-2</v>
      </c>
      <c r="J398" s="1227">
        <v>7.8355381215489323E-4</v>
      </c>
      <c r="K398" s="1227">
        <v>3.0000008603874302E-3</v>
      </c>
      <c r="L398" s="1228">
        <v>3.7470748260810899E-2</v>
      </c>
      <c r="M398" s="1229">
        <v>4.6409743324967903E-2</v>
      </c>
      <c r="N398" s="1230">
        <v>8.1898263857199194E-4</v>
      </c>
    </row>
    <row r="399" spans="1:14" ht="15.5" x14ac:dyDescent="0.35">
      <c r="A399" s="198">
        <v>2022</v>
      </c>
      <c r="B399" s="197" t="s">
        <v>5850</v>
      </c>
      <c r="C399" s="197">
        <v>1998</v>
      </c>
      <c r="D399" s="110" t="str">
        <f t="shared" si="4"/>
        <v>2022_1998</v>
      </c>
      <c r="E399" s="1226">
        <v>0.234768729337367</v>
      </c>
      <c r="F399" s="1227">
        <v>5.0490116029681655E-2</v>
      </c>
      <c r="G399" s="1227">
        <v>8.4560799716057602</v>
      </c>
      <c r="H399" s="1227">
        <v>1.9191437488477421</v>
      </c>
      <c r="I399" s="1227">
        <v>4.4402078372278199E-2</v>
      </c>
      <c r="J399" s="1227">
        <v>7.8355381215489323E-4</v>
      </c>
      <c r="K399" s="1227">
        <v>3.0000008603874302E-3</v>
      </c>
      <c r="L399" s="1228">
        <v>3.7470748260810899E-2</v>
      </c>
      <c r="M399" s="1229">
        <v>4.6409743324967903E-2</v>
      </c>
      <c r="N399" s="1230">
        <v>8.1898263857199194E-4</v>
      </c>
    </row>
    <row r="400" spans="1:14" ht="15.5" x14ac:dyDescent="0.35">
      <c r="A400" s="198">
        <v>2022</v>
      </c>
      <c r="B400" s="197" t="s">
        <v>5850</v>
      </c>
      <c r="C400" s="197">
        <v>1999</v>
      </c>
      <c r="D400" s="110" t="str">
        <f t="shared" si="4"/>
        <v>2022_1999</v>
      </c>
      <c r="E400" s="1226">
        <v>0.234768729337367</v>
      </c>
      <c r="F400" s="1227">
        <v>5.0490116029681655E-2</v>
      </c>
      <c r="G400" s="1227">
        <v>8.4560799716057602</v>
      </c>
      <c r="H400" s="1227">
        <v>1.9191437488477421</v>
      </c>
      <c r="I400" s="1227">
        <v>4.4402078372278199E-2</v>
      </c>
      <c r="J400" s="1227">
        <v>7.8355381215489323E-4</v>
      </c>
      <c r="K400" s="1227">
        <v>3.0000008603874302E-3</v>
      </c>
      <c r="L400" s="1228">
        <v>3.7470748260810899E-2</v>
      </c>
      <c r="M400" s="1229">
        <v>4.6409743324967903E-2</v>
      </c>
      <c r="N400" s="1230">
        <v>8.1898263857199194E-4</v>
      </c>
    </row>
    <row r="401" spans="1:14" ht="15.5" x14ac:dyDescent="0.35">
      <c r="A401" s="198">
        <v>2022</v>
      </c>
      <c r="B401" s="197" t="s">
        <v>5850</v>
      </c>
      <c r="C401" s="197">
        <v>2000</v>
      </c>
      <c r="D401" s="110" t="str">
        <f t="shared" si="4"/>
        <v>2022_2000</v>
      </c>
      <c r="E401" s="1226">
        <v>0.234768729337367</v>
      </c>
      <c r="F401" s="1227">
        <v>5.0490116029681655E-2</v>
      </c>
      <c r="G401" s="1227">
        <v>8.4560799716057602</v>
      </c>
      <c r="H401" s="1227">
        <v>1.9191437488477421</v>
      </c>
      <c r="I401" s="1227">
        <v>4.4402078372278199E-2</v>
      </c>
      <c r="J401" s="1227">
        <v>7.8355381215489323E-4</v>
      </c>
      <c r="K401" s="1227">
        <v>3.0000008603874302E-3</v>
      </c>
      <c r="L401" s="1228">
        <v>3.7470748260810899E-2</v>
      </c>
      <c r="M401" s="1229">
        <v>4.6409743324967903E-2</v>
      </c>
      <c r="N401" s="1230">
        <v>8.1898263857199194E-4</v>
      </c>
    </row>
    <row r="402" spans="1:14" ht="15.5" x14ac:dyDescent="0.35">
      <c r="A402" s="198">
        <v>2022</v>
      </c>
      <c r="B402" s="197" t="s">
        <v>5850</v>
      </c>
      <c r="C402" s="197">
        <v>2001</v>
      </c>
      <c r="D402" s="110" t="str">
        <f t="shared" si="4"/>
        <v>2022_2001</v>
      </c>
      <c r="E402" s="1226">
        <v>0.234768729337367</v>
      </c>
      <c r="F402" s="1227">
        <v>5.0490116029681655E-2</v>
      </c>
      <c r="G402" s="1227">
        <v>8.4560799716057602</v>
      </c>
      <c r="H402" s="1227">
        <v>1.9191437488477421</v>
      </c>
      <c r="I402" s="1227">
        <v>4.4402078372278199E-2</v>
      </c>
      <c r="J402" s="1227">
        <v>7.8355381215489323E-4</v>
      </c>
      <c r="K402" s="1227">
        <v>3.0000008603874302E-3</v>
      </c>
      <c r="L402" s="1228">
        <v>3.7470748260810899E-2</v>
      </c>
      <c r="M402" s="1229">
        <v>4.6409743324967903E-2</v>
      </c>
      <c r="N402" s="1230">
        <v>8.1898263857199194E-4</v>
      </c>
    </row>
    <row r="403" spans="1:14" ht="15.5" x14ac:dyDescent="0.35">
      <c r="A403" s="198">
        <v>2022</v>
      </c>
      <c r="B403" s="197" t="s">
        <v>5850</v>
      </c>
      <c r="C403" s="197">
        <v>2002</v>
      </c>
      <c r="D403" s="110" t="str">
        <f t="shared" si="4"/>
        <v>2022_2002</v>
      </c>
      <c r="E403" s="1226">
        <v>0.234768729337367</v>
      </c>
      <c r="F403" s="1227">
        <v>5.0490116029681655E-2</v>
      </c>
      <c r="G403" s="1227">
        <v>8.4560799716057602</v>
      </c>
      <c r="H403" s="1227">
        <v>1.9191437488477421</v>
      </c>
      <c r="I403" s="1227">
        <v>4.4402078372278199E-2</v>
      </c>
      <c r="J403" s="1227">
        <v>7.8355381215489323E-4</v>
      </c>
      <c r="K403" s="1227">
        <v>3.0000008603874302E-3</v>
      </c>
      <c r="L403" s="1228">
        <v>3.7470748260810899E-2</v>
      </c>
      <c r="M403" s="1229">
        <v>4.6409743324967903E-2</v>
      </c>
      <c r="N403" s="1230">
        <v>8.1898263857199194E-4</v>
      </c>
    </row>
    <row r="404" spans="1:14" ht="15.5" x14ac:dyDescent="0.35">
      <c r="A404" s="198">
        <v>2022</v>
      </c>
      <c r="B404" s="197" t="s">
        <v>5850</v>
      </c>
      <c r="C404" s="197">
        <v>2003</v>
      </c>
      <c r="D404" s="110" t="str">
        <f t="shared" si="4"/>
        <v>2022_2003</v>
      </c>
      <c r="E404" s="1226">
        <v>0.234768729337367</v>
      </c>
      <c r="F404" s="1227">
        <v>5.0490116029681655E-2</v>
      </c>
      <c r="G404" s="1227">
        <v>8.4560799716057602</v>
      </c>
      <c r="H404" s="1227">
        <v>1.9191437488477421</v>
      </c>
      <c r="I404" s="1227">
        <v>4.4402078372278199E-2</v>
      </c>
      <c r="J404" s="1227">
        <v>7.8355381215489323E-4</v>
      </c>
      <c r="K404" s="1227">
        <v>3.0000008603874302E-3</v>
      </c>
      <c r="L404" s="1228">
        <v>3.7470748260810899E-2</v>
      </c>
      <c r="M404" s="1229">
        <v>4.6409743324967903E-2</v>
      </c>
      <c r="N404" s="1230">
        <v>8.1898263857199194E-4</v>
      </c>
    </row>
    <row r="405" spans="1:14" ht="15.5" x14ac:dyDescent="0.35">
      <c r="A405" s="198">
        <v>2022</v>
      </c>
      <c r="B405" s="197" t="s">
        <v>5850</v>
      </c>
      <c r="C405" s="197">
        <v>2004</v>
      </c>
      <c r="D405" s="110" t="str">
        <f t="shared" si="4"/>
        <v>2022_2004</v>
      </c>
      <c r="E405" s="1226">
        <v>0.234768729337367</v>
      </c>
      <c r="F405" s="1227">
        <v>5.0490116029681655E-2</v>
      </c>
      <c r="G405" s="1227">
        <v>8.4560799716057602</v>
      </c>
      <c r="H405" s="1227">
        <v>1.9191437488477421</v>
      </c>
      <c r="I405" s="1227">
        <v>4.4402078372278199E-2</v>
      </c>
      <c r="J405" s="1227">
        <v>7.8355381215489323E-4</v>
      </c>
      <c r="K405" s="1227">
        <v>3.0000008603874302E-3</v>
      </c>
      <c r="L405" s="1228">
        <v>3.7470748260810899E-2</v>
      </c>
      <c r="M405" s="1229">
        <v>4.6409743324967903E-2</v>
      </c>
      <c r="N405" s="1230">
        <v>8.1898263857199194E-4</v>
      </c>
    </row>
    <row r="406" spans="1:14" ht="15.5" x14ac:dyDescent="0.35">
      <c r="A406" s="198">
        <v>2022</v>
      </c>
      <c r="B406" s="197" t="s">
        <v>5850</v>
      </c>
      <c r="C406" s="197">
        <v>2005</v>
      </c>
      <c r="D406" s="110" t="str">
        <f t="shared" si="4"/>
        <v>2022_2005</v>
      </c>
      <c r="E406" s="1226">
        <v>0.234768729337367</v>
      </c>
      <c r="F406" s="1227">
        <v>5.0490116029681655E-2</v>
      </c>
      <c r="G406" s="1227">
        <v>8.4560799716057602</v>
      </c>
      <c r="H406" s="1227">
        <v>1.9191437488477421</v>
      </c>
      <c r="I406" s="1227">
        <v>4.4402078372278199E-2</v>
      </c>
      <c r="J406" s="1227">
        <v>7.8355381215489323E-4</v>
      </c>
      <c r="K406" s="1227">
        <v>3.0000008603874302E-3</v>
      </c>
      <c r="L406" s="1228">
        <v>3.7470748260810899E-2</v>
      </c>
      <c r="M406" s="1229">
        <v>4.6409743324967903E-2</v>
      </c>
      <c r="N406" s="1230">
        <v>8.1898263857199194E-4</v>
      </c>
    </row>
    <row r="407" spans="1:14" ht="15.5" x14ac:dyDescent="0.35">
      <c r="A407" s="198">
        <v>2022</v>
      </c>
      <c r="B407" s="197" t="s">
        <v>5850</v>
      </c>
      <c r="C407" s="197">
        <v>2006</v>
      </c>
      <c r="D407" s="110" t="str">
        <f t="shared" si="4"/>
        <v>2022_2006</v>
      </c>
      <c r="E407" s="1226">
        <v>0.234768729337367</v>
      </c>
      <c r="F407" s="1227">
        <v>5.0490116029681655E-2</v>
      </c>
      <c r="G407" s="1227">
        <v>8.4560799716057602</v>
      </c>
      <c r="H407" s="1227">
        <v>1.9191437488477421</v>
      </c>
      <c r="I407" s="1227">
        <v>4.4402078372278199E-2</v>
      </c>
      <c r="J407" s="1227">
        <v>7.8355381215489323E-4</v>
      </c>
      <c r="K407" s="1227">
        <v>3.0000008603874302E-3</v>
      </c>
      <c r="L407" s="1228">
        <v>3.7470748260810899E-2</v>
      </c>
      <c r="M407" s="1229">
        <v>4.6409743324967903E-2</v>
      </c>
      <c r="N407" s="1230">
        <v>8.1898263857199194E-4</v>
      </c>
    </row>
    <row r="408" spans="1:14" ht="15.5" x14ac:dyDescent="0.35">
      <c r="A408" s="198">
        <v>2022</v>
      </c>
      <c r="B408" s="197" t="s">
        <v>5850</v>
      </c>
      <c r="C408" s="197">
        <v>2007</v>
      </c>
      <c r="D408" s="110" t="str">
        <f t="shared" si="4"/>
        <v>2022_2007</v>
      </c>
      <c r="E408" s="1226">
        <v>0.234768729337367</v>
      </c>
      <c r="F408" s="1227">
        <v>5.0490116029681655E-2</v>
      </c>
      <c r="G408" s="1227">
        <v>8.4560799716057602</v>
      </c>
      <c r="H408" s="1227">
        <v>1.9191437488477421</v>
      </c>
      <c r="I408" s="1227">
        <v>4.4402078372278199E-2</v>
      </c>
      <c r="J408" s="1227">
        <v>7.8355381215489323E-4</v>
      </c>
      <c r="K408" s="1227">
        <v>3.0000008603874302E-3</v>
      </c>
      <c r="L408" s="1228">
        <v>3.7470748260810899E-2</v>
      </c>
      <c r="M408" s="1229">
        <v>4.6409743324967903E-2</v>
      </c>
      <c r="N408" s="1230">
        <v>8.1898263857199194E-4</v>
      </c>
    </row>
    <row r="409" spans="1:14" ht="15.5" x14ac:dyDescent="0.35">
      <c r="A409" s="198">
        <v>2022</v>
      </c>
      <c r="B409" s="197" t="s">
        <v>5850</v>
      </c>
      <c r="C409" s="197">
        <v>2008</v>
      </c>
      <c r="D409" s="110" t="str">
        <f t="shared" si="4"/>
        <v>2022_2008</v>
      </c>
      <c r="E409" s="1231">
        <v>0.234768729337367</v>
      </c>
      <c r="F409" s="1232">
        <v>5.0490116029681655E-2</v>
      </c>
      <c r="G409" s="1232">
        <v>8.4560799716057602</v>
      </c>
      <c r="H409" s="1232">
        <v>1.9191437488477421</v>
      </c>
      <c r="I409" s="1232">
        <v>4.4402078372278199E-2</v>
      </c>
      <c r="J409" s="1232">
        <v>7.8355381215489323E-4</v>
      </c>
      <c r="K409" s="1232">
        <v>3.0000008603874302E-3</v>
      </c>
      <c r="L409" s="1233">
        <v>3.7470748260810899E-2</v>
      </c>
      <c r="M409" s="1234">
        <v>4.6409743324967903E-2</v>
      </c>
      <c r="N409" s="1235">
        <v>8.1898263857199194E-4</v>
      </c>
    </row>
    <row r="410" spans="1:14" ht="15.5" x14ac:dyDescent="0.35">
      <c r="A410" s="198">
        <v>2022</v>
      </c>
      <c r="B410" s="197" t="s">
        <v>5850</v>
      </c>
      <c r="C410" s="197">
        <v>2009</v>
      </c>
      <c r="D410" s="110" t="str">
        <f t="shared" si="4"/>
        <v>2022_2009</v>
      </c>
      <c r="E410" s="1231">
        <v>0.215851702594449</v>
      </c>
      <c r="F410" s="1232">
        <v>4.2811130228863251E-2</v>
      </c>
      <c r="G410" s="1232">
        <v>8.2842653011174701</v>
      </c>
      <c r="H410" s="1232">
        <v>0.85903320503324077</v>
      </c>
      <c r="I410" s="1232">
        <v>3.3784181361083701E-2</v>
      </c>
      <c r="J410" s="1232">
        <v>1.7750423298085963E-4</v>
      </c>
      <c r="K410" s="1232">
        <v>3.0000008603874302E-3</v>
      </c>
      <c r="L410" s="1233">
        <v>3.7470748261237703E-2</v>
      </c>
      <c r="M410" s="1234">
        <v>3.5311752127147399E-2</v>
      </c>
      <c r="N410" s="1235">
        <v>1.8553018673288666E-4</v>
      </c>
    </row>
    <row r="411" spans="1:14" ht="15.5" x14ac:dyDescent="0.35">
      <c r="A411" s="198">
        <v>2022</v>
      </c>
      <c r="B411" s="197" t="s">
        <v>5850</v>
      </c>
      <c r="C411" s="197">
        <v>2010</v>
      </c>
      <c r="D411" s="110" t="str">
        <f t="shared" si="4"/>
        <v>2022_2010</v>
      </c>
      <c r="E411" s="1231">
        <v>0.22889524862018801</v>
      </c>
      <c r="F411" s="1232">
        <v>3.8633033012118373E-2</v>
      </c>
      <c r="G411" s="1232">
        <v>7.5068171288386996</v>
      </c>
      <c r="H411" s="1232">
        <v>0.69365238707911403</v>
      </c>
      <c r="I411" s="1232">
        <v>4.9813888000636498E-2</v>
      </c>
      <c r="J411" s="1232">
        <v>1.5975380968277357E-4</v>
      </c>
      <c r="K411" s="1232">
        <v>3.0000008603874302E-3</v>
      </c>
      <c r="L411" s="1233">
        <v>2.78962676715638E-2</v>
      </c>
      <c r="M411" s="1234">
        <v>5.2066250970171001E-2</v>
      </c>
      <c r="N411" s="1235">
        <v>1.6697716805959791E-4</v>
      </c>
    </row>
    <row r="412" spans="1:14" ht="15.5" x14ac:dyDescent="0.35">
      <c r="A412" s="198">
        <v>2022</v>
      </c>
      <c r="B412" s="197" t="s">
        <v>5850</v>
      </c>
      <c r="C412" s="197">
        <v>2011</v>
      </c>
      <c r="D412" s="110" t="str">
        <f t="shared" si="4"/>
        <v>2022_2011</v>
      </c>
      <c r="E412" s="1231">
        <v>0.110441112713456</v>
      </c>
      <c r="F412" s="1232">
        <v>3.5193533591492181E-2</v>
      </c>
      <c r="G412" s="1232">
        <v>4.6026134915149104</v>
      </c>
      <c r="H412" s="1232">
        <v>0.47263901236761696</v>
      </c>
      <c r="I412" s="1232">
        <v>5.2052323690082399E-2</v>
      </c>
      <c r="J412" s="1232">
        <v>1.4377842871449579E-4</v>
      </c>
      <c r="K412" s="1232">
        <v>3.0000008603874302E-3</v>
      </c>
      <c r="L412" s="1233">
        <v>2.7896267671745401E-2</v>
      </c>
      <c r="M412" s="1234">
        <v>5.4405898788582499E-2</v>
      </c>
      <c r="N412" s="1235">
        <v>1.5027945125363766E-4</v>
      </c>
    </row>
    <row r="413" spans="1:14" ht="15.5" x14ac:dyDescent="0.35">
      <c r="A413" s="198">
        <v>2022</v>
      </c>
      <c r="B413" s="197" t="s">
        <v>5850</v>
      </c>
      <c r="C413" s="197">
        <v>2012</v>
      </c>
      <c r="D413" s="110" t="str">
        <f t="shared" ref="D413:D645" si="5">CONCATENATE(A413,"_",C413)</f>
        <v>2022_2012</v>
      </c>
      <c r="E413" s="1231">
        <v>2.1925078363141701E-2</v>
      </c>
      <c r="F413" s="1232">
        <v>3.1780332602240544E-2</v>
      </c>
      <c r="G413" s="1232">
        <v>3.7879705885049901</v>
      </c>
      <c r="H413" s="1232">
        <v>0.37554618337082435</v>
      </c>
      <c r="I413" s="1232">
        <v>2.83840842813094E-2</v>
      </c>
      <c r="J413" s="1232">
        <v>1.2940058584304557E-4</v>
      </c>
      <c r="K413" s="1232">
        <v>3.0000008603874302E-3</v>
      </c>
      <c r="L413" s="1233">
        <v>2.7896267671857499E-2</v>
      </c>
      <c r="M413" s="1234">
        <v>2.9667486620001599E-2</v>
      </c>
      <c r="N413" s="1235">
        <v>1.3525150612827321E-4</v>
      </c>
    </row>
    <row r="414" spans="1:14" ht="15.5" x14ac:dyDescent="0.35">
      <c r="A414" s="198">
        <v>2022</v>
      </c>
      <c r="B414" s="197" t="s">
        <v>5850</v>
      </c>
      <c r="C414" s="197">
        <v>2013</v>
      </c>
      <c r="D414" s="110" t="str">
        <f t="shared" si="5"/>
        <v>2022_2013</v>
      </c>
      <c r="E414" s="1231">
        <v>2.0987418256843301E-2</v>
      </c>
      <c r="F414" s="1232">
        <v>2.8602299342016614E-2</v>
      </c>
      <c r="G414" s="1232">
        <v>3.4277411458965799</v>
      </c>
      <c r="H414" s="1232">
        <v>0.3379915650337435</v>
      </c>
      <c r="I414" s="1232">
        <v>2.6196273465329201E-2</v>
      </c>
      <c r="J414" s="1232">
        <v>1.1646052725874153E-4</v>
      </c>
      <c r="K414" s="1232">
        <v>3.0000008603874302E-3</v>
      </c>
      <c r="L414" s="1233">
        <v>2.7896267671845301E-2</v>
      </c>
      <c r="M414" s="1234">
        <v>2.7380752707189499E-2</v>
      </c>
      <c r="N414" s="1235">
        <v>1.2172635551544643E-4</v>
      </c>
    </row>
    <row r="415" spans="1:14" ht="15.5" x14ac:dyDescent="0.35">
      <c r="A415" s="198">
        <v>2022</v>
      </c>
      <c r="B415" s="197" t="s">
        <v>5850</v>
      </c>
      <c r="C415" s="197">
        <v>2014</v>
      </c>
      <c r="D415" s="110" t="str">
        <f t="shared" si="5"/>
        <v>2022_2014</v>
      </c>
      <c r="E415" s="1231">
        <v>1.03400804691613E-2</v>
      </c>
      <c r="F415" s="1232">
        <v>2.5742069407814986E-2</v>
      </c>
      <c r="G415" s="1232">
        <v>1.3874299105211401</v>
      </c>
      <c r="H415" s="1232">
        <v>0.30419240853036955</v>
      </c>
      <c r="I415" s="1232">
        <v>2.9565777178521799E-2</v>
      </c>
      <c r="J415" s="1232">
        <v>1.0481447453286751E-4</v>
      </c>
      <c r="K415" s="1232">
        <v>3.0000008603874302E-3</v>
      </c>
      <c r="L415" s="1233">
        <v>2.78962676717068E-2</v>
      </c>
      <c r="M415" s="1234">
        <v>3.09026104263414E-2</v>
      </c>
      <c r="N415" s="1235">
        <v>1.0955371996390195E-4</v>
      </c>
    </row>
    <row r="416" spans="1:14" ht="15.5" x14ac:dyDescent="0.35">
      <c r="A416" s="198">
        <v>2022</v>
      </c>
      <c r="B416" s="197" t="s">
        <v>5850</v>
      </c>
      <c r="C416" s="197">
        <v>2015</v>
      </c>
      <c r="D416" s="110" t="str">
        <f t="shared" si="5"/>
        <v>2022_2015</v>
      </c>
      <c r="E416" s="1231">
        <v>9.9936281599867192E-3</v>
      </c>
      <c r="F416" s="1232">
        <v>2.5742069407814993E-2</v>
      </c>
      <c r="G416" s="1232">
        <v>1.34137163037846</v>
      </c>
      <c r="H416" s="1232">
        <v>0.30419240853036955</v>
      </c>
      <c r="I416" s="1232">
        <v>2.7707747758068599E-2</v>
      </c>
      <c r="J416" s="1232">
        <v>1.0481447453286754E-4</v>
      </c>
      <c r="K416" s="1232">
        <v>3.0000008603874302E-3</v>
      </c>
      <c r="L416" s="1233">
        <v>2.7896267671729501E-2</v>
      </c>
      <c r="M416" s="1234">
        <v>2.8960569160378698E-2</v>
      </c>
      <c r="N416" s="1235">
        <v>1.0955371996390195E-4</v>
      </c>
    </row>
    <row r="417" spans="1:14" ht="15.5" x14ac:dyDescent="0.35">
      <c r="A417" s="198">
        <v>2022</v>
      </c>
      <c r="B417" s="197" t="s">
        <v>5850</v>
      </c>
      <c r="C417" s="197">
        <v>2016</v>
      </c>
      <c r="D417" s="110" t="str">
        <f t="shared" si="5"/>
        <v>2022_2016</v>
      </c>
      <c r="E417" s="1231">
        <v>9.6471758508089294E-3</v>
      </c>
      <c r="F417" s="1232">
        <v>2.5742069407814996E-2</v>
      </c>
      <c r="G417" s="1232">
        <v>1.29169692188698</v>
      </c>
      <c r="H417" s="1232">
        <v>0.30419240853036961</v>
      </c>
      <c r="I417" s="1232">
        <v>2.5849718337568401E-2</v>
      </c>
      <c r="J417" s="1232">
        <v>1.0481447453286754E-4</v>
      </c>
      <c r="K417" s="1232">
        <v>3.0000008603874302E-3</v>
      </c>
      <c r="L417" s="1233">
        <v>2.78962676717684E-2</v>
      </c>
      <c r="M417" s="1234">
        <v>2.7018527894367001E-2</v>
      </c>
      <c r="N417" s="1235">
        <v>1.0955371996390196E-4</v>
      </c>
    </row>
    <row r="418" spans="1:14" ht="15.5" x14ac:dyDescent="0.35">
      <c r="A418" s="198">
        <v>2022</v>
      </c>
      <c r="B418" s="197" t="s">
        <v>5850</v>
      </c>
      <c r="C418" s="197">
        <v>2017</v>
      </c>
      <c r="D418" s="110" t="str">
        <f t="shared" si="5"/>
        <v>2022_2017</v>
      </c>
      <c r="E418" s="1231">
        <v>9.4978452087168593E-3</v>
      </c>
      <c r="F418" s="1232">
        <v>2.5742069407814861E-2</v>
      </c>
      <c r="G418" s="1232">
        <v>1.2375688211660301</v>
      </c>
      <c r="H418" s="1232">
        <v>0.304192408530368</v>
      </c>
      <c r="I418" s="1232">
        <v>1.9577865259215298E-2</v>
      </c>
      <c r="J418" s="1232">
        <v>1.0481447453286698E-4</v>
      </c>
      <c r="K418" s="1232">
        <v>3.0000008603874302E-3</v>
      </c>
      <c r="L418" s="1233">
        <v>2.78962676717876E-2</v>
      </c>
      <c r="M418" s="1234">
        <v>2.0463089450746499E-2</v>
      </c>
      <c r="N418" s="1235">
        <v>1.0955371996390139E-4</v>
      </c>
    </row>
    <row r="419" spans="1:14" ht="15.5" x14ac:dyDescent="0.35">
      <c r="A419" s="198">
        <v>2022</v>
      </c>
      <c r="B419" s="197" t="s">
        <v>5850</v>
      </c>
      <c r="C419" s="197">
        <v>2018</v>
      </c>
      <c r="D419" s="110" t="str">
        <f t="shared" si="5"/>
        <v>2022_2018</v>
      </c>
      <c r="E419" s="1231">
        <v>9.1440508770004904E-3</v>
      </c>
      <c r="F419" s="1232">
        <v>2.5742069407815045E-2</v>
      </c>
      <c r="G419" s="1232">
        <v>1.1777854974367901</v>
      </c>
      <c r="H419" s="1232">
        <v>0.30419240853037022</v>
      </c>
      <c r="I419" s="1232">
        <v>1.80616085245448E-2</v>
      </c>
      <c r="J419" s="1232">
        <v>1.0481447453286776E-4</v>
      </c>
      <c r="K419" s="1232">
        <v>3.0000008603874302E-3</v>
      </c>
      <c r="L419" s="1233">
        <v>2.7896267671690698E-2</v>
      </c>
      <c r="M419" s="1234">
        <v>1.88782743148239E-2</v>
      </c>
      <c r="N419" s="1235">
        <v>1.0955371996390219E-4</v>
      </c>
    </row>
    <row r="420" spans="1:14" ht="15.5" x14ac:dyDescent="0.35">
      <c r="A420" s="198">
        <v>2022</v>
      </c>
      <c r="B420" s="197" t="s">
        <v>5850</v>
      </c>
      <c r="C420" s="197">
        <v>2019</v>
      </c>
      <c r="D420" s="110" t="str">
        <f t="shared" si="5"/>
        <v>2022_2019</v>
      </c>
      <c r="E420" s="1231">
        <v>8.7902565452134505E-3</v>
      </c>
      <c r="F420" s="1232">
        <v>2.5742069407814996E-2</v>
      </c>
      <c r="G420" s="1232">
        <v>1.1105161258134899</v>
      </c>
      <c r="H420" s="1232">
        <v>0.30419240853036961</v>
      </c>
      <c r="I420" s="1232">
        <v>1.65453517893413E-2</v>
      </c>
      <c r="J420" s="1232">
        <v>1.0481447453286754E-4</v>
      </c>
      <c r="K420" s="1232">
        <v>3.0000008603874302E-3</v>
      </c>
      <c r="L420" s="1233">
        <v>2.7896267671896301E-2</v>
      </c>
      <c r="M420" s="1234">
        <v>1.7293459178344101E-2</v>
      </c>
      <c r="N420" s="1235">
        <v>1.0955371996390197E-4</v>
      </c>
    </row>
    <row r="421" spans="1:14" ht="15.5" x14ac:dyDescent="0.35">
      <c r="A421" s="198">
        <v>2022</v>
      </c>
      <c r="B421" s="197" t="s">
        <v>5850</v>
      </c>
      <c r="C421" s="197">
        <v>2020</v>
      </c>
      <c r="D421" s="110" t="str">
        <f t="shared" si="5"/>
        <v>2022_2020</v>
      </c>
      <c r="E421" s="1231">
        <v>8.4364622135278695E-3</v>
      </c>
      <c r="F421" s="1232">
        <v>2.5742069407814858E-2</v>
      </c>
      <c r="G421" s="1232">
        <v>1.0327302008830399</v>
      </c>
      <c r="H421" s="1232">
        <v>0.304192408530368</v>
      </c>
      <c r="I421" s="1232">
        <v>1.5029095054736E-2</v>
      </c>
      <c r="J421" s="1232">
        <v>1.0481447453286698E-4</v>
      </c>
      <c r="K421" s="1232">
        <v>3.0000008603874302E-3</v>
      </c>
      <c r="L421" s="1233">
        <v>2.78962676717882E-2</v>
      </c>
      <c r="M421" s="1234">
        <v>1.5708644042489599E-2</v>
      </c>
      <c r="N421" s="1235">
        <v>1.0955371996390138E-4</v>
      </c>
    </row>
    <row r="422" spans="1:14" ht="15.5" x14ac:dyDescent="0.35">
      <c r="A422" s="198">
        <v>2022</v>
      </c>
      <c r="B422" s="197" t="s">
        <v>5850</v>
      </c>
      <c r="C422" s="197">
        <v>2021</v>
      </c>
      <c r="D422" s="110" t="str">
        <f t="shared" si="5"/>
        <v>2022_2021</v>
      </c>
      <c r="E422" s="1231">
        <v>8.0826678817839896E-3</v>
      </c>
      <c r="F422" s="1232">
        <v>2.5742069407815323E-2</v>
      </c>
      <c r="G422" s="1232">
        <v>0.93873611278321001</v>
      </c>
      <c r="H422" s="1232">
        <v>0.30419240853037349</v>
      </c>
      <c r="I422" s="1232">
        <v>1.3512838320580501E-2</v>
      </c>
      <c r="J422" s="1232">
        <v>1.0481447453286888E-4</v>
      </c>
      <c r="K422" s="1232">
        <v>3.0000008603874302E-3</v>
      </c>
      <c r="L422" s="1233">
        <v>2.78962676710067E-2</v>
      </c>
      <c r="M422" s="1234">
        <v>1.41238289071052E-2</v>
      </c>
      <c r="N422" s="1235">
        <v>1.0955371996390337E-4</v>
      </c>
    </row>
    <row r="423" spans="1:14" ht="15.5" x14ac:dyDescent="0.35">
      <c r="A423" s="198">
        <v>2022</v>
      </c>
      <c r="B423" s="197" t="s">
        <v>5850</v>
      </c>
      <c r="C423" s="197">
        <v>2022</v>
      </c>
      <c r="D423" s="110" t="str">
        <f t="shared" si="5"/>
        <v>2022_2022</v>
      </c>
      <c r="E423" s="1231">
        <v>7.7291351067620001E-3</v>
      </c>
      <c r="F423" s="1232">
        <v>2.5742071005251874E-2</v>
      </c>
      <c r="G423" s="1232">
        <v>0.815190809091903</v>
      </c>
      <c r="H423" s="1232">
        <v>0.30419242740718028</v>
      </c>
      <c r="I423" s="1232">
        <v>1.19984306275056E-2</v>
      </c>
      <c r="J423" s="1232">
        <v>1.0481448103718231E-4</v>
      </c>
      <c r="K423" s="1232">
        <v>3.0000008603871002E-3</v>
      </c>
      <c r="L423" s="1233">
        <v>2.78946216836145E-2</v>
      </c>
      <c r="M423" s="1234">
        <v>1.2540946418234101E-2</v>
      </c>
      <c r="N423" s="1235">
        <v>1.095537267623122E-4</v>
      </c>
    </row>
    <row r="424" spans="1:14" ht="15.5" x14ac:dyDescent="0.35">
      <c r="A424" s="198">
        <v>2022</v>
      </c>
      <c r="B424" s="197" t="s">
        <v>5850</v>
      </c>
      <c r="C424" s="197">
        <v>2023</v>
      </c>
      <c r="D424" s="110" t="str">
        <f t="shared" si="5"/>
        <v>2022_2023</v>
      </c>
      <c r="E424" s="1231">
        <v>7.3739010515972399E-3</v>
      </c>
      <c r="F424" s="1232">
        <v>6.1780948472004861E-2</v>
      </c>
      <c r="G424" s="1232">
        <v>0.584734876350404</v>
      </c>
      <c r="H424" s="1232">
        <v>0.73006156650655185</v>
      </c>
      <c r="I424" s="1232">
        <v>1.03668724194285E-2</v>
      </c>
      <c r="J424" s="1232">
        <v>2.5155466515327867E-4</v>
      </c>
      <c r="K424" s="1232">
        <v>3.0000008603889702E-3</v>
      </c>
      <c r="L424" s="1233">
        <v>2.7904037595051501E-2</v>
      </c>
      <c r="M424" s="1234">
        <v>1.0835616387919999E-2</v>
      </c>
      <c r="N424" s="1235">
        <v>2.6292885085421543E-4</v>
      </c>
    </row>
    <row r="425" spans="1:14" ht="15.5" x14ac:dyDescent="0.35">
      <c r="A425" s="198">
        <v>2023</v>
      </c>
      <c r="B425" s="197" t="s">
        <v>5850</v>
      </c>
      <c r="C425" s="110">
        <v>1971</v>
      </c>
      <c r="D425" s="110" t="str">
        <f t="shared" si="5"/>
        <v>2023_1971</v>
      </c>
      <c r="E425" s="1226">
        <v>0.113763327914432</v>
      </c>
      <c r="F425" s="1227">
        <v>3.9324563618077145E-2</v>
      </c>
      <c r="G425" s="1227">
        <v>4.73137900398289</v>
      </c>
      <c r="H425" s="1227">
        <v>0.52811755494562307</v>
      </c>
      <c r="I425" s="1227">
        <v>5.33295916545568E-2</v>
      </c>
      <c r="J425" s="1227">
        <v>1.6065519400578705E-4</v>
      </c>
      <c r="K425" s="1227">
        <v>3.0000008603874302E-3</v>
      </c>
      <c r="L425" s="1228">
        <v>2.7896273880343301E-2</v>
      </c>
      <c r="M425" s="1229">
        <v>5.5740919142617702E-2</v>
      </c>
      <c r="N425" s="1230">
        <v>1.6791930898186433E-4</v>
      </c>
    </row>
    <row r="426" spans="1:14" ht="15.5" x14ac:dyDescent="0.35">
      <c r="A426" s="198">
        <v>2023</v>
      </c>
      <c r="B426" s="197" t="s">
        <v>5850</v>
      </c>
      <c r="C426" s="197">
        <v>1972</v>
      </c>
      <c r="D426" s="110" t="str">
        <f t="shared" si="5"/>
        <v>2023_1972</v>
      </c>
      <c r="E426" s="1226">
        <v>0.113763327914432</v>
      </c>
      <c r="F426" s="1227">
        <v>3.9324563618077145E-2</v>
      </c>
      <c r="G426" s="1227">
        <v>4.73137900398289</v>
      </c>
      <c r="H426" s="1227">
        <v>0.52811755494562307</v>
      </c>
      <c r="I426" s="1227">
        <v>5.33295916545568E-2</v>
      </c>
      <c r="J426" s="1227">
        <v>1.6065519400578705E-4</v>
      </c>
      <c r="K426" s="1227">
        <v>3.0000008603874302E-3</v>
      </c>
      <c r="L426" s="1228">
        <v>2.7896273880343301E-2</v>
      </c>
      <c r="M426" s="1229">
        <v>5.5740919142617702E-2</v>
      </c>
      <c r="N426" s="1230">
        <v>1.6791930898186433E-4</v>
      </c>
    </row>
    <row r="427" spans="1:14" ht="15.5" x14ac:dyDescent="0.35">
      <c r="A427" s="198">
        <v>2023</v>
      </c>
      <c r="B427" s="197" t="s">
        <v>5850</v>
      </c>
      <c r="C427" s="110">
        <v>1973</v>
      </c>
      <c r="D427" s="110" t="str">
        <f t="shared" si="5"/>
        <v>2023_1973</v>
      </c>
      <c r="E427" s="1226">
        <v>0.113763327914432</v>
      </c>
      <c r="F427" s="1227">
        <v>3.9324563618077145E-2</v>
      </c>
      <c r="G427" s="1227">
        <v>4.73137900398289</v>
      </c>
      <c r="H427" s="1227">
        <v>0.52811755494562307</v>
      </c>
      <c r="I427" s="1227">
        <v>5.33295916545568E-2</v>
      </c>
      <c r="J427" s="1227">
        <v>1.6065519400578705E-4</v>
      </c>
      <c r="K427" s="1227">
        <v>3.0000008603874302E-3</v>
      </c>
      <c r="L427" s="1228">
        <v>2.7896273880343301E-2</v>
      </c>
      <c r="M427" s="1229">
        <v>5.5740919142617702E-2</v>
      </c>
      <c r="N427" s="1230">
        <v>1.6791930898186433E-4</v>
      </c>
    </row>
    <row r="428" spans="1:14" ht="15.5" x14ac:dyDescent="0.35">
      <c r="A428" s="198">
        <v>2023</v>
      </c>
      <c r="B428" s="197" t="s">
        <v>5850</v>
      </c>
      <c r="C428" s="197">
        <v>1974</v>
      </c>
      <c r="D428" s="110" t="str">
        <f t="shared" si="5"/>
        <v>2023_1974</v>
      </c>
      <c r="E428" s="1226">
        <v>0.113763327914432</v>
      </c>
      <c r="F428" s="1227">
        <v>3.9324563618077145E-2</v>
      </c>
      <c r="G428" s="1227">
        <v>4.73137900398289</v>
      </c>
      <c r="H428" s="1227">
        <v>0.52811755494562307</v>
      </c>
      <c r="I428" s="1227">
        <v>5.33295916545568E-2</v>
      </c>
      <c r="J428" s="1227">
        <v>1.6065519400578705E-4</v>
      </c>
      <c r="K428" s="1227">
        <v>3.0000008603874302E-3</v>
      </c>
      <c r="L428" s="1228">
        <v>2.7896273880343301E-2</v>
      </c>
      <c r="M428" s="1229">
        <v>5.5740919142617702E-2</v>
      </c>
      <c r="N428" s="1230">
        <v>1.6791930898186433E-4</v>
      </c>
    </row>
    <row r="429" spans="1:14" ht="15.5" x14ac:dyDescent="0.35">
      <c r="A429" s="198">
        <v>2023</v>
      </c>
      <c r="B429" s="197" t="s">
        <v>5850</v>
      </c>
      <c r="C429" s="110">
        <v>1975</v>
      </c>
      <c r="D429" s="110" t="str">
        <f t="shared" si="5"/>
        <v>2023_1975</v>
      </c>
      <c r="E429" s="1226">
        <v>0.113763327914432</v>
      </c>
      <c r="F429" s="1227">
        <v>3.9324563618077145E-2</v>
      </c>
      <c r="G429" s="1227">
        <v>4.73137900398289</v>
      </c>
      <c r="H429" s="1227">
        <v>0.52811755494562307</v>
      </c>
      <c r="I429" s="1227">
        <v>5.33295916545568E-2</v>
      </c>
      <c r="J429" s="1227">
        <v>1.6065519400578705E-4</v>
      </c>
      <c r="K429" s="1227">
        <v>3.0000008603874302E-3</v>
      </c>
      <c r="L429" s="1228">
        <v>2.7896273880343301E-2</v>
      </c>
      <c r="M429" s="1229">
        <v>5.5740919142617702E-2</v>
      </c>
      <c r="N429" s="1230">
        <v>1.6791930898186433E-4</v>
      </c>
    </row>
    <row r="430" spans="1:14" ht="15.5" x14ac:dyDescent="0.35">
      <c r="A430" s="198">
        <v>2023</v>
      </c>
      <c r="B430" s="197" t="s">
        <v>5850</v>
      </c>
      <c r="C430" s="197">
        <v>1976</v>
      </c>
      <c r="D430" s="110" t="str">
        <f t="shared" si="5"/>
        <v>2023_1976</v>
      </c>
      <c r="E430" s="1226">
        <v>0.113763327914432</v>
      </c>
      <c r="F430" s="1227">
        <v>3.9324563618077145E-2</v>
      </c>
      <c r="G430" s="1227">
        <v>4.73137900398289</v>
      </c>
      <c r="H430" s="1227">
        <v>0.52811755494562307</v>
      </c>
      <c r="I430" s="1227">
        <v>5.33295916545568E-2</v>
      </c>
      <c r="J430" s="1227">
        <v>1.6065519400578705E-4</v>
      </c>
      <c r="K430" s="1227">
        <v>3.0000008603874302E-3</v>
      </c>
      <c r="L430" s="1228">
        <v>2.7896273880343301E-2</v>
      </c>
      <c r="M430" s="1229">
        <v>5.5740919142617702E-2</v>
      </c>
      <c r="N430" s="1230">
        <v>1.6791930898186433E-4</v>
      </c>
    </row>
    <row r="431" spans="1:14" ht="15.5" x14ac:dyDescent="0.35">
      <c r="A431" s="198">
        <v>2023</v>
      </c>
      <c r="B431" s="197" t="s">
        <v>5850</v>
      </c>
      <c r="C431" s="110">
        <v>1977</v>
      </c>
      <c r="D431" s="110" t="str">
        <f t="shared" si="5"/>
        <v>2023_1977</v>
      </c>
      <c r="E431" s="1226">
        <v>0.113763327914432</v>
      </c>
      <c r="F431" s="1227">
        <v>3.9324563618077145E-2</v>
      </c>
      <c r="G431" s="1227">
        <v>4.73137900398289</v>
      </c>
      <c r="H431" s="1227">
        <v>0.52811755494562307</v>
      </c>
      <c r="I431" s="1227">
        <v>5.33295916545568E-2</v>
      </c>
      <c r="J431" s="1227">
        <v>1.6065519400578705E-4</v>
      </c>
      <c r="K431" s="1227">
        <v>3.0000008603874302E-3</v>
      </c>
      <c r="L431" s="1228">
        <v>2.7896273880343301E-2</v>
      </c>
      <c r="M431" s="1229">
        <v>5.5740919142617702E-2</v>
      </c>
      <c r="N431" s="1230">
        <v>1.6791930898186433E-4</v>
      </c>
    </row>
    <row r="432" spans="1:14" ht="15.5" x14ac:dyDescent="0.35">
      <c r="A432" s="198">
        <v>2023</v>
      </c>
      <c r="B432" s="197" t="s">
        <v>5850</v>
      </c>
      <c r="C432" s="110">
        <v>1978</v>
      </c>
      <c r="D432" s="110" t="str">
        <f t="shared" si="5"/>
        <v>2023_1978</v>
      </c>
      <c r="E432" s="1226">
        <v>0.113763327914432</v>
      </c>
      <c r="F432" s="1227">
        <v>3.9324563618077145E-2</v>
      </c>
      <c r="G432" s="1227">
        <v>4.73137900398289</v>
      </c>
      <c r="H432" s="1227">
        <v>0.52811755494562307</v>
      </c>
      <c r="I432" s="1227">
        <v>5.33295916545568E-2</v>
      </c>
      <c r="J432" s="1227">
        <v>1.6065519400578705E-4</v>
      </c>
      <c r="K432" s="1227">
        <v>3.0000008603874302E-3</v>
      </c>
      <c r="L432" s="1228">
        <v>2.7896273880343301E-2</v>
      </c>
      <c r="M432" s="1229">
        <v>5.5740919142617702E-2</v>
      </c>
      <c r="N432" s="1230">
        <v>1.6791930898186433E-4</v>
      </c>
    </row>
    <row r="433" spans="1:14" ht="15.5" x14ac:dyDescent="0.35">
      <c r="A433" s="198">
        <v>2023</v>
      </c>
      <c r="B433" s="197" t="s">
        <v>5850</v>
      </c>
      <c r="C433" s="197">
        <v>1979</v>
      </c>
      <c r="D433" s="110" t="str">
        <f t="shared" si="5"/>
        <v>2023_1979</v>
      </c>
      <c r="E433" s="1226">
        <v>0.113763327914432</v>
      </c>
      <c r="F433" s="1227">
        <v>3.9324563618077145E-2</v>
      </c>
      <c r="G433" s="1227">
        <v>4.73137900398289</v>
      </c>
      <c r="H433" s="1227">
        <v>0.52811755494562307</v>
      </c>
      <c r="I433" s="1227">
        <v>5.33295916545568E-2</v>
      </c>
      <c r="J433" s="1227">
        <v>1.6065519400578705E-4</v>
      </c>
      <c r="K433" s="1227">
        <v>3.0000008603874302E-3</v>
      </c>
      <c r="L433" s="1228">
        <v>2.7896273880343301E-2</v>
      </c>
      <c r="M433" s="1229">
        <v>5.5740919142617702E-2</v>
      </c>
      <c r="N433" s="1230">
        <v>1.6791930898186433E-4</v>
      </c>
    </row>
    <row r="434" spans="1:14" ht="15.5" x14ac:dyDescent="0.35">
      <c r="A434" s="198">
        <v>2023</v>
      </c>
      <c r="B434" s="197" t="s">
        <v>5850</v>
      </c>
      <c r="C434" s="110">
        <v>1980</v>
      </c>
      <c r="D434" s="110" t="str">
        <f t="shared" si="5"/>
        <v>2023_1980</v>
      </c>
      <c r="E434" s="1226">
        <v>0.113763327914432</v>
      </c>
      <c r="F434" s="1227">
        <v>3.9324563618077145E-2</v>
      </c>
      <c r="G434" s="1227">
        <v>4.73137900398289</v>
      </c>
      <c r="H434" s="1227">
        <v>0.52811755494562307</v>
      </c>
      <c r="I434" s="1227">
        <v>5.33295916545568E-2</v>
      </c>
      <c r="J434" s="1227">
        <v>1.6065519400578705E-4</v>
      </c>
      <c r="K434" s="1227">
        <v>3.0000008603874302E-3</v>
      </c>
      <c r="L434" s="1228">
        <v>2.7896273880343301E-2</v>
      </c>
      <c r="M434" s="1229">
        <v>5.5740919142617702E-2</v>
      </c>
      <c r="N434" s="1230">
        <v>1.6791930898186433E-4</v>
      </c>
    </row>
    <row r="435" spans="1:14" ht="15.5" x14ac:dyDescent="0.35">
      <c r="A435" s="198">
        <v>2023</v>
      </c>
      <c r="B435" s="197" t="s">
        <v>5850</v>
      </c>
      <c r="C435" s="110">
        <v>1981</v>
      </c>
      <c r="D435" s="110" t="str">
        <f t="shared" si="5"/>
        <v>2023_1981</v>
      </c>
      <c r="E435" s="1226">
        <v>0.113763327914432</v>
      </c>
      <c r="F435" s="1227">
        <v>3.9324563618077145E-2</v>
      </c>
      <c r="G435" s="1227">
        <v>4.73137900398289</v>
      </c>
      <c r="H435" s="1227">
        <v>0.52811755494562307</v>
      </c>
      <c r="I435" s="1227">
        <v>5.33295916545568E-2</v>
      </c>
      <c r="J435" s="1227">
        <v>1.6065519400578705E-4</v>
      </c>
      <c r="K435" s="1227">
        <v>3.0000008603874302E-3</v>
      </c>
      <c r="L435" s="1228">
        <v>2.7896273880343301E-2</v>
      </c>
      <c r="M435" s="1229">
        <v>5.5740919142617702E-2</v>
      </c>
      <c r="N435" s="1230">
        <v>1.6791930898186433E-4</v>
      </c>
    </row>
    <row r="436" spans="1:14" ht="15.5" x14ac:dyDescent="0.35">
      <c r="A436" s="198">
        <v>2023</v>
      </c>
      <c r="B436" s="197" t="s">
        <v>5850</v>
      </c>
      <c r="C436" s="197">
        <v>1982</v>
      </c>
      <c r="D436" s="110" t="str">
        <f t="shared" si="5"/>
        <v>2023_1982</v>
      </c>
      <c r="E436" s="1226">
        <v>0.113763327914432</v>
      </c>
      <c r="F436" s="1227">
        <v>3.9324563618077145E-2</v>
      </c>
      <c r="G436" s="1227">
        <v>4.73137900398289</v>
      </c>
      <c r="H436" s="1227">
        <v>0.52811755494562307</v>
      </c>
      <c r="I436" s="1227">
        <v>5.33295916545568E-2</v>
      </c>
      <c r="J436" s="1227">
        <v>1.6065519400578705E-4</v>
      </c>
      <c r="K436" s="1227">
        <v>3.0000008603874302E-3</v>
      </c>
      <c r="L436" s="1228">
        <v>2.7896273880343301E-2</v>
      </c>
      <c r="M436" s="1229">
        <v>5.5740919142617702E-2</v>
      </c>
      <c r="N436" s="1230">
        <v>1.6791930898186433E-4</v>
      </c>
    </row>
    <row r="437" spans="1:14" ht="15.5" x14ac:dyDescent="0.35">
      <c r="A437" s="198">
        <v>2023</v>
      </c>
      <c r="B437" s="197" t="s">
        <v>5850</v>
      </c>
      <c r="C437" s="110">
        <v>1983</v>
      </c>
      <c r="D437" s="110" t="str">
        <f t="shared" si="5"/>
        <v>2023_1983</v>
      </c>
      <c r="E437" s="1226">
        <v>0.113763327914432</v>
      </c>
      <c r="F437" s="1227">
        <v>3.9324563618077145E-2</v>
      </c>
      <c r="G437" s="1227">
        <v>4.73137900398289</v>
      </c>
      <c r="H437" s="1227">
        <v>0.52811755494562307</v>
      </c>
      <c r="I437" s="1227">
        <v>5.33295916545568E-2</v>
      </c>
      <c r="J437" s="1227">
        <v>1.6065519400578705E-4</v>
      </c>
      <c r="K437" s="1227">
        <v>3.0000008603874302E-3</v>
      </c>
      <c r="L437" s="1228">
        <v>2.7896273880343301E-2</v>
      </c>
      <c r="M437" s="1229">
        <v>5.5740919142617702E-2</v>
      </c>
      <c r="N437" s="1230">
        <v>1.6791930898186433E-4</v>
      </c>
    </row>
    <row r="438" spans="1:14" ht="15.5" x14ac:dyDescent="0.35">
      <c r="A438" s="198">
        <v>2023</v>
      </c>
      <c r="B438" s="197" t="s">
        <v>5850</v>
      </c>
      <c r="C438" s="110">
        <v>1984</v>
      </c>
      <c r="D438" s="110" t="str">
        <f t="shared" si="5"/>
        <v>2023_1984</v>
      </c>
      <c r="E438" s="1226">
        <v>0.113763327914432</v>
      </c>
      <c r="F438" s="1227">
        <v>3.9324563618077145E-2</v>
      </c>
      <c r="G438" s="1227">
        <v>4.73137900398289</v>
      </c>
      <c r="H438" s="1227">
        <v>0.52811755494562307</v>
      </c>
      <c r="I438" s="1227">
        <v>5.33295916545568E-2</v>
      </c>
      <c r="J438" s="1227">
        <v>1.6065519400578705E-4</v>
      </c>
      <c r="K438" s="1227">
        <v>3.0000008603874302E-3</v>
      </c>
      <c r="L438" s="1228">
        <v>2.7896273880343301E-2</v>
      </c>
      <c r="M438" s="1229">
        <v>5.5740919142617702E-2</v>
      </c>
      <c r="N438" s="1230">
        <v>1.6791930898186433E-4</v>
      </c>
    </row>
    <row r="439" spans="1:14" ht="15.5" x14ac:dyDescent="0.35">
      <c r="A439" s="198">
        <v>2023</v>
      </c>
      <c r="B439" s="197" t="s">
        <v>5850</v>
      </c>
      <c r="C439" s="197">
        <v>1985</v>
      </c>
      <c r="D439" s="110" t="str">
        <f t="shared" si="5"/>
        <v>2023_1985</v>
      </c>
      <c r="E439" s="1226">
        <v>0.113763327914432</v>
      </c>
      <c r="F439" s="1227">
        <v>3.9324563618077145E-2</v>
      </c>
      <c r="G439" s="1227">
        <v>4.73137900398289</v>
      </c>
      <c r="H439" s="1227">
        <v>0.52811755494562307</v>
      </c>
      <c r="I439" s="1227">
        <v>5.33295916545568E-2</v>
      </c>
      <c r="J439" s="1227">
        <v>1.6065519400578705E-4</v>
      </c>
      <c r="K439" s="1227">
        <v>3.0000008603874302E-3</v>
      </c>
      <c r="L439" s="1228">
        <v>2.7896273880343301E-2</v>
      </c>
      <c r="M439" s="1229">
        <v>5.5740919142617702E-2</v>
      </c>
      <c r="N439" s="1230">
        <v>1.6791930898186433E-4</v>
      </c>
    </row>
    <row r="440" spans="1:14" ht="15.5" x14ac:dyDescent="0.35">
      <c r="A440" s="198">
        <v>2023</v>
      </c>
      <c r="B440" s="197" t="s">
        <v>5850</v>
      </c>
      <c r="C440" s="110">
        <v>1986</v>
      </c>
      <c r="D440" s="110" t="str">
        <f t="shared" si="5"/>
        <v>2023_1986</v>
      </c>
      <c r="E440" s="1226">
        <v>0.113763327914432</v>
      </c>
      <c r="F440" s="1227">
        <v>3.9324563618077145E-2</v>
      </c>
      <c r="G440" s="1227">
        <v>4.73137900398289</v>
      </c>
      <c r="H440" s="1227">
        <v>0.52811755494562307</v>
      </c>
      <c r="I440" s="1227">
        <v>5.33295916545568E-2</v>
      </c>
      <c r="J440" s="1227">
        <v>1.6065519400578705E-4</v>
      </c>
      <c r="K440" s="1227">
        <v>3.0000008603874302E-3</v>
      </c>
      <c r="L440" s="1228">
        <v>2.7896273880343301E-2</v>
      </c>
      <c r="M440" s="1229">
        <v>5.5740919142617702E-2</v>
      </c>
      <c r="N440" s="1230">
        <v>1.6791930898186433E-4</v>
      </c>
    </row>
    <row r="441" spans="1:14" ht="15.5" x14ac:dyDescent="0.35">
      <c r="A441" s="198">
        <v>2023</v>
      </c>
      <c r="B441" s="197" t="s">
        <v>5850</v>
      </c>
      <c r="C441" s="110">
        <v>1987</v>
      </c>
      <c r="D441" s="110" t="str">
        <f t="shared" si="5"/>
        <v>2023_1987</v>
      </c>
      <c r="E441" s="1226">
        <v>0.113763327914432</v>
      </c>
      <c r="F441" s="1227">
        <v>3.9324563618077145E-2</v>
      </c>
      <c r="G441" s="1227">
        <v>4.73137900398289</v>
      </c>
      <c r="H441" s="1227">
        <v>0.52811755494562307</v>
      </c>
      <c r="I441" s="1227">
        <v>5.33295916545568E-2</v>
      </c>
      <c r="J441" s="1227">
        <v>1.6065519400578705E-4</v>
      </c>
      <c r="K441" s="1227">
        <v>3.0000008603874302E-3</v>
      </c>
      <c r="L441" s="1228">
        <v>2.7896273880343301E-2</v>
      </c>
      <c r="M441" s="1229">
        <v>5.5740919142617702E-2</v>
      </c>
      <c r="N441" s="1230">
        <v>1.6791930898186433E-4</v>
      </c>
    </row>
    <row r="442" spans="1:14" ht="15.5" x14ac:dyDescent="0.35">
      <c r="A442" s="198">
        <v>2023</v>
      </c>
      <c r="B442" s="197" t="s">
        <v>5850</v>
      </c>
      <c r="C442" s="197">
        <v>1988</v>
      </c>
      <c r="D442" s="110" t="str">
        <f t="shared" si="5"/>
        <v>2023_1988</v>
      </c>
      <c r="E442" s="1226">
        <v>0.113763327914432</v>
      </c>
      <c r="F442" s="1227">
        <v>3.9324563618077145E-2</v>
      </c>
      <c r="G442" s="1227">
        <v>4.73137900398289</v>
      </c>
      <c r="H442" s="1227">
        <v>0.52811755494562307</v>
      </c>
      <c r="I442" s="1227">
        <v>5.33295916545568E-2</v>
      </c>
      <c r="J442" s="1227">
        <v>1.6065519400578705E-4</v>
      </c>
      <c r="K442" s="1227">
        <v>3.0000008603874302E-3</v>
      </c>
      <c r="L442" s="1228">
        <v>2.7896273880343301E-2</v>
      </c>
      <c r="M442" s="1229">
        <v>5.5740919142617702E-2</v>
      </c>
      <c r="N442" s="1230">
        <v>1.6791930898186433E-4</v>
      </c>
    </row>
    <row r="443" spans="1:14" ht="15.5" x14ac:dyDescent="0.35">
      <c r="A443" s="198">
        <v>2023</v>
      </c>
      <c r="B443" s="197" t="s">
        <v>5850</v>
      </c>
      <c r="C443" s="110">
        <v>1989</v>
      </c>
      <c r="D443" s="110" t="str">
        <f t="shared" si="5"/>
        <v>2023_1989</v>
      </c>
      <c r="E443" s="1226">
        <v>0.113763327914432</v>
      </c>
      <c r="F443" s="1227">
        <v>3.9324563618077145E-2</v>
      </c>
      <c r="G443" s="1227">
        <v>4.73137900398289</v>
      </c>
      <c r="H443" s="1227">
        <v>0.52811755494562307</v>
      </c>
      <c r="I443" s="1227">
        <v>5.33295916545568E-2</v>
      </c>
      <c r="J443" s="1227">
        <v>1.6065519400578705E-4</v>
      </c>
      <c r="K443" s="1227">
        <v>3.0000008603874302E-3</v>
      </c>
      <c r="L443" s="1228">
        <v>2.7896273880343301E-2</v>
      </c>
      <c r="M443" s="1229">
        <v>5.5740919142617702E-2</v>
      </c>
      <c r="N443" s="1230">
        <v>1.6791930898186433E-4</v>
      </c>
    </row>
    <row r="444" spans="1:14" ht="15.5" x14ac:dyDescent="0.35">
      <c r="A444" s="198">
        <v>2023</v>
      </c>
      <c r="B444" s="197" t="s">
        <v>5850</v>
      </c>
      <c r="C444" s="110">
        <v>1990</v>
      </c>
      <c r="D444" s="110" t="str">
        <f t="shared" si="5"/>
        <v>2023_1990</v>
      </c>
      <c r="E444" s="1226">
        <v>0.113763327914432</v>
      </c>
      <c r="F444" s="1227">
        <v>3.9324563618077145E-2</v>
      </c>
      <c r="G444" s="1227">
        <v>4.73137900398289</v>
      </c>
      <c r="H444" s="1227">
        <v>0.52811755494562307</v>
      </c>
      <c r="I444" s="1227">
        <v>5.33295916545568E-2</v>
      </c>
      <c r="J444" s="1227">
        <v>1.6065519400578705E-4</v>
      </c>
      <c r="K444" s="1227">
        <v>3.0000008603874302E-3</v>
      </c>
      <c r="L444" s="1228">
        <v>2.7896273880343301E-2</v>
      </c>
      <c r="M444" s="1229">
        <v>5.5740919142617702E-2</v>
      </c>
      <c r="N444" s="1230">
        <v>1.6791930898186433E-4</v>
      </c>
    </row>
    <row r="445" spans="1:14" ht="15.5" x14ac:dyDescent="0.35">
      <c r="A445" s="198">
        <v>2023</v>
      </c>
      <c r="B445" s="197" t="s">
        <v>5850</v>
      </c>
      <c r="C445" s="197">
        <v>1991</v>
      </c>
      <c r="D445" s="110" t="str">
        <f t="shared" si="5"/>
        <v>2023_1991</v>
      </c>
      <c r="E445" s="1226">
        <v>0.113763327914432</v>
      </c>
      <c r="F445" s="1227">
        <v>3.9324563618077145E-2</v>
      </c>
      <c r="G445" s="1227">
        <v>4.73137900398289</v>
      </c>
      <c r="H445" s="1227">
        <v>0.52811755494562307</v>
      </c>
      <c r="I445" s="1227">
        <v>5.33295916545568E-2</v>
      </c>
      <c r="J445" s="1227">
        <v>1.6065519400578705E-4</v>
      </c>
      <c r="K445" s="1227">
        <v>3.0000008603874302E-3</v>
      </c>
      <c r="L445" s="1228">
        <v>2.7896273880343301E-2</v>
      </c>
      <c r="M445" s="1229">
        <v>5.5740919142617702E-2</v>
      </c>
      <c r="N445" s="1230">
        <v>1.6791930898186433E-4</v>
      </c>
    </row>
    <row r="446" spans="1:14" ht="15.5" x14ac:dyDescent="0.35">
      <c r="A446" s="198">
        <v>2023</v>
      </c>
      <c r="B446" s="197" t="s">
        <v>5850</v>
      </c>
      <c r="C446" s="110">
        <v>1992</v>
      </c>
      <c r="D446" s="110" t="str">
        <f t="shared" si="5"/>
        <v>2023_1992</v>
      </c>
      <c r="E446" s="1226">
        <v>0.113763327914432</v>
      </c>
      <c r="F446" s="1227">
        <v>3.9324563618077145E-2</v>
      </c>
      <c r="G446" s="1227">
        <v>4.73137900398289</v>
      </c>
      <c r="H446" s="1227">
        <v>0.52811755494562307</v>
      </c>
      <c r="I446" s="1227">
        <v>5.33295916545568E-2</v>
      </c>
      <c r="J446" s="1227">
        <v>1.6065519400578705E-4</v>
      </c>
      <c r="K446" s="1227">
        <v>3.0000008603874302E-3</v>
      </c>
      <c r="L446" s="1228">
        <v>2.7896273880343301E-2</v>
      </c>
      <c r="M446" s="1229">
        <v>5.5740919142617702E-2</v>
      </c>
      <c r="N446" s="1230">
        <v>1.6791930898186433E-4</v>
      </c>
    </row>
    <row r="447" spans="1:14" ht="15.5" x14ac:dyDescent="0.35">
      <c r="A447" s="198">
        <v>2023</v>
      </c>
      <c r="B447" s="197" t="s">
        <v>5850</v>
      </c>
      <c r="C447" s="110">
        <v>1993</v>
      </c>
      <c r="D447" s="110" t="str">
        <f t="shared" si="5"/>
        <v>2023_1993</v>
      </c>
      <c r="E447" s="1226">
        <v>0.113763327914432</v>
      </c>
      <c r="F447" s="1227">
        <v>3.9324563618077145E-2</v>
      </c>
      <c r="G447" s="1227">
        <v>4.73137900398289</v>
      </c>
      <c r="H447" s="1227">
        <v>0.52811755494562307</v>
      </c>
      <c r="I447" s="1227">
        <v>5.33295916545568E-2</v>
      </c>
      <c r="J447" s="1227">
        <v>1.6065519400578705E-4</v>
      </c>
      <c r="K447" s="1227">
        <v>3.0000008603874302E-3</v>
      </c>
      <c r="L447" s="1228">
        <v>2.7896273880343301E-2</v>
      </c>
      <c r="M447" s="1229">
        <v>5.5740919142617702E-2</v>
      </c>
      <c r="N447" s="1230">
        <v>1.6791930898186433E-4</v>
      </c>
    </row>
    <row r="448" spans="1:14" ht="15.5" x14ac:dyDescent="0.35">
      <c r="A448" s="198">
        <v>2023</v>
      </c>
      <c r="B448" s="197" t="s">
        <v>5850</v>
      </c>
      <c r="C448" s="197">
        <v>1994</v>
      </c>
      <c r="D448" s="110" t="str">
        <f t="shared" si="5"/>
        <v>2023_1994</v>
      </c>
      <c r="E448" s="1226">
        <v>0.113763327914432</v>
      </c>
      <c r="F448" s="1227">
        <v>3.9324563618077145E-2</v>
      </c>
      <c r="G448" s="1227">
        <v>4.73137900398289</v>
      </c>
      <c r="H448" s="1227">
        <v>0.52811755494562307</v>
      </c>
      <c r="I448" s="1227">
        <v>5.33295916545568E-2</v>
      </c>
      <c r="J448" s="1227">
        <v>1.6065519400578705E-4</v>
      </c>
      <c r="K448" s="1227">
        <v>3.0000008603874302E-3</v>
      </c>
      <c r="L448" s="1228">
        <v>2.7896273880343301E-2</v>
      </c>
      <c r="M448" s="1229">
        <v>5.5740919142617702E-2</v>
      </c>
      <c r="N448" s="1230">
        <v>1.6791930898186433E-4</v>
      </c>
    </row>
    <row r="449" spans="1:14" ht="15.5" x14ac:dyDescent="0.35">
      <c r="A449" s="198">
        <v>2023</v>
      </c>
      <c r="B449" s="197" t="s">
        <v>5850</v>
      </c>
      <c r="C449" s="110">
        <v>1995</v>
      </c>
      <c r="D449" s="110" t="str">
        <f t="shared" si="5"/>
        <v>2023_1995</v>
      </c>
      <c r="E449" s="1226">
        <v>0.113763327914432</v>
      </c>
      <c r="F449" s="1227">
        <v>3.9324563618077145E-2</v>
      </c>
      <c r="G449" s="1227">
        <v>4.73137900398289</v>
      </c>
      <c r="H449" s="1227">
        <v>0.52811755494562307</v>
      </c>
      <c r="I449" s="1227">
        <v>5.33295916545568E-2</v>
      </c>
      <c r="J449" s="1227">
        <v>1.6065519400578705E-4</v>
      </c>
      <c r="K449" s="1227">
        <v>3.0000008603874302E-3</v>
      </c>
      <c r="L449" s="1228">
        <v>2.7896273880343301E-2</v>
      </c>
      <c r="M449" s="1229">
        <v>5.5740919142617702E-2</v>
      </c>
      <c r="N449" s="1230">
        <v>1.6791930898186433E-4</v>
      </c>
    </row>
    <row r="450" spans="1:14" ht="15.5" x14ac:dyDescent="0.35">
      <c r="A450" s="198">
        <v>2023</v>
      </c>
      <c r="B450" s="197" t="s">
        <v>5850</v>
      </c>
      <c r="C450" s="110">
        <v>1996</v>
      </c>
      <c r="D450" s="110" t="str">
        <f t="shared" si="5"/>
        <v>2023_1996</v>
      </c>
      <c r="E450" s="1226">
        <v>0.113763327914432</v>
      </c>
      <c r="F450" s="1227">
        <v>3.9324563618077145E-2</v>
      </c>
      <c r="G450" s="1227">
        <v>4.73137900398289</v>
      </c>
      <c r="H450" s="1227">
        <v>0.52811755494562307</v>
      </c>
      <c r="I450" s="1227">
        <v>5.33295916545568E-2</v>
      </c>
      <c r="J450" s="1227">
        <v>1.6065519400578705E-4</v>
      </c>
      <c r="K450" s="1227">
        <v>3.0000008603874302E-3</v>
      </c>
      <c r="L450" s="1228">
        <v>2.7896273880343301E-2</v>
      </c>
      <c r="M450" s="1229">
        <v>5.5740919142617702E-2</v>
      </c>
      <c r="N450" s="1230">
        <v>1.6791930898186433E-4</v>
      </c>
    </row>
    <row r="451" spans="1:14" ht="15.5" x14ac:dyDescent="0.35">
      <c r="A451" s="198">
        <v>2023</v>
      </c>
      <c r="B451" s="197" t="s">
        <v>5850</v>
      </c>
      <c r="C451" s="197">
        <v>1997</v>
      </c>
      <c r="D451" s="110" t="str">
        <f t="shared" si="5"/>
        <v>2023_1997</v>
      </c>
      <c r="E451" s="1226">
        <v>0.113763327914432</v>
      </c>
      <c r="F451" s="1227">
        <v>3.9324563618077145E-2</v>
      </c>
      <c r="G451" s="1227">
        <v>4.73137900398289</v>
      </c>
      <c r="H451" s="1227">
        <v>0.52811755494562307</v>
      </c>
      <c r="I451" s="1227">
        <v>5.33295916545568E-2</v>
      </c>
      <c r="J451" s="1227">
        <v>1.6065519400578705E-4</v>
      </c>
      <c r="K451" s="1227">
        <v>3.0000008603874302E-3</v>
      </c>
      <c r="L451" s="1228">
        <v>2.7896273880343301E-2</v>
      </c>
      <c r="M451" s="1229">
        <v>5.5740919142617702E-2</v>
      </c>
      <c r="N451" s="1230">
        <v>1.6791930898186433E-4</v>
      </c>
    </row>
    <row r="452" spans="1:14" ht="15.5" x14ac:dyDescent="0.35">
      <c r="A452" s="198">
        <v>2023</v>
      </c>
      <c r="B452" s="197" t="s">
        <v>5850</v>
      </c>
      <c r="C452" s="110">
        <v>1998</v>
      </c>
      <c r="D452" s="110" t="str">
        <f t="shared" si="5"/>
        <v>2023_1998</v>
      </c>
      <c r="E452" s="1226">
        <v>0.113763327914432</v>
      </c>
      <c r="F452" s="1227">
        <v>3.9324563618077145E-2</v>
      </c>
      <c r="G452" s="1227">
        <v>4.73137900398289</v>
      </c>
      <c r="H452" s="1227">
        <v>0.52811755494562307</v>
      </c>
      <c r="I452" s="1227">
        <v>5.33295916545568E-2</v>
      </c>
      <c r="J452" s="1227">
        <v>1.6065519400578705E-4</v>
      </c>
      <c r="K452" s="1227">
        <v>3.0000008603874302E-3</v>
      </c>
      <c r="L452" s="1228">
        <v>2.7896273880343301E-2</v>
      </c>
      <c r="M452" s="1229">
        <v>5.5740919142617702E-2</v>
      </c>
      <c r="N452" s="1230">
        <v>1.6791930898186433E-4</v>
      </c>
    </row>
    <row r="453" spans="1:14" ht="15.5" x14ac:dyDescent="0.35">
      <c r="A453" s="198">
        <v>2023</v>
      </c>
      <c r="B453" s="197" t="s">
        <v>5850</v>
      </c>
      <c r="C453" s="110">
        <v>1999</v>
      </c>
      <c r="D453" s="110" t="str">
        <f t="shared" si="5"/>
        <v>2023_1999</v>
      </c>
      <c r="E453" s="1226">
        <v>0.113763327914432</v>
      </c>
      <c r="F453" s="1227">
        <v>3.9324563618077145E-2</v>
      </c>
      <c r="G453" s="1227">
        <v>4.73137900398289</v>
      </c>
      <c r="H453" s="1227">
        <v>0.52811755494562307</v>
      </c>
      <c r="I453" s="1227">
        <v>5.33295916545568E-2</v>
      </c>
      <c r="J453" s="1227">
        <v>1.6065519400578705E-4</v>
      </c>
      <c r="K453" s="1227">
        <v>3.0000008603874302E-3</v>
      </c>
      <c r="L453" s="1228">
        <v>2.7896273880343301E-2</v>
      </c>
      <c r="M453" s="1229">
        <v>5.5740919142617702E-2</v>
      </c>
      <c r="N453" s="1230">
        <v>1.6791930898186433E-4</v>
      </c>
    </row>
    <row r="454" spans="1:14" ht="15.5" x14ac:dyDescent="0.35">
      <c r="A454" s="198">
        <v>2023</v>
      </c>
      <c r="B454" s="197" t="s">
        <v>5850</v>
      </c>
      <c r="C454" s="197">
        <v>2000</v>
      </c>
      <c r="D454" s="110" t="str">
        <f t="shared" si="5"/>
        <v>2023_2000</v>
      </c>
      <c r="E454" s="1226">
        <v>0.113763327914432</v>
      </c>
      <c r="F454" s="1227">
        <v>3.9324563618077145E-2</v>
      </c>
      <c r="G454" s="1227">
        <v>4.73137900398289</v>
      </c>
      <c r="H454" s="1227">
        <v>0.52811755494562307</v>
      </c>
      <c r="I454" s="1227">
        <v>5.33295916545568E-2</v>
      </c>
      <c r="J454" s="1227">
        <v>1.6065519400578705E-4</v>
      </c>
      <c r="K454" s="1227">
        <v>3.0000008603874302E-3</v>
      </c>
      <c r="L454" s="1228">
        <v>2.7896273880343301E-2</v>
      </c>
      <c r="M454" s="1229">
        <v>5.5740919142617702E-2</v>
      </c>
      <c r="N454" s="1230">
        <v>1.6791930898186433E-4</v>
      </c>
    </row>
    <row r="455" spans="1:14" ht="15.5" x14ac:dyDescent="0.35">
      <c r="A455" s="198">
        <v>2023</v>
      </c>
      <c r="B455" s="197" t="s">
        <v>5850</v>
      </c>
      <c r="C455" s="110">
        <v>2001</v>
      </c>
      <c r="D455" s="110" t="str">
        <f t="shared" si="5"/>
        <v>2023_2001</v>
      </c>
      <c r="E455" s="1226">
        <v>0.113763327914432</v>
      </c>
      <c r="F455" s="1227">
        <v>3.9324563618077145E-2</v>
      </c>
      <c r="G455" s="1227">
        <v>4.73137900398289</v>
      </c>
      <c r="H455" s="1227">
        <v>0.52811755494562307</v>
      </c>
      <c r="I455" s="1227">
        <v>5.33295916545568E-2</v>
      </c>
      <c r="J455" s="1227">
        <v>1.6065519400578705E-4</v>
      </c>
      <c r="K455" s="1227">
        <v>3.0000008603874302E-3</v>
      </c>
      <c r="L455" s="1228">
        <v>2.7896273880343301E-2</v>
      </c>
      <c r="M455" s="1229">
        <v>5.5740919142617702E-2</v>
      </c>
      <c r="N455" s="1230">
        <v>1.6791930898186433E-4</v>
      </c>
    </row>
    <row r="456" spans="1:14" ht="15.5" x14ac:dyDescent="0.35">
      <c r="A456" s="198">
        <v>2023</v>
      </c>
      <c r="B456" s="197" t="s">
        <v>5850</v>
      </c>
      <c r="C456" s="110">
        <v>2002</v>
      </c>
      <c r="D456" s="110" t="str">
        <f t="shared" si="5"/>
        <v>2023_2002</v>
      </c>
      <c r="E456" s="1226">
        <v>0.113763327914432</v>
      </c>
      <c r="F456" s="1227">
        <v>3.9324563618077145E-2</v>
      </c>
      <c r="G456" s="1227">
        <v>4.73137900398289</v>
      </c>
      <c r="H456" s="1227">
        <v>0.52811755494562307</v>
      </c>
      <c r="I456" s="1227">
        <v>5.33295916545568E-2</v>
      </c>
      <c r="J456" s="1227">
        <v>1.6065519400578705E-4</v>
      </c>
      <c r="K456" s="1227">
        <v>3.0000008603874302E-3</v>
      </c>
      <c r="L456" s="1228">
        <v>2.7896273880343301E-2</v>
      </c>
      <c r="M456" s="1229">
        <v>5.5740919142617702E-2</v>
      </c>
      <c r="N456" s="1230">
        <v>1.6791930898186433E-4</v>
      </c>
    </row>
    <row r="457" spans="1:14" ht="15.5" x14ac:dyDescent="0.35">
      <c r="A457" s="198">
        <v>2023</v>
      </c>
      <c r="B457" s="197" t="s">
        <v>5850</v>
      </c>
      <c r="C457" s="197">
        <v>2003</v>
      </c>
      <c r="D457" s="110" t="str">
        <f t="shared" si="5"/>
        <v>2023_2003</v>
      </c>
      <c r="E457" s="1226">
        <v>0.113763327914432</v>
      </c>
      <c r="F457" s="1227">
        <v>3.9324563618077145E-2</v>
      </c>
      <c r="G457" s="1227">
        <v>4.73137900398289</v>
      </c>
      <c r="H457" s="1227">
        <v>0.52811755494562307</v>
      </c>
      <c r="I457" s="1227">
        <v>5.33295916545568E-2</v>
      </c>
      <c r="J457" s="1227">
        <v>1.6065519400578705E-4</v>
      </c>
      <c r="K457" s="1227">
        <v>3.0000008603874302E-3</v>
      </c>
      <c r="L457" s="1228">
        <v>2.7896273880343301E-2</v>
      </c>
      <c r="M457" s="1229">
        <v>5.5740919142617702E-2</v>
      </c>
      <c r="N457" s="1230">
        <v>1.6791930898186433E-4</v>
      </c>
    </row>
    <row r="458" spans="1:14" ht="15.5" x14ac:dyDescent="0.35">
      <c r="A458" s="198">
        <v>2023</v>
      </c>
      <c r="B458" s="197" t="s">
        <v>5850</v>
      </c>
      <c r="C458" s="110">
        <v>2004</v>
      </c>
      <c r="D458" s="110" t="str">
        <f t="shared" si="5"/>
        <v>2023_2004</v>
      </c>
      <c r="E458" s="1226">
        <v>0.113763327914432</v>
      </c>
      <c r="F458" s="1227">
        <v>3.9324563618077145E-2</v>
      </c>
      <c r="G458" s="1227">
        <v>4.73137900398289</v>
      </c>
      <c r="H458" s="1227">
        <v>0.52811755494562307</v>
      </c>
      <c r="I458" s="1227">
        <v>5.33295916545568E-2</v>
      </c>
      <c r="J458" s="1227">
        <v>1.6065519400578705E-4</v>
      </c>
      <c r="K458" s="1227">
        <v>3.0000008603874302E-3</v>
      </c>
      <c r="L458" s="1228">
        <v>2.7896273880343301E-2</v>
      </c>
      <c r="M458" s="1229">
        <v>5.5740919142617702E-2</v>
      </c>
      <c r="N458" s="1230">
        <v>1.6791930898186433E-4</v>
      </c>
    </row>
    <row r="459" spans="1:14" ht="15.5" x14ac:dyDescent="0.35">
      <c r="A459" s="198">
        <v>2023</v>
      </c>
      <c r="B459" s="197" t="s">
        <v>5850</v>
      </c>
      <c r="C459" s="110">
        <v>2005</v>
      </c>
      <c r="D459" s="110" t="str">
        <f t="shared" si="5"/>
        <v>2023_2005</v>
      </c>
      <c r="E459" s="1226">
        <v>0.113763327914432</v>
      </c>
      <c r="F459" s="1227">
        <v>3.9324563618077145E-2</v>
      </c>
      <c r="G459" s="1227">
        <v>4.73137900398289</v>
      </c>
      <c r="H459" s="1227">
        <v>0.52811755494562307</v>
      </c>
      <c r="I459" s="1227">
        <v>5.33295916545568E-2</v>
      </c>
      <c r="J459" s="1227">
        <v>1.6065519400578705E-4</v>
      </c>
      <c r="K459" s="1227">
        <v>3.0000008603874302E-3</v>
      </c>
      <c r="L459" s="1228">
        <v>2.7896273880343301E-2</v>
      </c>
      <c r="M459" s="1229">
        <v>5.5740919142617702E-2</v>
      </c>
      <c r="N459" s="1230">
        <v>1.6791930898186433E-4</v>
      </c>
    </row>
    <row r="460" spans="1:14" ht="15.5" x14ac:dyDescent="0.35">
      <c r="A460" s="198">
        <v>2023</v>
      </c>
      <c r="B460" s="197" t="s">
        <v>5850</v>
      </c>
      <c r="C460" s="197">
        <v>2006</v>
      </c>
      <c r="D460" s="110" t="str">
        <f t="shared" si="5"/>
        <v>2023_2006</v>
      </c>
      <c r="E460" s="1226">
        <v>0.113763327914432</v>
      </c>
      <c r="F460" s="1227">
        <v>3.9324563618077145E-2</v>
      </c>
      <c r="G460" s="1227">
        <v>4.73137900398289</v>
      </c>
      <c r="H460" s="1227">
        <v>0.52811755494562307</v>
      </c>
      <c r="I460" s="1227">
        <v>5.33295916545568E-2</v>
      </c>
      <c r="J460" s="1227">
        <v>1.6065519400578705E-4</v>
      </c>
      <c r="K460" s="1227">
        <v>3.0000008603874302E-3</v>
      </c>
      <c r="L460" s="1228">
        <v>2.7896273880343301E-2</v>
      </c>
      <c r="M460" s="1229">
        <v>5.5740919142617702E-2</v>
      </c>
      <c r="N460" s="1230">
        <v>1.6791930898186433E-4</v>
      </c>
    </row>
    <row r="461" spans="1:14" ht="15.5" x14ac:dyDescent="0.35">
      <c r="A461" s="198">
        <v>2023</v>
      </c>
      <c r="B461" s="197" t="s">
        <v>5850</v>
      </c>
      <c r="C461" s="110">
        <v>2007</v>
      </c>
      <c r="D461" s="110" t="str">
        <f t="shared" si="5"/>
        <v>2023_2007</v>
      </c>
      <c r="E461" s="1226">
        <v>0.113763327914432</v>
      </c>
      <c r="F461" s="1227">
        <v>3.9324563618077145E-2</v>
      </c>
      <c r="G461" s="1227">
        <v>4.73137900398289</v>
      </c>
      <c r="H461" s="1227">
        <v>0.52811755494562307</v>
      </c>
      <c r="I461" s="1227">
        <v>5.33295916545568E-2</v>
      </c>
      <c r="J461" s="1227">
        <v>1.6065519400578705E-4</v>
      </c>
      <c r="K461" s="1227">
        <v>3.0000008603874302E-3</v>
      </c>
      <c r="L461" s="1228">
        <v>2.7896273880343301E-2</v>
      </c>
      <c r="M461" s="1229">
        <v>5.5740919142617702E-2</v>
      </c>
      <c r="N461" s="1230">
        <v>1.6791930898186433E-4</v>
      </c>
    </row>
    <row r="462" spans="1:14" ht="15.5" x14ac:dyDescent="0.35">
      <c r="A462" s="198">
        <v>2023</v>
      </c>
      <c r="B462" s="197" t="s">
        <v>5850</v>
      </c>
      <c r="C462" s="110">
        <v>2008</v>
      </c>
      <c r="D462" s="110" t="str">
        <f t="shared" si="5"/>
        <v>2023_2008</v>
      </c>
      <c r="E462" s="1226">
        <v>0.113763327914432</v>
      </c>
      <c r="F462" s="1227">
        <v>3.9324563618077145E-2</v>
      </c>
      <c r="G462" s="1227">
        <v>4.73137900398289</v>
      </c>
      <c r="H462" s="1227">
        <v>0.52811755494562307</v>
      </c>
      <c r="I462" s="1227">
        <v>5.33295916545568E-2</v>
      </c>
      <c r="J462" s="1227">
        <v>1.6065519400578705E-4</v>
      </c>
      <c r="K462" s="1227">
        <v>3.0000008603874302E-3</v>
      </c>
      <c r="L462" s="1228">
        <v>2.7896273880343301E-2</v>
      </c>
      <c r="M462" s="1229">
        <v>5.5740919142617702E-2</v>
      </c>
      <c r="N462" s="1230">
        <v>1.6791930898186433E-4</v>
      </c>
    </row>
    <row r="463" spans="1:14" ht="15.5" x14ac:dyDescent="0.35">
      <c r="A463" s="198">
        <v>2023</v>
      </c>
      <c r="B463" s="197" t="s">
        <v>5850</v>
      </c>
      <c r="C463" s="197">
        <v>2009</v>
      </c>
      <c r="D463" s="110" t="str">
        <f t="shared" si="5"/>
        <v>2023_2009</v>
      </c>
      <c r="E463" s="1226">
        <v>0.113763327914432</v>
      </c>
      <c r="F463" s="1227">
        <v>3.9324563618077145E-2</v>
      </c>
      <c r="G463" s="1227">
        <v>4.73137900398289</v>
      </c>
      <c r="H463" s="1227">
        <v>0.52811755494562307</v>
      </c>
      <c r="I463" s="1227">
        <v>5.33295916545568E-2</v>
      </c>
      <c r="J463" s="1227">
        <v>1.6065519400578705E-4</v>
      </c>
      <c r="K463" s="1227">
        <v>3.0000008603874302E-3</v>
      </c>
      <c r="L463" s="1228">
        <v>2.7896273880343301E-2</v>
      </c>
      <c r="M463" s="1229">
        <v>5.5740919142617702E-2</v>
      </c>
      <c r="N463" s="1230">
        <v>1.6791930898186433E-4</v>
      </c>
    </row>
    <row r="464" spans="1:14" ht="15.5" x14ac:dyDescent="0.35">
      <c r="A464" s="198">
        <v>2023</v>
      </c>
      <c r="B464" s="197" t="s">
        <v>5850</v>
      </c>
      <c r="C464" s="110">
        <v>2010</v>
      </c>
      <c r="D464" s="110" t="str">
        <f t="shared" si="5"/>
        <v>2023_2010</v>
      </c>
      <c r="E464" s="1226">
        <v>0.113763327914432</v>
      </c>
      <c r="F464" s="1227">
        <v>3.9324563618077145E-2</v>
      </c>
      <c r="G464" s="1227">
        <v>4.73137900398289</v>
      </c>
      <c r="H464" s="1227">
        <v>0.52811755494562307</v>
      </c>
      <c r="I464" s="1227">
        <v>5.33295916545568E-2</v>
      </c>
      <c r="J464" s="1227">
        <v>1.6065519400578705E-4</v>
      </c>
      <c r="K464" s="1227">
        <v>3.0000008603874302E-3</v>
      </c>
      <c r="L464" s="1228">
        <v>2.7896273880343301E-2</v>
      </c>
      <c r="M464" s="1229">
        <v>5.5740919142617702E-2</v>
      </c>
      <c r="N464" s="1230">
        <v>1.6791930898186433E-4</v>
      </c>
    </row>
    <row r="465" spans="1:14" ht="15.5" x14ac:dyDescent="0.35">
      <c r="A465" s="198">
        <v>2023</v>
      </c>
      <c r="B465" s="197" t="s">
        <v>5850</v>
      </c>
      <c r="C465" s="110">
        <v>2011</v>
      </c>
      <c r="D465" s="110" t="str">
        <f t="shared" si="5"/>
        <v>2023_2011</v>
      </c>
      <c r="E465" s="1231">
        <v>0.113763327914432</v>
      </c>
      <c r="F465" s="1232">
        <v>3.9324563618077145E-2</v>
      </c>
      <c r="G465" s="1232">
        <v>4.73137900398289</v>
      </c>
      <c r="H465" s="1232">
        <v>0.52811755494562307</v>
      </c>
      <c r="I465" s="1232">
        <v>5.33295916545568E-2</v>
      </c>
      <c r="J465" s="1232">
        <v>1.6065519400578705E-4</v>
      </c>
      <c r="K465" s="1232">
        <v>3.0000008603874302E-3</v>
      </c>
      <c r="L465" s="1233">
        <v>2.7896273880343301E-2</v>
      </c>
      <c r="M465" s="1234">
        <v>5.5740919142617702E-2</v>
      </c>
      <c r="N465" s="1235">
        <v>1.6791930898186433E-4</v>
      </c>
    </row>
    <row r="466" spans="1:14" ht="15.5" x14ac:dyDescent="0.35">
      <c r="A466" s="198">
        <v>2023</v>
      </c>
      <c r="B466" s="197" t="s">
        <v>5850</v>
      </c>
      <c r="C466" s="197">
        <v>2012</v>
      </c>
      <c r="D466" s="110" t="str">
        <f t="shared" si="5"/>
        <v>2023_2012</v>
      </c>
      <c r="E466" s="1231">
        <v>2.2590281262960199E-2</v>
      </c>
      <c r="F466" s="1232">
        <v>3.551071983071849E-2</v>
      </c>
      <c r="G466" s="1232">
        <v>3.9347282649223199</v>
      </c>
      <c r="H466" s="1232">
        <v>0.41962793366853507</v>
      </c>
      <c r="I466" s="1232">
        <v>2.93877601852384E-2</v>
      </c>
      <c r="J466" s="1232">
        <v>1.4458967460520753E-4</v>
      </c>
      <c r="K466" s="1232">
        <v>3.0000008603874302E-3</v>
      </c>
      <c r="L466" s="1233">
        <v>2.7896273880455399E-2</v>
      </c>
      <c r="M466" s="1234">
        <v>3.0716544294560399E-2</v>
      </c>
      <c r="N466" s="1235">
        <v>1.5112737808367706E-4</v>
      </c>
    </row>
    <row r="467" spans="1:14" ht="15.5" x14ac:dyDescent="0.35">
      <c r="A467" s="199">
        <v>2023</v>
      </c>
      <c r="B467" s="110" t="s">
        <v>5850</v>
      </c>
      <c r="C467" s="110">
        <v>2013</v>
      </c>
      <c r="D467" s="110" t="str">
        <f t="shared" si="5"/>
        <v>2023_2013</v>
      </c>
      <c r="E467" s="1231">
        <v>2.1704079859012699E-2</v>
      </c>
      <c r="F467" s="1232">
        <v>3.1959647847646946E-2</v>
      </c>
      <c r="G467" s="1232">
        <v>3.5799984235117299</v>
      </c>
      <c r="H467" s="1232">
        <v>0.37766514030168513</v>
      </c>
      <c r="I467" s="1232">
        <v>2.73294269586567E-2</v>
      </c>
      <c r="J467" s="1232">
        <v>1.3013070714468802E-4</v>
      </c>
      <c r="K467" s="1232">
        <v>3.0000008603874302E-3</v>
      </c>
      <c r="L467" s="1233">
        <v>2.78962738804432E-2</v>
      </c>
      <c r="M467" s="1234">
        <v>2.8565142373191198E-2</v>
      </c>
      <c r="N467" s="1235">
        <v>1.3601464027531066E-4</v>
      </c>
    </row>
    <row r="468" spans="1:14" ht="15.5" x14ac:dyDescent="0.35">
      <c r="A468" s="199">
        <v>2023</v>
      </c>
      <c r="B468" s="110" t="s">
        <v>5850</v>
      </c>
      <c r="C468" s="110">
        <v>2014</v>
      </c>
      <c r="D468" s="110" t="str">
        <f t="shared" si="5"/>
        <v>2023_2014</v>
      </c>
      <c r="E468" s="1231">
        <v>1.06518890574875E-2</v>
      </c>
      <c r="F468" s="1232">
        <v>2.8763683062882094E-2</v>
      </c>
      <c r="G468" s="1232">
        <v>1.4262973652020501</v>
      </c>
      <c r="H468" s="1232">
        <v>0.33989862627151479</v>
      </c>
      <c r="I468" s="1232">
        <v>3.0934708423903799E-2</v>
      </c>
      <c r="J468" s="1232">
        <v>1.1711763643021859E-4</v>
      </c>
      <c r="K468" s="1232">
        <v>3.0000008603874302E-3</v>
      </c>
      <c r="L468" s="1233">
        <v>2.7896273880339498E-2</v>
      </c>
      <c r="M468" s="1234">
        <v>3.2333438668097098E-2</v>
      </c>
      <c r="N468" s="1235">
        <v>1.2241317624777891E-4</v>
      </c>
    </row>
    <row r="469" spans="1:14" ht="15.5" x14ac:dyDescent="0.35">
      <c r="A469" s="199">
        <v>2023</v>
      </c>
      <c r="B469" s="110" t="s">
        <v>5850</v>
      </c>
      <c r="C469" s="110">
        <v>2015</v>
      </c>
      <c r="D469" s="110" t="str">
        <f t="shared" si="5"/>
        <v>2023_2015</v>
      </c>
      <c r="E469" s="1231">
        <v>1.03400819350279E-2</v>
      </c>
      <c r="F469" s="1232">
        <v>2.5887314756593897E-2</v>
      </c>
      <c r="G469" s="1232">
        <v>1.3874300284832699</v>
      </c>
      <c r="H469" s="1232">
        <v>0.30590876364436348</v>
      </c>
      <c r="I469" s="1232">
        <v>2.92889401324129E-2</v>
      </c>
      <c r="J469" s="1232">
        <v>1.0540587278719677E-4</v>
      </c>
      <c r="K469" s="1232">
        <v>3.0000008603874302E-3</v>
      </c>
      <c r="L469" s="1233">
        <v>2.7896273880363899E-2</v>
      </c>
      <c r="M469" s="1234">
        <v>3.0613256037453698E-2</v>
      </c>
      <c r="N469" s="1235">
        <v>1.1017185862300108E-4</v>
      </c>
    </row>
    <row r="470" spans="1:14" ht="15.5" x14ac:dyDescent="0.35">
      <c r="A470" s="199">
        <v>2023</v>
      </c>
      <c r="B470" s="110" t="s">
        <v>5850</v>
      </c>
      <c r="C470" s="110">
        <v>2016</v>
      </c>
      <c r="D470" s="110" t="str">
        <f t="shared" si="5"/>
        <v>2023_2016</v>
      </c>
      <c r="E470" s="1231">
        <v>9.9936295767321399E-3</v>
      </c>
      <c r="F470" s="1232">
        <v>2.588731475659399E-2</v>
      </c>
      <c r="G470" s="1232">
        <v>1.3413717444231199</v>
      </c>
      <c r="H470" s="1232">
        <v>0.30590876364436453</v>
      </c>
      <c r="I470" s="1232">
        <v>2.7460308697433902E-2</v>
      </c>
      <c r="J470" s="1232">
        <v>1.0540587278719714E-4</v>
      </c>
      <c r="K470" s="1232">
        <v>3.0000008603874302E-3</v>
      </c>
      <c r="L470" s="1233">
        <v>2.78962738803821E-2</v>
      </c>
      <c r="M470" s="1234">
        <v>2.8701942003416699E-2</v>
      </c>
      <c r="N470" s="1235">
        <v>1.1017185862300147E-4</v>
      </c>
    </row>
    <row r="471" spans="1:14" ht="15.5" x14ac:dyDescent="0.35">
      <c r="A471" s="199">
        <v>2023</v>
      </c>
      <c r="B471" s="110" t="s">
        <v>5850</v>
      </c>
      <c r="C471" s="110">
        <v>2017</v>
      </c>
      <c r="D471" s="110" t="str">
        <f t="shared" si="5"/>
        <v>2023_2017</v>
      </c>
      <c r="E471" s="1231">
        <v>9.85163828294882E-3</v>
      </c>
      <c r="F471" s="1232">
        <v>2.5887314756593886E-2</v>
      </c>
      <c r="G471" s="1232">
        <v>1.2916970317130501</v>
      </c>
      <c r="H471" s="1232">
        <v>0.30590876364436331</v>
      </c>
      <c r="I471" s="1232">
        <v>2.0916186453218199E-2</v>
      </c>
      <c r="J471" s="1232">
        <v>1.0540587278719673E-4</v>
      </c>
      <c r="K471" s="1232">
        <v>3.0000008603874302E-3</v>
      </c>
      <c r="L471" s="1233">
        <v>2.78962738803855E-2</v>
      </c>
      <c r="M471" s="1234">
        <v>2.1861923590429901E-2</v>
      </c>
      <c r="N471" s="1235">
        <v>1.1017185862300104E-4</v>
      </c>
    </row>
    <row r="472" spans="1:14" ht="15.5" x14ac:dyDescent="0.35">
      <c r="A472" s="199">
        <v>2023</v>
      </c>
      <c r="B472" s="110" t="s">
        <v>5850</v>
      </c>
      <c r="C472" s="110">
        <v>2018</v>
      </c>
      <c r="D472" s="110" t="str">
        <f t="shared" si="5"/>
        <v>2023_2018</v>
      </c>
      <c r="E472" s="1231">
        <v>9.4978439963926305E-3</v>
      </c>
      <c r="F472" s="1232">
        <v>2.5887314756593938E-2</v>
      </c>
      <c r="G472" s="1232">
        <v>1.2375689263837999</v>
      </c>
      <c r="H472" s="1232">
        <v>0.30590876364436392</v>
      </c>
      <c r="I472" s="1232">
        <v>1.94239202554394E-2</v>
      </c>
      <c r="J472" s="1232">
        <v>1.054058727871976E-4</v>
      </c>
      <c r="K472" s="1232">
        <v>3.0000008603874302E-3</v>
      </c>
      <c r="L472" s="1233">
        <v>2.7896273880288602E-2</v>
      </c>
      <c r="M472" s="1234">
        <v>2.03021837370208E-2</v>
      </c>
      <c r="N472" s="1235">
        <v>1.1017185862300126E-4</v>
      </c>
    </row>
    <row r="473" spans="1:14" ht="15.5" x14ac:dyDescent="0.35">
      <c r="A473" s="199">
        <v>2023</v>
      </c>
      <c r="B473" s="110" t="s">
        <v>5850</v>
      </c>
      <c r="C473" s="110">
        <v>2019</v>
      </c>
      <c r="D473" s="110" t="str">
        <f t="shared" si="5"/>
        <v>2023_2019</v>
      </c>
      <c r="E473" s="1231">
        <v>9.1440497097629598E-3</v>
      </c>
      <c r="F473" s="1232">
        <v>2.5887314756593945E-2</v>
      </c>
      <c r="G473" s="1232">
        <v>1.1777855975742499</v>
      </c>
      <c r="H473" s="1232">
        <v>0.30590876364436398</v>
      </c>
      <c r="I473" s="1232">
        <v>1.7931654057085598E-2</v>
      </c>
      <c r="J473" s="1232">
        <v>1.0540587278719695E-4</v>
      </c>
      <c r="K473" s="1232">
        <v>3.0000008603874302E-3</v>
      </c>
      <c r="L473" s="1233">
        <v>2.7896273880494201E-2</v>
      </c>
      <c r="M473" s="1234">
        <v>1.87424438830106E-2</v>
      </c>
      <c r="N473" s="1235">
        <v>1.1017185862300127E-4</v>
      </c>
    </row>
    <row r="474" spans="1:14" ht="15.5" x14ac:dyDescent="0.35">
      <c r="A474" s="199">
        <v>2023</v>
      </c>
      <c r="B474" s="110" t="s">
        <v>5850</v>
      </c>
      <c r="C474" s="110">
        <v>2020</v>
      </c>
      <c r="D474" s="110" t="str">
        <f t="shared" si="5"/>
        <v>2023_2020</v>
      </c>
      <c r="E474" s="1231">
        <v>8.7902554232388297E-3</v>
      </c>
      <c r="F474" s="1232">
        <v>2.5887314756593893E-2</v>
      </c>
      <c r="G474" s="1232">
        <v>1.1105162202329799</v>
      </c>
      <c r="H474" s="1232">
        <v>0.30590876364436337</v>
      </c>
      <c r="I474" s="1232">
        <v>1.6439387859378901E-2</v>
      </c>
      <c r="J474" s="1232">
        <v>1.0540587278719675E-4</v>
      </c>
      <c r="K474" s="1232">
        <v>3.0000008603874302E-3</v>
      </c>
      <c r="L474" s="1233">
        <v>2.78962738803861E-2</v>
      </c>
      <c r="M474" s="1234">
        <v>1.7182704029676799E-2</v>
      </c>
      <c r="N474" s="1235">
        <v>1.1017185862300105E-4</v>
      </c>
    </row>
    <row r="475" spans="1:14" ht="15.5" x14ac:dyDescent="0.35">
      <c r="A475" s="199">
        <v>2023</v>
      </c>
      <c r="B475" s="110" t="s">
        <v>5850</v>
      </c>
      <c r="C475" s="110">
        <v>2021</v>
      </c>
      <c r="D475" s="110" t="str">
        <f t="shared" si="5"/>
        <v>2023_2021</v>
      </c>
      <c r="E475" s="1231">
        <v>8.4364611366539999E-3</v>
      </c>
      <c r="F475" s="1232">
        <v>2.588731475659431E-2</v>
      </c>
      <c r="G475" s="1232">
        <v>1.03273028865473</v>
      </c>
      <c r="H475" s="1232">
        <v>0.30590876364436831</v>
      </c>
      <c r="I475" s="1232">
        <v>1.49471216621748E-2</v>
      </c>
      <c r="J475" s="1232">
        <v>1.0540587278719846E-4</v>
      </c>
      <c r="K475" s="1232">
        <v>3.0000008603874302E-3</v>
      </c>
      <c r="L475" s="1233">
        <v>2.78962738796046E-2</v>
      </c>
      <c r="M475" s="1234">
        <v>1.5622964176868301E-2</v>
      </c>
      <c r="N475" s="1235">
        <v>1.1017185862300283E-4</v>
      </c>
    </row>
    <row r="476" spans="1:14" ht="15.5" x14ac:dyDescent="0.35">
      <c r="A476" s="199">
        <v>2023</v>
      </c>
      <c r="B476" s="110" t="s">
        <v>5850</v>
      </c>
      <c r="C476" s="110">
        <v>2022</v>
      </c>
      <c r="D476" s="110" t="str">
        <f t="shared" si="5"/>
        <v>2023_2022</v>
      </c>
      <c r="E476" s="1231">
        <v>8.0826668500586594E-3</v>
      </c>
      <c r="F476" s="1232">
        <v>2.5887314756593879E-2</v>
      </c>
      <c r="G476" s="1232">
        <v>0.93873619262672003</v>
      </c>
      <c r="H476" s="1232">
        <v>0.30590876364436326</v>
      </c>
      <c r="I476" s="1232">
        <v>1.3454855463241801E-2</v>
      </c>
      <c r="J476" s="1232">
        <v>1.0540587278719671E-4</v>
      </c>
      <c r="K476" s="1232">
        <v>3.0000008603874302E-3</v>
      </c>
      <c r="L476" s="1233">
        <v>2.7896273880560998E-2</v>
      </c>
      <c r="M476" s="1234">
        <v>1.4063224322252699E-2</v>
      </c>
      <c r="N476" s="1235">
        <v>1.10171858623001E-4</v>
      </c>
    </row>
    <row r="477" spans="1:14" ht="15.5" x14ac:dyDescent="0.35">
      <c r="A477" s="199">
        <v>2023</v>
      </c>
      <c r="B477" s="110" t="s">
        <v>5850</v>
      </c>
      <c r="C477" s="110">
        <v>2023</v>
      </c>
      <c r="D477" s="110" t="str">
        <f t="shared" si="5"/>
        <v>2023_2023</v>
      </c>
      <c r="E477" s="1231">
        <v>7.7291341136648496E-3</v>
      </c>
      <c r="F477" s="1232">
        <v>2.5887316610746346E-2</v>
      </c>
      <c r="G477" s="1232">
        <v>0.77776451528056401</v>
      </c>
      <c r="H477" s="1232">
        <v>0.30590878555476581</v>
      </c>
      <c r="I477" s="1232">
        <v>1.16100012044856E-2</v>
      </c>
      <c r="J477" s="1232">
        <v>1.0540588033678522E-4</v>
      </c>
      <c r="K477" s="1232">
        <v>3.0000008603871002E-3</v>
      </c>
      <c r="L477" s="1233">
        <v>2.7894627924567001E-2</v>
      </c>
      <c r="M477" s="1234">
        <v>1.21349539403351E-2</v>
      </c>
      <c r="N477" s="1235">
        <v>1.1017186651394763E-4</v>
      </c>
    </row>
    <row r="478" spans="1:14" ht="15.5" x14ac:dyDescent="0.35">
      <c r="A478" s="199">
        <v>2023</v>
      </c>
      <c r="B478" s="110" t="s">
        <v>5850</v>
      </c>
      <c r="C478" s="110">
        <v>2024</v>
      </c>
      <c r="D478" s="110" t="str">
        <f t="shared" si="5"/>
        <v>2023_2024</v>
      </c>
      <c r="E478" s="1231">
        <v>7.3739001399426001E-3</v>
      </c>
      <c r="F478" s="1232">
        <v>6.2129534400634401E-2</v>
      </c>
      <c r="G478" s="1232">
        <v>0.58473492550938899</v>
      </c>
      <c r="H478" s="1232">
        <v>0.73418078441128742</v>
      </c>
      <c r="I478" s="1232">
        <v>1.0358552493215E-2</v>
      </c>
      <c r="J478" s="1232">
        <v>2.5297400912131898E-4</v>
      </c>
      <c r="K478" s="1232">
        <v>3.0000008603889802E-3</v>
      </c>
      <c r="L478" s="1233">
        <v>2.7904043649446299E-2</v>
      </c>
      <c r="M478" s="1234">
        <v>1.0826920271562301E-2</v>
      </c>
      <c r="N478" s="1235">
        <v>2.6441237125824496E-4</v>
      </c>
    </row>
    <row r="479" spans="1:14" ht="15.5" x14ac:dyDescent="0.35">
      <c r="A479" s="198">
        <v>2024</v>
      </c>
      <c r="B479" s="197" t="s">
        <v>5850</v>
      </c>
      <c r="C479" s="197">
        <v>1971</v>
      </c>
      <c r="D479" s="110" t="str">
        <f t="shared" si="5"/>
        <v>2024_1971</v>
      </c>
      <c r="E479" s="1226">
        <v>0.116938828476646</v>
      </c>
      <c r="F479" s="1227">
        <v>4.2879889281628475E-2</v>
      </c>
      <c r="G479" s="1227">
        <v>4.8495610110516898</v>
      </c>
      <c r="H479" s="1227">
        <v>0.57586455386227664</v>
      </c>
      <c r="I479" s="1227">
        <v>5.4279877271367002E-2</v>
      </c>
      <c r="J479" s="1227">
        <v>1.7517999686892844E-4</v>
      </c>
      <c r="K479" s="1227">
        <v>3.0000008603841299E-3</v>
      </c>
      <c r="L479" s="1228">
        <v>2.7915934883690499E-2</v>
      </c>
      <c r="M479" s="1229">
        <v>5.6734172458190103E-2</v>
      </c>
      <c r="N479" s="1230">
        <v>1.8310085897761788E-4</v>
      </c>
    </row>
    <row r="480" spans="1:14" ht="15.5" x14ac:dyDescent="0.35">
      <c r="A480" s="198">
        <v>2024</v>
      </c>
      <c r="B480" s="197" t="s">
        <v>5850</v>
      </c>
      <c r="C480" s="197">
        <v>1972</v>
      </c>
      <c r="D480" s="110" t="str">
        <f t="shared" si="5"/>
        <v>2024_1972</v>
      </c>
      <c r="E480" s="1226">
        <v>0.116938828476646</v>
      </c>
      <c r="F480" s="1227">
        <v>4.2879889281628475E-2</v>
      </c>
      <c r="G480" s="1227">
        <v>4.8495610110516898</v>
      </c>
      <c r="H480" s="1227">
        <v>0.57586455386227664</v>
      </c>
      <c r="I480" s="1227">
        <v>5.4279877271367002E-2</v>
      </c>
      <c r="J480" s="1227">
        <v>1.7517999686892844E-4</v>
      </c>
      <c r="K480" s="1227">
        <v>3.0000008603841299E-3</v>
      </c>
      <c r="L480" s="1228">
        <v>2.7915934883690499E-2</v>
      </c>
      <c r="M480" s="1229">
        <v>5.6734172458190103E-2</v>
      </c>
      <c r="N480" s="1230">
        <v>1.8310085897761788E-4</v>
      </c>
    </row>
    <row r="481" spans="1:14" ht="15.5" x14ac:dyDescent="0.35">
      <c r="A481" s="198">
        <v>2024</v>
      </c>
      <c r="B481" s="197" t="s">
        <v>5850</v>
      </c>
      <c r="C481" s="197">
        <v>1973</v>
      </c>
      <c r="D481" s="110" t="str">
        <f t="shared" si="5"/>
        <v>2024_1973</v>
      </c>
      <c r="E481" s="1226">
        <v>0.116938828476646</v>
      </c>
      <c r="F481" s="1227">
        <v>4.2879889281628475E-2</v>
      </c>
      <c r="G481" s="1227">
        <v>4.8495610110516898</v>
      </c>
      <c r="H481" s="1227">
        <v>0.57586455386227664</v>
      </c>
      <c r="I481" s="1227">
        <v>5.4279877271367002E-2</v>
      </c>
      <c r="J481" s="1227">
        <v>1.7517999686892844E-4</v>
      </c>
      <c r="K481" s="1227">
        <v>3.0000008603841299E-3</v>
      </c>
      <c r="L481" s="1228">
        <v>2.7915934883690499E-2</v>
      </c>
      <c r="M481" s="1229">
        <v>5.6734172458190103E-2</v>
      </c>
      <c r="N481" s="1230">
        <v>1.8310085897761788E-4</v>
      </c>
    </row>
    <row r="482" spans="1:14" ht="15.5" x14ac:dyDescent="0.35">
      <c r="A482" s="198">
        <v>2024</v>
      </c>
      <c r="B482" s="197" t="s">
        <v>5850</v>
      </c>
      <c r="C482" s="197">
        <v>1974</v>
      </c>
      <c r="D482" s="110" t="str">
        <f t="shared" si="5"/>
        <v>2024_1974</v>
      </c>
      <c r="E482" s="1226">
        <v>0.116938828476646</v>
      </c>
      <c r="F482" s="1227">
        <v>4.2879889281628475E-2</v>
      </c>
      <c r="G482" s="1227">
        <v>4.8495610110516898</v>
      </c>
      <c r="H482" s="1227">
        <v>0.57586455386227664</v>
      </c>
      <c r="I482" s="1227">
        <v>5.4279877271367002E-2</v>
      </c>
      <c r="J482" s="1227">
        <v>1.7517999686892844E-4</v>
      </c>
      <c r="K482" s="1227">
        <v>3.0000008603841299E-3</v>
      </c>
      <c r="L482" s="1228">
        <v>2.7915934883690499E-2</v>
      </c>
      <c r="M482" s="1229">
        <v>5.6734172458190103E-2</v>
      </c>
      <c r="N482" s="1230">
        <v>1.8310085897761788E-4</v>
      </c>
    </row>
    <row r="483" spans="1:14" ht="15.5" x14ac:dyDescent="0.35">
      <c r="A483" s="198">
        <v>2024</v>
      </c>
      <c r="B483" s="197" t="s">
        <v>5850</v>
      </c>
      <c r="C483" s="197">
        <v>1975</v>
      </c>
      <c r="D483" s="110" t="str">
        <f t="shared" si="5"/>
        <v>2024_1975</v>
      </c>
      <c r="E483" s="1226">
        <v>0.116938828476646</v>
      </c>
      <c r="F483" s="1227">
        <v>4.2879889281628475E-2</v>
      </c>
      <c r="G483" s="1227">
        <v>4.8495610110516898</v>
      </c>
      <c r="H483" s="1227">
        <v>0.57586455386227664</v>
      </c>
      <c r="I483" s="1227">
        <v>5.4279877271367002E-2</v>
      </c>
      <c r="J483" s="1227">
        <v>1.7517999686892844E-4</v>
      </c>
      <c r="K483" s="1227">
        <v>3.0000008603841299E-3</v>
      </c>
      <c r="L483" s="1228">
        <v>2.7915934883690499E-2</v>
      </c>
      <c r="M483" s="1229">
        <v>5.6734172458190103E-2</v>
      </c>
      <c r="N483" s="1230">
        <v>1.8310085897761788E-4</v>
      </c>
    </row>
    <row r="484" spans="1:14" ht="15.5" x14ac:dyDescent="0.35">
      <c r="A484" s="198">
        <v>2024</v>
      </c>
      <c r="B484" s="197" t="s">
        <v>5850</v>
      </c>
      <c r="C484" s="197">
        <v>1976</v>
      </c>
      <c r="D484" s="110" t="str">
        <f t="shared" si="5"/>
        <v>2024_1976</v>
      </c>
      <c r="E484" s="1226">
        <v>0.116938828476646</v>
      </c>
      <c r="F484" s="1227">
        <v>4.2879889281628475E-2</v>
      </c>
      <c r="G484" s="1227">
        <v>4.8495610110516898</v>
      </c>
      <c r="H484" s="1227">
        <v>0.57586455386227664</v>
      </c>
      <c r="I484" s="1227">
        <v>5.4279877271367002E-2</v>
      </c>
      <c r="J484" s="1227">
        <v>1.7517999686892844E-4</v>
      </c>
      <c r="K484" s="1227">
        <v>3.0000008603841299E-3</v>
      </c>
      <c r="L484" s="1228">
        <v>2.7915934883690499E-2</v>
      </c>
      <c r="M484" s="1229">
        <v>5.6734172458190103E-2</v>
      </c>
      <c r="N484" s="1230">
        <v>1.8310085897761788E-4</v>
      </c>
    </row>
    <row r="485" spans="1:14" ht="15.5" x14ac:dyDescent="0.35">
      <c r="A485" s="198">
        <v>2024</v>
      </c>
      <c r="B485" s="197" t="s">
        <v>5850</v>
      </c>
      <c r="C485" s="197">
        <v>1977</v>
      </c>
      <c r="D485" s="110" t="str">
        <f t="shared" si="5"/>
        <v>2024_1977</v>
      </c>
      <c r="E485" s="1226">
        <v>0.116938828476646</v>
      </c>
      <c r="F485" s="1227">
        <v>4.2879889281628475E-2</v>
      </c>
      <c r="G485" s="1227">
        <v>4.8495610110516898</v>
      </c>
      <c r="H485" s="1227">
        <v>0.57586455386227664</v>
      </c>
      <c r="I485" s="1227">
        <v>5.4279877271367002E-2</v>
      </c>
      <c r="J485" s="1227">
        <v>1.7517999686892844E-4</v>
      </c>
      <c r="K485" s="1227">
        <v>3.0000008603841299E-3</v>
      </c>
      <c r="L485" s="1228">
        <v>2.7915934883690499E-2</v>
      </c>
      <c r="M485" s="1229">
        <v>5.6734172458190103E-2</v>
      </c>
      <c r="N485" s="1230">
        <v>1.8310085897761788E-4</v>
      </c>
    </row>
    <row r="486" spans="1:14" ht="15.5" x14ac:dyDescent="0.35">
      <c r="A486" s="198">
        <v>2024</v>
      </c>
      <c r="B486" s="197" t="s">
        <v>5850</v>
      </c>
      <c r="C486" s="197">
        <v>1978</v>
      </c>
      <c r="D486" s="110" t="str">
        <f t="shared" si="5"/>
        <v>2024_1978</v>
      </c>
      <c r="E486" s="1226">
        <v>0.116938828476646</v>
      </c>
      <c r="F486" s="1227">
        <v>4.2879889281628475E-2</v>
      </c>
      <c r="G486" s="1227">
        <v>4.8495610110516898</v>
      </c>
      <c r="H486" s="1227">
        <v>0.57586455386227664</v>
      </c>
      <c r="I486" s="1227">
        <v>5.4279877271367002E-2</v>
      </c>
      <c r="J486" s="1227">
        <v>1.7517999686892844E-4</v>
      </c>
      <c r="K486" s="1227">
        <v>3.0000008603841299E-3</v>
      </c>
      <c r="L486" s="1228">
        <v>2.7915934883690499E-2</v>
      </c>
      <c r="M486" s="1229">
        <v>5.6734172458190103E-2</v>
      </c>
      <c r="N486" s="1230">
        <v>1.8310085897761788E-4</v>
      </c>
    </row>
    <row r="487" spans="1:14" ht="15.5" x14ac:dyDescent="0.35">
      <c r="A487" s="198">
        <v>2024</v>
      </c>
      <c r="B487" s="197" t="s">
        <v>5850</v>
      </c>
      <c r="C487" s="197">
        <v>1979</v>
      </c>
      <c r="D487" s="110" t="str">
        <f t="shared" si="5"/>
        <v>2024_1979</v>
      </c>
      <c r="E487" s="1226">
        <v>0.116938828476646</v>
      </c>
      <c r="F487" s="1227">
        <v>4.2879889281628475E-2</v>
      </c>
      <c r="G487" s="1227">
        <v>4.8495610110516898</v>
      </c>
      <c r="H487" s="1227">
        <v>0.57586455386227664</v>
      </c>
      <c r="I487" s="1227">
        <v>5.4279877271367002E-2</v>
      </c>
      <c r="J487" s="1227">
        <v>1.7517999686892844E-4</v>
      </c>
      <c r="K487" s="1227">
        <v>3.0000008603841299E-3</v>
      </c>
      <c r="L487" s="1228">
        <v>2.7915934883690499E-2</v>
      </c>
      <c r="M487" s="1229">
        <v>5.6734172458190103E-2</v>
      </c>
      <c r="N487" s="1230">
        <v>1.8310085897761788E-4</v>
      </c>
    </row>
    <row r="488" spans="1:14" ht="15.5" x14ac:dyDescent="0.35">
      <c r="A488" s="198">
        <v>2024</v>
      </c>
      <c r="B488" s="197" t="s">
        <v>5850</v>
      </c>
      <c r="C488" s="197">
        <v>1980</v>
      </c>
      <c r="D488" s="110" t="str">
        <f t="shared" si="5"/>
        <v>2024_1980</v>
      </c>
      <c r="E488" s="1226">
        <v>0.116938828476646</v>
      </c>
      <c r="F488" s="1227">
        <v>4.2879889281628475E-2</v>
      </c>
      <c r="G488" s="1227">
        <v>4.8495610110516898</v>
      </c>
      <c r="H488" s="1227">
        <v>0.57586455386227664</v>
      </c>
      <c r="I488" s="1227">
        <v>5.4279877271367002E-2</v>
      </c>
      <c r="J488" s="1227">
        <v>1.7517999686892844E-4</v>
      </c>
      <c r="K488" s="1227">
        <v>3.0000008603841299E-3</v>
      </c>
      <c r="L488" s="1228">
        <v>2.7915934883690499E-2</v>
      </c>
      <c r="M488" s="1229">
        <v>5.6734172458190103E-2</v>
      </c>
      <c r="N488" s="1230">
        <v>1.8310085897761788E-4</v>
      </c>
    </row>
    <row r="489" spans="1:14" ht="15.5" x14ac:dyDescent="0.35">
      <c r="A489" s="198">
        <v>2024</v>
      </c>
      <c r="B489" s="197" t="s">
        <v>5850</v>
      </c>
      <c r="C489" s="197">
        <v>1981</v>
      </c>
      <c r="D489" s="110" t="str">
        <f t="shared" si="5"/>
        <v>2024_1981</v>
      </c>
      <c r="E489" s="1226">
        <v>0.116938828476646</v>
      </c>
      <c r="F489" s="1227">
        <v>4.2879889281628475E-2</v>
      </c>
      <c r="G489" s="1227">
        <v>4.8495610110516898</v>
      </c>
      <c r="H489" s="1227">
        <v>0.57586455386227664</v>
      </c>
      <c r="I489" s="1227">
        <v>5.4279877271367002E-2</v>
      </c>
      <c r="J489" s="1227">
        <v>1.7517999686892844E-4</v>
      </c>
      <c r="K489" s="1227">
        <v>3.0000008603841299E-3</v>
      </c>
      <c r="L489" s="1228">
        <v>2.7915934883690499E-2</v>
      </c>
      <c r="M489" s="1229">
        <v>5.6734172458190103E-2</v>
      </c>
      <c r="N489" s="1230">
        <v>1.8310085897761788E-4</v>
      </c>
    </row>
    <row r="490" spans="1:14" ht="15.5" x14ac:dyDescent="0.35">
      <c r="A490" s="198">
        <v>2024</v>
      </c>
      <c r="B490" s="197" t="s">
        <v>5850</v>
      </c>
      <c r="C490" s="197">
        <v>1982</v>
      </c>
      <c r="D490" s="110" t="str">
        <f t="shared" si="5"/>
        <v>2024_1982</v>
      </c>
      <c r="E490" s="1226">
        <v>0.116938828476646</v>
      </c>
      <c r="F490" s="1227">
        <v>4.2879889281628475E-2</v>
      </c>
      <c r="G490" s="1227">
        <v>4.8495610110516898</v>
      </c>
      <c r="H490" s="1227">
        <v>0.57586455386227664</v>
      </c>
      <c r="I490" s="1227">
        <v>5.4279877271367002E-2</v>
      </c>
      <c r="J490" s="1227">
        <v>1.7517999686892844E-4</v>
      </c>
      <c r="K490" s="1227">
        <v>3.0000008603841299E-3</v>
      </c>
      <c r="L490" s="1228">
        <v>2.7915934883690499E-2</v>
      </c>
      <c r="M490" s="1229">
        <v>5.6734172458190103E-2</v>
      </c>
      <c r="N490" s="1230">
        <v>1.8310085897761788E-4</v>
      </c>
    </row>
    <row r="491" spans="1:14" ht="15.5" x14ac:dyDescent="0.35">
      <c r="A491" s="198">
        <v>2024</v>
      </c>
      <c r="B491" s="197" t="s">
        <v>5850</v>
      </c>
      <c r="C491" s="197">
        <v>1983</v>
      </c>
      <c r="D491" s="110" t="str">
        <f t="shared" si="5"/>
        <v>2024_1983</v>
      </c>
      <c r="E491" s="1226">
        <v>0.116938828476646</v>
      </c>
      <c r="F491" s="1227">
        <v>4.2879889281628475E-2</v>
      </c>
      <c r="G491" s="1227">
        <v>4.8495610110516898</v>
      </c>
      <c r="H491" s="1227">
        <v>0.57586455386227664</v>
      </c>
      <c r="I491" s="1227">
        <v>5.4279877271367002E-2</v>
      </c>
      <c r="J491" s="1227">
        <v>1.7517999686892844E-4</v>
      </c>
      <c r="K491" s="1227">
        <v>3.0000008603841299E-3</v>
      </c>
      <c r="L491" s="1228">
        <v>2.7915934883690499E-2</v>
      </c>
      <c r="M491" s="1229">
        <v>5.6734172458190103E-2</v>
      </c>
      <c r="N491" s="1230">
        <v>1.8310085897761788E-4</v>
      </c>
    </row>
    <row r="492" spans="1:14" ht="15.5" x14ac:dyDescent="0.35">
      <c r="A492" s="198">
        <v>2024</v>
      </c>
      <c r="B492" s="197" t="s">
        <v>5850</v>
      </c>
      <c r="C492" s="197">
        <v>1984</v>
      </c>
      <c r="D492" s="110" t="str">
        <f t="shared" si="5"/>
        <v>2024_1984</v>
      </c>
      <c r="E492" s="1226">
        <v>0.116938828476646</v>
      </c>
      <c r="F492" s="1227">
        <v>4.2879889281628475E-2</v>
      </c>
      <c r="G492" s="1227">
        <v>4.8495610110516898</v>
      </c>
      <c r="H492" s="1227">
        <v>0.57586455386227664</v>
      </c>
      <c r="I492" s="1227">
        <v>5.4279877271367002E-2</v>
      </c>
      <c r="J492" s="1227">
        <v>1.7517999686892844E-4</v>
      </c>
      <c r="K492" s="1227">
        <v>3.0000008603841299E-3</v>
      </c>
      <c r="L492" s="1228">
        <v>2.7915934883690499E-2</v>
      </c>
      <c r="M492" s="1229">
        <v>5.6734172458190103E-2</v>
      </c>
      <c r="N492" s="1230">
        <v>1.8310085897761788E-4</v>
      </c>
    </row>
    <row r="493" spans="1:14" ht="15.5" x14ac:dyDescent="0.35">
      <c r="A493" s="198">
        <v>2024</v>
      </c>
      <c r="B493" s="197" t="s">
        <v>5850</v>
      </c>
      <c r="C493" s="197">
        <v>1985</v>
      </c>
      <c r="D493" s="110" t="str">
        <f t="shared" si="5"/>
        <v>2024_1985</v>
      </c>
      <c r="E493" s="1226">
        <v>0.116938828476646</v>
      </c>
      <c r="F493" s="1227">
        <v>4.2879889281628475E-2</v>
      </c>
      <c r="G493" s="1227">
        <v>4.8495610110516898</v>
      </c>
      <c r="H493" s="1227">
        <v>0.57586455386227664</v>
      </c>
      <c r="I493" s="1227">
        <v>5.4279877271367002E-2</v>
      </c>
      <c r="J493" s="1227">
        <v>1.7517999686892844E-4</v>
      </c>
      <c r="K493" s="1227">
        <v>3.0000008603841299E-3</v>
      </c>
      <c r="L493" s="1228">
        <v>2.7915934883690499E-2</v>
      </c>
      <c r="M493" s="1229">
        <v>5.6734172458190103E-2</v>
      </c>
      <c r="N493" s="1230">
        <v>1.8310085897761788E-4</v>
      </c>
    </row>
    <row r="494" spans="1:14" ht="15.5" x14ac:dyDescent="0.35">
      <c r="A494" s="198">
        <v>2024</v>
      </c>
      <c r="B494" s="197" t="s">
        <v>5850</v>
      </c>
      <c r="C494" s="197">
        <v>1986</v>
      </c>
      <c r="D494" s="110" t="str">
        <f t="shared" si="5"/>
        <v>2024_1986</v>
      </c>
      <c r="E494" s="1226">
        <v>0.116938828476646</v>
      </c>
      <c r="F494" s="1227">
        <v>4.2879889281628475E-2</v>
      </c>
      <c r="G494" s="1227">
        <v>4.8495610110516898</v>
      </c>
      <c r="H494" s="1227">
        <v>0.57586455386227664</v>
      </c>
      <c r="I494" s="1227">
        <v>5.4279877271367002E-2</v>
      </c>
      <c r="J494" s="1227">
        <v>1.7517999686892844E-4</v>
      </c>
      <c r="K494" s="1227">
        <v>3.0000008603841299E-3</v>
      </c>
      <c r="L494" s="1228">
        <v>2.7915934883690499E-2</v>
      </c>
      <c r="M494" s="1229">
        <v>5.6734172458190103E-2</v>
      </c>
      <c r="N494" s="1230">
        <v>1.8310085897761788E-4</v>
      </c>
    </row>
    <row r="495" spans="1:14" ht="15.5" x14ac:dyDescent="0.35">
      <c r="A495" s="198">
        <v>2024</v>
      </c>
      <c r="B495" s="197" t="s">
        <v>5850</v>
      </c>
      <c r="C495" s="197">
        <v>1987</v>
      </c>
      <c r="D495" s="110" t="str">
        <f t="shared" si="5"/>
        <v>2024_1987</v>
      </c>
      <c r="E495" s="1226">
        <v>0.116938828476646</v>
      </c>
      <c r="F495" s="1227">
        <v>4.2879889281628475E-2</v>
      </c>
      <c r="G495" s="1227">
        <v>4.8495610110516898</v>
      </c>
      <c r="H495" s="1227">
        <v>0.57586455386227664</v>
      </c>
      <c r="I495" s="1227">
        <v>5.4279877271367002E-2</v>
      </c>
      <c r="J495" s="1227">
        <v>1.7517999686892844E-4</v>
      </c>
      <c r="K495" s="1227">
        <v>3.0000008603841299E-3</v>
      </c>
      <c r="L495" s="1228">
        <v>2.7915934883690499E-2</v>
      </c>
      <c r="M495" s="1229">
        <v>5.6734172458190103E-2</v>
      </c>
      <c r="N495" s="1230">
        <v>1.8310085897761788E-4</v>
      </c>
    </row>
    <row r="496" spans="1:14" ht="15.5" x14ac:dyDescent="0.35">
      <c r="A496" s="198">
        <v>2024</v>
      </c>
      <c r="B496" s="197" t="s">
        <v>5850</v>
      </c>
      <c r="C496" s="197">
        <v>1988</v>
      </c>
      <c r="D496" s="110" t="str">
        <f t="shared" si="5"/>
        <v>2024_1988</v>
      </c>
      <c r="E496" s="1226">
        <v>0.116938828476646</v>
      </c>
      <c r="F496" s="1227">
        <v>4.2879889281628475E-2</v>
      </c>
      <c r="G496" s="1227">
        <v>4.8495610110516898</v>
      </c>
      <c r="H496" s="1227">
        <v>0.57586455386227664</v>
      </c>
      <c r="I496" s="1227">
        <v>5.4279877271367002E-2</v>
      </c>
      <c r="J496" s="1227">
        <v>1.7517999686892844E-4</v>
      </c>
      <c r="K496" s="1227">
        <v>3.0000008603841299E-3</v>
      </c>
      <c r="L496" s="1228">
        <v>2.7915934883690499E-2</v>
      </c>
      <c r="M496" s="1229">
        <v>5.6734172458190103E-2</v>
      </c>
      <c r="N496" s="1230">
        <v>1.8310085897761788E-4</v>
      </c>
    </row>
    <row r="497" spans="1:14" ht="15.5" x14ac:dyDescent="0.35">
      <c r="A497" s="198">
        <v>2024</v>
      </c>
      <c r="B497" s="197" t="s">
        <v>5850</v>
      </c>
      <c r="C497" s="197">
        <v>1989</v>
      </c>
      <c r="D497" s="110" t="str">
        <f t="shared" si="5"/>
        <v>2024_1989</v>
      </c>
      <c r="E497" s="1226">
        <v>0.116938828476646</v>
      </c>
      <c r="F497" s="1227">
        <v>4.2879889281628475E-2</v>
      </c>
      <c r="G497" s="1227">
        <v>4.8495610110516898</v>
      </c>
      <c r="H497" s="1227">
        <v>0.57586455386227664</v>
      </c>
      <c r="I497" s="1227">
        <v>5.4279877271367002E-2</v>
      </c>
      <c r="J497" s="1227">
        <v>1.7517999686892844E-4</v>
      </c>
      <c r="K497" s="1227">
        <v>3.0000008603841299E-3</v>
      </c>
      <c r="L497" s="1228">
        <v>2.7915934883690499E-2</v>
      </c>
      <c r="M497" s="1229">
        <v>5.6734172458190103E-2</v>
      </c>
      <c r="N497" s="1230">
        <v>1.8310085897761788E-4</v>
      </c>
    </row>
    <row r="498" spans="1:14" ht="15.5" x14ac:dyDescent="0.35">
      <c r="A498" s="198">
        <v>2024</v>
      </c>
      <c r="B498" s="197" t="s">
        <v>5850</v>
      </c>
      <c r="C498" s="197">
        <v>1990</v>
      </c>
      <c r="D498" s="110" t="str">
        <f t="shared" si="5"/>
        <v>2024_1990</v>
      </c>
      <c r="E498" s="1226">
        <v>0.116938828476646</v>
      </c>
      <c r="F498" s="1227">
        <v>4.2879889281628475E-2</v>
      </c>
      <c r="G498" s="1227">
        <v>4.8495610110516898</v>
      </c>
      <c r="H498" s="1227">
        <v>0.57586455386227664</v>
      </c>
      <c r="I498" s="1227">
        <v>5.4279877271367002E-2</v>
      </c>
      <c r="J498" s="1227">
        <v>1.7517999686892844E-4</v>
      </c>
      <c r="K498" s="1227">
        <v>3.0000008603841299E-3</v>
      </c>
      <c r="L498" s="1228">
        <v>2.7915934883690499E-2</v>
      </c>
      <c r="M498" s="1229">
        <v>5.6734172458190103E-2</v>
      </c>
      <c r="N498" s="1230">
        <v>1.8310085897761788E-4</v>
      </c>
    </row>
    <row r="499" spans="1:14" ht="15.5" x14ac:dyDescent="0.35">
      <c r="A499" s="198">
        <v>2024</v>
      </c>
      <c r="B499" s="197" t="s">
        <v>5850</v>
      </c>
      <c r="C499" s="197">
        <v>1991</v>
      </c>
      <c r="D499" s="110" t="str">
        <f t="shared" si="5"/>
        <v>2024_1991</v>
      </c>
      <c r="E499" s="1226">
        <v>0.116938828476646</v>
      </c>
      <c r="F499" s="1227">
        <v>4.2879889281628475E-2</v>
      </c>
      <c r="G499" s="1227">
        <v>4.8495610110516898</v>
      </c>
      <c r="H499" s="1227">
        <v>0.57586455386227664</v>
      </c>
      <c r="I499" s="1227">
        <v>5.4279877271367002E-2</v>
      </c>
      <c r="J499" s="1227">
        <v>1.7517999686892844E-4</v>
      </c>
      <c r="K499" s="1227">
        <v>3.0000008603841299E-3</v>
      </c>
      <c r="L499" s="1228">
        <v>2.7915934883690499E-2</v>
      </c>
      <c r="M499" s="1229">
        <v>5.6734172458190103E-2</v>
      </c>
      <c r="N499" s="1230">
        <v>1.8310085897761788E-4</v>
      </c>
    </row>
    <row r="500" spans="1:14" ht="15.5" x14ac:dyDescent="0.35">
      <c r="A500" s="198">
        <v>2024</v>
      </c>
      <c r="B500" s="197" t="s">
        <v>5850</v>
      </c>
      <c r="C500" s="197">
        <v>1992</v>
      </c>
      <c r="D500" s="110" t="str">
        <f t="shared" si="5"/>
        <v>2024_1992</v>
      </c>
      <c r="E500" s="1226">
        <v>0.116938828476646</v>
      </c>
      <c r="F500" s="1227">
        <v>4.2879889281628475E-2</v>
      </c>
      <c r="G500" s="1227">
        <v>4.8495610110516898</v>
      </c>
      <c r="H500" s="1227">
        <v>0.57586455386227664</v>
      </c>
      <c r="I500" s="1227">
        <v>5.4279877271367002E-2</v>
      </c>
      <c r="J500" s="1227">
        <v>1.7517999686892844E-4</v>
      </c>
      <c r="K500" s="1227">
        <v>3.0000008603841299E-3</v>
      </c>
      <c r="L500" s="1228">
        <v>2.7915934883690499E-2</v>
      </c>
      <c r="M500" s="1229">
        <v>5.6734172458190103E-2</v>
      </c>
      <c r="N500" s="1230">
        <v>1.8310085897761788E-4</v>
      </c>
    </row>
    <row r="501" spans="1:14" ht="15.5" x14ac:dyDescent="0.35">
      <c r="A501" s="198">
        <v>2024</v>
      </c>
      <c r="B501" s="197" t="s">
        <v>5850</v>
      </c>
      <c r="C501" s="197">
        <v>1993</v>
      </c>
      <c r="D501" s="110" t="str">
        <f t="shared" si="5"/>
        <v>2024_1993</v>
      </c>
      <c r="E501" s="1226">
        <v>0.116938828476646</v>
      </c>
      <c r="F501" s="1227">
        <v>4.2879889281628475E-2</v>
      </c>
      <c r="G501" s="1227">
        <v>4.8495610110516898</v>
      </c>
      <c r="H501" s="1227">
        <v>0.57586455386227664</v>
      </c>
      <c r="I501" s="1227">
        <v>5.4279877271367002E-2</v>
      </c>
      <c r="J501" s="1227">
        <v>1.7517999686892844E-4</v>
      </c>
      <c r="K501" s="1227">
        <v>3.0000008603841299E-3</v>
      </c>
      <c r="L501" s="1228">
        <v>2.7915934883690499E-2</v>
      </c>
      <c r="M501" s="1229">
        <v>5.6734172458190103E-2</v>
      </c>
      <c r="N501" s="1230">
        <v>1.8310085897761788E-4</v>
      </c>
    </row>
    <row r="502" spans="1:14" ht="15.5" x14ac:dyDescent="0.35">
      <c r="A502" s="198">
        <v>2024</v>
      </c>
      <c r="B502" s="197" t="s">
        <v>5850</v>
      </c>
      <c r="C502" s="197">
        <v>1994</v>
      </c>
      <c r="D502" s="110" t="str">
        <f t="shared" si="5"/>
        <v>2024_1994</v>
      </c>
      <c r="E502" s="1226">
        <v>0.116938828476646</v>
      </c>
      <c r="F502" s="1227">
        <v>4.2879889281628475E-2</v>
      </c>
      <c r="G502" s="1227">
        <v>4.8495610110516898</v>
      </c>
      <c r="H502" s="1227">
        <v>0.57586455386227664</v>
      </c>
      <c r="I502" s="1227">
        <v>5.4279877271367002E-2</v>
      </c>
      <c r="J502" s="1227">
        <v>1.7517999686892844E-4</v>
      </c>
      <c r="K502" s="1227">
        <v>3.0000008603841299E-3</v>
      </c>
      <c r="L502" s="1228">
        <v>2.7915934883690499E-2</v>
      </c>
      <c r="M502" s="1229">
        <v>5.6734172458190103E-2</v>
      </c>
      <c r="N502" s="1230">
        <v>1.8310085897761788E-4</v>
      </c>
    </row>
    <row r="503" spans="1:14" ht="15.5" x14ac:dyDescent="0.35">
      <c r="A503" s="198">
        <v>2024</v>
      </c>
      <c r="B503" s="197" t="s">
        <v>5850</v>
      </c>
      <c r="C503" s="197">
        <v>1995</v>
      </c>
      <c r="D503" s="110" t="str">
        <f t="shared" si="5"/>
        <v>2024_1995</v>
      </c>
      <c r="E503" s="1226">
        <v>0.116938828476646</v>
      </c>
      <c r="F503" s="1227">
        <v>4.2879889281628475E-2</v>
      </c>
      <c r="G503" s="1227">
        <v>4.8495610110516898</v>
      </c>
      <c r="H503" s="1227">
        <v>0.57586455386227664</v>
      </c>
      <c r="I503" s="1227">
        <v>5.4279877271367002E-2</v>
      </c>
      <c r="J503" s="1227">
        <v>1.7517999686892844E-4</v>
      </c>
      <c r="K503" s="1227">
        <v>3.0000008603841299E-3</v>
      </c>
      <c r="L503" s="1228">
        <v>2.7915934883690499E-2</v>
      </c>
      <c r="M503" s="1229">
        <v>5.6734172458190103E-2</v>
      </c>
      <c r="N503" s="1230">
        <v>1.8310085897761788E-4</v>
      </c>
    </row>
    <row r="504" spans="1:14" ht="15.5" x14ac:dyDescent="0.35">
      <c r="A504" s="198">
        <v>2024</v>
      </c>
      <c r="B504" s="197" t="s">
        <v>5850</v>
      </c>
      <c r="C504" s="197">
        <v>1996</v>
      </c>
      <c r="D504" s="110" t="str">
        <f t="shared" si="5"/>
        <v>2024_1996</v>
      </c>
      <c r="E504" s="1226">
        <v>0.116938828476646</v>
      </c>
      <c r="F504" s="1227">
        <v>4.2879889281628475E-2</v>
      </c>
      <c r="G504" s="1227">
        <v>4.8495610110516898</v>
      </c>
      <c r="H504" s="1227">
        <v>0.57586455386227664</v>
      </c>
      <c r="I504" s="1227">
        <v>5.4279877271367002E-2</v>
      </c>
      <c r="J504" s="1227">
        <v>1.7517999686892844E-4</v>
      </c>
      <c r="K504" s="1227">
        <v>3.0000008603841299E-3</v>
      </c>
      <c r="L504" s="1228">
        <v>2.7915934883690499E-2</v>
      </c>
      <c r="M504" s="1229">
        <v>5.6734172458190103E-2</v>
      </c>
      <c r="N504" s="1230">
        <v>1.8310085897761788E-4</v>
      </c>
    </row>
    <row r="505" spans="1:14" ht="15.5" x14ac:dyDescent="0.35">
      <c r="A505" s="198">
        <v>2024</v>
      </c>
      <c r="B505" s="197" t="s">
        <v>5850</v>
      </c>
      <c r="C505" s="197">
        <v>1997</v>
      </c>
      <c r="D505" s="110" t="str">
        <f t="shared" si="5"/>
        <v>2024_1997</v>
      </c>
      <c r="E505" s="1226">
        <v>0.116938828476646</v>
      </c>
      <c r="F505" s="1227">
        <v>4.2879889281628475E-2</v>
      </c>
      <c r="G505" s="1227">
        <v>4.8495610110516898</v>
      </c>
      <c r="H505" s="1227">
        <v>0.57586455386227664</v>
      </c>
      <c r="I505" s="1227">
        <v>5.4279877271367002E-2</v>
      </c>
      <c r="J505" s="1227">
        <v>1.7517999686892844E-4</v>
      </c>
      <c r="K505" s="1227">
        <v>3.0000008603841299E-3</v>
      </c>
      <c r="L505" s="1228">
        <v>2.7915934883690499E-2</v>
      </c>
      <c r="M505" s="1229">
        <v>5.6734172458190103E-2</v>
      </c>
      <c r="N505" s="1230">
        <v>1.8310085897761788E-4</v>
      </c>
    </row>
    <row r="506" spans="1:14" ht="15.5" x14ac:dyDescent="0.35">
      <c r="A506" s="198">
        <v>2024</v>
      </c>
      <c r="B506" s="197" t="s">
        <v>5850</v>
      </c>
      <c r="C506" s="197">
        <v>1998</v>
      </c>
      <c r="D506" s="110" t="str">
        <f t="shared" si="5"/>
        <v>2024_1998</v>
      </c>
      <c r="E506" s="1226">
        <v>0.116938828476646</v>
      </c>
      <c r="F506" s="1227">
        <v>4.2879889281628475E-2</v>
      </c>
      <c r="G506" s="1227">
        <v>4.8495610110516898</v>
      </c>
      <c r="H506" s="1227">
        <v>0.57586455386227664</v>
      </c>
      <c r="I506" s="1227">
        <v>5.4279877271367002E-2</v>
      </c>
      <c r="J506" s="1227">
        <v>1.7517999686892844E-4</v>
      </c>
      <c r="K506" s="1227">
        <v>3.0000008603841299E-3</v>
      </c>
      <c r="L506" s="1228">
        <v>2.7915934883690499E-2</v>
      </c>
      <c r="M506" s="1229">
        <v>5.6734172458190103E-2</v>
      </c>
      <c r="N506" s="1230">
        <v>1.8310085897761788E-4</v>
      </c>
    </row>
    <row r="507" spans="1:14" ht="15.5" x14ac:dyDescent="0.35">
      <c r="A507" s="198">
        <v>2024</v>
      </c>
      <c r="B507" s="197" t="s">
        <v>5850</v>
      </c>
      <c r="C507" s="197">
        <v>1999</v>
      </c>
      <c r="D507" s="110" t="str">
        <f t="shared" si="5"/>
        <v>2024_1999</v>
      </c>
      <c r="E507" s="1226">
        <v>0.116938828476646</v>
      </c>
      <c r="F507" s="1227">
        <v>4.2879889281628475E-2</v>
      </c>
      <c r="G507" s="1227">
        <v>4.8495610110516898</v>
      </c>
      <c r="H507" s="1227">
        <v>0.57586455386227664</v>
      </c>
      <c r="I507" s="1227">
        <v>5.4279877271367002E-2</v>
      </c>
      <c r="J507" s="1227">
        <v>1.7517999686892844E-4</v>
      </c>
      <c r="K507" s="1227">
        <v>3.0000008603841299E-3</v>
      </c>
      <c r="L507" s="1228">
        <v>2.7915934883690499E-2</v>
      </c>
      <c r="M507" s="1229">
        <v>5.6734172458190103E-2</v>
      </c>
      <c r="N507" s="1230">
        <v>1.8310085897761788E-4</v>
      </c>
    </row>
    <row r="508" spans="1:14" ht="15.5" x14ac:dyDescent="0.35">
      <c r="A508" s="198">
        <v>2024</v>
      </c>
      <c r="B508" s="197" t="s">
        <v>5850</v>
      </c>
      <c r="C508" s="197">
        <v>2000</v>
      </c>
      <c r="D508" s="110" t="str">
        <f t="shared" si="5"/>
        <v>2024_2000</v>
      </c>
      <c r="E508" s="1226">
        <v>0.116938828476646</v>
      </c>
      <c r="F508" s="1227">
        <v>4.2879889281628475E-2</v>
      </c>
      <c r="G508" s="1227">
        <v>4.8495610110516898</v>
      </c>
      <c r="H508" s="1227">
        <v>0.57586455386227664</v>
      </c>
      <c r="I508" s="1227">
        <v>5.4279877271367002E-2</v>
      </c>
      <c r="J508" s="1227">
        <v>1.7517999686892844E-4</v>
      </c>
      <c r="K508" s="1227">
        <v>3.0000008603841299E-3</v>
      </c>
      <c r="L508" s="1228">
        <v>2.7915934883690499E-2</v>
      </c>
      <c r="M508" s="1229">
        <v>5.6734172458190103E-2</v>
      </c>
      <c r="N508" s="1230">
        <v>1.8310085897761788E-4</v>
      </c>
    </row>
    <row r="509" spans="1:14" ht="15.5" x14ac:dyDescent="0.35">
      <c r="A509" s="198">
        <v>2024</v>
      </c>
      <c r="B509" s="197" t="s">
        <v>5850</v>
      </c>
      <c r="C509" s="197">
        <v>2001</v>
      </c>
      <c r="D509" s="110" t="str">
        <f t="shared" si="5"/>
        <v>2024_2001</v>
      </c>
      <c r="E509" s="1226">
        <v>0.116938828476646</v>
      </c>
      <c r="F509" s="1227">
        <v>4.2879889281628475E-2</v>
      </c>
      <c r="G509" s="1227">
        <v>4.8495610110516898</v>
      </c>
      <c r="H509" s="1227">
        <v>0.57586455386227664</v>
      </c>
      <c r="I509" s="1227">
        <v>5.4279877271367002E-2</v>
      </c>
      <c r="J509" s="1227">
        <v>1.7517999686892844E-4</v>
      </c>
      <c r="K509" s="1227">
        <v>3.0000008603841299E-3</v>
      </c>
      <c r="L509" s="1228">
        <v>2.7915934883690499E-2</v>
      </c>
      <c r="M509" s="1229">
        <v>5.6734172458190103E-2</v>
      </c>
      <c r="N509" s="1230">
        <v>1.8310085897761788E-4</v>
      </c>
    </row>
    <row r="510" spans="1:14" ht="15.5" x14ac:dyDescent="0.35">
      <c r="A510" s="198">
        <v>2024</v>
      </c>
      <c r="B510" s="197" t="s">
        <v>5850</v>
      </c>
      <c r="C510" s="197">
        <v>2002</v>
      </c>
      <c r="D510" s="110" t="str">
        <f t="shared" si="5"/>
        <v>2024_2002</v>
      </c>
      <c r="E510" s="1226">
        <v>0.116938828476646</v>
      </c>
      <c r="F510" s="1227">
        <v>4.2879889281628475E-2</v>
      </c>
      <c r="G510" s="1227">
        <v>4.8495610110516898</v>
      </c>
      <c r="H510" s="1227">
        <v>0.57586455386227664</v>
      </c>
      <c r="I510" s="1227">
        <v>5.4279877271367002E-2</v>
      </c>
      <c r="J510" s="1227">
        <v>1.7517999686892844E-4</v>
      </c>
      <c r="K510" s="1227">
        <v>3.0000008603841299E-3</v>
      </c>
      <c r="L510" s="1228">
        <v>2.7915934883690499E-2</v>
      </c>
      <c r="M510" s="1229">
        <v>5.6734172458190103E-2</v>
      </c>
      <c r="N510" s="1230">
        <v>1.8310085897761788E-4</v>
      </c>
    </row>
    <row r="511" spans="1:14" ht="15.5" x14ac:dyDescent="0.35">
      <c r="A511" s="198">
        <v>2024</v>
      </c>
      <c r="B511" s="197" t="s">
        <v>5850</v>
      </c>
      <c r="C511" s="197">
        <v>2003</v>
      </c>
      <c r="D511" s="110" t="str">
        <f t="shared" si="5"/>
        <v>2024_2003</v>
      </c>
      <c r="E511" s="1226">
        <v>0.116938828476646</v>
      </c>
      <c r="F511" s="1227">
        <v>4.2879889281628475E-2</v>
      </c>
      <c r="G511" s="1227">
        <v>4.8495610110516898</v>
      </c>
      <c r="H511" s="1227">
        <v>0.57586455386227664</v>
      </c>
      <c r="I511" s="1227">
        <v>5.4279877271367002E-2</v>
      </c>
      <c r="J511" s="1227">
        <v>1.7517999686892844E-4</v>
      </c>
      <c r="K511" s="1227">
        <v>3.0000008603841299E-3</v>
      </c>
      <c r="L511" s="1228">
        <v>2.7915934883690499E-2</v>
      </c>
      <c r="M511" s="1229">
        <v>5.6734172458190103E-2</v>
      </c>
      <c r="N511" s="1230">
        <v>1.8310085897761788E-4</v>
      </c>
    </row>
    <row r="512" spans="1:14" ht="15.5" x14ac:dyDescent="0.35">
      <c r="A512" s="198">
        <v>2024</v>
      </c>
      <c r="B512" s="197" t="s">
        <v>5850</v>
      </c>
      <c r="C512" s="197">
        <v>2004</v>
      </c>
      <c r="D512" s="110" t="str">
        <f t="shared" si="5"/>
        <v>2024_2004</v>
      </c>
      <c r="E512" s="1226">
        <v>0.116938828476646</v>
      </c>
      <c r="F512" s="1227">
        <v>4.2879889281628475E-2</v>
      </c>
      <c r="G512" s="1227">
        <v>4.8495610110516898</v>
      </c>
      <c r="H512" s="1227">
        <v>0.57586455386227664</v>
      </c>
      <c r="I512" s="1227">
        <v>5.4279877271367002E-2</v>
      </c>
      <c r="J512" s="1227">
        <v>1.7517999686892844E-4</v>
      </c>
      <c r="K512" s="1227">
        <v>3.0000008603841299E-3</v>
      </c>
      <c r="L512" s="1228">
        <v>2.7915934883690499E-2</v>
      </c>
      <c r="M512" s="1229">
        <v>5.6734172458190103E-2</v>
      </c>
      <c r="N512" s="1230">
        <v>1.8310085897761788E-4</v>
      </c>
    </row>
    <row r="513" spans="1:14" ht="15.5" x14ac:dyDescent="0.35">
      <c r="A513" s="198">
        <v>2024</v>
      </c>
      <c r="B513" s="197" t="s">
        <v>5850</v>
      </c>
      <c r="C513" s="197">
        <v>2005</v>
      </c>
      <c r="D513" s="110" t="str">
        <f t="shared" si="5"/>
        <v>2024_2005</v>
      </c>
      <c r="E513" s="1226">
        <v>0.116938828476646</v>
      </c>
      <c r="F513" s="1227">
        <v>4.2879889281628475E-2</v>
      </c>
      <c r="G513" s="1227">
        <v>4.8495610110516898</v>
      </c>
      <c r="H513" s="1227">
        <v>0.57586455386227664</v>
      </c>
      <c r="I513" s="1227">
        <v>5.4279877271367002E-2</v>
      </c>
      <c r="J513" s="1227">
        <v>1.7517999686892844E-4</v>
      </c>
      <c r="K513" s="1227">
        <v>3.0000008603841299E-3</v>
      </c>
      <c r="L513" s="1228">
        <v>2.7915934883690499E-2</v>
      </c>
      <c r="M513" s="1229">
        <v>5.6734172458190103E-2</v>
      </c>
      <c r="N513" s="1230">
        <v>1.8310085897761788E-4</v>
      </c>
    </row>
    <row r="514" spans="1:14" ht="15.5" x14ac:dyDescent="0.35">
      <c r="A514" s="198">
        <v>2024</v>
      </c>
      <c r="B514" s="197" t="s">
        <v>5850</v>
      </c>
      <c r="C514" s="197">
        <v>2006</v>
      </c>
      <c r="D514" s="110" t="str">
        <f t="shared" si="5"/>
        <v>2024_2006</v>
      </c>
      <c r="E514" s="1226">
        <v>0.116938828476646</v>
      </c>
      <c r="F514" s="1227">
        <v>4.2879889281628475E-2</v>
      </c>
      <c r="G514" s="1227">
        <v>4.8495610110516898</v>
      </c>
      <c r="H514" s="1227">
        <v>0.57586455386227664</v>
      </c>
      <c r="I514" s="1227">
        <v>5.4279877271367002E-2</v>
      </c>
      <c r="J514" s="1227">
        <v>1.7517999686892844E-4</v>
      </c>
      <c r="K514" s="1227">
        <v>3.0000008603841299E-3</v>
      </c>
      <c r="L514" s="1228">
        <v>2.7915934883690499E-2</v>
      </c>
      <c r="M514" s="1229">
        <v>5.6734172458190103E-2</v>
      </c>
      <c r="N514" s="1230">
        <v>1.8310085897761788E-4</v>
      </c>
    </row>
    <row r="515" spans="1:14" ht="15.5" x14ac:dyDescent="0.35">
      <c r="A515" s="198">
        <v>2024</v>
      </c>
      <c r="B515" s="197" t="s">
        <v>5850</v>
      </c>
      <c r="C515" s="197">
        <v>2007</v>
      </c>
      <c r="D515" s="110" t="str">
        <f t="shared" si="5"/>
        <v>2024_2007</v>
      </c>
      <c r="E515" s="1226">
        <v>0.116938828476646</v>
      </c>
      <c r="F515" s="1227">
        <v>4.2879889281628475E-2</v>
      </c>
      <c r="G515" s="1227">
        <v>4.8495610110516898</v>
      </c>
      <c r="H515" s="1227">
        <v>0.57586455386227664</v>
      </c>
      <c r="I515" s="1227">
        <v>5.4279877271367002E-2</v>
      </c>
      <c r="J515" s="1227">
        <v>1.7517999686892844E-4</v>
      </c>
      <c r="K515" s="1227">
        <v>3.0000008603841299E-3</v>
      </c>
      <c r="L515" s="1228">
        <v>2.7915934883690499E-2</v>
      </c>
      <c r="M515" s="1229">
        <v>5.6734172458190103E-2</v>
      </c>
      <c r="N515" s="1230">
        <v>1.8310085897761788E-4</v>
      </c>
    </row>
    <row r="516" spans="1:14" ht="15.5" x14ac:dyDescent="0.35">
      <c r="A516" s="198">
        <v>2024</v>
      </c>
      <c r="B516" s="197" t="s">
        <v>5850</v>
      </c>
      <c r="C516" s="197">
        <v>2008</v>
      </c>
      <c r="D516" s="110" t="str">
        <f t="shared" si="5"/>
        <v>2024_2008</v>
      </c>
      <c r="E516" s="1226">
        <v>0.116938828476646</v>
      </c>
      <c r="F516" s="1227">
        <v>4.2879889281628475E-2</v>
      </c>
      <c r="G516" s="1227">
        <v>4.8495610110516898</v>
      </c>
      <c r="H516" s="1227">
        <v>0.57586455386227664</v>
      </c>
      <c r="I516" s="1227">
        <v>5.4279877271367002E-2</v>
      </c>
      <c r="J516" s="1227">
        <v>1.7517999686892844E-4</v>
      </c>
      <c r="K516" s="1227">
        <v>3.0000008603841299E-3</v>
      </c>
      <c r="L516" s="1228">
        <v>2.7915934883690499E-2</v>
      </c>
      <c r="M516" s="1229">
        <v>5.6734172458190103E-2</v>
      </c>
      <c r="N516" s="1230">
        <v>1.8310085897761788E-4</v>
      </c>
    </row>
    <row r="517" spans="1:14" ht="15.5" x14ac:dyDescent="0.35">
      <c r="A517" s="198">
        <v>2024</v>
      </c>
      <c r="B517" s="197" t="s">
        <v>5850</v>
      </c>
      <c r="C517" s="197">
        <v>2009</v>
      </c>
      <c r="D517" s="110" t="str">
        <f t="shared" si="5"/>
        <v>2024_2009</v>
      </c>
      <c r="E517" s="1226">
        <v>0.116938828476646</v>
      </c>
      <c r="F517" s="1227">
        <v>4.2879889281628475E-2</v>
      </c>
      <c r="G517" s="1227">
        <v>4.8495610110516898</v>
      </c>
      <c r="H517" s="1227">
        <v>0.57586455386227664</v>
      </c>
      <c r="I517" s="1227">
        <v>5.4279877271367002E-2</v>
      </c>
      <c r="J517" s="1227">
        <v>1.7517999686892844E-4</v>
      </c>
      <c r="K517" s="1227">
        <v>3.0000008603841299E-3</v>
      </c>
      <c r="L517" s="1228">
        <v>2.7915934883690499E-2</v>
      </c>
      <c r="M517" s="1229">
        <v>5.6734172458190103E-2</v>
      </c>
      <c r="N517" s="1230">
        <v>1.8310085897761788E-4</v>
      </c>
    </row>
    <row r="518" spans="1:14" ht="15.5" x14ac:dyDescent="0.35">
      <c r="A518" s="198">
        <v>2024</v>
      </c>
      <c r="B518" s="197" t="s">
        <v>5850</v>
      </c>
      <c r="C518" s="197">
        <v>2010</v>
      </c>
      <c r="D518" s="110" t="str">
        <f t="shared" si="5"/>
        <v>2024_2010</v>
      </c>
      <c r="E518" s="1226">
        <v>0.116938828476646</v>
      </c>
      <c r="F518" s="1227">
        <v>4.2879889281628475E-2</v>
      </c>
      <c r="G518" s="1227">
        <v>4.8495610110516898</v>
      </c>
      <c r="H518" s="1227">
        <v>0.57586455386227664</v>
      </c>
      <c r="I518" s="1227">
        <v>5.4279877271367002E-2</v>
      </c>
      <c r="J518" s="1227">
        <v>1.7517999686892844E-4</v>
      </c>
      <c r="K518" s="1227">
        <v>3.0000008603841299E-3</v>
      </c>
      <c r="L518" s="1228">
        <v>2.7915934883690499E-2</v>
      </c>
      <c r="M518" s="1229">
        <v>5.6734172458190103E-2</v>
      </c>
      <c r="N518" s="1230">
        <v>1.8310085897761788E-4</v>
      </c>
    </row>
    <row r="519" spans="1:14" ht="15.5" x14ac:dyDescent="0.35">
      <c r="A519" s="198">
        <v>2024</v>
      </c>
      <c r="B519" s="197" t="s">
        <v>5850</v>
      </c>
      <c r="C519" s="197">
        <v>2011</v>
      </c>
      <c r="D519" s="110" t="str">
        <f t="shared" si="5"/>
        <v>2024_2011</v>
      </c>
      <c r="E519" s="1231">
        <v>0.116938828476646</v>
      </c>
      <c r="F519" s="1232">
        <v>4.2879889281628475E-2</v>
      </c>
      <c r="G519" s="1232">
        <v>4.8495610110516898</v>
      </c>
      <c r="H519" s="1232">
        <v>0.57586455386227664</v>
      </c>
      <c r="I519" s="1232">
        <v>5.4279877271367002E-2</v>
      </c>
      <c r="J519" s="1232">
        <v>1.7517999686892844E-4</v>
      </c>
      <c r="K519" s="1232">
        <v>3.0000008603841299E-3</v>
      </c>
      <c r="L519" s="1233">
        <v>2.7915934883690499E-2</v>
      </c>
      <c r="M519" s="1234">
        <v>5.6734172458190103E-2</v>
      </c>
      <c r="N519" s="1235">
        <v>1.8310085897761788E-4</v>
      </c>
    </row>
    <row r="520" spans="1:14" ht="15.5" x14ac:dyDescent="0.35">
      <c r="A520" s="198">
        <v>2024</v>
      </c>
      <c r="B520" s="197" t="s">
        <v>5850</v>
      </c>
      <c r="C520" s="197">
        <v>2012</v>
      </c>
      <c r="D520" s="110" t="str">
        <f t="shared" si="5"/>
        <v>2024_2012</v>
      </c>
      <c r="E520" s="1231">
        <v>2.3216681595084901E-2</v>
      </c>
      <c r="F520" s="1232">
        <v>3.872123666623923E-2</v>
      </c>
      <c r="G520" s="1232">
        <v>4.0684285020242603</v>
      </c>
      <c r="H520" s="1232">
        <v>0.45756640836349721</v>
      </c>
      <c r="I520" s="1232">
        <v>3.0163759510914101E-2</v>
      </c>
      <c r="J520" s="1232">
        <v>1.576619971820354E-4</v>
      </c>
      <c r="K520" s="1232">
        <v>3.0000008603841299E-3</v>
      </c>
      <c r="L520" s="1233">
        <v>2.7915934883807E-2</v>
      </c>
      <c r="M520" s="1234">
        <v>3.1527630866297202E-2</v>
      </c>
      <c r="N520" s="1235">
        <v>1.6479077307985588E-4</v>
      </c>
    </row>
    <row r="521" spans="1:14" ht="15.5" x14ac:dyDescent="0.35">
      <c r="A521" s="198">
        <v>2024</v>
      </c>
      <c r="B521" s="197" t="s">
        <v>5850</v>
      </c>
      <c r="C521" s="197">
        <v>2013</v>
      </c>
      <c r="D521" s="110" t="str">
        <f t="shared" si="5"/>
        <v>2024_2013</v>
      </c>
      <c r="E521" s="1231">
        <v>2.23749766675626E-2</v>
      </c>
      <c r="F521" s="1232">
        <v>3.484911299961542E-2</v>
      </c>
      <c r="G521" s="1232">
        <v>3.71899578985993</v>
      </c>
      <c r="H521" s="1232">
        <v>0.41180976752714976</v>
      </c>
      <c r="I521" s="1232">
        <v>2.8225996895699101E-2</v>
      </c>
      <c r="J521" s="1232">
        <v>1.4189579746383234E-4</v>
      </c>
      <c r="K521" s="1232">
        <v>3.0000008603841299E-3</v>
      </c>
      <c r="L521" s="1233">
        <v>2.7915934883794499E-2</v>
      </c>
      <c r="M521" s="1234">
        <v>2.9502251224316399E-2</v>
      </c>
      <c r="N521" s="1235">
        <v>1.4831169577187079E-4</v>
      </c>
    </row>
    <row r="522" spans="1:14" ht="15.5" x14ac:dyDescent="0.35">
      <c r="A522" s="199">
        <v>2024</v>
      </c>
      <c r="B522" s="110" t="s">
        <v>5850</v>
      </c>
      <c r="C522" s="110">
        <v>2014</v>
      </c>
      <c r="D522" s="110" t="str">
        <f t="shared" si="5"/>
        <v>2024_2014</v>
      </c>
      <c r="E522" s="1231">
        <v>1.0961293533350101E-2</v>
      </c>
      <c r="F522" s="1232">
        <v>3.1364201699653753E-2</v>
      </c>
      <c r="G522" s="1232">
        <v>1.4626908357339601</v>
      </c>
      <c r="H522" s="1232">
        <v>0.3706287907744325</v>
      </c>
      <c r="I522" s="1232">
        <v>3.2033343881287202E-2</v>
      </c>
      <c r="J522" s="1232">
        <v>1.2770621771744862E-4</v>
      </c>
      <c r="K522" s="1232">
        <v>3.0000008603841299E-3</v>
      </c>
      <c r="L522" s="1233">
        <v>2.7915934883688799E-2</v>
      </c>
      <c r="M522" s="1234">
        <v>3.3481749545740798E-2</v>
      </c>
      <c r="N522" s="1235">
        <v>1.3348052619468318E-4</v>
      </c>
    </row>
    <row r="523" spans="1:14" ht="15.5" x14ac:dyDescent="0.35">
      <c r="A523" s="199">
        <v>2024</v>
      </c>
      <c r="B523" s="110" t="s">
        <v>5850</v>
      </c>
      <c r="C523" s="110">
        <v>2015</v>
      </c>
      <c r="D523" s="110" t="str">
        <f t="shared" si="5"/>
        <v>2024_2015</v>
      </c>
      <c r="E523" s="1231">
        <v>1.06799284198372E-2</v>
      </c>
      <c r="F523" s="1232">
        <v>2.8227781529688474E-2</v>
      </c>
      <c r="G523" s="1232">
        <v>1.42943691544213</v>
      </c>
      <c r="H523" s="1232">
        <v>0.33356591169699035</v>
      </c>
      <c r="I523" s="1232">
        <v>3.05784927797631E-2</v>
      </c>
      <c r="J523" s="1232">
        <v>1.1493559594570412E-4</v>
      </c>
      <c r="K523" s="1232">
        <v>3.0000008603841299E-3</v>
      </c>
      <c r="L523" s="1233">
        <v>2.7915934883712398E-2</v>
      </c>
      <c r="M523" s="1234">
        <v>3.1961116533211799E-2</v>
      </c>
      <c r="N523" s="1235">
        <v>1.2013247357521526E-4</v>
      </c>
    </row>
    <row r="524" spans="1:14" ht="15.5" x14ac:dyDescent="0.35">
      <c r="A524" s="199">
        <v>2024</v>
      </c>
      <c r="B524" s="110" t="s">
        <v>5850</v>
      </c>
      <c r="C524" s="110">
        <v>2016</v>
      </c>
      <c r="D524" s="110" t="str">
        <f t="shared" si="5"/>
        <v>2024_2016</v>
      </c>
      <c r="E524" s="1231">
        <v>1.03673005159259E-2</v>
      </c>
      <c r="F524" s="1232">
        <v>2.5405003376719582E-2</v>
      </c>
      <c r="G524" s="1232">
        <v>1.3904840243630601</v>
      </c>
      <c r="H524" s="1232">
        <v>0.30020932052729143</v>
      </c>
      <c r="I524" s="1232">
        <v>2.8961991555864999E-2</v>
      </c>
      <c r="J524" s="1232">
        <v>1.0344203635113353E-4</v>
      </c>
      <c r="K524" s="1232">
        <v>3.0000008603841299E-3</v>
      </c>
      <c r="L524" s="1233">
        <v>2.79159348837262E-2</v>
      </c>
      <c r="M524" s="1234">
        <v>3.0271524297086998E-2</v>
      </c>
      <c r="N524" s="1235">
        <v>1.0811922621769354E-4</v>
      </c>
    </row>
    <row r="525" spans="1:14" ht="15.5" x14ac:dyDescent="0.35">
      <c r="A525" s="199">
        <v>2024</v>
      </c>
      <c r="B525" s="110" t="s">
        <v>5850</v>
      </c>
      <c r="C525" s="110">
        <v>2017</v>
      </c>
      <c r="D525" s="110" t="str">
        <f t="shared" si="5"/>
        <v>2024_2017</v>
      </c>
      <c r="E525" s="1231">
        <v>1.02210934966978E-2</v>
      </c>
      <c r="F525" s="1232">
        <v>2.5405003376719505E-2</v>
      </c>
      <c r="G525" s="1232">
        <v>1.3443243573143999</v>
      </c>
      <c r="H525" s="1232">
        <v>0.30020932052729055</v>
      </c>
      <c r="I525" s="1232">
        <v>2.2163070875694101E-2</v>
      </c>
      <c r="J525" s="1232">
        <v>1.0344203635113322E-4</v>
      </c>
      <c r="K525" s="1232">
        <v>3.0000008603841299E-3</v>
      </c>
      <c r="L525" s="1233">
        <v>2.7915934883740799E-2</v>
      </c>
      <c r="M525" s="1234">
        <v>2.3165186593522499E-2</v>
      </c>
      <c r="N525" s="1235">
        <v>1.0811922621769323E-4</v>
      </c>
    </row>
    <row r="526" spans="1:14" ht="15.5" x14ac:dyDescent="0.35">
      <c r="A526" s="199">
        <v>2024</v>
      </c>
      <c r="B526" s="110" t="s">
        <v>5850</v>
      </c>
      <c r="C526" s="110">
        <v>2018</v>
      </c>
      <c r="D526" s="110" t="str">
        <f t="shared" si="5"/>
        <v>2024_2018</v>
      </c>
      <c r="E526" s="1231">
        <v>9.8667562888571994E-3</v>
      </c>
      <c r="F526" s="1232">
        <v>2.5405003376719627E-2</v>
      </c>
      <c r="G526" s="1232">
        <v>1.29454030116122</v>
      </c>
      <c r="H526" s="1232">
        <v>0.30020932052729138</v>
      </c>
      <c r="I526" s="1232">
        <v>2.0697679971370401E-2</v>
      </c>
      <c r="J526" s="1232">
        <v>1.0344203635113372E-4</v>
      </c>
      <c r="K526" s="1232">
        <v>3.0000008603841299E-3</v>
      </c>
      <c r="L526" s="1233">
        <v>2.7915934883645299E-2</v>
      </c>
      <c r="M526" s="1234">
        <v>2.1633537215081201E-2</v>
      </c>
      <c r="N526" s="1235">
        <v>1.0811922621769376E-4</v>
      </c>
    </row>
    <row r="527" spans="1:14" ht="15.5" x14ac:dyDescent="0.35">
      <c r="A527" s="199">
        <v>2024</v>
      </c>
      <c r="B527" s="110" t="s">
        <v>5850</v>
      </c>
      <c r="C527" s="110">
        <v>2019</v>
      </c>
      <c r="D527" s="110" t="str">
        <f t="shared" si="5"/>
        <v>2024_2019</v>
      </c>
      <c r="E527" s="1231">
        <v>9.5124190809441397E-3</v>
      </c>
      <c r="F527" s="1232">
        <v>2.5405003376719529E-2</v>
      </c>
      <c r="G527" s="1232">
        <v>1.2402930496381099</v>
      </c>
      <c r="H527" s="1232">
        <v>0.30020932052729021</v>
      </c>
      <c r="I527" s="1232">
        <v>1.9232289066449599E-2</v>
      </c>
      <c r="J527" s="1232">
        <v>1.0344203635113332E-4</v>
      </c>
      <c r="K527" s="1232">
        <v>3.0000008603841299E-3</v>
      </c>
      <c r="L527" s="1233">
        <v>2.79159348838415E-2</v>
      </c>
      <c r="M527" s="1234">
        <v>2.01018878360157E-2</v>
      </c>
      <c r="N527" s="1235">
        <v>1.0811922621769334E-4</v>
      </c>
    </row>
    <row r="528" spans="1:14" ht="15.5" x14ac:dyDescent="0.35">
      <c r="A528" s="199">
        <v>2024</v>
      </c>
      <c r="B528" s="110" t="s">
        <v>5850</v>
      </c>
      <c r="C528" s="110">
        <v>2020</v>
      </c>
      <c r="D528" s="110" t="str">
        <f t="shared" si="5"/>
        <v>2024_2020</v>
      </c>
      <c r="E528" s="1231">
        <v>9.1580818731361504E-3</v>
      </c>
      <c r="F528" s="1232">
        <v>2.540500337671972E-2</v>
      </c>
      <c r="G528" s="1232">
        <v>1.1803781264173201</v>
      </c>
      <c r="H528" s="1232">
        <v>0.30020932052729243</v>
      </c>
      <c r="I528" s="1232">
        <v>1.7766898162200999E-2</v>
      </c>
      <c r="J528" s="1232">
        <v>1.0344203635113409E-4</v>
      </c>
      <c r="K528" s="1232">
        <v>3.0000008603841299E-3</v>
      </c>
      <c r="L528" s="1233">
        <v>2.7915934883738201E-2</v>
      </c>
      <c r="M528" s="1234">
        <v>1.85702384576528E-2</v>
      </c>
      <c r="N528" s="1235">
        <v>1.0811922621769414E-4</v>
      </c>
    </row>
    <row r="529" spans="1:14" ht="15.5" x14ac:dyDescent="0.35">
      <c r="A529" s="199">
        <v>2024</v>
      </c>
      <c r="B529" s="110" t="s">
        <v>5850</v>
      </c>
      <c r="C529" s="110">
        <v>2021</v>
      </c>
      <c r="D529" s="110" t="str">
        <f t="shared" si="5"/>
        <v>2024_2021</v>
      </c>
      <c r="E529" s="1231">
        <v>8.8037446652753301E-3</v>
      </c>
      <c r="F529" s="1232">
        <v>2.5405003376719866E-2</v>
      </c>
      <c r="G529" s="1232">
        <v>1.1129606764161599</v>
      </c>
      <c r="H529" s="1232">
        <v>0.30020932052729421</v>
      </c>
      <c r="I529" s="1232">
        <v>1.6301507258578402E-2</v>
      </c>
      <c r="J529" s="1232">
        <v>1.034420363511347E-4</v>
      </c>
      <c r="K529" s="1232">
        <v>3.0000008603841299E-3</v>
      </c>
      <c r="L529" s="1233">
        <v>2.7915934882904302E-2</v>
      </c>
      <c r="M529" s="1234">
        <v>1.70385890799441E-2</v>
      </c>
      <c r="N529" s="1235">
        <v>1.0811922621769478E-4</v>
      </c>
    </row>
    <row r="530" spans="1:14" ht="15.5" x14ac:dyDescent="0.35">
      <c r="A530" s="199">
        <v>2024</v>
      </c>
      <c r="B530" s="110" t="s">
        <v>5850</v>
      </c>
      <c r="C530" s="110">
        <v>2022</v>
      </c>
      <c r="D530" s="110" t="str">
        <f t="shared" si="5"/>
        <v>2024_2022</v>
      </c>
      <c r="E530" s="1231">
        <v>8.44940745738639E-3</v>
      </c>
      <c r="F530" s="1232">
        <v>2.5405003376719561E-2</v>
      </c>
      <c r="G530" s="1232">
        <v>1.0350035233621599</v>
      </c>
      <c r="H530" s="1232">
        <v>0.30020932052729055</v>
      </c>
      <c r="I530" s="1232">
        <v>1.48361163529337E-2</v>
      </c>
      <c r="J530" s="1232">
        <v>1.0344203635113344E-4</v>
      </c>
      <c r="K530" s="1232">
        <v>3.0000008603841299E-3</v>
      </c>
      <c r="L530" s="1233">
        <v>2.7915934883909501E-2</v>
      </c>
      <c r="M530" s="1234">
        <v>1.55069397001221E-2</v>
      </c>
      <c r="N530" s="1235">
        <v>1.0811922621769346E-4</v>
      </c>
    </row>
    <row r="531" spans="1:14" ht="15.5" x14ac:dyDescent="0.35">
      <c r="A531" s="199">
        <v>2024</v>
      </c>
      <c r="B531" s="110" t="s">
        <v>5850</v>
      </c>
      <c r="C531" s="110">
        <v>2023</v>
      </c>
      <c r="D531" s="110" t="str">
        <f t="shared" si="5"/>
        <v>2024_2023</v>
      </c>
      <c r="E531" s="1231">
        <v>8.0950702495447696E-3</v>
      </c>
      <c r="F531" s="1232">
        <v>2.5405003376719588E-2</v>
      </c>
      <c r="G531" s="1232">
        <v>0.89722344429898404</v>
      </c>
      <c r="H531" s="1232">
        <v>0.30020932052729082</v>
      </c>
      <c r="I531" s="1232">
        <v>1.28034209907425E-2</v>
      </c>
      <c r="J531" s="1232">
        <v>1.0344203635113355E-4</v>
      </c>
      <c r="K531" s="1232">
        <v>3.0000008603841299E-3</v>
      </c>
      <c r="L531" s="1233">
        <v>2.7915934883802802E-2</v>
      </c>
      <c r="M531" s="1234">
        <v>1.33823348736047E-2</v>
      </c>
      <c r="N531" s="1235">
        <v>1.0811922621769357E-4</v>
      </c>
    </row>
    <row r="532" spans="1:14" ht="15.5" x14ac:dyDescent="0.35">
      <c r="A532" s="199">
        <v>2024</v>
      </c>
      <c r="B532" s="110" t="s">
        <v>5850</v>
      </c>
      <c r="C532" s="110">
        <v>2024</v>
      </c>
      <c r="D532" s="110" t="str">
        <f t="shared" ref="D532:D533" si="6">CONCATENATE(A532,"_",C532)</f>
        <v>2024_2024</v>
      </c>
      <c r="E532" s="1231">
        <v>7.7409874075352299E-3</v>
      </c>
      <c r="F532" s="1232">
        <v>2.5405004821883244E-2</v>
      </c>
      <c r="G532" s="1232">
        <v>0.77947561285349998</v>
      </c>
      <c r="H532" s="1232">
        <v>0.30020933760469865</v>
      </c>
      <c r="I532" s="1232">
        <v>1.1559131997755901E-2</v>
      </c>
      <c r="J532" s="1232">
        <v>1.034420422354335E-4</v>
      </c>
      <c r="K532" s="1232">
        <v>3.0000008603837899E-3</v>
      </c>
      <c r="L532" s="1233">
        <v>2.79142815011874E-2</v>
      </c>
      <c r="M532" s="1234">
        <v>1.2081784653805799E-2</v>
      </c>
      <c r="N532" s="1235">
        <v>1.0811923236805603E-4</v>
      </c>
    </row>
    <row r="533" spans="1:14" ht="15.5" x14ac:dyDescent="0.35">
      <c r="A533" s="199">
        <v>2024</v>
      </c>
      <c r="B533" s="110" t="s">
        <v>5850</v>
      </c>
      <c r="C533" s="110">
        <v>2025</v>
      </c>
      <c r="D533" s="110" t="str">
        <f t="shared" si="6"/>
        <v>2024_2025</v>
      </c>
      <c r="E533" s="1231">
        <v>7.3852500581379297E-3</v>
      </c>
      <c r="F533" s="1232">
        <v>6.097199172263619E-2</v>
      </c>
      <c r="G533" s="1232">
        <v>0.499782421591427</v>
      </c>
      <c r="H533" s="1232">
        <v>0.2892594897112748</v>
      </c>
      <c r="I533" s="1232">
        <v>1.03300239696413E-2</v>
      </c>
      <c r="J533" s="1232">
        <v>2.4826082054189261E-4</v>
      </c>
      <c r="K533" s="1232">
        <v>3.0000008603857401E-3</v>
      </c>
      <c r="L533" s="1233">
        <v>2.7923739711056599E-2</v>
      </c>
      <c r="M533" s="1234">
        <v>1.0797101814746E-2</v>
      </c>
      <c r="N533" s="1235">
        <v>2.5948607320572129E-4</v>
      </c>
    </row>
    <row r="534" spans="1:14" ht="15.5" x14ac:dyDescent="0.35">
      <c r="A534" s="199">
        <v>2025</v>
      </c>
      <c r="B534" s="110" t="s">
        <v>5850</v>
      </c>
      <c r="C534" s="197">
        <v>1971</v>
      </c>
      <c r="D534" s="110" t="str">
        <f t="shared" si="5"/>
        <v>2025_1971</v>
      </c>
      <c r="E534" s="1226">
        <v>0.119634090625804</v>
      </c>
      <c r="F534" s="1227">
        <v>4.7660208217152757E-2</v>
      </c>
      <c r="G534" s="1227">
        <v>4.9539083137486601</v>
      </c>
      <c r="H534" s="1227">
        <v>0.64006285934401452</v>
      </c>
      <c r="I534" s="1227">
        <v>5.5110532394904502E-2</v>
      </c>
      <c r="J534" s="1227">
        <v>1.9470934431331207E-4</v>
      </c>
      <c r="K534" s="1227">
        <v>3.0000008603841399E-3</v>
      </c>
      <c r="L534" s="1228">
        <v>2.7915972255062298E-2</v>
      </c>
      <c r="M534" s="1229">
        <v>5.76023861204365E-2</v>
      </c>
      <c r="N534" s="1230">
        <v>2.0351323685324066E-4</v>
      </c>
    </row>
    <row r="535" spans="1:14" ht="15.5" x14ac:dyDescent="0.35">
      <c r="A535" s="199">
        <v>2025</v>
      </c>
      <c r="B535" s="110" t="s">
        <v>5850</v>
      </c>
      <c r="C535" s="110">
        <v>1972</v>
      </c>
      <c r="D535" s="110" t="str">
        <f t="shared" si="5"/>
        <v>2025_1972</v>
      </c>
      <c r="E535" s="1226">
        <v>0.119634090625804</v>
      </c>
      <c r="F535" s="1227">
        <v>4.7660208217152757E-2</v>
      </c>
      <c r="G535" s="1227">
        <v>4.9539083137486601</v>
      </c>
      <c r="H535" s="1227">
        <v>0.64006285934401452</v>
      </c>
      <c r="I535" s="1227">
        <v>5.5110532394904502E-2</v>
      </c>
      <c r="J535" s="1227">
        <v>1.9470934431331207E-4</v>
      </c>
      <c r="K535" s="1227">
        <v>3.0000008603841399E-3</v>
      </c>
      <c r="L535" s="1228">
        <v>2.7915972255062298E-2</v>
      </c>
      <c r="M535" s="1229">
        <v>5.76023861204365E-2</v>
      </c>
      <c r="N535" s="1230">
        <v>2.0351323685324066E-4</v>
      </c>
    </row>
    <row r="536" spans="1:14" ht="15.5" x14ac:dyDescent="0.35">
      <c r="A536" s="199">
        <v>2025</v>
      </c>
      <c r="B536" s="110" t="s">
        <v>5850</v>
      </c>
      <c r="C536" s="197">
        <v>1973</v>
      </c>
      <c r="D536" s="110" t="str">
        <f t="shared" si="5"/>
        <v>2025_1973</v>
      </c>
      <c r="E536" s="1226">
        <v>0.119634090625804</v>
      </c>
      <c r="F536" s="1227">
        <v>4.7660208217152757E-2</v>
      </c>
      <c r="G536" s="1227">
        <v>4.9539083137486601</v>
      </c>
      <c r="H536" s="1227">
        <v>0.64006285934401452</v>
      </c>
      <c r="I536" s="1227">
        <v>5.5110532394904502E-2</v>
      </c>
      <c r="J536" s="1227">
        <v>1.9470934431331207E-4</v>
      </c>
      <c r="K536" s="1227">
        <v>3.0000008603841399E-3</v>
      </c>
      <c r="L536" s="1228">
        <v>2.7915972255062298E-2</v>
      </c>
      <c r="M536" s="1229">
        <v>5.76023861204365E-2</v>
      </c>
      <c r="N536" s="1230">
        <v>2.0351323685324066E-4</v>
      </c>
    </row>
    <row r="537" spans="1:14" ht="15.5" x14ac:dyDescent="0.35">
      <c r="A537" s="199">
        <v>2025</v>
      </c>
      <c r="B537" s="110" t="s">
        <v>5850</v>
      </c>
      <c r="C537" s="110">
        <v>1974</v>
      </c>
      <c r="D537" s="110" t="str">
        <f t="shared" si="5"/>
        <v>2025_1974</v>
      </c>
      <c r="E537" s="1226">
        <v>0.119634090625804</v>
      </c>
      <c r="F537" s="1227">
        <v>4.7660208217152757E-2</v>
      </c>
      <c r="G537" s="1227">
        <v>4.9539083137486601</v>
      </c>
      <c r="H537" s="1227">
        <v>0.64006285934401452</v>
      </c>
      <c r="I537" s="1227">
        <v>5.5110532394904502E-2</v>
      </c>
      <c r="J537" s="1227">
        <v>1.9470934431331207E-4</v>
      </c>
      <c r="K537" s="1227">
        <v>3.0000008603841399E-3</v>
      </c>
      <c r="L537" s="1228">
        <v>2.7915972255062298E-2</v>
      </c>
      <c r="M537" s="1229">
        <v>5.76023861204365E-2</v>
      </c>
      <c r="N537" s="1230">
        <v>2.0351323685324066E-4</v>
      </c>
    </row>
    <row r="538" spans="1:14" ht="15.5" x14ac:dyDescent="0.35">
      <c r="A538" s="199">
        <v>2025</v>
      </c>
      <c r="B538" s="110" t="s">
        <v>5850</v>
      </c>
      <c r="C538" s="197">
        <v>1975</v>
      </c>
      <c r="D538" s="110" t="str">
        <f t="shared" si="5"/>
        <v>2025_1975</v>
      </c>
      <c r="E538" s="1226">
        <v>0.119634090625804</v>
      </c>
      <c r="F538" s="1227">
        <v>4.7660208217152757E-2</v>
      </c>
      <c r="G538" s="1227">
        <v>4.9539083137486601</v>
      </c>
      <c r="H538" s="1227">
        <v>0.64006285934401452</v>
      </c>
      <c r="I538" s="1227">
        <v>5.5110532394904502E-2</v>
      </c>
      <c r="J538" s="1227">
        <v>1.9470934431331207E-4</v>
      </c>
      <c r="K538" s="1227">
        <v>3.0000008603841399E-3</v>
      </c>
      <c r="L538" s="1228">
        <v>2.7915972255062298E-2</v>
      </c>
      <c r="M538" s="1229">
        <v>5.76023861204365E-2</v>
      </c>
      <c r="N538" s="1230">
        <v>2.0351323685324066E-4</v>
      </c>
    </row>
    <row r="539" spans="1:14" ht="15.5" x14ac:dyDescent="0.35">
      <c r="A539" s="199">
        <v>2025</v>
      </c>
      <c r="B539" s="110" t="s">
        <v>5850</v>
      </c>
      <c r="C539" s="110">
        <v>1976</v>
      </c>
      <c r="D539" s="110" t="str">
        <f t="shared" si="5"/>
        <v>2025_1976</v>
      </c>
      <c r="E539" s="1226">
        <v>0.119634090625804</v>
      </c>
      <c r="F539" s="1227">
        <v>4.7660208217152757E-2</v>
      </c>
      <c r="G539" s="1227">
        <v>4.9539083137486601</v>
      </c>
      <c r="H539" s="1227">
        <v>0.64006285934401452</v>
      </c>
      <c r="I539" s="1227">
        <v>5.5110532394904502E-2</v>
      </c>
      <c r="J539" s="1227">
        <v>1.9470934431331207E-4</v>
      </c>
      <c r="K539" s="1227">
        <v>3.0000008603841399E-3</v>
      </c>
      <c r="L539" s="1228">
        <v>2.7915972255062298E-2</v>
      </c>
      <c r="M539" s="1229">
        <v>5.76023861204365E-2</v>
      </c>
      <c r="N539" s="1230">
        <v>2.0351323685324066E-4</v>
      </c>
    </row>
    <row r="540" spans="1:14" ht="15.5" x14ac:dyDescent="0.35">
      <c r="A540" s="199">
        <v>2025</v>
      </c>
      <c r="B540" s="110" t="s">
        <v>5850</v>
      </c>
      <c r="C540" s="197">
        <v>1977</v>
      </c>
      <c r="D540" s="110" t="str">
        <f t="shared" si="5"/>
        <v>2025_1977</v>
      </c>
      <c r="E540" s="1226">
        <v>0.119634090625804</v>
      </c>
      <c r="F540" s="1227">
        <v>4.7660208217152757E-2</v>
      </c>
      <c r="G540" s="1227">
        <v>4.9539083137486601</v>
      </c>
      <c r="H540" s="1227">
        <v>0.64006285934401452</v>
      </c>
      <c r="I540" s="1227">
        <v>5.5110532394904502E-2</v>
      </c>
      <c r="J540" s="1227">
        <v>1.9470934431331207E-4</v>
      </c>
      <c r="K540" s="1227">
        <v>3.0000008603841399E-3</v>
      </c>
      <c r="L540" s="1228">
        <v>2.7915972255062298E-2</v>
      </c>
      <c r="M540" s="1229">
        <v>5.76023861204365E-2</v>
      </c>
      <c r="N540" s="1230">
        <v>2.0351323685324066E-4</v>
      </c>
    </row>
    <row r="541" spans="1:14" ht="15.5" x14ac:dyDescent="0.35">
      <c r="A541" s="199">
        <v>2025</v>
      </c>
      <c r="B541" s="110" t="s">
        <v>5850</v>
      </c>
      <c r="C541" s="110">
        <v>1978</v>
      </c>
      <c r="D541" s="110" t="str">
        <f t="shared" si="5"/>
        <v>2025_1978</v>
      </c>
      <c r="E541" s="1226">
        <v>0.119634090625804</v>
      </c>
      <c r="F541" s="1227">
        <v>4.7660208217152757E-2</v>
      </c>
      <c r="G541" s="1227">
        <v>4.9539083137486601</v>
      </c>
      <c r="H541" s="1227">
        <v>0.64006285934401452</v>
      </c>
      <c r="I541" s="1227">
        <v>5.5110532394904502E-2</v>
      </c>
      <c r="J541" s="1227">
        <v>1.9470934431331207E-4</v>
      </c>
      <c r="K541" s="1227">
        <v>3.0000008603841399E-3</v>
      </c>
      <c r="L541" s="1228">
        <v>2.7915972255062298E-2</v>
      </c>
      <c r="M541" s="1229">
        <v>5.76023861204365E-2</v>
      </c>
      <c r="N541" s="1230">
        <v>2.0351323685324066E-4</v>
      </c>
    </row>
    <row r="542" spans="1:14" ht="15.5" x14ac:dyDescent="0.35">
      <c r="A542" s="199">
        <v>2025</v>
      </c>
      <c r="B542" s="110" t="s">
        <v>5850</v>
      </c>
      <c r="C542" s="197">
        <v>1979</v>
      </c>
      <c r="D542" s="110" t="str">
        <f t="shared" si="5"/>
        <v>2025_1979</v>
      </c>
      <c r="E542" s="1226">
        <v>0.119634090625804</v>
      </c>
      <c r="F542" s="1227">
        <v>4.7660208217152757E-2</v>
      </c>
      <c r="G542" s="1227">
        <v>4.9539083137486601</v>
      </c>
      <c r="H542" s="1227">
        <v>0.64006285934401452</v>
      </c>
      <c r="I542" s="1227">
        <v>5.5110532394904502E-2</v>
      </c>
      <c r="J542" s="1227">
        <v>1.9470934431331207E-4</v>
      </c>
      <c r="K542" s="1227">
        <v>3.0000008603841399E-3</v>
      </c>
      <c r="L542" s="1228">
        <v>2.7915972255062298E-2</v>
      </c>
      <c r="M542" s="1229">
        <v>5.76023861204365E-2</v>
      </c>
      <c r="N542" s="1230">
        <v>2.0351323685324066E-4</v>
      </c>
    </row>
    <row r="543" spans="1:14" ht="15.5" x14ac:dyDescent="0.35">
      <c r="A543" s="199">
        <v>2025</v>
      </c>
      <c r="B543" s="110" t="s">
        <v>5850</v>
      </c>
      <c r="C543" s="110">
        <v>1980</v>
      </c>
      <c r="D543" s="110" t="str">
        <f t="shared" si="5"/>
        <v>2025_1980</v>
      </c>
      <c r="E543" s="1226">
        <v>0.119634090625804</v>
      </c>
      <c r="F543" s="1227">
        <v>4.7660208217152757E-2</v>
      </c>
      <c r="G543" s="1227">
        <v>4.9539083137486601</v>
      </c>
      <c r="H543" s="1227">
        <v>0.64006285934401452</v>
      </c>
      <c r="I543" s="1227">
        <v>5.5110532394904502E-2</v>
      </c>
      <c r="J543" s="1227">
        <v>1.9470934431331207E-4</v>
      </c>
      <c r="K543" s="1227">
        <v>3.0000008603841399E-3</v>
      </c>
      <c r="L543" s="1228">
        <v>2.7915972255062298E-2</v>
      </c>
      <c r="M543" s="1229">
        <v>5.76023861204365E-2</v>
      </c>
      <c r="N543" s="1230">
        <v>2.0351323685324066E-4</v>
      </c>
    </row>
    <row r="544" spans="1:14" ht="15.5" x14ac:dyDescent="0.35">
      <c r="A544" s="199">
        <v>2025</v>
      </c>
      <c r="B544" s="110" t="s">
        <v>5850</v>
      </c>
      <c r="C544" s="197">
        <v>1981</v>
      </c>
      <c r="D544" s="110" t="str">
        <f t="shared" si="5"/>
        <v>2025_1981</v>
      </c>
      <c r="E544" s="1226">
        <v>0.119634090625804</v>
      </c>
      <c r="F544" s="1227">
        <v>4.7660208217152757E-2</v>
      </c>
      <c r="G544" s="1227">
        <v>4.9539083137486601</v>
      </c>
      <c r="H544" s="1227">
        <v>0.64006285934401452</v>
      </c>
      <c r="I544" s="1227">
        <v>5.5110532394904502E-2</v>
      </c>
      <c r="J544" s="1227">
        <v>1.9470934431331207E-4</v>
      </c>
      <c r="K544" s="1227">
        <v>3.0000008603841399E-3</v>
      </c>
      <c r="L544" s="1228">
        <v>2.7915972255062298E-2</v>
      </c>
      <c r="M544" s="1229">
        <v>5.76023861204365E-2</v>
      </c>
      <c r="N544" s="1230">
        <v>2.0351323685324066E-4</v>
      </c>
    </row>
    <row r="545" spans="1:14" ht="15.5" x14ac:dyDescent="0.35">
      <c r="A545" s="199">
        <v>2025</v>
      </c>
      <c r="B545" s="110" t="s">
        <v>5850</v>
      </c>
      <c r="C545" s="110">
        <v>1982</v>
      </c>
      <c r="D545" s="110" t="str">
        <f t="shared" si="5"/>
        <v>2025_1982</v>
      </c>
      <c r="E545" s="1226">
        <v>0.119634090625804</v>
      </c>
      <c r="F545" s="1227">
        <v>4.7660208217152757E-2</v>
      </c>
      <c r="G545" s="1227">
        <v>4.9539083137486601</v>
      </c>
      <c r="H545" s="1227">
        <v>0.64006285934401452</v>
      </c>
      <c r="I545" s="1227">
        <v>5.5110532394904502E-2</v>
      </c>
      <c r="J545" s="1227">
        <v>1.9470934431331207E-4</v>
      </c>
      <c r="K545" s="1227">
        <v>3.0000008603841399E-3</v>
      </c>
      <c r="L545" s="1228">
        <v>2.7915972255062298E-2</v>
      </c>
      <c r="M545" s="1229">
        <v>5.76023861204365E-2</v>
      </c>
      <c r="N545" s="1230">
        <v>2.0351323685324066E-4</v>
      </c>
    </row>
    <row r="546" spans="1:14" ht="15.5" x14ac:dyDescent="0.35">
      <c r="A546" s="199">
        <v>2025</v>
      </c>
      <c r="B546" s="110" t="s">
        <v>5850</v>
      </c>
      <c r="C546" s="197">
        <v>1983</v>
      </c>
      <c r="D546" s="110" t="str">
        <f t="shared" si="5"/>
        <v>2025_1983</v>
      </c>
      <c r="E546" s="1226">
        <v>0.119634090625804</v>
      </c>
      <c r="F546" s="1227">
        <v>4.7660208217152757E-2</v>
      </c>
      <c r="G546" s="1227">
        <v>4.9539083137486601</v>
      </c>
      <c r="H546" s="1227">
        <v>0.64006285934401452</v>
      </c>
      <c r="I546" s="1227">
        <v>5.5110532394904502E-2</v>
      </c>
      <c r="J546" s="1227">
        <v>1.9470934431331207E-4</v>
      </c>
      <c r="K546" s="1227">
        <v>3.0000008603841399E-3</v>
      </c>
      <c r="L546" s="1228">
        <v>2.7915972255062298E-2</v>
      </c>
      <c r="M546" s="1229">
        <v>5.76023861204365E-2</v>
      </c>
      <c r="N546" s="1230">
        <v>2.0351323685324066E-4</v>
      </c>
    </row>
    <row r="547" spans="1:14" ht="15.5" x14ac:dyDescent="0.35">
      <c r="A547" s="199">
        <v>2025</v>
      </c>
      <c r="B547" s="110" t="s">
        <v>5850</v>
      </c>
      <c r="C547" s="110">
        <v>1984</v>
      </c>
      <c r="D547" s="110" t="str">
        <f t="shared" si="5"/>
        <v>2025_1984</v>
      </c>
      <c r="E547" s="1226">
        <v>0.119634090625804</v>
      </c>
      <c r="F547" s="1227">
        <v>4.7660208217152757E-2</v>
      </c>
      <c r="G547" s="1227">
        <v>4.9539083137486601</v>
      </c>
      <c r="H547" s="1227">
        <v>0.64006285934401452</v>
      </c>
      <c r="I547" s="1227">
        <v>5.5110532394904502E-2</v>
      </c>
      <c r="J547" s="1227">
        <v>1.9470934431331207E-4</v>
      </c>
      <c r="K547" s="1227">
        <v>3.0000008603841399E-3</v>
      </c>
      <c r="L547" s="1228">
        <v>2.7915972255062298E-2</v>
      </c>
      <c r="M547" s="1229">
        <v>5.76023861204365E-2</v>
      </c>
      <c r="N547" s="1230">
        <v>2.0351323685324066E-4</v>
      </c>
    </row>
    <row r="548" spans="1:14" ht="15.5" x14ac:dyDescent="0.35">
      <c r="A548" s="199">
        <v>2025</v>
      </c>
      <c r="B548" s="110" t="s">
        <v>5850</v>
      </c>
      <c r="C548" s="197">
        <v>1985</v>
      </c>
      <c r="D548" s="110" t="str">
        <f t="shared" si="5"/>
        <v>2025_1985</v>
      </c>
      <c r="E548" s="1226">
        <v>0.119634090625804</v>
      </c>
      <c r="F548" s="1227">
        <v>4.7660208217152757E-2</v>
      </c>
      <c r="G548" s="1227">
        <v>4.9539083137486601</v>
      </c>
      <c r="H548" s="1227">
        <v>0.64006285934401452</v>
      </c>
      <c r="I548" s="1227">
        <v>5.5110532394904502E-2</v>
      </c>
      <c r="J548" s="1227">
        <v>1.9470934431331207E-4</v>
      </c>
      <c r="K548" s="1227">
        <v>3.0000008603841399E-3</v>
      </c>
      <c r="L548" s="1228">
        <v>2.7915972255062298E-2</v>
      </c>
      <c r="M548" s="1229">
        <v>5.76023861204365E-2</v>
      </c>
      <c r="N548" s="1230">
        <v>2.0351323685324066E-4</v>
      </c>
    </row>
    <row r="549" spans="1:14" ht="15.5" x14ac:dyDescent="0.35">
      <c r="A549" s="199">
        <v>2025</v>
      </c>
      <c r="B549" s="110" t="s">
        <v>5850</v>
      </c>
      <c r="C549" s="110">
        <v>1986</v>
      </c>
      <c r="D549" s="110" t="str">
        <f t="shared" si="5"/>
        <v>2025_1986</v>
      </c>
      <c r="E549" s="1226">
        <v>0.119634090625804</v>
      </c>
      <c r="F549" s="1227">
        <v>4.7660208217152757E-2</v>
      </c>
      <c r="G549" s="1227">
        <v>4.9539083137486601</v>
      </c>
      <c r="H549" s="1227">
        <v>0.64006285934401452</v>
      </c>
      <c r="I549" s="1227">
        <v>5.5110532394904502E-2</v>
      </c>
      <c r="J549" s="1227">
        <v>1.9470934431331207E-4</v>
      </c>
      <c r="K549" s="1227">
        <v>3.0000008603841399E-3</v>
      </c>
      <c r="L549" s="1228">
        <v>2.7915972255062298E-2</v>
      </c>
      <c r="M549" s="1229">
        <v>5.76023861204365E-2</v>
      </c>
      <c r="N549" s="1230">
        <v>2.0351323685324066E-4</v>
      </c>
    </row>
    <row r="550" spans="1:14" ht="15.5" x14ac:dyDescent="0.35">
      <c r="A550" s="199">
        <v>2025</v>
      </c>
      <c r="B550" s="110" t="s">
        <v>5850</v>
      </c>
      <c r="C550" s="197">
        <v>1987</v>
      </c>
      <c r="D550" s="110" t="str">
        <f t="shared" si="5"/>
        <v>2025_1987</v>
      </c>
      <c r="E550" s="1226">
        <v>0.119634090625804</v>
      </c>
      <c r="F550" s="1227">
        <v>4.7660208217152757E-2</v>
      </c>
      <c r="G550" s="1227">
        <v>4.9539083137486601</v>
      </c>
      <c r="H550" s="1227">
        <v>0.64006285934401452</v>
      </c>
      <c r="I550" s="1227">
        <v>5.5110532394904502E-2</v>
      </c>
      <c r="J550" s="1227">
        <v>1.9470934431331207E-4</v>
      </c>
      <c r="K550" s="1227">
        <v>3.0000008603841399E-3</v>
      </c>
      <c r="L550" s="1228">
        <v>2.7915972255062298E-2</v>
      </c>
      <c r="M550" s="1229">
        <v>5.76023861204365E-2</v>
      </c>
      <c r="N550" s="1230">
        <v>2.0351323685324066E-4</v>
      </c>
    </row>
    <row r="551" spans="1:14" ht="15.5" x14ac:dyDescent="0.35">
      <c r="A551" s="199">
        <v>2025</v>
      </c>
      <c r="B551" s="110" t="s">
        <v>5850</v>
      </c>
      <c r="C551" s="110">
        <v>1988</v>
      </c>
      <c r="D551" s="110" t="str">
        <f t="shared" si="5"/>
        <v>2025_1988</v>
      </c>
      <c r="E551" s="1226">
        <v>0.119634090625804</v>
      </c>
      <c r="F551" s="1227">
        <v>4.7660208217152757E-2</v>
      </c>
      <c r="G551" s="1227">
        <v>4.9539083137486601</v>
      </c>
      <c r="H551" s="1227">
        <v>0.64006285934401452</v>
      </c>
      <c r="I551" s="1227">
        <v>5.5110532394904502E-2</v>
      </c>
      <c r="J551" s="1227">
        <v>1.9470934431331207E-4</v>
      </c>
      <c r="K551" s="1227">
        <v>3.0000008603841399E-3</v>
      </c>
      <c r="L551" s="1228">
        <v>2.7915972255062298E-2</v>
      </c>
      <c r="M551" s="1229">
        <v>5.76023861204365E-2</v>
      </c>
      <c r="N551" s="1230">
        <v>2.0351323685324066E-4</v>
      </c>
    </row>
    <row r="552" spans="1:14" ht="15.5" x14ac:dyDescent="0.35">
      <c r="A552" s="199">
        <v>2025</v>
      </c>
      <c r="B552" s="110" t="s">
        <v>5850</v>
      </c>
      <c r="C552" s="197">
        <v>1989</v>
      </c>
      <c r="D552" s="110" t="str">
        <f t="shared" si="5"/>
        <v>2025_1989</v>
      </c>
      <c r="E552" s="1226">
        <v>0.119634090625804</v>
      </c>
      <c r="F552" s="1227">
        <v>4.7660208217152757E-2</v>
      </c>
      <c r="G552" s="1227">
        <v>4.9539083137486601</v>
      </c>
      <c r="H552" s="1227">
        <v>0.64006285934401452</v>
      </c>
      <c r="I552" s="1227">
        <v>5.5110532394904502E-2</v>
      </c>
      <c r="J552" s="1227">
        <v>1.9470934431331207E-4</v>
      </c>
      <c r="K552" s="1227">
        <v>3.0000008603841399E-3</v>
      </c>
      <c r="L552" s="1228">
        <v>2.7915972255062298E-2</v>
      </c>
      <c r="M552" s="1229">
        <v>5.76023861204365E-2</v>
      </c>
      <c r="N552" s="1230">
        <v>2.0351323685324066E-4</v>
      </c>
    </row>
    <row r="553" spans="1:14" ht="15.5" x14ac:dyDescent="0.35">
      <c r="A553" s="199">
        <v>2025</v>
      </c>
      <c r="B553" s="110" t="s">
        <v>5850</v>
      </c>
      <c r="C553" s="110">
        <v>1990</v>
      </c>
      <c r="D553" s="110" t="str">
        <f t="shared" si="5"/>
        <v>2025_1990</v>
      </c>
      <c r="E553" s="1226">
        <v>0.119634090625804</v>
      </c>
      <c r="F553" s="1227">
        <v>4.7660208217152757E-2</v>
      </c>
      <c r="G553" s="1227">
        <v>4.9539083137486601</v>
      </c>
      <c r="H553" s="1227">
        <v>0.64006285934401452</v>
      </c>
      <c r="I553" s="1227">
        <v>5.5110532394904502E-2</v>
      </c>
      <c r="J553" s="1227">
        <v>1.9470934431331207E-4</v>
      </c>
      <c r="K553" s="1227">
        <v>3.0000008603841399E-3</v>
      </c>
      <c r="L553" s="1228">
        <v>2.7915972255062298E-2</v>
      </c>
      <c r="M553" s="1229">
        <v>5.76023861204365E-2</v>
      </c>
      <c r="N553" s="1230">
        <v>2.0351323685324066E-4</v>
      </c>
    </row>
    <row r="554" spans="1:14" ht="15.5" x14ac:dyDescent="0.35">
      <c r="A554" s="199">
        <v>2025</v>
      </c>
      <c r="B554" s="110" t="s">
        <v>5850</v>
      </c>
      <c r="C554" s="197">
        <v>1991</v>
      </c>
      <c r="D554" s="110" t="str">
        <f t="shared" si="5"/>
        <v>2025_1991</v>
      </c>
      <c r="E554" s="1226">
        <v>0.119634090625804</v>
      </c>
      <c r="F554" s="1227">
        <v>4.7660208217152757E-2</v>
      </c>
      <c r="G554" s="1227">
        <v>4.9539083137486601</v>
      </c>
      <c r="H554" s="1227">
        <v>0.64006285934401452</v>
      </c>
      <c r="I554" s="1227">
        <v>5.5110532394904502E-2</v>
      </c>
      <c r="J554" s="1227">
        <v>1.9470934431331207E-4</v>
      </c>
      <c r="K554" s="1227">
        <v>3.0000008603841399E-3</v>
      </c>
      <c r="L554" s="1228">
        <v>2.7915972255062298E-2</v>
      </c>
      <c r="M554" s="1229">
        <v>5.76023861204365E-2</v>
      </c>
      <c r="N554" s="1230">
        <v>2.0351323685324066E-4</v>
      </c>
    </row>
    <row r="555" spans="1:14" ht="15.5" x14ac:dyDescent="0.35">
      <c r="A555" s="199">
        <v>2025</v>
      </c>
      <c r="B555" s="110" t="s">
        <v>5850</v>
      </c>
      <c r="C555" s="110">
        <v>1992</v>
      </c>
      <c r="D555" s="110" t="str">
        <f t="shared" si="5"/>
        <v>2025_1992</v>
      </c>
      <c r="E555" s="1226">
        <v>0.119634090625804</v>
      </c>
      <c r="F555" s="1227">
        <v>4.7660208217152757E-2</v>
      </c>
      <c r="G555" s="1227">
        <v>4.9539083137486601</v>
      </c>
      <c r="H555" s="1227">
        <v>0.64006285934401452</v>
      </c>
      <c r="I555" s="1227">
        <v>5.5110532394904502E-2</v>
      </c>
      <c r="J555" s="1227">
        <v>1.9470934431331207E-4</v>
      </c>
      <c r="K555" s="1227">
        <v>3.0000008603841399E-3</v>
      </c>
      <c r="L555" s="1228">
        <v>2.7915972255062298E-2</v>
      </c>
      <c r="M555" s="1229">
        <v>5.76023861204365E-2</v>
      </c>
      <c r="N555" s="1230">
        <v>2.0351323685324066E-4</v>
      </c>
    </row>
    <row r="556" spans="1:14" ht="15.5" x14ac:dyDescent="0.35">
      <c r="A556" s="199">
        <v>2025</v>
      </c>
      <c r="B556" s="110" t="s">
        <v>5850</v>
      </c>
      <c r="C556" s="197">
        <v>1993</v>
      </c>
      <c r="D556" s="110" t="str">
        <f t="shared" si="5"/>
        <v>2025_1993</v>
      </c>
      <c r="E556" s="1226">
        <v>0.119634090625804</v>
      </c>
      <c r="F556" s="1227">
        <v>4.7660208217152757E-2</v>
      </c>
      <c r="G556" s="1227">
        <v>4.9539083137486601</v>
      </c>
      <c r="H556" s="1227">
        <v>0.64006285934401452</v>
      </c>
      <c r="I556" s="1227">
        <v>5.5110532394904502E-2</v>
      </c>
      <c r="J556" s="1227">
        <v>1.9470934431331207E-4</v>
      </c>
      <c r="K556" s="1227">
        <v>3.0000008603841399E-3</v>
      </c>
      <c r="L556" s="1228">
        <v>2.7915972255062298E-2</v>
      </c>
      <c r="M556" s="1229">
        <v>5.76023861204365E-2</v>
      </c>
      <c r="N556" s="1230">
        <v>2.0351323685324066E-4</v>
      </c>
    </row>
    <row r="557" spans="1:14" ht="15.5" x14ac:dyDescent="0.35">
      <c r="A557" s="199">
        <v>2025</v>
      </c>
      <c r="B557" s="110" t="s">
        <v>5850</v>
      </c>
      <c r="C557" s="110">
        <v>1994</v>
      </c>
      <c r="D557" s="110" t="str">
        <f t="shared" si="5"/>
        <v>2025_1994</v>
      </c>
      <c r="E557" s="1226">
        <v>0.119634090625804</v>
      </c>
      <c r="F557" s="1227">
        <v>4.7660208217152757E-2</v>
      </c>
      <c r="G557" s="1227">
        <v>4.9539083137486601</v>
      </c>
      <c r="H557" s="1227">
        <v>0.64006285934401452</v>
      </c>
      <c r="I557" s="1227">
        <v>5.5110532394904502E-2</v>
      </c>
      <c r="J557" s="1227">
        <v>1.9470934431331207E-4</v>
      </c>
      <c r="K557" s="1227">
        <v>3.0000008603841399E-3</v>
      </c>
      <c r="L557" s="1228">
        <v>2.7915972255062298E-2</v>
      </c>
      <c r="M557" s="1229">
        <v>5.76023861204365E-2</v>
      </c>
      <c r="N557" s="1230">
        <v>2.0351323685324066E-4</v>
      </c>
    </row>
    <row r="558" spans="1:14" ht="15.5" x14ac:dyDescent="0.35">
      <c r="A558" s="199">
        <v>2025</v>
      </c>
      <c r="B558" s="110" t="s">
        <v>5850</v>
      </c>
      <c r="C558" s="197">
        <v>1995</v>
      </c>
      <c r="D558" s="110" t="str">
        <f t="shared" si="5"/>
        <v>2025_1995</v>
      </c>
      <c r="E558" s="1226">
        <v>0.119634090625804</v>
      </c>
      <c r="F558" s="1227">
        <v>4.7660208217152757E-2</v>
      </c>
      <c r="G558" s="1227">
        <v>4.9539083137486601</v>
      </c>
      <c r="H558" s="1227">
        <v>0.64006285934401452</v>
      </c>
      <c r="I558" s="1227">
        <v>5.5110532394904502E-2</v>
      </c>
      <c r="J558" s="1227">
        <v>1.9470934431331207E-4</v>
      </c>
      <c r="K558" s="1227">
        <v>3.0000008603841399E-3</v>
      </c>
      <c r="L558" s="1228">
        <v>2.7915972255062298E-2</v>
      </c>
      <c r="M558" s="1229">
        <v>5.76023861204365E-2</v>
      </c>
      <c r="N558" s="1230">
        <v>2.0351323685324066E-4</v>
      </c>
    </row>
    <row r="559" spans="1:14" ht="15.5" x14ac:dyDescent="0.35">
      <c r="A559" s="199">
        <v>2025</v>
      </c>
      <c r="B559" s="110" t="s">
        <v>5850</v>
      </c>
      <c r="C559" s="110">
        <v>1996</v>
      </c>
      <c r="D559" s="110" t="str">
        <f t="shared" si="5"/>
        <v>2025_1996</v>
      </c>
      <c r="E559" s="1226">
        <v>0.119634090625804</v>
      </c>
      <c r="F559" s="1227">
        <v>4.7660208217152757E-2</v>
      </c>
      <c r="G559" s="1227">
        <v>4.9539083137486601</v>
      </c>
      <c r="H559" s="1227">
        <v>0.64006285934401452</v>
      </c>
      <c r="I559" s="1227">
        <v>5.5110532394904502E-2</v>
      </c>
      <c r="J559" s="1227">
        <v>1.9470934431331207E-4</v>
      </c>
      <c r="K559" s="1227">
        <v>3.0000008603841399E-3</v>
      </c>
      <c r="L559" s="1228">
        <v>2.7915972255062298E-2</v>
      </c>
      <c r="M559" s="1229">
        <v>5.76023861204365E-2</v>
      </c>
      <c r="N559" s="1230">
        <v>2.0351323685324066E-4</v>
      </c>
    </row>
    <row r="560" spans="1:14" ht="15.5" x14ac:dyDescent="0.35">
      <c r="A560" s="199">
        <v>2025</v>
      </c>
      <c r="B560" s="110" t="s">
        <v>5850</v>
      </c>
      <c r="C560" s="197">
        <v>1997</v>
      </c>
      <c r="D560" s="110" t="str">
        <f t="shared" si="5"/>
        <v>2025_1997</v>
      </c>
      <c r="E560" s="1226">
        <v>0.119634090625804</v>
      </c>
      <c r="F560" s="1227">
        <v>4.7660208217152757E-2</v>
      </c>
      <c r="G560" s="1227">
        <v>4.9539083137486601</v>
      </c>
      <c r="H560" s="1227">
        <v>0.64006285934401452</v>
      </c>
      <c r="I560" s="1227">
        <v>5.5110532394904502E-2</v>
      </c>
      <c r="J560" s="1227">
        <v>1.9470934431331207E-4</v>
      </c>
      <c r="K560" s="1227">
        <v>3.0000008603841399E-3</v>
      </c>
      <c r="L560" s="1228">
        <v>2.7915972255062298E-2</v>
      </c>
      <c r="M560" s="1229">
        <v>5.76023861204365E-2</v>
      </c>
      <c r="N560" s="1230">
        <v>2.0351323685324066E-4</v>
      </c>
    </row>
    <row r="561" spans="1:14" ht="15.5" x14ac:dyDescent="0.35">
      <c r="A561" s="199">
        <v>2025</v>
      </c>
      <c r="B561" s="110" t="s">
        <v>5850</v>
      </c>
      <c r="C561" s="110">
        <v>1998</v>
      </c>
      <c r="D561" s="110" t="str">
        <f t="shared" si="5"/>
        <v>2025_1998</v>
      </c>
      <c r="E561" s="1226">
        <v>0.119634090625804</v>
      </c>
      <c r="F561" s="1227">
        <v>4.7660208217152757E-2</v>
      </c>
      <c r="G561" s="1227">
        <v>4.9539083137486601</v>
      </c>
      <c r="H561" s="1227">
        <v>0.64006285934401452</v>
      </c>
      <c r="I561" s="1227">
        <v>5.5110532394904502E-2</v>
      </c>
      <c r="J561" s="1227">
        <v>1.9470934431331207E-4</v>
      </c>
      <c r="K561" s="1227">
        <v>3.0000008603841399E-3</v>
      </c>
      <c r="L561" s="1228">
        <v>2.7915972255062298E-2</v>
      </c>
      <c r="M561" s="1229">
        <v>5.76023861204365E-2</v>
      </c>
      <c r="N561" s="1230">
        <v>2.0351323685324066E-4</v>
      </c>
    </row>
    <row r="562" spans="1:14" ht="15.5" x14ac:dyDescent="0.35">
      <c r="A562" s="199">
        <v>2025</v>
      </c>
      <c r="B562" s="110" t="s">
        <v>5850</v>
      </c>
      <c r="C562" s="197">
        <v>1999</v>
      </c>
      <c r="D562" s="110" t="str">
        <f t="shared" si="5"/>
        <v>2025_1999</v>
      </c>
      <c r="E562" s="1226">
        <v>0.119634090625804</v>
      </c>
      <c r="F562" s="1227">
        <v>4.7660208217152757E-2</v>
      </c>
      <c r="G562" s="1227">
        <v>4.9539083137486601</v>
      </c>
      <c r="H562" s="1227">
        <v>0.64006285934401452</v>
      </c>
      <c r="I562" s="1227">
        <v>5.5110532394904502E-2</v>
      </c>
      <c r="J562" s="1227">
        <v>1.9470934431331207E-4</v>
      </c>
      <c r="K562" s="1227">
        <v>3.0000008603841399E-3</v>
      </c>
      <c r="L562" s="1228">
        <v>2.7915972255062298E-2</v>
      </c>
      <c r="M562" s="1229">
        <v>5.76023861204365E-2</v>
      </c>
      <c r="N562" s="1230">
        <v>2.0351323685324066E-4</v>
      </c>
    </row>
    <row r="563" spans="1:14" ht="15.5" x14ac:dyDescent="0.35">
      <c r="A563" s="199">
        <v>2025</v>
      </c>
      <c r="B563" s="110" t="s">
        <v>5850</v>
      </c>
      <c r="C563" s="110">
        <v>2000</v>
      </c>
      <c r="D563" s="110" t="str">
        <f t="shared" si="5"/>
        <v>2025_2000</v>
      </c>
      <c r="E563" s="1226">
        <v>0.119634090625804</v>
      </c>
      <c r="F563" s="1227">
        <v>4.7660208217152757E-2</v>
      </c>
      <c r="G563" s="1227">
        <v>4.9539083137486601</v>
      </c>
      <c r="H563" s="1227">
        <v>0.64006285934401452</v>
      </c>
      <c r="I563" s="1227">
        <v>5.5110532394904502E-2</v>
      </c>
      <c r="J563" s="1227">
        <v>1.9470934431331207E-4</v>
      </c>
      <c r="K563" s="1227">
        <v>3.0000008603841399E-3</v>
      </c>
      <c r="L563" s="1228">
        <v>2.7915972255062298E-2</v>
      </c>
      <c r="M563" s="1229">
        <v>5.76023861204365E-2</v>
      </c>
      <c r="N563" s="1230">
        <v>2.0351323685324066E-4</v>
      </c>
    </row>
    <row r="564" spans="1:14" ht="15.5" x14ac:dyDescent="0.35">
      <c r="A564" s="199">
        <v>2025</v>
      </c>
      <c r="B564" s="110" t="s">
        <v>5850</v>
      </c>
      <c r="C564" s="197">
        <v>2001</v>
      </c>
      <c r="D564" s="110" t="str">
        <f t="shared" si="5"/>
        <v>2025_2001</v>
      </c>
      <c r="E564" s="1226">
        <v>0.119634090625804</v>
      </c>
      <c r="F564" s="1227">
        <v>4.7660208217152757E-2</v>
      </c>
      <c r="G564" s="1227">
        <v>4.9539083137486601</v>
      </c>
      <c r="H564" s="1227">
        <v>0.64006285934401452</v>
      </c>
      <c r="I564" s="1227">
        <v>5.5110532394904502E-2</v>
      </c>
      <c r="J564" s="1227">
        <v>1.9470934431331207E-4</v>
      </c>
      <c r="K564" s="1227">
        <v>3.0000008603841399E-3</v>
      </c>
      <c r="L564" s="1228">
        <v>2.7915972255062298E-2</v>
      </c>
      <c r="M564" s="1229">
        <v>5.76023861204365E-2</v>
      </c>
      <c r="N564" s="1230">
        <v>2.0351323685324066E-4</v>
      </c>
    </row>
    <row r="565" spans="1:14" ht="15.5" x14ac:dyDescent="0.35">
      <c r="A565" s="199">
        <v>2025</v>
      </c>
      <c r="B565" s="110" t="s">
        <v>5850</v>
      </c>
      <c r="C565" s="110">
        <v>2002</v>
      </c>
      <c r="D565" s="110" t="str">
        <f t="shared" si="5"/>
        <v>2025_2002</v>
      </c>
      <c r="E565" s="1226">
        <v>0.119634090625804</v>
      </c>
      <c r="F565" s="1227">
        <v>4.7660208217152757E-2</v>
      </c>
      <c r="G565" s="1227">
        <v>4.9539083137486601</v>
      </c>
      <c r="H565" s="1227">
        <v>0.64006285934401452</v>
      </c>
      <c r="I565" s="1227">
        <v>5.5110532394904502E-2</v>
      </c>
      <c r="J565" s="1227">
        <v>1.9470934431331207E-4</v>
      </c>
      <c r="K565" s="1227">
        <v>3.0000008603841399E-3</v>
      </c>
      <c r="L565" s="1228">
        <v>2.7915972255062298E-2</v>
      </c>
      <c r="M565" s="1229">
        <v>5.76023861204365E-2</v>
      </c>
      <c r="N565" s="1230">
        <v>2.0351323685324066E-4</v>
      </c>
    </row>
    <row r="566" spans="1:14" ht="15.5" x14ac:dyDescent="0.35">
      <c r="A566" s="199">
        <v>2025</v>
      </c>
      <c r="B566" s="110" t="s">
        <v>5850</v>
      </c>
      <c r="C566" s="197">
        <v>2003</v>
      </c>
      <c r="D566" s="110" t="str">
        <f t="shared" si="5"/>
        <v>2025_2003</v>
      </c>
      <c r="E566" s="1226">
        <v>0.119634090625804</v>
      </c>
      <c r="F566" s="1227">
        <v>4.7660208217152757E-2</v>
      </c>
      <c r="G566" s="1227">
        <v>4.9539083137486601</v>
      </c>
      <c r="H566" s="1227">
        <v>0.64006285934401452</v>
      </c>
      <c r="I566" s="1227">
        <v>5.5110532394904502E-2</v>
      </c>
      <c r="J566" s="1227">
        <v>1.9470934431331207E-4</v>
      </c>
      <c r="K566" s="1227">
        <v>3.0000008603841399E-3</v>
      </c>
      <c r="L566" s="1228">
        <v>2.7915972255062298E-2</v>
      </c>
      <c r="M566" s="1229">
        <v>5.76023861204365E-2</v>
      </c>
      <c r="N566" s="1230">
        <v>2.0351323685324066E-4</v>
      </c>
    </row>
    <row r="567" spans="1:14" ht="15.5" x14ac:dyDescent="0.35">
      <c r="A567" s="199">
        <v>2025</v>
      </c>
      <c r="B567" s="110" t="s">
        <v>5850</v>
      </c>
      <c r="C567" s="110">
        <v>2004</v>
      </c>
      <c r="D567" s="110" t="str">
        <f t="shared" si="5"/>
        <v>2025_2004</v>
      </c>
      <c r="E567" s="1226">
        <v>0.119634090625804</v>
      </c>
      <c r="F567" s="1227">
        <v>4.7660208217152757E-2</v>
      </c>
      <c r="G567" s="1227">
        <v>4.9539083137486601</v>
      </c>
      <c r="H567" s="1227">
        <v>0.64006285934401452</v>
      </c>
      <c r="I567" s="1227">
        <v>5.5110532394904502E-2</v>
      </c>
      <c r="J567" s="1227">
        <v>1.9470934431331207E-4</v>
      </c>
      <c r="K567" s="1227">
        <v>3.0000008603841399E-3</v>
      </c>
      <c r="L567" s="1228">
        <v>2.7915972255062298E-2</v>
      </c>
      <c r="M567" s="1229">
        <v>5.76023861204365E-2</v>
      </c>
      <c r="N567" s="1230">
        <v>2.0351323685324066E-4</v>
      </c>
    </row>
    <row r="568" spans="1:14" ht="15.5" x14ac:dyDescent="0.35">
      <c r="A568" s="199">
        <v>2025</v>
      </c>
      <c r="B568" s="110" t="s">
        <v>5850</v>
      </c>
      <c r="C568" s="197">
        <v>2005</v>
      </c>
      <c r="D568" s="110" t="str">
        <f t="shared" si="5"/>
        <v>2025_2005</v>
      </c>
      <c r="E568" s="1226">
        <v>0.119634090625804</v>
      </c>
      <c r="F568" s="1227">
        <v>4.7660208217152757E-2</v>
      </c>
      <c r="G568" s="1227">
        <v>4.9539083137486601</v>
      </c>
      <c r="H568" s="1227">
        <v>0.64006285934401452</v>
      </c>
      <c r="I568" s="1227">
        <v>5.5110532394904502E-2</v>
      </c>
      <c r="J568" s="1227">
        <v>1.9470934431331207E-4</v>
      </c>
      <c r="K568" s="1227">
        <v>3.0000008603841399E-3</v>
      </c>
      <c r="L568" s="1228">
        <v>2.7915972255062298E-2</v>
      </c>
      <c r="M568" s="1229">
        <v>5.76023861204365E-2</v>
      </c>
      <c r="N568" s="1230">
        <v>2.0351323685324066E-4</v>
      </c>
    </row>
    <row r="569" spans="1:14" ht="15.5" x14ac:dyDescent="0.35">
      <c r="A569" s="199">
        <v>2025</v>
      </c>
      <c r="B569" s="110" t="s">
        <v>5850</v>
      </c>
      <c r="C569" s="110">
        <v>2006</v>
      </c>
      <c r="D569" s="110" t="str">
        <f t="shared" si="5"/>
        <v>2025_2006</v>
      </c>
      <c r="E569" s="1226">
        <v>0.119634090625804</v>
      </c>
      <c r="F569" s="1227">
        <v>4.7660208217152757E-2</v>
      </c>
      <c r="G569" s="1227">
        <v>4.9539083137486601</v>
      </c>
      <c r="H569" s="1227">
        <v>0.64006285934401452</v>
      </c>
      <c r="I569" s="1227">
        <v>5.5110532394904502E-2</v>
      </c>
      <c r="J569" s="1227">
        <v>1.9470934431331207E-4</v>
      </c>
      <c r="K569" s="1227">
        <v>3.0000008603841399E-3</v>
      </c>
      <c r="L569" s="1228">
        <v>2.7915972255062298E-2</v>
      </c>
      <c r="M569" s="1229">
        <v>5.76023861204365E-2</v>
      </c>
      <c r="N569" s="1230">
        <v>2.0351323685324066E-4</v>
      </c>
    </row>
    <row r="570" spans="1:14" ht="15.5" x14ac:dyDescent="0.35">
      <c r="A570" s="199">
        <v>2025</v>
      </c>
      <c r="B570" s="110" t="s">
        <v>5850</v>
      </c>
      <c r="C570" s="197">
        <v>2007</v>
      </c>
      <c r="D570" s="110" t="str">
        <f t="shared" si="5"/>
        <v>2025_2007</v>
      </c>
      <c r="E570" s="1226">
        <v>0.119634090625804</v>
      </c>
      <c r="F570" s="1227">
        <v>4.7660208217152757E-2</v>
      </c>
      <c r="G570" s="1227">
        <v>4.9539083137486601</v>
      </c>
      <c r="H570" s="1227">
        <v>0.64006285934401452</v>
      </c>
      <c r="I570" s="1227">
        <v>5.5110532394904502E-2</v>
      </c>
      <c r="J570" s="1227">
        <v>1.9470934431331207E-4</v>
      </c>
      <c r="K570" s="1227">
        <v>3.0000008603841399E-3</v>
      </c>
      <c r="L570" s="1228">
        <v>2.7915972255062298E-2</v>
      </c>
      <c r="M570" s="1229">
        <v>5.76023861204365E-2</v>
      </c>
      <c r="N570" s="1230">
        <v>2.0351323685324066E-4</v>
      </c>
    </row>
    <row r="571" spans="1:14" ht="15.5" x14ac:dyDescent="0.35">
      <c r="A571" s="199">
        <v>2025</v>
      </c>
      <c r="B571" s="110" t="s">
        <v>5850</v>
      </c>
      <c r="C571" s="110">
        <v>2008</v>
      </c>
      <c r="D571" s="110" t="str">
        <f t="shared" si="5"/>
        <v>2025_2008</v>
      </c>
      <c r="E571" s="1226">
        <v>0.119634090625804</v>
      </c>
      <c r="F571" s="1227">
        <v>4.7660208217152757E-2</v>
      </c>
      <c r="G571" s="1227">
        <v>4.9539083137486601</v>
      </c>
      <c r="H571" s="1227">
        <v>0.64006285934401452</v>
      </c>
      <c r="I571" s="1227">
        <v>5.5110532394904502E-2</v>
      </c>
      <c r="J571" s="1227">
        <v>1.9470934431331207E-4</v>
      </c>
      <c r="K571" s="1227">
        <v>3.0000008603841399E-3</v>
      </c>
      <c r="L571" s="1228">
        <v>2.7915972255062298E-2</v>
      </c>
      <c r="M571" s="1229">
        <v>5.76023861204365E-2</v>
      </c>
      <c r="N571" s="1230">
        <v>2.0351323685324066E-4</v>
      </c>
    </row>
    <row r="572" spans="1:14" ht="15.5" x14ac:dyDescent="0.35">
      <c r="A572" s="199">
        <v>2025</v>
      </c>
      <c r="B572" s="110" t="s">
        <v>5850</v>
      </c>
      <c r="C572" s="197">
        <v>2009</v>
      </c>
      <c r="D572" s="110" t="str">
        <f t="shared" si="5"/>
        <v>2025_2009</v>
      </c>
      <c r="E572" s="1226">
        <v>0.119634090625804</v>
      </c>
      <c r="F572" s="1227">
        <v>4.7660208217152757E-2</v>
      </c>
      <c r="G572" s="1227">
        <v>4.9539083137486601</v>
      </c>
      <c r="H572" s="1227">
        <v>0.64006285934401452</v>
      </c>
      <c r="I572" s="1227">
        <v>5.5110532394904502E-2</v>
      </c>
      <c r="J572" s="1227">
        <v>1.9470934431331207E-4</v>
      </c>
      <c r="K572" s="1227">
        <v>3.0000008603841399E-3</v>
      </c>
      <c r="L572" s="1228">
        <v>2.7915972255062298E-2</v>
      </c>
      <c r="M572" s="1229">
        <v>5.76023861204365E-2</v>
      </c>
      <c r="N572" s="1230">
        <v>2.0351323685324066E-4</v>
      </c>
    </row>
    <row r="573" spans="1:14" ht="15.5" x14ac:dyDescent="0.35">
      <c r="A573" s="199">
        <v>2025</v>
      </c>
      <c r="B573" s="110" t="s">
        <v>5850</v>
      </c>
      <c r="C573" s="110">
        <v>2010</v>
      </c>
      <c r="D573" s="110" t="str">
        <f t="shared" si="5"/>
        <v>2025_2010</v>
      </c>
      <c r="E573" s="1226">
        <v>0.119634090625804</v>
      </c>
      <c r="F573" s="1227">
        <v>4.7660208217152757E-2</v>
      </c>
      <c r="G573" s="1227">
        <v>4.9539083137486601</v>
      </c>
      <c r="H573" s="1227">
        <v>0.64006285934401452</v>
      </c>
      <c r="I573" s="1227">
        <v>5.5110532394904502E-2</v>
      </c>
      <c r="J573" s="1227">
        <v>1.9470934431331207E-4</v>
      </c>
      <c r="K573" s="1227">
        <v>3.0000008603841399E-3</v>
      </c>
      <c r="L573" s="1228">
        <v>2.7915972255062298E-2</v>
      </c>
      <c r="M573" s="1229">
        <v>5.76023861204365E-2</v>
      </c>
      <c r="N573" s="1230">
        <v>2.0351323685324066E-4</v>
      </c>
    </row>
    <row r="574" spans="1:14" ht="15.5" x14ac:dyDescent="0.35">
      <c r="A574" s="199">
        <v>2025</v>
      </c>
      <c r="B574" s="110" t="s">
        <v>5850</v>
      </c>
      <c r="C574" s="197">
        <v>2011</v>
      </c>
      <c r="D574" s="110" t="str">
        <f t="shared" si="5"/>
        <v>2025_2011</v>
      </c>
      <c r="E574" s="1231">
        <v>0.119634090625804</v>
      </c>
      <c r="F574" s="1232">
        <v>4.7660208217152757E-2</v>
      </c>
      <c r="G574" s="1232">
        <v>4.9539083137486601</v>
      </c>
      <c r="H574" s="1232">
        <v>0.64006285934401452</v>
      </c>
      <c r="I574" s="1232">
        <v>5.5110532394904502E-2</v>
      </c>
      <c r="J574" s="1232">
        <v>1.9470934431331207E-4</v>
      </c>
      <c r="K574" s="1232">
        <v>3.0000008603841399E-3</v>
      </c>
      <c r="L574" s="1233">
        <v>2.7915972255062298E-2</v>
      </c>
      <c r="M574" s="1234">
        <v>5.76023861204365E-2</v>
      </c>
      <c r="N574" s="1235">
        <v>2.0351323685324066E-4</v>
      </c>
    </row>
    <row r="575" spans="1:14" ht="15.5" x14ac:dyDescent="0.35">
      <c r="A575" s="199">
        <v>2025</v>
      </c>
      <c r="B575" s="110" t="s">
        <v>5850</v>
      </c>
      <c r="C575" s="110">
        <v>2012</v>
      </c>
      <c r="D575" s="110" t="str">
        <f t="shared" si="5"/>
        <v>2025_2012</v>
      </c>
      <c r="E575" s="1231">
        <v>2.37561301066611E-2</v>
      </c>
      <c r="F575" s="1232">
        <v>4.3037942328113192E-2</v>
      </c>
      <c r="G575" s="1232">
        <v>4.1873467208149497</v>
      </c>
      <c r="H575" s="1232">
        <v>0.50857664656149959</v>
      </c>
      <c r="I575" s="1232">
        <v>3.0837443210828801E-2</v>
      </c>
      <c r="J575" s="1232">
        <v>1.7523840988198006E-4</v>
      </c>
      <c r="K575" s="1232">
        <v>3.0000008603841399E-3</v>
      </c>
      <c r="L575" s="1233">
        <v>2.7915972255178799E-2</v>
      </c>
      <c r="M575" s="1234">
        <v>3.2231775553694803E-2</v>
      </c>
      <c r="N575" s="1235">
        <v>1.8316191316791576E-4</v>
      </c>
    </row>
    <row r="576" spans="1:14" ht="15.5" x14ac:dyDescent="0.35">
      <c r="A576" s="198">
        <v>2025</v>
      </c>
      <c r="B576" s="197" t="s">
        <v>5850</v>
      </c>
      <c r="C576" s="197">
        <v>2013</v>
      </c>
      <c r="D576" s="110" t="str">
        <f t="shared" si="5"/>
        <v>2025_2013</v>
      </c>
      <c r="E576" s="1231">
        <v>2.2956133984069999E-2</v>
      </c>
      <c r="F576" s="1232">
        <v>3.8734148095302026E-2</v>
      </c>
      <c r="G576" s="1232">
        <v>3.8423872643734902</v>
      </c>
      <c r="H576" s="1232">
        <v>0.45771898190535137</v>
      </c>
      <c r="I576" s="1232">
        <v>2.9005629092560999E-2</v>
      </c>
      <c r="J576" s="1232">
        <v>1.5771456889378268E-4</v>
      </c>
      <c r="K576" s="1232">
        <v>3.0000008603841399E-3</v>
      </c>
      <c r="L576" s="1233">
        <v>2.7915972255166299E-2</v>
      </c>
      <c r="M576" s="1234">
        <v>3.03171349295537E-2</v>
      </c>
      <c r="N576" s="1235">
        <v>1.6484572185112482E-4</v>
      </c>
    </row>
    <row r="577" spans="1:14" ht="15.5" x14ac:dyDescent="0.35">
      <c r="A577" s="198">
        <v>2025</v>
      </c>
      <c r="B577" s="197" t="s">
        <v>5850</v>
      </c>
      <c r="C577" s="197">
        <v>2014</v>
      </c>
      <c r="D577" s="110" t="str">
        <f t="shared" si="5"/>
        <v>2025_2014</v>
      </c>
      <c r="E577" s="1231">
        <v>1.12145319821325E-2</v>
      </c>
      <c r="F577" s="1232">
        <v>3.4860733285771779E-2</v>
      </c>
      <c r="G577" s="1232">
        <v>1.4913309413908</v>
      </c>
      <c r="H577" s="1232">
        <v>0.41194708371481575</v>
      </c>
      <c r="I577" s="1232">
        <v>3.2994175960656999E-2</v>
      </c>
      <c r="J577" s="1232">
        <v>1.4194311200440424E-4</v>
      </c>
      <c r="K577" s="1232">
        <v>3.0000008603841399E-3</v>
      </c>
      <c r="L577" s="1233">
        <v>2.7915972255060501E-2</v>
      </c>
      <c r="M577" s="1234">
        <v>3.4486026188110398E-2</v>
      </c>
      <c r="N577" s="1235">
        <v>1.4836114966601218E-4</v>
      </c>
    </row>
    <row r="578" spans="1:14" ht="15.5" x14ac:dyDescent="0.35">
      <c r="A578" s="198">
        <v>2025</v>
      </c>
      <c r="B578" s="197" t="s">
        <v>5850</v>
      </c>
      <c r="C578" s="197">
        <v>2015</v>
      </c>
      <c r="D578" s="110" t="str">
        <f t="shared" si="5"/>
        <v>2025_2015</v>
      </c>
      <c r="E578" s="1231">
        <v>1.09613031576311E-2</v>
      </c>
      <c r="F578" s="1232">
        <v>3.1374659957194517E-2</v>
      </c>
      <c r="G578" s="1232">
        <v>1.4626916195342501</v>
      </c>
      <c r="H578" s="1232">
        <v>0.37075237534333316</v>
      </c>
      <c r="I578" s="1232">
        <v>3.1706238947543201E-2</v>
      </c>
      <c r="J578" s="1232">
        <v>1.2774880080396346E-4</v>
      </c>
      <c r="K578" s="1232">
        <v>3.0000008603841399E-3</v>
      </c>
      <c r="L578" s="1233">
        <v>2.7915972255084201E-2</v>
      </c>
      <c r="M578" s="1234">
        <v>3.31398543783996E-2</v>
      </c>
      <c r="N578" s="1235">
        <v>1.3352503469941061E-4</v>
      </c>
    </row>
    <row r="579" spans="1:14" ht="15.5" x14ac:dyDescent="0.35">
      <c r="A579" s="198">
        <v>2025</v>
      </c>
      <c r="B579" s="197" t="s">
        <v>5850</v>
      </c>
      <c r="C579" s="197">
        <v>2016</v>
      </c>
      <c r="D579" s="110" t="str">
        <f t="shared" si="5"/>
        <v>2025_2016</v>
      </c>
      <c r="E579" s="1231">
        <v>1.06799377970656E-2</v>
      </c>
      <c r="F579" s="1232">
        <v>2.8237193961475119E-2</v>
      </c>
      <c r="G579" s="1232">
        <v>1.42943768142123</v>
      </c>
      <c r="H579" s="1232">
        <v>0.33367713780900055</v>
      </c>
      <c r="I579" s="1232">
        <v>3.02751978218786E-2</v>
      </c>
      <c r="J579" s="1232">
        <v>1.1497392072356735E-4</v>
      </c>
      <c r="K579" s="1232">
        <v>3.0000008603841399E-3</v>
      </c>
      <c r="L579" s="1233">
        <v>2.7915972255097999E-2</v>
      </c>
      <c r="M579" s="1234">
        <v>3.1644107923183298E-2</v>
      </c>
      <c r="N579" s="1235">
        <v>1.2017253122946978E-4</v>
      </c>
    </row>
    <row r="580" spans="1:14" ht="15.5" x14ac:dyDescent="0.35">
      <c r="A580" s="198">
        <v>2025</v>
      </c>
      <c r="B580" s="197" t="s">
        <v>5850</v>
      </c>
      <c r="C580" s="197">
        <v>2017</v>
      </c>
      <c r="D580" s="110" t="str">
        <f t="shared" si="5"/>
        <v>2025_2017</v>
      </c>
      <c r="E580" s="1231">
        <v>1.0575422850143E-2</v>
      </c>
      <c r="F580" s="1232">
        <v>2.541347456532737E-2</v>
      </c>
      <c r="G580" s="1232">
        <v>1.3904847694742299</v>
      </c>
      <c r="H580" s="1232">
        <v>0.30030942402809763</v>
      </c>
      <c r="I580" s="1232">
        <v>2.3402585618065502E-2</v>
      </c>
      <c r="J580" s="1232">
        <v>1.0347652865120964E-4</v>
      </c>
      <c r="K580" s="1232">
        <v>3.0000008603841399E-3</v>
      </c>
      <c r="L580" s="1233">
        <v>2.7915972255112598E-2</v>
      </c>
      <c r="M580" s="1234">
        <v>2.4460746692278799E-2</v>
      </c>
      <c r="N580" s="1235">
        <v>1.0815527810652179E-4</v>
      </c>
    </row>
    <row r="581" spans="1:14" ht="15.5" x14ac:dyDescent="0.35">
      <c r="A581" s="198">
        <v>2025</v>
      </c>
      <c r="B581" s="197" t="s">
        <v>5850</v>
      </c>
      <c r="C581" s="197">
        <v>2018</v>
      </c>
      <c r="D581" s="110" t="str">
        <f t="shared" si="5"/>
        <v>2025_2018</v>
      </c>
      <c r="E581" s="1231">
        <v>1.02210859054705E-2</v>
      </c>
      <c r="F581" s="1232">
        <v>2.5413474565327786E-2</v>
      </c>
      <c r="G581" s="1232">
        <v>1.3443250776839899</v>
      </c>
      <c r="H581" s="1232">
        <v>0.30030942402810257</v>
      </c>
      <c r="I581" s="1232">
        <v>2.1961177903781E-2</v>
      </c>
      <c r="J581" s="1232">
        <v>1.0347652865121133E-4</v>
      </c>
      <c r="K581" s="1232">
        <v>3.0000008603841399E-3</v>
      </c>
      <c r="L581" s="1233">
        <v>2.7915972255017098E-2</v>
      </c>
      <c r="M581" s="1234">
        <v>2.2954164917306299E-2</v>
      </c>
      <c r="N581" s="1235">
        <v>1.0815527810652355E-4</v>
      </c>
    </row>
    <row r="582" spans="1:14" ht="15.5" x14ac:dyDescent="0.35">
      <c r="A582" s="198">
        <v>2025</v>
      </c>
      <c r="B582" s="197" t="s">
        <v>5850</v>
      </c>
      <c r="C582" s="197">
        <v>2019</v>
      </c>
      <c r="D582" s="110" t="str">
        <f t="shared" si="5"/>
        <v>2025_2019</v>
      </c>
      <c r="E582" s="1231">
        <v>9.8667489607228796E-3</v>
      </c>
      <c r="F582" s="1232">
        <v>2.5413474565327603E-2</v>
      </c>
      <c r="G582" s="1232">
        <v>1.2945409948561299</v>
      </c>
      <c r="H582" s="1232">
        <v>0.30030942402810035</v>
      </c>
      <c r="I582" s="1232">
        <v>2.05197701888616E-2</v>
      </c>
      <c r="J582" s="1232">
        <v>1.0347652865121057E-4</v>
      </c>
      <c r="K582" s="1232">
        <v>3.0000008603841399E-3</v>
      </c>
      <c r="L582" s="1233">
        <v>2.7915972255213299E-2</v>
      </c>
      <c r="M582" s="1234">
        <v>2.14475831416703E-2</v>
      </c>
      <c r="N582" s="1235">
        <v>1.0815527810652275E-4</v>
      </c>
    </row>
    <row r="583" spans="1:14" ht="15.5" x14ac:dyDescent="0.35">
      <c r="A583" s="198">
        <v>2025</v>
      </c>
      <c r="B583" s="197" t="s">
        <v>5850</v>
      </c>
      <c r="C583" s="197">
        <v>2020</v>
      </c>
      <c r="D583" s="110" t="str">
        <f t="shared" si="5"/>
        <v>2025_2020</v>
      </c>
      <c r="E583" s="1231">
        <v>9.51241201608421E-3</v>
      </c>
      <c r="F583" s="1232">
        <v>2.5413474565327793E-2</v>
      </c>
      <c r="G583" s="1232">
        <v>1.24029371426577</v>
      </c>
      <c r="H583" s="1232">
        <v>0.30030942402810262</v>
      </c>
      <c r="I583" s="1232">
        <v>1.9078362474658401E-2</v>
      </c>
      <c r="J583" s="1232">
        <v>1.0347652865121136E-4</v>
      </c>
      <c r="K583" s="1232">
        <v>3.0000008603841399E-3</v>
      </c>
      <c r="L583" s="1233">
        <v>2.791597225511E-2</v>
      </c>
      <c r="M583" s="1234">
        <v>1.9941001366782798E-2</v>
      </c>
      <c r="N583" s="1235">
        <v>1.0815527810652358E-4</v>
      </c>
    </row>
    <row r="584" spans="1:14" ht="15.5" x14ac:dyDescent="0.35">
      <c r="A584" s="198">
        <v>2025</v>
      </c>
      <c r="B584" s="197" t="s">
        <v>5850</v>
      </c>
      <c r="C584" s="197">
        <v>2021</v>
      </c>
      <c r="D584" s="110" t="str">
        <f t="shared" si="5"/>
        <v>2025_2021</v>
      </c>
      <c r="E584" s="1231">
        <v>9.1580750713907196E-3</v>
      </c>
      <c r="F584" s="1232">
        <v>2.5413474565328303E-2</v>
      </c>
      <c r="G584" s="1232">
        <v>1.18037875889792</v>
      </c>
      <c r="H584" s="1232">
        <v>0.30030942402810867</v>
      </c>
      <c r="I584" s="1232">
        <v>1.76369547611363E-2</v>
      </c>
      <c r="J584" s="1232">
        <v>1.0347652865121343E-4</v>
      </c>
      <c r="K584" s="1232">
        <v>3.0000008603841399E-3</v>
      </c>
      <c r="L584" s="1233">
        <v>2.7915972254276101E-2</v>
      </c>
      <c r="M584" s="1234">
        <v>1.84344195926072E-2</v>
      </c>
      <c r="N584" s="1235">
        <v>1.0815527810652575E-4</v>
      </c>
    </row>
    <row r="585" spans="1:14" ht="15.5" x14ac:dyDescent="0.35">
      <c r="A585" s="198">
        <v>2025</v>
      </c>
      <c r="B585" s="197" t="s">
        <v>5850</v>
      </c>
      <c r="C585" s="197">
        <v>2022</v>
      </c>
      <c r="D585" s="110" t="str">
        <f t="shared" si="5"/>
        <v>2025_2022</v>
      </c>
      <c r="E585" s="1231">
        <v>8.8037381266679402E-3</v>
      </c>
      <c r="F585" s="1232">
        <v>2.5413474565327471E-2</v>
      </c>
      <c r="G585" s="1232">
        <v>1.1129612728470299</v>
      </c>
      <c r="H585" s="1232">
        <v>0.30030942402809879</v>
      </c>
      <c r="I585" s="1232">
        <v>1.6195547045423999E-2</v>
      </c>
      <c r="J585" s="1232">
        <v>1.0347652865121006E-4</v>
      </c>
      <c r="K585" s="1232">
        <v>3.0000008603841399E-3</v>
      </c>
      <c r="L585" s="1233">
        <v>2.79159722552813E-2</v>
      </c>
      <c r="M585" s="1234">
        <v>1.6927837816142498E-2</v>
      </c>
      <c r="N585" s="1235">
        <v>1.0815527810652221E-4</v>
      </c>
    </row>
    <row r="586" spans="1:14" ht="15.5" x14ac:dyDescent="0.35">
      <c r="A586" s="198">
        <v>2025</v>
      </c>
      <c r="B586" s="197" t="s">
        <v>5850</v>
      </c>
      <c r="C586" s="197">
        <v>2023</v>
      </c>
      <c r="D586" s="110" t="str">
        <f t="shared" si="5"/>
        <v>2025_2023</v>
      </c>
      <c r="E586" s="1231">
        <v>8.4494011819944096E-3</v>
      </c>
      <c r="F586" s="1232">
        <v>2.541347456532787E-2</v>
      </c>
      <c r="G586" s="1232">
        <v>0.98781025936112399</v>
      </c>
      <c r="H586" s="1232">
        <v>0.30030942402810357</v>
      </c>
      <c r="I586" s="1232">
        <v>1.40014174935187E-2</v>
      </c>
      <c r="J586" s="1232">
        <v>1.0347652865121167E-4</v>
      </c>
      <c r="K586" s="1232">
        <v>3.0000008603841399E-3</v>
      </c>
      <c r="L586" s="1233">
        <v>2.7915972255174601E-2</v>
      </c>
      <c r="M586" s="1234">
        <v>1.46344994622057E-2</v>
      </c>
      <c r="N586" s="1235">
        <v>1.081552781065239E-4</v>
      </c>
    </row>
    <row r="587" spans="1:14" ht="15.5" x14ac:dyDescent="0.35">
      <c r="A587" s="198">
        <v>2025</v>
      </c>
      <c r="B587" s="197" t="s">
        <v>5850</v>
      </c>
      <c r="C587" s="197">
        <v>2024</v>
      </c>
      <c r="D587" s="110" t="str">
        <f t="shared" ref="D587:D589" si="7">CONCATENATE(A587,"_",C587)</f>
        <v>2025_2024</v>
      </c>
      <c r="E587" s="1231">
        <v>8.0950642373425405E-3</v>
      </c>
      <c r="F587" s="1232">
        <v>2.5413474565327648E-2</v>
      </c>
      <c r="G587" s="1232">
        <v>0.89722392508470294</v>
      </c>
      <c r="H587" s="1232">
        <v>0.30030942402810096</v>
      </c>
      <c r="I587" s="1232">
        <v>1.27547118970434E-2</v>
      </c>
      <c r="J587" s="1232">
        <v>1.0347652865121076E-4</v>
      </c>
      <c r="K587" s="1232">
        <v>3.0000008603841399E-3</v>
      </c>
      <c r="L587" s="1233">
        <v>2.7915972254984E-2</v>
      </c>
      <c r="M587" s="1234">
        <v>1.33314233708319E-2</v>
      </c>
      <c r="N587" s="1235">
        <v>1.0815527810652296E-4</v>
      </c>
    </row>
    <row r="588" spans="1:14" ht="15.5" x14ac:dyDescent="0.35">
      <c r="A588" s="198">
        <v>2025</v>
      </c>
      <c r="B588" s="197" t="s">
        <v>5850</v>
      </c>
      <c r="C588" s="197">
        <v>2025</v>
      </c>
      <c r="D588" s="110" t="str">
        <f t="shared" si="7"/>
        <v>2025_2025</v>
      </c>
      <c r="E588" s="1231">
        <v>7.74098162022309E-3</v>
      </c>
      <c r="F588" s="1232">
        <v>2.5413477467993134E-2</v>
      </c>
      <c r="G588" s="1232">
        <v>0.67700786199595697</v>
      </c>
      <c r="H588" s="1232">
        <v>0.12056502201241946</v>
      </c>
      <c r="I588" s="1232">
        <v>1.1530812166958899E-2</v>
      </c>
      <c r="J588" s="1232">
        <v>1.0347654047004869E-4</v>
      </c>
      <c r="K588" s="1232">
        <v>3.0000008603837999E-3</v>
      </c>
      <c r="L588" s="1233">
        <v>2.79143190691774E-2</v>
      </c>
      <c r="M588" s="1234">
        <v>1.20521843259276E-2</v>
      </c>
      <c r="N588" s="1235">
        <v>1.0815529045975687E-4</v>
      </c>
    </row>
    <row r="589" spans="1:14" ht="15.5" x14ac:dyDescent="0.35">
      <c r="A589" s="198">
        <v>2025</v>
      </c>
      <c r="B589" s="197" t="s">
        <v>5850</v>
      </c>
      <c r="C589" s="197">
        <v>2026</v>
      </c>
      <c r="D589" s="110" t="str">
        <f t="shared" si="7"/>
        <v>2025_2026</v>
      </c>
      <c r="E589" s="1231">
        <v>7.3852447450803004E-3</v>
      </c>
      <c r="F589" s="1232">
        <v>6.0992306062906523E-2</v>
      </c>
      <c r="G589" s="1232">
        <v>0.49978268604299397</v>
      </c>
      <c r="H589" s="1232">
        <v>0.2893558637271853</v>
      </c>
      <c r="I589" s="1232">
        <v>1.03216787198452E-2</v>
      </c>
      <c r="J589" s="1232">
        <v>2.4834353482826831E-4</v>
      </c>
      <c r="K589" s="1232">
        <v>3.0000008603857401E-3</v>
      </c>
      <c r="L589" s="1233">
        <v>3.0853488418368599E-2</v>
      </c>
      <c r="M589" s="1234">
        <v>1.0788379229785599E-2</v>
      </c>
      <c r="N589" s="1235">
        <v>2.5957252746508774E-4</v>
      </c>
    </row>
    <row r="590" spans="1:14" ht="15.5" x14ac:dyDescent="0.35">
      <c r="A590" s="198">
        <v>2026</v>
      </c>
      <c r="B590" s="197" t="s">
        <v>5850</v>
      </c>
      <c r="C590" s="197">
        <v>1971</v>
      </c>
      <c r="D590" s="110" t="str">
        <f t="shared" si="5"/>
        <v>2026_1971</v>
      </c>
      <c r="E590" s="1226">
        <v>0.122059838255183</v>
      </c>
      <c r="F590" s="1227">
        <v>5.2949177839999799E-2</v>
      </c>
      <c r="G590" s="1227">
        <v>5.0478239184899802</v>
      </c>
      <c r="H590" s="1227">
        <v>0.71109219694906312</v>
      </c>
      <c r="I590" s="1227">
        <v>5.6379008027192701E-2</v>
      </c>
      <c r="J590" s="1227">
        <v>2.163167154491131E-4</v>
      </c>
      <c r="K590" s="1227">
        <v>3.0000008603841399E-3</v>
      </c>
      <c r="L590" s="1228">
        <v>2.7915958268253199E-2</v>
      </c>
      <c r="M590" s="1229">
        <v>5.8928216592039499E-2</v>
      </c>
      <c r="N590" s="1230">
        <v>2.2609759743051318E-4</v>
      </c>
    </row>
    <row r="591" spans="1:14" ht="15.5" x14ac:dyDescent="0.35">
      <c r="A591" s="198">
        <v>2026</v>
      </c>
      <c r="B591" s="197" t="s">
        <v>5850</v>
      </c>
      <c r="C591" s="197">
        <v>1972</v>
      </c>
      <c r="D591" s="110" t="str">
        <f t="shared" si="5"/>
        <v>2026_1972</v>
      </c>
      <c r="E591" s="1226">
        <v>0.122059838255183</v>
      </c>
      <c r="F591" s="1227">
        <v>5.2949177839999799E-2</v>
      </c>
      <c r="G591" s="1227">
        <v>5.0478239184899802</v>
      </c>
      <c r="H591" s="1227">
        <v>0.71109219694906312</v>
      </c>
      <c r="I591" s="1227">
        <v>5.6379008027192701E-2</v>
      </c>
      <c r="J591" s="1227">
        <v>2.163167154491131E-4</v>
      </c>
      <c r="K591" s="1227">
        <v>3.0000008603841399E-3</v>
      </c>
      <c r="L591" s="1228">
        <v>2.7915958268253199E-2</v>
      </c>
      <c r="M591" s="1229">
        <v>5.8928216592039499E-2</v>
      </c>
      <c r="N591" s="1230">
        <v>2.2609759743051318E-4</v>
      </c>
    </row>
    <row r="592" spans="1:14" ht="15.5" x14ac:dyDescent="0.35">
      <c r="A592" s="198">
        <v>2026</v>
      </c>
      <c r="B592" s="197" t="s">
        <v>5850</v>
      </c>
      <c r="C592" s="197">
        <v>1973</v>
      </c>
      <c r="D592" s="110" t="str">
        <f t="shared" si="5"/>
        <v>2026_1973</v>
      </c>
      <c r="E592" s="1226">
        <v>0.122059838255183</v>
      </c>
      <c r="F592" s="1227">
        <v>5.2949177839999799E-2</v>
      </c>
      <c r="G592" s="1227">
        <v>5.0478239184899802</v>
      </c>
      <c r="H592" s="1227">
        <v>0.71109219694906312</v>
      </c>
      <c r="I592" s="1227">
        <v>5.6379008027192701E-2</v>
      </c>
      <c r="J592" s="1227">
        <v>2.163167154491131E-4</v>
      </c>
      <c r="K592" s="1227">
        <v>3.0000008603841399E-3</v>
      </c>
      <c r="L592" s="1228">
        <v>2.7915958268253199E-2</v>
      </c>
      <c r="M592" s="1229">
        <v>5.8928216592039499E-2</v>
      </c>
      <c r="N592" s="1230">
        <v>2.2609759743051318E-4</v>
      </c>
    </row>
    <row r="593" spans="1:14" ht="15.5" x14ac:dyDescent="0.35">
      <c r="A593" s="198">
        <v>2026</v>
      </c>
      <c r="B593" s="197" t="s">
        <v>5850</v>
      </c>
      <c r="C593" s="197">
        <v>1974</v>
      </c>
      <c r="D593" s="110" t="str">
        <f t="shared" si="5"/>
        <v>2026_1974</v>
      </c>
      <c r="E593" s="1226">
        <v>0.122059838255183</v>
      </c>
      <c r="F593" s="1227">
        <v>5.2949177839999799E-2</v>
      </c>
      <c r="G593" s="1227">
        <v>5.0478239184899802</v>
      </c>
      <c r="H593" s="1227">
        <v>0.71109219694906312</v>
      </c>
      <c r="I593" s="1227">
        <v>5.6379008027192701E-2</v>
      </c>
      <c r="J593" s="1227">
        <v>2.163167154491131E-4</v>
      </c>
      <c r="K593" s="1227">
        <v>3.0000008603841399E-3</v>
      </c>
      <c r="L593" s="1228">
        <v>2.7915958268253199E-2</v>
      </c>
      <c r="M593" s="1229">
        <v>5.8928216592039499E-2</v>
      </c>
      <c r="N593" s="1230">
        <v>2.2609759743051318E-4</v>
      </c>
    </row>
    <row r="594" spans="1:14" ht="15.5" x14ac:dyDescent="0.35">
      <c r="A594" s="198">
        <v>2026</v>
      </c>
      <c r="B594" s="197" t="s">
        <v>5850</v>
      </c>
      <c r="C594" s="197">
        <v>1975</v>
      </c>
      <c r="D594" s="110" t="str">
        <f t="shared" si="5"/>
        <v>2026_1975</v>
      </c>
      <c r="E594" s="1226">
        <v>0.122059838255183</v>
      </c>
      <c r="F594" s="1227">
        <v>5.2949177839999799E-2</v>
      </c>
      <c r="G594" s="1227">
        <v>5.0478239184899802</v>
      </c>
      <c r="H594" s="1227">
        <v>0.71109219694906312</v>
      </c>
      <c r="I594" s="1227">
        <v>5.6379008027192701E-2</v>
      </c>
      <c r="J594" s="1227">
        <v>2.163167154491131E-4</v>
      </c>
      <c r="K594" s="1227">
        <v>3.0000008603841399E-3</v>
      </c>
      <c r="L594" s="1228">
        <v>2.7915958268253199E-2</v>
      </c>
      <c r="M594" s="1229">
        <v>5.8928216592039499E-2</v>
      </c>
      <c r="N594" s="1230">
        <v>2.2609759743051318E-4</v>
      </c>
    </row>
    <row r="595" spans="1:14" ht="15.5" x14ac:dyDescent="0.35">
      <c r="A595" s="198">
        <v>2026</v>
      </c>
      <c r="B595" s="197" t="s">
        <v>5850</v>
      </c>
      <c r="C595" s="197">
        <v>1976</v>
      </c>
      <c r="D595" s="110" t="str">
        <f t="shared" si="5"/>
        <v>2026_1976</v>
      </c>
      <c r="E595" s="1226">
        <v>0.122059838255183</v>
      </c>
      <c r="F595" s="1227">
        <v>5.2949177839999799E-2</v>
      </c>
      <c r="G595" s="1227">
        <v>5.0478239184899802</v>
      </c>
      <c r="H595" s="1227">
        <v>0.71109219694906312</v>
      </c>
      <c r="I595" s="1227">
        <v>5.6379008027192701E-2</v>
      </c>
      <c r="J595" s="1227">
        <v>2.163167154491131E-4</v>
      </c>
      <c r="K595" s="1227">
        <v>3.0000008603841399E-3</v>
      </c>
      <c r="L595" s="1228">
        <v>2.7915958268253199E-2</v>
      </c>
      <c r="M595" s="1229">
        <v>5.8928216592039499E-2</v>
      </c>
      <c r="N595" s="1230">
        <v>2.2609759743051318E-4</v>
      </c>
    </row>
    <row r="596" spans="1:14" ht="15.5" x14ac:dyDescent="0.35">
      <c r="A596" s="198">
        <v>2026</v>
      </c>
      <c r="B596" s="197" t="s">
        <v>5850</v>
      </c>
      <c r="C596" s="197">
        <v>1977</v>
      </c>
      <c r="D596" s="110" t="str">
        <f t="shared" si="5"/>
        <v>2026_1977</v>
      </c>
      <c r="E596" s="1226">
        <v>0.122059838255183</v>
      </c>
      <c r="F596" s="1227">
        <v>5.2949177839999799E-2</v>
      </c>
      <c r="G596" s="1227">
        <v>5.0478239184899802</v>
      </c>
      <c r="H596" s="1227">
        <v>0.71109219694906312</v>
      </c>
      <c r="I596" s="1227">
        <v>5.6379008027192701E-2</v>
      </c>
      <c r="J596" s="1227">
        <v>2.163167154491131E-4</v>
      </c>
      <c r="K596" s="1227">
        <v>3.0000008603841399E-3</v>
      </c>
      <c r="L596" s="1228">
        <v>2.7915958268253199E-2</v>
      </c>
      <c r="M596" s="1229">
        <v>5.8928216592039499E-2</v>
      </c>
      <c r="N596" s="1230">
        <v>2.2609759743051318E-4</v>
      </c>
    </row>
    <row r="597" spans="1:14" ht="15.5" x14ac:dyDescent="0.35">
      <c r="A597" s="198">
        <v>2026</v>
      </c>
      <c r="B597" s="197" t="s">
        <v>5850</v>
      </c>
      <c r="C597" s="197">
        <v>1978</v>
      </c>
      <c r="D597" s="110" t="str">
        <f t="shared" si="5"/>
        <v>2026_1978</v>
      </c>
      <c r="E597" s="1226">
        <v>0.122059838255183</v>
      </c>
      <c r="F597" s="1227">
        <v>5.2949177839999799E-2</v>
      </c>
      <c r="G597" s="1227">
        <v>5.0478239184899802</v>
      </c>
      <c r="H597" s="1227">
        <v>0.71109219694906312</v>
      </c>
      <c r="I597" s="1227">
        <v>5.6379008027192701E-2</v>
      </c>
      <c r="J597" s="1227">
        <v>2.163167154491131E-4</v>
      </c>
      <c r="K597" s="1227">
        <v>3.0000008603841399E-3</v>
      </c>
      <c r="L597" s="1228">
        <v>2.7915958268253199E-2</v>
      </c>
      <c r="M597" s="1229">
        <v>5.8928216592039499E-2</v>
      </c>
      <c r="N597" s="1230">
        <v>2.2609759743051318E-4</v>
      </c>
    </row>
    <row r="598" spans="1:14" ht="15.5" x14ac:dyDescent="0.35">
      <c r="A598" s="198">
        <v>2026</v>
      </c>
      <c r="B598" s="197" t="s">
        <v>5850</v>
      </c>
      <c r="C598" s="197">
        <v>1979</v>
      </c>
      <c r="D598" s="110" t="str">
        <f t="shared" si="5"/>
        <v>2026_1979</v>
      </c>
      <c r="E598" s="1226">
        <v>0.122059838255183</v>
      </c>
      <c r="F598" s="1227">
        <v>5.2949177839999799E-2</v>
      </c>
      <c r="G598" s="1227">
        <v>5.0478239184899802</v>
      </c>
      <c r="H598" s="1227">
        <v>0.71109219694906312</v>
      </c>
      <c r="I598" s="1227">
        <v>5.6379008027192701E-2</v>
      </c>
      <c r="J598" s="1227">
        <v>2.163167154491131E-4</v>
      </c>
      <c r="K598" s="1227">
        <v>3.0000008603841399E-3</v>
      </c>
      <c r="L598" s="1228">
        <v>2.7915958268253199E-2</v>
      </c>
      <c r="M598" s="1229">
        <v>5.8928216592039499E-2</v>
      </c>
      <c r="N598" s="1230">
        <v>2.2609759743051318E-4</v>
      </c>
    </row>
    <row r="599" spans="1:14" ht="15.5" x14ac:dyDescent="0.35">
      <c r="A599" s="198">
        <v>2026</v>
      </c>
      <c r="B599" s="197" t="s">
        <v>5850</v>
      </c>
      <c r="C599" s="197">
        <v>1980</v>
      </c>
      <c r="D599" s="110" t="str">
        <f t="shared" si="5"/>
        <v>2026_1980</v>
      </c>
      <c r="E599" s="1226">
        <v>0.122059838255183</v>
      </c>
      <c r="F599" s="1227">
        <v>5.2949177839999799E-2</v>
      </c>
      <c r="G599" s="1227">
        <v>5.0478239184899802</v>
      </c>
      <c r="H599" s="1227">
        <v>0.71109219694906312</v>
      </c>
      <c r="I599" s="1227">
        <v>5.6379008027192701E-2</v>
      </c>
      <c r="J599" s="1227">
        <v>2.163167154491131E-4</v>
      </c>
      <c r="K599" s="1227">
        <v>3.0000008603841399E-3</v>
      </c>
      <c r="L599" s="1228">
        <v>2.7915958268253199E-2</v>
      </c>
      <c r="M599" s="1229">
        <v>5.8928216592039499E-2</v>
      </c>
      <c r="N599" s="1230">
        <v>2.2609759743051318E-4</v>
      </c>
    </row>
    <row r="600" spans="1:14" ht="15.5" x14ac:dyDescent="0.35">
      <c r="A600" s="198">
        <v>2026</v>
      </c>
      <c r="B600" s="197" t="s">
        <v>5850</v>
      </c>
      <c r="C600" s="197">
        <v>1981</v>
      </c>
      <c r="D600" s="110" t="str">
        <f t="shared" si="5"/>
        <v>2026_1981</v>
      </c>
      <c r="E600" s="1226">
        <v>0.122059838255183</v>
      </c>
      <c r="F600" s="1227">
        <v>5.2949177839999799E-2</v>
      </c>
      <c r="G600" s="1227">
        <v>5.0478239184899802</v>
      </c>
      <c r="H600" s="1227">
        <v>0.71109219694906312</v>
      </c>
      <c r="I600" s="1227">
        <v>5.6379008027192701E-2</v>
      </c>
      <c r="J600" s="1227">
        <v>2.163167154491131E-4</v>
      </c>
      <c r="K600" s="1227">
        <v>3.0000008603841399E-3</v>
      </c>
      <c r="L600" s="1228">
        <v>2.7915958268253199E-2</v>
      </c>
      <c r="M600" s="1229">
        <v>5.8928216592039499E-2</v>
      </c>
      <c r="N600" s="1230">
        <v>2.2609759743051318E-4</v>
      </c>
    </row>
    <row r="601" spans="1:14" ht="15.5" x14ac:dyDescent="0.35">
      <c r="A601" s="198">
        <v>2026</v>
      </c>
      <c r="B601" s="197" t="s">
        <v>5850</v>
      </c>
      <c r="C601" s="197">
        <v>1982</v>
      </c>
      <c r="D601" s="110" t="str">
        <f t="shared" si="5"/>
        <v>2026_1982</v>
      </c>
      <c r="E601" s="1226">
        <v>0.122059838255183</v>
      </c>
      <c r="F601" s="1227">
        <v>5.2949177839999799E-2</v>
      </c>
      <c r="G601" s="1227">
        <v>5.0478239184899802</v>
      </c>
      <c r="H601" s="1227">
        <v>0.71109219694906312</v>
      </c>
      <c r="I601" s="1227">
        <v>5.6379008027192701E-2</v>
      </c>
      <c r="J601" s="1227">
        <v>2.163167154491131E-4</v>
      </c>
      <c r="K601" s="1227">
        <v>3.0000008603841399E-3</v>
      </c>
      <c r="L601" s="1228">
        <v>2.7915958268253199E-2</v>
      </c>
      <c r="M601" s="1229">
        <v>5.8928216592039499E-2</v>
      </c>
      <c r="N601" s="1230">
        <v>2.2609759743051318E-4</v>
      </c>
    </row>
    <row r="602" spans="1:14" ht="15.5" x14ac:dyDescent="0.35">
      <c r="A602" s="198">
        <v>2026</v>
      </c>
      <c r="B602" s="197" t="s">
        <v>5850</v>
      </c>
      <c r="C602" s="197">
        <v>1983</v>
      </c>
      <c r="D602" s="110" t="str">
        <f t="shared" si="5"/>
        <v>2026_1983</v>
      </c>
      <c r="E602" s="1226">
        <v>0.122059838255183</v>
      </c>
      <c r="F602" s="1227">
        <v>5.2949177839999799E-2</v>
      </c>
      <c r="G602" s="1227">
        <v>5.0478239184899802</v>
      </c>
      <c r="H602" s="1227">
        <v>0.71109219694906312</v>
      </c>
      <c r="I602" s="1227">
        <v>5.6379008027192701E-2</v>
      </c>
      <c r="J602" s="1227">
        <v>2.163167154491131E-4</v>
      </c>
      <c r="K602" s="1227">
        <v>3.0000008603841399E-3</v>
      </c>
      <c r="L602" s="1228">
        <v>2.7915958268253199E-2</v>
      </c>
      <c r="M602" s="1229">
        <v>5.8928216592039499E-2</v>
      </c>
      <c r="N602" s="1230">
        <v>2.2609759743051318E-4</v>
      </c>
    </row>
    <row r="603" spans="1:14" ht="15.5" x14ac:dyDescent="0.35">
      <c r="A603" s="198">
        <v>2026</v>
      </c>
      <c r="B603" s="197" t="s">
        <v>5850</v>
      </c>
      <c r="C603" s="197">
        <v>1984</v>
      </c>
      <c r="D603" s="110" t="str">
        <f t="shared" si="5"/>
        <v>2026_1984</v>
      </c>
      <c r="E603" s="1226">
        <v>0.122059838255183</v>
      </c>
      <c r="F603" s="1227">
        <v>5.2949177839999799E-2</v>
      </c>
      <c r="G603" s="1227">
        <v>5.0478239184899802</v>
      </c>
      <c r="H603" s="1227">
        <v>0.71109219694906312</v>
      </c>
      <c r="I603" s="1227">
        <v>5.6379008027192701E-2</v>
      </c>
      <c r="J603" s="1227">
        <v>2.163167154491131E-4</v>
      </c>
      <c r="K603" s="1227">
        <v>3.0000008603841399E-3</v>
      </c>
      <c r="L603" s="1228">
        <v>2.7915958268253199E-2</v>
      </c>
      <c r="M603" s="1229">
        <v>5.8928216592039499E-2</v>
      </c>
      <c r="N603" s="1230">
        <v>2.2609759743051318E-4</v>
      </c>
    </row>
    <row r="604" spans="1:14" ht="15.5" x14ac:dyDescent="0.35">
      <c r="A604" s="198">
        <v>2026</v>
      </c>
      <c r="B604" s="197" t="s">
        <v>5850</v>
      </c>
      <c r="C604" s="197">
        <v>1985</v>
      </c>
      <c r="D604" s="110" t="str">
        <f t="shared" si="5"/>
        <v>2026_1985</v>
      </c>
      <c r="E604" s="1226">
        <v>0.122059838255183</v>
      </c>
      <c r="F604" s="1227">
        <v>5.2949177839999799E-2</v>
      </c>
      <c r="G604" s="1227">
        <v>5.0478239184899802</v>
      </c>
      <c r="H604" s="1227">
        <v>0.71109219694906312</v>
      </c>
      <c r="I604" s="1227">
        <v>5.6379008027192701E-2</v>
      </c>
      <c r="J604" s="1227">
        <v>2.163167154491131E-4</v>
      </c>
      <c r="K604" s="1227">
        <v>3.0000008603841399E-3</v>
      </c>
      <c r="L604" s="1228">
        <v>2.7915958268253199E-2</v>
      </c>
      <c r="M604" s="1229">
        <v>5.8928216592039499E-2</v>
      </c>
      <c r="N604" s="1230">
        <v>2.2609759743051318E-4</v>
      </c>
    </row>
    <row r="605" spans="1:14" ht="15.5" x14ac:dyDescent="0.35">
      <c r="A605" s="198">
        <v>2026</v>
      </c>
      <c r="B605" s="197" t="s">
        <v>5850</v>
      </c>
      <c r="C605" s="197">
        <v>1986</v>
      </c>
      <c r="D605" s="110" t="str">
        <f t="shared" si="5"/>
        <v>2026_1986</v>
      </c>
      <c r="E605" s="1226">
        <v>0.122059838255183</v>
      </c>
      <c r="F605" s="1227">
        <v>5.2949177839999799E-2</v>
      </c>
      <c r="G605" s="1227">
        <v>5.0478239184899802</v>
      </c>
      <c r="H605" s="1227">
        <v>0.71109219694906312</v>
      </c>
      <c r="I605" s="1227">
        <v>5.6379008027192701E-2</v>
      </c>
      <c r="J605" s="1227">
        <v>2.163167154491131E-4</v>
      </c>
      <c r="K605" s="1227">
        <v>3.0000008603841399E-3</v>
      </c>
      <c r="L605" s="1228">
        <v>2.7915958268253199E-2</v>
      </c>
      <c r="M605" s="1229">
        <v>5.8928216592039499E-2</v>
      </c>
      <c r="N605" s="1230">
        <v>2.2609759743051318E-4</v>
      </c>
    </row>
    <row r="606" spans="1:14" ht="15.5" x14ac:dyDescent="0.35">
      <c r="A606" s="198">
        <v>2026</v>
      </c>
      <c r="B606" s="197" t="s">
        <v>5850</v>
      </c>
      <c r="C606" s="197">
        <v>1987</v>
      </c>
      <c r="D606" s="110" t="str">
        <f t="shared" si="5"/>
        <v>2026_1987</v>
      </c>
      <c r="E606" s="1226">
        <v>0.122059838255183</v>
      </c>
      <c r="F606" s="1227">
        <v>5.2949177839999799E-2</v>
      </c>
      <c r="G606" s="1227">
        <v>5.0478239184899802</v>
      </c>
      <c r="H606" s="1227">
        <v>0.71109219694906312</v>
      </c>
      <c r="I606" s="1227">
        <v>5.6379008027192701E-2</v>
      </c>
      <c r="J606" s="1227">
        <v>2.163167154491131E-4</v>
      </c>
      <c r="K606" s="1227">
        <v>3.0000008603841399E-3</v>
      </c>
      <c r="L606" s="1228">
        <v>2.7915958268253199E-2</v>
      </c>
      <c r="M606" s="1229">
        <v>5.8928216592039499E-2</v>
      </c>
      <c r="N606" s="1230">
        <v>2.2609759743051318E-4</v>
      </c>
    </row>
    <row r="607" spans="1:14" ht="15.5" x14ac:dyDescent="0.35">
      <c r="A607" s="198">
        <v>2026</v>
      </c>
      <c r="B607" s="197" t="s">
        <v>5850</v>
      </c>
      <c r="C607" s="197">
        <v>1988</v>
      </c>
      <c r="D607" s="110" t="str">
        <f t="shared" si="5"/>
        <v>2026_1988</v>
      </c>
      <c r="E607" s="1226">
        <v>0.122059838255183</v>
      </c>
      <c r="F607" s="1227">
        <v>5.2949177839999799E-2</v>
      </c>
      <c r="G607" s="1227">
        <v>5.0478239184899802</v>
      </c>
      <c r="H607" s="1227">
        <v>0.71109219694906312</v>
      </c>
      <c r="I607" s="1227">
        <v>5.6379008027192701E-2</v>
      </c>
      <c r="J607" s="1227">
        <v>2.163167154491131E-4</v>
      </c>
      <c r="K607" s="1227">
        <v>3.0000008603841399E-3</v>
      </c>
      <c r="L607" s="1228">
        <v>2.7915958268253199E-2</v>
      </c>
      <c r="M607" s="1229">
        <v>5.8928216592039499E-2</v>
      </c>
      <c r="N607" s="1230">
        <v>2.2609759743051318E-4</v>
      </c>
    </row>
    <row r="608" spans="1:14" ht="15.5" x14ac:dyDescent="0.35">
      <c r="A608" s="198">
        <v>2026</v>
      </c>
      <c r="B608" s="197" t="s">
        <v>5850</v>
      </c>
      <c r="C608" s="197">
        <v>1989</v>
      </c>
      <c r="D608" s="110" t="str">
        <f t="shared" si="5"/>
        <v>2026_1989</v>
      </c>
      <c r="E608" s="1226">
        <v>0.122059838255183</v>
      </c>
      <c r="F608" s="1227">
        <v>5.2949177839999799E-2</v>
      </c>
      <c r="G608" s="1227">
        <v>5.0478239184899802</v>
      </c>
      <c r="H608" s="1227">
        <v>0.71109219694906312</v>
      </c>
      <c r="I608" s="1227">
        <v>5.6379008027192701E-2</v>
      </c>
      <c r="J608" s="1227">
        <v>2.163167154491131E-4</v>
      </c>
      <c r="K608" s="1227">
        <v>3.0000008603841399E-3</v>
      </c>
      <c r="L608" s="1228">
        <v>2.7915958268253199E-2</v>
      </c>
      <c r="M608" s="1229">
        <v>5.8928216592039499E-2</v>
      </c>
      <c r="N608" s="1230">
        <v>2.2609759743051318E-4</v>
      </c>
    </row>
    <row r="609" spans="1:14" ht="15.5" x14ac:dyDescent="0.35">
      <c r="A609" s="198">
        <v>2026</v>
      </c>
      <c r="B609" s="197" t="s">
        <v>5850</v>
      </c>
      <c r="C609" s="197">
        <v>1990</v>
      </c>
      <c r="D609" s="110" t="str">
        <f t="shared" si="5"/>
        <v>2026_1990</v>
      </c>
      <c r="E609" s="1226">
        <v>0.122059838255183</v>
      </c>
      <c r="F609" s="1227">
        <v>5.2949177839999799E-2</v>
      </c>
      <c r="G609" s="1227">
        <v>5.0478239184899802</v>
      </c>
      <c r="H609" s="1227">
        <v>0.71109219694906312</v>
      </c>
      <c r="I609" s="1227">
        <v>5.6379008027192701E-2</v>
      </c>
      <c r="J609" s="1227">
        <v>2.163167154491131E-4</v>
      </c>
      <c r="K609" s="1227">
        <v>3.0000008603841399E-3</v>
      </c>
      <c r="L609" s="1228">
        <v>2.7915958268253199E-2</v>
      </c>
      <c r="M609" s="1229">
        <v>5.8928216592039499E-2</v>
      </c>
      <c r="N609" s="1230">
        <v>2.2609759743051318E-4</v>
      </c>
    </row>
    <row r="610" spans="1:14" ht="15.5" x14ac:dyDescent="0.35">
      <c r="A610" s="198">
        <v>2026</v>
      </c>
      <c r="B610" s="197" t="s">
        <v>5850</v>
      </c>
      <c r="C610" s="197">
        <v>1991</v>
      </c>
      <c r="D610" s="110" t="str">
        <f t="shared" si="5"/>
        <v>2026_1991</v>
      </c>
      <c r="E610" s="1226">
        <v>0.122059838255183</v>
      </c>
      <c r="F610" s="1227">
        <v>5.2949177839999799E-2</v>
      </c>
      <c r="G610" s="1227">
        <v>5.0478239184899802</v>
      </c>
      <c r="H610" s="1227">
        <v>0.71109219694906312</v>
      </c>
      <c r="I610" s="1227">
        <v>5.6379008027192701E-2</v>
      </c>
      <c r="J610" s="1227">
        <v>2.163167154491131E-4</v>
      </c>
      <c r="K610" s="1227">
        <v>3.0000008603841399E-3</v>
      </c>
      <c r="L610" s="1228">
        <v>2.7915958268253199E-2</v>
      </c>
      <c r="M610" s="1229">
        <v>5.8928216592039499E-2</v>
      </c>
      <c r="N610" s="1230">
        <v>2.2609759743051318E-4</v>
      </c>
    </row>
    <row r="611" spans="1:14" ht="15.5" x14ac:dyDescent="0.35">
      <c r="A611" s="198">
        <v>2026</v>
      </c>
      <c r="B611" s="197" t="s">
        <v>5850</v>
      </c>
      <c r="C611" s="197">
        <v>1992</v>
      </c>
      <c r="D611" s="110" t="str">
        <f t="shared" si="5"/>
        <v>2026_1992</v>
      </c>
      <c r="E611" s="1226">
        <v>0.122059838255183</v>
      </c>
      <c r="F611" s="1227">
        <v>5.2949177839999799E-2</v>
      </c>
      <c r="G611" s="1227">
        <v>5.0478239184899802</v>
      </c>
      <c r="H611" s="1227">
        <v>0.71109219694906312</v>
      </c>
      <c r="I611" s="1227">
        <v>5.6379008027192701E-2</v>
      </c>
      <c r="J611" s="1227">
        <v>2.163167154491131E-4</v>
      </c>
      <c r="K611" s="1227">
        <v>3.0000008603841399E-3</v>
      </c>
      <c r="L611" s="1228">
        <v>2.7915958268253199E-2</v>
      </c>
      <c r="M611" s="1229">
        <v>5.8928216592039499E-2</v>
      </c>
      <c r="N611" s="1230">
        <v>2.2609759743051318E-4</v>
      </c>
    </row>
    <row r="612" spans="1:14" ht="15.5" x14ac:dyDescent="0.35">
      <c r="A612" s="198">
        <v>2026</v>
      </c>
      <c r="B612" s="197" t="s">
        <v>5850</v>
      </c>
      <c r="C612" s="197">
        <v>1993</v>
      </c>
      <c r="D612" s="110" t="str">
        <f t="shared" si="5"/>
        <v>2026_1993</v>
      </c>
      <c r="E612" s="1226">
        <v>0.122059838255183</v>
      </c>
      <c r="F612" s="1227">
        <v>5.2949177839999799E-2</v>
      </c>
      <c r="G612" s="1227">
        <v>5.0478239184899802</v>
      </c>
      <c r="H612" s="1227">
        <v>0.71109219694906312</v>
      </c>
      <c r="I612" s="1227">
        <v>5.6379008027192701E-2</v>
      </c>
      <c r="J612" s="1227">
        <v>2.163167154491131E-4</v>
      </c>
      <c r="K612" s="1227">
        <v>3.0000008603841399E-3</v>
      </c>
      <c r="L612" s="1228">
        <v>2.7915958268253199E-2</v>
      </c>
      <c r="M612" s="1229">
        <v>5.8928216592039499E-2</v>
      </c>
      <c r="N612" s="1230">
        <v>2.2609759743051318E-4</v>
      </c>
    </row>
    <row r="613" spans="1:14" ht="15.5" x14ac:dyDescent="0.35">
      <c r="A613" s="198">
        <v>2026</v>
      </c>
      <c r="B613" s="197" t="s">
        <v>5850</v>
      </c>
      <c r="C613" s="197">
        <v>1994</v>
      </c>
      <c r="D613" s="110" t="str">
        <f t="shared" si="5"/>
        <v>2026_1994</v>
      </c>
      <c r="E613" s="1226">
        <v>0.122059838255183</v>
      </c>
      <c r="F613" s="1227">
        <v>5.2949177839999799E-2</v>
      </c>
      <c r="G613" s="1227">
        <v>5.0478239184899802</v>
      </c>
      <c r="H613" s="1227">
        <v>0.71109219694906312</v>
      </c>
      <c r="I613" s="1227">
        <v>5.6379008027192701E-2</v>
      </c>
      <c r="J613" s="1227">
        <v>2.163167154491131E-4</v>
      </c>
      <c r="K613" s="1227">
        <v>3.0000008603841399E-3</v>
      </c>
      <c r="L613" s="1228">
        <v>2.7915958268253199E-2</v>
      </c>
      <c r="M613" s="1229">
        <v>5.8928216592039499E-2</v>
      </c>
      <c r="N613" s="1230">
        <v>2.2609759743051318E-4</v>
      </c>
    </row>
    <row r="614" spans="1:14" ht="15.5" x14ac:dyDescent="0.35">
      <c r="A614" s="198">
        <v>2026</v>
      </c>
      <c r="B614" s="197" t="s">
        <v>5850</v>
      </c>
      <c r="C614" s="197">
        <v>1995</v>
      </c>
      <c r="D614" s="110" t="str">
        <f t="shared" si="5"/>
        <v>2026_1995</v>
      </c>
      <c r="E614" s="1226">
        <v>0.122059838255183</v>
      </c>
      <c r="F614" s="1227">
        <v>5.2949177839999799E-2</v>
      </c>
      <c r="G614" s="1227">
        <v>5.0478239184899802</v>
      </c>
      <c r="H614" s="1227">
        <v>0.71109219694906312</v>
      </c>
      <c r="I614" s="1227">
        <v>5.6379008027192701E-2</v>
      </c>
      <c r="J614" s="1227">
        <v>2.163167154491131E-4</v>
      </c>
      <c r="K614" s="1227">
        <v>3.0000008603841399E-3</v>
      </c>
      <c r="L614" s="1228">
        <v>2.7915958268253199E-2</v>
      </c>
      <c r="M614" s="1229">
        <v>5.8928216592039499E-2</v>
      </c>
      <c r="N614" s="1230">
        <v>2.2609759743051318E-4</v>
      </c>
    </row>
    <row r="615" spans="1:14" ht="15.5" x14ac:dyDescent="0.35">
      <c r="A615" s="198">
        <v>2026</v>
      </c>
      <c r="B615" s="197" t="s">
        <v>5850</v>
      </c>
      <c r="C615" s="197">
        <v>1996</v>
      </c>
      <c r="D615" s="110" t="str">
        <f t="shared" si="5"/>
        <v>2026_1996</v>
      </c>
      <c r="E615" s="1226">
        <v>0.122059838255183</v>
      </c>
      <c r="F615" s="1227">
        <v>5.2949177839999799E-2</v>
      </c>
      <c r="G615" s="1227">
        <v>5.0478239184899802</v>
      </c>
      <c r="H615" s="1227">
        <v>0.71109219694906312</v>
      </c>
      <c r="I615" s="1227">
        <v>5.6379008027192701E-2</v>
      </c>
      <c r="J615" s="1227">
        <v>2.163167154491131E-4</v>
      </c>
      <c r="K615" s="1227">
        <v>3.0000008603841399E-3</v>
      </c>
      <c r="L615" s="1228">
        <v>2.7915958268253199E-2</v>
      </c>
      <c r="M615" s="1229">
        <v>5.8928216592039499E-2</v>
      </c>
      <c r="N615" s="1230">
        <v>2.2609759743051318E-4</v>
      </c>
    </row>
    <row r="616" spans="1:14" ht="15.5" x14ac:dyDescent="0.35">
      <c r="A616" s="198">
        <v>2026</v>
      </c>
      <c r="B616" s="197" t="s">
        <v>5850</v>
      </c>
      <c r="C616" s="197">
        <v>1997</v>
      </c>
      <c r="D616" s="110" t="str">
        <f t="shared" si="5"/>
        <v>2026_1997</v>
      </c>
      <c r="E616" s="1226">
        <v>0.122059838255183</v>
      </c>
      <c r="F616" s="1227">
        <v>5.2949177839999799E-2</v>
      </c>
      <c r="G616" s="1227">
        <v>5.0478239184899802</v>
      </c>
      <c r="H616" s="1227">
        <v>0.71109219694906312</v>
      </c>
      <c r="I616" s="1227">
        <v>5.6379008027192701E-2</v>
      </c>
      <c r="J616" s="1227">
        <v>2.163167154491131E-4</v>
      </c>
      <c r="K616" s="1227">
        <v>3.0000008603841399E-3</v>
      </c>
      <c r="L616" s="1228">
        <v>2.7915958268253199E-2</v>
      </c>
      <c r="M616" s="1229">
        <v>5.8928216592039499E-2</v>
      </c>
      <c r="N616" s="1230">
        <v>2.2609759743051318E-4</v>
      </c>
    </row>
    <row r="617" spans="1:14" ht="15.5" x14ac:dyDescent="0.35">
      <c r="A617" s="198">
        <v>2026</v>
      </c>
      <c r="B617" s="197" t="s">
        <v>5850</v>
      </c>
      <c r="C617" s="197">
        <v>1998</v>
      </c>
      <c r="D617" s="110" t="str">
        <f t="shared" si="5"/>
        <v>2026_1998</v>
      </c>
      <c r="E617" s="1226">
        <v>0.122059838255183</v>
      </c>
      <c r="F617" s="1227">
        <v>5.2949177839999799E-2</v>
      </c>
      <c r="G617" s="1227">
        <v>5.0478239184899802</v>
      </c>
      <c r="H617" s="1227">
        <v>0.71109219694906312</v>
      </c>
      <c r="I617" s="1227">
        <v>5.6379008027192701E-2</v>
      </c>
      <c r="J617" s="1227">
        <v>2.163167154491131E-4</v>
      </c>
      <c r="K617" s="1227">
        <v>3.0000008603841399E-3</v>
      </c>
      <c r="L617" s="1228">
        <v>2.7915958268253199E-2</v>
      </c>
      <c r="M617" s="1229">
        <v>5.8928216592039499E-2</v>
      </c>
      <c r="N617" s="1230">
        <v>2.2609759743051318E-4</v>
      </c>
    </row>
    <row r="618" spans="1:14" ht="15.5" x14ac:dyDescent="0.35">
      <c r="A618" s="198">
        <v>2026</v>
      </c>
      <c r="B618" s="197" t="s">
        <v>5850</v>
      </c>
      <c r="C618" s="197">
        <v>1999</v>
      </c>
      <c r="D618" s="110" t="str">
        <f t="shared" si="5"/>
        <v>2026_1999</v>
      </c>
      <c r="E618" s="1226">
        <v>0.122059838255183</v>
      </c>
      <c r="F618" s="1227">
        <v>5.2949177839999799E-2</v>
      </c>
      <c r="G618" s="1227">
        <v>5.0478239184899802</v>
      </c>
      <c r="H618" s="1227">
        <v>0.71109219694906312</v>
      </c>
      <c r="I618" s="1227">
        <v>5.6379008027192701E-2</v>
      </c>
      <c r="J618" s="1227">
        <v>2.163167154491131E-4</v>
      </c>
      <c r="K618" s="1227">
        <v>3.0000008603841399E-3</v>
      </c>
      <c r="L618" s="1228">
        <v>2.7915958268253199E-2</v>
      </c>
      <c r="M618" s="1229">
        <v>5.8928216592039499E-2</v>
      </c>
      <c r="N618" s="1230">
        <v>2.2609759743051318E-4</v>
      </c>
    </row>
    <row r="619" spans="1:14" ht="15.5" x14ac:dyDescent="0.35">
      <c r="A619" s="198">
        <v>2026</v>
      </c>
      <c r="B619" s="197" t="s">
        <v>5850</v>
      </c>
      <c r="C619" s="197">
        <v>2000</v>
      </c>
      <c r="D619" s="110" t="str">
        <f t="shared" si="5"/>
        <v>2026_2000</v>
      </c>
      <c r="E619" s="1226">
        <v>0.122059838255183</v>
      </c>
      <c r="F619" s="1227">
        <v>5.2949177839999799E-2</v>
      </c>
      <c r="G619" s="1227">
        <v>5.0478239184899802</v>
      </c>
      <c r="H619" s="1227">
        <v>0.71109219694906312</v>
      </c>
      <c r="I619" s="1227">
        <v>5.6379008027192701E-2</v>
      </c>
      <c r="J619" s="1227">
        <v>2.163167154491131E-4</v>
      </c>
      <c r="K619" s="1227">
        <v>3.0000008603841399E-3</v>
      </c>
      <c r="L619" s="1228">
        <v>2.7915958268253199E-2</v>
      </c>
      <c r="M619" s="1229">
        <v>5.8928216592039499E-2</v>
      </c>
      <c r="N619" s="1230">
        <v>2.2609759743051318E-4</v>
      </c>
    </row>
    <row r="620" spans="1:14" ht="15.5" x14ac:dyDescent="0.35">
      <c r="A620" s="198">
        <v>2026</v>
      </c>
      <c r="B620" s="197" t="s">
        <v>5850</v>
      </c>
      <c r="C620" s="197">
        <v>2001</v>
      </c>
      <c r="D620" s="110" t="str">
        <f t="shared" si="5"/>
        <v>2026_2001</v>
      </c>
      <c r="E620" s="1226">
        <v>0.122059838255183</v>
      </c>
      <c r="F620" s="1227">
        <v>5.2949177839999799E-2</v>
      </c>
      <c r="G620" s="1227">
        <v>5.0478239184899802</v>
      </c>
      <c r="H620" s="1227">
        <v>0.71109219694906312</v>
      </c>
      <c r="I620" s="1227">
        <v>5.6379008027192701E-2</v>
      </c>
      <c r="J620" s="1227">
        <v>2.163167154491131E-4</v>
      </c>
      <c r="K620" s="1227">
        <v>3.0000008603841399E-3</v>
      </c>
      <c r="L620" s="1228">
        <v>2.7915958268253199E-2</v>
      </c>
      <c r="M620" s="1229">
        <v>5.8928216592039499E-2</v>
      </c>
      <c r="N620" s="1230">
        <v>2.2609759743051318E-4</v>
      </c>
    </row>
    <row r="621" spans="1:14" ht="15.5" x14ac:dyDescent="0.35">
      <c r="A621" s="198">
        <v>2026</v>
      </c>
      <c r="B621" s="197" t="s">
        <v>5850</v>
      </c>
      <c r="C621" s="197">
        <v>2002</v>
      </c>
      <c r="D621" s="110" t="str">
        <f t="shared" si="5"/>
        <v>2026_2002</v>
      </c>
      <c r="E621" s="1226">
        <v>0.122059838255183</v>
      </c>
      <c r="F621" s="1227">
        <v>5.2949177839999799E-2</v>
      </c>
      <c r="G621" s="1227">
        <v>5.0478239184899802</v>
      </c>
      <c r="H621" s="1227">
        <v>0.71109219694906312</v>
      </c>
      <c r="I621" s="1227">
        <v>5.6379008027192701E-2</v>
      </c>
      <c r="J621" s="1227">
        <v>2.163167154491131E-4</v>
      </c>
      <c r="K621" s="1227">
        <v>3.0000008603841399E-3</v>
      </c>
      <c r="L621" s="1228">
        <v>2.7915958268253199E-2</v>
      </c>
      <c r="M621" s="1229">
        <v>5.8928216592039499E-2</v>
      </c>
      <c r="N621" s="1230">
        <v>2.2609759743051318E-4</v>
      </c>
    </row>
    <row r="622" spans="1:14" ht="15.5" x14ac:dyDescent="0.35">
      <c r="A622" s="198">
        <v>2026</v>
      </c>
      <c r="B622" s="197" t="s">
        <v>5850</v>
      </c>
      <c r="C622" s="197">
        <v>2003</v>
      </c>
      <c r="D622" s="110" t="str">
        <f t="shared" si="5"/>
        <v>2026_2003</v>
      </c>
      <c r="E622" s="1226">
        <v>0.122059838255183</v>
      </c>
      <c r="F622" s="1227">
        <v>5.2949177839999799E-2</v>
      </c>
      <c r="G622" s="1227">
        <v>5.0478239184899802</v>
      </c>
      <c r="H622" s="1227">
        <v>0.71109219694906312</v>
      </c>
      <c r="I622" s="1227">
        <v>5.6379008027192701E-2</v>
      </c>
      <c r="J622" s="1227">
        <v>2.163167154491131E-4</v>
      </c>
      <c r="K622" s="1227">
        <v>3.0000008603841399E-3</v>
      </c>
      <c r="L622" s="1228">
        <v>2.7915958268253199E-2</v>
      </c>
      <c r="M622" s="1229">
        <v>5.8928216592039499E-2</v>
      </c>
      <c r="N622" s="1230">
        <v>2.2609759743051318E-4</v>
      </c>
    </row>
    <row r="623" spans="1:14" ht="15.5" x14ac:dyDescent="0.35">
      <c r="A623" s="198">
        <v>2026</v>
      </c>
      <c r="B623" s="197" t="s">
        <v>5850</v>
      </c>
      <c r="C623" s="197">
        <v>2004</v>
      </c>
      <c r="D623" s="110" t="str">
        <f t="shared" si="5"/>
        <v>2026_2004</v>
      </c>
      <c r="E623" s="1226">
        <v>0.122059838255183</v>
      </c>
      <c r="F623" s="1227">
        <v>5.2949177839999799E-2</v>
      </c>
      <c r="G623" s="1227">
        <v>5.0478239184899802</v>
      </c>
      <c r="H623" s="1227">
        <v>0.71109219694906312</v>
      </c>
      <c r="I623" s="1227">
        <v>5.6379008027192701E-2</v>
      </c>
      <c r="J623" s="1227">
        <v>2.163167154491131E-4</v>
      </c>
      <c r="K623" s="1227">
        <v>3.0000008603841399E-3</v>
      </c>
      <c r="L623" s="1228">
        <v>2.7915958268253199E-2</v>
      </c>
      <c r="M623" s="1229">
        <v>5.8928216592039499E-2</v>
      </c>
      <c r="N623" s="1230">
        <v>2.2609759743051318E-4</v>
      </c>
    </row>
    <row r="624" spans="1:14" ht="15.5" x14ac:dyDescent="0.35">
      <c r="A624" s="198">
        <v>2026</v>
      </c>
      <c r="B624" s="197" t="s">
        <v>5850</v>
      </c>
      <c r="C624" s="197">
        <v>2005</v>
      </c>
      <c r="D624" s="110" t="str">
        <f t="shared" si="5"/>
        <v>2026_2005</v>
      </c>
      <c r="E624" s="1226">
        <v>0.122059838255183</v>
      </c>
      <c r="F624" s="1227">
        <v>5.2949177839999799E-2</v>
      </c>
      <c r="G624" s="1227">
        <v>5.0478239184899802</v>
      </c>
      <c r="H624" s="1227">
        <v>0.71109219694906312</v>
      </c>
      <c r="I624" s="1227">
        <v>5.6379008027192701E-2</v>
      </c>
      <c r="J624" s="1227">
        <v>2.163167154491131E-4</v>
      </c>
      <c r="K624" s="1227">
        <v>3.0000008603841399E-3</v>
      </c>
      <c r="L624" s="1228">
        <v>2.7915958268253199E-2</v>
      </c>
      <c r="M624" s="1229">
        <v>5.8928216592039499E-2</v>
      </c>
      <c r="N624" s="1230">
        <v>2.2609759743051318E-4</v>
      </c>
    </row>
    <row r="625" spans="1:14" ht="15.5" x14ac:dyDescent="0.35">
      <c r="A625" s="198">
        <v>2026</v>
      </c>
      <c r="B625" s="197" t="s">
        <v>5850</v>
      </c>
      <c r="C625" s="197">
        <v>2006</v>
      </c>
      <c r="D625" s="110" t="str">
        <f t="shared" si="5"/>
        <v>2026_2006</v>
      </c>
      <c r="E625" s="1226">
        <v>0.122059838255183</v>
      </c>
      <c r="F625" s="1227">
        <v>5.2949177839999799E-2</v>
      </c>
      <c r="G625" s="1227">
        <v>5.0478239184899802</v>
      </c>
      <c r="H625" s="1227">
        <v>0.71109219694906312</v>
      </c>
      <c r="I625" s="1227">
        <v>5.6379008027192701E-2</v>
      </c>
      <c r="J625" s="1227">
        <v>2.163167154491131E-4</v>
      </c>
      <c r="K625" s="1227">
        <v>3.0000008603841399E-3</v>
      </c>
      <c r="L625" s="1228">
        <v>2.7915958268253199E-2</v>
      </c>
      <c r="M625" s="1229">
        <v>5.8928216592039499E-2</v>
      </c>
      <c r="N625" s="1230">
        <v>2.2609759743051318E-4</v>
      </c>
    </row>
    <row r="626" spans="1:14" ht="15.5" x14ac:dyDescent="0.35">
      <c r="A626" s="198">
        <v>2026</v>
      </c>
      <c r="B626" s="197" t="s">
        <v>5850</v>
      </c>
      <c r="C626" s="197">
        <v>2007</v>
      </c>
      <c r="D626" s="110" t="str">
        <f t="shared" si="5"/>
        <v>2026_2007</v>
      </c>
      <c r="E626" s="1226">
        <v>0.122059838255183</v>
      </c>
      <c r="F626" s="1227">
        <v>5.2949177839999799E-2</v>
      </c>
      <c r="G626" s="1227">
        <v>5.0478239184899802</v>
      </c>
      <c r="H626" s="1227">
        <v>0.71109219694906312</v>
      </c>
      <c r="I626" s="1227">
        <v>5.6379008027192701E-2</v>
      </c>
      <c r="J626" s="1227">
        <v>2.163167154491131E-4</v>
      </c>
      <c r="K626" s="1227">
        <v>3.0000008603841399E-3</v>
      </c>
      <c r="L626" s="1228">
        <v>2.7915958268253199E-2</v>
      </c>
      <c r="M626" s="1229">
        <v>5.8928216592039499E-2</v>
      </c>
      <c r="N626" s="1230">
        <v>2.2609759743051318E-4</v>
      </c>
    </row>
    <row r="627" spans="1:14" ht="15.5" x14ac:dyDescent="0.35">
      <c r="A627" s="198">
        <v>2026</v>
      </c>
      <c r="B627" s="197" t="s">
        <v>5850</v>
      </c>
      <c r="C627" s="197">
        <v>2008</v>
      </c>
      <c r="D627" s="110" t="str">
        <f t="shared" si="5"/>
        <v>2026_2008</v>
      </c>
      <c r="E627" s="1226">
        <v>0.122059838255183</v>
      </c>
      <c r="F627" s="1227">
        <v>5.2949177839999799E-2</v>
      </c>
      <c r="G627" s="1227">
        <v>5.0478239184899802</v>
      </c>
      <c r="H627" s="1227">
        <v>0.71109219694906312</v>
      </c>
      <c r="I627" s="1227">
        <v>5.6379008027192701E-2</v>
      </c>
      <c r="J627" s="1227">
        <v>2.163167154491131E-4</v>
      </c>
      <c r="K627" s="1227">
        <v>3.0000008603841399E-3</v>
      </c>
      <c r="L627" s="1228">
        <v>2.7915958268253199E-2</v>
      </c>
      <c r="M627" s="1229">
        <v>5.8928216592039499E-2</v>
      </c>
      <c r="N627" s="1230">
        <v>2.2609759743051318E-4</v>
      </c>
    </row>
    <row r="628" spans="1:14" ht="15.5" x14ac:dyDescent="0.35">
      <c r="A628" s="198">
        <v>2026</v>
      </c>
      <c r="B628" s="197" t="s">
        <v>5850</v>
      </c>
      <c r="C628" s="197">
        <v>2009</v>
      </c>
      <c r="D628" s="110" t="str">
        <f t="shared" si="5"/>
        <v>2026_2009</v>
      </c>
      <c r="E628" s="1226">
        <v>0.122059838255183</v>
      </c>
      <c r="F628" s="1227">
        <v>5.2949177839999799E-2</v>
      </c>
      <c r="G628" s="1227">
        <v>5.0478239184899802</v>
      </c>
      <c r="H628" s="1227">
        <v>0.71109219694906312</v>
      </c>
      <c r="I628" s="1227">
        <v>5.6379008027192701E-2</v>
      </c>
      <c r="J628" s="1227">
        <v>2.163167154491131E-4</v>
      </c>
      <c r="K628" s="1227">
        <v>3.0000008603841399E-3</v>
      </c>
      <c r="L628" s="1228">
        <v>2.7915958268253199E-2</v>
      </c>
      <c r="M628" s="1229">
        <v>5.8928216592039499E-2</v>
      </c>
      <c r="N628" s="1230">
        <v>2.2609759743051318E-4</v>
      </c>
    </row>
    <row r="629" spans="1:14" ht="15.5" x14ac:dyDescent="0.35">
      <c r="A629" s="198">
        <v>2026</v>
      </c>
      <c r="B629" s="197" t="s">
        <v>5850</v>
      </c>
      <c r="C629" s="197">
        <v>2010</v>
      </c>
      <c r="D629" s="110" t="str">
        <f t="shared" si="5"/>
        <v>2026_2010</v>
      </c>
      <c r="E629" s="1226">
        <v>0.122059838255183</v>
      </c>
      <c r="F629" s="1227">
        <v>5.2949177839999799E-2</v>
      </c>
      <c r="G629" s="1227">
        <v>5.0478239184899802</v>
      </c>
      <c r="H629" s="1227">
        <v>0.71109219694906312</v>
      </c>
      <c r="I629" s="1227">
        <v>5.6379008027192701E-2</v>
      </c>
      <c r="J629" s="1227">
        <v>2.163167154491131E-4</v>
      </c>
      <c r="K629" s="1227">
        <v>3.0000008603841399E-3</v>
      </c>
      <c r="L629" s="1228">
        <v>2.7915958268253199E-2</v>
      </c>
      <c r="M629" s="1229">
        <v>5.8928216592039499E-2</v>
      </c>
      <c r="N629" s="1230">
        <v>2.2609759743051318E-4</v>
      </c>
    </row>
    <row r="630" spans="1:14" ht="15.5" x14ac:dyDescent="0.35">
      <c r="A630" s="198">
        <v>2026</v>
      </c>
      <c r="B630" s="197" t="s">
        <v>5850</v>
      </c>
      <c r="C630" s="197">
        <v>2011</v>
      </c>
      <c r="D630" s="110" t="str">
        <f t="shared" si="5"/>
        <v>2026_2011</v>
      </c>
      <c r="E630" s="1231">
        <v>0.122059838255183</v>
      </c>
      <c r="F630" s="1232">
        <v>5.2949177839999799E-2</v>
      </c>
      <c r="G630" s="1232">
        <v>5.0478239184899802</v>
      </c>
      <c r="H630" s="1232">
        <v>0.71109219694906312</v>
      </c>
      <c r="I630" s="1232">
        <v>5.6379008027192701E-2</v>
      </c>
      <c r="J630" s="1232">
        <v>2.163167154491131E-4</v>
      </c>
      <c r="K630" s="1232">
        <v>3.0000008603841399E-3</v>
      </c>
      <c r="L630" s="1233">
        <v>2.7915958268253199E-2</v>
      </c>
      <c r="M630" s="1234">
        <v>5.8928216592039499E-2</v>
      </c>
      <c r="N630" s="1235">
        <v>2.2609759743051318E-4</v>
      </c>
    </row>
    <row r="631" spans="1:14" ht="15.5" x14ac:dyDescent="0.35">
      <c r="A631" s="198">
        <v>2026</v>
      </c>
      <c r="B631" s="197" t="s">
        <v>5850</v>
      </c>
      <c r="C631" s="197">
        <v>2012</v>
      </c>
      <c r="D631" s="110" t="str">
        <f t="shared" si="5"/>
        <v>2026_2012</v>
      </c>
      <c r="E631" s="1231">
        <v>2.4241648031730401E-2</v>
      </c>
      <c r="F631" s="1232">
        <v>4.781396782439528E-2</v>
      </c>
      <c r="G631" s="1232">
        <v>4.2943771240994497</v>
      </c>
      <c r="H631" s="1232">
        <v>0.56501463823576037</v>
      </c>
      <c r="I631" s="1232">
        <v>3.17744336513269E-2</v>
      </c>
      <c r="J631" s="1232">
        <v>1.9468504390420096E-4</v>
      </c>
      <c r="K631" s="1232">
        <v>3.0000008603841399E-3</v>
      </c>
      <c r="L631" s="1233">
        <v>2.7915958268369699E-2</v>
      </c>
      <c r="M631" s="1234">
        <v>3.32111325440788E-2</v>
      </c>
      <c r="N631" s="1235">
        <v>2.0348783768746106E-4</v>
      </c>
    </row>
    <row r="632" spans="1:14" ht="15.5" x14ac:dyDescent="0.35">
      <c r="A632" s="198">
        <v>2026</v>
      </c>
      <c r="B632" s="197" t="s">
        <v>5850</v>
      </c>
      <c r="C632" s="197">
        <v>2013</v>
      </c>
      <c r="D632" s="110" t="str">
        <f t="shared" si="5"/>
        <v>2026_2013</v>
      </c>
      <c r="E632" s="1231">
        <v>2.3479191888472199E-2</v>
      </c>
      <c r="F632" s="1232">
        <v>4.303257104195584E-2</v>
      </c>
      <c r="G632" s="1232">
        <v>3.9534426458375802</v>
      </c>
      <c r="H632" s="1232">
        <v>0.50851317441218535</v>
      </c>
      <c r="I632" s="1232">
        <v>3.00094037707021E-2</v>
      </c>
      <c r="J632" s="1232">
        <v>1.7521653951378124E-4</v>
      </c>
      <c r="K632" s="1232">
        <v>3.0000008603841399E-3</v>
      </c>
      <c r="L632" s="1233">
        <v>2.7915958268357199E-2</v>
      </c>
      <c r="M632" s="1234">
        <v>3.1366295844456202E-2</v>
      </c>
      <c r="N632" s="1235">
        <v>1.8313905391871533E-4</v>
      </c>
    </row>
    <row r="633" spans="1:14" ht="15.5" x14ac:dyDescent="0.35">
      <c r="A633" s="198">
        <v>2026</v>
      </c>
      <c r="B633" s="197" t="s">
        <v>5850</v>
      </c>
      <c r="C633" s="197">
        <v>2014</v>
      </c>
      <c r="D633" s="110" t="str">
        <f t="shared" si="5"/>
        <v>2026_2014</v>
      </c>
      <c r="E633" s="1231">
        <v>1.14424341640361E-2</v>
      </c>
      <c r="F633" s="1232">
        <v>3.8729313937760301E-2</v>
      </c>
      <c r="G633" s="1232">
        <v>1.51616568093989</v>
      </c>
      <c r="H633" s="1232">
        <v>0.45766185697096728</v>
      </c>
      <c r="I633" s="1232">
        <v>3.4153357689577897E-2</v>
      </c>
      <c r="J633" s="1232">
        <v>1.576948855624033E-4</v>
      </c>
      <c r="K633" s="1232">
        <v>3.0000008603841399E-3</v>
      </c>
      <c r="L633" s="1233">
        <v>2.7915958268251499E-2</v>
      </c>
      <c r="M633" s="1234">
        <v>3.5697620971020499E-2</v>
      </c>
      <c r="N633" s="1235">
        <v>1.6482514852684396E-4</v>
      </c>
    </row>
    <row r="634" spans="1:14" ht="15.5" x14ac:dyDescent="0.35">
      <c r="A634" s="198">
        <v>2026</v>
      </c>
      <c r="B634" s="197" t="s">
        <v>5850</v>
      </c>
      <c r="C634" s="197">
        <v>2015</v>
      </c>
      <c r="D634" s="110" t="str">
        <f t="shared" si="5"/>
        <v>2026_2015</v>
      </c>
      <c r="E634" s="1231">
        <v>1.12145282968789E-2</v>
      </c>
      <c r="F634" s="1232">
        <v>3.4856382543984286E-2</v>
      </c>
      <c r="G634" s="1232">
        <v>1.4913306422872401</v>
      </c>
      <c r="H634" s="1232">
        <v>0.41189567127387072</v>
      </c>
      <c r="I634" s="1232">
        <v>3.2994213073910199E-2</v>
      </c>
      <c r="J634" s="1232">
        <v>1.4192539700616305E-4</v>
      </c>
      <c r="K634" s="1232">
        <v>3.0000008603841399E-3</v>
      </c>
      <c r="L634" s="1233">
        <v>2.7915958268275198E-2</v>
      </c>
      <c r="M634" s="1234">
        <v>3.4486064979460301E-2</v>
      </c>
      <c r="N634" s="1235">
        <v>1.4834263367415965E-4</v>
      </c>
    </row>
    <row r="635" spans="1:14" ht="15.5" x14ac:dyDescent="0.35">
      <c r="A635" s="198">
        <v>2026</v>
      </c>
      <c r="B635" s="197" t="s">
        <v>5850</v>
      </c>
      <c r="C635" s="197">
        <v>2016</v>
      </c>
      <c r="D635" s="110" t="str">
        <f t="shared" si="5"/>
        <v>2026_2016</v>
      </c>
      <c r="E635" s="1231">
        <v>1.0961299555584701E-2</v>
      </c>
      <c r="F635" s="1232">
        <v>3.1370744289585847E-2</v>
      </c>
      <c r="G635" s="1232">
        <v>1.46269132617292</v>
      </c>
      <c r="H635" s="1232">
        <v>0.37070610414648353</v>
      </c>
      <c r="I635" s="1232">
        <v>3.1706274612074301E-2</v>
      </c>
      <c r="J635" s="1232">
        <v>1.2773285730554668E-4</v>
      </c>
      <c r="K635" s="1232">
        <v>3.0000008603841399E-3</v>
      </c>
      <c r="L635" s="1233">
        <v>2.7915958268288899E-2</v>
      </c>
      <c r="M635" s="1234">
        <v>3.3139891655522502E-2</v>
      </c>
      <c r="N635" s="1235">
        <v>1.3350837030674364E-4</v>
      </c>
    </row>
    <row r="636" spans="1:14" ht="15.5" x14ac:dyDescent="0.35">
      <c r="A636" s="198">
        <v>2026</v>
      </c>
      <c r="B636" s="197" t="s">
        <v>5850</v>
      </c>
      <c r="C636" s="197">
        <v>2017</v>
      </c>
      <c r="D636" s="110" t="str">
        <f t="shared" si="5"/>
        <v>2026_2017</v>
      </c>
      <c r="E636" s="1231">
        <v>1.0894329128581799E-2</v>
      </c>
      <c r="F636" s="1232">
        <v>2.8233669860627142E-2</v>
      </c>
      <c r="G636" s="1232">
        <v>1.4294373947349399</v>
      </c>
      <c r="H636" s="1232">
        <v>0.33363549373183377</v>
      </c>
      <c r="I636" s="1232">
        <v>2.46998849661033E-2</v>
      </c>
      <c r="J636" s="1232">
        <v>1.1495957157499151E-4</v>
      </c>
      <c r="K636" s="1232">
        <v>3.0000008603841399E-3</v>
      </c>
      <c r="L636" s="1233">
        <v>2.7915958268303499E-2</v>
      </c>
      <c r="M636" s="1234">
        <v>2.5816704160154299E-2</v>
      </c>
      <c r="N636" s="1235">
        <v>1.2015753327606877E-4</v>
      </c>
    </row>
    <row r="637" spans="1:14" ht="15.5" x14ac:dyDescent="0.35">
      <c r="A637" s="198">
        <v>2026</v>
      </c>
      <c r="B637" s="197" t="s">
        <v>5850</v>
      </c>
      <c r="C637" s="197">
        <v>2018</v>
      </c>
      <c r="D637" s="110" t="str">
        <f t="shared" si="5"/>
        <v>2026_2018</v>
      </c>
      <c r="E637" s="1231">
        <v>1.0575425789735299E-2</v>
      </c>
      <c r="F637" s="1232">
        <v>2.5410302874564632E-2</v>
      </c>
      <c r="G637" s="1232">
        <v>1.3904844905938301</v>
      </c>
      <c r="H637" s="1232">
        <v>0.30027194435865218</v>
      </c>
      <c r="I637" s="1232">
        <v>2.3402616321327702E-2</v>
      </c>
      <c r="J637" s="1232">
        <v>1.0346361441749321E-4</v>
      </c>
      <c r="K637" s="1232">
        <v>3.0000008603841399E-3</v>
      </c>
      <c r="L637" s="1233">
        <v>2.7915958268207999E-2</v>
      </c>
      <c r="M637" s="1234">
        <v>2.4460778783806199E-2</v>
      </c>
      <c r="N637" s="1235">
        <v>1.0814177994846276E-4</v>
      </c>
    </row>
    <row r="638" spans="1:14" ht="15.5" x14ac:dyDescent="0.35">
      <c r="A638" s="198">
        <v>2026</v>
      </c>
      <c r="B638" s="197" t="s">
        <v>5850</v>
      </c>
      <c r="C638" s="197">
        <v>2019</v>
      </c>
      <c r="D638" s="110" t="str">
        <f t="shared" si="5"/>
        <v>2026_2019</v>
      </c>
      <c r="E638" s="1231">
        <v>1.0221088746493001E-2</v>
      </c>
      <c r="F638" s="1232">
        <v>2.5410302874564368E-2</v>
      </c>
      <c r="G638" s="1232">
        <v>1.34432480806424</v>
      </c>
      <c r="H638" s="1232">
        <v>0.30027194435864962</v>
      </c>
      <c r="I638" s="1232">
        <v>2.1961206715321001E-2</v>
      </c>
      <c r="J638" s="1232">
        <v>1.0346361441749213E-4</v>
      </c>
      <c r="K638" s="1232">
        <v>3.0000008603841399E-3</v>
      </c>
      <c r="L638" s="1233">
        <v>2.79159582684043E-2</v>
      </c>
      <c r="M638" s="1234">
        <v>2.2954195031576301E-2</v>
      </c>
      <c r="N638" s="1235">
        <v>1.0814177994846162E-4</v>
      </c>
    </row>
    <row r="639" spans="1:14" ht="15.5" x14ac:dyDescent="0.35">
      <c r="A639" s="198">
        <v>2026</v>
      </c>
      <c r="B639" s="197" t="s">
        <v>5850</v>
      </c>
      <c r="C639" s="197">
        <v>2020</v>
      </c>
      <c r="D639" s="110" t="str">
        <f t="shared" si="5"/>
        <v>2026_2020</v>
      </c>
      <c r="E639" s="1231">
        <v>9.8667517033636399E-3</v>
      </c>
      <c r="F639" s="1232">
        <v>2.5410302874564732E-2</v>
      </c>
      <c r="G639" s="1232">
        <v>1.2945407352230101</v>
      </c>
      <c r="H639" s="1232">
        <v>0.30027194435865401</v>
      </c>
      <c r="I639" s="1232">
        <v>2.051979711008E-2</v>
      </c>
      <c r="J639" s="1232">
        <v>1.034636144174936E-4</v>
      </c>
      <c r="K639" s="1232">
        <v>3.0000008603841399E-3</v>
      </c>
      <c r="L639" s="1233">
        <v>2.7915958268301001E-2</v>
      </c>
      <c r="M639" s="1234">
        <v>2.1447611280146699E-2</v>
      </c>
      <c r="N639" s="1235">
        <v>1.0814177994846319E-4</v>
      </c>
    </row>
    <row r="640" spans="1:14" ht="15.5" x14ac:dyDescent="0.35">
      <c r="A640" s="199">
        <v>2026</v>
      </c>
      <c r="B640" s="110" t="s">
        <v>5850</v>
      </c>
      <c r="C640" s="110">
        <v>2021</v>
      </c>
      <c r="D640" s="110" t="str">
        <f t="shared" si="5"/>
        <v>2026_2021</v>
      </c>
      <c r="E640" s="1231">
        <v>9.51241466017742E-3</v>
      </c>
      <c r="F640" s="1232">
        <v>2.5410302874565069E-2</v>
      </c>
      <c r="G640" s="1232">
        <v>1.2402934654695601</v>
      </c>
      <c r="H640" s="1232">
        <v>0.30027194435865795</v>
      </c>
      <c r="I640" s="1232">
        <v>1.90783875055789E-2</v>
      </c>
      <c r="J640" s="1232">
        <v>1.0346361441749497E-4</v>
      </c>
      <c r="K640" s="1232">
        <v>3.0000008603841399E-3</v>
      </c>
      <c r="L640" s="1233">
        <v>2.7915958267467001E-2</v>
      </c>
      <c r="M640" s="1234">
        <v>1.99410275294905E-2</v>
      </c>
      <c r="N640" s="1235">
        <v>1.081417799484646E-4</v>
      </c>
    </row>
    <row r="641" spans="1:14" ht="15.5" x14ac:dyDescent="0.35">
      <c r="A641" s="199">
        <v>2026</v>
      </c>
      <c r="B641" s="110" t="s">
        <v>5850</v>
      </c>
      <c r="C641" s="110">
        <v>2022</v>
      </c>
      <c r="D641" s="110" t="str">
        <f t="shared" si="5"/>
        <v>2026_2022</v>
      </c>
      <c r="E641" s="1231">
        <v>9.1580776169607001E-3</v>
      </c>
      <c r="F641" s="1232">
        <v>2.5410302874564361E-2</v>
      </c>
      <c r="G641" s="1232">
        <v>1.1803785221993299</v>
      </c>
      <c r="H641" s="1232">
        <v>0.30027194435864962</v>
      </c>
      <c r="I641" s="1232">
        <v>1.7636977898706701E-2</v>
      </c>
      <c r="J641" s="1232">
        <v>1.034636144174921E-4</v>
      </c>
      <c r="K641" s="1232">
        <v>3.0000008603841399E-3</v>
      </c>
      <c r="L641" s="1233">
        <v>2.79159582684722E-2</v>
      </c>
      <c r="M641" s="1234">
        <v>1.8434443776355901E-2</v>
      </c>
      <c r="N641" s="1235">
        <v>1.081417799484616E-4</v>
      </c>
    </row>
    <row r="642" spans="1:14" ht="15.5" x14ac:dyDescent="0.35">
      <c r="A642" s="199">
        <v>2026</v>
      </c>
      <c r="B642" s="110" t="s">
        <v>5850</v>
      </c>
      <c r="C642" s="110">
        <v>2023</v>
      </c>
      <c r="D642" s="110" t="str">
        <f t="shared" si="5"/>
        <v>2026_2023</v>
      </c>
      <c r="E642" s="1231">
        <v>8.8037405737951893E-3</v>
      </c>
      <c r="F642" s="1232">
        <v>2.5410302874564507E-2</v>
      </c>
      <c r="G642" s="1232">
        <v>1.0633526572304199</v>
      </c>
      <c r="H642" s="1232">
        <v>0.30027194435865129</v>
      </c>
      <c r="I642" s="1232">
        <v>1.5264426082296801E-2</v>
      </c>
      <c r="J642" s="1232">
        <v>1.034636144174927E-4</v>
      </c>
      <c r="K642" s="1232">
        <v>3.0000008603841399E-3</v>
      </c>
      <c r="L642" s="1233">
        <v>2.7915958268365501E-2</v>
      </c>
      <c r="M642" s="1234">
        <v>1.59546156948507E-2</v>
      </c>
      <c r="N642" s="1235">
        <v>1.0814177994846221E-4</v>
      </c>
    </row>
    <row r="643" spans="1:14" ht="15.5" x14ac:dyDescent="0.35">
      <c r="A643" s="199">
        <v>2026</v>
      </c>
      <c r="B643" s="110" t="s">
        <v>5850</v>
      </c>
      <c r="C643" s="110">
        <v>2024</v>
      </c>
      <c r="D643" s="110" t="str">
        <f t="shared" si="5"/>
        <v>2026_2024</v>
      </c>
      <c r="E643" s="1231">
        <v>8.4494035306523392E-3</v>
      </c>
      <c r="F643" s="1232">
        <v>2.5410302874564531E-2</v>
      </c>
      <c r="G643" s="1232">
        <v>0.98781006124206705</v>
      </c>
      <c r="H643" s="1232">
        <v>0.30027194435865162</v>
      </c>
      <c r="I643" s="1232">
        <v>1.40014358629591E-2</v>
      </c>
      <c r="J643" s="1232">
        <v>1.034636144174928E-4</v>
      </c>
      <c r="K643" s="1232">
        <v>3.0000008603841399E-3</v>
      </c>
      <c r="L643" s="1233">
        <v>2.79159582681749E-2</v>
      </c>
      <c r="M643" s="1234">
        <v>1.46345186622307E-2</v>
      </c>
      <c r="N643" s="1235">
        <v>1.0814177994846234E-4</v>
      </c>
    </row>
    <row r="644" spans="1:14" ht="15.5" x14ac:dyDescent="0.35">
      <c r="A644" s="199">
        <v>2026</v>
      </c>
      <c r="B644" s="110" t="s">
        <v>5850</v>
      </c>
      <c r="C644" s="110">
        <v>2025</v>
      </c>
      <c r="D644" s="110" t="str">
        <f t="shared" si="5"/>
        <v>2026_2025</v>
      </c>
      <c r="E644" s="1231">
        <v>8.09506648743929E-3</v>
      </c>
      <c r="F644" s="1232">
        <v>2.5410302874564392E-2</v>
      </c>
      <c r="G644" s="1232">
        <v>0.79002177365430504</v>
      </c>
      <c r="H644" s="1232">
        <v>0.12852249571322399</v>
      </c>
      <c r="I644" s="1232">
        <v>1.2754728630420899E-2</v>
      </c>
      <c r="J644" s="1232">
        <v>1.0346361441749223E-4</v>
      </c>
      <c r="K644" s="1232">
        <v>3.0000008603841399E-3</v>
      </c>
      <c r="L644" s="1233">
        <v>2.7915958268318799E-2</v>
      </c>
      <c r="M644" s="1234">
        <v>1.3331440860818399E-2</v>
      </c>
      <c r="N644" s="1235">
        <v>1.0814177994846174E-4</v>
      </c>
    </row>
    <row r="645" spans="1:14" ht="15.5" x14ac:dyDescent="0.35">
      <c r="A645" s="199">
        <v>2026</v>
      </c>
      <c r="B645" s="110" t="s">
        <v>5850</v>
      </c>
      <c r="C645" s="110">
        <v>2026</v>
      </c>
      <c r="D645" s="110" t="str">
        <f t="shared" si="5"/>
        <v>2026_2026</v>
      </c>
      <c r="E645" s="1231">
        <v>7.7409837861639099E-3</v>
      </c>
      <c r="F645" s="1232">
        <v>2.5410305231676932E-2</v>
      </c>
      <c r="G645" s="1232">
        <v>0.67700772585673696</v>
      </c>
      <c r="H645" s="1232">
        <v>0.12054997248833173</v>
      </c>
      <c r="I645" s="1232">
        <v>1.15308273794761E-2</v>
      </c>
      <c r="J645" s="1232">
        <v>1.0346362401499184E-4</v>
      </c>
      <c r="K645" s="1232">
        <v>3.0000008603837999E-3</v>
      </c>
      <c r="L645" s="1233">
        <v>3.0843067880200799E-2</v>
      </c>
      <c r="M645" s="1234">
        <v>1.20522002262873E-2</v>
      </c>
      <c r="N645" s="1235">
        <v>1.0814178997991825E-4</v>
      </c>
    </row>
    <row r="646" spans="1:14" ht="15.5" x14ac:dyDescent="0.35">
      <c r="A646" s="199">
        <v>2026</v>
      </c>
      <c r="B646" s="110" t="s">
        <v>5850</v>
      </c>
      <c r="C646" s="110">
        <v>2027</v>
      </c>
      <c r="D646" s="110" t="str">
        <f t="shared" ref="D646:D873" si="8">CONCATENATE(A646,"_",C646)</f>
        <v>2026_2027</v>
      </c>
      <c r="E646" s="1231">
        <v>7.3852467335327396E-3</v>
      </c>
      <c r="F646" s="1232">
        <v>6.0984700185775675E-2</v>
      </c>
      <c r="G646" s="1232">
        <v>0.49978258706425999</v>
      </c>
      <c r="H646" s="1232">
        <v>0.28931978040309642</v>
      </c>
      <c r="I646" s="1232">
        <v>1.03216919016513E-2</v>
      </c>
      <c r="J646" s="1232">
        <v>2.4831256583342172E-4</v>
      </c>
      <c r="K646" s="1232">
        <v>3.0000008603857401E-3</v>
      </c>
      <c r="L646" s="1233">
        <v>3.08534734134727E-2</v>
      </c>
      <c r="M646" s="1234">
        <v>1.07883930076145E-2</v>
      </c>
      <c r="N646" s="1235">
        <v>2.5954015818971702E-4</v>
      </c>
    </row>
    <row r="647" spans="1:14" ht="15.5" x14ac:dyDescent="0.35">
      <c r="A647" s="199">
        <v>2027</v>
      </c>
      <c r="B647" s="110" t="s">
        <v>5850</v>
      </c>
      <c r="C647" s="110">
        <v>1971</v>
      </c>
      <c r="D647" s="110" t="str">
        <f t="shared" si="8"/>
        <v>2027_1971</v>
      </c>
      <c r="E647" s="1226">
        <v>0.124140685056921</v>
      </c>
      <c r="F647" s="1227">
        <v>5.2947596883501244E-2</v>
      </c>
      <c r="G647" s="1227">
        <v>5.1247607781523401</v>
      </c>
      <c r="H647" s="1227">
        <v>0.71107096515896362</v>
      </c>
      <c r="I647" s="1227">
        <v>5.7266060122887798E-2</v>
      </c>
      <c r="J647" s="1227">
        <v>2.1631025666484139E-4</v>
      </c>
      <c r="K647" s="1227">
        <v>3.0000008603787501E-3</v>
      </c>
      <c r="L647" s="1228">
        <v>2.79506049958251E-2</v>
      </c>
      <c r="M647" s="1229">
        <v>5.98553772472665E-2</v>
      </c>
      <c r="N647" s="1230">
        <v>2.2609084660867745E-4</v>
      </c>
    </row>
    <row r="648" spans="1:14" ht="15.5" x14ac:dyDescent="0.35">
      <c r="A648" s="199">
        <v>2027</v>
      </c>
      <c r="B648" s="110" t="s">
        <v>5850</v>
      </c>
      <c r="C648" s="110">
        <v>1972</v>
      </c>
      <c r="D648" s="110" t="str">
        <f t="shared" si="8"/>
        <v>2027_1972</v>
      </c>
      <c r="E648" s="1226">
        <v>0.124140685056921</v>
      </c>
      <c r="F648" s="1227">
        <v>5.2947596883501244E-2</v>
      </c>
      <c r="G648" s="1227">
        <v>5.1247607781523401</v>
      </c>
      <c r="H648" s="1227">
        <v>0.71107096515896362</v>
      </c>
      <c r="I648" s="1227">
        <v>5.7266060122887798E-2</v>
      </c>
      <c r="J648" s="1227">
        <v>2.1631025666484139E-4</v>
      </c>
      <c r="K648" s="1227">
        <v>3.0000008603787501E-3</v>
      </c>
      <c r="L648" s="1228">
        <v>2.79506049958251E-2</v>
      </c>
      <c r="M648" s="1229">
        <v>5.98553772472665E-2</v>
      </c>
      <c r="N648" s="1230">
        <v>2.2609084660867745E-4</v>
      </c>
    </row>
    <row r="649" spans="1:14" ht="15.5" x14ac:dyDescent="0.35">
      <c r="A649" s="199">
        <v>2027</v>
      </c>
      <c r="B649" s="110" t="s">
        <v>5850</v>
      </c>
      <c r="C649" s="110">
        <v>1973</v>
      </c>
      <c r="D649" s="110" t="str">
        <f t="shared" si="8"/>
        <v>2027_1973</v>
      </c>
      <c r="E649" s="1226">
        <v>0.124140685056921</v>
      </c>
      <c r="F649" s="1227">
        <v>5.2947596883501244E-2</v>
      </c>
      <c r="G649" s="1227">
        <v>5.1247607781523401</v>
      </c>
      <c r="H649" s="1227">
        <v>0.71107096515896362</v>
      </c>
      <c r="I649" s="1227">
        <v>5.7266060122887798E-2</v>
      </c>
      <c r="J649" s="1227">
        <v>2.1631025666484139E-4</v>
      </c>
      <c r="K649" s="1227">
        <v>3.0000008603787501E-3</v>
      </c>
      <c r="L649" s="1228">
        <v>2.79506049958251E-2</v>
      </c>
      <c r="M649" s="1229">
        <v>5.98553772472665E-2</v>
      </c>
      <c r="N649" s="1230">
        <v>2.2609084660867745E-4</v>
      </c>
    </row>
    <row r="650" spans="1:14" ht="15.5" x14ac:dyDescent="0.35">
      <c r="A650" s="199">
        <v>2027</v>
      </c>
      <c r="B650" s="110" t="s">
        <v>5850</v>
      </c>
      <c r="C650" s="110">
        <v>1974</v>
      </c>
      <c r="D650" s="110" t="str">
        <f t="shared" si="8"/>
        <v>2027_1974</v>
      </c>
      <c r="E650" s="1226">
        <v>0.124140685056921</v>
      </c>
      <c r="F650" s="1227">
        <v>5.2947596883501244E-2</v>
      </c>
      <c r="G650" s="1227">
        <v>5.1247607781523401</v>
      </c>
      <c r="H650" s="1227">
        <v>0.71107096515896362</v>
      </c>
      <c r="I650" s="1227">
        <v>5.7266060122887798E-2</v>
      </c>
      <c r="J650" s="1227">
        <v>2.1631025666484139E-4</v>
      </c>
      <c r="K650" s="1227">
        <v>3.0000008603787501E-3</v>
      </c>
      <c r="L650" s="1228">
        <v>2.79506049958251E-2</v>
      </c>
      <c r="M650" s="1229">
        <v>5.98553772472665E-2</v>
      </c>
      <c r="N650" s="1230">
        <v>2.2609084660867745E-4</v>
      </c>
    </row>
    <row r="651" spans="1:14" ht="15.5" x14ac:dyDescent="0.35">
      <c r="A651" s="199">
        <v>2027</v>
      </c>
      <c r="B651" s="110" t="s">
        <v>5850</v>
      </c>
      <c r="C651" s="110">
        <v>1975</v>
      </c>
      <c r="D651" s="110" t="str">
        <f t="shared" si="8"/>
        <v>2027_1975</v>
      </c>
      <c r="E651" s="1226">
        <v>0.124140685056921</v>
      </c>
      <c r="F651" s="1227">
        <v>5.2947596883501244E-2</v>
      </c>
      <c r="G651" s="1227">
        <v>5.1247607781523401</v>
      </c>
      <c r="H651" s="1227">
        <v>0.71107096515896362</v>
      </c>
      <c r="I651" s="1227">
        <v>5.7266060122887798E-2</v>
      </c>
      <c r="J651" s="1227">
        <v>2.1631025666484139E-4</v>
      </c>
      <c r="K651" s="1227">
        <v>3.0000008603787501E-3</v>
      </c>
      <c r="L651" s="1228">
        <v>2.79506049958251E-2</v>
      </c>
      <c r="M651" s="1229">
        <v>5.98553772472665E-2</v>
      </c>
      <c r="N651" s="1230">
        <v>2.2609084660867745E-4</v>
      </c>
    </row>
    <row r="652" spans="1:14" ht="15.5" x14ac:dyDescent="0.35">
      <c r="A652" s="199">
        <v>2027</v>
      </c>
      <c r="B652" s="110" t="s">
        <v>5850</v>
      </c>
      <c r="C652" s="110">
        <v>1976</v>
      </c>
      <c r="D652" s="110" t="str">
        <f t="shared" si="8"/>
        <v>2027_1976</v>
      </c>
      <c r="E652" s="1226">
        <v>0.124140685056921</v>
      </c>
      <c r="F652" s="1227">
        <v>5.2947596883501244E-2</v>
      </c>
      <c r="G652" s="1227">
        <v>5.1247607781523401</v>
      </c>
      <c r="H652" s="1227">
        <v>0.71107096515896362</v>
      </c>
      <c r="I652" s="1227">
        <v>5.7266060122887798E-2</v>
      </c>
      <c r="J652" s="1227">
        <v>2.1631025666484139E-4</v>
      </c>
      <c r="K652" s="1227">
        <v>3.0000008603787501E-3</v>
      </c>
      <c r="L652" s="1228">
        <v>2.79506049958251E-2</v>
      </c>
      <c r="M652" s="1229">
        <v>5.98553772472665E-2</v>
      </c>
      <c r="N652" s="1230">
        <v>2.2609084660867745E-4</v>
      </c>
    </row>
    <row r="653" spans="1:14" ht="15.5" x14ac:dyDescent="0.35">
      <c r="A653" s="199">
        <v>2027</v>
      </c>
      <c r="B653" s="110" t="s">
        <v>5850</v>
      </c>
      <c r="C653" s="110">
        <v>1977</v>
      </c>
      <c r="D653" s="110" t="str">
        <f t="shared" si="8"/>
        <v>2027_1977</v>
      </c>
      <c r="E653" s="1226">
        <v>0.124140685056921</v>
      </c>
      <c r="F653" s="1227">
        <v>5.2947596883501244E-2</v>
      </c>
      <c r="G653" s="1227">
        <v>5.1247607781523401</v>
      </c>
      <c r="H653" s="1227">
        <v>0.71107096515896362</v>
      </c>
      <c r="I653" s="1227">
        <v>5.7266060122887798E-2</v>
      </c>
      <c r="J653" s="1227">
        <v>2.1631025666484139E-4</v>
      </c>
      <c r="K653" s="1227">
        <v>3.0000008603787501E-3</v>
      </c>
      <c r="L653" s="1228">
        <v>2.79506049958251E-2</v>
      </c>
      <c r="M653" s="1229">
        <v>5.98553772472665E-2</v>
      </c>
      <c r="N653" s="1230">
        <v>2.2609084660867745E-4</v>
      </c>
    </row>
    <row r="654" spans="1:14" ht="15.5" x14ac:dyDescent="0.35">
      <c r="A654" s="199">
        <v>2027</v>
      </c>
      <c r="B654" s="110" t="s">
        <v>5850</v>
      </c>
      <c r="C654" s="110">
        <v>1978</v>
      </c>
      <c r="D654" s="110" t="str">
        <f t="shared" si="8"/>
        <v>2027_1978</v>
      </c>
      <c r="E654" s="1226">
        <v>0.124140685056921</v>
      </c>
      <c r="F654" s="1227">
        <v>5.2947596883501244E-2</v>
      </c>
      <c r="G654" s="1227">
        <v>5.1247607781523401</v>
      </c>
      <c r="H654" s="1227">
        <v>0.71107096515896362</v>
      </c>
      <c r="I654" s="1227">
        <v>5.7266060122887798E-2</v>
      </c>
      <c r="J654" s="1227">
        <v>2.1631025666484139E-4</v>
      </c>
      <c r="K654" s="1227">
        <v>3.0000008603787501E-3</v>
      </c>
      <c r="L654" s="1228">
        <v>2.79506049958251E-2</v>
      </c>
      <c r="M654" s="1229">
        <v>5.98553772472665E-2</v>
      </c>
      <c r="N654" s="1230">
        <v>2.2609084660867745E-4</v>
      </c>
    </row>
    <row r="655" spans="1:14" ht="15.5" x14ac:dyDescent="0.35">
      <c r="A655" s="199">
        <v>2027</v>
      </c>
      <c r="B655" s="110" t="s">
        <v>5850</v>
      </c>
      <c r="C655" s="110">
        <v>1979</v>
      </c>
      <c r="D655" s="110" t="str">
        <f t="shared" si="8"/>
        <v>2027_1979</v>
      </c>
      <c r="E655" s="1226">
        <v>0.124140685056921</v>
      </c>
      <c r="F655" s="1227">
        <v>5.2947596883501244E-2</v>
      </c>
      <c r="G655" s="1227">
        <v>5.1247607781523401</v>
      </c>
      <c r="H655" s="1227">
        <v>0.71107096515896362</v>
      </c>
      <c r="I655" s="1227">
        <v>5.7266060122887798E-2</v>
      </c>
      <c r="J655" s="1227">
        <v>2.1631025666484139E-4</v>
      </c>
      <c r="K655" s="1227">
        <v>3.0000008603787501E-3</v>
      </c>
      <c r="L655" s="1228">
        <v>2.79506049958251E-2</v>
      </c>
      <c r="M655" s="1229">
        <v>5.98553772472665E-2</v>
      </c>
      <c r="N655" s="1230">
        <v>2.2609084660867745E-4</v>
      </c>
    </row>
    <row r="656" spans="1:14" ht="15.5" x14ac:dyDescent="0.35">
      <c r="A656" s="199">
        <v>2027</v>
      </c>
      <c r="B656" s="110" t="s">
        <v>5850</v>
      </c>
      <c r="C656" s="110">
        <v>1980</v>
      </c>
      <c r="D656" s="110" t="str">
        <f t="shared" si="8"/>
        <v>2027_1980</v>
      </c>
      <c r="E656" s="1226">
        <v>0.124140685056921</v>
      </c>
      <c r="F656" s="1227">
        <v>5.2947596883501244E-2</v>
      </c>
      <c r="G656" s="1227">
        <v>5.1247607781523401</v>
      </c>
      <c r="H656" s="1227">
        <v>0.71107096515896362</v>
      </c>
      <c r="I656" s="1227">
        <v>5.7266060122887798E-2</v>
      </c>
      <c r="J656" s="1227">
        <v>2.1631025666484139E-4</v>
      </c>
      <c r="K656" s="1227">
        <v>3.0000008603787501E-3</v>
      </c>
      <c r="L656" s="1228">
        <v>2.79506049958251E-2</v>
      </c>
      <c r="M656" s="1229">
        <v>5.98553772472665E-2</v>
      </c>
      <c r="N656" s="1230">
        <v>2.2609084660867745E-4</v>
      </c>
    </row>
    <row r="657" spans="1:14" ht="15.5" x14ac:dyDescent="0.35">
      <c r="A657" s="199">
        <v>2027</v>
      </c>
      <c r="B657" s="110" t="s">
        <v>5850</v>
      </c>
      <c r="C657" s="110">
        <v>1981</v>
      </c>
      <c r="D657" s="110" t="str">
        <f t="shared" si="8"/>
        <v>2027_1981</v>
      </c>
      <c r="E657" s="1226">
        <v>0.124140685056921</v>
      </c>
      <c r="F657" s="1227">
        <v>5.2947596883501244E-2</v>
      </c>
      <c r="G657" s="1227">
        <v>5.1247607781523401</v>
      </c>
      <c r="H657" s="1227">
        <v>0.71107096515896362</v>
      </c>
      <c r="I657" s="1227">
        <v>5.7266060122887798E-2</v>
      </c>
      <c r="J657" s="1227">
        <v>2.1631025666484139E-4</v>
      </c>
      <c r="K657" s="1227">
        <v>3.0000008603787501E-3</v>
      </c>
      <c r="L657" s="1228">
        <v>2.79506049958251E-2</v>
      </c>
      <c r="M657" s="1229">
        <v>5.98553772472665E-2</v>
      </c>
      <c r="N657" s="1230">
        <v>2.2609084660867745E-4</v>
      </c>
    </row>
    <row r="658" spans="1:14" ht="15.5" x14ac:dyDescent="0.35">
      <c r="A658" s="199">
        <v>2027</v>
      </c>
      <c r="B658" s="110" t="s">
        <v>5850</v>
      </c>
      <c r="C658" s="110">
        <v>1982</v>
      </c>
      <c r="D658" s="110" t="str">
        <f t="shared" si="8"/>
        <v>2027_1982</v>
      </c>
      <c r="E658" s="1226">
        <v>0.124140685056921</v>
      </c>
      <c r="F658" s="1227">
        <v>5.2947596883501244E-2</v>
      </c>
      <c r="G658" s="1227">
        <v>5.1247607781523401</v>
      </c>
      <c r="H658" s="1227">
        <v>0.71107096515896362</v>
      </c>
      <c r="I658" s="1227">
        <v>5.7266060122887798E-2</v>
      </c>
      <c r="J658" s="1227">
        <v>2.1631025666484139E-4</v>
      </c>
      <c r="K658" s="1227">
        <v>3.0000008603787501E-3</v>
      </c>
      <c r="L658" s="1228">
        <v>2.79506049958251E-2</v>
      </c>
      <c r="M658" s="1229">
        <v>5.98553772472665E-2</v>
      </c>
      <c r="N658" s="1230">
        <v>2.2609084660867745E-4</v>
      </c>
    </row>
    <row r="659" spans="1:14" ht="15.5" x14ac:dyDescent="0.35">
      <c r="A659" s="199">
        <v>2027</v>
      </c>
      <c r="B659" s="110" t="s">
        <v>5850</v>
      </c>
      <c r="C659" s="110">
        <v>1983</v>
      </c>
      <c r="D659" s="110" t="str">
        <f t="shared" si="8"/>
        <v>2027_1983</v>
      </c>
      <c r="E659" s="1226">
        <v>0.124140685056921</v>
      </c>
      <c r="F659" s="1227">
        <v>5.2947596883501244E-2</v>
      </c>
      <c r="G659" s="1227">
        <v>5.1247607781523401</v>
      </c>
      <c r="H659" s="1227">
        <v>0.71107096515896362</v>
      </c>
      <c r="I659" s="1227">
        <v>5.7266060122887798E-2</v>
      </c>
      <c r="J659" s="1227">
        <v>2.1631025666484139E-4</v>
      </c>
      <c r="K659" s="1227">
        <v>3.0000008603787501E-3</v>
      </c>
      <c r="L659" s="1228">
        <v>2.79506049958251E-2</v>
      </c>
      <c r="M659" s="1229">
        <v>5.98553772472665E-2</v>
      </c>
      <c r="N659" s="1230">
        <v>2.2609084660867745E-4</v>
      </c>
    </row>
    <row r="660" spans="1:14" ht="15.5" x14ac:dyDescent="0.35">
      <c r="A660" s="199">
        <v>2027</v>
      </c>
      <c r="B660" s="110" t="s">
        <v>5850</v>
      </c>
      <c r="C660" s="110">
        <v>1984</v>
      </c>
      <c r="D660" s="110" t="str">
        <f t="shared" si="8"/>
        <v>2027_1984</v>
      </c>
      <c r="E660" s="1226">
        <v>0.124140685056921</v>
      </c>
      <c r="F660" s="1227">
        <v>5.2947596883501244E-2</v>
      </c>
      <c r="G660" s="1227">
        <v>5.1247607781523401</v>
      </c>
      <c r="H660" s="1227">
        <v>0.71107096515896362</v>
      </c>
      <c r="I660" s="1227">
        <v>5.7266060122887798E-2</v>
      </c>
      <c r="J660" s="1227">
        <v>2.1631025666484139E-4</v>
      </c>
      <c r="K660" s="1227">
        <v>3.0000008603787501E-3</v>
      </c>
      <c r="L660" s="1228">
        <v>2.79506049958251E-2</v>
      </c>
      <c r="M660" s="1229">
        <v>5.98553772472665E-2</v>
      </c>
      <c r="N660" s="1230">
        <v>2.2609084660867745E-4</v>
      </c>
    </row>
    <row r="661" spans="1:14" ht="15.5" x14ac:dyDescent="0.35">
      <c r="A661" s="199">
        <v>2027</v>
      </c>
      <c r="B661" s="110" t="s">
        <v>5850</v>
      </c>
      <c r="C661" s="110">
        <v>1985</v>
      </c>
      <c r="D661" s="110" t="str">
        <f t="shared" si="8"/>
        <v>2027_1985</v>
      </c>
      <c r="E661" s="1226">
        <v>0.124140685056921</v>
      </c>
      <c r="F661" s="1227">
        <v>5.2947596883501244E-2</v>
      </c>
      <c r="G661" s="1227">
        <v>5.1247607781523401</v>
      </c>
      <c r="H661" s="1227">
        <v>0.71107096515896362</v>
      </c>
      <c r="I661" s="1227">
        <v>5.7266060122887798E-2</v>
      </c>
      <c r="J661" s="1227">
        <v>2.1631025666484139E-4</v>
      </c>
      <c r="K661" s="1227">
        <v>3.0000008603787501E-3</v>
      </c>
      <c r="L661" s="1228">
        <v>2.79506049958251E-2</v>
      </c>
      <c r="M661" s="1229">
        <v>5.98553772472665E-2</v>
      </c>
      <c r="N661" s="1230">
        <v>2.2609084660867745E-4</v>
      </c>
    </row>
    <row r="662" spans="1:14" ht="15.5" x14ac:dyDescent="0.35">
      <c r="A662" s="199">
        <v>2027</v>
      </c>
      <c r="B662" s="110" t="s">
        <v>5850</v>
      </c>
      <c r="C662" s="110">
        <v>1986</v>
      </c>
      <c r="D662" s="110" t="str">
        <f t="shared" si="8"/>
        <v>2027_1986</v>
      </c>
      <c r="E662" s="1226">
        <v>0.124140685056921</v>
      </c>
      <c r="F662" s="1227">
        <v>5.2947596883501244E-2</v>
      </c>
      <c r="G662" s="1227">
        <v>5.1247607781523401</v>
      </c>
      <c r="H662" s="1227">
        <v>0.71107096515896362</v>
      </c>
      <c r="I662" s="1227">
        <v>5.7266060122887798E-2</v>
      </c>
      <c r="J662" s="1227">
        <v>2.1631025666484139E-4</v>
      </c>
      <c r="K662" s="1227">
        <v>3.0000008603787501E-3</v>
      </c>
      <c r="L662" s="1228">
        <v>2.79506049958251E-2</v>
      </c>
      <c r="M662" s="1229">
        <v>5.98553772472665E-2</v>
      </c>
      <c r="N662" s="1230">
        <v>2.2609084660867745E-4</v>
      </c>
    </row>
    <row r="663" spans="1:14" ht="15.5" x14ac:dyDescent="0.35">
      <c r="A663" s="199">
        <v>2027</v>
      </c>
      <c r="B663" s="110" t="s">
        <v>5850</v>
      </c>
      <c r="C663" s="110">
        <v>1987</v>
      </c>
      <c r="D663" s="110" t="str">
        <f t="shared" si="8"/>
        <v>2027_1987</v>
      </c>
      <c r="E663" s="1226">
        <v>0.124140685056921</v>
      </c>
      <c r="F663" s="1227">
        <v>5.2947596883501244E-2</v>
      </c>
      <c r="G663" s="1227">
        <v>5.1247607781523401</v>
      </c>
      <c r="H663" s="1227">
        <v>0.71107096515896362</v>
      </c>
      <c r="I663" s="1227">
        <v>5.7266060122887798E-2</v>
      </c>
      <c r="J663" s="1227">
        <v>2.1631025666484139E-4</v>
      </c>
      <c r="K663" s="1227">
        <v>3.0000008603787501E-3</v>
      </c>
      <c r="L663" s="1228">
        <v>2.79506049958251E-2</v>
      </c>
      <c r="M663" s="1229">
        <v>5.98553772472665E-2</v>
      </c>
      <c r="N663" s="1230">
        <v>2.2609084660867745E-4</v>
      </c>
    </row>
    <row r="664" spans="1:14" ht="15.5" x14ac:dyDescent="0.35">
      <c r="A664" s="199">
        <v>2027</v>
      </c>
      <c r="B664" s="110" t="s">
        <v>5850</v>
      </c>
      <c r="C664" s="110">
        <v>1988</v>
      </c>
      <c r="D664" s="110" t="str">
        <f t="shared" si="8"/>
        <v>2027_1988</v>
      </c>
      <c r="E664" s="1226">
        <v>0.124140685056921</v>
      </c>
      <c r="F664" s="1227">
        <v>5.2947596883501244E-2</v>
      </c>
      <c r="G664" s="1227">
        <v>5.1247607781523401</v>
      </c>
      <c r="H664" s="1227">
        <v>0.71107096515896362</v>
      </c>
      <c r="I664" s="1227">
        <v>5.7266060122887798E-2</v>
      </c>
      <c r="J664" s="1227">
        <v>2.1631025666484139E-4</v>
      </c>
      <c r="K664" s="1227">
        <v>3.0000008603787501E-3</v>
      </c>
      <c r="L664" s="1228">
        <v>2.79506049958251E-2</v>
      </c>
      <c r="M664" s="1229">
        <v>5.98553772472665E-2</v>
      </c>
      <c r="N664" s="1230">
        <v>2.2609084660867745E-4</v>
      </c>
    </row>
    <row r="665" spans="1:14" ht="15.5" x14ac:dyDescent="0.35">
      <c r="A665" s="199">
        <v>2027</v>
      </c>
      <c r="B665" s="110" t="s">
        <v>5850</v>
      </c>
      <c r="C665" s="110">
        <v>1989</v>
      </c>
      <c r="D665" s="110" t="str">
        <f t="shared" si="8"/>
        <v>2027_1989</v>
      </c>
      <c r="E665" s="1226">
        <v>0.124140685056921</v>
      </c>
      <c r="F665" s="1227">
        <v>5.2947596883501244E-2</v>
      </c>
      <c r="G665" s="1227">
        <v>5.1247607781523401</v>
      </c>
      <c r="H665" s="1227">
        <v>0.71107096515896362</v>
      </c>
      <c r="I665" s="1227">
        <v>5.7266060122887798E-2</v>
      </c>
      <c r="J665" s="1227">
        <v>2.1631025666484139E-4</v>
      </c>
      <c r="K665" s="1227">
        <v>3.0000008603787501E-3</v>
      </c>
      <c r="L665" s="1228">
        <v>2.79506049958251E-2</v>
      </c>
      <c r="M665" s="1229">
        <v>5.98553772472665E-2</v>
      </c>
      <c r="N665" s="1230">
        <v>2.2609084660867745E-4</v>
      </c>
    </row>
    <row r="666" spans="1:14" ht="15.5" x14ac:dyDescent="0.35">
      <c r="A666" s="199">
        <v>2027</v>
      </c>
      <c r="B666" s="110" t="s">
        <v>5850</v>
      </c>
      <c r="C666" s="110">
        <v>1990</v>
      </c>
      <c r="D666" s="110" t="str">
        <f t="shared" si="8"/>
        <v>2027_1990</v>
      </c>
      <c r="E666" s="1226">
        <v>0.124140685056921</v>
      </c>
      <c r="F666" s="1227">
        <v>5.2947596883501244E-2</v>
      </c>
      <c r="G666" s="1227">
        <v>5.1247607781523401</v>
      </c>
      <c r="H666" s="1227">
        <v>0.71107096515896362</v>
      </c>
      <c r="I666" s="1227">
        <v>5.7266060122887798E-2</v>
      </c>
      <c r="J666" s="1227">
        <v>2.1631025666484139E-4</v>
      </c>
      <c r="K666" s="1227">
        <v>3.0000008603787501E-3</v>
      </c>
      <c r="L666" s="1228">
        <v>2.79506049958251E-2</v>
      </c>
      <c r="M666" s="1229">
        <v>5.98553772472665E-2</v>
      </c>
      <c r="N666" s="1230">
        <v>2.2609084660867745E-4</v>
      </c>
    </row>
    <row r="667" spans="1:14" ht="15.5" x14ac:dyDescent="0.35">
      <c r="A667" s="199">
        <v>2027</v>
      </c>
      <c r="B667" s="110" t="s">
        <v>5850</v>
      </c>
      <c r="C667" s="110">
        <v>1991</v>
      </c>
      <c r="D667" s="110" t="str">
        <f t="shared" si="8"/>
        <v>2027_1991</v>
      </c>
      <c r="E667" s="1226">
        <v>0.124140685056921</v>
      </c>
      <c r="F667" s="1227">
        <v>5.2947596883501244E-2</v>
      </c>
      <c r="G667" s="1227">
        <v>5.1247607781523401</v>
      </c>
      <c r="H667" s="1227">
        <v>0.71107096515896362</v>
      </c>
      <c r="I667" s="1227">
        <v>5.7266060122887798E-2</v>
      </c>
      <c r="J667" s="1227">
        <v>2.1631025666484139E-4</v>
      </c>
      <c r="K667" s="1227">
        <v>3.0000008603787501E-3</v>
      </c>
      <c r="L667" s="1228">
        <v>2.79506049958251E-2</v>
      </c>
      <c r="M667" s="1229">
        <v>5.98553772472665E-2</v>
      </c>
      <c r="N667" s="1230">
        <v>2.2609084660867745E-4</v>
      </c>
    </row>
    <row r="668" spans="1:14" ht="15.5" x14ac:dyDescent="0.35">
      <c r="A668" s="199">
        <v>2027</v>
      </c>
      <c r="B668" s="110" t="s">
        <v>5850</v>
      </c>
      <c r="C668" s="110">
        <v>1992</v>
      </c>
      <c r="D668" s="110" t="str">
        <f t="shared" si="8"/>
        <v>2027_1992</v>
      </c>
      <c r="E668" s="1226">
        <v>0.124140685056921</v>
      </c>
      <c r="F668" s="1227">
        <v>5.2947596883501244E-2</v>
      </c>
      <c r="G668" s="1227">
        <v>5.1247607781523401</v>
      </c>
      <c r="H668" s="1227">
        <v>0.71107096515896362</v>
      </c>
      <c r="I668" s="1227">
        <v>5.7266060122887798E-2</v>
      </c>
      <c r="J668" s="1227">
        <v>2.1631025666484139E-4</v>
      </c>
      <c r="K668" s="1227">
        <v>3.0000008603787501E-3</v>
      </c>
      <c r="L668" s="1228">
        <v>2.79506049958251E-2</v>
      </c>
      <c r="M668" s="1229">
        <v>5.98553772472665E-2</v>
      </c>
      <c r="N668" s="1230">
        <v>2.2609084660867745E-4</v>
      </c>
    </row>
    <row r="669" spans="1:14" ht="15.5" x14ac:dyDescent="0.35">
      <c r="A669" s="199">
        <v>2027</v>
      </c>
      <c r="B669" s="110" t="s">
        <v>5850</v>
      </c>
      <c r="C669" s="110">
        <v>1993</v>
      </c>
      <c r="D669" s="110" t="str">
        <f t="shared" si="8"/>
        <v>2027_1993</v>
      </c>
      <c r="E669" s="1226">
        <v>0.124140685056921</v>
      </c>
      <c r="F669" s="1227">
        <v>5.2947596883501244E-2</v>
      </c>
      <c r="G669" s="1227">
        <v>5.1247607781523401</v>
      </c>
      <c r="H669" s="1227">
        <v>0.71107096515896362</v>
      </c>
      <c r="I669" s="1227">
        <v>5.7266060122887798E-2</v>
      </c>
      <c r="J669" s="1227">
        <v>2.1631025666484139E-4</v>
      </c>
      <c r="K669" s="1227">
        <v>3.0000008603787501E-3</v>
      </c>
      <c r="L669" s="1228">
        <v>2.79506049958251E-2</v>
      </c>
      <c r="M669" s="1229">
        <v>5.98553772472665E-2</v>
      </c>
      <c r="N669" s="1230">
        <v>2.2609084660867745E-4</v>
      </c>
    </row>
    <row r="670" spans="1:14" ht="15.5" x14ac:dyDescent="0.35">
      <c r="A670" s="199">
        <v>2027</v>
      </c>
      <c r="B670" s="110" t="s">
        <v>5850</v>
      </c>
      <c r="C670" s="110">
        <v>1994</v>
      </c>
      <c r="D670" s="110" t="str">
        <f t="shared" si="8"/>
        <v>2027_1994</v>
      </c>
      <c r="E670" s="1226">
        <v>0.124140685056921</v>
      </c>
      <c r="F670" s="1227">
        <v>5.2947596883501244E-2</v>
      </c>
      <c r="G670" s="1227">
        <v>5.1247607781523401</v>
      </c>
      <c r="H670" s="1227">
        <v>0.71107096515896362</v>
      </c>
      <c r="I670" s="1227">
        <v>5.7266060122887798E-2</v>
      </c>
      <c r="J670" s="1227">
        <v>2.1631025666484139E-4</v>
      </c>
      <c r="K670" s="1227">
        <v>3.0000008603787501E-3</v>
      </c>
      <c r="L670" s="1228">
        <v>2.79506049958251E-2</v>
      </c>
      <c r="M670" s="1229">
        <v>5.98553772472665E-2</v>
      </c>
      <c r="N670" s="1230">
        <v>2.2609084660867745E-4</v>
      </c>
    </row>
    <row r="671" spans="1:14" ht="15.5" x14ac:dyDescent="0.35">
      <c r="A671" s="199">
        <v>2027</v>
      </c>
      <c r="B671" s="110" t="s">
        <v>5850</v>
      </c>
      <c r="C671" s="110">
        <v>1995</v>
      </c>
      <c r="D671" s="110" t="str">
        <f t="shared" si="8"/>
        <v>2027_1995</v>
      </c>
      <c r="E671" s="1226">
        <v>0.124140685056921</v>
      </c>
      <c r="F671" s="1227">
        <v>5.2947596883501244E-2</v>
      </c>
      <c r="G671" s="1227">
        <v>5.1247607781523401</v>
      </c>
      <c r="H671" s="1227">
        <v>0.71107096515896362</v>
      </c>
      <c r="I671" s="1227">
        <v>5.7266060122887798E-2</v>
      </c>
      <c r="J671" s="1227">
        <v>2.1631025666484139E-4</v>
      </c>
      <c r="K671" s="1227">
        <v>3.0000008603787501E-3</v>
      </c>
      <c r="L671" s="1228">
        <v>2.79506049958251E-2</v>
      </c>
      <c r="M671" s="1229">
        <v>5.98553772472665E-2</v>
      </c>
      <c r="N671" s="1230">
        <v>2.2609084660867745E-4</v>
      </c>
    </row>
    <row r="672" spans="1:14" ht="15.5" x14ac:dyDescent="0.35">
      <c r="A672" s="199">
        <v>2027</v>
      </c>
      <c r="B672" s="110" t="s">
        <v>5850</v>
      </c>
      <c r="C672" s="110">
        <v>1996</v>
      </c>
      <c r="D672" s="110" t="str">
        <f t="shared" si="8"/>
        <v>2027_1996</v>
      </c>
      <c r="E672" s="1226">
        <v>0.124140685056921</v>
      </c>
      <c r="F672" s="1227">
        <v>5.2947596883501244E-2</v>
      </c>
      <c r="G672" s="1227">
        <v>5.1247607781523401</v>
      </c>
      <c r="H672" s="1227">
        <v>0.71107096515896362</v>
      </c>
      <c r="I672" s="1227">
        <v>5.7266060122887798E-2</v>
      </c>
      <c r="J672" s="1227">
        <v>2.1631025666484139E-4</v>
      </c>
      <c r="K672" s="1227">
        <v>3.0000008603787501E-3</v>
      </c>
      <c r="L672" s="1228">
        <v>2.79506049958251E-2</v>
      </c>
      <c r="M672" s="1229">
        <v>5.98553772472665E-2</v>
      </c>
      <c r="N672" s="1230">
        <v>2.2609084660867745E-4</v>
      </c>
    </row>
    <row r="673" spans="1:14" ht="15.5" x14ac:dyDescent="0.35">
      <c r="A673" s="199">
        <v>2027</v>
      </c>
      <c r="B673" s="110" t="s">
        <v>5850</v>
      </c>
      <c r="C673" s="110">
        <v>1997</v>
      </c>
      <c r="D673" s="110" t="str">
        <f t="shared" si="8"/>
        <v>2027_1997</v>
      </c>
      <c r="E673" s="1226">
        <v>0.124140685056921</v>
      </c>
      <c r="F673" s="1227">
        <v>5.2947596883501244E-2</v>
      </c>
      <c r="G673" s="1227">
        <v>5.1247607781523401</v>
      </c>
      <c r="H673" s="1227">
        <v>0.71107096515896362</v>
      </c>
      <c r="I673" s="1227">
        <v>5.7266060122887798E-2</v>
      </c>
      <c r="J673" s="1227">
        <v>2.1631025666484139E-4</v>
      </c>
      <c r="K673" s="1227">
        <v>3.0000008603787501E-3</v>
      </c>
      <c r="L673" s="1228">
        <v>2.79506049958251E-2</v>
      </c>
      <c r="M673" s="1229">
        <v>5.98553772472665E-2</v>
      </c>
      <c r="N673" s="1230">
        <v>2.2609084660867745E-4</v>
      </c>
    </row>
    <row r="674" spans="1:14" ht="15.5" x14ac:dyDescent="0.35">
      <c r="A674" s="199">
        <v>2027</v>
      </c>
      <c r="B674" s="110" t="s">
        <v>5850</v>
      </c>
      <c r="C674" s="110">
        <v>1998</v>
      </c>
      <c r="D674" s="110" t="str">
        <f t="shared" si="8"/>
        <v>2027_1998</v>
      </c>
      <c r="E674" s="1226">
        <v>0.124140685056921</v>
      </c>
      <c r="F674" s="1227">
        <v>5.2947596883501244E-2</v>
      </c>
      <c r="G674" s="1227">
        <v>5.1247607781523401</v>
      </c>
      <c r="H674" s="1227">
        <v>0.71107096515896362</v>
      </c>
      <c r="I674" s="1227">
        <v>5.7266060122887798E-2</v>
      </c>
      <c r="J674" s="1227">
        <v>2.1631025666484139E-4</v>
      </c>
      <c r="K674" s="1227">
        <v>3.0000008603787501E-3</v>
      </c>
      <c r="L674" s="1228">
        <v>2.79506049958251E-2</v>
      </c>
      <c r="M674" s="1229">
        <v>5.98553772472665E-2</v>
      </c>
      <c r="N674" s="1230">
        <v>2.2609084660867745E-4</v>
      </c>
    </row>
    <row r="675" spans="1:14" ht="15.5" x14ac:dyDescent="0.35">
      <c r="A675" s="199">
        <v>2027</v>
      </c>
      <c r="B675" s="110" t="s">
        <v>5850</v>
      </c>
      <c r="C675" s="110">
        <v>1999</v>
      </c>
      <c r="D675" s="110" t="str">
        <f t="shared" si="8"/>
        <v>2027_1999</v>
      </c>
      <c r="E675" s="1226">
        <v>0.124140685056921</v>
      </c>
      <c r="F675" s="1227">
        <v>5.2947596883501244E-2</v>
      </c>
      <c r="G675" s="1227">
        <v>5.1247607781523401</v>
      </c>
      <c r="H675" s="1227">
        <v>0.71107096515896362</v>
      </c>
      <c r="I675" s="1227">
        <v>5.7266060122887798E-2</v>
      </c>
      <c r="J675" s="1227">
        <v>2.1631025666484139E-4</v>
      </c>
      <c r="K675" s="1227">
        <v>3.0000008603787501E-3</v>
      </c>
      <c r="L675" s="1228">
        <v>2.79506049958251E-2</v>
      </c>
      <c r="M675" s="1229">
        <v>5.98553772472665E-2</v>
      </c>
      <c r="N675" s="1230">
        <v>2.2609084660867745E-4</v>
      </c>
    </row>
    <row r="676" spans="1:14" ht="15.5" x14ac:dyDescent="0.35">
      <c r="A676" s="199">
        <v>2027</v>
      </c>
      <c r="B676" s="110" t="s">
        <v>5850</v>
      </c>
      <c r="C676" s="110">
        <v>2000</v>
      </c>
      <c r="D676" s="110" t="str">
        <f t="shared" si="8"/>
        <v>2027_2000</v>
      </c>
      <c r="E676" s="1226">
        <v>0.124140685056921</v>
      </c>
      <c r="F676" s="1227">
        <v>5.2947596883501244E-2</v>
      </c>
      <c r="G676" s="1227">
        <v>5.1247607781523401</v>
      </c>
      <c r="H676" s="1227">
        <v>0.71107096515896362</v>
      </c>
      <c r="I676" s="1227">
        <v>5.7266060122887798E-2</v>
      </c>
      <c r="J676" s="1227">
        <v>2.1631025666484139E-4</v>
      </c>
      <c r="K676" s="1227">
        <v>3.0000008603787501E-3</v>
      </c>
      <c r="L676" s="1228">
        <v>2.79506049958251E-2</v>
      </c>
      <c r="M676" s="1229">
        <v>5.98553772472665E-2</v>
      </c>
      <c r="N676" s="1230">
        <v>2.2609084660867745E-4</v>
      </c>
    </row>
    <row r="677" spans="1:14" ht="15.5" x14ac:dyDescent="0.35">
      <c r="A677" s="199">
        <v>2027</v>
      </c>
      <c r="B677" s="110" t="s">
        <v>5850</v>
      </c>
      <c r="C677" s="110">
        <v>2001</v>
      </c>
      <c r="D677" s="110" t="str">
        <f t="shared" si="8"/>
        <v>2027_2001</v>
      </c>
      <c r="E677" s="1226">
        <v>0.124140685056921</v>
      </c>
      <c r="F677" s="1227">
        <v>5.2947596883501244E-2</v>
      </c>
      <c r="G677" s="1227">
        <v>5.1247607781523401</v>
      </c>
      <c r="H677" s="1227">
        <v>0.71107096515896362</v>
      </c>
      <c r="I677" s="1227">
        <v>5.7266060122887798E-2</v>
      </c>
      <c r="J677" s="1227">
        <v>2.1631025666484139E-4</v>
      </c>
      <c r="K677" s="1227">
        <v>3.0000008603787501E-3</v>
      </c>
      <c r="L677" s="1228">
        <v>2.79506049958251E-2</v>
      </c>
      <c r="M677" s="1229">
        <v>5.98553772472665E-2</v>
      </c>
      <c r="N677" s="1230">
        <v>2.2609084660867745E-4</v>
      </c>
    </row>
    <row r="678" spans="1:14" ht="15.5" x14ac:dyDescent="0.35">
      <c r="A678" s="199">
        <v>2027</v>
      </c>
      <c r="B678" s="110" t="s">
        <v>5850</v>
      </c>
      <c r="C678" s="110">
        <v>2002</v>
      </c>
      <c r="D678" s="110" t="str">
        <f t="shared" si="8"/>
        <v>2027_2002</v>
      </c>
      <c r="E678" s="1226">
        <v>0.124140685056921</v>
      </c>
      <c r="F678" s="1227">
        <v>5.2947596883501244E-2</v>
      </c>
      <c r="G678" s="1227">
        <v>5.1247607781523401</v>
      </c>
      <c r="H678" s="1227">
        <v>0.71107096515896362</v>
      </c>
      <c r="I678" s="1227">
        <v>5.7266060122887798E-2</v>
      </c>
      <c r="J678" s="1227">
        <v>2.1631025666484139E-4</v>
      </c>
      <c r="K678" s="1227">
        <v>3.0000008603787501E-3</v>
      </c>
      <c r="L678" s="1228">
        <v>2.79506049958251E-2</v>
      </c>
      <c r="M678" s="1229">
        <v>5.98553772472665E-2</v>
      </c>
      <c r="N678" s="1230">
        <v>2.2609084660867745E-4</v>
      </c>
    </row>
    <row r="679" spans="1:14" ht="15.5" x14ac:dyDescent="0.35">
      <c r="A679" s="199">
        <v>2027</v>
      </c>
      <c r="B679" s="110" t="s">
        <v>5850</v>
      </c>
      <c r="C679" s="110">
        <v>2003</v>
      </c>
      <c r="D679" s="110" t="str">
        <f t="shared" si="8"/>
        <v>2027_2003</v>
      </c>
      <c r="E679" s="1226">
        <v>0.124140685056921</v>
      </c>
      <c r="F679" s="1227">
        <v>5.2947596883501244E-2</v>
      </c>
      <c r="G679" s="1227">
        <v>5.1247607781523401</v>
      </c>
      <c r="H679" s="1227">
        <v>0.71107096515896362</v>
      </c>
      <c r="I679" s="1227">
        <v>5.7266060122887798E-2</v>
      </c>
      <c r="J679" s="1227">
        <v>2.1631025666484139E-4</v>
      </c>
      <c r="K679" s="1227">
        <v>3.0000008603787501E-3</v>
      </c>
      <c r="L679" s="1228">
        <v>2.79506049958251E-2</v>
      </c>
      <c r="M679" s="1229">
        <v>5.98553772472665E-2</v>
      </c>
      <c r="N679" s="1230">
        <v>2.2609084660867745E-4</v>
      </c>
    </row>
    <row r="680" spans="1:14" ht="15.5" x14ac:dyDescent="0.35">
      <c r="A680" s="199">
        <v>2027</v>
      </c>
      <c r="B680" s="110" t="s">
        <v>5850</v>
      </c>
      <c r="C680" s="110">
        <v>2004</v>
      </c>
      <c r="D680" s="110" t="str">
        <f t="shared" si="8"/>
        <v>2027_2004</v>
      </c>
      <c r="E680" s="1226">
        <v>0.124140685056921</v>
      </c>
      <c r="F680" s="1227">
        <v>5.2947596883501244E-2</v>
      </c>
      <c r="G680" s="1227">
        <v>5.1247607781523401</v>
      </c>
      <c r="H680" s="1227">
        <v>0.71107096515896362</v>
      </c>
      <c r="I680" s="1227">
        <v>5.7266060122887798E-2</v>
      </c>
      <c r="J680" s="1227">
        <v>2.1631025666484139E-4</v>
      </c>
      <c r="K680" s="1227">
        <v>3.0000008603787501E-3</v>
      </c>
      <c r="L680" s="1228">
        <v>2.79506049958251E-2</v>
      </c>
      <c r="M680" s="1229">
        <v>5.98553772472665E-2</v>
      </c>
      <c r="N680" s="1230">
        <v>2.2609084660867745E-4</v>
      </c>
    </row>
    <row r="681" spans="1:14" ht="15.5" x14ac:dyDescent="0.35">
      <c r="A681" s="199">
        <v>2027</v>
      </c>
      <c r="B681" s="110" t="s">
        <v>5850</v>
      </c>
      <c r="C681" s="110">
        <v>2005</v>
      </c>
      <c r="D681" s="110" t="str">
        <f t="shared" si="8"/>
        <v>2027_2005</v>
      </c>
      <c r="E681" s="1226">
        <v>0.124140685056921</v>
      </c>
      <c r="F681" s="1227">
        <v>5.2947596883501244E-2</v>
      </c>
      <c r="G681" s="1227">
        <v>5.1247607781523401</v>
      </c>
      <c r="H681" s="1227">
        <v>0.71107096515896362</v>
      </c>
      <c r="I681" s="1227">
        <v>5.7266060122887798E-2</v>
      </c>
      <c r="J681" s="1227">
        <v>2.1631025666484139E-4</v>
      </c>
      <c r="K681" s="1227">
        <v>3.0000008603787501E-3</v>
      </c>
      <c r="L681" s="1228">
        <v>2.79506049958251E-2</v>
      </c>
      <c r="M681" s="1229">
        <v>5.98553772472665E-2</v>
      </c>
      <c r="N681" s="1230">
        <v>2.2609084660867745E-4</v>
      </c>
    </row>
    <row r="682" spans="1:14" ht="15.5" x14ac:dyDescent="0.35">
      <c r="A682" s="199">
        <v>2027</v>
      </c>
      <c r="B682" s="110" t="s">
        <v>5850</v>
      </c>
      <c r="C682" s="110">
        <v>2006</v>
      </c>
      <c r="D682" s="110" t="str">
        <f t="shared" si="8"/>
        <v>2027_2006</v>
      </c>
      <c r="E682" s="1226">
        <v>0.124140685056921</v>
      </c>
      <c r="F682" s="1227">
        <v>5.2947596883501244E-2</v>
      </c>
      <c r="G682" s="1227">
        <v>5.1247607781523401</v>
      </c>
      <c r="H682" s="1227">
        <v>0.71107096515896362</v>
      </c>
      <c r="I682" s="1227">
        <v>5.7266060122887798E-2</v>
      </c>
      <c r="J682" s="1227">
        <v>2.1631025666484139E-4</v>
      </c>
      <c r="K682" s="1227">
        <v>3.0000008603787501E-3</v>
      </c>
      <c r="L682" s="1228">
        <v>2.79506049958251E-2</v>
      </c>
      <c r="M682" s="1229">
        <v>5.98553772472665E-2</v>
      </c>
      <c r="N682" s="1230">
        <v>2.2609084660867745E-4</v>
      </c>
    </row>
    <row r="683" spans="1:14" ht="15.5" x14ac:dyDescent="0.35">
      <c r="A683" s="199">
        <v>2027</v>
      </c>
      <c r="B683" s="110" t="s">
        <v>5850</v>
      </c>
      <c r="C683" s="110">
        <v>2007</v>
      </c>
      <c r="D683" s="110" t="str">
        <f t="shared" si="8"/>
        <v>2027_2007</v>
      </c>
      <c r="E683" s="1226">
        <v>0.124140685056921</v>
      </c>
      <c r="F683" s="1227">
        <v>5.2947596883501244E-2</v>
      </c>
      <c r="G683" s="1227">
        <v>5.1247607781523401</v>
      </c>
      <c r="H683" s="1227">
        <v>0.71107096515896362</v>
      </c>
      <c r="I683" s="1227">
        <v>5.7266060122887798E-2</v>
      </c>
      <c r="J683" s="1227">
        <v>2.1631025666484139E-4</v>
      </c>
      <c r="K683" s="1227">
        <v>3.0000008603787501E-3</v>
      </c>
      <c r="L683" s="1228">
        <v>2.79506049958251E-2</v>
      </c>
      <c r="M683" s="1229">
        <v>5.98553772472665E-2</v>
      </c>
      <c r="N683" s="1230">
        <v>2.2609084660867745E-4</v>
      </c>
    </row>
    <row r="684" spans="1:14" ht="15.5" x14ac:dyDescent="0.35">
      <c r="A684" s="199">
        <v>2027</v>
      </c>
      <c r="B684" s="110" t="s">
        <v>5850</v>
      </c>
      <c r="C684" s="110">
        <v>2008</v>
      </c>
      <c r="D684" s="110" t="str">
        <f t="shared" si="8"/>
        <v>2027_2008</v>
      </c>
      <c r="E684" s="1226">
        <v>0.124140685056921</v>
      </c>
      <c r="F684" s="1227">
        <v>5.2947596883501244E-2</v>
      </c>
      <c r="G684" s="1227">
        <v>5.1247607781523401</v>
      </c>
      <c r="H684" s="1227">
        <v>0.71107096515896362</v>
      </c>
      <c r="I684" s="1227">
        <v>5.7266060122887798E-2</v>
      </c>
      <c r="J684" s="1227">
        <v>2.1631025666484139E-4</v>
      </c>
      <c r="K684" s="1227">
        <v>3.0000008603787501E-3</v>
      </c>
      <c r="L684" s="1228">
        <v>2.79506049958251E-2</v>
      </c>
      <c r="M684" s="1229">
        <v>5.98553772472665E-2</v>
      </c>
      <c r="N684" s="1230">
        <v>2.2609084660867745E-4</v>
      </c>
    </row>
    <row r="685" spans="1:14" ht="15.5" x14ac:dyDescent="0.35">
      <c r="A685" s="199">
        <v>2027</v>
      </c>
      <c r="B685" s="110" t="s">
        <v>5850</v>
      </c>
      <c r="C685" s="110">
        <v>2009</v>
      </c>
      <c r="D685" s="110" t="str">
        <f t="shared" si="8"/>
        <v>2027_2009</v>
      </c>
      <c r="E685" s="1226">
        <v>0.124140685056921</v>
      </c>
      <c r="F685" s="1227">
        <v>5.2947596883501244E-2</v>
      </c>
      <c r="G685" s="1227">
        <v>5.1247607781523401</v>
      </c>
      <c r="H685" s="1227">
        <v>0.71107096515896362</v>
      </c>
      <c r="I685" s="1227">
        <v>5.7266060122887798E-2</v>
      </c>
      <c r="J685" s="1227">
        <v>2.1631025666484139E-4</v>
      </c>
      <c r="K685" s="1227">
        <v>3.0000008603787501E-3</v>
      </c>
      <c r="L685" s="1228">
        <v>2.79506049958251E-2</v>
      </c>
      <c r="M685" s="1229">
        <v>5.98553772472665E-2</v>
      </c>
      <c r="N685" s="1230">
        <v>2.2609084660867745E-4</v>
      </c>
    </row>
    <row r="686" spans="1:14" ht="15.5" x14ac:dyDescent="0.35">
      <c r="A686" s="199">
        <v>2027</v>
      </c>
      <c r="B686" s="110" t="s">
        <v>5850</v>
      </c>
      <c r="C686" s="110">
        <v>2010</v>
      </c>
      <c r="D686" s="110" t="str">
        <f t="shared" si="8"/>
        <v>2027_2010</v>
      </c>
      <c r="E686" s="1226">
        <v>0.124140685056921</v>
      </c>
      <c r="F686" s="1227">
        <v>5.2947596883501244E-2</v>
      </c>
      <c r="G686" s="1227">
        <v>5.1247607781523401</v>
      </c>
      <c r="H686" s="1227">
        <v>0.71107096515896362</v>
      </c>
      <c r="I686" s="1227">
        <v>5.7266060122887798E-2</v>
      </c>
      <c r="J686" s="1227">
        <v>2.1631025666484139E-4</v>
      </c>
      <c r="K686" s="1227">
        <v>3.0000008603787501E-3</v>
      </c>
      <c r="L686" s="1228">
        <v>2.79506049958251E-2</v>
      </c>
      <c r="M686" s="1229">
        <v>5.98553772472665E-2</v>
      </c>
      <c r="N686" s="1230">
        <v>2.2609084660867745E-4</v>
      </c>
    </row>
    <row r="687" spans="1:14" ht="15.5" x14ac:dyDescent="0.35">
      <c r="A687" s="199">
        <v>2027</v>
      </c>
      <c r="B687" s="110" t="s">
        <v>5850</v>
      </c>
      <c r="C687" s="110">
        <v>2011</v>
      </c>
      <c r="D687" s="110" t="str">
        <f t="shared" si="8"/>
        <v>2027_2011</v>
      </c>
      <c r="E687" s="1231">
        <v>0.124140685056921</v>
      </c>
      <c r="F687" s="1232">
        <v>5.2947596883501244E-2</v>
      </c>
      <c r="G687" s="1232">
        <v>5.1247607781523401</v>
      </c>
      <c r="H687" s="1232">
        <v>0.71107096515896362</v>
      </c>
      <c r="I687" s="1232">
        <v>5.7266060122887798E-2</v>
      </c>
      <c r="J687" s="1232">
        <v>2.1631025666484139E-4</v>
      </c>
      <c r="K687" s="1232">
        <v>3.0000008603787501E-3</v>
      </c>
      <c r="L687" s="1233">
        <v>2.79506049958251E-2</v>
      </c>
      <c r="M687" s="1234">
        <v>5.98553772472665E-2</v>
      </c>
      <c r="N687" s="1235">
        <v>2.2609084660867745E-4</v>
      </c>
    </row>
    <row r="688" spans="1:14" ht="15.5" x14ac:dyDescent="0.35">
      <c r="A688" s="199">
        <v>2027</v>
      </c>
      <c r="B688" s="110" t="s">
        <v>5850</v>
      </c>
      <c r="C688" s="110">
        <v>2012</v>
      </c>
      <c r="D688" s="110" t="str">
        <f t="shared" si="8"/>
        <v>2027_2012</v>
      </c>
      <c r="E688" s="1231">
        <v>2.46473147971095E-2</v>
      </c>
      <c r="F688" s="1232">
        <v>5.3125044661102572E-2</v>
      </c>
      <c r="G688" s="1232">
        <v>4.3814754788959398</v>
      </c>
      <c r="H688" s="1232">
        <v>0.62777529781029273</v>
      </c>
      <c r="I688" s="1232">
        <v>3.2466689788573699E-2</v>
      </c>
      <c r="J688" s="1232">
        <v>2.1631025666484142E-4</v>
      </c>
      <c r="K688" s="1232">
        <v>3.0000008603787501E-3</v>
      </c>
      <c r="L688" s="1233">
        <v>2.7950604995951499E-2</v>
      </c>
      <c r="M688" s="1234">
        <v>3.3934689432010799E-2</v>
      </c>
      <c r="N688" s="1235">
        <v>2.260908466086775E-4</v>
      </c>
    </row>
    <row r="689" spans="1:14" ht="15.5" x14ac:dyDescent="0.35">
      <c r="A689" s="199">
        <v>2027</v>
      </c>
      <c r="B689" s="110" t="s">
        <v>5850</v>
      </c>
      <c r="C689" s="110">
        <v>2013</v>
      </c>
      <c r="D689" s="110" t="str">
        <f t="shared" si="8"/>
        <v>2027_2013</v>
      </c>
      <c r="E689" s="1231">
        <v>2.3919077412477601E-2</v>
      </c>
      <c r="F689" s="1232">
        <v>4.7812540194992363E-2</v>
      </c>
      <c r="G689" s="1232">
        <v>4.0454251523194298</v>
      </c>
      <c r="H689" s="1232">
        <v>0.56499776802926271</v>
      </c>
      <c r="I689" s="1232">
        <v>3.0769660547966302E-2</v>
      </c>
      <c r="J689" s="1232">
        <v>1.9467923099835698E-4</v>
      </c>
      <c r="K689" s="1232">
        <v>3.0000008603787501E-3</v>
      </c>
      <c r="L689" s="1233">
        <v>2.79506049959398E-2</v>
      </c>
      <c r="M689" s="1234">
        <v>3.2160928059598901E-2</v>
      </c>
      <c r="N689" s="1235">
        <v>2.0348176194780947E-4</v>
      </c>
    </row>
    <row r="690" spans="1:14" ht="15.5" x14ac:dyDescent="0.35">
      <c r="A690" s="199">
        <v>2027</v>
      </c>
      <c r="B690" s="110" t="s">
        <v>5850</v>
      </c>
      <c r="C690" s="110">
        <v>2014</v>
      </c>
      <c r="D690" s="110" t="str">
        <f t="shared" si="8"/>
        <v>2027_2014</v>
      </c>
      <c r="E690" s="1231">
        <v>1.16606286532694E-2</v>
      </c>
      <c r="F690" s="1232">
        <v>4.3031286175493066E-2</v>
      </c>
      <c r="G690" s="1232">
        <v>1.5367946595432</v>
      </c>
      <c r="H690" s="1232">
        <v>0.50849799122633688</v>
      </c>
      <c r="I690" s="1232">
        <v>3.5043573387141501E-2</v>
      </c>
      <c r="J690" s="1232">
        <v>1.752113078985215E-4</v>
      </c>
      <c r="K690" s="1232">
        <v>3.0000008603787501E-3</v>
      </c>
      <c r="L690" s="1233">
        <v>2.7950604995833499E-2</v>
      </c>
      <c r="M690" s="1234">
        <v>3.6628088272154198E-2</v>
      </c>
      <c r="N690" s="1235">
        <v>1.8313358575302869E-4</v>
      </c>
    </row>
    <row r="691" spans="1:14" ht="15.5" x14ac:dyDescent="0.35">
      <c r="A691" s="199">
        <v>2027</v>
      </c>
      <c r="B691" s="110" t="s">
        <v>5850</v>
      </c>
      <c r="C691" s="110">
        <v>2015</v>
      </c>
      <c r="D691" s="110" t="str">
        <f t="shared" si="8"/>
        <v>2027_2015</v>
      </c>
      <c r="E691" s="1231">
        <v>1.14552830457896E-2</v>
      </c>
      <c r="F691" s="1232">
        <v>3.8728157557943656E-2</v>
      </c>
      <c r="G691" s="1232">
        <v>1.5151544867369899</v>
      </c>
      <c r="H691" s="1232">
        <v>0.45764819210370206</v>
      </c>
      <c r="I691" s="1232">
        <v>3.4004878595875303E-2</v>
      </c>
      <c r="J691" s="1232">
        <v>1.5769017710866892E-4</v>
      </c>
      <c r="K691" s="1232">
        <v>3.0000008603787501E-3</v>
      </c>
      <c r="L691" s="1233">
        <v>2.7950604995858101E-2</v>
      </c>
      <c r="M691" s="1234">
        <v>3.5542428311566801E-2</v>
      </c>
      <c r="N691" s="1235">
        <v>1.648202271777254E-4</v>
      </c>
    </row>
    <row r="692" spans="1:14" ht="15.5" x14ac:dyDescent="0.35">
      <c r="A692" s="199">
        <v>2027</v>
      </c>
      <c r="B692" s="110" t="s">
        <v>5850</v>
      </c>
      <c r="C692" s="110">
        <v>2016</v>
      </c>
      <c r="D692" s="110" t="str">
        <f t="shared" si="8"/>
        <v>2027_2016</v>
      </c>
      <c r="E692" s="1231">
        <v>1.12271212596922E-2</v>
      </c>
      <c r="F692" s="1232">
        <v>3.4855341802149345E-2</v>
      </c>
      <c r="G692" s="1232">
        <v>1.49033601160689</v>
      </c>
      <c r="H692" s="1232">
        <v>0.41188337289333155</v>
      </c>
      <c r="I692" s="1232">
        <v>3.2850773272261297E-2</v>
      </c>
      <c r="J692" s="1232">
        <v>1.4192115939780134E-4</v>
      </c>
      <c r="K692" s="1232">
        <v>3.0000008603787501E-3</v>
      </c>
      <c r="L692" s="1233">
        <v>2.79506049958731E-2</v>
      </c>
      <c r="M692" s="1234">
        <v>3.4336139466485498E-2</v>
      </c>
      <c r="N692" s="1235">
        <v>1.4833820445995307E-4</v>
      </c>
    </row>
    <row r="693" spans="1:14" ht="15.5" x14ac:dyDescent="0.35">
      <c r="A693" s="198">
        <v>2027</v>
      </c>
      <c r="B693" s="197" t="s">
        <v>5850</v>
      </c>
      <c r="C693" s="197">
        <v>2017</v>
      </c>
      <c r="D693" s="110" t="str">
        <f t="shared" si="8"/>
        <v>2027_2017</v>
      </c>
      <c r="E693" s="1231">
        <v>1.1167135193041799E-2</v>
      </c>
      <c r="F693" s="1232">
        <v>3.1369807621934344E-2</v>
      </c>
      <c r="G693" s="1232">
        <v>1.46171579625425</v>
      </c>
      <c r="H693" s="1232">
        <v>0.37069503560399747</v>
      </c>
      <c r="I693" s="1232">
        <v>2.5733189251406899E-2</v>
      </c>
      <c r="J693" s="1232">
        <v>1.2772904345802143E-4</v>
      </c>
      <c r="K693" s="1232">
        <v>3.0000008603787501E-3</v>
      </c>
      <c r="L693" s="1233">
        <v>2.79506049958856E-2</v>
      </c>
      <c r="M693" s="1234">
        <v>2.6896729880019399E-2</v>
      </c>
      <c r="N693" s="1235">
        <v>1.3350438401395716E-4</v>
      </c>
    </row>
    <row r="694" spans="1:14" ht="15.5" x14ac:dyDescent="0.35">
      <c r="A694" s="198">
        <v>2027</v>
      </c>
      <c r="B694" s="197" t="s">
        <v>5850</v>
      </c>
      <c r="C694" s="197">
        <v>2018</v>
      </c>
      <c r="D694" s="110" t="str">
        <f t="shared" si="8"/>
        <v>2027_2018</v>
      </c>
      <c r="E694" s="1231">
        <v>1.08804868649375E-2</v>
      </c>
      <c r="F694" s="1232">
        <v>2.8232826859741024E-2</v>
      </c>
      <c r="G694" s="1232">
        <v>1.4284840432450301</v>
      </c>
      <c r="H694" s="1232">
        <v>0.33362553204359907</v>
      </c>
      <c r="I694" s="1232">
        <v>2.45717063608532E-2</v>
      </c>
      <c r="J694" s="1232">
        <v>1.1495613911221975E-4</v>
      </c>
      <c r="K694" s="1232">
        <v>3.0000008603787501E-3</v>
      </c>
      <c r="L694" s="1233">
        <v>2.7950604995789899E-2</v>
      </c>
      <c r="M694" s="1234">
        <v>2.56827298871589E-2</v>
      </c>
      <c r="N694" s="1235">
        <v>1.2015394561256194E-4</v>
      </c>
    </row>
    <row r="695" spans="1:14" ht="15.5" x14ac:dyDescent="0.35">
      <c r="A695" s="199">
        <v>2027</v>
      </c>
      <c r="B695" s="110" t="s">
        <v>5850</v>
      </c>
      <c r="C695" s="110">
        <v>2019</v>
      </c>
      <c r="D695" s="110" t="str">
        <f t="shared" si="8"/>
        <v>2027_2019</v>
      </c>
      <c r="E695" s="1231">
        <v>1.05619887225152E-2</v>
      </c>
      <c r="F695" s="1232">
        <v>2.5409544173766854E-2</v>
      </c>
      <c r="G695" s="1232">
        <v>1.38955711842489</v>
      </c>
      <c r="H695" s="1232">
        <v>0.30026297883923841</v>
      </c>
      <c r="I695" s="1232">
        <v>2.3281169815041001E-2</v>
      </c>
      <c r="J695" s="1232">
        <v>1.0346052520099749E-4</v>
      </c>
      <c r="K695" s="1232">
        <v>3.0000008603787501E-3</v>
      </c>
      <c r="L695" s="1233">
        <v>2.7950604995988001E-2</v>
      </c>
      <c r="M695" s="1234">
        <v>2.4333841005416201E-2</v>
      </c>
      <c r="N695" s="1235">
        <v>1.0813855105130546E-4</v>
      </c>
    </row>
    <row r="696" spans="1:14" ht="15.5" x14ac:dyDescent="0.35">
      <c r="A696" s="199">
        <v>2027</v>
      </c>
      <c r="B696" s="110" t="s">
        <v>5850</v>
      </c>
      <c r="C696" s="110">
        <v>2020</v>
      </c>
      <c r="D696" s="110" t="str">
        <f t="shared" si="8"/>
        <v>2027_2020</v>
      </c>
      <c r="E696" s="1231">
        <v>1.0208101897727801E-2</v>
      </c>
      <c r="F696" s="1232">
        <v>2.5409544173767059E-2</v>
      </c>
      <c r="G696" s="1232">
        <v>1.3434282217167901</v>
      </c>
      <c r="H696" s="1232">
        <v>0.3002629788392408</v>
      </c>
      <c r="I696" s="1232">
        <v>2.1847240320586599E-2</v>
      </c>
      <c r="J696" s="1232">
        <v>1.0346052520099832E-4</v>
      </c>
      <c r="K696" s="1232">
        <v>3.0000008603787501E-3</v>
      </c>
      <c r="L696" s="1233">
        <v>2.7950604995880601E-2</v>
      </c>
      <c r="M696" s="1234">
        <v>2.28350755821904E-2</v>
      </c>
      <c r="N696" s="1235">
        <v>1.0813855105130632E-4</v>
      </c>
    </row>
    <row r="697" spans="1:14" ht="15.5" x14ac:dyDescent="0.35">
      <c r="A697" s="199">
        <v>2027</v>
      </c>
      <c r="B697" s="110" t="s">
        <v>5850</v>
      </c>
      <c r="C697" s="110">
        <v>2021</v>
      </c>
      <c r="D697" s="110" t="str">
        <f t="shared" si="8"/>
        <v>2027_2021</v>
      </c>
      <c r="E697" s="1231">
        <v>9.8542150728912307E-3</v>
      </c>
      <c r="F697" s="1232">
        <v>2.5409544173767517E-2</v>
      </c>
      <c r="G697" s="1232">
        <v>1.29367735191192</v>
      </c>
      <c r="H697" s="1232">
        <v>0.30026297883924624</v>
      </c>
      <c r="I697" s="1232">
        <v>2.0413310826878001E-2</v>
      </c>
      <c r="J697" s="1232">
        <v>1.0346052520100019E-4</v>
      </c>
      <c r="K697" s="1232">
        <v>3.0000008603787501E-3</v>
      </c>
      <c r="L697" s="1233">
        <v>2.7950604995083301E-2</v>
      </c>
      <c r="M697" s="1234">
        <v>2.1336310159744201E-2</v>
      </c>
      <c r="N697" s="1235">
        <v>1.0813855105130829E-4</v>
      </c>
    </row>
    <row r="698" spans="1:14" ht="15.5" x14ac:dyDescent="0.35">
      <c r="A698" s="199">
        <v>2027</v>
      </c>
      <c r="B698" s="110" t="s">
        <v>5850</v>
      </c>
      <c r="C698" s="110">
        <v>2022</v>
      </c>
      <c r="D698" s="110" t="str">
        <f t="shared" si="8"/>
        <v>2027_2022</v>
      </c>
      <c r="E698" s="1231">
        <v>9.5003282480032192E-3</v>
      </c>
      <c r="F698" s="1232">
        <v>2.5409544173766941E-2</v>
      </c>
      <c r="G698" s="1232">
        <v>1.2394662620083901</v>
      </c>
      <c r="H698" s="1232">
        <v>0.30026297883923941</v>
      </c>
      <c r="I698" s="1232">
        <v>1.8979381330693899E-2</v>
      </c>
      <c r="J698" s="1232">
        <v>1.0346052520099785E-4</v>
      </c>
      <c r="K698" s="1232">
        <v>3.0000008603787501E-3</v>
      </c>
      <c r="L698" s="1233">
        <v>2.7950604996053501E-2</v>
      </c>
      <c r="M698" s="1234">
        <v>1.9837544734710499E-2</v>
      </c>
      <c r="N698" s="1235">
        <v>1.0813855105130582E-4</v>
      </c>
    </row>
    <row r="699" spans="1:14" ht="15.5" x14ac:dyDescent="0.35">
      <c r="A699" s="199">
        <v>2027</v>
      </c>
      <c r="B699" s="110" t="s">
        <v>5850</v>
      </c>
      <c r="C699" s="110">
        <v>2023</v>
      </c>
      <c r="D699" s="110" t="str">
        <f t="shared" si="8"/>
        <v>2027_2023</v>
      </c>
      <c r="E699" s="1231">
        <v>9.1464414231788704E-3</v>
      </c>
      <c r="F699" s="1232">
        <v>2.5409544173767135E-2</v>
      </c>
      <c r="G699" s="1232">
        <v>1.1280443476773301</v>
      </c>
      <c r="H699" s="1232">
        <v>0.30026297883924252</v>
      </c>
      <c r="I699" s="1232">
        <v>1.6482012337037701E-2</v>
      </c>
      <c r="J699" s="1232">
        <v>1.0346052520099892E-4</v>
      </c>
      <c r="K699" s="1232">
        <v>3.0000008603787501E-3</v>
      </c>
      <c r="L699" s="1233">
        <v>2.7950604995948401E-2</v>
      </c>
      <c r="M699" s="1234">
        <v>1.7227255797071999E-2</v>
      </c>
      <c r="N699" s="1235">
        <v>1.0813855105130693E-4</v>
      </c>
    </row>
    <row r="700" spans="1:14" ht="15.5" x14ac:dyDescent="0.35">
      <c r="A700" s="199">
        <v>2027</v>
      </c>
      <c r="B700" s="110" t="s">
        <v>5850</v>
      </c>
      <c r="C700" s="110">
        <v>2024</v>
      </c>
      <c r="D700" s="110" t="str">
        <f t="shared" si="8"/>
        <v>2027_2024</v>
      </c>
      <c r="E700" s="1231">
        <v>8.79255459837874E-3</v>
      </c>
      <c r="F700" s="1232">
        <v>2.5409544173766944E-2</v>
      </c>
      <c r="G700" s="1232">
        <v>1.0626434629386099</v>
      </c>
      <c r="H700" s="1232">
        <v>0.30026297883923947</v>
      </c>
      <c r="I700" s="1232">
        <v>1.51852122385609E-2</v>
      </c>
      <c r="J700" s="1232">
        <v>1.0346052520099786E-4</v>
      </c>
      <c r="K700" s="1232">
        <v>3.0000008603787501E-3</v>
      </c>
      <c r="L700" s="1233">
        <v>2.7950604995755898E-2</v>
      </c>
      <c r="M700" s="1234">
        <v>1.58718201526073E-2</v>
      </c>
      <c r="N700" s="1235">
        <v>1.0813855105130584E-4</v>
      </c>
    </row>
    <row r="701" spans="1:14" ht="15.5" x14ac:dyDescent="0.35">
      <c r="A701" s="199">
        <v>2027</v>
      </c>
      <c r="B701" s="110" t="s">
        <v>5850</v>
      </c>
      <c r="C701" s="110">
        <v>2025</v>
      </c>
      <c r="D701" s="110" t="str">
        <f t="shared" si="8"/>
        <v>2027_2025</v>
      </c>
      <c r="E701" s="1231">
        <v>8.4386677735034995E-3</v>
      </c>
      <c r="F701" s="1232">
        <v>2.5409544173766948E-2</v>
      </c>
      <c r="G701" s="1232">
        <v>0.87820618616170898</v>
      </c>
      <c r="H701" s="1232">
        <v>0.13639975517702155</v>
      </c>
      <c r="I701" s="1232">
        <v>1.39287762325296E-2</v>
      </c>
      <c r="J701" s="1232">
        <v>1.0346052520099789E-4</v>
      </c>
      <c r="K701" s="1232">
        <v>3.0000008603787501E-3</v>
      </c>
      <c r="L701" s="1233">
        <v>2.79506049959014E-2</v>
      </c>
      <c r="M701" s="1234">
        <v>1.45585736857355E-2</v>
      </c>
      <c r="N701" s="1235">
        <v>1.0813855105130585E-4</v>
      </c>
    </row>
    <row r="702" spans="1:14" ht="15.5" x14ac:dyDescent="0.35">
      <c r="A702" s="199">
        <v>2027</v>
      </c>
      <c r="B702" s="110" t="s">
        <v>5850</v>
      </c>
      <c r="C702" s="110">
        <v>2026</v>
      </c>
      <c r="D702" s="110" t="str">
        <f t="shared" si="8"/>
        <v>2027_2026</v>
      </c>
      <c r="E702" s="1231">
        <v>8.0847809486688394E-3</v>
      </c>
      <c r="F702" s="1232">
        <v>2.5409544173766951E-2</v>
      </c>
      <c r="G702" s="1232">
        <v>0.78949487514436201</v>
      </c>
      <c r="H702" s="1232">
        <v>0.12851865828867751</v>
      </c>
      <c r="I702" s="1232">
        <v>1.26885387144146E-2</v>
      </c>
      <c r="J702" s="1232">
        <v>1.0346052520099816E-4</v>
      </c>
      <c r="K702" s="1232">
        <v>3.0000008603787501E-3</v>
      </c>
      <c r="L702" s="1233">
        <v>3.0883006076839001E-2</v>
      </c>
      <c r="M702" s="1234">
        <v>1.32622581305237E-2</v>
      </c>
      <c r="N702" s="1235">
        <v>1.0813855105130615E-4</v>
      </c>
    </row>
    <row r="703" spans="1:14" ht="15.5" x14ac:dyDescent="0.35">
      <c r="A703" s="199">
        <v>2027</v>
      </c>
      <c r="B703" s="110" t="s">
        <v>5850</v>
      </c>
      <c r="C703" s="110">
        <v>2027</v>
      </c>
      <c r="D703" s="110" t="str">
        <f t="shared" si="8"/>
        <v>2027_2027</v>
      </c>
      <c r="E703" s="1231">
        <v>7.7311550810256801E-3</v>
      </c>
      <c r="F703" s="1232">
        <v>2.5409546400351053E-2</v>
      </c>
      <c r="G703" s="1232">
        <v>0.67655711024218701</v>
      </c>
      <c r="H703" s="1232">
        <v>0.12054637248846498</v>
      </c>
      <c r="I703" s="1232">
        <v>1.1471020882932099E-2</v>
      </c>
      <c r="J703" s="1232">
        <v>1.0346053426702265E-4</v>
      </c>
      <c r="K703" s="1232">
        <v>3.0000008603784101E-3</v>
      </c>
      <c r="L703" s="1233">
        <v>3.08811805303758E-2</v>
      </c>
      <c r="M703" s="1234">
        <v>1.1989689545357E-2</v>
      </c>
      <c r="N703" s="1235">
        <v>1.0813856052725593E-4</v>
      </c>
    </row>
    <row r="704" spans="1:14" ht="15.5" x14ac:dyDescent="0.35">
      <c r="A704" s="199">
        <v>2027</v>
      </c>
      <c r="B704" s="110" t="s">
        <v>5850</v>
      </c>
      <c r="C704" s="110">
        <v>2028</v>
      </c>
      <c r="D704" s="110" t="str">
        <f t="shared" si="8"/>
        <v>2027_2028</v>
      </c>
      <c r="E704" s="1231">
        <v>7.3758318331937304E-3</v>
      </c>
      <c r="F704" s="1232">
        <v>6.0982880782648012E-2</v>
      </c>
      <c r="G704" s="1232">
        <v>0.37519350310475202</v>
      </c>
      <c r="H704" s="1232">
        <v>0.18148122337622177</v>
      </c>
      <c r="I704" s="1232">
        <v>1.02411008738479E-2</v>
      </c>
      <c r="J704" s="1232">
        <v>2.4830515773503726E-4</v>
      </c>
      <c r="K704" s="1232">
        <v>3.0000008603803599E-3</v>
      </c>
      <c r="L704" s="1233">
        <v>3.0891623605283702E-2</v>
      </c>
      <c r="M704" s="1234">
        <v>1.07041580111513E-2</v>
      </c>
      <c r="N704" s="1235">
        <v>2.5953241512999687E-4</v>
      </c>
    </row>
    <row r="705" spans="1:14" ht="15.5" x14ac:dyDescent="0.35">
      <c r="A705" s="199">
        <v>2028</v>
      </c>
      <c r="B705" s="110" t="s">
        <v>5850</v>
      </c>
      <c r="C705" s="110">
        <v>1971</v>
      </c>
      <c r="D705" s="110" t="str">
        <f t="shared" si="8"/>
        <v>2028_1971</v>
      </c>
      <c r="E705" s="1226">
        <v>0.124155851295912</v>
      </c>
      <c r="F705" s="1227">
        <v>5.2946835884539641E-2</v>
      </c>
      <c r="G705" s="1227">
        <v>5.1253476596770096</v>
      </c>
      <c r="H705" s="1227">
        <v>0.7110607451622506</v>
      </c>
      <c r="I705" s="1227">
        <v>5.7273969226002502E-2</v>
      </c>
      <c r="J705" s="1227">
        <v>2.1630714770635423E-4</v>
      </c>
      <c r="K705" s="1227">
        <v>3.0000008603787501E-3</v>
      </c>
      <c r="L705" s="1228">
        <v>2.7950603378934201E-2</v>
      </c>
      <c r="M705" s="1229">
        <v>5.9863643964928E-2</v>
      </c>
      <c r="N705" s="1230">
        <v>2.2608759707688333E-4</v>
      </c>
    </row>
    <row r="706" spans="1:14" ht="15.5" x14ac:dyDescent="0.35">
      <c r="A706" s="199">
        <v>2028</v>
      </c>
      <c r="B706" s="110" t="s">
        <v>5850</v>
      </c>
      <c r="C706" s="110">
        <v>1972</v>
      </c>
      <c r="D706" s="110" t="str">
        <f t="shared" si="8"/>
        <v>2028_1972</v>
      </c>
      <c r="E706" s="1226">
        <v>0.124155851295912</v>
      </c>
      <c r="F706" s="1227">
        <v>5.2946835884539641E-2</v>
      </c>
      <c r="G706" s="1227">
        <v>5.1253476596770096</v>
      </c>
      <c r="H706" s="1227">
        <v>0.7110607451622506</v>
      </c>
      <c r="I706" s="1227">
        <v>5.7273969226002502E-2</v>
      </c>
      <c r="J706" s="1227">
        <v>2.1630714770635423E-4</v>
      </c>
      <c r="K706" s="1227">
        <v>3.0000008603787501E-3</v>
      </c>
      <c r="L706" s="1228">
        <v>2.7950603378934201E-2</v>
      </c>
      <c r="M706" s="1229">
        <v>5.9863643964928E-2</v>
      </c>
      <c r="N706" s="1230">
        <v>2.2608759707688333E-4</v>
      </c>
    </row>
    <row r="707" spans="1:14" ht="15.5" x14ac:dyDescent="0.35">
      <c r="A707" s="199">
        <v>2028</v>
      </c>
      <c r="B707" s="110" t="s">
        <v>5850</v>
      </c>
      <c r="C707" s="110">
        <v>1973</v>
      </c>
      <c r="D707" s="110" t="str">
        <f t="shared" si="8"/>
        <v>2028_1973</v>
      </c>
      <c r="E707" s="1226">
        <v>0.124155851295912</v>
      </c>
      <c r="F707" s="1227">
        <v>5.2946835884539641E-2</v>
      </c>
      <c r="G707" s="1227">
        <v>5.1253476596770096</v>
      </c>
      <c r="H707" s="1227">
        <v>0.7110607451622506</v>
      </c>
      <c r="I707" s="1227">
        <v>5.7273969226002502E-2</v>
      </c>
      <c r="J707" s="1227">
        <v>2.1630714770635423E-4</v>
      </c>
      <c r="K707" s="1227">
        <v>3.0000008603787501E-3</v>
      </c>
      <c r="L707" s="1228">
        <v>2.7950603378934201E-2</v>
      </c>
      <c r="M707" s="1229">
        <v>5.9863643964928E-2</v>
      </c>
      <c r="N707" s="1230">
        <v>2.2608759707688333E-4</v>
      </c>
    </row>
    <row r="708" spans="1:14" ht="15.5" x14ac:dyDescent="0.35">
      <c r="A708" s="199">
        <v>2028</v>
      </c>
      <c r="B708" s="110" t="s">
        <v>5850</v>
      </c>
      <c r="C708" s="110">
        <v>1974</v>
      </c>
      <c r="D708" s="110" t="str">
        <f t="shared" si="8"/>
        <v>2028_1974</v>
      </c>
      <c r="E708" s="1226">
        <v>0.124155851295912</v>
      </c>
      <c r="F708" s="1227">
        <v>5.2946835884539641E-2</v>
      </c>
      <c r="G708" s="1227">
        <v>5.1253476596770096</v>
      </c>
      <c r="H708" s="1227">
        <v>0.7110607451622506</v>
      </c>
      <c r="I708" s="1227">
        <v>5.7273969226002502E-2</v>
      </c>
      <c r="J708" s="1227">
        <v>2.1630714770635423E-4</v>
      </c>
      <c r="K708" s="1227">
        <v>3.0000008603787501E-3</v>
      </c>
      <c r="L708" s="1228">
        <v>2.7950603378934201E-2</v>
      </c>
      <c r="M708" s="1229">
        <v>5.9863643964928E-2</v>
      </c>
      <c r="N708" s="1230">
        <v>2.2608759707688333E-4</v>
      </c>
    </row>
    <row r="709" spans="1:14" ht="15.5" x14ac:dyDescent="0.35">
      <c r="A709" s="199">
        <v>2028</v>
      </c>
      <c r="B709" s="110" t="s">
        <v>5850</v>
      </c>
      <c r="C709" s="110">
        <v>1975</v>
      </c>
      <c r="D709" s="110" t="str">
        <f t="shared" si="8"/>
        <v>2028_1975</v>
      </c>
      <c r="E709" s="1226">
        <v>0.124155851295912</v>
      </c>
      <c r="F709" s="1227">
        <v>5.2946835884539641E-2</v>
      </c>
      <c r="G709" s="1227">
        <v>5.1253476596770096</v>
      </c>
      <c r="H709" s="1227">
        <v>0.7110607451622506</v>
      </c>
      <c r="I709" s="1227">
        <v>5.7273969226002502E-2</v>
      </c>
      <c r="J709" s="1227">
        <v>2.1630714770635423E-4</v>
      </c>
      <c r="K709" s="1227">
        <v>3.0000008603787501E-3</v>
      </c>
      <c r="L709" s="1228">
        <v>2.7950603378934201E-2</v>
      </c>
      <c r="M709" s="1229">
        <v>5.9863643964928E-2</v>
      </c>
      <c r="N709" s="1230">
        <v>2.2608759707688333E-4</v>
      </c>
    </row>
    <row r="710" spans="1:14" ht="15.5" x14ac:dyDescent="0.35">
      <c r="A710" s="199">
        <v>2028</v>
      </c>
      <c r="B710" s="110" t="s">
        <v>5850</v>
      </c>
      <c r="C710" s="110">
        <v>1976</v>
      </c>
      <c r="D710" s="110" t="str">
        <f t="shared" si="8"/>
        <v>2028_1976</v>
      </c>
      <c r="E710" s="1226">
        <v>0.124155851295912</v>
      </c>
      <c r="F710" s="1227">
        <v>5.2946835884539641E-2</v>
      </c>
      <c r="G710" s="1227">
        <v>5.1253476596770096</v>
      </c>
      <c r="H710" s="1227">
        <v>0.7110607451622506</v>
      </c>
      <c r="I710" s="1227">
        <v>5.7273969226002502E-2</v>
      </c>
      <c r="J710" s="1227">
        <v>2.1630714770635423E-4</v>
      </c>
      <c r="K710" s="1227">
        <v>3.0000008603787501E-3</v>
      </c>
      <c r="L710" s="1228">
        <v>2.7950603378934201E-2</v>
      </c>
      <c r="M710" s="1229">
        <v>5.9863643964928E-2</v>
      </c>
      <c r="N710" s="1230">
        <v>2.2608759707688333E-4</v>
      </c>
    </row>
    <row r="711" spans="1:14" ht="15.5" x14ac:dyDescent="0.35">
      <c r="A711" s="199">
        <v>2028</v>
      </c>
      <c r="B711" s="110" t="s">
        <v>5850</v>
      </c>
      <c r="C711" s="110">
        <v>1977</v>
      </c>
      <c r="D711" s="110" t="str">
        <f t="shared" si="8"/>
        <v>2028_1977</v>
      </c>
      <c r="E711" s="1226">
        <v>0.124155851295912</v>
      </c>
      <c r="F711" s="1227">
        <v>5.2946835884539641E-2</v>
      </c>
      <c r="G711" s="1227">
        <v>5.1253476596770096</v>
      </c>
      <c r="H711" s="1227">
        <v>0.7110607451622506</v>
      </c>
      <c r="I711" s="1227">
        <v>5.7273969226002502E-2</v>
      </c>
      <c r="J711" s="1227">
        <v>2.1630714770635423E-4</v>
      </c>
      <c r="K711" s="1227">
        <v>3.0000008603787501E-3</v>
      </c>
      <c r="L711" s="1228">
        <v>2.7950603378934201E-2</v>
      </c>
      <c r="M711" s="1229">
        <v>5.9863643964928E-2</v>
      </c>
      <c r="N711" s="1230">
        <v>2.2608759707688333E-4</v>
      </c>
    </row>
    <row r="712" spans="1:14" ht="15.5" x14ac:dyDescent="0.35">
      <c r="A712" s="199">
        <v>2028</v>
      </c>
      <c r="B712" s="110" t="s">
        <v>5850</v>
      </c>
      <c r="C712" s="110">
        <v>1978</v>
      </c>
      <c r="D712" s="110" t="str">
        <f t="shared" si="8"/>
        <v>2028_1978</v>
      </c>
      <c r="E712" s="1226">
        <v>0.124155851295912</v>
      </c>
      <c r="F712" s="1227">
        <v>5.2946835884539641E-2</v>
      </c>
      <c r="G712" s="1227">
        <v>5.1253476596770096</v>
      </c>
      <c r="H712" s="1227">
        <v>0.7110607451622506</v>
      </c>
      <c r="I712" s="1227">
        <v>5.7273969226002502E-2</v>
      </c>
      <c r="J712" s="1227">
        <v>2.1630714770635423E-4</v>
      </c>
      <c r="K712" s="1227">
        <v>3.0000008603787501E-3</v>
      </c>
      <c r="L712" s="1228">
        <v>2.7950603378934201E-2</v>
      </c>
      <c r="M712" s="1229">
        <v>5.9863643964928E-2</v>
      </c>
      <c r="N712" s="1230">
        <v>2.2608759707688333E-4</v>
      </c>
    </row>
    <row r="713" spans="1:14" ht="15.5" x14ac:dyDescent="0.35">
      <c r="A713" s="199">
        <v>2028</v>
      </c>
      <c r="B713" s="110" t="s">
        <v>5850</v>
      </c>
      <c r="C713" s="110">
        <v>1979</v>
      </c>
      <c r="D713" s="110" t="str">
        <f t="shared" si="8"/>
        <v>2028_1979</v>
      </c>
      <c r="E713" s="1226">
        <v>0.124155851295912</v>
      </c>
      <c r="F713" s="1227">
        <v>5.2946835884539641E-2</v>
      </c>
      <c r="G713" s="1227">
        <v>5.1253476596770096</v>
      </c>
      <c r="H713" s="1227">
        <v>0.7110607451622506</v>
      </c>
      <c r="I713" s="1227">
        <v>5.7273969226002502E-2</v>
      </c>
      <c r="J713" s="1227">
        <v>2.1630714770635423E-4</v>
      </c>
      <c r="K713" s="1227">
        <v>3.0000008603787501E-3</v>
      </c>
      <c r="L713" s="1228">
        <v>2.7950603378934201E-2</v>
      </c>
      <c r="M713" s="1229">
        <v>5.9863643964928E-2</v>
      </c>
      <c r="N713" s="1230">
        <v>2.2608759707688333E-4</v>
      </c>
    </row>
    <row r="714" spans="1:14" ht="15.5" x14ac:dyDescent="0.35">
      <c r="A714" s="199">
        <v>2028</v>
      </c>
      <c r="B714" s="110" t="s">
        <v>5850</v>
      </c>
      <c r="C714" s="110">
        <v>1980</v>
      </c>
      <c r="D714" s="110" t="str">
        <f t="shared" si="8"/>
        <v>2028_1980</v>
      </c>
      <c r="E714" s="1226">
        <v>0.124155851295912</v>
      </c>
      <c r="F714" s="1227">
        <v>5.2946835884539641E-2</v>
      </c>
      <c r="G714" s="1227">
        <v>5.1253476596770096</v>
      </c>
      <c r="H714" s="1227">
        <v>0.7110607451622506</v>
      </c>
      <c r="I714" s="1227">
        <v>5.7273969226002502E-2</v>
      </c>
      <c r="J714" s="1227">
        <v>2.1630714770635423E-4</v>
      </c>
      <c r="K714" s="1227">
        <v>3.0000008603787501E-3</v>
      </c>
      <c r="L714" s="1228">
        <v>2.7950603378934201E-2</v>
      </c>
      <c r="M714" s="1229">
        <v>5.9863643964928E-2</v>
      </c>
      <c r="N714" s="1230">
        <v>2.2608759707688333E-4</v>
      </c>
    </row>
    <row r="715" spans="1:14" ht="15.5" x14ac:dyDescent="0.35">
      <c r="A715" s="199">
        <v>2028</v>
      </c>
      <c r="B715" s="110" t="s">
        <v>5850</v>
      </c>
      <c r="C715" s="110">
        <v>1981</v>
      </c>
      <c r="D715" s="110" t="str">
        <f t="shared" si="8"/>
        <v>2028_1981</v>
      </c>
      <c r="E715" s="1226">
        <v>0.124155851295912</v>
      </c>
      <c r="F715" s="1227">
        <v>5.2946835884539641E-2</v>
      </c>
      <c r="G715" s="1227">
        <v>5.1253476596770096</v>
      </c>
      <c r="H715" s="1227">
        <v>0.7110607451622506</v>
      </c>
      <c r="I715" s="1227">
        <v>5.7273969226002502E-2</v>
      </c>
      <c r="J715" s="1227">
        <v>2.1630714770635423E-4</v>
      </c>
      <c r="K715" s="1227">
        <v>3.0000008603787501E-3</v>
      </c>
      <c r="L715" s="1228">
        <v>2.7950603378934201E-2</v>
      </c>
      <c r="M715" s="1229">
        <v>5.9863643964928E-2</v>
      </c>
      <c r="N715" s="1230">
        <v>2.2608759707688333E-4</v>
      </c>
    </row>
    <row r="716" spans="1:14" ht="15.5" x14ac:dyDescent="0.35">
      <c r="A716" s="199">
        <v>2028</v>
      </c>
      <c r="B716" s="110" t="s">
        <v>5850</v>
      </c>
      <c r="C716" s="110">
        <v>1982</v>
      </c>
      <c r="D716" s="110" t="str">
        <f t="shared" si="8"/>
        <v>2028_1982</v>
      </c>
      <c r="E716" s="1226">
        <v>0.124155851295912</v>
      </c>
      <c r="F716" s="1227">
        <v>5.2946835884539641E-2</v>
      </c>
      <c r="G716" s="1227">
        <v>5.1253476596770096</v>
      </c>
      <c r="H716" s="1227">
        <v>0.7110607451622506</v>
      </c>
      <c r="I716" s="1227">
        <v>5.7273969226002502E-2</v>
      </c>
      <c r="J716" s="1227">
        <v>2.1630714770635423E-4</v>
      </c>
      <c r="K716" s="1227">
        <v>3.0000008603787501E-3</v>
      </c>
      <c r="L716" s="1228">
        <v>2.7950603378934201E-2</v>
      </c>
      <c r="M716" s="1229">
        <v>5.9863643964928E-2</v>
      </c>
      <c r="N716" s="1230">
        <v>2.2608759707688333E-4</v>
      </c>
    </row>
    <row r="717" spans="1:14" ht="15.5" x14ac:dyDescent="0.35">
      <c r="A717" s="199">
        <v>2028</v>
      </c>
      <c r="B717" s="110" t="s">
        <v>5850</v>
      </c>
      <c r="C717" s="110">
        <v>1983</v>
      </c>
      <c r="D717" s="110" t="str">
        <f t="shared" si="8"/>
        <v>2028_1983</v>
      </c>
      <c r="E717" s="1226">
        <v>0.124155851295912</v>
      </c>
      <c r="F717" s="1227">
        <v>5.2946835884539641E-2</v>
      </c>
      <c r="G717" s="1227">
        <v>5.1253476596770096</v>
      </c>
      <c r="H717" s="1227">
        <v>0.7110607451622506</v>
      </c>
      <c r="I717" s="1227">
        <v>5.7273969226002502E-2</v>
      </c>
      <c r="J717" s="1227">
        <v>2.1630714770635423E-4</v>
      </c>
      <c r="K717" s="1227">
        <v>3.0000008603787501E-3</v>
      </c>
      <c r="L717" s="1228">
        <v>2.7950603378934201E-2</v>
      </c>
      <c r="M717" s="1229">
        <v>5.9863643964928E-2</v>
      </c>
      <c r="N717" s="1230">
        <v>2.2608759707688333E-4</v>
      </c>
    </row>
    <row r="718" spans="1:14" ht="15.5" x14ac:dyDescent="0.35">
      <c r="A718" s="199">
        <v>2028</v>
      </c>
      <c r="B718" s="110" t="s">
        <v>5850</v>
      </c>
      <c r="C718" s="110">
        <v>1984</v>
      </c>
      <c r="D718" s="110" t="str">
        <f t="shared" si="8"/>
        <v>2028_1984</v>
      </c>
      <c r="E718" s="1226">
        <v>0.124155851295912</v>
      </c>
      <c r="F718" s="1227">
        <v>5.2946835884539641E-2</v>
      </c>
      <c r="G718" s="1227">
        <v>5.1253476596770096</v>
      </c>
      <c r="H718" s="1227">
        <v>0.7110607451622506</v>
      </c>
      <c r="I718" s="1227">
        <v>5.7273969226002502E-2</v>
      </c>
      <c r="J718" s="1227">
        <v>2.1630714770635423E-4</v>
      </c>
      <c r="K718" s="1227">
        <v>3.0000008603787501E-3</v>
      </c>
      <c r="L718" s="1228">
        <v>2.7950603378934201E-2</v>
      </c>
      <c r="M718" s="1229">
        <v>5.9863643964928E-2</v>
      </c>
      <c r="N718" s="1230">
        <v>2.2608759707688333E-4</v>
      </c>
    </row>
    <row r="719" spans="1:14" ht="15.5" x14ac:dyDescent="0.35">
      <c r="A719" s="199">
        <v>2028</v>
      </c>
      <c r="B719" s="110" t="s">
        <v>5850</v>
      </c>
      <c r="C719" s="110">
        <v>1985</v>
      </c>
      <c r="D719" s="110" t="str">
        <f t="shared" si="8"/>
        <v>2028_1985</v>
      </c>
      <c r="E719" s="1226">
        <v>0.124155851295912</v>
      </c>
      <c r="F719" s="1227">
        <v>5.2946835884539641E-2</v>
      </c>
      <c r="G719" s="1227">
        <v>5.1253476596770096</v>
      </c>
      <c r="H719" s="1227">
        <v>0.7110607451622506</v>
      </c>
      <c r="I719" s="1227">
        <v>5.7273969226002502E-2</v>
      </c>
      <c r="J719" s="1227">
        <v>2.1630714770635423E-4</v>
      </c>
      <c r="K719" s="1227">
        <v>3.0000008603787501E-3</v>
      </c>
      <c r="L719" s="1228">
        <v>2.7950603378934201E-2</v>
      </c>
      <c r="M719" s="1229">
        <v>5.9863643964928E-2</v>
      </c>
      <c r="N719" s="1230">
        <v>2.2608759707688333E-4</v>
      </c>
    </row>
    <row r="720" spans="1:14" ht="15.5" x14ac:dyDescent="0.35">
      <c r="A720" s="199">
        <v>2028</v>
      </c>
      <c r="B720" s="110" t="s">
        <v>5850</v>
      </c>
      <c r="C720" s="110">
        <v>1986</v>
      </c>
      <c r="D720" s="110" t="str">
        <f t="shared" si="8"/>
        <v>2028_1986</v>
      </c>
      <c r="E720" s="1226">
        <v>0.124155851295912</v>
      </c>
      <c r="F720" s="1227">
        <v>5.2946835884539641E-2</v>
      </c>
      <c r="G720" s="1227">
        <v>5.1253476596770096</v>
      </c>
      <c r="H720" s="1227">
        <v>0.7110607451622506</v>
      </c>
      <c r="I720" s="1227">
        <v>5.7273969226002502E-2</v>
      </c>
      <c r="J720" s="1227">
        <v>2.1630714770635423E-4</v>
      </c>
      <c r="K720" s="1227">
        <v>3.0000008603787501E-3</v>
      </c>
      <c r="L720" s="1228">
        <v>2.7950603378934201E-2</v>
      </c>
      <c r="M720" s="1229">
        <v>5.9863643964928E-2</v>
      </c>
      <c r="N720" s="1230">
        <v>2.2608759707688333E-4</v>
      </c>
    </row>
    <row r="721" spans="1:14" ht="15.5" x14ac:dyDescent="0.35">
      <c r="A721" s="199">
        <v>2028</v>
      </c>
      <c r="B721" s="110" t="s">
        <v>5850</v>
      </c>
      <c r="C721" s="110">
        <v>1987</v>
      </c>
      <c r="D721" s="110" t="str">
        <f t="shared" si="8"/>
        <v>2028_1987</v>
      </c>
      <c r="E721" s="1226">
        <v>0.124155851295912</v>
      </c>
      <c r="F721" s="1227">
        <v>5.2946835884539641E-2</v>
      </c>
      <c r="G721" s="1227">
        <v>5.1253476596770096</v>
      </c>
      <c r="H721" s="1227">
        <v>0.7110607451622506</v>
      </c>
      <c r="I721" s="1227">
        <v>5.7273969226002502E-2</v>
      </c>
      <c r="J721" s="1227">
        <v>2.1630714770635423E-4</v>
      </c>
      <c r="K721" s="1227">
        <v>3.0000008603787501E-3</v>
      </c>
      <c r="L721" s="1228">
        <v>2.7950603378934201E-2</v>
      </c>
      <c r="M721" s="1229">
        <v>5.9863643964928E-2</v>
      </c>
      <c r="N721" s="1230">
        <v>2.2608759707688333E-4</v>
      </c>
    </row>
    <row r="722" spans="1:14" ht="15.5" x14ac:dyDescent="0.35">
      <c r="A722" s="199">
        <v>2028</v>
      </c>
      <c r="B722" s="110" t="s">
        <v>5850</v>
      </c>
      <c r="C722" s="110">
        <v>1988</v>
      </c>
      <c r="D722" s="110" t="str">
        <f t="shared" si="8"/>
        <v>2028_1988</v>
      </c>
      <c r="E722" s="1226">
        <v>0.124155851295912</v>
      </c>
      <c r="F722" s="1227">
        <v>5.2946835884539641E-2</v>
      </c>
      <c r="G722" s="1227">
        <v>5.1253476596770096</v>
      </c>
      <c r="H722" s="1227">
        <v>0.7110607451622506</v>
      </c>
      <c r="I722" s="1227">
        <v>5.7273969226002502E-2</v>
      </c>
      <c r="J722" s="1227">
        <v>2.1630714770635423E-4</v>
      </c>
      <c r="K722" s="1227">
        <v>3.0000008603787501E-3</v>
      </c>
      <c r="L722" s="1228">
        <v>2.7950603378934201E-2</v>
      </c>
      <c r="M722" s="1229">
        <v>5.9863643964928E-2</v>
      </c>
      <c r="N722" s="1230">
        <v>2.2608759707688333E-4</v>
      </c>
    </row>
    <row r="723" spans="1:14" ht="15.5" x14ac:dyDescent="0.35">
      <c r="A723" s="199">
        <v>2028</v>
      </c>
      <c r="B723" s="110" t="s">
        <v>5850</v>
      </c>
      <c r="C723" s="110">
        <v>1989</v>
      </c>
      <c r="D723" s="110" t="str">
        <f t="shared" si="8"/>
        <v>2028_1989</v>
      </c>
      <c r="E723" s="1226">
        <v>0.124155851295912</v>
      </c>
      <c r="F723" s="1227">
        <v>5.2946835884539641E-2</v>
      </c>
      <c r="G723" s="1227">
        <v>5.1253476596770096</v>
      </c>
      <c r="H723" s="1227">
        <v>0.7110607451622506</v>
      </c>
      <c r="I723" s="1227">
        <v>5.7273969226002502E-2</v>
      </c>
      <c r="J723" s="1227">
        <v>2.1630714770635423E-4</v>
      </c>
      <c r="K723" s="1227">
        <v>3.0000008603787501E-3</v>
      </c>
      <c r="L723" s="1228">
        <v>2.7950603378934201E-2</v>
      </c>
      <c r="M723" s="1229">
        <v>5.9863643964928E-2</v>
      </c>
      <c r="N723" s="1230">
        <v>2.2608759707688333E-4</v>
      </c>
    </row>
    <row r="724" spans="1:14" ht="15.5" x14ac:dyDescent="0.35">
      <c r="A724" s="199">
        <v>2028</v>
      </c>
      <c r="B724" s="110" t="s">
        <v>5850</v>
      </c>
      <c r="C724" s="110">
        <v>1990</v>
      </c>
      <c r="D724" s="110" t="str">
        <f t="shared" si="8"/>
        <v>2028_1990</v>
      </c>
      <c r="E724" s="1226">
        <v>0.124155851295912</v>
      </c>
      <c r="F724" s="1227">
        <v>5.2946835884539641E-2</v>
      </c>
      <c r="G724" s="1227">
        <v>5.1253476596770096</v>
      </c>
      <c r="H724" s="1227">
        <v>0.7110607451622506</v>
      </c>
      <c r="I724" s="1227">
        <v>5.7273969226002502E-2</v>
      </c>
      <c r="J724" s="1227">
        <v>2.1630714770635423E-4</v>
      </c>
      <c r="K724" s="1227">
        <v>3.0000008603787501E-3</v>
      </c>
      <c r="L724" s="1228">
        <v>2.7950603378934201E-2</v>
      </c>
      <c r="M724" s="1229">
        <v>5.9863643964928E-2</v>
      </c>
      <c r="N724" s="1230">
        <v>2.2608759707688333E-4</v>
      </c>
    </row>
    <row r="725" spans="1:14" ht="15.5" x14ac:dyDescent="0.35">
      <c r="A725" s="199">
        <v>2028</v>
      </c>
      <c r="B725" s="110" t="s">
        <v>5850</v>
      </c>
      <c r="C725" s="110">
        <v>1991</v>
      </c>
      <c r="D725" s="110" t="str">
        <f t="shared" si="8"/>
        <v>2028_1991</v>
      </c>
      <c r="E725" s="1226">
        <v>0.124155851295912</v>
      </c>
      <c r="F725" s="1227">
        <v>5.2946835884539641E-2</v>
      </c>
      <c r="G725" s="1227">
        <v>5.1253476596770096</v>
      </c>
      <c r="H725" s="1227">
        <v>0.7110607451622506</v>
      </c>
      <c r="I725" s="1227">
        <v>5.7273969226002502E-2</v>
      </c>
      <c r="J725" s="1227">
        <v>2.1630714770635423E-4</v>
      </c>
      <c r="K725" s="1227">
        <v>3.0000008603787501E-3</v>
      </c>
      <c r="L725" s="1228">
        <v>2.7950603378934201E-2</v>
      </c>
      <c r="M725" s="1229">
        <v>5.9863643964928E-2</v>
      </c>
      <c r="N725" s="1230">
        <v>2.2608759707688333E-4</v>
      </c>
    </row>
    <row r="726" spans="1:14" ht="15.5" x14ac:dyDescent="0.35">
      <c r="A726" s="199">
        <v>2028</v>
      </c>
      <c r="B726" s="110" t="s">
        <v>5850</v>
      </c>
      <c r="C726" s="110">
        <v>1992</v>
      </c>
      <c r="D726" s="110" t="str">
        <f t="shared" si="8"/>
        <v>2028_1992</v>
      </c>
      <c r="E726" s="1226">
        <v>0.124155851295912</v>
      </c>
      <c r="F726" s="1227">
        <v>5.2946835884539641E-2</v>
      </c>
      <c r="G726" s="1227">
        <v>5.1253476596770096</v>
      </c>
      <c r="H726" s="1227">
        <v>0.7110607451622506</v>
      </c>
      <c r="I726" s="1227">
        <v>5.7273969226002502E-2</v>
      </c>
      <c r="J726" s="1227">
        <v>2.1630714770635423E-4</v>
      </c>
      <c r="K726" s="1227">
        <v>3.0000008603787501E-3</v>
      </c>
      <c r="L726" s="1228">
        <v>2.7950603378934201E-2</v>
      </c>
      <c r="M726" s="1229">
        <v>5.9863643964928E-2</v>
      </c>
      <c r="N726" s="1230">
        <v>2.2608759707688333E-4</v>
      </c>
    </row>
    <row r="727" spans="1:14" ht="15.5" x14ac:dyDescent="0.35">
      <c r="A727" s="199">
        <v>2028</v>
      </c>
      <c r="B727" s="110" t="s">
        <v>5850</v>
      </c>
      <c r="C727" s="110">
        <v>1993</v>
      </c>
      <c r="D727" s="110" t="str">
        <f t="shared" si="8"/>
        <v>2028_1993</v>
      </c>
      <c r="E727" s="1226">
        <v>0.124155851295912</v>
      </c>
      <c r="F727" s="1227">
        <v>5.2946835884539641E-2</v>
      </c>
      <c r="G727" s="1227">
        <v>5.1253476596770096</v>
      </c>
      <c r="H727" s="1227">
        <v>0.7110607451622506</v>
      </c>
      <c r="I727" s="1227">
        <v>5.7273969226002502E-2</v>
      </c>
      <c r="J727" s="1227">
        <v>2.1630714770635423E-4</v>
      </c>
      <c r="K727" s="1227">
        <v>3.0000008603787501E-3</v>
      </c>
      <c r="L727" s="1228">
        <v>2.7950603378934201E-2</v>
      </c>
      <c r="M727" s="1229">
        <v>5.9863643964928E-2</v>
      </c>
      <c r="N727" s="1230">
        <v>2.2608759707688333E-4</v>
      </c>
    </row>
    <row r="728" spans="1:14" ht="15.5" x14ac:dyDescent="0.35">
      <c r="A728" s="199">
        <v>2028</v>
      </c>
      <c r="B728" s="110" t="s">
        <v>5850</v>
      </c>
      <c r="C728" s="110">
        <v>1994</v>
      </c>
      <c r="D728" s="110" t="str">
        <f t="shared" si="8"/>
        <v>2028_1994</v>
      </c>
      <c r="E728" s="1226">
        <v>0.124155851295912</v>
      </c>
      <c r="F728" s="1227">
        <v>5.2946835884539641E-2</v>
      </c>
      <c r="G728" s="1227">
        <v>5.1253476596770096</v>
      </c>
      <c r="H728" s="1227">
        <v>0.7110607451622506</v>
      </c>
      <c r="I728" s="1227">
        <v>5.7273969226002502E-2</v>
      </c>
      <c r="J728" s="1227">
        <v>2.1630714770635423E-4</v>
      </c>
      <c r="K728" s="1227">
        <v>3.0000008603787501E-3</v>
      </c>
      <c r="L728" s="1228">
        <v>2.7950603378934201E-2</v>
      </c>
      <c r="M728" s="1229">
        <v>5.9863643964928E-2</v>
      </c>
      <c r="N728" s="1230">
        <v>2.2608759707688333E-4</v>
      </c>
    </row>
    <row r="729" spans="1:14" ht="15.5" x14ac:dyDescent="0.35">
      <c r="A729" s="199">
        <v>2028</v>
      </c>
      <c r="B729" s="110" t="s">
        <v>5850</v>
      </c>
      <c r="C729" s="110">
        <v>1995</v>
      </c>
      <c r="D729" s="110" t="str">
        <f t="shared" si="8"/>
        <v>2028_1995</v>
      </c>
      <c r="E729" s="1226">
        <v>0.124155851295912</v>
      </c>
      <c r="F729" s="1227">
        <v>5.2946835884539641E-2</v>
      </c>
      <c r="G729" s="1227">
        <v>5.1253476596770096</v>
      </c>
      <c r="H729" s="1227">
        <v>0.7110607451622506</v>
      </c>
      <c r="I729" s="1227">
        <v>5.7273969226002502E-2</v>
      </c>
      <c r="J729" s="1227">
        <v>2.1630714770635423E-4</v>
      </c>
      <c r="K729" s="1227">
        <v>3.0000008603787501E-3</v>
      </c>
      <c r="L729" s="1228">
        <v>2.7950603378934201E-2</v>
      </c>
      <c r="M729" s="1229">
        <v>5.9863643964928E-2</v>
      </c>
      <c r="N729" s="1230">
        <v>2.2608759707688333E-4</v>
      </c>
    </row>
    <row r="730" spans="1:14" ht="15.5" x14ac:dyDescent="0.35">
      <c r="A730" s="199">
        <v>2028</v>
      </c>
      <c r="B730" s="110" t="s">
        <v>5850</v>
      </c>
      <c r="C730" s="110">
        <v>1996</v>
      </c>
      <c r="D730" s="110" t="str">
        <f t="shared" si="8"/>
        <v>2028_1996</v>
      </c>
      <c r="E730" s="1226">
        <v>0.124155851295912</v>
      </c>
      <c r="F730" s="1227">
        <v>5.2946835884539641E-2</v>
      </c>
      <c r="G730" s="1227">
        <v>5.1253476596770096</v>
      </c>
      <c r="H730" s="1227">
        <v>0.7110607451622506</v>
      </c>
      <c r="I730" s="1227">
        <v>5.7273969226002502E-2</v>
      </c>
      <c r="J730" s="1227">
        <v>2.1630714770635423E-4</v>
      </c>
      <c r="K730" s="1227">
        <v>3.0000008603787501E-3</v>
      </c>
      <c r="L730" s="1228">
        <v>2.7950603378934201E-2</v>
      </c>
      <c r="M730" s="1229">
        <v>5.9863643964928E-2</v>
      </c>
      <c r="N730" s="1230">
        <v>2.2608759707688333E-4</v>
      </c>
    </row>
    <row r="731" spans="1:14" ht="15.5" x14ac:dyDescent="0.35">
      <c r="A731" s="199">
        <v>2028</v>
      </c>
      <c r="B731" s="110" t="s">
        <v>5850</v>
      </c>
      <c r="C731" s="110">
        <v>1997</v>
      </c>
      <c r="D731" s="110" t="str">
        <f t="shared" si="8"/>
        <v>2028_1997</v>
      </c>
      <c r="E731" s="1226">
        <v>0.124155851295912</v>
      </c>
      <c r="F731" s="1227">
        <v>5.2946835884539641E-2</v>
      </c>
      <c r="G731" s="1227">
        <v>5.1253476596770096</v>
      </c>
      <c r="H731" s="1227">
        <v>0.7110607451622506</v>
      </c>
      <c r="I731" s="1227">
        <v>5.7273969226002502E-2</v>
      </c>
      <c r="J731" s="1227">
        <v>2.1630714770635423E-4</v>
      </c>
      <c r="K731" s="1227">
        <v>3.0000008603787501E-3</v>
      </c>
      <c r="L731" s="1228">
        <v>2.7950603378934201E-2</v>
      </c>
      <c r="M731" s="1229">
        <v>5.9863643964928E-2</v>
      </c>
      <c r="N731" s="1230">
        <v>2.2608759707688333E-4</v>
      </c>
    </row>
    <row r="732" spans="1:14" ht="15.5" x14ac:dyDescent="0.35">
      <c r="A732" s="199">
        <v>2028</v>
      </c>
      <c r="B732" s="110" t="s">
        <v>5850</v>
      </c>
      <c r="C732" s="110">
        <v>1998</v>
      </c>
      <c r="D732" s="110" t="str">
        <f t="shared" si="8"/>
        <v>2028_1998</v>
      </c>
      <c r="E732" s="1226">
        <v>0.124155851295912</v>
      </c>
      <c r="F732" s="1227">
        <v>5.2946835884539641E-2</v>
      </c>
      <c r="G732" s="1227">
        <v>5.1253476596770096</v>
      </c>
      <c r="H732" s="1227">
        <v>0.7110607451622506</v>
      </c>
      <c r="I732" s="1227">
        <v>5.7273969226002502E-2</v>
      </c>
      <c r="J732" s="1227">
        <v>2.1630714770635423E-4</v>
      </c>
      <c r="K732" s="1227">
        <v>3.0000008603787501E-3</v>
      </c>
      <c r="L732" s="1228">
        <v>2.7950603378934201E-2</v>
      </c>
      <c r="M732" s="1229">
        <v>5.9863643964928E-2</v>
      </c>
      <c r="N732" s="1230">
        <v>2.2608759707688333E-4</v>
      </c>
    </row>
    <row r="733" spans="1:14" ht="15.5" x14ac:dyDescent="0.35">
      <c r="A733" s="199">
        <v>2028</v>
      </c>
      <c r="B733" s="110" t="s">
        <v>5850</v>
      </c>
      <c r="C733" s="110">
        <v>1999</v>
      </c>
      <c r="D733" s="110" t="str">
        <f t="shared" si="8"/>
        <v>2028_1999</v>
      </c>
      <c r="E733" s="1226">
        <v>0.124155851295912</v>
      </c>
      <c r="F733" s="1227">
        <v>5.2946835884539641E-2</v>
      </c>
      <c r="G733" s="1227">
        <v>5.1253476596770096</v>
      </c>
      <c r="H733" s="1227">
        <v>0.7110607451622506</v>
      </c>
      <c r="I733" s="1227">
        <v>5.7273969226002502E-2</v>
      </c>
      <c r="J733" s="1227">
        <v>2.1630714770635423E-4</v>
      </c>
      <c r="K733" s="1227">
        <v>3.0000008603787501E-3</v>
      </c>
      <c r="L733" s="1228">
        <v>2.7950603378934201E-2</v>
      </c>
      <c r="M733" s="1229">
        <v>5.9863643964928E-2</v>
      </c>
      <c r="N733" s="1230">
        <v>2.2608759707688333E-4</v>
      </c>
    </row>
    <row r="734" spans="1:14" ht="15.5" x14ac:dyDescent="0.35">
      <c r="A734" s="199">
        <v>2028</v>
      </c>
      <c r="B734" s="110" t="s">
        <v>5850</v>
      </c>
      <c r="C734" s="110">
        <v>2000</v>
      </c>
      <c r="D734" s="110" t="str">
        <f t="shared" si="8"/>
        <v>2028_2000</v>
      </c>
      <c r="E734" s="1226">
        <v>0.124155851295912</v>
      </c>
      <c r="F734" s="1227">
        <v>5.2946835884539641E-2</v>
      </c>
      <c r="G734" s="1227">
        <v>5.1253476596770096</v>
      </c>
      <c r="H734" s="1227">
        <v>0.7110607451622506</v>
      </c>
      <c r="I734" s="1227">
        <v>5.7273969226002502E-2</v>
      </c>
      <c r="J734" s="1227">
        <v>2.1630714770635423E-4</v>
      </c>
      <c r="K734" s="1227">
        <v>3.0000008603787501E-3</v>
      </c>
      <c r="L734" s="1228">
        <v>2.7950603378934201E-2</v>
      </c>
      <c r="M734" s="1229">
        <v>5.9863643964928E-2</v>
      </c>
      <c r="N734" s="1230">
        <v>2.2608759707688333E-4</v>
      </c>
    </row>
    <row r="735" spans="1:14" ht="15.5" x14ac:dyDescent="0.35">
      <c r="A735" s="199">
        <v>2028</v>
      </c>
      <c r="B735" s="110" t="s">
        <v>5850</v>
      </c>
      <c r="C735" s="110">
        <v>2001</v>
      </c>
      <c r="D735" s="110" t="str">
        <f t="shared" si="8"/>
        <v>2028_2001</v>
      </c>
      <c r="E735" s="1226">
        <v>0.124155851295912</v>
      </c>
      <c r="F735" s="1227">
        <v>5.2946835884539641E-2</v>
      </c>
      <c r="G735" s="1227">
        <v>5.1253476596770096</v>
      </c>
      <c r="H735" s="1227">
        <v>0.7110607451622506</v>
      </c>
      <c r="I735" s="1227">
        <v>5.7273969226002502E-2</v>
      </c>
      <c r="J735" s="1227">
        <v>2.1630714770635423E-4</v>
      </c>
      <c r="K735" s="1227">
        <v>3.0000008603787501E-3</v>
      </c>
      <c r="L735" s="1228">
        <v>2.7950603378934201E-2</v>
      </c>
      <c r="M735" s="1229">
        <v>5.9863643964928E-2</v>
      </c>
      <c r="N735" s="1230">
        <v>2.2608759707688333E-4</v>
      </c>
    </row>
    <row r="736" spans="1:14" ht="15.5" x14ac:dyDescent="0.35">
      <c r="A736" s="199">
        <v>2028</v>
      </c>
      <c r="B736" s="110" t="s">
        <v>5850</v>
      </c>
      <c r="C736" s="110">
        <v>2002</v>
      </c>
      <c r="D736" s="110" t="str">
        <f t="shared" si="8"/>
        <v>2028_2002</v>
      </c>
      <c r="E736" s="1226">
        <v>0.124155851295912</v>
      </c>
      <c r="F736" s="1227">
        <v>5.2946835884539641E-2</v>
      </c>
      <c r="G736" s="1227">
        <v>5.1253476596770096</v>
      </c>
      <c r="H736" s="1227">
        <v>0.7110607451622506</v>
      </c>
      <c r="I736" s="1227">
        <v>5.7273969226002502E-2</v>
      </c>
      <c r="J736" s="1227">
        <v>2.1630714770635423E-4</v>
      </c>
      <c r="K736" s="1227">
        <v>3.0000008603787501E-3</v>
      </c>
      <c r="L736" s="1228">
        <v>2.7950603378934201E-2</v>
      </c>
      <c r="M736" s="1229">
        <v>5.9863643964928E-2</v>
      </c>
      <c r="N736" s="1230">
        <v>2.2608759707688333E-4</v>
      </c>
    </row>
    <row r="737" spans="1:14" ht="15.5" x14ac:dyDescent="0.35">
      <c r="A737" s="199">
        <v>2028</v>
      </c>
      <c r="B737" s="110" t="s">
        <v>5850</v>
      </c>
      <c r="C737" s="110">
        <v>2003</v>
      </c>
      <c r="D737" s="110" t="str">
        <f t="shared" si="8"/>
        <v>2028_2003</v>
      </c>
      <c r="E737" s="1226">
        <v>0.124155851295912</v>
      </c>
      <c r="F737" s="1227">
        <v>5.2946835884539641E-2</v>
      </c>
      <c r="G737" s="1227">
        <v>5.1253476596770096</v>
      </c>
      <c r="H737" s="1227">
        <v>0.7110607451622506</v>
      </c>
      <c r="I737" s="1227">
        <v>5.7273969226002502E-2</v>
      </c>
      <c r="J737" s="1227">
        <v>2.1630714770635423E-4</v>
      </c>
      <c r="K737" s="1227">
        <v>3.0000008603787501E-3</v>
      </c>
      <c r="L737" s="1228">
        <v>2.7950603378934201E-2</v>
      </c>
      <c r="M737" s="1229">
        <v>5.9863643964928E-2</v>
      </c>
      <c r="N737" s="1230">
        <v>2.2608759707688333E-4</v>
      </c>
    </row>
    <row r="738" spans="1:14" ht="15.5" x14ac:dyDescent="0.35">
      <c r="A738" s="199">
        <v>2028</v>
      </c>
      <c r="B738" s="110" t="s">
        <v>5850</v>
      </c>
      <c r="C738" s="110">
        <v>2004</v>
      </c>
      <c r="D738" s="110" t="str">
        <f t="shared" si="8"/>
        <v>2028_2004</v>
      </c>
      <c r="E738" s="1226">
        <v>0.124155851295912</v>
      </c>
      <c r="F738" s="1227">
        <v>5.2946835884539641E-2</v>
      </c>
      <c r="G738" s="1227">
        <v>5.1253476596770096</v>
      </c>
      <c r="H738" s="1227">
        <v>0.7110607451622506</v>
      </c>
      <c r="I738" s="1227">
        <v>5.7273969226002502E-2</v>
      </c>
      <c r="J738" s="1227">
        <v>2.1630714770635423E-4</v>
      </c>
      <c r="K738" s="1227">
        <v>3.0000008603787501E-3</v>
      </c>
      <c r="L738" s="1228">
        <v>2.7950603378934201E-2</v>
      </c>
      <c r="M738" s="1229">
        <v>5.9863643964928E-2</v>
      </c>
      <c r="N738" s="1230">
        <v>2.2608759707688333E-4</v>
      </c>
    </row>
    <row r="739" spans="1:14" ht="15.5" x14ac:dyDescent="0.35">
      <c r="A739" s="199">
        <v>2028</v>
      </c>
      <c r="B739" s="110" t="s">
        <v>5850</v>
      </c>
      <c r="C739" s="110">
        <v>2005</v>
      </c>
      <c r="D739" s="110" t="str">
        <f t="shared" si="8"/>
        <v>2028_2005</v>
      </c>
      <c r="E739" s="1226">
        <v>0.124155851295912</v>
      </c>
      <c r="F739" s="1227">
        <v>5.2946835884539641E-2</v>
      </c>
      <c r="G739" s="1227">
        <v>5.1253476596770096</v>
      </c>
      <c r="H739" s="1227">
        <v>0.7110607451622506</v>
      </c>
      <c r="I739" s="1227">
        <v>5.7273969226002502E-2</v>
      </c>
      <c r="J739" s="1227">
        <v>2.1630714770635423E-4</v>
      </c>
      <c r="K739" s="1227">
        <v>3.0000008603787501E-3</v>
      </c>
      <c r="L739" s="1228">
        <v>2.7950603378934201E-2</v>
      </c>
      <c r="M739" s="1229">
        <v>5.9863643964928E-2</v>
      </c>
      <c r="N739" s="1230">
        <v>2.2608759707688333E-4</v>
      </c>
    </row>
    <row r="740" spans="1:14" ht="15.5" x14ac:dyDescent="0.35">
      <c r="A740" s="199">
        <v>2028</v>
      </c>
      <c r="B740" s="110" t="s">
        <v>5850</v>
      </c>
      <c r="C740" s="110">
        <v>2006</v>
      </c>
      <c r="D740" s="110" t="str">
        <f t="shared" si="8"/>
        <v>2028_2006</v>
      </c>
      <c r="E740" s="1226">
        <v>0.124155851295912</v>
      </c>
      <c r="F740" s="1227">
        <v>5.2946835884539641E-2</v>
      </c>
      <c r="G740" s="1227">
        <v>5.1253476596770096</v>
      </c>
      <c r="H740" s="1227">
        <v>0.7110607451622506</v>
      </c>
      <c r="I740" s="1227">
        <v>5.7273969226002502E-2</v>
      </c>
      <c r="J740" s="1227">
        <v>2.1630714770635423E-4</v>
      </c>
      <c r="K740" s="1227">
        <v>3.0000008603787501E-3</v>
      </c>
      <c r="L740" s="1228">
        <v>2.7950603378934201E-2</v>
      </c>
      <c r="M740" s="1229">
        <v>5.9863643964928E-2</v>
      </c>
      <c r="N740" s="1230">
        <v>2.2608759707688333E-4</v>
      </c>
    </row>
    <row r="741" spans="1:14" ht="15.5" x14ac:dyDescent="0.35">
      <c r="A741" s="199">
        <v>2028</v>
      </c>
      <c r="B741" s="110" t="s">
        <v>5850</v>
      </c>
      <c r="C741" s="110">
        <v>2007</v>
      </c>
      <c r="D741" s="110" t="str">
        <f t="shared" si="8"/>
        <v>2028_2007</v>
      </c>
      <c r="E741" s="1226">
        <v>0.124155851295912</v>
      </c>
      <c r="F741" s="1227">
        <v>5.2946835884539641E-2</v>
      </c>
      <c r="G741" s="1227">
        <v>5.1253476596770096</v>
      </c>
      <c r="H741" s="1227">
        <v>0.7110607451622506</v>
      </c>
      <c r="I741" s="1227">
        <v>5.7273969226002502E-2</v>
      </c>
      <c r="J741" s="1227">
        <v>2.1630714770635423E-4</v>
      </c>
      <c r="K741" s="1227">
        <v>3.0000008603787501E-3</v>
      </c>
      <c r="L741" s="1228">
        <v>2.7950603378934201E-2</v>
      </c>
      <c r="M741" s="1229">
        <v>5.9863643964928E-2</v>
      </c>
      <c r="N741" s="1230">
        <v>2.2608759707688333E-4</v>
      </c>
    </row>
    <row r="742" spans="1:14" ht="15.5" x14ac:dyDescent="0.35">
      <c r="A742" s="199">
        <v>2028</v>
      </c>
      <c r="B742" s="110" t="s">
        <v>5850</v>
      </c>
      <c r="C742" s="110">
        <v>2008</v>
      </c>
      <c r="D742" s="110" t="str">
        <f t="shared" si="8"/>
        <v>2028_2008</v>
      </c>
      <c r="E742" s="1226">
        <v>0.124155851295912</v>
      </c>
      <c r="F742" s="1227">
        <v>5.2946835884539641E-2</v>
      </c>
      <c r="G742" s="1227">
        <v>5.1253476596770096</v>
      </c>
      <c r="H742" s="1227">
        <v>0.7110607451622506</v>
      </c>
      <c r="I742" s="1227">
        <v>5.7273969226002502E-2</v>
      </c>
      <c r="J742" s="1227">
        <v>2.1630714770635423E-4</v>
      </c>
      <c r="K742" s="1227">
        <v>3.0000008603787501E-3</v>
      </c>
      <c r="L742" s="1228">
        <v>2.7950603378934201E-2</v>
      </c>
      <c r="M742" s="1229">
        <v>5.9863643964928E-2</v>
      </c>
      <c r="N742" s="1230">
        <v>2.2608759707688333E-4</v>
      </c>
    </row>
    <row r="743" spans="1:14" ht="15.5" x14ac:dyDescent="0.35">
      <c r="A743" s="199">
        <v>2028</v>
      </c>
      <c r="B743" s="110" t="s">
        <v>5850</v>
      </c>
      <c r="C743" s="110">
        <v>2009</v>
      </c>
      <c r="D743" s="110" t="str">
        <f t="shared" si="8"/>
        <v>2028_2009</v>
      </c>
      <c r="E743" s="1226">
        <v>0.124155851295912</v>
      </c>
      <c r="F743" s="1227">
        <v>5.2946835884539641E-2</v>
      </c>
      <c r="G743" s="1227">
        <v>5.1253476596770096</v>
      </c>
      <c r="H743" s="1227">
        <v>0.7110607451622506</v>
      </c>
      <c r="I743" s="1227">
        <v>5.7273969226002502E-2</v>
      </c>
      <c r="J743" s="1227">
        <v>2.1630714770635423E-4</v>
      </c>
      <c r="K743" s="1227">
        <v>3.0000008603787501E-3</v>
      </c>
      <c r="L743" s="1228">
        <v>2.7950603378934201E-2</v>
      </c>
      <c r="M743" s="1229">
        <v>5.9863643964928E-2</v>
      </c>
      <c r="N743" s="1230">
        <v>2.2608759707688333E-4</v>
      </c>
    </row>
    <row r="744" spans="1:14" ht="15.5" x14ac:dyDescent="0.35">
      <c r="A744" s="199">
        <v>2028</v>
      </c>
      <c r="B744" s="110" t="s">
        <v>5850</v>
      </c>
      <c r="C744" s="110">
        <v>2010</v>
      </c>
      <c r="D744" s="110" t="str">
        <f t="shared" si="8"/>
        <v>2028_2010</v>
      </c>
      <c r="E744" s="1226">
        <v>0.124155851295912</v>
      </c>
      <c r="F744" s="1227">
        <v>5.2946835884539641E-2</v>
      </c>
      <c r="G744" s="1227">
        <v>5.1253476596770096</v>
      </c>
      <c r="H744" s="1227">
        <v>0.7110607451622506</v>
      </c>
      <c r="I744" s="1227">
        <v>5.7273969226002502E-2</v>
      </c>
      <c r="J744" s="1227">
        <v>2.1630714770635423E-4</v>
      </c>
      <c r="K744" s="1227">
        <v>3.0000008603787501E-3</v>
      </c>
      <c r="L744" s="1228">
        <v>2.7950603378934201E-2</v>
      </c>
      <c r="M744" s="1229">
        <v>5.9863643964928E-2</v>
      </c>
      <c r="N744" s="1230">
        <v>2.2608759707688333E-4</v>
      </c>
    </row>
    <row r="745" spans="1:14" ht="15.5" x14ac:dyDescent="0.35">
      <c r="A745" s="199">
        <v>2028</v>
      </c>
      <c r="B745" s="110" t="s">
        <v>5850</v>
      </c>
      <c r="C745" s="110">
        <v>2011</v>
      </c>
      <c r="D745" s="110" t="str">
        <f t="shared" si="8"/>
        <v>2028_2011</v>
      </c>
      <c r="E745" s="1231">
        <v>0.124155851295912</v>
      </c>
      <c r="F745" s="1232">
        <v>5.2946835884539641E-2</v>
      </c>
      <c r="G745" s="1232">
        <v>5.1253476596770096</v>
      </c>
      <c r="H745" s="1232">
        <v>0.7110607451622506</v>
      </c>
      <c r="I745" s="1232">
        <v>5.7273969226002502E-2</v>
      </c>
      <c r="J745" s="1232">
        <v>2.1630714770635423E-4</v>
      </c>
      <c r="K745" s="1232">
        <v>3.0000008603787501E-3</v>
      </c>
      <c r="L745" s="1233">
        <v>2.7950603378934201E-2</v>
      </c>
      <c r="M745" s="1234">
        <v>5.9863643964928E-2</v>
      </c>
      <c r="N745" s="1235">
        <v>2.2608759707688333E-4</v>
      </c>
    </row>
    <row r="746" spans="1:14" ht="15.5" x14ac:dyDescent="0.35">
      <c r="A746" s="199">
        <v>2028</v>
      </c>
      <c r="B746" s="110" t="s">
        <v>5850</v>
      </c>
      <c r="C746" s="110">
        <v>2012</v>
      </c>
      <c r="D746" s="110" t="str">
        <f t="shared" si="8"/>
        <v>2028_2012</v>
      </c>
      <c r="E746" s="1231">
        <v>2.5040082715710701E-2</v>
      </c>
      <c r="F746" s="1232">
        <v>5.3124281111740244E-2</v>
      </c>
      <c r="G746" s="1232">
        <v>4.4679870894711797</v>
      </c>
      <c r="H746" s="1232">
        <v>0.62776627499569648</v>
      </c>
      <c r="I746" s="1232">
        <v>3.3222113575826703E-2</v>
      </c>
      <c r="J746" s="1232">
        <v>2.1630714770635312E-4</v>
      </c>
      <c r="K746" s="1232">
        <v>3.0000008603787501E-3</v>
      </c>
      <c r="L746" s="1233">
        <v>2.79506033790606E-2</v>
      </c>
      <c r="M746" s="1234">
        <v>3.4724270130779902E-2</v>
      </c>
      <c r="N746" s="1235">
        <v>2.2608759707688216E-4</v>
      </c>
    </row>
    <row r="747" spans="1:14" ht="15.5" x14ac:dyDescent="0.35">
      <c r="A747" s="199">
        <v>2028</v>
      </c>
      <c r="B747" s="110" t="s">
        <v>5850</v>
      </c>
      <c r="C747" s="110">
        <v>2013</v>
      </c>
      <c r="D747" s="110" t="str">
        <f t="shared" si="8"/>
        <v>2028_2013</v>
      </c>
      <c r="E747" s="1231">
        <v>2.4342205052672899E-2</v>
      </c>
      <c r="F747" s="1232">
        <v>5.3124281111740765E-2</v>
      </c>
      <c r="G747" s="1232">
        <v>4.1352025977721301</v>
      </c>
      <c r="H747" s="1232">
        <v>0.62776627499570392</v>
      </c>
      <c r="I747" s="1232">
        <v>3.1578930661351701E-2</v>
      </c>
      <c r="J747" s="1232">
        <v>2.1630714770635523E-4</v>
      </c>
      <c r="K747" s="1232">
        <v>3.0000008603787501E-3</v>
      </c>
      <c r="L747" s="1233">
        <v>2.7950603379048901E-2</v>
      </c>
      <c r="M747" s="1234">
        <v>3.3006789776428597E-2</v>
      </c>
      <c r="N747" s="1235">
        <v>2.2608759707688436E-4</v>
      </c>
    </row>
    <row r="748" spans="1:14" ht="15.5" x14ac:dyDescent="0.35">
      <c r="A748" s="198">
        <v>2028</v>
      </c>
      <c r="B748" s="197" t="s">
        <v>5850</v>
      </c>
      <c r="C748" s="197">
        <v>2014</v>
      </c>
      <c r="D748" s="110" t="str">
        <f t="shared" si="8"/>
        <v>2028_2014</v>
      </c>
      <c r="E748" s="1231">
        <v>1.18454392518836E-2</v>
      </c>
      <c r="F748" s="1232">
        <v>4.7811853000566271E-2</v>
      </c>
      <c r="G748" s="1232">
        <v>1.5557479373740499</v>
      </c>
      <c r="H748" s="1232">
        <v>0.56498964749612857</v>
      </c>
      <c r="I748" s="1232">
        <v>3.5978403437365698E-2</v>
      </c>
      <c r="J748" s="1232">
        <v>1.94676432935718E-4</v>
      </c>
      <c r="K748" s="1232">
        <v>3.0000008603787501E-3</v>
      </c>
      <c r="L748" s="1233">
        <v>2.79506033789426E-2</v>
      </c>
      <c r="M748" s="1234">
        <v>3.7605187189002597E-2</v>
      </c>
      <c r="N748" s="1235">
        <v>2.0347883736919416E-4</v>
      </c>
    </row>
    <row r="749" spans="1:14" ht="15.5" x14ac:dyDescent="0.35">
      <c r="A749" s="198">
        <v>2028</v>
      </c>
      <c r="B749" s="197" t="s">
        <v>5850</v>
      </c>
      <c r="C749" s="197">
        <v>2015</v>
      </c>
      <c r="D749" s="110" t="str">
        <f t="shared" si="8"/>
        <v>2028_2015</v>
      </c>
      <c r="E749" s="1231">
        <v>1.1660628212144201E-2</v>
      </c>
      <c r="F749" s="1232">
        <v>4.3030667700509839E-2</v>
      </c>
      <c r="G749" s="1232">
        <v>1.53679462605446</v>
      </c>
      <c r="H749" s="1232">
        <v>0.50849068274651665</v>
      </c>
      <c r="I749" s="1232">
        <v>3.5043578002105398E-2</v>
      </c>
      <c r="J749" s="1232">
        <v>1.7520878964214653E-4</v>
      </c>
      <c r="K749" s="1232">
        <v>3.0000008603787501E-3</v>
      </c>
      <c r="L749" s="1233">
        <v>2.7950603378967299E-2</v>
      </c>
      <c r="M749" s="1234">
        <v>3.6628093095786303E-2</v>
      </c>
      <c r="N749" s="1235">
        <v>1.8313095363227511E-4</v>
      </c>
    </row>
    <row r="750" spans="1:14" ht="15.5" x14ac:dyDescent="0.35">
      <c r="A750" s="198">
        <v>2028</v>
      </c>
      <c r="B750" s="197" t="s">
        <v>5850</v>
      </c>
      <c r="C750" s="197">
        <v>2016</v>
      </c>
      <c r="D750" s="110" t="str">
        <f t="shared" si="8"/>
        <v>2028_2016</v>
      </c>
      <c r="E750" s="1231">
        <v>1.1455282612424801E-2</v>
      </c>
      <c r="F750" s="1232">
        <v>3.8727600930458746E-2</v>
      </c>
      <c r="G750" s="1232">
        <v>1.5151544537180099</v>
      </c>
      <c r="H750" s="1232">
        <v>0.4576416144718638</v>
      </c>
      <c r="I750" s="1232">
        <v>3.4004883074053298E-2</v>
      </c>
      <c r="J750" s="1232">
        <v>1.5768791067793147E-4</v>
      </c>
      <c r="K750" s="1232">
        <v>3.0000008603787501E-3</v>
      </c>
      <c r="L750" s="1233">
        <v>2.7950603378982301E-2</v>
      </c>
      <c r="M750" s="1234">
        <v>3.5542432992228097E-2</v>
      </c>
      <c r="N750" s="1235">
        <v>1.6481785826904713E-4</v>
      </c>
    </row>
    <row r="751" spans="1:14" ht="15.5" x14ac:dyDescent="0.35">
      <c r="A751" s="198">
        <v>2028</v>
      </c>
      <c r="B751" s="197" t="s">
        <v>5850</v>
      </c>
      <c r="C751" s="197">
        <v>2017</v>
      </c>
      <c r="D751" s="110" t="str">
        <f t="shared" si="8"/>
        <v>2028_2017</v>
      </c>
      <c r="E751" s="1231">
        <v>1.14251190641502E-2</v>
      </c>
      <c r="F751" s="1232">
        <v>3.4854840837412755E-2</v>
      </c>
      <c r="G751" s="1232">
        <v>1.4903359791347499</v>
      </c>
      <c r="H751" s="1232">
        <v>0.4118774530246761</v>
      </c>
      <c r="I751" s="1232">
        <v>2.6778527972757701E-2</v>
      </c>
      <c r="J751" s="1232">
        <v>1.4191911961013786E-4</v>
      </c>
      <c r="K751" s="1232">
        <v>3.0000008603787501E-3</v>
      </c>
      <c r="L751" s="1233">
        <v>2.7950603378994701E-2</v>
      </c>
      <c r="M751" s="1234">
        <v>2.79893341797279E-2</v>
      </c>
      <c r="N751" s="1235">
        <v>1.4833607244214191E-4</v>
      </c>
    </row>
    <row r="752" spans="1:14" ht="15.5" x14ac:dyDescent="0.35">
      <c r="A752" s="198">
        <v>2028</v>
      </c>
      <c r="B752" s="197" t="s">
        <v>5850</v>
      </c>
      <c r="C752" s="197">
        <v>2018</v>
      </c>
      <c r="D752" s="110" t="str">
        <f t="shared" si="8"/>
        <v>2028_2018</v>
      </c>
      <c r="E752" s="1231">
        <v>1.11671355603728E-2</v>
      </c>
      <c r="F752" s="1232">
        <v>3.1369356753671702E-2</v>
      </c>
      <c r="G752" s="1232">
        <v>1.4617157643987599</v>
      </c>
      <c r="H752" s="1232">
        <v>0.37068970772221205</v>
      </c>
      <c r="I752" s="1232">
        <v>2.5733193210475E-2</v>
      </c>
      <c r="J752" s="1232">
        <v>1.2772720764912528E-4</v>
      </c>
      <c r="K752" s="1232">
        <v>3.0000008603787501E-3</v>
      </c>
      <c r="L752" s="1233">
        <v>2.7950603378899E-2</v>
      </c>
      <c r="M752" s="1234">
        <v>2.6896734018099E-2</v>
      </c>
      <c r="N752" s="1235">
        <v>1.3350246519792903E-4</v>
      </c>
    </row>
    <row r="753" spans="1:14" ht="15.5" x14ac:dyDescent="0.35">
      <c r="A753" s="198">
        <v>2028</v>
      </c>
      <c r="B753" s="197" t="s">
        <v>5850</v>
      </c>
      <c r="C753" s="197">
        <v>2019</v>
      </c>
      <c r="D753" s="110" t="str">
        <f t="shared" si="8"/>
        <v>2028_2019</v>
      </c>
      <c r="E753" s="1231">
        <v>1.08804872227557E-2</v>
      </c>
      <c r="F753" s="1232">
        <v>2.8232421078304509E-2</v>
      </c>
      <c r="G753" s="1232">
        <v>1.42848401211638</v>
      </c>
      <c r="H753" s="1232">
        <v>0.33362073694998967</v>
      </c>
      <c r="I753" s="1232">
        <v>2.4571710140481502E-2</v>
      </c>
      <c r="J753" s="1232">
        <v>1.1495448688421236E-4</v>
      </c>
      <c r="K753" s="1232">
        <v>3.0000008603787501E-3</v>
      </c>
      <c r="L753" s="1233">
        <v>2.7950603379097098E-2</v>
      </c>
      <c r="M753" s="1234">
        <v>2.5682733837685202E-2</v>
      </c>
      <c r="N753" s="1235">
        <v>1.2015221867813571E-4</v>
      </c>
    </row>
    <row r="754" spans="1:14" ht="15.5" x14ac:dyDescent="0.35">
      <c r="A754" s="198">
        <v>2028</v>
      </c>
      <c r="B754" s="197" t="s">
        <v>5850</v>
      </c>
      <c r="C754" s="197">
        <v>2020</v>
      </c>
      <c r="D754" s="110" t="str">
        <f t="shared" si="8"/>
        <v>2028_2020</v>
      </c>
      <c r="E754" s="1231">
        <v>1.0561989069977899E-2</v>
      </c>
      <c r="F754" s="1232">
        <v>2.540917897047414E-2</v>
      </c>
      <c r="G754" s="1232">
        <v>1.38955708814652</v>
      </c>
      <c r="H754" s="1232">
        <v>0.30025866325499168</v>
      </c>
      <c r="I754" s="1232">
        <v>2.3281173396984399E-2</v>
      </c>
      <c r="J754" s="1232">
        <v>1.0345903819579146E-4</v>
      </c>
      <c r="K754" s="1232">
        <v>3.0000008603787501E-3</v>
      </c>
      <c r="L754" s="1233">
        <v>2.7950603378989702E-2</v>
      </c>
      <c r="M754" s="1234">
        <v>2.4333844749319201E-2</v>
      </c>
      <c r="N754" s="1235">
        <v>1.0813699681032249E-4</v>
      </c>
    </row>
    <row r="755" spans="1:14" ht="15.5" x14ac:dyDescent="0.35">
      <c r="A755" s="198">
        <v>2028</v>
      </c>
      <c r="B755" s="197" t="s">
        <v>5850</v>
      </c>
      <c r="C755" s="197">
        <v>2021</v>
      </c>
      <c r="D755" s="110" t="str">
        <f t="shared" si="8"/>
        <v>2028_2021</v>
      </c>
      <c r="E755" s="1231">
        <v>1.0208102233501199E-2</v>
      </c>
      <c r="F755" s="1232">
        <v>2.540917897047448E-2</v>
      </c>
      <c r="G755" s="1232">
        <v>1.34342819240163</v>
      </c>
      <c r="H755" s="1232">
        <v>0.30025866325499645</v>
      </c>
      <c r="I755" s="1232">
        <v>2.18472436827526E-2</v>
      </c>
      <c r="J755" s="1232">
        <v>1.0345903819579246E-4</v>
      </c>
      <c r="K755" s="1232">
        <v>3.0000008603787501E-3</v>
      </c>
      <c r="L755" s="1233">
        <v>2.7950603378192398E-2</v>
      </c>
      <c r="M755" s="1234">
        <v>2.2835079096378701E-2</v>
      </c>
      <c r="N755" s="1235">
        <v>1.0813699681032421E-4</v>
      </c>
    </row>
    <row r="756" spans="1:14" ht="15.5" x14ac:dyDescent="0.35">
      <c r="A756" s="198">
        <v>2028</v>
      </c>
      <c r="B756" s="197" t="s">
        <v>5850</v>
      </c>
      <c r="C756" s="197">
        <v>2022</v>
      </c>
      <c r="D756" s="110" t="str">
        <f t="shared" si="8"/>
        <v>2028_2022</v>
      </c>
      <c r="E756" s="1231">
        <v>9.8542153969713598E-3</v>
      </c>
      <c r="F756" s="1232">
        <v>2.5409178970474025E-2</v>
      </c>
      <c r="G756" s="1232">
        <v>1.2936773237605399</v>
      </c>
      <c r="H756" s="1232">
        <v>0.30025866325499034</v>
      </c>
      <c r="I756" s="1232">
        <v>2.0413313965869699E-2</v>
      </c>
      <c r="J756" s="1232">
        <v>1.0345903819579099E-4</v>
      </c>
      <c r="K756" s="1232">
        <v>3.0000008603787501E-3</v>
      </c>
      <c r="L756" s="1233">
        <v>2.7950603379162602E-2</v>
      </c>
      <c r="M756" s="1234">
        <v>2.13363134406672E-2</v>
      </c>
      <c r="N756" s="1235">
        <v>1.0813699681032201E-4</v>
      </c>
    </row>
    <row r="757" spans="1:14" ht="15.5" x14ac:dyDescent="0.35">
      <c r="A757" s="198">
        <v>2028</v>
      </c>
      <c r="B757" s="197" t="s">
        <v>5850</v>
      </c>
      <c r="C757" s="197">
        <v>2023</v>
      </c>
      <c r="D757" s="110" t="str">
        <f t="shared" si="8"/>
        <v>2028_2023</v>
      </c>
      <c r="E757" s="1231">
        <v>9.5003285605073998E-3</v>
      </c>
      <c r="F757" s="1232">
        <v>2.5409178970474261E-2</v>
      </c>
      <c r="G757" s="1232">
        <v>1.1857817991683099</v>
      </c>
      <c r="H757" s="1232">
        <v>0.30025866325499329</v>
      </c>
      <c r="I757" s="1232">
        <v>1.7938396685260701E-2</v>
      </c>
      <c r="J757" s="1232">
        <v>1.034590381957916E-4</v>
      </c>
      <c r="K757" s="1232">
        <v>3.0000008603787501E-3</v>
      </c>
      <c r="L757" s="1233">
        <v>2.7950603379057502E-2</v>
      </c>
      <c r="M757" s="1234">
        <v>1.87494913829118E-2</v>
      </c>
      <c r="N757" s="1235">
        <v>1.0813699681032329E-4</v>
      </c>
    </row>
    <row r="758" spans="1:14" ht="15.5" x14ac:dyDescent="0.35">
      <c r="A758" s="198">
        <v>2028</v>
      </c>
      <c r="B758" s="197" t="s">
        <v>5850</v>
      </c>
      <c r="C758" s="197">
        <v>2024</v>
      </c>
      <c r="D758" s="110" t="str">
        <f t="shared" si="8"/>
        <v>2028_2024</v>
      </c>
      <c r="E758" s="1231">
        <v>9.1464417240686904E-3</v>
      </c>
      <c r="F758" s="1232">
        <v>2.540917897047398E-2</v>
      </c>
      <c r="G758" s="1232">
        <v>1.12804432309322</v>
      </c>
      <c r="H758" s="1232">
        <v>0.30025866325499062</v>
      </c>
      <c r="I758" s="1232">
        <v>1.6482014872974401E-2</v>
      </c>
      <c r="J758" s="1232">
        <v>1.0345903819579109E-4</v>
      </c>
      <c r="K758" s="1232">
        <v>3.0000008603787501E-3</v>
      </c>
      <c r="L758" s="1233">
        <v>2.79506033788651E-2</v>
      </c>
      <c r="M758" s="1234">
        <v>1.7227258447672499E-2</v>
      </c>
      <c r="N758" s="1235">
        <v>1.0813699681032211E-4</v>
      </c>
    </row>
    <row r="759" spans="1:14" ht="15.5" x14ac:dyDescent="0.35">
      <c r="A759" s="198">
        <v>2028</v>
      </c>
      <c r="B759" s="197" t="s">
        <v>5850</v>
      </c>
      <c r="C759" s="197">
        <v>2025</v>
      </c>
      <c r="D759" s="110" t="str">
        <f t="shared" si="8"/>
        <v>2028_2025</v>
      </c>
      <c r="E759" s="1231">
        <v>8.7925548875518594E-3</v>
      </c>
      <c r="F759" s="1232">
        <v>2.5409178970474088E-2</v>
      </c>
      <c r="G759" s="1232">
        <v>0.95305830691593396</v>
      </c>
      <c r="H759" s="1232">
        <v>0.14345212442660943</v>
      </c>
      <c r="I759" s="1232">
        <v>1.51852145744541E-2</v>
      </c>
      <c r="J759" s="1232">
        <v>1.0345903819579124E-4</v>
      </c>
      <c r="K759" s="1232">
        <v>3.0000008603787501E-3</v>
      </c>
      <c r="L759" s="1233">
        <v>2.7950603379010501E-2</v>
      </c>
      <c r="M759" s="1234">
        <v>1.58718225941193E-2</v>
      </c>
      <c r="N759" s="1235">
        <v>1.0813699681032227E-4</v>
      </c>
    </row>
    <row r="760" spans="1:14" ht="15.5" x14ac:dyDescent="0.35">
      <c r="A760" s="198">
        <v>2028</v>
      </c>
      <c r="B760" s="197" t="s">
        <v>5850</v>
      </c>
      <c r="C760" s="197">
        <v>2026</v>
      </c>
      <c r="D760" s="110" t="str">
        <f t="shared" si="8"/>
        <v>2028_2026</v>
      </c>
      <c r="E760" s="1231">
        <v>8.4386680510772603E-3</v>
      </c>
      <c r="F760" s="1232">
        <v>2.5409178970474053E-2</v>
      </c>
      <c r="G760" s="1232">
        <v>0.87820616702416698</v>
      </c>
      <c r="H760" s="1232">
        <v>0.13639779474674421</v>
      </c>
      <c r="I760" s="1232">
        <v>1.39287783753903E-2</v>
      </c>
      <c r="J760" s="1232">
        <v>1.0345903819579136E-4</v>
      </c>
      <c r="K760" s="1232">
        <v>3.0000008603787501E-3</v>
      </c>
      <c r="L760" s="1233">
        <v>3.0883004297871799E-2</v>
      </c>
      <c r="M760" s="1234">
        <v>1.4558575925486801E-2</v>
      </c>
      <c r="N760" s="1235">
        <v>1.0813699681032178E-4</v>
      </c>
    </row>
    <row r="761" spans="1:14" ht="15.5" x14ac:dyDescent="0.35">
      <c r="A761" s="198">
        <v>2028</v>
      </c>
      <c r="B761" s="197" t="s">
        <v>5850</v>
      </c>
      <c r="C761" s="197">
        <v>2027</v>
      </c>
      <c r="D761" s="110" t="str">
        <f t="shared" si="8"/>
        <v>2028_2027</v>
      </c>
      <c r="E761" s="1231">
        <v>8.0847812145965793E-3</v>
      </c>
      <c r="F761" s="1232">
        <v>2.5409178970474119E-2</v>
      </c>
      <c r="G761" s="1232">
        <v>0.78949485793984897</v>
      </c>
      <c r="H761" s="1232">
        <v>0.12851681113089755</v>
      </c>
      <c r="I761" s="1232">
        <v>1.2688540666446599E-2</v>
      </c>
      <c r="J761" s="1232">
        <v>1.0345903819579139E-4</v>
      </c>
      <c r="K761" s="1232">
        <v>3.0000008603787501E-3</v>
      </c>
      <c r="L761" s="1233">
        <v>3.0883004297866602E-2</v>
      </c>
      <c r="M761" s="1234">
        <v>1.3262260170818E-2</v>
      </c>
      <c r="N761" s="1235">
        <v>1.0813699681032242E-4</v>
      </c>
    </row>
    <row r="762" spans="1:14" ht="15.5" x14ac:dyDescent="0.35">
      <c r="A762" s="198">
        <v>2028</v>
      </c>
      <c r="B762" s="197" t="s">
        <v>5850</v>
      </c>
      <c r="C762" s="197">
        <v>2028</v>
      </c>
      <c r="D762" s="110" t="str">
        <f t="shared" si="8"/>
        <v>2028_2028</v>
      </c>
      <c r="E762" s="1231">
        <v>7.7311553370036801E-3</v>
      </c>
      <c r="F762" s="1232">
        <v>2.5409181134224038E-2</v>
      </c>
      <c r="G762" s="1232">
        <v>0.54872851835908898</v>
      </c>
      <c r="H762" s="1232">
        <v>7.561612731386573E-2</v>
      </c>
      <c r="I762" s="1232">
        <v>1.13795084290392E-2</v>
      </c>
      <c r="J762" s="1232">
        <v>1.0345904700597301E-4</v>
      </c>
      <c r="K762" s="1232">
        <v>3.0000008603784101E-3</v>
      </c>
      <c r="L762" s="1233">
        <v>3.08811787419562E-2</v>
      </c>
      <c r="M762" s="1234">
        <v>1.1894039304379499E-2</v>
      </c>
      <c r="N762" s="1235">
        <v>1.0813700601886124E-4</v>
      </c>
    </row>
    <row r="763" spans="1:14" ht="15.5" x14ac:dyDescent="0.35">
      <c r="A763" s="198">
        <v>2028</v>
      </c>
      <c r="B763" s="197" t="s">
        <v>5850</v>
      </c>
      <c r="C763" s="197">
        <v>2029</v>
      </c>
      <c r="D763" s="110" t="str">
        <f t="shared" si="8"/>
        <v>2028_2029</v>
      </c>
      <c r="E763" s="1231">
        <v>7.3758320681814003E-3</v>
      </c>
      <c r="F763" s="1232">
        <v>6.098200500660516E-2</v>
      </c>
      <c r="G763" s="1232">
        <v>0.375193495030685</v>
      </c>
      <c r="H763" s="1232">
        <v>0.18147861712171853</v>
      </c>
      <c r="I763" s="1232">
        <v>1.0241102407004101E-2</v>
      </c>
      <c r="J763" s="1232">
        <v>2.483015918210353E-4</v>
      </c>
      <c r="K763" s="1232">
        <v>3.0000008603803599E-3</v>
      </c>
      <c r="L763" s="1233">
        <v>3.08916218712505E-2</v>
      </c>
      <c r="M763" s="1234">
        <v>1.0704159613630001E-2</v>
      </c>
      <c r="N763" s="1235">
        <v>2.5952868798118729E-4</v>
      </c>
    </row>
    <row r="764" spans="1:14" ht="15.5" x14ac:dyDescent="0.35">
      <c r="A764" s="198">
        <v>2029</v>
      </c>
      <c r="B764" s="197" t="s">
        <v>5850</v>
      </c>
      <c r="C764" s="197">
        <v>1971</v>
      </c>
      <c r="D764" s="110" t="str">
        <f t="shared" si="8"/>
        <v>2029_1971</v>
      </c>
      <c r="E764" s="1226">
        <v>0.12415585196675601</v>
      </c>
      <c r="F764" s="1227">
        <v>5.2945866320980424E-2</v>
      </c>
      <c r="G764" s="1227">
        <v>5.1253478036395199</v>
      </c>
      <c r="H764" s="1227">
        <v>0.71104772420310591</v>
      </c>
      <c r="I764" s="1227">
        <v>5.72739788915477E-2</v>
      </c>
      <c r="J764" s="1227">
        <v>2.1630318668536949E-4</v>
      </c>
      <c r="K764" s="1227">
        <v>3.0000008603787501E-3</v>
      </c>
      <c r="L764" s="1228">
        <v>2.7950601318782801E-2</v>
      </c>
      <c r="M764" s="1229">
        <v>5.9863654067506301E-2</v>
      </c>
      <c r="N764" s="1230">
        <v>2.2608345695610641E-4</v>
      </c>
    </row>
    <row r="765" spans="1:14" ht="15.5" x14ac:dyDescent="0.35">
      <c r="A765" s="198">
        <v>2029</v>
      </c>
      <c r="B765" s="197" t="s">
        <v>5850</v>
      </c>
      <c r="C765" s="197">
        <v>1972</v>
      </c>
      <c r="D765" s="110" t="str">
        <f t="shared" si="8"/>
        <v>2029_1972</v>
      </c>
      <c r="E765" s="1226">
        <v>0.12415585196675601</v>
      </c>
      <c r="F765" s="1227">
        <v>5.2945866320980424E-2</v>
      </c>
      <c r="G765" s="1227">
        <v>5.1253478036395199</v>
      </c>
      <c r="H765" s="1227">
        <v>0.71104772420310591</v>
      </c>
      <c r="I765" s="1227">
        <v>5.72739788915477E-2</v>
      </c>
      <c r="J765" s="1227">
        <v>2.1630318668536949E-4</v>
      </c>
      <c r="K765" s="1227">
        <v>3.0000008603787501E-3</v>
      </c>
      <c r="L765" s="1228">
        <v>2.7950601318782801E-2</v>
      </c>
      <c r="M765" s="1229">
        <v>5.9863654067506301E-2</v>
      </c>
      <c r="N765" s="1230">
        <v>2.2608345695610641E-4</v>
      </c>
    </row>
    <row r="766" spans="1:14" ht="15.5" x14ac:dyDescent="0.35">
      <c r="A766" s="198">
        <v>2029</v>
      </c>
      <c r="B766" s="197" t="s">
        <v>5850</v>
      </c>
      <c r="C766" s="197">
        <v>1973</v>
      </c>
      <c r="D766" s="110" t="str">
        <f t="shared" si="8"/>
        <v>2029_1973</v>
      </c>
      <c r="E766" s="1226">
        <v>0.12415585196675601</v>
      </c>
      <c r="F766" s="1227">
        <v>5.2945866320980424E-2</v>
      </c>
      <c r="G766" s="1227">
        <v>5.1253478036395199</v>
      </c>
      <c r="H766" s="1227">
        <v>0.71104772420310591</v>
      </c>
      <c r="I766" s="1227">
        <v>5.72739788915477E-2</v>
      </c>
      <c r="J766" s="1227">
        <v>2.1630318668536949E-4</v>
      </c>
      <c r="K766" s="1227">
        <v>3.0000008603787501E-3</v>
      </c>
      <c r="L766" s="1228">
        <v>2.7950601318782801E-2</v>
      </c>
      <c r="M766" s="1229">
        <v>5.9863654067506301E-2</v>
      </c>
      <c r="N766" s="1230">
        <v>2.2608345695610641E-4</v>
      </c>
    </row>
    <row r="767" spans="1:14" ht="15.5" x14ac:dyDescent="0.35">
      <c r="A767" s="198">
        <v>2029</v>
      </c>
      <c r="B767" s="197" t="s">
        <v>5850</v>
      </c>
      <c r="C767" s="197">
        <v>1974</v>
      </c>
      <c r="D767" s="110" t="str">
        <f t="shared" si="8"/>
        <v>2029_1974</v>
      </c>
      <c r="E767" s="1226">
        <v>0.12415585196675601</v>
      </c>
      <c r="F767" s="1227">
        <v>5.2945866320980424E-2</v>
      </c>
      <c r="G767" s="1227">
        <v>5.1253478036395199</v>
      </c>
      <c r="H767" s="1227">
        <v>0.71104772420310591</v>
      </c>
      <c r="I767" s="1227">
        <v>5.72739788915477E-2</v>
      </c>
      <c r="J767" s="1227">
        <v>2.1630318668536949E-4</v>
      </c>
      <c r="K767" s="1227">
        <v>3.0000008603787501E-3</v>
      </c>
      <c r="L767" s="1228">
        <v>2.7950601318782801E-2</v>
      </c>
      <c r="M767" s="1229">
        <v>5.9863654067506301E-2</v>
      </c>
      <c r="N767" s="1230">
        <v>2.2608345695610641E-4</v>
      </c>
    </row>
    <row r="768" spans="1:14" ht="15.5" x14ac:dyDescent="0.35">
      <c r="A768" s="198">
        <v>2029</v>
      </c>
      <c r="B768" s="197" t="s">
        <v>5850</v>
      </c>
      <c r="C768" s="197">
        <v>1975</v>
      </c>
      <c r="D768" s="110" t="str">
        <f t="shared" si="8"/>
        <v>2029_1975</v>
      </c>
      <c r="E768" s="1226">
        <v>0.12415585196675601</v>
      </c>
      <c r="F768" s="1227">
        <v>5.2945866320980424E-2</v>
      </c>
      <c r="G768" s="1227">
        <v>5.1253478036395199</v>
      </c>
      <c r="H768" s="1227">
        <v>0.71104772420310591</v>
      </c>
      <c r="I768" s="1227">
        <v>5.72739788915477E-2</v>
      </c>
      <c r="J768" s="1227">
        <v>2.1630318668536949E-4</v>
      </c>
      <c r="K768" s="1227">
        <v>3.0000008603787501E-3</v>
      </c>
      <c r="L768" s="1228">
        <v>2.7950601318782801E-2</v>
      </c>
      <c r="M768" s="1229">
        <v>5.9863654067506301E-2</v>
      </c>
      <c r="N768" s="1230">
        <v>2.2608345695610641E-4</v>
      </c>
    </row>
    <row r="769" spans="1:14" ht="15.5" x14ac:dyDescent="0.35">
      <c r="A769" s="198">
        <v>2029</v>
      </c>
      <c r="B769" s="197" t="s">
        <v>5850</v>
      </c>
      <c r="C769" s="197">
        <v>1976</v>
      </c>
      <c r="D769" s="110" t="str">
        <f t="shared" si="8"/>
        <v>2029_1976</v>
      </c>
      <c r="E769" s="1226">
        <v>0.12415585196675601</v>
      </c>
      <c r="F769" s="1227">
        <v>5.2945866320980424E-2</v>
      </c>
      <c r="G769" s="1227">
        <v>5.1253478036395199</v>
      </c>
      <c r="H769" s="1227">
        <v>0.71104772420310591</v>
      </c>
      <c r="I769" s="1227">
        <v>5.72739788915477E-2</v>
      </c>
      <c r="J769" s="1227">
        <v>2.1630318668536949E-4</v>
      </c>
      <c r="K769" s="1227">
        <v>3.0000008603787501E-3</v>
      </c>
      <c r="L769" s="1228">
        <v>2.7950601318782801E-2</v>
      </c>
      <c r="M769" s="1229">
        <v>5.9863654067506301E-2</v>
      </c>
      <c r="N769" s="1230">
        <v>2.2608345695610641E-4</v>
      </c>
    </row>
    <row r="770" spans="1:14" ht="15.5" x14ac:dyDescent="0.35">
      <c r="A770" s="198">
        <v>2029</v>
      </c>
      <c r="B770" s="197" t="s">
        <v>5850</v>
      </c>
      <c r="C770" s="197">
        <v>1977</v>
      </c>
      <c r="D770" s="110" t="str">
        <f t="shared" si="8"/>
        <v>2029_1977</v>
      </c>
      <c r="E770" s="1226">
        <v>0.12415585196675601</v>
      </c>
      <c r="F770" s="1227">
        <v>5.2945866320980424E-2</v>
      </c>
      <c r="G770" s="1227">
        <v>5.1253478036395199</v>
      </c>
      <c r="H770" s="1227">
        <v>0.71104772420310591</v>
      </c>
      <c r="I770" s="1227">
        <v>5.72739788915477E-2</v>
      </c>
      <c r="J770" s="1227">
        <v>2.1630318668536949E-4</v>
      </c>
      <c r="K770" s="1227">
        <v>3.0000008603787501E-3</v>
      </c>
      <c r="L770" s="1228">
        <v>2.7950601318782801E-2</v>
      </c>
      <c r="M770" s="1229">
        <v>5.9863654067506301E-2</v>
      </c>
      <c r="N770" s="1230">
        <v>2.2608345695610641E-4</v>
      </c>
    </row>
    <row r="771" spans="1:14" ht="15.5" x14ac:dyDescent="0.35">
      <c r="A771" s="198">
        <v>2029</v>
      </c>
      <c r="B771" s="197" t="s">
        <v>5850</v>
      </c>
      <c r="C771" s="197">
        <v>1978</v>
      </c>
      <c r="D771" s="110" t="str">
        <f t="shared" si="8"/>
        <v>2029_1978</v>
      </c>
      <c r="E771" s="1226">
        <v>0.12415585196675601</v>
      </c>
      <c r="F771" s="1227">
        <v>5.2945866320980424E-2</v>
      </c>
      <c r="G771" s="1227">
        <v>5.1253478036395199</v>
      </c>
      <c r="H771" s="1227">
        <v>0.71104772420310591</v>
      </c>
      <c r="I771" s="1227">
        <v>5.72739788915477E-2</v>
      </c>
      <c r="J771" s="1227">
        <v>2.1630318668536949E-4</v>
      </c>
      <c r="K771" s="1227">
        <v>3.0000008603787501E-3</v>
      </c>
      <c r="L771" s="1228">
        <v>2.7950601318782801E-2</v>
      </c>
      <c r="M771" s="1229">
        <v>5.9863654067506301E-2</v>
      </c>
      <c r="N771" s="1230">
        <v>2.2608345695610641E-4</v>
      </c>
    </row>
    <row r="772" spans="1:14" ht="15.5" x14ac:dyDescent="0.35">
      <c r="A772" s="198">
        <v>2029</v>
      </c>
      <c r="B772" s="197" t="s">
        <v>5850</v>
      </c>
      <c r="C772" s="197">
        <v>1979</v>
      </c>
      <c r="D772" s="110" t="str">
        <f t="shared" si="8"/>
        <v>2029_1979</v>
      </c>
      <c r="E772" s="1226">
        <v>0.12415585196675601</v>
      </c>
      <c r="F772" s="1227">
        <v>5.2945866320980424E-2</v>
      </c>
      <c r="G772" s="1227">
        <v>5.1253478036395199</v>
      </c>
      <c r="H772" s="1227">
        <v>0.71104772420310591</v>
      </c>
      <c r="I772" s="1227">
        <v>5.72739788915477E-2</v>
      </c>
      <c r="J772" s="1227">
        <v>2.1630318668536949E-4</v>
      </c>
      <c r="K772" s="1227">
        <v>3.0000008603787501E-3</v>
      </c>
      <c r="L772" s="1228">
        <v>2.7950601318782801E-2</v>
      </c>
      <c r="M772" s="1229">
        <v>5.9863654067506301E-2</v>
      </c>
      <c r="N772" s="1230">
        <v>2.2608345695610641E-4</v>
      </c>
    </row>
    <row r="773" spans="1:14" ht="15.5" x14ac:dyDescent="0.35">
      <c r="A773" s="198">
        <v>2029</v>
      </c>
      <c r="B773" s="197" t="s">
        <v>5850</v>
      </c>
      <c r="C773" s="197">
        <v>1980</v>
      </c>
      <c r="D773" s="110" t="str">
        <f t="shared" si="8"/>
        <v>2029_1980</v>
      </c>
      <c r="E773" s="1226">
        <v>0.12415585196675601</v>
      </c>
      <c r="F773" s="1227">
        <v>5.2945866320980424E-2</v>
      </c>
      <c r="G773" s="1227">
        <v>5.1253478036395199</v>
      </c>
      <c r="H773" s="1227">
        <v>0.71104772420310591</v>
      </c>
      <c r="I773" s="1227">
        <v>5.72739788915477E-2</v>
      </c>
      <c r="J773" s="1227">
        <v>2.1630318668536949E-4</v>
      </c>
      <c r="K773" s="1227">
        <v>3.0000008603787501E-3</v>
      </c>
      <c r="L773" s="1228">
        <v>2.7950601318782801E-2</v>
      </c>
      <c r="M773" s="1229">
        <v>5.9863654067506301E-2</v>
      </c>
      <c r="N773" s="1230">
        <v>2.2608345695610641E-4</v>
      </c>
    </row>
    <row r="774" spans="1:14" ht="15.5" x14ac:dyDescent="0.35">
      <c r="A774" s="198">
        <v>2029</v>
      </c>
      <c r="B774" s="197" t="s">
        <v>5850</v>
      </c>
      <c r="C774" s="197">
        <v>1981</v>
      </c>
      <c r="D774" s="110" t="str">
        <f t="shared" si="8"/>
        <v>2029_1981</v>
      </c>
      <c r="E774" s="1226">
        <v>0.12415585196675601</v>
      </c>
      <c r="F774" s="1227">
        <v>5.2945866320980424E-2</v>
      </c>
      <c r="G774" s="1227">
        <v>5.1253478036395199</v>
      </c>
      <c r="H774" s="1227">
        <v>0.71104772420310591</v>
      </c>
      <c r="I774" s="1227">
        <v>5.72739788915477E-2</v>
      </c>
      <c r="J774" s="1227">
        <v>2.1630318668536949E-4</v>
      </c>
      <c r="K774" s="1227">
        <v>3.0000008603787501E-3</v>
      </c>
      <c r="L774" s="1228">
        <v>2.7950601318782801E-2</v>
      </c>
      <c r="M774" s="1229">
        <v>5.9863654067506301E-2</v>
      </c>
      <c r="N774" s="1230">
        <v>2.2608345695610641E-4</v>
      </c>
    </row>
    <row r="775" spans="1:14" ht="15.5" x14ac:dyDescent="0.35">
      <c r="A775" s="198">
        <v>2029</v>
      </c>
      <c r="B775" s="197" t="s">
        <v>5850</v>
      </c>
      <c r="C775" s="197">
        <v>1982</v>
      </c>
      <c r="D775" s="110" t="str">
        <f t="shared" si="8"/>
        <v>2029_1982</v>
      </c>
      <c r="E775" s="1226">
        <v>0.12415585196675601</v>
      </c>
      <c r="F775" s="1227">
        <v>5.2945866320980424E-2</v>
      </c>
      <c r="G775" s="1227">
        <v>5.1253478036395199</v>
      </c>
      <c r="H775" s="1227">
        <v>0.71104772420310591</v>
      </c>
      <c r="I775" s="1227">
        <v>5.72739788915477E-2</v>
      </c>
      <c r="J775" s="1227">
        <v>2.1630318668536949E-4</v>
      </c>
      <c r="K775" s="1227">
        <v>3.0000008603787501E-3</v>
      </c>
      <c r="L775" s="1228">
        <v>2.7950601318782801E-2</v>
      </c>
      <c r="M775" s="1229">
        <v>5.9863654067506301E-2</v>
      </c>
      <c r="N775" s="1230">
        <v>2.2608345695610641E-4</v>
      </c>
    </row>
    <row r="776" spans="1:14" ht="15.5" x14ac:dyDescent="0.35">
      <c r="A776" s="198">
        <v>2029</v>
      </c>
      <c r="B776" s="197" t="s">
        <v>5850</v>
      </c>
      <c r="C776" s="197">
        <v>1983</v>
      </c>
      <c r="D776" s="110" t="str">
        <f t="shared" si="8"/>
        <v>2029_1983</v>
      </c>
      <c r="E776" s="1226">
        <v>0.12415585196675601</v>
      </c>
      <c r="F776" s="1227">
        <v>5.2945866320980424E-2</v>
      </c>
      <c r="G776" s="1227">
        <v>5.1253478036395199</v>
      </c>
      <c r="H776" s="1227">
        <v>0.71104772420310591</v>
      </c>
      <c r="I776" s="1227">
        <v>5.72739788915477E-2</v>
      </c>
      <c r="J776" s="1227">
        <v>2.1630318668536949E-4</v>
      </c>
      <c r="K776" s="1227">
        <v>3.0000008603787501E-3</v>
      </c>
      <c r="L776" s="1228">
        <v>2.7950601318782801E-2</v>
      </c>
      <c r="M776" s="1229">
        <v>5.9863654067506301E-2</v>
      </c>
      <c r="N776" s="1230">
        <v>2.2608345695610641E-4</v>
      </c>
    </row>
    <row r="777" spans="1:14" ht="15.5" x14ac:dyDescent="0.35">
      <c r="A777" s="198">
        <v>2029</v>
      </c>
      <c r="B777" s="197" t="s">
        <v>5850</v>
      </c>
      <c r="C777" s="197">
        <v>1984</v>
      </c>
      <c r="D777" s="110" t="str">
        <f t="shared" si="8"/>
        <v>2029_1984</v>
      </c>
      <c r="E777" s="1226">
        <v>0.12415585196675601</v>
      </c>
      <c r="F777" s="1227">
        <v>5.2945866320980424E-2</v>
      </c>
      <c r="G777" s="1227">
        <v>5.1253478036395199</v>
      </c>
      <c r="H777" s="1227">
        <v>0.71104772420310591</v>
      </c>
      <c r="I777" s="1227">
        <v>5.72739788915477E-2</v>
      </c>
      <c r="J777" s="1227">
        <v>2.1630318668536949E-4</v>
      </c>
      <c r="K777" s="1227">
        <v>3.0000008603787501E-3</v>
      </c>
      <c r="L777" s="1228">
        <v>2.7950601318782801E-2</v>
      </c>
      <c r="M777" s="1229">
        <v>5.9863654067506301E-2</v>
      </c>
      <c r="N777" s="1230">
        <v>2.2608345695610641E-4</v>
      </c>
    </row>
    <row r="778" spans="1:14" ht="15.5" x14ac:dyDescent="0.35">
      <c r="A778" s="198">
        <v>2029</v>
      </c>
      <c r="B778" s="197" t="s">
        <v>5850</v>
      </c>
      <c r="C778" s="197">
        <v>1985</v>
      </c>
      <c r="D778" s="110" t="str">
        <f t="shared" si="8"/>
        <v>2029_1985</v>
      </c>
      <c r="E778" s="1226">
        <v>0.12415585196675601</v>
      </c>
      <c r="F778" s="1227">
        <v>5.2945866320980424E-2</v>
      </c>
      <c r="G778" s="1227">
        <v>5.1253478036395199</v>
      </c>
      <c r="H778" s="1227">
        <v>0.71104772420310591</v>
      </c>
      <c r="I778" s="1227">
        <v>5.72739788915477E-2</v>
      </c>
      <c r="J778" s="1227">
        <v>2.1630318668536949E-4</v>
      </c>
      <c r="K778" s="1227">
        <v>3.0000008603787501E-3</v>
      </c>
      <c r="L778" s="1228">
        <v>2.7950601318782801E-2</v>
      </c>
      <c r="M778" s="1229">
        <v>5.9863654067506301E-2</v>
      </c>
      <c r="N778" s="1230">
        <v>2.2608345695610641E-4</v>
      </c>
    </row>
    <row r="779" spans="1:14" ht="15.5" x14ac:dyDescent="0.35">
      <c r="A779" s="198">
        <v>2029</v>
      </c>
      <c r="B779" s="197" t="s">
        <v>5850</v>
      </c>
      <c r="C779" s="197">
        <v>1986</v>
      </c>
      <c r="D779" s="110" t="str">
        <f t="shared" si="8"/>
        <v>2029_1986</v>
      </c>
      <c r="E779" s="1226">
        <v>0.12415585196675601</v>
      </c>
      <c r="F779" s="1227">
        <v>5.2945866320980424E-2</v>
      </c>
      <c r="G779" s="1227">
        <v>5.1253478036395199</v>
      </c>
      <c r="H779" s="1227">
        <v>0.71104772420310591</v>
      </c>
      <c r="I779" s="1227">
        <v>5.72739788915477E-2</v>
      </c>
      <c r="J779" s="1227">
        <v>2.1630318668536949E-4</v>
      </c>
      <c r="K779" s="1227">
        <v>3.0000008603787501E-3</v>
      </c>
      <c r="L779" s="1228">
        <v>2.7950601318782801E-2</v>
      </c>
      <c r="M779" s="1229">
        <v>5.9863654067506301E-2</v>
      </c>
      <c r="N779" s="1230">
        <v>2.2608345695610641E-4</v>
      </c>
    </row>
    <row r="780" spans="1:14" ht="15.5" x14ac:dyDescent="0.35">
      <c r="A780" s="198">
        <v>2029</v>
      </c>
      <c r="B780" s="197" t="s">
        <v>5850</v>
      </c>
      <c r="C780" s="197">
        <v>1987</v>
      </c>
      <c r="D780" s="110" t="str">
        <f t="shared" si="8"/>
        <v>2029_1987</v>
      </c>
      <c r="E780" s="1226">
        <v>0.12415585196675601</v>
      </c>
      <c r="F780" s="1227">
        <v>5.2945866320980424E-2</v>
      </c>
      <c r="G780" s="1227">
        <v>5.1253478036395199</v>
      </c>
      <c r="H780" s="1227">
        <v>0.71104772420310591</v>
      </c>
      <c r="I780" s="1227">
        <v>5.72739788915477E-2</v>
      </c>
      <c r="J780" s="1227">
        <v>2.1630318668536949E-4</v>
      </c>
      <c r="K780" s="1227">
        <v>3.0000008603787501E-3</v>
      </c>
      <c r="L780" s="1228">
        <v>2.7950601318782801E-2</v>
      </c>
      <c r="M780" s="1229">
        <v>5.9863654067506301E-2</v>
      </c>
      <c r="N780" s="1230">
        <v>2.2608345695610641E-4</v>
      </c>
    </row>
    <row r="781" spans="1:14" ht="15.5" x14ac:dyDescent="0.35">
      <c r="A781" s="198">
        <v>2029</v>
      </c>
      <c r="B781" s="197" t="s">
        <v>5850</v>
      </c>
      <c r="C781" s="197">
        <v>1988</v>
      </c>
      <c r="D781" s="110" t="str">
        <f t="shared" si="8"/>
        <v>2029_1988</v>
      </c>
      <c r="E781" s="1226">
        <v>0.12415585196675601</v>
      </c>
      <c r="F781" s="1227">
        <v>5.2945866320980424E-2</v>
      </c>
      <c r="G781" s="1227">
        <v>5.1253478036395199</v>
      </c>
      <c r="H781" s="1227">
        <v>0.71104772420310591</v>
      </c>
      <c r="I781" s="1227">
        <v>5.72739788915477E-2</v>
      </c>
      <c r="J781" s="1227">
        <v>2.1630318668536949E-4</v>
      </c>
      <c r="K781" s="1227">
        <v>3.0000008603787501E-3</v>
      </c>
      <c r="L781" s="1228">
        <v>2.7950601318782801E-2</v>
      </c>
      <c r="M781" s="1229">
        <v>5.9863654067506301E-2</v>
      </c>
      <c r="N781" s="1230">
        <v>2.2608345695610641E-4</v>
      </c>
    </row>
    <row r="782" spans="1:14" ht="15.5" x14ac:dyDescent="0.35">
      <c r="A782" s="198">
        <v>2029</v>
      </c>
      <c r="B782" s="197" t="s">
        <v>5850</v>
      </c>
      <c r="C782" s="197">
        <v>1989</v>
      </c>
      <c r="D782" s="110" t="str">
        <f t="shared" si="8"/>
        <v>2029_1989</v>
      </c>
      <c r="E782" s="1226">
        <v>0.12415585196675601</v>
      </c>
      <c r="F782" s="1227">
        <v>5.2945866320980424E-2</v>
      </c>
      <c r="G782" s="1227">
        <v>5.1253478036395199</v>
      </c>
      <c r="H782" s="1227">
        <v>0.71104772420310591</v>
      </c>
      <c r="I782" s="1227">
        <v>5.72739788915477E-2</v>
      </c>
      <c r="J782" s="1227">
        <v>2.1630318668536949E-4</v>
      </c>
      <c r="K782" s="1227">
        <v>3.0000008603787501E-3</v>
      </c>
      <c r="L782" s="1228">
        <v>2.7950601318782801E-2</v>
      </c>
      <c r="M782" s="1229">
        <v>5.9863654067506301E-2</v>
      </c>
      <c r="N782" s="1230">
        <v>2.2608345695610641E-4</v>
      </c>
    </row>
    <row r="783" spans="1:14" ht="15.5" x14ac:dyDescent="0.35">
      <c r="A783" s="198">
        <v>2029</v>
      </c>
      <c r="B783" s="197" t="s">
        <v>5850</v>
      </c>
      <c r="C783" s="197">
        <v>1990</v>
      </c>
      <c r="D783" s="110" t="str">
        <f t="shared" si="8"/>
        <v>2029_1990</v>
      </c>
      <c r="E783" s="1226">
        <v>0.12415585196675601</v>
      </c>
      <c r="F783" s="1227">
        <v>5.2945866320980424E-2</v>
      </c>
      <c r="G783" s="1227">
        <v>5.1253478036395199</v>
      </c>
      <c r="H783" s="1227">
        <v>0.71104772420310591</v>
      </c>
      <c r="I783" s="1227">
        <v>5.72739788915477E-2</v>
      </c>
      <c r="J783" s="1227">
        <v>2.1630318668536949E-4</v>
      </c>
      <c r="K783" s="1227">
        <v>3.0000008603787501E-3</v>
      </c>
      <c r="L783" s="1228">
        <v>2.7950601318782801E-2</v>
      </c>
      <c r="M783" s="1229">
        <v>5.9863654067506301E-2</v>
      </c>
      <c r="N783" s="1230">
        <v>2.2608345695610641E-4</v>
      </c>
    </row>
    <row r="784" spans="1:14" ht="15.5" x14ac:dyDescent="0.35">
      <c r="A784" s="198">
        <v>2029</v>
      </c>
      <c r="B784" s="197" t="s">
        <v>5850</v>
      </c>
      <c r="C784" s="197">
        <v>1991</v>
      </c>
      <c r="D784" s="110" t="str">
        <f t="shared" si="8"/>
        <v>2029_1991</v>
      </c>
      <c r="E784" s="1226">
        <v>0.12415585196675601</v>
      </c>
      <c r="F784" s="1227">
        <v>5.2945866320980424E-2</v>
      </c>
      <c r="G784" s="1227">
        <v>5.1253478036395199</v>
      </c>
      <c r="H784" s="1227">
        <v>0.71104772420310591</v>
      </c>
      <c r="I784" s="1227">
        <v>5.72739788915477E-2</v>
      </c>
      <c r="J784" s="1227">
        <v>2.1630318668536949E-4</v>
      </c>
      <c r="K784" s="1227">
        <v>3.0000008603787501E-3</v>
      </c>
      <c r="L784" s="1228">
        <v>2.7950601318782801E-2</v>
      </c>
      <c r="M784" s="1229">
        <v>5.9863654067506301E-2</v>
      </c>
      <c r="N784" s="1230">
        <v>2.2608345695610641E-4</v>
      </c>
    </row>
    <row r="785" spans="1:14" ht="15.5" x14ac:dyDescent="0.35">
      <c r="A785" s="198">
        <v>2029</v>
      </c>
      <c r="B785" s="197" t="s">
        <v>5850</v>
      </c>
      <c r="C785" s="197">
        <v>1992</v>
      </c>
      <c r="D785" s="110" t="str">
        <f t="shared" si="8"/>
        <v>2029_1992</v>
      </c>
      <c r="E785" s="1226">
        <v>0.12415585196675601</v>
      </c>
      <c r="F785" s="1227">
        <v>5.2945866320980424E-2</v>
      </c>
      <c r="G785" s="1227">
        <v>5.1253478036395199</v>
      </c>
      <c r="H785" s="1227">
        <v>0.71104772420310591</v>
      </c>
      <c r="I785" s="1227">
        <v>5.72739788915477E-2</v>
      </c>
      <c r="J785" s="1227">
        <v>2.1630318668536949E-4</v>
      </c>
      <c r="K785" s="1227">
        <v>3.0000008603787501E-3</v>
      </c>
      <c r="L785" s="1228">
        <v>2.7950601318782801E-2</v>
      </c>
      <c r="M785" s="1229">
        <v>5.9863654067506301E-2</v>
      </c>
      <c r="N785" s="1230">
        <v>2.2608345695610641E-4</v>
      </c>
    </row>
    <row r="786" spans="1:14" ht="15.5" x14ac:dyDescent="0.35">
      <c r="A786" s="198">
        <v>2029</v>
      </c>
      <c r="B786" s="197" t="s">
        <v>5850</v>
      </c>
      <c r="C786" s="197">
        <v>1993</v>
      </c>
      <c r="D786" s="110" t="str">
        <f t="shared" si="8"/>
        <v>2029_1993</v>
      </c>
      <c r="E786" s="1226">
        <v>0.12415585196675601</v>
      </c>
      <c r="F786" s="1227">
        <v>5.2945866320980424E-2</v>
      </c>
      <c r="G786" s="1227">
        <v>5.1253478036395199</v>
      </c>
      <c r="H786" s="1227">
        <v>0.71104772420310591</v>
      </c>
      <c r="I786" s="1227">
        <v>5.72739788915477E-2</v>
      </c>
      <c r="J786" s="1227">
        <v>2.1630318668536949E-4</v>
      </c>
      <c r="K786" s="1227">
        <v>3.0000008603787501E-3</v>
      </c>
      <c r="L786" s="1228">
        <v>2.7950601318782801E-2</v>
      </c>
      <c r="M786" s="1229">
        <v>5.9863654067506301E-2</v>
      </c>
      <c r="N786" s="1230">
        <v>2.2608345695610641E-4</v>
      </c>
    </row>
    <row r="787" spans="1:14" ht="15.5" x14ac:dyDescent="0.35">
      <c r="A787" s="198">
        <v>2029</v>
      </c>
      <c r="B787" s="197" t="s">
        <v>5850</v>
      </c>
      <c r="C787" s="197">
        <v>1994</v>
      </c>
      <c r="D787" s="110" t="str">
        <f t="shared" si="8"/>
        <v>2029_1994</v>
      </c>
      <c r="E787" s="1226">
        <v>0.12415585196675601</v>
      </c>
      <c r="F787" s="1227">
        <v>5.2945866320980424E-2</v>
      </c>
      <c r="G787" s="1227">
        <v>5.1253478036395199</v>
      </c>
      <c r="H787" s="1227">
        <v>0.71104772420310591</v>
      </c>
      <c r="I787" s="1227">
        <v>5.72739788915477E-2</v>
      </c>
      <c r="J787" s="1227">
        <v>2.1630318668536949E-4</v>
      </c>
      <c r="K787" s="1227">
        <v>3.0000008603787501E-3</v>
      </c>
      <c r="L787" s="1228">
        <v>2.7950601318782801E-2</v>
      </c>
      <c r="M787" s="1229">
        <v>5.9863654067506301E-2</v>
      </c>
      <c r="N787" s="1230">
        <v>2.2608345695610641E-4</v>
      </c>
    </row>
    <row r="788" spans="1:14" ht="15.5" x14ac:dyDescent="0.35">
      <c r="A788" s="198">
        <v>2029</v>
      </c>
      <c r="B788" s="197" t="s">
        <v>5850</v>
      </c>
      <c r="C788" s="197">
        <v>1995</v>
      </c>
      <c r="D788" s="110" t="str">
        <f t="shared" si="8"/>
        <v>2029_1995</v>
      </c>
      <c r="E788" s="1226">
        <v>0.12415585196675601</v>
      </c>
      <c r="F788" s="1227">
        <v>5.2945866320980424E-2</v>
      </c>
      <c r="G788" s="1227">
        <v>5.1253478036395199</v>
      </c>
      <c r="H788" s="1227">
        <v>0.71104772420310591</v>
      </c>
      <c r="I788" s="1227">
        <v>5.72739788915477E-2</v>
      </c>
      <c r="J788" s="1227">
        <v>2.1630318668536949E-4</v>
      </c>
      <c r="K788" s="1227">
        <v>3.0000008603787501E-3</v>
      </c>
      <c r="L788" s="1228">
        <v>2.7950601318782801E-2</v>
      </c>
      <c r="M788" s="1229">
        <v>5.9863654067506301E-2</v>
      </c>
      <c r="N788" s="1230">
        <v>2.2608345695610641E-4</v>
      </c>
    </row>
    <row r="789" spans="1:14" ht="15.5" x14ac:dyDescent="0.35">
      <c r="A789" s="198">
        <v>2029</v>
      </c>
      <c r="B789" s="197" t="s">
        <v>5850</v>
      </c>
      <c r="C789" s="197">
        <v>1996</v>
      </c>
      <c r="D789" s="110" t="str">
        <f t="shared" si="8"/>
        <v>2029_1996</v>
      </c>
      <c r="E789" s="1226">
        <v>0.12415585196675601</v>
      </c>
      <c r="F789" s="1227">
        <v>5.2945866320980424E-2</v>
      </c>
      <c r="G789" s="1227">
        <v>5.1253478036395199</v>
      </c>
      <c r="H789" s="1227">
        <v>0.71104772420310591</v>
      </c>
      <c r="I789" s="1227">
        <v>5.72739788915477E-2</v>
      </c>
      <c r="J789" s="1227">
        <v>2.1630318668536949E-4</v>
      </c>
      <c r="K789" s="1227">
        <v>3.0000008603787501E-3</v>
      </c>
      <c r="L789" s="1228">
        <v>2.7950601318782801E-2</v>
      </c>
      <c r="M789" s="1229">
        <v>5.9863654067506301E-2</v>
      </c>
      <c r="N789" s="1230">
        <v>2.2608345695610641E-4</v>
      </c>
    </row>
    <row r="790" spans="1:14" ht="15.5" x14ac:dyDescent="0.35">
      <c r="A790" s="198">
        <v>2029</v>
      </c>
      <c r="B790" s="197" t="s">
        <v>5850</v>
      </c>
      <c r="C790" s="197">
        <v>1997</v>
      </c>
      <c r="D790" s="110" t="str">
        <f t="shared" si="8"/>
        <v>2029_1997</v>
      </c>
      <c r="E790" s="1226">
        <v>0.12415585196675601</v>
      </c>
      <c r="F790" s="1227">
        <v>5.2945866320980424E-2</v>
      </c>
      <c r="G790" s="1227">
        <v>5.1253478036395199</v>
      </c>
      <c r="H790" s="1227">
        <v>0.71104772420310591</v>
      </c>
      <c r="I790" s="1227">
        <v>5.72739788915477E-2</v>
      </c>
      <c r="J790" s="1227">
        <v>2.1630318668536949E-4</v>
      </c>
      <c r="K790" s="1227">
        <v>3.0000008603787501E-3</v>
      </c>
      <c r="L790" s="1228">
        <v>2.7950601318782801E-2</v>
      </c>
      <c r="M790" s="1229">
        <v>5.9863654067506301E-2</v>
      </c>
      <c r="N790" s="1230">
        <v>2.2608345695610641E-4</v>
      </c>
    </row>
    <row r="791" spans="1:14" ht="15.5" x14ac:dyDescent="0.35">
      <c r="A791" s="198">
        <v>2029</v>
      </c>
      <c r="B791" s="197" t="s">
        <v>5850</v>
      </c>
      <c r="C791" s="197">
        <v>1998</v>
      </c>
      <c r="D791" s="110" t="str">
        <f t="shared" si="8"/>
        <v>2029_1998</v>
      </c>
      <c r="E791" s="1226">
        <v>0.12415585196675601</v>
      </c>
      <c r="F791" s="1227">
        <v>5.2945866320980424E-2</v>
      </c>
      <c r="G791" s="1227">
        <v>5.1253478036395199</v>
      </c>
      <c r="H791" s="1227">
        <v>0.71104772420310591</v>
      </c>
      <c r="I791" s="1227">
        <v>5.72739788915477E-2</v>
      </c>
      <c r="J791" s="1227">
        <v>2.1630318668536949E-4</v>
      </c>
      <c r="K791" s="1227">
        <v>3.0000008603787501E-3</v>
      </c>
      <c r="L791" s="1228">
        <v>2.7950601318782801E-2</v>
      </c>
      <c r="M791" s="1229">
        <v>5.9863654067506301E-2</v>
      </c>
      <c r="N791" s="1230">
        <v>2.2608345695610641E-4</v>
      </c>
    </row>
    <row r="792" spans="1:14" ht="15.5" x14ac:dyDescent="0.35">
      <c r="A792" s="198">
        <v>2029</v>
      </c>
      <c r="B792" s="197" t="s">
        <v>5850</v>
      </c>
      <c r="C792" s="197">
        <v>1999</v>
      </c>
      <c r="D792" s="110" t="str">
        <f t="shared" si="8"/>
        <v>2029_1999</v>
      </c>
      <c r="E792" s="1226">
        <v>0.12415585196675601</v>
      </c>
      <c r="F792" s="1227">
        <v>5.2945866320980424E-2</v>
      </c>
      <c r="G792" s="1227">
        <v>5.1253478036395199</v>
      </c>
      <c r="H792" s="1227">
        <v>0.71104772420310591</v>
      </c>
      <c r="I792" s="1227">
        <v>5.72739788915477E-2</v>
      </c>
      <c r="J792" s="1227">
        <v>2.1630318668536949E-4</v>
      </c>
      <c r="K792" s="1227">
        <v>3.0000008603787501E-3</v>
      </c>
      <c r="L792" s="1228">
        <v>2.7950601318782801E-2</v>
      </c>
      <c r="M792" s="1229">
        <v>5.9863654067506301E-2</v>
      </c>
      <c r="N792" s="1230">
        <v>2.2608345695610641E-4</v>
      </c>
    </row>
    <row r="793" spans="1:14" ht="15.5" x14ac:dyDescent="0.35">
      <c r="A793" s="198">
        <v>2029</v>
      </c>
      <c r="B793" s="197" t="s">
        <v>5850</v>
      </c>
      <c r="C793" s="197">
        <v>2000</v>
      </c>
      <c r="D793" s="110" t="str">
        <f t="shared" si="8"/>
        <v>2029_2000</v>
      </c>
      <c r="E793" s="1226">
        <v>0.12415585196675601</v>
      </c>
      <c r="F793" s="1227">
        <v>5.2945866320980424E-2</v>
      </c>
      <c r="G793" s="1227">
        <v>5.1253478036395199</v>
      </c>
      <c r="H793" s="1227">
        <v>0.71104772420310591</v>
      </c>
      <c r="I793" s="1227">
        <v>5.72739788915477E-2</v>
      </c>
      <c r="J793" s="1227">
        <v>2.1630318668536949E-4</v>
      </c>
      <c r="K793" s="1227">
        <v>3.0000008603787501E-3</v>
      </c>
      <c r="L793" s="1228">
        <v>2.7950601318782801E-2</v>
      </c>
      <c r="M793" s="1229">
        <v>5.9863654067506301E-2</v>
      </c>
      <c r="N793" s="1230">
        <v>2.2608345695610641E-4</v>
      </c>
    </row>
    <row r="794" spans="1:14" ht="15.5" x14ac:dyDescent="0.35">
      <c r="A794" s="198">
        <v>2029</v>
      </c>
      <c r="B794" s="197" t="s">
        <v>5850</v>
      </c>
      <c r="C794" s="197">
        <v>2001</v>
      </c>
      <c r="D794" s="110" t="str">
        <f t="shared" si="8"/>
        <v>2029_2001</v>
      </c>
      <c r="E794" s="1226">
        <v>0.12415585196675601</v>
      </c>
      <c r="F794" s="1227">
        <v>5.2945866320980424E-2</v>
      </c>
      <c r="G794" s="1227">
        <v>5.1253478036395199</v>
      </c>
      <c r="H794" s="1227">
        <v>0.71104772420310591</v>
      </c>
      <c r="I794" s="1227">
        <v>5.72739788915477E-2</v>
      </c>
      <c r="J794" s="1227">
        <v>2.1630318668536949E-4</v>
      </c>
      <c r="K794" s="1227">
        <v>3.0000008603787501E-3</v>
      </c>
      <c r="L794" s="1228">
        <v>2.7950601318782801E-2</v>
      </c>
      <c r="M794" s="1229">
        <v>5.9863654067506301E-2</v>
      </c>
      <c r="N794" s="1230">
        <v>2.2608345695610641E-4</v>
      </c>
    </row>
    <row r="795" spans="1:14" ht="15.5" x14ac:dyDescent="0.35">
      <c r="A795" s="198">
        <v>2029</v>
      </c>
      <c r="B795" s="197" t="s">
        <v>5850</v>
      </c>
      <c r="C795" s="197">
        <v>2002</v>
      </c>
      <c r="D795" s="110" t="str">
        <f t="shared" si="8"/>
        <v>2029_2002</v>
      </c>
      <c r="E795" s="1226">
        <v>0.12415585196675601</v>
      </c>
      <c r="F795" s="1227">
        <v>5.2945866320980424E-2</v>
      </c>
      <c r="G795" s="1227">
        <v>5.1253478036395199</v>
      </c>
      <c r="H795" s="1227">
        <v>0.71104772420310591</v>
      </c>
      <c r="I795" s="1227">
        <v>5.72739788915477E-2</v>
      </c>
      <c r="J795" s="1227">
        <v>2.1630318668536949E-4</v>
      </c>
      <c r="K795" s="1227">
        <v>3.0000008603787501E-3</v>
      </c>
      <c r="L795" s="1228">
        <v>2.7950601318782801E-2</v>
      </c>
      <c r="M795" s="1229">
        <v>5.9863654067506301E-2</v>
      </c>
      <c r="N795" s="1230">
        <v>2.2608345695610641E-4</v>
      </c>
    </row>
    <row r="796" spans="1:14" ht="15.5" x14ac:dyDescent="0.35">
      <c r="A796" s="198">
        <v>2029</v>
      </c>
      <c r="B796" s="197" t="s">
        <v>5850</v>
      </c>
      <c r="C796" s="197">
        <v>2003</v>
      </c>
      <c r="D796" s="110" t="str">
        <f t="shared" si="8"/>
        <v>2029_2003</v>
      </c>
      <c r="E796" s="1226">
        <v>0.12415585196675601</v>
      </c>
      <c r="F796" s="1227">
        <v>5.2945866320980424E-2</v>
      </c>
      <c r="G796" s="1227">
        <v>5.1253478036395199</v>
      </c>
      <c r="H796" s="1227">
        <v>0.71104772420310591</v>
      </c>
      <c r="I796" s="1227">
        <v>5.72739788915477E-2</v>
      </c>
      <c r="J796" s="1227">
        <v>2.1630318668536949E-4</v>
      </c>
      <c r="K796" s="1227">
        <v>3.0000008603787501E-3</v>
      </c>
      <c r="L796" s="1228">
        <v>2.7950601318782801E-2</v>
      </c>
      <c r="M796" s="1229">
        <v>5.9863654067506301E-2</v>
      </c>
      <c r="N796" s="1230">
        <v>2.2608345695610641E-4</v>
      </c>
    </row>
    <row r="797" spans="1:14" ht="15.5" x14ac:dyDescent="0.35">
      <c r="A797" s="198">
        <v>2029</v>
      </c>
      <c r="B797" s="197" t="s">
        <v>5850</v>
      </c>
      <c r="C797" s="197">
        <v>2004</v>
      </c>
      <c r="D797" s="110" t="str">
        <f t="shared" si="8"/>
        <v>2029_2004</v>
      </c>
      <c r="E797" s="1226">
        <v>0.12415585196675601</v>
      </c>
      <c r="F797" s="1227">
        <v>5.2945866320980424E-2</v>
      </c>
      <c r="G797" s="1227">
        <v>5.1253478036395199</v>
      </c>
      <c r="H797" s="1227">
        <v>0.71104772420310591</v>
      </c>
      <c r="I797" s="1227">
        <v>5.72739788915477E-2</v>
      </c>
      <c r="J797" s="1227">
        <v>2.1630318668536949E-4</v>
      </c>
      <c r="K797" s="1227">
        <v>3.0000008603787501E-3</v>
      </c>
      <c r="L797" s="1228">
        <v>2.7950601318782801E-2</v>
      </c>
      <c r="M797" s="1229">
        <v>5.9863654067506301E-2</v>
      </c>
      <c r="N797" s="1230">
        <v>2.2608345695610641E-4</v>
      </c>
    </row>
    <row r="798" spans="1:14" ht="15.5" x14ac:dyDescent="0.35">
      <c r="A798" s="198">
        <v>2029</v>
      </c>
      <c r="B798" s="197" t="s">
        <v>5850</v>
      </c>
      <c r="C798" s="197">
        <v>2005</v>
      </c>
      <c r="D798" s="110" t="str">
        <f t="shared" si="8"/>
        <v>2029_2005</v>
      </c>
      <c r="E798" s="1226">
        <v>0.12415585196675601</v>
      </c>
      <c r="F798" s="1227">
        <v>5.2945866320980424E-2</v>
      </c>
      <c r="G798" s="1227">
        <v>5.1253478036395199</v>
      </c>
      <c r="H798" s="1227">
        <v>0.71104772420310591</v>
      </c>
      <c r="I798" s="1227">
        <v>5.72739788915477E-2</v>
      </c>
      <c r="J798" s="1227">
        <v>2.1630318668536949E-4</v>
      </c>
      <c r="K798" s="1227">
        <v>3.0000008603787501E-3</v>
      </c>
      <c r="L798" s="1228">
        <v>2.7950601318782801E-2</v>
      </c>
      <c r="M798" s="1229">
        <v>5.9863654067506301E-2</v>
      </c>
      <c r="N798" s="1230">
        <v>2.2608345695610641E-4</v>
      </c>
    </row>
    <row r="799" spans="1:14" ht="15.5" x14ac:dyDescent="0.35">
      <c r="A799" s="198">
        <v>2029</v>
      </c>
      <c r="B799" s="197" t="s">
        <v>5850</v>
      </c>
      <c r="C799" s="197">
        <v>2006</v>
      </c>
      <c r="D799" s="110" t="str">
        <f t="shared" si="8"/>
        <v>2029_2006</v>
      </c>
      <c r="E799" s="1226">
        <v>0.12415585196675601</v>
      </c>
      <c r="F799" s="1227">
        <v>5.2945866320980424E-2</v>
      </c>
      <c r="G799" s="1227">
        <v>5.1253478036395199</v>
      </c>
      <c r="H799" s="1227">
        <v>0.71104772420310591</v>
      </c>
      <c r="I799" s="1227">
        <v>5.72739788915477E-2</v>
      </c>
      <c r="J799" s="1227">
        <v>2.1630318668536949E-4</v>
      </c>
      <c r="K799" s="1227">
        <v>3.0000008603787501E-3</v>
      </c>
      <c r="L799" s="1228">
        <v>2.7950601318782801E-2</v>
      </c>
      <c r="M799" s="1229">
        <v>5.9863654067506301E-2</v>
      </c>
      <c r="N799" s="1230">
        <v>2.2608345695610641E-4</v>
      </c>
    </row>
    <row r="800" spans="1:14" ht="15.5" x14ac:dyDescent="0.35">
      <c r="A800" s="198">
        <v>2029</v>
      </c>
      <c r="B800" s="197" t="s">
        <v>5850</v>
      </c>
      <c r="C800" s="197">
        <v>2007</v>
      </c>
      <c r="D800" s="110" t="str">
        <f t="shared" si="8"/>
        <v>2029_2007</v>
      </c>
      <c r="E800" s="1226">
        <v>0.12415585196675601</v>
      </c>
      <c r="F800" s="1227">
        <v>5.2945866320980424E-2</v>
      </c>
      <c r="G800" s="1227">
        <v>5.1253478036395199</v>
      </c>
      <c r="H800" s="1227">
        <v>0.71104772420310591</v>
      </c>
      <c r="I800" s="1227">
        <v>5.72739788915477E-2</v>
      </c>
      <c r="J800" s="1227">
        <v>2.1630318668536949E-4</v>
      </c>
      <c r="K800" s="1227">
        <v>3.0000008603787501E-3</v>
      </c>
      <c r="L800" s="1228">
        <v>2.7950601318782801E-2</v>
      </c>
      <c r="M800" s="1229">
        <v>5.9863654067506301E-2</v>
      </c>
      <c r="N800" s="1230">
        <v>2.2608345695610641E-4</v>
      </c>
    </row>
    <row r="801" spans="1:14" ht="15.5" x14ac:dyDescent="0.35">
      <c r="A801" s="198">
        <v>2029</v>
      </c>
      <c r="B801" s="197" t="s">
        <v>5850</v>
      </c>
      <c r="C801" s="197">
        <v>2008</v>
      </c>
      <c r="D801" s="110" t="str">
        <f t="shared" si="8"/>
        <v>2029_2008</v>
      </c>
      <c r="E801" s="1226">
        <v>0.12415585196675601</v>
      </c>
      <c r="F801" s="1227">
        <v>5.2945866320980424E-2</v>
      </c>
      <c r="G801" s="1227">
        <v>5.1253478036395199</v>
      </c>
      <c r="H801" s="1227">
        <v>0.71104772420310591</v>
      </c>
      <c r="I801" s="1227">
        <v>5.72739788915477E-2</v>
      </c>
      <c r="J801" s="1227">
        <v>2.1630318668536949E-4</v>
      </c>
      <c r="K801" s="1227">
        <v>3.0000008603787501E-3</v>
      </c>
      <c r="L801" s="1228">
        <v>2.7950601318782801E-2</v>
      </c>
      <c r="M801" s="1229">
        <v>5.9863654067506301E-2</v>
      </c>
      <c r="N801" s="1230">
        <v>2.2608345695610641E-4</v>
      </c>
    </row>
    <row r="802" spans="1:14" ht="15.5" x14ac:dyDescent="0.35">
      <c r="A802" s="198">
        <v>2029</v>
      </c>
      <c r="B802" s="197" t="s">
        <v>5850</v>
      </c>
      <c r="C802" s="197">
        <v>2009</v>
      </c>
      <c r="D802" s="110" t="str">
        <f t="shared" si="8"/>
        <v>2029_2009</v>
      </c>
      <c r="E802" s="1226">
        <v>0.12415585196675601</v>
      </c>
      <c r="F802" s="1227">
        <v>5.2945866320980424E-2</v>
      </c>
      <c r="G802" s="1227">
        <v>5.1253478036395199</v>
      </c>
      <c r="H802" s="1227">
        <v>0.71104772420310591</v>
      </c>
      <c r="I802" s="1227">
        <v>5.72739788915477E-2</v>
      </c>
      <c r="J802" s="1227">
        <v>2.1630318668536949E-4</v>
      </c>
      <c r="K802" s="1227">
        <v>3.0000008603787501E-3</v>
      </c>
      <c r="L802" s="1228">
        <v>2.7950601318782801E-2</v>
      </c>
      <c r="M802" s="1229">
        <v>5.9863654067506301E-2</v>
      </c>
      <c r="N802" s="1230">
        <v>2.2608345695610641E-4</v>
      </c>
    </row>
    <row r="803" spans="1:14" ht="15.5" x14ac:dyDescent="0.35">
      <c r="A803" s="198">
        <v>2029</v>
      </c>
      <c r="B803" s="197" t="s">
        <v>5850</v>
      </c>
      <c r="C803" s="197">
        <v>2010</v>
      </c>
      <c r="D803" s="110" t="str">
        <f t="shared" si="8"/>
        <v>2029_2010</v>
      </c>
      <c r="E803" s="1226">
        <v>0.12415585196675601</v>
      </c>
      <c r="F803" s="1227">
        <v>5.2945866320980424E-2</v>
      </c>
      <c r="G803" s="1227">
        <v>5.1253478036395199</v>
      </c>
      <c r="H803" s="1227">
        <v>0.71104772420310591</v>
      </c>
      <c r="I803" s="1227">
        <v>5.72739788915477E-2</v>
      </c>
      <c r="J803" s="1227">
        <v>2.1630318668536949E-4</v>
      </c>
      <c r="K803" s="1227">
        <v>3.0000008603787501E-3</v>
      </c>
      <c r="L803" s="1228">
        <v>2.7950601318782801E-2</v>
      </c>
      <c r="M803" s="1229">
        <v>5.9863654067506301E-2</v>
      </c>
      <c r="N803" s="1230">
        <v>2.2608345695610641E-4</v>
      </c>
    </row>
    <row r="804" spans="1:14" ht="15.5" x14ac:dyDescent="0.35">
      <c r="A804" s="198">
        <v>2029</v>
      </c>
      <c r="B804" s="197" t="s">
        <v>5850</v>
      </c>
      <c r="C804" s="197">
        <v>2011</v>
      </c>
      <c r="D804" s="110" t="str">
        <f t="shared" si="8"/>
        <v>2029_2011</v>
      </c>
      <c r="E804" s="1231">
        <v>0.12415585196675601</v>
      </c>
      <c r="F804" s="1232">
        <v>5.2945866320980424E-2</v>
      </c>
      <c r="G804" s="1232">
        <v>5.1253478036395199</v>
      </c>
      <c r="H804" s="1232">
        <v>0.71104772420310591</v>
      </c>
      <c r="I804" s="1232">
        <v>5.72739788915477E-2</v>
      </c>
      <c r="J804" s="1232">
        <v>2.1630318668536949E-4</v>
      </c>
      <c r="K804" s="1232">
        <v>3.0000008603787501E-3</v>
      </c>
      <c r="L804" s="1233">
        <v>2.7950601318782801E-2</v>
      </c>
      <c r="M804" s="1234">
        <v>5.9863654067506301E-2</v>
      </c>
      <c r="N804" s="1235">
        <v>2.2608345695610641E-4</v>
      </c>
    </row>
    <row r="805" spans="1:14" ht="15.5" x14ac:dyDescent="0.35">
      <c r="A805" s="198">
        <v>2029</v>
      </c>
      <c r="B805" s="197" t="s">
        <v>5850</v>
      </c>
      <c r="C805" s="197">
        <v>2012</v>
      </c>
      <c r="D805" s="110" t="str">
        <f t="shared" si="8"/>
        <v>2029_2012</v>
      </c>
      <c r="E805" s="1231">
        <v>2.5042814067863E-2</v>
      </c>
      <c r="F805" s="1232">
        <v>5.3123308298800728E-2</v>
      </c>
      <c r="G805" s="1232">
        <v>4.4685887448491197</v>
      </c>
      <c r="H805" s="1232">
        <v>0.62775477932662493</v>
      </c>
      <c r="I805" s="1232">
        <v>3.32273714196872E-2</v>
      </c>
      <c r="J805" s="1232">
        <v>2.1630318668536939E-4</v>
      </c>
      <c r="K805" s="1232">
        <v>3.0000008603787401E-3</v>
      </c>
      <c r="L805" s="1233">
        <v>2.79506013189092E-2</v>
      </c>
      <c r="M805" s="1234">
        <v>3.4729765711008498E-2</v>
      </c>
      <c r="N805" s="1235">
        <v>2.2608345695610636E-4</v>
      </c>
    </row>
    <row r="806" spans="1:14" ht="15.5" x14ac:dyDescent="0.35">
      <c r="A806" s="198">
        <v>2029</v>
      </c>
      <c r="B806" s="197" t="s">
        <v>5850</v>
      </c>
      <c r="C806" s="197">
        <v>2013</v>
      </c>
      <c r="D806" s="110" t="str">
        <f t="shared" si="8"/>
        <v>2029_2013</v>
      </c>
      <c r="E806" s="1231">
        <v>2.47230201799945E-2</v>
      </c>
      <c r="F806" s="1232">
        <v>5.3123308298801061E-2</v>
      </c>
      <c r="G806" s="1232">
        <v>4.2160023483203402</v>
      </c>
      <c r="H806" s="1232">
        <v>0.62775477932662915</v>
      </c>
      <c r="I806" s="1232">
        <v>3.2307275634924498E-2</v>
      </c>
      <c r="J806" s="1232">
        <v>2.1630318668536998E-4</v>
      </c>
      <c r="K806" s="1232">
        <v>3.0000008603787501E-3</v>
      </c>
      <c r="L806" s="1233">
        <v>2.7950601318897501E-2</v>
      </c>
      <c r="M806" s="1234">
        <v>3.3768067277723399E-2</v>
      </c>
      <c r="N806" s="1235">
        <v>2.2608345695610834E-4</v>
      </c>
    </row>
    <row r="807" spans="1:14" ht="15.5" x14ac:dyDescent="0.35">
      <c r="A807" s="198">
        <v>2029</v>
      </c>
      <c r="B807" s="197" t="s">
        <v>5850</v>
      </c>
      <c r="C807" s="197">
        <v>2014</v>
      </c>
      <c r="D807" s="110" t="str">
        <f t="shared" si="8"/>
        <v>2029_2014</v>
      </c>
      <c r="E807" s="1231">
        <v>1.2011768608664E-2</v>
      </c>
      <c r="F807" s="1232">
        <v>5.3123308298800874E-2</v>
      </c>
      <c r="G807" s="1232">
        <v>1.57240921136768</v>
      </c>
      <c r="H807" s="1232">
        <v>0.62775477932662671</v>
      </c>
      <c r="I807" s="1232">
        <v>3.6819752507298499E-2</v>
      </c>
      <c r="J807" s="1232">
        <v>2.1630318668536998E-4</v>
      </c>
      <c r="K807" s="1232">
        <v>3.0000008603787501E-3</v>
      </c>
      <c r="L807" s="1233">
        <v>2.79506013187912E-2</v>
      </c>
      <c r="M807" s="1234">
        <v>3.8484578330446599E-2</v>
      </c>
      <c r="N807" s="1235">
        <v>2.2608345695610696E-4</v>
      </c>
    </row>
    <row r="808" spans="1:14" ht="15.5" x14ac:dyDescent="0.35">
      <c r="A808" s="199">
        <v>2029</v>
      </c>
      <c r="B808" s="110" t="s">
        <v>5850</v>
      </c>
      <c r="C808" s="110">
        <v>2015</v>
      </c>
      <c r="D808" s="110" t="str">
        <f t="shared" si="8"/>
        <v>2029_2015</v>
      </c>
      <c r="E808" s="1231">
        <v>1.18454386809168E-2</v>
      </c>
      <c r="F808" s="1232">
        <v>4.7810977468920463E-2</v>
      </c>
      <c r="G808" s="1232">
        <v>1.5557478941784599</v>
      </c>
      <c r="H808" s="1232">
        <v>0.56497930139396046</v>
      </c>
      <c r="I808" s="1232">
        <v>3.59784094743794E-2</v>
      </c>
      <c r="J808" s="1232">
        <v>1.9467286801683219E-4</v>
      </c>
      <c r="K808" s="1232">
        <v>3.0000008603787501E-3</v>
      </c>
      <c r="L808" s="1233">
        <v>2.7950601318815899E-2</v>
      </c>
      <c r="M808" s="1234">
        <v>3.7605193498983301E-2</v>
      </c>
      <c r="N808" s="1235">
        <v>2.0347511126049425E-4</v>
      </c>
    </row>
    <row r="809" spans="1:14" ht="15.5" x14ac:dyDescent="0.35">
      <c r="A809" s="199">
        <v>2029</v>
      </c>
      <c r="B809" s="110" t="s">
        <v>5850</v>
      </c>
      <c r="C809" s="110">
        <v>2016</v>
      </c>
      <c r="D809" s="110" t="str">
        <f t="shared" si="8"/>
        <v>2029_2016</v>
      </c>
      <c r="E809" s="1231">
        <v>1.1660627650077599E-2</v>
      </c>
      <c r="F809" s="1232">
        <v>4.30298797220285E-2</v>
      </c>
      <c r="G809" s="1232">
        <v>1.5367945833832699</v>
      </c>
      <c r="H809" s="1232">
        <v>0.50848137125456505</v>
      </c>
      <c r="I809" s="1232">
        <v>3.5043583882261697E-2</v>
      </c>
      <c r="J809" s="1232">
        <v>1.7520558121514885E-4</v>
      </c>
      <c r="K809" s="1232">
        <v>3.0000008603787501E-3</v>
      </c>
      <c r="L809" s="1233">
        <v>2.7950601318830901E-2</v>
      </c>
      <c r="M809" s="1234">
        <v>3.6628099241817202E-2</v>
      </c>
      <c r="N809" s="1235">
        <v>1.8312760013444574E-4</v>
      </c>
    </row>
    <row r="810" spans="1:14" ht="15.5" x14ac:dyDescent="0.35">
      <c r="A810" s="199">
        <v>2029</v>
      </c>
      <c r="B810" s="110" t="s">
        <v>5850</v>
      </c>
      <c r="C810" s="110">
        <v>2017</v>
      </c>
      <c r="D810" s="110" t="str">
        <f t="shared" si="8"/>
        <v>2029_2017</v>
      </c>
      <c r="E810" s="1231">
        <v>1.1657304706120201E-2</v>
      </c>
      <c r="F810" s="1232">
        <v>3.8726891749825444E-2</v>
      </c>
      <c r="G810" s="1232">
        <v>1.5151544116537701</v>
      </c>
      <c r="H810" s="1232">
        <v>0.45763323412910528</v>
      </c>
      <c r="I810" s="1232">
        <v>2.7719334692470999E-2</v>
      </c>
      <c r="J810" s="1232">
        <v>1.5768502309363314E-4</v>
      </c>
      <c r="K810" s="1232">
        <v>3.0000008603787501E-3</v>
      </c>
      <c r="L810" s="1233">
        <v>2.7950601318843301E-2</v>
      </c>
      <c r="M810" s="1234">
        <v>2.8972680004538499E-2</v>
      </c>
      <c r="N810" s="1235">
        <v>1.6481484012100033E-4</v>
      </c>
    </row>
    <row r="811" spans="1:14" ht="15.5" x14ac:dyDescent="0.35">
      <c r="A811" s="199">
        <v>2029</v>
      </c>
      <c r="B811" s="110" t="s">
        <v>5850</v>
      </c>
      <c r="C811" s="110">
        <v>2018</v>
      </c>
      <c r="D811" s="110" t="str">
        <f t="shared" si="8"/>
        <v>2029_2018</v>
      </c>
      <c r="E811" s="1231">
        <v>1.14251195429918E-2</v>
      </c>
      <c r="F811" s="1232">
        <v>3.485420257484316E-2</v>
      </c>
      <c r="G811" s="1232">
        <v>1.4903359377524501</v>
      </c>
      <c r="H811" s="1232">
        <v>0.41186991071619966</v>
      </c>
      <c r="I811" s="1232">
        <v>2.6778533222035501E-2</v>
      </c>
      <c r="J811" s="1232">
        <v>1.4191652078427122E-4</v>
      </c>
      <c r="K811" s="1232">
        <v>3.0000008603787501E-3</v>
      </c>
      <c r="L811" s="1233">
        <v>2.79506013187476E-2</v>
      </c>
      <c r="M811" s="1234">
        <v>2.7989339666354598E-2</v>
      </c>
      <c r="N811" s="1235">
        <v>1.4833335610890173E-4</v>
      </c>
    </row>
    <row r="812" spans="1:14" ht="15.5" x14ac:dyDescent="0.35">
      <c r="A812" s="199">
        <v>2029</v>
      </c>
      <c r="B812" s="110" t="s">
        <v>5850</v>
      </c>
      <c r="C812" s="110">
        <v>2019</v>
      </c>
      <c r="D812" s="110" t="str">
        <f t="shared" si="8"/>
        <v>2029_2019</v>
      </c>
      <c r="E812" s="1231">
        <v>1.1167136028316E-2</v>
      </c>
      <c r="F812" s="1232">
        <v>3.1368782317358505E-2</v>
      </c>
      <c r="G812" s="1232">
        <v>1.4617157238138401</v>
      </c>
      <c r="H812" s="1232">
        <v>0.37068291964457573</v>
      </c>
      <c r="I812" s="1232">
        <v>2.5733198254060199E-2</v>
      </c>
      <c r="J812" s="1232">
        <v>1.2772486870584273E-4</v>
      </c>
      <c r="K812" s="1232">
        <v>3.0000008603787501E-3</v>
      </c>
      <c r="L812" s="1233">
        <v>2.7950601318945702E-2</v>
      </c>
      <c r="M812" s="1234">
        <v>2.68967392897328E-2</v>
      </c>
      <c r="N812" s="1235">
        <v>1.3350002049801013E-4</v>
      </c>
    </row>
    <row r="813" spans="1:14" ht="15.5" x14ac:dyDescent="0.35">
      <c r="A813" s="199">
        <v>2029</v>
      </c>
      <c r="B813" s="110" t="s">
        <v>5850</v>
      </c>
      <c r="C813" s="110">
        <v>2020</v>
      </c>
      <c r="D813" s="110" t="str">
        <f t="shared" si="8"/>
        <v>2029_2020</v>
      </c>
      <c r="E813" s="1231">
        <v>1.08804876788096E-2</v>
      </c>
      <c r="F813" s="1232">
        <v>2.8231904085622973E-2</v>
      </c>
      <c r="G813" s="1232">
        <v>1.4284839724562199</v>
      </c>
      <c r="H813" s="1232">
        <v>0.3336146276801219</v>
      </c>
      <c r="I813" s="1232">
        <v>2.45717149572931E-2</v>
      </c>
      <c r="J813" s="1232">
        <v>1.1495238183525906E-4</v>
      </c>
      <c r="K813" s="1232">
        <v>3.0000008603787401E-3</v>
      </c>
      <c r="L813" s="1233">
        <v>2.7950601318838302E-2</v>
      </c>
      <c r="M813" s="1234">
        <v>2.5682738872291701E-2</v>
      </c>
      <c r="N813" s="1235">
        <v>1.2015001844821048E-4</v>
      </c>
    </row>
    <row r="814" spans="1:14" ht="15.5" x14ac:dyDescent="0.35">
      <c r="A814" s="199">
        <v>2029</v>
      </c>
      <c r="B814" s="110" t="s">
        <v>5850</v>
      </c>
      <c r="C814" s="110">
        <v>2021</v>
      </c>
      <c r="D814" s="110" t="str">
        <f t="shared" si="8"/>
        <v>2029_2021</v>
      </c>
      <c r="E814" s="1231">
        <v>1.0561989512632999E-2</v>
      </c>
      <c r="F814" s="1232">
        <v>2.5408713677061202E-2</v>
      </c>
      <c r="G814" s="1232">
        <v>1.3895570495237399</v>
      </c>
      <c r="H814" s="1232">
        <v>0.30025316491211529</v>
      </c>
      <c r="I814" s="1232">
        <v>2.3281177961707401E-2</v>
      </c>
      <c r="J814" s="1232">
        <v>1.0345714365173529E-4</v>
      </c>
      <c r="K814" s="1232">
        <v>3.0000008603787501E-3</v>
      </c>
      <c r="L814" s="1233">
        <v>2.7950601318040998E-2</v>
      </c>
      <c r="M814" s="1234">
        <v>2.43338495204387E-2</v>
      </c>
      <c r="N814" s="1235">
        <v>1.0813501660339168E-4</v>
      </c>
    </row>
    <row r="815" spans="1:14" ht="15.5" x14ac:dyDescent="0.35">
      <c r="A815" s="199">
        <v>2029</v>
      </c>
      <c r="B815" s="110" t="s">
        <v>5850</v>
      </c>
      <c r="C815" s="110">
        <v>2022</v>
      </c>
      <c r="D815" s="110" t="str">
        <f t="shared" si="8"/>
        <v>2029_2022</v>
      </c>
      <c r="E815" s="1231">
        <v>1.0208102661270001E-2</v>
      </c>
      <c r="F815" s="1232">
        <v>2.540871367706057E-2</v>
      </c>
      <c r="G815" s="1232">
        <v>1.3434281551421701</v>
      </c>
      <c r="H815" s="1232">
        <v>0.30025316491210846</v>
      </c>
      <c r="I815" s="1232">
        <v>2.1847247963649698E-2</v>
      </c>
      <c r="J815" s="1232">
        <v>1.0345714365173335E-4</v>
      </c>
      <c r="K815" s="1232">
        <v>3.0000008603787501E-3</v>
      </c>
      <c r="L815" s="1233">
        <v>2.7950601319011201E-2</v>
      </c>
      <c r="M815" s="1234">
        <v>2.28350835708389E-2</v>
      </c>
      <c r="N815" s="1235">
        <v>1.0813501660338897E-4</v>
      </c>
    </row>
    <row r="816" spans="1:14" ht="15.5" x14ac:dyDescent="0.35">
      <c r="A816" s="199">
        <v>2029</v>
      </c>
      <c r="B816" s="110" t="s">
        <v>5850</v>
      </c>
      <c r="C816" s="110">
        <v>2023</v>
      </c>
      <c r="D816" s="110" t="str">
        <f t="shared" si="8"/>
        <v>2029_2023</v>
      </c>
      <c r="E816" s="1231">
        <v>9.8542158099753797E-3</v>
      </c>
      <c r="F816" s="1232">
        <v>2.5408713677060907E-2</v>
      </c>
      <c r="G816" s="1232">
        <v>1.2371339679472599</v>
      </c>
      <c r="H816" s="1232">
        <v>0.30025316491211168</v>
      </c>
      <c r="I816" s="1232">
        <v>1.93734661762704E-2</v>
      </c>
      <c r="J816" s="1232">
        <v>1.0345714365173446E-4</v>
      </c>
      <c r="K816" s="1232">
        <v>3.0000008603787501E-3</v>
      </c>
      <c r="L816" s="1233">
        <v>2.7950601318906101E-2</v>
      </c>
      <c r="M816" s="1234">
        <v>2.0249448348278399E-2</v>
      </c>
      <c r="N816" s="1235">
        <v>1.0813501660339014E-4</v>
      </c>
    </row>
    <row r="817" spans="1:14" ht="15.5" x14ac:dyDescent="0.35">
      <c r="A817" s="199">
        <v>2029</v>
      </c>
      <c r="B817" s="110" t="s">
        <v>5850</v>
      </c>
      <c r="C817" s="110">
        <v>2024</v>
      </c>
      <c r="D817" s="110" t="str">
        <f t="shared" si="8"/>
        <v>2029_2024</v>
      </c>
      <c r="E817" s="1231">
        <v>9.5003289587069703E-3</v>
      </c>
      <c r="F817" s="1232">
        <v>2.5408713677060706E-2</v>
      </c>
      <c r="G817" s="1232">
        <v>1.1857817662422001</v>
      </c>
      <c r="H817" s="1232">
        <v>0.30025316491210874</v>
      </c>
      <c r="I817" s="1232">
        <v>1.79384002018293E-2</v>
      </c>
      <c r="J817" s="1232">
        <v>1.0345714365173364E-4</v>
      </c>
      <c r="K817" s="1232">
        <v>3.0000008603787501E-3</v>
      </c>
      <c r="L817" s="1233">
        <v>2.79506013187137E-2</v>
      </c>
      <c r="M817" s="1234">
        <v>1.8749495058484E-2</v>
      </c>
      <c r="N817" s="1235">
        <v>1.081350166033893E-4</v>
      </c>
    </row>
    <row r="818" spans="1:14" ht="15.5" x14ac:dyDescent="0.35">
      <c r="A818" s="199">
        <v>2029</v>
      </c>
      <c r="B818" s="110" t="s">
        <v>5850</v>
      </c>
      <c r="C818" s="110">
        <v>2025</v>
      </c>
      <c r="D818" s="110" t="str">
        <f t="shared" si="8"/>
        <v>2029_2025</v>
      </c>
      <c r="E818" s="1231">
        <v>9.1464421073574192E-3</v>
      </c>
      <c r="F818" s="1232">
        <v>2.5408713677060536E-2</v>
      </c>
      <c r="G818" s="1232">
        <v>1.0178492891194899</v>
      </c>
      <c r="H818" s="1232">
        <v>0.14894161752739465</v>
      </c>
      <c r="I818" s="1232">
        <v>1.6482018103479101E-2</v>
      </c>
      <c r="J818" s="1232">
        <v>1.0345714365173255E-4</v>
      </c>
      <c r="K818" s="1232">
        <v>3.0000008603787501E-3</v>
      </c>
      <c r="L818" s="1233">
        <v>2.7950601318859101E-2</v>
      </c>
      <c r="M818" s="1234">
        <v>1.72272618242463E-2</v>
      </c>
      <c r="N818" s="1235">
        <v>1.0813501660338882E-4</v>
      </c>
    </row>
    <row r="819" spans="1:14" ht="15.5" x14ac:dyDescent="0.35">
      <c r="A819" s="199">
        <v>2029</v>
      </c>
      <c r="B819" s="110" t="s">
        <v>5850</v>
      </c>
      <c r="C819" s="110">
        <v>2026</v>
      </c>
      <c r="D819" s="110" t="str">
        <f t="shared" si="8"/>
        <v>2029_2026</v>
      </c>
      <c r="E819" s="1231">
        <v>8.7925552560517498E-3</v>
      </c>
      <c r="F819" s="1232">
        <v>2.5408713677060667E-2</v>
      </c>
      <c r="G819" s="1232">
        <v>0.95305828045379504</v>
      </c>
      <c r="H819" s="1232">
        <v>0.14344949752832575</v>
      </c>
      <c r="I819" s="1232">
        <v>1.5185217551046499E-2</v>
      </c>
      <c r="J819" s="1232">
        <v>1.0345714365173373E-4</v>
      </c>
      <c r="K819" s="1232">
        <v>3.0000008603787501E-3</v>
      </c>
      <c r="L819" s="1233">
        <v>3.08830020312118E-2</v>
      </c>
      <c r="M819" s="1234">
        <v>1.5871825705299901E-2</v>
      </c>
      <c r="N819" s="1235">
        <v>1.0813501660338939E-4</v>
      </c>
    </row>
    <row r="820" spans="1:14" ht="15.5" x14ac:dyDescent="0.35">
      <c r="A820" s="198">
        <v>2029</v>
      </c>
      <c r="B820" s="197" t="s">
        <v>5850</v>
      </c>
      <c r="C820" s="197">
        <v>2027</v>
      </c>
      <c r="D820" s="110" t="str">
        <f t="shared" si="8"/>
        <v>2029_2027</v>
      </c>
      <c r="E820" s="1231">
        <v>8.4386684047397503E-3</v>
      </c>
      <c r="F820" s="1232">
        <v>2.5408713677060692E-2</v>
      </c>
      <c r="G820" s="1232">
        <v>0.87820614264018504</v>
      </c>
      <c r="H820" s="1232">
        <v>0.13639529702749184</v>
      </c>
      <c r="I820" s="1232">
        <v>1.3928781105669299E-2</v>
      </c>
      <c r="J820" s="1232">
        <v>1.0345714365173358E-4</v>
      </c>
      <c r="K820" s="1232">
        <v>3.0000008603787501E-3</v>
      </c>
      <c r="L820" s="1233">
        <v>3.0883002031206599E-2</v>
      </c>
      <c r="M820" s="1234">
        <v>1.45585787792169E-2</v>
      </c>
      <c r="N820" s="1235">
        <v>1.0813501660338922E-4</v>
      </c>
    </row>
    <row r="821" spans="1:14" ht="15.5" x14ac:dyDescent="0.35">
      <c r="A821" s="198">
        <v>2029</v>
      </c>
      <c r="B821" s="197" t="s">
        <v>5850</v>
      </c>
      <c r="C821" s="197">
        <v>2028</v>
      </c>
      <c r="D821" s="110" t="str">
        <f t="shared" si="8"/>
        <v>2029_2028</v>
      </c>
      <c r="E821" s="1231">
        <v>8.0847815534254592E-3</v>
      </c>
      <c r="F821" s="1232">
        <v>2.5408713677060622E-2</v>
      </c>
      <c r="G821" s="1232">
        <v>0.66528182851028095</v>
      </c>
      <c r="H821" s="1232">
        <v>8.5579780932448987E-2</v>
      </c>
      <c r="I821" s="1232">
        <v>1.2539379374975001E-2</v>
      </c>
      <c r="J821" s="1232">
        <v>1.034571436517333E-4</v>
      </c>
      <c r="K821" s="1232">
        <v>3.0000008603787501E-3</v>
      </c>
      <c r="L821" s="1233">
        <v>3.0883002031218802E-2</v>
      </c>
      <c r="M821" s="1234">
        <v>1.3106354467639501E-2</v>
      </c>
      <c r="N821" s="1235">
        <v>1.0813501660338893E-4</v>
      </c>
    </row>
    <row r="822" spans="1:14" ht="15.5" x14ac:dyDescent="0.35">
      <c r="A822" s="199">
        <v>2029</v>
      </c>
      <c r="B822" s="110" t="s">
        <v>5850</v>
      </c>
      <c r="C822" s="110">
        <v>2029</v>
      </c>
      <c r="D822" s="110" t="str">
        <f t="shared" si="8"/>
        <v>2029_2029</v>
      </c>
      <c r="E822" s="1231">
        <v>7.7311556631614996E-3</v>
      </c>
      <c r="F822" s="1232">
        <v>2.5408715760752824E-2</v>
      </c>
      <c r="G822" s="1232">
        <v>0.54872850308363597</v>
      </c>
      <c r="H822" s="1232">
        <v>7.5614742391641676E-2</v>
      </c>
      <c r="I822" s="1232">
        <v>1.13795106722402E-2</v>
      </c>
      <c r="J822" s="1232">
        <v>1.0345715213594239E-4</v>
      </c>
      <c r="K822" s="1232">
        <v>3.0000008603784001E-3</v>
      </c>
      <c r="L822" s="1233">
        <v>3.08811764632364E-2</v>
      </c>
      <c r="M822" s="1234">
        <v>1.1894041649008201E-2</v>
      </c>
      <c r="N822" s="1235">
        <v>1.0813502547121622E-4</v>
      </c>
    </row>
    <row r="823" spans="1:14" ht="15.5" x14ac:dyDescent="0.35">
      <c r="A823" s="199">
        <v>2029</v>
      </c>
      <c r="B823" s="110" t="s">
        <v>5850</v>
      </c>
      <c r="C823" s="110">
        <v>2030</v>
      </c>
      <c r="D823" s="110" t="str">
        <f t="shared" si="8"/>
        <v>2029_2030</v>
      </c>
      <c r="E823" s="1231">
        <v>7.3758323675940903E-3</v>
      </c>
      <c r="F823" s="1232">
        <v>6.098088920940925E-2</v>
      </c>
      <c r="G823" s="1232">
        <v>0.37519348474324299</v>
      </c>
      <c r="H823" s="1232">
        <v>0.18147529657933753</v>
      </c>
      <c r="I823" s="1232">
        <v>1.0241104360483699E-2</v>
      </c>
      <c r="J823" s="1232">
        <v>2.4829704860833076E-4</v>
      </c>
      <c r="K823" s="1232">
        <v>3.0000008603803599E-3</v>
      </c>
      <c r="L823" s="1233">
        <v>3.0891619661828001E-2</v>
      </c>
      <c r="M823" s="1234">
        <v>1.07041616554373E-2</v>
      </c>
      <c r="N823" s="1235">
        <v>2.5952393934456448E-4</v>
      </c>
    </row>
    <row r="824" spans="1:14" ht="15.5" x14ac:dyDescent="0.35">
      <c r="A824" s="199">
        <v>2030</v>
      </c>
      <c r="B824" s="110" t="s">
        <v>5850</v>
      </c>
      <c r="C824" s="110">
        <v>1971</v>
      </c>
      <c r="D824" s="110" t="str">
        <f t="shared" si="8"/>
        <v>2030_1971</v>
      </c>
      <c r="E824" s="1226">
        <v>0.124155853243471</v>
      </c>
      <c r="F824" s="1227">
        <v>5.2944021341035465E-2</v>
      </c>
      <c r="G824" s="1227">
        <v>5.1253480776145102</v>
      </c>
      <c r="H824" s="1227">
        <v>0.71102294665422017</v>
      </c>
      <c r="I824" s="1227">
        <v>5.7273997285925797E-2</v>
      </c>
      <c r="J824" s="1227">
        <v>2.1629564926896295E-4</v>
      </c>
      <c r="K824" s="1227">
        <v>3.0000008603787501E-3</v>
      </c>
      <c r="L824" s="1228">
        <v>2.7950597398141399E-2</v>
      </c>
      <c r="M824" s="1229">
        <v>5.98636732935965E-2</v>
      </c>
      <c r="N824" s="1230">
        <v>2.2607557873117678E-4</v>
      </c>
    </row>
    <row r="825" spans="1:14" ht="15.5" x14ac:dyDescent="0.35">
      <c r="A825" s="199">
        <v>2030</v>
      </c>
      <c r="B825" s="110" t="s">
        <v>5850</v>
      </c>
      <c r="C825" s="110">
        <v>1972</v>
      </c>
      <c r="D825" s="110" t="str">
        <f t="shared" si="8"/>
        <v>2030_1972</v>
      </c>
      <c r="E825" s="1226">
        <v>0.124155853243471</v>
      </c>
      <c r="F825" s="1227">
        <v>5.2944021341035465E-2</v>
      </c>
      <c r="G825" s="1227">
        <v>5.1253480776145102</v>
      </c>
      <c r="H825" s="1227">
        <v>0.71102294665422017</v>
      </c>
      <c r="I825" s="1227">
        <v>5.7273997285925797E-2</v>
      </c>
      <c r="J825" s="1227">
        <v>2.1629564926896295E-4</v>
      </c>
      <c r="K825" s="1227">
        <v>3.0000008603787501E-3</v>
      </c>
      <c r="L825" s="1228">
        <v>2.7950597398141399E-2</v>
      </c>
      <c r="M825" s="1229">
        <v>5.98636732935965E-2</v>
      </c>
      <c r="N825" s="1230">
        <v>2.2607557873117678E-4</v>
      </c>
    </row>
    <row r="826" spans="1:14" ht="15.5" x14ac:dyDescent="0.35">
      <c r="A826" s="199">
        <v>2030</v>
      </c>
      <c r="B826" s="110" t="s">
        <v>5850</v>
      </c>
      <c r="C826" s="110">
        <v>1973</v>
      </c>
      <c r="D826" s="110" t="str">
        <f t="shared" si="8"/>
        <v>2030_1973</v>
      </c>
      <c r="E826" s="1226">
        <v>0.124155853243471</v>
      </c>
      <c r="F826" s="1227">
        <v>5.2944021341035465E-2</v>
      </c>
      <c r="G826" s="1227">
        <v>5.1253480776145102</v>
      </c>
      <c r="H826" s="1227">
        <v>0.71102294665422017</v>
      </c>
      <c r="I826" s="1227">
        <v>5.7273997285925797E-2</v>
      </c>
      <c r="J826" s="1227">
        <v>2.1629564926896295E-4</v>
      </c>
      <c r="K826" s="1227">
        <v>3.0000008603787501E-3</v>
      </c>
      <c r="L826" s="1228">
        <v>2.7950597398141399E-2</v>
      </c>
      <c r="M826" s="1229">
        <v>5.98636732935965E-2</v>
      </c>
      <c r="N826" s="1230">
        <v>2.2607557873117678E-4</v>
      </c>
    </row>
    <row r="827" spans="1:14" ht="15.5" x14ac:dyDescent="0.35">
      <c r="A827" s="199">
        <v>2030</v>
      </c>
      <c r="B827" s="110" t="s">
        <v>5850</v>
      </c>
      <c r="C827" s="110">
        <v>1974</v>
      </c>
      <c r="D827" s="110" t="str">
        <f t="shared" si="8"/>
        <v>2030_1974</v>
      </c>
      <c r="E827" s="1226">
        <v>0.124155853243471</v>
      </c>
      <c r="F827" s="1227">
        <v>5.2944021341035465E-2</v>
      </c>
      <c r="G827" s="1227">
        <v>5.1253480776145102</v>
      </c>
      <c r="H827" s="1227">
        <v>0.71102294665422017</v>
      </c>
      <c r="I827" s="1227">
        <v>5.7273997285925797E-2</v>
      </c>
      <c r="J827" s="1227">
        <v>2.1629564926896295E-4</v>
      </c>
      <c r="K827" s="1227">
        <v>3.0000008603787501E-3</v>
      </c>
      <c r="L827" s="1228">
        <v>2.7950597398141399E-2</v>
      </c>
      <c r="M827" s="1229">
        <v>5.98636732935965E-2</v>
      </c>
      <c r="N827" s="1230">
        <v>2.2607557873117678E-4</v>
      </c>
    </row>
    <row r="828" spans="1:14" ht="15.5" x14ac:dyDescent="0.35">
      <c r="A828" s="199">
        <v>2030</v>
      </c>
      <c r="B828" s="110" t="s">
        <v>5850</v>
      </c>
      <c r="C828" s="110">
        <v>1975</v>
      </c>
      <c r="D828" s="110" t="str">
        <f t="shared" si="8"/>
        <v>2030_1975</v>
      </c>
      <c r="E828" s="1226">
        <v>0.124155853243471</v>
      </c>
      <c r="F828" s="1227">
        <v>5.2944021341035465E-2</v>
      </c>
      <c r="G828" s="1227">
        <v>5.1253480776145102</v>
      </c>
      <c r="H828" s="1227">
        <v>0.71102294665422017</v>
      </c>
      <c r="I828" s="1227">
        <v>5.7273997285925797E-2</v>
      </c>
      <c r="J828" s="1227">
        <v>2.1629564926896295E-4</v>
      </c>
      <c r="K828" s="1227">
        <v>3.0000008603787501E-3</v>
      </c>
      <c r="L828" s="1228">
        <v>2.7950597398141399E-2</v>
      </c>
      <c r="M828" s="1229">
        <v>5.98636732935965E-2</v>
      </c>
      <c r="N828" s="1230">
        <v>2.2607557873117678E-4</v>
      </c>
    </row>
    <row r="829" spans="1:14" ht="15.5" x14ac:dyDescent="0.35">
      <c r="A829" s="199">
        <v>2030</v>
      </c>
      <c r="B829" s="110" t="s">
        <v>5850</v>
      </c>
      <c r="C829" s="110">
        <v>1976</v>
      </c>
      <c r="D829" s="110" t="str">
        <f t="shared" si="8"/>
        <v>2030_1976</v>
      </c>
      <c r="E829" s="1226">
        <v>0.124155853243471</v>
      </c>
      <c r="F829" s="1227">
        <v>5.2944021341035465E-2</v>
      </c>
      <c r="G829" s="1227">
        <v>5.1253480776145102</v>
      </c>
      <c r="H829" s="1227">
        <v>0.71102294665422017</v>
      </c>
      <c r="I829" s="1227">
        <v>5.7273997285925797E-2</v>
      </c>
      <c r="J829" s="1227">
        <v>2.1629564926896295E-4</v>
      </c>
      <c r="K829" s="1227">
        <v>3.0000008603787501E-3</v>
      </c>
      <c r="L829" s="1228">
        <v>2.7950597398141399E-2</v>
      </c>
      <c r="M829" s="1229">
        <v>5.98636732935965E-2</v>
      </c>
      <c r="N829" s="1230">
        <v>2.2607557873117678E-4</v>
      </c>
    </row>
    <row r="830" spans="1:14" ht="15.5" x14ac:dyDescent="0.35">
      <c r="A830" s="199">
        <v>2030</v>
      </c>
      <c r="B830" s="110" t="s">
        <v>5850</v>
      </c>
      <c r="C830" s="110">
        <v>1977</v>
      </c>
      <c r="D830" s="110" t="str">
        <f t="shared" si="8"/>
        <v>2030_1977</v>
      </c>
      <c r="E830" s="1226">
        <v>0.124155853243471</v>
      </c>
      <c r="F830" s="1227">
        <v>5.2944021341035465E-2</v>
      </c>
      <c r="G830" s="1227">
        <v>5.1253480776145102</v>
      </c>
      <c r="H830" s="1227">
        <v>0.71102294665422017</v>
      </c>
      <c r="I830" s="1227">
        <v>5.7273997285925797E-2</v>
      </c>
      <c r="J830" s="1227">
        <v>2.1629564926896295E-4</v>
      </c>
      <c r="K830" s="1227">
        <v>3.0000008603787501E-3</v>
      </c>
      <c r="L830" s="1228">
        <v>2.7950597398141399E-2</v>
      </c>
      <c r="M830" s="1229">
        <v>5.98636732935965E-2</v>
      </c>
      <c r="N830" s="1230">
        <v>2.2607557873117678E-4</v>
      </c>
    </row>
    <row r="831" spans="1:14" ht="15.5" x14ac:dyDescent="0.35">
      <c r="A831" s="199">
        <v>2030</v>
      </c>
      <c r="B831" s="110" t="s">
        <v>5850</v>
      </c>
      <c r="C831" s="110">
        <v>1978</v>
      </c>
      <c r="D831" s="110" t="str">
        <f t="shared" si="8"/>
        <v>2030_1978</v>
      </c>
      <c r="E831" s="1226">
        <v>0.124155853243471</v>
      </c>
      <c r="F831" s="1227">
        <v>5.2944021341035465E-2</v>
      </c>
      <c r="G831" s="1227">
        <v>5.1253480776145102</v>
      </c>
      <c r="H831" s="1227">
        <v>0.71102294665422017</v>
      </c>
      <c r="I831" s="1227">
        <v>5.7273997285925797E-2</v>
      </c>
      <c r="J831" s="1227">
        <v>2.1629564926896295E-4</v>
      </c>
      <c r="K831" s="1227">
        <v>3.0000008603787501E-3</v>
      </c>
      <c r="L831" s="1228">
        <v>2.7950597398141399E-2</v>
      </c>
      <c r="M831" s="1229">
        <v>5.98636732935965E-2</v>
      </c>
      <c r="N831" s="1230">
        <v>2.2607557873117678E-4</v>
      </c>
    </row>
    <row r="832" spans="1:14" ht="15.5" x14ac:dyDescent="0.35">
      <c r="A832" s="199">
        <v>2030</v>
      </c>
      <c r="B832" s="110" t="s">
        <v>5850</v>
      </c>
      <c r="C832" s="110">
        <v>1979</v>
      </c>
      <c r="D832" s="110" t="str">
        <f t="shared" si="8"/>
        <v>2030_1979</v>
      </c>
      <c r="E832" s="1226">
        <v>0.124155853243471</v>
      </c>
      <c r="F832" s="1227">
        <v>5.2944021341035465E-2</v>
      </c>
      <c r="G832" s="1227">
        <v>5.1253480776145102</v>
      </c>
      <c r="H832" s="1227">
        <v>0.71102294665422017</v>
      </c>
      <c r="I832" s="1227">
        <v>5.7273997285925797E-2</v>
      </c>
      <c r="J832" s="1227">
        <v>2.1629564926896295E-4</v>
      </c>
      <c r="K832" s="1227">
        <v>3.0000008603787501E-3</v>
      </c>
      <c r="L832" s="1228">
        <v>2.7950597398141399E-2</v>
      </c>
      <c r="M832" s="1229">
        <v>5.98636732935965E-2</v>
      </c>
      <c r="N832" s="1230">
        <v>2.2607557873117678E-4</v>
      </c>
    </row>
    <row r="833" spans="1:14" ht="15.5" x14ac:dyDescent="0.35">
      <c r="A833" s="199">
        <v>2030</v>
      </c>
      <c r="B833" s="110" t="s">
        <v>5850</v>
      </c>
      <c r="C833" s="110">
        <v>1980</v>
      </c>
      <c r="D833" s="110" t="str">
        <f t="shared" si="8"/>
        <v>2030_1980</v>
      </c>
      <c r="E833" s="1226">
        <v>0.124155853243471</v>
      </c>
      <c r="F833" s="1227">
        <v>5.2944021341035465E-2</v>
      </c>
      <c r="G833" s="1227">
        <v>5.1253480776145102</v>
      </c>
      <c r="H833" s="1227">
        <v>0.71102294665422017</v>
      </c>
      <c r="I833" s="1227">
        <v>5.7273997285925797E-2</v>
      </c>
      <c r="J833" s="1227">
        <v>2.1629564926896295E-4</v>
      </c>
      <c r="K833" s="1227">
        <v>3.0000008603787501E-3</v>
      </c>
      <c r="L833" s="1228">
        <v>2.7950597398141399E-2</v>
      </c>
      <c r="M833" s="1229">
        <v>5.98636732935965E-2</v>
      </c>
      <c r="N833" s="1230">
        <v>2.2607557873117678E-4</v>
      </c>
    </row>
    <row r="834" spans="1:14" ht="15.5" x14ac:dyDescent="0.35">
      <c r="A834" s="199">
        <v>2030</v>
      </c>
      <c r="B834" s="110" t="s">
        <v>5850</v>
      </c>
      <c r="C834" s="110">
        <v>1981</v>
      </c>
      <c r="D834" s="110" t="str">
        <f t="shared" si="8"/>
        <v>2030_1981</v>
      </c>
      <c r="E834" s="1226">
        <v>0.124155853243471</v>
      </c>
      <c r="F834" s="1227">
        <v>5.2944021341035465E-2</v>
      </c>
      <c r="G834" s="1227">
        <v>5.1253480776145102</v>
      </c>
      <c r="H834" s="1227">
        <v>0.71102294665422017</v>
      </c>
      <c r="I834" s="1227">
        <v>5.7273997285925797E-2</v>
      </c>
      <c r="J834" s="1227">
        <v>2.1629564926896295E-4</v>
      </c>
      <c r="K834" s="1227">
        <v>3.0000008603787501E-3</v>
      </c>
      <c r="L834" s="1228">
        <v>2.7950597398141399E-2</v>
      </c>
      <c r="M834" s="1229">
        <v>5.98636732935965E-2</v>
      </c>
      <c r="N834" s="1230">
        <v>2.2607557873117678E-4</v>
      </c>
    </row>
    <row r="835" spans="1:14" ht="15.5" x14ac:dyDescent="0.35">
      <c r="A835" s="199">
        <v>2030</v>
      </c>
      <c r="B835" s="110" t="s">
        <v>5850</v>
      </c>
      <c r="C835" s="110">
        <v>1982</v>
      </c>
      <c r="D835" s="110" t="str">
        <f t="shared" si="8"/>
        <v>2030_1982</v>
      </c>
      <c r="E835" s="1226">
        <v>0.124155853243471</v>
      </c>
      <c r="F835" s="1227">
        <v>5.2944021341035465E-2</v>
      </c>
      <c r="G835" s="1227">
        <v>5.1253480776145102</v>
      </c>
      <c r="H835" s="1227">
        <v>0.71102294665422017</v>
      </c>
      <c r="I835" s="1227">
        <v>5.7273997285925797E-2</v>
      </c>
      <c r="J835" s="1227">
        <v>2.1629564926896295E-4</v>
      </c>
      <c r="K835" s="1227">
        <v>3.0000008603787501E-3</v>
      </c>
      <c r="L835" s="1228">
        <v>2.7950597398141399E-2</v>
      </c>
      <c r="M835" s="1229">
        <v>5.98636732935965E-2</v>
      </c>
      <c r="N835" s="1230">
        <v>2.2607557873117678E-4</v>
      </c>
    </row>
    <row r="836" spans="1:14" ht="15.5" x14ac:dyDescent="0.35">
      <c r="A836" s="199">
        <v>2030</v>
      </c>
      <c r="B836" s="110" t="s">
        <v>5850</v>
      </c>
      <c r="C836" s="110">
        <v>1983</v>
      </c>
      <c r="D836" s="110" t="str">
        <f t="shared" si="8"/>
        <v>2030_1983</v>
      </c>
      <c r="E836" s="1226">
        <v>0.124155853243471</v>
      </c>
      <c r="F836" s="1227">
        <v>5.2944021341035465E-2</v>
      </c>
      <c r="G836" s="1227">
        <v>5.1253480776145102</v>
      </c>
      <c r="H836" s="1227">
        <v>0.71102294665422017</v>
      </c>
      <c r="I836" s="1227">
        <v>5.7273997285925797E-2</v>
      </c>
      <c r="J836" s="1227">
        <v>2.1629564926896295E-4</v>
      </c>
      <c r="K836" s="1227">
        <v>3.0000008603787501E-3</v>
      </c>
      <c r="L836" s="1228">
        <v>2.7950597398141399E-2</v>
      </c>
      <c r="M836" s="1229">
        <v>5.98636732935965E-2</v>
      </c>
      <c r="N836" s="1230">
        <v>2.2607557873117678E-4</v>
      </c>
    </row>
    <row r="837" spans="1:14" ht="15.5" x14ac:dyDescent="0.35">
      <c r="A837" s="199">
        <v>2030</v>
      </c>
      <c r="B837" s="110" t="s">
        <v>5850</v>
      </c>
      <c r="C837" s="110">
        <v>1984</v>
      </c>
      <c r="D837" s="110" t="str">
        <f t="shared" si="8"/>
        <v>2030_1984</v>
      </c>
      <c r="E837" s="1226">
        <v>0.124155853243471</v>
      </c>
      <c r="F837" s="1227">
        <v>5.2944021341035465E-2</v>
      </c>
      <c r="G837" s="1227">
        <v>5.1253480776145102</v>
      </c>
      <c r="H837" s="1227">
        <v>0.71102294665422017</v>
      </c>
      <c r="I837" s="1227">
        <v>5.7273997285925797E-2</v>
      </c>
      <c r="J837" s="1227">
        <v>2.1629564926896295E-4</v>
      </c>
      <c r="K837" s="1227">
        <v>3.0000008603787501E-3</v>
      </c>
      <c r="L837" s="1228">
        <v>2.7950597398141399E-2</v>
      </c>
      <c r="M837" s="1229">
        <v>5.98636732935965E-2</v>
      </c>
      <c r="N837" s="1230">
        <v>2.2607557873117678E-4</v>
      </c>
    </row>
    <row r="838" spans="1:14" ht="15.5" x14ac:dyDescent="0.35">
      <c r="A838" s="199">
        <v>2030</v>
      </c>
      <c r="B838" s="110" t="s">
        <v>5850</v>
      </c>
      <c r="C838" s="110">
        <v>1985</v>
      </c>
      <c r="D838" s="110" t="str">
        <f t="shared" si="8"/>
        <v>2030_1985</v>
      </c>
      <c r="E838" s="1226">
        <v>0.124155853243471</v>
      </c>
      <c r="F838" s="1227">
        <v>5.2944021341035465E-2</v>
      </c>
      <c r="G838" s="1227">
        <v>5.1253480776145102</v>
      </c>
      <c r="H838" s="1227">
        <v>0.71102294665422017</v>
      </c>
      <c r="I838" s="1227">
        <v>5.7273997285925797E-2</v>
      </c>
      <c r="J838" s="1227">
        <v>2.1629564926896295E-4</v>
      </c>
      <c r="K838" s="1227">
        <v>3.0000008603787501E-3</v>
      </c>
      <c r="L838" s="1228">
        <v>2.7950597398141399E-2</v>
      </c>
      <c r="M838" s="1229">
        <v>5.98636732935965E-2</v>
      </c>
      <c r="N838" s="1230">
        <v>2.2607557873117678E-4</v>
      </c>
    </row>
    <row r="839" spans="1:14" ht="15.5" x14ac:dyDescent="0.35">
      <c r="A839" s="199">
        <v>2030</v>
      </c>
      <c r="B839" s="110" t="s">
        <v>5850</v>
      </c>
      <c r="C839" s="110">
        <v>1986</v>
      </c>
      <c r="D839" s="110" t="str">
        <f t="shared" si="8"/>
        <v>2030_1986</v>
      </c>
      <c r="E839" s="1226">
        <v>0.124155853243471</v>
      </c>
      <c r="F839" s="1227">
        <v>5.2944021341035465E-2</v>
      </c>
      <c r="G839" s="1227">
        <v>5.1253480776145102</v>
      </c>
      <c r="H839" s="1227">
        <v>0.71102294665422017</v>
      </c>
      <c r="I839" s="1227">
        <v>5.7273997285925797E-2</v>
      </c>
      <c r="J839" s="1227">
        <v>2.1629564926896295E-4</v>
      </c>
      <c r="K839" s="1227">
        <v>3.0000008603787501E-3</v>
      </c>
      <c r="L839" s="1228">
        <v>2.7950597398141399E-2</v>
      </c>
      <c r="M839" s="1229">
        <v>5.98636732935965E-2</v>
      </c>
      <c r="N839" s="1230">
        <v>2.2607557873117678E-4</v>
      </c>
    </row>
    <row r="840" spans="1:14" ht="15.5" x14ac:dyDescent="0.35">
      <c r="A840" s="199">
        <v>2030</v>
      </c>
      <c r="B840" s="110" t="s">
        <v>5850</v>
      </c>
      <c r="C840" s="110">
        <v>1987</v>
      </c>
      <c r="D840" s="110" t="str">
        <f t="shared" si="8"/>
        <v>2030_1987</v>
      </c>
      <c r="E840" s="1226">
        <v>0.124155853243471</v>
      </c>
      <c r="F840" s="1227">
        <v>5.2944021341035465E-2</v>
      </c>
      <c r="G840" s="1227">
        <v>5.1253480776145102</v>
      </c>
      <c r="H840" s="1227">
        <v>0.71102294665422017</v>
      </c>
      <c r="I840" s="1227">
        <v>5.7273997285925797E-2</v>
      </c>
      <c r="J840" s="1227">
        <v>2.1629564926896295E-4</v>
      </c>
      <c r="K840" s="1227">
        <v>3.0000008603787501E-3</v>
      </c>
      <c r="L840" s="1228">
        <v>2.7950597398141399E-2</v>
      </c>
      <c r="M840" s="1229">
        <v>5.98636732935965E-2</v>
      </c>
      <c r="N840" s="1230">
        <v>2.2607557873117678E-4</v>
      </c>
    </row>
    <row r="841" spans="1:14" ht="15.5" x14ac:dyDescent="0.35">
      <c r="A841" s="199">
        <v>2030</v>
      </c>
      <c r="B841" s="110" t="s">
        <v>5850</v>
      </c>
      <c r="C841" s="110">
        <v>1988</v>
      </c>
      <c r="D841" s="110" t="str">
        <f t="shared" si="8"/>
        <v>2030_1988</v>
      </c>
      <c r="E841" s="1226">
        <v>0.124155853243471</v>
      </c>
      <c r="F841" s="1227">
        <v>5.2944021341035465E-2</v>
      </c>
      <c r="G841" s="1227">
        <v>5.1253480776145102</v>
      </c>
      <c r="H841" s="1227">
        <v>0.71102294665422017</v>
      </c>
      <c r="I841" s="1227">
        <v>5.7273997285925797E-2</v>
      </c>
      <c r="J841" s="1227">
        <v>2.1629564926896295E-4</v>
      </c>
      <c r="K841" s="1227">
        <v>3.0000008603787501E-3</v>
      </c>
      <c r="L841" s="1228">
        <v>2.7950597398141399E-2</v>
      </c>
      <c r="M841" s="1229">
        <v>5.98636732935965E-2</v>
      </c>
      <c r="N841" s="1230">
        <v>2.2607557873117678E-4</v>
      </c>
    </row>
    <row r="842" spans="1:14" ht="15.5" x14ac:dyDescent="0.35">
      <c r="A842" s="199">
        <v>2030</v>
      </c>
      <c r="B842" s="110" t="s">
        <v>5850</v>
      </c>
      <c r="C842" s="110">
        <v>1989</v>
      </c>
      <c r="D842" s="110" t="str">
        <f t="shared" si="8"/>
        <v>2030_1989</v>
      </c>
      <c r="E842" s="1226">
        <v>0.124155853243471</v>
      </c>
      <c r="F842" s="1227">
        <v>5.2944021341035465E-2</v>
      </c>
      <c r="G842" s="1227">
        <v>5.1253480776145102</v>
      </c>
      <c r="H842" s="1227">
        <v>0.71102294665422017</v>
      </c>
      <c r="I842" s="1227">
        <v>5.7273997285925797E-2</v>
      </c>
      <c r="J842" s="1227">
        <v>2.1629564926896295E-4</v>
      </c>
      <c r="K842" s="1227">
        <v>3.0000008603787501E-3</v>
      </c>
      <c r="L842" s="1228">
        <v>2.7950597398141399E-2</v>
      </c>
      <c r="M842" s="1229">
        <v>5.98636732935965E-2</v>
      </c>
      <c r="N842" s="1230">
        <v>2.2607557873117678E-4</v>
      </c>
    </row>
    <row r="843" spans="1:14" ht="15.5" x14ac:dyDescent="0.35">
      <c r="A843" s="199">
        <v>2030</v>
      </c>
      <c r="B843" s="110" t="s">
        <v>5850</v>
      </c>
      <c r="C843" s="110">
        <v>1990</v>
      </c>
      <c r="D843" s="110" t="str">
        <f t="shared" si="8"/>
        <v>2030_1990</v>
      </c>
      <c r="E843" s="1226">
        <v>0.124155853243471</v>
      </c>
      <c r="F843" s="1227">
        <v>5.2944021341035465E-2</v>
      </c>
      <c r="G843" s="1227">
        <v>5.1253480776145102</v>
      </c>
      <c r="H843" s="1227">
        <v>0.71102294665422017</v>
      </c>
      <c r="I843" s="1227">
        <v>5.7273997285925797E-2</v>
      </c>
      <c r="J843" s="1227">
        <v>2.1629564926896295E-4</v>
      </c>
      <c r="K843" s="1227">
        <v>3.0000008603787501E-3</v>
      </c>
      <c r="L843" s="1228">
        <v>2.7950597398141399E-2</v>
      </c>
      <c r="M843" s="1229">
        <v>5.98636732935965E-2</v>
      </c>
      <c r="N843" s="1230">
        <v>2.2607557873117678E-4</v>
      </c>
    </row>
    <row r="844" spans="1:14" ht="15.5" x14ac:dyDescent="0.35">
      <c r="A844" s="199">
        <v>2030</v>
      </c>
      <c r="B844" s="110" t="s">
        <v>5850</v>
      </c>
      <c r="C844" s="110">
        <v>1991</v>
      </c>
      <c r="D844" s="110" t="str">
        <f t="shared" si="8"/>
        <v>2030_1991</v>
      </c>
      <c r="E844" s="1226">
        <v>0.124155853243471</v>
      </c>
      <c r="F844" s="1227">
        <v>5.2944021341035465E-2</v>
      </c>
      <c r="G844" s="1227">
        <v>5.1253480776145102</v>
      </c>
      <c r="H844" s="1227">
        <v>0.71102294665422017</v>
      </c>
      <c r="I844" s="1227">
        <v>5.7273997285925797E-2</v>
      </c>
      <c r="J844" s="1227">
        <v>2.1629564926896295E-4</v>
      </c>
      <c r="K844" s="1227">
        <v>3.0000008603787501E-3</v>
      </c>
      <c r="L844" s="1228">
        <v>2.7950597398141399E-2</v>
      </c>
      <c r="M844" s="1229">
        <v>5.98636732935965E-2</v>
      </c>
      <c r="N844" s="1230">
        <v>2.2607557873117678E-4</v>
      </c>
    </row>
    <row r="845" spans="1:14" ht="15.5" x14ac:dyDescent="0.35">
      <c r="A845" s="199">
        <v>2030</v>
      </c>
      <c r="B845" s="110" t="s">
        <v>5850</v>
      </c>
      <c r="C845" s="110">
        <v>1992</v>
      </c>
      <c r="D845" s="110" t="str">
        <f t="shared" si="8"/>
        <v>2030_1992</v>
      </c>
      <c r="E845" s="1226">
        <v>0.124155853243471</v>
      </c>
      <c r="F845" s="1227">
        <v>5.2944021341035465E-2</v>
      </c>
      <c r="G845" s="1227">
        <v>5.1253480776145102</v>
      </c>
      <c r="H845" s="1227">
        <v>0.71102294665422017</v>
      </c>
      <c r="I845" s="1227">
        <v>5.7273997285925797E-2</v>
      </c>
      <c r="J845" s="1227">
        <v>2.1629564926896295E-4</v>
      </c>
      <c r="K845" s="1227">
        <v>3.0000008603787501E-3</v>
      </c>
      <c r="L845" s="1228">
        <v>2.7950597398141399E-2</v>
      </c>
      <c r="M845" s="1229">
        <v>5.98636732935965E-2</v>
      </c>
      <c r="N845" s="1230">
        <v>2.2607557873117678E-4</v>
      </c>
    </row>
    <row r="846" spans="1:14" ht="15.5" x14ac:dyDescent="0.35">
      <c r="A846" s="199">
        <v>2030</v>
      </c>
      <c r="B846" s="110" t="s">
        <v>5850</v>
      </c>
      <c r="C846" s="110">
        <v>1993</v>
      </c>
      <c r="D846" s="110" t="str">
        <f t="shared" si="8"/>
        <v>2030_1993</v>
      </c>
      <c r="E846" s="1226">
        <v>0.124155853243471</v>
      </c>
      <c r="F846" s="1227">
        <v>5.2944021341035465E-2</v>
      </c>
      <c r="G846" s="1227">
        <v>5.1253480776145102</v>
      </c>
      <c r="H846" s="1227">
        <v>0.71102294665422017</v>
      </c>
      <c r="I846" s="1227">
        <v>5.7273997285925797E-2</v>
      </c>
      <c r="J846" s="1227">
        <v>2.1629564926896295E-4</v>
      </c>
      <c r="K846" s="1227">
        <v>3.0000008603787501E-3</v>
      </c>
      <c r="L846" s="1228">
        <v>2.7950597398141399E-2</v>
      </c>
      <c r="M846" s="1229">
        <v>5.98636732935965E-2</v>
      </c>
      <c r="N846" s="1230">
        <v>2.2607557873117678E-4</v>
      </c>
    </row>
    <row r="847" spans="1:14" ht="15.5" x14ac:dyDescent="0.35">
      <c r="A847" s="199">
        <v>2030</v>
      </c>
      <c r="B847" s="110" t="s">
        <v>5850</v>
      </c>
      <c r="C847" s="110">
        <v>1994</v>
      </c>
      <c r="D847" s="110" t="str">
        <f t="shared" si="8"/>
        <v>2030_1994</v>
      </c>
      <c r="E847" s="1226">
        <v>0.124155853243471</v>
      </c>
      <c r="F847" s="1227">
        <v>5.2944021341035465E-2</v>
      </c>
      <c r="G847" s="1227">
        <v>5.1253480776145102</v>
      </c>
      <c r="H847" s="1227">
        <v>0.71102294665422017</v>
      </c>
      <c r="I847" s="1227">
        <v>5.7273997285925797E-2</v>
      </c>
      <c r="J847" s="1227">
        <v>2.1629564926896295E-4</v>
      </c>
      <c r="K847" s="1227">
        <v>3.0000008603787501E-3</v>
      </c>
      <c r="L847" s="1228">
        <v>2.7950597398141399E-2</v>
      </c>
      <c r="M847" s="1229">
        <v>5.98636732935965E-2</v>
      </c>
      <c r="N847" s="1230">
        <v>2.2607557873117678E-4</v>
      </c>
    </row>
    <row r="848" spans="1:14" ht="15.5" x14ac:dyDescent="0.35">
      <c r="A848" s="199">
        <v>2030</v>
      </c>
      <c r="B848" s="110" t="s">
        <v>5850</v>
      </c>
      <c r="C848" s="110">
        <v>1995</v>
      </c>
      <c r="D848" s="110" t="str">
        <f t="shared" si="8"/>
        <v>2030_1995</v>
      </c>
      <c r="E848" s="1226">
        <v>0.124155853243471</v>
      </c>
      <c r="F848" s="1227">
        <v>5.2944021341035465E-2</v>
      </c>
      <c r="G848" s="1227">
        <v>5.1253480776145102</v>
      </c>
      <c r="H848" s="1227">
        <v>0.71102294665422017</v>
      </c>
      <c r="I848" s="1227">
        <v>5.7273997285925797E-2</v>
      </c>
      <c r="J848" s="1227">
        <v>2.1629564926896295E-4</v>
      </c>
      <c r="K848" s="1227">
        <v>3.0000008603787501E-3</v>
      </c>
      <c r="L848" s="1228">
        <v>2.7950597398141399E-2</v>
      </c>
      <c r="M848" s="1229">
        <v>5.98636732935965E-2</v>
      </c>
      <c r="N848" s="1230">
        <v>2.2607557873117678E-4</v>
      </c>
    </row>
    <row r="849" spans="1:14" ht="15.5" x14ac:dyDescent="0.35">
      <c r="A849" s="199">
        <v>2030</v>
      </c>
      <c r="B849" s="110" t="s">
        <v>5850</v>
      </c>
      <c r="C849" s="110">
        <v>1996</v>
      </c>
      <c r="D849" s="110" t="str">
        <f t="shared" si="8"/>
        <v>2030_1996</v>
      </c>
      <c r="E849" s="1226">
        <v>0.124155853243471</v>
      </c>
      <c r="F849" s="1227">
        <v>5.2944021341035465E-2</v>
      </c>
      <c r="G849" s="1227">
        <v>5.1253480776145102</v>
      </c>
      <c r="H849" s="1227">
        <v>0.71102294665422017</v>
      </c>
      <c r="I849" s="1227">
        <v>5.7273997285925797E-2</v>
      </c>
      <c r="J849" s="1227">
        <v>2.1629564926896295E-4</v>
      </c>
      <c r="K849" s="1227">
        <v>3.0000008603787501E-3</v>
      </c>
      <c r="L849" s="1228">
        <v>2.7950597398141399E-2</v>
      </c>
      <c r="M849" s="1229">
        <v>5.98636732935965E-2</v>
      </c>
      <c r="N849" s="1230">
        <v>2.2607557873117678E-4</v>
      </c>
    </row>
    <row r="850" spans="1:14" ht="15.5" x14ac:dyDescent="0.35">
      <c r="A850" s="199">
        <v>2030</v>
      </c>
      <c r="B850" s="110" t="s">
        <v>5850</v>
      </c>
      <c r="C850" s="110">
        <v>1997</v>
      </c>
      <c r="D850" s="110" t="str">
        <f t="shared" si="8"/>
        <v>2030_1997</v>
      </c>
      <c r="E850" s="1226">
        <v>0.124155853243471</v>
      </c>
      <c r="F850" s="1227">
        <v>5.2944021341035465E-2</v>
      </c>
      <c r="G850" s="1227">
        <v>5.1253480776145102</v>
      </c>
      <c r="H850" s="1227">
        <v>0.71102294665422017</v>
      </c>
      <c r="I850" s="1227">
        <v>5.7273997285925797E-2</v>
      </c>
      <c r="J850" s="1227">
        <v>2.1629564926896295E-4</v>
      </c>
      <c r="K850" s="1227">
        <v>3.0000008603787501E-3</v>
      </c>
      <c r="L850" s="1228">
        <v>2.7950597398141399E-2</v>
      </c>
      <c r="M850" s="1229">
        <v>5.98636732935965E-2</v>
      </c>
      <c r="N850" s="1230">
        <v>2.2607557873117678E-4</v>
      </c>
    </row>
    <row r="851" spans="1:14" ht="15.5" x14ac:dyDescent="0.35">
      <c r="A851" s="199">
        <v>2030</v>
      </c>
      <c r="B851" s="110" t="s">
        <v>5850</v>
      </c>
      <c r="C851" s="110">
        <v>1998</v>
      </c>
      <c r="D851" s="110" t="str">
        <f t="shared" si="8"/>
        <v>2030_1998</v>
      </c>
      <c r="E851" s="1226">
        <v>0.124155853243471</v>
      </c>
      <c r="F851" s="1227">
        <v>5.2944021341035465E-2</v>
      </c>
      <c r="G851" s="1227">
        <v>5.1253480776145102</v>
      </c>
      <c r="H851" s="1227">
        <v>0.71102294665422017</v>
      </c>
      <c r="I851" s="1227">
        <v>5.7273997285925797E-2</v>
      </c>
      <c r="J851" s="1227">
        <v>2.1629564926896295E-4</v>
      </c>
      <c r="K851" s="1227">
        <v>3.0000008603787501E-3</v>
      </c>
      <c r="L851" s="1228">
        <v>2.7950597398141399E-2</v>
      </c>
      <c r="M851" s="1229">
        <v>5.98636732935965E-2</v>
      </c>
      <c r="N851" s="1230">
        <v>2.2607557873117678E-4</v>
      </c>
    </row>
    <row r="852" spans="1:14" ht="15.5" x14ac:dyDescent="0.35">
      <c r="A852" s="199">
        <v>2030</v>
      </c>
      <c r="B852" s="110" t="s">
        <v>5850</v>
      </c>
      <c r="C852" s="110">
        <v>1999</v>
      </c>
      <c r="D852" s="110" t="str">
        <f t="shared" si="8"/>
        <v>2030_1999</v>
      </c>
      <c r="E852" s="1226">
        <v>0.124155853243471</v>
      </c>
      <c r="F852" s="1227">
        <v>5.2944021341035465E-2</v>
      </c>
      <c r="G852" s="1227">
        <v>5.1253480776145102</v>
      </c>
      <c r="H852" s="1227">
        <v>0.71102294665422017</v>
      </c>
      <c r="I852" s="1227">
        <v>5.7273997285925797E-2</v>
      </c>
      <c r="J852" s="1227">
        <v>2.1629564926896295E-4</v>
      </c>
      <c r="K852" s="1227">
        <v>3.0000008603787501E-3</v>
      </c>
      <c r="L852" s="1228">
        <v>2.7950597398141399E-2</v>
      </c>
      <c r="M852" s="1229">
        <v>5.98636732935965E-2</v>
      </c>
      <c r="N852" s="1230">
        <v>2.2607557873117678E-4</v>
      </c>
    </row>
    <row r="853" spans="1:14" ht="15.5" x14ac:dyDescent="0.35">
      <c r="A853" s="199">
        <v>2030</v>
      </c>
      <c r="B853" s="110" t="s">
        <v>5850</v>
      </c>
      <c r="C853" s="110">
        <v>2000</v>
      </c>
      <c r="D853" s="110" t="str">
        <f t="shared" si="8"/>
        <v>2030_2000</v>
      </c>
      <c r="E853" s="1226">
        <v>0.124155853243471</v>
      </c>
      <c r="F853" s="1227">
        <v>5.2944021341035465E-2</v>
      </c>
      <c r="G853" s="1227">
        <v>5.1253480776145102</v>
      </c>
      <c r="H853" s="1227">
        <v>0.71102294665422017</v>
      </c>
      <c r="I853" s="1227">
        <v>5.7273997285925797E-2</v>
      </c>
      <c r="J853" s="1227">
        <v>2.1629564926896295E-4</v>
      </c>
      <c r="K853" s="1227">
        <v>3.0000008603787501E-3</v>
      </c>
      <c r="L853" s="1228">
        <v>2.7950597398141399E-2</v>
      </c>
      <c r="M853" s="1229">
        <v>5.98636732935965E-2</v>
      </c>
      <c r="N853" s="1230">
        <v>2.2607557873117678E-4</v>
      </c>
    </row>
    <row r="854" spans="1:14" ht="15.5" x14ac:dyDescent="0.35">
      <c r="A854" s="199">
        <v>2030</v>
      </c>
      <c r="B854" s="110" t="s">
        <v>5850</v>
      </c>
      <c r="C854" s="110">
        <v>2001</v>
      </c>
      <c r="D854" s="110" t="str">
        <f t="shared" si="8"/>
        <v>2030_2001</v>
      </c>
      <c r="E854" s="1226">
        <v>0.124155853243471</v>
      </c>
      <c r="F854" s="1227">
        <v>5.2944021341035465E-2</v>
      </c>
      <c r="G854" s="1227">
        <v>5.1253480776145102</v>
      </c>
      <c r="H854" s="1227">
        <v>0.71102294665422017</v>
      </c>
      <c r="I854" s="1227">
        <v>5.7273997285925797E-2</v>
      </c>
      <c r="J854" s="1227">
        <v>2.1629564926896295E-4</v>
      </c>
      <c r="K854" s="1227">
        <v>3.0000008603787501E-3</v>
      </c>
      <c r="L854" s="1228">
        <v>2.7950597398141399E-2</v>
      </c>
      <c r="M854" s="1229">
        <v>5.98636732935965E-2</v>
      </c>
      <c r="N854" s="1230">
        <v>2.2607557873117678E-4</v>
      </c>
    </row>
    <row r="855" spans="1:14" ht="15.5" x14ac:dyDescent="0.35">
      <c r="A855" s="199">
        <v>2030</v>
      </c>
      <c r="B855" s="110" t="s">
        <v>5850</v>
      </c>
      <c r="C855" s="110">
        <v>2002</v>
      </c>
      <c r="D855" s="110" t="str">
        <f t="shared" si="8"/>
        <v>2030_2002</v>
      </c>
      <c r="E855" s="1226">
        <v>0.124155853243471</v>
      </c>
      <c r="F855" s="1227">
        <v>5.2944021341035465E-2</v>
      </c>
      <c r="G855" s="1227">
        <v>5.1253480776145102</v>
      </c>
      <c r="H855" s="1227">
        <v>0.71102294665422017</v>
      </c>
      <c r="I855" s="1227">
        <v>5.7273997285925797E-2</v>
      </c>
      <c r="J855" s="1227">
        <v>2.1629564926896295E-4</v>
      </c>
      <c r="K855" s="1227">
        <v>3.0000008603787501E-3</v>
      </c>
      <c r="L855" s="1228">
        <v>2.7950597398141399E-2</v>
      </c>
      <c r="M855" s="1229">
        <v>5.98636732935965E-2</v>
      </c>
      <c r="N855" s="1230">
        <v>2.2607557873117678E-4</v>
      </c>
    </row>
    <row r="856" spans="1:14" ht="15.5" x14ac:dyDescent="0.35">
      <c r="A856" s="199">
        <v>2030</v>
      </c>
      <c r="B856" s="110" t="s">
        <v>5850</v>
      </c>
      <c r="C856" s="110">
        <v>2003</v>
      </c>
      <c r="D856" s="110" t="str">
        <f t="shared" si="8"/>
        <v>2030_2003</v>
      </c>
      <c r="E856" s="1226">
        <v>0.124155853243471</v>
      </c>
      <c r="F856" s="1227">
        <v>5.2944021341035465E-2</v>
      </c>
      <c r="G856" s="1227">
        <v>5.1253480776145102</v>
      </c>
      <c r="H856" s="1227">
        <v>0.71102294665422017</v>
      </c>
      <c r="I856" s="1227">
        <v>5.7273997285925797E-2</v>
      </c>
      <c r="J856" s="1227">
        <v>2.1629564926896295E-4</v>
      </c>
      <c r="K856" s="1227">
        <v>3.0000008603787501E-3</v>
      </c>
      <c r="L856" s="1228">
        <v>2.7950597398141399E-2</v>
      </c>
      <c r="M856" s="1229">
        <v>5.98636732935965E-2</v>
      </c>
      <c r="N856" s="1230">
        <v>2.2607557873117678E-4</v>
      </c>
    </row>
    <row r="857" spans="1:14" ht="15.5" x14ac:dyDescent="0.35">
      <c r="A857" s="199">
        <v>2030</v>
      </c>
      <c r="B857" s="110" t="s">
        <v>5850</v>
      </c>
      <c r="C857" s="110">
        <v>2004</v>
      </c>
      <c r="D857" s="110" t="str">
        <f t="shared" si="8"/>
        <v>2030_2004</v>
      </c>
      <c r="E857" s="1226">
        <v>0.124155853243471</v>
      </c>
      <c r="F857" s="1227">
        <v>5.2944021341035465E-2</v>
      </c>
      <c r="G857" s="1227">
        <v>5.1253480776145102</v>
      </c>
      <c r="H857" s="1227">
        <v>0.71102294665422017</v>
      </c>
      <c r="I857" s="1227">
        <v>5.7273997285925797E-2</v>
      </c>
      <c r="J857" s="1227">
        <v>2.1629564926896295E-4</v>
      </c>
      <c r="K857" s="1227">
        <v>3.0000008603787501E-3</v>
      </c>
      <c r="L857" s="1228">
        <v>2.7950597398141399E-2</v>
      </c>
      <c r="M857" s="1229">
        <v>5.98636732935965E-2</v>
      </c>
      <c r="N857" s="1230">
        <v>2.2607557873117678E-4</v>
      </c>
    </row>
    <row r="858" spans="1:14" ht="15.5" x14ac:dyDescent="0.35">
      <c r="A858" s="199">
        <v>2030</v>
      </c>
      <c r="B858" s="110" t="s">
        <v>5850</v>
      </c>
      <c r="C858" s="110">
        <v>2005</v>
      </c>
      <c r="D858" s="110" t="str">
        <f t="shared" si="8"/>
        <v>2030_2005</v>
      </c>
      <c r="E858" s="1226">
        <v>0.124155853243471</v>
      </c>
      <c r="F858" s="1227">
        <v>5.2944021341035465E-2</v>
      </c>
      <c r="G858" s="1227">
        <v>5.1253480776145102</v>
      </c>
      <c r="H858" s="1227">
        <v>0.71102294665422017</v>
      </c>
      <c r="I858" s="1227">
        <v>5.7273997285925797E-2</v>
      </c>
      <c r="J858" s="1227">
        <v>2.1629564926896295E-4</v>
      </c>
      <c r="K858" s="1227">
        <v>3.0000008603787501E-3</v>
      </c>
      <c r="L858" s="1228">
        <v>2.7950597398141399E-2</v>
      </c>
      <c r="M858" s="1229">
        <v>5.98636732935965E-2</v>
      </c>
      <c r="N858" s="1230">
        <v>2.2607557873117678E-4</v>
      </c>
    </row>
    <row r="859" spans="1:14" ht="15.5" x14ac:dyDescent="0.35">
      <c r="A859" s="199">
        <v>2030</v>
      </c>
      <c r="B859" s="110" t="s">
        <v>5850</v>
      </c>
      <c r="C859" s="110">
        <v>2006</v>
      </c>
      <c r="D859" s="110" t="str">
        <f t="shared" si="8"/>
        <v>2030_2006</v>
      </c>
      <c r="E859" s="1226">
        <v>0.124155853243471</v>
      </c>
      <c r="F859" s="1227">
        <v>5.2944021341035465E-2</v>
      </c>
      <c r="G859" s="1227">
        <v>5.1253480776145102</v>
      </c>
      <c r="H859" s="1227">
        <v>0.71102294665422017</v>
      </c>
      <c r="I859" s="1227">
        <v>5.7273997285925797E-2</v>
      </c>
      <c r="J859" s="1227">
        <v>2.1629564926896295E-4</v>
      </c>
      <c r="K859" s="1227">
        <v>3.0000008603787501E-3</v>
      </c>
      <c r="L859" s="1228">
        <v>2.7950597398141399E-2</v>
      </c>
      <c r="M859" s="1229">
        <v>5.98636732935965E-2</v>
      </c>
      <c r="N859" s="1230">
        <v>2.2607557873117678E-4</v>
      </c>
    </row>
    <row r="860" spans="1:14" ht="15.5" x14ac:dyDescent="0.35">
      <c r="A860" s="199">
        <v>2030</v>
      </c>
      <c r="B860" s="110" t="s">
        <v>5850</v>
      </c>
      <c r="C860" s="110">
        <v>2007</v>
      </c>
      <c r="D860" s="110" t="str">
        <f t="shared" si="8"/>
        <v>2030_2007</v>
      </c>
      <c r="E860" s="1226">
        <v>0.124155853243471</v>
      </c>
      <c r="F860" s="1227">
        <v>5.2944021341035465E-2</v>
      </c>
      <c r="G860" s="1227">
        <v>5.1253480776145102</v>
      </c>
      <c r="H860" s="1227">
        <v>0.71102294665422017</v>
      </c>
      <c r="I860" s="1227">
        <v>5.7273997285925797E-2</v>
      </c>
      <c r="J860" s="1227">
        <v>2.1629564926896295E-4</v>
      </c>
      <c r="K860" s="1227">
        <v>3.0000008603787501E-3</v>
      </c>
      <c r="L860" s="1228">
        <v>2.7950597398141399E-2</v>
      </c>
      <c r="M860" s="1229">
        <v>5.98636732935965E-2</v>
      </c>
      <c r="N860" s="1230">
        <v>2.2607557873117678E-4</v>
      </c>
    </row>
    <row r="861" spans="1:14" ht="15.5" x14ac:dyDescent="0.35">
      <c r="A861" s="199">
        <v>2030</v>
      </c>
      <c r="B861" s="110" t="s">
        <v>5850</v>
      </c>
      <c r="C861" s="110">
        <v>2008</v>
      </c>
      <c r="D861" s="110" t="str">
        <f t="shared" si="8"/>
        <v>2030_2008</v>
      </c>
      <c r="E861" s="1226">
        <v>0.124155853243471</v>
      </c>
      <c r="F861" s="1227">
        <v>5.2944021341035465E-2</v>
      </c>
      <c r="G861" s="1227">
        <v>5.1253480776145102</v>
      </c>
      <c r="H861" s="1227">
        <v>0.71102294665422017</v>
      </c>
      <c r="I861" s="1227">
        <v>5.7273997285925797E-2</v>
      </c>
      <c r="J861" s="1227">
        <v>2.1629564926896295E-4</v>
      </c>
      <c r="K861" s="1227">
        <v>3.0000008603787501E-3</v>
      </c>
      <c r="L861" s="1228">
        <v>2.7950597398141399E-2</v>
      </c>
      <c r="M861" s="1229">
        <v>5.98636732935965E-2</v>
      </c>
      <c r="N861" s="1230">
        <v>2.2607557873117678E-4</v>
      </c>
    </row>
    <row r="862" spans="1:14" ht="15.5" x14ac:dyDescent="0.35">
      <c r="A862" s="199">
        <v>2030</v>
      </c>
      <c r="B862" s="110" t="s">
        <v>5850</v>
      </c>
      <c r="C862" s="110">
        <v>2009</v>
      </c>
      <c r="D862" s="110" t="str">
        <f t="shared" si="8"/>
        <v>2030_2009</v>
      </c>
      <c r="E862" s="1226">
        <v>0.124155853243471</v>
      </c>
      <c r="F862" s="1227">
        <v>5.2944021341035465E-2</v>
      </c>
      <c r="G862" s="1227">
        <v>5.1253480776145102</v>
      </c>
      <c r="H862" s="1227">
        <v>0.71102294665422017</v>
      </c>
      <c r="I862" s="1227">
        <v>5.7273997285925797E-2</v>
      </c>
      <c r="J862" s="1227">
        <v>2.1629564926896295E-4</v>
      </c>
      <c r="K862" s="1227">
        <v>3.0000008603787501E-3</v>
      </c>
      <c r="L862" s="1228">
        <v>2.7950597398141399E-2</v>
      </c>
      <c r="M862" s="1229">
        <v>5.98636732935965E-2</v>
      </c>
      <c r="N862" s="1230">
        <v>2.2607557873117678E-4</v>
      </c>
    </row>
    <row r="863" spans="1:14" ht="15.5" x14ac:dyDescent="0.35">
      <c r="A863" s="199">
        <v>2030</v>
      </c>
      <c r="B863" s="110" t="s">
        <v>5850</v>
      </c>
      <c r="C863" s="110">
        <v>2010</v>
      </c>
      <c r="D863" s="110" t="str">
        <f t="shared" si="8"/>
        <v>2030_2010</v>
      </c>
      <c r="E863" s="1226">
        <v>0.124155853243471</v>
      </c>
      <c r="F863" s="1227">
        <v>5.2944021341035465E-2</v>
      </c>
      <c r="G863" s="1227">
        <v>5.1253480776145102</v>
      </c>
      <c r="H863" s="1227">
        <v>0.71102294665422017</v>
      </c>
      <c r="I863" s="1227">
        <v>5.7273997285925797E-2</v>
      </c>
      <c r="J863" s="1227">
        <v>2.1629564926896295E-4</v>
      </c>
      <c r="K863" s="1227">
        <v>3.0000008603787501E-3</v>
      </c>
      <c r="L863" s="1228">
        <v>2.7950597398141399E-2</v>
      </c>
      <c r="M863" s="1229">
        <v>5.98636732935965E-2</v>
      </c>
      <c r="N863" s="1230">
        <v>2.2607557873117678E-4</v>
      </c>
    </row>
    <row r="864" spans="1:14" ht="15.5" x14ac:dyDescent="0.35">
      <c r="A864" s="199">
        <v>2030</v>
      </c>
      <c r="B864" s="110" t="s">
        <v>5850</v>
      </c>
      <c r="C864" s="110">
        <v>2011</v>
      </c>
      <c r="D864" s="110" t="str">
        <f t="shared" si="8"/>
        <v>2030_2011</v>
      </c>
      <c r="E864" s="1231">
        <v>0.124155853243471</v>
      </c>
      <c r="F864" s="1232">
        <v>5.2944021341035465E-2</v>
      </c>
      <c r="G864" s="1232">
        <v>5.1253480776145102</v>
      </c>
      <c r="H864" s="1232">
        <v>0.71102294665422017</v>
      </c>
      <c r="I864" s="1232">
        <v>5.7273997285925797E-2</v>
      </c>
      <c r="J864" s="1232">
        <v>2.1629564926896295E-4</v>
      </c>
      <c r="K864" s="1232">
        <v>3.0000008603787501E-3</v>
      </c>
      <c r="L864" s="1233">
        <v>2.7950597398141399E-2</v>
      </c>
      <c r="M864" s="1234">
        <v>5.98636732935965E-2</v>
      </c>
      <c r="N864" s="1235">
        <v>2.2607557873117678E-4</v>
      </c>
    </row>
    <row r="865" spans="1:14" ht="15.5" x14ac:dyDescent="0.35">
      <c r="A865" s="199">
        <v>2030</v>
      </c>
      <c r="B865" s="110" t="s">
        <v>5850</v>
      </c>
      <c r="C865" s="110">
        <v>2012</v>
      </c>
      <c r="D865" s="110" t="str">
        <f t="shared" si="8"/>
        <v>2030_2012</v>
      </c>
      <c r="E865" s="1231">
        <v>2.50428153739954E-2</v>
      </c>
      <c r="F865" s="1232">
        <v>5.3121457135617299E-2</v>
      </c>
      <c r="G865" s="1232">
        <v>4.4685891165985598</v>
      </c>
      <c r="H865" s="1232">
        <v>0.62773290424819095</v>
      </c>
      <c r="I865" s="1232">
        <v>3.32273826221057E-2</v>
      </c>
      <c r="J865" s="1232">
        <v>2.1629564926896078E-4</v>
      </c>
      <c r="K865" s="1232">
        <v>3.0000008603787501E-3</v>
      </c>
      <c r="L865" s="1233">
        <v>2.7950597398267801E-2</v>
      </c>
      <c r="M865" s="1234">
        <v>3.4729777419950598E-2</v>
      </c>
      <c r="N865" s="1235">
        <v>2.2607557873117453E-4</v>
      </c>
    </row>
    <row r="866" spans="1:14" ht="15.5" x14ac:dyDescent="0.35">
      <c r="A866" s="199">
        <v>2030</v>
      </c>
      <c r="B866" s="110" t="s">
        <v>5850</v>
      </c>
      <c r="C866" s="110">
        <v>2013</v>
      </c>
      <c r="D866" s="110" t="str">
        <f t="shared" si="8"/>
        <v>2030_2013</v>
      </c>
      <c r="E866" s="1231">
        <v>2.4725669258360599E-2</v>
      </c>
      <c r="F866" s="1232">
        <v>5.3121457135617611E-2</v>
      </c>
      <c r="G866" s="1232">
        <v>4.2165643915931801</v>
      </c>
      <c r="H866" s="1232">
        <v>0.62773290424819495</v>
      </c>
      <c r="I866" s="1232">
        <v>3.2312350216707003E-2</v>
      </c>
      <c r="J866" s="1232">
        <v>2.162956492689613E-4</v>
      </c>
      <c r="K866" s="1232">
        <v>3.0000008603787501E-3</v>
      </c>
      <c r="L866" s="1233">
        <v>2.7950597398256002E-2</v>
      </c>
      <c r="M866" s="1234">
        <v>3.3773371309576E-2</v>
      </c>
      <c r="N866" s="1235">
        <v>2.2607557873117643E-4</v>
      </c>
    </row>
    <row r="867" spans="1:14" ht="15.5" x14ac:dyDescent="0.35">
      <c r="A867" s="199">
        <v>2030</v>
      </c>
      <c r="B867" s="110" t="s">
        <v>5850</v>
      </c>
      <c r="C867" s="110">
        <v>2014</v>
      </c>
      <c r="D867" s="110" t="str">
        <f t="shared" si="8"/>
        <v>2030_2014</v>
      </c>
      <c r="E867" s="1231">
        <v>1.21614644277259E-2</v>
      </c>
      <c r="F867" s="1232">
        <v>5.3121457135617771E-2</v>
      </c>
      <c r="G867" s="1232">
        <v>1.58710074134112</v>
      </c>
      <c r="H867" s="1232">
        <v>0.62773290424819683</v>
      </c>
      <c r="I867" s="1232">
        <v>3.7576973234839897E-2</v>
      </c>
      <c r="J867" s="1232">
        <v>2.1629564926896327E-4</v>
      </c>
      <c r="K867" s="1232">
        <v>3.0000008603787401E-3</v>
      </c>
      <c r="L867" s="1233">
        <v>2.7950597398149701E-2</v>
      </c>
      <c r="M867" s="1234">
        <v>3.92760372191703E-2</v>
      </c>
      <c r="N867" s="1235">
        <v>2.2607557873117711E-4</v>
      </c>
    </row>
    <row r="868" spans="1:14" ht="15.5" x14ac:dyDescent="0.35">
      <c r="A868" s="199">
        <v>2030</v>
      </c>
      <c r="B868" s="110" t="s">
        <v>5850</v>
      </c>
      <c r="C868" s="110">
        <v>2015</v>
      </c>
      <c r="D868" s="110" t="str">
        <f t="shared" si="8"/>
        <v>2030_2015</v>
      </c>
      <c r="E868" s="1231">
        <v>1.2011767506802501E-2</v>
      </c>
      <c r="F868" s="1232">
        <v>5.3121457135617681E-2</v>
      </c>
      <c r="G868" s="1232">
        <v>1.5724091282828001</v>
      </c>
      <c r="H868" s="1232">
        <v>0.62773290424819572</v>
      </c>
      <c r="I868" s="1232">
        <v>3.68197642650002E-2</v>
      </c>
      <c r="J868" s="1232">
        <v>2.1629564926896292E-4</v>
      </c>
      <c r="K868" s="1232">
        <v>3.0000008603787501E-3</v>
      </c>
      <c r="L868" s="1233">
        <v>2.79505973981744E-2</v>
      </c>
      <c r="M868" s="1234">
        <v>3.84845906197794E-2</v>
      </c>
      <c r="N868" s="1235">
        <v>2.2607557873117543E-4</v>
      </c>
    </row>
    <row r="869" spans="1:14" ht="15.5" x14ac:dyDescent="0.35">
      <c r="A869" s="199">
        <v>2030</v>
      </c>
      <c r="B869" s="110" t="s">
        <v>5850</v>
      </c>
      <c r="C869" s="110">
        <v>2016</v>
      </c>
      <c r="D869" s="110" t="str">
        <f t="shared" si="8"/>
        <v>2030_2016</v>
      </c>
      <c r="E869" s="1231">
        <v>1.1845437594305E-2</v>
      </c>
      <c r="F869" s="1232">
        <v>4.7809311422056043E-2</v>
      </c>
      <c r="G869" s="1232">
        <v>1.55574781197209</v>
      </c>
      <c r="H869" s="1232">
        <v>0.56495961382337778</v>
      </c>
      <c r="I869" s="1232">
        <v>3.5978420963415997E-2</v>
      </c>
      <c r="J869" s="1232">
        <v>1.9466608434206593E-4</v>
      </c>
      <c r="K869" s="1232">
        <v>3.0000008603787501E-3</v>
      </c>
      <c r="L869" s="1233">
        <v>2.7950597398189399E-2</v>
      </c>
      <c r="M869" s="1234">
        <v>3.7605205507503098E-2</v>
      </c>
      <c r="N869" s="1235">
        <v>2.0346802085805961E-4</v>
      </c>
    </row>
    <row r="870" spans="1:14" ht="15.5" x14ac:dyDescent="0.35">
      <c r="A870" s="199">
        <v>2030</v>
      </c>
      <c r="B870" s="110" t="s">
        <v>5850</v>
      </c>
      <c r="C870" s="110">
        <v>2017</v>
      </c>
      <c r="D870" s="110" t="str">
        <f t="shared" si="8"/>
        <v>2030_2017</v>
      </c>
      <c r="E870" s="1231">
        <v>1.18662722993838E-2</v>
      </c>
      <c r="F870" s="1232">
        <v>4.3028380279850134E-2</v>
      </c>
      <c r="G870" s="1232">
        <v>1.5367945021845699</v>
      </c>
      <c r="H870" s="1232">
        <v>0.50846365244103742</v>
      </c>
      <c r="I870" s="1232">
        <v>2.8566066672274199E-2</v>
      </c>
      <c r="J870" s="1232">
        <v>1.751994759078592E-4</v>
      </c>
      <c r="K870" s="1232">
        <v>3.0000008603787501E-3</v>
      </c>
      <c r="L870" s="1233">
        <v>2.7950597398201799E-2</v>
      </c>
      <c r="M870" s="1234">
        <v>2.9857697447150899E-2</v>
      </c>
      <c r="N870" s="1235">
        <v>1.8312121877225233E-4</v>
      </c>
    </row>
    <row r="871" spans="1:14" ht="15.5" x14ac:dyDescent="0.35">
      <c r="A871" s="199">
        <v>2030</v>
      </c>
      <c r="B871" s="110" t="s">
        <v>5850</v>
      </c>
      <c r="C871" s="110">
        <v>2018</v>
      </c>
      <c r="D871" s="110" t="str">
        <f t="shared" si="8"/>
        <v>2030_2018</v>
      </c>
      <c r="E871" s="1231">
        <v>1.16573056359036E-2</v>
      </c>
      <c r="F871" s="1232">
        <v>3.8725542251865072E-2</v>
      </c>
      <c r="G871" s="1232">
        <v>1.5151543315912599</v>
      </c>
      <c r="H871" s="1232">
        <v>0.45761728719693301</v>
      </c>
      <c r="I871" s="1232">
        <v>2.7719345033055599E-2</v>
      </c>
      <c r="J871" s="1232">
        <v>1.5767952831707307E-4</v>
      </c>
      <c r="K871" s="1232">
        <v>3.0000008603787401E-3</v>
      </c>
      <c r="L871" s="1233">
        <v>2.7950597398106101E-2</v>
      </c>
      <c r="M871" s="1234">
        <v>2.89726908126785E-2</v>
      </c>
      <c r="N871" s="1235">
        <v>1.6480909689502689E-4</v>
      </c>
    </row>
    <row r="872" spans="1:14" ht="15.5" x14ac:dyDescent="0.35">
      <c r="A872" s="199">
        <v>2030</v>
      </c>
      <c r="B872" s="110" t="s">
        <v>5850</v>
      </c>
      <c r="C872" s="110">
        <v>2019</v>
      </c>
      <c r="D872" s="110" t="str">
        <f t="shared" si="8"/>
        <v>2030_2019</v>
      </c>
      <c r="E872" s="1231">
        <v>1.14251204541682E-2</v>
      </c>
      <c r="F872" s="1232">
        <v>3.485298802667882E-2</v>
      </c>
      <c r="G872" s="1232">
        <v>1.49033585900411</v>
      </c>
      <c r="H872" s="1232">
        <v>0.41185555847724176</v>
      </c>
      <c r="I872" s="1232">
        <v>2.6778543210846099E-2</v>
      </c>
      <c r="J872" s="1232">
        <v>1.4191157548536644E-4</v>
      </c>
      <c r="K872" s="1232">
        <v>3.0000008603787401E-3</v>
      </c>
      <c r="L872" s="1233">
        <v>2.7950597398304199E-2</v>
      </c>
      <c r="M872" s="1234">
        <v>2.7989350106815001E-2</v>
      </c>
      <c r="N872" s="1235">
        <v>1.4832818720552493E-4</v>
      </c>
    </row>
    <row r="873" spans="1:14" ht="15.5" x14ac:dyDescent="0.35">
      <c r="A873" s="199">
        <v>2030</v>
      </c>
      <c r="B873" s="110" t="s">
        <v>5850</v>
      </c>
      <c r="C873" s="110">
        <v>2020</v>
      </c>
      <c r="D873" s="110" t="str">
        <f t="shared" si="8"/>
        <v>2030_2020</v>
      </c>
      <c r="E873" s="1231">
        <v>1.11671369190431E-2</v>
      </c>
      <c r="F873" s="1232">
        <v>3.1367689224010946E-2</v>
      </c>
      <c r="G873" s="1232">
        <v>1.4617156465798899</v>
      </c>
      <c r="H873" s="1232">
        <v>0.37067000262951783</v>
      </c>
      <c r="I873" s="1232">
        <v>2.57332078538575E-2</v>
      </c>
      <c r="J873" s="1232">
        <v>1.2772041793683017E-4</v>
      </c>
      <c r="K873" s="1232">
        <v>3.0000008603787401E-3</v>
      </c>
      <c r="L873" s="1233">
        <v>2.79505973981969E-2</v>
      </c>
      <c r="M873" s="1234">
        <v>2.6896749323590301E-2</v>
      </c>
      <c r="N873" s="1235">
        <v>1.3349536848497281E-4</v>
      </c>
    </row>
    <row r="874" spans="1:14" ht="15.5" x14ac:dyDescent="0.35">
      <c r="A874" s="199">
        <v>2030</v>
      </c>
      <c r="B874" s="110" t="s">
        <v>5850</v>
      </c>
      <c r="C874" s="110">
        <v>2021</v>
      </c>
      <c r="D874" s="110" t="str">
        <f t="shared" ref="D874:D1060" si="9">CONCATENATE(A874,"_",C874)</f>
        <v>2030_2021</v>
      </c>
      <c r="E874" s="1231">
        <v>1.08804885466223E-2</v>
      </c>
      <c r="F874" s="1232">
        <v>2.8230920301610282E-2</v>
      </c>
      <c r="G874" s="1232">
        <v>1.42848389693357</v>
      </c>
      <c r="H874" s="1232">
        <v>0.33360300236657114</v>
      </c>
      <c r="I874" s="1232">
        <v>2.4571724124743701E-2</v>
      </c>
      <c r="J874" s="1232">
        <v>1.1494837614314819E-4</v>
      </c>
      <c r="K874" s="1232">
        <v>3.0000008603787401E-3</v>
      </c>
      <c r="L874" s="1233">
        <v>2.7950597397399499E-2</v>
      </c>
      <c r="M874" s="1234">
        <v>2.5682748454253699E-2</v>
      </c>
      <c r="N874" s="1235">
        <v>1.2014583163647736E-4</v>
      </c>
    </row>
    <row r="875" spans="1:14" ht="15.5" x14ac:dyDescent="0.35">
      <c r="A875" s="199">
        <v>2030</v>
      </c>
      <c r="B875" s="110" t="s">
        <v>5850</v>
      </c>
      <c r="C875" s="110">
        <v>2022</v>
      </c>
      <c r="D875" s="110" t="str">
        <f t="shared" si="9"/>
        <v>2030_2022</v>
      </c>
      <c r="E875" s="1231">
        <v>1.0561990354985999E-2</v>
      </c>
      <c r="F875" s="1232">
        <v>2.5407828271448725E-2</v>
      </c>
      <c r="G875" s="1232">
        <v>1.3895569761430699</v>
      </c>
      <c r="H875" s="1232">
        <v>0.30024270212990778</v>
      </c>
      <c r="I875" s="1232">
        <v>2.3281186644820099E-2</v>
      </c>
      <c r="J875" s="1232">
        <v>1.0345353852883122E-4</v>
      </c>
      <c r="K875" s="1232">
        <v>3.0000008603787501E-3</v>
      </c>
      <c r="L875" s="1233">
        <v>2.7950597398369699E-2</v>
      </c>
      <c r="M875" s="1234">
        <v>2.4333858596163199E-2</v>
      </c>
      <c r="N875" s="1235">
        <v>1.0813124847282674E-4</v>
      </c>
    </row>
    <row r="876" spans="1:14" ht="15.5" x14ac:dyDescent="0.35">
      <c r="A876" s="198">
        <v>2030</v>
      </c>
      <c r="B876" s="197" t="s">
        <v>5850</v>
      </c>
      <c r="C876" s="197">
        <v>2023</v>
      </c>
      <c r="D876" s="110" t="str">
        <f t="shared" si="9"/>
        <v>2030_2023</v>
      </c>
      <c r="E876" s="1231">
        <v>1.0208103475466501E-2</v>
      </c>
      <c r="F876" s="1232">
        <v>2.540782827144902E-2</v>
      </c>
      <c r="G876" s="1232">
        <v>1.28420733356245</v>
      </c>
      <c r="H876" s="1232">
        <v>0.30024270212991122</v>
      </c>
      <c r="I876" s="1232">
        <v>2.0807403934641699E-2</v>
      </c>
      <c r="J876" s="1232">
        <v>1.0345353852883241E-4</v>
      </c>
      <c r="K876" s="1232">
        <v>3.0000008603787401E-3</v>
      </c>
      <c r="L876" s="1233">
        <v>2.7950597398264599E-2</v>
      </c>
      <c r="M876" s="1234">
        <v>2.1748222409078699E-2</v>
      </c>
      <c r="N876" s="1235">
        <v>1.0813124847282863E-4</v>
      </c>
    </row>
    <row r="877" spans="1:14" ht="15.5" x14ac:dyDescent="0.35">
      <c r="A877" s="198">
        <v>2030</v>
      </c>
      <c r="B877" s="197" t="s">
        <v>5850</v>
      </c>
      <c r="C877" s="197">
        <v>2024</v>
      </c>
      <c r="D877" s="110" t="str">
        <f t="shared" si="9"/>
        <v>2030_2024</v>
      </c>
      <c r="E877" s="1231">
        <v>9.8542165959743799E-3</v>
      </c>
      <c r="F877" s="1232">
        <v>2.5407828271448819E-2</v>
      </c>
      <c r="G877" s="1232">
        <v>1.2371339025752499</v>
      </c>
      <c r="H877" s="1232">
        <v>0.30024270212990878</v>
      </c>
      <c r="I877" s="1232">
        <v>1.93734734036606E-2</v>
      </c>
      <c r="J877" s="1232">
        <v>1.0345353852883196E-4</v>
      </c>
      <c r="K877" s="1232">
        <v>3.0000008603787501E-3</v>
      </c>
      <c r="L877" s="1233">
        <v>2.7950597398072201E-2</v>
      </c>
      <c r="M877" s="1234">
        <v>2.0249455902459201E-2</v>
      </c>
      <c r="N877" s="1235">
        <v>1.081312484728275E-4</v>
      </c>
    </row>
    <row r="878" spans="1:14" ht="15.5" x14ac:dyDescent="0.35">
      <c r="A878" s="198">
        <v>2030</v>
      </c>
      <c r="B878" s="197" t="s">
        <v>5850</v>
      </c>
      <c r="C878" s="197">
        <v>2025</v>
      </c>
      <c r="D878" s="110" t="str">
        <f t="shared" si="9"/>
        <v>2030_2025</v>
      </c>
      <c r="E878" s="1231">
        <v>9.5003297163980503E-3</v>
      </c>
      <c r="F878" s="1232">
        <v>2.5407828271448829E-2</v>
      </c>
      <c r="G878" s="1232">
        <v>1.0740435516192699</v>
      </c>
      <c r="H878" s="1232">
        <v>0.15213091350105201</v>
      </c>
      <c r="I878" s="1232">
        <v>1.7938406893249E-2</v>
      </c>
      <c r="J878" s="1232">
        <v>1.0345353852883226E-4</v>
      </c>
      <c r="K878" s="1232">
        <v>3.0000008603787501E-3</v>
      </c>
      <c r="L878" s="1233">
        <v>2.7950597398217598E-2</v>
      </c>
      <c r="M878" s="1234">
        <v>1.8749502052459999E-2</v>
      </c>
      <c r="N878" s="1235">
        <v>1.081312484728278E-4</v>
      </c>
    </row>
    <row r="879" spans="1:14" ht="15.5" x14ac:dyDescent="0.35">
      <c r="A879" s="198">
        <v>2030</v>
      </c>
      <c r="B879" s="197" t="s">
        <v>5850</v>
      </c>
      <c r="C879" s="197">
        <v>2026</v>
      </c>
      <c r="D879" s="110" t="str">
        <f t="shared" si="9"/>
        <v>2030_2026</v>
      </c>
      <c r="E879" s="1231">
        <v>9.1464428368672399E-3</v>
      </c>
      <c r="F879" s="1232">
        <v>2.5407828271448826E-2</v>
      </c>
      <c r="G879" s="1232">
        <v>1.0178492353367801</v>
      </c>
      <c r="H879" s="1232">
        <v>0.14893642742821639</v>
      </c>
      <c r="I879" s="1232">
        <v>1.6482024251921301E-2</v>
      </c>
      <c r="J879" s="1232">
        <v>1.0345353852883226E-4</v>
      </c>
      <c r="K879" s="1232">
        <v>3.0000008603787501E-3</v>
      </c>
      <c r="L879" s="1233">
        <v>3.0882997717567098E-2</v>
      </c>
      <c r="M879" s="1234">
        <v>1.7227268250693799E-2</v>
      </c>
      <c r="N879" s="1235">
        <v>1.081312484728278E-4</v>
      </c>
    </row>
    <row r="880" spans="1:14" ht="15.5" x14ac:dyDescent="0.35">
      <c r="A880" s="198">
        <v>2030</v>
      </c>
      <c r="B880" s="197" t="s">
        <v>5850</v>
      </c>
      <c r="C880" s="197">
        <v>2027</v>
      </c>
      <c r="D880" s="110" t="str">
        <f t="shared" si="9"/>
        <v>2030_2027</v>
      </c>
      <c r="E880" s="1231">
        <v>8.7925559573298808E-3</v>
      </c>
      <c r="F880" s="1232">
        <v>2.5407828271448902E-2</v>
      </c>
      <c r="G880" s="1232">
        <v>0.95305823009445101</v>
      </c>
      <c r="H880" s="1232">
        <v>0.14344449881049454</v>
      </c>
      <c r="I880" s="1232">
        <v>1.5185223215700599E-2</v>
      </c>
      <c r="J880" s="1232">
        <v>1.0345353852883231E-4</v>
      </c>
      <c r="K880" s="1232">
        <v>3.0000008603787501E-3</v>
      </c>
      <c r="L880" s="1233">
        <v>3.0882997717562002E-2</v>
      </c>
      <c r="M880" s="1234">
        <v>1.58718316260846E-2</v>
      </c>
      <c r="N880" s="1235">
        <v>1.0813124847282786E-4</v>
      </c>
    </row>
    <row r="881" spans="1:14" ht="15.5" x14ac:dyDescent="0.35">
      <c r="A881" s="198">
        <v>2030</v>
      </c>
      <c r="B881" s="197" t="s">
        <v>5850</v>
      </c>
      <c r="C881" s="197">
        <v>2028</v>
      </c>
      <c r="D881" s="110" t="str">
        <f t="shared" si="9"/>
        <v>2030_2028</v>
      </c>
      <c r="E881" s="1231">
        <v>8.4386690777901296E-3</v>
      </c>
      <c r="F881" s="1232">
        <v>2.5407828271448694E-2</v>
      </c>
      <c r="G881" s="1232">
        <v>0.75820312854769201</v>
      </c>
      <c r="H881" s="1232">
        <v>9.5427504622647707E-2</v>
      </c>
      <c r="I881" s="1232">
        <v>1.37275767897526E-2</v>
      </c>
      <c r="J881" s="1232">
        <v>1.0345353852883172E-4</v>
      </c>
      <c r="K881" s="1232">
        <v>3.0000008603787501E-3</v>
      </c>
      <c r="L881" s="1233">
        <v>3.08829977175742E-2</v>
      </c>
      <c r="M881" s="1234">
        <v>1.43482768969654E-2</v>
      </c>
      <c r="N881" s="1235">
        <v>1.0813124847282723E-4</v>
      </c>
    </row>
    <row r="882" spans="1:14" ht="15.5" x14ac:dyDescent="0.35">
      <c r="A882" s="198">
        <v>2030</v>
      </c>
      <c r="B882" s="197" t="s">
        <v>5850</v>
      </c>
      <c r="C882" s="197">
        <v>2029</v>
      </c>
      <c r="D882" s="110" t="str">
        <f t="shared" si="9"/>
        <v>2030_2029</v>
      </c>
      <c r="E882" s="1231">
        <v>8.0847821982541705E-3</v>
      </c>
      <c r="F882" s="1232">
        <v>2.5407828271448895E-2</v>
      </c>
      <c r="G882" s="1232">
        <v>0.66528179335718696</v>
      </c>
      <c r="H882" s="1232">
        <v>8.557679877368049E-2</v>
      </c>
      <c r="I882" s="1232">
        <v>1.2539384052631801E-2</v>
      </c>
      <c r="J882" s="1232">
        <v>1.0345353852883229E-4</v>
      </c>
      <c r="K882" s="1232">
        <v>3.0000008603787501E-3</v>
      </c>
      <c r="L882" s="1233">
        <v>3.0882997717573898E-2</v>
      </c>
      <c r="M882" s="1234">
        <v>1.3106359356799199E-2</v>
      </c>
      <c r="N882" s="1235">
        <v>1.0813124847282783E-4</v>
      </c>
    </row>
    <row r="883" spans="1:14" ht="15.5" x14ac:dyDescent="0.35">
      <c r="A883" s="198">
        <v>2030</v>
      </c>
      <c r="B883" s="197" t="s">
        <v>5850</v>
      </c>
      <c r="C883" s="197">
        <v>2030</v>
      </c>
      <c r="D883" s="110" t="str">
        <f t="shared" si="9"/>
        <v>2030_2030</v>
      </c>
      <c r="E883" s="1231">
        <v>7.7311562838698403E-3</v>
      </c>
      <c r="F883" s="1232">
        <v>2.540783020278822E-2</v>
      </c>
      <c r="G883" s="1232">
        <v>0.54872847401318703</v>
      </c>
      <c r="H883" s="1232">
        <v>7.5612107026753625E-2</v>
      </c>
      <c r="I883" s="1232">
        <v>1.13795149412565E-2</v>
      </c>
      <c r="J883" s="1232">
        <v>1.0345354639270326E-4</v>
      </c>
      <c r="K883" s="1232">
        <v>3.0000008603784001E-3</v>
      </c>
      <c r="L883" s="1233">
        <v>3.08811721266277E-2</v>
      </c>
      <c r="M883" s="1234">
        <v>1.1894046111050501E-2</v>
      </c>
      <c r="N883" s="1235">
        <v>1.0813125669226805E-4</v>
      </c>
    </row>
    <row r="884" spans="1:14" ht="15.5" x14ac:dyDescent="0.35">
      <c r="A884" s="198">
        <v>2030</v>
      </c>
      <c r="B884" s="197" t="s">
        <v>5850</v>
      </c>
      <c r="C884" s="197">
        <v>2031</v>
      </c>
      <c r="D884" s="110" t="str">
        <f t="shared" si="9"/>
        <v>2030_2031</v>
      </c>
      <c r="E884" s="1231">
        <v>7.3758329374036804E-3</v>
      </c>
      <c r="F884" s="1232">
        <v>6.0978765961982137E-2</v>
      </c>
      <c r="G884" s="1232">
        <v>0.37519346516539798</v>
      </c>
      <c r="H884" s="1232">
        <v>0.18146897792833816</v>
      </c>
      <c r="I884" s="1232">
        <v>1.0241108078131601E-2</v>
      </c>
      <c r="J884" s="1232">
        <v>2.4828840334132252E-4</v>
      </c>
      <c r="K884" s="1232">
        <v>3.0000008603803499E-3</v>
      </c>
      <c r="L884" s="1233">
        <v>3.0891615457100299E-2</v>
      </c>
      <c r="M884" s="1234">
        <v>1.07041655411806E-2</v>
      </c>
      <c r="N884" s="1235">
        <v>2.5951490317694493E-4</v>
      </c>
    </row>
    <row r="885" spans="1:14" ht="15.5" x14ac:dyDescent="0.35">
      <c r="A885" s="198">
        <v>2031</v>
      </c>
      <c r="B885" s="197" t="s">
        <v>5850</v>
      </c>
      <c r="C885" s="197">
        <v>1971</v>
      </c>
      <c r="D885" s="110" t="str">
        <f t="shared" si="9"/>
        <v>2031_1971</v>
      </c>
      <c r="E885" s="1226">
        <v>0.124155852508294</v>
      </c>
      <c r="F885" s="1227">
        <v>5.2945083706126862E-2</v>
      </c>
      <c r="G885" s="1227">
        <v>5.1253479198512499</v>
      </c>
      <c r="H885" s="1227">
        <v>0.71103721391119423</v>
      </c>
      <c r="I885" s="1227">
        <v>5.7273986693893102E-2</v>
      </c>
      <c r="J885" s="1227">
        <v>2.1629998941807491E-4</v>
      </c>
      <c r="K885" s="1227">
        <v>3.0000008603787501E-3</v>
      </c>
      <c r="L885" s="1228">
        <v>2.7950599655762801E-2</v>
      </c>
      <c r="M885" s="1229">
        <v>5.98636622226391E-2</v>
      </c>
      <c r="N885" s="1230">
        <v>2.2608011512257245E-4</v>
      </c>
    </row>
    <row r="886" spans="1:14" ht="15.5" x14ac:dyDescent="0.35">
      <c r="A886" s="198">
        <v>2031</v>
      </c>
      <c r="B886" s="197" t="s">
        <v>5850</v>
      </c>
      <c r="C886" s="197">
        <v>1972</v>
      </c>
      <c r="D886" s="110" t="str">
        <f t="shared" si="9"/>
        <v>2031_1972</v>
      </c>
      <c r="E886" s="1226">
        <v>0.124155852508294</v>
      </c>
      <c r="F886" s="1227">
        <v>5.2945083706126862E-2</v>
      </c>
      <c r="G886" s="1227">
        <v>5.1253479198512499</v>
      </c>
      <c r="H886" s="1227">
        <v>0.71103721391119423</v>
      </c>
      <c r="I886" s="1227">
        <v>5.7273986693893102E-2</v>
      </c>
      <c r="J886" s="1227">
        <v>2.1629998941807491E-4</v>
      </c>
      <c r="K886" s="1227">
        <v>3.0000008603787501E-3</v>
      </c>
      <c r="L886" s="1228">
        <v>2.7950599655762801E-2</v>
      </c>
      <c r="M886" s="1229">
        <v>5.98636622226391E-2</v>
      </c>
      <c r="N886" s="1230">
        <v>2.2608011512257245E-4</v>
      </c>
    </row>
    <row r="887" spans="1:14" ht="15.5" x14ac:dyDescent="0.35">
      <c r="A887" s="198">
        <v>2031</v>
      </c>
      <c r="B887" s="197" t="s">
        <v>5850</v>
      </c>
      <c r="C887" s="197">
        <v>1973</v>
      </c>
      <c r="D887" s="110" t="str">
        <f t="shared" si="9"/>
        <v>2031_1973</v>
      </c>
      <c r="E887" s="1226">
        <v>0.124155852508294</v>
      </c>
      <c r="F887" s="1227">
        <v>5.2945083706126862E-2</v>
      </c>
      <c r="G887" s="1227">
        <v>5.1253479198512499</v>
      </c>
      <c r="H887" s="1227">
        <v>0.71103721391119423</v>
      </c>
      <c r="I887" s="1227">
        <v>5.7273986693893102E-2</v>
      </c>
      <c r="J887" s="1227">
        <v>2.1629998941807491E-4</v>
      </c>
      <c r="K887" s="1227">
        <v>3.0000008603787501E-3</v>
      </c>
      <c r="L887" s="1228">
        <v>2.7950599655762801E-2</v>
      </c>
      <c r="M887" s="1229">
        <v>5.98636622226391E-2</v>
      </c>
      <c r="N887" s="1230">
        <v>2.2608011512257245E-4</v>
      </c>
    </row>
    <row r="888" spans="1:14" ht="15.5" x14ac:dyDescent="0.35">
      <c r="A888" s="198">
        <v>2031</v>
      </c>
      <c r="B888" s="197" t="s">
        <v>5850</v>
      </c>
      <c r="C888" s="197">
        <v>1974</v>
      </c>
      <c r="D888" s="110" t="str">
        <f t="shared" si="9"/>
        <v>2031_1974</v>
      </c>
      <c r="E888" s="1226">
        <v>0.124155852508294</v>
      </c>
      <c r="F888" s="1227">
        <v>5.2945083706126862E-2</v>
      </c>
      <c r="G888" s="1227">
        <v>5.1253479198512499</v>
      </c>
      <c r="H888" s="1227">
        <v>0.71103721391119423</v>
      </c>
      <c r="I888" s="1227">
        <v>5.7273986693893102E-2</v>
      </c>
      <c r="J888" s="1227">
        <v>2.1629998941807491E-4</v>
      </c>
      <c r="K888" s="1227">
        <v>3.0000008603787501E-3</v>
      </c>
      <c r="L888" s="1228">
        <v>2.7950599655762801E-2</v>
      </c>
      <c r="M888" s="1229">
        <v>5.98636622226391E-2</v>
      </c>
      <c r="N888" s="1230">
        <v>2.2608011512257245E-4</v>
      </c>
    </row>
    <row r="889" spans="1:14" ht="15.5" x14ac:dyDescent="0.35">
      <c r="A889" s="198">
        <v>2031</v>
      </c>
      <c r="B889" s="197" t="s">
        <v>5850</v>
      </c>
      <c r="C889" s="197">
        <v>1975</v>
      </c>
      <c r="D889" s="110" t="str">
        <f t="shared" si="9"/>
        <v>2031_1975</v>
      </c>
      <c r="E889" s="1226">
        <v>0.124155852508294</v>
      </c>
      <c r="F889" s="1227">
        <v>5.2945083706126862E-2</v>
      </c>
      <c r="G889" s="1227">
        <v>5.1253479198512499</v>
      </c>
      <c r="H889" s="1227">
        <v>0.71103721391119423</v>
      </c>
      <c r="I889" s="1227">
        <v>5.7273986693893102E-2</v>
      </c>
      <c r="J889" s="1227">
        <v>2.1629998941807491E-4</v>
      </c>
      <c r="K889" s="1227">
        <v>3.0000008603787501E-3</v>
      </c>
      <c r="L889" s="1228">
        <v>2.7950599655762801E-2</v>
      </c>
      <c r="M889" s="1229">
        <v>5.98636622226391E-2</v>
      </c>
      <c r="N889" s="1230">
        <v>2.2608011512257245E-4</v>
      </c>
    </row>
    <row r="890" spans="1:14" ht="15.5" x14ac:dyDescent="0.35">
      <c r="A890" s="198">
        <v>2031</v>
      </c>
      <c r="B890" s="197" t="s">
        <v>5850</v>
      </c>
      <c r="C890" s="197">
        <v>1976</v>
      </c>
      <c r="D890" s="110" t="str">
        <f t="shared" si="9"/>
        <v>2031_1976</v>
      </c>
      <c r="E890" s="1226">
        <v>0.124155852508294</v>
      </c>
      <c r="F890" s="1227">
        <v>5.2945083706126862E-2</v>
      </c>
      <c r="G890" s="1227">
        <v>5.1253479198512499</v>
      </c>
      <c r="H890" s="1227">
        <v>0.71103721391119423</v>
      </c>
      <c r="I890" s="1227">
        <v>5.7273986693893102E-2</v>
      </c>
      <c r="J890" s="1227">
        <v>2.1629998941807491E-4</v>
      </c>
      <c r="K890" s="1227">
        <v>3.0000008603787501E-3</v>
      </c>
      <c r="L890" s="1228">
        <v>2.7950599655762801E-2</v>
      </c>
      <c r="M890" s="1229">
        <v>5.98636622226391E-2</v>
      </c>
      <c r="N890" s="1230">
        <v>2.2608011512257245E-4</v>
      </c>
    </row>
    <row r="891" spans="1:14" ht="15.5" x14ac:dyDescent="0.35">
      <c r="A891" s="198">
        <v>2031</v>
      </c>
      <c r="B891" s="197" t="s">
        <v>5850</v>
      </c>
      <c r="C891" s="197">
        <v>1977</v>
      </c>
      <c r="D891" s="110" t="str">
        <f t="shared" si="9"/>
        <v>2031_1977</v>
      </c>
      <c r="E891" s="1226">
        <v>0.124155852508294</v>
      </c>
      <c r="F891" s="1227">
        <v>5.2945083706126862E-2</v>
      </c>
      <c r="G891" s="1227">
        <v>5.1253479198512499</v>
      </c>
      <c r="H891" s="1227">
        <v>0.71103721391119423</v>
      </c>
      <c r="I891" s="1227">
        <v>5.7273986693893102E-2</v>
      </c>
      <c r="J891" s="1227">
        <v>2.1629998941807491E-4</v>
      </c>
      <c r="K891" s="1227">
        <v>3.0000008603787501E-3</v>
      </c>
      <c r="L891" s="1228">
        <v>2.7950599655762801E-2</v>
      </c>
      <c r="M891" s="1229">
        <v>5.98636622226391E-2</v>
      </c>
      <c r="N891" s="1230">
        <v>2.2608011512257245E-4</v>
      </c>
    </row>
    <row r="892" spans="1:14" ht="15.5" x14ac:dyDescent="0.35">
      <c r="A892" s="198">
        <v>2031</v>
      </c>
      <c r="B892" s="197" t="s">
        <v>5850</v>
      </c>
      <c r="C892" s="197">
        <v>1978</v>
      </c>
      <c r="D892" s="110" t="str">
        <f t="shared" si="9"/>
        <v>2031_1978</v>
      </c>
      <c r="E892" s="1226">
        <v>0.124155852508294</v>
      </c>
      <c r="F892" s="1227">
        <v>5.2945083706126862E-2</v>
      </c>
      <c r="G892" s="1227">
        <v>5.1253479198512499</v>
      </c>
      <c r="H892" s="1227">
        <v>0.71103721391119423</v>
      </c>
      <c r="I892" s="1227">
        <v>5.7273986693893102E-2</v>
      </c>
      <c r="J892" s="1227">
        <v>2.1629998941807491E-4</v>
      </c>
      <c r="K892" s="1227">
        <v>3.0000008603787501E-3</v>
      </c>
      <c r="L892" s="1228">
        <v>2.7950599655762801E-2</v>
      </c>
      <c r="M892" s="1229">
        <v>5.98636622226391E-2</v>
      </c>
      <c r="N892" s="1230">
        <v>2.2608011512257245E-4</v>
      </c>
    </row>
    <row r="893" spans="1:14" ht="15.5" x14ac:dyDescent="0.35">
      <c r="A893" s="198">
        <v>2031</v>
      </c>
      <c r="B893" s="197" t="s">
        <v>5850</v>
      </c>
      <c r="C893" s="197">
        <v>1979</v>
      </c>
      <c r="D893" s="110" t="str">
        <f t="shared" si="9"/>
        <v>2031_1979</v>
      </c>
      <c r="E893" s="1226">
        <v>0.124155852508294</v>
      </c>
      <c r="F893" s="1227">
        <v>5.2945083706126862E-2</v>
      </c>
      <c r="G893" s="1227">
        <v>5.1253479198512499</v>
      </c>
      <c r="H893" s="1227">
        <v>0.71103721391119423</v>
      </c>
      <c r="I893" s="1227">
        <v>5.7273986693893102E-2</v>
      </c>
      <c r="J893" s="1227">
        <v>2.1629998941807491E-4</v>
      </c>
      <c r="K893" s="1227">
        <v>3.0000008603787501E-3</v>
      </c>
      <c r="L893" s="1228">
        <v>2.7950599655762801E-2</v>
      </c>
      <c r="M893" s="1229">
        <v>5.98636622226391E-2</v>
      </c>
      <c r="N893" s="1230">
        <v>2.2608011512257245E-4</v>
      </c>
    </row>
    <row r="894" spans="1:14" ht="15.5" x14ac:dyDescent="0.35">
      <c r="A894" s="198">
        <v>2031</v>
      </c>
      <c r="B894" s="197" t="s">
        <v>5850</v>
      </c>
      <c r="C894" s="197">
        <v>1980</v>
      </c>
      <c r="D894" s="110" t="str">
        <f t="shared" si="9"/>
        <v>2031_1980</v>
      </c>
      <c r="E894" s="1226">
        <v>0.124155852508294</v>
      </c>
      <c r="F894" s="1227">
        <v>5.2945083706126862E-2</v>
      </c>
      <c r="G894" s="1227">
        <v>5.1253479198512499</v>
      </c>
      <c r="H894" s="1227">
        <v>0.71103721391119423</v>
      </c>
      <c r="I894" s="1227">
        <v>5.7273986693893102E-2</v>
      </c>
      <c r="J894" s="1227">
        <v>2.1629998941807491E-4</v>
      </c>
      <c r="K894" s="1227">
        <v>3.0000008603787501E-3</v>
      </c>
      <c r="L894" s="1228">
        <v>2.7950599655762801E-2</v>
      </c>
      <c r="M894" s="1229">
        <v>5.98636622226391E-2</v>
      </c>
      <c r="N894" s="1230">
        <v>2.2608011512257245E-4</v>
      </c>
    </row>
    <row r="895" spans="1:14" ht="15.5" x14ac:dyDescent="0.35">
      <c r="A895" s="198">
        <v>2031</v>
      </c>
      <c r="B895" s="197" t="s">
        <v>5850</v>
      </c>
      <c r="C895" s="197">
        <v>1981</v>
      </c>
      <c r="D895" s="110" t="str">
        <f t="shared" si="9"/>
        <v>2031_1981</v>
      </c>
      <c r="E895" s="1226">
        <v>0.124155852508294</v>
      </c>
      <c r="F895" s="1227">
        <v>5.2945083706126862E-2</v>
      </c>
      <c r="G895" s="1227">
        <v>5.1253479198512499</v>
      </c>
      <c r="H895" s="1227">
        <v>0.71103721391119423</v>
      </c>
      <c r="I895" s="1227">
        <v>5.7273986693893102E-2</v>
      </c>
      <c r="J895" s="1227">
        <v>2.1629998941807491E-4</v>
      </c>
      <c r="K895" s="1227">
        <v>3.0000008603787501E-3</v>
      </c>
      <c r="L895" s="1228">
        <v>2.7950599655762801E-2</v>
      </c>
      <c r="M895" s="1229">
        <v>5.98636622226391E-2</v>
      </c>
      <c r="N895" s="1230">
        <v>2.2608011512257245E-4</v>
      </c>
    </row>
    <row r="896" spans="1:14" ht="15.5" x14ac:dyDescent="0.35">
      <c r="A896" s="198">
        <v>2031</v>
      </c>
      <c r="B896" s="197" t="s">
        <v>5850</v>
      </c>
      <c r="C896" s="197">
        <v>1982</v>
      </c>
      <c r="D896" s="110" t="str">
        <f t="shared" si="9"/>
        <v>2031_1982</v>
      </c>
      <c r="E896" s="1226">
        <v>0.124155852508294</v>
      </c>
      <c r="F896" s="1227">
        <v>5.2945083706126862E-2</v>
      </c>
      <c r="G896" s="1227">
        <v>5.1253479198512499</v>
      </c>
      <c r="H896" s="1227">
        <v>0.71103721391119423</v>
      </c>
      <c r="I896" s="1227">
        <v>5.7273986693893102E-2</v>
      </c>
      <c r="J896" s="1227">
        <v>2.1629998941807491E-4</v>
      </c>
      <c r="K896" s="1227">
        <v>3.0000008603787501E-3</v>
      </c>
      <c r="L896" s="1228">
        <v>2.7950599655762801E-2</v>
      </c>
      <c r="M896" s="1229">
        <v>5.98636622226391E-2</v>
      </c>
      <c r="N896" s="1230">
        <v>2.2608011512257245E-4</v>
      </c>
    </row>
    <row r="897" spans="1:14" ht="15.5" x14ac:dyDescent="0.35">
      <c r="A897" s="198">
        <v>2031</v>
      </c>
      <c r="B897" s="197" t="s">
        <v>5850</v>
      </c>
      <c r="C897" s="197">
        <v>1983</v>
      </c>
      <c r="D897" s="110" t="str">
        <f t="shared" si="9"/>
        <v>2031_1983</v>
      </c>
      <c r="E897" s="1226">
        <v>0.124155852508294</v>
      </c>
      <c r="F897" s="1227">
        <v>5.2945083706126862E-2</v>
      </c>
      <c r="G897" s="1227">
        <v>5.1253479198512499</v>
      </c>
      <c r="H897" s="1227">
        <v>0.71103721391119423</v>
      </c>
      <c r="I897" s="1227">
        <v>5.7273986693893102E-2</v>
      </c>
      <c r="J897" s="1227">
        <v>2.1629998941807491E-4</v>
      </c>
      <c r="K897" s="1227">
        <v>3.0000008603787501E-3</v>
      </c>
      <c r="L897" s="1228">
        <v>2.7950599655762801E-2</v>
      </c>
      <c r="M897" s="1229">
        <v>5.98636622226391E-2</v>
      </c>
      <c r="N897" s="1230">
        <v>2.2608011512257245E-4</v>
      </c>
    </row>
    <row r="898" spans="1:14" ht="15.5" x14ac:dyDescent="0.35">
      <c r="A898" s="198">
        <v>2031</v>
      </c>
      <c r="B898" s="197" t="s">
        <v>5850</v>
      </c>
      <c r="C898" s="197">
        <v>1984</v>
      </c>
      <c r="D898" s="110" t="str">
        <f t="shared" si="9"/>
        <v>2031_1984</v>
      </c>
      <c r="E898" s="1226">
        <v>0.124155852508294</v>
      </c>
      <c r="F898" s="1227">
        <v>5.2945083706126862E-2</v>
      </c>
      <c r="G898" s="1227">
        <v>5.1253479198512499</v>
      </c>
      <c r="H898" s="1227">
        <v>0.71103721391119423</v>
      </c>
      <c r="I898" s="1227">
        <v>5.7273986693893102E-2</v>
      </c>
      <c r="J898" s="1227">
        <v>2.1629998941807491E-4</v>
      </c>
      <c r="K898" s="1227">
        <v>3.0000008603787501E-3</v>
      </c>
      <c r="L898" s="1228">
        <v>2.7950599655762801E-2</v>
      </c>
      <c r="M898" s="1229">
        <v>5.98636622226391E-2</v>
      </c>
      <c r="N898" s="1230">
        <v>2.2608011512257245E-4</v>
      </c>
    </row>
    <row r="899" spans="1:14" ht="15.5" x14ac:dyDescent="0.35">
      <c r="A899" s="198">
        <v>2031</v>
      </c>
      <c r="B899" s="197" t="s">
        <v>5850</v>
      </c>
      <c r="C899" s="197">
        <v>1985</v>
      </c>
      <c r="D899" s="110" t="str">
        <f t="shared" si="9"/>
        <v>2031_1985</v>
      </c>
      <c r="E899" s="1226">
        <v>0.124155852508294</v>
      </c>
      <c r="F899" s="1227">
        <v>5.2945083706126862E-2</v>
      </c>
      <c r="G899" s="1227">
        <v>5.1253479198512499</v>
      </c>
      <c r="H899" s="1227">
        <v>0.71103721391119423</v>
      </c>
      <c r="I899" s="1227">
        <v>5.7273986693893102E-2</v>
      </c>
      <c r="J899" s="1227">
        <v>2.1629998941807491E-4</v>
      </c>
      <c r="K899" s="1227">
        <v>3.0000008603787501E-3</v>
      </c>
      <c r="L899" s="1228">
        <v>2.7950599655762801E-2</v>
      </c>
      <c r="M899" s="1229">
        <v>5.98636622226391E-2</v>
      </c>
      <c r="N899" s="1230">
        <v>2.2608011512257245E-4</v>
      </c>
    </row>
    <row r="900" spans="1:14" ht="15.5" x14ac:dyDescent="0.35">
      <c r="A900" s="198">
        <v>2031</v>
      </c>
      <c r="B900" s="197" t="s">
        <v>5850</v>
      </c>
      <c r="C900" s="197">
        <v>1986</v>
      </c>
      <c r="D900" s="110" t="str">
        <f t="shared" si="9"/>
        <v>2031_1986</v>
      </c>
      <c r="E900" s="1226">
        <v>0.124155852508294</v>
      </c>
      <c r="F900" s="1227">
        <v>5.2945083706126862E-2</v>
      </c>
      <c r="G900" s="1227">
        <v>5.1253479198512499</v>
      </c>
      <c r="H900" s="1227">
        <v>0.71103721391119423</v>
      </c>
      <c r="I900" s="1227">
        <v>5.7273986693893102E-2</v>
      </c>
      <c r="J900" s="1227">
        <v>2.1629998941807491E-4</v>
      </c>
      <c r="K900" s="1227">
        <v>3.0000008603787501E-3</v>
      </c>
      <c r="L900" s="1228">
        <v>2.7950599655762801E-2</v>
      </c>
      <c r="M900" s="1229">
        <v>5.98636622226391E-2</v>
      </c>
      <c r="N900" s="1230">
        <v>2.2608011512257245E-4</v>
      </c>
    </row>
    <row r="901" spans="1:14" ht="15.5" x14ac:dyDescent="0.35">
      <c r="A901" s="198">
        <v>2031</v>
      </c>
      <c r="B901" s="197" t="s">
        <v>5850</v>
      </c>
      <c r="C901" s="197">
        <v>1987</v>
      </c>
      <c r="D901" s="110" t="str">
        <f t="shared" si="9"/>
        <v>2031_1987</v>
      </c>
      <c r="E901" s="1226">
        <v>0.124155852508294</v>
      </c>
      <c r="F901" s="1227">
        <v>5.2945083706126862E-2</v>
      </c>
      <c r="G901" s="1227">
        <v>5.1253479198512499</v>
      </c>
      <c r="H901" s="1227">
        <v>0.71103721391119423</v>
      </c>
      <c r="I901" s="1227">
        <v>5.7273986693893102E-2</v>
      </c>
      <c r="J901" s="1227">
        <v>2.1629998941807491E-4</v>
      </c>
      <c r="K901" s="1227">
        <v>3.0000008603787501E-3</v>
      </c>
      <c r="L901" s="1228">
        <v>2.7950599655762801E-2</v>
      </c>
      <c r="M901" s="1229">
        <v>5.98636622226391E-2</v>
      </c>
      <c r="N901" s="1230">
        <v>2.2608011512257245E-4</v>
      </c>
    </row>
    <row r="902" spans="1:14" ht="15.5" x14ac:dyDescent="0.35">
      <c r="A902" s="198">
        <v>2031</v>
      </c>
      <c r="B902" s="197" t="s">
        <v>5850</v>
      </c>
      <c r="C902" s="197">
        <v>1988</v>
      </c>
      <c r="D902" s="110" t="str">
        <f t="shared" si="9"/>
        <v>2031_1988</v>
      </c>
      <c r="E902" s="1226">
        <v>0.124155852508294</v>
      </c>
      <c r="F902" s="1227">
        <v>5.2945083706126862E-2</v>
      </c>
      <c r="G902" s="1227">
        <v>5.1253479198512499</v>
      </c>
      <c r="H902" s="1227">
        <v>0.71103721391119423</v>
      </c>
      <c r="I902" s="1227">
        <v>5.7273986693893102E-2</v>
      </c>
      <c r="J902" s="1227">
        <v>2.1629998941807491E-4</v>
      </c>
      <c r="K902" s="1227">
        <v>3.0000008603787501E-3</v>
      </c>
      <c r="L902" s="1228">
        <v>2.7950599655762801E-2</v>
      </c>
      <c r="M902" s="1229">
        <v>5.98636622226391E-2</v>
      </c>
      <c r="N902" s="1230">
        <v>2.2608011512257245E-4</v>
      </c>
    </row>
    <row r="903" spans="1:14" ht="15.5" x14ac:dyDescent="0.35">
      <c r="A903" s="198">
        <v>2031</v>
      </c>
      <c r="B903" s="197" t="s">
        <v>5850</v>
      </c>
      <c r="C903" s="197">
        <v>1989</v>
      </c>
      <c r="D903" s="110" t="str">
        <f t="shared" si="9"/>
        <v>2031_1989</v>
      </c>
      <c r="E903" s="1226">
        <v>0.124155852508294</v>
      </c>
      <c r="F903" s="1227">
        <v>5.2945083706126862E-2</v>
      </c>
      <c r="G903" s="1227">
        <v>5.1253479198512499</v>
      </c>
      <c r="H903" s="1227">
        <v>0.71103721391119423</v>
      </c>
      <c r="I903" s="1227">
        <v>5.7273986693893102E-2</v>
      </c>
      <c r="J903" s="1227">
        <v>2.1629998941807491E-4</v>
      </c>
      <c r="K903" s="1227">
        <v>3.0000008603787501E-3</v>
      </c>
      <c r="L903" s="1228">
        <v>2.7950599655762801E-2</v>
      </c>
      <c r="M903" s="1229">
        <v>5.98636622226391E-2</v>
      </c>
      <c r="N903" s="1230">
        <v>2.2608011512257245E-4</v>
      </c>
    </row>
    <row r="904" spans="1:14" ht="15.5" x14ac:dyDescent="0.35">
      <c r="A904" s="198">
        <v>2031</v>
      </c>
      <c r="B904" s="197" t="s">
        <v>5850</v>
      </c>
      <c r="C904" s="197">
        <v>1990</v>
      </c>
      <c r="D904" s="110" t="str">
        <f t="shared" si="9"/>
        <v>2031_1990</v>
      </c>
      <c r="E904" s="1226">
        <v>0.124155852508294</v>
      </c>
      <c r="F904" s="1227">
        <v>5.2945083706126862E-2</v>
      </c>
      <c r="G904" s="1227">
        <v>5.1253479198512499</v>
      </c>
      <c r="H904" s="1227">
        <v>0.71103721391119423</v>
      </c>
      <c r="I904" s="1227">
        <v>5.7273986693893102E-2</v>
      </c>
      <c r="J904" s="1227">
        <v>2.1629998941807491E-4</v>
      </c>
      <c r="K904" s="1227">
        <v>3.0000008603787501E-3</v>
      </c>
      <c r="L904" s="1228">
        <v>2.7950599655762801E-2</v>
      </c>
      <c r="M904" s="1229">
        <v>5.98636622226391E-2</v>
      </c>
      <c r="N904" s="1230">
        <v>2.2608011512257245E-4</v>
      </c>
    </row>
    <row r="905" spans="1:14" ht="15.5" x14ac:dyDescent="0.35">
      <c r="A905" s="198">
        <v>2031</v>
      </c>
      <c r="B905" s="197" t="s">
        <v>5850</v>
      </c>
      <c r="C905" s="197">
        <v>1991</v>
      </c>
      <c r="D905" s="110" t="str">
        <f t="shared" si="9"/>
        <v>2031_1991</v>
      </c>
      <c r="E905" s="1226">
        <v>0.124155852508294</v>
      </c>
      <c r="F905" s="1227">
        <v>5.2945083706126862E-2</v>
      </c>
      <c r="G905" s="1227">
        <v>5.1253479198512499</v>
      </c>
      <c r="H905" s="1227">
        <v>0.71103721391119423</v>
      </c>
      <c r="I905" s="1227">
        <v>5.7273986693893102E-2</v>
      </c>
      <c r="J905" s="1227">
        <v>2.1629998941807491E-4</v>
      </c>
      <c r="K905" s="1227">
        <v>3.0000008603787501E-3</v>
      </c>
      <c r="L905" s="1228">
        <v>2.7950599655762801E-2</v>
      </c>
      <c r="M905" s="1229">
        <v>5.98636622226391E-2</v>
      </c>
      <c r="N905" s="1230">
        <v>2.2608011512257245E-4</v>
      </c>
    </row>
    <row r="906" spans="1:14" ht="15.5" x14ac:dyDescent="0.35">
      <c r="A906" s="198">
        <v>2031</v>
      </c>
      <c r="B906" s="197" t="s">
        <v>5850</v>
      </c>
      <c r="C906" s="197">
        <v>1992</v>
      </c>
      <c r="D906" s="110" t="str">
        <f t="shared" si="9"/>
        <v>2031_1992</v>
      </c>
      <c r="E906" s="1226">
        <v>0.124155852508294</v>
      </c>
      <c r="F906" s="1227">
        <v>5.2945083706126862E-2</v>
      </c>
      <c r="G906" s="1227">
        <v>5.1253479198512499</v>
      </c>
      <c r="H906" s="1227">
        <v>0.71103721391119423</v>
      </c>
      <c r="I906" s="1227">
        <v>5.7273986693893102E-2</v>
      </c>
      <c r="J906" s="1227">
        <v>2.1629998941807491E-4</v>
      </c>
      <c r="K906" s="1227">
        <v>3.0000008603787501E-3</v>
      </c>
      <c r="L906" s="1228">
        <v>2.7950599655762801E-2</v>
      </c>
      <c r="M906" s="1229">
        <v>5.98636622226391E-2</v>
      </c>
      <c r="N906" s="1230">
        <v>2.2608011512257245E-4</v>
      </c>
    </row>
    <row r="907" spans="1:14" ht="15.5" x14ac:dyDescent="0.35">
      <c r="A907" s="198">
        <v>2031</v>
      </c>
      <c r="B907" s="197" t="s">
        <v>5850</v>
      </c>
      <c r="C907" s="197">
        <v>1993</v>
      </c>
      <c r="D907" s="110" t="str">
        <f t="shared" si="9"/>
        <v>2031_1993</v>
      </c>
      <c r="E907" s="1226">
        <v>0.124155852508294</v>
      </c>
      <c r="F907" s="1227">
        <v>5.2945083706126862E-2</v>
      </c>
      <c r="G907" s="1227">
        <v>5.1253479198512499</v>
      </c>
      <c r="H907" s="1227">
        <v>0.71103721391119423</v>
      </c>
      <c r="I907" s="1227">
        <v>5.7273986693893102E-2</v>
      </c>
      <c r="J907" s="1227">
        <v>2.1629998941807491E-4</v>
      </c>
      <c r="K907" s="1227">
        <v>3.0000008603787501E-3</v>
      </c>
      <c r="L907" s="1228">
        <v>2.7950599655762801E-2</v>
      </c>
      <c r="M907" s="1229">
        <v>5.98636622226391E-2</v>
      </c>
      <c r="N907" s="1230">
        <v>2.2608011512257245E-4</v>
      </c>
    </row>
    <row r="908" spans="1:14" ht="15.5" x14ac:dyDescent="0.35">
      <c r="A908" s="198">
        <v>2031</v>
      </c>
      <c r="B908" s="197" t="s">
        <v>5850</v>
      </c>
      <c r="C908" s="197">
        <v>1994</v>
      </c>
      <c r="D908" s="110" t="str">
        <f t="shared" si="9"/>
        <v>2031_1994</v>
      </c>
      <c r="E908" s="1226">
        <v>0.124155852508294</v>
      </c>
      <c r="F908" s="1227">
        <v>5.2945083706126862E-2</v>
      </c>
      <c r="G908" s="1227">
        <v>5.1253479198512499</v>
      </c>
      <c r="H908" s="1227">
        <v>0.71103721391119423</v>
      </c>
      <c r="I908" s="1227">
        <v>5.7273986693893102E-2</v>
      </c>
      <c r="J908" s="1227">
        <v>2.1629998941807491E-4</v>
      </c>
      <c r="K908" s="1227">
        <v>3.0000008603787501E-3</v>
      </c>
      <c r="L908" s="1228">
        <v>2.7950599655762801E-2</v>
      </c>
      <c r="M908" s="1229">
        <v>5.98636622226391E-2</v>
      </c>
      <c r="N908" s="1230">
        <v>2.2608011512257245E-4</v>
      </c>
    </row>
    <row r="909" spans="1:14" ht="15.5" x14ac:dyDescent="0.35">
      <c r="A909" s="198">
        <v>2031</v>
      </c>
      <c r="B909" s="197" t="s">
        <v>5850</v>
      </c>
      <c r="C909" s="197">
        <v>1995</v>
      </c>
      <c r="D909" s="110" t="str">
        <f t="shared" si="9"/>
        <v>2031_1995</v>
      </c>
      <c r="E909" s="1226">
        <v>0.124155852508294</v>
      </c>
      <c r="F909" s="1227">
        <v>5.2945083706126862E-2</v>
      </c>
      <c r="G909" s="1227">
        <v>5.1253479198512499</v>
      </c>
      <c r="H909" s="1227">
        <v>0.71103721391119423</v>
      </c>
      <c r="I909" s="1227">
        <v>5.7273986693893102E-2</v>
      </c>
      <c r="J909" s="1227">
        <v>2.1629998941807491E-4</v>
      </c>
      <c r="K909" s="1227">
        <v>3.0000008603787501E-3</v>
      </c>
      <c r="L909" s="1228">
        <v>2.7950599655762801E-2</v>
      </c>
      <c r="M909" s="1229">
        <v>5.98636622226391E-2</v>
      </c>
      <c r="N909" s="1230">
        <v>2.2608011512257245E-4</v>
      </c>
    </row>
    <row r="910" spans="1:14" ht="15.5" x14ac:dyDescent="0.35">
      <c r="A910" s="198">
        <v>2031</v>
      </c>
      <c r="B910" s="197" t="s">
        <v>5850</v>
      </c>
      <c r="C910" s="197">
        <v>1996</v>
      </c>
      <c r="D910" s="110" t="str">
        <f t="shared" si="9"/>
        <v>2031_1996</v>
      </c>
      <c r="E910" s="1226">
        <v>0.124155852508294</v>
      </c>
      <c r="F910" s="1227">
        <v>5.2945083706126862E-2</v>
      </c>
      <c r="G910" s="1227">
        <v>5.1253479198512499</v>
      </c>
      <c r="H910" s="1227">
        <v>0.71103721391119423</v>
      </c>
      <c r="I910" s="1227">
        <v>5.7273986693893102E-2</v>
      </c>
      <c r="J910" s="1227">
        <v>2.1629998941807491E-4</v>
      </c>
      <c r="K910" s="1227">
        <v>3.0000008603787501E-3</v>
      </c>
      <c r="L910" s="1228">
        <v>2.7950599655762801E-2</v>
      </c>
      <c r="M910" s="1229">
        <v>5.98636622226391E-2</v>
      </c>
      <c r="N910" s="1230">
        <v>2.2608011512257245E-4</v>
      </c>
    </row>
    <row r="911" spans="1:14" ht="15.5" x14ac:dyDescent="0.35">
      <c r="A911" s="198">
        <v>2031</v>
      </c>
      <c r="B911" s="197" t="s">
        <v>5850</v>
      </c>
      <c r="C911" s="197">
        <v>1997</v>
      </c>
      <c r="D911" s="110" t="str">
        <f t="shared" si="9"/>
        <v>2031_1997</v>
      </c>
      <c r="E911" s="1226">
        <v>0.124155852508294</v>
      </c>
      <c r="F911" s="1227">
        <v>5.2945083706126862E-2</v>
      </c>
      <c r="G911" s="1227">
        <v>5.1253479198512499</v>
      </c>
      <c r="H911" s="1227">
        <v>0.71103721391119423</v>
      </c>
      <c r="I911" s="1227">
        <v>5.7273986693893102E-2</v>
      </c>
      <c r="J911" s="1227">
        <v>2.1629998941807491E-4</v>
      </c>
      <c r="K911" s="1227">
        <v>3.0000008603787501E-3</v>
      </c>
      <c r="L911" s="1228">
        <v>2.7950599655762801E-2</v>
      </c>
      <c r="M911" s="1229">
        <v>5.98636622226391E-2</v>
      </c>
      <c r="N911" s="1230">
        <v>2.2608011512257245E-4</v>
      </c>
    </row>
    <row r="912" spans="1:14" ht="15.5" x14ac:dyDescent="0.35">
      <c r="A912" s="198">
        <v>2031</v>
      </c>
      <c r="B912" s="197" t="s">
        <v>5850</v>
      </c>
      <c r="C912" s="197">
        <v>1998</v>
      </c>
      <c r="D912" s="110" t="str">
        <f t="shared" si="9"/>
        <v>2031_1998</v>
      </c>
      <c r="E912" s="1226">
        <v>0.124155852508294</v>
      </c>
      <c r="F912" s="1227">
        <v>5.2945083706126862E-2</v>
      </c>
      <c r="G912" s="1227">
        <v>5.1253479198512499</v>
      </c>
      <c r="H912" s="1227">
        <v>0.71103721391119423</v>
      </c>
      <c r="I912" s="1227">
        <v>5.7273986693893102E-2</v>
      </c>
      <c r="J912" s="1227">
        <v>2.1629998941807491E-4</v>
      </c>
      <c r="K912" s="1227">
        <v>3.0000008603787501E-3</v>
      </c>
      <c r="L912" s="1228">
        <v>2.7950599655762801E-2</v>
      </c>
      <c r="M912" s="1229">
        <v>5.98636622226391E-2</v>
      </c>
      <c r="N912" s="1230">
        <v>2.2608011512257245E-4</v>
      </c>
    </row>
    <row r="913" spans="1:14" ht="15.5" x14ac:dyDescent="0.35">
      <c r="A913" s="198">
        <v>2031</v>
      </c>
      <c r="B913" s="197" t="s">
        <v>5850</v>
      </c>
      <c r="C913" s="197">
        <v>1999</v>
      </c>
      <c r="D913" s="110" t="str">
        <f t="shared" si="9"/>
        <v>2031_1999</v>
      </c>
      <c r="E913" s="1226">
        <v>0.124155852508294</v>
      </c>
      <c r="F913" s="1227">
        <v>5.2945083706126862E-2</v>
      </c>
      <c r="G913" s="1227">
        <v>5.1253479198512499</v>
      </c>
      <c r="H913" s="1227">
        <v>0.71103721391119423</v>
      </c>
      <c r="I913" s="1227">
        <v>5.7273986693893102E-2</v>
      </c>
      <c r="J913" s="1227">
        <v>2.1629998941807491E-4</v>
      </c>
      <c r="K913" s="1227">
        <v>3.0000008603787501E-3</v>
      </c>
      <c r="L913" s="1228">
        <v>2.7950599655762801E-2</v>
      </c>
      <c r="M913" s="1229">
        <v>5.98636622226391E-2</v>
      </c>
      <c r="N913" s="1230">
        <v>2.2608011512257245E-4</v>
      </c>
    </row>
    <row r="914" spans="1:14" ht="15.5" x14ac:dyDescent="0.35">
      <c r="A914" s="198">
        <v>2031</v>
      </c>
      <c r="B914" s="197" t="s">
        <v>5850</v>
      </c>
      <c r="C914" s="197">
        <v>2000</v>
      </c>
      <c r="D914" s="110" t="str">
        <f t="shared" si="9"/>
        <v>2031_2000</v>
      </c>
      <c r="E914" s="1226">
        <v>0.124155852508294</v>
      </c>
      <c r="F914" s="1227">
        <v>5.2945083706126862E-2</v>
      </c>
      <c r="G914" s="1227">
        <v>5.1253479198512499</v>
      </c>
      <c r="H914" s="1227">
        <v>0.71103721391119423</v>
      </c>
      <c r="I914" s="1227">
        <v>5.7273986693893102E-2</v>
      </c>
      <c r="J914" s="1227">
        <v>2.1629998941807491E-4</v>
      </c>
      <c r="K914" s="1227">
        <v>3.0000008603787501E-3</v>
      </c>
      <c r="L914" s="1228">
        <v>2.7950599655762801E-2</v>
      </c>
      <c r="M914" s="1229">
        <v>5.98636622226391E-2</v>
      </c>
      <c r="N914" s="1230">
        <v>2.2608011512257245E-4</v>
      </c>
    </row>
    <row r="915" spans="1:14" ht="15.5" x14ac:dyDescent="0.35">
      <c r="A915" s="198">
        <v>2031</v>
      </c>
      <c r="B915" s="197" t="s">
        <v>5850</v>
      </c>
      <c r="C915" s="197">
        <v>2001</v>
      </c>
      <c r="D915" s="110" t="str">
        <f t="shared" si="9"/>
        <v>2031_2001</v>
      </c>
      <c r="E915" s="1226">
        <v>0.124155852508294</v>
      </c>
      <c r="F915" s="1227">
        <v>5.2945083706126862E-2</v>
      </c>
      <c r="G915" s="1227">
        <v>5.1253479198512499</v>
      </c>
      <c r="H915" s="1227">
        <v>0.71103721391119423</v>
      </c>
      <c r="I915" s="1227">
        <v>5.7273986693893102E-2</v>
      </c>
      <c r="J915" s="1227">
        <v>2.1629998941807491E-4</v>
      </c>
      <c r="K915" s="1227">
        <v>3.0000008603787501E-3</v>
      </c>
      <c r="L915" s="1228">
        <v>2.7950599655762801E-2</v>
      </c>
      <c r="M915" s="1229">
        <v>5.98636622226391E-2</v>
      </c>
      <c r="N915" s="1230">
        <v>2.2608011512257245E-4</v>
      </c>
    </row>
    <row r="916" spans="1:14" ht="15.5" x14ac:dyDescent="0.35">
      <c r="A916" s="198">
        <v>2031</v>
      </c>
      <c r="B916" s="197" t="s">
        <v>5850</v>
      </c>
      <c r="C916" s="197">
        <v>2002</v>
      </c>
      <c r="D916" s="110" t="str">
        <f t="shared" si="9"/>
        <v>2031_2002</v>
      </c>
      <c r="E916" s="1226">
        <v>0.124155852508294</v>
      </c>
      <c r="F916" s="1227">
        <v>5.2945083706126862E-2</v>
      </c>
      <c r="G916" s="1227">
        <v>5.1253479198512499</v>
      </c>
      <c r="H916" s="1227">
        <v>0.71103721391119423</v>
      </c>
      <c r="I916" s="1227">
        <v>5.7273986693893102E-2</v>
      </c>
      <c r="J916" s="1227">
        <v>2.1629998941807491E-4</v>
      </c>
      <c r="K916" s="1227">
        <v>3.0000008603787501E-3</v>
      </c>
      <c r="L916" s="1228">
        <v>2.7950599655762801E-2</v>
      </c>
      <c r="M916" s="1229">
        <v>5.98636622226391E-2</v>
      </c>
      <c r="N916" s="1230">
        <v>2.2608011512257245E-4</v>
      </c>
    </row>
    <row r="917" spans="1:14" ht="15.5" x14ac:dyDescent="0.35">
      <c r="A917" s="198">
        <v>2031</v>
      </c>
      <c r="B917" s="197" t="s">
        <v>5850</v>
      </c>
      <c r="C917" s="197">
        <v>2003</v>
      </c>
      <c r="D917" s="110" t="str">
        <f t="shared" si="9"/>
        <v>2031_2003</v>
      </c>
      <c r="E917" s="1226">
        <v>0.124155852508294</v>
      </c>
      <c r="F917" s="1227">
        <v>5.2945083706126862E-2</v>
      </c>
      <c r="G917" s="1227">
        <v>5.1253479198512499</v>
      </c>
      <c r="H917" s="1227">
        <v>0.71103721391119423</v>
      </c>
      <c r="I917" s="1227">
        <v>5.7273986693893102E-2</v>
      </c>
      <c r="J917" s="1227">
        <v>2.1629998941807491E-4</v>
      </c>
      <c r="K917" s="1227">
        <v>3.0000008603787501E-3</v>
      </c>
      <c r="L917" s="1228">
        <v>2.7950599655762801E-2</v>
      </c>
      <c r="M917" s="1229">
        <v>5.98636622226391E-2</v>
      </c>
      <c r="N917" s="1230">
        <v>2.2608011512257245E-4</v>
      </c>
    </row>
    <row r="918" spans="1:14" ht="15.5" x14ac:dyDescent="0.35">
      <c r="A918" s="198">
        <v>2031</v>
      </c>
      <c r="B918" s="197" t="s">
        <v>5850</v>
      </c>
      <c r="C918" s="197">
        <v>2004</v>
      </c>
      <c r="D918" s="110" t="str">
        <f t="shared" si="9"/>
        <v>2031_2004</v>
      </c>
      <c r="E918" s="1226">
        <v>0.124155852508294</v>
      </c>
      <c r="F918" s="1227">
        <v>5.2945083706126862E-2</v>
      </c>
      <c r="G918" s="1227">
        <v>5.1253479198512499</v>
      </c>
      <c r="H918" s="1227">
        <v>0.71103721391119423</v>
      </c>
      <c r="I918" s="1227">
        <v>5.7273986693893102E-2</v>
      </c>
      <c r="J918" s="1227">
        <v>2.1629998941807491E-4</v>
      </c>
      <c r="K918" s="1227">
        <v>3.0000008603787501E-3</v>
      </c>
      <c r="L918" s="1228">
        <v>2.7950599655762801E-2</v>
      </c>
      <c r="M918" s="1229">
        <v>5.98636622226391E-2</v>
      </c>
      <c r="N918" s="1230">
        <v>2.2608011512257245E-4</v>
      </c>
    </row>
    <row r="919" spans="1:14" ht="15.5" x14ac:dyDescent="0.35">
      <c r="A919" s="198">
        <v>2031</v>
      </c>
      <c r="B919" s="197" t="s">
        <v>5850</v>
      </c>
      <c r="C919" s="197">
        <v>2005</v>
      </c>
      <c r="D919" s="110" t="str">
        <f t="shared" si="9"/>
        <v>2031_2005</v>
      </c>
      <c r="E919" s="1226">
        <v>0.124155852508294</v>
      </c>
      <c r="F919" s="1227">
        <v>5.2945083706126862E-2</v>
      </c>
      <c r="G919" s="1227">
        <v>5.1253479198512499</v>
      </c>
      <c r="H919" s="1227">
        <v>0.71103721391119423</v>
      </c>
      <c r="I919" s="1227">
        <v>5.7273986693893102E-2</v>
      </c>
      <c r="J919" s="1227">
        <v>2.1629998941807491E-4</v>
      </c>
      <c r="K919" s="1227">
        <v>3.0000008603787501E-3</v>
      </c>
      <c r="L919" s="1228">
        <v>2.7950599655762801E-2</v>
      </c>
      <c r="M919" s="1229">
        <v>5.98636622226391E-2</v>
      </c>
      <c r="N919" s="1230">
        <v>2.2608011512257245E-4</v>
      </c>
    </row>
    <row r="920" spans="1:14" ht="15.5" x14ac:dyDescent="0.35">
      <c r="A920" s="198">
        <v>2031</v>
      </c>
      <c r="B920" s="197" t="s">
        <v>5850</v>
      </c>
      <c r="C920" s="197">
        <v>2006</v>
      </c>
      <c r="D920" s="110" t="str">
        <f t="shared" si="9"/>
        <v>2031_2006</v>
      </c>
      <c r="E920" s="1226">
        <v>0.124155852508294</v>
      </c>
      <c r="F920" s="1227">
        <v>5.2945083706126862E-2</v>
      </c>
      <c r="G920" s="1227">
        <v>5.1253479198512499</v>
      </c>
      <c r="H920" s="1227">
        <v>0.71103721391119423</v>
      </c>
      <c r="I920" s="1227">
        <v>5.7273986693893102E-2</v>
      </c>
      <c r="J920" s="1227">
        <v>2.1629998941807491E-4</v>
      </c>
      <c r="K920" s="1227">
        <v>3.0000008603787501E-3</v>
      </c>
      <c r="L920" s="1228">
        <v>2.7950599655762801E-2</v>
      </c>
      <c r="M920" s="1229">
        <v>5.98636622226391E-2</v>
      </c>
      <c r="N920" s="1230">
        <v>2.2608011512257245E-4</v>
      </c>
    </row>
    <row r="921" spans="1:14" ht="15.5" x14ac:dyDescent="0.35">
      <c r="A921" s="198">
        <v>2031</v>
      </c>
      <c r="B921" s="197" t="s">
        <v>5850</v>
      </c>
      <c r="C921" s="197">
        <v>2007</v>
      </c>
      <c r="D921" s="110" t="str">
        <f t="shared" si="9"/>
        <v>2031_2007</v>
      </c>
      <c r="E921" s="1226">
        <v>0.124155852508294</v>
      </c>
      <c r="F921" s="1227">
        <v>5.2945083706126862E-2</v>
      </c>
      <c r="G921" s="1227">
        <v>5.1253479198512499</v>
      </c>
      <c r="H921" s="1227">
        <v>0.71103721391119423</v>
      </c>
      <c r="I921" s="1227">
        <v>5.7273986693893102E-2</v>
      </c>
      <c r="J921" s="1227">
        <v>2.1629998941807491E-4</v>
      </c>
      <c r="K921" s="1227">
        <v>3.0000008603787501E-3</v>
      </c>
      <c r="L921" s="1228">
        <v>2.7950599655762801E-2</v>
      </c>
      <c r="M921" s="1229">
        <v>5.98636622226391E-2</v>
      </c>
      <c r="N921" s="1230">
        <v>2.2608011512257245E-4</v>
      </c>
    </row>
    <row r="922" spans="1:14" ht="15.5" x14ac:dyDescent="0.35">
      <c r="A922" s="198">
        <v>2031</v>
      </c>
      <c r="B922" s="197" t="s">
        <v>5850</v>
      </c>
      <c r="C922" s="197">
        <v>2008</v>
      </c>
      <c r="D922" s="110" t="str">
        <f t="shared" si="9"/>
        <v>2031_2008</v>
      </c>
      <c r="E922" s="1226">
        <v>0.124155852508294</v>
      </c>
      <c r="F922" s="1227">
        <v>5.2945083706126862E-2</v>
      </c>
      <c r="G922" s="1227">
        <v>5.1253479198512499</v>
      </c>
      <c r="H922" s="1227">
        <v>0.71103721391119423</v>
      </c>
      <c r="I922" s="1227">
        <v>5.7273986693893102E-2</v>
      </c>
      <c r="J922" s="1227">
        <v>2.1629998941807491E-4</v>
      </c>
      <c r="K922" s="1227">
        <v>3.0000008603787501E-3</v>
      </c>
      <c r="L922" s="1228">
        <v>2.7950599655762801E-2</v>
      </c>
      <c r="M922" s="1229">
        <v>5.98636622226391E-2</v>
      </c>
      <c r="N922" s="1230">
        <v>2.2608011512257245E-4</v>
      </c>
    </row>
    <row r="923" spans="1:14" ht="15.5" x14ac:dyDescent="0.35">
      <c r="A923" s="198">
        <v>2031</v>
      </c>
      <c r="B923" s="197" t="s">
        <v>5850</v>
      </c>
      <c r="C923" s="197">
        <v>2009</v>
      </c>
      <c r="D923" s="110" t="str">
        <f t="shared" si="9"/>
        <v>2031_2009</v>
      </c>
      <c r="E923" s="1226">
        <v>0.124155852508294</v>
      </c>
      <c r="F923" s="1227">
        <v>5.2945083706126862E-2</v>
      </c>
      <c r="G923" s="1227">
        <v>5.1253479198512499</v>
      </c>
      <c r="H923" s="1227">
        <v>0.71103721391119423</v>
      </c>
      <c r="I923" s="1227">
        <v>5.7273986693893102E-2</v>
      </c>
      <c r="J923" s="1227">
        <v>2.1629998941807491E-4</v>
      </c>
      <c r="K923" s="1227">
        <v>3.0000008603787501E-3</v>
      </c>
      <c r="L923" s="1228">
        <v>2.7950599655762801E-2</v>
      </c>
      <c r="M923" s="1229">
        <v>5.98636622226391E-2</v>
      </c>
      <c r="N923" s="1230">
        <v>2.2608011512257245E-4</v>
      </c>
    </row>
    <row r="924" spans="1:14" ht="15.5" x14ac:dyDescent="0.35">
      <c r="A924" s="198">
        <v>2031</v>
      </c>
      <c r="B924" s="197" t="s">
        <v>5850</v>
      </c>
      <c r="C924" s="197">
        <v>2010</v>
      </c>
      <c r="D924" s="110" t="str">
        <f t="shared" si="9"/>
        <v>2031_2010</v>
      </c>
      <c r="E924" s="1226">
        <v>0.124155852508294</v>
      </c>
      <c r="F924" s="1227">
        <v>5.2945083706126862E-2</v>
      </c>
      <c r="G924" s="1227">
        <v>5.1253479198512499</v>
      </c>
      <c r="H924" s="1227">
        <v>0.71103721391119423</v>
      </c>
      <c r="I924" s="1227">
        <v>5.7273986693893102E-2</v>
      </c>
      <c r="J924" s="1227">
        <v>2.1629998941807491E-4</v>
      </c>
      <c r="K924" s="1227">
        <v>3.0000008603787501E-3</v>
      </c>
      <c r="L924" s="1228">
        <v>2.7950599655762801E-2</v>
      </c>
      <c r="M924" s="1229">
        <v>5.98636622226391E-2</v>
      </c>
      <c r="N924" s="1230">
        <v>2.2608011512257245E-4</v>
      </c>
    </row>
    <row r="925" spans="1:14" ht="15.5" x14ac:dyDescent="0.35">
      <c r="A925" s="198">
        <v>2031</v>
      </c>
      <c r="B925" s="197" t="s">
        <v>5850</v>
      </c>
      <c r="C925" s="197">
        <v>2011</v>
      </c>
      <c r="D925" s="110" t="str">
        <f t="shared" si="9"/>
        <v>2031_2011</v>
      </c>
      <c r="E925" s="1231">
        <v>0.124155852508294</v>
      </c>
      <c r="F925" s="1232">
        <v>5.2945083706126862E-2</v>
      </c>
      <c r="G925" s="1232">
        <v>5.1253479198512499</v>
      </c>
      <c r="H925" s="1232">
        <v>0.71103721391119423</v>
      </c>
      <c r="I925" s="1232">
        <v>5.7273986693893102E-2</v>
      </c>
      <c r="J925" s="1232">
        <v>2.1629998941807491E-4</v>
      </c>
      <c r="K925" s="1232">
        <v>3.0000008603787501E-3</v>
      </c>
      <c r="L925" s="1233">
        <v>2.7950599655762801E-2</v>
      </c>
      <c r="M925" s="1234">
        <v>5.98636622226391E-2</v>
      </c>
      <c r="N925" s="1235">
        <v>2.2608011512257245E-4</v>
      </c>
    </row>
    <row r="926" spans="1:14" ht="15.5" x14ac:dyDescent="0.35">
      <c r="A926" s="198">
        <v>2031</v>
      </c>
      <c r="B926" s="197" t="s">
        <v>5850</v>
      </c>
      <c r="C926" s="197">
        <v>2012</v>
      </c>
      <c r="D926" s="110" t="str">
        <f t="shared" si="9"/>
        <v>2031_2012</v>
      </c>
      <c r="E926" s="1231">
        <v>2.50428146218842E-2</v>
      </c>
      <c r="F926" s="1232">
        <v>5.3122523061103134E-2</v>
      </c>
      <c r="G926" s="1232">
        <v>4.4685889025338303</v>
      </c>
      <c r="H926" s="1232">
        <v>0.62774550022234188</v>
      </c>
      <c r="I926" s="1232">
        <v>3.3227376171418299E-2</v>
      </c>
      <c r="J926" s="1232">
        <v>2.1629998941807312E-4</v>
      </c>
      <c r="K926" s="1232">
        <v>3.0000008603787501E-3</v>
      </c>
      <c r="L926" s="1233">
        <v>2.79505996558892E-2</v>
      </c>
      <c r="M926" s="1234">
        <v>3.4729770677591802E-2</v>
      </c>
      <c r="N926" s="1235">
        <v>2.2608011512257058E-4</v>
      </c>
    </row>
    <row r="927" spans="1:14" ht="15.5" x14ac:dyDescent="0.35">
      <c r="A927" s="198">
        <v>2031</v>
      </c>
      <c r="B927" s="197" t="s">
        <v>5850</v>
      </c>
      <c r="C927" s="197">
        <v>2013</v>
      </c>
      <c r="D927" s="110" t="str">
        <f t="shared" si="9"/>
        <v>2031_2013</v>
      </c>
      <c r="E927" s="1231">
        <v>2.4725668386223899E-2</v>
      </c>
      <c r="F927" s="1232">
        <v>5.3122523061103467E-2</v>
      </c>
      <c r="G927" s="1232">
        <v>4.2165642221658404</v>
      </c>
      <c r="H927" s="1232">
        <v>0.62774550022234743</v>
      </c>
      <c r="I927" s="1232">
        <v>3.2312343943662003E-2</v>
      </c>
      <c r="J927" s="1232">
        <v>2.1629998941807501E-4</v>
      </c>
      <c r="K927" s="1232">
        <v>3.0000008603787401E-3</v>
      </c>
      <c r="L927" s="1233">
        <v>2.7950599655877501E-2</v>
      </c>
      <c r="M927" s="1234">
        <v>3.3773364752891701E-2</v>
      </c>
      <c r="N927" s="1235">
        <v>2.2608011512257256E-4</v>
      </c>
    </row>
    <row r="928" spans="1:14" ht="15.5" x14ac:dyDescent="0.35">
      <c r="A928" s="198">
        <v>2031</v>
      </c>
      <c r="B928" s="197" t="s">
        <v>5850</v>
      </c>
      <c r="C928" s="197">
        <v>2014</v>
      </c>
      <c r="D928" s="110" t="str">
        <f t="shared" si="9"/>
        <v>2031_2014</v>
      </c>
      <c r="E928" s="1231">
        <v>1.21625058191782E-2</v>
      </c>
      <c r="F928" s="1232">
        <v>5.3122523061103481E-2</v>
      </c>
      <c r="G928" s="1232">
        <v>1.5872019592898601</v>
      </c>
      <c r="H928" s="1232">
        <v>0.62774550022234754</v>
      </c>
      <c r="I928" s="1232">
        <v>3.7582230724210498E-2</v>
      </c>
      <c r="J928" s="1232">
        <v>2.1629998941807507E-4</v>
      </c>
      <c r="K928" s="1232">
        <v>3.0000008603787501E-3</v>
      </c>
      <c r="L928" s="1233">
        <v>2.7950599655771201E-2</v>
      </c>
      <c r="M928" s="1234">
        <v>3.92815324288803E-2</v>
      </c>
      <c r="N928" s="1235">
        <v>2.2608011512257264E-4</v>
      </c>
    </row>
    <row r="929" spans="1:14" ht="15.5" x14ac:dyDescent="0.35">
      <c r="A929" s="198">
        <v>2031</v>
      </c>
      <c r="B929" s="197" t="s">
        <v>5850</v>
      </c>
      <c r="C929" s="197">
        <v>2015</v>
      </c>
      <c r="D929" s="110" t="str">
        <f t="shared" si="9"/>
        <v>2031_2015</v>
      </c>
      <c r="E929" s="1231">
        <v>1.2161465070129499E-2</v>
      </c>
      <c r="F929" s="1232">
        <v>5.3122523061103294E-2</v>
      </c>
      <c r="G929" s="1232">
        <v>1.5871007896315901</v>
      </c>
      <c r="H929" s="1232">
        <v>0.62774550022234532</v>
      </c>
      <c r="I929" s="1232">
        <v>3.7576966325040602E-2</v>
      </c>
      <c r="J929" s="1232">
        <v>2.1629998941807431E-4</v>
      </c>
      <c r="K929" s="1232">
        <v>3.0000008603787501E-3</v>
      </c>
      <c r="L929" s="1233">
        <v>2.7950599655795799E-2</v>
      </c>
      <c r="M929" s="1234">
        <v>3.9276029996940499E-2</v>
      </c>
      <c r="N929" s="1235">
        <v>2.2608011512257185E-4</v>
      </c>
    </row>
    <row r="930" spans="1:14" ht="15.5" x14ac:dyDescent="0.35">
      <c r="A930" s="198">
        <v>2031</v>
      </c>
      <c r="B930" s="197" t="s">
        <v>5850</v>
      </c>
      <c r="C930" s="197">
        <v>2016</v>
      </c>
      <c r="D930" s="110" t="str">
        <f t="shared" si="9"/>
        <v>2031_2016</v>
      </c>
      <c r="E930" s="1231">
        <v>1.2011768141290499E-2</v>
      </c>
      <c r="F930" s="1232">
        <v>5.312252306110344E-2</v>
      </c>
      <c r="G930" s="1232">
        <v>1.5724091761243499</v>
      </c>
      <c r="H930" s="1232">
        <v>0.62774550022234565</v>
      </c>
      <c r="I930" s="1232">
        <v>3.68197574944416E-2</v>
      </c>
      <c r="J930" s="1232">
        <v>2.1629998941807491E-4</v>
      </c>
      <c r="K930" s="1232">
        <v>3.0000008603787501E-3</v>
      </c>
      <c r="L930" s="1233">
        <v>2.7950599655810801E-2</v>
      </c>
      <c r="M930" s="1234">
        <v>3.84845835430861E-2</v>
      </c>
      <c r="N930" s="1235">
        <v>2.2608011512257242E-4</v>
      </c>
    </row>
    <row r="931" spans="1:14" ht="15.5" x14ac:dyDescent="0.35">
      <c r="A931" s="198">
        <v>2031</v>
      </c>
      <c r="B931" s="197" t="s">
        <v>5850</v>
      </c>
      <c r="C931" s="197">
        <v>2017</v>
      </c>
      <c r="D931" s="110" t="str">
        <f t="shared" si="9"/>
        <v>2031_2017</v>
      </c>
      <c r="E931" s="1231">
        <v>1.2054341742910301E-2</v>
      </c>
      <c r="F931" s="1232">
        <v>4.7810270754992744E-2</v>
      </c>
      <c r="G931" s="1232">
        <v>1.5557478593129599</v>
      </c>
      <c r="H931" s="1232">
        <v>0.5649709502001069</v>
      </c>
      <c r="I931" s="1232">
        <v>2.9328109847939599E-2</v>
      </c>
      <c r="J931" s="1232">
        <v>1.9466999047626599E-4</v>
      </c>
      <c r="K931" s="1232">
        <v>3.0000008603787501E-3</v>
      </c>
      <c r="L931" s="1233">
        <v>2.7950599655823301E-2</v>
      </c>
      <c r="M931" s="1234">
        <v>3.06541968337034E-2</v>
      </c>
      <c r="N931" s="1235">
        <v>2.0347210361031369E-4</v>
      </c>
    </row>
    <row r="932" spans="1:14" ht="15.5" x14ac:dyDescent="0.35">
      <c r="A932" s="198">
        <v>2031</v>
      </c>
      <c r="B932" s="197" t="s">
        <v>5850</v>
      </c>
      <c r="C932" s="197">
        <v>2018</v>
      </c>
      <c r="D932" s="110" t="str">
        <f t="shared" si="9"/>
        <v>2031_2018</v>
      </c>
      <c r="E932" s="1231">
        <v>1.18662717544178E-2</v>
      </c>
      <c r="F932" s="1232">
        <v>4.3029243679493547E-2</v>
      </c>
      <c r="G932" s="1232">
        <v>1.5367945489414001</v>
      </c>
      <c r="H932" s="1232">
        <v>0.50847385518009713</v>
      </c>
      <c r="I932" s="1232">
        <v>2.8566060536367399E-2</v>
      </c>
      <c r="J932" s="1232">
        <v>1.7520299142863969E-4</v>
      </c>
      <c r="K932" s="1232">
        <v>3.0000008603787501E-3</v>
      </c>
      <c r="L932" s="1233">
        <v>2.79505996557276E-2</v>
      </c>
      <c r="M932" s="1234">
        <v>2.9857691033805599E-2</v>
      </c>
      <c r="N932" s="1235">
        <v>1.8312489324928268E-4</v>
      </c>
    </row>
    <row r="933" spans="1:14" ht="15.5" x14ac:dyDescent="0.35">
      <c r="A933" s="198">
        <v>2031</v>
      </c>
      <c r="B933" s="197" t="s">
        <v>5850</v>
      </c>
      <c r="C933" s="197">
        <v>2019</v>
      </c>
      <c r="D933" s="110" t="str">
        <f t="shared" si="9"/>
        <v>2031_2019</v>
      </c>
      <c r="E933" s="1231">
        <v>1.1657305100444699E-2</v>
      </c>
      <c r="F933" s="1232">
        <v>3.8726319311544299E-2</v>
      </c>
      <c r="G933" s="1232">
        <v>1.5151543776924701</v>
      </c>
      <c r="H933" s="1232">
        <v>0.4576264696620887</v>
      </c>
      <c r="I933" s="1232">
        <v>2.77193390781817E-2</v>
      </c>
      <c r="J933" s="1232">
        <v>1.5768269228577615E-4</v>
      </c>
      <c r="K933" s="1232">
        <v>3.0000008603787501E-3</v>
      </c>
      <c r="L933" s="1233">
        <v>2.7950599655925699E-2</v>
      </c>
      <c r="M933" s="1234">
        <v>2.8972684588551699E-2</v>
      </c>
      <c r="N933" s="1235">
        <v>1.6481240392435484E-4</v>
      </c>
    </row>
    <row r="934" spans="1:14" ht="15.5" x14ac:dyDescent="0.35">
      <c r="A934" s="198">
        <v>2031</v>
      </c>
      <c r="B934" s="197" t="s">
        <v>5850</v>
      </c>
      <c r="C934" s="197">
        <v>2020</v>
      </c>
      <c r="D934" s="110" t="str">
        <f t="shared" si="9"/>
        <v>2031_2020</v>
      </c>
      <c r="E934" s="1231">
        <v>1.14251199295027E-2</v>
      </c>
      <c r="F934" s="1232">
        <v>3.4853687380389936E-2</v>
      </c>
      <c r="G934" s="1232">
        <v>1.4903359043523301</v>
      </c>
      <c r="H934" s="1232">
        <v>0.41186382269588151</v>
      </c>
      <c r="I934" s="1232">
        <v>2.6778537459032199E-2</v>
      </c>
      <c r="J934" s="1232">
        <v>1.4191442305719882E-4</v>
      </c>
      <c r="K934" s="1232">
        <v>3.0000008603787501E-3</v>
      </c>
      <c r="L934" s="1233">
        <v>2.7950599655818299E-2</v>
      </c>
      <c r="M934" s="1234">
        <v>2.7989344094929501E-2</v>
      </c>
      <c r="N934" s="1235">
        <v>1.4833116353191964E-4</v>
      </c>
    </row>
    <row r="935" spans="1:14" ht="15.5" x14ac:dyDescent="0.35">
      <c r="A935" s="199">
        <v>2031</v>
      </c>
      <c r="B935" s="110" t="s">
        <v>5850</v>
      </c>
      <c r="C935" s="110">
        <v>2021</v>
      </c>
      <c r="D935" s="110" t="str">
        <f t="shared" si="9"/>
        <v>2031_2021</v>
      </c>
      <c r="E935" s="1231">
        <v>1.1167136406173001E-2</v>
      </c>
      <c r="F935" s="1232">
        <v>3.1368318642351373E-2</v>
      </c>
      <c r="G935" s="1232">
        <v>1.46171569101162</v>
      </c>
      <c r="H935" s="1232">
        <v>0.37067744042629763</v>
      </c>
      <c r="I935" s="1232">
        <v>2.5733202327563799E-2</v>
      </c>
      <c r="J935" s="1232">
        <v>1.2772298075148066E-4</v>
      </c>
      <c r="K935" s="1232">
        <v>3.0000008603787501E-3</v>
      </c>
      <c r="L935" s="1233">
        <v>2.7950599655020999E-2</v>
      </c>
      <c r="M935" s="1234">
        <v>2.6896743547422101E-2</v>
      </c>
      <c r="N935" s="1235">
        <v>1.3349804717872953E-4</v>
      </c>
    </row>
    <row r="936" spans="1:14" ht="15.5" x14ac:dyDescent="0.35">
      <c r="A936" s="199">
        <v>2031</v>
      </c>
      <c r="B936" s="110" t="s">
        <v>5850</v>
      </c>
      <c r="C936" s="110">
        <v>2022</v>
      </c>
      <c r="D936" s="110" t="str">
        <f t="shared" si="9"/>
        <v>2031_2022</v>
      </c>
      <c r="E936" s="1231">
        <v>1.08804880468585E-2</v>
      </c>
      <c r="F936" s="1232">
        <v>2.8231486778115718E-2</v>
      </c>
      <c r="G936" s="1232">
        <v>1.42848394044145</v>
      </c>
      <c r="H936" s="1232">
        <v>0.33360969638366161</v>
      </c>
      <c r="I936" s="1232">
        <v>2.4571718844872501E-2</v>
      </c>
      <c r="J936" s="1232">
        <v>1.1495068267633022E-4</v>
      </c>
      <c r="K936" s="1232">
        <v>3.0000008603787501E-3</v>
      </c>
      <c r="L936" s="1233">
        <v>2.7950599655991198E-2</v>
      </c>
      <c r="M936" s="1234">
        <v>2.5682742935650101E-2</v>
      </c>
      <c r="N936" s="1235">
        <v>1.2014824246085405E-4</v>
      </c>
    </row>
    <row r="937" spans="1:14" ht="15.5" x14ac:dyDescent="0.35">
      <c r="A937" s="199">
        <v>2031</v>
      </c>
      <c r="B937" s="110" t="s">
        <v>5850</v>
      </c>
      <c r="C937" s="110">
        <v>2023</v>
      </c>
      <c r="D937" s="110" t="str">
        <f t="shared" si="9"/>
        <v>2031_2023</v>
      </c>
      <c r="E937" s="1231">
        <v>1.0561989869921001E-2</v>
      </c>
      <c r="F937" s="1232">
        <v>2.5408338100304493E-2</v>
      </c>
      <c r="G937" s="1232">
        <v>1.32785375534201</v>
      </c>
      <c r="H937" s="1232">
        <v>0.30024872674530034</v>
      </c>
      <c r="I937" s="1232">
        <v>2.2241329688422198E-2</v>
      </c>
      <c r="J937" s="1232">
        <v>1.0345561440869886E-4</v>
      </c>
      <c r="K937" s="1232">
        <v>3.0000008603787501E-3</v>
      </c>
      <c r="L937" s="1233">
        <v>2.7950599655886098E-2</v>
      </c>
      <c r="M937" s="1234">
        <v>2.32469839224939E-2</v>
      </c>
      <c r="N937" s="1235">
        <v>1.0813341821477041E-4</v>
      </c>
    </row>
    <row r="938" spans="1:14" ht="15.5" x14ac:dyDescent="0.35">
      <c r="A938" s="199">
        <v>2031</v>
      </c>
      <c r="B938" s="110" t="s">
        <v>5850</v>
      </c>
      <c r="C938" s="110">
        <v>2024</v>
      </c>
      <c r="D938" s="110" t="str">
        <f t="shared" si="9"/>
        <v>2031_2024</v>
      </c>
      <c r="E938" s="1231">
        <v>1.02081030066834E-2</v>
      </c>
      <c r="F938" s="1232">
        <v>2.5408338100304326E-2</v>
      </c>
      <c r="G938" s="1232">
        <v>1.2842073726339001</v>
      </c>
      <c r="H938" s="1232">
        <v>0.30024872674529773</v>
      </c>
      <c r="I938" s="1232">
        <v>2.0807399465485099E-2</v>
      </c>
      <c r="J938" s="1232">
        <v>1.0345561440869755E-4</v>
      </c>
      <c r="K938" s="1232">
        <v>3.0000008603787501E-3</v>
      </c>
      <c r="L938" s="1233">
        <v>2.79505996556936E-2</v>
      </c>
      <c r="M938" s="1234">
        <v>2.1748217737846701E-2</v>
      </c>
      <c r="N938" s="1235">
        <v>1.0813341821476908E-4</v>
      </c>
    </row>
    <row r="939" spans="1:14" ht="15.5" x14ac:dyDescent="0.35">
      <c r="A939" s="199">
        <v>2031</v>
      </c>
      <c r="B939" s="110" t="s">
        <v>5850</v>
      </c>
      <c r="C939" s="110">
        <v>2025</v>
      </c>
      <c r="D939" s="110" t="str">
        <f t="shared" si="9"/>
        <v>2031_2025</v>
      </c>
      <c r="E939" s="1231">
        <v>9.8542161433587492E-3</v>
      </c>
      <c r="F939" s="1232">
        <v>2.5408338100304254E-2</v>
      </c>
      <c r="G939" s="1232">
        <v>1.1220179245605399</v>
      </c>
      <c r="H939" s="1232">
        <v>0.1522955964271735</v>
      </c>
      <c r="I939" s="1232">
        <v>1.93734692418343E-2</v>
      </c>
      <c r="J939" s="1232">
        <v>1.0345561440869791E-4</v>
      </c>
      <c r="K939" s="1232">
        <v>3.0000008603787501E-3</v>
      </c>
      <c r="L939" s="1233">
        <v>2.7950599655839001E-2</v>
      </c>
      <c r="M939" s="1234">
        <v>2.0249451552453501E-2</v>
      </c>
      <c r="N939" s="1235">
        <v>1.0813341821476939E-4</v>
      </c>
    </row>
    <row r="940" spans="1:14" ht="15.5" x14ac:dyDescent="0.35">
      <c r="A940" s="199">
        <v>2031</v>
      </c>
      <c r="B940" s="110" t="s">
        <v>5850</v>
      </c>
      <c r="C940" s="110">
        <v>2026</v>
      </c>
      <c r="D940" s="110" t="str">
        <f t="shared" si="9"/>
        <v>2031_2026</v>
      </c>
      <c r="E940" s="1231">
        <v>9.5003292800812308E-3</v>
      </c>
      <c r="F940" s="1232">
        <v>2.5408338100304233E-2</v>
      </c>
      <c r="G940" s="1232">
        <v>1.07404358429866</v>
      </c>
      <c r="H940" s="1232">
        <v>0.15213396613225935</v>
      </c>
      <c r="I940" s="1232">
        <v>1.7938403040015299E-2</v>
      </c>
      <c r="J940" s="1232">
        <v>1.0345561440869756E-4</v>
      </c>
      <c r="K940" s="1232">
        <v>3.0000008603787501E-3</v>
      </c>
      <c r="L940" s="1233">
        <v>3.0883000201491501E-2</v>
      </c>
      <c r="M940" s="1234">
        <v>1.87494980250002E-2</v>
      </c>
      <c r="N940" s="1235">
        <v>1.0813341821476903E-4</v>
      </c>
    </row>
    <row r="941" spans="1:14" ht="15.5" x14ac:dyDescent="0.35">
      <c r="A941" s="199">
        <v>2031</v>
      </c>
      <c r="B941" s="110" t="s">
        <v>5850</v>
      </c>
      <c r="C941" s="110">
        <v>2027</v>
      </c>
      <c r="D941" s="110" t="str">
        <f t="shared" si="9"/>
        <v>2031_2027</v>
      </c>
      <c r="E941" s="1231">
        <v>9.1464424167968898E-3</v>
      </c>
      <c r="F941" s="1232">
        <v>2.5408338100304149E-2</v>
      </c>
      <c r="G941" s="1232">
        <v>1.0178492663062</v>
      </c>
      <c r="H941" s="1232">
        <v>0.1489394159594474</v>
      </c>
      <c r="I941" s="1232">
        <v>1.6482020711490901E-2</v>
      </c>
      <c r="J941" s="1232">
        <v>1.034556144086972E-4</v>
      </c>
      <c r="K941" s="1232">
        <v>3.0000008603787501E-3</v>
      </c>
      <c r="L941" s="1233">
        <v>3.0883000201486301E-2</v>
      </c>
      <c r="M941" s="1234">
        <v>1.7227264550180799E-2</v>
      </c>
      <c r="N941" s="1235">
        <v>1.0813341821476865E-4</v>
      </c>
    </row>
    <row r="942" spans="1:14" ht="15.5" x14ac:dyDescent="0.35">
      <c r="A942" s="199">
        <v>2031</v>
      </c>
      <c r="B942" s="110" t="s">
        <v>5850</v>
      </c>
      <c r="C942" s="110">
        <v>2028</v>
      </c>
      <c r="D942" s="110" t="str">
        <f t="shared" si="9"/>
        <v>2031_2028</v>
      </c>
      <c r="E942" s="1231">
        <v>8.7925555535100508E-3</v>
      </c>
      <c r="F942" s="1232">
        <v>2.5408338100304285E-2</v>
      </c>
      <c r="G942" s="1232">
        <v>0.837041583136512</v>
      </c>
      <c r="H942" s="1232">
        <v>0.10424703974078407</v>
      </c>
      <c r="I942" s="1232">
        <v>1.49363174052834E-2</v>
      </c>
      <c r="J942" s="1232">
        <v>1.0345561440869802E-4</v>
      </c>
      <c r="K942" s="1232">
        <v>3.0000008603787501E-3</v>
      </c>
      <c r="L942" s="1233">
        <v>3.0883000201498499E-2</v>
      </c>
      <c r="M942" s="1234">
        <v>1.56116713994235E-2</v>
      </c>
      <c r="N942" s="1235">
        <v>1.0813341821476953E-4</v>
      </c>
    </row>
    <row r="943" spans="1:14" ht="15.5" x14ac:dyDescent="0.35">
      <c r="A943" s="199">
        <v>2031</v>
      </c>
      <c r="B943" s="110" t="s">
        <v>5850</v>
      </c>
      <c r="C943" s="110">
        <v>2029</v>
      </c>
      <c r="D943" s="110" t="str">
        <f t="shared" si="9"/>
        <v>2031_2029</v>
      </c>
      <c r="E943" s="1231">
        <v>8.4386686902271808E-3</v>
      </c>
      <c r="F943" s="1232">
        <v>2.5408338100304202E-2</v>
      </c>
      <c r="G943" s="1232">
        <v>0.75820315161727903</v>
      </c>
      <c r="H943" s="1232">
        <v>9.5429419453578801E-2</v>
      </c>
      <c r="I943" s="1232">
        <v>1.3727573840992E-2</v>
      </c>
      <c r="J943" s="1232">
        <v>1.0345561440869768E-4</v>
      </c>
      <c r="K943" s="1232">
        <v>3.0000008603787501E-3</v>
      </c>
      <c r="L943" s="1233">
        <v>3.0883000201498201E-2</v>
      </c>
      <c r="M943" s="1234">
        <v>1.43482738148749E-2</v>
      </c>
      <c r="N943" s="1235">
        <v>1.0813341821476915E-4</v>
      </c>
    </row>
    <row r="944" spans="1:14" ht="15.5" x14ac:dyDescent="0.35">
      <c r="A944" s="199">
        <v>2031</v>
      </c>
      <c r="B944" s="110" t="s">
        <v>5850</v>
      </c>
      <c r="C944" s="110">
        <v>2030</v>
      </c>
      <c r="D944" s="110" t="str">
        <f t="shared" si="9"/>
        <v>2031_2030</v>
      </c>
      <c r="E944" s="1231">
        <v>8.0847818269448399E-3</v>
      </c>
      <c r="F944" s="1232">
        <v>2.5408338100304139E-2</v>
      </c>
      <c r="G944" s="1232">
        <v>0.66528181359926897</v>
      </c>
      <c r="H944" s="1232">
        <v>8.5578515942141081E-2</v>
      </c>
      <c r="I944" s="1232">
        <v>1.2539381359112801E-2</v>
      </c>
      <c r="J944" s="1232">
        <v>1.0345561440869744E-4</v>
      </c>
      <c r="K944" s="1232">
        <v>3.0000008603787501E-3</v>
      </c>
      <c r="L944" s="1233">
        <v>3.0883000201484899E-2</v>
      </c>
      <c r="M944" s="1234">
        <v>1.31063565414912E-2</v>
      </c>
      <c r="N944" s="1235">
        <v>1.081334182147689E-4</v>
      </c>
    </row>
    <row r="945" spans="1:14" ht="15.5" x14ac:dyDescent="0.35">
      <c r="A945" s="199">
        <v>2031</v>
      </c>
      <c r="B945" s="110" t="s">
        <v>5850</v>
      </c>
      <c r="C945" s="110">
        <v>2031</v>
      </c>
      <c r="D945" s="110" t="str">
        <f t="shared" si="9"/>
        <v>2031_2031</v>
      </c>
      <c r="E945" s="1231">
        <v>7.7311559264457803E-3</v>
      </c>
      <c r="F945" s="1232">
        <v>2.5408340119372156E-2</v>
      </c>
      <c r="G945" s="1232">
        <v>0.54872849075281804</v>
      </c>
      <c r="H945" s="1232">
        <v>7.5613624506483762E-2</v>
      </c>
      <c r="I945" s="1232">
        <v>1.1379512483020699E-2</v>
      </c>
      <c r="J945" s="1232">
        <v>1.0345562262977473E-4</v>
      </c>
      <c r="K945" s="1232">
        <v>3.0000008603784001E-3</v>
      </c>
      <c r="L945" s="1233">
        <v>3.0881174623784001E-2</v>
      </c>
      <c r="M945" s="1234">
        <v>1.1894043541664101E-2</v>
      </c>
      <c r="N945" s="1235">
        <v>1.0813342680756674E-4</v>
      </c>
    </row>
    <row r="946" spans="1:14" ht="15.5" x14ac:dyDescent="0.35">
      <c r="A946" s="199">
        <v>2031</v>
      </c>
      <c r="B946" s="110" t="s">
        <v>5850</v>
      </c>
      <c r="C946" s="110">
        <v>2032</v>
      </c>
      <c r="D946" s="110" t="str">
        <f t="shared" si="9"/>
        <v>2031_2032</v>
      </c>
      <c r="E946" s="1231">
        <v>7.3758326092888396E-3</v>
      </c>
      <c r="F946" s="1232">
        <v>6.0979988557337418E-2</v>
      </c>
      <c r="G946" s="1232">
        <v>0.35057461407375101</v>
      </c>
      <c r="H946" s="1232">
        <v>0.18147261629533429</v>
      </c>
      <c r="I946" s="1232">
        <v>1.0147027607465201E-2</v>
      </c>
      <c r="J946" s="1232">
        <v>2.4829338140612762E-4</v>
      </c>
      <c r="K946" s="1232">
        <v>3.0000008603803599E-3</v>
      </c>
      <c r="L946" s="1233">
        <v>3.08916178783149E-2</v>
      </c>
      <c r="M946" s="1234">
        <v>1.06058311691067E-2</v>
      </c>
      <c r="N946" s="1235">
        <v>2.5952010632775065E-4</v>
      </c>
    </row>
    <row r="947" spans="1:14" ht="15.5" x14ac:dyDescent="0.35">
      <c r="A947" s="198">
        <v>2032</v>
      </c>
      <c r="B947" s="197" t="s">
        <v>5850</v>
      </c>
      <c r="C947" s="197">
        <v>1971</v>
      </c>
      <c r="D947" s="110" t="str">
        <f t="shared" si="9"/>
        <v>2032_1971</v>
      </c>
      <c r="E947" s="1226">
        <v>0.12415585180926</v>
      </c>
      <c r="F947" s="1227">
        <v>5.2946093940794761E-2</v>
      </c>
      <c r="G947" s="1227">
        <v>5.1253477698411798</v>
      </c>
      <c r="H947" s="1227">
        <v>0.71105078107160602</v>
      </c>
      <c r="I947" s="1227">
        <v>5.7273976622353999E-2</v>
      </c>
      <c r="J947" s="1227">
        <v>2.1630411659538163E-4</v>
      </c>
      <c r="K947" s="1227">
        <v>3.0000008603787501E-3</v>
      </c>
      <c r="L947" s="1228">
        <v>2.7950601802447302E-2</v>
      </c>
      <c r="M947" s="1229">
        <v>5.9863651695709702E-2</v>
      </c>
      <c r="N947" s="1230">
        <v>2.2608442891252292E-4</v>
      </c>
    </row>
    <row r="948" spans="1:14" ht="15.5" x14ac:dyDescent="0.35">
      <c r="A948" s="198">
        <v>2032</v>
      </c>
      <c r="B948" s="197" t="s">
        <v>5850</v>
      </c>
      <c r="C948" s="197">
        <v>1972</v>
      </c>
      <c r="D948" s="110" t="str">
        <f t="shared" si="9"/>
        <v>2032_1972</v>
      </c>
      <c r="E948" s="1226">
        <v>0.12415585180926</v>
      </c>
      <c r="F948" s="1227">
        <v>5.2946093940794761E-2</v>
      </c>
      <c r="G948" s="1227">
        <v>5.1253477698411798</v>
      </c>
      <c r="H948" s="1227">
        <v>0.71105078107160602</v>
      </c>
      <c r="I948" s="1227">
        <v>5.7273976622353999E-2</v>
      </c>
      <c r="J948" s="1227">
        <v>2.1630411659538163E-4</v>
      </c>
      <c r="K948" s="1227">
        <v>3.0000008603787501E-3</v>
      </c>
      <c r="L948" s="1228">
        <v>2.7950601802447302E-2</v>
      </c>
      <c r="M948" s="1229">
        <v>5.9863651695709702E-2</v>
      </c>
      <c r="N948" s="1230">
        <v>2.2608442891252292E-4</v>
      </c>
    </row>
    <row r="949" spans="1:14" ht="15.5" x14ac:dyDescent="0.35">
      <c r="A949" s="198">
        <v>2032</v>
      </c>
      <c r="B949" s="197" t="s">
        <v>5850</v>
      </c>
      <c r="C949" s="197">
        <v>1973</v>
      </c>
      <c r="D949" s="110" t="str">
        <f t="shared" si="9"/>
        <v>2032_1973</v>
      </c>
      <c r="E949" s="1226">
        <v>0.12415585180926</v>
      </c>
      <c r="F949" s="1227">
        <v>5.2946093940794761E-2</v>
      </c>
      <c r="G949" s="1227">
        <v>5.1253477698411798</v>
      </c>
      <c r="H949" s="1227">
        <v>0.71105078107160602</v>
      </c>
      <c r="I949" s="1227">
        <v>5.7273976622353999E-2</v>
      </c>
      <c r="J949" s="1227">
        <v>2.1630411659538163E-4</v>
      </c>
      <c r="K949" s="1227">
        <v>3.0000008603787501E-3</v>
      </c>
      <c r="L949" s="1228">
        <v>2.7950601802447302E-2</v>
      </c>
      <c r="M949" s="1229">
        <v>5.9863651695709702E-2</v>
      </c>
      <c r="N949" s="1230">
        <v>2.2608442891252292E-4</v>
      </c>
    </row>
    <row r="950" spans="1:14" ht="15.5" x14ac:dyDescent="0.35">
      <c r="A950" s="198">
        <v>2032</v>
      </c>
      <c r="B950" s="197" t="s">
        <v>5850</v>
      </c>
      <c r="C950" s="197">
        <v>1974</v>
      </c>
      <c r="D950" s="110" t="str">
        <f t="shared" si="9"/>
        <v>2032_1974</v>
      </c>
      <c r="E950" s="1226">
        <v>0.12415585180926</v>
      </c>
      <c r="F950" s="1227">
        <v>5.2946093940794761E-2</v>
      </c>
      <c r="G950" s="1227">
        <v>5.1253477698411798</v>
      </c>
      <c r="H950" s="1227">
        <v>0.71105078107160602</v>
      </c>
      <c r="I950" s="1227">
        <v>5.7273976622353999E-2</v>
      </c>
      <c r="J950" s="1227">
        <v>2.1630411659538163E-4</v>
      </c>
      <c r="K950" s="1227">
        <v>3.0000008603787501E-3</v>
      </c>
      <c r="L950" s="1228">
        <v>2.7950601802447302E-2</v>
      </c>
      <c r="M950" s="1229">
        <v>5.9863651695709702E-2</v>
      </c>
      <c r="N950" s="1230">
        <v>2.2608442891252292E-4</v>
      </c>
    </row>
    <row r="951" spans="1:14" ht="15.5" x14ac:dyDescent="0.35">
      <c r="A951" s="198">
        <v>2032</v>
      </c>
      <c r="B951" s="197" t="s">
        <v>5850</v>
      </c>
      <c r="C951" s="197">
        <v>1975</v>
      </c>
      <c r="D951" s="110" t="str">
        <f t="shared" si="9"/>
        <v>2032_1975</v>
      </c>
      <c r="E951" s="1226">
        <v>0.12415585180926</v>
      </c>
      <c r="F951" s="1227">
        <v>5.2946093940794761E-2</v>
      </c>
      <c r="G951" s="1227">
        <v>5.1253477698411798</v>
      </c>
      <c r="H951" s="1227">
        <v>0.71105078107160602</v>
      </c>
      <c r="I951" s="1227">
        <v>5.7273976622353999E-2</v>
      </c>
      <c r="J951" s="1227">
        <v>2.1630411659538163E-4</v>
      </c>
      <c r="K951" s="1227">
        <v>3.0000008603787501E-3</v>
      </c>
      <c r="L951" s="1228">
        <v>2.7950601802447302E-2</v>
      </c>
      <c r="M951" s="1229">
        <v>5.9863651695709702E-2</v>
      </c>
      <c r="N951" s="1230">
        <v>2.2608442891252292E-4</v>
      </c>
    </row>
    <row r="952" spans="1:14" ht="15.5" x14ac:dyDescent="0.35">
      <c r="A952" s="198">
        <v>2032</v>
      </c>
      <c r="B952" s="197" t="s">
        <v>5850</v>
      </c>
      <c r="C952" s="197">
        <v>1976</v>
      </c>
      <c r="D952" s="110" t="str">
        <f t="shared" si="9"/>
        <v>2032_1976</v>
      </c>
      <c r="E952" s="1226">
        <v>0.12415585180926</v>
      </c>
      <c r="F952" s="1227">
        <v>5.2946093940794761E-2</v>
      </c>
      <c r="G952" s="1227">
        <v>5.1253477698411798</v>
      </c>
      <c r="H952" s="1227">
        <v>0.71105078107160602</v>
      </c>
      <c r="I952" s="1227">
        <v>5.7273976622353999E-2</v>
      </c>
      <c r="J952" s="1227">
        <v>2.1630411659538163E-4</v>
      </c>
      <c r="K952" s="1227">
        <v>3.0000008603787501E-3</v>
      </c>
      <c r="L952" s="1228">
        <v>2.7950601802447302E-2</v>
      </c>
      <c r="M952" s="1229">
        <v>5.9863651695709702E-2</v>
      </c>
      <c r="N952" s="1230">
        <v>2.2608442891252292E-4</v>
      </c>
    </row>
    <row r="953" spans="1:14" ht="15.5" x14ac:dyDescent="0.35">
      <c r="A953" s="198">
        <v>2032</v>
      </c>
      <c r="B953" s="197" t="s">
        <v>5850</v>
      </c>
      <c r="C953" s="197">
        <v>1977</v>
      </c>
      <c r="D953" s="110" t="str">
        <f t="shared" si="9"/>
        <v>2032_1977</v>
      </c>
      <c r="E953" s="1226">
        <v>0.12415585180926</v>
      </c>
      <c r="F953" s="1227">
        <v>5.2946093940794761E-2</v>
      </c>
      <c r="G953" s="1227">
        <v>5.1253477698411798</v>
      </c>
      <c r="H953" s="1227">
        <v>0.71105078107160602</v>
      </c>
      <c r="I953" s="1227">
        <v>5.7273976622353999E-2</v>
      </c>
      <c r="J953" s="1227">
        <v>2.1630411659538163E-4</v>
      </c>
      <c r="K953" s="1227">
        <v>3.0000008603787501E-3</v>
      </c>
      <c r="L953" s="1228">
        <v>2.7950601802447302E-2</v>
      </c>
      <c r="M953" s="1229">
        <v>5.9863651695709702E-2</v>
      </c>
      <c r="N953" s="1230">
        <v>2.2608442891252292E-4</v>
      </c>
    </row>
    <row r="954" spans="1:14" ht="15.5" x14ac:dyDescent="0.35">
      <c r="A954" s="198">
        <v>2032</v>
      </c>
      <c r="B954" s="197" t="s">
        <v>5850</v>
      </c>
      <c r="C954" s="197">
        <v>1978</v>
      </c>
      <c r="D954" s="110" t="str">
        <f t="shared" si="9"/>
        <v>2032_1978</v>
      </c>
      <c r="E954" s="1226">
        <v>0.12415585180926</v>
      </c>
      <c r="F954" s="1227">
        <v>5.2946093940794761E-2</v>
      </c>
      <c r="G954" s="1227">
        <v>5.1253477698411798</v>
      </c>
      <c r="H954" s="1227">
        <v>0.71105078107160602</v>
      </c>
      <c r="I954" s="1227">
        <v>5.7273976622353999E-2</v>
      </c>
      <c r="J954" s="1227">
        <v>2.1630411659538163E-4</v>
      </c>
      <c r="K954" s="1227">
        <v>3.0000008603787501E-3</v>
      </c>
      <c r="L954" s="1228">
        <v>2.7950601802447302E-2</v>
      </c>
      <c r="M954" s="1229">
        <v>5.9863651695709702E-2</v>
      </c>
      <c r="N954" s="1230">
        <v>2.2608442891252292E-4</v>
      </c>
    </row>
    <row r="955" spans="1:14" ht="15.5" x14ac:dyDescent="0.35">
      <c r="A955" s="198">
        <v>2032</v>
      </c>
      <c r="B955" s="197" t="s">
        <v>5850</v>
      </c>
      <c r="C955" s="197">
        <v>1979</v>
      </c>
      <c r="D955" s="110" t="str">
        <f t="shared" si="9"/>
        <v>2032_1979</v>
      </c>
      <c r="E955" s="1226">
        <v>0.12415585180926</v>
      </c>
      <c r="F955" s="1227">
        <v>5.2946093940794761E-2</v>
      </c>
      <c r="G955" s="1227">
        <v>5.1253477698411798</v>
      </c>
      <c r="H955" s="1227">
        <v>0.71105078107160602</v>
      </c>
      <c r="I955" s="1227">
        <v>5.7273976622353999E-2</v>
      </c>
      <c r="J955" s="1227">
        <v>2.1630411659538163E-4</v>
      </c>
      <c r="K955" s="1227">
        <v>3.0000008603787501E-3</v>
      </c>
      <c r="L955" s="1228">
        <v>2.7950601802447302E-2</v>
      </c>
      <c r="M955" s="1229">
        <v>5.9863651695709702E-2</v>
      </c>
      <c r="N955" s="1230">
        <v>2.2608442891252292E-4</v>
      </c>
    </row>
    <row r="956" spans="1:14" ht="15.5" x14ac:dyDescent="0.35">
      <c r="A956" s="198">
        <v>2032</v>
      </c>
      <c r="B956" s="197" t="s">
        <v>5850</v>
      </c>
      <c r="C956" s="197">
        <v>1980</v>
      </c>
      <c r="D956" s="110" t="str">
        <f t="shared" si="9"/>
        <v>2032_1980</v>
      </c>
      <c r="E956" s="1226">
        <v>0.12415585180926</v>
      </c>
      <c r="F956" s="1227">
        <v>5.2946093940794761E-2</v>
      </c>
      <c r="G956" s="1227">
        <v>5.1253477698411798</v>
      </c>
      <c r="H956" s="1227">
        <v>0.71105078107160602</v>
      </c>
      <c r="I956" s="1227">
        <v>5.7273976622353999E-2</v>
      </c>
      <c r="J956" s="1227">
        <v>2.1630411659538163E-4</v>
      </c>
      <c r="K956" s="1227">
        <v>3.0000008603787501E-3</v>
      </c>
      <c r="L956" s="1228">
        <v>2.7950601802447302E-2</v>
      </c>
      <c r="M956" s="1229">
        <v>5.9863651695709702E-2</v>
      </c>
      <c r="N956" s="1230">
        <v>2.2608442891252292E-4</v>
      </c>
    </row>
    <row r="957" spans="1:14" ht="15.5" x14ac:dyDescent="0.35">
      <c r="A957" s="198">
        <v>2032</v>
      </c>
      <c r="B957" s="197" t="s">
        <v>5850</v>
      </c>
      <c r="C957" s="197">
        <v>1981</v>
      </c>
      <c r="D957" s="110" t="str">
        <f t="shared" si="9"/>
        <v>2032_1981</v>
      </c>
      <c r="E957" s="1226">
        <v>0.12415585180926</v>
      </c>
      <c r="F957" s="1227">
        <v>5.2946093940794761E-2</v>
      </c>
      <c r="G957" s="1227">
        <v>5.1253477698411798</v>
      </c>
      <c r="H957" s="1227">
        <v>0.71105078107160602</v>
      </c>
      <c r="I957" s="1227">
        <v>5.7273976622353999E-2</v>
      </c>
      <c r="J957" s="1227">
        <v>2.1630411659538163E-4</v>
      </c>
      <c r="K957" s="1227">
        <v>3.0000008603787501E-3</v>
      </c>
      <c r="L957" s="1228">
        <v>2.7950601802447302E-2</v>
      </c>
      <c r="M957" s="1229">
        <v>5.9863651695709702E-2</v>
      </c>
      <c r="N957" s="1230">
        <v>2.2608442891252292E-4</v>
      </c>
    </row>
    <row r="958" spans="1:14" ht="15.5" x14ac:dyDescent="0.35">
      <c r="A958" s="198">
        <v>2032</v>
      </c>
      <c r="B958" s="197" t="s">
        <v>5850</v>
      </c>
      <c r="C958" s="197">
        <v>1982</v>
      </c>
      <c r="D958" s="110" t="str">
        <f t="shared" si="9"/>
        <v>2032_1982</v>
      </c>
      <c r="E958" s="1226">
        <v>0.12415585180926</v>
      </c>
      <c r="F958" s="1227">
        <v>5.2946093940794761E-2</v>
      </c>
      <c r="G958" s="1227">
        <v>5.1253477698411798</v>
      </c>
      <c r="H958" s="1227">
        <v>0.71105078107160602</v>
      </c>
      <c r="I958" s="1227">
        <v>5.7273976622353999E-2</v>
      </c>
      <c r="J958" s="1227">
        <v>2.1630411659538163E-4</v>
      </c>
      <c r="K958" s="1227">
        <v>3.0000008603787501E-3</v>
      </c>
      <c r="L958" s="1228">
        <v>2.7950601802447302E-2</v>
      </c>
      <c r="M958" s="1229">
        <v>5.9863651695709702E-2</v>
      </c>
      <c r="N958" s="1230">
        <v>2.2608442891252292E-4</v>
      </c>
    </row>
    <row r="959" spans="1:14" ht="15.5" x14ac:dyDescent="0.35">
      <c r="A959" s="198">
        <v>2032</v>
      </c>
      <c r="B959" s="197" t="s">
        <v>5850</v>
      </c>
      <c r="C959" s="197">
        <v>1983</v>
      </c>
      <c r="D959" s="110" t="str">
        <f t="shared" si="9"/>
        <v>2032_1983</v>
      </c>
      <c r="E959" s="1226">
        <v>0.12415585180926</v>
      </c>
      <c r="F959" s="1227">
        <v>5.2946093940794761E-2</v>
      </c>
      <c r="G959" s="1227">
        <v>5.1253477698411798</v>
      </c>
      <c r="H959" s="1227">
        <v>0.71105078107160602</v>
      </c>
      <c r="I959" s="1227">
        <v>5.7273976622353999E-2</v>
      </c>
      <c r="J959" s="1227">
        <v>2.1630411659538163E-4</v>
      </c>
      <c r="K959" s="1227">
        <v>3.0000008603787501E-3</v>
      </c>
      <c r="L959" s="1228">
        <v>2.7950601802447302E-2</v>
      </c>
      <c r="M959" s="1229">
        <v>5.9863651695709702E-2</v>
      </c>
      <c r="N959" s="1230">
        <v>2.2608442891252292E-4</v>
      </c>
    </row>
    <row r="960" spans="1:14" ht="15.5" x14ac:dyDescent="0.35">
      <c r="A960" s="198">
        <v>2032</v>
      </c>
      <c r="B960" s="197" t="s">
        <v>5850</v>
      </c>
      <c r="C960" s="197">
        <v>1984</v>
      </c>
      <c r="D960" s="110" t="str">
        <f t="shared" si="9"/>
        <v>2032_1984</v>
      </c>
      <c r="E960" s="1226">
        <v>0.12415585180926</v>
      </c>
      <c r="F960" s="1227">
        <v>5.2946093940794761E-2</v>
      </c>
      <c r="G960" s="1227">
        <v>5.1253477698411798</v>
      </c>
      <c r="H960" s="1227">
        <v>0.71105078107160602</v>
      </c>
      <c r="I960" s="1227">
        <v>5.7273976622353999E-2</v>
      </c>
      <c r="J960" s="1227">
        <v>2.1630411659538163E-4</v>
      </c>
      <c r="K960" s="1227">
        <v>3.0000008603787501E-3</v>
      </c>
      <c r="L960" s="1228">
        <v>2.7950601802447302E-2</v>
      </c>
      <c r="M960" s="1229">
        <v>5.9863651695709702E-2</v>
      </c>
      <c r="N960" s="1230">
        <v>2.2608442891252292E-4</v>
      </c>
    </row>
    <row r="961" spans="1:14" ht="15.5" x14ac:dyDescent="0.35">
      <c r="A961" s="198">
        <v>2032</v>
      </c>
      <c r="B961" s="197" t="s">
        <v>5850</v>
      </c>
      <c r="C961" s="197">
        <v>1985</v>
      </c>
      <c r="D961" s="110" t="str">
        <f t="shared" si="9"/>
        <v>2032_1985</v>
      </c>
      <c r="E961" s="1226">
        <v>0.12415585180926</v>
      </c>
      <c r="F961" s="1227">
        <v>5.2946093940794761E-2</v>
      </c>
      <c r="G961" s="1227">
        <v>5.1253477698411798</v>
      </c>
      <c r="H961" s="1227">
        <v>0.71105078107160602</v>
      </c>
      <c r="I961" s="1227">
        <v>5.7273976622353999E-2</v>
      </c>
      <c r="J961" s="1227">
        <v>2.1630411659538163E-4</v>
      </c>
      <c r="K961" s="1227">
        <v>3.0000008603787501E-3</v>
      </c>
      <c r="L961" s="1228">
        <v>2.7950601802447302E-2</v>
      </c>
      <c r="M961" s="1229">
        <v>5.9863651695709702E-2</v>
      </c>
      <c r="N961" s="1230">
        <v>2.2608442891252292E-4</v>
      </c>
    </row>
    <row r="962" spans="1:14" ht="15.5" x14ac:dyDescent="0.35">
      <c r="A962" s="198">
        <v>2032</v>
      </c>
      <c r="B962" s="197" t="s">
        <v>5850</v>
      </c>
      <c r="C962" s="197">
        <v>1986</v>
      </c>
      <c r="D962" s="110" t="str">
        <f t="shared" si="9"/>
        <v>2032_1986</v>
      </c>
      <c r="E962" s="1226">
        <v>0.12415585180926</v>
      </c>
      <c r="F962" s="1227">
        <v>5.2946093940794761E-2</v>
      </c>
      <c r="G962" s="1227">
        <v>5.1253477698411798</v>
      </c>
      <c r="H962" s="1227">
        <v>0.71105078107160602</v>
      </c>
      <c r="I962" s="1227">
        <v>5.7273976622353999E-2</v>
      </c>
      <c r="J962" s="1227">
        <v>2.1630411659538163E-4</v>
      </c>
      <c r="K962" s="1227">
        <v>3.0000008603787501E-3</v>
      </c>
      <c r="L962" s="1228">
        <v>2.7950601802447302E-2</v>
      </c>
      <c r="M962" s="1229">
        <v>5.9863651695709702E-2</v>
      </c>
      <c r="N962" s="1230">
        <v>2.2608442891252292E-4</v>
      </c>
    </row>
    <row r="963" spans="1:14" ht="15.5" x14ac:dyDescent="0.35">
      <c r="A963" s="198">
        <v>2032</v>
      </c>
      <c r="B963" s="197" t="s">
        <v>5850</v>
      </c>
      <c r="C963" s="197">
        <v>1987</v>
      </c>
      <c r="D963" s="110" t="str">
        <f t="shared" si="9"/>
        <v>2032_1987</v>
      </c>
      <c r="E963" s="1226">
        <v>0.12415585180926</v>
      </c>
      <c r="F963" s="1227">
        <v>5.2946093940794761E-2</v>
      </c>
      <c r="G963" s="1227">
        <v>5.1253477698411798</v>
      </c>
      <c r="H963" s="1227">
        <v>0.71105078107160602</v>
      </c>
      <c r="I963" s="1227">
        <v>5.7273976622353999E-2</v>
      </c>
      <c r="J963" s="1227">
        <v>2.1630411659538163E-4</v>
      </c>
      <c r="K963" s="1227">
        <v>3.0000008603787501E-3</v>
      </c>
      <c r="L963" s="1228">
        <v>2.7950601802447302E-2</v>
      </c>
      <c r="M963" s="1229">
        <v>5.9863651695709702E-2</v>
      </c>
      <c r="N963" s="1230">
        <v>2.2608442891252292E-4</v>
      </c>
    </row>
    <row r="964" spans="1:14" ht="15.5" x14ac:dyDescent="0.35">
      <c r="A964" s="198">
        <v>2032</v>
      </c>
      <c r="B964" s="197" t="s">
        <v>5850</v>
      </c>
      <c r="C964" s="197">
        <v>1988</v>
      </c>
      <c r="D964" s="110" t="str">
        <f t="shared" si="9"/>
        <v>2032_1988</v>
      </c>
      <c r="E964" s="1226">
        <v>0.12415585180926</v>
      </c>
      <c r="F964" s="1227">
        <v>5.2946093940794761E-2</v>
      </c>
      <c r="G964" s="1227">
        <v>5.1253477698411798</v>
      </c>
      <c r="H964" s="1227">
        <v>0.71105078107160602</v>
      </c>
      <c r="I964" s="1227">
        <v>5.7273976622353999E-2</v>
      </c>
      <c r="J964" s="1227">
        <v>2.1630411659538163E-4</v>
      </c>
      <c r="K964" s="1227">
        <v>3.0000008603787501E-3</v>
      </c>
      <c r="L964" s="1228">
        <v>2.7950601802447302E-2</v>
      </c>
      <c r="M964" s="1229">
        <v>5.9863651695709702E-2</v>
      </c>
      <c r="N964" s="1230">
        <v>2.2608442891252292E-4</v>
      </c>
    </row>
    <row r="965" spans="1:14" ht="15.5" x14ac:dyDescent="0.35">
      <c r="A965" s="198">
        <v>2032</v>
      </c>
      <c r="B965" s="197" t="s">
        <v>5850</v>
      </c>
      <c r="C965" s="197">
        <v>1989</v>
      </c>
      <c r="D965" s="110" t="str">
        <f t="shared" si="9"/>
        <v>2032_1989</v>
      </c>
      <c r="E965" s="1226">
        <v>0.12415585180926</v>
      </c>
      <c r="F965" s="1227">
        <v>5.2946093940794761E-2</v>
      </c>
      <c r="G965" s="1227">
        <v>5.1253477698411798</v>
      </c>
      <c r="H965" s="1227">
        <v>0.71105078107160602</v>
      </c>
      <c r="I965" s="1227">
        <v>5.7273976622353999E-2</v>
      </c>
      <c r="J965" s="1227">
        <v>2.1630411659538163E-4</v>
      </c>
      <c r="K965" s="1227">
        <v>3.0000008603787501E-3</v>
      </c>
      <c r="L965" s="1228">
        <v>2.7950601802447302E-2</v>
      </c>
      <c r="M965" s="1229">
        <v>5.9863651695709702E-2</v>
      </c>
      <c r="N965" s="1230">
        <v>2.2608442891252292E-4</v>
      </c>
    </row>
    <row r="966" spans="1:14" ht="15.5" x14ac:dyDescent="0.35">
      <c r="A966" s="198">
        <v>2032</v>
      </c>
      <c r="B966" s="197" t="s">
        <v>5850</v>
      </c>
      <c r="C966" s="197">
        <v>1990</v>
      </c>
      <c r="D966" s="110" t="str">
        <f t="shared" si="9"/>
        <v>2032_1990</v>
      </c>
      <c r="E966" s="1226">
        <v>0.12415585180926</v>
      </c>
      <c r="F966" s="1227">
        <v>5.2946093940794761E-2</v>
      </c>
      <c r="G966" s="1227">
        <v>5.1253477698411798</v>
      </c>
      <c r="H966" s="1227">
        <v>0.71105078107160602</v>
      </c>
      <c r="I966" s="1227">
        <v>5.7273976622353999E-2</v>
      </c>
      <c r="J966" s="1227">
        <v>2.1630411659538163E-4</v>
      </c>
      <c r="K966" s="1227">
        <v>3.0000008603787501E-3</v>
      </c>
      <c r="L966" s="1228">
        <v>2.7950601802447302E-2</v>
      </c>
      <c r="M966" s="1229">
        <v>5.9863651695709702E-2</v>
      </c>
      <c r="N966" s="1230">
        <v>2.2608442891252292E-4</v>
      </c>
    </row>
    <row r="967" spans="1:14" ht="15.5" x14ac:dyDescent="0.35">
      <c r="A967" s="198">
        <v>2032</v>
      </c>
      <c r="B967" s="197" t="s">
        <v>5850</v>
      </c>
      <c r="C967" s="197">
        <v>1991</v>
      </c>
      <c r="D967" s="110" t="str">
        <f t="shared" si="9"/>
        <v>2032_1991</v>
      </c>
      <c r="E967" s="1226">
        <v>0.12415585180926</v>
      </c>
      <c r="F967" s="1227">
        <v>5.2946093940794761E-2</v>
      </c>
      <c r="G967" s="1227">
        <v>5.1253477698411798</v>
      </c>
      <c r="H967" s="1227">
        <v>0.71105078107160602</v>
      </c>
      <c r="I967" s="1227">
        <v>5.7273976622353999E-2</v>
      </c>
      <c r="J967" s="1227">
        <v>2.1630411659538163E-4</v>
      </c>
      <c r="K967" s="1227">
        <v>3.0000008603787501E-3</v>
      </c>
      <c r="L967" s="1228">
        <v>2.7950601802447302E-2</v>
      </c>
      <c r="M967" s="1229">
        <v>5.9863651695709702E-2</v>
      </c>
      <c r="N967" s="1230">
        <v>2.2608442891252292E-4</v>
      </c>
    </row>
    <row r="968" spans="1:14" ht="15.5" x14ac:dyDescent="0.35">
      <c r="A968" s="198">
        <v>2032</v>
      </c>
      <c r="B968" s="197" t="s">
        <v>5850</v>
      </c>
      <c r="C968" s="197">
        <v>1992</v>
      </c>
      <c r="D968" s="110" t="str">
        <f t="shared" si="9"/>
        <v>2032_1992</v>
      </c>
      <c r="E968" s="1226">
        <v>0.12415585180926</v>
      </c>
      <c r="F968" s="1227">
        <v>5.2946093940794761E-2</v>
      </c>
      <c r="G968" s="1227">
        <v>5.1253477698411798</v>
      </c>
      <c r="H968" s="1227">
        <v>0.71105078107160602</v>
      </c>
      <c r="I968" s="1227">
        <v>5.7273976622353999E-2</v>
      </c>
      <c r="J968" s="1227">
        <v>2.1630411659538163E-4</v>
      </c>
      <c r="K968" s="1227">
        <v>3.0000008603787501E-3</v>
      </c>
      <c r="L968" s="1228">
        <v>2.7950601802447302E-2</v>
      </c>
      <c r="M968" s="1229">
        <v>5.9863651695709702E-2</v>
      </c>
      <c r="N968" s="1230">
        <v>2.2608442891252292E-4</v>
      </c>
    </row>
    <row r="969" spans="1:14" ht="15.5" x14ac:dyDescent="0.35">
      <c r="A969" s="198">
        <v>2032</v>
      </c>
      <c r="B969" s="197" t="s">
        <v>5850</v>
      </c>
      <c r="C969" s="197">
        <v>1993</v>
      </c>
      <c r="D969" s="110" t="str">
        <f t="shared" si="9"/>
        <v>2032_1993</v>
      </c>
      <c r="E969" s="1226">
        <v>0.12415585180926</v>
      </c>
      <c r="F969" s="1227">
        <v>5.2946093940794761E-2</v>
      </c>
      <c r="G969" s="1227">
        <v>5.1253477698411798</v>
      </c>
      <c r="H969" s="1227">
        <v>0.71105078107160602</v>
      </c>
      <c r="I969" s="1227">
        <v>5.7273976622353999E-2</v>
      </c>
      <c r="J969" s="1227">
        <v>2.1630411659538163E-4</v>
      </c>
      <c r="K969" s="1227">
        <v>3.0000008603787501E-3</v>
      </c>
      <c r="L969" s="1228">
        <v>2.7950601802447302E-2</v>
      </c>
      <c r="M969" s="1229">
        <v>5.9863651695709702E-2</v>
      </c>
      <c r="N969" s="1230">
        <v>2.2608442891252292E-4</v>
      </c>
    </row>
    <row r="970" spans="1:14" ht="15.5" x14ac:dyDescent="0.35">
      <c r="A970" s="198">
        <v>2032</v>
      </c>
      <c r="B970" s="197" t="s">
        <v>5850</v>
      </c>
      <c r="C970" s="197">
        <v>1994</v>
      </c>
      <c r="D970" s="110" t="str">
        <f t="shared" si="9"/>
        <v>2032_1994</v>
      </c>
      <c r="E970" s="1226">
        <v>0.12415585180926</v>
      </c>
      <c r="F970" s="1227">
        <v>5.2946093940794761E-2</v>
      </c>
      <c r="G970" s="1227">
        <v>5.1253477698411798</v>
      </c>
      <c r="H970" s="1227">
        <v>0.71105078107160602</v>
      </c>
      <c r="I970" s="1227">
        <v>5.7273976622353999E-2</v>
      </c>
      <c r="J970" s="1227">
        <v>2.1630411659538163E-4</v>
      </c>
      <c r="K970" s="1227">
        <v>3.0000008603787501E-3</v>
      </c>
      <c r="L970" s="1228">
        <v>2.7950601802447302E-2</v>
      </c>
      <c r="M970" s="1229">
        <v>5.9863651695709702E-2</v>
      </c>
      <c r="N970" s="1230">
        <v>2.2608442891252292E-4</v>
      </c>
    </row>
    <row r="971" spans="1:14" ht="15.5" x14ac:dyDescent="0.35">
      <c r="A971" s="198">
        <v>2032</v>
      </c>
      <c r="B971" s="197" t="s">
        <v>5850</v>
      </c>
      <c r="C971" s="197">
        <v>1995</v>
      </c>
      <c r="D971" s="110" t="str">
        <f t="shared" si="9"/>
        <v>2032_1995</v>
      </c>
      <c r="E971" s="1226">
        <v>0.12415585180926</v>
      </c>
      <c r="F971" s="1227">
        <v>5.2946093940794761E-2</v>
      </c>
      <c r="G971" s="1227">
        <v>5.1253477698411798</v>
      </c>
      <c r="H971" s="1227">
        <v>0.71105078107160602</v>
      </c>
      <c r="I971" s="1227">
        <v>5.7273976622353999E-2</v>
      </c>
      <c r="J971" s="1227">
        <v>2.1630411659538163E-4</v>
      </c>
      <c r="K971" s="1227">
        <v>3.0000008603787501E-3</v>
      </c>
      <c r="L971" s="1228">
        <v>2.7950601802447302E-2</v>
      </c>
      <c r="M971" s="1229">
        <v>5.9863651695709702E-2</v>
      </c>
      <c r="N971" s="1230">
        <v>2.2608442891252292E-4</v>
      </c>
    </row>
    <row r="972" spans="1:14" ht="15.5" x14ac:dyDescent="0.35">
      <c r="A972" s="198">
        <v>2032</v>
      </c>
      <c r="B972" s="197" t="s">
        <v>5850</v>
      </c>
      <c r="C972" s="197">
        <v>1996</v>
      </c>
      <c r="D972" s="110" t="str">
        <f t="shared" si="9"/>
        <v>2032_1996</v>
      </c>
      <c r="E972" s="1226">
        <v>0.12415585180926</v>
      </c>
      <c r="F972" s="1227">
        <v>5.2946093940794761E-2</v>
      </c>
      <c r="G972" s="1227">
        <v>5.1253477698411798</v>
      </c>
      <c r="H972" s="1227">
        <v>0.71105078107160602</v>
      </c>
      <c r="I972" s="1227">
        <v>5.7273976622353999E-2</v>
      </c>
      <c r="J972" s="1227">
        <v>2.1630411659538163E-4</v>
      </c>
      <c r="K972" s="1227">
        <v>3.0000008603787501E-3</v>
      </c>
      <c r="L972" s="1228">
        <v>2.7950601802447302E-2</v>
      </c>
      <c r="M972" s="1229">
        <v>5.9863651695709702E-2</v>
      </c>
      <c r="N972" s="1230">
        <v>2.2608442891252292E-4</v>
      </c>
    </row>
    <row r="973" spans="1:14" ht="15.5" x14ac:dyDescent="0.35">
      <c r="A973" s="198">
        <v>2032</v>
      </c>
      <c r="B973" s="197" t="s">
        <v>5850</v>
      </c>
      <c r="C973" s="197">
        <v>1997</v>
      </c>
      <c r="D973" s="110" t="str">
        <f t="shared" si="9"/>
        <v>2032_1997</v>
      </c>
      <c r="E973" s="1226">
        <v>0.12415585180926</v>
      </c>
      <c r="F973" s="1227">
        <v>5.2946093940794761E-2</v>
      </c>
      <c r="G973" s="1227">
        <v>5.1253477698411798</v>
      </c>
      <c r="H973" s="1227">
        <v>0.71105078107160602</v>
      </c>
      <c r="I973" s="1227">
        <v>5.7273976622353999E-2</v>
      </c>
      <c r="J973" s="1227">
        <v>2.1630411659538163E-4</v>
      </c>
      <c r="K973" s="1227">
        <v>3.0000008603787501E-3</v>
      </c>
      <c r="L973" s="1228">
        <v>2.7950601802447302E-2</v>
      </c>
      <c r="M973" s="1229">
        <v>5.9863651695709702E-2</v>
      </c>
      <c r="N973" s="1230">
        <v>2.2608442891252292E-4</v>
      </c>
    </row>
    <row r="974" spans="1:14" ht="15.5" x14ac:dyDescent="0.35">
      <c r="A974" s="198">
        <v>2032</v>
      </c>
      <c r="B974" s="197" t="s">
        <v>5850</v>
      </c>
      <c r="C974" s="197">
        <v>1998</v>
      </c>
      <c r="D974" s="110" t="str">
        <f t="shared" si="9"/>
        <v>2032_1998</v>
      </c>
      <c r="E974" s="1226">
        <v>0.12415585180926</v>
      </c>
      <c r="F974" s="1227">
        <v>5.2946093940794761E-2</v>
      </c>
      <c r="G974" s="1227">
        <v>5.1253477698411798</v>
      </c>
      <c r="H974" s="1227">
        <v>0.71105078107160602</v>
      </c>
      <c r="I974" s="1227">
        <v>5.7273976622353999E-2</v>
      </c>
      <c r="J974" s="1227">
        <v>2.1630411659538163E-4</v>
      </c>
      <c r="K974" s="1227">
        <v>3.0000008603787501E-3</v>
      </c>
      <c r="L974" s="1228">
        <v>2.7950601802447302E-2</v>
      </c>
      <c r="M974" s="1229">
        <v>5.9863651695709702E-2</v>
      </c>
      <c r="N974" s="1230">
        <v>2.2608442891252292E-4</v>
      </c>
    </row>
    <row r="975" spans="1:14" ht="15.5" x14ac:dyDescent="0.35">
      <c r="A975" s="198">
        <v>2032</v>
      </c>
      <c r="B975" s="197" t="s">
        <v>5850</v>
      </c>
      <c r="C975" s="197">
        <v>1999</v>
      </c>
      <c r="D975" s="110" t="str">
        <f t="shared" si="9"/>
        <v>2032_1999</v>
      </c>
      <c r="E975" s="1226">
        <v>0.12415585180926</v>
      </c>
      <c r="F975" s="1227">
        <v>5.2946093940794761E-2</v>
      </c>
      <c r="G975" s="1227">
        <v>5.1253477698411798</v>
      </c>
      <c r="H975" s="1227">
        <v>0.71105078107160602</v>
      </c>
      <c r="I975" s="1227">
        <v>5.7273976622353999E-2</v>
      </c>
      <c r="J975" s="1227">
        <v>2.1630411659538163E-4</v>
      </c>
      <c r="K975" s="1227">
        <v>3.0000008603787501E-3</v>
      </c>
      <c r="L975" s="1228">
        <v>2.7950601802447302E-2</v>
      </c>
      <c r="M975" s="1229">
        <v>5.9863651695709702E-2</v>
      </c>
      <c r="N975" s="1230">
        <v>2.2608442891252292E-4</v>
      </c>
    </row>
    <row r="976" spans="1:14" ht="15.5" x14ac:dyDescent="0.35">
      <c r="A976" s="198">
        <v>2032</v>
      </c>
      <c r="B976" s="197" t="s">
        <v>5850</v>
      </c>
      <c r="C976" s="197">
        <v>2000</v>
      </c>
      <c r="D976" s="110" t="str">
        <f t="shared" si="9"/>
        <v>2032_2000</v>
      </c>
      <c r="E976" s="1226">
        <v>0.12415585180926</v>
      </c>
      <c r="F976" s="1227">
        <v>5.2946093940794761E-2</v>
      </c>
      <c r="G976" s="1227">
        <v>5.1253477698411798</v>
      </c>
      <c r="H976" s="1227">
        <v>0.71105078107160602</v>
      </c>
      <c r="I976" s="1227">
        <v>5.7273976622353999E-2</v>
      </c>
      <c r="J976" s="1227">
        <v>2.1630411659538163E-4</v>
      </c>
      <c r="K976" s="1227">
        <v>3.0000008603787501E-3</v>
      </c>
      <c r="L976" s="1228">
        <v>2.7950601802447302E-2</v>
      </c>
      <c r="M976" s="1229">
        <v>5.9863651695709702E-2</v>
      </c>
      <c r="N976" s="1230">
        <v>2.2608442891252292E-4</v>
      </c>
    </row>
    <row r="977" spans="1:14" ht="15.5" x14ac:dyDescent="0.35">
      <c r="A977" s="198">
        <v>2032</v>
      </c>
      <c r="B977" s="197" t="s">
        <v>5850</v>
      </c>
      <c r="C977" s="197">
        <v>2001</v>
      </c>
      <c r="D977" s="110" t="str">
        <f t="shared" si="9"/>
        <v>2032_2001</v>
      </c>
      <c r="E977" s="1226">
        <v>0.12415585180926</v>
      </c>
      <c r="F977" s="1227">
        <v>5.2946093940794761E-2</v>
      </c>
      <c r="G977" s="1227">
        <v>5.1253477698411798</v>
      </c>
      <c r="H977" s="1227">
        <v>0.71105078107160602</v>
      </c>
      <c r="I977" s="1227">
        <v>5.7273976622353999E-2</v>
      </c>
      <c r="J977" s="1227">
        <v>2.1630411659538163E-4</v>
      </c>
      <c r="K977" s="1227">
        <v>3.0000008603787501E-3</v>
      </c>
      <c r="L977" s="1228">
        <v>2.7950601802447302E-2</v>
      </c>
      <c r="M977" s="1229">
        <v>5.9863651695709702E-2</v>
      </c>
      <c r="N977" s="1230">
        <v>2.2608442891252292E-4</v>
      </c>
    </row>
    <row r="978" spans="1:14" ht="15.5" x14ac:dyDescent="0.35">
      <c r="A978" s="198">
        <v>2032</v>
      </c>
      <c r="B978" s="197" t="s">
        <v>5850</v>
      </c>
      <c r="C978" s="197">
        <v>2002</v>
      </c>
      <c r="D978" s="110" t="str">
        <f t="shared" si="9"/>
        <v>2032_2002</v>
      </c>
      <c r="E978" s="1226">
        <v>0.12415585180926</v>
      </c>
      <c r="F978" s="1227">
        <v>5.2946093940794761E-2</v>
      </c>
      <c r="G978" s="1227">
        <v>5.1253477698411798</v>
      </c>
      <c r="H978" s="1227">
        <v>0.71105078107160602</v>
      </c>
      <c r="I978" s="1227">
        <v>5.7273976622353999E-2</v>
      </c>
      <c r="J978" s="1227">
        <v>2.1630411659538163E-4</v>
      </c>
      <c r="K978" s="1227">
        <v>3.0000008603787501E-3</v>
      </c>
      <c r="L978" s="1228">
        <v>2.7950601802447302E-2</v>
      </c>
      <c r="M978" s="1229">
        <v>5.9863651695709702E-2</v>
      </c>
      <c r="N978" s="1230">
        <v>2.2608442891252292E-4</v>
      </c>
    </row>
    <row r="979" spans="1:14" ht="15.5" x14ac:dyDescent="0.35">
      <c r="A979" s="198">
        <v>2032</v>
      </c>
      <c r="B979" s="197" t="s">
        <v>5850</v>
      </c>
      <c r="C979" s="197">
        <v>2003</v>
      </c>
      <c r="D979" s="110" t="str">
        <f t="shared" si="9"/>
        <v>2032_2003</v>
      </c>
      <c r="E979" s="1226">
        <v>0.12415585180926</v>
      </c>
      <c r="F979" s="1227">
        <v>5.2946093940794761E-2</v>
      </c>
      <c r="G979" s="1227">
        <v>5.1253477698411798</v>
      </c>
      <c r="H979" s="1227">
        <v>0.71105078107160602</v>
      </c>
      <c r="I979" s="1227">
        <v>5.7273976622353999E-2</v>
      </c>
      <c r="J979" s="1227">
        <v>2.1630411659538163E-4</v>
      </c>
      <c r="K979" s="1227">
        <v>3.0000008603787501E-3</v>
      </c>
      <c r="L979" s="1228">
        <v>2.7950601802447302E-2</v>
      </c>
      <c r="M979" s="1229">
        <v>5.9863651695709702E-2</v>
      </c>
      <c r="N979" s="1230">
        <v>2.2608442891252292E-4</v>
      </c>
    </row>
    <row r="980" spans="1:14" ht="15.5" x14ac:dyDescent="0.35">
      <c r="A980" s="198">
        <v>2032</v>
      </c>
      <c r="B980" s="197" t="s">
        <v>5850</v>
      </c>
      <c r="C980" s="197">
        <v>2004</v>
      </c>
      <c r="D980" s="110" t="str">
        <f t="shared" si="9"/>
        <v>2032_2004</v>
      </c>
      <c r="E980" s="1226">
        <v>0.12415585180926</v>
      </c>
      <c r="F980" s="1227">
        <v>5.2946093940794761E-2</v>
      </c>
      <c r="G980" s="1227">
        <v>5.1253477698411798</v>
      </c>
      <c r="H980" s="1227">
        <v>0.71105078107160602</v>
      </c>
      <c r="I980" s="1227">
        <v>5.7273976622353999E-2</v>
      </c>
      <c r="J980" s="1227">
        <v>2.1630411659538163E-4</v>
      </c>
      <c r="K980" s="1227">
        <v>3.0000008603787501E-3</v>
      </c>
      <c r="L980" s="1228">
        <v>2.7950601802447302E-2</v>
      </c>
      <c r="M980" s="1229">
        <v>5.9863651695709702E-2</v>
      </c>
      <c r="N980" s="1230">
        <v>2.2608442891252292E-4</v>
      </c>
    </row>
    <row r="981" spans="1:14" ht="15.5" x14ac:dyDescent="0.35">
      <c r="A981" s="198">
        <v>2032</v>
      </c>
      <c r="B981" s="197" t="s">
        <v>5850</v>
      </c>
      <c r="C981" s="197">
        <v>2005</v>
      </c>
      <c r="D981" s="110" t="str">
        <f t="shared" si="9"/>
        <v>2032_2005</v>
      </c>
      <c r="E981" s="1226">
        <v>0.12415585180926</v>
      </c>
      <c r="F981" s="1227">
        <v>5.2946093940794761E-2</v>
      </c>
      <c r="G981" s="1227">
        <v>5.1253477698411798</v>
      </c>
      <c r="H981" s="1227">
        <v>0.71105078107160602</v>
      </c>
      <c r="I981" s="1227">
        <v>5.7273976622353999E-2</v>
      </c>
      <c r="J981" s="1227">
        <v>2.1630411659538163E-4</v>
      </c>
      <c r="K981" s="1227">
        <v>3.0000008603787501E-3</v>
      </c>
      <c r="L981" s="1228">
        <v>2.7950601802447302E-2</v>
      </c>
      <c r="M981" s="1229">
        <v>5.9863651695709702E-2</v>
      </c>
      <c r="N981" s="1230">
        <v>2.2608442891252292E-4</v>
      </c>
    </row>
    <row r="982" spans="1:14" ht="15.5" x14ac:dyDescent="0.35">
      <c r="A982" s="198">
        <v>2032</v>
      </c>
      <c r="B982" s="197" t="s">
        <v>5850</v>
      </c>
      <c r="C982" s="197">
        <v>2006</v>
      </c>
      <c r="D982" s="110" t="str">
        <f t="shared" si="9"/>
        <v>2032_2006</v>
      </c>
      <c r="E982" s="1226">
        <v>0.12415585180926</v>
      </c>
      <c r="F982" s="1227">
        <v>5.2946093940794761E-2</v>
      </c>
      <c r="G982" s="1227">
        <v>5.1253477698411798</v>
      </c>
      <c r="H982" s="1227">
        <v>0.71105078107160602</v>
      </c>
      <c r="I982" s="1227">
        <v>5.7273976622353999E-2</v>
      </c>
      <c r="J982" s="1227">
        <v>2.1630411659538163E-4</v>
      </c>
      <c r="K982" s="1227">
        <v>3.0000008603787501E-3</v>
      </c>
      <c r="L982" s="1228">
        <v>2.7950601802447302E-2</v>
      </c>
      <c r="M982" s="1229">
        <v>5.9863651695709702E-2</v>
      </c>
      <c r="N982" s="1230">
        <v>2.2608442891252292E-4</v>
      </c>
    </row>
    <row r="983" spans="1:14" ht="15.5" x14ac:dyDescent="0.35">
      <c r="A983" s="198">
        <v>2032</v>
      </c>
      <c r="B983" s="197" t="s">
        <v>5850</v>
      </c>
      <c r="C983" s="197">
        <v>2007</v>
      </c>
      <c r="D983" s="110" t="str">
        <f t="shared" si="9"/>
        <v>2032_2007</v>
      </c>
      <c r="E983" s="1226">
        <v>0.12415585180926</v>
      </c>
      <c r="F983" s="1227">
        <v>5.2946093940794761E-2</v>
      </c>
      <c r="G983" s="1227">
        <v>5.1253477698411798</v>
      </c>
      <c r="H983" s="1227">
        <v>0.71105078107160602</v>
      </c>
      <c r="I983" s="1227">
        <v>5.7273976622353999E-2</v>
      </c>
      <c r="J983" s="1227">
        <v>2.1630411659538163E-4</v>
      </c>
      <c r="K983" s="1227">
        <v>3.0000008603787501E-3</v>
      </c>
      <c r="L983" s="1228">
        <v>2.7950601802447302E-2</v>
      </c>
      <c r="M983" s="1229">
        <v>5.9863651695709702E-2</v>
      </c>
      <c r="N983" s="1230">
        <v>2.2608442891252292E-4</v>
      </c>
    </row>
    <row r="984" spans="1:14" ht="15.5" x14ac:dyDescent="0.35">
      <c r="A984" s="198">
        <v>2032</v>
      </c>
      <c r="B984" s="197" t="s">
        <v>5850</v>
      </c>
      <c r="C984" s="197">
        <v>2008</v>
      </c>
      <c r="D984" s="110" t="str">
        <f t="shared" si="9"/>
        <v>2032_2008</v>
      </c>
      <c r="E984" s="1226">
        <v>0.12415585180926</v>
      </c>
      <c r="F984" s="1227">
        <v>5.2946093940794761E-2</v>
      </c>
      <c r="G984" s="1227">
        <v>5.1253477698411798</v>
      </c>
      <c r="H984" s="1227">
        <v>0.71105078107160602</v>
      </c>
      <c r="I984" s="1227">
        <v>5.7273976622353999E-2</v>
      </c>
      <c r="J984" s="1227">
        <v>2.1630411659538163E-4</v>
      </c>
      <c r="K984" s="1227">
        <v>3.0000008603787501E-3</v>
      </c>
      <c r="L984" s="1228">
        <v>2.7950601802447302E-2</v>
      </c>
      <c r="M984" s="1229">
        <v>5.9863651695709702E-2</v>
      </c>
      <c r="N984" s="1230">
        <v>2.2608442891252292E-4</v>
      </c>
    </row>
    <row r="985" spans="1:14" ht="15.5" x14ac:dyDescent="0.35">
      <c r="A985" s="198">
        <v>2032</v>
      </c>
      <c r="B985" s="197" t="s">
        <v>5850</v>
      </c>
      <c r="C985" s="197">
        <v>2009</v>
      </c>
      <c r="D985" s="110" t="str">
        <f t="shared" si="9"/>
        <v>2032_2009</v>
      </c>
      <c r="E985" s="1226">
        <v>0.12415585180926</v>
      </c>
      <c r="F985" s="1227">
        <v>5.2946093940794761E-2</v>
      </c>
      <c r="G985" s="1227">
        <v>5.1253477698411798</v>
      </c>
      <c r="H985" s="1227">
        <v>0.71105078107160602</v>
      </c>
      <c r="I985" s="1227">
        <v>5.7273976622353999E-2</v>
      </c>
      <c r="J985" s="1227">
        <v>2.1630411659538163E-4</v>
      </c>
      <c r="K985" s="1227">
        <v>3.0000008603787501E-3</v>
      </c>
      <c r="L985" s="1228">
        <v>2.7950601802447302E-2</v>
      </c>
      <c r="M985" s="1229">
        <v>5.9863651695709702E-2</v>
      </c>
      <c r="N985" s="1230">
        <v>2.2608442891252292E-4</v>
      </c>
    </row>
    <row r="986" spans="1:14" ht="15.5" x14ac:dyDescent="0.35">
      <c r="A986" s="198">
        <v>2032</v>
      </c>
      <c r="B986" s="197" t="s">
        <v>5850</v>
      </c>
      <c r="C986" s="197">
        <v>2010</v>
      </c>
      <c r="D986" s="110" t="str">
        <f t="shared" si="9"/>
        <v>2032_2010</v>
      </c>
      <c r="E986" s="1226">
        <v>0.12415585180926</v>
      </c>
      <c r="F986" s="1227">
        <v>5.2946093940794761E-2</v>
      </c>
      <c r="G986" s="1227">
        <v>5.1253477698411798</v>
      </c>
      <c r="H986" s="1227">
        <v>0.71105078107160602</v>
      </c>
      <c r="I986" s="1227">
        <v>5.7273976622353999E-2</v>
      </c>
      <c r="J986" s="1227">
        <v>2.1630411659538163E-4</v>
      </c>
      <c r="K986" s="1227">
        <v>3.0000008603787501E-3</v>
      </c>
      <c r="L986" s="1228">
        <v>2.7950601802447302E-2</v>
      </c>
      <c r="M986" s="1229">
        <v>5.9863651695709702E-2</v>
      </c>
      <c r="N986" s="1230">
        <v>2.2608442891252292E-4</v>
      </c>
    </row>
    <row r="987" spans="1:14" ht="15.5" x14ac:dyDescent="0.35">
      <c r="A987" s="198">
        <v>2032</v>
      </c>
      <c r="B987" s="197" t="s">
        <v>5850</v>
      </c>
      <c r="C987" s="197">
        <v>2011</v>
      </c>
      <c r="D987" s="110" t="str">
        <f t="shared" si="9"/>
        <v>2032_2011</v>
      </c>
      <c r="E987" s="1231">
        <v>0.12415585180926</v>
      </c>
      <c r="F987" s="1232">
        <v>5.2946093940794761E-2</v>
      </c>
      <c r="G987" s="1232">
        <v>5.1253477698411798</v>
      </c>
      <c r="H987" s="1232">
        <v>0.71105078107160602</v>
      </c>
      <c r="I987" s="1232">
        <v>5.7273976622353999E-2</v>
      </c>
      <c r="J987" s="1232">
        <v>2.1630411659538163E-4</v>
      </c>
      <c r="K987" s="1232">
        <v>3.0000008603787501E-3</v>
      </c>
      <c r="L987" s="1233">
        <v>2.7950601802447302E-2</v>
      </c>
      <c r="M987" s="1234">
        <v>5.9863651695709702E-2</v>
      </c>
      <c r="N987" s="1235">
        <v>2.2608442891252292E-4</v>
      </c>
    </row>
    <row r="988" spans="1:14" ht="15.5" x14ac:dyDescent="0.35">
      <c r="A988" s="198">
        <v>2032</v>
      </c>
      <c r="B988" s="197" t="s">
        <v>5850</v>
      </c>
      <c r="C988" s="197">
        <v>2012</v>
      </c>
      <c r="D988" s="110" t="str">
        <f t="shared" si="9"/>
        <v>2032_2012</v>
      </c>
      <c r="E988" s="1231">
        <v>2.5042813906734601E-2</v>
      </c>
      <c r="F988" s="1232">
        <v>5.3123536681456418E-2</v>
      </c>
      <c r="G988" s="1232">
        <v>4.4685886989890102</v>
      </c>
      <c r="H988" s="1232">
        <v>0.62775747811004612</v>
      </c>
      <c r="I988" s="1232">
        <v>3.3227370037718397E-2</v>
      </c>
      <c r="J988" s="1232">
        <v>2.1630411659538104E-4</v>
      </c>
      <c r="K988" s="1232">
        <v>3.0000008603787501E-3</v>
      </c>
      <c r="L988" s="1233">
        <v>2.79506018025737E-2</v>
      </c>
      <c r="M988" s="1234">
        <v>3.4729764266553199E-2</v>
      </c>
      <c r="N988" s="1235">
        <v>2.2608442891252229E-4</v>
      </c>
    </row>
    <row r="989" spans="1:14" ht="15.5" x14ac:dyDescent="0.35">
      <c r="A989" s="198">
        <v>2032</v>
      </c>
      <c r="B989" s="197" t="s">
        <v>5850</v>
      </c>
      <c r="C989" s="197">
        <v>2013</v>
      </c>
      <c r="D989" s="110" t="str">
        <f t="shared" si="9"/>
        <v>2032_2013</v>
      </c>
      <c r="E989" s="1231">
        <v>2.4725667556947099E-2</v>
      </c>
      <c r="F989" s="1232">
        <v>5.3123536681456481E-2</v>
      </c>
      <c r="G989" s="1232">
        <v>4.2165640610649104</v>
      </c>
      <c r="H989" s="1232">
        <v>0.62775747811004678</v>
      </c>
      <c r="I989" s="1232">
        <v>3.2312337978874901E-2</v>
      </c>
      <c r="J989" s="1232">
        <v>2.1630411659538128E-4</v>
      </c>
      <c r="K989" s="1232">
        <v>3.0000008603787501E-3</v>
      </c>
      <c r="L989" s="1233">
        <v>2.7950601802562001E-2</v>
      </c>
      <c r="M989" s="1234">
        <v>3.3773358518403497E-2</v>
      </c>
      <c r="N989" s="1235">
        <v>2.2608442891252256E-4</v>
      </c>
    </row>
    <row r="990" spans="1:14" ht="15.5" x14ac:dyDescent="0.35">
      <c r="A990" s="199">
        <v>2032</v>
      </c>
      <c r="B990" s="110" t="s">
        <v>5850</v>
      </c>
      <c r="C990" s="110">
        <v>2014</v>
      </c>
      <c r="D990" s="110" t="str">
        <f t="shared" si="9"/>
        <v>2032_2014</v>
      </c>
      <c r="E990" s="1231">
        <v>1.2162506430060199E-2</v>
      </c>
      <c r="F990" s="1232">
        <v>5.3123536681456564E-2</v>
      </c>
      <c r="G990" s="1232">
        <v>1.5872020052101301</v>
      </c>
      <c r="H990" s="1232">
        <v>0.62775747811004645</v>
      </c>
      <c r="I990" s="1232">
        <v>3.7582224153115601E-2</v>
      </c>
      <c r="J990" s="1232">
        <v>2.1630411659538163E-4</v>
      </c>
      <c r="K990" s="1232">
        <v>3.0000008603787501E-3</v>
      </c>
      <c r="L990" s="1233">
        <v>2.79506018024556E-2</v>
      </c>
      <c r="M990" s="1234">
        <v>3.9281525560669703E-2</v>
      </c>
      <c r="N990" s="1235">
        <v>2.2608442891252292E-4</v>
      </c>
    </row>
    <row r="991" spans="1:14" ht="15.5" x14ac:dyDescent="0.35">
      <c r="A991" s="199">
        <v>2032</v>
      </c>
      <c r="B991" s="110" t="s">
        <v>5850</v>
      </c>
      <c r="C991" s="110">
        <v>2015</v>
      </c>
      <c r="D991" s="110" t="str">
        <f t="shared" si="9"/>
        <v>2032_2015</v>
      </c>
      <c r="E991" s="1231">
        <v>1.21625064300679E-2</v>
      </c>
      <c r="F991" s="1232">
        <v>5.3123536681456883E-2</v>
      </c>
      <c r="G991" s="1232">
        <v>1.5872020052106699</v>
      </c>
      <c r="H991" s="1232">
        <v>0.62775747811005145</v>
      </c>
      <c r="I991" s="1232">
        <v>3.75822241530347E-2</v>
      </c>
      <c r="J991" s="1232">
        <v>2.1630411659538293E-4</v>
      </c>
      <c r="K991" s="1232">
        <v>3.0000008603787501E-3</v>
      </c>
      <c r="L991" s="1233">
        <v>2.7950601802480299E-2</v>
      </c>
      <c r="M991" s="1234">
        <v>3.9281525560585097E-2</v>
      </c>
      <c r="N991" s="1235">
        <v>2.2608442891252427E-4</v>
      </c>
    </row>
    <row r="992" spans="1:14" ht="15.5" x14ac:dyDescent="0.35">
      <c r="A992" s="199">
        <v>2032</v>
      </c>
      <c r="B992" s="110" t="s">
        <v>5850</v>
      </c>
      <c r="C992" s="110">
        <v>2016</v>
      </c>
      <c r="D992" s="110" t="str">
        <f t="shared" si="9"/>
        <v>2032_2016</v>
      </c>
      <c r="E992" s="1231">
        <v>1.21614656809586E-2</v>
      </c>
      <c r="F992" s="1232">
        <v>5.3123536681456404E-2</v>
      </c>
      <c r="G992" s="1232">
        <v>1.58710083554756</v>
      </c>
      <c r="H992" s="1232">
        <v>0.62775747811004456</v>
      </c>
      <c r="I992" s="1232">
        <v>3.7576959754787601E-2</v>
      </c>
      <c r="J992" s="1232">
        <v>2.1630411659538098E-4</v>
      </c>
      <c r="K992" s="1232">
        <v>3.0000008603787501E-3</v>
      </c>
      <c r="L992" s="1233">
        <v>2.7950601802495301E-2</v>
      </c>
      <c r="M992" s="1234">
        <v>3.9276023129609698E-2</v>
      </c>
      <c r="N992" s="1235">
        <v>2.2608442891252224E-4</v>
      </c>
    </row>
    <row r="993" spans="1:14" ht="15.5" x14ac:dyDescent="0.35">
      <c r="A993" s="199">
        <v>2032</v>
      </c>
      <c r="B993" s="110" t="s">
        <v>5850</v>
      </c>
      <c r="C993" s="110">
        <v>2017</v>
      </c>
      <c r="D993" s="110" t="str">
        <f t="shared" si="9"/>
        <v>2032_2017</v>
      </c>
      <c r="E993" s="1231">
        <v>1.22236041987627E-2</v>
      </c>
      <c r="F993" s="1232">
        <v>5.3123536681456356E-2</v>
      </c>
      <c r="G993" s="1232">
        <v>1.5724092216216099</v>
      </c>
      <c r="H993" s="1232">
        <v>0.62775747811004401</v>
      </c>
      <c r="I993" s="1232">
        <v>3.00139480982216E-2</v>
      </c>
      <c r="J993" s="1232">
        <v>2.1630411659538082E-4</v>
      </c>
      <c r="K993" s="1232">
        <v>3.0000008603787501E-3</v>
      </c>
      <c r="L993" s="1233">
        <v>2.7950601802507701E-2</v>
      </c>
      <c r="M993" s="1234">
        <v>3.1371045646300999E-2</v>
      </c>
      <c r="N993" s="1235">
        <v>2.2608442891252205E-4</v>
      </c>
    </row>
    <row r="994" spans="1:14" ht="15.5" x14ac:dyDescent="0.35">
      <c r="A994" s="199">
        <v>2032</v>
      </c>
      <c r="B994" s="110" t="s">
        <v>5850</v>
      </c>
      <c r="C994" s="110">
        <v>2018</v>
      </c>
      <c r="D994" s="110" t="str">
        <f t="shared" si="9"/>
        <v>2032_2018</v>
      </c>
      <c r="E994" s="1231">
        <v>1.20543412165133E-2</v>
      </c>
      <c r="F994" s="1232">
        <v>4.7811183013311026E-2</v>
      </c>
      <c r="G994" s="1232">
        <v>1.5557479043207301</v>
      </c>
      <c r="H994" s="1232">
        <v>0.5649817302990443</v>
      </c>
      <c r="I994" s="1232">
        <v>2.93281038579223E-2</v>
      </c>
      <c r="J994" s="1232">
        <v>1.9467370493584394E-4</v>
      </c>
      <c r="K994" s="1232">
        <v>3.0000008603787501E-3</v>
      </c>
      <c r="L994" s="1233">
        <v>2.7950601802412E-2</v>
      </c>
      <c r="M994" s="1234">
        <v>3.06541905728442E-2</v>
      </c>
      <c r="N994" s="1235">
        <v>2.0347598602127111E-4</v>
      </c>
    </row>
    <row r="995" spans="1:14" ht="15.5" x14ac:dyDescent="0.35">
      <c r="A995" s="199">
        <v>2032</v>
      </c>
      <c r="B995" s="110" t="s">
        <v>5850</v>
      </c>
      <c r="C995" s="110">
        <v>2019</v>
      </c>
      <c r="D995" s="110" t="str">
        <f t="shared" si="9"/>
        <v>2032_2019</v>
      </c>
      <c r="E995" s="1231">
        <v>1.18662712361421E-2</v>
      </c>
      <c r="F995" s="1232">
        <v>4.3030064711979621E-2</v>
      </c>
      <c r="G995" s="1232">
        <v>1.53679459340367</v>
      </c>
      <c r="H995" s="1232">
        <v>0.5084835572691363</v>
      </c>
      <c r="I995" s="1232">
        <v>2.8566054701126199E-2</v>
      </c>
      <c r="J995" s="1232">
        <v>1.7520633444225833E-4</v>
      </c>
      <c r="K995" s="1232">
        <v>3.0000008603787501E-3</v>
      </c>
      <c r="L995" s="1233">
        <v>2.7950601802610199E-2</v>
      </c>
      <c r="M995" s="1234">
        <v>2.98576849347208E-2</v>
      </c>
      <c r="N995" s="1235">
        <v>1.831283874191427E-4</v>
      </c>
    </row>
    <row r="996" spans="1:14" ht="15.5" x14ac:dyDescent="0.35">
      <c r="A996" s="199">
        <v>2032</v>
      </c>
      <c r="B996" s="110" t="s">
        <v>5850</v>
      </c>
      <c r="C996" s="110">
        <v>2020</v>
      </c>
      <c r="D996" s="110" t="str">
        <f t="shared" si="9"/>
        <v>2032_2020</v>
      </c>
      <c r="E996" s="1231">
        <v>1.1657304591426901E-2</v>
      </c>
      <c r="F996" s="1232">
        <v>3.8727058240781993E-2</v>
      </c>
      <c r="G996" s="1232">
        <v>1.5151544215308399</v>
      </c>
      <c r="H996" s="1232">
        <v>0.45763520154222553</v>
      </c>
      <c r="I996" s="1232">
        <v>2.7719333416885199E-2</v>
      </c>
      <c r="J996" s="1232">
        <v>1.5768570099803346E-4</v>
      </c>
      <c r="K996" s="1232">
        <v>3.0000008603787501E-3</v>
      </c>
      <c r="L996" s="1233">
        <v>2.7950601802502799E-2</v>
      </c>
      <c r="M996" s="1234">
        <v>2.8972678671276501E-2</v>
      </c>
      <c r="N996" s="1235">
        <v>1.6481554867722948E-4</v>
      </c>
    </row>
    <row r="997" spans="1:14" ht="15.5" x14ac:dyDescent="0.35">
      <c r="A997" s="199">
        <v>2032</v>
      </c>
      <c r="B997" s="110" t="s">
        <v>5850</v>
      </c>
      <c r="C997" s="110">
        <v>2021</v>
      </c>
      <c r="D997" s="110" t="str">
        <f t="shared" si="9"/>
        <v>2032_2021</v>
      </c>
      <c r="E997" s="1231">
        <v>1.1425119430570301E-2</v>
      </c>
      <c r="F997" s="1232">
        <v>3.4854352416704495E-2</v>
      </c>
      <c r="G997" s="1232">
        <v>1.4903359474261</v>
      </c>
      <c r="H997" s="1232">
        <v>0.41187168138801233</v>
      </c>
      <c r="I997" s="1232">
        <v>2.6778531990912499E-2</v>
      </c>
      <c r="J997" s="1232">
        <v>1.4191713089823334E-4</v>
      </c>
      <c r="K997" s="1232">
        <v>3.0000008603787501E-3</v>
      </c>
      <c r="L997" s="1233">
        <v>2.7950601801705399E-2</v>
      </c>
      <c r="M997" s="1234">
        <v>2.7989338379565701E-2</v>
      </c>
      <c r="N997" s="1235">
        <v>1.4833399380950987E-4</v>
      </c>
    </row>
    <row r="998" spans="1:14" ht="15.5" x14ac:dyDescent="0.35">
      <c r="A998" s="199">
        <v>2032</v>
      </c>
      <c r="B998" s="110" t="s">
        <v>5850</v>
      </c>
      <c r="C998" s="110">
        <v>2022</v>
      </c>
      <c r="D998" s="110" t="str">
        <f t="shared" si="9"/>
        <v>2032_2022</v>
      </c>
      <c r="E998" s="1231">
        <v>1.1167135918446701E-2</v>
      </c>
      <c r="F998" s="1232">
        <v>3.1368917175033074E-2</v>
      </c>
      <c r="G998" s="1232">
        <v>1.4617157333465101</v>
      </c>
      <c r="H998" s="1232">
        <v>0.37068451324919882</v>
      </c>
      <c r="I998" s="1232">
        <v>2.5733197069746899E-2</v>
      </c>
      <c r="J998" s="1232">
        <v>1.2772541780840525E-4</v>
      </c>
      <c r="K998" s="1232">
        <v>3.0000008603787501E-3</v>
      </c>
      <c r="L998" s="1233">
        <v>2.7950601802675602E-2</v>
      </c>
      <c r="M998" s="1234">
        <v>2.6896738051870001E-2</v>
      </c>
      <c r="N998" s="1235">
        <v>1.3350059442855398E-4</v>
      </c>
    </row>
    <row r="999" spans="1:14" ht="15.5" x14ac:dyDescent="0.35">
      <c r="A999" s="199">
        <v>2032</v>
      </c>
      <c r="B999" s="110" t="s">
        <v>5850</v>
      </c>
      <c r="C999" s="110">
        <v>2023</v>
      </c>
      <c r="D999" s="110" t="str">
        <f t="shared" si="9"/>
        <v>2032_2023</v>
      </c>
      <c r="E999" s="1231">
        <v>1.0880487571723199E-2</v>
      </c>
      <c r="F999" s="1232">
        <v>2.823202545753014E-2</v>
      </c>
      <c r="G999" s="1232">
        <v>1.3646857934074601</v>
      </c>
      <c r="H999" s="1232">
        <v>0.33361606192428317</v>
      </c>
      <c r="I999" s="1232">
        <v>2.35318620830306E-2</v>
      </c>
      <c r="J999" s="1232">
        <v>1.1495287602756664E-4</v>
      </c>
      <c r="K999" s="1232">
        <v>3.0000008603787501E-3</v>
      </c>
      <c r="L999" s="1233">
        <v>2.7950601802570502E-2</v>
      </c>
      <c r="M999" s="1234">
        <v>2.4595868465333799E-2</v>
      </c>
      <c r="N999" s="1235">
        <v>1.2015053498570055E-4</v>
      </c>
    </row>
    <row r="1000" spans="1:14" ht="15.5" x14ac:dyDescent="0.35">
      <c r="A1000" s="199">
        <v>2032</v>
      </c>
      <c r="B1000" s="110" t="s">
        <v>5850</v>
      </c>
      <c r="C1000" s="110">
        <v>2024</v>
      </c>
      <c r="D1000" s="110" t="str">
        <f t="shared" si="9"/>
        <v>2032_2024</v>
      </c>
      <c r="E1000" s="1231">
        <v>1.0561989408724499E-2</v>
      </c>
      <c r="F1000" s="1232">
        <v>2.5408822911776957E-2</v>
      </c>
      <c r="G1000" s="1232">
        <v>1.3278537937563599</v>
      </c>
      <c r="H1000" s="1232">
        <v>0.30025445573185294</v>
      </c>
      <c r="I1000" s="1232">
        <v>2.2241325146046698E-2</v>
      </c>
      <c r="J1000" s="1232">
        <v>1.0345758842480932E-4</v>
      </c>
      <c r="K1000" s="1232">
        <v>3.0000008603787501E-3</v>
      </c>
      <c r="L1000" s="1233">
        <v>2.79506018023781E-2</v>
      </c>
      <c r="M1000" s="1234">
        <v>2.3246979174732299E-2</v>
      </c>
      <c r="N1000" s="1235">
        <v>1.081354814871298E-4</v>
      </c>
    </row>
    <row r="1001" spans="1:14" ht="15.5" x14ac:dyDescent="0.35">
      <c r="A1001" s="199">
        <v>2032</v>
      </c>
      <c r="B1001" s="110" t="s">
        <v>5850</v>
      </c>
      <c r="C1001" s="110">
        <v>2025</v>
      </c>
      <c r="D1001" s="110" t="str">
        <f t="shared" si="9"/>
        <v>2032_2025</v>
      </c>
      <c r="E1001" s="1231">
        <v>1.02081025608527E-2</v>
      </c>
      <c r="F1001" s="1232">
        <v>2.5408822911776985E-2</v>
      </c>
      <c r="G1001" s="1232">
        <v>1.1658795418876</v>
      </c>
      <c r="H1001" s="1232">
        <v>0.1522985023493201</v>
      </c>
      <c r="I1001" s="1232">
        <v>2.0807395215255001E-2</v>
      </c>
      <c r="J1001" s="1232">
        <v>1.0345758842480969E-4</v>
      </c>
      <c r="K1001" s="1232">
        <v>3.0000008603787501E-3</v>
      </c>
      <c r="L1001" s="1233">
        <v>2.7950601802523501E-2</v>
      </c>
      <c r="M1001" s="1234">
        <v>2.1748213295440001E-2</v>
      </c>
      <c r="N1001" s="1235">
        <v>1.0813548148713019E-4</v>
      </c>
    </row>
    <row r="1002" spans="1:14" ht="15.5" x14ac:dyDescent="0.35">
      <c r="A1002" s="199">
        <v>2032</v>
      </c>
      <c r="B1002" s="110" t="s">
        <v>5850</v>
      </c>
      <c r="C1002" s="110">
        <v>2026</v>
      </c>
      <c r="D1002" s="110" t="str">
        <f t="shared" si="9"/>
        <v>2032_2026</v>
      </c>
      <c r="E1002" s="1231">
        <v>9.8542157130297892E-3</v>
      </c>
      <c r="F1002" s="1232">
        <v>2.540882291177685E-2</v>
      </c>
      <c r="G1002" s="1232">
        <v>1.1220179570222999</v>
      </c>
      <c r="H1002" s="1232">
        <v>0.1522985023493193</v>
      </c>
      <c r="I1002" s="1232">
        <v>1.9373465284841698E-2</v>
      </c>
      <c r="J1002" s="1232">
        <v>1.0345758842480849E-4</v>
      </c>
      <c r="K1002" s="1232">
        <v>3.0000008603787501E-3</v>
      </c>
      <c r="L1002" s="1233">
        <v>3.0883002563358498E-2</v>
      </c>
      <c r="M1002" s="1234">
        <v>2.02494474165432E-2</v>
      </c>
      <c r="N1002" s="1235">
        <v>1.0813548148712959E-4</v>
      </c>
    </row>
    <row r="1003" spans="1:14" ht="15.5" x14ac:dyDescent="0.35">
      <c r="A1003" s="199">
        <v>2032</v>
      </c>
      <c r="B1003" s="110" t="s">
        <v>5850</v>
      </c>
      <c r="C1003" s="110">
        <v>2027</v>
      </c>
      <c r="D1003" s="110" t="str">
        <f t="shared" si="9"/>
        <v>2032_2027</v>
      </c>
      <c r="E1003" s="1231">
        <v>9.5003288651997492E-3</v>
      </c>
      <c r="F1003" s="1232">
        <v>2.5408822911776915E-2</v>
      </c>
      <c r="G1003" s="1232">
        <v>1.0740436153722499</v>
      </c>
      <c r="H1003" s="1232">
        <v>0.15213686897037065</v>
      </c>
      <c r="I1003" s="1232">
        <v>1.79383993760962E-2</v>
      </c>
      <c r="J1003" s="1232">
        <v>1.0345758842480916E-4</v>
      </c>
      <c r="K1003" s="1232">
        <v>3.0000008603787501E-3</v>
      </c>
      <c r="L1003" s="1233">
        <v>3.0883002563353301E-2</v>
      </c>
      <c r="M1003" s="1234">
        <v>1.8749494195414999E-2</v>
      </c>
      <c r="N1003" s="1235">
        <v>1.0813548148712962E-4</v>
      </c>
    </row>
    <row r="1004" spans="1:14" ht="15.5" x14ac:dyDescent="0.35">
      <c r="A1004" s="198">
        <v>2032</v>
      </c>
      <c r="B1004" s="197" t="s">
        <v>5850</v>
      </c>
      <c r="C1004" s="197">
        <v>2028</v>
      </c>
      <c r="D1004" s="110" t="str">
        <f t="shared" si="9"/>
        <v>2032_2028</v>
      </c>
      <c r="E1004" s="1231">
        <v>9.1464420173671297E-3</v>
      </c>
      <c r="F1004" s="1232">
        <v>2.5408822911777023E-2</v>
      </c>
      <c r="G1004" s="1232">
        <v>0.90491149709131502</v>
      </c>
      <c r="H1004" s="1232">
        <v>0.11111420837076073</v>
      </c>
      <c r="I1004" s="1232">
        <v>1.6154640498190601E-2</v>
      </c>
      <c r="J1004" s="1232">
        <v>1.0345758842480957E-4</v>
      </c>
      <c r="K1004" s="1232">
        <v>3.0000008603787501E-3</v>
      </c>
      <c r="L1004" s="1233">
        <v>3.08830025633656E-2</v>
      </c>
      <c r="M1004" s="1234">
        <v>1.68850816563632E-2</v>
      </c>
      <c r="N1004" s="1235">
        <v>1.0813548148713005E-4</v>
      </c>
    </row>
    <row r="1005" spans="1:14" ht="15.5" x14ac:dyDescent="0.35">
      <c r="A1005" s="198">
        <v>2032</v>
      </c>
      <c r="B1005" s="197" t="s">
        <v>5850</v>
      </c>
      <c r="C1005" s="197">
        <v>2029</v>
      </c>
      <c r="D1005" s="110" t="str">
        <f t="shared" si="9"/>
        <v>2032_2029</v>
      </c>
      <c r="E1005" s="1231">
        <v>8.7925551695386302E-3</v>
      </c>
      <c r="F1005" s="1232">
        <v>2.5408822911776843E-2</v>
      </c>
      <c r="G1005" s="1232">
        <v>0.83704160735358302</v>
      </c>
      <c r="H1005" s="1232">
        <v>0.10424902885792534</v>
      </c>
      <c r="I1005" s="1232">
        <v>1.4936314354539499E-2</v>
      </c>
      <c r="J1005" s="1232">
        <v>1.034575884248091E-4</v>
      </c>
      <c r="K1005" s="1232">
        <v>3.0000008603787501E-3</v>
      </c>
      <c r="L1005" s="1233">
        <v>3.0883002563365201E-2</v>
      </c>
      <c r="M1005" s="1234">
        <v>1.5611668210738399E-2</v>
      </c>
      <c r="N1005" s="1235">
        <v>1.0813548148712957E-4</v>
      </c>
    </row>
    <row r="1006" spans="1:14" ht="15.5" x14ac:dyDescent="0.35">
      <c r="A1006" s="198">
        <v>2032</v>
      </c>
      <c r="B1006" s="197" t="s">
        <v>5850</v>
      </c>
      <c r="C1006" s="197">
        <v>2030</v>
      </c>
      <c r="D1006" s="110" t="str">
        <f t="shared" si="9"/>
        <v>2032_2030</v>
      </c>
      <c r="E1006" s="1231">
        <v>8.4386683217106805E-3</v>
      </c>
      <c r="F1006" s="1232">
        <v>2.5408822911776915E-2</v>
      </c>
      <c r="G1006" s="1232">
        <v>0.75820317355316702</v>
      </c>
      <c r="H1006" s="1232">
        <v>9.5431240323452432E-2</v>
      </c>
      <c r="I1006" s="1232">
        <v>1.37275710371462E-2</v>
      </c>
      <c r="J1006" s="1232">
        <v>1.0345758842480942E-4</v>
      </c>
      <c r="K1006" s="1232">
        <v>3.0000008603787501E-3</v>
      </c>
      <c r="L1006" s="1233">
        <v>3.08830025633519E-2</v>
      </c>
      <c r="M1006" s="1234">
        <v>1.4348270884251699E-2</v>
      </c>
      <c r="N1006" s="1235">
        <v>1.0813548148712989E-4</v>
      </c>
    </row>
    <row r="1007" spans="1:14" ht="15.5" x14ac:dyDescent="0.35">
      <c r="A1007" s="198">
        <v>2032</v>
      </c>
      <c r="B1007" s="197" t="s">
        <v>5850</v>
      </c>
      <c r="C1007" s="197">
        <v>2031</v>
      </c>
      <c r="D1007" s="110" t="str">
        <f t="shared" si="9"/>
        <v>2032_2031</v>
      </c>
      <c r="E1007" s="1231">
        <v>8.0847814738781998E-3</v>
      </c>
      <c r="F1007" s="1232">
        <v>2.5408822911776992E-2</v>
      </c>
      <c r="G1007" s="1232">
        <v>0.665281832847056</v>
      </c>
      <c r="H1007" s="1232">
        <v>8.5580148848873883E-2</v>
      </c>
      <c r="I1007" s="1232">
        <v>1.2539378797923001E-2</v>
      </c>
      <c r="J1007" s="1232">
        <v>1.0345758842480946E-4</v>
      </c>
      <c r="K1007" s="1232">
        <v>3.0000008603787501E-3</v>
      </c>
      <c r="L1007" s="1233">
        <v>3.0883002563368098E-2</v>
      </c>
      <c r="M1007" s="1234">
        <v>1.3106353864495801E-2</v>
      </c>
      <c r="N1007" s="1235">
        <v>1.0813548148712995E-4</v>
      </c>
    </row>
    <row r="1008" spans="1:14" ht="15.5" x14ac:dyDescent="0.35">
      <c r="A1008" s="198">
        <v>2032</v>
      </c>
      <c r="B1008" s="197" t="s">
        <v>5850</v>
      </c>
      <c r="C1008" s="197">
        <v>2032</v>
      </c>
      <c r="D1008" s="110" t="str">
        <f t="shared" si="9"/>
        <v>2032_2032</v>
      </c>
      <c r="E1008" s="1231">
        <v>7.7311555865892398E-3</v>
      </c>
      <c r="F1008" s="1232">
        <v>2.5408825014264353E-2</v>
      </c>
      <c r="G1008" s="1232">
        <v>0.51021481355382803</v>
      </c>
      <c r="H1008" s="1232">
        <v>7.5615067523230675E-2</v>
      </c>
      <c r="I1008" s="1232">
        <v>1.1059354793388499E-2</v>
      </c>
      <c r="J1008" s="1232">
        <v>1.0345759698554713E-4</v>
      </c>
      <c r="K1008" s="1232">
        <v>3.0000008603784001E-3</v>
      </c>
      <c r="L1008" s="1233">
        <v>3.0881176998219899E-2</v>
      </c>
      <c r="M1008" s="1234">
        <v>1.15594097419854E-2</v>
      </c>
      <c r="N1008" s="1235">
        <v>1.0813549043494609E-4</v>
      </c>
    </row>
    <row r="1009" spans="1:14" ht="15.5" x14ac:dyDescent="0.35">
      <c r="A1009" s="198">
        <v>2032</v>
      </c>
      <c r="B1009" s="197" t="s">
        <v>5850</v>
      </c>
      <c r="C1009" s="197">
        <v>2033</v>
      </c>
      <c r="D1009" s="110" t="str">
        <f t="shared" si="9"/>
        <v>2032_2033</v>
      </c>
      <c r="E1009" s="1231">
        <v>7.3758322973008E-3</v>
      </c>
      <c r="F1009" s="1232">
        <v>6.0981151159793613E-2</v>
      </c>
      <c r="G1009" s="1232">
        <v>0.35057462408998902</v>
      </c>
      <c r="H1009" s="1232">
        <v>0.18147607612723046</v>
      </c>
      <c r="I1009" s="1232">
        <v>1.0147025590632099E-2</v>
      </c>
      <c r="J1009" s="1232">
        <v>2.4829811519670237E-4</v>
      </c>
      <c r="K1009" s="1232">
        <v>3.0000008603803599E-3</v>
      </c>
      <c r="L1009" s="1233">
        <v>3.08916201805426E-2</v>
      </c>
      <c r="M1009" s="1234">
        <v>1.06058290610813E-2</v>
      </c>
      <c r="N1009" s="1235">
        <v>2.5952505415932934E-4</v>
      </c>
    </row>
    <row r="1010" spans="1:14" ht="15.5" x14ac:dyDescent="0.35">
      <c r="A1010" s="198">
        <v>2033</v>
      </c>
      <c r="B1010" s="197" t="s">
        <v>5850</v>
      </c>
      <c r="C1010" s="197">
        <v>1971</v>
      </c>
      <c r="D1010" s="110" t="str">
        <f t="shared" si="9"/>
        <v>2033_1971</v>
      </c>
      <c r="E1010" s="1226">
        <v>0.12415585162647499</v>
      </c>
      <c r="F1010" s="1227">
        <v>5.2946358114961171E-2</v>
      </c>
      <c r="G1010" s="1227">
        <v>5.1253477306157604</v>
      </c>
      <c r="H1010" s="1227">
        <v>0.71105432885451847</v>
      </c>
      <c r="I1010" s="1227">
        <v>5.7273973988787599E-2</v>
      </c>
      <c r="J1010" s="1227">
        <v>2.1630519584326264E-4</v>
      </c>
      <c r="K1010" s="1227">
        <v>3.0000008603787501E-3</v>
      </c>
      <c r="L1010" s="1228">
        <v>2.7950602363775699E-2</v>
      </c>
      <c r="M1010" s="1229">
        <v>5.9863648943065097E-2</v>
      </c>
      <c r="N1010" s="1230">
        <v>2.2608555695920399E-4</v>
      </c>
    </row>
    <row r="1011" spans="1:14" ht="15.5" x14ac:dyDescent="0.35">
      <c r="A1011" s="198">
        <v>2033</v>
      </c>
      <c r="B1011" s="197" t="s">
        <v>5850</v>
      </c>
      <c r="C1011" s="197">
        <v>1972</v>
      </c>
      <c r="D1011" s="110" t="str">
        <f t="shared" si="9"/>
        <v>2033_1972</v>
      </c>
      <c r="E1011" s="1226">
        <v>0.12415585162647499</v>
      </c>
      <c r="F1011" s="1227">
        <v>5.2946358114961171E-2</v>
      </c>
      <c r="G1011" s="1227">
        <v>5.1253477306157604</v>
      </c>
      <c r="H1011" s="1227">
        <v>0.71105432885451847</v>
      </c>
      <c r="I1011" s="1227">
        <v>5.7273973988787599E-2</v>
      </c>
      <c r="J1011" s="1227">
        <v>2.1630519584326264E-4</v>
      </c>
      <c r="K1011" s="1227">
        <v>3.0000008603787501E-3</v>
      </c>
      <c r="L1011" s="1228">
        <v>2.7950602363775699E-2</v>
      </c>
      <c r="M1011" s="1229">
        <v>5.9863648943065097E-2</v>
      </c>
      <c r="N1011" s="1230">
        <v>2.2608555695920399E-4</v>
      </c>
    </row>
    <row r="1012" spans="1:14" ht="15.5" x14ac:dyDescent="0.35">
      <c r="A1012" s="198">
        <v>2033</v>
      </c>
      <c r="B1012" s="197" t="s">
        <v>5850</v>
      </c>
      <c r="C1012" s="197">
        <v>1973</v>
      </c>
      <c r="D1012" s="110" t="str">
        <f t="shared" si="9"/>
        <v>2033_1973</v>
      </c>
      <c r="E1012" s="1226">
        <v>0.12415585162647499</v>
      </c>
      <c r="F1012" s="1227">
        <v>5.2946358114961171E-2</v>
      </c>
      <c r="G1012" s="1227">
        <v>5.1253477306157604</v>
      </c>
      <c r="H1012" s="1227">
        <v>0.71105432885451847</v>
      </c>
      <c r="I1012" s="1227">
        <v>5.7273973988787599E-2</v>
      </c>
      <c r="J1012" s="1227">
        <v>2.1630519584326264E-4</v>
      </c>
      <c r="K1012" s="1227">
        <v>3.0000008603787501E-3</v>
      </c>
      <c r="L1012" s="1228">
        <v>2.7950602363775699E-2</v>
      </c>
      <c r="M1012" s="1229">
        <v>5.9863648943065097E-2</v>
      </c>
      <c r="N1012" s="1230">
        <v>2.2608555695920399E-4</v>
      </c>
    </row>
    <row r="1013" spans="1:14" ht="15.5" x14ac:dyDescent="0.35">
      <c r="A1013" s="198">
        <v>2033</v>
      </c>
      <c r="B1013" s="197" t="s">
        <v>5850</v>
      </c>
      <c r="C1013" s="197">
        <v>1974</v>
      </c>
      <c r="D1013" s="110" t="str">
        <f t="shared" si="9"/>
        <v>2033_1974</v>
      </c>
      <c r="E1013" s="1226">
        <v>0.12415585162647499</v>
      </c>
      <c r="F1013" s="1227">
        <v>5.2946358114961171E-2</v>
      </c>
      <c r="G1013" s="1227">
        <v>5.1253477306157604</v>
      </c>
      <c r="H1013" s="1227">
        <v>0.71105432885451847</v>
      </c>
      <c r="I1013" s="1227">
        <v>5.7273973988787599E-2</v>
      </c>
      <c r="J1013" s="1227">
        <v>2.1630519584326264E-4</v>
      </c>
      <c r="K1013" s="1227">
        <v>3.0000008603787501E-3</v>
      </c>
      <c r="L1013" s="1228">
        <v>2.7950602363775699E-2</v>
      </c>
      <c r="M1013" s="1229">
        <v>5.9863648943065097E-2</v>
      </c>
      <c r="N1013" s="1230">
        <v>2.2608555695920399E-4</v>
      </c>
    </row>
    <row r="1014" spans="1:14" ht="15.5" x14ac:dyDescent="0.35">
      <c r="A1014" s="198">
        <v>2033</v>
      </c>
      <c r="B1014" s="197" t="s">
        <v>5850</v>
      </c>
      <c r="C1014" s="197">
        <v>1975</v>
      </c>
      <c r="D1014" s="110" t="str">
        <f t="shared" si="9"/>
        <v>2033_1975</v>
      </c>
      <c r="E1014" s="1226">
        <v>0.12415585162647499</v>
      </c>
      <c r="F1014" s="1227">
        <v>5.2946358114961171E-2</v>
      </c>
      <c r="G1014" s="1227">
        <v>5.1253477306157604</v>
      </c>
      <c r="H1014" s="1227">
        <v>0.71105432885451847</v>
      </c>
      <c r="I1014" s="1227">
        <v>5.7273973988787599E-2</v>
      </c>
      <c r="J1014" s="1227">
        <v>2.1630519584326264E-4</v>
      </c>
      <c r="K1014" s="1227">
        <v>3.0000008603787501E-3</v>
      </c>
      <c r="L1014" s="1228">
        <v>2.7950602363775699E-2</v>
      </c>
      <c r="M1014" s="1229">
        <v>5.9863648943065097E-2</v>
      </c>
      <c r="N1014" s="1230">
        <v>2.2608555695920399E-4</v>
      </c>
    </row>
    <row r="1015" spans="1:14" ht="15.5" x14ac:dyDescent="0.35">
      <c r="A1015" s="198">
        <v>2033</v>
      </c>
      <c r="B1015" s="197" t="s">
        <v>5850</v>
      </c>
      <c r="C1015" s="197">
        <v>1976</v>
      </c>
      <c r="D1015" s="110" t="str">
        <f t="shared" si="9"/>
        <v>2033_1976</v>
      </c>
      <c r="E1015" s="1226">
        <v>0.12415585162647499</v>
      </c>
      <c r="F1015" s="1227">
        <v>5.2946358114961171E-2</v>
      </c>
      <c r="G1015" s="1227">
        <v>5.1253477306157604</v>
      </c>
      <c r="H1015" s="1227">
        <v>0.71105432885451847</v>
      </c>
      <c r="I1015" s="1227">
        <v>5.7273973988787599E-2</v>
      </c>
      <c r="J1015" s="1227">
        <v>2.1630519584326264E-4</v>
      </c>
      <c r="K1015" s="1227">
        <v>3.0000008603787501E-3</v>
      </c>
      <c r="L1015" s="1228">
        <v>2.7950602363775699E-2</v>
      </c>
      <c r="M1015" s="1229">
        <v>5.9863648943065097E-2</v>
      </c>
      <c r="N1015" s="1230">
        <v>2.2608555695920399E-4</v>
      </c>
    </row>
    <row r="1016" spans="1:14" ht="15.5" x14ac:dyDescent="0.35">
      <c r="A1016" s="198">
        <v>2033</v>
      </c>
      <c r="B1016" s="197" t="s">
        <v>5850</v>
      </c>
      <c r="C1016" s="197">
        <v>1977</v>
      </c>
      <c r="D1016" s="110" t="str">
        <f t="shared" si="9"/>
        <v>2033_1977</v>
      </c>
      <c r="E1016" s="1226">
        <v>0.12415585162647499</v>
      </c>
      <c r="F1016" s="1227">
        <v>5.2946358114961171E-2</v>
      </c>
      <c r="G1016" s="1227">
        <v>5.1253477306157604</v>
      </c>
      <c r="H1016" s="1227">
        <v>0.71105432885451847</v>
      </c>
      <c r="I1016" s="1227">
        <v>5.7273973988787599E-2</v>
      </c>
      <c r="J1016" s="1227">
        <v>2.1630519584326264E-4</v>
      </c>
      <c r="K1016" s="1227">
        <v>3.0000008603787501E-3</v>
      </c>
      <c r="L1016" s="1228">
        <v>2.7950602363775699E-2</v>
      </c>
      <c r="M1016" s="1229">
        <v>5.9863648943065097E-2</v>
      </c>
      <c r="N1016" s="1230">
        <v>2.2608555695920399E-4</v>
      </c>
    </row>
    <row r="1017" spans="1:14" ht="15.5" x14ac:dyDescent="0.35">
      <c r="A1017" s="198">
        <v>2033</v>
      </c>
      <c r="B1017" s="197" t="s">
        <v>5850</v>
      </c>
      <c r="C1017" s="197">
        <v>1978</v>
      </c>
      <c r="D1017" s="110" t="str">
        <f t="shared" si="9"/>
        <v>2033_1978</v>
      </c>
      <c r="E1017" s="1226">
        <v>0.12415585162647499</v>
      </c>
      <c r="F1017" s="1227">
        <v>5.2946358114961171E-2</v>
      </c>
      <c r="G1017" s="1227">
        <v>5.1253477306157604</v>
      </c>
      <c r="H1017" s="1227">
        <v>0.71105432885451847</v>
      </c>
      <c r="I1017" s="1227">
        <v>5.7273973988787599E-2</v>
      </c>
      <c r="J1017" s="1227">
        <v>2.1630519584326264E-4</v>
      </c>
      <c r="K1017" s="1227">
        <v>3.0000008603787501E-3</v>
      </c>
      <c r="L1017" s="1228">
        <v>2.7950602363775699E-2</v>
      </c>
      <c r="M1017" s="1229">
        <v>5.9863648943065097E-2</v>
      </c>
      <c r="N1017" s="1230">
        <v>2.2608555695920399E-4</v>
      </c>
    </row>
    <row r="1018" spans="1:14" ht="15.5" x14ac:dyDescent="0.35">
      <c r="A1018" s="198">
        <v>2033</v>
      </c>
      <c r="B1018" s="197" t="s">
        <v>5850</v>
      </c>
      <c r="C1018" s="197">
        <v>1979</v>
      </c>
      <c r="D1018" s="110" t="str">
        <f t="shared" si="9"/>
        <v>2033_1979</v>
      </c>
      <c r="E1018" s="1226">
        <v>0.12415585162647499</v>
      </c>
      <c r="F1018" s="1227">
        <v>5.2946358114961171E-2</v>
      </c>
      <c r="G1018" s="1227">
        <v>5.1253477306157604</v>
      </c>
      <c r="H1018" s="1227">
        <v>0.71105432885451847</v>
      </c>
      <c r="I1018" s="1227">
        <v>5.7273973988787599E-2</v>
      </c>
      <c r="J1018" s="1227">
        <v>2.1630519584326264E-4</v>
      </c>
      <c r="K1018" s="1227">
        <v>3.0000008603787501E-3</v>
      </c>
      <c r="L1018" s="1228">
        <v>2.7950602363775699E-2</v>
      </c>
      <c r="M1018" s="1229">
        <v>5.9863648943065097E-2</v>
      </c>
      <c r="N1018" s="1230">
        <v>2.2608555695920399E-4</v>
      </c>
    </row>
    <row r="1019" spans="1:14" ht="15.5" x14ac:dyDescent="0.35">
      <c r="A1019" s="198">
        <v>2033</v>
      </c>
      <c r="B1019" s="197" t="s">
        <v>5850</v>
      </c>
      <c r="C1019" s="197">
        <v>1980</v>
      </c>
      <c r="D1019" s="110" t="str">
        <f t="shared" si="9"/>
        <v>2033_1980</v>
      </c>
      <c r="E1019" s="1226">
        <v>0.12415585162647499</v>
      </c>
      <c r="F1019" s="1227">
        <v>5.2946358114961171E-2</v>
      </c>
      <c r="G1019" s="1227">
        <v>5.1253477306157604</v>
      </c>
      <c r="H1019" s="1227">
        <v>0.71105432885451847</v>
      </c>
      <c r="I1019" s="1227">
        <v>5.7273973988787599E-2</v>
      </c>
      <c r="J1019" s="1227">
        <v>2.1630519584326264E-4</v>
      </c>
      <c r="K1019" s="1227">
        <v>3.0000008603787501E-3</v>
      </c>
      <c r="L1019" s="1228">
        <v>2.7950602363775699E-2</v>
      </c>
      <c r="M1019" s="1229">
        <v>5.9863648943065097E-2</v>
      </c>
      <c r="N1019" s="1230">
        <v>2.2608555695920399E-4</v>
      </c>
    </row>
    <row r="1020" spans="1:14" ht="15.5" x14ac:dyDescent="0.35">
      <c r="A1020" s="198">
        <v>2033</v>
      </c>
      <c r="B1020" s="197" t="s">
        <v>5850</v>
      </c>
      <c r="C1020" s="197">
        <v>1981</v>
      </c>
      <c r="D1020" s="110" t="str">
        <f t="shared" si="9"/>
        <v>2033_1981</v>
      </c>
      <c r="E1020" s="1226">
        <v>0.12415585162647499</v>
      </c>
      <c r="F1020" s="1227">
        <v>5.2946358114961171E-2</v>
      </c>
      <c r="G1020" s="1227">
        <v>5.1253477306157604</v>
      </c>
      <c r="H1020" s="1227">
        <v>0.71105432885451847</v>
      </c>
      <c r="I1020" s="1227">
        <v>5.7273973988787599E-2</v>
      </c>
      <c r="J1020" s="1227">
        <v>2.1630519584326264E-4</v>
      </c>
      <c r="K1020" s="1227">
        <v>3.0000008603787501E-3</v>
      </c>
      <c r="L1020" s="1228">
        <v>2.7950602363775699E-2</v>
      </c>
      <c r="M1020" s="1229">
        <v>5.9863648943065097E-2</v>
      </c>
      <c r="N1020" s="1230">
        <v>2.2608555695920399E-4</v>
      </c>
    </row>
    <row r="1021" spans="1:14" ht="15.5" x14ac:dyDescent="0.35">
      <c r="A1021" s="198">
        <v>2033</v>
      </c>
      <c r="B1021" s="197" t="s">
        <v>5850</v>
      </c>
      <c r="C1021" s="197">
        <v>1982</v>
      </c>
      <c r="D1021" s="110" t="str">
        <f t="shared" si="9"/>
        <v>2033_1982</v>
      </c>
      <c r="E1021" s="1226">
        <v>0.12415585162647499</v>
      </c>
      <c r="F1021" s="1227">
        <v>5.2946358114961171E-2</v>
      </c>
      <c r="G1021" s="1227">
        <v>5.1253477306157604</v>
      </c>
      <c r="H1021" s="1227">
        <v>0.71105432885451847</v>
      </c>
      <c r="I1021" s="1227">
        <v>5.7273973988787599E-2</v>
      </c>
      <c r="J1021" s="1227">
        <v>2.1630519584326264E-4</v>
      </c>
      <c r="K1021" s="1227">
        <v>3.0000008603787501E-3</v>
      </c>
      <c r="L1021" s="1228">
        <v>2.7950602363775699E-2</v>
      </c>
      <c r="M1021" s="1229">
        <v>5.9863648943065097E-2</v>
      </c>
      <c r="N1021" s="1230">
        <v>2.2608555695920399E-4</v>
      </c>
    </row>
    <row r="1022" spans="1:14" ht="15.5" x14ac:dyDescent="0.35">
      <c r="A1022" s="198">
        <v>2033</v>
      </c>
      <c r="B1022" s="197" t="s">
        <v>5850</v>
      </c>
      <c r="C1022" s="197">
        <v>1983</v>
      </c>
      <c r="D1022" s="110" t="str">
        <f t="shared" si="9"/>
        <v>2033_1983</v>
      </c>
      <c r="E1022" s="1226">
        <v>0.12415585162647499</v>
      </c>
      <c r="F1022" s="1227">
        <v>5.2946358114961171E-2</v>
      </c>
      <c r="G1022" s="1227">
        <v>5.1253477306157604</v>
      </c>
      <c r="H1022" s="1227">
        <v>0.71105432885451847</v>
      </c>
      <c r="I1022" s="1227">
        <v>5.7273973988787599E-2</v>
      </c>
      <c r="J1022" s="1227">
        <v>2.1630519584326264E-4</v>
      </c>
      <c r="K1022" s="1227">
        <v>3.0000008603787501E-3</v>
      </c>
      <c r="L1022" s="1228">
        <v>2.7950602363775699E-2</v>
      </c>
      <c r="M1022" s="1229">
        <v>5.9863648943065097E-2</v>
      </c>
      <c r="N1022" s="1230">
        <v>2.2608555695920399E-4</v>
      </c>
    </row>
    <row r="1023" spans="1:14" ht="15.5" x14ac:dyDescent="0.35">
      <c r="A1023" s="198">
        <v>2033</v>
      </c>
      <c r="B1023" s="197" t="s">
        <v>5850</v>
      </c>
      <c r="C1023" s="197">
        <v>1984</v>
      </c>
      <c r="D1023" s="110" t="str">
        <f t="shared" si="9"/>
        <v>2033_1984</v>
      </c>
      <c r="E1023" s="1226">
        <v>0.12415585162647499</v>
      </c>
      <c r="F1023" s="1227">
        <v>5.2946358114961171E-2</v>
      </c>
      <c r="G1023" s="1227">
        <v>5.1253477306157604</v>
      </c>
      <c r="H1023" s="1227">
        <v>0.71105432885451847</v>
      </c>
      <c r="I1023" s="1227">
        <v>5.7273973988787599E-2</v>
      </c>
      <c r="J1023" s="1227">
        <v>2.1630519584326264E-4</v>
      </c>
      <c r="K1023" s="1227">
        <v>3.0000008603787501E-3</v>
      </c>
      <c r="L1023" s="1228">
        <v>2.7950602363775699E-2</v>
      </c>
      <c r="M1023" s="1229">
        <v>5.9863648943065097E-2</v>
      </c>
      <c r="N1023" s="1230">
        <v>2.2608555695920399E-4</v>
      </c>
    </row>
    <row r="1024" spans="1:14" ht="15.5" x14ac:dyDescent="0.35">
      <c r="A1024" s="198">
        <v>2033</v>
      </c>
      <c r="B1024" s="197" t="s">
        <v>5850</v>
      </c>
      <c r="C1024" s="197">
        <v>1985</v>
      </c>
      <c r="D1024" s="110" t="str">
        <f t="shared" si="9"/>
        <v>2033_1985</v>
      </c>
      <c r="E1024" s="1226">
        <v>0.12415585162647499</v>
      </c>
      <c r="F1024" s="1227">
        <v>5.2946358114961171E-2</v>
      </c>
      <c r="G1024" s="1227">
        <v>5.1253477306157604</v>
      </c>
      <c r="H1024" s="1227">
        <v>0.71105432885451847</v>
      </c>
      <c r="I1024" s="1227">
        <v>5.7273973988787599E-2</v>
      </c>
      <c r="J1024" s="1227">
        <v>2.1630519584326264E-4</v>
      </c>
      <c r="K1024" s="1227">
        <v>3.0000008603787501E-3</v>
      </c>
      <c r="L1024" s="1228">
        <v>2.7950602363775699E-2</v>
      </c>
      <c r="M1024" s="1229">
        <v>5.9863648943065097E-2</v>
      </c>
      <c r="N1024" s="1230">
        <v>2.2608555695920399E-4</v>
      </c>
    </row>
    <row r="1025" spans="1:14" ht="15.5" x14ac:dyDescent="0.35">
      <c r="A1025" s="198">
        <v>2033</v>
      </c>
      <c r="B1025" s="197" t="s">
        <v>5850</v>
      </c>
      <c r="C1025" s="197">
        <v>1986</v>
      </c>
      <c r="D1025" s="110" t="str">
        <f t="shared" si="9"/>
        <v>2033_1986</v>
      </c>
      <c r="E1025" s="1226">
        <v>0.12415585162647499</v>
      </c>
      <c r="F1025" s="1227">
        <v>5.2946358114961171E-2</v>
      </c>
      <c r="G1025" s="1227">
        <v>5.1253477306157604</v>
      </c>
      <c r="H1025" s="1227">
        <v>0.71105432885451847</v>
      </c>
      <c r="I1025" s="1227">
        <v>5.7273973988787599E-2</v>
      </c>
      <c r="J1025" s="1227">
        <v>2.1630519584326264E-4</v>
      </c>
      <c r="K1025" s="1227">
        <v>3.0000008603787501E-3</v>
      </c>
      <c r="L1025" s="1228">
        <v>2.7950602363775699E-2</v>
      </c>
      <c r="M1025" s="1229">
        <v>5.9863648943065097E-2</v>
      </c>
      <c r="N1025" s="1230">
        <v>2.2608555695920399E-4</v>
      </c>
    </row>
    <row r="1026" spans="1:14" ht="15.5" x14ac:dyDescent="0.35">
      <c r="A1026" s="198">
        <v>2033</v>
      </c>
      <c r="B1026" s="197" t="s">
        <v>5850</v>
      </c>
      <c r="C1026" s="197">
        <v>1987</v>
      </c>
      <c r="D1026" s="110" t="str">
        <f t="shared" si="9"/>
        <v>2033_1987</v>
      </c>
      <c r="E1026" s="1226">
        <v>0.12415585162647499</v>
      </c>
      <c r="F1026" s="1227">
        <v>5.2946358114961171E-2</v>
      </c>
      <c r="G1026" s="1227">
        <v>5.1253477306157604</v>
      </c>
      <c r="H1026" s="1227">
        <v>0.71105432885451847</v>
      </c>
      <c r="I1026" s="1227">
        <v>5.7273973988787599E-2</v>
      </c>
      <c r="J1026" s="1227">
        <v>2.1630519584326264E-4</v>
      </c>
      <c r="K1026" s="1227">
        <v>3.0000008603787501E-3</v>
      </c>
      <c r="L1026" s="1228">
        <v>2.7950602363775699E-2</v>
      </c>
      <c r="M1026" s="1229">
        <v>5.9863648943065097E-2</v>
      </c>
      <c r="N1026" s="1230">
        <v>2.2608555695920399E-4</v>
      </c>
    </row>
    <row r="1027" spans="1:14" ht="15.5" x14ac:dyDescent="0.35">
      <c r="A1027" s="198">
        <v>2033</v>
      </c>
      <c r="B1027" s="197" t="s">
        <v>5850</v>
      </c>
      <c r="C1027" s="197">
        <v>1988</v>
      </c>
      <c r="D1027" s="110" t="str">
        <f t="shared" si="9"/>
        <v>2033_1988</v>
      </c>
      <c r="E1027" s="1226">
        <v>0.12415585162647499</v>
      </c>
      <c r="F1027" s="1227">
        <v>5.2946358114961171E-2</v>
      </c>
      <c r="G1027" s="1227">
        <v>5.1253477306157604</v>
      </c>
      <c r="H1027" s="1227">
        <v>0.71105432885451847</v>
      </c>
      <c r="I1027" s="1227">
        <v>5.7273973988787599E-2</v>
      </c>
      <c r="J1027" s="1227">
        <v>2.1630519584326264E-4</v>
      </c>
      <c r="K1027" s="1227">
        <v>3.0000008603787501E-3</v>
      </c>
      <c r="L1027" s="1228">
        <v>2.7950602363775699E-2</v>
      </c>
      <c r="M1027" s="1229">
        <v>5.9863648943065097E-2</v>
      </c>
      <c r="N1027" s="1230">
        <v>2.2608555695920399E-4</v>
      </c>
    </row>
    <row r="1028" spans="1:14" ht="15.5" x14ac:dyDescent="0.35">
      <c r="A1028" s="198">
        <v>2033</v>
      </c>
      <c r="B1028" s="197" t="s">
        <v>5850</v>
      </c>
      <c r="C1028" s="197">
        <v>1989</v>
      </c>
      <c r="D1028" s="110" t="str">
        <f t="shared" si="9"/>
        <v>2033_1989</v>
      </c>
      <c r="E1028" s="1226">
        <v>0.12415585162647499</v>
      </c>
      <c r="F1028" s="1227">
        <v>5.2946358114961171E-2</v>
      </c>
      <c r="G1028" s="1227">
        <v>5.1253477306157604</v>
      </c>
      <c r="H1028" s="1227">
        <v>0.71105432885451847</v>
      </c>
      <c r="I1028" s="1227">
        <v>5.7273973988787599E-2</v>
      </c>
      <c r="J1028" s="1227">
        <v>2.1630519584326264E-4</v>
      </c>
      <c r="K1028" s="1227">
        <v>3.0000008603787501E-3</v>
      </c>
      <c r="L1028" s="1228">
        <v>2.7950602363775699E-2</v>
      </c>
      <c r="M1028" s="1229">
        <v>5.9863648943065097E-2</v>
      </c>
      <c r="N1028" s="1230">
        <v>2.2608555695920399E-4</v>
      </c>
    </row>
    <row r="1029" spans="1:14" ht="15.5" x14ac:dyDescent="0.35">
      <c r="A1029" s="198">
        <v>2033</v>
      </c>
      <c r="B1029" s="197" t="s">
        <v>5850</v>
      </c>
      <c r="C1029" s="197">
        <v>1990</v>
      </c>
      <c r="D1029" s="110" t="str">
        <f t="shared" si="9"/>
        <v>2033_1990</v>
      </c>
      <c r="E1029" s="1226">
        <v>0.12415585162647499</v>
      </c>
      <c r="F1029" s="1227">
        <v>5.2946358114961171E-2</v>
      </c>
      <c r="G1029" s="1227">
        <v>5.1253477306157604</v>
      </c>
      <c r="H1029" s="1227">
        <v>0.71105432885451847</v>
      </c>
      <c r="I1029" s="1227">
        <v>5.7273973988787599E-2</v>
      </c>
      <c r="J1029" s="1227">
        <v>2.1630519584326264E-4</v>
      </c>
      <c r="K1029" s="1227">
        <v>3.0000008603787501E-3</v>
      </c>
      <c r="L1029" s="1228">
        <v>2.7950602363775699E-2</v>
      </c>
      <c r="M1029" s="1229">
        <v>5.9863648943065097E-2</v>
      </c>
      <c r="N1029" s="1230">
        <v>2.2608555695920399E-4</v>
      </c>
    </row>
    <row r="1030" spans="1:14" ht="15.5" x14ac:dyDescent="0.35">
      <c r="A1030" s="198">
        <v>2033</v>
      </c>
      <c r="B1030" s="197" t="s">
        <v>5850</v>
      </c>
      <c r="C1030" s="197">
        <v>1991</v>
      </c>
      <c r="D1030" s="110" t="str">
        <f t="shared" si="9"/>
        <v>2033_1991</v>
      </c>
      <c r="E1030" s="1226">
        <v>0.12415585162647499</v>
      </c>
      <c r="F1030" s="1227">
        <v>5.2946358114961171E-2</v>
      </c>
      <c r="G1030" s="1227">
        <v>5.1253477306157604</v>
      </c>
      <c r="H1030" s="1227">
        <v>0.71105432885451847</v>
      </c>
      <c r="I1030" s="1227">
        <v>5.7273973988787599E-2</v>
      </c>
      <c r="J1030" s="1227">
        <v>2.1630519584326264E-4</v>
      </c>
      <c r="K1030" s="1227">
        <v>3.0000008603787501E-3</v>
      </c>
      <c r="L1030" s="1228">
        <v>2.7950602363775699E-2</v>
      </c>
      <c r="M1030" s="1229">
        <v>5.9863648943065097E-2</v>
      </c>
      <c r="N1030" s="1230">
        <v>2.2608555695920399E-4</v>
      </c>
    </row>
    <row r="1031" spans="1:14" ht="15.5" x14ac:dyDescent="0.35">
      <c r="A1031" s="198">
        <v>2033</v>
      </c>
      <c r="B1031" s="197" t="s">
        <v>5850</v>
      </c>
      <c r="C1031" s="197">
        <v>1992</v>
      </c>
      <c r="D1031" s="110" t="str">
        <f t="shared" si="9"/>
        <v>2033_1992</v>
      </c>
      <c r="E1031" s="1226">
        <v>0.12415585162647499</v>
      </c>
      <c r="F1031" s="1227">
        <v>5.2946358114961171E-2</v>
      </c>
      <c r="G1031" s="1227">
        <v>5.1253477306157604</v>
      </c>
      <c r="H1031" s="1227">
        <v>0.71105432885451847</v>
      </c>
      <c r="I1031" s="1227">
        <v>5.7273973988787599E-2</v>
      </c>
      <c r="J1031" s="1227">
        <v>2.1630519584326264E-4</v>
      </c>
      <c r="K1031" s="1227">
        <v>3.0000008603787501E-3</v>
      </c>
      <c r="L1031" s="1228">
        <v>2.7950602363775699E-2</v>
      </c>
      <c r="M1031" s="1229">
        <v>5.9863648943065097E-2</v>
      </c>
      <c r="N1031" s="1230">
        <v>2.2608555695920399E-4</v>
      </c>
    </row>
    <row r="1032" spans="1:14" ht="15.5" x14ac:dyDescent="0.35">
      <c r="A1032" s="198">
        <v>2033</v>
      </c>
      <c r="B1032" s="197" t="s">
        <v>5850</v>
      </c>
      <c r="C1032" s="197">
        <v>1993</v>
      </c>
      <c r="D1032" s="110" t="str">
        <f t="shared" si="9"/>
        <v>2033_1993</v>
      </c>
      <c r="E1032" s="1226">
        <v>0.12415585162647499</v>
      </c>
      <c r="F1032" s="1227">
        <v>5.2946358114961171E-2</v>
      </c>
      <c r="G1032" s="1227">
        <v>5.1253477306157604</v>
      </c>
      <c r="H1032" s="1227">
        <v>0.71105432885451847</v>
      </c>
      <c r="I1032" s="1227">
        <v>5.7273973988787599E-2</v>
      </c>
      <c r="J1032" s="1227">
        <v>2.1630519584326264E-4</v>
      </c>
      <c r="K1032" s="1227">
        <v>3.0000008603787501E-3</v>
      </c>
      <c r="L1032" s="1228">
        <v>2.7950602363775699E-2</v>
      </c>
      <c r="M1032" s="1229">
        <v>5.9863648943065097E-2</v>
      </c>
      <c r="N1032" s="1230">
        <v>2.2608555695920399E-4</v>
      </c>
    </row>
    <row r="1033" spans="1:14" ht="15.5" x14ac:dyDescent="0.35">
      <c r="A1033" s="198">
        <v>2033</v>
      </c>
      <c r="B1033" s="197" t="s">
        <v>5850</v>
      </c>
      <c r="C1033" s="197">
        <v>1994</v>
      </c>
      <c r="D1033" s="110" t="str">
        <f t="shared" si="9"/>
        <v>2033_1994</v>
      </c>
      <c r="E1033" s="1226">
        <v>0.12415585162647499</v>
      </c>
      <c r="F1033" s="1227">
        <v>5.2946358114961171E-2</v>
      </c>
      <c r="G1033" s="1227">
        <v>5.1253477306157604</v>
      </c>
      <c r="H1033" s="1227">
        <v>0.71105432885451847</v>
      </c>
      <c r="I1033" s="1227">
        <v>5.7273973988787599E-2</v>
      </c>
      <c r="J1033" s="1227">
        <v>2.1630519584326264E-4</v>
      </c>
      <c r="K1033" s="1227">
        <v>3.0000008603787501E-3</v>
      </c>
      <c r="L1033" s="1228">
        <v>2.7950602363775699E-2</v>
      </c>
      <c r="M1033" s="1229">
        <v>5.9863648943065097E-2</v>
      </c>
      <c r="N1033" s="1230">
        <v>2.2608555695920399E-4</v>
      </c>
    </row>
    <row r="1034" spans="1:14" ht="15.5" x14ac:dyDescent="0.35">
      <c r="A1034" s="198">
        <v>2033</v>
      </c>
      <c r="B1034" s="197" t="s">
        <v>5850</v>
      </c>
      <c r="C1034" s="197">
        <v>1995</v>
      </c>
      <c r="D1034" s="110" t="str">
        <f t="shared" si="9"/>
        <v>2033_1995</v>
      </c>
      <c r="E1034" s="1226">
        <v>0.12415585162647499</v>
      </c>
      <c r="F1034" s="1227">
        <v>5.2946358114961171E-2</v>
      </c>
      <c r="G1034" s="1227">
        <v>5.1253477306157604</v>
      </c>
      <c r="H1034" s="1227">
        <v>0.71105432885451847</v>
      </c>
      <c r="I1034" s="1227">
        <v>5.7273973988787599E-2</v>
      </c>
      <c r="J1034" s="1227">
        <v>2.1630519584326264E-4</v>
      </c>
      <c r="K1034" s="1227">
        <v>3.0000008603787501E-3</v>
      </c>
      <c r="L1034" s="1228">
        <v>2.7950602363775699E-2</v>
      </c>
      <c r="M1034" s="1229">
        <v>5.9863648943065097E-2</v>
      </c>
      <c r="N1034" s="1230">
        <v>2.2608555695920399E-4</v>
      </c>
    </row>
    <row r="1035" spans="1:14" ht="15.5" x14ac:dyDescent="0.35">
      <c r="A1035" s="198">
        <v>2033</v>
      </c>
      <c r="B1035" s="197" t="s">
        <v>5850</v>
      </c>
      <c r="C1035" s="197">
        <v>1996</v>
      </c>
      <c r="D1035" s="110" t="str">
        <f t="shared" si="9"/>
        <v>2033_1996</v>
      </c>
      <c r="E1035" s="1226">
        <v>0.12415585162647499</v>
      </c>
      <c r="F1035" s="1227">
        <v>5.2946358114961171E-2</v>
      </c>
      <c r="G1035" s="1227">
        <v>5.1253477306157604</v>
      </c>
      <c r="H1035" s="1227">
        <v>0.71105432885451847</v>
      </c>
      <c r="I1035" s="1227">
        <v>5.7273973988787599E-2</v>
      </c>
      <c r="J1035" s="1227">
        <v>2.1630519584326264E-4</v>
      </c>
      <c r="K1035" s="1227">
        <v>3.0000008603787501E-3</v>
      </c>
      <c r="L1035" s="1228">
        <v>2.7950602363775699E-2</v>
      </c>
      <c r="M1035" s="1229">
        <v>5.9863648943065097E-2</v>
      </c>
      <c r="N1035" s="1230">
        <v>2.2608555695920399E-4</v>
      </c>
    </row>
    <row r="1036" spans="1:14" ht="15.5" x14ac:dyDescent="0.35">
      <c r="A1036" s="198">
        <v>2033</v>
      </c>
      <c r="B1036" s="197" t="s">
        <v>5850</v>
      </c>
      <c r="C1036" s="197">
        <v>1997</v>
      </c>
      <c r="D1036" s="110" t="str">
        <f t="shared" si="9"/>
        <v>2033_1997</v>
      </c>
      <c r="E1036" s="1226">
        <v>0.12415585162647499</v>
      </c>
      <c r="F1036" s="1227">
        <v>5.2946358114961171E-2</v>
      </c>
      <c r="G1036" s="1227">
        <v>5.1253477306157604</v>
      </c>
      <c r="H1036" s="1227">
        <v>0.71105432885451847</v>
      </c>
      <c r="I1036" s="1227">
        <v>5.7273973988787599E-2</v>
      </c>
      <c r="J1036" s="1227">
        <v>2.1630519584326264E-4</v>
      </c>
      <c r="K1036" s="1227">
        <v>3.0000008603787501E-3</v>
      </c>
      <c r="L1036" s="1228">
        <v>2.7950602363775699E-2</v>
      </c>
      <c r="M1036" s="1229">
        <v>5.9863648943065097E-2</v>
      </c>
      <c r="N1036" s="1230">
        <v>2.2608555695920399E-4</v>
      </c>
    </row>
    <row r="1037" spans="1:14" ht="15.5" x14ac:dyDescent="0.35">
      <c r="A1037" s="198">
        <v>2033</v>
      </c>
      <c r="B1037" s="197" t="s">
        <v>5850</v>
      </c>
      <c r="C1037" s="197">
        <v>1998</v>
      </c>
      <c r="D1037" s="110" t="str">
        <f t="shared" si="9"/>
        <v>2033_1998</v>
      </c>
      <c r="E1037" s="1226">
        <v>0.12415585162647499</v>
      </c>
      <c r="F1037" s="1227">
        <v>5.2946358114961171E-2</v>
      </c>
      <c r="G1037" s="1227">
        <v>5.1253477306157604</v>
      </c>
      <c r="H1037" s="1227">
        <v>0.71105432885451847</v>
      </c>
      <c r="I1037" s="1227">
        <v>5.7273973988787599E-2</v>
      </c>
      <c r="J1037" s="1227">
        <v>2.1630519584326264E-4</v>
      </c>
      <c r="K1037" s="1227">
        <v>3.0000008603787501E-3</v>
      </c>
      <c r="L1037" s="1228">
        <v>2.7950602363775699E-2</v>
      </c>
      <c r="M1037" s="1229">
        <v>5.9863648943065097E-2</v>
      </c>
      <c r="N1037" s="1230">
        <v>2.2608555695920399E-4</v>
      </c>
    </row>
    <row r="1038" spans="1:14" ht="15.5" x14ac:dyDescent="0.35">
      <c r="A1038" s="198">
        <v>2033</v>
      </c>
      <c r="B1038" s="197" t="s">
        <v>5850</v>
      </c>
      <c r="C1038" s="197">
        <v>1999</v>
      </c>
      <c r="D1038" s="110" t="str">
        <f t="shared" si="9"/>
        <v>2033_1999</v>
      </c>
      <c r="E1038" s="1226">
        <v>0.12415585162647499</v>
      </c>
      <c r="F1038" s="1227">
        <v>5.2946358114961171E-2</v>
      </c>
      <c r="G1038" s="1227">
        <v>5.1253477306157604</v>
      </c>
      <c r="H1038" s="1227">
        <v>0.71105432885451847</v>
      </c>
      <c r="I1038" s="1227">
        <v>5.7273973988787599E-2</v>
      </c>
      <c r="J1038" s="1227">
        <v>2.1630519584326264E-4</v>
      </c>
      <c r="K1038" s="1227">
        <v>3.0000008603787501E-3</v>
      </c>
      <c r="L1038" s="1228">
        <v>2.7950602363775699E-2</v>
      </c>
      <c r="M1038" s="1229">
        <v>5.9863648943065097E-2</v>
      </c>
      <c r="N1038" s="1230">
        <v>2.2608555695920399E-4</v>
      </c>
    </row>
    <row r="1039" spans="1:14" ht="15.5" x14ac:dyDescent="0.35">
      <c r="A1039" s="198">
        <v>2033</v>
      </c>
      <c r="B1039" s="197" t="s">
        <v>5850</v>
      </c>
      <c r="C1039" s="197">
        <v>2000</v>
      </c>
      <c r="D1039" s="110" t="str">
        <f t="shared" si="9"/>
        <v>2033_2000</v>
      </c>
      <c r="E1039" s="1226">
        <v>0.12415585162647499</v>
      </c>
      <c r="F1039" s="1227">
        <v>5.2946358114961171E-2</v>
      </c>
      <c r="G1039" s="1227">
        <v>5.1253477306157604</v>
      </c>
      <c r="H1039" s="1227">
        <v>0.71105432885451847</v>
      </c>
      <c r="I1039" s="1227">
        <v>5.7273973988787599E-2</v>
      </c>
      <c r="J1039" s="1227">
        <v>2.1630519584326264E-4</v>
      </c>
      <c r="K1039" s="1227">
        <v>3.0000008603787501E-3</v>
      </c>
      <c r="L1039" s="1228">
        <v>2.7950602363775699E-2</v>
      </c>
      <c r="M1039" s="1229">
        <v>5.9863648943065097E-2</v>
      </c>
      <c r="N1039" s="1230">
        <v>2.2608555695920399E-4</v>
      </c>
    </row>
    <row r="1040" spans="1:14" ht="15.5" x14ac:dyDescent="0.35">
      <c r="A1040" s="198">
        <v>2033</v>
      </c>
      <c r="B1040" s="197" t="s">
        <v>5850</v>
      </c>
      <c r="C1040" s="197">
        <v>2001</v>
      </c>
      <c r="D1040" s="110" t="str">
        <f t="shared" si="9"/>
        <v>2033_2001</v>
      </c>
      <c r="E1040" s="1226">
        <v>0.12415585162647499</v>
      </c>
      <c r="F1040" s="1227">
        <v>5.2946358114961171E-2</v>
      </c>
      <c r="G1040" s="1227">
        <v>5.1253477306157604</v>
      </c>
      <c r="H1040" s="1227">
        <v>0.71105432885451847</v>
      </c>
      <c r="I1040" s="1227">
        <v>5.7273973988787599E-2</v>
      </c>
      <c r="J1040" s="1227">
        <v>2.1630519584326264E-4</v>
      </c>
      <c r="K1040" s="1227">
        <v>3.0000008603787501E-3</v>
      </c>
      <c r="L1040" s="1228">
        <v>2.7950602363775699E-2</v>
      </c>
      <c r="M1040" s="1229">
        <v>5.9863648943065097E-2</v>
      </c>
      <c r="N1040" s="1230">
        <v>2.2608555695920399E-4</v>
      </c>
    </row>
    <row r="1041" spans="1:14" ht="15.5" x14ac:dyDescent="0.35">
      <c r="A1041" s="198">
        <v>2033</v>
      </c>
      <c r="B1041" s="197" t="s">
        <v>5850</v>
      </c>
      <c r="C1041" s="197">
        <v>2002</v>
      </c>
      <c r="D1041" s="110" t="str">
        <f t="shared" si="9"/>
        <v>2033_2002</v>
      </c>
      <c r="E1041" s="1226">
        <v>0.12415585162647499</v>
      </c>
      <c r="F1041" s="1227">
        <v>5.2946358114961171E-2</v>
      </c>
      <c r="G1041" s="1227">
        <v>5.1253477306157604</v>
      </c>
      <c r="H1041" s="1227">
        <v>0.71105432885451847</v>
      </c>
      <c r="I1041" s="1227">
        <v>5.7273973988787599E-2</v>
      </c>
      <c r="J1041" s="1227">
        <v>2.1630519584326264E-4</v>
      </c>
      <c r="K1041" s="1227">
        <v>3.0000008603787501E-3</v>
      </c>
      <c r="L1041" s="1228">
        <v>2.7950602363775699E-2</v>
      </c>
      <c r="M1041" s="1229">
        <v>5.9863648943065097E-2</v>
      </c>
      <c r="N1041" s="1230">
        <v>2.2608555695920399E-4</v>
      </c>
    </row>
    <row r="1042" spans="1:14" ht="15.5" x14ac:dyDescent="0.35">
      <c r="A1042" s="198">
        <v>2033</v>
      </c>
      <c r="B1042" s="197" t="s">
        <v>5850</v>
      </c>
      <c r="C1042" s="197">
        <v>2003</v>
      </c>
      <c r="D1042" s="110" t="str">
        <f t="shared" si="9"/>
        <v>2033_2003</v>
      </c>
      <c r="E1042" s="1226">
        <v>0.12415585162647499</v>
      </c>
      <c r="F1042" s="1227">
        <v>5.2946358114961171E-2</v>
      </c>
      <c r="G1042" s="1227">
        <v>5.1253477306157604</v>
      </c>
      <c r="H1042" s="1227">
        <v>0.71105432885451847</v>
      </c>
      <c r="I1042" s="1227">
        <v>5.7273973988787599E-2</v>
      </c>
      <c r="J1042" s="1227">
        <v>2.1630519584326264E-4</v>
      </c>
      <c r="K1042" s="1227">
        <v>3.0000008603787501E-3</v>
      </c>
      <c r="L1042" s="1228">
        <v>2.7950602363775699E-2</v>
      </c>
      <c r="M1042" s="1229">
        <v>5.9863648943065097E-2</v>
      </c>
      <c r="N1042" s="1230">
        <v>2.2608555695920399E-4</v>
      </c>
    </row>
    <row r="1043" spans="1:14" ht="15.5" x14ac:dyDescent="0.35">
      <c r="A1043" s="198">
        <v>2033</v>
      </c>
      <c r="B1043" s="197" t="s">
        <v>5850</v>
      </c>
      <c r="C1043" s="197">
        <v>2004</v>
      </c>
      <c r="D1043" s="110" t="str">
        <f t="shared" si="9"/>
        <v>2033_2004</v>
      </c>
      <c r="E1043" s="1226">
        <v>0.12415585162647499</v>
      </c>
      <c r="F1043" s="1227">
        <v>5.2946358114961171E-2</v>
      </c>
      <c r="G1043" s="1227">
        <v>5.1253477306157604</v>
      </c>
      <c r="H1043" s="1227">
        <v>0.71105432885451847</v>
      </c>
      <c r="I1043" s="1227">
        <v>5.7273973988787599E-2</v>
      </c>
      <c r="J1043" s="1227">
        <v>2.1630519584326264E-4</v>
      </c>
      <c r="K1043" s="1227">
        <v>3.0000008603787501E-3</v>
      </c>
      <c r="L1043" s="1228">
        <v>2.7950602363775699E-2</v>
      </c>
      <c r="M1043" s="1229">
        <v>5.9863648943065097E-2</v>
      </c>
      <c r="N1043" s="1230">
        <v>2.2608555695920399E-4</v>
      </c>
    </row>
    <row r="1044" spans="1:14" ht="15.5" x14ac:dyDescent="0.35">
      <c r="A1044" s="198">
        <v>2033</v>
      </c>
      <c r="B1044" s="197" t="s">
        <v>5850</v>
      </c>
      <c r="C1044" s="197">
        <v>2005</v>
      </c>
      <c r="D1044" s="110" t="str">
        <f t="shared" si="9"/>
        <v>2033_2005</v>
      </c>
      <c r="E1044" s="1226">
        <v>0.12415585162647499</v>
      </c>
      <c r="F1044" s="1227">
        <v>5.2946358114961171E-2</v>
      </c>
      <c r="G1044" s="1227">
        <v>5.1253477306157604</v>
      </c>
      <c r="H1044" s="1227">
        <v>0.71105432885451847</v>
      </c>
      <c r="I1044" s="1227">
        <v>5.7273973988787599E-2</v>
      </c>
      <c r="J1044" s="1227">
        <v>2.1630519584326264E-4</v>
      </c>
      <c r="K1044" s="1227">
        <v>3.0000008603787501E-3</v>
      </c>
      <c r="L1044" s="1228">
        <v>2.7950602363775699E-2</v>
      </c>
      <c r="M1044" s="1229">
        <v>5.9863648943065097E-2</v>
      </c>
      <c r="N1044" s="1230">
        <v>2.2608555695920399E-4</v>
      </c>
    </row>
    <row r="1045" spans="1:14" ht="15.5" x14ac:dyDescent="0.35">
      <c r="A1045" s="198">
        <v>2033</v>
      </c>
      <c r="B1045" s="197" t="s">
        <v>5850</v>
      </c>
      <c r="C1045" s="197">
        <v>2006</v>
      </c>
      <c r="D1045" s="110" t="str">
        <f t="shared" si="9"/>
        <v>2033_2006</v>
      </c>
      <c r="E1045" s="1226">
        <v>0.12415585162647499</v>
      </c>
      <c r="F1045" s="1227">
        <v>5.2946358114961171E-2</v>
      </c>
      <c r="G1045" s="1227">
        <v>5.1253477306157604</v>
      </c>
      <c r="H1045" s="1227">
        <v>0.71105432885451847</v>
      </c>
      <c r="I1045" s="1227">
        <v>5.7273973988787599E-2</v>
      </c>
      <c r="J1045" s="1227">
        <v>2.1630519584326264E-4</v>
      </c>
      <c r="K1045" s="1227">
        <v>3.0000008603787501E-3</v>
      </c>
      <c r="L1045" s="1228">
        <v>2.7950602363775699E-2</v>
      </c>
      <c r="M1045" s="1229">
        <v>5.9863648943065097E-2</v>
      </c>
      <c r="N1045" s="1230">
        <v>2.2608555695920399E-4</v>
      </c>
    </row>
    <row r="1046" spans="1:14" ht="15.5" x14ac:dyDescent="0.35">
      <c r="A1046" s="198">
        <v>2033</v>
      </c>
      <c r="B1046" s="197" t="s">
        <v>5850</v>
      </c>
      <c r="C1046" s="197">
        <v>2007</v>
      </c>
      <c r="D1046" s="110" t="str">
        <f t="shared" si="9"/>
        <v>2033_2007</v>
      </c>
      <c r="E1046" s="1226">
        <v>0.12415585162647499</v>
      </c>
      <c r="F1046" s="1227">
        <v>5.2946358114961171E-2</v>
      </c>
      <c r="G1046" s="1227">
        <v>5.1253477306157604</v>
      </c>
      <c r="H1046" s="1227">
        <v>0.71105432885451847</v>
      </c>
      <c r="I1046" s="1227">
        <v>5.7273973988787599E-2</v>
      </c>
      <c r="J1046" s="1227">
        <v>2.1630519584326264E-4</v>
      </c>
      <c r="K1046" s="1227">
        <v>3.0000008603787501E-3</v>
      </c>
      <c r="L1046" s="1228">
        <v>2.7950602363775699E-2</v>
      </c>
      <c r="M1046" s="1229">
        <v>5.9863648943065097E-2</v>
      </c>
      <c r="N1046" s="1230">
        <v>2.2608555695920399E-4</v>
      </c>
    </row>
    <row r="1047" spans="1:14" ht="15.5" x14ac:dyDescent="0.35">
      <c r="A1047" s="198">
        <v>2033</v>
      </c>
      <c r="B1047" s="197" t="s">
        <v>5850</v>
      </c>
      <c r="C1047" s="197">
        <v>2008</v>
      </c>
      <c r="D1047" s="110" t="str">
        <f t="shared" si="9"/>
        <v>2033_2008</v>
      </c>
      <c r="E1047" s="1226">
        <v>0.12415585162647499</v>
      </c>
      <c r="F1047" s="1227">
        <v>5.2946358114961171E-2</v>
      </c>
      <c r="G1047" s="1227">
        <v>5.1253477306157604</v>
      </c>
      <c r="H1047" s="1227">
        <v>0.71105432885451847</v>
      </c>
      <c r="I1047" s="1227">
        <v>5.7273973988787599E-2</v>
      </c>
      <c r="J1047" s="1227">
        <v>2.1630519584326264E-4</v>
      </c>
      <c r="K1047" s="1227">
        <v>3.0000008603787501E-3</v>
      </c>
      <c r="L1047" s="1228">
        <v>2.7950602363775699E-2</v>
      </c>
      <c r="M1047" s="1229">
        <v>5.9863648943065097E-2</v>
      </c>
      <c r="N1047" s="1230">
        <v>2.2608555695920399E-4</v>
      </c>
    </row>
    <row r="1048" spans="1:14" ht="15.5" x14ac:dyDescent="0.35">
      <c r="A1048" s="198">
        <v>2033</v>
      </c>
      <c r="B1048" s="197" t="s">
        <v>5850</v>
      </c>
      <c r="C1048" s="197">
        <v>2009</v>
      </c>
      <c r="D1048" s="110" t="str">
        <f t="shared" si="9"/>
        <v>2033_2009</v>
      </c>
      <c r="E1048" s="1226">
        <v>0.12415585162647499</v>
      </c>
      <c r="F1048" s="1227">
        <v>5.2946358114961171E-2</v>
      </c>
      <c r="G1048" s="1227">
        <v>5.1253477306157604</v>
      </c>
      <c r="H1048" s="1227">
        <v>0.71105432885451847</v>
      </c>
      <c r="I1048" s="1227">
        <v>5.7273973988787599E-2</v>
      </c>
      <c r="J1048" s="1227">
        <v>2.1630519584326264E-4</v>
      </c>
      <c r="K1048" s="1227">
        <v>3.0000008603787501E-3</v>
      </c>
      <c r="L1048" s="1228">
        <v>2.7950602363775699E-2</v>
      </c>
      <c r="M1048" s="1229">
        <v>5.9863648943065097E-2</v>
      </c>
      <c r="N1048" s="1230">
        <v>2.2608555695920399E-4</v>
      </c>
    </row>
    <row r="1049" spans="1:14" ht="15.5" x14ac:dyDescent="0.35">
      <c r="A1049" s="198">
        <v>2033</v>
      </c>
      <c r="B1049" s="197" t="s">
        <v>5850</v>
      </c>
      <c r="C1049" s="197">
        <v>2010</v>
      </c>
      <c r="D1049" s="110" t="str">
        <f t="shared" si="9"/>
        <v>2033_2010</v>
      </c>
      <c r="E1049" s="1226">
        <v>0.12415585162647499</v>
      </c>
      <c r="F1049" s="1227">
        <v>5.2946358114961171E-2</v>
      </c>
      <c r="G1049" s="1227">
        <v>5.1253477306157604</v>
      </c>
      <c r="H1049" s="1227">
        <v>0.71105432885451847</v>
      </c>
      <c r="I1049" s="1227">
        <v>5.7273973988787599E-2</v>
      </c>
      <c r="J1049" s="1227">
        <v>2.1630519584326264E-4</v>
      </c>
      <c r="K1049" s="1227">
        <v>3.0000008603787501E-3</v>
      </c>
      <c r="L1049" s="1228">
        <v>2.7950602363775699E-2</v>
      </c>
      <c r="M1049" s="1229">
        <v>5.9863648943065097E-2</v>
      </c>
      <c r="N1049" s="1230">
        <v>2.2608555695920399E-4</v>
      </c>
    </row>
    <row r="1050" spans="1:14" ht="15.5" x14ac:dyDescent="0.35">
      <c r="A1050" s="198">
        <v>2033</v>
      </c>
      <c r="B1050" s="197" t="s">
        <v>5850</v>
      </c>
      <c r="C1050" s="197">
        <v>2011</v>
      </c>
      <c r="D1050" s="110" t="str">
        <f t="shared" si="9"/>
        <v>2033_2011</v>
      </c>
      <c r="E1050" s="1231">
        <v>0.12415585162647499</v>
      </c>
      <c r="F1050" s="1232">
        <v>5.2946358114961171E-2</v>
      </c>
      <c r="G1050" s="1232">
        <v>5.1253477306157604</v>
      </c>
      <c r="H1050" s="1232">
        <v>0.71105432885451847</v>
      </c>
      <c r="I1050" s="1232">
        <v>5.7273973988787599E-2</v>
      </c>
      <c r="J1050" s="1232">
        <v>2.1630519584326264E-4</v>
      </c>
      <c r="K1050" s="1232">
        <v>3.0000008603787501E-3</v>
      </c>
      <c r="L1050" s="1233">
        <v>2.7950602363775699E-2</v>
      </c>
      <c r="M1050" s="1234">
        <v>5.9863648943065097E-2</v>
      </c>
      <c r="N1050" s="1235">
        <v>2.2608555695920399E-4</v>
      </c>
    </row>
    <row r="1051" spans="1:14" ht="15.5" x14ac:dyDescent="0.35">
      <c r="A1051" s="198">
        <v>2033</v>
      </c>
      <c r="B1051" s="197" t="s">
        <v>5850</v>
      </c>
      <c r="C1051" s="197">
        <v>2012</v>
      </c>
      <c r="D1051" s="110" t="str">
        <f t="shared" si="9"/>
        <v>2033_2012</v>
      </c>
      <c r="E1051" s="1231">
        <v>2.5042813719733499E-2</v>
      </c>
      <c r="F1051" s="1232">
        <v>5.3123801740972108E-2</v>
      </c>
      <c r="G1051" s="1232">
        <v>4.4685886457650099</v>
      </c>
      <c r="H1051" s="1232">
        <v>0.62776061030160391</v>
      </c>
      <c r="I1051" s="1232">
        <v>3.3227368433841699E-2</v>
      </c>
      <c r="J1051" s="1232">
        <v>2.1630519584326188E-4</v>
      </c>
      <c r="K1051" s="1232">
        <v>3.0000008603787501E-3</v>
      </c>
      <c r="L1051" s="1233">
        <v>2.7950602363902101E-2</v>
      </c>
      <c r="M1051" s="1234">
        <v>3.47297625901564E-2</v>
      </c>
      <c r="N1051" s="1235">
        <v>2.2608555695920323E-4</v>
      </c>
    </row>
    <row r="1052" spans="1:14" ht="15.5" x14ac:dyDescent="0.35">
      <c r="A1052" s="198">
        <v>2033</v>
      </c>
      <c r="B1052" s="197" t="s">
        <v>5850</v>
      </c>
      <c r="C1052" s="197">
        <v>2013</v>
      </c>
      <c r="D1052" s="110" t="str">
        <f t="shared" si="9"/>
        <v>2033_2013</v>
      </c>
      <c r="E1052" s="1231">
        <v>2.4725667340103299E-2</v>
      </c>
      <c r="F1052" s="1232">
        <v>5.3123801740972462E-2</v>
      </c>
      <c r="G1052" s="1232">
        <v>4.2165640189394002</v>
      </c>
      <c r="H1052" s="1232">
        <v>0.62776061030160657</v>
      </c>
      <c r="I1052" s="1232">
        <v>3.2312336419166698E-2</v>
      </c>
      <c r="J1052" s="1232">
        <v>2.1630519584326277E-4</v>
      </c>
      <c r="K1052" s="1232">
        <v>3.0000008603787501E-3</v>
      </c>
      <c r="L1052" s="1233">
        <v>2.7950602363890398E-2</v>
      </c>
      <c r="M1052" s="1234">
        <v>3.3773356888172103E-2</v>
      </c>
      <c r="N1052" s="1235">
        <v>2.2608555695920418E-4</v>
      </c>
    </row>
    <row r="1053" spans="1:14" ht="15.5" x14ac:dyDescent="0.35">
      <c r="A1053" s="198">
        <v>2033</v>
      </c>
      <c r="B1053" s="197" t="s">
        <v>5850</v>
      </c>
      <c r="C1053" s="197">
        <v>2014</v>
      </c>
      <c r="D1053" s="110" t="str">
        <f t="shared" si="9"/>
        <v>2033_2014</v>
      </c>
      <c r="E1053" s="1231">
        <v>1.2162506589797501E-2</v>
      </c>
      <c r="F1053" s="1232">
        <v>5.3123801740972379E-2</v>
      </c>
      <c r="G1053" s="1232">
        <v>1.5872020172176999</v>
      </c>
      <c r="H1053" s="1232">
        <v>0.62776061030160579</v>
      </c>
      <c r="I1053" s="1232">
        <v>3.7582222434866197E-2</v>
      </c>
      <c r="J1053" s="1232">
        <v>2.1630519584326299E-4</v>
      </c>
      <c r="K1053" s="1232">
        <v>3.0000008603787501E-3</v>
      </c>
      <c r="L1053" s="1233">
        <v>2.7950602363784001E-2</v>
      </c>
      <c r="M1053" s="1234">
        <v>3.9281523764728703E-2</v>
      </c>
      <c r="N1053" s="1235">
        <v>2.2608555695920437E-4</v>
      </c>
    </row>
    <row r="1054" spans="1:14" ht="15.5" x14ac:dyDescent="0.35">
      <c r="A1054" s="198">
        <v>2033</v>
      </c>
      <c r="B1054" s="197" t="s">
        <v>5850</v>
      </c>
      <c r="C1054" s="197">
        <v>2015</v>
      </c>
      <c r="D1054" s="110" t="str">
        <f t="shared" si="9"/>
        <v>2033_2015</v>
      </c>
      <c r="E1054" s="1231">
        <v>1.2162506589805101E-2</v>
      </c>
      <c r="F1054" s="1232">
        <v>5.3123801740972372E-2</v>
      </c>
      <c r="G1054" s="1232">
        <v>1.5872020172182399</v>
      </c>
      <c r="H1054" s="1232">
        <v>0.62776061030160568</v>
      </c>
      <c r="I1054" s="1232">
        <v>3.7582222434785303E-2</v>
      </c>
      <c r="J1054" s="1232">
        <v>2.1630519584326294E-4</v>
      </c>
      <c r="K1054" s="1232">
        <v>3.0000008603787501E-3</v>
      </c>
      <c r="L1054" s="1233">
        <v>2.79506023638087E-2</v>
      </c>
      <c r="M1054" s="1234">
        <v>3.9281523764644201E-2</v>
      </c>
      <c r="N1054" s="1235">
        <v>2.2608555695920432E-4</v>
      </c>
    </row>
    <row r="1055" spans="1:14" ht="15.5" x14ac:dyDescent="0.35">
      <c r="A1055" s="198">
        <v>2033</v>
      </c>
      <c r="B1055" s="197" t="s">
        <v>5850</v>
      </c>
      <c r="C1055" s="197">
        <v>2016</v>
      </c>
      <c r="D1055" s="110" t="str">
        <f t="shared" si="9"/>
        <v>2033_2016</v>
      </c>
      <c r="E1055" s="1231">
        <v>1.21625065898044E-2</v>
      </c>
      <c r="F1055" s="1232">
        <v>5.312380174097224E-2</v>
      </c>
      <c r="G1055" s="1232">
        <v>1.5872020172168699</v>
      </c>
      <c r="H1055" s="1232">
        <v>0.62776061030160391</v>
      </c>
      <c r="I1055" s="1232">
        <v>3.75822224347067E-2</v>
      </c>
      <c r="J1055" s="1232">
        <v>2.1630519584326188E-4</v>
      </c>
      <c r="K1055" s="1232">
        <v>3.0000008603787501E-3</v>
      </c>
      <c r="L1055" s="1233">
        <v>2.7950602363823698E-2</v>
      </c>
      <c r="M1055" s="1234">
        <v>3.9281523764562003E-2</v>
      </c>
      <c r="N1055" s="1235">
        <v>2.2608555695920323E-4</v>
      </c>
    </row>
    <row r="1056" spans="1:14" ht="15.5" x14ac:dyDescent="0.35">
      <c r="A1056" s="198">
        <v>2033</v>
      </c>
      <c r="B1056" s="197" t="s">
        <v>5850</v>
      </c>
      <c r="C1056" s="197">
        <v>2017</v>
      </c>
      <c r="D1056" s="110" t="str">
        <f t="shared" si="9"/>
        <v>2033_2017</v>
      </c>
      <c r="E1056" s="1231">
        <v>1.2375940741159599E-2</v>
      </c>
      <c r="F1056" s="1232">
        <v>5.3123801740971845E-2</v>
      </c>
      <c r="G1056" s="1232">
        <v>1.58710084755938</v>
      </c>
      <c r="H1056" s="1232">
        <v>0.6277606103016008</v>
      </c>
      <c r="I1056" s="1232">
        <v>3.0631206277449499E-2</v>
      </c>
      <c r="J1056" s="1232">
        <v>2.1630519584326082E-4</v>
      </c>
      <c r="K1056" s="1232">
        <v>3.0000008603787501E-3</v>
      </c>
      <c r="L1056" s="1233">
        <v>2.7950602363836102E-2</v>
      </c>
      <c r="M1056" s="1234">
        <v>3.2016213501350997E-2</v>
      </c>
      <c r="N1056" s="1235">
        <v>2.2608555695920209E-4</v>
      </c>
    </row>
    <row r="1057" spans="1:14" ht="15.5" x14ac:dyDescent="0.35">
      <c r="A1057" s="198">
        <v>2033</v>
      </c>
      <c r="B1057" s="197" t="s">
        <v>5850</v>
      </c>
      <c r="C1057" s="197">
        <v>2018</v>
      </c>
      <c r="D1057" s="110" t="str">
        <f t="shared" si="9"/>
        <v>2033_2018</v>
      </c>
      <c r="E1057" s="1231">
        <v>1.22236040591986E-2</v>
      </c>
      <c r="F1057" s="1232">
        <v>5.3123801740972525E-2</v>
      </c>
      <c r="G1057" s="1232">
        <v>1.5724092335147599</v>
      </c>
      <c r="H1057" s="1232">
        <v>0.62776061030160724</v>
      </c>
      <c r="I1057" s="1232">
        <v>3.0013946495482599E-2</v>
      </c>
      <c r="J1057" s="1232">
        <v>2.1630519584326304E-4</v>
      </c>
      <c r="K1057" s="1232">
        <v>3.0000008603787501E-3</v>
      </c>
      <c r="L1057" s="1233">
        <v>2.79506023637404E-2</v>
      </c>
      <c r="M1057" s="1234">
        <v>3.13710439710932E-2</v>
      </c>
      <c r="N1057" s="1235">
        <v>2.260855569592044E-4</v>
      </c>
    </row>
    <row r="1058" spans="1:14" ht="15.5" x14ac:dyDescent="0.35">
      <c r="A1058" s="198">
        <v>2033</v>
      </c>
      <c r="B1058" s="197" t="s">
        <v>5850</v>
      </c>
      <c r="C1058" s="197">
        <v>2019</v>
      </c>
      <c r="D1058" s="110" t="str">
        <f t="shared" si="9"/>
        <v>2033_2019</v>
      </c>
      <c r="E1058" s="1231">
        <v>1.20543410787889E-2</v>
      </c>
      <c r="F1058" s="1232">
        <v>4.7811421566875012E-2</v>
      </c>
      <c r="G1058" s="1232">
        <v>1.5557479160907199</v>
      </c>
      <c r="H1058" s="1232">
        <v>0.56498454927144481</v>
      </c>
      <c r="I1058" s="1232">
        <v>2.93281022909181E-2</v>
      </c>
      <c r="J1058" s="1232">
        <v>1.9467467625893615E-4</v>
      </c>
      <c r="K1058" s="1232">
        <v>3.0000008603787501E-3</v>
      </c>
      <c r="L1058" s="1233">
        <v>2.7950602363938599E-2</v>
      </c>
      <c r="M1058" s="1234">
        <v>3.0654188934987E-2</v>
      </c>
      <c r="N1058" s="1235">
        <v>2.0347700126328337E-4</v>
      </c>
    </row>
    <row r="1059" spans="1:14" ht="15.5" x14ac:dyDescent="0.35">
      <c r="A1059" s="198">
        <v>2033</v>
      </c>
      <c r="B1059" s="197" t="s">
        <v>5850</v>
      </c>
      <c r="C1059" s="197">
        <v>2020</v>
      </c>
      <c r="D1059" s="110" t="str">
        <f t="shared" si="9"/>
        <v>2033_2020</v>
      </c>
      <c r="E1059" s="1231">
        <v>1.18662711006998E-2</v>
      </c>
      <c r="F1059" s="1232">
        <v>4.3030279410187736E-2</v>
      </c>
      <c r="G1059" s="1232">
        <v>1.5367946050324901</v>
      </c>
      <c r="H1059" s="1232">
        <v>0.5084860943443017</v>
      </c>
      <c r="I1059" s="1232">
        <v>2.8566053175851799E-2</v>
      </c>
      <c r="J1059" s="1232">
        <v>1.75207208633043E-4</v>
      </c>
      <c r="K1059" s="1232">
        <v>3.0000008603787501E-3</v>
      </c>
      <c r="L1059" s="1233">
        <v>2.7950602363831199E-2</v>
      </c>
      <c r="M1059" s="1234">
        <v>2.9857683340480199E-2</v>
      </c>
      <c r="N1059" s="1235">
        <v>1.8312930113695554E-4</v>
      </c>
    </row>
    <row r="1060" spans="1:14" ht="15.5" x14ac:dyDescent="0.35">
      <c r="A1060" s="198">
        <v>2033</v>
      </c>
      <c r="B1060" s="197" t="s">
        <v>5850</v>
      </c>
      <c r="C1060" s="197">
        <v>2021</v>
      </c>
      <c r="D1060" s="110" t="str">
        <f t="shared" si="9"/>
        <v>2033_2021</v>
      </c>
      <c r="E1060" s="1231">
        <v>1.16573044583157E-2</v>
      </c>
      <c r="F1060" s="1232">
        <v>3.8727251469169499E-2</v>
      </c>
      <c r="G1060" s="1232">
        <v>1.51515443294861</v>
      </c>
      <c r="H1060" s="1232">
        <v>0.4576374849098781</v>
      </c>
      <c r="I1060" s="1232">
        <v>2.7719331937888302E-2</v>
      </c>
      <c r="J1060" s="1232">
        <v>1.576864877697413E-4</v>
      </c>
      <c r="K1060" s="1232">
        <v>3.0000008603787501E-3</v>
      </c>
      <c r="L1060" s="1233">
        <v>2.7950602363033799E-2</v>
      </c>
      <c r="M1060" s="1234">
        <v>2.89726771254059E-2</v>
      </c>
      <c r="N1060" s="1235">
        <v>1.6481637102326268E-4</v>
      </c>
    </row>
    <row r="1061" spans="1:14" ht="15.5" x14ac:dyDescent="0.35">
      <c r="A1061" s="198">
        <v>2033</v>
      </c>
      <c r="B1061" s="197" t="s">
        <v>5850</v>
      </c>
      <c r="C1061" s="197">
        <v>2022</v>
      </c>
      <c r="D1061" s="110" t="str">
        <f t="shared" ref="D1061:D1247" si="10">CONCATENATE(A1061,"_",C1061)</f>
        <v>2033_2022</v>
      </c>
      <c r="E1061" s="1231">
        <v>1.1425119300049E-2</v>
      </c>
      <c r="F1061" s="1232">
        <v>3.4854526322251715E-2</v>
      </c>
      <c r="G1061" s="1232">
        <v>1.4903359587468801</v>
      </c>
      <c r="H1061" s="1232">
        <v>0.41187373641888037</v>
      </c>
      <c r="I1061" s="1232">
        <v>2.6778530558832701E-2</v>
      </c>
      <c r="J1061" s="1232">
        <v>1.4191783899276345E-4</v>
      </c>
      <c r="K1061" s="1232">
        <v>3.0000008603787501E-3</v>
      </c>
      <c r="L1061" s="1233">
        <v>2.7950602364003999E-2</v>
      </c>
      <c r="M1061" s="1234">
        <v>2.7989336882733602E-2</v>
      </c>
      <c r="N1061" s="1235">
        <v>1.4833473392093251E-4</v>
      </c>
    </row>
    <row r="1062" spans="1:14" ht="15.5" x14ac:dyDescent="0.35">
      <c r="A1062" s="199">
        <v>2033</v>
      </c>
      <c r="B1062" s="110" t="s">
        <v>5850</v>
      </c>
      <c r="C1062" s="110">
        <v>2023</v>
      </c>
      <c r="D1062" s="110" t="str">
        <f t="shared" si="10"/>
        <v>2033_2023</v>
      </c>
      <c r="E1062" s="1231">
        <v>1.11671357909461E-2</v>
      </c>
      <c r="F1062" s="1232">
        <v>3.1369073690026915E-2</v>
      </c>
      <c r="G1062" s="1232">
        <v>1.39612912811379</v>
      </c>
      <c r="H1062" s="1232">
        <v>0.37068636277699668</v>
      </c>
      <c r="I1062" s="1232">
        <v>2.4693344007859601E-2</v>
      </c>
      <c r="J1062" s="1232">
        <v>1.277260550934886E-4</v>
      </c>
      <c r="K1062" s="1232">
        <v>3.0000008603787501E-3</v>
      </c>
      <c r="L1062" s="1233">
        <v>2.7950602363898899E-2</v>
      </c>
      <c r="M1062" s="1234">
        <v>2.58098674488038E-2</v>
      </c>
      <c r="N1062" s="1235">
        <v>1.3350126052884083E-4</v>
      </c>
    </row>
    <row r="1063" spans="1:14" ht="15.5" x14ac:dyDescent="0.35">
      <c r="A1063" s="199">
        <v>2033</v>
      </c>
      <c r="B1063" s="110" t="s">
        <v>5850</v>
      </c>
      <c r="C1063" s="110">
        <v>2024</v>
      </c>
      <c r="D1063" s="110" t="str">
        <f t="shared" si="10"/>
        <v>2033_2024</v>
      </c>
      <c r="E1063" s="1231">
        <v>1.08804874475268E-2</v>
      </c>
      <c r="F1063" s="1232">
        <v>2.8232166321024009E-2</v>
      </c>
      <c r="G1063" s="1232">
        <v>1.3646858037289999</v>
      </c>
      <c r="H1063" s="1232">
        <v>0.33361772649929444</v>
      </c>
      <c r="I1063" s="1232">
        <v>2.3531860826673998E-2</v>
      </c>
      <c r="J1063" s="1232">
        <v>1.1495344958413886E-4</v>
      </c>
      <c r="K1063" s="1232">
        <v>3.0000008603787501E-3</v>
      </c>
      <c r="L1063" s="1233">
        <v>2.79506023637065E-2</v>
      </c>
      <c r="M1063" s="1234">
        <v>2.4595867152170301E-2</v>
      </c>
      <c r="N1063" s="1235">
        <v>1.2015113447595584E-4</v>
      </c>
    </row>
    <row r="1064" spans="1:14" ht="15.5" x14ac:dyDescent="0.35">
      <c r="A1064" s="199">
        <v>2033</v>
      </c>
      <c r="B1064" s="110" t="s">
        <v>5850</v>
      </c>
      <c r="C1064" s="110">
        <v>2025</v>
      </c>
      <c r="D1064" s="110" t="str">
        <f t="shared" si="10"/>
        <v>2033_2025</v>
      </c>
      <c r="E1064" s="1231">
        <v>1.0561989288073699E-2</v>
      </c>
      <c r="F1064" s="1232">
        <v>2.5408949688921698E-2</v>
      </c>
      <c r="G1064" s="1232">
        <v>1.2065479157555301</v>
      </c>
      <c r="H1064" s="1232">
        <v>0.15229926224163542</v>
      </c>
      <c r="I1064" s="1232">
        <v>2.22413239578345E-2</v>
      </c>
      <c r="J1064" s="1232">
        <v>1.0345810462572559E-4</v>
      </c>
      <c r="K1064" s="1232">
        <v>3.0000008603787501E-3</v>
      </c>
      <c r="L1064" s="1233">
        <v>2.7950602363851901E-2</v>
      </c>
      <c r="M1064" s="1234">
        <v>2.3246977932794399E-2</v>
      </c>
      <c r="N1064" s="1235">
        <v>1.0813602102836091E-4</v>
      </c>
    </row>
    <row r="1065" spans="1:14" ht="15.5" x14ac:dyDescent="0.35">
      <c r="A1065" s="199">
        <v>2033</v>
      </c>
      <c r="B1065" s="110" t="s">
        <v>5850</v>
      </c>
      <c r="C1065" s="110">
        <v>2026</v>
      </c>
      <c r="D1065" s="110" t="str">
        <f t="shared" si="10"/>
        <v>2033_2026</v>
      </c>
      <c r="E1065" s="1231">
        <v>1.0208102444291999E-2</v>
      </c>
      <c r="F1065" s="1232">
        <v>2.5408949688921656E-2</v>
      </c>
      <c r="G1065" s="1232">
        <v>1.1658795507077599</v>
      </c>
      <c r="H1065" s="1232">
        <v>0.15229926224163517</v>
      </c>
      <c r="I1065" s="1232">
        <v>2.08073941040086E-2</v>
      </c>
      <c r="J1065" s="1232">
        <v>1.0345810462572543E-4</v>
      </c>
      <c r="K1065" s="1232">
        <v>3.0000008603787501E-3</v>
      </c>
      <c r="L1065" s="1233">
        <v>3.0883003180954199E-2</v>
      </c>
      <c r="M1065" s="1234">
        <v>2.1748212133948001E-2</v>
      </c>
      <c r="N1065" s="1235">
        <v>1.0813602102836073E-4</v>
      </c>
    </row>
    <row r="1066" spans="1:14" ht="15.5" x14ac:dyDescent="0.35">
      <c r="A1066" s="199">
        <v>2033</v>
      </c>
      <c r="B1066" s="110" t="s">
        <v>5850</v>
      </c>
      <c r="C1066" s="110">
        <v>2027</v>
      </c>
      <c r="D1066" s="110" t="str">
        <f t="shared" si="10"/>
        <v>2033_2027</v>
      </c>
      <c r="E1066" s="1231">
        <v>9.8542156005031103E-3</v>
      </c>
      <c r="F1066" s="1232">
        <v>2.5408949688921625E-2</v>
      </c>
      <c r="G1066" s="1232">
        <v>1.1220179655104401</v>
      </c>
      <c r="H1066" s="1232">
        <v>0.15229926224163495</v>
      </c>
      <c r="I1066" s="1232">
        <v>1.9373464250137501E-2</v>
      </c>
      <c r="J1066" s="1232">
        <v>1.0345810462572529E-4</v>
      </c>
      <c r="K1066" s="1232">
        <v>3.0000008603787501E-3</v>
      </c>
      <c r="L1066" s="1233">
        <v>3.0883003180949001E-2</v>
      </c>
      <c r="M1066" s="1234">
        <v>2.0249446335054402E-2</v>
      </c>
      <c r="N1066" s="1235">
        <v>1.0813602102836059E-4</v>
      </c>
    </row>
    <row r="1067" spans="1:14" ht="15.5" x14ac:dyDescent="0.35">
      <c r="A1067" s="199">
        <v>2033</v>
      </c>
      <c r="B1067" s="110" t="s">
        <v>5850</v>
      </c>
      <c r="C1067" s="110">
        <v>2028</v>
      </c>
      <c r="D1067" s="110" t="str">
        <f t="shared" si="10"/>
        <v>2033_2028</v>
      </c>
      <c r="E1067" s="1231">
        <v>9.5003287567114805E-3</v>
      </c>
      <c r="F1067" s="1232">
        <v>2.5408949688921611E-2</v>
      </c>
      <c r="G1067" s="1232">
        <v>0.96263364337338497</v>
      </c>
      <c r="H1067" s="1232">
        <v>0.11510804660793007</v>
      </c>
      <c r="I1067" s="1232">
        <v>1.7571853465199499E-2</v>
      </c>
      <c r="J1067" s="1232">
        <v>1.0345810462572525E-4</v>
      </c>
      <c r="K1067" s="1232">
        <v>3.0000008603787501E-3</v>
      </c>
      <c r="L1067" s="1233">
        <v>3.08830031809612E-2</v>
      </c>
      <c r="M1067" s="1234">
        <v>1.8366374704950901E-2</v>
      </c>
      <c r="N1067" s="1235">
        <v>1.0813602102836054E-4</v>
      </c>
    </row>
    <row r="1068" spans="1:14" ht="15.5" x14ac:dyDescent="0.35">
      <c r="A1068" s="199">
        <v>2033</v>
      </c>
      <c r="B1068" s="110" t="s">
        <v>5850</v>
      </c>
      <c r="C1068" s="110">
        <v>2029</v>
      </c>
      <c r="D1068" s="110" t="str">
        <f t="shared" si="10"/>
        <v>2033_2029</v>
      </c>
      <c r="E1068" s="1231">
        <v>9.1464419129241095E-3</v>
      </c>
      <c r="F1068" s="1232">
        <v>2.540894968892177E-2</v>
      </c>
      <c r="G1068" s="1232">
        <v>0.90491150393733299</v>
      </c>
      <c r="H1068" s="1232">
        <v>0.11111476277432863</v>
      </c>
      <c r="I1068" s="1232">
        <v>1.61546396353974E-2</v>
      </c>
      <c r="J1068" s="1232">
        <v>1.0345810462572563E-4</v>
      </c>
      <c r="K1068" s="1232">
        <v>3.0000008603787501E-3</v>
      </c>
      <c r="L1068" s="1233">
        <v>3.0883003180960902E-2</v>
      </c>
      <c r="M1068" s="1234">
        <v>1.6885080754558399E-2</v>
      </c>
      <c r="N1068" s="1235">
        <v>1.0813602102836093E-4</v>
      </c>
    </row>
    <row r="1069" spans="1:14" ht="15.5" x14ac:dyDescent="0.35">
      <c r="A1069" s="199">
        <v>2033</v>
      </c>
      <c r="B1069" s="110" t="s">
        <v>5850</v>
      </c>
      <c r="C1069" s="110">
        <v>2030</v>
      </c>
      <c r="D1069" s="110" t="str">
        <f t="shared" si="10"/>
        <v>2033_2030</v>
      </c>
      <c r="E1069" s="1231">
        <v>8.7925550691373196E-3</v>
      </c>
      <c r="F1069" s="1232">
        <v>2.5408949688921698E-2</v>
      </c>
      <c r="G1069" s="1232">
        <v>0.83704161368586105</v>
      </c>
      <c r="H1069" s="1232">
        <v>0.10424954900772836</v>
      </c>
      <c r="I1069" s="1232">
        <v>1.4936313556828401E-2</v>
      </c>
      <c r="J1069" s="1232">
        <v>1.034581046257256E-4</v>
      </c>
      <c r="K1069" s="1232">
        <v>3.0000008603787501E-3</v>
      </c>
      <c r="L1069" s="1233">
        <v>3.0883003180947499E-2</v>
      </c>
      <c r="M1069" s="1234">
        <v>1.5611667376958399E-2</v>
      </c>
      <c r="N1069" s="1235">
        <v>1.0813602102836089E-4</v>
      </c>
    </row>
    <row r="1070" spans="1:14" ht="15.5" x14ac:dyDescent="0.35">
      <c r="A1070" s="199">
        <v>2033</v>
      </c>
      <c r="B1070" s="110" t="s">
        <v>5850</v>
      </c>
      <c r="C1070" s="110">
        <v>2031</v>
      </c>
      <c r="D1070" s="110" t="str">
        <f t="shared" si="10"/>
        <v>2033_2031</v>
      </c>
      <c r="E1070" s="1231">
        <v>8.43866822534582E-3</v>
      </c>
      <c r="F1070" s="1232">
        <v>2.5408949688921583E-2</v>
      </c>
      <c r="G1070" s="1232">
        <v>0.75820317928930703</v>
      </c>
      <c r="H1070" s="1232">
        <v>9.543171647696029E-2</v>
      </c>
      <c r="I1070" s="1232">
        <v>1.37275703039568E-2</v>
      </c>
      <c r="J1070" s="1232">
        <v>1.0345810462572513E-4</v>
      </c>
      <c r="K1070" s="1232">
        <v>3.0000008603787501E-3</v>
      </c>
      <c r="L1070" s="1233">
        <v>3.0883003180963799E-2</v>
      </c>
      <c r="M1070" s="1234">
        <v>1.43482701179107E-2</v>
      </c>
      <c r="N1070" s="1235">
        <v>1.0813602102836043E-4</v>
      </c>
    </row>
    <row r="1071" spans="1:14" ht="15.5" x14ac:dyDescent="0.35">
      <c r="A1071" s="199">
        <v>2033</v>
      </c>
      <c r="B1071" s="110" t="s">
        <v>5850</v>
      </c>
      <c r="C1071" s="110">
        <v>2032</v>
      </c>
      <c r="D1071" s="110" t="str">
        <f t="shared" si="10"/>
        <v>2033_2032</v>
      </c>
      <c r="E1071" s="1231">
        <v>8.0847813815576302E-3</v>
      </c>
      <c r="F1071" s="1232">
        <v>2.5408949688921632E-2</v>
      </c>
      <c r="G1071" s="1232">
        <v>0.62053517534500302</v>
      </c>
      <c r="H1071" s="1232">
        <v>8.5580575850429691E-2</v>
      </c>
      <c r="I1071" s="1232">
        <v>1.20175404766654E-2</v>
      </c>
      <c r="J1071" s="1232">
        <v>1.0345810462572534E-4</v>
      </c>
      <c r="K1071" s="1232">
        <v>3.0000008603787501E-3</v>
      </c>
      <c r="L1071" s="1233">
        <v>3.0883003180966501E-2</v>
      </c>
      <c r="M1071" s="1234">
        <v>1.25609203299742E-2</v>
      </c>
      <c r="N1071" s="1235">
        <v>1.0813602102836064E-4</v>
      </c>
    </row>
    <row r="1072" spans="1:14" ht="15.5" x14ac:dyDescent="0.35">
      <c r="A1072" s="199">
        <v>2033</v>
      </c>
      <c r="B1072" s="110" t="s">
        <v>5850</v>
      </c>
      <c r="C1072" s="110">
        <v>2033</v>
      </c>
      <c r="D1072" s="110" t="str">
        <f t="shared" si="10"/>
        <v>2033_2033</v>
      </c>
      <c r="E1072" s="1231">
        <v>7.7311554977215697E-3</v>
      </c>
      <c r="F1072" s="1232">
        <v>2.5408951813222197E-2</v>
      </c>
      <c r="G1072" s="1232">
        <v>0.51021481742366004</v>
      </c>
      <c r="H1072" s="1232">
        <v>7.5615444868966E-2</v>
      </c>
      <c r="I1072" s="1232">
        <v>1.1059354199387699E-2</v>
      </c>
      <c r="J1072" s="1232">
        <v>1.0345811327528E-4</v>
      </c>
      <c r="K1072" s="1232">
        <v>3.0000008603784001E-3</v>
      </c>
      <c r="L1072" s="1233">
        <v>3.08811776190922E-2</v>
      </c>
      <c r="M1072" s="1234">
        <v>1.15594091211266E-2</v>
      </c>
      <c r="N1072" s="1235">
        <v>1.0813603006900967E-4</v>
      </c>
    </row>
    <row r="1073" spans="1:14" ht="15.5" x14ac:dyDescent="0.35">
      <c r="A1073" s="199">
        <v>2033</v>
      </c>
      <c r="B1073" s="110" t="s">
        <v>5850</v>
      </c>
      <c r="C1073" s="110">
        <v>2034</v>
      </c>
      <c r="D1073" s="110" t="str">
        <f t="shared" si="10"/>
        <v>2033_2034</v>
      </c>
      <c r="E1073" s="1231">
        <v>7.3758322157203597E-3</v>
      </c>
      <c r="F1073" s="1232">
        <v>6.0981455177812567E-2</v>
      </c>
      <c r="G1073" s="1232">
        <v>0.35057462670898498</v>
      </c>
      <c r="H1073" s="1232">
        <v>0.18147698086576197</v>
      </c>
      <c r="I1073" s="1232">
        <v>1.01470250632648E-2</v>
      </c>
      <c r="J1073" s="1232">
        <v>2.4829935307266334E-4</v>
      </c>
      <c r="K1073" s="1232">
        <v>3.0000008603803599E-3</v>
      </c>
      <c r="L1073" s="1233">
        <v>3.0891620782533401E-2</v>
      </c>
      <c r="M1073" s="1234">
        <v>1.0605828509868799E-2</v>
      </c>
      <c r="N1073" s="1235">
        <v>2.5952634800654822E-4</v>
      </c>
    </row>
    <row r="1074" spans="1:14" ht="15.5" x14ac:dyDescent="0.35">
      <c r="A1074" s="198">
        <v>2034</v>
      </c>
      <c r="B1074" s="197" t="s">
        <v>5850</v>
      </c>
      <c r="C1074" s="197">
        <v>1971</v>
      </c>
      <c r="D1074" s="110" t="str">
        <f t="shared" si="10"/>
        <v>2034_1971</v>
      </c>
      <c r="E1074" s="1226">
        <v>0.124155850809789</v>
      </c>
      <c r="F1074" s="1227">
        <v>5.2947538527987115E-2</v>
      </c>
      <c r="G1074" s="1227">
        <v>5.1253475553538399</v>
      </c>
      <c r="H1074" s="1227">
        <v>0.71107018146122869</v>
      </c>
      <c r="I1074" s="1227">
        <v>5.7273962221790299E-2</v>
      </c>
      <c r="J1074" s="1227">
        <v>2.1631001826126915E-4</v>
      </c>
      <c r="K1074" s="1227">
        <v>3.0000008603787501E-3</v>
      </c>
      <c r="L1074" s="1228">
        <v>2.79506048718405E-2</v>
      </c>
      <c r="M1074" s="1229">
        <v>5.9863636644016401E-2</v>
      </c>
      <c r="N1074" s="1230">
        <v>2.2609059742555358E-4</v>
      </c>
    </row>
    <row r="1075" spans="1:14" ht="15.5" x14ac:dyDescent="0.35">
      <c r="A1075" s="198">
        <v>2034</v>
      </c>
      <c r="B1075" s="197" t="s">
        <v>5850</v>
      </c>
      <c r="C1075" s="110">
        <v>1972</v>
      </c>
      <c r="D1075" s="110" t="str">
        <f t="shared" si="10"/>
        <v>2034_1972</v>
      </c>
      <c r="E1075" s="1226">
        <v>0.124155850809789</v>
      </c>
      <c r="F1075" s="1227">
        <v>5.2947538527987115E-2</v>
      </c>
      <c r="G1075" s="1227">
        <v>5.1253475553538399</v>
      </c>
      <c r="H1075" s="1227">
        <v>0.71107018146122869</v>
      </c>
      <c r="I1075" s="1227">
        <v>5.7273962221790299E-2</v>
      </c>
      <c r="J1075" s="1227">
        <v>2.1631001826126915E-4</v>
      </c>
      <c r="K1075" s="1227">
        <v>3.0000008603787501E-3</v>
      </c>
      <c r="L1075" s="1228">
        <v>2.79506048718405E-2</v>
      </c>
      <c r="M1075" s="1229">
        <v>5.9863636644016401E-2</v>
      </c>
      <c r="N1075" s="1230">
        <v>2.2609059742555358E-4</v>
      </c>
    </row>
    <row r="1076" spans="1:14" ht="15.5" x14ac:dyDescent="0.35">
      <c r="A1076" s="198">
        <v>2034</v>
      </c>
      <c r="B1076" s="197" t="s">
        <v>5850</v>
      </c>
      <c r="C1076" s="197">
        <v>1973</v>
      </c>
      <c r="D1076" s="110" t="str">
        <f t="shared" si="10"/>
        <v>2034_1973</v>
      </c>
      <c r="E1076" s="1226">
        <v>0.124155850809789</v>
      </c>
      <c r="F1076" s="1227">
        <v>5.2947538527987115E-2</v>
      </c>
      <c r="G1076" s="1227">
        <v>5.1253475553538399</v>
      </c>
      <c r="H1076" s="1227">
        <v>0.71107018146122869</v>
      </c>
      <c r="I1076" s="1227">
        <v>5.7273962221790299E-2</v>
      </c>
      <c r="J1076" s="1227">
        <v>2.1631001826126915E-4</v>
      </c>
      <c r="K1076" s="1227">
        <v>3.0000008603787501E-3</v>
      </c>
      <c r="L1076" s="1228">
        <v>2.79506048718405E-2</v>
      </c>
      <c r="M1076" s="1229">
        <v>5.9863636644016401E-2</v>
      </c>
      <c r="N1076" s="1230">
        <v>2.2609059742555358E-4</v>
      </c>
    </row>
    <row r="1077" spans="1:14" ht="15.5" x14ac:dyDescent="0.35">
      <c r="A1077" s="198">
        <v>2034</v>
      </c>
      <c r="B1077" s="197" t="s">
        <v>5850</v>
      </c>
      <c r="C1077" s="197">
        <v>1974</v>
      </c>
      <c r="D1077" s="110" t="str">
        <f t="shared" si="10"/>
        <v>2034_1974</v>
      </c>
      <c r="E1077" s="1226">
        <v>0.124155850809789</v>
      </c>
      <c r="F1077" s="1227">
        <v>5.2947538527987115E-2</v>
      </c>
      <c r="G1077" s="1227">
        <v>5.1253475553538399</v>
      </c>
      <c r="H1077" s="1227">
        <v>0.71107018146122869</v>
      </c>
      <c r="I1077" s="1227">
        <v>5.7273962221790299E-2</v>
      </c>
      <c r="J1077" s="1227">
        <v>2.1631001826126915E-4</v>
      </c>
      <c r="K1077" s="1227">
        <v>3.0000008603787501E-3</v>
      </c>
      <c r="L1077" s="1228">
        <v>2.79506048718405E-2</v>
      </c>
      <c r="M1077" s="1229">
        <v>5.9863636644016401E-2</v>
      </c>
      <c r="N1077" s="1230">
        <v>2.2609059742555358E-4</v>
      </c>
    </row>
    <row r="1078" spans="1:14" ht="15.5" x14ac:dyDescent="0.35">
      <c r="A1078" s="198">
        <v>2034</v>
      </c>
      <c r="B1078" s="197" t="s">
        <v>5850</v>
      </c>
      <c r="C1078" s="110">
        <v>1975</v>
      </c>
      <c r="D1078" s="110" t="str">
        <f t="shared" si="10"/>
        <v>2034_1975</v>
      </c>
      <c r="E1078" s="1226">
        <v>0.124155850809789</v>
      </c>
      <c r="F1078" s="1227">
        <v>5.2947538527987115E-2</v>
      </c>
      <c r="G1078" s="1227">
        <v>5.1253475553538399</v>
      </c>
      <c r="H1078" s="1227">
        <v>0.71107018146122869</v>
      </c>
      <c r="I1078" s="1227">
        <v>5.7273962221790299E-2</v>
      </c>
      <c r="J1078" s="1227">
        <v>2.1631001826126915E-4</v>
      </c>
      <c r="K1078" s="1227">
        <v>3.0000008603787501E-3</v>
      </c>
      <c r="L1078" s="1228">
        <v>2.79506048718405E-2</v>
      </c>
      <c r="M1078" s="1229">
        <v>5.9863636644016401E-2</v>
      </c>
      <c r="N1078" s="1230">
        <v>2.2609059742555358E-4</v>
      </c>
    </row>
    <row r="1079" spans="1:14" ht="15.5" x14ac:dyDescent="0.35">
      <c r="A1079" s="198">
        <v>2034</v>
      </c>
      <c r="B1079" s="197" t="s">
        <v>5850</v>
      </c>
      <c r="C1079" s="197">
        <v>1976</v>
      </c>
      <c r="D1079" s="110" t="str">
        <f t="shared" si="10"/>
        <v>2034_1976</v>
      </c>
      <c r="E1079" s="1226">
        <v>0.124155850809789</v>
      </c>
      <c r="F1079" s="1227">
        <v>5.2947538527987115E-2</v>
      </c>
      <c r="G1079" s="1227">
        <v>5.1253475553538399</v>
      </c>
      <c r="H1079" s="1227">
        <v>0.71107018146122869</v>
      </c>
      <c r="I1079" s="1227">
        <v>5.7273962221790299E-2</v>
      </c>
      <c r="J1079" s="1227">
        <v>2.1631001826126915E-4</v>
      </c>
      <c r="K1079" s="1227">
        <v>3.0000008603787501E-3</v>
      </c>
      <c r="L1079" s="1228">
        <v>2.79506048718405E-2</v>
      </c>
      <c r="M1079" s="1229">
        <v>5.9863636644016401E-2</v>
      </c>
      <c r="N1079" s="1230">
        <v>2.2609059742555358E-4</v>
      </c>
    </row>
    <row r="1080" spans="1:14" ht="15.5" x14ac:dyDescent="0.35">
      <c r="A1080" s="198">
        <v>2034</v>
      </c>
      <c r="B1080" s="197" t="s">
        <v>5850</v>
      </c>
      <c r="C1080" s="197">
        <v>1977</v>
      </c>
      <c r="D1080" s="110" t="str">
        <f t="shared" si="10"/>
        <v>2034_1977</v>
      </c>
      <c r="E1080" s="1226">
        <v>0.124155850809789</v>
      </c>
      <c r="F1080" s="1227">
        <v>5.2947538527987115E-2</v>
      </c>
      <c r="G1080" s="1227">
        <v>5.1253475553538399</v>
      </c>
      <c r="H1080" s="1227">
        <v>0.71107018146122869</v>
      </c>
      <c r="I1080" s="1227">
        <v>5.7273962221790299E-2</v>
      </c>
      <c r="J1080" s="1227">
        <v>2.1631001826126915E-4</v>
      </c>
      <c r="K1080" s="1227">
        <v>3.0000008603787501E-3</v>
      </c>
      <c r="L1080" s="1228">
        <v>2.79506048718405E-2</v>
      </c>
      <c r="M1080" s="1229">
        <v>5.9863636644016401E-2</v>
      </c>
      <c r="N1080" s="1230">
        <v>2.2609059742555358E-4</v>
      </c>
    </row>
    <row r="1081" spans="1:14" ht="15.5" x14ac:dyDescent="0.35">
      <c r="A1081" s="198">
        <v>2034</v>
      </c>
      <c r="B1081" s="197" t="s">
        <v>5850</v>
      </c>
      <c r="C1081" s="110">
        <v>1978</v>
      </c>
      <c r="D1081" s="110" t="str">
        <f t="shared" si="10"/>
        <v>2034_1978</v>
      </c>
      <c r="E1081" s="1226">
        <v>0.124155850809789</v>
      </c>
      <c r="F1081" s="1227">
        <v>5.2947538527987115E-2</v>
      </c>
      <c r="G1081" s="1227">
        <v>5.1253475553538399</v>
      </c>
      <c r="H1081" s="1227">
        <v>0.71107018146122869</v>
      </c>
      <c r="I1081" s="1227">
        <v>5.7273962221790299E-2</v>
      </c>
      <c r="J1081" s="1227">
        <v>2.1631001826126915E-4</v>
      </c>
      <c r="K1081" s="1227">
        <v>3.0000008603787501E-3</v>
      </c>
      <c r="L1081" s="1228">
        <v>2.79506048718405E-2</v>
      </c>
      <c r="M1081" s="1229">
        <v>5.9863636644016401E-2</v>
      </c>
      <c r="N1081" s="1230">
        <v>2.2609059742555358E-4</v>
      </c>
    </row>
    <row r="1082" spans="1:14" ht="15.5" x14ac:dyDescent="0.35">
      <c r="A1082" s="198">
        <v>2034</v>
      </c>
      <c r="B1082" s="197" t="s">
        <v>5850</v>
      </c>
      <c r="C1082" s="197">
        <v>1979</v>
      </c>
      <c r="D1082" s="110" t="str">
        <f t="shared" si="10"/>
        <v>2034_1979</v>
      </c>
      <c r="E1082" s="1226">
        <v>0.124155850809789</v>
      </c>
      <c r="F1082" s="1227">
        <v>5.2947538527987115E-2</v>
      </c>
      <c r="G1082" s="1227">
        <v>5.1253475553538399</v>
      </c>
      <c r="H1082" s="1227">
        <v>0.71107018146122869</v>
      </c>
      <c r="I1082" s="1227">
        <v>5.7273962221790299E-2</v>
      </c>
      <c r="J1082" s="1227">
        <v>2.1631001826126915E-4</v>
      </c>
      <c r="K1082" s="1227">
        <v>3.0000008603787501E-3</v>
      </c>
      <c r="L1082" s="1228">
        <v>2.79506048718405E-2</v>
      </c>
      <c r="M1082" s="1229">
        <v>5.9863636644016401E-2</v>
      </c>
      <c r="N1082" s="1230">
        <v>2.2609059742555358E-4</v>
      </c>
    </row>
    <row r="1083" spans="1:14" ht="15.5" x14ac:dyDescent="0.35">
      <c r="A1083" s="198">
        <v>2034</v>
      </c>
      <c r="B1083" s="197" t="s">
        <v>5850</v>
      </c>
      <c r="C1083" s="197">
        <v>1980</v>
      </c>
      <c r="D1083" s="110" t="str">
        <f t="shared" si="10"/>
        <v>2034_1980</v>
      </c>
      <c r="E1083" s="1226">
        <v>0.124155850809789</v>
      </c>
      <c r="F1083" s="1227">
        <v>5.2947538527987115E-2</v>
      </c>
      <c r="G1083" s="1227">
        <v>5.1253475553538399</v>
      </c>
      <c r="H1083" s="1227">
        <v>0.71107018146122869</v>
      </c>
      <c r="I1083" s="1227">
        <v>5.7273962221790299E-2</v>
      </c>
      <c r="J1083" s="1227">
        <v>2.1631001826126915E-4</v>
      </c>
      <c r="K1083" s="1227">
        <v>3.0000008603787501E-3</v>
      </c>
      <c r="L1083" s="1228">
        <v>2.79506048718405E-2</v>
      </c>
      <c r="M1083" s="1229">
        <v>5.9863636644016401E-2</v>
      </c>
      <c r="N1083" s="1230">
        <v>2.2609059742555358E-4</v>
      </c>
    </row>
    <row r="1084" spans="1:14" ht="15.5" x14ac:dyDescent="0.35">
      <c r="A1084" s="198">
        <v>2034</v>
      </c>
      <c r="B1084" s="197" t="s">
        <v>5850</v>
      </c>
      <c r="C1084" s="110">
        <v>1981</v>
      </c>
      <c r="D1084" s="110" t="str">
        <f t="shared" si="10"/>
        <v>2034_1981</v>
      </c>
      <c r="E1084" s="1226">
        <v>0.124155850809789</v>
      </c>
      <c r="F1084" s="1227">
        <v>5.2947538527987115E-2</v>
      </c>
      <c r="G1084" s="1227">
        <v>5.1253475553538399</v>
      </c>
      <c r="H1084" s="1227">
        <v>0.71107018146122869</v>
      </c>
      <c r="I1084" s="1227">
        <v>5.7273962221790299E-2</v>
      </c>
      <c r="J1084" s="1227">
        <v>2.1631001826126915E-4</v>
      </c>
      <c r="K1084" s="1227">
        <v>3.0000008603787501E-3</v>
      </c>
      <c r="L1084" s="1228">
        <v>2.79506048718405E-2</v>
      </c>
      <c r="M1084" s="1229">
        <v>5.9863636644016401E-2</v>
      </c>
      <c r="N1084" s="1230">
        <v>2.2609059742555358E-4</v>
      </c>
    </row>
    <row r="1085" spans="1:14" ht="15.5" x14ac:dyDescent="0.35">
      <c r="A1085" s="198">
        <v>2034</v>
      </c>
      <c r="B1085" s="197" t="s">
        <v>5850</v>
      </c>
      <c r="C1085" s="197">
        <v>1982</v>
      </c>
      <c r="D1085" s="110" t="str">
        <f t="shared" si="10"/>
        <v>2034_1982</v>
      </c>
      <c r="E1085" s="1226">
        <v>0.124155850809789</v>
      </c>
      <c r="F1085" s="1227">
        <v>5.2947538527987115E-2</v>
      </c>
      <c r="G1085" s="1227">
        <v>5.1253475553538399</v>
      </c>
      <c r="H1085" s="1227">
        <v>0.71107018146122869</v>
      </c>
      <c r="I1085" s="1227">
        <v>5.7273962221790299E-2</v>
      </c>
      <c r="J1085" s="1227">
        <v>2.1631001826126915E-4</v>
      </c>
      <c r="K1085" s="1227">
        <v>3.0000008603787501E-3</v>
      </c>
      <c r="L1085" s="1228">
        <v>2.79506048718405E-2</v>
      </c>
      <c r="M1085" s="1229">
        <v>5.9863636644016401E-2</v>
      </c>
      <c r="N1085" s="1230">
        <v>2.2609059742555358E-4</v>
      </c>
    </row>
    <row r="1086" spans="1:14" ht="15.5" x14ac:dyDescent="0.35">
      <c r="A1086" s="198">
        <v>2034</v>
      </c>
      <c r="B1086" s="197" t="s">
        <v>5850</v>
      </c>
      <c r="C1086" s="197">
        <v>1983</v>
      </c>
      <c r="D1086" s="110" t="str">
        <f t="shared" si="10"/>
        <v>2034_1983</v>
      </c>
      <c r="E1086" s="1226">
        <v>0.124155850809789</v>
      </c>
      <c r="F1086" s="1227">
        <v>5.2947538527987115E-2</v>
      </c>
      <c r="G1086" s="1227">
        <v>5.1253475553538399</v>
      </c>
      <c r="H1086" s="1227">
        <v>0.71107018146122869</v>
      </c>
      <c r="I1086" s="1227">
        <v>5.7273962221790299E-2</v>
      </c>
      <c r="J1086" s="1227">
        <v>2.1631001826126915E-4</v>
      </c>
      <c r="K1086" s="1227">
        <v>3.0000008603787501E-3</v>
      </c>
      <c r="L1086" s="1228">
        <v>2.79506048718405E-2</v>
      </c>
      <c r="M1086" s="1229">
        <v>5.9863636644016401E-2</v>
      </c>
      <c r="N1086" s="1230">
        <v>2.2609059742555358E-4</v>
      </c>
    </row>
    <row r="1087" spans="1:14" ht="15.5" x14ac:dyDescent="0.35">
      <c r="A1087" s="198">
        <v>2034</v>
      </c>
      <c r="B1087" s="197" t="s">
        <v>5850</v>
      </c>
      <c r="C1087" s="110">
        <v>1984</v>
      </c>
      <c r="D1087" s="110" t="str">
        <f t="shared" si="10"/>
        <v>2034_1984</v>
      </c>
      <c r="E1087" s="1226">
        <v>0.124155850809789</v>
      </c>
      <c r="F1087" s="1227">
        <v>5.2947538527987115E-2</v>
      </c>
      <c r="G1087" s="1227">
        <v>5.1253475553538399</v>
      </c>
      <c r="H1087" s="1227">
        <v>0.71107018146122869</v>
      </c>
      <c r="I1087" s="1227">
        <v>5.7273962221790299E-2</v>
      </c>
      <c r="J1087" s="1227">
        <v>2.1631001826126915E-4</v>
      </c>
      <c r="K1087" s="1227">
        <v>3.0000008603787501E-3</v>
      </c>
      <c r="L1087" s="1228">
        <v>2.79506048718405E-2</v>
      </c>
      <c r="M1087" s="1229">
        <v>5.9863636644016401E-2</v>
      </c>
      <c r="N1087" s="1230">
        <v>2.2609059742555358E-4</v>
      </c>
    </row>
    <row r="1088" spans="1:14" ht="15.5" x14ac:dyDescent="0.35">
      <c r="A1088" s="198">
        <v>2034</v>
      </c>
      <c r="B1088" s="197" t="s">
        <v>5850</v>
      </c>
      <c r="C1088" s="197">
        <v>1985</v>
      </c>
      <c r="D1088" s="110" t="str">
        <f t="shared" si="10"/>
        <v>2034_1985</v>
      </c>
      <c r="E1088" s="1226">
        <v>0.124155850809789</v>
      </c>
      <c r="F1088" s="1227">
        <v>5.2947538527987115E-2</v>
      </c>
      <c r="G1088" s="1227">
        <v>5.1253475553538399</v>
      </c>
      <c r="H1088" s="1227">
        <v>0.71107018146122869</v>
      </c>
      <c r="I1088" s="1227">
        <v>5.7273962221790299E-2</v>
      </c>
      <c r="J1088" s="1227">
        <v>2.1631001826126915E-4</v>
      </c>
      <c r="K1088" s="1227">
        <v>3.0000008603787501E-3</v>
      </c>
      <c r="L1088" s="1228">
        <v>2.79506048718405E-2</v>
      </c>
      <c r="M1088" s="1229">
        <v>5.9863636644016401E-2</v>
      </c>
      <c r="N1088" s="1230">
        <v>2.2609059742555358E-4</v>
      </c>
    </row>
    <row r="1089" spans="1:14" ht="15.5" x14ac:dyDescent="0.35">
      <c r="A1089" s="198">
        <v>2034</v>
      </c>
      <c r="B1089" s="197" t="s">
        <v>5850</v>
      </c>
      <c r="C1089" s="197">
        <v>1986</v>
      </c>
      <c r="D1089" s="110" t="str">
        <f t="shared" si="10"/>
        <v>2034_1986</v>
      </c>
      <c r="E1089" s="1226">
        <v>0.124155850809789</v>
      </c>
      <c r="F1089" s="1227">
        <v>5.2947538527987115E-2</v>
      </c>
      <c r="G1089" s="1227">
        <v>5.1253475553538399</v>
      </c>
      <c r="H1089" s="1227">
        <v>0.71107018146122869</v>
      </c>
      <c r="I1089" s="1227">
        <v>5.7273962221790299E-2</v>
      </c>
      <c r="J1089" s="1227">
        <v>2.1631001826126915E-4</v>
      </c>
      <c r="K1089" s="1227">
        <v>3.0000008603787501E-3</v>
      </c>
      <c r="L1089" s="1228">
        <v>2.79506048718405E-2</v>
      </c>
      <c r="M1089" s="1229">
        <v>5.9863636644016401E-2</v>
      </c>
      <c r="N1089" s="1230">
        <v>2.2609059742555358E-4</v>
      </c>
    </row>
    <row r="1090" spans="1:14" ht="15.5" x14ac:dyDescent="0.35">
      <c r="A1090" s="198">
        <v>2034</v>
      </c>
      <c r="B1090" s="197" t="s">
        <v>5850</v>
      </c>
      <c r="C1090" s="110">
        <v>1987</v>
      </c>
      <c r="D1090" s="110" t="str">
        <f t="shared" si="10"/>
        <v>2034_1987</v>
      </c>
      <c r="E1090" s="1226">
        <v>0.124155850809789</v>
      </c>
      <c r="F1090" s="1227">
        <v>5.2947538527987115E-2</v>
      </c>
      <c r="G1090" s="1227">
        <v>5.1253475553538399</v>
      </c>
      <c r="H1090" s="1227">
        <v>0.71107018146122869</v>
      </c>
      <c r="I1090" s="1227">
        <v>5.7273962221790299E-2</v>
      </c>
      <c r="J1090" s="1227">
        <v>2.1631001826126915E-4</v>
      </c>
      <c r="K1090" s="1227">
        <v>3.0000008603787501E-3</v>
      </c>
      <c r="L1090" s="1228">
        <v>2.79506048718405E-2</v>
      </c>
      <c r="M1090" s="1229">
        <v>5.9863636644016401E-2</v>
      </c>
      <c r="N1090" s="1230">
        <v>2.2609059742555358E-4</v>
      </c>
    </row>
    <row r="1091" spans="1:14" ht="15.5" x14ac:dyDescent="0.35">
      <c r="A1091" s="198">
        <v>2034</v>
      </c>
      <c r="B1091" s="197" t="s">
        <v>5850</v>
      </c>
      <c r="C1091" s="197">
        <v>1988</v>
      </c>
      <c r="D1091" s="110" t="str">
        <f t="shared" si="10"/>
        <v>2034_1988</v>
      </c>
      <c r="E1091" s="1226">
        <v>0.124155850809789</v>
      </c>
      <c r="F1091" s="1227">
        <v>5.2947538527987115E-2</v>
      </c>
      <c r="G1091" s="1227">
        <v>5.1253475553538399</v>
      </c>
      <c r="H1091" s="1227">
        <v>0.71107018146122869</v>
      </c>
      <c r="I1091" s="1227">
        <v>5.7273962221790299E-2</v>
      </c>
      <c r="J1091" s="1227">
        <v>2.1631001826126915E-4</v>
      </c>
      <c r="K1091" s="1227">
        <v>3.0000008603787501E-3</v>
      </c>
      <c r="L1091" s="1228">
        <v>2.79506048718405E-2</v>
      </c>
      <c r="M1091" s="1229">
        <v>5.9863636644016401E-2</v>
      </c>
      <c r="N1091" s="1230">
        <v>2.2609059742555358E-4</v>
      </c>
    </row>
    <row r="1092" spans="1:14" ht="15.5" x14ac:dyDescent="0.35">
      <c r="A1092" s="198">
        <v>2034</v>
      </c>
      <c r="B1092" s="197" t="s">
        <v>5850</v>
      </c>
      <c r="C1092" s="197">
        <v>1989</v>
      </c>
      <c r="D1092" s="110" t="str">
        <f t="shared" si="10"/>
        <v>2034_1989</v>
      </c>
      <c r="E1092" s="1226">
        <v>0.124155850809789</v>
      </c>
      <c r="F1092" s="1227">
        <v>5.2947538527987115E-2</v>
      </c>
      <c r="G1092" s="1227">
        <v>5.1253475553538399</v>
      </c>
      <c r="H1092" s="1227">
        <v>0.71107018146122869</v>
      </c>
      <c r="I1092" s="1227">
        <v>5.7273962221790299E-2</v>
      </c>
      <c r="J1092" s="1227">
        <v>2.1631001826126915E-4</v>
      </c>
      <c r="K1092" s="1227">
        <v>3.0000008603787501E-3</v>
      </c>
      <c r="L1092" s="1228">
        <v>2.79506048718405E-2</v>
      </c>
      <c r="M1092" s="1229">
        <v>5.9863636644016401E-2</v>
      </c>
      <c r="N1092" s="1230">
        <v>2.2609059742555358E-4</v>
      </c>
    </row>
    <row r="1093" spans="1:14" ht="15.5" x14ac:dyDescent="0.35">
      <c r="A1093" s="198">
        <v>2034</v>
      </c>
      <c r="B1093" s="197" t="s">
        <v>5850</v>
      </c>
      <c r="C1093" s="110">
        <v>1990</v>
      </c>
      <c r="D1093" s="110" t="str">
        <f t="shared" si="10"/>
        <v>2034_1990</v>
      </c>
      <c r="E1093" s="1226">
        <v>0.124155850809789</v>
      </c>
      <c r="F1093" s="1227">
        <v>5.2947538527987115E-2</v>
      </c>
      <c r="G1093" s="1227">
        <v>5.1253475553538399</v>
      </c>
      <c r="H1093" s="1227">
        <v>0.71107018146122869</v>
      </c>
      <c r="I1093" s="1227">
        <v>5.7273962221790299E-2</v>
      </c>
      <c r="J1093" s="1227">
        <v>2.1631001826126915E-4</v>
      </c>
      <c r="K1093" s="1227">
        <v>3.0000008603787501E-3</v>
      </c>
      <c r="L1093" s="1228">
        <v>2.79506048718405E-2</v>
      </c>
      <c r="M1093" s="1229">
        <v>5.9863636644016401E-2</v>
      </c>
      <c r="N1093" s="1230">
        <v>2.2609059742555358E-4</v>
      </c>
    </row>
    <row r="1094" spans="1:14" ht="15.5" x14ac:dyDescent="0.35">
      <c r="A1094" s="198">
        <v>2034</v>
      </c>
      <c r="B1094" s="197" t="s">
        <v>5850</v>
      </c>
      <c r="C1094" s="197">
        <v>1991</v>
      </c>
      <c r="D1094" s="110" t="str">
        <f t="shared" si="10"/>
        <v>2034_1991</v>
      </c>
      <c r="E1094" s="1226">
        <v>0.124155850809789</v>
      </c>
      <c r="F1094" s="1227">
        <v>5.2947538527987115E-2</v>
      </c>
      <c r="G1094" s="1227">
        <v>5.1253475553538399</v>
      </c>
      <c r="H1094" s="1227">
        <v>0.71107018146122869</v>
      </c>
      <c r="I1094" s="1227">
        <v>5.7273962221790299E-2</v>
      </c>
      <c r="J1094" s="1227">
        <v>2.1631001826126915E-4</v>
      </c>
      <c r="K1094" s="1227">
        <v>3.0000008603787501E-3</v>
      </c>
      <c r="L1094" s="1228">
        <v>2.79506048718405E-2</v>
      </c>
      <c r="M1094" s="1229">
        <v>5.9863636644016401E-2</v>
      </c>
      <c r="N1094" s="1230">
        <v>2.2609059742555358E-4</v>
      </c>
    </row>
    <row r="1095" spans="1:14" ht="15.5" x14ac:dyDescent="0.35">
      <c r="A1095" s="198">
        <v>2034</v>
      </c>
      <c r="B1095" s="197" t="s">
        <v>5850</v>
      </c>
      <c r="C1095" s="197">
        <v>1992</v>
      </c>
      <c r="D1095" s="110" t="str">
        <f t="shared" si="10"/>
        <v>2034_1992</v>
      </c>
      <c r="E1095" s="1226">
        <v>0.124155850809789</v>
      </c>
      <c r="F1095" s="1227">
        <v>5.2947538527987115E-2</v>
      </c>
      <c r="G1095" s="1227">
        <v>5.1253475553538399</v>
      </c>
      <c r="H1095" s="1227">
        <v>0.71107018146122869</v>
      </c>
      <c r="I1095" s="1227">
        <v>5.7273962221790299E-2</v>
      </c>
      <c r="J1095" s="1227">
        <v>2.1631001826126915E-4</v>
      </c>
      <c r="K1095" s="1227">
        <v>3.0000008603787501E-3</v>
      </c>
      <c r="L1095" s="1228">
        <v>2.79506048718405E-2</v>
      </c>
      <c r="M1095" s="1229">
        <v>5.9863636644016401E-2</v>
      </c>
      <c r="N1095" s="1230">
        <v>2.2609059742555358E-4</v>
      </c>
    </row>
    <row r="1096" spans="1:14" ht="15.5" x14ac:dyDescent="0.35">
      <c r="A1096" s="198">
        <v>2034</v>
      </c>
      <c r="B1096" s="197" t="s">
        <v>5850</v>
      </c>
      <c r="C1096" s="110">
        <v>1993</v>
      </c>
      <c r="D1096" s="110" t="str">
        <f t="shared" si="10"/>
        <v>2034_1993</v>
      </c>
      <c r="E1096" s="1226">
        <v>0.124155850809789</v>
      </c>
      <c r="F1096" s="1227">
        <v>5.2947538527987115E-2</v>
      </c>
      <c r="G1096" s="1227">
        <v>5.1253475553538399</v>
      </c>
      <c r="H1096" s="1227">
        <v>0.71107018146122869</v>
      </c>
      <c r="I1096" s="1227">
        <v>5.7273962221790299E-2</v>
      </c>
      <c r="J1096" s="1227">
        <v>2.1631001826126915E-4</v>
      </c>
      <c r="K1096" s="1227">
        <v>3.0000008603787501E-3</v>
      </c>
      <c r="L1096" s="1228">
        <v>2.79506048718405E-2</v>
      </c>
      <c r="M1096" s="1229">
        <v>5.9863636644016401E-2</v>
      </c>
      <c r="N1096" s="1230">
        <v>2.2609059742555358E-4</v>
      </c>
    </row>
    <row r="1097" spans="1:14" ht="15.5" x14ac:dyDescent="0.35">
      <c r="A1097" s="198">
        <v>2034</v>
      </c>
      <c r="B1097" s="197" t="s">
        <v>5850</v>
      </c>
      <c r="C1097" s="197">
        <v>1994</v>
      </c>
      <c r="D1097" s="110" t="str">
        <f t="shared" si="10"/>
        <v>2034_1994</v>
      </c>
      <c r="E1097" s="1226">
        <v>0.124155850809789</v>
      </c>
      <c r="F1097" s="1227">
        <v>5.2947538527987115E-2</v>
      </c>
      <c r="G1097" s="1227">
        <v>5.1253475553538399</v>
      </c>
      <c r="H1097" s="1227">
        <v>0.71107018146122869</v>
      </c>
      <c r="I1097" s="1227">
        <v>5.7273962221790299E-2</v>
      </c>
      <c r="J1097" s="1227">
        <v>2.1631001826126915E-4</v>
      </c>
      <c r="K1097" s="1227">
        <v>3.0000008603787501E-3</v>
      </c>
      <c r="L1097" s="1228">
        <v>2.79506048718405E-2</v>
      </c>
      <c r="M1097" s="1229">
        <v>5.9863636644016401E-2</v>
      </c>
      <c r="N1097" s="1230">
        <v>2.2609059742555358E-4</v>
      </c>
    </row>
    <row r="1098" spans="1:14" ht="15.5" x14ac:dyDescent="0.35">
      <c r="A1098" s="198">
        <v>2034</v>
      </c>
      <c r="B1098" s="197" t="s">
        <v>5850</v>
      </c>
      <c r="C1098" s="197">
        <v>1995</v>
      </c>
      <c r="D1098" s="110" t="str">
        <f t="shared" si="10"/>
        <v>2034_1995</v>
      </c>
      <c r="E1098" s="1226">
        <v>0.124155850809789</v>
      </c>
      <c r="F1098" s="1227">
        <v>5.2947538527987115E-2</v>
      </c>
      <c r="G1098" s="1227">
        <v>5.1253475553538399</v>
      </c>
      <c r="H1098" s="1227">
        <v>0.71107018146122869</v>
      </c>
      <c r="I1098" s="1227">
        <v>5.7273962221790299E-2</v>
      </c>
      <c r="J1098" s="1227">
        <v>2.1631001826126915E-4</v>
      </c>
      <c r="K1098" s="1227">
        <v>3.0000008603787501E-3</v>
      </c>
      <c r="L1098" s="1228">
        <v>2.79506048718405E-2</v>
      </c>
      <c r="M1098" s="1229">
        <v>5.9863636644016401E-2</v>
      </c>
      <c r="N1098" s="1230">
        <v>2.2609059742555358E-4</v>
      </c>
    </row>
    <row r="1099" spans="1:14" ht="15.5" x14ac:dyDescent="0.35">
      <c r="A1099" s="198">
        <v>2034</v>
      </c>
      <c r="B1099" s="197" t="s">
        <v>5850</v>
      </c>
      <c r="C1099" s="110">
        <v>1996</v>
      </c>
      <c r="D1099" s="110" t="str">
        <f t="shared" si="10"/>
        <v>2034_1996</v>
      </c>
      <c r="E1099" s="1226">
        <v>0.124155850809789</v>
      </c>
      <c r="F1099" s="1227">
        <v>5.2947538527987115E-2</v>
      </c>
      <c r="G1099" s="1227">
        <v>5.1253475553538399</v>
      </c>
      <c r="H1099" s="1227">
        <v>0.71107018146122869</v>
      </c>
      <c r="I1099" s="1227">
        <v>5.7273962221790299E-2</v>
      </c>
      <c r="J1099" s="1227">
        <v>2.1631001826126915E-4</v>
      </c>
      <c r="K1099" s="1227">
        <v>3.0000008603787501E-3</v>
      </c>
      <c r="L1099" s="1228">
        <v>2.79506048718405E-2</v>
      </c>
      <c r="M1099" s="1229">
        <v>5.9863636644016401E-2</v>
      </c>
      <c r="N1099" s="1230">
        <v>2.2609059742555358E-4</v>
      </c>
    </row>
    <row r="1100" spans="1:14" ht="15.5" x14ac:dyDescent="0.35">
      <c r="A1100" s="198">
        <v>2034</v>
      </c>
      <c r="B1100" s="197" t="s">
        <v>5850</v>
      </c>
      <c r="C1100" s="197">
        <v>1997</v>
      </c>
      <c r="D1100" s="110" t="str">
        <f t="shared" si="10"/>
        <v>2034_1997</v>
      </c>
      <c r="E1100" s="1226">
        <v>0.124155850809789</v>
      </c>
      <c r="F1100" s="1227">
        <v>5.2947538527987115E-2</v>
      </c>
      <c r="G1100" s="1227">
        <v>5.1253475553538399</v>
      </c>
      <c r="H1100" s="1227">
        <v>0.71107018146122869</v>
      </c>
      <c r="I1100" s="1227">
        <v>5.7273962221790299E-2</v>
      </c>
      <c r="J1100" s="1227">
        <v>2.1631001826126915E-4</v>
      </c>
      <c r="K1100" s="1227">
        <v>3.0000008603787501E-3</v>
      </c>
      <c r="L1100" s="1228">
        <v>2.79506048718405E-2</v>
      </c>
      <c r="M1100" s="1229">
        <v>5.9863636644016401E-2</v>
      </c>
      <c r="N1100" s="1230">
        <v>2.2609059742555358E-4</v>
      </c>
    </row>
    <row r="1101" spans="1:14" ht="15.5" x14ac:dyDescent="0.35">
      <c r="A1101" s="198">
        <v>2034</v>
      </c>
      <c r="B1101" s="197" t="s">
        <v>5850</v>
      </c>
      <c r="C1101" s="197">
        <v>1998</v>
      </c>
      <c r="D1101" s="110" t="str">
        <f t="shared" si="10"/>
        <v>2034_1998</v>
      </c>
      <c r="E1101" s="1226">
        <v>0.124155850809789</v>
      </c>
      <c r="F1101" s="1227">
        <v>5.2947538527987115E-2</v>
      </c>
      <c r="G1101" s="1227">
        <v>5.1253475553538399</v>
      </c>
      <c r="H1101" s="1227">
        <v>0.71107018146122869</v>
      </c>
      <c r="I1101" s="1227">
        <v>5.7273962221790299E-2</v>
      </c>
      <c r="J1101" s="1227">
        <v>2.1631001826126915E-4</v>
      </c>
      <c r="K1101" s="1227">
        <v>3.0000008603787501E-3</v>
      </c>
      <c r="L1101" s="1228">
        <v>2.79506048718405E-2</v>
      </c>
      <c r="M1101" s="1229">
        <v>5.9863636644016401E-2</v>
      </c>
      <c r="N1101" s="1230">
        <v>2.2609059742555358E-4</v>
      </c>
    </row>
    <row r="1102" spans="1:14" ht="15.5" x14ac:dyDescent="0.35">
      <c r="A1102" s="198">
        <v>2034</v>
      </c>
      <c r="B1102" s="197" t="s">
        <v>5850</v>
      </c>
      <c r="C1102" s="110">
        <v>1999</v>
      </c>
      <c r="D1102" s="110" t="str">
        <f t="shared" si="10"/>
        <v>2034_1999</v>
      </c>
      <c r="E1102" s="1226">
        <v>0.124155850809789</v>
      </c>
      <c r="F1102" s="1227">
        <v>5.2947538527987115E-2</v>
      </c>
      <c r="G1102" s="1227">
        <v>5.1253475553538399</v>
      </c>
      <c r="H1102" s="1227">
        <v>0.71107018146122869</v>
      </c>
      <c r="I1102" s="1227">
        <v>5.7273962221790299E-2</v>
      </c>
      <c r="J1102" s="1227">
        <v>2.1631001826126915E-4</v>
      </c>
      <c r="K1102" s="1227">
        <v>3.0000008603787501E-3</v>
      </c>
      <c r="L1102" s="1228">
        <v>2.79506048718405E-2</v>
      </c>
      <c r="M1102" s="1229">
        <v>5.9863636644016401E-2</v>
      </c>
      <c r="N1102" s="1230">
        <v>2.2609059742555358E-4</v>
      </c>
    </row>
    <row r="1103" spans="1:14" ht="15.5" x14ac:dyDescent="0.35">
      <c r="A1103" s="198">
        <v>2034</v>
      </c>
      <c r="B1103" s="197" t="s">
        <v>5850</v>
      </c>
      <c r="C1103" s="197">
        <v>2000</v>
      </c>
      <c r="D1103" s="110" t="str">
        <f t="shared" si="10"/>
        <v>2034_2000</v>
      </c>
      <c r="E1103" s="1226">
        <v>0.124155850809789</v>
      </c>
      <c r="F1103" s="1227">
        <v>5.2947538527987115E-2</v>
      </c>
      <c r="G1103" s="1227">
        <v>5.1253475553538399</v>
      </c>
      <c r="H1103" s="1227">
        <v>0.71107018146122869</v>
      </c>
      <c r="I1103" s="1227">
        <v>5.7273962221790299E-2</v>
      </c>
      <c r="J1103" s="1227">
        <v>2.1631001826126915E-4</v>
      </c>
      <c r="K1103" s="1227">
        <v>3.0000008603787501E-3</v>
      </c>
      <c r="L1103" s="1228">
        <v>2.79506048718405E-2</v>
      </c>
      <c r="M1103" s="1229">
        <v>5.9863636644016401E-2</v>
      </c>
      <c r="N1103" s="1230">
        <v>2.2609059742555358E-4</v>
      </c>
    </row>
    <row r="1104" spans="1:14" ht="15.5" x14ac:dyDescent="0.35">
      <c r="A1104" s="198">
        <v>2034</v>
      </c>
      <c r="B1104" s="197" t="s">
        <v>5850</v>
      </c>
      <c r="C1104" s="197">
        <v>2001</v>
      </c>
      <c r="D1104" s="110" t="str">
        <f t="shared" si="10"/>
        <v>2034_2001</v>
      </c>
      <c r="E1104" s="1226">
        <v>0.124155850809789</v>
      </c>
      <c r="F1104" s="1227">
        <v>5.2947538527987115E-2</v>
      </c>
      <c r="G1104" s="1227">
        <v>5.1253475553538399</v>
      </c>
      <c r="H1104" s="1227">
        <v>0.71107018146122869</v>
      </c>
      <c r="I1104" s="1227">
        <v>5.7273962221790299E-2</v>
      </c>
      <c r="J1104" s="1227">
        <v>2.1631001826126915E-4</v>
      </c>
      <c r="K1104" s="1227">
        <v>3.0000008603787501E-3</v>
      </c>
      <c r="L1104" s="1228">
        <v>2.79506048718405E-2</v>
      </c>
      <c r="M1104" s="1229">
        <v>5.9863636644016401E-2</v>
      </c>
      <c r="N1104" s="1230">
        <v>2.2609059742555358E-4</v>
      </c>
    </row>
    <row r="1105" spans="1:14" ht="15.5" x14ac:dyDescent="0.35">
      <c r="A1105" s="198">
        <v>2034</v>
      </c>
      <c r="B1105" s="197" t="s">
        <v>5850</v>
      </c>
      <c r="C1105" s="110">
        <v>2002</v>
      </c>
      <c r="D1105" s="110" t="str">
        <f t="shared" si="10"/>
        <v>2034_2002</v>
      </c>
      <c r="E1105" s="1226">
        <v>0.124155850809789</v>
      </c>
      <c r="F1105" s="1227">
        <v>5.2947538527987115E-2</v>
      </c>
      <c r="G1105" s="1227">
        <v>5.1253475553538399</v>
      </c>
      <c r="H1105" s="1227">
        <v>0.71107018146122869</v>
      </c>
      <c r="I1105" s="1227">
        <v>5.7273962221790299E-2</v>
      </c>
      <c r="J1105" s="1227">
        <v>2.1631001826126915E-4</v>
      </c>
      <c r="K1105" s="1227">
        <v>3.0000008603787501E-3</v>
      </c>
      <c r="L1105" s="1228">
        <v>2.79506048718405E-2</v>
      </c>
      <c r="M1105" s="1229">
        <v>5.9863636644016401E-2</v>
      </c>
      <c r="N1105" s="1230">
        <v>2.2609059742555358E-4</v>
      </c>
    </row>
    <row r="1106" spans="1:14" ht="15.5" x14ac:dyDescent="0.35">
      <c r="A1106" s="198">
        <v>2034</v>
      </c>
      <c r="B1106" s="197" t="s">
        <v>5850</v>
      </c>
      <c r="C1106" s="197">
        <v>2003</v>
      </c>
      <c r="D1106" s="110" t="str">
        <f t="shared" si="10"/>
        <v>2034_2003</v>
      </c>
      <c r="E1106" s="1226">
        <v>0.124155850809789</v>
      </c>
      <c r="F1106" s="1227">
        <v>5.2947538527987115E-2</v>
      </c>
      <c r="G1106" s="1227">
        <v>5.1253475553538399</v>
      </c>
      <c r="H1106" s="1227">
        <v>0.71107018146122869</v>
      </c>
      <c r="I1106" s="1227">
        <v>5.7273962221790299E-2</v>
      </c>
      <c r="J1106" s="1227">
        <v>2.1631001826126915E-4</v>
      </c>
      <c r="K1106" s="1227">
        <v>3.0000008603787501E-3</v>
      </c>
      <c r="L1106" s="1228">
        <v>2.79506048718405E-2</v>
      </c>
      <c r="M1106" s="1229">
        <v>5.9863636644016401E-2</v>
      </c>
      <c r="N1106" s="1230">
        <v>2.2609059742555358E-4</v>
      </c>
    </row>
    <row r="1107" spans="1:14" ht="15.5" x14ac:dyDescent="0.35">
      <c r="A1107" s="198">
        <v>2034</v>
      </c>
      <c r="B1107" s="197" t="s">
        <v>5850</v>
      </c>
      <c r="C1107" s="197">
        <v>2004</v>
      </c>
      <c r="D1107" s="110" t="str">
        <f t="shared" si="10"/>
        <v>2034_2004</v>
      </c>
      <c r="E1107" s="1226">
        <v>0.124155850809789</v>
      </c>
      <c r="F1107" s="1227">
        <v>5.2947538527987115E-2</v>
      </c>
      <c r="G1107" s="1227">
        <v>5.1253475553538399</v>
      </c>
      <c r="H1107" s="1227">
        <v>0.71107018146122869</v>
      </c>
      <c r="I1107" s="1227">
        <v>5.7273962221790299E-2</v>
      </c>
      <c r="J1107" s="1227">
        <v>2.1631001826126915E-4</v>
      </c>
      <c r="K1107" s="1227">
        <v>3.0000008603787501E-3</v>
      </c>
      <c r="L1107" s="1228">
        <v>2.79506048718405E-2</v>
      </c>
      <c r="M1107" s="1229">
        <v>5.9863636644016401E-2</v>
      </c>
      <c r="N1107" s="1230">
        <v>2.2609059742555358E-4</v>
      </c>
    </row>
    <row r="1108" spans="1:14" ht="15.5" x14ac:dyDescent="0.35">
      <c r="A1108" s="198">
        <v>2034</v>
      </c>
      <c r="B1108" s="197" t="s">
        <v>5850</v>
      </c>
      <c r="C1108" s="110">
        <v>2005</v>
      </c>
      <c r="D1108" s="110" t="str">
        <f t="shared" si="10"/>
        <v>2034_2005</v>
      </c>
      <c r="E1108" s="1226">
        <v>0.124155850809789</v>
      </c>
      <c r="F1108" s="1227">
        <v>5.2947538527987115E-2</v>
      </c>
      <c r="G1108" s="1227">
        <v>5.1253475553538399</v>
      </c>
      <c r="H1108" s="1227">
        <v>0.71107018146122869</v>
      </c>
      <c r="I1108" s="1227">
        <v>5.7273962221790299E-2</v>
      </c>
      <c r="J1108" s="1227">
        <v>2.1631001826126915E-4</v>
      </c>
      <c r="K1108" s="1227">
        <v>3.0000008603787501E-3</v>
      </c>
      <c r="L1108" s="1228">
        <v>2.79506048718405E-2</v>
      </c>
      <c r="M1108" s="1229">
        <v>5.9863636644016401E-2</v>
      </c>
      <c r="N1108" s="1230">
        <v>2.2609059742555358E-4</v>
      </c>
    </row>
    <row r="1109" spans="1:14" ht="15.5" x14ac:dyDescent="0.35">
      <c r="A1109" s="198">
        <v>2034</v>
      </c>
      <c r="B1109" s="197" t="s">
        <v>5850</v>
      </c>
      <c r="C1109" s="197">
        <v>2006</v>
      </c>
      <c r="D1109" s="110" t="str">
        <f t="shared" si="10"/>
        <v>2034_2006</v>
      </c>
      <c r="E1109" s="1226">
        <v>0.124155850809789</v>
      </c>
      <c r="F1109" s="1227">
        <v>5.2947538527987115E-2</v>
      </c>
      <c r="G1109" s="1227">
        <v>5.1253475553538399</v>
      </c>
      <c r="H1109" s="1227">
        <v>0.71107018146122869</v>
      </c>
      <c r="I1109" s="1227">
        <v>5.7273962221790299E-2</v>
      </c>
      <c r="J1109" s="1227">
        <v>2.1631001826126915E-4</v>
      </c>
      <c r="K1109" s="1227">
        <v>3.0000008603787501E-3</v>
      </c>
      <c r="L1109" s="1228">
        <v>2.79506048718405E-2</v>
      </c>
      <c r="M1109" s="1229">
        <v>5.9863636644016401E-2</v>
      </c>
      <c r="N1109" s="1230">
        <v>2.2609059742555358E-4</v>
      </c>
    </row>
    <row r="1110" spans="1:14" ht="15.5" x14ac:dyDescent="0.35">
      <c r="A1110" s="198">
        <v>2034</v>
      </c>
      <c r="B1110" s="197" t="s">
        <v>5850</v>
      </c>
      <c r="C1110" s="197">
        <v>2007</v>
      </c>
      <c r="D1110" s="110" t="str">
        <f t="shared" si="10"/>
        <v>2034_2007</v>
      </c>
      <c r="E1110" s="1226">
        <v>0.124155850809789</v>
      </c>
      <c r="F1110" s="1227">
        <v>5.2947538527987115E-2</v>
      </c>
      <c r="G1110" s="1227">
        <v>5.1253475553538399</v>
      </c>
      <c r="H1110" s="1227">
        <v>0.71107018146122869</v>
      </c>
      <c r="I1110" s="1227">
        <v>5.7273962221790299E-2</v>
      </c>
      <c r="J1110" s="1227">
        <v>2.1631001826126915E-4</v>
      </c>
      <c r="K1110" s="1227">
        <v>3.0000008603787501E-3</v>
      </c>
      <c r="L1110" s="1228">
        <v>2.79506048718405E-2</v>
      </c>
      <c r="M1110" s="1229">
        <v>5.9863636644016401E-2</v>
      </c>
      <c r="N1110" s="1230">
        <v>2.2609059742555358E-4</v>
      </c>
    </row>
    <row r="1111" spans="1:14" ht="15.5" x14ac:dyDescent="0.35">
      <c r="A1111" s="198">
        <v>2034</v>
      </c>
      <c r="B1111" s="197" t="s">
        <v>5850</v>
      </c>
      <c r="C1111" s="110">
        <v>2008</v>
      </c>
      <c r="D1111" s="110" t="str">
        <f t="shared" si="10"/>
        <v>2034_2008</v>
      </c>
      <c r="E1111" s="1226">
        <v>0.124155850809789</v>
      </c>
      <c r="F1111" s="1227">
        <v>5.2947538527987115E-2</v>
      </c>
      <c r="G1111" s="1227">
        <v>5.1253475553538399</v>
      </c>
      <c r="H1111" s="1227">
        <v>0.71107018146122869</v>
      </c>
      <c r="I1111" s="1227">
        <v>5.7273962221790299E-2</v>
      </c>
      <c r="J1111" s="1227">
        <v>2.1631001826126915E-4</v>
      </c>
      <c r="K1111" s="1227">
        <v>3.0000008603787501E-3</v>
      </c>
      <c r="L1111" s="1228">
        <v>2.79506048718405E-2</v>
      </c>
      <c r="M1111" s="1229">
        <v>5.9863636644016401E-2</v>
      </c>
      <c r="N1111" s="1230">
        <v>2.2609059742555358E-4</v>
      </c>
    </row>
    <row r="1112" spans="1:14" ht="15.5" x14ac:dyDescent="0.35">
      <c r="A1112" s="198">
        <v>2034</v>
      </c>
      <c r="B1112" s="197" t="s">
        <v>5850</v>
      </c>
      <c r="C1112" s="197">
        <v>2009</v>
      </c>
      <c r="D1112" s="110" t="str">
        <f t="shared" si="10"/>
        <v>2034_2009</v>
      </c>
      <c r="E1112" s="1226">
        <v>0.124155850809789</v>
      </c>
      <c r="F1112" s="1227">
        <v>5.2947538527987115E-2</v>
      </c>
      <c r="G1112" s="1227">
        <v>5.1253475553538399</v>
      </c>
      <c r="H1112" s="1227">
        <v>0.71107018146122869</v>
      </c>
      <c r="I1112" s="1227">
        <v>5.7273962221790299E-2</v>
      </c>
      <c r="J1112" s="1227">
        <v>2.1631001826126915E-4</v>
      </c>
      <c r="K1112" s="1227">
        <v>3.0000008603787501E-3</v>
      </c>
      <c r="L1112" s="1228">
        <v>2.79506048718405E-2</v>
      </c>
      <c r="M1112" s="1229">
        <v>5.9863636644016401E-2</v>
      </c>
      <c r="N1112" s="1230">
        <v>2.2609059742555358E-4</v>
      </c>
    </row>
    <row r="1113" spans="1:14" ht="15.5" x14ac:dyDescent="0.35">
      <c r="A1113" s="198">
        <v>2034</v>
      </c>
      <c r="B1113" s="197" t="s">
        <v>5850</v>
      </c>
      <c r="C1113" s="197">
        <v>2010</v>
      </c>
      <c r="D1113" s="110" t="str">
        <f t="shared" si="10"/>
        <v>2034_2010</v>
      </c>
      <c r="E1113" s="1226">
        <v>0.124155850809789</v>
      </c>
      <c r="F1113" s="1227">
        <v>5.2947538527987115E-2</v>
      </c>
      <c r="G1113" s="1227">
        <v>5.1253475553538399</v>
      </c>
      <c r="H1113" s="1227">
        <v>0.71107018146122869</v>
      </c>
      <c r="I1113" s="1227">
        <v>5.7273962221790299E-2</v>
      </c>
      <c r="J1113" s="1227">
        <v>2.1631001826126915E-4</v>
      </c>
      <c r="K1113" s="1227">
        <v>3.0000008603787501E-3</v>
      </c>
      <c r="L1113" s="1228">
        <v>2.79506048718405E-2</v>
      </c>
      <c r="M1113" s="1229">
        <v>5.9863636644016401E-2</v>
      </c>
      <c r="N1113" s="1230">
        <v>2.2609059742555358E-4</v>
      </c>
    </row>
    <row r="1114" spans="1:14" ht="15.5" x14ac:dyDescent="0.35">
      <c r="A1114" s="198">
        <v>2034</v>
      </c>
      <c r="B1114" s="197" t="s">
        <v>5850</v>
      </c>
      <c r="C1114" s="110">
        <v>2011</v>
      </c>
      <c r="D1114" s="110" t="str">
        <f t="shared" si="10"/>
        <v>2034_2011</v>
      </c>
      <c r="E1114" s="1231">
        <v>0.124155850809789</v>
      </c>
      <c r="F1114" s="1232">
        <v>5.2947538527987115E-2</v>
      </c>
      <c r="G1114" s="1232">
        <v>5.1253475553538399</v>
      </c>
      <c r="H1114" s="1232">
        <v>0.71107018146122869</v>
      </c>
      <c r="I1114" s="1232">
        <v>5.7273962221790299E-2</v>
      </c>
      <c r="J1114" s="1232">
        <v>2.1631001826126915E-4</v>
      </c>
      <c r="K1114" s="1232">
        <v>3.0000008603787501E-3</v>
      </c>
      <c r="L1114" s="1233">
        <v>2.79506048718405E-2</v>
      </c>
      <c r="M1114" s="1234">
        <v>5.9863636644016401E-2</v>
      </c>
      <c r="N1114" s="1235">
        <v>2.2609059742555358E-4</v>
      </c>
    </row>
    <row r="1115" spans="1:14" ht="15.5" x14ac:dyDescent="0.35">
      <c r="A1115" s="198">
        <v>2034</v>
      </c>
      <c r="B1115" s="197" t="s">
        <v>5850</v>
      </c>
      <c r="C1115" s="197">
        <v>2012</v>
      </c>
      <c r="D1115" s="110" t="str">
        <f t="shared" si="10"/>
        <v>2034_2012</v>
      </c>
      <c r="E1115" s="1231">
        <v>2.5042812884198799E-2</v>
      </c>
      <c r="F1115" s="1232">
        <v>5.3124986110016315E-2</v>
      </c>
      <c r="G1115" s="1232">
        <v>4.4685884079562701</v>
      </c>
      <c r="H1115" s="1232">
        <v>0.62777460591580403</v>
      </c>
      <c r="I1115" s="1232">
        <v>3.3227361267585298E-2</v>
      </c>
      <c r="J1115" s="1232">
        <v>2.1631001826126779E-4</v>
      </c>
      <c r="K1115" s="1232">
        <v>3.0000008603787501E-3</v>
      </c>
      <c r="L1115" s="1233">
        <v>2.7950604871966898E-2</v>
      </c>
      <c r="M1115" s="1234">
        <v>3.4729755099873597E-2</v>
      </c>
      <c r="N1115" s="1235">
        <v>2.260905974255522E-4</v>
      </c>
    </row>
    <row r="1116" spans="1:14" ht="15.5" x14ac:dyDescent="0.35">
      <c r="A1116" s="198">
        <v>2034</v>
      </c>
      <c r="B1116" s="197" t="s">
        <v>5850</v>
      </c>
      <c r="C1116" s="197">
        <v>2013</v>
      </c>
      <c r="D1116" s="110" t="str">
        <f t="shared" si="10"/>
        <v>2034_2013</v>
      </c>
      <c r="E1116" s="1231">
        <v>2.4725666371229402E-2</v>
      </c>
      <c r="F1116" s="1232">
        <v>5.3124986110016634E-2</v>
      </c>
      <c r="G1116" s="1232">
        <v>4.2165638307196103</v>
      </c>
      <c r="H1116" s="1232">
        <v>0.62777460591580636</v>
      </c>
      <c r="I1116" s="1232">
        <v>3.23123294502582E-2</v>
      </c>
      <c r="J1116" s="1232">
        <v>2.1631001826126855E-4</v>
      </c>
      <c r="K1116" s="1232">
        <v>3.0000008603787501E-3</v>
      </c>
      <c r="L1116" s="1233">
        <v>2.7950604871955199E-2</v>
      </c>
      <c r="M1116" s="1234">
        <v>3.3773349604160501E-2</v>
      </c>
      <c r="N1116" s="1235">
        <v>2.2609059742555298E-4</v>
      </c>
    </row>
    <row r="1117" spans="1:14" ht="15.5" x14ac:dyDescent="0.35">
      <c r="A1117" s="199">
        <v>2034</v>
      </c>
      <c r="B1117" s="110" t="s">
        <v>5850</v>
      </c>
      <c r="C1117" s="110">
        <v>2014</v>
      </c>
      <c r="D1117" s="110" t="str">
        <f t="shared" si="10"/>
        <v>2034_2014</v>
      </c>
      <c r="E1117" s="1231">
        <v>1.2162507303518E-2</v>
      </c>
      <c r="F1117" s="1232">
        <v>5.3124986110016592E-2</v>
      </c>
      <c r="G1117" s="1232">
        <v>1.5872020708688599</v>
      </c>
      <c r="H1117" s="1232">
        <v>0.62777460591580603</v>
      </c>
      <c r="I1117" s="1232">
        <v>3.7582214757582798E-2</v>
      </c>
      <c r="J1117" s="1232">
        <v>2.163100182612676E-4</v>
      </c>
      <c r="K1117" s="1232">
        <v>3.0000008603787501E-3</v>
      </c>
      <c r="L1117" s="1233">
        <v>2.7950604871848798E-2</v>
      </c>
      <c r="M1117" s="1234">
        <v>3.9281515740312599E-2</v>
      </c>
      <c r="N1117" s="1235">
        <v>2.2609059742555336E-4</v>
      </c>
    </row>
    <row r="1118" spans="1:14" ht="15.5" x14ac:dyDescent="0.35">
      <c r="A1118" s="199">
        <v>2034</v>
      </c>
      <c r="B1118" s="110" t="s">
        <v>5850</v>
      </c>
      <c r="C1118" s="110">
        <v>2015</v>
      </c>
      <c r="D1118" s="110" t="str">
        <f t="shared" si="10"/>
        <v>2034_2015</v>
      </c>
      <c r="E1118" s="1231">
        <v>1.2162507303525701E-2</v>
      </c>
      <c r="F1118" s="1232">
        <v>5.3124986110016405E-2</v>
      </c>
      <c r="G1118" s="1232">
        <v>1.5872020708693999</v>
      </c>
      <c r="H1118" s="1232">
        <v>0.62777460591580514</v>
      </c>
      <c r="I1118" s="1232">
        <v>3.7582214757501897E-2</v>
      </c>
      <c r="J1118" s="1232">
        <v>2.1631001826126817E-4</v>
      </c>
      <c r="K1118" s="1232">
        <v>3.0000008603787501E-3</v>
      </c>
      <c r="L1118" s="1233">
        <v>2.7950604871873501E-2</v>
      </c>
      <c r="M1118" s="1234">
        <v>3.9281515740228E-2</v>
      </c>
      <c r="N1118" s="1235">
        <v>2.2609059742555258E-4</v>
      </c>
    </row>
    <row r="1119" spans="1:14" ht="15.5" x14ac:dyDescent="0.35">
      <c r="A1119" s="199">
        <v>2034</v>
      </c>
      <c r="B1119" s="110" t="s">
        <v>5850</v>
      </c>
      <c r="C1119" s="110">
        <v>2016</v>
      </c>
      <c r="D1119" s="110" t="str">
        <f t="shared" si="10"/>
        <v>2034_2016</v>
      </c>
      <c r="E1119" s="1231">
        <v>1.2162507303525E-2</v>
      </c>
      <c r="F1119" s="1232">
        <v>5.3124986110016391E-2</v>
      </c>
      <c r="G1119" s="1232">
        <v>1.5872020708680299</v>
      </c>
      <c r="H1119" s="1232">
        <v>0.62777460591580503</v>
      </c>
      <c r="I1119" s="1232">
        <v>3.7582214757423203E-2</v>
      </c>
      <c r="J1119" s="1232">
        <v>2.1631001826126812E-4</v>
      </c>
      <c r="K1119" s="1232">
        <v>3.0000008603787501E-3</v>
      </c>
      <c r="L1119" s="1233">
        <v>2.7950604871888499E-2</v>
      </c>
      <c r="M1119" s="1234">
        <v>3.9281515740145802E-2</v>
      </c>
      <c r="N1119" s="1235">
        <v>2.2609059742555252E-4</v>
      </c>
    </row>
    <row r="1120" spans="1:14" ht="15.5" x14ac:dyDescent="0.35">
      <c r="A1120" s="199">
        <v>2034</v>
      </c>
      <c r="B1120" s="110" t="s">
        <v>5850</v>
      </c>
      <c r="C1120" s="110">
        <v>2017</v>
      </c>
      <c r="D1120" s="110" t="str">
        <f t="shared" si="10"/>
        <v>2034_2017</v>
      </c>
      <c r="E1120" s="1231">
        <v>1.2376999211273399E-2</v>
      </c>
      <c r="F1120" s="1232">
        <v>5.3124986110016287E-2</v>
      </c>
      <c r="G1120" s="1232">
        <v>1.5872020708730401</v>
      </c>
      <c r="H1120" s="1232">
        <v>0.62777460591580225</v>
      </c>
      <c r="I1120" s="1232">
        <v>3.0635490387718501E-2</v>
      </c>
      <c r="J1120" s="1232">
        <v>2.1631001826126717E-4</v>
      </c>
      <c r="K1120" s="1232">
        <v>3.0000008603787501E-3</v>
      </c>
      <c r="L1120" s="1233">
        <v>2.7950604871900899E-2</v>
      </c>
      <c r="M1120" s="1234">
        <v>3.2020691320075997E-2</v>
      </c>
      <c r="N1120" s="1235">
        <v>2.2609059742555152E-4</v>
      </c>
    </row>
    <row r="1121" spans="1:14" ht="15.5" x14ac:dyDescent="0.35">
      <c r="A1121" s="199">
        <v>2034</v>
      </c>
      <c r="B1121" s="110" t="s">
        <v>5850</v>
      </c>
      <c r="C1121" s="110">
        <v>2018</v>
      </c>
      <c r="D1121" s="110" t="str">
        <f t="shared" si="10"/>
        <v>2034_2018</v>
      </c>
      <c r="E1121" s="1231">
        <v>1.23759401097388E-2</v>
      </c>
      <c r="F1121" s="1232">
        <v>5.3124986110016696E-2</v>
      </c>
      <c r="G1121" s="1232">
        <v>1.58710090120458</v>
      </c>
      <c r="H1121" s="1232">
        <v>0.62777460591580858</v>
      </c>
      <c r="I1121" s="1232">
        <v>3.0631198968066899E-2</v>
      </c>
      <c r="J1121" s="1232">
        <v>2.1631001826126803E-4</v>
      </c>
      <c r="K1121" s="1232">
        <v>3.0000008603787501E-3</v>
      </c>
      <c r="L1121" s="1233">
        <v>2.7950604871805201E-2</v>
      </c>
      <c r="M1121" s="1234">
        <v>3.2016205861470498E-2</v>
      </c>
      <c r="N1121" s="1235">
        <v>2.2609059742555385E-4</v>
      </c>
    </row>
    <row r="1122" spans="1:14" ht="15.5" x14ac:dyDescent="0.35">
      <c r="A1122" s="199">
        <v>2034</v>
      </c>
      <c r="B1122" s="110" t="s">
        <v>5850</v>
      </c>
      <c r="C1122" s="110">
        <v>2019</v>
      </c>
      <c r="D1122" s="110" t="str">
        <f t="shared" si="10"/>
        <v>2034_2019</v>
      </c>
      <c r="E1122" s="1231">
        <v>1.2223603435455701E-2</v>
      </c>
      <c r="F1122" s="1232">
        <v>5.3124986110016419E-2</v>
      </c>
      <c r="G1122" s="1232">
        <v>1.57240928666626</v>
      </c>
      <c r="H1122" s="1232">
        <v>0.62777460591580525</v>
      </c>
      <c r="I1122" s="1232">
        <v>3.0013939332483901E-2</v>
      </c>
      <c r="J1122" s="1232">
        <v>2.1631001826126822E-4</v>
      </c>
      <c r="K1122" s="1232">
        <v>3.0000008603787501E-3</v>
      </c>
      <c r="L1122" s="1233">
        <v>2.79506048720034E-2</v>
      </c>
      <c r="M1122" s="1234">
        <v>3.1371036484215499E-2</v>
      </c>
      <c r="N1122" s="1235">
        <v>2.2609059742555263E-4</v>
      </c>
    </row>
    <row r="1123" spans="1:14" ht="15.5" x14ac:dyDescent="0.35">
      <c r="A1123" s="199">
        <v>2034</v>
      </c>
      <c r="B1123" s="110" t="s">
        <v>5850</v>
      </c>
      <c r="C1123" s="110">
        <v>2020</v>
      </c>
      <c r="D1123" s="110" t="str">
        <f t="shared" si="10"/>
        <v>2034_2020</v>
      </c>
      <c r="E1123" s="1231">
        <v>1.20543404638186E-2</v>
      </c>
      <c r="F1123" s="1232">
        <v>4.7812487499014997E-2</v>
      </c>
      <c r="G1123" s="1232">
        <v>1.5557479686812801</v>
      </c>
      <c r="H1123" s="1232">
        <v>0.5649971453242274</v>
      </c>
      <c r="I1123" s="1232">
        <v>2.9328095292640501E-2</v>
      </c>
      <c r="J1123" s="1232">
        <v>1.9467901643514229E-4</v>
      </c>
      <c r="K1123" s="1232">
        <v>3.0000008603787501E-3</v>
      </c>
      <c r="L1123" s="1233">
        <v>2.7950604871896E-2</v>
      </c>
      <c r="M1123" s="1234">
        <v>3.06541816202783E-2</v>
      </c>
      <c r="N1123" s="1235">
        <v>2.0348153768299832E-4</v>
      </c>
    </row>
    <row r="1124" spans="1:14" ht="15.5" x14ac:dyDescent="0.35">
      <c r="A1124" s="199">
        <v>2034</v>
      </c>
      <c r="B1124" s="110" t="s">
        <v>5850</v>
      </c>
      <c r="C1124" s="110">
        <v>2021</v>
      </c>
      <c r="D1124" s="110" t="str">
        <f t="shared" si="10"/>
        <v>2034_2021</v>
      </c>
      <c r="E1124" s="1231">
        <v>1.1866270495269201E-2</v>
      </c>
      <c r="F1124" s="1232">
        <v>4.3031238749114291E-2</v>
      </c>
      <c r="G1124" s="1232">
        <v>1.53679465693437</v>
      </c>
      <c r="H1124" s="1232">
        <v>0.50849743079181275</v>
      </c>
      <c r="I1124" s="1232">
        <v>2.8566046360514099E-2</v>
      </c>
      <c r="J1124" s="1232">
        <v>1.7521111479163086E-4</v>
      </c>
      <c r="K1124" s="1232">
        <v>3.0000008603787401E-3</v>
      </c>
      <c r="L1124" s="1233">
        <v>2.79506048710986E-2</v>
      </c>
      <c r="M1124" s="1234">
        <v>2.9857676216983198E-2</v>
      </c>
      <c r="N1124" s="1235">
        <v>1.8313338391470142E-4</v>
      </c>
    </row>
    <row r="1125" spans="1:14" ht="15.5" x14ac:dyDescent="0.35">
      <c r="A1125" s="199">
        <v>2034</v>
      </c>
      <c r="B1125" s="110" t="s">
        <v>5850</v>
      </c>
      <c r="C1125" s="110">
        <v>2022</v>
      </c>
      <c r="D1125" s="110" t="str">
        <f t="shared" si="10"/>
        <v>2034_2022</v>
      </c>
      <c r="E1125" s="1231">
        <v>1.16573038634842E-2</v>
      </c>
      <c r="F1125" s="1232">
        <v>3.8728114874201892E-2</v>
      </c>
      <c r="G1125" s="1232">
        <v>1.5151544842111899</v>
      </c>
      <c r="H1125" s="1232">
        <v>0.45764768771262004</v>
      </c>
      <c r="I1125" s="1232">
        <v>2.7719325321167099E-2</v>
      </c>
      <c r="J1125" s="1232">
        <v>1.5769000331246382E-4</v>
      </c>
      <c r="K1125" s="1232">
        <v>3.0000008603787501E-3</v>
      </c>
      <c r="L1125" s="1233">
        <v>2.79506048720688E-2</v>
      </c>
      <c r="M1125" s="1234">
        <v>2.8972670209505901E-2</v>
      </c>
      <c r="N1125" s="1235">
        <v>1.6482004552322713E-4</v>
      </c>
    </row>
    <row r="1126" spans="1:14" ht="15.5" x14ac:dyDescent="0.35">
      <c r="A1126" s="199">
        <v>2034</v>
      </c>
      <c r="B1126" s="110" t="s">
        <v>5850</v>
      </c>
      <c r="C1126" s="110">
        <v>2023</v>
      </c>
      <c r="D1126" s="110" t="str">
        <f t="shared" si="10"/>
        <v>2034_2023</v>
      </c>
      <c r="E1126" s="1231">
        <v>1.14251187171403E-2</v>
      </c>
      <c r="F1126" s="1232">
        <v>3.4855303386782041E-2</v>
      </c>
      <c r="G1126" s="1232">
        <v>1.42320914143378</v>
      </c>
      <c r="H1126" s="1232">
        <v>0.4118829189413612</v>
      </c>
      <c r="I1126" s="1232">
        <v>2.57386727292012E-2</v>
      </c>
      <c r="J1126" s="1232">
        <v>1.4192100298121883E-4</v>
      </c>
      <c r="K1126" s="1232">
        <v>3.0000008603787501E-3</v>
      </c>
      <c r="L1126" s="1233">
        <v>2.79506048719637E-2</v>
      </c>
      <c r="M1126" s="1234">
        <v>2.6902461296347002E-2</v>
      </c>
      <c r="N1126" s="1235">
        <v>1.4833804097090587E-4</v>
      </c>
    </row>
    <row r="1127" spans="1:14" ht="15.5" x14ac:dyDescent="0.35">
      <c r="A1127" s="199">
        <v>2034</v>
      </c>
      <c r="B1127" s="110" t="s">
        <v>5850</v>
      </c>
      <c r="C1127" s="110">
        <v>2024</v>
      </c>
      <c r="D1127" s="110" t="str">
        <f t="shared" si="10"/>
        <v>2034_2024</v>
      </c>
      <c r="E1127" s="1231">
        <v>1.1167135221231901E-2</v>
      </c>
      <c r="F1127" s="1232">
        <v>3.1369773048103573E-2</v>
      </c>
      <c r="G1127" s="1232">
        <v>1.3961291753035301</v>
      </c>
      <c r="H1127" s="1232">
        <v>0.37069462704722372</v>
      </c>
      <c r="I1127" s="1232">
        <v>2.46933381156536E-2</v>
      </c>
      <c r="J1127" s="1232">
        <v>1.2772890268309621E-4</v>
      </c>
      <c r="K1127" s="1232">
        <v>3.0000008603787501E-3</v>
      </c>
      <c r="L1127" s="1233">
        <v>2.7950604871771301E-2</v>
      </c>
      <c r="M1127" s="1234">
        <v>2.5809861290178399E-2</v>
      </c>
      <c r="N1127" s="1235">
        <v>1.3350423687381451E-4</v>
      </c>
    </row>
    <row r="1128" spans="1:14" ht="15.5" x14ac:dyDescent="0.35">
      <c r="A1128" s="199">
        <v>2034</v>
      </c>
      <c r="B1128" s="110" t="s">
        <v>5850</v>
      </c>
      <c r="C1128" s="110">
        <v>2025</v>
      </c>
      <c r="D1128" s="110" t="str">
        <f t="shared" si="10"/>
        <v>2034_2025</v>
      </c>
      <c r="E1128" s="1231">
        <v>1.08804868923438E-2</v>
      </c>
      <c r="F1128" s="1232">
        <v>2.8232795743293279E-2</v>
      </c>
      <c r="G1128" s="1232">
        <v>1.24086688795134</v>
      </c>
      <c r="H1128" s="1232">
        <v>0.16922517519868471</v>
      </c>
      <c r="I1128" s="1232">
        <v>2.35318552108148E-2</v>
      </c>
      <c r="J1128" s="1232">
        <v>1.1495601241478651E-4</v>
      </c>
      <c r="K1128" s="1232">
        <v>3.0000008603787501E-3</v>
      </c>
      <c r="L1128" s="1233">
        <v>2.7950604871916699E-2</v>
      </c>
      <c r="M1128" s="1234">
        <v>2.4595861282386802E-2</v>
      </c>
      <c r="N1128" s="1235">
        <v>1.2015381318643299E-4</v>
      </c>
    </row>
    <row r="1129" spans="1:14" ht="15.5" x14ac:dyDescent="0.35">
      <c r="A1129" s="199">
        <v>2034</v>
      </c>
      <c r="B1129" s="110" t="s">
        <v>5850</v>
      </c>
      <c r="C1129" s="110">
        <v>2026</v>
      </c>
      <c r="D1129" s="110" t="str">
        <f t="shared" si="10"/>
        <v>2034_2026</v>
      </c>
      <c r="E1129" s="1231">
        <v>1.0561988749191601E-2</v>
      </c>
      <c r="F1129" s="1232">
        <v>2.5409516168963791E-2</v>
      </c>
      <c r="G1129" s="1232">
        <v>1.2065479565396799</v>
      </c>
      <c r="H1129" s="1232">
        <v>0.15230265767881504</v>
      </c>
      <c r="I1129" s="1232">
        <v>2.22413186503457E-2</v>
      </c>
      <c r="J1129" s="1232">
        <v>1.0346041117330749E-4</v>
      </c>
      <c r="K1129" s="1232">
        <v>3.0000008603787501E-3</v>
      </c>
      <c r="L1129" s="1233">
        <v>3.08830059404262E-2</v>
      </c>
      <c r="M1129" s="1234">
        <v>2.3246972385324499E-2</v>
      </c>
      <c r="N1129" s="1235">
        <v>1.0813843186778929E-4</v>
      </c>
    </row>
    <row r="1130" spans="1:14" ht="15.5" x14ac:dyDescent="0.35">
      <c r="A1130" s="199">
        <v>2034</v>
      </c>
      <c r="B1130" s="110" t="s">
        <v>5850</v>
      </c>
      <c r="C1130" s="110">
        <v>2027</v>
      </c>
      <c r="D1130" s="110" t="str">
        <f t="shared" si="10"/>
        <v>2034_2027</v>
      </c>
      <c r="E1130" s="1231">
        <v>1.02081019234585E-2</v>
      </c>
      <c r="F1130" s="1232">
        <v>2.5409516168963926E-2</v>
      </c>
      <c r="G1130" s="1232">
        <v>1.16587959011703</v>
      </c>
      <c r="H1130" s="1232">
        <v>0.15230265767881609</v>
      </c>
      <c r="I1130" s="1232">
        <v>2.08073891386596E-2</v>
      </c>
      <c r="J1130" s="1232">
        <v>1.0346041117330778E-4</v>
      </c>
      <c r="K1130" s="1232">
        <v>3.0000008603787501E-3</v>
      </c>
      <c r="L1130" s="1233">
        <v>3.0883005940421E-2</v>
      </c>
      <c r="M1130" s="1234">
        <v>2.1748206944088001E-2</v>
      </c>
      <c r="N1130" s="1235">
        <v>1.081384318677896E-4</v>
      </c>
    </row>
    <row r="1131" spans="1:14" ht="15.5" x14ac:dyDescent="0.35">
      <c r="A1131" s="199">
        <v>2034</v>
      </c>
      <c r="B1131" s="110" t="s">
        <v>5850</v>
      </c>
      <c r="C1131" s="110">
        <v>2028</v>
      </c>
      <c r="D1131" s="110" t="str">
        <f t="shared" si="10"/>
        <v>2034_2028</v>
      </c>
      <c r="E1131" s="1231">
        <v>9.8542150977226507E-3</v>
      </c>
      <c r="F1131" s="1232">
        <v>2.5409516168963853E-2</v>
      </c>
      <c r="G1131" s="1232">
        <v>1.0099548687517701</v>
      </c>
      <c r="H1131" s="1232">
        <v>0.11531266012145722</v>
      </c>
      <c r="I1131" s="1232">
        <v>1.90073147538426E-2</v>
      </c>
      <c r="J1131" s="1232">
        <v>1.0346041117330774E-4</v>
      </c>
      <c r="K1131" s="1232">
        <v>3.0000008603787501E-3</v>
      </c>
      <c r="L1131" s="1233">
        <v>3.0883005940433202E-2</v>
      </c>
      <c r="M1131" s="1234">
        <v>1.9866741183301301E-2</v>
      </c>
      <c r="N1131" s="1235">
        <v>1.0813843186778955E-4</v>
      </c>
    </row>
    <row r="1132" spans="1:14" ht="15.5" x14ac:dyDescent="0.35">
      <c r="A1132" s="198">
        <v>2034</v>
      </c>
      <c r="B1132" s="197" t="s">
        <v>5850</v>
      </c>
      <c r="C1132" s="197">
        <v>2029</v>
      </c>
      <c r="D1132" s="110" t="str">
        <f t="shared" si="10"/>
        <v>2034_2029</v>
      </c>
      <c r="E1132" s="1231">
        <v>9.5003282719911906E-3</v>
      </c>
      <c r="F1132" s="1232">
        <v>2.5409516168963971E-2</v>
      </c>
      <c r="G1132" s="1232">
        <v>0.96263367591281301</v>
      </c>
      <c r="H1132" s="1232">
        <v>0.11511061288524217</v>
      </c>
      <c r="I1132" s="1232">
        <v>1.7571849271959001E-2</v>
      </c>
      <c r="J1132" s="1232">
        <v>1.0346041117330796E-4</v>
      </c>
      <c r="K1132" s="1232">
        <v>3.0000008603787501E-3</v>
      </c>
      <c r="L1132" s="1233">
        <v>3.08830059404329E-2</v>
      </c>
      <c r="M1132" s="1234">
        <v>1.8366370322110699E-2</v>
      </c>
      <c r="N1132" s="1235">
        <v>1.0813843186778979E-4</v>
      </c>
    </row>
    <row r="1133" spans="1:14" ht="15.5" x14ac:dyDescent="0.35">
      <c r="A1133" s="198">
        <v>2034</v>
      </c>
      <c r="B1133" s="197" t="s">
        <v>5850</v>
      </c>
      <c r="C1133" s="197">
        <v>2030</v>
      </c>
      <c r="D1133" s="110" t="str">
        <f t="shared" si="10"/>
        <v>2034_2030</v>
      </c>
      <c r="E1133" s="1231">
        <v>9.1464414462603706E-3</v>
      </c>
      <c r="F1133" s="1232">
        <v>2.540951616896394E-2</v>
      </c>
      <c r="G1133" s="1232">
        <v>0.90491153452531103</v>
      </c>
      <c r="H1133" s="1232">
        <v>0.1111172400233405</v>
      </c>
      <c r="I1133" s="1232">
        <v>1.6154635780366602E-2</v>
      </c>
      <c r="J1133" s="1232">
        <v>1.0346041117330809E-4</v>
      </c>
      <c r="K1133" s="1232">
        <v>3.0000008603787501E-3</v>
      </c>
      <c r="L1133" s="1233">
        <v>3.0883005940419601E-2</v>
      </c>
      <c r="M1133" s="1234">
        <v>1.6885076725220199E-2</v>
      </c>
      <c r="N1133" s="1235">
        <v>1.0813843186778993E-4</v>
      </c>
    </row>
    <row r="1134" spans="1:14" ht="15.5" x14ac:dyDescent="0.35">
      <c r="A1134" s="198">
        <v>2034</v>
      </c>
      <c r="B1134" s="197" t="s">
        <v>5850</v>
      </c>
      <c r="C1134" s="197">
        <v>2031</v>
      </c>
      <c r="D1134" s="110" t="str">
        <f t="shared" si="10"/>
        <v>2034_2031</v>
      </c>
      <c r="E1134" s="1231">
        <v>8.7925546205246102E-3</v>
      </c>
      <c r="F1134" s="1232">
        <v>2.5409516168963867E-2</v>
      </c>
      <c r="G1134" s="1232">
        <v>0.83704164197999797</v>
      </c>
      <c r="H1134" s="1232">
        <v>0.10425187320017398</v>
      </c>
      <c r="I1134" s="1232">
        <v>1.49363099924931E-2</v>
      </c>
      <c r="J1134" s="1232">
        <v>1.0346041117330779E-4</v>
      </c>
      <c r="K1134" s="1232">
        <v>3.0000008603787501E-3</v>
      </c>
      <c r="L1134" s="1233">
        <v>3.08830059404358E-2</v>
      </c>
      <c r="M1134" s="1234">
        <v>1.56116636514597E-2</v>
      </c>
      <c r="N1134" s="1235">
        <v>1.0813843186778962E-4</v>
      </c>
    </row>
    <row r="1135" spans="1:14" ht="15.5" x14ac:dyDescent="0.35">
      <c r="A1135" s="198">
        <v>2034</v>
      </c>
      <c r="B1135" s="197" t="s">
        <v>5850</v>
      </c>
      <c r="C1135" s="197">
        <v>2032</v>
      </c>
      <c r="D1135" s="110" t="str">
        <f t="shared" si="10"/>
        <v>2034_2032</v>
      </c>
      <c r="E1135" s="1231">
        <v>8.4386677947923192E-3</v>
      </c>
      <c r="F1135" s="1232">
        <v>2.5409516168963881E-2</v>
      </c>
      <c r="G1135" s="1232">
        <v>0.70974498572692601</v>
      </c>
      <c r="H1135" s="1232">
        <v>9.5433844080165003E-2</v>
      </c>
      <c r="I1135" s="1232">
        <v>1.30236519363847E-2</v>
      </c>
      <c r="J1135" s="1232">
        <v>1.0346041117330785E-4</v>
      </c>
      <c r="K1135" s="1232">
        <v>3.0000008603787501E-3</v>
      </c>
      <c r="L1135" s="1233">
        <v>3.0883005940438499E-2</v>
      </c>
      <c r="M1135" s="1234">
        <v>1.36125236853485E-2</v>
      </c>
      <c r="N1135" s="1235">
        <v>1.0813843186778966E-4</v>
      </c>
    </row>
    <row r="1136" spans="1:14" ht="15.5" x14ac:dyDescent="0.35">
      <c r="A1136" s="198">
        <v>2034</v>
      </c>
      <c r="B1136" s="197" t="s">
        <v>5850</v>
      </c>
      <c r="C1136" s="197">
        <v>2033</v>
      </c>
      <c r="D1136" s="110" t="str">
        <f t="shared" si="10"/>
        <v>2034_2033</v>
      </c>
      <c r="E1136" s="1231">
        <v>8.0847809690594193E-3</v>
      </c>
      <c r="F1136" s="1232">
        <v>2.5409516168963829E-2</v>
      </c>
      <c r="G1136" s="1232">
        <v>0.62053519632036003</v>
      </c>
      <c r="H1136" s="1232">
        <v>8.5582483827296607E-2</v>
      </c>
      <c r="I1136" s="1232">
        <v>1.2017537608876999E-2</v>
      </c>
      <c r="J1136" s="1232">
        <v>1.0346041117330701E-4</v>
      </c>
      <c r="K1136" s="1232">
        <v>3.0000008603787501E-3</v>
      </c>
      <c r="L1136" s="1233">
        <v>3.0883005940429299E-2</v>
      </c>
      <c r="M1136" s="1234">
        <v>1.25609173325171E-2</v>
      </c>
      <c r="N1136" s="1235">
        <v>1.0813843186778946E-4</v>
      </c>
    </row>
    <row r="1137" spans="1:14" ht="15.5" x14ac:dyDescent="0.35">
      <c r="A1137" s="198">
        <v>2034</v>
      </c>
      <c r="B1137" s="197" t="s">
        <v>5850</v>
      </c>
      <c r="C1137" s="197">
        <v>2034</v>
      </c>
      <c r="D1137" s="110" t="str">
        <f t="shared" si="10"/>
        <v>2034_2034</v>
      </c>
      <c r="E1137" s="1231">
        <v>7.7311551006528402E-3</v>
      </c>
      <c r="F1137" s="1232">
        <v>2.5409518390729857E-2</v>
      </c>
      <c r="G1137" s="1232">
        <v>0.51021483471523399</v>
      </c>
      <c r="H1137" s="1232">
        <v>7.5617130968046731E-2</v>
      </c>
      <c r="I1137" s="1232">
        <v>1.1059351545307501E-2</v>
      </c>
      <c r="J1137" s="1232">
        <v>1.0346042021971429E-4</v>
      </c>
      <c r="K1137" s="1232">
        <v>3.0000008603784001E-3</v>
      </c>
      <c r="L1137" s="1233">
        <v>3.0881180393250999E-2</v>
      </c>
      <c r="M1137" s="1234">
        <v>1.1559406347040699E-2</v>
      </c>
      <c r="N1137" s="1235">
        <v>1.0813844132323439E-4</v>
      </c>
    </row>
    <row r="1138" spans="1:14" ht="15.5" x14ac:dyDescent="0.35">
      <c r="A1138" s="198">
        <v>2034</v>
      </c>
      <c r="B1138" s="197" t="s">
        <v>5850</v>
      </c>
      <c r="C1138" s="197">
        <v>2035</v>
      </c>
      <c r="D1138" s="110" t="str">
        <f t="shared" si="10"/>
        <v>2034_2035</v>
      </c>
      <c r="E1138" s="1231">
        <v>7.3758318512113898E-3</v>
      </c>
      <c r="F1138" s="1232">
        <v>6.0982813625707184E-2</v>
      </c>
      <c r="G1138" s="1232">
        <v>0.35057463841145498</v>
      </c>
      <c r="H1138" s="1232">
        <v>0.18148102352138348</v>
      </c>
      <c r="I1138" s="1232">
        <v>1.0147022706910201E-2</v>
      </c>
      <c r="J1138" s="1232">
        <v>2.4830488429084159E-4</v>
      </c>
      <c r="K1138" s="1232">
        <v>3.0000008603803599E-3</v>
      </c>
      <c r="L1138" s="1233">
        <v>3.0891623472329498E-2</v>
      </c>
      <c r="M1138" s="1234">
        <v>1.06058260469703E-2</v>
      </c>
      <c r="N1138" s="1235">
        <v>2.5953212932186814E-4</v>
      </c>
    </row>
    <row r="1139" spans="1:14" ht="15.5" x14ac:dyDescent="0.35">
      <c r="A1139" s="198">
        <v>2035</v>
      </c>
      <c r="B1139" s="197" t="s">
        <v>5850</v>
      </c>
      <c r="C1139" s="197">
        <v>1971</v>
      </c>
      <c r="D1139" s="110" t="str">
        <f t="shared" si="10"/>
        <v>2035_1971</v>
      </c>
      <c r="E1139" s="1226">
        <v>0.124155850410193</v>
      </c>
      <c r="F1139" s="1227">
        <v>5.2948116139421561E-2</v>
      </c>
      <c r="G1139" s="1227">
        <v>5.1253474695986201</v>
      </c>
      <c r="H1139" s="1227">
        <v>0.71107793861630941</v>
      </c>
      <c r="I1139" s="1227">
        <v>5.7273956464205397E-2</v>
      </c>
      <c r="J1139" s="1227">
        <v>2.1631237801478001E-4</v>
      </c>
      <c r="K1139" s="1227">
        <v>3.0000008603787501E-3</v>
      </c>
      <c r="L1139" s="1228">
        <v>2.79506060990364E-2</v>
      </c>
      <c r="M1139" s="1229">
        <v>5.9863630626099097E-2</v>
      </c>
      <c r="N1139" s="1230">
        <v>2.2609306387664699E-4</v>
      </c>
    </row>
    <row r="1140" spans="1:14" ht="15.5" x14ac:dyDescent="0.35">
      <c r="A1140" s="198">
        <v>2035</v>
      </c>
      <c r="B1140" s="197" t="s">
        <v>5850</v>
      </c>
      <c r="C1140" s="197">
        <v>1972</v>
      </c>
      <c r="D1140" s="110" t="str">
        <f t="shared" si="10"/>
        <v>2035_1972</v>
      </c>
      <c r="E1140" s="1226">
        <v>0.124155850410193</v>
      </c>
      <c r="F1140" s="1227">
        <v>5.2948116139421561E-2</v>
      </c>
      <c r="G1140" s="1227">
        <v>5.1253474695986201</v>
      </c>
      <c r="H1140" s="1227">
        <v>0.71107793861630941</v>
      </c>
      <c r="I1140" s="1227">
        <v>5.7273956464205397E-2</v>
      </c>
      <c r="J1140" s="1227">
        <v>2.1631237801478001E-4</v>
      </c>
      <c r="K1140" s="1227">
        <v>3.0000008603787501E-3</v>
      </c>
      <c r="L1140" s="1228">
        <v>2.79506060990364E-2</v>
      </c>
      <c r="M1140" s="1229">
        <v>5.9863630626099097E-2</v>
      </c>
      <c r="N1140" s="1230">
        <v>2.2609306387664699E-4</v>
      </c>
    </row>
    <row r="1141" spans="1:14" ht="15.5" x14ac:dyDescent="0.35">
      <c r="A1141" s="198">
        <v>2035</v>
      </c>
      <c r="B1141" s="197" t="s">
        <v>5850</v>
      </c>
      <c r="C1141" s="197">
        <v>1973</v>
      </c>
      <c r="D1141" s="110" t="str">
        <f t="shared" si="10"/>
        <v>2035_1973</v>
      </c>
      <c r="E1141" s="1226">
        <v>0.124155850410193</v>
      </c>
      <c r="F1141" s="1227">
        <v>5.2948116139421561E-2</v>
      </c>
      <c r="G1141" s="1227">
        <v>5.1253474695986201</v>
      </c>
      <c r="H1141" s="1227">
        <v>0.71107793861630941</v>
      </c>
      <c r="I1141" s="1227">
        <v>5.7273956464205397E-2</v>
      </c>
      <c r="J1141" s="1227">
        <v>2.1631237801478001E-4</v>
      </c>
      <c r="K1141" s="1227">
        <v>3.0000008603787501E-3</v>
      </c>
      <c r="L1141" s="1228">
        <v>2.79506060990364E-2</v>
      </c>
      <c r="M1141" s="1229">
        <v>5.9863630626099097E-2</v>
      </c>
      <c r="N1141" s="1230">
        <v>2.2609306387664699E-4</v>
      </c>
    </row>
    <row r="1142" spans="1:14" ht="15.5" x14ac:dyDescent="0.35">
      <c r="A1142" s="198">
        <v>2035</v>
      </c>
      <c r="B1142" s="197" t="s">
        <v>5850</v>
      </c>
      <c r="C1142" s="197">
        <v>1974</v>
      </c>
      <c r="D1142" s="110" t="str">
        <f t="shared" si="10"/>
        <v>2035_1974</v>
      </c>
      <c r="E1142" s="1226">
        <v>0.124155850410193</v>
      </c>
      <c r="F1142" s="1227">
        <v>5.2948116139421561E-2</v>
      </c>
      <c r="G1142" s="1227">
        <v>5.1253474695986201</v>
      </c>
      <c r="H1142" s="1227">
        <v>0.71107793861630941</v>
      </c>
      <c r="I1142" s="1227">
        <v>5.7273956464205397E-2</v>
      </c>
      <c r="J1142" s="1227">
        <v>2.1631237801478001E-4</v>
      </c>
      <c r="K1142" s="1227">
        <v>3.0000008603787501E-3</v>
      </c>
      <c r="L1142" s="1228">
        <v>2.79506060990364E-2</v>
      </c>
      <c r="M1142" s="1229">
        <v>5.9863630626099097E-2</v>
      </c>
      <c r="N1142" s="1230">
        <v>2.2609306387664699E-4</v>
      </c>
    </row>
    <row r="1143" spans="1:14" ht="15.5" x14ac:dyDescent="0.35">
      <c r="A1143" s="198">
        <v>2035</v>
      </c>
      <c r="B1143" s="197" t="s">
        <v>5850</v>
      </c>
      <c r="C1143" s="197">
        <v>1975</v>
      </c>
      <c r="D1143" s="110" t="str">
        <f t="shared" si="10"/>
        <v>2035_1975</v>
      </c>
      <c r="E1143" s="1226">
        <v>0.124155850410193</v>
      </c>
      <c r="F1143" s="1227">
        <v>5.2948116139421561E-2</v>
      </c>
      <c r="G1143" s="1227">
        <v>5.1253474695986201</v>
      </c>
      <c r="H1143" s="1227">
        <v>0.71107793861630941</v>
      </c>
      <c r="I1143" s="1227">
        <v>5.7273956464205397E-2</v>
      </c>
      <c r="J1143" s="1227">
        <v>2.1631237801478001E-4</v>
      </c>
      <c r="K1143" s="1227">
        <v>3.0000008603787501E-3</v>
      </c>
      <c r="L1143" s="1228">
        <v>2.79506060990364E-2</v>
      </c>
      <c r="M1143" s="1229">
        <v>5.9863630626099097E-2</v>
      </c>
      <c r="N1143" s="1230">
        <v>2.2609306387664699E-4</v>
      </c>
    </row>
    <row r="1144" spans="1:14" ht="15.5" x14ac:dyDescent="0.35">
      <c r="A1144" s="198">
        <v>2035</v>
      </c>
      <c r="B1144" s="197" t="s">
        <v>5850</v>
      </c>
      <c r="C1144" s="197">
        <v>1976</v>
      </c>
      <c r="D1144" s="110" t="str">
        <f t="shared" si="10"/>
        <v>2035_1976</v>
      </c>
      <c r="E1144" s="1226">
        <v>0.124155850410193</v>
      </c>
      <c r="F1144" s="1227">
        <v>5.2948116139421561E-2</v>
      </c>
      <c r="G1144" s="1227">
        <v>5.1253474695986201</v>
      </c>
      <c r="H1144" s="1227">
        <v>0.71107793861630941</v>
      </c>
      <c r="I1144" s="1227">
        <v>5.7273956464205397E-2</v>
      </c>
      <c r="J1144" s="1227">
        <v>2.1631237801478001E-4</v>
      </c>
      <c r="K1144" s="1227">
        <v>3.0000008603787501E-3</v>
      </c>
      <c r="L1144" s="1228">
        <v>2.79506060990364E-2</v>
      </c>
      <c r="M1144" s="1229">
        <v>5.9863630626099097E-2</v>
      </c>
      <c r="N1144" s="1230">
        <v>2.2609306387664699E-4</v>
      </c>
    </row>
    <row r="1145" spans="1:14" ht="15.5" x14ac:dyDescent="0.35">
      <c r="A1145" s="198">
        <v>2035</v>
      </c>
      <c r="B1145" s="197" t="s">
        <v>5850</v>
      </c>
      <c r="C1145" s="197">
        <v>1977</v>
      </c>
      <c r="D1145" s="110" t="str">
        <f t="shared" si="10"/>
        <v>2035_1977</v>
      </c>
      <c r="E1145" s="1226">
        <v>0.124155850410193</v>
      </c>
      <c r="F1145" s="1227">
        <v>5.2948116139421561E-2</v>
      </c>
      <c r="G1145" s="1227">
        <v>5.1253474695986201</v>
      </c>
      <c r="H1145" s="1227">
        <v>0.71107793861630941</v>
      </c>
      <c r="I1145" s="1227">
        <v>5.7273956464205397E-2</v>
      </c>
      <c r="J1145" s="1227">
        <v>2.1631237801478001E-4</v>
      </c>
      <c r="K1145" s="1227">
        <v>3.0000008603787501E-3</v>
      </c>
      <c r="L1145" s="1228">
        <v>2.79506060990364E-2</v>
      </c>
      <c r="M1145" s="1229">
        <v>5.9863630626099097E-2</v>
      </c>
      <c r="N1145" s="1230">
        <v>2.2609306387664699E-4</v>
      </c>
    </row>
    <row r="1146" spans="1:14" ht="15.5" x14ac:dyDescent="0.35">
      <c r="A1146" s="198">
        <v>2035</v>
      </c>
      <c r="B1146" s="197" t="s">
        <v>5850</v>
      </c>
      <c r="C1146" s="197">
        <v>1978</v>
      </c>
      <c r="D1146" s="110" t="str">
        <f t="shared" si="10"/>
        <v>2035_1978</v>
      </c>
      <c r="E1146" s="1226">
        <v>0.124155850410193</v>
      </c>
      <c r="F1146" s="1227">
        <v>5.2948116139421561E-2</v>
      </c>
      <c r="G1146" s="1227">
        <v>5.1253474695986201</v>
      </c>
      <c r="H1146" s="1227">
        <v>0.71107793861630941</v>
      </c>
      <c r="I1146" s="1227">
        <v>5.7273956464205397E-2</v>
      </c>
      <c r="J1146" s="1227">
        <v>2.1631237801478001E-4</v>
      </c>
      <c r="K1146" s="1227">
        <v>3.0000008603787501E-3</v>
      </c>
      <c r="L1146" s="1228">
        <v>2.79506060990364E-2</v>
      </c>
      <c r="M1146" s="1229">
        <v>5.9863630626099097E-2</v>
      </c>
      <c r="N1146" s="1230">
        <v>2.2609306387664699E-4</v>
      </c>
    </row>
    <row r="1147" spans="1:14" ht="15.5" x14ac:dyDescent="0.35">
      <c r="A1147" s="198">
        <v>2035</v>
      </c>
      <c r="B1147" s="197" t="s">
        <v>5850</v>
      </c>
      <c r="C1147" s="197">
        <v>1979</v>
      </c>
      <c r="D1147" s="110" t="str">
        <f t="shared" si="10"/>
        <v>2035_1979</v>
      </c>
      <c r="E1147" s="1226">
        <v>0.124155850410193</v>
      </c>
      <c r="F1147" s="1227">
        <v>5.2948116139421561E-2</v>
      </c>
      <c r="G1147" s="1227">
        <v>5.1253474695986201</v>
      </c>
      <c r="H1147" s="1227">
        <v>0.71107793861630941</v>
      </c>
      <c r="I1147" s="1227">
        <v>5.7273956464205397E-2</v>
      </c>
      <c r="J1147" s="1227">
        <v>2.1631237801478001E-4</v>
      </c>
      <c r="K1147" s="1227">
        <v>3.0000008603787501E-3</v>
      </c>
      <c r="L1147" s="1228">
        <v>2.79506060990364E-2</v>
      </c>
      <c r="M1147" s="1229">
        <v>5.9863630626099097E-2</v>
      </c>
      <c r="N1147" s="1230">
        <v>2.2609306387664699E-4</v>
      </c>
    </row>
    <row r="1148" spans="1:14" ht="15.5" x14ac:dyDescent="0.35">
      <c r="A1148" s="198">
        <v>2035</v>
      </c>
      <c r="B1148" s="197" t="s">
        <v>5850</v>
      </c>
      <c r="C1148" s="197">
        <v>1980</v>
      </c>
      <c r="D1148" s="110" t="str">
        <f t="shared" si="10"/>
        <v>2035_1980</v>
      </c>
      <c r="E1148" s="1226">
        <v>0.124155850410193</v>
      </c>
      <c r="F1148" s="1227">
        <v>5.2948116139421561E-2</v>
      </c>
      <c r="G1148" s="1227">
        <v>5.1253474695986201</v>
      </c>
      <c r="H1148" s="1227">
        <v>0.71107793861630941</v>
      </c>
      <c r="I1148" s="1227">
        <v>5.7273956464205397E-2</v>
      </c>
      <c r="J1148" s="1227">
        <v>2.1631237801478001E-4</v>
      </c>
      <c r="K1148" s="1227">
        <v>3.0000008603787501E-3</v>
      </c>
      <c r="L1148" s="1228">
        <v>2.79506060990364E-2</v>
      </c>
      <c r="M1148" s="1229">
        <v>5.9863630626099097E-2</v>
      </c>
      <c r="N1148" s="1230">
        <v>2.2609306387664699E-4</v>
      </c>
    </row>
    <row r="1149" spans="1:14" ht="15.5" x14ac:dyDescent="0.35">
      <c r="A1149" s="198">
        <v>2035</v>
      </c>
      <c r="B1149" s="197" t="s">
        <v>5850</v>
      </c>
      <c r="C1149" s="197">
        <v>1981</v>
      </c>
      <c r="D1149" s="110" t="str">
        <f t="shared" si="10"/>
        <v>2035_1981</v>
      </c>
      <c r="E1149" s="1226">
        <v>0.124155850410193</v>
      </c>
      <c r="F1149" s="1227">
        <v>5.2948116139421561E-2</v>
      </c>
      <c r="G1149" s="1227">
        <v>5.1253474695986201</v>
      </c>
      <c r="H1149" s="1227">
        <v>0.71107793861630941</v>
      </c>
      <c r="I1149" s="1227">
        <v>5.7273956464205397E-2</v>
      </c>
      <c r="J1149" s="1227">
        <v>2.1631237801478001E-4</v>
      </c>
      <c r="K1149" s="1227">
        <v>3.0000008603787501E-3</v>
      </c>
      <c r="L1149" s="1228">
        <v>2.79506060990364E-2</v>
      </c>
      <c r="M1149" s="1229">
        <v>5.9863630626099097E-2</v>
      </c>
      <c r="N1149" s="1230">
        <v>2.2609306387664699E-4</v>
      </c>
    </row>
    <row r="1150" spans="1:14" ht="15.5" x14ac:dyDescent="0.35">
      <c r="A1150" s="198">
        <v>2035</v>
      </c>
      <c r="B1150" s="197" t="s">
        <v>5850</v>
      </c>
      <c r="C1150" s="197">
        <v>1982</v>
      </c>
      <c r="D1150" s="110" t="str">
        <f t="shared" si="10"/>
        <v>2035_1982</v>
      </c>
      <c r="E1150" s="1226">
        <v>0.124155850410193</v>
      </c>
      <c r="F1150" s="1227">
        <v>5.2948116139421561E-2</v>
      </c>
      <c r="G1150" s="1227">
        <v>5.1253474695986201</v>
      </c>
      <c r="H1150" s="1227">
        <v>0.71107793861630941</v>
      </c>
      <c r="I1150" s="1227">
        <v>5.7273956464205397E-2</v>
      </c>
      <c r="J1150" s="1227">
        <v>2.1631237801478001E-4</v>
      </c>
      <c r="K1150" s="1227">
        <v>3.0000008603787501E-3</v>
      </c>
      <c r="L1150" s="1228">
        <v>2.79506060990364E-2</v>
      </c>
      <c r="M1150" s="1229">
        <v>5.9863630626099097E-2</v>
      </c>
      <c r="N1150" s="1230">
        <v>2.2609306387664699E-4</v>
      </c>
    </row>
    <row r="1151" spans="1:14" ht="15.5" x14ac:dyDescent="0.35">
      <c r="A1151" s="198">
        <v>2035</v>
      </c>
      <c r="B1151" s="197" t="s">
        <v>5850</v>
      </c>
      <c r="C1151" s="197">
        <v>1983</v>
      </c>
      <c r="D1151" s="110" t="str">
        <f t="shared" si="10"/>
        <v>2035_1983</v>
      </c>
      <c r="E1151" s="1226">
        <v>0.124155850410193</v>
      </c>
      <c r="F1151" s="1227">
        <v>5.2948116139421561E-2</v>
      </c>
      <c r="G1151" s="1227">
        <v>5.1253474695986201</v>
      </c>
      <c r="H1151" s="1227">
        <v>0.71107793861630941</v>
      </c>
      <c r="I1151" s="1227">
        <v>5.7273956464205397E-2</v>
      </c>
      <c r="J1151" s="1227">
        <v>2.1631237801478001E-4</v>
      </c>
      <c r="K1151" s="1227">
        <v>3.0000008603787501E-3</v>
      </c>
      <c r="L1151" s="1228">
        <v>2.79506060990364E-2</v>
      </c>
      <c r="M1151" s="1229">
        <v>5.9863630626099097E-2</v>
      </c>
      <c r="N1151" s="1230">
        <v>2.2609306387664699E-4</v>
      </c>
    </row>
    <row r="1152" spans="1:14" ht="15.5" x14ac:dyDescent="0.35">
      <c r="A1152" s="198">
        <v>2035</v>
      </c>
      <c r="B1152" s="197" t="s">
        <v>5850</v>
      </c>
      <c r="C1152" s="197">
        <v>1984</v>
      </c>
      <c r="D1152" s="110" t="str">
        <f t="shared" si="10"/>
        <v>2035_1984</v>
      </c>
      <c r="E1152" s="1226">
        <v>0.124155850410193</v>
      </c>
      <c r="F1152" s="1227">
        <v>5.2948116139421561E-2</v>
      </c>
      <c r="G1152" s="1227">
        <v>5.1253474695986201</v>
      </c>
      <c r="H1152" s="1227">
        <v>0.71107793861630941</v>
      </c>
      <c r="I1152" s="1227">
        <v>5.7273956464205397E-2</v>
      </c>
      <c r="J1152" s="1227">
        <v>2.1631237801478001E-4</v>
      </c>
      <c r="K1152" s="1227">
        <v>3.0000008603787501E-3</v>
      </c>
      <c r="L1152" s="1228">
        <v>2.79506060990364E-2</v>
      </c>
      <c r="M1152" s="1229">
        <v>5.9863630626099097E-2</v>
      </c>
      <c r="N1152" s="1230">
        <v>2.2609306387664699E-4</v>
      </c>
    </row>
    <row r="1153" spans="1:14" ht="15.5" x14ac:dyDescent="0.35">
      <c r="A1153" s="198">
        <v>2035</v>
      </c>
      <c r="B1153" s="197" t="s">
        <v>5850</v>
      </c>
      <c r="C1153" s="197">
        <v>1985</v>
      </c>
      <c r="D1153" s="110" t="str">
        <f t="shared" si="10"/>
        <v>2035_1985</v>
      </c>
      <c r="E1153" s="1226">
        <v>0.124155850410193</v>
      </c>
      <c r="F1153" s="1227">
        <v>5.2948116139421561E-2</v>
      </c>
      <c r="G1153" s="1227">
        <v>5.1253474695986201</v>
      </c>
      <c r="H1153" s="1227">
        <v>0.71107793861630941</v>
      </c>
      <c r="I1153" s="1227">
        <v>5.7273956464205397E-2</v>
      </c>
      <c r="J1153" s="1227">
        <v>2.1631237801478001E-4</v>
      </c>
      <c r="K1153" s="1227">
        <v>3.0000008603787501E-3</v>
      </c>
      <c r="L1153" s="1228">
        <v>2.79506060990364E-2</v>
      </c>
      <c r="M1153" s="1229">
        <v>5.9863630626099097E-2</v>
      </c>
      <c r="N1153" s="1230">
        <v>2.2609306387664699E-4</v>
      </c>
    </row>
    <row r="1154" spans="1:14" ht="15.5" x14ac:dyDescent="0.35">
      <c r="A1154" s="198">
        <v>2035</v>
      </c>
      <c r="B1154" s="197" t="s">
        <v>5850</v>
      </c>
      <c r="C1154" s="197">
        <v>1986</v>
      </c>
      <c r="D1154" s="110" t="str">
        <f t="shared" si="10"/>
        <v>2035_1986</v>
      </c>
      <c r="E1154" s="1226">
        <v>0.124155850410193</v>
      </c>
      <c r="F1154" s="1227">
        <v>5.2948116139421561E-2</v>
      </c>
      <c r="G1154" s="1227">
        <v>5.1253474695986201</v>
      </c>
      <c r="H1154" s="1227">
        <v>0.71107793861630941</v>
      </c>
      <c r="I1154" s="1227">
        <v>5.7273956464205397E-2</v>
      </c>
      <c r="J1154" s="1227">
        <v>2.1631237801478001E-4</v>
      </c>
      <c r="K1154" s="1227">
        <v>3.0000008603787501E-3</v>
      </c>
      <c r="L1154" s="1228">
        <v>2.79506060990364E-2</v>
      </c>
      <c r="M1154" s="1229">
        <v>5.9863630626099097E-2</v>
      </c>
      <c r="N1154" s="1230">
        <v>2.2609306387664699E-4</v>
      </c>
    </row>
    <row r="1155" spans="1:14" ht="15.5" x14ac:dyDescent="0.35">
      <c r="A1155" s="198">
        <v>2035</v>
      </c>
      <c r="B1155" s="197" t="s">
        <v>5850</v>
      </c>
      <c r="C1155" s="197">
        <v>1987</v>
      </c>
      <c r="D1155" s="110" t="str">
        <f t="shared" si="10"/>
        <v>2035_1987</v>
      </c>
      <c r="E1155" s="1226">
        <v>0.124155850410193</v>
      </c>
      <c r="F1155" s="1227">
        <v>5.2948116139421561E-2</v>
      </c>
      <c r="G1155" s="1227">
        <v>5.1253474695986201</v>
      </c>
      <c r="H1155" s="1227">
        <v>0.71107793861630941</v>
      </c>
      <c r="I1155" s="1227">
        <v>5.7273956464205397E-2</v>
      </c>
      <c r="J1155" s="1227">
        <v>2.1631237801478001E-4</v>
      </c>
      <c r="K1155" s="1227">
        <v>3.0000008603787501E-3</v>
      </c>
      <c r="L1155" s="1228">
        <v>2.79506060990364E-2</v>
      </c>
      <c r="M1155" s="1229">
        <v>5.9863630626099097E-2</v>
      </c>
      <c r="N1155" s="1230">
        <v>2.2609306387664699E-4</v>
      </c>
    </row>
    <row r="1156" spans="1:14" ht="15.5" x14ac:dyDescent="0.35">
      <c r="A1156" s="198">
        <v>2035</v>
      </c>
      <c r="B1156" s="197" t="s">
        <v>5850</v>
      </c>
      <c r="C1156" s="197">
        <v>1988</v>
      </c>
      <c r="D1156" s="110" t="str">
        <f t="shared" si="10"/>
        <v>2035_1988</v>
      </c>
      <c r="E1156" s="1226">
        <v>0.124155850410193</v>
      </c>
      <c r="F1156" s="1227">
        <v>5.2948116139421561E-2</v>
      </c>
      <c r="G1156" s="1227">
        <v>5.1253474695986201</v>
      </c>
      <c r="H1156" s="1227">
        <v>0.71107793861630941</v>
      </c>
      <c r="I1156" s="1227">
        <v>5.7273956464205397E-2</v>
      </c>
      <c r="J1156" s="1227">
        <v>2.1631237801478001E-4</v>
      </c>
      <c r="K1156" s="1227">
        <v>3.0000008603787501E-3</v>
      </c>
      <c r="L1156" s="1228">
        <v>2.79506060990364E-2</v>
      </c>
      <c r="M1156" s="1229">
        <v>5.9863630626099097E-2</v>
      </c>
      <c r="N1156" s="1230">
        <v>2.2609306387664699E-4</v>
      </c>
    </row>
    <row r="1157" spans="1:14" ht="15.5" x14ac:dyDescent="0.35">
      <c r="A1157" s="198">
        <v>2035</v>
      </c>
      <c r="B1157" s="197" t="s">
        <v>5850</v>
      </c>
      <c r="C1157" s="197">
        <v>1989</v>
      </c>
      <c r="D1157" s="110" t="str">
        <f t="shared" si="10"/>
        <v>2035_1989</v>
      </c>
      <c r="E1157" s="1226">
        <v>0.124155850410193</v>
      </c>
      <c r="F1157" s="1227">
        <v>5.2948116139421561E-2</v>
      </c>
      <c r="G1157" s="1227">
        <v>5.1253474695986201</v>
      </c>
      <c r="H1157" s="1227">
        <v>0.71107793861630941</v>
      </c>
      <c r="I1157" s="1227">
        <v>5.7273956464205397E-2</v>
      </c>
      <c r="J1157" s="1227">
        <v>2.1631237801478001E-4</v>
      </c>
      <c r="K1157" s="1227">
        <v>3.0000008603787501E-3</v>
      </c>
      <c r="L1157" s="1228">
        <v>2.79506060990364E-2</v>
      </c>
      <c r="M1157" s="1229">
        <v>5.9863630626099097E-2</v>
      </c>
      <c r="N1157" s="1230">
        <v>2.2609306387664699E-4</v>
      </c>
    </row>
    <row r="1158" spans="1:14" ht="15.5" x14ac:dyDescent="0.35">
      <c r="A1158" s="198">
        <v>2035</v>
      </c>
      <c r="B1158" s="197" t="s">
        <v>5850</v>
      </c>
      <c r="C1158" s="197">
        <v>1990</v>
      </c>
      <c r="D1158" s="110" t="str">
        <f t="shared" si="10"/>
        <v>2035_1990</v>
      </c>
      <c r="E1158" s="1226">
        <v>0.124155850410193</v>
      </c>
      <c r="F1158" s="1227">
        <v>5.2948116139421561E-2</v>
      </c>
      <c r="G1158" s="1227">
        <v>5.1253474695986201</v>
      </c>
      <c r="H1158" s="1227">
        <v>0.71107793861630941</v>
      </c>
      <c r="I1158" s="1227">
        <v>5.7273956464205397E-2</v>
      </c>
      <c r="J1158" s="1227">
        <v>2.1631237801478001E-4</v>
      </c>
      <c r="K1158" s="1227">
        <v>3.0000008603787501E-3</v>
      </c>
      <c r="L1158" s="1228">
        <v>2.79506060990364E-2</v>
      </c>
      <c r="M1158" s="1229">
        <v>5.9863630626099097E-2</v>
      </c>
      <c r="N1158" s="1230">
        <v>2.2609306387664699E-4</v>
      </c>
    </row>
    <row r="1159" spans="1:14" ht="15.5" x14ac:dyDescent="0.35">
      <c r="A1159" s="198">
        <v>2035</v>
      </c>
      <c r="B1159" s="197" t="s">
        <v>5850</v>
      </c>
      <c r="C1159" s="197">
        <v>1991</v>
      </c>
      <c r="D1159" s="110" t="str">
        <f t="shared" si="10"/>
        <v>2035_1991</v>
      </c>
      <c r="E1159" s="1226">
        <v>0.124155850410193</v>
      </c>
      <c r="F1159" s="1227">
        <v>5.2948116139421561E-2</v>
      </c>
      <c r="G1159" s="1227">
        <v>5.1253474695986201</v>
      </c>
      <c r="H1159" s="1227">
        <v>0.71107793861630941</v>
      </c>
      <c r="I1159" s="1227">
        <v>5.7273956464205397E-2</v>
      </c>
      <c r="J1159" s="1227">
        <v>2.1631237801478001E-4</v>
      </c>
      <c r="K1159" s="1227">
        <v>3.0000008603787501E-3</v>
      </c>
      <c r="L1159" s="1228">
        <v>2.79506060990364E-2</v>
      </c>
      <c r="M1159" s="1229">
        <v>5.9863630626099097E-2</v>
      </c>
      <c r="N1159" s="1230">
        <v>2.2609306387664699E-4</v>
      </c>
    </row>
    <row r="1160" spans="1:14" ht="15.5" x14ac:dyDescent="0.35">
      <c r="A1160" s="198">
        <v>2035</v>
      </c>
      <c r="B1160" s="197" t="s">
        <v>5850</v>
      </c>
      <c r="C1160" s="197">
        <v>1992</v>
      </c>
      <c r="D1160" s="110" t="str">
        <f t="shared" si="10"/>
        <v>2035_1992</v>
      </c>
      <c r="E1160" s="1226">
        <v>0.124155850410193</v>
      </c>
      <c r="F1160" s="1227">
        <v>5.2948116139421561E-2</v>
      </c>
      <c r="G1160" s="1227">
        <v>5.1253474695986201</v>
      </c>
      <c r="H1160" s="1227">
        <v>0.71107793861630941</v>
      </c>
      <c r="I1160" s="1227">
        <v>5.7273956464205397E-2</v>
      </c>
      <c r="J1160" s="1227">
        <v>2.1631237801478001E-4</v>
      </c>
      <c r="K1160" s="1227">
        <v>3.0000008603787501E-3</v>
      </c>
      <c r="L1160" s="1228">
        <v>2.79506060990364E-2</v>
      </c>
      <c r="M1160" s="1229">
        <v>5.9863630626099097E-2</v>
      </c>
      <c r="N1160" s="1230">
        <v>2.2609306387664699E-4</v>
      </c>
    </row>
    <row r="1161" spans="1:14" ht="15.5" x14ac:dyDescent="0.35">
      <c r="A1161" s="198">
        <v>2035</v>
      </c>
      <c r="B1161" s="197" t="s">
        <v>5850</v>
      </c>
      <c r="C1161" s="197">
        <v>1993</v>
      </c>
      <c r="D1161" s="110" t="str">
        <f t="shared" si="10"/>
        <v>2035_1993</v>
      </c>
      <c r="E1161" s="1226">
        <v>0.124155850410193</v>
      </c>
      <c r="F1161" s="1227">
        <v>5.2948116139421561E-2</v>
      </c>
      <c r="G1161" s="1227">
        <v>5.1253474695986201</v>
      </c>
      <c r="H1161" s="1227">
        <v>0.71107793861630941</v>
      </c>
      <c r="I1161" s="1227">
        <v>5.7273956464205397E-2</v>
      </c>
      <c r="J1161" s="1227">
        <v>2.1631237801478001E-4</v>
      </c>
      <c r="K1161" s="1227">
        <v>3.0000008603787501E-3</v>
      </c>
      <c r="L1161" s="1228">
        <v>2.79506060990364E-2</v>
      </c>
      <c r="M1161" s="1229">
        <v>5.9863630626099097E-2</v>
      </c>
      <c r="N1161" s="1230">
        <v>2.2609306387664699E-4</v>
      </c>
    </row>
    <row r="1162" spans="1:14" ht="15.5" x14ac:dyDescent="0.35">
      <c r="A1162" s="198">
        <v>2035</v>
      </c>
      <c r="B1162" s="197" t="s">
        <v>5850</v>
      </c>
      <c r="C1162" s="197">
        <v>1994</v>
      </c>
      <c r="D1162" s="110" t="str">
        <f t="shared" si="10"/>
        <v>2035_1994</v>
      </c>
      <c r="E1162" s="1226">
        <v>0.124155850410193</v>
      </c>
      <c r="F1162" s="1227">
        <v>5.2948116139421561E-2</v>
      </c>
      <c r="G1162" s="1227">
        <v>5.1253474695986201</v>
      </c>
      <c r="H1162" s="1227">
        <v>0.71107793861630941</v>
      </c>
      <c r="I1162" s="1227">
        <v>5.7273956464205397E-2</v>
      </c>
      <c r="J1162" s="1227">
        <v>2.1631237801478001E-4</v>
      </c>
      <c r="K1162" s="1227">
        <v>3.0000008603787501E-3</v>
      </c>
      <c r="L1162" s="1228">
        <v>2.79506060990364E-2</v>
      </c>
      <c r="M1162" s="1229">
        <v>5.9863630626099097E-2</v>
      </c>
      <c r="N1162" s="1230">
        <v>2.2609306387664699E-4</v>
      </c>
    </row>
    <row r="1163" spans="1:14" ht="15.5" x14ac:dyDescent="0.35">
      <c r="A1163" s="198">
        <v>2035</v>
      </c>
      <c r="B1163" s="197" t="s">
        <v>5850</v>
      </c>
      <c r="C1163" s="197">
        <v>1995</v>
      </c>
      <c r="D1163" s="110" t="str">
        <f t="shared" si="10"/>
        <v>2035_1995</v>
      </c>
      <c r="E1163" s="1226">
        <v>0.124155850410193</v>
      </c>
      <c r="F1163" s="1227">
        <v>5.2948116139421561E-2</v>
      </c>
      <c r="G1163" s="1227">
        <v>5.1253474695986201</v>
      </c>
      <c r="H1163" s="1227">
        <v>0.71107793861630941</v>
      </c>
      <c r="I1163" s="1227">
        <v>5.7273956464205397E-2</v>
      </c>
      <c r="J1163" s="1227">
        <v>2.1631237801478001E-4</v>
      </c>
      <c r="K1163" s="1227">
        <v>3.0000008603787501E-3</v>
      </c>
      <c r="L1163" s="1228">
        <v>2.79506060990364E-2</v>
      </c>
      <c r="M1163" s="1229">
        <v>5.9863630626099097E-2</v>
      </c>
      <c r="N1163" s="1230">
        <v>2.2609306387664699E-4</v>
      </c>
    </row>
    <row r="1164" spans="1:14" ht="15.5" x14ac:dyDescent="0.35">
      <c r="A1164" s="198">
        <v>2035</v>
      </c>
      <c r="B1164" s="197" t="s">
        <v>5850</v>
      </c>
      <c r="C1164" s="197">
        <v>1996</v>
      </c>
      <c r="D1164" s="110" t="str">
        <f t="shared" si="10"/>
        <v>2035_1996</v>
      </c>
      <c r="E1164" s="1226">
        <v>0.124155850410193</v>
      </c>
      <c r="F1164" s="1227">
        <v>5.2948116139421561E-2</v>
      </c>
      <c r="G1164" s="1227">
        <v>5.1253474695986201</v>
      </c>
      <c r="H1164" s="1227">
        <v>0.71107793861630941</v>
      </c>
      <c r="I1164" s="1227">
        <v>5.7273956464205397E-2</v>
      </c>
      <c r="J1164" s="1227">
        <v>2.1631237801478001E-4</v>
      </c>
      <c r="K1164" s="1227">
        <v>3.0000008603787501E-3</v>
      </c>
      <c r="L1164" s="1228">
        <v>2.79506060990364E-2</v>
      </c>
      <c r="M1164" s="1229">
        <v>5.9863630626099097E-2</v>
      </c>
      <c r="N1164" s="1230">
        <v>2.2609306387664699E-4</v>
      </c>
    </row>
    <row r="1165" spans="1:14" ht="15.5" x14ac:dyDescent="0.35">
      <c r="A1165" s="198">
        <v>2035</v>
      </c>
      <c r="B1165" s="197" t="s">
        <v>5850</v>
      </c>
      <c r="C1165" s="197">
        <v>1997</v>
      </c>
      <c r="D1165" s="110" t="str">
        <f t="shared" si="10"/>
        <v>2035_1997</v>
      </c>
      <c r="E1165" s="1226">
        <v>0.124155850410193</v>
      </c>
      <c r="F1165" s="1227">
        <v>5.2948116139421561E-2</v>
      </c>
      <c r="G1165" s="1227">
        <v>5.1253474695986201</v>
      </c>
      <c r="H1165" s="1227">
        <v>0.71107793861630941</v>
      </c>
      <c r="I1165" s="1227">
        <v>5.7273956464205397E-2</v>
      </c>
      <c r="J1165" s="1227">
        <v>2.1631237801478001E-4</v>
      </c>
      <c r="K1165" s="1227">
        <v>3.0000008603787501E-3</v>
      </c>
      <c r="L1165" s="1228">
        <v>2.79506060990364E-2</v>
      </c>
      <c r="M1165" s="1229">
        <v>5.9863630626099097E-2</v>
      </c>
      <c r="N1165" s="1230">
        <v>2.2609306387664699E-4</v>
      </c>
    </row>
    <row r="1166" spans="1:14" ht="15.5" x14ac:dyDescent="0.35">
      <c r="A1166" s="198">
        <v>2035</v>
      </c>
      <c r="B1166" s="197" t="s">
        <v>5850</v>
      </c>
      <c r="C1166" s="197">
        <v>1998</v>
      </c>
      <c r="D1166" s="110" t="str">
        <f t="shared" si="10"/>
        <v>2035_1998</v>
      </c>
      <c r="E1166" s="1226">
        <v>0.124155850410193</v>
      </c>
      <c r="F1166" s="1227">
        <v>5.2948116139421561E-2</v>
      </c>
      <c r="G1166" s="1227">
        <v>5.1253474695986201</v>
      </c>
      <c r="H1166" s="1227">
        <v>0.71107793861630941</v>
      </c>
      <c r="I1166" s="1227">
        <v>5.7273956464205397E-2</v>
      </c>
      <c r="J1166" s="1227">
        <v>2.1631237801478001E-4</v>
      </c>
      <c r="K1166" s="1227">
        <v>3.0000008603787501E-3</v>
      </c>
      <c r="L1166" s="1228">
        <v>2.79506060990364E-2</v>
      </c>
      <c r="M1166" s="1229">
        <v>5.9863630626099097E-2</v>
      </c>
      <c r="N1166" s="1230">
        <v>2.2609306387664699E-4</v>
      </c>
    </row>
    <row r="1167" spans="1:14" ht="15.5" x14ac:dyDescent="0.35">
      <c r="A1167" s="198">
        <v>2035</v>
      </c>
      <c r="B1167" s="197" t="s">
        <v>5850</v>
      </c>
      <c r="C1167" s="197">
        <v>1999</v>
      </c>
      <c r="D1167" s="110" t="str">
        <f t="shared" si="10"/>
        <v>2035_1999</v>
      </c>
      <c r="E1167" s="1226">
        <v>0.124155850410193</v>
      </c>
      <c r="F1167" s="1227">
        <v>5.2948116139421561E-2</v>
      </c>
      <c r="G1167" s="1227">
        <v>5.1253474695986201</v>
      </c>
      <c r="H1167" s="1227">
        <v>0.71107793861630941</v>
      </c>
      <c r="I1167" s="1227">
        <v>5.7273956464205397E-2</v>
      </c>
      <c r="J1167" s="1227">
        <v>2.1631237801478001E-4</v>
      </c>
      <c r="K1167" s="1227">
        <v>3.0000008603787501E-3</v>
      </c>
      <c r="L1167" s="1228">
        <v>2.79506060990364E-2</v>
      </c>
      <c r="M1167" s="1229">
        <v>5.9863630626099097E-2</v>
      </c>
      <c r="N1167" s="1230">
        <v>2.2609306387664699E-4</v>
      </c>
    </row>
    <row r="1168" spans="1:14" ht="15.5" x14ac:dyDescent="0.35">
      <c r="A1168" s="198">
        <v>2035</v>
      </c>
      <c r="B1168" s="197" t="s">
        <v>5850</v>
      </c>
      <c r="C1168" s="197">
        <v>2000</v>
      </c>
      <c r="D1168" s="110" t="str">
        <f t="shared" si="10"/>
        <v>2035_2000</v>
      </c>
      <c r="E1168" s="1226">
        <v>0.124155850410193</v>
      </c>
      <c r="F1168" s="1227">
        <v>5.2948116139421561E-2</v>
      </c>
      <c r="G1168" s="1227">
        <v>5.1253474695986201</v>
      </c>
      <c r="H1168" s="1227">
        <v>0.71107793861630941</v>
      </c>
      <c r="I1168" s="1227">
        <v>5.7273956464205397E-2</v>
      </c>
      <c r="J1168" s="1227">
        <v>2.1631237801478001E-4</v>
      </c>
      <c r="K1168" s="1227">
        <v>3.0000008603787501E-3</v>
      </c>
      <c r="L1168" s="1228">
        <v>2.79506060990364E-2</v>
      </c>
      <c r="M1168" s="1229">
        <v>5.9863630626099097E-2</v>
      </c>
      <c r="N1168" s="1230">
        <v>2.2609306387664699E-4</v>
      </c>
    </row>
    <row r="1169" spans="1:14" ht="15.5" x14ac:dyDescent="0.35">
      <c r="A1169" s="198">
        <v>2035</v>
      </c>
      <c r="B1169" s="197" t="s">
        <v>5850</v>
      </c>
      <c r="C1169" s="197">
        <v>2001</v>
      </c>
      <c r="D1169" s="110" t="str">
        <f t="shared" si="10"/>
        <v>2035_2001</v>
      </c>
      <c r="E1169" s="1226">
        <v>0.124155850410193</v>
      </c>
      <c r="F1169" s="1227">
        <v>5.2948116139421561E-2</v>
      </c>
      <c r="G1169" s="1227">
        <v>5.1253474695986201</v>
      </c>
      <c r="H1169" s="1227">
        <v>0.71107793861630941</v>
      </c>
      <c r="I1169" s="1227">
        <v>5.7273956464205397E-2</v>
      </c>
      <c r="J1169" s="1227">
        <v>2.1631237801478001E-4</v>
      </c>
      <c r="K1169" s="1227">
        <v>3.0000008603787501E-3</v>
      </c>
      <c r="L1169" s="1228">
        <v>2.79506060990364E-2</v>
      </c>
      <c r="M1169" s="1229">
        <v>5.9863630626099097E-2</v>
      </c>
      <c r="N1169" s="1230">
        <v>2.2609306387664699E-4</v>
      </c>
    </row>
    <row r="1170" spans="1:14" ht="15.5" x14ac:dyDescent="0.35">
      <c r="A1170" s="198">
        <v>2035</v>
      </c>
      <c r="B1170" s="197" t="s">
        <v>5850</v>
      </c>
      <c r="C1170" s="197">
        <v>2002</v>
      </c>
      <c r="D1170" s="110" t="str">
        <f t="shared" si="10"/>
        <v>2035_2002</v>
      </c>
      <c r="E1170" s="1226">
        <v>0.124155850410193</v>
      </c>
      <c r="F1170" s="1227">
        <v>5.2948116139421561E-2</v>
      </c>
      <c r="G1170" s="1227">
        <v>5.1253474695986201</v>
      </c>
      <c r="H1170" s="1227">
        <v>0.71107793861630941</v>
      </c>
      <c r="I1170" s="1227">
        <v>5.7273956464205397E-2</v>
      </c>
      <c r="J1170" s="1227">
        <v>2.1631237801478001E-4</v>
      </c>
      <c r="K1170" s="1227">
        <v>3.0000008603787501E-3</v>
      </c>
      <c r="L1170" s="1228">
        <v>2.79506060990364E-2</v>
      </c>
      <c r="M1170" s="1229">
        <v>5.9863630626099097E-2</v>
      </c>
      <c r="N1170" s="1230">
        <v>2.2609306387664699E-4</v>
      </c>
    </row>
    <row r="1171" spans="1:14" ht="15.5" x14ac:dyDescent="0.35">
      <c r="A1171" s="198">
        <v>2035</v>
      </c>
      <c r="B1171" s="197" t="s">
        <v>5850</v>
      </c>
      <c r="C1171" s="197">
        <v>2003</v>
      </c>
      <c r="D1171" s="110" t="str">
        <f t="shared" si="10"/>
        <v>2035_2003</v>
      </c>
      <c r="E1171" s="1226">
        <v>0.124155850410193</v>
      </c>
      <c r="F1171" s="1227">
        <v>5.2948116139421561E-2</v>
      </c>
      <c r="G1171" s="1227">
        <v>5.1253474695986201</v>
      </c>
      <c r="H1171" s="1227">
        <v>0.71107793861630941</v>
      </c>
      <c r="I1171" s="1227">
        <v>5.7273956464205397E-2</v>
      </c>
      <c r="J1171" s="1227">
        <v>2.1631237801478001E-4</v>
      </c>
      <c r="K1171" s="1227">
        <v>3.0000008603787501E-3</v>
      </c>
      <c r="L1171" s="1228">
        <v>2.79506060990364E-2</v>
      </c>
      <c r="M1171" s="1229">
        <v>5.9863630626099097E-2</v>
      </c>
      <c r="N1171" s="1230">
        <v>2.2609306387664699E-4</v>
      </c>
    </row>
    <row r="1172" spans="1:14" ht="15.5" x14ac:dyDescent="0.35">
      <c r="A1172" s="198">
        <v>2035</v>
      </c>
      <c r="B1172" s="197" t="s">
        <v>5850</v>
      </c>
      <c r="C1172" s="197">
        <v>2004</v>
      </c>
      <c r="D1172" s="110" t="str">
        <f t="shared" si="10"/>
        <v>2035_2004</v>
      </c>
      <c r="E1172" s="1226">
        <v>0.124155850410193</v>
      </c>
      <c r="F1172" s="1227">
        <v>5.2948116139421561E-2</v>
      </c>
      <c r="G1172" s="1227">
        <v>5.1253474695986201</v>
      </c>
      <c r="H1172" s="1227">
        <v>0.71107793861630941</v>
      </c>
      <c r="I1172" s="1227">
        <v>5.7273956464205397E-2</v>
      </c>
      <c r="J1172" s="1227">
        <v>2.1631237801478001E-4</v>
      </c>
      <c r="K1172" s="1227">
        <v>3.0000008603787501E-3</v>
      </c>
      <c r="L1172" s="1228">
        <v>2.79506060990364E-2</v>
      </c>
      <c r="M1172" s="1229">
        <v>5.9863630626099097E-2</v>
      </c>
      <c r="N1172" s="1230">
        <v>2.2609306387664699E-4</v>
      </c>
    </row>
    <row r="1173" spans="1:14" ht="15.5" x14ac:dyDescent="0.35">
      <c r="A1173" s="198">
        <v>2035</v>
      </c>
      <c r="B1173" s="197" t="s">
        <v>5850</v>
      </c>
      <c r="C1173" s="197">
        <v>2005</v>
      </c>
      <c r="D1173" s="110" t="str">
        <f t="shared" si="10"/>
        <v>2035_2005</v>
      </c>
      <c r="E1173" s="1226">
        <v>0.124155850410193</v>
      </c>
      <c r="F1173" s="1227">
        <v>5.2948116139421561E-2</v>
      </c>
      <c r="G1173" s="1227">
        <v>5.1253474695986201</v>
      </c>
      <c r="H1173" s="1227">
        <v>0.71107793861630941</v>
      </c>
      <c r="I1173" s="1227">
        <v>5.7273956464205397E-2</v>
      </c>
      <c r="J1173" s="1227">
        <v>2.1631237801478001E-4</v>
      </c>
      <c r="K1173" s="1227">
        <v>3.0000008603787501E-3</v>
      </c>
      <c r="L1173" s="1228">
        <v>2.79506060990364E-2</v>
      </c>
      <c r="M1173" s="1229">
        <v>5.9863630626099097E-2</v>
      </c>
      <c r="N1173" s="1230">
        <v>2.2609306387664699E-4</v>
      </c>
    </row>
    <row r="1174" spans="1:14" ht="15.5" x14ac:dyDescent="0.35">
      <c r="A1174" s="198">
        <v>2035</v>
      </c>
      <c r="B1174" s="197" t="s">
        <v>5850</v>
      </c>
      <c r="C1174" s="197">
        <v>2006</v>
      </c>
      <c r="D1174" s="110" t="str">
        <f t="shared" si="10"/>
        <v>2035_2006</v>
      </c>
      <c r="E1174" s="1226">
        <v>0.124155850410193</v>
      </c>
      <c r="F1174" s="1227">
        <v>5.2948116139421561E-2</v>
      </c>
      <c r="G1174" s="1227">
        <v>5.1253474695986201</v>
      </c>
      <c r="H1174" s="1227">
        <v>0.71107793861630941</v>
      </c>
      <c r="I1174" s="1227">
        <v>5.7273956464205397E-2</v>
      </c>
      <c r="J1174" s="1227">
        <v>2.1631237801478001E-4</v>
      </c>
      <c r="K1174" s="1227">
        <v>3.0000008603787501E-3</v>
      </c>
      <c r="L1174" s="1228">
        <v>2.79506060990364E-2</v>
      </c>
      <c r="M1174" s="1229">
        <v>5.9863630626099097E-2</v>
      </c>
      <c r="N1174" s="1230">
        <v>2.2609306387664699E-4</v>
      </c>
    </row>
    <row r="1175" spans="1:14" ht="15.5" x14ac:dyDescent="0.35">
      <c r="A1175" s="198">
        <v>2035</v>
      </c>
      <c r="B1175" s="197" t="s">
        <v>5850</v>
      </c>
      <c r="C1175" s="197">
        <v>2007</v>
      </c>
      <c r="D1175" s="110" t="str">
        <f t="shared" si="10"/>
        <v>2035_2007</v>
      </c>
      <c r="E1175" s="1226">
        <v>0.124155850410193</v>
      </c>
      <c r="F1175" s="1227">
        <v>5.2948116139421561E-2</v>
      </c>
      <c r="G1175" s="1227">
        <v>5.1253474695986201</v>
      </c>
      <c r="H1175" s="1227">
        <v>0.71107793861630941</v>
      </c>
      <c r="I1175" s="1227">
        <v>5.7273956464205397E-2</v>
      </c>
      <c r="J1175" s="1227">
        <v>2.1631237801478001E-4</v>
      </c>
      <c r="K1175" s="1227">
        <v>3.0000008603787501E-3</v>
      </c>
      <c r="L1175" s="1228">
        <v>2.79506060990364E-2</v>
      </c>
      <c r="M1175" s="1229">
        <v>5.9863630626099097E-2</v>
      </c>
      <c r="N1175" s="1230">
        <v>2.2609306387664699E-4</v>
      </c>
    </row>
    <row r="1176" spans="1:14" ht="15.5" x14ac:dyDescent="0.35">
      <c r="A1176" s="198">
        <v>2035</v>
      </c>
      <c r="B1176" s="197" t="s">
        <v>5850</v>
      </c>
      <c r="C1176" s="197">
        <v>2008</v>
      </c>
      <c r="D1176" s="110" t="str">
        <f t="shared" si="10"/>
        <v>2035_2008</v>
      </c>
      <c r="E1176" s="1226">
        <v>0.124155850410193</v>
      </c>
      <c r="F1176" s="1227">
        <v>5.2948116139421561E-2</v>
      </c>
      <c r="G1176" s="1227">
        <v>5.1253474695986201</v>
      </c>
      <c r="H1176" s="1227">
        <v>0.71107793861630941</v>
      </c>
      <c r="I1176" s="1227">
        <v>5.7273956464205397E-2</v>
      </c>
      <c r="J1176" s="1227">
        <v>2.1631237801478001E-4</v>
      </c>
      <c r="K1176" s="1227">
        <v>3.0000008603787501E-3</v>
      </c>
      <c r="L1176" s="1228">
        <v>2.79506060990364E-2</v>
      </c>
      <c r="M1176" s="1229">
        <v>5.9863630626099097E-2</v>
      </c>
      <c r="N1176" s="1230">
        <v>2.2609306387664699E-4</v>
      </c>
    </row>
    <row r="1177" spans="1:14" ht="15.5" x14ac:dyDescent="0.35">
      <c r="A1177" s="198">
        <v>2035</v>
      </c>
      <c r="B1177" s="197" t="s">
        <v>5850</v>
      </c>
      <c r="C1177" s="197">
        <v>2009</v>
      </c>
      <c r="D1177" s="110" t="str">
        <f t="shared" si="10"/>
        <v>2035_2009</v>
      </c>
      <c r="E1177" s="1226">
        <v>0.124155850410193</v>
      </c>
      <c r="F1177" s="1227">
        <v>5.2948116139421561E-2</v>
      </c>
      <c r="G1177" s="1227">
        <v>5.1253474695986201</v>
      </c>
      <c r="H1177" s="1227">
        <v>0.71107793861630941</v>
      </c>
      <c r="I1177" s="1227">
        <v>5.7273956464205397E-2</v>
      </c>
      <c r="J1177" s="1227">
        <v>2.1631237801478001E-4</v>
      </c>
      <c r="K1177" s="1227">
        <v>3.0000008603787501E-3</v>
      </c>
      <c r="L1177" s="1228">
        <v>2.79506060990364E-2</v>
      </c>
      <c r="M1177" s="1229">
        <v>5.9863630626099097E-2</v>
      </c>
      <c r="N1177" s="1230">
        <v>2.2609306387664699E-4</v>
      </c>
    </row>
    <row r="1178" spans="1:14" ht="15.5" x14ac:dyDescent="0.35">
      <c r="A1178" s="198">
        <v>2035</v>
      </c>
      <c r="B1178" s="197" t="s">
        <v>5850</v>
      </c>
      <c r="C1178" s="197">
        <v>2010</v>
      </c>
      <c r="D1178" s="110" t="str">
        <f t="shared" si="10"/>
        <v>2035_2010</v>
      </c>
      <c r="E1178" s="1226">
        <v>0.124155850410193</v>
      </c>
      <c r="F1178" s="1227">
        <v>5.2948116139421561E-2</v>
      </c>
      <c r="G1178" s="1227">
        <v>5.1253474695986201</v>
      </c>
      <c r="H1178" s="1227">
        <v>0.71107793861630941</v>
      </c>
      <c r="I1178" s="1227">
        <v>5.7273956464205397E-2</v>
      </c>
      <c r="J1178" s="1227">
        <v>2.1631237801478001E-4</v>
      </c>
      <c r="K1178" s="1227">
        <v>3.0000008603787501E-3</v>
      </c>
      <c r="L1178" s="1228">
        <v>2.79506060990364E-2</v>
      </c>
      <c r="M1178" s="1229">
        <v>5.9863630626099097E-2</v>
      </c>
      <c r="N1178" s="1230">
        <v>2.2609306387664699E-4</v>
      </c>
    </row>
    <row r="1179" spans="1:14" ht="15.5" x14ac:dyDescent="0.35">
      <c r="A1179" s="198">
        <v>2035</v>
      </c>
      <c r="B1179" s="197" t="s">
        <v>5850</v>
      </c>
      <c r="C1179" s="197">
        <v>2011</v>
      </c>
      <c r="D1179" s="110" t="str">
        <f t="shared" si="10"/>
        <v>2035_2011</v>
      </c>
      <c r="E1179" s="1231">
        <v>0.124155850410193</v>
      </c>
      <c r="F1179" s="1232">
        <v>5.2948116139421561E-2</v>
      </c>
      <c r="G1179" s="1232">
        <v>5.1253474695986201</v>
      </c>
      <c r="H1179" s="1232">
        <v>0.71107793861630941</v>
      </c>
      <c r="I1179" s="1232">
        <v>5.7273956464205397E-2</v>
      </c>
      <c r="J1179" s="1232">
        <v>2.1631237801478001E-4</v>
      </c>
      <c r="K1179" s="1232">
        <v>3.0000008603787501E-3</v>
      </c>
      <c r="L1179" s="1233">
        <v>2.79506060990364E-2</v>
      </c>
      <c r="M1179" s="1234">
        <v>5.9863630626099097E-2</v>
      </c>
      <c r="N1179" s="1235">
        <v>2.2609306387664699E-4</v>
      </c>
    </row>
    <row r="1180" spans="1:14" ht="15.5" x14ac:dyDescent="0.35">
      <c r="A1180" s="198">
        <v>2035</v>
      </c>
      <c r="B1180" s="197" t="s">
        <v>5850</v>
      </c>
      <c r="C1180" s="197">
        <v>2012</v>
      </c>
      <c r="D1180" s="110" t="str">
        <f t="shared" si="10"/>
        <v>2035_2012</v>
      </c>
      <c r="E1180" s="1231">
        <v>2.5042812475373499E-2</v>
      </c>
      <c r="F1180" s="1232">
        <v>5.3125565657249102E-2</v>
      </c>
      <c r="G1180" s="1232">
        <v>4.4685882915969497</v>
      </c>
      <c r="H1180" s="1232">
        <v>0.62778145438885435</v>
      </c>
      <c r="I1180" s="1232">
        <v>3.3227357761140199E-2</v>
      </c>
      <c r="J1180" s="1232">
        <v>2.1631237801477901E-4</v>
      </c>
      <c r="K1180" s="1232">
        <v>3.0000008603787501E-3</v>
      </c>
      <c r="L1180" s="1233">
        <v>2.7950606099162899E-2</v>
      </c>
      <c r="M1180" s="1234">
        <v>3.4729751434882598E-2</v>
      </c>
      <c r="N1180" s="1235">
        <v>2.2609306387664593E-4</v>
      </c>
    </row>
    <row r="1181" spans="1:14" ht="15.5" x14ac:dyDescent="0.35">
      <c r="A1181" s="198">
        <v>2035</v>
      </c>
      <c r="B1181" s="197" t="s">
        <v>5850</v>
      </c>
      <c r="C1181" s="197">
        <v>2013</v>
      </c>
      <c r="D1181" s="110" t="str">
        <f t="shared" si="10"/>
        <v>2035_2013</v>
      </c>
      <c r="E1181" s="1231">
        <v>2.4725665897161402E-2</v>
      </c>
      <c r="F1181" s="1232">
        <v>5.3125565657249497E-2</v>
      </c>
      <c r="G1181" s="1232">
        <v>4.2165637386241297</v>
      </c>
      <c r="H1181" s="1232">
        <v>0.62778145438885757</v>
      </c>
      <c r="I1181" s="1232">
        <v>3.2312326040375303E-2</v>
      </c>
      <c r="J1181" s="1232">
        <v>2.1631237801478012E-4</v>
      </c>
      <c r="K1181" s="1232">
        <v>3.0000008603787501E-3</v>
      </c>
      <c r="L1181" s="1233">
        <v>2.7950606099151201E-2</v>
      </c>
      <c r="M1181" s="1234">
        <v>3.37733460400979E-2</v>
      </c>
      <c r="N1181" s="1235">
        <v>2.2609306387664707E-4</v>
      </c>
    </row>
    <row r="1182" spans="1:14" ht="15.5" x14ac:dyDescent="0.35">
      <c r="A1182" s="198">
        <v>2035</v>
      </c>
      <c r="B1182" s="197" t="s">
        <v>5850</v>
      </c>
      <c r="C1182" s="197">
        <v>2014</v>
      </c>
      <c r="D1182" s="110" t="str">
        <f t="shared" si="10"/>
        <v>2035_2014</v>
      </c>
      <c r="E1182" s="1231">
        <v>1.21625076527417E-2</v>
      </c>
      <c r="F1182" s="1232">
        <v>5.3125565657249331E-2</v>
      </c>
      <c r="G1182" s="1232">
        <v>1.5872020971205301</v>
      </c>
      <c r="H1182" s="1232">
        <v>0.62778145438885558</v>
      </c>
      <c r="I1182" s="1232">
        <v>3.7582211001092401E-2</v>
      </c>
      <c r="J1182" s="1232">
        <v>2.1631237801477942E-4</v>
      </c>
      <c r="K1182" s="1232">
        <v>3.0000008603787501E-3</v>
      </c>
      <c r="L1182" s="1233">
        <v>2.79506060990448E-2</v>
      </c>
      <c r="M1182" s="1234">
        <v>3.9281511813970403E-2</v>
      </c>
      <c r="N1182" s="1235">
        <v>2.2609306387664634E-4</v>
      </c>
    </row>
    <row r="1183" spans="1:14" ht="15.5" x14ac:dyDescent="0.35">
      <c r="A1183" s="198">
        <v>2035</v>
      </c>
      <c r="B1183" s="197" t="s">
        <v>5850</v>
      </c>
      <c r="C1183" s="197">
        <v>2015</v>
      </c>
      <c r="D1183" s="110" t="str">
        <f t="shared" si="10"/>
        <v>2035_2015</v>
      </c>
      <c r="E1183" s="1231">
        <v>1.21625076527493E-2</v>
      </c>
      <c r="F1183" s="1232">
        <v>5.3125565657249164E-2</v>
      </c>
      <c r="G1183" s="1232">
        <v>1.5872020971210701</v>
      </c>
      <c r="H1183" s="1232">
        <v>0.62778145438885358</v>
      </c>
      <c r="I1183" s="1232">
        <v>3.7582211001011501E-2</v>
      </c>
      <c r="J1183" s="1232">
        <v>2.1631237801477871E-4</v>
      </c>
      <c r="K1183" s="1232">
        <v>3.0000008603787501E-3</v>
      </c>
      <c r="L1183" s="1233">
        <v>2.7950606099069499E-2</v>
      </c>
      <c r="M1183" s="1234">
        <v>3.9281511813885797E-2</v>
      </c>
      <c r="N1183" s="1235">
        <v>2.2609306387664564E-4</v>
      </c>
    </row>
    <row r="1184" spans="1:14" ht="15.5" x14ac:dyDescent="0.35">
      <c r="A1184" s="198">
        <v>2035</v>
      </c>
      <c r="B1184" s="197" t="s">
        <v>5850</v>
      </c>
      <c r="C1184" s="197">
        <v>2016</v>
      </c>
      <c r="D1184" s="110" t="str">
        <f t="shared" si="10"/>
        <v>2035_2016</v>
      </c>
      <c r="E1184" s="1231">
        <v>1.2162507652748599E-2</v>
      </c>
      <c r="F1184" s="1232">
        <v>5.3125565657249227E-2</v>
      </c>
      <c r="G1184" s="1232">
        <v>1.5872020971197001</v>
      </c>
      <c r="H1184" s="1232">
        <v>0.62778145438885424</v>
      </c>
      <c r="I1184" s="1232">
        <v>3.7582211000932897E-2</v>
      </c>
      <c r="J1184" s="1232">
        <v>2.1631237801477898E-4</v>
      </c>
      <c r="K1184" s="1232">
        <v>3.0000008603787501E-3</v>
      </c>
      <c r="L1184" s="1233">
        <v>2.79506060990845E-2</v>
      </c>
      <c r="M1184" s="1234">
        <v>3.9281511813803599E-2</v>
      </c>
      <c r="N1184" s="1235">
        <v>2.2609306387664591E-4</v>
      </c>
    </row>
    <row r="1185" spans="1:14" ht="15.5" x14ac:dyDescent="0.35">
      <c r="A1185" s="198">
        <v>2035</v>
      </c>
      <c r="B1185" s="197" t="s">
        <v>5850</v>
      </c>
      <c r="C1185" s="197">
        <v>2017</v>
      </c>
      <c r="D1185" s="110" t="str">
        <f t="shared" si="10"/>
        <v>2035_2017</v>
      </c>
      <c r="E1185" s="1231">
        <v>1.23769989022843E-2</v>
      </c>
      <c r="F1185" s="1232">
        <v>5.3125565657248901E-2</v>
      </c>
      <c r="G1185" s="1232">
        <v>1.5872020971247101</v>
      </c>
      <c r="H1185" s="1232">
        <v>0.62778145438884925</v>
      </c>
      <c r="I1185" s="1232">
        <v>3.0635486810609101E-2</v>
      </c>
      <c r="J1185" s="1232">
        <v>2.1631237801477768E-4</v>
      </c>
      <c r="K1185" s="1232">
        <v>3.0000008603787501E-3</v>
      </c>
      <c r="L1185" s="1233">
        <v>2.79506060990969E-2</v>
      </c>
      <c r="M1185" s="1234">
        <v>3.2020687581225497E-2</v>
      </c>
      <c r="N1185" s="1235">
        <v>2.2609306387664453E-4</v>
      </c>
    </row>
    <row r="1186" spans="1:14" ht="15.5" x14ac:dyDescent="0.35">
      <c r="A1186" s="198">
        <v>2035</v>
      </c>
      <c r="B1186" s="197" t="s">
        <v>5850</v>
      </c>
      <c r="C1186" s="197">
        <v>2018</v>
      </c>
      <c r="D1186" s="110" t="str">
        <f t="shared" si="10"/>
        <v>2035_2018</v>
      </c>
      <c r="E1186" s="1231">
        <v>1.2376998902303401E-2</v>
      </c>
      <c r="F1186" s="1232">
        <v>5.3125565657249511E-2</v>
      </c>
      <c r="G1186" s="1232">
        <v>1.5872020971221801</v>
      </c>
      <c r="H1186" s="1232">
        <v>0.62778145438885791</v>
      </c>
      <c r="I1186" s="1232">
        <v>3.06354868108786E-2</v>
      </c>
      <c r="J1186" s="1232">
        <v>2.1631237801478066E-4</v>
      </c>
      <c r="K1186" s="1232">
        <v>3.0000008603787501E-3</v>
      </c>
      <c r="L1186" s="1233">
        <v>2.7950606099001199E-2</v>
      </c>
      <c r="M1186" s="1234">
        <v>3.2020687581507203E-2</v>
      </c>
      <c r="N1186" s="1235">
        <v>2.260930638766464E-4</v>
      </c>
    </row>
    <row r="1187" spans="1:14" ht="15.5" x14ac:dyDescent="0.35">
      <c r="A1187" s="198">
        <v>2035</v>
      </c>
      <c r="B1187" s="197" t="s">
        <v>5850</v>
      </c>
      <c r="C1187" s="197">
        <v>2019</v>
      </c>
      <c r="D1187" s="110" t="str">
        <f t="shared" si="10"/>
        <v>2035_2019</v>
      </c>
      <c r="E1187" s="1231">
        <v>1.2375939800699899E-2</v>
      </c>
      <c r="F1187" s="1232">
        <v>5.3125565657249366E-2</v>
      </c>
      <c r="G1187" s="1232">
        <v>1.5871009274549599</v>
      </c>
      <c r="H1187" s="1232">
        <v>0.62778145438885602</v>
      </c>
      <c r="I1187" s="1232">
        <v>3.0631195390799299E-2</v>
      </c>
      <c r="J1187" s="1232">
        <v>2.1631237801477955E-4</v>
      </c>
      <c r="K1187" s="1232">
        <v>3.0000008603787501E-3</v>
      </c>
      <c r="L1187" s="1233">
        <v>2.7950606099199301E-2</v>
      </c>
      <c r="M1187" s="1234">
        <v>3.2016202122454797E-2</v>
      </c>
      <c r="N1187" s="1235">
        <v>2.2609306387664653E-4</v>
      </c>
    </row>
    <row r="1188" spans="1:14" ht="15.5" x14ac:dyDescent="0.35">
      <c r="A1188" s="198">
        <v>2035</v>
      </c>
      <c r="B1188" s="197" t="s">
        <v>5850</v>
      </c>
      <c r="C1188" s="197">
        <v>2020</v>
      </c>
      <c r="D1188" s="110" t="str">
        <f t="shared" si="10"/>
        <v>2035_2020</v>
      </c>
      <c r="E1188" s="1231">
        <v>1.22236031303583E-2</v>
      </c>
      <c r="F1188" s="1232">
        <v>5.3125565657249546E-2</v>
      </c>
      <c r="G1188" s="1232">
        <v>1.57240931267592</v>
      </c>
      <c r="H1188" s="1232">
        <v>0.62778145438885813</v>
      </c>
      <c r="I1188" s="1232">
        <v>3.00139358283678E-2</v>
      </c>
      <c r="J1188" s="1232">
        <v>2.1631237801478028E-4</v>
      </c>
      <c r="K1188" s="1232">
        <v>3.0000008603787501E-3</v>
      </c>
      <c r="L1188" s="1233">
        <v>2.7950606099091901E-2</v>
      </c>
      <c r="M1188" s="1234">
        <v>3.1371032821658901E-2</v>
      </c>
      <c r="N1188" s="1235">
        <v>2.2609306387664729E-4</v>
      </c>
    </row>
    <row r="1189" spans="1:14" ht="15.5" x14ac:dyDescent="0.35">
      <c r="A1189" s="199">
        <v>2035</v>
      </c>
      <c r="B1189" s="110" t="s">
        <v>5850</v>
      </c>
      <c r="C1189" s="110">
        <v>2021</v>
      </c>
      <c r="D1189" s="110" t="str">
        <f t="shared" si="10"/>
        <v>2035_2021</v>
      </c>
      <c r="E1189" s="1231">
        <v>1.205434016289E-2</v>
      </c>
      <c r="F1189" s="1232">
        <v>4.7813009091525506E-2</v>
      </c>
      <c r="G1189" s="1232">
        <v>1.55574799436676</v>
      </c>
      <c r="H1189" s="1232">
        <v>0.56500330894998296</v>
      </c>
      <c r="I1189" s="1232">
        <v>2.9328091869725501E-2</v>
      </c>
      <c r="J1189" s="1232">
        <v>1.9468114021330596E-4</v>
      </c>
      <c r="K1189" s="1232">
        <v>3.0000008603787501E-3</v>
      </c>
      <c r="L1189" s="1233">
        <v>2.7950606098294601E-2</v>
      </c>
      <c r="M1189" s="1234">
        <v>3.06541780425943E-2</v>
      </c>
      <c r="N1189" s="1235">
        <v>2.0348375748898643E-4</v>
      </c>
    </row>
    <row r="1190" spans="1:14" ht="15.5" x14ac:dyDescent="0.35">
      <c r="A1190" s="199">
        <v>2035</v>
      </c>
      <c r="B1190" s="110" t="s">
        <v>5850</v>
      </c>
      <c r="C1190" s="110">
        <v>2022</v>
      </c>
      <c r="D1190" s="110" t="str">
        <f t="shared" si="10"/>
        <v>2035_2022</v>
      </c>
      <c r="E1190" s="1231">
        <v>1.18662701989719E-2</v>
      </c>
      <c r="F1190" s="1232">
        <v>4.3031708182371668E-2</v>
      </c>
      <c r="G1190" s="1232">
        <v>1.53679468239979</v>
      </c>
      <c r="H1190" s="1232">
        <v>0.5085029780549708</v>
      </c>
      <c r="I1190" s="1232">
        <v>2.8566043023039299E-2</v>
      </c>
      <c r="J1190" s="1232">
        <v>1.7521302619197059E-4</v>
      </c>
      <c r="K1190" s="1232">
        <v>3.0000008603787501E-3</v>
      </c>
      <c r="L1190" s="1233">
        <v>2.7950606099264801E-2</v>
      </c>
      <c r="M1190" s="1234">
        <v>2.98576727286026E-2</v>
      </c>
      <c r="N1190" s="1235">
        <v>1.8313538174008278E-4</v>
      </c>
    </row>
    <row r="1191" spans="1:14" ht="15.5" x14ac:dyDescent="0.35">
      <c r="A1191" s="199">
        <v>2035</v>
      </c>
      <c r="B1191" s="110" t="s">
        <v>5850</v>
      </c>
      <c r="C1191" s="110">
        <v>2023</v>
      </c>
      <c r="D1191" s="110" t="str">
        <f t="shared" si="10"/>
        <v>2035_2023</v>
      </c>
      <c r="E1191" s="1231">
        <v>1.16573035724814E-2</v>
      </c>
      <c r="F1191" s="1232">
        <v>3.8728537364135014E-2</v>
      </c>
      <c r="G1191" s="1232">
        <v>1.4466919888635299</v>
      </c>
      <c r="H1191" s="1232">
        <v>0.45765268024947769</v>
      </c>
      <c r="I1191" s="1232">
        <v>2.66794707666256E-2</v>
      </c>
      <c r="J1191" s="1232">
        <v>1.5769172357277522E-4</v>
      </c>
      <c r="K1191" s="1232">
        <v>3.0000008603787501E-3</v>
      </c>
      <c r="L1191" s="1233">
        <v>2.7950606099159701E-2</v>
      </c>
      <c r="M1191" s="1234">
        <v>2.7885798046294302E-2</v>
      </c>
      <c r="N1191" s="1235">
        <v>1.6482184356607626E-4</v>
      </c>
    </row>
    <row r="1192" spans="1:14" ht="15.5" x14ac:dyDescent="0.35">
      <c r="A1192" s="199">
        <v>2035</v>
      </c>
      <c r="B1192" s="110" t="s">
        <v>5850</v>
      </c>
      <c r="C1192" s="110">
        <v>2024</v>
      </c>
      <c r="D1192" s="110" t="str">
        <f t="shared" si="10"/>
        <v>2035_2024</v>
      </c>
      <c r="E1192" s="1231">
        <v>1.14251184319665E-2</v>
      </c>
      <c r="F1192" s="1232">
        <v>3.4855683627721214E-2</v>
      </c>
      <c r="G1192" s="1232">
        <v>1.42320916497032</v>
      </c>
      <c r="H1192" s="1232">
        <v>0.4118874122245274</v>
      </c>
      <c r="I1192" s="1232">
        <v>2.5738669724350901E-2</v>
      </c>
      <c r="J1192" s="1232">
        <v>1.4192255121549683E-4</v>
      </c>
      <c r="K1192" s="1232">
        <v>3.0000008603787501E-3</v>
      </c>
      <c r="L1192" s="1233">
        <v>2.7950606098967299E-2</v>
      </c>
      <c r="M1192" s="1234">
        <v>2.69024581556307E-2</v>
      </c>
      <c r="N1192" s="1235">
        <v>1.4833965920946771E-4</v>
      </c>
    </row>
    <row r="1193" spans="1:14" ht="15.5" x14ac:dyDescent="0.35">
      <c r="A1193" s="199">
        <v>2035</v>
      </c>
      <c r="B1193" s="110" t="s">
        <v>5850</v>
      </c>
      <c r="C1193" s="110">
        <v>2025</v>
      </c>
      <c r="D1193" s="110" t="str">
        <f t="shared" si="10"/>
        <v>2035_2025</v>
      </c>
      <c r="E1193" s="1231">
        <v>1.1167134942402301E-2</v>
      </c>
      <c r="F1193" s="1232">
        <v>3.1370115264949178E-2</v>
      </c>
      <c r="G1193" s="1232">
        <v>1.27016483725428</v>
      </c>
      <c r="H1193" s="1232">
        <v>0.18803002366405874</v>
      </c>
      <c r="I1193" s="1232">
        <v>2.4693335232000201E-2</v>
      </c>
      <c r="J1193" s="1232">
        <v>1.2773029609394748E-4</v>
      </c>
      <c r="K1193" s="1232">
        <v>3.0000008603787501E-3</v>
      </c>
      <c r="L1193" s="1233">
        <v>2.79506060991127E-2</v>
      </c>
      <c r="M1193" s="1234">
        <v>2.5809858276138999E-2</v>
      </c>
      <c r="N1193" s="1235">
        <v>1.3350569328852134E-4</v>
      </c>
    </row>
    <row r="1194" spans="1:14" ht="15.5" x14ac:dyDescent="0.35">
      <c r="A1194" s="199">
        <v>2035</v>
      </c>
      <c r="B1194" s="110" t="s">
        <v>5850</v>
      </c>
      <c r="C1194" s="110">
        <v>2026</v>
      </c>
      <c r="D1194" s="110" t="str">
        <f t="shared" si="10"/>
        <v>2035_2026</v>
      </c>
      <c r="E1194" s="1231">
        <v>1.08804866207223E-2</v>
      </c>
      <c r="F1194" s="1232">
        <v>2.8233103738454293E-2</v>
      </c>
      <c r="G1194" s="1232">
        <v>1.2408669084747701</v>
      </c>
      <c r="H1194" s="1232">
        <v>0.16922702129765263</v>
      </c>
      <c r="I1194" s="1232">
        <v>2.3531852463205001E-2</v>
      </c>
      <c r="J1194" s="1232">
        <v>1.1495726648455258E-4</v>
      </c>
      <c r="K1194" s="1232">
        <v>3.0000008603787501E-3</v>
      </c>
      <c r="L1194" s="1233">
        <v>3.08830072906357E-2</v>
      </c>
      <c r="M1194" s="1234">
        <v>2.45958584105423E-2</v>
      </c>
      <c r="N1194" s="1235">
        <v>1.2015512395966902E-4</v>
      </c>
    </row>
    <row r="1195" spans="1:14" ht="15.5" x14ac:dyDescent="0.35">
      <c r="A1195" s="199">
        <v>2035</v>
      </c>
      <c r="B1195" s="110" t="s">
        <v>5850</v>
      </c>
      <c r="C1195" s="110">
        <v>2027</v>
      </c>
      <c r="D1195" s="110" t="str">
        <f t="shared" si="10"/>
        <v>2035_2027</v>
      </c>
      <c r="E1195" s="1231">
        <v>1.0561988485513801E-2</v>
      </c>
      <c r="F1195" s="1232">
        <v>2.5409793364608881E-2</v>
      </c>
      <c r="G1195" s="1232">
        <v>1.20654797649528</v>
      </c>
      <c r="H1195" s="1232">
        <v>0.15230431916788748</v>
      </c>
      <c r="I1195" s="1232">
        <v>2.22413160533762E-2</v>
      </c>
      <c r="J1195" s="1232">
        <v>1.0346153983609741E-4</v>
      </c>
      <c r="K1195" s="1232">
        <v>3.0000008603787501E-3</v>
      </c>
      <c r="L1195" s="1233">
        <v>3.0883007290630499E-2</v>
      </c>
      <c r="M1195" s="1234">
        <v>2.3246969670931601E-2</v>
      </c>
      <c r="N1195" s="1235">
        <v>1.081396115637022E-4</v>
      </c>
    </row>
    <row r="1196" spans="1:14" ht="15.5" x14ac:dyDescent="0.35">
      <c r="A1196" s="199">
        <v>2035</v>
      </c>
      <c r="B1196" s="110" t="s">
        <v>5850</v>
      </c>
      <c r="C1196" s="110">
        <v>2028</v>
      </c>
      <c r="D1196" s="110" t="str">
        <f t="shared" si="10"/>
        <v>2035_2028</v>
      </c>
      <c r="E1196" s="1231">
        <v>1.0208101668612499E-2</v>
      </c>
      <c r="F1196" s="1232">
        <v>2.5409793364608642E-2</v>
      </c>
      <c r="G1196" s="1232">
        <v>1.05310548656447</v>
      </c>
      <c r="H1196" s="1232">
        <v>0.11531391808193793</v>
      </c>
      <c r="I1196" s="1232">
        <v>2.04412418787406E-2</v>
      </c>
      <c r="J1196" s="1232">
        <v>1.034615398360967E-4</v>
      </c>
      <c r="K1196" s="1232">
        <v>3.0000008603787501E-3</v>
      </c>
      <c r="L1196" s="1233">
        <v>3.0883007290642701E-2</v>
      </c>
      <c r="M1196" s="1234">
        <v>2.13655041298298E-2</v>
      </c>
      <c r="N1196" s="1235">
        <v>1.0813961156370146E-4</v>
      </c>
    </row>
    <row r="1197" spans="1:14" ht="15.5" x14ac:dyDescent="0.35">
      <c r="A1197" s="199">
        <v>2035</v>
      </c>
      <c r="B1197" s="110" t="s">
        <v>5850</v>
      </c>
      <c r="C1197" s="110">
        <v>2029</v>
      </c>
      <c r="D1197" s="110" t="str">
        <f t="shared" si="10"/>
        <v>2035_2029</v>
      </c>
      <c r="E1197" s="1231">
        <v>9.8542148517158593E-3</v>
      </c>
      <c r="F1197" s="1232">
        <v>2.5409793364608843E-2</v>
      </c>
      <c r="G1197" s="1232">
        <v>1.00995488545617</v>
      </c>
      <c r="H1197" s="1232">
        <v>0.11531391808193855</v>
      </c>
      <c r="I1197" s="1232">
        <v>1.9007312534484799E-2</v>
      </c>
      <c r="J1197" s="1232">
        <v>1.0346153983609724E-4</v>
      </c>
      <c r="K1197" s="1232">
        <v>3.0000008603787501E-3</v>
      </c>
      <c r="L1197" s="1233">
        <v>3.08830072906424E-2</v>
      </c>
      <c r="M1197" s="1234">
        <v>1.9866738863594E-2</v>
      </c>
      <c r="N1197" s="1235">
        <v>1.0813961156370203E-4</v>
      </c>
    </row>
    <row r="1198" spans="1:14" ht="15.5" x14ac:dyDescent="0.35">
      <c r="A1198" s="199">
        <v>2035</v>
      </c>
      <c r="B1198" s="110" t="s">
        <v>5850</v>
      </c>
      <c r="C1198" s="110">
        <v>2030</v>
      </c>
      <c r="D1198" s="110" t="str">
        <f t="shared" si="10"/>
        <v>2035_2030</v>
      </c>
      <c r="E1198" s="1231">
        <v>9.5003280348198108E-3</v>
      </c>
      <c r="F1198" s="1232">
        <v>2.540979336460886E-2</v>
      </c>
      <c r="G1198" s="1232">
        <v>0.96263369183421199</v>
      </c>
      <c r="H1198" s="1232">
        <v>0.11511186864156434</v>
      </c>
      <c r="I1198" s="1232">
        <v>1.7571847220226599E-2</v>
      </c>
      <c r="J1198" s="1232">
        <v>1.0346153983609732E-4</v>
      </c>
      <c r="K1198" s="1232">
        <v>3.0000008603787501E-3</v>
      </c>
      <c r="L1198" s="1233">
        <v>3.0883007290629101E-2</v>
      </c>
      <c r="M1198" s="1234">
        <v>1.8366368177607999E-2</v>
      </c>
      <c r="N1198" s="1235">
        <v>1.0813961156370211E-4</v>
      </c>
    </row>
    <row r="1199" spans="1:14" ht="15.5" x14ac:dyDescent="0.35">
      <c r="A1199" s="199">
        <v>2035</v>
      </c>
      <c r="B1199" s="110" t="s">
        <v>5850</v>
      </c>
      <c r="C1199" s="110">
        <v>2031</v>
      </c>
      <c r="D1199" s="110" t="str">
        <f t="shared" si="10"/>
        <v>2035_2031</v>
      </c>
      <c r="E1199" s="1231">
        <v>9.1464412179186605E-3</v>
      </c>
      <c r="F1199" s="1232">
        <v>2.5409793364608857E-2</v>
      </c>
      <c r="G1199" s="1232">
        <v>0.90491154949235197</v>
      </c>
      <c r="H1199" s="1232">
        <v>0.11111845221545014</v>
      </c>
      <c r="I1199" s="1232">
        <v>1.6154633894071201E-2</v>
      </c>
      <c r="J1199" s="1232">
        <v>1.0346153983609758E-4</v>
      </c>
      <c r="K1199" s="1232">
        <v>3.0000008603787501E-3</v>
      </c>
      <c r="L1199" s="1233">
        <v>3.08830072906453E-2</v>
      </c>
      <c r="M1199" s="1234">
        <v>1.68850747536348E-2</v>
      </c>
      <c r="N1199" s="1235">
        <v>1.0813961156370238E-4</v>
      </c>
    </row>
    <row r="1200" spans="1:14" ht="15.5" x14ac:dyDescent="0.35">
      <c r="A1200" s="199">
        <v>2035</v>
      </c>
      <c r="B1200" s="110" t="s">
        <v>5850</v>
      </c>
      <c r="C1200" s="110">
        <v>2032</v>
      </c>
      <c r="D1200" s="110" t="str">
        <f t="shared" si="10"/>
        <v>2035_2032</v>
      </c>
      <c r="E1200" s="1231">
        <v>8.7925544010210906E-3</v>
      </c>
      <c r="F1200" s="1232">
        <v>2.5409793364608749E-2</v>
      </c>
      <c r="G1200" s="1232">
        <v>0.78610416136393801</v>
      </c>
      <c r="H1200" s="1232">
        <v>0.10425301049712328</v>
      </c>
      <c r="I1200" s="1232">
        <v>1.4065542866488799E-2</v>
      </c>
      <c r="J1200" s="1232">
        <v>1.0346153983609715E-4</v>
      </c>
      <c r="K1200" s="1232">
        <v>3.0000008603787501E-3</v>
      </c>
      <c r="L1200" s="1233">
        <v>3.0883007290647999E-2</v>
      </c>
      <c r="M1200" s="1234">
        <v>1.47015242999894E-2</v>
      </c>
      <c r="N1200" s="1235">
        <v>1.0813961156370192E-4</v>
      </c>
    </row>
    <row r="1201" spans="1:14" ht="15.5" x14ac:dyDescent="0.35">
      <c r="A1201" s="198">
        <v>2035</v>
      </c>
      <c r="B1201" s="197" t="s">
        <v>5850</v>
      </c>
      <c r="C1201" s="197">
        <v>2033</v>
      </c>
      <c r="D1201" s="110" t="str">
        <f t="shared" si="10"/>
        <v>2035_2033</v>
      </c>
      <c r="E1201" s="1231">
        <v>8.4386675841229102E-3</v>
      </c>
      <c r="F1201" s="1232">
        <v>2.5409793364608742E-2</v>
      </c>
      <c r="G1201" s="1232">
        <v>0.70974499746559905</v>
      </c>
      <c r="H1201" s="1232">
        <v>9.5434885180112325E-2</v>
      </c>
      <c r="I1201" s="1232">
        <v>1.30236504157043E-2</v>
      </c>
      <c r="J1201" s="1232">
        <v>1.0346153983609684E-4</v>
      </c>
      <c r="K1201" s="1232">
        <v>3.0000008603787501E-3</v>
      </c>
      <c r="L1201" s="1233">
        <v>3.0883007290638701E-2</v>
      </c>
      <c r="M1201" s="1234">
        <v>1.36125220959097E-2</v>
      </c>
      <c r="N1201" s="1235">
        <v>1.0813961156370161E-4</v>
      </c>
    </row>
    <row r="1202" spans="1:14" ht="15.5" x14ac:dyDescent="0.35">
      <c r="A1202" s="198">
        <v>2035</v>
      </c>
      <c r="B1202" s="197" t="s">
        <v>5850</v>
      </c>
      <c r="C1202" s="197">
        <v>2034</v>
      </c>
      <c r="D1202" s="110" t="str">
        <f t="shared" si="10"/>
        <v>2035_2034</v>
      </c>
      <c r="E1202" s="1231">
        <v>8.0847807672238797E-3</v>
      </c>
      <c r="F1202" s="1232">
        <v>2.5409793364608725E-2</v>
      </c>
      <c r="G1202" s="1232">
        <v>0.62053520658380601</v>
      </c>
      <c r="H1202" s="1232">
        <v>8.5583417457501851E-2</v>
      </c>
      <c r="I1202" s="1232">
        <v>1.2017536205660701E-2</v>
      </c>
      <c r="J1202" s="1232">
        <v>1.0346153983609704E-4</v>
      </c>
      <c r="K1202" s="1232">
        <v>3.0000008603787501E-3</v>
      </c>
      <c r="L1202" s="1233">
        <v>3.0883007290644301E-2</v>
      </c>
      <c r="M1202" s="1234">
        <v>1.25609158658536E-2</v>
      </c>
      <c r="N1202" s="1235">
        <v>1.0813961156370184E-4</v>
      </c>
    </row>
    <row r="1203" spans="1:14" ht="15.5" x14ac:dyDescent="0.35">
      <c r="A1203" s="199">
        <v>2035</v>
      </c>
      <c r="B1203" s="110" t="s">
        <v>5850</v>
      </c>
      <c r="C1203" s="110">
        <v>2035</v>
      </c>
      <c r="D1203" s="110" t="str">
        <f t="shared" si="10"/>
        <v>2035_2035</v>
      </c>
      <c r="E1203" s="1231">
        <v>7.7311549063693802E-3</v>
      </c>
      <c r="F1203" s="1232">
        <v>2.5409795634065317E-2</v>
      </c>
      <c r="G1203" s="1232">
        <v>0.51021484317597698</v>
      </c>
      <c r="H1203" s="1232">
        <v>7.5617956026801686E-2</v>
      </c>
      <c r="I1203" s="1232">
        <v>1.1059350246678701E-2</v>
      </c>
      <c r="J1203" s="1232">
        <v>1.0346154907668625E-4</v>
      </c>
      <c r="K1203" s="1232">
        <v>3.0000008603784101E-3</v>
      </c>
      <c r="L1203" s="1233">
        <v>3.0881181750635499E-2</v>
      </c>
      <c r="M1203" s="1234">
        <v>1.15594049896936E-2</v>
      </c>
      <c r="N1203" s="1235">
        <v>1.0813962122210937E-4</v>
      </c>
    </row>
    <row r="1204" spans="1:14" ht="15.5" x14ac:dyDescent="0.35">
      <c r="A1204" s="199">
        <v>2035</v>
      </c>
      <c r="B1204" s="110" t="s">
        <v>5850</v>
      </c>
      <c r="C1204" s="110">
        <v>2036</v>
      </c>
      <c r="D1204" s="110" t="str">
        <f t="shared" si="10"/>
        <v>2035_2036</v>
      </c>
      <c r="E1204" s="1231">
        <v>7.3758316728591896E-3</v>
      </c>
      <c r="F1204" s="1232">
        <v>6.098347835495696E-2</v>
      </c>
      <c r="G1204" s="1232">
        <v>0.35057464413745898</v>
      </c>
      <c r="H1204" s="1232">
        <v>0.18148300171388462</v>
      </c>
      <c r="I1204" s="1232">
        <v>1.01470215539568E-2</v>
      </c>
      <c r="J1204" s="1232">
        <v>2.483075908815946E-4</v>
      </c>
      <c r="K1204" s="1232">
        <v>3.0000008603803599E-3</v>
      </c>
      <c r="L1204" s="1233">
        <v>3.0891624788435799E-2</v>
      </c>
      <c r="M1204" s="1234">
        <v>1.06058248418855E-2</v>
      </c>
      <c r="N1204" s="1235">
        <v>2.5953495829264463E-4</v>
      </c>
    </row>
    <row r="1205" spans="1:14" ht="15.5" x14ac:dyDescent="0.35">
      <c r="A1205" s="199">
        <v>2036</v>
      </c>
      <c r="B1205" s="110" t="s">
        <v>5850</v>
      </c>
      <c r="C1205" s="110">
        <v>1971</v>
      </c>
      <c r="D1205" s="110" t="str">
        <f t="shared" si="10"/>
        <v>2036_1971</v>
      </c>
      <c r="E1205" s="1226">
        <v>0.124155921954647</v>
      </c>
      <c r="F1205" s="1227">
        <v>5.2948302337451236E-2</v>
      </c>
      <c r="G1205" s="1227">
        <v>5.1253498814694796</v>
      </c>
      <c r="H1205" s="1227">
        <v>0.71108043920218056</v>
      </c>
      <c r="I1205" s="1227">
        <v>5.7273832991774597E-2</v>
      </c>
      <c r="J1205" s="1227">
        <v>2.1631313870168419E-4</v>
      </c>
      <c r="K1205" s="1227">
        <v>2.9999938033872199E-3</v>
      </c>
      <c r="L1205" s="1228">
        <v>2.7950647457655801E-2</v>
      </c>
      <c r="M1205" s="1229">
        <v>5.9863501570792899E-2</v>
      </c>
      <c r="N1205" s="1230">
        <v>2.2609385895843717E-4</v>
      </c>
    </row>
    <row r="1206" spans="1:14" ht="15.5" x14ac:dyDescent="0.35">
      <c r="A1206" s="199">
        <v>2036</v>
      </c>
      <c r="B1206" s="110" t="s">
        <v>5850</v>
      </c>
      <c r="C1206" s="110">
        <v>1972</v>
      </c>
      <c r="D1206" s="110" t="str">
        <f t="shared" si="10"/>
        <v>2036_1972</v>
      </c>
      <c r="E1206" s="1226">
        <v>0.124155921954647</v>
      </c>
      <c r="F1206" s="1227">
        <v>5.2948302337451236E-2</v>
      </c>
      <c r="G1206" s="1227">
        <v>5.1253498814694796</v>
      </c>
      <c r="H1206" s="1227">
        <v>0.71108043920218056</v>
      </c>
      <c r="I1206" s="1227">
        <v>5.7273832991774597E-2</v>
      </c>
      <c r="J1206" s="1227">
        <v>2.1631313870168419E-4</v>
      </c>
      <c r="K1206" s="1227">
        <v>2.9999938033872199E-3</v>
      </c>
      <c r="L1206" s="1228">
        <v>2.7950647457655801E-2</v>
      </c>
      <c r="M1206" s="1229">
        <v>5.9863501570792899E-2</v>
      </c>
      <c r="N1206" s="1230">
        <v>2.2609385895843717E-4</v>
      </c>
    </row>
    <row r="1207" spans="1:14" ht="15.5" x14ac:dyDescent="0.35">
      <c r="A1207" s="199">
        <v>2036</v>
      </c>
      <c r="B1207" s="110" t="s">
        <v>5850</v>
      </c>
      <c r="C1207" s="110">
        <v>1973</v>
      </c>
      <c r="D1207" s="110" t="str">
        <f t="shared" si="10"/>
        <v>2036_1973</v>
      </c>
      <c r="E1207" s="1226">
        <v>0.124155921954647</v>
      </c>
      <c r="F1207" s="1227">
        <v>5.2948302337451236E-2</v>
      </c>
      <c r="G1207" s="1227">
        <v>5.1253498814694796</v>
      </c>
      <c r="H1207" s="1227">
        <v>0.71108043920218056</v>
      </c>
      <c r="I1207" s="1227">
        <v>5.7273832991774597E-2</v>
      </c>
      <c r="J1207" s="1227">
        <v>2.1631313870168419E-4</v>
      </c>
      <c r="K1207" s="1227">
        <v>2.9999938033872199E-3</v>
      </c>
      <c r="L1207" s="1228">
        <v>2.7950647457655801E-2</v>
      </c>
      <c r="M1207" s="1229">
        <v>5.9863501570792899E-2</v>
      </c>
      <c r="N1207" s="1230">
        <v>2.2609385895843717E-4</v>
      </c>
    </row>
    <row r="1208" spans="1:14" ht="15.5" x14ac:dyDescent="0.35">
      <c r="A1208" s="199">
        <v>2036</v>
      </c>
      <c r="B1208" s="110" t="s">
        <v>5850</v>
      </c>
      <c r="C1208" s="110">
        <v>1974</v>
      </c>
      <c r="D1208" s="110" t="str">
        <f t="shared" si="10"/>
        <v>2036_1974</v>
      </c>
      <c r="E1208" s="1226">
        <v>0.124155921954647</v>
      </c>
      <c r="F1208" s="1227">
        <v>5.2948302337451236E-2</v>
      </c>
      <c r="G1208" s="1227">
        <v>5.1253498814694796</v>
      </c>
      <c r="H1208" s="1227">
        <v>0.71108043920218056</v>
      </c>
      <c r="I1208" s="1227">
        <v>5.7273832991774597E-2</v>
      </c>
      <c r="J1208" s="1227">
        <v>2.1631313870168419E-4</v>
      </c>
      <c r="K1208" s="1227">
        <v>2.9999938033872199E-3</v>
      </c>
      <c r="L1208" s="1228">
        <v>2.7950647457655801E-2</v>
      </c>
      <c r="M1208" s="1229">
        <v>5.9863501570792899E-2</v>
      </c>
      <c r="N1208" s="1230">
        <v>2.2609385895843717E-4</v>
      </c>
    </row>
    <row r="1209" spans="1:14" ht="15.5" x14ac:dyDescent="0.35">
      <c r="A1209" s="199">
        <v>2036</v>
      </c>
      <c r="B1209" s="110" t="s">
        <v>5850</v>
      </c>
      <c r="C1209" s="110">
        <v>1975</v>
      </c>
      <c r="D1209" s="110" t="str">
        <f t="shared" si="10"/>
        <v>2036_1975</v>
      </c>
      <c r="E1209" s="1226">
        <v>0.124155921954647</v>
      </c>
      <c r="F1209" s="1227">
        <v>5.2948302337451236E-2</v>
      </c>
      <c r="G1209" s="1227">
        <v>5.1253498814694796</v>
      </c>
      <c r="H1209" s="1227">
        <v>0.71108043920218056</v>
      </c>
      <c r="I1209" s="1227">
        <v>5.7273832991774597E-2</v>
      </c>
      <c r="J1209" s="1227">
        <v>2.1631313870168419E-4</v>
      </c>
      <c r="K1209" s="1227">
        <v>2.9999938033872199E-3</v>
      </c>
      <c r="L1209" s="1228">
        <v>2.7950647457655801E-2</v>
      </c>
      <c r="M1209" s="1229">
        <v>5.9863501570792899E-2</v>
      </c>
      <c r="N1209" s="1230">
        <v>2.2609385895843717E-4</v>
      </c>
    </row>
    <row r="1210" spans="1:14" ht="15.5" x14ac:dyDescent="0.35">
      <c r="A1210" s="199">
        <v>2036</v>
      </c>
      <c r="B1210" s="110" t="s">
        <v>5850</v>
      </c>
      <c r="C1210" s="110">
        <v>1976</v>
      </c>
      <c r="D1210" s="110" t="str">
        <f t="shared" si="10"/>
        <v>2036_1976</v>
      </c>
      <c r="E1210" s="1226">
        <v>0.124155921954647</v>
      </c>
      <c r="F1210" s="1227">
        <v>5.2948302337451236E-2</v>
      </c>
      <c r="G1210" s="1227">
        <v>5.1253498814694796</v>
      </c>
      <c r="H1210" s="1227">
        <v>0.71108043920218056</v>
      </c>
      <c r="I1210" s="1227">
        <v>5.7273832991774597E-2</v>
      </c>
      <c r="J1210" s="1227">
        <v>2.1631313870168419E-4</v>
      </c>
      <c r="K1210" s="1227">
        <v>2.9999938033872199E-3</v>
      </c>
      <c r="L1210" s="1228">
        <v>2.7950647457655801E-2</v>
      </c>
      <c r="M1210" s="1229">
        <v>5.9863501570792899E-2</v>
      </c>
      <c r="N1210" s="1230">
        <v>2.2609385895843717E-4</v>
      </c>
    </row>
    <row r="1211" spans="1:14" ht="15.5" x14ac:dyDescent="0.35">
      <c r="A1211" s="199">
        <v>2036</v>
      </c>
      <c r="B1211" s="110" t="s">
        <v>5850</v>
      </c>
      <c r="C1211" s="110">
        <v>1977</v>
      </c>
      <c r="D1211" s="110" t="str">
        <f t="shared" si="10"/>
        <v>2036_1977</v>
      </c>
      <c r="E1211" s="1226">
        <v>0.124155921954647</v>
      </c>
      <c r="F1211" s="1227">
        <v>5.2948302337451236E-2</v>
      </c>
      <c r="G1211" s="1227">
        <v>5.1253498814694796</v>
      </c>
      <c r="H1211" s="1227">
        <v>0.71108043920218056</v>
      </c>
      <c r="I1211" s="1227">
        <v>5.7273832991774597E-2</v>
      </c>
      <c r="J1211" s="1227">
        <v>2.1631313870168419E-4</v>
      </c>
      <c r="K1211" s="1227">
        <v>2.9999938033872199E-3</v>
      </c>
      <c r="L1211" s="1228">
        <v>2.7950647457655801E-2</v>
      </c>
      <c r="M1211" s="1229">
        <v>5.9863501570792899E-2</v>
      </c>
      <c r="N1211" s="1230">
        <v>2.2609385895843717E-4</v>
      </c>
    </row>
    <row r="1212" spans="1:14" ht="15.5" x14ac:dyDescent="0.35">
      <c r="A1212" s="199">
        <v>2036</v>
      </c>
      <c r="B1212" s="110" t="s">
        <v>5850</v>
      </c>
      <c r="C1212" s="110">
        <v>1978</v>
      </c>
      <c r="D1212" s="110" t="str">
        <f t="shared" si="10"/>
        <v>2036_1978</v>
      </c>
      <c r="E1212" s="1226">
        <v>0.124155921954647</v>
      </c>
      <c r="F1212" s="1227">
        <v>5.2948302337451236E-2</v>
      </c>
      <c r="G1212" s="1227">
        <v>5.1253498814694796</v>
      </c>
      <c r="H1212" s="1227">
        <v>0.71108043920218056</v>
      </c>
      <c r="I1212" s="1227">
        <v>5.7273832991774597E-2</v>
      </c>
      <c r="J1212" s="1227">
        <v>2.1631313870168419E-4</v>
      </c>
      <c r="K1212" s="1227">
        <v>2.9999938033872199E-3</v>
      </c>
      <c r="L1212" s="1228">
        <v>2.7950647457655801E-2</v>
      </c>
      <c r="M1212" s="1229">
        <v>5.9863501570792899E-2</v>
      </c>
      <c r="N1212" s="1230">
        <v>2.2609385895843717E-4</v>
      </c>
    </row>
    <row r="1213" spans="1:14" ht="15.5" x14ac:dyDescent="0.35">
      <c r="A1213" s="199">
        <v>2036</v>
      </c>
      <c r="B1213" s="110" t="s">
        <v>5850</v>
      </c>
      <c r="C1213" s="110">
        <v>1979</v>
      </c>
      <c r="D1213" s="110" t="str">
        <f t="shared" si="10"/>
        <v>2036_1979</v>
      </c>
      <c r="E1213" s="1226">
        <v>0.124155921954647</v>
      </c>
      <c r="F1213" s="1227">
        <v>5.2948302337451236E-2</v>
      </c>
      <c r="G1213" s="1227">
        <v>5.1253498814694796</v>
      </c>
      <c r="H1213" s="1227">
        <v>0.71108043920218056</v>
      </c>
      <c r="I1213" s="1227">
        <v>5.7273832991774597E-2</v>
      </c>
      <c r="J1213" s="1227">
        <v>2.1631313870168419E-4</v>
      </c>
      <c r="K1213" s="1227">
        <v>2.9999938033872199E-3</v>
      </c>
      <c r="L1213" s="1228">
        <v>2.7950647457655801E-2</v>
      </c>
      <c r="M1213" s="1229">
        <v>5.9863501570792899E-2</v>
      </c>
      <c r="N1213" s="1230">
        <v>2.2609385895843717E-4</v>
      </c>
    </row>
    <row r="1214" spans="1:14" ht="15.5" x14ac:dyDescent="0.35">
      <c r="A1214" s="199">
        <v>2036</v>
      </c>
      <c r="B1214" s="110" t="s">
        <v>5850</v>
      </c>
      <c r="C1214" s="110">
        <v>1980</v>
      </c>
      <c r="D1214" s="110" t="str">
        <f t="shared" si="10"/>
        <v>2036_1980</v>
      </c>
      <c r="E1214" s="1226">
        <v>0.124155921954647</v>
      </c>
      <c r="F1214" s="1227">
        <v>5.2948302337451236E-2</v>
      </c>
      <c r="G1214" s="1227">
        <v>5.1253498814694796</v>
      </c>
      <c r="H1214" s="1227">
        <v>0.71108043920218056</v>
      </c>
      <c r="I1214" s="1227">
        <v>5.7273832991774597E-2</v>
      </c>
      <c r="J1214" s="1227">
        <v>2.1631313870168419E-4</v>
      </c>
      <c r="K1214" s="1227">
        <v>2.9999938033872199E-3</v>
      </c>
      <c r="L1214" s="1228">
        <v>2.7950647457655801E-2</v>
      </c>
      <c r="M1214" s="1229">
        <v>5.9863501570792899E-2</v>
      </c>
      <c r="N1214" s="1230">
        <v>2.2609385895843717E-4</v>
      </c>
    </row>
    <row r="1215" spans="1:14" ht="15.5" x14ac:dyDescent="0.35">
      <c r="A1215" s="199">
        <v>2036</v>
      </c>
      <c r="B1215" s="110" t="s">
        <v>5850</v>
      </c>
      <c r="C1215" s="110">
        <v>1981</v>
      </c>
      <c r="D1215" s="110" t="str">
        <f t="shared" si="10"/>
        <v>2036_1981</v>
      </c>
      <c r="E1215" s="1226">
        <v>0.124155921954647</v>
      </c>
      <c r="F1215" s="1227">
        <v>5.2948302337451236E-2</v>
      </c>
      <c r="G1215" s="1227">
        <v>5.1253498814694796</v>
      </c>
      <c r="H1215" s="1227">
        <v>0.71108043920218056</v>
      </c>
      <c r="I1215" s="1227">
        <v>5.7273832991774597E-2</v>
      </c>
      <c r="J1215" s="1227">
        <v>2.1631313870168419E-4</v>
      </c>
      <c r="K1215" s="1227">
        <v>2.9999938033872199E-3</v>
      </c>
      <c r="L1215" s="1228">
        <v>2.7950647457655801E-2</v>
      </c>
      <c r="M1215" s="1229">
        <v>5.9863501570792899E-2</v>
      </c>
      <c r="N1215" s="1230">
        <v>2.2609385895843717E-4</v>
      </c>
    </row>
    <row r="1216" spans="1:14" ht="15.5" x14ac:dyDescent="0.35">
      <c r="A1216" s="199">
        <v>2036</v>
      </c>
      <c r="B1216" s="110" t="s">
        <v>5850</v>
      </c>
      <c r="C1216" s="110">
        <v>1982</v>
      </c>
      <c r="D1216" s="110" t="str">
        <f t="shared" si="10"/>
        <v>2036_1982</v>
      </c>
      <c r="E1216" s="1226">
        <v>0.124155921954647</v>
      </c>
      <c r="F1216" s="1227">
        <v>5.2948302337451236E-2</v>
      </c>
      <c r="G1216" s="1227">
        <v>5.1253498814694796</v>
      </c>
      <c r="H1216" s="1227">
        <v>0.71108043920218056</v>
      </c>
      <c r="I1216" s="1227">
        <v>5.7273832991774597E-2</v>
      </c>
      <c r="J1216" s="1227">
        <v>2.1631313870168419E-4</v>
      </c>
      <c r="K1216" s="1227">
        <v>2.9999938033872199E-3</v>
      </c>
      <c r="L1216" s="1228">
        <v>2.7950647457655801E-2</v>
      </c>
      <c r="M1216" s="1229">
        <v>5.9863501570792899E-2</v>
      </c>
      <c r="N1216" s="1230">
        <v>2.2609385895843717E-4</v>
      </c>
    </row>
    <row r="1217" spans="1:14" ht="15.5" x14ac:dyDescent="0.35">
      <c r="A1217" s="199">
        <v>2036</v>
      </c>
      <c r="B1217" s="110" t="s">
        <v>5850</v>
      </c>
      <c r="C1217" s="110">
        <v>1983</v>
      </c>
      <c r="D1217" s="110" t="str">
        <f t="shared" si="10"/>
        <v>2036_1983</v>
      </c>
      <c r="E1217" s="1226">
        <v>0.124155921954647</v>
      </c>
      <c r="F1217" s="1227">
        <v>5.2948302337451236E-2</v>
      </c>
      <c r="G1217" s="1227">
        <v>5.1253498814694796</v>
      </c>
      <c r="H1217" s="1227">
        <v>0.71108043920218056</v>
      </c>
      <c r="I1217" s="1227">
        <v>5.7273832991774597E-2</v>
      </c>
      <c r="J1217" s="1227">
        <v>2.1631313870168419E-4</v>
      </c>
      <c r="K1217" s="1227">
        <v>2.9999938033872199E-3</v>
      </c>
      <c r="L1217" s="1228">
        <v>2.7950647457655801E-2</v>
      </c>
      <c r="M1217" s="1229">
        <v>5.9863501570792899E-2</v>
      </c>
      <c r="N1217" s="1230">
        <v>2.2609385895843717E-4</v>
      </c>
    </row>
    <row r="1218" spans="1:14" ht="15.5" x14ac:dyDescent="0.35">
      <c r="A1218" s="199">
        <v>2036</v>
      </c>
      <c r="B1218" s="110" t="s">
        <v>5850</v>
      </c>
      <c r="C1218" s="110">
        <v>1984</v>
      </c>
      <c r="D1218" s="110" t="str">
        <f t="shared" si="10"/>
        <v>2036_1984</v>
      </c>
      <c r="E1218" s="1226">
        <v>0.124155921954647</v>
      </c>
      <c r="F1218" s="1227">
        <v>5.2948302337451236E-2</v>
      </c>
      <c r="G1218" s="1227">
        <v>5.1253498814694796</v>
      </c>
      <c r="H1218" s="1227">
        <v>0.71108043920218056</v>
      </c>
      <c r="I1218" s="1227">
        <v>5.7273832991774597E-2</v>
      </c>
      <c r="J1218" s="1227">
        <v>2.1631313870168419E-4</v>
      </c>
      <c r="K1218" s="1227">
        <v>2.9999938033872199E-3</v>
      </c>
      <c r="L1218" s="1228">
        <v>2.7950647457655801E-2</v>
      </c>
      <c r="M1218" s="1229">
        <v>5.9863501570792899E-2</v>
      </c>
      <c r="N1218" s="1230">
        <v>2.2609385895843717E-4</v>
      </c>
    </row>
    <row r="1219" spans="1:14" ht="15.5" x14ac:dyDescent="0.35">
      <c r="A1219" s="199">
        <v>2036</v>
      </c>
      <c r="B1219" s="110" t="s">
        <v>5850</v>
      </c>
      <c r="C1219" s="110">
        <v>1985</v>
      </c>
      <c r="D1219" s="110" t="str">
        <f t="shared" si="10"/>
        <v>2036_1985</v>
      </c>
      <c r="E1219" s="1226">
        <v>0.124155921954647</v>
      </c>
      <c r="F1219" s="1227">
        <v>5.2948302337451236E-2</v>
      </c>
      <c r="G1219" s="1227">
        <v>5.1253498814694796</v>
      </c>
      <c r="H1219" s="1227">
        <v>0.71108043920218056</v>
      </c>
      <c r="I1219" s="1227">
        <v>5.7273832991774597E-2</v>
      </c>
      <c r="J1219" s="1227">
        <v>2.1631313870168419E-4</v>
      </c>
      <c r="K1219" s="1227">
        <v>2.9999938033872199E-3</v>
      </c>
      <c r="L1219" s="1228">
        <v>2.7950647457655801E-2</v>
      </c>
      <c r="M1219" s="1229">
        <v>5.9863501570792899E-2</v>
      </c>
      <c r="N1219" s="1230">
        <v>2.2609385895843717E-4</v>
      </c>
    </row>
    <row r="1220" spans="1:14" ht="15.5" x14ac:dyDescent="0.35">
      <c r="A1220" s="199">
        <v>2036</v>
      </c>
      <c r="B1220" s="110" t="s">
        <v>5850</v>
      </c>
      <c r="C1220" s="110">
        <v>1986</v>
      </c>
      <c r="D1220" s="110" t="str">
        <f t="shared" si="10"/>
        <v>2036_1986</v>
      </c>
      <c r="E1220" s="1226">
        <v>0.124155921954647</v>
      </c>
      <c r="F1220" s="1227">
        <v>5.2948302337451236E-2</v>
      </c>
      <c r="G1220" s="1227">
        <v>5.1253498814694796</v>
      </c>
      <c r="H1220" s="1227">
        <v>0.71108043920218056</v>
      </c>
      <c r="I1220" s="1227">
        <v>5.7273832991774597E-2</v>
      </c>
      <c r="J1220" s="1227">
        <v>2.1631313870168419E-4</v>
      </c>
      <c r="K1220" s="1227">
        <v>2.9999938033872199E-3</v>
      </c>
      <c r="L1220" s="1228">
        <v>2.7950647457655801E-2</v>
      </c>
      <c r="M1220" s="1229">
        <v>5.9863501570792899E-2</v>
      </c>
      <c r="N1220" s="1230">
        <v>2.2609385895843717E-4</v>
      </c>
    </row>
    <row r="1221" spans="1:14" ht="15.5" x14ac:dyDescent="0.35">
      <c r="A1221" s="199">
        <v>2036</v>
      </c>
      <c r="B1221" s="110" t="s">
        <v>5850</v>
      </c>
      <c r="C1221" s="110">
        <v>1987</v>
      </c>
      <c r="D1221" s="110" t="str">
        <f t="shared" si="10"/>
        <v>2036_1987</v>
      </c>
      <c r="E1221" s="1226">
        <v>0.124155921954647</v>
      </c>
      <c r="F1221" s="1227">
        <v>5.2948302337451236E-2</v>
      </c>
      <c r="G1221" s="1227">
        <v>5.1253498814694796</v>
      </c>
      <c r="H1221" s="1227">
        <v>0.71108043920218056</v>
      </c>
      <c r="I1221" s="1227">
        <v>5.7273832991774597E-2</v>
      </c>
      <c r="J1221" s="1227">
        <v>2.1631313870168419E-4</v>
      </c>
      <c r="K1221" s="1227">
        <v>2.9999938033872199E-3</v>
      </c>
      <c r="L1221" s="1228">
        <v>2.7950647457655801E-2</v>
      </c>
      <c r="M1221" s="1229">
        <v>5.9863501570792899E-2</v>
      </c>
      <c r="N1221" s="1230">
        <v>2.2609385895843717E-4</v>
      </c>
    </row>
    <row r="1222" spans="1:14" ht="15.5" x14ac:dyDescent="0.35">
      <c r="A1222" s="199">
        <v>2036</v>
      </c>
      <c r="B1222" s="110" t="s">
        <v>5850</v>
      </c>
      <c r="C1222" s="110">
        <v>1988</v>
      </c>
      <c r="D1222" s="110" t="str">
        <f t="shared" si="10"/>
        <v>2036_1988</v>
      </c>
      <c r="E1222" s="1226">
        <v>0.124155921954647</v>
      </c>
      <c r="F1222" s="1227">
        <v>5.2948302337451236E-2</v>
      </c>
      <c r="G1222" s="1227">
        <v>5.1253498814694796</v>
      </c>
      <c r="H1222" s="1227">
        <v>0.71108043920218056</v>
      </c>
      <c r="I1222" s="1227">
        <v>5.7273832991774597E-2</v>
      </c>
      <c r="J1222" s="1227">
        <v>2.1631313870168419E-4</v>
      </c>
      <c r="K1222" s="1227">
        <v>2.9999938033872199E-3</v>
      </c>
      <c r="L1222" s="1228">
        <v>2.7950647457655801E-2</v>
      </c>
      <c r="M1222" s="1229">
        <v>5.9863501570792899E-2</v>
      </c>
      <c r="N1222" s="1230">
        <v>2.2609385895843717E-4</v>
      </c>
    </row>
    <row r="1223" spans="1:14" ht="15.5" x14ac:dyDescent="0.35">
      <c r="A1223" s="199">
        <v>2036</v>
      </c>
      <c r="B1223" s="110" t="s">
        <v>5850</v>
      </c>
      <c r="C1223" s="110">
        <v>1989</v>
      </c>
      <c r="D1223" s="110" t="str">
        <f t="shared" si="10"/>
        <v>2036_1989</v>
      </c>
      <c r="E1223" s="1226">
        <v>0.124155921954647</v>
      </c>
      <c r="F1223" s="1227">
        <v>5.2948302337451236E-2</v>
      </c>
      <c r="G1223" s="1227">
        <v>5.1253498814694796</v>
      </c>
      <c r="H1223" s="1227">
        <v>0.71108043920218056</v>
      </c>
      <c r="I1223" s="1227">
        <v>5.7273832991774597E-2</v>
      </c>
      <c r="J1223" s="1227">
        <v>2.1631313870168419E-4</v>
      </c>
      <c r="K1223" s="1227">
        <v>2.9999938033872199E-3</v>
      </c>
      <c r="L1223" s="1228">
        <v>2.7950647457655801E-2</v>
      </c>
      <c r="M1223" s="1229">
        <v>5.9863501570792899E-2</v>
      </c>
      <c r="N1223" s="1230">
        <v>2.2609385895843717E-4</v>
      </c>
    </row>
    <row r="1224" spans="1:14" ht="15.5" x14ac:dyDescent="0.35">
      <c r="A1224" s="199">
        <v>2036</v>
      </c>
      <c r="B1224" s="110" t="s">
        <v>5850</v>
      </c>
      <c r="C1224" s="110">
        <v>1990</v>
      </c>
      <c r="D1224" s="110" t="str">
        <f t="shared" si="10"/>
        <v>2036_1990</v>
      </c>
      <c r="E1224" s="1226">
        <v>0.124155921954647</v>
      </c>
      <c r="F1224" s="1227">
        <v>5.2948302337451236E-2</v>
      </c>
      <c r="G1224" s="1227">
        <v>5.1253498814694796</v>
      </c>
      <c r="H1224" s="1227">
        <v>0.71108043920218056</v>
      </c>
      <c r="I1224" s="1227">
        <v>5.7273832991774597E-2</v>
      </c>
      <c r="J1224" s="1227">
        <v>2.1631313870168419E-4</v>
      </c>
      <c r="K1224" s="1227">
        <v>2.9999938033872199E-3</v>
      </c>
      <c r="L1224" s="1228">
        <v>2.7950647457655801E-2</v>
      </c>
      <c r="M1224" s="1229">
        <v>5.9863501570792899E-2</v>
      </c>
      <c r="N1224" s="1230">
        <v>2.2609385895843717E-4</v>
      </c>
    </row>
    <row r="1225" spans="1:14" ht="15.5" x14ac:dyDescent="0.35">
      <c r="A1225" s="199">
        <v>2036</v>
      </c>
      <c r="B1225" s="110" t="s">
        <v>5850</v>
      </c>
      <c r="C1225" s="110">
        <v>1991</v>
      </c>
      <c r="D1225" s="110" t="str">
        <f t="shared" si="10"/>
        <v>2036_1991</v>
      </c>
      <c r="E1225" s="1226">
        <v>0.124155921954647</v>
      </c>
      <c r="F1225" s="1227">
        <v>5.2948302337451236E-2</v>
      </c>
      <c r="G1225" s="1227">
        <v>5.1253498814694796</v>
      </c>
      <c r="H1225" s="1227">
        <v>0.71108043920218056</v>
      </c>
      <c r="I1225" s="1227">
        <v>5.7273832991774597E-2</v>
      </c>
      <c r="J1225" s="1227">
        <v>2.1631313870168419E-4</v>
      </c>
      <c r="K1225" s="1227">
        <v>2.9999938033872199E-3</v>
      </c>
      <c r="L1225" s="1228">
        <v>2.7950647457655801E-2</v>
      </c>
      <c r="M1225" s="1229">
        <v>5.9863501570792899E-2</v>
      </c>
      <c r="N1225" s="1230">
        <v>2.2609385895843717E-4</v>
      </c>
    </row>
    <row r="1226" spans="1:14" ht="15.5" x14ac:dyDescent="0.35">
      <c r="A1226" s="199">
        <v>2036</v>
      </c>
      <c r="B1226" s="110" t="s">
        <v>5850</v>
      </c>
      <c r="C1226" s="110">
        <v>1992</v>
      </c>
      <c r="D1226" s="110" t="str">
        <f t="shared" si="10"/>
        <v>2036_1992</v>
      </c>
      <c r="E1226" s="1226">
        <v>0.124155921954647</v>
      </c>
      <c r="F1226" s="1227">
        <v>5.2948302337451236E-2</v>
      </c>
      <c r="G1226" s="1227">
        <v>5.1253498814694796</v>
      </c>
      <c r="H1226" s="1227">
        <v>0.71108043920218056</v>
      </c>
      <c r="I1226" s="1227">
        <v>5.7273832991774597E-2</v>
      </c>
      <c r="J1226" s="1227">
        <v>2.1631313870168419E-4</v>
      </c>
      <c r="K1226" s="1227">
        <v>2.9999938033872199E-3</v>
      </c>
      <c r="L1226" s="1228">
        <v>2.7950647457655801E-2</v>
      </c>
      <c r="M1226" s="1229">
        <v>5.9863501570792899E-2</v>
      </c>
      <c r="N1226" s="1230">
        <v>2.2609385895843717E-4</v>
      </c>
    </row>
    <row r="1227" spans="1:14" ht="15.5" x14ac:dyDescent="0.35">
      <c r="A1227" s="199">
        <v>2036</v>
      </c>
      <c r="B1227" s="110" t="s">
        <v>5850</v>
      </c>
      <c r="C1227" s="110">
        <v>1993</v>
      </c>
      <c r="D1227" s="110" t="str">
        <f t="shared" si="10"/>
        <v>2036_1993</v>
      </c>
      <c r="E1227" s="1226">
        <v>0.124155921954647</v>
      </c>
      <c r="F1227" s="1227">
        <v>5.2948302337451236E-2</v>
      </c>
      <c r="G1227" s="1227">
        <v>5.1253498814694796</v>
      </c>
      <c r="H1227" s="1227">
        <v>0.71108043920218056</v>
      </c>
      <c r="I1227" s="1227">
        <v>5.7273832991774597E-2</v>
      </c>
      <c r="J1227" s="1227">
        <v>2.1631313870168419E-4</v>
      </c>
      <c r="K1227" s="1227">
        <v>2.9999938033872199E-3</v>
      </c>
      <c r="L1227" s="1228">
        <v>2.7950647457655801E-2</v>
      </c>
      <c r="M1227" s="1229">
        <v>5.9863501570792899E-2</v>
      </c>
      <c r="N1227" s="1230">
        <v>2.2609385895843717E-4</v>
      </c>
    </row>
    <row r="1228" spans="1:14" ht="15.5" x14ac:dyDescent="0.35">
      <c r="A1228" s="199">
        <v>2036</v>
      </c>
      <c r="B1228" s="110" t="s">
        <v>5850</v>
      </c>
      <c r="C1228" s="110">
        <v>1994</v>
      </c>
      <c r="D1228" s="110" t="str">
        <f t="shared" si="10"/>
        <v>2036_1994</v>
      </c>
      <c r="E1228" s="1226">
        <v>0.124155921954647</v>
      </c>
      <c r="F1228" s="1227">
        <v>5.2948302337451236E-2</v>
      </c>
      <c r="G1228" s="1227">
        <v>5.1253498814694796</v>
      </c>
      <c r="H1228" s="1227">
        <v>0.71108043920218056</v>
      </c>
      <c r="I1228" s="1227">
        <v>5.7273832991774597E-2</v>
      </c>
      <c r="J1228" s="1227">
        <v>2.1631313870168419E-4</v>
      </c>
      <c r="K1228" s="1227">
        <v>2.9999938033872199E-3</v>
      </c>
      <c r="L1228" s="1228">
        <v>2.7950647457655801E-2</v>
      </c>
      <c r="M1228" s="1229">
        <v>5.9863501570792899E-2</v>
      </c>
      <c r="N1228" s="1230">
        <v>2.2609385895843717E-4</v>
      </c>
    </row>
    <row r="1229" spans="1:14" ht="15.5" x14ac:dyDescent="0.35">
      <c r="A1229" s="199">
        <v>2036</v>
      </c>
      <c r="B1229" s="110" t="s">
        <v>5850</v>
      </c>
      <c r="C1229" s="110">
        <v>1995</v>
      </c>
      <c r="D1229" s="110" t="str">
        <f t="shared" si="10"/>
        <v>2036_1995</v>
      </c>
      <c r="E1229" s="1226">
        <v>0.124155921954647</v>
      </c>
      <c r="F1229" s="1227">
        <v>5.2948302337451236E-2</v>
      </c>
      <c r="G1229" s="1227">
        <v>5.1253498814694796</v>
      </c>
      <c r="H1229" s="1227">
        <v>0.71108043920218056</v>
      </c>
      <c r="I1229" s="1227">
        <v>5.7273832991774597E-2</v>
      </c>
      <c r="J1229" s="1227">
        <v>2.1631313870168419E-4</v>
      </c>
      <c r="K1229" s="1227">
        <v>2.9999938033872199E-3</v>
      </c>
      <c r="L1229" s="1228">
        <v>2.7950647457655801E-2</v>
      </c>
      <c r="M1229" s="1229">
        <v>5.9863501570792899E-2</v>
      </c>
      <c r="N1229" s="1230">
        <v>2.2609385895843717E-4</v>
      </c>
    </row>
    <row r="1230" spans="1:14" ht="15.5" x14ac:dyDescent="0.35">
      <c r="A1230" s="199">
        <v>2036</v>
      </c>
      <c r="B1230" s="110" t="s">
        <v>5850</v>
      </c>
      <c r="C1230" s="110">
        <v>1996</v>
      </c>
      <c r="D1230" s="110" t="str">
        <f t="shared" si="10"/>
        <v>2036_1996</v>
      </c>
      <c r="E1230" s="1226">
        <v>0.124155921954647</v>
      </c>
      <c r="F1230" s="1227">
        <v>5.2948302337451236E-2</v>
      </c>
      <c r="G1230" s="1227">
        <v>5.1253498814694796</v>
      </c>
      <c r="H1230" s="1227">
        <v>0.71108043920218056</v>
      </c>
      <c r="I1230" s="1227">
        <v>5.7273832991774597E-2</v>
      </c>
      <c r="J1230" s="1227">
        <v>2.1631313870168419E-4</v>
      </c>
      <c r="K1230" s="1227">
        <v>2.9999938033872199E-3</v>
      </c>
      <c r="L1230" s="1228">
        <v>2.7950647457655801E-2</v>
      </c>
      <c r="M1230" s="1229">
        <v>5.9863501570792899E-2</v>
      </c>
      <c r="N1230" s="1230">
        <v>2.2609385895843717E-4</v>
      </c>
    </row>
    <row r="1231" spans="1:14" ht="15.5" x14ac:dyDescent="0.35">
      <c r="A1231" s="199">
        <v>2036</v>
      </c>
      <c r="B1231" s="110" t="s">
        <v>5850</v>
      </c>
      <c r="C1231" s="110">
        <v>1997</v>
      </c>
      <c r="D1231" s="110" t="str">
        <f t="shared" si="10"/>
        <v>2036_1997</v>
      </c>
      <c r="E1231" s="1226">
        <v>0.124155921954647</v>
      </c>
      <c r="F1231" s="1227">
        <v>5.2948302337451236E-2</v>
      </c>
      <c r="G1231" s="1227">
        <v>5.1253498814694796</v>
      </c>
      <c r="H1231" s="1227">
        <v>0.71108043920218056</v>
      </c>
      <c r="I1231" s="1227">
        <v>5.7273832991774597E-2</v>
      </c>
      <c r="J1231" s="1227">
        <v>2.1631313870168419E-4</v>
      </c>
      <c r="K1231" s="1227">
        <v>2.9999938033872199E-3</v>
      </c>
      <c r="L1231" s="1228">
        <v>2.7950647457655801E-2</v>
      </c>
      <c r="M1231" s="1229">
        <v>5.9863501570792899E-2</v>
      </c>
      <c r="N1231" s="1230">
        <v>2.2609385895843717E-4</v>
      </c>
    </row>
    <row r="1232" spans="1:14" ht="15.5" x14ac:dyDescent="0.35">
      <c r="A1232" s="199">
        <v>2036</v>
      </c>
      <c r="B1232" s="110" t="s">
        <v>5850</v>
      </c>
      <c r="C1232" s="110">
        <v>1998</v>
      </c>
      <c r="D1232" s="110" t="str">
        <f t="shared" si="10"/>
        <v>2036_1998</v>
      </c>
      <c r="E1232" s="1226">
        <v>0.124155921954647</v>
      </c>
      <c r="F1232" s="1227">
        <v>5.2948302337451236E-2</v>
      </c>
      <c r="G1232" s="1227">
        <v>5.1253498814694796</v>
      </c>
      <c r="H1232" s="1227">
        <v>0.71108043920218056</v>
      </c>
      <c r="I1232" s="1227">
        <v>5.7273832991774597E-2</v>
      </c>
      <c r="J1232" s="1227">
        <v>2.1631313870168419E-4</v>
      </c>
      <c r="K1232" s="1227">
        <v>2.9999938033872199E-3</v>
      </c>
      <c r="L1232" s="1228">
        <v>2.7950647457655801E-2</v>
      </c>
      <c r="M1232" s="1229">
        <v>5.9863501570792899E-2</v>
      </c>
      <c r="N1232" s="1230">
        <v>2.2609385895843717E-4</v>
      </c>
    </row>
    <row r="1233" spans="1:14" ht="15.5" x14ac:dyDescent="0.35">
      <c r="A1233" s="199">
        <v>2036</v>
      </c>
      <c r="B1233" s="110" t="s">
        <v>5850</v>
      </c>
      <c r="C1233" s="110">
        <v>1999</v>
      </c>
      <c r="D1233" s="110" t="str">
        <f t="shared" si="10"/>
        <v>2036_1999</v>
      </c>
      <c r="E1233" s="1226">
        <v>0.124155921954647</v>
      </c>
      <c r="F1233" s="1227">
        <v>5.2948302337451236E-2</v>
      </c>
      <c r="G1233" s="1227">
        <v>5.1253498814694796</v>
      </c>
      <c r="H1233" s="1227">
        <v>0.71108043920218056</v>
      </c>
      <c r="I1233" s="1227">
        <v>5.7273832991774597E-2</v>
      </c>
      <c r="J1233" s="1227">
        <v>2.1631313870168419E-4</v>
      </c>
      <c r="K1233" s="1227">
        <v>2.9999938033872199E-3</v>
      </c>
      <c r="L1233" s="1228">
        <v>2.7950647457655801E-2</v>
      </c>
      <c r="M1233" s="1229">
        <v>5.9863501570792899E-2</v>
      </c>
      <c r="N1233" s="1230">
        <v>2.2609385895843717E-4</v>
      </c>
    </row>
    <row r="1234" spans="1:14" ht="15.5" x14ac:dyDescent="0.35">
      <c r="A1234" s="199">
        <v>2036</v>
      </c>
      <c r="B1234" s="110" t="s">
        <v>5850</v>
      </c>
      <c r="C1234" s="110">
        <v>2000</v>
      </c>
      <c r="D1234" s="110" t="str">
        <f t="shared" si="10"/>
        <v>2036_2000</v>
      </c>
      <c r="E1234" s="1226">
        <v>0.124155921954647</v>
      </c>
      <c r="F1234" s="1227">
        <v>5.2948302337451236E-2</v>
      </c>
      <c r="G1234" s="1227">
        <v>5.1253498814694796</v>
      </c>
      <c r="H1234" s="1227">
        <v>0.71108043920218056</v>
      </c>
      <c r="I1234" s="1227">
        <v>5.7273832991774597E-2</v>
      </c>
      <c r="J1234" s="1227">
        <v>2.1631313870168419E-4</v>
      </c>
      <c r="K1234" s="1227">
        <v>2.9999938033872199E-3</v>
      </c>
      <c r="L1234" s="1228">
        <v>2.7950647457655801E-2</v>
      </c>
      <c r="M1234" s="1229">
        <v>5.9863501570792899E-2</v>
      </c>
      <c r="N1234" s="1230">
        <v>2.2609385895843717E-4</v>
      </c>
    </row>
    <row r="1235" spans="1:14" ht="15.5" x14ac:dyDescent="0.35">
      <c r="A1235" s="199">
        <v>2036</v>
      </c>
      <c r="B1235" s="110" t="s">
        <v>5850</v>
      </c>
      <c r="C1235" s="110">
        <v>2001</v>
      </c>
      <c r="D1235" s="110" t="str">
        <f t="shared" si="10"/>
        <v>2036_2001</v>
      </c>
      <c r="E1235" s="1226">
        <v>0.124155921954647</v>
      </c>
      <c r="F1235" s="1227">
        <v>5.2948302337451236E-2</v>
      </c>
      <c r="G1235" s="1227">
        <v>5.1253498814694796</v>
      </c>
      <c r="H1235" s="1227">
        <v>0.71108043920218056</v>
      </c>
      <c r="I1235" s="1227">
        <v>5.7273832991774597E-2</v>
      </c>
      <c r="J1235" s="1227">
        <v>2.1631313870168419E-4</v>
      </c>
      <c r="K1235" s="1227">
        <v>2.9999938033872199E-3</v>
      </c>
      <c r="L1235" s="1228">
        <v>2.7950647457655801E-2</v>
      </c>
      <c r="M1235" s="1229">
        <v>5.9863501570792899E-2</v>
      </c>
      <c r="N1235" s="1230">
        <v>2.2609385895843717E-4</v>
      </c>
    </row>
    <row r="1236" spans="1:14" ht="15.5" x14ac:dyDescent="0.35">
      <c r="A1236" s="199">
        <v>2036</v>
      </c>
      <c r="B1236" s="110" t="s">
        <v>5850</v>
      </c>
      <c r="C1236" s="110">
        <v>2002</v>
      </c>
      <c r="D1236" s="110" t="str">
        <f t="shared" si="10"/>
        <v>2036_2002</v>
      </c>
      <c r="E1236" s="1226">
        <v>0.124155921954647</v>
      </c>
      <c r="F1236" s="1227">
        <v>5.2948302337451236E-2</v>
      </c>
      <c r="G1236" s="1227">
        <v>5.1253498814694796</v>
      </c>
      <c r="H1236" s="1227">
        <v>0.71108043920218056</v>
      </c>
      <c r="I1236" s="1227">
        <v>5.7273832991774597E-2</v>
      </c>
      <c r="J1236" s="1227">
        <v>2.1631313870168419E-4</v>
      </c>
      <c r="K1236" s="1227">
        <v>2.9999938033872199E-3</v>
      </c>
      <c r="L1236" s="1228">
        <v>2.7950647457655801E-2</v>
      </c>
      <c r="M1236" s="1229">
        <v>5.9863501570792899E-2</v>
      </c>
      <c r="N1236" s="1230">
        <v>2.2609385895843717E-4</v>
      </c>
    </row>
    <row r="1237" spans="1:14" ht="15.5" x14ac:dyDescent="0.35">
      <c r="A1237" s="199">
        <v>2036</v>
      </c>
      <c r="B1237" s="110" t="s">
        <v>5850</v>
      </c>
      <c r="C1237" s="110">
        <v>2003</v>
      </c>
      <c r="D1237" s="110" t="str">
        <f t="shared" si="10"/>
        <v>2036_2003</v>
      </c>
      <c r="E1237" s="1226">
        <v>0.124155921954647</v>
      </c>
      <c r="F1237" s="1227">
        <v>5.2948302337451236E-2</v>
      </c>
      <c r="G1237" s="1227">
        <v>5.1253498814694796</v>
      </c>
      <c r="H1237" s="1227">
        <v>0.71108043920218056</v>
      </c>
      <c r="I1237" s="1227">
        <v>5.7273832991774597E-2</v>
      </c>
      <c r="J1237" s="1227">
        <v>2.1631313870168419E-4</v>
      </c>
      <c r="K1237" s="1227">
        <v>2.9999938033872199E-3</v>
      </c>
      <c r="L1237" s="1228">
        <v>2.7950647457655801E-2</v>
      </c>
      <c r="M1237" s="1229">
        <v>5.9863501570792899E-2</v>
      </c>
      <c r="N1237" s="1230">
        <v>2.2609385895843717E-4</v>
      </c>
    </row>
    <row r="1238" spans="1:14" ht="15.5" x14ac:dyDescent="0.35">
      <c r="A1238" s="199">
        <v>2036</v>
      </c>
      <c r="B1238" s="110" t="s">
        <v>5850</v>
      </c>
      <c r="C1238" s="110">
        <v>2004</v>
      </c>
      <c r="D1238" s="110" t="str">
        <f t="shared" si="10"/>
        <v>2036_2004</v>
      </c>
      <c r="E1238" s="1226">
        <v>0.124155921954647</v>
      </c>
      <c r="F1238" s="1227">
        <v>5.2948302337451236E-2</v>
      </c>
      <c r="G1238" s="1227">
        <v>5.1253498814694796</v>
      </c>
      <c r="H1238" s="1227">
        <v>0.71108043920218056</v>
      </c>
      <c r="I1238" s="1227">
        <v>5.7273832991774597E-2</v>
      </c>
      <c r="J1238" s="1227">
        <v>2.1631313870168419E-4</v>
      </c>
      <c r="K1238" s="1227">
        <v>2.9999938033872199E-3</v>
      </c>
      <c r="L1238" s="1228">
        <v>2.7950647457655801E-2</v>
      </c>
      <c r="M1238" s="1229">
        <v>5.9863501570792899E-2</v>
      </c>
      <c r="N1238" s="1230">
        <v>2.2609385895843717E-4</v>
      </c>
    </row>
    <row r="1239" spans="1:14" ht="15.5" x14ac:dyDescent="0.35">
      <c r="A1239" s="199">
        <v>2036</v>
      </c>
      <c r="B1239" s="110" t="s">
        <v>5850</v>
      </c>
      <c r="C1239" s="110">
        <v>2005</v>
      </c>
      <c r="D1239" s="110" t="str">
        <f t="shared" si="10"/>
        <v>2036_2005</v>
      </c>
      <c r="E1239" s="1226">
        <v>0.124155921954647</v>
      </c>
      <c r="F1239" s="1227">
        <v>5.2948302337451236E-2</v>
      </c>
      <c r="G1239" s="1227">
        <v>5.1253498814694796</v>
      </c>
      <c r="H1239" s="1227">
        <v>0.71108043920218056</v>
      </c>
      <c r="I1239" s="1227">
        <v>5.7273832991774597E-2</v>
      </c>
      <c r="J1239" s="1227">
        <v>2.1631313870168419E-4</v>
      </c>
      <c r="K1239" s="1227">
        <v>2.9999938033872199E-3</v>
      </c>
      <c r="L1239" s="1228">
        <v>2.7950647457655801E-2</v>
      </c>
      <c r="M1239" s="1229">
        <v>5.9863501570792899E-2</v>
      </c>
      <c r="N1239" s="1230">
        <v>2.2609385895843717E-4</v>
      </c>
    </row>
    <row r="1240" spans="1:14" ht="15.5" x14ac:dyDescent="0.35">
      <c r="A1240" s="199">
        <v>2036</v>
      </c>
      <c r="B1240" s="110" t="s">
        <v>5850</v>
      </c>
      <c r="C1240" s="110">
        <v>2006</v>
      </c>
      <c r="D1240" s="110" t="str">
        <f t="shared" si="10"/>
        <v>2036_2006</v>
      </c>
      <c r="E1240" s="1226">
        <v>0.124155921954647</v>
      </c>
      <c r="F1240" s="1227">
        <v>5.2948302337451236E-2</v>
      </c>
      <c r="G1240" s="1227">
        <v>5.1253498814694796</v>
      </c>
      <c r="H1240" s="1227">
        <v>0.71108043920218056</v>
      </c>
      <c r="I1240" s="1227">
        <v>5.7273832991774597E-2</v>
      </c>
      <c r="J1240" s="1227">
        <v>2.1631313870168419E-4</v>
      </c>
      <c r="K1240" s="1227">
        <v>2.9999938033872199E-3</v>
      </c>
      <c r="L1240" s="1228">
        <v>2.7950647457655801E-2</v>
      </c>
      <c r="M1240" s="1229">
        <v>5.9863501570792899E-2</v>
      </c>
      <c r="N1240" s="1230">
        <v>2.2609385895843717E-4</v>
      </c>
    </row>
    <row r="1241" spans="1:14" ht="15.5" x14ac:dyDescent="0.35">
      <c r="A1241" s="199">
        <v>2036</v>
      </c>
      <c r="B1241" s="110" t="s">
        <v>5850</v>
      </c>
      <c r="C1241" s="110">
        <v>2007</v>
      </c>
      <c r="D1241" s="110" t="str">
        <f t="shared" si="10"/>
        <v>2036_2007</v>
      </c>
      <c r="E1241" s="1226">
        <v>0.124155921954647</v>
      </c>
      <c r="F1241" s="1227">
        <v>5.2948302337451236E-2</v>
      </c>
      <c r="G1241" s="1227">
        <v>5.1253498814694796</v>
      </c>
      <c r="H1241" s="1227">
        <v>0.71108043920218056</v>
      </c>
      <c r="I1241" s="1227">
        <v>5.7273832991774597E-2</v>
      </c>
      <c r="J1241" s="1227">
        <v>2.1631313870168419E-4</v>
      </c>
      <c r="K1241" s="1227">
        <v>2.9999938033872199E-3</v>
      </c>
      <c r="L1241" s="1228">
        <v>2.7950647457655801E-2</v>
      </c>
      <c r="M1241" s="1229">
        <v>5.9863501570792899E-2</v>
      </c>
      <c r="N1241" s="1230">
        <v>2.2609385895843717E-4</v>
      </c>
    </row>
    <row r="1242" spans="1:14" ht="15.5" x14ac:dyDescent="0.35">
      <c r="A1242" s="199">
        <v>2036</v>
      </c>
      <c r="B1242" s="110" t="s">
        <v>5850</v>
      </c>
      <c r="C1242" s="110">
        <v>2008</v>
      </c>
      <c r="D1242" s="110" t="str">
        <f t="shared" si="10"/>
        <v>2036_2008</v>
      </c>
      <c r="E1242" s="1226">
        <v>0.124155921954647</v>
      </c>
      <c r="F1242" s="1227">
        <v>5.2948302337451236E-2</v>
      </c>
      <c r="G1242" s="1227">
        <v>5.1253498814694796</v>
      </c>
      <c r="H1242" s="1227">
        <v>0.71108043920218056</v>
      </c>
      <c r="I1242" s="1227">
        <v>5.7273832991774597E-2</v>
      </c>
      <c r="J1242" s="1227">
        <v>2.1631313870168419E-4</v>
      </c>
      <c r="K1242" s="1227">
        <v>2.9999938033872199E-3</v>
      </c>
      <c r="L1242" s="1228">
        <v>2.7950647457655801E-2</v>
      </c>
      <c r="M1242" s="1229">
        <v>5.9863501570792899E-2</v>
      </c>
      <c r="N1242" s="1230">
        <v>2.2609385895843717E-4</v>
      </c>
    </row>
    <row r="1243" spans="1:14" ht="15.5" x14ac:dyDescent="0.35">
      <c r="A1243" s="199">
        <v>2036</v>
      </c>
      <c r="B1243" s="110" t="s">
        <v>5850</v>
      </c>
      <c r="C1243" s="110">
        <v>2009</v>
      </c>
      <c r="D1243" s="110" t="str">
        <f t="shared" si="10"/>
        <v>2036_2009</v>
      </c>
      <c r="E1243" s="1226">
        <v>0.124155921954647</v>
      </c>
      <c r="F1243" s="1227">
        <v>5.2948302337451236E-2</v>
      </c>
      <c r="G1243" s="1227">
        <v>5.1253498814694796</v>
      </c>
      <c r="H1243" s="1227">
        <v>0.71108043920218056</v>
      </c>
      <c r="I1243" s="1227">
        <v>5.7273832991774597E-2</v>
      </c>
      <c r="J1243" s="1227">
        <v>2.1631313870168419E-4</v>
      </c>
      <c r="K1243" s="1227">
        <v>2.9999938033872199E-3</v>
      </c>
      <c r="L1243" s="1228">
        <v>2.7950647457655801E-2</v>
      </c>
      <c r="M1243" s="1229">
        <v>5.9863501570792899E-2</v>
      </c>
      <c r="N1243" s="1230">
        <v>2.2609385895843717E-4</v>
      </c>
    </row>
    <row r="1244" spans="1:14" ht="15.5" x14ac:dyDescent="0.35">
      <c r="A1244" s="199">
        <v>2036</v>
      </c>
      <c r="B1244" s="110" t="s">
        <v>5850</v>
      </c>
      <c r="C1244" s="110">
        <v>2010</v>
      </c>
      <c r="D1244" s="110" t="str">
        <f t="shared" si="10"/>
        <v>2036_2010</v>
      </c>
      <c r="E1244" s="1226">
        <v>0.124155921954647</v>
      </c>
      <c r="F1244" s="1227">
        <v>5.2948302337451236E-2</v>
      </c>
      <c r="G1244" s="1227">
        <v>5.1253498814694796</v>
      </c>
      <c r="H1244" s="1227">
        <v>0.71108043920218056</v>
      </c>
      <c r="I1244" s="1227">
        <v>5.7273832991774597E-2</v>
      </c>
      <c r="J1244" s="1227">
        <v>2.1631313870168419E-4</v>
      </c>
      <c r="K1244" s="1227">
        <v>2.9999938033872199E-3</v>
      </c>
      <c r="L1244" s="1228">
        <v>2.7950647457655801E-2</v>
      </c>
      <c r="M1244" s="1229">
        <v>5.9863501570792899E-2</v>
      </c>
      <c r="N1244" s="1230">
        <v>2.2609385895843717E-4</v>
      </c>
    </row>
    <row r="1245" spans="1:14" ht="15.5" x14ac:dyDescent="0.35">
      <c r="A1245" s="199">
        <v>2036</v>
      </c>
      <c r="B1245" s="110" t="s">
        <v>5850</v>
      </c>
      <c r="C1245" s="110">
        <v>2011</v>
      </c>
      <c r="D1245" s="110" t="str">
        <f t="shared" si="10"/>
        <v>2036_2011</v>
      </c>
      <c r="E1245" s="1231">
        <v>0.124155921954647</v>
      </c>
      <c r="F1245" s="1232">
        <v>5.2948302337451236E-2</v>
      </c>
      <c r="G1245" s="1232">
        <v>5.1253498814694796</v>
      </c>
      <c r="H1245" s="1232">
        <v>0.71108043920218056</v>
      </c>
      <c r="I1245" s="1232">
        <v>5.7273832991774597E-2</v>
      </c>
      <c r="J1245" s="1232">
        <v>2.1631313870168419E-4</v>
      </c>
      <c r="K1245" s="1232">
        <v>2.9999938033872199E-3</v>
      </c>
      <c r="L1245" s="1233">
        <v>2.7950647457655801E-2</v>
      </c>
      <c r="M1245" s="1234">
        <v>5.9863501570792899E-2</v>
      </c>
      <c r="N1245" s="1235">
        <v>2.2609385895843717E-4</v>
      </c>
    </row>
    <row r="1246" spans="1:14" ht="15.5" x14ac:dyDescent="0.35">
      <c r="A1246" s="199">
        <v>2036</v>
      </c>
      <c r="B1246" s="110" t="s">
        <v>5850</v>
      </c>
      <c r="C1246" s="110">
        <v>2012</v>
      </c>
      <c r="D1246" s="110" t="str">
        <f t="shared" si="10"/>
        <v>2036_2012</v>
      </c>
      <c r="E1246" s="1231">
        <v>2.5042817141666E-2</v>
      </c>
      <c r="F1246" s="1232">
        <v>5.3125752479300181E-2</v>
      </c>
      <c r="G1246" s="1232">
        <v>4.4685902816049596</v>
      </c>
      <c r="H1246" s="1232">
        <v>0.6277836620532331</v>
      </c>
      <c r="I1246" s="1232">
        <v>3.3227282169225103E-2</v>
      </c>
      <c r="J1246" s="1232">
        <v>2.1631313870168335E-4</v>
      </c>
      <c r="K1246" s="1232">
        <v>2.9999938033872199E-3</v>
      </c>
      <c r="L1246" s="1233">
        <v>2.79506474577823E-2</v>
      </c>
      <c r="M1246" s="1234">
        <v>3.4729672425036599E-2</v>
      </c>
      <c r="N1246" s="1235">
        <v>2.2609385895843757E-4</v>
      </c>
    </row>
    <row r="1247" spans="1:14" ht="15.5" x14ac:dyDescent="0.35">
      <c r="A1247" s="199">
        <v>2036</v>
      </c>
      <c r="B1247" s="110" t="s">
        <v>5850</v>
      </c>
      <c r="C1247" s="110">
        <v>2013</v>
      </c>
      <c r="D1247" s="110" t="str">
        <f t="shared" si="10"/>
        <v>2036_2013</v>
      </c>
      <c r="E1247" s="1231">
        <v>2.4725669940643201E-2</v>
      </c>
      <c r="F1247" s="1232">
        <v>5.3125752479300438E-2</v>
      </c>
      <c r="G1247" s="1232">
        <v>4.2165661684445199</v>
      </c>
      <c r="H1247" s="1232">
        <v>0.62778366205323477</v>
      </c>
      <c r="I1247" s="1232">
        <v>3.2312252530148598E-2</v>
      </c>
      <c r="J1247" s="1232">
        <v>2.1631313870168435E-4</v>
      </c>
      <c r="K1247" s="1232">
        <v>2.9999938033872199E-3</v>
      </c>
      <c r="L1247" s="1233">
        <v>2.7950647457770601E-2</v>
      </c>
      <c r="M1247" s="1234">
        <v>3.3773269206064799E-2</v>
      </c>
      <c r="N1247" s="1235">
        <v>2.2609385895843733E-4</v>
      </c>
    </row>
    <row r="1248" spans="1:14" ht="15.5" x14ac:dyDescent="0.35">
      <c r="A1248" s="199">
        <v>2036</v>
      </c>
      <c r="B1248" s="110" t="s">
        <v>5850</v>
      </c>
      <c r="C1248" s="110">
        <v>2014</v>
      </c>
      <c r="D1248" s="110" t="str">
        <f t="shared" ref="D1248:D1393" si="11">CONCATENATE(A1248,"_",C1248)</f>
        <v>2036_2014</v>
      </c>
      <c r="E1248" s="1231">
        <v>1.21625188567594E-2</v>
      </c>
      <c r="F1248" s="1232">
        <v>5.3125752479300431E-2</v>
      </c>
      <c r="G1248" s="1232">
        <v>1.5872049013779601</v>
      </c>
      <c r="H1248" s="1232">
        <v>0.6277836620532361</v>
      </c>
      <c r="I1248" s="1232">
        <v>3.7582128900234199E-2</v>
      </c>
      <c r="J1248" s="1232">
        <v>2.1631313870168435E-4</v>
      </c>
      <c r="K1248" s="1232">
        <v>2.9999938033872199E-3</v>
      </c>
      <c r="L1248" s="1233">
        <v>2.79506474576642E-2</v>
      </c>
      <c r="M1248" s="1234">
        <v>3.9281426000875697E-2</v>
      </c>
      <c r="N1248" s="1235">
        <v>2.2609385895843863E-4</v>
      </c>
    </row>
    <row r="1249" spans="1:14" ht="15.5" x14ac:dyDescent="0.35">
      <c r="A1249" s="199">
        <v>2036</v>
      </c>
      <c r="B1249" s="110" t="s">
        <v>5850</v>
      </c>
      <c r="C1249" s="110">
        <v>2015</v>
      </c>
      <c r="D1249" s="110" t="str">
        <f t="shared" si="11"/>
        <v>2036_2015</v>
      </c>
      <c r="E1249" s="1231">
        <v>1.2162518856767E-2</v>
      </c>
      <c r="F1249" s="1232">
        <v>5.3125752479300431E-2</v>
      </c>
      <c r="G1249" s="1232">
        <v>1.5872049013784999</v>
      </c>
      <c r="H1249" s="1232">
        <v>0.6277836620532361</v>
      </c>
      <c r="I1249" s="1232">
        <v>3.7582128900153298E-2</v>
      </c>
      <c r="J1249" s="1232">
        <v>2.1631313870168435E-4</v>
      </c>
      <c r="K1249" s="1232">
        <v>2.9999938033872199E-3</v>
      </c>
      <c r="L1249" s="1233">
        <v>2.7950647457688899E-2</v>
      </c>
      <c r="M1249" s="1234">
        <v>3.9281426000791202E-2</v>
      </c>
      <c r="N1249" s="1235">
        <v>2.2609385895843733E-4</v>
      </c>
    </row>
    <row r="1250" spans="1:14" ht="15.5" x14ac:dyDescent="0.35">
      <c r="A1250" s="199">
        <v>2036</v>
      </c>
      <c r="B1250" s="110" t="s">
        <v>5850</v>
      </c>
      <c r="C1250" s="110">
        <v>2016</v>
      </c>
      <c r="D1250" s="110" t="str">
        <f t="shared" si="11"/>
        <v>2036_2016</v>
      </c>
      <c r="E1250" s="1231">
        <v>1.2162518856766299E-2</v>
      </c>
      <c r="F1250" s="1232">
        <v>5.312575247930048E-2</v>
      </c>
      <c r="G1250" s="1232">
        <v>1.5872049013771301</v>
      </c>
      <c r="H1250" s="1232">
        <v>0.62778366205323666</v>
      </c>
      <c r="I1250" s="1232">
        <v>3.7582128900074702E-2</v>
      </c>
      <c r="J1250" s="1232">
        <v>2.1631313870168454E-4</v>
      </c>
      <c r="K1250" s="1232">
        <v>2.9999938033872199E-3</v>
      </c>
      <c r="L1250" s="1233">
        <v>2.7950647457703901E-2</v>
      </c>
      <c r="M1250" s="1234">
        <v>3.9281426000708997E-2</v>
      </c>
      <c r="N1250" s="1235">
        <v>2.2609385895843885E-4</v>
      </c>
    </row>
    <row r="1251" spans="1:14" ht="15.5" x14ac:dyDescent="0.35">
      <c r="A1251" s="199">
        <v>2036</v>
      </c>
      <c r="B1251" s="110" t="s">
        <v>5850</v>
      </c>
      <c r="C1251" s="110">
        <v>2017</v>
      </c>
      <c r="D1251" s="110" t="str">
        <f t="shared" si="11"/>
        <v>2036_2017</v>
      </c>
      <c r="E1251" s="1231">
        <v>1.23769963568536E-2</v>
      </c>
      <c r="F1251" s="1232">
        <v>5.3125752479300209E-2</v>
      </c>
      <c r="G1251" s="1232">
        <v>1.5872049013821501</v>
      </c>
      <c r="H1251" s="1232">
        <v>0.62778366205323344</v>
      </c>
      <c r="I1251" s="1232">
        <v>3.0635411504112899E-2</v>
      </c>
      <c r="J1251" s="1232">
        <v>2.1631313870168343E-4</v>
      </c>
      <c r="K1251" s="1232">
        <v>2.9999938033872199E-3</v>
      </c>
      <c r="L1251" s="1233">
        <v>2.7950647457716301E-2</v>
      </c>
      <c r="M1251" s="1234">
        <v>3.2020608869703697E-2</v>
      </c>
      <c r="N1251" s="1235">
        <v>2.2609385895843638E-4</v>
      </c>
    </row>
    <row r="1252" spans="1:14" ht="15.5" x14ac:dyDescent="0.35">
      <c r="A1252" s="199">
        <v>2036</v>
      </c>
      <c r="B1252" s="110" t="s">
        <v>5850</v>
      </c>
      <c r="C1252" s="110">
        <v>2018</v>
      </c>
      <c r="D1252" s="110" t="str">
        <f t="shared" si="11"/>
        <v>2036_2018</v>
      </c>
      <c r="E1252" s="1231">
        <v>1.23769963568728E-2</v>
      </c>
      <c r="F1252" s="1232">
        <v>5.3125752479300618E-2</v>
      </c>
      <c r="G1252" s="1232">
        <v>1.5872049013796099</v>
      </c>
      <c r="H1252" s="1232">
        <v>0.62778366205323821</v>
      </c>
      <c r="I1252" s="1232">
        <v>3.0635411504382402E-2</v>
      </c>
      <c r="J1252" s="1232">
        <v>2.1631313870168511E-4</v>
      </c>
      <c r="K1252" s="1232">
        <v>2.9999938033872199E-3</v>
      </c>
      <c r="L1252" s="1233">
        <v>2.79506474576206E-2</v>
      </c>
      <c r="M1252" s="1234">
        <v>3.2020608869985402E-2</v>
      </c>
      <c r="N1252" s="1235">
        <v>2.2609385895843942E-4</v>
      </c>
    </row>
    <row r="1253" spans="1:14" ht="15.5" x14ac:dyDescent="0.35">
      <c r="A1253" s="199">
        <v>2036</v>
      </c>
      <c r="B1253" s="110" t="s">
        <v>5850</v>
      </c>
      <c r="C1253" s="110">
        <v>2019</v>
      </c>
      <c r="D1253" s="110" t="str">
        <f t="shared" si="11"/>
        <v>2036_2019</v>
      </c>
      <c r="E1253" s="1231">
        <v>1.23769963567965E-2</v>
      </c>
      <c r="F1253" s="1232">
        <v>5.3125752479300396E-2</v>
      </c>
      <c r="G1253" s="1232">
        <v>1.58720490137999</v>
      </c>
      <c r="H1253" s="1232">
        <v>0.62778366205323555</v>
      </c>
      <c r="I1253" s="1232">
        <v>3.06354115037232E-2</v>
      </c>
      <c r="J1253" s="1232">
        <v>2.1631313870168421E-4</v>
      </c>
      <c r="K1253" s="1232">
        <v>2.9999938033872199E-3</v>
      </c>
      <c r="L1253" s="1233">
        <v>2.7950647457818799E-2</v>
      </c>
      <c r="M1253" s="1234">
        <v>3.2020608869296398E-2</v>
      </c>
      <c r="N1253" s="1235">
        <v>2.2609385895843847E-4</v>
      </c>
    </row>
    <row r="1254" spans="1:14" ht="15.5" x14ac:dyDescent="0.35">
      <c r="A1254" s="199">
        <v>2036</v>
      </c>
      <c r="B1254" s="110" t="s">
        <v>5850</v>
      </c>
      <c r="C1254" s="110">
        <v>2020</v>
      </c>
      <c r="D1254" s="110" t="str">
        <f t="shared" si="11"/>
        <v>2036_2020</v>
      </c>
      <c r="E1254" s="1231">
        <v>1.2375937255549901E-2</v>
      </c>
      <c r="F1254" s="1232">
        <v>5.312575247930057E-2</v>
      </c>
      <c r="G1254" s="1232">
        <v>1.5871037315363199</v>
      </c>
      <c r="H1254" s="1232">
        <v>0.62778366205323766</v>
      </c>
      <c r="I1254" s="1232">
        <v>3.0631120095279601E-2</v>
      </c>
      <c r="J1254" s="1232">
        <v>2.1631313870168492E-4</v>
      </c>
      <c r="K1254" s="1232">
        <v>2.9999938033872199E-3</v>
      </c>
      <c r="L1254" s="1233">
        <v>2.7950647457711399E-2</v>
      </c>
      <c r="M1254" s="1234">
        <v>3.2016123422405798E-2</v>
      </c>
      <c r="N1254" s="1235">
        <v>2.2609385895843923E-4</v>
      </c>
    </row>
    <row r="1255" spans="1:14" ht="15.5" x14ac:dyDescent="0.35">
      <c r="A1255" s="199">
        <v>2036</v>
      </c>
      <c r="B1255" s="110" t="s">
        <v>5850</v>
      </c>
      <c r="C1255" s="110">
        <v>2021</v>
      </c>
      <c r="D1255" s="110" t="str">
        <f t="shared" si="11"/>
        <v>2036_2021</v>
      </c>
      <c r="E1255" s="1231">
        <v>1.2223600616480101E-2</v>
      </c>
      <c r="F1255" s="1232">
        <v>5.3125752479301541E-2</v>
      </c>
      <c r="G1255" s="1232">
        <v>1.5724120907511201</v>
      </c>
      <c r="H1255" s="1232">
        <v>0.62778366205324898</v>
      </c>
      <c r="I1255" s="1232">
        <v>3.0013862051309001E-2</v>
      </c>
      <c r="J1255" s="1232">
        <v>2.1631313870168969E-4</v>
      </c>
      <c r="K1255" s="1232">
        <v>2.9999938033872298E-3</v>
      </c>
      <c r="L1255" s="1233">
        <v>2.7950647456913901E-2</v>
      </c>
      <c r="M1255" s="1234">
        <v>3.1370955708728901E-2</v>
      </c>
      <c r="N1255" s="1235">
        <v>2.260938589584428E-4</v>
      </c>
    </row>
    <row r="1256" spans="1:14" ht="15.5" x14ac:dyDescent="0.35">
      <c r="A1256" s="199">
        <v>2036</v>
      </c>
      <c r="B1256" s="110" t="s">
        <v>5850</v>
      </c>
      <c r="C1256" s="110">
        <v>2022</v>
      </c>
      <c r="D1256" s="110" t="str">
        <f t="shared" si="11"/>
        <v>2036_2022</v>
      </c>
      <c r="E1256" s="1231">
        <v>1.2054337683757301E-2</v>
      </c>
      <c r="F1256" s="1232">
        <v>4.7813177231370109E-2</v>
      </c>
      <c r="G1256" s="1232">
        <v>1.55575074309935</v>
      </c>
      <c r="H1256" s="1232">
        <v>0.56500529584790793</v>
      </c>
      <c r="I1256" s="1232">
        <v>2.9328019774942399E-2</v>
      </c>
      <c r="J1256" s="1232">
        <v>1.9468182483151479E-4</v>
      </c>
      <c r="K1256" s="1232">
        <v>2.9999938033872199E-3</v>
      </c>
      <c r="L1256" s="1233">
        <v>2.7950647457884201E-2</v>
      </c>
      <c r="M1256" s="1234">
        <v>3.0654102688004999E-2</v>
      </c>
      <c r="N1256" s="1235">
        <v>2.0348447306259239E-4</v>
      </c>
    </row>
    <row r="1257" spans="1:14" ht="15.5" x14ac:dyDescent="0.35">
      <c r="A1257" s="199">
        <v>2036</v>
      </c>
      <c r="B1257" s="110" t="s">
        <v>5850</v>
      </c>
      <c r="C1257" s="110">
        <v>2023</v>
      </c>
      <c r="D1257" s="110" t="str">
        <f t="shared" si="11"/>
        <v>2036_2023</v>
      </c>
      <c r="E1257" s="1231">
        <v>1.18662677585963E-2</v>
      </c>
      <c r="F1257" s="1232">
        <v>4.3031859508233523E-2</v>
      </c>
      <c r="G1257" s="1232">
        <v>1.4671701487153099</v>
      </c>
      <c r="H1257" s="1232">
        <v>0.50850476626312335</v>
      </c>
      <c r="I1257" s="1232">
        <v>2.7526124041718E-2</v>
      </c>
      <c r="J1257" s="1232">
        <v>1.7521364234836505E-4</v>
      </c>
      <c r="K1257" s="1232">
        <v>2.9999938033872199E-3</v>
      </c>
      <c r="L1257" s="1233">
        <v>2.7950647457779101E-2</v>
      </c>
      <c r="M1257" s="1234">
        <v>2.87707332255181E-2</v>
      </c>
      <c r="N1257" s="1235">
        <v>1.8313602575633606E-4</v>
      </c>
    </row>
    <row r="1258" spans="1:14" ht="15.5" x14ac:dyDescent="0.35">
      <c r="A1258" s="199">
        <v>2036</v>
      </c>
      <c r="B1258" s="110" t="s">
        <v>5850</v>
      </c>
      <c r="C1258" s="110">
        <v>2024</v>
      </c>
      <c r="D1258" s="110" t="str">
        <f t="shared" si="11"/>
        <v>2036_2024</v>
      </c>
      <c r="E1258" s="1231">
        <v>1.16573011751148E-2</v>
      </c>
      <c r="F1258" s="1232">
        <v>3.8728673557409866E-2</v>
      </c>
      <c r="G1258" s="1232">
        <v>1.4466945448659001</v>
      </c>
      <c r="H1258" s="1232">
        <v>0.45765428963680738</v>
      </c>
      <c r="I1258" s="1232">
        <v>2.6679405185101202E-2</v>
      </c>
      <c r="J1258" s="1232">
        <v>1.5769227811352729E-4</v>
      </c>
      <c r="K1258" s="1232">
        <v>2.9999938033872199E-3</v>
      </c>
      <c r="L1258" s="1233">
        <v>2.79506474575867E-2</v>
      </c>
      <c r="M1258" s="1234">
        <v>2.7885729499464301E-2</v>
      </c>
      <c r="N1258" s="1235">
        <v>1.6482242318070114E-4</v>
      </c>
    </row>
    <row r="1259" spans="1:14" ht="15.5" x14ac:dyDescent="0.35">
      <c r="A1259" s="199">
        <v>2036</v>
      </c>
      <c r="B1259" s="110" t="s">
        <v>5850</v>
      </c>
      <c r="C1259" s="110">
        <v>2025</v>
      </c>
      <c r="D1259" s="110" t="str">
        <f t="shared" si="11"/>
        <v>2036_2025</v>
      </c>
      <c r="E1259" s="1231">
        <v>1.14251160822523E-2</v>
      </c>
      <c r="F1259" s="1232">
        <v>3.4855806201669087E-2</v>
      </c>
      <c r="G1259" s="1232">
        <v>1.2953994099980299</v>
      </c>
      <c r="H1259" s="1232">
        <v>0.2089229832143015</v>
      </c>
      <c r="I1259" s="1232">
        <v>2.5738606454558999E-2</v>
      </c>
      <c r="J1259" s="1232">
        <v>1.4192305030217539E-4</v>
      </c>
      <c r="K1259" s="1232">
        <v>2.9999938033872199E-3</v>
      </c>
      <c r="L1259" s="1233">
        <v>2.7950647457732101E-2</v>
      </c>
      <c r="M1259" s="1234">
        <v>2.69023920250595E-2</v>
      </c>
      <c r="N1259" s="1235">
        <v>1.483401808626319E-4</v>
      </c>
    </row>
    <row r="1260" spans="1:14" ht="15.5" x14ac:dyDescent="0.35">
      <c r="A1260" s="198">
        <v>2036</v>
      </c>
      <c r="B1260" s="197" t="s">
        <v>5850</v>
      </c>
      <c r="C1260" s="197">
        <v>2026</v>
      </c>
      <c r="D1260" s="110" t="str">
        <f t="shared" si="11"/>
        <v>2036_2026</v>
      </c>
      <c r="E1260" s="1231">
        <v>1.11671326457977E-2</v>
      </c>
      <c r="F1260" s="1232">
        <v>3.1370225581502237E-2</v>
      </c>
      <c r="G1260" s="1232">
        <v>1.2701670813725301</v>
      </c>
      <c r="H1260" s="1232">
        <v>0.18803068489287172</v>
      </c>
      <c r="I1260" s="1232">
        <v>2.4693274532235999E-2</v>
      </c>
      <c r="J1260" s="1232">
        <v>1.277307452719581E-4</v>
      </c>
      <c r="K1260" s="1232">
        <v>2.9999938033872199E-3</v>
      </c>
      <c r="L1260" s="1233">
        <v>3.0883052796559101E-2</v>
      </c>
      <c r="M1260" s="1234">
        <v>2.5809794831800799E-2</v>
      </c>
      <c r="N1260" s="1235">
        <v>1.3350616277636897E-4</v>
      </c>
    </row>
    <row r="1261" spans="1:14" ht="15.5" x14ac:dyDescent="0.35">
      <c r="A1261" s="198">
        <v>2036</v>
      </c>
      <c r="B1261" s="197" t="s">
        <v>5850</v>
      </c>
      <c r="C1261" s="197">
        <v>2027</v>
      </c>
      <c r="D1261" s="110" t="str">
        <f t="shared" si="11"/>
        <v>2036_2027</v>
      </c>
      <c r="E1261" s="1231">
        <v>1.08804843830615E-2</v>
      </c>
      <c r="F1261" s="1232">
        <v>2.8233203023352076E-2</v>
      </c>
      <c r="G1261" s="1232">
        <v>1.2408691008294299</v>
      </c>
      <c r="H1261" s="1232">
        <v>0.16922761640358491</v>
      </c>
      <c r="I1261" s="1232">
        <v>2.3531794618485199E-2</v>
      </c>
      <c r="J1261" s="1232">
        <v>1.1495767074476255E-4</v>
      </c>
      <c r="K1261" s="1232">
        <v>2.9999938033872199E-3</v>
      </c>
      <c r="L1261" s="1233">
        <v>3.0883052796554001E-2</v>
      </c>
      <c r="M1261" s="1234">
        <v>2.4595797950340999E-2</v>
      </c>
      <c r="N1261" s="1235">
        <v>1.2015554649873233E-4</v>
      </c>
    </row>
    <row r="1262" spans="1:14" ht="15.5" x14ac:dyDescent="0.35">
      <c r="A1262" s="198">
        <v>2036</v>
      </c>
      <c r="B1262" s="197" t="s">
        <v>5850</v>
      </c>
      <c r="C1262" s="197">
        <v>2028</v>
      </c>
      <c r="D1262" s="110" t="str">
        <f t="shared" si="11"/>
        <v>2036_2028</v>
      </c>
      <c r="E1262" s="1231">
        <v>1.0561986313351699E-2</v>
      </c>
      <c r="F1262" s="1232">
        <v>2.5409882721016724E-2</v>
      </c>
      <c r="G1262" s="1232">
        <v>1.09311656004066</v>
      </c>
      <c r="H1262" s="1232">
        <v>0.11531432359635399</v>
      </c>
      <c r="I1262" s="1232">
        <v>2.1875117450638401E-2</v>
      </c>
      <c r="J1262" s="1232">
        <v>1.034619036702857E-4</v>
      </c>
      <c r="K1262" s="1232">
        <v>2.9999938033872199E-3</v>
      </c>
      <c r="L1262" s="1233">
        <v>3.08830527965662E-2</v>
      </c>
      <c r="M1262" s="1234">
        <v>2.2864213192360199E-2</v>
      </c>
      <c r="N1262" s="1235">
        <v>1.0813999184885847E-4</v>
      </c>
    </row>
    <row r="1263" spans="1:14" ht="15.5" x14ac:dyDescent="0.35">
      <c r="A1263" s="198">
        <v>2036</v>
      </c>
      <c r="B1263" s="197" t="s">
        <v>5850</v>
      </c>
      <c r="C1263" s="197">
        <v>2029</v>
      </c>
      <c r="D1263" s="110" t="str">
        <f t="shared" si="11"/>
        <v>2036_2029</v>
      </c>
      <c r="E1263" s="1231">
        <v>1.02080995692348E-2</v>
      </c>
      <c r="F1263" s="1232">
        <v>2.5409882721016679E-2</v>
      </c>
      <c r="G1263" s="1232">
        <v>1.05310734718396</v>
      </c>
      <c r="H1263" s="1232">
        <v>0.11531432359635378</v>
      </c>
      <c r="I1263" s="1232">
        <v>2.0441191631190399E-2</v>
      </c>
      <c r="J1263" s="1232">
        <v>1.0346190367028552E-4</v>
      </c>
      <c r="K1263" s="1232">
        <v>2.9999938033872199E-3</v>
      </c>
      <c r="L1263" s="1233">
        <v>3.0883052796565801E-2</v>
      </c>
      <c r="M1263" s="1234">
        <v>2.1365451610308301E-2</v>
      </c>
      <c r="N1263" s="1235">
        <v>1.081399918488583E-4</v>
      </c>
    </row>
    <row r="1264" spans="1:14" ht="15.5" x14ac:dyDescent="0.35">
      <c r="A1264" s="198">
        <v>2036</v>
      </c>
      <c r="B1264" s="197" t="s">
        <v>5850</v>
      </c>
      <c r="C1264" s="197">
        <v>2030</v>
      </c>
      <c r="D1264" s="110" t="str">
        <f t="shared" si="11"/>
        <v>2036_2030</v>
      </c>
      <c r="E1264" s="1231">
        <v>9.8542128251185995E-3</v>
      </c>
      <c r="F1264" s="1232">
        <v>2.5409882721016793E-2</v>
      </c>
      <c r="G1264" s="1232">
        <v>1.0099566698371401</v>
      </c>
      <c r="H1264" s="1232">
        <v>0.1153143235963543</v>
      </c>
      <c r="I1264" s="1232">
        <v>1.9007265811758701E-2</v>
      </c>
      <c r="J1264" s="1232">
        <v>1.0346190367028598E-4</v>
      </c>
      <c r="K1264" s="1232">
        <v>2.9999938033872199E-3</v>
      </c>
      <c r="L1264" s="1233">
        <v>3.0883052796552499E-2</v>
      </c>
      <c r="M1264" s="1234">
        <v>1.9866690028273501E-2</v>
      </c>
      <c r="N1264" s="1235">
        <v>1.0813999184885816E-4</v>
      </c>
    </row>
    <row r="1265" spans="1:14" ht="15.5" x14ac:dyDescent="0.35">
      <c r="A1265" s="198">
        <v>2036</v>
      </c>
      <c r="B1265" s="197" t="s">
        <v>5850</v>
      </c>
      <c r="C1265" s="197">
        <v>2031</v>
      </c>
      <c r="D1265" s="110" t="str">
        <f t="shared" si="11"/>
        <v>2036_2031</v>
      </c>
      <c r="E1265" s="1231">
        <v>9.5003260809970493E-3</v>
      </c>
      <c r="F1265" s="1232">
        <v>2.5409882721016731E-2</v>
      </c>
      <c r="G1265" s="1232">
        <v>0.96263539260879305</v>
      </c>
      <c r="H1265" s="1232">
        <v>0.11511227344545037</v>
      </c>
      <c r="I1265" s="1232">
        <v>1.7571804026038099E-2</v>
      </c>
      <c r="J1265" s="1232">
        <v>1.0346190367028573E-4</v>
      </c>
      <c r="K1265" s="1232">
        <v>2.9999938033872199E-3</v>
      </c>
      <c r="L1265" s="1233">
        <v>3.0883052796568701E-2</v>
      </c>
      <c r="M1265" s="1234">
        <v>1.8366323030369999E-2</v>
      </c>
      <c r="N1265" s="1235">
        <v>1.0813999184885789E-4</v>
      </c>
    </row>
    <row r="1266" spans="1:14" ht="15.5" x14ac:dyDescent="0.35">
      <c r="A1266" s="198">
        <v>2036</v>
      </c>
      <c r="B1266" s="197" t="s">
        <v>5850</v>
      </c>
      <c r="C1266" s="197">
        <v>2032</v>
      </c>
      <c r="D1266" s="110" t="str">
        <f t="shared" si="11"/>
        <v>2036_2032</v>
      </c>
      <c r="E1266" s="1231">
        <v>9.14643933687922E-3</v>
      </c>
      <c r="F1266" s="1232">
        <v>2.5409882721016686E-2</v>
      </c>
      <c r="G1266" s="1232">
        <v>0.85194976133232103</v>
      </c>
      <c r="H1266" s="1232">
        <v>0.1111188429760358</v>
      </c>
      <c r="I1266" s="1232">
        <v>1.5124081287276599E-2</v>
      </c>
      <c r="J1266" s="1232">
        <v>1.0346190367028554E-4</v>
      </c>
      <c r="K1266" s="1232">
        <v>2.9999938033872199E-3</v>
      </c>
      <c r="L1266" s="1233">
        <v>3.0883052796571501E-2</v>
      </c>
      <c r="M1266" s="1234">
        <v>1.5807925130970499E-2</v>
      </c>
      <c r="N1266" s="1235">
        <v>1.081399918488583E-4</v>
      </c>
    </row>
    <row r="1267" spans="1:14" ht="15.5" x14ac:dyDescent="0.35">
      <c r="A1267" s="198">
        <v>2036</v>
      </c>
      <c r="B1267" s="197" t="s">
        <v>5850</v>
      </c>
      <c r="C1267" s="197">
        <v>2033</v>
      </c>
      <c r="D1267" s="110" t="str">
        <f t="shared" si="11"/>
        <v>2036_2033</v>
      </c>
      <c r="E1267" s="1231">
        <v>8.7925525927607506E-3</v>
      </c>
      <c r="F1267" s="1232">
        <v>2.5409882721016654E-2</v>
      </c>
      <c r="G1267" s="1232">
        <v>0.78610555024696604</v>
      </c>
      <c r="H1267" s="1232">
        <v>0.1042533771146076</v>
      </c>
      <c r="I1267" s="1232">
        <v>1.40655082913408E-2</v>
      </c>
      <c r="J1267" s="1232">
        <v>1.0346190367028542E-4</v>
      </c>
      <c r="K1267" s="1232">
        <v>2.9999938033872199E-3</v>
      </c>
      <c r="L1267" s="1233">
        <v>3.0883052796562199E-2</v>
      </c>
      <c r="M1267" s="1234">
        <v>1.47014881615066E-2</v>
      </c>
      <c r="N1267" s="1235">
        <v>1.0813999184885756E-4</v>
      </c>
    </row>
    <row r="1268" spans="1:14" ht="15.5" x14ac:dyDescent="0.35">
      <c r="A1268" s="198">
        <v>2036</v>
      </c>
      <c r="B1268" s="197" t="s">
        <v>5850</v>
      </c>
      <c r="C1268" s="197">
        <v>2034</v>
      </c>
      <c r="D1268" s="110" t="str">
        <f t="shared" si="11"/>
        <v>2036_2034</v>
      </c>
      <c r="E1268" s="1231">
        <v>8.4386658486413808E-3</v>
      </c>
      <c r="F1268" s="1232">
        <v>2.5409882721016692E-2</v>
      </c>
      <c r="G1268" s="1232">
        <v>0.709746251438094</v>
      </c>
      <c r="H1268" s="1232">
        <v>9.5435220787663561E-2</v>
      </c>
      <c r="I1268" s="1232">
        <v>1.30236184016655E-2</v>
      </c>
      <c r="J1268" s="1232">
        <v>1.0346190367028559E-4</v>
      </c>
      <c r="K1268" s="1232">
        <v>2.9999938033872199E-3</v>
      </c>
      <c r="L1268" s="1233">
        <v>3.0883052796567799E-2</v>
      </c>
      <c r="M1268" s="1234">
        <v>1.3612488634338E-2</v>
      </c>
      <c r="N1268" s="1235">
        <v>1.0813999184885773E-4</v>
      </c>
    </row>
    <row r="1269" spans="1:14" ht="15.5" x14ac:dyDescent="0.35">
      <c r="A1269" s="198">
        <v>2036</v>
      </c>
      <c r="B1269" s="197" t="s">
        <v>5850</v>
      </c>
      <c r="C1269" s="197">
        <v>2035</v>
      </c>
      <c r="D1269" s="110" t="str">
        <f t="shared" si="11"/>
        <v>2036_2035</v>
      </c>
      <c r="E1269" s="1231">
        <v>8.0847791045241899E-3</v>
      </c>
      <c r="F1269" s="1232">
        <v>2.5409882721016637E-2</v>
      </c>
      <c r="G1269" s="1232">
        <v>0.62053630294094997</v>
      </c>
      <c r="H1269" s="1232">
        <v>8.5583718421254312E-2</v>
      </c>
      <c r="I1269" s="1232">
        <v>1.20175066648124E-2</v>
      </c>
      <c r="J1269" s="1232">
        <v>1.0346190367028533E-4</v>
      </c>
      <c r="K1269" s="1232">
        <v>2.9999938033872199E-3</v>
      </c>
      <c r="L1269" s="1233">
        <v>3.0883052796559202E-2</v>
      </c>
      <c r="M1269" s="1234">
        <v>1.2560884989299199E-2</v>
      </c>
      <c r="N1269" s="1235">
        <v>1.0813999184885747E-4</v>
      </c>
    </row>
    <row r="1270" spans="1:14" ht="15.5" x14ac:dyDescent="0.35">
      <c r="A1270" s="198">
        <v>2036</v>
      </c>
      <c r="B1270" s="197" t="s">
        <v>5850</v>
      </c>
      <c r="C1270" s="197">
        <v>2036</v>
      </c>
      <c r="D1270" s="110" t="str">
        <f t="shared" si="11"/>
        <v>2036_2036</v>
      </c>
      <c r="E1270" s="1231">
        <v>7.7311533178752298E-3</v>
      </c>
      <c r="F1270" s="1232">
        <v>2.5409885082022254E-2</v>
      </c>
      <c r="G1270" s="1232">
        <v>0.51021574400141101</v>
      </c>
      <c r="H1270" s="1232">
        <v>7.5618222218304137E-2</v>
      </c>
      <c r="I1270" s="1232">
        <v>1.10593230803779E-2</v>
      </c>
      <c r="J1270" s="1232">
        <v>1.0346191328363706E-4</v>
      </c>
      <c r="K1270" s="1232">
        <v>2.99999381116706E-3</v>
      </c>
      <c r="L1270" s="1233">
        <v>3.0881227225894401E-2</v>
      </c>
      <c r="M1270" s="1234">
        <v>1.1559376595053201E-2</v>
      </c>
      <c r="N1270" s="1235">
        <v>1.081400018968826E-4</v>
      </c>
    </row>
    <row r="1271" spans="1:14" ht="15.5" x14ac:dyDescent="0.35">
      <c r="A1271" s="198">
        <v>2036</v>
      </c>
      <c r="B1271" s="197" t="s">
        <v>5850</v>
      </c>
      <c r="C1271" s="197">
        <v>2037</v>
      </c>
      <c r="D1271" s="110" t="str">
        <f t="shared" si="11"/>
        <v>2036_2037</v>
      </c>
      <c r="E1271" s="1231">
        <v>7.3758301493169996E-3</v>
      </c>
      <c r="F1271" s="1232">
        <v>6.0983691773152798E-2</v>
      </c>
      <c r="G1271" s="1232">
        <v>0.35057526553540003</v>
      </c>
      <c r="H1271" s="1232">
        <v>0.18148363683303326</v>
      </c>
      <c r="I1271" s="1232">
        <v>1.0146996528063E-2</v>
      </c>
      <c r="J1271" s="1232">
        <v>2.483084598605299E-4</v>
      </c>
      <c r="K1271" s="1232">
        <v>2.9999937666622999E-3</v>
      </c>
      <c r="L1271" s="1233">
        <v>3.0891670438907299E-2</v>
      </c>
      <c r="M1271" s="1234">
        <v>1.0605798684431801E-2</v>
      </c>
      <c r="N1271" s="1235">
        <v>2.5953586656295049E-4</v>
      </c>
    </row>
    <row r="1272" spans="1:14" ht="15.5" x14ac:dyDescent="0.35">
      <c r="A1272" s="198">
        <v>2037</v>
      </c>
      <c r="B1272" s="197" t="s">
        <v>5850</v>
      </c>
      <c r="C1272" s="197">
        <v>1971</v>
      </c>
      <c r="D1272" s="110" t="str">
        <f t="shared" si="11"/>
        <v>2037_1971</v>
      </c>
      <c r="E1272" s="1226">
        <v>0.124155921250753</v>
      </c>
      <c r="F1272" s="1227">
        <v>5.2949319993103927E-2</v>
      </c>
      <c r="G1272" s="1227">
        <v>5.1253497303978302</v>
      </c>
      <c r="H1272" s="1227">
        <v>0.71109410602427869</v>
      </c>
      <c r="I1272" s="1227">
        <v>5.7273822848523899E-2</v>
      </c>
      <c r="J1272" s="1227">
        <v>2.1631729619642155E-4</v>
      </c>
      <c r="K1272" s="1227">
        <v>2.99999380337708E-3</v>
      </c>
      <c r="L1272" s="1228">
        <v>2.7950649619651099E-2</v>
      </c>
      <c r="M1272" s="1229">
        <v>5.9863490968909402E-2</v>
      </c>
      <c r="N1272" s="1230">
        <v>2.2609820443663848E-4</v>
      </c>
    </row>
    <row r="1273" spans="1:14" ht="15.5" x14ac:dyDescent="0.35">
      <c r="A1273" s="198">
        <v>2037</v>
      </c>
      <c r="B1273" s="197" t="s">
        <v>5850</v>
      </c>
      <c r="C1273" s="197">
        <v>1972</v>
      </c>
      <c r="D1273" s="110" t="str">
        <f t="shared" si="11"/>
        <v>2037_1972</v>
      </c>
      <c r="E1273" s="1226">
        <v>0.124155921250753</v>
      </c>
      <c r="F1273" s="1227">
        <v>5.2949319993103927E-2</v>
      </c>
      <c r="G1273" s="1227">
        <v>5.1253497303978302</v>
      </c>
      <c r="H1273" s="1227">
        <v>0.71109410602427869</v>
      </c>
      <c r="I1273" s="1227">
        <v>5.7273822848523899E-2</v>
      </c>
      <c r="J1273" s="1227">
        <v>2.1631729619642155E-4</v>
      </c>
      <c r="K1273" s="1227">
        <v>2.99999380337708E-3</v>
      </c>
      <c r="L1273" s="1228">
        <v>2.7950649619651099E-2</v>
      </c>
      <c r="M1273" s="1229">
        <v>5.9863490968909402E-2</v>
      </c>
      <c r="N1273" s="1230">
        <v>2.2609820443663848E-4</v>
      </c>
    </row>
    <row r="1274" spans="1:14" ht="15.5" x14ac:dyDescent="0.35">
      <c r="A1274" s="198">
        <v>2037</v>
      </c>
      <c r="B1274" s="197" t="s">
        <v>5850</v>
      </c>
      <c r="C1274" s="197">
        <v>1973</v>
      </c>
      <c r="D1274" s="110" t="str">
        <f t="shared" si="11"/>
        <v>2037_1973</v>
      </c>
      <c r="E1274" s="1226">
        <v>0.124155921250753</v>
      </c>
      <c r="F1274" s="1227">
        <v>5.2949319993103927E-2</v>
      </c>
      <c r="G1274" s="1227">
        <v>5.1253497303978302</v>
      </c>
      <c r="H1274" s="1227">
        <v>0.71109410602427869</v>
      </c>
      <c r="I1274" s="1227">
        <v>5.7273822848523899E-2</v>
      </c>
      <c r="J1274" s="1227">
        <v>2.1631729619642155E-4</v>
      </c>
      <c r="K1274" s="1227">
        <v>2.99999380337708E-3</v>
      </c>
      <c r="L1274" s="1228">
        <v>2.7950649619651099E-2</v>
      </c>
      <c r="M1274" s="1229">
        <v>5.9863490968909402E-2</v>
      </c>
      <c r="N1274" s="1230">
        <v>2.2609820443663848E-4</v>
      </c>
    </row>
    <row r="1275" spans="1:14" ht="15.5" x14ac:dyDescent="0.35">
      <c r="A1275" s="198">
        <v>2037</v>
      </c>
      <c r="B1275" s="197" t="s">
        <v>5850</v>
      </c>
      <c r="C1275" s="197">
        <v>1974</v>
      </c>
      <c r="D1275" s="110" t="str">
        <f t="shared" si="11"/>
        <v>2037_1974</v>
      </c>
      <c r="E1275" s="1226">
        <v>0.124155921250753</v>
      </c>
      <c r="F1275" s="1227">
        <v>5.2949319993103927E-2</v>
      </c>
      <c r="G1275" s="1227">
        <v>5.1253497303978302</v>
      </c>
      <c r="H1275" s="1227">
        <v>0.71109410602427869</v>
      </c>
      <c r="I1275" s="1227">
        <v>5.7273822848523899E-2</v>
      </c>
      <c r="J1275" s="1227">
        <v>2.1631729619642155E-4</v>
      </c>
      <c r="K1275" s="1227">
        <v>2.99999380337708E-3</v>
      </c>
      <c r="L1275" s="1228">
        <v>2.7950649619651099E-2</v>
      </c>
      <c r="M1275" s="1229">
        <v>5.9863490968909402E-2</v>
      </c>
      <c r="N1275" s="1230">
        <v>2.2609820443663848E-4</v>
      </c>
    </row>
    <row r="1276" spans="1:14" ht="15.5" x14ac:dyDescent="0.35">
      <c r="A1276" s="198">
        <v>2037</v>
      </c>
      <c r="B1276" s="197" t="s">
        <v>5850</v>
      </c>
      <c r="C1276" s="197">
        <v>1975</v>
      </c>
      <c r="D1276" s="110" t="str">
        <f t="shared" si="11"/>
        <v>2037_1975</v>
      </c>
      <c r="E1276" s="1226">
        <v>0.124155921250753</v>
      </c>
      <c r="F1276" s="1227">
        <v>5.2949319993103927E-2</v>
      </c>
      <c r="G1276" s="1227">
        <v>5.1253497303978302</v>
      </c>
      <c r="H1276" s="1227">
        <v>0.71109410602427869</v>
      </c>
      <c r="I1276" s="1227">
        <v>5.7273822848523899E-2</v>
      </c>
      <c r="J1276" s="1227">
        <v>2.1631729619642155E-4</v>
      </c>
      <c r="K1276" s="1227">
        <v>2.99999380337708E-3</v>
      </c>
      <c r="L1276" s="1228">
        <v>2.7950649619651099E-2</v>
      </c>
      <c r="M1276" s="1229">
        <v>5.9863490968909402E-2</v>
      </c>
      <c r="N1276" s="1230">
        <v>2.2609820443663848E-4</v>
      </c>
    </row>
    <row r="1277" spans="1:14" ht="15.5" x14ac:dyDescent="0.35">
      <c r="A1277" s="198">
        <v>2037</v>
      </c>
      <c r="B1277" s="197" t="s">
        <v>5850</v>
      </c>
      <c r="C1277" s="197">
        <v>1976</v>
      </c>
      <c r="D1277" s="110" t="str">
        <f t="shared" si="11"/>
        <v>2037_1976</v>
      </c>
      <c r="E1277" s="1226">
        <v>0.124155921250753</v>
      </c>
      <c r="F1277" s="1227">
        <v>5.2949319993103927E-2</v>
      </c>
      <c r="G1277" s="1227">
        <v>5.1253497303978302</v>
      </c>
      <c r="H1277" s="1227">
        <v>0.71109410602427869</v>
      </c>
      <c r="I1277" s="1227">
        <v>5.7273822848523899E-2</v>
      </c>
      <c r="J1277" s="1227">
        <v>2.1631729619642155E-4</v>
      </c>
      <c r="K1277" s="1227">
        <v>2.99999380337708E-3</v>
      </c>
      <c r="L1277" s="1228">
        <v>2.7950649619651099E-2</v>
      </c>
      <c r="M1277" s="1229">
        <v>5.9863490968909402E-2</v>
      </c>
      <c r="N1277" s="1230">
        <v>2.2609820443663848E-4</v>
      </c>
    </row>
    <row r="1278" spans="1:14" ht="15.5" x14ac:dyDescent="0.35">
      <c r="A1278" s="198">
        <v>2037</v>
      </c>
      <c r="B1278" s="197" t="s">
        <v>5850</v>
      </c>
      <c r="C1278" s="197">
        <v>1977</v>
      </c>
      <c r="D1278" s="110" t="str">
        <f t="shared" si="11"/>
        <v>2037_1977</v>
      </c>
      <c r="E1278" s="1226">
        <v>0.124155921250753</v>
      </c>
      <c r="F1278" s="1227">
        <v>5.2949319993103927E-2</v>
      </c>
      <c r="G1278" s="1227">
        <v>5.1253497303978302</v>
      </c>
      <c r="H1278" s="1227">
        <v>0.71109410602427869</v>
      </c>
      <c r="I1278" s="1227">
        <v>5.7273822848523899E-2</v>
      </c>
      <c r="J1278" s="1227">
        <v>2.1631729619642155E-4</v>
      </c>
      <c r="K1278" s="1227">
        <v>2.99999380337708E-3</v>
      </c>
      <c r="L1278" s="1228">
        <v>2.7950649619651099E-2</v>
      </c>
      <c r="M1278" s="1229">
        <v>5.9863490968909402E-2</v>
      </c>
      <c r="N1278" s="1230">
        <v>2.2609820443663848E-4</v>
      </c>
    </row>
    <row r="1279" spans="1:14" ht="15.5" x14ac:dyDescent="0.35">
      <c r="A1279" s="198">
        <v>2037</v>
      </c>
      <c r="B1279" s="197" t="s">
        <v>5850</v>
      </c>
      <c r="C1279" s="197">
        <v>1978</v>
      </c>
      <c r="D1279" s="110" t="str">
        <f t="shared" si="11"/>
        <v>2037_1978</v>
      </c>
      <c r="E1279" s="1226">
        <v>0.124155921250753</v>
      </c>
      <c r="F1279" s="1227">
        <v>5.2949319993103927E-2</v>
      </c>
      <c r="G1279" s="1227">
        <v>5.1253497303978302</v>
      </c>
      <c r="H1279" s="1227">
        <v>0.71109410602427869</v>
      </c>
      <c r="I1279" s="1227">
        <v>5.7273822848523899E-2</v>
      </c>
      <c r="J1279" s="1227">
        <v>2.1631729619642155E-4</v>
      </c>
      <c r="K1279" s="1227">
        <v>2.99999380337708E-3</v>
      </c>
      <c r="L1279" s="1228">
        <v>2.7950649619651099E-2</v>
      </c>
      <c r="M1279" s="1229">
        <v>5.9863490968909402E-2</v>
      </c>
      <c r="N1279" s="1230">
        <v>2.2609820443663848E-4</v>
      </c>
    </row>
    <row r="1280" spans="1:14" ht="15.5" x14ac:dyDescent="0.35">
      <c r="A1280" s="198">
        <v>2037</v>
      </c>
      <c r="B1280" s="197" t="s">
        <v>5850</v>
      </c>
      <c r="C1280" s="197">
        <v>1979</v>
      </c>
      <c r="D1280" s="110" t="str">
        <f t="shared" si="11"/>
        <v>2037_1979</v>
      </c>
      <c r="E1280" s="1226">
        <v>0.124155921250753</v>
      </c>
      <c r="F1280" s="1227">
        <v>5.2949319993103927E-2</v>
      </c>
      <c r="G1280" s="1227">
        <v>5.1253497303978302</v>
      </c>
      <c r="H1280" s="1227">
        <v>0.71109410602427869</v>
      </c>
      <c r="I1280" s="1227">
        <v>5.7273822848523899E-2</v>
      </c>
      <c r="J1280" s="1227">
        <v>2.1631729619642155E-4</v>
      </c>
      <c r="K1280" s="1227">
        <v>2.99999380337708E-3</v>
      </c>
      <c r="L1280" s="1228">
        <v>2.7950649619651099E-2</v>
      </c>
      <c r="M1280" s="1229">
        <v>5.9863490968909402E-2</v>
      </c>
      <c r="N1280" s="1230">
        <v>2.2609820443663848E-4</v>
      </c>
    </row>
    <row r="1281" spans="1:14" ht="15.5" x14ac:dyDescent="0.35">
      <c r="A1281" s="198">
        <v>2037</v>
      </c>
      <c r="B1281" s="197" t="s">
        <v>5850</v>
      </c>
      <c r="C1281" s="197">
        <v>1980</v>
      </c>
      <c r="D1281" s="110" t="str">
        <f t="shared" si="11"/>
        <v>2037_1980</v>
      </c>
      <c r="E1281" s="1226">
        <v>0.124155921250753</v>
      </c>
      <c r="F1281" s="1227">
        <v>5.2949319993103927E-2</v>
      </c>
      <c r="G1281" s="1227">
        <v>5.1253497303978302</v>
      </c>
      <c r="H1281" s="1227">
        <v>0.71109410602427869</v>
      </c>
      <c r="I1281" s="1227">
        <v>5.7273822848523899E-2</v>
      </c>
      <c r="J1281" s="1227">
        <v>2.1631729619642155E-4</v>
      </c>
      <c r="K1281" s="1227">
        <v>2.99999380337708E-3</v>
      </c>
      <c r="L1281" s="1228">
        <v>2.7950649619651099E-2</v>
      </c>
      <c r="M1281" s="1229">
        <v>5.9863490968909402E-2</v>
      </c>
      <c r="N1281" s="1230">
        <v>2.2609820443663848E-4</v>
      </c>
    </row>
    <row r="1282" spans="1:14" ht="15.5" x14ac:dyDescent="0.35">
      <c r="A1282" s="198">
        <v>2037</v>
      </c>
      <c r="B1282" s="197" t="s">
        <v>5850</v>
      </c>
      <c r="C1282" s="197">
        <v>1981</v>
      </c>
      <c r="D1282" s="110" t="str">
        <f t="shared" si="11"/>
        <v>2037_1981</v>
      </c>
      <c r="E1282" s="1226">
        <v>0.124155921250753</v>
      </c>
      <c r="F1282" s="1227">
        <v>5.2949319993103927E-2</v>
      </c>
      <c r="G1282" s="1227">
        <v>5.1253497303978302</v>
      </c>
      <c r="H1282" s="1227">
        <v>0.71109410602427869</v>
      </c>
      <c r="I1282" s="1227">
        <v>5.7273822848523899E-2</v>
      </c>
      <c r="J1282" s="1227">
        <v>2.1631729619642155E-4</v>
      </c>
      <c r="K1282" s="1227">
        <v>2.99999380337708E-3</v>
      </c>
      <c r="L1282" s="1228">
        <v>2.7950649619651099E-2</v>
      </c>
      <c r="M1282" s="1229">
        <v>5.9863490968909402E-2</v>
      </c>
      <c r="N1282" s="1230">
        <v>2.2609820443663848E-4</v>
      </c>
    </row>
    <row r="1283" spans="1:14" ht="15.5" x14ac:dyDescent="0.35">
      <c r="A1283" s="198">
        <v>2037</v>
      </c>
      <c r="B1283" s="197" t="s">
        <v>5850</v>
      </c>
      <c r="C1283" s="197">
        <v>1982</v>
      </c>
      <c r="D1283" s="110" t="str">
        <f t="shared" si="11"/>
        <v>2037_1982</v>
      </c>
      <c r="E1283" s="1226">
        <v>0.124155921250753</v>
      </c>
      <c r="F1283" s="1227">
        <v>5.2949319993103927E-2</v>
      </c>
      <c r="G1283" s="1227">
        <v>5.1253497303978302</v>
      </c>
      <c r="H1283" s="1227">
        <v>0.71109410602427869</v>
      </c>
      <c r="I1283" s="1227">
        <v>5.7273822848523899E-2</v>
      </c>
      <c r="J1283" s="1227">
        <v>2.1631729619642155E-4</v>
      </c>
      <c r="K1283" s="1227">
        <v>2.99999380337708E-3</v>
      </c>
      <c r="L1283" s="1228">
        <v>2.7950649619651099E-2</v>
      </c>
      <c r="M1283" s="1229">
        <v>5.9863490968909402E-2</v>
      </c>
      <c r="N1283" s="1230">
        <v>2.2609820443663848E-4</v>
      </c>
    </row>
    <row r="1284" spans="1:14" ht="15.5" x14ac:dyDescent="0.35">
      <c r="A1284" s="198">
        <v>2037</v>
      </c>
      <c r="B1284" s="197" t="s">
        <v>5850</v>
      </c>
      <c r="C1284" s="197">
        <v>1983</v>
      </c>
      <c r="D1284" s="110" t="str">
        <f t="shared" si="11"/>
        <v>2037_1983</v>
      </c>
      <c r="E1284" s="1226">
        <v>0.124155921250753</v>
      </c>
      <c r="F1284" s="1227">
        <v>5.2949319993103927E-2</v>
      </c>
      <c r="G1284" s="1227">
        <v>5.1253497303978302</v>
      </c>
      <c r="H1284" s="1227">
        <v>0.71109410602427869</v>
      </c>
      <c r="I1284" s="1227">
        <v>5.7273822848523899E-2</v>
      </c>
      <c r="J1284" s="1227">
        <v>2.1631729619642155E-4</v>
      </c>
      <c r="K1284" s="1227">
        <v>2.99999380337708E-3</v>
      </c>
      <c r="L1284" s="1228">
        <v>2.7950649619651099E-2</v>
      </c>
      <c r="M1284" s="1229">
        <v>5.9863490968909402E-2</v>
      </c>
      <c r="N1284" s="1230">
        <v>2.2609820443663848E-4</v>
      </c>
    </row>
    <row r="1285" spans="1:14" ht="15.5" x14ac:dyDescent="0.35">
      <c r="A1285" s="198">
        <v>2037</v>
      </c>
      <c r="B1285" s="197" t="s">
        <v>5850</v>
      </c>
      <c r="C1285" s="197">
        <v>1984</v>
      </c>
      <c r="D1285" s="110" t="str">
        <f t="shared" si="11"/>
        <v>2037_1984</v>
      </c>
      <c r="E1285" s="1226">
        <v>0.124155921250753</v>
      </c>
      <c r="F1285" s="1227">
        <v>5.2949319993103927E-2</v>
      </c>
      <c r="G1285" s="1227">
        <v>5.1253497303978302</v>
      </c>
      <c r="H1285" s="1227">
        <v>0.71109410602427869</v>
      </c>
      <c r="I1285" s="1227">
        <v>5.7273822848523899E-2</v>
      </c>
      <c r="J1285" s="1227">
        <v>2.1631729619642155E-4</v>
      </c>
      <c r="K1285" s="1227">
        <v>2.99999380337708E-3</v>
      </c>
      <c r="L1285" s="1228">
        <v>2.7950649619651099E-2</v>
      </c>
      <c r="M1285" s="1229">
        <v>5.9863490968909402E-2</v>
      </c>
      <c r="N1285" s="1230">
        <v>2.2609820443663848E-4</v>
      </c>
    </row>
    <row r="1286" spans="1:14" ht="15.5" x14ac:dyDescent="0.35">
      <c r="A1286" s="198">
        <v>2037</v>
      </c>
      <c r="B1286" s="197" t="s">
        <v>5850</v>
      </c>
      <c r="C1286" s="197">
        <v>1985</v>
      </c>
      <c r="D1286" s="110" t="str">
        <f t="shared" si="11"/>
        <v>2037_1985</v>
      </c>
      <c r="E1286" s="1226">
        <v>0.124155921250753</v>
      </c>
      <c r="F1286" s="1227">
        <v>5.2949319993103927E-2</v>
      </c>
      <c r="G1286" s="1227">
        <v>5.1253497303978302</v>
      </c>
      <c r="H1286" s="1227">
        <v>0.71109410602427869</v>
      </c>
      <c r="I1286" s="1227">
        <v>5.7273822848523899E-2</v>
      </c>
      <c r="J1286" s="1227">
        <v>2.1631729619642155E-4</v>
      </c>
      <c r="K1286" s="1227">
        <v>2.99999380337708E-3</v>
      </c>
      <c r="L1286" s="1228">
        <v>2.7950649619651099E-2</v>
      </c>
      <c r="M1286" s="1229">
        <v>5.9863490968909402E-2</v>
      </c>
      <c r="N1286" s="1230">
        <v>2.2609820443663848E-4</v>
      </c>
    </row>
    <row r="1287" spans="1:14" ht="15.5" x14ac:dyDescent="0.35">
      <c r="A1287" s="198">
        <v>2037</v>
      </c>
      <c r="B1287" s="197" t="s">
        <v>5850</v>
      </c>
      <c r="C1287" s="197">
        <v>1986</v>
      </c>
      <c r="D1287" s="110" t="str">
        <f t="shared" si="11"/>
        <v>2037_1986</v>
      </c>
      <c r="E1287" s="1226">
        <v>0.124155921250753</v>
      </c>
      <c r="F1287" s="1227">
        <v>5.2949319993103927E-2</v>
      </c>
      <c r="G1287" s="1227">
        <v>5.1253497303978302</v>
      </c>
      <c r="H1287" s="1227">
        <v>0.71109410602427869</v>
      </c>
      <c r="I1287" s="1227">
        <v>5.7273822848523899E-2</v>
      </c>
      <c r="J1287" s="1227">
        <v>2.1631729619642155E-4</v>
      </c>
      <c r="K1287" s="1227">
        <v>2.99999380337708E-3</v>
      </c>
      <c r="L1287" s="1228">
        <v>2.7950649619651099E-2</v>
      </c>
      <c r="M1287" s="1229">
        <v>5.9863490968909402E-2</v>
      </c>
      <c r="N1287" s="1230">
        <v>2.2609820443663848E-4</v>
      </c>
    </row>
    <row r="1288" spans="1:14" ht="15.5" x14ac:dyDescent="0.35">
      <c r="A1288" s="198">
        <v>2037</v>
      </c>
      <c r="B1288" s="197" t="s">
        <v>5850</v>
      </c>
      <c r="C1288" s="197">
        <v>1987</v>
      </c>
      <c r="D1288" s="110" t="str">
        <f t="shared" si="11"/>
        <v>2037_1987</v>
      </c>
      <c r="E1288" s="1226">
        <v>0.124155921250753</v>
      </c>
      <c r="F1288" s="1227">
        <v>5.2949319993103927E-2</v>
      </c>
      <c r="G1288" s="1227">
        <v>5.1253497303978302</v>
      </c>
      <c r="H1288" s="1227">
        <v>0.71109410602427869</v>
      </c>
      <c r="I1288" s="1227">
        <v>5.7273822848523899E-2</v>
      </c>
      <c r="J1288" s="1227">
        <v>2.1631729619642155E-4</v>
      </c>
      <c r="K1288" s="1227">
        <v>2.99999380337708E-3</v>
      </c>
      <c r="L1288" s="1228">
        <v>2.7950649619651099E-2</v>
      </c>
      <c r="M1288" s="1229">
        <v>5.9863490968909402E-2</v>
      </c>
      <c r="N1288" s="1230">
        <v>2.2609820443663848E-4</v>
      </c>
    </row>
    <row r="1289" spans="1:14" ht="15.5" x14ac:dyDescent="0.35">
      <c r="A1289" s="198">
        <v>2037</v>
      </c>
      <c r="B1289" s="197" t="s">
        <v>5850</v>
      </c>
      <c r="C1289" s="197">
        <v>1988</v>
      </c>
      <c r="D1289" s="110" t="str">
        <f t="shared" si="11"/>
        <v>2037_1988</v>
      </c>
      <c r="E1289" s="1226">
        <v>0.124155921250753</v>
      </c>
      <c r="F1289" s="1227">
        <v>5.2949319993103927E-2</v>
      </c>
      <c r="G1289" s="1227">
        <v>5.1253497303978302</v>
      </c>
      <c r="H1289" s="1227">
        <v>0.71109410602427869</v>
      </c>
      <c r="I1289" s="1227">
        <v>5.7273822848523899E-2</v>
      </c>
      <c r="J1289" s="1227">
        <v>2.1631729619642155E-4</v>
      </c>
      <c r="K1289" s="1227">
        <v>2.99999380337708E-3</v>
      </c>
      <c r="L1289" s="1228">
        <v>2.7950649619651099E-2</v>
      </c>
      <c r="M1289" s="1229">
        <v>5.9863490968909402E-2</v>
      </c>
      <c r="N1289" s="1230">
        <v>2.2609820443663848E-4</v>
      </c>
    </row>
    <row r="1290" spans="1:14" ht="15.5" x14ac:dyDescent="0.35">
      <c r="A1290" s="198">
        <v>2037</v>
      </c>
      <c r="B1290" s="197" t="s">
        <v>5850</v>
      </c>
      <c r="C1290" s="197">
        <v>1989</v>
      </c>
      <c r="D1290" s="110" t="str">
        <f t="shared" si="11"/>
        <v>2037_1989</v>
      </c>
      <c r="E1290" s="1226">
        <v>0.124155921250753</v>
      </c>
      <c r="F1290" s="1227">
        <v>5.2949319993103927E-2</v>
      </c>
      <c r="G1290" s="1227">
        <v>5.1253497303978302</v>
      </c>
      <c r="H1290" s="1227">
        <v>0.71109410602427869</v>
      </c>
      <c r="I1290" s="1227">
        <v>5.7273822848523899E-2</v>
      </c>
      <c r="J1290" s="1227">
        <v>2.1631729619642155E-4</v>
      </c>
      <c r="K1290" s="1227">
        <v>2.99999380337708E-3</v>
      </c>
      <c r="L1290" s="1228">
        <v>2.7950649619651099E-2</v>
      </c>
      <c r="M1290" s="1229">
        <v>5.9863490968909402E-2</v>
      </c>
      <c r="N1290" s="1230">
        <v>2.2609820443663848E-4</v>
      </c>
    </row>
    <row r="1291" spans="1:14" ht="15.5" x14ac:dyDescent="0.35">
      <c r="A1291" s="198">
        <v>2037</v>
      </c>
      <c r="B1291" s="197" t="s">
        <v>5850</v>
      </c>
      <c r="C1291" s="197">
        <v>1990</v>
      </c>
      <c r="D1291" s="110" t="str">
        <f t="shared" si="11"/>
        <v>2037_1990</v>
      </c>
      <c r="E1291" s="1226">
        <v>0.124155921250753</v>
      </c>
      <c r="F1291" s="1227">
        <v>5.2949319993103927E-2</v>
      </c>
      <c r="G1291" s="1227">
        <v>5.1253497303978302</v>
      </c>
      <c r="H1291" s="1227">
        <v>0.71109410602427869</v>
      </c>
      <c r="I1291" s="1227">
        <v>5.7273822848523899E-2</v>
      </c>
      <c r="J1291" s="1227">
        <v>2.1631729619642155E-4</v>
      </c>
      <c r="K1291" s="1227">
        <v>2.99999380337708E-3</v>
      </c>
      <c r="L1291" s="1228">
        <v>2.7950649619651099E-2</v>
      </c>
      <c r="M1291" s="1229">
        <v>5.9863490968909402E-2</v>
      </c>
      <c r="N1291" s="1230">
        <v>2.2609820443663848E-4</v>
      </c>
    </row>
    <row r="1292" spans="1:14" ht="15.5" x14ac:dyDescent="0.35">
      <c r="A1292" s="198">
        <v>2037</v>
      </c>
      <c r="B1292" s="197" t="s">
        <v>5850</v>
      </c>
      <c r="C1292" s="197">
        <v>1991</v>
      </c>
      <c r="D1292" s="110" t="str">
        <f t="shared" si="11"/>
        <v>2037_1991</v>
      </c>
      <c r="E1292" s="1226">
        <v>0.124155921250753</v>
      </c>
      <c r="F1292" s="1227">
        <v>5.2949319993103927E-2</v>
      </c>
      <c r="G1292" s="1227">
        <v>5.1253497303978302</v>
      </c>
      <c r="H1292" s="1227">
        <v>0.71109410602427869</v>
      </c>
      <c r="I1292" s="1227">
        <v>5.7273822848523899E-2</v>
      </c>
      <c r="J1292" s="1227">
        <v>2.1631729619642155E-4</v>
      </c>
      <c r="K1292" s="1227">
        <v>2.99999380337708E-3</v>
      </c>
      <c r="L1292" s="1228">
        <v>2.7950649619651099E-2</v>
      </c>
      <c r="M1292" s="1229">
        <v>5.9863490968909402E-2</v>
      </c>
      <c r="N1292" s="1230">
        <v>2.2609820443663848E-4</v>
      </c>
    </row>
    <row r="1293" spans="1:14" ht="15.5" x14ac:dyDescent="0.35">
      <c r="A1293" s="198">
        <v>2037</v>
      </c>
      <c r="B1293" s="197" t="s">
        <v>5850</v>
      </c>
      <c r="C1293" s="197">
        <v>1992</v>
      </c>
      <c r="D1293" s="110" t="str">
        <f t="shared" si="11"/>
        <v>2037_1992</v>
      </c>
      <c r="E1293" s="1226">
        <v>0.124155921250753</v>
      </c>
      <c r="F1293" s="1227">
        <v>5.2949319993103927E-2</v>
      </c>
      <c r="G1293" s="1227">
        <v>5.1253497303978302</v>
      </c>
      <c r="H1293" s="1227">
        <v>0.71109410602427869</v>
      </c>
      <c r="I1293" s="1227">
        <v>5.7273822848523899E-2</v>
      </c>
      <c r="J1293" s="1227">
        <v>2.1631729619642155E-4</v>
      </c>
      <c r="K1293" s="1227">
        <v>2.99999380337708E-3</v>
      </c>
      <c r="L1293" s="1228">
        <v>2.7950649619651099E-2</v>
      </c>
      <c r="M1293" s="1229">
        <v>5.9863490968909402E-2</v>
      </c>
      <c r="N1293" s="1230">
        <v>2.2609820443663848E-4</v>
      </c>
    </row>
    <row r="1294" spans="1:14" ht="15.5" x14ac:dyDescent="0.35">
      <c r="A1294" s="198">
        <v>2037</v>
      </c>
      <c r="B1294" s="197" t="s">
        <v>5850</v>
      </c>
      <c r="C1294" s="197">
        <v>1993</v>
      </c>
      <c r="D1294" s="110" t="str">
        <f t="shared" si="11"/>
        <v>2037_1993</v>
      </c>
      <c r="E1294" s="1226">
        <v>0.124155921250753</v>
      </c>
      <c r="F1294" s="1227">
        <v>5.2949319993103927E-2</v>
      </c>
      <c r="G1294" s="1227">
        <v>5.1253497303978302</v>
      </c>
      <c r="H1294" s="1227">
        <v>0.71109410602427869</v>
      </c>
      <c r="I1294" s="1227">
        <v>5.7273822848523899E-2</v>
      </c>
      <c r="J1294" s="1227">
        <v>2.1631729619642155E-4</v>
      </c>
      <c r="K1294" s="1227">
        <v>2.99999380337708E-3</v>
      </c>
      <c r="L1294" s="1228">
        <v>2.7950649619651099E-2</v>
      </c>
      <c r="M1294" s="1229">
        <v>5.9863490968909402E-2</v>
      </c>
      <c r="N1294" s="1230">
        <v>2.2609820443663848E-4</v>
      </c>
    </row>
    <row r="1295" spans="1:14" ht="15.5" x14ac:dyDescent="0.35">
      <c r="A1295" s="198">
        <v>2037</v>
      </c>
      <c r="B1295" s="197" t="s">
        <v>5850</v>
      </c>
      <c r="C1295" s="197">
        <v>1994</v>
      </c>
      <c r="D1295" s="110" t="str">
        <f t="shared" si="11"/>
        <v>2037_1994</v>
      </c>
      <c r="E1295" s="1226">
        <v>0.124155921250753</v>
      </c>
      <c r="F1295" s="1227">
        <v>5.2949319993103927E-2</v>
      </c>
      <c r="G1295" s="1227">
        <v>5.1253497303978302</v>
      </c>
      <c r="H1295" s="1227">
        <v>0.71109410602427869</v>
      </c>
      <c r="I1295" s="1227">
        <v>5.7273822848523899E-2</v>
      </c>
      <c r="J1295" s="1227">
        <v>2.1631729619642155E-4</v>
      </c>
      <c r="K1295" s="1227">
        <v>2.99999380337708E-3</v>
      </c>
      <c r="L1295" s="1228">
        <v>2.7950649619651099E-2</v>
      </c>
      <c r="M1295" s="1229">
        <v>5.9863490968909402E-2</v>
      </c>
      <c r="N1295" s="1230">
        <v>2.2609820443663848E-4</v>
      </c>
    </row>
    <row r="1296" spans="1:14" ht="15.5" x14ac:dyDescent="0.35">
      <c r="A1296" s="198">
        <v>2037</v>
      </c>
      <c r="B1296" s="197" t="s">
        <v>5850</v>
      </c>
      <c r="C1296" s="197">
        <v>1995</v>
      </c>
      <c r="D1296" s="110" t="str">
        <f t="shared" si="11"/>
        <v>2037_1995</v>
      </c>
      <c r="E1296" s="1226">
        <v>0.124155921250753</v>
      </c>
      <c r="F1296" s="1227">
        <v>5.2949319993103927E-2</v>
      </c>
      <c r="G1296" s="1227">
        <v>5.1253497303978302</v>
      </c>
      <c r="H1296" s="1227">
        <v>0.71109410602427869</v>
      </c>
      <c r="I1296" s="1227">
        <v>5.7273822848523899E-2</v>
      </c>
      <c r="J1296" s="1227">
        <v>2.1631729619642155E-4</v>
      </c>
      <c r="K1296" s="1227">
        <v>2.99999380337708E-3</v>
      </c>
      <c r="L1296" s="1228">
        <v>2.7950649619651099E-2</v>
      </c>
      <c r="M1296" s="1229">
        <v>5.9863490968909402E-2</v>
      </c>
      <c r="N1296" s="1230">
        <v>2.2609820443663848E-4</v>
      </c>
    </row>
    <row r="1297" spans="1:14" ht="15.5" x14ac:dyDescent="0.35">
      <c r="A1297" s="198">
        <v>2037</v>
      </c>
      <c r="B1297" s="197" t="s">
        <v>5850</v>
      </c>
      <c r="C1297" s="197">
        <v>1996</v>
      </c>
      <c r="D1297" s="110" t="str">
        <f t="shared" si="11"/>
        <v>2037_1996</v>
      </c>
      <c r="E1297" s="1226">
        <v>0.124155921250753</v>
      </c>
      <c r="F1297" s="1227">
        <v>5.2949319993103927E-2</v>
      </c>
      <c r="G1297" s="1227">
        <v>5.1253497303978302</v>
      </c>
      <c r="H1297" s="1227">
        <v>0.71109410602427869</v>
      </c>
      <c r="I1297" s="1227">
        <v>5.7273822848523899E-2</v>
      </c>
      <c r="J1297" s="1227">
        <v>2.1631729619642155E-4</v>
      </c>
      <c r="K1297" s="1227">
        <v>2.99999380337708E-3</v>
      </c>
      <c r="L1297" s="1228">
        <v>2.7950649619651099E-2</v>
      </c>
      <c r="M1297" s="1229">
        <v>5.9863490968909402E-2</v>
      </c>
      <c r="N1297" s="1230">
        <v>2.2609820443663848E-4</v>
      </c>
    </row>
    <row r="1298" spans="1:14" ht="15.5" x14ac:dyDescent="0.35">
      <c r="A1298" s="198">
        <v>2037</v>
      </c>
      <c r="B1298" s="197" t="s">
        <v>5850</v>
      </c>
      <c r="C1298" s="197">
        <v>1997</v>
      </c>
      <c r="D1298" s="110" t="str">
        <f t="shared" si="11"/>
        <v>2037_1997</v>
      </c>
      <c r="E1298" s="1226">
        <v>0.124155921250753</v>
      </c>
      <c r="F1298" s="1227">
        <v>5.2949319993103927E-2</v>
      </c>
      <c r="G1298" s="1227">
        <v>5.1253497303978302</v>
      </c>
      <c r="H1298" s="1227">
        <v>0.71109410602427869</v>
      </c>
      <c r="I1298" s="1227">
        <v>5.7273822848523899E-2</v>
      </c>
      <c r="J1298" s="1227">
        <v>2.1631729619642155E-4</v>
      </c>
      <c r="K1298" s="1227">
        <v>2.99999380337708E-3</v>
      </c>
      <c r="L1298" s="1228">
        <v>2.7950649619651099E-2</v>
      </c>
      <c r="M1298" s="1229">
        <v>5.9863490968909402E-2</v>
      </c>
      <c r="N1298" s="1230">
        <v>2.2609820443663848E-4</v>
      </c>
    </row>
    <row r="1299" spans="1:14" ht="15.5" x14ac:dyDescent="0.35">
      <c r="A1299" s="198">
        <v>2037</v>
      </c>
      <c r="B1299" s="197" t="s">
        <v>5850</v>
      </c>
      <c r="C1299" s="197">
        <v>1998</v>
      </c>
      <c r="D1299" s="110" t="str">
        <f t="shared" si="11"/>
        <v>2037_1998</v>
      </c>
      <c r="E1299" s="1226">
        <v>0.124155921250753</v>
      </c>
      <c r="F1299" s="1227">
        <v>5.2949319993103927E-2</v>
      </c>
      <c r="G1299" s="1227">
        <v>5.1253497303978302</v>
      </c>
      <c r="H1299" s="1227">
        <v>0.71109410602427869</v>
      </c>
      <c r="I1299" s="1227">
        <v>5.7273822848523899E-2</v>
      </c>
      <c r="J1299" s="1227">
        <v>2.1631729619642155E-4</v>
      </c>
      <c r="K1299" s="1227">
        <v>2.99999380337708E-3</v>
      </c>
      <c r="L1299" s="1228">
        <v>2.7950649619651099E-2</v>
      </c>
      <c r="M1299" s="1229">
        <v>5.9863490968909402E-2</v>
      </c>
      <c r="N1299" s="1230">
        <v>2.2609820443663848E-4</v>
      </c>
    </row>
    <row r="1300" spans="1:14" ht="15.5" x14ac:dyDescent="0.35">
      <c r="A1300" s="198">
        <v>2037</v>
      </c>
      <c r="B1300" s="197" t="s">
        <v>5850</v>
      </c>
      <c r="C1300" s="197">
        <v>1999</v>
      </c>
      <c r="D1300" s="110" t="str">
        <f t="shared" si="11"/>
        <v>2037_1999</v>
      </c>
      <c r="E1300" s="1226">
        <v>0.124155921250753</v>
      </c>
      <c r="F1300" s="1227">
        <v>5.2949319993103927E-2</v>
      </c>
      <c r="G1300" s="1227">
        <v>5.1253497303978302</v>
      </c>
      <c r="H1300" s="1227">
        <v>0.71109410602427869</v>
      </c>
      <c r="I1300" s="1227">
        <v>5.7273822848523899E-2</v>
      </c>
      <c r="J1300" s="1227">
        <v>2.1631729619642155E-4</v>
      </c>
      <c r="K1300" s="1227">
        <v>2.99999380337708E-3</v>
      </c>
      <c r="L1300" s="1228">
        <v>2.7950649619651099E-2</v>
      </c>
      <c r="M1300" s="1229">
        <v>5.9863490968909402E-2</v>
      </c>
      <c r="N1300" s="1230">
        <v>2.2609820443663848E-4</v>
      </c>
    </row>
    <row r="1301" spans="1:14" ht="15.5" x14ac:dyDescent="0.35">
      <c r="A1301" s="198">
        <v>2037</v>
      </c>
      <c r="B1301" s="197" t="s">
        <v>5850</v>
      </c>
      <c r="C1301" s="197">
        <v>2000</v>
      </c>
      <c r="D1301" s="110" t="str">
        <f t="shared" si="11"/>
        <v>2037_2000</v>
      </c>
      <c r="E1301" s="1226">
        <v>0.124155921250753</v>
      </c>
      <c r="F1301" s="1227">
        <v>5.2949319993103927E-2</v>
      </c>
      <c r="G1301" s="1227">
        <v>5.1253497303978302</v>
      </c>
      <c r="H1301" s="1227">
        <v>0.71109410602427869</v>
      </c>
      <c r="I1301" s="1227">
        <v>5.7273822848523899E-2</v>
      </c>
      <c r="J1301" s="1227">
        <v>2.1631729619642155E-4</v>
      </c>
      <c r="K1301" s="1227">
        <v>2.99999380337708E-3</v>
      </c>
      <c r="L1301" s="1228">
        <v>2.7950649619651099E-2</v>
      </c>
      <c r="M1301" s="1229">
        <v>5.9863490968909402E-2</v>
      </c>
      <c r="N1301" s="1230">
        <v>2.2609820443663848E-4</v>
      </c>
    </row>
    <row r="1302" spans="1:14" ht="15.5" x14ac:dyDescent="0.35">
      <c r="A1302" s="198">
        <v>2037</v>
      </c>
      <c r="B1302" s="197" t="s">
        <v>5850</v>
      </c>
      <c r="C1302" s="197">
        <v>2001</v>
      </c>
      <c r="D1302" s="110" t="str">
        <f t="shared" si="11"/>
        <v>2037_2001</v>
      </c>
      <c r="E1302" s="1226">
        <v>0.124155921250753</v>
      </c>
      <c r="F1302" s="1227">
        <v>5.2949319993103927E-2</v>
      </c>
      <c r="G1302" s="1227">
        <v>5.1253497303978302</v>
      </c>
      <c r="H1302" s="1227">
        <v>0.71109410602427869</v>
      </c>
      <c r="I1302" s="1227">
        <v>5.7273822848523899E-2</v>
      </c>
      <c r="J1302" s="1227">
        <v>2.1631729619642155E-4</v>
      </c>
      <c r="K1302" s="1227">
        <v>2.99999380337708E-3</v>
      </c>
      <c r="L1302" s="1228">
        <v>2.7950649619651099E-2</v>
      </c>
      <c r="M1302" s="1229">
        <v>5.9863490968909402E-2</v>
      </c>
      <c r="N1302" s="1230">
        <v>2.2609820443663848E-4</v>
      </c>
    </row>
    <row r="1303" spans="1:14" ht="15.5" x14ac:dyDescent="0.35">
      <c r="A1303" s="198">
        <v>2037</v>
      </c>
      <c r="B1303" s="197" t="s">
        <v>5850</v>
      </c>
      <c r="C1303" s="197">
        <v>2002</v>
      </c>
      <c r="D1303" s="110" t="str">
        <f t="shared" si="11"/>
        <v>2037_2002</v>
      </c>
      <c r="E1303" s="1226">
        <v>0.124155921250753</v>
      </c>
      <c r="F1303" s="1227">
        <v>5.2949319993103927E-2</v>
      </c>
      <c r="G1303" s="1227">
        <v>5.1253497303978302</v>
      </c>
      <c r="H1303" s="1227">
        <v>0.71109410602427869</v>
      </c>
      <c r="I1303" s="1227">
        <v>5.7273822848523899E-2</v>
      </c>
      <c r="J1303" s="1227">
        <v>2.1631729619642155E-4</v>
      </c>
      <c r="K1303" s="1227">
        <v>2.99999380337708E-3</v>
      </c>
      <c r="L1303" s="1228">
        <v>2.7950649619651099E-2</v>
      </c>
      <c r="M1303" s="1229">
        <v>5.9863490968909402E-2</v>
      </c>
      <c r="N1303" s="1230">
        <v>2.2609820443663848E-4</v>
      </c>
    </row>
    <row r="1304" spans="1:14" ht="15.5" x14ac:dyDescent="0.35">
      <c r="A1304" s="198">
        <v>2037</v>
      </c>
      <c r="B1304" s="197" t="s">
        <v>5850</v>
      </c>
      <c r="C1304" s="197">
        <v>2003</v>
      </c>
      <c r="D1304" s="110" t="str">
        <f t="shared" si="11"/>
        <v>2037_2003</v>
      </c>
      <c r="E1304" s="1226">
        <v>0.124155921250753</v>
      </c>
      <c r="F1304" s="1227">
        <v>5.2949319993103927E-2</v>
      </c>
      <c r="G1304" s="1227">
        <v>5.1253497303978302</v>
      </c>
      <c r="H1304" s="1227">
        <v>0.71109410602427869</v>
      </c>
      <c r="I1304" s="1227">
        <v>5.7273822848523899E-2</v>
      </c>
      <c r="J1304" s="1227">
        <v>2.1631729619642155E-4</v>
      </c>
      <c r="K1304" s="1227">
        <v>2.99999380337708E-3</v>
      </c>
      <c r="L1304" s="1228">
        <v>2.7950649619651099E-2</v>
      </c>
      <c r="M1304" s="1229">
        <v>5.9863490968909402E-2</v>
      </c>
      <c r="N1304" s="1230">
        <v>2.2609820443663848E-4</v>
      </c>
    </row>
    <row r="1305" spans="1:14" ht="15.5" x14ac:dyDescent="0.35">
      <c r="A1305" s="198">
        <v>2037</v>
      </c>
      <c r="B1305" s="197" t="s">
        <v>5850</v>
      </c>
      <c r="C1305" s="197">
        <v>2004</v>
      </c>
      <c r="D1305" s="110" t="str">
        <f t="shared" si="11"/>
        <v>2037_2004</v>
      </c>
      <c r="E1305" s="1226">
        <v>0.124155921250753</v>
      </c>
      <c r="F1305" s="1227">
        <v>5.2949319993103927E-2</v>
      </c>
      <c r="G1305" s="1227">
        <v>5.1253497303978302</v>
      </c>
      <c r="H1305" s="1227">
        <v>0.71109410602427869</v>
      </c>
      <c r="I1305" s="1227">
        <v>5.7273822848523899E-2</v>
      </c>
      <c r="J1305" s="1227">
        <v>2.1631729619642155E-4</v>
      </c>
      <c r="K1305" s="1227">
        <v>2.99999380337708E-3</v>
      </c>
      <c r="L1305" s="1228">
        <v>2.7950649619651099E-2</v>
      </c>
      <c r="M1305" s="1229">
        <v>5.9863490968909402E-2</v>
      </c>
      <c r="N1305" s="1230">
        <v>2.2609820443663848E-4</v>
      </c>
    </row>
    <row r="1306" spans="1:14" ht="15.5" x14ac:dyDescent="0.35">
      <c r="A1306" s="198">
        <v>2037</v>
      </c>
      <c r="B1306" s="197" t="s">
        <v>5850</v>
      </c>
      <c r="C1306" s="197">
        <v>2005</v>
      </c>
      <c r="D1306" s="110" t="str">
        <f t="shared" si="11"/>
        <v>2037_2005</v>
      </c>
      <c r="E1306" s="1226">
        <v>0.124155921250753</v>
      </c>
      <c r="F1306" s="1227">
        <v>5.2949319993103927E-2</v>
      </c>
      <c r="G1306" s="1227">
        <v>5.1253497303978302</v>
      </c>
      <c r="H1306" s="1227">
        <v>0.71109410602427869</v>
      </c>
      <c r="I1306" s="1227">
        <v>5.7273822848523899E-2</v>
      </c>
      <c r="J1306" s="1227">
        <v>2.1631729619642155E-4</v>
      </c>
      <c r="K1306" s="1227">
        <v>2.99999380337708E-3</v>
      </c>
      <c r="L1306" s="1228">
        <v>2.7950649619651099E-2</v>
      </c>
      <c r="M1306" s="1229">
        <v>5.9863490968909402E-2</v>
      </c>
      <c r="N1306" s="1230">
        <v>2.2609820443663848E-4</v>
      </c>
    </row>
    <row r="1307" spans="1:14" ht="15.5" x14ac:dyDescent="0.35">
      <c r="A1307" s="198">
        <v>2037</v>
      </c>
      <c r="B1307" s="197" t="s">
        <v>5850</v>
      </c>
      <c r="C1307" s="197">
        <v>2006</v>
      </c>
      <c r="D1307" s="110" t="str">
        <f t="shared" si="11"/>
        <v>2037_2006</v>
      </c>
      <c r="E1307" s="1226">
        <v>0.124155921250753</v>
      </c>
      <c r="F1307" s="1227">
        <v>5.2949319993103927E-2</v>
      </c>
      <c r="G1307" s="1227">
        <v>5.1253497303978302</v>
      </c>
      <c r="H1307" s="1227">
        <v>0.71109410602427869</v>
      </c>
      <c r="I1307" s="1227">
        <v>5.7273822848523899E-2</v>
      </c>
      <c r="J1307" s="1227">
        <v>2.1631729619642155E-4</v>
      </c>
      <c r="K1307" s="1227">
        <v>2.99999380337708E-3</v>
      </c>
      <c r="L1307" s="1228">
        <v>2.7950649619651099E-2</v>
      </c>
      <c r="M1307" s="1229">
        <v>5.9863490968909402E-2</v>
      </c>
      <c r="N1307" s="1230">
        <v>2.2609820443663848E-4</v>
      </c>
    </row>
    <row r="1308" spans="1:14" ht="15.5" x14ac:dyDescent="0.35">
      <c r="A1308" s="198">
        <v>2037</v>
      </c>
      <c r="B1308" s="197" t="s">
        <v>5850</v>
      </c>
      <c r="C1308" s="197">
        <v>2007</v>
      </c>
      <c r="D1308" s="110" t="str">
        <f t="shared" si="11"/>
        <v>2037_2007</v>
      </c>
      <c r="E1308" s="1226">
        <v>0.124155921250753</v>
      </c>
      <c r="F1308" s="1227">
        <v>5.2949319993103927E-2</v>
      </c>
      <c r="G1308" s="1227">
        <v>5.1253497303978302</v>
      </c>
      <c r="H1308" s="1227">
        <v>0.71109410602427869</v>
      </c>
      <c r="I1308" s="1227">
        <v>5.7273822848523899E-2</v>
      </c>
      <c r="J1308" s="1227">
        <v>2.1631729619642155E-4</v>
      </c>
      <c r="K1308" s="1227">
        <v>2.99999380337708E-3</v>
      </c>
      <c r="L1308" s="1228">
        <v>2.7950649619651099E-2</v>
      </c>
      <c r="M1308" s="1229">
        <v>5.9863490968909402E-2</v>
      </c>
      <c r="N1308" s="1230">
        <v>2.2609820443663848E-4</v>
      </c>
    </row>
    <row r="1309" spans="1:14" ht="15.5" x14ac:dyDescent="0.35">
      <c r="A1309" s="198">
        <v>2037</v>
      </c>
      <c r="B1309" s="197" t="s">
        <v>5850</v>
      </c>
      <c r="C1309" s="197">
        <v>2008</v>
      </c>
      <c r="D1309" s="110" t="str">
        <f t="shared" si="11"/>
        <v>2037_2008</v>
      </c>
      <c r="E1309" s="1226">
        <v>0.124155921250753</v>
      </c>
      <c r="F1309" s="1227">
        <v>5.2949319993103927E-2</v>
      </c>
      <c r="G1309" s="1227">
        <v>5.1253497303978302</v>
      </c>
      <c r="H1309" s="1227">
        <v>0.71109410602427869</v>
      </c>
      <c r="I1309" s="1227">
        <v>5.7273822848523899E-2</v>
      </c>
      <c r="J1309" s="1227">
        <v>2.1631729619642155E-4</v>
      </c>
      <c r="K1309" s="1227">
        <v>2.99999380337708E-3</v>
      </c>
      <c r="L1309" s="1228">
        <v>2.7950649619651099E-2</v>
      </c>
      <c r="M1309" s="1229">
        <v>5.9863490968909402E-2</v>
      </c>
      <c r="N1309" s="1230">
        <v>2.2609820443663848E-4</v>
      </c>
    </row>
    <row r="1310" spans="1:14" ht="15.5" x14ac:dyDescent="0.35">
      <c r="A1310" s="198">
        <v>2037</v>
      </c>
      <c r="B1310" s="197" t="s">
        <v>5850</v>
      </c>
      <c r="C1310" s="197">
        <v>2009</v>
      </c>
      <c r="D1310" s="110" t="str">
        <f t="shared" si="11"/>
        <v>2037_2009</v>
      </c>
      <c r="E1310" s="1226">
        <v>0.124155921250753</v>
      </c>
      <c r="F1310" s="1227">
        <v>5.2949319993103927E-2</v>
      </c>
      <c r="G1310" s="1227">
        <v>5.1253497303978302</v>
      </c>
      <c r="H1310" s="1227">
        <v>0.71109410602427869</v>
      </c>
      <c r="I1310" s="1227">
        <v>5.7273822848523899E-2</v>
      </c>
      <c r="J1310" s="1227">
        <v>2.1631729619642155E-4</v>
      </c>
      <c r="K1310" s="1227">
        <v>2.99999380337708E-3</v>
      </c>
      <c r="L1310" s="1228">
        <v>2.7950649619651099E-2</v>
      </c>
      <c r="M1310" s="1229">
        <v>5.9863490968909402E-2</v>
      </c>
      <c r="N1310" s="1230">
        <v>2.2609820443663848E-4</v>
      </c>
    </row>
    <row r="1311" spans="1:14" ht="15.5" x14ac:dyDescent="0.35">
      <c r="A1311" s="198">
        <v>2037</v>
      </c>
      <c r="B1311" s="197" t="s">
        <v>5850</v>
      </c>
      <c r="C1311" s="197">
        <v>2010</v>
      </c>
      <c r="D1311" s="110" t="str">
        <f t="shared" si="11"/>
        <v>2037_2010</v>
      </c>
      <c r="E1311" s="1226">
        <v>0.124155921250753</v>
      </c>
      <c r="F1311" s="1227">
        <v>5.2949319993103927E-2</v>
      </c>
      <c r="G1311" s="1227">
        <v>5.1253497303978302</v>
      </c>
      <c r="H1311" s="1227">
        <v>0.71109410602427869</v>
      </c>
      <c r="I1311" s="1227">
        <v>5.7273822848523899E-2</v>
      </c>
      <c r="J1311" s="1227">
        <v>2.1631729619642155E-4</v>
      </c>
      <c r="K1311" s="1227">
        <v>2.99999380337708E-3</v>
      </c>
      <c r="L1311" s="1228">
        <v>2.7950649619651099E-2</v>
      </c>
      <c r="M1311" s="1229">
        <v>5.9863490968909402E-2</v>
      </c>
      <c r="N1311" s="1230">
        <v>2.2609820443663848E-4</v>
      </c>
    </row>
    <row r="1312" spans="1:14" ht="15.5" x14ac:dyDescent="0.35">
      <c r="A1312" s="198">
        <v>2037</v>
      </c>
      <c r="B1312" s="197" t="s">
        <v>5850</v>
      </c>
      <c r="C1312" s="197">
        <v>2011</v>
      </c>
      <c r="D1312" s="110" t="str">
        <f t="shared" si="11"/>
        <v>2037_2011</v>
      </c>
      <c r="E1312" s="1231">
        <v>0.124155921250753</v>
      </c>
      <c r="F1312" s="1232">
        <v>5.2949319993103927E-2</v>
      </c>
      <c r="G1312" s="1232">
        <v>5.1253497303978302</v>
      </c>
      <c r="H1312" s="1232">
        <v>0.71109410602427869</v>
      </c>
      <c r="I1312" s="1232">
        <v>5.7273822848523899E-2</v>
      </c>
      <c r="J1312" s="1232">
        <v>2.1631729619642155E-4</v>
      </c>
      <c r="K1312" s="1232">
        <v>2.99999380337708E-3</v>
      </c>
      <c r="L1312" s="1233">
        <v>2.7950649619651099E-2</v>
      </c>
      <c r="M1312" s="1234">
        <v>5.9863490968909402E-2</v>
      </c>
      <c r="N1312" s="1235">
        <v>2.2609820443663848E-4</v>
      </c>
    </row>
    <row r="1313" spans="1:14" ht="15.5" x14ac:dyDescent="0.35">
      <c r="A1313" s="198">
        <v>2037</v>
      </c>
      <c r="B1313" s="197" t="s">
        <v>5850</v>
      </c>
      <c r="C1313" s="197">
        <v>2012</v>
      </c>
      <c r="D1313" s="110" t="str">
        <f t="shared" si="11"/>
        <v>2037_2012</v>
      </c>
      <c r="E1313" s="1231">
        <v>2.5042816421444E-2</v>
      </c>
      <c r="F1313" s="1232">
        <v>5.3126773545508911E-2</v>
      </c>
      <c r="G1313" s="1232">
        <v>4.4685900766177804</v>
      </c>
      <c r="H1313" s="1232">
        <v>0.62779572792813887</v>
      </c>
      <c r="I1313" s="1232">
        <v>3.3227275991851303E-2</v>
      </c>
      <c r="J1313" s="1232">
        <v>2.1631729619642201E-4</v>
      </c>
      <c r="K1313" s="1232">
        <v>2.99999380337708E-3</v>
      </c>
      <c r="L1313" s="1233">
        <v>2.7950649619777501E-2</v>
      </c>
      <c r="M1313" s="1234">
        <v>3.4729665968349303E-2</v>
      </c>
      <c r="N1313" s="1235">
        <v>2.2609820443663899E-4</v>
      </c>
    </row>
    <row r="1314" spans="1:14" ht="15.5" x14ac:dyDescent="0.35">
      <c r="A1314" s="198">
        <v>2037</v>
      </c>
      <c r="B1314" s="197" t="s">
        <v>5850</v>
      </c>
      <c r="C1314" s="197">
        <v>2013</v>
      </c>
      <c r="D1314" s="110" t="str">
        <f t="shared" si="11"/>
        <v>2037_2013</v>
      </c>
      <c r="E1314" s="1231">
        <v>2.4725669105483201E-2</v>
      </c>
      <c r="F1314" s="1232">
        <v>5.3126773545509098E-2</v>
      </c>
      <c r="G1314" s="1232">
        <v>4.2165660062033101</v>
      </c>
      <c r="H1314" s="1232">
        <v>0.62779572792814109</v>
      </c>
      <c r="I1314" s="1232">
        <v>3.2312246522890303E-2</v>
      </c>
      <c r="J1314" s="1232">
        <v>2.1631729619642277E-4</v>
      </c>
      <c r="K1314" s="1232">
        <v>2.99999380337708E-3</v>
      </c>
      <c r="L1314" s="1233">
        <v>2.7950649619765799E-2</v>
      </c>
      <c r="M1314" s="1234">
        <v>3.3773262927185098E-2</v>
      </c>
      <c r="N1314" s="1235">
        <v>2.2609820443663978E-4</v>
      </c>
    </row>
    <row r="1315" spans="1:14" ht="15.5" x14ac:dyDescent="0.35">
      <c r="A1315" s="198">
        <v>2037</v>
      </c>
      <c r="B1315" s="197" t="s">
        <v>5850</v>
      </c>
      <c r="C1315" s="197">
        <v>2014</v>
      </c>
      <c r="D1315" s="110" t="str">
        <f t="shared" si="11"/>
        <v>2037_2014</v>
      </c>
      <c r="E1315" s="1231">
        <v>1.21625194719958E-2</v>
      </c>
      <c r="F1315" s="1232">
        <v>5.3126773545509043E-2</v>
      </c>
      <c r="G1315" s="1232">
        <v>1.5872049476285901</v>
      </c>
      <c r="H1315" s="1232">
        <v>0.62779572792814042</v>
      </c>
      <c r="I1315" s="1232">
        <v>3.7582122282349299E-2</v>
      </c>
      <c r="J1315" s="1232">
        <v>2.1631729619642258E-4</v>
      </c>
      <c r="K1315" s="1232">
        <v>2.99999380337708E-3</v>
      </c>
      <c r="L1315" s="1233">
        <v>2.7950649619659401E-2</v>
      </c>
      <c r="M1315" s="1234">
        <v>3.92814190837594E-2</v>
      </c>
      <c r="N1315" s="1235">
        <v>2.2609820443663951E-4</v>
      </c>
    </row>
    <row r="1316" spans="1:14" ht="15.5" x14ac:dyDescent="0.35">
      <c r="A1316" s="199">
        <v>2037</v>
      </c>
      <c r="B1316" s="110" t="s">
        <v>5850</v>
      </c>
      <c r="C1316" s="110">
        <v>2015</v>
      </c>
      <c r="D1316" s="110" t="str">
        <f t="shared" si="11"/>
        <v>2037_2015</v>
      </c>
      <c r="E1316" s="1231">
        <v>1.2162519472003501E-2</v>
      </c>
      <c r="F1316" s="1232">
        <v>5.312677354550905E-2</v>
      </c>
      <c r="G1316" s="1232">
        <v>1.5872049476291299</v>
      </c>
      <c r="H1316" s="1232">
        <v>0.62779572792814053</v>
      </c>
      <c r="I1316" s="1232">
        <v>3.7582122282268399E-2</v>
      </c>
      <c r="J1316" s="1232">
        <v>2.1631729619642264E-4</v>
      </c>
      <c r="K1316" s="1232">
        <v>2.99999380337708E-3</v>
      </c>
      <c r="L1316" s="1233">
        <v>2.79506496196841E-2</v>
      </c>
      <c r="M1316" s="1234">
        <v>3.9281419083674898E-2</v>
      </c>
      <c r="N1316" s="1235">
        <v>2.2609820443663956E-4</v>
      </c>
    </row>
    <row r="1317" spans="1:14" ht="15.5" x14ac:dyDescent="0.35">
      <c r="A1317" s="199">
        <v>2037</v>
      </c>
      <c r="B1317" s="110" t="s">
        <v>5850</v>
      </c>
      <c r="C1317" s="110">
        <v>2016</v>
      </c>
      <c r="D1317" s="110" t="str">
        <f t="shared" si="11"/>
        <v>2037_2016</v>
      </c>
      <c r="E1317" s="1231">
        <v>1.21625194720028E-2</v>
      </c>
      <c r="F1317" s="1232">
        <v>5.3126773545509008E-2</v>
      </c>
      <c r="G1317" s="1232">
        <v>1.5872049476277601</v>
      </c>
      <c r="H1317" s="1232">
        <v>0.62779572792814009</v>
      </c>
      <c r="I1317" s="1232">
        <v>3.7582122282189802E-2</v>
      </c>
      <c r="J1317" s="1232">
        <v>2.1631729619642245E-4</v>
      </c>
      <c r="K1317" s="1232">
        <v>2.99999380337708E-3</v>
      </c>
      <c r="L1317" s="1233">
        <v>2.7950649619699099E-2</v>
      </c>
      <c r="M1317" s="1234">
        <v>3.9281419083592603E-2</v>
      </c>
      <c r="N1317" s="1235">
        <v>2.260982044366394E-4</v>
      </c>
    </row>
    <row r="1318" spans="1:14" ht="15.5" x14ac:dyDescent="0.35">
      <c r="A1318" s="199">
        <v>2037</v>
      </c>
      <c r="B1318" s="110" t="s">
        <v>5850</v>
      </c>
      <c r="C1318" s="110">
        <v>2017</v>
      </c>
      <c r="D1318" s="110" t="str">
        <f t="shared" si="11"/>
        <v>2037_2017</v>
      </c>
      <c r="E1318" s="1231">
        <v>1.2376995812504401E-2</v>
      </c>
      <c r="F1318" s="1232">
        <v>5.31267735455088E-2</v>
      </c>
      <c r="G1318" s="1232">
        <v>1.5872049476327701</v>
      </c>
      <c r="H1318" s="1232">
        <v>0.62779572792813765</v>
      </c>
      <c r="I1318" s="1232">
        <v>3.0635405202250499E-2</v>
      </c>
      <c r="J1318" s="1232">
        <v>2.1631729619642161E-4</v>
      </c>
      <c r="K1318" s="1232">
        <v>2.99999380337708E-3</v>
      </c>
      <c r="L1318" s="1233">
        <v>2.7950649619711498E-2</v>
      </c>
      <c r="M1318" s="1234">
        <v>3.2020602282898998E-2</v>
      </c>
      <c r="N1318" s="1235">
        <v>2.2609820443663851E-4</v>
      </c>
    </row>
    <row r="1319" spans="1:14" ht="15.5" x14ac:dyDescent="0.35">
      <c r="A1319" s="199">
        <v>2037</v>
      </c>
      <c r="B1319" s="110" t="s">
        <v>5850</v>
      </c>
      <c r="C1319" s="110">
        <v>2018</v>
      </c>
      <c r="D1319" s="110" t="str">
        <f t="shared" si="11"/>
        <v>2037_2018</v>
      </c>
      <c r="E1319" s="1231">
        <v>1.23769958125235E-2</v>
      </c>
      <c r="F1319" s="1232">
        <v>5.3126773545509112E-2</v>
      </c>
      <c r="G1319" s="1232">
        <v>1.5872049476302399</v>
      </c>
      <c r="H1319" s="1232">
        <v>0.62779572792814131</v>
      </c>
      <c r="I1319" s="1232">
        <v>3.0635405202519998E-2</v>
      </c>
      <c r="J1319" s="1232">
        <v>2.1631729619642288E-4</v>
      </c>
      <c r="K1319" s="1232">
        <v>2.99999380337708E-3</v>
      </c>
      <c r="L1319" s="1233">
        <v>2.7950649619615801E-2</v>
      </c>
      <c r="M1319" s="1234">
        <v>3.2020602283180703E-2</v>
      </c>
      <c r="N1319" s="1235">
        <v>2.2609820443663983E-4</v>
      </c>
    </row>
    <row r="1320" spans="1:14" ht="15.5" x14ac:dyDescent="0.35">
      <c r="A1320" s="199">
        <v>2037</v>
      </c>
      <c r="B1320" s="110" t="s">
        <v>5850</v>
      </c>
      <c r="C1320" s="110">
        <v>2019</v>
      </c>
      <c r="D1320" s="110" t="str">
        <f t="shared" si="11"/>
        <v>2037_2019</v>
      </c>
      <c r="E1320" s="1231">
        <v>1.23769958124473E-2</v>
      </c>
      <c r="F1320" s="1232">
        <v>5.3126773545508987E-2</v>
      </c>
      <c r="G1320" s="1232">
        <v>1.58720494763062</v>
      </c>
      <c r="H1320" s="1232">
        <v>0.62779572792813976</v>
      </c>
      <c r="I1320" s="1232">
        <v>3.0635405201860699E-2</v>
      </c>
      <c r="J1320" s="1232">
        <v>2.1631729619642237E-4</v>
      </c>
      <c r="K1320" s="1232">
        <v>2.99999380337708E-3</v>
      </c>
      <c r="L1320" s="1233">
        <v>2.7950649619814E-2</v>
      </c>
      <c r="M1320" s="1234">
        <v>3.2020602282491699E-2</v>
      </c>
      <c r="N1320" s="1235">
        <v>2.2609820443663932E-4</v>
      </c>
    </row>
    <row r="1321" spans="1:14" ht="15.5" x14ac:dyDescent="0.35">
      <c r="A1321" s="199">
        <v>2037</v>
      </c>
      <c r="B1321" s="110" t="s">
        <v>5850</v>
      </c>
      <c r="C1321" s="110">
        <v>2020</v>
      </c>
      <c r="D1321" s="110" t="str">
        <f t="shared" si="11"/>
        <v>2037_2020</v>
      </c>
      <c r="E1321" s="1231">
        <v>1.23769958125102E-2</v>
      </c>
      <c r="F1321" s="1232">
        <v>5.3126773545509064E-2</v>
      </c>
      <c r="G1321" s="1232">
        <v>1.5872049476332999</v>
      </c>
      <c r="H1321" s="1232">
        <v>0.62779572792814076</v>
      </c>
      <c r="I1321" s="1232">
        <v>3.0635405202288302E-2</v>
      </c>
      <c r="J1321" s="1232">
        <v>2.1631729619642266E-4</v>
      </c>
      <c r="K1321" s="1232">
        <v>2.99999380337708E-3</v>
      </c>
      <c r="L1321" s="1233">
        <v>2.79506496197066E-2</v>
      </c>
      <c r="M1321" s="1234">
        <v>3.2020602282938501E-2</v>
      </c>
      <c r="N1321" s="1235">
        <v>2.2609820443663962E-4</v>
      </c>
    </row>
    <row r="1322" spans="1:14" ht="15.5" x14ac:dyDescent="0.35">
      <c r="A1322" s="199">
        <v>2037</v>
      </c>
      <c r="B1322" s="110" t="s">
        <v>5850</v>
      </c>
      <c r="C1322" s="110">
        <v>2021</v>
      </c>
      <c r="D1322" s="110" t="str">
        <f t="shared" si="11"/>
        <v>2037_2021</v>
      </c>
      <c r="E1322" s="1231">
        <v>1.23759367112528E-2</v>
      </c>
      <c r="F1322" s="1232">
        <v>5.3126773545510278E-2</v>
      </c>
      <c r="G1322" s="1232">
        <v>1.58710377773713</v>
      </c>
      <c r="H1322" s="1232">
        <v>0.62779572792815486</v>
      </c>
      <c r="I1322" s="1232">
        <v>3.06311137959067E-2</v>
      </c>
      <c r="J1322" s="1232">
        <v>2.1631729619642844E-4</v>
      </c>
      <c r="K1322" s="1232">
        <v>2.99999380337709E-3</v>
      </c>
      <c r="L1322" s="1233">
        <v>2.7950649618909199E-2</v>
      </c>
      <c r="M1322" s="1234">
        <v>3.2016116838203199E-2</v>
      </c>
      <c r="N1322" s="1235">
        <v>2.2609820443664558E-4</v>
      </c>
    </row>
    <row r="1323" spans="1:14" ht="15.5" x14ac:dyDescent="0.35">
      <c r="A1323" s="199">
        <v>2037</v>
      </c>
      <c r="B1323" s="110" t="s">
        <v>5850</v>
      </c>
      <c r="C1323" s="110">
        <v>2022</v>
      </c>
      <c r="D1323" s="110" t="str">
        <f t="shared" si="11"/>
        <v>2037_2022</v>
      </c>
      <c r="E1323" s="1231">
        <v>1.22236000788171E-2</v>
      </c>
      <c r="F1323" s="1232">
        <v>5.312677354550864E-2</v>
      </c>
      <c r="G1323" s="1232">
        <v>1.57241213661926</v>
      </c>
      <c r="H1323" s="1232">
        <v>0.62779572792813576</v>
      </c>
      <c r="I1323" s="1232">
        <v>3.0013855875199998E-2</v>
      </c>
      <c r="J1323" s="1232">
        <v>2.1631729619642093E-4</v>
      </c>
      <c r="K1323" s="1232">
        <v>2.99999380337708E-3</v>
      </c>
      <c r="L1323" s="1233">
        <v>2.7950649619879399E-2</v>
      </c>
      <c r="M1323" s="1234">
        <v>3.1370949253363603E-2</v>
      </c>
      <c r="N1323" s="1235">
        <v>2.2609820443663783E-4</v>
      </c>
    </row>
    <row r="1324" spans="1:14" ht="15.5" x14ac:dyDescent="0.35">
      <c r="A1324" s="199">
        <v>2037</v>
      </c>
      <c r="B1324" s="110" t="s">
        <v>5850</v>
      </c>
      <c r="C1324" s="110">
        <v>2023</v>
      </c>
      <c r="D1324" s="110" t="str">
        <f t="shared" si="11"/>
        <v>2037_2023</v>
      </c>
      <c r="E1324" s="1231">
        <v>1.20543371536188E-2</v>
      </c>
      <c r="F1324" s="1232">
        <v>4.7814096190958284E-2</v>
      </c>
      <c r="G1324" s="1232">
        <v>1.4851035285724301</v>
      </c>
      <c r="H1324" s="1232">
        <v>0.5650161551353281</v>
      </c>
      <c r="I1324" s="1232">
        <v>2.8288165194106599E-2</v>
      </c>
      <c r="J1324" s="1232">
        <v>1.946855665767809E-4</v>
      </c>
      <c r="K1324" s="1232">
        <v>2.99999380337708E-3</v>
      </c>
      <c r="L1324" s="1233">
        <v>2.7950649619774299E-2</v>
      </c>
      <c r="M1324" s="1234">
        <v>2.95672304973102E-2</v>
      </c>
      <c r="N1324" s="1235">
        <v>2.0348838399297618E-4</v>
      </c>
    </row>
    <row r="1325" spans="1:14" ht="15.5" x14ac:dyDescent="0.35">
      <c r="A1325" s="199">
        <v>2037</v>
      </c>
      <c r="B1325" s="110" t="s">
        <v>5850</v>
      </c>
      <c r="C1325" s="110">
        <v>2024</v>
      </c>
      <c r="D1325" s="110" t="str">
        <f t="shared" si="11"/>
        <v>2037_2024</v>
      </c>
      <c r="E1325" s="1231">
        <v>1.18662672367631E-2</v>
      </c>
      <c r="F1325" s="1232">
        <v>4.3032686571862211E-2</v>
      </c>
      <c r="G1325" s="1232">
        <v>1.4671701914653199</v>
      </c>
      <c r="H1325" s="1232">
        <v>0.50851453962179238</v>
      </c>
      <c r="I1325" s="1232">
        <v>2.75261183799753E-2</v>
      </c>
      <c r="J1325" s="1232">
        <v>1.7521700991910184E-4</v>
      </c>
      <c r="K1325" s="1232">
        <v>2.99999380337708E-3</v>
      </c>
      <c r="L1325" s="1233">
        <v>2.7950649619581901E-2</v>
      </c>
      <c r="M1325" s="1234">
        <v>2.8770727307776502E-2</v>
      </c>
      <c r="N1325" s="1235">
        <v>1.8313954559367755E-4</v>
      </c>
    </row>
    <row r="1326" spans="1:14" ht="15.5" x14ac:dyDescent="0.35">
      <c r="A1326" s="199">
        <v>2037</v>
      </c>
      <c r="B1326" s="110" t="s">
        <v>5850</v>
      </c>
      <c r="C1326" s="110">
        <v>2025</v>
      </c>
      <c r="D1326" s="110" t="str">
        <f t="shared" si="11"/>
        <v>2037_2025</v>
      </c>
      <c r="E1326" s="1231">
        <v>1.1657300662371899E-2</v>
      </c>
      <c r="F1326" s="1232">
        <v>3.8729417914676177E-2</v>
      </c>
      <c r="G1326" s="1232">
        <v>1.31728006362718</v>
      </c>
      <c r="H1326" s="1232">
        <v>0.23214110963527457</v>
      </c>
      <c r="I1326" s="1232">
        <v>2.6679399696608899E-2</v>
      </c>
      <c r="J1326" s="1232">
        <v>1.5769530892719241E-4</v>
      </c>
      <c r="K1326" s="1232">
        <v>2.99999380337708E-3</v>
      </c>
      <c r="L1326" s="1233">
        <v>2.7950649619727298E-2</v>
      </c>
      <c r="M1326" s="1234">
        <v>2.7885723762806802E-2</v>
      </c>
      <c r="N1326" s="1235">
        <v>1.6482559103431059E-4</v>
      </c>
    </row>
    <row r="1327" spans="1:14" ht="15.5" x14ac:dyDescent="0.35">
      <c r="A1327" s="199">
        <v>2037</v>
      </c>
      <c r="B1327" s="110" t="s">
        <v>5850</v>
      </c>
      <c r="C1327" s="110">
        <v>2026</v>
      </c>
      <c r="D1327" s="110" t="str">
        <f t="shared" si="11"/>
        <v>2037_2026</v>
      </c>
      <c r="E1327" s="1231">
        <v>1.14251155797753E-2</v>
      </c>
      <c r="F1327" s="1232">
        <v>3.4856476123208649E-2</v>
      </c>
      <c r="G1327" s="1232">
        <v>1.2953994477455399</v>
      </c>
      <c r="H1327" s="1232">
        <v>0.20892699867174763</v>
      </c>
      <c r="I1327" s="1232">
        <v>2.5738601160053401E-2</v>
      </c>
      <c r="J1327" s="1232">
        <v>1.4192577803447351E-4</v>
      </c>
      <c r="K1327" s="1232">
        <v>2.99999380337708E-3</v>
      </c>
      <c r="L1327" s="1233">
        <v>3.0883055175271699E-2</v>
      </c>
      <c r="M1327" s="1234">
        <v>2.6902386491159901E-2</v>
      </c>
      <c r="N1327" s="1235">
        <v>1.483430319308799E-4</v>
      </c>
    </row>
    <row r="1328" spans="1:14" ht="15.5" x14ac:dyDescent="0.35">
      <c r="A1328" s="198">
        <v>2037</v>
      </c>
      <c r="B1328" s="197" t="s">
        <v>5850</v>
      </c>
      <c r="C1328" s="197">
        <v>2027</v>
      </c>
      <c r="D1328" s="110" t="str">
        <f t="shared" si="11"/>
        <v>2037_2027</v>
      </c>
      <c r="E1328" s="1231">
        <v>1.11671321546591E-2</v>
      </c>
      <c r="F1328" s="1232">
        <v>3.1370828510887801E-2</v>
      </c>
      <c r="G1328" s="1232">
        <v>1.27016711838456</v>
      </c>
      <c r="H1328" s="1232">
        <v>0.18803429880457298</v>
      </c>
      <c r="I1328" s="1232">
        <v>2.4693269452708898E-2</v>
      </c>
      <c r="J1328" s="1232">
        <v>1.2773320023102622E-4</v>
      </c>
      <c r="K1328" s="1232">
        <v>2.99999380337708E-3</v>
      </c>
      <c r="L1328" s="1233">
        <v>3.0883055175266499E-2</v>
      </c>
      <c r="M1328" s="1234">
        <v>2.5809789522600102E-2</v>
      </c>
      <c r="N1328" s="1235">
        <v>1.3350872873779199E-4</v>
      </c>
    </row>
    <row r="1329" spans="1:14" ht="15.5" x14ac:dyDescent="0.35">
      <c r="A1329" s="198">
        <v>2037</v>
      </c>
      <c r="B1329" s="197" t="s">
        <v>5850</v>
      </c>
      <c r="C1329" s="197">
        <v>2028</v>
      </c>
      <c r="D1329" s="110" t="str">
        <f t="shared" si="11"/>
        <v>2037_2028</v>
      </c>
      <c r="E1329" s="1231">
        <v>1.0880483904526899E-2</v>
      </c>
      <c r="F1329" s="1232">
        <v>2.8233745659798953E-2</v>
      </c>
      <c r="G1329" s="1232">
        <v>1.12687928247285</v>
      </c>
      <c r="H1329" s="1232">
        <v>0.12812948879367927</v>
      </c>
      <c r="I1329" s="1232">
        <v>2.3165645922851599E-2</v>
      </c>
      <c r="J1329" s="1232">
        <v>1.1495988020792335E-4</v>
      </c>
      <c r="K1329" s="1232">
        <v>2.99999380337708E-3</v>
      </c>
      <c r="L1329" s="1233">
        <v>3.0883055175278701E-2</v>
      </c>
      <c r="M1329" s="1234">
        <v>2.42130936354517E-2</v>
      </c>
      <c r="N1329" s="1235">
        <v>1.201578558640125E-4</v>
      </c>
    </row>
    <row r="1330" spans="1:14" ht="15.5" x14ac:dyDescent="0.35">
      <c r="A1330" s="199">
        <v>2037</v>
      </c>
      <c r="B1330" s="110" t="s">
        <v>5850</v>
      </c>
      <c r="C1330" s="110">
        <v>2029</v>
      </c>
      <c r="D1330" s="110" t="str">
        <f t="shared" si="11"/>
        <v>2037_2029</v>
      </c>
      <c r="E1330" s="1231">
        <v>1.05619858488296E-2</v>
      </c>
      <c r="F1330" s="1232">
        <v>2.5410371093818995E-2</v>
      </c>
      <c r="G1330" s="1232">
        <v>1.0931165918938901</v>
      </c>
      <c r="H1330" s="1232">
        <v>0.11531653991431108</v>
      </c>
      <c r="I1330" s="1232">
        <v>2.18751129508186E-2</v>
      </c>
      <c r="J1330" s="1232">
        <v>1.0346389218713077E-4</v>
      </c>
      <c r="K1330" s="1232">
        <v>2.99999380337708E-3</v>
      </c>
      <c r="L1330" s="1233">
        <v>3.0883055175278399E-2</v>
      </c>
      <c r="M1330" s="1234">
        <v>2.28642084890785E-2</v>
      </c>
      <c r="N1330" s="1235">
        <v>1.08142070277611E-4</v>
      </c>
    </row>
    <row r="1331" spans="1:14" ht="15.5" x14ac:dyDescent="0.35">
      <c r="A1331" s="199">
        <v>2037</v>
      </c>
      <c r="B1331" s="110" t="s">
        <v>5850</v>
      </c>
      <c r="C1331" s="110">
        <v>2030</v>
      </c>
      <c r="D1331" s="110" t="str">
        <f t="shared" si="11"/>
        <v>2037_2030</v>
      </c>
      <c r="E1331" s="1231">
        <v>1.02080991202776E-2</v>
      </c>
      <c r="F1331" s="1232">
        <v>2.5410371093819065E-2</v>
      </c>
      <c r="G1331" s="1232">
        <v>1.0531073778709801</v>
      </c>
      <c r="H1331" s="1232">
        <v>0.1153165399143114</v>
      </c>
      <c r="I1331" s="1232">
        <v>2.0441187426354399E-2</v>
      </c>
      <c r="J1331" s="1232">
        <v>1.0346389218713103E-4</v>
      </c>
      <c r="K1331" s="1232">
        <v>2.99999380337708E-3</v>
      </c>
      <c r="L1331" s="1233">
        <v>3.0883055175265101E-2</v>
      </c>
      <c r="M1331" s="1234">
        <v>2.1365447215348402E-2</v>
      </c>
      <c r="N1331" s="1235">
        <v>1.0814207027761128E-4</v>
      </c>
    </row>
    <row r="1332" spans="1:14" ht="15.5" x14ac:dyDescent="0.35">
      <c r="A1332" s="199">
        <v>2037</v>
      </c>
      <c r="B1332" s="110" t="s">
        <v>5850</v>
      </c>
      <c r="C1332" s="110">
        <v>2031</v>
      </c>
      <c r="D1332" s="110" t="str">
        <f t="shared" si="11"/>
        <v>2037_2031</v>
      </c>
      <c r="E1332" s="1231">
        <v>9.8542123917202198E-3</v>
      </c>
      <c r="F1332" s="1232">
        <v>2.5410371093818874E-2</v>
      </c>
      <c r="G1332" s="1232">
        <v>1.00995669926714</v>
      </c>
      <c r="H1332" s="1232">
        <v>0.11531653991431053</v>
      </c>
      <c r="I1332" s="1232">
        <v>1.90072619018395E-2</v>
      </c>
      <c r="J1332" s="1232">
        <v>1.0346389218713027E-4</v>
      </c>
      <c r="K1332" s="1232">
        <v>2.99999380337708E-3</v>
      </c>
      <c r="L1332" s="1233">
        <v>3.0883055175281299E-2</v>
      </c>
      <c r="M1332" s="1234">
        <v>1.9866685941565199E-2</v>
      </c>
      <c r="N1332" s="1235">
        <v>1.0814207027761047E-4</v>
      </c>
    </row>
    <row r="1333" spans="1:14" ht="15.5" x14ac:dyDescent="0.35">
      <c r="A1333" s="199">
        <v>2037</v>
      </c>
      <c r="B1333" s="110" t="s">
        <v>5850</v>
      </c>
      <c r="C1333" s="110">
        <v>2032</v>
      </c>
      <c r="D1333" s="110" t="str">
        <f t="shared" si="11"/>
        <v>2037_2032</v>
      </c>
      <c r="E1333" s="1231">
        <v>9.5003256631666106E-3</v>
      </c>
      <c r="F1333" s="1232">
        <v>2.5410371093818964E-2</v>
      </c>
      <c r="G1333" s="1232">
        <v>0.90747578944523399</v>
      </c>
      <c r="H1333" s="1232">
        <v>0.11511448588004394</v>
      </c>
      <c r="I1333" s="1232">
        <v>1.6171548258928199E-2</v>
      </c>
      <c r="J1333" s="1232">
        <v>1.0346389218713062E-4</v>
      </c>
      <c r="K1333" s="1232">
        <v>2.99999380337708E-3</v>
      </c>
      <c r="L1333" s="1233">
        <v>3.0883055175283999E-2</v>
      </c>
      <c r="M1333" s="1234">
        <v>1.6902753911014302E-2</v>
      </c>
      <c r="N1333" s="1235">
        <v>1.0814207027761085E-4</v>
      </c>
    </row>
    <row r="1334" spans="1:14" ht="15.5" x14ac:dyDescent="0.35">
      <c r="A1334" s="199">
        <v>2037</v>
      </c>
      <c r="B1334" s="110" t="s">
        <v>5850</v>
      </c>
      <c r="C1334" s="110">
        <v>2033</v>
      </c>
      <c r="D1334" s="110" t="str">
        <f t="shared" si="11"/>
        <v>2037_2033</v>
      </c>
      <c r="E1334" s="1231">
        <v>9.1464389346123404E-3</v>
      </c>
      <c r="F1334" s="1232">
        <v>2.5410371093818836E-2</v>
      </c>
      <c r="G1334" s="1232">
        <v>0.85194978615759598</v>
      </c>
      <c r="H1334" s="1232">
        <v>0.11112097865770401</v>
      </c>
      <c r="I1334" s="1232">
        <v>1.5124078176184001E-2</v>
      </c>
      <c r="J1334" s="1232">
        <v>1.0346389218713011E-4</v>
      </c>
      <c r="K1334" s="1232">
        <v>2.99999380337708E-3</v>
      </c>
      <c r="L1334" s="1233">
        <v>3.0883055175274801E-2</v>
      </c>
      <c r="M1334" s="1234">
        <v>1.5807921879208101E-2</v>
      </c>
      <c r="N1334" s="1235">
        <v>1.0814207027761031E-4</v>
      </c>
    </row>
    <row r="1335" spans="1:14" ht="15.5" x14ac:dyDescent="0.35">
      <c r="A1335" s="199">
        <v>2037</v>
      </c>
      <c r="B1335" s="110" t="s">
        <v>5850</v>
      </c>
      <c r="C1335" s="110">
        <v>2034</v>
      </c>
      <c r="D1335" s="110" t="str">
        <f t="shared" si="11"/>
        <v>2037_2034</v>
      </c>
      <c r="E1335" s="1231">
        <v>8.7925522060571405E-3</v>
      </c>
      <c r="F1335" s="1232">
        <v>2.5410371093818929E-2</v>
      </c>
      <c r="G1335" s="1232">
        <v>0.78610557315388496</v>
      </c>
      <c r="H1335" s="1232">
        <v>0.10425538084341275</v>
      </c>
      <c r="I1335" s="1232">
        <v>1.40655053979865E-2</v>
      </c>
      <c r="J1335" s="1232">
        <v>1.0346389218713048E-4</v>
      </c>
      <c r="K1335" s="1232">
        <v>2.99999380337708E-3</v>
      </c>
      <c r="L1335" s="1233">
        <v>3.08830551752803E-2</v>
      </c>
      <c r="M1335" s="1234">
        <v>1.47014851373277E-2</v>
      </c>
      <c r="N1335" s="1235">
        <v>1.081420702776107E-4</v>
      </c>
    </row>
    <row r="1336" spans="1:14" ht="15.5" x14ac:dyDescent="0.35">
      <c r="A1336" s="199">
        <v>2037</v>
      </c>
      <c r="B1336" s="110" t="s">
        <v>5850</v>
      </c>
      <c r="C1336" s="110">
        <v>2035</v>
      </c>
      <c r="D1336" s="110" t="str">
        <f t="shared" si="11"/>
        <v>2037_2035</v>
      </c>
      <c r="E1336" s="1231">
        <v>8.4386654775041904E-3</v>
      </c>
      <c r="F1336" s="1232">
        <v>2.541037109381887E-2</v>
      </c>
      <c r="G1336" s="1232">
        <v>0.70974627211979002</v>
      </c>
      <c r="H1336" s="1232">
        <v>9.543705503328849E-2</v>
      </c>
      <c r="I1336" s="1232">
        <v>1.30236157226496E-2</v>
      </c>
      <c r="J1336" s="1232">
        <v>1.0346389218713024E-4</v>
      </c>
      <c r="K1336" s="1232">
        <v>2.99999380337708E-3</v>
      </c>
      <c r="L1336" s="1233">
        <v>3.08830551752718E-2</v>
      </c>
      <c r="M1336" s="1234">
        <v>1.3612485834189E-2</v>
      </c>
      <c r="N1336" s="1235">
        <v>1.0814207027761044E-4</v>
      </c>
    </row>
    <row r="1337" spans="1:14" ht="15.5" x14ac:dyDescent="0.35">
      <c r="A1337" s="199">
        <v>2037</v>
      </c>
      <c r="B1337" s="110" t="s">
        <v>5850</v>
      </c>
      <c r="C1337" s="110">
        <v>2036</v>
      </c>
      <c r="D1337" s="110" t="str">
        <f t="shared" si="11"/>
        <v>2037_2036</v>
      </c>
      <c r="E1337" s="1231">
        <v>8.0847787489492194E-3</v>
      </c>
      <c r="F1337" s="1232">
        <v>2.541037109381902E-2</v>
      </c>
      <c r="G1337" s="1232">
        <v>0.62053632102321399</v>
      </c>
      <c r="H1337" s="1232">
        <v>8.558536332299857E-2</v>
      </c>
      <c r="I1337" s="1232">
        <v>1.20175041927449E-2</v>
      </c>
      <c r="J1337" s="1232">
        <v>1.0346389218713084E-4</v>
      </c>
      <c r="K1337" s="1232">
        <v>2.99999380337708E-3</v>
      </c>
      <c r="L1337" s="1233">
        <v>3.08830551752758E-2</v>
      </c>
      <c r="M1337" s="1234">
        <v>1.25608824054558E-2</v>
      </c>
      <c r="N1337" s="1235">
        <v>1.0814207027761108E-4</v>
      </c>
    </row>
    <row r="1338" spans="1:14" ht="15.5" x14ac:dyDescent="0.35">
      <c r="A1338" s="199">
        <v>2037</v>
      </c>
      <c r="B1338" s="110" t="s">
        <v>5850</v>
      </c>
      <c r="C1338" s="110">
        <v>2037</v>
      </c>
      <c r="D1338" s="110" t="str">
        <f t="shared" si="11"/>
        <v>2037_2037</v>
      </c>
      <c r="E1338" s="1231">
        <v>7.731152975602E-3</v>
      </c>
      <c r="F1338" s="1232">
        <v>2.5410373538843775E-2</v>
      </c>
      <c r="G1338" s="1232">
        <v>0.510215758907826</v>
      </c>
      <c r="H1338" s="1232">
        <v>7.561967583512888E-2</v>
      </c>
      <c r="I1338" s="1232">
        <v>1.1059320792543501E-2</v>
      </c>
      <c r="J1338" s="1232">
        <v>1.0346390214258501E-4</v>
      </c>
      <c r="K1338" s="1232">
        <v>2.9999938111568798E-3</v>
      </c>
      <c r="L1338" s="1233">
        <v>3.08812296172635E-2</v>
      </c>
      <c r="M1338" s="1234">
        <v>1.15593742037732E-2</v>
      </c>
      <c r="N1338" s="1235">
        <v>1.081420806832064E-4</v>
      </c>
    </row>
    <row r="1339" spans="1:14" ht="15.5" x14ac:dyDescent="0.35">
      <c r="A1339" s="199">
        <v>2037</v>
      </c>
      <c r="B1339" s="110" t="s">
        <v>5850</v>
      </c>
      <c r="C1339" s="110">
        <v>2038</v>
      </c>
      <c r="D1339" s="110" t="str">
        <f t="shared" si="11"/>
        <v>2037_2038</v>
      </c>
      <c r="E1339" s="1231">
        <v>7.3758298351098801E-3</v>
      </c>
      <c r="F1339" s="1232">
        <v>6.0984862916004599E-2</v>
      </c>
      <c r="G1339" s="1232">
        <v>0.35057527562365198</v>
      </c>
      <c r="H1339" s="1232">
        <v>0.18148712208061035</v>
      </c>
      <c r="I1339" s="1232">
        <v>1.01469944968679E-2</v>
      </c>
      <c r="J1339" s="1232">
        <v>2.4831322842519554E-4</v>
      </c>
      <c r="K1339" s="1232">
        <v>2.9999937666523599E-3</v>
      </c>
      <c r="L1339" s="1233">
        <v>3.0891672757556499E-2</v>
      </c>
      <c r="M1339" s="1234">
        <v>1.0605796561395001E-2</v>
      </c>
      <c r="N1339" s="1235">
        <v>2.5954085074095034E-4</v>
      </c>
    </row>
    <row r="1340" spans="1:14" ht="15.5" x14ac:dyDescent="0.35">
      <c r="A1340" s="199">
        <v>2038</v>
      </c>
      <c r="B1340" s="110" t="s">
        <v>5850</v>
      </c>
      <c r="C1340" s="110">
        <v>1971</v>
      </c>
      <c r="D1340" s="110" t="str">
        <f t="shared" si="11"/>
        <v>2038_1971</v>
      </c>
      <c r="E1340" s="1226">
        <v>0.12417080062126599</v>
      </c>
      <c r="F1340" s="1227">
        <v>5.29496033310487E-2</v>
      </c>
      <c r="G1340" s="1227">
        <v>5.1254376415156004</v>
      </c>
      <c r="H1340" s="1227">
        <v>0.7110979111712119</v>
      </c>
      <c r="I1340" s="1227">
        <v>5.7228609713625297E-2</v>
      </c>
      <c r="J1340" s="1227">
        <v>2.1631845373533108E-4</v>
      </c>
      <c r="K1340" s="1227">
        <v>3.0000008603782999E-3</v>
      </c>
      <c r="L1340" s="1228">
        <v>2.79630670509446E-2</v>
      </c>
      <c r="M1340" s="1229">
        <v>5.9816233496680998E-2</v>
      </c>
      <c r="N1340" s="1230">
        <v>2.2609941431432092E-4</v>
      </c>
    </row>
    <row r="1341" spans="1:14" ht="15.5" x14ac:dyDescent="0.35">
      <c r="A1341" s="199">
        <v>2038</v>
      </c>
      <c r="B1341" s="110" t="s">
        <v>5850</v>
      </c>
      <c r="C1341" s="110">
        <v>1972</v>
      </c>
      <c r="D1341" s="110" t="str">
        <f t="shared" si="11"/>
        <v>2038_1972</v>
      </c>
      <c r="E1341" s="1226">
        <v>0.12417080062126599</v>
      </c>
      <c r="F1341" s="1227">
        <v>5.29496033310487E-2</v>
      </c>
      <c r="G1341" s="1227">
        <v>5.1254376415156004</v>
      </c>
      <c r="H1341" s="1227">
        <v>0.7110979111712119</v>
      </c>
      <c r="I1341" s="1227">
        <v>5.7228609713625297E-2</v>
      </c>
      <c r="J1341" s="1227">
        <v>2.1631845373533108E-4</v>
      </c>
      <c r="K1341" s="1227">
        <v>3.0000008603782999E-3</v>
      </c>
      <c r="L1341" s="1228">
        <v>2.79630670509446E-2</v>
      </c>
      <c r="M1341" s="1229">
        <v>5.9816233496680998E-2</v>
      </c>
      <c r="N1341" s="1230">
        <v>2.2609941431432092E-4</v>
      </c>
    </row>
    <row r="1342" spans="1:14" ht="15.5" x14ac:dyDescent="0.35">
      <c r="A1342" s="199">
        <v>2038</v>
      </c>
      <c r="B1342" s="110" t="s">
        <v>5850</v>
      </c>
      <c r="C1342" s="110">
        <v>1973</v>
      </c>
      <c r="D1342" s="110" t="str">
        <f t="shared" si="11"/>
        <v>2038_1973</v>
      </c>
      <c r="E1342" s="1226">
        <v>0.12417080062126599</v>
      </c>
      <c r="F1342" s="1227">
        <v>5.29496033310487E-2</v>
      </c>
      <c r="G1342" s="1227">
        <v>5.1254376415156004</v>
      </c>
      <c r="H1342" s="1227">
        <v>0.7110979111712119</v>
      </c>
      <c r="I1342" s="1227">
        <v>5.7228609713625297E-2</v>
      </c>
      <c r="J1342" s="1227">
        <v>2.1631845373533108E-4</v>
      </c>
      <c r="K1342" s="1227">
        <v>3.0000008603782999E-3</v>
      </c>
      <c r="L1342" s="1228">
        <v>2.79630670509446E-2</v>
      </c>
      <c r="M1342" s="1229">
        <v>5.9816233496680998E-2</v>
      </c>
      <c r="N1342" s="1230">
        <v>2.2609941431432092E-4</v>
      </c>
    </row>
    <row r="1343" spans="1:14" ht="15.5" x14ac:dyDescent="0.35">
      <c r="A1343" s="199">
        <v>2038</v>
      </c>
      <c r="B1343" s="110" t="s">
        <v>5850</v>
      </c>
      <c r="C1343" s="110">
        <v>1974</v>
      </c>
      <c r="D1343" s="110" t="str">
        <f t="shared" si="11"/>
        <v>2038_1974</v>
      </c>
      <c r="E1343" s="1226">
        <v>0.12417080062126599</v>
      </c>
      <c r="F1343" s="1227">
        <v>5.29496033310487E-2</v>
      </c>
      <c r="G1343" s="1227">
        <v>5.1254376415156004</v>
      </c>
      <c r="H1343" s="1227">
        <v>0.7110979111712119</v>
      </c>
      <c r="I1343" s="1227">
        <v>5.7228609713625297E-2</v>
      </c>
      <c r="J1343" s="1227">
        <v>2.1631845373533108E-4</v>
      </c>
      <c r="K1343" s="1227">
        <v>3.0000008603782999E-3</v>
      </c>
      <c r="L1343" s="1228">
        <v>2.79630670509446E-2</v>
      </c>
      <c r="M1343" s="1229">
        <v>5.9816233496680998E-2</v>
      </c>
      <c r="N1343" s="1230">
        <v>2.2609941431432092E-4</v>
      </c>
    </row>
    <row r="1344" spans="1:14" ht="15.5" x14ac:dyDescent="0.35">
      <c r="A1344" s="199">
        <v>2038</v>
      </c>
      <c r="B1344" s="110" t="s">
        <v>5850</v>
      </c>
      <c r="C1344" s="110">
        <v>1975</v>
      </c>
      <c r="D1344" s="110" t="str">
        <f t="shared" si="11"/>
        <v>2038_1975</v>
      </c>
      <c r="E1344" s="1226">
        <v>0.12417080062126599</v>
      </c>
      <c r="F1344" s="1227">
        <v>5.29496033310487E-2</v>
      </c>
      <c r="G1344" s="1227">
        <v>5.1254376415156004</v>
      </c>
      <c r="H1344" s="1227">
        <v>0.7110979111712119</v>
      </c>
      <c r="I1344" s="1227">
        <v>5.7228609713625297E-2</v>
      </c>
      <c r="J1344" s="1227">
        <v>2.1631845373533108E-4</v>
      </c>
      <c r="K1344" s="1227">
        <v>3.0000008603782999E-3</v>
      </c>
      <c r="L1344" s="1228">
        <v>2.79630670509446E-2</v>
      </c>
      <c r="M1344" s="1229">
        <v>5.9816233496680998E-2</v>
      </c>
      <c r="N1344" s="1230">
        <v>2.2609941431432092E-4</v>
      </c>
    </row>
    <row r="1345" spans="1:14" ht="15.5" x14ac:dyDescent="0.35">
      <c r="A1345" s="199">
        <v>2038</v>
      </c>
      <c r="B1345" s="110" t="s">
        <v>5850</v>
      </c>
      <c r="C1345" s="110">
        <v>1976</v>
      </c>
      <c r="D1345" s="110" t="str">
        <f t="shared" si="11"/>
        <v>2038_1976</v>
      </c>
      <c r="E1345" s="1226">
        <v>0.12417080062126599</v>
      </c>
      <c r="F1345" s="1227">
        <v>5.29496033310487E-2</v>
      </c>
      <c r="G1345" s="1227">
        <v>5.1254376415156004</v>
      </c>
      <c r="H1345" s="1227">
        <v>0.7110979111712119</v>
      </c>
      <c r="I1345" s="1227">
        <v>5.7228609713625297E-2</v>
      </c>
      <c r="J1345" s="1227">
        <v>2.1631845373533108E-4</v>
      </c>
      <c r="K1345" s="1227">
        <v>3.0000008603782999E-3</v>
      </c>
      <c r="L1345" s="1228">
        <v>2.79630670509446E-2</v>
      </c>
      <c r="M1345" s="1229">
        <v>5.9816233496680998E-2</v>
      </c>
      <c r="N1345" s="1230">
        <v>2.2609941431432092E-4</v>
      </c>
    </row>
    <row r="1346" spans="1:14" ht="15.5" x14ac:dyDescent="0.35">
      <c r="A1346" s="199">
        <v>2038</v>
      </c>
      <c r="B1346" s="110" t="s">
        <v>5850</v>
      </c>
      <c r="C1346" s="110">
        <v>1977</v>
      </c>
      <c r="D1346" s="110" t="str">
        <f t="shared" si="11"/>
        <v>2038_1977</v>
      </c>
      <c r="E1346" s="1226">
        <v>0.12417080062126599</v>
      </c>
      <c r="F1346" s="1227">
        <v>5.29496033310487E-2</v>
      </c>
      <c r="G1346" s="1227">
        <v>5.1254376415156004</v>
      </c>
      <c r="H1346" s="1227">
        <v>0.7110979111712119</v>
      </c>
      <c r="I1346" s="1227">
        <v>5.7228609713625297E-2</v>
      </c>
      <c r="J1346" s="1227">
        <v>2.1631845373533108E-4</v>
      </c>
      <c r="K1346" s="1227">
        <v>3.0000008603782999E-3</v>
      </c>
      <c r="L1346" s="1228">
        <v>2.79630670509446E-2</v>
      </c>
      <c r="M1346" s="1229">
        <v>5.9816233496680998E-2</v>
      </c>
      <c r="N1346" s="1230">
        <v>2.2609941431432092E-4</v>
      </c>
    </row>
    <row r="1347" spans="1:14" ht="15.5" x14ac:dyDescent="0.35">
      <c r="A1347" s="199">
        <v>2038</v>
      </c>
      <c r="B1347" s="110" t="s">
        <v>5850</v>
      </c>
      <c r="C1347" s="110">
        <v>1978</v>
      </c>
      <c r="D1347" s="110" t="str">
        <f t="shared" si="11"/>
        <v>2038_1978</v>
      </c>
      <c r="E1347" s="1226">
        <v>0.12417080062126599</v>
      </c>
      <c r="F1347" s="1227">
        <v>5.29496033310487E-2</v>
      </c>
      <c r="G1347" s="1227">
        <v>5.1254376415156004</v>
      </c>
      <c r="H1347" s="1227">
        <v>0.7110979111712119</v>
      </c>
      <c r="I1347" s="1227">
        <v>5.7228609713625297E-2</v>
      </c>
      <c r="J1347" s="1227">
        <v>2.1631845373533108E-4</v>
      </c>
      <c r="K1347" s="1227">
        <v>3.0000008603782999E-3</v>
      </c>
      <c r="L1347" s="1228">
        <v>2.79630670509446E-2</v>
      </c>
      <c r="M1347" s="1229">
        <v>5.9816233496680998E-2</v>
      </c>
      <c r="N1347" s="1230">
        <v>2.2609941431432092E-4</v>
      </c>
    </row>
    <row r="1348" spans="1:14" ht="15.5" x14ac:dyDescent="0.35">
      <c r="A1348" s="199">
        <v>2038</v>
      </c>
      <c r="B1348" s="110" t="s">
        <v>5850</v>
      </c>
      <c r="C1348" s="110">
        <v>1979</v>
      </c>
      <c r="D1348" s="110" t="str">
        <f t="shared" si="11"/>
        <v>2038_1979</v>
      </c>
      <c r="E1348" s="1226">
        <v>0.12417080062126599</v>
      </c>
      <c r="F1348" s="1227">
        <v>5.29496033310487E-2</v>
      </c>
      <c r="G1348" s="1227">
        <v>5.1254376415156004</v>
      </c>
      <c r="H1348" s="1227">
        <v>0.7110979111712119</v>
      </c>
      <c r="I1348" s="1227">
        <v>5.7228609713625297E-2</v>
      </c>
      <c r="J1348" s="1227">
        <v>2.1631845373533108E-4</v>
      </c>
      <c r="K1348" s="1227">
        <v>3.0000008603782999E-3</v>
      </c>
      <c r="L1348" s="1228">
        <v>2.79630670509446E-2</v>
      </c>
      <c r="M1348" s="1229">
        <v>5.9816233496680998E-2</v>
      </c>
      <c r="N1348" s="1230">
        <v>2.2609941431432092E-4</v>
      </c>
    </row>
    <row r="1349" spans="1:14" ht="15.5" x14ac:dyDescent="0.35">
      <c r="A1349" s="199">
        <v>2038</v>
      </c>
      <c r="B1349" s="110" t="s">
        <v>5850</v>
      </c>
      <c r="C1349" s="110">
        <v>1980</v>
      </c>
      <c r="D1349" s="110" t="str">
        <f t="shared" si="11"/>
        <v>2038_1980</v>
      </c>
      <c r="E1349" s="1226">
        <v>0.12417080062126599</v>
      </c>
      <c r="F1349" s="1227">
        <v>5.29496033310487E-2</v>
      </c>
      <c r="G1349" s="1227">
        <v>5.1254376415156004</v>
      </c>
      <c r="H1349" s="1227">
        <v>0.7110979111712119</v>
      </c>
      <c r="I1349" s="1227">
        <v>5.7228609713625297E-2</v>
      </c>
      <c r="J1349" s="1227">
        <v>2.1631845373533108E-4</v>
      </c>
      <c r="K1349" s="1227">
        <v>3.0000008603782999E-3</v>
      </c>
      <c r="L1349" s="1228">
        <v>2.79630670509446E-2</v>
      </c>
      <c r="M1349" s="1229">
        <v>5.9816233496680998E-2</v>
      </c>
      <c r="N1349" s="1230">
        <v>2.2609941431432092E-4</v>
      </c>
    </row>
    <row r="1350" spans="1:14" ht="15.5" x14ac:dyDescent="0.35">
      <c r="A1350" s="199">
        <v>2038</v>
      </c>
      <c r="B1350" s="110" t="s">
        <v>5850</v>
      </c>
      <c r="C1350" s="110">
        <v>1981</v>
      </c>
      <c r="D1350" s="110" t="str">
        <f t="shared" si="11"/>
        <v>2038_1981</v>
      </c>
      <c r="E1350" s="1226">
        <v>0.12417080062126599</v>
      </c>
      <c r="F1350" s="1227">
        <v>5.29496033310487E-2</v>
      </c>
      <c r="G1350" s="1227">
        <v>5.1254376415156004</v>
      </c>
      <c r="H1350" s="1227">
        <v>0.7110979111712119</v>
      </c>
      <c r="I1350" s="1227">
        <v>5.7228609713625297E-2</v>
      </c>
      <c r="J1350" s="1227">
        <v>2.1631845373533108E-4</v>
      </c>
      <c r="K1350" s="1227">
        <v>3.0000008603782999E-3</v>
      </c>
      <c r="L1350" s="1228">
        <v>2.79630670509446E-2</v>
      </c>
      <c r="M1350" s="1229">
        <v>5.9816233496680998E-2</v>
      </c>
      <c r="N1350" s="1230">
        <v>2.2609941431432092E-4</v>
      </c>
    </row>
    <row r="1351" spans="1:14" ht="15.5" x14ac:dyDescent="0.35">
      <c r="A1351" s="199">
        <v>2038</v>
      </c>
      <c r="B1351" s="110" t="s">
        <v>5850</v>
      </c>
      <c r="C1351" s="110">
        <v>1982</v>
      </c>
      <c r="D1351" s="110" t="str">
        <f t="shared" si="11"/>
        <v>2038_1982</v>
      </c>
      <c r="E1351" s="1226">
        <v>0.12417080062126599</v>
      </c>
      <c r="F1351" s="1227">
        <v>5.29496033310487E-2</v>
      </c>
      <c r="G1351" s="1227">
        <v>5.1254376415156004</v>
      </c>
      <c r="H1351" s="1227">
        <v>0.7110979111712119</v>
      </c>
      <c r="I1351" s="1227">
        <v>5.7228609713625297E-2</v>
      </c>
      <c r="J1351" s="1227">
        <v>2.1631845373533108E-4</v>
      </c>
      <c r="K1351" s="1227">
        <v>3.0000008603782999E-3</v>
      </c>
      <c r="L1351" s="1228">
        <v>2.79630670509446E-2</v>
      </c>
      <c r="M1351" s="1229">
        <v>5.9816233496680998E-2</v>
      </c>
      <c r="N1351" s="1230">
        <v>2.2609941431432092E-4</v>
      </c>
    </row>
    <row r="1352" spans="1:14" ht="15.5" x14ac:dyDescent="0.35">
      <c r="A1352" s="199">
        <v>2038</v>
      </c>
      <c r="B1352" s="110" t="s">
        <v>5850</v>
      </c>
      <c r="C1352" s="110">
        <v>1983</v>
      </c>
      <c r="D1352" s="110" t="str">
        <f t="shared" si="11"/>
        <v>2038_1983</v>
      </c>
      <c r="E1352" s="1226">
        <v>0.12417080062126599</v>
      </c>
      <c r="F1352" s="1227">
        <v>5.29496033310487E-2</v>
      </c>
      <c r="G1352" s="1227">
        <v>5.1254376415156004</v>
      </c>
      <c r="H1352" s="1227">
        <v>0.7110979111712119</v>
      </c>
      <c r="I1352" s="1227">
        <v>5.7228609713625297E-2</v>
      </c>
      <c r="J1352" s="1227">
        <v>2.1631845373533108E-4</v>
      </c>
      <c r="K1352" s="1227">
        <v>3.0000008603782999E-3</v>
      </c>
      <c r="L1352" s="1228">
        <v>2.79630670509446E-2</v>
      </c>
      <c r="M1352" s="1229">
        <v>5.9816233496680998E-2</v>
      </c>
      <c r="N1352" s="1230">
        <v>2.2609941431432092E-4</v>
      </c>
    </row>
    <row r="1353" spans="1:14" ht="15.5" x14ac:dyDescent="0.35">
      <c r="A1353" s="199">
        <v>2038</v>
      </c>
      <c r="B1353" s="110" t="s">
        <v>5850</v>
      </c>
      <c r="C1353" s="110">
        <v>1984</v>
      </c>
      <c r="D1353" s="110" t="str">
        <f t="shared" si="11"/>
        <v>2038_1984</v>
      </c>
      <c r="E1353" s="1226">
        <v>0.12417080062126599</v>
      </c>
      <c r="F1353" s="1227">
        <v>5.29496033310487E-2</v>
      </c>
      <c r="G1353" s="1227">
        <v>5.1254376415156004</v>
      </c>
      <c r="H1353" s="1227">
        <v>0.7110979111712119</v>
      </c>
      <c r="I1353" s="1227">
        <v>5.7228609713625297E-2</v>
      </c>
      <c r="J1353" s="1227">
        <v>2.1631845373533108E-4</v>
      </c>
      <c r="K1353" s="1227">
        <v>3.0000008603782999E-3</v>
      </c>
      <c r="L1353" s="1228">
        <v>2.79630670509446E-2</v>
      </c>
      <c r="M1353" s="1229">
        <v>5.9816233496680998E-2</v>
      </c>
      <c r="N1353" s="1230">
        <v>2.2609941431432092E-4</v>
      </c>
    </row>
    <row r="1354" spans="1:14" ht="15.5" x14ac:dyDescent="0.35">
      <c r="A1354" s="199">
        <v>2038</v>
      </c>
      <c r="B1354" s="110" t="s">
        <v>5850</v>
      </c>
      <c r="C1354" s="110">
        <v>1985</v>
      </c>
      <c r="D1354" s="110" t="str">
        <f t="shared" si="11"/>
        <v>2038_1985</v>
      </c>
      <c r="E1354" s="1226">
        <v>0.12417080062126599</v>
      </c>
      <c r="F1354" s="1227">
        <v>5.29496033310487E-2</v>
      </c>
      <c r="G1354" s="1227">
        <v>5.1254376415156004</v>
      </c>
      <c r="H1354" s="1227">
        <v>0.7110979111712119</v>
      </c>
      <c r="I1354" s="1227">
        <v>5.7228609713625297E-2</v>
      </c>
      <c r="J1354" s="1227">
        <v>2.1631845373533108E-4</v>
      </c>
      <c r="K1354" s="1227">
        <v>3.0000008603782999E-3</v>
      </c>
      <c r="L1354" s="1228">
        <v>2.79630670509446E-2</v>
      </c>
      <c r="M1354" s="1229">
        <v>5.9816233496680998E-2</v>
      </c>
      <c r="N1354" s="1230">
        <v>2.2609941431432092E-4</v>
      </c>
    </row>
    <row r="1355" spans="1:14" ht="15.5" x14ac:dyDescent="0.35">
      <c r="A1355" s="199">
        <v>2038</v>
      </c>
      <c r="B1355" s="110" t="s">
        <v>5850</v>
      </c>
      <c r="C1355" s="110">
        <v>1986</v>
      </c>
      <c r="D1355" s="110" t="str">
        <f t="shared" si="11"/>
        <v>2038_1986</v>
      </c>
      <c r="E1355" s="1226">
        <v>0.12417080062126599</v>
      </c>
      <c r="F1355" s="1227">
        <v>5.29496033310487E-2</v>
      </c>
      <c r="G1355" s="1227">
        <v>5.1254376415156004</v>
      </c>
      <c r="H1355" s="1227">
        <v>0.7110979111712119</v>
      </c>
      <c r="I1355" s="1227">
        <v>5.7228609713625297E-2</v>
      </c>
      <c r="J1355" s="1227">
        <v>2.1631845373533108E-4</v>
      </c>
      <c r="K1355" s="1227">
        <v>3.0000008603782999E-3</v>
      </c>
      <c r="L1355" s="1228">
        <v>2.79630670509446E-2</v>
      </c>
      <c r="M1355" s="1229">
        <v>5.9816233496680998E-2</v>
      </c>
      <c r="N1355" s="1230">
        <v>2.2609941431432092E-4</v>
      </c>
    </row>
    <row r="1356" spans="1:14" ht="15.5" x14ac:dyDescent="0.35">
      <c r="A1356" s="199">
        <v>2038</v>
      </c>
      <c r="B1356" s="110" t="s">
        <v>5850</v>
      </c>
      <c r="C1356" s="110">
        <v>1987</v>
      </c>
      <c r="D1356" s="110" t="str">
        <f t="shared" si="11"/>
        <v>2038_1987</v>
      </c>
      <c r="E1356" s="1226">
        <v>0.12417080062126599</v>
      </c>
      <c r="F1356" s="1227">
        <v>5.29496033310487E-2</v>
      </c>
      <c r="G1356" s="1227">
        <v>5.1254376415156004</v>
      </c>
      <c r="H1356" s="1227">
        <v>0.7110979111712119</v>
      </c>
      <c r="I1356" s="1227">
        <v>5.7228609713625297E-2</v>
      </c>
      <c r="J1356" s="1227">
        <v>2.1631845373533108E-4</v>
      </c>
      <c r="K1356" s="1227">
        <v>3.0000008603782999E-3</v>
      </c>
      <c r="L1356" s="1228">
        <v>2.79630670509446E-2</v>
      </c>
      <c r="M1356" s="1229">
        <v>5.9816233496680998E-2</v>
      </c>
      <c r="N1356" s="1230">
        <v>2.2609941431432092E-4</v>
      </c>
    </row>
    <row r="1357" spans="1:14" ht="15.5" x14ac:dyDescent="0.35">
      <c r="A1357" s="199">
        <v>2038</v>
      </c>
      <c r="B1357" s="110" t="s">
        <v>5850</v>
      </c>
      <c r="C1357" s="110">
        <v>1988</v>
      </c>
      <c r="D1357" s="110" t="str">
        <f t="shared" si="11"/>
        <v>2038_1988</v>
      </c>
      <c r="E1357" s="1226">
        <v>0.12417080062126599</v>
      </c>
      <c r="F1357" s="1227">
        <v>5.29496033310487E-2</v>
      </c>
      <c r="G1357" s="1227">
        <v>5.1254376415156004</v>
      </c>
      <c r="H1357" s="1227">
        <v>0.7110979111712119</v>
      </c>
      <c r="I1357" s="1227">
        <v>5.7228609713625297E-2</v>
      </c>
      <c r="J1357" s="1227">
        <v>2.1631845373533108E-4</v>
      </c>
      <c r="K1357" s="1227">
        <v>3.0000008603782999E-3</v>
      </c>
      <c r="L1357" s="1228">
        <v>2.79630670509446E-2</v>
      </c>
      <c r="M1357" s="1229">
        <v>5.9816233496680998E-2</v>
      </c>
      <c r="N1357" s="1230">
        <v>2.2609941431432092E-4</v>
      </c>
    </row>
    <row r="1358" spans="1:14" ht="15.5" x14ac:dyDescent="0.35">
      <c r="A1358" s="199">
        <v>2038</v>
      </c>
      <c r="B1358" s="110" t="s">
        <v>5850</v>
      </c>
      <c r="C1358" s="110">
        <v>1989</v>
      </c>
      <c r="D1358" s="110" t="str">
        <f t="shared" si="11"/>
        <v>2038_1989</v>
      </c>
      <c r="E1358" s="1226">
        <v>0.12417080062126599</v>
      </c>
      <c r="F1358" s="1227">
        <v>5.29496033310487E-2</v>
      </c>
      <c r="G1358" s="1227">
        <v>5.1254376415156004</v>
      </c>
      <c r="H1358" s="1227">
        <v>0.7110979111712119</v>
      </c>
      <c r="I1358" s="1227">
        <v>5.7228609713625297E-2</v>
      </c>
      <c r="J1358" s="1227">
        <v>2.1631845373533108E-4</v>
      </c>
      <c r="K1358" s="1227">
        <v>3.0000008603782999E-3</v>
      </c>
      <c r="L1358" s="1228">
        <v>2.79630670509446E-2</v>
      </c>
      <c r="M1358" s="1229">
        <v>5.9816233496680998E-2</v>
      </c>
      <c r="N1358" s="1230">
        <v>2.2609941431432092E-4</v>
      </c>
    </row>
    <row r="1359" spans="1:14" ht="15.5" x14ac:dyDescent="0.35">
      <c r="A1359" s="199">
        <v>2038</v>
      </c>
      <c r="B1359" s="110" t="s">
        <v>5850</v>
      </c>
      <c r="C1359" s="110">
        <v>1990</v>
      </c>
      <c r="D1359" s="110" t="str">
        <f t="shared" si="11"/>
        <v>2038_1990</v>
      </c>
      <c r="E1359" s="1226">
        <v>0.12417080062126599</v>
      </c>
      <c r="F1359" s="1227">
        <v>5.29496033310487E-2</v>
      </c>
      <c r="G1359" s="1227">
        <v>5.1254376415156004</v>
      </c>
      <c r="H1359" s="1227">
        <v>0.7110979111712119</v>
      </c>
      <c r="I1359" s="1227">
        <v>5.7228609713625297E-2</v>
      </c>
      <c r="J1359" s="1227">
        <v>2.1631845373533108E-4</v>
      </c>
      <c r="K1359" s="1227">
        <v>3.0000008603782999E-3</v>
      </c>
      <c r="L1359" s="1228">
        <v>2.79630670509446E-2</v>
      </c>
      <c r="M1359" s="1229">
        <v>5.9816233496680998E-2</v>
      </c>
      <c r="N1359" s="1230">
        <v>2.2609941431432092E-4</v>
      </c>
    </row>
    <row r="1360" spans="1:14" ht="15.5" x14ac:dyDescent="0.35">
      <c r="A1360" s="199">
        <v>2038</v>
      </c>
      <c r="B1360" s="110" t="s">
        <v>5850</v>
      </c>
      <c r="C1360" s="110">
        <v>1991</v>
      </c>
      <c r="D1360" s="110" t="str">
        <f t="shared" si="11"/>
        <v>2038_1991</v>
      </c>
      <c r="E1360" s="1226">
        <v>0.12417080062126599</v>
      </c>
      <c r="F1360" s="1227">
        <v>5.29496033310487E-2</v>
      </c>
      <c r="G1360" s="1227">
        <v>5.1254376415156004</v>
      </c>
      <c r="H1360" s="1227">
        <v>0.7110979111712119</v>
      </c>
      <c r="I1360" s="1227">
        <v>5.7228609713625297E-2</v>
      </c>
      <c r="J1360" s="1227">
        <v>2.1631845373533108E-4</v>
      </c>
      <c r="K1360" s="1227">
        <v>3.0000008603782999E-3</v>
      </c>
      <c r="L1360" s="1228">
        <v>2.79630670509446E-2</v>
      </c>
      <c r="M1360" s="1229">
        <v>5.9816233496680998E-2</v>
      </c>
      <c r="N1360" s="1230">
        <v>2.2609941431432092E-4</v>
      </c>
    </row>
    <row r="1361" spans="1:14" ht="15.5" x14ac:dyDescent="0.35">
      <c r="A1361" s="199">
        <v>2038</v>
      </c>
      <c r="B1361" s="110" t="s">
        <v>5850</v>
      </c>
      <c r="C1361" s="110">
        <v>1992</v>
      </c>
      <c r="D1361" s="110" t="str">
        <f t="shared" si="11"/>
        <v>2038_1992</v>
      </c>
      <c r="E1361" s="1226">
        <v>0.12417080062126599</v>
      </c>
      <c r="F1361" s="1227">
        <v>5.29496033310487E-2</v>
      </c>
      <c r="G1361" s="1227">
        <v>5.1254376415156004</v>
      </c>
      <c r="H1361" s="1227">
        <v>0.7110979111712119</v>
      </c>
      <c r="I1361" s="1227">
        <v>5.7228609713625297E-2</v>
      </c>
      <c r="J1361" s="1227">
        <v>2.1631845373533108E-4</v>
      </c>
      <c r="K1361" s="1227">
        <v>3.0000008603782999E-3</v>
      </c>
      <c r="L1361" s="1228">
        <v>2.79630670509446E-2</v>
      </c>
      <c r="M1361" s="1229">
        <v>5.9816233496680998E-2</v>
      </c>
      <c r="N1361" s="1230">
        <v>2.2609941431432092E-4</v>
      </c>
    </row>
    <row r="1362" spans="1:14" ht="15.5" x14ac:dyDescent="0.35">
      <c r="A1362" s="199">
        <v>2038</v>
      </c>
      <c r="B1362" s="110" t="s">
        <v>5850</v>
      </c>
      <c r="C1362" s="110">
        <v>1993</v>
      </c>
      <c r="D1362" s="110" t="str">
        <f t="shared" si="11"/>
        <v>2038_1993</v>
      </c>
      <c r="E1362" s="1226">
        <v>0.12417080062126599</v>
      </c>
      <c r="F1362" s="1227">
        <v>5.29496033310487E-2</v>
      </c>
      <c r="G1362" s="1227">
        <v>5.1254376415156004</v>
      </c>
      <c r="H1362" s="1227">
        <v>0.7110979111712119</v>
      </c>
      <c r="I1362" s="1227">
        <v>5.7228609713625297E-2</v>
      </c>
      <c r="J1362" s="1227">
        <v>2.1631845373533108E-4</v>
      </c>
      <c r="K1362" s="1227">
        <v>3.0000008603782999E-3</v>
      </c>
      <c r="L1362" s="1228">
        <v>2.79630670509446E-2</v>
      </c>
      <c r="M1362" s="1229">
        <v>5.9816233496680998E-2</v>
      </c>
      <c r="N1362" s="1230">
        <v>2.2609941431432092E-4</v>
      </c>
    </row>
    <row r="1363" spans="1:14" ht="15.5" x14ac:dyDescent="0.35">
      <c r="A1363" s="199">
        <v>2038</v>
      </c>
      <c r="B1363" s="110" t="s">
        <v>5850</v>
      </c>
      <c r="C1363" s="110">
        <v>1994</v>
      </c>
      <c r="D1363" s="110" t="str">
        <f t="shared" si="11"/>
        <v>2038_1994</v>
      </c>
      <c r="E1363" s="1226">
        <v>0.12417080062126599</v>
      </c>
      <c r="F1363" s="1227">
        <v>5.29496033310487E-2</v>
      </c>
      <c r="G1363" s="1227">
        <v>5.1254376415156004</v>
      </c>
      <c r="H1363" s="1227">
        <v>0.7110979111712119</v>
      </c>
      <c r="I1363" s="1227">
        <v>5.7228609713625297E-2</v>
      </c>
      <c r="J1363" s="1227">
        <v>2.1631845373533108E-4</v>
      </c>
      <c r="K1363" s="1227">
        <v>3.0000008603782999E-3</v>
      </c>
      <c r="L1363" s="1228">
        <v>2.79630670509446E-2</v>
      </c>
      <c r="M1363" s="1229">
        <v>5.9816233496680998E-2</v>
      </c>
      <c r="N1363" s="1230">
        <v>2.2609941431432092E-4</v>
      </c>
    </row>
    <row r="1364" spans="1:14" ht="15.5" x14ac:dyDescent="0.35">
      <c r="A1364" s="199">
        <v>2038</v>
      </c>
      <c r="B1364" s="110" t="s">
        <v>5850</v>
      </c>
      <c r="C1364" s="110">
        <v>1995</v>
      </c>
      <c r="D1364" s="110" t="str">
        <f t="shared" si="11"/>
        <v>2038_1995</v>
      </c>
      <c r="E1364" s="1226">
        <v>0.12417080062126599</v>
      </c>
      <c r="F1364" s="1227">
        <v>5.29496033310487E-2</v>
      </c>
      <c r="G1364" s="1227">
        <v>5.1254376415156004</v>
      </c>
      <c r="H1364" s="1227">
        <v>0.7110979111712119</v>
      </c>
      <c r="I1364" s="1227">
        <v>5.7228609713625297E-2</v>
      </c>
      <c r="J1364" s="1227">
        <v>2.1631845373533108E-4</v>
      </c>
      <c r="K1364" s="1227">
        <v>3.0000008603782999E-3</v>
      </c>
      <c r="L1364" s="1228">
        <v>2.79630670509446E-2</v>
      </c>
      <c r="M1364" s="1229">
        <v>5.9816233496680998E-2</v>
      </c>
      <c r="N1364" s="1230">
        <v>2.2609941431432092E-4</v>
      </c>
    </row>
    <row r="1365" spans="1:14" ht="15.5" x14ac:dyDescent="0.35">
      <c r="A1365" s="199">
        <v>2038</v>
      </c>
      <c r="B1365" s="110" t="s">
        <v>5850</v>
      </c>
      <c r="C1365" s="110">
        <v>1996</v>
      </c>
      <c r="D1365" s="110" t="str">
        <f t="shared" si="11"/>
        <v>2038_1996</v>
      </c>
      <c r="E1365" s="1226">
        <v>0.12417080062126599</v>
      </c>
      <c r="F1365" s="1227">
        <v>5.29496033310487E-2</v>
      </c>
      <c r="G1365" s="1227">
        <v>5.1254376415156004</v>
      </c>
      <c r="H1365" s="1227">
        <v>0.7110979111712119</v>
      </c>
      <c r="I1365" s="1227">
        <v>5.7228609713625297E-2</v>
      </c>
      <c r="J1365" s="1227">
        <v>2.1631845373533108E-4</v>
      </c>
      <c r="K1365" s="1227">
        <v>3.0000008603782999E-3</v>
      </c>
      <c r="L1365" s="1228">
        <v>2.79630670509446E-2</v>
      </c>
      <c r="M1365" s="1229">
        <v>5.9816233496680998E-2</v>
      </c>
      <c r="N1365" s="1230">
        <v>2.2609941431432092E-4</v>
      </c>
    </row>
    <row r="1366" spans="1:14" ht="15.5" x14ac:dyDescent="0.35">
      <c r="A1366" s="199">
        <v>2038</v>
      </c>
      <c r="B1366" s="110" t="s">
        <v>5850</v>
      </c>
      <c r="C1366" s="110">
        <v>1997</v>
      </c>
      <c r="D1366" s="110" t="str">
        <f t="shared" si="11"/>
        <v>2038_1997</v>
      </c>
      <c r="E1366" s="1226">
        <v>0.12417080062126599</v>
      </c>
      <c r="F1366" s="1227">
        <v>5.29496033310487E-2</v>
      </c>
      <c r="G1366" s="1227">
        <v>5.1254376415156004</v>
      </c>
      <c r="H1366" s="1227">
        <v>0.7110979111712119</v>
      </c>
      <c r="I1366" s="1227">
        <v>5.7228609713625297E-2</v>
      </c>
      <c r="J1366" s="1227">
        <v>2.1631845373533108E-4</v>
      </c>
      <c r="K1366" s="1227">
        <v>3.0000008603782999E-3</v>
      </c>
      <c r="L1366" s="1228">
        <v>2.79630670509446E-2</v>
      </c>
      <c r="M1366" s="1229">
        <v>5.9816233496680998E-2</v>
      </c>
      <c r="N1366" s="1230">
        <v>2.2609941431432092E-4</v>
      </c>
    </row>
    <row r="1367" spans="1:14" ht="15.5" x14ac:dyDescent="0.35">
      <c r="A1367" s="199">
        <v>2038</v>
      </c>
      <c r="B1367" s="110" t="s">
        <v>5850</v>
      </c>
      <c r="C1367" s="110">
        <v>1998</v>
      </c>
      <c r="D1367" s="110" t="str">
        <f t="shared" si="11"/>
        <v>2038_1998</v>
      </c>
      <c r="E1367" s="1226">
        <v>0.12417080062126599</v>
      </c>
      <c r="F1367" s="1227">
        <v>5.29496033310487E-2</v>
      </c>
      <c r="G1367" s="1227">
        <v>5.1254376415156004</v>
      </c>
      <c r="H1367" s="1227">
        <v>0.7110979111712119</v>
      </c>
      <c r="I1367" s="1227">
        <v>5.7228609713625297E-2</v>
      </c>
      <c r="J1367" s="1227">
        <v>2.1631845373533108E-4</v>
      </c>
      <c r="K1367" s="1227">
        <v>3.0000008603782999E-3</v>
      </c>
      <c r="L1367" s="1228">
        <v>2.79630670509446E-2</v>
      </c>
      <c r="M1367" s="1229">
        <v>5.9816233496680998E-2</v>
      </c>
      <c r="N1367" s="1230">
        <v>2.2609941431432092E-4</v>
      </c>
    </row>
    <row r="1368" spans="1:14" ht="15.5" x14ac:dyDescent="0.35">
      <c r="A1368" s="199">
        <v>2038</v>
      </c>
      <c r="B1368" s="110" t="s">
        <v>5850</v>
      </c>
      <c r="C1368" s="110">
        <v>1999</v>
      </c>
      <c r="D1368" s="110" t="str">
        <f t="shared" si="11"/>
        <v>2038_1999</v>
      </c>
      <c r="E1368" s="1226">
        <v>0.12417080062126599</v>
      </c>
      <c r="F1368" s="1227">
        <v>5.29496033310487E-2</v>
      </c>
      <c r="G1368" s="1227">
        <v>5.1254376415156004</v>
      </c>
      <c r="H1368" s="1227">
        <v>0.7110979111712119</v>
      </c>
      <c r="I1368" s="1227">
        <v>5.7228609713625297E-2</v>
      </c>
      <c r="J1368" s="1227">
        <v>2.1631845373533108E-4</v>
      </c>
      <c r="K1368" s="1227">
        <v>3.0000008603782999E-3</v>
      </c>
      <c r="L1368" s="1228">
        <v>2.79630670509446E-2</v>
      </c>
      <c r="M1368" s="1229">
        <v>5.9816233496680998E-2</v>
      </c>
      <c r="N1368" s="1230">
        <v>2.2609941431432092E-4</v>
      </c>
    </row>
    <row r="1369" spans="1:14" ht="15.5" x14ac:dyDescent="0.35">
      <c r="A1369" s="199">
        <v>2038</v>
      </c>
      <c r="B1369" s="110" t="s">
        <v>5850</v>
      </c>
      <c r="C1369" s="110">
        <v>2000</v>
      </c>
      <c r="D1369" s="110" t="str">
        <f t="shared" si="11"/>
        <v>2038_2000</v>
      </c>
      <c r="E1369" s="1226">
        <v>0.12417080062126599</v>
      </c>
      <c r="F1369" s="1227">
        <v>5.29496033310487E-2</v>
      </c>
      <c r="G1369" s="1227">
        <v>5.1254376415156004</v>
      </c>
      <c r="H1369" s="1227">
        <v>0.7110979111712119</v>
      </c>
      <c r="I1369" s="1227">
        <v>5.7228609713625297E-2</v>
      </c>
      <c r="J1369" s="1227">
        <v>2.1631845373533108E-4</v>
      </c>
      <c r="K1369" s="1227">
        <v>3.0000008603782999E-3</v>
      </c>
      <c r="L1369" s="1228">
        <v>2.79630670509446E-2</v>
      </c>
      <c r="M1369" s="1229">
        <v>5.9816233496680998E-2</v>
      </c>
      <c r="N1369" s="1230">
        <v>2.2609941431432092E-4</v>
      </c>
    </row>
    <row r="1370" spans="1:14" ht="15.5" x14ac:dyDescent="0.35">
      <c r="A1370" s="199">
        <v>2038</v>
      </c>
      <c r="B1370" s="110" t="s">
        <v>5850</v>
      </c>
      <c r="C1370" s="110">
        <v>2001</v>
      </c>
      <c r="D1370" s="110" t="str">
        <f t="shared" si="11"/>
        <v>2038_2001</v>
      </c>
      <c r="E1370" s="1226">
        <v>0.12417080062126599</v>
      </c>
      <c r="F1370" s="1227">
        <v>5.29496033310487E-2</v>
      </c>
      <c r="G1370" s="1227">
        <v>5.1254376415156004</v>
      </c>
      <c r="H1370" s="1227">
        <v>0.7110979111712119</v>
      </c>
      <c r="I1370" s="1227">
        <v>5.7228609713625297E-2</v>
      </c>
      <c r="J1370" s="1227">
        <v>2.1631845373533108E-4</v>
      </c>
      <c r="K1370" s="1227">
        <v>3.0000008603782999E-3</v>
      </c>
      <c r="L1370" s="1228">
        <v>2.79630670509446E-2</v>
      </c>
      <c r="M1370" s="1229">
        <v>5.9816233496680998E-2</v>
      </c>
      <c r="N1370" s="1230">
        <v>2.2609941431432092E-4</v>
      </c>
    </row>
    <row r="1371" spans="1:14" ht="15.5" x14ac:dyDescent="0.35">
      <c r="A1371" s="199">
        <v>2038</v>
      </c>
      <c r="B1371" s="110" t="s">
        <v>5850</v>
      </c>
      <c r="C1371" s="110">
        <v>2002</v>
      </c>
      <c r="D1371" s="110" t="str">
        <f t="shared" si="11"/>
        <v>2038_2002</v>
      </c>
      <c r="E1371" s="1226">
        <v>0.12417080062126599</v>
      </c>
      <c r="F1371" s="1227">
        <v>5.29496033310487E-2</v>
      </c>
      <c r="G1371" s="1227">
        <v>5.1254376415156004</v>
      </c>
      <c r="H1371" s="1227">
        <v>0.7110979111712119</v>
      </c>
      <c r="I1371" s="1227">
        <v>5.7228609713625297E-2</v>
      </c>
      <c r="J1371" s="1227">
        <v>2.1631845373533108E-4</v>
      </c>
      <c r="K1371" s="1227">
        <v>3.0000008603782999E-3</v>
      </c>
      <c r="L1371" s="1228">
        <v>2.79630670509446E-2</v>
      </c>
      <c r="M1371" s="1229">
        <v>5.9816233496680998E-2</v>
      </c>
      <c r="N1371" s="1230">
        <v>2.2609941431432092E-4</v>
      </c>
    </row>
    <row r="1372" spans="1:14" ht="15.5" x14ac:dyDescent="0.35">
      <c r="A1372" s="199">
        <v>2038</v>
      </c>
      <c r="B1372" s="110" t="s">
        <v>5850</v>
      </c>
      <c r="C1372" s="110">
        <v>2003</v>
      </c>
      <c r="D1372" s="110" t="str">
        <f t="shared" si="11"/>
        <v>2038_2003</v>
      </c>
      <c r="E1372" s="1226">
        <v>0.12417080062126599</v>
      </c>
      <c r="F1372" s="1227">
        <v>5.29496033310487E-2</v>
      </c>
      <c r="G1372" s="1227">
        <v>5.1254376415156004</v>
      </c>
      <c r="H1372" s="1227">
        <v>0.7110979111712119</v>
      </c>
      <c r="I1372" s="1227">
        <v>5.7228609713625297E-2</v>
      </c>
      <c r="J1372" s="1227">
        <v>2.1631845373533108E-4</v>
      </c>
      <c r="K1372" s="1227">
        <v>3.0000008603782999E-3</v>
      </c>
      <c r="L1372" s="1228">
        <v>2.79630670509446E-2</v>
      </c>
      <c r="M1372" s="1229">
        <v>5.9816233496680998E-2</v>
      </c>
      <c r="N1372" s="1230">
        <v>2.2609941431432092E-4</v>
      </c>
    </row>
    <row r="1373" spans="1:14" ht="15.5" x14ac:dyDescent="0.35">
      <c r="A1373" s="199">
        <v>2038</v>
      </c>
      <c r="B1373" s="110" t="s">
        <v>5850</v>
      </c>
      <c r="C1373" s="110">
        <v>2004</v>
      </c>
      <c r="D1373" s="110" t="str">
        <f t="shared" si="11"/>
        <v>2038_2004</v>
      </c>
      <c r="E1373" s="1226">
        <v>0.12417080062126599</v>
      </c>
      <c r="F1373" s="1227">
        <v>5.29496033310487E-2</v>
      </c>
      <c r="G1373" s="1227">
        <v>5.1254376415156004</v>
      </c>
      <c r="H1373" s="1227">
        <v>0.7110979111712119</v>
      </c>
      <c r="I1373" s="1227">
        <v>5.7228609713625297E-2</v>
      </c>
      <c r="J1373" s="1227">
        <v>2.1631845373533108E-4</v>
      </c>
      <c r="K1373" s="1227">
        <v>3.0000008603782999E-3</v>
      </c>
      <c r="L1373" s="1228">
        <v>2.79630670509446E-2</v>
      </c>
      <c r="M1373" s="1229">
        <v>5.9816233496680998E-2</v>
      </c>
      <c r="N1373" s="1230">
        <v>2.2609941431432092E-4</v>
      </c>
    </row>
    <row r="1374" spans="1:14" ht="15.5" x14ac:dyDescent="0.35">
      <c r="A1374" s="199">
        <v>2038</v>
      </c>
      <c r="B1374" s="110" t="s">
        <v>5850</v>
      </c>
      <c r="C1374" s="110">
        <v>2005</v>
      </c>
      <c r="D1374" s="110" t="str">
        <f t="shared" si="11"/>
        <v>2038_2005</v>
      </c>
      <c r="E1374" s="1226">
        <v>0.12417080062126599</v>
      </c>
      <c r="F1374" s="1227">
        <v>5.29496033310487E-2</v>
      </c>
      <c r="G1374" s="1227">
        <v>5.1254376415156004</v>
      </c>
      <c r="H1374" s="1227">
        <v>0.7110979111712119</v>
      </c>
      <c r="I1374" s="1227">
        <v>5.7228609713625297E-2</v>
      </c>
      <c r="J1374" s="1227">
        <v>2.1631845373533108E-4</v>
      </c>
      <c r="K1374" s="1227">
        <v>3.0000008603782999E-3</v>
      </c>
      <c r="L1374" s="1228">
        <v>2.79630670509446E-2</v>
      </c>
      <c r="M1374" s="1229">
        <v>5.9816233496680998E-2</v>
      </c>
      <c r="N1374" s="1230">
        <v>2.2609941431432092E-4</v>
      </c>
    </row>
    <row r="1375" spans="1:14" ht="15.5" x14ac:dyDescent="0.35">
      <c r="A1375" s="199">
        <v>2038</v>
      </c>
      <c r="B1375" s="110" t="s">
        <v>5850</v>
      </c>
      <c r="C1375" s="110">
        <v>2006</v>
      </c>
      <c r="D1375" s="110" t="str">
        <f t="shared" si="11"/>
        <v>2038_2006</v>
      </c>
      <c r="E1375" s="1226">
        <v>0.12417080062126599</v>
      </c>
      <c r="F1375" s="1227">
        <v>5.29496033310487E-2</v>
      </c>
      <c r="G1375" s="1227">
        <v>5.1254376415156004</v>
      </c>
      <c r="H1375" s="1227">
        <v>0.7110979111712119</v>
      </c>
      <c r="I1375" s="1227">
        <v>5.7228609713625297E-2</v>
      </c>
      <c r="J1375" s="1227">
        <v>2.1631845373533108E-4</v>
      </c>
      <c r="K1375" s="1227">
        <v>3.0000008603782999E-3</v>
      </c>
      <c r="L1375" s="1228">
        <v>2.79630670509446E-2</v>
      </c>
      <c r="M1375" s="1229">
        <v>5.9816233496680998E-2</v>
      </c>
      <c r="N1375" s="1230">
        <v>2.2609941431432092E-4</v>
      </c>
    </row>
    <row r="1376" spans="1:14" ht="15.5" x14ac:dyDescent="0.35">
      <c r="A1376" s="199">
        <v>2038</v>
      </c>
      <c r="B1376" s="110" t="s">
        <v>5850</v>
      </c>
      <c r="C1376" s="110">
        <v>2007</v>
      </c>
      <c r="D1376" s="110" t="str">
        <f t="shared" si="11"/>
        <v>2038_2007</v>
      </c>
      <c r="E1376" s="1226">
        <v>0.12417080062126599</v>
      </c>
      <c r="F1376" s="1227">
        <v>5.29496033310487E-2</v>
      </c>
      <c r="G1376" s="1227">
        <v>5.1254376415156004</v>
      </c>
      <c r="H1376" s="1227">
        <v>0.7110979111712119</v>
      </c>
      <c r="I1376" s="1227">
        <v>5.7228609713625297E-2</v>
      </c>
      <c r="J1376" s="1227">
        <v>2.1631845373533108E-4</v>
      </c>
      <c r="K1376" s="1227">
        <v>3.0000008603782999E-3</v>
      </c>
      <c r="L1376" s="1228">
        <v>2.79630670509446E-2</v>
      </c>
      <c r="M1376" s="1229">
        <v>5.9816233496680998E-2</v>
      </c>
      <c r="N1376" s="1230">
        <v>2.2609941431432092E-4</v>
      </c>
    </row>
    <row r="1377" spans="1:14" ht="15.5" x14ac:dyDescent="0.35">
      <c r="A1377" s="199">
        <v>2038</v>
      </c>
      <c r="B1377" s="110" t="s">
        <v>5850</v>
      </c>
      <c r="C1377" s="110">
        <v>2008</v>
      </c>
      <c r="D1377" s="110" t="str">
        <f t="shared" si="11"/>
        <v>2038_2008</v>
      </c>
      <c r="E1377" s="1226">
        <v>0.12417080062126599</v>
      </c>
      <c r="F1377" s="1227">
        <v>5.29496033310487E-2</v>
      </c>
      <c r="G1377" s="1227">
        <v>5.1254376415156004</v>
      </c>
      <c r="H1377" s="1227">
        <v>0.7110979111712119</v>
      </c>
      <c r="I1377" s="1227">
        <v>5.7228609713625297E-2</v>
      </c>
      <c r="J1377" s="1227">
        <v>2.1631845373533108E-4</v>
      </c>
      <c r="K1377" s="1227">
        <v>3.0000008603782999E-3</v>
      </c>
      <c r="L1377" s="1228">
        <v>2.79630670509446E-2</v>
      </c>
      <c r="M1377" s="1229">
        <v>5.9816233496680998E-2</v>
      </c>
      <c r="N1377" s="1230">
        <v>2.2609941431432092E-4</v>
      </c>
    </row>
    <row r="1378" spans="1:14" ht="15.5" x14ac:dyDescent="0.35">
      <c r="A1378" s="199">
        <v>2038</v>
      </c>
      <c r="B1378" s="110" t="s">
        <v>5850</v>
      </c>
      <c r="C1378" s="110">
        <v>2009</v>
      </c>
      <c r="D1378" s="110" t="str">
        <f t="shared" si="11"/>
        <v>2038_2009</v>
      </c>
      <c r="E1378" s="1226">
        <v>0.12417080062126599</v>
      </c>
      <c r="F1378" s="1227">
        <v>5.29496033310487E-2</v>
      </c>
      <c r="G1378" s="1227">
        <v>5.1254376415156004</v>
      </c>
      <c r="H1378" s="1227">
        <v>0.7110979111712119</v>
      </c>
      <c r="I1378" s="1227">
        <v>5.7228609713625297E-2</v>
      </c>
      <c r="J1378" s="1227">
        <v>2.1631845373533108E-4</v>
      </c>
      <c r="K1378" s="1227">
        <v>3.0000008603782999E-3</v>
      </c>
      <c r="L1378" s="1228">
        <v>2.79630670509446E-2</v>
      </c>
      <c r="M1378" s="1229">
        <v>5.9816233496680998E-2</v>
      </c>
      <c r="N1378" s="1230">
        <v>2.2609941431432092E-4</v>
      </c>
    </row>
    <row r="1379" spans="1:14" ht="15.5" x14ac:dyDescent="0.35">
      <c r="A1379" s="199">
        <v>2038</v>
      </c>
      <c r="B1379" s="110" t="s">
        <v>5850</v>
      </c>
      <c r="C1379" s="110">
        <v>2010</v>
      </c>
      <c r="D1379" s="110" t="str">
        <f t="shared" si="11"/>
        <v>2038_2010</v>
      </c>
      <c r="E1379" s="1226">
        <v>0.12417080062126599</v>
      </c>
      <c r="F1379" s="1227">
        <v>5.29496033310487E-2</v>
      </c>
      <c r="G1379" s="1227">
        <v>5.1254376415156004</v>
      </c>
      <c r="H1379" s="1227">
        <v>0.7110979111712119</v>
      </c>
      <c r="I1379" s="1227">
        <v>5.7228609713625297E-2</v>
      </c>
      <c r="J1379" s="1227">
        <v>2.1631845373533108E-4</v>
      </c>
      <c r="K1379" s="1227">
        <v>3.0000008603782999E-3</v>
      </c>
      <c r="L1379" s="1228">
        <v>2.79630670509446E-2</v>
      </c>
      <c r="M1379" s="1229">
        <v>5.9816233496680998E-2</v>
      </c>
      <c r="N1379" s="1230">
        <v>2.2609941431432092E-4</v>
      </c>
    </row>
    <row r="1380" spans="1:14" ht="15.5" x14ac:dyDescent="0.35">
      <c r="A1380" s="199">
        <v>2038</v>
      </c>
      <c r="B1380" s="110" t="s">
        <v>5850</v>
      </c>
      <c r="C1380" s="110">
        <v>2011</v>
      </c>
      <c r="D1380" s="110" t="str">
        <f t="shared" si="11"/>
        <v>2038_2011</v>
      </c>
      <c r="E1380" s="1231">
        <v>0.12417080062126599</v>
      </c>
      <c r="F1380" s="1232">
        <v>5.29496033310487E-2</v>
      </c>
      <c r="G1380" s="1232">
        <v>5.1254376415156004</v>
      </c>
      <c r="H1380" s="1232">
        <v>0.7110979111712119</v>
      </c>
      <c r="I1380" s="1232">
        <v>5.7228609713625297E-2</v>
      </c>
      <c r="J1380" s="1232">
        <v>2.1631845373533108E-4</v>
      </c>
      <c r="K1380" s="1232">
        <v>3.0000008603782999E-3</v>
      </c>
      <c r="L1380" s="1233">
        <v>2.79630670509446E-2</v>
      </c>
      <c r="M1380" s="1234">
        <v>5.9816233496680998E-2</v>
      </c>
      <c r="N1380" s="1235">
        <v>2.2609941431432092E-4</v>
      </c>
    </row>
    <row r="1381" spans="1:14" ht="15.5" x14ac:dyDescent="0.35">
      <c r="A1381" s="199">
        <v>2038</v>
      </c>
      <c r="B1381" s="110" t="s">
        <v>5850</v>
      </c>
      <c r="C1381" s="110">
        <v>2012</v>
      </c>
      <c r="D1381" s="110" t="str">
        <f t="shared" si="11"/>
        <v>2038_2012</v>
      </c>
      <c r="E1381" s="1231">
        <v>2.50429116049103E-2</v>
      </c>
      <c r="F1381" s="1232">
        <v>5.3127057833027853E-2</v>
      </c>
      <c r="G1381" s="1232">
        <v>4.46845624971301</v>
      </c>
      <c r="H1381" s="1232">
        <v>0.62779908733579648</v>
      </c>
      <c r="I1381" s="1232">
        <v>3.3199669686803802E-2</v>
      </c>
      <c r="J1381" s="1232">
        <v>2.1631845373533008E-4</v>
      </c>
      <c r="K1381" s="1232">
        <v>3.0000008603782999E-3</v>
      </c>
      <c r="L1381" s="1233">
        <v>2.79630670510887E-2</v>
      </c>
      <c r="M1381" s="1234">
        <v>3.4700811428688798E-2</v>
      </c>
      <c r="N1381" s="1235">
        <v>2.2609941431431989E-4</v>
      </c>
    </row>
    <row r="1382" spans="1:14" ht="15.5" x14ac:dyDescent="0.35">
      <c r="A1382" s="199">
        <v>2038</v>
      </c>
      <c r="B1382" s="110" t="s">
        <v>5850</v>
      </c>
      <c r="C1382" s="110">
        <v>2013</v>
      </c>
      <c r="D1382" s="110" t="str">
        <f t="shared" si="11"/>
        <v>2038_2013</v>
      </c>
      <c r="E1382" s="1231">
        <v>2.4725546974217999E-2</v>
      </c>
      <c r="F1382" s="1232">
        <v>5.3127057833028131E-2</v>
      </c>
      <c r="G1382" s="1232">
        <v>4.2166115880772503</v>
      </c>
      <c r="H1382" s="1232">
        <v>0.6277990873357997</v>
      </c>
      <c r="I1382" s="1232">
        <v>3.2285400454182697E-2</v>
      </c>
      <c r="J1382" s="1232">
        <v>2.1631845373533119E-4</v>
      </c>
      <c r="K1382" s="1232">
        <v>3.0000008603782999E-3</v>
      </c>
      <c r="L1382" s="1233">
        <v>2.7963067051076498E-2</v>
      </c>
      <c r="M1382" s="1234">
        <v>3.3745202998378201E-2</v>
      </c>
      <c r="N1382" s="1235">
        <v>2.2609941431432103E-4</v>
      </c>
    </row>
    <row r="1383" spans="1:14" ht="15.5" x14ac:dyDescent="0.35">
      <c r="A1383" s="199">
        <v>2038</v>
      </c>
      <c r="B1383" s="110" t="s">
        <v>5850</v>
      </c>
      <c r="C1383" s="110">
        <v>2014</v>
      </c>
      <c r="D1383" s="110" t="str">
        <f t="shared" si="11"/>
        <v>2038_2014</v>
      </c>
      <c r="E1383" s="1231">
        <v>1.2166957765887901E-2</v>
      </c>
      <c r="F1383" s="1232">
        <v>5.3127057833028089E-2</v>
      </c>
      <c r="G1383" s="1232">
        <v>1.58784654166563</v>
      </c>
      <c r="H1383" s="1232">
        <v>0.62779908733579914</v>
      </c>
      <c r="I1383" s="1232">
        <v>3.7552350310387103E-2</v>
      </c>
      <c r="J1383" s="1232">
        <v>2.1631845373533106E-4</v>
      </c>
      <c r="K1383" s="1232">
        <v>3.0000008603782999E-3</v>
      </c>
      <c r="L1383" s="1233">
        <v>2.7963067050970899E-2</v>
      </c>
      <c r="M1383" s="1234">
        <v>3.9250300955336201E-2</v>
      </c>
      <c r="N1383" s="1235">
        <v>2.2609941431432087E-4</v>
      </c>
    </row>
    <row r="1384" spans="1:14" ht="15.5" x14ac:dyDescent="0.35">
      <c r="A1384" s="199">
        <v>2038</v>
      </c>
      <c r="B1384" s="110" t="s">
        <v>5850</v>
      </c>
      <c r="C1384" s="110">
        <v>2015</v>
      </c>
      <c r="D1384" s="110" t="str">
        <f t="shared" si="11"/>
        <v>2038_2015</v>
      </c>
      <c r="E1384" s="1231">
        <v>1.21669577658963E-2</v>
      </c>
      <c r="F1384" s="1232">
        <v>5.3127057833028055E-2</v>
      </c>
      <c r="G1384" s="1232">
        <v>1.5878465416662699</v>
      </c>
      <c r="H1384" s="1232">
        <v>0.62779908733579881</v>
      </c>
      <c r="I1384" s="1232">
        <v>3.7552350310301102E-2</v>
      </c>
      <c r="J1384" s="1232">
        <v>2.1631845373533089E-4</v>
      </c>
      <c r="K1384" s="1232">
        <v>3.0000008603782999E-3</v>
      </c>
      <c r="L1384" s="1233">
        <v>2.79630670509977E-2</v>
      </c>
      <c r="M1384" s="1234">
        <v>3.9250300955246301E-2</v>
      </c>
      <c r="N1384" s="1235">
        <v>2.2609941431432073E-4</v>
      </c>
    </row>
    <row r="1385" spans="1:14" ht="15.5" x14ac:dyDescent="0.35">
      <c r="A1385" s="199">
        <v>2038</v>
      </c>
      <c r="B1385" s="110" t="s">
        <v>5850</v>
      </c>
      <c r="C1385" s="110">
        <v>2016</v>
      </c>
      <c r="D1385" s="110" t="str">
        <f t="shared" si="11"/>
        <v>2038_2016</v>
      </c>
      <c r="E1385" s="1231">
        <v>1.2166957765896101E-2</v>
      </c>
      <c r="F1385" s="1232">
        <v>5.3127057833028159E-2</v>
      </c>
      <c r="G1385" s="1232">
        <v>1.5878465416649701</v>
      </c>
      <c r="H1385" s="1232">
        <v>0.62779908733580003</v>
      </c>
      <c r="I1385" s="1232">
        <v>3.7552350310219501E-2</v>
      </c>
      <c r="J1385" s="1232">
        <v>2.1631845373533127E-4</v>
      </c>
      <c r="K1385" s="1232">
        <v>3.0000008603782999E-3</v>
      </c>
      <c r="L1385" s="1233">
        <v>2.7963067051013899E-2</v>
      </c>
      <c r="M1385" s="1234">
        <v>3.9250300955161098E-2</v>
      </c>
      <c r="N1385" s="1235">
        <v>2.2609941431432114E-4</v>
      </c>
    </row>
    <row r="1386" spans="1:14" ht="15.5" x14ac:dyDescent="0.35">
      <c r="A1386" s="199">
        <v>2038</v>
      </c>
      <c r="B1386" s="110" t="s">
        <v>5850</v>
      </c>
      <c r="C1386" s="110">
        <v>2017</v>
      </c>
      <c r="D1386" s="110" t="str">
        <f t="shared" si="11"/>
        <v>2038_2017</v>
      </c>
      <c r="E1386" s="1231">
        <v>1.2376289888573601E-2</v>
      </c>
      <c r="F1386" s="1232">
        <v>5.3127057833027888E-2</v>
      </c>
      <c r="G1386" s="1232">
        <v>1.58784654166981</v>
      </c>
      <c r="H1386" s="1232">
        <v>0.6277990873357967</v>
      </c>
      <c r="I1386" s="1232">
        <v>3.0607495431875201E-2</v>
      </c>
      <c r="J1386" s="1232">
        <v>2.1631845373533019E-4</v>
      </c>
      <c r="K1386" s="1232">
        <v>3.0000008603782999E-3</v>
      </c>
      <c r="L1386" s="1233">
        <v>2.7963067051022999E-2</v>
      </c>
      <c r="M1386" s="1234">
        <v>3.1991430556555102E-2</v>
      </c>
      <c r="N1386" s="1235">
        <v>2.2609941431432E-4</v>
      </c>
    </row>
    <row r="1387" spans="1:14" ht="15.5" x14ac:dyDescent="0.35">
      <c r="A1387" s="199">
        <v>2038</v>
      </c>
      <c r="B1387" s="110" t="s">
        <v>5850</v>
      </c>
      <c r="C1387" s="110">
        <v>2018</v>
      </c>
      <c r="D1387" s="110" t="str">
        <f t="shared" si="11"/>
        <v>2038_2018</v>
      </c>
      <c r="E1387" s="1231">
        <v>1.23762898885927E-2</v>
      </c>
      <c r="F1387" s="1232">
        <v>5.3127057833028221E-2</v>
      </c>
      <c r="G1387" s="1232">
        <v>1.58784654166728</v>
      </c>
      <c r="H1387" s="1232">
        <v>0.6277990873358007</v>
      </c>
      <c r="I1387" s="1232">
        <v>3.0607495432144301E-2</v>
      </c>
      <c r="J1387" s="1232">
        <v>2.1631845373533155E-4</v>
      </c>
      <c r="K1387" s="1232">
        <v>3.0000008603782999E-3</v>
      </c>
      <c r="L1387" s="1233">
        <v>2.79630670509275E-2</v>
      </c>
      <c r="M1387" s="1234">
        <v>3.1991430556836398E-2</v>
      </c>
      <c r="N1387" s="1235">
        <v>2.2609941431432138E-4</v>
      </c>
    </row>
    <row r="1388" spans="1:14" ht="15.5" x14ac:dyDescent="0.35">
      <c r="A1388" s="198">
        <v>2038</v>
      </c>
      <c r="B1388" s="197" t="s">
        <v>5850</v>
      </c>
      <c r="C1388" s="197">
        <v>2019</v>
      </c>
      <c r="D1388" s="110" t="str">
        <f t="shared" si="11"/>
        <v>2038_2019</v>
      </c>
      <c r="E1388" s="1231">
        <v>1.23762898885165E-2</v>
      </c>
      <c r="F1388" s="1232">
        <v>5.3127057833028006E-2</v>
      </c>
      <c r="G1388" s="1232">
        <v>1.5878465416676</v>
      </c>
      <c r="H1388" s="1232">
        <v>0.62779908733579826</v>
      </c>
      <c r="I1388" s="1232">
        <v>3.0607495431487899E-2</v>
      </c>
      <c r="J1388" s="1232">
        <v>2.163184537353307E-4</v>
      </c>
      <c r="K1388" s="1232">
        <v>3.0000008603782999E-3</v>
      </c>
      <c r="L1388" s="1233">
        <v>2.79630670511243E-2</v>
      </c>
      <c r="M1388" s="1234">
        <v>3.1991430556150398E-2</v>
      </c>
      <c r="N1388" s="1235">
        <v>2.2609941431432054E-4</v>
      </c>
    </row>
    <row r="1389" spans="1:14" ht="15.5" x14ac:dyDescent="0.35">
      <c r="A1389" s="198">
        <v>2038</v>
      </c>
      <c r="B1389" s="197" t="s">
        <v>5850</v>
      </c>
      <c r="C1389" s="197">
        <v>2020</v>
      </c>
      <c r="D1389" s="110" t="str">
        <f t="shared" si="11"/>
        <v>2038_2020</v>
      </c>
      <c r="E1389" s="1231">
        <v>1.2376289888579599E-2</v>
      </c>
      <c r="F1389" s="1232">
        <v>5.3127057833028235E-2</v>
      </c>
      <c r="G1389" s="1232">
        <v>1.58784654167012</v>
      </c>
      <c r="H1389" s="1232">
        <v>0.62779908733580092</v>
      </c>
      <c r="I1389" s="1232">
        <v>3.0607495431922101E-2</v>
      </c>
      <c r="J1389" s="1232">
        <v>2.1631845373533165E-4</v>
      </c>
      <c r="K1389" s="1232">
        <v>3.0000008603782999E-3</v>
      </c>
      <c r="L1389" s="1233">
        <v>2.7963067051014E-2</v>
      </c>
      <c r="M1389" s="1234">
        <v>3.1991430556604201E-2</v>
      </c>
      <c r="N1389" s="1235">
        <v>2.2609941431432152E-4</v>
      </c>
    </row>
    <row r="1390" spans="1:14" ht="15.5" x14ac:dyDescent="0.35">
      <c r="A1390" s="198">
        <v>2038</v>
      </c>
      <c r="B1390" s="197" t="s">
        <v>5850</v>
      </c>
      <c r="C1390" s="197">
        <v>2021</v>
      </c>
      <c r="D1390" s="110" t="str">
        <f t="shared" si="11"/>
        <v>2038_2021</v>
      </c>
      <c r="E1390" s="1231">
        <v>1.23762898885809E-2</v>
      </c>
      <c r="F1390" s="1232">
        <v>5.3127057833029311E-2</v>
      </c>
      <c r="G1390" s="1232">
        <v>1.58784654162706</v>
      </c>
      <c r="H1390" s="1232">
        <v>0.62779908733581358</v>
      </c>
      <c r="I1390" s="1232">
        <v>3.0607495433363399E-2</v>
      </c>
      <c r="J1390" s="1232">
        <v>2.1631845373533599E-4</v>
      </c>
      <c r="K1390" s="1232">
        <v>3.0000008603782999E-3</v>
      </c>
      <c r="L1390" s="1233">
        <v>2.7963067050290401E-2</v>
      </c>
      <c r="M1390" s="1234">
        <v>3.1991430558110601E-2</v>
      </c>
      <c r="N1390" s="1235">
        <v>2.2609941431432604E-4</v>
      </c>
    </row>
    <row r="1391" spans="1:14" ht="15.5" x14ac:dyDescent="0.35">
      <c r="A1391" s="198">
        <v>2038</v>
      </c>
      <c r="B1391" s="197" t="s">
        <v>5850</v>
      </c>
      <c r="C1391" s="197">
        <v>2022</v>
      </c>
      <c r="D1391" s="110" t="str">
        <f t="shared" si="11"/>
        <v>2038_2022</v>
      </c>
      <c r="E1391" s="1231">
        <v>1.2375230847667401E-2</v>
      </c>
      <c r="F1391" s="1232">
        <v>5.3127057833027853E-2</v>
      </c>
      <c r="G1391" s="1232">
        <v>1.5877453309270499</v>
      </c>
      <c r="H1391" s="1232">
        <v>0.62779908733579648</v>
      </c>
      <c r="I1391" s="1232">
        <v>3.0603207933002401E-2</v>
      </c>
      <c r="J1391" s="1232">
        <v>2.1631845373533008E-4</v>
      </c>
      <c r="K1391" s="1232">
        <v>3.0000008603782999E-3</v>
      </c>
      <c r="L1391" s="1233">
        <v>2.7963067051183899E-2</v>
      </c>
      <c r="M1391" s="1234">
        <v>3.1986949196008897E-2</v>
      </c>
      <c r="N1391" s="1235">
        <v>2.2609941431431989E-4</v>
      </c>
    </row>
    <row r="1392" spans="1:14" ht="15.5" x14ac:dyDescent="0.35">
      <c r="A1392" s="198">
        <v>2038</v>
      </c>
      <c r="B1392" s="197" t="s">
        <v>5850</v>
      </c>
      <c r="C1392" s="197">
        <v>2023</v>
      </c>
      <c r="D1392" s="110" t="str">
        <f t="shared" si="11"/>
        <v>2038_2023</v>
      </c>
      <c r="E1392" s="1231">
        <v>1.22229029038566E-2</v>
      </c>
      <c r="F1392" s="1232">
        <v>5.3127057833028367E-2</v>
      </c>
      <c r="G1392" s="1232">
        <v>1.5014749101007401</v>
      </c>
      <c r="H1392" s="1232">
        <v>0.62779908733580247</v>
      </c>
      <c r="I1392" s="1232">
        <v>2.8947611140073801E-2</v>
      </c>
      <c r="J1392" s="1232">
        <v>2.1631845373533217E-4</v>
      </c>
      <c r="K1392" s="1232">
        <v>3.0000008603782999E-3</v>
      </c>
      <c r="L1392" s="1233">
        <v>2.7963067051085401E-2</v>
      </c>
      <c r="M1392" s="1234">
        <v>3.0256493662706E-2</v>
      </c>
      <c r="N1392" s="1235">
        <v>2.2609941431432206E-4</v>
      </c>
    </row>
    <row r="1393" spans="1:14" ht="15.5" x14ac:dyDescent="0.35">
      <c r="A1393" s="198">
        <v>2038</v>
      </c>
      <c r="B1393" s="197" t="s">
        <v>5850</v>
      </c>
      <c r="C1393" s="197">
        <v>2024</v>
      </c>
      <c r="D1393" s="110" t="str">
        <f t="shared" si="11"/>
        <v>2038_2024</v>
      </c>
      <c r="E1393" s="1231">
        <v>1.20536496326305E-2</v>
      </c>
      <c r="F1393" s="1232">
        <v>4.7814352049725124E-2</v>
      </c>
      <c r="G1393" s="1232">
        <v>1.4857038502670701</v>
      </c>
      <c r="H1393" s="1232">
        <v>0.56501917860221729</v>
      </c>
      <c r="I1393" s="1232">
        <v>2.82623938301126E-2</v>
      </c>
      <c r="J1393" s="1232">
        <v>1.9468660836179726E-4</v>
      </c>
      <c r="K1393" s="1232">
        <v>3.0000008603782999E-3</v>
      </c>
      <c r="L1393" s="1233">
        <v>2.7963067050895501E-2</v>
      </c>
      <c r="M1393" s="1234">
        <v>2.95402938665951E-2</v>
      </c>
      <c r="N1393" s="1235">
        <v>2.034894728828881E-4</v>
      </c>
    </row>
    <row r="1394" spans="1:14" ht="15.5" x14ac:dyDescent="0.35">
      <c r="A1394" s="198">
        <v>2038</v>
      </c>
      <c r="B1394" s="197" t="s">
        <v>5850</v>
      </c>
      <c r="C1394" s="197">
        <v>2025</v>
      </c>
      <c r="D1394" s="110" t="str">
        <f t="shared" ref="D1394:D1539" si="12">CONCATENATE(A1394,"_",C1394)</f>
        <v>2038_2025</v>
      </c>
      <c r="E1394" s="1231">
        <v>1.18655904422708E-2</v>
      </c>
      <c r="F1394" s="1232">
        <v>4.3032916844752911E-2</v>
      </c>
      <c r="G1394" s="1232">
        <v>1.3368987998783399</v>
      </c>
      <c r="H1394" s="1232">
        <v>0.25793594649915758</v>
      </c>
      <c r="I1394" s="1232">
        <v>2.7501041262474501E-2</v>
      </c>
      <c r="J1394" s="1232">
        <v>1.7521794752561878E-4</v>
      </c>
      <c r="K1394" s="1232">
        <v>3.0000008603782999E-3</v>
      </c>
      <c r="L1394" s="1233">
        <v>2.79630670510384E-2</v>
      </c>
      <c r="M1394" s="1234">
        <v>2.8744516314300399E-2</v>
      </c>
      <c r="N1394" s="1235">
        <v>1.8314052559460054E-4</v>
      </c>
    </row>
    <row r="1395" spans="1:14" ht="15.5" x14ac:dyDescent="0.35">
      <c r="A1395" s="198">
        <v>2038</v>
      </c>
      <c r="B1395" s="197" t="s">
        <v>5850</v>
      </c>
      <c r="C1395" s="197">
        <v>2026</v>
      </c>
      <c r="D1395" s="110" t="str">
        <f t="shared" si="12"/>
        <v>2038_2026</v>
      </c>
      <c r="E1395" s="1231">
        <v>1.16566357863767E-2</v>
      </c>
      <c r="F1395" s="1232">
        <v>3.8729625160277469E-2</v>
      </c>
      <c r="G1395" s="1232">
        <v>1.31781254623769</v>
      </c>
      <c r="H1395" s="1232">
        <v>0.23214235184924098</v>
      </c>
      <c r="I1395" s="1232">
        <v>2.66550939656254E-2</v>
      </c>
      <c r="J1395" s="1232">
        <v>1.5769615277305631E-4</v>
      </c>
      <c r="K1395" s="1232">
        <v>3.0000008603782999E-3</v>
      </c>
      <c r="L1395" s="1233">
        <v>3.0896717248551701E-2</v>
      </c>
      <c r="M1395" s="1234">
        <v>2.7860319034523299E-2</v>
      </c>
      <c r="N1395" s="1235">
        <v>1.6482647303513989E-4</v>
      </c>
    </row>
    <row r="1396" spans="1:14" ht="15.5" x14ac:dyDescent="0.35">
      <c r="A1396" s="198">
        <v>2038</v>
      </c>
      <c r="B1396" s="197" t="s">
        <v>5850</v>
      </c>
      <c r="C1396" s="197">
        <v>2027</v>
      </c>
      <c r="D1396" s="110" t="str">
        <f t="shared" si="12"/>
        <v>2038_2027</v>
      </c>
      <c r="E1396" s="1231">
        <v>1.1424463946485299E-2</v>
      </c>
      <c r="F1396" s="1232">
        <v>3.48566626442499E-2</v>
      </c>
      <c r="G1396" s="1232">
        <v>1.29592308557958</v>
      </c>
      <c r="H1396" s="1232">
        <v>0.20892811666431796</v>
      </c>
      <c r="I1396" s="1232">
        <v>2.5715152524618801E-2</v>
      </c>
      <c r="J1396" s="1232">
        <v>1.4192653749575139E-4</v>
      </c>
      <c r="K1396" s="1232">
        <v>3.0000008603782999E-3</v>
      </c>
      <c r="L1396" s="1233">
        <v>3.0896717248547499E-2</v>
      </c>
      <c r="M1396" s="1234">
        <v>2.6877877612482701E-2</v>
      </c>
      <c r="N1396" s="1235">
        <v>1.4834382573162666E-4</v>
      </c>
    </row>
    <row r="1397" spans="1:14" ht="15.5" x14ac:dyDescent="0.35">
      <c r="A1397" s="198">
        <v>2038</v>
      </c>
      <c r="B1397" s="197" t="s">
        <v>5850</v>
      </c>
      <c r="C1397" s="197">
        <v>2028</v>
      </c>
      <c r="D1397" s="110" t="str">
        <f t="shared" si="12"/>
        <v>2038_2028</v>
      </c>
      <c r="E1397" s="1231">
        <v>1.1166495235491699E-2</v>
      </c>
      <c r="F1397" s="1232">
        <v>3.1370996379824968E-2</v>
      </c>
      <c r="G1397" s="1232">
        <v>1.1561695185307499</v>
      </c>
      <c r="H1397" s="1232">
        <v>0.14236686047712846</v>
      </c>
      <c r="I1397" s="1232">
        <v>2.4304962858696402E-2</v>
      </c>
      <c r="J1397" s="1232">
        <v>1.2773388374617649E-4</v>
      </c>
      <c r="K1397" s="1232">
        <v>3.0000008603782999E-3</v>
      </c>
      <c r="L1397" s="1233">
        <v>3.0896717248559E-2</v>
      </c>
      <c r="M1397" s="1234">
        <v>2.54039254274913E-2</v>
      </c>
      <c r="N1397" s="1235">
        <v>1.3350944315846422E-4</v>
      </c>
    </row>
    <row r="1398" spans="1:14" ht="15.5" x14ac:dyDescent="0.35">
      <c r="A1398" s="198">
        <v>2038</v>
      </c>
      <c r="B1398" s="197" t="s">
        <v>5850</v>
      </c>
      <c r="C1398" s="197">
        <v>2029</v>
      </c>
      <c r="D1398" s="110" t="str">
        <f t="shared" si="12"/>
        <v>2038_2029</v>
      </c>
      <c r="E1398" s="1231">
        <v>1.08798633343931E-2</v>
      </c>
      <c r="F1398" s="1232">
        <v>2.8233896741842245E-2</v>
      </c>
      <c r="G1398" s="1232">
        <v>1.12733479959397</v>
      </c>
      <c r="H1398" s="1232">
        <v>0.1281301744294146</v>
      </c>
      <c r="I1398" s="1232">
        <v>2.3144541326588799E-2</v>
      </c>
      <c r="J1398" s="1232">
        <v>1.1496049537155791E-4</v>
      </c>
      <c r="K1398" s="1232">
        <v>3.0000008603782999E-3</v>
      </c>
      <c r="L1398" s="1233">
        <v>3.08967172485584E-2</v>
      </c>
      <c r="M1398" s="1234">
        <v>2.4191034782996099E-2</v>
      </c>
      <c r="N1398" s="1235">
        <v>1.2015849884261684E-4</v>
      </c>
    </row>
    <row r="1399" spans="1:14" ht="15.5" x14ac:dyDescent="0.35">
      <c r="A1399" s="198">
        <v>2038</v>
      </c>
      <c r="B1399" s="197" t="s">
        <v>5850</v>
      </c>
      <c r="C1399" s="197">
        <v>2030</v>
      </c>
      <c r="D1399" s="110" t="str">
        <f t="shared" si="12"/>
        <v>2038_2030</v>
      </c>
      <c r="E1399" s="1231">
        <v>1.05613834442841E-2</v>
      </c>
      <c r="F1399" s="1232">
        <v>2.5410507067658059E-2</v>
      </c>
      <c r="G1399" s="1232">
        <v>1.0935584611609299</v>
      </c>
      <c r="H1399" s="1232">
        <v>0.11531715698647331</v>
      </c>
      <c r="I1399" s="1232">
        <v>2.1855184068708899E-2</v>
      </c>
      <c r="J1399" s="1232">
        <v>1.0346444583440227E-4</v>
      </c>
      <c r="K1399" s="1232">
        <v>3.0000008603782999E-3</v>
      </c>
      <c r="L1399" s="1233">
        <v>3.0896717248545501E-2</v>
      </c>
      <c r="M1399" s="1234">
        <v>2.2843378511352899E-2</v>
      </c>
      <c r="N1399" s="1235">
        <v>1.0814264895835532E-4</v>
      </c>
    </row>
    <row r="1400" spans="1:14" ht="15.5" x14ac:dyDescent="0.35">
      <c r="A1400" s="198">
        <v>2038</v>
      </c>
      <c r="B1400" s="197" t="s">
        <v>5850</v>
      </c>
      <c r="C1400" s="197">
        <v>2031</v>
      </c>
      <c r="D1400" s="110" t="str">
        <f t="shared" si="12"/>
        <v>2038_2031</v>
      </c>
      <c r="E1400" s="1231">
        <v>1.02075168997125E-2</v>
      </c>
      <c r="F1400" s="1232">
        <v>2.5410507067658152E-2</v>
      </c>
      <c r="G1400" s="1232">
        <v>1.05353307425967</v>
      </c>
      <c r="H1400" s="1232">
        <v>0.11531715698647373</v>
      </c>
      <c r="I1400" s="1232">
        <v>2.0422564893231E-2</v>
      </c>
      <c r="J1400" s="1232">
        <v>1.0346444583440265E-4</v>
      </c>
      <c r="K1400" s="1232">
        <v>3.0000008603782999E-3</v>
      </c>
      <c r="L1400" s="1233">
        <v>3.08967172485612E-2</v>
      </c>
      <c r="M1400" s="1234">
        <v>2.1345982653913399E-2</v>
      </c>
      <c r="N1400" s="1235">
        <v>1.081426489583557E-4</v>
      </c>
    </row>
    <row r="1401" spans="1:14" ht="15.5" x14ac:dyDescent="0.35">
      <c r="A1401" s="198">
        <v>2038</v>
      </c>
      <c r="B1401" s="197" t="s">
        <v>5850</v>
      </c>
      <c r="C1401" s="197">
        <v>2032</v>
      </c>
      <c r="D1401" s="110" t="str">
        <f t="shared" si="12"/>
        <v>2038_2032</v>
      </c>
      <c r="E1401" s="1231">
        <v>9.8536503551450595E-3</v>
      </c>
      <c r="F1401" s="1232">
        <v>2.5410507067658086E-2</v>
      </c>
      <c r="G1401" s="1232">
        <v>0.95224439218426304</v>
      </c>
      <c r="H1401" s="1232">
        <v>0.11531715698647345</v>
      </c>
      <c r="I1401" s="1232">
        <v>1.7218653801816201E-2</v>
      </c>
      <c r="J1401" s="1232">
        <v>1.0346444583440239E-4</v>
      </c>
      <c r="K1401" s="1232">
        <v>3.0000008603782999E-3</v>
      </c>
      <c r="L1401" s="1233">
        <v>3.08967172485635E-2</v>
      </c>
      <c r="M1401" s="1234">
        <v>1.7997204920089702E-2</v>
      </c>
      <c r="N1401" s="1235">
        <v>1.0814264895835545E-4</v>
      </c>
    </row>
    <row r="1402" spans="1:14" ht="15.5" x14ac:dyDescent="0.35">
      <c r="A1402" s="199">
        <v>2038</v>
      </c>
      <c r="B1402" s="110" t="s">
        <v>5850</v>
      </c>
      <c r="C1402" s="110">
        <v>2033</v>
      </c>
      <c r="D1402" s="110" t="str">
        <f t="shared" si="12"/>
        <v>2038_2033</v>
      </c>
      <c r="E1402" s="1231">
        <v>9.4997838105767805E-3</v>
      </c>
      <c r="F1402" s="1232">
        <v>2.5410507067658055E-2</v>
      </c>
      <c r="G1402" s="1232">
        <v>0.90784261734335303</v>
      </c>
      <c r="H1402" s="1232">
        <v>0.11511510187099176</v>
      </c>
      <c r="I1402" s="1232">
        <v>1.6156815494819201E-2</v>
      </c>
      <c r="J1402" s="1232">
        <v>1.0346444583440227E-4</v>
      </c>
      <c r="K1402" s="1232">
        <v>3.0000008603782999E-3</v>
      </c>
      <c r="L1402" s="1233">
        <v>3.08967172485549E-2</v>
      </c>
      <c r="M1402" s="1234">
        <v>1.6887354996688E-2</v>
      </c>
      <c r="N1402" s="1235">
        <v>1.081426489583553E-4</v>
      </c>
    </row>
    <row r="1403" spans="1:14" ht="15.5" x14ac:dyDescent="0.35">
      <c r="A1403" s="199">
        <v>2038</v>
      </c>
      <c r="B1403" s="110" t="s">
        <v>5850</v>
      </c>
      <c r="C1403" s="110">
        <v>2034</v>
      </c>
      <c r="D1403" s="110" t="str">
        <f t="shared" si="12"/>
        <v>2038_2034</v>
      </c>
      <c r="E1403" s="1231">
        <v>9.1459172660075892E-3</v>
      </c>
      <c r="F1403" s="1232">
        <v>2.541050706765793E-2</v>
      </c>
      <c r="G1403" s="1232">
        <v>0.85229416884337705</v>
      </c>
      <c r="H1403" s="1232">
        <v>0.11112157327893195</v>
      </c>
      <c r="I1403" s="1232">
        <v>1.51102996886315E-2</v>
      </c>
      <c r="J1403" s="1232">
        <v>1.0346444583440176E-4</v>
      </c>
      <c r="K1403" s="1232">
        <v>3.0000008603782999E-3</v>
      </c>
      <c r="L1403" s="1233">
        <v>3.0896717248560201E-2</v>
      </c>
      <c r="M1403" s="1234">
        <v>1.5793520389589599E-2</v>
      </c>
      <c r="N1403" s="1235">
        <v>1.0814264895835477E-4</v>
      </c>
    </row>
    <row r="1404" spans="1:14" ht="15.5" x14ac:dyDescent="0.35">
      <c r="A1404" s="199">
        <v>2038</v>
      </c>
      <c r="B1404" s="110" t="s">
        <v>5850</v>
      </c>
      <c r="C1404" s="110">
        <v>2035</v>
      </c>
      <c r="D1404" s="110" t="str">
        <f t="shared" si="12"/>
        <v>2038_2035</v>
      </c>
      <c r="E1404" s="1231">
        <v>8.7920507214407206E-3</v>
      </c>
      <c r="F1404" s="1232">
        <v>2.5410507067657934E-2</v>
      </c>
      <c r="G1404" s="1232">
        <v>0.786423339708752</v>
      </c>
      <c r="H1404" s="1232">
        <v>0.10425593872603148</v>
      </c>
      <c r="I1404" s="1232">
        <v>1.4052691301911901E-2</v>
      </c>
      <c r="J1404" s="1232">
        <v>1.0346444583440177E-4</v>
      </c>
      <c r="K1404" s="1232">
        <v>3.0000008603782999E-3</v>
      </c>
      <c r="L1404" s="1233">
        <v>3.0896717248551801E-2</v>
      </c>
      <c r="M1404" s="1234">
        <v>1.46880916446903E-2</v>
      </c>
      <c r="N1404" s="1235">
        <v>1.081426489583548E-4</v>
      </c>
    </row>
    <row r="1405" spans="1:14" ht="15.5" x14ac:dyDescent="0.35">
      <c r="A1405" s="199">
        <v>2038</v>
      </c>
      <c r="B1405" s="110" t="s">
        <v>5850</v>
      </c>
      <c r="C1405" s="110">
        <v>2036</v>
      </c>
      <c r="D1405" s="110" t="str">
        <f t="shared" si="12"/>
        <v>2038_2036</v>
      </c>
      <c r="E1405" s="1231">
        <v>8.4381841768717408E-3</v>
      </c>
      <c r="F1405" s="1232">
        <v>2.5410507067657986E-2</v>
      </c>
      <c r="G1405" s="1232">
        <v>0.71003317204204297</v>
      </c>
      <c r="H1405" s="1232">
        <v>9.5437565728024407E-2</v>
      </c>
      <c r="I1405" s="1232">
        <v>1.3011750819214501E-2</v>
      </c>
      <c r="J1405" s="1232">
        <v>1.0346444583440197E-4</v>
      </c>
      <c r="K1405" s="1232">
        <v>3.0000008603782999E-3</v>
      </c>
      <c r="L1405" s="1233">
        <v>3.0896717248555999E-2</v>
      </c>
      <c r="M1405" s="1234">
        <v>1.36000844524702E-2</v>
      </c>
      <c r="N1405" s="1235">
        <v>1.0814264895835501E-4</v>
      </c>
    </row>
    <row r="1406" spans="1:14" ht="15.5" x14ac:dyDescent="0.35">
      <c r="A1406" s="199">
        <v>2038</v>
      </c>
      <c r="B1406" s="110" t="s">
        <v>5850</v>
      </c>
      <c r="C1406" s="110">
        <v>2037</v>
      </c>
      <c r="D1406" s="110" t="str">
        <f t="shared" si="12"/>
        <v>2038_2037</v>
      </c>
      <c r="E1406" s="1231">
        <v>8.0843176323035504E-3</v>
      </c>
      <c r="F1406" s="1232">
        <v>2.5410507067658017E-2</v>
      </c>
      <c r="G1406" s="1232">
        <v>0.62078715970916198</v>
      </c>
      <c r="H1406" s="1232">
        <v>8.5585821300190768E-2</v>
      </c>
      <c r="I1406" s="1232">
        <v>1.20065558870085E-2</v>
      </c>
      <c r="J1406" s="1232">
        <v>1.0346444583440211E-4</v>
      </c>
      <c r="K1406" s="1232">
        <v>3.0000008603782999E-3</v>
      </c>
      <c r="L1406" s="1233">
        <v>3.0896717248556999E-2</v>
      </c>
      <c r="M1406" s="1234">
        <v>1.2549439065916299E-2</v>
      </c>
      <c r="N1406" s="1235">
        <v>1.0814264895835516E-4</v>
      </c>
    </row>
    <row r="1407" spans="1:14" ht="15.5" x14ac:dyDescent="0.35">
      <c r="A1407" s="199">
        <v>2038</v>
      </c>
      <c r="B1407" s="110" t="s">
        <v>5850</v>
      </c>
      <c r="C1407" s="110">
        <v>2038</v>
      </c>
      <c r="D1407" s="110" t="str">
        <f t="shared" si="12"/>
        <v>2038_2038</v>
      </c>
      <c r="E1407" s="1231">
        <v>7.73071142516547E-3</v>
      </c>
      <c r="F1407" s="1232">
        <v>2.541050945989836E-2</v>
      </c>
      <c r="G1407" s="1232">
        <v>0.51042229623186197</v>
      </c>
      <c r="H1407" s="1232">
        <v>7.5620080327651204E-2</v>
      </c>
      <c r="I1407" s="1232">
        <v>1.1049232941511399E-2</v>
      </c>
      <c r="J1407" s="1232">
        <v>1.0346445557493316E-4</v>
      </c>
      <c r="K1407" s="1232">
        <v>3.0000008603779599E-3</v>
      </c>
      <c r="L1407" s="1233">
        <v>3.0894910791967801E-2</v>
      </c>
      <c r="M1407" s="1234">
        <v>1.15488302248815E-2</v>
      </c>
      <c r="N1407" s="1235">
        <v>1.0814265913930967E-4</v>
      </c>
    </row>
    <row r="1408" spans="1:14" ht="15.5" x14ac:dyDescent="0.35">
      <c r="A1408" s="199">
        <v>2038</v>
      </c>
      <c r="B1408" s="110" t="s">
        <v>5850</v>
      </c>
      <c r="C1408" s="110">
        <v>2039</v>
      </c>
      <c r="D1408" s="110" t="str">
        <f t="shared" si="12"/>
        <v>2038_2039</v>
      </c>
      <c r="E1408" s="1231">
        <v>7.3754118691617097E-3</v>
      </c>
      <c r="F1408" s="1232">
        <v>6.0985189851226682E-2</v>
      </c>
      <c r="G1408" s="1232">
        <v>0.350716036761551</v>
      </c>
      <c r="H1408" s="1232">
        <v>0.18148809501929913</v>
      </c>
      <c r="I1408" s="1232">
        <v>1.01378043781996E-2</v>
      </c>
      <c r="J1408" s="1232">
        <v>2.4831455961356926E-4</v>
      </c>
      <c r="K1408" s="1232">
        <v>3.0000008603799102E-3</v>
      </c>
      <c r="L1408" s="1233">
        <v>3.090524466225E-2</v>
      </c>
      <c r="M1408" s="1234">
        <v>1.05961909063411E-2</v>
      </c>
      <c r="N1408" s="1235">
        <v>2.5954224211975608E-4</v>
      </c>
    </row>
    <row r="1409" spans="1:14" ht="15.5" x14ac:dyDescent="0.35">
      <c r="A1409" s="199">
        <v>2039</v>
      </c>
      <c r="B1409" s="110" t="s">
        <v>5850</v>
      </c>
      <c r="C1409" s="110">
        <v>1971</v>
      </c>
      <c r="D1409" s="110" t="str">
        <f t="shared" si="12"/>
        <v>2039_1971</v>
      </c>
      <c r="E1409" s="1226">
        <v>0.124170800848315</v>
      </c>
      <c r="F1409" s="1227">
        <v>5.2949287255893797E-2</v>
      </c>
      <c r="G1409" s="1227">
        <v>5.1254376884869401</v>
      </c>
      <c r="H1409" s="1227">
        <v>0.71109366637298188</v>
      </c>
      <c r="I1409" s="1227">
        <v>5.7228612838351199E-2</v>
      </c>
      <c r="J1409" s="1227">
        <v>2.1631716245297197E-4</v>
      </c>
      <c r="K1409" s="1227">
        <v>3.0000008603782999E-3</v>
      </c>
      <c r="L1409" s="1228">
        <v>2.79630663865E-2</v>
      </c>
      <c r="M1409" s="1229">
        <v>5.9816236762693098E-2</v>
      </c>
      <c r="N1409" s="1230">
        <v>2.2609806464590215E-4</v>
      </c>
    </row>
    <row r="1410" spans="1:14" ht="15.5" x14ac:dyDescent="0.35">
      <c r="A1410" s="199">
        <v>2039</v>
      </c>
      <c r="B1410" s="110" t="s">
        <v>5850</v>
      </c>
      <c r="C1410" s="110">
        <v>1972</v>
      </c>
      <c r="D1410" s="110" t="str">
        <f t="shared" si="12"/>
        <v>2039_1972</v>
      </c>
      <c r="E1410" s="1226">
        <v>0.124170800848315</v>
      </c>
      <c r="F1410" s="1227">
        <v>5.2949287255893797E-2</v>
      </c>
      <c r="G1410" s="1227">
        <v>5.1254376884869401</v>
      </c>
      <c r="H1410" s="1227">
        <v>0.71109366637298188</v>
      </c>
      <c r="I1410" s="1227">
        <v>5.7228612838351199E-2</v>
      </c>
      <c r="J1410" s="1227">
        <v>2.1631716245297197E-4</v>
      </c>
      <c r="K1410" s="1227">
        <v>3.0000008603782999E-3</v>
      </c>
      <c r="L1410" s="1228">
        <v>2.79630663865E-2</v>
      </c>
      <c r="M1410" s="1229">
        <v>5.9816236762693098E-2</v>
      </c>
      <c r="N1410" s="1230">
        <v>2.2609806464590215E-4</v>
      </c>
    </row>
    <row r="1411" spans="1:14" ht="15.5" x14ac:dyDescent="0.35">
      <c r="A1411" s="199">
        <v>2039</v>
      </c>
      <c r="B1411" s="110" t="s">
        <v>5850</v>
      </c>
      <c r="C1411" s="110">
        <v>1973</v>
      </c>
      <c r="D1411" s="110" t="str">
        <f t="shared" si="12"/>
        <v>2039_1973</v>
      </c>
      <c r="E1411" s="1226">
        <v>0.124170800848315</v>
      </c>
      <c r="F1411" s="1227">
        <v>5.2949287255893797E-2</v>
      </c>
      <c r="G1411" s="1227">
        <v>5.1254376884869401</v>
      </c>
      <c r="H1411" s="1227">
        <v>0.71109366637298188</v>
      </c>
      <c r="I1411" s="1227">
        <v>5.7228612838351199E-2</v>
      </c>
      <c r="J1411" s="1227">
        <v>2.1631716245297197E-4</v>
      </c>
      <c r="K1411" s="1227">
        <v>3.0000008603782999E-3</v>
      </c>
      <c r="L1411" s="1228">
        <v>2.79630663865E-2</v>
      </c>
      <c r="M1411" s="1229">
        <v>5.9816236762693098E-2</v>
      </c>
      <c r="N1411" s="1230">
        <v>2.2609806464590215E-4</v>
      </c>
    </row>
    <row r="1412" spans="1:14" ht="15.5" x14ac:dyDescent="0.35">
      <c r="A1412" s="199">
        <v>2039</v>
      </c>
      <c r="B1412" s="110" t="s">
        <v>5850</v>
      </c>
      <c r="C1412" s="110">
        <v>1974</v>
      </c>
      <c r="D1412" s="110" t="str">
        <f t="shared" si="12"/>
        <v>2039_1974</v>
      </c>
      <c r="E1412" s="1226">
        <v>0.124170800848315</v>
      </c>
      <c r="F1412" s="1227">
        <v>5.2949287255893797E-2</v>
      </c>
      <c r="G1412" s="1227">
        <v>5.1254376884869401</v>
      </c>
      <c r="H1412" s="1227">
        <v>0.71109366637298188</v>
      </c>
      <c r="I1412" s="1227">
        <v>5.7228612838351199E-2</v>
      </c>
      <c r="J1412" s="1227">
        <v>2.1631716245297197E-4</v>
      </c>
      <c r="K1412" s="1227">
        <v>3.0000008603782999E-3</v>
      </c>
      <c r="L1412" s="1228">
        <v>2.79630663865E-2</v>
      </c>
      <c r="M1412" s="1229">
        <v>5.9816236762693098E-2</v>
      </c>
      <c r="N1412" s="1230">
        <v>2.2609806464590215E-4</v>
      </c>
    </row>
    <row r="1413" spans="1:14" ht="15.5" x14ac:dyDescent="0.35">
      <c r="A1413" s="199">
        <v>2039</v>
      </c>
      <c r="B1413" s="110" t="s">
        <v>5850</v>
      </c>
      <c r="C1413" s="110">
        <v>1975</v>
      </c>
      <c r="D1413" s="110" t="str">
        <f t="shared" si="12"/>
        <v>2039_1975</v>
      </c>
      <c r="E1413" s="1226">
        <v>0.124170800848315</v>
      </c>
      <c r="F1413" s="1227">
        <v>5.2949287255893797E-2</v>
      </c>
      <c r="G1413" s="1227">
        <v>5.1254376884869401</v>
      </c>
      <c r="H1413" s="1227">
        <v>0.71109366637298188</v>
      </c>
      <c r="I1413" s="1227">
        <v>5.7228612838351199E-2</v>
      </c>
      <c r="J1413" s="1227">
        <v>2.1631716245297197E-4</v>
      </c>
      <c r="K1413" s="1227">
        <v>3.0000008603782999E-3</v>
      </c>
      <c r="L1413" s="1228">
        <v>2.79630663865E-2</v>
      </c>
      <c r="M1413" s="1229">
        <v>5.9816236762693098E-2</v>
      </c>
      <c r="N1413" s="1230">
        <v>2.2609806464590215E-4</v>
      </c>
    </row>
    <row r="1414" spans="1:14" ht="15.5" x14ac:dyDescent="0.35">
      <c r="A1414" s="199">
        <v>2039</v>
      </c>
      <c r="B1414" s="110" t="s">
        <v>5850</v>
      </c>
      <c r="C1414" s="110">
        <v>1976</v>
      </c>
      <c r="D1414" s="110" t="str">
        <f t="shared" si="12"/>
        <v>2039_1976</v>
      </c>
      <c r="E1414" s="1226">
        <v>0.124170800848315</v>
      </c>
      <c r="F1414" s="1227">
        <v>5.2949287255893797E-2</v>
      </c>
      <c r="G1414" s="1227">
        <v>5.1254376884869401</v>
      </c>
      <c r="H1414" s="1227">
        <v>0.71109366637298188</v>
      </c>
      <c r="I1414" s="1227">
        <v>5.7228612838351199E-2</v>
      </c>
      <c r="J1414" s="1227">
        <v>2.1631716245297197E-4</v>
      </c>
      <c r="K1414" s="1227">
        <v>3.0000008603782999E-3</v>
      </c>
      <c r="L1414" s="1228">
        <v>2.79630663865E-2</v>
      </c>
      <c r="M1414" s="1229">
        <v>5.9816236762693098E-2</v>
      </c>
      <c r="N1414" s="1230">
        <v>2.2609806464590215E-4</v>
      </c>
    </row>
    <row r="1415" spans="1:14" ht="15.5" x14ac:dyDescent="0.35">
      <c r="A1415" s="199">
        <v>2039</v>
      </c>
      <c r="B1415" s="110" t="s">
        <v>5850</v>
      </c>
      <c r="C1415" s="110">
        <v>1977</v>
      </c>
      <c r="D1415" s="110" t="str">
        <f t="shared" si="12"/>
        <v>2039_1977</v>
      </c>
      <c r="E1415" s="1226">
        <v>0.124170800848315</v>
      </c>
      <c r="F1415" s="1227">
        <v>5.2949287255893797E-2</v>
      </c>
      <c r="G1415" s="1227">
        <v>5.1254376884869401</v>
      </c>
      <c r="H1415" s="1227">
        <v>0.71109366637298188</v>
      </c>
      <c r="I1415" s="1227">
        <v>5.7228612838351199E-2</v>
      </c>
      <c r="J1415" s="1227">
        <v>2.1631716245297197E-4</v>
      </c>
      <c r="K1415" s="1227">
        <v>3.0000008603782999E-3</v>
      </c>
      <c r="L1415" s="1228">
        <v>2.79630663865E-2</v>
      </c>
      <c r="M1415" s="1229">
        <v>5.9816236762693098E-2</v>
      </c>
      <c r="N1415" s="1230">
        <v>2.2609806464590215E-4</v>
      </c>
    </row>
    <row r="1416" spans="1:14" ht="15.5" x14ac:dyDescent="0.35">
      <c r="A1416" s="199">
        <v>2039</v>
      </c>
      <c r="B1416" s="110" t="s">
        <v>5850</v>
      </c>
      <c r="C1416" s="110">
        <v>1978</v>
      </c>
      <c r="D1416" s="110" t="str">
        <f t="shared" si="12"/>
        <v>2039_1978</v>
      </c>
      <c r="E1416" s="1226">
        <v>0.124170800848315</v>
      </c>
      <c r="F1416" s="1227">
        <v>5.2949287255893797E-2</v>
      </c>
      <c r="G1416" s="1227">
        <v>5.1254376884869401</v>
      </c>
      <c r="H1416" s="1227">
        <v>0.71109366637298188</v>
      </c>
      <c r="I1416" s="1227">
        <v>5.7228612838351199E-2</v>
      </c>
      <c r="J1416" s="1227">
        <v>2.1631716245297197E-4</v>
      </c>
      <c r="K1416" s="1227">
        <v>3.0000008603782999E-3</v>
      </c>
      <c r="L1416" s="1228">
        <v>2.79630663865E-2</v>
      </c>
      <c r="M1416" s="1229">
        <v>5.9816236762693098E-2</v>
      </c>
      <c r="N1416" s="1230">
        <v>2.2609806464590215E-4</v>
      </c>
    </row>
    <row r="1417" spans="1:14" ht="15.5" x14ac:dyDescent="0.35">
      <c r="A1417" s="199">
        <v>2039</v>
      </c>
      <c r="B1417" s="110" t="s">
        <v>5850</v>
      </c>
      <c r="C1417" s="110">
        <v>1979</v>
      </c>
      <c r="D1417" s="110" t="str">
        <f t="shared" si="12"/>
        <v>2039_1979</v>
      </c>
      <c r="E1417" s="1226">
        <v>0.124170800848315</v>
      </c>
      <c r="F1417" s="1227">
        <v>5.2949287255893797E-2</v>
      </c>
      <c r="G1417" s="1227">
        <v>5.1254376884869401</v>
      </c>
      <c r="H1417" s="1227">
        <v>0.71109366637298188</v>
      </c>
      <c r="I1417" s="1227">
        <v>5.7228612838351199E-2</v>
      </c>
      <c r="J1417" s="1227">
        <v>2.1631716245297197E-4</v>
      </c>
      <c r="K1417" s="1227">
        <v>3.0000008603782999E-3</v>
      </c>
      <c r="L1417" s="1228">
        <v>2.79630663865E-2</v>
      </c>
      <c r="M1417" s="1229">
        <v>5.9816236762693098E-2</v>
      </c>
      <c r="N1417" s="1230">
        <v>2.2609806464590215E-4</v>
      </c>
    </row>
    <row r="1418" spans="1:14" ht="15.5" x14ac:dyDescent="0.35">
      <c r="A1418" s="199">
        <v>2039</v>
      </c>
      <c r="B1418" s="110" t="s">
        <v>5850</v>
      </c>
      <c r="C1418" s="110">
        <v>1980</v>
      </c>
      <c r="D1418" s="110" t="str">
        <f t="shared" si="12"/>
        <v>2039_1980</v>
      </c>
      <c r="E1418" s="1226">
        <v>0.124170800848315</v>
      </c>
      <c r="F1418" s="1227">
        <v>5.2949287255893797E-2</v>
      </c>
      <c r="G1418" s="1227">
        <v>5.1254376884869401</v>
      </c>
      <c r="H1418" s="1227">
        <v>0.71109366637298188</v>
      </c>
      <c r="I1418" s="1227">
        <v>5.7228612838351199E-2</v>
      </c>
      <c r="J1418" s="1227">
        <v>2.1631716245297197E-4</v>
      </c>
      <c r="K1418" s="1227">
        <v>3.0000008603782999E-3</v>
      </c>
      <c r="L1418" s="1228">
        <v>2.79630663865E-2</v>
      </c>
      <c r="M1418" s="1229">
        <v>5.9816236762693098E-2</v>
      </c>
      <c r="N1418" s="1230">
        <v>2.2609806464590215E-4</v>
      </c>
    </row>
    <row r="1419" spans="1:14" ht="15.5" x14ac:dyDescent="0.35">
      <c r="A1419" s="199">
        <v>2039</v>
      </c>
      <c r="B1419" s="110" t="s">
        <v>5850</v>
      </c>
      <c r="C1419" s="110">
        <v>1981</v>
      </c>
      <c r="D1419" s="110" t="str">
        <f t="shared" si="12"/>
        <v>2039_1981</v>
      </c>
      <c r="E1419" s="1226">
        <v>0.124170800848315</v>
      </c>
      <c r="F1419" s="1227">
        <v>5.2949287255893797E-2</v>
      </c>
      <c r="G1419" s="1227">
        <v>5.1254376884869401</v>
      </c>
      <c r="H1419" s="1227">
        <v>0.71109366637298188</v>
      </c>
      <c r="I1419" s="1227">
        <v>5.7228612838351199E-2</v>
      </c>
      <c r="J1419" s="1227">
        <v>2.1631716245297197E-4</v>
      </c>
      <c r="K1419" s="1227">
        <v>3.0000008603782999E-3</v>
      </c>
      <c r="L1419" s="1228">
        <v>2.79630663865E-2</v>
      </c>
      <c r="M1419" s="1229">
        <v>5.9816236762693098E-2</v>
      </c>
      <c r="N1419" s="1230">
        <v>2.2609806464590215E-4</v>
      </c>
    </row>
    <row r="1420" spans="1:14" ht="15.5" x14ac:dyDescent="0.35">
      <c r="A1420" s="199">
        <v>2039</v>
      </c>
      <c r="B1420" s="110" t="s">
        <v>5850</v>
      </c>
      <c r="C1420" s="110">
        <v>1982</v>
      </c>
      <c r="D1420" s="110" t="str">
        <f t="shared" si="12"/>
        <v>2039_1982</v>
      </c>
      <c r="E1420" s="1226">
        <v>0.124170800848315</v>
      </c>
      <c r="F1420" s="1227">
        <v>5.2949287255893797E-2</v>
      </c>
      <c r="G1420" s="1227">
        <v>5.1254376884869401</v>
      </c>
      <c r="H1420" s="1227">
        <v>0.71109366637298188</v>
      </c>
      <c r="I1420" s="1227">
        <v>5.7228612838351199E-2</v>
      </c>
      <c r="J1420" s="1227">
        <v>2.1631716245297197E-4</v>
      </c>
      <c r="K1420" s="1227">
        <v>3.0000008603782999E-3</v>
      </c>
      <c r="L1420" s="1228">
        <v>2.79630663865E-2</v>
      </c>
      <c r="M1420" s="1229">
        <v>5.9816236762693098E-2</v>
      </c>
      <c r="N1420" s="1230">
        <v>2.2609806464590215E-4</v>
      </c>
    </row>
    <row r="1421" spans="1:14" ht="15.5" x14ac:dyDescent="0.35">
      <c r="A1421" s="199">
        <v>2039</v>
      </c>
      <c r="B1421" s="110" t="s">
        <v>5850</v>
      </c>
      <c r="C1421" s="110">
        <v>1983</v>
      </c>
      <c r="D1421" s="110" t="str">
        <f t="shared" si="12"/>
        <v>2039_1983</v>
      </c>
      <c r="E1421" s="1226">
        <v>0.124170800848315</v>
      </c>
      <c r="F1421" s="1227">
        <v>5.2949287255893797E-2</v>
      </c>
      <c r="G1421" s="1227">
        <v>5.1254376884869401</v>
      </c>
      <c r="H1421" s="1227">
        <v>0.71109366637298188</v>
      </c>
      <c r="I1421" s="1227">
        <v>5.7228612838351199E-2</v>
      </c>
      <c r="J1421" s="1227">
        <v>2.1631716245297197E-4</v>
      </c>
      <c r="K1421" s="1227">
        <v>3.0000008603782999E-3</v>
      </c>
      <c r="L1421" s="1228">
        <v>2.79630663865E-2</v>
      </c>
      <c r="M1421" s="1229">
        <v>5.9816236762693098E-2</v>
      </c>
      <c r="N1421" s="1230">
        <v>2.2609806464590215E-4</v>
      </c>
    </row>
    <row r="1422" spans="1:14" ht="15.5" x14ac:dyDescent="0.35">
      <c r="A1422" s="199">
        <v>2039</v>
      </c>
      <c r="B1422" s="110" t="s">
        <v>5850</v>
      </c>
      <c r="C1422" s="110">
        <v>1984</v>
      </c>
      <c r="D1422" s="110" t="str">
        <f t="shared" si="12"/>
        <v>2039_1984</v>
      </c>
      <c r="E1422" s="1226">
        <v>0.124170800848315</v>
      </c>
      <c r="F1422" s="1227">
        <v>5.2949287255893797E-2</v>
      </c>
      <c r="G1422" s="1227">
        <v>5.1254376884869401</v>
      </c>
      <c r="H1422" s="1227">
        <v>0.71109366637298188</v>
      </c>
      <c r="I1422" s="1227">
        <v>5.7228612838351199E-2</v>
      </c>
      <c r="J1422" s="1227">
        <v>2.1631716245297197E-4</v>
      </c>
      <c r="K1422" s="1227">
        <v>3.0000008603782999E-3</v>
      </c>
      <c r="L1422" s="1228">
        <v>2.79630663865E-2</v>
      </c>
      <c r="M1422" s="1229">
        <v>5.9816236762693098E-2</v>
      </c>
      <c r="N1422" s="1230">
        <v>2.2609806464590215E-4</v>
      </c>
    </row>
    <row r="1423" spans="1:14" ht="15.5" x14ac:dyDescent="0.35">
      <c r="A1423" s="199">
        <v>2039</v>
      </c>
      <c r="B1423" s="110" t="s">
        <v>5850</v>
      </c>
      <c r="C1423" s="110">
        <v>1985</v>
      </c>
      <c r="D1423" s="110" t="str">
        <f t="shared" si="12"/>
        <v>2039_1985</v>
      </c>
      <c r="E1423" s="1226">
        <v>0.124170800848315</v>
      </c>
      <c r="F1423" s="1227">
        <v>5.2949287255893797E-2</v>
      </c>
      <c r="G1423" s="1227">
        <v>5.1254376884869401</v>
      </c>
      <c r="H1423" s="1227">
        <v>0.71109366637298188</v>
      </c>
      <c r="I1423" s="1227">
        <v>5.7228612838351199E-2</v>
      </c>
      <c r="J1423" s="1227">
        <v>2.1631716245297197E-4</v>
      </c>
      <c r="K1423" s="1227">
        <v>3.0000008603782999E-3</v>
      </c>
      <c r="L1423" s="1228">
        <v>2.79630663865E-2</v>
      </c>
      <c r="M1423" s="1229">
        <v>5.9816236762693098E-2</v>
      </c>
      <c r="N1423" s="1230">
        <v>2.2609806464590215E-4</v>
      </c>
    </row>
    <row r="1424" spans="1:14" ht="15.5" x14ac:dyDescent="0.35">
      <c r="A1424" s="199">
        <v>2039</v>
      </c>
      <c r="B1424" s="110" t="s">
        <v>5850</v>
      </c>
      <c r="C1424" s="110">
        <v>1986</v>
      </c>
      <c r="D1424" s="110" t="str">
        <f t="shared" si="12"/>
        <v>2039_1986</v>
      </c>
      <c r="E1424" s="1226">
        <v>0.124170800848315</v>
      </c>
      <c r="F1424" s="1227">
        <v>5.2949287255893797E-2</v>
      </c>
      <c r="G1424" s="1227">
        <v>5.1254376884869401</v>
      </c>
      <c r="H1424" s="1227">
        <v>0.71109366637298188</v>
      </c>
      <c r="I1424" s="1227">
        <v>5.7228612838351199E-2</v>
      </c>
      <c r="J1424" s="1227">
        <v>2.1631716245297197E-4</v>
      </c>
      <c r="K1424" s="1227">
        <v>3.0000008603782999E-3</v>
      </c>
      <c r="L1424" s="1228">
        <v>2.79630663865E-2</v>
      </c>
      <c r="M1424" s="1229">
        <v>5.9816236762693098E-2</v>
      </c>
      <c r="N1424" s="1230">
        <v>2.2609806464590215E-4</v>
      </c>
    </row>
    <row r="1425" spans="1:14" ht="15.5" x14ac:dyDescent="0.35">
      <c r="A1425" s="199">
        <v>2039</v>
      </c>
      <c r="B1425" s="110" t="s">
        <v>5850</v>
      </c>
      <c r="C1425" s="110">
        <v>1987</v>
      </c>
      <c r="D1425" s="110" t="str">
        <f t="shared" si="12"/>
        <v>2039_1987</v>
      </c>
      <c r="E1425" s="1226">
        <v>0.124170800848315</v>
      </c>
      <c r="F1425" s="1227">
        <v>5.2949287255893797E-2</v>
      </c>
      <c r="G1425" s="1227">
        <v>5.1254376884869401</v>
      </c>
      <c r="H1425" s="1227">
        <v>0.71109366637298188</v>
      </c>
      <c r="I1425" s="1227">
        <v>5.7228612838351199E-2</v>
      </c>
      <c r="J1425" s="1227">
        <v>2.1631716245297197E-4</v>
      </c>
      <c r="K1425" s="1227">
        <v>3.0000008603782999E-3</v>
      </c>
      <c r="L1425" s="1228">
        <v>2.79630663865E-2</v>
      </c>
      <c r="M1425" s="1229">
        <v>5.9816236762693098E-2</v>
      </c>
      <c r="N1425" s="1230">
        <v>2.2609806464590215E-4</v>
      </c>
    </row>
    <row r="1426" spans="1:14" ht="15.5" x14ac:dyDescent="0.35">
      <c r="A1426" s="199">
        <v>2039</v>
      </c>
      <c r="B1426" s="110" t="s">
        <v>5850</v>
      </c>
      <c r="C1426" s="110">
        <v>1988</v>
      </c>
      <c r="D1426" s="110" t="str">
        <f t="shared" si="12"/>
        <v>2039_1988</v>
      </c>
      <c r="E1426" s="1226">
        <v>0.124170800848315</v>
      </c>
      <c r="F1426" s="1227">
        <v>5.2949287255893797E-2</v>
      </c>
      <c r="G1426" s="1227">
        <v>5.1254376884869401</v>
      </c>
      <c r="H1426" s="1227">
        <v>0.71109366637298188</v>
      </c>
      <c r="I1426" s="1227">
        <v>5.7228612838351199E-2</v>
      </c>
      <c r="J1426" s="1227">
        <v>2.1631716245297197E-4</v>
      </c>
      <c r="K1426" s="1227">
        <v>3.0000008603782999E-3</v>
      </c>
      <c r="L1426" s="1228">
        <v>2.79630663865E-2</v>
      </c>
      <c r="M1426" s="1229">
        <v>5.9816236762693098E-2</v>
      </c>
      <c r="N1426" s="1230">
        <v>2.2609806464590215E-4</v>
      </c>
    </row>
    <row r="1427" spans="1:14" ht="15.5" x14ac:dyDescent="0.35">
      <c r="A1427" s="199">
        <v>2039</v>
      </c>
      <c r="B1427" s="110" t="s">
        <v>5850</v>
      </c>
      <c r="C1427" s="110">
        <v>1989</v>
      </c>
      <c r="D1427" s="110" t="str">
        <f t="shared" si="12"/>
        <v>2039_1989</v>
      </c>
      <c r="E1427" s="1226">
        <v>0.124170800848315</v>
      </c>
      <c r="F1427" s="1227">
        <v>5.2949287255893797E-2</v>
      </c>
      <c r="G1427" s="1227">
        <v>5.1254376884869401</v>
      </c>
      <c r="H1427" s="1227">
        <v>0.71109366637298188</v>
      </c>
      <c r="I1427" s="1227">
        <v>5.7228612838351199E-2</v>
      </c>
      <c r="J1427" s="1227">
        <v>2.1631716245297197E-4</v>
      </c>
      <c r="K1427" s="1227">
        <v>3.0000008603782999E-3</v>
      </c>
      <c r="L1427" s="1228">
        <v>2.79630663865E-2</v>
      </c>
      <c r="M1427" s="1229">
        <v>5.9816236762693098E-2</v>
      </c>
      <c r="N1427" s="1230">
        <v>2.2609806464590215E-4</v>
      </c>
    </row>
    <row r="1428" spans="1:14" ht="15.5" x14ac:dyDescent="0.35">
      <c r="A1428" s="199">
        <v>2039</v>
      </c>
      <c r="B1428" s="110" t="s">
        <v>5850</v>
      </c>
      <c r="C1428" s="110">
        <v>1990</v>
      </c>
      <c r="D1428" s="110" t="str">
        <f t="shared" si="12"/>
        <v>2039_1990</v>
      </c>
      <c r="E1428" s="1226">
        <v>0.124170800848315</v>
      </c>
      <c r="F1428" s="1227">
        <v>5.2949287255893797E-2</v>
      </c>
      <c r="G1428" s="1227">
        <v>5.1254376884869401</v>
      </c>
      <c r="H1428" s="1227">
        <v>0.71109366637298188</v>
      </c>
      <c r="I1428" s="1227">
        <v>5.7228612838351199E-2</v>
      </c>
      <c r="J1428" s="1227">
        <v>2.1631716245297197E-4</v>
      </c>
      <c r="K1428" s="1227">
        <v>3.0000008603782999E-3</v>
      </c>
      <c r="L1428" s="1228">
        <v>2.79630663865E-2</v>
      </c>
      <c r="M1428" s="1229">
        <v>5.9816236762693098E-2</v>
      </c>
      <c r="N1428" s="1230">
        <v>2.2609806464590215E-4</v>
      </c>
    </row>
    <row r="1429" spans="1:14" ht="15.5" x14ac:dyDescent="0.35">
      <c r="A1429" s="199">
        <v>2039</v>
      </c>
      <c r="B1429" s="110" t="s">
        <v>5850</v>
      </c>
      <c r="C1429" s="110">
        <v>1991</v>
      </c>
      <c r="D1429" s="110" t="str">
        <f t="shared" si="12"/>
        <v>2039_1991</v>
      </c>
      <c r="E1429" s="1226">
        <v>0.124170800848315</v>
      </c>
      <c r="F1429" s="1227">
        <v>5.2949287255893797E-2</v>
      </c>
      <c r="G1429" s="1227">
        <v>5.1254376884869401</v>
      </c>
      <c r="H1429" s="1227">
        <v>0.71109366637298188</v>
      </c>
      <c r="I1429" s="1227">
        <v>5.7228612838351199E-2</v>
      </c>
      <c r="J1429" s="1227">
        <v>2.1631716245297197E-4</v>
      </c>
      <c r="K1429" s="1227">
        <v>3.0000008603782999E-3</v>
      </c>
      <c r="L1429" s="1228">
        <v>2.79630663865E-2</v>
      </c>
      <c r="M1429" s="1229">
        <v>5.9816236762693098E-2</v>
      </c>
      <c r="N1429" s="1230">
        <v>2.2609806464590215E-4</v>
      </c>
    </row>
    <row r="1430" spans="1:14" ht="15.5" x14ac:dyDescent="0.35">
      <c r="A1430" s="199">
        <v>2039</v>
      </c>
      <c r="B1430" s="110" t="s">
        <v>5850</v>
      </c>
      <c r="C1430" s="110">
        <v>1992</v>
      </c>
      <c r="D1430" s="110" t="str">
        <f t="shared" si="12"/>
        <v>2039_1992</v>
      </c>
      <c r="E1430" s="1226">
        <v>0.124170800848315</v>
      </c>
      <c r="F1430" s="1227">
        <v>5.2949287255893797E-2</v>
      </c>
      <c r="G1430" s="1227">
        <v>5.1254376884869401</v>
      </c>
      <c r="H1430" s="1227">
        <v>0.71109366637298188</v>
      </c>
      <c r="I1430" s="1227">
        <v>5.7228612838351199E-2</v>
      </c>
      <c r="J1430" s="1227">
        <v>2.1631716245297197E-4</v>
      </c>
      <c r="K1430" s="1227">
        <v>3.0000008603782999E-3</v>
      </c>
      <c r="L1430" s="1228">
        <v>2.79630663865E-2</v>
      </c>
      <c r="M1430" s="1229">
        <v>5.9816236762693098E-2</v>
      </c>
      <c r="N1430" s="1230">
        <v>2.2609806464590215E-4</v>
      </c>
    </row>
    <row r="1431" spans="1:14" ht="15.5" x14ac:dyDescent="0.35">
      <c r="A1431" s="199">
        <v>2039</v>
      </c>
      <c r="B1431" s="110" t="s">
        <v>5850</v>
      </c>
      <c r="C1431" s="110">
        <v>1993</v>
      </c>
      <c r="D1431" s="110" t="str">
        <f t="shared" si="12"/>
        <v>2039_1993</v>
      </c>
      <c r="E1431" s="1226">
        <v>0.124170800848315</v>
      </c>
      <c r="F1431" s="1227">
        <v>5.2949287255893797E-2</v>
      </c>
      <c r="G1431" s="1227">
        <v>5.1254376884869401</v>
      </c>
      <c r="H1431" s="1227">
        <v>0.71109366637298188</v>
      </c>
      <c r="I1431" s="1227">
        <v>5.7228612838351199E-2</v>
      </c>
      <c r="J1431" s="1227">
        <v>2.1631716245297197E-4</v>
      </c>
      <c r="K1431" s="1227">
        <v>3.0000008603782999E-3</v>
      </c>
      <c r="L1431" s="1228">
        <v>2.79630663865E-2</v>
      </c>
      <c r="M1431" s="1229">
        <v>5.9816236762693098E-2</v>
      </c>
      <c r="N1431" s="1230">
        <v>2.2609806464590215E-4</v>
      </c>
    </row>
    <row r="1432" spans="1:14" ht="15.5" x14ac:dyDescent="0.35">
      <c r="A1432" s="199">
        <v>2039</v>
      </c>
      <c r="B1432" s="110" t="s">
        <v>5850</v>
      </c>
      <c r="C1432" s="110">
        <v>1994</v>
      </c>
      <c r="D1432" s="110" t="str">
        <f t="shared" si="12"/>
        <v>2039_1994</v>
      </c>
      <c r="E1432" s="1226">
        <v>0.124170800848315</v>
      </c>
      <c r="F1432" s="1227">
        <v>5.2949287255893797E-2</v>
      </c>
      <c r="G1432" s="1227">
        <v>5.1254376884869401</v>
      </c>
      <c r="H1432" s="1227">
        <v>0.71109366637298188</v>
      </c>
      <c r="I1432" s="1227">
        <v>5.7228612838351199E-2</v>
      </c>
      <c r="J1432" s="1227">
        <v>2.1631716245297197E-4</v>
      </c>
      <c r="K1432" s="1227">
        <v>3.0000008603782999E-3</v>
      </c>
      <c r="L1432" s="1228">
        <v>2.79630663865E-2</v>
      </c>
      <c r="M1432" s="1229">
        <v>5.9816236762693098E-2</v>
      </c>
      <c r="N1432" s="1230">
        <v>2.2609806464590215E-4</v>
      </c>
    </row>
    <row r="1433" spans="1:14" ht="15.5" x14ac:dyDescent="0.35">
      <c r="A1433" s="199">
        <v>2039</v>
      </c>
      <c r="B1433" s="110" t="s">
        <v>5850</v>
      </c>
      <c r="C1433" s="110">
        <v>1995</v>
      </c>
      <c r="D1433" s="110" t="str">
        <f t="shared" si="12"/>
        <v>2039_1995</v>
      </c>
      <c r="E1433" s="1226">
        <v>0.124170800848315</v>
      </c>
      <c r="F1433" s="1227">
        <v>5.2949287255893797E-2</v>
      </c>
      <c r="G1433" s="1227">
        <v>5.1254376884869401</v>
      </c>
      <c r="H1433" s="1227">
        <v>0.71109366637298188</v>
      </c>
      <c r="I1433" s="1227">
        <v>5.7228612838351199E-2</v>
      </c>
      <c r="J1433" s="1227">
        <v>2.1631716245297197E-4</v>
      </c>
      <c r="K1433" s="1227">
        <v>3.0000008603782999E-3</v>
      </c>
      <c r="L1433" s="1228">
        <v>2.79630663865E-2</v>
      </c>
      <c r="M1433" s="1229">
        <v>5.9816236762693098E-2</v>
      </c>
      <c r="N1433" s="1230">
        <v>2.2609806464590215E-4</v>
      </c>
    </row>
    <row r="1434" spans="1:14" ht="15.5" x14ac:dyDescent="0.35">
      <c r="A1434" s="199">
        <v>2039</v>
      </c>
      <c r="B1434" s="110" t="s">
        <v>5850</v>
      </c>
      <c r="C1434" s="110">
        <v>1996</v>
      </c>
      <c r="D1434" s="110" t="str">
        <f t="shared" si="12"/>
        <v>2039_1996</v>
      </c>
      <c r="E1434" s="1226">
        <v>0.124170800848315</v>
      </c>
      <c r="F1434" s="1227">
        <v>5.2949287255893797E-2</v>
      </c>
      <c r="G1434" s="1227">
        <v>5.1254376884869401</v>
      </c>
      <c r="H1434" s="1227">
        <v>0.71109366637298188</v>
      </c>
      <c r="I1434" s="1227">
        <v>5.7228612838351199E-2</v>
      </c>
      <c r="J1434" s="1227">
        <v>2.1631716245297197E-4</v>
      </c>
      <c r="K1434" s="1227">
        <v>3.0000008603782999E-3</v>
      </c>
      <c r="L1434" s="1228">
        <v>2.79630663865E-2</v>
      </c>
      <c r="M1434" s="1229">
        <v>5.9816236762693098E-2</v>
      </c>
      <c r="N1434" s="1230">
        <v>2.2609806464590215E-4</v>
      </c>
    </row>
    <row r="1435" spans="1:14" ht="15.5" x14ac:dyDescent="0.35">
      <c r="A1435" s="199">
        <v>2039</v>
      </c>
      <c r="B1435" s="110" t="s">
        <v>5850</v>
      </c>
      <c r="C1435" s="110">
        <v>1997</v>
      </c>
      <c r="D1435" s="110" t="str">
        <f t="shared" si="12"/>
        <v>2039_1997</v>
      </c>
      <c r="E1435" s="1226">
        <v>0.124170800848315</v>
      </c>
      <c r="F1435" s="1227">
        <v>5.2949287255893797E-2</v>
      </c>
      <c r="G1435" s="1227">
        <v>5.1254376884869401</v>
      </c>
      <c r="H1435" s="1227">
        <v>0.71109366637298188</v>
      </c>
      <c r="I1435" s="1227">
        <v>5.7228612838351199E-2</v>
      </c>
      <c r="J1435" s="1227">
        <v>2.1631716245297197E-4</v>
      </c>
      <c r="K1435" s="1227">
        <v>3.0000008603782999E-3</v>
      </c>
      <c r="L1435" s="1228">
        <v>2.79630663865E-2</v>
      </c>
      <c r="M1435" s="1229">
        <v>5.9816236762693098E-2</v>
      </c>
      <c r="N1435" s="1230">
        <v>2.2609806464590215E-4</v>
      </c>
    </row>
    <row r="1436" spans="1:14" ht="15.5" x14ac:dyDescent="0.35">
      <c r="A1436" s="199">
        <v>2039</v>
      </c>
      <c r="B1436" s="110" t="s">
        <v>5850</v>
      </c>
      <c r="C1436" s="110">
        <v>1998</v>
      </c>
      <c r="D1436" s="110" t="str">
        <f t="shared" si="12"/>
        <v>2039_1998</v>
      </c>
      <c r="E1436" s="1226">
        <v>0.124170800848315</v>
      </c>
      <c r="F1436" s="1227">
        <v>5.2949287255893797E-2</v>
      </c>
      <c r="G1436" s="1227">
        <v>5.1254376884869401</v>
      </c>
      <c r="H1436" s="1227">
        <v>0.71109366637298188</v>
      </c>
      <c r="I1436" s="1227">
        <v>5.7228612838351199E-2</v>
      </c>
      <c r="J1436" s="1227">
        <v>2.1631716245297197E-4</v>
      </c>
      <c r="K1436" s="1227">
        <v>3.0000008603782999E-3</v>
      </c>
      <c r="L1436" s="1228">
        <v>2.79630663865E-2</v>
      </c>
      <c r="M1436" s="1229">
        <v>5.9816236762693098E-2</v>
      </c>
      <c r="N1436" s="1230">
        <v>2.2609806464590215E-4</v>
      </c>
    </row>
    <row r="1437" spans="1:14" ht="15.5" x14ac:dyDescent="0.35">
      <c r="A1437" s="199">
        <v>2039</v>
      </c>
      <c r="B1437" s="110" t="s">
        <v>5850</v>
      </c>
      <c r="C1437" s="110">
        <v>1999</v>
      </c>
      <c r="D1437" s="110" t="str">
        <f t="shared" si="12"/>
        <v>2039_1999</v>
      </c>
      <c r="E1437" s="1226">
        <v>0.124170800848315</v>
      </c>
      <c r="F1437" s="1227">
        <v>5.2949287255893797E-2</v>
      </c>
      <c r="G1437" s="1227">
        <v>5.1254376884869401</v>
      </c>
      <c r="H1437" s="1227">
        <v>0.71109366637298188</v>
      </c>
      <c r="I1437" s="1227">
        <v>5.7228612838351199E-2</v>
      </c>
      <c r="J1437" s="1227">
        <v>2.1631716245297197E-4</v>
      </c>
      <c r="K1437" s="1227">
        <v>3.0000008603782999E-3</v>
      </c>
      <c r="L1437" s="1228">
        <v>2.79630663865E-2</v>
      </c>
      <c r="M1437" s="1229">
        <v>5.9816236762693098E-2</v>
      </c>
      <c r="N1437" s="1230">
        <v>2.2609806464590215E-4</v>
      </c>
    </row>
    <row r="1438" spans="1:14" ht="15.5" x14ac:dyDescent="0.35">
      <c r="A1438" s="199">
        <v>2039</v>
      </c>
      <c r="B1438" s="110" t="s">
        <v>5850</v>
      </c>
      <c r="C1438" s="110">
        <v>2000</v>
      </c>
      <c r="D1438" s="110" t="str">
        <f t="shared" si="12"/>
        <v>2039_2000</v>
      </c>
      <c r="E1438" s="1226">
        <v>0.124170800848315</v>
      </c>
      <c r="F1438" s="1227">
        <v>5.2949287255893797E-2</v>
      </c>
      <c r="G1438" s="1227">
        <v>5.1254376884869401</v>
      </c>
      <c r="H1438" s="1227">
        <v>0.71109366637298188</v>
      </c>
      <c r="I1438" s="1227">
        <v>5.7228612838351199E-2</v>
      </c>
      <c r="J1438" s="1227">
        <v>2.1631716245297197E-4</v>
      </c>
      <c r="K1438" s="1227">
        <v>3.0000008603782999E-3</v>
      </c>
      <c r="L1438" s="1228">
        <v>2.79630663865E-2</v>
      </c>
      <c r="M1438" s="1229">
        <v>5.9816236762693098E-2</v>
      </c>
      <c r="N1438" s="1230">
        <v>2.2609806464590215E-4</v>
      </c>
    </row>
    <row r="1439" spans="1:14" ht="15.5" x14ac:dyDescent="0.35">
      <c r="A1439" s="199">
        <v>2039</v>
      </c>
      <c r="B1439" s="110" t="s">
        <v>5850</v>
      </c>
      <c r="C1439" s="110">
        <v>2001</v>
      </c>
      <c r="D1439" s="110" t="str">
        <f t="shared" si="12"/>
        <v>2039_2001</v>
      </c>
      <c r="E1439" s="1226">
        <v>0.124170800848315</v>
      </c>
      <c r="F1439" s="1227">
        <v>5.2949287255893797E-2</v>
      </c>
      <c r="G1439" s="1227">
        <v>5.1254376884869401</v>
      </c>
      <c r="H1439" s="1227">
        <v>0.71109366637298188</v>
      </c>
      <c r="I1439" s="1227">
        <v>5.7228612838351199E-2</v>
      </c>
      <c r="J1439" s="1227">
        <v>2.1631716245297197E-4</v>
      </c>
      <c r="K1439" s="1227">
        <v>3.0000008603782999E-3</v>
      </c>
      <c r="L1439" s="1228">
        <v>2.79630663865E-2</v>
      </c>
      <c r="M1439" s="1229">
        <v>5.9816236762693098E-2</v>
      </c>
      <c r="N1439" s="1230">
        <v>2.2609806464590215E-4</v>
      </c>
    </row>
    <row r="1440" spans="1:14" ht="15.5" x14ac:dyDescent="0.35">
      <c r="A1440" s="199">
        <v>2039</v>
      </c>
      <c r="B1440" s="110" t="s">
        <v>5850</v>
      </c>
      <c r="C1440" s="110">
        <v>2002</v>
      </c>
      <c r="D1440" s="110" t="str">
        <f t="shared" si="12"/>
        <v>2039_2002</v>
      </c>
      <c r="E1440" s="1226">
        <v>0.124170800848315</v>
      </c>
      <c r="F1440" s="1227">
        <v>5.2949287255893797E-2</v>
      </c>
      <c r="G1440" s="1227">
        <v>5.1254376884869401</v>
      </c>
      <c r="H1440" s="1227">
        <v>0.71109366637298188</v>
      </c>
      <c r="I1440" s="1227">
        <v>5.7228612838351199E-2</v>
      </c>
      <c r="J1440" s="1227">
        <v>2.1631716245297197E-4</v>
      </c>
      <c r="K1440" s="1227">
        <v>3.0000008603782999E-3</v>
      </c>
      <c r="L1440" s="1228">
        <v>2.79630663865E-2</v>
      </c>
      <c r="M1440" s="1229">
        <v>5.9816236762693098E-2</v>
      </c>
      <c r="N1440" s="1230">
        <v>2.2609806464590215E-4</v>
      </c>
    </row>
    <row r="1441" spans="1:14" ht="15.5" x14ac:dyDescent="0.35">
      <c r="A1441" s="199">
        <v>2039</v>
      </c>
      <c r="B1441" s="110" t="s">
        <v>5850</v>
      </c>
      <c r="C1441" s="110">
        <v>2003</v>
      </c>
      <c r="D1441" s="110" t="str">
        <f t="shared" si="12"/>
        <v>2039_2003</v>
      </c>
      <c r="E1441" s="1226">
        <v>0.124170800848315</v>
      </c>
      <c r="F1441" s="1227">
        <v>5.2949287255893797E-2</v>
      </c>
      <c r="G1441" s="1227">
        <v>5.1254376884869401</v>
      </c>
      <c r="H1441" s="1227">
        <v>0.71109366637298188</v>
      </c>
      <c r="I1441" s="1227">
        <v>5.7228612838351199E-2</v>
      </c>
      <c r="J1441" s="1227">
        <v>2.1631716245297197E-4</v>
      </c>
      <c r="K1441" s="1227">
        <v>3.0000008603782999E-3</v>
      </c>
      <c r="L1441" s="1228">
        <v>2.79630663865E-2</v>
      </c>
      <c r="M1441" s="1229">
        <v>5.9816236762693098E-2</v>
      </c>
      <c r="N1441" s="1230">
        <v>2.2609806464590215E-4</v>
      </c>
    </row>
    <row r="1442" spans="1:14" ht="15.5" x14ac:dyDescent="0.35">
      <c r="A1442" s="199">
        <v>2039</v>
      </c>
      <c r="B1442" s="110" t="s">
        <v>5850</v>
      </c>
      <c r="C1442" s="110">
        <v>2004</v>
      </c>
      <c r="D1442" s="110" t="str">
        <f t="shared" si="12"/>
        <v>2039_2004</v>
      </c>
      <c r="E1442" s="1226">
        <v>0.124170800848315</v>
      </c>
      <c r="F1442" s="1227">
        <v>5.2949287255893797E-2</v>
      </c>
      <c r="G1442" s="1227">
        <v>5.1254376884869401</v>
      </c>
      <c r="H1442" s="1227">
        <v>0.71109366637298188</v>
      </c>
      <c r="I1442" s="1227">
        <v>5.7228612838351199E-2</v>
      </c>
      <c r="J1442" s="1227">
        <v>2.1631716245297197E-4</v>
      </c>
      <c r="K1442" s="1227">
        <v>3.0000008603782999E-3</v>
      </c>
      <c r="L1442" s="1228">
        <v>2.79630663865E-2</v>
      </c>
      <c r="M1442" s="1229">
        <v>5.9816236762693098E-2</v>
      </c>
      <c r="N1442" s="1230">
        <v>2.2609806464590215E-4</v>
      </c>
    </row>
    <row r="1443" spans="1:14" ht="15.5" x14ac:dyDescent="0.35">
      <c r="A1443" s="199">
        <v>2039</v>
      </c>
      <c r="B1443" s="110" t="s">
        <v>5850</v>
      </c>
      <c r="C1443" s="110">
        <v>2005</v>
      </c>
      <c r="D1443" s="110" t="str">
        <f t="shared" si="12"/>
        <v>2039_2005</v>
      </c>
      <c r="E1443" s="1226">
        <v>0.124170800848315</v>
      </c>
      <c r="F1443" s="1227">
        <v>5.2949287255893797E-2</v>
      </c>
      <c r="G1443" s="1227">
        <v>5.1254376884869401</v>
      </c>
      <c r="H1443" s="1227">
        <v>0.71109366637298188</v>
      </c>
      <c r="I1443" s="1227">
        <v>5.7228612838351199E-2</v>
      </c>
      <c r="J1443" s="1227">
        <v>2.1631716245297197E-4</v>
      </c>
      <c r="K1443" s="1227">
        <v>3.0000008603782999E-3</v>
      </c>
      <c r="L1443" s="1228">
        <v>2.79630663865E-2</v>
      </c>
      <c r="M1443" s="1229">
        <v>5.9816236762693098E-2</v>
      </c>
      <c r="N1443" s="1230">
        <v>2.2609806464590215E-4</v>
      </c>
    </row>
    <row r="1444" spans="1:14" ht="15.5" x14ac:dyDescent="0.35">
      <c r="A1444" s="199">
        <v>2039</v>
      </c>
      <c r="B1444" s="110" t="s">
        <v>5850</v>
      </c>
      <c r="C1444" s="110">
        <v>2006</v>
      </c>
      <c r="D1444" s="110" t="str">
        <f t="shared" si="12"/>
        <v>2039_2006</v>
      </c>
      <c r="E1444" s="1226">
        <v>0.124170800848315</v>
      </c>
      <c r="F1444" s="1227">
        <v>5.2949287255893797E-2</v>
      </c>
      <c r="G1444" s="1227">
        <v>5.1254376884869401</v>
      </c>
      <c r="H1444" s="1227">
        <v>0.71109366637298188</v>
      </c>
      <c r="I1444" s="1227">
        <v>5.7228612838351199E-2</v>
      </c>
      <c r="J1444" s="1227">
        <v>2.1631716245297197E-4</v>
      </c>
      <c r="K1444" s="1227">
        <v>3.0000008603782999E-3</v>
      </c>
      <c r="L1444" s="1228">
        <v>2.79630663865E-2</v>
      </c>
      <c r="M1444" s="1229">
        <v>5.9816236762693098E-2</v>
      </c>
      <c r="N1444" s="1230">
        <v>2.2609806464590215E-4</v>
      </c>
    </row>
    <row r="1445" spans="1:14" ht="15.5" x14ac:dyDescent="0.35">
      <c r="A1445" s="199">
        <v>2039</v>
      </c>
      <c r="B1445" s="110" t="s">
        <v>5850</v>
      </c>
      <c r="C1445" s="110">
        <v>2007</v>
      </c>
      <c r="D1445" s="110" t="str">
        <f t="shared" si="12"/>
        <v>2039_2007</v>
      </c>
      <c r="E1445" s="1226">
        <v>0.124170800848315</v>
      </c>
      <c r="F1445" s="1227">
        <v>5.2949287255893797E-2</v>
      </c>
      <c r="G1445" s="1227">
        <v>5.1254376884869401</v>
      </c>
      <c r="H1445" s="1227">
        <v>0.71109366637298188</v>
      </c>
      <c r="I1445" s="1227">
        <v>5.7228612838351199E-2</v>
      </c>
      <c r="J1445" s="1227">
        <v>2.1631716245297197E-4</v>
      </c>
      <c r="K1445" s="1227">
        <v>3.0000008603782999E-3</v>
      </c>
      <c r="L1445" s="1228">
        <v>2.79630663865E-2</v>
      </c>
      <c r="M1445" s="1229">
        <v>5.9816236762693098E-2</v>
      </c>
      <c r="N1445" s="1230">
        <v>2.2609806464590215E-4</v>
      </c>
    </row>
    <row r="1446" spans="1:14" ht="15.5" x14ac:dyDescent="0.35">
      <c r="A1446" s="199">
        <v>2039</v>
      </c>
      <c r="B1446" s="110" t="s">
        <v>5850</v>
      </c>
      <c r="C1446" s="110">
        <v>2008</v>
      </c>
      <c r="D1446" s="110" t="str">
        <f t="shared" si="12"/>
        <v>2039_2008</v>
      </c>
      <c r="E1446" s="1226">
        <v>0.124170800848315</v>
      </c>
      <c r="F1446" s="1227">
        <v>5.2949287255893797E-2</v>
      </c>
      <c r="G1446" s="1227">
        <v>5.1254376884869401</v>
      </c>
      <c r="H1446" s="1227">
        <v>0.71109366637298188</v>
      </c>
      <c r="I1446" s="1227">
        <v>5.7228612838351199E-2</v>
      </c>
      <c r="J1446" s="1227">
        <v>2.1631716245297197E-4</v>
      </c>
      <c r="K1446" s="1227">
        <v>3.0000008603782999E-3</v>
      </c>
      <c r="L1446" s="1228">
        <v>2.79630663865E-2</v>
      </c>
      <c r="M1446" s="1229">
        <v>5.9816236762693098E-2</v>
      </c>
      <c r="N1446" s="1230">
        <v>2.2609806464590215E-4</v>
      </c>
    </row>
    <row r="1447" spans="1:14" ht="15.5" x14ac:dyDescent="0.35">
      <c r="A1447" s="199">
        <v>2039</v>
      </c>
      <c r="B1447" s="110" t="s">
        <v>5850</v>
      </c>
      <c r="C1447" s="110">
        <v>2009</v>
      </c>
      <c r="D1447" s="110" t="str">
        <f t="shared" si="12"/>
        <v>2039_2009</v>
      </c>
      <c r="E1447" s="1226">
        <v>0.124170800848315</v>
      </c>
      <c r="F1447" s="1227">
        <v>5.2949287255893797E-2</v>
      </c>
      <c r="G1447" s="1227">
        <v>5.1254376884869401</v>
      </c>
      <c r="H1447" s="1227">
        <v>0.71109366637298188</v>
      </c>
      <c r="I1447" s="1227">
        <v>5.7228612838351199E-2</v>
      </c>
      <c r="J1447" s="1227">
        <v>2.1631716245297197E-4</v>
      </c>
      <c r="K1447" s="1227">
        <v>3.0000008603782999E-3</v>
      </c>
      <c r="L1447" s="1228">
        <v>2.79630663865E-2</v>
      </c>
      <c r="M1447" s="1229">
        <v>5.9816236762693098E-2</v>
      </c>
      <c r="N1447" s="1230">
        <v>2.2609806464590215E-4</v>
      </c>
    </row>
    <row r="1448" spans="1:14" ht="15.5" x14ac:dyDescent="0.35">
      <c r="A1448" s="199">
        <v>2039</v>
      </c>
      <c r="B1448" s="110" t="s">
        <v>5850</v>
      </c>
      <c r="C1448" s="110">
        <v>2010</v>
      </c>
      <c r="D1448" s="110" t="str">
        <f t="shared" si="12"/>
        <v>2039_2010</v>
      </c>
      <c r="E1448" s="1226">
        <v>0.124170800848315</v>
      </c>
      <c r="F1448" s="1227">
        <v>5.2949287255893797E-2</v>
      </c>
      <c r="G1448" s="1227">
        <v>5.1254376884869401</v>
      </c>
      <c r="H1448" s="1227">
        <v>0.71109366637298188</v>
      </c>
      <c r="I1448" s="1227">
        <v>5.7228612838351199E-2</v>
      </c>
      <c r="J1448" s="1227">
        <v>2.1631716245297197E-4</v>
      </c>
      <c r="K1448" s="1227">
        <v>3.0000008603782999E-3</v>
      </c>
      <c r="L1448" s="1228">
        <v>2.79630663865E-2</v>
      </c>
      <c r="M1448" s="1229">
        <v>5.9816236762693098E-2</v>
      </c>
      <c r="N1448" s="1230">
        <v>2.2609806464590215E-4</v>
      </c>
    </row>
    <row r="1449" spans="1:14" ht="15.5" x14ac:dyDescent="0.35">
      <c r="A1449" s="199">
        <v>2039</v>
      </c>
      <c r="B1449" s="110" t="s">
        <v>5850</v>
      </c>
      <c r="C1449" s="110">
        <v>2011</v>
      </c>
      <c r="D1449" s="110" t="str">
        <f t="shared" si="12"/>
        <v>2039_2011</v>
      </c>
      <c r="E1449" s="1231">
        <v>0.124170800848315</v>
      </c>
      <c r="F1449" s="1232">
        <v>5.2949287255893797E-2</v>
      </c>
      <c r="G1449" s="1232">
        <v>5.1254376884869401</v>
      </c>
      <c r="H1449" s="1232">
        <v>0.71109366637298188</v>
      </c>
      <c r="I1449" s="1232">
        <v>5.7228612838351199E-2</v>
      </c>
      <c r="J1449" s="1232">
        <v>2.1631716245297197E-4</v>
      </c>
      <c r="K1449" s="1232">
        <v>3.0000008603782999E-3</v>
      </c>
      <c r="L1449" s="1233">
        <v>2.79630663865E-2</v>
      </c>
      <c r="M1449" s="1234">
        <v>5.9816236762693098E-2</v>
      </c>
      <c r="N1449" s="1235">
        <v>2.2609806464590215E-4</v>
      </c>
    </row>
    <row r="1450" spans="1:14" ht="15.5" x14ac:dyDescent="0.35">
      <c r="A1450" s="199">
        <v>2039</v>
      </c>
      <c r="B1450" s="110" t="s">
        <v>5850</v>
      </c>
      <c r="C1450" s="110">
        <v>2012</v>
      </c>
      <c r="D1450" s="110" t="str">
        <f t="shared" si="12"/>
        <v>2039_2012</v>
      </c>
      <c r="E1450" s="1231">
        <v>2.5042911828653199E-2</v>
      </c>
      <c r="F1450" s="1232">
        <v>5.312674069858337E-2</v>
      </c>
      <c r="G1450" s="1232">
        <v>4.4684563133042197</v>
      </c>
      <c r="H1450" s="1232">
        <v>0.62779533977809365</v>
      </c>
      <c r="I1450" s="1232">
        <v>3.3199671589763002E-2</v>
      </c>
      <c r="J1450" s="1232">
        <v>2.1631716245296934E-4</v>
      </c>
      <c r="K1450" s="1232">
        <v>3.0000008603782999E-3</v>
      </c>
      <c r="L1450" s="1233">
        <v>2.79630663866441E-2</v>
      </c>
      <c r="M1450" s="1234">
        <v>3.4700813417691302E-2</v>
      </c>
      <c r="N1450" s="1235">
        <v>2.2609806464590076E-4</v>
      </c>
    </row>
    <row r="1451" spans="1:14" ht="15.5" x14ac:dyDescent="0.35">
      <c r="A1451" s="199">
        <v>2039</v>
      </c>
      <c r="B1451" s="110" t="s">
        <v>5850</v>
      </c>
      <c r="C1451" s="110">
        <v>2013</v>
      </c>
      <c r="D1451" s="110" t="str">
        <f t="shared" si="12"/>
        <v>2039_2013</v>
      </c>
      <c r="E1451" s="1231">
        <v>2.4725547233535601E-2</v>
      </c>
      <c r="F1451" s="1232">
        <v>5.3126740698583953E-2</v>
      </c>
      <c r="G1451" s="1232">
        <v>4.2166116384938102</v>
      </c>
      <c r="H1451" s="1232">
        <v>0.62779533977810054</v>
      </c>
      <c r="I1451" s="1232">
        <v>3.2285402304737199E-2</v>
      </c>
      <c r="J1451" s="1232">
        <v>2.163171624529717E-4</v>
      </c>
      <c r="K1451" s="1232">
        <v>3.0000008603782999E-3</v>
      </c>
      <c r="L1451" s="1233">
        <v>2.7963066386631898E-2</v>
      </c>
      <c r="M1451" s="1234">
        <v>3.37452049326065E-2</v>
      </c>
      <c r="N1451" s="1235">
        <v>2.2609806464590326E-4</v>
      </c>
    </row>
    <row r="1452" spans="1:14" ht="15.5" x14ac:dyDescent="0.35">
      <c r="A1452" s="199">
        <v>2039</v>
      </c>
      <c r="B1452" s="110" t="s">
        <v>5850</v>
      </c>
      <c r="C1452" s="110">
        <v>2014</v>
      </c>
      <c r="D1452" s="110" t="str">
        <f t="shared" si="12"/>
        <v>2039_2014</v>
      </c>
      <c r="E1452" s="1231">
        <v>1.2166957577315601E-2</v>
      </c>
      <c r="F1452" s="1232">
        <v>5.3126740698583655E-2</v>
      </c>
      <c r="G1452" s="1232">
        <v>1.58784652766471</v>
      </c>
      <c r="H1452" s="1232">
        <v>0.62779533977809698</v>
      </c>
      <c r="I1452" s="1232">
        <v>3.75523523489351E-2</v>
      </c>
      <c r="J1452" s="1232">
        <v>2.1631716245297051E-4</v>
      </c>
      <c r="K1452" s="1232">
        <v>3.0000008603782999E-3</v>
      </c>
      <c r="L1452" s="1233">
        <v>2.7963066386526299E-2</v>
      </c>
      <c r="M1452" s="1234">
        <v>3.9250303086058397E-2</v>
      </c>
      <c r="N1452" s="1235">
        <v>2.2609806464590198E-4</v>
      </c>
    </row>
    <row r="1453" spans="1:14" ht="15.5" x14ac:dyDescent="0.35">
      <c r="A1453" s="199">
        <v>2039</v>
      </c>
      <c r="B1453" s="110" t="s">
        <v>5850</v>
      </c>
      <c r="C1453" s="110">
        <v>2015</v>
      </c>
      <c r="D1453" s="110" t="str">
        <f t="shared" si="12"/>
        <v>2039_2015</v>
      </c>
      <c r="E1453" s="1231">
        <v>1.2166957577324E-2</v>
      </c>
      <c r="F1453" s="1232">
        <v>5.3126740698583676E-2</v>
      </c>
      <c r="G1453" s="1232">
        <v>1.5878465276653599</v>
      </c>
      <c r="H1453" s="1232">
        <v>0.62779533977809709</v>
      </c>
      <c r="I1453" s="1232">
        <v>3.75523523488491E-2</v>
      </c>
      <c r="J1453" s="1232">
        <v>2.1631716245297059E-4</v>
      </c>
      <c r="K1453" s="1232">
        <v>3.0000008603782999E-3</v>
      </c>
      <c r="L1453" s="1233">
        <v>2.79630663865531E-2</v>
      </c>
      <c r="M1453" s="1234">
        <v>3.9250303085968503E-2</v>
      </c>
      <c r="N1453" s="1235">
        <v>2.2609806464590206E-4</v>
      </c>
    </row>
    <row r="1454" spans="1:14" ht="15.5" x14ac:dyDescent="0.35">
      <c r="A1454" s="199">
        <v>2039</v>
      </c>
      <c r="B1454" s="110" t="s">
        <v>5850</v>
      </c>
      <c r="C1454" s="110">
        <v>2016</v>
      </c>
      <c r="D1454" s="110" t="str">
        <f t="shared" si="12"/>
        <v>2039_2016</v>
      </c>
      <c r="E1454" s="1231">
        <v>1.21669575773237E-2</v>
      </c>
      <c r="F1454" s="1232">
        <v>5.3126740698583731E-2</v>
      </c>
      <c r="G1454" s="1232">
        <v>1.5878465276640501</v>
      </c>
      <c r="H1454" s="1232">
        <v>0.62779533977809787</v>
      </c>
      <c r="I1454" s="1232">
        <v>3.7552352348767498E-2</v>
      </c>
      <c r="J1454" s="1232">
        <v>2.1631716245297086E-4</v>
      </c>
      <c r="K1454" s="1232">
        <v>3.0000008603782999E-3</v>
      </c>
      <c r="L1454" s="1233">
        <v>2.79630663865694E-2</v>
      </c>
      <c r="M1454" s="1234">
        <v>3.9250303085883197E-2</v>
      </c>
      <c r="N1454" s="1235">
        <v>2.2609806464590234E-4</v>
      </c>
    </row>
    <row r="1455" spans="1:14" ht="15.5" x14ac:dyDescent="0.35">
      <c r="A1455" s="198">
        <v>2039</v>
      </c>
      <c r="B1455" s="197" t="s">
        <v>5850</v>
      </c>
      <c r="C1455" s="197">
        <v>2017</v>
      </c>
      <c r="D1455" s="110" t="str">
        <f t="shared" si="12"/>
        <v>2039_2017</v>
      </c>
      <c r="E1455" s="1231">
        <v>1.2376290057236901E-2</v>
      </c>
      <c r="F1455" s="1232">
        <v>5.3126740698583572E-2</v>
      </c>
      <c r="G1455" s="1232">
        <v>1.58784652766889</v>
      </c>
      <c r="H1455" s="1232">
        <v>0.62779533977809598</v>
      </c>
      <c r="I1455" s="1232">
        <v>3.06074973733273E-2</v>
      </c>
      <c r="J1455" s="1232">
        <v>2.1631716245297018E-4</v>
      </c>
      <c r="K1455" s="1232">
        <v>3.0000008603782999E-3</v>
      </c>
      <c r="L1455" s="1233">
        <v>2.7963066386578399E-2</v>
      </c>
      <c r="M1455" s="1234">
        <v>3.1991432585791103E-2</v>
      </c>
      <c r="N1455" s="1235">
        <v>2.2609806464590163E-4</v>
      </c>
    </row>
    <row r="1456" spans="1:14" ht="15.5" x14ac:dyDescent="0.35">
      <c r="A1456" s="198">
        <v>2039</v>
      </c>
      <c r="B1456" s="197" t="s">
        <v>5850</v>
      </c>
      <c r="C1456" s="197">
        <v>2018</v>
      </c>
      <c r="D1456" s="110" t="str">
        <f t="shared" si="12"/>
        <v>2039_2018</v>
      </c>
      <c r="E1456" s="1231">
        <v>1.2376290057256E-2</v>
      </c>
      <c r="F1456" s="1232">
        <v>5.3126740698583801E-2</v>
      </c>
      <c r="G1456" s="1232">
        <v>1.58784652766637</v>
      </c>
      <c r="H1456" s="1232">
        <v>0.62779533977809865</v>
      </c>
      <c r="I1456" s="1232">
        <v>3.0607497373596401E-2</v>
      </c>
      <c r="J1456" s="1232">
        <v>2.163171624529711E-4</v>
      </c>
      <c r="K1456" s="1232">
        <v>3.0000008603782999E-3</v>
      </c>
      <c r="L1456" s="1233">
        <v>2.7963066386482899E-2</v>
      </c>
      <c r="M1456" s="1234">
        <v>3.1991432586072399E-2</v>
      </c>
      <c r="N1456" s="1235">
        <v>2.2609806464590258E-4</v>
      </c>
    </row>
    <row r="1457" spans="1:14" ht="15.5" x14ac:dyDescent="0.35">
      <c r="A1457" s="199">
        <v>2039</v>
      </c>
      <c r="B1457" s="110" t="s">
        <v>5850</v>
      </c>
      <c r="C1457" s="110">
        <v>2019</v>
      </c>
      <c r="D1457" s="110" t="str">
        <f t="shared" si="12"/>
        <v>2039_2019</v>
      </c>
      <c r="E1457" s="1231">
        <v>1.23762900571799E-2</v>
      </c>
      <c r="F1457" s="1232">
        <v>5.3126740698583662E-2</v>
      </c>
      <c r="G1457" s="1232">
        <v>1.58784652766668</v>
      </c>
      <c r="H1457" s="1232">
        <v>0.62779533977809709</v>
      </c>
      <c r="I1457" s="1232">
        <v>3.06074973729401E-2</v>
      </c>
      <c r="J1457" s="1232">
        <v>2.1631716245297053E-4</v>
      </c>
      <c r="K1457" s="1232">
        <v>3.0000008603782999E-3</v>
      </c>
      <c r="L1457" s="1233">
        <v>2.7963066386679801E-2</v>
      </c>
      <c r="M1457" s="1234">
        <v>3.1991432585386399E-2</v>
      </c>
      <c r="N1457" s="1235">
        <v>2.2609806464590201E-4</v>
      </c>
    </row>
    <row r="1458" spans="1:14" ht="15.5" x14ac:dyDescent="0.35">
      <c r="A1458" s="199">
        <v>2039</v>
      </c>
      <c r="B1458" s="110" t="s">
        <v>5850</v>
      </c>
      <c r="C1458" s="110">
        <v>2020</v>
      </c>
      <c r="D1458" s="110" t="str">
        <f t="shared" si="12"/>
        <v>2039_2020</v>
      </c>
      <c r="E1458" s="1231">
        <v>1.2376290057243E-2</v>
      </c>
      <c r="F1458" s="1232">
        <v>5.312674069858387E-2</v>
      </c>
      <c r="G1458" s="1232">
        <v>1.5878465276692</v>
      </c>
      <c r="H1458" s="1232">
        <v>0.62779533977809954</v>
      </c>
      <c r="I1458" s="1232">
        <v>3.0607497373374301E-2</v>
      </c>
      <c r="J1458" s="1232">
        <v>2.1631716245297137E-4</v>
      </c>
      <c r="K1458" s="1232">
        <v>3.0000008603782999E-3</v>
      </c>
      <c r="L1458" s="1233">
        <v>2.79630663865694E-2</v>
      </c>
      <c r="M1458" s="1234">
        <v>3.1991432585840203E-2</v>
      </c>
      <c r="N1458" s="1235">
        <v>2.260980646459029E-4</v>
      </c>
    </row>
    <row r="1459" spans="1:14" ht="15.5" x14ac:dyDescent="0.35">
      <c r="A1459" s="199">
        <v>2039</v>
      </c>
      <c r="B1459" s="110" t="s">
        <v>5850</v>
      </c>
      <c r="C1459" s="110">
        <v>2021</v>
      </c>
      <c r="D1459" s="110" t="str">
        <f t="shared" si="12"/>
        <v>2039_2021</v>
      </c>
      <c r="E1459" s="1231">
        <v>1.2376290057244299E-2</v>
      </c>
      <c r="F1459" s="1232">
        <v>5.3126740698584904E-2</v>
      </c>
      <c r="G1459" s="1232">
        <v>1.58784652762615</v>
      </c>
      <c r="H1459" s="1232">
        <v>0.62779533977811175</v>
      </c>
      <c r="I1459" s="1232">
        <v>3.0607497374815499E-2</v>
      </c>
      <c r="J1459" s="1232">
        <v>2.1631716245297557E-4</v>
      </c>
      <c r="K1459" s="1232">
        <v>3.0000008603782999E-3</v>
      </c>
      <c r="L1459" s="1233">
        <v>2.7963066385845801E-2</v>
      </c>
      <c r="M1459" s="1234">
        <v>3.1991432587346602E-2</v>
      </c>
      <c r="N1459" s="1235">
        <v>2.260980646459073E-4</v>
      </c>
    </row>
    <row r="1460" spans="1:14" ht="15.5" x14ac:dyDescent="0.35">
      <c r="A1460" s="199">
        <v>2039</v>
      </c>
      <c r="B1460" s="110" t="s">
        <v>5850</v>
      </c>
      <c r="C1460" s="110">
        <v>2022</v>
      </c>
      <c r="D1460" s="110" t="str">
        <f t="shared" si="12"/>
        <v>2039_2022</v>
      </c>
      <c r="E1460" s="1231">
        <v>1.23762900571876E-2</v>
      </c>
      <c r="F1460" s="1232">
        <v>5.3126740698583377E-2</v>
      </c>
      <c r="G1460" s="1232">
        <v>1.5878465276711899</v>
      </c>
      <c r="H1460" s="1232">
        <v>0.62779533977809376</v>
      </c>
      <c r="I1460" s="1232">
        <v>3.0607497372841901E-2</v>
      </c>
      <c r="J1460" s="1232">
        <v>2.1631716245296937E-4</v>
      </c>
      <c r="K1460" s="1232">
        <v>3.0000008603782999E-3</v>
      </c>
      <c r="L1460" s="1233">
        <v>2.7963066386739299E-2</v>
      </c>
      <c r="M1460" s="1234">
        <v>3.1991432585283697E-2</v>
      </c>
      <c r="N1460" s="1235">
        <v>2.2609806464590079E-4</v>
      </c>
    </row>
    <row r="1461" spans="1:14" ht="15.5" x14ac:dyDescent="0.35">
      <c r="A1461" s="199">
        <v>2039</v>
      </c>
      <c r="B1461" s="110" t="s">
        <v>5850</v>
      </c>
      <c r="C1461" s="110">
        <v>2023</v>
      </c>
      <c r="D1461" s="110" t="str">
        <f t="shared" si="12"/>
        <v>2039_2023</v>
      </c>
      <c r="E1461" s="1231">
        <v>1.2375231016336301E-2</v>
      </c>
      <c r="F1461" s="1232">
        <v>5.3126740698583939E-2</v>
      </c>
      <c r="G1461" s="1232">
        <v>1.5153814995702699</v>
      </c>
      <c r="H1461" s="1232">
        <v>0.6277953397781002</v>
      </c>
      <c r="I1461" s="1232">
        <v>2.9564308593497901E-2</v>
      </c>
      <c r="J1461" s="1232">
        <v>2.1631716245297167E-4</v>
      </c>
      <c r="K1461" s="1232">
        <v>3.0000008603782999E-3</v>
      </c>
      <c r="L1461" s="1233">
        <v>2.7963066386640801E-2</v>
      </c>
      <c r="M1461" s="1234">
        <v>3.0901075438419499E-2</v>
      </c>
      <c r="N1461" s="1235">
        <v>2.260980646459032E-4</v>
      </c>
    </row>
    <row r="1462" spans="1:14" ht="15.5" x14ac:dyDescent="0.35">
      <c r="A1462" s="199">
        <v>2039</v>
      </c>
      <c r="B1462" s="110" t="s">
        <v>5850</v>
      </c>
      <c r="C1462" s="110">
        <v>2024</v>
      </c>
      <c r="D1462" s="110" t="str">
        <f t="shared" si="12"/>
        <v>2039_2024</v>
      </c>
      <c r="E1462" s="1231">
        <v>1.2222903070484899E-2</v>
      </c>
      <c r="F1462" s="1232">
        <v>5.312674069858353E-2</v>
      </c>
      <c r="G1462" s="1232">
        <v>1.50147489685863</v>
      </c>
      <c r="H1462" s="1232">
        <v>0.62779533977809687</v>
      </c>
      <c r="I1462" s="1232">
        <v>2.8947612976783998E-2</v>
      </c>
      <c r="J1462" s="1232">
        <v>2.1631716245297002E-4</v>
      </c>
      <c r="K1462" s="1232">
        <v>3.0000008603782999E-3</v>
      </c>
      <c r="L1462" s="1233">
        <v>2.7963066386450901E-2</v>
      </c>
      <c r="M1462" s="1234">
        <v>3.0256495582464099E-2</v>
      </c>
      <c r="N1462" s="1235">
        <v>2.2609806464590147E-4</v>
      </c>
    </row>
    <row r="1463" spans="1:14" ht="15.5" x14ac:dyDescent="0.35">
      <c r="A1463" s="199">
        <v>2039</v>
      </c>
      <c r="B1463" s="110" t="s">
        <v>5850</v>
      </c>
      <c r="C1463" s="110">
        <v>2025</v>
      </c>
      <c r="D1463" s="110" t="str">
        <f t="shared" si="12"/>
        <v>2039_2025</v>
      </c>
      <c r="E1463" s="1231">
        <v>1.20536497968491E-2</v>
      </c>
      <c r="F1463" s="1232">
        <v>4.7814066628725012E-2</v>
      </c>
      <c r="G1463" s="1232">
        <v>1.3536152771455301</v>
      </c>
      <c r="H1463" s="1232">
        <v>0.28659378531896462</v>
      </c>
      <c r="I1463" s="1232">
        <v>2.8262395622393799E-2</v>
      </c>
      <c r="J1463" s="1232">
        <v>1.9468544620767232E-4</v>
      </c>
      <c r="K1463" s="1232">
        <v>3.0000008603782999E-3</v>
      </c>
      <c r="L1463" s="1233">
        <v>2.79630663865938E-2</v>
      </c>
      <c r="M1463" s="1234">
        <v>2.95402957399153E-2</v>
      </c>
      <c r="N1463" s="1235">
        <v>2.0348825818131057E-4</v>
      </c>
    </row>
    <row r="1464" spans="1:14" ht="15.5" x14ac:dyDescent="0.35">
      <c r="A1464" s="199">
        <v>2039</v>
      </c>
      <c r="B1464" s="110" t="s">
        <v>5850</v>
      </c>
      <c r="C1464" s="110">
        <v>2026</v>
      </c>
      <c r="D1464" s="110" t="str">
        <f t="shared" si="12"/>
        <v>2039_2026</v>
      </c>
      <c r="E1464" s="1231">
        <v>1.18655906039825E-2</v>
      </c>
      <c r="F1464" s="1232">
        <v>4.3032659965852815E-2</v>
      </c>
      <c r="G1464" s="1232">
        <v>1.3368987880901899</v>
      </c>
      <c r="H1464" s="1232">
        <v>0.25793440678707003</v>
      </c>
      <c r="I1464" s="1232">
        <v>2.75010430069445E-2</v>
      </c>
      <c r="J1464" s="1232">
        <v>1.7521690158690635E-4</v>
      </c>
      <c r="K1464" s="1232">
        <v>3.0000008603782999E-3</v>
      </c>
      <c r="L1464" s="1233">
        <v>3.08967165175035E-2</v>
      </c>
      <c r="M1464" s="1234">
        <v>2.8744518137647598E-2</v>
      </c>
      <c r="N1464" s="1235">
        <v>1.8313943236318084E-4</v>
      </c>
    </row>
    <row r="1465" spans="1:14" ht="15.5" x14ac:dyDescent="0.35">
      <c r="A1465" s="199">
        <v>2039</v>
      </c>
      <c r="B1465" s="110" t="s">
        <v>5850</v>
      </c>
      <c r="C1465" s="110">
        <v>2027</v>
      </c>
      <c r="D1465" s="110" t="str">
        <f t="shared" si="12"/>
        <v>2039_2027</v>
      </c>
      <c r="E1465" s="1231">
        <v>1.1656635945232601E-2</v>
      </c>
      <c r="F1465" s="1232">
        <v>3.8729393969267452E-2</v>
      </c>
      <c r="G1465" s="1232">
        <v>1.3178125346176199</v>
      </c>
      <c r="H1465" s="1232">
        <v>0.23214096610836255</v>
      </c>
      <c r="I1465" s="1232">
        <v>2.6655095656380402E-2</v>
      </c>
      <c r="J1465" s="1232">
        <v>1.5769521142821539E-4</v>
      </c>
      <c r="K1465" s="1232">
        <v>3.0000008603782999E-3</v>
      </c>
      <c r="L1465" s="1233">
        <v>3.0896716517499201E-2</v>
      </c>
      <c r="M1465" s="1234">
        <v>2.78603208017267E-2</v>
      </c>
      <c r="N1465" s="1235">
        <v>1.6482548912686242E-4</v>
      </c>
    </row>
    <row r="1466" spans="1:14" ht="15.5" x14ac:dyDescent="0.35">
      <c r="A1466" s="199">
        <v>2039</v>
      </c>
      <c r="B1466" s="110" t="s">
        <v>5850</v>
      </c>
      <c r="C1466" s="110">
        <v>2028</v>
      </c>
      <c r="D1466" s="110" t="str">
        <f t="shared" si="12"/>
        <v>2039_2028</v>
      </c>
      <c r="E1466" s="1231">
        <v>1.14244641021739E-2</v>
      </c>
      <c r="F1466" s="1232">
        <v>3.4856454572341045E-2</v>
      </c>
      <c r="G1466" s="1232">
        <v>1.18100286149375</v>
      </c>
      <c r="H1466" s="1232">
        <v>0.15818445626480709</v>
      </c>
      <c r="I1466" s="1232">
        <v>2.5349343845522499E-2</v>
      </c>
      <c r="J1466" s="1232">
        <v>1.4192569028539519E-4</v>
      </c>
      <c r="K1466" s="1232">
        <v>3.0000008603782999E-3</v>
      </c>
      <c r="L1466" s="1233">
        <v>3.0896716517510799E-2</v>
      </c>
      <c r="M1466" s="1234">
        <v>2.6495528688169699E-2</v>
      </c>
      <c r="N1466" s="1235">
        <v>1.483429402141776E-4</v>
      </c>
    </row>
    <row r="1467" spans="1:14" ht="15.5" x14ac:dyDescent="0.35">
      <c r="A1467" s="199">
        <v>2039</v>
      </c>
      <c r="B1467" s="110" t="s">
        <v>5850</v>
      </c>
      <c r="C1467" s="110">
        <v>2029</v>
      </c>
      <c r="D1467" s="110" t="str">
        <f t="shared" si="12"/>
        <v>2039_2029</v>
      </c>
      <c r="E1467" s="1231">
        <v>1.1166495387669799E-2</v>
      </c>
      <c r="F1467" s="1232">
        <v>3.1370809115106681E-2</v>
      </c>
      <c r="G1467" s="1232">
        <v>1.1561695083363399</v>
      </c>
      <c r="H1467" s="1232">
        <v>0.14236601063832519</v>
      </c>
      <c r="I1467" s="1232">
        <v>2.43049644003809E-2</v>
      </c>
      <c r="J1467" s="1232">
        <v>1.2773312125685462E-4</v>
      </c>
      <c r="K1467" s="1232">
        <v>3.0000008603782999E-3</v>
      </c>
      <c r="L1467" s="1233">
        <v>3.0896716517510199E-2</v>
      </c>
      <c r="M1467" s="1234">
        <v>2.5403927038883899E-2</v>
      </c>
      <c r="N1467" s="1235">
        <v>1.3350864619275874E-4</v>
      </c>
    </row>
    <row r="1468" spans="1:14" ht="15.5" x14ac:dyDescent="0.35">
      <c r="A1468" s="199">
        <v>2039</v>
      </c>
      <c r="B1468" s="110" t="s">
        <v>5850</v>
      </c>
      <c r="C1468" s="110">
        <v>2030</v>
      </c>
      <c r="D1468" s="110" t="str">
        <f t="shared" si="12"/>
        <v>2039_2030</v>
      </c>
      <c r="E1468" s="1231">
        <v>1.08798634826658E-2</v>
      </c>
      <c r="F1468" s="1232">
        <v>2.8233728203596015E-2</v>
      </c>
      <c r="G1468" s="1232">
        <v>1.12733478965346</v>
      </c>
      <c r="H1468" s="1232">
        <v>0.1281294095744927</v>
      </c>
      <c r="I1468" s="1232">
        <v>2.3144542794686501E-2</v>
      </c>
      <c r="J1468" s="1232">
        <v>1.1495980913116918E-4</v>
      </c>
      <c r="K1468" s="1232">
        <v>3.0000008603782999E-3</v>
      </c>
      <c r="L1468" s="1233">
        <v>3.0896716517497199E-2</v>
      </c>
      <c r="M1468" s="1234">
        <v>2.4191036317474601E-2</v>
      </c>
      <c r="N1468" s="1235">
        <v>1.2015778157348288E-4</v>
      </c>
    </row>
    <row r="1469" spans="1:14" ht="15.5" x14ac:dyDescent="0.35">
      <c r="A1469" s="199">
        <v>2039</v>
      </c>
      <c r="B1469" s="110" t="s">
        <v>5850</v>
      </c>
      <c r="C1469" s="110">
        <v>2031</v>
      </c>
      <c r="D1469" s="110" t="str">
        <f t="shared" si="12"/>
        <v>2039_2031</v>
      </c>
      <c r="E1469" s="1231">
        <v>1.05613835882108E-2</v>
      </c>
      <c r="F1469" s="1232">
        <v>2.5410355383236414E-2</v>
      </c>
      <c r="G1469" s="1232">
        <v>1.0935584515186201</v>
      </c>
      <c r="H1469" s="1232">
        <v>0.11531646861704342</v>
      </c>
      <c r="I1469" s="1232">
        <v>2.1855185454967001E-2</v>
      </c>
      <c r="J1469" s="1232">
        <v>1.0346382821805227E-4</v>
      </c>
      <c r="K1469" s="1232">
        <v>3.0000008603782999E-3</v>
      </c>
      <c r="L1469" s="1233">
        <v>3.0896716517512999E-2</v>
      </c>
      <c r="M1469" s="1234">
        <v>2.28433799602915E-2</v>
      </c>
      <c r="N1469" s="1235">
        <v>1.081420034161346E-4</v>
      </c>
    </row>
    <row r="1470" spans="1:14" ht="15.5" x14ac:dyDescent="0.35">
      <c r="A1470" s="199">
        <v>2039</v>
      </c>
      <c r="B1470" s="110" t="s">
        <v>5850</v>
      </c>
      <c r="C1470" s="110">
        <v>2032</v>
      </c>
      <c r="D1470" s="110" t="str">
        <f t="shared" si="12"/>
        <v>2039_2032</v>
      </c>
      <c r="E1470" s="1231">
        <v>1.02075170388208E-2</v>
      </c>
      <c r="F1470" s="1232">
        <v>2.5410355383236265E-2</v>
      </c>
      <c r="G1470" s="1232">
        <v>0.992660385600177</v>
      </c>
      <c r="H1470" s="1232">
        <v>0.11531646861704277</v>
      </c>
      <c r="I1470" s="1232">
        <v>1.8651274160326099E-2</v>
      </c>
      <c r="J1470" s="1232">
        <v>1.0346382821805166E-4</v>
      </c>
      <c r="K1470" s="1232">
        <v>3.0000008603782999E-3</v>
      </c>
      <c r="L1470" s="1233">
        <v>3.0896716517515299E-2</v>
      </c>
      <c r="M1470" s="1234">
        <v>1.94946020140527E-2</v>
      </c>
      <c r="N1470" s="1235">
        <v>1.0814200341613396E-4</v>
      </c>
    </row>
    <row r="1471" spans="1:14" ht="15.5" x14ac:dyDescent="0.35">
      <c r="A1471" s="199">
        <v>2039</v>
      </c>
      <c r="B1471" s="110" t="s">
        <v>5850</v>
      </c>
      <c r="C1471" s="110">
        <v>2033</v>
      </c>
      <c r="D1471" s="110" t="str">
        <f t="shared" si="12"/>
        <v>2039_2033</v>
      </c>
      <c r="E1471" s="1231">
        <v>9.8536504894301095E-3</v>
      </c>
      <c r="F1471" s="1232">
        <v>2.5410355383236317E-2</v>
      </c>
      <c r="G1471" s="1232">
        <v>0.95224438378752896</v>
      </c>
      <c r="H1471" s="1232">
        <v>0.11531646861704301</v>
      </c>
      <c r="I1471" s="1232">
        <v>1.72186548940154E-2</v>
      </c>
      <c r="J1471" s="1232">
        <v>1.0346382821805187E-4</v>
      </c>
      <c r="K1471" s="1232">
        <v>3.0000008603782999E-3</v>
      </c>
      <c r="L1471" s="1233">
        <v>3.0896716517506698E-2</v>
      </c>
      <c r="M1471" s="1234">
        <v>1.7997206061673401E-2</v>
      </c>
      <c r="N1471" s="1235">
        <v>1.0814200341613419E-4</v>
      </c>
    </row>
    <row r="1472" spans="1:14" ht="15.5" x14ac:dyDescent="0.35">
      <c r="A1472" s="199">
        <v>2039</v>
      </c>
      <c r="B1472" s="110" t="s">
        <v>5850</v>
      </c>
      <c r="C1472" s="110">
        <v>2034</v>
      </c>
      <c r="D1472" s="110" t="str">
        <f t="shared" si="12"/>
        <v>2039_2034</v>
      </c>
      <c r="E1472" s="1231">
        <v>9.4997839400384008E-3</v>
      </c>
      <c r="F1472" s="1232">
        <v>2.5410355383236442E-2</v>
      </c>
      <c r="G1472" s="1232">
        <v>0.90784260933846705</v>
      </c>
      <c r="H1472" s="1232">
        <v>0.1151144147077014</v>
      </c>
      <c r="I1472" s="1232">
        <v>1.61568165196487E-2</v>
      </c>
      <c r="J1472" s="1232">
        <v>1.0346382821805236E-4</v>
      </c>
      <c r="K1472" s="1232">
        <v>3.0000008603782999E-3</v>
      </c>
      <c r="L1472" s="1233">
        <v>3.0896716517511899E-2</v>
      </c>
      <c r="M1472" s="1234">
        <v>1.68873560678558E-2</v>
      </c>
      <c r="N1472" s="1235">
        <v>1.0814200341613472E-4</v>
      </c>
    </row>
    <row r="1473" spans="1:14" ht="15.5" x14ac:dyDescent="0.35">
      <c r="A1473" s="199">
        <v>2039</v>
      </c>
      <c r="B1473" s="110" t="s">
        <v>5850</v>
      </c>
      <c r="C1473" s="110">
        <v>2035</v>
      </c>
      <c r="D1473" s="110" t="str">
        <f t="shared" si="12"/>
        <v>2039_2035</v>
      </c>
      <c r="E1473" s="1231">
        <v>9.1459173906491206E-3</v>
      </c>
      <c r="F1473" s="1232">
        <v>2.5410355383236445E-2</v>
      </c>
      <c r="G1473" s="1232">
        <v>0.85229416132814095</v>
      </c>
      <c r="H1473" s="1232">
        <v>0.11112090995444528</v>
      </c>
      <c r="I1473" s="1232">
        <v>1.51103006470983E-2</v>
      </c>
      <c r="J1473" s="1232">
        <v>1.0346382821805239E-4</v>
      </c>
      <c r="K1473" s="1232">
        <v>3.0000008603782999E-3</v>
      </c>
      <c r="L1473" s="1233">
        <v>3.08967165175036E-2</v>
      </c>
      <c r="M1473" s="1234">
        <v>1.5793521391393998E-2</v>
      </c>
      <c r="N1473" s="1235">
        <v>1.0814200341613473E-4</v>
      </c>
    </row>
    <row r="1474" spans="1:14" ht="15.5" x14ac:dyDescent="0.35">
      <c r="A1474" s="199">
        <v>2039</v>
      </c>
      <c r="B1474" s="110" t="s">
        <v>5850</v>
      </c>
      <c r="C1474" s="110">
        <v>2036</v>
      </c>
      <c r="D1474" s="110" t="str">
        <f t="shared" si="12"/>
        <v>2039_2036</v>
      </c>
      <c r="E1474" s="1231">
        <v>8.7920508412576495E-3</v>
      </c>
      <c r="F1474" s="1232">
        <v>2.5410355383236383E-2</v>
      </c>
      <c r="G1474" s="1232">
        <v>0.78642333277447996</v>
      </c>
      <c r="H1474" s="1232">
        <v>0.10425531638497715</v>
      </c>
      <c r="I1474" s="1232">
        <v>1.40526921932775E-2</v>
      </c>
      <c r="J1474" s="1232">
        <v>1.0346382821805213E-4</v>
      </c>
      <c r="K1474" s="1232">
        <v>3.0000008603782999E-3</v>
      </c>
      <c r="L1474" s="1233">
        <v>3.0896716517507802E-2</v>
      </c>
      <c r="M1474" s="1234">
        <v>1.46880925763595E-2</v>
      </c>
      <c r="N1474" s="1235">
        <v>1.0814200341613446E-4</v>
      </c>
    </row>
    <row r="1475" spans="1:14" ht="15.5" x14ac:dyDescent="0.35">
      <c r="A1475" s="198">
        <v>2039</v>
      </c>
      <c r="B1475" s="197" t="s">
        <v>5850</v>
      </c>
      <c r="C1475" s="197">
        <v>2037</v>
      </c>
      <c r="D1475" s="110" t="str">
        <f t="shared" si="12"/>
        <v>2039_2037</v>
      </c>
      <c r="E1475" s="1231">
        <v>8.4381842918669903E-3</v>
      </c>
      <c r="F1475" s="1232">
        <v>2.5410355383236379E-2</v>
      </c>
      <c r="G1475" s="1232">
        <v>0.71003316578133202</v>
      </c>
      <c r="H1475" s="1232">
        <v>9.5436996026998663E-2</v>
      </c>
      <c r="I1475" s="1232">
        <v>1.30117516445576E-2</v>
      </c>
      <c r="J1475" s="1232">
        <v>1.0346382821805273E-4</v>
      </c>
      <c r="K1475" s="1232">
        <v>3.0000008603782999E-3</v>
      </c>
      <c r="L1475" s="1233">
        <v>3.0896716517508801E-2</v>
      </c>
      <c r="M1475" s="1234">
        <v>1.36000853151317E-2</v>
      </c>
      <c r="N1475" s="1235">
        <v>1.0814200341613442E-4</v>
      </c>
    </row>
    <row r="1476" spans="1:14" ht="15.5" x14ac:dyDescent="0.35">
      <c r="A1476" s="198">
        <v>2039</v>
      </c>
      <c r="B1476" s="197" t="s">
        <v>5850</v>
      </c>
      <c r="C1476" s="197">
        <v>2038</v>
      </c>
      <c r="D1476" s="110" t="str">
        <f t="shared" si="12"/>
        <v>2039_2038</v>
      </c>
      <c r="E1476" s="1231">
        <v>8.0843177424763605E-3</v>
      </c>
      <c r="F1476" s="1232">
        <v>2.5410355383236376E-2</v>
      </c>
      <c r="G1476" s="1232">
        <v>0.62078715423530295</v>
      </c>
      <c r="H1476" s="1232">
        <v>8.5585310407756771E-2</v>
      </c>
      <c r="I1476" s="1232">
        <v>1.2006556648593901E-2</v>
      </c>
      <c r="J1476" s="1232">
        <v>1.0346382821805209E-4</v>
      </c>
      <c r="K1476" s="1232">
        <v>3.0000008603782999E-3</v>
      </c>
      <c r="L1476" s="1233">
        <v>3.0896716517506199E-2</v>
      </c>
      <c r="M1476" s="1234">
        <v>1.25494398619373E-2</v>
      </c>
      <c r="N1476" s="1235">
        <v>1.0814200341613442E-4</v>
      </c>
    </row>
    <row r="1477" spans="1:14" ht="15.5" x14ac:dyDescent="0.35">
      <c r="A1477" s="198">
        <v>2039</v>
      </c>
      <c r="B1477" s="197" t="s">
        <v>5850</v>
      </c>
      <c r="C1477" s="197">
        <v>2039</v>
      </c>
      <c r="D1477" s="110" t="str">
        <f t="shared" si="12"/>
        <v>2039_2039</v>
      </c>
      <c r="E1477" s="1231">
        <v>7.7307115312191602E-3</v>
      </c>
      <c r="F1477" s="1232">
        <v>2.5410357749382044E-2</v>
      </c>
      <c r="G1477" s="1232">
        <v>0.51042229171884501</v>
      </c>
      <c r="H1477" s="1232">
        <v>7.5619628846682135E-2</v>
      </c>
      <c r="I1477" s="1232">
        <v>1.10492336463851E-2</v>
      </c>
      <c r="J1477" s="1232">
        <v>1.034638378523327E-4</v>
      </c>
      <c r="K1477" s="1232">
        <v>3.0000008603779599E-3</v>
      </c>
      <c r="L1477" s="1233">
        <v>3.0894910056970301E-2</v>
      </c>
      <c r="M1477" s="1234">
        <v>1.15488309616265E-2</v>
      </c>
      <c r="N1477" s="1235">
        <v>1.0814201348603432E-4</v>
      </c>
    </row>
    <row r="1478" spans="1:14" ht="15.5" x14ac:dyDescent="0.35">
      <c r="A1478" s="198">
        <v>2039</v>
      </c>
      <c r="B1478" s="197" t="s">
        <v>5850</v>
      </c>
      <c r="C1478" s="197">
        <v>2040</v>
      </c>
      <c r="D1478" s="110" t="str">
        <f t="shared" si="12"/>
        <v>2039_2040</v>
      </c>
      <c r="E1478" s="1231">
        <v>7.3754119665070204E-3</v>
      </c>
      <c r="F1478" s="1232">
        <v>6.0984826104247818E-2</v>
      </c>
      <c r="G1478" s="1232">
        <v>0.35071603370947801</v>
      </c>
      <c r="H1478" s="1232">
        <v>0.181487012531134</v>
      </c>
      <c r="I1478" s="1232">
        <v>1.01378050037638E-2</v>
      </c>
      <c r="J1478" s="1232">
        <v>2.4831307853806408E-4</v>
      </c>
      <c r="K1478" s="1232">
        <v>3.0000008603799102E-3</v>
      </c>
      <c r="L1478" s="1233">
        <v>3.09052439499359E-2</v>
      </c>
      <c r="M1478" s="1234">
        <v>1.05961915601906E-2</v>
      </c>
      <c r="N1478" s="1235">
        <v>2.5954069407658874E-4</v>
      </c>
    </row>
    <row r="1479" spans="1:14" ht="15.5" x14ac:dyDescent="0.35">
      <c r="A1479" s="198">
        <v>2040</v>
      </c>
      <c r="B1479" s="197" t="s">
        <v>5850</v>
      </c>
      <c r="C1479" s="197">
        <v>1971</v>
      </c>
      <c r="D1479" s="110" t="str">
        <f t="shared" si="12"/>
        <v>2040_1971</v>
      </c>
      <c r="E1479" s="1226">
        <v>0.124170801035678</v>
      </c>
      <c r="F1479" s="1227">
        <v>5.2949026435173435E-2</v>
      </c>
      <c r="G1479" s="1227">
        <v>5.12543772724786</v>
      </c>
      <c r="H1479" s="1227">
        <v>0.7110901636258834</v>
      </c>
      <c r="I1479" s="1227">
        <v>5.7228615416883503E-2</v>
      </c>
      <c r="J1479" s="1227">
        <v>2.1631609690514063E-4</v>
      </c>
      <c r="K1479" s="1227">
        <v>3.0000008603782999E-3</v>
      </c>
      <c r="L1479" s="1228">
        <v>2.79630658381987E-2</v>
      </c>
      <c r="M1479" s="1229">
        <v>5.9816239457815203E-2</v>
      </c>
      <c r="N1479" s="1230">
        <v>2.2609695091872753E-4</v>
      </c>
    </row>
    <row r="1480" spans="1:14" ht="15.5" x14ac:dyDescent="0.35">
      <c r="A1480" s="198">
        <v>2040</v>
      </c>
      <c r="B1480" s="197" t="s">
        <v>5850</v>
      </c>
      <c r="C1480" s="197">
        <v>1972</v>
      </c>
      <c r="D1480" s="110" t="str">
        <f t="shared" si="12"/>
        <v>2040_1972</v>
      </c>
      <c r="E1480" s="1226">
        <v>0.124170801035678</v>
      </c>
      <c r="F1480" s="1227">
        <v>5.2949026435173435E-2</v>
      </c>
      <c r="G1480" s="1227">
        <v>5.12543772724786</v>
      </c>
      <c r="H1480" s="1227">
        <v>0.7110901636258834</v>
      </c>
      <c r="I1480" s="1227">
        <v>5.7228615416883503E-2</v>
      </c>
      <c r="J1480" s="1227">
        <v>2.1631609690514063E-4</v>
      </c>
      <c r="K1480" s="1227">
        <v>3.0000008603782999E-3</v>
      </c>
      <c r="L1480" s="1228">
        <v>2.79630658381987E-2</v>
      </c>
      <c r="M1480" s="1229">
        <v>5.9816239457815203E-2</v>
      </c>
      <c r="N1480" s="1230">
        <v>2.2609695091872753E-4</v>
      </c>
    </row>
    <row r="1481" spans="1:14" ht="15.5" x14ac:dyDescent="0.35">
      <c r="A1481" s="198">
        <v>2040</v>
      </c>
      <c r="B1481" s="197" t="s">
        <v>5850</v>
      </c>
      <c r="C1481" s="197">
        <v>1973</v>
      </c>
      <c r="D1481" s="110" t="str">
        <f t="shared" si="12"/>
        <v>2040_1973</v>
      </c>
      <c r="E1481" s="1226">
        <v>0.124170801035678</v>
      </c>
      <c r="F1481" s="1227">
        <v>5.2949026435173435E-2</v>
      </c>
      <c r="G1481" s="1227">
        <v>5.12543772724786</v>
      </c>
      <c r="H1481" s="1227">
        <v>0.7110901636258834</v>
      </c>
      <c r="I1481" s="1227">
        <v>5.7228615416883503E-2</v>
      </c>
      <c r="J1481" s="1227">
        <v>2.1631609690514063E-4</v>
      </c>
      <c r="K1481" s="1227">
        <v>3.0000008603782999E-3</v>
      </c>
      <c r="L1481" s="1228">
        <v>2.79630658381987E-2</v>
      </c>
      <c r="M1481" s="1229">
        <v>5.9816239457815203E-2</v>
      </c>
      <c r="N1481" s="1230">
        <v>2.2609695091872753E-4</v>
      </c>
    </row>
    <row r="1482" spans="1:14" ht="15.5" x14ac:dyDescent="0.35">
      <c r="A1482" s="198">
        <v>2040</v>
      </c>
      <c r="B1482" s="197" t="s">
        <v>5850</v>
      </c>
      <c r="C1482" s="197">
        <v>1974</v>
      </c>
      <c r="D1482" s="110" t="str">
        <f t="shared" si="12"/>
        <v>2040_1974</v>
      </c>
      <c r="E1482" s="1226">
        <v>0.124170801035678</v>
      </c>
      <c r="F1482" s="1227">
        <v>5.2949026435173435E-2</v>
      </c>
      <c r="G1482" s="1227">
        <v>5.12543772724786</v>
      </c>
      <c r="H1482" s="1227">
        <v>0.7110901636258834</v>
      </c>
      <c r="I1482" s="1227">
        <v>5.7228615416883503E-2</v>
      </c>
      <c r="J1482" s="1227">
        <v>2.1631609690514063E-4</v>
      </c>
      <c r="K1482" s="1227">
        <v>3.0000008603782999E-3</v>
      </c>
      <c r="L1482" s="1228">
        <v>2.79630658381987E-2</v>
      </c>
      <c r="M1482" s="1229">
        <v>5.9816239457815203E-2</v>
      </c>
      <c r="N1482" s="1230">
        <v>2.2609695091872753E-4</v>
      </c>
    </row>
    <row r="1483" spans="1:14" ht="15.5" x14ac:dyDescent="0.35">
      <c r="A1483" s="198">
        <v>2040</v>
      </c>
      <c r="B1483" s="197" t="s">
        <v>5850</v>
      </c>
      <c r="C1483" s="197">
        <v>1975</v>
      </c>
      <c r="D1483" s="110" t="str">
        <f t="shared" si="12"/>
        <v>2040_1975</v>
      </c>
      <c r="E1483" s="1226">
        <v>0.124170801035678</v>
      </c>
      <c r="F1483" s="1227">
        <v>5.2949026435173435E-2</v>
      </c>
      <c r="G1483" s="1227">
        <v>5.12543772724786</v>
      </c>
      <c r="H1483" s="1227">
        <v>0.7110901636258834</v>
      </c>
      <c r="I1483" s="1227">
        <v>5.7228615416883503E-2</v>
      </c>
      <c r="J1483" s="1227">
        <v>2.1631609690514063E-4</v>
      </c>
      <c r="K1483" s="1227">
        <v>3.0000008603782999E-3</v>
      </c>
      <c r="L1483" s="1228">
        <v>2.79630658381987E-2</v>
      </c>
      <c r="M1483" s="1229">
        <v>5.9816239457815203E-2</v>
      </c>
      <c r="N1483" s="1230">
        <v>2.2609695091872753E-4</v>
      </c>
    </row>
    <row r="1484" spans="1:14" ht="15.5" x14ac:dyDescent="0.35">
      <c r="A1484" s="198">
        <v>2040</v>
      </c>
      <c r="B1484" s="197" t="s">
        <v>5850</v>
      </c>
      <c r="C1484" s="197">
        <v>1976</v>
      </c>
      <c r="D1484" s="110" t="str">
        <f t="shared" si="12"/>
        <v>2040_1976</v>
      </c>
      <c r="E1484" s="1226">
        <v>0.124170801035678</v>
      </c>
      <c r="F1484" s="1227">
        <v>5.2949026435173435E-2</v>
      </c>
      <c r="G1484" s="1227">
        <v>5.12543772724786</v>
      </c>
      <c r="H1484" s="1227">
        <v>0.7110901636258834</v>
      </c>
      <c r="I1484" s="1227">
        <v>5.7228615416883503E-2</v>
      </c>
      <c r="J1484" s="1227">
        <v>2.1631609690514063E-4</v>
      </c>
      <c r="K1484" s="1227">
        <v>3.0000008603782999E-3</v>
      </c>
      <c r="L1484" s="1228">
        <v>2.79630658381987E-2</v>
      </c>
      <c r="M1484" s="1229">
        <v>5.9816239457815203E-2</v>
      </c>
      <c r="N1484" s="1230">
        <v>2.2609695091872753E-4</v>
      </c>
    </row>
    <row r="1485" spans="1:14" ht="15.5" x14ac:dyDescent="0.35">
      <c r="A1485" s="198">
        <v>2040</v>
      </c>
      <c r="B1485" s="197" t="s">
        <v>5850</v>
      </c>
      <c r="C1485" s="197">
        <v>1977</v>
      </c>
      <c r="D1485" s="110" t="str">
        <f t="shared" si="12"/>
        <v>2040_1977</v>
      </c>
      <c r="E1485" s="1226">
        <v>0.124170801035678</v>
      </c>
      <c r="F1485" s="1227">
        <v>5.2949026435173435E-2</v>
      </c>
      <c r="G1485" s="1227">
        <v>5.12543772724786</v>
      </c>
      <c r="H1485" s="1227">
        <v>0.7110901636258834</v>
      </c>
      <c r="I1485" s="1227">
        <v>5.7228615416883503E-2</v>
      </c>
      <c r="J1485" s="1227">
        <v>2.1631609690514063E-4</v>
      </c>
      <c r="K1485" s="1227">
        <v>3.0000008603782999E-3</v>
      </c>
      <c r="L1485" s="1228">
        <v>2.79630658381987E-2</v>
      </c>
      <c r="M1485" s="1229">
        <v>5.9816239457815203E-2</v>
      </c>
      <c r="N1485" s="1230">
        <v>2.2609695091872753E-4</v>
      </c>
    </row>
    <row r="1486" spans="1:14" ht="15.5" x14ac:dyDescent="0.35">
      <c r="A1486" s="198">
        <v>2040</v>
      </c>
      <c r="B1486" s="197" t="s">
        <v>5850</v>
      </c>
      <c r="C1486" s="197">
        <v>1978</v>
      </c>
      <c r="D1486" s="110" t="str">
        <f t="shared" si="12"/>
        <v>2040_1978</v>
      </c>
      <c r="E1486" s="1226">
        <v>0.124170801035678</v>
      </c>
      <c r="F1486" s="1227">
        <v>5.2949026435173435E-2</v>
      </c>
      <c r="G1486" s="1227">
        <v>5.12543772724786</v>
      </c>
      <c r="H1486" s="1227">
        <v>0.7110901636258834</v>
      </c>
      <c r="I1486" s="1227">
        <v>5.7228615416883503E-2</v>
      </c>
      <c r="J1486" s="1227">
        <v>2.1631609690514063E-4</v>
      </c>
      <c r="K1486" s="1227">
        <v>3.0000008603782999E-3</v>
      </c>
      <c r="L1486" s="1228">
        <v>2.79630658381987E-2</v>
      </c>
      <c r="M1486" s="1229">
        <v>5.9816239457815203E-2</v>
      </c>
      <c r="N1486" s="1230">
        <v>2.2609695091872753E-4</v>
      </c>
    </row>
    <row r="1487" spans="1:14" ht="15.5" x14ac:dyDescent="0.35">
      <c r="A1487" s="198">
        <v>2040</v>
      </c>
      <c r="B1487" s="197" t="s">
        <v>5850</v>
      </c>
      <c r="C1487" s="197">
        <v>1979</v>
      </c>
      <c r="D1487" s="110" t="str">
        <f t="shared" si="12"/>
        <v>2040_1979</v>
      </c>
      <c r="E1487" s="1226">
        <v>0.124170801035678</v>
      </c>
      <c r="F1487" s="1227">
        <v>5.2949026435173435E-2</v>
      </c>
      <c r="G1487" s="1227">
        <v>5.12543772724786</v>
      </c>
      <c r="H1487" s="1227">
        <v>0.7110901636258834</v>
      </c>
      <c r="I1487" s="1227">
        <v>5.7228615416883503E-2</v>
      </c>
      <c r="J1487" s="1227">
        <v>2.1631609690514063E-4</v>
      </c>
      <c r="K1487" s="1227">
        <v>3.0000008603782999E-3</v>
      </c>
      <c r="L1487" s="1228">
        <v>2.79630658381987E-2</v>
      </c>
      <c r="M1487" s="1229">
        <v>5.9816239457815203E-2</v>
      </c>
      <c r="N1487" s="1230">
        <v>2.2609695091872753E-4</v>
      </c>
    </row>
    <row r="1488" spans="1:14" ht="15.5" x14ac:dyDescent="0.35">
      <c r="A1488" s="198">
        <v>2040</v>
      </c>
      <c r="B1488" s="197" t="s">
        <v>5850</v>
      </c>
      <c r="C1488" s="197">
        <v>1980</v>
      </c>
      <c r="D1488" s="110" t="str">
        <f t="shared" si="12"/>
        <v>2040_1980</v>
      </c>
      <c r="E1488" s="1226">
        <v>0.124170801035678</v>
      </c>
      <c r="F1488" s="1227">
        <v>5.2949026435173435E-2</v>
      </c>
      <c r="G1488" s="1227">
        <v>5.12543772724786</v>
      </c>
      <c r="H1488" s="1227">
        <v>0.7110901636258834</v>
      </c>
      <c r="I1488" s="1227">
        <v>5.7228615416883503E-2</v>
      </c>
      <c r="J1488" s="1227">
        <v>2.1631609690514063E-4</v>
      </c>
      <c r="K1488" s="1227">
        <v>3.0000008603782999E-3</v>
      </c>
      <c r="L1488" s="1228">
        <v>2.79630658381987E-2</v>
      </c>
      <c r="M1488" s="1229">
        <v>5.9816239457815203E-2</v>
      </c>
      <c r="N1488" s="1230">
        <v>2.2609695091872753E-4</v>
      </c>
    </row>
    <row r="1489" spans="1:14" ht="15.5" x14ac:dyDescent="0.35">
      <c r="A1489" s="198">
        <v>2040</v>
      </c>
      <c r="B1489" s="197" t="s">
        <v>5850</v>
      </c>
      <c r="C1489" s="197">
        <v>1981</v>
      </c>
      <c r="D1489" s="110" t="str">
        <f t="shared" si="12"/>
        <v>2040_1981</v>
      </c>
      <c r="E1489" s="1226">
        <v>0.124170801035678</v>
      </c>
      <c r="F1489" s="1227">
        <v>5.2949026435173435E-2</v>
      </c>
      <c r="G1489" s="1227">
        <v>5.12543772724786</v>
      </c>
      <c r="H1489" s="1227">
        <v>0.7110901636258834</v>
      </c>
      <c r="I1489" s="1227">
        <v>5.7228615416883503E-2</v>
      </c>
      <c r="J1489" s="1227">
        <v>2.1631609690514063E-4</v>
      </c>
      <c r="K1489" s="1227">
        <v>3.0000008603782999E-3</v>
      </c>
      <c r="L1489" s="1228">
        <v>2.79630658381987E-2</v>
      </c>
      <c r="M1489" s="1229">
        <v>5.9816239457815203E-2</v>
      </c>
      <c r="N1489" s="1230">
        <v>2.2609695091872753E-4</v>
      </c>
    </row>
    <row r="1490" spans="1:14" ht="15.5" x14ac:dyDescent="0.35">
      <c r="A1490" s="198">
        <v>2040</v>
      </c>
      <c r="B1490" s="197" t="s">
        <v>5850</v>
      </c>
      <c r="C1490" s="197">
        <v>1982</v>
      </c>
      <c r="D1490" s="110" t="str">
        <f t="shared" si="12"/>
        <v>2040_1982</v>
      </c>
      <c r="E1490" s="1226">
        <v>0.124170801035678</v>
      </c>
      <c r="F1490" s="1227">
        <v>5.2949026435173435E-2</v>
      </c>
      <c r="G1490" s="1227">
        <v>5.12543772724786</v>
      </c>
      <c r="H1490" s="1227">
        <v>0.7110901636258834</v>
      </c>
      <c r="I1490" s="1227">
        <v>5.7228615416883503E-2</v>
      </c>
      <c r="J1490" s="1227">
        <v>2.1631609690514063E-4</v>
      </c>
      <c r="K1490" s="1227">
        <v>3.0000008603782999E-3</v>
      </c>
      <c r="L1490" s="1228">
        <v>2.79630658381987E-2</v>
      </c>
      <c r="M1490" s="1229">
        <v>5.9816239457815203E-2</v>
      </c>
      <c r="N1490" s="1230">
        <v>2.2609695091872753E-4</v>
      </c>
    </row>
    <row r="1491" spans="1:14" ht="15.5" x14ac:dyDescent="0.35">
      <c r="A1491" s="198">
        <v>2040</v>
      </c>
      <c r="B1491" s="197" t="s">
        <v>5850</v>
      </c>
      <c r="C1491" s="197">
        <v>1983</v>
      </c>
      <c r="D1491" s="110" t="str">
        <f t="shared" si="12"/>
        <v>2040_1983</v>
      </c>
      <c r="E1491" s="1226">
        <v>0.124170801035678</v>
      </c>
      <c r="F1491" s="1227">
        <v>5.2949026435173435E-2</v>
      </c>
      <c r="G1491" s="1227">
        <v>5.12543772724786</v>
      </c>
      <c r="H1491" s="1227">
        <v>0.7110901636258834</v>
      </c>
      <c r="I1491" s="1227">
        <v>5.7228615416883503E-2</v>
      </c>
      <c r="J1491" s="1227">
        <v>2.1631609690514063E-4</v>
      </c>
      <c r="K1491" s="1227">
        <v>3.0000008603782999E-3</v>
      </c>
      <c r="L1491" s="1228">
        <v>2.79630658381987E-2</v>
      </c>
      <c r="M1491" s="1229">
        <v>5.9816239457815203E-2</v>
      </c>
      <c r="N1491" s="1230">
        <v>2.2609695091872753E-4</v>
      </c>
    </row>
    <row r="1492" spans="1:14" ht="15.5" x14ac:dyDescent="0.35">
      <c r="A1492" s="198">
        <v>2040</v>
      </c>
      <c r="B1492" s="197" t="s">
        <v>5850</v>
      </c>
      <c r="C1492" s="197">
        <v>1984</v>
      </c>
      <c r="D1492" s="110" t="str">
        <f t="shared" si="12"/>
        <v>2040_1984</v>
      </c>
      <c r="E1492" s="1226">
        <v>0.124170801035678</v>
      </c>
      <c r="F1492" s="1227">
        <v>5.2949026435173435E-2</v>
      </c>
      <c r="G1492" s="1227">
        <v>5.12543772724786</v>
      </c>
      <c r="H1492" s="1227">
        <v>0.7110901636258834</v>
      </c>
      <c r="I1492" s="1227">
        <v>5.7228615416883503E-2</v>
      </c>
      <c r="J1492" s="1227">
        <v>2.1631609690514063E-4</v>
      </c>
      <c r="K1492" s="1227">
        <v>3.0000008603782999E-3</v>
      </c>
      <c r="L1492" s="1228">
        <v>2.79630658381987E-2</v>
      </c>
      <c r="M1492" s="1229">
        <v>5.9816239457815203E-2</v>
      </c>
      <c r="N1492" s="1230">
        <v>2.2609695091872753E-4</v>
      </c>
    </row>
    <row r="1493" spans="1:14" ht="15.5" x14ac:dyDescent="0.35">
      <c r="A1493" s="198">
        <v>2040</v>
      </c>
      <c r="B1493" s="197" t="s">
        <v>5850</v>
      </c>
      <c r="C1493" s="197">
        <v>1985</v>
      </c>
      <c r="D1493" s="110" t="str">
        <f t="shared" si="12"/>
        <v>2040_1985</v>
      </c>
      <c r="E1493" s="1226">
        <v>0.124170801035678</v>
      </c>
      <c r="F1493" s="1227">
        <v>5.2949026435173435E-2</v>
      </c>
      <c r="G1493" s="1227">
        <v>5.12543772724786</v>
      </c>
      <c r="H1493" s="1227">
        <v>0.7110901636258834</v>
      </c>
      <c r="I1493" s="1227">
        <v>5.7228615416883503E-2</v>
      </c>
      <c r="J1493" s="1227">
        <v>2.1631609690514063E-4</v>
      </c>
      <c r="K1493" s="1227">
        <v>3.0000008603782999E-3</v>
      </c>
      <c r="L1493" s="1228">
        <v>2.79630658381987E-2</v>
      </c>
      <c r="M1493" s="1229">
        <v>5.9816239457815203E-2</v>
      </c>
      <c r="N1493" s="1230">
        <v>2.2609695091872753E-4</v>
      </c>
    </row>
    <row r="1494" spans="1:14" ht="15.5" x14ac:dyDescent="0.35">
      <c r="A1494" s="198">
        <v>2040</v>
      </c>
      <c r="B1494" s="197" t="s">
        <v>5850</v>
      </c>
      <c r="C1494" s="197">
        <v>1986</v>
      </c>
      <c r="D1494" s="110" t="str">
        <f t="shared" si="12"/>
        <v>2040_1986</v>
      </c>
      <c r="E1494" s="1226">
        <v>0.124170801035678</v>
      </c>
      <c r="F1494" s="1227">
        <v>5.2949026435173435E-2</v>
      </c>
      <c r="G1494" s="1227">
        <v>5.12543772724786</v>
      </c>
      <c r="H1494" s="1227">
        <v>0.7110901636258834</v>
      </c>
      <c r="I1494" s="1227">
        <v>5.7228615416883503E-2</v>
      </c>
      <c r="J1494" s="1227">
        <v>2.1631609690514063E-4</v>
      </c>
      <c r="K1494" s="1227">
        <v>3.0000008603782999E-3</v>
      </c>
      <c r="L1494" s="1228">
        <v>2.79630658381987E-2</v>
      </c>
      <c r="M1494" s="1229">
        <v>5.9816239457815203E-2</v>
      </c>
      <c r="N1494" s="1230">
        <v>2.2609695091872753E-4</v>
      </c>
    </row>
    <row r="1495" spans="1:14" ht="15.5" x14ac:dyDescent="0.35">
      <c r="A1495" s="198">
        <v>2040</v>
      </c>
      <c r="B1495" s="197" t="s">
        <v>5850</v>
      </c>
      <c r="C1495" s="197">
        <v>1987</v>
      </c>
      <c r="D1495" s="110" t="str">
        <f t="shared" si="12"/>
        <v>2040_1987</v>
      </c>
      <c r="E1495" s="1226">
        <v>0.124170801035678</v>
      </c>
      <c r="F1495" s="1227">
        <v>5.2949026435173435E-2</v>
      </c>
      <c r="G1495" s="1227">
        <v>5.12543772724786</v>
      </c>
      <c r="H1495" s="1227">
        <v>0.7110901636258834</v>
      </c>
      <c r="I1495" s="1227">
        <v>5.7228615416883503E-2</v>
      </c>
      <c r="J1495" s="1227">
        <v>2.1631609690514063E-4</v>
      </c>
      <c r="K1495" s="1227">
        <v>3.0000008603782999E-3</v>
      </c>
      <c r="L1495" s="1228">
        <v>2.79630658381987E-2</v>
      </c>
      <c r="M1495" s="1229">
        <v>5.9816239457815203E-2</v>
      </c>
      <c r="N1495" s="1230">
        <v>2.2609695091872753E-4</v>
      </c>
    </row>
    <row r="1496" spans="1:14" ht="15.5" x14ac:dyDescent="0.35">
      <c r="A1496" s="198">
        <v>2040</v>
      </c>
      <c r="B1496" s="197" t="s">
        <v>5850</v>
      </c>
      <c r="C1496" s="197">
        <v>1988</v>
      </c>
      <c r="D1496" s="110" t="str">
        <f t="shared" si="12"/>
        <v>2040_1988</v>
      </c>
      <c r="E1496" s="1226">
        <v>0.124170801035678</v>
      </c>
      <c r="F1496" s="1227">
        <v>5.2949026435173435E-2</v>
      </c>
      <c r="G1496" s="1227">
        <v>5.12543772724786</v>
      </c>
      <c r="H1496" s="1227">
        <v>0.7110901636258834</v>
      </c>
      <c r="I1496" s="1227">
        <v>5.7228615416883503E-2</v>
      </c>
      <c r="J1496" s="1227">
        <v>2.1631609690514063E-4</v>
      </c>
      <c r="K1496" s="1227">
        <v>3.0000008603782999E-3</v>
      </c>
      <c r="L1496" s="1228">
        <v>2.79630658381987E-2</v>
      </c>
      <c r="M1496" s="1229">
        <v>5.9816239457815203E-2</v>
      </c>
      <c r="N1496" s="1230">
        <v>2.2609695091872753E-4</v>
      </c>
    </row>
    <row r="1497" spans="1:14" ht="15.5" x14ac:dyDescent="0.35">
      <c r="A1497" s="198">
        <v>2040</v>
      </c>
      <c r="B1497" s="197" t="s">
        <v>5850</v>
      </c>
      <c r="C1497" s="197">
        <v>1989</v>
      </c>
      <c r="D1497" s="110" t="str">
        <f t="shared" si="12"/>
        <v>2040_1989</v>
      </c>
      <c r="E1497" s="1226">
        <v>0.124170801035678</v>
      </c>
      <c r="F1497" s="1227">
        <v>5.2949026435173435E-2</v>
      </c>
      <c r="G1497" s="1227">
        <v>5.12543772724786</v>
      </c>
      <c r="H1497" s="1227">
        <v>0.7110901636258834</v>
      </c>
      <c r="I1497" s="1227">
        <v>5.7228615416883503E-2</v>
      </c>
      <c r="J1497" s="1227">
        <v>2.1631609690514063E-4</v>
      </c>
      <c r="K1497" s="1227">
        <v>3.0000008603782999E-3</v>
      </c>
      <c r="L1497" s="1228">
        <v>2.79630658381987E-2</v>
      </c>
      <c r="M1497" s="1229">
        <v>5.9816239457815203E-2</v>
      </c>
      <c r="N1497" s="1230">
        <v>2.2609695091872753E-4</v>
      </c>
    </row>
    <row r="1498" spans="1:14" ht="15.5" x14ac:dyDescent="0.35">
      <c r="A1498" s="198">
        <v>2040</v>
      </c>
      <c r="B1498" s="197" t="s">
        <v>5850</v>
      </c>
      <c r="C1498" s="197">
        <v>1990</v>
      </c>
      <c r="D1498" s="110" t="str">
        <f t="shared" si="12"/>
        <v>2040_1990</v>
      </c>
      <c r="E1498" s="1226">
        <v>0.124170801035678</v>
      </c>
      <c r="F1498" s="1227">
        <v>5.2949026435173435E-2</v>
      </c>
      <c r="G1498" s="1227">
        <v>5.12543772724786</v>
      </c>
      <c r="H1498" s="1227">
        <v>0.7110901636258834</v>
      </c>
      <c r="I1498" s="1227">
        <v>5.7228615416883503E-2</v>
      </c>
      <c r="J1498" s="1227">
        <v>2.1631609690514063E-4</v>
      </c>
      <c r="K1498" s="1227">
        <v>3.0000008603782999E-3</v>
      </c>
      <c r="L1498" s="1228">
        <v>2.79630658381987E-2</v>
      </c>
      <c r="M1498" s="1229">
        <v>5.9816239457815203E-2</v>
      </c>
      <c r="N1498" s="1230">
        <v>2.2609695091872753E-4</v>
      </c>
    </row>
    <row r="1499" spans="1:14" ht="15.5" x14ac:dyDescent="0.35">
      <c r="A1499" s="198">
        <v>2040</v>
      </c>
      <c r="B1499" s="197" t="s">
        <v>5850</v>
      </c>
      <c r="C1499" s="197">
        <v>1991</v>
      </c>
      <c r="D1499" s="110" t="str">
        <f t="shared" si="12"/>
        <v>2040_1991</v>
      </c>
      <c r="E1499" s="1226">
        <v>0.124170801035678</v>
      </c>
      <c r="F1499" s="1227">
        <v>5.2949026435173435E-2</v>
      </c>
      <c r="G1499" s="1227">
        <v>5.12543772724786</v>
      </c>
      <c r="H1499" s="1227">
        <v>0.7110901636258834</v>
      </c>
      <c r="I1499" s="1227">
        <v>5.7228615416883503E-2</v>
      </c>
      <c r="J1499" s="1227">
        <v>2.1631609690514063E-4</v>
      </c>
      <c r="K1499" s="1227">
        <v>3.0000008603782999E-3</v>
      </c>
      <c r="L1499" s="1228">
        <v>2.79630658381987E-2</v>
      </c>
      <c r="M1499" s="1229">
        <v>5.9816239457815203E-2</v>
      </c>
      <c r="N1499" s="1230">
        <v>2.2609695091872753E-4</v>
      </c>
    </row>
    <row r="1500" spans="1:14" ht="15.5" x14ac:dyDescent="0.35">
      <c r="A1500" s="198">
        <v>2040</v>
      </c>
      <c r="B1500" s="197" t="s">
        <v>5850</v>
      </c>
      <c r="C1500" s="197">
        <v>1992</v>
      </c>
      <c r="D1500" s="110" t="str">
        <f t="shared" si="12"/>
        <v>2040_1992</v>
      </c>
      <c r="E1500" s="1226">
        <v>0.124170801035678</v>
      </c>
      <c r="F1500" s="1227">
        <v>5.2949026435173435E-2</v>
      </c>
      <c r="G1500" s="1227">
        <v>5.12543772724786</v>
      </c>
      <c r="H1500" s="1227">
        <v>0.7110901636258834</v>
      </c>
      <c r="I1500" s="1227">
        <v>5.7228615416883503E-2</v>
      </c>
      <c r="J1500" s="1227">
        <v>2.1631609690514063E-4</v>
      </c>
      <c r="K1500" s="1227">
        <v>3.0000008603782999E-3</v>
      </c>
      <c r="L1500" s="1228">
        <v>2.79630658381987E-2</v>
      </c>
      <c r="M1500" s="1229">
        <v>5.9816239457815203E-2</v>
      </c>
      <c r="N1500" s="1230">
        <v>2.2609695091872753E-4</v>
      </c>
    </row>
    <row r="1501" spans="1:14" ht="15.5" x14ac:dyDescent="0.35">
      <c r="A1501" s="198">
        <v>2040</v>
      </c>
      <c r="B1501" s="197" t="s">
        <v>5850</v>
      </c>
      <c r="C1501" s="197">
        <v>1993</v>
      </c>
      <c r="D1501" s="110" t="str">
        <f t="shared" si="12"/>
        <v>2040_1993</v>
      </c>
      <c r="E1501" s="1226">
        <v>0.124170801035678</v>
      </c>
      <c r="F1501" s="1227">
        <v>5.2949026435173435E-2</v>
      </c>
      <c r="G1501" s="1227">
        <v>5.12543772724786</v>
      </c>
      <c r="H1501" s="1227">
        <v>0.7110901636258834</v>
      </c>
      <c r="I1501" s="1227">
        <v>5.7228615416883503E-2</v>
      </c>
      <c r="J1501" s="1227">
        <v>2.1631609690514063E-4</v>
      </c>
      <c r="K1501" s="1227">
        <v>3.0000008603782999E-3</v>
      </c>
      <c r="L1501" s="1228">
        <v>2.79630658381987E-2</v>
      </c>
      <c r="M1501" s="1229">
        <v>5.9816239457815203E-2</v>
      </c>
      <c r="N1501" s="1230">
        <v>2.2609695091872753E-4</v>
      </c>
    </row>
    <row r="1502" spans="1:14" ht="15.5" x14ac:dyDescent="0.35">
      <c r="A1502" s="198">
        <v>2040</v>
      </c>
      <c r="B1502" s="197" t="s">
        <v>5850</v>
      </c>
      <c r="C1502" s="197">
        <v>1994</v>
      </c>
      <c r="D1502" s="110" t="str">
        <f t="shared" si="12"/>
        <v>2040_1994</v>
      </c>
      <c r="E1502" s="1226">
        <v>0.124170801035678</v>
      </c>
      <c r="F1502" s="1227">
        <v>5.2949026435173435E-2</v>
      </c>
      <c r="G1502" s="1227">
        <v>5.12543772724786</v>
      </c>
      <c r="H1502" s="1227">
        <v>0.7110901636258834</v>
      </c>
      <c r="I1502" s="1227">
        <v>5.7228615416883503E-2</v>
      </c>
      <c r="J1502" s="1227">
        <v>2.1631609690514063E-4</v>
      </c>
      <c r="K1502" s="1227">
        <v>3.0000008603782999E-3</v>
      </c>
      <c r="L1502" s="1228">
        <v>2.79630658381987E-2</v>
      </c>
      <c r="M1502" s="1229">
        <v>5.9816239457815203E-2</v>
      </c>
      <c r="N1502" s="1230">
        <v>2.2609695091872753E-4</v>
      </c>
    </row>
    <row r="1503" spans="1:14" ht="15.5" x14ac:dyDescent="0.35">
      <c r="A1503" s="198">
        <v>2040</v>
      </c>
      <c r="B1503" s="197" t="s">
        <v>5850</v>
      </c>
      <c r="C1503" s="197">
        <v>1995</v>
      </c>
      <c r="D1503" s="110" t="str">
        <f t="shared" si="12"/>
        <v>2040_1995</v>
      </c>
      <c r="E1503" s="1226">
        <v>0.124170801035678</v>
      </c>
      <c r="F1503" s="1227">
        <v>5.2949026435173435E-2</v>
      </c>
      <c r="G1503" s="1227">
        <v>5.12543772724786</v>
      </c>
      <c r="H1503" s="1227">
        <v>0.7110901636258834</v>
      </c>
      <c r="I1503" s="1227">
        <v>5.7228615416883503E-2</v>
      </c>
      <c r="J1503" s="1227">
        <v>2.1631609690514063E-4</v>
      </c>
      <c r="K1503" s="1227">
        <v>3.0000008603782999E-3</v>
      </c>
      <c r="L1503" s="1228">
        <v>2.79630658381987E-2</v>
      </c>
      <c r="M1503" s="1229">
        <v>5.9816239457815203E-2</v>
      </c>
      <c r="N1503" s="1230">
        <v>2.2609695091872753E-4</v>
      </c>
    </row>
    <row r="1504" spans="1:14" ht="15.5" x14ac:dyDescent="0.35">
      <c r="A1504" s="198">
        <v>2040</v>
      </c>
      <c r="B1504" s="197" t="s">
        <v>5850</v>
      </c>
      <c r="C1504" s="197">
        <v>1996</v>
      </c>
      <c r="D1504" s="110" t="str">
        <f t="shared" si="12"/>
        <v>2040_1996</v>
      </c>
      <c r="E1504" s="1226">
        <v>0.124170801035678</v>
      </c>
      <c r="F1504" s="1227">
        <v>5.2949026435173435E-2</v>
      </c>
      <c r="G1504" s="1227">
        <v>5.12543772724786</v>
      </c>
      <c r="H1504" s="1227">
        <v>0.7110901636258834</v>
      </c>
      <c r="I1504" s="1227">
        <v>5.7228615416883503E-2</v>
      </c>
      <c r="J1504" s="1227">
        <v>2.1631609690514063E-4</v>
      </c>
      <c r="K1504" s="1227">
        <v>3.0000008603782999E-3</v>
      </c>
      <c r="L1504" s="1228">
        <v>2.79630658381987E-2</v>
      </c>
      <c r="M1504" s="1229">
        <v>5.9816239457815203E-2</v>
      </c>
      <c r="N1504" s="1230">
        <v>2.2609695091872753E-4</v>
      </c>
    </row>
    <row r="1505" spans="1:14" ht="15.5" x14ac:dyDescent="0.35">
      <c r="A1505" s="198">
        <v>2040</v>
      </c>
      <c r="B1505" s="197" t="s">
        <v>5850</v>
      </c>
      <c r="C1505" s="197">
        <v>1997</v>
      </c>
      <c r="D1505" s="110" t="str">
        <f t="shared" si="12"/>
        <v>2040_1997</v>
      </c>
      <c r="E1505" s="1226">
        <v>0.124170801035678</v>
      </c>
      <c r="F1505" s="1227">
        <v>5.2949026435173435E-2</v>
      </c>
      <c r="G1505" s="1227">
        <v>5.12543772724786</v>
      </c>
      <c r="H1505" s="1227">
        <v>0.7110901636258834</v>
      </c>
      <c r="I1505" s="1227">
        <v>5.7228615416883503E-2</v>
      </c>
      <c r="J1505" s="1227">
        <v>2.1631609690514063E-4</v>
      </c>
      <c r="K1505" s="1227">
        <v>3.0000008603782999E-3</v>
      </c>
      <c r="L1505" s="1228">
        <v>2.79630658381987E-2</v>
      </c>
      <c r="M1505" s="1229">
        <v>5.9816239457815203E-2</v>
      </c>
      <c r="N1505" s="1230">
        <v>2.2609695091872753E-4</v>
      </c>
    </row>
    <row r="1506" spans="1:14" ht="15.5" x14ac:dyDescent="0.35">
      <c r="A1506" s="198">
        <v>2040</v>
      </c>
      <c r="B1506" s="197" t="s">
        <v>5850</v>
      </c>
      <c r="C1506" s="197">
        <v>1998</v>
      </c>
      <c r="D1506" s="110" t="str">
        <f t="shared" si="12"/>
        <v>2040_1998</v>
      </c>
      <c r="E1506" s="1226">
        <v>0.124170801035678</v>
      </c>
      <c r="F1506" s="1227">
        <v>5.2949026435173435E-2</v>
      </c>
      <c r="G1506" s="1227">
        <v>5.12543772724786</v>
      </c>
      <c r="H1506" s="1227">
        <v>0.7110901636258834</v>
      </c>
      <c r="I1506" s="1227">
        <v>5.7228615416883503E-2</v>
      </c>
      <c r="J1506" s="1227">
        <v>2.1631609690514063E-4</v>
      </c>
      <c r="K1506" s="1227">
        <v>3.0000008603782999E-3</v>
      </c>
      <c r="L1506" s="1228">
        <v>2.79630658381987E-2</v>
      </c>
      <c r="M1506" s="1229">
        <v>5.9816239457815203E-2</v>
      </c>
      <c r="N1506" s="1230">
        <v>2.2609695091872753E-4</v>
      </c>
    </row>
    <row r="1507" spans="1:14" ht="15.5" x14ac:dyDescent="0.35">
      <c r="A1507" s="198">
        <v>2040</v>
      </c>
      <c r="B1507" s="197" t="s">
        <v>5850</v>
      </c>
      <c r="C1507" s="197">
        <v>1999</v>
      </c>
      <c r="D1507" s="110" t="str">
        <f t="shared" si="12"/>
        <v>2040_1999</v>
      </c>
      <c r="E1507" s="1226">
        <v>0.124170801035678</v>
      </c>
      <c r="F1507" s="1227">
        <v>5.2949026435173435E-2</v>
      </c>
      <c r="G1507" s="1227">
        <v>5.12543772724786</v>
      </c>
      <c r="H1507" s="1227">
        <v>0.7110901636258834</v>
      </c>
      <c r="I1507" s="1227">
        <v>5.7228615416883503E-2</v>
      </c>
      <c r="J1507" s="1227">
        <v>2.1631609690514063E-4</v>
      </c>
      <c r="K1507" s="1227">
        <v>3.0000008603782999E-3</v>
      </c>
      <c r="L1507" s="1228">
        <v>2.79630658381987E-2</v>
      </c>
      <c r="M1507" s="1229">
        <v>5.9816239457815203E-2</v>
      </c>
      <c r="N1507" s="1230">
        <v>2.2609695091872753E-4</v>
      </c>
    </row>
    <row r="1508" spans="1:14" ht="15.5" x14ac:dyDescent="0.35">
      <c r="A1508" s="198">
        <v>2040</v>
      </c>
      <c r="B1508" s="197" t="s">
        <v>5850</v>
      </c>
      <c r="C1508" s="197">
        <v>2000</v>
      </c>
      <c r="D1508" s="110" t="str">
        <f t="shared" si="12"/>
        <v>2040_2000</v>
      </c>
      <c r="E1508" s="1226">
        <v>0.124170801035678</v>
      </c>
      <c r="F1508" s="1227">
        <v>5.2949026435173435E-2</v>
      </c>
      <c r="G1508" s="1227">
        <v>5.12543772724786</v>
      </c>
      <c r="H1508" s="1227">
        <v>0.7110901636258834</v>
      </c>
      <c r="I1508" s="1227">
        <v>5.7228615416883503E-2</v>
      </c>
      <c r="J1508" s="1227">
        <v>2.1631609690514063E-4</v>
      </c>
      <c r="K1508" s="1227">
        <v>3.0000008603782999E-3</v>
      </c>
      <c r="L1508" s="1228">
        <v>2.79630658381987E-2</v>
      </c>
      <c r="M1508" s="1229">
        <v>5.9816239457815203E-2</v>
      </c>
      <c r="N1508" s="1230">
        <v>2.2609695091872753E-4</v>
      </c>
    </row>
    <row r="1509" spans="1:14" ht="15.5" x14ac:dyDescent="0.35">
      <c r="A1509" s="198">
        <v>2040</v>
      </c>
      <c r="B1509" s="197" t="s">
        <v>5850</v>
      </c>
      <c r="C1509" s="197">
        <v>2001</v>
      </c>
      <c r="D1509" s="110" t="str">
        <f t="shared" si="12"/>
        <v>2040_2001</v>
      </c>
      <c r="E1509" s="1226">
        <v>0.124170801035678</v>
      </c>
      <c r="F1509" s="1227">
        <v>5.2949026435173435E-2</v>
      </c>
      <c r="G1509" s="1227">
        <v>5.12543772724786</v>
      </c>
      <c r="H1509" s="1227">
        <v>0.7110901636258834</v>
      </c>
      <c r="I1509" s="1227">
        <v>5.7228615416883503E-2</v>
      </c>
      <c r="J1509" s="1227">
        <v>2.1631609690514063E-4</v>
      </c>
      <c r="K1509" s="1227">
        <v>3.0000008603782999E-3</v>
      </c>
      <c r="L1509" s="1228">
        <v>2.79630658381987E-2</v>
      </c>
      <c r="M1509" s="1229">
        <v>5.9816239457815203E-2</v>
      </c>
      <c r="N1509" s="1230">
        <v>2.2609695091872753E-4</v>
      </c>
    </row>
    <row r="1510" spans="1:14" ht="15.5" x14ac:dyDescent="0.35">
      <c r="A1510" s="198">
        <v>2040</v>
      </c>
      <c r="B1510" s="197" t="s">
        <v>5850</v>
      </c>
      <c r="C1510" s="197">
        <v>2002</v>
      </c>
      <c r="D1510" s="110" t="str">
        <f t="shared" si="12"/>
        <v>2040_2002</v>
      </c>
      <c r="E1510" s="1226">
        <v>0.124170801035678</v>
      </c>
      <c r="F1510" s="1227">
        <v>5.2949026435173435E-2</v>
      </c>
      <c r="G1510" s="1227">
        <v>5.12543772724786</v>
      </c>
      <c r="H1510" s="1227">
        <v>0.7110901636258834</v>
      </c>
      <c r="I1510" s="1227">
        <v>5.7228615416883503E-2</v>
      </c>
      <c r="J1510" s="1227">
        <v>2.1631609690514063E-4</v>
      </c>
      <c r="K1510" s="1227">
        <v>3.0000008603782999E-3</v>
      </c>
      <c r="L1510" s="1228">
        <v>2.79630658381987E-2</v>
      </c>
      <c r="M1510" s="1229">
        <v>5.9816239457815203E-2</v>
      </c>
      <c r="N1510" s="1230">
        <v>2.2609695091872753E-4</v>
      </c>
    </row>
    <row r="1511" spans="1:14" ht="15.5" x14ac:dyDescent="0.35">
      <c r="A1511" s="198">
        <v>2040</v>
      </c>
      <c r="B1511" s="197" t="s">
        <v>5850</v>
      </c>
      <c r="C1511" s="197">
        <v>2003</v>
      </c>
      <c r="D1511" s="110" t="str">
        <f t="shared" si="12"/>
        <v>2040_2003</v>
      </c>
      <c r="E1511" s="1226">
        <v>0.124170801035678</v>
      </c>
      <c r="F1511" s="1227">
        <v>5.2949026435173435E-2</v>
      </c>
      <c r="G1511" s="1227">
        <v>5.12543772724786</v>
      </c>
      <c r="H1511" s="1227">
        <v>0.7110901636258834</v>
      </c>
      <c r="I1511" s="1227">
        <v>5.7228615416883503E-2</v>
      </c>
      <c r="J1511" s="1227">
        <v>2.1631609690514063E-4</v>
      </c>
      <c r="K1511" s="1227">
        <v>3.0000008603782999E-3</v>
      </c>
      <c r="L1511" s="1228">
        <v>2.79630658381987E-2</v>
      </c>
      <c r="M1511" s="1229">
        <v>5.9816239457815203E-2</v>
      </c>
      <c r="N1511" s="1230">
        <v>2.2609695091872753E-4</v>
      </c>
    </row>
    <row r="1512" spans="1:14" ht="15.5" x14ac:dyDescent="0.35">
      <c r="A1512" s="198">
        <v>2040</v>
      </c>
      <c r="B1512" s="197" t="s">
        <v>5850</v>
      </c>
      <c r="C1512" s="197">
        <v>2004</v>
      </c>
      <c r="D1512" s="110" t="str">
        <f t="shared" si="12"/>
        <v>2040_2004</v>
      </c>
      <c r="E1512" s="1226">
        <v>0.124170801035678</v>
      </c>
      <c r="F1512" s="1227">
        <v>5.2949026435173435E-2</v>
      </c>
      <c r="G1512" s="1227">
        <v>5.12543772724786</v>
      </c>
      <c r="H1512" s="1227">
        <v>0.7110901636258834</v>
      </c>
      <c r="I1512" s="1227">
        <v>5.7228615416883503E-2</v>
      </c>
      <c r="J1512" s="1227">
        <v>2.1631609690514063E-4</v>
      </c>
      <c r="K1512" s="1227">
        <v>3.0000008603782999E-3</v>
      </c>
      <c r="L1512" s="1228">
        <v>2.79630658381987E-2</v>
      </c>
      <c r="M1512" s="1229">
        <v>5.9816239457815203E-2</v>
      </c>
      <c r="N1512" s="1230">
        <v>2.2609695091872753E-4</v>
      </c>
    </row>
    <row r="1513" spans="1:14" ht="15.5" x14ac:dyDescent="0.35">
      <c r="A1513" s="198">
        <v>2040</v>
      </c>
      <c r="B1513" s="197" t="s">
        <v>5850</v>
      </c>
      <c r="C1513" s="197">
        <v>2005</v>
      </c>
      <c r="D1513" s="110" t="str">
        <f t="shared" si="12"/>
        <v>2040_2005</v>
      </c>
      <c r="E1513" s="1226">
        <v>0.124170801035678</v>
      </c>
      <c r="F1513" s="1227">
        <v>5.2949026435173435E-2</v>
      </c>
      <c r="G1513" s="1227">
        <v>5.12543772724786</v>
      </c>
      <c r="H1513" s="1227">
        <v>0.7110901636258834</v>
      </c>
      <c r="I1513" s="1227">
        <v>5.7228615416883503E-2</v>
      </c>
      <c r="J1513" s="1227">
        <v>2.1631609690514063E-4</v>
      </c>
      <c r="K1513" s="1227">
        <v>3.0000008603782999E-3</v>
      </c>
      <c r="L1513" s="1228">
        <v>2.79630658381987E-2</v>
      </c>
      <c r="M1513" s="1229">
        <v>5.9816239457815203E-2</v>
      </c>
      <c r="N1513" s="1230">
        <v>2.2609695091872753E-4</v>
      </c>
    </row>
    <row r="1514" spans="1:14" ht="15.5" x14ac:dyDescent="0.35">
      <c r="A1514" s="198">
        <v>2040</v>
      </c>
      <c r="B1514" s="197" t="s">
        <v>5850</v>
      </c>
      <c r="C1514" s="197">
        <v>2006</v>
      </c>
      <c r="D1514" s="110" t="str">
        <f t="shared" si="12"/>
        <v>2040_2006</v>
      </c>
      <c r="E1514" s="1226">
        <v>0.124170801035678</v>
      </c>
      <c r="F1514" s="1227">
        <v>5.2949026435173435E-2</v>
      </c>
      <c r="G1514" s="1227">
        <v>5.12543772724786</v>
      </c>
      <c r="H1514" s="1227">
        <v>0.7110901636258834</v>
      </c>
      <c r="I1514" s="1227">
        <v>5.7228615416883503E-2</v>
      </c>
      <c r="J1514" s="1227">
        <v>2.1631609690514063E-4</v>
      </c>
      <c r="K1514" s="1227">
        <v>3.0000008603782999E-3</v>
      </c>
      <c r="L1514" s="1228">
        <v>2.79630658381987E-2</v>
      </c>
      <c r="M1514" s="1229">
        <v>5.9816239457815203E-2</v>
      </c>
      <c r="N1514" s="1230">
        <v>2.2609695091872753E-4</v>
      </c>
    </row>
    <row r="1515" spans="1:14" ht="15.5" x14ac:dyDescent="0.35">
      <c r="A1515" s="198">
        <v>2040</v>
      </c>
      <c r="B1515" s="197" t="s">
        <v>5850</v>
      </c>
      <c r="C1515" s="197">
        <v>2007</v>
      </c>
      <c r="D1515" s="110" t="str">
        <f t="shared" si="12"/>
        <v>2040_2007</v>
      </c>
      <c r="E1515" s="1226">
        <v>0.124170801035678</v>
      </c>
      <c r="F1515" s="1227">
        <v>5.2949026435173435E-2</v>
      </c>
      <c r="G1515" s="1227">
        <v>5.12543772724786</v>
      </c>
      <c r="H1515" s="1227">
        <v>0.7110901636258834</v>
      </c>
      <c r="I1515" s="1227">
        <v>5.7228615416883503E-2</v>
      </c>
      <c r="J1515" s="1227">
        <v>2.1631609690514063E-4</v>
      </c>
      <c r="K1515" s="1227">
        <v>3.0000008603782999E-3</v>
      </c>
      <c r="L1515" s="1228">
        <v>2.79630658381987E-2</v>
      </c>
      <c r="M1515" s="1229">
        <v>5.9816239457815203E-2</v>
      </c>
      <c r="N1515" s="1230">
        <v>2.2609695091872753E-4</v>
      </c>
    </row>
    <row r="1516" spans="1:14" ht="15.5" x14ac:dyDescent="0.35">
      <c r="A1516" s="198">
        <v>2040</v>
      </c>
      <c r="B1516" s="197" t="s">
        <v>5850</v>
      </c>
      <c r="C1516" s="197">
        <v>2008</v>
      </c>
      <c r="D1516" s="110" t="str">
        <f t="shared" si="12"/>
        <v>2040_2008</v>
      </c>
      <c r="E1516" s="1226">
        <v>0.124170801035678</v>
      </c>
      <c r="F1516" s="1227">
        <v>5.2949026435173435E-2</v>
      </c>
      <c r="G1516" s="1227">
        <v>5.12543772724786</v>
      </c>
      <c r="H1516" s="1227">
        <v>0.7110901636258834</v>
      </c>
      <c r="I1516" s="1227">
        <v>5.7228615416883503E-2</v>
      </c>
      <c r="J1516" s="1227">
        <v>2.1631609690514063E-4</v>
      </c>
      <c r="K1516" s="1227">
        <v>3.0000008603782999E-3</v>
      </c>
      <c r="L1516" s="1228">
        <v>2.79630658381987E-2</v>
      </c>
      <c r="M1516" s="1229">
        <v>5.9816239457815203E-2</v>
      </c>
      <c r="N1516" s="1230">
        <v>2.2609695091872753E-4</v>
      </c>
    </row>
    <row r="1517" spans="1:14" ht="15.5" x14ac:dyDescent="0.35">
      <c r="A1517" s="198">
        <v>2040</v>
      </c>
      <c r="B1517" s="197" t="s">
        <v>5850</v>
      </c>
      <c r="C1517" s="197">
        <v>2009</v>
      </c>
      <c r="D1517" s="110" t="str">
        <f t="shared" si="12"/>
        <v>2040_2009</v>
      </c>
      <c r="E1517" s="1226">
        <v>0.124170801035678</v>
      </c>
      <c r="F1517" s="1227">
        <v>5.2949026435173435E-2</v>
      </c>
      <c r="G1517" s="1227">
        <v>5.12543772724786</v>
      </c>
      <c r="H1517" s="1227">
        <v>0.7110901636258834</v>
      </c>
      <c r="I1517" s="1227">
        <v>5.7228615416883503E-2</v>
      </c>
      <c r="J1517" s="1227">
        <v>2.1631609690514063E-4</v>
      </c>
      <c r="K1517" s="1227">
        <v>3.0000008603782999E-3</v>
      </c>
      <c r="L1517" s="1228">
        <v>2.79630658381987E-2</v>
      </c>
      <c r="M1517" s="1229">
        <v>5.9816239457815203E-2</v>
      </c>
      <c r="N1517" s="1230">
        <v>2.2609695091872753E-4</v>
      </c>
    </row>
    <row r="1518" spans="1:14" ht="15.5" x14ac:dyDescent="0.35">
      <c r="A1518" s="198">
        <v>2040</v>
      </c>
      <c r="B1518" s="197" t="s">
        <v>5850</v>
      </c>
      <c r="C1518" s="197">
        <v>2010</v>
      </c>
      <c r="D1518" s="110" t="str">
        <f t="shared" si="12"/>
        <v>2040_2010</v>
      </c>
      <c r="E1518" s="1226">
        <v>0.124170801035678</v>
      </c>
      <c r="F1518" s="1227">
        <v>5.2949026435173435E-2</v>
      </c>
      <c r="G1518" s="1227">
        <v>5.12543772724786</v>
      </c>
      <c r="H1518" s="1227">
        <v>0.7110901636258834</v>
      </c>
      <c r="I1518" s="1227">
        <v>5.7228615416883503E-2</v>
      </c>
      <c r="J1518" s="1227">
        <v>2.1631609690514063E-4</v>
      </c>
      <c r="K1518" s="1227">
        <v>3.0000008603782999E-3</v>
      </c>
      <c r="L1518" s="1228">
        <v>2.79630658381987E-2</v>
      </c>
      <c r="M1518" s="1229">
        <v>5.9816239457815203E-2</v>
      </c>
      <c r="N1518" s="1230">
        <v>2.2609695091872753E-4</v>
      </c>
    </row>
    <row r="1519" spans="1:14" ht="15.5" x14ac:dyDescent="0.35">
      <c r="A1519" s="198">
        <v>2040</v>
      </c>
      <c r="B1519" s="197" t="s">
        <v>5850</v>
      </c>
      <c r="C1519" s="197">
        <v>2011</v>
      </c>
      <c r="D1519" s="110" t="str">
        <f t="shared" si="12"/>
        <v>2040_2011</v>
      </c>
      <c r="E1519" s="1231">
        <v>0.124170801035678</v>
      </c>
      <c r="F1519" s="1232">
        <v>5.2949026435173435E-2</v>
      </c>
      <c r="G1519" s="1232">
        <v>5.12543772724786</v>
      </c>
      <c r="H1519" s="1232">
        <v>0.7110901636258834</v>
      </c>
      <c r="I1519" s="1232">
        <v>5.7228615416883503E-2</v>
      </c>
      <c r="J1519" s="1232">
        <v>2.1631609690514063E-4</v>
      </c>
      <c r="K1519" s="1232">
        <v>3.0000008603782999E-3</v>
      </c>
      <c r="L1519" s="1233">
        <v>2.79630658381987E-2</v>
      </c>
      <c r="M1519" s="1234">
        <v>5.9816239457815203E-2</v>
      </c>
      <c r="N1519" s="1235">
        <v>2.2609695091872753E-4</v>
      </c>
    </row>
    <row r="1520" spans="1:14" ht="15.5" x14ac:dyDescent="0.35">
      <c r="A1520" s="198">
        <v>2040</v>
      </c>
      <c r="B1520" s="197" t="s">
        <v>5850</v>
      </c>
      <c r="C1520" s="197">
        <v>2012</v>
      </c>
      <c r="D1520" s="110" t="str">
        <f t="shared" si="12"/>
        <v>2040_2012</v>
      </c>
      <c r="E1520" s="1231">
        <v>2.5042912013286699E-2</v>
      </c>
      <c r="F1520" s="1232">
        <v>5.3126479003752176E-2</v>
      </c>
      <c r="G1520" s="1232">
        <v>4.4684563657799101</v>
      </c>
      <c r="H1520" s="1232">
        <v>0.62779224734679984</v>
      </c>
      <c r="I1520" s="1232">
        <v>3.3199673160090003E-2</v>
      </c>
      <c r="J1520" s="1232">
        <v>2.1631609690513849E-4</v>
      </c>
      <c r="K1520" s="1232">
        <v>3.0000008603782999E-3</v>
      </c>
      <c r="L1520" s="1233">
        <v>2.79630658383428E-2</v>
      </c>
      <c r="M1520" s="1234">
        <v>3.4700815059021499E-2</v>
      </c>
      <c r="N1520" s="1235">
        <v>2.2609695091872528E-4</v>
      </c>
    </row>
    <row r="1521" spans="1:14" ht="15.5" x14ac:dyDescent="0.35">
      <c r="A1521" s="198">
        <v>2040</v>
      </c>
      <c r="B1521" s="197" t="s">
        <v>5850</v>
      </c>
      <c r="C1521" s="197">
        <v>2013</v>
      </c>
      <c r="D1521" s="110" t="str">
        <f t="shared" si="12"/>
        <v>2040_2013</v>
      </c>
      <c r="E1521" s="1231">
        <v>2.4725547447525299E-2</v>
      </c>
      <c r="F1521" s="1232">
        <v>5.3126479003752773E-2</v>
      </c>
      <c r="G1521" s="1232">
        <v>4.21661168009775</v>
      </c>
      <c r="H1521" s="1232">
        <v>0.62779224734680827</v>
      </c>
      <c r="I1521" s="1232">
        <v>3.2285403831819798E-2</v>
      </c>
      <c r="J1521" s="1232">
        <v>2.1631609690514093E-4</v>
      </c>
      <c r="K1521" s="1232">
        <v>3.0000008603782999E-3</v>
      </c>
      <c r="L1521" s="1233">
        <v>2.7963065838330602E-2</v>
      </c>
      <c r="M1521" s="1234">
        <v>3.3745206528736998E-2</v>
      </c>
      <c r="N1521" s="1235">
        <v>2.2609695091872781E-4</v>
      </c>
    </row>
    <row r="1522" spans="1:14" ht="15.5" x14ac:dyDescent="0.35">
      <c r="A1522" s="198">
        <v>2040</v>
      </c>
      <c r="B1522" s="197" t="s">
        <v>5850</v>
      </c>
      <c r="C1522" s="197">
        <v>2014</v>
      </c>
      <c r="D1522" s="110" t="str">
        <f t="shared" si="12"/>
        <v>2040_2014</v>
      </c>
      <c r="E1522" s="1231">
        <v>1.2166957421705199E-2</v>
      </c>
      <c r="F1522" s="1232">
        <v>5.3126479003752676E-2</v>
      </c>
      <c r="G1522" s="1232">
        <v>1.5878465161111399</v>
      </c>
      <c r="H1522" s="1232">
        <v>0.62779224734680572</v>
      </c>
      <c r="I1522" s="1232">
        <v>3.7552354031150502E-2</v>
      </c>
      <c r="J1522" s="1232">
        <v>2.1631609690514052E-4</v>
      </c>
      <c r="K1522" s="1232">
        <v>3.0000008603782999E-3</v>
      </c>
      <c r="L1522" s="1233">
        <v>2.7963065838225099E-2</v>
      </c>
      <c r="M1522" s="1234">
        <v>3.9250304844336101E-2</v>
      </c>
      <c r="N1522" s="1235">
        <v>2.260969509187274E-4</v>
      </c>
    </row>
    <row r="1523" spans="1:14" ht="15.5" x14ac:dyDescent="0.35">
      <c r="A1523" s="198">
        <v>2040</v>
      </c>
      <c r="B1523" s="197" t="s">
        <v>5850</v>
      </c>
      <c r="C1523" s="197">
        <v>2015</v>
      </c>
      <c r="D1523" s="110" t="str">
        <f t="shared" si="12"/>
        <v>2040_2015</v>
      </c>
      <c r="E1523" s="1231">
        <v>1.2166957421713601E-2</v>
      </c>
      <c r="F1523" s="1232">
        <v>5.3126479003752648E-2</v>
      </c>
      <c r="G1523" s="1232">
        <v>1.5878465161117901</v>
      </c>
      <c r="H1523" s="1232">
        <v>0.6277922473468055</v>
      </c>
      <c r="I1523" s="1232">
        <v>3.7552354031064501E-2</v>
      </c>
      <c r="J1523" s="1232">
        <v>2.1631609690514039E-4</v>
      </c>
      <c r="K1523" s="1232">
        <v>3.0000008603782999E-3</v>
      </c>
      <c r="L1523" s="1233">
        <v>2.79630658382518E-2</v>
      </c>
      <c r="M1523" s="1234">
        <v>3.92503048442462E-2</v>
      </c>
      <c r="N1523" s="1235">
        <v>2.2609695091872729E-4</v>
      </c>
    </row>
    <row r="1524" spans="1:14" ht="15.5" x14ac:dyDescent="0.35">
      <c r="A1524" s="198">
        <v>2040</v>
      </c>
      <c r="B1524" s="197" t="s">
        <v>5850</v>
      </c>
      <c r="C1524" s="197">
        <v>2016</v>
      </c>
      <c r="D1524" s="110" t="str">
        <f t="shared" si="12"/>
        <v>2040_2016</v>
      </c>
      <c r="E1524" s="1231">
        <v>1.2166957421713399E-2</v>
      </c>
      <c r="F1524" s="1232">
        <v>5.3126479003752648E-2</v>
      </c>
      <c r="G1524" s="1232">
        <v>1.58784651611049</v>
      </c>
      <c r="H1524" s="1232">
        <v>0.62779224734680539</v>
      </c>
      <c r="I1524" s="1232">
        <v>3.75523540309829E-2</v>
      </c>
      <c r="J1524" s="1232">
        <v>2.1631609690514039E-4</v>
      </c>
      <c r="K1524" s="1232">
        <v>3.0000008603782999E-3</v>
      </c>
      <c r="L1524" s="1233">
        <v>2.79630658382681E-2</v>
      </c>
      <c r="M1524" s="1234">
        <v>3.9250304844160901E-2</v>
      </c>
      <c r="N1524" s="1235">
        <v>2.2609695091872729E-4</v>
      </c>
    </row>
    <row r="1525" spans="1:14" ht="15.5" x14ac:dyDescent="0.35">
      <c r="A1525" s="198">
        <v>2040</v>
      </c>
      <c r="B1525" s="197" t="s">
        <v>5850</v>
      </c>
      <c r="C1525" s="197">
        <v>2017</v>
      </c>
      <c r="D1525" s="110" t="str">
        <f t="shared" si="12"/>
        <v>2040_2017</v>
      </c>
      <c r="E1525" s="1231">
        <v>1.2376290196418401E-2</v>
      </c>
      <c r="F1525" s="1232">
        <v>5.312647900375244E-2</v>
      </c>
      <c r="G1525" s="1232">
        <v>1.5878465161153199</v>
      </c>
      <c r="H1525" s="1232">
        <v>0.62779224734680306</v>
      </c>
      <c r="I1525" s="1232">
        <v>3.0607498975418999E-2</v>
      </c>
      <c r="J1525" s="1232">
        <v>2.1631609690513955E-4</v>
      </c>
      <c r="K1525" s="1232">
        <v>3.0000008603782999E-3</v>
      </c>
      <c r="L1525" s="1233">
        <v>2.7963065838277099E-2</v>
      </c>
      <c r="M1525" s="1234">
        <v>3.19914342603222E-2</v>
      </c>
      <c r="N1525" s="1235">
        <v>2.2609695091872642E-4</v>
      </c>
    </row>
    <row r="1526" spans="1:14" ht="15.5" x14ac:dyDescent="0.35">
      <c r="A1526" s="198">
        <v>2040</v>
      </c>
      <c r="B1526" s="197" t="s">
        <v>5850</v>
      </c>
      <c r="C1526" s="197">
        <v>2018</v>
      </c>
      <c r="D1526" s="110" t="str">
        <f t="shared" si="12"/>
        <v>2040_2018</v>
      </c>
      <c r="E1526" s="1231">
        <v>1.23762901964376E-2</v>
      </c>
      <c r="F1526" s="1232">
        <v>5.3126479003752745E-2</v>
      </c>
      <c r="G1526" s="1232">
        <v>1.5878465161127999</v>
      </c>
      <c r="H1526" s="1232">
        <v>0.62779224734680672</v>
      </c>
      <c r="I1526" s="1232">
        <v>3.06074989756881E-2</v>
      </c>
      <c r="J1526" s="1232">
        <v>2.1631609690514079E-4</v>
      </c>
      <c r="K1526" s="1232">
        <v>3.0000008603782999E-3</v>
      </c>
      <c r="L1526" s="1233">
        <v>2.7963065838181599E-2</v>
      </c>
      <c r="M1526" s="1234">
        <v>3.1991434260603503E-2</v>
      </c>
      <c r="N1526" s="1235">
        <v>2.2609695091872772E-4</v>
      </c>
    </row>
    <row r="1527" spans="1:14" ht="15.5" x14ac:dyDescent="0.35">
      <c r="A1527" s="198">
        <v>2040</v>
      </c>
      <c r="B1527" s="197" t="s">
        <v>5850</v>
      </c>
      <c r="C1527" s="197">
        <v>2019</v>
      </c>
      <c r="D1527" s="110" t="str">
        <f t="shared" si="12"/>
        <v>2040_2019</v>
      </c>
      <c r="E1527" s="1231">
        <v>1.2376290196361399E-2</v>
      </c>
      <c r="F1527" s="1232">
        <v>5.3126479003752669E-2</v>
      </c>
      <c r="G1527" s="1232">
        <v>1.5878465161131099</v>
      </c>
      <c r="H1527" s="1232">
        <v>0.62779224734680572</v>
      </c>
      <c r="I1527" s="1232">
        <v>3.0607498975031702E-2</v>
      </c>
      <c r="J1527" s="1232">
        <v>2.1631609690514049E-4</v>
      </c>
      <c r="K1527" s="1232">
        <v>3.0000008603782999E-3</v>
      </c>
      <c r="L1527" s="1233">
        <v>2.7963065838378501E-2</v>
      </c>
      <c r="M1527" s="1234">
        <v>3.1991434259917503E-2</v>
      </c>
      <c r="N1527" s="1235">
        <v>2.260969509187274E-4</v>
      </c>
    </row>
    <row r="1528" spans="1:14" ht="15.5" x14ac:dyDescent="0.35">
      <c r="A1528" s="198">
        <v>2040</v>
      </c>
      <c r="B1528" s="197" t="s">
        <v>5850</v>
      </c>
      <c r="C1528" s="197">
        <v>2020</v>
      </c>
      <c r="D1528" s="110" t="str">
        <f t="shared" si="12"/>
        <v>2040_2020</v>
      </c>
      <c r="E1528" s="1231">
        <v>1.23762901964245E-2</v>
      </c>
      <c r="F1528" s="1232">
        <v>5.3126479003752961E-2</v>
      </c>
      <c r="G1528" s="1232">
        <v>1.5878465161156401</v>
      </c>
      <c r="H1528" s="1232">
        <v>0.62779224734680916</v>
      </c>
      <c r="I1528" s="1232">
        <v>3.0607498975465899E-2</v>
      </c>
      <c r="J1528" s="1232">
        <v>2.1631609690514163E-4</v>
      </c>
      <c r="K1528" s="1232">
        <v>3.0000008603782999E-3</v>
      </c>
      <c r="L1528" s="1233">
        <v>2.79630658382681E-2</v>
      </c>
      <c r="M1528" s="1234">
        <v>3.19914342603713E-2</v>
      </c>
      <c r="N1528" s="1235">
        <v>2.2609695091872859E-4</v>
      </c>
    </row>
    <row r="1529" spans="1:14" ht="15.5" x14ac:dyDescent="0.35">
      <c r="A1529" s="199">
        <v>2040</v>
      </c>
      <c r="B1529" s="110" t="s">
        <v>5850</v>
      </c>
      <c r="C1529" s="110">
        <v>2021</v>
      </c>
      <c r="D1529" s="110" t="str">
        <f t="shared" si="12"/>
        <v>2040_2021</v>
      </c>
      <c r="E1529" s="1231">
        <v>1.2376290196425801E-2</v>
      </c>
      <c r="F1529" s="1232">
        <v>5.3126479003753856E-2</v>
      </c>
      <c r="G1529" s="1232">
        <v>1.5878465160725801</v>
      </c>
      <c r="H1529" s="1232">
        <v>0.62779224734681971</v>
      </c>
      <c r="I1529" s="1232">
        <v>3.0607498976907101E-2</v>
      </c>
      <c r="J1529" s="1232">
        <v>2.1631609690514532E-4</v>
      </c>
      <c r="K1529" s="1232">
        <v>3.0000008603782999E-3</v>
      </c>
      <c r="L1529" s="1233">
        <v>2.7963065837544501E-2</v>
      </c>
      <c r="M1529" s="1234">
        <v>3.1991434261877699E-2</v>
      </c>
      <c r="N1529" s="1235">
        <v>2.2609695091873244E-4</v>
      </c>
    </row>
    <row r="1530" spans="1:14" ht="15.5" x14ac:dyDescent="0.35">
      <c r="A1530" s="199">
        <v>2040</v>
      </c>
      <c r="B1530" s="110" t="s">
        <v>5850</v>
      </c>
      <c r="C1530" s="110">
        <v>2022</v>
      </c>
      <c r="D1530" s="110" t="str">
        <f t="shared" si="12"/>
        <v>2040_2022</v>
      </c>
      <c r="E1530" s="1231">
        <v>1.23762901963691E-2</v>
      </c>
      <c r="F1530" s="1232">
        <v>5.3126479003752385E-2</v>
      </c>
      <c r="G1530" s="1232">
        <v>1.5878465161176301</v>
      </c>
      <c r="H1530" s="1232">
        <v>0.62779224734680239</v>
      </c>
      <c r="I1530" s="1232">
        <v>3.0607498974933499E-2</v>
      </c>
      <c r="J1530" s="1232">
        <v>2.1631609690513936E-4</v>
      </c>
      <c r="K1530" s="1232">
        <v>3.0000008603782999E-3</v>
      </c>
      <c r="L1530" s="1233">
        <v>2.7963065838437998E-2</v>
      </c>
      <c r="M1530" s="1234">
        <v>3.1991434259814801E-2</v>
      </c>
      <c r="N1530" s="1235">
        <v>2.2609695091872618E-4</v>
      </c>
    </row>
    <row r="1531" spans="1:14" ht="15.5" x14ac:dyDescent="0.35">
      <c r="A1531" s="199">
        <v>2040</v>
      </c>
      <c r="B1531" s="110" t="s">
        <v>5850</v>
      </c>
      <c r="C1531" s="110">
        <v>2023</v>
      </c>
      <c r="D1531" s="110" t="str">
        <f t="shared" si="12"/>
        <v>2040_2023</v>
      </c>
      <c r="E1531" s="1231">
        <v>1.2376290196389099E-2</v>
      </c>
      <c r="F1531" s="1232">
        <v>5.312647900375287E-2</v>
      </c>
      <c r="G1531" s="1232">
        <v>1.51547725244632</v>
      </c>
      <c r="H1531" s="1232">
        <v>0.62779224734680816</v>
      </c>
      <c r="I1531" s="1232">
        <v>2.95685976398695E-2</v>
      </c>
      <c r="J1531" s="1232">
        <v>2.1631609690514133E-4</v>
      </c>
      <c r="K1531" s="1232">
        <v>3.0000008603782999E-3</v>
      </c>
      <c r="L1531" s="1233">
        <v>2.7963065838339601E-2</v>
      </c>
      <c r="M1531" s="1234">
        <v>3.0905558416435601E-2</v>
      </c>
      <c r="N1531" s="1235">
        <v>2.2609695091872824E-4</v>
      </c>
    </row>
    <row r="1532" spans="1:14" ht="15.5" x14ac:dyDescent="0.35">
      <c r="A1532" s="199">
        <v>2040</v>
      </c>
      <c r="B1532" s="110" t="s">
        <v>5850</v>
      </c>
      <c r="C1532" s="110">
        <v>2024</v>
      </c>
      <c r="D1532" s="110" t="str">
        <f t="shared" si="12"/>
        <v>2040_2024</v>
      </c>
      <c r="E1532" s="1231">
        <v>1.2375231155561901E-2</v>
      </c>
      <c r="F1532" s="1232">
        <v>5.3126479003752482E-2</v>
      </c>
      <c r="G1532" s="1232">
        <v>1.5153814885411601</v>
      </c>
      <c r="H1532" s="1232">
        <v>0.62779224734680483</v>
      </c>
      <c r="I1532" s="1232">
        <v>2.9564310141542899E-2</v>
      </c>
      <c r="J1532" s="1232">
        <v>2.1631609690513971E-4</v>
      </c>
      <c r="K1532" s="1232">
        <v>3.0000008603782999E-3</v>
      </c>
      <c r="L1532" s="1233">
        <v>2.7963065838149601E-2</v>
      </c>
      <c r="M1532" s="1234">
        <v>3.09010770564602E-2</v>
      </c>
      <c r="N1532" s="1235">
        <v>2.2609695091872659E-4</v>
      </c>
    </row>
    <row r="1533" spans="1:14" ht="15.5" x14ac:dyDescent="0.35">
      <c r="A1533" s="199">
        <v>2040</v>
      </c>
      <c r="B1533" s="110" t="s">
        <v>5850</v>
      </c>
      <c r="C1533" s="110">
        <v>2025</v>
      </c>
      <c r="D1533" s="110" t="str">
        <f t="shared" si="12"/>
        <v>2040_2025</v>
      </c>
      <c r="E1533" s="1231">
        <v>1.2222903207892899E-2</v>
      </c>
      <c r="F1533" s="1232">
        <v>5.3126479003752482E-2</v>
      </c>
      <c r="G1533" s="1232">
        <v>1.36831025792103</v>
      </c>
      <c r="H1533" s="1232">
        <v>0.3184359706648931</v>
      </c>
      <c r="I1533" s="1232">
        <v>2.8947614491562201E-2</v>
      </c>
      <c r="J1533" s="1232">
        <v>2.1631609690513971E-4</v>
      </c>
      <c r="K1533" s="1232">
        <v>3.0000008603782999E-3</v>
      </c>
      <c r="L1533" s="1233">
        <v>2.79630658382925E-2</v>
      </c>
      <c r="M1533" s="1234">
        <v>3.0256497165733798E-2</v>
      </c>
      <c r="N1533" s="1235">
        <v>2.2609695091872659E-4</v>
      </c>
    </row>
    <row r="1534" spans="1:14" ht="15.5" x14ac:dyDescent="0.35">
      <c r="A1534" s="199">
        <v>2040</v>
      </c>
      <c r="B1534" s="110" t="s">
        <v>5850</v>
      </c>
      <c r="C1534" s="110">
        <v>2026</v>
      </c>
      <c r="D1534" s="110" t="str">
        <f t="shared" si="12"/>
        <v>2040_2026</v>
      </c>
      <c r="E1534" s="1231">
        <v>1.2053649932410501E-2</v>
      </c>
      <c r="F1534" s="1232">
        <v>4.7813831103377454E-2</v>
      </c>
      <c r="G1534" s="1232">
        <v>1.3536152672963</v>
      </c>
      <c r="H1534" s="1232">
        <v>0.28659237359840506</v>
      </c>
      <c r="I1534" s="1232">
        <v>2.82623971017994E-2</v>
      </c>
      <c r="J1534" s="1232">
        <v>1.9468448721462662E-4</v>
      </c>
      <c r="K1534" s="1232">
        <v>3.0000008603782999E-3</v>
      </c>
      <c r="L1534" s="1233">
        <v>3.0896715914240699E-2</v>
      </c>
      <c r="M1534" s="1234">
        <v>2.9540297286213001E-2</v>
      </c>
      <c r="N1534" s="1235">
        <v>2.0348725582685484E-4</v>
      </c>
    </row>
    <row r="1535" spans="1:14" ht="15.5" x14ac:dyDescent="0.35">
      <c r="A1535" s="199">
        <v>2040</v>
      </c>
      <c r="B1535" s="110" t="s">
        <v>5850</v>
      </c>
      <c r="C1535" s="110">
        <v>2027</v>
      </c>
      <c r="D1535" s="110" t="str">
        <f t="shared" si="12"/>
        <v>2040_2027</v>
      </c>
      <c r="E1535" s="1231">
        <v>1.18655907374207E-2</v>
      </c>
      <c r="F1535" s="1232">
        <v>4.3032447993039666E-2</v>
      </c>
      <c r="G1535" s="1232">
        <v>1.33689877836238</v>
      </c>
      <c r="H1535" s="1232">
        <v>0.25793313623856434</v>
      </c>
      <c r="I1535" s="1232">
        <v>2.75010444464408E-2</v>
      </c>
      <c r="J1535" s="1232">
        <v>1.752160384931638E-4</v>
      </c>
      <c r="K1535" s="1232">
        <v>3.0000008603782999E-3</v>
      </c>
      <c r="L1535" s="1233">
        <v>3.0896715914236501E-2</v>
      </c>
      <c r="M1535" s="1234">
        <v>2.87445196422315E-2</v>
      </c>
      <c r="N1535" s="1235">
        <v>1.8313853024416919E-4</v>
      </c>
    </row>
    <row r="1536" spans="1:14" ht="15.5" x14ac:dyDescent="0.35">
      <c r="A1536" s="199">
        <v>2040</v>
      </c>
      <c r="B1536" s="110" t="s">
        <v>5850</v>
      </c>
      <c r="C1536" s="110">
        <v>2028</v>
      </c>
      <c r="D1536" s="110" t="str">
        <f t="shared" si="12"/>
        <v>2040_2028</v>
      </c>
      <c r="E1536" s="1231">
        <v>1.16566360763177E-2</v>
      </c>
      <c r="F1536" s="1232">
        <v>3.8729203193735712E-2</v>
      </c>
      <c r="G1536" s="1232">
        <v>1.20253749006265</v>
      </c>
      <c r="H1536" s="1232">
        <v>0.17575964118942958</v>
      </c>
      <c r="I1536" s="1232">
        <v>2.62892867222182E-2</v>
      </c>
      <c r="J1536" s="1232">
        <v>1.5769443464384747E-4</v>
      </c>
      <c r="K1536" s="1232">
        <v>3.0000008603782999E-3</v>
      </c>
      <c r="L1536" s="1233">
        <v>3.0896715914247998E-2</v>
      </c>
      <c r="M1536" s="1234">
        <v>2.7477971610814798E-2</v>
      </c>
      <c r="N1536" s="1235">
        <v>1.6482467721975233E-4</v>
      </c>
    </row>
    <row r="1537" spans="1:14" ht="15.5" x14ac:dyDescent="0.35">
      <c r="A1537" s="199">
        <v>2040</v>
      </c>
      <c r="B1537" s="110" t="s">
        <v>5850</v>
      </c>
      <c r="C1537" s="110">
        <v>2029</v>
      </c>
      <c r="D1537" s="110" t="str">
        <f t="shared" si="12"/>
        <v>2040_2029</v>
      </c>
      <c r="E1537" s="1231">
        <v>1.14244642306532E-2</v>
      </c>
      <c r="F1537" s="1232">
        <v>3.4856282874362175E-2</v>
      </c>
      <c r="G1537" s="1232">
        <v>1.18100285290065</v>
      </c>
      <c r="H1537" s="1232">
        <v>0.15818367707048678</v>
      </c>
      <c r="I1537" s="1232">
        <v>2.5349345172392099E-2</v>
      </c>
      <c r="J1537" s="1232">
        <v>1.4192499117946289E-4</v>
      </c>
      <c r="K1537" s="1232">
        <v>3.0000008603782999E-3</v>
      </c>
      <c r="L1537" s="1233">
        <v>3.0896715914247402E-2</v>
      </c>
      <c r="M1537" s="1234">
        <v>2.6495530075034499E-2</v>
      </c>
      <c r="N1537" s="1235">
        <v>1.4834220949777726E-4</v>
      </c>
    </row>
    <row r="1538" spans="1:14" ht="15.5" x14ac:dyDescent="0.35">
      <c r="A1538" s="199">
        <v>2040</v>
      </c>
      <c r="B1538" s="110" t="s">
        <v>5850</v>
      </c>
      <c r="C1538" s="110">
        <v>2030</v>
      </c>
      <c r="D1538" s="110" t="str">
        <f t="shared" si="12"/>
        <v>2040_2030</v>
      </c>
      <c r="E1538" s="1231">
        <v>1.11664955132488E-2</v>
      </c>
      <c r="F1538" s="1232">
        <v>3.1370654586926207E-2</v>
      </c>
      <c r="G1538" s="1232">
        <v>1.1561694999235701</v>
      </c>
      <c r="H1538" s="1232">
        <v>0.14236530936343922</v>
      </c>
      <c r="I1538" s="1232">
        <v>2.43049656726049E-2</v>
      </c>
      <c r="J1538" s="1232">
        <v>1.2773249206151762E-4</v>
      </c>
      <c r="K1538" s="1232">
        <v>3.0000008603782999E-3</v>
      </c>
      <c r="L1538" s="1233">
        <v>3.0896715914234499E-2</v>
      </c>
      <c r="M1538" s="1234">
        <v>2.54039283686322E-2</v>
      </c>
      <c r="N1538" s="1235">
        <v>1.3350798854800059E-4</v>
      </c>
    </row>
    <row r="1539" spans="1:14" ht="15.5" x14ac:dyDescent="0.35">
      <c r="A1539" s="199">
        <v>2040</v>
      </c>
      <c r="B1539" s="110" t="s">
        <v>5850</v>
      </c>
      <c r="C1539" s="110">
        <v>2031</v>
      </c>
      <c r="D1539" s="110" t="str">
        <f t="shared" si="12"/>
        <v>2040_2031</v>
      </c>
      <c r="E1539" s="1231">
        <v>1.08798636050155E-2</v>
      </c>
      <c r="F1539" s="1232">
        <v>2.8233589128233365E-2</v>
      </c>
      <c r="G1539" s="1232">
        <v>1.1273347814508901</v>
      </c>
      <c r="H1539" s="1232">
        <v>0.1281287784270943</v>
      </c>
      <c r="I1539" s="1232">
        <v>2.3144544006112499E-2</v>
      </c>
      <c r="J1539" s="1232">
        <v>1.1495924285536495E-4</v>
      </c>
      <c r="K1539" s="1232">
        <v>3.0000008603782999E-3</v>
      </c>
      <c r="L1539" s="1233">
        <v>3.0896715914250202E-2</v>
      </c>
      <c r="M1539" s="1234">
        <v>2.4191037583675998E-2</v>
      </c>
      <c r="N1539" s="1235">
        <v>1.2015718969319959E-4</v>
      </c>
    </row>
    <row r="1540" spans="1:14" ht="15.5" x14ac:dyDescent="0.35">
      <c r="A1540" s="199">
        <v>2040</v>
      </c>
      <c r="B1540" s="110" t="s">
        <v>5850</v>
      </c>
      <c r="C1540" s="110">
        <v>2032</v>
      </c>
      <c r="D1540" s="110" t="str">
        <f t="shared" ref="D1540:D1685" si="13">CONCATENATE(A1540,"_",C1540)</f>
        <v>2040_2032</v>
      </c>
      <c r="E1540" s="1231">
        <v>1.0561383706983099E-2</v>
      </c>
      <c r="F1540" s="1232">
        <v>2.541023021541006E-2</v>
      </c>
      <c r="G1540" s="1232">
        <v>1.0301340058381301</v>
      </c>
      <c r="H1540" s="1232">
        <v>0.11531590058438503</v>
      </c>
      <c r="I1540" s="1232">
        <v>2.00838944778997E-2</v>
      </c>
      <c r="J1540" s="1232">
        <v>1.0346331856982858E-4</v>
      </c>
      <c r="K1540" s="1232">
        <v>3.0000008603782999E-3</v>
      </c>
      <c r="L1540" s="1233">
        <v>3.0896715914252498E-2</v>
      </c>
      <c r="M1540" s="1234">
        <v>2.09919990652285E-2</v>
      </c>
      <c r="N1540" s="1235">
        <v>1.0814147072387978E-4</v>
      </c>
    </row>
    <row r="1541" spans="1:14" ht="15.5" x14ac:dyDescent="0.35">
      <c r="A1541" s="198">
        <v>2040</v>
      </c>
      <c r="B1541" s="197" t="s">
        <v>5850</v>
      </c>
      <c r="C1541" s="197">
        <v>2033</v>
      </c>
      <c r="D1541" s="110" t="str">
        <f t="shared" si="13"/>
        <v>2040_2033</v>
      </c>
      <c r="E1541" s="1231">
        <v>1.0207517153612801E-2</v>
      </c>
      <c r="F1541" s="1232">
        <v>2.5410230215409831E-2</v>
      </c>
      <c r="G1541" s="1232">
        <v>0.99266037837704901</v>
      </c>
      <c r="H1541" s="1232">
        <v>0.11531590058438397</v>
      </c>
      <c r="I1541" s="1232">
        <v>1.86512751366021E-2</v>
      </c>
      <c r="J1541" s="1232">
        <v>1.0346331856982764E-4</v>
      </c>
      <c r="K1541" s="1232">
        <v>3.0000008603782999E-3</v>
      </c>
      <c r="L1541" s="1233">
        <v>3.0896715914243901E-2</v>
      </c>
      <c r="M1541" s="1234">
        <v>1.9494603034471598E-2</v>
      </c>
      <c r="N1541" s="1235">
        <v>1.0814147072387879E-4</v>
      </c>
    </row>
    <row r="1542" spans="1:14" ht="15.5" x14ac:dyDescent="0.35">
      <c r="A1542" s="198">
        <v>2040</v>
      </c>
      <c r="B1542" s="197" t="s">
        <v>5850</v>
      </c>
      <c r="C1542" s="197">
        <v>2034</v>
      </c>
      <c r="D1542" s="110" t="str">
        <f t="shared" si="13"/>
        <v>2040_2034</v>
      </c>
      <c r="E1542" s="1231">
        <v>9.8536506002415807E-3</v>
      </c>
      <c r="F1542" s="1232">
        <v>2.5410230215409994E-2</v>
      </c>
      <c r="G1542" s="1232">
        <v>0.95224437685882701</v>
      </c>
      <c r="H1542" s="1232">
        <v>0.11531590058438473</v>
      </c>
      <c r="I1542" s="1232">
        <v>1.7218655795285701E-2</v>
      </c>
      <c r="J1542" s="1232">
        <v>1.0346331856982831E-4</v>
      </c>
      <c r="K1542" s="1232">
        <v>3.0000008603782999E-3</v>
      </c>
      <c r="L1542" s="1233">
        <v>3.0896715914249102E-2</v>
      </c>
      <c r="M1542" s="1234">
        <v>1.7997207003695101E-2</v>
      </c>
      <c r="N1542" s="1235">
        <v>1.0814147072387949E-4</v>
      </c>
    </row>
    <row r="1543" spans="1:14" ht="15.5" x14ac:dyDescent="0.35">
      <c r="A1543" s="199">
        <v>2040</v>
      </c>
      <c r="B1543" s="110" t="s">
        <v>5850</v>
      </c>
      <c r="C1543" s="110">
        <v>2035</v>
      </c>
      <c r="D1543" s="110" t="str">
        <f t="shared" si="13"/>
        <v>2040_2035</v>
      </c>
      <c r="E1543" s="1231">
        <v>9.4997840468728292E-3</v>
      </c>
      <c r="F1543" s="1232">
        <v>2.541023021540988E-2</v>
      </c>
      <c r="G1543" s="1232">
        <v>0.90784260273268402</v>
      </c>
      <c r="H1543" s="1232">
        <v>0.11511384767033109</v>
      </c>
      <c r="I1543" s="1232">
        <v>1.6156817365358699E-2</v>
      </c>
      <c r="J1543" s="1232">
        <v>1.0346331856982783E-4</v>
      </c>
      <c r="K1543" s="1232">
        <v>3.0000008603782999E-3</v>
      </c>
      <c r="L1543" s="1233">
        <v>3.0896715914240799E-2</v>
      </c>
      <c r="M1543" s="1234">
        <v>1.6887356951804999E-2</v>
      </c>
      <c r="N1543" s="1235">
        <v>1.0814147072387899E-4</v>
      </c>
    </row>
    <row r="1544" spans="1:14" ht="15.5" x14ac:dyDescent="0.35">
      <c r="A1544" s="199">
        <v>2040</v>
      </c>
      <c r="B1544" s="110" t="s">
        <v>5850</v>
      </c>
      <c r="C1544" s="110">
        <v>2036</v>
      </c>
      <c r="D1544" s="110" t="str">
        <f t="shared" si="13"/>
        <v>2040_2036</v>
      </c>
      <c r="E1544" s="1231">
        <v>9.1459174935018192E-3</v>
      </c>
      <c r="F1544" s="1232">
        <v>2.5410230215409935E-2</v>
      </c>
      <c r="G1544" s="1232">
        <v>0.85229415512669604</v>
      </c>
      <c r="H1544" s="1232">
        <v>0.11112036258851633</v>
      </c>
      <c r="I1544" s="1232">
        <v>1.5110301438012799E-2</v>
      </c>
      <c r="J1544" s="1232">
        <v>1.0346331856982805E-4</v>
      </c>
      <c r="K1544" s="1232">
        <v>3.0000008603782999E-3</v>
      </c>
      <c r="L1544" s="1233">
        <v>3.0896715914245001E-2</v>
      </c>
      <c r="M1544" s="1234">
        <v>1.5793522218070202E-2</v>
      </c>
      <c r="N1544" s="1235">
        <v>1.0814147072387923E-4</v>
      </c>
    </row>
    <row r="1545" spans="1:14" ht="15.5" x14ac:dyDescent="0.35">
      <c r="A1545" s="199">
        <v>2040</v>
      </c>
      <c r="B1545" s="110" t="s">
        <v>5850</v>
      </c>
      <c r="C1545" s="110">
        <v>2037</v>
      </c>
      <c r="D1545" s="110" t="str">
        <f t="shared" si="13"/>
        <v>2040_2037</v>
      </c>
      <c r="E1545" s="1231">
        <v>8.7920509401316505E-3</v>
      </c>
      <c r="F1545" s="1232">
        <v>2.541023021540996E-2</v>
      </c>
      <c r="G1545" s="1232">
        <v>0.78642332705231399</v>
      </c>
      <c r="H1545" s="1232">
        <v>0.10425480283799411</v>
      </c>
      <c r="I1545" s="1232">
        <v>1.40526929288389E-2</v>
      </c>
      <c r="J1545" s="1232">
        <v>1.0346331856982816E-4</v>
      </c>
      <c r="K1545" s="1232">
        <v>3.0000008603782999E-3</v>
      </c>
      <c r="L1545" s="1233">
        <v>3.0896715914246E-2</v>
      </c>
      <c r="M1545" s="1234">
        <v>1.46880933451797E-2</v>
      </c>
      <c r="N1545" s="1235">
        <v>1.0814147072387933E-4</v>
      </c>
    </row>
    <row r="1546" spans="1:14" ht="15.5" x14ac:dyDescent="0.35">
      <c r="A1546" s="199">
        <v>2040</v>
      </c>
      <c r="B1546" s="110" t="s">
        <v>5850</v>
      </c>
      <c r="C1546" s="110">
        <v>2038</v>
      </c>
      <c r="D1546" s="110" t="str">
        <f t="shared" si="13"/>
        <v>2040_2038</v>
      </c>
      <c r="E1546" s="1231">
        <v>8.43818438676152E-3</v>
      </c>
      <c r="F1546" s="1232">
        <v>2.5410230215409991E-2</v>
      </c>
      <c r="G1546" s="1232">
        <v>0.71003316061491095</v>
      </c>
      <c r="H1546" s="1232">
        <v>9.5436525917817358E-2</v>
      </c>
      <c r="I1546" s="1232">
        <v>1.3011752325635499E-2</v>
      </c>
      <c r="J1546" s="1232">
        <v>1.0346331856982829E-4</v>
      </c>
      <c r="K1546" s="1232">
        <v>3.0000008603782999E-3</v>
      </c>
      <c r="L1546" s="1233">
        <v>3.0896715914243401E-2</v>
      </c>
      <c r="M1546" s="1234">
        <v>1.3600086027005E-2</v>
      </c>
      <c r="N1546" s="1235">
        <v>1.0814147072387947E-4</v>
      </c>
    </row>
    <row r="1547" spans="1:14" ht="15.5" x14ac:dyDescent="0.35">
      <c r="A1547" s="199">
        <v>2040</v>
      </c>
      <c r="B1547" s="110" t="s">
        <v>5850</v>
      </c>
      <c r="C1547" s="110">
        <v>2039</v>
      </c>
      <c r="D1547" s="110" t="str">
        <f t="shared" si="13"/>
        <v>2040_2039</v>
      </c>
      <c r="E1547" s="1231">
        <v>8.0843178333912594E-3</v>
      </c>
      <c r="F1547" s="1232">
        <v>2.5410230215410001E-2</v>
      </c>
      <c r="G1547" s="1232">
        <v>0.62078714971827997</v>
      </c>
      <c r="H1547" s="1232">
        <v>8.5584888826589905E-2</v>
      </c>
      <c r="I1547" s="1232">
        <v>1.2006557277055799E-2</v>
      </c>
      <c r="J1547" s="1232">
        <v>1.0346331856982834E-4</v>
      </c>
      <c r="K1547" s="1232">
        <v>3.0000008603782999E-3</v>
      </c>
      <c r="L1547" s="1233">
        <v>3.0896715914241799E-2</v>
      </c>
      <c r="M1547" s="1234">
        <v>1.2549440518815499E-2</v>
      </c>
      <c r="N1547" s="1235">
        <v>1.0814147072387951E-4</v>
      </c>
    </row>
    <row r="1548" spans="1:14" ht="15.5" x14ac:dyDescent="0.35">
      <c r="A1548" s="199">
        <v>2040</v>
      </c>
      <c r="B1548" s="110" t="s">
        <v>5850</v>
      </c>
      <c r="C1548" s="110">
        <v>2040</v>
      </c>
      <c r="D1548" s="110" t="str">
        <f t="shared" si="13"/>
        <v>2040_2040</v>
      </c>
      <c r="E1548" s="1231">
        <v>7.7307116187339004E-3</v>
      </c>
      <c r="F1548" s="1232">
        <v>2.541023256002229E-2</v>
      </c>
      <c r="G1548" s="1232">
        <v>0.51042228799469103</v>
      </c>
      <c r="H1548" s="1232">
        <v>7.5619256291009823E-2</v>
      </c>
      <c r="I1548" s="1232">
        <v>1.1049234228043599E-2</v>
      </c>
      <c r="J1548" s="1232">
        <v>1.0346332811643133E-4</v>
      </c>
      <c r="K1548" s="1232">
        <v>3.0000008603779599E-3</v>
      </c>
      <c r="L1548" s="1233">
        <v>3.0894909450452999E-2</v>
      </c>
      <c r="M1548" s="1234">
        <v>1.1548831569585E-2</v>
      </c>
      <c r="N1548" s="1235">
        <v>1.081414807021374E-4</v>
      </c>
    </row>
    <row r="1549" spans="1:14" ht="15.5" x14ac:dyDescent="0.35">
      <c r="A1549" s="199">
        <v>2040</v>
      </c>
      <c r="B1549" s="110" t="s">
        <v>5850</v>
      </c>
      <c r="C1549" s="110">
        <v>2041</v>
      </c>
      <c r="D1549" s="110" t="str">
        <f t="shared" si="13"/>
        <v>2040_2041</v>
      </c>
      <c r="E1549" s="1231">
        <v>7.3754120468356296E-3</v>
      </c>
      <c r="F1549" s="1232">
        <v>6.0984525945420039E-2</v>
      </c>
      <c r="G1549" s="1232">
        <v>0.3507160311909</v>
      </c>
      <c r="H1549" s="1232">
        <v>0.18148611927731303</v>
      </c>
      <c r="I1549" s="1232">
        <v>1.01378055199763E-2</v>
      </c>
      <c r="J1549" s="1232">
        <v>2.4831185637564534E-4</v>
      </c>
      <c r="K1549" s="1232">
        <v>3.0000008603799102E-3</v>
      </c>
      <c r="L1549" s="1233">
        <v>3.0905243362137302E-2</v>
      </c>
      <c r="M1549" s="1234">
        <v>1.05961920997439E-2</v>
      </c>
      <c r="N1549" s="1235">
        <v>2.595394166534087E-4</v>
      </c>
    </row>
    <row r="1550" spans="1:14" ht="15.5" x14ac:dyDescent="0.35">
      <c r="A1550" s="199">
        <v>2041</v>
      </c>
      <c r="B1550" s="110" t="s">
        <v>5850</v>
      </c>
      <c r="C1550" s="110">
        <v>1971</v>
      </c>
      <c r="D1550" s="110" t="str">
        <f t="shared" si="13"/>
        <v>2041_1971</v>
      </c>
      <c r="E1550" s="1226">
        <v>0.124170801531456</v>
      </c>
      <c r="F1550" s="1227">
        <v>5.2948336308939095E-2</v>
      </c>
      <c r="G1550" s="1227">
        <v>5.1254378298121503</v>
      </c>
      <c r="H1550" s="1227">
        <v>0.71108089542947006</v>
      </c>
      <c r="I1550" s="1227">
        <v>5.7228622239857398E-2</v>
      </c>
      <c r="J1550" s="1227">
        <v>2.1631327748760956E-4</v>
      </c>
      <c r="K1550" s="1227">
        <v>3.0000008603782999E-3</v>
      </c>
      <c r="L1550" s="1228">
        <v>2.7963064387356601E-2</v>
      </c>
      <c r="M1550" s="1229">
        <v>5.9816246589293597E-2</v>
      </c>
      <c r="N1550" s="1230">
        <v>2.2609400401964671E-4</v>
      </c>
    </row>
    <row r="1551" spans="1:14" ht="15.5" x14ac:dyDescent="0.35">
      <c r="A1551" s="199">
        <v>2041</v>
      </c>
      <c r="B1551" s="110" t="s">
        <v>5850</v>
      </c>
      <c r="C1551" s="110">
        <v>1972</v>
      </c>
      <c r="D1551" s="110" t="str">
        <f t="shared" si="13"/>
        <v>2041_1972</v>
      </c>
      <c r="E1551" s="1226">
        <v>0.124170801531456</v>
      </c>
      <c r="F1551" s="1227">
        <v>5.2948336308939095E-2</v>
      </c>
      <c r="G1551" s="1227">
        <v>5.1254378298121503</v>
      </c>
      <c r="H1551" s="1227">
        <v>0.71108089542947006</v>
      </c>
      <c r="I1551" s="1227">
        <v>5.7228622239857398E-2</v>
      </c>
      <c r="J1551" s="1227">
        <v>2.1631327748760956E-4</v>
      </c>
      <c r="K1551" s="1227">
        <v>3.0000008603782999E-3</v>
      </c>
      <c r="L1551" s="1228">
        <v>2.7963064387356601E-2</v>
      </c>
      <c r="M1551" s="1229">
        <v>5.9816246589293597E-2</v>
      </c>
      <c r="N1551" s="1230">
        <v>2.2609400401964671E-4</v>
      </c>
    </row>
    <row r="1552" spans="1:14" ht="15.5" x14ac:dyDescent="0.35">
      <c r="A1552" s="199">
        <v>2041</v>
      </c>
      <c r="B1552" s="110" t="s">
        <v>5850</v>
      </c>
      <c r="C1552" s="110">
        <v>1973</v>
      </c>
      <c r="D1552" s="110" t="str">
        <f t="shared" si="13"/>
        <v>2041_1973</v>
      </c>
      <c r="E1552" s="1226">
        <v>0.124170801531456</v>
      </c>
      <c r="F1552" s="1227">
        <v>5.2948336308939095E-2</v>
      </c>
      <c r="G1552" s="1227">
        <v>5.1254378298121503</v>
      </c>
      <c r="H1552" s="1227">
        <v>0.71108089542947006</v>
      </c>
      <c r="I1552" s="1227">
        <v>5.7228622239857398E-2</v>
      </c>
      <c r="J1552" s="1227">
        <v>2.1631327748760956E-4</v>
      </c>
      <c r="K1552" s="1227">
        <v>3.0000008603782999E-3</v>
      </c>
      <c r="L1552" s="1228">
        <v>2.7963064387356601E-2</v>
      </c>
      <c r="M1552" s="1229">
        <v>5.9816246589293597E-2</v>
      </c>
      <c r="N1552" s="1230">
        <v>2.2609400401964671E-4</v>
      </c>
    </row>
    <row r="1553" spans="1:14" ht="15.5" x14ac:dyDescent="0.35">
      <c r="A1553" s="199">
        <v>2041</v>
      </c>
      <c r="B1553" s="110" t="s">
        <v>5850</v>
      </c>
      <c r="C1553" s="110">
        <v>1974</v>
      </c>
      <c r="D1553" s="110" t="str">
        <f t="shared" si="13"/>
        <v>2041_1974</v>
      </c>
      <c r="E1553" s="1226">
        <v>0.124170801531456</v>
      </c>
      <c r="F1553" s="1227">
        <v>5.2948336308939095E-2</v>
      </c>
      <c r="G1553" s="1227">
        <v>5.1254378298121503</v>
      </c>
      <c r="H1553" s="1227">
        <v>0.71108089542947006</v>
      </c>
      <c r="I1553" s="1227">
        <v>5.7228622239857398E-2</v>
      </c>
      <c r="J1553" s="1227">
        <v>2.1631327748760956E-4</v>
      </c>
      <c r="K1553" s="1227">
        <v>3.0000008603782999E-3</v>
      </c>
      <c r="L1553" s="1228">
        <v>2.7963064387356601E-2</v>
      </c>
      <c r="M1553" s="1229">
        <v>5.9816246589293597E-2</v>
      </c>
      <c r="N1553" s="1230">
        <v>2.2609400401964671E-4</v>
      </c>
    </row>
    <row r="1554" spans="1:14" ht="15.5" x14ac:dyDescent="0.35">
      <c r="A1554" s="199">
        <v>2041</v>
      </c>
      <c r="B1554" s="110" t="s">
        <v>5850</v>
      </c>
      <c r="C1554" s="110">
        <v>1975</v>
      </c>
      <c r="D1554" s="110" t="str">
        <f t="shared" si="13"/>
        <v>2041_1975</v>
      </c>
      <c r="E1554" s="1226">
        <v>0.124170801531456</v>
      </c>
      <c r="F1554" s="1227">
        <v>5.2948336308939095E-2</v>
      </c>
      <c r="G1554" s="1227">
        <v>5.1254378298121503</v>
      </c>
      <c r="H1554" s="1227">
        <v>0.71108089542947006</v>
      </c>
      <c r="I1554" s="1227">
        <v>5.7228622239857398E-2</v>
      </c>
      <c r="J1554" s="1227">
        <v>2.1631327748760956E-4</v>
      </c>
      <c r="K1554" s="1227">
        <v>3.0000008603782999E-3</v>
      </c>
      <c r="L1554" s="1228">
        <v>2.7963064387356601E-2</v>
      </c>
      <c r="M1554" s="1229">
        <v>5.9816246589293597E-2</v>
      </c>
      <c r="N1554" s="1230">
        <v>2.2609400401964671E-4</v>
      </c>
    </row>
    <row r="1555" spans="1:14" ht="15.5" x14ac:dyDescent="0.35">
      <c r="A1555" s="199">
        <v>2041</v>
      </c>
      <c r="B1555" s="110" t="s">
        <v>5850</v>
      </c>
      <c r="C1555" s="110">
        <v>1976</v>
      </c>
      <c r="D1555" s="110" t="str">
        <f t="shared" si="13"/>
        <v>2041_1976</v>
      </c>
      <c r="E1555" s="1226">
        <v>0.124170801531456</v>
      </c>
      <c r="F1555" s="1227">
        <v>5.2948336308939095E-2</v>
      </c>
      <c r="G1555" s="1227">
        <v>5.1254378298121503</v>
      </c>
      <c r="H1555" s="1227">
        <v>0.71108089542947006</v>
      </c>
      <c r="I1555" s="1227">
        <v>5.7228622239857398E-2</v>
      </c>
      <c r="J1555" s="1227">
        <v>2.1631327748760956E-4</v>
      </c>
      <c r="K1555" s="1227">
        <v>3.0000008603782999E-3</v>
      </c>
      <c r="L1555" s="1228">
        <v>2.7963064387356601E-2</v>
      </c>
      <c r="M1555" s="1229">
        <v>5.9816246589293597E-2</v>
      </c>
      <c r="N1555" s="1230">
        <v>2.2609400401964671E-4</v>
      </c>
    </row>
    <row r="1556" spans="1:14" ht="15.5" x14ac:dyDescent="0.35">
      <c r="A1556" s="199">
        <v>2041</v>
      </c>
      <c r="B1556" s="110" t="s">
        <v>5850</v>
      </c>
      <c r="C1556" s="110">
        <v>1977</v>
      </c>
      <c r="D1556" s="110" t="str">
        <f t="shared" si="13"/>
        <v>2041_1977</v>
      </c>
      <c r="E1556" s="1226">
        <v>0.124170801531456</v>
      </c>
      <c r="F1556" s="1227">
        <v>5.2948336308939095E-2</v>
      </c>
      <c r="G1556" s="1227">
        <v>5.1254378298121503</v>
      </c>
      <c r="H1556" s="1227">
        <v>0.71108089542947006</v>
      </c>
      <c r="I1556" s="1227">
        <v>5.7228622239857398E-2</v>
      </c>
      <c r="J1556" s="1227">
        <v>2.1631327748760956E-4</v>
      </c>
      <c r="K1556" s="1227">
        <v>3.0000008603782999E-3</v>
      </c>
      <c r="L1556" s="1228">
        <v>2.7963064387356601E-2</v>
      </c>
      <c r="M1556" s="1229">
        <v>5.9816246589293597E-2</v>
      </c>
      <c r="N1556" s="1230">
        <v>2.2609400401964671E-4</v>
      </c>
    </row>
    <row r="1557" spans="1:14" ht="15.5" x14ac:dyDescent="0.35">
      <c r="A1557" s="199">
        <v>2041</v>
      </c>
      <c r="B1557" s="110" t="s">
        <v>5850</v>
      </c>
      <c r="C1557" s="110">
        <v>1978</v>
      </c>
      <c r="D1557" s="110" t="str">
        <f t="shared" si="13"/>
        <v>2041_1978</v>
      </c>
      <c r="E1557" s="1226">
        <v>0.124170801531456</v>
      </c>
      <c r="F1557" s="1227">
        <v>5.2948336308939095E-2</v>
      </c>
      <c r="G1557" s="1227">
        <v>5.1254378298121503</v>
      </c>
      <c r="H1557" s="1227">
        <v>0.71108089542947006</v>
      </c>
      <c r="I1557" s="1227">
        <v>5.7228622239857398E-2</v>
      </c>
      <c r="J1557" s="1227">
        <v>2.1631327748760956E-4</v>
      </c>
      <c r="K1557" s="1227">
        <v>3.0000008603782999E-3</v>
      </c>
      <c r="L1557" s="1228">
        <v>2.7963064387356601E-2</v>
      </c>
      <c r="M1557" s="1229">
        <v>5.9816246589293597E-2</v>
      </c>
      <c r="N1557" s="1230">
        <v>2.2609400401964671E-4</v>
      </c>
    </row>
    <row r="1558" spans="1:14" ht="15.5" x14ac:dyDescent="0.35">
      <c r="A1558" s="199">
        <v>2041</v>
      </c>
      <c r="B1558" s="110" t="s">
        <v>5850</v>
      </c>
      <c r="C1558" s="110">
        <v>1979</v>
      </c>
      <c r="D1558" s="110" t="str">
        <f t="shared" si="13"/>
        <v>2041_1979</v>
      </c>
      <c r="E1558" s="1226">
        <v>0.124170801531456</v>
      </c>
      <c r="F1558" s="1227">
        <v>5.2948336308939095E-2</v>
      </c>
      <c r="G1558" s="1227">
        <v>5.1254378298121503</v>
      </c>
      <c r="H1558" s="1227">
        <v>0.71108089542947006</v>
      </c>
      <c r="I1558" s="1227">
        <v>5.7228622239857398E-2</v>
      </c>
      <c r="J1558" s="1227">
        <v>2.1631327748760956E-4</v>
      </c>
      <c r="K1558" s="1227">
        <v>3.0000008603782999E-3</v>
      </c>
      <c r="L1558" s="1228">
        <v>2.7963064387356601E-2</v>
      </c>
      <c r="M1558" s="1229">
        <v>5.9816246589293597E-2</v>
      </c>
      <c r="N1558" s="1230">
        <v>2.2609400401964671E-4</v>
      </c>
    </row>
    <row r="1559" spans="1:14" ht="15.5" x14ac:dyDescent="0.35">
      <c r="A1559" s="199">
        <v>2041</v>
      </c>
      <c r="B1559" s="110" t="s">
        <v>5850</v>
      </c>
      <c r="C1559" s="110">
        <v>1980</v>
      </c>
      <c r="D1559" s="110" t="str">
        <f t="shared" si="13"/>
        <v>2041_1980</v>
      </c>
      <c r="E1559" s="1226">
        <v>0.124170801531456</v>
      </c>
      <c r="F1559" s="1227">
        <v>5.2948336308939095E-2</v>
      </c>
      <c r="G1559" s="1227">
        <v>5.1254378298121503</v>
      </c>
      <c r="H1559" s="1227">
        <v>0.71108089542947006</v>
      </c>
      <c r="I1559" s="1227">
        <v>5.7228622239857398E-2</v>
      </c>
      <c r="J1559" s="1227">
        <v>2.1631327748760956E-4</v>
      </c>
      <c r="K1559" s="1227">
        <v>3.0000008603782999E-3</v>
      </c>
      <c r="L1559" s="1228">
        <v>2.7963064387356601E-2</v>
      </c>
      <c r="M1559" s="1229">
        <v>5.9816246589293597E-2</v>
      </c>
      <c r="N1559" s="1230">
        <v>2.2609400401964671E-4</v>
      </c>
    </row>
    <row r="1560" spans="1:14" ht="15.5" x14ac:dyDescent="0.35">
      <c r="A1560" s="199">
        <v>2041</v>
      </c>
      <c r="B1560" s="110" t="s">
        <v>5850</v>
      </c>
      <c r="C1560" s="110">
        <v>1981</v>
      </c>
      <c r="D1560" s="110" t="str">
        <f t="shared" si="13"/>
        <v>2041_1981</v>
      </c>
      <c r="E1560" s="1226">
        <v>0.124170801531456</v>
      </c>
      <c r="F1560" s="1227">
        <v>5.2948336308939095E-2</v>
      </c>
      <c r="G1560" s="1227">
        <v>5.1254378298121503</v>
      </c>
      <c r="H1560" s="1227">
        <v>0.71108089542947006</v>
      </c>
      <c r="I1560" s="1227">
        <v>5.7228622239857398E-2</v>
      </c>
      <c r="J1560" s="1227">
        <v>2.1631327748760956E-4</v>
      </c>
      <c r="K1560" s="1227">
        <v>3.0000008603782999E-3</v>
      </c>
      <c r="L1560" s="1228">
        <v>2.7963064387356601E-2</v>
      </c>
      <c r="M1560" s="1229">
        <v>5.9816246589293597E-2</v>
      </c>
      <c r="N1560" s="1230">
        <v>2.2609400401964671E-4</v>
      </c>
    </row>
    <row r="1561" spans="1:14" ht="15.5" x14ac:dyDescent="0.35">
      <c r="A1561" s="199">
        <v>2041</v>
      </c>
      <c r="B1561" s="110" t="s">
        <v>5850</v>
      </c>
      <c r="C1561" s="110">
        <v>1982</v>
      </c>
      <c r="D1561" s="110" t="str">
        <f t="shared" si="13"/>
        <v>2041_1982</v>
      </c>
      <c r="E1561" s="1226">
        <v>0.124170801531456</v>
      </c>
      <c r="F1561" s="1227">
        <v>5.2948336308939095E-2</v>
      </c>
      <c r="G1561" s="1227">
        <v>5.1254378298121503</v>
      </c>
      <c r="H1561" s="1227">
        <v>0.71108089542947006</v>
      </c>
      <c r="I1561" s="1227">
        <v>5.7228622239857398E-2</v>
      </c>
      <c r="J1561" s="1227">
        <v>2.1631327748760956E-4</v>
      </c>
      <c r="K1561" s="1227">
        <v>3.0000008603782999E-3</v>
      </c>
      <c r="L1561" s="1228">
        <v>2.7963064387356601E-2</v>
      </c>
      <c r="M1561" s="1229">
        <v>5.9816246589293597E-2</v>
      </c>
      <c r="N1561" s="1230">
        <v>2.2609400401964671E-4</v>
      </c>
    </row>
    <row r="1562" spans="1:14" ht="15.5" x14ac:dyDescent="0.35">
      <c r="A1562" s="199">
        <v>2041</v>
      </c>
      <c r="B1562" s="110" t="s">
        <v>5850</v>
      </c>
      <c r="C1562" s="110">
        <v>1983</v>
      </c>
      <c r="D1562" s="110" t="str">
        <f t="shared" si="13"/>
        <v>2041_1983</v>
      </c>
      <c r="E1562" s="1226">
        <v>0.124170801531456</v>
      </c>
      <c r="F1562" s="1227">
        <v>5.2948336308939095E-2</v>
      </c>
      <c r="G1562" s="1227">
        <v>5.1254378298121503</v>
      </c>
      <c r="H1562" s="1227">
        <v>0.71108089542947006</v>
      </c>
      <c r="I1562" s="1227">
        <v>5.7228622239857398E-2</v>
      </c>
      <c r="J1562" s="1227">
        <v>2.1631327748760956E-4</v>
      </c>
      <c r="K1562" s="1227">
        <v>3.0000008603782999E-3</v>
      </c>
      <c r="L1562" s="1228">
        <v>2.7963064387356601E-2</v>
      </c>
      <c r="M1562" s="1229">
        <v>5.9816246589293597E-2</v>
      </c>
      <c r="N1562" s="1230">
        <v>2.2609400401964671E-4</v>
      </c>
    </row>
    <row r="1563" spans="1:14" ht="15.5" x14ac:dyDescent="0.35">
      <c r="A1563" s="199">
        <v>2041</v>
      </c>
      <c r="B1563" s="110" t="s">
        <v>5850</v>
      </c>
      <c r="C1563" s="110">
        <v>1984</v>
      </c>
      <c r="D1563" s="110" t="str">
        <f t="shared" si="13"/>
        <v>2041_1984</v>
      </c>
      <c r="E1563" s="1226">
        <v>0.124170801531456</v>
      </c>
      <c r="F1563" s="1227">
        <v>5.2948336308939095E-2</v>
      </c>
      <c r="G1563" s="1227">
        <v>5.1254378298121503</v>
      </c>
      <c r="H1563" s="1227">
        <v>0.71108089542947006</v>
      </c>
      <c r="I1563" s="1227">
        <v>5.7228622239857398E-2</v>
      </c>
      <c r="J1563" s="1227">
        <v>2.1631327748760956E-4</v>
      </c>
      <c r="K1563" s="1227">
        <v>3.0000008603782999E-3</v>
      </c>
      <c r="L1563" s="1228">
        <v>2.7963064387356601E-2</v>
      </c>
      <c r="M1563" s="1229">
        <v>5.9816246589293597E-2</v>
      </c>
      <c r="N1563" s="1230">
        <v>2.2609400401964671E-4</v>
      </c>
    </row>
    <row r="1564" spans="1:14" ht="15.5" x14ac:dyDescent="0.35">
      <c r="A1564" s="199">
        <v>2041</v>
      </c>
      <c r="B1564" s="110" t="s">
        <v>5850</v>
      </c>
      <c r="C1564" s="110">
        <v>1985</v>
      </c>
      <c r="D1564" s="110" t="str">
        <f t="shared" si="13"/>
        <v>2041_1985</v>
      </c>
      <c r="E1564" s="1226">
        <v>0.124170801531456</v>
      </c>
      <c r="F1564" s="1227">
        <v>5.2948336308939095E-2</v>
      </c>
      <c r="G1564" s="1227">
        <v>5.1254378298121503</v>
      </c>
      <c r="H1564" s="1227">
        <v>0.71108089542947006</v>
      </c>
      <c r="I1564" s="1227">
        <v>5.7228622239857398E-2</v>
      </c>
      <c r="J1564" s="1227">
        <v>2.1631327748760956E-4</v>
      </c>
      <c r="K1564" s="1227">
        <v>3.0000008603782999E-3</v>
      </c>
      <c r="L1564" s="1228">
        <v>2.7963064387356601E-2</v>
      </c>
      <c r="M1564" s="1229">
        <v>5.9816246589293597E-2</v>
      </c>
      <c r="N1564" s="1230">
        <v>2.2609400401964671E-4</v>
      </c>
    </row>
    <row r="1565" spans="1:14" ht="15.5" x14ac:dyDescent="0.35">
      <c r="A1565" s="199">
        <v>2041</v>
      </c>
      <c r="B1565" s="110" t="s">
        <v>5850</v>
      </c>
      <c r="C1565" s="110">
        <v>1986</v>
      </c>
      <c r="D1565" s="110" t="str">
        <f t="shared" si="13"/>
        <v>2041_1986</v>
      </c>
      <c r="E1565" s="1226">
        <v>0.124170801531456</v>
      </c>
      <c r="F1565" s="1227">
        <v>5.2948336308939095E-2</v>
      </c>
      <c r="G1565" s="1227">
        <v>5.1254378298121503</v>
      </c>
      <c r="H1565" s="1227">
        <v>0.71108089542947006</v>
      </c>
      <c r="I1565" s="1227">
        <v>5.7228622239857398E-2</v>
      </c>
      <c r="J1565" s="1227">
        <v>2.1631327748760956E-4</v>
      </c>
      <c r="K1565" s="1227">
        <v>3.0000008603782999E-3</v>
      </c>
      <c r="L1565" s="1228">
        <v>2.7963064387356601E-2</v>
      </c>
      <c r="M1565" s="1229">
        <v>5.9816246589293597E-2</v>
      </c>
      <c r="N1565" s="1230">
        <v>2.2609400401964671E-4</v>
      </c>
    </row>
    <row r="1566" spans="1:14" ht="15.5" x14ac:dyDescent="0.35">
      <c r="A1566" s="199">
        <v>2041</v>
      </c>
      <c r="B1566" s="110" t="s">
        <v>5850</v>
      </c>
      <c r="C1566" s="110">
        <v>1987</v>
      </c>
      <c r="D1566" s="110" t="str">
        <f t="shared" si="13"/>
        <v>2041_1987</v>
      </c>
      <c r="E1566" s="1226">
        <v>0.124170801531456</v>
      </c>
      <c r="F1566" s="1227">
        <v>5.2948336308939095E-2</v>
      </c>
      <c r="G1566" s="1227">
        <v>5.1254378298121503</v>
      </c>
      <c r="H1566" s="1227">
        <v>0.71108089542947006</v>
      </c>
      <c r="I1566" s="1227">
        <v>5.7228622239857398E-2</v>
      </c>
      <c r="J1566" s="1227">
        <v>2.1631327748760956E-4</v>
      </c>
      <c r="K1566" s="1227">
        <v>3.0000008603782999E-3</v>
      </c>
      <c r="L1566" s="1228">
        <v>2.7963064387356601E-2</v>
      </c>
      <c r="M1566" s="1229">
        <v>5.9816246589293597E-2</v>
      </c>
      <c r="N1566" s="1230">
        <v>2.2609400401964671E-4</v>
      </c>
    </row>
    <row r="1567" spans="1:14" ht="15.5" x14ac:dyDescent="0.35">
      <c r="A1567" s="199">
        <v>2041</v>
      </c>
      <c r="B1567" s="110" t="s">
        <v>5850</v>
      </c>
      <c r="C1567" s="110">
        <v>1988</v>
      </c>
      <c r="D1567" s="110" t="str">
        <f t="shared" si="13"/>
        <v>2041_1988</v>
      </c>
      <c r="E1567" s="1226">
        <v>0.124170801531456</v>
      </c>
      <c r="F1567" s="1227">
        <v>5.2948336308939095E-2</v>
      </c>
      <c r="G1567" s="1227">
        <v>5.1254378298121503</v>
      </c>
      <c r="H1567" s="1227">
        <v>0.71108089542947006</v>
      </c>
      <c r="I1567" s="1227">
        <v>5.7228622239857398E-2</v>
      </c>
      <c r="J1567" s="1227">
        <v>2.1631327748760956E-4</v>
      </c>
      <c r="K1567" s="1227">
        <v>3.0000008603782999E-3</v>
      </c>
      <c r="L1567" s="1228">
        <v>2.7963064387356601E-2</v>
      </c>
      <c r="M1567" s="1229">
        <v>5.9816246589293597E-2</v>
      </c>
      <c r="N1567" s="1230">
        <v>2.2609400401964671E-4</v>
      </c>
    </row>
    <row r="1568" spans="1:14" ht="15.5" x14ac:dyDescent="0.35">
      <c r="A1568" s="199">
        <v>2041</v>
      </c>
      <c r="B1568" s="110" t="s">
        <v>5850</v>
      </c>
      <c r="C1568" s="110">
        <v>1989</v>
      </c>
      <c r="D1568" s="110" t="str">
        <f t="shared" si="13"/>
        <v>2041_1989</v>
      </c>
      <c r="E1568" s="1226">
        <v>0.124170801531456</v>
      </c>
      <c r="F1568" s="1227">
        <v>5.2948336308939095E-2</v>
      </c>
      <c r="G1568" s="1227">
        <v>5.1254378298121503</v>
      </c>
      <c r="H1568" s="1227">
        <v>0.71108089542947006</v>
      </c>
      <c r="I1568" s="1227">
        <v>5.7228622239857398E-2</v>
      </c>
      <c r="J1568" s="1227">
        <v>2.1631327748760956E-4</v>
      </c>
      <c r="K1568" s="1227">
        <v>3.0000008603782999E-3</v>
      </c>
      <c r="L1568" s="1228">
        <v>2.7963064387356601E-2</v>
      </c>
      <c r="M1568" s="1229">
        <v>5.9816246589293597E-2</v>
      </c>
      <c r="N1568" s="1230">
        <v>2.2609400401964671E-4</v>
      </c>
    </row>
    <row r="1569" spans="1:14" ht="15.5" x14ac:dyDescent="0.35">
      <c r="A1569" s="199">
        <v>2041</v>
      </c>
      <c r="B1569" s="110" t="s">
        <v>5850</v>
      </c>
      <c r="C1569" s="110">
        <v>1990</v>
      </c>
      <c r="D1569" s="110" t="str">
        <f t="shared" si="13"/>
        <v>2041_1990</v>
      </c>
      <c r="E1569" s="1226">
        <v>0.124170801531456</v>
      </c>
      <c r="F1569" s="1227">
        <v>5.2948336308939095E-2</v>
      </c>
      <c r="G1569" s="1227">
        <v>5.1254378298121503</v>
      </c>
      <c r="H1569" s="1227">
        <v>0.71108089542947006</v>
      </c>
      <c r="I1569" s="1227">
        <v>5.7228622239857398E-2</v>
      </c>
      <c r="J1569" s="1227">
        <v>2.1631327748760956E-4</v>
      </c>
      <c r="K1569" s="1227">
        <v>3.0000008603782999E-3</v>
      </c>
      <c r="L1569" s="1228">
        <v>2.7963064387356601E-2</v>
      </c>
      <c r="M1569" s="1229">
        <v>5.9816246589293597E-2</v>
      </c>
      <c r="N1569" s="1230">
        <v>2.2609400401964671E-4</v>
      </c>
    </row>
    <row r="1570" spans="1:14" ht="15.5" x14ac:dyDescent="0.35">
      <c r="A1570" s="199">
        <v>2041</v>
      </c>
      <c r="B1570" s="110" t="s">
        <v>5850</v>
      </c>
      <c r="C1570" s="110">
        <v>1991</v>
      </c>
      <c r="D1570" s="110" t="str">
        <f t="shared" si="13"/>
        <v>2041_1991</v>
      </c>
      <c r="E1570" s="1226">
        <v>0.124170801531456</v>
      </c>
      <c r="F1570" s="1227">
        <v>5.2948336308939095E-2</v>
      </c>
      <c r="G1570" s="1227">
        <v>5.1254378298121503</v>
      </c>
      <c r="H1570" s="1227">
        <v>0.71108089542947006</v>
      </c>
      <c r="I1570" s="1227">
        <v>5.7228622239857398E-2</v>
      </c>
      <c r="J1570" s="1227">
        <v>2.1631327748760956E-4</v>
      </c>
      <c r="K1570" s="1227">
        <v>3.0000008603782999E-3</v>
      </c>
      <c r="L1570" s="1228">
        <v>2.7963064387356601E-2</v>
      </c>
      <c r="M1570" s="1229">
        <v>5.9816246589293597E-2</v>
      </c>
      <c r="N1570" s="1230">
        <v>2.2609400401964671E-4</v>
      </c>
    </row>
    <row r="1571" spans="1:14" ht="15.5" x14ac:dyDescent="0.35">
      <c r="A1571" s="199">
        <v>2041</v>
      </c>
      <c r="B1571" s="110" t="s">
        <v>5850</v>
      </c>
      <c r="C1571" s="110">
        <v>1992</v>
      </c>
      <c r="D1571" s="110" t="str">
        <f t="shared" si="13"/>
        <v>2041_1992</v>
      </c>
      <c r="E1571" s="1226">
        <v>0.124170801531456</v>
      </c>
      <c r="F1571" s="1227">
        <v>5.2948336308939095E-2</v>
      </c>
      <c r="G1571" s="1227">
        <v>5.1254378298121503</v>
      </c>
      <c r="H1571" s="1227">
        <v>0.71108089542947006</v>
      </c>
      <c r="I1571" s="1227">
        <v>5.7228622239857398E-2</v>
      </c>
      <c r="J1571" s="1227">
        <v>2.1631327748760956E-4</v>
      </c>
      <c r="K1571" s="1227">
        <v>3.0000008603782999E-3</v>
      </c>
      <c r="L1571" s="1228">
        <v>2.7963064387356601E-2</v>
      </c>
      <c r="M1571" s="1229">
        <v>5.9816246589293597E-2</v>
      </c>
      <c r="N1571" s="1230">
        <v>2.2609400401964671E-4</v>
      </c>
    </row>
    <row r="1572" spans="1:14" ht="15.5" x14ac:dyDescent="0.35">
      <c r="A1572" s="199">
        <v>2041</v>
      </c>
      <c r="B1572" s="110" t="s">
        <v>5850</v>
      </c>
      <c r="C1572" s="110">
        <v>1993</v>
      </c>
      <c r="D1572" s="110" t="str">
        <f t="shared" si="13"/>
        <v>2041_1993</v>
      </c>
      <c r="E1572" s="1226">
        <v>0.124170801531456</v>
      </c>
      <c r="F1572" s="1227">
        <v>5.2948336308939095E-2</v>
      </c>
      <c r="G1572" s="1227">
        <v>5.1254378298121503</v>
      </c>
      <c r="H1572" s="1227">
        <v>0.71108089542947006</v>
      </c>
      <c r="I1572" s="1227">
        <v>5.7228622239857398E-2</v>
      </c>
      <c r="J1572" s="1227">
        <v>2.1631327748760956E-4</v>
      </c>
      <c r="K1572" s="1227">
        <v>3.0000008603782999E-3</v>
      </c>
      <c r="L1572" s="1228">
        <v>2.7963064387356601E-2</v>
      </c>
      <c r="M1572" s="1229">
        <v>5.9816246589293597E-2</v>
      </c>
      <c r="N1572" s="1230">
        <v>2.2609400401964671E-4</v>
      </c>
    </row>
    <row r="1573" spans="1:14" ht="15.5" x14ac:dyDescent="0.35">
      <c r="A1573" s="199">
        <v>2041</v>
      </c>
      <c r="B1573" s="110" t="s">
        <v>5850</v>
      </c>
      <c r="C1573" s="110">
        <v>1994</v>
      </c>
      <c r="D1573" s="110" t="str">
        <f t="shared" si="13"/>
        <v>2041_1994</v>
      </c>
      <c r="E1573" s="1226">
        <v>0.124170801531456</v>
      </c>
      <c r="F1573" s="1227">
        <v>5.2948336308939095E-2</v>
      </c>
      <c r="G1573" s="1227">
        <v>5.1254378298121503</v>
      </c>
      <c r="H1573" s="1227">
        <v>0.71108089542947006</v>
      </c>
      <c r="I1573" s="1227">
        <v>5.7228622239857398E-2</v>
      </c>
      <c r="J1573" s="1227">
        <v>2.1631327748760956E-4</v>
      </c>
      <c r="K1573" s="1227">
        <v>3.0000008603782999E-3</v>
      </c>
      <c r="L1573" s="1228">
        <v>2.7963064387356601E-2</v>
      </c>
      <c r="M1573" s="1229">
        <v>5.9816246589293597E-2</v>
      </c>
      <c r="N1573" s="1230">
        <v>2.2609400401964671E-4</v>
      </c>
    </row>
    <row r="1574" spans="1:14" ht="15.5" x14ac:dyDescent="0.35">
      <c r="A1574" s="199">
        <v>2041</v>
      </c>
      <c r="B1574" s="110" t="s">
        <v>5850</v>
      </c>
      <c r="C1574" s="110">
        <v>1995</v>
      </c>
      <c r="D1574" s="110" t="str">
        <f t="shared" si="13"/>
        <v>2041_1995</v>
      </c>
      <c r="E1574" s="1226">
        <v>0.124170801531456</v>
      </c>
      <c r="F1574" s="1227">
        <v>5.2948336308939095E-2</v>
      </c>
      <c r="G1574" s="1227">
        <v>5.1254378298121503</v>
      </c>
      <c r="H1574" s="1227">
        <v>0.71108089542947006</v>
      </c>
      <c r="I1574" s="1227">
        <v>5.7228622239857398E-2</v>
      </c>
      <c r="J1574" s="1227">
        <v>2.1631327748760956E-4</v>
      </c>
      <c r="K1574" s="1227">
        <v>3.0000008603782999E-3</v>
      </c>
      <c r="L1574" s="1228">
        <v>2.7963064387356601E-2</v>
      </c>
      <c r="M1574" s="1229">
        <v>5.9816246589293597E-2</v>
      </c>
      <c r="N1574" s="1230">
        <v>2.2609400401964671E-4</v>
      </c>
    </row>
    <row r="1575" spans="1:14" ht="15.5" x14ac:dyDescent="0.35">
      <c r="A1575" s="199">
        <v>2041</v>
      </c>
      <c r="B1575" s="110" t="s">
        <v>5850</v>
      </c>
      <c r="C1575" s="110">
        <v>1996</v>
      </c>
      <c r="D1575" s="110" t="str">
        <f t="shared" si="13"/>
        <v>2041_1996</v>
      </c>
      <c r="E1575" s="1226">
        <v>0.124170801531456</v>
      </c>
      <c r="F1575" s="1227">
        <v>5.2948336308939095E-2</v>
      </c>
      <c r="G1575" s="1227">
        <v>5.1254378298121503</v>
      </c>
      <c r="H1575" s="1227">
        <v>0.71108089542947006</v>
      </c>
      <c r="I1575" s="1227">
        <v>5.7228622239857398E-2</v>
      </c>
      <c r="J1575" s="1227">
        <v>2.1631327748760956E-4</v>
      </c>
      <c r="K1575" s="1227">
        <v>3.0000008603782999E-3</v>
      </c>
      <c r="L1575" s="1228">
        <v>2.7963064387356601E-2</v>
      </c>
      <c r="M1575" s="1229">
        <v>5.9816246589293597E-2</v>
      </c>
      <c r="N1575" s="1230">
        <v>2.2609400401964671E-4</v>
      </c>
    </row>
    <row r="1576" spans="1:14" ht="15.5" x14ac:dyDescent="0.35">
      <c r="A1576" s="199">
        <v>2041</v>
      </c>
      <c r="B1576" s="110" t="s">
        <v>5850</v>
      </c>
      <c r="C1576" s="110">
        <v>1997</v>
      </c>
      <c r="D1576" s="110" t="str">
        <f t="shared" si="13"/>
        <v>2041_1997</v>
      </c>
      <c r="E1576" s="1226">
        <v>0.124170801531456</v>
      </c>
      <c r="F1576" s="1227">
        <v>5.2948336308939095E-2</v>
      </c>
      <c r="G1576" s="1227">
        <v>5.1254378298121503</v>
      </c>
      <c r="H1576" s="1227">
        <v>0.71108089542947006</v>
      </c>
      <c r="I1576" s="1227">
        <v>5.7228622239857398E-2</v>
      </c>
      <c r="J1576" s="1227">
        <v>2.1631327748760956E-4</v>
      </c>
      <c r="K1576" s="1227">
        <v>3.0000008603782999E-3</v>
      </c>
      <c r="L1576" s="1228">
        <v>2.7963064387356601E-2</v>
      </c>
      <c r="M1576" s="1229">
        <v>5.9816246589293597E-2</v>
      </c>
      <c r="N1576" s="1230">
        <v>2.2609400401964671E-4</v>
      </c>
    </row>
    <row r="1577" spans="1:14" ht="15.5" x14ac:dyDescent="0.35">
      <c r="A1577" s="199">
        <v>2041</v>
      </c>
      <c r="B1577" s="110" t="s">
        <v>5850</v>
      </c>
      <c r="C1577" s="110">
        <v>1998</v>
      </c>
      <c r="D1577" s="110" t="str">
        <f t="shared" si="13"/>
        <v>2041_1998</v>
      </c>
      <c r="E1577" s="1226">
        <v>0.124170801531456</v>
      </c>
      <c r="F1577" s="1227">
        <v>5.2948336308939095E-2</v>
      </c>
      <c r="G1577" s="1227">
        <v>5.1254378298121503</v>
      </c>
      <c r="H1577" s="1227">
        <v>0.71108089542947006</v>
      </c>
      <c r="I1577" s="1227">
        <v>5.7228622239857398E-2</v>
      </c>
      <c r="J1577" s="1227">
        <v>2.1631327748760956E-4</v>
      </c>
      <c r="K1577" s="1227">
        <v>3.0000008603782999E-3</v>
      </c>
      <c r="L1577" s="1228">
        <v>2.7963064387356601E-2</v>
      </c>
      <c r="M1577" s="1229">
        <v>5.9816246589293597E-2</v>
      </c>
      <c r="N1577" s="1230">
        <v>2.2609400401964671E-4</v>
      </c>
    </row>
    <row r="1578" spans="1:14" ht="15.5" x14ac:dyDescent="0.35">
      <c r="A1578" s="199">
        <v>2041</v>
      </c>
      <c r="B1578" s="110" t="s">
        <v>5850</v>
      </c>
      <c r="C1578" s="110">
        <v>1999</v>
      </c>
      <c r="D1578" s="110" t="str">
        <f t="shared" si="13"/>
        <v>2041_1999</v>
      </c>
      <c r="E1578" s="1226">
        <v>0.124170801531456</v>
      </c>
      <c r="F1578" s="1227">
        <v>5.2948336308939095E-2</v>
      </c>
      <c r="G1578" s="1227">
        <v>5.1254378298121503</v>
      </c>
      <c r="H1578" s="1227">
        <v>0.71108089542947006</v>
      </c>
      <c r="I1578" s="1227">
        <v>5.7228622239857398E-2</v>
      </c>
      <c r="J1578" s="1227">
        <v>2.1631327748760956E-4</v>
      </c>
      <c r="K1578" s="1227">
        <v>3.0000008603782999E-3</v>
      </c>
      <c r="L1578" s="1228">
        <v>2.7963064387356601E-2</v>
      </c>
      <c r="M1578" s="1229">
        <v>5.9816246589293597E-2</v>
      </c>
      <c r="N1578" s="1230">
        <v>2.2609400401964671E-4</v>
      </c>
    </row>
    <row r="1579" spans="1:14" ht="15.5" x14ac:dyDescent="0.35">
      <c r="A1579" s="199">
        <v>2041</v>
      </c>
      <c r="B1579" s="110" t="s">
        <v>5850</v>
      </c>
      <c r="C1579" s="110">
        <v>2000</v>
      </c>
      <c r="D1579" s="110" t="str">
        <f t="shared" si="13"/>
        <v>2041_2000</v>
      </c>
      <c r="E1579" s="1226">
        <v>0.124170801531456</v>
      </c>
      <c r="F1579" s="1227">
        <v>5.2948336308939095E-2</v>
      </c>
      <c r="G1579" s="1227">
        <v>5.1254378298121503</v>
      </c>
      <c r="H1579" s="1227">
        <v>0.71108089542947006</v>
      </c>
      <c r="I1579" s="1227">
        <v>5.7228622239857398E-2</v>
      </c>
      <c r="J1579" s="1227">
        <v>2.1631327748760956E-4</v>
      </c>
      <c r="K1579" s="1227">
        <v>3.0000008603782999E-3</v>
      </c>
      <c r="L1579" s="1228">
        <v>2.7963064387356601E-2</v>
      </c>
      <c r="M1579" s="1229">
        <v>5.9816246589293597E-2</v>
      </c>
      <c r="N1579" s="1230">
        <v>2.2609400401964671E-4</v>
      </c>
    </row>
    <row r="1580" spans="1:14" ht="15.5" x14ac:dyDescent="0.35">
      <c r="A1580" s="199">
        <v>2041</v>
      </c>
      <c r="B1580" s="110" t="s">
        <v>5850</v>
      </c>
      <c r="C1580" s="110">
        <v>2001</v>
      </c>
      <c r="D1580" s="110" t="str">
        <f t="shared" si="13"/>
        <v>2041_2001</v>
      </c>
      <c r="E1580" s="1226">
        <v>0.124170801531456</v>
      </c>
      <c r="F1580" s="1227">
        <v>5.2948336308939095E-2</v>
      </c>
      <c r="G1580" s="1227">
        <v>5.1254378298121503</v>
      </c>
      <c r="H1580" s="1227">
        <v>0.71108089542947006</v>
      </c>
      <c r="I1580" s="1227">
        <v>5.7228622239857398E-2</v>
      </c>
      <c r="J1580" s="1227">
        <v>2.1631327748760956E-4</v>
      </c>
      <c r="K1580" s="1227">
        <v>3.0000008603782999E-3</v>
      </c>
      <c r="L1580" s="1228">
        <v>2.7963064387356601E-2</v>
      </c>
      <c r="M1580" s="1229">
        <v>5.9816246589293597E-2</v>
      </c>
      <c r="N1580" s="1230">
        <v>2.2609400401964671E-4</v>
      </c>
    </row>
    <row r="1581" spans="1:14" ht="15.5" x14ac:dyDescent="0.35">
      <c r="A1581" s="199">
        <v>2041</v>
      </c>
      <c r="B1581" s="110" t="s">
        <v>5850</v>
      </c>
      <c r="C1581" s="110">
        <v>2002</v>
      </c>
      <c r="D1581" s="110" t="str">
        <f t="shared" si="13"/>
        <v>2041_2002</v>
      </c>
      <c r="E1581" s="1226">
        <v>0.124170801531456</v>
      </c>
      <c r="F1581" s="1227">
        <v>5.2948336308939095E-2</v>
      </c>
      <c r="G1581" s="1227">
        <v>5.1254378298121503</v>
      </c>
      <c r="H1581" s="1227">
        <v>0.71108089542947006</v>
      </c>
      <c r="I1581" s="1227">
        <v>5.7228622239857398E-2</v>
      </c>
      <c r="J1581" s="1227">
        <v>2.1631327748760956E-4</v>
      </c>
      <c r="K1581" s="1227">
        <v>3.0000008603782999E-3</v>
      </c>
      <c r="L1581" s="1228">
        <v>2.7963064387356601E-2</v>
      </c>
      <c r="M1581" s="1229">
        <v>5.9816246589293597E-2</v>
      </c>
      <c r="N1581" s="1230">
        <v>2.2609400401964671E-4</v>
      </c>
    </row>
    <row r="1582" spans="1:14" ht="15.5" x14ac:dyDescent="0.35">
      <c r="A1582" s="199">
        <v>2041</v>
      </c>
      <c r="B1582" s="110" t="s">
        <v>5850</v>
      </c>
      <c r="C1582" s="110">
        <v>2003</v>
      </c>
      <c r="D1582" s="110" t="str">
        <f t="shared" si="13"/>
        <v>2041_2003</v>
      </c>
      <c r="E1582" s="1226">
        <v>0.124170801531456</v>
      </c>
      <c r="F1582" s="1227">
        <v>5.2948336308939095E-2</v>
      </c>
      <c r="G1582" s="1227">
        <v>5.1254378298121503</v>
      </c>
      <c r="H1582" s="1227">
        <v>0.71108089542947006</v>
      </c>
      <c r="I1582" s="1227">
        <v>5.7228622239857398E-2</v>
      </c>
      <c r="J1582" s="1227">
        <v>2.1631327748760956E-4</v>
      </c>
      <c r="K1582" s="1227">
        <v>3.0000008603782999E-3</v>
      </c>
      <c r="L1582" s="1228">
        <v>2.7963064387356601E-2</v>
      </c>
      <c r="M1582" s="1229">
        <v>5.9816246589293597E-2</v>
      </c>
      <c r="N1582" s="1230">
        <v>2.2609400401964671E-4</v>
      </c>
    </row>
    <row r="1583" spans="1:14" ht="15.5" x14ac:dyDescent="0.35">
      <c r="A1583" s="199">
        <v>2041</v>
      </c>
      <c r="B1583" s="110" t="s">
        <v>5850</v>
      </c>
      <c r="C1583" s="110">
        <v>2004</v>
      </c>
      <c r="D1583" s="110" t="str">
        <f t="shared" si="13"/>
        <v>2041_2004</v>
      </c>
      <c r="E1583" s="1226">
        <v>0.124170801531456</v>
      </c>
      <c r="F1583" s="1227">
        <v>5.2948336308939095E-2</v>
      </c>
      <c r="G1583" s="1227">
        <v>5.1254378298121503</v>
      </c>
      <c r="H1583" s="1227">
        <v>0.71108089542947006</v>
      </c>
      <c r="I1583" s="1227">
        <v>5.7228622239857398E-2</v>
      </c>
      <c r="J1583" s="1227">
        <v>2.1631327748760956E-4</v>
      </c>
      <c r="K1583" s="1227">
        <v>3.0000008603782999E-3</v>
      </c>
      <c r="L1583" s="1228">
        <v>2.7963064387356601E-2</v>
      </c>
      <c r="M1583" s="1229">
        <v>5.9816246589293597E-2</v>
      </c>
      <c r="N1583" s="1230">
        <v>2.2609400401964671E-4</v>
      </c>
    </row>
    <row r="1584" spans="1:14" ht="15.5" x14ac:dyDescent="0.35">
      <c r="A1584" s="199">
        <v>2041</v>
      </c>
      <c r="B1584" s="110" t="s">
        <v>5850</v>
      </c>
      <c r="C1584" s="110">
        <v>2005</v>
      </c>
      <c r="D1584" s="110" t="str">
        <f t="shared" si="13"/>
        <v>2041_2005</v>
      </c>
      <c r="E1584" s="1226">
        <v>0.124170801531456</v>
      </c>
      <c r="F1584" s="1227">
        <v>5.2948336308939095E-2</v>
      </c>
      <c r="G1584" s="1227">
        <v>5.1254378298121503</v>
      </c>
      <c r="H1584" s="1227">
        <v>0.71108089542947006</v>
      </c>
      <c r="I1584" s="1227">
        <v>5.7228622239857398E-2</v>
      </c>
      <c r="J1584" s="1227">
        <v>2.1631327748760956E-4</v>
      </c>
      <c r="K1584" s="1227">
        <v>3.0000008603782999E-3</v>
      </c>
      <c r="L1584" s="1228">
        <v>2.7963064387356601E-2</v>
      </c>
      <c r="M1584" s="1229">
        <v>5.9816246589293597E-2</v>
      </c>
      <c r="N1584" s="1230">
        <v>2.2609400401964671E-4</v>
      </c>
    </row>
    <row r="1585" spans="1:14" ht="15.5" x14ac:dyDescent="0.35">
      <c r="A1585" s="199">
        <v>2041</v>
      </c>
      <c r="B1585" s="110" t="s">
        <v>5850</v>
      </c>
      <c r="C1585" s="110">
        <v>2006</v>
      </c>
      <c r="D1585" s="110" t="str">
        <f t="shared" si="13"/>
        <v>2041_2006</v>
      </c>
      <c r="E1585" s="1226">
        <v>0.124170801531456</v>
      </c>
      <c r="F1585" s="1227">
        <v>5.2948336308939095E-2</v>
      </c>
      <c r="G1585" s="1227">
        <v>5.1254378298121503</v>
      </c>
      <c r="H1585" s="1227">
        <v>0.71108089542947006</v>
      </c>
      <c r="I1585" s="1227">
        <v>5.7228622239857398E-2</v>
      </c>
      <c r="J1585" s="1227">
        <v>2.1631327748760956E-4</v>
      </c>
      <c r="K1585" s="1227">
        <v>3.0000008603782999E-3</v>
      </c>
      <c r="L1585" s="1228">
        <v>2.7963064387356601E-2</v>
      </c>
      <c r="M1585" s="1229">
        <v>5.9816246589293597E-2</v>
      </c>
      <c r="N1585" s="1230">
        <v>2.2609400401964671E-4</v>
      </c>
    </row>
    <row r="1586" spans="1:14" ht="15.5" x14ac:dyDescent="0.35">
      <c r="A1586" s="199">
        <v>2041</v>
      </c>
      <c r="B1586" s="110" t="s">
        <v>5850</v>
      </c>
      <c r="C1586" s="110">
        <v>2007</v>
      </c>
      <c r="D1586" s="110" t="str">
        <f t="shared" si="13"/>
        <v>2041_2007</v>
      </c>
      <c r="E1586" s="1226">
        <v>0.124170801531456</v>
      </c>
      <c r="F1586" s="1227">
        <v>5.2948336308939095E-2</v>
      </c>
      <c r="G1586" s="1227">
        <v>5.1254378298121503</v>
      </c>
      <c r="H1586" s="1227">
        <v>0.71108089542947006</v>
      </c>
      <c r="I1586" s="1227">
        <v>5.7228622239857398E-2</v>
      </c>
      <c r="J1586" s="1227">
        <v>2.1631327748760956E-4</v>
      </c>
      <c r="K1586" s="1227">
        <v>3.0000008603782999E-3</v>
      </c>
      <c r="L1586" s="1228">
        <v>2.7963064387356601E-2</v>
      </c>
      <c r="M1586" s="1229">
        <v>5.9816246589293597E-2</v>
      </c>
      <c r="N1586" s="1230">
        <v>2.2609400401964671E-4</v>
      </c>
    </row>
    <row r="1587" spans="1:14" ht="15.5" x14ac:dyDescent="0.35">
      <c r="A1587" s="199">
        <v>2041</v>
      </c>
      <c r="B1587" s="110" t="s">
        <v>5850</v>
      </c>
      <c r="C1587" s="110">
        <v>2008</v>
      </c>
      <c r="D1587" s="110" t="str">
        <f t="shared" si="13"/>
        <v>2041_2008</v>
      </c>
      <c r="E1587" s="1226">
        <v>0.124170801531456</v>
      </c>
      <c r="F1587" s="1227">
        <v>5.2948336308939095E-2</v>
      </c>
      <c r="G1587" s="1227">
        <v>5.1254378298121503</v>
      </c>
      <c r="H1587" s="1227">
        <v>0.71108089542947006</v>
      </c>
      <c r="I1587" s="1227">
        <v>5.7228622239857398E-2</v>
      </c>
      <c r="J1587" s="1227">
        <v>2.1631327748760956E-4</v>
      </c>
      <c r="K1587" s="1227">
        <v>3.0000008603782999E-3</v>
      </c>
      <c r="L1587" s="1228">
        <v>2.7963064387356601E-2</v>
      </c>
      <c r="M1587" s="1229">
        <v>5.9816246589293597E-2</v>
      </c>
      <c r="N1587" s="1230">
        <v>2.2609400401964671E-4</v>
      </c>
    </row>
    <row r="1588" spans="1:14" ht="15.5" x14ac:dyDescent="0.35">
      <c r="A1588" s="199">
        <v>2041</v>
      </c>
      <c r="B1588" s="110" t="s">
        <v>5850</v>
      </c>
      <c r="C1588" s="110">
        <v>2009</v>
      </c>
      <c r="D1588" s="110" t="str">
        <f t="shared" si="13"/>
        <v>2041_2009</v>
      </c>
      <c r="E1588" s="1226">
        <v>0.124170801531456</v>
      </c>
      <c r="F1588" s="1227">
        <v>5.2948336308939095E-2</v>
      </c>
      <c r="G1588" s="1227">
        <v>5.1254378298121503</v>
      </c>
      <c r="H1588" s="1227">
        <v>0.71108089542947006</v>
      </c>
      <c r="I1588" s="1227">
        <v>5.7228622239857398E-2</v>
      </c>
      <c r="J1588" s="1227">
        <v>2.1631327748760956E-4</v>
      </c>
      <c r="K1588" s="1227">
        <v>3.0000008603782999E-3</v>
      </c>
      <c r="L1588" s="1228">
        <v>2.7963064387356601E-2</v>
      </c>
      <c r="M1588" s="1229">
        <v>5.9816246589293597E-2</v>
      </c>
      <c r="N1588" s="1230">
        <v>2.2609400401964671E-4</v>
      </c>
    </row>
    <row r="1589" spans="1:14" ht="15.5" x14ac:dyDescent="0.35">
      <c r="A1589" s="199">
        <v>2041</v>
      </c>
      <c r="B1589" s="110" t="s">
        <v>5850</v>
      </c>
      <c r="C1589" s="110">
        <v>2010</v>
      </c>
      <c r="D1589" s="110" t="str">
        <f t="shared" si="13"/>
        <v>2041_2010</v>
      </c>
      <c r="E1589" s="1226">
        <v>0.124170801531456</v>
      </c>
      <c r="F1589" s="1227">
        <v>5.2948336308939095E-2</v>
      </c>
      <c r="G1589" s="1227">
        <v>5.1254378298121503</v>
      </c>
      <c r="H1589" s="1227">
        <v>0.71108089542947006</v>
      </c>
      <c r="I1589" s="1227">
        <v>5.7228622239857398E-2</v>
      </c>
      <c r="J1589" s="1227">
        <v>2.1631327748760956E-4</v>
      </c>
      <c r="K1589" s="1227">
        <v>3.0000008603782999E-3</v>
      </c>
      <c r="L1589" s="1228">
        <v>2.7963064387356601E-2</v>
      </c>
      <c r="M1589" s="1229">
        <v>5.9816246589293597E-2</v>
      </c>
      <c r="N1589" s="1230">
        <v>2.2609400401964671E-4</v>
      </c>
    </row>
    <row r="1590" spans="1:14" ht="15.5" x14ac:dyDescent="0.35">
      <c r="A1590" s="199">
        <v>2041</v>
      </c>
      <c r="B1590" s="110" t="s">
        <v>5850</v>
      </c>
      <c r="C1590" s="110">
        <v>2011</v>
      </c>
      <c r="D1590" s="110" t="str">
        <f t="shared" si="13"/>
        <v>2041_2011</v>
      </c>
      <c r="E1590" s="1231">
        <v>0.124170801531456</v>
      </c>
      <c r="F1590" s="1232">
        <v>5.2948336308939095E-2</v>
      </c>
      <c r="G1590" s="1232">
        <v>5.1254378298121503</v>
      </c>
      <c r="H1590" s="1232">
        <v>0.71108089542947006</v>
      </c>
      <c r="I1590" s="1232">
        <v>5.7228622239857398E-2</v>
      </c>
      <c r="J1590" s="1232">
        <v>2.1631327748760956E-4</v>
      </c>
      <c r="K1590" s="1232">
        <v>3.0000008603782999E-3</v>
      </c>
      <c r="L1590" s="1233">
        <v>2.7963064387356601E-2</v>
      </c>
      <c r="M1590" s="1234">
        <v>5.9816246589293597E-2</v>
      </c>
      <c r="N1590" s="1235">
        <v>2.2609400401964671E-4</v>
      </c>
    </row>
    <row r="1591" spans="1:14" ht="15.5" x14ac:dyDescent="0.35">
      <c r="A1591" s="199">
        <v>2041</v>
      </c>
      <c r="B1591" s="110" t="s">
        <v>5850</v>
      </c>
      <c r="C1591" s="110">
        <v>2012</v>
      </c>
      <c r="D1591" s="110" t="str">
        <f t="shared" si="13"/>
        <v>2041_2012</v>
      </c>
      <c r="E1591" s="1231">
        <v>2.5042912501840299E-2</v>
      </c>
      <c r="F1591" s="1232">
        <v>5.3125786564639496E-2</v>
      </c>
      <c r="G1591" s="1232">
        <v>4.4684565046344202</v>
      </c>
      <c r="H1591" s="1232">
        <v>0.62778406483753435</v>
      </c>
      <c r="I1591" s="1232">
        <v>3.31996773152834E-2</v>
      </c>
      <c r="J1591" s="1232">
        <v>2.1631327748760872E-4</v>
      </c>
      <c r="K1591" s="1232">
        <v>3.0000008603782999E-3</v>
      </c>
      <c r="L1591" s="1233">
        <v>2.7963064387500701E-2</v>
      </c>
      <c r="M1591" s="1234">
        <v>3.47008194020944E-2</v>
      </c>
      <c r="N1591" s="1235">
        <v>2.2609400401964579E-4</v>
      </c>
    </row>
    <row r="1592" spans="1:14" ht="15.5" x14ac:dyDescent="0.35">
      <c r="A1592" s="199">
        <v>2041</v>
      </c>
      <c r="B1592" s="110" t="s">
        <v>5850</v>
      </c>
      <c r="C1592" s="110">
        <v>2013</v>
      </c>
      <c r="D1592" s="110" t="str">
        <f t="shared" si="13"/>
        <v>2041_2013</v>
      </c>
      <c r="E1592" s="1231">
        <v>2.47255480137577E-2</v>
      </c>
      <c r="F1592" s="1232">
        <v>5.3125786564639697E-2</v>
      </c>
      <c r="G1592" s="1232">
        <v>4.2166117901848397</v>
      </c>
      <c r="H1592" s="1232">
        <v>0.62778406483753668</v>
      </c>
      <c r="I1592" s="1232">
        <v>3.2285407872585402E-2</v>
      </c>
      <c r="J1592" s="1232">
        <v>2.1631327748760951E-4</v>
      </c>
      <c r="K1592" s="1232">
        <v>3.0000008603782999E-3</v>
      </c>
      <c r="L1592" s="1233">
        <v>2.7963064387488499E-2</v>
      </c>
      <c r="M1592" s="1234">
        <v>3.3745210752208099E-2</v>
      </c>
      <c r="N1592" s="1235">
        <v>2.2609400401964666E-4</v>
      </c>
    </row>
    <row r="1593" spans="1:14" ht="15.5" x14ac:dyDescent="0.35">
      <c r="A1593" s="199">
        <v>2041</v>
      </c>
      <c r="B1593" s="110" t="s">
        <v>5850</v>
      </c>
      <c r="C1593" s="110">
        <v>2014</v>
      </c>
      <c r="D1593" s="110" t="str">
        <f t="shared" si="13"/>
        <v>2041_2014</v>
      </c>
      <c r="E1593" s="1231">
        <v>1.21669570099498E-2</v>
      </c>
      <c r="F1593" s="1232">
        <v>5.3125786564639656E-2</v>
      </c>
      <c r="G1593" s="1232">
        <v>1.5878464855397201</v>
      </c>
      <c r="H1593" s="1232">
        <v>0.62778406483753746</v>
      </c>
      <c r="I1593" s="1232">
        <v>3.7552358482408003E-2</v>
      </c>
      <c r="J1593" s="1232">
        <v>2.1631327748760935E-4</v>
      </c>
      <c r="K1593" s="1232">
        <v>3.0000008603782999E-3</v>
      </c>
      <c r="L1593" s="1233">
        <v>2.7963064387383E-2</v>
      </c>
      <c r="M1593" s="1234">
        <v>3.9250309496859703E-2</v>
      </c>
      <c r="N1593" s="1235">
        <v>2.2609400401964647E-4</v>
      </c>
    </row>
    <row r="1594" spans="1:14" ht="15.5" x14ac:dyDescent="0.35">
      <c r="A1594" s="199">
        <v>2041</v>
      </c>
      <c r="B1594" s="110" t="s">
        <v>5850</v>
      </c>
      <c r="C1594" s="110">
        <v>2015</v>
      </c>
      <c r="D1594" s="110" t="str">
        <f t="shared" si="13"/>
        <v>2041_2015</v>
      </c>
      <c r="E1594" s="1231">
        <v>1.2166957009958301E-2</v>
      </c>
      <c r="F1594" s="1232">
        <v>5.312578656463976E-2</v>
      </c>
      <c r="G1594" s="1232">
        <v>1.58784648554037</v>
      </c>
      <c r="H1594" s="1232">
        <v>0.62778406483753735</v>
      </c>
      <c r="I1594" s="1232">
        <v>3.7552358482322003E-2</v>
      </c>
      <c r="J1594" s="1232">
        <v>2.1631327748760975E-4</v>
      </c>
      <c r="K1594" s="1232">
        <v>3.0000008603782999E-3</v>
      </c>
      <c r="L1594" s="1233">
        <v>2.7963064387409701E-2</v>
      </c>
      <c r="M1594" s="1234">
        <v>3.92503094967699E-2</v>
      </c>
      <c r="N1594" s="1235">
        <v>2.260940040196469E-4</v>
      </c>
    </row>
    <row r="1595" spans="1:14" ht="15.5" x14ac:dyDescent="0.35">
      <c r="A1595" s="199">
        <v>2041</v>
      </c>
      <c r="B1595" s="110" t="s">
        <v>5850</v>
      </c>
      <c r="C1595" s="110">
        <v>2016</v>
      </c>
      <c r="D1595" s="110" t="str">
        <f t="shared" si="13"/>
        <v>2041_2016</v>
      </c>
      <c r="E1595" s="1231">
        <v>1.2166957009958001E-2</v>
      </c>
      <c r="F1595" s="1232">
        <v>5.3125786564639614E-2</v>
      </c>
      <c r="G1595" s="1232">
        <v>1.5878464855390699</v>
      </c>
      <c r="H1595" s="1232">
        <v>0.62778406483753568</v>
      </c>
      <c r="I1595" s="1232">
        <v>3.7552358482240498E-2</v>
      </c>
      <c r="J1595" s="1232">
        <v>2.1631327748760916E-4</v>
      </c>
      <c r="K1595" s="1232">
        <v>3.0000008603782999E-3</v>
      </c>
      <c r="L1595" s="1233">
        <v>2.7963064387426E-2</v>
      </c>
      <c r="M1595" s="1234">
        <v>3.92503094966846E-2</v>
      </c>
      <c r="N1595" s="1235">
        <v>2.2609400401964625E-4</v>
      </c>
    </row>
    <row r="1596" spans="1:14" ht="15.5" x14ac:dyDescent="0.35">
      <c r="A1596" s="199">
        <v>2041</v>
      </c>
      <c r="B1596" s="110" t="s">
        <v>5850</v>
      </c>
      <c r="C1596" s="110">
        <v>2017</v>
      </c>
      <c r="D1596" s="110" t="str">
        <f t="shared" si="13"/>
        <v>2041_2017</v>
      </c>
      <c r="E1596" s="1231">
        <v>1.2376290564702699E-2</v>
      </c>
      <c r="F1596" s="1232">
        <v>5.3125786564639454E-2</v>
      </c>
      <c r="G1596" s="1232">
        <v>1.5878464855439001</v>
      </c>
      <c r="H1596" s="1232">
        <v>0.62778406483753368</v>
      </c>
      <c r="I1596" s="1232">
        <v>3.0607503214663701E-2</v>
      </c>
      <c r="J1596" s="1232">
        <v>2.1631327748760851E-4</v>
      </c>
      <c r="K1596" s="1232">
        <v>3.0000008603782999E-3</v>
      </c>
      <c r="L1596" s="1233">
        <v>2.7963064387435E-2</v>
      </c>
      <c r="M1596" s="1234">
        <v>3.19914386912468E-2</v>
      </c>
      <c r="N1596" s="1235">
        <v>2.260940040196456E-4</v>
      </c>
    </row>
    <row r="1597" spans="1:14" ht="15.5" x14ac:dyDescent="0.35">
      <c r="A1597" s="199">
        <v>2041</v>
      </c>
      <c r="B1597" s="110" t="s">
        <v>5850</v>
      </c>
      <c r="C1597" s="110">
        <v>2018</v>
      </c>
      <c r="D1597" s="110" t="str">
        <f t="shared" si="13"/>
        <v>2041_2018</v>
      </c>
      <c r="E1597" s="1231">
        <v>1.2376290564721899E-2</v>
      </c>
      <c r="F1597" s="1232">
        <v>5.3125786564639836E-2</v>
      </c>
      <c r="G1597" s="1232">
        <v>1.5878464855413801</v>
      </c>
      <c r="H1597" s="1232">
        <v>0.62778406483753824</v>
      </c>
      <c r="I1597" s="1232">
        <v>3.0607503214932798E-2</v>
      </c>
      <c r="J1597" s="1232">
        <v>2.1631327748761008E-4</v>
      </c>
      <c r="K1597" s="1232">
        <v>3.0000008603782999E-3</v>
      </c>
      <c r="L1597" s="1233">
        <v>2.79630643873395E-2</v>
      </c>
      <c r="M1597" s="1234">
        <v>3.1991438691528103E-2</v>
      </c>
      <c r="N1597" s="1235">
        <v>2.2609400401964723E-4</v>
      </c>
    </row>
    <row r="1598" spans="1:14" ht="15.5" x14ac:dyDescent="0.35">
      <c r="A1598" s="199">
        <v>2041</v>
      </c>
      <c r="B1598" s="110" t="s">
        <v>5850</v>
      </c>
      <c r="C1598" s="110">
        <v>2019</v>
      </c>
      <c r="D1598" s="110" t="str">
        <f t="shared" si="13"/>
        <v>2041_2019</v>
      </c>
      <c r="E1598" s="1231">
        <v>1.23762905646457E-2</v>
      </c>
      <c r="F1598" s="1232">
        <v>5.312578656463969E-2</v>
      </c>
      <c r="G1598" s="1232">
        <v>1.5878464855416901</v>
      </c>
      <c r="H1598" s="1232">
        <v>0.6277840648375379</v>
      </c>
      <c r="I1598" s="1232">
        <v>3.0607503214276501E-2</v>
      </c>
      <c r="J1598" s="1232">
        <v>2.1631327748760948E-4</v>
      </c>
      <c r="K1598" s="1232">
        <v>3.0000008603782999E-3</v>
      </c>
      <c r="L1598" s="1233">
        <v>2.7963064387536402E-2</v>
      </c>
      <c r="M1598" s="1234">
        <v>3.1991438690842103E-2</v>
      </c>
      <c r="N1598" s="1235">
        <v>2.2609400401964663E-4</v>
      </c>
    </row>
    <row r="1599" spans="1:14" ht="15.5" x14ac:dyDescent="0.35">
      <c r="A1599" s="199">
        <v>2041</v>
      </c>
      <c r="B1599" s="110" t="s">
        <v>5850</v>
      </c>
      <c r="C1599" s="110">
        <v>2020</v>
      </c>
      <c r="D1599" s="110" t="str">
        <f t="shared" si="13"/>
        <v>2041_2020</v>
      </c>
      <c r="E1599" s="1231">
        <v>1.23762905647088E-2</v>
      </c>
      <c r="F1599" s="1232">
        <v>5.3125786564639739E-2</v>
      </c>
      <c r="G1599" s="1232">
        <v>1.58784648554422</v>
      </c>
      <c r="H1599" s="1232">
        <v>0.62778406483753713</v>
      </c>
      <c r="I1599" s="1232">
        <v>3.0607503214710698E-2</v>
      </c>
      <c r="J1599" s="1232">
        <v>2.1631327748760967E-4</v>
      </c>
      <c r="K1599" s="1232">
        <v>3.0000008603782999E-3</v>
      </c>
      <c r="L1599" s="1233">
        <v>2.7963064387426E-2</v>
      </c>
      <c r="M1599" s="1234">
        <v>3.19914386912959E-2</v>
      </c>
      <c r="N1599" s="1235">
        <v>2.2609400401964682E-4</v>
      </c>
    </row>
    <row r="1600" spans="1:14" ht="15.5" x14ac:dyDescent="0.35">
      <c r="A1600" s="199">
        <v>2041</v>
      </c>
      <c r="B1600" s="110" t="s">
        <v>5850</v>
      </c>
      <c r="C1600" s="110">
        <v>2021</v>
      </c>
      <c r="D1600" s="110" t="str">
        <f t="shared" si="13"/>
        <v>2041_2021</v>
      </c>
      <c r="E1600" s="1231">
        <v>1.23762905647101E-2</v>
      </c>
      <c r="F1600" s="1232">
        <v>5.3125786564640842E-2</v>
      </c>
      <c r="G1600" s="1232">
        <v>1.58784648550116</v>
      </c>
      <c r="H1600" s="1232">
        <v>0.62778406483755023</v>
      </c>
      <c r="I1600" s="1232">
        <v>3.06075032161519E-2</v>
      </c>
      <c r="J1600" s="1232">
        <v>2.1631327748761415E-4</v>
      </c>
      <c r="K1600" s="1232">
        <v>3.0000008603782999E-3</v>
      </c>
      <c r="L1600" s="1233">
        <v>2.7963064386702399E-2</v>
      </c>
      <c r="M1600" s="1234">
        <v>3.1991438692802299E-2</v>
      </c>
      <c r="N1600" s="1235">
        <v>2.2609400401965148E-4</v>
      </c>
    </row>
    <row r="1601" spans="1:14" ht="15.5" x14ac:dyDescent="0.35">
      <c r="A1601" s="199">
        <v>2041</v>
      </c>
      <c r="B1601" s="110" t="s">
        <v>5850</v>
      </c>
      <c r="C1601" s="110">
        <v>2022</v>
      </c>
      <c r="D1601" s="110" t="str">
        <f t="shared" si="13"/>
        <v>2041_2022</v>
      </c>
      <c r="E1601" s="1231">
        <v>1.23762905646534E-2</v>
      </c>
      <c r="F1601" s="1232">
        <v>5.3125786564639406E-2</v>
      </c>
      <c r="G1601" s="1232">
        <v>1.58784648554621</v>
      </c>
      <c r="H1601" s="1232">
        <v>0.62778406483753313</v>
      </c>
      <c r="I1601" s="1232">
        <v>3.0607503214178201E-2</v>
      </c>
      <c r="J1601" s="1232">
        <v>2.1631327748760832E-4</v>
      </c>
      <c r="K1601" s="1232">
        <v>3.0000008603782999E-3</v>
      </c>
      <c r="L1601" s="1233">
        <v>2.7963064387595899E-2</v>
      </c>
      <c r="M1601" s="1234">
        <v>3.19914386907394E-2</v>
      </c>
      <c r="N1601" s="1235">
        <v>2.2609400401964538E-4</v>
      </c>
    </row>
    <row r="1602" spans="1:14" ht="15.5" x14ac:dyDescent="0.35">
      <c r="A1602" s="199">
        <v>2041</v>
      </c>
      <c r="B1602" s="110" t="s">
        <v>5850</v>
      </c>
      <c r="C1602" s="110">
        <v>2023</v>
      </c>
      <c r="D1602" s="110" t="str">
        <f t="shared" si="13"/>
        <v>2041_2023</v>
      </c>
      <c r="E1602" s="1231">
        <v>1.23762905646734E-2</v>
      </c>
      <c r="F1602" s="1232">
        <v>5.3125786564639933E-2</v>
      </c>
      <c r="G1602" s="1232">
        <v>1.5154772232682501</v>
      </c>
      <c r="H1602" s="1232">
        <v>0.62778406483753935</v>
      </c>
      <c r="I1602" s="1232">
        <v>2.95686017352229E-2</v>
      </c>
      <c r="J1602" s="1232">
        <v>2.1631327748761046E-4</v>
      </c>
      <c r="K1602" s="1232">
        <v>3.0000008603782999E-3</v>
      </c>
      <c r="L1602" s="1233">
        <v>2.7963064387497499E-2</v>
      </c>
      <c r="M1602" s="1234">
        <v>3.09055626969627E-2</v>
      </c>
      <c r="N1602" s="1235">
        <v>2.2609400401964766E-4</v>
      </c>
    </row>
    <row r="1603" spans="1:14" ht="15.5" x14ac:dyDescent="0.35">
      <c r="A1603" s="198">
        <v>2041</v>
      </c>
      <c r="B1603" s="197" t="s">
        <v>5850</v>
      </c>
      <c r="C1603" s="197">
        <v>2024</v>
      </c>
      <c r="D1603" s="110" t="str">
        <f t="shared" si="13"/>
        <v>2041_2024</v>
      </c>
      <c r="E1603" s="1231">
        <v>1.23762905647294E-2</v>
      </c>
      <c r="F1603" s="1232">
        <v>5.3125786564639531E-2</v>
      </c>
      <c r="G1603" s="1232">
        <v>1.5154772232654401</v>
      </c>
      <c r="H1603" s="1232">
        <v>0.62778406483753468</v>
      </c>
      <c r="I1603" s="1232">
        <v>2.9568601735779999E-2</v>
      </c>
      <c r="J1603" s="1232">
        <v>2.1631327748760886E-4</v>
      </c>
      <c r="K1603" s="1232">
        <v>3.0000008603782999E-3</v>
      </c>
      <c r="L1603" s="1233">
        <v>2.7963064387307501E-2</v>
      </c>
      <c r="M1603" s="1234">
        <v>3.0905562697544998E-2</v>
      </c>
      <c r="N1603" s="1235">
        <v>2.2609400401964595E-4</v>
      </c>
    </row>
    <row r="1604" spans="1:14" ht="15.5" x14ac:dyDescent="0.35">
      <c r="A1604" s="198">
        <v>2041</v>
      </c>
      <c r="B1604" s="197" t="s">
        <v>5850</v>
      </c>
      <c r="C1604" s="197">
        <v>2025</v>
      </c>
      <c r="D1604" s="110" t="str">
        <f t="shared" si="13"/>
        <v>2041_2025</v>
      </c>
      <c r="E1604" s="1231">
        <v>1.23752315237655E-2</v>
      </c>
      <c r="F1604" s="1232">
        <v>5.3125786564639711E-2</v>
      </c>
      <c r="G1604" s="1232">
        <v>1.3812679780111501</v>
      </c>
      <c r="H1604" s="1232">
        <v>0.31843182023886946</v>
      </c>
      <c r="I1604" s="1232">
        <v>2.9564314235863299E-2</v>
      </c>
      <c r="J1604" s="1232">
        <v>2.1631327748760959E-4</v>
      </c>
      <c r="K1604" s="1232">
        <v>3.0000008603782999E-3</v>
      </c>
      <c r="L1604" s="1233">
        <v>2.7963064387450401E-2</v>
      </c>
      <c r="M1604" s="1234">
        <v>3.0901081335907601E-2</v>
      </c>
      <c r="N1604" s="1235">
        <v>2.2609400401964671E-4</v>
      </c>
    </row>
    <row r="1605" spans="1:14" ht="15.5" x14ac:dyDescent="0.35">
      <c r="A1605" s="198">
        <v>2041</v>
      </c>
      <c r="B1605" s="197" t="s">
        <v>5850</v>
      </c>
      <c r="C1605" s="197">
        <v>2026</v>
      </c>
      <c r="D1605" s="110" t="str">
        <f t="shared" si="13"/>
        <v>2041_2026</v>
      </c>
      <c r="E1605" s="1231">
        <v>1.22229035716212E-2</v>
      </c>
      <c r="F1605" s="1232">
        <v>5.3125786564639635E-2</v>
      </c>
      <c r="G1605" s="1232">
        <v>1.3683102315764399</v>
      </c>
      <c r="H1605" s="1232">
        <v>0.31843182023886896</v>
      </c>
      <c r="I1605" s="1232">
        <v>2.8947618500972501E-2</v>
      </c>
      <c r="J1605" s="1232">
        <v>2.1631327748760924E-4</v>
      </c>
      <c r="K1605" s="1232">
        <v>3.0000008603782999E-3</v>
      </c>
      <c r="L1605" s="1233">
        <v>3.0896714317966801E-2</v>
      </c>
      <c r="M1605" s="1234">
        <v>3.02565013564319E-2</v>
      </c>
      <c r="N1605" s="1235">
        <v>2.2609400401964639E-4</v>
      </c>
    </row>
    <row r="1606" spans="1:14" ht="15.5" x14ac:dyDescent="0.35">
      <c r="A1606" s="198">
        <v>2041</v>
      </c>
      <c r="B1606" s="197" t="s">
        <v>5850</v>
      </c>
      <c r="C1606" s="197">
        <v>2027</v>
      </c>
      <c r="D1606" s="110" t="str">
        <f t="shared" si="13"/>
        <v>2041_2027</v>
      </c>
      <c r="E1606" s="1231">
        <v>1.2053650291093799E-2</v>
      </c>
      <c r="F1606" s="1232">
        <v>4.7813207908175739E-2</v>
      </c>
      <c r="G1606" s="1232">
        <v>1.35361524123443</v>
      </c>
      <c r="H1606" s="1232">
        <v>0.28658863821498248</v>
      </c>
      <c r="I1606" s="1232">
        <v>2.8262401016245699E-2</v>
      </c>
      <c r="J1606" s="1232">
        <v>1.9468194973884862E-4</v>
      </c>
      <c r="K1606" s="1232">
        <v>3.0000008603782999E-3</v>
      </c>
      <c r="L1606" s="1233">
        <v>3.0896714317962599E-2</v>
      </c>
      <c r="M1606" s="1234">
        <v>2.9540301377653299E-2</v>
      </c>
      <c r="N1606" s="1235">
        <v>2.0348460361768202E-4</v>
      </c>
    </row>
    <row r="1607" spans="1:14" ht="15.5" x14ac:dyDescent="0.35">
      <c r="A1607" s="198">
        <v>2041</v>
      </c>
      <c r="B1607" s="197" t="s">
        <v>5850</v>
      </c>
      <c r="C1607" s="197">
        <v>2028</v>
      </c>
      <c r="D1607" s="110" t="str">
        <f t="shared" si="13"/>
        <v>2041_2028</v>
      </c>
      <c r="E1607" s="1231">
        <v>1.18655910905046E-2</v>
      </c>
      <c r="F1607" s="1232">
        <v>4.3031887117358128E-2</v>
      </c>
      <c r="G1607" s="1232">
        <v>1.2213143360819301</v>
      </c>
      <c r="H1607" s="1232">
        <v>0.19528594486225395</v>
      </c>
      <c r="I1607" s="1232">
        <v>2.71352378753912E-2</v>
      </c>
      <c r="J1607" s="1232">
        <v>1.752137547649636E-4</v>
      </c>
      <c r="K1607" s="1232">
        <v>3.0000008603782999E-3</v>
      </c>
      <c r="L1607" s="1233">
        <v>3.0896714317974101E-2</v>
      </c>
      <c r="M1607" s="1234">
        <v>2.8362172921281601E-2</v>
      </c>
      <c r="N1607" s="1235">
        <v>1.8313614325591367E-4</v>
      </c>
    </row>
    <row r="1608" spans="1:14" ht="15.5" x14ac:dyDescent="0.35">
      <c r="A1608" s="198">
        <v>2041</v>
      </c>
      <c r="B1608" s="197" t="s">
        <v>5850</v>
      </c>
      <c r="C1608" s="197">
        <v>2029</v>
      </c>
      <c r="D1608" s="110" t="str">
        <f t="shared" si="13"/>
        <v>2041_2029</v>
      </c>
      <c r="E1608" s="1231">
        <v>1.16566364231889E-2</v>
      </c>
      <c r="F1608" s="1232">
        <v>3.8728698405622354E-2</v>
      </c>
      <c r="G1608" s="1232">
        <v>1.20253746690991</v>
      </c>
      <c r="H1608" s="1232">
        <v>0.17575735037602871</v>
      </c>
      <c r="I1608" s="1232">
        <v>2.6289290363381901E-2</v>
      </c>
      <c r="J1608" s="1232">
        <v>1.5769237928846738E-4</v>
      </c>
      <c r="K1608" s="1232">
        <v>3.0000008603782999E-3</v>
      </c>
      <c r="L1608" s="1233">
        <v>3.08967143179735E-2</v>
      </c>
      <c r="M1608" s="1234">
        <v>2.7477975416615799E-2</v>
      </c>
      <c r="N1608" s="1235">
        <v>1.6482252893032246E-4</v>
      </c>
    </row>
    <row r="1609" spans="1:14" ht="15.5" x14ac:dyDescent="0.35">
      <c r="A1609" s="198">
        <v>2041</v>
      </c>
      <c r="B1609" s="197" t="s">
        <v>5850</v>
      </c>
      <c r="C1609" s="197">
        <v>2030</v>
      </c>
      <c r="D1609" s="110" t="str">
        <f t="shared" si="13"/>
        <v>2041_2030</v>
      </c>
      <c r="E1609" s="1231">
        <v>1.14244645706164E-2</v>
      </c>
      <c r="F1609" s="1232">
        <v>3.4855828565060094E-2</v>
      </c>
      <c r="G1609" s="1232">
        <v>1.18100283016216</v>
      </c>
      <c r="H1609" s="1232">
        <v>0.15818161533842573</v>
      </c>
      <c r="I1609" s="1232">
        <v>2.5349348683392E-2</v>
      </c>
      <c r="J1609" s="1232">
        <v>1.4192314135962053E-4</v>
      </c>
      <c r="K1609" s="1232">
        <v>3.0000008603782999E-3</v>
      </c>
      <c r="L1609" s="1233">
        <v>3.0896714317960601E-2</v>
      </c>
      <c r="M1609" s="1234">
        <v>2.64955337447862E-2</v>
      </c>
      <c r="N1609" s="1235">
        <v>1.4834027603729009E-4</v>
      </c>
    </row>
    <row r="1610" spans="1:14" ht="15.5" x14ac:dyDescent="0.35">
      <c r="A1610" s="198">
        <v>2041</v>
      </c>
      <c r="B1610" s="197" t="s">
        <v>5850</v>
      </c>
      <c r="C1610" s="197">
        <v>2031</v>
      </c>
      <c r="D1610" s="110" t="str">
        <f t="shared" si="13"/>
        <v>2041_2031</v>
      </c>
      <c r="E1610" s="1231">
        <v>1.11664958455296E-2</v>
      </c>
      <c r="F1610" s="1232">
        <v>3.1370245708554199E-2</v>
      </c>
      <c r="G1610" s="1232">
        <v>1.15616947766361</v>
      </c>
      <c r="H1610" s="1232">
        <v>0.14236345380458365</v>
      </c>
      <c r="I1610" s="1232">
        <v>2.4304969038893998E-2</v>
      </c>
      <c r="J1610" s="1232">
        <v>1.2773082722365896E-4</v>
      </c>
      <c r="K1610" s="1232">
        <v>3.0000008603782999E-3</v>
      </c>
      <c r="L1610" s="1233">
        <v>3.08967143179763E-2</v>
      </c>
      <c r="M1610" s="1234">
        <v>2.5403931887129999E-2</v>
      </c>
      <c r="N1610" s="1235">
        <v>1.3350624843356154E-4</v>
      </c>
    </row>
    <row r="1611" spans="1:14" ht="15.5" x14ac:dyDescent="0.35">
      <c r="A1611" s="198">
        <v>2041</v>
      </c>
      <c r="B1611" s="197" t="s">
        <v>5850</v>
      </c>
      <c r="C1611" s="197">
        <v>2032</v>
      </c>
      <c r="D1611" s="110" t="str">
        <f t="shared" si="13"/>
        <v>2041_2032</v>
      </c>
      <c r="E1611" s="1231">
        <v>1.08798639287711E-2</v>
      </c>
      <c r="F1611" s="1232">
        <v>2.8233221137698772E-2</v>
      </c>
      <c r="G1611" s="1232">
        <v>1.06175696324572</v>
      </c>
      <c r="H1611" s="1232">
        <v>0.12812710842412528</v>
      </c>
      <c r="I1611" s="1232">
        <v>2.1373254845346301E-2</v>
      </c>
      <c r="J1611" s="1232">
        <v>1.1495774450129303E-4</v>
      </c>
      <c r="K1611" s="1232">
        <v>3.0000008603782999E-3</v>
      </c>
      <c r="L1611" s="1233">
        <v>3.0896714317978601E-2</v>
      </c>
      <c r="M1611" s="1234">
        <v>2.23396585870392E-2</v>
      </c>
      <c r="N1611" s="1235">
        <v>1.201556235902054E-4</v>
      </c>
    </row>
    <row r="1612" spans="1:14" ht="15.5" x14ac:dyDescent="0.35">
      <c r="A1612" s="198">
        <v>2041</v>
      </c>
      <c r="B1612" s="197" t="s">
        <v>5850</v>
      </c>
      <c r="C1612" s="197">
        <v>2033</v>
      </c>
      <c r="D1612" s="110" t="str">
        <f t="shared" si="13"/>
        <v>2041_2033</v>
      </c>
      <c r="E1612" s="1231">
        <v>1.05613840212608E-2</v>
      </c>
      <c r="F1612" s="1232">
        <v>2.5409899023928831E-2</v>
      </c>
      <c r="G1612" s="1232">
        <v>1.03013398600427</v>
      </c>
      <c r="H1612" s="1232">
        <v>0.11531439758171247</v>
      </c>
      <c r="I1612" s="1232">
        <v>2.00838972595998E-2</v>
      </c>
      <c r="J1612" s="1232">
        <v>1.0346197005116348E-4</v>
      </c>
      <c r="K1612" s="1232">
        <v>3.0000008603782999E-3</v>
      </c>
      <c r="L1612" s="1233">
        <v>3.089671431797E-2</v>
      </c>
      <c r="M1612" s="1234">
        <v>2.0992001972704798E-2</v>
      </c>
      <c r="N1612" s="1235">
        <v>1.081400612311846E-4</v>
      </c>
    </row>
    <row r="1613" spans="1:14" ht="15.5" x14ac:dyDescent="0.35">
      <c r="A1613" s="198">
        <v>2041</v>
      </c>
      <c r="B1613" s="197" t="s">
        <v>5850</v>
      </c>
      <c r="C1613" s="197">
        <v>2034</v>
      </c>
      <c r="D1613" s="110" t="str">
        <f t="shared" si="13"/>
        <v>2041_2034</v>
      </c>
      <c r="E1613" s="1231">
        <v>1.02075174573594E-2</v>
      </c>
      <c r="F1613" s="1232">
        <v>2.5409899023928768E-2</v>
      </c>
      <c r="G1613" s="1232">
        <v>0.99266035926504703</v>
      </c>
      <c r="H1613" s="1232">
        <v>0.11531439758171219</v>
      </c>
      <c r="I1613" s="1232">
        <v>1.8651277719860099E-2</v>
      </c>
      <c r="J1613" s="1232">
        <v>1.0346197005116322E-4</v>
      </c>
      <c r="K1613" s="1232">
        <v>3.0000008603782999E-3</v>
      </c>
      <c r="L1613" s="1233">
        <v>3.0896714317975301E-2</v>
      </c>
      <c r="M1613" s="1234">
        <v>1.9494605734532999E-2</v>
      </c>
      <c r="N1613" s="1235">
        <v>1.0814006123118433E-4</v>
      </c>
    </row>
    <row r="1614" spans="1:14" ht="15.5" x14ac:dyDescent="0.35">
      <c r="A1614" s="198">
        <v>2041</v>
      </c>
      <c r="B1614" s="197" t="s">
        <v>5850</v>
      </c>
      <c r="C1614" s="197">
        <v>2035</v>
      </c>
      <c r="D1614" s="110" t="str">
        <f t="shared" si="13"/>
        <v>2041_2035</v>
      </c>
      <c r="E1614" s="1231">
        <v>9.8536508934606894E-3</v>
      </c>
      <c r="F1614" s="1232">
        <v>2.5409899023928716E-2</v>
      </c>
      <c r="G1614" s="1232">
        <v>0.95224435852480105</v>
      </c>
      <c r="H1614" s="1232">
        <v>0.11531439758171194</v>
      </c>
      <c r="I1614" s="1232">
        <v>1.7218658180142E-2</v>
      </c>
      <c r="J1614" s="1232">
        <v>1.0346197005116302E-4</v>
      </c>
      <c r="K1614" s="1232">
        <v>3.0000008603782999E-3</v>
      </c>
      <c r="L1614" s="1233">
        <v>3.0896714317966902E-2</v>
      </c>
      <c r="M1614" s="1234">
        <v>1.7997209496384E-2</v>
      </c>
      <c r="N1614" s="1235">
        <v>1.0814006123118411E-4</v>
      </c>
    </row>
    <row r="1615" spans="1:14" ht="15.5" x14ac:dyDescent="0.35">
      <c r="A1615" s="199">
        <v>2041</v>
      </c>
      <c r="B1615" s="110" t="s">
        <v>5850</v>
      </c>
      <c r="C1615" s="110">
        <v>2036</v>
      </c>
      <c r="D1615" s="110" t="str">
        <f t="shared" si="13"/>
        <v>2041_2036</v>
      </c>
      <c r="E1615" s="1231">
        <v>9.4997843295595505E-3</v>
      </c>
      <c r="F1615" s="1232">
        <v>2.5409899023928734E-2</v>
      </c>
      <c r="G1615" s="1232">
        <v>0.90784258525370398</v>
      </c>
      <c r="H1615" s="1232">
        <v>0.1151123473011732</v>
      </c>
      <c r="I1615" s="1232">
        <v>1.6156819603127998E-2</v>
      </c>
      <c r="J1615" s="1232">
        <v>1.0346197005116308E-4</v>
      </c>
      <c r="K1615" s="1232">
        <v>3.0000008603782999E-3</v>
      </c>
      <c r="L1615" s="1233">
        <v>3.08967143179711E-2</v>
      </c>
      <c r="M1615" s="1234">
        <v>1.6887359290756299E-2</v>
      </c>
      <c r="N1615" s="1235">
        <v>1.0814006123118418E-4</v>
      </c>
    </row>
    <row r="1616" spans="1:14" ht="15.5" x14ac:dyDescent="0.35">
      <c r="A1616" s="199">
        <v>2041</v>
      </c>
      <c r="B1616" s="110" t="s">
        <v>5850</v>
      </c>
      <c r="C1616" s="110">
        <v>2037</v>
      </c>
      <c r="D1616" s="110" t="str">
        <f t="shared" si="13"/>
        <v>2041_2037</v>
      </c>
      <c r="E1616" s="1231">
        <v>9.1459177656592998E-3</v>
      </c>
      <c r="F1616" s="1232">
        <v>2.5409899023928734E-2</v>
      </c>
      <c r="G1616" s="1232">
        <v>0.85229413871719994</v>
      </c>
      <c r="H1616" s="1232">
        <v>0.11111891426958473</v>
      </c>
      <c r="I1616" s="1232">
        <v>1.5110303530841701E-2</v>
      </c>
      <c r="J1616" s="1232">
        <v>1.0346197005116308E-4</v>
      </c>
      <c r="K1616" s="1232">
        <v>3.0000008603782999E-3</v>
      </c>
      <c r="L1616" s="1233">
        <v>3.0896714317972099E-2</v>
      </c>
      <c r="M1616" s="1234">
        <v>1.57935244055275E-2</v>
      </c>
      <c r="N1616" s="1235">
        <v>1.0814006123118418E-4</v>
      </c>
    </row>
    <row r="1617" spans="1:14" ht="15.5" x14ac:dyDescent="0.35">
      <c r="A1617" s="199">
        <v>2041</v>
      </c>
      <c r="B1617" s="110" t="s">
        <v>5850</v>
      </c>
      <c r="C1617" s="110">
        <v>2038</v>
      </c>
      <c r="D1617" s="110" t="str">
        <f t="shared" si="13"/>
        <v>2041_2038</v>
      </c>
      <c r="E1617" s="1231">
        <v>8.7920512017590803E-3</v>
      </c>
      <c r="F1617" s="1232">
        <v>2.5409899023928782E-2</v>
      </c>
      <c r="G1617" s="1232">
        <v>0.78642331191095705</v>
      </c>
      <c r="H1617" s="1232">
        <v>0.10425344400329334</v>
      </c>
      <c r="I1617" s="1232">
        <v>1.4052694875188201E-2</v>
      </c>
      <c r="J1617" s="1232">
        <v>1.0346197005116329E-4</v>
      </c>
      <c r="K1617" s="1232">
        <v>3.0000008603782999E-3</v>
      </c>
      <c r="L1617" s="1233">
        <v>3.08967143179695E-2</v>
      </c>
      <c r="M1617" s="1234">
        <v>1.46880953795343E-2</v>
      </c>
      <c r="N1617" s="1235">
        <v>1.0814006123118437E-4</v>
      </c>
    </row>
    <row r="1618" spans="1:14" ht="15.5" x14ac:dyDescent="0.35">
      <c r="A1618" s="199">
        <v>2041</v>
      </c>
      <c r="B1618" s="110" t="s">
        <v>5850</v>
      </c>
      <c r="C1618" s="110">
        <v>2039</v>
      </c>
      <c r="D1618" s="110" t="str">
        <f t="shared" si="13"/>
        <v>2041_2039</v>
      </c>
      <c r="E1618" s="1231">
        <v>8.4381846378587394E-3</v>
      </c>
      <c r="F1618" s="1232">
        <v>2.5409899023928744E-2</v>
      </c>
      <c r="G1618" s="1232">
        <v>0.71003314694434605</v>
      </c>
      <c r="H1618" s="1232">
        <v>9.5435282018643069E-2</v>
      </c>
      <c r="I1618" s="1232">
        <v>1.30117541278099E-2</v>
      </c>
      <c r="J1618" s="1232">
        <v>1.0346197005116313E-4</v>
      </c>
      <c r="K1618" s="1232">
        <v>3.0000008603782999E-3</v>
      </c>
      <c r="L1618" s="1233">
        <v>3.0896714317967901E-2</v>
      </c>
      <c r="M1618" s="1234">
        <v>1.3600087910665601E-2</v>
      </c>
      <c r="N1618" s="1235">
        <v>1.0814006123118423E-4</v>
      </c>
    </row>
    <row r="1619" spans="1:14" ht="15.5" x14ac:dyDescent="0.35">
      <c r="A1619" s="199">
        <v>2041</v>
      </c>
      <c r="B1619" s="110" t="s">
        <v>5850</v>
      </c>
      <c r="C1619" s="110">
        <v>2040</v>
      </c>
      <c r="D1619" s="110" t="str">
        <f t="shared" si="13"/>
        <v>2041_2040</v>
      </c>
      <c r="E1619" s="1231">
        <v>8.0843180739572102E-3</v>
      </c>
      <c r="F1619" s="1232">
        <v>2.5409899023928675E-2</v>
      </c>
      <c r="G1619" s="1232">
        <v>0.62078713776599803</v>
      </c>
      <c r="H1619" s="1232">
        <v>8.558377333153655E-2</v>
      </c>
      <c r="I1619" s="1232">
        <v>1.20065589400011E-2</v>
      </c>
      <c r="J1619" s="1232">
        <v>1.0346197005116284E-4</v>
      </c>
      <c r="K1619" s="1232">
        <v>3.0000008603782999E-3</v>
      </c>
      <c r="L1619" s="1233">
        <v>3.08967143179712E-2</v>
      </c>
      <c r="M1619" s="1234">
        <v>1.25494422569517E-2</v>
      </c>
      <c r="N1619" s="1235">
        <v>1.0814006123118392E-4</v>
      </c>
    </row>
    <row r="1620" spans="1:14" ht="15.5" x14ac:dyDescent="0.35">
      <c r="A1620" s="199">
        <v>2041</v>
      </c>
      <c r="B1620" s="110" t="s">
        <v>5850</v>
      </c>
      <c r="C1620" s="110">
        <v>2041</v>
      </c>
      <c r="D1620" s="110" t="str">
        <f t="shared" si="13"/>
        <v>2041_2041</v>
      </c>
      <c r="E1620" s="1231">
        <v>7.7307118503077898E-3</v>
      </c>
      <c r="F1620" s="1232">
        <v>2.5409901311563239E-2</v>
      </c>
      <c r="G1620" s="1232">
        <v>0.51042227814046703</v>
      </c>
      <c r="H1620" s="1232">
        <v>7.5618270516398689E-2</v>
      </c>
      <c r="I1620" s="1232">
        <v>1.10492357671659E-2</v>
      </c>
      <c r="J1620" s="1232">
        <v>1.0346197936576855E-4</v>
      </c>
      <c r="K1620" s="1232">
        <v>3.0000008603779599E-3</v>
      </c>
      <c r="L1620" s="1233">
        <v>3.0894907845557401E-2</v>
      </c>
      <c r="M1620" s="1234">
        <v>1.15488331782996E-2</v>
      </c>
      <c r="N1620" s="1235">
        <v>1.0814007096695465E-4</v>
      </c>
    </row>
    <row r="1621" spans="1:14" ht="15.5" x14ac:dyDescent="0.35">
      <c r="A1621" s="199">
        <v>2041</v>
      </c>
      <c r="B1621" s="110" t="s">
        <v>5850</v>
      </c>
      <c r="C1621" s="110">
        <v>2042</v>
      </c>
      <c r="D1621" s="110" t="str">
        <f t="shared" si="13"/>
        <v>2041_2042</v>
      </c>
      <c r="E1621" s="1231">
        <v>7.3754122593942904E-3</v>
      </c>
      <c r="F1621" s="1232">
        <v>6.0983731731382385E-2</v>
      </c>
      <c r="G1621" s="1232">
        <v>0.350716024526667</v>
      </c>
      <c r="H1621" s="1232">
        <v>0.18148375574621506</v>
      </c>
      <c r="I1621" s="1232">
        <v>1.0137806885922499E-2</v>
      </c>
      <c r="J1621" s="1232">
        <v>2.4830862255921423E-4</v>
      </c>
      <c r="K1621" s="1232">
        <v>3.0000008603799102E-3</v>
      </c>
      <c r="L1621" s="1233">
        <v>3.09052418067726E-2</v>
      </c>
      <c r="M1621" s="1234">
        <v>1.05961935274521E-2</v>
      </c>
      <c r="N1621" s="1235">
        <v>2.5953603661814839E-4</v>
      </c>
    </row>
    <row r="1622" spans="1:14" ht="15.5" x14ac:dyDescent="0.35">
      <c r="A1622" s="199">
        <v>2042</v>
      </c>
      <c r="B1622" s="110" t="s">
        <v>5850</v>
      </c>
      <c r="C1622" s="110">
        <v>1971</v>
      </c>
      <c r="D1622" s="110" t="str">
        <f t="shared" si="13"/>
        <v>2042_1971</v>
      </c>
      <c r="E1622" s="1226">
        <v>0.12417080177206199</v>
      </c>
      <c r="F1622" s="1227">
        <v>5.2948001400300468E-2</v>
      </c>
      <c r="G1622" s="1227">
        <v>5.1254378795870901</v>
      </c>
      <c r="H1622" s="1227">
        <v>0.71107639770298325</v>
      </c>
      <c r="I1622" s="1227">
        <v>5.72286255510722E-2</v>
      </c>
      <c r="J1622" s="1227">
        <v>2.1631190926359479E-4</v>
      </c>
      <c r="K1622" s="1227">
        <v>3.0000008603782999E-3</v>
      </c>
      <c r="L1622" s="1228">
        <v>2.7963063683257901E-2</v>
      </c>
      <c r="M1622" s="1229">
        <v>5.98162500502269E-2</v>
      </c>
      <c r="N1622" s="1230">
        <v>2.2609257393061338E-4</v>
      </c>
    </row>
    <row r="1623" spans="1:14" ht="15.5" x14ac:dyDescent="0.35">
      <c r="A1623" s="199">
        <v>2042</v>
      </c>
      <c r="B1623" s="110" t="s">
        <v>5850</v>
      </c>
      <c r="C1623" s="110">
        <v>1972</v>
      </c>
      <c r="D1623" s="110" t="str">
        <f t="shared" si="13"/>
        <v>2042_1972</v>
      </c>
      <c r="E1623" s="1226">
        <v>0.12417080177206199</v>
      </c>
      <c r="F1623" s="1227">
        <v>5.2948001400300468E-2</v>
      </c>
      <c r="G1623" s="1227">
        <v>5.1254378795870901</v>
      </c>
      <c r="H1623" s="1227">
        <v>0.71107639770298325</v>
      </c>
      <c r="I1623" s="1227">
        <v>5.72286255510722E-2</v>
      </c>
      <c r="J1623" s="1227">
        <v>2.1631190926359479E-4</v>
      </c>
      <c r="K1623" s="1227">
        <v>3.0000008603782999E-3</v>
      </c>
      <c r="L1623" s="1228">
        <v>2.7963063683257901E-2</v>
      </c>
      <c r="M1623" s="1229">
        <v>5.98162500502269E-2</v>
      </c>
      <c r="N1623" s="1230">
        <v>2.2609257393061338E-4</v>
      </c>
    </row>
    <row r="1624" spans="1:14" ht="15.5" x14ac:dyDescent="0.35">
      <c r="A1624" s="199">
        <v>2042</v>
      </c>
      <c r="B1624" s="110" t="s">
        <v>5850</v>
      </c>
      <c r="C1624" s="110">
        <v>1973</v>
      </c>
      <c r="D1624" s="110" t="str">
        <f t="shared" si="13"/>
        <v>2042_1973</v>
      </c>
      <c r="E1624" s="1226">
        <v>0.12417080177206199</v>
      </c>
      <c r="F1624" s="1227">
        <v>5.2948001400300468E-2</v>
      </c>
      <c r="G1624" s="1227">
        <v>5.1254378795870901</v>
      </c>
      <c r="H1624" s="1227">
        <v>0.71107639770298325</v>
      </c>
      <c r="I1624" s="1227">
        <v>5.72286255510722E-2</v>
      </c>
      <c r="J1624" s="1227">
        <v>2.1631190926359479E-4</v>
      </c>
      <c r="K1624" s="1227">
        <v>3.0000008603782999E-3</v>
      </c>
      <c r="L1624" s="1228">
        <v>2.7963063683257901E-2</v>
      </c>
      <c r="M1624" s="1229">
        <v>5.98162500502269E-2</v>
      </c>
      <c r="N1624" s="1230">
        <v>2.2609257393061338E-4</v>
      </c>
    </row>
    <row r="1625" spans="1:14" ht="15.5" x14ac:dyDescent="0.35">
      <c r="A1625" s="199">
        <v>2042</v>
      </c>
      <c r="B1625" s="110" t="s">
        <v>5850</v>
      </c>
      <c r="C1625" s="110">
        <v>1974</v>
      </c>
      <c r="D1625" s="110" t="str">
        <f t="shared" si="13"/>
        <v>2042_1974</v>
      </c>
      <c r="E1625" s="1226">
        <v>0.12417080177206199</v>
      </c>
      <c r="F1625" s="1227">
        <v>5.2948001400300468E-2</v>
      </c>
      <c r="G1625" s="1227">
        <v>5.1254378795870901</v>
      </c>
      <c r="H1625" s="1227">
        <v>0.71107639770298325</v>
      </c>
      <c r="I1625" s="1227">
        <v>5.72286255510722E-2</v>
      </c>
      <c r="J1625" s="1227">
        <v>2.1631190926359479E-4</v>
      </c>
      <c r="K1625" s="1227">
        <v>3.0000008603782999E-3</v>
      </c>
      <c r="L1625" s="1228">
        <v>2.7963063683257901E-2</v>
      </c>
      <c r="M1625" s="1229">
        <v>5.98162500502269E-2</v>
      </c>
      <c r="N1625" s="1230">
        <v>2.2609257393061338E-4</v>
      </c>
    </row>
    <row r="1626" spans="1:14" ht="15.5" x14ac:dyDescent="0.35">
      <c r="A1626" s="199">
        <v>2042</v>
      </c>
      <c r="B1626" s="110" t="s">
        <v>5850</v>
      </c>
      <c r="C1626" s="110">
        <v>1975</v>
      </c>
      <c r="D1626" s="110" t="str">
        <f t="shared" si="13"/>
        <v>2042_1975</v>
      </c>
      <c r="E1626" s="1226">
        <v>0.12417080177206199</v>
      </c>
      <c r="F1626" s="1227">
        <v>5.2948001400300468E-2</v>
      </c>
      <c r="G1626" s="1227">
        <v>5.1254378795870901</v>
      </c>
      <c r="H1626" s="1227">
        <v>0.71107639770298325</v>
      </c>
      <c r="I1626" s="1227">
        <v>5.72286255510722E-2</v>
      </c>
      <c r="J1626" s="1227">
        <v>2.1631190926359479E-4</v>
      </c>
      <c r="K1626" s="1227">
        <v>3.0000008603782999E-3</v>
      </c>
      <c r="L1626" s="1228">
        <v>2.7963063683257901E-2</v>
      </c>
      <c r="M1626" s="1229">
        <v>5.98162500502269E-2</v>
      </c>
      <c r="N1626" s="1230">
        <v>2.2609257393061338E-4</v>
      </c>
    </row>
    <row r="1627" spans="1:14" ht="15.5" x14ac:dyDescent="0.35">
      <c r="A1627" s="199">
        <v>2042</v>
      </c>
      <c r="B1627" s="110" t="s">
        <v>5850</v>
      </c>
      <c r="C1627" s="110">
        <v>1976</v>
      </c>
      <c r="D1627" s="110" t="str">
        <f t="shared" si="13"/>
        <v>2042_1976</v>
      </c>
      <c r="E1627" s="1226">
        <v>0.12417080177206199</v>
      </c>
      <c r="F1627" s="1227">
        <v>5.2948001400300468E-2</v>
      </c>
      <c r="G1627" s="1227">
        <v>5.1254378795870901</v>
      </c>
      <c r="H1627" s="1227">
        <v>0.71107639770298325</v>
      </c>
      <c r="I1627" s="1227">
        <v>5.72286255510722E-2</v>
      </c>
      <c r="J1627" s="1227">
        <v>2.1631190926359479E-4</v>
      </c>
      <c r="K1627" s="1227">
        <v>3.0000008603782999E-3</v>
      </c>
      <c r="L1627" s="1228">
        <v>2.7963063683257901E-2</v>
      </c>
      <c r="M1627" s="1229">
        <v>5.98162500502269E-2</v>
      </c>
      <c r="N1627" s="1230">
        <v>2.2609257393061338E-4</v>
      </c>
    </row>
    <row r="1628" spans="1:14" ht="15.5" x14ac:dyDescent="0.35">
      <c r="A1628" s="199">
        <v>2042</v>
      </c>
      <c r="B1628" s="110" t="s">
        <v>5850</v>
      </c>
      <c r="C1628" s="110">
        <v>1977</v>
      </c>
      <c r="D1628" s="110" t="str">
        <f t="shared" si="13"/>
        <v>2042_1977</v>
      </c>
      <c r="E1628" s="1226">
        <v>0.12417080177206199</v>
      </c>
      <c r="F1628" s="1227">
        <v>5.2948001400300468E-2</v>
      </c>
      <c r="G1628" s="1227">
        <v>5.1254378795870901</v>
      </c>
      <c r="H1628" s="1227">
        <v>0.71107639770298325</v>
      </c>
      <c r="I1628" s="1227">
        <v>5.72286255510722E-2</v>
      </c>
      <c r="J1628" s="1227">
        <v>2.1631190926359479E-4</v>
      </c>
      <c r="K1628" s="1227">
        <v>3.0000008603782999E-3</v>
      </c>
      <c r="L1628" s="1228">
        <v>2.7963063683257901E-2</v>
      </c>
      <c r="M1628" s="1229">
        <v>5.98162500502269E-2</v>
      </c>
      <c r="N1628" s="1230">
        <v>2.2609257393061338E-4</v>
      </c>
    </row>
    <row r="1629" spans="1:14" ht="15.5" x14ac:dyDescent="0.35">
      <c r="A1629" s="199">
        <v>2042</v>
      </c>
      <c r="B1629" s="110" t="s">
        <v>5850</v>
      </c>
      <c r="C1629" s="110">
        <v>1978</v>
      </c>
      <c r="D1629" s="110" t="str">
        <f t="shared" si="13"/>
        <v>2042_1978</v>
      </c>
      <c r="E1629" s="1226">
        <v>0.12417080177206199</v>
      </c>
      <c r="F1629" s="1227">
        <v>5.2948001400300468E-2</v>
      </c>
      <c r="G1629" s="1227">
        <v>5.1254378795870901</v>
      </c>
      <c r="H1629" s="1227">
        <v>0.71107639770298325</v>
      </c>
      <c r="I1629" s="1227">
        <v>5.72286255510722E-2</v>
      </c>
      <c r="J1629" s="1227">
        <v>2.1631190926359479E-4</v>
      </c>
      <c r="K1629" s="1227">
        <v>3.0000008603782999E-3</v>
      </c>
      <c r="L1629" s="1228">
        <v>2.7963063683257901E-2</v>
      </c>
      <c r="M1629" s="1229">
        <v>5.98162500502269E-2</v>
      </c>
      <c r="N1629" s="1230">
        <v>2.2609257393061338E-4</v>
      </c>
    </row>
    <row r="1630" spans="1:14" ht="15.5" x14ac:dyDescent="0.35">
      <c r="A1630" s="199">
        <v>2042</v>
      </c>
      <c r="B1630" s="110" t="s">
        <v>5850</v>
      </c>
      <c r="C1630" s="110">
        <v>1979</v>
      </c>
      <c r="D1630" s="110" t="str">
        <f t="shared" si="13"/>
        <v>2042_1979</v>
      </c>
      <c r="E1630" s="1226">
        <v>0.12417080177206199</v>
      </c>
      <c r="F1630" s="1227">
        <v>5.2948001400300468E-2</v>
      </c>
      <c r="G1630" s="1227">
        <v>5.1254378795870901</v>
      </c>
      <c r="H1630" s="1227">
        <v>0.71107639770298325</v>
      </c>
      <c r="I1630" s="1227">
        <v>5.72286255510722E-2</v>
      </c>
      <c r="J1630" s="1227">
        <v>2.1631190926359479E-4</v>
      </c>
      <c r="K1630" s="1227">
        <v>3.0000008603782999E-3</v>
      </c>
      <c r="L1630" s="1228">
        <v>2.7963063683257901E-2</v>
      </c>
      <c r="M1630" s="1229">
        <v>5.98162500502269E-2</v>
      </c>
      <c r="N1630" s="1230">
        <v>2.2609257393061338E-4</v>
      </c>
    </row>
    <row r="1631" spans="1:14" ht="15.5" x14ac:dyDescent="0.35">
      <c r="A1631" s="199">
        <v>2042</v>
      </c>
      <c r="B1631" s="110" t="s">
        <v>5850</v>
      </c>
      <c r="C1631" s="110">
        <v>1980</v>
      </c>
      <c r="D1631" s="110" t="str">
        <f t="shared" si="13"/>
        <v>2042_1980</v>
      </c>
      <c r="E1631" s="1226">
        <v>0.12417080177206199</v>
      </c>
      <c r="F1631" s="1227">
        <v>5.2948001400300468E-2</v>
      </c>
      <c r="G1631" s="1227">
        <v>5.1254378795870901</v>
      </c>
      <c r="H1631" s="1227">
        <v>0.71107639770298325</v>
      </c>
      <c r="I1631" s="1227">
        <v>5.72286255510722E-2</v>
      </c>
      <c r="J1631" s="1227">
        <v>2.1631190926359479E-4</v>
      </c>
      <c r="K1631" s="1227">
        <v>3.0000008603782999E-3</v>
      </c>
      <c r="L1631" s="1228">
        <v>2.7963063683257901E-2</v>
      </c>
      <c r="M1631" s="1229">
        <v>5.98162500502269E-2</v>
      </c>
      <c r="N1631" s="1230">
        <v>2.2609257393061338E-4</v>
      </c>
    </row>
    <row r="1632" spans="1:14" ht="15.5" x14ac:dyDescent="0.35">
      <c r="A1632" s="199">
        <v>2042</v>
      </c>
      <c r="B1632" s="110" t="s">
        <v>5850</v>
      </c>
      <c r="C1632" s="110">
        <v>1981</v>
      </c>
      <c r="D1632" s="110" t="str">
        <f t="shared" si="13"/>
        <v>2042_1981</v>
      </c>
      <c r="E1632" s="1226">
        <v>0.12417080177206199</v>
      </c>
      <c r="F1632" s="1227">
        <v>5.2948001400300468E-2</v>
      </c>
      <c r="G1632" s="1227">
        <v>5.1254378795870901</v>
      </c>
      <c r="H1632" s="1227">
        <v>0.71107639770298325</v>
      </c>
      <c r="I1632" s="1227">
        <v>5.72286255510722E-2</v>
      </c>
      <c r="J1632" s="1227">
        <v>2.1631190926359479E-4</v>
      </c>
      <c r="K1632" s="1227">
        <v>3.0000008603782999E-3</v>
      </c>
      <c r="L1632" s="1228">
        <v>2.7963063683257901E-2</v>
      </c>
      <c r="M1632" s="1229">
        <v>5.98162500502269E-2</v>
      </c>
      <c r="N1632" s="1230">
        <v>2.2609257393061338E-4</v>
      </c>
    </row>
    <row r="1633" spans="1:14" ht="15.5" x14ac:dyDescent="0.35">
      <c r="A1633" s="199">
        <v>2042</v>
      </c>
      <c r="B1633" s="110" t="s">
        <v>5850</v>
      </c>
      <c r="C1633" s="110">
        <v>1982</v>
      </c>
      <c r="D1633" s="110" t="str">
        <f t="shared" si="13"/>
        <v>2042_1982</v>
      </c>
      <c r="E1633" s="1226">
        <v>0.12417080177206199</v>
      </c>
      <c r="F1633" s="1227">
        <v>5.2948001400300468E-2</v>
      </c>
      <c r="G1633" s="1227">
        <v>5.1254378795870901</v>
      </c>
      <c r="H1633" s="1227">
        <v>0.71107639770298325</v>
      </c>
      <c r="I1633" s="1227">
        <v>5.72286255510722E-2</v>
      </c>
      <c r="J1633" s="1227">
        <v>2.1631190926359479E-4</v>
      </c>
      <c r="K1633" s="1227">
        <v>3.0000008603782999E-3</v>
      </c>
      <c r="L1633" s="1228">
        <v>2.7963063683257901E-2</v>
      </c>
      <c r="M1633" s="1229">
        <v>5.98162500502269E-2</v>
      </c>
      <c r="N1633" s="1230">
        <v>2.2609257393061338E-4</v>
      </c>
    </row>
    <row r="1634" spans="1:14" ht="15.5" x14ac:dyDescent="0.35">
      <c r="A1634" s="199">
        <v>2042</v>
      </c>
      <c r="B1634" s="110" t="s">
        <v>5850</v>
      </c>
      <c r="C1634" s="110">
        <v>1983</v>
      </c>
      <c r="D1634" s="110" t="str">
        <f t="shared" si="13"/>
        <v>2042_1983</v>
      </c>
      <c r="E1634" s="1226">
        <v>0.12417080177206199</v>
      </c>
      <c r="F1634" s="1227">
        <v>5.2948001400300468E-2</v>
      </c>
      <c r="G1634" s="1227">
        <v>5.1254378795870901</v>
      </c>
      <c r="H1634" s="1227">
        <v>0.71107639770298325</v>
      </c>
      <c r="I1634" s="1227">
        <v>5.72286255510722E-2</v>
      </c>
      <c r="J1634" s="1227">
        <v>2.1631190926359479E-4</v>
      </c>
      <c r="K1634" s="1227">
        <v>3.0000008603782999E-3</v>
      </c>
      <c r="L1634" s="1228">
        <v>2.7963063683257901E-2</v>
      </c>
      <c r="M1634" s="1229">
        <v>5.98162500502269E-2</v>
      </c>
      <c r="N1634" s="1230">
        <v>2.2609257393061338E-4</v>
      </c>
    </row>
    <row r="1635" spans="1:14" ht="15.5" x14ac:dyDescent="0.35">
      <c r="A1635" s="199">
        <v>2042</v>
      </c>
      <c r="B1635" s="110" t="s">
        <v>5850</v>
      </c>
      <c r="C1635" s="110">
        <v>1984</v>
      </c>
      <c r="D1635" s="110" t="str">
        <f t="shared" si="13"/>
        <v>2042_1984</v>
      </c>
      <c r="E1635" s="1226">
        <v>0.12417080177206199</v>
      </c>
      <c r="F1635" s="1227">
        <v>5.2948001400300468E-2</v>
      </c>
      <c r="G1635" s="1227">
        <v>5.1254378795870901</v>
      </c>
      <c r="H1635" s="1227">
        <v>0.71107639770298325</v>
      </c>
      <c r="I1635" s="1227">
        <v>5.72286255510722E-2</v>
      </c>
      <c r="J1635" s="1227">
        <v>2.1631190926359479E-4</v>
      </c>
      <c r="K1635" s="1227">
        <v>3.0000008603782999E-3</v>
      </c>
      <c r="L1635" s="1228">
        <v>2.7963063683257901E-2</v>
      </c>
      <c r="M1635" s="1229">
        <v>5.98162500502269E-2</v>
      </c>
      <c r="N1635" s="1230">
        <v>2.2609257393061338E-4</v>
      </c>
    </row>
    <row r="1636" spans="1:14" ht="15.5" x14ac:dyDescent="0.35">
      <c r="A1636" s="199">
        <v>2042</v>
      </c>
      <c r="B1636" s="110" t="s">
        <v>5850</v>
      </c>
      <c r="C1636" s="110">
        <v>1985</v>
      </c>
      <c r="D1636" s="110" t="str">
        <f t="shared" si="13"/>
        <v>2042_1985</v>
      </c>
      <c r="E1636" s="1226">
        <v>0.12417080177206199</v>
      </c>
      <c r="F1636" s="1227">
        <v>5.2948001400300468E-2</v>
      </c>
      <c r="G1636" s="1227">
        <v>5.1254378795870901</v>
      </c>
      <c r="H1636" s="1227">
        <v>0.71107639770298325</v>
      </c>
      <c r="I1636" s="1227">
        <v>5.72286255510722E-2</v>
      </c>
      <c r="J1636" s="1227">
        <v>2.1631190926359479E-4</v>
      </c>
      <c r="K1636" s="1227">
        <v>3.0000008603782999E-3</v>
      </c>
      <c r="L1636" s="1228">
        <v>2.7963063683257901E-2</v>
      </c>
      <c r="M1636" s="1229">
        <v>5.98162500502269E-2</v>
      </c>
      <c r="N1636" s="1230">
        <v>2.2609257393061338E-4</v>
      </c>
    </row>
    <row r="1637" spans="1:14" ht="15.5" x14ac:dyDescent="0.35">
      <c r="A1637" s="199">
        <v>2042</v>
      </c>
      <c r="B1637" s="110" t="s">
        <v>5850</v>
      </c>
      <c r="C1637" s="110">
        <v>1986</v>
      </c>
      <c r="D1637" s="110" t="str">
        <f t="shared" si="13"/>
        <v>2042_1986</v>
      </c>
      <c r="E1637" s="1226">
        <v>0.12417080177206199</v>
      </c>
      <c r="F1637" s="1227">
        <v>5.2948001400300468E-2</v>
      </c>
      <c r="G1637" s="1227">
        <v>5.1254378795870901</v>
      </c>
      <c r="H1637" s="1227">
        <v>0.71107639770298325</v>
      </c>
      <c r="I1637" s="1227">
        <v>5.72286255510722E-2</v>
      </c>
      <c r="J1637" s="1227">
        <v>2.1631190926359479E-4</v>
      </c>
      <c r="K1637" s="1227">
        <v>3.0000008603782999E-3</v>
      </c>
      <c r="L1637" s="1228">
        <v>2.7963063683257901E-2</v>
      </c>
      <c r="M1637" s="1229">
        <v>5.98162500502269E-2</v>
      </c>
      <c r="N1637" s="1230">
        <v>2.2609257393061338E-4</v>
      </c>
    </row>
    <row r="1638" spans="1:14" ht="15.5" x14ac:dyDescent="0.35">
      <c r="A1638" s="199">
        <v>2042</v>
      </c>
      <c r="B1638" s="110" t="s">
        <v>5850</v>
      </c>
      <c r="C1638" s="110">
        <v>1987</v>
      </c>
      <c r="D1638" s="110" t="str">
        <f t="shared" si="13"/>
        <v>2042_1987</v>
      </c>
      <c r="E1638" s="1226">
        <v>0.12417080177206199</v>
      </c>
      <c r="F1638" s="1227">
        <v>5.2948001400300468E-2</v>
      </c>
      <c r="G1638" s="1227">
        <v>5.1254378795870901</v>
      </c>
      <c r="H1638" s="1227">
        <v>0.71107639770298325</v>
      </c>
      <c r="I1638" s="1227">
        <v>5.72286255510722E-2</v>
      </c>
      <c r="J1638" s="1227">
        <v>2.1631190926359479E-4</v>
      </c>
      <c r="K1638" s="1227">
        <v>3.0000008603782999E-3</v>
      </c>
      <c r="L1638" s="1228">
        <v>2.7963063683257901E-2</v>
      </c>
      <c r="M1638" s="1229">
        <v>5.98162500502269E-2</v>
      </c>
      <c r="N1638" s="1230">
        <v>2.2609257393061338E-4</v>
      </c>
    </row>
    <row r="1639" spans="1:14" ht="15.5" x14ac:dyDescent="0.35">
      <c r="A1639" s="199">
        <v>2042</v>
      </c>
      <c r="B1639" s="110" t="s">
        <v>5850</v>
      </c>
      <c r="C1639" s="110">
        <v>1988</v>
      </c>
      <c r="D1639" s="110" t="str">
        <f t="shared" si="13"/>
        <v>2042_1988</v>
      </c>
      <c r="E1639" s="1226">
        <v>0.12417080177206199</v>
      </c>
      <c r="F1639" s="1227">
        <v>5.2948001400300468E-2</v>
      </c>
      <c r="G1639" s="1227">
        <v>5.1254378795870901</v>
      </c>
      <c r="H1639" s="1227">
        <v>0.71107639770298325</v>
      </c>
      <c r="I1639" s="1227">
        <v>5.72286255510722E-2</v>
      </c>
      <c r="J1639" s="1227">
        <v>2.1631190926359479E-4</v>
      </c>
      <c r="K1639" s="1227">
        <v>3.0000008603782999E-3</v>
      </c>
      <c r="L1639" s="1228">
        <v>2.7963063683257901E-2</v>
      </c>
      <c r="M1639" s="1229">
        <v>5.98162500502269E-2</v>
      </c>
      <c r="N1639" s="1230">
        <v>2.2609257393061338E-4</v>
      </c>
    </row>
    <row r="1640" spans="1:14" ht="15.5" x14ac:dyDescent="0.35">
      <c r="A1640" s="199">
        <v>2042</v>
      </c>
      <c r="B1640" s="110" t="s">
        <v>5850</v>
      </c>
      <c r="C1640" s="110">
        <v>1989</v>
      </c>
      <c r="D1640" s="110" t="str">
        <f t="shared" si="13"/>
        <v>2042_1989</v>
      </c>
      <c r="E1640" s="1226">
        <v>0.12417080177206199</v>
      </c>
      <c r="F1640" s="1227">
        <v>5.2948001400300468E-2</v>
      </c>
      <c r="G1640" s="1227">
        <v>5.1254378795870901</v>
      </c>
      <c r="H1640" s="1227">
        <v>0.71107639770298325</v>
      </c>
      <c r="I1640" s="1227">
        <v>5.72286255510722E-2</v>
      </c>
      <c r="J1640" s="1227">
        <v>2.1631190926359479E-4</v>
      </c>
      <c r="K1640" s="1227">
        <v>3.0000008603782999E-3</v>
      </c>
      <c r="L1640" s="1228">
        <v>2.7963063683257901E-2</v>
      </c>
      <c r="M1640" s="1229">
        <v>5.98162500502269E-2</v>
      </c>
      <c r="N1640" s="1230">
        <v>2.2609257393061338E-4</v>
      </c>
    </row>
    <row r="1641" spans="1:14" ht="15.5" x14ac:dyDescent="0.35">
      <c r="A1641" s="199">
        <v>2042</v>
      </c>
      <c r="B1641" s="110" t="s">
        <v>5850</v>
      </c>
      <c r="C1641" s="110">
        <v>1990</v>
      </c>
      <c r="D1641" s="110" t="str">
        <f t="shared" si="13"/>
        <v>2042_1990</v>
      </c>
      <c r="E1641" s="1226">
        <v>0.12417080177206199</v>
      </c>
      <c r="F1641" s="1227">
        <v>5.2948001400300468E-2</v>
      </c>
      <c r="G1641" s="1227">
        <v>5.1254378795870901</v>
      </c>
      <c r="H1641" s="1227">
        <v>0.71107639770298325</v>
      </c>
      <c r="I1641" s="1227">
        <v>5.72286255510722E-2</v>
      </c>
      <c r="J1641" s="1227">
        <v>2.1631190926359479E-4</v>
      </c>
      <c r="K1641" s="1227">
        <v>3.0000008603782999E-3</v>
      </c>
      <c r="L1641" s="1228">
        <v>2.7963063683257901E-2</v>
      </c>
      <c r="M1641" s="1229">
        <v>5.98162500502269E-2</v>
      </c>
      <c r="N1641" s="1230">
        <v>2.2609257393061338E-4</v>
      </c>
    </row>
    <row r="1642" spans="1:14" ht="15.5" x14ac:dyDescent="0.35">
      <c r="A1642" s="199">
        <v>2042</v>
      </c>
      <c r="B1642" s="110" t="s">
        <v>5850</v>
      </c>
      <c r="C1642" s="110">
        <v>1991</v>
      </c>
      <c r="D1642" s="110" t="str">
        <f t="shared" si="13"/>
        <v>2042_1991</v>
      </c>
      <c r="E1642" s="1226">
        <v>0.12417080177206199</v>
      </c>
      <c r="F1642" s="1227">
        <v>5.2948001400300468E-2</v>
      </c>
      <c r="G1642" s="1227">
        <v>5.1254378795870901</v>
      </c>
      <c r="H1642" s="1227">
        <v>0.71107639770298325</v>
      </c>
      <c r="I1642" s="1227">
        <v>5.72286255510722E-2</v>
      </c>
      <c r="J1642" s="1227">
        <v>2.1631190926359479E-4</v>
      </c>
      <c r="K1642" s="1227">
        <v>3.0000008603782999E-3</v>
      </c>
      <c r="L1642" s="1228">
        <v>2.7963063683257901E-2</v>
      </c>
      <c r="M1642" s="1229">
        <v>5.98162500502269E-2</v>
      </c>
      <c r="N1642" s="1230">
        <v>2.2609257393061338E-4</v>
      </c>
    </row>
    <row r="1643" spans="1:14" ht="15.5" x14ac:dyDescent="0.35">
      <c r="A1643" s="199">
        <v>2042</v>
      </c>
      <c r="B1643" s="110" t="s">
        <v>5850</v>
      </c>
      <c r="C1643" s="110">
        <v>1992</v>
      </c>
      <c r="D1643" s="110" t="str">
        <f t="shared" si="13"/>
        <v>2042_1992</v>
      </c>
      <c r="E1643" s="1226">
        <v>0.12417080177206199</v>
      </c>
      <c r="F1643" s="1227">
        <v>5.2948001400300468E-2</v>
      </c>
      <c r="G1643" s="1227">
        <v>5.1254378795870901</v>
      </c>
      <c r="H1643" s="1227">
        <v>0.71107639770298325</v>
      </c>
      <c r="I1643" s="1227">
        <v>5.72286255510722E-2</v>
      </c>
      <c r="J1643" s="1227">
        <v>2.1631190926359479E-4</v>
      </c>
      <c r="K1643" s="1227">
        <v>3.0000008603782999E-3</v>
      </c>
      <c r="L1643" s="1228">
        <v>2.7963063683257901E-2</v>
      </c>
      <c r="M1643" s="1229">
        <v>5.98162500502269E-2</v>
      </c>
      <c r="N1643" s="1230">
        <v>2.2609257393061338E-4</v>
      </c>
    </row>
    <row r="1644" spans="1:14" ht="15.5" x14ac:dyDescent="0.35">
      <c r="A1644" s="199">
        <v>2042</v>
      </c>
      <c r="B1644" s="110" t="s">
        <v>5850</v>
      </c>
      <c r="C1644" s="110">
        <v>1993</v>
      </c>
      <c r="D1644" s="110" t="str">
        <f t="shared" si="13"/>
        <v>2042_1993</v>
      </c>
      <c r="E1644" s="1226">
        <v>0.12417080177206199</v>
      </c>
      <c r="F1644" s="1227">
        <v>5.2948001400300468E-2</v>
      </c>
      <c r="G1644" s="1227">
        <v>5.1254378795870901</v>
      </c>
      <c r="H1644" s="1227">
        <v>0.71107639770298325</v>
      </c>
      <c r="I1644" s="1227">
        <v>5.72286255510722E-2</v>
      </c>
      <c r="J1644" s="1227">
        <v>2.1631190926359479E-4</v>
      </c>
      <c r="K1644" s="1227">
        <v>3.0000008603782999E-3</v>
      </c>
      <c r="L1644" s="1228">
        <v>2.7963063683257901E-2</v>
      </c>
      <c r="M1644" s="1229">
        <v>5.98162500502269E-2</v>
      </c>
      <c r="N1644" s="1230">
        <v>2.2609257393061338E-4</v>
      </c>
    </row>
    <row r="1645" spans="1:14" ht="15.5" x14ac:dyDescent="0.35">
      <c r="A1645" s="199">
        <v>2042</v>
      </c>
      <c r="B1645" s="110" t="s">
        <v>5850</v>
      </c>
      <c r="C1645" s="110">
        <v>1994</v>
      </c>
      <c r="D1645" s="110" t="str">
        <f t="shared" si="13"/>
        <v>2042_1994</v>
      </c>
      <c r="E1645" s="1226">
        <v>0.12417080177206199</v>
      </c>
      <c r="F1645" s="1227">
        <v>5.2948001400300468E-2</v>
      </c>
      <c r="G1645" s="1227">
        <v>5.1254378795870901</v>
      </c>
      <c r="H1645" s="1227">
        <v>0.71107639770298325</v>
      </c>
      <c r="I1645" s="1227">
        <v>5.72286255510722E-2</v>
      </c>
      <c r="J1645" s="1227">
        <v>2.1631190926359479E-4</v>
      </c>
      <c r="K1645" s="1227">
        <v>3.0000008603782999E-3</v>
      </c>
      <c r="L1645" s="1228">
        <v>2.7963063683257901E-2</v>
      </c>
      <c r="M1645" s="1229">
        <v>5.98162500502269E-2</v>
      </c>
      <c r="N1645" s="1230">
        <v>2.2609257393061338E-4</v>
      </c>
    </row>
    <row r="1646" spans="1:14" ht="15.5" x14ac:dyDescent="0.35">
      <c r="A1646" s="199">
        <v>2042</v>
      </c>
      <c r="B1646" s="110" t="s">
        <v>5850</v>
      </c>
      <c r="C1646" s="110">
        <v>1995</v>
      </c>
      <c r="D1646" s="110" t="str">
        <f t="shared" si="13"/>
        <v>2042_1995</v>
      </c>
      <c r="E1646" s="1226">
        <v>0.12417080177206199</v>
      </c>
      <c r="F1646" s="1227">
        <v>5.2948001400300468E-2</v>
      </c>
      <c r="G1646" s="1227">
        <v>5.1254378795870901</v>
      </c>
      <c r="H1646" s="1227">
        <v>0.71107639770298325</v>
      </c>
      <c r="I1646" s="1227">
        <v>5.72286255510722E-2</v>
      </c>
      <c r="J1646" s="1227">
        <v>2.1631190926359479E-4</v>
      </c>
      <c r="K1646" s="1227">
        <v>3.0000008603782999E-3</v>
      </c>
      <c r="L1646" s="1228">
        <v>2.7963063683257901E-2</v>
      </c>
      <c r="M1646" s="1229">
        <v>5.98162500502269E-2</v>
      </c>
      <c r="N1646" s="1230">
        <v>2.2609257393061338E-4</v>
      </c>
    </row>
    <row r="1647" spans="1:14" ht="15.5" x14ac:dyDescent="0.35">
      <c r="A1647" s="199">
        <v>2042</v>
      </c>
      <c r="B1647" s="110" t="s">
        <v>5850</v>
      </c>
      <c r="C1647" s="110">
        <v>1996</v>
      </c>
      <c r="D1647" s="110" t="str">
        <f t="shared" si="13"/>
        <v>2042_1996</v>
      </c>
      <c r="E1647" s="1226">
        <v>0.12417080177206199</v>
      </c>
      <c r="F1647" s="1227">
        <v>5.2948001400300468E-2</v>
      </c>
      <c r="G1647" s="1227">
        <v>5.1254378795870901</v>
      </c>
      <c r="H1647" s="1227">
        <v>0.71107639770298325</v>
      </c>
      <c r="I1647" s="1227">
        <v>5.72286255510722E-2</v>
      </c>
      <c r="J1647" s="1227">
        <v>2.1631190926359479E-4</v>
      </c>
      <c r="K1647" s="1227">
        <v>3.0000008603782999E-3</v>
      </c>
      <c r="L1647" s="1228">
        <v>2.7963063683257901E-2</v>
      </c>
      <c r="M1647" s="1229">
        <v>5.98162500502269E-2</v>
      </c>
      <c r="N1647" s="1230">
        <v>2.2609257393061338E-4</v>
      </c>
    </row>
    <row r="1648" spans="1:14" ht="15.5" x14ac:dyDescent="0.35">
      <c r="A1648" s="199">
        <v>2042</v>
      </c>
      <c r="B1648" s="110" t="s">
        <v>5850</v>
      </c>
      <c r="C1648" s="110">
        <v>1997</v>
      </c>
      <c r="D1648" s="110" t="str">
        <f t="shared" si="13"/>
        <v>2042_1997</v>
      </c>
      <c r="E1648" s="1226">
        <v>0.12417080177206199</v>
      </c>
      <c r="F1648" s="1227">
        <v>5.2948001400300468E-2</v>
      </c>
      <c r="G1648" s="1227">
        <v>5.1254378795870901</v>
      </c>
      <c r="H1648" s="1227">
        <v>0.71107639770298325</v>
      </c>
      <c r="I1648" s="1227">
        <v>5.72286255510722E-2</v>
      </c>
      <c r="J1648" s="1227">
        <v>2.1631190926359479E-4</v>
      </c>
      <c r="K1648" s="1227">
        <v>3.0000008603782999E-3</v>
      </c>
      <c r="L1648" s="1228">
        <v>2.7963063683257901E-2</v>
      </c>
      <c r="M1648" s="1229">
        <v>5.98162500502269E-2</v>
      </c>
      <c r="N1648" s="1230">
        <v>2.2609257393061338E-4</v>
      </c>
    </row>
    <row r="1649" spans="1:14" ht="15.5" x14ac:dyDescent="0.35">
      <c r="A1649" s="199">
        <v>2042</v>
      </c>
      <c r="B1649" s="110" t="s">
        <v>5850</v>
      </c>
      <c r="C1649" s="110">
        <v>1998</v>
      </c>
      <c r="D1649" s="110" t="str">
        <f t="shared" si="13"/>
        <v>2042_1998</v>
      </c>
      <c r="E1649" s="1226">
        <v>0.12417080177206199</v>
      </c>
      <c r="F1649" s="1227">
        <v>5.2948001400300468E-2</v>
      </c>
      <c r="G1649" s="1227">
        <v>5.1254378795870901</v>
      </c>
      <c r="H1649" s="1227">
        <v>0.71107639770298325</v>
      </c>
      <c r="I1649" s="1227">
        <v>5.72286255510722E-2</v>
      </c>
      <c r="J1649" s="1227">
        <v>2.1631190926359479E-4</v>
      </c>
      <c r="K1649" s="1227">
        <v>3.0000008603782999E-3</v>
      </c>
      <c r="L1649" s="1228">
        <v>2.7963063683257901E-2</v>
      </c>
      <c r="M1649" s="1229">
        <v>5.98162500502269E-2</v>
      </c>
      <c r="N1649" s="1230">
        <v>2.2609257393061338E-4</v>
      </c>
    </row>
    <row r="1650" spans="1:14" ht="15.5" x14ac:dyDescent="0.35">
      <c r="A1650" s="199">
        <v>2042</v>
      </c>
      <c r="B1650" s="110" t="s">
        <v>5850</v>
      </c>
      <c r="C1650" s="110">
        <v>1999</v>
      </c>
      <c r="D1650" s="110" t="str">
        <f t="shared" si="13"/>
        <v>2042_1999</v>
      </c>
      <c r="E1650" s="1226">
        <v>0.12417080177206199</v>
      </c>
      <c r="F1650" s="1227">
        <v>5.2948001400300468E-2</v>
      </c>
      <c r="G1650" s="1227">
        <v>5.1254378795870901</v>
      </c>
      <c r="H1650" s="1227">
        <v>0.71107639770298325</v>
      </c>
      <c r="I1650" s="1227">
        <v>5.72286255510722E-2</v>
      </c>
      <c r="J1650" s="1227">
        <v>2.1631190926359479E-4</v>
      </c>
      <c r="K1650" s="1227">
        <v>3.0000008603782999E-3</v>
      </c>
      <c r="L1650" s="1228">
        <v>2.7963063683257901E-2</v>
      </c>
      <c r="M1650" s="1229">
        <v>5.98162500502269E-2</v>
      </c>
      <c r="N1650" s="1230">
        <v>2.2609257393061338E-4</v>
      </c>
    </row>
    <row r="1651" spans="1:14" ht="15.5" x14ac:dyDescent="0.35">
      <c r="A1651" s="199">
        <v>2042</v>
      </c>
      <c r="B1651" s="110" t="s">
        <v>5850</v>
      </c>
      <c r="C1651" s="110">
        <v>2000</v>
      </c>
      <c r="D1651" s="110" t="str">
        <f t="shared" si="13"/>
        <v>2042_2000</v>
      </c>
      <c r="E1651" s="1226">
        <v>0.12417080177206199</v>
      </c>
      <c r="F1651" s="1227">
        <v>5.2948001400300468E-2</v>
      </c>
      <c r="G1651" s="1227">
        <v>5.1254378795870901</v>
      </c>
      <c r="H1651" s="1227">
        <v>0.71107639770298325</v>
      </c>
      <c r="I1651" s="1227">
        <v>5.72286255510722E-2</v>
      </c>
      <c r="J1651" s="1227">
        <v>2.1631190926359479E-4</v>
      </c>
      <c r="K1651" s="1227">
        <v>3.0000008603782999E-3</v>
      </c>
      <c r="L1651" s="1228">
        <v>2.7963063683257901E-2</v>
      </c>
      <c r="M1651" s="1229">
        <v>5.98162500502269E-2</v>
      </c>
      <c r="N1651" s="1230">
        <v>2.2609257393061338E-4</v>
      </c>
    </row>
    <row r="1652" spans="1:14" ht="15.5" x14ac:dyDescent="0.35">
      <c r="A1652" s="199">
        <v>2042</v>
      </c>
      <c r="B1652" s="110" t="s">
        <v>5850</v>
      </c>
      <c r="C1652" s="110">
        <v>2001</v>
      </c>
      <c r="D1652" s="110" t="str">
        <f t="shared" si="13"/>
        <v>2042_2001</v>
      </c>
      <c r="E1652" s="1226">
        <v>0.12417080177206199</v>
      </c>
      <c r="F1652" s="1227">
        <v>5.2948001400300468E-2</v>
      </c>
      <c r="G1652" s="1227">
        <v>5.1254378795870901</v>
      </c>
      <c r="H1652" s="1227">
        <v>0.71107639770298325</v>
      </c>
      <c r="I1652" s="1227">
        <v>5.72286255510722E-2</v>
      </c>
      <c r="J1652" s="1227">
        <v>2.1631190926359479E-4</v>
      </c>
      <c r="K1652" s="1227">
        <v>3.0000008603782999E-3</v>
      </c>
      <c r="L1652" s="1228">
        <v>2.7963063683257901E-2</v>
      </c>
      <c r="M1652" s="1229">
        <v>5.98162500502269E-2</v>
      </c>
      <c r="N1652" s="1230">
        <v>2.2609257393061338E-4</v>
      </c>
    </row>
    <row r="1653" spans="1:14" ht="15.5" x14ac:dyDescent="0.35">
      <c r="A1653" s="199">
        <v>2042</v>
      </c>
      <c r="B1653" s="110" t="s">
        <v>5850</v>
      </c>
      <c r="C1653" s="110">
        <v>2002</v>
      </c>
      <c r="D1653" s="110" t="str">
        <f t="shared" si="13"/>
        <v>2042_2002</v>
      </c>
      <c r="E1653" s="1226">
        <v>0.12417080177206199</v>
      </c>
      <c r="F1653" s="1227">
        <v>5.2948001400300468E-2</v>
      </c>
      <c r="G1653" s="1227">
        <v>5.1254378795870901</v>
      </c>
      <c r="H1653" s="1227">
        <v>0.71107639770298325</v>
      </c>
      <c r="I1653" s="1227">
        <v>5.72286255510722E-2</v>
      </c>
      <c r="J1653" s="1227">
        <v>2.1631190926359479E-4</v>
      </c>
      <c r="K1653" s="1227">
        <v>3.0000008603782999E-3</v>
      </c>
      <c r="L1653" s="1228">
        <v>2.7963063683257901E-2</v>
      </c>
      <c r="M1653" s="1229">
        <v>5.98162500502269E-2</v>
      </c>
      <c r="N1653" s="1230">
        <v>2.2609257393061338E-4</v>
      </c>
    </row>
    <row r="1654" spans="1:14" ht="15.5" x14ac:dyDescent="0.35">
      <c r="A1654" s="199">
        <v>2042</v>
      </c>
      <c r="B1654" s="110" t="s">
        <v>5850</v>
      </c>
      <c r="C1654" s="110">
        <v>2003</v>
      </c>
      <c r="D1654" s="110" t="str">
        <f t="shared" si="13"/>
        <v>2042_2003</v>
      </c>
      <c r="E1654" s="1226">
        <v>0.12417080177206199</v>
      </c>
      <c r="F1654" s="1227">
        <v>5.2948001400300468E-2</v>
      </c>
      <c r="G1654" s="1227">
        <v>5.1254378795870901</v>
      </c>
      <c r="H1654" s="1227">
        <v>0.71107639770298325</v>
      </c>
      <c r="I1654" s="1227">
        <v>5.72286255510722E-2</v>
      </c>
      <c r="J1654" s="1227">
        <v>2.1631190926359479E-4</v>
      </c>
      <c r="K1654" s="1227">
        <v>3.0000008603782999E-3</v>
      </c>
      <c r="L1654" s="1228">
        <v>2.7963063683257901E-2</v>
      </c>
      <c r="M1654" s="1229">
        <v>5.98162500502269E-2</v>
      </c>
      <c r="N1654" s="1230">
        <v>2.2609257393061338E-4</v>
      </c>
    </row>
    <row r="1655" spans="1:14" ht="15.5" x14ac:dyDescent="0.35">
      <c r="A1655" s="199">
        <v>2042</v>
      </c>
      <c r="B1655" s="110" t="s">
        <v>5850</v>
      </c>
      <c r="C1655" s="110">
        <v>2004</v>
      </c>
      <c r="D1655" s="110" t="str">
        <f t="shared" si="13"/>
        <v>2042_2004</v>
      </c>
      <c r="E1655" s="1226">
        <v>0.12417080177206199</v>
      </c>
      <c r="F1655" s="1227">
        <v>5.2948001400300468E-2</v>
      </c>
      <c r="G1655" s="1227">
        <v>5.1254378795870901</v>
      </c>
      <c r="H1655" s="1227">
        <v>0.71107639770298325</v>
      </c>
      <c r="I1655" s="1227">
        <v>5.72286255510722E-2</v>
      </c>
      <c r="J1655" s="1227">
        <v>2.1631190926359479E-4</v>
      </c>
      <c r="K1655" s="1227">
        <v>3.0000008603782999E-3</v>
      </c>
      <c r="L1655" s="1228">
        <v>2.7963063683257901E-2</v>
      </c>
      <c r="M1655" s="1229">
        <v>5.98162500502269E-2</v>
      </c>
      <c r="N1655" s="1230">
        <v>2.2609257393061338E-4</v>
      </c>
    </row>
    <row r="1656" spans="1:14" ht="15.5" x14ac:dyDescent="0.35">
      <c r="A1656" s="199">
        <v>2042</v>
      </c>
      <c r="B1656" s="110" t="s">
        <v>5850</v>
      </c>
      <c r="C1656" s="110">
        <v>2005</v>
      </c>
      <c r="D1656" s="110" t="str">
        <f t="shared" si="13"/>
        <v>2042_2005</v>
      </c>
      <c r="E1656" s="1226">
        <v>0.12417080177206199</v>
      </c>
      <c r="F1656" s="1227">
        <v>5.2948001400300468E-2</v>
      </c>
      <c r="G1656" s="1227">
        <v>5.1254378795870901</v>
      </c>
      <c r="H1656" s="1227">
        <v>0.71107639770298325</v>
      </c>
      <c r="I1656" s="1227">
        <v>5.72286255510722E-2</v>
      </c>
      <c r="J1656" s="1227">
        <v>2.1631190926359479E-4</v>
      </c>
      <c r="K1656" s="1227">
        <v>3.0000008603782999E-3</v>
      </c>
      <c r="L1656" s="1228">
        <v>2.7963063683257901E-2</v>
      </c>
      <c r="M1656" s="1229">
        <v>5.98162500502269E-2</v>
      </c>
      <c r="N1656" s="1230">
        <v>2.2609257393061338E-4</v>
      </c>
    </row>
    <row r="1657" spans="1:14" ht="15.5" x14ac:dyDescent="0.35">
      <c r="A1657" s="199">
        <v>2042</v>
      </c>
      <c r="B1657" s="110" t="s">
        <v>5850</v>
      </c>
      <c r="C1657" s="110">
        <v>2006</v>
      </c>
      <c r="D1657" s="110" t="str">
        <f t="shared" si="13"/>
        <v>2042_2006</v>
      </c>
      <c r="E1657" s="1226">
        <v>0.12417080177206199</v>
      </c>
      <c r="F1657" s="1227">
        <v>5.2948001400300468E-2</v>
      </c>
      <c r="G1657" s="1227">
        <v>5.1254378795870901</v>
      </c>
      <c r="H1657" s="1227">
        <v>0.71107639770298325</v>
      </c>
      <c r="I1657" s="1227">
        <v>5.72286255510722E-2</v>
      </c>
      <c r="J1657" s="1227">
        <v>2.1631190926359479E-4</v>
      </c>
      <c r="K1657" s="1227">
        <v>3.0000008603782999E-3</v>
      </c>
      <c r="L1657" s="1228">
        <v>2.7963063683257901E-2</v>
      </c>
      <c r="M1657" s="1229">
        <v>5.98162500502269E-2</v>
      </c>
      <c r="N1657" s="1230">
        <v>2.2609257393061338E-4</v>
      </c>
    </row>
    <row r="1658" spans="1:14" ht="15.5" x14ac:dyDescent="0.35">
      <c r="A1658" s="199">
        <v>2042</v>
      </c>
      <c r="B1658" s="110" t="s">
        <v>5850</v>
      </c>
      <c r="C1658" s="110">
        <v>2007</v>
      </c>
      <c r="D1658" s="110" t="str">
        <f t="shared" si="13"/>
        <v>2042_2007</v>
      </c>
      <c r="E1658" s="1226">
        <v>0.12417080177206199</v>
      </c>
      <c r="F1658" s="1227">
        <v>5.2948001400300468E-2</v>
      </c>
      <c r="G1658" s="1227">
        <v>5.1254378795870901</v>
      </c>
      <c r="H1658" s="1227">
        <v>0.71107639770298325</v>
      </c>
      <c r="I1658" s="1227">
        <v>5.72286255510722E-2</v>
      </c>
      <c r="J1658" s="1227">
        <v>2.1631190926359479E-4</v>
      </c>
      <c r="K1658" s="1227">
        <v>3.0000008603782999E-3</v>
      </c>
      <c r="L1658" s="1228">
        <v>2.7963063683257901E-2</v>
      </c>
      <c r="M1658" s="1229">
        <v>5.98162500502269E-2</v>
      </c>
      <c r="N1658" s="1230">
        <v>2.2609257393061338E-4</v>
      </c>
    </row>
    <row r="1659" spans="1:14" ht="15.5" x14ac:dyDescent="0.35">
      <c r="A1659" s="199">
        <v>2042</v>
      </c>
      <c r="B1659" s="110" t="s">
        <v>5850</v>
      </c>
      <c r="C1659" s="110">
        <v>2008</v>
      </c>
      <c r="D1659" s="110" t="str">
        <f t="shared" si="13"/>
        <v>2042_2008</v>
      </c>
      <c r="E1659" s="1226">
        <v>0.12417080177206199</v>
      </c>
      <c r="F1659" s="1227">
        <v>5.2948001400300468E-2</v>
      </c>
      <c r="G1659" s="1227">
        <v>5.1254378795870901</v>
      </c>
      <c r="H1659" s="1227">
        <v>0.71107639770298325</v>
      </c>
      <c r="I1659" s="1227">
        <v>5.72286255510722E-2</v>
      </c>
      <c r="J1659" s="1227">
        <v>2.1631190926359479E-4</v>
      </c>
      <c r="K1659" s="1227">
        <v>3.0000008603782999E-3</v>
      </c>
      <c r="L1659" s="1228">
        <v>2.7963063683257901E-2</v>
      </c>
      <c r="M1659" s="1229">
        <v>5.98162500502269E-2</v>
      </c>
      <c r="N1659" s="1230">
        <v>2.2609257393061338E-4</v>
      </c>
    </row>
    <row r="1660" spans="1:14" ht="15.5" x14ac:dyDescent="0.35">
      <c r="A1660" s="199">
        <v>2042</v>
      </c>
      <c r="B1660" s="110" t="s">
        <v>5850</v>
      </c>
      <c r="C1660" s="110">
        <v>2009</v>
      </c>
      <c r="D1660" s="110" t="str">
        <f t="shared" si="13"/>
        <v>2042_2009</v>
      </c>
      <c r="E1660" s="1226">
        <v>0.12417080177206199</v>
      </c>
      <c r="F1660" s="1227">
        <v>5.2948001400300468E-2</v>
      </c>
      <c r="G1660" s="1227">
        <v>5.1254378795870901</v>
      </c>
      <c r="H1660" s="1227">
        <v>0.71107639770298325</v>
      </c>
      <c r="I1660" s="1227">
        <v>5.72286255510722E-2</v>
      </c>
      <c r="J1660" s="1227">
        <v>2.1631190926359479E-4</v>
      </c>
      <c r="K1660" s="1227">
        <v>3.0000008603782999E-3</v>
      </c>
      <c r="L1660" s="1228">
        <v>2.7963063683257901E-2</v>
      </c>
      <c r="M1660" s="1229">
        <v>5.98162500502269E-2</v>
      </c>
      <c r="N1660" s="1230">
        <v>2.2609257393061338E-4</v>
      </c>
    </row>
    <row r="1661" spans="1:14" ht="15.5" x14ac:dyDescent="0.35">
      <c r="A1661" s="199">
        <v>2042</v>
      </c>
      <c r="B1661" s="110" t="s">
        <v>5850</v>
      </c>
      <c r="C1661" s="110">
        <v>2010</v>
      </c>
      <c r="D1661" s="110" t="str">
        <f t="shared" si="13"/>
        <v>2042_2010</v>
      </c>
      <c r="E1661" s="1226">
        <v>0.12417080177206199</v>
      </c>
      <c r="F1661" s="1227">
        <v>5.2948001400300468E-2</v>
      </c>
      <c r="G1661" s="1227">
        <v>5.1254378795870901</v>
      </c>
      <c r="H1661" s="1227">
        <v>0.71107639770298325</v>
      </c>
      <c r="I1661" s="1227">
        <v>5.72286255510722E-2</v>
      </c>
      <c r="J1661" s="1227">
        <v>2.1631190926359479E-4</v>
      </c>
      <c r="K1661" s="1227">
        <v>3.0000008603782999E-3</v>
      </c>
      <c r="L1661" s="1228">
        <v>2.7963063683257901E-2</v>
      </c>
      <c r="M1661" s="1229">
        <v>5.98162500502269E-2</v>
      </c>
      <c r="N1661" s="1230">
        <v>2.2609257393061338E-4</v>
      </c>
    </row>
    <row r="1662" spans="1:14" ht="15.5" x14ac:dyDescent="0.35">
      <c r="A1662" s="199">
        <v>2042</v>
      </c>
      <c r="B1662" s="110" t="s">
        <v>5850</v>
      </c>
      <c r="C1662" s="110">
        <v>2011</v>
      </c>
      <c r="D1662" s="110" t="str">
        <f t="shared" si="13"/>
        <v>2042_2011</v>
      </c>
      <c r="E1662" s="1231">
        <v>0.12417080177206199</v>
      </c>
      <c r="F1662" s="1232">
        <v>5.2948001400300468E-2</v>
      </c>
      <c r="G1662" s="1232">
        <v>5.1254378795870901</v>
      </c>
      <c r="H1662" s="1232">
        <v>0.71107639770298325</v>
      </c>
      <c r="I1662" s="1232">
        <v>5.72286255510722E-2</v>
      </c>
      <c r="J1662" s="1232">
        <v>2.1631190926359479E-4</v>
      </c>
      <c r="K1662" s="1232">
        <v>3.0000008603782999E-3</v>
      </c>
      <c r="L1662" s="1233">
        <v>2.7963063683257901E-2</v>
      </c>
      <c r="M1662" s="1234">
        <v>5.98162500502269E-2</v>
      </c>
      <c r="N1662" s="1235">
        <v>2.2609257393061338E-4</v>
      </c>
    </row>
    <row r="1663" spans="1:14" ht="15.5" x14ac:dyDescent="0.35">
      <c r="A1663" s="199">
        <v>2042</v>
      </c>
      <c r="B1663" s="110" t="s">
        <v>5850</v>
      </c>
      <c r="C1663" s="110">
        <v>2012</v>
      </c>
      <c r="D1663" s="110" t="str">
        <f t="shared" si="13"/>
        <v>2042_2012</v>
      </c>
      <c r="E1663" s="1231">
        <v>2.50429127389377E-2</v>
      </c>
      <c r="F1663" s="1232">
        <v>5.3125450533593147E-2</v>
      </c>
      <c r="G1663" s="1232">
        <v>4.46845657202116</v>
      </c>
      <c r="H1663" s="1232">
        <v>0.62778009397988188</v>
      </c>
      <c r="I1663" s="1232">
        <v>3.3199679331814398E-2</v>
      </c>
      <c r="J1663" s="1232">
        <v>2.1631190926359409E-4</v>
      </c>
      <c r="K1663" s="1232">
        <v>3.0000008603782999E-3</v>
      </c>
      <c r="L1663" s="1233">
        <v>2.7963063683402001E-2</v>
      </c>
      <c r="M1663" s="1234">
        <v>3.47008215098039E-2</v>
      </c>
      <c r="N1663" s="1235">
        <v>2.2609257393061262E-4</v>
      </c>
    </row>
    <row r="1664" spans="1:14" ht="15.5" x14ac:dyDescent="0.35">
      <c r="A1664" s="199">
        <v>2042</v>
      </c>
      <c r="B1664" s="110" t="s">
        <v>5850</v>
      </c>
      <c r="C1664" s="110">
        <v>2013</v>
      </c>
      <c r="D1664" s="110" t="str">
        <f t="shared" si="13"/>
        <v>2042_2013</v>
      </c>
      <c r="E1664" s="1231">
        <v>2.4725548288553001E-2</v>
      </c>
      <c r="F1664" s="1232">
        <v>5.3125450533593382E-2</v>
      </c>
      <c r="G1664" s="1232">
        <v>4.2166118436106297</v>
      </c>
      <c r="H1664" s="1232">
        <v>0.62778009397988332</v>
      </c>
      <c r="I1664" s="1232">
        <v>3.2285409833584099E-2</v>
      </c>
      <c r="J1664" s="1232">
        <v>2.1631190926359504E-4</v>
      </c>
      <c r="K1664" s="1232">
        <v>3.0000008603782999E-3</v>
      </c>
      <c r="L1664" s="1233">
        <v>2.7963063683389799E-2</v>
      </c>
      <c r="M1664" s="1234">
        <v>3.3745212801874501E-2</v>
      </c>
      <c r="N1664" s="1235">
        <v>2.260925739306136E-4</v>
      </c>
    </row>
    <row r="1665" spans="1:14" ht="15.5" x14ac:dyDescent="0.35">
      <c r="A1665" s="199">
        <v>2042</v>
      </c>
      <c r="B1665" s="110" t="s">
        <v>5850</v>
      </c>
      <c r="C1665" s="110">
        <v>2014</v>
      </c>
      <c r="D1665" s="110" t="str">
        <f t="shared" si="13"/>
        <v>2042_2014</v>
      </c>
      <c r="E1665" s="1231">
        <v>1.21669568101236E-2</v>
      </c>
      <c r="F1665" s="1232">
        <v>5.3125450533593604E-2</v>
      </c>
      <c r="G1665" s="1232">
        <v>1.5878464707033599</v>
      </c>
      <c r="H1665" s="1232">
        <v>0.62778009397988599</v>
      </c>
      <c r="I1665" s="1232">
        <v>3.7552360642619999E-2</v>
      </c>
      <c r="J1665" s="1232">
        <v>2.1631190926359596E-4</v>
      </c>
      <c r="K1665" s="1232">
        <v>3.0000008603782999E-3</v>
      </c>
      <c r="L1665" s="1233">
        <v>2.79630636832843E-2</v>
      </c>
      <c r="M1665" s="1234">
        <v>3.92503117547469E-2</v>
      </c>
      <c r="N1665" s="1235">
        <v>2.2609257393061457E-4</v>
      </c>
    </row>
    <row r="1666" spans="1:14" ht="15.5" x14ac:dyDescent="0.35">
      <c r="A1666" s="199">
        <v>2042</v>
      </c>
      <c r="B1666" s="110" t="s">
        <v>5850</v>
      </c>
      <c r="C1666" s="110">
        <v>2015</v>
      </c>
      <c r="D1666" s="110" t="str">
        <f t="shared" si="13"/>
        <v>2042_2015</v>
      </c>
      <c r="E1666" s="1231">
        <v>1.2166956810131999E-2</v>
      </c>
      <c r="F1666" s="1232">
        <v>5.3125450533593244E-2</v>
      </c>
      <c r="G1666" s="1232">
        <v>1.5878464707040101</v>
      </c>
      <c r="H1666" s="1232">
        <v>0.62778009397988177</v>
      </c>
      <c r="I1666" s="1232">
        <v>3.7552360642533998E-2</v>
      </c>
      <c r="J1666" s="1232">
        <v>2.1631190926359449E-4</v>
      </c>
      <c r="K1666" s="1232">
        <v>3.0000008603782999E-3</v>
      </c>
      <c r="L1666" s="1233">
        <v>2.7963063683311098E-2</v>
      </c>
      <c r="M1666" s="1234">
        <v>3.9250311754657E-2</v>
      </c>
      <c r="N1666" s="1235">
        <v>2.2609257393061303E-4</v>
      </c>
    </row>
    <row r="1667" spans="1:14" ht="15.5" x14ac:dyDescent="0.35">
      <c r="A1667" s="199">
        <v>2042</v>
      </c>
      <c r="B1667" s="110" t="s">
        <v>5850</v>
      </c>
      <c r="C1667" s="110">
        <v>2016</v>
      </c>
      <c r="D1667" s="110" t="str">
        <f t="shared" si="13"/>
        <v>2042_2016</v>
      </c>
      <c r="E1667" s="1231">
        <v>1.2166956810131699E-2</v>
      </c>
      <c r="F1667" s="1232">
        <v>5.3125450533593258E-2</v>
      </c>
      <c r="G1667" s="1232">
        <v>1.5878464707027</v>
      </c>
      <c r="H1667" s="1232">
        <v>0.62778009397988188</v>
      </c>
      <c r="I1667" s="1232">
        <v>3.7552360642452397E-2</v>
      </c>
      <c r="J1667" s="1232">
        <v>2.1631190926359455E-4</v>
      </c>
      <c r="K1667" s="1232">
        <v>3.0000008603782999E-3</v>
      </c>
      <c r="L1667" s="1233">
        <v>2.7963063683327301E-2</v>
      </c>
      <c r="M1667" s="1234">
        <v>3.92503117545717E-2</v>
      </c>
      <c r="N1667" s="1235">
        <v>2.2609257393061311E-4</v>
      </c>
    </row>
    <row r="1668" spans="1:14" ht="15.5" x14ac:dyDescent="0.35">
      <c r="A1668" s="198">
        <v>2042</v>
      </c>
      <c r="B1668" s="197" t="s">
        <v>5850</v>
      </c>
      <c r="C1668" s="197">
        <v>2017</v>
      </c>
      <c r="D1668" s="110" t="str">
        <f t="shared" si="13"/>
        <v>2042_2017</v>
      </c>
      <c r="E1668" s="1231">
        <v>1.2376290743432701E-2</v>
      </c>
      <c r="F1668" s="1232">
        <v>5.3125450533593119E-2</v>
      </c>
      <c r="G1668" s="1232">
        <v>1.5878464707075399</v>
      </c>
      <c r="H1668" s="1232">
        <v>0.62778009397988022</v>
      </c>
      <c r="I1668" s="1232">
        <v>3.0607505271985198E-2</v>
      </c>
      <c r="J1668" s="1232">
        <v>2.1631190926359395E-4</v>
      </c>
      <c r="K1668" s="1232">
        <v>3.0000008603782999E-3</v>
      </c>
      <c r="L1668" s="1233">
        <v>2.7963063683336401E-2</v>
      </c>
      <c r="M1668" s="1234">
        <v>3.1991440841591202E-2</v>
      </c>
      <c r="N1668" s="1235">
        <v>2.2609257393061248E-4</v>
      </c>
    </row>
    <row r="1669" spans="1:14" ht="15.5" x14ac:dyDescent="0.35">
      <c r="A1669" s="198">
        <v>2042</v>
      </c>
      <c r="B1669" s="197" t="s">
        <v>5850</v>
      </c>
      <c r="C1669" s="197">
        <v>2018</v>
      </c>
      <c r="D1669" s="110" t="str">
        <f t="shared" si="13"/>
        <v>2042_2018</v>
      </c>
      <c r="E1669" s="1231">
        <v>1.23762907434518E-2</v>
      </c>
      <c r="F1669" s="1232">
        <v>5.3125450533593535E-2</v>
      </c>
      <c r="G1669" s="1232">
        <v>1.5878464707050199</v>
      </c>
      <c r="H1669" s="1232">
        <v>0.62778009397988521</v>
      </c>
      <c r="I1669" s="1232">
        <v>3.0607505272254198E-2</v>
      </c>
      <c r="J1669" s="1232">
        <v>2.1631190926359566E-4</v>
      </c>
      <c r="K1669" s="1232">
        <v>3.0000008603782999E-3</v>
      </c>
      <c r="L1669" s="1233">
        <v>2.7963063683240901E-2</v>
      </c>
      <c r="M1669" s="1234">
        <v>3.1991440841872498E-2</v>
      </c>
      <c r="N1669" s="1235">
        <v>2.2609257393061427E-4</v>
      </c>
    </row>
    <row r="1670" spans="1:14" ht="15.5" x14ac:dyDescent="0.35">
      <c r="A1670" s="199">
        <v>2042</v>
      </c>
      <c r="B1670" s="110" t="s">
        <v>5850</v>
      </c>
      <c r="C1670" s="110">
        <v>2019</v>
      </c>
      <c r="D1670" s="110" t="str">
        <f t="shared" si="13"/>
        <v>2042_2019</v>
      </c>
      <c r="E1670" s="1231">
        <v>1.2376290743375601E-2</v>
      </c>
      <c r="F1670" s="1232">
        <v>5.3125450533593334E-2</v>
      </c>
      <c r="G1670" s="1232">
        <v>1.5878464707053299</v>
      </c>
      <c r="H1670" s="1232">
        <v>0.62778009397988277</v>
      </c>
      <c r="I1670" s="1232">
        <v>3.0607505271597901E-2</v>
      </c>
      <c r="J1670" s="1232">
        <v>2.1631190926359485E-4</v>
      </c>
      <c r="K1670" s="1232">
        <v>3.0000008603782999E-3</v>
      </c>
      <c r="L1670" s="1233">
        <v>2.7963063683437699E-2</v>
      </c>
      <c r="M1670" s="1234">
        <v>3.1991440841186498E-2</v>
      </c>
      <c r="N1670" s="1235">
        <v>2.2609257393061346E-4</v>
      </c>
    </row>
    <row r="1671" spans="1:14" ht="15.5" x14ac:dyDescent="0.35">
      <c r="A1671" s="199">
        <v>2042</v>
      </c>
      <c r="B1671" s="110" t="s">
        <v>5850</v>
      </c>
      <c r="C1671" s="110">
        <v>2020</v>
      </c>
      <c r="D1671" s="110" t="str">
        <f t="shared" si="13"/>
        <v>2042_2020</v>
      </c>
      <c r="E1671" s="1231">
        <v>1.2376290743438699E-2</v>
      </c>
      <c r="F1671" s="1232">
        <v>5.3125450533593389E-2</v>
      </c>
      <c r="G1671" s="1232">
        <v>1.5878464707078499</v>
      </c>
      <c r="H1671" s="1232">
        <v>0.62778009397988344</v>
      </c>
      <c r="I1671" s="1232">
        <v>3.0607505272032098E-2</v>
      </c>
      <c r="J1671" s="1232">
        <v>2.1631190926359506E-4</v>
      </c>
      <c r="K1671" s="1232">
        <v>3.0000008603782999E-3</v>
      </c>
      <c r="L1671" s="1233">
        <v>2.7963063683327301E-2</v>
      </c>
      <c r="M1671" s="1234">
        <v>3.1991440841640302E-2</v>
      </c>
      <c r="N1671" s="1235">
        <v>2.2609257393061368E-4</v>
      </c>
    </row>
    <row r="1672" spans="1:14" ht="15.5" x14ac:dyDescent="0.35">
      <c r="A1672" s="199">
        <v>2042</v>
      </c>
      <c r="B1672" s="110" t="s">
        <v>5850</v>
      </c>
      <c r="C1672" s="110">
        <v>2021</v>
      </c>
      <c r="D1672" s="110" t="str">
        <f t="shared" si="13"/>
        <v>2042_2021</v>
      </c>
      <c r="E1672" s="1231">
        <v>1.237629074344E-2</v>
      </c>
      <c r="F1672" s="1232">
        <v>5.3125450533594472E-2</v>
      </c>
      <c r="G1672" s="1232">
        <v>1.5878464706647999</v>
      </c>
      <c r="H1672" s="1232">
        <v>0.6277800939798962</v>
      </c>
      <c r="I1672" s="1232">
        <v>3.06075052734733E-2</v>
      </c>
      <c r="J1672" s="1232">
        <v>2.1631190926359943E-4</v>
      </c>
      <c r="K1672" s="1232">
        <v>3.0000008603782999E-3</v>
      </c>
      <c r="L1672" s="1233">
        <v>2.7963063682603699E-2</v>
      </c>
      <c r="M1672" s="1234">
        <v>3.1991440843146701E-2</v>
      </c>
      <c r="N1672" s="1235">
        <v>2.2609257393061826E-4</v>
      </c>
    </row>
    <row r="1673" spans="1:14" ht="15.5" x14ac:dyDescent="0.35">
      <c r="A1673" s="199">
        <v>2042</v>
      </c>
      <c r="B1673" s="110" t="s">
        <v>5850</v>
      </c>
      <c r="C1673" s="110">
        <v>2022</v>
      </c>
      <c r="D1673" s="110" t="str">
        <f t="shared" si="13"/>
        <v>2042_2022</v>
      </c>
      <c r="E1673" s="1231">
        <v>1.2376290743383299E-2</v>
      </c>
      <c r="F1673" s="1232">
        <v>5.3125450533593147E-2</v>
      </c>
      <c r="G1673" s="1232">
        <v>1.5878464707098401</v>
      </c>
      <c r="H1673" s="1232">
        <v>0.62778009397988055</v>
      </c>
      <c r="I1673" s="1232">
        <v>3.0607505271499701E-2</v>
      </c>
      <c r="J1673" s="1232">
        <v>2.1631190926359409E-4</v>
      </c>
      <c r="K1673" s="1232">
        <v>3.0000008603782999E-3</v>
      </c>
      <c r="L1673" s="1233">
        <v>2.79630636834972E-2</v>
      </c>
      <c r="M1673" s="1234">
        <v>3.1991440841083803E-2</v>
      </c>
      <c r="N1673" s="1235">
        <v>2.2609257393061265E-4</v>
      </c>
    </row>
    <row r="1674" spans="1:14" ht="15.5" x14ac:dyDescent="0.35">
      <c r="A1674" s="199">
        <v>2042</v>
      </c>
      <c r="B1674" s="110" t="s">
        <v>5850</v>
      </c>
      <c r="C1674" s="110">
        <v>2023</v>
      </c>
      <c r="D1674" s="110" t="str">
        <f t="shared" si="13"/>
        <v>2042_2023</v>
      </c>
      <c r="E1674" s="1231">
        <v>1.2376290743403399E-2</v>
      </c>
      <c r="F1674" s="1232">
        <v>5.3125450533593598E-2</v>
      </c>
      <c r="G1674" s="1232">
        <v>1.5154772091080899</v>
      </c>
      <c r="H1674" s="1232">
        <v>0.62778009397988588</v>
      </c>
      <c r="I1674" s="1232">
        <v>2.9568603722713201E-2</v>
      </c>
      <c r="J1674" s="1232">
        <v>2.1631190926359588E-4</v>
      </c>
      <c r="K1674" s="1232">
        <v>3.0000008603782999E-3</v>
      </c>
      <c r="L1674" s="1233">
        <v>2.7963063683398799E-2</v>
      </c>
      <c r="M1674" s="1234">
        <v>3.0905564774318502E-2</v>
      </c>
      <c r="N1674" s="1235">
        <v>2.2609257393061452E-4</v>
      </c>
    </row>
    <row r="1675" spans="1:14" ht="15.5" x14ac:dyDescent="0.35">
      <c r="A1675" s="199">
        <v>2042</v>
      </c>
      <c r="B1675" s="110" t="s">
        <v>5850</v>
      </c>
      <c r="C1675" s="110">
        <v>2024</v>
      </c>
      <c r="D1675" s="110" t="str">
        <f t="shared" si="13"/>
        <v>2042_2024</v>
      </c>
      <c r="E1675" s="1231">
        <v>1.23762907434594E-2</v>
      </c>
      <c r="F1675" s="1232">
        <v>5.3125450533593223E-2</v>
      </c>
      <c r="G1675" s="1232">
        <v>1.5154772091052799</v>
      </c>
      <c r="H1675" s="1232">
        <v>0.62778009397988133</v>
      </c>
      <c r="I1675" s="1232">
        <v>2.9568603723270401E-2</v>
      </c>
      <c r="J1675" s="1232">
        <v>2.1631190926359436E-4</v>
      </c>
      <c r="K1675" s="1232">
        <v>3.0000008603782999E-3</v>
      </c>
      <c r="L1675" s="1233">
        <v>2.7963063683208798E-2</v>
      </c>
      <c r="M1675" s="1234">
        <v>3.09055647749009E-2</v>
      </c>
      <c r="N1675" s="1235">
        <v>2.2609257393061292E-4</v>
      </c>
    </row>
    <row r="1676" spans="1:14" ht="15.5" x14ac:dyDescent="0.35">
      <c r="A1676" s="199">
        <v>2042</v>
      </c>
      <c r="B1676" s="110" t="s">
        <v>5850</v>
      </c>
      <c r="C1676" s="110">
        <v>2025</v>
      </c>
      <c r="D1676" s="110" t="str">
        <f t="shared" si="13"/>
        <v>2042_2025</v>
      </c>
      <c r="E1676" s="1231">
        <v>1.23762907434102E-2</v>
      </c>
      <c r="F1676" s="1232">
        <v>5.3125450533593348E-2</v>
      </c>
      <c r="G1676" s="1232">
        <v>1.3813571949757</v>
      </c>
      <c r="H1676" s="1232">
        <v>0.31842980609499189</v>
      </c>
      <c r="I1676" s="1232">
        <v>2.95686037228312E-2</v>
      </c>
      <c r="J1676" s="1232">
        <v>2.1631190926359487E-4</v>
      </c>
      <c r="K1676" s="1232">
        <v>3.0000008603782999E-3</v>
      </c>
      <c r="L1676" s="1233">
        <v>2.7963063683351701E-2</v>
      </c>
      <c r="M1676" s="1234">
        <v>3.0905564774441899E-2</v>
      </c>
      <c r="N1676" s="1235">
        <v>2.2609257393061349E-4</v>
      </c>
    </row>
    <row r="1677" spans="1:14" ht="15.5" x14ac:dyDescent="0.35">
      <c r="A1677" s="199">
        <v>2042</v>
      </c>
      <c r="B1677" s="110" t="s">
        <v>5850</v>
      </c>
      <c r="C1677" s="110">
        <v>2026</v>
      </c>
      <c r="D1677" s="110" t="str">
        <f t="shared" si="13"/>
        <v>2042_2026</v>
      </c>
      <c r="E1677" s="1231">
        <v>1.2375231702488601E-2</v>
      </c>
      <c r="F1677" s="1232">
        <v>5.3125450533593369E-2</v>
      </c>
      <c r="G1677" s="1232">
        <v>1.3812679651050199</v>
      </c>
      <c r="H1677" s="1232">
        <v>0.318429806094992</v>
      </c>
      <c r="I1677" s="1232">
        <v>2.9564316223132301E-2</v>
      </c>
      <c r="J1677" s="1232">
        <v>2.1631190926359498E-4</v>
      </c>
      <c r="K1677" s="1232">
        <v>3.0000008603782999E-3</v>
      </c>
      <c r="L1677" s="1233">
        <v>3.08967135432896E-2</v>
      </c>
      <c r="M1677" s="1234">
        <v>3.0901083413032101E-2</v>
      </c>
      <c r="N1677" s="1235">
        <v>2.2609257393061357E-4</v>
      </c>
    </row>
    <row r="1678" spans="1:14" ht="15.5" x14ac:dyDescent="0.35">
      <c r="A1678" s="199">
        <v>2042</v>
      </c>
      <c r="B1678" s="110" t="s">
        <v>5850</v>
      </c>
      <c r="C1678" s="110">
        <v>2027</v>
      </c>
      <c r="D1678" s="110" t="str">
        <f t="shared" si="13"/>
        <v>2042_2027</v>
      </c>
      <c r="E1678" s="1231">
        <v>1.2222903748135901E-2</v>
      </c>
      <c r="F1678" s="1232">
        <v>5.3125450533593341E-2</v>
      </c>
      <c r="G1678" s="1232">
        <v>1.36831021879116</v>
      </c>
      <c r="H1678" s="1232">
        <v>0.31842980609499183</v>
      </c>
      <c r="I1678" s="1232">
        <v>2.89476204467293E-2</v>
      </c>
      <c r="J1678" s="1232">
        <v>2.1631190926359615E-4</v>
      </c>
      <c r="K1678" s="1232">
        <v>3.0000008603782999E-3</v>
      </c>
      <c r="L1678" s="1233">
        <v>3.0896713543285399E-2</v>
      </c>
      <c r="M1678" s="1234">
        <v>3.0256503390167101E-2</v>
      </c>
      <c r="N1678" s="1235">
        <v>2.2609257393061343E-4</v>
      </c>
    </row>
    <row r="1679" spans="1:14" ht="15.5" x14ac:dyDescent="0.35">
      <c r="A1679" s="199">
        <v>2042</v>
      </c>
      <c r="B1679" s="110" t="s">
        <v>5850</v>
      </c>
      <c r="C1679" s="110">
        <v>2028</v>
      </c>
      <c r="D1679" s="110" t="str">
        <f t="shared" si="13"/>
        <v>2042_2028</v>
      </c>
      <c r="E1679" s="1231">
        <v>1.20536504651609E-2</v>
      </c>
      <c r="F1679" s="1232">
        <v>4.7812905480233987E-2</v>
      </c>
      <c r="G1679" s="1232">
        <v>1.2377598426727101</v>
      </c>
      <c r="H1679" s="1232">
        <v>0.21698301071139209</v>
      </c>
      <c r="I1679" s="1232">
        <v>2.7896592511309298E-2</v>
      </c>
      <c r="J1679" s="1232">
        <v>1.9468071833723526E-4</v>
      </c>
      <c r="K1679" s="1232">
        <v>3.0000008603782999E-3</v>
      </c>
      <c r="L1679" s="1233">
        <v>3.08967135432969E-2</v>
      </c>
      <c r="M1679" s="1234">
        <v>2.9157952635374799E-2</v>
      </c>
      <c r="N1679" s="1235">
        <v>2.0348331653755199E-4</v>
      </c>
    </row>
    <row r="1680" spans="1:14" ht="15.5" x14ac:dyDescent="0.35">
      <c r="A1680" s="199">
        <v>2042</v>
      </c>
      <c r="B1680" s="110" t="s">
        <v>5850</v>
      </c>
      <c r="C1680" s="110">
        <v>2029</v>
      </c>
      <c r="D1680" s="110" t="str">
        <f t="shared" si="13"/>
        <v>2042_2029</v>
      </c>
      <c r="E1680" s="1231">
        <v>1.1865591261861199E-2</v>
      </c>
      <c r="F1680" s="1232">
        <v>4.3031614932210617E-2</v>
      </c>
      <c r="G1680" s="1232">
        <v>1.22131432467051</v>
      </c>
      <c r="H1680" s="1232">
        <v>0.19528470964025299</v>
      </c>
      <c r="I1680" s="1232">
        <v>2.7135239699326501E-2</v>
      </c>
      <c r="J1680" s="1232">
        <v>1.7521264650351186E-4</v>
      </c>
      <c r="K1680" s="1232">
        <v>3.0000008603782999E-3</v>
      </c>
      <c r="L1680" s="1233">
        <v>3.08967135432963E-2</v>
      </c>
      <c r="M1680" s="1234">
        <v>2.83621748276872E-2</v>
      </c>
      <c r="N1680" s="1235">
        <v>1.8313498488379694E-4</v>
      </c>
    </row>
    <row r="1681" spans="1:14" ht="15.5" x14ac:dyDescent="0.35">
      <c r="A1681" s="199">
        <v>2042</v>
      </c>
      <c r="B1681" s="110" t="s">
        <v>5850</v>
      </c>
      <c r="C1681" s="110">
        <v>2030</v>
      </c>
      <c r="D1681" s="110" t="str">
        <f t="shared" si="13"/>
        <v>2042_2030</v>
      </c>
      <c r="E1681" s="1231">
        <v>1.16566365915288E-2</v>
      </c>
      <c r="F1681" s="1232">
        <v>3.8728453438989514E-2</v>
      </c>
      <c r="G1681" s="1232">
        <v>1.20253745567357</v>
      </c>
      <c r="H1681" s="1232">
        <v>0.17575623867622756</v>
      </c>
      <c r="I1681" s="1232">
        <v>2.6289292130477902E-2</v>
      </c>
      <c r="J1681" s="1232">
        <v>1.5769138185316053E-4</v>
      </c>
      <c r="K1681" s="1232">
        <v>3.0000008603782999E-3</v>
      </c>
      <c r="L1681" s="1233">
        <v>3.08967135432833E-2</v>
      </c>
      <c r="M1681" s="1234">
        <v>2.7477977263612102E-2</v>
      </c>
      <c r="N1681" s="1235">
        <v>1.6482148639541711E-4</v>
      </c>
    </row>
    <row r="1682" spans="1:14" ht="15.5" x14ac:dyDescent="0.35">
      <c r="A1682" s="199">
        <v>2042</v>
      </c>
      <c r="B1682" s="110" t="s">
        <v>5850</v>
      </c>
      <c r="C1682" s="110">
        <v>2031</v>
      </c>
      <c r="D1682" s="110" t="str">
        <f t="shared" si="13"/>
        <v>2042_2031</v>
      </c>
      <c r="E1682" s="1231">
        <v>1.1424464735597301E-2</v>
      </c>
      <c r="F1682" s="1232">
        <v>3.4855608095090598E-2</v>
      </c>
      <c r="G1682" s="1232">
        <v>1.18100281912743</v>
      </c>
      <c r="H1682" s="1232">
        <v>0.15818061480860493</v>
      </c>
      <c r="I1682" s="1232">
        <v>2.53493503872457E-2</v>
      </c>
      <c r="J1682" s="1232">
        <v>1.4192224366784461E-4</v>
      </c>
      <c r="K1682" s="1232">
        <v>3.0000008603782999E-3</v>
      </c>
      <c r="L1682" s="1233">
        <v>3.0896713543299099E-2</v>
      </c>
      <c r="M1682" s="1234">
        <v>2.64955355256806E-2</v>
      </c>
      <c r="N1682" s="1235">
        <v>1.4833933775587553E-4</v>
      </c>
    </row>
    <row r="1683" spans="1:14" ht="15.5" x14ac:dyDescent="0.35">
      <c r="A1683" s="199">
        <v>2042</v>
      </c>
      <c r="B1683" s="110" t="s">
        <v>5850</v>
      </c>
      <c r="C1683" s="110">
        <v>2032</v>
      </c>
      <c r="D1683" s="110" t="str">
        <f t="shared" si="13"/>
        <v>2042_2032</v>
      </c>
      <c r="E1683" s="1231">
        <v>1.11664960067894E-2</v>
      </c>
      <c r="F1683" s="1232">
        <v>3.1370047285581779E-2</v>
      </c>
      <c r="G1683" s="1232">
        <v>1.0887533565612599</v>
      </c>
      <c r="H1683" s="1232">
        <v>0.14236255332774553</v>
      </c>
      <c r="I1683" s="1232">
        <v>2.2533678187157302E-2</v>
      </c>
      <c r="J1683" s="1232">
        <v>1.277300193010611E-4</v>
      </c>
      <c r="K1683" s="1232">
        <v>3.0000008603782999E-3</v>
      </c>
      <c r="L1683" s="1233">
        <v>3.08967135433014E-2</v>
      </c>
      <c r="M1683" s="1234">
        <v>2.3552551123064501E-2</v>
      </c>
      <c r="N1683" s="1235">
        <v>1.3350540398028899E-4</v>
      </c>
    </row>
    <row r="1684" spans="1:14" ht="15.5" x14ac:dyDescent="0.35">
      <c r="A1684" s="199">
        <v>2042</v>
      </c>
      <c r="B1684" s="110" t="s">
        <v>5850</v>
      </c>
      <c r="C1684" s="110">
        <v>2033</v>
      </c>
      <c r="D1684" s="110" t="str">
        <f t="shared" si="13"/>
        <v>2042_2033</v>
      </c>
      <c r="E1684" s="1231">
        <v>1.0879864085890799E-2</v>
      </c>
      <c r="F1684" s="1232">
        <v>2.8233042557023393E-2</v>
      </c>
      <c r="G1684" s="1232">
        <v>1.06175695332468</v>
      </c>
      <c r="H1684" s="1232">
        <v>0.12812629799497002</v>
      </c>
      <c r="I1684" s="1232">
        <v>2.1373256281987999E-2</v>
      </c>
      <c r="J1684" s="1232">
        <v>1.1495701737095418E-4</v>
      </c>
      <c r="K1684" s="1232">
        <v>3.0000008603782999E-3</v>
      </c>
      <c r="L1684" s="1233">
        <v>3.0896713543292799E-2</v>
      </c>
      <c r="M1684" s="1234">
        <v>2.2339660088639399E-2</v>
      </c>
      <c r="N1684" s="1235">
        <v>1.201548635822592E-4</v>
      </c>
    </row>
    <row r="1685" spans="1:14" ht="15.5" x14ac:dyDescent="0.35">
      <c r="A1685" s="199">
        <v>2042</v>
      </c>
      <c r="B1685" s="110" t="s">
        <v>5850</v>
      </c>
      <c r="C1685" s="110">
        <v>2034</v>
      </c>
      <c r="D1685" s="110" t="str">
        <f t="shared" si="13"/>
        <v>2042_2034</v>
      </c>
      <c r="E1685" s="1231">
        <v>1.05613841737801E-2</v>
      </c>
      <c r="F1685" s="1232">
        <v>2.5409738301320966E-2</v>
      </c>
      <c r="G1685" s="1232">
        <v>1.03013397637907</v>
      </c>
      <c r="H1685" s="1232">
        <v>0.11531366819547262</v>
      </c>
      <c r="I1685" s="1232">
        <v>2.0083898609555E-2</v>
      </c>
      <c r="J1685" s="1232">
        <v>1.034613156338584E-4</v>
      </c>
      <c r="K1685" s="1232">
        <v>3.0000008603782999E-3</v>
      </c>
      <c r="L1685" s="1233">
        <v>3.0896713543298E-2</v>
      </c>
      <c r="M1685" s="1234">
        <v>2.0992003383698901E-2</v>
      </c>
      <c r="N1685" s="1235">
        <v>1.081393772240329E-4</v>
      </c>
    </row>
    <row r="1686" spans="1:14" ht="15.5" x14ac:dyDescent="0.35">
      <c r="A1686" s="199">
        <v>2042</v>
      </c>
      <c r="B1686" s="110" t="s">
        <v>5850</v>
      </c>
      <c r="C1686" s="110">
        <v>2035</v>
      </c>
      <c r="D1686" s="110" t="str">
        <f t="shared" ref="D1686:D1831" si="14">CONCATENATE(A1686,"_",C1686)</f>
        <v>2042_2035</v>
      </c>
      <c r="E1686" s="1231">
        <v>1.0207517604771101E-2</v>
      </c>
      <c r="F1686" s="1232">
        <v>2.5409738301321066E-2</v>
      </c>
      <c r="G1686" s="1232">
        <v>0.992660349989823</v>
      </c>
      <c r="H1686" s="1232">
        <v>0.11531366819547309</v>
      </c>
      <c r="I1686" s="1232">
        <v>1.8651278973542702E-2</v>
      </c>
      <c r="J1686" s="1232">
        <v>1.034613156338588E-4</v>
      </c>
      <c r="K1686" s="1232">
        <v>3.0000008603782999E-3</v>
      </c>
      <c r="L1686" s="1233">
        <v>3.0896713543289701E-2</v>
      </c>
      <c r="M1686" s="1234">
        <v>1.94946070449016E-2</v>
      </c>
      <c r="N1686" s="1235">
        <v>1.0813937722403333E-4</v>
      </c>
    </row>
    <row r="1687" spans="1:14" ht="15.5" x14ac:dyDescent="0.35">
      <c r="A1687" s="199">
        <v>2042</v>
      </c>
      <c r="B1687" s="110" t="s">
        <v>5850</v>
      </c>
      <c r="C1687" s="110">
        <v>2036</v>
      </c>
      <c r="D1687" s="110" t="str">
        <f t="shared" si="14"/>
        <v>2042_2036</v>
      </c>
      <c r="E1687" s="1231">
        <v>9.8536510357596901E-3</v>
      </c>
      <c r="F1687" s="1232">
        <v>2.5409738301320983E-2</v>
      </c>
      <c r="G1687" s="1232">
        <v>0.95224434962738103</v>
      </c>
      <c r="H1687" s="1232">
        <v>0.11531366819547272</v>
      </c>
      <c r="I1687" s="1232">
        <v>1.7218659337509198E-2</v>
      </c>
      <c r="J1687" s="1232">
        <v>1.0346131563385849E-4</v>
      </c>
      <c r="K1687" s="1232">
        <v>3.0000008603782999E-3</v>
      </c>
      <c r="L1687" s="1233">
        <v>3.0896713543293899E-2</v>
      </c>
      <c r="M1687" s="1234">
        <v>1.7997210706082099E-2</v>
      </c>
      <c r="N1687" s="1235">
        <v>1.0813937722403299E-4</v>
      </c>
    </row>
    <row r="1688" spans="1:14" ht="15.5" x14ac:dyDescent="0.35">
      <c r="A1688" s="199">
        <v>2042</v>
      </c>
      <c r="B1688" s="110" t="s">
        <v>5850</v>
      </c>
      <c r="C1688" s="110">
        <v>2037</v>
      </c>
      <c r="D1688" s="110" t="str">
        <f t="shared" si="14"/>
        <v>2042_2037</v>
      </c>
      <c r="E1688" s="1231">
        <v>9.49978446674914E-3</v>
      </c>
      <c r="F1688" s="1232">
        <v>2.5409738301320928E-2</v>
      </c>
      <c r="G1688" s="1232">
        <v>0.90784257677114899</v>
      </c>
      <c r="H1688" s="1232">
        <v>0.11511161919294138</v>
      </c>
      <c r="I1688" s="1232">
        <v>1.6156820689128399E-2</v>
      </c>
      <c r="J1688" s="1232">
        <v>1.0346131563385825E-4</v>
      </c>
      <c r="K1688" s="1232">
        <v>3.0000008603782999E-3</v>
      </c>
      <c r="L1688" s="1233">
        <v>3.0896713543294901E-2</v>
      </c>
      <c r="M1688" s="1234">
        <v>1.6887360425860799E-2</v>
      </c>
      <c r="N1688" s="1235">
        <v>1.0813937722403276E-4</v>
      </c>
    </row>
    <row r="1689" spans="1:14" ht="15.5" x14ac:dyDescent="0.35">
      <c r="A1689" s="199">
        <v>2042</v>
      </c>
      <c r="B1689" s="110" t="s">
        <v>5850</v>
      </c>
      <c r="C1689" s="110">
        <v>2038</v>
      </c>
      <c r="D1689" s="110" t="str">
        <f t="shared" si="14"/>
        <v>2042_2038</v>
      </c>
      <c r="E1689" s="1231">
        <v>9.1459178977386299E-3</v>
      </c>
      <c r="F1689" s="1232">
        <v>2.5409738301321073E-2</v>
      </c>
      <c r="G1689" s="1232">
        <v>0.85229413075356797</v>
      </c>
      <c r="H1689" s="1232">
        <v>0.11111821142060273</v>
      </c>
      <c r="I1689" s="1232">
        <v>1.51103045465024E-2</v>
      </c>
      <c r="J1689" s="1232">
        <v>1.0346131563385883E-4</v>
      </c>
      <c r="K1689" s="1232">
        <v>3.0000008603782999E-3</v>
      </c>
      <c r="L1689" s="1233">
        <v>3.0896713543292299E-2</v>
      </c>
      <c r="M1689" s="1234">
        <v>1.57935254671118E-2</v>
      </c>
      <c r="N1689" s="1235">
        <v>1.0813937722403336E-4</v>
      </c>
    </row>
    <row r="1690" spans="1:14" ht="15.5" x14ac:dyDescent="0.35">
      <c r="A1690" s="198">
        <v>2042</v>
      </c>
      <c r="B1690" s="197" t="s">
        <v>5850</v>
      </c>
      <c r="C1690" s="197">
        <v>2039</v>
      </c>
      <c r="D1690" s="110" t="str">
        <f t="shared" si="14"/>
        <v>2042_2039</v>
      </c>
      <c r="E1690" s="1231">
        <v>8.7920513287279897E-3</v>
      </c>
      <c r="F1690" s="1232">
        <v>2.5409738301320969E-2</v>
      </c>
      <c r="G1690" s="1232">
        <v>0.78642330456282605</v>
      </c>
      <c r="H1690" s="1232">
        <v>0.10425278457976007</v>
      </c>
      <c r="I1690" s="1232">
        <v>1.40526958197592E-2</v>
      </c>
      <c r="J1690" s="1232">
        <v>1.0346131563385841E-4</v>
      </c>
      <c r="K1690" s="1232">
        <v>3.0000008603782999E-3</v>
      </c>
      <c r="L1690" s="1233">
        <v>3.08967135432907E-2</v>
      </c>
      <c r="M1690" s="1234">
        <v>1.4688096366814601E-2</v>
      </c>
      <c r="N1690" s="1235">
        <v>1.0813937722403291E-4</v>
      </c>
    </row>
    <row r="1691" spans="1:14" ht="15.5" x14ac:dyDescent="0.35">
      <c r="A1691" s="198">
        <v>2042</v>
      </c>
      <c r="B1691" s="197" t="s">
        <v>5850</v>
      </c>
      <c r="C1691" s="197">
        <v>2040</v>
      </c>
      <c r="D1691" s="110" t="str">
        <f t="shared" si="14"/>
        <v>2042_2040</v>
      </c>
      <c r="E1691" s="1231">
        <v>8.4381847597161299E-3</v>
      </c>
      <c r="F1691" s="1232">
        <v>2.5409738301321001E-2</v>
      </c>
      <c r="G1691" s="1232">
        <v>0.710033140309976</v>
      </c>
      <c r="H1691" s="1232">
        <v>9.5434678371718581E-2</v>
      </c>
      <c r="I1691" s="1232">
        <v>1.30117550024062E-2</v>
      </c>
      <c r="J1691" s="1232">
        <v>1.0346131563385853E-4</v>
      </c>
      <c r="K1691" s="1232">
        <v>3.0000008603782999E-3</v>
      </c>
      <c r="L1691" s="1233">
        <v>3.0896713543293999E-2</v>
      </c>
      <c r="M1691" s="1234">
        <v>1.36000888248073E-2</v>
      </c>
      <c r="N1691" s="1235">
        <v>1.0813937722403305E-4</v>
      </c>
    </row>
    <row r="1692" spans="1:14" ht="15.5" x14ac:dyDescent="0.35">
      <c r="A1692" s="198">
        <v>2042</v>
      </c>
      <c r="B1692" s="197" t="s">
        <v>5850</v>
      </c>
      <c r="C1692" s="197">
        <v>2041</v>
      </c>
      <c r="D1692" s="110" t="str">
        <f t="shared" si="14"/>
        <v>2042_2041</v>
      </c>
      <c r="E1692" s="1231">
        <v>8.08431819070639E-3</v>
      </c>
      <c r="F1692" s="1232">
        <v>2.5409738301321011E-2</v>
      </c>
      <c r="G1692" s="1232">
        <v>0.62078713196560398</v>
      </c>
      <c r="H1692" s="1232">
        <v>8.5583231997341927E-2</v>
      </c>
      <c r="I1692" s="1232">
        <v>1.20065597470398E-2</v>
      </c>
      <c r="J1692" s="1232">
        <v>1.0346131563385859E-4</v>
      </c>
      <c r="K1692" s="1232">
        <v>3.0000008603782999E-3</v>
      </c>
      <c r="L1692" s="1233">
        <v>3.0896713543292501E-2</v>
      </c>
      <c r="M1692" s="1234">
        <v>1.25494431004812E-2</v>
      </c>
      <c r="N1692" s="1235">
        <v>1.081393772240331E-4</v>
      </c>
    </row>
    <row r="1693" spans="1:14" ht="15.5" x14ac:dyDescent="0.35">
      <c r="A1693" s="198">
        <v>2042</v>
      </c>
      <c r="B1693" s="197" t="s">
        <v>5850</v>
      </c>
      <c r="C1693" s="197">
        <v>2042</v>
      </c>
      <c r="D1693" s="110" t="str">
        <f t="shared" si="14"/>
        <v>2042_2042</v>
      </c>
      <c r="E1693" s="1231">
        <v>7.7307119626905804E-3</v>
      </c>
      <c r="F1693" s="1232">
        <v>2.5409740561304118E-2</v>
      </c>
      <c r="G1693" s="1232">
        <v>0.51042227335814305</v>
      </c>
      <c r="H1693" s="1232">
        <v>7.561779213372273E-2</v>
      </c>
      <c r="I1693" s="1232">
        <v>1.1049236514105E-2</v>
      </c>
      <c r="J1693" s="1232">
        <v>1.0346132483587504E-4</v>
      </c>
      <c r="K1693" s="1232">
        <v>3.0000008603779599E-3</v>
      </c>
      <c r="L1693" s="1233">
        <v>3.08949070666974E-2</v>
      </c>
      <c r="M1693" s="1234">
        <v>1.1548833959011901E-2</v>
      </c>
      <c r="N1693" s="1235">
        <v>1.0813938684212379E-4</v>
      </c>
    </row>
    <row r="1694" spans="1:14" ht="15.5" x14ac:dyDescent="0.35">
      <c r="A1694" s="198">
        <v>2042</v>
      </c>
      <c r="B1694" s="197" t="s">
        <v>5850</v>
      </c>
      <c r="C1694" s="197">
        <v>2043</v>
      </c>
      <c r="D1694" s="110" t="str">
        <f t="shared" si="14"/>
        <v>2042_2043</v>
      </c>
      <c r="E1694" s="1231">
        <v>7.3754123625489098E-3</v>
      </c>
      <c r="F1694" s="1232">
        <v>6.0983346310392074E-2</v>
      </c>
      <c r="G1694" s="1232">
        <v>0.35071602129246898</v>
      </c>
      <c r="H1694" s="1232">
        <v>0.18148260875755301</v>
      </c>
      <c r="I1694" s="1232">
        <v>1.01378075488185E-2</v>
      </c>
      <c r="J1694" s="1232">
        <v>2.4830705323322362E-4</v>
      </c>
      <c r="K1694" s="1232">
        <v>3.0000008603799102E-3</v>
      </c>
      <c r="L1694" s="1233">
        <v>3.0905241051950399E-2</v>
      </c>
      <c r="M1694" s="1234">
        <v>1.0596194220321299E-2</v>
      </c>
      <c r="N1694" s="1235">
        <v>2.5953439633420028E-4</v>
      </c>
    </row>
    <row r="1695" spans="1:14" ht="15.5" x14ac:dyDescent="0.35">
      <c r="A1695" s="198">
        <v>2043</v>
      </c>
      <c r="B1695" s="197" t="s">
        <v>5850</v>
      </c>
      <c r="C1695" s="197">
        <v>1971</v>
      </c>
      <c r="D1695" s="110" t="str">
        <f t="shared" si="14"/>
        <v>2043_1971</v>
      </c>
      <c r="E1695" s="1226">
        <v>0.12417080180501</v>
      </c>
      <c r="F1695" s="1227">
        <v>5.2947955539667996E-2</v>
      </c>
      <c r="G1695" s="1227">
        <v>5.1254378864031098</v>
      </c>
      <c r="H1695" s="1227">
        <v>0.71107578180790887</v>
      </c>
      <c r="I1695" s="1227">
        <v>5.7228626004498802E-2</v>
      </c>
      <c r="J1695" s="1227">
        <v>2.1631172190617414E-4</v>
      </c>
      <c r="K1695" s="1227">
        <v>3.0000008603782999E-3</v>
      </c>
      <c r="L1695" s="1228">
        <v>2.79630635868411E-2</v>
      </c>
      <c r="M1695" s="1229">
        <v>5.9816250524155401E-2</v>
      </c>
      <c r="N1695" s="1230">
        <v>2.2609237810172157E-4</v>
      </c>
    </row>
    <row r="1696" spans="1:14" ht="15.5" x14ac:dyDescent="0.35">
      <c r="A1696" s="198">
        <v>2043</v>
      </c>
      <c r="B1696" s="197" t="s">
        <v>5850</v>
      </c>
      <c r="C1696" s="197">
        <v>1972</v>
      </c>
      <c r="D1696" s="110" t="str">
        <f t="shared" si="14"/>
        <v>2043_1972</v>
      </c>
      <c r="E1696" s="1226">
        <v>0.12417080180501</v>
      </c>
      <c r="F1696" s="1227">
        <v>5.2947955539667996E-2</v>
      </c>
      <c r="G1696" s="1227">
        <v>5.1254378864031098</v>
      </c>
      <c r="H1696" s="1227">
        <v>0.71107578180790887</v>
      </c>
      <c r="I1696" s="1227">
        <v>5.7228626004498802E-2</v>
      </c>
      <c r="J1696" s="1227">
        <v>2.1631172190617414E-4</v>
      </c>
      <c r="K1696" s="1227">
        <v>3.0000008603782999E-3</v>
      </c>
      <c r="L1696" s="1228">
        <v>2.79630635868411E-2</v>
      </c>
      <c r="M1696" s="1229">
        <v>5.9816250524155401E-2</v>
      </c>
      <c r="N1696" s="1230">
        <v>2.2609237810172157E-4</v>
      </c>
    </row>
    <row r="1697" spans="1:14" ht="15.5" x14ac:dyDescent="0.35">
      <c r="A1697" s="198">
        <v>2043</v>
      </c>
      <c r="B1697" s="197" t="s">
        <v>5850</v>
      </c>
      <c r="C1697" s="197">
        <v>1973</v>
      </c>
      <c r="D1697" s="110" t="str">
        <f t="shared" si="14"/>
        <v>2043_1973</v>
      </c>
      <c r="E1697" s="1226">
        <v>0.12417080180501</v>
      </c>
      <c r="F1697" s="1227">
        <v>5.2947955539667996E-2</v>
      </c>
      <c r="G1697" s="1227">
        <v>5.1254378864031098</v>
      </c>
      <c r="H1697" s="1227">
        <v>0.71107578180790887</v>
      </c>
      <c r="I1697" s="1227">
        <v>5.7228626004498802E-2</v>
      </c>
      <c r="J1697" s="1227">
        <v>2.1631172190617414E-4</v>
      </c>
      <c r="K1697" s="1227">
        <v>3.0000008603782999E-3</v>
      </c>
      <c r="L1697" s="1228">
        <v>2.79630635868411E-2</v>
      </c>
      <c r="M1697" s="1229">
        <v>5.9816250524155401E-2</v>
      </c>
      <c r="N1697" s="1230">
        <v>2.2609237810172157E-4</v>
      </c>
    </row>
    <row r="1698" spans="1:14" ht="15.5" x14ac:dyDescent="0.35">
      <c r="A1698" s="198">
        <v>2043</v>
      </c>
      <c r="B1698" s="197" t="s">
        <v>5850</v>
      </c>
      <c r="C1698" s="197">
        <v>1974</v>
      </c>
      <c r="D1698" s="110" t="str">
        <f t="shared" si="14"/>
        <v>2043_1974</v>
      </c>
      <c r="E1698" s="1226">
        <v>0.12417080180501</v>
      </c>
      <c r="F1698" s="1227">
        <v>5.2947955539667996E-2</v>
      </c>
      <c r="G1698" s="1227">
        <v>5.1254378864031098</v>
      </c>
      <c r="H1698" s="1227">
        <v>0.71107578180790887</v>
      </c>
      <c r="I1698" s="1227">
        <v>5.7228626004498802E-2</v>
      </c>
      <c r="J1698" s="1227">
        <v>2.1631172190617414E-4</v>
      </c>
      <c r="K1698" s="1227">
        <v>3.0000008603782999E-3</v>
      </c>
      <c r="L1698" s="1228">
        <v>2.79630635868411E-2</v>
      </c>
      <c r="M1698" s="1229">
        <v>5.9816250524155401E-2</v>
      </c>
      <c r="N1698" s="1230">
        <v>2.2609237810172157E-4</v>
      </c>
    </row>
    <row r="1699" spans="1:14" ht="15.5" x14ac:dyDescent="0.35">
      <c r="A1699" s="198">
        <v>2043</v>
      </c>
      <c r="B1699" s="197" t="s">
        <v>5850</v>
      </c>
      <c r="C1699" s="197">
        <v>1975</v>
      </c>
      <c r="D1699" s="110" t="str">
        <f t="shared" si="14"/>
        <v>2043_1975</v>
      </c>
      <c r="E1699" s="1226">
        <v>0.12417080180501</v>
      </c>
      <c r="F1699" s="1227">
        <v>5.2947955539667996E-2</v>
      </c>
      <c r="G1699" s="1227">
        <v>5.1254378864031098</v>
      </c>
      <c r="H1699" s="1227">
        <v>0.71107578180790887</v>
      </c>
      <c r="I1699" s="1227">
        <v>5.7228626004498802E-2</v>
      </c>
      <c r="J1699" s="1227">
        <v>2.1631172190617414E-4</v>
      </c>
      <c r="K1699" s="1227">
        <v>3.0000008603782999E-3</v>
      </c>
      <c r="L1699" s="1228">
        <v>2.79630635868411E-2</v>
      </c>
      <c r="M1699" s="1229">
        <v>5.9816250524155401E-2</v>
      </c>
      <c r="N1699" s="1230">
        <v>2.2609237810172157E-4</v>
      </c>
    </row>
    <row r="1700" spans="1:14" ht="15.5" x14ac:dyDescent="0.35">
      <c r="A1700" s="198">
        <v>2043</v>
      </c>
      <c r="B1700" s="197" t="s">
        <v>5850</v>
      </c>
      <c r="C1700" s="197">
        <v>1976</v>
      </c>
      <c r="D1700" s="110" t="str">
        <f t="shared" si="14"/>
        <v>2043_1976</v>
      </c>
      <c r="E1700" s="1226">
        <v>0.12417080180501</v>
      </c>
      <c r="F1700" s="1227">
        <v>5.2947955539667996E-2</v>
      </c>
      <c r="G1700" s="1227">
        <v>5.1254378864031098</v>
      </c>
      <c r="H1700" s="1227">
        <v>0.71107578180790887</v>
      </c>
      <c r="I1700" s="1227">
        <v>5.7228626004498802E-2</v>
      </c>
      <c r="J1700" s="1227">
        <v>2.1631172190617414E-4</v>
      </c>
      <c r="K1700" s="1227">
        <v>3.0000008603782999E-3</v>
      </c>
      <c r="L1700" s="1228">
        <v>2.79630635868411E-2</v>
      </c>
      <c r="M1700" s="1229">
        <v>5.9816250524155401E-2</v>
      </c>
      <c r="N1700" s="1230">
        <v>2.2609237810172157E-4</v>
      </c>
    </row>
    <row r="1701" spans="1:14" ht="15.5" x14ac:dyDescent="0.35">
      <c r="A1701" s="198">
        <v>2043</v>
      </c>
      <c r="B1701" s="197" t="s">
        <v>5850</v>
      </c>
      <c r="C1701" s="197">
        <v>1977</v>
      </c>
      <c r="D1701" s="110" t="str">
        <f t="shared" si="14"/>
        <v>2043_1977</v>
      </c>
      <c r="E1701" s="1226">
        <v>0.12417080180501</v>
      </c>
      <c r="F1701" s="1227">
        <v>5.2947955539667996E-2</v>
      </c>
      <c r="G1701" s="1227">
        <v>5.1254378864031098</v>
      </c>
      <c r="H1701" s="1227">
        <v>0.71107578180790887</v>
      </c>
      <c r="I1701" s="1227">
        <v>5.7228626004498802E-2</v>
      </c>
      <c r="J1701" s="1227">
        <v>2.1631172190617414E-4</v>
      </c>
      <c r="K1701" s="1227">
        <v>3.0000008603782999E-3</v>
      </c>
      <c r="L1701" s="1228">
        <v>2.79630635868411E-2</v>
      </c>
      <c r="M1701" s="1229">
        <v>5.9816250524155401E-2</v>
      </c>
      <c r="N1701" s="1230">
        <v>2.2609237810172157E-4</v>
      </c>
    </row>
    <row r="1702" spans="1:14" ht="15.5" x14ac:dyDescent="0.35">
      <c r="A1702" s="198">
        <v>2043</v>
      </c>
      <c r="B1702" s="197" t="s">
        <v>5850</v>
      </c>
      <c r="C1702" s="197">
        <v>1978</v>
      </c>
      <c r="D1702" s="110" t="str">
        <f t="shared" si="14"/>
        <v>2043_1978</v>
      </c>
      <c r="E1702" s="1226">
        <v>0.12417080180501</v>
      </c>
      <c r="F1702" s="1227">
        <v>5.2947955539667996E-2</v>
      </c>
      <c r="G1702" s="1227">
        <v>5.1254378864031098</v>
      </c>
      <c r="H1702" s="1227">
        <v>0.71107578180790887</v>
      </c>
      <c r="I1702" s="1227">
        <v>5.7228626004498802E-2</v>
      </c>
      <c r="J1702" s="1227">
        <v>2.1631172190617414E-4</v>
      </c>
      <c r="K1702" s="1227">
        <v>3.0000008603782999E-3</v>
      </c>
      <c r="L1702" s="1228">
        <v>2.79630635868411E-2</v>
      </c>
      <c r="M1702" s="1229">
        <v>5.9816250524155401E-2</v>
      </c>
      <c r="N1702" s="1230">
        <v>2.2609237810172157E-4</v>
      </c>
    </row>
    <row r="1703" spans="1:14" ht="15.5" x14ac:dyDescent="0.35">
      <c r="A1703" s="198">
        <v>2043</v>
      </c>
      <c r="B1703" s="197" t="s">
        <v>5850</v>
      </c>
      <c r="C1703" s="197">
        <v>1979</v>
      </c>
      <c r="D1703" s="110" t="str">
        <f t="shared" si="14"/>
        <v>2043_1979</v>
      </c>
      <c r="E1703" s="1226">
        <v>0.12417080180501</v>
      </c>
      <c r="F1703" s="1227">
        <v>5.2947955539667996E-2</v>
      </c>
      <c r="G1703" s="1227">
        <v>5.1254378864031098</v>
      </c>
      <c r="H1703" s="1227">
        <v>0.71107578180790887</v>
      </c>
      <c r="I1703" s="1227">
        <v>5.7228626004498802E-2</v>
      </c>
      <c r="J1703" s="1227">
        <v>2.1631172190617414E-4</v>
      </c>
      <c r="K1703" s="1227">
        <v>3.0000008603782999E-3</v>
      </c>
      <c r="L1703" s="1228">
        <v>2.79630635868411E-2</v>
      </c>
      <c r="M1703" s="1229">
        <v>5.9816250524155401E-2</v>
      </c>
      <c r="N1703" s="1230">
        <v>2.2609237810172157E-4</v>
      </c>
    </row>
    <row r="1704" spans="1:14" ht="15.5" x14ac:dyDescent="0.35">
      <c r="A1704" s="198">
        <v>2043</v>
      </c>
      <c r="B1704" s="197" t="s">
        <v>5850</v>
      </c>
      <c r="C1704" s="197">
        <v>1980</v>
      </c>
      <c r="D1704" s="110" t="str">
        <f t="shared" si="14"/>
        <v>2043_1980</v>
      </c>
      <c r="E1704" s="1226">
        <v>0.12417080180501</v>
      </c>
      <c r="F1704" s="1227">
        <v>5.2947955539667996E-2</v>
      </c>
      <c r="G1704" s="1227">
        <v>5.1254378864031098</v>
      </c>
      <c r="H1704" s="1227">
        <v>0.71107578180790887</v>
      </c>
      <c r="I1704" s="1227">
        <v>5.7228626004498802E-2</v>
      </c>
      <c r="J1704" s="1227">
        <v>2.1631172190617414E-4</v>
      </c>
      <c r="K1704" s="1227">
        <v>3.0000008603782999E-3</v>
      </c>
      <c r="L1704" s="1228">
        <v>2.79630635868411E-2</v>
      </c>
      <c r="M1704" s="1229">
        <v>5.9816250524155401E-2</v>
      </c>
      <c r="N1704" s="1230">
        <v>2.2609237810172157E-4</v>
      </c>
    </row>
    <row r="1705" spans="1:14" ht="15.5" x14ac:dyDescent="0.35">
      <c r="A1705" s="198">
        <v>2043</v>
      </c>
      <c r="B1705" s="197" t="s">
        <v>5850</v>
      </c>
      <c r="C1705" s="197">
        <v>1981</v>
      </c>
      <c r="D1705" s="110" t="str">
        <f t="shared" si="14"/>
        <v>2043_1981</v>
      </c>
      <c r="E1705" s="1226">
        <v>0.12417080180501</v>
      </c>
      <c r="F1705" s="1227">
        <v>5.2947955539667996E-2</v>
      </c>
      <c r="G1705" s="1227">
        <v>5.1254378864031098</v>
      </c>
      <c r="H1705" s="1227">
        <v>0.71107578180790887</v>
      </c>
      <c r="I1705" s="1227">
        <v>5.7228626004498802E-2</v>
      </c>
      <c r="J1705" s="1227">
        <v>2.1631172190617414E-4</v>
      </c>
      <c r="K1705" s="1227">
        <v>3.0000008603782999E-3</v>
      </c>
      <c r="L1705" s="1228">
        <v>2.79630635868411E-2</v>
      </c>
      <c r="M1705" s="1229">
        <v>5.9816250524155401E-2</v>
      </c>
      <c r="N1705" s="1230">
        <v>2.2609237810172157E-4</v>
      </c>
    </row>
    <row r="1706" spans="1:14" ht="15.5" x14ac:dyDescent="0.35">
      <c r="A1706" s="198">
        <v>2043</v>
      </c>
      <c r="B1706" s="197" t="s">
        <v>5850</v>
      </c>
      <c r="C1706" s="197">
        <v>1982</v>
      </c>
      <c r="D1706" s="110" t="str">
        <f t="shared" si="14"/>
        <v>2043_1982</v>
      </c>
      <c r="E1706" s="1226">
        <v>0.12417080180501</v>
      </c>
      <c r="F1706" s="1227">
        <v>5.2947955539667996E-2</v>
      </c>
      <c r="G1706" s="1227">
        <v>5.1254378864031098</v>
      </c>
      <c r="H1706" s="1227">
        <v>0.71107578180790887</v>
      </c>
      <c r="I1706" s="1227">
        <v>5.7228626004498802E-2</v>
      </c>
      <c r="J1706" s="1227">
        <v>2.1631172190617414E-4</v>
      </c>
      <c r="K1706" s="1227">
        <v>3.0000008603782999E-3</v>
      </c>
      <c r="L1706" s="1228">
        <v>2.79630635868411E-2</v>
      </c>
      <c r="M1706" s="1229">
        <v>5.9816250524155401E-2</v>
      </c>
      <c r="N1706" s="1230">
        <v>2.2609237810172157E-4</v>
      </c>
    </row>
    <row r="1707" spans="1:14" ht="15.5" x14ac:dyDescent="0.35">
      <c r="A1707" s="198">
        <v>2043</v>
      </c>
      <c r="B1707" s="197" t="s">
        <v>5850</v>
      </c>
      <c r="C1707" s="197">
        <v>1983</v>
      </c>
      <c r="D1707" s="110" t="str">
        <f t="shared" si="14"/>
        <v>2043_1983</v>
      </c>
      <c r="E1707" s="1226">
        <v>0.12417080180501</v>
      </c>
      <c r="F1707" s="1227">
        <v>5.2947955539667996E-2</v>
      </c>
      <c r="G1707" s="1227">
        <v>5.1254378864031098</v>
      </c>
      <c r="H1707" s="1227">
        <v>0.71107578180790887</v>
      </c>
      <c r="I1707" s="1227">
        <v>5.7228626004498802E-2</v>
      </c>
      <c r="J1707" s="1227">
        <v>2.1631172190617414E-4</v>
      </c>
      <c r="K1707" s="1227">
        <v>3.0000008603782999E-3</v>
      </c>
      <c r="L1707" s="1228">
        <v>2.79630635868411E-2</v>
      </c>
      <c r="M1707" s="1229">
        <v>5.9816250524155401E-2</v>
      </c>
      <c r="N1707" s="1230">
        <v>2.2609237810172157E-4</v>
      </c>
    </row>
    <row r="1708" spans="1:14" ht="15.5" x14ac:dyDescent="0.35">
      <c r="A1708" s="198">
        <v>2043</v>
      </c>
      <c r="B1708" s="197" t="s">
        <v>5850</v>
      </c>
      <c r="C1708" s="197">
        <v>1984</v>
      </c>
      <c r="D1708" s="110" t="str">
        <f t="shared" si="14"/>
        <v>2043_1984</v>
      </c>
      <c r="E1708" s="1226">
        <v>0.12417080180501</v>
      </c>
      <c r="F1708" s="1227">
        <v>5.2947955539667996E-2</v>
      </c>
      <c r="G1708" s="1227">
        <v>5.1254378864031098</v>
      </c>
      <c r="H1708" s="1227">
        <v>0.71107578180790887</v>
      </c>
      <c r="I1708" s="1227">
        <v>5.7228626004498802E-2</v>
      </c>
      <c r="J1708" s="1227">
        <v>2.1631172190617414E-4</v>
      </c>
      <c r="K1708" s="1227">
        <v>3.0000008603782999E-3</v>
      </c>
      <c r="L1708" s="1228">
        <v>2.79630635868411E-2</v>
      </c>
      <c r="M1708" s="1229">
        <v>5.9816250524155401E-2</v>
      </c>
      <c r="N1708" s="1230">
        <v>2.2609237810172157E-4</v>
      </c>
    </row>
    <row r="1709" spans="1:14" ht="15.5" x14ac:dyDescent="0.35">
      <c r="A1709" s="198">
        <v>2043</v>
      </c>
      <c r="B1709" s="197" t="s">
        <v>5850</v>
      </c>
      <c r="C1709" s="197">
        <v>1985</v>
      </c>
      <c r="D1709" s="110" t="str">
        <f t="shared" si="14"/>
        <v>2043_1985</v>
      </c>
      <c r="E1709" s="1226">
        <v>0.12417080180501</v>
      </c>
      <c r="F1709" s="1227">
        <v>5.2947955539667996E-2</v>
      </c>
      <c r="G1709" s="1227">
        <v>5.1254378864031098</v>
      </c>
      <c r="H1709" s="1227">
        <v>0.71107578180790887</v>
      </c>
      <c r="I1709" s="1227">
        <v>5.7228626004498802E-2</v>
      </c>
      <c r="J1709" s="1227">
        <v>2.1631172190617414E-4</v>
      </c>
      <c r="K1709" s="1227">
        <v>3.0000008603782999E-3</v>
      </c>
      <c r="L1709" s="1228">
        <v>2.79630635868411E-2</v>
      </c>
      <c r="M1709" s="1229">
        <v>5.9816250524155401E-2</v>
      </c>
      <c r="N1709" s="1230">
        <v>2.2609237810172157E-4</v>
      </c>
    </row>
    <row r="1710" spans="1:14" ht="15.5" x14ac:dyDescent="0.35">
      <c r="A1710" s="198">
        <v>2043</v>
      </c>
      <c r="B1710" s="197" t="s">
        <v>5850</v>
      </c>
      <c r="C1710" s="197">
        <v>1986</v>
      </c>
      <c r="D1710" s="110" t="str">
        <f t="shared" si="14"/>
        <v>2043_1986</v>
      </c>
      <c r="E1710" s="1226">
        <v>0.12417080180501</v>
      </c>
      <c r="F1710" s="1227">
        <v>5.2947955539667996E-2</v>
      </c>
      <c r="G1710" s="1227">
        <v>5.1254378864031098</v>
      </c>
      <c r="H1710" s="1227">
        <v>0.71107578180790887</v>
      </c>
      <c r="I1710" s="1227">
        <v>5.7228626004498802E-2</v>
      </c>
      <c r="J1710" s="1227">
        <v>2.1631172190617414E-4</v>
      </c>
      <c r="K1710" s="1227">
        <v>3.0000008603782999E-3</v>
      </c>
      <c r="L1710" s="1228">
        <v>2.79630635868411E-2</v>
      </c>
      <c r="M1710" s="1229">
        <v>5.9816250524155401E-2</v>
      </c>
      <c r="N1710" s="1230">
        <v>2.2609237810172157E-4</v>
      </c>
    </row>
    <row r="1711" spans="1:14" ht="15.5" x14ac:dyDescent="0.35">
      <c r="A1711" s="198">
        <v>2043</v>
      </c>
      <c r="B1711" s="197" t="s">
        <v>5850</v>
      </c>
      <c r="C1711" s="197">
        <v>1987</v>
      </c>
      <c r="D1711" s="110" t="str">
        <f t="shared" si="14"/>
        <v>2043_1987</v>
      </c>
      <c r="E1711" s="1226">
        <v>0.12417080180501</v>
      </c>
      <c r="F1711" s="1227">
        <v>5.2947955539667996E-2</v>
      </c>
      <c r="G1711" s="1227">
        <v>5.1254378864031098</v>
      </c>
      <c r="H1711" s="1227">
        <v>0.71107578180790887</v>
      </c>
      <c r="I1711" s="1227">
        <v>5.7228626004498802E-2</v>
      </c>
      <c r="J1711" s="1227">
        <v>2.1631172190617414E-4</v>
      </c>
      <c r="K1711" s="1227">
        <v>3.0000008603782999E-3</v>
      </c>
      <c r="L1711" s="1228">
        <v>2.79630635868411E-2</v>
      </c>
      <c r="M1711" s="1229">
        <v>5.9816250524155401E-2</v>
      </c>
      <c r="N1711" s="1230">
        <v>2.2609237810172157E-4</v>
      </c>
    </row>
    <row r="1712" spans="1:14" ht="15.5" x14ac:dyDescent="0.35">
      <c r="A1712" s="198">
        <v>2043</v>
      </c>
      <c r="B1712" s="197" t="s">
        <v>5850</v>
      </c>
      <c r="C1712" s="197">
        <v>1988</v>
      </c>
      <c r="D1712" s="110" t="str">
        <f t="shared" si="14"/>
        <v>2043_1988</v>
      </c>
      <c r="E1712" s="1226">
        <v>0.12417080180501</v>
      </c>
      <c r="F1712" s="1227">
        <v>5.2947955539667996E-2</v>
      </c>
      <c r="G1712" s="1227">
        <v>5.1254378864031098</v>
      </c>
      <c r="H1712" s="1227">
        <v>0.71107578180790887</v>
      </c>
      <c r="I1712" s="1227">
        <v>5.7228626004498802E-2</v>
      </c>
      <c r="J1712" s="1227">
        <v>2.1631172190617414E-4</v>
      </c>
      <c r="K1712" s="1227">
        <v>3.0000008603782999E-3</v>
      </c>
      <c r="L1712" s="1228">
        <v>2.79630635868411E-2</v>
      </c>
      <c r="M1712" s="1229">
        <v>5.9816250524155401E-2</v>
      </c>
      <c r="N1712" s="1230">
        <v>2.2609237810172157E-4</v>
      </c>
    </row>
    <row r="1713" spans="1:14" ht="15.5" x14ac:dyDescent="0.35">
      <c r="A1713" s="198">
        <v>2043</v>
      </c>
      <c r="B1713" s="197" t="s">
        <v>5850</v>
      </c>
      <c r="C1713" s="197">
        <v>1989</v>
      </c>
      <c r="D1713" s="110" t="str">
        <f t="shared" si="14"/>
        <v>2043_1989</v>
      </c>
      <c r="E1713" s="1226">
        <v>0.12417080180501</v>
      </c>
      <c r="F1713" s="1227">
        <v>5.2947955539667996E-2</v>
      </c>
      <c r="G1713" s="1227">
        <v>5.1254378864031098</v>
      </c>
      <c r="H1713" s="1227">
        <v>0.71107578180790887</v>
      </c>
      <c r="I1713" s="1227">
        <v>5.7228626004498802E-2</v>
      </c>
      <c r="J1713" s="1227">
        <v>2.1631172190617414E-4</v>
      </c>
      <c r="K1713" s="1227">
        <v>3.0000008603782999E-3</v>
      </c>
      <c r="L1713" s="1228">
        <v>2.79630635868411E-2</v>
      </c>
      <c r="M1713" s="1229">
        <v>5.9816250524155401E-2</v>
      </c>
      <c r="N1713" s="1230">
        <v>2.2609237810172157E-4</v>
      </c>
    </row>
    <row r="1714" spans="1:14" ht="15.5" x14ac:dyDescent="0.35">
      <c r="A1714" s="198">
        <v>2043</v>
      </c>
      <c r="B1714" s="197" t="s">
        <v>5850</v>
      </c>
      <c r="C1714" s="197">
        <v>1990</v>
      </c>
      <c r="D1714" s="110" t="str">
        <f t="shared" si="14"/>
        <v>2043_1990</v>
      </c>
      <c r="E1714" s="1226">
        <v>0.12417080180501</v>
      </c>
      <c r="F1714" s="1227">
        <v>5.2947955539667996E-2</v>
      </c>
      <c r="G1714" s="1227">
        <v>5.1254378864031098</v>
      </c>
      <c r="H1714" s="1227">
        <v>0.71107578180790887</v>
      </c>
      <c r="I1714" s="1227">
        <v>5.7228626004498802E-2</v>
      </c>
      <c r="J1714" s="1227">
        <v>2.1631172190617414E-4</v>
      </c>
      <c r="K1714" s="1227">
        <v>3.0000008603782999E-3</v>
      </c>
      <c r="L1714" s="1228">
        <v>2.79630635868411E-2</v>
      </c>
      <c r="M1714" s="1229">
        <v>5.9816250524155401E-2</v>
      </c>
      <c r="N1714" s="1230">
        <v>2.2609237810172157E-4</v>
      </c>
    </row>
    <row r="1715" spans="1:14" ht="15.5" x14ac:dyDescent="0.35">
      <c r="A1715" s="198">
        <v>2043</v>
      </c>
      <c r="B1715" s="197" t="s">
        <v>5850</v>
      </c>
      <c r="C1715" s="197">
        <v>1991</v>
      </c>
      <c r="D1715" s="110" t="str">
        <f t="shared" si="14"/>
        <v>2043_1991</v>
      </c>
      <c r="E1715" s="1226">
        <v>0.12417080180501</v>
      </c>
      <c r="F1715" s="1227">
        <v>5.2947955539667996E-2</v>
      </c>
      <c r="G1715" s="1227">
        <v>5.1254378864031098</v>
      </c>
      <c r="H1715" s="1227">
        <v>0.71107578180790887</v>
      </c>
      <c r="I1715" s="1227">
        <v>5.7228626004498802E-2</v>
      </c>
      <c r="J1715" s="1227">
        <v>2.1631172190617414E-4</v>
      </c>
      <c r="K1715" s="1227">
        <v>3.0000008603782999E-3</v>
      </c>
      <c r="L1715" s="1228">
        <v>2.79630635868411E-2</v>
      </c>
      <c r="M1715" s="1229">
        <v>5.9816250524155401E-2</v>
      </c>
      <c r="N1715" s="1230">
        <v>2.2609237810172157E-4</v>
      </c>
    </row>
    <row r="1716" spans="1:14" ht="15.5" x14ac:dyDescent="0.35">
      <c r="A1716" s="198">
        <v>2043</v>
      </c>
      <c r="B1716" s="197" t="s">
        <v>5850</v>
      </c>
      <c r="C1716" s="197">
        <v>1992</v>
      </c>
      <c r="D1716" s="110" t="str">
        <f t="shared" si="14"/>
        <v>2043_1992</v>
      </c>
      <c r="E1716" s="1226">
        <v>0.12417080180501</v>
      </c>
      <c r="F1716" s="1227">
        <v>5.2947955539667996E-2</v>
      </c>
      <c r="G1716" s="1227">
        <v>5.1254378864031098</v>
      </c>
      <c r="H1716" s="1227">
        <v>0.71107578180790887</v>
      </c>
      <c r="I1716" s="1227">
        <v>5.7228626004498802E-2</v>
      </c>
      <c r="J1716" s="1227">
        <v>2.1631172190617414E-4</v>
      </c>
      <c r="K1716" s="1227">
        <v>3.0000008603782999E-3</v>
      </c>
      <c r="L1716" s="1228">
        <v>2.79630635868411E-2</v>
      </c>
      <c r="M1716" s="1229">
        <v>5.9816250524155401E-2</v>
      </c>
      <c r="N1716" s="1230">
        <v>2.2609237810172157E-4</v>
      </c>
    </row>
    <row r="1717" spans="1:14" ht="15.5" x14ac:dyDescent="0.35">
      <c r="A1717" s="198">
        <v>2043</v>
      </c>
      <c r="B1717" s="197" t="s">
        <v>5850</v>
      </c>
      <c r="C1717" s="197">
        <v>1993</v>
      </c>
      <c r="D1717" s="110" t="str">
        <f t="shared" si="14"/>
        <v>2043_1993</v>
      </c>
      <c r="E1717" s="1226">
        <v>0.12417080180501</v>
      </c>
      <c r="F1717" s="1227">
        <v>5.2947955539667996E-2</v>
      </c>
      <c r="G1717" s="1227">
        <v>5.1254378864031098</v>
      </c>
      <c r="H1717" s="1227">
        <v>0.71107578180790887</v>
      </c>
      <c r="I1717" s="1227">
        <v>5.7228626004498802E-2</v>
      </c>
      <c r="J1717" s="1227">
        <v>2.1631172190617414E-4</v>
      </c>
      <c r="K1717" s="1227">
        <v>3.0000008603782999E-3</v>
      </c>
      <c r="L1717" s="1228">
        <v>2.79630635868411E-2</v>
      </c>
      <c r="M1717" s="1229">
        <v>5.9816250524155401E-2</v>
      </c>
      <c r="N1717" s="1230">
        <v>2.2609237810172157E-4</v>
      </c>
    </row>
    <row r="1718" spans="1:14" ht="15.5" x14ac:dyDescent="0.35">
      <c r="A1718" s="198">
        <v>2043</v>
      </c>
      <c r="B1718" s="197" t="s">
        <v>5850</v>
      </c>
      <c r="C1718" s="197">
        <v>1994</v>
      </c>
      <c r="D1718" s="110" t="str">
        <f t="shared" si="14"/>
        <v>2043_1994</v>
      </c>
      <c r="E1718" s="1226">
        <v>0.12417080180501</v>
      </c>
      <c r="F1718" s="1227">
        <v>5.2947955539667996E-2</v>
      </c>
      <c r="G1718" s="1227">
        <v>5.1254378864031098</v>
      </c>
      <c r="H1718" s="1227">
        <v>0.71107578180790887</v>
      </c>
      <c r="I1718" s="1227">
        <v>5.7228626004498802E-2</v>
      </c>
      <c r="J1718" s="1227">
        <v>2.1631172190617414E-4</v>
      </c>
      <c r="K1718" s="1227">
        <v>3.0000008603782999E-3</v>
      </c>
      <c r="L1718" s="1228">
        <v>2.79630635868411E-2</v>
      </c>
      <c r="M1718" s="1229">
        <v>5.9816250524155401E-2</v>
      </c>
      <c r="N1718" s="1230">
        <v>2.2609237810172157E-4</v>
      </c>
    </row>
    <row r="1719" spans="1:14" ht="15.5" x14ac:dyDescent="0.35">
      <c r="A1719" s="198">
        <v>2043</v>
      </c>
      <c r="B1719" s="197" t="s">
        <v>5850</v>
      </c>
      <c r="C1719" s="197">
        <v>1995</v>
      </c>
      <c r="D1719" s="110" t="str">
        <f t="shared" si="14"/>
        <v>2043_1995</v>
      </c>
      <c r="E1719" s="1226">
        <v>0.12417080180501</v>
      </c>
      <c r="F1719" s="1227">
        <v>5.2947955539667996E-2</v>
      </c>
      <c r="G1719" s="1227">
        <v>5.1254378864031098</v>
      </c>
      <c r="H1719" s="1227">
        <v>0.71107578180790887</v>
      </c>
      <c r="I1719" s="1227">
        <v>5.7228626004498802E-2</v>
      </c>
      <c r="J1719" s="1227">
        <v>2.1631172190617414E-4</v>
      </c>
      <c r="K1719" s="1227">
        <v>3.0000008603782999E-3</v>
      </c>
      <c r="L1719" s="1228">
        <v>2.79630635868411E-2</v>
      </c>
      <c r="M1719" s="1229">
        <v>5.9816250524155401E-2</v>
      </c>
      <c r="N1719" s="1230">
        <v>2.2609237810172157E-4</v>
      </c>
    </row>
    <row r="1720" spans="1:14" ht="15.5" x14ac:dyDescent="0.35">
      <c r="A1720" s="198">
        <v>2043</v>
      </c>
      <c r="B1720" s="197" t="s">
        <v>5850</v>
      </c>
      <c r="C1720" s="197">
        <v>1996</v>
      </c>
      <c r="D1720" s="110" t="str">
        <f t="shared" si="14"/>
        <v>2043_1996</v>
      </c>
      <c r="E1720" s="1226">
        <v>0.12417080180501</v>
      </c>
      <c r="F1720" s="1227">
        <v>5.2947955539667996E-2</v>
      </c>
      <c r="G1720" s="1227">
        <v>5.1254378864031098</v>
      </c>
      <c r="H1720" s="1227">
        <v>0.71107578180790887</v>
      </c>
      <c r="I1720" s="1227">
        <v>5.7228626004498802E-2</v>
      </c>
      <c r="J1720" s="1227">
        <v>2.1631172190617414E-4</v>
      </c>
      <c r="K1720" s="1227">
        <v>3.0000008603782999E-3</v>
      </c>
      <c r="L1720" s="1228">
        <v>2.79630635868411E-2</v>
      </c>
      <c r="M1720" s="1229">
        <v>5.9816250524155401E-2</v>
      </c>
      <c r="N1720" s="1230">
        <v>2.2609237810172157E-4</v>
      </c>
    </row>
    <row r="1721" spans="1:14" ht="15.5" x14ac:dyDescent="0.35">
      <c r="A1721" s="198">
        <v>2043</v>
      </c>
      <c r="B1721" s="197" t="s">
        <v>5850</v>
      </c>
      <c r="C1721" s="197">
        <v>1997</v>
      </c>
      <c r="D1721" s="110" t="str">
        <f t="shared" si="14"/>
        <v>2043_1997</v>
      </c>
      <c r="E1721" s="1226">
        <v>0.12417080180501</v>
      </c>
      <c r="F1721" s="1227">
        <v>5.2947955539667996E-2</v>
      </c>
      <c r="G1721" s="1227">
        <v>5.1254378864031098</v>
      </c>
      <c r="H1721" s="1227">
        <v>0.71107578180790887</v>
      </c>
      <c r="I1721" s="1227">
        <v>5.7228626004498802E-2</v>
      </c>
      <c r="J1721" s="1227">
        <v>2.1631172190617414E-4</v>
      </c>
      <c r="K1721" s="1227">
        <v>3.0000008603782999E-3</v>
      </c>
      <c r="L1721" s="1228">
        <v>2.79630635868411E-2</v>
      </c>
      <c r="M1721" s="1229">
        <v>5.9816250524155401E-2</v>
      </c>
      <c r="N1721" s="1230">
        <v>2.2609237810172157E-4</v>
      </c>
    </row>
    <row r="1722" spans="1:14" ht="15.5" x14ac:dyDescent="0.35">
      <c r="A1722" s="198">
        <v>2043</v>
      </c>
      <c r="B1722" s="197" t="s">
        <v>5850</v>
      </c>
      <c r="C1722" s="197">
        <v>1998</v>
      </c>
      <c r="D1722" s="110" t="str">
        <f t="shared" si="14"/>
        <v>2043_1998</v>
      </c>
      <c r="E1722" s="1226">
        <v>0.12417080180501</v>
      </c>
      <c r="F1722" s="1227">
        <v>5.2947955539667996E-2</v>
      </c>
      <c r="G1722" s="1227">
        <v>5.1254378864031098</v>
      </c>
      <c r="H1722" s="1227">
        <v>0.71107578180790887</v>
      </c>
      <c r="I1722" s="1227">
        <v>5.7228626004498802E-2</v>
      </c>
      <c r="J1722" s="1227">
        <v>2.1631172190617414E-4</v>
      </c>
      <c r="K1722" s="1227">
        <v>3.0000008603782999E-3</v>
      </c>
      <c r="L1722" s="1228">
        <v>2.79630635868411E-2</v>
      </c>
      <c r="M1722" s="1229">
        <v>5.9816250524155401E-2</v>
      </c>
      <c r="N1722" s="1230">
        <v>2.2609237810172157E-4</v>
      </c>
    </row>
    <row r="1723" spans="1:14" ht="15.5" x14ac:dyDescent="0.35">
      <c r="A1723" s="198">
        <v>2043</v>
      </c>
      <c r="B1723" s="197" t="s">
        <v>5850</v>
      </c>
      <c r="C1723" s="197">
        <v>1999</v>
      </c>
      <c r="D1723" s="110" t="str">
        <f t="shared" si="14"/>
        <v>2043_1999</v>
      </c>
      <c r="E1723" s="1226">
        <v>0.12417080180501</v>
      </c>
      <c r="F1723" s="1227">
        <v>5.2947955539667996E-2</v>
      </c>
      <c r="G1723" s="1227">
        <v>5.1254378864031098</v>
      </c>
      <c r="H1723" s="1227">
        <v>0.71107578180790887</v>
      </c>
      <c r="I1723" s="1227">
        <v>5.7228626004498802E-2</v>
      </c>
      <c r="J1723" s="1227">
        <v>2.1631172190617414E-4</v>
      </c>
      <c r="K1723" s="1227">
        <v>3.0000008603782999E-3</v>
      </c>
      <c r="L1723" s="1228">
        <v>2.79630635868411E-2</v>
      </c>
      <c r="M1723" s="1229">
        <v>5.9816250524155401E-2</v>
      </c>
      <c r="N1723" s="1230">
        <v>2.2609237810172157E-4</v>
      </c>
    </row>
    <row r="1724" spans="1:14" ht="15.5" x14ac:dyDescent="0.35">
      <c r="A1724" s="198">
        <v>2043</v>
      </c>
      <c r="B1724" s="197" t="s">
        <v>5850</v>
      </c>
      <c r="C1724" s="197">
        <v>2000</v>
      </c>
      <c r="D1724" s="110" t="str">
        <f t="shared" si="14"/>
        <v>2043_2000</v>
      </c>
      <c r="E1724" s="1226">
        <v>0.12417080180501</v>
      </c>
      <c r="F1724" s="1227">
        <v>5.2947955539667996E-2</v>
      </c>
      <c r="G1724" s="1227">
        <v>5.1254378864031098</v>
      </c>
      <c r="H1724" s="1227">
        <v>0.71107578180790887</v>
      </c>
      <c r="I1724" s="1227">
        <v>5.7228626004498802E-2</v>
      </c>
      <c r="J1724" s="1227">
        <v>2.1631172190617414E-4</v>
      </c>
      <c r="K1724" s="1227">
        <v>3.0000008603782999E-3</v>
      </c>
      <c r="L1724" s="1228">
        <v>2.79630635868411E-2</v>
      </c>
      <c r="M1724" s="1229">
        <v>5.9816250524155401E-2</v>
      </c>
      <c r="N1724" s="1230">
        <v>2.2609237810172157E-4</v>
      </c>
    </row>
    <row r="1725" spans="1:14" ht="15.5" x14ac:dyDescent="0.35">
      <c r="A1725" s="198">
        <v>2043</v>
      </c>
      <c r="B1725" s="197" t="s">
        <v>5850</v>
      </c>
      <c r="C1725" s="197">
        <v>2001</v>
      </c>
      <c r="D1725" s="110" t="str">
        <f t="shared" si="14"/>
        <v>2043_2001</v>
      </c>
      <c r="E1725" s="1226">
        <v>0.12417080180501</v>
      </c>
      <c r="F1725" s="1227">
        <v>5.2947955539667996E-2</v>
      </c>
      <c r="G1725" s="1227">
        <v>5.1254378864031098</v>
      </c>
      <c r="H1725" s="1227">
        <v>0.71107578180790887</v>
      </c>
      <c r="I1725" s="1227">
        <v>5.7228626004498802E-2</v>
      </c>
      <c r="J1725" s="1227">
        <v>2.1631172190617414E-4</v>
      </c>
      <c r="K1725" s="1227">
        <v>3.0000008603782999E-3</v>
      </c>
      <c r="L1725" s="1228">
        <v>2.79630635868411E-2</v>
      </c>
      <c r="M1725" s="1229">
        <v>5.9816250524155401E-2</v>
      </c>
      <c r="N1725" s="1230">
        <v>2.2609237810172157E-4</v>
      </c>
    </row>
    <row r="1726" spans="1:14" ht="15.5" x14ac:dyDescent="0.35">
      <c r="A1726" s="198">
        <v>2043</v>
      </c>
      <c r="B1726" s="197" t="s">
        <v>5850</v>
      </c>
      <c r="C1726" s="197">
        <v>2002</v>
      </c>
      <c r="D1726" s="110" t="str">
        <f t="shared" si="14"/>
        <v>2043_2002</v>
      </c>
      <c r="E1726" s="1226">
        <v>0.12417080180501</v>
      </c>
      <c r="F1726" s="1227">
        <v>5.2947955539667996E-2</v>
      </c>
      <c r="G1726" s="1227">
        <v>5.1254378864031098</v>
      </c>
      <c r="H1726" s="1227">
        <v>0.71107578180790887</v>
      </c>
      <c r="I1726" s="1227">
        <v>5.7228626004498802E-2</v>
      </c>
      <c r="J1726" s="1227">
        <v>2.1631172190617414E-4</v>
      </c>
      <c r="K1726" s="1227">
        <v>3.0000008603782999E-3</v>
      </c>
      <c r="L1726" s="1228">
        <v>2.79630635868411E-2</v>
      </c>
      <c r="M1726" s="1229">
        <v>5.9816250524155401E-2</v>
      </c>
      <c r="N1726" s="1230">
        <v>2.2609237810172157E-4</v>
      </c>
    </row>
    <row r="1727" spans="1:14" ht="15.5" x14ac:dyDescent="0.35">
      <c r="A1727" s="198">
        <v>2043</v>
      </c>
      <c r="B1727" s="197" t="s">
        <v>5850</v>
      </c>
      <c r="C1727" s="197">
        <v>2003</v>
      </c>
      <c r="D1727" s="110" t="str">
        <f t="shared" si="14"/>
        <v>2043_2003</v>
      </c>
      <c r="E1727" s="1226">
        <v>0.12417080180501</v>
      </c>
      <c r="F1727" s="1227">
        <v>5.2947955539667996E-2</v>
      </c>
      <c r="G1727" s="1227">
        <v>5.1254378864031098</v>
      </c>
      <c r="H1727" s="1227">
        <v>0.71107578180790887</v>
      </c>
      <c r="I1727" s="1227">
        <v>5.7228626004498802E-2</v>
      </c>
      <c r="J1727" s="1227">
        <v>2.1631172190617414E-4</v>
      </c>
      <c r="K1727" s="1227">
        <v>3.0000008603782999E-3</v>
      </c>
      <c r="L1727" s="1228">
        <v>2.79630635868411E-2</v>
      </c>
      <c r="M1727" s="1229">
        <v>5.9816250524155401E-2</v>
      </c>
      <c r="N1727" s="1230">
        <v>2.2609237810172157E-4</v>
      </c>
    </row>
    <row r="1728" spans="1:14" ht="15.5" x14ac:dyDescent="0.35">
      <c r="A1728" s="198">
        <v>2043</v>
      </c>
      <c r="B1728" s="197" t="s">
        <v>5850</v>
      </c>
      <c r="C1728" s="197">
        <v>2004</v>
      </c>
      <c r="D1728" s="110" t="str">
        <f t="shared" si="14"/>
        <v>2043_2004</v>
      </c>
      <c r="E1728" s="1226">
        <v>0.12417080180501</v>
      </c>
      <c r="F1728" s="1227">
        <v>5.2947955539667996E-2</v>
      </c>
      <c r="G1728" s="1227">
        <v>5.1254378864031098</v>
      </c>
      <c r="H1728" s="1227">
        <v>0.71107578180790887</v>
      </c>
      <c r="I1728" s="1227">
        <v>5.7228626004498802E-2</v>
      </c>
      <c r="J1728" s="1227">
        <v>2.1631172190617414E-4</v>
      </c>
      <c r="K1728" s="1227">
        <v>3.0000008603782999E-3</v>
      </c>
      <c r="L1728" s="1228">
        <v>2.79630635868411E-2</v>
      </c>
      <c r="M1728" s="1229">
        <v>5.9816250524155401E-2</v>
      </c>
      <c r="N1728" s="1230">
        <v>2.2609237810172157E-4</v>
      </c>
    </row>
    <row r="1729" spans="1:14" ht="15.5" x14ac:dyDescent="0.35">
      <c r="A1729" s="198">
        <v>2043</v>
      </c>
      <c r="B1729" s="197" t="s">
        <v>5850</v>
      </c>
      <c r="C1729" s="197">
        <v>2005</v>
      </c>
      <c r="D1729" s="110" t="str">
        <f t="shared" si="14"/>
        <v>2043_2005</v>
      </c>
      <c r="E1729" s="1226">
        <v>0.12417080180501</v>
      </c>
      <c r="F1729" s="1227">
        <v>5.2947955539667996E-2</v>
      </c>
      <c r="G1729" s="1227">
        <v>5.1254378864031098</v>
      </c>
      <c r="H1729" s="1227">
        <v>0.71107578180790887</v>
      </c>
      <c r="I1729" s="1227">
        <v>5.7228626004498802E-2</v>
      </c>
      <c r="J1729" s="1227">
        <v>2.1631172190617414E-4</v>
      </c>
      <c r="K1729" s="1227">
        <v>3.0000008603782999E-3</v>
      </c>
      <c r="L1729" s="1228">
        <v>2.79630635868411E-2</v>
      </c>
      <c r="M1729" s="1229">
        <v>5.9816250524155401E-2</v>
      </c>
      <c r="N1729" s="1230">
        <v>2.2609237810172157E-4</v>
      </c>
    </row>
    <row r="1730" spans="1:14" ht="15.5" x14ac:dyDescent="0.35">
      <c r="A1730" s="198">
        <v>2043</v>
      </c>
      <c r="B1730" s="197" t="s">
        <v>5850</v>
      </c>
      <c r="C1730" s="197">
        <v>2006</v>
      </c>
      <c r="D1730" s="110" t="str">
        <f t="shared" si="14"/>
        <v>2043_2006</v>
      </c>
      <c r="E1730" s="1226">
        <v>0.12417080180501</v>
      </c>
      <c r="F1730" s="1227">
        <v>5.2947955539667996E-2</v>
      </c>
      <c r="G1730" s="1227">
        <v>5.1254378864031098</v>
      </c>
      <c r="H1730" s="1227">
        <v>0.71107578180790887</v>
      </c>
      <c r="I1730" s="1227">
        <v>5.7228626004498802E-2</v>
      </c>
      <c r="J1730" s="1227">
        <v>2.1631172190617414E-4</v>
      </c>
      <c r="K1730" s="1227">
        <v>3.0000008603782999E-3</v>
      </c>
      <c r="L1730" s="1228">
        <v>2.79630635868411E-2</v>
      </c>
      <c r="M1730" s="1229">
        <v>5.9816250524155401E-2</v>
      </c>
      <c r="N1730" s="1230">
        <v>2.2609237810172157E-4</v>
      </c>
    </row>
    <row r="1731" spans="1:14" ht="15.5" x14ac:dyDescent="0.35">
      <c r="A1731" s="198">
        <v>2043</v>
      </c>
      <c r="B1731" s="197" t="s">
        <v>5850</v>
      </c>
      <c r="C1731" s="197">
        <v>2007</v>
      </c>
      <c r="D1731" s="110" t="str">
        <f t="shared" si="14"/>
        <v>2043_2007</v>
      </c>
      <c r="E1731" s="1226">
        <v>0.12417080180501</v>
      </c>
      <c r="F1731" s="1227">
        <v>5.2947955539667996E-2</v>
      </c>
      <c r="G1731" s="1227">
        <v>5.1254378864031098</v>
      </c>
      <c r="H1731" s="1227">
        <v>0.71107578180790887</v>
      </c>
      <c r="I1731" s="1227">
        <v>5.7228626004498802E-2</v>
      </c>
      <c r="J1731" s="1227">
        <v>2.1631172190617414E-4</v>
      </c>
      <c r="K1731" s="1227">
        <v>3.0000008603782999E-3</v>
      </c>
      <c r="L1731" s="1228">
        <v>2.79630635868411E-2</v>
      </c>
      <c r="M1731" s="1229">
        <v>5.9816250524155401E-2</v>
      </c>
      <c r="N1731" s="1230">
        <v>2.2609237810172157E-4</v>
      </c>
    </row>
    <row r="1732" spans="1:14" ht="15.5" x14ac:dyDescent="0.35">
      <c r="A1732" s="198">
        <v>2043</v>
      </c>
      <c r="B1732" s="197" t="s">
        <v>5850</v>
      </c>
      <c r="C1732" s="197">
        <v>2008</v>
      </c>
      <c r="D1732" s="110" t="str">
        <f t="shared" si="14"/>
        <v>2043_2008</v>
      </c>
      <c r="E1732" s="1226">
        <v>0.12417080180501</v>
      </c>
      <c r="F1732" s="1227">
        <v>5.2947955539667996E-2</v>
      </c>
      <c r="G1732" s="1227">
        <v>5.1254378864031098</v>
      </c>
      <c r="H1732" s="1227">
        <v>0.71107578180790887</v>
      </c>
      <c r="I1732" s="1227">
        <v>5.7228626004498802E-2</v>
      </c>
      <c r="J1732" s="1227">
        <v>2.1631172190617414E-4</v>
      </c>
      <c r="K1732" s="1227">
        <v>3.0000008603782999E-3</v>
      </c>
      <c r="L1732" s="1228">
        <v>2.79630635868411E-2</v>
      </c>
      <c r="M1732" s="1229">
        <v>5.9816250524155401E-2</v>
      </c>
      <c r="N1732" s="1230">
        <v>2.2609237810172157E-4</v>
      </c>
    </row>
    <row r="1733" spans="1:14" ht="15.5" x14ac:dyDescent="0.35">
      <c r="A1733" s="198">
        <v>2043</v>
      </c>
      <c r="B1733" s="197" t="s">
        <v>5850</v>
      </c>
      <c r="C1733" s="197">
        <v>2009</v>
      </c>
      <c r="D1733" s="110" t="str">
        <f t="shared" si="14"/>
        <v>2043_2009</v>
      </c>
      <c r="E1733" s="1226">
        <v>0.12417080180501</v>
      </c>
      <c r="F1733" s="1227">
        <v>5.2947955539667996E-2</v>
      </c>
      <c r="G1733" s="1227">
        <v>5.1254378864031098</v>
      </c>
      <c r="H1733" s="1227">
        <v>0.71107578180790887</v>
      </c>
      <c r="I1733" s="1227">
        <v>5.7228626004498802E-2</v>
      </c>
      <c r="J1733" s="1227">
        <v>2.1631172190617414E-4</v>
      </c>
      <c r="K1733" s="1227">
        <v>3.0000008603782999E-3</v>
      </c>
      <c r="L1733" s="1228">
        <v>2.79630635868411E-2</v>
      </c>
      <c r="M1733" s="1229">
        <v>5.9816250524155401E-2</v>
      </c>
      <c r="N1733" s="1230">
        <v>2.2609237810172157E-4</v>
      </c>
    </row>
    <row r="1734" spans="1:14" ht="15.5" x14ac:dyDescent="0.35">
      <c r="A1734" s="198">
        <v>2043</v>
      </c>
      <c r="B1734" s="197" t="s">
        <v>5850</v>
      </c>
      <c r="C1734" s="197">
        <v>2010</v>
      </c>
      <c r="D1734" s="110" t="str">
        <f t="shared" si="14"/>
        <v>2043_2010</v>
      </c>
      <c r="E1734" s="1226">
        <v>0.12417080180501</v>
      </c>
      <c r="F1734" s="1227">
        <v>5.2947955539667996E-2</v>
      </c>
      <c r="G1734" s="1227">
        <v>5.1254378864031098</v>
      </c>
      <c r="H1734" s="1227">
        <v>0.71107578180790887</v>
      </c>
      <c r="I1734" s="1227">
        <v>5.7228626004498802E-2</v>
      </c>
      <c r="J1734" s="1227">
        <v>2.1631172190617414E-4</v>
      </c>
      <c r="K1734" s="1227">
        <v>3.0000008603782999E-3</v>
      </c>
      <c r="L1734" s="1228">
        <v>2.79630635868411E-2</v>
      </c>
      <c r="M1734" s="1229">
        <v>5.9816250524155401E-2</v>
      </c>
      <c r="N1734" s="1230">
        <v>2.2609237810172157E-4</v>
      </c>
    </row>
    <row r="1735" spans="1:14" ht="15.5" x14ac:dyDescent="0.35">
      <c r="A1735" s="198">
        <v>2043</v>
      </c>
      <c r="B1735" s="197" t="s">
        <v>5850</v>
      </c>
      <c r="C1735" s="197">
        <v>2011</v>
      </c>
      <c r="D1735" s="110" t="str">
        <f t="shared" si="14"/>
        <v>2043_2011</v>
      </c>
      <c r="E1735" s="1231">
        <v>0.12417080180501</v>
      </c>
      <c r="F1735" s="1232">
        <v>5.2947955539667996E-2</v>
      </c>
      <c r="G1735" s="1232">
        <v>5.1254378864031098</v>
      </c>
      <c r="H1735" s="1232">
        <v>0.71107578180790887</v>
      </c>
      <c r="I1735" s="1232">
        <v>5.7228626004498802E-2</v>
      </c>
      <c r="J1735" s="1232">
        <v>2.1631172190617414E-4</v>
      </c>
      <c r="K1735" s="1232">
        <v>3.0000008603782999E-3</v>
      </c>
      <c r="L1735" s="1233">
        <v>2.79630635868411E-2</v>
      </c>
      <c r="M1735" s="1234">
        <v>5.9816250524155401E-2</v>
      </c>
      <c r="N1735" s="1235">
        <v>2.2609237810172157E-4</v>
      </c>
    </row>
    <row r="1736" spans="1:14" ht="15.5" x14ac:dyDescent="0.35">
      <c r="A1736" s="198">
        <v>2043</v>
      </c>
      <c r="B1736" s="197" t="s">
        <v>5850</v>
      </c>
      <c r="C1736" s="197">
        <v>2012</v>
      </c>
      <c r="D1736" s="110" t="str">
        <f t="shared" si="14"/>
        <v>2043_2012</v>
      </c>
      <c r="E1736" s="1231">
        <v>2.5042912771404999E-2</v>
      </c>
      <c r="F1736" s="1232">
        <v>5.3125404519264369E-2</v>
      </c>
      <c r="G1736" s="1232">
        <v>4.4684565812488701</v>
      </c>
      <c r="H1736" s="1232">
        <v>0.62777955023146326</v>
      </c>
      <c r="I1736" s="1232">
        <v>3.3199679607951303E-2</v>
      </c>
      <c r="J1736" s="1232">
        <v>2.1631172190617474E-4</v>
      </c>
      <c r="K1736" s="1232">
        <v>3.0000008603782999E-3</v>
      </c>
      <c r="L1736" s="1233">
        <v>2.79630635869852E-2</v>
      </c>
      <c r="M1736" s="1234">
        <v>3.4700821798426498E-2</v>
      </c>
      <c r="N1736" s="1235">
        <v>2.2609237810172222E-4</v>
      </c>
    </row>
    <row r="1737" spans="1:14" ht="15.5" x14ac:dyDescent="0.35">
      <c r="A1737" s="198">
        <v>2043</v>
      </c>
      <c r="B1737" s="197" t="s">
        <v>5850</v>
      </c>
      <c r="C1737" s="197">
        <v>2013</v>
      </c>
      <c r="D1737" s="110" t="str">
        <f t="shared" si="14"/>
        <v>2043_2013</v>
      </c>
      <c r="E1737" s="1231">
        <v>2.4725548326182501E-2</v>
      </c>
      <c r="F1737" s="1232">
        <v>5.3125404519264591E-2</v>
      </c>
      <c r="G1737" s="1232">
        <v>4.21661185092659</v>
      </c>
      <c r="H1737" s="1232">
        <v>0.62777955023146592</v>
      </c>
      <c r="I1737" s="1232">
        <v>3.2285410102116698E-2</v>
      </c>
      <c r="J1737" s="1232">
        <v>2.1631172190617566E-4</v>
      </c>
      <c r="K1737" s="1232">
        <v>3.0000008603782999E-3</v>
      </c>
      <c r="L1737" s="1233">
        <v>2.7963063586973001E-2</v>
      </c>
      <c r="M1737" s="1234">
        <v>3.3745213082548901E-2</v>
      </c>
      <c r="N1737" s="1235">
        <v>2.2609237810172314E-4</v>
      </c>
    </row>
    <row r="1738" spans="1:14" ht="15.5" x14ac:dyDescent="0.35">
      <c r="A1738" s="198">
        <v>2043</v>
      </c>
      <c r="B1738" s="197" t="s">
        <v>5850</v>
      </c>
      <c r="C1738" s="197">
        <v>2014</v>
      </c>
      <c r="D1738" s="110" t="str">
        <f t="shared" si="14"/>
        <v>2043_2014</v>
      </c>
      <c r="E1738" s="1231">
        <v>1.2166956782760099E-2</v>
      </c>
      <c r="F1738" s="1232">
        <v>5.3125404519264487E-2</v>
      </c>
      <c r="G1738" s="1232">
        <v>1.58784646867172</v>
      </c>
      <c r="H1738" s="1232">
        <v>0.6277795502314647</v>
      </c>
      <c r="I1738" s="1232">
        <v>3.7552360938432103E-2</v>
      </c>
      <c r="J1738" s="1232">
        <v>2.1631172190617526E-4</v>
      </c>
      <c r="K1738" s="1232">
        <v>3.0000008603782999E-3</v>
      </c>
      <c r="L1738" s="1233">
        <v>2.7963063586867402E-2</v>
      </c>
      <c r="M1738" s="1234">
        <v>3.9250312063934298E-2</v>
      </c>
      <c r="N1738" s="1235">
        <v>2.2609237810172273E-4</v>
      </c>
    </row>
    <row r="1739" spans="1:14" ht="15.5" x14ac:dyDescent="0.35">
      <c r="A1739" s="198">
        <v>2043</v>
      </c>
      <c r="B1739" s="197" t="s">
        <v>5850</v>
      </c>
      <c r="C1739" s="197">
        <v>2015</v>
      </c>
      <c r="D1739" s="110" t="str">
        <f t="shared" si="14"/>
        <v>2043_2015</v>
      </c>
      <c r="E1739" s="1231">
        <v>1.2166956782768501E-2</v>
      </c>
      <c r="F1739" s="1232">
        <v>5.3125404519264736E-2</v>
      </c>
      <c r="G1739" s="1232">
        <v>1.5878464686723699</v>
      </c>
      <c r="H1739" s="1232">
        <v>0.62777955023146759</v>
      </c>
      <c r="I1739" s="1232">
        <v>3.7552360938346102E-2</v>
      </c>
      <c r="J1739" s="1232">
        <v>2.1631172190617626E-4</v>
      </c>
      <c r="K1739" s="1232">
        <v>3.0000008603782999E-3</v>
      </c>
      <c r="L1739" s="1233">
        <v>2.79630635868942E-2</v>
      </c>
      <c r="M1739" s="1234">
        <v>3.9250312063844398E-2</v>
      </c>
      <c r="N1739" s="1235">
        <v>2.2609237810172376E-4</v>
      </c>
    </row>
    <row r="1740" spans="1:14" ht="15.5" x14ac:dyDescent="0.35">
      <c r="A1740" s="198">
        <v>2043</v>
      </c>
      <c r="B1740" s="197" t="s">
        <v>5850</v>
      </c>
      <c r="C1740" s="197">
        <v>2016</v>
      </c>
      <c r="D1740" s="110" t="str">
        <f t="shared" si="14"/>
        <v>2043_2016</v>
      </c>
      <c r="E1740" s="1231">
        <v>1.2166956782768201E-2</v>
      </c>
      <c r="F1740" s="1232">
        <v>5.3125404519264847E-2</v>
      </c>
      <c r="G1740" s="1232">
        <v>1.58784646867107</v>
      </c>
      <c r="H1740" s="1232">
        <v>0.62777955023146892</v>
      </c>
      <c r="I1740" s="1232">
        <v>3.7552360938264501E-2</v>
      </c>
      <c r="J1740" s="1232">
        <v>2.1631172190617672E-4</v>
      </c>
      <c r="K1740" s="1232">
        <v>3.0000008603782999E-3</v>
      </c>
      <c r="L1740" s="1233">
        <v>2.7963063586910399E-2</v>
      </c>
      <c r="M1740" s="1234">
        <v>3.9250312063759202E-2</v>
      </c>
      <c r="N1740" s="1235">
        <v>2.2609237810172425E-4</v>
      </c>
    </row>
    <row r="1741" spans="1:14" ht="15.5" x14ac:dyDescent="0.35">
      <c r="A1741" s="198">
        <v>2043</v>
      </c>
      <c r="B1741" s="197" t="s">
        <v>5850</v>
      </c>
      <c r="C1741" s="197">
        <v>2017</v>
      </c>
      <c r="D1741" s="110" t="str">
        <f t="shared" si="14"/>
        <v>2043_2017</v>
      </c>
      <c r="E1741" s="1231">
        <v>1.2376290767907401E-2</v>
      </c>
      <c r="F1741" s="1232">
        <v>5.3125404519264341E-2</v>
      </c>
      <c r="G1741" s="1232">
        <v>1.5878464686759</v>
      </c>
      <c r="H1741" s="1232">
        <v>0.62777955023146292</v>
      </c>
      <c r="I1741" s="1232">
        <v>3.0607505553707798E-2</v>
      </c>
      <c r="J1741" s="1232">
        <v>2.1631172190617463E-4</v>
      </c>
      <c r="K1741" s="1232">
        <v>3.0000008603782999E-3</v>
      </c>
      <c r="L1741" s="1233">
        <v>2.7963063586919499E-2</v>
      </c>
      <c r="M1741" s="1234">
        <v>3.1991441136052103E-2</v>
      </c>
      <c r="N1741" s="1235">
        <v>2.2609237810172211E-4</v>
      </c>
    </row>
    <row r="1742" spans="1:14" ht="15.5" x14ac:dyDescent="0.35">
      <c r="A1742" s="198">
        <v>2043</v>
      </c>
      <c r="B1742" s="197" t="s">
        <v>5850</v>
      </c>
      <c r="C1742" s="197">
        <v>2018</v>
      </c>
      <c r="D1742" s="110" t="str">
        <f t="shared" si="14"/>
        <v>2043_2018</v>
      </c>
      <c r="E1742" s="1231">
        <v>1.23762907679265E-2</v>
      </c>
      <c r="F1742" s="1232">
        <v>5.3125404519264806E-2</v>
      </c>
      <c r="G1742" s="1232">
        <v>1.58784646867338</v>
      </c>
      <c r="H1742" s="1232">
        <v>0.62777955023146859</v>
      </c>
      <c r="I1742" s="1232">
        <v>3.0607505553976899E-2</v>
      </c>
      <c r="J1742" s="1232">
        <v>2.1631172190617656E-4</v>
      </c>
      <c r="K1742" s="1232">
        <v>3.0000008603782999E-3</v>
      </c>
      <c r="L1742" s="1233">
        <v>2.7963063586823999E-2</v>
      </c>
      <c r="M1742" s="1234">
        <v>3.1991441136333398E-2</v>
      </c>
      <c r="N1742" s="1235">
        <v>2.2609237810172409E-4</v>
      </c>
    </row>
    <row r="1743" spans="1:14" ht="15.5" x14ac:dyDescent="0.35">
      <c r="A1743" s="199">
        <v>2043</v>
      </c>
      <c r="B1743" s="110" t="s">
        <v>5850</v>
      </c>
      <c r="C1743" s="110">
        <v>2019</v>
      </c>
      <c r="D1743" s="110" t="str">
        <f t="shared" si="14"/>
        <v>2043_2019</v>
      </c>
      <c r="E1743" s="1231">
        <v>1.2376290767850301E-2</v>
      </c>
      <c r="F1743" s="1232">
        <v>5.3125404519264348E-2</v>
      </c>
      <c r="G1743" s="1232">
        <v>1.5878464686736899</v>
      </c>
      <c r="H1743" s="1232">
        <v>0.62777955023146303</v>
      </c>
      <c r="I1743" s="1232">
        <v>3.0607505553320601E-2</v>
      </c>
      <c r="J1743" s="1232">
        <v>2.1631172190617466E-4</v>
      </c>
      <c r="K1743" s="1232">
        <v>3.0000008603782999E-3</v>
      </c>
      <c r="L1743" s="1233">
        <v>2.79630635870209E-2</v>
      </c>
      <c r="M1743" s="1234">
        <v>3.1991441135647301E-2</v>
      </c>
      <c r="N1743" s="1235">
        <v>2.2609237810172211E-4</v>
      </c>
    </row>
    <row r="1744" spans="1:14" ht="15.5" x14ac:dyDescent="0.35">
      <c r="A1744" s="199">
        <v>2043</v>
      </c>
      <c r="B1744" s="110" t="s">
        <v>5850</v>
      </c>
      <c r="C1744" s="110">
        <v>2020</v>
      </c>
      <c r="D1744" s="110" t="str">
        <f t="shared" si="14"/>
        <v>2043_2020</v>
      </c>
      <c r="E1744" s="1231">
        <v>1.2376290767913399E-2</v>
      </c>
      <c r="F1744" s="1232">
        <v>5.3125404519264598E-2</v>
      </c>
      <c r="G1744" s="1232">
        <v>1.5878464686762199</v>
      </c>
      <c r="H1744" s="1232">
        <v>0.62777955023146725</v>
      </c>
      <c r="I1744" s="1232">
        <v>3.0607505553754698E-2</v>
      </c>
      <c r="J1744" s="1232">
        <v>2.1631172190617572E-4</v>
      </c>
      <c r="K1744" s="1232">
        <v>3.0000008603782999E-3</v>
      </c>
      <c r="L1744" s="1233">
        <v>2.7963063586910499E-2</v>
      </c>
      <c r="M1744" s="1234">
        <v>3.1991441136101098E-2</v>
      </c>
      <c r="N1744" s="1235">
        <v>2.2609237810172317E-4</v>
      </c>
    </row>
    <row r="1745" spans="1:14" ht="15.5" x14ac:dyDescent="0.35">
      <c r="A1745" s="199">
        <v>2043</v>
      </c>
      <c r="B1745" s="110" t="s">
        <v>5850</v>
      </c>
      <c r="C1745" s="110">
        <v>2021</v>
      </c>
      <c r="D1745" s="110" t="str">
        <f t="shared" si="14"/>
        <v>2043_2021</v>
      </c>
      <c r="E1745" s="1231">
        <v>1.23762907679147E-2</v>
      </c>
      <c r="F1745" s="1232">
        <v>5.312540451926568E-2</v>
      </c>
      <c r="G1745" s="1232">
        <v>1.5878464686331599</v>
      </c>
      <c r="H1745" s="1232">
        <v>0.6277795502314788</v>
      </c>
      <c r="I1745" s="1232">
        <v>3.0607505555196E-2</v>
      </c>
      <c r="J1745" s="1232">
        <v>2.1631172190618011E-4</v>
      </c>
      <c r="K1745" s="1232">
        <v>3.0000008603782999E-3</v>
      </c>
      <c r="L1745" s="1233">
        <v>2.7963063586186901E-2</v>
      </c>
      <c r="M1745" s="1234">
        <v>3.1991441137607601E-2</v>
      </c>
      <c r="N1745" s="1235">
        <v>2.2609237810172783E-4</v>
      </c>
    </row>
    <row r="1746" spans="1:14" ht="15.5" x14ac:dyDescent="0.35">
      <c r="A1746" s="199">
        <v>2043</v>
      </c>
      <c r="B1746" s="110" t="s">
        <v>5850</v>
      </c>
      <c r="C1746" s="110">
        <v>2022</v>
      </c>
      <c r="D1746" s="110" t="str">
        <f t="shared" si="14"/>
        <v>2043_2022</v>
      </c>
      <c r="E1746" s="1231">
        <v>1.2376290767857999E-2</v>
      </c>
      <c r="F1746" s="1232">
        <v>5.3125404519264216E-2</v>
      </c>
      <c r="G1746" s="1232">
        <v>1.5878464686782101</v>
      </c>
      <c r="H1746" s="1232">
        <v>0.62777955023146148</v>
      </c>
      <c r="I1746" s="1232">
        <v>3.0607505553222301E-2</v>
      </c>
      <c r="J1746" s="1232">
        <v>2.1631172190617414E-4</v>
      </c>
      <c r="K1746" s="1232">
        <v>3.0000008603782999E-3</v>
      </c>
      <c r="L1746" s="1233">
        <v>2.7963063587080401E-2</v>
      </c>
      <c r="M1746" s="1234">
        <v>3.1991441135544703E-2</v>
      </c>
      <c r="N1746" s="1235">
        <v>2.2609237810172154E-4</v>
      </c>
    </row>
    <row r="1747" spans="1:14" ht="15.5" x14ac:dyDescent="0.35">
      <c r="A1747" s="199">
        <v>2043</v>
      </c>
      <c r="B1747" s="110" t="s">
        <v>5850</v>
      </c>
      <c r="C1747" s="110">
        <v>2023</v>
      </c>
      <c r="D1747" s="110" t="str">
        <f t="shared" si="14"/>
        <v>2043_2023</v>
      </c>
      <c r="E1747" s="1231">
        <v>1.23762907678781E-2</v>
      </c>
      <c r="F1747" s="1232">
        <v>5.3125404519264702E-2</v>
      </c>
      <c r="G1747" s="1232">
        <v>1.5154772071690401</v>
      </c>
      <c r="H1747" s="1232">
        <v>0.62777955023146725</v>
      </c>
      <c r="I1747" s="1232">
        <v>2.9568603994873401E-2</v>
      </c>
      <c r="J1747" s="1232">
        <v>2.1631172190617612E-4</v>
      </c>
      <c r="K1747" s="1232">
        <v>3.0000008603782999E-3</v>
      </c>
      <c r="L1747" s="1233">
        <v>2.79630635869819E-2</v>
      </c>
      <c r="M1747" s="1234">
        <v>3.0905565058784602E-2</v>
      </c>
      <c r="N1747" s="1235">
        <v>2.2609237810172363E-4</v>
      </c>
    </row>
    <row r="1748" spans="1:14" ht="15.5" x14ac:dyDescent="0.35">
      <c r="A1748" s="199">
        <v>2043</v>
      </c>
      <c r="B1748" s="110" t="s">
        <v>5850</v>
      </c>
      <c r="C1748" s="110">
        <v>2024</v>
      </c>
      <c r="D1748" s="110" t="str">
        <f t="shared" si="14"/>
        <v>2043_2024</v>
      </c>
      <c r="E1748" s="1231">
        <v>1.23762907679341E-2</v>
      </c>
      <c r="F1748" s="1232">
        <v>5.3125404519264403E-2</v>
      </c>
      <c r="G1748" s="1232">
        <v>1.5154772071662299</v>
      </c>
      <c r="H1748" s="1232">
        <v>0.6277795502314637</v>
      </c>
      <c r="I1748" s="1232">
        <v>2.9568603995430601E-2</v>
      </c>
      <c r="J1748" s="1232">
        <v>2.163117219061749E-4</v>
      </c>
      <c r="K1748" s="1232">
        <v>3.0000008603782999E-3</v>
      </c>
      <c r="L1748" s="1233">
        <v>2.79630635867919E-2</v>
      </c>
      <c r="M1748" s="1234">
        <v>3.0905565059367E-2</v>
      </c>
      <c r="N1748" s="1235">
        <v>2.2609237810172238E-4</v>
      </c>
    </row>
    <row r="1749" spans="1:14" ht="15.5" x14ac:dyDescent="0.35">
      <c r="A1749" s="199">
        <v>2043</v>
      </c>
      <c r="B1749" s="110" t="s">
        <v>5850</v>
      </c>
      <c r="C1749" s="110">
        <v>2025</v>
      </c>
      <c r="D1749" s="110" t="str">
        <f t="shared" si="14"/>
        <v>2043_2025</v>
      </c>
      <c r="E1749" s="1231">
        <v>1.23762907678849E-2</v>
      </c>
      <c r="F1749" s="1232">
        <v>5.312540451926448E-2</v>
      </c>
      <c r="G1749" s="1232">
        <v>1.38135719320827</v>
      </c>
      <c r="H1749" s="1232">
        <v>0.31842953028869425</v>
      </c>
      <c r="I1749" s="1232">
        <v>2.9568603994991401E-2</v>
      </c>
      <c r="J1749" s="1232">
        <v>2.163117219061752E-4</v>
      </c>
      <c r="K1749" s="1232">
        <v>3.0000008603782999E-3</v>
      </c>
      <c r="L1749" s="1233">
        <v>2.7963063586934799E-2</v>
      </c>
      <c r="M1749" s="1234">
        <v>3.0905565058907999E-2</v>
      </c>
      <c r="N1749" s="1235">
        <v>2.2609237810172268E-4</v>
      </c>
    </row>
    <row r="1750" spans="1:14" ht="15.5" x14ac:dyDescent="0.35">
      <c r="A1750" s="199">
        <v>2043</v>
      </c>
      <c r="B1750" s="110" t="s">
        <v>5850</v>
      </c>
      <c r="C1750" s="110">
        <v>2026</v>
      </c>
      <c r="D1750" s="110" t="str">
        <f t="shared" si="14"/>
        <v>2043_2026</v>
      </c>
      <c r="E1750" s="1231">
        <v>1.23762907678934E-2</v>
      </c>
      <c r="F1750" s="1232">
        <v>5.3125404519264549E-2</v>
      </c>
      <c r="G1750" s="1232">
        <v>1.38135719320828</v>
      </c>
      <c r="H1750" s="1232">
        <v>0.3184295302886947</v>
      </c>
      <c r="I1750" s="1232">
        <v>2.9568603995058201E-2</v>
      </c>
      <c r="J1750" s="1232">
        <v>2.1631172190617547E-4</v>
      </c>
      <c r="K1750" s="1232">
        <v>3.0000008603782999E-3</v>
      </c>
      <c r="L1750" s="1233">
        <v>3.0896713437208002E-2</v>
      </c>
      <c r="M1750" s="1234">
        <v>3.0905565058977801E-2</v>
      </c>
      <c r="N1750" s="1235">
        <v>2.2609237810172298E-4</v>
      </c>
    </row>
    <row r="1751" spans="1:14" ht="15.5" x14ac:dyDescent="0.35">
      <c r="A1751" s="199">
        <v>2043</v>
      </c>
      <c r="B1751" s="110" t="s">
        <v>5850</v>
      </c>
      <c r="C1751" s="110">
        <v>2027</v>
      </c>
      <c r="D1751" s="110" t="str">
        <f t="shared" si="14"/>
        <v>2043_2027</v>
      </c>
      <c r="E1751" s="1231">
        <v>1.2375231726961099E-2</v>
      </c>
      <c r="F1751" s="1232">
        <v>5.3125404519264528E-2</v>
      </c>
      <c r="G1751" s="1232">
        <v>1.38126796333749</v>
      </c>
      <c r="H1751" s="1232">
        <v>0.31842953028869458</v>
      </c>
      <c r="I1751" s="1232">
        <v>2.9564316495259702E-2</v>
      </c>
      <c r="J1751" s="1232">
        <v>2.1631172190617542E-4</v>
      </c>
      <c r="K1751" s="1232">
        <v>3.0000008603782999E-3</v>
      </c>
      <c r="L1751" s="1233">
        <v>3.08967134372037E-2</v>
      </c>
      <c r="M1751" s="1234">
        <v>3.0901083697463801E-2</v>
      </c>
      <c r="N1751" s="1235">
        <v>2.2609237810172287E-4</v>
      </c>
    </row>
    <row r="1752" spans="1:14" ht="15.5" x14ac:dyDescent="0.35">
      <c r="A1752" s="199">
        <v>2043</v>
      </c>
      <c r="B1752" s="110" t="s">
        <v>5850</v>
      </c>
      <c r="C1752" s="110">
        <v>2028</v>
      </c>
      <c r="D1752" s="110" t="str">
        <f t="shared" si="14"/>
        <v>2043_2028</v>
      </c>
      <c r="E1752" s="1231">
        <v>1.22229037723037E-2</v>
      </c>
      <c r="F1752" s="1232">
        <v>5.3125404519264563E-2</v>
      </c>
      <c r="G1752" s="1232">
        <v>1.25221662884587</v>
      </c>
      <c r="H1752" s="1232">
        <v>0.24109202530300214</v>
      </c>
      <c r="I1752" s="1232">
        <v>2.8581810305177001E-2</v>
      </c>
      <c r="J1752" s="1232">
        <v>2.1631172190617558E-4</v>
      </c>
      <c r="K1752" s="1232">
        <v>3.0000008603782999E-3</v>
      </c>
      <c r="L1752" s="1233">
        <v>3.0896713437215201E-2</v>
      </c>
      <c r="M1752" s="1234">
        <v>2.9874152937272299E-2</v>
      </c>
      <c r="N1752" s="1235">
        <v>2.2609237810172306E-4</v>
      </c>
    </row>
    <row r="1753" spans="1:14" ht="15.5" x14ac:dyDescent="0.35">
      <c r="A1753" s="199">
        <v>2043</v>
      </c>
      <c r="B1753" s="110" t="s">
        <v>5850</v>
      </c>
      <c r="C1753" s="110">
        <v>2029</v>
      </c>
      <c r="D1753" s="110" t="str">
        <f t="shared" si="14"/>
        <v>2043_2029</v>
      </c>
      <c r="E1753" s="1231">
        <v>1.20536504889995E-2</v>
      </c>
      <c r="F1753" s="1232">
        <v>4.781286406733809E-2</v>
      </c>
      <c r="G1753" s="1232">
        <v>1.2377598410891899</v>
      </c>
      <c r="H1753" s="1232">
        <v>0.21698282277270181</v>
      </c>
      <c r="I1753" s="1232">
        <v>2.7896592768086401E-2</v>
      </c>
      <c r="J1753" s="1232">
        <v>1.9468054971555793E-4</v>
      </c>
      <c r="K1753" s="1232">
        <v>3.0000008603782999E-3</v>
      </c>
      <c r="L1753" s="1233">
        <v>3.0896713437214601E-2</v>
      </c>
      <c r="M1753" s="1234">
        <v>2.9157952903762201E-2</v>
      </c>
      <c r="N1753" s="1235">
        <v>2.0348314029155066E-4</v>
      </c>
    </row>
    <row r="1754" spans="1:14" ht="15.5" x14ac:dyDescent="0.35">
      <c r="A1754" s="198">
        <v>2043</v>
      </c>
      <c r="B1754" s="197" t="s">
        <v>5850</v>
      </c>
      <c r="C1754" s="197">
        <v>2030</v>
      </c>
      <c r="D1754" s="110" t="str">
        <f t="shared" si="14"/>
        <v>2043_2030</v>
      </c>
      <c r="E1754" s="1231">
        <v>1.18655912853287E-2</v>
      </c>
      <c r="F1754" s="1232">
        <v>4.3031577660604232E-2</v>
      </c>
      <c r="G1754" s="1232">
        <v>1.22131432310765</v>
      </c>
      <c r="H1754" s="1232">
        <v>0.19528454049543142</v>
      </c>
      <c r="I1754" s="1232">
        <v>2.7135239949118699E-2</v>
      </c>
      <c r="J1754" s="1232">
        <v>1.7521249474400195E-4</v>
      </c>
      <c r="K1754" s="1232">
        <v>3.0000008603782999E-3</v>
      </c>
      <c r="L1754" s="1233">
        <v>3.0896713437201701E-2</v>
      </c>
      <c r="M1754" s="1234">
        <v>2.8362175088773901E-2</v>
      </c>
      <c r="N1754" s="1235">
        <v>1.8313482626239539E-4</v>
      </c>
    </row>
    <row r="1755" spans="1:14" ht="15.5" x14ac:dyDescent="0.35">
      <c r="A1755" s="198">
        <v>2043</v>
      </c>
      <c r="B1755" s="197" t="s">
        <v>5850</v>
      </c>
      <c r="C1755" s="197">
        <v>2031</v>
      </c>
      <c r="D1755" s="110" t="str">
        <f t="shared" si="14"/>
        <v>2043_2031</v>
      </c>
      <c r="E1755" s="1231">
        <v>1.16566366145767E-2</v>
      </c>
      <c r="F1755" s="1232">
        <v>3.8728419894543835E-2</v>
      </c>
      <c r="G1755" s="1232">
        <v>1.2025374541351399</v>
      </c>
      <c r="H1755" s="1232">
        <v>0.17575608644588842</v>
      </c>
      <c r="I1755" s="1232">
        <v>2.6289292372418602E-2</v>
      </c>
      <c r="J1755" s="1232">
        <v>1.5769124526960189E-4</v>
      </c>
      <c r="K1755" s="1232">
        <v>3.0000008603782999E-3</v>
      </c>
      <c r="L1755" s="1233">
        <v>3.08967134372174E-2</v>
      </c>
      <c r="M1755" s="1234">
        <v>2.74779775164922E-2</v>
      </c>
      <c r="N1755" s="1235">
        <v>1.6482134363615596E-4</v>
      </c>
    </row>
    <row r="1756" spans="1:14" ht="15.5" x14ac:dyDescent="0.35">
      <c r="A1756" s="199">
        <v>2043</v>
      </c>
      <c r="B1756" s="110" t="s">
        <v>5850</v>
      </c>
      <c r="C1756" s="110">
        <v>2032</v>
      </c>
      <c r="D1756" s="110" t="str">
        <f t="shared" si="14"/>
        <v>2043_2032</v>
      </c>
      <c r="E1756" s="1231">
        <v>1.1424464758190599E-2</v>
      </c>
      <c r="F1756" s="1232">
        <v>3.4855577905089689E-2</v>
      </c>
      <c r="G1756" s="1232">
        <v>1.1120034940743799</v>
      </c>
      <c r="H1756" s="1232">
        <v>0.15818047780130062</v>
      </c>
      <c r="I1756" s="1232">
        <v>2.35780581188412E-2</v>
      </c>
      <c r="J1756" s="1232">
        <v>1.4192212074264264E-4</v>
      </c>
      <c r="K1756" s="1232">
        <v>3.0000008603782999E-3</v>
      </c>
      <c r="L1756" s="1233">
        <v>3.0896713437219701E-2</v>
      </c>
      <c r="M1756" s="1234">
        <v>2.4644153280891899E-2</v>
      </c>
      <c r="N1756" s="1235">
        <v>1.4833920927254137E-4</v>
      </c>
    </row>
    <row r="1757" spans="1:14" ht="15.5" x14ac:dyDescent="0.35">
      <c r="A1757" s="199">
        <v>2043</v>
      </c>
      <c r="B1757" s="110" t="s">
        <v>5850</v>
      </c>
      <c r="C1757" s="110">
        <v>2033</v>
      </c>
      <c r="D1757" s="110" t="str">
        <f t="shared" si="14"/>
        <v>2043_2033</v>
      </c>
      <c r="E1757" s="1231">
        <v>1.11664960288717E-2</v>
      </c>
      <c r="F1757" s="1232">
        <v>3.1370020114580698E-2</v>
      </c>
      <c r="G1757" s="1232">
        <v>1.0887533551678901</v>
      </c>
      <c r="H1757" s="1232">
        <v>0.14236243002117047</v>
      </c>
      <c r="I1757" s="1232">
        <v>2.25336783945779E-2</v>
      </c>
      <c r="J1757" s="1232">
        <v>1.2772990866837826E-4</v>
      </c>
      <c r="K1757" s="1232">
        <v>3.0000008603782999E-3</v>
      </c>
      <c r="L1757" s="1233">
        <v>3.0896713437211201E-2</v>
      </c>
      <c r="M1757" s="1234">
        <v>2.3552551339863701E-2</v>
      </c>
      <c r="N1757" s="1235">
        <v>1.3350528834528714E-4</v>
      </c>
    </row>
    <row r="1758" spans="1:14" ht="15.5" x14ac:dyDescent="0.35">
      <c r="A1758" s="199">
        <v>2043</v>
      </c>
      <c r="B1758" s="110" t="s">
        <v>5850</v>
      </c>
      <c r="C1758" s="110">
        <v>2034</v>
      </c>
      <c r="D1758" s="110" t="str">
        <f t="shared" si="14"/>
        <v>2043_2034</v>
      </c>
      <c r="E1758" s="1231">
        <v>1.0879864107405201E-2</v>
      </c>
      <c r="F1758" s="1232">
        <v>2.8233018103122592E-2</v>
      </c>
      <c r="G1758" s="1232">
        <v>1.06175695196624</v>
      </c>
      <c r="H1758" s="1232">
        <v>0.12812618701905323</v>
      </c>
      <c r="I1758" s="1232">
        <v>2.13732564787057E-2</v>
      </c>
      <c r="J1758" s="1232">
        <v>1.149569178015403E-4</v>
      </c>
      <c r="K1758" s="1232">
        <v>3.0000008603782999E-3</v>
      </c>
      <c r="L1758" s="1233">
        <v>3.0896713437216401E-2</v>
      </c>
      <c r="M1758" s="1234">
        <v>2.2339660294251801E-2</v>
      </c>
      <c r="N1758" s="1235">
        <v>1.2015475951075827E-4</v>
      </c>
    </row>
    <row r="1759" spans="1:14" ht="15.5" x14ac:dyDescent="0.35">
      <c r="A1759" s="199">
        <v>2043</v>
      </c>
      <c r="B1759" s="110" t="s">
        <v>5850</v>
      </c>
      <c r="C1759" s="110">
        <v>2035</v>
      </c>
      <c r="D1759" s="110" t="str">
        <f t="shared" si="14"/>
        <v>2043_2035</v>
      </c>
      <c r="E1759" s="1231">
        <v>1.0561384194667499E-2</v>
      </c>
      <c r="F1759" s="1232">
        <v>2.5409716292810282E-2</v>
      </c>
      <c r="G1759" s="1232">
        <v>1.03013397506092</v>
      </c>
      <c r="H1759" s="1232">
        <v>0.11531356831714769</v>
      </c>
      <c r="I1759" s="1232">
        <v>2.00838987944294E-2</v>
      </c>
      <c r="J1759" s="1232">
        <v>1.0346122602138607E-4</v>
      </c>
      <c r="K1759" s="1232">
        <v>3.0000008603782999E-3</v>
      </c>
      <c r="L1759" s="1233">
        <v>3.0896713437208002E-2</v>
      </c>
      <c r="M1759" s="1234">
        <v>2.09920035769325E-2</v>
      </c>
      <c r="N1759" s="1235">
        <v>1.0813928355968222E-4</v>
      </c>
    </row>
    <row r="1760" spans="1:14" ht="15.5" x14ac:dyDescent="0.35">
      <c r="A1760" s="199">
        <v>2043</v>
      </c>
      <c r="B1760" s="110" t="s">
        <v>5850</v>
      </c>
      <c r="C1760" s="110">
        <v>2036</v>
      </c>
      <c r="D1760" s="110" t="str">
        <f t="shared" si="14"/>
        <v>2043_2036</v>
      </c>
      <c r="E1760" s="1231">
        <v>1.0207517624956201E-2</v>
      </c>
      <c r="F1760" s="1232">
        <v>2.540971629281016E-2</v>
      </c>
      <c r="G1760" s="1232">
        <v>0.99266034871978903</v>
      </c>
      <c r="H1760" s="1232">
        <v>0.11531356831714715</v>
      </c>
      <c r="I1760" s="1232">
        <v>1.8651279145209001E-2</v>
      </c>
      <c r="J1760" s="1232">
        <v>1.0346122602138557E-4</v>
      </c>
      <c r="K1760" s="1232">
        <v>3.0000008603782999E-3</v>
      </c>
      <c r="L1760" s="1233">
        <v>3.08967134372122E-2</v>
      </c>
      <c r="M1760" s="1234">
        <v>1.9494607224329899E-2</v>
      </c>
      <c r="N1760" s="1235">
        <v>1.0813928355968171E-4</v>
      </c>
    </row>
    <row r="1761" spans="1:14" ht="15.5" x14ac:dyDescent="0.35">
      <c r="A1761" s="199">
        <v>2043</v>
      </c>
      <c r="B1761" s="110" t="s">
        <v>5850</v>
      </c>
      <c r="C1761" s="110">
        <v>2037</v>
      </c>
      <c r="D1761" s="110" t="str">
        <f t="shared" si="14"/>
        <v>2043_2037</v>
      </c>
      <c r="E1761" s="1231">
        <v>9.8536510552459395E-3</v>
      </c>
      <c r="F1761" s="1232">
        <v>2.5409716292810275E-2</v>
      </c>
      <c r="G1761" s="1232">
        <v>0.95224434840904904</v>
      </c>
      <c r="H1761" s="1232">
        <v>0.1153135683171474</v>
      </c>
      <c r="I1761" s="1232">
        <v>1.72186594959957E-2</v>
      </c>
      <c r="J1761" s="1232">
        <v>1.0346122602138579E-4</v>
      </c>
      <c r="K1761" s="1232">
        <v>3.0000008603782999E-3</v>
      </c>
      <c r="L1761" s="1233">
        <v>3.0896713437213199E-2</v>
      </c>
      <c r="M1761" s="1234">
        <v>1.7997210871734701E-2</v>
      </c>
      <c r="N1761" s="1235">
        <v>1.0813928355968195E-4</v>
      </c>
    </row>
    <row r="1762" spans="1:14" ht="15.5" x14ac:dyDescent="0.35">
      <c r="A1762" s="199">
        <v>2043</v>
      </c>
      <c r="B1762" s="110" t="s">
        <v>5850</v>
      </c>
      <c r="C1762" s="110">
        <v>2038</v>
      </c>
      <c r="D1762" s="110" t="str">
        <f t="shared" si="14"/>
        <v>2043_2038</v>
      </c>
      <c r="E1762" s="1231">
        <v>9.4997844855356506E-3</v>
      </c>
      <c r="F1762" s="1232">
        <v>2.5409716292810136E-2</v>
      </c>
      <c r="G1762" s="1232">
        <v>0.90784257560951798</v>
      </c>
      <c r="H1762" s="1232">
        <v>0.11511151948961963</v>
      </c>
      <c r="I1762" s="1232">
        <v>1.6156820837844699E-2</v>
      </c>
      <c r="J1762" s="1232">
        <v>1.0346122602138546E-4</v>
      </c>
      <c r="K1762" s="1232">
        <v>3.0000008603782999E-3</v>
      </c>
      <c r="L1762" s="1233">
        <v>3.08967134372106E-2</v>
      </c>
      <c r="M1762" s="1234">
        <v>1.68873605813014E-2</v>
      </c>
      <c r="N1762" s="1235">
        <v>1.0813928355968161E-4</v>
      </c>
    </row>
    <row r="1763" spans="1:14" ht="15.5" x14ac:dyDescent="0.35">
      <c r="A1763" s="199">
        <v>2043</v>
      </c>
      <c r="B1763" s="110" t="s">
        <v>5850</v>
      </c>
      <c r="C1763" s="110">
        <v>2039</v>
      </c>
      <c r="D1763" s="110" t="str">
        <f t="shared" si="14"/>
        <v>2043_2039</v>
      </c>
      <c r="E1763" s="1231">
        <v>9.1459179158252298E-3</v>
      </c>
      <c r="F1763" s="1232">
        <v>2.5409716292810195E-2</v>
      </c>
      <c r="G1763" s="1232">
        <v>0.85229412966303397</v>
      </c>
      <c r="H1763" s="1232">
        <v>0.11111811517614967</v>
      </c>
      <c r="I1763" s="1232">
        <v>1.5110304685584899E-2</v>
      </c>
      <c r="J1763" s="1232">
        <v>1.0346122602138571E-4</v>
      </c>
      <c r="K1763" s="1232">
        <v>3.0000008603782999E-3</v>
      </c>
      <c r="L1763" s="1233">
        <v>3.0896713437209102E-2</v>
      </c>
      <c r="M1763" s="1234">
        <v>1.5793525612483001E-2</v>
      </c>
      <c r="N1763" s="1235">
        <v>1.0813928355968185E-4</v>
      </c>
    </row>
    <row r="1764" spans="1:14" ht="15.5" x14ac:dyDescent="0.35">
      <c r="A1764" s="199">
        <v>2043</v>
      </c>
      <c r="B1764" s="110" t="s">
        <v>5850</v>
      </c>
      <c r="C1764" s="110">
        <v>2040</v>
      </c>
      <c r="D1764" s="110" t="str">
        <f t="shared" si="14"/>
        <v>2043_2040</v>
      </c>
      <c r="E1764" s="1231">
        <v>8.7920513461135098E-3</v>
      </c>
      <c r="F1764" s="1232">
        <v>2.5409716292810174E-2</v>
      </c>
      <c r="G1764" s="1232">
        <v>0.78642330355656698</v>
      </c>
      <c r="H1764" s="1232">
        <v>0.10425269428176065</v>
      </c>
      <c r="I1764" s="1232">
        <v>1.40526959491E-2</v>
      </c>
      <c r="J1764" s="1232">
        <v>1.0346122602138561E-4</v>
      </c>
      <c r="K1764" s="1232">
        <v>3.0000008603782999E-3</v>
      </c>
      <c r="L1764" s="1233">
        <v>3.08967134372123E-2</v>
      </c>
      <c r="M1764" s="1234">
        <v>1.46880965020036E-2</v>
      </c>
      <c r="N1764" s="1235">
        <v>1.0813928355968176E-4</v>
      </c>
    </row>
    <row r="1765" spans="1:14" ht="15.5" x14ac:dyDescent="0.35">
      <c r="A1765" s="199">
        <v>2043</v>
      </c>
      <c r="B1765" s="110" t="s">
        <v>5850</v>
      </c>
      <c r="C1765" s="110">
        <v>2041</v>
      </c>
      <c r="D1765" s="110" t="str">
        <f t="shared" si="14"/>
        <v>2043_2041</v>
      </c>
      <c r="E1765" s="1231">
        <v>8.4381847764040396E-3</v>
      </c>
      <c r="F1765" s="1232">
        <v>2.5409716292810157E-2</v>
      </c>
      <c r="G1765" s="1232">
        <v>0.71003313940155699</v>
      </c>
      <c r="H1765" s="1232">
        <v>9.5434595711475154E-2</v>
      </c>
      <c r="I1765" s="1232">
        <v>1.30117551221743E-2</v>
      </c>
      <c r="J1765" s="1232">
        <v>1.0346122602138556E-4</v>
      </c>
      <c r="K1765" s="1232">
        <v>3.0000008603782999E-3</v>
      </c>
      <c r="L1765" s="1233">
        <v>3.0896713437210802E-2</v>
      </c>
      <c r="M1765" s="1234">
        <v>1.3600088949990799E-2</v>
      </c>
      <c r="N1765" s="1235">
        <v>1.0813928355968169E-4</v>
      </c>
    </row>
    <row r="1766" spans="1:14" ht="15.5" x14ac:dyDescent="0.35">
      <c r="A1766" s="199">
        <v>2043</v>
      </c>
      <c r="B1766" s="110" t="s">
        <v>5850</v>
      </c>
      <c r="C1766" s="110">
        <v>2042</v>
      </c>
      <c r="D1766" s="110" t="str">
        <f t="shared" si="14"/>
        <v>2043_2042</v>
      </c>
      <c r="E1766" s="1231">
        <v>8.0843182066929007E-3</v>
      </c>
      <c r="F1766" s="1232">
        <v>2.540971629281015E-2</v>
      </c>
      <c r="G1766" s="1232">
        <v>0.62078713117127604</v>
      </c>
      <c r="H1766" s="1232">
        <v>8.5583157869876747E-2</v>
      </c>
      <c r="I1766" s="1232">
        <v>1.20065598575509E-2</v>
      </c>
      <c r="J1766" s="1232">
        <v>1.0346122602138553E-4</v>
      </c>
      <c r="K1766" s="1232">
        <v>3.0000008603782999E-3</v>
      </c>
      <c r="L1766" s="1233">
        <v>3.08967134372116E-2</v>
      </c>
      <c r="M1766" s="1234">
        <v>1.25494432159891E-2</v>
      </c>
      <c r="N1766" s="1235">
        <v>1.0813928355968167E-4</v>
      </c>
    </row>
    <row r="1767" spans="1:14" ht="15.5" x14ac:dyDescent="0.35">
      <c r="A1767" s="199">
        <v>2043</v>
      </c>
      <c r="B1767" s="110" t="s">
        <v>5850</v>
      </c>
      <c r="C1767" s="110">
        <v>2043</v>
      </c>
      <c r="D1767" s="110" t="str">
        <f t="shared" si="14"/>
        <v>2043_2043</v>
      </c>
      <c r="E1767" s="1231">
        <v>7.7307119780799897E-3</v>
      </c>
      <c r="F1767" s="1232">
        <v>2.5409718549006709E-2</v>
      </c>
      <c r="G1767" s="1232">
        <v>0.51042227270332297</v>
      </c>
      <c r="H1767" s="1232">
        <v>7.5617726626508258E-2</v>
      </c>
      <c r="I1767" s="1232">
        <v>1.10492366163866E-2</v>
      </c>
      <c r="J1767" s="1232">
        <v>1.0346123520798451E-4</v>
      </c>
      <c r="K1767" s="1232">
        <v>3.0000008603779599E-3</v>
      </c>
      <c r="L1767" s="1233">
        <v>3.0894906960045699E-2</v>
      </c>
      <c r="M1767" s="1234">
        <v>1.1548834065918299E-2</v>
      </c>
      <c r="N1767" s="1235">
        <v>1.0813929316165777E-4</v>
      </c>
    </row>
    <row r="1768" spans="1:14" ht="15.5" x14ac:dyDescent="0.35">
      <c r="A1768" s="199">
        <v>2043</v>
      </c>
      <c r="B1768" s="110" t="s">
        <v>5850</v>
      </c>
      <c r="C1768" s="110">
        <v>2044</v>
      </c>
      <c r="D1768" s="110" t="str">
        <f t="shared" si="14"/>
        <v>2043_2044</v>
      </c>
      <c r="E1768" s="1231">
        <v>7.3754123766746598E-3</v>
      </c>
      <c r="F1768" s="1232">
        <v>6.0983293532863865E-2</v>
      </c>
      <c r="G1768" s="1232">
        <v>0.350716020849626</v>
      </c>
      <c r="H1768" s="1232">
        <v>0.18148245169494359</v>
      </c>
      <c r="I1768" s="1232">
        <v>1.01378076395918E-2</v>
      </c>
      <c r="J1768" s="1232">
        <v>2.483068383379563E-4</v>
      </c>
      <c r="K1768" s="1232">
        <v>3.0000008603799102E-3</v>
      </c>
      <c r="L1768" s="1233">
        <v>3.09052409485902E-2</v>
      </c>
      <c r="M1768" s="1234">
        <v>1.0596194315199E-2</v>
      </c>
      <c r="N1768" s="1235">
        <v>2.5953417172232257E-4</v>
      </c>
    </row>
    <row r="1769" spans="1:14" ht="15.5" x14ac:dyDescent="0.35">
      <c r="A1769" s="199">
        <v>2044</v>
      </c>
      <c r="B1769" s="110" t="s">
        <v>5850</v>
      </c>
      <c r="C1769" s="110">
        <v>1971</v>
      </c>
      <c r="D1769" s="110" t="str">
        <f t="shared" si="14"/>
        <v>2044_1971</v>
      </c>
      <c r="E1769" s="1226">
        <v>0.124170801871889</v>
      </c>
      <c r="F1769" s="1227">
        <v>5.2947862451144904E-2</v>
      </c>
      <c r="G1769" s="1227">
        <v>5.1254379002384303</v>
      </c>
      <c r="H1769" s="1227">
        <v>0.7110745316558732</v>
      </c>
      <c r="I1769" s="1227">
        <v>5.7228626924874501E-2</v>
      </c>
      <c r="J1769" s="1227">
        <v>2.1631134160558438E-4</v>
      </c>
      <c r="K1769" s="1227">
        <v>3.0000008603782999E-3</v>
      </c>
      <c r="L1769" s="1228">
        <v>2.7963063391131901E-2</v>
      </c>
      <c r="M1769" s="1229">
        <v>5.9816251486146499E-2</v>
      </c>
      <c r="N1769" s="1230">
        <v>2.2609198060562666E-4</v>
      </c>
    </row>
    <row r="1770" spans="1:14" ht="15.5" x14ac:dyDescent="0.35">
      <c r="A1770" s="199">
        <v>2044</v>
      </c>
      <c r="B1770" s="110" t="s">
        <v>5850</v>
      </c>
      <c r="C1770" s="110">
        <v>1972</v>
      </c>
      <c r="D1770" s="110" t="str">
        <f t="shared" si="14"/>
        <v>2044_1972</v>
      </c>
      <c r="E1770" s="1226">
        <v>0.124170801871889</v>
      </c>
      <c r="F1770" s="1227">
        <v>5.2947862451144904E-2</v>
      </c>
      <c r="G1770" s="1227">
        <v>5.1254379002384303</v>
      </c>
      <c r="H1770" s="1227">
        <v>0.7110745316558732</v>
      </c>
      <c r="I1770" s="1227">
        <v>5.7228626924874501E-2</v>
      </c>
      <c r="J1770" s="1227">
        <v>2.1631134160558438E-4</v>
      </c>
      <c r="K1770" s="1227">
        <v>3.0000008603782999E-3</v>
      </c>
      <c r="L1770" s="1228">
        <v>2.7963063391131901E-2</v>
      </c>
      <c r="M1770" s="1229">
        <v>5.9816251486146499E-2</v>
      </c>
      <c r="N1770" s="1230">
        <v>2.2609198060562666E-4</v>
      </c>
    </row>
    <row r="1771" spans="1:14" ht="15.5" x14ac:dyDescent="0.35">
      <c r="A1771" s="199">
        <v>2044</v>
      </c>
      <c r="B1771" s="110" t="s">
        <v>5850</v>
      </c>
      <c r="C1771" s="110">
        <v>1973</v>
      </c>
      <c r="D1771" s="110" t="str">
        <f t="shared" si="14"/>
        <v>2044_1973</v>
      </c>
      <c r="E1771" s="1226">
        <v>0.124170801871889</v>
      </c>
      <c r="F1771" s="1227">
        <v>5.2947862451144904E-2</v>
      </c>
      <c r="G1771" s="1227">
        <v>5.1254379002384303</v>
      </c>
      <c r="H1771" s="1227">
        <v>0.7110745316558732</v>
      </c>
      <c r="I1771" s="1227">
        <v>5.7228626924874501E-2</v>
      </c>
      <c r="J1771" s="1227">
        <v>2.1631134160558438E-4</v>
      </c>
      <c r="K1771" s="1227">
        <v>3.0000008603782999E-3</v>
      </c>
      <c r="L1771" s="1228">
        <v>2.7963063391131901E-2</v>
      </c>
      <c r="M1771" s="1229">
        <v>5.9816251486146499E-2</v>
      </c>
      <c r="N1771" s="1230">
        <v>2.2609198060562666E-4</v>
      </c>
    </row>
    <row r="1772" spans="1:14" ht="15.5" x14ac:dyDescent="0.35">
      <c r="A1772" s="199">
        <v>2044</v>
      </c>
      <c r="B1772" s="110" t="s">
        <v>5850</v>
      </c>
      <c r="C1772" s="110">
        <v>1974</v>
      </c>
      <c r="D1772" s="110" t="str">
        <f t="shared" si="14"/>
        <v>2044_1974</v>
      </c>
      <c r="E1772" s="1226">
        <v>0.124170801871889</v>
      </c>
      <c r="F1772" s="1227">
        <v>5.2947862451144904E-2</v>
      </c>
      <c r="G1772" s="1227">
        <v>5.1254379002384303</v>
      </c>
      <c r="H1772" s="1227">
        <v>0.7110745316558732</v>
      </c>
      <c r="I1772" s="1227">
        <v>5.7228626924874501E-2</v>
      </c>
      <c r="J1772" s="1227">
        <v>2.1631134160558438E-4</v>
      </c>
      <c r="K1772" s="1227">
        <v>3.0000008603782999E-3</v>
      </c>
      <c r="L1772" s="1228">
        <v>2.7963063391131901E-2</v>
      </c>
      <c r="M1772" s="1229">
        <v>5.9816251486146499E-2</v>
      </c>
      <c r="N1772" s="1230">
        <v>2.2609198060562666E-4</v>
      </c>
    </row>
    <row r="1773" spans="1:14" ht="15.5" x14ac:dyDescent="0.35">
      <c r="A1773" s="199">
        <v>2044</v>
      </c>
      <c r="B1773" s="110" t="s">
        <v>5850</v>
      </c>
      <c r="C1773" s="110">
        <v>1975</v>
      </c>
      <c r="D1773" s="110" t="str">
        <f t="shared" si="14"/>
        <v>2044_1975</v>
      </c>
      <c r="E1773" s="1226">
        <v>0.124170801871889</v>
      </c>
      <c r="F1773" s="1227">
        <v>5.2947862451144904E-2</v>
      </c>
      <c r="G1773" s="1227">
        <v>5.1254379002384303</v>
      </c>
      <c r="H1773" s="1227">
        <v>0.7110745316558732</v>
      </c>
      <c r="I1773" s="1227">
        <v>5.7228626924874501E-2</v>
      </c>
      <c r="J1773" s="1227">
        <v>2.1631134160558438E-4</v>
      </c>
      <c r="K1773" s="1227">
        <v>3.0000008603782999E-3</v>
      </c>
      <c r="L1773" s="1228">
        <v>2.7963063391131901E-2</v>
      </c>
      <c r="M1773" s="1229">
        <v>5.9816251486146499E-2</v>
      </c>
      <c r="N1773" s="1230">
        <v>2.2609198060562666E-4</v>
      </c>
    </row>
    <row r="1774" spans="1:14" ht="15.5" x14ac:dyDescent="0.35">
      <c r="A1774" s="199">
        <v>2044</v>
      </c>
      <c r="B1774" s="110" t="s">
        <v>5850</v>
      </c>
      <c r="C1774" s="110">
        <v>1976</v>
      </c>
      <c r="D1774" s="110" t="str">
        <f t="shared" si="14"/>
        <v>2044_1976</v>
      </c>
      <c r="E1774" s="1226">
        <v>0.124170801871889</v>
      </c>
      <c r="F1774" s="1227">
        <v>5.2947862451144904E-2</v>
      </c>
      <c r="G1774" s="1227">
        <v>5.1254379002384303</v>
      </c>
      <c r="H1774" s="1227">
        <v>0.7110745316558732</v>
      </c>
      <c r="I1774" s="1227">
        <v>5.7228626924874501E-2</v>
      </c>
      <c r="J1774" s="1227">
        <v>2.1631134160558438E-4</v>
      </c>
      <c r="K1774" s="1227">
        <v>3.0000008603782999E-3</v>
      </c>
      <c r="L1774" s="1228">
        <v>2.7963063391131901E-2</v>
      </c>
      <c r="M1774" s="1229">
        <v>5.9816251486146499E-2</v>
      </c>
      <c r="N1774" s="1230">
        <v>2.2609198060562666E-4</v>
      </c>
    </row>
    <row r="1775" spans="1:14" ht="15.5" x14ac:dyDescent="0.35">
      <c r="A1775" s="199">
        <v>2044</v>
      </c>
      <c r="B1775" s="110" t="s">
        <v>5850</v>
      </c>
      <c r="C1775" s="110">
        <v>1977</v>
      </c>
      <c r="D1775" s="110" t="str">
        <f t="shared" si="14"/>
        <v>2044_1977</v>
      </c>
      <c r="E1775" s="1226">
        <v>0.124170801871889</v>
      </c>
      <c r="F1775" s="1227">
        <v>5.2947862451144904E-2</v>
      </c>
      <c r="G1775" s="1227">
        <v>5.1254379002384303</v>
      </c>
      <c r="H1775" s="1227">
        <v>0.7110745316558732</v>
      </c>
      <c r="I1775" s="1227">
        <v>5.7228626924874501E-2</v>
      </c>
      <c r="J1775" s="1227">
        <v>2.1631134160558438E-4</v>
      </c>
      <c r="K1775" s="1227">
        <v>3.0000008603782999E-3</v>
      </c>
      <c r="L1775" s="1228">
        <v>2.7963063391131901E-2</v>
      </c>
      <c r="M1775" s="1229">
        <v>5.9816251486146499E-2</v>
      </c>
      <c r="N1775" s="1230">
        <v>2.2609198060562666E-4</v>
      </c>
    </row>
    <row r="1776" spans="1:14" ht="15.5" x14ac:dyDescent="0.35">
      <c r="A1776" s="199">
        <v>2044</v>
      </c>
      <c r="B1776" s="110" t="s">
        <v>5850</v>
      </c>
      <c r="C1776" s="110">
        <v>1978</v>
      </c>
      <c r="D1776" s="110" t="str">
        <f t="shared" si="14"/>
        <v>2044_1978</v>
      </c>
      <c r="E1776" s="1226">
        <v>0.124170801871889</v>
      </c>
      <c r="F1776" s="1227">
        <v>5.2947862451144904E-2</v>
      </c>
      <c r="G1776" s="1227">
        <v>5.1254379002384303</v>
      </c>
      <c r="H1776" s="1227">
        <v>0.7110745316558732</v>
      </c>
      <c r="I1776" s="1227">
        <v>5.7228626924874501E-2</v>
      </c>
      <c r="J1776" s="1227">
        <v>2.1631134160558438E-4</v>
      </c>
      <c r="K1776" s="1227">
        <v>3.0000008603782999E-3</v>
      </c>
      <c r="L1776" s="1228">
        <v>2.7963063391131901E-2</v>
      </c>
      <c r="M1776" s="1229">
        <v>5.9816251486146499E-2</v>
      </c>
      <c r="N1776" s="1230">
        <v>2.2609198060562666E-4</v>
      </c>
    </row>
    <row r="1777" spans="1:14" ht="15.5" x14ac:dyDescent="0.35">
      <c r="A1777" s="199">
        <v>2044</v>
      </c>
      <c r="B1777" s="110" t="s">
        <v>5850</v>
      </c>
      <c r="C1777" s="110">
        <v>1979</v>
      </c>
      <c r="D1777" s="110" t="str">
        <f t="shared" si="14"/>
        <v>2044_1979</v>
      </c>
      <c r="E1777" s="1226">
        <v>0.124170801871889</v>
      </c>
      <c r="F1777" s="1227">
        <v>5.2947862451144904E-2</v>
      </c>
      <c r="G1777" s="1227">
        <v>5.1254379002384303</v>
      </c>
      <c r="H1777" s="1227">
        <v>0.7110745316558732</v>
      </c>
      <c r="I1777" s="1227">
        <v>5.7228626924874501E-2</v>
      </c>
      <c r="J1777" s="1227">
        <v>2.1631134160558438E-4</v>
      </c>
      <c r="K1777" s="1227">
        <v>3.0000008603782999E-3</v>
      </c>
      <c r="L1777" s="1228">
        <v>2.7963063391131901E-2</v>
      </c>
      <c r="M1777" s="1229">
        <v>5.9816251486146499E-2</v>
      </c>
      <c r="N1777" s="1230">
        <v>2.2609198060562666E-4</v>
      </c>
    </row>
    <row r="1778" spans="1:14" ht="15.5" x14ac:dyDescent="0.35">
      <c r="A1778" s="199">
        <v>2044</v>
      </c>
      <c r="B1778" s="110" t="s">
        <v>5850</v>
      </c>
      <c r="C1778" s="110">
        <v>1980</v>
      </c>
      <c r="D1778" s="110" t="str">
        <f t="shared" si="14"/>
        <v>2044_1980</v>
      </c>
      <c r="E1778" s="1226">
        <v>0.124170801871889</v>
      </c>
      <c r="F1778" s="1227">
        <v>5.2947862451144904E-2</v>
      </c>
      <c r="G1778" s="1227">
        <v>5.1254379002384303</v>
      </c>
      <c r="H1778" s="1227">
        <v>0.7110745316558732</v>
      </c>
      <c r="I1778" s="1227">
        <v>5.7228626924874501E-2</v>
      </c>
      <c r="J1778" s="1227">
        <v>2.1631134160558438E-4</v>
      </c>
      <c r="K1778" s="1227">
        <v>3.0000008603782999E-3</v>
      </c>
      <c r="L1778" s="1228">
        <v>2.7963063391131901E-2</v>
      </c>
      <c r="M1778" s="1229">
        <v>5.9816251486146499E-2</v>
      </c>
      <c r="N1778" s="1230">
        <v>2.2609198060562666E-4</v>
      </c>
    </row>
    <row r="1779" spans="1:14" ht="15.5" x14ac:dyDescent="0.35">
      <c r="A1779" s="199">
        <v>2044</v>
      </c>
      <c r="B1779" s="110" t="s">
        <v>5850</v>
      </c>
      <c r="C1779" s="110">
        <v>1981</v>
      </c>
      <c r="D1779" s="110" t="str">
        <f t="shared" si="14"/>
        <v>2044_1981</v>
      </c>
      <c r="E1779" s="1226">
        <v>0.124170801871889</v>
      </c>
      <c r="F1779" s="1227">
        <v>5.2947862451144904E-2</v>
      </c>
      <c r="G1779" s="1227">
        <v>5.1254379002384303</v>
      </c>
      <c r="H1779" s="1227">
        <v>0.7110745316558732</v>
      </c>
      <c r="I1779" s="1227">
        <v>5.7228626924874501E-2</v>
      </c>
      <c r="J1779" s="1227">
        <v>2.1631134160558438E-4</v>
      </c>
      <c r="K1779" s="1227">
        <v>3.0000008603782999E-3</v>
      </c>
      <c r="L1779" s="1228">
        <v>2.7963063391131901E-2</v>
      </c>
      <c r="M1779" s="1229">
        <v>5.9816251486146499E-2</v>
      </c>
      <c r="N1779" s="1230">
        <v>2.2609198060562666E-4</v>
      </c>
    </row>
    <row r="1780" spans="1:14" ht="15.5" x14ac:dyDescent="0.35">
      <c r="A1780" s="199">
        <v>2044</v>
      </c>
      <c r="B1780" s="110" t="s">
        <v>5850</v>
      </c>
      <c r="C1780" s="110">
        <v>1982</v>
      </c>
      <c r="D1780" s="110" t="str">
        <f t="shared" si="14"/>
        <v>2044_1982</v>
      </c>
      <c r="E1780" s="1226">
        <v>0.124170801871889</v>
      </c>
      <c r="F1780" s="1227">
        <v>5.2947862451144904E-2</v>
      </c>
      <c r="G1780" s="1227">
        <v>5.1254379002384303</v>
      </c>
      <c r="H1780" s="1227">
        <v>0.7110745316558732</v>
      </c>
      <c r="I1780" s="1227">
        <v>5.7228626924874501E-2</v>
      </c>
      <c r="J1780" s="1227">
        <v>2.1631134160558438E-4</v>
      </c>
      <c r="K1780" s="1227">
        <v>3.0000008603782999E-3</v>
      </c>
      <c r="L1780" s="1228">
        <v>2.7963063391131901E-2</v>
      </c>
      <c r="M1780" s="1229">
        <v>5.9816251486146499E-2</v>
      </c>
      <c r="N1780" s="1230">
        <v>2.2609198060562666E-4</v>
      </c>
    </row>
    <row r="1781" spans="1:14" ht="15.5" x14ac:dyDescent="0.35">
      <c r="A1781" s="199">
        <v>2044</v>
      </c>
      <c r="B1781" s="110" t="s">
        <v>5850</v>
      </c>
      <c r="C1781" s="110">
        <v>1983</v>
      </c>
      <c r="D1781" s="110" t="str">
        <f t="shared" si="14"/>
        <v>2044_1983</v>
      </c>
      <c r="E1781" s="1226">
        <v>0.124170801871889</v>
      </c>
      <c r="F1781" s="1227">
        <v>5.2947862451144904E-2</v>
      </c>
      <c r="G1781" s="1227">
        <v>5.1254379002384303</v>
      </c>
      <c r="H1781" s="1227">
        <v>0.7110745316558732</v>
      </c>
      <c r="I1781" s="1227">
        <v>5.7228626924874501E-2</v>
      </c>
      <c r="J1781" s="1227">
        <v>2.1631134160558438E-4</v>
      </c>
      <c r="K1781" s="1227">
        <v>3.0000008603782999E-3</v>
      </c>
      <c r="L1781" s="1228">
        <v>2.7963063391131901E-2</v>
      </c>
      <c r="M1781" s="1229">
        <v>5.9816251486146499E-2</v>
      </c>
      <c r="N1781" s="1230">
        <v>2.2609198060562666E-4</v>
      </c>
    </row>
    <row r="1782" spans="1:14" ht="15.5" x14ac:dyDescent="0.35">
      <c r="A1782" s="199">
        <v>2044</v>
      </c>
      <c r="B1782" s="110" t="s">
        <v>5850</v>
      </c>
      <c r="C1782" s="110">
        <v>1984</v>
      </c>
      <c r="D1782" s="110" t="str">
        <f t="shared" si="14"/>
        <v>2044_1984</v>
      </c>
      <c r="E1782" s="1226">
        <v>0.124170801871889</v>
      </c>
      <c r="F1782" s="1227">
        <v>5.2947862451144904E-2</v>
      </c>
      <c r="G1782" s="1227">
        <v>5.1254379002384303</v>
      </c>
      <c r="H1782" s="1227">
        <v>0.7110745316558732</v>
      </c>
      <c r="I1782" s="1227">
        <v>5.7228626924874501E-2</v>
      </c>
      <c r="J1782" s="1227">
        <v>2.1631134160558438E-4</v>
      </c>
      <c r="K1782" s="1227">
        <v>3.0000008603782999E-3</v>
      </c>
      <c r="L1782" s="1228">
        <v>2.7963063391131901E-2</v>
      </c>
      <c r="M1782" s="1229">
        <v>5.9816251486146499E-2</v>
      </c>
      <c r="N1782" s="1230">
        <v>2.2609198060562666E-4</v>
      </c>
    </row>
    <row r="1783" spans="1:14" ht="15.5" x14ac:dyDescent="0.35">
      <c r="A1783" s="199">
        <v>2044</v>
      </c>
      <c r="B1783" s="110" t="s">
        <v>5850</v>
      </c>
      <c r="C1783" s="110">
        <v>1985</v>
      </c>
      <c r="D1783" s="110" t="str">
        <f t="shared" si="14"/>
        <v>2044_1985</v>
      </c>
      <c r="E1783" s="1226">
        <v>0.124170801871889</v>
      </c>
      <c r="F1783" s="1227">
        <v>5.2947862451144904E-2</v>
      </c>
      <c r="G1783" s="1227">
        <v>5.1254379002384303</v>
      </c>
      <c r="H1783" s="1227">
        <v>0.7110745316558732</v>
      </c>
      <c r="I1783" s="1227">
        <v>5.7228626924874501E-2</v>
      </c>
      <c r="J1783" s="1227">
        <v>2.1631134160558438E-4</v>
      </c>
      <c r="K1783" s="1227">
        <v>3.0000008603782999E-3</v>
      </c>
      <c r="L1783" s="1228">
        <v>2.7963063391131901E-2</v>
      </c>
      <c r="M1783" s="1229">
        <v>5.9816251486146499E-2</v>
      </c>
      <c r="N1783" s="1230">
        <v>2.2609198060562666E-4</v>
      </c>
    </row>
    <row r="1784" spans="1:14" ht="15.5" x14ac:dyDescent="0.35">
      <c r="A1784" s="199">
        <v>2044</v>
      </c>
      <c r="B1784" s="110" t="s">
        <v>5850</v>
      </c>
      <c r="C1784" s="110">
        <v>1986</v>
      </c>
      <c r="D1784" s="110" t="str">
        <f t="shared" si="14"/>
        <v>2044_1986</v>
      </c>
      <c r="E1784" s="1226">
        <v>0.124170801871889</v>
      </c>
      <c r="F1784" s="1227">
        <v>5.2947862451144904E-2</v>
      </c>
      <c r="G1784" s="1227">
        <v>5.1254379002384303</v>
      </c>
      <c r="H1784" s="1227">
        <v>0.7110745316558732</v>
      </c>
      <c r="I1784" s="1227">
        <v>5.7228626924874501E-2</v>
      </c>
      <c r="J1784" s="1227">
        <v>2.1631134160558438E-4</v>
      </c>
      <c r="K1784" s="1227">
        <v>3.0000008603782999E-3</v>
      </c>
      <c r="L1784" s="1228">
        <v>2.7963063391131901E-2</v>
      </c>
      <c r="M1784" s="1229">
        <v>5.9816251486146499E-2</v>
      </c>
      <c r="N1784" s="1230">
        <v>2.2609198060562666E-4</v>
      </c>
    </row>
    <row r="1785" spans="1:14" ht="15.5" x14ac:dyDescent="0.35">
      <c r="A1785" s="199">
        <v>2044</v>
      </c>
      <c r="B1785" s="110" t="s">
        <v>5850</v>
      </c>
      <c r="C1785" s="110">
        <v>1987</v>
      </c>
      <c r="D1785" s="110" t="str">
        <f t="shared" si="14"/>
        <v>2044_1987</v>
      </c>
      <c r="E1785" s="1226">
        <v>0.124170801871889</v>
      </c>
      <c r="F1785" s="1227">
        <v>5.2947862451144904E-2</v>
      </c>
      <c r="G1785" s="1227">
        <v>5.1254379002384303</v>
      </c>
      <c r="H1785" s="1227">
        <v>0.7110745316558732</v>
      </c>
      <c r="I1785" s="1227">
        <v>5.7228626924874501E-2</v>
      </c>
      <c r="J1785" s="1227">
        <v>2.1631134160558438E-4</v>
      </c>
      <c r="K1785" s="1227">
        <v>3.0000008603782999E-3</v>
      </c>
      <c r="L1785" s="1228">
        <v>2.7963063391131901E-2</v>
      </c>
      <c r="M1785" s="1229">
        <v>5.9816251486146499E-2</v>
      </c>
      <c r="N1785" s="1230">
        <v>2.2609198060562666E-4</v>
      </c>
    </row>
    <row r="1786" spans="1:14" ht="15.5" x14ac:dyDescent="0.35">
      <c r="A1786" s="199">
        <v>2044</v>
      </c>
      <c r="B1786" s="110" t="s">
        <v>5850</v>
      </c>
      <c r="C1786" s="110">
        <v>1988</v>
      </c>
      <c r="D1786" s="110" t="str">
        <f t="shared" si="14"/>
        <v>2044_1988</v>
      </c>
      <c r="E1786" s="1226">
        <v>0.124170801871889</v>
      </c>
      <c r="F1786" s="1227">
        <v>5.2947862451144904E-2</v>
      </c>
      <c r="G1786" s="1227">
        <v>5.1254379002384303</v>
      </c>
      <c r="H1786" s="1227">
        <v>0.7110745316558732</v>
      </c>
      <c r="I1786" s="1227">
        <v>5.7228626924874501E-2</v>
      </c>
      <c r="J1786" s="1227">
        <v>2.1631134160558438E-4</v>
      </c>
      <c r="K1786" s="1227">
        <v>3.0000008603782999E-3</v>
      </c>
      <c r="L1786" s="1228">
        <v>2.7963063391131901E-2</v>
      </c>
      <c r="M1786" s="1229">
        <v>5.9816251486146499E-2</v>
      </c>
      <c r="N1786" s="1230">
        <v>2.2609198060562666E-4</v>
      </c>
    </row>
    <row r="1787" spans="1:14" ht="15.5" x14ac:dyDescent="0.35">
      <c r="A1787" s="199">
        <v>2044</v>
      </c>
      <c r="B1787" s="110" t="s">
        <v>5850</v>
      </c>
      <c r="C1787" s="110">
        <v>1989</v>
      </c>
      <c r="D1787" s="110" t="str">
        <f t="shared" si="14"/>
        <v>2044_1989</v>
      </c>
      <c r="E1787" s="1226">
        <v>0.124170801871889</v>
      </c>
      <c r="F1787" s="1227">
        <v>5.2947862451144904E-2</v>
      </c>
      <c r="G1787" s="1227">
        <v>5.1254379002384303</v>
      </c>
      <c r="H1787" s="1227">
        <v>0.7110745316558732</v>
      </c>
      <c r="I1787" s="1227">
        <v>5.7228626924874501E-2</v>
      </c>
      <c r="J1787" s="1227">
        <v>2.1631134160558438E-4</v>
      </c>
      <c r="K1787" s="1227">
        <v>3.0000008603782999E-3</v>
      </c>
      <c r="L1787" s="1228">
        <v>2.7963063391131901E-2</v>
      </c>
      <c r="M1787" s="1229">
        <v>5.9816251486146499E-2</v>
      </c>
      <c r="N1787" s="1230">
        <v>2.2609198060562666E-4</v>
      </c>
    </row>
    <row r="1788" spans="1:14" ht="15.5" x14ac:dyDescent="0.35">
      <c r="A1788" s="199">
        <v>2044</v>
      </c>
      <c r="B1788" s="110" t="s">
        <v>5850</v>
      </c>
      <c r="C1788" s="110">
        <v>1990</v>
      </c>
      <c r="D1788" s="110" t="str">
        <f t="shared" si="14"/>
        <v>2044_1990</v>
      </c>
      <c r="E1788" s="1226">
        <v>0.124170801871889</v>
      </c>
      <c r="F1788" s="1227">
        <v>5.2947862451144904E-2</v>
      </c>
      <c r="G1788" s="1227">
        <v>5.1254379002384303</v>
      </c>
      <c r="H1788" s="1227">
        <v>0.7110745316558732</v>
      </c>
      <c r="I1788" s="1227">
        <v>5.7228626924874501E-2</v>
      </c>
      <c r="J1788" s="1227">
        <v>2.1631134160558438E-4</v>
      </c>
      <c r="K1788" s="1227">
        <v>3.0000008603782999E-3</v>
      </c>
      <c r="L1788" s="1228">
        <v>2.7963063391131901E-2</v>
      </c>
      <c r="M1788" s="1229">
        <v>5.9816251486146499E-2</v>
      </c>
      <c r="N1788" s="1230">
        <v>2.2609198060562666E-4</v>
      </c>
    </row>
    <row r="1789" spans="1:14" ht="15.5" x14ac:dyDescent="0.35">
      <c r="A1789" s="199">
        <v>2044</v>
      </c>
      <c r="B1789" s="110" t="s">
        <v>5850</v>
      </c>
      <c r="C1789" s="110">
        <v>1991</v>
      </c>
      <c r="D1789" s="110" t="str">
        <f t="shared" si="14"/>
        <v>2044_1991</v>
      </c>
      <c r="E1789" s="1226">
        <v>0.124170801871889</v>
      </c>
      <c r="F1789" s="1227">
        <v>5.2947862451144904E-2</v>
      </c>
      <c r="G1789" s="1227">
        <v>5.1254379002384303</v>
      </c>
      <c r="H1789" s="1227">
        <v>0.7110745316558732</v>
      </c>
      <c r="I1789" s="1227">
        <v>5.7228626924874501E-2</v>
      </c>
      <c r="J1789" s="1227">
        <v>2.1631134160558438E-4</v>
      </c>
      <c r="K1789" s="1227">
        <v>3.0000008603782999E-3</v>
      </c>
      <c r="L1789" s="1228">
        <v>2.7963063391131901E-2</v>
      </c>
      <c r="M1789" s="1229">
        <v>5.9816251486146499E-2</v>
      </c>
      <c r="N1789" s="1230">
        <v>2.2609198060562666E-4</v>
      </c>
    </row>
    <row r="1790" spans="1:14" ht="15.5" x14ac:dyDescent="0.35">
      <c r="A1790" s="199">
        <v>2044</v>
      </c>
      <c r="B1790" s="110" t="s">
        <v>5850</v>
      </c>
      <c r="C1790" s="110">
        <v>1992</v>
      </c>
      <c r="D1790" s="110" t="str">
        <f t="shared" si="14"/>
        <v>2044_1992</v>
      </c>
      <c r="E1790" s="1226">
        <v>0.124170801871889</v>
      </c>
      <c r="F1790" s="1227">
        <v>5.2947862451144904E-2</v>
      </c>
      <c r="G1790" s="1227">
        <v>5.1254379002384303</v>
      </c>
      <c r="H1790" s="1227">
        <v>0.7110745316558732</v>
      </c>
      <c r="I1790" s="1227">
        <v>5.7228626924874501E-2</v>
      </c>
      <c r="J1790" s="1227">
        <v>2.1631134160558438E-4</v>
      </c>
      <c r="K1790" s="1227">
        <v>3.0000008603782999E-3</v>
      </c>
      <c r="L1790" s="1228">
        <v>2.7963063391131901E-2</v>
      </c>
      <c r="M1790" s="1229">
        <v>5.9816251486146499E-2</v>
      </c>
      <c r="N1790" s="1230">
        <v>2.2609198060562666E-4</v>
      </c>
    </row>
    <row r="1791" spans="1:14" ht="15.5" x14ac:dyDescent="0.35">
      <c r="A1791" s="199">
        <v>2044</v>
      </c>
      <c r="B1791" s="110" t="s">
        <v>5850</v>
      </c>
      <c r="C1791" s="110">
        <v>1993</v>
      </c>
      <c r="D1791" s="110" t="str">
        <f t="shared" si="14"/>
        <v>2044_1993</v>
      </c>
      <c r="E1791" s="1226">
        <v>0.124170801871889</v>
      </c>
      <c r="F1791" s="1227">
        <v>5.2947862451144904E-2</v>
      </c>
      <c r="G1791" s="1227">
        <v>5.1254379002384303</v>
      </c>
      <c r="H1791" s="1227">
        <v>0.7110745316558732</v>
      </c>
      <c r="I1791" s="1227">
        <v>5.7228626924874501E-2</v>
      </c>
      <c r="J1791" s="1227">
        <v>2.1631134160558438E-4</v>
      </c>
      <c r="K1791" s="1227">
        <v>3.0000008603782999E-3</v>
      </c>
      <c r="L1791" s="1228">
        <v>2.7963063391131901E-2</v>
      </c>
      <c r="M1791" s="1229">
        <v>5.9816251486146499E-2</v>
      </c>
      <c r="N1791" s="1230">
        <v>2.2609198060562666E-4</v>
      </c>
    </row>
    <row r="1792" spans="1:14" ht="15.5" x14ac:dyDescent="0.35">
      <c r="A1792" s="199">
        <v>2044</v>
      </c>
      <c r="B1792" s="110" t="s">
        <v>5850</v>
      </c>
      <c r="C1792" s="110">
        <v>1994</v>
      </c>
      <c r="D1792" s="110" t="str">
        <f t="shared" si="14"/>
        <v>2044_1994</v>
      </c>
      <c r="E1792" s="1226">
        <v>0.124170801871889</v>
      </c>
      <c r="F1792" s="1227">
        <v>5.2947862451144904E-2</v>
      </c>
      <c r="G1792" s="1227">
        <v>5.1254379002384303</v>
      </c>
      <c r="H1792" s="1227">
        <v>0.7110745316558732</v>
      </c>
      <c r="I1792" s="1227">
        <v>5.7228626924874501E-2</v>
      </c>
      <c r="J1792" s="1227">
        <v>2.1631134160558438E-4</v>
      </c>
      <c r="K1792" s="1227">
        <v>3.0000008603782999E-3</v>
      </c>
      <c r="L1792" s="1228">
        <v>2.7963063391131901E-2</v>
      </c>
      <c r="M1792" s="1229">
        <v>5.9816251486146499E-2</v>
      </c>
      <c r="N1792" s="1230">
        <v>2.2609198060562666E-4</v>
      </c>
    </row>
    <row r="1793" spans="1:14" ht="15.5" x14ac:dyDescent="0.35">
      <c r="A1793" s="199">
        <v>2044</v>
      </c>
      <c r="B1793" s="110" t="s">
        <v>5850</v>
      </c>
      <c r="C1793" s="110">
        <v>1995</v>
      </c>
      <c r="D1793" s="110" t="str">
        <f t="shared" si="14"/>
        <v>2044_1995</v>
      </c>
      <c r="E1793" s="1226">
        <v>0.124170801871889</v>
      </c>
      <c r="F1793" s="1227">
        <v>5.2947862451144904E-2</v>
      </c>
      <c r="G1793" s="1227">
        <v>5.1254379002384303</v>
      </c>
      <c r="H1793" s="1227">
        <v>0.7110745316558732</v>
      </c>
      <c r="I1793" s="1227">
        <v>5.7228626924874501E-2</v>
      </c>
      <c r="J1793" s="1227">
        <v>2.1631134160558438E-4</v>
      </c>
      <c r="K1793" s="1227">
        <v>3.0000008603782999E-3</v>
      </c>
      <c r="L1793" s="1228">
        <v>2.7963063391131901E-2</v>
      </c>
      <c r="M1793" s="1229">
        <v>5.9816251486146499E-2</v>
      </c>
      <c r="N1793" s="1230">
        <v>2.2609198060562666E-4</v>
      </c>
    </row>
    <row r="1794" spans="1:14" ht="15.5" x14ac:dyDescent="0.35">
      <c r="A1794" s="199">
        <v>2044</v>
      </c>
      <c r="B1794" s="110" t="s">
        <v>5850</v>
      </c>
      <c r="C1794" s="110">
        <v>1996</v>
      </c>
      <c r="D1794" s="110" t="str">
        <f t="shared" si="14"/>
        <v>2044_1996</v>
      </c>
      <c r="E1794" s="1226">
        <v>0.124170801871889</v>
      </c>
      <c r="F1794" s="1227">
        <v>5.2947862451144904E-2</v>
      </c>
      <c r="G1794" s="1227">
        <v>5.1254379002384303</v>
      </c>
      <c r="H1794" s="1227">
        <v>0.7110745316558732</v>
      </c>
      <c r="I1794" s="1227">
        <v>5.7228626924874501E-2</v>
      </c>
      <c r="J1794" s="1227">
        <v>2.1631134160558438E-4</v>
      </c>
      <c r="K1794" s="1227">
        <v>3.0000008603782999E-3</v>
      </c>
      <c r="L1794" s="1228">
        <v>2.7963063391131901E-2</v>
      </c>
      <c r="M1794" s="1229">
        <v>5.9816251486146499E-2</v>
      </c>
      <c r="N1794" s="1230">
        <v>2.2609198060562666E-4</v>
      </c>
    </row>
    <row r="1795" spans="1:14" ht="15.5" x14ac:dyDescent="0.35">
      <c r="A1795" s="199">
        <v>2044</v>
      </c>
      <c r="B1795" s="110" t="s">
        <v>5850</v>
      </c>
      <c r="C1795" s="110">
        <v>1997</v>
      </c>
      <c r="D1795" s="110" t="str">
        <f t="shared" si="14"/>
        <v>2044_1997</v>
      </c>
      <c r="E1795" s="1226">
        <v>0.124170801871889</v>
      </c>
      <c r="F1795" s="1227">
        <v>5.2947862451144904E-2</v>
      </c>
      <c r="G1795" s="1227">
        <v>5.1254379002384303</v>
      </c>
      <c r="H1795" s="1227">
        <v>0.7110745316558732</v>
      </c>
      <c r="I1795" s="1227">
        <v>5.7228626924874501E-2</v>
      </c>
      <c r="J1795" s="1227">
        <v>2.1631134160558438E-4</v>
      </c>
      <c r="K1795" s="1227">
        <v>3.0000008603782999E-3</v>
      </c>
      <c r="L1795" s="1228">
        <v>2.7963063391131901E-2</v>
      </c>
      <c r="M1795" s="1229">
        <v>5.9816251486146499E-2</v>
      </c>
      <c r="N1795" s="1230">
        <v>2.2609198060562666E-4</v>
      </c>
    </row>
    <row r="1796" spans="1:14" ht="15.5" x14ac:dyDescent="0.35">
      <c r="A1796" s="199">
        <v>2044</v>
      </c>
      <c r="B1796" s="110" t="s">
        <v>5850</v>
      </c>
      <c r="C1796" s="110">
        <v>1998</v>
      </c>
      <c r="D1796" s="110" t="str">
        <f t="shared" si="14"/>
        <v>2044_1998</v>
      </c>
      <c r="E1796" s="1226">
        <v>0.124170801871889</v>
      </c>
      <c r="F1796" s="1227">
        <v>5.2947862451144904E-2</v>
      </c>
      <c r="G1796" s="1227">
        <v>5.1254379002384303</v>
      </c>
      <c r="H1796" s="1227">
        <v>0.7110745316558732</v>
      </c>
      <c r="I1796" s="1227">
        <v>5.7228626924874501E-2</v>
      </c>
      <c r="J1796" s="1227">
        <v>2.1631134160558438E-4</v>
      </c>
      <c r="K1796" s="1227">
        <v>3.0000008603782999E-3</v>
      </c>
      <c r="L1796" s="1228">
        <v>2.7963063391131901E-2</v>
      </c>
      <c r="M1796" s="1229">
        <v>5.9816251486146499E-2</v>
      </c>
      <c r="N1796" s="1230">
        <v>2.2609198060562666E-4</v>
      </c>
    </row>
    <row r="1797" spans="1:14" ht="15.5" x14ac:dyDescent="0.35">
      <c r="A1797" s="199">
        <v>2044</v>
      </c>
      <c r="B1797" s="110" t="s">
        <v>5850</v>
      </c>
      <c r="C1797" s="110">
        <v>1999</v>
      </c>
      <c r="D1797" s="110" t="str">
        <f t="shared" si="14"/>
        <v>2044_1999</v>
      </c>
      <c r="E1797" s="1226">
        <v>0.124170801871889</v>
      </c>
      <c r="F1797" s="1227">
        <v>5.2947862451144904E-2</v>
      </c>
      <c r="G1797" s="1227">
        <v>5.1254379002384303</v>
      </c>
      <c r="H1797" s="1227">
        <v>0.7110745316558732</v>
      </c>
      <c r="I1797" s="1227">
        <v>5.7228626924874501E-2</v>
      </c>
      <c r="J1797" s="1227">
        <v>2.1631134160558438E-4</v>
      </c>
      <c r="K1797" s="1227">
        <v>3.0000008603782999E-3</v>
      </c>
      <c r="L1797" s="1228">
        <v>2.7963063391131901E-2</v>
      </c>
      <c r="M1797" s="1229">
        <v>5.9816251486146499E-2</v>
      </c>
      <c r="N1797" s="1230">
        <v>2.2609198060562666E-4</v>
      </c>
    </row>
    <row r="1798" spans="1:14" ht="15.5" x14ac:dyDescent="0.35">
      <c r="A1798" s="199">
        <v>2044</v>
      </c>
      <c r="B1798" s="110" t="s">
        <v>5850</v>
      </c>
      <c r="C1798" s="110">
        <v>2000</v>
      </c>
      <c r="D1798" s="110" t="str">
        <f t="shared" si="14"/>
        <v>2044_2000</v>
      </c>
      <c r="E1798" s="1226">
        <v>0.124170801871889</v>
      </c>
      <c r="F1798" s="1227">
        <v>5.2947862451144904E-2</v>
      </c>
      <c r="G1798" s="1227">
        <v>5.1254379002384303</v>
      </c>
      <c r="H1798" s="1227">
        <v>0.7110745316558732</v>
      </c>
      <c r="I1798" s="1227">
        <v>5.7228626924874501E-2</v>
      </c>
      <c r="J1798" s="1227">
        <v>2.1631134160558438E-4</v>
      </c>
      <c r="K1798" s="1227">
        <v>3.0000008603782999E-3</v>
      </c>
      <c r="L1798" s="1228">
        <v>2.7963063391131901E-2</v>
      </c>
      <c r="M1798" s="1229">
        <v>5.9816251486146499E-2</v>
      </c>
      <c r="N1798" s="1230">
        <v>2.2609198060562666E-4</v>
      </c>
    </row>
    <row r="1799" spans="1:14" ht="15.5" x14ac:dyDescent="0.35">
      <c r="A1799" s="199">
        <v>2044</v>
      </c>
      <c r="B1799" s="110" t="s">
        <v>5850</v>
      </c>
      <c r="C1799" s="110">
        <v>2001</v>
      </c>
      <c r="D1799" s="110" t="str">
        <f t="shared" si="14"/>
        <v>2044_2001</v>
      </c>
      <c r="E1799" s="1226">
        <v>0.124170801871889</v>
      </c>
      <c r="F1799" s="1227">
        <v>5.2947862451144904E-2</v>
      </c>
      <c r="G1799" s="1227">
        <v>5.1254379002384303</v>
      </c>
      <c r="H1799" s="1227">
        <v>0.7110745316558732</v>
      </c>
      <c r="I1799" s="1227">
        <v>5.7228626924874501E-2</v>
      </c>
      <c r="J1799" s="1227">
        <v>2.1631134160558438E-4</v>
      </c>
      <c r="K1799" s="1227">
        <v>3.0000008603782999E-3</v>
      </c>
      <c r="L1799" s="1228">
        <v>2.7963063391131901E-2</v>
      </c>
      <c r="M1799" s="1229">
        <v>5.9816251486146499E-2</v>
      </c>
      <c r="N1799" s="1230">
        <v>2.2609198060562666E-4</v>
      </c>
    </row>
    <row r="1800" spans="1:14" ht="15.5" x14ac:dyDescent="0.35">
      <c r="A1800" s="199">
        <v>2044</v>
      </c>
      <c r="B1800" s="110" t="s">
        <v>5850</v>
      </c>
      <c r="C1800" s="110">
        <v>2002</v>
      </c>
      <c r="D1800" s="110" t="str">
        <f t="shared" si="14"/>
        <v>2044_2002</v>
      </c>
      <c r="E1800" s="1226">
        <v>0.124170801871889</v>
      </c>
      <c r="F1800" s="1227">
        <v>5.2947862451144904E-2</v>
      </c>
      <c r="G1800" s="1227">
        <v>5.1254379002384303</v>
      </c>
      <c r="H1800" s="1227">
        <v>0.7110745316558732</v>
      </c>
      <c r="I1800" s="1227">
        <v>5.7228626924874501E-2</v>
      </c>
      <c r="J1800" s="1227">
        <v>2.1631134160558438E-4</v>
      </c>
      <c r="K1800" s="1227">
        <v>3.0000008603782999E-3</v>
      </c>
      <c r="L1800" s="1228">
        <v>2.7963063391131901E-2</v>
      </c>
      <c r="M1800" s="1229">
        <v>5.9816251486146499E-2</v>
      </c>
      <c r="N1800" s="1230">
        <v>2.2609198060562666E-4</v>
      </c>
    </row>
    <row r="1801" spans="1:14" ht="15.5" x14ac:dyDescent="0.35">
      <c r="A1801" s="199">
        <v>2044</v>
      </c>
      <c r="B1801" s="110" t="s">
        <v>5850</v>
      </c>
      <c r="C1801" s="110">
        <v>2003</v>
      </c>
      <c r="D1801" s="110" t="str">
        <f t="shared" si="14"/>
        <v>2044_2003</v>
      </c>
      <c r="E1801" s="1226">
        <v>0.124170801871889</v>
      </c>
      <c r="F1801" s="1227">
        <v>5.2947862451144904E-2</v>
      </c>
      <c r="G1801" s="1227">
        <v>5.1254379002384303</v>
      </c>
      <c r="H1801" s="1227">
        <v>0.7110745316558732</v>
      </c>
      <c r="I1801" s="1227">
        <v>5.7228626924874501E-2</v>
      </c>
      <c r="J1801" s="1227">
        <v>2.1631134160558438E-4</v>
      </c>
      <c r="K1801" s="1227">
        <v>3.0000008603782999E-3</v>
      </c>
      <c r="L1801" s="1228">
        <v>2.7963063391131901E-2</v>
      </c>
      <c r="M1801" s="1229">
        <v>5.9816251486146499E-2</v>
      </c>
      <c r="N1801" s="1230">
        <v>2.2609198060562666E-4</v>
      </c>
    </row>
    <row r="1802" spans="1:14" ht="15.5" x14ac:dyDescent="0.35">
      <c r="A1802" s="199">
        <v>2044</v>
      </c>
      <c r="B1802" s="110" t="s">
        <v>5850</v>
      </c>
      <c r="C1802" s="110">
        <v>2004</v>
      </c>
      <c r="D1802" s="110" t="str">
        <f t="shared" si="14"/>
        <v>2044_2004</v>
      </c>
      <c r="E1802" s="1226">
        <v>0.124170801871889</v>
      </c>
      <c r="F1802" s="1227">
        <v>5.2947862451144904E-2</v>
      </c>
      <c r="G1802" s="1227">
        <v>5.1254379002384303</v>
      </c>
      <c r="H1802" s="1227">
        <v>0.7110745316558732</v>
      </c>
      <c r="I1802" s="1227">
        <v>5.7228626924874501E-2</v>
      </c>
      <c r="J1802" s="1227">
        <v>2.1631134160558438E-4</v>
      </c>
      <c r="K1802" s="1227">
        <v>3.0000008603782999E-3</v>
      </c>
      <c r="L1802" s="1228">
        <v>2.7963063391131901E-2</v>
      </c>
      <c r="M1802" s="1229">
        <v>5.9816251486146499E-2</v>
      </c>
      <c r="N1802" s="1230">
        <v>2.2609198060562666E-4</v>
      </c>
    </row>
    <row r="1803" spans="1:14" ht="15.5" x14ac:dyDescent="0.35">
      <c r="A1803" s="199">
        <v>2044</v>
      </c>
      <c r="B1803" s="110" t="s">
        <v>5850</v>
      </c>
      <c r="C1803" s="110">
        <v>2005</v>
      </c>
      <c r="D1803" s="110" t="str">
        <f t="shared" si="14"/>
        <v>2044_2005</v>
      </c>
      <c r="E1803" s="1226">
        <v>0.124170801871889</v>
      </c>
      <c r="F1803" s="1227">
        <v>5.2947862451144904E-2</v>
      </c>
      <c r="G1803" s="1227">
        <v>5.1254379002384303</v>
      </c>
      <c r="H1803" s="1227">
        <v>0.7110745316558732</v>
      </c>
      <c r="I1803" s="1227">
        <v>5.7228626924874501E-2</v>
      </c>
      <c r="J1803" s="1227">
        <v>2.1631134160558438E-4</v>
      </c>
      <c r="K1803" s="1227">
        <v>3.0000008603782999E-3</v>
      </c>
      <c r="L1803" s="1228">
        <v>2.7963063391131901E-2</v>
      </c>
      <c r="M1803" s="1229">
        <v>5.9816251486146499E-2</v>
      </c>
      <c r="N1803" s="1230">
        <v>2.2609198060562666E-4</v>
      </c>
    </row>
    <row r="1804" spans="1:14" ht="15.5" x14ac:dyDescent="0.35">
      <c r="A1804" s="199">
        <v>2044</v>
      </c>
      <c r="B1804" s="110" t="s">
        <v>5850</v>
      </c>
      <c r="C1804" s="110">
        <v>2006</v>
      </c>
      <c r="D1804" s="110" t="str">
        <f t="shared" si="14"/>
        <v>2044_2006</v>
      </c>
      <c r="E1804" s="1226">
        <v>0.124170801871889</v>
      </c>
      <c r="F1804" s="1227">
        <v>5.2947862451144904E-2</v>
      </c>
      <c r="G1804" s="1227">
        <v>5.1254379002384303</v>
      </c>
      <c r="H1804" s="1227">
        <v>0.7110745316558732</v>
      </c>
      <c r="I1804" s="1227">
        <v>5.7228626924874501E-2</v>
      </c>
      <c r="J1804" s="1227">
        <v>2.1631134160558438E-4</v>
      </c>
      <c r="K1804" s="1227">
        <v>3.0000008603782999E-3</v>
      </c>
      <c r="L1804" s="1228">
        <v>2.7963063391131901E-2</v>
      </c>
      <c r="M1804" s="1229">
        <v>5.9816251486146499E-2</v>
      </c>
      <c r="N1804" s="1230">
        <v>2.2609198060562666E-4</v>
      </c>
    </row>
    <row r="1805" spans="1:14" ht="15.5" x14ac:dyDescent="0.35">
      <c r="A1805" s="199">
        <v>2044</v>
      </c>
      <c r="B1805" s="110" t="s">
        <v>5850</v>
      </c>
      <c r="C1805" s="110">
        <v>2007</v>
      </c>
      <c r="D1805" s="110" t="str">
        <f t="shared" si="14"/>
        <v>2044_2007</v>
      </c>
      <c r="E1805" s="1226">
        <v>0.124170801871889</v>
      </c>
      <c r="F1805" s="1227">
        <v>5.2947862451144904E-2</v>
      </c>
      <c r="G1805" s="1227">
        <v>5.1254379002384303</v>
      </c>
      <c r="H1805" s="1227">
        <v>0.7110745316558732</v>
      </c>
      <c r="I1805" s="1227">
        <v>5.7228626924874501E-2</v>
      </c>
      <c r="J1805" s="1227">
        <v>2.1631134160558438E-4</v>
      </c>
      <c r="K1805" s="1227">
        <v>3.0000008603782999E-3</v>
      </c>
      <c r="L1805" s="1228">
        <v>2.7963063391131901E-2</v>
      </c>
      <c r="M1805" s="1229">
        <v>5.9816251486146499E-2</v>
      </c>
      <c r="N1805" s="1230">
        <v>2.2609198060562666E-4</v>
      </c>
    </row>
    <row r="1806" spans="1:14" ht="15.5" x14ac:dyDescent="0.35">
      <c r="A1806" s="199">
        <v>2044</v>
      </c>
      <c r="B1806" s="110" t="s">
        <v>5850</v>
      </c>
      <c r="C1806" s="110">
        <v>2008</v>
      </c>
      <c r="D1806" s="110" t="str">
        <f t="shared" si="14"/>
        <v>2044_2008</v>
      </c>
      <c r="E1806" s="1226">
        <v>0.124170801871889</v>
      </c>
      <c r="F1806" s="1227">
        <v>5.2947862451144904E-2</v>
      </c>
      <c r="G1806" s="1227">
        <v>5.1254379002384303</v>
      </c>
      <c r="H1806" s="1227">
        <v>0.7110745316558732</v>
      </c>
      <c r="I1806" s="1227">
        <v>5.7228626924874501E-2</v>
      </c>
      <c r="J1806" s="1227">
        <v>2.1631134160558438E-4</v>
      </c>
      <c r="K1806" s="1227">
        <v>3.0000008603782999E-3</v>
      </c>
      <c r="L1806" s="1228">
        <v>2.7963063391131901E-2</v>
      </c>
      <c r="M1806" s="1229">
        <v>5.9816251486146499E-2</v>
      </c>
      <c r="N1806" s="1230">
        <v>2.2609198060562666E-4</v>
      </c>
    </row>
    <row r="1807" spans="1:14" ht="15.5" x14ac:dyDescent="0.35">
      <c r="A1807" s="199">
        <v>2044</v>
      </c>
      <c r="B1807" s="110" t="s">
        <v>5850</v>
      </c>
      <c r="C1807" s="110">
        <v>2009</v>
      </c>
      <c r="D1807" s="110" t="str">
        <f t="shared" si="14"/>
        <v>2044_2009</v>
      </c>
      <c r="E1807" s="1226">
        <v>0.124170801871889</v>
      </c>
      <c r="F1807" s="1227">
        <v>5.2947862451144904E-2</v>
      </c>
      <c r="G1807" s="1227">
        <v>5.1254379002384303</v>
      </c>
      <c r="H1807" s="1227">
        <v>0.7110745316558732</v>
      </c>
      <c r="I1807" s="1227">
        <v>5.7228626924874501E-2</v>
      </c>
      <c r="J1807" s="1227">
        <v>2.1631134160558438E-4</v>
      </c>
      <c r="K1807" s="1227">
        <v>3.0000008603782999E-3</v>
      </c>
      <c r="L1807" s="1228">
        <v>2.7963063391131901E-2</v>
      </c>
      <c r="M1807" s="1229">
        <v>5.9816251486146499E-2</v>
      </c>
      <c r="N1807" s="1230">
        <v>2.2609198060562666E-4</v>
      </c>
    </row>
    <row r="1808" spans="1:14" ht="15.5" x14ac:dyDescent="0.35">
      <c r="A1808" s="199">
        <v>2044</v>
      </c>
      <c r="B1808" s="110" t="s">
        <v>5850</v>
      </c>
      <c r="C1808" s="110">
        <v>2010</v>
      </c>
      <c r="D1808" s="110" t="str">
        <f t="shared" si="14"/>
        <v>2044_2010</v>
      </c>
      <c r="E1808" s="1226">
        <v>0.124170801871889</v>
      </c>
      <c r="F1808" s="1227">
        <v>5.2947862451144904E-2</v>
      </c>
      <c r="G1808" s="1227">
        <v>5.1254379002384303</v>
      </c>
      <c r="H1808" s="1227">
        <v>0.7110745316558732</v>
      </c>
      <c r="I1808" s="1227">
        <v>5.7228626924874501E-2</v>
      </c>
      <c r="J1808" s="1227">
        <v>2.1631134160558438E-4</v>
      </c>
      <c r="K1808" s="1227">
        <v>3.0000008603782999E-3</v>
      </c>
      <c r="L1808" s="1228">
        <v>2.7963063391131901E-2</v>
      </c>
      <c r="M1808" s="1229">
        <v>5.9816251486146499E-2</v>
      </c>
      <c r="N1808" s="1230">
        <v>2.2609198060562666E-4</v>
      </c>
    </row>
    <row r="1809" spans="1:14" ht="15.5" x14ac:dyDescent="0.35">
      <c r="A1809" s="199">
        <v>2044</v>
      </c>
      <c r="B1809" s="110" t="s">
        <v>5850</v>
      </c>
      <c r="C1809" s="110">
        <v>2011</v>
      </c>
      <c r="D1809" s="110" t="str">
        <f t="shared" si="14"/>
        <v>2044_2011</v>
      </c>
      <c r="E1809" s="1231">
        <v>0.124170801871889</v>
      </c>
      <c r="F1809" s="1232">
        <v>5.2947862451144904E-2</v>
      </c>
      <c r="G1809" s="1232">
        <v>5.1254379002384303</v>
      </c>
      <c r="H1809" s="1232">
        <v>0.7110745316558732</v>
      </c>
      <c r="I1809" s="1232">
        <v>5.7228626924874501E-2</v>
      </c>
      <c r="J1809" s="1232">
        <v>2.1631134160558438E-4</v>
      </c>
      <c r="K1809" s="1232">
        <v>3.0000008603782999E-3</v>
      </c>
      <c r="L1809" s="1233">
        <v>2.7963063391131901E-2</v>
      </c>
      <c r="M1809" s="1234">
        <v>5.9816251486146499E-2</v>
      </c>
      <c r="N1809" s="1235">
        <v>2.2609198060562666E-4</v>
      </c>
    </row>
    <row r="1810" spans="1:14" ht="15.5" x14ac:dyDescent="0.35">
      <c r="A1810" s="199">
        <v>2044</v>
      </c>
      <c r="B1810" s="110" t="s">
        <v>5850</v>
      </c>
      <c r="C1810" s="110">
        <v>2012</v>
      </c>
      <c r="D1810" s="110" t="str">
        <f t="shared" si="14"/>
        <v>2044_2012</v>
      </c>
      <c r="E1810" s="1231">
        <v>2.5042912837308001E-2</v>
      </c>
      <c r="F1810" s="1232">
        <v>5.3125311118765624E-2</v>
      </c>
      <c r="G1810" s="1232">
        <v>4.4684565999795103</v>
      </c>
      <c r="H1810" s="1232">
        <v>0.62777844652366799</v>
      </c>
      <c r="I1810" s="1232">
        <v>3.3199680168460498E-2</v>
      </c>
      <c r="J1810" s="1232">
        <v>2.1631134160558424E-4</v>
      </c>
      <c r="K1810" s="1232">
        <v>3.0000008603782999E-3</v>
      </c>
      <c r="L1810" s="1233">
        <v>2.7963063391276001E-2</v>
      </c>
      <c r="M1810" s="1234">
        <v>3.4700822384279399E-2</v>
      </c>
      <c r="N1810" s="1235">
        <v>2.2609198060562653E-4</v>
      </c>
    </row>
    <row r="1811" spans="1:14" ht="15.5" x14ac:dyDescent="0.35">
      <c r="A1811" s="199">
        <v>2044</v>
      </c>
      <c r="B1811" s="110" t="s">
        <v>5850</v>
      </c>
      <c r="C1811" s="110">
        <v>2013</v>
      </c>
      <c r="D1811" s="110" t="str">
        <f t="shared" si="14"/>
        <v>2044_2013</v>
      </c>
      <c r="E1811" s="1231">
        <v>2.4725548402563899E-2</v>
      </c>
      <c r="F1811" s="1232">
        <v>5.312531111876561E-2</v>
      </c>
      <c r="G1811" s="1232">
        <v>4.21661186577668</v>
      </c>
      <c r="H1811" s="1232">
        <v>0.62777844652366788</v>
      </c>
      <c r="I1811" s="1232">
        <v>3.2285410647190198E-2</v>
      </c>
      <c r="J1811" s="1232">
        <v>2.1631134160558416E-4</v>
      </c>
      <c r="K1811" s="1232">
        <v>3.0000008603782999E-3</v>
      </c>
      <c r="L1811" s="1233">
        <v>2.7963063391263799E-2</v>
      </c>
      <c r="M1811" s="1234">
        <v>3.3745213652268201E-2</v>
      </c>
      <c r="N1811" s="1235">
        <v>2.2609198060562644E-4</v>
      </c>
    </row>
    <row r="1812" spans="1:14" ht="15.5" x14ac:dyDescent="0.35">
      <c r="A1812" s="199">
        <v>2044</v>
      </c>
      <c r="B1812" s="110" t="s">
        <v>5850</v>
      </c>
      <c r="C1812" s="110">
        <v>2014</v>
      </c>
      <c r="D1812" s="110" t="str">
        <f t="shared" si="14"/>
        <v>2044_2014</v>
      </c>
      <c r="E1812" s="1231">
        <v>1.2166956727217E-2</v>
      </c>
      <c r="F1812" s="1232">
        <v>5.31253111187657E-2</v>
      </c>
      <c r="G1812" s="1232">
        <v>1.58784646454786</v>
      </c>
      <c r="H1812" s="1232">
        <v>0.62777844652366888</v>
      </c>
      <c r="I1812" s="1232">
        <v>3.75523615388784E-2</v>
      </c>
      <c r="J1812" s="1232">
        <v>2.1631134160558454E-4</v>
      </c>
      <c r="K1812" s="1232">
        <v>3.0000008603782999E-3</v>
      </c>
      <c r="L1812" s="1233">
        <v>2.7963063391158199E-2</v>
      </c>
      <c r="M1812" s="1234">
        <v>3.92503126915301E-2</v>
      </c>
      <c r="N1812" s="1235">
        <v>2.2609198060562688E-4</v>
      </c>
    </row>
    <row r="1813" spans="1:14" ht="15.5" x14ac:dyDescent="0.35">
      <c r="A1813" s="199">
        <v>2044</v>
      </c>
      <c r="B1813" s="110" t="s">
        <v>5850</v>
      </c>
      <c r="C1813" s="110">
        <v>2015</v>
      </c>
      <c r="D1813" s="110" t="str">
        <f t="shared" si="14"/>
        <v>2044_2015</v>
      </c>
      <c r="E1813" s="1231">
        <v>1.2166956727225399E-2</v>
      </c>
      <c r="F1813" s="1232">
        <v>5.3125311118765617E-2</v>
      </c>
      <c r="G1813" s="1232">
        <v>1.5878464645485</v>
      </c>
      <c r="H1813" s="1232">
        <v>0.62777844652366788</v>
      </c>
      <c r="I1813" s="1232">
        <v>3.7552361538792399E-2</v>
      </c>
      <c r="J1813" s="1232">
        <v>2.1631134160558419E-4</v>
      </c>
      <c r="K1813" s="1232">
        <v>3.0000008603782999E-3</v>
      </c>
      <c r="L1813" s="1233">
        <v>2.7963063391185001E-2</v>
      </c>
      <c r="M1813" s="1234">
        <v>3.9250312691440199E-2</v>
      </c>
      <c r="N1813" s="1235">
        <v>2.2609198060562647E-4</v>
      </c>
    </row>
    <row r="1814" spans="1:14" ht="15.5" x14ac:dyDescent="0.35">
      <c r="A1814" s="199">
        <v>2044</v>
      </c>
      <c r="B1814" s="110" t="s">
        <v>5850</v>
      </c>
      <c r="C1814" s="110">
        <v>2016</v>
      </c>
      <c r="D1814" s="110" t="str">
        <f t="shared" si="14"/>
        <v>2044_2016</v>
      </c>
      <c r="E1814" s="1231">
        <v>1.2166956727225099E-2</v>
      </c>
      <c r="F1814" s="1232">
        <v>5.3125311118765325E-2</v>
      </c>
      <c r="G1814" s="1232">
        <v>1.5878464645471999</v>
      </c>
      <c r="H1814" s="1232">
        <v>0.62777844652366444</v>
      </c>
      <c r="I1814" s="1232">
        <v>3.7552361538710902E-2</v>
      </c>
      <c r="J1814" s="1232">
        <v>2.16311341605583E-4</v>
      </c>
      <c r="K1814" s="1232">
        <v>3.0000008603782999E-3</v>
      </c>
      <c r="L1814" s="1233">
        <v>2.79630633912012E-2</v>
      </c>
      <c r="M1814" s="1234">
        <v>3.9250312691354997E-2</v>
      </c>
      <c r="N1814" s="1235">
        <v>2.2609198060562525E-4</v>
      </c>
    </row>
    <row r="1815" spans="1:14" ht="15.5" x14ac:dyDescent="0.35">
      <c r="A1815" s="199">
        <v>2044</v>
      </c>
      <c r="B1815" s="110" t="s">
        <v>5850</v>
      </c>
      <c r="C1815" s="110">
        <v>2017</v>
      </c>
      <c r="D1815" s="110" t="str">
        <f t="shared" si="14"/>
        <v>2044_2017</v>
      </c>
      <c r="E1815" s="1231">
        <v>1.2376290817586601E-2</v>
      </c>
      <c r="F1815" s="1232">
        <v>5.3125311118765284E-2</v>
      </c>
      <c r="G1815" s="1232">
        <v>1.58784646455204</v>
      </c>
      <c r="H1815" s="1232">
        <v>0.6277784465236641</v>
      </c>
      <c r="I1815" s="1232">
        <v>3.0607506125554899E-2</v>
      </c>
      <c r="J1815" s="1232">
        <v>2.1631134160558286E-4</v>
      </c>
      <c r="K1815" s="1232">
        <v>3.0000008603782999E-3</v>
      </c>
      <c r="L1815" s="1233">
        <v>2.79630633912103E-2</v>
      </c>
      <c r="M1815" s="1234">
        <v>3.19914417337556E-2</v>
      </c>
      <c r="N1815" s="1235">
        <v>2.2609198060562512E-4</v>
      </c>
    </row>
    <row r="1816" spans="1:14" ht="15.5" x14ac:dyDescent="0.35">
      <c r="A1816" s="199">
        <v>2044</v>
      </c>
      <c r="B1816" s="110" t="s">
        <v>5850</v>
      </c>
      <c r="C1816" s="110">
        <v>2018</v>
      </c>
      <c r="D1816" s="110" t="str">
        <f t="shared" si="14"/>
        <v>2044_2018</v>
      </c>
      <c r="E1816" s="1231">
        <v>1.2376290817605801E-2</v>
      </c>
      <c r="F1816" s="1232">
        <v>5.312531111876611E-2</v>
      </c>
      <c r="G1816" s="1232">
        <v>1.5878464645495201</v>
      </c>
      <c r="H1816" s="1232">
        <v>0.62777844652367376</v>
      </c>
      <c r="I1816" s="1232">
        <v>3.0607506125824E-2</v>
      </c>
      <c r="J1816" s="1232">
        <v>2.1631134160558619E-4</v>
      </c>
      <c r="K1816" s="1232">
        <v>3.0000008603782999E-3</v>
      </c>
      <c r="L1816" s="1233">
        <v>2.79630633911148E-2</v>
      </c>
      <c r="M1816" s="1234">
        <v>3.1991441734036903E-2</v>
      </c>
      <c r="N1816" s="1235">
        <v>2.2609198060562861E-4</v>
      </c>
    </row>
    <row r="1817" spans="1:14" ht="15.5" x14ac:dyDescent="0.35">
      <c r="A1817" s="199">
        <v>2044</v>
      </c>
      <c r="B1817" s="110" t="s">
        <v>5850</v>
      </c>
      <c r="C1817" s="110">
        <v>2019</v>
      </c>
      <c r="D1817" s="110" t="str">
        <f t="shared" si="14"/>
        <v>2044_2019</v>
      </c>
      <c r="E1817" s="1231">
        <v>1.2376290817529599E-2</v>
      </c>
      <c r="F1817" s="1232">
        <v>5.3125311118765582E-2</v>
      </c>
      <c r="G1817" s="1232">
        <v>1.58784646454983</v>
      </c>
      <c r="H1817" s="1232">
        <v>0.62777844652366765</v>
      </c>
      <c r="I1817" s="1232">
        <v>3.0607506125167699E-2</v>
      </c>
      <c r="J1817" s="1232">
        <v>2.1631134160558538E-4</v>
      </c>
      <c r="K1817" s="1232">
        <v>3.0000008603782999E-3</v>
      </c>
      <c r="L1817" s="1233">
        <v>2.7963063391311702E-2</v>
      </c>
      <c r="M1817" s="1234">
        <v>3.1991441733350903E-2</v>
      </c>
      <c r="N1817" s="1235">
        <v>2.2609198060562636E-4</v>
      </c>
    </row>
    <row r="1818" spans="1:14" ht="15.5" x14ac:dyDescent="0.35">
      <c r="A1818" s="198">
        <v>2044</v>
      </c>
      <c r="B1818" s="197" t="s">
        <v>5850</v>
      </c>
      <c r="C1818" s="197">
        <v>2020</v>
      </c>
      <c r="D1818" s="110" t="str">
        <f t="shared" si="14"/>
        <v>2044_2020</v>
      </c>
      <c r="E1818" s="1231">
        <v>1.23762908175927E-2</v>
      </c>
      <c r="F1818" s="1232">
        <v>5.3125311118765985E-2</v>
      </c>
      <c r="G1818" s="1232">
        <v>1.58784646455235</v>
      </c>
      <c r="H1818" s="1232">
        <v>0.62777844652367232</v>
      </c>
      <c r="I1818" s="1232">
        <v>3.06075061256019E-2</v>
      </c>
      <c r="J1818" s="1232">
        <v>2.1631134160558568E-4</v>
      </c>
      <c r="K1818" s="1232">
        <v>3.0000008603782999E-3</v>
      </c>
      <c r="L1818" s="1233">
        <v>2.79630633912013E-2</v>
      </c>
      <c r="M1818" s="1234">
        <v>3.19914417338047E-2</v>
      </c>
      <c r="N1818" s="1235">
        <v>2.2609198060562807E-4</v>
      </c>
    </row>
    <row r="1819" spans="1:14" ht="15.5" x14ac:dyDescent="0.35">
      <c r="A1819" s="198">
        <v>2044</v>
      </c>
      <c r="B1819" s="197" t="s">
        <v>5850</v>
      </c>
      <c r="C1819" s="197">
        <v>2021</v>
      </c>
      <c r="D1819" s="110" t="str">
        <f t="shared" si="14"/>
        <v>2044_2021</v>
      </c>
      <c r="E1819" s="1231">
        <v>1.2376290817593999E-2</v>
      </c>
      <c r="F1819" s="1232">
        <v>5.312531111876681E-2</v>
      </c>
      <c r="G1819" s="1232">
        <v>1.58784646450929</v>
      </c>
      <c r="H1819" s="1232">
        <v>0.62777844652368331</v>
      </c>
      <c r="I1819" s="1232">
        <v>3.0607506127043101E-2</v>
      </c>
      <c r="J1819" s="1232">
        <v>2.1631134160558904E-4</v>
      </c>
      <c r="K1819" s="1232">
        <v>3.0000008603782999E-3</v>
      </c>
      <c r="L1819" s="1233">
        <v>2.7963063390477699E-2</v>
      </c>
      <c r="M1819" s="1234">
        <v>3.1991441735311099E-2</v>
      </c>
      <c r="N1819" s="1235">
        <v>2.2609198060563154E-4</v>
      </c>
    </row>
    <row r="1820" spans="1:14" ht="15.5" x14ac:dyDescent="0.35">
      <c r="A1820" s="198">
        <v>2044</v>
      </c>
      <c r="B1820" s="197" t="s">
        <v>5850</v>
      </c>
      <c r="C1820" s="197">
        <v>2022</v>
      </c>
      <c r="D1820" s="110" t="str">
        <f t="shared" si="14"/>
        <v>2044_2022</v>
      </c>
      <c r="E1820" s="1231">
        <v>1.23762908175373E-2</v>
      </c>
      <c r="F1820" s="1232">
        <v>5.3125311118765346E-2</v>
      </c>
      <c r="G1820" s="1232">
        <v>1.58784646455434</v>
      </c>
      <c r="H1820" s="1232">
        <v>0.62777844652366477</v>
      </c>
      <c r="I1820" s="1232">
        <v>3.0607506125069499E-2</v>
      </c>
      <c r="J1820" s="1232">
        <v>2.1631134160558308E-4</v>
      </c>
      <c r="K1820" s="1232">
        <v>3.0000008603782999E-3</v>
      </c>
      <c r="L1820" s="1233">
        <v>2.7963063391371199E-2</v>
      </c>
      <c r="M1820" s="1234">
        <v>3.1991441733248201E-2</v>
      </c>
      <c r="N1820" s="1235">
        <v>2.2609198060562536E-4</v>
      </c>
    </row>
    <row r="1821" spans="1:14" ht="15.5" x14ac:dyDescent="0.35">
      <c r="A1821" s="198">
        <v>2044</v>
      </c>
      <c r="B1821" s="197" t="s">
        <v>5850</v>
      </c>
      <c r="C1821" s="197">
        <v>2023</v>
      </c>
      <c r="D1821" s="110" t="str">
        <f t="shared" si="14"/>
        <v>2044_2023</v>
      </c>
      <c r="E1821" s="1231">
        <v>1.2376290817557299E-2</v>
      </c>
      <c r="F1821" s="1232">
        <v>5.3125311118766026E-2</v>
      </c>
      <c r="G1821" s="1232">
        <v>1.5154772032331301</v>
      </c>
      <c r="H1821" s="1232">
        <v>0.62777844652367276</v>
      </c>
      <c r="I1821" s="1232">
        <v>2.9568604547310501E-2</v>
      </c>
      <c r="J1821" s="1232">
        <v>2.1631134160558584E-4</v>
      </c>
      <c r="K1821" s="1232">
        <v>3.0000008603782999E-3</v>
      </c>
      <c r="L1821" s="1233">
        <v>2.7963063391272702E-2</v>
      </c>
      <c r="M1821" s="1234">
        <v>3.0905565636200501E-2</v>
      </c>
      <c r="N1821" s="1235">
        <v>2.2609198060562823E-4</v>
      </c>
    </row>
    <row r="1822" spans="1:14" ht="15.5" x14ac:dyDescent="0.35">
      <c r="A1822" s="198">
        <v>2044</v>
      </c>
      <c r="B1822" s="197" t="s">
        <v>5850</v>
      </c>
      <c r="C1822" s="197">
        <v>2024</v>
      </c>
      <c r="D1822" s="110" t="str">
        <f t="shared" si="14"/>
        <v>2044_2024</v>
      </c>
      <c r="E1822" s="1231">
        <v>1.23762908176133E-2</v>
      </c>
      <c r="F1822" s="1232">
        <v>5.312531111876552E-2</v>
      </c>
      <c r="G1822" s="1232">
        <v>1.5154772032303201</v>
      </c>
      <c r="H1822" s="1232">
        <v>0.62777844652366666</v>
      </c>
      <c r="I1822" s="1232">
        <v>2.9568604547867701E-2</v>
      </c>
      <c r="J1822" s="1232">
        <v>2.1631134160558378E-4</v>
      </c>
      <c r="K1822" s="1232">
        <v>3.0000008603782999E-3</v>
      </c>
      <c r="L1822" s="1233">
        <v>2.7963063391082701E-2</v>
      </c>
      <c r="M1822" s="1234">
        <v>3.09055656367829E-2</v>
      </c>
      <c r="N1822" s="1235">
        <v>2.2609198060562607E-4</v>
      </c>
    </row>
    <row r="1823" spans="1:14" ht="15.5" x14ac:dyDescent="0.35">
      <c r="A1823" s="198">
        <v>2044</v>
      </c>
      <c r="B1823" s="197" t="s">
        <v>5850</v>
      </c>
      <c r="C1823" s="197">
        <v>2025</v>
      </c>
      <c r="D1823" s="110" t="str">
        <f t="shared" si="14"/>
        <v>2044_2025</v>
      </c>
      <c r="E1823" s="1231">
        <v>1.23762908175642E-2</v>
      </c>
      <c r="F1823" s="1232">
        <v>5.3125311118765686E-2</v>
      </c>
      <c r="G1823" s="1232">
        <v>1.38135718962068</v>
      </c>
      <c r="H1823" s="1232">
        <v>0.31842897045339086</v>
      </c>
      <c r="I1823" s="1232">
        <v>2.9568604547428601E-2</v>
      </c>
      <c r="J1823" s="1232">
        <v>2.1631134160558451E-4</v>
      </c>
      <c r="K1823" s="1232">
        <v>3.0000008603782999E-3</v>
      </c>
      <c r="L1823" s="1233">
        <v>2.79630633912256E-2</v>
      </c>
      <c r="M1823" s="1234">
        <v>3.0905565636323899E-2</v>
      </c>
      <c r="N1823" s="1235">
        <v>2.260919806056268E-4</v>
      </c>
    </row>
    <row r="1824" spans="1:14" ht="15.5" x14ac:dyDescent="0.35">
      <c r="A1824" s="198">
        <v>2044</v>
      </c>
      <c r="B1824" s="197" t="s">
        <v>5850</v>
      </c>
      <c r="C1824" s="197">
        <v>2026</v>
      </c>
      <c r="D1824" s="110" t="str">
        <f t="shared" si="14"/>
        <v>2044_2026</v>
      </c>
      <c r="E1824" s="1231">
        <v>1.23762908175726E-2</v>
      </c>
      <c r="F1824" s="1232">
        <v>5.3125311118765645E-2</v>
      </c>
      <c r="G1824" s="1232">
        <v>1.3813571896207</v>
      </c>
      <c r="H1824" s="1232">
        <v>0.31842897045339058</v>
      </c>
      <c r="I1824" s="1232">
        <v>2.9568604547495301E-2</v>
      </c>
      <c r="J1824" s="1232">
        <v>2.1631134160558432E-4</v>
      </c>
      <c r="K1824" s="1232">
        <v>3.0000008603782999E-3</v>
      </c>
      <c r="L1824" s="1233">
        <v>3.0896713221880999E-2</v>
      </c>
      <c r="M1824" s="1234">
        <v>3.09055656363936E-2</v>
      </c>
      <c r="N1824" s="1235">
        <v>2.2609198060562663E-4</v>
      </c>
    </row>
    <row r="1825" spans="1:14" ht="15.5" x14ac:dyDescent="0.35">
      <c r="A1825" s="198">
        <v>2044</v>
      </c>
      <c r="B1825" s="197" t="s">
        <v>5850</v>
      </c>
      <c r="C1825" s="197">
        <v>2027</v>
      </c>
      <c r="D1825" s="110" t="str">
        <f t="shared" si="14"/>
        <v>2044_2027</v>
      </c>
      <c r="E1825" s="1231">
        <v>1.2376290817572499E-2</v>
      </c>
      <c r="F1825" s="1232">
        <v>5.3125311118765624E-2</v>
      </c>
      <c r="G1825" s="1232">
        <v>1.3813571896204999</v>
      </c>
      <c r="H1825" s="1232">
        <v>0.31842897045339053</v>
      </c>
      <c r="I1825" s="1232">
        <v>2.9568604547502E-2</v>
      </c>
      <c r="J1825" s="1232">
        <v>2.1631134160558427E-4</v>
      </c>
      <c r="K1825" s="1232">
        <v>3.0000008603782999E-3</v>
      </c>
      <c r="L1825" s="1233">
        <v>3.08967132218767E-2</v>
      </c>
      <c r="M1825" s="1234">
        <v>3.0905565636400598E-2</v>
      </c>
      <c r="N1825" s="1235">
        <v>2.2609198060562655E-4</v>
      </c>
    </row>
    <row r="1826" spans="1:14" ht="15.5" x14ac:dyDescent="0.35">
      <c r="A1826" s="198">
        <v>2044</v>
      </c>
      <c r="B1826" s="197" t="s">
        <v>5850</v>
      </c>
      <c r="C1826" s="197">
        <v>2028</v>
      </c>
      <c r="D1826" s="110" t="str">
        <f t="shared" si="14"/>
        <v>2044_2028</v>
      </c>
      <c r="E1826" s="1231">
        <v>1.2375231776632601E-2</v>
      </c>
      <c r="F1826" s="1232">
        <v>5.3125311118765693E-2</v>
      </c>
      <c r="G1826" s="1232">
        <v>1.2649643297547899</v>
      </c>
      <c r="H1826" s="1232">
        <v>0.2410916014358214</v>
      </c>
      <c r="I1826" s="1232">
        <v>2.9198506632784799E-2</v>
      </c>
      <c r="J1826" s="1232">
        <v>2.1631134160558454E-4</v>
      </c>
      <c r="K1826" s="1232">
        <v>3.0000008603782999E-3</v>
      </c>
      <c r="L1826" s="1233">
        <v>3.0896713221888202E-2</v>
      </c>
      <c r="M1826" s="1234">
        <v>3.0518733536265101E-2</v>
      </c>
      <c r="N1826" s="1235">
        <v>2.2609198060562682E-4</v>
      </c>
    </row>
    <row r="1827" spans="1:14" ht="15.5" x14ac:dyDescent="0.35">
      <c r="A1827" s="198">
        <v>2044</v>
      </c>
      <c r="B1827" s="197" t="s">
        <v>5850</v>
      </c>
      <c r="C1827" s="197">
        <v>2029</v>
      </c>
      <c r="D1827" s="110" t="str">
        <f t="shared" si="14"/>
        <v>2044_2029</v>
      </c>
      <c r="E1827" s="1231">
        <v>1.22229038213692E-2</v>
      </c>
      <c r="F1827" s="1232">
        <v>5.3125311118765582E-2</v>
      </c>
      <c r="G1827" s="1232">
        <v>1.25221662559387</v>
      </c>
      <c r="H1827" s="1232">
        <v>0.24109160143582092</v>
      </c>
      <c r="I1827" s="1232">
        <v>2.8581810839184499E-2</v>
      </c>
      <c r="J1827" s="1232">
        <v>2.1631134160558408E-4</v>
      </c>
      <c r="K1827" s="1232">
        <v>3.0000008603782999E-3</v>
      </c>
      <c r="L1827" s="1233">
        <v>3.0896713221887601E-2</v>
      </c>
      <c r="M1827" s="1234">
        <v>2.9874153495425299E-2</v>
      </c>
      <c r="N1827" s="1235">
        <v>2.2609198060562636E-4</v>
      </c>
    </row>
    <row r="1828" spans="1:14" ht="15.5" x14ac:dyDescent="0.35">
      <c r="A1828" s="198">
        <v>2044</v>
      </c>
      <c r="B1828" s="197" t="s">
        <v>5850</v>
      </c>
      <c r="C1828" s="197">
        <v>2030</v>
      </c>
      <c r="D1828" s="110" t="str">
        <f t="shared" si="14"/>
        <v>2044_2030</v>
      </c>
      <c r="E1828" s="1231">
        <v>1.2053650537386501E-2</v>
      </c>
      <c r="F1828" s="1232">
        <v>4.7812780006889107E-2</v>
      </c>
      <c r="G1828" s="1232">
        <v>1.23775983787435</v>
      </c>
      <c r="H1828" s="1232">
        <v>0.21698244129223918</v>
      </c>
      <c r="I1828" s="1232">
        <v>2.7896593289315399E-2</v>
      </c>
      <c r="J1828" s="1232">
        <v>1.94680207445026E-4</v>
      </c>
      <c r="K1828" s="1232">
        <v>3.0000008603782999E-3</v>
      </c>
      <c r="L1828" s="1233">
        <v>3.0896713221874698E-2</v>
      </c>
      <c r="M1828" s="1234">
        <v>2.9157953448558899E-2</v>
      </c>
      <c r="N1828" s="1235">
        <v>2.0348278254506407E-4</v>
      </c>
    </row>
    <row r="1829" spans="1:14" ht="15.5" x14ac:dyDescent="0.35">
      <c r="A1829" s="198">
        <v>2044</v>
      </c>
      <c r="B1829" s="197" t="s">
        <v>5850</v>
      </c>
      <c r="C1829" s="197">
        <v>2031</v>
      </c>
      <c r="D1829" s="110" t="str">
        <f t="shared" si="14"/>
        <v>2044_2031</v>
      </c>
      <c r="E1829" s="1231">
        <v>1.18655913329544E-2</v>
      </c>
      <c r="F1829" s="1232">
        <v>4.3031502006200109E-2</v>
      </c>
      <c r="G1829" s="1232">
        <v>1.22131431993594</v>
      </c>
      <c r="H1829" s="1232">
        <v>0.1952841971630149</v>
      </c>
      <c r="I1829" s="1232">
        <v>2.7135240456056E-2</v>
      </c>
      <c r="J1829" s="1232">
        <v>1.7521218670052305E-4</v>
      </c>
      <c r="K1829" s="1232">
        <v>3.0000008603782999E-3</v>
      </c>
      <c r="L1829" s="1233">
        <v>3.0896713221890401E-2</v>
      </c>
      <c r="M1829" s="1234">
        <v>2.83621756186326E-2</v>
      </c>
      <c r="N1829" s="1235">
        <v>1.8313450429055731E-4</v>
      </c>
    </row>
    <row r="1830" spans="1:14" ht="15.5" x14ac:dyDescent="0.35">
      <c r="A1830" s="199">
        <v>2044</v>
      </c>
      <c r="B1830" s="110" t="s">
        <v>5850</v>
      </c>
      <c r="C1830" s="110">
        <v>2032</v>
      </c>
      <c r="D1830" s="110" t="str">
        <f t="shared" si="14"/>
        <v>2044_2032</v>
      </c>
      <c r="E1830" s="1231">
        <v>1.16566366613682E-2</v>
      </c>
      <c r="F1830" s="1232">
        <v>3.8728351805580132E-2</v>
      </c>
      <c r="G1830" s="1232">
        <v>1.13216521902391</v>
      </c>
      <c r="H1830" s="1232">
        <v>0.17575577744671353</v>
      </c>
      <c r="I1830" s="1232">
        <v>2.4518000328764899E-2</v>
      </c>
      <c r="J1830" s="1232">
        <v>1.5769096803047085E-4</v>
      </c>
      <c r="K1830" s="1232">
        <v>3.0000008603782999E-3</v>
      </c>
      <c r="L1830" s="1233">
        <v>3.0896713221892701E-2</v>
      </c>
      <c r="M1830" s="1234">
        <v>2.5626595506616501E-2</v>
      </c>
      <c r="N1830" s="1235">
        <v>1.6482105386150171E-4</v>
      </c>
    </row>
    <row r="1831" spans="1:14" ht="15.5" x14ac:dyDescent="0.35">
      <c r="A1831" s="199">
        <v>2044</v>
      </c>
      <c r="B1831" s="110" t="s">
        <v>5850</v>
      </c>
      <c r="C1831" s="110">
        <v>2033</v>
      </c>
      <c r="D1831" s="110" t="str">
        <f t="shared" si="14"/>
        <v>2044_2033</v>
      </c>
      <c r="E1831" s="1231">
        <v>1.14244648040493E-2</v>
      </c>
      <c r="F1831" s="1232">
        <v>3.4855516625022426E-2</v>
      </c>
      <c r="G1831" s="1232">
        <v>1.1120034911860299</v>
      </c>
      <c r="H1831" s="1232">
        <v>0.15818019970204356</v>
      </c>
      <c r="I1831" s="1232">
        <v>2.3578058559368599E-2</v>
      </c>
      <c r="J1831" s="1232">
        <v>1.4192187122742504E-4</v>
      </c>
      <c r="K1831" s="1232">
        <v>3.0000008603782999E-3</v>
      </c>
      <c r="L1831" s="1233">
        <v>3.0896713221884201E-2</v>
      </c>
      <c r="M1831" s="1234">
        <v>2.4644153741337899E-2</v>
      </c>
      <c r="N1831" s="1235">
        <v>1.4833894847535287E-4</v>
      </c>
    </row>
    <row r="1832" spans="1:14" ht="15.5" x14ac:dyDescent="0.35">
      <c r="A1832" s="199">
        <v>2044</v>
      </c>
      <c r="B1832" s="110" t="s">
        <v>5850</v>
      </c>
      <c r="C1832" s="110">
        <v>2034</v>
      </c>
      <c r="D1832" s="110" t="str">
        <f t="shared" ref="D1832:D1980" si="15">CONCATENATE(A1832,"_",C1832)</f>
        <v>2044_2034</v>
      </c>
      <c r="E1832" s="1231">
        <v>1.1166496073693801E-2</v>
      </c>
      <c r="F1832" s="1232">
        <v>3.1369964962520078E-2</v>
      </c>
      <c r="G1832" s="1232">
        <v>1.0887533523403199</v>
      </c>
      <c r="H1832" s="1232">
        <v>0.14236217973183873</v>
      </c>
      <c r="I1832" s="1232">
        <v>2.2533678815569801E-2</v>
      </c>
      <c r="J1832" s="1232">
        <v>1.2772968410468212E-4</v>
      </c>
      <c r="K1832" s="1232">
        <v>3.0000008603782999E-3</v>
      </c>
      <c r="L1832" s="1233">
        <v>3.0896713221889398E-2</v>
      </c>
      <c r="M1832" s="1234">
        <v>2.3552551779891E-2</v>
      </c>
      <c r="N1832" s="1235">
        <v>1.3350505362781713E-4</v>
      </c>
    </row>
    <row r="1833" spans="1:14" ht="15.5" x14ac:dyDescent="0.35">
      <c r="A1833" s="199">
        <v>2044</v>
      </c>
      <c r="B1833" s="110" t="s">
        <v>5850</v>
      </c>
      <c r="C1833" s="110">
        <v>2035</v>
      </c>
      <c r="D1833" s="110" t="str">
        <f t="shared" si="15"/>
        <v>2044_2035</v>
      </c>
      <c r="E1833" s="1231">
        <v>1.0879864151079501E-2</v>
      </c>
      <c r="F1833" s="1232">
        <v>2.8232968466267938E-2</v>
      </c>
      <c r="G1833" s="1232">
        <v>1.0617569492086001</v>
      </c>
      <c r="H1833" s="1232">
        <v>0.12812596175865426</v>
      </c>
      <c r="I1833" s="1232">
        <v>2.13732568780431E-2</v>
      </c>
      <c r="J1833" s="1232">
        <v>1.1495671569421335E-4</v>
      </c>
      <c r="K1833" s="1232">
        <v>3.0000008603782999E-3</v>
      </c>
      <c r="L1833" s="1233">
        <v>3.08967132218811E-2</v>
      </c>
      <c r="M1833" s="1234">
        <v>2.23396607116454E-2</v>
      </c>
      <c r="N1833" s="1235">
        <v>1.2015454826503484E-4</v>
      </c>
    </row>
    <row r="1834" spans="1:14" ht="15.5" x14ac:dyDescent="0.35">
      <c r="A1834" s="199">
        <v>2044</v>
      </c>
      <c r="B1834" s="110" t="s">
        <v>5850</v>
      </c>
      <c r="C1834" s="110">
        <v>2036</v>
      </c>
      <c r="D1834" s="110" t="str">
        <f t="shared" si="15"/>
        <v>2044_2036</v>
      </c>
      <c r="E1834" s="1231">
        <v>1.05613842370609E-2</v>
      </c>
      <c r="F1834" s="1232">
        <v>2.5409671619641073E-2</v>
      </c>
      <c r="G1834" s="1232">
        <v>1.03013397238558</v>
      </c>
      <c r="H1834" s="1232">
        <v>0.11531336558278851</v>
      </c>
      <c r="I1834" s="1232">
        <v>2.0083899169654099E-2</v>
      </c>
      <c r="J1834" s="1232">
        <v>1.0346104412479173E-4</v>
      </c>
      <c r="K1834" s="1232">
        <v>3.0000008603782999E-3</v>
      </c>
      <c r="L1834" s="1233">
        <v>3.0896713221885301E-2</v>
      </c>
      <c r="M1834" s="1234">
        <v>2.09920039691232E-2</v>
      </c>
      <c r="N1834" s="1235">
        <v>1.0813909343853104E-4</v>
      </c>
    </row>
    <row r="1835" spans="1:14" ht="15.5" x14ac:dyDescent="0.35">
      <c r="A1835" s="199">
        <v>2044</v>
      </c>
      <c r="B1835" s="110" t="s">
        <v>5850</v>
      </c>
      <c r="C1835" s="110">
        <v>2037</v>
      </c>
      <c r="D1835" s="110" t="str">
        <f t="shared" si="15"/>
        <v>2044_2037</v>
      </c>
      <c r="E1835" s="1231">
        <v>1.02075176659301E-2</v>
      </c>
      <c r="F1835" s="1232">
        <v>2.5409671619640955E-2</v>
      </c>
      <c r="G1835" s="1232">
        <v>0.99266034614176801</v>
      </c>
      <c r="H1835" s="1232">
        <v>0.11531336558278799</v>
      </c>
      <c r="I1835" s="1232">
        <v>1.8651279493674799E-2</v>
      </c>
      <c r="J1835" s="1232">
        <v>1.0346104412479125E-4</v>
      </c>
      <c r="K1835" s="1232">
        <v>3.0000008603782999E-3</v>
      </c>
      <c r="L1835" s="1233">
        <v>3.08967132218862E-2</v>
      </c>
      <c r="M1835" s="1234">
        <v>1.9494607588551802E-2</v>
      </c>
      <c r="N1835" s="1235">
        <v>1.0813909343853056E-4</v>
      </c>
    </row>
    <row r="1836" spans="1:14" ht="15.5" x14ac:dyDescent="0.35">
      <c r="A1836" s="199">
        <v>2044</v>
      </c>
      <c r="B1836" s="110" t="s">
        <v>5850</v>
      </c>
      <c r="C1836" s="110">
        <v>2038</v>
      </c>
      <c r="D1836" s="110" t="str">
        <f t="shared" si="15"/>
        <v>2044_2038</v>
      </c>
      <c r="E1836" s="1231">
        <v>9.8536510947994302E-3</v>
      </c>
      <c r="F1836" s="1232">
        <v>2.5409671619641049E-2</v>
      </c>
      <c r="G1836" s="1232">
        <v>0.95224434593587703</v>
      </c>
      <c r="H1836" s="1232">
        <v>0.11531336558278842</v>
      </c>
      <c r="I1836" s="1232">
        <v>1.72186598176991E-2</v>
      </c>
      <c r="J1836" s="1232">
        <v>1.0346104412479163E-4</v>
      </c>
      <c r="K1836" s="1232">
        <v>3.0000008603782999E-3</v>
      </c>
      <c r="L1836" s="1233">
        <v>3.0896713221883601E-2</v>
      </c>
      <c r="M1836" s="1234">
        <v>1.7997211207984198E-2</v>
      </c>
      <c r="N1836" s="1235">
        <v>1.0813909343853095E-4</v>
      </c>
    </row>
    <row r="1837" spans="1:14" ht="15.5" x14ac:dyDescent="0.35">
      <c r="A1837" s="199">
        <v>2044</v>
      </c>
      <c r="B1837" s="110" t="s">
        <v>5850</v>
      </c>
      <c r="C1837" s="110">
        <v>2039</v>
      </c>
      <c r="D1837" s="110" t="str">
        <f t="shared" si="15"/>
        <v>2044_2039</v>
      </c>
      <c r="E1837" s="1231">
        <v>9.4997845236685693E-3</v>
      </c>
      <c r="F1837" s="1232">
        <v>2.5409671619641052E-2</v>
      </c>
      <c r="G1837" s="1232">
        <v>0.90784257325168904</v>
      </c>
      <c r="H1837" s="1232">
        <v>0.11511131711048581</v>
      </c>
      <c r="I1837" s="1232">
        <v>1.6156821139708202E-2</v>
      </c>
      <c r="J1837" s="1232">
        <v>1.0346104412479165E-4</v>
      </c>
      <c r="K1837" s="1232">
        <v>3.0000008603782999E-3</v>
      </c>
      <c r="L1837" s="1233">
        <v>3.0896713221882099E-2</v>
      </c>
      <c r="M1837" s="1234">
        <v>1.6887360896813901E-2</v>
      </c>
      <c r="N1837" s="1235">
        <v>1.0813909343853095E-4</v>
      </c>
    </row>
    <row r="1838" spans="1:14" ht="15.5" x14ac:dyDescent="0.35">
      <c r="A1838" s="199">
        <v>2044</v>
      </c>
      <c r="B1838" s="110" t="s">
        <v>5850</v>
      </c>
      <c r="C1838" s="110">
        <v>2040</v>
      </c>
      <c r="D1838" s="110" t="str">
        <f t="shared" si="15"/>
        <v>2044_2040</v>
      </c>
      <c r="E1838" s="1231">
        <v>9.1459179525363796E-3</v>
      </c>
      <c r="F1838" s="1232">
        <v>2.540967161964109E-2</v>
      </c>
      <c r="G1838" s="1232">
        <v>0.85229412744946698</v>
      </c>
      <c r="H1838" s="1232">
        <v>0.11111791981787442</v>
      </c>
      <c r="I1838" s="1232">
        <v>1.51103049678885E-2</v>
      </c>
      <c r="J1838" s="1232">
        <v>1.0346104412479181E-4</v>
      </c>
      <c r="K1838" s="1232">
        <v>3.0000008603782999E-3</v>
      </c>
      <c r="L1838" s="1233">
        <v>3.0896713221885402E-2</v>
      </c>
      <c r="M1838" s="1234">
        <v>1.5793525907551099E-2</v>
      </c>
      <c r="N1838" s="1235">
        <v>1.0813909343853113E-4</v>
      </c>
    </row>
    <row r="1839" spans="1:14" ht="15.5" x14ac:dyDescent="0.35">
      <c r="A1839" s="199">
        <v>2044</v>
      </c>
      <c r="B1839" s="110" t="s">
        <v>5850</v>
      </c>
      <c r="C1839" s="110">
        <v>2041</v>
      </c>
      <c r="D1839" s="110" t="str">
        <f t="shared" si="15"/>
        <v>2044_2041</v>
      </c>
      <c r="E1839" s="1231">
        <v>8.7920513814064901E-3</v>
      </c>
      <c r="F1839" s="1232">
        <v>2.5409671619641173E-2</v>
      </c>
      <c r="G1839" s="1232">
        <v>0.78642330151418405</v>
      </c>
      <c r="H1839" s="1232">
        <v>0.10425251099367601</v>
      </c>
      <c r="I1839" s="1232">
        <v>1.4052696211653301E-2</v>
      </c>
      <c r="J1839" s="1232">
        <v>1.0346104412479214E-4</v>
      </c>
      <c r="K1839" s="1232">
        <v>3.0000008603782999E-3</v>
      </c>
      <c r="L1839" s="1233">
        <v>3.0896713221883899E-2</v>
      </c>
      <c r="M1839" s="1234">
        <v>1.46880967764284E-2</v>
      </c>
      <c r="N1839" s="1235">
        <v>1.0813909343853148E-4</v>
      </c>
    </row>
    <row r="1840" spans="1:14" ht="15.5" x14ac:dyDescent="0.35">
      <c r="A1840" s="198">
        <v>2044</v>
      </c>
      <c r="B1840" s="197" t="s">
        <v>5850</v>
      </c>
      <c r="C1840" s="197">
        <v>2042</v>
      </c>
      <c r="D1840" s="110" t="str">
        <f t="shared" si="15"/>
        <v>2044_2042</v>
      </c>
      <c r="E1840" s="1231">
        <v>8.4381848102748798E-3</v>
      </c>
      <c r="F1840" s="1232">
        <v>2.5409671619641114E-2</v>
      </c>
      <c r="G1840" s="1232">
        <v>0.710033137557459</v>
      </c>
      <c r="H1840" s="1232">
        <v>9.5434427926609805E-2</v>
      </c>
      <c r="I1840" s="1232">
        <v>1.3011755365274101E-2</v>
      </c>
      <c r="J1840" s="1232">
        <v>1.0346104412479191E-4</v>
      </c>
      <c r="K1840" s="1232">
        <v>3.0000008603782999E-3</v>
      </c>
      <c r="L1840" s="1233">
        <v>3.08967132218846E-2</v>
      </c>
      <c r="M1840" s="1234">
        <v>1.36000892040825E-2</v>
      </c>
      <c r="N1840" s="1235">
        <v>1.0813909343853122E-4</v>
      </c>
    </row>
    <row r="1841" spans="1:14" ht="15.5" x14ac:dyDescent="0.35">
      <c r="A1841" s="198">
        <v>2044</v>
      </c>
      <c r="B1841" s="197" t="s">
        <v>5850</v>
      </c>
      <c r="C1841" s="197">
        <v>2043</v>
      </c>
      <c r="D1841" s="110" t="str">
        <f t="shared" si="15"/>
        <v>2044_2043</v>
      </c>
      <c r="E1841" s="1231">
        <v>8.0843182391439304E-3</v>
      </c>
      <c r="F1841" s="1232">
        <v>2.5409671619641146E-2</v>
      </c>
      <c r="G1841" s="1232">
        <v>0.62078712955906301</v>
      </c>
      <c r="H1841" s="1232">
        <v>8.5583007404958875E-2</v>
      </c>
      <c r="I1841" s="1232">
        <v>1.2006560081870199E-2</v>
      </c>
      <c r="J1841" s="1232">
        <v>1.0346104412479203E-4</v>
      </c>
      <c r="K1841" s="1232">
        <v>3.0000008603782999E-3</v>
      </c>
      <c r="L1841" s="1233">
        <v>3.08967132218874E-2</v>
      </c>
      <c r="M1841" s="1234">
        <v>1.25494434504511E-2</v>
      </c>
      <c r="N1841" s="1235">
        <v>1.0813909343853137E-4</v>
      </c>
    </row>
    <row r="1842" spans="1:14" ht="15.5" x14ac:dyDescent="0.35">
      <c r="A1842" s="199">
        <v>2044</v>
      </c>
      <c r="B1842" s="110" t="s">
        <v>5850</v>
      </c>
      <c r="C1842" s="110">
        <v>2044</v>
      </c>
      <c r="D1842" s="110" t="str">
        <f t="shared" si="15"/>
        <v>2044_2044</v>
      </c>
      <c r="E1842" s="1231">
        <v>7.7307120093181303E-3</v>
      </c>
      <c r="F1842" s="1232">
        <v>2.5409673868151798E-2</v>
      </c>
      <c r="G1842" s="1232">
        <v>0.51042227137402696</v>
      </c>
      <c r="H1842" s="1232">
        <v>7.5617593659089891E-2</v>
      </c>
      <c r="I1842" s="1232">
        <v>1.10492368240069E-2</v>
      </c>
      <c r="J1842" s="1232">
        <v>1.034610532800959E-4</v>
      </c>
      <c r="K1842" s="1232">
        <v>3.0000008603779599E-3</v>
      </c>
      <c r="L1842" s="1233">
        <v>3.0894906743552799E-2</v>
      </c>
      <c r="M1842" s="1234">
        <v>1.1548834282926201E-2</v>
      </c>
      <c r="N1842" s="1235">
        <v>1.0813910300779732E-4</v>
      </c>
    </row>
    <row r="1843" spans="1:14" ht="15.5" x14ac:dyDescent="0.35">
      <c r="A1843" s="199">
        <v>2044</v>
      </c>
      <c r="B1843" s="110" t="s">
        <v>5850</v>
      </c>
      <c r="C1843" s="110">
        <v>2045</v>
      </c>
      <c r="D1843" s="110" t="str">
        <f t="shared" si="15"/>
        <v>2044_2045</v>
      </c>
      <c r="E1843" s="1231">
        <v>7.3754124053477203E-3</v>
      </c>
      <c r="F1843" s="1232">
        <v>6.0983186404332715E-2</v>
      </c>
      <c r="G1843" s="1232">
        <v>0.35071601995064799</v>
      </c>
      <c r="H1843" s="1232">
        <v>0.18148213288716275</v>
      </c>
      <c r="I1843" s="1232">
        <v>1.01378078238513E-2</v>
      </c>
      <c r="J1843" s="1232">
        <v>2.4830640214067466E-4</v>
      </c>
      <c r="K1843" s="1232">
        <v>3.0000008603799102E-3</v>
      </c>
      <c r="L1843" s="1233">
        <v>3.09052407387789E-2</v>
      </c>
      <c r="M1843" s="1234">
        <v>1.05961945077899E-2</v>
      </c>
      <c r="N1843" s="1235">
        <v>2.5953371580213544E-4</v>
      </c>
    </row>
    <row r="1844" spans="1:14" ht="15.5" x14ac:dyDescent="0.35">
      <c r="A1844" s="199">
        <v>2045</v>
      </c>
      <c r="B1844" s="110" t="s">
        <v>5850</v>
      </c>
      <c r="C1844" s="110">
        <v>1971</v>
      </c>
      <c r="D1844" s="110" t="str">
        <f t="shared" si="15"/>
        <v>2045_1971</v>
      </c>
      <c r="E1844" s="1226">
        <v>0.124170802007754</v>
      </c>
      <c r="F1844" s="1227">
        <v>5.2947673341550816E-2</v>
      </c>
      <c r="G1844" s="1227">
        <v>5.1254379283452103</v>
      </c>
      <c r="H1844" s="1227">
        <v>0.71107199196853121</v>
      </c>
      <c r="I1844" s="1227">
        <v>5.7228628794639198E-2</v>
      </c>
      <c r="J1844" s="1227">
        <v>2.1631056902387635E-4</v>
      </c>
      <c r="K1844" s="1227">
        <v>3.0000008603782999E-3</v>
      </c>
      <c r="L1844" s="1228">
        <v>2.7963062993544199E-2</v>
      </c>
      <c r="M1844" s="1229">
        <v>5.9816253440453597E-2</v>
      </c>
      <c r="N1844" s="1230">
        <v>2.2609117309120208E-4</v>
      </c>
    </row>
    <row r="1845" spans="1:14" ht="15.5" x14ac:dyDescent="0.35">
      <c r="A1845" s="199">
        <v>2045</v>
      </c>
      <c r="B1845" s="110" t="s">
        <v>5850</v>
      </c>
      <c r="C1845" s="110">
        <v>1972</v>
      </c>
      <c r="D1845" s="110" t="str">
        <f t="shared" si="15"/>
        <v>2045_1972</v>
      </c>
      <c r="E1845" s="1226">
        <v>0.124170802007754</v>
      </c>
      <c r="F1845" s="1227">
        <v>5.2947673341550816E-2</v>
      </c>
      <c r="G1845" s="1227">
        <v>5.1254379283452103</v>
      </c>
      <c r="H1845" s="1227">
        <v>0.71107199196853121</v>
      </c>
      <c r="I1845" s="1227">
        <v>5.7228628794639198E-2</v>
      </c>
      <c r="J1845" s="1227">
        <v>2.1631056902387635E-4</v>
      </c>
      <c r="K1845" s="1227">
        <v>3.0000008603782999E-3</v>
      </c>
      <c r="L1845" s="1228">
        <v>2.7963062993544199E-2</v>
      </c>
      <c r="M1845" s="1229">
        <v>5.9816253440453597E-2</v>
      </c>
      <c r="N1845" s="1230">
        <v>2.2609117309120208E-4</v>
      </c>
    </row>
    <row r="1846" spans="1:14" ht="15.5" x14ac:dyDescent="0.35">
      <c r="A1846" s="199">
        <v>2045</v>
      </c>
      <c r="B1846" s="110" t="s">
        <v>5850</v>
      </c>
      <c r="C1846" s="110">
        <v>1973</v>
      </c>
      <c r="D1846" s="110" t="str">
        <f t="shared" si="15"/>
        <v>2045_1973</v>
      </c>
      <c r="E1846" s="1226">
        <v>0.124170802007754</v>
      </c>
      <c r="F1846" s="1227">
        <v>5.2947673341550816E-2</v>
      </c>
      <c r="G1846" s="1227">
        <v>5.1254379283452103</v>
      </c>
      <c r="H1846" s="1227">
        <v>0.71107199196853121</v>
      </c>
      <c r="I1846" s="1227">
        <v>5.7228628794639198E-2</v>
      </c>
      <c r="J1846" s="1227">
        <v>2.1631056902387635E-4</v>
      </c>
      <c r="K1846" s="1227">
        <v>3.0000008603782999E-3</v>
      </c>
      <c r="L1846" s="1228">
        <v>2.7963062993544199E-2</v>
      </c>
      <c r="M1846" s="1229">
        <v>5.9816253440453597E-2</v>
      </c>
      <c r="N1846" s="1230">
        <v>2.2609117309120208E-4</v>
      </c>
    </row>
    <row r="1847" spans="1:14" ht="15.5" x14ac:dyDescent="0.35">
      <c r="A1847" s="199">
        <v>2045</v>
      </c>
      <c r="B1847" s="110" t="s">
        <v>5850</v>
      </c>
      <c r="C1847" s="110">
        <v>1974</v>
      </c>
      <c r="D1847" s="110" t="str">
        <f t="shared" si="15"/>
        <v>2045_1974</v>
      </c>
      <c r="E1847" s="1226">
        <v>0.124170802007754</v>
      </c>
      <c r="F1847" s="1227">
        <v>5.2947673341550816E-2</v>
      </c>
      <c r="G1847" s="1227">
        <v>5.1254379283452103</v>
      </c>
      <c r="H1847" s="1227">
        <v>0.71107199196853121</v>
      </c>
      <c r="I1847" s="1227">
        <v>5.7228628794639198E-2</v>
      </c>
      <c r="J1847" s="1227">
        <v>2.1631056902387635E-4</v>
      </c>
      <c r="K1847" s="1227">
        <v>3.0000008603782999E-3</v>
      </c>
      <c r="L1847" s="1228">
        <v>2.7963062993544199E-2</v>
      </c>
      <c r="M1847" s="1229">
        <v>5.9816253440453597E-2</v>
      </c>
      <c r="N1847" s="1230">
        <v>2.2609117309120208E-4</v>
      </c>
    </row>
    <row r="1848" spans="1:14" ht="15.5" x14ac:dyDescent="0.35">
      <c r="A1848" s="199">
        <v>2045</v>
      </c>
      <c r="B1848" s="110" t="s">
        <v>5850</v>
      </c>
      <c r="C1848" s="110">
        <v>1975</v>
      </c>
      <c r="D1848" s="110" t="str">
        <f t="shared" si="15"/>
        <v>2045_1975</v>
      </c>
      <c r="E1848" s="1226">
        <v>0.124170802007754</v>
      </c>
      <c r="F1848" s="1227">
        <v>5.2947673341550816E-2</v>
      </c>
      <c r="G1848" s="1227">
        <v>5.1254379283452103</v>
      </c>
      <c r="H1848" s="1227">
        <v>0.71107199196853121</v>
      </c>
      <c r="I1848" s="1227">
        <v>5.7228628794639198E-2</v>
      </c>
      <c r="J1848" s="1227">
        <v>2.1631056902387635E-4</v>
      </c>
      <c r="K1848" s="1227">
        <v>3.0000008603782999E-3</v>
      </c>
      <c r="L1848" s="1228">
        <v>2.7963062993544199E-2</v>
      </c>
      <c r="M1848" s="1229">
        <v>5.9816253440453597E-2</v>
      </c>
      <c r="N1848" s="1230">
        <v>2.2609117309120208E-4</v>
      </c>
    </row>
    <row r="1849" spans="1:14" ht="15.5" x14ac:dyDescent="0.35">
      <c r="A1849" s="199">
        <v>2045</v>
      </c>
      <c r="B1849" s="110" t="s">
        <v>5850</v>
      </c>
      <c r="C1849" s="110">
        <v>1976</v>
      </c>
      <c r="D1849" s="110" t="str">
        <f t="shared" si="15"/>
        <v>2045_1976</v>
      </c>
      <c r="E1849" s="1226">
        <v>0.124170802007754</v>
      </c>
      <c r="F1849" s="1227">
        <v>5.2947673341550816E-2</v>
      </c>
      <c r="G1849" s="1227">
        <v>5.1254379283452103</v>
      </c>
      <c r="H1849" s="1227">
        <v>0.71107199196853121</v>
      </c>
      <c r="I1849" s="1227">
        <v>5.7228628794639198E-2</v>
      </c>
      <c r="J1849" s="1227">
        <v>2.1631056902387635E-4</v>
      </c>
      <c r="K1849" s="1227">
        <v>3.0000008603782999E-3</v>
      </c>
      <c r="L1849" s="1228">
        <v>2.7963062993544199E-2</v>
      </c>
      <c r="M1849" s="1229">
        <v>5.9816253440453597E-2</v>
      </c>
      <c r="N1849" s="1230">
        <v>2.2609117309120208E-4</v>
      </c>
    </row>
    <row r="1850" spans="1:14" ht="15.5" x14ac:dyDescent="0.35">
      <c r="A1850" s="199">
        <v>2045</v>
      </c>
      <c r="B1850" s="110" t="s">
        <v>5850</v>
      </c>
      <c r="C1850" s="110">
        <v>1977</v>
      </c>
      <c r="D1850" s="110" t="str">
        <f t="shared" si="15"/>
        <v>2045_1977</v>
      </c>
      <c r="E1850" s="1226">
        <v>0.124170802007754</v>
      </c>
      <c r="F1850" s="1227">
        <v>5.2947673341550816E-2</v>
      </c>
      <c r="G1850" s="1227">
        <v>5.1254379283452103</v>
      </c>
      <c r="H1850" s="1227">
        <v>0.71107199196853121</v>
      </c>
      <c r="I1850" s="1227">
        <v>5.7228628794639198E-2</v>
      </c>
      <c r="J1850" s="1227">
        <v>2.1631056902387635E-4</v>
      </c>
      <c r="K1850" s="1227">
        <v>3.0000008603782999E-3</v>
      </c>
      <c r="L1850" s="1228">
        <v>2.7963062993544199E-2</v>
      </c>
      <c r="M1850" s="1229">
        <v>5.9816253440453597E-2</v>
      </c>
      <c r="N1850" s="1230">
        <v>2.2609117309120208E-4</v>
      </c>
    </row>
    <row r="1851" spans="1:14" ht="15.5" x14ac:dyDescent="0.35">
      <c r="A1851" s="199">
        <v>2045</v>
      </c>
      <c r="B1851" s="110" t="s">
        <v>5850</v>
      </c>
      <c r="C1851" s="110">
        <v>1978</v>
      </c>
      <c r="D1851" s="110" t="str">
        <f t="shared" si="15"/>
        <v>2045_1978</v>
      </c>
      <c r="E1851" s="1226">
        <v>0.124170802007754</v>
      </c>
      <c r="F1851" s="1227">
        <v>5.2947673341550816E-2</v>
      </c>
      <c r="G1851" s="1227">
        <v>5.1254379283452103</v>
      </c>
      <c r="H1851" s="1227">
        <v>0.71107199196853121</v>
      </c>
      <c r="I1851" s="1227">
        <v>5.7228628794639198E-2</v>
      </c>
      <c r="J1851" s="1227">
        <v>2.1631056902387635E-4</v>
      </c>
      <c r="K1851" s="1227">
        <v>3.0000008603782999E-3</v>
      </c>
      <c r="L1851" s="1228">
        <v>2.7963062993544199E-2</v>
      </c>
      <c r="M1851" s="1229">
        <v>5.9816253440453597E-2</v>
      </c>
      <c r="N1851" s="1230">
        <v>2.2609117309120208E-4</v>
      </c>
    </row>
    <row r="1852" spans="1:14" ht="15.5" x14ac:dyDescent="0.35">
      <c r="A1852" s="199">
        <v>2045</v>
      </c>
      <c r="B1852" s="110" t="s">
        <v>5850</v>
      </c>
      <c r="C1852" s="110">
        <v>1979</v>
      </c>
      <c r="D1852" s="110" t="str">
        <f t="shared" si="15"/>
        <v>2045_1979</v>
      </c>
      <c r="E1852" s="1226">
        <v>0.124170802007754</v>
      </c>
      <c r="F1852" s="1227">
        <v>5.2947673341550816E-2</v>
      </c>
      <c r="G1852" s="1227">
        <v>5.1254379283452103</v>
      </c>
      <c r="H1852" s="1227">
        <v>0.71107199196853121</v>
      </c>
      <c r="I1852" s="1227">
        <v>5.7228628794639198E-2</v>
      </c>
      <c r="J1852" s="1227">
        <v>2.1631056902387635E-4</v>
      </c>
      <c r="K1852" s="1227">
        <v>3.0000008603782999E-3</v>
      </c>
      <c r="L1852" s="1228">
        <v>2.7963062993544199E-2</v>
      </c>
      <c r="M1852" s="1229">
        <v>5.9816253440453597E-2</v>
      </c>
      <c r="N1852" s="1230">
        <v>2.2609117309120208E-4</v>
      </c>
    </row>
    <row r="1853" spans="1:14" ht="15.5" x14ac:dyDescent="0.35">
      <c r="A1853" s="199">
        <v>2045</v>
      </c>
      <c r="B1853" s="110" t="s">
        <v>5850</v>
      </c>
      <c r="C1853" s="110">
        <v>1980</v>
      </c>
      <c r="D1853" s="110" t="str">
        <f t="shared" si="15"/>
        <v>2045_1980</v>
      </c>
      <c r="E1853" s="1226">
        <v>0.124170802007754</v>
      </c>
      <c r="F1853" s="1227">
        <v>5.2947673341550816E-2</v>
      </c>
      <c r="G1853" s="1227">
        <v>5.1254379283452103</v>
      </c>
      <c r="H1853" s="1227">
        <v>0.71107199196853121</v>
      </c>
      <c r="I1853" s="1227">
        <v>5.7228628794639198E-2</v>
      </c>
      <c r="J1853" s="1227">
        <v>2.1631056902387635E-4</v>
      </c>
      <c r="K1853" s="1227">
        <v>3.0000008603782999E-3</v>
      </c>
      <c r="L1853" s="1228">
        <v>2.7963062993544199E-2</v>
      </c>
      <c r="M1853" s="1229">
        <v>5.9816253440453597E-2</v>
      </c>
      <c r="N1853" s="1230">
        <v>2.2609117309120208E-4</v>
      </c>
    </row>
    <row r="1854" spans="1:14" ht="15.5" x14ac:dyDescent="0.35">
      <c r="A1854" s="199">
        <v>2045</v>
      </c>
      <c r="B1854" s="110" t="s">
        <v>5850</v>
      </c>
      <c r="C1854" s="110">
        <v>1981</v>
      </c>
      <c r="D1854" s="110" t="str">
        <f t="shared" si="15"/>
        <v>2045_1981</v>
      </c>
      <c r="E1854" s="1226">
        <v>0.124170802007754</v>
      </c>
      <c r="F1854" s="1227">
        <v>5.2947673341550816E-2</v>
      </c>
      <c r="G1854" s="1227">
        <v>5.1254379283452103</v>
      </c>
      <c r="H1854" s="1227">
        <v>0.71107199196853121</v>
      </c>
      <c r="I1854" s="1227">
        <v>5.7228628794639198E-2</v>
      </c>
      <c r="J1854" s="1227">
        <v>2.1631056902387635E-4</v>
      </c>
      <c r="K1854" s="1227">
        <v>3.0000008603782999E-3</v>
      </c>
      <c r="L1854" s="1228">
        <v>2.7963062993544199E-2</v>
      </c>
      <c r="M1854" s="1229">
        <v>5.9816253440453597E-2</v>
      </c>
      <c r="N1854" s="1230">
        <v>2.2609117309120208E-4</v>
      </c>
    </row>
    <row r="1855" spans="1:14" ht="15.5" x14ac:dyDescent="0.35">
      <c r="A1855" s="199">
        <v>2045</v>
      </c>
      <c r="B1855" s="110" t="s">
        <v>5850</v>
      </c>
      <c r="C1855" s="110">
        <v>1982</v>
      </c>
      <c r="D1855" s="110" t="str">
        <f t="shared" si="15"/>
        <v>2045_1982</v>
      </c>
      <c r="E1855" s="1226">
        <v>0.124170802007754</v>
      </c>
      <c r="F1855" s="1227">
        <v>5.2947673341550816E-2</v>
      </c>
      <c r="G1855" s="1227">
        <v>5.1254379283452103</v>
      </c>
      <c r="H1855" s="1227">
        <v>0.71107199196853121</v>
      </c>
      <c r="I1855" s="1227">
        <v>5.7228628794639198E-2</v>
      </c>
      <c r="J1855" s="1227">
        <v>2.1631056902387635E-4</v>
      </c>
      <c r="K1855" s="1227">
        <v>3.0000008603782999E-3</v>
      </c>
      <c r="L1855" s="1228">
        <v>2.7963062993544199E-2</v>
      </c>
      <c r="M1855" s="1229">
        <v>5.9816253440453597E-2</v>
      </c>
      <c r="N1855" s="1230">
        <v>2.2609117309120208E-4</v>
      </c>
    </row>
    <row r="1856" spans="1:14" ht="15.5" x14ac:dyDescent="0.35">
      <c r="A1856" s="199">
        <v>2045</v>
      </c>
      <c r="B1856" s="110" t="s">
        <v>5850</v>
      </c>
      <c r="C1856" s="110">
        <v>1983</v>
      </c>
      <c r="D1856" s="110" t="str">
        <f t="shared" si="15"/>
        <v>2045_1983</v>
      </c>
      <c r="E1856" s="1226">
        <v>0.124170802007754</v>
      </c>
      <c r="F1856" s="1227">
        <v>5.2947673341550816E-2</v>
      </c>
      <c r="G1856" s="1227">
        <v>5.1254379283452103</v>
      </c>
      <c r="H1856" s="1227">
        <v>0.71107199196853121</v>
      </c>
      <c r="I1856" s="1227">
        <v>5.7228628794639198E-2</v>
      </c>
      <c r="J1856" s="1227">
        <v>2.1631056902387635E-4</v>
      </c>
      <c r="K1856" s="1227">
        <v>3.0000008603782999E-3</v>
      </c>
      <c r="L1856" s="1228">
        <v>2.7963062993544199E-2</v>
      </c>
      <c r="M1856" s="1229">
        <v>5.9816253440453597E-2</v>
      </c>
      <c r="N1856" s="1230">
        <v>2.2609117309120208E-4</v>
      </c>
    </row>
    <row r="1857" spans="1:14" ht="15.5" x14ac:dyDescent="0.35">
      <c r="A1857" s="199">
        <v>2045</v>
      </c>
      <c r="B1857" s="110" t="s">
        <v>5850</v>
      </c>
      <c r="C1857" s="110">
        <v>1984</v>
      </c>
      <c r="D1857" s="110" t="str">
        <f t="shared" si="15"/>
        <v>2045_1984</v>
      </c>
      <c r="E1857" s="1226">
        <v>0.124170802007754</v>
      </c>
      <c r="F1857" s="1227">
        <v>5.2947673341550816E-2</v>
      </c>
      <c r="G1857" s="1227">
        <v>5.1254379283452103</v>
      </c>
      <c r="H1857" s="1227">
        <v>0.71107199196853121</v>
      </c>
      <c r="I1857" s="1227">
        <v>5.7228628794639198E-2</v>
      </c>
      <c r="J1857" s="1227">
        <v>2.1631056902387635E-4</v>
      </c>
      <c r="K1857" s="1227">
        <v>3.0000008603782999E-3</v>
      </c>
      <c r="L1857" s="1228">
        <v>2.7963062993544199E-2</v>
      </c>
      <c r="M1857" s="1229">
        <v>5.9816253440453597E-2</v>
      </c>
      <c r="N1857" s="1230">
        <v>2.2609117309120208E-4</v>
      </c>
    </row>
    <row r="1858" spans="1:14" ht="15.5" x14ac:dyDescent="0.35">
      <c r="A1858" s="199">
        <v>2045</v>
      </c>
      <c r="B1858" s="110" t="s">
        <v>5850</v>
      </c>
      <c r="C1858" s="110">
        <v>1985</v>
      </c>
      <c r="D1858" s="110" t="str">
        <f t="shared" si="15"/>
        <v>2045_1985</v>
      </c>
      <c r="E1858" s="1226">
        <v>0.124170802007754</v>
      </c>
      <c r="F1858" s="1227">
        <v>5.2947673341550816E-2</v>
      </c>
      <c r="G1858" s="1227">
        <v>5.1254379283452103</v>
      </c>
      <c r="H1858" s="1227">
        <v>0.71107199196853121</v>
      </c>
      <c r="I1858" s="1227">
        <v>5.7228628794639198E-2</v>
      </c>
      <c r="J1858" s="1227">
        <v>2.1631056902387635E-4</v>
      </c>
      <c r="K1858" s="1227">
        <v>3.0000008603782999E-3</v>
      </c>
      <c r="L1858" s="1228">
        <v>2.7963062993544199E-2</v>
      </c>
      <c r="M1858" s="1229">
        <v>5.9816253440453597E-2</v>
      </c>
      <c r="N1858" s="1230">
        <v>2.2609117309120208E-4</v>
      </c>
    </row>
    <row r="1859" spans="1:14" ht="15.5" x14ac:dyDescent="0.35">
      <c r="A1859" s="199">
        <v>2045</v>
      </c>
      <c r="B1859" s="110" t="s">
        <v>5850</v>
      </c>
      <c r="C1859" s="110">
        <v>1986</v>
      </c>
      <c r="D1859" s="110" t="str">
        <f t="shared" si="15"/>
        <v>2045_1986</v>
      </c>
      <c r="E1859" s="1226">
        <v>0.124170802007754</v>
      </c>
      <c r="F1859" s="1227">
        <v>5.2947673341550816E-2</v>
      </c>
      <c r="G1859" s="1227">
        <v>5.1254379283452103</v>
      </c>
      <c r="H1859" s="1227">
        <v>0.71107199196853121</v>
      </c>
      <c r="I1859" s="1227">
        <v>5.7228628794639198E-2</v>
      </c>
      <c r="J1859" s="1227">
        <v>2.1631056902387635E-4</v>
      </c>
      <c r="K1859" s="1227">
        <v>3.0000008603782999E-3</v>
      </c>
      <c r="L1859" s="1228">
        <v>2.7963062993544199E-2</v>
      </c>
      <c r="M1859" s="1229">
        <v>5.9816253440453597E-2</v>
      </c>
      <c r="N1859" s="1230">
        <v>2.2609117309120208E-4</v>
      </c>
    </row>
    <row r="1860" spans="1:14" ht="15.5" x14ac:dyDescent="0.35">
      <c r="A1860" s="199">
        <v>2045</v>
      </c>
      <c r="B1860" s="110" t="s">
        <v>5850</v>
      </c>
      <c r="C1860" s="110">
        <v>1987</v>
      </c>
      <c r="D1860" s="110" t="str">
        <f t="shared" si="15"/>
        <v>2045_1987</v>
      </c>
      <c r="E1860" s="1226">
        <v>0.124170802007754</v>
      </c>
      <c r="F1860" s="1227">
        <v>5.2947673341550816E-2</v>
      </c>
      <c r="G1860" s="1227">
        <v>5.1254379283452103</v>
      </c>
      <c r="H1860" s="1227">
        <v>0.71107199196853121</v>
      </c>
      <c r="I1860" s="1227">
        <v>5.7228628794639198E-2</v>
      </c>
      <c r="J1860" s="1227">
        <v>2.1631056902387635E-4</v>
      </c>
      <c r="K1860" s="1227">
        <v>3.0000008603782999E-3</v>
      </c>
      <c r="L1860" s="1228">
        <v>2.7963062993544199E-2</v>
      </c>
      <c r="M1860" s="1229">
        <v>5.9816253440453597E-2</v>
      </c>
      <c r="N1860" s="1230">
        <v>2.2609117309120208E-4</v>
      </c>
    </row>
    <row r="1861" spans="1:14" ht="15.5" x14ac:dyDescent="0.35">
      <c r="A1861" s="199">
        <v>2045</v>
      </c>
      <c r="B1861" s="110" t="s">
        <v>5850</v>
      </c>
      <c r="C1861" s="110">
        <v>1988</v>
      </c>
      <c r="D1861" s="110" t="str">
        <f t="shared" si="15"/>
        <v>2045_1988</v>
      </c>
      <c r="E1861" s="1226">
        <v>0.124170802007754</v>
      </c>
      <c r="F1861" s="1227">
        <v>5.2947673341550816E-2</v>
      </c>
      <c r="G1861" s="1227">
        <v>5.1254379283452103</v>
      </c>
      <c r="H1861" s="1227">
        <v>0.71107199196853121</v>
      </c>
      <c r="I1861" s="1227">
        <v>5.7228628794639198E-2</v>
      </c>
      <c r="J1861" s="1227">
        <v>2.1631056902387635E-4</v>
      </c>
      <c r="K1861" s="1227">
        <v>3.0000008603782999E-3</v>
      </c>
      <c r="L1861" s="1228">
        <v>2.7963062993544199E-2</v>
      </c>
      <c r="M1861" s="1229">
        <v>5.9816253440453597E-2</v>
      </c>
      <c r="N1861" s="1230">
        <v>2.2609117309120208E-4</v>
      </c>
    </row>
    <row r="1862" spans="1:14" ht="15.5" x14ac:dyDescent="0.35">
      <c r="A1862" s="199">
        <v>2045</v>
      </c>
      <c r="B1862" s="110" t="s">
        <v>5850</v>
      </c>
      <c r="C1862" s="110">
        <v>1989</v>
      </c>
      <c r="D1862" s="110" t="str">
        <f t="shared" si="15"/>
        <v>2045_1989</v>
      </c>
      <c r="E1862" s="1226">
        <v>0.124170802007754</v>
      </c>
      <c r="F1862" s="1227">
        <v>5.2947673341550816E-2</v>
      </c>
      <c r="G1862" s="1227">
        <v>5.1254379283452103</v>
      </c>
      <c r="H1862" s="1227">
        <v>0.71107199196853121</v>
      </c>
      <c r="I1862" s="1227">
        <v>5.7228628794639198E-2</v>
      </c>
      <c r="J1862" s="1227">
        <v>2.1631056902387635E-4</v>
      </c>
      <c r="K1862" s="1227">
        <v>3.0000008603782999E-3</v>
      </c>
      <c r="L1862" s="1228">
        <v>2.7963062993544199E-2</v>
      </c>
      <c r="M1862" s="1229">
        <v>5.9816253440453597E-2</v>
      </c>
      <c r="N1862" s="1230">
        <v>2.2609117309120208E-4</v>
      </c>
    </row>
    <row r="1863" spans="1:14" ht="15.5" x14ac:dyDescent="0.35">
      <c r="A1863" s="199">
        <v>2045</v>
      </c>
      <c r="B1863" s="110" t="s">
        <v>5850</v>
      </c>
      <c r="C1863" s="110">
        <v>1990</v>
      </c>
      <c r="D1863" s="110" t="str">
        <f t="shared" si="15"/>
        <v>2045_1990</v>
      </c>
      <c r="E1863" s="1226">
        <v>0.124170802007754</v>
      </c>
      <c r="F1863" s="1227">
        <v>5.2947673341550816E-2</v>
      </c>
      <c r="G1863" s="1227">
        <v>5.1254379283452103</v>
      </c>
      <c r="H1863" s="1227">
        <v>0.71107199196853121</v>
      </c>
      <c r="I1863" s="1227">
        <v>5.7228628794639198E-2</v>
      </c>
      <c r="J1863" s="1227">
        <v>2.1631056902387635E-4</v>
      </c>
      <c r="K1863" s="1227">
        <v>3.0000008603782999E-3</v>
      </c>
      <c r="L1863" s="1228">
        <v>2.7963062993544199E-2</v>
      </c>
      <c r="M1863" s="1229">
        <v>5.9816253440453597E-2</v>
      </c>
      <c r="N1863" s="1230">
        <v>2.2609117309120208E-4</v>
      </c>
    </row>
    <row r="1864" spans="1:14" ht="15.5" x14ac:dyDescent="0.35">
      <c r="A1864" s="199">
        <v>2045</v>
      </c>
      <c r="B1864" s="110" t="s">
        <v>5850</v>
      </c>
      <c r="C1864" s="110">
        <v>1991</v>
      </c>
      <c r="D1864" s="110" t="str">
        <f t="shared" si="15"/>
        <v>2045_1991</v>
      </c>
      <c r="E1864" s="1226">
        <v>0.124170802007754</v>
      </c>
      <c r="F1864" s="1227">
        <v>5.2947673341550816E-2</v>
      </c>
      <c r="G1864" s="1227">
        <v>5.1254379283452103</v>
      </c>
      <c r="H1864" s="1227">
        <v>0.71107199196853121</v>
      </c>
      <c r="I1864" s="1227">
        <v>5.7228628794639198E-2</v>
      </c>
      <c r="J1864" s="1227">
        <v>2.1631056902387635E-4</v>
      </c>
      <c r="K1864" s="1227">
        <v>3.0000008603782999E-3</v>
      </c>
      <c r="L1864" s="1228">
        <v>2.7963062993544199E-2</v>
      </c>
      <c r="M1864" s="1229">
        <v>5.9816253440453597E-2</v>
      </c>
      <c r="N1864" s="1230">
        <v>2.2609117309120208E-4</v>
      </c>
    </row>
    <row r="1865" spans="1:14" ht="15.5" x14ac:dyDescent="0.35">
      <c r="A1865" s="199">
        <v>2045</v>
      </c>
      <c r="B1865" s="110" t="s">
        <v>5850</v>
      </c>
      <c r="C1865" s="110">
        <v>1992</v>
      </c>
      <c r="D1865" s="110" t="str">
        <f t="shared" si="15"/>
        <v>2045_1992</v>
      </c>
      <c r="E1865" s="1226">
        <v>0.124170802007754</v>
      </c>
      <c r="F1865" s="1227">
        <v>5.2947673341550816E-2</v>
      </c>
      <c r="G1865" s="1227">
        <v>5.1254379283452103</v>
      </c>
      <c r="H1865" s="1227">
        <v>0.71107199196853121</v>
      </c>
      <c r="I1865" s="1227">
        <v>5.7228628794639198E-2</v>
      </c>
      <c r="J1865" s="1227">
        <v>2.1631056902387635E-4</v>
      </c>
      <c r="K1865" s="1227">
        <v>3.0000008603782999E-3</v>
      </c>
      <c r="L1865" s="1228">
        <v>2.7963062993544199E-2</v>
      </c>
      <c r="M1865" s="1229">
        <v>5.9816253440453597E-2</v>
      </c>
      <c r="N1865" s="1230">
        <v>2.2609117309120208E-4</v>
      </c>
    </row>
    <row r="1866" spans="1:14" ht="15.5" x14ac:dyDescent="0.35">
      <c r="A1866" s="199">
        <v>2045</v>
      </c>
      <c r="B1866" s="110" t="s">
        <v>5850</v>
      </c>
      <c r="C1866" s="110">
        <v>1993</v>
      </c>
      <c r="D1866" s="110" t="str">
        <f t="shared" si="15"/>
        <v>2045_1993</v>
      </c>
      <c r="E1866" s="1226">
        <v>0.124170802007754</v>
      </c>
      <c r="F1866" s="1227">
        <v>5.2947673341550816E-2</v>
      </c>
      <c r="G1866" s="1227">
        <v>5.1254379283452103</v>
      </c>
      <c r="H1866" s="1227">
        <v>0.71107199196853121</v>
      </c>
      <c r="I1866" s="1227">
        <v>5.7228628794639198E-2</v>
      </c>
      <c r="J1866" s="1227">
        <v>2.1631056902387635E-4</v>
      </c>
      <c r="K1866" s="1227">
        <v>3.0000008603782999E-3</v>
      </c>
      <c r="L1866" s="1228">
        <v>2.7963062993544199E-2</v>
      </c>
      <c r="M1866" s="1229">
        <v>5.9816253440453597E-2</v>
      </c>
      <c r="N1866" s="1230">
        <v>2.2609117309120208E-4</v>
      </c>
    </row>
    <row r="1867" spans="1:14" ht="15.5" x14ac:dyDescent="0.35">
      <c r="A1867" s="199">
        <v>2045</v>
      </c>
      <c r="B1867" s="110" t="s">
        <v>5850</v>
      </c>
      <c r="C1867" s="110">
        <v>1994</v>
      </c>
      <c r="D1867" s="110" t="str">
        <f t="shared" si="15"/>
        <v>2045_1994</v>
      </c>
      <c r="E1867" s="1226">
        <v>0.124170802007754</v>
      </c>
      <c r="F1867" s="1227">
        <v>5.2947673341550816E-2</v>
      </c>
      <c r="G1867" s="1227">
        <v>5.1254379283452103</v>
      </c>
      <c r="H1867" s="1227">
        <v>0.71107199196853121</v>
      </c>
      <c r="I1867" s="1227">
        <v>5.7228628794639198E-2</v>
      </c>
      <c r="J1867" s="1227">
        <v>2.1631056902387635E-4</v>
      </c>
      <c r="K1867" s="1227">
        <v>3.0000008603782999E-3</v>
      </c>
      <c r="L1867" s="1228">
        <v>2.7963062993544199E-2</v>
      </c>
      <c r="M1867" s="1229">
        <v>5.9816253440453597E-2</v>
      </c>
      <c r="N1867" s="1230">
        <v>2.2609117309120208E-4</v>
      </c>
    </row>
    <row r="1868" spans="1:14" ht="15.5" x14ac:dyDescent="0.35">
      <c r="A1868" s="199">
        <v>2045</v>
      </c>
      <c r="B1868" s="110" t="s">
        <v>5850</v>
      </c>
      <c r="C1868" s="110">
        <v>1995</v>
      </c>
      <c r="D1868" s="110" t="str">
        <f t="shared" si="15"/>
        <v>2045_1995</v>
      </c>
      <c r="E1868" s="1226">
        <v>0.124170802007754</v>
      </c>
      <c r="F1868" s="1227">
        <v>5.2947673341550816E-2</v>
      </c>
      <c r="G1868" s="1227">
        <v>5.1254379283452103</v>
      </c>
      <c r="H1868" s="1227">
        <v>0.71107199196853121</v>
      </c>
      <c r="I1868" s="1227">
        <v>5.7228628794639198E-2</v>
      </c>
      <c r="J1868" s="1227">
        <v>2.1631056902387635E-4</v>
      </c>
      <c r="K1868" s="1227">
        <v>3.0000008603782999E-3</v>
      </c>
      <c r="L1868" s="1228">
        <v>2.7963062993544199E-2</v>
      </c>
      <c r="M1868" s="1229">
        <v>5.9816253440453597E-2</v>
      </c>
      <c r="N1868" s="1230">
        <v>2.2609117309120208E-4</v>
      </c>
    </row>
    <row r="1869" spans="1:14" ht="15.5" x14ac:dyDescent="0.35">
      <c r="A1869" s="199">
        <v>2045</v>
      </c>
      <c r="B1869" s="110" t="s">
        <v>5850</v>
      </c>
      <c r="C1869" s="110">
        <v>1996</v>
      </c>
      <c r="D1869" s="110" t="str">
        <f t="shared" si="15"/>
        <v>2045_1996</v>
      </c>
      <c r="E1869" s="1226">
        <v>0.124170802007754</v>
      </c>
      <c r="F1869" s="1227">
        <v>5.2947673341550816E-2</v>
      </c>
      <c r="G1869" s="1227">
        <v>5.1254379283452103</v>
      </c>
      <c r="H1869" s="1227">
        <v>0.71107199196853121</v>
      </c>
      <c r="I1869" s="1227">
        <v>5.7228628794639198E-2</v>
      </c>
      <c r="J1869" s="1227">
        <v>2.1631056902387635E-4</v>
      </c>
      <c r="K1869" s="1227">
        <v>3.0000008603782999E-3</v>
      </c>
      <c r="L1869" s="1228">
        <v>2.7963062993544199E-2</v>
      </c>
      <c r="M1869" s="1229">
        <v>5.9816253440453597E-2</v>
      </c>
      <c r="N1869" s="1230">
        <v>2.2609117309120208E-4</v>
      </c>
    </row>
    <row r="1870" spans="1:14" ht="15.5" x14ac:dyDescent="0.35">
      <c r="A1870" s="199">
        <v>2045</v>
      </c>
      <c r="B1870" s="110" t="s">
        <v>5850</v>
      </c>
      <c r="C1870" s="110">
        <v>1997</v>
      </c>
      <c r="D1870" s="110" t="str">
        <f t="shared" si="15"/>
        <v>2045_1997</v>
      </c>
      <c r="E1870" s="1226">
        <v>0.124170802007754</v>
      </c>
      <c r="F1870" s="1227">
        <v>5.2947673341550816E-2</v>
      </c>
      <c r="G1870" s="1227">
        <v>5.1254379283452103</v>
      </c>
      <c r="H1870" s="1227">
        <v>0.71107199196853121</v>
      </c>
      <c r="I1870" s="1227">
        <v>5.7228628794639198E-2</v>
      </c>
      <c r="J1870" s="1227">
        <v>2.1631056902387635E-4</v>
      </c>
      <c r="K1870" s="1227">
        <v>3.0000008603782999E-3</v>
      </c>
      <c r="L1870" s="1228">
        <v>2.7963062993544199E-2</v>
      </c>
      <c r="M1870" s="1229">
        <v>5.9816253440453597E-2</v>
      </c>
      <c r="N1870" s="1230">
        <v>2.2609117309120208E-4</v>
      </c>
    </row>
    <row r="1871" spans="1:14" ht="15.5" x14ac:dyDescent="0.35">
      <c r="A1871" s="199">
        <v>2045</v>
      </c>
      <c r="B1871" s="110" t="s">
        <v>5850</v>
      </c>
      <c r="C1871" s="110">
        <v>1998</v>
      </c>
      <c r="D1871" s="110" t="str">
        <f t="shared" si="15"/>
        <v>2045_1998</v>
      </c>
      <c r="E1871" s="1226">
        <v>0.124170802007754</v>
      </c>
      <c r="F1871" s="1227">
        <v>5.2947673341550816E-2</v>
      </c>
      <c r="G1871" s="1227">
        <v>5.1254379283452103</v>
      </c>
      <c r="H1871" s="1227">
        <v>0.71107199196853121</v>
      </c>
      <c r="I1871" s="1227">
        <v>5.7228628794639198E-2</v>
      </c>
      <c r="J1871" s="1227">
        <v>2.1631056902387635E-4</v>
      </c>
      <c r="K1871" s="1227">
        <v>3.0000008603782999E-3</v>
      </c>
      <c r="L1871" s="1228">
        <v>2.7963062993544199E-2</v>
      </c>
      <c r="M1871" s="1229">
        <v>5.9816253440453597E-2</v>
      </c>
      <c r="N1871" s="1230">
        <v>2.2609117309120208E-4</v>
      </c>
    </row>
    <row r="1872" spans="1:14" ht="15.5" x14ac:dyDescent="0.35">
      <c r="A1872" s="199">
        <v>2045</v>
      </c>
      <c r="B1872" s="110" t="s">
        <v>5850</v>
      </c>
      <c r="C1872" s="110">
        <v>1999</v>
      </c>
      <c r="D1872" s="110" t="str">
        <f t="shared" si="15"/>
        <v>2045_1999</v>
      </c>
      <c r="E1872" s="1226">
        <v>0.124170802007754</v>
      </c>
      <c r="F1872" s="1227">
        <v>5.2947673341550816E-2</v>
      </c>
      <c r="G1872" s="1227">
        <v>5.1254379283452103</v>
      </c>
      <c r="H1872" s="1227">
        <v>0.71107199196853121</v>
      </c>
      <c r="I1872" s="1227">
        <v>5.7228628794639198E-2</v>
      </c>
      <c r="J1872" s="1227">
        <v>2.1631056902387635E-4</v>
      </c>
      <c r="K1872" s="1227">
        <v>3.0000008603782999E-3</v>
      </c>
      <c r="L1872" s="1228">
        <v>2.7963062993544199E-2</v>
      </c>
      <c r="M1872" s="1229">
        <v>5.9816253440453597E-2</v>
      </c>
      <c r="N1872" s="1230">
        <v>2.2609117309120208E-4</v>
      </c>
    </row>
    <row r="1873" spans="1:14" ht="15.5" x14ac:dyDescent="0.35">
      <c r="A1873" s="199">
        <v>2045</v>
      </c>
      <c r="B1873" s="110" t="s">
        <v>5850</v>
      </c>
      <c r="C1873" s="110">
        <v>2000</v>
      </c>
      <c r="D1873" s="110" t="str">
        <f t="shared" si="15"/>
        <v>2045_2000</v>
      </c>
      <c r="E1873" s="1226">
        <v>0.124170802007754</v>
      </c>
      <c r="F1873" s="1227">
        <v>5.2947673341550816E-2</v>
      </c>
      <c r="G1873" s="1227">
        <v>5.1254379283452103</v>
      </c>
      <c r="H1873" s="1227">
        <v>0.71107199196853121</v>
      </c>
      <c r="I1873" s="1227">
        <v>5.7228628794639198E-2</v>
      </c>
      <c r="J1873" s="1227">
        <v>2.1631056902387635E-4</v>
      </c>
      <c r="K1873" s="1227">
        <v>3.0000008603782999E-3</v>
      </c>
      <c r="L1873" s="1228">
        <v>2.7963062993544199E-2</v>
      </c>
      <c r="M1873" s="1229">
        <v>5.9816253440453597E-2</v>
      </c>
      <c r="N1873" s="1230">
        <v>2.2609117309120208E-4</v>
      </c>
    </row>
    <row r="1874" spans="1:14" ht="15.5" x14ac:dyDescent="0.35">
      <c r="A1874" s="199">
        <v>2045</v>
      </c>
      <c r="B1874" s="110" t="s">
        <v>5850</v>
      </c>
      <c r="C1874" s="110">
        <v>2001</v>
      </c>
      <c r="D1874" s="110" t="str">
        <f t="shared" si="15"/>
        <v>2045_2001</v>
      </c>
      <c r="E1874" s="1226">
        <v>0.124170802007754</v>
      </c>
      <c r="F1874" s="1227">
        <v>5.2947673341550816E-2</v>
      </c>
      <c r="G1874" s="1227">
        <v>5.1254379283452103</v>
      </c>
      <c r="H1874" s="1227">
        <v>0.71107199196853121</v>
      </c>
      <c r="I1874" s="1227">
        <v>5.7228628794639198E-2</v>
      </c>
      <c r="J1874" s="1227">
        <v>2.1631056902387635E-4</v>
      </c>
      <c r="K1874" s="1227">
        <v>3.0000008603782999E-3</v>
      </c>
      <c r="L1874" s="1228">
        <v>2.7963062993544199E-2</v>
      </c>
      <c r="M1874" s="1229">
        <v>5.9816253440453597E-2</v>
      </c>
      <c r="N1874" s="1230">
        <v>2.2609117309120208E-4</v>
      </c>
    </row>
    <row r="1875" spans="1:14" ht="15.5" x14ac:dyDescent="0.35">
      <c r="A1875" s="199">
        <v>2045</v>
      </c>
      <c r="B1875" s="110" t="s">
        <v>5850</v>
      </c>
      <c r="C1875" s="110">
        <v>2002</v>
      </c>
      <c r="D1875" s="110" t="str">
        <f t="shared" si="15"/>
        <v>2045_2002</v>
      </c>
      <c r="E1875" s="1226">
        <v>0.124170802007754</v>
      </c>
      <c r="F1875" s="1227">
        <v>5.2947673341550816E-2</v>
      </c>
      <c r="G1875" s="1227">
        <v>5.1254379283452103</v>
      </c>
      <c r="H1875" s="1227">
        <v>0.71107199196853121</v>
      </c>
      <c r="I1875" s="1227">
        <v>5.7228628794639198E-2</v>
      </c>
      <c r="J1875" s="1227">
        <v>2.1631056902387635E-4</v>
      </c>
      <c r="K1875" s="1227">
        <v>3.0000008603782999E-3</v>
      </c>
      <c r="L1875" s="1228">
        <v>2.7963062993544199E-2</v>
      </c>
      <c r="M1875" s="1229">
        <v>5.9816253440453597E-2</v>
      </c>
      <c r="N1875" s="1230">
        <v>2.2609117309120208E-4</v>
      </c>
    </row>
    <row r="1876" spans="1:14" ht="15.5" x14ac:dyDescent="0.35">
      <c r="A1876" s="199">
        <v>2045</v>
      </c>
      <c r="B1876" s="110" t="s">
        <v>5850</v>
      </c>
      <c r="C1876" s="110">
        <v>2003</v>
      </c>
      <c r="D1876" s="110" t="str">
        <f t="shared" si="15"/>
        <v>2045_2003</v>
      </c>
      <c r="E1876" s="1226">
        <v>0.124170802007754</v>
      </c>
      <c r="F1876" s="1227">
        <v>5.2947673341550816E-2</v>
      </c>
      <c r="G1876" s="1227">
        <v>5.1254379283452103</v>
      </c>
      <c r="H1876" s="1227">
        <v>0.71107199196853121</v>
      </c>
      <c r="I1876" s="1227">
        <v>5.7228628794639198E-2</v>
      </c>
      <c r="J1876" s="1227">
        <v>2.1631056902387635E-4</v>
      </c>
      <c r="K1876" s="1227">
        <v>3.0000008603782999E-3</v>
      </c>
      <c r="L1876" s="1228">
        <v>2.7963062993544199E-2</v>
      </c>
      <c r="M1876" s="1229">
        <v>5.9816253440453597E-2</v>
      </c>
      <c r="N1876" s="1230">
        <v>2.2609117309120208E-4</v>
      </c>
    </row>
    <row r="1877" spans="1:14" ht="15.5" x14ac:dyDescent="0.35">
      <c r="A1877" s="199">
        <v>2045</v>
      </c>
      <c r="B1877" s="110" t="s">
        <v>5850</v>
      </c>
      <c r="C1877" s="110">
        <v>2004</v>
      </c>
      <c r="D1877" s="110" t="str">
        <f t="shared" si="15"/>
        <v>2045_2004</v>
      </c>
      <c r="E1877" s="1226">
        <v>0.124170802007754</v>
      </c>
      <c r="F1877" s="1227">
        <v>5.2947673341550816E-2</v>
      </c>
      <c r="G1877" s="1227">
        <v>5.1254379283452103</v>
      </c>
      <c r="H1877" s="1227">
        <v>0.71107199196853121</v>
      </c>
      <c r="I1877" s="1227">
        <v>5.7228628794639198E-2</v>
      </c>
      <c r="J1877" s="1227">
        <v>2.1631056902387635E-4</v>
      </c>
      <c r="K1877" s="1227">
        <v>3.0000008603782999E-3</v>
      </c>
      <c r="L1877" s="1228">
        <v>2.7963062993544199E-2</v>
      </c>
      <c r="M1877" s="1229">
        <v>5.9816253440453597E-2</v>
      </c>
      <c r="N1877" s="1230">
        <v>2.2609117309120208E-4</v>
      </c>
    </row>
    <row r="1878" spans="1:14" ht="15.5" x14ac:dyDescent="0.35">
      <c r="A1878" s="199">
        <v>2045</v>
      </c>
      <c r="B1878" s="110" t="s">
        <v>5850</v>
      </c>
      <c r="C1878" s="110">
        <v>2005</v>
      </c>
      <c r="D1878" s="110" t="str">
        <f t="shared" si="15"/>
        <v>2045_2005</v>
      </c>
      <c r="E1878" s="1226">
        <v>0.124170802007754</v>
      </c>
      <c r="F1878" s="1227">
        <v>5.2947673341550816E-2</v>
      </c>
      <c r="G1878" s="1227">
        <v>5.1254379283452103</v>
      </c>
      <c r="H1878" s="1227">
        <v>0.71107199196853121</v>
      </c>
      <c r="I1878" s="1227">
        <v>5.7228628794639198E-2</v>
      </c>
      <c r="J1878" s="1227">
        <v>2.1631056902387635E-4</v>
      </c>
      <c r="K1878" s="1227">
        <v>3.0000008603782999E-3</v>
      </c>
      <c r="L1878" s="1228">
        <v>2.7963062993544199E-2</v>
      </c>
      <c r="M1878" s="1229">
        <v>5.9816253440453597E-2</v>
      </c>
      <c r="N1878" s="1230">
        <v>2.2609117309120208E-4</v>
      </c>
    </row>
    <row r="1879" spans="1:14" ht="15.5" x14ac:dyDescent="0.35">
      <c r="A1879" s="199">
        <v>2045</v>
      </c>
      <c r="B1879" s="110" t="s">
        <v>5850</v>
      </c>
      <c r="C1879" s="110">
        <v>2006</v>
      </c>
      <c r="D1879" s="110" t="str">
        <f t="shared" si="15"/>
        <v>2045_2006</v>
      </c>
      <c r="E1879" s="1226">
        <v>0.124170802007754</v>
      </c>
      <c r="F1879" s="1227">
        <v>5.2947673341550816E-2</v>
      </c>
      <c r="G1879" s="1227">
        <v>5.1254379283452103</v>
      </c>
      <c r="H1879" s="1227">
        <v>0.71107199196853121</v>
      </c>
      <c r="I1879" s="1227">
        <v>5.7228628794639198E-2</v>
      </c>
      <c r="J1879" s="1227">
        <v>2.1631056902387635E-4</v>
      </c>
      <c r="K1879" s="1227">
        <v>3.0000008603782999E-3</v>
      </c>
      <c r="L1879" s="1228">
        <v>2.7963062993544199E-2</v>
      </c>
      <c r="M1879" s="1229">
        <v>5.9816253440453597E-2</v>
      </c>
      <c r="N1879" s="1230">
        <v>2.2609117309120208E-4</v>
      </c>
    </row>
    <row r="1880" spans="1:14" ht="15.5" x14ac:dyDescent="0.35">
      <c r="A1880" s="199">
        <v>2045</v>
      </c>
      <c r="B1880" s="110" t="s">
        <v>5850</v>
      </c>
      <c r="C1880" s="110">
        <v>2007</v>
      </c>
      <c r="D1880" s="110" t="str">
        <f t="shared" si="15"/>
        <v>2045_2007</v>
      </c>
      <c r="E1880" s="1226">
        <v>0.124170802007754</v>
      </c>
      <c r="F1880" s="1227">
        <v>5.2947673341550816E-2</v>
      </c>
      <c r="G1880" s="1227">
        <v>5.1254379283452103</v>
      </c>
      <c r="H1880" s="1227">
        <v>0.71107199196853121</v>
      </c>
      <c r="I1880" s="1227">
        <v>5.7228628794639198E-2</v>
      </c>
      <c r="J1880" s="1227">
        <v>2.1631056902387635E-4</v>
      </c>
      <c r="K1880" s="1227">
        <v>3.0000008603782999E-3</v>
      </c>
      <c r="L1880" s="1228">
        <v>2.7963062993544199E-2</v>
      </c>
      <c r="M1880" s="1229">
        <v>5.9816253440453597E-2</v>
      </c>
      <c r="N1880" s="1230">
        <v>2.2609117309120208E-4</v>
      </c>
    </row>
    <row r="1881" spans="1:14" ht="15.5" x14ac:dyDescent="0.35">
      <c r="A1881" s="199">
        <v>2045</v>
      </c>
      <c r="B1881" s="110" t="s">
        <v>5850</v>
      </c>
      <c r="C1881" s="110">
        <v>2008</v>
      </c>
      <c r="D1881" s="110" t="str">
        <f t="shared" si="15"/>
        <v>2045_2008</v>
      </c>
      <c r="E1881" s="1226">
        <v>0.124170802007754</v>
      </c>
      <c r="F1881" s="1227">
        <v>5.2947673341550816E-2</v>
      </c>
      <c r="G1881" s="1227">
        <v>5.1254379283452103</v>
      </c>
      <c r="H1881" s="1227">
        <v>0.71107199196853121</v>
      </c>
      <c r="I1881" s="1227">
        <v>5.7228628794639198E-2</v>
      </c>
      <c r="J1881" s="1227">
        <v>2.1631056902387635E-4</v>
      </c>
      <c r="K1881" s="1227">
        <v>3.0000008603782999E-3</v>
      </c>
      <c r="L1881" s="1228">
        <v>2.7963062993544199E-2</v>
      </c>
      <c r="M1881" s="1229">
        <v>5.9816253440453597E-2</v>
      </c>
      <c r="N1881" s="1230">
        <v>2.2609117309120208E-4</v>
      </c>
    </row>
    <row r="1882" spans="1:14" ht="15.5" x14ac:dyDescent="0.35">
      <c r="A1882" s="199">
        <v>2045</v>
      </c>
      <c r="B1882" s="110" t="s">
        <v>5850</v>
      </c>
      <c r="C1882" s="110">
        <v>2009</v>
      </c>
      <c r="D1882" s="110" t="str">
        <f t="shared" si="15"/>
        <v>2045_2009</v>
      </c>
      <c r="E1882" s="1226">
        <v>0.124170802007754</v>
      </c>
      <c r="F1882" s="1227">
        <v>5.2947673341550816E-2</v>
      </c>
      <c r="G1882" s="1227">
        <v>5.1254379283452103</v>
      </c>
      <c r="H1882" s="1227">
        <v>0.71107199196853121</v>
      </c>
      <c r="I1882" s="1227">
        <v>5.7228628794639198E-2</v>
      </c>
      <c r="J1882" s="1227">
        <v>2.1631056902387635E-4</v>
      </c>
      <c r="K1882" s="1227">
        <v>3.0000008603782999E-3</v>
      </c>
      <c r="L1882" s="1228">
        <v>2.7963062993544199E-2</v>
      </c>
      <c r="M1882" s="1229">
        <v>5.9816253440453597E-2</v>
      </c>
      <c r="N1882" s="1230">
        <v>2.2609117309120208E-4</v>
      </c>
    </row>
    <row r="1883" spans="1:14" ht="15.5" x14ac:dyDescent="0.35">
      <c r="A1883" s="199">
        <v>2045</v>
      </c>
      <c r="B1883" s="110" t="s">
        <v>5850</v>
      </c>
      <c r="C1883" s="110">
        <v>2010</v>
      </c>
      <c r="D1883" s="110" t="str">
        <f t="shared" si="15"/>
        <v>2045_2010</v>
      </c>
      <c r="E1883" s="1226">
        <v>0.124170802007754</v>
      </c>
      <c r="F1883" s="1227">
        <v>5.2947673341550816E-2</v>
      </c>
      <c r="G1883" s="1227">
        <v>5.1254379283452103</v>
      </c>
      <c r="H1883" s="1227">
        <v>0.71107199196853121</v>
      </c>
      <c r="I1883" s="1227">
        <v>5.7228628794639198E-2</v>
      </c>
      <c r="J1883" s="1227">
        <v>2.1631056902387635E-4</v>
      </c>
      <c r="K1883" s="1227">
        <v>3.0000008603782999E-3</v>
      </c>
      <c r="L1883" s="1228">
        <v>2.7963062993544199E-2</v>
      </c>
      <c r="M1883" s="1229">
        <v>5.9816253440453597E-2</v>
      </c>
      <c r="N1883" s="1230">
        <v>2.2609117309120208E-4</v>
      </c>
    </row>
    <row r="1884" spans="1:14" ht="15.5" x14ac:dyDescent="0.35">
      <c r="A1884" s="199">
        <v>2045</v>
      </c>
      <c r="B1884" s="110" t="s">
        <v>5850</v>
      </c>
      <c r="C1884" s="110">
        <v>2011</v>
      </c>
      <c r="D1884" s="110" t="str">
        <f t="shared" si="15"/>
        <v>2045_2011</v>
      </c>
      <c r="E1884" s="1231">
        <v>0.124170802007754</v>
      </c>
      <c r="F1884" s="1232">
        <v>5.2947673341550816E-2</v>
      </c>
      <c r="G1884" s="1232">
        <v>5.1254379283452103</v>
      </c>
      <c r="H1884" s="1232">
        <v>0.71107199196853121</v>
      </c>
      <c r="I1884" s="1232">
        <v>5.7228628794639198E-2</v>
      </c>
      <c r="J1884" s="1232">
        <v>2.1631056902387635E-4</v>
      </c>
      <c r="K1884" s="1232">
        <v>3.0000008603782999E-3</v>
      </c>
      <c r="L1884" s="1233">
        <v>2.7963062993544199E-2</v>
      </c>
      <c r="M1884" s="1234">
        <v>5.9816253440453597E-2</v>
      </c>
      <c r="N1884" s="1235">
        <v>2.2609117309120208E-4</v>
      </c>
    </row>
    <row r="1885" spans="1:14" ht="15.5" x14ac:dyDescent="0.35">
      <c r="A1885" s="199">
        <v>2045</v>
      </c>
      <c r="B1885" s="110" t="s">
        <v>5850</v>
      </c>
      <c r="C1885" s="110">
        <v>2012</v>
      </c>
      <c r="D1885" s="110" t="str">
        <f t="shared" si="15"/>
        <v>2045_2012</v>
      </c>
      <c r="E1885" s="1231">
        <v>2.5042912971191499E-2</v>
      </c>
      <c r="F1885" s="1232">
        <v>5.3125121375392589E-2</v>
      </c>
      <c r="G1885" s="1232">
        <v>4.4684566380312596</v>
      </c>
      <c r="H1885" s="1232">
        <v>0.62777620433821146</v>
      </c>
      <c r="I1885" s="1232">
        <v>3.3199681307147802E-2</v>
      </c>
      <c r="J1885" s="1232">
        <v>2.163105690238766E-4</v>
      </c>
      <c r="K1885" s="1232">
        <v>3.0000008603782999E-3</v>
      </c>
      <c r="L1885" s="1233">
        <v>2.7963062993688299E-2</v>
      </c>
      <c r="M1885" s="1234">
        <v>3.4700823574453102E-2</v>
      </c>
      <c r="N1885" s="1235">
        <v>2.2609117309120236E-4</v>
      </c>
    </row>
    <row r="1886" spans="1:14" ht="15.5" x14ac:dyDescent="0.35">
      <c r="A1886" s="199">
        <v>2045</v>
      </c>
      <c r="B1886" s="110" t="s">
        <v>5850</v>
      </c>
      <c r="C1886" s="110">
        <v>2013</v>
      </c>
      <c r="D1886" s="110" t="str">
        <f t="shared" si="15"/>
        <v>2045_2013</v>
      </c>
      <c r="E1886" s="1231">
        <v>2.47255485577344E-2</v>
      </c>
      <c r="F1886" s="1232">
        <v>5.3125121375392582E-2</v>
      </c>
      <c r="G1886" s="1232">
        <v>4.2166118959450101</v>
      </c>
      <c r="H1886" s="1232">
        <v>0.62777620433821146</v>
      </c>
      <c r="I1886" s="1232">
        <v>3.2285411754519801E-2</v>
      </c>
      <c r="J1886" s="1232">
        <v>2.1631056902387657E-4</v>
      </c>
      <c r="K1886" s="1232">
        <v>3.0000008603782999E-3</v>
      </c>
      <c r="L1886" s="1233">
        <v>2.79630629936761E-2</v>
      </c>
      <c r="M1886" s="1234">
        <v>3.3745214809666399E-2</v>
      </c>
      <c r="N1886" s="1235">
        <v>2.2609117309120233E-4</v>
      </c>
    </row>
    <row r="1887" spans="1:14" ht="15.5" x14ac:dyDescent="0.35">
      <c r="A1887" s="199">
        <v>2045</v>
      </c>
      <c r="B1887" s="110" t="s">
        <v>5850</v>
      </c>
      <c r="C1887" s="110">
        <v>2014</v>
      </c>
      <c r="D1887" s="110" t="str">
        <f t="shared" si="15"/>
        <v>2045_2014</v>
      </c>
      <c r="E1887" s="1231">
        <v>1.2166956614379901E-2</v>
      </c>
      <c r="F1887" s="1232">
        <v>5.3125121375392492E-2</v>
      </c>
      <c r="G1887" s="1232">
        <v>1.58784645617014</v>
      </c>
      <c r="H1887" s="1232">
        <v>0.62777620433821035</v>
      </c>
      <c r="I1887" s="1232">
        <v>3.7552362758698998E-2</v>
      </c>
      <c r="J1887" s="1232">
        <v>2.1631056902387622E-4</v>
      </c>
      <c r="K1887" s="1232">
        <v>3.0000008603782999E-3</v>
      </c>
      <c r="L1887" s="1233">
        <v>2.7963062993570501E-2</v>
      </c>
      <c r="M1887" s="1234">
        <v>3.92503139665056E-2</v>
      </c>
      <c r="N1887" s="1235">
        <v>2.2609117309120195E-4</v>
      </c>
    </row>
    <row r="1888" spans="1:14" ht="15.5" x14ac:dyDescent="0.35">
      <c r="A1888" s="199">
        <v>2045</v>
      </c>
      <c r="B1888" s="110" t="s">
        <v>5850</v>
      </c>
      <c r="C1888" s="110">
        <v>2015</v>
      </c>
      <c r="D1888" s="110" t="str">
        <f t="shared" si="15"/>
        <v>2045_2015</v>
      </c>
      <c r="E1888" s="1231">
        <v>1.21669566143883E-2</v>
      </c>
      <c r="F1888" s="1232">
        <v>5.3125121375392409E-2</v>
      </c>
      <c r="G1888" s="1232">
        <v>1.5878464561707899</v>
      </c>
      <c r="H1888" s="1232">
        <v>0.62777620433820946</v>
      </c>
      <c r="I1888" s="1232">
        <v>3.7552362758612998E-2</v>
      </c>
      <c r="J1888" s="1232">
        <v>2.1631056902387589E-4</v>
      </c>
      <c r="K1888" s="1232">
        <v>3.0000008603782999E-3</v>
      </c>
      <c r="L1888" s="1233">
        <v>2.7963062993597299E-2</v>
      </c>
      <c r="M1888" s="1234">
        <v>3.9250313966415699E-2</v>
      </c>
      <c r="N1888" s="1235">
        <v>2.2609117309120162E-4</v>
      </c>
    </row>
    <row r="1889" spans="1:14" ht="15.5" x14ac:dyDescent="0.35">
      <c r="A1889" s="199">
        <v>2045</v>
      </c>
      <c r="B1889" s="110" t="s">
        <v>5850</v>
      </c>
      <c r="C1889" s="110">
        <v>2016</v>
      </c>
      <c r="D1889" s="110" t="str">
        <f t="shared" si="15"/>
        <v>2045_2016</v>
      </c>
      <c r="E1889" s="1231">
        <v>1.2166956614388E-2</v>
      </c>
      <c r="F1889" s="1232">
        <v>5.3125121375392499E-2</v>
      </c>
      <c r="G1889" s="1232">
        <v>1.5878464561694901</v>
      </c>
      <c r="H1889" s="1232">
        <v>0.62777620433821057</v>
      </c>
      <c r="I1889" s="1232">
        <v>3.7552362758531403E-2</v>
      </c>
      <c r="J1889" s="1232">
        <v>2.1631056902387627E-4</v>
      </c>
      <c r="K1889" s="1232">
        <v>3.0000008603782999E-3</v>
      </c>
      <c r="L1889" s="1233">
        <v>2.7963062993613501E-2</v>
      </c>
      <c r="M1889" s="1234">
        <v>3.9250313966330497E-2</v>
      </c>
      <c r="N1889" s="1235">
        <v>2.26091173091202E-4</v>
      </c>
    </row>
    <row r="1890" spans="1:14" ht="15.5" x14ac:dyDescent="0.35">
      <c r="A1890" s="199">
        <v>2045</v>
      </c>
      <c r="B1890" s="110" t="s">
        <v>5850</v>
      </c>
      <c r="C1890" s="110">
        <v>2017</v>
      </c>
      <c r="D1890" s="110" t="str">
        <f t="shared" si="15"/>
        <v>2045_2017</v>
      </c>
      <c r="E1890" s="1231">
        <v>1.23762909185113E-2</v>
      </c>
      <c r="F1890" s="1232">
        <v>5.312512137539234E-2</v>
      </c>
      <c r="G1890" s="1232">
        <v>1.58784645617432</v>
      </c>
      <c r="H1890" s="1232">
        <v>0.62777620433820869</v>
      </c>
      <c r="I1890" s="1232">
        <v>3.0607507287275699E-2</v>
      </c>
      <c r="J1890" s="1232">
        <v>2.1631056902387565E-4</v>
      </c>
      <c r="K1890" s="1232">
        <v>3.0000008603782999E-3</v>
      </c>
      <c r="L1890" s="1233">
        <v>2.7963062993622601E-2</v>
      </c>
      <c r="M1890" s="1234">
        <v>3.1991442948004302E-2</v>
      </c>
      <c r="N1890" s="1235">
        <v>2.2609117309120135E-4</v>
      </c>
    </row>
    <row r="1891" spans="1:14" ht="15.5" x14ac:dyDescent="0.35">
      <c r="A1891" s="199">
        <v>2045</v>
      </c>
      <c r="B1891" s="110" t="s">
        <v>5850</v>
      </c>
      <c r="C1891" s="110">
        <v>2018</v>
      </c>
      <c r="D1891" s="110" t="str">
        <f t="shared" si="15"/>
        <v>2045_2018</v>
      </c>
      <c r="E1891" s="1231">
        <v>1.2376290918530399E-2</v>
      </c>
      <c r="F1891" s="1232">
        <v>5.3125121375392145E-2</v>
      </c>
      <c r="G1891" s="1232">
        <v>1.5878464561718</v>
      </c>
      <c r="H1891" s="1232">
        <v>0.62777620433820769</v>
      </c>
      <c r="I1891" s="1232">
        <v>3.06075072875448E-2</v>
      </c>
      <c r="J1891" s="1232">
        <v>2.1631056902387486E-4</v>
      </c>
      <c r="K1891" s="1232">
        <v>3.0000008603782999E-3</v>
      </c>
      <c r="L1891" s="1233">
        <v>2.7963062993527101E-2</v>
      </c>
      <c r="M1891" s="1234">
        <v>3.1991442948285501E-2</v>
      </c>
      <c r="N1891" s="1235">
        <v>2.2609117309120051E-4</v>
      </c>
    </row>
    <row r="1892" spans="1:14" ht="15.5" x14ac:dyDescent="0.35">
      <c r="A1892" s="199">
        <v>2045</v>
      </c>
      <c r="B1892" s="110" t="s">
        <v>5850</v>
      </c>
      <c r="C1892" s="110">
        <v>2019</v>
      </c>
      <c r="D1892" s="110" t="str">
        <f t="shared" si="15"/>
        <v>2045_2019</v>
      </c>
      <c r="E1892" s="1231">
        <v>1.23762909184543E-2</v>
      </c>
      <c r="F1892" s="1232">
        <v>5.3125121375392631E-2</v>
      </c>
      <c r="G1892" s="1232">
        <v>1.58784645617211</v>
      </c>
      <c r="H1892" s="1232">
        <v>0.62777620433821335</v>
      </c>
      <c r="I1892" s="1232">
        <v>3.0607507286888502E-2</v>
      </c>
      <c r="J1892" s="1232">
        <v>2.1631056902387679E-4</v>
      </c>
      <c r="K1892" s="1232">
        <v>3.0000008603782999E-3</v>
      </c>
      <c r="L1892" s="1233">
        <v>2.7963062993723999E-2</v>
      </c>
      <c r="M1892" s="1234">
        <v>3.1991442947599501E-2</v>
      </c>
      <c r="N1892" s="1235">
        <v>2.2609117309120257E-4</v>
      </c>
    </row>
    <row r="1893" spans="1:14" ht="15.5" x14ac:dyDescent="0.35">
      <c r="A1893" s="199">
        <v>2045</v>
      </c>
      <c r="B1893" s="110" t="s">
        <v>5850</v>
      </c>
      <c r="C1893" s="110">
        <v>2020</v>
      </c>
      <c r="D1893" s="110" t="str">
        <f t="shared" si="15"/>
        <v>2045_2020</v>
      </c>
      <c r="E1893" s="1231">
        <v>1.23762909185173E-2</v>
      </c>
      <c r="F1893" s="1232">
        <v>5.3125121375392416E-2</v>
      </c>
      <c r="G1893" s="1232">
        <v>1.5878464561746299</v>
      </c>
      <c r="H1893" s="1232">
        <v>0.62777620433820958</v>
      </c>
      <c r="I1893" s="1232">
        <v>3.0607507287322699E-2</v>
      </c>
      <c r="J1893" s="1232">
        <v>2.1631056902387592E-4</v>
      </c>
      <c r="K1893" s="1232">
        <v>3.0000008603782999E-3</v>
      </c>
      <c r="L1893" s="1233">
        <v>2.7963062993613601E-2</v>
      </c>
      <c r="M1893" s="1234">
        <v>3.1991442948053297E-2</v>
      </c>
      <c r="N1893" s="1235">
        <v>2.2609117309120165E-4</v>
      </c>
    </row>
    <row r="1894" spans="1:14" ht="15.5" x14ac:dyDescent="0.35">
      <c r="A1894" s="199">
        <v>2045</v>
      </c>
      <c r="B1894" s="110" t="s">
        <v>5850</v>
      </c>
      <c r="C1894" s="110">
        <v>2021</v>
      </c>
      <c r="D1894" s="110" t="str">
        <f t="shared" si="15"/>
        <v>2045_2021</v>
      </c>
      <c r="E1894" s="1231">
        <v>1.23762909185186E-2</v>
      </c>
      <c r="F1894" s="1232">
        <v>5.312512137539372E-2</v>
      </c>
      <c r="G1894" s="1232">
        <v>1.5878464561315799</v>
      </c>
      <c r="H1894" s="1232">
        <v>0.6277762043382249</v>
      </c>
      <c r="I1894" s="1232">
        <v>3.0607507288763901E-2</v>
      </c>
      <c r="J1894" s="1232">
        <v>2.1631056902388123E-4</v>
      </c>
      <c r="K1894" s="1232">
        <v>3.0000008603782999E-3</v>
      </c>
      <c r="L1894" s="1233">
        <v>2.796306299289E-2</v>
      </c>
      <c r="M1894" s="1234">
        <v>3.1991442949559697E-2</v>
      </c>
      <c r="N1894" s="1235">
        <v>2.2609117309120718E-4</v>
      </c>
    </row>
    <row r="1895" spans="1:14" ht="15.5" x14ac:dyDescent="0.35">
      <c r="A1895" s="199">
        <v>2045</v>
      </c>
      <c r="B1895" s="110" t="s">
        <v>5850</v>
      </c>
      <c r="C1895" s="110">
        <v>2022</v>
      </c>
      <c r="D1895" s="110" t="str">
        <f t="shared" si="15"/>
        <v>2045_2022</v>
      </c>
      <c r="E1895" s="1231">
        <v>1.2376290918462001E-2</v>
      </c>
      <c r="F1895" s="1232">
        <v>5.3125121375392124E-2</v>
      </c>
      <c r="G1895" s="1232">
        <v>1.5878464561766299</v>
      </c>
      <c r="H1895" s="1232">
        <v>0.62777620433820602</v>
      </c>
      <c r="I1895" s="1232">
        <v>3.0607507286790299E-2</v>
      </c>
      <c r="J1895" s="1232">
        <v>2.1631056902387473E-4</v>
      </c>
      <c r="K1895" s="1232">
        <v>3.0000008603782999E-3</v>
      </c>
      <c r="L1895" s="1233">
        <v>2.79630629937835E-2</v>
      </c>
      <c r="M1895" s="1234">
        <v>3.1991442947496902E-2</v>
      </c>
      <c r="N1895" s="1235">
        <v>2.260911730912004E-4</v>
      </c>
    </row>
    <row r="1896" spans="1:14" ht="15.5" x14ac:dyDescent="0.35">
      <c r="A1896" s="199">
        <v>2045</v>
      </c>
      <c r="B1896" s="110" t="s">
        <v>5850</v>
      </c>
      <c r="C1896" s="110">
        <v>2023</v>
      </c>
      <c r="D1896" s="110" t="str">
        <f t="shared" si="15"/>
        <v>2045_2023</v>
      </c>
      <c r="E1896" s="1231">
        <v>1.2376290918482E-2</v>
      </c>
      <c r="F1896" s="1232">
        <v>5.3125121375392735E-2</v>
      </c>
      <c r="G1896" s="1232">
        <v>1.5154771952372501</v>
      </c>
      <c r="H1896" s="1232">
        <v>0.62777620433821324</v>
      </c>
      <c r="I1896" s="1232">
        <v>2.9568605669599402E-2</v>
      </c>
      <c r="J1896" s="1232">
        <v>2.1631056902387722E-4</v>
      </c>
      <c r="K1896" s="1232">
        <v>3.0000008603782999E-3</v>
      </c>
      <c r="L1896" s="1233">
        <v>2.7963062993684999E-2</v>
      </c>
      <c r="M1896" s="1234">
        <v>3.09055668092343E-2</v>
      </c>
      <c r="N1896" s="1235">
        <v>2.2609117309120298E-4</v>
      </c>
    </row>
    <row r="1897" spans="1:14" ht="15.5" x14ac:dyDescent="0.35">
      <c r="A1897" s="199">
        <v>2045</v>
      </c>
      <c r="B1897" s="110" t="s">
        <v>5850</v>
      </c>
      <c r="C1897" s="110">
        <v>2024</v>
      </c>
      <c r="D1897" s="110" t="str">
        <f t="shared" si="15"/>
        <v>2045_2024</v>
      </c>
      <c r="E1897" s="1231">
        <v>1.2376290918538001E-2</v>
      </c>
      <c r="F1897" s="1232">
        <v>5.3125121375392464E-2</v>
      </c>
      <c r="G1897" s="1232">
        <v>1.5154771952344399</v>
      </c>
      <c r="H1897" s="1232">
        <v>0.62777620433821013</v>
      </c>
      <c r="I1897" s="1232">
        <v>2.9568605670156501E-2</v>
      </c>
      <c r="J1897" s="1232">
        <v>2.1631056902387611E-4</v>
      </c>
      <c r="K1897" s="1232">
        <v>3.0000008603782999E-3</v>
      </c>
      <c r="L1897" s="1233">
        <v>2.7963062993495099E-2</v>
      </c>
      <c r="M1897" s="1234">
        <v>3.0905566809816602E-2</v>
      </c>
      <c r="N1897" s="1235">
        <v>2.2609117309120187E-4</v>
      </c>
    </row>
    <row r="1898" spans="1:14" ht="15.5" x14ac:dyDescent="0.35">
      <c r="A1898" s="199">
        <v>2045</v>
      </c>
      <c r="B1898" s="110" t="s">
        <v>5850</v>
      </c>
      <c r="C1898" s="110">
        <v>2025</v>
      </c>
      <c r="D1898" s="110" t="str">
        <f t="shared" si="15"/>
        <v>2045_2025</v>
      </c>
      <c r="E1898" s="1231">
        <v>1.2376290918488801E-2</v>
      </c>
      <c r="F1898" s="1232">
        <v>5.312512137539252E-2</v>
      </c>
      <c r="G1898" s="1232">
        <v>1.38135718233244</v>
      </c>
      <c r="H1898" s="1232">
        <v>0.31842783314641426</v>
      </c>
      <c r="I1898" s="1232">
        <v>2.9568605669717401E-2</v>
      </c>
      <c r="J1898" s="1232">
        <v>2.1631056902387632E-4</v>
      </c>
      <c r="K1898" s="1232">
        <v>3.0000008603782999E-3</v>
      </c>
      <c r="L1898" s="1233">
        <v>2.7963062993637999E-2</v>
      </c>
      <c r="M1898" s="1234">
        <v>3.0905566809357601E-2</v>
      </c>
      <c r="N1898" s="1235">
        <v>2.2609117309120206E-4</v>
      </c>
    </row>
    <row r="1899" spans="1:14" ht="15.5" x14ac:dyDescent="0.35">
      <c r="A1899" s="199">
        <v>2045</v>
      </c>
      <c r="B1899" s="110" t="s">
        <v>5850</v>
      </c>
      <c r="C1899" s="110">
        <v>2026</v>
      </c>
      <c r="D1899" s="110" t="str">
        <f t="shared" si="15"/>
        <v>2045_2026</v>
      </c>
      <c r="E1899" s="1231">
        <v>1.2376290918497301E-2</v>
      </c>
      <c r="F1899" s="1232">
        <v>5.3125121375392478E-2</v>
      </c>
      <c r="G1899" s="1232">
        <v>1.38135718233245</v>
      </c>
      <c r="H1899" s="1232">
        <v>0.31842783314641404</v>
      </c>
      <c r="I1899" s="1232">
        <v>2.9568605669784101E-2</v>
      </c>
      <c r="J1899" s="1232">
        <v>2.1631056902387619E-4</v>
      </c>
      <c r="K1899" s="1232">
        <v>3.0000008603782999E-3</v>
      </c>
      <c r="L1899" s="1233">
        <v>3.0896712784439301E-2</v>
      </c>
      <c r="M1899" s="1234">
        <v>3.0905566809427399E-2</v>
      </c>
      <c r="N1899" s="1235">
        <v>2.2609117309120195E-4</v>
      </c>
    </row>
    <row r="1900" spans="1:14" ht="15.5" x14ac:dyDescent="0.35">
      <c r="A1900" s="199">
        <v>2045</v>
      </c>
      <c r="B1900" s="110" t="s">
        <v>5850</v>
      </c>
      <c r="C1900" s="110">
        <v>2027</v>
      </c>
      <c r="D1900" s="110" t="str">
        <f t="shared" si="15"/>
        <v>2045_2027</v>
      </c>
      <c r="E1900" s="1231">
        <v>1.23762909184972E-2</v>
      </c>
      <c r="F1900" s="1232">
        <v>5.3125121375392513E-2</v>
      </c>
      <c r="G1900" s="1232">
        <v>1.3813571823322499</v>
      </c>
      <c r="H1900" s="1232">
        <v>0.31842783314641426</v>
      </c>
      <c r="I1900" s="1232">
        <v>2.95686056697908E-2</v>
      </c>
      <c r="J1900" s="1232">
        <v>2.163105690238763E-4</v>
      </c>
      <c r="K1900" s="1232">
        <v>3.0000008603782999E-3</v>
      </c>
      <c r="L1900" s="1233">
        <v>3.0896712784434999E-2</v>
      </c>
      <c r="M1900" s="1234">
        <v>3.09055668094344E-2</v>
      </c>
      <c r="N1900" s="1235">
        <v>2.2609117309120206E-4</v>
      </c>
    </row>
    <row r="1901" spans="1:14" ht="15.5" x14ac:dyDescent="0.35">
      <c r="A1901" s="199">
        <v>2045</v>
      </c>
      <c r="B1901" s="110" t="s">
        <v>5850</v>
      </c>
      <c r="C1901" s="110">
        <v>2028</v>
      </c>
      <c r="D1901" s="110" t="str">
        <f t="shared" si="15"/>
        <v>2045_2028</v>
      </c>
      <c r="E1901" s="1231">
        <v>1.23762909184936E-2</v>
      </c>
      <c r="F1901" s="1232">
        <v>5.312512137539252E-2</v>
      </c>
      <c r="G1901" s="1232">
        <v>1.26505210655475</v>
      </c>
      <c r="H1901" s="1232">
        <v>0.24109074034846514</v>
      </c>
      <c r="I1901" s="1232">
        <v>2.92027952410744E-2</v>
      </c>
      <c r="J1901" s="1232">
        <v>2.1631056902387632E-4</v>
      </c>
      <c r="K1901" s="1232">
        <v>3.0000008603782999E-3</v>
      </c>
      <c r="L1901" s="1233">
        <v>3.0896712784446501E-2</v>
      </c>
      <c r="M1901" s="1234">
        <v>3.0523216056391099E-2</v>
      </c>
      <c r="N1901" s="1235">
        <v>2.2609117309120206E-4</v>
      </c>
    </row>
    <row r="1902" spans="1:14" ht="15.5" x14ac:dyDescent="0.35">
      <c r="A1902" s="199">
        <v>2045</v>
      </c>
      <c r="B1902" s="110" t="s">
        <v>5850</v>
      </c>
      <c r="C1902" s="110">
        <v>2029</v>
      </c>
      <c r="D1902" s="110" t="str">
        <f t="shared" si="15"/>
        <v>2045_2029</v>
      </c>
      <c r="E1902" s="1231">
        <v>1.23752318775505E-2</v>
      </c>
      <c r="F1902" s="1232">
        <v>5.3125121375392423E-2</v>
      </c>
      <c r="G1902" s="1232">
        <v>1.2649643230808301</v>
      </c>
      <c r="H1902" s="1232">
        <v>0.24109074034846475</v>
      </c>
      <c r="I1902" s="1232">
        <v>2.91985077410334E-2</v>
      </c>
      <c r="J1902" s="1232">
        <v>2.1631056902387597E-4</v>
      </c>
      <c r="K1902" s="1232">
        <v>3.0000008603782999E-3</v>
      </c>
      <c r="L1902" s="1233">
        <v>3.08967127844459E-2</v>
      </c>
      <c r="M1902" s="1234">
        <v>3.0518734694623802E-2</v>
      </c>
      <c r="N1902" s="1235">
        <v>2.2609117309120168E-4</v>
      </c>
    </row>
    <row r="1903" spans="1:14" ht="15.5" x14ac:dyDescent="0.35">
      <c r="A1903" s="199">
        <v>2045</v>
      </c>
      <c r="B1903" s="110" t="s">
        <v>5850</v>
      </c>
      <c r="C1903" s="110">
        <v>2030</v>
      </c>
      <c r="D1903" s="110" t="str">
        <f t="shared" si="15"/>
        <v>2045_2030</v>
      </c>
      <c r="E1903" s="1231">
        <v>1.22229039210459E-2</v>
      </c>
      <c r="F1903" s="1232">
        <v>5.3125121375392485E-2</v>
      </c>
      <c r="G1903" s="1232">
        <v>1.25221661898679</v>
      </c>
      <c r="H1903" s="1232">
        <v>0.241090740348465</v>
      </c>
      <c r="I1903" s="1232">
        <v>2.8581811924050401E-2</v>
      </c>
      <c r="J1903" s="1232">
        <v>2.1631056902387622E-4</v>
      </c>
      <c r="K1903" s="1232">
        <v>3.0000008603782999E-3</v>
      </c>
      <c r="L1903" s="1233">
        <v>3.0896712784433001E-2</v>
      </c>
      <c r="M1903" s="1234">
        <v>2.98741546293439E-2</v>
      </c>
      <c r="N1903" s="1235">
        <v>2.2609117309120192E-4</v>
      </c>
    </row>
    <row r="1904" spans="1:14" ht="15.5" x14ac:dyDescent="0.35">
      <c r="A1904" s="199">
        <v>2045</v>
      </c>
      <c r="B1904" s="110" t="s">
        <v>5850</v>
      </c>
      <c r="C1904" s="110">
        <v>2031</v>
      </c>
      <c r="D1904" s="110" t="str">
        <f t="shared" si="15"/>
        <v>2045_2031</v>
      </c>
      <c r="E1904" s="1231">
        <v>1.2053650635676399E-2</v>
      </c>
      <c r="F1904" s="1232">
        <v>4.7812609237853271E-2</v>
      </c>
      <c r="G1904" s="1232">
        <v>1.2377598313439699</v>
      </c>
      <c r="H1904" s="1232">
        <v>0.21698166631361868</v>
      </c>
      <c r="I1904" s="1232">
        <v>2.78965943481045E-2</v>
      </c>
      <c r="J1904" s="1232">
        <v>1.946795121214887E-4</v>
      </c>
      <c r="K1904" s="1232">
        <v>3.0000008603782999E-3</v>
      </c>
      <c r="L1904" s="1233">
        <v>3.08967127844487E-2</v>
      </c>
      <c r="M1904" s="1234">
        <v>2.9157954555221799E-2</v>
      </c>
      <c r="N1904" s="1235">
        <v>2.0348205578208189E-4</v>
      </c>
    </row>
    <row r="1905" spans="1:14" ht="15.5" x14ac:dyDescent="0.35">
      <c r="A1905" s="199">
        <v>2045</v>
      </c>
      <c r="B1905" s="110" t="s">
        <v>5850</v>
      </c>
      <c r="C1905" s="110">
        <v>2032</v>
      </c>
      <c r="D1905" s="110" t="str">
        <f t="shared" si="15"/>
        <v>2045_2032</v>
      </c>
      <c r="E1905" s="1231">
        <v>1.18655914297154E-2</v>
      </c>
      <c r="F1905" s="1232">
        <v>4.3031348314067901E-2</v>
      </c>
      <c r="G1905" s="1232">
        <v>1.14974499061213</v>
      </c>
      <c r="H1905" s="1232">
        <v>0.19528349968225661</v>
      </c>
      <c r="I1905" s="1232">
        <v>2.5363948883932601E-2</v>
      </c>
      <c r="J1905" s="1232">
        <v>1.7521156090933969E-4</v>
      </c>
      <c r="K1905" s="1232">
        <v>3.0000008603782999E-3</v>
      </c>
      <c r="L1905" s="1233">
        <v>3.0896712784451E-2</v>
      </c>
      <c r="M1905" s="1234">
        <v>2.6510794101607799E-2</v>
      </c>
      <c r="N1905" s="1235">
        <v>1.8313385020387351E-4</v>
      </c>
    </row>
    <row r="1906" spans="1:14" ht="15.5" x14ac:dyDescent="0.35">
      <c r="A1906" s="198">
        <v>2045</v>
      </c>
      <c r="B1906" s="197" t="s">
        <v>5850</v>
      </c>
      <c r="C1906" s="197">
        <v>2033</v>
      </c>
      <c r="D1906" s="110" t="str">
        <f t="shared" si="15"/>
        <v>2045_2033</v>
      </c>
      <c r="E1906" s="1231">
        <v>1.16566367564244E-2</v>
      </c>
      <c r="F1906" s="1232">
        <v>3.8728213482661103E-2</v>
      </c>
      <c r="G1906" s="1232">
        <v>1.1321652130501201</v>
      </c>
      <c r="H1906" s="1232">
        <v>0.17575514971403092</v>
      </c>
      <c r="I1906" s="1232">
        <v>2.4518001259369499E-2</v>
      </c>
      <c r="J1906" s="1232">
        <v>1.576904048184057E-4</v>
      </c>
      <c r="K1906" s="1232">
        <v>3.0000008603782999E-3</v>
      </c>
      <c r="L1906" s="1233">
        <v>3.08967127844425E-2</v>
      </c>
      <c r="M1906" s="1234">
        <v>2.5626596479298901E-2</v>
      </c>
      <c r="N1906" s="1235">
        <v>1.6482046518348614E-4</v>
      </c>
    </row>
    <row r="1907" spans="1:14" ht="15.5" x14ac:dyDescent="0.35">
      <c r="A1907" s="198">
        <v>2045</v>
      </c>
      <c r="B1907" s="197" t="s">
        <v>5850</v>
      </c>
      <c r="C1907" s="197">
        <v>2034</v>
      </c>
      <c r="D1907" s="110" t="str">
        <f t="shared" si="15"/>
        <v>2045_2034</v>
      </c>
      <c r="E1907" s="1231">
        <v>1.1424464897211099E-2</v>
      </c>
      <c r="F1907" s="1232">
        <v>3.4855392134395299E-2</v>
      </c>
      <c r="G1907" s="1232">
        <v>1.1120034853190099</v>
      </c>
      <c r="H1907" s="1232">
        <v>0.15817963474262922</v>
      </c>
      <c r="I1907" s="1232">
        <v>2.3578059454273201E-2</v>
      </c>
      <c r="J1907" s="1232">
        <v>1.4192136433656635E-4</v>
      </c>
      <c r="K1907" s="1232">
        <v>3.0000008603782999E-3</v>
      </c>
      <c r="L1907" s="1233">
        <v>3.0896712784447701E-2</v>
      </c>
      <c r="M1907" s="1234">
        <v>2.4644154676706199E-2</v>
      </c>
      <c r="N1907" s="1235">
        <v>1.4833841866513883E-4</v>
      </c>
    </row>
    <row r="1908" spans="1:14" ht="15.5" x14ac:dyDescent="0.35">
      <c r="A1908" s="198">
        <v>2045</v>
      </c>
      <c r="B1908" s="197" t="s">
        <v>5850</v>
      </c>
      <c r="C1908" s="197">
        <v>2035</v>
      </c>
      <c r="D1908" s="110" t="str">
        <f t="shared" si="15"/>
        <v>2045_2035</v>
      </c>
      <c r="E1908" s="1231">
        <v>1.11664961647548E-2</v>
      </c>
      <c r="F1908" s="1232">
        <v>3.1369852920955663E-2</v>
      </c>
      <c r="G1908" s="1232">
        <v>1.0887533465957799</v>
      </c>
      <c r="H1908" s="1232">
        <v>0.1423616712683658</v>
      </c>
      <c r="I1908" s="1232">
        <v>2.25336796708617E-2</v>
      </c>
      <c r="J1908" s="1232">
        <v>1.2772922790290928E-4</v>
      </c>
      <c r="K1908" s="1232">
        <v>3.0000008603782999E-3</v>
      </c>
      <c r="L1908" s="1233">
        <v>3.0896712784439301E-2</v>
      </c>
      <c r="M1908" s="1234">
        <v>2.35525526738555E-2</v>
      </c>
      <c r="N1908" s="1235">
        <v>1.3350457679862449E-4</v>
      </c>
    </row>
    <row r="1909" spans="1:14" ht="15.5" x14ac:dyDescent="0.35">
      <c r="A1909" s="198">
        <v>2045</v>
      </c>
      <c r="B1909" s="197" t="s">
        <v>5850</v>
      </c>
      <c r="C1909" s="197">
        <v>2036</v>
      </c>
      <c r="D1909" s="110" t="str">
        <f t="shared" si="15"/>
        <v>2045_2036</v>
      </c>
      <c r="E1909" s="1231">
        <v>1.08798642398005E-2</v>
      </c>
      <c r="F1909" s="1232">
        <v>2.8232867628859969E-2</v>
      </c>
      <c r="G1909" s="1232">
        <v>1.06175694360668</v>
      </c>
      <c r="H1909" s="1232">
        <v>0.12812550414152862</v>
      </c>
      <c r="I1909" s="1232">
        <v>2.1373257689266099E-2</v>
      </c>
      <c r="J1909" s="1232">
        <v>1.1495630511261782E-4</v>
      </c>
      <c r="K1909" s="1232">
        <v>3.0000008603782999E-3</v>
      </c>
      <c r="L1909" s="1233">
        <v>3.08967127844436E-2</v>
      </c>
      <c r="M1909" s="1234">
        <v>2.2339661559548401E-2</v>
      </c>
      <c r="N1909" s="1235">
        <v>1.2015411911876149E-4</v>
      </c>
    </row>
    <row r="1910" spans="1:14" ht="15.5" x14ac:dyDescent="0.35">
      <c r="A1910" s="198">
        <v>2045</v>
      </c>
      <c r="B1910" s="197" t="s">
        <v>5850</v>
      </c>
      <c r="C1910" s="197">
        <v>2037</v>
      </c>
      <c r="D1910" s="110" t="str">
        <f t="shared" si="15"/>
        <v>2045_2037</v>
      </c>
      <c r="E1910" s="1231">
        <v>1.0561384323185799E-2</v>
      </c>
      <c r="F1910" s="1232">
        <v>2.5409580865973808E-2</v>
      </c>
      <c r="G1910" s="1232">
        <v>1.0301339669505101</v>
      </c>
      <c r="H1910" s="1232">
        <v>0.11531295372737504</v>
      </c>
      <c r="I1910" s="1232">
        <v>2.0083899931946599E-2</v>
      </c>
      <c r="J1910" s="1232">
        <v>1.0346067460135538E-4</v>
      </c>
      <c r="K1910" s="1232">
        <v>3.0000008603782999E-3</v>
      </c>
      <c r="L1910" s="1233">
        <v>3.0896712784444499E-2</v>
      </c>
      <c r="M1910" s="1234">
        <v>2.0992004765883199E-2</v>
      </c>
      <c r="N1910" s="1235">
        <v>1.0813870720688463E-4</v>
      </c>
    </row>
    <row r="1911" spans="1:14" ht="15.5" x14ac:dyDescent="0.35">
      <c r="A1911" s="198">
        <v>2045</v>
      </c>
      <c r="B1911" s="197" t="s">
        <v>5850</v>
      </c>
      <c r="C1911" s="197">
        <v>2038</v>
      </c>
      <c r="D1911" s="110" t="str">
        <f t="shared" si="15"/>
        <v>2045_2038</v>
      </c>
      <c r="E1911" s="1231">
        <v>1.0207517749169399E-2</v>
      </c>
      <c r="F1911" s="1232">
        <v>2.5409580865973995E-2</v>
      </c>
      <c r="G1911" s="1232">
        <v>0.99266034090428401</v>
      </c>
      <c r="H1911" s="1232">
        <v>0.11531295372737589</v>
      </c>
      <c r="I1911" s="1232">
        <v>1.86512802015955E-2</v>
      </c>
      <c r="J1911" s="1232">
        <v>1.0346067460135614E-4</v>
      </c>
      <c r="K1911" s="1232">
        <v>3.0000008603782999E-3</v>
      </c>
      <c r="L1911" s="1233">
        <v>3.08967127844419E-2</v>
      </c>
      <c r="M1911" s="1234">
        <v>1.9494608328481499E-2</v>
      </c>
      <c r="N1911" s="1235">
        <v>1.0813870720688545E-4</v>
      </c>
    </row>
    <row r="1912" spans="1:14" ht="15.5" x14ac:dyDescent="0.35">
      <c r="A1912" s="198">
        <v>2045</v>
      </c>
      <c r="B1912" s="197" t="s">
        <v>5850</v>
      </c>
      <c r="C1912" s="197">
        <v>2039</v>
      </c>
      <c r="D1912" s="110" t="str">
        <f t="shared" si="15"/>
        <v>2045_2039</v>
      </c>
      <c r="E1912" s="1231">
        <v>9.8536511751529006E-3</v>
      </c>
      <c r="F1912" s="1232">
        <v>2.5409580865973964E-2</v>
      </c>
      <c r="G1912" s="1232">
        <v>0.95224434091165999</v>
      </c>
      <c r="H1912" s="1232">
        <v>0.11531295372737575</v>
      </c>
      <c r="I1912" s="1232">
        <v>1.7218660471242601E-2</v>
      </c>
      <c r="J1912" s="1232">
        <v>1.0346067460135601E-4</v>
      </c>
      <c r="K1912" s="1232">
        <v>3.0000008603782999E-3</v>
      </c>
      <c r="L1912" s="1233">
        <v>3.0896712784440401E-2</v>
      </c>
      <c r="M1912" s="1234">
        <v>1.7997211891077999E-2</v>
      </c>
      <c r="N1912" s="1235">
        <v>1.081387072068853E-4</v>
      </c>
    </row>
    <row r="1913" spans="1:14" ht="15.5" x14ac:dyDescent="0.35">
      <c r="A1913" s="198">
        <v>2045</v>
      </c>
      <c r="B1913" s="197" t="s">
        <v>5850</v>
      </c>
      <c r="C1913" s="197">
        <v>2040</v>
      </c>
      <c r="D1913" s="110" t="str">
        <f t="shared" si="15"/>
        <v>2045_2040</v>
      </c>
      <c r="E1913" s="1231">
        <v>9.4997846011349897E-3</v>
      </c>
      <c r="F1913" s="1232">
        <v>2.5409580865973898E-2</v>
      </c>
      <c r="G1913" s="1232">
        <v>0.90784256846173506</v>
      </c>
      <c r="H1913" s="1232">
        <v>0.11511090597671302</v>
      </c>
      <c r="I1913" s="1232">
        <v>1.6156821752941E-2</v>
      </c>
      <c r="J1913" s="1232">
        <v>1.0346067460135575E-4</v>
      </c>
      <c r="K1913" s="1232">
        <v>3.0000008603782999E-3</v>
      </c>
      <c r="L1913" s="1233">
        <v>3.08967127844436E-2</v>
      </c>
      <c r="M1913" s="1234">
        <v>1.6887361537774301E-2</v>
      </c>
      <c r="N1913" s="1235">
        <v>1.0813870720688503E-4</v>
      </c>
    </row>
    <row r="1914" spans="1:14" ht="15.5" x14ac:dyDescent="0.35">
      <c r="A1914" s="198">
        <v>2045</v>
      </c>
      <c r="B1914" s="197" t="s">
        <v>5850</v>
      </c>
      <c r="C1914" s="197">
        <v>2041</v>
      </c>
      <c r="D1914" s="110" t="str">
        <f t="shared" si="15"/>
        <v>2045_2041</v>
      </c>
      <c r="E1914" s="1231">
        <v>9.1459180271194797E-3</v>
      </c>
      <c r="F1914" s="1232">
        <v>2.5409580865973929E-2</v>
      </c>
      <c r="G1914" s="1232">
        <v>0.85229412295271001</v>
      </c>
      <c r="H1914" s="1232">
        <v>0.11111752294699541</v>
      </c>
      <c r="I1914" s="1232">
        <v>1.5110305541410201E-2</v>
      </c>
      <c r="J1914" s="1232">
        <v>1.0346067460135587E-4</v>
      </c>
      <c r="K1914" s="1232">
        <v>3.0000008603782999E-3</v>
      </c>
      <c r="L1914" s="1233">
        <v>3.0896712784442198E-2</v>
      </c>
      <c r="M1914" s="1234">
        <v>1.5793526507004899E-2</v>
      </c>
      <c r="N1914" s="1235">
        <v>1.0813870720688516E-4</v>
      </c>
    </row>
    <row r="1915" spans="1:14" ht="15.5" x14ac:dyDescent="0.35">
      <c r="A1915" s="198">
        <v>2045</v>
      </c>
      <c r="B1915" s="197" t="s">
        <v>5850</v>
      </c>
      <c r="C1915" s="197">
        <v>2042</v>
      </c>
      <c r="D1915" s="110" t="str">
        <f t="shared" si="15"/>
        <v>2045_2042</v>
      </c>
      <c r="E1915" s="1231">
        <v>8.7920514531021794E-3</v>
      </c>
      <c r="F1915" s="1232">
        <v>2.540958086597395E-2</v>
      </c>
      <c r="G1915" s="1232">
        <v>0.78642329736485095</v>
      </c>
      <c r="H1915" s="1232">
        <v>0.10425213864342167</v>
      </c>
      <c r="I1915" s="1232">
        <v>1.40526967450273E-2</v>
      </c>
      <c r="J1915" s="1232">
        <v>1.0346067460135597E-4</v>
      </c>
      <c r="K1915" s="1232">
        <v>3.0000008603782999E-3</v>
      </c>
      <c r="L1915" s="1233">
        <v>3.0896712784442899E-2</v>
      </c>
      <c r="M1915" s="1234">
        <v>1.46880973339192E-2</v>
      </c>
      <c r="N1915" s="1235">
        <v>1.0813870720688524E-4</v>
      </c>
    </row>
    <row r="1916" spans="1:14" ht="15.5" x14ac:dyDescent="0.35">
      <c r="A1916" s="198">
        <v>2045</v>
      </c>
      <c r="B1916" s="197" t="s">
        <v>5850</v>
      </c>
      <c r="C1916" s="197">
        <v>2043</v>
      </c>
      <c r="D1916" s="110" t="str">
        <f t="shared" si="15"/>
        <v>2045_2043</v>
      </c>
      <c r="E1916" s="1231">
        <v>8.4381848790855696E-3</v>
      </c>
      <c r="F1916" s="1232">
        <v>2.540958086597396E-2</v>
      </c>
      <c r="G1916" s="1232">
        <v>0.71003313381128597</v>
      </c>
      <c r="H1916" s="1232">
        <v>9.5434087071189208E-2</v>
      </c>
      <c r="I1916" s="1232">
        <v>1.30117558591386E-2</v>
      </c>
      <c r="J1916" s="1232">
        <v>1.0346067460135601E-4</v>
      </c>
      <c r="K1916" s="1232">
        <v>3.0000008603782999E-3</v>
      </c>
      <c r="L1916" s="1233">
        <v>3.0896712784445699E-2</v>
      </c>
      <c r="M1916" s="1234">
        <v>1.3600089720277399E-2</v>
      </c>
      <c r="N1916" s="1235">
        <v>1.081387072068853E-4</v>
      </c>
    </row>
    <row r="1917" spans="1:14" ht="15.5" x14ac:dyDescent="0.35">
      <c r="A1917" s="198">
        <v>2045</v>
      </c>
      <c r="B1917" s="197" t="s">
        <v>5850</v>
      </c>
      <c r="C1917" s="197">
        <v>2044</v>
      </c>
      <c r="D1917" s="110" t="str">
        <f t="shared" si="15"/>
        <v>2045_2044</v>
      </c>
      <c r="E1917" s="1231">
        <v>8.0843183050693102E-3</v>
      </c>
      <c r="F1917" s="1232">
        <v>2.5409580865973998E-2</v>
      </c>
      <c r="G1917" s="1232">
        <v>0.62078712628366595</v>
      </c>
      <c r="H1917" s="1232">
        <v>8.5582701735059497E-2</v>
      </c>
      <c r="I1917" s="1232">
        <v>1.2006560537587301E-2</v>
      </c>
      <c r="J1917" s="1232">
        <v>1.0346067460135617E-4</v>
      </c>
      <c r="K1917" s="1232">
        <v>3.0000008603782999E-3</v>
      </c>
      <c r="L1917" s="1233">
        <v>3.0896712784442601E-2</v>
      </c>
      <c r="M1917" s="1234">
        <v>1.25494439267737E-2</v>
      </c>
      <c r="N1917" s="1235">
        <v>1.0813870720688546E-4</v>
      </c>
    </row>
    <row r="1918" spans="1:14" ht="15.5" x14ac:dyDescent="0.35">
      <c r="A1918" s="199">
        <v>2045</v>
      </c>
      <c r="B1918" s="110" t="s">
        <v>5850</v>
      </c>
      <c r="C1918" s="110">
        <v>2045</v>
      </c>
      <c r="D1918" s="110" t="str">
        <f t="shared" si="15"/>
        <v>2045_2045</v>
      </c>
      <c r="E1918" s="1231">
        <v>7.7307120727782399E-3</v>
      </c>
      <c r="F1918" s="1232">
        <v>2.5409583098870748E-2</v>
      </c>
      <c r="G1918" s="1232">
        <v>0.51042226867357399</v>
      </c>
      <c r="H1918" s="1232">
        <v>7.5617323535410133E-2</v>
      </c>
      <c r="I1918" s="1232">
        <v>1.1049237245786299E-2</v>
      </c>
      <c r="J1918" s="1232">
        <v>1.0346068369308486E-4</v>
      </c>
      <c r="K1918" s="1232">
        <v>3.0000008603779599E-3</v>
      </c>
      <c r="L1918" s="1233">
        <v>3.08949063037487E-2</v>
      </c>
      <c r="M1918" s="1234">
        <v>1.1548834723776699E-2</v>
      </c>
      <c r="N1918" s="1235">
        <v>1.0813871670970166E-4</v>
      </c>
    </row>
    <row r="1919" spans="1:14" ht="15.5" x14ac:dyDescent="0.35">
      <c r="A1919" s="199">
        <v>2045</v>
      </c>
      <c r="B1919" s="110" t="s">
        <v>5850</v>
      </c>
      <c r="C1919" s="110">
        <v>2046</v>
      </c>
      <c r="D1919" s="110" t="str">
        <f t="shared" si="15"/>
        <v>2045_2046</v>
      </c>
      <c r="E1919" s="1231">
        <v>7.3754124635969096E-3</v>
      </c>
      <c r="F1919" s="1232">
        <v>6.0982968772425226E-2</v>
      </c>
      <c r="G1919" s="1232">
        <v>0.35071601812438002</v>
      </c>
      <c r="H1919" s="1232">
        <v>0.1814814852282737</v>
      </c>
      <c r="I1919" s="1232">
        <v>1.0137808198173601E-2</v>
      </c>
      <c r="J1919" s="1232">
        <v>2.4830551600468987E-4</v>
      </c>
      <c r="K1919" s="1232">
        <v>3.0000008603799102E-3</v>
      </c>
      <c r="L1919" s="1233">
        <v>3.09052403125483E-2</v>
      </c>
      <c r="M1919" s="1234">
        <v>1.05961948990374E-2</v>
      </c>
      <c r="N1919" s="1235">
        <v>2.595327895990136E-4</v>
      </c>
    </row>
    <row r="1920" spans="1:14" ht="15.5" x14ac:dyDescent="0.35">
      <c r="A1920" s="199">
        <v>2046</v>
      </c>
      <c r="B1920" s="110" t="s">
        <v>5850</v>
      </c>
      <c r="C1920" s="110">
        <v>1971</v>
      </c>
      <c r="D1920" s="110" t="str">
        <f t="shared" si="15"/>
        <v>2046_1971</v>
      </c>
      <c r="E1920" s="1226">
        <v>0.12417080181214001</v>
      </c>
      <c r="F1920" s="1227">
        <v>5.2947945615783656E-2</v>
      </c>
      <c r="G1920" s="1227">
        <v>5.12543788787805</v>
      </c>
      <c r="H1920" s="1227">
        <v>0.7110756485330012</v>
      </c>
      <c r="I1920" s="1227">
        <v>5.7228626102616899E-2</v>
      </c>
      <c r="J1920" s="1227">
        <v>2.1631168136348485E-4</v>
      </c>
      <c r="K1920" s="1227">
        <v>3.0000008603782999E-3</v>
      </c>
      <c r="L1920" s="1228">
        <v>2.7963063565977199E-2</v>
      </c>
      <c r="M1920" s="1229">
        <v>5.9816250626709998E-2</v>
      </c>
      <c r="N1920" s="1230">
        <v>2.2609233572587177E-4</v>
      </c>
    </row>
    <row r="1921" spans="1:14" ht="15.5" x14ac:dyDescent="0.35">
      <c r="A1921" s="199">
        <v>2046</v>
      </c>
      <c r="B1921" s="110" t="s">
        <v>5850</v>
      </c>
      <c r="C1921" s="110">
        <v>1972</v>
      </c>
      <c r="D1921" s="110" t="str">
        <f t="shared" si="15"/>
        <v>2046_1972</v>
      </c>
      <c r="E1921" s="1226">
        <v>0.12417080181214001</v>
      </c>
      <c r="F1921" s="1227">
        <v>5.2947945615783656E-2</v>
      </c>
      <c r="G1921" s="1227">
        <v>5.12543788787805</v>
      </c>
      <c r="H1921" s="1227">
        <v>0.7110756485330012</v>
      </c>
      <c r="I1921" s="1227">
        <v>5.7228626102616899E-2</v>
      </c>
      <c r="J1921" s="1227">
        <v>2.1631168136348485E-4</v>
      </c>
      <c r="K1921" s="1227">
        <v>3.0000008603782999E-3</v>
      </c>
      <c r="L1921" s="1228">
        <v>2.7963063565977199E-2</v>
      </c>
      <c r="M1921" s="1229">
        <v>5.9816250626709998E-2</v>
      </c>
      <c r="N1921" s="1230">
        <v>2.2609233572587177E-4</v>
      </c>
    </row>
    <row r="1922" spans="1:14" ht="15.5" x14ac:dyDescent="0.35">
      <c r="A1922" s="199">
        <v>2046</v>
      </c>
      <c r="B1922" s="110" t="s">
        <v>5850</v>
      </c>
      <c r="C1922" s="110">
        <v>1973</v>
      </c>
      <c r="D1922" s="110" t="str">
        <f t="shared" si="15"/>
        <v>2046_1973</v>
      </c>
      <c r="E1922" s="1226">
        <v>0.12417080181214001</v>
      </c>
      <c r="F1922" s="1227">
        <v>5.2947945615783656E-2</v>
      </c>
      <c r="G1922" s="1227">
        <v>5.12543788787805</v>
      </c>
      <c r="H1922" s="1227">
        <v>0.7110756485330012</v>
      </c>
      <c r="I1922" s="1227">
        <v>5.7228626102616899E-2</v>
      </c>
      <c r="J1922" s="1227">
        <v>2.1631168136348485E-4</v>
      </c>
      <c r="K1922" s="1227">
        <v>3.0000008603782999E-3</v>
      </c>
      <c r="L1922" s="1228">
        <v>2.7963063565977199E-2</v>
      </c>
      <c r="M1922" s="1229">
        <v>5.9816250626709998E-2</v>
      </c>
      <c r="N1922" s="1230">
        <v>2.2609233572587177E-4</v>
      </c>
    </row>
    <row r="1923" spans="1:14" ht="15.5" x14ac:dyDescent="0.35">
      <c r="A1923" s="199">
        <v>2046</v>
      </c>
      <c r="B1923" s="110" t="s">
        <v>5850</v>
      </c>
      <c r="C1923" s="110">
        <v>1974</v>
      </c>
      <c r="D1923" s="110" t="str">
        <f t="shared" si="15"/>
        <v>2046_1974</v>
      </c>
      <c r="E1923" s="1226">
        <v>0.12417080181214001</v>
      </c>
      <c r="F1923" s="1227">
        <v>5.2947945615783656E-2</v>
      </c>
      <c r="G1923" s="1227">
        <v>5.12543788787805</v>
      </c>
      <c r="H1923" s="1227">
        <v>0.7110756485330012</v>
      </c>
      <c r="I1923" s="1227">
        <v>5.7228626102616899E-2</v>
      </c>
      <c r="J1923" s="1227">
        <v>2.1631168136348485E-4</v>
      </c>
      <c r="K1923" s="1227">
        <v>3.0000008603782999E-3</v>
      </c>
      <c r="L1923" s="1228">
        <v>2.7963063565977199E-2</v>
      </c>
      <c r="M1923" s="1229">
        <v>5.9816250626709998E-2</v>
      </c>
      <c r="N1923" s="1230">
        <v>2.2609233572587177E-4</v>
      </c>
    </row>
    <row r="1924" spans="1:14" ht="15.5" x14ac:dyDescent="0.35">
      <c r="A1924" s="199">
        <v>2046</v>
      </c>
      <c r="B1924" s="110" t="s">
        <v>5850</v>
      </c>
      <c r="C1924" s="110">
        <v>1975</v>
      </c>
      <c r="D1924" s="110" t="str">
        <f t="shared" si="15"/>
        <v>2046_1975</v>
      </c>
      <c r="E1924" s="1226">
        <v>0.12417080181214001</v>
      </c>
      <c r="F1924" s="1227">
        <v>5.2947945615783656E-2</v>
      </c>
      <c r="G1924" s="1227">
        <v>5.12543788787805</v>
      </c>
      <c r="H1924" s="1227">
        <v>0.7110756485330012</v>
      </c>
      <c r="I1924" s="1227">
        <v>5.7228626102616899E-2</v>
      </c>
      <c r="J1924" s="1227">
        <v>2.1631168136348485E-4</v>
      </c>
      <c r="K1924" s="1227">
        <v>3.0000008603782999E-3</v>
      </c>
      <c r="L1924" s="1228">
        <v>2.7963063565977199E-2</v>
      </c>
      <c r="M1924" s="1229">
        <v>5.9816250626709998E-2</v>
      </c>
      <c r="N1924" s="1230">
        <v>2.2609233572587177E-4</v>
      </c>
    </row>
    <row r="1925" spans="1:14" ht="15.5" x14ac:dyDescent="0.35">
      <c r="A1925" s="199">
        <v>2046</v>
      </c>
      <c r="B1925" s="110" t="s">
        <v>5850</v>
      </c>
      <c r="C1925" s="110">
        <v>1976</v>
      </c>
      <c r="D1925" s="110" t="str">
        <f t="shared" si="15"/>
        <v>2046_1976</v>
      </c>
      <c r="E1925" s="1226">
        <v>0.12417080181214001</v>
      </c>
      <c r="F1925" s="1227">
        <v>5.2947945615783656E-2</v>
      </c>
      <c r="G1925" s="1227">
        <v>5.12543788787805</v>
      </c>
      <c r="H1925" s="1227">
        <v>0.7110756485330012</v>
      </c>
      <c r="I1925" s="1227">
        <v>5.7228626102616899E-2</v>
      </c>
      <c r="J1925" s="1227">
        <v>2.1631168136348485E-4</v>
      </c>
      <c r="K1925" s="1227">
        <v>3.0000008603782999E-3</v>
      </c>
      <c r="L1925" s="1228">
        <v>2.7963063565977199E-2</v>
      </c>
      <c r="M1925" s="1229">
        <v>5.9816250626709998E-2</v>
      </c>
      <c r="N1925" s="1230">
        <v>2.2609233572587177E-4</v>
      </c>
    </row>
    <row r="1926" spans="1:14" ht="15.5" x14ac:dyDescent="0.35">
      <c r="A1926" s="199">
        <v>2046</v>
      </c>
      <c r="B1926" s="110" t="s">
        <v>5850</v>
      </c>
      <c r="C1926" s="110">
        <v>1977</v>
      </c>
      <c r="D1926" s="110" t="str">
        <f t="shared" si="15"/>
        <v>2046_1977</v>
      </c>
      <c r="E1926" s="1226">
        <v>0.12417080181214001</v>
      </c>
      <c r="F1926" s="1227">
        <v>5.2947945615783656E-2</v>
      </c>
      <c r="G1926" s="1227">
        <v>5.12543788787805</v>
      </c>
      <c r="H1926" s="1227">
        <v>0.7110756485330012</v>
      </c>
      <c r="I1926" s="1227">
        <v>5.7228626102616899E-2</v>
      </c>
      <c r="J1926" s="1227">
        <v>2.1631168136348485E-4</v>
      </c>
      <c r="K1926" s="1227">
        <v>3.0000008603782999E-3</v>
      </c>
      <c r="L1926" s="1228">
        <v>2.7963063565977199E-2</v>
      </c>
      <c r="M1926" s="1229">
        <v>5.9816250626709998E-2</v>
      </c>
      <c r="N1926" s="1230">
        <v>2.2609233572587177E-4</v>
      </c>
    </row>
    <row r="1927" spans="1:14" ht="15.5" x14ac:dyDescent="0.35">
      <c r="A1927" s="199">
        <v>2046</v>
      </c>
      <c r="B1927" s="110" t="s">
        <v>5850</v>
      </c>
      <c r="C1927" s="110">
        <v>1978</v>
      </c>
      <c r="D1927" s="110" t="str">
        <f t="shared" si="15"/>
        <v>2046_1978</v>
      </c>
      <c r="E1927" s="1226">
        <v>0.12417080181214001</v>
      </c>
      <c r="F1927" s="1227">
        <v>5.2947945615783656E-2</v>
      </c>
      <c r="G1927" s="1227">
        <v>5.12543788787805</v>
      </c>
      <c r="H1927" s="1227">
        <v>0.7110756485330012</v>
      </c>
      <c r="I1927" s="1227">
        <v>5.7228626102616899E-2</v>
      </c>
      <c r="J1927" s="1227">
        <v>2.1631168136348485E-4</v>
      </c>
      <c r="K1927" s="1227">
        <v>3.0000008603782999E-3</v>
      </c>
      <c r="L1927" s="1228">
        <v>2.7963063565977199E-2</v>
      </c>
      <c r="M1927" s="1229">
        <v>5.9816250626709998E-2</v>
      </c>
      <c r="N1927" s="1230">
        <v>2.2609233572587177E-4</v>
      </c>
    </row>
    <row r="1928" spans="1:14" ht="15.5" x14ac:dyDescent="0.35">
      <c r="A1928" s="199">
        <v>2046</v>
      </c>
      <c r="B1928" s="110" t="s">
        <v>5850</v>
      </c>
      <c r="C1928" s="110">
        <v>1979</v>
      </c>
      <c r="D1928" s="110" t="str">
        <f t="shared" si="15"/>
        <v>2046_1979</v>
      </c>
      <c r="E1928" s="1226">
        <v>0.12417080181214001</v>
      </c>
      <c r="F1928" s="1227">
        <v>5.2947945615783656E-2</v>
      </c>
      <c r="G1928" s="1227">
        <v>5.12543788787805</v>
      </c>
      <c r="H1928" s="1227">
        <v>0.7110756485330012</v>
      </c>
      <c r="I1928" s="1227">
        <v>5.7228626102616899E-2</v>
      </c>
      <c r="J1928" s="1227">
        <v>2.1631168136348485E-4</v>
      </c>
      <c r="K1928" s="1227">
        <v>3.0000008603782999E-3</v>
      </c>
      <c r="L1928" s="1228">
        <v>2.7963063565977199E-2</v>
      </c>
      <c r="M1928" s="1229">
        <v>5.9816250626709998E-2</v>
      </c>
      <c r="N1928" s="1230">
        <v>2.2609233572587177E-4</v>
      </c>
    </row>
    <row r="1929" spans="1:14" ht="15.5" x14ac:dyDescent="0.35">
      <c r="A1929" s="199">
        <v>2046</v>
      </c>
      <c r="B1929" s="110" t="s">
        <v>5850</v>
      </c>
      <c r="C1929" s="110">
        <v>1980</v>
      </c>
      <c r="D1929" s="110" t="str">
        <f t="shared" si="15"/>
        <v>2046_1980</v>
      </c>
      <c r="E1929" s="1226">
        <v>0.12417080181214001</v>
      </c>
      <c r="F1929" s="1227">
        <v>5.2947945615783656E-2</v>
      </c>
      <c r="G1929" s="1227">
        <v>5.12543788787805</v>
      </c>
      <c r="H1929" s="1227">
        <v>0.7110756485330012</v>
      </c>
      <c r="I1929" s="1227">
        <v>5.7228626102616899E-2</v>
      </c>
      <c r="J1929" s="1227">
        <v>2.1631168136348485E-4</v>
      </c>
      <c r="K1929" s="1227">
        <v>3.0000008603782999E-3</v>
      </c>
      <c r="L1929" s="1228">
        <v>2.7963063565977199E-2</v>
      </c>
      <c r="M1929" s="1229">
        <v>5.9816250626709998E-2</v>
      </c>
      <c r="N1929" s="1230">
        <v>2.2609233572587177E-4</v>
      </c>
    </row>
    <row r="1930" spans="1:14" ht="15.5" x14ac:dyDescent="0.35">
      <c r="A1930" s="199">
        <v>2046</v>
      </c>
      <c r="B1930" s="110" t="s">
        <v>5850</v>
      </c>
      <c r="C1930" s="110">
        <v>1981</v>
      </c>
      <c r="D1930" s="110" t="str">
        <f t="shared" si="15"/>
        <v>2046_1981</v>
      </c>
      <c r="E1930" s="1226">
        <v>0.12417080181214001</v>
      </c>
      <c r="F1930" s="1227">
        <v>5.2947945615783656E-2</v>
      </c>
      <c r="G1930" s="1227">
        <v>5.12543788787805</v>
      </c>
      <c r="H1930" s="1227">
        <v>0.7110756485330012</v>
      </c>
      <c r="I1930" s="1227">
        <v>5.7228626102616899E-2</v>
      </c>
      <c r="J1930" s="1227">
        <v>2.1631168136348485E-4</v>
      </c>
      <c r="K1930" s="1227">
        <v>3.0000008603782999E-3</v>
      </c>
      <c r="L1930" s="1228">
        <v>2.7963063565977199E-2</v>
      </c>
      <c r="M1930" s="1229">
        <v>5.9816250626709998E-2</v>
      </c>
      <c r="N1930" s="1230">
        <v>2.2609233572587177E-4</v>
      </c>
    </row>
    <row r="1931" spans="1:14" ht="15.5" x14ac:dyDescent="0.35">
      <c r="A1931" s="199">
        <v>2046</v>
      </c>
      <c r="B1931" s="110" t="s">
        <v>5850</v>
      </c>
      <c r="C1931" s="110">
        <v>1982</v>
      </c>
      <c r="D1931" s="110" t="str">
        <f t="shared" si="15"/>
        <v>2046_1982</v>
      </c>
      <c r="E1931" s="1226">
        <v>0.12417080181214001</v>
      </c>
      <c r="F1931" s="1227">
        <v>5.2947945615783656E-2</v>
      </c>
      <c r="G1931" s="1227">
        <v>5.12543788787805</v>
      </c>
      <c r="H1931" s="1227">
        <v>0.7110756485330012</v>
      </c>
      <c r="I1931" s="1227">
        <v>5.7228626102616899E-2</v>
      </c>
      <c r="J1931" s="1227">
        <v>2.1631168136348485E-4</v>
      </c>
      <c r="K1931" s="1227">
        <v>3.0000008603782999E-3</v>
      </c>
      <c r="L1931" s="1228">
        <v>2.7963063565977199E-2</v>
      </c>
      <c r="M1931" s="1229">
        <v>5.9816250626709998E-2</v>
      </c>
      <c r="N1931" s="1230">
        <v>2.2609233572587177E-4</v>
      </c>
    </row>
    <row r="1932" spans="1:14" ht="15.5" x14ac:dyDescent="0.35">
      <c r="A1932" s="199">
        <v>2046</v>
      </c>
      <c r="B1932" s="110" t="s">
        <v>5850</v>
      </c>
      <c r="C1932" s="110">
        <v>1983</v>
      </c>
      <c r="D1932" s="110" t="str">
        <f t="shared" si="15"/>
        <v>2046_1983</v>
      </c>
      <c r="E1932" s="1226">
        <v>0.12417080181214001</v>
      </c>
      <c r="F1932" s="1227">
        <v>5.2947945615783656E-2</v>
      </c>
      <c r="G1932" s="1227">
        <v>5.12543788787805</v>
      </c>
      <c r="H1932" s="1227">
        <v>0.7110756485330012</v>
      </c>
      <c r="I1932" s="1227">
        <v>5.7228626102616899E-2</v>
      </c>
      <c r="J1932" s="1227">
        <v>2.1631168136348485E-4</v>
      </c>
      <c r="K1932" s="1227">
        <v>3.0000008603782999E-3</v>
      </c>
      <c r="L1932" s="1228">
        <v>2.7963063565977199E-2</v>
      </c>
      <c r="M1932" s="1229">
        <v>5.9816250626709998E-2</v>
      </c>
      <c r="N1932" s="1230">
        <v>2.2609233572587177E-4</v>
      </c>
    </row>
    <row r="1933" spans="1:14" ht="15.5" x14ac:dyDescent="0.35">
      <c r="A1933" s="199">
        <v>2046</v>
      </c>
      <c r="B1933" s="110" t="s">
        <v>5850</v>
      </c>
      <c r="C1933" s="110">
        <v>1984</v>
      </c>
      <c r="D1933" s="110" t="str">
        <f t="shared" si="15"/>
        <v>2046_1984</v>
      </c>
      <c r="E1933" s="1226">
        <v>0.12417080181214001</v>
      </c>
      <c r="F1933" s="1227">
        <v>5.2947945615783656E-2</v>
      </c>
      <c r="G1933" s="1227">
        <v>5.12543788787805</v>
      </c>
      <c r="H1933" s="1227">
        <v>0.7110756485330012</v>
      </c>
      <c r="I1933" s="1227">
        <v>5.7228626102616899E-2</v>
      </c>
      <c r="J1933" s="1227">
        <v>2.1631168136348485E-4</v>
      </c>
      <c r="K1933" s="1227">
        <v>3.0000008603782999E-3</v>
      </c>
      <c r="L1933" s="1228">
        <v>2.7963063565977199E-2</v>
      </c>
      <c r="M1933" s="1229">
        <v>5.9816250626709998E-2</v>
      </c>
      <c r="N1933" s="1230">
        <v>2.2609233572587177E-4</v>
      </c>
    </row>
    <row r="1934" spans="1:14" ht="15.5" x14ac:dyDescent="0.35">
      <c r="A1934" s="199">
        <v>2046</v>
      </c>
      <c r="B1934" s="110" t="s">
        <v>5850</v>
      </c>
      <c r="C1934" s="110">
        <v>1985</v>
      </c>
      <c r="D1934" s="110" t="str">
        <f t="shared" si="15"/>
        <v>2046_1985</v>
      </c>
      <c r="E1934" s="1226">
        <v>0.12417080181214001</v>
      </c>
      <c r="F1934" s="1227">
        <v>5.2947945615783656E-2</v>
      </c>
      <c r="G1934" s="1227">
        <v>5.12543788787805</v>
      </c>
      <c r="H1934" s="1227">
        <v>0.7110756485330012</v>
      </c>
      <c r="I1934" s="1227">
        <v>5.7228626102616899E-2</v>
      </c>
      <c r="J1934" s="1227">
        <v>2.1631168136348485E-4</v>
      </c>
      <c r="K1934" s="1227">
        <v>3.0000008603782999E-3</v>
      </c>
      <c r="L1934" s="1228">
        <v>2.7963063565977199E-2</v>
      </c>
      <c r="M1934" s="1229">
        <v>5.9816250626709998E-2</v>
      </c>
      <c r="N1934" s="1230">
        <v>2.2609233572587177E-4</v>
      </c>
    </row>
    <row r="1935" spans="1:14" ht="15.5" x14ac:dyDescent="0.35">
      <c r="A1935" s="199">
        <v>2046</v>
      </c>
      <c r="B1935" s="110" t="s">
        <v>5850</v>
      </c>
      <c r="C1935" s="110">
        <v>1986</v>
      </c>
      <c r="D1935" s="110" t="str">
        <f t="shared" si="15"/>
        <v>2046_1986</v>
      </c>
      <c r="E1935" s="1226">
        <v>0.12417080181214001</v>
      </c>
      <c r="F1935" s="1227">
        <v>5.2947945615783656E-2</v>
      </c>
      <c r="G1935" s="1227">
        <v>5.12543788787805</v>
      </c>
      <c r="H1935" s="1227">
        <v>0.7110756485330012</v>
      </c>
      <c r="I1935" s="1227">
        <v>5.7228626102616899E-2</v>
      </c>
      <c r="J1935" s="1227">
        <v>2.1631168136348485E-4</v>
      </c>
      <c r="K1935" s="1227">
        <v>3.0000008603782999E-3</v>
      </c>
      <c r="L1935" s="1228">
        <v>2.7963063565977199E-2</v>
      </c>
      <c r="M1935" s="1229">
        <v>5.9816250626709998E-2</v>
      </c>
      <c r="N1935" s="1230">
        <v>2.2609233572587177E-4</v>
      </c>
    </row>
    <row r="1936" spans="1:14" ht="15.5" x14ac:dyDescent="0.35">
      <c r="A1936" s="199">
        <v>2046</v>
      </c>
      <c r="B1936" s="110" t="s">
        <v>5850</v>
      </c>
      <c r="C1936" s="110">
        <v>1987</v>
      </c>
      <c r="D1936" s="110" t="str">
        <f t="shared" si="15"/>
        <v>2046_1987</v>
      </c>
      <c r="E1936" s="1226">
        <v>0.12417080181214001</v>
      </c>
      <c r="F1936" s="1227">
        <v>5.2947945615783656E-2</v>
      </c>
      <c r="G1936" s="1227">
        <v>5.12543788787805</v>
      </c>
      <c r="H1936" s="1227">
        <v>0.7110756485330012</v>
      </c>
      <c r="I1936" s="1227">
        <v>5.7228626102616899E-2</v>
      </c>
      <c r="J1936" s="1227">
        <v>2.1631168136348485E-4</v>
      </c>
      <c r="K1936" s="1227">
        <v>3.0000008603782999E-3</v>
      </c>
      <c r="L1936" s="1228">
        <v>2.7963063565977199E-2</v>
      </c>
      <c r="M1936" s="1229">
        <v>5.9816250626709998E-2</v>
      </c>
      <c r="N1936" s="1230">
        <v>2.2609233572587177E-4</v>
      </c>
    </row>
    <row r="1937" spans="1:14" ht="15.5" x14ac:dyDescent="0.35">
      <c r="A1937" s="199">
        <v>2046</v>
      </c>
      <c r="B1937" s="110" t="s">
        <v>5850</v>
      </c>
      <c r="C1937" s="110">
        <v>1988</v>
      </c>
      <c r="D1937" s="110" t="str">
        <f t="shared" si="15"/>
        <v>2046_1988</v>
      </c>
      <c r="E1937" s="1226">
        <v>0.12417080181214001</v>
      </c>
      <c r="F1937" s="1227">
        <v>5.2947945615783656E-2</v>
      </c>
      <c r="G1937" s="1227">
        <v>5.12543788787805</v>
      </c>
      <c r="H1937" s="1227">
        <v>0.7110756485330012</v>
      </c>
      <c r="I1937" s="1227">
        <v>5.7228626102616899E-2</v>
      </c>
      <c r="J1937" s="1227">
        <v>2.1631168136348485E-4</v>
      </c>
      <c r="K1937" s="1227">
        <v>3.0000008603782999E-3</v>
      </c>
      <c r="L1937" s="1228">
        <v>2.7963063565977199E-2</v>
      </c>
      <c r="M1937" s="1229">
        <v>5.9816250626709998E-2</v>
      </c>
      <c r="N1937" s="1230">
        <v>2.2609233572587177E-4</v>
      </c>
    </row>
    <row r="1938" spans="1:14" ht="15.5" x14ac:dyDescent="0.35">
      <c r="A1938" s="199">
        <v>2046</v>
      </c>
      <c r="B1938" s="110" t="s">
        <v>5850</v>
      </c>
      <c r="C1938" s="110">
        <v>1989</v>
      </c>
      <c r="D1938" s="110" t="str">
        <f t="shared" si="15"/>
        <v>2046_1989</v>
      </c>
      <c r="E1938" s="1226">
        <v>0.12417080181214001</v>
      </c>
      <c r="F1938" s="1227">
        <v>5.2947945615783656E-2</v>
      </c>
      <c r="G1938" s="1227">
        <v>5.12543788787805</v>
      </c>
      <c r="H1938" s="1227">
        <v>0.7110756485330012</v>
      </c>
      <c r="I1938" s="1227">
        <v>5.7228626102616899E-2</v>
      </c>
      <c r="J1938" s="1227">
        <v>2.1631168136348485E-4</v>
      </c>
      <c r="K1938" s="1227">
        <v>3.0000008603782999E-3</v>
      </c>
      <c r="L1938" s="1228">
        <v>2.7963063565977199E-2</v>
      </c>
      <c r="M1938" s="1229">
        <v>5.9816250626709998E-2</v>
      </c>
      <c r="N1938" s="1230">
        <v>2.2609233572587177E-4</v>
      </c>
    </row>
    <row r="1939" spans="1:14" ht="15.5" x14ac:dyDescent="0.35">
      <c r="A1939" s="199">
        <v>2046</v>
      </c>
      <c r="B1939" s="110" t="s">
        <v>5850</v>
      </c>
      <c r="C1939" s="110">
        <v>1990</v>
      </c>
      <c r="D1939" s="110" t="str">
        <f t="shared" si="15"/>
        <v>2046_1990</v>
      </c>
      <c r="E1939" s="1226">
        <v>0.12417080181214001</v>
      </c>
      <c r="F1939" s="1227">
        <v>5.2947945615783656E-2</v>
      </c>
      <c r="G1939" s="1227">
        <v>5.12543788787805</v>
      </c>
      <c r="H1939" s="1227">
        <v>0.7110756485330012</v>
      </c>
      <c r="I1939" s="1227">
        <v>5.7228626102616899E-2</v>
      </c>
      <c r="J1939" s="1227">
        <v>2.1631168136348485E-4</v>
      </c>
      <c r="K1939" s="1227">
        <v>3.0000008603782999E-3</v>
      </c>
      <c r="L1939" s="1228">
        <v>2.7963063565977199E-2</v>
      </c>
      <c r="M1939" s="1229">
        <v>5.9816250626709998E-2</v>
      </c>
      <c r="N1939" s="1230">
        <v>2.2609233572587177E-4</v>
      </c>
    </row>
    <row r="1940" spans="1:14" ht="15.5" x14ac:dyDescent="0.35">
      <c r="A1940" s="199">
        <v>2046</v>
      </c>
      <c r="B1940" s="110" t="s">
        <v>5850</v>
      </c>
      <c r="C1940" s="110">
        <v>1991</v>
      </c>
      <c r="D1940" s="110" t="str">
        <f t="shared" si="15"/>
        <v>2046_1991</v>
      </c>
      <c r="E1940" s="1226">
        <v>0.12417080181214001</v>
      </c>
      <c r="F1940" s="1227">
        <v>5.2947945615783656E-2</v>
      </c>
      <c r="G1940" s="1227">
        <v>5.12543788787805</v>
      </c>
      <c r="H1940" s="1227">
        <v>0.7110756485330012</v>
      </c>
      <c r="I1940" s="1227">
        <v>5.7228626102616899E-2</v>
      </c>
      <c r="J1940" s="1227">
        <v>2.1631168136348485E-4</v>
      </c>
      <c r="K1940" s="1227">
        <v>3.0000008603782999E-3</v>
      </c>
      <c r="L1940" s="1228">
        <v>2.7963063565977199E-2</v>
      </c>
      <c r="M1940" s="1229">
        <v>5.9816250626709998E-2</v>
      </c>
      <c r="N1940" s="1230">
        <v>2.2609233572587177E-4</v>
      </c>
    </row>
    <row r="1941" spans="1:14" ht="15.5" x14ac:dyDescent="0.35">
      <c r="A1941" s="199">
        <v>2046</v>
      </c>
      <c r="B1941" s="110" t="s">
        <v>5850</v>
      </c>
      <c r="C1941" s="110">
        <v>1992</v>
      </c>
      <c r="D1941" s="110" t="str">
        <f t="shared" si="15"/>
        <v>2046_1992</v>
      </c>
      <c r="E1941" s="1226">
        <v>0.12417080181214001</v>
      </c>
      <c r="F1941" s="1227">
        <v>5.2947945615783656E-2</v>
      </c>
      <c r="G1941" s="1227">
        <v>5.12543788787805</v>
      </c>
      <c r="H1941" s="1227">
        <v>0.7110756485330012</v>
      </c>
      <c r="I1941" s="1227">
        <v>5.7228626102616899E-2</v>
      </c>
      <c r="J1941" s="1227">
        <v>2.1631168136348485E-4</v>
      </c>
      <c r="K1941" s="1227">
        <v>3.0000008603782999E-3</v>
      </c>
      <c r="L1941" s="1228">
        <v>2.7963063565977199E-2</v>
      </c>
      <c r="M1941" s="1229">
        <v>5.9816250626709998E-2</v>
      </c>
      <c r="N1941" s="1230">
        <v>2.2609233572587177E-4</v>
      </c>
    </row>
    <row r="1942" spans="1:14" ht="15.5" x14ac:dyDescent="0.35">
      <c r="A1942" s="199">
        <v>2046</v>
      </c>
      <c r="B1942" s="110" t="s">
        <v>5850</v>
      </c>
      <c r="C1942" s="110">
        <v>1993</v>
      </c>
      <c r="D1942" s="110" t="str">
        <f t="shared" si="15"/>
        <v>2046_1993</v>
      </c>
      <c r="E1942" s="1226">
        <v>0.12417080181214001</v>
      </c>
      <c r="F1942" s="1227">
        <v>5.2947945615783656E-2</v>
      </c>
      <c r="G1942" s="1227">
        <v>5.12543788787805</v>
      </c>
      <c r="H1942" s="1227">
        <v>0.7110756485330012</v>
      </c>
      <c r="I1942" s="1227">
        <v>5.7228626102616899E-2</v>
      </c>
      <c r="J1942" s="1227">
        <v>2.1631168136348485E-4</v>
      </c>
      <c r="K1942" s="1227">
        <v>3.0000008603782999E-3</v>
      </c>
      <c r="L1942" s="1228">
        <v>2.7963063565977199E-2</v>
      </c>
      <c r="M1942" s="1229">
        <v>5.9816250626709998E-2</v>
      </c>
      <c r="N1942" s="1230">
        <v>2.2609233572587177E-4</v>
      </c>
    </row>
    <row r="1943" spans="1:14" ht="15.5" x14ac:dyDescent="0.35">
      <c r="A1943" s="199">
        <v>2046</v>
      </c>
      <c r="B1943" s="110" t="s">
        <v>5850</v>
      </c>
      <c r="C1943" s="110">
        <v>1994</v>
      </c>
      <c r="D1943" s="110" t="str">
        <f t="shared" si="15"/>
        <v>2046_1994</v>
      </c>
      <c r="E1943" s="1226">
        <v>0.12417080181214001</v>
      </c>
      <c r="F1943" s="1227">
        <v>5.2947945615783656E-2</v>
      </c>
      <c r="G1943" s="1227">
        <v>5.12543788787805</v>
      </c>
      <c r="H1943" s="1227">
        <v>0.7110756485330012</v>
      </c>
      <c r="I1943" s="1227">
        <v>5.7228626102616899E-2</v>
      </c>
      <c r="J1943" s="1227">
        <v>2.1631168136348485E-4</v>
      </c>
      <c r="K1943" s="1227">
        <v>3.0000008603782999E-3</v>
      </c>
      <c r="L1943" s="1228">
        <v>2.7963063565977199E-2</v>
      </c>
      <c r="M1943" s="1229">
        <v>5.9816250626709998E-2</v>
      </c>
      <c r="N1943" s="1230">
        <v>2.2609233572587177E-4</v>
      </c>
    </row>
    <row r="1944" spans="1:14" ht="15.5" x14ac:dyDescent="0.35">
      <c r="A1944" s="199">
        <v>2046</v>
      </c>
      <c r="B1944" s="110" t="s">
        <v>5850</v>
      </c>
      <c r="C1944" s="110">
        <v>1995</v>
      </c>
      <c r="D1944" s="110" t="str">
        <f t="shared" si="15"/>
        <v>2046_1995</v>
      </c>
      <c r="E1944" s="1226">
        <v>0.12417080181214001</v>
      </c>
      <c r="F1944" s="1227">
        <v>5.2947945615783656E-2</v>
      </c>
      <c r="G1944" s="1227">
        <v>5.12543788787805</v>
      </c>
      <c r="H1944" s="1227">
        <v>0.7110756485330012</v>
      </c>
      <c r="I1944" s="1227">
        <v>5.7228626102616899E-2</v>
      </c>
      <c r="J1944" s="1227">
        <v>2.1631168136348485E-4</v>
      </c>
      <c r="K1944" s="1227">
        <v>3.0000008603782999E-3</v>
      </c>
      <c r="L1944" s="1228">
        <v>2.7963063565977199E-2</v>
      </c>
      <c r="M1944" s="1229">
        <v>5.9816250626709998E-2</v>
      </c>
      <c r="N1944" s="1230">
        <v>2.2609233572587177E-4</v>
      </c>
    </row>
    <row r="1945" spans="1:14" ht="15.5" x14ac:dyDescent="0.35">
      <c r="A1945" s="199">
        <v>2046</v>
      </c>
      <c r="B1945" s="110" t="s">
        <v>5850</v>
      </c>
      <c r="C1945" s="110">
        <v>1996</v>
      </c>
      <c r="D1945" s="110" t="str">
        <f t="shared" si="15"/>
        <v>2046_1996</v>
      </c>
      <c r="E1945" s="1226">
        <v>0.12417080181214001</v>
      </c>
      <c r="F1945" s="1227">
        <v>5.2947945615783656E-2</v>
      </c>
      <c r="G1945" s="1227">
        <v>5.12543788787805</v>
      </c>
      <c r="H1945" s="1227">
        <v>0.7110756485330012</v>
      </c>
      <c r="I1945" s="1227">
        <v>5.7228626102616899E-2</v>
      </c>
      <c r="J1945" s="1227">
        <v>2.1631168136348485E-4</v>
      </c>
      <c r="K1945" s="1227">
        <v>3.0000008603782999E-3</v>
      </c>
      <c r="L1945" s="1228">
        <v>2.7963063565977199E-2</v>
      </c>
      <c r="M1945" s="1229">
        <v>5.9816250626709998E-2</v>
      </c>
      <c r="N1945" s="1230">
        <v>2.2609233572587177E-4</v>
      </c>
    </row>
    <row r="1946" spans="1:14" ht="15.5" x14ac:dyDescent="0.35">
      <c r="A1946" s="199">
        <v>2046</v>
      </c>
      <c r="B1946" s="110" t="s">
        <v>5850</v>
      </c>
      <c r="C1946" s="110">
        <v>1997</v>
      </c>
      <c r="D1946" s="110" t="str">
        <f t="shared" si="15"/>
        <v>2046_1997</v>
      </c>
      <c r="E1946" s="1226">
        <v>0.12417080181214001</v>
      </c>
      <c r="F1946" s="1227">
        <v>5.2947945615783656E-2</v>
      </c>
      <c r="G1946" s="1227">
        <v>5.12543788787805</v>
      </c>
      <c r="H1946" s="1227">
        <v>0.7110756485330012</v>
      </c>
      <c r="I1946" s="1227">
        <v>5.7228626102616899E-2</v>
      </c>
      <c r="J1946" s="1227">
        <v>2.1631168136348485E-4</v>
      </c>
      <c r="K1946" s="1227">
        <v>3.0000008603782999E-3</v>
      </c>
      <c r="L1946" s="1228">
        <v>2.7963063565977199E-2</v>
      </c>
      <c r="M1946" s="1229">
        <v>5.9816250626709998E-2</v>
      </c>
      <c r="N1946" s="1230">
        <v>2.2609233572587177E-4</v>
      </c>
    </row>
    <row r="1947" spans="1:14" ht="15.5" x14ac:dyDescent="0.35">
      <c r="A1947" s="199">
        <v>2046</v>
      </c>
      <c r="B1947" s="110" t="s">
        <v>5850</v>
      </c>
      <c r="C1947" s="110">
        <v>1998</v>
      </c>
      <c r="D1947" s="110" t="str">
        <f t="shared" si="15"/>
        <v>2046_1998</v>
      </c>
      <c r="E1947" s="1226">
        <v>0.12417080181214001</v>
      </c>
      <c r="F1947" s="1227">
        <v>5.2947945615783656E-2</v>
      </c>
      <c r="G1947" s="1227">
        <v>5.12543788787805</v>
      </c>
      <c r="H1947" s="1227">
        <v>0.7110756485330012</v>
      </c>
      <c r="I1947" s="1227">
        <v>5.7228626102616899E-2</v>
      </c>
      <c r="J1947" s="1227">
        <v>2.1631168136348485E-4</v>
      </c>
      <c r="K1947" s="1227">
        <v>3.0000008603782999E-3</v>
      </c>
      <c r="L1947" s="1228">
        <v>2.7963063565977199E-2</v>
      </c>
      <c r="M1947" s="1229">
        <v>5.9816250626709998E-2</v>
      </c>
      <c r="N1947" s="1230">
        <v>2.2609233572587177E-4</v>
      </c>
    </row>
    <row r="1948" spans="1:14" ht="15.5" x14ac:dyDescent="0.35">
      <c r="A1948" s="199">
        <v>2046</v>
      </c>
      <c r="B1948" s="110" t="s">
        <v>5850</v>
      </c>
      <c r="C1948" s="110">
        <v>1999</v>
      </c>
      <c r="D1948" s="110" t="str">
        <f t="shared" si="15"/>
        <v>2046_1999</v>
      </c>
      <c r="E1948" s="1226">
        <v>0.12417080181214001</v>
      </c>
      <c r="F1948" s="1227">
        <v>5.2947945615783656E-2</v>
      </c>
      <c r="G1948" s="1227">
        <v>5.12543788787805</v>
      </c>
      <c r="H1948" s="1227">
        <v>0.7110756485330012</v>
      </c>
      <c r="I1948" s="1227">
        <v>5.7228626102616899E-2</v>
      </c>
      <c r="J1948" s="1227">
        <v>2.1631168136348485E-4</v>
      </c>
      <c r="K1948" s="1227">
        <v>3.0000008603782999E-3</v>
      </c>
      <c r="L1948" s="1228">
        <v>2.7963063565977199E-2</v>
      </c>
      <c r="M1948" s="1229">
        <v>5.9816250626709998E-2</v>
      </c>
      <c r="N1948" s="1230">
        <v>2.2609233572587177E-4</v>
      </c>
    </row>
    <row r="1949" spans="1:14" ht="15.5" x14ac:dyDescent="0.35">
      <c r="A1949" s="199">
        <v>2046</v>
      </c>
      <c r="B1949" s="110" t="s">
        <v>5850</v>
      </c>
      <c r="C1949" s="110">
        <v>2000</v>
      </c>
      <c r="D1949" s="110" t="str">
        <f t="shared" si="15"/>
        <v>2046_2000</v>
      </c>
      <c r="E1949" s="1226">
        <v>0.12417080181214001</v>
      </c>
      <c r="F1949" s="1227">
        <v>5.2947945615783656E-2</v>
      </c>
      <c r="G1949" s="1227">
        <v>5.12543788787805</v>
      </c>
      <c r="H1949" s="1227">
        <v>0.7110756485330012</v>
      </c>
      <c r="I1949" s="1227">
        <v>5.7228626102616899E-2</v>
      </c>
      <c r="J1949" s="1227">
        <v>2.1631168136348485E-4</v>
      </c>
      <c r="K1949" s="1227">
        <v>3.0000008603782999E-3</v>
      </c>
      <c r="L1949" s="1228">
        <v>2.7963063565977199E-2</v>
      </c>
      <c r="M1949" s="1229">
        <v>5.9816250626709998E-2</v>
      </c>
      <c r="N1949" s="1230">
        <v>2.2609233572587177E-4</v>
      </c>
    </row>
    <row r="1950" spans="1:14" ht="15.5" x14ac:dyDescent="0.35">
      <c r="A1950" s="199">
        <v>2046</v>
      </c>
      <c r="B1950" s="110" t="s">
        <v>5850</v>
      </c>
      <c r="C1950" s="110">
        <v>2001</v>
      </c>
      <c r="D1950" s="110" t="str">
        <f t="shared" si="15"/>
        <v>2046_2001</v>
      </c>
      <c r="E1950" s="1226">
        <v>0.12417080181214001</v>
      </c>
      <c r="F1950" s="1227">
        <v>5.2947945615783656E-2</v>
      </c>
      <c r="G1950" s="1227">
        <v>5.12543788787805</v>
      </c>
      <c r="H1950" s="1227">
        <v>0.7110756485330012</v>
      </c>
      <c r="I1950" s="1227">
        <v>5.7228626102616899E-2</v>
      </c>
      <c r="J1950" s="1227">
        <v>2.1631168136348485E-4</v>
      </c>
      <c r="K1950" s="1227">
        <v>3.0000008603782999E-3</v>
      </c>
      <c r="L1950" s="1228">
        <v>2.7963063565977199E-2</v>
      </c>
      <c r="M1950" s="1229">
        <v>5.9816250626709998E-2</v>
      </c>
      <c r="N1950" s="1230">
        <v>2.2609233572587177E-4</v>
      </c>
    </row>
    <row r="1951" spans="1:14" ht="15.5" x14ac:dyDescent="0.35">
      <c r="A1951" s="199">
        <v>2046</v>
      </c>
      <c r="B1951" s="110" t="s">
        <v>5850</v>
      </c>
      <c r="C1951" s="110">
        <v>2002</v>
      </c>
      <c r="D1951" s="110" t="str">
        <f t="shared" si="15"/>
        <v>2046_2002</v>
      </c>
      <c r="E1951" s="1226">
        <v>0.12417080181214001</v>
      </c>
      <c r="F1951" s="1227">
        <v>5.2947945615783656E-2</v>
      </c>
      <c r="G1951" s="1227">
        <v>5.12543788787805</v>
      </c>
      <c r="H1951" s="1227">
        <v>0.7110756485330012</v>
      </c>
      <c r="I1951" s="1227">
        <v>5.7228626102616899E-2</v>
      </c>
      <c r="J1951" s="1227">
        <v>2.1631168136348485E-4</v>
      </c>
      <c r="K1951" s="1227">
        <v>3.0000008603782999E-3</v>
      </c>
      <c r="L1951" s="1228">
        <v>2.7963063565977199E-2</v>
      </c>
      <c r="M1951" s="1229">
        <v>5.9816250626709998E-2</v>
      </c>
      <c r="N1951" s="1230">
        <v>2.2609233572587177E-4</v>
      </c>
    </row>
    <row r="1952" spans="1:14" ht="15.5" x14ac:dyDescent="0.35">
      <c r="A1952" s="199">
        <v>2046</v>
      </c>
      <c r="B1952" s="110" t="s">
        <v>5850</v>
      </c>
      <c r="C1952" s="110">
        <v>2003</v>
      </c>
      <c r="D1952" s="110" t="str">
        <f t="shared" si="15"/>
        <v>2046_2003</v>
      </c>
      <c r="E1952" s="1226">
        <v>0.12417080181214001</v>
      </c>
      <c r="F1952" s="1227">
        <v>5.2947945615783656E-2</v>
      </c>
      <c r="G1952" s="1227">
        <v>5.12543788787805</v>
      </c>
      <c r="H1952" s="1227">
        <v>0.7110756485330012</v>
      </c>
      <c r="I1952" s="1227">
        <v>5.7228626102616899E-2</v>
      </c>
      <c r="J1952" s="1227">
        <v>2.1631168136348485E-4</v>
      </c>
      <c r="K1952" s="1227">
        <v>3.0000008603782999E-3</v>
      </c>
      <c r="L1952" s="1228">
        <v>2.7963063565977199E-2</v>
      </c>
      <c r="M1952" s="1229">
        <v>5.9816250626709998E-2</v>
      </c>
      <c r="N1952" s="1230">
        <v>2.2609233572587177E-4</v>
      </c>
    </row>
    <row r="1953" spans="1:14" ht="15.5" x14ac:dyDescent="0.35">
      <c r="A1953" s="199">
        <v>2046</v>
      </c>
      <c r="B1953" s="110" t="s">
        <v>5850</v>
      </c>
      <c r="C1953" s="110">
        <v>2004</v>
      </c>
      <c r="D1953" s="110" t="str">
        <f t="shared" si="15"/>
        <v>2046_2004</v>
      </c>
      <c r="E1953" s="1226">
        <v>0.12417080181214001</v>
      </c>
      <c r="F1953" s="1227">
        <v>5.2947945615783656E-2</v>
      </c>
      <c r="G1953" s="1227">
        <v>5.12543788787805</v>
      </c>
      <c r="H1953" s="1227">
        <v>0.7110756485330012</v>
      </c>
      <c r="I1953" s="1227">
        <v>5.7228626102616899E-2</v>
      </c>
      <c r="J1953" s="1227">
        <v>2.1631168136348485E-4</v>
      </c>
      <c r="K1953" s="1227">
        <v>3.0000008603782999E-3</v>
      </c>
      <c r="L1953" s="1228">
        <v>2.7963063565977199E-2</v>
      </c>
      <c r="M1953" s="1229">
        <v>5.9816250626709998E-2</v>
      </c>
      <c r="N1953" s="1230">
        <v>2.2609233572587177E-4</v>
      </c>
    </row>
    <row r="1954" spans="1:14" ht="15.5" x14ac:dyDescent="0.35">
      <c r="A1954" s="199">
        <v>2046</v>
      </c>
      <c r="B1954" s="110" t="s">
        <v>5850</v>
      </c>
      <c r="C1954" s="110">
        <v>2005</v>
      </c>
      <c r="D1954" s="110" t="str">
        <f t="shared" si="15"/>
        <v>2046_2005</v>
      </c>
      <c r="E1954" s="1226">
        <v>0.12417080181214001</v>
      </c>
      <c r="F1954" s="1227">
        <v>5.2947945615783656E-2</v>
      </c>
      <c r="G1954" s="1227">
        <v>5.12543788787805</v>
      </c>
      <c r="H1954" s="1227">
        <v>0.7110756485330012</v>
      </c>
      <c r="I1954" s="1227">
        <v>5.7228626102616899E-2</v>
      </c>
      <c r="J1954" s="1227">
        <v>2.1631168136348485E-4</v>
      </c>
      <c r="K1954" s="1227">
        <v>3.0000008603782999E-3</v>
      </c>
      <c r="L1954" s="1228">
        <v>2.7963063565977199E-2</v>
      </c>
      <c r="M1954" s="1229">
        <v>5.9816250626709998E-2</v>
      </c>
      <c r="N1954" s="1230">
        <v>2.2609233572587177E-4</v>
      </c>
    </row>
    <row r="1955" spans="1:14" ht="15.5" x14ac:dyDescent="0.35">
      <c r="A1955" s="199">
        <v>2046</v>
      </c>
      <c r="B1955" s="110" t="s">
        <v>5850</v>
      </c>
      <c r="C1955" s="110">
        <v>2006</v>
      </c>
      <c r="D1955" s="110" t="str">
        <f t="shared" si="15"/>
        <v>2046_2006</v>
      </c>
      <c r="E1955" s="1226">
        <v>0.12417080181214001</v>
      </c>
      <c r="F1955" s="1227">
        <v>5.2947945615783656E-2</v>
      </c>
      <c r="G1955" s="1227">
        <v>5.12543788787805</v>
      </c>
      <c r="H1955" s="1227">
        <v>0.7110756485330012</v>
      </c>
      <c r="I1955" s="1227">
        <v>5.7228626102616899E-2</v>
      </c>
      <c r="J1955" s="1227">
        <v>2.1631168136348485E-4</v>
      </c>
      <c r="K1955" s="1227">
        <v>3.0000008603782999E-3</v>
      </c>
      <c r="L1955" s="1228">
        <v>2.7963063565977199E-2</v>
      </c>
      <c r="M1955" s="1229">
        <v>5.9816250626709998E-2</v>
      </c>
      <c r="N1955" s="1230">
        <v>2.2609233572587177E-4</v>
      </c>
    </row>
    <row r="1956" spans="1:14" ht="15.5" x14ac:dyDescent="0.35">
      <c r="A1956" s="199">
        <v>2046</v>
      </c>
      <c r="B1956" s="110" t="s">
        <v>5850</v>
      </c>
      <c r="C1956" s="110">
        <v>2007</v>
      </c>
      <c r="D1956" s="110" t="str">
        <f t="shared" si="15"/>
        <v>2046_2007</v>
      </c>
      <c r="E1956" s="1226">
        <v>0.12417080181214001</v>
      </c>
      <c r="F1956" s="1227">
        <v>5.2947945615783656E-2</v>
      </c>
      <c r="G1956" s="1227">
        <v>5.12543788787805</v>
      </c>
      <c r="H1956" s="1227">
        <v>0.7110756485330012</v>
      </c>
      <c r="I1956" s="1227">
        <v>5.7228626102616899E-2</v>
      </c>
      <c r="J1956" s="1227">
        <v>2.1631168136348485E-4</v>
      </c>
      <c r="K1956" s="1227">
        <v>3.0000008603782999E-3</v>
      </c>
      <c r="L1956" s="1228">
        <v>2.7963063565977199E-2</v>
      </c>
      <c r="M1956" s="1229">
        <v>5.9816250626709998E-2</v>
      </c>
      <c r="N1956" s="1230">
        <v>2.2609233572587177E-4</v>
      </c>
    </row>
    <row r="1957" spans="1:14" ht="15.5" x14ac:dyDescent="0.35">
      <c r="A1957" s="199">
        <v>2046</v>
      </c>
      <c r="B1957" s="110" t="s">
        <v>5850</v>
      </c>
      <c r="C1957" s="110">
        <v>2008</v>
      </c>
      <c r="D1957" s="110" t="str">
        <f t="shared" si="15"/>
        <v>2046_2008</v>
      </c>
      <c r="E1957" s="1226">
        <v>0.12417080181214001</v>
      </c>
      <c r="F1957" s="1227">
        <v>5.2947945615783656E-2</v>
      </c>
      <c r="G1957" s="1227">
        <v>5.12543788787805</v>
      </c>
      <c r="H1957" s="1227">
        <v>0.7110756485330012</v>
      </c>
      <c r="I1957" s="1227">
        <v>5.7228626102616899E-2</v>
      </c>
      <c r="J1957" s="1227">
        <v>2.1631168136348485E-4</v>
      </c>
      <c r="K1957" s="1227">
        <v>3.0000008603782999E-3</v>
      </c>
      <c r="L1957" s="1228">
        <v>2.7963063565977199E-2</v>
      </c>
      <c r="M1957" s="1229">
        <v>5.9816250626709998E-2</v>
      </c>
      <c r="N1957" s="1230">
        <v>2.2609233572587177E-4</v>
      </c>
    </row>
    <row r="1958" spans="1:14" ht="15.5" x14ac:dyDescent="0.35">
      <c r="A1958" s="199">
        <v>2046</v>
      </c>
      <c r="B1958" s="110" t="s">
        <v>5850</v>
      </c>
      <c r="C1958" s="110">
        <v>2009</v>
      </c>
      <c r="D1958" s="110" t="str">
        <f t="shared" si="15"/>
        <v>2046_2009</v>
      </c>
      <c r="E1958" s="1226">
        <v>0.12417080181214001</v>
      </c>
      <c r="F1958" s="1227">
        <v>5.2947945615783656E-2</v>
      </c>
      <c r="G1958" s="1227">
        <v>5.12543788787805</v>
      </c>
      <c r="H1958" s="1227">
        <v>0.7110756485330012</v>
      </c>
      <c r="I1958" s="1227">
        <v>5.7228626102616899E-2</v>
      </c>
      <c r="J1958" s="1227">
        <v>2.1631168136348485E-4</v>
      </c>
      <c r="K1958" s="1227">
        <v>3.0000008603782999E-3</v>
      </c>
      <c r="L1958" s="1228">
        <v>2.7963063565977199E-2</v>
      </c>
      <c r="M1958" s="1229">
        <v>5.9816250626709998E-2</v>
      </c>
      <c r="N1958" s="1230">
        <v>2.2609233572587177E-4</v>
      </c>
    </row>
    <row r="1959" spans="1:14" ht="15.5" x14ac:dyDescent="0.35">
      <c r="A1959" s="199">
        <v>2046</v>
      </c>
      <c r="B1959" s="110" t="s">
        <v>5850</v>
      </c>
      <c r="C1959" s="110">
        <v>2010</v>
      </c>
      <c r="D1959" s="110" t="str">
        <f t="shared" si="15"/>
        <v>2046_2010</v>
      </c>
      <c r="E1959" s="1226">
        <v>0.12417080181214001</v>
      </c>
      <c r="F1959" s="1227">
        <v>5.2947945615783656E-2</v>
      </c>
      <c r="G1959" s="1227">
        <v>5.12543788787805</v>
      </c>
      <c r="H1959" s="1227">
        <v>0.7110756485330012</v>
      </c>
      <c r="I1959" s="1227">
        <v>5.7228626102616899E-2</v>
      </c>
      <c r="J1959" s="1227">
        <v>2.1631168136348485E-4</v>
      </c>
      <c r="K1959" s="1227">
        <v>3.0000008603782999E-3</v>
      </c>
      <c r="L1959" s="1228">
        <v>2.7963063565977199E-2</v>
      </c>
      <c r="M1959" s="1229">
        <v>5.9816250626709998E-2</v>
      </c>
      <c r="N1959" s="1230">
        <v>2.2609233572587177E-4</v>
      </c>
    </row>
    <row r="1960" spans="1:14" ht="15.5" x14ac:dyDescent="0.35">
      <c r="A1960" s="199">
        <v>2046</v>
      </c>
      <c r="B1960" s="110" t="s">
        <v>5850</v>
      </c>
      <c r="C1960" s="110">
        <v>2011</v>
      </c>
      <c r="D1960" s="110" t="str">
        <f t="shared" si="15"/>
        <v>2046_2011</v>
      </c>
      <c r="E1960" s="1231">
        <v>0.12417080181214001</v>
      </c>
      <c r="F1960" s="1232">
        <v>5.2947945615783656E-2</v>
      </c>
      <c r="G1960" s="1232">
        <v>5.12543788787805</v>
      </c>
      <c r="H1960" s="1232">
        <v>0.7110756485330012</v>
      </c>
      <c r="I1960" s="1232">
        <v>5.7228626102616899E-2</v>
      </c>
      <c r="J1960" s="1232">
        <v>2.1631168136348485E-4</v>
      </c>
      <c r="K1960" s="1232">
        <v>3.0000008603782999E-3</v>
      </c>
      <c r="L1960" s="1233">
        <v>2.7963063565977199E-2</v>
      </c>
      <c r="M1960" s="1234">
        <v>5.9816250626709998E-2</v>
      </c>
      <c r="N1960" s="1235">
        <v>2.2609233572587177E-4</v>
      </c>
    </row>
    <row r="1961" spans="1:14" ht="15.5" x14ac:dyDescent="0.35">
      <c r="A1961" s="199">
        <v>2046</v>
      </c>
      <c r="B1961" s="110" t="s">
        <v>5850</v>
      </c>
      <c r="C1961" s="110">
        <v>2012</v>
      </c>
      <c r="D1961" s="110" t="str">
        <f t="shared" si="15"/>
        <v>2046_2012</v>
      </c>
      <c r="E1961" s="1231">
        <v>2.5042912778430699E-2</v>
      </c>
      <c r="F1961" s="1232">
        <v>5.3125394562120419E-2</v>
      </c>
      <c r="G1961" s="1232">
        <v>4.46845658324568</v>
      </c>
      <c r="H1961" s="1232">
        <v>0.62777943256852209</v>
      </c>
      <c r="I1961" s="1232">
        <v>3.3199679667705297E-2</v>
      </c>
      <c r="J1961" s="1232">
        <v>2.16311681363482E-4</v>
      </c>
      <c r="K1961" s="1232">
        <v>3.0000008603782999E-3</v>
      </c>
      <c r="L1961" s="1233">
        <v>2.7963063566121299E-2</v>
      </c>
      <c r="M1961" s="1234">
        <v>3.4700821860882303E-2</v>
      </c>
      <c r="N1961" s="1235">
        <v>2.2609233572586879E-4</v>
      </c>
    </row>
    <row r="1962" spans="1:14" ht="15.5" x14ac:dyDescent="0.35">
      <c r="A1962" s="199">
        <v>2046</v>
      </c>
      <c r="B1962" s="110" t="s">
        <v>5850</v>
      </c>
      <c r="C1962" s="110">
        <v>2013</v>
      </c>
      <c r="D1962" s="110" t="str">
        <f t="shared" si="15"/>
        <v>2046_2013</v>
      </c>
      <c r="E1962" s="1231">
        <v>2.47255483343253E-2</v>
      </c>
      <c r="F1962" s="1232">
        <v>5.3125394562121224E-2</v>
      </c>
      <c r="G1962" s="1232">
        <v>4.2166118525097103</v>
      </c>
      <c r="H1962" s="1232">
        <v>0.62777943256853141</v>
      </c>
      <c r="I1962" s="1232">
        <v>3.2285410160225098E-2</v>
      </c>
      <c r="J1962" s="1232">
        <v>2.1631168136348526E-4</v>
      </c>
      <c r="K1962" s="1232">
        <v>3.0000008603782999E-3</v>
      </c>
      <c r="L1962" s="1233">
        <v>2.79630635661091E-2</v>
      </c>
      <c r="M1962" s="1234">
        <v>3.37452131432847E-2</v>
      </c>
      <c r="N1962" s="1235">
        <v>2.2609233572587215E-4</v>
      </c>
    </row>
    <row r="1963" spans="1:14" ht="15.5" x14ac:dyDescent="0.35">
      <c r="A1963" s="199">
        <v>2046</v>
      </c>
      <c r="B1963" s="110" t="s">
        <v>5850</v>
      </c>
      <c r="C1963" s="110">
        <v>2014</v>
      </c>
      <c r="D1963" s="110" t="str">
        <f t="shared" si="15"/>
        <v>2046_2014</v>
      </c>
      <c r="E1963" s="1231">
        <v>1.2166956776838799E-2</v>
      </c>
      <c r="F1963" s="1232">
        <v>5.3125394562121092E-2</v>
      </c>
      <c r="G1963" s="1232">
        <v>1.5878464682320901</v>
      </c>
      <c r="H1963" s="1232">
        <v>0.62777943256852997</v>
      </c>
      <c r="I1963" s="1232">
        <v>3.7552361002443697E-2</v>
      </c>
      <c r="J1963" s="1232">
        <v>2.1631168136348474E-4</v>
      </c>
      <c r="K1963" s="1232">
        <v>3.0000008603782999E-3</v>
      </c>
      <c r="L1963" s="1233">
        <v>2.7963063566003501E-2</v>
      </c>
      <c r="M1963" s="1234">
        <v>3.9250312130840202E-2</v>
      </c>
      <c r="N1963" s="1235">
        <v>2.2609233572587164E-4</v>
      </c>
    </row>
    <row r="1964" spans="1:14" ht="15.5" x14ac:dyDescent="0.35">
      <c r="A1964" s="199">
        <v>2046</v>
      </c>
      <c r="B1964" s="110" t="s">
        <v>5850</v>
      </c>
      <c r="C1964" s="110">
        <v>2015</v>
      </c>
      <c r="D1964" s="110" t="str">
        <f t="shared" si="15"/>
        <v>2046_2015</v>
      </c>
      <c r="E1964" s="1231">
        <v>1.2166956776847201E-2</v>
      </c>
      <c r="F1964" s="1232">
        <v>5.3125394562121002E-2</v>
      </c>
      <c r="G1964" s="1232">
        <v>1.58784646823274</v>
      </c>
      <c r="H1964" s="1232">
        <v>0.62777943256852886</v>
      </c>
      <c r="I1964" s="1232">
        <v>3.7552361002357697E-2</v>
      </c>
      <c r="J1964" s="1232">
        <v>2.1631168136348439E-4</v>
      </c>
      <c r="K1964" s="1232">
        <v>3.0000008603782999E-3</v>
      </c>
      <c r="L1964" s="1233">
        <v>2.7963063566030299E-2</v>
      </c>
      <c r="M1964" s="1234">
        <v>3.9250312130750302E-2</v>
      </c>
      <c r="N1964" s="1235">
        <v>2.2609233572587123E-4</v>
      </c>
    </row>
    <row r="1965" spans="1:14" ht="15.5" x14ac:dyDescent="0.35">
      <c r="A1965" s="199">
        <v>2046</v>
      </c>
      <c r="B1965" s="110" t="s">
        <v>5850</v>
      </c>
      <c r="C1965" s="110">
        <v>2016</v>
      </c>
      <c r="D1965" s="110" t="str">
        <f t="shared" si="15"/>
        <v>2046_2016</v>
      </c>
      <c r="E1965" s="1231">
        <v>1.2166956776847E-2</v>
      </c>
      <c r="F1965" s="1232">
        <v>5.3125394562121044E-2</v>
      </c>
      <c r="G1965" s="1232">
        <v>1.5878464682314299</v>
      </c>
      <c r="H1965" s="1232">
        <v>0.62777943256852942</v>
      </c>
      <c r="I1965" s="1232">
        <v>3.7552361002276102E-2</v>
      </c>
      <c r="J1965" s="1232">
        <v>2.1631168136348455E-4</v>
      </c>
      <c r="K1965" s="1232">
        <v>3.0000008603782999E-3</v>
      </c>
      <c r="L1965" s="1233">
        <v>2.7963063566046501E-2</v>
      </c>
      <c r="M1965" s="1234">
        <v>3.9250312130665099E-2</v>
      </c>
      <c r="N1965" s="1235">
        <v>2.2609233572587142E-4</v>
      </c>
    </row>
    <row r="1966" spans="1:14" ht="15.5" x14ac:dyDescent="0.35">
      <c r="A1966" s="199">
        <v>2046</v>
      </c>
      <c r="B1966" s="110" t="s">
        <v>5850</v>
      </c>
      <c r="C1966" s="110">
        <v>2017</v>
      </c>
      <c r="D1966" s="110" t="str">
        <f t="shared" si="15"/>
        <v>2046_2017</v>
      </c>
      <c r="E1966" s="1231">
        <v>1.2376290773203499E-2</v>
      </c>
      <c r="F1966" s="1232">
        <v>5.3125394562120849E-2</v>
      </c>
      <c r="G1966" s="1232">
        <v>1.5878464682362701</v>
      </c>
      <c r="H1966" s="1232">
        <v>0.6277794325685272</v>
      </c>
      <c r="I1966" s="1232">
        <v>3.0607505614670499E-2</v>
      </c>
      <c r="J1966" s="1232">
        <v>2.1631168136348376E-4</v>
      </c>
      <c r="K1966" s="1232">
        <v>3.0000008603782999E-3</v>
      </c>
      <c r="L1966" s="1233">
        <v>2.7963063566055602E-2</v>
      </c>
      <c r="M1966" s="1234">
        <v>3.1991441199771299E-2</v>
      </c>
      <c r="N1966" s="1235">
        <v>2.2609233572587061E-4</v>
      </c>
    </row>
    <row r="1967" spans="1:14" ht="15.5" x14ac:dyDescent="0.35">
      <c r="A1967" s="199">
        <v>2046</v>
      </c>
      <c r="B1967" s="110" t="s">
        <v>5850</v>
      </c>
      <c r="C1967" s="110">
        <v>2018</v>
      </c>
      <c r="D1967" s="110" t="str">
        <f t="shared" si="15"/>
        <v>2046_2018</v>
      </c>
      <c r="E1967" s="1231">
        <v>1.23762907732226E-2</v>
      </c>
      <c r="F1967" s="1232">
        <v>5.3125394562121273E-2</v>
      </c>
      <c r="G1967" s="1232">
        <v>1.5878464682337501</v>
      </c>
      <c r="H1967" s="1232">
        <v>0.62777943256853208</v>
      </c>
      <c r="I1967" s="1232">
        <v>3.0607505614939599E-2</v>
      </c>
      <c r="J1967" s="1232">
        <v>2.1631168136348547E-4</v>
      </c>
      <c r="K1967" s="1232">
        <v>3.0000008603782999E-3</v>
      </c>
      <c r="L1967" s="1233">
        <v>2.7963063565960102E-2</v>
      </c>
      <c r="M1967" s="1234">
        <v>3.1991441200052498E-2</v>
      </c>
      <c r="N1967" s="1235">
        <v>2.2609233572587243E-4</v>
      </c>
    </row>
    <row r="1968" spans="1:14" ht="15.5" x14ac:dyDescent="0.35">
      <c r="A1968" s="199">
        <v>2046</v>
      </c>
      <c r="B1968" s="110" t="s">
        <v>5850</v>
      </c>
      <c r="C1968" s="110">
        <v>2019</v>
      </c>
      <c r="D1968" s="110" t="str">
        <f t="shared" si="15"/>
        <v>2046_2019</v>
      </c>
      <c r="E1968" s="1231">
        <v>1.23762907731465E-2</v>
      </c>
      <c r="F1968" s="1232">
        <v>5.3125394562120905E-2</v>
      </c>
      <c r="G1968" s="1232">
        <v>1.5878464682340601</v>
      </c>
      <c r="H1968" s="1232">
        <v>0.62777943256852775</v>
      </c>
      <c r="I1968" s="1232">
        <v>3.0607505614283301E-2</v>
      </c>
      <c r="J1968" s="1232">
        <v>2.1631168136348398E-4</v>
      </c>
      <c r="K1968" s="1232">
        <v>3.0000008603782999E-3</v>
      </c>
      <c r="L1968" s="1233">
        <v>2.7963063566156899E-2</v>
      </c>
      <c r="M1968" s="1234">
        <v>3.1991441199366498E-2</v>
      </c>
      <c r="N1968" s="1235">
        <v>2.2609233572587085E-4</v>
      </c>
    </row>
    <row r="1969" spans="1:14" ht="15.5" x14ac:dyDescent="0.35">
      <c r="A1969" s="199">
        <v>2046</v>
      </c>
      <c r="B1969" s="110" t="s">
        <v>5850</v>
      </c>
      <c r="C1969" s="110">
        <v>2020</v>
      </c>
      <c r="D1969" s="110" t="str">
        <f t="shared" si="15"/>
        <v>2046_2020</v>
      </c>
      <c r="E1969" s="1231">
        <v>1.23762907732095E-2</v>
      </c>
      <c r="F1969" s="1232">
        <v>5.3125394562121238E-2</v>
      </c>
      <c r="G1969" s="1232">
        <v>1.58784646823658</v>
      </c>
      <c r="H1969" s="1232">
        <v>0.62777943256853175</v>
      </c>
      <c r="I1969" s="1232">
        <v>3.0607505614717399E-2</v>
      </c>
      <c r="J1969" s="1232">
        <v>2.1631168136348531E-4</v>
      </c>
      <c r="K1969" s="1232">
        <v>3.0000008603782999E-3</v>
      </c>
      <c r="L1969" s="1233">
        <v>2.7963063566046598E-2</v>
      </c>
      <c r="M1969" s="1234">
        <v>3.1991441199820302E-2</v>
      </c>
      <c r="N1969" s="1235">
        <v>2.2609233572587226E-4</v>
      </c>
    </row>
    <row r="1970" spans="1:14" ht="15.5" x14ac:dyDescent="0.35">
      <c r="A1970" s="198">
        <v>2046</v>
      </c>
      <c r="B1970" s="197" t="s">
        <v>5850</v>
      </c>
      <c r="C1970" s="197">
        <v>2021</v>
      </c>
      <c r="D1970" s="110" t="str">
        <f t="shared" si="15"/>
        <v>2046_2021</v>
      </c>
      <c r="E1970" s="1231">
        <v>1.2376290773210801E-2</v>
      </c>
      <c r="F1970" s="1232">
        <v>5.3125394562122105E-2</v>
      </c>
      <c r="G1970" s="1232">
        <v>1.58784646819353</v>
      </c>
      <c r="H1970" s="1232">
        <v>0.62777943256854185</v>
      </c>
      <c r="I1970" s="1232">
        <v>3.0607505616158701E-2</v>
      </c>
      <c r="J1970" s="1232">
        <v>2.1631168136348886E-4</v>
      </c>
      <c r="K1970" s="1232">
        <v>3.0000008603782999E-3</v>
      </c>
      <c r="L1970" s="1233">
        <v>2.7963063565323E-2</v>
      </c>
      <c r="M1970" s="1234">
        <v>3.1991441201326701E-2</v>
      </c>
      <c r="N1970" s="1235">
        <v>2.2609233572587595E-4</v>
      </c>
    </row>
    <row r="1971" spans="1:14" ht="15.5" x14ac:dyDescent="0.35">
      <c r="A1971" s="198">
        <v>2046</v>
      </c>
      <c r="B1971" s="197" t="s">
        <v>5850</v>
      </c>
      <c r="C1971" s="197">
        <v>2022</v>
      </c>
      <c r="D1971" s="110" t="str">
        <f t="shared" si="15"/>
        <v>2046_2022</v>
      </c>
      <c r="E1971" s="1231">
        <v>1.23762907731542E-2</v>
      </c>
      <c r="F1971" s="1232">
        <v>5.3125394562120828E-2</v>
      </c>
      <c r="G1971" s="1232">
        <v>1.58784646823857</v>
      </c>
      <c r="H1971" s="1232">
        <v>0.62777943256852686</v>
      </c>
      <c r="I1971" s="1232">
        <v>3.0607505614185002E-2</v>
      </c>
      <c r="J1971" s="1232">
        <v>2.1631168136348366E-4</v>
      </c>
      <c r="K1971" s="1232">
        <v>3.0000008603782999E-3</v>
      </c>
      <c r="L1971" s="1233">
        <v>2.79630635662164E-2</v>
      </c>
      <c r="M1971" s="1234">
        <v>3.1991441199263802E-2</v>
      </c>
      <c r="N1971" s="1235">
        <v>2.260923357258705E-4</v>
      </c>
    </row>
    <row r="1972" spans="1:14" ht="15.5" x14ac:dyDescent="0.35">
      <c r="A1972" s="199">
        <v>2046</v>
      </c>
      <c r="B1972" s="110" t="s">
        <v>5850</v>
      </c>
      <c r="C1972" s="110">
        <v>2023</v>
      </c>
      <c r="D1972" s="110" t="str">
        <f t="shared" si="15"/>
        <v>2046_2023</v>
      </c>
      <c r="E1972" s="1231">
        <v>1.23762907731742E-2</v>
      </c>
      <c r="F1972" s="1232">
        <v>5.3125394562121224E-2</v>
      </c>
      <c r="G1972" s="1232">
        <v>1.51547720674945</v>
      </c>
      <c r="H1972" s="1232">
        <v>0.62777943256853153</v>
      </c>
      <c r="I1972" s="1232">
        <v>2.9568604053766899E-2</v>
      </c>
      <c r="J1972" s="1232">
        <v>2.1631168136348528E-4</v>
      </c>
      <c r="K1972" s="1232">
        <v>3.0000008603782999E-3</v>
      </c>
      <c r="L1972" s="1233">
        <v>2.7963063566118E-2</v>
      </c>
      <c r="M1972" s="1234">
        <v>3.0905565120341E-2</v>
      </c>
      <c r="N1972" s="1235">
        <v>2.2609233572587221E-4</v>
      </c>
    </row>
    <row r="1973" spans="1:14" ht="15.5" x14ac:dyDescent="0.35">
      <c r="A1973" s="199">
        <v>2046</v>
      </c>
      <c r="B1973" s="110" t="s">
        <v>5850</v>
      </c>
      <c r="C1973" s="110">
        <v>2024</v>
      </c>
      <c r="D1973" s="110" t="str">
        <f t="shared" si="15"/>
        <v>2046_2024</v>
      </c>
      <c r="E1973" s="1231">
        <v>1.23762907732302E-2</v>
      </c>
      <c r="F1973" s="1232">
        <v>5.3125394562120939E-2</v>
      </c>
      <c r="G1973" s="1232">
        <v>1.51547720674664</v>
      </c>
      <c r="H1973" s="1232">
        <v>0.6277794325685282</v>
      </c>
      <c r="I1973" s="1232">
        <v>2.9568604054323998E-2</v>
      </c>
      <c r="J1973" s="1232">
        <v>2.1631168136348412E-4</v>
      </c>
      <c r="K1973" s="1232">
        <v>3.0000008603782999E-3</v>
      </c>
      <c r="L1973" s="1233">
        <v>2.7963063565927999E-2</v>
      </c>
      <c r="M1973" s="1234">
        <v>3.0905565120923399E-2</v>
      </c>
      <c r="N1973" s="1235">
        <v>2.2609233572587102E-4</v>
      </c>
    </row>
    <row r="1974" spans="1:14" ht="15.5" x14ac:dyDescent="0.35">
      <c r="A1974" s="199">
        <v>2046</v>
      </c>
      <c r="B1974" s="110" t="s">
        <v>5850</v>
      </c>
      <c r="C1974" s="110">
        <v>2025</v>
      </c>
      <c r="D1974" s="110" t="str">
        <f t="shared" si="15"/>
        <v>2046_2025</v>
      </c>
      <c r="E1974" s="1231">
        <v>1.2376290773181E-2</v>
      </c>
      <c r="F1974" s="1232">
        <v>5.312539456212105E-2</v>
      </c>
      <c r="G1974" s="1232">
        <v>1.3813571928258099</v>
      </c>
      <c r="H1974" s="1232">
        <v>0.31842947060635335</v>
      </c>
      <c r="I1974" s="1232">
        <v>2.9568604053884898E-2</v>
      </c>
      <c r="J1974" s="1232">
        <v>2.1631168136348458E-4</v>
      </c>
      <c r="K1974" s="1232">
        <v>3.0000008603782999E-3</v>
      </c>
      <c r="L1974" s="1233">
        <v>2.7963063566070999E-2</v>
      </c>
      <c r="M1974" s="1234">
        <v>3.0905565120464398E-2</v>
      </c>
      <c r="N1974" s="1235">
        <v>2.2609233572587145E-4</v>
      </c>
    </row>
    <row r="1975" spans="1:14" ht="15.5" x14ac:dyDescent="0.35">
      <c r="A1975" s="199">
        <v>2046</v>
      </c>
      <c r="B1975" s="110" t="s">
        <v>5850</v>
      </c>
      <c r="C1975" s="110">
        <v>2026</v>
      </c>
      <c r="D1975" s="110" t="str">
        <f t="shared" si="15"/>
        <v>2046_2026</v>
      </c>
      <c r="E1975" s="1231">
        <v>1.23762907731895E-2</v>
      </c>
      <c r="F1975" s="1232">
        <v>5.3125394562121037E-2</v>
      </c>
      <c r="G1975" s="1232">
        <v>1.3813571928258199</v>
      </c>
      <c r="H1975" s="1232">
        <v>0.31842947060635329</v>
      </c>
      <c r="I1975" s="1232">
        <v>2.9568604053951699E-2</v>
      </c>
      <c r="J1975" s="1232">
        <v>2.1631168136348452E-4</v>
      </c>
      <c r="K1975" s="1232">
        <v>3.0000008603782999E-3</v>
      </c>
      <c r="L1975" s="1233">
        <v>3.0896713414252701E-2</v>
      </c>
      <c r="M1975" s="1234">
        <v>3.0905565120534099E-2</v>
      </c>
      <c r="N1975" s="1235">
        <v>2.2609233572587142E-4</v>
      </c>
    </row>
    <row r="1976" spans="1:14" ht="15.5" x14ac:dyDescent="0.35">
      <c r="A1976" s="199">
        <v>2046</v>
      </c>
      <c r="B1976" s="110" t="s">
        <v>5850</v>
      </c>
      <c r="C1976" s="110">
        <v>2027</v>
      </c>
      <c r="D1976" s="110" t="str">
        <f t="shared" si="15"/>
        <v>2046_2027</v>
      </c>
      <c r="E1976" s="1231">
        <v>1.23762907731894E-2</v>
      </c>
      <c r="F1976" s="1232">
        <v>5.3125394562120995E-2</v>
      </c>
      <c r="G1976" s="1232">
        <v>1.3813571928256201</v>
      </c>
      <c r="H1976" s="1232">
        <v>0.31842947060635302</v>
      </c>
      <c r="I1976" s="1232">
        <v>2.9568604053958301E-2</v>
      </c>
      <c r="J1976" s="1232">
        <v>2.1631168136348436E-4</v>
      </c>
      <c r="K1976" s="1232">
        <v>3.0000008603782999E-3</v>
      </c>
      <c r="L1976" s="1233">
        <v>3.0896713414248399E-2</v>
      </c>
      <c r="M1976" s="1234">
        <v>3.0905565120541101E-2</v>
      </c>
      <c r="N1976" s="1235">
        <v>2.2609233572587123E-4</v>
      </c>
    </row>
    <row r="1977" spans="1:14" ht="15.5" x14ac:dyDescent="0.35">
      <c r="A1977" s="199">
        <v>2046</v>
      </c>
      <c r="B1977" s="110" t="s">
        <v>5850</v>
      </c>
      <c r="C1977" s="110">
        <v>2028</v>
      </c>
      <c r="D1977" s="110" t="str">
        <f t="shared" si="15"/>
        <v>2046_2028</v>
      </c>
      <c r="E1977" s="1231">
        <v>1.23762907731858E-2</v>
      </c>
      <c r="F1977" s="1232">
        <v>5.3125394562121044E-2</v>
      </c>
      <c r="G1977" s="1232">
        <v>1.26505211616462</v>
      </c>
      <c r="H1977" s="1232">
        <v>0.24109198011580932</v>
      </c>
      <c r="I1977" s="1232">
        <v>2.9202793645232299E-2</v>
      </c>
      <c r="J1977" s="1232">
        <v>2.1631168136348458E-4</v>
      </c>
      <c r="K1977" s="1232">
        <v>3.0000008603782999E-3</v>
      </c>
      <c r="L1977" s="1233">
        <v>3.08967134142599E-2</v>
      </c>
      <c r="M1977" s="1234">
        <v>3.05232143883922E-2</v>
      </c>
      <c r="N1977" s="1235">
        <v>2.2609233572587148E-4</v>
      </c>
    </row>
    <row r="1978" spans="1:14" ht="15.5" x14ac:dyDescent="0.35">
      <c r="A1978" s="199">
        <v>2046</v>
      </c>
      <c r="B1978" s="110" t="s">
        <v>5850</v>
      </c>
      <c r="C1978" s="110">
        <v>2029</v>
      </c>
      <c r="D1978" s="110" t="str">
        <f t="shared" si="15"/>
        <v>2046_2029</v>
      </c>
      <c r="E1978" s="1231">
        <v>1.23762907731878E-2</v>
      </c>
      <c r="F1978" s="1232">
        <v>5.3125394562120988E-2</v>
      </c>
      <c r="G1978" s="1232">
        <v>1.2650521161648101</v>
      </c>
      <c r="H1978" s="1232">
        <v>0.24109198011580901</v>
      </c>
      <c r="I1978" s="1232">
        <v>2.9202793645239401E-2</v>
      </c>
      <c r="J1978" s="1232">
        <v>2.1631168136348431E-4</v>
      </c>
      <c r="K1978" s="1232">
        <v>3.0000008603782999E-3</v>
      </c>
      <c r="L1978" s="1233">
        <v>3.08967134142593E-2</v>
      </c>
      <c r="M1978" s="1234">
        <v>3.05232143883995E-2</v>
      </c>
      <c r="N1978" s="1235">
        <v>2.2609233572587118E-4</v>
      </c>
    </row>
    <row r="1979" spans="1:14" ht="15.5" x14ac:dyDescent="0.35">
      <c r="A1979" s="199">
        <v>2046</v>
      </c>
      <c r="B1979" s="110" t="s">
        <v>5850</v>
      </c>
      <c r="C1979" s="110">
        <v>2030</v>
      </c>
      <c r="D1979" s="110" t="str">
        <f t="shared" si="15"/>
        <v>2046_2030</v>
      </c>
      <c r="E1979" s="1231">
        <v>1.23752317322581E-2</v>
      </c>
      <c r="F1979" s="1232">
        <v>5.3125394562121057E-2</v>
      </c>
      <c r="G1979" s="1232">
        <v>1.2649643326898301</v>
      </c>
      <c r="H1979" s="1232">
        <v>0.24109198011580932</v>
      </c>
      <c r="I1979" s="1232">
        <v>2.9198506145457499E-2</v>
      </c>
      <c r="J1979" s="1232">
        <v>2.1631168136348461E-4</v>
      </c>
      <c r="K1979" s="1232">
        <v>3.0000008603782999E-3</v>
      </c>
      <c r="L1979" s="1233">
        <v>3.08967134142464E-2</v>
      </c>
      <c r="M1979" s="1234">
        <v>3.0518733026903E-2</v>
      </c>
      <c r="N1979" s="1235">
        <v>2.260923357258715E-4</v>
      </c>
    </row>
    <row r="1980" spans="1:14" ht="15.5" x14ac:dyDescent="0.35">
      <c r="A1980" s="199">
        <v>2046</v>
      </c>
      <c r="B1980" s="110" t="s">
        <v>5850</v>
      </c>
      <c r="C1980" s="110">
        <v>2031</v>
      </c>
      <c r="D1980" s="110" t="str">
        <f t="shared" si="15"/>
        <v>2046_2031</v>
      </c>
      <c r="E1980" s="1231">
        <v>1.22229037775353E-2</v>
      </c>
      <c r="F1980" s="1232">
        <v>5.3125394562121044E-2</v>
      </c>
      <c r="G1980" s="1232">
        <v>1.2522166284993801</v>
      </c>
      <c r="H1980" s="1232">
        <v>0.24109198011580929</v>
      </c>
      <c r="I1980" s="1232">
        <v>2.8581810362104401E-2</v>
      </c>
      <c r="J1980" s="1232">
        <v>2.1631168136348455E-4</v>
      </c>
      <c r="K1980" s="1232">
        <v>3.0000008603782999E-3</v>
      </c>
      <c r="L1980" s="1233">
        <v>3.08967134142621E-2</v>
      </c>
      <c r="M1980" s="1234">
        <v>2.9874152996773699E-2</v>
      </c>
      <c r="N1980" s="1235">
        <v>2.2609233572587148E-4</v>
      </c>
    </row>
    <row r="1981" spans="1:14" ht="15.5" x14ac:dyDescent="0.35">
      <c r="A1981" s="199">
        <v>2046</v>
      </c>
      <c r="B1981" s="110" t="s">
        <v>5850</v>
      </c>
      <c r="C1981" s="110">
        <v>2032</v>
      </c>
      <c r="D1981" s="110" t="str">
        <f t="shared" ref="D1981:D2133" si="16">CONCATENATE(A1981,"_",C1981)</f>
        <v>2046_2032</v>
      </c>
      <c r="E1981" s="1231">
        <v>1.20536504941577E-2</v>
      </c>
      <c r="F1981" s="1232">
        <v>4.7812855105908922E-2</v>
      </c>
      <c r="G1981" s="1232">
        <v>1.1651420578554099</v>
      </c>
      <c r="H1981" s="1232">
        <v>0.21698278210422828</v>
      </c>
      <c r="I1981" s="1232">
        <v>2.61253003183851E-2</v>
      </c>
      <c r="J1981" s="1232">
        <v>1.94680513227136E-4</v>
      </c>
      <c r="K1981" s="1232">
        <v>3.0000008603782999E-3</v>
      </c>
      <c r="L1981" s="1233">
        <v>3.08967134142644E-2</v>
      </c>
      <c r="M1981" s="1234">
        <v>2.7306570469479201E-2</v>
      </c>
      <c r="N1981" s="1235">
        <v>2.0348310215328425E-4</v>
      </c>
    </row>
    <row r="1982" spans="1:14" ht="15.5" x14ac:dyDescent="0.35">
      <c r="A1982" s="199">
        <v>2046</v>
      </c>
      <c r="B1982" s="110" t="s">
        <v>5850</v>
      </c>
      <c r="C1982" s="110">
        <v>2033</v>
      </c>
      <c r="D1982" s="110" t="str">
        <f t="shared" si="16"/>
        <v>2046_2033</v>
      </c>
      <c r="E1982" s="1231">
        <v>1.1865591290403699E-2</v>
      </c>
      <c r="F1982" s="1232">
        <v>4.3031569595318037E-2</v>
      </c>
      <c r="G1982" s="1232">
        <v>1.14974499934575</v>
      </c>
      <c r="H1982" s="1232">
        <v>0.19528450389380547</v>
      </c>
      <c r="I1982" s="1232">
        <v>2.5363947497885599E-2</v>
      </c>
      <c r="J1982" s="1232">
        <v>1.7521246190442243E-4</v>
      </c>
      <c r="K1982" s="1232">
        <v>3.0000008603782999E-3</v>
      </c>
      <c r="L1982" s="1233">
        <v>3.08967134142559E-2</v>
      </c>
      <c r="M1982" s="1234">
        <v>2.65107926528899E-2</v>
      </c>
      <c r="N1982" s="1235">
        <v>1.8313479193795583E-4</v>
      </c>
    </row>
    <row r="1983" spans="1:14" ht="15.5" x14ac:dyDescent="0.35">
      <c r="A1983" s="199">
        <v>2046</v>
      </c>
      <c r="B1983" s="110" t="s">
        <v>5850</v>
      </c>
      <c r="C1983" s="110">
        <v>2034</v>
      </c>
      <c r="D1983" s="110" t="str">
        <f t="shared" si="16"/>
        <v>2046_2034</v>
      </c>
      <c r="E1983" s="1231">
        <v>1.1656636619564901E-2</v>
      </c>
      <c r="F1983" s="1232">
        <v>3.8728412635786233E-2</v>
      </c>
      <c r="G1983" s="1232">
        <v>1.1321652216506</v>
      </c>
      <c r="H1983" s="1232">
        <v>0.17575605350442491</v>
      </c>
      <c r="I1983" s="1232">
        <v>2.4517999919525899E-2</v>
      </c>
      <c r="J1983" s="1232">
        <v>1.5769121571398019E-4</v>
      </c>
      <c r="K1983" s="1232">
        <v>3.0000008603782999E-3</v>
      </c>
      <c r="L1983" s="1233">
        <v>3.08967134142611E-2</v>
      </c>
      <c r="M1983" s="1234">
        <v>2.56265950788735E-2</v>
      </c>
      <c r="N1983" s="1235">
        <v>1.6482131274416024E-4</v>
      </c>
    </row>
    <row r="1984" spans="1:14" ht="15.5" x14ac:dyDescent="0.35">
      <c r="A1984" s="199">
        <v>2046</v>
      </c>
      <c r="B1984" s="110" t="s">
        <v>5850</v>
      </c>
      <c r="C1984" s="110">
        <v>2035</v>
      </c>
      <c r="D1984" s="110" t="str">
        <f t="shared" si="16"/>
        <v>2046_2035</v>
      </c>
      <c r="E1984" s="1231">
        <v>1.14244647630804E-2</v>
      </c>
      <c r="F1984" s="1232">
        <v>3.4855571372207836E-2</v>
      </c>
      <c r="G1984" s="1232">
        <v>1.11200349376614</v>
      </c>
      <c r="H1984" s="1232">
        <v>0.15818044815398347</v>
      </c>
      <c r="I1984" s="1232">
        <v>2.35780581658229E-2</v>
      </c>
      <c r="J1984" s="1232">
        <v>1.4192209414258308E-4</v>
      </c>
      <c r="K1984" s="1232">
        <v>3.0000008603782999E-3</v>
      </c>
      <c r="L1984" s="1233">
        <v>3.0896713414252701E-2</v>
      </c>
      <c r="M1984" s="1234">
        <v>2.4644153329997899E-2</v>
      </c>
      <c r="N1984" s="1235">
        <v>1.4833918146974517E-4</v>
      </c>
    </row>
    <row r="1985" spans="1:14" ht="15.5" x14ac:dyDescent="0.35">
      <c r="A1985" s="199">
        <v>2046</v>
      </c>
      <c r="B1985" s="110" t="s">
        <v>5850</v>
      </c>
      <c r="C1985" s="110">
        <v>2036</v>
      </c>
      <c r="D1985" s="110" t="str">
        <f t="shared" si="16"/>
        <v>2046_2036</v>
      </c>
      <c r="E1985" s="1231">
        <v>1.11664960336502E-2</v>
      </c>
      <c r="F1985" s="1232">
        <v>3.1370014234986816E-2</v>
      </c>
      <c r="G1985" s="1232">
        <v>1.0887533548664901</v>
      </c>
      <c r="H1985" s="1232">
        <v>0.14236240333858405</v>
      </c>
      <c r="I1985" s="1232">
        <v>2.2533678439457801E-2</v>
      </c>
      <c r="J1985" s="1232">
        <v>1.2772988472832382E-4</v>
      </c>
      <c r="K1985" s="1232">
        <v>3.0000008603782999E-3</v>
      </c>
      <c r="L1985" s="1233">
        <v>3.0896713414256999E-2</v>
      </c>
      <c r="M1985" s="1234">
        <v>2.35525513867729E-2</v>
      </c>
      <c r="N1985" s="1235">
        <v>1.3350526332276967E-4</v>
      </c>
    </row>
    <row r="1986" spans="1:14" ht="15.5" x14ac:dyDescent="0.35">
      <c r="A1986" s="199">
        <v>2046</v>
      </c>
      <c r="B1986" s="110" t="s">
        <v>5850</v>
      </c>
      <c r="C1986" s="110">
        <v>2037</v>
      </c>
      <c r="D1986" s="110" t="str">
        <f t="shared" si="16"/>
        <v>2046_2037</v>
      </c>
      <c r="E1986" s="1231">
        <v>1.0879864112062199E-2</v>
      </c>
      <c r="F1986" s="1232">
        <v>2.823301281148817E-2</v>
      </c>
      <c r="G1986" s="1232">
        <v>1.0617569516723</v>
      </c>
      <c r="H1986" s="1232">
        <v>0.12812616300472582</v>
      </c>
      <c r="I1986" s="1232">
        <v>2.13732565212836E-2</v>
      </c>
      <c r="J1986" s="1232">
        <v>1.149568962554916E-4</v>
      </c>
      <c r="K1986" s="1232">
        <v>3.0000008603782999E-3</v>
      </c>
      <c r="L1986" s="1233">
        <v>3.0896713414257902E-2</v>
      </c>
      <c r="M1986" s="1234">
        <v>2.23396603387549E-2</v>
      </c>
      <c r="N1986" s="1235">
        <v>1.2015473699049286E-4</v>
      </c>
    </row>
    <row r="1987" spans="1:14" ht="15.5" x14ac:dyDescent="0.35">
      <c r="A1987" s="199">
        <v>2046</v>
      </c>
      <c r="B1987" s="110" t="s">
        <v>5850</v>
      </c>
      <c r="C1987" s="110">
        <v>2038</v>
      </c>
      <c r="D1987" s="110" t="str">
        <f t="shared" si="16"/>
        <v>2046_2038</v>
      </c>
      <c r="E1987" s="1231">
        <v>1.05613841991867E-2</v>
      </c>
      <c r="F1987" s="1232">
        <v>2.5409711530339333E-2</v>
      </c>
      <c r="G1987" s="1232">
        <v>1.0301339747757701</v>
      </c>
      <c r="H1987" s="1232">
        <v>0.11531354670425314</v>
      </c>
      <c r="I1987" s="1232">
        <v>2.0083898834427599E-2</v>
      </c>
      <c r="J1987" s="1232">
        <v>1.0346120662994235E-4</v>
      </c>
      <c r="K1987" s="1232">
        <v>3.0000008603782999E-3</v>
      </c>
      <c r="L1987" s="1233">
        <v>3.0896713414255299E-2</v>
      </c>
      <c r="M1987" s="1234">
        <v>2.0992003618739302E-2</v>
      </c>
      <c r="N1987" s="1235">
        <v>1.0813926329144349E-4</v>
      </c>
    </row>
    <row r="1988" spans="1:14" ht="15.5" x14ac:dyDescent="0.35">
      <c r="A1988" s="199">
        <v>2046</v>
      </c>
      <c r="B1988" s="110" t="s">
        <v>5850</v>
      </c>
      <c r="C1988" s="110">
        <v>2039</v>
      </c>
      <c r="D1988" s="110" t="str">
        <f t="shared" si="16"/>
        <v>2046_2039</v>
      </c>
      <c r="E1988" s="1231">
        <v>1.0207517629324901E-2</v>
      </c>
      <c r="F1988" s="1232">
        <v>2.5409711530339357E-2</v>
      </c>
      <c r="G1988" s="1232">
        <v>0.99266034844491502</v>
      </c>
      <c r="H1988" s="1232">
        <v>0.11531354670425324</v>
      </c>
      <c r="I1988" s="1232">
        <v>1.86512791823631E-2</v>
      </c>
      <c r="J1988" s="1232">
        <v>1.0346120662994245E-4</v>
      </c>
      <c r="K1988" s="1232">
        <v>3.0000008603782999E-3</v>
      </c>
      <c r="L1988" s="1233">
        <v>3.0896713414253801E-2</v>
      </c>
      <c r="M1988" s="1234">
        <v>1.9494607263164002E-2</v>
      </c>
      <c r="N1988" s="1235">
        <v>1.0813926329144357E-4</v>
      </c>
    </row>
    <row r="1989" spans="1:14" ht="15.5" x14ac:dyDescent="0.35">
      <c r="A1989" s="199">
        <v>2046</v>
      </c>
      <c r="B1989" s="110" t="s">
        <v>5850</v>
      </c>
      <c r="C1989" s="110">
        <v>2040</v>
      </c>
      <c r="D1989" s="110" t="str">
        <f t="shared" si="16"/>
        <v>2046_2040</v>
      </c>
      <c r="E1989" s="1231">
        <v>9.8536510594616697E-3</v>
      </c>
      <c r="F1989" s="1232">
        <v>2.5409711530339312E-2</v>
      </c>
      <c r="G1989" s="1232">
        <v>0.95224434814526604</v>
      </c>
      <c r="H1989" s="1232">
        <v>0.11531354670425303</v>
      </c>
      <c r="I1989" s="1232">
        <v>1.7218659530289698E-2</v>
      </c>
      <c r="J1989" s="1232">
        <v>1.0346120662994226E-4</v>
      </c>
      <c r="K1989" s="1232">
        <v>3.0000008603782999E-3</v>
      </c>
      <c r="L1989" s="1233">
        <v>3.08967134142571E-2</v>
      </c>
      <c r="M1989" s="1234">
        <v>1.79972109075794E-2</v>
      </c>
      <c r="N1989" s="1235">
        <v>1.0813926329144338E-4</v>
      </c>
    </row>
    <row r="1990" spans="1:14" ht="15.5" x14ac:dyDescent="0.35">
      <c r="A1990" s="199">
        <v>2046</v>
      </c>
      <c r="B1990" s="110" t="s">
        <v>5850</v>
      </c>
      <c r="C1990" s="110">
        <v>2041</v>
      </c>
      <c r="D1990" s="110" t="str">
        <f t="shared" si="16"/>
        <v>2046_2041</v>
      </c>
      <c r="E1990" s="1231">
        <v>9.49978448960089E-3</v>
      </c>
      <c r="F1990" s="1232">
        <v>2.5409711530339385E-2</v>
      </c>
      <c r="G1990" s="1232">
        <v>0.90784257535817003</v>
      </c>
      <c r="H1990" s="1232">
        <v>0.11511149791459542</v>
      </c>
      <c r="I1990" s="1232">
        <v>1.6156820870024902E-2</v>
      </c>
      <c r="J1990" s="1232">
        <v>1.0346120662994257E-4</v>
      </c>
      <c r="K1990" s="1232">
        <v>3.0000008603782999E-3</v>
      </c>
      <c r="L1990" s="1233">
        <v>3.0896713414255601E-2</v>
      </c>
      <c r="M1990" s="1234">
        <v>1.6887360614936599E-2</v>
      </c>
      <c r="N1990" s="1235">
        <v>1.081392632914437E-4</v>
      </c>
    </row>
    <row r="1991" spans="1:14" ht="15.5" x14ac:dyDescent="0.35">
      <c r="A1991" s="199">
        <v>2046</v>
      </c>
      <c r="B1991" s="110" t="s">
        <v>5850</v>
      </c>
      <c r="C1991" s="110">
        <v>2042</v>
      </c>
      <c r="D1991" s="110" t="str">
        <f t="shared" si="16"/>
        <v>2046_2042</v>
      </c>
      <c r="E1991" s="1231">
        <v>9.1459179197382404E-3</v>
      </c>
      <c r="F1991" s="1232">
        <v>2.5409711530339298E-2</v>
      </c>
      <c r="G1991" s="1232">
        <v>0.85229412942704497</v>
      </c>
      <c r="H1991" s="1232">
        <v>0.1111180943495972</v>
      </c>
      <c r="I1991" s="1232">
        <v>1.5110304715676801E-2</v>
      </c>
      <c r="J1991" s="1232">
        <v>1.0346120662994222E-4</v>
      </c>
      <c r="K1991" s="1232">
        <v>3.0000008603782999E-3</v>
      </c>
      <c r="L1991" s="1233">
        <v>3.0896713414256299E-2</v>
      </c>
      <c r="M1991" s="1234">
        <v>1.5793525643935501E-2</v>
      </c>
      <c r="N1991" s="1235">
        <v>1.0813926329144332E-4</v>
      </c>
    </row>
    <row r="1992" spans="1:14" ht="15.5" x14ac:dyDescent="0.35">
      <c r="A1992" s="199">
        <v>2046</v>
      </c>
      <c r="B1992" s="110" t="s">
        <v>5850</v>
      </c>
      <c r="C1992" s="110">
        <v>2043</v>
      </c>
      <c r="D1992" s="110" t="str">
        <f t="shared" si="16"/>
        <v>2046_2043</v>
      </c>
      <c r="E1992" s="1231">
        <v>8.7920513498763106E-3</v>
      </c>
      <c r="F1992" s="1232">
        <v>2.5409711530339343E-2</v>
      </c>
      <c r="G1992" s="1232">
        <v>0.78642330333892996</v>
      </c>
      <c r="H1992" s="1232">
        <v>0.10425267474197478</v>
      </c>
      <c r="I1992" s="1232">
        <v>1.40526959770887E-2</v>
      </c>
      <c r="J1992" s="1232">
        <v>1.034612066299424E-4</v>
      </c>
      <c r="K1992" s="1232">
        <v>3.0000008603782999E-3</v>
      </c>
      <c r="L1992" s="1233">
        <v>3.0896713414259099E-2</v>
      </c>
      <c r="M1992" s="1234">
        <v>1.4688096531257799E-2</v>
      </c>
      <c r="N1992" s="1235">
        <v>1.0813926329144353E-4</v>
      </c>
    </row>
    <row r="1993" spans="1:14" ht="15.5" x14ac:dyDescent="0.35">
      <c r="A1993" s="199">
        <v>2046</v>
      </c>
      <c r="B1993" s="110" t="s">
        <v>5850</v>
      </c>
      <c r="C1993" s="110">
        <v>2044</v>
      </c>
      <c r="D1993" s="110" t="str">
        <f t="shared" si="16"/>
        <v>2046_2044</v>
      </c>
      <c r="E1993" s="1231">
        <v>8.4381847800147607E-3</v>
      </c>
      <c r="F1993" s="1232">
        <v>2.5409711530339253E-2</v>
      </c>
      <c r="G1993" s="1232">
        <v>0.71003313920496003</v>
      </c>
      <c r="H1993" s="1232">
        <v>9.5434577824440134E-2</v>
      </c>
      <c r="I1993" s="1232">
        <v>1.3011755148089801E-2</v>
      </c>
      <c r="J1993" s="1232">
        <v>1.0346120662994203E-4</v>
      </c>
      <c r="K1993" s="1232">
        <v>3.0000008603782999E-3</v>
      </c>
      <c r="L1993" s="1233">
        <v>3.0896713414256E-2</v>
      </c>
      <c r="M1993" s="1234">
        <v>1.36000889770781E-2</v>
      </c>
      <c r="N1993" s="1235">
        <v>1.0813926329144313E-4</v>
      </c>
    </row>
    <row r="1994" spans="1:14" ht="15.5" x14ac:dyDescent="0.35">
      <c r="A1994" s="199">
        <v>2046</v>
      </c>
      <c r="B1994" s="110" t="s">
        <v>5850</v>
      </c>
      <c r="C1994" s="110">
        <v>2045</v>
      </c>
      <c r="D1994" s="110" t="str">
        <f t="shared" si="16"/>
        <v>2046_2045</v>
      </c>
      <c r="E1994" s="1231">
        <v>8.0843182101526297E-3</v>
      </c>
      <c r="F1994" s="1232">
        <v>2.5409711530339395E-2</v>
      </c>
      <c r="G1994" s="1232">
        <v>0.62078713099940896</v>
      </c>
      <c r="H1994" s="1232">
        <v>8.5583141829269224E-2</v>
      </c>
      <c r="I1994" s="1232">
        <v>1.20065598814658E-2</v>
      </c>
      <c r="J1994" s="1232">
        <v>1.034612066299426E-4</v>
      </c>
      <c r="K1994" s="1232">
        <v>3.0000008603782999E-3</v>
      </c>
      <c r="L1994" s="1233">
        <v>3.08967134142559E-2</v>
      </c>
      <c r="M1994" s="1234">
        <v>1.25494432409853E-2</v>
      </c>
      <c r="N1994" s="1235">
        <v>1.0813926329144376E-4</v>
      </c>
    </row>
    <row r="1995" spans="1:14" ht="15.5" x14ac:dyDescent="0.35">
      <c r="A1995" s="198">
        <v>2046</v>
      </c>
      <c r="B1995" s="197" t="s">
        <v>5850</v>
      </c>
      <c r="C1995" s="197">
        <v>2046</v>
      </c>
      <c r="D1995" s="110" t="str">
        <f t="shared" si="16"/>
        <v>2046_2046</v>
      </c>
      <c r="E1995" s="1231">
        <v>7.73071198141001E-3</v>
      </c>
      <c r="F1995" s="1232">
        <v>2.5409713785716489E-2</v>
      </c>
      <c r="G1995" s="1232">
        <v>0.5104222725616</v>
      </c>
      <c r="H1995" s="1232">
        <v>7.5617712451255523E-2</v>
      </c>
      <c r="I1995" s="1232">
        <v>1.1049236638519901E-2</v>
      </c>
      <c r="J1995" s="1232">
        <v>1.034612158132047E-4</v>
      </c>
      <c r="K1995" s="1232">
        <v>3.0000008603779599E-3</v>
      </c>
      <c r="L1995" s="1233">
        <v>3.0894906936966299E-2</v>
      </c>
      <c r="M1995" s="1234">
        <v>1.15488340890524E-2</v>
      </c>
      <c r="N1995" s="1235">
        <v>1.0813927288993208E-4</v>
      </c>
    </row>
    <row r="1996" spans="1:14" ht="15.5" x14ac:dyDescent="0.35">
      <c r="A1996" s="198">
        <v>2046</v>
      </c>
      <c r="B1996" s="197" t="s">
        <v>5850</v>
      </c>
      <c r="C1996" s="197">
        <v>2047</v>
      </c>
      <c r="D1996" s="110" t="str">
        <f t="shared" si="16"/>
        <v>2046_2047</v>
      </c>
      <c r="E1996" s="1231">
        <v>7.3754123797312304E-3</v>
      </c>
      <c r="F1996" s="1232">
        <v>6.0983282112216694E-2</v>
      </c>
      <c r="G1996" s="1232">
        <v>0.350716020753782</v>
      </c>
      <c r="H1996" s="1232">
        <v>0.18148241770781484</v>
      </c>
      <c r="I1996" s="1232">
        <v>1.01378076592346E-2</v>
      </c>
      <c r="J1996" s="1232">
        <v>2.4830679183628963E-4</v>
      </c>
      <c r="K1996" s="1232">
        <v>3.0000008603799102E-3</v>
      </c>
      <c r="L1996" s="1233">
        <v>3.0905240926223199E-2</v>
      </c>
      <c r="M1996" s="1234">
        <v>1.0596194335730001E-2</v>
      </c>
      <c r="N1996" s="1235">
        <v>2.5953412311805683E-4</v>
      </c>
    </row>
    <row r="1997" spans="1:14" ht="15.5" x14ac:dyDescent="0.35">
      <c r="A1997" s="198">
        <v>2047</v>
      </c>
      <c r="B1997" s="197" t="s">
        <v>5850</v>
      </c>
      <c r="C1997" s="197">
        <v>1971</v>
      </c>
      <c r="D1997" s="110" t="str">
        <f t="shared" si="16"/>
        <v>2047_1971</v>
      </c>
      <c r="E1997" s="1226">
        <v>0.12417080197451499</v>
      </c>
      <c r="F1997" s="1227">
        <v>5.2947719605518903E-2</v>
      </c>
      <c r="G1997" s="1227">
        <v>5.1254379214690999</v>
      </c>
      <c r="H1997" s="1227">
        <v>0.71107261328028804</v>
      </c>
      <c r="I1997" s="1227">
        <v>5.7228628337215703E-2</v>
      </c>
      <c r="J1997" s="1227">
        <v>2.1631075802907014E-4</v>
      </c>
      <c r="K1997" s="1227">
        <v>3.0000008603782999E-3</v>
      </c>
      <c r="L1997" s="1228">
        <v>2.79630630908109E-2</v>
      </c>
      <c r="M1997" s="1229">
        <v>5.9816252962347501E-2</v>
      </c>
      <c r="N1997" s="1230">
        <v>2.2609137064237206E-4</v>
      </c>
    </row>
    <row r="1998" spans="1:14" ht="15.5" x14ac:dyDescent="0.35">
      <c r="A1998" s="198">
        <v>2047</v>
      </c>
      <c r="B1998" s="197" t="s">
        <v>5850</v>
      </c>
      <c r="C1998" s="197">
        <v>1972</v>
      </c>
      <c r="D1998" s="110" t="str">
        <f t="shared" si="16"/>
        <v>2047_1972</v>
      </c>
      <c r="E1998" s="1226">
        <v>0.12417080197451499</v>
      </c>
      <c r="F1998" s="1227">
        <v>5.2947719605518903E-2</v>
      </c>
      <c r="G1998" s="1227">
        <v>5.1254379214690999</v>
      </c>
      <c r="H1998" s="1227">
        <v>0.71107261328028804</v>
      </c>
      <c r="I1998" s="1227">
        <v>5.7228628337215703E-2</v>
      </c>
      <c r="J1998" s="1227">
        <v>2.1631075802907014E-4</v>
      </c>
      <c r="K1998" s="1227">
        <v>3.0000008603782999E-3</v>
      </c>
      <c r="L1998" s="1228">
        <v>2.79630630908109E-2</v>
      </c>
      <c r="M1998" s="1229">
        <v>5.9816252962347501E-2</v>
      </c>
      <c r="N1998" s="1230">
        <v>2.2609137064237206E-4</v>
      </c>
    </row>
    <row r="1999" spans="1:14" ht="15.5" x14ac:dyDescent="0.35">
      <c r="A1999" s="198">
        <v>2047</v>
      </c>
      <c r="B1999" s="197" t="s">
        <v>5850</v>
      </c>
      <c r="C1999" s="197">
        <v>1973</v>
      </c>
      <c r="D1999" s="110" t="str">
        <f t="shared" si="16"/>
        <v>2047_1973</v>
      </c>
      <c r="E1999" s="1226">
        <v>0.12417080197451499</v>
      </c>
      <c r="F1999" s="1227">
        <v>5.2947719605518903E-2</v>
      </c>
      <c r="G1999" s="1227">
        <v>5.1254379214690999</v>
      </c>
      <c r="H1999" s="1227">
        <v>0.71107261328028804</v>
      </c>
      <c r="I1999" s="1227">
        <v>5.7228628337215703E-2</v>
      </c>
      <c r="J1999" s="1227">
        <v>2.1631075802907014E-4</v>
      </c>
      <c r="K1999" s="1227">
        <v>3.0000008603782999E-3</v>
      </c>
      <c r="L1999" s="1228">
        <v>2.79630630908109E-2</v>
      </c>
      <c r="M1999" s="1229">
        <v>5.9816252962347501E-2</v>
      </c>
      <c r="N1999" s="1230">
        <v>2.2609137064237206E-4</v>
      </c>
    </row>
    <row r="2000" spans="1:14" ht="15.5" x14ac:dyDescent="0.35">
      <c r="A2000" s="198">
        <v>2047</v>
      </c>
      <c r="B2000" s="197" t="s">
        <v>5850</v>
      </c>
      <c r="C2000" s="197">
        <v>1974</v>
      </c>
      <c r="D2000" s="110" t="str">
        <f t="shared" si="16"/>
        <v>2047_1974</v>
      </c>
      <c r="E2000" s="1226">
        <v>0.12417080197451499</v>
      </c>
      <c r="F2000" s="1227">
        <v>5.2947719605518903E-2</v>
      </c>
      <c r="G2000" s="1227">
        <v>5.1254379214690999</v>
      </c>
      <c r="H2000" s="1227">
        <v>0.71107261328028804</v>
      </c>
      <c r="I2000" s="1227">
        <v>5.7228628337215703E-2</v>
      </c>
      <c r="J2000" s="1227">
        <v>2.1631075802907014E-4</v>
      </c>
      <c r="K2000" s="1227">
        <v>3.0000008603782999E-3</v>
      </c>
      <c r="L2000" s="1228">
        <v>2.79630630908109E-2</v>
      </c>
      <c r="M2000" s="1229">
        <v>5.9816252962347501E-2</v>
      </c>
      <c r="N2000" s="1230">
        <v>2.2609137064237206E-4</v>
      </c>
    </row>
    <row r="2001" spans="1:14" ht="15.5" x14ac:dyDescent="0.35">
      <c r="A2001" s="198">
        <v>2047</v>
      </c>
      <c r="B2001" s="197" t="s">
        <v>5850</v>
      </c>
      <c r="C2001" s="197">
        <v>1975</v>
      </c>
      <c r="D2001" s="110" t="str">
        <f t="shared" si="16"/>
        <v>2047_1975</v>
      </c>
      <c r="E2001" s="1226">
        <v>0.12417080197451499</v>
      </c>
      <c r="F2001" s="1227">
        <v>5.2947719605518903E-2</v>
      </c>
      <c r="G2001" s="1227">
        <v>5.1254379214690999</v>
      </c>
      <c r="H2001" s="1227">
        <v>0.71107261328028804</v>
      </c>
      <c r="I2001" s="1227">
        <v>5.7228628337215703E-2</v>
      </c>
      <c r="J2001" s="1227">
        <v>2.1631075802907014E-4</v>
      </c>
      <c r="K2001" s="1227">
        <v>3.0000008603782999E-3</v>
      </c>
      <c r="L2001" s="1228">
        <v>2.79630630908109E-2</v>
      </c>
      <c r="M2001" s="1229">
        <v>5.9816252962347501E-2</v>
      </c>
      <c r="N2001" s="1230">
        <v>2.2609137064237206E-4</v>
      </c>
    </row>
    <row r="2002" spans="1:14" ht="15.5" x14ac:dyDescent="0.35">
      <c r="A2002" s="198">
        <v>2047</v>
      </c>
      <c r="B2002" s="197" t="s">
        <v>5850</v>
      </c>
      <c r="C2002" s="197">
        <v>1976</v>
      </c>
      <c r="D2002" s="110" t="str">
        <f t="shared" si="16"/>
        <v>2047_1976</v>
      </c>
      <c r="E2002" s="1226">
        <v>0.12417080197451499</v>
      </c>
      <c r="F2002" s="1227">
        <v>5.2947719605518903E-2</v>
      </c>
      <c r="G2002" s="1227">
        <v>5.1254379214690999</v>
      </c>
      <c r="H2002" s="1227">
        <v>0.71107261328028804</v>
      </c>
      <c r="I2002" s="1227">
        <v>5.7228628337215703E-2</v>
      </c>
      <c r="J2002" s="1227">
        <v>2.1631075802907014E-4</v>
      </c>
      <c r="K2002" s="1227">
        <v>3.0000008603782999E-3</v>
      </c>
      <c r="L2002" s="1228">
        <v>2.79630630908109E-2</v>
      </c>
      <c r="M2002" s="1229">
        <v>5.9816252962347501E-2</v>
      </c>
      <c r="N2002" s="1230">
        <v>2.2609137064237206E-4</v>
      </c>
    </row>
    <row r="2003" spans="1:14" ht="15.5" x14ac:dyDescent="0.35">
      <c r="A2003" s="198">
        <v>2047</v>
      </c>
      <c r="B2003" s="197" t="s">
        <v>5850</v>
      </c>
      <c r="C2003" s="197">
        <v>1977</v>
      </c>
      <c r="D2003" s="110" t="str">
        <f t="shared" si="16"/>
        <v>2047_1977</v>
      </c>
      <c r="E2003" s="1226">
        <v>0.12417080197451499</v>
      </c>
      <c r="F2003" s="1227">
        <v>5.2947719605518903E-2</v>
      </c>
      <c r="G2003" s="1227">
        <v>5.1254379214690999</v>
      </c>
      <c r="H2003" s="1227">
        <v>0.71107261328028804</v>
      </c>
      <c r="I2003" s="1227">
        <v>5.7228628337215703E-2</v>
      </c>
      <c r="J2003" s="1227">
        <v>2.1631075802907014E-4</v>
      </c>
      <c r="K2003" s="1227">
        <v>3.0000008603782999E-3</v>
      </c>
      <c r="L2003" s="1228">
        <v>2.79630630908109E-2</v>
      </c>
      <c r="M2003" s="1229">
        <v>5.9816252962347501E-2</v>
      </c>
      <c r="N2003" s="1230">
        <v>2.2609137064237206E-4</v>
      </c>
    </row>
    <row r="2004" spans="1:14" ht="15.5" x14ac:dyDescent="0.35">
      <c r="A2004" s="198">
        <v>2047</v>
      </c>
      <c r="B2004" s="197" t="s">
        <v>5850</v>
      </c>
      <c r="C2004" s="197">
        <v>1978</v>
      </c>
      <c r="D2004" s="110" t="str">
        <f t="shared" si="16"/>
        <v>2047_1978</v>
      </c>
      <c r="E2004" s="1226">
        <v>0.12417080197451499</v>
      </c>
      <c r="F2004" s="1227">
        <v>5.2947719605518903E-2</v>
      </c>
      <c r="G2004" s="1227">
        <v>5.1254379214690999</v>
      </c>
      <c r="H2004" s="1227">
        <v>0.71107261328028804</v>
      </c>
      <c r="I2004" s="1227">
        <v>5.7228628337215703E-2</v>
      </c>
      <c r="J2004" s="1227">
        <v>2.1631075802907014E-4</v>
      </c>
      <c r="K2004" s="1227">
        <v>3.0000008603782999E-3</v>
      </c>
      <c r="L2004" s="1228">
        <v>2.79630630908109E-2</v>
      </c>
      <c r="M2004" s="1229">
        <v>5.9816252962347501E-2</v>
      </c>
      <c r="N2004" s="1230">
        <v>2.2609137064237206E-4</v>
      </c>
    </row>
    <row r="2005" spans="1:14" ht="15.5" x14ac:dyDescent="0.35">
      <c r="A2005" s="198">
        <v>2047</v>
      </c>
      <c r="B2005" s="197" t="s">
        <v>5850</v>
      </c>
      <c r="C2005" s="197">
        <v>1979</v>
      </c>
      <c r="D2005" s="110" t="str">
        <f t="shared" si="16"/>
        <v>2047_1979</v>
      </c>
      <c r="E2005" s="1226">
        <v>0.12417080197451499</v>
      </c>
      <c r="F2005" s="1227">
        <v>5.2947719605518903E-2</v>
      </c>
      <c r="G2005" s="1227">
        <v>5.1254379214690999</v>
      </c>
      <c r="H2005" s="1227">
        <v>0.71107261328028804</v>
      </c>
      <c r="I2005" s="1227">
        <v>5.7228628337215703E-2</v>
      </c>
      <c r="J2005" s="1227">
        <v>2.1631075802907014E-4</v>
      </c>
      <c r="K2005" s="1227">
        <v>3.0000008603782999E-3</v>
      </c>
      <c r="L2005" s="1228">
        <v>2.79630630908109E-2</v>
      </c>
      <c r="M2005" s="1229">
        <v>5.9816252962347501E-2</v>
      </c>
      <c r="N2005" s="1230">
        <v>2.2609137064237206E-4</v>
      </c>
    </row>
    <row r="2006" spans="1:14" ht="15.5" x14ac:dyDescent="0.35">
      <c r="A2006" s="198">
        <v>2047</v>
      </c>
      <c r="B2006" s="197" t="s">
        <v>5850</v>
      </c>
      <c r="C2006" s="197">
        <v>1980</v>
      </c>
      <c r="D2006" s="110" t="str">
        <f t="shared" si="16"/>
        <v>2047_1980</v>
      </c>
      <c r="E2006" s="1226">
        <v>0.12417080197451499</v>
      </c>
      <c r="F2006" s="1227">
        <v>5.2947719605518903E-2</v>
      </c>
      <c r="G2006" s="1227">
        <v>5.1254379214690999</v>
      </c>
      <c r="H2006" s="1227">
        <v>0.71107261328028804</v>
      </c>
      <c r="I2006" s="1227">
        <v>5.7228628337215703E-2</v>
      </c>
      <c r="J2006" s="1227">
        <v>2.1631075802907014E-4</v>
      </c>
      <c r="K2006" s="1227">
        <v>3.0000008603782999E-3</v>
      </c>
      <c r="L2006" s="1228">
        <v>2.79630630908109E-2</v>
      </c>
      <c r="M2006" s="1229">
        <v>5.9816252962347501E-2</v>
      </c>
      <c r="N2006" s="1230">
        <v>2.2609137064237206E-4</v>
      </c>
    </row>
    <row r="2007" spans="1:14" ht="15.5" x14ac:dyDescent="0.35">
      <c r="A2007" s="198">
        <v>2047</v>
      </c>
      <c r="B2007" s="197" t="s">
        <v>5850</v>
      </c>
      <c r="C2007" s="197">
        <v>1981</v>
      </c>
      <c r="D2007" s="110" t="str">
        <f t="shared" si="16"/>
        <v>2047_1981</v>
      </c>
      <c r="E2007" s="1226">
        <v>0.12417080197451499</v>
      </c>
      <c r="F2007" s="1227">
        <v>5.2947719605518903E-2</v>
      </c>
      <c r="G2007" s="1227">
        <v>5.1254379214690999</v>
      </c>
      <c r="H2007" s="1227">
        <v>0.71107261328028804</v>
      </c>
      <c r="I2007" s="1227">
        <v>5.7228628337215703E-2</v>
      </c>
      <c r="J2007" s="1227">
        <v>2.1631075802907014E-4</v>
      </c>
      <c r="K2007" s="1227">
        <v>3.0000008603782999E-3</v>
      </c>
      <c r="L2007" s="1228">
        <v>2.79630630908109E-2</v>
      </c>
      <c r="M2007" s="1229">
        <v>5.9816252962347501E-2</v>
      </c>
      <c r="N2007" s="1230">
        <v>2.2609137064237206E-4</v>
      </c>
    </row>
    <row r="2008" spans="1:14" ht="15.5" x14ac:dyDescent="0.35">
      <c r="A2008" s="198">
        <v>2047</v>
      </c>
      <c r="B2008" s="197" t="s">
        <v>5850</v>
      </c>
      <c r="C2008" s="197">
        <v>1982</v>
      </c>
      <c r="D2008" s="110" t="str">
        <f t="shared" si="16"/>
        <v>2047_1982</v>
      </c>
      <c r="E2008" s="1226">
        <v>0.12417080197451499</v>
      </c>
      <c r="F2008" s="1227">
        <v>5.2947719605518903E-2</v>
      </c>
      <c r="G2008" s="1227">
        <v>5.1254379214690999</v>
      </c>
      <c r="H2008" s="1227">
        <v>0.71107261328028804</v>
      </c>
      <c r="I2008" s="1227">
        <v>5.7228628337215703E-2</v>
      </c>
      <c r="J2008" s="1227">
        <v>2.1631075802907014E-4</v>
      </c>
      <c r="K2008" s="1227">
        <v>3.0000008603782999E-3</v>
      </c>
      <c r="L2008" s="1228">
        <v>2.79630630908109E-2</v>
      </c>
      <c r="M2008" s="1229">
        <v>5.9816252962347501E-2</v>
      </c>
      <c r="N2008" s="1230">
        <v>2.2609137064237206E-4</v>
      </c>
    </row>
    <row r="2009" spans="1:14" ht="15.5" x14ac:dyDescent="0.35">
      <c r="A2009" s="198">
        <v>2047</v>
      </c>
      <c r="B2009" s="197" t="s">
        <v>5850</v>
      </c>
      <c r="C2009" s="197">
        <v>1983</v>
      </c>
      <c r="D2009" s="110" t="str">
        <f t="shared" si="16"/>
        <v>2047_1983</v>
      </c>
      <c r="E2009" s="1226">
        <v>0.12417080197451499</v>
      </c>
      <c r="F2009" s="1227">
        <v>5.2947719605518903E-2</v>
      </c>
      <c r="G2009" s="1227">
        <v>5.1254379214690999</v>
      </c>
      <c r="H2009" s="1227">
        <v>0.71107261328028804</v>
      </c>
      <c r="I2009" s="1227">
        <v>5.7228628337215703E-2</v>
      </c>
      <c r="J2009" s="1227">
        <v>2.1631075802907014E-4</v>
      </c>
      <c r="K2009" s="1227">
        <v>3.0000008603782999E-3</v>
      </c>
      <c r="L2009" s="1228">
        <v>2.79630630908109E-2</v>
      </c>
      <c r="M2009" s="1229">
        <v>5.9816252962347501E-2</v>
      </c>
      <c r="N2009" s="1230">
        <v>2.2609137064237206E-4</v>
      </c>
    </row>
    <row r="2010" spans="1:14" ht="15.5" x14ac:dyDescent="0.35">
      <c r="A2010" s="198">
        <v>2047</v>
      </c>
      <c r="B2010" s="197" t="s">
        <v>5850</v>
      </c>
      <c r="C2010" s="197">
        <v>1984</v>
      </c>
      <c r="D2010" s="110" t="str">
        <f t="shared" si="16"/>
        <v>2047_1984</v>
      </c>
      <c r="E2010" s="1226">
        <v>0.12417080197451499</v>
      </c>
      <c r="F2010" s="1227">
        <v>5.2947719605518903E-2</v>
      </c>
      <c r="G2010" s="1227">
        <v>5.1254379214690999</v>
      </c>
      <c r="H2010" s="1227">
        <v>0.71107261328028804</v>
      </c>
      <c r="I2010" s="1227">
        <v>5.7228628337215703E-2</v>
      </c>
      <c r="J2010" s="1227">
        <v>2.1631075802907014E-4</v>
      </c>
      <c r="K2010" s="1227">
        <v>3.0000008603782999E-3</v>
      </c>
      <c r="L2010" s="1228">
        <v>2.79630630908109E-2</v>
      </c>
      <c r="M2010" s="1229">
        <v>5.9816252962347501E-2</v>
      </c>
      <c r="N2010" s="1230">
        <v>2.2609137064237206E-4</v>
      </c>
    </row>
    <row r="2011" spans="1:14" ht="15.5" x14ac:dyDescent="0.35">
      <c r="A2011" s="198">
        <v>2047</v>
      </c>
      <c r="B2011" s="197" t="s">
        <v>5850</v>
      </c>
      <c r="C2011" s="197">
        <v>1985</v>
      </c>
      <c r="D2011" s="110" t="str">
        <f t="shared" si="16"/>
        <v>2047_1985</v>
      </c>
      <c r="E2011" s="1226">
        <v>0.12417080197451499</v>
      </c>
      <c r="F2011" s="1227">
        <v>5.2947719605518903E-2</v>
      </c>
      <c r="G2011" s="1227">
        <v>5.1254379214690999</v>
      </c>
      <c r="H2011" s="1227">
        <v>0.71107261328028804</v>
      </c>
      <c r="I2011" s="1227">
        <v>5.7228628337215703E-2</v>
      </c>
      <c r="J2011" s="1227">
        <v>2.1631075802907014E-4</v>
      </c>
      <c r="K2011" s="1227">
        <v>3.0000008603782999E-3</v>
      </c>
      <c r="L2011" s="1228">
        <v>2.79630630908109E-2</v>
      </c>
      <c r="M2011" s="1229">
        <v>5.9816252962347501E-2</v>
      </c>
      <c r="N2011" s="1230">
        <v>2.2609137064237206E-4</v>
      </c>
    </row>
    <row r="2012" spans="1:14" ht="15.5" x14ac:dyDescent="0.35">
      <c r="A2012" s="198">
        <v>2047</v>
      </c>
      <c r="B2012" s="197" t="s">
        <v>5850</v>
      </c>
      <c r="C2012" s="197">
        <v>1986</v>
      </c>
      <c r="D2012" s="110" t="str">
        <f t="shared" si="16"/>
        <v>2047_1986</v>
      </c>
      <c r="E2012" s="1226">
        <v>0.12417080197451499</v>
      </c>
      <c r="F2012" s="1227">
        <v>5.2947719605518903E-2</v>
      </c>
      <c r="G2012" s="1227">
        <v>5.1254379214690999</v>
      </c>
      <c r="H2012" s="1227">
        <v>0.71107261328028804</v>
      </c>
      <c r="I2012" s="1227">
        <v>5.7228628337215703E-2</v>
      </c>
      <c r="J2012" s="1227">
        <v>2.1631075802907014E-4</v>
      </c>
      <c r="K2012" s="1227">
        <v>3.0000008603782999E-3</v>
      </c>
      <c r="L2012" s="1228">
        <v>2.79630630908109E-2</v>
      </c>
      <c r="M2012" s="1229">
        <v>5.9816252962347501E-2</v>
      </c>
      <c r="N2012" s="1230">
        <v>2.2609137064237206E-4</v>
      </c>
    </row>
    <row r="2013" spans="1:14" ht="15.5" x14ac:dyDescent="0.35">
      <c r="A2013" s="198">
        <v>2047</v>
      </c>
      <c r="B2013" s="197" t="s">
        <v>5850</v>
      </c>
      <c r="C2013" s="197">
        <v>1987</v>
      </c>
      <c r="D2013" s="110" t="str">
        <f t="shared" si="16"/>
        <v>2047_1987</v>
      </c>
      <c r="E2013" s="1226">
        <v>0.12417080197451499</v>
      </c>
      <c r="F2013" s="1227">
        <v>5.2947719605518903E-2</v>
      </c>
      <c r="G2013" s="1227">
        <v>5.1254379214690999</v>
      </c>
      <c r="H2013" s="1227">
        <v>0.71107261328028804</v>
      </c>
      <c r="I2013" s="1227">
        <v>5.7228628337215703E-2</v>
      </c>
      <c r="J2013" s="1227">
        <v>2.1631075802907014E-4</v>
      </c>
      <c r="K2013" s="1227">
        <v>3.0000008603782999E-3</v>
      </c>
      <c r="L2013" s="1228">
        <v>2.79630630908109E-2</v>
      </c>
      <c r="M2013" s="1229">
        <v>5.9816252962347501E-2</v>
      </c>
      <c r="N2013" s="1230">
        <v>2.2609137064237206E-4</v>
      </c>
    </row>
    <row r="2014" spans="1:14" ht="15.5" x14ac:dyDescent="0.35">
      <c r="A2014" s="198">
        <v>2047</v>
      </c>
      <c r="B2014" s="197" t="s">
        <v>5850</v>
      </c>
      <c r="C2014" s="197">
        <v>1988</v>
      </c>
      <c r="D2014" s="110" t="str">
        <f t="shared" si="16"/>
        <v>2047_1988</v>
      </c>
      <c r="E2014" s="1226">
        <v>0.12417080197451499</v>
      </c>
      <c r="F2014" s="1227">
        <v>5.2947719605518903E-2</v>
      </c>
      <c r="G2014" s="1227">
        <v>5.1254379214690999</v>
      </c>
      <c r="H2014" s="1227">
        <v>0.71107261328028804</v>
      </c>
      <c r="I2014" s="1227">
        <v>5.7228628337215703E-2</v>
      </c>
      <c r="J2014" s="1227">
        <v>2.1631075802907014E-4</v>
      </c>
      <c r="K2014" s="1227">
        <v>3.0000008603782999E-3</v>
      </c>
      <c r="L2014" s="1228">
        <v>2.79630630908109E-2</v>
      </c>
      <c r="M2014" s="1229">
        <v>5.9816252962347501E-2</v>
      </c>
      <c r="N2014" s="1230">
        <v>2.2609137064237206E-4</v>
      </c>
    </row>
    <row r="2015" spans="1:14" ht="15.5" x14ac:dyDescent="0.35">
      <c r="A2015" s="198">
        <v>2047</v>
      </c>
      <c r="B2015" s="197" t="s">
        <v>5850</v>
      </c>
      <c r="C2015" s="197">
        <v>1989</v>
      </c>
      <c r="D2015" s="110" t="str">
        <f t="shared" si="16"/>
        <v>2047_1989</v>
      </c>
      <c r="E2015" s="1226">
        <v>0.12417080197451499</v>
      </c>
      <c r="F2015" s="1227">
        <v>5.2947719605518903E-2</v>
      </c>
      <c r="G2015" s="1227">
        <v>5.1254379214690999</v>
      </c>
      <c r="H2015" s="1227">
        <v>0.71107261328028804</v>
      </c>
      <c r="I2015" s="1227">
        <v>5.7228628337215703E-2</v>
      </c>
      <c r="J2015" s="1227">
        <v>2.1631075802907014E-4</v>
      </c>
      <c r="K2015" s="1227">
        <v>3.0000008603782999E-3</v>
      </c>
      <c r="L2015" s="1228">
        <v>2.79630630908109E-2</v>
      </c>
      <c r="M2015" s="1229">
        <v>5.9816252962347501E-2</v>
      </c>
      <c r="N2015" s="1230">
        <v>2.2609137064237206E-4</v>
      </c>
    </row>
    <row r="2016" spans="1:14" ht="15.5" x14ac:dyDescent="0.35">
      <c r="A2016" s="198">
        <v>2047</v>
      </c>
      <c r="B2016" s="197" t="s">
        <v>5850</v>
      </c>
      <c r="C2016" s="197">
        <v>1990</v>
      </c>
      <c r="D2016" s="110" t="str">
        <f t="shared" si="16"/>
        <v>2047_1990</v>
      </c>
      <c r="E2016" s="1226">
        <v>0.12417080197451499</v>
      </c>
      <c r="F2016" s="1227">
        <v>5.2947719605518903E-2</v>
      </c>
      <c r="G2016" s="1227">
        <v>5.1254379214690999</v>
      </c>
      <c r="H2016" s="1227">
        <v>0.71107261328028804</v>
      </c>
      <c r="I2016" s="1227">
        <v>5.7228628337215703E-2</v>
      </c>
      <c r="J2016" s="1227">
        <v>2.1631075802907014E-4</v>
      </c>
      <c r="K2016" s="1227">
        <v>3.0000008603782999E-3</v>
      </c>
      <c r="L2016" s="1228">
        <v>2.79630630908109E-2</v>
      </c>
      <c r="M2016" s="1229">
        <v>5.9816252962347501E-2</v>
      </c>
      <c r="N2016" s="1230">
        <v>2.2609137064237206E-4</v>
      </c>
    </row>
    <row r="2017" spans="1:14" ht="15.5" x14ac:dyDescent="0.35">
      <c r="A2017" s="198">
        <v>2047</v>
      </c>
      <c r="B2017" s="197" t="s">
        <v>5850</v>
      </c>
      <c r="C2017" s="197">
        <v>1991</v>
      </c>
      <c r="D2017" s="110" t="str">
        <f t="shared" si="16"/>
        <v>2047_1991</v>
      </c>
      <c r="E2017" s="1226">
        <v>0.12417080197451499</v>
      </c>
      <c r="F2017" s="1227">
        <v>5.2947719605518903E-2</v>
      </c>
      <c r="G2017" s="1227">
        <v>5.1254379214690999</v>
      </c>
      <c r="H2017" s="1227">
        <v>0.71107261328028804</v>
      </c>
      <c r="I2017" s="1227">
        <v>5.7228628337215703E-2</v>
      </c>
      <c r="J2017" s="1227">
        <v>2.1631075802907014E-4</v>
      </c>
      <c r="K2017" s="1227">
        <v>3.0000008603782999E-3</v>
      </c>
      <c r="L2017" s="1228">
        <v>2.79630630908109E-2</v>
      </c>
      <c r="M2017" s="1229">
        <v>5.9816252962347501E-2</v>
      </c>
      <c r="N2017" s="1230">
        <v>2.2609137064237206E-4</v>
      </c>
    </row>
    <row r="2018" spans="1:14" ht="15.5" x14ac:dyDescent="0.35">
      <c r="A2018" s="198">
        <v>2047</v>
      </c>
      <c r="B2018" s="197" t="s">
        <v>5850</v>
      </c>
      <c r="C2018" s="197">
        <v>1992</v>
      </c>
      <c r="D2018" s="110" t="str">
        <f t="shared" si="16"/>
        <v>2047_1992</v>
      </c>
      <c r="E2018" s="1226">
        <v>0.12417080197451499</v>
      </c>
      <c r="F2018" s="1227">
        <v>5.2947719605518903E-2</v>
      </c>
      <c r="G2018" s="1227">
        <v>5.1254379214690999</v>
      </c>
      <c r="H2018" s="1227">
        <v>0.71107261328028804</v>
      </c>
      <c r="I2018" s="1227">
        <v>5.7228628337215703E-2</v>
      </c>
      <c r="J2018" s="1227">
        <v>2.1631075802907014E-4</v>
      </c>
      <c r="K2018" s="1227">
        <v>3.0000008603782999E-3</v>
      </c>
      <c r="L2018" s="1228">
        <v>2.79630630908109E-2</v>
      </c>
      <c r="M2018" s="1229">
        <v>5.9816252962347501E-2</v>
      </c>
      <c r="N2018" s="1230">
        <v>2.2609137064237206E-4</v>
      </c>
    </row>
    <row r="2019" spans="1:14" ht="15.5" x14ac:dyDescent="0.35">
      <c r="A2019" s="198">
        <v>2047</v>
      </c>
      <c r="B2019" s="197" t="s">
        <v>5850</v>
      </c>
      <c r="C2019" s="197">
        <v>1993</v>
      </c>
      <c r="D2019" s="110" t="str">
        <f t="shared" si="16"/>
        <v>2047_1993</v>
      </c>
      <c r="E2019" s="1226">
        <v>0.12417080197451499</v>
      </c>
      <c r="F2019" s="1227">
        <v>5.2947719605518903E-2</v>
      </c>
      <c r="G2019" s="1227">
        <v>5.1254379214690999</v>
      </c>
      <c r="H2019" s="1227">
        <v>0.71107261328028804</v>
      </c>
      <c r="I2019" s="1227">
        <v>5.7228628337215703E-2</v>
      </c>
      <c r="J2019" s="1227">
        <v>2.1631075802907014E-4</v>
      </c>
      <c r="K2019" s="1227">
        <v>3.0000008603782999E-3</v>
      </c>
      <c r="L2019" s="1228">
        <v>2.79630630908109E-2</v>
      </c>
      <c r="M2019" s="1229">
        <v>5.9816252962347501E-2</v>
      </c>
      <c r="N2019" s="1230">
        <v>2.2609137064237206E-4</v>
      </c>
    </row>
    <row r="2020" spans="1:14" ht="15.5" x14ac:dyDescent="0.35">
      <c r="A2020" s="198">
        <v>2047</v>
      </c>
      <c r="B2020" s="197" t="s">
        <v>5850</v>
      </c>
      <c r="C2020" s="197">
        <v>1994</v>
      </c>
      <c r="D2020" s="110" t="str">
        <f t="shared" si="16"/>
        <v>2047_1994</v>
      </c>
      <c r="E2020" s="1226">
        <v>0.12417080197451499</v>
      </c>
      <c r="F2020" s="1227">
        <v>5.2947719605518903E-2</v>
      </c>
      <c r="G2020" s="1227">
        <v>5.1254379214690999</v>
      </c>
      <c r="H2020" s="1227">
        <v>0.71107261328028804</v>
      </c>
      <c r="I2020" s="1227">
        <v>5.7228628337215703E-2</v>
      </c>
      <c r="J2020" s="1227">
        <v>2.1631075802907014E-4</v>
      </c>
      <c r="K2020" s="1227">
        <v>3.0000008603782999E-3</v>
      </c>
      <c r="L2020" s="1228">
        <v>2.79630630908109E-2</v>
      </c>
      <c r="M2020" s="1229">
        <v>5.9816252962347501E-2</v>
      </c>
      <c r="N2020" s="1230">
        <v>2.2609137064237206E-4</v>
      </c>
    </row>
    <row r="2021" spans="1:14" ht="15.5" x14ac:dyDescent="0.35">
      <c r="A2021" s="198">
        <v>2047</v>
      </c>
      <c r="B2021" s="197" t="s">
        <v>5850</v>
      </c>
      <c r="C2021" s="197">
        <v>1995</v>
      </c>
      <c r="D2021" s="110" t="str">
        <f t="shared" si="16"/>
        <v>2047_1995</v>
      </c>
      <c r="E2021" s="1226">
        <v>0.12417080197451499</v>
      </c>
      <c r="F2021" s="1227">
        <v>5.2947719605518903E-2</v>
      </c>
      <c r="G2021" s="1227">
        <v>5.1254379214690999</v>
      </c>
      <c r="H2021" s="1227">
        <v>0.71107261328028804</v>
      </c>
      <c r="I2021" s="1227">
        <v>5.7228628337215703E-2</v>
      </c>
      <c r="J2021" s="1227">
        <v>2.1631075802907014E-4</v>
      </c>
      <c r="K2021" s="1227">
        <v>3.0000008603782999E-3</v>
      </c>
      <c r="L2021" s="1228">
        <v>2.79630630908109E-2</v>
      </c>
      <c r="M2021" s="1229">
        <v>5.9816252962347501E-2</v>
      </c>
      <c r="N2021" s="1230">
        <v>2.2609137064237206E-4</v>
      </c>
    </row>
    <row r="2022" spans="1:14" ht="15.5" x14ac:dyDescent="0.35">
      <c r="A2022" s="198">
        <v>2047</v>
      </c>
      <c r="B2022" s="197" t="s">
        <v>5850</v>
      </c>
      <c r="C2022" s="197">
        <v>1996</v>
      </c>
      <c r="D2022" s="110" t="str">
        <f t="shared" si="16"/>
        <v>2047_1996</v>
      </c>
      <c r="E2022" s="1226">
        <v>0.12417080197451499</v>
      </c>
      <c r="F2022" s="1227">
        <v>5.2947719605518903E-2</v>
      </c>
      <c r="G2022" s="1227">
        <v>5.1254379214690999</v>
      </c>
      <c r="H2022" s="1227">
        <v>0.71107261328028804</v>
      </c>
      <c r="I2022" s="1227">
        <v>5.7228628337215703E-2</v>
      </c>
      <c r="J2022" s="1227">
        <v>2.1631075802907014E-4</v>
      </c>
      <c r="K2022" s="1227">
        <v>3.0000008603782999E-3</v>
      </c>
      <c r="L2022" s="1228">
        <v>2.79630630908109E-2</v>
      </c>
      <c r="M2022" s="1229">
        <v>5.9816252962347501E-2</v>
      </c>
      <c r="N2022" s="1230">
        <v>2.2609137064237206E-4</v>
      </c>
    </row>
    <row r="2023" spans="1:14" ht="15.5" x14ac:dyDescent="0.35">
      <c r="A2023" s="198">
        <v>2047</v>
      </c>
      <c r="B2023" s="197" t="s">
        <v>5850</v>
      </c>
      <c r="C2023" s="197">
        <v>1997</v>
      </c>
      <c r="D2023" s="110" t="str">
        <f t="shared" si="16"/>
        <v>2047_1997</v>
      </c>
      <c r="E2023" s="1226">
        <v>0.12417080197451499</v>
      </c>
      <c r="F2023" s="1227">
        <v>5.2947719605518903E-2</v>
      </c>
      <c r="G2023" s="1227">
        <v>5.1254379214690999</v>
      </c>
      <c r="H2023" s="1227">
        <v>0.71107261328028804</v>
      </c>
      <c r="I2023" s="1227">
        <v>5.7228628337215703E-2</v>
      </c>
      <c r="J2023" s="1227">
        <v>2.1631075802907014E-4</v>
      </c>
      <c r="K2023" s="1227">
        <v>3.0000008603782999E-3</v>
      </c>
      <c r="L2023" s="1228">
        <v>2.79630630908109E-2</v>
      </c>
      <c r="M2023" s="1229">
        <v>5.9816252962347501E-2</v>
      </c>
      <c r="N2023" s="1230">
        <v>2.2609137064237206E-4</v>
      </c>
    </row>
    <row r="2024" spans="1:14" ht="15.5" x14ac:dyDescent="0.35">
      <c r="A2024" s="198">
        <v>2047</v>
      </c>
      <c r="B2024" s="197" t="s">
        <v>5850</v>
      </c>
      <c r="C2024" s="197">
        <v>1998</v>
      </c>
      <c r="D2024" s="110" t="str">
        <f t="shared" si="16"/>
        <v>2047_1998</v>
      </c>
      <c r="E2024" s="1226">
        <v>0.12417080197451499</v>
      </c>
      <c r="F2024" s="1227">
        <v>5.2947719605518903E-2</v>
      </c>
      <c r="G2024" s="1227">
        <v>5.1254379214690999</v>
      </c>
      <c r="H2024" s="1227">
        <v>0.71107261328028804</v>
      </c>
      <c r="I2024" s="1227">
        <v>5.7228628337215703E-2</v>
      </c>
      <c r="J2024" s="1227">
        <v>2.1631075802907014E-4</v>
      </c>
      <c r="K2024" s="1227">
        <v>3.0000008603782999E-3</v>
      </c>
      <c r="L2024" s="1228">
        <v>2.79630630908109E-2</v>
      </c>
      <c r="M2024" s="1229">
        <v>5.9816252962347501E-2</v>
      </c>
      <c r="N2024" s="1230">
        <v>2.2609137064237206E-4</v>
      </c>
    </row>
    <row r="2025" spans="1:14" ht="15.5" x14ac:dyDescent="0.35">
      <c r="A2025" s="198">
        <v>2047</v>
      </c>
      <c r="B2025" s="197" t="s">
        <v>5850</v>
      </c>
      <c r="C2025" s="197">
        <v>1999</v>
      </c>
      <c r="D2025" s="110" t="str">
        <f t="shared" si="16"/>
        <v>2047_1999</v>
      </c>
      <c r="E2025" s="1226">
        <v>0.12417080197451499</v>
      </c>
      <c r="F2025" s="1227">
        <v>5.2947719605518903E-2</v>
      </c>
      <c r="G2025" s="1227">
        <v>5.1254379214690999</v>
      </c>
      <c r="H2025" s="1227">
        <v>0.71107261328028804</v>
      </c>
      <c r="I2025" s="1227">
        <v>5.7228628337215703E-2</v>
      </c>
      <c r="J2025" s="1227">
        <v>2.1631075802907014E-4</v>
      </c>
      <c r="K2025" s="1227">
        <v>3.0000008603782999E-3</v>
      </c>
      <c r="L2025" s="1228">
        <v>2.79630630908109E-2</v>
      </c>
      <c r="M2025" s="1229">
        <v>5.9816252962347501E-2</v>
      </c>
      <c r="N2025" s="1230">
        <v>2.2609137064237206E-4</v>
      </c>
    </row>
    <row r="2026" spans="1:14" ht="15.5" x14ac:dyDescent="0.35">
      <c r="A2026" s="198">
        <v>2047</v>
      </c>
      <c r="B2026" s="197" t="s">
        <v>5850</v>
      </c>
      <c r="C2026" s="197">
        <v>2000</v>
      </c>
      <c r="D2026" s="110" t="str">
        <f t="shared" si="16"/>
        <v>2047_2000</v>
      </c>
      <c r="E2026" s="1226">
        <v>0.12417080197451499</v>
      </c>
      <c r="F2026" s="1227">
        <v>5.2947719605518903E-2</v>
      </c>
      <c r="G2026" s="1227">
        <v>5.1254379214690999</v>
      </c>
      <c r="H2026" s="1227">
        <v>0.71107261328028804</v>
      </c>
      <c r="I2026" s="1227">
        <v>5.7228628337215703E-2</v>
      </c>
      <c r="J2026" s="1227">
        <v>2.1631075802907014E-4</v>
      </c>
      <c r="K2026" s="1227">
        <v>3.0000008603782999E-3</v>
      </c>
      <c r="L2026" s="1228">
        <v>2.79630630908109E-2</v>
      </c>
      <c r="M2026" s="1229">
        <v>5.9816252962347501E-2</v>
      </c>
      <c r="N2026" s="1230">
        <v>2.2609137064237206E-4</v>
      </c>
    </row>
    <row r="2027" spans="1:14" ht="15.5" x14ac:dyDescent="0.35">
      <c r="A2027" s="198">
        <v>2047</v>
      </c>
      <c r="B2027" s="197" t="s">
        <v>5850</v>
      </c>
      <c r="C2027" s="197">
        <v>2001</v>
      </c>
      <c r="D2027" s="110" t="str">
        <f t="shared" si="16"/>
        <v>2047_2001</v>
      </c>
      <c r="E2027" s="1226">
        <v>0.12417080197451499</v>
      </c>
      <c r="F2027" s="1227">
        <v>5.2947719605518903E-2</v>
      </c>
      <c r="G2027" s="1227">
        <v>5.1254379214690999</v>
      </c>
      <c r="H2027" s="1227">
        <v>0.71107261328028804</v>
      </c>
      <c r="I2027" s="1227">
        <v>5.7228628337215703E-2</v>
      </c>
      <c r="J2027" s="1227">
        <v>2.1631075802907014E-4</v>
      </c>
      <c r="K2027" s="1227">
        <v>3.0000008603782999E-3</v>
      </c>
      <c r="L2027" s="1228">
        <v>2.79630630908109E-2</v>
      </c>
      <c r="M2027" s="1229">
        <v>5.9816252962347501E-2</v>
      </c>
      <c r="N2027" s="1230">
        <v>2.2609137064237206E-4</v>
      </c>
    </row>
    <row r="2028" spans="1:14" ht="15.5" x14ac:dyDescent="0.35">
      <c r="A2028" s="198">
        <v>2047</v>
      </c>
      <c r="B2028" s="197" t="s">
        <v>5850</v>
      </c>
      <c r="C2028" s="197">
        <v>2002</v>
      </c>
      <c r="D2028" s="110" t="str">
        <f t="shared" si="16"/>
        <v>2047_2002</v>
      </c>
      <c r="E2028" s="1226">
        <v>0.12417080197451499</v>
      </c>
      <c r="F2028" s="1227">
        <v>5.2947719605518903E-2</v>
      </c>
      <c r="G2028" s="1227">
        <v>5.1254379214690999</v>
      </c>
      <c r="H2028" s="1227">
        <v>0.71107261328028804</v>
      </c>
      <c r="I2028" s="1227">
        <v>5.7228628337215703E-2</v>
      </c>
      <c r="J2028" s="1227">
        <v>2.1631075802907014E-4</v>
      </c>
      <c r="K2028" s="1227">
        <v>3.0000008603782999E-3</v>
      </c>
      <c r="L2028" s="1228">
        <v>2.79630630908109E-2</v>
      </c>
      <c r="M2028" s="1229">
        <v>5.9816252962347501E-2</v>
      </c>
      <c r="N2028" s="1230">
        <v>2.2609137064237206E-4</v>
      </c>
    </row>
    <row r="2029" spans="1:14" ht="15.5" x14ac:dyDescent="0.35">
      <c r="A2029" s="198">
        <v>2047</v>
      </c>
      <c r="B2029" s="197" t="s">
        <v>5850</v>
      </c>
      <c r="C2029" s="197">
        <v>2003</v>
      </c>
      <c r="D2029" s="110" t="str">
        <f t="shared" si="16"/>
        <v>2047_2003</v>
      </c>
      <c r="E2029" s="1226">
        <v>0.12417080197451499</v>
      </c>
      <c r="F2029" s="1227">
        <v>5.2947719605518903E-2</v>
      </c>
      <c r="G2029" s="1227">
        <v>5.1254379214690999</v>
      </c>
      <c r="H2029" s="1227">
        <v>0.71107261328028804</v>
      </c>
      <c r="I2029" s="1227">
        <v>5.7228628337215703E-2</v>
      </c>
      <c r="J2029" s="1227">
        <v>2.1631075802907014E-4</v>
      </c>
      <c r="K2029" s="1227">
        <v>3.0000008603782999E-3</v>
      </c>
      <c r="L2029" s="1228">
        <v>2.79630630908109E-2</v>
      </c>
      <c r="M2029" s="1229">
        <v>5.9816252962347501E-2</v>
      </c>
      <c r="N2029" s="1230">
        <v>2.2609137064237206E-4</v>
      </c>
    </row>
    <row r="2030" spans="1:14" ht="15.5" x14ac:dyDescent="0.35">
      <c r="A2030" s="198">
        <v>2047</v>
      </c>
      <c r="B2030" s="197" t="s">
        <v>5850</v>
      </c>
      <c r="C2030" s="197">
        <v>2004</v>
      </c>
      <c r="D2030" s="110" t="str">
        <f t="shared" si="16"/>
        <v>2047_2004</v>
      </c>
      <c r="E2030" s="1226">
        <v>0.12417080197451499</v>
      </c>
      <c r="F2030" s="1227">
        <v>5.2947719605518903E-2</v>
      </c>
      <c r="G2030" s="1227">
        <v>5.1254379214690999</v>
      </c>
      <c r="H2030" s="1227">
        <v>0.71107261328028804</v>
      </c>
      <c r="I2030" s="1227">
        <v>5.7228628337215703E-2</v>
      </c>
      <c r="J2030" s="1227">
        <v>2.1631075802907014E-4</v>
      </c>
      <c r="K2030" s="1227">
        <v>3.0000008603782999E-3</v>
      </c>
      <c r="L2030" s="1228">
        <v>2.79630630908109E-2</v>
      </c>
      <c r="M2030" s="1229">
        <v>5.9816252962347501E-2</v>
      </c>
      <c r="N2030" s="1230">
        <v>2.2609137064237206E-4</v>
      </c>
    </row>
    <row r="2031" spans="1:14" ht="15.5" x14ac:dyDescent="0.35">
      <c r="A2031" s="198">
        <v>2047</v>
      </c>
      <c r="B2031" s="197" t="s">
        <v>5850</v>
      </c>
      <c r="C2031" s="197">
        <v>2005</v>
      </c>
      <c r="D2031" s="110" t="str">
        <f t="shared" si="16"/>
        <v>2047_2005</v>
      </c>
      <c r="E2031" s="1226">
        <v>0.12417080197451499</v>
      </c>
      <c r="F2031" s="1227">
        <v>5.2947719605518903E-2</v>
      </c>
      <c r="G2031" s="1227">
        <v>5.1254379214690999</v>
      </c>
      <c r="H2031" s="1227">
        <v>0.71107261328028804</v>
      </c>
      <c r="I2031" s="1227">
        <v>5.7228628337215703E-2</v>
      </c>
      <c r="J2031" s="1227">
        <v>2.1631075802907014E-4</v>
      </c>
      <c r="K2031" s="1227">
        <v>3.0000008603782999E-3</v>
      </c>
      <c r="L2031" s="1228">
        <v>2.79630630908109E-2</v>
      </c>
      <c r="M2031" s="1229">
        <v>5.9816252962347501E-2</v>
      </c>
      <c r="N2031" s="1230">
        <v>2.2609137064237206E-4</v>
      </c>
    </row>
    <row r="2032" spans="1:14" ht="15.5" x14ac:dyDescent="0.35">
      <c r="A2032" s="198">
        <v>2047</v>
      </c>
      <c r="B2032" s="197" t="s">
        <v>5850</v>
      </c>
      <c r="C2032" s="197">
        <v>2006</v>
      </c>
      <c r="D2032" s="110" t="str">
        <f t="shared" si="16"/>
        <v>2047_2006</v>
      </c>
      <c r="E2032" s="1226">
        <v>0.12417080197451499</v>
      </c>
      <c r="F2032" s="1227">
        <v>5.2947719605518903E-2</v>
      </c>
      <c r="G2032" s="1227">
        <v>5.1254379214690999</v>
      </c>
      <c r="H2032" s="1227">
        <v>0.71107261328028804</v>
      </c>
      <c r="I2032" s="1227">
        <v>5.7228628337215703E-2</v>
      </c>
      <c r="J2032" s="1227">
        <v>2.1631075802907014E-4</v>
      </c>
      <c r="K2032" s="1227">
        <v>3.0000008603782999E-3</v>
      </c>
      <c r="L2032" s="1228">
        <v>2.79630630908109E-2</v>
      </c>
      <c r="M2032" s="1229">
        <v>5.9816252962347501E-2</v>
      </c>
      <c r="N2032" s="1230">
        <v>2.2609137064237206E-4</v>
      </c>
    </row>
    <row r="2033" spans="1:14" ht="15.5" x14ac:dyDescent="0.35">
      <c r="A2033" s="198">
        <v>2047</v>
      </c>
      <c r="B2033" s="197" t="s">
        <v>5850</v>
      </c>
      <c r="C2033" s="197">
        <v>2007</v>
      </c>
      <c r="D2033" s="110" t="str">
        <f t="shared" si="16"/>
        <v>2047_2007</v>
      </c>
      <c r="E2033" s="1226">
        <v>0.12417080197451499</v>
      </c>
      <c r="F2033" s="1227">
        <v>5.2947719605518903E-2</v>
      </c>
      <c r="G2033" s="1227">
        <v>5.1254379214690999</v>
      </c>
      <c r="H2033" s="1227">
        <v>0.71107261328028804</v>
      </c>
      <c r="I2033" s="1227">
        <v>5.7228628337215703E-2</v>
      </c>
      <c r="J2033" s="1227">
        <v>2.1631075802907014E-4</v>
      </c>
      <c r="K2033" s="1227">
        <v>3.0000008603782999E-3</v>
      </c>
      <c r="L2033" s="1228">
        <v>2.79630630908109E-2</v>
      </c>
      <c r="M2033" s="1229">
        <v>5.9816252962347501E-2</v>
      </c>
      <c r="N2033" s="1230">
        <v>2.2609137064237206E-4</v>
      </c>
    </row>
    <row r="2034" spans="1:14" ht="15.5" x14ac:dyDescent="0.35">
      <c r="A2034" s="198">
        <v>2047</v>
      </c>
      <c r="B2034" s="197" t="s">
        <v>5850</v>
      </c>
      <c r="C2034" s="197">
        <v>2008</v>
      </c>
      <c r="D2034" s="110" t="str">
        <f t="shared" si="16"/>
        <v>2047_2008</v>
      </c>
      <c r="E2034" s="1226">
        <v>0.12417080197451499</v>
      </c>
      <c r="F2034" s="1227">
        <v>5.2947719605518903E-2</v>
      </c>
      <c r="G2034" s="1227">
        <v>5.1254379214690999</v>
      </c>
      <c r="H2034" s="1227">
        <v>0.71107261328028804</v>
      </c>
      <c r="I2034" s="1227">
        <v>5.7228628337215703E-2</v>
      </c>
      <c r="J2034" s="1227">
        <v>2.1631075802907014E-4</v>
      </c>
      <c r="K2034" s="1227">
        <v>3.0000008603782999E-3</v>
      </c>
      <c r="L2034" s="1228">
        <v>2.79630630908109E-2</v>
      </c>
      <c r="M2034" s="1229">
        <v>5.9816252962347501E-2</v>
      </c>
      <c r="N2034" s="1230">
        <v>2.2609137064237206E-4</v>
      </c>
    </row>
    <row r="2035" spans="1:14" ht="15.5" x14ac:dyDescent="0.35">
      <c r="A2035" s="198">
        <v>2047</v>
      </c>
      <c r="B2035" s="197" t="s">
        <v>5850</v>
      </c>
      <c r="C2035" s="197">
        <v>2009</v>
      </c>
      <c r="D2035" s="110" t="str">
        <f t="shared" si="16"/>
        <v>2047_2009</v>
      </c>
      <c r="E2035" s="1226">
        <v>0.12417080197451499</v>
      </c>
      <c r="F2035" s="1227">
        <v>5.2947719605518903E-2</v>
      </c>
      <c r="G2035" s="1227">
        <v>5.1254379214690999</v>
      </c>
      <c r="H2035" s="1227">
        <v>0.71107261328028804</v>
      </c>
      <c r="I2035" s="1227">
        <v>5.7228628337215703E-2</v>
      </c>
      <c r="J2035" s="1227">
        <v>2.1631075802907014E-4</v>
      </c>
      <c r="K2035" s="1227">
        <v>3.0000008603782999E-3</v>
      </c>
      <c r="L2035" s="1228">
        <v>2.79630630908109E-2</v>
      </c>
      <c r="M2035" s="1229">
        <v>5.9816252962347501E-2</v>
      </c>
      <c r="N2035" s="1230">
        <v>2.2609137064237206E-4</v>
      </c>
    </row>
    <row r="2036" spans="1:14" ht="15.5" x14ac:dyDescent="0.35">
      <c r="A2036" s="198">
        <v>2047</v>
      </c>
      <c r="B2036" s="197" t="s">
        <v>5850</v>
      </c>
      <c r="C2036" s="197">
        <v>2010</v>
      </c>
      <c r="D2036" s="110" t="str">
        <f t="shared" si="16"/>
        <v>2047_2010</v>
      </c>
      <c r="E2036" s="1226">
        <v>0.12417080197451499</v>
      </c>
      <c r="F2036" s="1227">
        <v>5.2947719605518903E-2</v>
      </c>
      <c r="G2036" s="1227">
        <v>5.1254379214690999</v>
      </c>
      <c r="H2036" s="1227">
        <v>0.71107261328028804</v>
      </c>
      <c r="I2036" s="1227">
        <v>5.7228628337215703E-2</v>
      </c>
      <c r="J2036" s="1227">
        <v>2.1631075802907014E-4</v>
      </c>
      <c r="K2036" s="1227">
        <v>3.0000008603782999E-3</v>
      </c>
      <c r="L2036" s="1228">
        <v>2.79630630908109E-2</v>
      </c>
      <c r="M2036" s="1229">
        <v>5.9816252962347501E-2</v>
      </c>
      <c r="N2036" s="1230">
        <v>2.2609137064237206E-4</v>
      </c>
    </row>
    <row r="2037" spans="1:14" ht="15.5" x14ac:dyDescent="0.35">
      <c r="A2037" s="198">
        <v>2047</v>
      </c>
      <c r="B2037" s="197" t="s">
        <v>5850</v>
      </c>
      <c r="C2037" s="197">
        <v>2011</v>
      </c>
      <c r="D2037" s="110" t="str">
        <f t="shared" si="16"/>
        <v>2047_2011</v>
      </c>
      <c r="E2037" s="1231">
        <v>0.12417080197451499</v>
      </c>
      <c r="F2037" s="1232">
        <v>5.2947719605518903E-2</v>
      </c>
      <c r="G2037" s="1232">
        <v>5.1254379214690999</v>
      </c>
      <c r="H2037" s="1232">
        <v>0.71107261328028804</v>
      </c>
      <c r="I2037" s="1232">
        <v>5.7228628337215703E-2</v>
      </c>
      <c r="J2037" s="1232">
        <v>2.1631075802907014E-4</v>
      </c>
      <c r="K2037" s="1232">
        <v>3.0000008603782999E-3</v>
      </c>
      <c r="L2037" s="1233">
        <v>2.79630630908109E-2</v>
      </c>
      <c r="M2037" s="1234">
        <v>5.9816252962347501E-2</v>
      </c>
      <c r="N2037" s="1235">
        <v>2.2609137064237206E-4</v>
      </c>
    </row>
    <row r="2038" spans="1:14" ht="15.5" x14ac:dyDescent="0.35">
      <c r="A2038" s="198">
        <v>2047</v>
      </c>
      <c r="B2038" s="197" t="s">
        <v>5850</v>
      </c>
      <c r="C2038" s="197">
        <v>2012</v>
      </c>
      <c r="D2038" s="110" t="str">
        <f t="shared" si="16"/>
        <v>2047_2012</v>
      </c>
      <c r="E2038" s="1231">
        <v>2.5042912938437901E-2</v>
      </c>
      <c r="F2038" s="1232">
        <v>5.3125167794408797E-2</v>
      </c>
      <c r="G2038" s="1232">
        <v>4.4684566287221896</v>
      </c>
      <c r="H2038" s="1232">
        <v>0.62777675286879464</v>
      </c>
      <c r="I2038" s="1232">
        <v>3.3199681028576698E-2</v>
      </c>
      <c r="J2038" s="1232">
        <v>2.1631075802906944E-4</v>
      </c>
      <c r="K2038" s="1232">
        <v>3.0000008603782999E-3</v>
      </c>
      <c r="L2038" s="1233">
        <v>2.7963063090955E-2</v>
      </c>
      <c r="M2038" s="1234">
        <v>3.4700823283286303E-2</v>
      </c>
      <c r="N2038" s="1235">
        <v>2.2609137064237133E-4</v>
      </c>
    </row>
    <row r="2039" spans="1:14" ht="15.5" x14ac:dyDescent="0.35">
      <c r="A2039" s="198">
        <v>2047</v>
      </c>
      <c r="B2039" s="197" t="s">
        <v>5850</v>
      </c>
      <c r="C2039" s="197">
        <v>2013</v>
      </c>
      <c r="D2039" s="110" t="str">
        <f t="shared" si="16"/>
        <v>2047_2013</v>
      </c>
      <c r="E2039" s="1231">
        <v>2.47255485197731E-2</v>
      </c>
      <c r="F2039" s="1232">
        <v>5.312516779440897E-2</v>
      </c>
      <c r="G2039" s="1232">
        <v>4.21661188856456</v>
      </c>
      <c r="H2039" s="1232">
        <v>0.62777675286879664</v>
      </c>
      <c r="I2039" s="1232">
        <v>3.2285411483620199E-2</v>
      </c>
      <c r="J2039" s="1232">
        <v>2.1631075802907014E-4</v>
      </c>
      <c r="K2039" s="1232">
        <v>3.0000008603782999E-3</v>
      </c>
      <c r="L2039" s="1233">
        <v>2.7963063090942802E-2</v>
      </c>
      <c r="M2039" s="1234">
        <v>3.3745214526517797E-2</v>
      </c>
      <c r="N2039" s="1235">
        <v>2.2609137064237203E-4</v>
      </c>
    </row>
    <row r="2040" spans="1:14" ht="15.5" x14ac:dyDescent="0.35">
      <c r="A2040" s="198">
        <v>2047</v>
      </c>
      <c r="B2040" s="197" t="s">
        <v>5850</v>
      </c>
      <c r="C2040" s="197">
        <v>2014</v>
      </c>
      <c r="D2040" s="110" t="str">
        <f t="shared" si="16"/>
        <v>2047_2014</v>
      </c>
      <c r="E2040" s="1231">
        <v>1.2166956641984601E-2</v>
      </c>
      <c r="F2040" s="1232">
        <v>5.312516779440881E-2</v>
      </c>
      <c r="G2040" s="1232">
        <v>1.5878464582196801</v>
      </c>
      <c r="H2040" s="1232">
        <v>0.62777675286879608</v>
      </c>
      <c r="I2040" s="1232">
        <v>3.75523624602793E-2</v>
      </c>
      <c r="J2040" s="1232">
        <v>2.1631075802906949E-4</v>
      </c>
      <c r="K2040" s="1232">
        <v>3.0000008603782999E-3</v>
      </c>
      <c r="L2040" s="1233">
        <v>2.7963063090837299E-2</v>
      </c>
      <c r="M2040" s="1234">
        <v>3.9250313654592701E-2</v>
      </c>
      <c r="N2040" s="1235">
        <v>2.2609137064237133E-4</v>
      </c>
    </row>
    <row r="2041" spans="1:14" ht="15.5" x14ac:dyDescent="0.35">
      <c r="A2041" s="198">
        <v>2047</v>
      </c>
      <c r="B2041" s="197" t="s">
        <v>5850</v>
      </c>
      <c r="C2041" s="197">
        <v>2015</v>
      </c>
      <c r="D2041" s="110" t="str">
        <f t="shared" si="16"/>
        <v>2047_2015</v>
      </c>
      <c r="E2041" s="1231">
        <v>1.2166956641993E-2</v>
      </c>
      <c r="F2041" s="1232">
        <v>5.3125167794408928E-2</v>
      </c>
      <c r="G2041" s="1232">
        <v>1.58784645822033</v>
      </c>
      <c r="H2041" s="1232">
        <v>0.6277767528687962</v>
      </c>
      <c r="I2041" s="1232">
        <v>3.7552362460193299E-2</v>
      </c>
      <c r="J2041" s="1232">
        <v>2.1631075802906995E-4</v>
      </c>
      <c r="K2041" s="1232">
        <v>3.0000008603782999E-3</v>
      </c>
      <c r="L2041" s="1233">
        <v>2.7963063090864101E-2</v>
      </c>
      <c r="M2041" s="1234">
        <v>3.9250313654502801E-2</v>
      </c>
      <c r="N2041" s="1235">
        <v>2.2609137064237187E-4</v>
      </c>
    </row>
    <row r="2042" spans="1:14" ht="15.5" x14ac:dyDescent="0.35">
      <c r="A2042" s="198">
        <v>2047</v>
      </c>
      <c r="B2042" s="197" t="s">
        <v>5850</v>
      </c>
      <c r="C2042" s="197">
        <v>2016</v>
      </c>
      <c r="D2042" s="110" t="str">
        <f t="shared" si="16"/>
        <v>2047_2016</v>
      </c>
      <c r="E2042" s="1231">
        <v>1.2166956641992801E-2</v>
      </c>
      <c r="F2042" s="1232">
        <v>5.3125167794409026E-2</v>
      </c>
      <c r="G2042" s="1232">
        <v>1.5878464582190299</v>
      </c>
      <c r="H2042" s="1232">
        <v>0.62777675286879742</v>
      </c>
      <c r="I2042" s="1232">
        <v>3.7552362460111802E-2</v>
      </c>
      <c r="J2042" s="1232">
        <v>2.1631075802907039E-4</v>
      </c>
      <c r="K2042" s="1232">
        <v>3.0000008603782999E-3</v>
      </c>
      <c r="L2042" s="1233">
        <v>2.79630630908803E-2</v>
      </c>
      <c r="M2042" s="1234">
        <v>3.9250313654417598E-2</v>
      </c>
      <c r="N2042" s="1235">
        <v>2.260913706423723E-4</v>
      </c>
    </row>
    <row r="2043" spans="1:14" ht="15.5" x14ac:dyDescent="0.35">
      <c r="A2043" s="198">
        <v>2047</v>
      </c>
      <c r="B2043" s="197" t="s">
        <v>5850</v>
      </c>
      <c r="C2043" s="197">
        <v>2017</v>
      </c>
      <c r="D2043" s="110" t="str">
        <f t="shared" si="16"/>
        <v>2047_2017</v>
      </c>
      <c r="E2043" s="1231">
        <v>1.23762908938208E-2</v>
      </c>
      <c r="F2043" s="1232">
        <v>5.3125167794408908E-2</v>
      </c>
      <c r="G2043" s="1232">
        <v>1.58784645822387</v>
      </c>
      <c r="H2043" s="1232">
        <v>0.62777675286879597</v>
      </c>
      <c r="I2043" s="1232">
        <v>3.06075070030697E-2</v>
      </c>
      <c r="J2043" s="1232">
        <v>2.163107580290699E-4</v>
      </c>
      <c r="K2043" s="1232">
        <v>3.0000008603782999E-3</v>
      </c>
      <c r="L2043" s="1233">
        <v>2.79630630908894E-2</v>
      </c>
      <c r="M2043" s="1234">
        <v>3.19914426509477E-2</v>
      </c>
      <c r="N2043" s="1235">
        <v>2.2609137064237179E-4</v>
      </c>
    </row>
    <row r="2044" spans="1:14" ht="15.5" x14ac:dyDescent="0.35">
      <c r="A2044" s="198">
        <v>2047</v>
      </c>
      <c r="B2044" s="197" t="s">
        <v>5850</v>
      </c>
      <c r="C2044" s="197">
        <v>2018</v>
      </c>
      <c r="D2044" s="110" t="str">
        <f t="shared" si="16"/>
        <v>2047_2018</v>
      </c>
      <c r="E2044" s="1231">
        <v>1.237629089384E-2</v>
      </c>
      <c r="F2044" s="1232">
        <v>5.3125167794409081E-2</v>
      </c>
      <c r="G2044" s="1232">
        <v>1.5878464582213401</v>
      </c>
      <c r="H2044" s="1232">
        <v>0.62777675286879919</v>
      </c>
      <c r="I2044" s="1232">
        <v>3.0607507003338801E-2</v>
      </c>
      <c r="J2044" s="1232">
        <v>2.1631075802907058E-4</v>
      </c>
      <c r="K2044" s="1232">
        <v>3.0000008603782999E-3</v>
      </c>
      <c r="L2044" s="1233">
        <v>2.79630630907939E-2</v>
      </c>
      <c r="M2044" s="1234">
        <v>3.1991442651229003E-2</v>
      </c>
      <c r="N2044" s="1235">
        <v>2.2609137064237252E-4</v>
      </c>
    </row>
    <row r="2045" spans="1:14" ht="15.5" x14ac:dyDescent="0.35">
      <c r="A2045" s="198">
        <v>2047</v>
      </c>
      <c r="B2045" s="197" t="s">
        <v>5850</v>
      </c>
      <c r="C2045" s="197">
        <v>2019</v>
      </c>
      <c r="D2045" s="110" t="str">
        <f t="shared" si="16"/>
        <v>2047_2019</v>
      </c>
      <c r="E2045" s="1231">
        <v>1.2376290893763801E-2</v>
      </c>
      <c r="F2045" s="1232">
        <v>5.3125167794408922E-2</v>
      </c>
      <c r="G2045" s="1232">
        <v>1.58784645822165</v>
      </c>
      <c r="H2045" s="1232">
        <v>0.62777675286879608</v>
      </c>
      <c r="I2045" s="1232">
        <v>3.0607507002682399E-2</v>
      </c>
      <c r="J2045" s="1232">
        <v>2.1631075802906995E-4</v>
      </c>
      <c r="K2045" s="1232">
        <v>3.0000008603782999E-3</v>
      </c>
      <c r="L2045" s="1233">
        <v>2.7963063090990701E-2</v>
      </c>
      <c r="M2045" s="1234">
        <v>3.1991442650543003E-2</v>
      </c>
      <c r="N2045" s="1235">
        <v>2.2609137064237187E-4</v>
      </c>
    </row>
    <row r="2046" spans="1:14" ht="15.5" x14ac:dyDescent="0.35">
      <c r="A2046" s="198">
        <v>2047</v>
      </c>
      <c r="B2046" s="197" t="s">
        <v>5850</v>
      </c>
      <c r="C2046" s="197">
        <v>2020</v>
      </c>
      <c r="D2046" s="110" t="str">
        <f t="shared" si="16"/>
        <v>2047_2020</v>
      </c>
      <c r="E2046" s="1231">
        <v>1.23762908938269E-2</v>
      </c>
      <c r="F2046" s="1232">
        <v>5.312516779440922E-2</v>
      </c>
      <c r="G2046" s="1232">
        <v>1.58784645822418</v>
      </c>
      <c r="H2046" s="1232">
        <v>0.62777675286879964</v>
      </c>
      <c r="I2046" s="1232">
        <v>3.06075070031166E-2</v>
      </c>
      <c r="J2046" s="1232">
        <v>2.1631075802907117E-4</v>
      </c>
      <c r="K2046" s="1232">
        <v>3.0000008603782999E-3</v>
      </c>
      <c r="L2046" s="1233">
        <v>2.79630630908804E-2</v>
      </c>
      <c r="M2046" s="1234">
        <v>3.19914426509968E-2</v>
      </c>
      <c r="N2046" s="1235">
        <v>2.2609137064237314E-4</v>
      </c>
    </row>
    <row r="2047" spans="1:14" ht="15.5" x14ac:dyDescent="0.35">
      <c r="A2047" s="198">
        <v>2047</v>
      </c>
      <c r="B2047" s="197" t="s">
        <v>5850</v>
      </c>
      <c r="C2047" s="197">
        <v>2021</v>
      </c>
      <c r="D2047" s="110" t="str">
        <f t="shared" si="16"/>
        <v>2047_2021</v>
      </c>
      <c r="E2047" s="1231">
        <v>1.2376290893828201E-2</v>
      </c>
      <c r="F2047" s="1232">
        <v>5.3125167794410261E-2</v>
      </c>
      <c r="G2047" s="1232">
        <v>1.58784645818112</v>
      </c>
      <c r="H2047" s="1232">
        <v>0.62777675286881196</v>
      </c>
      <c r="I2047" s="1232">
        <v>3.0607507004557898E-2</v>
      </c>
      <c r="J2047" s="1232">
        <v>2.163107580290754E-4</v>
      </c>
      <c r="K2047" s="1232">
        <v>3.0000008603782999E-3</v>
      </c>
      <c r="L2047" s="1233">
        <v>2.7963063090156799E-2</v>
      </c>
      <c r="M2047" s="1234">
        <v>3.1991442652503199E-2</v>
      </c>
      <c r="N2047" s="1235">
        <v>2.2609137064237754E-4</v>
      </c>
    </row>
    <row r="2048" spans="1:14" ht="15.5" x14ac:dyDescent="0.35">
      <c r="A2048" s="198">
        <v>2047</v>
      </c>
      <c r="B2048" s="197" t="s">
        <v>5850</v>
      </c>
      <c r="C2048" s="197">
        <v>2022</v>
      </c>
      <c r="D2048" s="110" t="str">
        <f t="shared" si="16"/>
        <v>2047_2022</v>
      </c>
      <c r="E2048" s="1231">
        <v>1.2376290893771499E-2</v>
      </c>
      <c r="F2048" s="1232">
        <v>5.3125167794408637E-2</v>
      </c>
      <c r="G2048" s="1232">
        <v>1.58784645822617</v>
      </c>
      <c r="H2048" s="1232">
        <v>0.62777675286879275</v>
      </c>
      <c r="I2048" s="1232">
        <v>3.0607507002584199E-2</v>
      </c>
      <c r="J2048" s="1232">
        <v>2.1631075802906879E-4</v>
      </c>
      <c r="K2048" s="1232">
        <v>3.0000008603782999E-3</v>
      </c>
      <c r="L2048" s="1233">
        <v>2.7963063091050198E-2</v>
      </c>
      <c r="M2048" s="1234">
        <v>3.1991442650440301E-2</v>
      </c>
      <c r="N2048" s="1235">
        <v>2.2609137064237062E-4</v>
      </c>
    </row>
    <row r="2049" spans="1:14" ht="15.5" x14ac:dyDescent="0.35">
      <c r="A2049" s="198">
        <v>2047</v>
      </c>
      <c r="B2049" s="197" t="s">
        <v>5850</v>
      </c>
      <c r="C2049" s="197">
        <v>2023</v>
      </c>
      <c r="D2049" s="110" t="str">
        <f t="shared" si="16"/>
        <v>2047_2023</v>
      </c>
      <c r="E2049" s="1231">
        <v>1.2376290893791501E-2</v>
      </c>
      <c r="F2049" s="1232">
        <v>5.3125167794409137E-2</v>
      </c>
      <c r="G2049" s="1232">
        <v>1.51547719719338</v>
      </c>
      <c r="H2049" s="1232">
        <v>0.62777675286879864</v>
      </c>
      <c r="I2049" s="1232">
        <v>2.9568605395040099E-2</v>
      </c>
      <c r="J2049" s="1232">
        <v>2.1631075802907082E-4</v>
      </c>
      <c r="K2049" s="1232">
        <v>3.0000008603782999E-3</v>
      </c>
      <c r="L2049" s="1233">
        <v>2.7963063090951801E-2</v>
      </c>
      <c r="M2049" s="1234">
        <v>3.0905566522260602E-2</v>
      </c>
      <c r="N2049" s="1235">
        <v>2.2609137064237276E-4</v>
      </c>
    </row>
    <row r="2050" spans="1:14" ht="15.5" x14ac:dyDescent="0.35">
      <c r="A2050" s="198">
        <v>2047</v>
      </c>
      <c r="B2050" s="197" t="s">
        <v>5850</v>
      </c>
      <c r="C2050" s="197">
        <v>2024</v>
      </c>
      <c r="D2050" s="110" t="str">
        <f t="shared" si="16"/>
        <v>2047_2024</v>
      </c>
      <c r="E2050" s="1231">
        <v>1.2376290893847499E-2</v>
      </c>
      <c r="F2050" s="1232">
        <v>5.3125167794409081E-2</v>
      </c>
      <c r="G2050" s="1232">
        <v>1.5154771971905701</v>
      </c>
      <c r="H2050" s="1232">
        <v>0.6277767528687993</v>
      </c>
      <c r="I2050" s="1232">
        <v>2.9568605395597199E-2</v>
      </c>
      <c r="J2050" s="1232">
        <v>2.1631075802907058E-4</v>
      </c>
      <c r="K2050" s="1232">
        <v>3.0000008603782999E-3</v>
      </c>
      <c r="L2050" s="1233">
        <v>2.7963063090761801E-2</v>
      </c>
      <c r="M2050" s="1234">
        <v>3.0905566522843E-2</v>
      </c>
      <c r="N2050" s="1235">
        <v>2.2609137064237255E-4</v>
      </c>
    </row>
    <row r="2051" spans="1:14" ht="15.5" x14ac:dyDescent="0.35">
      <c r="A2051" s="199">
        <v>2047</v>
      </c>
      <c r="B2051" s="110" t="s">
        <v>5850</v>
      </c>
      <c r="C2051" s="110">
        <v>2025</v>
      </c>
      <c r="D2051" s="110" t="str">
        <f t="shared" si="16"/>
        <v>2047_2025</v>
      </c>
      <c r="E2051" s="1231">
        <v>1.23762908937984E-2</v>
      </c>
      <c r="F2051" s="1232">
        <v>5.3125167794409046E-2</v>
      </c>
      <c r="G2051" s="1232">
        <v>1.3813571841154499</v>
      </c>
      <c r="H2051" s="1232">
        <v>0.31842811137837806</v>
      </c>
      <c r="I2051" s="1232">
        <v>2.9568605395158098E-2</v>
      </c>
      <c r="J2051" s="1232">
        <v>2.1631075802907044E-4</v>
      </c>
      <c r="K2051" s="1232">
        <v>3.0000008603782999E-3</v>
      </c>
      <c r="L2051" s="1233">
        <v>2.79630630909047E-2</v>
      </c>
      <c r="M2051" s="1234">
        <v>3.0905566522384E-2</v>
      </c>
      <c r="N2051" s="1235">
        <v>2.2609137064237236E-4</v>
      </c>
    </row>
    <row r="2052" spans="1:14" ht="15.5" x14ac:dyDescent="0.35">
      <c r="A2052" s="199">
        <v>2047</v>
      </c>
      <c r="B2052" s="110" t="s">
        <v>5850</v>
      </c>
      <c r="C2052" s="110">
        <v>2026</v>
      </c>
      <c r="D2052" s="110" t="str">
        <f t="shared" si="16"/>
        <v>2047_2026</v>
      </c>
      <c r="E2052" s="1231">
        <v>1.23762908938069E-2</v>
      </c>
      <c r="F2052" s="1232">
        <v>5.3125167794408984E-2</v>
      </c>
      <c r="G2052" s="1232">
        <v>1.3813571841154699</v>
      </c>
      <c r="H2052" s="1232">
        <v>0.31842811137837773</v>
      </c>
      <c r="I2052" s="1232">
        <v>2.9568605395224899E-2</v>
      </c>
      <c r="J2052" s="1232">
        <v>2.163107580290702E-4</v>
      </c>
      <c r="K2052" s="1232">
        <v>3.0000008603782999E-3</v>
      </c>
      <c r="L2052" s="1233">
        <v>3.0896712891455999E-2</v>
      </c>
      <c r="M2052" s="1234">
        <v>3.0905566522453701E-2</v>
      </c>
      <c r="N2052" s="1235">
        <v>2.2609137064237211E-4</v>
      </c>
    </row>
    <row r="2053" spans="1:14" ht="15.5" x14ac:dyDescent="0.35">
      <c r="A2053" s="199">
        <v>2047</v>
      </c>
      <c r="B2053" s="110" t="s">
        <v>5850</v>
      </c>
      <c r="C2053" s="110">
        <v>2027</v>
      </c>
      <c r="D2053" s="110" t="str">
        <f t="shared" si="16"/>
        <v>2047_2027</v>
      </c>
      <c r="E2053" s="1231">
        <v>1.23762908938067E-2</v>
      </c>
      <c r="F2053" s="1232">
        <v>5.3125167794409046E-2</v>
      </c>
      <c r="G2053" s="1232">
        <v>1.3813571841152701</v>
      </c>
      <c r="H2053" s="1232">
        <v>0.31842811137837812</v>
      </c>
      <c r="I2053" s="1232">
        <v>2.9568605395231502E-2</v>
      </c>
      <c r="J2053" s="1232">
        <v>2.1631075802907047E-4</v>
      </c>
      <c r="K2053" s="1232">
        <v>3.0000008603782999E-3</v>
      </c>
      <c r="L2053" s="1233">
        <v>3.0896712891451801E-2</v>
      </c>
      <c r="M2053" s="1234">
        <v>3.0905566522460699E-2</v>
      </c>
      <c r="N2053" s="1235">
        <v>2.2609137064237241E-4</v>
      </c>
    </row>
    <row r="2054" spans="1:14" ht="15.5" x14ac:dyDescent="0.35">
      <c r="A2054" s="199">
        <v>2047</v>
      </c>
      <c r="B2054" s="110" t="s">
        <v>5850</v>
      </c>
      <c r="C2054" s="110">
        <v>2028</v>
      </c>
      <c r="D2054" s="110" t="str">
        <f t="shared" si="16"/>
        <v>2047_2028</v>
      </c>
      <c r="E2054" s="1231">
        <v>1.23762908938032E-2</v>
      </c>
      <c r="F2054" s="1232">
        <v>5.3125167794409019E-2</v>
      </c>
      <c r="G2054" s="1232">
        <v>1.26505210818764</v>
      </c>
      <c r="H2054" s="1232">
        <v>0.2410909510057731</v>
      </c>
      <c r="I2054" s="1232">
        <v>2.9202794969911901E-2</v>
      </c>
      <c r="J2054" s="1232">
        <v>2.1631075802907036E-4</v>
      </c>
      <c r="K2054" s="1232">
        <v>3.0000008603782999E-3</v>
      </c>
      <c r="L2054" s="1233">
        <v>3.0896712891463202E-2</v>
      </c>
      <c r="M2054" s="1234">
        <v>3.05232157729678E-2</v>
      </c>
      <c r="N2054" s="1235">
        <v>2.2609137064237228E-4</v>
      </c>
    </row>
    <row r="2055" spans="1:14" ht="15.5" x14ac:dyDescent="0.35">
      <c r="A2055" s="199">
        <v>2047</v>
      </c>
      <c r="B2055" s="110" t="s">
        <v>5850</v>
      </c>
      <c r="C2055" s="110">
        <v>2029</v>
      </c>
      <c r="D2055" s="110" t="str">
        <f t="shared" si="16"/>
        <v>2047_2029</v>
      </c>
      <c r="E2055" s="1231">
        <v>1.2376290893805099E-2</v>
      </c>
      <c r="F2055" s="1232">
        <v>5.3125167794408984E-2</v>
      </c>
      <c r="G2055" s="1232">
        <v>1.2650521081878301</v>
      </c>
      <c r="H2055" s="1232">
        <v>0.24109095100577299</v>
      </c>
      <c r="I2055" s="1232">
        <v>2.9202794969918899E-2</v>
      </c>
      <c r="J2055" s="1232">
        <v>2.1631075802907023E-4</v>
      </c>
      <c r="K2055" s="1232">
        <v>3.0000008603782999E-3</v>
      </c>
      <c r="L2055" s="1233">
        <v>3.0896712891462699E-2</v>
      </c>
      <c r="M2055" s="1234">
        <v>3.0523215772975201E-2</v>
      </c>
      <c r="N2055" s="1235">
        <v>2.2609137064237214E-4</v>
      </c>
    </row>
    <row r="2056" spans="1:14" ht="15.5" x14ac:dyDescent="0.35">
      <c r="A2056" s="199">
        <v>2047</v>
      </c>
      <c r="B2056" s="110" t="s">
        <v>5850</v>
      </c>
      <c r="C2056" s="110">
        <v>2030</v>
      </c>
      <c r="D2056" s="110" t="str">
        <f t="shared" si="16"/>
        <v>2047_2030</v>
      </c>
      <c r="E2056" s="1231">
        <v>1.2376290893808E-2</v>
      </c>
      <c r="F2056" s="1232">
        <v>5.3125167794408998E-2</v>
      </c>
      <c r="G2056" s="1232">
        <v>1.26505210818763</v>
      </c>
      <c r="H2056" s="1232">
        <v>0.24109095100577302</v>
      </c>
      <c r="I2056" s="1232">
        <v>2.92027949699507E-2</v>
      </c>
      <c r="J2056" s="1232">
        <v>2.1631075802907023E-4</v>
      </c>
      <c r="K2056" s="1232">
        <v>3.0000008603782999E-3</v>
      </c>
      <c r="L2056" s="1233">
        <v>3.0896712891449699E-2</v>
      </c>
      <c r="M2056" s="1234">
        <v>3.05232157730084E-2</v>
      </c>
      <c r="N2056" s="1235">
        <v>2.260913706423722E-4</v>
      </c>
    </row>
    <row r="2057" spans="1:14" ht="15.5" x14ac:dyDescent="0.35">
      <c r="A2057" s="199">
        <v>2047</v>
      </c>
      <c r="B2057" s="110" t="s">
        <v>5850</v>
      </c>
      <c r="C2057" s="110">
        <v>2031</v>
      </c>
      <c r="D2057" s="110" t="str">
        <f t="shared" si="16"/>
        <v>2047_2031</v>
      </c>
      <c r="E2057" s="1231">
        <v>1.2375231852861299E-2</v>
      </c>
      <c r="F2057" s="1232">
        <v>5.3125167794409019E-2</v>
      </c>
      <c r="G2057" s="1232">
        <v>1.26496432471363</v>
      </c>
      <c r="H2057" s="1232">
        <v>0.24109095100577316</v>
      </c>
      <c r="I2057" s="1232">
        <v>2.9198507469903E-2</v>
      </c>
      <c r="J2057" s="1232">
        <v>2.1631075802907036E-4</v>
      </c>
      <c r="K2057" s="1232">
        <v>3.0000008603782999E-3</v>
      </c>
      <c r="L2057" s="1233">
        <v>3.0896712891465498E-2</v>
      </c>
      <c r="M2057" s="1234">
        <v>3.0518734411234E-2</v>
      </c>
      <c r="N2057" s="1235">
        <v>2.2609137064237228E-4</v>
      </c>
    </row>
    <row r="2058" spans="1:14" ht="15.5" x14ac:dyDescent="0.35">
      <c r="A2058" s="199">
        <v>2047</v>
      </c>
      <c r="B2058" s="110" t="s">
        <v>5850</v>
      </c>
      <c r="C2058" s="110">
        <v>2032</v>
      </c>
      <c r="D2058" s="110" t="str">
        <f t="shared" si="16"/>
        <v>2047_2032</v>
      </c>
      <c r="E2058" s="1231">
        <v>1.2222903896658701E-2</v>
      </c>
      <c r="F2058" s="1232">
        <v>5.312516779440906E-2</v>
      </c>
      <c r="G2058" s="1232">
        <v>1.1786771672373899</v>
      </c>
      <c r="H2058" s="1232">
        <v>0.2410909510057733</v>
      </c>
      <c r="I2058" s="1232">
        <v>2.68105190730097E-2</v>
      </c>
      <c r="J2058" s="1232">
        <v>2.1631075802907052E-4</v>
      </c>
      <c r="K2058" s="1232">
        <v>3.0000008603782999E-3</v>
      </c>
      <c r="L2058" s="1233">
        <v>3.0896712891467799E-2</v>
      </c>
      <c r="M2058" s="1234">
        <v>2.8022771775574801E-2</v>
      </c>
      <c r="N2058" s="1235">
        <v>2.2609137064237244E-4</v>
      </c>
    </row>
    <row r="2059" spans="1:14" ht="15.5" x14ac:dyDescent="0.35">
      <c r="A2059" s="198">
        <v>2047</v>
      </c>
      <c r="B2059" s="197" t="s">
        <v>5850</v>
      </c>
      <c r="C2059" s="197">
        <v>2033</v>
      </c>
      <c r="D2059" s="110" t="str">
        <f t="shared" si="16"/>
        <v>2047_2033</v>
      </c>
      <c r="E2059" s="1231">
        <v>1.20536506116307E-2</v>
      </c>
      <c r="F2059" s="1232">
        <v>4.7812651014968115E-2</v>
      </c>
      <c r="G2059" s="1232">
        <v>1.1651420505080901</v>
      </c>
      <c r="H2059" s="1232">
        <v>0.21698185590519578</v>
      </c>
      <c r="I2059" s="1232">
        <v>2.6125301503479598E-2</v>
      </c>
      <c r="J2059" s="1232">
        <v>1.9467968222616327E-4</v>
      </c>
      <c r="K2059" s="1232">
        <v>3.0000008603782999E-3</v>
      </c>
      <c r="L2059" s="1233">
        <v>3.0896712891459201E-2</v>
      </c>
      <c r="M2059" s="1234">
        <v>2.7306571708158499E-2</v>
      </c>
      <c r="N2059" s="1235">
        <v>2.0348223357813502E-4</v>
      </c>
    </row>
    <row r="2060" spans="1:14" ht="15.5" x14ac:dyDescent="0.35">
      <c r="A2060" s="198">
        <v>2047</v>
      </c>
      <c r="B2060" s="197" t="s">
        <v>5850</v>
      </c>
      <c r="C2060" s="197">
        <v>2034</v>
      </c>
      <c r="D2060" s="110" t="str">
        <f t="shared" si="16"/>
        <v>2047_2034</v>
      </c>
      <c r="E2060" s="1231">
        <v>1.18655914060428E-2</v>
      </c>
      <c r="F2060" s="1232">
        <v>4.3031385913471276E-2</v>
      </c>
      <c r="G2060" s="1232">
        <v>1.1497449920959399</v>
      </c>
      <c r="H2060" s="1232">
        <v>0.19528367031467611</v>
      </c>
      <c r="I2060" s="1232">
        <v>2.53639486484184E-2</v>
      </c>
      <c r="J2060" s="1232">
        <v>1.7521171400354687E-4</v>
      </c>
      <c r="K2060" s="1232">
        <v>3.0000008603782999E-3</v>
      </c>
      <c r="L2060" s="1233">
        <v>3.0896712891464399E-2</v>
      </c>
      <c r="M2060" s="1234">
        <v>2.6510793855444598E-2</v>
      </c>
      <c r="N2060" s="1235">
        <v>1.8313401022032141E-4</v>
      </c>
    </row>
    <row r="2061" spans="1:14" ht="15.5" x14ac:dyDescent="0.35">
      <c r="A2061" s="199">
        <v>2047</v>
      </c>
      <c r="B2061" s="110" t="s">
        <v>5850</v>
      </c>
      <c r="C2061" s="110">
        <v>2035</v>
      </c>
      <c r="D2061" s="110" t="str">
        <f t="shared" si="16"/>
        <v>2047_2035</v>
      </c>
      <c r="E2061" s="1231">
        <v>1.16566367331705E-2</v>
      </c>
      <c r="F2061" s="1232">
        <v>3.8728247322124147E-2</v>
      </c>
      <c r="G2061" s="1232">
        <v>1.13216521451144</v>
      </c>
      <c r="H2061" s="1232">
        <v>0.17575530328320849</v>
      </c>
      <c r="I2061" s="1232">
        <v>2.4518001031714701E-2</v>
      </c>
      <c r="J2061" s="1232">
        <v>1.5769054260319216E-4</v>
      </c>
      <c r="K2061" s="1232">
        <v>3.0000008603782999E-3</v>
      </c>
      <c r="L2061" s="1233">
        <v>3.08967128914561E-2</v>
      </c>
      <c r="M2061" s="1234">
        <v>2.5626596241350601E-2</v>
      </c>
      <c r="N2061" s="1235">
        <v>1.6482060919828926E-4</v>
      </c>
    </row>
    <row r="2062" spans="1:14" ht="15.5" x14ac:dyDescent="0.35">
      <c r="A2062" s="199">
        <v>2047</v>
      </c>
      <c r="B2062" s="110" t="s">
        <v>5850</v>
      </c>
      <c r="C2062" s="110">
        <v>2036</v>
      </c>
      <c r="D2062" s="110" t="str">
        <f t="shared" si="16"/>
        <v>2047_2036</v>
      </c>
      <c r="E2062" s="1231">
        <v>1.1424464874420601E-2</v>
      </c>
      <c r="F2062" s="1232">
        <v>3.4855422589911755E-2</v>
      </c>
      <c r="G2062" s="1232">
        <v>1.11200348675431</v>
      </c>
      <c r="H2062" s="1232">
        <v>0.15817977295488775</v>
      </c>
      <c r="I2062" s="1232">
        <v>2.3578059235347799E-2</v>
      </c>
      <c r="J2062" s="1232">
        <v>1.4192148834287304E-4</v>
      </c>
      <c r="K2062" s="1232">
        <v>3.0000008603782999E-3</v>
      </c>
      <c r="L2062" s="1233">
        <v>3.0896712891460301E-2</v>
      </c>
      <c r="M2062" s="1234">
        <v>2.4644154447882E-2</v>
      </c>
      <c r="N2062" s="1235">
        <v>1.4833854827846042E-4</v>
      </c>
    </row>
    <row r="2063" spans="1:14" ht="15.5" x14ac:dyDescent="0.35">
      <c r="A2063" s="199">
        <v>2047</v>
      </c>
      <c r="B2063" s="110" t="s">
        <v>5850</v>
      </c>
      <c r="C2063" s="110">
        <v>2037</v>
      </c>
      <c r="D2063" s="110" t="str">
        <f t="shared" si="16"/>
        <v>2047_2037</v>
      </c>
      <c r="E2063" s="1231">
        <v>1.1166496142477301E-2</v>
      </c>
      <c r="F2063" s="1232">
        <v>3.1369880330920689E-2</v>
      </c>
      <c r="G2063" s="1232">
        <v>1.0887533480012499</v>
      </c>
      <c r="H2063" s="1232">
        <v>0.14236179565939946</v>
      </c>
      <c r="I2063" s="1232">
        <v>2.2533679461616499E-2</v>
      </c>
      <c r="J2063" s="1232">
        <v>1.2772933950858621E-4</v>
      </c>
      <c r="K2063" s="1232">
        <v>3.0000008603782999E-3</v>
      </c>
      <c r="L2063" s="1233">
        <v>3.08967128914613E-2</v>
      </c>
      <c r="M2063" s="1234">
        <v>2.35525524551491E-2</v>
      </c>
      <c r="N2063" s="1235">
        <v>1.3350469345061488E-4</v>
      </c>
    </row>
    <row r="2064" spans="1:14" ht="15.5" x14ac:dyDescent="0.35">
      <c r="A2064" s="199">
        <v>2047</v>
      </c>
      <c r="B2064" s="110" t="s">
        <v>5850</v>
      </c>
      <c r="C2064" s="110">
        <v>2038</v>
      </c>
      <c r="D2064" s="110" t="str">
        <f t="shared" si="16"/>
        <v>2047_2038</v>
      </c>
      <c r="E2064" s="1231">
        <v>1.08798642180959E-2</v>
      </c>
      <c r="F2064" s="1232">
        <v>2.8232892297828566E-2</v>
      </c>
      <c r="G2064" s="1232">
        <v>1.06175694497716</v>
      </c>
      <c r="H2064" s="1232">
        <v>0.12812561609345927</v>
      </c>
      <c r="I2064" s="1232">
        <v>2.1373257490808401E-2</v>
      </c>
      <c r="J2064" s="1232">
        <v>1.1495640555772735E-4</v>
      </c>
      <c r="K2064" s="1232">
        <v>3.0000008603782999E-3</v>
      </c>
      <c r="L2064" s="1233">
        <v>3.0896712891458698E-2</v>
      </c>
      <c r="M2064" s="1234">
        <v>2.2339661352117301E-2</v>
      </c>
      <c r="N2064" s="1235">
        <v>1.2015422410555314E-4</v>
      </c>
    </row>
    <row r="2065" spans="1:14" ht="15.5" x14ac:dyDescent="0.35">
      <c r="A2065" s="199">
        <v>2047</v>
      </c>
      <c r="B2065" s="110" t="s">
        <v>5850</v>
      </c>
      <c r="C2065" s="110">
        <v>2039</v>
      </c>
      <c r="D2065" s="110" t="str">
        <f t="shared" si="16"/>
        <v>2047_2039</v>
      </c>
      <c r="E2065" s="1231">
        <v>1.05613843021164E-2</v>
      </c>
      <c r="F2065" s="1232">
        <v>2.5409603068045652E-2</v>
      </c>
      <c r="G2065" s="1232">
        <v>1.0301339682800701</v>
      </c>
      <c r="H2065" s="1232">
        <v>0.11531305448411308</v>
      </c>
      <c r="I2065" s="1232">
        <v>2.0083899745463599E-2</v>
      </c>
      <c r="J2065" s="1232">
        <v>1.0346076500195438E-4</v>
      </c>
      <c r="K2065" s="1232">
        <v>3.0000008603782999E-3</v>
      </c>
      <c r="L2065" s="1233">
        <v>3.0896712891457099E-2</v>
      </c>
      <c r="M2065" s="1234">
        <v>2.0992004570968299E-2</v>
      </c>
      <c r="N2065" s="1235">
        <v>1.0813880169499758E-4</v>
      </c>
    </row>
    <row r="2066" spans="1:14" ht="15.5" x14ac:dyDescent="0.35">
      <c r="A2066" s="199">
        <v>2047</v>
      </c>
      <c r="B2066" s="110" t="s">
        <v>5850</v>
      </c>
      <c r="C2066" s="110">
        <v>2040</v>
      </c>
      <c r="D2066" s="110" t="str">
        <f t="shared" si="16"/>
        <v>2047_2040</v>
      </c>
      <c r="E2066" s="1231">
        <v>1.02075177288044E-2</v>
      </c>
      <c r="F2066" s="1232">
        <v>2.5409603068045752E-2</v>
      </c>
      <c r="G2066" s="1232">
        <v>0.99266034218550103</v>
      </c>
      <c r="H2066" s="1232">
        <v>0.11531305448411354</v>
      </c>
      <c r="I2066" s="1232">
        <v>1.8651280028404101E-2</v>
      </c>
      <c r="J2066" s="1232">
        <v>1.0346076500195478E-4</v>
      </c>
      <c r="K2066" s="1232">
        <v>3.0000008603782999E-3</v>
      </c>
      <c r="L2066" s="1233">
        <v>3.0896712891460398E-2</v>
      </c>
      <c r="M2066" s="1234">
        <v>1.9494608147459101E-2</v>
      </c>
      <c r="N2066" s="1235">
        <v>1.0813880169499801E-4</v>
      </c>
    </row>
    <row r="2067" spans="1:14" ht="15.5" x14ac:dyDescent="0.35">
      <c r="A2067" s="199">
        <v>2047</v>
      </c>
      <c r="B2067" s="110" t="s">
        <v>5850</v>
      </c>
      <c r="C2067" s="110">
        <v>2041</v>
      </c>
      <c r="D2067" s="110" t="str">
        <f t="shared" si="16"/>
        <v>2047_2041</v>
      </c>
      <c r="E2067" s="1231">
        <v>9.8536511554949708E-3</v>
      </c>
      <c r="F2067" s="1232">
        <v>2.5409603068045492E-2</v>
      </c>
      <c r="G2067" s="1232">
        <v>0.95224434214082998</v>
      </c>
      <c r="H2067" s="1232">
        <v>0.11531305448411236</v>
      </c>
      <c r="I2067" s="1232">
        <v>1.7218660311356399E-2</v>
      </c>
      <c r="J2067" s="1232">
        <v>1.0346076500195371E-4</v>
      </c>
      <c r="K2067" s="1232">
        <v>3.0000008603782999E-3</v>
      </c>
      <c r="L2067" s="1233">
        <v>3.08967128914589E-2</v>
      </c>
      <c r="M2067" s="1234">
        <v>1.79972117239624E-2</v>
      </c>
      <c r="N2067" s="1235">
        <v>1.081388016949969E-4</v>
      </c>
    </row>
    <row r="2068" spans="1:14" ht="15.5" x14ac:dyDescent="0.35">
      <c r="A2068" s="199">
        <v>2047</v>
      </c>
      <c r="B2068" s="110" t="s">
        <v>5850</v>
      </c>
      <c r="C2068" s="110">
        <v>2042</v>
      </c>
      <c r="D2068" s="110" t="str">
        <f t="shared" si="16"/>
        <v>2047_2042</v>
      </c>
      <c r="E2068" s="1231">
        <v>9.4997845821835694E-3</v>
      </c>
      <c r="F2068" s="1232">
        <v>2.5409603068045624E-2</v>
      </c>
      <c r="G2068" s="1232">
        <v>0.90784256963357801</v>
      </c>
      <c r="H2068" s="1232">
        <v>0.11511100655690773</v>
      </c>
      <c r="I2068" s="1232">
        <v>1.6156821602918502E-2</v>
      </c>
      <c r="J2068" s="1232">
        <v>1.0346076500195427E-4</v>
      </c>
      <c r="K2068" s="1232">
        <v>3.0000008603782999E-3</v>
      </c>
      <c r="L2068" s="1233">
        <v>3.08967128914596E-2</v>
      </c>
      <c r="M2068" s="1234">
        <v>1.68873613809685E-2</v>
      </c>
      <c r="N2068" s="1235">
        <v>1.0813880169499747E-4</v>
      </c>
    </row>
    <row r="2069" spans="1:14" ht="15.5" x14ac:dyDescent="0.35">
      <c r="A2069" s="199">
        <v>2047</v>
      </c>
      <c r="B2069" s="110" t="s">
        <v>5850</v>
      </c>
      <c r="C2069" s="110">
        <v>2043</v>
      </c>
      <c r="D2069" s="110" t="str">
        <f t="shared" si="16"/>
        <v>2047_2043</v>
      </c>
      <c r="E2069" s="1231">
        <v>9.1459180088729192E-3</v>
      </c>
      <c r="F2069" s="1232">
        <v>2.5409603068045711E-2</v>
      </c>
      <c r="G2069" s="1232">
        <v>0.85229412405285898</v>
      </c>
      <c r="H2069" s="1232">
        <v>0.11111762003790115</v>
      </c>
      <c r="I2069" s="1232">
        <v>1.51103054010987E-2</v>
      </c>
      <c r="J2069" s="1232">
        <v>1.0346076500195462E-4</v>
      </c>
      <c r="K2069" s="1232">
        <v>3.0000008603782999E-3</v>
      </c>
      <c r="L2069" s="1233">
        <v>3.08967128914624E-2</v>
      </c>
      <c r="M2069" s="1234">
        <v>1.5793526360349301E-2</v>
      </c>
      <c r="N2069" s="1235">
        <v>1.0813880169499784E-4</v>
      </c>
    </row>
    <row r="2070" spans="1:14" ht="15.5" x14ac:dyDescent="0.35">
      <c r="A2070" s="199">
        <v>2047</v>
      </c>
      <c r="B2070" s="110" t="s">
        <v>5850</v>
      </c>
      <c r="C2070" s="110">
        <v>2044</v>
      </c>
      <c r="D2070" s="110" t="str">
        <f t="shared" si="16"/>
        <v>2047_2044</v>
      </c>
      <c r="E2070" s="1231">
        <v>8.7920514355626506E-3</v>
      </c>
      <c r="F2070" s="1232">
        <v>2.5409603068045704E-2</v>
      </c>
      <c r="G2070" s="1232">
        <v>0.78642329837997804</v>
      </c>
      <c r="H2070" s="1232">
        <v>0.10425222973557606</v>
      </c>
      <c r="I2070" s="1232">
        <v>1.40526966145422E-2</v>
      </c>
      <c r="J2070" s="1232">
        <v>1.0346076500195458E-4</v>
      </c>
      <c r="K2070" s="1232">
        <v>3.0000008603782999E-3</v>
      </c>
      <c r="L2070" s="1233">
        <v>3.0896712891459299E-2</v>
      </c>
      <c r="M2070" s="1234">
        <v>1.4688097197534101E-2</v>
      </c>
      <c r="N2070" s="1235">
        <v>1.0813880169499781E-4</v>
      </c>
    </row>
    <row r="2071" spans="1:14" ht="15.5" x14ac:dyDescent="0.35">
      <c r="A2071" s="199">
        <v>2047</v>
      </c>
      <c r="B2071" s="110" t="s">
        <v>5850</v>
      </c>
      <c r="C2071" s="110">
        <v>2045</v>
      </c>
      <c r="D2071" s="110" t="str">
        <f t="shared" si="16"/>
        <v>2047_2045</v>
      </c>
      <c r="E2071" s="1231">
        <v>8.4381848622517904E-3</v>
      </c>
      <c r="F2071" s="1232">
        <v>2.54096030680457E-2</v>
      </c>
      <c r="G2071" s="1232">
        <v>0.71003313472772001</v>
      </c>
      <c r="H2071" s="1232">
        <v>9.5434170458414638E-2</v>
      </c>
      <c r="I2071" s="1232">
        <v>1.3011755738320901E-2</v>
      </c>
      <c r="J2071" s="1232">
        <v>1.0346076500195457E-4</v>
      </c>
      <c r="K2071" s="1232">
        <v>3.0000008603782999E-3</v>
      </c>
      <c r="L2071" s="1233">
        <v>3.0896712891459201E-2</v>
      </c>
      <c r="M2071" s="1234">
        <v>1.3600089593996801E-2</v>
      </c>
      <c r="N2071" s="1235">
        <v>1.0813880169499778E-4</v>
      </c>
    </row>
    <row r="2072" spans="1:14" ht="15.5" x14ac:dyDescent="0.35">
      <c r="A2072" s="199">
        <v>2047</v>
      </c>
      <c r="B2072" s="110" t="s">
        <v>5850</v>
      </c>
      <c r="C2072" s="110">
        <v>2046</v>
      </c>
      <c r="D2072" s="110" t="str">
        <f t="shared" si="16"/>
        <v>2047_2046</v>
      </c>
      <c r="E2072" s="1231">
        <v>8.0843182889407394E-3</v>
      </c>
      <c r="F2072" s="1232">
        <v>2.5409603068045607E-2</v>
      </c>
      <c r="G2072" s="1232">
        <v>0.62078712708497297</v>
      </c>
      <c r="H2072" s="1232">
        <v>8.5582776514461889E-2</v>
      </c>
      <c r="I2072" s="1232">
        <v>1.20065604260972E-2</v>
      </c>
      <c r="J2072" s="1232">
        <v>1.034607650019542E-4</v>
      </c>
      <c r="K2072" s="1232">
        <v>3.0000008603782999E-3</v>
      </c>
      <c r="L2072" s="1233">
        <v>3.0896712891462199E-2</v>
      </c>
      <c r="M2072" s="1234">
        <v>1.25494438102425E-2</v>
      </c>
      <c r="N2072" s="1235">
        <v>1.081388016949974E-4</v>
      </c>
    </row>
    <row r="2073" spans="1:14" ht="15.5" x14ac:dyDescent="0.35">
      <c r="A2073" s="199">
        <v>2047</v>
      </c>
      <c r="B2073" s="110" t="s">
        <v>5850</v>
      </c>
      <c r="C2073" s="110">
        <v>2047</v>
      </c>
      <c r="D2073" s="110" t="str">
        <f t="shared" si="16"/>
        <v>2047_2047</v>
      </c>
      <c r="E2073" s="1231">
        <v>7.7307120572531604E-3</v>
      </c>
      <c r="F2073" s="1232">
        <v>2.5409605304762335E-2</v>
      </c>
      <c r="G2073" s="1232">
        <v>0.51042226933422297</v>
      </c>
      <c r="H2073" s="1232">
        <v>7.5617389618748948E-2</v>
      </c>
      <c r="I2073" s="1232">
        <v>1.1049237142600799E-2</v>
      </c>
      <c r="J2073" s="1232">
        <v>1.0346077410923678E-4</v>
      </c>
      <c r="K2073" s="1232">
        <v>3.0000008603779599E-3</v>
      </c>
      <c r="L2073" s="1233">
        <v>3.08949064113439E-2</v>
      </c>
      <c r="M2073" s="1234">
        <v>1.1548834615925501E-2</v>
      </c>
      <c r="N2073" s="1235">
        <v>1.0813881121407077E-4</v>
      </c>
    </row>
    <row r="2074" spans="1:14" ht="15.5" x14ac:dyDescent="0.35">
      <c r="A2074" s="199">
        <v>2047</v>
      </c>
      <c r="B2074" s="110" t="s">
        <v>5850</v>
      </c>
      <c r="C2074" s="110">
        <v>2048</v>
      </c>
      <c r="D2074" s="110" t="str">
        <f t="shared" si="16"/>
        <v>2047_2048</v>
      </c>
      <c r="E2074" s="1231">
        <v>7.3754124493466402E-3</v>
      </c>
      <c r="F2074" s="1232">
        <v>6.0983022014121861E-2</v>
      </c>
      <c r="G2074" s="1232">
        <v>0.35071601857116502</v>
      </c>
      <c r="H2074" s="1232">
        <v>0.18148164367221925</v>
      </c>
      <c r="I2074" s="1232">
        <v>1.01378081065981E-2</v>
      </c>
      <c r="J2074" s="1232">
        <v>2.4830573278992058E-4</v>
      </c>
      <c r="K2074" s="1232">
        <v>3.0000008603799102E-3</v>
      </c>
      <c r="L2074" s="1233">
        <v>3.09052404168229E-2</v>
      </c>
      <c r="M2074" s="1234">
        <v>1.0596194803321199E-2</v>
      </c>
      <c r="N2074" s="1235">
        <v>2.5953301618631048E-4</v>
      </c>
    </row>
    <row r="2075" spans="1:14" ht="15.5" x14ac:dyDescent="0.35">
      <c r="A2075" s="199">
        <v>2048</v>
      </c>
      <c r="B2075" s="110" t="s">
        <v>5850</v>
      </c>
      <c r="C2075" s="110">
        <v>1971</v>
      </c>
      <c r="D2075" s="110" t="str">
        <f t="shared" si="16"/>
        <v>2048_1971</v>
      </c>
      <c r="E2075" s="1226">
        <v>0.12417080191598399</v>
      </c>
      <c r="F2075" s="1227">
        <v>5.2947801074663368E-2</v>
      </c>
      <c r="G2075" s="1227">
        <v>5.1254379093605804</v>
      </c>
      <c r="H2075" s="1227">
        <v>0.71107370738741793</v>
      </c>
      <c r="I2075" s="1227">
        <v>5.72286275317134E-2</v>
      </c>
      <c r="J2075" s="1227">
        <v>2.1631109086025775E-4</v>
      </c>
      <c r="K2075" s="1227">
        <v>3.0000008603782999E-3</v>
      </c>
      <c r="L2075" s="1228">
        <v>2.7963063262093399E-2</v>
      </c>
      <c r="M2075" s="1229">
        <v>5.98162521204239E-2</v>
      </c>
      <c r="N2075" s="1230">
        <v>2.2609171852270906E-4</v>
      </c>
    </row>
    <row r="2076" spans="1:14" ht="15.5" x14ac:dyDescent="0.35">
      <c r="A2076" s="199">
        <v>2048</v>
      </c>
      <c r="B2076" s="110" t="s">
        <v>5850</v>
      </c>
      <c r="C2076" s="110">
        <v>1972</v>
      </c>
      <c r="D2076" s="110" t="str">
        <f t="shared" si="16"/>
        <v>2048_1972</v>
      </c>
      <c r="E2076" s="1226">
        <v>0.12417080191598399</v>
      </c>
      <c r="F2076" s="1227">
        <v>5.2947801074663368E-2</v>
      </c>
      <c r="G2076" s="1227">
        <v>5.1254379093605804</v>
      </c>
      <c r="H2076" s="1227">
        <v>0.71107370738741793</v>
      </c>
      <c r="I2076" s="1227">
        <v>5.72286275317134E-2</v>
      </c>
      <c r="J2076" s="1227">
        <v>2.1631109086025775E-4</v>
      </c>
      <c r="K2076" s="1227">
        <v>3.0000008603782999E-3</v>
      </c>
      <c r="L2076" s="1228">
        <v>2.7963063262093399E-2</v>
      </c>
      <c r="M2076" s="1229">
        <v>5.98162521204239E-2</v>
      </c>
      <c r="N2076" s="1230">
        <v>2.2609171852270906E-4</v>
      </c>
    </row>
    <row r="2077" spans="1:14" ht="15.5" x14ac:dyDescent="0.35">
      <c r="A2077" s="199">
        <v>2048</v>
      </c>
      <c r="B2077" s="110" t="s">
        <v>5850</v>
      </c>
      <c r="C2077" s="110">
        <v>1973</v>
      </c>
      <c r="D2077" s="110" t="str">
        <f t="shared" si="16"/>
        <v>2048_1973</v>
      </c>
      <c r="E2077" s="1226">
        <v>0.12417080191598399</v>
      </c>
      <c r="F2077" s="1227">
        <v>5.2947801074663368E-2</v>
      </c>
      <c r="G2077" s="1227">
        <v>5.1254379093605804</v>
      </c>
      <c r="H2077" s="1227">
        <v>0.71107370738741793</v>
      </c>
      <c r="I2077" s="1227">
        <v>5.72286275317134E-2</v>
      </c>
      <c r="J2077" s="1227">
        <v>2.1631109086025775E-4</v>
      </c>
      <c r="K2077" s="1227">
        <v>3.0000008603782999E-3</v>
      </c>
      <c r="L2077" s="1228">
        <v>2.7963063262093399E-2</v>
      </c>
      <c r="M2077" s="1229">
        <v>5.98162521204239E-2</v>
      </c>
      <c r="N2077" s="1230">
        <v>2.2609171852270906E-4</v>
      </c>
    </row>
    <row r="2078" spans="1:14" ht="15.5" x14ac:dyDescent="0.35">
      <c r="A2078" s="199">
        <v>2048</v>
      </c>
      <c r="B2078" s="110" t="s">
        <v>5850</v>
      </c>
      <c r="C2078" s="110">
        <v>1974</v>
      </c>
      <c r="D2078" s="110" t="str">
        <f t="shared" si="16"/>
        <v>2048_1974</v>
      </c>
      <c r="E2078" s="1226">
        <v>0.12417080191598399</v>
      </c>
      <c r="F2078" s="1227">
        <v>5.2947801074663368E-2</v>
      </c>
      <c r="G2078" s="1227">
        <v>5.1254379093605804</v>
      </c>
      <c r="H2078" s="1227">
        <v>0.71107370738741793</v>
      </c>
      <c r="I2078" s="1227">
        <v>5.72286275317134E-2</v>
      </c>
      <c r="J2078" s="1227">
        <v>2.1631109086025775E-4</v>
      </c>
      <c r="K2078" s="1227">
        <v>3.0000008603782999E-3</v>
      </c>
      <c r="L2078" s="1228">
        <v>2.7963063262093399E-2</v>
      </c>
      <c r="M2078" s="1229">
        <v>5.98162521204239E-2</v>
      </c>
      <c r="N2078" s="1230">
        <v>2.2609171852270906E-4</v>
      </c>
    </row>
    <row r="2079" spans="1:14" ht="15.5" x14ac:dyDescent="0.35">
      <c r="A2079" s="199">
        <v>2048</v>
      </c>
      <c r="B2079" s="110" t="s">
        <v>5850</v>
      </c>
      <c r="C2079" s="110">
        <v>1975</v>
      </c>
      <c r="D2079" s="110" t="str">
        <f t="shared" si="16"/>
        <v>2048_1975</v>
      </c>
      <c r="E2079" s="1226">
        <v>0.12417080191598399</v>
      </c>
      <c r="F2079" s="1227">
        <v>5.2947801074663368E-2</v>
      </c>
      <c r="G2079" s="1227">
        <v>5.1254379093605804</v>
      </c>
      <c r="H2079" s="1227">
        <v>0.71107370738741793</v>
      </c>
      <c r="I2079" s="1227">
        <v>5.72286275317134E-2</v>
      </c>
      <c r="J2079" s="1227">
        <v>2.1631109086025775E-4</v>
      </c>
      <c r="K2079" s="1227">
        <v>3.0000008603782999E-3</v>
      </c>
      <c r="L2079" s="1228">
        <v>2.7963063262093399E-2</v>
      </c>
      <c r="M2079" s="1229">
        <v>5.98162521204239E-2</v>
      </c>
      <c r="N2079" s="1230">
        <v>2.2609171852270906E-4</v>
      </c>
    </row>
    <row r="2080" spans="1:14" ht="15.5" x14ac:dyDescent="0.35">
      <c r="A2080" s="199">
        <v>2048</v>
      </c>
      <c r="B2080" s="110" t="s">
        <v>5850</v>
      </c>
      <c r="C2080" s="110">
        <v>1976</v>
      </c>
      <c r="D2080" s="110" t="str">
        <f t="shared" si="16"/>
        <v>2048_1976</v>
      </c>
      <c r="E2080" s="1226">
        <v>0.12417080191598399</v>
      </c>
      <c r="F2080" s="1227">
        <v>5.2947801074663368E-2</v>
      </c>
      <c r="G2080" s="1227">
        <v>5.1254379093605804</v>
      </c>
      <c r="H2080" s="1227">
        <v>0.71107370738741793</v>
      </c>
      <c r="I2080" s="1227">
        <v>5.72286275317134E-2</v>
      </c>
      <c r="J2080" s="1227">
        <v>2.1631109086025775E-4</v>
      </c>
      <c r="K2080" s="1227">
        <v>3.0000008603782999E-3</v>
      </c>
      <c r="L2080" s="1228">
        <v>2.7963063262093399E-2</v>
      </c>
      <c r="M2080" s="1229">
        <v>5.98162521204239E-2</v>
      </c>
      <c r="N2080" s="1230">
        <v>2.2609171852270906E-4</v>
      </c>
    </row>
    <row r="2081" spans="1:14" ht="15.5" x14ac:dyDescent="0.35">
      <c r="A2081" s="199">
        <v>2048</v>
      </c>
      <c r="B2081" s="110" t="s">
        <v>5850</v>
      </c>
      <c r="C2081" s="110">
        <v>1977</v>
      </c>
      <c r="D2081" s="110" t="str">
        <f t="shared" si="16"/>
        <v>2048_1977</v>
      </c>
      <c r="E2081" s="1226">
        <v>0.12417080191598399</v>
      </c>
      <c r="F2081" s="1227">
        <v>5.2947801074663368E-2</v>
      </c>
      <c r="G2081" s="1227">
        <v>5.1254379093605804</v>
      </c>
      <c r="H2081" s="1227">
        <v>0.71107370738741793</v>
      </c>
      <c r="I2081" s="1227">
        <v>5.72286275317134E-2</v>
      </c>
      <c r="J2081" s="1227">
        <v>2.1631109086025775E-4</v>
      </c>
      <c r="K2081" s="1227">
        <v>3.0000008603782999E-3</v>
      </c>
      <c r="L2081" s="1228">
        <v>2.7963063262093399E-2</v>
      </c>
      <c r="M2081" s="1229">
        <v>5.98162521204239E-2</v>
      </c>
      <c r="N2081" s="1230">
        <v>2.2609171852270906E-4</v>
      </c>
    </row>
    <row r="2082" spans="1:14" ht="15.5" x14ac:dyDescent="0.35">
      <c r="A2082" s="199">
        <v>2048</v>
      </c>
      <c r="B2082" s="110" t="s">
        <v>5850</v>
      </c>
      <c r="C2082" s="110">
        <v>1978</v>
      </c>
      <c r="D2082" s="110" t="str">
        <f t="shared" si="16"/>
        <v>2048_1978</v>
      </c>
      <c r="E2082" s="1226">
        <v>0.12417080191598399</v>
      </c>
      <c r="F2082" s="1227">
        <v>5.2947801074663368E-2</v>
      </c>
      <c r="G2082" s="1227">
        <v>5.1254379093605804</v>
      </c>
      <c r="H2082" s="1227">
        <v>0.71107370738741793</v>
      </c>
      <c r="I2082" s="1227">
        <v>5.72286275317134E-2</v>
      </c>
      <c r="J2082" s="1227">
        <v>2.1631109086025775E-4</v>
      </c>
      <c r="K2082" s="1227">
        <v>3.0000008603782999E-3</v>
      </c>
      <c r="L2082" s="1228">
        <v>2.7963063262093399E-2</v>
      </c>
      <c r="M2082" s="1229">
        <v>5.98162521204239E-2</v>
      </c>
      <c r="N2082" s="1230">
        <v>2.2609171852270906E-4</v>
      </c>
    </row>
    <row r="2083" spans="1:14" ht="15.5" x14ac:dyDescent="0.35">
      <c r="A2083" s="199">
        <v>2048</v>
      </c>
      <c r="B2083" s="110" t="s">
        <v>5850</v>
      </c>
      <c r="C2083" s="110">
        <v>1979</v>
      </c>
      <c r="D2083" s="110" t="str">
        <f t="shared" si="16"/>
        <v>2048_1979</v>
      </c>
      <c r="E2083" s="1226">
        <v>0.12417080191598399</v>
      </c>
      <c r="F2083" s="1227">
        <v>5.2947801074663368E-2</v>
      </c>
      <c r="G2083" s="1227">
        <v>5.1254379093605804</v>
      </c>
      <c r="H2083" s="1227">
        <v>0.71107370738741793</v>
      </c>
      <c r="I2083" s="1227">
        <v>5.72286275317134E-2</v>
      </c>
      <c r="J2083" s="1227">
        <v>2.1631109086025775E-4</v>
      </c>
      <c r="K2083" s="1227">
        <v>3.0000008603782999E-3</v>
      </c>
      <c r="L2083" s="1228">
        <v>2.7963063262093399E-2</v>
      </c>
      <c r="M2083" s="1229">
        <v>5.98162521204239E-2</v>
      </c>
      <c r="N2083" s="1230">
        <v>2.2609171852270906E-4</v>
      </c>
    </row>
    <row r="2084" spans="1:14" ht="15.5" x14ac:dyDescent="0.35">
      <c r="A2084" s="199">
        <v>2048</v>
      </c>
      <c r="B2084" s="110" t="s">
        <v>5850</v>
      </c>
      <c r="C2084" s="110">
        <v>1980</v>
      </c>
      <c r="D2084" s="110" t="str">
        <f t="shared" si="16"/>
        <v>2048_1980</v>
      </c>
      <c r="E2084" s="1226">
        <v>0.12417080191598399</v>
      </c>
      <c r="F2084" s="1227">
        <v>5.2947801074663368E-2</v>
      </c>
      <c r="G2084" s="1227">
        <v>5.1254379093605804</v>
      </c>
      <c r="H2084" s="1227">
        <v>0.71107370738741793</v>
      </c>
      <c r="I2084" s="1227">
        <v>5.72286275317134E-2</v>
      </c>
      <c r="J2084" s="1227">
        <v>2.1631109086025775E-4</v>
      </c>
      <c r="K2084" s="1227">
        <v>3.0000008603782999E-3</v>
      </c>
      <c r="L2084" s="1228">
        <v>2.7963063262093399E-2</v>
      </c>
      <c r="M2084" s="1229">
        <v>5.98162521204239E-2</v>
      </c>
      <c r="N2084" s="1230">
        <v>2.2609171852270906E-4</v>
      </c>
    </row>
    <row r="2085" spans="1:14" ht="15.5" x14ac:dyDescent="0.35">
      <c r="A2085" s="199">
        <v>2048</v>
      </c>
      <c r="B2085" s="110" t="s">
        <v>5850</v>
      </c>
      <c r="C2085" s="110">
        <v>1981</v>
      </c>
      <c r="D2085" s="110" t="str">
        <f t="shared" si="16"/>
        <v>2048_1981</v>
      </c>
      <c r="E2085" s="1226">
        <v>0.12417080191598399</v>
      </c>
      <c r="F2085" s="1227">
        <v>5.2947801074663368E-2</v>
      </c>
      <c r="G2085" s="1227">
        <v>5.1254379093605804</v>
      </c>
      <c r="H2085" s="1227">
        <v>0.71107370738741793</v>
      </c>
      <c r="I2085" s="1227">
        <v>5.72286275317134E-2</v>
      </c>
      <c r="J2085" s="1227">
        <v>2.1631109086025775E-4</v>
      </c>
      <c r="K2085" s="1227">
        <v>3.0000008603782999E-3</v>
      </c>
      <c r="L2085" s="1228">
        <v>2.7963063262093399E-2</v>
      </c>
      <c r="M2085" s="1229">
        <v>5.98162521204239E-2</v>
      </c>
      <c r="N2085" s="1230">
        <v>2.2609171852270906E-4</v>
      </c>
    </row>
    <row r="2086" spans="1:14" ht="15.5" x14ac:dyDescent="0.35">
      <c r="A2086" s="199">
        <v>2048</v>
      </c>
      <c r="B2086" s="110" t="s">
        <v>5850</v>
      </c>
      <c r="C2086" s="110">
        <v>1982</v>
      </c>
      <c r="D2086" s="110" t="str">
        <f t="shared" si="16"/>
        <v>2048_1982</v>
      </c>
      <c r="E2086" s="1226">
        <v>0.12417080191598399</v>
      </c>
      <c r="F2086" s="1227">
        <v>5.2947801074663368E-2</v>
      </c>
      <c r="G2086" s="1227">
        <v>5.1254379093605804</v>
      </c>
      <c r="H2086" s="1227">
        <v>0.71107370738741793</v>
      </c>
      <c r="I2086" s="1227">
        <v>5.72286275317134E-2</v>
      </c>
      <c r="J2086" s="1227">
        <v>2.1631109086025775E-4</v>
      </c>
      <c r="K2086" s="1227">
        <v>3.0000008603782999E-3</v>
      </c>
      <c r="L2086" s="1228">
        <v>2.7963063262093399E-2</v>
      </c>
      <c r="M2086" s="1229">
        <v>5.98162521204239E-2</v>
      </c>
      <c r="N2086" s="1230">
        <v>2.2609171852270906E-4</v>
      </c>
    </row>
    <row r="2087" spans="1:14" ht="15.5" x14ac:dyDescent="0.35">
      <c r="A2087" s="199">
        <v>2048</v>
      </c>
      <c r="B2087" s="110" t="s">
        <v>5850</v>
      </c>
      <c r="C2087" s="110">
        <v>1983</v>
      </c>
      <c r="D2087" s="110" t="str">
        <f t="shared" si="16"/>
        <v>2048_1983</v>
      </c>
      <c r="E2087" s="1226">
        <v>0.12417080191598399</v>
      </c>
      <c r="F2087" s="1227">
        <v>5.2947801074663368E-2</v>
      </c>
      <c r="G2087" s="1227">
        <v>5.1254379093605804</v>
      </c>
      <c r="H2087" s="1227">
        <v>0.71107370738741793</v>
      </c>
      <c r="I2087" s="1227">
        <v>5.72286275317134E-2</v>
      </c>
      <c r="J2087" s="1227">
        <v>2.1631109086025775E-4</v>
      </c>
      <c r="K2087" s="1227">
        <v>3.0000008603782999E-3</v>
      </c>
      <c r="L2087" s="1228">
        <v>2.7963063262093399E-2</v>
      </c>
      <c r="M2087" s="1229">
        <v>5.98162521204239E-2</v>
      </c>
      <c r="N2087" s="1230">
        <v>2.2609171852270906E-4</v>
      </c>
    </row>
    <row r="2088" spans="1:14" ht="15.5" x14ac:dyDescent="0.35">
      <c r="A2088" s="199">
        <v>2048</v>
      </c>
      <c r="B2088" s="110" t="s">
        <v>5850</v>
      </c>
      <c r="C2088" s="110">
        <v>1984</v>
      </c>
      <c r="D2088" s="110" t="str">
        <f t="shared" si="16"/>
        <v>2048_1984</v>
      </c>
      <c r="E2088" s="1226">
        <v>0.12417080191598399</v>
      </c>
      <c r="F2088" s="1227">
        <v>5.2947801074663368E-2</v>
      </c>
      <c r="G2088" s="1227">
        <v>5.1254379093605804</v>
      </c>
      <c r="H2088" s="1227">
        <v>0.71107370738741793</v>
      </c>
      <c r="I2088" s="1227">
        <v>5.72286275317134E-2</v>
      </c>
      <c r="J2088" s="1227">
        <v>2.1631109086025775E-4</v>
      </c>
      <c r="K2088" s="1227">
        <v>3.0000008603782999E-3</v>
      </c>
      <c r="L2088" s="1228">
        <v>2.7963063262093399E-2</v>
      </c>
      <c r="M2088" s="1229">
        <v>5.98162521204239E-2</v>
      </c>
      <c r="N2088" s="1230">
        <v>2.2609171852270906E-4</v>
      </c>
    </row>
    <row r="2089" spans="1:14" ht="15.5" x14ac:dyDescent="0.35">
      <c r="A2089" s="199">
        <v>2048</v>
      </c>
      <c r="B2089" s="110" t="s">
        <v>5850</v>
      </c>
      <c r="C2089" s="110">
        <v>1985</v>
      </c>
      <c r="D2089" s="110" t="str">
        <f t="shared" si="16"/>
        <v>2048_1985</v>
      </c>
      <c r="E2089" s="1226">
        <v>0.12417080191598399</v>
      </c>
      <c r="F2089" s="1227">
        <v>5.2947801074663368E-2</v>
      </c>
      <c r="G2089" s="1227">
        <v>5.1254379093605804</v>
      </c>
      <c r="H2089" s="1227">
        <v>0.71107370738741793</v>
      </c>
      <c r="I2089" s="1227">
        <v>5.72286275317134E-2</v>
      </c>
      <c r="J2089" s="1227">
        <v>2.1631109086025775E-4</v>
      </c>
      <c r="K2089" s="1227">
        <v>3.0000008603782999E-3</v>
      </c>
      <c r="L2089" s="1228">
        <v>2.7963063262093399E-2</v>
      </c>
      <c r="M2089" s="1229">
        <v>5.98162521204239E-2</v>
      </c>
      <c r="N2089" s="1230">
        <v>2.2609171852270906E-4</v>
      </c>
    </row>
    <row r="2090" spans="1:14" ht="15.5" x14ac:dyDescent="0.35">
      <c r="A2090" s="199">
        <v>2048</v>
      </c>
      <c r="B2090" s="110" t="s">
        <v>5850</v>
      </c>
      <c r="C2090" s="110">
        <v>1986</v>
      </c>
      <c r="D2090" s="110" t="str">
        <f t="shared" si="16"/>
        <v>2048_1986</v>
      </c>
      <c r="E2090" s="1226">
        <v>0.12417080191598399</v>
      </c>
      <c r="F2090" s="1227">
        <v>5.2947801074663368E-2</v>
      </c>
      <c r="G2090" s="1227">
        <v>5.1254379093605804</v>
      </c>
      <c r="H2090" s="1227">
        <v>0.71107370738741793</v>
      </c>
      <c r="I2090" s="1227">
        <v>5.72286275317134E-2</v>
      </c>
      <c r="J2090" s="1227">
        <v>2.1631109086025775E-4</v>
      </c>
      <c r="K2090" s="1227">
        <v>3.0000008603782999E-3</v>
      </c>
      <c r="L2090" s="1228">
        <v>2.7963063262093399E-2</v>
      </c>
      <c r="M2090" s="1229">
        <v>5.98162521204239E-2</v>
      </c>
      <c r="N2090" s="1230">
        <v>2.2609171852270906E-4</v>
      </c>
    </row>
    <row r="2091" spans="1:14" ht="15.5" x14ac:dyDescent="0.35">
      <c r="A2091" s="199">
        <v>2048</v>
      </c>
      <c r="B2091" s="110" t="s">
        <v>5850</v>
      </c>
      <c r="C2091" s="110">
        <v>1987</v>
      </c>
      <c r="D2091" s="110" t="str">
        <f t="shared" si="16"/>
        <v>2048_1987</v>
      </c>
      <c r="E2091" s="1226">
        <v>0.12417080191598399</v>
      </c>
      <c r="F2091" s="1227">
        <v>5.2947801074663368E-2</v>
      </c>
      <c r="G2091" s="1227">
        <v>5.1254379093605804</v>
      </c>
      <c r="H2091" s="1227">
        <v>0.71107370738741793</v>
      </c>
      <c r="I2091" s="1227">
        <v>5.72286275317134E-2</v>
      </c>
      <c r="J2091" s="1227">
        <v>2.1631109086025775E-4</v>
      </c>
      <c r="K2091" s="1227">
        <v>3.0000008603782999E-3</v>
      </c>
      <c r="L2091" s="1228">
        <v>2.7963063262093399E-2</v>
      </c>
      <c r="M2091" s="1229">
        <v>5.98162521204239E-2</v>
      </c>
      <c r="N2091" s="1230">
        <v>2.2609171852270906E-4</v>
      </c>
    </row>
    <row r="2092" spans="1:14" ht="15.5" x14ac:dyDescent="0.35">
      <c r="A2092" s="199">
        <v>2048</v>
      </c>
      <c r="B2092" s="110" t="s">
        <v>5850</v>
      </c>
      <c r="C2092" s="110">
        <v>1988</v>
      </c>
      <c r="D2092" s="110" t="str">
        <f t="shared" si="16"/>
        <v>2048_1988</v>
      </c>
      <c r="E2092" s="1226">
        <v>0.12417080191598399</v>
      </c>
      <c r="F2092" s="1227">
        <v>5.2947801074663368E-2</v>
      </c>
      <c r="G2092" s="1227">
        <v>5.1254379093605804</v>
      </c>
      <c r="H2092" s="1227">
        <v>0.71107370738741793</v>
      </c>
      <c r="I2092" s="1227">
        <v>5.72286275317134E-2</v>
      </c>
      <c r="J2092" s="1227">
        <v>2.1631109086025775E-4</v>
      </c>
      <c r="K2092" s="1227">
        <v>3.0000008603782999E-3</v>
      </c>
      <c r="L2092" s="1228">
        <v>2.7963063262093399E-2</v>
      </c>
      <c r="M2092" s="1229">
        <v>5.98162521204239E-2</v>
      </c>
      <c r="N2092" s="1230">
        <v>2.2609171852270906E-4</v>
      </c>
    </row>
    <row r="2093" spans="1:14" ht="15.5" x14ac:dyDescent="0.35">
      <c r="A2093" s="199">
        <v>2048</v>
      </c>
      <c r="B2093" s="110" t="s">
        <v>5850</v>
      </c>
      <c r="C2093" s="110">
        <v>1989</v>
      </c>
      <c r="D2093" s="110" t="str">
        <f t="shared" si="16"/>
        <v>2048_1989</v>
      </c>
      <c r="E2093" s="1226">
        <v>0.12417080191598399</v>
      </c>
      <c r="F2093" s="1227">
        <v>5.2947801074663368E-2</v>
      </c>
      <c r="G2093" s="1227">
        <v>5.1254379093605804</v>
      </c>
      <c r="H2093" s="1227">
        <v>0.71107370738741793</v>
      </c>
      <c r="I2093" s="1227">
        <v>5.72286275317134E-2</v>
      </c>
      <c r="J2093" s="1227">
        <v>2.1631109086025775E-4</v>
      </c>
      <c r="K2093" s="1227">
        <v>3.0000008603782999E-3</v>
      </c>
      <c r="L2093" s="1228">
        <v>2.7963063262093399E-2</v>
      </c>
      <c r="M2093" s="1229">
        <v>5.98162521204239E-2</v>
      </c>
      <c r="N2093" s="1230">
        <v>2.2609171852270906E-4</v>
      </c>
    </row>
    <row r="2094" spans="1:14" ht="15.5" x14ac:dyDescent="0.35">
      <c r="A2094" s="199">
        <v>2048</v>
      </c>
      <c r="B2094" s="110" t="s">
        <v>5850</v>
      </c>
      <c r="C2094" s="110">
        <v>1990</v>
      </c>
      <c r="D2094" s="110" t="str">
        <f t="shared" si="16"/>
        <v>2048_1990</v>
      </c>
      <c r="E2094" s="1226">
        <v>0.12417080191598399</v>
      </c>
      <c r="F2094" s="1227">
        <v>5.2947801074663368E-2</v>
      </c>
      <c r="G2094" s="1227">
        <v>5.1254379093605804</v>
      </c>
      <c r="H2094" s="1227">
        <v>0.71107370738741793</v>
      </c>
      <c r="I2094" s="1227">
        <v>5.72286275317134E-2</v>
      </c>
      <c r="J2094" s="1227">
        <v>2.1631109086025775E-4</v>
      </c>
      <c r="K2094" s="1227">
        <v>3.0000008603782999E-3</v>
      </c>
      <c r="L2094" s="1228">
        <v>2.7963063262093399E-2</v>
      </c>
      <c r="M2094" s="1229">
        <v>5.98162521204239E-2</v>
      </c>
      <c r="N2094" s="1230">
        <v>2.2609171852270906E-4</v>
      </c>
    </row>
    <row r="2095" spans="1:14" ht="15.5" x14ac:dyDescent="0.35">
      <c r="A2095" s="199">
        <v>2048</v>
      </c>
      <c r="B2095" s="110" t="s">
        <v>5850</v>
      </c>
      <c r="C2095" s="110">
        <v>1991</v>
      </c>
      <c r="D2095" s="110" t="str">
        <f t="shared" si="16"/>
        <v>2048_1991</v>
      </c>
      <c r="E2095" s="1226">
        <v>0.12417080191598399</v>
      </c>
      <c r="F2095" s="1227">
        <v>5.2947801074663368E-2</v>
      </c>
      <c r="G2095" s="1227">
        <v>5.1254379093605804</v>
      </c>
      <c r="H2095" s="1227">
        <v>0.71107370738741793</v>
      </c>
      <c r="I2095" s="1227">
        <v>5.72286275317134E-2</v>
      </c>
      <c r="J2095" s="1227">
        <v>2.1631109086025775E-4</v>
      </c>
      <c r="K2095" s="1227">
        <v>3.0000008603782999E-3</v>
      </c>
      <c r="L2095" s="1228">
        <v>2.7963063262093399E-2</v>
      </c>
      <c r="M2095" s="1229">
        <v>5.98162521204239E-2</v>
      </c>
      <c r="N2095" s="1230">
        <v>2.2609171852270906E-4</v>
      </c>
    </row>
    <row r="2096" spans="1:14" ht="15.5" x14ac:dyDescent="0.35">
      <c r="A2096" s="199">
        <v>2048</v>
      </c>
      <c r="B2096" s="110" t="s">
        <v>5850</v>
      </c>
      <c r="C2096" s="110">
        <v>1992</v>
      </c>
      <c r="D2096" s="110" t="str">
        <f t="shared" si="16"/>
        <v>2048_1992</v>
      </c>
      <c r="E2096" s="1226">
        <v>0.12417080191598399</v>
      </c>
      <c r="F2096" s="1227">
        <v>5.2947801074663368E-2</v>
      </c>
      <c r="G2096" s="1227">
        <v>5.1254379093605804</v>
      </c>
      <c r="H2096" s="1227">
        <v>0.71107370738741793</v>
      </c>
      <c r="I2096" s="1227">
        <v>5.72286275317134E-2</v>
      </c>
      <c r="J2096" s="1227">
        <v>2.1631109086025775E-4</v>
      </c>
      <c r="K2096" s="1227">
        <v>3.0000008603782999E-3</v>
      </c>
      <c r="L2096" s="1228">
        <v>2.7963063262093399E-2</v>
      </c>
      <c r="M2096" s="1229">
        <v>5.98162521204239E-2</v>
      </c>
      <c r="N2096" s="1230">
        <v>2.2609171852270906E-4</v>
      </c>
    </row>
    <row r="2097" spans="1:14" ht="15.5" x14ac:dyDescent="0.35">
      <c r="A2097" s="199">
        <v>2048</v>
      </c>
      <c r="B2097" s="110" t="s">
        <v>5850</v>
      </c>
      <c r="C2097" s="110">
        <v>1993</v>
      </c>
      <c r="D2097" s="110" t="str">
        <f t="shared" si="16"/>
        <v>2048_1993</v>
      </c>
      <c r="E2097" s="1226">
        <v>0.12417080191598399</v>
      </c>
      <c r="F2097" s="1227">
        <v>5.2947801074663368E-2</v>
      </c>
      <c r="G2097" s="1227">
        <v>5.1254379093605804</v>
      </c>
      <c r="H2097" s="1227">
        <v>0.71107370738741793</v>
      </c>
      <c r="I2097" s="1227">
        <v>5.72286275317134E-2</v>
      </c>
      <c r="J2097" s="1227">
        <v>2.1631109086025775E-4</v>
      </c>
      <c r="K2097" s="1227">
        <v>3.0000008603782999E-3</v>
      </c>
      <c r="L2097" s="1228">
        <v>2.7963063262093399E-2</v>
      </c>
      <c r="M2097" s="1229">
        <v>5.98162521204239E-2</v>
      </c>
      <c r="N2097" s="1230">
        <v>2.2609171852270906E-4</v>
      </c>
    </row>
    <row r="2098" spans="1:14" ht="15.5" x14ac:dyDescent="0.35">
      <c r="A2098" s="199">
        <v>2048</v>
      </c>
      <c r="B2098" s="110" t="s">
        <v>5850</v>
      </c>
      <c r="C2098" s="110">
        <v>1994</v>
      </c>
      <c r="D2098" s="110" t="str">
        <f t="shared" si="16"/>
        <v>2048_1994</v>
      </c>
      <c r="E2098" s="1226">
        <v>0.12417080191598399</v>
      </c>
      <c r="F2098" s="1227">
        <v>5.2947801074663368E-2</v>
      </c>
      <c r="G2098" s="1227">
        <v>5.1254379093605804</v>
      </c>
      <c r="H2098" s="1227">
        <v>0.71107370738741793</v>
      </c>
      <c r="I2098" s="1227">
        <v>5.72286275317134E-2</v>
      </c>
      <c r="J2098" s="1227">
        <v>2.1631109086025775E-4</v>
      </c>
      <c r="K2098" s="1227">
        <v>3.0000008603782999E-3</v>
      </c>
      <c r="L2098" s="1228">
        <v>2.7963063262093399E-2</v>
      </c>
      <c r="M2098" s="1229">
        <v>5.98162521204239E-2</v>
      </c>
      <c r="N2098" s="1230">
        <v>2.2609171852270906E-4</v>
      </c>
    </row>
    <row r="2099" spans="1:14" ht="15.5" x14ac:dyDescent="0.35">
      <c r="A2099" s="199">
        <v>2048</v>
      </c>
      <c r="B2099" s="110" t="s">
        <v>5850</v>
      </c>
      <c r="C2099" s="110">
        <v>1995</v>
      </c>
      <c r="D2099" s="110" t="str">
        <f t="shared" si="16"/>
        <v>2048_1995</v>
      </c>
      <c r="E2099" s="1226">
        <v>0.12417080191598399</v>
      </c>
      <c r="F2099" s="1227">
        <v>5.2947801074663368E-2</v>
      </c>
      <c r="G2099" s="1227">
        <v>5.1254379093605804</v>
      </c>
      <c r="H2099" s="1227">
        <v>0.71107370738741793</v>
      </c>
      <c r="I2099" s="1227">
        <v>5.72286275317134E-2</v>
      </c>
      <c r="J2099" s="1227">
        <v>2.1631109086025775E-4</v>
      </c>
      <c r="K2099" s="1227">
        <v>3.0000008603782999E-3</v>
      </c>
      <c r="L2099" s="1228">
        <v>2.7963063262093399E-2</v>
      </c>
      <c r="M2099" s="1229">
        <v>5.98162521204239E-2</v>
      </c>
      <c r="N2099" s="1230">
        <v>2.2609171852270906E-4</v>
      </c>
    </row>
    <row r="2100" spans="1:14" ht="15.5" x14ac:dyDescent="0.35">
      <c r="A2100" s="199">
        <v>2048</v>
      </c>
      <c r="B2100" s="110" t="s">
        <v>5850</v>
      </c>
      <c r="C2100" s="110">
        <v>1996</v>
      </c>
      <c r="D2100" s="110" t="str">
        <f t="shared" si="16"/>
        <v>2048_1996</v>
      </c>
      <c r="E2100" s="1226">
        <v>0.12417080191598399</v>
      </c>
      <c r="F2100" s="1227">
        <v>5.2947801074663368E-2</v>
      </c>
      <c r="G2100" s="1227">
        <v>5.1254379093605804</v>
      </c>
      <c r="H2100" s="1227">
        <v>0.71107370738741793</v>
      </c>
      <c r="I2100" s="1227">
        <v>5.72286275317134E-2</v>
      </c>
      <c r="J2100" s="1227">
        <v>2.1631109086025775E-4</v>
      </c>
      <c r="K2100" s="1227">
        <v>3.0000008603782999E-3</v>
      </c>
      <c r="L2100" s="1228">
        <v>2.7963063262093399E-2</v>
      </c>
      <c r="M2100" s="1229">
        <v>5.98162521204239E-2</v>
      </c>
      <c r="N2100" s="1230">
        <v>2.2609171852270906E-4</v>
      </c>
    </row>
    <row r="2101" spans="1:14" ht="15.5" x14ac:dyDescent="0.35">
      <c r="A2101" s="199">
        <v>2048</v>
      </c>
      <c r="B2101" s="110" t="s">
        <v>5850</v>
      </c>
      <c r="C2101" s="110">
        <v>1997</v>
      </c>
      <c r="D2101" s="110" t="str">
        <f t="shared" si="16"/>
        <v>2048_1997</v>
      </c>
      <c r="E2101" s="1226">
        <v>0.12417080191598399</v>
      </c>
      <c r="F2101" s="1227">
        <v>5.2947801074663368E-2</v>
      </c>
      <c r="G2101" s="1227">
        <v>5.1254379093605804</v>
      </c>
      <c r="H2101" s="1227">
        <v>0.71107370738741793</v>
      </c>
      <c r="I2101" s="1227">
        <v>5.72286275317134E-2</v>
      </c>
      <c r="J2101" s="1227">
        <v>2.1631109086025775E-4</v>
      </c>
      <c r="K2101" s="1227">
        <v>3.0000008603782999E-3</v>
      </c>
      <c r="L2101" s="1228">
        <v>2.7963063262093399E-2</v>
      </c>
      <c r="M2101" s="1229">
        <v>5.98162521204239E-2</v>
      </c>
      <c r="N2101" s="1230">
        <v>2.2609171852270906E-4</v>
      </c>
    </row>
    <row r="2102" spans="1:14" ht="15.5" x14ac:dyDescent="0.35">
      <c r="A2102" s="199">
        <v>2048</v>
      </c>
      <c r="B2102" s="110" t="s">
        <v>5850</v>
      </c>
      <c r="C2102" s="110">
        <v>1998</v>
      </c>
      <c r="D2102" s="110" t="str">
        <f t="shared" si="16"/>
        <v>2048_1998</v>
      </c>
      <c r="E2102" s="1226">
        <v>0.12417080191598399</v>
      </c>
      <c r="F2102" s="1227">
        <v>5.2947801074663368E-2</v>
      </c>
      <c r="G2102" s="1227">
        <v>5.1254379093605804</v>
      </c>
      <c r="H2102" s="1227">
        <v>0.71107370738741793</v>
      </c>
      <c r="I2102" s="1227">
        <v>5.72286275317134E-2</v>
      </c>
      <c r="J2102" s="1227">
        <v>2.1631109086025775E-4</v>
      </c>
      <c r="K2102" s="1227">
        <v>3.0000008603782999E-3</v>
      </c>
      <c r="L2102" s="1228">
        <v>2.7963063262093399E-2</v>
      </c>
      <c r="M2102" s="1229">
        <v>5.98162521204239E-2</v>
      </c>
      <c r="N2102" s="1230">
        <v>2.2609171852270906E-4</v>
      </c>
    </row>
    <row r="2103" spans="1:14" ht="15.5" x14ac:dyDescent="0.35">
      <c r="A2103" s="199">
        <v>2048</v>
      </c>
      <c r="B2103" s="110" t="s">
        <v>5850</v>
      </c>
      <c r="C2103" s="110">
        <v>1999</v>
      </c>
      <c r="D2103" s="110" t="str">
        <f t="shared" si="16"/>
        <v>2048_1999</v>
      </c>
      <c r="E2103" s="1226">
        <v>0.12417080191598399</v>
      </c>
      <c r="F2103" s="1227">
        <v>5.2947801074663368E-2</v>
      </c>
      <c r="G2103" s="1227">
        <v>5.1254379093605804</v>
      </c>
      <c r="H2103" s="1227">
        <v>0.71107370738741793</v>
      </c>
      <c r="I2103" s="1227">
        <v>5.72286275317134E-2</v>
      </c>
      <c r="J2103" s="1227">
        <v>2.1631109086025775E-4</v>
      </c>
      <c r="K2103" s="1227">
        <v>3.0000008603782999E-3</v>
      </c>
      <c r="L2103" s="1228">
        <v>2.7963063262093399E-2</v>
      </c>
      <c r="M2103" s="1229">
        <v>5.98162521204239E-2</v>
      </c>
      <c r="N2103" s="1230">
        <v>2.2609171852270906E-4</v>
      </c>
    </row>
    <row r="2104" spans="1:14" ht="15.5" x14ac:dyDescent="0.35">
      <c r="A2104" s="199">
        <v>2048</v>
      </c>
      <c r="B2104" s="110" t="s">
        <v>5850</v>
      </c>
      <c r="C2104" s="110">
        <v>2000</v>
      </c>
      <c r="D2104" s="110" t="str">
        <f t="shared" si="16"/>
        <v>2048_2000</v>
      </c>
      <c r="E2104" s="1226">
        <v>0.12417080191598399</v>
      </c>
      <c r="F2104" s="1227">
        <v>5.2947801074663368E-2</v>
      </c>
      <c r="G2104" s="1227">
        <v>5.1254379093605804</v>
      </c>
      <c r="H2104" s="1227">
        <v>0.71107370738741793</v>
      </c>
      <c r="I2104" s="1227">
        <v>5.72286275317134E-2</v>
      </c>
      <c r="J2104" s="1227">
        <v>2.1631109086025775E-4</v>
      </c>
      <c r="K2104" s="1227">
        <v>3.0000008603782999E-3</v>
      </c>
      <c r="L2104" s="1228">
        <v>2.7963063262093399E-2</v>
      </c>
      <c r="M2104" s="1229">
        <v>5.98162521204239E-2</v>
      </c>
      <c r="N2104" s="1230">
        <v>2.2609171852270906E-4</v>
      </c>
    </row>
    <row r="2105" spans="1:14" ht="15.5" x14ac:dyDescent="0.35">
      <c r="A2105" s="199">
        <v>2048</v>
      </c>
      <c r="B2105" s="110" t="s">
        <v>5850</v>
      </c>
      <c r="C2105" s="110">
        <v>2001</v>
      </c>
      <c r="D2105" s="110" t="str">
        <f t="shared" si="16"/>
        <v>2048_2001</v>
      </c>
      <c r="E2105" s="1226">
        <v>0.12417080191598399</v>
      </c>
      <c r="F2105" s="1227">
        <v>5.2947801074663368E-2</v>
      </c>
      <c r="G2105" s="1227">
        <v>5.1254379093605804</v>
      </c>
      <c r="H2105" s="1227">
        <v>0.71107370738741793</v>
      </c>
      <c r="I2105" s="1227">
        <v>5.72286275317134E-2</v>
      </c>
      <c r="J2105" s="1227">
        <v>2.1631109086025775E-4</v>
      </c>
      <c r="K2105" s="1227">
        <v>3.0000008603782999E-3</v>
      </c>
      <c r="L2105" s="1228">
        <v>2.7963063262093399E-2</v>
      </c>
      <c r="M2105" s="1229">
        <v>5.98162521204239E-2</v>
      </c>
      <c r="N2105" s="1230">
        <v>2.2609171852270906E-4</v>
      </c>
    </row>
    <row r="2106" spans="1:14" ht="15.5" x14ac:dyDescent="0.35">
      <c r="A2106" s="199">
        <v>2048</v>
      </c>
      <c r="B2106" s="110" t="s">
        <v>5850</v>
      </c>
      <c r="C2106" s="110">
        <v>2002</v>
      </c>
      <c r="D2106" s="110" t="str">
        <f t="shared" si="16"/>
        <v>2048_2002</v>
      </c>
      <c r="E2106" s="1226">
        <v>0.12417080191598399</v>
      </c>
      <c r="F2106" s="1227">
        <v>5.2947801074663368E-2</v>
      </c>
      <c r="G2106" s="1227">
        <v>5.1254379093605804</v>
      </c>
      <c r="H2106" s="1227">
        <v>0.71107370738741793</v>
      </c>
      <c r="I2106" s="1227">
        <v>5.72286275317134E-2</v>
      </c>
      <c r="J2106" s="1227">
        <v>2.1631109086025775E-4</v>
      </c>
      <c r="K2106" s="1227">
        <v>3.0000008603782999E-3</v>
      </c>
      <c r="L2106" s="1228">
        <v>2.7963063262093399E-2</v>
      </c>
      <c r="M2106" s="1229">
        <v>5.98162521204239E-2</v>
      </c>
      <c r="N2106" s="1230">
        <v>2.2609171852270906E-4</v>
      </c>
    </row>
    <row r="2107" spans="1:14" ht="15.5" x14ac:dyDescent="0.35">
      <c r="A2107" s="199">
        <v>2048</v>
      </c>
      <c r="B2107" s="110" t="s">
        <v>5850</v>
      </c>
      <c r="C2107" s="110">
        <v>2003</v>
      </c>
      <c r="D2107" s="110" t="str">
        <f t="shared" si="16"/>
        <v>2048_2003</v>
      </c>
      <c r="E2107" s="1226">
        <v>0.12417080191598399</v>
      </c>
      <c r="F2107" s="1227">
        <v>5.2947801074663368E-2</v>
      </c>
      <c r="G2107" s="1227">
        <v>5.1254379093605804</v>
      </c>
      <c r="H2107" s="1227">
        <v>0.71107370738741793</v>
      </c>
      <c r="I2107" s="1227">
        <v>5.72286275317134E-2</v>
      </c>
      <c r="J2107" s="1227">
        <v>2.1631109086025775E-4</v>
      </c>
      <c r="K2107" s="1227">
        <v>3.0000008603782999E-3</v>
      </c>
      <c r="L2107" s="1228">
        <v>2.7963063262093399E-2</v>
      </c>
      <c r="M2107" s="1229">
        <v>5.98162521204239E-2</v>
      </c>
      <c r="N2107" s="1230">
        <v>2.2609171852270906E-4</v>
      </c>
    </row>
    <row r="2108" spans="1:14" ht="15.5" x14ac:dyDescent="0.35">
      <c r="A2108" s="199">
        <v>2048</v>
      </c>
      <c r="B2108" s="110" t="s">
        <v>5850</v>
      </c>
      <c r="C2108" s="110">
        <v>2004</v>
      </c>
      <c r="D2108" s="110" t="str">
        <f t="shared" si="16"/>
        <v>2048_2004</v>
      </c>
      <c r="E2108" s="1226">
        <v>0.12417080191598399</v>
      </c>
      <c r="F2108" s="1227">
        <v>5.2947801074663368E-2</v>
      </c>
      <c r="G2108" s="1227">
        <v>5.1254379093605804</v>
      </c>
      <c r="H2108" s="1227">
        <v>0.71107370738741793</v>
      </c>
      <c r="I2108" s="1227">
        <v>5.72286275317134E-2</v>
      </c>
      <c r="J2108" s="1227">
        <v>2.1631109086025775E-4</v>
      </c>
      <c r="K2108" s="1227">
        <v>3.0000008603782999E-3</v>
      </c>
      <c r="L2108" s="1228">
        <v>2.7963063262093399E-2</v>
      </c>
      <c r="M2108" s="1229">
        <v>5.98162521204239E-2</v>
      </c>
      <c r="N2108" s="1230">
        <v>2.2609171852270906E-4</v>
      </c>
    </row>
    <row r="2109" spans="1:14" ht="15.5" x14ac:dyDescent="0.35">
      <c r="A2109" s="199">
        <v>2048</v>
      </c>
      <c r="B2109" s="110" t="s">
        <v>5850</v>
      </c>
      <c r="C2109" s="110">
        <v>2005</v>
      </c>
      <c r="D2109" s="110" t="str">
        <f t="shared" si="16"/>
        <v>2048_2005</v>
      </c>
      <c r="E2109" s="1226">
        <v>0.12417080191598399</v>
      </c>
      <c r="F2109" s="1227">
        <v>5.2947801074663368E-2</v>
      </c>
      <c r="G2109" s="1227">
        <v>5.1254379093605804</v>
      </c>
      <c r="H2109" s="1227">
        <v>0.71107370738741793</v>
      </c>
      <c r="I2109" s="1227">
        <v>5.72286275317134E-2</v>
      </c>
      <c r="J2109" s="1227">
        <v>2.1631109086025775E-4</v>
      </c>
      <c r="K2109" s="1227">
        <v>3.0000008603782999E-3</v>
      </c>
      <c r="L2109" s="1228">
        <v>2.7963063262093399E-2</v>
      </c>
      <c r="M2109" s="1229">
        <v>5.98162521204239E-2</v>
      </c>
      <c r="N2109" s="1230">
        <v>2.2609171852270906E-4</v>
      </c>
    </row>
    <row r="2110" spans="1:14" ht="15.5" x14ac:dyDescent="0.35">
      <c r="A2110" s="199">
        <v>2048</v>
      </c>
      <c r="B2110" s="110" t="s">
        <v>5850</v>
      </c>
      <c r="C2110" s="110">
        <v>2006</v>
      </c>
      <c r="D2110" s="110" t="str">
        <f t="shared" si="16"/>
        <v>2048_2006</v>
      </c>
      <c r="E2110" s="1226">
        <v>0.12417080191598399</v>
      </c>
      <c r="F2110" s="1227">
        <v>5.2947801074663368E-2</v>
      </c>
      <c r="G2110" s="1227">
        <v>5.1254379093605804</v>
      </c>
      <c r="H2110" s="1227">
        <v>0.71107370738741793</v>
      </c>
      <c r="I2110" s="1227">
        <v>5.72286275317134E-2</v>
      </c>
      <c r="J2110" s="1227">
        <v>2.1631109086025775E-4</v>
      </c>
      <c r="K2110" s="1227">
        <v>3.0000008603782999E-3</v>
      </c>
      <c r="L2110" s="1228">
        <v>2.7963063262093399E-2</v>
      </c>
      <c r="M2110" s="1229">
        <v>5.98162521204239E-2</v>
      </c>
      <c r="N2110" s="1230">
        <v>2.2609171852270906E-4</v>
      </c>
    </row>
    <row r="2111" spans="1:14" ht="15.5" x14ac:dyDescent="0.35">
      <c r="A2111" s="199">
        <v>2048</v>
      </c>
      <c r="B2111" s="110" t="s">
        <v>5850</v>
      </c>
      <c r="C2111" s="110">
        <v>2007</v>
      </c>
      <c r="D2111" s="110" t="str">
        <f t="shared" si="16"/>
        <v>2048_2007</v>
      </c>
      <c r="E2111" s="1226">
        <v>0.12417080191598399</v>
      </c>
      <c r="F2111" s="1227">
        <v>5.2947801074663368E-2</v>
      </c>
      <c r="G2111" s="1227">
        <v>5.1254379093605804</v>
      </c>
      <c r="H2111" s="1227">
        <v>0.71107370738741793</v>
      </c>
      <c r="I2111" s="1227">
        <v>5.72286275317134E-2</v>
      </c>
      <c r="J2111" s="1227">
        <v>2.1631109086025775E-4</v>
      </c>
      <c r="K2111" s="1227">
        <v>3.0000008603782999E-3</v>
      </c>
      <c r="L2111" s="1228">
        <v>2.7963063262093399E-2</v>
      </c>
      <c r="M2111" s="1229">
        <v>5.98162521204239E-2</v>
      </c>
      <c r="N2111" s="1230">
        <v>2.2609171852270906E-4</v>
      </c>
    </row>
    <row r="2112" spans="1:14" ht="15.5" x14ac:dyDescent="0.35">
      <c r="A2112" s="199">
        <v>2048</v>
      </c>
      <c r="B2112" s="110" t="s">
        <v>5850</v>
      </c>
      <c r="C2112" s="110">
        <v>2008</v>
      </c>
      <c r="D2112" s="110" t="str">
        <f t="shared" si="16"/>
        <v>2048_2008</v>
      </c>
      <c r="E2112" s="1226">
        <v>0.12417080191598399</v>
      </c>
      <c r="F2112" s="1227">
        <v>5.2947801074663368E-2</v>
      </c>
      <c r="G2112" s="1227">
        <v>5.1254379093605804</v>
      </c>
      <c r="H2112" s="1227">
        <v>0.71107370738741793</v>
      </c>
      <c r="I2112" s="1227">
        <v>5.72286275317134E-2</v>
      </c>
      <c r="J2112" s="1227">
        <v>2.1631109086025775E-4</v>
      </c>
      <c r="K2112" s="1227">
        <v>3.0000008603782999E-3</v>
      </c>
      <c r="L2112" s="1228">
        <v>2.7963063262093399E-2</v>
      </c>
      <c r="M2112" s="1229">
        <v>5.98162521204239E-2</v>
      </c>
      <c r="N2112" s="1230">
        <v>2.2609171852270906E-4</v>
      </c>
    </row>
    <row r="2113" spans="1:14" ht="15.5" x14ac:dyDescent="0.35">
      <c r="A2113" s="199">
        <v>2048</v>
      </c>
      <c r="B2113" s="110" t="s">
        <v>5850</v>
      </c>
      <c r="C2113" s="110">
        <v>2009</v>
      </c>
      <c r="D2113" s="110" t="str">
        <f t="shared" si="16"/>
        <v>2048_2009</v>
      </c>
      <c r="E2113" s="1226">
        <v>0.12417080191598399</v>
      </c>
      <c r="F2113" s="1227">
        <v>5.2947801074663368E-2</v>
      </c>
      <c r="G2113" s="1227">
        <v>5.1254379093605804</v>
      </c>
      <c r="H2113" s="1227">
        <v>0.71107370738741793</v>
      </c>
      <c r="I2113" s="1227">
        <v>5.72286275317134E-2</v>
      </c>
      <c r="J2113" s="1227">
        <v>2.1631109086025775E-4</v>
      </c>
      <c r="K2113" s="1227">
        <v>3.0000008603782999E-3</v>
      </c>
      <c r="L2113" s="1228">
        <v>2.7963063262093399E-2</v>
      </c>
      <c r="M2113" s="1229">
        <v>5.98162521204239E-2</v>
      </c>
      <c r="N2113" s="1230">
        <v>2.2609171852270906E-4</v>
      </c>
    </row>
    <row r="2114" spans="1:14" ht="15.5" x14ac:dyDescent="0.35">
      <c r="A2114" s="199">
        <v>2048</v>
      </c>
      <c r="B2114" s="110" t="s">
        <v>5850</v>
      </c>
      <c r="C2114" s="110">
        <v>2010</v>
      </c>
      <c r="D2114" s="110" t="str">
        <f t="shared" si="16"/>
        <v>2048_2010</v>
      </c>
      <c r="E2114" s="1226">
        <v>0.12417080191598399</v>
      </c>
      <c r="F2114" s="1227">
        <v>5.2947801074663368E-2</v>
      </c>
      <c r="G2114" s="1227">
        <v>5.1254379093605804</v>
      </c>
      <c r="H2114" s="1227">
        <v>0.71107370738741793</v>
      </c>
      <c r="I2114" s="1227">
        <v>5.72286275317134E-2</v>
      </c>
      <c r="J2114" s="1227">
        <v>2.1631109086025775E-4</v>
      </c>
      <c r="K2114" s="1227">
        <v>3.0000008603782999E-3</v>
      </c>
      <c r="L2114" s="1228">
        <v>2.7963063262093399E-2</v>
      </c>
      <c r="M2114" s="1229">
        <v>5.98162521204239E-2</v>
      </c>
      <c r="N2114" s="1230">
        <v>2.2609171852270906E-4</v>
      </c>
    </row>
    <row r="2115" spans="1:14" ht="15.5" x14ac:dyDescent="0.35">
      <c r="A2115" s="199">
        <v>2048</v>
      </c>
      <c r="B2115" s="110" t="s">
        <v>5850</v>
      </c>
      <c r="C2115" s="110">
        <v>2011</v>
      </c>
      <c r="D2115" s="110" t="str">
        <f t="shared" si="16"/>
        <v>2048_2011</v>
      </c>
      <c r="E2115" s="1231">
        <v>0.12417080191598399</v>
      </c>
      <c r="F2115" s="1232">
        <v>5.2947801074663368E-2</v>
      </c>
      <c r="G2115" s="1232">
        <v>5.1254379093605804</v>
      </c>
      <c r="H2115" s="1232">
        <v>0.71107370738741793</v>
      </c>
      <c r="I2115" s="1232">
        <v>5.72286275317134E-2</v>
      </c>
      <c r="J2115" s="1232">
        <v>2.1631109086025775E-4</v>
      </c>
      <c r="K2115" s="1232">
        <v>3.0000008603782999E-3</v>
      </c>
      <c r="L2115" s="1233">
        <v>2.7963063262093399E-2</v>
      </c>
      <c r="M2115" s="1234">
        <v>5.98162521204239E-2</v>
      </c>
      <c r="N2115" s="1235">
        <v>2.2609171852270906E-4</v>
      </c>
    </row>
    <row r="2116" spans="1:14" ht="15.5" x14ac:dyDescent="0.35">
      <c r="A2116" s="199">
        <v>2048</v>
      </c>
      <c r="B2116" s="110" t="s">
        <v>5850</v>
      </c>
      <c r="C2116" s="110">
        <v>2012</v>
      </c>
      <c r="D2116" s="110" t="str">
        <f t="shared" si="16"/>
        <v>2048_2012</v>
      </c>
      <c r="E2116" s="1231">
        <v>2.5042912880760399E-2</v>
      </c>
      <c r="F2116" s="1232">
        <v>5.3125249536587919E-2</v>
      </c>
      <c r="G2116" s="1232">
        <v>4.4684566123293399</v>
      </c>
      <c r="H2116" s="1232">
        <v>0.62777771881096311</v>
      </c>
      <c r="I2116" s="1232">
        <v>3.3199680538025599E-2</v>
      </c>
      <c r="J2116" s="1232">
        <v>2.163110908602578E-4</v>
      </c>
      <c r="K2116" s="1232">
        <v>3.0000008603782999E-3</v>
      </c>
      <c r="L2116" s="1233">
        <v>2.7963063262237398E-2</v>
      </c>
      <c r="M2116" s="1234">
        <v>3.4700822770554599E-2</v>
      </c>
      <c r="N2116" s="1235">
        <v>2.2609171852270912E-4</v>
      </c>
    </row>
    <row r="2117" spans="1:14" ht="15.5" x14ac:dyDescent="0.35">
      <c r="A2117" s="199">
        <v>2048</v>
      </c>
      <c r="B2117" s="110" t="s">
        <v>5850</v>
      </c>
      <c r="C2117" s="110">
        <v>2013</v>
      </c>
      <c r="D2117" s="110" t="str">
        <f t="shared" si="16"/>
        <v>2048_2013</v>
      </c>
      <c r="E2117" s="1231">
        <v>2.4725548452925E-2</v>
      </c>
      <c r="F2117" s="1232">
        <v>5.312524953658801E-2</v>
      </c>
      <c r="G2117" s="1232">
        <v>4.2166118755679198</v>
      </c>
      <c r="H2117" s="1232">
        <v>0.62777771881096545</v>
      </c>
      <c r="I2117" s="1232">
        <v>3.2285411006578099E-2</v>
      </c>
      <c r="J2117" s="1232">
        <v>2.1631109086025818E-4</v>
      </c>
      <c r="K2117" s="1232">
        <v>3.0000008603782999E-3</v>
      </c>
      <c r="L2117" s="1233">
        <v>2.79630632622253E-2</v>
      </c>
      <c r="M2117" s="1234">
        <v>3.3745214027905999E-2</v>
      </c>
      <c r="N2117" s="1235">
        <v>2.260917185227095E-4</v>
      </c>
    </row>
    <row r="2118" spans="1:14" ht="15.5" x14ac:dyDescent="0.35">
      <c r="A2118" s="199">
        <v>2048</v>
      </c>
      <c r="B2118" s="110" t="s">
        <v>5850</v>
      </c>
      <c r="C2118" s="110">
        <v>2014</v>
      </c>
      <c r="D2118" s="110" t="str">
        <f t="shared" si="16"/>
        <v>2048_2014</v>
      </c>
      <c r="E2118" s="1231">
        <v>1.2166956690595299E-2</v>
      </c>
      <c r="F2118" s="1232">
        <v>5.3125249536588197E-2</v>
      </c>
      <c r="G2118" s="1232">
        <v>1.5878464618288399</v>
      </c>
      <c r="H2118" s="1232">
        <v>0.62777771881096767</v>
      </c>
      <c r="I2118" s="1232">
        <v>3.7552361934775597E-2</v>
      </c>
      <c r="J2118" s="1232">
        <v>2.1631109086025894E-4</v>
      </c>
      <c r="K2118" s="1232">
        <v>3.0000008603782999E-3</v>
      </c>
      <c r="L2118" s="1233">
        <v>2.7963063262119701E-2</v>
      </c>
      <c r="M2118" s="1234">
        <v>3.9250313105327998E-2</v>
      </c>
      <c r="N2118" s="1235">
        <v>2.2609171852271028E-4</v>
      </c>
    </row>
    <row r="2119" spans="1:14" ht="15.5" x14ac:dyDescent="0.35">
      <c r="A2119" s="199">
        <v>2048</v>
      </c>
      <c r="B2119" s="110" t="s">
        <v>5850</v>
      </c>
      <c r="C2119" s="110">
        <v>2015</v>
      </c>
      <c r="D2119" s="110" t="str">
        <f t="shared" si="16"/>
        <v>2048_2015</v>
      </c>
      <c r="E2119" s="1231">
        <v>1.2166956690603701E-2</v>
      </c>
      <c r="F2119" s="1232">
        <v>5.3125249536587954E-2</v>
      </c>
      <c r="G2119" s="1232">
        <v>1.5878464618294801</v>
      </c>
      <c r="H2119" s="1232">
        <v>0.62777771881096356</v>
      </c>
      <c r="I2119" s="1232">
        <v>3.7552361934689603E-2</v>
      </c>
      <c r="J2119" s="1232">
        <v>2.1631109086025794E-4</v>
      </c>
      <c r="K2119" s="1232">
        <v>3.0000008603782999E-3</v>
      </c>
      <c r="L2119" s="1233">
        <v>2.7963063262146499E-2</v>
      </c>
      <c r="M2119" s="1234">
        <v>3.9250313105238098E-2</v>
      </c>
      <c r="N2119" s="1235">
        <v>2.2609171852270925E-4</v>
      </c>
    </row>
    <row r="2120" spans="1:14" ht="15.5" x14ac:dyDescent="0.35">
      <c r="A2120" s="199">
        <v>2048</v>
      </c>
      <c r="B2120" s="110" t="s">
        <v>5850</v>
      </c>
      <c r="C2120" s="110">
        <v>2016</v>
      </c>
      <c r="D2120" s="110" t="str">
        <f t="shared" si="16"/>
        <v>2048_2016</v>
      </c>
      <c r="E2120" s="1231">
        <v>1.21669566906034E-2</v>
      </c>
      <c r="F2120" s="1232">
        <v>5.3125249536588141E-2</v>
      </c>
      <c r="G2120" s="1232">
        <v>1.58784646182818</v>
      </c>
      <c r="H2120" s="1232">
        <v>0.62777771881096711</v>
      </c>
      <c r="I2120" s="1232">
        <v>3.7552361934608001E-2</v>
      </c>
      <c r="J2120" s="1232">
        <v>2.1631109086025873E-4</v>
      </c>
      <c r="K2120" s="1232">
        <v>3.0000008603782999E-3</v>
      </c>
      <c r="L2120" s="1233">
        <v>2.7963063262162701E-2</v>
      </c>
      <c r="M2120" s="1234">
        <v>3.9250313105152902E-2</v>
      </c>
      <c r="N2120" s="1235">
        <v>2.2609171852271007E-4</v>
      </c>
    </row>
    <row r="2121" spans="1:14" ht="15.5" x14ac:dyDescent="0.35">
      <c r="A2121" s="199">
        <v>2048</v>
      </c>
      <c r="B2121" s="110" t="s">
        <v>5850</v>
      </c>
      <c r="C2121" s="110">
        <v>2017</v>
      </c>
      <c r="D2121" s="110" t="str">
        <f t="shared" si="16"/>
        <v>2048_2017</v>
      </c>
      <c r="E2121" s="1231">
        <v>1.23762908503421E-2</v>
      </c>
      <c r="F2121" s="1232">
        <v>5.3125249536587628E-2</v>
      </c>
      <c r="G2121" s="1232">
        <v>1.5878464618330199</v>
      </c>
      <c r="H2121" s="1232">
        <v>0.62777771881095967</v>
      </c>
      <c r="I2121" s="1232">
        <v>3.06075065025956E-2</v>
      </c>
      <c r="J2121" s="1232">
        <v>2.1631109086025664E-4</v>
      </c>
      <c r="K2121" s="1232">
        <v>3.0000008603782999E-3</v>
      </c>
      <c r="L2121" s="1233">
        <v>2.7963063262171801E-2</v>
      </c>
      <c r="M2121" s="1234">
        <v>3.1991442127844397E-2</v>
      </c>
      <c r="N2121" s="1235">
        <v>2.2609171852270787E-4</v>
      </c>
    </row>
    <row r="2122" spans="1:14" ht="15.5" x14ac:dyDescent="0.35">
      <c r="A2122" s="199">
        <v>2048</v>
      </c>
      <c r="B2122" s="110" t="s">
        <v>5850</v>
      </c>
      <c r="C2122" s="110">
        <v>2018</v>
      </c>
      <c r="D2122" s="110" t="str">
        <f t="shared" si="16"/>
        <v>2048_2018</v>
      </c>
      <c r="E2122" s="1231">
        <v>1.23762908503612E-2</v>
      </c>
      <c r="F2122" s="1232">
        <v>5.3125249536588134E-2</v>
      </c>
      <c r="G2122" s="1232">
        <v>1.5878464618304999</v>
      </c>
      <c r="H2122" s="1232">
        <v>0.62777771881096578</v>
      </c>
      <c r="I2122" s="1232">
        <v>3.0607506502864701E-2</v>
      </c>
      <c r="J2122" s="1232">
        <v>2.163110908602587E-4</v>
      </c>
      <c r="K2122" s="1232">
        <v>3.0000008603782999E-3</v>
      </c>
      <c r="L2122" s="1233">
        <v>2.7963063262076301E-2</v>
      </c>
      <c r="M2122" s="1234">
        <v>3.1991442128125699E-2</v>
      </c>
      <c r="N2122" s="1235">
        <v>2.2609171852271004E-4</v>
      </c>
    </row>
    <row r="2123" spans="1:14" ht="15.5" x14ac:dyDescent="0.35">
      <c r="A2123" s="199">
        <v>2048</v>
      </c>
      <c r="B2123" s="110" t="s">
        <v>5850</v>
      </c>
      <c r="C2123" s="110">
        <v>2019</v>
      </c>
      <c r="D2123" s="110" t="str">
        <f t="shared" si="16"/>
        <v>2048_2019</v>
      </c>
      <c r="E2123" s="1231">
        <v>1.2376290850285099E-2</v>
      </c>
      <c r="F2123" s="1232">
        <v>5.3125249536587871E-2</v>
      </c>
      <c r="G2123" s="1232">
        <v>1.5878464618308099</v>
      </c>
      <c r="H2123" s="1232">
        <v>0.62777771881096245</v>
      </c>
      <c r="I2123" s="1232">
        <v>3.0607506502208399E-2</v>
      </c>
      <c r="J2123" s="1232">
        <v>2.1631109086025759E-4</v>
      </c>
      <c r="K2123" s="1232">
        <v>3.0000008603782999E-3</v>
      </c>
      <c r="L2123" s="1233">
        <v>2.7963063262273099E-2</v>
      </c>
      <c r="M2123" s="1234">
        <v>3.19914421274397E-2</v>
      </c>
      <c r="N2123" s="1235">
        <v>2.260917185227089E-4</v>
      </c>
    </row>
    <row r="2124" spans="1:14" ht="15.5" x14ac:dyDescent="0.35">
      <c r="A2124" s="199">
        <v>2048</v>
      </c>
      <c r="B2124" s="110" t="s">
        <v>5850</v>
      </c>
      <c r="C2124" s="110">
        <v>2020</v>
      </c>
      <c r="D2124" s="110" t="str">
        <f t="shared" si="16"/>
        <v>2048_2020</v>
      </c>
      <c r="E2124" s="1231">
        <v>1.2376290850348101E-2</v>
      </c>
      <c r="F2124" s="1232">
        <v>5.3125249536588183E-2</v>
      </c>
      <c r="G2124" s="1232">
        <v>1.5878464618333299</v>
      </c>
      <c r="H2124" s="1232">
        <v>0.62777771881096622</v>
      </c>
      <c r="I2124" s="1232">
        <v>3.06075065026425E-2</v>
      </c>
      <c r="J2124" s="1232">
        <v>2.1631109086025889E-4</v>
      </c>
      <c r="K2124" s="1232">
        <v>3.0000008603782999E-3</v>
      </c>
      <c r="L2124" s="1233">
        <v>2.7963063262162802E-2</v>
      </c>
      <c r="M2124" s="1234">
        <v>3.1991442127893503E-2</v>
      </c>
      <c r="N2124" s="1235">
        <v>2.2609171852271023E-4</v>
      </c>
    </row>
    <row r="2125" spans="1:14" ht="15.5" x14ac:dyDescent="0.35">
      <c r="A2125" s="199">
        <v>2048</v>
      </c>
      <c r="B2125" s="110" t="s">
        <v>5850</v>
      </c>
      <c r="C2125" s="110">
        <v>2021</v>
      </c>
      <c r="D2125" s="110" t="str">
        <f t="shared" si="16"/>
        <v>2048_2021</v>
      </c>
      <c r="E2125" s="1231">
        <v>1.23762908503494E-2</v>
      </c>
      <c r="F2125" s="1232">
        <v>5.3125249536588981E-2</v>
      </c>
      <c r="G2125" s="1232">
        <v>1.5878464617902699</v>
      </c>
      <c r="H2125" s="1232">
        <v>0.62777771881097566</v>
      </c>
      <c r="I2125" s="1232">
        <v>3.0607506504083799E-2</v>
      </c>
      <c r="J2125" s="1232">
        <v>2.1631109086026211E-4</v>
      </c>
      <c r="K2125" s="1232">
        <v>3.0000008603782999E-3</v>
      </c>
      <c r="L2125" s="1233">
        <v>2.7963063261439099E-2</v>
      </c>
      <c r="M2125" s="1234">
        <v>3.1991442129399902E-2</v>
      </c>
      <c r="N2125" s="1235">
        <v>2.2609171852271359E-4</v>
      </c>
    </row>
    <row r="2126" spans="1:14" ht="15.5" x14ac:dyDescent="0.35">
      <c r="A2126" s="199">
        <v>2048</v>
      </c>
      <c r="B2126" s="110" t="s">
        <v>5850</v>
      </c>
      <c r="C2126" s="110">
        <v>2022</v>
      </c>
      <c r="D2126" s="110" t="str">
        <f t="shared" si="16"/>
        <v>2048_2022</v>
      </c>
      <c r="E2126" s="1231">
        <v>1.23762908502928E-2</v>
      </c>
      <c r="F2126" s="1232">
        <v>5.3125249536587642E-2</v>
      </c>
      <c r="G2126" s="1232">
        <v>1.5878464618353201</v>
      </c>
      <c r="H2126" s="1232">
        <v>0.62777771881095978</v>
      </c>
      <c r="I2126" s="1232">
        <v>3.06075065021102E-2</v>
      </c>
      <c r="J2126" s="1232">
        <v>2.1631109086025667E-4</v>
      </c>
      <c r="K2126" s="1232">
        <v>3.0000008603782999E-3</v>
      </c>
      <c r="L2126" s="1233">
        <v>2.79630632623326E-2</v>
      </c>
      <c r="M2126" s="1234">
        <v>3.1991442127336997E-2</v>
      </c>
      <c r="N2126" s="1235">
        <v>2.260917185227079E-4</v>
      </c>
    </row>
    <row r="2127" spans="1:14" ht="15.5" x14ac:dyDescent="0.35">
      <c r="A2127" s="199">
        <v>2048</v>
      </c>
      <c r="B2127" s="110" t="s">
        <v>5850</v>
      </c>
      <c r="C2127" s="110">
        <v>2023</v>
      </c>
      <c r="D2127" s="110" t="str">
        <f t="shared" si="16"/>
        <v>2048_2023</v>
      </c>
      <c r="E2127" s="1231">
        <v>1.2376290850312799E-2</v>
      </c>
      <c r="F2127" s="1232">
        <v>5.3125249536587926E-2</v>
      </c>
      <c r="G2127" s="1232">
        <v>1.5154772006380399</v>
      </c>
      <c r="H2127" s="1232">
        <v>0.62777771881096323</v>
      </c>
      <c r="I2127" s="1232">
        <v>2.9568604911553501E-2</v>
      </c>
      <c r="J2127" s="1232">
        <v>2.1631109086025783E-4</v>
      </c>
      <c r="K2127" s="1232">
        <v>3.0000008603782999E-3</v>
      </c>
      <c r="L2127" s="1233">
        <v>2.7963063262234199E-2</v>
      </c>
      <c r="M2127" s="1234">
        <v>3.0905566016912901E-2</v>
      </c>
      <c r="N2127" s="1235">
        <v>2.2609171852270912E-4</v>
      </c>
    </row>
    <row r="2128" spans="1:14" ht="15.5" x14ac:dyDescent="0.35">
      <c r="A2128" s="199">
        <v>2048</v>
      </c>
      <c r="B2128" s="110" t="s">
        <v>5850</v>
      </c>
      <c r="C2128" s="110">
        <v>2024</v>
      </c>
      <c r="D2128" s="110" t="str">
        <f t="shared" si="16"/>
        <v>2048_2024</v>
      </c>
      <c r="E2128" s="1231">
        <v>1.23762908503688E-2</v>
      </c>
      <c r="F2128" s="1232">
        <v>5.3125249536588211E-2</v>
      </c>
      <c r="G2128" s="1232">
        <v>1.5154772006352299</v>
      </c>
      <c r="H2128" s="1232">
        <v>0.62777771881096656</v>
      </c>
      <c r="I2128" s="1232">
        <v>2.9568604912110601E-2</v>
      </c>
      <c r="J2128" s="1232">
        <v>2.16311090860259E-4</v>
      </c>
      <c r="K2128" s="1232">
        <v>3.0000008603782999E-3</v>
      </c>
      <c r="L2128" s="1233">
        <v>2.7963063262044199E-2</v>
      </c>
      <c r="M2128" s="1234">
        <v>3.0905566017495199E-2</v>
      </c>
      <c r="N2128" s="1235">
        <v>2.2609171852271037E-4</v>
      </c>
    </row>
    <row r="2129" spans="1:14" ht="15.5" x14ac:dyDescent="0.35">
      <c r="A2129" s="199">
        <v>2048</v>
      </c>
      <c r="B2129" s="110" t="s">
        <v>5850</v>
      </c>
      <c r="C2129" s="110">
        <v>2025</v>
      </c>
      <c r="D2129" s="110" t="str">
        <f t="shared" si="16"/>
        <v>2048_2025</v>
      </c>
      <c r="E2129" s="1231">
        <v>1.2376290850319599E-2</v>
      </c>
      <c r="F2129" s="1232">
        <v>5.3125249536588079E-2</v>
      </c>
      <c r="G2129" s="1232">
        <v>1.3813571872552599</v>
      </c>
      <c r="H2129" s="1232">
        <v>0.31842860133462242</v>
      </c>
      <c r="I2129" s="1232">
        <v>2.9568604911671501E-2</v>
      </c>
      <c r="J2129" s="1232">
        <v>2.1631109086025845E-4</v>
      </c>
      <c r="K2129" s="1232">
        <v>3.0000008603782999E-3</v>
      </c>
      <c r="L2129" s="1233">
        <v>2.7963063262187102E-2</v>
      </c>
      <c r="M2129" s="1234">
        <v>3.0905566017036201E-2</v>
      </c>
      <c r="N2129" s="1235">
        <v>2.2609171852270977E-4</v>
      </c>
    </row>
    <row r="2130" spans="1:14" ht="15.5" x14ac:dyDescent="0.35">
      <c r="A2130" s="198">
        <v>2048</v>
      </c>
      <c r="B2130" s="197" t="s">
        <v>5850</v>
      </c>
      <c r="C2130" s="197">
        <v>2026</v>
      </c>
      <c r="D2130" s="110" t="str">
        <f t="shared" si="16"/>
        <v>2048_2026</v>
      </c>
      <c r="E2130" s="1231">
        <v>1.2376290850328099E-2</v>
      </c>
      <c r="F2130" s="1232">
        <v>5.3125249536587968E-2</v>
      </c>
      <c r="G2130" s="1232">
        <v>1.3813571872552699</v>
      </c>
      <c r="H2130" s="1232">
        <v>0.31842860133462175</v>
      </c>
      <c r="I2130" s="1232">
        <v>2.9568604911738201E-2</v>
      </c>
      <c r="J2130" s="1232">
        <v>2.1631109086025802E-4</v>
      </c>
      <c r="K2130" s="1232">
        <v>3.0000008603782999E-3</v>
      </c>
      <c r="L2130" s="1233">
        <v>3.0896713079907701E-2</v>
      </c>
      <c r="M2130" s="1234">
        <v>3.0905566017106E-2</v>
      </c>
      <c r="N2130" s="1235">
        <v>2.2609171852270934E-4</v>
      </c>
    </row>
    <row r="2131" spans="1:14" ht="15.5" x14ac:dyDescent="0.35">
      <c r="A2131" s="198">
        <v>2048</v>
      </c>
      <c r="B2131" s="197" t="s">
        <v>5850</v>
      </c>
      <c r="C2131" s="197">
        <v>2027</v>
      </c>
      <c r="D2131" s="110" t="str">
        <f t="shared" si="16"/>
        <v>2048_2027</v>
      </c>
      <c r="E2131" s="1231">
        <v>1.2376290850328001E-2</v>
      </c>
      <c r="F2131" s="1232">
        <v>5.3125249536588003E-2</v>
      </c>
      <c r="G2131" s="1232">
        <v>1.3813571872550701</v>
      </c>
      <c r="H2131" s="1232">
        <v>0.31842860133462192</v>
      </c>
      <c r="I2131" s="1232">
        <v>2.95686049117449E-2</v>
      </c>
      <c r="J2131" s="1232">
        <v>2.1631109086025816E-4</v>
      </c>
      <c r="K2131" s="1232">
        <v>3.0000008603782999E-3</v>
      </c>
      <c r="L2131" s="1233">
        <v>3.0896713079903399E-2</v>
      </c>
      <c r="M2131" s="1234">
        <v>3.0905566017113001E-2</v>
      </c>
      <c r="N2131" s="1235">
        <v>2.2609171852270947E-4</v>
      </c>
    </row>
    <row r="2132" spans="1:14" ht="15.5" x14ac:dyDescent="0.35">
      <c r="A2132" s="198">
        <v>2048</v>
      </c>
      <c r="B2132" s="197" t="s">
        <v>5850</v>
      </c>
      <c r="C2132" s="197">
        <v>2028</v>
      </c>
      <c r="D2132" s="110" t="str">
        <f t="shared" si="16"/>
        <v>2048_2028</v>
      </c>
      <c r="E2132" s="1231">
        <v>1.2376290850324399E-2</v>
      </c>
      <c r="F2132" s="1232">
        <v>5.3125249536588051E-2</v>
      </c>
      <c r="G2132" s="1232">
        <v>1.2650521110630899</v>
      </c>
      <c r="H2132" s="1232">
        <v>0.24109132196553662</v>
      </c>
      <c r="I2132" s="1232">
        <v>2.9202794492406699E-2</v>
      </c>
      <c r="J2132" s="1232">
        <v>2.1631109086025835E-4</v>
      </c>
      <c r="K2132" s="1232">
        <v>3.0000008603782999E-3</v>
      </c>
      <c r="L2132" s="1233">
        <v>3.08967130799149E-2</v>
      </c>
      <c r="M2132" s="1234">
        <v>3.0523215273872001E-2</v>
      </c>
      <c r="N2132" s="1235">
        <v>2.2609171852270966E-4</v>
      </c>
    </row>
    <row r="2133" spans="1:14" ht="15.5" x14ac:dyDescent="0.35">
      <c r="A2133" s="198">
        <v>2048</v>
      </c>
      <c r="B2133" s="197" t="s">
        <v>5850</v>
      </c>
      <c r="C2133" s="197">
        <v>2029</v>
      </c>
      <c r="D2133" s="110" t="str">
        <f t="shared" si="16"/>
        <v>2048_2029</v>
      </c>
      <c r="E2133" s="1231">
        <v>1.2376290850326399E-2</v>
      </c>
      <c r="F2133" s="1232">
        <v>5.3125249536588037E-2</v>
      </c>
      <c r="G2133" s="1232">
        <v>1.26505211106328</v>
      </c>
      <c r="H2133" s="1232">
        <v>0.24109132196553651</v>
      </c>
      <c r="I2133" s="1232">
        <v>2.9202794492413701E-2</v>
      </c>
      <c r="J2133" s="1232">
        <v>2.1631109086025826E-4</v>
      </c>
      <c r="K2133" s="1232">
        <v>3.0000008603782999E-3</v>
      </c>
      <c r="L2133" s="1233">
        <v>3.08967130799143E-2</v>
      </c>
      <c r="M2133" s="1234">
        <v>3.0523215273879301E-2</v>
      </c>
      <c r="N2133" s="1235">
        <v>2.2609171852270961E-4</v>
      </c>
    </row>
    <row r="2134" spans="1:14" ht="15.5" x14ac:dyDescent="0.35">
      <c r="A2134" s="198">
        <v>2048</v>
      </c>
      <c r="B2134" s="197" t="s">
        <v>5850</v>
      </c>
      <c r="C2134" s="197">
        <v>2030</v>
      </c>
      <c r="D2134" s="110" t="str">
        <f t="shared" ref="D2134:D2290" si="17">CONCATENATE(A2134,"_",C2134)</f>
        <v>2048_2030</v>
      </c>
      <c r="E2134" s="1231">
        <v>1.23762908503293E-2</v>
      </c>
      <c r="F2134" s="1232">
        <v>5.3125249536588072E-2</v>
      </c>
      <c r="G2134" s="1232">
        <v>1.2650521110630699</v>
      </c>
      <c r="H2134" s="1232">
        <v>0.24109132196553673</v>
      </c>
      <c r="I2134" s="1232">
        <v>2.9202794492445599E-2</v>
      </c>
      <c r="J2134" s="1232">
        <v>2.1631109086025843E-4</v>
      </c>
      <c r="K2134" s="1232">
        <v>3.0000008603782999E-3</v>
      </c>
      <c r="L2134" s="1233">
        <v>3.0896713079901401E-2</v>
      </c>
      <c r="M2134" s="1234">
        <v>3.05232152739126E-2</v>
      </c>
      <c r="N2134" s="1235">
        <v>2.2609171852270974E-4</v>
      </c>
    </row>
    <row r="2135" spans="1:14" ht="15.5" x14ac:dyDescent="0.35">
      <c r="A2135" s="198">
        <v>2048</v>
      </c>
      <c r="B2135" s="197" t="s">
        <v>5850</v>
      </c>
      <c r="C2135" s="197">
        <v>2031</v>
      </c>
      <c r="D2135" s="110" t="str">
        <f t="shared" si="17"/>
        <v>2048_2031</v>
      </c>
      <c r="E2135" s="1231">
        <v>1.2376290850325501E-2</v>
      </c>
      <c r="F2135" s="1232">
        <v>5.312524953658803E-2</v>
      </c>
      <c r="G2135" s="1232">
        <v>1.2650521110633</v>
      </c>
      <c r="H2135" s="1232">
        <v>0.24109132196553654</v>
      </c>
      <c r="I2135" s="1232">
        <v>2.9202794492406099E-2</v>
      </c>
      <c r="J2135" s="1232">
        <v>2.1631109086025829E-4</v>
      </c>
      <c r="K2135" s="1232">
        <v>3.0000008603782999E-3</v>
      </c>
      <c r="L2135" s="1233">
        <v>3.08967130799171E-2</v>
      </c>
      <c r="M2135" s="1234">
        <v>3.05232152738713E-2</v>
      </c>
      <c r="N2135" s="1235">
        <v>2.2609171852270958E-4</v>
      </c>
    </row>
    <row r="2136" spans="1:14" ht="15.5" x14ac:dyDescent="0.35">
      <c r="A2136" s="198">
        <v>2048</v>
      </c>
      <c r="B2136" s="197" t="s">
        <v>5850</v>
      </c>
      <c r="C2136" s="197">
        <v>2032</v>
      </c>
      <c r="D2136" s="110" t="str">
        <f t="shared" si="17"/>
        <v>2048_2032</v>
      </c>
      <c r="E2136" s="1231">
        <v>1.2375231809387301E-2</v>
      </c>
      <c r="F2136" s="1232">
        <v>5.3125249536587947E-2</v>
      </c>
      <c r="G2136" s="1232">
        <v>1.1906121631936499</v>
      </c>
      <c r="H2136" s="1232">
        <v>0.24109132196553618</v>
      </c>
      <c r="I2136" s="1232">
        <v>2.7427214435825398E-2</v>
      </c>
      <c r="J2136" s="1232">
        <v>2.1631109086025791E-4</v>
      </c>
      <c r="K2136" s="1232">
        <v>3.0000008603782999E-3</v>
      </c>
      <c r="L2136" s="1233">
        <v>3.08967130799194E-2</v>
      </c>
      <c r="M2136" s="1234">
        <v>2.8667351366151901E-2</v>
      </c>
      <c r="N2136" s="1235">
        <v>2.2609171852270923E-4</v>
      </c>
    </row>
    <row r="2137" spans="1:14" ht="15.5" x14ac:dyDescent="0.35">
      <c r="A2137" s="198">
        <v>2048</v>
      </c>
      <c r="B2137" s="197" t="s">
        <v>5850</v>
      </c>
      <c r="C2137" s="197">
        <v>2033</v>
      </c>
      <c r="D2137" s="110" t="str">
        <f t="shared" si="17"/>
        <v>2048_2033</v>
      </c>
      <c r="E2137" s="1231">
        <v>1.22229038537189E-2</v>
      </c>
      <c r="F2137" s="1232">
        <v>5.312524953658801E-2</v>
      </c>
      <c r="G2137" s="1232">
        <v>1.17867716991618</v>
      </c>
      <c r="H2137" s="1232">
        <v>0.24109132196553643</v>
      </c>
      <c r="I2137" s="1232">
        <v>2.68105186346363E-2</v>
      </c>
      <c r="J2137" s="1232">
        <v>2.1631109086025816E-4</v>
      </c>
      <c r="K2137" s="1232">
        <v>3.0000008603782999E-3</v>
      </c>
      <c r="L2137" s="1233">
        <v>3.08967130799109E-2</v>
      </c>
      <c r="M2137" s="1234">
        <v>2.80227713173801E-2</v>
      </c>
      <c r="N2137" s="1235">
        <v>2.260917185227095E-4</v>
      </c>
    </row>
    <row r="2138" spans="1:14" ht="15.5" x14ac:dyDescent="0.35">
      <c r="A2138" s="198">
        <v>2048</v>
      </c>
      <c r="B2138" s="197" t="s">
        <v>5850</v>
      </c>
      <c r="C2138" s="197">
        <v>2034</v>
      </c>
      <c r="D2138" s="110" t="str">
        <f t="shared" si="17"/>
        <v>2048_2034</v>
      </c>
      <c r="E2138" s="1231">
        <v>1.2053650569284299E-2</v>
      </c>
      <c r="F2138" s="1232">
        <v>4.7812724582929164E-2</v>
      </c>
      <c r="G2138" s="1232">
        <v>1.16514205315653</v>
      </c>
      <c r="H2138" s="1232">
        <v>0.21698218976898259</v>
      </c>
      <c r="I2138" s="1232">
        <v>2.6125301076284E-2</v>
      </c>
      <c r="J2138" s="1232">
        <v>1.9467998177423215E-4</v>
      </c>
      <c r="K2138" s="1232">
        <v>3.0000008603782999E-3</v>
      </c>
      <c r="L2138" s="1233">
        <v>3.0896713079916101E-2</v>
      </c>
      <c r="M2138" s="1234">
        <v>2.7306571261647001E-2</v>
      </c>
      <c r="N2138" s="1235">
        <v>2.0348254667043833E-4</v>
      </c>
    </row>
    <row r="2139" spans="1:14" ht="15.5" x14ac:dyDescent="0.35">
      <c r="A2139" s="198">
        <v>2048</v>
      </c>
      <c r="B2139" s="197" t="s">
        <v>5850</v>
      </c>
      <c r="C2139" s="197">
        <v>2035</v>
      </c>
      <c r="D2139" s="110" t="str">
        <f t="shared" si="17"/>
        <v>2048_2035</v>
      </c>
      <c r="E2139" s="1231">
        <v>1.1865591364360099E-2</v>
      </c>
      <c r="F2139" s="1232">
        <v>4.3031452124636271E-2</v>
      </c>
      <c r="G2139" s="1232">
        <v>1.14974499470918</v>
      </c>
      <c r="H2139" s="1232">
        <v>0.19528397079208445</v>
      </c>
      <c r="I2139" s="1232">
        <v>2.5363948233702301E-2</v>
      </c>
      <c r="J2139" s="1232">
        <v>1.7521198359680908E-4</v>
      </c>
      <c r="K2139" s="1232">
        <v>3.0000008603782999E-3</v>
      </c>
      <c r="L2139" s="1233">
        <v>3.0896713079907798E-2</v>
      </c>
      <c r="M2139" s="1234">
        <v>2.6510793421977E-2</v>
      </c>
      <c r="N2139" s="1235">
        <v>1.8313429200339463E-4</v>
      </c>
    </row>
    <row r="2140" spans="1:14" ht="15.5" x14ac:dyDescent="0.35">
      <c r="A2140" s="198">
        <v>2048</v>
      </c>
      <c r="B2140" s="197" t="s">
        <v>5850</v>
      </c>
      <c r="C2140" s="197">
        <v>2036</v>
      </c>
      <c r="D2140" s="110" t="str">
        <f t="shared" si="17"/>
        <v>2048_2036</v>
      </c>
      <c r="E2140" s="1231">
        <v>1.1656636692219099E-2</v>
      </c>
      <c r="F2140" s="1232">
        <v>3.8728306912172585E-2</v>
      </c>
      <c r="G2140" s="1232">
        <v>1.1321652170849199</v>
      </c>
      <c r="H2140" s="1232">
        <v>0.17575557371287573</v>
      </c>
      <c r="I2140" s="1232">
        <v>2.4518000630803199E-2</v>
      </c>
      <c r="J2140" s="1232">
        <v>1.5769078523712791E-4</v>
      </c>
      <c r="K2140" s="1232">
        <v>3.0000008603782999E-3</v>
      </c>
      <c r="L2140" s="1233">
        <v>3.0896713079912E-2</v>
      </c>
      <c r="M2140" s="1234">
        <v>2.56265958223117E-2</v>
      </c>
      <c r="N2140" s="1235">
        <v>1.648208628030549E-4</v>
      </c>
    </row>
    <row r="2141" spans="1:14" ht="15.5" x14ac:dyDescent="0.35">
      <c r="A2141" s="198">
        <v>2048</v>
      </c>
      <c r="B2141" s="197" t="s">
        <v>5850</v>
      </c>
      <c r="C2141" s="197">
        <v>2037</v>
      </c>
      <c r="D2141" s="110" t="str">
        <f t="shared" si="17"/>
        <v>2048_2037</v>
      </c>
      <c r="E2141" s="1231">
        <v>1.14244648342859E-2</v>
      </c>
      <c r="F2141" s="1232">
        <v>3.4855476220955556E-2</v>
      </c>
      <c r="G2141" s="1232">
        <v>1.1120034892819499</v>
      </c>
      <c r="H2141" s="1232">
        <v>0.15818001634158918</v>
      </c>
      <c r="I2141" s="1232">
        <v>2.3578058849814301E-2</v>
      </c>
      <c r="J2141" s="1232">
        <v>1.4192170671341604E-4</v>
      </c>
      <c r="K2141" s="1232">
        <v>3.0000008603782999E-3</v>
      </c>
      <c r="L2141" s="1233">
        <v>3.0896713079912898E-2</v>
      </c>
      <c r="M2141" s="1234">
        <v>2.4644154044916301E-2</v>
      </c>
      <c r="N2141" s="1235">
        <v>1.483387765227504E-4</v>
      </c>
    </row>
    <row r="2142" spans="1:14" ht="15.5" x14ac:dyDescent="0.35">
      <c r="A2142" s="199">
        <v>2048</v>
      </c>
      <c r="B2142" s="110" t="s">
        <v>5850</v>
      </c>
      <c r="C2142" s="110">
        <v>2038</v>
      </c>
      <c r="D2142" s="110" t="str">
        <f t="shared" si="17"/>
        <v>2048_2038</v>
      </c>
      <c r="E2142" s="1231">
        <v>1.11664961032489E-2</v>
      </c>
      <c r="F2142" s="1232">
        <v>3.1369928598859828E-2</v>
      </c>
      <c r="G2142" s="1232">
        <v>1.0887533504759099</v>
      </c>
      <c r="H2142" s="1232">
        <v>0.14236201470742951</v>
      </c>
      <c r="I2142" s="1232">
        <v>2.2533679093164598E-2</v>
      </c>
      <c r="J2142" s="1232">
        <v>1.2772953604207375E-4</v>
      </c>
      <c r="K2142" s="1232">
        <v>3.0000008603782999E-3</v>
      </c>
      <c r="L2142" s="1233">
        <v>3.08967130799103E-2</v>
      </c>
      <c r="M2142" s="1234">
        <v>2.3552552070037501E-2</v>
      </c>
      <c r="N2142" s="1235">
        <v>1.3350489887047464E-4</v>
      </c>
    </row>
    <row r="2143" spans="1:14" ht="15.5" x14ac:dyDescent="0.35">
      <c r="A2143" s="199">
        <v>2048</v>
      </c>
      <c r="B2143" s="110" t="s">
        <v>5850</v>
      </c>
      <c r="C2143" s="110">
        <v>2039</v>
      </c>
      <c r="D2143" s="110" t="str">
        <f t="shared" si="17"/>
        <v>2048_2039</v>
      </c>
      <c r="E2143" s="1231">
        <v>1.08798641798744E-2</v>
      </c>
      <c r="F2143" s="1232">
        <v>2.8232935738973741E-2</v>
      </c>
      <c r="G2143" s="1232">
        <v>1.06175694739049</v>
      </c>
      <c r="H2143" s="1232">
        <v>0.12812581323668606</v>
      </c>
      <c r="I2143" s="1232">
        <v>2.1373257141329201E-2</v>
      </c>
      <c r="J2143" s="1232">
        <v>1.1495658243786594E-4</v>
      </c>
      <c r="K2143" s="1232">
        <v>3.0000008603782999E-3</v>
      </c>
      <c r="L2143" s="1233">
        <v>3.0896713079908801E-2</v>
      </c>
      <c r="M2143" s="1234">
        <v>2.23396609868362E-2</v>
      </c>
      <c r="N2143" s="1235">
        <v>1.2015440898342672E-4</v>
      </c>
    </row>
    <row r="2144" spans="1:14" ht="15.5" x14ac:dyDescent="0.35">
      <c r="A2144" s="199">
        <v>2048</v>
      </c>
      <c r="B2144" s="110" t="s">
        <v>5850</v>
      </c>
      <c r="C2144" s="110">
        <v>2040</v>
      </c>
      <c r="D2144" s="110" t="str">
        <f t="shared" si="17"/>
        <v>2048_2040</v>
      </c>
      <c r="E2144" s="1231">
        <v>1.05613842650122E-2</v>
      </c>
      <c r="F2144" s="1232">
        <v>2.5409642165076338E-2</v>
      </c>
      <c r="G2144" s="1232">
        <v>1.03013397062151</v>
      </c>
      <c r="H2144" s="1232">
        <v>0.11531323191301732</v>
      </c>
      <c r="I2144" s="1232">
        <v>2.0083899417057099E-2</v>
      </c>
      <c r="J2144" s="1232">
        <v>1.0346092419407922E-4</v>
      </c>
      <c r="K2144" s="1232">
        <v>3.0000008603782999E-3</v>
      </c>
      <c r="L2144" s="1233">
        <v>3.0896713079912101E-2</v>
      </c>
      <c r="M2144" s="1234">
        <v>2.09920042277126E-2</v>
      </c>
      <c r="N2144" s="1235">
        <v>1.081389680850839E-4</v>
      </c>
    </row>
    <row r="2145" spans="1:14" ht="15.5" x14ac:dyDescent="0.35">
      <c r="A2145" s="199">
        <v>2048</v>
      </c>
      <c r="B2145" s="110" t="s">
        <v>5850</v>
      </c>
      <c r="C2145" s="110">
        <v>2041</v>
      </c>
      <c r="D2145" s="110" t="str">
        <f t="shared" si="17"/>
        <v>2048_2041</v>
      </c>
      <c r="E2145" s="1231">
        <v>1.02075176929459E-2</v>
      </c>
      <c r="F2145" s="1232">
        <v>2.5409642165076497E-2</v>
      </c>
      <c r="G2145" s="1232">
        <v>0.99266034444189299</v>
      </c>
      <c r="H2145" s="1232">
        <v>0.11531323191301807</v>
      </c>
      <c r="I2145" s="1232">
        <v>1.8651279723434999E-2</v>
      </c>
      <c r="J2145" s="1232">
        <v>1.0346092419407988E-4</v>
      </c>
      <c r="K2145" s="1232">
        <v>3.0000008603782999E-3</v>
      </c>
      <c r="L2145" s="1233">
        <v>3.0896713079910602E-2</v>
      </c>
      <c r="M2145" s="1234">
        <v>1.94946078287008E-2</v>
      </c>
      <c r="N2145" s="1235">
        <v>1.0813896808508462E-4</v>
      </c>
    </row>
    <row r="2146" spans="1:14" ht="15.5" x14ac:dyDescent="0.35">
      <c r="A2146" s="199">
        <v>2048</v>
      </c>
      <c r="B2146" s="110" t="s">
        <v>5850</v>
      </c>
      <c r="C2146" s="110">
        <v>2042</v>
      </c>
      <c r="D2146" s="110" t="str">
        <f t="shared" si="17"/>
        <v>2048_2042</v>
      </c>
      <c r="E2146" s="1231">
        <v>9.8536511208776999E-3</v>
      </c>
      <c r="F2146" s="1232">
        <v>2.5409642165076428E-2</v>
      </c>
      <c r="G2146" s="1232">
        <v>0.95224434430521399</v>
      </c>
      <c r="H2146" s="1232">
        <v>0.11531323191301773</v>
      </c>
      <c r="I2146" s="1232">
        <v>1.7218660029805599E-2</v>
      </c>
      <c r="J2146" s="1232">
        <v>1.034609241940796E-4</v>
      </c>
      <c r="K2146" s="1232">
        <v>3.0000008603782999E-3</v>
      </c>
      <c r="L2146" s="1233">
        <v>3.0896713079911299E-2</v>
      </c>
      <c r="M2146" s="1234">
        <v>1.7997211429681199E-2</v>
      </c>
      <c r="N2146" s="1235">
        <v>1.0813896808508428E-4</v>
      </c>
    </row>
    <row r="2147" spans="1:14" ht="15.5" x14ac:dyDescent="0.35">
      <c r="A2147" s="199">
        <v>2048</v>
      </c>
      <c r="B2147" s="110" t="s">
        <v>5850</v>
      </c>
      <c r="C2147" s="110">
        <v>2043</v>
      </c>
      <c r="D2147" s="110" t="str">
        <f t="shared" si="17"/>
        <v>2048_2043</v>
      </c>
      <c r="E2147" s="1231">
        <v>9.4997845488101994E-3</v>
      </c>
      <c r="F2147" s="1232">
        <v>2.540964216507649E-2</v>
      </c>
      <c r="G2147" s="1232">
        <v>0.90784257169718097</v>
      </c>
      <c r="H2147" s="1232">
        <v>0.11511118367492743</v>
      </c>
      <c r="I2147" s="1232">
        <v>1.6156821338730001E-2</v>
      </c>
      <c r="J2147" s="1232">
        <v>1.0346092419407984E-4</v>
      </c>
      <c r="K2147" s="1232">
        <v>3.0000008603782999E-3</v>
      </c>
      <c r="L2147" s="1233">
        <v>3.0896713079914099E-2</v>
      </c>
      <c r="M2147" s="1234">
        <v>1.6887361104834499E-2</v>
      </c>
      <c r="N2147" s="1235">
        <v>1.0813896808508456E-4</v>
      </c>
    </row>
    <row r="2148" spans="1:14" ht="15.5" x14ac:dyDescent="0.35">
      <c r="A2148" s="199">
        <v>2048</v>
      </c>
      <c r="B2148" s="110" t="s">
        <v>5850</v>
      </c>
      <c r="C2148" s="110">
        <v>2044</v>
      </c>
      <c r="D2148" s="110" t="str">
        <f t="shared" si="17"/>
        <v>2048_2044</v>
      </c>
      <c r="E2148" s="1231">
        <v>9.1459179767431099E-3</v>
      </c>
      <c r="F2148" s="1232">
        <v>2.5409642165076376E-2</v>
      </c>
      <c r="G2148" s="1232">
        <v>0.85229412599006904</v>
      </c>
      <c r="H2148" s="1232">
        <v>0.11111779101141012</v>
      </c>
      <c r="I2148" s="1232">
        <v>1.51103051540287E-2</v>
      </c>
      <c r="J2148" s="1232">
        <v>1.0346092419407937E-4</v>
      </c>
      <c r="K2148" s="1232">
        <v>3.0000008603782999E-3</v>
      </c>
      <c r="L2148" s="1233">
        <v>3.0896713079911001E-2</v>
      </c>
      <c r="M2148" s="1234">
        <v>1.57935261021078E-2</v>
      </c>
      <c r="N2148" s="1235">
        <v>1.0813896808508408E-4</v>
      </c>
    </row>
    <row r="2149" spans="1:14" ht="15.5" x14ac:dyDescent="0.35">
      <c r="A2149" s="198">
        <v>2048</v>
      </c>
      <c r="B2149" s="197" t="s">
        <v>5850</v>
      </c>
      <c r="C2149" s="197">
        <v>2045</v>
      </c>
      <c r="D2149" s="110" t="str">
        <f t="shared" si="17"/>
        <v>2048_2045</v>
      </c>
      <c r="E2149" s="1231">
        <v>8.7920514046753995E-3</v>
      </c>
      <c r="F2149" s="1232">
        <v>2.5409642165076469E-2</v>
      </c>
      <c r="G2149" s="1232">
        <v>0.78642330016748796</v>
      </c>
      <c r="H2149" s="1232">
        <v>0.10425239014550541</v>
      </c>
      <c r="I2149" s="1232">
        <v>1.4052696384761299E-2</v>
      </c>
      <c r="J2149" s="1232">
        <v>1.0346092419407976E-4</v>
      </c>
      <c r="K2149" s="1232">
        <v>3.0000008603782999E-3</v>
      </c>
      <c r="L2149" s="1233">
        <v>3.08967130799109E-2</v>
      </c>
      <c r="M2149" s="1234">
        <v>1.46880969573635E-2</v>
      </c>
      <c r="N2149" s="1235">
        <v>1.0813896808508447E-4</v>
      </c>
    </row>
    <row r="2150" spans="1:14" ht="15.5" x14ac:dyDescent="0.35">
      <c r="A2150" s="198">
        <v>2048</v>
      </c>
      <c r="B2150" s="197" t="s">
        <v>5850</v>
      </c>
      <c r="C2150" s="197">
        <v>2046</v>
      </c>
      <c r="D2150" s="110" t="str">
        <f t="shared" si="17"/>
        <v>2048_2046</v>
      </c>
      <c r="E2150" s="1231">
        <v>8.4381848326074999E-3</v>
      </c>
      <c r="F2150" s="1232">
        <v>2.5409642165076397E-2</v>
      </c>
      <c r="G2150" s="1232">
        <v>0.71003313634165199</v>
      </c>
      <c r="H2150" s="1232">
        <v>9.5434317300247706E-2</v>
      </c>
      <c r="I2150" s="1232">
        <v>1.3011755525558E-2</v>
      </c>
      <c r="J2150" s="1232">
        <v>1.0346092419407948E-4</v>
      </c>
      <c r="K2150" s="1232">
        <v>3.0000008603782999E-3</v>
      </c>
      <c r="L2150" s="1233">
        <v>3.0896713079913901E-2</v>
      </c>
      <c r="M2150" s="1234">
        <v>1.3600089371613701E-2</v>
      </c>
      <c r="N2150" s="1235">
        <v>1.0813896808508417E-4</v>
      </c>
    </row>
    <row r="2151" spans="1:14" ht="15.5" x14ac:dyDescent="0.35">
      <c r="A2151" s="199">
        <v>2048</v>
      </c>
      <c r="B2151" s="110" t="s">
        <v>5850</v>
      </c>
      <c r="C2151" s="110">
        <v>2047</v>
      </c>
      <c r="D2151" s="110" t="str">
        <f t="shared" si="17"/>
        <v>2048_2047</v>
      </c>
      <c r="E2151" s="1231">
        <v>8.0843182605403203E-3</v>
      </c>
      <c r="F2151" s="1232">
        <v>2.5409642165076518E-2</v>
      </c>
      <c r="G2151" s="1232">
        <v>0.62078712849599305</v>
      </c>
      <c r="H2151" s="1232">
        <v>8.5582908198237106E-2</v>
      </c>
      <c r="I2151" s="1232">
        <v>1.2006560229776199E-2</v>
      </c>
      <c r="J2151" s="1232">
        <v>1.0346092419407996E-4</v>
      </c>
      <c r="K2151" s="1232">
        <v>3.0000008603782999E-3</v>
      </c>
      <c r="L2151" s="1233">
        <v>3.08967130799115E-2</v>
      </c>
      <c r="M2151" s="1234">
        <v>1.2549443605044701E-2</v>
      </c>
      <c r="N2151" s="1235">
        <v>1.0813896808508468E-4</v>
      </c>
    </row>
    <row r="2152" spans="1:14" ht="15.5" x14ac:dyDescent="0.35">
      <c r="A2152" s="199">
        <v>2048</v>
      </c>
      <c r="B2152" s="110" t="s">
        <v>5850</v>
      </c>
      <c r="C2152" s="110">
        <v>2048</v>
      </c>
      <c r="D2152" s="110" t="str">
        <f t="shared" si="17"/>
        <v>2048_2048</v>
      </c>
      <c r="E2152" s="1231">
        <v>7.7307120299142003E-3</v>
      </c>
      <c r="F2152" s="1232">
        <v>2.5409644408519626E-2</v>
      </c>
      <c r="G2152" s="1232">
        <v>0.51042227049758804</v>
      </c>
      <c r="H2152" s="1232">
        <v>7.5617505989074671E-2</v>
      </c>
      <c r="I2152" s="1232">
        <v>1.1049236960896099E-2</v>
      </c>
      <c r="J2152" s="1232">
        <v>1.0346093332875023E-4</v>
      </c>
      <c r="K2152" s="1232">
        <v>3.0000008603779599E-3</v>
      </c>
      <c r="L2152" s="1233">
        <v>3.08949066008136E-2</v>
      </c>
      <c r="M2152" s="1234">
        <v>1.1548834426005E-2</v>
      </c>
      <c r="N2152" s="1235">
        <v>1.0813897763278405E-4</v>
      </c>
    </row>
    <row r="2153" spans="1:14" ht="15.5" x14ac:dyDescent="0.35">
      <c r="A2153" s="199">
        <v>2048</v>
      </c>
      <c r="B2153" s="110" t="s">
        <v>5850</v>
      </c>
      <c r="C2153" s="110">
        <v>2049</v>
      </c>
      <c r="D2153" s="110" t="str">
        <f t="shared" si="17"/>
        <v>2048_2049</v>
      </c>
      <c r="E2153" s="1231">
        <v>7.3754124242525797E-3</v>
      </c>
      <c r="F2153" s="1232">
        <v>6.0983115770789104E-2</v>
      </c>
      <c r="G2153" s="1232">
        <v>0.35071601935792801</v>
      </c>
      <c r="H2153" s="1232">
        <v>0.18148192268617327</v>
      </c>
      <c r="I2153" s="1232">
        <v>1.0137807945338299E-2</v>
      </c>
      <c r="J2153" s="1232">
        <v>2.4830611454072977E-4</v>
      </c>
      <c r="K2153" s="1232">
        <v>3.0000008603799102E-3</v>
      </c>
      <c r="L2153" s="1233">
        <v>3.0905240600445E-2</v>
      </c>
      <c r="M2153" s="1234">
        <v>1.059619463477E-2</v>
      </c>
      <c r="N2153" s="1235">
        <v>2.5953341519819722E-4</v>
      </c>
    </row>
    <row r="2154" spans="1:14" ht="15.5" x14ac:dyDescent="0.35">
      <c r="A2154" s="199">
        <v>2049</v>
      </c>
      <c r="B2154" s="110" t="s">
        <v>5850</v>
      </c>
      <c r="C2154" s="110">
        <v>1971</v>
      </c>
      <c r="D2154" s="110" t="str">
        <f t="shared" si="17"/>
        <v>2049_1971</v>
      </c>
      <c r="E2154" s="1226">
        <v>0.124170801833144</v>
      </c>
      <c r="F2154" s="1227">
        <v>5.2947916380237416E-2</v>
      </c>
      <c r="G2154" s="1227">
        <v>5.1254378922231796</v>
      </c>
      <c r="H2154" s="1227">
        <v>0.71107525590804166</v>
      </c>
      <c r="I2154" s="1227">
        <v>5.7228626391671297E-2</v>
      </c>
      <c r="J2154" s="1227">
        <v>2.1631156192560886E-4</v>
      </c>
      <c r="K2154" s="1227">
        <v>3.0000008603782999E-3</v>
      </c>
      <c r="L2154" s="1228">
        <v>2.7963063504512501E-2</v>
      </c>
      <c r="M2154" s="1229">
        <v>5.9816250928834101E-2</v>
      </c>
      <c r="N2154" s="1230">
        <v>2.2609221088754503E-4</v>
      </c>
    </row>
    <row r="2155" spans="1:14" ht="15.5" x14ac:dyDescent="0.35">
      <c r="A2155" s="199">
        <v>2049</v>
      </c>
      <c r="B2155" s="110" t="s">
        <v>5850</v>
      </c>
      <c r="C2155" s="110">
        <v>1972</v>
      </c>
      <c r="D2155" s="110" t="str">
        <f t="shared" si="17"/>
        <v>2049_1972</v>
      </c>
      <c r="E2155" s="1226">
        <v>0.124170801833144</v>
      </c>
      <c r="F2155" s="1227">
        <v>5.2947916380237416E-2</v>
      </c>
      <c r="G2155" s="1227">
        <v>5.1254378922231796</v>
      </c>
      <c r="H2155" s="1227">
        <v>0.71107525590804166</v>
      </c>
      <c r="I2155" s="1227">
        <v>5.7228626391671297E-2</v>
      </c>
      <c r="J2155" s="1227">
        <v>2.1631156192560886E-4</v>
      </c>
      <c r="K2155" s="1227">
        <v>3.0000008603782999E-3</v>
      </c>
      <c r="L2155" s="1228">
        <v>2.7963063504512501E-2</v>
      </c>
      <c r="M2155" s="1229">
        <v>5.9816250928834101E-2</v>
      </c>
      <c r="N2155" s="1230">
        <v>2.2609221088754503E-4</v>
      </c>
    </row>
    <row r="2156" spans="1:14" ht="15.5" x14ac:dyDescent="0.35">
      <c r="A2156" s="199">
        <v>2049</v>
      </c>
      <c r="B2156" s="110" t="s">
        <v>5850</v>
      </c>
      <c r="C2156" s="110">
        <v>1973</v>
      </c>
      <c r="D2156" s="110" t="str">
        <f t="shared" si="17"/>
        <v>2049_1973</v>
      </c>
      <c r="E2156" s="1226">
        <v>0.124170801833144</v>
      </c>
      <c r="F2156" s="1227">
        <v>5.2947916380237416E-2</v>
      </c>
      <c r="G2156" s="1227">
        <v>5.1254378922231796</v>
      </c>
      <c r="H2156" s="1227">
        <v>0.71107525590804166</v>
      </c>
      <c r="I2156" s="1227">
        <v>5.7228626391671297E-2</v>
      </c>
      <c r="J2156" s="1227">
        <v>2.1631156192560886E-4</v>
      </c>
      <c r="K2156" s="1227">
        <v>3.0000008603782999E-3</v>
      </c>
      <c r="L2156" s="1228">
        <v>2.7963063504512501E-2</v>
      </c>
      <c r="M2156" s="1229">
        <v>5.9816250928834101E-2</v>
      </c>
      <c r="N2156" s="1230">
        <v>2.2609221088754503E-4</v>
      </c>
    </row>
    <row r="2157" spans="1:14" ht="15.5" x14ac:dyDescent="0.35">
      <c r="A2157" s="199">
        <v>2049</v>
      </c>
      <c r="B2157" s="110" t="s">
        <v>5850</v>
      </c>
      <c r="C2157" s="110">
        <v>1974</v>
      </c>
      <c r="D2157" s="110" t="str">
        <f t="shared" si="17"/>
        <v>2049_1974</v>
      </c>
      <c r="E2157" s="1226">
        <v>0.124170801833144</v>
      </c>
      <c r="F2157" s="1227">
        <v>5.2947916380237416E-2</v>
      </c>
      <c r="G2157" s="1227">
        <v>5.1254378922231796</v>
      </c>
      <c r="H2157" s="1227">
        <v>0.71107525590804166</v>
      </c>
      <c r="I2157" s="1227">
        <v>5.7228626391671297E-2</v>
      </c>
      <c r="J2157" s="1227">
        <v>2.1631156192560886E-4</v>
      </c>
      <c r="K2157" s="1227">
        <v>3.0000008603782999E-3</v>
      </c>
      <c r="L2157" s="1228">
        <v>2.7963063504512501E-2</v>
      </c>
      <c r="M2157" s="1229">
        <v>5.9816250928834101E-2</v>
      </c>
      <c r="N2157" s="1230">
        <v>2.2609221088754503E-4</v>
      </c>
    </row>
    <row r="2158" spans="1:14" ht="15.5" x14ac:dyDescent="0.35">
      <c r="A2158" s="199">
        <v>2049</v>
      </c>
      <c r="B2158" s="110" t="s">
        <v>5850</v>
      </c>
      <c r="C2158" s="110">
        <v>1975</v>
      </c>
      <c r="D2158" s="110" t="str">
        <f t="shared" si="17"/>
        <v>2049_1975</v>
      </c>
      <c r="E2158" s="1226">
        <v>0.124170801833144</v>
      </c>
      <c r="F2158" s="1227">
        <v>5.2947916380237416E-2</v>
      </c>
      <c r="G2158" s="1227">
        <v>5.1254378922231796</v>
      </c>
      <c r="H2158" s="1227">
        <v>0.71107525590804166</v>
      </c>
      <c r="I2158" s="1227">
        <v>5.7228626391671297E-2</v>
      </c>
      <c r="J2158" s="1227">
        <v>2.1631156192560886E-4</v>
      </c>
      <c r="K2158" s="1227">
        <v>3.0000008603782999E-3</v>
      </c>
      <c r="L2158" s="1228">
        <v>2.7963063504512501E-2</v>
      </c>
      <c r="M2158" s="1229">
        <v>5.9816250928834101E-2</v>
      </c>
      <c r="N2158" s="1230">
        <v>2.2609221088754503E-4</v>
      </c>
    </row>
    <row r="2159" spans="1:14" ht="15.5" x14ac:dyDescent="0.35">
      <c r="A2159" s="199">
        <v>2049</v>
      </c>
      <c r="B2159" s="110" t="s">
        <v>5850</v>
      </c>
      <c r="C2159" s="110">
        <v>1976</v>
      </c>
      <c r="D2159" s="110" t="str">
        <f t="shared" si="17"/>
        <v>2049_1976</v>
      </c>
      <c r="E2159" s="1226">
        <v>0.124170801833144</v>
      </c>
      <c r="F2159" s="1227">
        <v>5.2947916380237416E-2</v>
      </c>
      <c r="G2159" s="1227">
        <v>5.1254378922231796</v>
      </c>
      <c r="H2159" s="1227">
        <v>0.71107525590804166</v>
      </c>
      <c r="I2159" s="1227">
        <v>5.7228626391671297E-2</v>
      </c>
      <c r="J2159" s="1227">
        <v>2.1631156192560886E-4</v>
      </c>
      <c r="K2159" s="1227">
        <v>3.0000008603782999E-3</v>
      </c>
      <c r="L2159" s="1228">
        <v>2.7963063504512501E-2</v>
      </c>
      <c r="M2159" s="1229">
        <v>5.9816250928834101E-2</v>
      </c>
      <c r="N2159" s="1230">
        <v>2.2609221088754503E-4</v>
      </c>
    </row>
    <row r="2160" spans="1:14" ht="15.5" x14ac:dyDescent="0.35">
      <c r="A2160" s="199">
        <v>2049</v>
      </c>
      <c r="B2160" s="110" t="s">
        <v>5850</v>
      </c>
      <c r="C2160" s="110">
        <v>1977</v>
      </c>
      <c r="D2160" s="110" t="str">
        <f t="shared" si="17"/>
        <v>2049_1977</v>
      </c>
      <c r="E2160" s="1226">
        <v>0.124170801833144</v>
      </c>
      <c r="F2160" s="1227">
        <v>5.2947916380237416E-2</v>
      </c>
      <c r="G2160" s="1227">
        <v>5.1254378922231796</v>
      </c>
      <c r="H2160" s="1227">
        <v>0.71107525590804166</v>
      </c>
      <c r="I2160" s="1227">
        <v>5.7228626391671297E-2</v>
      </c>
      <c r="J2160" s="1227">
        <v>2.1631156192560886E-4</v>
      </c>
      <c r="K2160" s="1227">
        <v>3.0000008603782999E-3</v>
      </c>
      <c r="L2160" s="1228">
        <v>2.7963063504512501E-2</v>
      </c>
      <c r="M2160" s="1229">
        <v>5.9816250928834101E-2</v>
      </c>
      <c r="N2160" s="1230">
        <v>2.2609221088754503E-4</v>
      </c>
    </row>
    <row r="2161" spans="1:14" ht="15.5" x14ac:dyDescent="0.35">
      <c r="A2161" s="199">
        <v>2049</v>
      </c>
      <c r="B2161" s="110" t="s">
        <v>5850</v>
      </c>
      <c r="C2161" s="110">
        <v>1978</v>
      </c>
      <c r="D2161" s="110" t="str">
        <f t="shared" si="17"/>
        <v>2049_1978</v>
      </c>
      <c r="E2161" s="1226">
        <v>0.124170801833144</v>
      </c>
      <c r="F2161" s="1227">
        <v>5.2947916380237416E-2</v>
      </c>
      <c r="G2161" s="1227">
        <v>5.1254378922231796</v>
      </c>
      <c r="H2161" s="1227">
        <v>0.71107525590804166</v>
      </c>
      <c r="I2161" s="1227">
        <v>5.7228626391671297E-2</v>
      </c>
      <c r="J2161" s="1227">
        <v>2.1631156192560886E-4</v>
      </c>
      <c r="K2161" s="1227">
        <v>3.0000008603782999E-3</v>
      </c>
      <c r="L2161" s="1228">
        <v>2.7963063504512501E-2</v>
      </c>
      <c r="M2161" s="1229">
        <v>5.9816250928834101E-2</v>
      </c>
      <c r="N2161" s="1230">
        <v>2.2609221088754503E-4</v>
      </c>
    </row>
    <row r="2162" spans="1:14" ht="15.5" x14ac:dyDescent="0.35">
      <c r="A2162" s="199">
        <v>2049</v>
      </c>
      <c r="B2162" s="110" t="s">
        <v>5850</v>
      </c>
      <c r="C2162" s="110">
        <v>1979</v>
      </c>
      <c r="D2162" s="110" t="str">
        <f t="shared" si="17"/>
        <v>2049_1979</v>
      </c>
      <c r="E2162" s="1226">
        <v>0.124170801833144</v>
      </c>
      <c r="F2162" s="1227">
        <v>5.2947916380237416E-2</v>
      </c>
      <c r="G2162" s="1227">
        <v>5.1254378922231796</v>
      </c>
      <c r="H2162" s="1227">
        <v>0.71107525590804166</v>
      </c>
      <c r="I2162" s="1227">
        <v>5.7228626391671297E-2</v>
      </c>
      <c r="J2162" s="1227">
        <v>2.1631156192560886E-4</v>
      </c>
      <c r="K2162" s="1227">
        <v>3.0000008603782999E-3</v>
      </c>
      <c r="L2162" s="1228">
        <v>2.7963063504512501E-2</v>
      </c>
      <c r="M2162" s="1229">
        <v>5.9816250928834101E-2</v>
      </c>
      <c r="N2162" s="1230">
        <v>2.2609221088754503E-4</v>
      </c>
    </row>
    <row r="2163" spans="1:14" ht="15.5" x14ac:dyDescent="0.35">
      <c r="A2163" s="199">
        <v>2049</v>
      </c>
      <c r="B2163" s="110" t="s">
        <v>5850</v>
      </c>
      <c r="C2163" s="110">
        <v>1980</v>
      </c>
      <c r="D2163" s="110" t="str">
        <f t="shared" si="17"/>
        <v>2049_1980</v>
      </c>
      <c r="E2163" s="1226">
        <v>0.124170801833144</v>
      </c>
      <c r="F2163" s="1227">
        <v>5.2947916380237416E-2</v>
      </c>
      <c r="G2163" s="1227">
        <v>5.1254378922231796</v>
      </c>
      <c r="H2163" s="1227">
        <v>0.71107525590804166</v>
      </c>
      <c r="I2163" s="1227">
        <v>5.7228626391671297E-2</v>
      </c>
      <c r="J2163" s="1227">
        <v>2.1631156192560886E-4</v>
      </c>
      <c r="K2163" s="1227">
        <v>3.0000008603782999E-3</v>
      </c>
      <c r="L2163" s="1228">
        <v>2.7963063504512501E-2</v>
      </c>
      <c r="M2163" s="1229">
        <v>5.9816250928834101E-2</v>
      </c>
      <c r="N2163" s="1230">
        <v>2.2609221088754503E-4</v>
      </c>
    </row>
    <row r="2164" spans="1:14" ht="15.5" x14ac:dyDescent="0.35">
      <c r="A2164" s="199">
        <v>2049</v>
      </c>
      <c r="B2164" s="110" t="s">
        <v>5850</v>
      </c>
      <c r="C2164" s="110">
        <v>1981</v>
      </c>
      <c r="D2164" s="110" t="str">
        <f t="shared" si="17"/>
        <v>2049_1981</v>
      </c>
      <c r="E2164" s="1226">
        <v>0.124170801833144</v>
      </c>
      <c r="F2164" s="1227">
        <v>5.2947916380237416E-2</v>
      </c>
      <c r="G2164" s="1227">
        <v>5.1254378922231796</v>
      </c>
      <c r="H2164" s="1227">
        <v>0.71107525590804166</v>
      </c>
      <c r="I2164" s="1227">
        <v>5.7228626391671297E-2</v>
      </c>
      <c r="J2164" s="1227">
        <v>2.1631156192560886E-4</v>
      </c>
      <c r="K2164" s="1227">
        <v>3.0000008603782999E-3</v>
      </c>
      <c r="L2164" s="1228">
        <v>2.7963063504512501E-2</v>
      </c>
      <c r="M2164" s="1229">
        <v>5.9816250928834101E-2</v>
      </c>
      <c r="N2164" s="1230">
        <v>2.2609221088754503E-4</v>
      </c>
    </row>
    <row r="2165" spans="1:14" ht="15.5" x14ac:dyDescent="0.35">
      <c r="A2165" s="199">
        <v>2049</v>
      </c>
      <c r="B2165" s="110" t="s">
        <v>5850</v>
      </c>
      <c r="C2165" s="110">
        <v>1982</v>
      </c>
      <c r="D2165" s="110" t="str">
        <f t="shared" si="17"/>
        <v>2049_1982</v>
      </c>
      <c r="E2165" s="1226">
        <v>0.124170801833144</v>
      </c>
      <c r="F2165" s="1227">
        <v>5.2947916380237416E-2</v>
      </c>
      <c r="G2165" s="1227">
        <v>5.1254378922231796</v>
      </c>
      <c r="H2165" s="1227">
        <v>0.71107525590804166</v>
      </c>
      <c r="I2165" s="1227">
        <v>5.7228626391671297E-2</v>
      </c>
      <c r="J2165" s="1227">
        <v>2.1631156192560886E-4</v>
      </c>
      <c r="K2165" s="1227">
        <v>3.0000008603782999E-3</v>
      </c>
      <c r="L2165" s="1228">
        <v>2.7963063504512501E-2</v>
      </c>
      <c r="M2165" s="1229">
        <v>5.9816250928834101E-2</v>
      </c>
      <c r="N2165" s="1230">
        <v>2.2609221088754503E-4</v>
      </c>
    </row>
    <row r="2166" spans="1:14" ht="15.5" x14ac:dyDescent="0.35">
      <c r="A2166" s="199">
        <v>2049</v>
      </c>
      <c r="B2166" s="110" t="s">
        <v>5850</v>
      </c>
      <c r="C2166" s="110">
        <v>1983</v>
      </c>
      <c r="D2166" s="110" t="str">
        <f t="shared" si="17"/>
        <v>2049_1983</v>
      </c>
      <c r="E2166" s="1226">
        <v>0.124170801833144</v>
      </c>
      <c r="F2166" s="1227">
        <v>5.2947916380237416E-2</v>
      </c>
      <c r="G2166" s="1227">
        <v>5.1254378922231796</v>
      </c>
      <c r="H2166" s="1227">
        <v>0.71107525590804166</v>
      </c>
      <c r="I2166" s="1227">
        <v>5.7228626391671297E-2</v>
      </c>
      <c r="J2166" s="1227">
        <v>2.1631156192560886E-4</v>
      </c>
      <c r="K2166" s="1227">
        <v>3.0000008603782999E-3</v>
      </c>
      <c r="L2166" s="1228">
        <v>2.7963063504512501E-2</v>
      </c>
      <c r="M2166" s="1229">
        <v>5.9816250928834101E-2</v>
      </c>
      <c r="N2166" s="1230">
        <v>2.2609221088754503E-4</v>
      </c>
    </row>
    <row r="2167" spans="1:14" ht="15.5" x14ac:dyDescent="0.35">
      <c r="A2167" s="199">
        <v>2049</v>
      </c>
      <c r="B2167" s="110" t="s">
        <v>5850</v>
      </c>
      <c r="C2167" s="110">
        <v>1984</v>
      </c>
      <c r="D2167" s="110" t="str">
        <f t="shared" si="17"/>
        <v>2049_1984</v>
      </c>
      <c r="E2167" s="1226">
        <v>0.124170801833144</v>
      </c>
      <c r="F2167" s="1227">
        <v>5.2947916380237416E-2</v>
      </c>
      <c r="G2167" s="1227">
        <v>5.1254378922231796</v>
      </c>
      <c r="H2167" s="1227">
        <v>0.71107525590804166</v>
      </c>
      <c r="I2167" s="1227">
        <v>5.7228626391671297E-2</v>
      </c>
      <c r="J2167" s="1227">
        <v>2.1631156192560886E-4</v>
      </c>
      <c r="K2167" s="1227">
        <v>3.0000008603782999E-3</v>
      </c>
      <c r="L2167" s="1228">
        <v>2.7963063504512501E-2</v>
      </c>
      <c r="M2167" s="1229">
        <v>5.9816250928834101E-2</v>
      </c>
      <c r="N2167" s="1230">
        <v>2.2609221088754503E-4</v>
      </c>
    </row>
    <row r="2168" spans="1:14" ht="15.5" x14ac:dyDescent="0.35">
      <c r="A2168" s="199">
        <v>2049</v>
      </c>
      <c r="B2168" s="110" t="s">
        <v>5850</v>
      </c>
      <c r="C2168" s="110">
        <v>1985</v>
      </c>
      <c r="D2168" s="110" t="str">
        <f t="shared" si="17"/>
        <v>2049_1985</v>
      </c>
      <c r="E2168" s="1226">
        <v>0.124170801833144</v>
      </c>
      <c r="F2168" s="1227">
        <v>5.2947916380237416E-2</v>
      </c>
      <c r="G2168" s="1227">
        <v>5.1254378922231796</v>
      </c>
      <c r="H2168" s="1227">
        <v>0.71107525590804166</v>
      </c>
      <c r="I2168" s="1227">
        <v>5.7228626391671297E-2</v>
      </c>
      <c r="J2168" s="1227">
        <v>2.1631156192560886E-4</v>
      </c>
      <c r="K2168" s="1227">
        <v>3.0000008603782999E-3</v>
      </c>
      <c r="L2168" s="1228">
        <v>2.7963063504512501E-2</v>
      </c>
      <c r="M2168" s="1229">
        <v>5.9816250928834101E-2</v>
      </c>
      <c r="N2168" s="1230">
        <v>2.2609221088754503E-4</v>
      </c>
    </row>
    <row r="2169" spans="1:14" ht="15.5" x14ac:dyDescent="0.35">
      <c r="A2169" s="199">
        <v>2049</v>
      </c>
      <c r="B2169" s="110" t="s">
        <v>5850</v>
      </c>
      <c r="C2169" s="110">
        <v>1986</v>
      </c>
      <c r="D2169" s="110" t="str">
        <f t="shared" si="17"/>
        <v>2049_1986</v>
      </c>
      <c r="E2169" s="1226">
        <v>0.124170801833144</v>
      </c>
      <c r="F2169" s="1227">
        <v>5.2947916380237416E-2</v>
      </c>
      <c r="G2169" s="1227">
        <v>5.1254378922231796</v>
      </c>
      <c r="H2169" s="1227">
        <v>0.71107525590804166</v>
      </c>
      <c r="I2169" s="1227">
        <v>5.7228626391671297E-2</v>
      </c>
      <c r="J2169" s="1227">
        <v>2.1631156192560886E-4</v>
      </c>
      <c r="K2169" s="1227">
        <v>3.0000008603782999E-3</v>
      </c>
      <c r="L2169" s="1228">
        <v>2.7963063504512501E-2</v>
      </c>
      <c r="M2169" s="1229">
        <v>5.9816250928834101E-2</v>
      </c>
      <c r="N2169" s="1230">
        <v>2.2609221088754503E-4</v>
      </c>
    </row>
    <row r="2170" spans="1:14" ht="15.5" x14ac:dyDescent="0.35">
      <c r="A2170" s="199">
        <v>2049</v>
      </c>
      <c r="B2170" s="110" t="s">
        <v>5850</v>
      </c>
      <c r="C2170" s="110">
        <v>1987</v>
      </c>
      <c r="D2170" s="110" t="str">
        <f t="shared" si="17"/>
        <v>2049_1987</v>
      </c>
      <c r="E2170" s="1226">
        <v>0.124170801833144</v>
      </c>
      <c r="F2170" s="1227">
        <v>5.2947916380237416E-2</v>
      </c>
      <c r="G2170" s="1227">
        <v>5.1254378922231796</v>
      </c>
      <c r="H2170" s="1227">
        <v>0.71107525590804166</v>
      </c>
      <c r="I2170" s="1227">
        <v>5.7228626391671297E-2</v>
      </c>
      <c r="J2170" s="1227">
        <v>2.1631156192560886E-4</v>
      </c>
      <c r="K2170" s="1227">
        <v>3.0000008603782999E-3</v>
      </c>
      <c r="L2170" s="1228">
        <v>2.7963063504512501E-2</v>
      </c>
      <c r="M2170" s="1229">
        <v>5.9816250928834101E-2</v>
      </c>
      <c r="N2170" s="1230">
        <v>2.2609221088754503E-4</v>
      </c>
    </row>
    <row r="2171" spans="1:14" ht="15.5" x14ac:dyDescent="0.35">
      <c r="A2171" s="199">
        <v>2049</v>
      </c>
      <c r="B2171" s="110" t="s">
        <v>5850</v>
      </c>
      <c r="C2171" s="110">
        <v>1988</v>
      </c>
      <c r="D2171" s="110" t="str">
        <f t="shared" si="17"/>
        <v>2049_1988</v>
      </c>
      <c r="E2171" s="1226">
        <v>0.124170801833144</v>
      </c>
      <c r="F2171" s="1227">
        <v>5.2947916380237416E-2</v>
      </c>
      <c r="G2171" s="1227">
        <v>5.1254378922231796</v>
      </c>
      <c r="H2171" s="1227">
        <v>0.71107525590804166</v>
      </c>
      <c r="I2171" s="1227">
        <v>5.7228626391671297E-2</v>
      </c>
      <c r="J2171" s="1227">
        <v>2.1631156192560886E-4</v>
      </c>
      <c r="K2171" s="1227">
        <v>3.0000008603782999E-3</v>
      </c>
      <c r="L2171" s="1228">
        <v>2.7963063504512501E-2</v>
      </c>
      <c r="M2171" s="1229">
        <v>5.9816250928834101E-2</v>
      </c>
      <c r="N2171" s="1230">
        <v>2.2609221088754503E-4</v>
      </c>
    </row>
    <row r="2172" spans="1:14" ht="15.5" x14ac:dyDescent="0.35">
      <c r="A2172" s="199">
        <v>2049</v>
      </c>
      <c r="B2172" s="110" t="s">
        <v>5850</v>
      </c>
      <c r="C2172" s="110">
        <v>1989</v>
      </c>
      <c r="D2172" s="110" t="str">
        <f t="shared" si="17"/>
        <v>2049_1989</v>
      </c>
      <c r="E2172" s="1226">
        <v>0.124170801833144</v>
      </c>
      <c r="F2172" s="1227">
        <v>5.2947916380237416E-2</v>
      </c>
      <c r="G2172" s="1227">
        <v>5.1254378922231796</v>
      </c>
      <c r="H2172" s="1227">
        <v>0.71107525590804166</v>
      </c>
      <c r="I2172" s="1227">
        <v>5.7228626391671297E-2</v>
      </c>
      <c r="J2172" s="1227">
        <v>2.1631156192560886E-4</v>
      </c>
      <c r="K2172" s="1227">
        <v>3.0000008603782999E-3</v>
      </c>
      <c r="L2172" s="1228">
        <v>2.7963063504512501E-2</v>
      </c>
      <c r="M2172" s="1229">
        <v>5.9816250928834101E-2</v>
      </c>
      <c r="N2172" s="1230">
        <v>2.2609221088754503E-4</v>
      </c>
    </row>
    <row r="2173" spans="1:14" ht="15.5" x14ac:dyDescent="0.35">
      <c r="A2173" s="199">
        <v>2049</v>
      </c>
      <c r="B2173" s="110" t="s">
        <v>5850</v>
      </c>
      <c r="C2173" s="110">
        <v>1990</v>
      </c>
      <c r="D2173" s="110" t="str">
        <f t="shared" si="17"/>
        <v>2049_1990</v>
      </c>
      <c r="E2173" s="1226">
        <v>0.124170801833144</v>
      </c>
      <c r="F2173" s="1227">
        <v>5.2947916380237416E-2</v>
      </c>
      <c r="G2173" s="1227">
        <v>5.1254378922231796</v>
      </c>
      <c r="H2173" s="1227">
        <v>0.71107525590804166</v>
      </c>
      <c r="I2173" s="1227">
        <v>5.7228626391671297E-2</v>
      </c>
      <c r="J2173" s="1227">
        <v>2.1631156192560886E-4</v>
      </c>
      <c r="K2173" s="1227">
        <v>3.0000008603782999E-3</v>
      </c>
      <c r="L2173" s="1228">
        <v>2.7963063504512501E-2</v>
      </c>
      <c r="M2173" s="1229">
        <v>5.9816250928834101E-2</v>
      </c>
      <c r="N2173" s="1230">
        <v>2.2609221088754503E-4</v>
      </c>
    </row>
    <row r="2174" spans="1:14" ht="15.5" x14ac:dyDescent="0.35">
      <c r="A2174" s="199">
        <v>2049</v>
      </c>
      <c r="B2174" s="110" t="s">
        <v>5850</v>
      </c>
      <c r="C2174" s="110">
        <v>1991</v>
      </c>
      <c r="D2174" s="110" t="str">
        <f t="shared" si="17"/>
        <v>2049_1991</v>
      </c>
      <c r="E2174" s="1226">
        <v>0.124170801833144</v>
      </c>
      <c r="F2174" s="1227">
        <v>5.2947916380237416E-2</v>
      </c>
      <c r="G2174" s="1227">
        <v>5.1254378922231796</v>
      </c>
      <c r="H2174" s="1227">
        <v>0.71107525590804166</v>
      </c>
      <c r="I2174" s="1227">
        <v>5.7228626391671297E-2</v>
      </c>
      <c r="J2174" s="1227">
        <v>2.1631156192560886E-4</v>
      </c>
      <c r="K2174" s="1227">
        <v>3.0000008603782999E-3</v>
      </c>
      <c r="L2174" s="1228">
        <v>2.7963063504512501E-2</v>
      </c>
      <c r="M2174" s="1229">
        <v>5.9816250928834101E-2</v>
      </c>
      <c r="N2174" s="1230">
        <v>2.2609221088754503E-4</v>
      </c>
    </row>
    <row r="2175" spans="1:14" ht="15.5" x14ac:dyDescent="0.35">
      <c r="A2175" s="199">
        <v>2049</v>
      </c>
      <c r="B2175" s="110" t="s">
        <v>5850</v>
      </c>
      <c r="C2175" s="110">
        <v>1992</v>
      </c>
      <c r="D2175" s="110" t="str">
        <f t="shared" si="17"/>
        <v>2049_1992</v>
      </c>
      <c r="E2175" s="1226">
        <v>0.124170801833144</v>
      </c>
      <c r="F2175" s="1227">
        <v>5.2947916380237416E-2</v>
      </c>
      <c r="G2175" s="1227">
        <v>5.1254378922231796</v>
      </c>
      <c r="H2175" s="1227">
        <v>0.71107525590804166</v>
      </c>
      <c r="I2175" s="1227">
        <v>5.7228626391671297E-2</v>
      </c>
      <c r="J2175" s="1227">
        <v>2.1631156192560886E-4</v>
      </c>
      <c r="K2175" s="1227">
        <v>3.0000008603782999E-3</v>
      </c>
      <c r="L2175" s="1228">
        <v>2.7963063504512501E-2</v>
      </c>
      <c r="M2175" s="1229">
        <v>5.9816250928834101E-2</v>
      </c>
      <c r="N2175" s="1230">
        <v>2.2609221088754503E-4</v>
      </c>
    </row>
    <row r="2176" spans="1:14" ht="15.5" x14ac:dyDescent="0.35">
      <c r="A2176" s="199">
        <v>2049</v>
      </c>
      <c r="B2176" s="110" t="s">
        <v>5850</v>
      </c>
      <c r="C2176" s="110">
        <v>1993</v>
      </c>
      <c r="D2176" s="110" t="str">
        <f t="shared" si="17"/>
        <v>2049_1993</v>
      </c>
      <c r="E2176" s="1226">
        <v>0.124170801833144</v>
      </c>
      <c r="F2176" s="1227">
        <v>5.2947916380237416E-2</v>
      </c>
      <c r="G2176" s="1227">
        <v>5.1254378922231796</v>
      </c>
      <c r="H2176" s="1227">
        <v>0.71107525590804166</v>
      </c>
      <c r="I2176" s="1227">
        <v>5.7228626391671297E-2</v>
      </c>
      <c r="J2176" s="1227">
        <v>2.1631156192560886E-4</v>
      </c>
      <c r="K2176" s="1227">
        <v>3.0000008603782999E-3</v>
      </c>
      <c r="L2176" s="1228">
        <v>2.7963063504512501E-2</v>
      </c>
      <c r="M2176" s="1229">
        <v>5.9816250928834101E-2</v>
      </c>
      <c r="N2176" s="1230">
        <v>2.2609221088754503E-4</v>
      </c>
    </row>
    <row r="2177" spans="1:14" ht="15.5" x14ac:dyDescent="0.35">
      <c r="A2177" s="199">
        <v>2049</v>
      </c>
      <c r="B2177" s="110" t="s">
        <v>5850</v>
      </c>
      <c r="C2177" s="110">
        <v>1994</v>
      </c>
      <c r="D2177" s="110" t="str">
        <f t="shared" si="17"/>
        <v>2049_1994</v>
      </c>
      <c r="E2177" s="1226">
        <v>0.124170801833144</v>
      </c>
      <c r="F2177" s="1227">
        <v>5.2947916380237416E-2</v>
      </c>
      <c r="G2177" s="1227">
        <v>5.1254378922231796</v>
      </c>
      <c r="H2177" s="1227">
        <v>0.71107525590804166</v>
      </c>
      <c r="I2177" s="1227">
        <v>5.7228626391671297E-2</v>
      </c>
      <c r="J2177" s="1227">
        <v>2.1631156192560886E-4</v>
      </c>
      <c r="K2177" s="1227">
        <v>3.0000008603782999E-3</v>
      </c>
      <c r="L2177" s="1228">
        <v>2.7963063504512501E-2</v>
      </c>
      <c r="M2177" s="1229">
        <v>5.9816250928834101E-2</v>
      </c>
      <c r="N2177" s="1230">
        <v>2.2609221088754503E-4</v>
      </c>
    </row>
    <row r="2178" spans="1:14" ht="15.5" x14ac:dyDescent="0.35">
      <c r="A2178" s="199">
        <v>2049</v>
      </c>
      <c r="B2178" s="110" t="s">
        <v>5850</v>
      </c>
      <c r="C2178" s="110">
        <v>1995</v>
      </c>
      <c r="D2178" s="110" t="str">
        <f t="shared" si="17"/>
        <v>2049_1995</v>
      </c>
      <c r="E2178" s="1226">
        <v>0.124170801833144</v>
      </c>
      <c r="F2178" s="1227">
        <v>5.2947916380237416E-2</v>
      </c>
      <c r="G2178" s="1227">
        <v>5.1254378922231796</v>
      </c>
      <c r="H2178" s="1227">
        <v>0.71107525590804166</v>
      </c>
      <c r="I2178" s="1227">
        <v>5.7228626391671297E-2</v>
      </c>
      <c r="J2178" s="1227">
        <v>2.1631156192560886E-4</v>
      </c>
      <c r="K2178" s="1227">
        <v>3.0000008603782999E-3</v>
      </c>
      <c r="L2178" s="1228">
        <v>2.7963063504512501E-2</v>
      </c>
      <c r="M2178" s="1229">
        <v>5.9816250928834101E-2</v>
      </c>
      <c r="N2178" s="1230">
        <v>2.2609221088754503E-4</v>
      </c>
    </row>
    <row r="2179" spans="1:14" ht="15.5" x14ac:dyDescent="0.35">
      <c r="A2179" s="199">
        <v>2049</v>
      </c>
      <c r="B2179" s="110" t="s">
        <v>5850</v>
      </c>
      <c r="C2179" s="110">
        <v>1996</v>
      </c>
      <c r="D2179" s="110" t="str">
        <f t="shared" si="17"/>
        <v>2049_1996</v>
      </c>
      <c r="E2179" s="1226">
        <v>0.124170801833144</v>
      </c>
      <c r="F2179" s="1227">
        <v>5.2947916380237416E-2</v>
      </c>
      <c r="G2179" s="1227">
        <v>5.1254378922231796</v>
      </c>
      <c r="H2179" s="1227">
        <v>0.71107525590804166</v>
      </c>
      <c r="I2179" s="1227">
        <v>5.7228626391671297E-2</v>
      </c>
      <c r="J2179" s="1227">
        <v>2.1631156192560886E-4</v>
      </c>
      <c r="K2179" s="1227">
        <v>3.0000008603782999E-3</v>
      </c>
      <c r="L2179" s="1228">
        <v>2.7963063504512501E-2</v>
      </c>
      <c r="M2179" s="1229">
        <v>5.9816250928834101E-2</v>
      </c>
      <c r="N2179" s="1230">
        <v>2.2609221088754503E-4</v>
      </c>
    </row>
    <row r="2180" spans="1:14" ht="15.5" x14ac:dyDescent="0.35">
      <c r="A2180" s="199">
        <v>2049</v>
      </c>
      <c r="B2180" s="110" t="s">
        <v>5850</v>
      </c>
      <c r="C2180" s="110">
        <v>1997</v>
      </c>
      <c r="D2180" s="110" t="str">
        <f t="shared" si="17"/>
        <v>2049_1997</v>
      </c>
      <c r="E2180" s="1226">
        <v>0.124170801833144</v>
      </c>
      <c r="F2180" s="1227">
        <v>5.2947916380237416E-2</v>
      </c>
      <c r="G2180" s="1227">
        <v>5.1254378922231796</v>
      </c>
      <c r="H2180" s="1227">
        <v>0.71107525590804166</v>
      </c>
      <c r="I2180" s="1227">
        <v>5.7228626391671297E-2</v>
      </c>
      <c r="J2180" s="1227">
        <v>2.1631156192560886E-4</v>
      </c>
      <c r="K2180" s="1227">
        <v>3.0000008603782999E-3</v>
      </c>
      <c r="L2180" s="1228">
        <v>2.7963063504512501E-2</v>
      </c>
      <c r="M2180" s="1229">
        <v>5.9816250928834101E-2</v>
      </c>
      <c r="N2180" s="1230">
        <v>2.2609221088754503E-4</v>
      </c>
    </row>
    <row r="2181" spans="1:14" ht="15.5" x14ac:dyDescent="0.35">
      <c r="A2181" s="199">
        <v>2049</v>
      </c>
      <c r="B2181" s="110" t="s">
        <v>5850</v>
      </c>
      <c r="C2181" s="110">
        <v>1998</v>
      </c>
      <c r="D2181" s="110" t="str">
        <f t="shared" si="17"/>
        <v>2049_1998</v>
      </c>
      <c r="E2181" s="1226">
        <v>0.124170801833144</v>
      </c>
      <c r="F2181" s="1227">
        <v>5.2947916380237416E-2</v>
      </c>
      <c r="G2181" s="1227">
        <v>5.1254378922231796</v>
      </c>
      <c r="H2181" s="1227">
        <v>0.71107525590804166</v>
      </c>
      <c r="I2181" s="1227">
        <v>5.7228626391671297E-2</v>
      </c>
      <c r="J2181" s="1227">
        <v>2.1631156192560886E-4</v>
      </c>
      <c r="K2181" s="1227">
        <v>3.0000008603782999E-3</v>
      </c>
      <c r="L2181" s="1228">
        <v>2.7963063504512501E-2</v>
      </c>
      <c r="M2181" s="1229">
        <v>5.9816250928834101E-2</v>
      </c>
      <c r="N2181" s="1230">
        <v>2.2609221088754503E-4</v>
      </c>
    </row>
    <row r="2182" spans="1:14" ht="15.5" x14ac:dyDescent="0.35">
      <c r="A2182" s="199">
        <v>2049</v>
      </c>
      <c r="B2182" s="110" t="s">
        <v>5850</v>
      </c>
      <c r="C2182" s="110">
        <v>1999</v>
      </c>
      <c r="D2182" s="110" t="str">
        <f t="shared" si="17"/>
        <v>2049_1999</v>
      </c>
      <c r="E2182" s="1226">
        <v>0.124170801833144</v>
      </c>
      <c r="F2182" s="1227">
        <v>5.2947916380237416E-2</v>
      </c>
      <c r="G2182" s="1227">
        <v>5.1254378922231796</v>
      </c>
      <c r="H2182" s="1227">
        <v>0.71107525590804166</v>
      </c>
      <c r="I2182" s="1227">
        <v>5.7228626391671297E-2</v>
      </c>
      <c r="J2182" s="1227">
        <v>2.1631156192560886E-4</v>
      </c>
      <c r="K2182" s="1227">
        <v>3.0000008603782999E-3</v>
      </c>
      <c r="L2182" s="1228">
        <v>2.7963063504512501E-2</v>
      </c>
      <c r="M2182" s="1229">
        <v>5.9816250928834101E-2</v>
      </c>
      <c r="N2182" s="1230">
        <v>2.2609221088754503E-4</v>
      </c>
    </row>
    <row r="2183" spans="1:14" ht="15.5" x14ac:dyDescent="0.35">
      <c r="A2183" s="199">
        <v>2049</v>
      </c>
      <c r="B2183" s="110" t="s">
        <v>5850</v>
      </c>
      <c r="C2183" s="110">
        <v>2000</v>
      </c>
      <c r="D2183" s="110" t="str">
        <f t="shared" si="17"/>
        <v>2049_2000</v>
      </c>
      <c r="E2183" s="1226">
        <v>0.124170801833144</v>
      </c>
      <c r="F2183" s="1227">
        <v>5.2947916380237416E-2</v>
      </c>
      <c r="G2183" s="1227">
        <v>5.1254378922231796</v>
      </c>
      <c r="H2183" s="1227">
        <v>0.71107525590804166</v>
      </c>
      <c r="I2183" s="1227">
        <v>5.7228626391671297E-2</v>
      </c>
      <c r="J2183" s="1227">
        <v>2.1631156192560886E-4</v>
      </c>
      <c r="K2183" s="1227">
        <v>3.0000008603782999E-3</v>
      </c>
      <c r="L2183" s="1228">
        <v>2.7963063504512501E-2</v>
      </c>
      <c r="M2183" s="1229">
        <v>5.9816250928834101E-2</v>
      </c>
      <c r="N2183" s="1230">
        <v>2.2609221088754503E-4</v>
      </c>
    </row>
    <row r="2184" spans="1:14" ht="15.5" x14ac:dyDescent="0.35">
      <c r="A2184" s="199">
        <v>2049</v>
      </c>
      <c r="B2184" s="110" t="s">
        <v>5850</v>
      </c>
      <c r="C2184" s="110">
        <v>2001</v>
      </c>
      <c r="D2184" s="110" t="str">
        <f t="shared" si="17"/>
        <v>2049_2001</v>
      </c>
      <c r="E2184" s="1226">
        <v>0.124170801833144</v>
      </c>
      <c r="F2184" s="1227">
        <v>5.2947916380237416E-2</v>
      </c>
      <c r="G2184" s="1227">
        <v>5.1254378922231796</v>
      </c>
      <c r="H2184" s="1227">
        <v>0.71107525590804166</v>
      </c>
      <c r="I2184" s="1227">
        <v>5.7228626391671297E-2</v>
      </c>
      <c r="J2184" s="1227">
        <v>2.1631156192560886E-4</v>
      </c>
      <c r="K2184" s="1227">
        <v>3.0000008603782999E-3</v>
      </c>
      <c r="L2184" s="1228">
        <v>2.7963063504512501E-2</v>
      </c>
      <c r="M2184" s="1229">
        <v>5.9816250928834101E-2</v>
      </c>
      <c r="N2184" s="1230">
        <v>2.2609221088754503E-4</v>
      </c>
    </row>
    <row r="2185" spans="1:14" ht="15.5" x14ac:dyDescent="0.35">
      <c r="A2185" s="199">
        <v>2049</v>
      </c>
      <c r="B2185" s="110" t="s">
        <v>5850</v>
      </c>
      <c r="C2185" s="110">
        <v>2002</v>
      </c>
      <c r="D2185" s="110" t="str">
        <f t="shared" si="17"/>
        <v>2049_2002</v>
      </c>
      <c r="E2185" s="1226">
        <v>0.124170801833144</v>
      </c>
      <c r="F2185" s="1227">
        <v>5.2947916380237416E-2</v>
      </c>
      <c r="G2185" s="1227">
        <v>5.1254378922231796</v>
      </c>
      <c r="H2185" s="1227">
        <v>0.71107525590804166</v>
      </c>
      <c r="I2185" s="1227">
        <v>5.7228626391671297E-2</v>
      </c>
      <c r="J2185" s="1227">
        <v>2.1631156192560886E-4</v>
      </c>
      <c r="K2185" s="1227">
        <v>3.0000008603782999E-3</v>
      </c>
      <c r="L2185" s="1228">
        <v>2.7963063504512501E-2</v>
      </c>
      <c r="M2185" s="1229">
        <v>5.9816250928834101E-2</v>
      </c>
      <c r="N2185" s="1230">
        <v>2.2609221088754503E-4</v>
      </c>
    </row>
    <row r="2186" spans="1:14" ht="15.5" x14ac:dyDescent="0.35">
      <c r="A2186" s="199">
        <v>2049</v>
      </c>
      <c r="B2186" s="110" t="s">
        <v>5850</v>
      </c>
      <c r="C2186" s="110">
        <v>2003</v>
      </c>
      <c r="D2186" s="110" t="str">
        <f t="shared" si="17"/>
        <v>2049_2003</v>
      </c>
      <c r="E2186" s="1226">
        <v>0.124170801833144</v>
      </c>
      <c r="F2186" s="1227">
        <v>5.2947916380237416E-2</v>
      </c>
      <c r="G2186" s="1227">
        <v>5.1254378922231796</v>
      </c>
      <c r="H2186" s="1227">
        <v>0.71107525590804166</v>
      </c>
      <c r="I2186" s="1227">
        <v>5.7228626391671297E-2</v>
      </c>
      <c r="J2186" s="1227">
        <v>2.1631156192560886E-4</v>
      </c>
      <c r="K2186" s="1227">
        <v>3.0000008603782999E-3</v>
      </c>
      <c r="L2186" s="1228">
        <v>2.7963063504512501E-2</v>
      </c>
      <c r="M2186" s="1229">
        <v>5.9816250928834101E-2</v>
      </c>
      <c r="N2186" s="1230">
        <v>2.2609221088754503E-4</v>
      </c>
    </row>
    <row r="2187" spans="1:14" ht="15.5" x14ac:dyDescent="0.35">
      <c r="A2187" s="199">
        <v>2049</v>
      </c>
      <c r="B2187" s="110" t="s">
        <v>5850</v>
      </c>
      <c r="C2187" s="110">
        <v>2004</v>
      </c>
      <c r="D2187" s="110" t="str">
        <f t="shared" si="17"/>
        <v>2049_2004</v>
      </c>
      <c r="E2187" s="1226">
        <v>0.124170801833144</v>
      </c>
      <c r="F2187" s="1227">
        <v>5.2947916380237416E-2</v>
      </c>
      <c r="G2187" s="1227">
        <v>5.1254378922231796</v>
      </c>
      <c r="H2187" s="1227">
        <v>0.71107525590804166</v>
      </c>
      <c r="I2187" s="1227">
        <v>5.7228626391671297E-2</v>
      </c>
      <c r="J2187" s="1227">
        <v>2.1631156192560886E-4</v>
      </c>
      <c r="K2187" s="1227">
        <v>3.0000008603782999E-3</v>
      </c>
      <c r="L2187" s="1228">
        <v>2.7963063504512501E-2</v>
      </c>
      <c r="M2187" s="1229">
        <v>5.9816250928834101E-2</v>
      </c>
      <c r="N2187" s="1230">
        <v>2.2609221088754503E-4</v>
      </c>
    </row>
    <row r="2188" spans="1:14" ht="15.5" x14ac:dyDescent="0.35">
      <c r="A2188" s="199">
        <v>2049</v>
      </c>
      <c r="B2188" s="110" t="s">
        <v>5850</v>
      </c>
      <c r="C2188" s="110">
        <v>2005</v>
      </c>
      <c r="D2188" s="110" t="str">
        <f t="shared" si="17"/>
        <v>2049_2005</v>
      </c>
      <c r="E2188" s="1226">
        <v>0.124170801833144</v>
      </c>
      <c r="F2188" s="1227">
        <v>5.2947916380237416E-2</v>
      </c>
      <c r="G2188" s="1227">
        <v>5.1254378922231796</v>
      </c>
      <c r="H2188" s="1227">
        <v>0.71107525590804166</v>
      </c>
      <c r="I2188" s="1227">
        <v>5.7228626391671297E-2</v>
      </c>
      <c r="J2188" s="1227">
        <v>2.1631156192560886E-4</v>
      </c>
      <c r="K2188" s="1227">
        <v>3.0000008603782999E-3</v>
      </c>
      <c r="L2188" s="1228">
        <v>2.7963063504512501E-2</v>
      </c>
      <c r="M2188" s="1229">
        <v>5.9816250928834101E-2</v>
      </c>
      <c r="N2188" s="1230">
        <v>2.2609221088754503E-4</v>
      </c>
    </row>
    <row r="2189" spans="1:14" ht="15.5" x14ac:dyDescent="0.35">
      <c r="A2189" s="199">
        <v>2049</v>
      </c>
      <c r="B2189" s="110" t="s">
        <v>5850</v>
      </c>
      <c r="C2189" s="110">
        <v>2006</v>
      </c>
      <c r="D2189" s="110" t="str">
        <f t="shared" si="17"/>
        <v>2049_2006</v>
      </c>
      <c r="E2189" s="1226">
        <v>0.124170801833144</v>
      </c>
      <c r="F2189" s="1227">
        <v>5.2947916380237416E-2</v>
      </c>
      <c r="G2189" s="1227">
        <v>5.1254378922231796</v>
      </c>
      <c r="H2189" s="1227">
        <v>0.71107525590804166</v>
      </c>
      <c r="I2189" s="1227">
        <v>5.7228626391671297E-2</v>
      </c>
      <c r="J2189" s="1227">
        <v>2.1631156192560886E-4</v>
      </c>
      <c r="K2189" s="1227">
        <v>3.0000008603782999E-3</v>
      </c>
      <c r="L2189" s="1228">
        <v>2.7963063504512501E-2</v>
      </c>
      <c r="M2189" s="1229">
        <v>5.9816250928834101E-2</v>
      </c>
      <c r="N2189" s="1230">
        <v>2.2609221088754503E-4</v>
      </c>
    </row>
    <row r="2190" spans="1:14" ht="15.5" x14ac:dyDescent="0.35">
      <c r="A2190" s="199">
        <v>2049</v>
      </c>
      <c r="B2190" s="110" t="s">
        <v>5850</v>
      </c>
      <c r="C2190" s="110">
        <v>2007</v>
      </c>
      <c r="D2190" s="110" t="str">
        <f t="shared" si="17"/>
        <v>2049_2007</v>
      </c>
      <c r="E2190" s="1226">
        <v>0.124170801833144</v>
      </c>
      <c r="F2190" s="1227">
        <v>5.2947916380237416E-2</v>
      </c>
      <c r="G2190" s="1227">
        <v>5.1254378922231796</v>
      </c>
      <c r="H2190" s="1227">
        <v>0.71107525590804166</v>
      </c>
      <c r="I2190" s="1227">
        <v>5.7228626391671297E-2</v>
      </c>
      <c r="J2190" s="1227">
        <v>2.1631156192560886E-4</v>
      </c>
      <c r="K2190" s="1227">
        <v>3.0000008603782999E-3</v>
      </c>
      <c r="L2190" s="1228">
        <v>2.7963063504512501E-2</v>
      </c>
      <c r="M2190" s="1229">
        <v>5.9816250928834101E-2</v>
      </c>
      <c r="N2190" s="1230">
        <v>2.2609221088754503E-4</v>
      </c>
    </row>
    <row r="2191" spans="1:14" ht="15.5" x14ac:dyDescent="0.35">
      <c r="A2191" s="199">
        <v>2049</v>
      </c>
      <c r="B2191" s="110" t="s">
        <v>5850</v>
      </c>
      <c r="C2191" s="110">
        <v>2008</v>
      </c>
      <c r="D2191" s="110" t="str">
        <f t="shared" si="17"/>
        <v>2049_2008</v>
      </c>
      <c r="E2191" s="1226">
        <v>0.124170801833144</v>
      </c>
      <c r="F2191" s="1227">
        <v>5.2947916380237416E-2</v>
      </c>
      <c r="G2191" s="1227">
        <v>5.1254378922231796</v>
      </c>
      <c r="H2191" s="1227">
        <v>0.71107525590804166</v>
      </c>
      <c r="I2191" s="1227">
        <v>5.7228626391671297E-2</v>
      </c>
      <c r="J2191" s="1227">
        <v>2.1631156192560886E-4</v>
      </c>
      <c r="K2191" s="1227">
        <v>3.0000008603782999E-3</v>
      </c>
      <c r="L2191" s="1228">
        <v>2.7963063504512501E-2</v>
      </c>
      <c r="M2191" s="1229">
        <v>5.9816250928834101E-2</v>
      </c>
      <c r="N2191" s="1230">
        <v>2.2609221088754503E-4</v>
      </c>
    </row>
    <row r="2192" spans="1:14" ht="15.5" x14ac:dyDescent="0.35">
      <c r="A2192" s="199">
        <v>2049</v>
      </c>
      <c r="B2192" s="110" t="s">
        <v>5850</v>
      </c>
      <c r="C2192" s="110">
        <v>2009</v>
      </c>
      <c r="D2192" s="110" t="str">
        <f t="shared" si="17"/>
        <v>2049_2009</v>
      </c>
      <c r="E2192" s="1226">
        <v>0.124170801833144</v>
      </c>
      <c r="F2192" s="1227">
        <v>5.2947916380237416E-2</v>
      </c>
      <c r="G2192" s="1227">
        <v>5.1254378922231796</v>
      </c>
      <c r="H2192" s="1227">
        <v>0.71107525590804166</v>
      </c>
      <c r="I2192" s="1227">
        <v>5.7228626391671297E-2</v>
      </c>
      <c r="J2192" s="1227">
        <v>2.1631156192560886E-4</v>
      </c>
      <c r="K2192" s="1227">
        <v>3.0000008603782999E-3</v>
      </c>
      <c r="L2192" s="1228">
        <v>2.7963063504512501E-2</v>
      </c>
      <c r="M2192" s="1229">
        <v>5.9816250928834101E-2</v>
      </c>
      <c r="N2192" s="1230">
        <v>2.2609221088754503E-4</v>
      </c>
    </row>
    <row r="2193" spans="1:14" ht="15.5" x14ac:dyDescent="0.35">
      <c r="A2193" s="199">
        <v>2049</v>
      </c>
      <c r="B2193" s="110" t="s">
        <v>5850</v>
      </c>
      <c r="C2193" s="110">
        <v>2010</v>
      </c>
      <c r="D2193" s="110" t="str">
        <f t="shared" si="17"/>
        <v>2049_2010</v>
      </c>
      <c r="E2193" s="1226">
        <v>0.124170801833144</v>
      </c>
      <c r="F2193" s="1227">
        <v>5.2947916380237416E-2</v>
      </c>
      <c r="G2193" s="1227">
        <v>5.1254378922231796</v>
      </c>
      <c r="H2193" s="1227">
        <v>0.71107525590804166</v>
      </c>
      <c r="I2193" s="1227">
        <v>5.7228626391671297E-2</v>
      </c>
      <c r="J2193" s="1227">
        <v>2.1631156192560886E-4</v>
      </c>
      <c r="K2193" s="1227">
        <v>3.0000008603782999E-3</v>
      </c>
      <c r="L2193" s="1228">
        <v>2.7963063504512501E-2</v>
      </c>
      <c r="M2193" s="1229">
        <v>5.9816250928834101E-2</v>
      </c>
      <c r="N2193" s="1230">
        <v>2.2609221088754503E-4</v>
      </c>
    </row>
    <row r="2194" spans="1:14" ht="15.5" x14ac:dyDescent="0.35">
      <c r="A2194" s="199">
        <v>2049</v>
      </c>
      <c r="B2194" s="110" t="s">
        <v>5850</v>
      </c>
      <c r="C2194" s="110">
        <v>2011</v>
      </c>
      <c r="D2194" s="110" t="str">
        <f t="shared" si="17"/>
        <v>2049_2011</v>
      </c>
      <c r="E2194" s="1231">
        <v>0.124170801833144</v>
      </c>
      <c r="F2194" s="1232">
        <v>5.2947916380237416E-2</v>
      </c>
      <c r="G2194" s="1232">
        <v>5.1254378922231796</v>
      </c>
      <c r="H2194" s="1232">
        <v>0.71107525590804166</v>
      </c>
      <c r="I2194" s="1232">
        <v>5.7228626391671297E-2</v>
      </c>
      <c r="J2194" s="1232">
        <v>2.1631156192560886E-4</v>
      </c>
      <c r="K2194" s="1232">
        <v>3.0000008603782999E-3</v>
      </c>
      <c r="L2194" s="1233">
        <v>2.7963063504512501E-2</v>
      </c>
      <c r="M2194" s="1234">
        <v>5.9816250928834101E-2</v>
      </c>
      <c r="N2194" s="1235">
        <v>2.2609221088754503E-4</v>
      </c>
    </row>
    <row r="2195" spans="1:14" ht="15.5" x14ac:dyDescent="0.35">
      <c r="A2195" s="199">
        <v>2049</v>
      </c>
      <c r="B2195" s="110" t="s">
        <v>5850</v>
      </c>
      <c r="C2195" s="110">
        <v>2012</v>
      </c>
      <c r="D2195" s="110" t="str">
        <f t="shared" si="17"/>
        <v>2049_2012</v>
      </c>
      <c r="E2195" s="1231">
        <v>2.5042912799128299E-2</v>
      </c>
      <c r="F2195" s="1232">
        <v>5.3125365228595393E-2</v>
      </c>
      <c r="G2195" s="1232">
        <v>4.4684565891282499</v>
      </c>
      <c r="H2195" s="1232">
        <v>0.62777908593610932</v>
      </c>
      <c r="I2195" s="1232">
        <v>3.3199679843739498E-2</v>
      </c>
      <c r="J2195" s="1232">
        <v>2.1631156192560922E-4</v>
      </c>
      <c r="K2195" s="1232">
        <v>3.0000008603782999E-3</v>
      </c>
      <c r="L2195" s="1233">
        <v>2.7963063504656601E-2</v>
      </c>
      <c r="M2195" s="1234">
        <v>3.4700822044875998E-2</v>
      </c>
      <c r="N2195" s="1235">
        <v>2.2609221088754539E-4</v>
      </c>
    </row>
    <row r="2196" spans="1:14" ht="15.5" x14ac:dyDescent="0.35">
      <c r="A2196" s="199">
        <v>2049</v>
      </c>
      <c r="B2196" s="110" t="s">
        <v>5850</v>
      </c>
      <c r="C2196" s="110">
        <v>2013</v>
      </c>
      <c r="D2196" s="110" t="str">
        <f t="shared" si="17"/>
        <v>2049_2013</v>
      </c>
      <c r="E2196" s="1231">
        <v>2.4725548358313702E-2</v>
      </c>
      <c r="F2196" s="1232">
        <v>5.312536522859572E-2</v>
      </c>
      <c r="G2196" s="1232">
        <v>4.2166118571735502</v>
      </c>
      <c r="H2196" s="1232">
        <v>0.62777908593611309</v>
      </c>
      <c r="I2196" s="1232">
        <v>3.22854103314116E-2</v>
      </c>
      <c r="J2196" s="1232">
        <v>2.1631156192561052E-4</v>
      </c>
      <c r="K2196" s="1232">
        <v>3.0000008603782999E-3</v>
      </c>
      <c r="L2196" s="1233">
        <v>2.7963063504644399E-2</v>
      </c>
      <c r="M2196" s="1234">
        <v>3.3745213322211497E-2</v>
      </c>
      <c r="N2196" s="1235">
        <v>2.2609221088754677E-4</v>
      </c>
    </row>
    <row r="2197" spans="1:14" ht="15.5" x14ac:dyDescent="0.35">
      <c r="A2197" s="199">
        <v>2049</v>
      </c>
      <c r="B2197" s="110" t="s">
        <v>5850</v>
      </c>
      <c r="C2197" s="110">
        <v>2014</v>
      </c>
      <c r="D2197" s="110" t="str">
        <f t="shared" si="17"/>
        <v>2049_2014</v>
      </c>
      <c r="E2197" s="1231">
        <v>1.2166956759394901E-2</v>
      </c>
      <c r="F2197" s="1232">
        <v>5.3125365228595456E-2</v>
      </c>
      <c r="G2197" s="1232">
        <v>1.5878464669369401</v>
      </c>
      <c r="H2197" s="1232">
        <v>0.62777908593610998</v>
      </c>
      <c r="I2197" s="1232">
        <v>3.7552361191020601E-2</v>
      </c>
      <c r="J2197" s="1232">
        <v>2.1631156192560943E-4</v>
      </c>
      <c r="K2197" s="1232">
        <v>3.0000008603782999E-3</v>
      </c>
      <c r="L2197" s="1233">
        <v>2.7963063504538799E-2</v>
      </c>
      <c r="M2197" s="1234">
        <v>3.9250312327943702E-2</v>
      </c>
      <c r="N2197" s="1235">
        <v>2.2609221088754563E-4</v>
      </c>
    </row>
    <row r="2198" spans="1:14" ht="15.5" x14ac:dyDescent="0.35">
      <c r="A2198" s="199">
        <v>2049</v>
      </c>
      <c r="B2198" s="110" t="s">
        <v>5850</v>
      </c>
      <c r="C2198" s="110">
        <v>2015</v>
      </c>
      <c r="D2198" s="110" t="str">
        <f t="shared" si="17"/>
        <v>2049_2015</v>
      </c>
      <c r="E2198" s="1231">
        <v>1.21669567594033E-2</v>
      </c>
      <c r="F2198" s="1232">
        <v>5.3125365228595428E-2</v>
      </c>
      <c r="G2198" s="1232">
        <v>1.58784646693759</v>
      </c>
      <c r="H2198" s="1232">
        <v>0.62777908593610965</v>
      </c>
      <c r="I2198" s="1232">
        <v>3.7552361190934601E-2</v>
      </c>
      <c r="J2198" s="1232">
        <v>2.1631156192560935E-4</v>
      </c>
      <c r="K2198" s="1232">
        <v>3.0000008603782999E-3</v>
      </c>
      <c r="L2198" s="1233">
        <v>2.7963063504565601E-2</v>
      </c>
      <c r="M2198" s="1234">
        <v>3.9250312327853899E-2</v>
      </c>
      <c r="N2198" s="1235">
        <v>2.2609221088754552E-4</v>
      </c>
    </row>
    <row r="2199" spans="1:14" ht="15.5" x14ac:dyDescent="0.35">
      <c r="A2199" s="199">
        <v>2049</v>
      </c>
      <c r="B2199" s="110" t="s">
        <v>5850</v>
      </c>
      <c r="C2199" s="110">
        <v>2016</v>
      </c>
      <c r="D2199" s="110" t="str">
        <f t="shared" si="17"/>
        <v>2049_2016</v>
      </c>
      <c r="E2199" s="1231">
        <v>1.2166956759403E-2</v>
      </c>
      <c r="F2199" s="1232">
        <v>5.3125365228595685E-2</v>
      </c>
      <c r="G2199" s="1232">
        <v>1.5878464669362899</v>
      </c>
      <c r="H2199" s="1232">
        <v>0.62777908593611265</v>
      </c>
      <c r="I2199" s="1232">
        <v>3.7552361190852999E-2</v>
      </c>
      <c r="J2199" s="1232">
        <v>2.1631156192561035E-4</v>
      </c>
      <c r="K2199" s="1232">
        <v>3.0000008603782999E-3</v>
      </c>
      <c r="L2199" s="1233">
        <v>2.79630635045818E-2</v>
      </c>
      <c r="M2199" s="1234">
        <v>3.9250312327768599E-2</v>
      </c>
      <c r="N2199" s="1235">
        <v>2.2609221088754658E-4</v>
      </c>
    </row>
    <row r="2200" spans="1:14" ht="15.5" x14ac:dyDescent="0.35">
      <c r="A2200" s="199">
        <v>2049</v>
      </c>
      <c r="B2200" s="110" t="s">
        <v>5850</v>
      </c>
      <c r="C2200" s="110">
        <v>2017</v>
      </c>
      <c r="D2200" s="110" t="str">
        <f t="shared" si="17"/>
        <v>2049_2017</v>
      </c>
      <c r="E2200" s="1231">
        <v>1.23762907888058E-2</v>
      </c>
      <c r="F2200" s="1232">
        <v>5.3125365228595428E-2</v>
      </c>
      <c r="G2200" s="1232">
        <v>1.5878464669411301</v>
      </c>
      <c r="H2200" s="1232">
        <v>0.62777908593610965</v>
      </c>
      <c r="I2200" s="1232">
        <v>3.0607505794265501E-2</v>
      </c>
      <c r="J2200" s="1232">
        <v>2.1631156192560935E-4</v>
      </c>
      <c r="K2200" s="1232">
        <v>3.0000008603782999E-3</v>
      </c>
      <c r="L2200" s="1233">
        <v>2.79630635045909E-2</v>
      </c>
      <c r="M2200" s="1234">
        <v>3.1991441387486802E-2</v>
      </c>
      <c r="N2200" s="1235">
        <v>2.2609221088754549E-4</v>
      </c>
    </row>
    <row r="2201" spans="1:14" ht="15.5" x14ac:dyDescent="0.35">
      <c r="A2201" s="199">
        <v>2049</v>
      </c>
      <c r="B2201" s="110" t="s">
        <v>5850</v>
      </c>
      <c r="C2201" s="110">
        <v>2018</v>
      </c>
      <c r="D2201" s="110" t="str">
        <f t="shared" si="17"/>
        <v>2049_2018</v>
      </c>
      <c r="E2201" s="1231">
        <v>1.2376290788824899E-2</v>
      </c>
      <c r="F2201" s="1232">
        <v>5.3125365228596032E-2</v>
      </c>
      <c r="G2201" s="1232">
        <v>1.5878464669386001</v>
      </c>
      <c r="H2201" s="1232">
        <v>0.62777908593611675</v>
      </c>
      <c r="I2201" s="1232">
        <v>3.0607505794534601E-2</v>
      </c>
      <c r="J2201" s="1232">
        <v>2.1631156192561179E-4</v>
      </c>
      <c r="K2201" s="1232">
        <v>3.0000008603782999E-3</v>
      </c>
      <c r="L2201" s="1233">
        <v>2.79630635044954E-2</v>
      </c>
      <c r="M2201" s="1234">
        <v>3.1991441387768098E-2</v>
      </c>
      <c r="N2201" s="1235">
        <v>2.2609221088754807E-4</v>
      </c>
    </row>
    <row r="2202" spans="1:14" ht="15.5" x14ac:dyDescent="0.35">
      <c r="A2202" s="199">
        <v>2049</v>
      </c>
      <c r="B2202" s="110" t="s">
        <v>5850</v>
      </c>
      <c r="C2202" s="110">
        <v>2019</v>
      </c>
      <c r="D2202" s="110" t="str">
        <f t="shared" si="17"/>
        <v>2049_2019</v>
      </c>
      <c r="E2202" s="1231">
        <v>1.2376290788748801E-2</v>
      </c>
      <c r="F2202" s="1232">
        <v>5.3125365228595588E-2</v>
      </c>
      <c r="G2202" s="1232">
        <v>1.5878464669389101</v>
      </c>
      <c r="H2202" s="1232">
        <v>0.62777908593611154</v>
      </c>
      <c r="I2202" s="1232">
        <v>3.06075057938783E-2</v>
      </c>
      <c r="J2202" s="1232">
        <v>2.1631156192560998E-4</v>
      </c>
      <c r="K2202" s="1232">
        <v>3.0000008603782999E-3</v>
      </c>
      <c r="L2202" s="1233">
        <v>2.7963063504692302E-2</v>
      </c>
      <c r="M2202" s="1234">
        <v>3.1991441387082098E-2</v>
      </c>
      <c r="N2202" s="1235">
        <v>2.260922108875462E-4</v>
      </c>
    </row>
    <row r="2203" spans="1:14" ht="15.5" x14ac:dyDescent="0.35">
      <c r="A2203" s="199">
        <v>2049</v>
      </c>
      <c r="B2203" s="110" t="s">
        <v>5850</v>
      </c>
      <c r="C2203" s="110">
        <v>2020</v>
      </c>
      <c r="D2203" s="110" t="str">
        <f t="shared" si="17"/>
        <v>2049_2020</v>
      </c>
      <c r="E2203" s="1231">
        <v>1.2376290788811899E-2</v>
      </c>
      <c r="F2203" s="1232">
        <v>5.3125365228595692E-2</v>
      </c>
      <c r="G2203" s="1232">
        <v>1.58784646694144</v>
      </c>
      <c r="H2203" s="1232">
        <v>0.62777908593611276</v>
      </c>
      <c r="I2203" s="1232">
        <v>3.0607505794312501E-2</v>
      </c>
      <c r="J2203" s="1232">
        <v>2.1631156192561041E-4</v>
      </c>
      <c r="K2203" s="1232">
        <v>3.0000008603782999E-3</v>
      </c>
      <c r="L2203" s="1233">
        <v>2.79630635045819E-2</v>
      </c>
      <c r="M2203" s="1234">
        <v>3.1991441387535902E-2</v>
      </c>
      <c r="N2203" s="1235">
        <v>2.2609221088754663E-4</v>
      </c>
    </row>
    <row r="2204" spans="1:14" ht="15.5" x14ac:dyDescent="0.35">
      <c r="A2204" s="199">
        <v>2049</v>
      </c>
      <c r="B2204" s="110" t="s">
        <v>5850</v>
      </c>
      <c r="C2204" s="110">
        <v>2021</v>
      </c>
      <c r="D2204" s="110" t="str">
        <f t="shared" si="17"/>
        <v>2049_2021</v>
      </c>
      <c r="E2204" s="1231">
        <v>1.23762907888132E-2</v>
      </c>
      <c r="F2204" s="1232">
        <v>5.3125365228596726E-2</v>
      </c>
      <c r="G2204" s="1232">
        <v>1.58784646689838</v>
      </c>
      <c r="H2204" s="1232">
        <v>0.62777908593612508</v>
      </c>
      <c r="I2204" s="1232">
        <v>3.0607505795753699E-2</v>
      </c>
      <c r="J2204" s="1232">
        <v>2.1631156192561461E-4</v>
      </c>
      <c r="K2204" s="1232">
        <v>3.0000008603782999E-3</v>
      </c>
      <c r="L2204" s="1233">
        <v>2.7963063503858299E-2</v>
      </c>
      <c r="M2204" s="1234">
        <v>3.1991441389042301E-2</v>
      </c>
      <c r="N2204" s="1235">
        <v>2.2609221088755105E-4</v>
      </c>
    </row>
    <row r="2205" spans="1:14" ht="15.5" x14ac:dyDescent="0.35">
      <c r="A2205" s="199">
        <v>2049</v>
      </c>
      <c r="B2205" s="110" t="s">
        <v>5850</v>
      </c>
      <c r="C2205" s="110">
        <v>2022</v>
      </c>
      <c r="D2205" s="110" t="str">
        <f t="shared" si="17"/>
        <v>2049_2022</v>
      </c>
      <c r="E2205" s="1231">
        <v>1.2376290788756499E-2</v>
      </c>
      <c r="F2205" s="1232">
        <v>5.3125365228595275E-2</v>
      </c>
      <c r="G2205" s="1232">
        <v>1.58784646694343</v>
      </c>
      <c r="H2205" s="1232">
        <v>0.62777908593610798</v>
      </c>
      <c r="I2205" s="1232">
        <v>3.0607505793780101E-2</v>
      </c>
      <c r="J2205" s="1232">
        <v>2.1631156192560873E-4</v>
      </c>
      <c r="K2205" s="1232">
        <v>3.0000008603782999E-3</v>
      </c>
      <c r="L2205" s="1233">
        <v>2.7963063504751799E-2</v>
      </c>
      <c r="M2205" s="1234">
        <v>3.1991441386979402E-2</v>
      </c>
      <c r="N2205" s="1235">
        <v>2.2609221088754487E-4</v>
      </c>
    </row>
    <row r="2206" spans="1:14" ht="15.5" x14ac:dyDescent="0.35">
      <c r="A2206" s="199">
        <v>2049</v>
      </c>
      <c r="B2206" s="110" t="s">
        <v>5850</v>
      </c>
      <c r="C2206" s="110">
        <v>2023</v>
      </c>
      <c r="D2206" s="110" t="str">
        <f t="shared" si="17"/>
        <v>2049_2023</v>
      </c>
      <c r="E2206" s="1231">
        <v>1.2376290788776501E-2</v>
      </c>
      <c r="F2206" s="1232">
        <v>5.3125365228595747E-2</v>
      </c>
      <c r="G2206" s="1232">
        <v>1.5154772055133301</v>
      </c>
      <c r="H2206" s="1232">
        <v>0.62777908593611353</v>
      </c>
      <c r="I2206" s="1232">
        <v>2.9568604227265999E-2</v>
      </c>
      <c r="J2206" s="1232">
        <v>2.1631156192561065E-4</v>
      </c>
      <c r="K2206" s="1232">
        <v>3.0000008603782999E-3</v>
      </c>
      <c r="L2206" s="1233">
        <v>2.7963063504653302E-2</v>
      </c>
      <c r="M2206" s="1234">
        <v>3.0905565301684999E-2</v>
      </c>
      <c r="N2206" s="1235">
        <v>2.2609221088754688E-4</v>
      </c>
    </row>
    <row r="2207" spans="1:14" ht="15.5" x14ac:dyDescent="0.35">
      <c r="A2207" s="199">
        <v>2049</v>
      </c>
      <c r="B2207" s="110" t="s">
        <v>5850</v>
      </c>
      <c r="C2207" s="110">
        <v>2024</v>
      </c>
      <c r="D2207" s="110" t="str">
        <f t="shared" si="17"/>
        <v>2049_2024</v>
      </c>
      <c r="E2207" s="1231">
        <v>1.2376290788832499E-2</v>
      </c>
      <c r="F2207" s="1232">
        <v>5.312536522859506E-2</v>
      </c>
      <c r="G2207" s="1232">
        <v>1.5154772055105199</v>
      </c>
      <c r="H2207" s="1232">
        <v>0.62777908593610532</v>
      </c>
      <c r="I2207" s="1232">
        <v>2.95686042278232E-2</v>
      </c>
      <c r="J2207" s="1232">
        <v>2.1631156192560783E-4</v>
      </c>
      <c r="K2207" s="1232">
        <v>3.0000008603782999E-3</v>
      </c>
      <c r="L2207" s="1233">
        <v>2.7963063504463301E-2</v>
      </c>
      <c r="M2207" s="1234">
        <v>3.0905565302267301E-2</v>
      </c>
      <c r="N2207" s="1235">
        <v>2.2609221088754395E-4</v>
      </c>
    </row>
    <row r="2208" spans="1:14" ht="15.5" x14ac:dyDescent="0.35">
      <c r="A2208" s="199">
        <v>2049</v>
      </c>
      <c r="B2208" s="110" t="s">
        <v>5850</v>
      </c>
      <c r="C2208" s="110">
        <v>2025</v>
      </c>
      <c r="D2208" s="110" t="str">
        <f t="shared" si="17"/>
        <v>2049_2025</v>
      </c>
      <c r="E2208" s="1231">
        <v>1.23762907887834E-2</v>
      </c>
      <c r="F2208" s="1232">
        <v>5.3125365228595615E-2</v>
      </c>
      <c r="G2208" s="1232">
        <v>1.3813571916990799</v>
      </c>
      <c r="H2208" s="1232">
        <v>0.31842929478349025</v>
      </c>
      <c r="I2208" s="1232">
        <v>2.9568604227383999E-2</v>
      </c>
      <c r="J2208" s="1232">
        <v>2.1631156192561011E-4</v>
      </c>
      <c r="K2208" s="1232">
        <v>3.0000008603782999E-3</v>
      </c>
      <c r="L2208" s="1233">
        <v>2.7963063504606301E-2</v>
      </c>
      <c r="M2208" s="1234">
        <v>3.09055653018083E-2</v>
      </c>
      <c r="N2208" s="1235">
        <v>2.2609221088754631E-4</v>
      </c>
    </row>
    <row r="2209" spans="1:14" ht="15.5" x14ac:dyDescent="0.35">
      <c r="A2209" s="199">
        <v>2049</v>
      </c>
      <c r="B2209" s="110" t="s">
        <v>5850</v>
      </c>
      <c r="C2209" s="110">
        <v>2026</v>
      </c>
      <c r="D2209" s="110" t="str">
        <f t="shared" si="17"/>
        <v>2049_2026</v>
      </c>
      <c r="E2209" s="1231">
        <v>1.2376290788791801E-2</v>
      </c>
      <c r="F2209" s="1232">
        <v>5.3125365228595699E-2</v>
      </c>
      <c r="G2209" s="1232">
        <v>1.3813571916991001</v>
      </c>
      <c r="H2209" s="1232">
        <v>0.31842929478349075</v>
      </c>
      <c r="I2209" s="1232">
        <v>2.95686042274508E-2</v>
      </c>
      <c r="J2209" s="1232">
        <v>2.1631156192561046E-4</v>
      </c>
      <c r="K2209" s="1232">
        <v>3.0000008603782999E-3</v>
      </c>
      <c r="L2209" s="1233">
        <v>3.0896713346626799E-2</v>
      </c>
      <c r="M2209" s="1234">
        <v>3.0905565301878098E-2</v>
      </c>
      <c r="N2209" s="1235">
        <v>2.2609221088754666E-4</v>
      </c>
    </row>
    <row r="2210" spans="1:14" ht="15.5" x14ac:dyDescent="0.35">
      <c r="A2210" s="199">
        <v>2049</v>
      </c>
      <c r="B2210" s="110" t="s">
        <v>5850</v>
      </c>
      <c r="C2210" s="110">
        <v>2027</v>
      </c>
      <c r="D2210" s="110" t="str">
        <f t="shared" si="17"/>
        <v>2049_2027</v>
      </c>
      <c r="E2210" s="1231">
        <v>1.23762907887917E-2</v>
      </c>
      <c r="F2210" s="1232">
        <v>5.3125365228595539E-2</v>
      </c>
      <c r="G2210" s="1232">
        <v>1.3813571916989</v>
      </c>
      <c r="H2210" s="1232">
        <v>0.3184292947834898</v>
      </c>
      <c r="I2210" s="1232">
        <v>2.9568604227457398E-2</v>
      </c>
      <c r="J2210" s="1232">
        <v>2.1631156192560979E-4</v>
      </c>
      <c r="K2210" s="1232">
        <v>3.0000008603782999E-3</v>
      </c>
      <c r="L2210" s="1233">
        <v>3.0896713346622501E-2</v>
      </c>
      <c r="M2210" s="1234">
        <v>3.0905565301884999E-2</v>
      </c>
      <c r="N2210" s="1235">
        <v>2.2609221088754601E-4</v>
      </c>
    </row>
    <row r="2211" spans="1:14" ht="15.5" x14ac:dyDescent="0.35">
      <c r="A2211" s="199">
        <v>2049</v>
      </c>
      <c r="B2211" s="110" t="s">
        <v>5850</v>
      </c>
      <c r="C2211" s="110">
        <v>2028</v>
      </c>
      <c r="D2211" s="110" t="str">
        <f t="shared" si="17"/>
        <v>2049_2028</v>
      </c>
      <c r="E2211" s="1231">
        <v>1.23762907887882E-2</v>
      </c>
      <c r="F2211" s="1232">
        <v>5.3125365228595504E-2</v>
      </c>
      <c r="G2211" s="1232">
        <v>1.26505211513277</v>
      </c>
      <c r="H2211" s="1232">
        <v>0.24109184699533434</v>
      </c>
      <c r="I2211" s="1232">
        <v>2.9202793816584999E-2</v>
      </c>
      <c r="J2211" s="1232">
        <v>2.1631156192560965E-4</v>
      </c>
      <c r="K2211" s="1232">
        <v>3.0000008603782999E-3</v>
      </c>
      <c r="L2211" s="1233">
        <v>3.0896713346634099E-2</v>
      </c>
      <c r="M2211" s="1234">
        <v>3.0523214567492601E-2</v>
      </c>
      <c r="N2211" s="1235">
        <v>2.2609221088754585E-4</v>
      </c>
    </row>
    <row r="2212" spans="1:14" ht="15.5" x14ac:dyDescent="0.35">
      <c r="A2212" s="199">
        <v>2049</v>
      </c>
      <c r="B2212" s="110" t="s">
        <v>5850</v>
      </c>
      <c r="C2212" s="110">
        <v>2029</v>
      </c>
      <c r="D2212" s="110" t="str">
        <f t="shared" si="17"/>
        <v>2049_2029</v>
      </c>
      <c r="E2212" s="1231">
        <v>1.2376290788790101E-2</v>
      </c>
      <c r="F2212" s="1232">
        <v>5.3125365228595518E-2</v>
      </c>
      <c r="G2212" s="1232">
        <v>1.2650521151329599</v>
      </c>
      <c r="H2212" s="1232">
        <v>0.2410918469953344</v>
      </c>
      <c r="I2212" s="1232">
        <v>2.9202793816592E-2</v>
      </c>
      <c r="J2212" s="1232">
        <v>2.163115619256097E-4</v>
      </c>
      <c r="K2212" s="1232">
        <v>3.0000008603782999E-3</v>
      </c>
      <c r="L2212" s="1233">
        <v>3.0896713346633499E-2</v>
      </c>
      <c r="M2212" s="1234">
        <v>3.0523214567499998E-2</v>
      </c>
      <c r="N2212" s="1235">
        <v>2.2609221088754593E-4</v>
      </c>
    </row>
    <row r="2213" spans="1:14" ht="15.5" x14ac:dyDescent="0.35">
      <c r="A2213" s="199">
        <v>2049</v>
      </c>
      <c r="B2213" s="110" t="s">
        <v>5850</v>
      </c>
      <c r="C2213" s="110">
        <v>2030</v>
      </c>
      <c r="D2213" s="110" t="str">
        <f t="shared" si="17"/>
        <v>2049_2030</v>
      </c>
      <c r="E2213" s="1231">
        <v>1.2376290788793E-2</v>
      </c>
      <c r="F2213" s="1232">
        <v>5.3125365228595615E-2</v>
      </c>
      <c r="G2213" s="1232">
        <v>1.2650521151327501</v>
      </c>
      <c r="H2213" s="1232">
        <v>0.24109184699533487</v>
      </c>
      <c r="I2213" s="1232">
        <v>2.9202793816623801E-2</v>
      </c>
      <c r="J2213" s="1232">
        <v>2.1631156192561011E-4</v>
      </c>
      <c r="K2213" s="1232">
        <v>3.0000008603782999E-3</v>
      </c>
      <c r="L2213" s="1233">
        <v>3.0896713346620499E-2</v>
      </c>
      <c r="M2213" s="1234">
        <v>3.0523214567533201E-2</v>
      </c>
      <c r="N2213" s="1235">
        <v>2.2609221088754633E-4</v>
      </c>
    </row>
    <row r="2214" spans="1:14" ht="15.5" x14ac:dyDescent="0.35">
      <c r="A2214" s="199">
        <v>2049</v>
      </c>
      <c r="B2214" s="110" t="s">
        <v>5850</v>
      </c>
      <c r="C2214" s="110">
        <v>2031</v>
      </c>
      <c r="D2214" s="110" t="str">
        <f t="shared" si="17"/>
        <v>2049_2031</v>
      </c>
      <c r="E2214" s="1231">
        <v>1.23762907887892E-2</v>
      </c>
      <c r="F2214" s="1232">
        <v>5.3125365228595588E-2</v>
      </c>
      <c r="G2214" s="1232">
        <v>1.2650521151329801</v>
      </c>
      <c r="H2214" s="1232">
        <v>0.2410918469953347</v>
      </c>
      <c r="I2214" s="1232">
        <v>2.9202793816584301E-2</v>
      </c>
      <c r="J2214" s="1232">
        <v>2.1631156192560998E-4</v>
      </c>
      <c r="K2214" s="1232">
        <v>3.0000008603782999E-3</v>
      </c>
      <c r="L2214" s="1233">
        <v>3.0896713346636202E-2</v>
      </c>
      <c r="M2214" s="1234">
        <v>3.0523214567492001E-2</v>
      </c>
      <c r="N2214" s="1235">
        <v>2.2609221088754617E-4</v>
      </c>
    </row>
    <row r="2215" spans="1:14" ht="15.5" x14ac:dyDescent="0.35">
      <c r="A2215" s="199">
        <v>2049</v>
      </c>
      <c r="B2215" s="110" t="s">
        <v>5850</v>
      </c>
      <c r="C2215" s="110">
        <v>2032</v>
      </c>
      <c r="D2215" s="110" t="str">
        <f t="shared" si="17"/>
        <v>2049_2032</v>
      </c>
      <c r="E2215" s="1231">
        <v>1.23762907887902E-2</v>
      </c>
      <c r="F2215" s="1232">
        <v>5.3125365228595664E-2</v>
      </c>
      <c r="G2215" s="1232">
        <v>1.19069435399407</v>
      </c>
      <c r="H2215" s="1232">
        <v>0.24109184699533504</v>
      </c>
      <c r="I2215" s="1232">
        <v>2.7431501300933699E-2</v>
      </c>
      <c r="J2215" s="1232">
        <v>2.1631156192561027E-4</v>
      </c>
      <c r="K2215" s="1232">
        <v>3.0000008603782999E-3</v>
      </c>
      <c r="L2215" s="1233">
        <v>3.0896713346638498E-2</v>
      </c>
      <c r="M2215" s="1234">
        <v>2.8671832064277699E-2</v>
      </c>
      <c r="N2215" s="1235">
        <v>2.2609221088754652E-4</v>
      </c>
    </row>
    <row r="2216" spans="1:14" ht="15.5" x14ac:dyDescent="0.35">
      <c r="A2216" s="199">
        <v>2049</v>
      </c>
      <c r="B2216" s="110" t="s">
        <v>5850</v>
      </c>
      <c r="C2216" s="110">
        <v>2033</v>
      </c>
      <c r="D2216" s="110" t="str">
        <f t="shared" si="17"/>
        <v>2049_2033</v>
      </c>
      <c r="E2216" s="1231">
        <v>1.23752317478564E-2</v>
      </c>
      <c r="F2216" s="1232">
        <v>5.3125365228595685E-2</v>
      </c>
      <c r="G2216" s="1232">
        <v>1.1906121670235099</v>
      </c>
      <c r="H2216" s="1232">
        <v>0.24109184699533517</v>
      </c>
      <c r="I2216" s="1232">
        <v>2.74272138011099E-2</v>
      </c>
      <c r="J2216" s="1232">
        <v>2.1631156192561038E-4</v>
      </c>
      <c r="K2216" s="1232">
        <v>3.0000008603782999E-3</v>
      </c>
      <c r="L2216" s="1233">
        <v>3.0896713346629998E-2</v>
      </c>
      <c r="M2216" s="1234">
        <v>2.8667350702737401E-2</v>
      </c>
      <c r="N2216" s="1235">
        <v>2.2609221088754661E-4</v>
      </c>
    </row>
    <row r="2217" spans="1:14" ht="15.5" x14ac:dyDescent="0.35">
      <c r="A2217" s="199">
        <v>2049</v>
      </c>
      <c r="B2217" s="110" t="s">
        <v>5850</v>
      </c>
      <c r="C2217" s="110">
        <v>2034</v>
      </c>
      <c r="D2217" s="110" t="str">
        <f t="shared" si="17"/>
        <v>2049_2034</v>
      </c>
      <c r="E2217" s="1231">
        <v>1.22229037929442E-2</v>
      </c>
      <c r="F2217" s="1232">
        <v>5.312536522859556E-2</v>
      </c>
      <c r="G2217" s="1232">
        <v>1.1786771737080699</v>
      </c>
      <c r="H2217" s="1232">
        <v>0.24109184699533459</v>
      </c>
      <c r="I2217" s="1232">
        <v>2.6810518014165501E-2</v>
      </c>
      <c r="J2217" s="1232">
        <v>2.1631156192560987E-4</v>
      </c>
      <c r="K2217" s="1232">
        <v>3.0000008603782999E-3</v>
      </c>
      <c r="L2217" s="1233">
        <v>3.0896713346635199E-2</v>
      </c>
      <c r="M2217" s="1234">
        <v>2.8022770668854401E-2</v>
      </c>
      <c r="N2217" s="1235">
        <v>2.2609221088754606E-4</v>
      </c>
    </row>
    <row r="2218" spans="1:14" ht="15.5" x14ac:dyDescent="0.35">
      <c r="A2218" s="199">
        <v>2049</v>
      </c>
      <c r="B2218" s="110" t="s">
        <v>5850</v>
      </c>
      <c r="C2218" s="110">
        <v>2035</v>
      </c>
      <c r="D2218" s="110" t="str">
        <f t="shared" si="17"/>
        <v>2049_2035</v>
      </c>
      <c r="E2218" s="1231">
        <v>1.20536505093542E-2</v>
      </c>
      <c r="F2218" s="1232">
        <v>4.7812828705736006E-2</v>
      </c>
      <c r="G2218" s="1232">
        <v>1.16514205690467</v>
      </c>
      <c r="H2218" s="1232">
        <v>0.21698266229580115</v>
      </c>
      <c r="I2218" s="1232">
        <v>2.6125300471702001E-2</v>
      </c>
      <c r="J2218" s="1232">
        <v>1.9468040573304891E-4</v>
      </c>
      <c r="K2218" s="1232">
        <v>3.0000008603782999E-3</v>
      </c>
      <c r="L2218" s="1233">
        <v>3.08967133466269E-2</v>
      </c>
      <c r="M2218" s="1234">
        <v>2.7306570629728501E-2</v>
      </c>
      <c r="N2218" s="1235">
        <v>2.0348298979879146E-4</v>
      </c>
    </row>
    <row r="2219" spans="1:14" ht="15.5" x14ac:dyDescent="0.35">
      <c r="A2219" s="199">
        <v>2049</v>
      </c>
      <c r="B2219" s="110" t="s">
        <v>5850</v>
      </c>
      <c r="C2219" s="110">
        <v>2036</v>
      </c>
      <c r="D2219" s="110" t="str">
        <f t="shared" si="17"/>
        <v>2049_2036</v>
      </c>
      <c r="E2219" s="1231">
        <v>1.18655913053623E-2</v>
      </c>
      <c r="F2219" s="1232">
        <v>4.3031545835162381E-2</v>
      </c>
      <c r="G2219" s="1232">
        <v>1.1497449984079899</v>
      </c>
      <c r="H2219" s="1232">
        <v>0.19528439606622092</v>
      </c>
      <c r="I2219" s="1232">
        <v>2.53639476467112E-2</v>
      </c>
      <c r="J2219" s="1232">
        <v>1.7521236515974392E-4</v>
      </c>
      <c r="K2219" s="1232">
        <v>3.0000008603782999E-3</v>
      </c>
      <c r="L2219" s="1233">
        <v>3.0896713346631102E-2</v>
      </c>
      <c r="M2219" s="1234">
        <v>2.6510792808444698E-2</v>
      </c>
      <c r="N2219" s="1235">
        <v>1.8313469081891222E-4</v>
      </c>
    </row>
    <row r="2220" spans="1:14" ht="15.5" x14ac:dyDescent="0.35">
      <c r="A2220" s="199">
        <v>2049</v>
      </c>
      <c r="B2220" s="110" t="s">
        <v>5850</v>
      </c>
      <c r="C2220" s="110">
        <v>2037</v>
      </c>
      <c r="D2220" s="110" t="str">
        <f t="shared" si="17"/>
        <v>2049_2037</v>
      </c>
      <c r="E2220" s="1231">
        <v>1.1656636634261299E-2</v>
      </c>
      <c r="F2220" s="1232">
        <v>3.8728391251646482E-2</v>
      </c>
      <c r="G2220" s="1232">
        <v>1.13216522072716</v>
      </c>
      <c r="H2220" s="1232">
        <v>0.17575595645960035</v>
      </c>
      <c r="I2220" s="1232">
        <v>2.4518000063398299E-2</v>
      </c>
      <c r="J2220" s="1232">
        <v>1.5769112864377088E-4</v>
      </c>
      <c r="K2220" s="1232">
        <v>3.0000008603782999E-3</v>
      </c>
      <c r="L2220" s="1233">
        <v>3.0896713346632101E-2</v>
      </c>
      <c r="M2220" s="1234">
        <v>2.56265952292512E-2</v>
      </c>
      <c r="N2220" s="1235">
        <v>1.6482122173702241E-4</v>
      </c>
    </row>
    <row r="2221" spans="1:14" ht="15.5" x14ac:dyDescent="0.35">
      <c r="A2221" s="199">
        <v>2049</v>
      </c>
      <c r="B2221" s="110" t="s">
        <v>5850</v>
      </c>
      <c r="C2221" s="110">
        <v>2038</v>
      </c>
      <c r="D2221" s="110" t="str">
        <f t="shared" si="17"/>
        <v>2049_2038</v>
      </c>
      <c r="E2221" s="1231">
        <v>1.1424464777482501E-2</v>
      </c>
      <c r="F2221" s="1232">
        <v>3.4855552126481441E-2</v>
      </c>
      <c r="G2221" s="1232">
        <v>1.1120034928592</v>
      </c>
      <c r="H2221" s="1232">
        <v>0.15818036081363854</v>
      </c>
      <c r="I2221" s="1232">
        <v>2.3578058304166701E-2</v>
      </c>
      <c r="J2221" s="1232">
        <v>1.4192201577939223E-4</v>
      </c>
      <c r="K2221" s="1232">
        <v>3.0000008603782999E-3</v>
      </c>
      <c r="L2221" s="1233">
        <v>3.0896713346629402E-2</v>
      </c>
      <c r="M2221" s="1234">
        <v>2.4644153474596898E-2</v>
      </c>
      <c r="N2221" s="1235">
        <v>1.4833909956331852E-4</v>
      </c>
    </row>
    <row r="2222" spans="1:14" ht="15.5" x14ac:dyDescent="0.35">
      <c r="A2222" s="198">
        <v>2049</v>
      </c>
      <c r="B2222" s="197" t="s">
        <v>5850</v>
      </c>
      <c r="C2222" s="197">
        <v>2039</v>
      </c>
      <c r="D2222" s="110" t="str">
        <f t="shared" si="17"/>
        <v>2049_2039</v>
      </c>
      <c r="E2222" s="1231">
        <v>1.1166496047728101E-2</v>
      </c>
      <c r="F2222" s="1232">
        <v>3.1369996913833478E-2</v>
      </c>
      <c r="G2222" s="1232">
        <v>1.08875335397839</v>
      </c>
      <c r="H2222" s="1232">
        <v>0.1423623247322755</v>
      </c>
      <c r="I2222" s="1232">
        <v>2.25336785716846E-2</v>
      </c>
      <c r="J2222" s="1232">
        <v>1.2772981420145372E-4</v>
      </c>
      <c r="K2222" s="1232">
        <v>3.0000008603782999E-3</v>
      </c>
      <c r="L2222" s="1233">
        <v>3.0896713346627899E-2</v>
      </c>
      <c r="M2222" s="1234">
        <v>2.3552551524978399E-2</v>
      </c>
      <c r="N2222" s="1235">
        <v>1.3350518960698744E-4</v>
      </c>
    </row>
    <row r="2223" spans="1:14" ht="15.5" x14ac:dyDescent="0.35">
      <c r="A2223" s="198">
        <v>2049</v>
      </c>
      <c r="B2223" s="197" t="s">
        <v>5850</v>
      </c>
      <c r="C2223" s="197">
        <v>2040</v>
      </c>
      <c r="D2223" s="110" t="str">
        <f t="shared" si="17"/>
        <v>2049_2040</v>
      </c>
      <c r="E2223" s="1231">
        <v>1.08798641257771E-2</v>
      </c>
      <c r="F2223" s="1232">
        <v>2.8232997222450092E-2</v>
      </c>
      <c r="G2223" s="1232">
        <v>1.06175695080612</v>
      </c>
      <c r="H2223" s="1232">
        <v>0.12812609225904778</v>
      </c>
      <c r="I2223" s="1232">
        <v>2.13732566466933E-2</v>
      </c>
      <c r="J2223" s="1232">
        <v>1.149568327813082E-4</v>
      </c>
      <c r="K2223" s="1232">
        <v>3.0000008603782999E-3</v>
      </c>
      <c r="L2223" s="1233">
        <v>3.0896713346631199E-2</v>
      </c>
      <c r="M2223" s="1234">
        <v>2.2339660469835099E-2</v>
      </c>
      <c r="N2223" s="1235">
        <v>1.2015467064628853E-4</v>
      </c>
    </row>
    <row r="2224" spans="1:14" ht="15.5" x14ac:dyDescent="0.35">
      <c r="A2224" s="198">
        <v>2049</v>
      </c>
      <c r="B2224" s="197" t="s">
        <v>5850</v>
      </c>
      <c r="C2224" s="197">
        <v>2041</v>
      </c>
      <c r="D2224" s="110" t="str">
        <f t="shared" si="17"/>
        <v>2049_2041</v>
      </c>
      <c r="E2224" s="1231">
        <v>1.05613842125011E-2</v>
      </c>
      <c r="F2224" s="1232">
        <v>2.5409697500205108E-2</v>
      </c>
      <c r="G2224" s="1232">
        <v>1.03013397393554</v>
      </c>
      <c r="H2224" s="1232">
        <v>0.11531348303314312</v>
      </c>
      <c r="I2224" s="1232">
        <v>2.00838989522731E-2</v>
      </c>
      <c r="J2224" s="1232">
        <v>1.0346114950317749E-4</v>
      </c>
      <c r="K2224" s="1232">
        <v>3.0000008603782999E-3</v>
      </c>
      <c r="L2224" s="1233">
        <v>3.08967133466297E-2</v>
      </c>
      <c r="M2224" s="1234">
        <v>2.09920037419132E-2</v>
      </c>
      <c r="N2224" s="1235">
        <v>1.0813920358165979E-4</v>
      </c>
    </row>
    <row r="2225" spans="1:14" ht="15.5" x14ac:dyDescent="0.35">
      <c r="A2225" s="198">
        <v>2049</v>
      </c>
      <c r="B2225" s="197" t="s">
        <v>5850</v>
      </c>
      <c r="C2225" s="197">
        <v>2042</v>
      </c>
      <c r="D2225" s="110" t="str">
        <f t="shared" si="17"/>
        <v>2049_2042</v>
      </c>
      <c r="E2225" s="1231">
        <v>1.02075176421923E-2</v>
      </c>
      <c r="F2225" s="1232">
        <v>2.5409697500204893E-2</v>
      </c>
      <c r="G2225" s="1232">
        <v>0.99266034763522604</v>
      </c>
      <c r="H2225" s="1232">
        <v>0.11531348303314187</v>
      </c>
      <c r="I2225" s="1232">
        <v>1.86512792917977E-2</v>
      </c>
      <c r="J2225" s="1232">
        <v>1.0346114950317636E-4</v>
      </c>
      <c r="K2225" s="1232">
        <v>3.0000008603782999E-3</v>
      </c>
      <c r="L2225" s="1233">
        <v>3.0896713346630401E-2</v>
      </c>
      <c r="M2225" s="1234">
        <v>1.9494607377546699E-2</v>
      </c>
      <c r="N2225" s="1235">
        <v>1.0813920358165861E-4</v>
      </c>
    </row>
    <row r="2226" spans="1:14" ht="15.5" x14ac:dyDescent="0.35">
      <c r="A2226" s="198">
        <v>2049</v>
      </c>
      <c r="B2226" s="197" t="s">
        <v>5850</v>
      </c>
      <c r="C2226" s="197">
        <v>2043</v>
      </c>
      <c r="D2226" s="110" t="str">
        <f t="shared" si="17"/>
        <v>2049_2043</v>
      </c>
      <c r="E2226" s="1231">
        <v>9.8536510718843003E-3</v>
      </c>
      <c r="F2226" s="1232">
        <v>2.5409697500205022E-2</v>
      </c>
      <c r="G2226" s="1232">
        <v>0.95224434736867902</v>
      </c>
      <c r="H2226" s="1232">
        <v>0.11531348303314273</v>
      </c>
      <c r="I2226" s="1232">
        <v>1.72186596313222E-2</v>
      </c>
      <c r="J2226" s="1232">
        <v>1.0346114950317715E-4</v>
      </c>
      <c r="K2226" s="1232">
        <v>3.0000008603782999E-3</v>
      </c>
      <c r="L2226" s="1233">
        <v>3.0896713346633201E-2</v>
      </c>
      <c r="M2226" s="1234">
        <v>1.7997211013180098E-2</v>
      </c>
      <c r="N2226" s="1235">
        <v>1.0813920358165943E-4</v>
      </c>
    </row>
    <row r="2227" spans="1:14" ht="15.5" x14ac:dyDescent="0.35">
      <c r="A2227" s="198">
        <v>2049</v>
      </c>
      <c r="B2227" s="197" t="s">
        <v>5850</v>
      </c>
      <c r="C2227" s="197">
        <v>2044</v>
      </c>
      <c r="D2227" s="110" t="str">
        <f t="shared" si="17"/>
        <v>2049_2044</v>
      </c>
      <c r="E2227" s="1231">
        <v>9.4997845015766906E-3</v>
      </c>
      <c r="F2227" s="1232">
        <v>2.5409697500204935E-2</v>
      </c>
      <c r="G2227" s="1232">
        <v>0.90784257461766704</v>
      </c>
      <c r="H2227" s="1232">
        <v>0.11511143435504691</v>
      </c>
      <c r="I2227" s="1232">
        <v>1.6156820964826998E-2</v>
      </c>
      <c r="J2227" s="1232">
        <v>1.0346114950317677E-4</v>
      </c>
      <c r="K2227" s="1232">
        <v>3.0000008603782999E-3</v>
      </c>
      <c r="L2227" s="1233">
        <v>3.0896713346630099E-2</v>
      </c>
      <c r="M2227" s="1234">
        <v>1.6887360714025301E-2</v>
      </c>
      <c r="N2227" s="1235">
        <v>1.0813920358165905E-4</v>
      </c>
    </row>
    <row r="2228" spans="1:14" ht="15.5" x14ac:dyDescent="0.35">
      <c r="A2228" s="198">
        <v>2049</v>
      </c>
      <c r="B2228" s="197" t="s">
        <v>5850</v>
      </c>
      <c r="C2228" s="197">
        <v>2045</v>
      </c>
      <c r="D2228" s="110" t="str">
        <f t="shared" si="17"/>
        <v>2049_2045</v>
      </c>
      <c r="E2228" s="1231">
        <v>9.1459179312684304E-3</v>
      </c>
      <c r="F2228" s="1232">
        <v>2.5409697500205095E-2</v>
      </c>
      <c r="G2228" s="1232">
        <v>0.85229412873187904</v>
      </c>
      <c r="H2228" s="1232">
        <v>0.11111803299503306</v>
      </c>
      <c r="I2228" s="1232">
        <v>1.5110304804340099E-2</v>
      </c>
      <c r="J2228" s="1232">
        <v>1.0346114950317743E-4</v>
      </c>
      <c r="K2228" s="1232">
        <v>3.0000008603782999E-3</v>
      </c>
      <c r="L2228" s="1233">
        <v>3.0896713346629998E-2</v>
      </c>
      <c r="M2228" s="1234">
        <v>1.5793525736607899E-2</v>
      </c>
      <c r="N2228" s="1235">
        <v>1.0813920358165974E-4</v>
      </c>
    </row>
    <row r="2229" spans="1:14" ht="15.5" x14ac:dyDescent="0.35">
      <c r="A2229" s="198">
        <v>2049</v>
      </c>
      <c r="B2229" s="197" t="s">
        <v>5850</v>
      </c>
      <c r="C2229" s="197">
        <v>2046</v>
      </c>
      <c r="D2229" s="110" t="str">
        <f t="shared" si="17"/>
        <v>2049_2046</v>
      </c>
      <c r="E2229" s="1231">
        <v>8.7920513609599706E-3</v>
      </c>
      <c r="F2229" s="1232">
        <v>2.5409697500205049E-2</v>
      </c>
      <c r="G2229" s="1232">
        <v>0.78642330269745297</v>
      </c>
      <c r="H2229" s="1232">
        <v>0.10425261717819546</v>
      </c>
      <c r="I2229" s="1232">
        <v>1.40526960595452E-2</v>
      </c>
      <c r="J2229" s="1232">
        <v>1.0346114950317723E-4</v>
      </c>
      <c r="K2229" s="1232">
        <v>3.0000008603782999E-3</v>
      </c>
      <c r="L2229" s="1233">
        <v>3.0896713346632999E-2</v>
      </c>
      <c r="M2229" s="1234">
        <v>1.4688096617442701E-2</v>
      </c>
      <c r="N2229" s="1235">
        <v>1.0813920358165955E-4</v>
      </c>
    </row>
    <row r="2230" spans="1:14" ht="15.5" x14ac:dyDescent="0.35">
      <c r="A2230" s="198">
        <v>2049</v>
      </c>
      <c r="B2230" s="197" t="s">
        <v>5850</v>
      </c>
      <c r="C2230" s="197">
        <v>2047</v>
      </c>
      <c r="D2230" s="110" t="str">
        <f t="shared" si="17"/>
        <v>2049_2047</v>
      </c>
      <c r="E2230" s="1231">
        <v>8.4381847906522794E-3</v>
      </c>
      <c r="F2230" s="1232">
        <v>2.540969750020514E-2</v>
      </c>
      <c r="G2230" s="1232">
        <v>0.71003313862580597</v>
      </c>
      <c r="H2230" s="1232">
        <v>9.5434525129629952E-2</v>
      </c>
      <c r="I2230" s="1232">
        <v>1.30117552244379E-2</v>
      </c>
      <c r="J2230" s="1232">
        <v>1.0346114950317761E-4</v>
      </c>
      <c r="K2230" s="1232">
        <v>3.0000008603782999E-3</v>
      </c>
      <c r="L2230" s="1233">
        <v>3.0896713346630598E-2</v>
      </c>
      <c r="M2230" s="1234">
        <v>1.36000890568783E-2</v>
      </c>
      <c r="N2230" s="1235">
        <v>1.0813920358165993E-4</v>
      </c>
    </row>
    <row r="2231" spans="1:14" ht="15.5" x14ac:dyDescent="0.35">
      <c r="A2231" s="198">
        <v>2049</v>
      </c>
      <c r="B2231" s="197" t="s">
        <v>5850</v>
      </c>
      <c r="C2231" s="197">
        <v>2048</v>
      </c>
      <c r="D2231" s="110" t="str">
        <f t="shared" si="17"/>
        <v>2049_2048</v>
      </c>
      <c r="E2231" s="1231">
        <v>8.0843182203441891E-3</v>
      </c>
      <c r="F2231" s="1232">
        <v>2.5409697500205115E-2</v>
      </c>
      <c r="G2231" s="1232">
        <v>0.62078713049307099</v>
      </c>
      <c r="H2231" s="1232">
        <v>8.558309457399163E-2</v>
      </c>
      <c r="I2231" s="1232">
        <v>1.2006559951915701E-2</v>
      </c>
      <c r="J2231" s="1232">
        <v>1.034611495031775E-4</v>
      </c>
      <c r="K2231" s="1232">
        <v>3.0000008603782999E-3</v>
      </c>
      <c r="L2231" s="1233">
        <v>3.08967133466309E-2</v>
      </c>
      <c r="M2231" s="1234">
        <v>1.25494433146207E-2</v>
      </c>
      <c r="N2231" s="1235">
        <v>1.0813920358165982E-4</v>
      </c>
    </row>
    <row r="2232" spans="1:14" ht="15.5" x14ac:dyDescent="0.35">
      <c r="A2232" s="198">
        <v>2049</v>
      </c>
      <c r="B2232" s="197" t="s">
        <v>5850</v>
      </c>
      <c r="C2232" s="197">
        <v>2049</v>
      </c>
      <c r="D2232" s="110" t="str">
        <f t="shared" si="17"/>
        <v>2049_2049</v>
      </c>
      <c r="E2232" s="1231">
        <v>7.7307119912207898E-3</v>
      </c>
      <c r="F2232" s="1232">
        <v>2.5409699753168438E-2</v>
      </c>
      <c r="G2232" s="1232">
        <v>0.51042227214411695</v>
      </c>
      <c r="H2232" s="1232">
        <v>7.5617670691273772E-2</v>
      </c>
      <c r="I2232" s="1232">
        <v>1.1049236703726E-2</v>
      </c>
      <c r="J2232" s="1232">
        <v>1.0346115867661141E-4</v>
      </c>
      <c r="K2232" s="1232">
        <v>3.0000008603779599E-3</v>
      </c>
      <c r="L2232" s="1233">
        <v>3.0894906868973698E-2</v>
      </c>
      <c r="M2232" s="1234">
        <v>1.15488341572067E-2</v>
      </c>
      <c r="N2232" s="1235">
        <v>1.0813921316987557E-4</v>
      </c>
    </row>
    <row r="2233" spans="1:14" ht="15.5" x14ac:dyDescent="0.35">
      <c r="A2233" s="198">
        <v>2049</v>
      </c>
      <c r="B2233" s="197" t="s">
        <v>5850</v>
      </c>
      <c r="C2233" s="197">
        <v>2050</v>
      </c>
      <c r="D2233" s="110" t="str">
        <f t="shared" si="17"/>
        <v>2049_2050</v>
      </c>
      <c r="E2233" s="1231">
        <v>7.3754123887364098E-3</v>
      </c>
      <c r="F2233" s="1232">
        <v>6.0983248467240826E-2</v>
      </c>
      <c r="G2233" s="1232">
        <v>0.35071602047144501</v>
      </c>
      <c r="H2233" s="1232">
        <v>0.1814823175824796</v>
      </c>
      <c r="I2233" s="1232">
        <v>1.0137807717103899E-2</v>
      </c>
      <c r="J2233" s="1232">
        <v>2.4830665484340021E-4</v>
      </c>
      <c r="K2233" s="1232">
        <v>3.0000008603799102E-3</v>
      </c>
      <c r="L2233" s="1233">
        <v>3.0905240860328899E-2</v>
      </c>
      <c r="M2233" s="1234">
        <v>1.05961943962159E-2</v>
      </c>
      <c r="N2233" s="1235">
        <v>2.5953397993095691E-4</v>
      </c>
    </row>
    <row r="2234" spans="1:14" ht="15.5" x14ac:dyDescent="0.35">
      <c r="A2234" s="199">
        <v>2050</v>
      </c>
      <c r="B2234" s="110" t="s">
        <v>5850</v>
      </c>
      <c r="C2234" s="110">
        <v>1971</v>
      </c>
      <c r="D2234" s="110" t="str">
        <f t="shared" si="17"/>
        <v>2050_1971</v>
      </c>
      <c r="E2234" s="1226">
        <v>0.124170801900406</v>
      </c>
      <c r="F2234" s="1227">
        <v>5.2947822758168873E-2</v>
      </c>
      <c r="G2234" s="1227">
        <v>5.1254379061378401</v>
      </c>
      <c r="H2234" s="1227">
        <v>0.71107399859064691</v>
      </c>
      <c r="I2234" s="1227">
        <v>5.72286273173249E-2</v>
      </c>
      <c r="J2234" s="1227">
        <v>2.1631117944529118E-4</v>
      </c>
      <c r="K2234" s="1227">
        <v>3.0000008603782999E-3</v>
      </c>
      <c r="L2234" s="1228">
        <v>2.7963063307680999E-2</v>
      </c>
      <c r="M2234" s="1229">
        <v>5.9816251896341703E-2</v>
      </c>
      <c r="N2234" s="1230">
        <v>2.260918111131646E-4</v>
      </c>
    </row>
    <row r="2235" spans="1:14" ht="15.5" x14ac:dyDescent="0.35">
      <c r="A2235" s="199">
        <v>2050</v>
      </c>
      <c r="B2235" s="110" t="s">
        <v>5850</v>
      </c>
      <c r="C2235" s="110">
        <v>1972</v>
      </c>
      <c r="D2235" s="110" t="str">
        <f t="shared" si="17"/>
        <v>2050_1972</v>
      </c>
      <c r="E2235" s="1226">
        <v>0.124170801900406</v>
      </c>
      <c r="F2235" s="1227">
        <v>5.2947822758168873E-2</v>
      </c>
      <c r="G2235" s="1227">
        <v>5.1254379061378401</v>
      </c>
      <c r="H2235" s="1227">
        <v>0.71107399859064691</v>
      </c>
      <c r="I2235" s="1227">
        <v>5.72286273173249E-2</v>
      </c>
      <c r="J2235" s="1227">
        <v>2.1631117944529118E-4</v>
      </c>
      <c r="K2235" s="1227">
        <v>3.0000008603782999E-3</v>
      </c>
      <c r="L2235" s="1228">
        <v>2.7963063307680999E-2</v>
      </c>
      <c r="M2235" s="1229">
        <v>5.9816251896341703E-2</v>
      </c>
      <c r="N2235" s="1230">
        <v>2.260918111131646E-4</v>
      </c>
    </row>
    <row r="2236" spans="1:14" ht="15.5" x14ac:dyDescent="0.35">
      <c r="A2236" s="199">
        <v>2050</v>
      </c>
      <c r="B2236" s="110" t="s">
        <v>5850</v>
      </c>
      <c r="C2236" s="110">
        <v>1973</v>
      </c>
      <c r="D2236" s="110" t="str">
        <f t="shared" si="17"/>
        <v>2050_1973</v>
      </c>
      <c r="E2236" s="1226">
        <v>0.124170801900406</v>
      </c>
      <c r="F2236" s="1227">
        <v>5.2947822758168873E-2</v>
      </c>
      <c r="G2236" s="1227">
        <v>5.1254379061378401</v>
      </c>
      <c r="H2236" s="1227">
        <v>0.71107399859064691</v>
      </c>
      <c r="I2236" s="1227">
        <v>5.72286273173249E-2</v>
      </c>
      <c r="J2236" s="1227">
        <v>2.1631117944529118E-4</v>
      </c>
      <c r="K2236" s="1227">
        <v>3.0000008603782999E-3</v>
      </c>
      <c r="L2236" s="1228">
        <v>2.7963063307680999E-2</v>
      </c>
      <c r="M2236" s="1229">
        <v>5.9816251896341703E-2</v>
      </c>
      <c r="N2236" s="1230">
        <v>2.260918111131646E-4</v>
      </c>
    </row>
    <row r="2237" spans="1:14" ht="15.5" x14ac:dyDescent="0.35">
      <c r="A2237" s="199">
        <v>2050</v>
      </c>
      <c r="B2237" s="110" t="s">
        <v>5850</v>
      </c>
      <c r="C2237" s="110">
        <v>1974</v>
      </c>
      <c r="D2237" s="110" t="str">
        <f t="shared" si="17"/>
        <v>2050_1974</v>
      </c>
      <c r="E2237" s="1226">
        <v>0.124170801900406</v>
      </c>
      <c r="F2237" s="1227">
        <v>5.2947822758168873E-2</v>
      </c>
      <c r="G2237" s="1227">
        <v>5.1254379061378401</v>
      </c>
      <c r="H2237" s="1227">
        <v>0.71107399859064691</v>
      </c>
      <c r="I2237" s="1227">
        <v>5.72286273173249E-2</v>
      </c>
      <c r="J2237" s="1227">
        <v>2.1631117944529118E-4</v>
      </c>
      <c r="K2237" s="1227">
        <v>3.0000008603782999E-3</v>
      </c>
      <c r="L2237" s="1228">
        <v>2.7963063307680999E-2</v>
      </c>
      <c r="M2237" s="1229">
        <v>5.9816251896341703E-2</v>
      </c>
      <c r="N2237" s="1230">
        <v>2.260918111131646E-4</v>
      </c>
    </row>
    <row r="2238" spans="1:14" ht="15.5" x14ac:dyDescent="0.35">
      <c r="A2238" s="199">
        <v>2050</v>
      </c>
      <c r="B2238" s="110" t="s">
        <v>5850</v>
      </c>
      <c r="C2238" s="110">
        <v>1975</v>
      </c>
      <c r="D2238" s="110" t="str">
        <f t="shared" si="17"/>
        <v>2050_1975</v>
      </c>
      <c r="E2238" s="1226">
        <v>0.124170801900406</v>
      </c>
      <c r="F2238" s="1227">
        <v>5.2947822758168873E-2</v>
      </c>
      <c r="G2238" s="1227">
        <v>5.1254379061378401</v>
      </c>
      <c r="H2238" s="1227">
        <v>0.71107399859064691</v>
      </c>
      <c r="I2238" s="1227">
        <v>5.72286273173249E-2</v>
      </c>
      <c r="J2238" s="1227">
        <v>2.1631117944529118E-4</v>
      </c>
      <c r="K2238" s="1227">
        <v>3.0000008603782999E-3</v>
      </c>
      <c r="L2238" s="1228">
        <v>2.7963063307680999E-2</v>
      </c>
      <c r="M2238" s="1229">
        <v>5.9816251896341703E-2</v>
      </c>
      <c r="N2238" s="1230">
        <v>2.260918111131646E-4</v>
      </c>
    </row>
    <row r="2239" spans="1:14" ht="15.5" x14ac:dyDescent="0.35">
      <c r="A2239" s="199">
        <v>2050</v>
      </c>
      <c r="B2239" s="110" t="s">
        <v>5850</v>
      </c>
      <c r="C2239" s="110">
        <v>1976</v>
      </c>
      <c r="D2239" s="110" t="str">
        <f t="shared" si="17"/>
        <v>2050_1976</v>
      </c>
      <c r="E2239" s="1226">
        <v>0.124170801900406</v>
      </c>
      <c r="F2239" s="1227">
        <v>5.2947822758168873E-2</v>
      </c>
      <c r="G2239" s="1227">
        <v>5.1254379061378401</v>
      </c>
      <c r="H2239" s="1227">
        <v>0.71107399859064691</v>
      </c>
      <c r="I2239" s="1227">
        <v>5.72286273173249E-2</v>
      </c>
      <c r="J2239" s="1227">
        <v>2.1631117944529118E-4</v>
      </c>
      <c r="K2239" s="1227">
        <v>3.0000008603782999E-3</v>
      </c>
      <c r="L2239" s="1228">
        <v>2.7963063307680999E-2</v>
      </c>
      <c r="M2239" s="1229">
        <v>5.9816251896341703E-2</v>
      </c>
      <c r="N2239" s="1230">
        <v>2.260918111131646E-4</v>
      </c>
    </row>
    <row r="2240" spans="1:14" ht="15.5" x14ac:dyDescent="0.35">
      <c r="A2240" s="199">
        <v>2050</v>
      </c>
      <c r="B2240" s="110" t="s">
        <v>5850</v>
      </c>
      <c r="C2240" s="110">
        <v>1977</v>
      </c>
      <c r="D2240" s="110" t="str">
        <f t="shared" si="17"/>
        <v>2050_1977</v>
      </c>
      <c r="E2240" s="1226">
        <v>0.124170801900406</v>
      </c>
      <c r="F2240" s="1227">
        <v>5.2947822758168873E-2</v>
      </c>
      <c r="G2240" s="1227">
        <v>5.1254379061378401</v>
      </c>
      <c r="H2240" s="1227">
        <v>0.71107399859064691</v>
      </c>
      <c r="I2240" s="1227">
        <v>5.72286273173249E-2</v>
      </c>
      <c r="J2240" s="1227">
        <v>2.1631117944529118E-4</v>
      </c>
      <c r="K2240" s="1227">
        <v>3.0000008603782999E-3</v>
      </c>
      <c r="L2240" s="1228">
        <v>2.7963063307680999E-2</v>
      </c>
      <c r="M2240" s="1229">
        <v>5.9816251896341703E-2</v>
      </c>
      <c r="N2240" s="1230">
        <v>2.260918111131646E-4</v>
      </c>
    </row>
    <row r="2241" spans="1:14" ht="15.5" x14ac:dyDescent="0.35">
      <c r="A2241" s="199">
        <v>2050</v>
      </c>
      <c r="B2241" s="110" t="s">
        <v>5850</v>
      </c>
      <c r="C2241" s="110">
        <v>1978</v>
      </c>
      <c r="D2241" s="110" t="str">
        <f t="shared" si="17"/>
        <v>2050_1978</v>
      </c>
      <c r="E2241" s="1226">
        <v>0.124170801900406</v>
      </c>
      <c r="F2241" s="1227">
        <v>5.2947822758168873E-2</v>
      </c>
      <c r="G2241" s="1227">
        <v>5.1254379061378401</v>
      </c>
      <c r="H2241" s="1227">
        <v>0.71107399859064691</v>
      </c>
      <c r="I2241" s="1227">
        <v>5.72286273173249E-2</v>
      </c>
      <c r="J2241" s="1227">
        <v>2.1631117944529118E-4</v>
      </c>
      <c r="K2241" s="1227">
        <v>3.0000008603782999E-3</v>
      </c>
      <c r="L2241" s="1228">
        <v>2.7963063307680999E-2</v>
      </c>
      <c r="M2241" s="1229">
        <v>5.9816251896341703E-2</v>
      </c>
      <c r="N2241" s="1230">
        <v>2.260918111131646E-4</v>
      </c>
    </row>
    <row r="2242" spans="1:14" ht="15.5" x14ac:dyDescent="0.35">
      <c r="A2242" s="199">
        <v>2050</v>
      </c>
      <c r="B2242" s="110" t="s">
        <v>5850</v>
      </c>
      <c r="C2242" s="110">
        <v>1979</v>
      </c>
      <c r="D2242" s="110" t="str">
        <f t="shared" si="17"/>
        <v>2050_1979</v>
      </c>
      <c r="E2242" s="1226">
        <v>0.124170801900406</v>
      </c>
      <c r="F2242" s="1227">
        <v>5.2947822758168873E-2</v>
      </c>
      <c r="G2242" s="1227">
        <v>5.1254379061378401</v>
      </c>
      <c r="H2242" s="1227">
        <v>0.71107399859064691</v>
      </c>
      <c r="I2242" s="1227">
        <v>5.72286273173249E-2</v>
      </c>
      <c r="J2242" s="1227">
        <v>2.1631117944529118E-4</v>
      </c>
      <c r="K2242" s="1227">
        <v>3.0000008603782999E-3</v>
      </c>
      <c r="L2242" s="1228">
        <v>2.7963063307680999E-2</v>
      </c>
      <c r="M2242" s="1229">
        <v>5.9816251896341703E-2</v>
      </c>
      <c r="N2242" s="1230">
        <v>2.260918111131646E-4</v>
      </c>
    </row>
    <row r="2243" spans="1:14" ht="15.5" x14ac:dyDescent="0.35">
      <c r="A2243" s="199">
        <v>2050</v>
      </c>
      <c r="B2243" s="110" t="s">
        <v>5850</v>
      </c>
      <c r="C2243" s="110">
        <v>1980</v>
      </c>
      <c r="D2243" s="110" t="str">
        <f t="shared" si="17"/>
        <v>2050_1980</v>
      </c>
      <c r="E2243" s="1226">
        <v>0.124170801900406</v>
      </c>
      <c r="F2243" s="1227">
        <v>5.2947822758168873E-2</v>
      </c>
      <c r="G2243" s="1227">
        <v>5.1254379061378401</v>
      </c>
      <c r="H2243" s="1227">
        <v>0.71107399859064691</v>
      </c>
      <c r="I2243" s="1227">
        <v>5.72286273173249E-2</v>
      </c>
      <c r="J2243" s="1227">
        <v>2.1631117944529118E-4</v>
      </c>
      <c r="K2243" s="1227">
        <v>3.0000008603782999E-3</v>
      </c>
      <c r="L2243" s="1228">
        <v>2.7963063307680999E-2</v>
      </c>
      <c r="M2243" s="1229">
        <v>5.9816251896341703E-2</v>
      </c>
      <c r="N2243" s="1230">
        <v>2.260918111131646E-4</v>
      </c>
    </row>
    <row r="2244" spans="1:14" ht="15.5" x14ac:dyDescent="0.35">
      <c r="A2244" s="199">
        <v>2050</v>
      </c>
      <c r="B2244" s="110" t="s">
        <v>5850</v>
      </c>
      <c r="C2244" s="110">
        <v>1981</v>
      </c>
      <c r="D2244" s="110" t="str">
        <f t="shared" si="17"/>
        <v>2050_1981</v>
      </c>
      <c r="E2244" s="1226">
        <v>0.124170801900406</v>
      </c>
      <c r="F2244" s="1227">
        <v>5.2947822758168873E-2</v>
      </c>
      <c r="G2244" s="1227">
        <v>5.1254379061378401</v>
      </c>
      <c r="H2244" s="1227">
        <v>0.71107399859064691</v>
      </c>
      <c r="I2244" s="1227">
        <v>5.72286273173249E-2</v>
      </c>
      <c r="J2244" s="1227">
        <v>2.1631117944529118E-4</v>
      </c>
      <c r="K2244" s="1227">
        <v>3.0000008603782999E-3</v>
      </c>
      <c r="L2244" s="1228">
        <v>2.7963063307680999E-2</v>
      </c>
      <c r="M2244" s="1229">
        <v>5.9816251896341703E-2</v>
      </c>
      <c r="N2244" s="1230">
        <v>2.260918111131646E-4</v>
      </c>
    </row>
    <row r="2245" spans="1:14" ht="15.5" x14ac:dyDescent="0.35">
      <c r="A2245" s="199">
        <v>2050</v>
      </c>
      <c r="B2245" s="110" t="s">
        <v>5850</v>
      </c>
      <c r="C2245" s="110">
        <v>1982</v>
      </c>
      <c r="D2245" s="110" t="str">
        <f t="shared" si="17"/>
        <v>2050_1982</v>
      </c>
      <c r="E2245" s="1226">
        <v>0.124170801900406</v>
      </c>
      <c r="F2245" s="1227">
        <v>5.2947822758168873E-2</v>
      </c>
      <c r="G2245" s="1227">
        <v>5.1254379061378401</v>
      </c>
      <c r="H2245" s="1227">
        <v>0.71107399859064691</v>
      </c>
      <c r="I2245" s="1227">
        <v>5.72286273173249E-2</v>
      </c>
      <c r="J2245" s="1227">
        <v>2.1631117944529118E-4</v>
      </c>
      <c r="K2245" s="1227">
        <v>3.0000008603782999E-3</v>
      </c>
      <c r="L2245" s="1228">
        <v>2.7963063307680999E-2</v>
      </c>
      <c r="M2245" s="1229">
        <v>5.9816251896341703E-2</v>
      </c>
      <c r="N2245" s="1230">
        <v>2.260918111131646E-4</v>
      </c>
    </row>
    <row r="2246" spans="1:14" ht="15.5" x14ac:dyDescent="0.35">
      <c r="A2246" s="199">
        <v>2050</v>
      </c>
      <c r="B2246" s="110" t="s">
        <v>5850</v>
      </c>
      <c r="C2246" s="110">
        <v>1983</v>
      </c>
      <c r="D2246" s="110" t="str">
        <f t="shared" si="17"/>
        <v>2050_1983</v>
      </c>
      <c r="E2246" s="1226">
        <v>0.124170801900406</v>
      </c>
      <c r="F2246" s="1227">
        <v>5.2947822758168873E-2</v>
      </c>
      <c r="G2246" s="1227">
        <v>5.1254379061378401</v>
      </c>
      <c r="H2246" s="1227">
        <v>0.71107399859064691</v>
      </c>
      <c r="I2246" s="1227">
        <v>5.72286273173249E-2</v>
      </c>
      <c r="J2246" s="1227">
        <v>2.1631117944529118E-4</v>
      </c>
      <c r="K2246" s="1227">
        <v>3.0000008603782999E-3</v>
      </c>
      <c r="L2246" s="1228">
        <v>2.7963063307680999E-2</v>
      </c>
      <c r="M2246" s="1229">
        <v>5.9816251896341703E-2</v>
      </c>
      <c r="N2246" s="1230">
        <v>2.260918111131646E-4</v>
      </c>
    </row>
    <row r="2247" spans="1:14" ht="15.5" x14ac:dyDescent="0.35">
      <c r="A2247" s="199">
        <v>2050</v>
      </c>
      <c r="B2247" s="110" t="s">
        <v>5850</v>
      </c>
      <c r="C2247" s="110">
        <v>1984</v>
      </c>
      <c r="D2247" s="110" t="str">
        <f t="shared" si="17"/>
        <v>2050_1984</v>
      </c>
      <c r="E2247" s="1226">
        <v>0.124170801900406</v>
      </c>
      <c r="F2247" s="1227">
        <v>5.2947822758168873E-2</v>
      </c>
      <c r="G2247" s="1227">
        <v>5.1254379061378401</v>
      </c>
      <c r="H2247" s="1227">
        <v>0.71107399859064691</v>
      </c>
      <c r="I2247" s="1227">
        <v>5.72286273173249E-2</v>
      </c>
      <c r="J2247" s="1227">
        <v>2.1631117944529118E-4</v>
      </c>
      <c r="K2247" s="1227">
        <v>3.0000008603782999E-3</v>
      </c>
      <c r="L2247" s="1228">
        <v>2.7963063307680999E-2</v>
      </c>
      <c r="M2247" s="1229">
        <v>5.9816251896341703E-2</v>
      </c>
      <c r="N2247" s="1230">
        <v>2.260918111131646E-4</v>
      </c>
    </row>
    <row r="2248" spans="1:14" ht="15.5" x14ac:dyDescent="0.35">
      <c r="A2248" s="199">
        <v>2050</v>
      </c>
      <c r="B2248" s="110" t="s">
        <v>5850</v>
      </c>
      <c r="C2248" s="110">
        <v>1985</v>
      </c>
      <c r="D2248" s="110" t="str">
        <f t="shared" si="17"/>
        <v>2050_1985</v>
      </c>
      <c r="E2248" s="1226">
        <v>0.124170801900406</v>
      </c>
      <c r="F2248" s="1227">
        <v>5.2947822758168873E-2</v>
      </c>
      <c r="G2248" s="1227">
        <v>5.1254379061378401</v>
      </c>
      <c r="H2248" s="1227">
        <v>0.71107399859064691</v>
      </c>
      <c r="I2248" s="1227">
        <v>5.72286273173249E-2</v>
      </c>
      <c r="J2248" s="1227">
        <v>2.1631117944529118E-4</v>
      </c>
      <c r="K2248" s="1227">
        <v>3.0000008603782999E-3</v>
      </c>
      <c r="L2248" s="1228">
        <v>2.7963063307680999E-2</v>
      </c>
      <c r="M2248" s="1229">
        <v>5.9816251896341703E-2</v>
      </c>
      <c r="N2248" s="1230">
        <v>2.260918111131646E-4</v>
      </c>
    </row>
    <row r="2249" spans="1:14" ht="15.5" x14ac:dyDescent="0.35">
      <c r="A2249" s="199">
        <v>2050</v>
      </c>
      <c r="B2249" s="110" t="s">
        <v>5850</v>
      </c>
      <c r="C2249" s="110">
        <v>1986</v>
      </c>
      <c r="D2249" s="110" t="str">
        <f t="shared" si="17"/>
        <v>2050_1986</v>
      </c>
      <c r="E2249" s="1226">
        <v>0.124170801900406</v>
      </c>
      <c r="F2249" s="1227">
        <v>5.2947822758168873E-2</v>
      </c>
      <c r="G2249" s="1227">
        <v>5.1254379061378401</v>
      </c>
      <c r="H2249" s="1227">
        <v>0.71107399859064691</v>
      </c>
      <c r="I2249" s="1227">
        <v>5.72286273173249E-2</v>
      </c>
      <c r="J2249" s="1227">
        <v>2.1631117944529118E-4</v>
      </c>
      <c r="K2249" s="1227">
        <v>3.0000008603782999E-3</v>
      </c>
      <c r="L2249" s="1228">
        <v>2.7963063307680999E-2</v>
      </c>
      <c r="M2249" s="1229">
        <v>5.9816251896341703E-2</v>
      </c>
      <c r="N2249" s="1230">
        <v>2.260918111131646E-4</v>
      </c>
    </row>
    <row r="2250" spans="1:14" ht="15.5" x14ac:dyDescent="0.35">
      <c r="A2250" s="199">
        <v>2050</v>
      </c>
      <c r="B2250" s="110" t="s">
        <v>5850</v>
      </c>
      <c r="C2250" s="110">
        <v>1987</v>
      </c>
      <c r="D2250" s="110" t="str">
        <f t="shared" si="17"/>
        <v>2050_1987</v>
      </c>
      <c r="E2250" s="1226">
        <v>0.124170801900406</v>
      </c>
      <c r="F2250" s="1227">
        <v>5.2947822758168873E-2</v>
      </c>
      <c r="G2250" s="1227">
        <v>5.1254379061378401</v>
      </c>
      <c r="H2250" s="1227">
        <v>0.71107399859064691</v>
      </c>
      <c r="I2250" s="1227">
        <v>5.72286273173249E-2</v>
      </c>
      <c r="J2250" s="1227">
        <v>2.1631117944529118E-4</v>
      </c>
      <c r="K2250" s="1227">
        <v>3.0000008603782999E-3</v>
      </c>
      <c r="L2250" s="1228">
        <v>2.7963063307680999E-2</v>
      </c>
      <c r="M2250" s="1229">
        <v>5.9816251896341703E-2</v>
      </c>
      <c r="N2250" s="1230">
        <v>2.260918111131646E-4</v>
      </c>
    </row>
    <row r="2251" spans="1:14" ht="15.5" x14ac:dyDescent="0.35">
      <c r="A2251" s="199">
        <v>2050</v>
      </c>
      <c r="B2251" s="110" t="s">
        <v>5850</v>
      </c>
      <c r="C2251" s="110">
        <v>1988</v>
      </c>
      <c r="D2251" s="110" t="str">
        <f t="shared" si="17"/>
        <v>2050_1988</v>
      </c>
      <c r="E2251" s="1226">
        <v>0.124170801900406</v>
      </c>
      <c r="F2251" s="1227">
        <v>5.2947822758168873E-2</v>
      </c>
      <c r="G2251" s="1227">
        <v>5.1254379061378401</v>
      </c>
      <c r="H2251" s="1227">
        <v>0.71107399859064691</v>
      </c>
      <c r="I2251" s="1227">
        <v>5.72286273173249E-2</v>
      </c>
      <c r="J2251" s="1227">
        <v>2.1631117944529118E-4</v>
      </c>
      <c r="K2251" s="1227">
        <v>3.0000008603782999E-3</v>
      </c>
      <c r="L2251" s="1228">
        <v>2.7963063307680999E-2</v>
      </c>
      <c r="M2251" s="1229">
        <v>5.9816251896341703E-2</v>
      </c>
      <c r="N2251" s="1230">
        <v>2.260918111131646E-4</v>
      </c>
    </row>
    <row r="2252" spans="1:14" ht="15.5" x14ac:dyDescent="0.35">
      <c r="A2252" s="199">
        <v>2050</v>
      </c>
      <c r="B2252" s="110" t="s">
        <v>5850</v>
      </c>
      <c r="C2252" s="110">
        <v>1989</v>
      </c>
      <c r="D2252" s="110" t="str">
        <f t="shared" si="17"/>
        <v>2050_1989</v>
      </c>
      <c r="E2252" s="1226">
        <v>0.124170801900406</v>
      </c>
      <c r="F2252" s="1227">
        <v>5.2947822758168873E-2</v>
      </c>
      <c r="G2252" s="1227">
        <v>5.1254379061378401</v>
      </c>
      <c r="H2252" s="1227">
        <v>0.71107399859064691</v>
      </c>
      <c r="I2252" s="1227">
        <v>5.72286273173249E-2</v>
      </c>
      <c r="J2252" s="1227">
        <v>2.1631117944529118E-4</v>
      </c>
      <c r="K2252" s="1227">
        <v>3.0000008603782999E-3</v>
      </c>
      <c r="L2252" s="1228">
        <v>2.7963063307680999E-2</v>
      </c>
      <c r="M2252" s="1229">
        <v>5.9816251896341703E-2</v>
      </c>
      <c r="N2252" s="1230">
        <v>2.260918111131646E-4</v>
      </c>
    </row>
    <row r="2253" spans="1:14" ht="15.5" x14ac:dyDescent="0.35">
      <c r="A2253" s="199">
        <v>2050</v>
      </c>
      <c r="B2253" s="110" t="s">
        <v>5850</v>
      </c>
      <c r="C2253" s="110">
        <v>1990</v>
      </c>
      <c r="D2253" s="110" t="str">
        <f t="shared" si="17"/>
        <v>2050_1990</v>
      </c>
      <c r="E2253" s="1226">
        <v>0.124170801900406</v>
      </c>
      <c r="F2253" s="1227">
        <v>5.2947822758168873E-2</v>
      </c>
      <c r="G2253" s="1227">
        <v>5.1254379061378401</v>
      </c>
      <c r="H2253" s="1227">
        <v>0.71107399859064691</v>
      </c>
      <c r="I2253" s="1227">
        <v>5.72286273173249E-2</v>
      </c>
      <c r="J2253" s="1227">
        <v>2.1631117944529118E-4</v>
      </c>
      <c r="K2253" s="1227">
        <v>3.0000008603782999E-3</v>
      </c>
      <c r="L2253" s="1228">
        <v>2.7963063307680999E-2</v>
      </c>
      <c r="M2253" s="1229">
        <v>5.9816251896341703E-2</v>
      </c>
      <c r="N2253" s="1230">
        <v>2.260918111131646E-4</v>
      </c>
    </row>
    <row r="2254" spans="1:14" ht="15.5" x14ac:dyDescent="0.35">
      <c r="A2254" s="199">
        <v>2050</v>
      </c>
      <c r="B2254" s="110" t="s">
        <v>5850</v>
      </c>
      <c r="C2254" s="110">
        <v>1991</v>
      </c>
      <c r="D2254" s="110" t="str">
        <f t="shared" si="17"/>
        <v>2050_1991</v>
      </c>
      <c r="E2254" s="1226">
        <v>0.124170801900406</v>
      </c>
      <c r="F2254" s="1227">
        <v>5.2947822758168873E-2</v>
      </c>
      <c r="G2254" s="1227">
        <v>5.1254379061378401</v>
      </c>
      <c r="H2254" s="1227">
        <v>0.71107399859064691</v>
      </c>
      <c r="I2254" s="1227">
        <v>5.72286273173249E-2</v>
      </c>
      <c r="J2254" s="1227">
        <v>2.1631117944529118E-4</v>
      </c>
      <c r="K2254" s="1227">
        <v>3.0000008603782999E-3</v>
      </c>
      <c r="L2254" s="1228">
        <v>2.7963063307680999E-2</v>
      </c>
      <c r="M2254" s="1229">
        <v>5.9816251896341703E-2</v>
      </c>
      <c r="N2254" s="1230">
        <v>2.260918111131646E-4</v>
      </c>
    </row>
    <row r="2255" spans="1:14" ht="15.5" x14ac:dyDescent="0.35">
      <c r="A2255" s="199">
        <v>2050</v>
      </c>
      <c r="B2255" s="110" t="s">
        <v>5850</v>
      </c>
      <c r="C2255" s="110">
        <v>1992</v>
      </c>
      <c r="D2255" s="110" t="str">
        <f t="shared" si="17"/>
        <v>2050_1992</v>
      </c>
      <c r="E2255" s="1226">
        <v>0.124170801900406</v>
      </c>
      <c r="F2255" s="1227">
        <v>5.2947822758168873E-2</v>
      </c>
      <c r="G2255" s="1227">
        <v>5.1254379061378401</v>
      </c>
      <c r="H2255" s="1227">
        <v>0.71107399859064691</v>
      </c>
      <c r="I2255" s="1227">
        <v>5.72286273173249E-2</v>
      </c>
      <c r="J2255" s="1227">
        <v>2.1631117944529118E-4</v>
      </c>
      <c r="K2255" s="1227">
        <v>3.0000008603782999E-3</v>
      </c>
      <c r="L2255" s="1228">
        <v>2.7963063307680999E-2</v>
      </c>
      <c r="M2255" s="1229">
        <v>5.9816251896341703E-2</v>
      </c>
      <c r="N2255" s="1230">
        <v>2.260918111131646E-4</v>
      </c>
    </row>
    <row r="2256" spans="1:14" ht="15.5" x14ac:dyDescent="0.35">
      <c r="A2256" s="199">
        <v>2050</v>
      </c>
      <c r="B2256" s="110" t="s">
        <v>5850</v>
      </c>
      <c r="C2256" s="110">
        <v>1993</v>
      </c>
      <c r="D2256" s="110" t="str">
        <f t="shared" si="17"/>
        <v>2050_1993</v>
      </c>
      <c r="E2256" s="1226">
        <v>0.124170801900406</v>
      </c>
      <c r="F2256" s="1227">
        <v>5.2947822758168873E-2</v>
      </c>
      <c r="G2256" s="1227">
        <v>5.1254379061378401</v>
      </c>
      <c r="H2256" s="1227">
        <v>0.71107399859064691</v>
      </c>
      <c r="I2256" s="1227">
        <v>5.72286273173249E-2</v>
      </c>
      <c r="J2256" s="1227">
        <v>2.1631117944529118E-4</v>
      </c>
      <c r="K2256" s="1227">
        <v>3.0000008603782999E-3</v>
      </c>
      <c r="L2256" s="1228">
        <v>2.7963063307680999E-2</v>
      </c>
      <c r="M2256" s="1229">
        <v>5.9816251896341703E-2</v>
      </c>
      <c r="N2256" s="1230">
        <v>2.260918111131646E-4</v>
      </c>
    </row>
    <row r="2257" spans="1:14" ht="15.5" x14ac:dyDescent="0.35">
      <c r="A2257" s="199">
        <v>2050</v>
      </c>
      <c r="B2257" s="110" t="s">
        <v>5850</v>
      </c>
      <c r="C2257" s="110">
        <v>1994</v>
      </c>
      <c r="D2257" s="110" t="str">
        <f t="shared" si="17"/>
        <v>2050_1994</v>
      </c>
      <c r="E2257" s="1226">
        <v>0.124170801900406</v>
      </c>
      <c r="F2257" s="1227">
        <v>5.2947822758168873E-2</v>
      </c>
      <c r="G2257" s="1227">
        <v>5.1254379061378401</v>
      </c>
      <c r="H2257" s="1227">
        <v>0.71107399859064691</v>
      </c>
      <c r="I2257" s="1227">
        <v>5.72286273173249E-2</v>
      </c>
      <c r="J2257" s="1227">
        <v>2.1631117944529118E-4</v>
      </c>
      <c r="K2257" s="1227">
        <v>3.0000008603782999E-3</v>
      </c>
      <c r="L2257" s="1228">
        <v>2.7963063307680999E-2</v>
      </c>
      <c r="M2257" s="1229">
        <v>5.9816251896341703E-2</v>
      </c>
      <c r="N2257" s="1230">
        <v>2.260918111131646E-4</v>
      </c>
    </row>
    <row r="2258" spans="1:14" ht="15.5" x14ac:dyDescent="0.35">
      <c r="A2258" s="199">
        <v>2050</v>
      </c>
      <c r="B2258" s="110" t="s">
        <v>5850</v>
      </c>
      <c r="C2258" s="110">
        <v>1995</v>
      </c>
      <c r="D2258" s="110" t="str">
        <f t="shared" si="17"/>
        <v>2050_1995</v>
      </c>
      <c r="E2258" s="1226">
        <v>0.124170801900406</v>
      </c>
      <c r="F2258" s="1227">
        <v>5.2947822758168873E-2</v>
      </c>
      <c r="G2258" s="1227">
        <v>5.1254379061378401</v>
      </c>
      <c r="H2258" s="1227">
        <v>0.71107399859064691</v>
      </c>
      <c r="I2258" s="1227">
        <v>5.72286273173249E-2</v>
      </c>
      <c r="J2258" s="1227">
        <v>2.1631117944529118E-4</v>
      </c>
      <c r="K2258" s="1227">
        <v>3.0000008603782999E-3</v>
      </c>
      <c r="L2258" s="1228">
        <v>2.7963063307680999E-2</v>
      </c>
      <c r="M2258" s="1229">
        <v>5.9816251896341703E-2</v>
      </c>
      <c r="N2258" s="1230">
        <v>2.260918111131646E-4</v>
      </c>
    </row>
    <row r="2259" spans="1:14" ht="15.5" x14ac:dyDescent="0.35">
      <c r="A2259" s="199">
        <v>2050</v>
      </c>
      <c r="B2259" s="110" t="s">
        <v>5850</v>
      </c>
      <c r="C2259" s="110">
        <v>1996</v>
      </c>
      <c r="D2259" s="110" t="str">
        <f t="shared" si="17"/>
        <v>2050_1996</v>
      </c>
      <c r="E2259" s="1226">
        <v>0.124170801900406</v>
      </c>
      <c r="F2259" s="1227">
        <v>5.2947822758168873E-2</v>
      </c>
      <c r="G2259" s="1227">
        <v>5.1254379061378401</v>
      </c>
      <c r="H2259" s="1227">
        <v>0.71107399859064691</v>
      </c>
      <c r="I2259" s="1227">
        <v>5.72286273173249E-2</v>
      </c>
      <c r="J2259" s="1227">
        <v>2.1631117944529118E-4</v>
      </c>
      <c r="K2259" s="1227">
        <v>3.0000008603782999E-3</v>
      </c>
      <c r="L2259" s="1228">
        <v>2.7963063307680999E-2</v>
      </c>
      <c r="M2259" s="1229">
        <v>5.9816251896341703E-2</v>
      </c>
      <c r="N2259" s="1230">
        <v>2.260918111131646E-4</v>
      </c>
    </row>
    <row r="2260" spans="1:14" ht="15.5" x14ac:dyDescent="0.35">
      <c r="A2260" s="199">
        <v>2050</v>
      </c>
      <c r="B2260" s="110" t="s">
        <v>5850</v>
      </c>
      <c r="C2260" s="110">
        <v>1997</v>
      </c>
      <c r="D2260" s="110" t="str">
        <f t="shared" si="17"/>
        <v>2050_1997</v>
      </c>
      <c r="E2260" s="1226">
        <v>0.124170801900406</v>
      </c>
      <c r="F2260" s="1227">
        <v>5.2947822758168873E-2</v>
      </c>
      <c r="G2260" s="1227">
        <v>5.1254379061378401</v>
      </c>
      <c r="H2260" s="1227">
        <v>0.71107399859064691</v>
      </c>
      <c r="I2260" s="1227">
        <v>5.72286273173249E-2</v>
      </c>
      <c r="J2260" s="1227">
        <v>2.1631117944529118E-4</v>
      </c>
      <c r="K2260" s="1227">
        <v>3.0000008603782999E-3</v>
      </c>
      <c r="L2260" s="1228">
        <v>2.7963063307680999E-2</v>
      </c>
      <c r="M2260" s="1229">
        <v>5.9816251896341703E-2</v>
      </c>
      <c r="N2260" s="1230">
        <v>2.260918111131646E-4</v>
      </c>
    </row>
    <row r="2261" spans="1:14" ht="15.5" x14ac:dyDescent="0.35">
      <c r="A2261" s="199">
        <v>2050</v>
      </c>
      <c r="B2261" s="110" t="s">
        <v>5850</v>
      </c>
      <c r="C2261" s="110">
        <v>1998</v>
      </c>
      <c r="D2261" s="110" t="str">
        <f t="shared" si="17"/>
        <v>2050_1998</v>
      </c>
      <c r="E2261" s="1226">
        <v>0.124170801900406</v>
      </c>
      <c r="F2261" s="1227">
        <v>5.2947822758168873E-2</v>
      </c>
      <c r="G2261" s="1227">
        <v>5.1254379061378401</v>
      </c>
      <c r="H2261" s="1227">
        <v>0.71107399859064691</v>
      </c>
      <c r="I2261" s="1227">
        <v>5.72286273173249E-2</v>
      </c>
      <c r="J2261" s="1227">
        <v>2.1631117944529118E-4</v>
      </c>
      <c r="K2261" s="1227">
        <v>3.0000008603782999E-3</v>
      </c>
      <c r="L2261" s="1228">
        <v>2.7963063307680999E-2</v>
      </c>
      <c r="M2261" s="1229">
        <v>5.9816251896341703E-2</v>
      </c>
      <c r="N2261" s="1230">
        <v>2.260918111131646E-4</v>
      </c>
    </row>
    <row r="2262" spans="1:14" ht="15.5" x14ac:dyDescent="0.35">
      <c r="A2262" s="199">
        <v>2050</v>
      </c>
      <c r="B2262" s="110" t="s">
        <v>5850</v>
      </c>
      <c r="C2262" s="110">
        <v>1999</v>
      </c>
      <c r="D2262" s="110" t="str">
        <f t="shared" si="17"/>
        <v>2050_1999</v>
      </c>
      <c r="E2262" s="1226">
        <v>0.124170801900406</v>
      </c>
      <c r="F2262" s="1227">
        <v>5.2947822758168873E-2</v>
      </c>
      <c r="G2262" s="1227">
        <v>5.1254379061378401</v>
      </c>
      <c r="H2262" s="1227">
        <v>0.71107399859064691</v>
      </c>
      <c r="I2262" s="1227">
        <v>5.72286273173249E-2</v>
      </c>
      <c r="J2262" s="1227">
        <v>2.1631117944529118E-4</v>
      </c>
      <c r="K2262" s="1227">
        <v>3.0000008603782999E-3</v>
      </c>
      <c r="L2262" s="1228">
        <v>2.7963063307680999E-2</v>
      </c>
      <c r="M2262" s="1229">
        <v>5.9816251896341703E-2</v>
      </c>
      <c r="N2262" s="1230">
        <v>2.260918111131646E-4</v>
      </c>
    </row>
    <row r="2263" spans="1:14" ht="15.5" x14ac:dyDescent="0.35">
      <c r="A2263" s="199">
        <v>2050</v>
      </c>
      <c r="B2263" s="110" t="s">
        <v>5850</v>
      </c>
      <c r="C2263" s="110">
        <v>2000</v>
      </c>
      <c r="D2263" s="110" t="str">
        <f t="shared" si="17"/>
        <v>2050_2000</v>
      </c>
      <c r="E2263" s="1226">
        <v>0.124170801900406</v>
      </c>
      <c r="F2263" s="1227">
        <v>5.2947822758168873E-2</v>
      </c>
      <c r="G2263" s="1227">
        <v>5.1254379061378401</v>
      </c>
      <c r="H2263" s="1227">
        <v>0.71107399859064691</v>
      </c>
      <c r="I2263" s="1227">
        <v>5.72286273173249E-2</v>
      </c>
      <c r="J2263" s="1227">
        <v>2.1631117944529118E-4</v>
      </c>
      <c r="K2263" s="1227">
        <v>3.0000008603782999E-3</v>
      </c>
      <c r="L2263" s="1228">
        <v>2.7963063307680999E-2</v>
      </c>
      <c r="M2263" s="1229">
        <v>5.9816251896341703E-2</v>
      </c>
      <c r="N2263" s="1230">
        <v>2.260918111131646E-4</v>
      </c>
    </row>
    <row r="2264" spans="1:14" ht="15.5" x14ac:dyDescent="0.35">
      <c r="A2264" s="199">
        <v>2050</v>
      </c>
      <c r="B2264" s="110" t="s">
        <v>5850</v>
      </c>
      <c r="C2264" s="110">
        <v>2001</v>
      </c>
      <c r="D2264" s="110" t="str">
        <f t="shared" si="17"/>
        <v>2050_2001</v>
      </c>
      <c r="E2264" s="1226">
        <v>0.124170801900406</v>
      </c>
      <c r="F2264" s="1227">
        <v>5.2947822758168873E-2</v>
      </c>
      <c r="G2264" s="1227">
        <v>5.1254379061378401</v>
      </c>
      <c r="H2264" s="1227">
        <v>0.71107399859064691</v>
      </c>
      <c r="I2264" s="1227">
        <v>5.72286273173249E-2</v>
      </c>
      <c r="J2264" s="1227">
        <v>2.1631117944529118E-4</v>
      </c>
      <c r="K2264" s="1227">
        <v>3.0000008603782999E-3</v>
      </c>
      <c r="L2264" s="1228">
        <v>2.7963063307680999E-2</v>
      </c>
      <c r="M2264" s="1229">
        <v>5.9816251896341703E-2</v>
      </c>
      <c r="N2264" s="1230">
        <v>2.260918111131646E-4</v>
      </c>
    </row>
    <row r="2265" spans="1:14" ht="15.5" x14ac:dyDescent="0.35">
      <c r="A2265" s="199">
        <v>2050</v>
      </c>
      <c r="B2265" s="110" t="s">
        <v>5850</v>
      </c>
      <c r="C2265" s="110">
        <v>2002</v>
      </c>
      <c r="D2265" s="110" t="str">
        <f t="shared" si="17"/>
        <v>2050_2002</v>
      </c>
      <c r="E2265" s="1226">
        <v>0.124170801900406</v>
      </c>
      <c r="F2265" s="1227">
        <v>5.2947822758168873E-2</v>
      </c>
      <c r="G2265" s="1227">
        <v>5.1254379061378401</v>
      </c>
      <c r="H2265" s="1227">
        <v>0.71107399859064691</v>
      </c>
      <c r="I2265" s="1227">
        <v>5.72286273173249E-2</v>
      </c>
      <c r="J2265" s="1227">
        <v>2.1631117944529118E-4</v>
      </c>
      <c r="K2265" s="1227">
        <v>3.0000008603782999E-3</v>
      </c>
      <c r="L2265" s="1228">
        <v>2.7963063307680999E-2</v>
      </c>
      <c r="M2265" s="1229">
        <v>5.9816251896341703E-2</v>
      </c>
      <c r="N2265" s="1230">
        <v>2.260918111131646E-4</v>
      </c>
    </row>
    <row r="2266" spans="1:14" ht="15.5" x14ac:dyDescent="0.35">
      <c r="A2266" s="199">
        <v>2050</v>
      </c>
      <c r="B2266" s="110" t="s">
        <v>5850</v>
      </c>
      <c r="C2266" s="110">
        <v>2003</v>
      </c>
      <c r="D2266" s="110" t="str">
        <f t="shared" si="17"/>
        <v>2050_2003</v>
      </c>
      <c r="E2266" s="1226">
        <v>0.124170801900406</v>
      </c>
      <c r="F2266" s="1227">
        <v>5.2947822758168873E-2</v>
      </c>
      <c r="G2266" s="1227">
        <v>5.1254379061378401</v>
      </c>
      <c r="H2266" s="1227">
        <v>0.71107399859064691</v>
      </c>
      <c r="I2266" s="1227">
        <v>5.72286273173249E-2</v>
      </c>
      <c r="J2266" s="1227">
        <v>2.1631117944529118E-4</v>
      </c>
      <c r="K2266" s="1227">
        <v>3.0000008603782999E-3</v>
      </c>
      <c r="L2266" s="1228">
        <v>2.7963063307680999E-2</v>
      </c>
      <c r="M2266" s="1229">
        <v>5.9816251896341703E-2</v>
      </c>
      <c r="N2266" s="1230">
        <v>2.260918111131646E-4</v>
      </c>
    </row>
    <row r="2267" spans="1:14" ht="15.5" x14ac:dyDescent="0.35">
      <c r="A2267" s="199">
        <v>2050</v>
      </c>
      <c r="B2267" s="110" t="s">
        <v>5850</v>
      </c>
      <c r="C2267" s="110">
        <v>2004</v>
      </c>
      <c r="D2267" s="110" t="str">
        <f t="shared" si="17"/>
        <v>2050_2004</v>
      </c>
      <c r="E2267" s="1226">
        <v>0.124170801900406</v>
      </c>
      <c r="F2267" s="1227">
        <v>5.2947822758168873E-2</v>
      </c>
      <c r="G2267" s="1227">
        <v>5.1254379061378401</v>
      </c>
      <c r="H2267" s="1227">
        <v>0.71107399859064691</v>
      </c>
      <c r="I2267" s="1227">
        <v>5.72286273173249E-2</v>
      </c>
      <c r="J2267" s="1227">
        <v>2.1631117944529118E-4</v>
      </c>
      <c r="K2267" s="1227">
        <v>3.0000008603782999E-3</v>
      </c>
      <c r="L2267" s="1228">
        <v>2.7963063307680999E-2</v>
      </c>
      <c r="M2267" s="1229">
        <v>5.9816251896341703E-2</v>
      </c>
      <c r="N2267" s="1230">
        <v>2.260918111131646E-4</v>
      </c>
    </row>
    <row r="2268" spans="1:14" ht="15.5" x14ac:dyDescent="0.35">
      <c r="A2268" s="199">
        <v>2050</v>
      </c>
      <c r="B2268" s="110" t="s">
        <v>5850</v>
      </c>
      <c r="C2268" s="110">
        <v>2005</v>
      </c>
      <c r="D2268" s="110" t="str">
        <f t="shared" si="17"/>
        <v>2050_2005</v>
      </c>
      <c r="E2268" s="1226">
        <v>0.124170801900406</v>
      </c>
      <c r="F2268" s="1227">
        <v>5.2947822758168873E-2</v>
      </c>
      <c r="G2268" s="1227">
        <v>5.1254379061378401</v>
      </c>
      <c r="H2268" s="1227">
        <v>0.71107399859064691</v>
      </c>
      <c r="I2268" s="1227">
        <v>5.72286273173249E-2</v>
      </c>
      <c r="J2268" s="1227">
        <v>2.1631117944529118E-4</v>
      </c>
      <c r="K2268" s="1227">
        <v>3.0000008603782999E-3</v>
      </c>
      <c r="L2268" s="1228">
        <v>2.7963063307680999E-2</v>
      </c>
      <c r="M2268" s="1229">
        <v>5.9816251896341703E-2</v>
      </c>
      <c r="N2268" s="1230">
        <v>2.260918111131646E-4</v>
      </c>
    </row>
    <row r="2269" spans="1:14" ht="15.5" x14ac:dyDescent="0.35">
      <c r="A2269" s="199">
        <v>2050</v>
      </c>
      <c r="B2269" s="110" t="s">
        <v>5850</v>
      </c>
      <c r="C2269" s="110">
        <v>2006</v>
      </c>
      <c r="D2269" s="110" t="str">
        <f t="shared" si="17"/>
        <v>2050_2006</v>
      </c>
      <c r="E2269" s="1226">
        <v>0.124170801900406</v>
      </c>
      <c r="F2269" s="1227">
        <v>5.2947822758168873E-2</v>
      </c>
      <c r="G2269" s="1227">
        <v>5.1254379061378401</v>
      </c>
      <c r="H2269" s="1227">
        <v>0.71107399859064691</v>
      </c>
      <c r="I2269" s="1227">
        <v>5.72286273173249E-2</v>
      </c>
      <c r="J2269" s="1227">
        <v>2.1631117944529118E-4</v>
      </c>
      <c r="K2269" s="1227">
        <v>3.0000008603782999E-3</v>
      </c>
      <c r="L2269" s="1228">
        <v>2.7963063307680999E-2</v>
      </c>
      <c r="M2269" s="1229">
        <v>5.9816251896341703E-2</v>
      </c>
      <c r="N2269" s="1230">
        <v>2.260918111131646E-4</v>
      </c>
    </row>
    <row r="2270" spans="1:14" ht="15.5" x14ac:dyDescent="0.35">
      <c r="A2270" s="199">
        <v>2050</v>
      </c>
      <c r="B2270" s="110" t="s">
        <v>5850</v>
      </c>
      <c r="C2270" s="110">
        <v>2007</v>
      </c>
      <c r="D2270" s="110" t="str">
        <f t="shared" si="17"/>
        <v>2050_2007</v>
      </c>
      <c r="E2270" s="1226">
        <v>0.124170801900406</v>
      </c>
      <c r="F2270" s="1227">
        <v>5.2947822758168873E-2</v>
      </c>
      <c r="G2270" s="1227">
        <v>5.1254379061378401</v>
      </c>
      <c r="H2270" s="1227">
        <v>0.71107399859064691</v>
      </c>
      <c r="I2270" s="1227">
        <v>5.72286273173249E-2</v>
      </c>
      <c r="J2270" s="1227">
        <v>2.1631117944529118E-4</v>
      </c>
      <c r="K2270" s="1227">
        <v>3.0000008603782999E-3</v>
      </c>
      <c r="L2270" s="1228">
        <v>2.7963063307680999E-2</v>
      </c>
      <c r="M2270" s="1229">
        <v>5.9816251896341703E-2</v>
      </c>
      <c r="N2270" s="1230">
        <v>2.260918111131646E-4</v>
      </c>
    </row>
    <row r="2271" spans="1:14" ht="15.5" x14ac:dyDescent="0.35">
      <c r="A2271" s="199">
        <v>2050</v>
      </c>
      <c r="B2271" s="110" t="s">
        <v>5850</v>
      </c>
      <c r="C2271" s="110">
        <v>2008</v>
      </c>
      <c r="D2271" s="110" t="str">
        <f t="shared" si="17"/>
        <v>2050_2008</v>
      </c>
      <c r="E2271" s="1226">
        <v>0.124170801900406</v>
      </c>
      <c r="F2271" s="1227">
        <v>5.2947822758168873E-2</v>
      </c>
      <c r="G2271" s="1227">
        <v>5.1254379061378401</v>
      </c>
      <c r="H2271" s="1227">
        <v>0.71107399859064691</v>
      </c>
      <c r="I2271" s="1227">
        <v>5.72286273173249E-2</v>
      </c>
      <c r="J2271" s="1227">
        <v>2.1631117944529118E-4</v>
      </c>
      <c r="K2271" s="1227">
        <v>3.0000008603782999E-3</v>
      </c>
      <c r="L2271" s="1228">
        <v>2.7963063307680999E-2</v>
      </c>
      <c r="M2271" s="1229">
        <v>5.9816251896341703E-2</v>
      </c>
      <c r="N2271" s="1230">
        <v>2.260918111131646E-4</v>
      </c>
    </row>
    <row r="2272" spans="1:14" ht="15.5" x14ac:dyDescent="0.35">
      <c r="A2272" s="199">
        <v>2050</v>
      </c>
      <c r="B2272" s="110" t="s">
        <v>5850</v>
      </c>
      <c r="C2272" s="110">
        <v>2009</v>
      </c>
      <c r="D2272" s="110" t="str">
        <f t="shared" si="17"/>
        <v>2050_2009</v>
      </c>
      <c r="E2272" s="1226">
        <v>0.124170801900406</v>
      </c>
      <c r="F2272" s="1227">
        <v>5.2947822758168873E-2</v>
      </c>
      <c r="G2272" s="1227">
        <v>5.1254379061378401</v>
      </c>
      <c r="H2272" s="1227">
        <v>0.71107399859064691</v>
      </c>
      <c r="I2272" s="1227">
        <v>5.72286273173249E-2</v>
      </c>
      <c r="J2272" s="1227">
        <v>2.1631117944529118E-4</v>
      </c>
      <c r="K2272" s="1227">
        <v>3.0000008603782999E-3</v>
      </c>
      <c r="L2272" s="1228">
        <v>2.7963063307680999E-2</v>
      </c>
      <c r="M2272" s="1229">
        <v>5.9816251896341703E-2</v>
      </c>
      <c r="N2272" s="1230">
        <v>2.260918111131646E-4</v>
      </c>
    </row>
    <row r="2273" spans="1:14" ht="15.5" x14ac:dyDescent="0.35">
      <c r="A2273" s="199">
        <v>2050</v>
      </c>
      <c r="B2273" s="110" t="s">
        <v>5850</v>
      </c>
      <c r="C2273" s="110">
        <v>2010</v>
      </c>
      <c r="D2273" s="110" t="str">
        <f t="shared" si="17"/>
        <v>2050_2010</v>
      </c>
      <c r="E2273" s="1226">
        <v>0.124170801900406</v>
      </c>
      <c r="F2273" s="1227">
        <v>5.2947822758168873E-2</v>
      </c>
      <c r="G2273" s="1227">
        <v>5.1254379061378401</v>
      </c>
      <c r="H2273" s="1227">
        <v>0.71107399859064691</v>
      </c>
      <c r="I2273" s="1227">
        <v>5.72286273173249E-2</v>
      </c>
      <c r="J2273" s="1227">
        <v>2.1631117944529118E-4</v>
      </c>
      <c r="K2273" s="1227">
        <v>3.0000008603782999E-3</v>
      </c>
      <c r="L2273" s="1228">
        <v>2.7963063307680999E-2</v>
      </c>
      <c r="M2273" s="1229">
        <v>5.9816251896341703E-2</v>
      </c>
      <c r="N2273" s="1230">
        <v>2.260918111131646E-4</v>
      </c>
    </row>
    <row r="2274" spans="1:14" ht="15.5" x14ac:dyDescent="0.35">
      <c r="A2274" s="199">
        <v>2050</v>
      </c>
      <c r="B2274" s="110" t="s">
        <v>5850</v>
      </c>
      <c r="C2274" s="110">
        <v>2011</v>
      </c>
      <c r="D2274" s="110" t="str">
        <f t="shared" si="17"/>
        <v>2050_2011</v>
      </c>
      <c r="E2274" s="1231">
        <v>0.124170801900406</v>
      </c>
      <c r="F2274" s="1232">
        <v>5.2947822758168873E-2</v>
      </c>
      <c r="G2274" s="1232">
        <v>5.1254379061378401</v>
      </c>
      <c r="H2274" s="1232">
        <v>0.71107399859064691</v>
      </c>
      <c r="I2274" s="1232">
        <v>5.72286273173249E-2</v>
      </c>
      <c r="J2274" s="1232">
        <v>2.1631117944529118E-4</v>
      </c>
      <c r="K2274" s="1232">
        <v>3.0000008603782999E-3</v>
      </c>
      <c r="L2274" s="1233">
        <v>2.7963063307680999E-2</v>
      </c>
      <c r="M2274" s="1234">
        <v>5.9816251896341703E-2</v>
      </c>
      <c r="N2274" s="1235">
        <v>2.260918111131646E-4</v>
      </c>
    </row>
    <row r="2275" spans="1:14" ht="15.5" x14ac:dyDescent="0.35">
      <c r="A2275" s="199">
        <v>2050</v>
      </c>
      <c r="B2275" s="110" t="s">
        <v>5850</v>
      </c>
      <c r="C2275" s="110">
        <v>2012</v>
      </c>
      <c r="D2275" s="110" t="str">
        <f t="shared" si="17"/>
        <v>2050_2012</v>
      </c>
      <c r="E2275" s="1231">
        <v>2.50429128654092E-2</v>
      </c>
      <c r="F2275" s="1232">
        <v>5.3125271292762948E-2</v>
      </c>
      <c r="G2275" s="1232">
        <v>4.4684566079663002</v>
      </c>
      <c r="H2275" s="1232">
        <v>0.62777797590230955</v>
      </c>
      <c r="I2275" s="1232">
        <v>3.3199680407462899E-2</v>
      </c>
      <c r="J2275" s="1232">
        <v>2.1631117944529026E-4</v>
      </c>
      <c r="K2275" s="1232">
        <v>3.0000008603782999E-3</v>
      </c>
      <c r="L2275" s="1233">
        <v>2.7963063307825099E-2</v>
      </c>
      <c r="M2275" s="1234">
        <v>3.4700822634088399E-2</v>
      </c>
      <c r="N2275" s="1235">
        <v>2.260918111131636E-4</v>
      </c>
    </row>
    <row r="2276" spans="1:14" ht="15.5" x14ac:dyDescent="0.35">
      <c r="A2276" s="199">
        <v>2050</v>
      </c>
      <c r="B2276" s="110" t="s">
        <v>5850</v>
      </c>
      <c r="C2276" s="110">
        <v>2013</v>
      </c>
      <c r="D2276" s="110" t="str">
        <f t="shared" si="17"/>
        <v>2050_2013</v>
      </c>
      <c r="E2276" s="1231">
        <v>2.47255484351331E-2</v>
      </c>
      <c r="F2276" s="1232">
        <v>5.3125271292763197E-2</v>
      </c>
      <c r="G2276" s="1232">
        <v>4.2166118721087997</v>
      </c>
      <c r="H2276" s="1232">
        <v>0.62777797590231255</v>
      </c>
      <c r="I2276" s="1232">
        <v>3.2285410879610899E-2</v>
      </c>
      <c r="J2276" s="1232">
        <v>2.1631117944529124E-4</v>
      </c>
      <c r="K2276" s="1232">
        <v>3.0000008603782999E-3</v>
      </c>
      <c r="L2276" s="1233">
        <v>2.79630633078129E-2</v>
      </c>
      <c r="M2276" s="1234">
        <v>3.3745213895197898E-2</v>
      </c>
      <c r="N2276" s="1235">
        <v>2.2609181111316469E-4</v>
      </c>
    </row>
    <row r="2277" spans="1:14" ht="15.5" x14ac:dyDescent="0.35">
      <c r="A2277" s="199">
        <v>2050</v>
      </c>
      <c r="B2277" s="110" t="s">
        <v>5850</v>
      </c>
      <c r="C2277" s="110">
        <v>2014</v>
      </c>
      <c r="D2277" s="110" t="str">
        <f t="shared" si="17"/>
        <v>2050_2014</v>
      </c>
      <c r="E2277" s="1231">
        <v>1.21669567035332E-2</v>
      </c>
      <c r="F2277" s="1232">
        <v>5.3125271292763197E-2</v>
      </c>
      <c r="G2277" s="1232">
        <v>1.58784646278943</v>
      </c>
      <c r="H2277" s="1232">
        <v>0.62777797590231244</v>
      </c>
      <c r="I2277" s="1232">
        <v>3.7552361794910102E-2</v>
      </c>
      <c r="J2277" s="1232">
        <v>2.1631117944529126E-4</v>
      </c>
      <c r="K2277" s="1232">
        <v>3.0000008603782999E-3</v>
      </c>
      <c r="L2277" s="1233">
        <v>2.7963063307707401E-2</v>
      </c>
      <c r="M2277" s="1234">
        <v>3.9250312959138403E-2</v>
      </c>
      <c r="N2277" s="1235">
        <v>2.2609181111316469E-4</v>
      </c>
    </row>
    <row r="2278" spans="1:14" ht="15.5" x14ac:dyDescent="0.35">
      <c r="A2278" s="199">
        <v>2050</v>
      </c>
      <c r="B2278" s="110" t="s">
        <v>5850</v>
      </c>
      <c r="C2278" s="110">
        <v>2015</v>
      </c>
      <c r="D2278" s="110" t="str">
        <f t="shared" si="17"/>
        <v>2050_2015</v>
      </c>
      <c r="E2278" s="1231">
        <v>1.21669567035417E-2</v>
      </c>
      <c r="F2278" s="1232">
        <v>5.312527129276317E-2</v>
      </c>
      <c r="G2278" s="1232">
        <v>1.5878464627900799</v>
      </c>
      <c r="H2278" s="1232">
        <v>0.62777797590231221</v>
      </c>
      <c r="I2278" s="1232">
        <v>3.7552361794824102E-2</v>
      </c>
      <c r="J2278" s="1232">
        <v>2.1631117944529116E-4</v>
      </c>
      <c r="K2278" s="1232">
        <v>3.0000008603782999E-3</v>
      </c>
      <c r="L2278" s="1233">
        <v>2.7963063307734199E-2</v>
      </c>
      <c r="M2278" s="1234">
        <v>3.92503129590486E-2</v>
      </c>
      <c r="N2278" s="1235">
        <v>2.2609181111316458E-4</v>
      </c>
    </row>
    <row r="2279" spans="1:14" ht="15.5" x14ac:dyDescent="0.35">
      <c r="A2279" s="199">
        <v>2050</v>
      </c>
      <c r="B2279" s="110" t="s">
        <v>5850</v>
      </c>
      <c r="C2279" s="110">
        <v>2016</v>
      </c>
      <c r="D2279" s="110" t="str">
        <f t="shared" si="17"/>
        <v>2050_2016</v>
      </c>
      <c r="E2279" s="1231">
        <v>1.21669567035414E-2</v>
      </c>
      <c r="F2279" s="1232">
        <v>5.3125271292762732E-2</v>
      </c>
      <c r="G2279" s="1232">
        <v>1.5878464627887801</v>
      </c>
      <c r="H2279" s="1232">
        <v>0.62777797590230699</v>
      </c>
      <c r="I2279" s="1232">
        <v>3.7552361794742598E-2</v>
      </c>
      <c r="J2279" s="1232">
        <v>2.1631117944528934E-4</v>
      </c>
      <c r="K2279" s="1232">
        <v>3.0000008603782999E-3</v>
      </c>
      <c r="L2279" s="1233">
        <v>2.7963063307750401E-2</v>
      </c>
      <c r="M2279" s="1234">
        <v>3.92503129589633E-2</v>
      </c>
      <c r="N2279" s="1235">
        <v>2.2609181111316268E-4</v>
      </c>
    </row>
    <row r="2280" spans="1:14" ht="15.5" x14ac:dyDescent="0.35">
      <c r="A2280" s="199">
        <v>2050</v>
      </c>
      <c r="B2280" s="110" t="s">
        <v>5850</v>
      </c>
      <c r="C2280" s="110">
        <v>2017</v>
      </c>
      <c r="D2280" s="110" t="str">
        <f t="shared" si="17"/>
        <v>2050_2017</v>
      </c>
      <c r="E2280" s="1231">
        <v>1.2376290838769999E-2</v>
      </c>
      <c r="F2280" s="1232">
        <v>5.3125271292762809E-2</v>
      </c>
      <c r="G2280" s="1232">
        <v>1.58784646279362</v>
      </c>
      <c r="H2280" s="1232">
        <v>0.62777797590230788</v>
      </c>
      <c r="I2280" s="1232">
        <v>3.0607506369391899E-2</v>
      </c>
      <c r="J2280" s="1232">
        <v>2.1631117944528966E-4</v>
      </c>
      <c r="K2280" s="1232">
        <v>3.0000008603782999E-3</v>
      </c>
      <c r="L2280" s="1233">
        <v>2.7963063307759502E-2</v>
      </c>
      <c r="M2280" s="1234">
        <v>3.1991441988617801E-2</v>
      </c>
      <c r="N2280" s="1235">
        <v>2.2609181111316303E-4</v>
      </c>
    </row>
    <row r="2281" spans="1:14" ht="15.5" x14ac:dyDescent="0.35">
      <c r="A2281" s="199">
        <v>2050</v>
      </c>
      <c r="B2281" s="110" t="s">
        <v>5850</v>
      </c>
      <c r="C2281" s="110">
        <v>2018</v>
      </c>
      <c r="D2281" s="110" t="str">
        <f t="shared" si="17"/>
        <v>2050_2018</v>
      </c>
      <c r="E2281" s="1231">
        <v>1.2376290838789101E-2</v>
      </c>
      <c r="F2281" s="1232">
        <v>5.3125271292763315E-2</v>
      </c>
      <c r="G2281" s="1232">
        <v>1.58784646279109</v>
      </c>
      <c r="H2281" s="1232">
        <v>0.6277779759023151</v>
      </c>
      <c r="I2281" s="1232">
        <v>3.0607506369660999E-2</v>
      </c>
      <c r="J2281" s="1232">
        <v>2.1631117944529172E-4</v>
      </c>
      <c r="K2281" s="1232">
        <v>3.0000008603782999E-3</v>
      </c>
      <c r="L2281" s="1233">
        <v>2.7963063307663901E-2</v>
      </c>
      <c r="M2281" s="1234">
        <v>3.1991441988899097E-2</v>
      </c>
      <c r="N2281" s="1235">
        <v>2.2609181111316517E-4</v>
      </c>
    </row>
    <row r="2282" spans="1:14" ht="15.5" x14ac:dyDescent="0.35">
      <c r="A2282" s="199">
        <v>2050</v>
      </c>
      <c r="B2282" s="110" t="s">
        <v>5850</v>
      </c>
      <c r="C2282" s="110">
        <v>2019</v>
      </c>
      <c r="D2282" s="110" t="str">
        <f t="shared" si="17"/>
        <v>2050_2019</v>
      </c>
      <c r="E2282" s="1231">
        <v>1.2376290838713E-2</v>
      </c>
      <c r="F2282" s="1232">
        <v>5.3125271292763093E-2</v>
      </c>
      <c r="G2282" s="1232">
        <v>1.5878464627914</v>
      </c>
      <c r="H2282" s="1232">
        <v>0.62777797590231121</v>
      </c>
      <c r="I2282" s="1232">
        <v>3.0607506369004701E-2</v>
      </c>
      <c r="J2282" s="1232">
        <v>2.1631117944529086E-4</v>
      </c>
      <c r="K2282" s="1232">
        <v>3.0000008603782999E-3</v>
      </c>
      <c r="L2282" s="1233">
        <v>2.7963063307860799E-2</v>
      </c>
      <c r="M2282" s="1234">
        <v>3.1991441988213097E-2</v>
      </c>
      <c r="N2282" s="1235">
        <v>2.2609181111316425E-4</v>
      </c>
    </row>
    <row r="2283" spans="1:14" ht="15.5" x14ac:dyDescent="0.35">
      <c r="A2283" s="199">
        <v>2050</v>
      </c>
      <c r="B2283" s="110" t="s">
        <v>5850</v>
      </c>
      <c r="C2283" s="110">
        <v>2020</v>
      </c>
      <c r="D2283" s="110" t="str">
        <f t="shared" si="17"/>
        <v>2050_2020</v>
      </c>
      <c r="E2283" s="1231">
        <v>1.2376290838776E-2</v>
      </c>
      <c r="F2283" s="1232">
        <v>5.3125271292763274E-2</v>
      </c>
      <c r="G2283" s="1232">
        <v>1.5878464627939299</v>
      </c>
      <c r="H2283" s="1232">
        <v>0.62777797590231332</v>
      </c>
      <c r="I2283" s="1232">
        <v>3.0607506369438899E-2</v>
      </c>
      <c r="J2283" s="1232">
        <v>2.1631117944529154E-4</v>
      </c>
      <c r="K2283" s="1232">
        <v>3.0000008603782999E-3</v>
      </c>
      <c r="L2283" s="1233">
        <v>2.7963063307750499E-2</v>
      </c>
      <c r="M2283" s="1234">
        <v>3.1991441988666901E-2</v>
      </c>
      <c r="N2283" s="1235">
        <v>2.2609181111316501E-4</v>
      </c>
    </row>
    <row r="2284" spans="1:14" ht="15.5" x14ac:dyDescent="0.35">
      <c r="A2284" s="199">
        <v>2050</v>
      </c>
      <c r="B2284" s="110" t="s">
        <v>5850</v>
      </c>
      <c r="C2284" s="110">
        <v>2021</v>
      </c>
      <c r="D2284" s="110" t="str">
        <f t="shared" si="17"/>
        <v>2050_2021</v>
      </c>
      <c r="E2284" s="1231">
        <v>1.2376290838777299E-2</v>
      </c>
      <c r="F2284" s="1232">
        <v>5.3125271292764308E-2</v>
      </c>
      <c r="G2284" s="1232">
        <v>1.5878464627508699</v>
      </c>
      <c r="H2284" s="1232">
        <v>0.62777797590232565</v>
      </c>
      <c r="I2284" s="1232">
        <v>3.0607506370880101E-2</v>
      </c>
      <c r="J2284" s="1232">
        <v>2.1631117944529579E-4</v>
      </c>
      <c r="K2284" s="1232">
        <v>3.0000008603782999E-3</v>
      </c>
      <c r="L2284" s="1233">
        <v>2.79630633070268E-2</v>
      </c>
      <c r="M2284" s="1234">
        <v>3.19914419901733E-2</v>
      </c>
      <c r="N2284" s="1235">
        <v>2.260918111131694E-4</v>
      </c>
    </row>
    <row r="2285" spans="1:14" ht="15.5" x14ac:dyDescent="0.35">
      <c r="A2285" s="199">
        <v>2050</v>
      </c>
      <c r="B2285" s="110" t="s">
        <v>5850</v>
      </c>
      <c r="C2285" s="110">
        <v>2022</v>
      </c>
      <c r="D2285" s="110" t="str">
        <f t="shared" si="17"/>
        <v>2050_2022</v>
      </c>
      <c r="E2285" s="1231">
        <v>1.23762908387207E-2</v>
      </c>
      <c r="F2285" s="1232">
        <v>5.3125271292762712E-2</v>
      </c>
      <c r="G2285" s="1232">
        <v>1.5878464627959199</v>
      </c>
      <c r="H2285" s="1232">
        <v>0.62777797590230677</v>
      </c>
      <c r="I2285" s="1232">
        <v>3.0607506368906499E-2</v>
      </c>
      <c r="J2285" s="1232">
        <v>2.1631117944528929E-4</v>
      </c>
      <c r="K2285" s="1232">
        <v>3.0000008603782999E-3</v>
      </c>
      <c r="L2285" s="1233">
        <v>2.79630633079203E-2</v>
      </c>
      <c r="M2285" s="1234">
        <v>3.1991441988110401E-2</v>
      </c>
      <c r="N2285" s="1235">
        <v>2.2609181111316263E-4</v>
      </c>
    </row>
    <row r="2286" spans="1:14" ht="15.5" x14ac:dyDescent="0.35">
      <c r="A2286" s="199">
        <v>2050</v>
      </c>
      <c r="B2286" s="110" t="s">
        <v>5850</v>
      </c>
      <c r="C2286" s="110">
        <v>2023</v>
      </c>
      <c r="D2286" s="110" t="str">
        <f t="shared" si="17"/>
        <v>2050_2023</v>
      </c>
      <c r="E2286" s="1231">
        <v>1.23762908387407E-2</v>
      </c>
      <c r="F2286" s="1232">
        <v>5.3125271292763315E-2</v>
      </c>
      <c r="G2286" s="1232">
        <v>1.5154772015548501</v>
      </c>
      <c r="H2286" s="1232">
        <v>0.62777797590231388</v>
      </c>
      <c r="I2286" s="1232">
        <v>2.9568604782870999E-2</v>
      </c>
      <c r="J2286" s="1232">
        <v>2.1631117944529175E-4</v>
      </c>
      <c r="K2286" s="1232">
        <v>3.0000008603782999E-3</v>
      </c>
      <c r="L2286" s="1233">
        <v>2.79630633078219E-2</v>
      </c>
      <c r="M2286" s="1234">
        <v>3.0905565882412001E-2</v>
      </c>
      <c r="N2286" s="1235">
        <v>2.260918111131652E-4</v>
      </c>
    </row>
    <row r="2287" spans="1:14" ht="15.5" x14ac:dyDescent="0.35">
      <c r="A2287" s="198">
        <v>2050</v>
      </c>
      <c r="B2287" s="197" t="s">
        <v>5850</v>
      </c>
      <c r="C2287" s="197">
        <v>2024</v>
      </c>
      <c r="D2287" s="110" t="str">
        <f t="shared" si="17"/>
        <v>2050_2024</v>
      </c>
      <c r="E2287" s="1231">
        <v>1.23762908387967E-2</v>
      </c>
      <c r="F2287" s="1232">
        <v>5.3125271292763038E-2</v>
      </c>
      <c r="G2287" s="1232">
        <v>1.5154772015520399</v>
      </c>
      <c r="H2287" s="1232">
        <v>0.62777797590231055</v>
      </c>
      <c r="I2287" s="1232">
        <v>2.9568604783428199E-2</v>
      </c>
      <c r="J2287" s="1232">
        <v>2.1631117944529061E-4</v>
      </c>
      <c r="K2287" s="1232">
        <v>3.0000008603782999E-3</v>
      </c>
      <c r="L2287" s="1233">
        <v>2.7963063307631899E-2</v>
      </c>
      <c r="M2287" s="1234">
        <v>3.0905565882994399E-2</v>
      </c>
      <c r="N2287" s="1235">
        <v>2.2609181111316398E-4</v>
      </c>
    </row>
    <row r="2288" spans="1:14" ht="15.5" x14ac:dyDescent="0.35">
      <c r="A2288" s="198">
        <v>2050</v>
      </c>
      <c r="B2288" s="197" t="s">
        <v>5850</v>
      </c>
      <c r="C2288" s="197">
        <v>2025</v>
      </c>
      <c r="D2288" s="110" t="str">
        <f t="shared" si="17"/>
        <v>2050_2025</v>
      </c>
      <c r="E2288" s="1231">
        <v>1.23762908387475E-2</v>
      </c>
      <c r="F2288" s="1232">
        <v>5.3125271292763093E-2</v>
      </c>
      <c r="G2288" s="1232">
        <v>1.3813571880909301</v>
      </c>
      <c r="H2288" s="1232">
        <v>0.3184287317394382</v>
      </c>
      <c r="I2288" s="1232">
        <v>2.9568604782988998E-2</v>
      </c>
      <c r="J2288" s="1232">
        <v>2.1631117944529083E-4</v>
      </c>
      <c r="K2288" s="1232">
        <v>3.0000008603782999E-3</v>
      </c>
      <c r="L2288" s="1233">
        <v>2.7963063307774799E-2</v>
      </c>
      <c r="M2288" s="1234">
        <v>3.0905565882535301E-2</v>
      </c>
      <c r="N2288" s="1235">
        <v>2.2609181111316425E-4</v>
      </c>
    </row>
    <row r="2289" spans="1:14" ht="15.5" x14ac:dyDescent="0.35">
      <c r="A2289" s="199">
        <v>2050</v>
      </c>
      <c r="B2289" s="110" t="s">
        <v>5850</v>
      </c>
      <c r="C2289" s="110">
        <v>2026</v>
      </c>
      <c r="D2289" s="110" t="str">
        <f t="shared" si="17"/>
        <v>2050_2026</v>
      </c>
      <c r="E2289" s="1231">
        <v>1.2376290838756E-2</v>
      </c>
      <c r="F2289" s="1232">
        <v>5.3125271292763045E-2</v>
      </c>
      <c r="G2289" s="1232">
        <v>1.3813571880909501</v>
      </c>
      <c r="H2289" s="1232">
        <v>0.31842873173943792</v>
      </c>
      <c r="I2289" s="1232">
        <v>2.9568604783055799E-2</v>
      </c>
      <c r="J2289" s="1232">
        <v>2.1631117944529064E-4</v>
      </c>
      <c r="K2289" s="1232">
        <v>3.0000008603782999E-3</v>
      </c>
      <c r="L2289" s="1233">
        <v>3.0896713130065E-2</v>
      </c>
      <c r="M2289" s="1234">
        <v>3.09055658826051E-2</v>
      </c>
      <c r="N2289" s="1235">
        <v>2.2609181111316406E-4</v>
      </c>
    </row>
    <row r="2290" spans="1:14" ht="15.5" x14ac:dyDescent="0.35">
      <c r="A2290" s="199">
        <v>2050</v>
      </c>
      <c r="B2290" s="110" t="s">
        <v>5850</v>
      </c>
      <c r="C2290" s="110">
        <v>2027</v>
      </c>
      <c r="D2290" s="110" t="str">
        <f t="shared" si="17"/>
        <v>2050_2027</v>
      </c>
      <c r="E2290" s="1231">
        <v>1.23762908387559E-2</v>
      </c>
      <c r="F2290" s="1232">
        <v>5.3125271292763149E-2</v>
      </c>
      <c r="G2290" s="1232">
        <v>1.38135718809075</v>
      </c>
      <c r="H2290" s="1232">
        <v>0.31842873173943853</v>
      </c>
      <c r="I2290" s="1232">
        <v>2.9568604783062499E-2</v>
      </c>
      <c r="J2290" s="1232">
        <v>2.1631117944529107E-4</v>
      </c>
      <c r="K2290" s="1232">
        <v>3.0000008603782999E-3</v>
      </c>
      <c r="L2290" s="1233">
        <v>3.0896713130060802E-2</v>
      </c>
      <c r="M2290" s="1234">
        <v>3.0905565882612101E-2</v>
      </c>
      <c r="N2290" s="1235">
        <v>2.2609181111316444E-4</v>
      </c>
    </row>
    <row r="2291" spans="1:14" ht="15.5" x14ac:dyDescent="0.35">
      <c r="A2291" s="199">
        <v>2050</v>
      </c>
      <c r="B2291" s="110" t="s">
        <v>5850</v>
      </c>
      <c r="C2291" s="110">
        <v>2028</v>
      </c>
      <c r="D2291" s="110" t="str">
        <f t="shared" ref="D2291:D2313" si="18">CONCATENATE(A2291,"_",C2291)</f>
        <v>2050_2028</v>
      </c>
      <c r="E2291" s="1231">
        <v>1.23762908387523E-2</v>
      </c>
      <c r="F2291" s="1232">
        <v>5.3125271292763128E-2</v>
      </c>
      <c r="G2291" s="1232">
        <v>1.2650521118284099</v>
      </c>
      <c r="H2291" s="1232">
        <v>0.24109142069872011</v>
      </c>
      <c r="I2291" s="1232">
        <v>2.9202794365316299E-2</v>
      </c>
      <c r="J2291" s="1232">
        <v>2.1631117944529099E-4</v>
      </c>
      <c r="K2291" s="1232">
        <v>3.0000008603782999E-3</v>
      </c>
      <c r="L2291" s="1233">
        <v>3.0896713130072299E-2</v>
      </c>
      <c r="M2291" s="1234">
        <v>3.05232151410351E-2</v>
      </c>
      <c r="N2291" s="1235">
        <v>2.2609181111316441E-4</v>
      </c>
    </row>
    <row r="2292" spans="1:14" ht="15.5" x14ac:dyDescent="0.35">
      <c r="A2292" s="199">
        <v>2050</v>
      </c>
      <c r="B2292" s="110" t="s">
        <v>5850</v>
      </c>
      <c r="C2292" s="110">
        <v>2029</v>
      </c>
      <c r="D2292" s="110" t="str">
        <f t="shared" si="18"/>
        <v>2050_2029</v>
      </c>
      <c r="E2292" s="1231">
        <v>1.23762908387543E-2</v>
      </c>
      <c r="F2292" s="1232">
        <v>5.3125271292763142E-2</v>
      </c>
      <c r="G2292" s="1232">
        <v>1.26505211182859</v>
      </c>
      <c r="H2292" s="1232">
        <v>0.24109142069872017</v>
      </c>
      <c r="I2292" s="1232">
        <v>2.92027943653233E-2</v>
      </c>
      <c r="J2292" s="1232">
        <v>2.1631117944529105E-4</v>
      </c>
      <c r="K2292" s="1232">
        <v>3.0000008603782999E-3</v>
      </c>
      <c r="L2292" s="1233">
        <v>3.0896713130071699E-2</v>
      </c>
      <c r="M2292" s="1234">
        <v>3.05232151410425E-2</v>
      </c>
      <c r="N2292" s="1235">
        <v>2.2609181111316447E-4</v>
      </c>
    </row>
    <row r="2293" spans="1:14" ht="15.5" x14ac:dyDescent="0.35">
      <c r="A2293" s="199">
        <v>2050</v>
      </c>
      <c r="B2293" s="110" t="s">
        <v>5850</v>
      </c>
      <c r="C2293" s="110">
        <v>2030</v>
      </c>
      <c r="D2293" s="110" t="str">
        <f t="shared" si="18"/>
        <v>2050_2030</v>
      </c>
      <c r="E2293" s="1231">
        <v>1.2376290838757201E-2</v>
      </c>
      <c r="F2293" s="1232">
        <v>5.3125271292763225E-2</v>
      </c>
      <c r="G2293" s="1232">
        <v>1.2650521118283899</v>
      </c>
      <c r="H2293" s="1232">
        <v>0.24109142069872055</v>
      </c>
      <c r="I2293" s="1232">
        <v>2.9202794365355202E-2</v>
      </c>
      <c r="J2293" s="1232">
        <v>2.163111794452914E-4</v>
      </c>
      <c r="K2293" s="1232">
        <v>3.0000008603782999E-3</v>
      </c>
      <c r="L2293" s="1233">
        <v>3.08967131300588E-2</v>
      </c>
      <c r="M2293" s="1234">
        <v>3.05232151410758E-2</v>
      </c>
      <c r="N2293" s="1235">
        <v>2.2609181111316479E-4</v>
      </c>
    </row>
    <row r="2294" spans="1:14" ht="15.5" x14ac:dyDescent="0.35">
      <c r="A2294" s="199">
        <v>2050</v>
      </c>
      <c r="B2294" s="110" t="s">
        <v>5850</v>
      </c>
      <c r="C2294" s="110">
        <v>2031</v>
      </c>
      <c r="D2294" s="110" t="str">
        <f t="shared" si="18"/>
        <v>2050_2031</v>
      </c>
      <c r="E2294" s="1231">
        <v>1.23762908387534E-2</v>
      </c>
      <c r="F2294" s="1232">
        <v>5.3125271292763093E-2</v>
      </c>
      <c r="G2294" s="1232">
        <v>1.26505211182862</v>
      </c>
      <c r="H2294" s="1232">
        <v>0.24109142069871994</v>
      </c>
      <c r="I2294" s="1232">
        <v>2.9202794365315698E-2</v>
      </c>
      <c r="J2294" s="1232">
        <v>2.1631117944529086E-4</v>
      </c>
      <c r="K2294" s="1232">
        <v>3.0000008603782999E-3</v>
      </c>
      <c r="L2294" s="1233">
        <v>3.0896713130074499E-2</v>
      </c>
      <c r="M2294" s="1234">
        <v>3.0523215141034499E-2</v>
      </c>
      <c r="N2294" s="1235">
        <v>2.2609181111316425E-4</v>
      </c>
    </row>
    <row r="2295" spans="1:14" ht="15.5" x14ac:dyDescent="0.35">
      <c r="A2295" s="199">
        <v>2050</v>
      </c>
      <c r="B2295" s="110" t="s">
        <v>5850</v>
      </c>
      <c r="C2295" s="110">
        <v>2032</v>
      </c>
      <c r="D2295" s="110" t="str">
        <f t="shared" si="18"/>
        <v>2050_2032</v>
      </c>
      <c r="E2295" s="1231">
        <v>1.2376290838754401E-2</v>
      </c>
      <c r="F2295" s="1232">
        <v>5.3125271292763093E-2</v>
      </c>
      <c r="G2295" s="1232">
        <v>1.1906943508839301</v>
      </c>
      <c r="H2295" s="1232">
        <v>0.24109142069871992</v>
      </c>
      <c r="I2295" s="1232">
        <v>2.7431501816381799E-2</v>
      </c>
      <c r="J2295" s="1232">
        <v>2.1631117944529083E-4</v>
      </c>
      <c r="K2295" s="1232">
        <v>3.0000008603782999E-3</v>
      </c>
      <c r="L2295" s="1233">
        <v>3.0896713130076799E-2</v>
      </c>
      <c r="M2295" s="1234">
        <v>2.8671832603032101E-2</v>
      </c>
      <c r="N2295" s="1235">
        <v>2.2609181111316422E-4</v>
      </c>
    </row>
    <row r="2296" spans="1:14" ht="15.5" x14ac:dyDescent="0.35">
      <c r="A2296" s="199">
        <v>2050</v>
      </c>
      <c r="B2296" s="110" t="s">
        <v>5850</v>
      </c>
      <c r="C2296" s="110">
        <v>2033</v>
      </c>
      <c r="D2296" s="110" t="str">
        <f t="shared" si="18"/>
        <v>2050_2033</v>
      </c>
      <c r="E2296" s="1231">
        <v>1.23762908387545E-2</v>
      </c>
      <c r="F2296" s="1232">
        <v>5.31252712927631E-2</v>
      </c>
      <c r="G2296" s="1232">
        <v>1.1906943508835901</v>
      </c>
      <c r="H2296" s="1232">
        <v>0.24109142069871994</v>
      </c>
      <c r="I2296" s="1232">
        <v>2.7431501816396898E-2</v>
      </c>
      <c r="J2296" s="1232">
        <v>2.1631117944529086E-4</v>
      </c>
      <c r="K2296" s="1232">
        <v>3.0000008603782999E-3</v>
      </c>
      <c r="L2296" s="1233">
        <v>3.0896713130068299E-2</v>
      </c>
      <c r="M2296" s="1234">
        <v>2.8671832603047901E-2</v>
      </c>
      <c r="N2296" s="1235">
        <v>2.2609181111316425E-4</v>
      </c>
    </row>
    <row r="2297" spans="1:14" ht="15.5" x14ac:dyDescent="0.35">
      <c r="A2297" s="199">
        <v>2050</v>
      </c>
      <c r="B2297" s="110" t="s">
        <v>5850</v>
      </c>
      <c r="C2297" s="110">
        <v>2034</v>
      </c>
      <c r="D2297" s="110" t="str">
        <f t="shared" si="18"/>
        <v>2050_2034</v>
      </c>
      <c r="E2297" s="1231">
        <v>1.23752317978152E-2</v>
      </c>
      <c r="F2297" s="1232">
        <v>5.3125271292763163E-2</v>
      </c>
      <c r="G2297" s="1232">
        <v>1.19061216391367</v>
      </c>
      <c r="H2297" s="1232">
        <v>0.24109142069872025</v>
      </c>
      <c r="I2297" s="1232">
        <v>2.74272143164652E-2</v>
      </c>
      <c r="J2297" s="1232">
        <v>2.163111794452911E-4</v>
      </c>
      <c r="K2297" s="1232">
        <v>3.0000008603782999E-3</v>
      </c>
      <c r="L2297" s="1233">
        <v>3.08967131300735E-2</v>
      </c>
      <c r="M2297" s="1234">
        <v>2.8667351241394801E-2</v>
      </c>
      <c r="N2297" s="1235">
        <v>2.2609181111316452E-4</v>
      </c>
    </row>
    <row r="2298" spans="1:14" ht="15.5" x14ac:dyDescent="0.35">
      <c r="A2298" s="199">
        <v>2050</v>
      </c>
      <c r="B2298" s="110" t="s">
        <v>5850</v>
      </c>
      <c r="C2298" s="110">
        <v>2035</v>
      </c>
      <c r="D2298" s="110" t="str">
        <f t="shared" si="18"/>
        <v>2050_2035</v>
      </c>
      <c r="E2298" s="1231">
        <v>1.2222903842291201E-2</v>
      </c>
      <c r="F2298" s="1232">
        <v>5.3125271292763183E-2</v>
      </c>
      <c r="G2298" s="1232">
        <v>1.1786771706292001</v>
      </c>
      <c r="H2298" s="1232">
        <v>0.24109142069872036</v>
      </c>
      <c r="I2298" s="1232">
        <v>2.6810518517964899E-2</v>
      </c>
      <c r="J2298" s="1232">
        <v>2.1631117944529118E-4</v>
      </c>
      <c r="K2298" s="1232">
        <v>3.0000008603782999E-3</v>
      </c>
      <c r="L2298" s="1233">
        <v>3.08967131300651E-2</v>
      </c>
      <c r="M2298" s="1234">
        <v>2.8022771195433401E-2</v>
      </c>
      <c r="N2298" s="1235">
        <v>2.2609181111316463E-4</v>
      </c>
    </row>
    <row r="2299" spans="1:14" ht="15.5" x14ac:dyDescent="0.35">
      <c r="A2299" s="199">
        <v>2050</v>
      </c>
      <c r="B2299" s="110" t="s">
        <v>5850</v>
      </c>
      <c r="C2299" s="110">
        <v>2036</v>
      </c>
      <c r="D2299" s="110" t="str">
        <f t="shared" si="18"/>
        <v>2050_2036</v>
      </c>
      <c r="E2299" s="1231">
        <v>1.2053650558015E-2</v>
      </c>
      <c r="F2299" s="1232">
        <v>4.7812744163486839E-2</v>
      </c>
      <c r="G2299" s="1232">
        <v>1.1651420538613599</v>
      </c>
      <c r="H2299" s="1232">
        <v>0.2169822786288482</v>
      </c>
      <c r="I2299" s="1232">
        <v>2.61253009625965E-2</v>
      </c>
      <c r="J2299" s="1232">
        <v>1.94680061500762E-4</v>
      </c>
      <c r="K2299" s="1232">
        <v>3.0000008603782999E-3</v>
      </c>
      <c r="L2299" s="1233">
        <v>3.0896713130069298E-2</v>
      </c>
      <c r="M2299" s="1234">
        <v>2.7306571142819001E-2</v>
      </c>
      <c r="N2299" s="1235">
        <v>2.0348263000184805E-4</v>
      </c>
    </row>
    <row r="2300" spans="1:14" ht="15.5" x14ac:dyDescent="0.35">
      <c r="A2300" s="199">
        <v>2050</v>
      </c>
      <c r="B2300" s="110" t="s">
        <v>5850</v>
      </c>
      <c r="C2300" s="110">
        <v>2037</v>
      </c>
      <c r="D2300" s="110" t="str">
        <f t="shared" si="18"/>
        <v>2050_2037</v>
      </c>
      <c r="E2300" s="1231">
        <v>1.1865591353265001E-2</v>
      </c>
      <c r="F2300" s="1232">
        <v>4.3031469747138104E-2</v>
      </c>
      <c r="G2300" s="1232">
        <v>1.14974499540488</v>
      </c>
      <c r="H2300" s="1232">
        <v>0.19528405076596314</v>
      </c>
      <c r="I2300" s="1232">
        <v>2.5363948123308701E-2</v>
      </c>
      <c r="J2300" s="1232">
        <v>1.7521205535068557E-4</v>
      </c>
      <c r="K2300" s="1232">
        <v>3.0000008603782999E-3</v>
      </c>
      <c r="L2300" s="1233">
        <v>3.0896713130070301E-2</v>
      </c>
      <c r="M2300" s="1234">
        <v>2.6510793306591798E-2</v>
      </c>
      <c r="N2300" s="1235">
        <v>1.8313436700166303E-4</v>
      </c>
    </row>
    <row r="2301" spans="1:14" ht="15.5" x14ac:dyDescent="0.35">
      <c r="A2301" s="199">
        <v>2050</v>
      </c>
      <c r="B2301" s="110" t="s">
        <v>5850</v>
      </c>
      <c r="C2301" s="110">
        <v>2038</v>
      </c>
      <c r="D2301" s="110" t="str">
        <f t="shared" si="18"/>
        <v>2050_2038</v>
      </c>
      <c r="E2301" s="1231">
        <v>1.16566366813205E-2</v>
      </c>
      <c r="F2301" s="1232">
        <v>3.8728322772424412E-2</v>
      </c>
      <c r="G2301" s="1232">
        <v>1.13216521776984</v>
      </c>
      <c r="H2301" s="1232">
        <v>0.17575564568936738</v>
      </c>
      <c r="I2301" s="1232">
        <v>2.4518000524105198E-2</v>
      </c>
      <c r="J2301" s="1232">
        <v>1.576908498156175E-4</v>
      </c>
      <c r="K2301" s="1232">
        <v>3.0000008603782999E-3</v>
      </c>
      <c r="L2301" s="1233">
        <v>3.0896713130067699E-2</v>
      </c>
      <c r="M2301" s="1234">
        <v>2.56265957107892E-2</v>
      </c>
      <c r="N2301" s="1235">
        <v>1.6482093030149723E-4</v>
      </c>
    </row>
    <row r="2302" spans="1:14" ht="15.5" x14ac:dyDescent="0.35">
      <c r="A2302" s="199">
        <v>2050</v>
      </c>
      <c r="B2302" s="110" t="s">
        <v>5850</v>
      </c>
      <c r="C2302" s="110">
        <v>2039</v>
      </c>
      <c r="D2302" s="110" t="str">
        <f t="shared" si="18"/>
        <v>2050_2039</v>
      </c>
      <c r="E2302" s="1231">
        <v>1.1424464823604199E-2</v>
      </c>
      <c r="F2302" s="1232">
        <v>3.4855490495182051E-2</v>
      </c>
      <c r="G2302" s="1232">
        <v>1.1120034899545701</v>
      </c>
      <c r="H2302" s="1232">
        <v>0.15818008112043097</v>
      </c>
      <c r="I2302" s="1232">
        <v>2.35780587472098E-2</v>
      </c>
      <c r="J2302" s="1232">
        <v>1.4192176483405605E-4</v>
      </c>
      <c r="K2302" s="1232">
        <v>3.0000008603782999E-3</v>
      </c>
      <c r="L2302" s="1233">
        <v>3.08967131300662E-2</v>
      </c>
      <c r="M2302" s="1234">
        <v>2.4644153937672501E-2</v>
      </c>
      <c r="N2302" s="1235">
        <v>1.4833883727134782E-4</v>
      </c>
    </row>
    <row r="2303" spans="1:14" ht="15.5" x14ac:dyDescent="0.35">
      <c r="A2303" s="199">
        <v>2050</v>
      </c>
      <c r="B2303" s="110" t="s">
        <v>5850</v>
      </c>
      <c r="C2303" s="110">
        <v>2040</v>
      </c>
      <c r="D2303" s="110" t="str">
        <f t="shared" si="18"/>
        <v>2050_2040</v>
      </c>
      <c r="E2303" s="1231">
        <v>1.11664960928067E-2</v>
      </c>
      <c r="F2303" s="1232">
        <v>3.136994144566381E-2</v>
      </c>
      <c r="G2303" s="1232">
        <v>1.08875335113448</v>
      </c>
      <c r="H2303" s="1232">
        <v>0.14236207300838774</v>
      </c>
      <c r="I2303" s="1232">
        <v>2.2533678995092201E-2</v>
      </c>
      <c r="J2303" s="1232">
        <v>1.2772958835065033E-4</v>
      </c>
      <c r="K2303" s="1232">
        <v>3.0000008603782999E-3</v>
      </c>
      <c r="L2303" s="1233">
        <v>3.0896713130069399E-2</v>
      </c>
      <c r="M2303" s="1234">
        <v>2.3552551967530599E-2</v>
      </c>
      <c r="N2303" s="1235">
        <v>1.3350495354421291E-4</v>
      </c>
    </row>
    <row r="2304" spans="1:14" ht="15.5" x14ac:dyDescent="0.35">
      <c r="A2304" s="199">
        <v>2050</v>
      </c>
      <c r="B2304" s="110" t="s">
        <v>5850</v>
      </c>
      <c r="C2304" s="110">
        <v>2041</v>
      </c>
      <c r="D2304" s="110" t="str">
        <f t="shared" si="18"/>
        <v>2050_2041</v>
      </c>
      <c r="E2304" s="1231">
        <v>1.08798641697014E-2</v>
      </c>
      <c r="F2304" s="1232">
        <v>2.8232947301097253E-2</v>
      </c>
      <c r="G2304" s="1232">
        <v>1.0617569480328599</v>
      </c>
      <c r="H2304" s="1232">
        <v>0.12812586570754814</v>
      </c>
      <c r="I2304" s="1232">
        <v>2.1373257048310002E-2</v>
      </c>
      <c r="J2304" s="1232">
        <v>1.1495662951558456E-4</v>
      </c>
      <c r="K2304" s="1232">
        <v>3.0000008603782999E-3</v>
      </c>
      <c r="L2304" s="1233">
        <v>3.08967131300679E-2</v>
      </c>
      <c r="M2304" s="1234">
        <v>2.2339660889611101E-2</v>
      </c>
      <c r="N2304" s="1235">
        <v>1.2015445818979085E-4</v>
      </c>
    </row>
    <row r="2305" spans="1:14" ht="15.5" x14ac:dyDescent="0.35">
      <c r="A2305" s="199">
        <v>2050</v>
      </c>
      <c r="B2305" s="110" t="s">
        <v>5850</v>
      </c>
      <c r="C2305" s="110">
        <v>2042</v>
      </c>
      <c r="D2305" s="110" t="str">
        <f t="shared" si="18"/>
        <v>2050_2042</v>
      </c>
      <c r="E2305" s="1231">
        <v>1.05613842551376E-2</v>
      </c>
      <c r="F2305" s="1232">
        <v>2.5409652570987522E-2</v>
      </c>
      <c r="G2305" s="1232">
        <v>1.0301339712447399</v>
      </c>
      <c r="H2305" s="1232">
        <v>0.11531327913679332</v>
      </c>
      <c r="I2305" s="1232">
        <v>2.0083899329654199E-2</v>
      </c>
      <c r="J2305" s="1232">
        <v>1.0346096656402608E-4</v>
      </c>
      <c r="K2305" s="1232">
        <v>3.0000008603782999E-3</v>
      </c>
      <c r="L2305" s="1233">
        <v>3.0896713130068601E-2</v>
      </c>
      <c r="M2305" s="1234">
        <v>2.0992004136357802E-2</v>
      </c>
      <c r="N2305" s="1235">
        <v>1.0813901237081176E-4</v>
      </c>
    </row>
    <row r="2306" spans="1:14" ht="15.5" x14ac:dyDescent="0.35">
      <c r="A2306" s="199">
        <v>2050</v>
      </c>
      <c r="B2306" s="110" t="s">
        <v>5850</v>
      </c>
      <c r="C2306" s="110">
        <v>2043</v>
      </c>
      <c r="D2306" s="110" t="str">
        <f t="shared" si="18"/>
        <v>2050_2043</v>
      </c>
      <c r="E2306" s="1231">
        <v>1.0207517683400899E-2</v>
      </c>
      <c r="F2306" s="1232">
        <v>2.5409652570987519E-2</v>
      </c>
      <c r="G2306" s="1232">
        <v>0.99266034504245904</v>
      </c>
      <c r="H2306" s="1232">
        <v>0.1153132791367933</v>
      </c>
      <c r="I2306" s="1232">
        <v>1.8651279642258999E-2</v>
      </c>
      <c r="J2306" s="1232">
        <v>1.0346096656402607E-4</v>
      </c>
      <c r="K2306" s="1232">
        <v>3.0000008603782999E-3</v>
      </c>
      <c r="L2306" s="1233">
        <v>3.0896713130071401E-2</v>
      </c>
      <c r="M2306" s="1234">
        <v>1.9494607743854302E-2</v>
      </c>
      <c r="N2306" s="1235">
        <v>1.0813901237081173E-4</v>
      </c>
    </row>
    <row r="2307" spans="1:14" ht="15.5" x14ac:dyDescent="0.35">
      <c r="A2307" s="199">
        <v>2050</v>
      </c>
      <c r="B2307" s="110" t="s">
        <v>5850</v>
      </c>
      <c r="C2307" s="110">
        <v>2044</v>
      </c>
      <c r="D2307" s="110" t="str">
        <f t="shared" si="18"/>
        <v>2050_2044</v>
      </c>
      <c r="E2307" s="1231">
        <v>9.8536511116648108E-3</v>
      </c>
      <c r="F2307" s="1232">
        <v>2.5409652570987644E-2</v>
      </c>
      <c r="G2307" s="1232">
        <v>0.95224434488133503</v>
      </c>
      <c r="H2307" s="1232">
        <v>0.11531327913679386</v>
      </c>
      <c r="I2307" s="1232">
        <v>1.7218659954871599E-2</v>
      </c>
      <c r="J2307" s="1232">
        <v>1.0346096656402657E-4</v>
      </c>
      <c r="K2307" s="1232">
        <v>3.0000008603782999E-3</v>
      </c>
      <c r="L2307" s="1233">
        <v>3.08967131300684E-2</v>
      </c>
      <c r="M2307" s="1234">
        <v>1.7997211351358899E-2</v>
      </c>
      <c r="N2307" s="1235">
        <v>1.0813901237081226E-4</v>
      </c>
    </row>
    <row r="2308" spans="1:14" ht="15.5" x14ac:dyDescent="0.35">
      <c r="A2308" s="199">
        <v>2050</v>
      </c>
      <c r="B2308" s="110" t="s">
        <v>5850</v>
      </c>
      <c r="C2308" s="110">
        <v>2045</v>
      </c>
      <c r="D2308" s="110" t="str">
        <f t="shared" si="18"/>
        <v>2050_2045</v>
      </c>
      <c r="E2308" s="1231">
        <v>9.4997845399279607E-3</v>
      </c>
      <c r="F2308" s="1232">
        <v>2.5409652570987588E-2</v>
      </c>
      <c r="G2308" s="1232">
        <v>0.90784257224632603</v>
      </c>
      <c r="H2308" s="1232">
        <v>0.11511123081595899</v>
      </c>
      <c r="I2308" s="1232">
        <v>1.6156821268419299E-2</v>
      </c>
      <c r="J2308" s="1232">
        <v>1.0346096656402636E-4</v>
      </c>
      <c r="K2308" s="1232">
        <v>3.0000008603782999E-3</v>
      </c>
      <c r="L2308" s="1233">
        <v>3.0896713130068299E-2</v>
      </c>
      <c r="M2308" s="1234">
        <v>1.6887361031344601E-2</v>
      </c>
      <c r="N2308" s="1235">
        <v>1.0813901237081203E-4</v>
      </c>
    </row>
    <row r="2309" spans="1:14" ht="15.5" x14ac:dyDescent="0.35">
      <c r="A2309" s="199">
        <v>2050</v>
      </c>
      <c r="B2309" s="110" t="s">
        <v>5850</v>
      </c>
      <c r="C2309" s="110">
        <v>2046</v>
      </c>
      <c r="D2309" s="110" t="str">
        <f t="shared" si="18"/>
        <v>2050_2046</v>
      </c>
      <c r="E2309" s="1231">
        <v>9.1459179681909007E-3</v>
      </c>
      <c r="F2309" s="1232">
        <v>2.540965257098754E-2</v>
      </c>
      <c r="G2309" s="1232">
        <v>0.85229412650569902</v>
      </c>
      <c r="H2309" s="1232">
        <v>0.11111783651704356</v>
      </c>
      <c r="I2309" s="1232">
        <v>1.51103050882647E-2</v>
      </c>
      <c r="J2309" s="1232">
        <v>1.0346096656402617E-4</v>
      </c>
      <c r="K2309" s="1232">
        <v>3.0000008603782999E-3</v>
      </c>
      <c r="L2309" s="1233">
        <v>3.08967131300713E-2</v>
      </c>
      <c r="M2309" s="1234">
        <v>1.5793526033370298E-2</v>
      </c>
      <c r="N2309" s="1235">
        <v>1.0813901237081183E-4</v>
      </c>
    </row>
    <row r="2310" spans="1:14" ht="15.5" x14ac:dyDescent="0.35">
      <c r="A2310" s="199">
        <v>2050</v>
      </c>
      <c r="B2310" s="110" t="s">
        <v>5850</v>
      </c>
      <c r="C2310" s="110">
        <v>2047</v>
      </c>
      <c r="D2310" s="110" t="str">
        <f t="shared" si="18"/>
        <v>2050_2047</v>
      </c>
      <c r="E2310" s="1231">
        <v>8.7920513964546299E-3</v>
      </c>
      <c r="F2310" s="1232">
        <v>2.5409652570987519E-2</v>
      </c>
      <c r="G2310" s="1232">
        <v>0.78642330064326005</v>
      </c>
      <c r="H2310" s="1232">
        <v>0.10425243283957768</v>
      </c>
      <c r="I2310" s="1232">
        <v>1.40526963236035E-2</v>
      </c>
      <c r="J2310" s="1232">
        <v>1.0346096656402608E-4</v>
      </c>
      <c r="K2310" s="1232">
        <v>3.0000008603782999E-3</v>
      </c>
      <c r="L2310" s="1233">
        <v>3.0896713130068799E-2</v>
      </c>
      <c r="M2310" s="1234">
        <v>1.4688096893440399E-2</v>
      </c>
      <c r="N2310" s="1235">
        <v>1.0813901237081176E-4</v>
      </c>
    </row>
    <row r="2311" spans="1:14" ht="15.5" x14ac:dyDescent="0.35">
      <c r="A2311" s="199">
        <v>2050</v>
      </c>
      <c r="B2311" s="110" t="s">
        <v>5850</v>
      </c>
      <c r="C2311" s="110">
        <v>2048</v>
      </c>
      <c r="D2311" s="110" t="str">
        <f t="shared" si="18"/>
        <v>2050_2048</v>
      </c>
      <c r="E2311" s="1231">
        <v>8.4381848247179498E-3</v>
      </c>
      <c r="F2311" s="1232">
        <v>2.5409652570987557E-2</v>
      </c>
      <c r="G2311" s="1232">
        <v>0.71003313677117996</v>
      </c>
      <c r="H2311" s="1232">
        <v>9.54343563830896E-2</v>
      </c>
      <c r="I2311" s="1232">
        <v>1.30117554689333E-2</v>
      </c>
      <c r="J2311" s="1232">
        <v>1.0346096656402625E-4</v>
      </c>
      <c r="K2311" s="1232">
        <v>3.0000008603782999E-3</v>
      </c>
      <c r="L2311" s="1233">
        <v>3.0896713130069101E-2</v>
      </c>
      <c r="M2311" s="1234">
        <v>1.36000893124287E-2</v>
      </c>
      <c r="N2311" s="1235">
        <v>1.0813901237081191E-4</v>
      </c>
    </row>
    <row r="2312" spans="1:14" ht="15.5" x14ac:dyDescent="0.35">
      <c r="A2312" s="199">
        <v>2050</v>
      </c>
      <c r="B2312" s="110" t="s">
        <v>5850</v>
      </c>
      <c r="C2312" s="110">
        <v>2049</v>
      </c>
      <c r="D2312" s="110" t="str">
        <f t="shared" si="18"/>
        <v>2050_2049</v>
      </c>
      <c r="E2312" s="1231">
        <v>8.0843182529811795E-3</v>
      </c>
      <c r="F2312" s="1232">
        <v>2.5409652570987568E-2</v>
      </c>
      <c r="G2312" s="1232">
        <v>0.62078712887155596</v>
      </c>
      <c r="H2312" s="1232">
        <v>8.5582943246669679E-2</v>
      </c>
      <c r="I2312" s="1232">
        <v>1.20065601775228E-2</v>
      </c>
      <c r="J2312" s="1232">
        <v>1.0346096656402627E-4</v>
      </c>
      <c r="K2312" s="1232">
        <v>3.0000008603782999E-3</v>
      </c>
      <c r="L2312" s="1233">
        <v>3.0896713130069701E-2</v>
      </c>
      <c r="M2312" s="1234">
        <v>1.25494435504287E-2</v>
      </c>
      <c r="N2312" s="1235">
        <v>1.0813901237081195E-4</v>
      </c>
    </row>
    <row r="2313" spans="1:14" ht="15.5" x14ac:dyDescent="0.35">
      <c r="A2313" s="199">
        <v>2050</v>
      </c>
      <c r="B2313" s="110" t="s">
        <v>5850</v>
      </c>
      <c r="C2313" s="110">
        <v>2050</v>
      </c>
      <c r="D2313" s="110" t="str">
        <f t="shared" si="18"/>
        <v>2050_2050</v>
      </c>
      <c r="E2313" s="1231">
        <v>7.7307120226379096E-3</v>
      </c>
      <c r="F2313" s="1232">
        <v>2.5409654816221115E-2</v>
      </c>
      <c r="G2313" s="1232">
        <v>0.51042227080722202</v>
      </c>
      <c r="H2313" s="1232">
        <v>7.5617536961740867E-2</v>
      </c>
      <c r="I2313" s="1232">
        <v>1.10492369125351E-2</v>
      </c>
      <c r="J2313" s="1232">
        <v>1.0346097570598697E-4</v>
      </c>
      <c r="K2313" s="1232">
        <v>3.0000008603779599E-3</v>
      </c>
      <c r="L2313" s="1233">
        <v>3.08949066512413E-2</v>
      </c>
      <c r="M2313" s="1234">
        <v>1.15488343754573E-2</v>
      </c>
      <c r="N2313" s="1235">
        <v>1.0813902192613142E-4</v>
      </c>
    </row>
    <row r="2314" spans="1:14" ht="16" thickBot="1" x14ac:dyDescent="0.4">
      <c r="A2314" s="200">
        <v>2050</v>
      </c>
      <c r="B2314" s="201" t="s">
        <v>5850</v>
      </c>
      <c r="C2314" s="201">
        <v>2051</v>
      </c>
      <c r="D2314" s="201" t="str">
        <f>CONCATENATE(A2314,"_",C2314)</f>
        <v>2050_2051</v>
      </c>
      <c r="E2314" s="1238">
        <v>7.3754124175737703E-3</v>
      </c>
      <c r="F2314" s="1239">
        <v>6.0983140724693276E-2</v>
      </c>
      <c r="G2314" s="1239">
        <v>0.35071601956732701</v>
      </c>
      <c r="H2314" s="1239">
        <v>0.18148199694742453</v>
      </c>
      <c r="I2314" s="1239">
        <v>1.0137807902418699E-2</v>
      </c>
      <c r="J2314" s="1239">
        <v>2.4830621614601629E-4</v>
      </c>
      <c r="K2314" s="1239">
        <v>3.0000008603799102E-3</v>
      </c>
      <c r="L2314" s="1240">
        <v>3.09052406493164E-2</v>
      </c>
      <c r="M2314" s="1241">
        <v>1.0596194589909701E-2</v>
      </c>
      <c r="N2314" s="1242">
        <v>2.5953352139762397E-4</v>
      </c>
    </row>
    <row r="2315" spans="1:14" ht="15.5" x14ac:dyDescent="0.35">
      <c r="A2315" s="117"/>
      <c r="B2315" s="117"/>
      <c r="C2315" s="117"/>
      <c r="D2315" s="117"/>
      <c r="E2315" s="202"/>
      <c r="F2315" s="202"/>
      <c r="G2315" s="202"/>
      <c r="H2315" s="202"/>
      <c r="I2315" s="202"/>
      <c r="J2315" s="202"/>
      <c r="K2315" s="202"/>
      <c r="L2315" s="202"/>
      <c r="M2315" s="202"/>
      <c r="N2315" s="202"/>
    </row>
    <row r="2316" spans="1:14" ht="15.5" x14ac:dyDescent="0.35">
      <c r="A2316" s="117"/>
      <c r="B2316" s="117"/>
      <c r="C2316" s="117"/>
      <c r="D2316" s="117"/>
      <c r="E2316" s="202"/>
      <c r="F2316" s="202"/>
      <c r="G2316" s="202"/>
      <c r="H2316" s="202"/>
      <c r="I2316" s="202"/>
      <c r="J2316" s="202"/>
      <c r="K2316" s="202"/>
      <c r="L2316" s="202"/>
      <c r="M2316" s="202"/>
      <c r="N2316" s="202"/>
    </row>
    <row r="2317" spans="1:14" ht="15.5" x14ac:dyDescent="0.35">
      <c r="A2317" s="117"/>
      <c r="B2317" s="117"/>
      <c r="C2317" s="117"/>
      <c r="D2317" s="117"/>
      <c r="E2317" s="202"/>
      <c r="F2317" s="202"/>
      <c r="G2317" s="202"/>
      <c r="H2317" s="202"/>
      <c r="I2317" s="202"/>
      <c r="J2317" s="202"/>
      <c r="K2317" s="202"/>
      <c r="L2317" s="202"/>
      <c r="M2317" s="202"/>
      <c r="N2317" s="202"/>
    </row>
    <row r="2318" spans="1:14" ht="15.5" x14ac:dyDescent="0.35">
      <c r="A2318" s="117"/>
      <c r="B2318" s="117"/>
      <c r="C2318" s="117"/>
      <c r="D2318" s="117"/>
      <c r="E2318" s="202"/>
      <c r="F2318" s="202"/>
      <c r="G2318" s="202"/>
      <c r="H2318" s="202"/>
      <c r="I2318" s="202"/>
      <c r="J2318" s="202"/>
      <c r="K2318" s="202"/>
      <c r="L2318" s="202"/>
      <c r="M2318" s="202"/>
      <c r="N2318" s="202"/>
    </row>
    <row r="2319" spans="1:14" ht="15.5" x14ac:dyDescent="0.35">
      <c r="A2319" s="117"/>
      <c r="B2319" s="117"/>
      <c r="C2319" s="117"/>
      <c r="D2319" s="117"/>
      <c r="E2319" s="202"/>
      <c r="F2319" s="202"/>
      <c r="G2319" s="202"/>
      <c r="H2319" s="202"/>
      <c r="I2319" s="202"/>
      <c r="J2319" s="202"/>
      <c r="K2319" s="202"/>
      <c r="L2319" s="202"/>
      <c r="M2319" s="202"/>
      <c r="N2319" s="202"/>
    </row>
    <row r="2320" spans="1:14" ht="15.5" x14ac:dyDescent="0.35">
      <c r="A2320" s="117"/>
      <c r="B2320" s="117"/>
      <c r="C2320" s="117"/>
      <c r="D2320" s="117"/>
      <c r="E2320" s="202"/>
      <c r="F2320" s="202"/>
      <c r="G2320" s="202"/>
      <c r="H2320" s="202"/>
      <c r="I2320" s="202"/>
      <c r="J2320" s="202"/>
      <c r="K2320" s="202"/>
      <c r="L2320" s="202"/>
      <c r="M2320" s="202"/>
      <c r="N2320" s="202"/>
    </row>
    <row r="2321" spans="1:14" ht="15.5" x14ac:dyDescent="0.35">
      <c r="A2321" s="117"/>
      <c r="B2321" s="117"/>
      <c r="C2321" s="117"/>
      <c r="D2321" s="117"/>
      <c r="E2321" s="202"/>
      <c r="F2321" s="202"/>
      <c r="G2321" s="202"/>
      <c r="H2321" s="202"/>
      <c r="I2321" s="202"/>
      <c r="J2321" s="202"/>
      <c r="K2321" s="202"/>
      <c r="L2321" s="202"/>
      <c r="M2321" s="202"/>
      <c r="N2321" s="202"/>
    </row>
    <row r="2322" spans="1:14" ht="15.5" x14ac:dyDescent="0.35">
      <c r="A2322" s="117"/>
      <c r="B2322" s="117"/>
      <c r="C2322" s="117"/>
      <c r="D2322" s="117"/>
      <c r="E2322" s="202"/>
      <c r="F2322" s="202"/>
      <c r="G2322" s="202"/>
      <c r="H2322" s="202"/>
      <c r="I2322" s="202"/>
      <c r="J2322" s="202"/>
      <c r="K2322" s="202"/>
      <c r="L2322" s="202"/>
      <c r="M2322" s="202"/>
      <c r="N2322" s="202"/>
    </row>
    <row r="2323" spans="1:14" ht="15.5" x14ac:dyDescent="0.35">
      <c r="A2323" s="117"/>
      <c r="B2323" s="117"/>
      <c r="C2323" s="117"/>
      <c r="D2323" s="117"/>
      <c r="E2323" s="202"/>
      <c r="F2323" s="202"/>
      <c r="G2323" s="202"/>
      <c r="H2323" s="202"/>
      <c r="I2323" s="202"/>
      <c r="J2323" s="202"/>
      <c r="K2323" s="202"/>
      <c r="L2323" s="202"/>
      <c r="M2323" s="202"/>
      <c r="N2323" s="202"/>
    </row>
    <row r="2324" spans="1:14" ht="15.5" x14ac:dyDescent="0.35">
      <c r="A2324" s="117"/>
      <c r="B2324" s="117"/>
      <c r="C2324" s="117"/>
      <c r="D2324" s="117"/>
      <c r="E2324" s="202"/>
      <c r="F2324" s="202"/>
      <c r="G2324" s="202"/>
      <c r="H2324" s="202"/>
      <c r="I2324" s="202"/>
      <c r="J2324" s="202"/>
      <c r="K2324" s="202"/>
      <c r="L2324" s="202"/>
      <c r="M2324" s="202"/>
      <c r="N2324" s="202"/>
    </row>
    <row r="2325" spans="1:14" ht="15.5" x14ac:dyDescent="0.35">
      <c r="A2325" s="117"/>
      <c r="B2325" s="117"/>
      <c r="C2325" s="117"/>
      <c r="D2325" s="117"/>
      <c r="E2325" s="202"/>
      <c r="F2325" s="202"/>
      <c r="G2325" s="202"/>
      <c r="H2325" s="202"/>
      <c r="I2325" s="202"/>
      <c r="J2325" s="202"/>
      <c r="K2325" s="202"/>
      <c r="L2325" s="202"/>
      <c r="M2325" s="202"/>
      <c r="N2325" s="202"/>
    </row>
    <row r="2326" spans="1:14" ht="15.5" x14ac:dyDescent="0.35">
      <c r="A2326" s="117"/>
      <c r="B2326" s="117"/>
      <c r="C2326" s="117"/>
      <c r="D2326" s="117"/>
      <c r="E2326" s="202"/>
      <c r="F2326" s="202"/>
      <c r="G2326" s="202"/>
      <c r="H2326" s="202"/>
      <c r="I2326" s="202"/>
      <c r="J2326" s="202"/>
      <c r="K2326" s="202"/>
      <c r="L2326" s="202"/>
      <c r="M2326" s="202"/>
      <c r="N2326" s="202"/>
    </row>
    <row r="2327" spans="1:14" ht="15.5" x14ac:dyDescent="0.35">
      <c r="A2327" s="117"/>
      <c r="B2327" s="117"/>
      <c r="C2327" s="117"/>
      <c r="D2327" s="117"/>
      <c r="E2327" s="202"/>
      <c r="F2327" s="202"/>
      <c r="G2327" s="202"/>
      <c r="H2327" s="202"/>
      <c r="I2327" s="202"/>
      <c r="J2327" s="202"/>
      <c r="K2327" s="202"/>
      <c r="L2327" s="202"/>
      <c r="M2327" s="202"/>
      <c r="N2327" s="202"/>
    </row>
    <row r="2328" spans="1:14" ht="15.5" x14ac:dyDescent="0.35">
      <c r="A2328" s="117"/>
      <c r="B2328" s="117"/>
      <c r="C2328" s="117"/>
      <c r="D2328" s="117"/>
      <c r="E2328" s="202"/>
      <c r="F2328" s="202"/>
      <c r="G2328" s="202"/>
      <c r="H2328" s="202"/>
      <c r="I2328" s="202"/>
      <c r="J2328" s="202"/>
      <c r="K2328" s="202"/>
      <c r="L2328" s="202"/>
      <c r="M2328" s="202"/>
      <c r="N2328" s="202"/>
    </row>
    <row r="2329" spans="1:14" ht="15.5" x14ac:dyDescent="0.35">
      <c r="A2329" s="117"/>
      <c r="B2329" s="117"/>
      <c r="C2329" s="117"/>
      <c r="D2329" s="117"/>
      <c r="E2329" s="202"/>
      <c r="F2329" s="202"/>
      <c r="G2329" s="202"/>
      <c r="H2329" s="202"/>
      <c r="I2329" s="202"/>
      <c r="J2329" s="202"/>
      <c r="K2329" s="202"/>
      <c r="L2329" s="202"/>
      <c r="M2329" s="202"/>
      <c r="N2329" s="202"/>
    </row>
    <row r="2330" spans="1:14" ht="15.5" x14ac:dyDescent="0.35">
      <c r="A2330" s="117"/>
      <c r="B2330" s="117"/>
      <c r="C2330" s="117"/>
      <c r="D2330" s="117"/>
      <c r="E2330" s="202"/>
      <c r="F2330" s="202"/>
      <c r="G2330" s="202"/>
      <c r="H2330" s="202"/>
      <c r="I2330" s="202"/>
      <c r="J2330" s="202"/>
      <c r="K2330" s="202"/>
      <c r="L2330" s="202"/>
      <c r="M2330" s="202"/>
      <c r="N2330" s="202"/>
    </row>
    <row r="2331" spans="1:14" ht="15.5" x14ac:dyDescent="0.35">
      <c r="A2331" s="117"/>
      <c r="B2331" s="117"/>
      <c r="C2331" s="117"/>
      <c r="D2331" s="117"/>
      <c r="E2331" s="202"/>
      <c r="F2331" s="202"/>
      <c r="G2331" s="202"/>
      <c r="H2331" s="202"/>
      <c r="I2331" s="202"/>
      <c r="J2331" s="202"/>
      <c r="K2331" s="202"/>
      <c r="L2331" s="202"/>
      <c r="M2331" s="202"/>
      <c r="N2331" s="202"/>
    </row>
    <row r="2332" spans="1:14" ht="15.5" x14ac:dyDescent="0.35">
      <c r="A2332" s="117"/>
      <c r="B2332" s="117"/>
      <c r="C2332" s="117"/>
      <c r="D2332" s="117"/>
      <c r="E2332" s="202"/>
      <c r="F2332" s="202"/>
      <c r="G2332" s="202"/>
      <c r="H2332" s="202"/>
      <c r="I2332" s="202"/>
      <c r="J2332" s="202"/>
      <c r="K2332" s="202"/>
      <c r="L2332" s="202"/>
      <c r="M2332" s="202"/>
      <c r="N2332" s="202"/>
    </row>
    <row r="2333" spans="1:14" ht="15.5" x14ac:dyDescent="0.35">
      <c r="A2333" s="117"/>
      <c r="B2333" s="117"/>
      <c r="C2333" s="117"/>
      <c r="D2333" s="117"/>
      <c r="E2333" s="202"/>
      <c r="F2333" s="202"/>
      <c r="G2333" s="202"/>
      <c r="H2333" s="202"/>
      <c r="I2333" s="202"/>
      <c r="J2333" s="202"/>
      <c r="K2333" s="202"/>
      <c r="L2333" s="202"/>
      <c r="M2333" s="202"/>
      <c r="N2333" s="202"/>
    </row>
    <row r="2334" spans="1:14" ht="15.5" x14ac:dyDescent="0.35">
      <c r="A2334" s="117"/>
      <c r="B2334" s="117"/>
      <c r="C2334" s="117"/>
      <c r="D2334" s="117"/>
      <c r="E2334" s="202"/>
      <c r="F2334" s="202"/>
      <c r="G2334" s="202"/>
      <c r="H2334" s="202"/>
      <c r="I2334" s="202"/>
      <c r="J2334" s="202"/>
      <c r="K2334" s="202"/>
      <c r="L2334" s="202"/>
      <c r="M2334" s="202"/>
      <c r="N2334" s="202"/>
    </row>
    <row r="2335" spans="1:14" ht="15.5" x14ac:dyDescent="0.35">
      <c r="A2335" s="117"/>
      <c r="B2335" s="117"/>
      <c r="C2335" s="117"/>
      <c r="D2335" s="117"/>
      <c r="E2335" s="202"/>
      <c r="F2335" s="202"/>
      <c r="G2335" s="202"/>
      <c r="H2335" s="202"/>
      <c r="I2335" s="202"/>
      <c r="J2335" s="202"/>
      <c r="K2335" s="202"/>
      <c r="L2335" s="202"/>
      <c r="M2335" s="202"/>
      <c r="N2335" s="202"/>
    </row>
    <row r="2336" spans="1:14" ht="15.5" x14ac:dyDescent="0.35">
      <c r="A2336" s="117"/>
      <c r="B2336" s="117"/>
      <c r="C2336" s="117"/>
      <c r="D2336" s="117"/>
      <c r="E2336" s="202"/>
      <c r="F2336" s="202"/>
      <c r="G2336" s="202"/>
      <c r="H2336" s="202"/>
      <c r="I2336" s="202"/>
      <c r="J2336" s="202"/>
      <c r="K2336" s="202"/>
      <c r="L2336" s="202"/>
      <c r="M2336" s="202"/>
      <c r="N2336" s="202"/>
    </row>
    <row r="2337" spans="1:14" ht="15.5" x14ac:dyDescent="0.35">
      <c r="A2337" s="117"/>
      <c r="B2337" s="117"/>
      <c r="C2337" s="117"/>
      <c r="D2337" s="117"/>
      <c r="E2337" s="202"/>
      <c r="F2337" s="202"/>
      <c r="G2337" s="202"/>
      <c r="H2337" s="202"/>
      <c r="I2337" s="202"/>
      <c r="J2337" s="202"/>
      <c r="K2337" s="202"/>
      <c r="L2337" s="202"/>
      <c r="M2337" s="202"/>
      <c r="N2337" s="202"/>
    </row>
    <row r="2338" spans="1:14" ht="15.5" x14ac:dyDescent="0.35">
      <c r="A2338" s="117"/>
      <c r="B2338" s="117"/>
      <c r="C2338" s="117"/>
      <c r="D2338" s="117"/>
      <c r="E2338" s="202"/>
      <c r="F2338" s="202"/>
      <c r="G2338" s="202"/>
      <c r="H2338" s="202"/>
      <c r="I2338" s="202"/>
      <c r="J2338" s="202"/>
      <c r="K2338" s="202"/>
      <c r="L2338" s="202"/>
      <c r="M2338" s="202"/>
      <c r="N2338" s="202"/>
    </row>
    <row r="2339" spans="1:14" ht="15.5" x14ac:dyDescent="0.35">
      <c r="A2339" s="117"/>
      <c r="B2339" s="117"/>
      <c r="C2339" s="117"/>
      <c r="D2339" s="117"/>
      <c r="E2339" s="202"/>
      <c r="F2339" s="202"/>
      <c r="G2339" s="202"/>
      <c r="H2339" s="202"/>
      <c r="I2339" s="202"/>
      <c r="J2339" s="202"/>
      <c r="K2339" s="202"/>
      <c r="L2339" s="202"/>
      <c r="M2339" s="202"/>
      <c r="N2339" s="202"/>
    </row>
    <row r="2340" spans="1:14" ht="15.5" x14ac:dyDescent="0.35">
      <c r="A2340" s="117"/>
      <c r="B2340" s="117"/>
      <c r="C2340" s="117"/>
      <c r="D2340" s="117"/>
      <c r="E2340" s="202"/>
      <c r="F2340" s="202"/>
      <c r="G2340" s="202"/>
      <c r="H2340" s="202"/>
      <c r="I2340" s="202"/>
      <c r="J2340" s="202"/>
      <c r="K2340" s="202"/>
      <c r="L2340" s="202"/>
      <c r="M2340" s="202"/>
      <c r="N2340" s="202"/>
    </row>
    <row r="2341" spans="1:14" ht="15.5" x14ac:dyDescent="0.35">
      <c r="A2341" s="117"/>
      <c r="B2341" s="117"/>
      <c r="C2341" s="117"/>
      <c r="D2341" s="117"/>
      <c r="E2341" s="202"/>
      <c r="F2341" s="202"/>
      <c r="G2341" s="202"/>
      <c r="H2341" s="202"/>
      <c r="I2341" s="202"/>
      <c r="J2341" s="202"/>
      <c r="K2341" s="202"/>
      <c r="L2341" s="202"/>
      <c r="M2341" s="202"/>
      <c r="N2341" s="202"/>
    </row>
    <row r="2342" spans="1:14" ht="15.5" x14ac:dyDescent="0.35">
      <c r="A2342" s="117"/>
      <c r="B2342" s="117"/>
      <c r="C2342" s="117"/>
      <c r="D2342" s="117"/>
      <c r="E2342" s="202"/>
      <c r="F2342" s="202"/>
      <c r="G2342" s="202"/>
      <c r="H2342" s="202"/>
      <c r="I2342" s="202"/>
      <c r="J2342" s="202"/>
      <c r="K2342" s="202"/>
      <c r="L2342" s="202"/>
      <c r="M2342" s="202"/>
      <c r="N2342" s="202"/>
    </row>
    <row r="2343" spans="1:14" ht="15.5" x14ac:dyDescent="0.35">
      <c r="A2343" s="117"/>
      <c r="B2343" s="117"/>
      <c r="C2343" s="117"/>
      <c r="D2343" s="117"/>
      <c r="E2343" s="202"/>
      <c r="F2343" s="202"/>
      <c r="G2343" s="202"/>
      <c r="H2343" s="202"/>
      <c r="I2343" s="202"/>
      <c r="J2343" s="202"/>
      <c r="K2343" s="202"/>
      <c r="L2343" s="202"/>
      <c r="M2343" s="202"/>
      <c r="N2343" s="202"/>
    </row>
    <row r="2344" spans="1:14" ht="15.5" x14ac:dyDescent="0.35">
      <c r="A2344" s="117"/>
      <c r="B2344" s="117"/>
      <c r="C2344" s="117"/>
      <c r="D2344" s="117"/>
      <c r="E2344" s="202"/>
      <c r="F2344" s="202"/>
      <c r="G2344" s="202"/>
      <c r="H2344" s="202"/>
      <c r="I2344" s="202"/>
      <c r="J2344" s="202"/>
      <c r="K2344" s="202"/>
      <c r="L2344" s="202"/>
      <c r="M2344" s="202"/>
      <c r="N2344" s="202"/>
    </row>
    <row r="2345" spans="1:14" ht="15.5" x14ac:dyDescent="0.35">
      <c r="A2345" s="117"/>
      <c r="B2345" s="117"/>
      <c r="C2345" s="117"/>
      <c r="D2345" s="117"/>
      <c r="E2345" s="202"/>
      <c r="F2345" s="202"/>
      <c r="G2345" s="202"/>
      <c r="H2345" s="202"/>
      <c r="I2345" s="202"/>
      <c r="J2345" s="202"/>
      <c r="K2345" s="202"/>
      <c r="L2345" s="202"/>
      <c r="M2345" s="202"/>
      <c r="N2345" s="202"/>
    </row>
    <row r="2346" spans="1:14" ht="15.5" x14ac:dyDescent="0.35">
      <c r="A2346" s="117"/>
      <c r="B2346" s="117"/>
      <c r="C2346" s="117"/>
      <c r="D2346" s="117"/>
      <c r="E2346" s="202"/>
      <c r="F2346" s="202"/>
      <c r="G2346" s="202"/>
      <c r="H2346" s="202"/>
      <c r="I2346" s="202"/>
      <c r="J2346" s="202"/>
      <c r="K2346" s="202"/>
      <c r="L2346" s="202"/>
      <c r="M2346" s="202"/>
      <c r="N2346" s="202"/>
    </row>
    <row r="2347" spans="1:14" ht="15.5" x14ac:dyDescent="0.35">
      <c r="A2347" s="117"/>
      <c r="B2347" s="117"/>
      <c r="C2347" s="117"/>
      <c r="D2347" s="117"/>
      <c r="E2347" s="202"/>
      <c r="F2347" s="202"/>
      <c r="G2347" s="202"/>
      <c r="H2347" s="202"/>
      <c r="I2347" s="202"/>
      <c r="J2347" s="202"/>
      <c r="K2347" s="202"/>
      <c r="L2347" s="202"/>
      <c r="M2347" s="202"/>
      <c r="N2347" s="202"/>
    </row>
    <row r="2348" spans="1:14" ht="15.5" x14ac:dyDescent="0.35">
      <c r="A2348" s="117"/>
      <c r="B2348" s="117"/>
      <c r="C2348" s="117"/>
      <c r="D2348" s="117"/>
      <c r="E2348" s="202"/>
      <c r="F2348" s="202"/>
      <c r="G2348" s="202"/>
      <c r="H2348" s="202"/>
      <c r="I2348" s="202"/>
      <c r="J2348" s="202"/>
      <c r="K2348" s="202"/>
      <c r="L2348" s="202"/>
      <c r="M2348" s="202"/>
      <c r="N2348" s="202"/>
    </row>
    <row r="2349" spans="1:14" ht="15.5" x14ac:dyDescent="0.35">
      <c r="A2349" s="117"/>
      <c r="B2349" s="117"/>
      <c r="C2349" s="117"/>
      <c r="D2349" s="117"/>
      <c r="E2349" s="202"/>
      <c r="F2349" s="202"/>
      <c r="G2349" s="202"/>
      <c r="H2349" s="202"/>
      <c r="I2349" s="202"/>
      <c r="J2349" s="202"/>
      <c r="K2349" s="202"/>
      <c r="L2349" s="202"/>
      <c r="M2349" s="202"/>
      <c r="N2349" s="202"/>
    </row>
    <row r="2350" spans="1:14" ht="15.5" x14ac:dyDescent="0.35">
      <c r="A2350" s="117"/>
      <c r="B2350" s="117"/>
      <c r="C2350" s="117"/>
      <c r="D2350" s="117"/>
      <c r="E2350" s="202"/>
      <c r="F2350" s="202"/>
      <c r="G2350" s="202"/>
      <c r="H2350" s="202"/>
      <c r="I2350" s="202"/>
      <c r="J2350" s="202"/>
      <c r="K2350" s="202"/>
      <c r="L2350" s="202"/>
      <c r="M2350" s="202"/>
      <c r="N2350" s="202"/>
    </row>
    <row r="2351" spans="1:14" ht="15.5" x14ac:dyDescent="0.35">
      <c r="A2351" s="117"/>
      <c r="B2351" s="117"/>
      <c r="C2351" s="117"/>
      <c r="D2351" s="117"/>
      <c r="E2351" s="202"/>
      <c r="F2351" s="202"/>
      <c r="G2351" s="202"/>
      <c r="H2351" s="202"/>
      <c r="I2351" s="202"/>
      <c r="J2351" s="202"/>
      <c r="K2351" s="202"/>
      <c r="L2351" s="202"/>
      <c r="M2351" s="202"/>
      <c r="N2351" s="202"/>
    </row>
    <row r="2352" spans="1:14" ht="15.5" x14ac:dyDescent="0.35">
      <c r="A2352" s="117"/>
      <c r="B2352" s="117"/>
      <c r="C2352" s="117"/>
      <c r="D2352" s="117"/>
      <c r="E2352" s="202"/>
      <c r="F2352" s="202"/>
      <c r="G2352" s="202"/>
      <c r="H2352" s="202"/>
      <c r="I2352" s="202"/>
      <c r="J2352" s="202"/>
      <c r="K2352" s="202"/>
      <c r="L2352" s="202"/>
      <c r="M2352" s="202"/>
      <c r="N2352" s="202"/>
    </row>
    <row r="2353" spans="1:14" ht="15.5" x14ac:dyDescent="0.35">
      <c r="A2353" s="117"/>
      <c r="B2353" s="117"/>
      <c r="C2353" s="117"/>
      <c r="D2353" s="117"/>
      <c r="E2353" s="202"/>
      <c r="F2353" s="202"/>
      <c r="G2353" s="202"/>
      <c r="H2353" s="202"/>
      <c r="I2353" s="202"/>
      <c r="J2353" s="202"/>
      <c r="K2353" s="202"/>
      <c r="L2353" s="202"/>
      <c r="M2353" s="202"/>
      <c r="N2353" s="202"/>
    </row>
    <row r="2354" spans="1:14" ht="15.5" x14ac:dyDescent="0.35">
      <c r="A2354" s="117"/>
      <c r="B2354" s="117"/>
      <c r="C2354" s="117"/>
      <c r="D2354" s="117"/>
      <c r="E2354" s="202"/>
      <c r="F2354" s="202"/>
      <c r="G2354" s="202"/>
      <c r="H2354" s="202"/>
      <c r="I2354" s="202"/>
      <c r="J2354" s="202"/>
      <c r="K2354" s="202"/>
      <c r="L2354" s="202"/>
      <c r="M2354" s="202"/>
      <c r="N2354" s="202"/>
    </row>
    <row r="2355" spans="1:14" ht="15.5" x14ac:dyDescent="0.35">
      <c r="A2355" s="117"/>
      <c r="B2355" s="117"/>
      <c r="C2355" s="117"/>
      <c r="D2355" s="117"/>
      <c r="E2355" s="202"/>
      <c r="F2355" s="202"/>
      <c r="G2355" s="202"/>
      <c r="H2355" s="202"/>
      <c r="I2355" s="202"/>
      <c r="J2355" s="202"/>
      <c r="K2355" s="202"/>
      <c r="L2355" s="202"/>
      <c r="M2355" s="202"/>
      <c r="N2355" s="202"/>
    </row>
    <row r="2356" spans="1:14" ht="15.5" x14ac:dyDescent="0.35">
      <c r="A2356" s="117"/>
      <c r="B2356" s="117"/>
      <c r="C2356" s="117"/>
      <c r="D2356" s="117"/>
      <c r="E2356" s="202"/>
      <c r="F2356" s="202"/>
      <c r="G2356" s="202"/>
      <c r="H2356" s="202"/>
      <c r="I2356" s="202"/>
      <c r="J2356" s="202"/>
      <c r="K2356" s="202"/>
      <c r="L2356" s="202"/>
      <c r="M2356" s="202"/>
      <c r="N2356" s="202"/>
    </row>
    <row r="2357" spans="1:14" ht="15.5" x14ac:dyDescent="0.35">
      <c r="A2357" s="117"/>
      <c r="B2357" s="117"/>
      <c r="C2357" s="117"/>
      <c r="D2357" s="117"/>
      <c r="E2357" s="202"/>
      <c r="F2357" s="202"/>
      <c r="G2357" s="202"/>
      <c r="H2357" s="202"/>
      <c r="I2357" s="202"/>
      <c r="J2357" s="202"/>
      <c r="K2357" s="202"/>
      <c r="L2357" s="202"/>
      <c r="M2357" s="202"/>
      <c r="N2357" s="202"/>
    </row>
    <row r="2358" spans="1:14" ht="15.5" x14ac:dyDescent="0.35">
      <c r="A2358" s="117"/>
      <c r="B2358" s="117"/>
      <c r="C2358" s="117"/>
      <c r="D2358" s="117"/>
      <c r="E2358" s="202"/>
      <c r="F2358" s="202"/>
      <c r="G2358" s="202"/>
      <c r="H2358" s="202"/>
      <c r="I2358" s="202"/>
      <c r="J2358" s="202"/>
      <c r="K2358" s="202"/>
      <c r="L2358" s="202"/>
      <c r="M2358" s="202"/>
      <c r="N2358" s="202"/>
    </row>
    <row r="2359" spans="1:14" ht="15.5" x14ac:dyDescent="0.35">
      <c r="A2359" s="117"/>
      <c r="B2359" s="117"/>
      <c r="C2359" s="117"/>
      <c r="D2359" s="117"/>
      <c r="E2359" s="202"/>
      <c r="F2359" s="202"/>
      <c r="G2359" s="202"/>
      <c r="H2359" s="202"/>
      <c r="I2359" s="202"/>
      <c r="J2359" s="202"/>
      <c r="K2359" s="202"/>
      <c r="L2359" s="202"/>
      <c r="M2359" s="202"/>
      <c r="N2359" s="202"/>
    </row>
    <row r="2360" spans="1:14" ht="15.5" x14ac:dyDescent="0.35">
      <c r="A2360" s="117"/>
      <c r="B2360" s="117"/>
      <c r="C2360" s="117"/>
      <c r="D2360" s="117"/>
      <c r="E2360" s="202"/>
      <c r="F2360" s="202"/>
      <c r="G2360" s="202"/>
      <c r="H2360" s="202"/>
      <c r="I2360" s="202"/>
      <c r="J2360" s="202"/>
      <c r="K2360" s="202"/>
      <c r="L2360" s="202"/>
      <c r="M2360" s="202"/>
      <c r="N2360" s="202"/>
    </row>
    <row r="2361" spans="1:14" ht="15.5" x14ac:dyDescent="0.35">
      <c r="A2361" s="117"/>
      <c r="B2361" s="117"/>
      <c r="C2361" s="117"/>
      <c r="D2361" s="117"/>
      <c r="E2361" s="202"/>
      <c r="F2361" s="202"/>
      <c r="G2361" s="202"/>
      <c r="H2361" s="202"/>
      <c r="I2361" s="202"/>
      <c r="J2361" s="202"/>
      <c r="K2361" s="202"/>
      <c r="L2361" s="202"/>
      <c r="M2361" s="202"/>
      <c r="N2361" s="202"/>
    </row>
    <row r="2362" spans="1:14" ht="15.5" x14ac:dyDescent="0.35">
      <c r="A2362" s="117"/>
      <c r="B2362" s="117"/>
      <c r="C2362" s="117"/>
      <c r="D2362" s="117"/>
      <c r="E2362" s="202"/>
      <c r="F2362" s="202"/>
      <c r="G2362" s="202"/>
      <c r="H2362" s="202"/>
      <c r="I2362" s="202"/>
      <c r="J2362" s="202"/>
      <c r="K2362" s="202"/>
      <c r="L2362" s="202"/>
      <c r="M2362" s="202"/>
      <c r="N2362" s="202"/>
    </row>
    <row r="2363" spans="1:14" ht="15.5" x14ac:dyDescent="0.35">
      <c r="A2363" s="117"/>
      <c r="B2363" s="117"/>
      <c r="C2363" s="117"/>
      <c r="D2363" s="117"/>
      <c r="E2363" s="202"/>
      <c r="F2363" s="202"/>
      <c r="G2363" s="202"/>
      <c r="H2363" s="202"/>
      <c r="I2363" s="202"/>
      <c r="J2363" s="202"/>
      <c r="K2363" s="202"/>
      <c r="L2363" s="202"/>
      <c r="M2363" s="202"/>
      <c r="N2363" s="202"/>
    </row>
    <row r="2364" spans="1:14" ht="15.5" x14ac:dyDescent="0.35">
      <c r="A2364" s="117"/>
      <c r="B2364" s="117"/>
      <c r="C2364" s="117"/>
      <c r="D2364" s="117"/>
      <c r="E2364" s="202"/>
      <c r="F2364" s="202"/>
      <c r="G2364" s="202"/>
      <c r="H2364" s="202"/>
      <c r="I2364" s="202"/>
      <c r="J2364" s="202"/>
      <c r="K2364" s="202"/>
      <c r="L2364" s="202"/>
      <c r="M2364" s="202"/>
      <c r="N2364" s="202"/>
    </row>
    <row r="2365" spans="1:14" ht="15.5" x14ac:dyDescent="0.35">
      <c r="A2365" s="117"/>
      <c r="B2365" s="117"/>
      <c r="C2365" s="117"/>
      <c r="D2365" s="117"/>
      <c r="E2365" s="202"/>
      <c r="F2365" s="202"/>
      <c r="G2365" s="202"/>
      <c r="H2365" s="202"/>
      <c r="I2365" s="202"/>
      <c r="J2365" s="202"/>
      <c r="K2365" s="202"/>
      <c r="L2365" s="202"/>
      <c r="M2365" s="202"/>
      <c r="N2365" s="202"/>
    </row>
    <row r="2366" spans="1:14" ht="15.5" x14ac:dyDescent="0.35">
      <c r="A2366" s="117"/>
      <c r="B2366" s="117"/>
      <c r="C2366" s="117"/>
      <c r="D2366" s="117"/>
      <c r="E2366" s="202"/>
      <c r="F2366" s="202"/>
      <c r="G2366" s="202"/>
      <c r="H2366" s="202"/>
      <c r="I2366" s="202"/>
      <c r="J2366" s="202"/>
      <c r="K2366" s="202"/>
      <c r="L2366" s="202"/>
      <c r="M2366" s="202"/>
      <c r="N2366" s="202"/>
    </row>
    <row r="2367" spans="1:14" ht="15.5" x14ac:dyDescent="0.35">
      <c r="A2367" s="117"/>
      <c r="B2367" s="117"/>
      <c r="C2367" s="117"/>
      <c r="D2367" s="117"/>
      <c r="E2367" s="202"/>
      <c r="F2367" s="202"/>
      <c r="G2367" s="202"/>
      <c r="H2367" s="202"/>
      <c r="I2367" s="202"/>
      <c r="J2367" s="202"/>
      <c r="K2367" s="202"/>
      <c r="L2367" s="202"/>
      <c r="M2367" s="202"/>
      <c r="N2367" s="202"/>
    </row>
    <row r="2368" spans="1:14" ht="15.5" x14ac:dyDescent="0.35">
      <c r="A2368" s="117"/>
      <c r="B2368" s="117"/>
      <c r="C2368" s="117"/>
      <c r="D2368" s="117"/>
      <c r="E2368" s="202"/>
      <c r="F2368" s="202"/>
      <c r="G2368" s="202"/>
      <c r="H2368" s="202"/>
      <c r="I2368" s="202"/>
      <c r="J2368" s="202"/>
      <c r="K2368" s="202"/>
      <c r="L2368" s="202"/>
      <c r="M2368" s="202"/>
      <c r="N2368" s="202"/>
    </row>
    <row r="2369" spans="1:14" ht="15.5" x14ac:dyDescent="0.35">
      <c r="A2369" s="117"/>
      <c r="B2369" s="117"/>
      <c r="C2369" s="117"/>
      <c r="D2369" s="117"/>
      <c r="E2369" s="202"/>
      <c r="F2369" s="202"/>
      <c r="G2369" s="202"/>
      <c r="H2369" s="202"/>
      <c r="I2369" s="202"/>
      <c r="J2369" s="202"/>
      <c r="K2369" s="202"/>
      <c r="L2369" s="202"/>
      <c r="M2369" s="202"/>
      <c r="N2369" s="202"/>
    </row>
    <row r="2370" spans="1:14" ht="15.5" x14ac:dyDescent="0.35">
      <c r="A2370" s="117"/>
      <c r="B2370" s="117"/>
      <c r="C2370" s="117"/>
      <c r="D2370" s="117"/>
      <c r="E2370" s="202"/>
      <c r="F2370" s="202"/>
      <c r="G2370" s="202"/>
      <c r="H2370" s="202"/>
      <c r="I2370" s="202"/>
      <c r="J2370" s="202"/>
      <c r="K2370" s="202"/>
      <c r="L2370" s="202"/>
      <c r="M2370" s="202"/>
      <c r="N2370" s="202"/>
    </row>
    <row r="2371" spans="1:14" ht="15.5" x14ac:dyDescent="0.35">
      <c r="A2371" s="117"/>
      <c r="B2371" s="117"/>
      <c r="C2371" s="117"/>
      <c r="D2371" s="117"/>
      <c r="E2371" s="202"/>
      <c r="F2371" s="202"/>
      <c r="G2371" s="202"/>
      <c r="H2371" s="202"/>
      <c r="I2371" s="202"/>
      <c r="J2371" s="202"/>
      <c r="K2371" s="202"/>
      <c r="L2371" s="202"/>
      <c r="M2371" s="202"/>
      <c r="N2371" s="202"/>
    </row>
    <row r="2372" spans="1:14" ht="15.5" x14ac:dyDescent="0.35">
      <c r="A2372" s="117"/>
      <c r="B2372" s="117"/>
      <c r="C2372" s="117"/>
      <c r="D2372" s="117"/>
      <c r="E2372" s="202"/>
      <c r="F2372" s="202"/>
      <c r="G2372" s="202"/>
      <c r="H2372" s="202"/>
      <c r="I2372" s="202"/>
      <c r="J2372" s="202"/>
      <c r="K2372" s="202"/>
      <c r="L2372" s="202"/>
      <c r="M2372" s="202"/>
      <c r="N2372" s="202"/>
    </row>
    <row r="2373" spans="1:14" ht="15.5" x14ac:dyDescent="0.35">
      <c r="A2373" s="117"/>
      <c r="B2373" s="117"/>
      <c r="C2373" s="117"/>
      <c r="D2373" s="117"/>
      <c r="E2373" s="202"/>
      <c r="F2373" s="202"/>
      <c r="G2373" s="202"/>
      <c r="H2373" s="202"/>
      <c r="I2373" s="202"/>
      <c r="J2373" s="202"/>
      <c r="K2373" s="202"/>
      <c r="L2373" s="202"/>
      <c r="M2373" s="202"/>
      <c r="N2373" s="202"/>
    </row>
    <row r="2374" spans="1:14" ht="15.5" x14ac:dyDescent="0.35">
      <c r="A2374" s="117"/>
      <c r="B2374" s="117"/>
      <c r="C2374" s="117"/>
      <c r="D2374" s="117"/>
      <c r="E2374" s="202"/>
      <c r="F2374" s="202"/>
      <c r="G2374" s="202"/>
      <c r="H2374" s="202"/>
      <c r="I2374" s="202"/>
      <c r="J2374" s="202"/>
      <c r="K2374" s="202"/>
      <c r="L2374" s="202"/>
      <c r="M2374" s="202"/>
      <c r="N2374" s="202"/>
    </row>
    <row r="2375" spans="1:14" ht="15.5" x14ac:dyDescent="0.35">
      <c r="A2375" s="117"/>
      <c r="B2375" s="117"/>
      <c r="C2375" s="117"/>
      <c r="D2375" s="117"/>
      <c r="E2375" s="202"/>
      <c r="F2375" s="202"/>
      <c r="G2375" s="202"/>
      <c r="H2375" s="202"/>
      <c r="I2375" s="202"/>
      <c r="J2375" s="202"/>
      <c r="K2375" s="202"/>
      <c r="L2375" s="202"/>
      <c r="M2375" s="202"/>
      <c r="N2375" s="202"/>
    </row>
    <row r="2376" spans="1:14" ht="15.5" x14ac:dyDescent="0.35">
      <c r="A2376" s="117"/>
      <c r="B2376" s="117"/>
      <c r="C2376" s="117"/>
      <c r="D2376" s="117"/>
      <c r="E2376" s="202"/>
      <c r="F2376" s="202"/>
      <c r="G2376" s="202"/>
      <c r="H2376" s="202"/>
      <c r="I2376" s="202"/>
      <c r="J2376" s="202"/>
      <c r="K2376" s="202"/>
      <c r="L2376" s="202"/>
      <c r="M2376" s="202"/>
      <c r="N2376" s="202"/>
    </row>
    <row r="2377" spans="1:14" ht="15.5" x14ac:dyDescent="0.35">
      <c r="A2377" s="117"/>
      <c r="B2377" s="117"/>
      <c r="C2377" s="117"/>
      <c r="D2377" s="117"/>
      <c r="E2377" s="202"/>
      <c r="F2377" s="202"/>
      <c r="G2377" s="202"/>
      <c r="H2377" s="202"/>
      <c r="I2377" s="202"/>
      <c r="J2377" s="202"/>
      <c r="K2377" s="202"/>
      <c r="L2377" s="202"/>
      <c r="M2377" s="202"/>
      <c r="N2377" s="202"/>
    </row>
    <row r="2378" spans="1:14" ht="15.5" x14ac:dyDescent="0.35">
      <c r="A2378" s="117"/>
      <c r="B2378" s="117"/>
      <c r="C2378" s="117"/>
      <c r="D2378" s="117"/>
      <c r="E2378" s="202"/>
      <c r="F2378" s="202"/>
      <c r="G2378" s="202"/>
      <c r="H2378" s="202"/>
      <c r="I2378" s="202"/>
      <c r="J2378" s="202"/>
      <c r="K2378" s="202"/>
      <c r="L2378" s="202"/>
      <c r="M2378" s="202"/>
      <c r="N2378" s="202"/>
    </row>
    <row r="2379" spans="1:14" ht="15.5" x14ac:dyDescent="0.35">
      <c r="A2379" s="117"/>
      <c r="B2379" s="117"/>
      <c r="C2379" s="117"/>
      <c r="D2379" s="117"/>
      <c r="E2379" s="202"/>
      <c r="F2379" s="202"/>
      <c r="G2379" s="202"/>
      <c r="H2379" s="202"/>
      <c r="I2379" s="202"/>
      <c r="J2379" s="202"/>
      <c r="K2379" s="202"/>
      <c r="L2379" s="202"/>
      <c r="M2379" s="202"/>
      <c r="N2379" s="202"/>
    </row>
    <row r="2380" spans="1:14" ht="15.5" x14ac:dyDescent="0.35">
      <c r="A2380" s="117"/>
      <c r="B2380" s="117"/>
      <c r="C2380" s="117"/>
      <c r="D2380" s="117"/>
      <c r="E2380" s="202"/>
      <c r="F2380" s="202"/>
      <c r="G2380" s="202"/>
      <c r="H2380" s="202"/>
      <c r="I2380" s="202"/>
      <c r="J2380" s="202"/>
      <c r="K2380" s="202"/>
      <c r="L2380" s="202"/>
      <c r="M2380" s="202"/>
      <c r="N2380" s="202"/>
    </row>
    <row r="2381" spans="1:14" ht="15.5" x14ac:dyDescent="0.35">
      <c r="A2381" s="117"/>
      <c r="B2381" s="117"/>
      <c r="C2381" s="117"/>
      <c r="D2381" s="117"/>
      <c r="E2381" s="202"/>
      <c r="F2381" s="202"/>
      <c r="G2381" s="202"/>
      <c r="H2381" s="202"/>
      <c r="I2381" s="202"/>
      <c r="J2381" s="202"/>
      <c r="K2381" s="202"/>
      <c r="L2381" s="202"/>
      <c r="M2381" s="202"/>
      <c r="N2381" s="202"/>
    </row>
    <row r="2382" spans="1:14" ht="15.5" x14ac:dyDescent="0.35">
      <c r="A2382" s="117"/>
      <c r="B2382" s="117"/>
      <c r="C2382" s="117"/>
      <c r="D2382" s="117"/>
      <c r="E2382" s="202"/>
      <c r="F2382" s="202"/>
      <c r="G2382" s="202"/>
      <c r="H2382" s="202"/>
      <c r="I2382" s="202"/>
      <c r="J2382" s="202"/>
      <c r="K2382" s="202"/>
      <c r="L2382" s="202"/>
      <c r="M2382" s="202"/>
      <c r="N2382" s="202"/>
    </row>
    <row r="2383" spans="1:14" ht="15.5" x14ac:dyDescent="0.35">
      <c r="A2383" s="117"/>
      <c r="B2383" s="117"/>
      <c r="C2383" s="117"/>
      <c r="D2383" s="117"/>
      <c r="E2383" s="202"/>
      <c r="F2383" s="202"/>
      <c r="G2383" s="202"/>
      <c r="H2383" s="202"/>
      <c r="I2383" s="202"/>
      <c r="J2383" s="202"/>
      <c r="K2383" s="202"/>
      <c r="L2383" s="202"/>
      <c r="M2383" s="202"/>
      <c r="N2383" s="202"/>
    </row>
    <row r="2384" spans="1:14" ht="15.5" x14ac:dyDescent="0.35">
      <c r="A2384" s="117"/>
      <c r="B2384" s="117"/>
      <c r="C2384" s="117"/>
      <c r="D2384" s="117"/>
      <c r="E2384" s="202"/>
      <c r="F2384" s="202"/>
      <c r="G2384" s="202"/>
      <c r="H2384" s="202"/>
      <c r="I2384" s="202"/>
      <c r="J2384" s="202"/>
      <c r="K2384" s="202"/>
      <c r="L2384" s="202"/>
      <c r="M2384" s="202"/>
      <c r="N2384" s="202"/>
    </row>
    <row r="2385" spans="1:14" ht="15.5" x14ac:dyDescent="0.35">
      <c r="A2385" s="117"/>
      <c r="B2385" s="117"/>
      <c r="C2385" s="117"/>
      <c r="D2385" s="117"/>
      <c r="E2385" s="202"/>
      <c r="F2385" s="202"/>
      <c r="G2385" s="202"/>
      <c r="H2385" s="202"/>
      <c r="I2385" s="202"/>
      <c r="J2385" s="202"/>
      <c r="K2385" s="202"/>
      <c r="L2385" s="202"/>
      <c r="M2385" s="202"/>
      <c r="N2385" s="202"/>
    </row>
    <row r="2386" spans="1:14" ht="15.5" x14ac:dyDescent="0.35">
      <c r="A2386" s="117"/>
      <c r="B2386" s="117"/>
      <c r="C2386" s="117"/>
      <c r="D2386" s="117"/>
      <c r="E2386" s="202"/>
      <c r="F2386" s="202"/>
      <c r="G2386" s="202"/>
      <c r="H2386" s="202"/>
      <c r="I2386" s="202"/>
      <c r="J2386" s="202"/>
      <c r="K2386" s="202"/>
      <c r="L2386" s="202"/>
      <c r="M2386" s="202"/>
      <c r="N2386" s="202"/>
    </row>
    <row r="2387" spans="1:14" ht="15.5" x14ac:dyDescent="0.35">
      <c r="A2387" s="117"/>
      <c r="B2387" s="117"/>
      <c r="C2387" s="117"/>
      <c r="D2387" s="117"/>
      <c r="E2387" s="202"/>
      <c r="F2387" s="202"/>
      <c r="G2387" s="202"/>
      <c r="H2387" s="202"/>
      <c r="I2387" s="202"/>
      <c r="J2387" s="202"/>
      <c r="K2387" s="202"/>
      <c r="L2387" s="202"/>
      <c r="M2387" s="202"/>
      <c r="N2387" s="202"/>
    </row>
    <row r="2388" spans="1:14" ht="15.5" x14ac:dyDescent="0.35">
      <c r="A2388" s="117"/>
      <c r="B2388" s="117"/>
      <c r="C2388" s="117"/>
      <c r="D2388" s="117"/>
      <c r="E2388" s="202"/>
      <c r="F2388" s="202"/>
      <c r="G2388" s="202"/>
      <c r="H2388" s="202"/>
      <c r="I2388" s="202"/>
      <c r="J2388" s="202"/>
      <c r="K2388" s="202"/>
      <c r="L2388" s="202"/>
      <c r="M2388" s="202"/>
      <c r="N2388" s="202"/>
    </row>
    <row r="2389" spans="1:14" ht="15.5" x14ac:dyDescent="0.35">
      <c r="A2389" s="117"/>
      <c r="B2389" s="117"/>
      <c r="C2389" s="117"/>
      <c r="D2389" s="117"/>
      <c r="E2389" s="202"/>
      <c r="F2389" s="202"/>
      <c r="G2389" s="202"/>
      <c r="H2389" s="202"/>
      <c r="I2389" s="202"/>
      <c r="J2389" s="202"/>
      <c r="K2389" s="202"/>
      <c r="L2389" s="202"/>
      <c r="M2389" s="202"/>
      <c r="N2389" s="202"/>
    </row>
    <row r="2390" spans="1:14" ht="15.5" x14ac:dyDescent="0.35">
      <c r="A2390" s="117"/>
      <c r="B2390" s="117"/>
      <c r="C2390" s="117"/>
      <c r="D2390" s="117"/>
      <c r="E2390" s="202"/>
      <c r="F2390" s="202"/>
      <c r="G2390" s="202"/>
      <c r="H2390" s="202"/>
      <c r="I2390" s="202"/>
      <c r="J2390" s="202"/>
      <c r="K2390" s="202"/>
      <c r="L2390" s="202"/>
      <c r="M2390" s="202"/>
      <c r="N2390" s="202"/>
    </row>
    <row r="2391" spans="1:14" ht="15.5" x14ac:dyDescent="0.35">
      <c r="A2391" s="117"/>
      <c r="B2391" s="117"/>
      <c r="C2391" s="117"/>
      <c r="D2391" s="117"/>
      <c r="E2391" s="202"/>
      <c r="F2391" s="202"/>
      <c r="G2391" s="202"/>
      <c r="H2391" s="202"/>
      <c r="I2391" s="202"/>
      <c r="J2391" s="202"/>
      <c r="K2391" s="202"/>
      <c r="L2391" s="202"/>
      <c r="M2391" s="202"/>
      <c r="N2391" s="202"/>
    </row>
    <row r="2392" spans="1:14" ht="15.5" x14ac:dyDescent="0.35">
      <c r="A2392" s="117"/>
      <c r="B2392" s="117"/>
      <c r="C2392" s="117"/>
      <c r="D2392" s="117"/>
      <c r="E2392" s="202"/>
      <c r="F2392" s="202"/>
      <c r="G2392" s="202"/>
      <c r="H2392" s="202"/>
      <c r="I2392" s="202"/>
      <c r="J2392" s="202"/>
      <c r="K2392" s="202"/>
      <c r="L2392" s="202"/>
      <c r="M2392" s="202"/>
      <c r="N2392" s="202"/>
    </row>
    <row r="2393" spans="1:14" ht="15.5" x14ac:dyDescent="0.35">
      <c r="A2393" s="117"/>
      <c r="B2393" s="117"/>
      <c r="C2393" s="117"/>
      <c r="D2393" s="117"/>
      <c r="E2393" s="202"/>
      <c r="F2393" s="202"/>
      <c r="G2393" s="202"/>
      <c r="H2393" s="202"/>
      <c r="I2393" s="202"/>
      <c r="J2393" s="202"/>
      <c r="K2393" s="202"/>
      <c r="L2393" s="202"/>
      <c r="M2393" s="202"/>
      <c r="N2393" s="202"/>
    </row>
    <row r="2394" spans="1:14" ht="15.5" x14ac:dyDescent="0.35">
      <c r="A2394" s="117"/>
      <c r="B2394" s="117"/>
      <c r="C2394" s="117"/>
      <c r="D2394" s="117"/>
      <c r="E2394" s="202"/>
      <c r="F2394" s="202"/>
      <c r="G2394" s="202"/>
      <c r="H2394" s="202"/>
      <c r="I2394" s="202"/>
      <c r="J2394" s="202"/>
      <c r="K2394" s="202"/>
      <c r="L2394" s="202"/>
      <c r="M2394" s="202"/>
      <c r="N2394" s="202"/>
    </row>
  </sheetData>
  <hyperlinks>
    <hyperlink ref="A24" r:id="rId1" tooltip="EMFAC2021 Database" xr:uid="{5208A86D-85A1-4B1E-B3DA-B139B3187577}"/>
  </hyperlinks>
  <pageMargins left="0.7" right="0.7" top="0.75" bottom="0.75" header="0.3" footer="0.3"/>
  <pageSetup scale="59" orientation="portrait" r:id="rId2"/>
  <headerFooter>
    <oddFooter>&amp;L&amp;"Avenir LT Std 55 Roman,Regular"&amp;12December 30, 2020&amp;C&amp;"Avenir LT Std 55 Roman,Regular"&amp;12&amp;P of &amp;N&amp;R&amp;"Avenir LT Std 55 Roman,Regular"&amp;12&amp;A</oddFooter>
  </headerFooter>
  <drawing r:id="rId3"/>
  <legacyDrawingHF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1"/>
  </sheetPr>
  <dimension ref="A1:AB161"/>
  <sheetViews>
    <sheetView showGridLines="0" zoomScaleNormal="100" zoomScalePageLayoutView="70" workbookViewId="0"/>
  </sheetViews>
  <sheetFormatPr defaultColWidth="9.08984375" defaultRowHeight="14" x14ac:dyDescent="0.3"/>
  <cols>
    <col min="1" max="1" width="39.90625" style="9" customWidth="1"/>
    <col min="2" max="10" width="13.453125" style="9" customWidth="1"/>
    <col min="11" max="11" width="14.08984375" style="9" bestFit="1" customWidth="1"/>
    <col min="12" max="25" width="13.453125" style="9" customWidth="1"/>
    <col min="26" max="16384" width="9.08984375" style="9"/>
  </cols>
  <sheetData>
    <row r="1" spans="1:28" s="3" customFormat="1" ht="15" customHeight="1" x14ac:dyDescent="0.35">
      <c r="A1" s="2"/>
      <c r="B1" s="2"/>
      <c r="C1" s="2"/>
      <c r="D1" s="2"/>
      <c r="E1" s="2"/>
      <c r="F1" s="2"/>
      <c r="G1" s="2"/>
      <c r="H1" s="2"/>
      <c r="I1" s="2"/>
      <c r="J1" s="2"/>
      <c r="K1" s="2"/>
      <c r="L1" s="2"/>
      <c r="M1" s="2"/>
      <c r="N1" s="2"/>
      <c r="O1" s="2"/>
      <c r="P1" s="2"/>
      <c r="Q1" s="2"/>
      <c r="R1" s="2"/>
      <c r="S1" s="2"/>
      <c r="T1" s="2"/>
      <c r="U1" s="2"/>
      <c r="V1" s="2"/>
      <c r="W1" s="2"/>
      <c r="X1" s="2"/>
      <c r="Y1" s="2"/>
      <c r="Z1" s="2"/>
      <c r="AA1" s="2"/>
      <c r="AB1" s="2"/>
    </row>
    <row r="2" spans="1:28" s="3" customFormat="1" ht="15" customHeight="1" x14ac:dyDescent="0.35">
      <c r="A2" s="6"/>
      <c r="B2" s="6"/>
      <c r="C2" s="6"/>
      <c r="D2" s="6"/>
      <c r="E2" s="6"/>
      <c r="F2" s="6"/>
      <c r="G2" s="6"/>
      <c r="H2" s="4"/>
    </row>
    <row r="3" spans="1:28" s="3" customFormat="1" ht="15" customHeight="1" x14ac:dyDescent="0.35">
      <c r="A3" s="2"/>
      <c r="B3" s="2"/>
      <c r="C3" s="2"/>
      <c r="D3" s="2"/>
      <c r="E3" s="2"/>
      <c r="F3" s="2"/>
      <c r="G3" s="2"/>
      <c r="H3" s="2"/>
      <c r="I3" s="2"/>
      <c r="J3" s="2"/>
      <c r="K3" s="2"/>
      <c r="L3" s="2"/>
      <c r="M3" s="2"/>
      <c r="N3" s="2"/>
      <c r="O3" s="2"/>
      <c r="P3" s="2"/>
      <c r="Q3" s="2"/>
      <c r="R3" s="2"/>
      <c r="S3" s="2"/>
      <c r="T3" s="2"/>
      <c r="U3" s="2"/>
      <c r="V3" s="2"/>
      <c r="W3" s="2"/>
      <c r="X3" s="2"/>
      <c r="Y3" s="2"/>
      <c r="Z3" s="2"/>
      <c r="AA3" s="2"/>
      <c r="AB3" s="2"/>
    </row>
    <row r="4" spans="1:28" s="3" customFormat="1" ht="15" customHeight="1" x14ac:dyDescent="0.35">
      <c r="A4" s="5"/>
      <c r="B4" s="5"/>
      <c r="C4" s="5"/>
      <c r="D4" s="5"/>
      <c r="E4" s="5"/>
      <c r="F4" s="5"/>
      <c r="G4" s="5"/>
      <c r="H4" s="5"/>
      <c r="I4" s="5"/>
      <c r="J4" s="5"/>
      <c r="K4" s="5"/>
      <c r="L4" s="5"/>
      <c r="M4" s="5"/>
      <c r="N4" s="5"/>
      <c r="O4" s="5"/>
      <c r="P4" s="5"/>
      <c r="Q4" s="5"/>
      <c r="R4" s="5"/>
      <c r="S4" s="5"/>
      <c r="T4" s="5"/>
      <c r="U4" s="5"/>
      <c r="V4" s="5"/>
      <c r="W4" s="5"/>
      <c r="X4" s="5"/>
      <c r="Y4" s="5"/>
      <c r="Z4" s="5"/>
      <c r="AA4" s="5"/>
      <c r="AB4" s="5"/>
    </row>
    <row r="5" spans="1:28" s="3" customFormat="1" ht="15" customHeight="1" x14ac:dyDescent="0.35">
      <c r="A5" s="6"/>
      <c r="B5" s="6"/>
      <c r="C5" s="6"/>
      <c r="D5" s="6"/>
      <c r="E5" s="6"/>
      <c r="F5" s="6"/>
      <c r="G5" s="6"/>
      <c r="H5" s="4"/>
    </row>
    <row r="6" spans="1:28" s="3" customFormat="1" ht="15" customHeight="1" x14ac:dyDescent="0.35">
      <c r="A6" s="2"/>
      <c r="B6" s="2"/>
      <c r="C6" s="2"/>
      <c r="D6" s="2"/>
      <c r="E6" s="2"/>
      <c r="F6" s="2"/>
      <c r="G6" s="2"/>
      <c r="H6" s="2"/>
      <c r="I6" s="2"/>
      <c r="J6" s="2"/>
      <c r="K6" s="2"/>
      <c r="L6" s="2"/>
      <c r="M6" s="2"/>
      <c r="N6" s="2"/>
      <c r="O6" s="2"/>
      <c r="P6" s="2"/>
      <c r="Q6" s="2"/>
      <c r="R6" s="2"/>
      <c r="S6" s="2"/>
      <c r="T6" s="2"/>
      <c r="U6" s="2"/>
      <c r="V6" s="2"/>
      <c r="W6" s="2"/>
      <c r="X6" s="2"/>
      <c r="Y6" s="2"/>
      <c r="Z6" s="2"/>
      <c r="AA6" s="2"/>
      <c r="AB6" s="2"/>
    </row>
    <row r="7" spans="1:28" s="3" customFormat="1" ht="15" customHeight="1" x14ac:dyDescent="0.35">
      <c r="A7" s="6"/>
      <c r="B7" s="6"/>
      <c r="C7" s="6"/>
      <c r="D7" s="6"/>
      <c r="E7" s="6"/>
      <c r="F7" s="6"/>
      <c r="G7" s="6"/>
      <c r="H7" s="6"/>
    </row>
    <row r="8" spans="1:28" s="7" customFormat="1" x14ac:dyDescent="0.3"/>
    <row r="11" spans="1:28" ht="15.5" x14ac:dyDescent="0.35">
      <c r="A11" s="674" t="s">
        <v>5851</v>
      </c>
      <c r="B11" s="675"/>
      <c r="C11" s="675"/>
      <c r="D11" s="675"/>
      <c r="E11" s="675"/>
      <c r="F11" s="675"/>
      <c r="G11" s="675"/>
      <c r="H11" s="675"/>
      <c r="I11" s="675"/>
      <c r="J11" s="676"/>
      <c r="K11" s="8"/>
      <c r="L11" s="8"/>
      <c r="M11" s="8"/>
      <c r="N11" s="8"/>
      <c r="V11" s="8"/>
      <c r="W11" s="8"/>
      <c r="X11" s="8"/>
      <c r="Y11" s="8"/>
    </row>
    <row r="12" spans="1:28" ht="16" thickBot="1" x14ac:dyDescent="0.4">
      <c r="A12" s="10"/>
      <c r="B12" s="10"/>
      <c r="C12" s="10"/>
      <c r="D12" s="10"/>
      <c r="E12" s="10"/>
      <c r="F12" s="10"/>
      <c r="G12" s="11"/>
      <c r="H12" s="12"/>
      <c r="I12" s="12"/>
      <c r="J12" s="12"/>
      <c r="K12" s="12"/>
      <c r="L12" s="12"/>
      <c r="M12" s="13"/>
      <c r="N12" s="13"/>
      <c r="V12" s="10"/>
      <c r="W12" s="10"/>
      <c r="X12" s="10"/>
      <c r="Y12" s="12"/>
    </row>
    <row r="13" spans="1:28" ht="16" thickBot="1" x14ac:dyDescent="0.4">
      <c r="A13" s="687" t="s">
        <v>5852</v>
      </c>
      <c r="B13" s="688"/>
      <c r="C13" s="688"/>
      <c r="D13" s="688"/>
      <c r="E13" s="688"/>
      <c r="F13" s="689"/>
      <c r="G13" s="11"/>
      <c r="H13" s="677" t="s">
        <v>5853</v>
      </c>
      <c r="I13" s="678"/>
      <c r="J13" s="678"/>
      <c r="K13" s="679"/>
      <c r="L13" s="12"/>
      <c r="M13" s="13"/>
      <c r="N13" s="13"/>
      <c r="V13" s="10"/>
      <c r="W13" s="10"/>
      <c r="X13" s="10"/>
      <c r="Y13" s="12"/>
    </row>
    <row r="14" spans="1:28" ht="18" thickBot="1" x14ac:dyDescent="0.4">
      <c r="A14" s="686" t="s">
        <v>111</v>
      </c>
      <c r="B14" s="681" t="s">
        <v>5854</v>
      </c>
      <c r="C14" s="682" t="s">
        <v>5855</v>
      </c>
      <c r="D14" s="683" t="s">
        <v>5856</v>
      </c>
      <c r="E14" s="684" t="s">
        <v>5857</v>
      </c>
      <c r="F14" s="685" t="s">
        <v>5858</v>
      </c>
      <c r="G14" s="11"/>
      <c r="H14" s="871" t="s">
        <v>5859</v>
      </c>
      <c r="I14" s="39"/>
      <c r="J14" s="39"/>
      <c r="K14" s="870">
        <v>1.8190618117042301</v>
      </c>
      <c r="L14" s="12"/>
      <c r="M14" s="13"/>
      <c r="N14" s="13"/>
      <c r="V14" s="10"/>
      <c r="W14" s="10"/>
      <c r="X14" s="10"/>
      <c r="Y14" s="12"/>
    </row>
    <row r="15" spans="1:28" ht="16" thickBot="1" x14ac:dyDescent="0.4">
      <c r="A15" s="690" t="s">
        <v>5860</v>
      </c>
      <c r="B15" s="691">
        <v>0.48</v>
      </c>
      <c r="C15" s="692">
        <f>B15*1.053</f>
        <v>0.50544</v>
      </c>
      <c r="D15" s="693">
        <v>13</v>
      </c>
      <c r="E15" s="694">
        <v>0.32</v>
      </c>
      <c r="F15" s="695">
        <f>E15*0.97</f>
        <v>0.31040000000000001</v>
      </c>
      <c r="G15" s="11"/>
      <c r="H15" s="12"/>
      <c r="I15" s="12"/>
      <c r="J15" s="12"/>
      <c r="K15" s="12"/>
      <c r="L15" s="12"/>
      <c r="M15" s="13"/>
      <c r="N15" s="13"/>
      <c r="V15" s="10"/>
      <c r="W15" s="10"/>
      <c r="X15" s="10"/>
      <c r="Y15" s="10"/>
    </row>
    <row r="16" spans="1:28" ht="15.5" x14ac:dyDescent="0.35">
      <c r="A16" s="14" t="s">
        <v>5861</v>
      </c>
      <c r="B16" s="15">
        <v>0.48</v>
      </c>
      <c r="C16" s="16">
        <f t="shared" ref="C16:C22" si="0">B16*1.053</f>
        <v>0.50544</v>
      </c>
      <c r="D16" s="17">
        <v>8.6</v>
      </c>
      <c r="E16" s="18">
        <v>0.32</v>
      </c>
      <c r="F16" s="19">
        <f t="shared" ref="F16:F22" si="1">E16*0.97</f>
        <v>0.31040000000000001</v>
      </c>
      <c r="G16" s="11"/>
      <c r="H16" s="938" t="s">
        <v>5862</v>
      </c>
      <c r="I16" s="939"/>
      <c r="J16" s="940"/>
      <c r="K16" s="679"/>
      <c r="L16" s="12"/>
      <c r="M16" s="13"/>
      <c r="N16" s="13"/>
      <c r="V16" s="10"/>
      <c r="W16" s="10"/>
      <c r="X16" s="10"/>
      <c r="Y16" s="10"/>
    </row>
    <row r="17" spans="1:25" ht="46.5" x14ac:dyDescent="0.35">
      <c r="A17" s="14" t="s">
        <v>5863</v>
      </c>
      <c r="B17" s="15">
        <v>0.3</v>
      </c>
      <c r="C17" s="16">
        <f t="shared" si="0"/>
        <v>0.31589999999999996</v>
      </c>
      <c r="D17" s="17">
        <v>7.2</v>
      </c>
      <c r="E17" s="18">
        <v>0.2</v>
      </c>
      <c r="F17" s="19">
        <f t="shared" si="1"/>
        <v>0.19400000000000001</v>
      </c>
      <c r="G17" s="11"/>
      <c r="H17" s="945" t="s">
        <v>5864</v>
      </c>
      <c r="I17" s="943"/>
      <c r="J17" s="944"/>
      <c r="K17" s="937" t="s">
        <v>5865</v>
      </c>
      <c r="L17" s="12"/>
      <c r="M17" s="13"/>
      <c r="N17" s="13"/>
      <c r="V17" s="10"/>
      <c r="W17" s="10"/>
      <c r="X17" s="10"/>
      <c r="Y17" s="10"/>
    </row>
    <row r="18" spans="1:25" ht="15.5" x14ac:dyDescent="0.35">
      <c r="A18" s="14" t="s">
        <v>5866</v>
      </c>
      <c r="B18" s="15">
        <v>0.47</v>
      </c>
      <c r="C18" s="16">
        <f t="shared" si="0"/>
        <v>0.49490999999999996</v>
      </c>
      <c r="D18" s="17">
        <v>6.7</v>
      </c>
      <c r="E18" s="18">
        <v>0.32</v>
      </c>
      <c r="F18" s="19">
        <f t="shared" si="1"/>
        <v>0.31040000000000001</v>
      </c>
      <c r="G18" s="11"/>
      <c r="H18" s="941" t="s">
        <v>5867</v>
      </c>
      <c r="I18" s="942"/>
      <c r="J18" s="942"/>
      <c r="K18" s="872">
        <v>20.8</v>
      </c>
      <c r="L18" s="12"/>
      <c r="M18" s="13"/>
      <c r="N18" s="13"/>
      <c r="V18" s="10"/>
      <c r="W18" s="10"/>
      <c r="X18" s="10"/>
      <c r="Y18" s="10"/>
    </row>
    <row r="19" spans="1:25" ht="15.5" x14ac:dyDescent="0.35">
      <c r="A19" s="14" t="s">
        <v>5868</v>
      </c>
      <c r="B19" s="15">
        <v>0.28999999999999998</v>
      </c>
      <c r="C19" s="16">
        <f t="shared" si="0"/>
        <v>0.30536999999999997</v>
      </c>
      <c r="D19" s="17">
        <v>6.7</v>
      </c>
      <c r="E19" s="18">
        <v>0.2</v>
      </c>
      <c r="F19" s="19">
        <f t="shared" si="1"/>
        <v>0.19400000000000001</v>
      </c>
      <c r="G19" s="11"/>
      <c r="H19" s="873" t="s">
        <v>5869</v>
      </c>
      <c r="I19" s="874"/>
      <c r="J19" s="874"/>
      <c r="K19" s="868">
        <v>18.2</v>
      </c>
      <c r="L19" s="12"/>
      <c r="M19" s="22"/>
      <c r="N19" s="22"/>
      <c r="V19" s="10"/>
      <c r="W19" s="10"/>
      <c r="X19" s="10"/>
      <c r="Y19" s="10"/>
    </row>
    <row r="20" spans="1:25" ht="16" thickBot="1" x14ac:dyDescent="0.4">
      <c r="A20" s="14" t="s">
        <v>5870</v>
      </c>
      <c r="B20" s="15">
        <v>0.26</v>
      </c>
      <c r="C20" s="16">
        <f t="shared" si="0"/>
        <v>0.27377999999999997</v>
      </c>
      <c r="D20" s="17">
        <v>4.95</v>
      </c>
      <c r="E20" s="18">
        <v>0.18</v>
      </c>
      <c r="F20" s="19">
        <f t="shared" si="1"/>
        <v>0.17459999999999998</v>
      </c>
      <c r="G20" s="23"/>
      <c r="H20" s="871" t="s">
        <v>5871</v>
      </c>
      <c r="I20" s="39"/>
      <c r="J20" s="39"/>
      <c r="K20" s="869">
        <v>15.2</v>
      </c>
      <c r="L20" s="10"/>
      <c r="M20" s="10"/>
      <c r="N20" s="10"/>
      <c r="V20" s="10"/>
      <c r="W20" s="10"/>
      <c r="X20" s="10"/>
      <c r="Y20" s="10"/>
    </row>
    <row r="21" spans="1:25" ht="15.5" x14ac:dyDescent="0.35">
      <c r="A21" s="14" t="s">
        <v>5872</v>
      </c>
      <c r="B21" s="15">
        <v>0.13</v>
      </c>
      <c r="C21" s="16">
        <f t="shared" si="0"/>
        <v>0.13688999999999998</v>
      </c>
      <c r="D21" s="17">
        <v>4.95</v>
      </c>
      <c r="E21" s="18">
        <v>0.08</v>
      </c>
      <c r="F21" s="19">
        <f t="shared" si="1"/>
        <v>7.7600000000000002E-2</v>
      </c>
      <c r="G21" s="11"/>
      <c r="H21" s="12"/>
      <c r="I21" s="12"/>
      <c r="J21" s="12"/>
      <c r="K21" s="12"/>
      <c r="L21" s="11"/>
      <c r="M21" s="11"/>
      <c r="N21" s="11"/>
      <c r="V21" s="10"/>
      <c r="W21" s="10"/>
      <c r="X21" s="10"/>
      <c r="Y21" s="10"/>
    </row>
    <row r="22" spans="1:25" ht="15.75" customHeight="1" thickBot="1" x14ac:dyDescent="0.4">
      <c r="A22" s="25" t="s">
        <v>5873</v>
      </c>
      <c r="B22" s="26">
        <v>0.04</v>
      </c>
      <c r="C22" s="27">
        <f t="shared" si="0"/>
        <v>4.2119999999999998E-2</v>
      </c>
      <c r="D22" s="28">
        <v>1</v>
      </c>
      <c r="E22" s="29">
        <v>1.4999999999999999E-2</v>
      </c>
      <c r="F22" s="30">
        <f t="shared" si="1"/>
        <v>1.4549999999999999E-2</v>
      </c>
      <c r="G22" s="31"/>
      <c r="H22" s="12"/>
      <c r="I22" s="12"/>
      <c r="J22" s="12"/>
      <c r="K22" s="12"/>
      <c r="L22" s="31"/>
      <c r="M22" s="31"/>
      <c r="N22" s="31"/>
      <c r="V22" s="10"/>
      <c r="W22" s="10"/>
      <c r="X22" s="10"/>
      <c r="Y22" s="10"/>
    </row>
    <row r="23" spans="1:25" ht="15.75" customHeight="1" x14ac:dyDescent="0.35">
      <c r="A23" s="696" t="s">
        <v>5874</v>
      </c>
      <c r="B23" s="697"/>
      <c r="C23" s="697"/>
      <c r="D23" s="697"/>
      <c r="E23" s="697"/>
      <c r="F23" s="698"/>
      <c r="G23" s="31"/>
      <c r="H23" s="31"/>
      <c r="I23" s="31"/>
      <c r="J23" s="31"/>
      <c r="K23" s="31"/>
      <c r="L23" s="31"/>
      <c r="M23" s="31"/>
      <c r="N23" s="31"/>
      <c r="V23" s="10"/>
      <c r="W23" s="10"/>
      <c r="X23" s="10"/>
      <c r="Y23" s="10"/>
    </row>
    <row r="24" spans="1:25" ht="15" customHeight="1" x14ac:dyDescent="0.35">
      <c r="A24" s="680" t="s">
        <v>5875</v>
      </c>
      <c r="B24" s="933"/>
      <c r="C24" s="933"/>
      <c r="D24" s="933"/>
      <c r="E24" s="933"/>
      <c r="F24" s="934"/>
      <c r="G24" s="31"/>
      <c r="H24" s="31"/>
      <c r="I24" s="31"/>
      <c r="J24" s="31"/>
      <c r="K24" s="31"/>
      <c r="L24" s="31"/>
      <c r="M24" s="31"/>
      <c r="N24" s="31"/>
      <c r="V24" s="10"/>
      <c r="W24" s="10"/>
      <c r="X24" s="10"/>
      <c r="Y24" s="10"/>
    </row>
    <row r="25" spans="1:25" ht="18" x14ac:dyDescent="0.35">
      <c r="A25" s="925" t="s">
        <v>5876</v>
      </c>
      <c r="B25" s="926"/>
      <c r="C25" s="926"/>
      <c r="D25" s="926"/>
      <c r="E25" s="926"/>
      <c r="F25" s="927"/>
      <c r="G25" s="31"/>
      <c r="H25" s="31"/>
      <c r="I25" s="31"/>
      <c r="J25" s="31"/>
      <c r="K25" s="31"/>
      <c r="L25" s="31"/>
      <c r="M25" s="31"/>
      <c r="N25" s="31"/>
      <c r="V25" s="10"/>
      <c r="W25" s="10"/>
      <c r="X25" s="10"/>
      <c r="Y25" s="10"/>
    </row>
    <row r="26" spans="1:25" ht="18" x14ac:dyDescent="0.35">
      <c r="A26" s="930" t="s">
        <v>5877</v>
      </c>
      <c r="B26" s="931"/>
      <c r="C26" s="931"/>
      <c r="D26" s="931"/>
      <c r="E26" s="931"/>
      <c r="F26" s="932"/>
      <c r="G26" s="31"/>
      <c r="H26" s="31"/>
      <c r="I26" s="31"/>
      <c r="J26" s="31"/>
      <c r="K26" s="31"/>
      <c r="L26" s="31"/>
      <c r="M26" s="31"/>
      <c r="N26" s="31"/>
      <c r="V26" s="10"/>
      <c r="W26" s="10"/>
      <c r="X26" s="10"/>
      <c r="Y26" s="10"/>
    </row>
    <row r="27" spans="1:25" ht="18" customHeight="1" x14ac:dyDescent="0.35">
      <c r="A27" s="925" t="s">
        <v>5878</v>
      </c>
      <c r="B27" s="926"/>
      <c r="C27" s="926"/>
      <c r="D27" s="926"/>
      <c r="E27" s="926"/>
      <c r="F27" s="927"/>
      <c r="G27" s="31"/>
      <c r="H27" s="31"/>
      <c r="I27" s="31"/>
      <c r="J27" s="31"/>
      <c r="K27" s="31"/>
      <c r="L27" s="31"/>
      <c r="M27" s="31"/>
      <c r="N27" s="31"/>
      <c r="V27" s="10"/>
      <c r="W27" s="10"/>
      <c r="X27" s="10"/>
      <c r="Y27" s="10"/>
    </row>
    <row r="28" spans="1:25" ht="18" customHeight="1" x14ac:dyDescent="0.35">
      <c r="A28" s="957" t="s">
        <v>5879</v>
      </c>
      <c r="B28" s="926"/>
      <c r="C28" s="926"/>
      <c r="D28" s="926"/>
      <c r="E28" s="926"/>
      <c r="F28" s="927"/>
      <c r="G28" s="31"/>
      <c r="H28" s="31"/>
      <c r="I28" s="31"/>
      <c r="J28" s="31"/>
      <c r="K28" s="31"/>
      <c r="L28" s="31"/>
      <c r="M28" s="31"/>
      <c r="N28" s="31"/>
      <c r="V28" s="10"/>
      <c r="W28" s="10"/>
      <c r="X28" s="10"/>
      <c r="Y28" s="10"/>
    </row>
    <row r="29" spans="1:25" ht="18.75" customHeight="1" thickBot="1" x14ac:dyDescent="0.4">
      <c r="A29" s="954" t="s">
        <v>5880</v>
      </c>
      <c r="B29" s="955"/>
      <c r="C29" s="955"/>
      <c r="D29" s="955"/>
      <c r="E29" s="955"/>
      <c r="F29" s="956"/>
      <c r="G29" s="31"/>
      <c r="H29" s="31"/>
      <c r="I29" s="31"/>
      <c r="J29" s="31"/>
      <c r="K29" s="31"/>
      <c r="L29" s="31"/>
      <c r="M29" s="31"/>
      <c r="N29" s="31"/>
      <c r="V29" s="10"/>
      <c r="W29" s="10"/>
      <c r="X29" s="10"/>
      <c r="Y29" s="10"/>
    </row>
    <row r="30" spans="1:25" ht="18.5" thickBot="1" x14ac:dyDescent="0.4">
      <c r="A30" s="10"/>
      <c r="B30" s="10"/>
      <c r="C30" s="10"/>
      <c r="D30" s="10"/>
      <c r="E30" s="10"/>
      <c r="F30" s="10"/>
      <c r="G30" s="32"/>
      <c r="H30" s="32"/>
      <c r="I30" s="32"/>
      <c r="J30" s="32"/>
      <c r="K30" s="32"/>
      <c r="L30" s="33"/>
      <c r="M30" s="34"/>
      <c r="N30" s="32"/>
      <c r="V30" s="10"/>
      <c r="W30" s="10"/>
      <c r="X30" s="10"/>
      <c r="Y30" s="10"/>
    </row>
    <row r="31" spans="1:25" ht="15.5" x14ac:dyDescent="0.35">
      <c r="A31" s="699" t="s">
        <v>748</v>
      </c>
      <c r="B31" s="700"/>
      <c r="C31" s="700"/>
      <c r="D31" s="700"/>
      <c r="E31" s="700"/>
      <c r="F31" s="700"/>
      <c r="G31" s="700"/>
      <c r="H31" s="700"/>
      <c r="I31" s="700"/>
      <c r="J31" s="701"/>
      <c r="K31" s="10"/>
      <c r="N31" s="10"/>
      <c r="V31" s="10"/>
      <c r="W31" s="10"/>
      <c r="X31" s="10"/>
      <c r="Y31" s="10"/>
    </row>
    <row r="32" spans="1:25" ht="15.5" x14ac:dyDescent="0.35">
      <c r="A32" s="35" t="s">
        <v>5881</v>
      </c>
      <c r="B32" s="10"/>
      <c r="C32" s="10"/>
      <c r="D32" s="10"/>
      <c r="E32" s="10"/>
      <c r="F32" s="10"/>
      <c r="G32" s="10"/>
      <c r="H32" s="10"/>
      <c r="I32" s="10"/>
      <c r="J32" s="36"/>
      <c r="K32" s="10"/>
      <c r="N32" s="10"/>
      <c r="V32" s="10"/>
      <c r="W32" s="10"/>
      <c r="X32" s="10"/>
      <c r="Y32" s="10"/>
    </row>
    <row r="33" spans="1:25" ht="15.5" x14ac:dyDescent="0.35">
      <c r="A33" s="37" t="s">
        <v>5882</v>
      </c>
      <c r="B33" s="10"/>
      <c r="C33" s="10"/>
      <c r="D33" s="10"/>
      <c r="E33" s="10"/>
      <c r="F33" s="10"/>
      <c r="G33" s="10"/>
      <c r="H33" s="10"/>
      <c r="I33" s="10"/>
      <c r="J33" s="36"/>
      <c r="K33" s="10"/>
      <c r="X33" s="10"/>
      <c r="Y33" s="10"/>
    </row>
    <row r="34" spans="1:25" ht="15.5" x14ac:dyDescent="0.35">
      <c r="A34" s="35" t="s">
        <v>5883</v>
      </c>
      <c r="B34" s="10"/>
      <c r="C34" s="10"/>
      <c r="D34" s="10"/>
      <c r="E34" s="10"/>
      <c r="F34" s="10"/>
      <c r="G34" s="10"/>
      <c r="H34" s="10"/>
      <c r="I34" s="10"/>
      <c r="J34" s="36"/>
      <c r="K34" s="10"/>
      <c r="X34" s="10"/>
      <c r="Y34" s="10"/>
    </row>
    <row r="35" spans="1:25" ht="16" thickBot="1" x14ac:dyDescent="0.4">
      <c r="A35" s="38" t="s">
        <v>5884</v>
      </c>
      <c r="B35" s="39"/>
      <c r="C35" s="39"/>
      <c r="D35" s="39"/>
      <c r="E35" s="39"/>
      <c r="F35" s="39"/>
      <c r="G35" s="39"/>
      <c r="H35" s="39"/>
      <c r="I35" s="39"/>
      <c r="J35" s="40"/>
      <c r="K35" s="10"/>
      <c r="X35" s="10"/>
      <c r="Y35" s="10"/>
    </row>
    <row r="36" spans="1:25" ht="15.5" x14ac:dyDescent="0.35">
      <c r="A36" s="10"/>
      <c r="B36" s="10"/>
      <c r="C36" s="10"/>
      <c r="D36" s="10"/>
      <c r="E36" s="10"/>
      <c r="F36" s="10"/>
      <c r="G36" s="10"/>
      <c r="H36" s="10"/>
      <c r="I36" s="10"/>
      <c r="J36" s="10"/>
      <c r="K36" s="10"/>
      <c r="X36" s="10"/>
      <c r="Y36" s="10"/>
    </row>
    <row r="37" spans="1:25" ht="15.5" x14ac:dyDescent="0.35">
      <c r="A37" s="674" t="s">
        <v>5885</v>
      </c>
      <c r="B37" s="675"/>
      <c r="C37" s="675"/>
      <c r="D37" s="675"/>
      <c r="E37" s="675"/>
      <c r="F37" s="675"/>
      <c r="G37" s="675"/>
      <c r="H37" s="675"/>
      <c r="I37" s="675"/>
      <c r="J37" s="676"/>
    </row>
    <row r="38" spans="1:25" ht="15.75" customHeight="1" thickBot="1" x14ac:dyDescent="0.35"/>
    <row r="39" spans="1:25" ht="16" thickBot="1" x14ac:dyDescent="0.4">
      <c r="A39" s="704" t="s">
        <v>5886</v>
      </c>
      <c r="B39" s="702"/>
      <c r="C39" s="702"/>
      <c r="D39" s="702"/>
      <c r="E39" s="702"/>
      <c r="F39" s="702"/>
      <c r="G39" s="702"/>
      <c r="H39" s="702"/>
      <c r="I39" s="702"/>
      <c r="J39" s="702"/>
      <c r="K39" s="702"/>
      <c r="L39" s="702"/>
      <c r="M39" s="702"/>
      <c r="N39" s="702"/>
      <c r="O39" s="702"/>
      <c r="P39" s="702"/>
      <c r="Q39" s="702"/>
      <c r="R39" s="702"/>
      <c r="S39" s="702"/>
      <c r="T39" s="702"/>
      <c r="U39" s="702"/>
      <c r="V39" s="702"/>
      <c r="W39" s="702"/>
      <c r="X39" s="702"/>
      <c r="Y39" s="703"/>
    </row>
    <row r="40" spans="1:25" ht="16" thickBot="1" x14ac:dyDescent="0.4">
      <c r="A40" s="707"/>
      <c r="B40" s="705" t="s">
        <v>5887</v>
      </c>
      <c r="C40" s="705"/>
      <c r="D40" s="705"/>
      <c r="E40" s="705"/>
      <c r="F40" s="705"/>
      <c r="G40" s="705"/>
      <c r="H40" s="705"/>
      <c r="I40" s="705"/>
      <c r="J40" s="705"/>
      <c r="K40" s="705"/>
      <c r="L40" s="705"/>
      <c r="M40" s="705"/>
      <c r="N40" s="705"/>
      <c r="O40" s="705"/>
      <c r="P40" s="705"/>
      <c r="Q40" s="705"/>
      <c r="R40" s="705"/>
      <c r="S40" s="705"/>
      <c r="T40" s="705"/>
      <c r="U40" s="705"/>
      <c r="V40" s="705"/>
      <c r="W40" s="705"/>
      <c r="X40" s="705"/>
      <c r="Y40" s="711"/>
    </row>
    <row r="41" spans="1:25" ht="15.5" x14ac:dyDescent="0.35">
      <c r="A41" s="709" t="s">
        <v>119</v>
      </c>
      <c r="B41" s="710" t="str">
        <f>Defaults!O2</f>
        <v>25-49</v>
      </c>
      <c r="C41" s="710" t="str">
        <f>Defaults!O2</f>
        <v>25-49</v>
      </c>
      <c r="D41" s="710" t="str">
        <f>Defaults!O2</f>
        <v>25-49</v>
      </c>
      <c r="E41" s="566" t="str">
        <f>Defaults!O3</f>
        <v>50-74</v>
      </c>
      <c r="F41" s="567" t="str">
        <f>Defaults!O3</f>
        <v>50-74</v>
      </c>
      <c r="G41" s="568" t="str">
        <f>Defaults!O3</f>
        <v>50-74</v>
      </c>
      <c r="H41" s="566" t="str">
        <f>Defaults!O4</f>
        <v>75-99</v>
      </c>
      <c r="I41" s="567" t="str">
        <f>Defaults!O4</f>
        <v>75-99</v>
      </c>
      <c r="J41" s="568" t="str">
        <f>Defaults!O4</f>
        <v>75-99</v>
      </c>
      <c r="K41" s="566" t="str">
        <f>Defaults!O5</f>
        <v>100-174</v>
      </c>
      <c r="L41" s="567" t="str">
        <f>Defaults!O5</f>
        <v>100-174</v>
      </c>
      <c r="M41" s="568" t="str">
        <f>Defaults!O5</f>
        <v>100-174</v>
      </c>
      <c r="N41" s="566" t="str">
        <f>Defaults!O6</f>
        <v>175-299</v>
      </c>
      <c r="O41" s="567" t="str">
        <f>Defaults!O6</f>
        <v>175-299</v>
      </c>
      <c r="P41" s="568" t="str">
        <f>Defaults!O6</f>
        <v>175-299</v>
      </c>
      <c r="Q41" s="566" t="str">
        <f>Defaults!O7</f>
        <v>300-599</v>
      </c>
      <c r="R41" s="567" t="str">
        <f>Defaults!O7</f>
        <v>300-599</v>
      </c>
      <c r="S41" s="568" t="str">
        <f>Defaults!O7</f>
        <v>300-599</v>
      </c>
      <c r="T41" s="566" t="str">
        <f>Defaults!O8</f>
        <v>600-750</v>
      </c>
      <c r="U41" s="567" t="str">
        <f>Defaults!O8</f>
        <v>600-750</v>
      </c>
      <c r="V41" s="568" t="str">
        <f>Defaults!O8</f>
        <v>600-750</v>
      </c>
      <c r="W41" s="566" t="str">
        <f>Defaults!O9</f>
        <v>Over 750</v>
      </c>
      <c r="X41" s="567" t="str">
        <f>Defaults!O9</f>
        <v>Over 750</v>
      </c>
      <c r="Y41" s="568" t="str">
        <f>Defaults!O9</f>
        <v>Over 750</v>
      </c>
    </row>
    <row r="42" spans="1:25" ht="18" thickBot="1" x14ac:dyDescent="0.5">
      <c r="A42" s="708"/>
      <c r="B42" s="706" t="s">
        <v>5888</v>
      </c>
      <c r="C42" s="42" t="s">
        <v>5856</v>
      </c>
      <c r="D42" s="43" t="s">
        <v>5857</v>
      </c>
      <c r="E42" s="41" t="s">
        <v>5888</v>
      </c>
      <c r="F42" s="42" t="s">
        <v>5856</v>
      </c>
      <c r="G42" s="43" t="s">
        <v>5857</v>
      </c>
      <c r="H42" s="41" t="s">
        <v>5888</v>
      </c>
      <c r="I42" s="42" t="s">
        <v>5856</v>
      </c>
      <c r="J42" s="43" t="s">
        <v>5857</v>
      </c>
      <c r="K42" s="41" t="s">
        <v>5888</v>
      </c>
      <c r="L42" s="42" t="s">
        <v>5856</v>
      </c>
      <c r="M42" s="43" t="s">
        <v>5857</v>
      </c>
      <c r="N42" s="41" t="s">
        <v>5888</v>
      </c>
      <c r="O42" s="42" t="s">
        <v>5856</v>
      </c>
      <c r="P42" s="43" t="s">
        <v>5857</v>
      </c>
      <c r="Q42" s="41" t="s">
        <v>5888</v>
      </c>
      <c r="R42" s="42" t="s">
        <v>5856</v>
      </c>
      <c r="S42" s="43" t="s">
        <v>5857</v>
      </c>
      <c r="T42" s="41" t="s">
        <v>5888</v>
      </c>
      <c r="U42" s="42" t="s">
        <v>5856</v>
      </c>
      <c r="V42" s="43" t="s">
        <v>5857</v>
      </c>
      <c r="W42" s="41" t="s">
        <v>5888</v>
      </c>
      <c r="X42" s="42" t="s">
        <v>5856</v>
      </c>
      <c r="Y42" s="43" t="s">
        <v>5857</v>
      </c>
    </row>
    <row r="43" spans="1:25" ht="15.5" x14ac:dyDescent="0.35">
      <c r="A43" s="44">
        <v>1950</v>
      </c>
      <c r="B43" s="45">
        <v>2.5</v>
      </c>
      <c r="C43" s="46">
        <v>7.2</v>
      </c>
      <c r="D43" s="47">
        <v>0.95</v>
      </c>
      <c r="E43" s="45">
        <v>1.7</v>
      </c>
      <c r="F43" s="46">
        <v>14.8</v>
      </c>
      <c r="G43" s="48">
        <v>1.2</v>
      </c>
      <c r="H43" s="49">
        <v>1.7</v>
      </c>
      <c r="I43" s="46">
        <v>14.8</v>
      </c>
      <c r="J43" s="50">
        <v>1.2</v>
      </c>
      <c r="K43" s="45">
        <v>1.5</v>
      </c>
      <c r="L43" s="46">
        <v>15.9</v>
      </c>
      <c r="M43" s="48">
        <v>1.1000000000000001</v>
      </c>
      <c r="N43" s="49">
        <v>1.5</v>
      </c>
      <c r="O43" s="46">
        <v>15.9</v>
      </c>
      <c r="P43" s="50">
        <v>1.1000000000000001</v>
      </c>
      <c r="Q43" s="45">
        <v>1.6</v>
      </c>
      <c r="R43" s="46">
        <v>15.2</v>
      </c>
      <c r="S43" s="48">
        <v>0.95</v>
      </c>
      <c r="T43" s="45">
        <v>1.6</v>
      </c>
      <c r="U43" s="46">
        <v>15.2</v>
      </c>
      <c r="V43" s="48">
        <v>0.95</v>
      </c>
      <c r="W43" s="45">
        <v>1.6</v>
      </c>
      <c r="X43" s="46">
        <v>15.2</v>
      </c>
      <c r="Y43" s="48">
        <v>0.95</v>
      </c>
    </row>
    <row r="44" spans="1:25" ht="15.5" x14ac:dyDescent="0.35">
      <c r="A44" s="51">
        <v>1951</v>
      </c>
      <c r="B44" s="52">
        <v>2.5</v>
      </c>
      <c r="C44" s="53">
        <v>7.2</v>
      </c>
      <c r="D44" s="54">
        <v>0.95</v>
      </c>
      <c r="E44" s="52">
        <v>1.7</v>
      </c>
      <c r="F44" s="53">
        <v>14.8</v>
      </c>
      <c r="G44" s="55">
        <v>1.2</v>
      </c>
      <c r="H44" s="56">
        <v>1.7</v>
      </c>
      <c r="I44" s="53">
        <v>14.8</v>
      </c>
      <c r="J44" s="57">
        <v>1.2</v>
      </c>
      <c r="K44" s="52">
        <v>1.5</v>
      </c>
      <c r="L44" s="53">
        <v>15.9</v>
      </c>
      <c r="M44" s="55">
        <v>1.1000000000000001</v>
      </c>
      <c r="N44" s="56">
        <v>1.5</v>
      </c>
      <c r="O44" s="53">
        <v>15.9</v>
      </c>
      <c r="P44" s="57">
        <v>1.1000000000000001</v>
      </c>
      <c r="Q44" s="52">
        <v>1.6</v>
      </c>
      <c r="R44" s="53">
        <v>15.2</v>
      </c>
      <c r="S44" s="55">
        <v>0.95</v>
      </c>
      <c r="T44" s="52">
        <v>1.6</v>
      </c>
      <c r="U44" s="53">
        <v>15.2</v>
      </c>
      <c r="V44" s="55">
        <v>0.95</v>
      </c>
      <c r="W44" s="52">
        <v>1.6</v>
      </c>
      <c r="X44" s="53">
        <v>15.2</v>
      </c>
      <c r="Y44" s="55">
        <v>0.95</v>
      </c>
    </row>
    <row r="45" spans="1:25" ht="15.5" x14ac:dyDescent="0.35">
      <c r="A45" s="51">
        <v>1952</v>
      </c>
      <c r="B45" s="52">
        <v>2.5</v>
      </c>
      <c r="C45" s="53">
        <v>7.2</v>
      </c>
      <c r="D45" s="54">
        <v>0.95</v>
      </c>
      <c r="E45" s="52">
        <v>1.7</v>
      </c>
      <c r="F45" s="53">
        <v>14.8</v>
      </c>
      <c r="G45" s="55">
        <v>1.2</v>
      </c>
      <c r="H45" s="56">
        <v>1.7</v>
      </c>
      <c r="I45" s="53">
        <v>14.8</v>
      </c>
      <c r="J45" s="57">
        <v>1.2</v>
      </c>
      <c r="K45" s="52">
        <v>1.5</v>
      </c>
      <c r="L45" s="53">
        <v>15.9</v>
      </c>
      <c r="M45" s="55">
        <v>1.1000000000000001</v>
      </c>
      <c r="N45" s="56">
        <v>1.5</v>
      </c>
      <c r="O45" s="53">
        <v>15.9</v>
      </c>
      <c r="P45" s="57">
        <v>1.1000000000000001</v>
      </c>
      <c r="Q45" s="52">
        <v>1.6</v>
      </c>
      <c r="R45" s="53">
        <v>15.2</v>
      </c>
      <c r="S45" s="55">
        <v>0.95</v>
      </c>
      <c r="T45" s="52">
        <v>1.6</v>
      </c>
      <c r="U45" s="53">
        <v>15.2</v>
      </c>
      <c r="V45" s="55">
        <v>0.95</v>
      </c>
      <c r="W45" s="52">
        <v>1.6</v>
      </c>
      <c r="X45" s="53">
        <v>15.2</v>
      </c>
      <c r="Y45" s="55">
        <v>0.95</v>
      </c>
    </row>
    <row r="46" spans="1:25" ht="15.5" x14ac:dyDescent="0.35">
      <c r="A46" s="51">
        <v>1953</v>
      </c>
      <c r="B46" s="52">
        <v>2.5</v>
      </c>
      <c r="C46" s="53">
        <v>7.2</v>
      </c>
      <c r="D46" s="54">
        <v>0.95</v>
      </c>
      <c r="E46" s="52">
        <v>1.7</v>
      </c>
      <c r="F46" s="53">
        <v>14.8</v>
      </c>
      <c r="G46" s="55">
        <v>1.2</v>
      </c>
      <c r="H46" s="56">
        <v>1.7</v>
      </c>
      <c r="I46" s="53">
        <v>14.8</v>
      </c>
      <c r="J46" s="57">
        <v>1.2</v>
      </c>
      <c r="K46" s="52">
        <v>1.5</v>
      </c>
      <c r="L46" s="53">
        <v>15.9</v>
      </c>
      <c r="M46" s="55">
        <v>1.1000000000000001</v>
      </c>
      <c r="N46" s="56">
        <v>1.5</v>
      </c>
      <c r="O46" s="53">
        <v>15.9</v>
      </c>
      <c r="P46" s="57">
        <v>1.1000000000000001</v>
      </c>
      <c r="Q46" s="52">
        <v>1.6</v>
      </c>
      <c r="R46" s="53">
        <v>15.2</v>
      </c>
      <c r="S46" s="55">
        <v>0.95</v>
      </c>
      <c r="T46" s="52">
        <v>1.6</v>
      </c>
      <c r="U46" s="53">
        <v>15.2</v>
      </c>
      <c r="V46" s="55">
        <v>0.95</v>
      </c>
      <c r="W46" s="52">
        <v>1.6</v>
      </c>
      <c r="X46" s="53">
        <v>15.2</v>
      </c>
      <c r="Y46" s="55">
        <v>0.95</v>
      </c>
    </row>
    <row r="47" spans="1:25" ht="15.5" x14ac:dyDescent="0.35">
      <c r="A47" s="51">
        <v>1954</v>
      </c>
      <c r="B47" s="52">
        <v>2.5</v>
      </c>
      <c r="C47" s="53">
        <v>7.2</v>
      </c>
      <c r="D47" s="54">
        <v>0.95</v>
      </c>
      <c r="E47" s="52">
        <v>1.7</v>
      </c>
      <c r="F47" s="53">
        <v>14.8</v>
      </c>
      <c r="G47" s="55">
        <v>1.2</v>
      </c>
      <c r="H47" s="56">
        <v>1.7</v>
      </c>
      <c r="I47" s="53">
        <v>14.8</v>
      </c>
      <c r="J47" s="57">
        <v>1.2</v>
      </c>
      <c r="K47" s="52">
        <v>1.5</v>
      </c>
      <c r="L47" s="53">
        <v>15.9</v>
      </c>
      <c r="M47" s="55">
        <v>1.1000000000000001</v>
      </c>
      <c r="N47" s="56">
        <v>1.5</v>
      </c>
      <c r="O47" s="53">
        <v>15.9</v>
      </c>
      <c r="P47" s="57">
        <v>1.1000000000000001</v>
      </c>
      <c r="Q47" s="52">
        <v>1.6</v>
      </c>
      <c r="R47" s="53">
        <v>15.2</v>
      </c>
      <c r="S47" s="55">
        <v>0.95</v>
      </c>
      <c r="T47" s="52">
        <v>1.6</v>
      </c>
      <c r="U47" s="53">
        <v>15.2</v>
      </c>
      <c r="V47" s="55">
        <v>0.95</v>
      </c>
      <c r="W47" s="52">
        <v>1.6</v>
      </c>
      <c r="X47" s="53">
        <v>15.2</v>
      </c>
      <c r="Y47" s="55">
        <v>0.95</v>
      </c>
    </row>
    <row r="48" spans="1:25" ht="15.5" x14ac:dyDescent="0.35">
      <c r="A48" s="51">
        <v>1955</v>
      </c>
      <c r="B48" s="52">
        <v>2.5</v>
      </c>
      <c r="C48" s="53">
        <v>7.2</v>
      </c>
      <c r="D48" s="54">
        <v>0.95</v>
      </c>
      <c r="E48" s="52">
        <v>1.7</v>
      </c>
      <c r="F48" s="53">
        <v>14.8</v>
      </c>
      <c r="G48" s="55">
        <v>1.2</v>
      </c>
      <c r="H48" s="56">
        <v>1.7</v>
      </c>
      <c r="I48" s="53">
        <v>14.8</v>
      </c>
      <c r="J48" s="57">
        <v>1.2</v>
      </c>
      <c r="K48" s="52">
        <v>1.5</v>
      </c>
      <c r="L48" s="53">
        <v>15.9</v>
      </c>
      <c r="M48" s="55">
        <v>1.1000000000000001</v>
      </c>
      <c r="N48" s="56">
        <v>1.5</v>
      </c>
      <c r="O48" s="53">
        <v>15.9</v>
      </c>
      <c r="P48" s="57">
        <v>1.1000000000000001</v>
      </c>
      <c r="Q48" s="52">
        <v>1.6</v>
      </c>
      <c r="R48" s="53">
        <v>15.2</v>
      </c>
      <c r="S48" s="55">
        <v>0.95</v>
      </c>
      <c r="T48" s="52">
        <v>1.6</v>
      </c>
      <c r="U48" s="53">
        <v>15.2</v>
      </c>
      <c r="V48" s="55">
        <v>0.95</v>
      </c>
      <c r="W48" s="52">
        <v>1.6</v>
      </c>
      <c r="X48" s="53">
        <v>15.2</v>
      </c>
      <c r="Y48" s="55">
        <v>0.95</v>
      </c>
    </row>
    <row r="49" spans="1:25" ht="15.5" x14ac:dyDescent="0.35">
      <c r="A49" s="51">
        <v>1956</v>
      </c>
      <c r="B49" s="52">
        <v>2.5</v>
      </c>
      <c r="C49" s="53">
        <v>7.2</v>
      </c>
      <c r="D49" s="54">
        <v>0.95</v>
      </c>
      <c r="E49" s="52">
        <v>1.7</v>
      </c>
      <c r="F49" s="53">
        <v>14.8</v>
      </c>
      <c r="G49" s="55">
        <v>1.2</v>
      </c>
      <c r="H49" s="56">
        <v>1.7</v>
      </c>
      <c r="I49" s="53">
        <v>14.8</v>
      </c>
      <c r="J49" s="57">
        <v>1.2</v>
      </c>
      <c r="K49" s="52">
        <v>1.5</v>
      </c>
      <c r="L49" s="53">
        <v>15.9</v>
      </c>
      <c r="M49" s="55">
        <v>1.1000000000000001</v>
      </c>
      <c r="N49" s="56">
        <v>1.5</v>
      </c>
      <c r="O49" s="53">
        <v>15.9</v>
      </c>
      <c r="P49" s="57">
        <v>1.1000000000000001</v>
      </c>
      <c r="Q49" s="52">
        <v>1.6</v>
      </c>
      <c r="R49" s="53">
        <v>15.2</v>
      </c>
      <c r="S49" s="55">
        <v>0.95</v>
      </c>
      <c r="T49" s="52">
        <v>1.6</v>
      </c>
      <c r="U49" s="53">
        <v>15.2</v>
      </c>
      <c r="V49" s="55">
        <v>0.95</v>
      </c>
      <c r="W49" s="52">
        <v>1.6</v>
      </c>
      <c r="X49" s="53">
        <v>15.2</v>
      </c>
      <c r="Y49" s="55">
        <v>0.95</v>
      </c>
    </row>
    <row r="50" spans="1:25" ht="15.5" x14ac:dyDescent="0.35">
      <c r="A50" s="51">
        <v>1957</v>
      </c>
      <c r="B50" s="52">
        <v>2.5</v>
      </c>
      <c r="C50" s="53">
        <v>7.2</v>
      </c>
      <c r="D50" s="54">
        <v>0.95</v>
      </c>
      <c r="E50" s="52">
        <v>1.7</v>
      </c>
      <c r="F50" s="53">
        <v>14.8</v>
      </c>
      <c r="G50" s="55">
        <v>1.2</v>
      </c>
      <c r="H50" s="56">
        <v>1.7</v>
      </c>
      <c r="I50" s="53">
        <v>14.8</v>
      </c>
      <c r="J50" s="57">
        <v>1.2</v>
      </c>
      <c r="K50" s="52">
        <v>1.5</v>
      </c>
      <c r="L50" s="53">
        <v>15.9</v>
      </c>
      <c r="M50" s="55">
        <v>1.1000000000000001</v>
      </c>
      <c r="N50" s="56">
        <v>1.5</v>
      </c>
      <c r="O50" s="53">
        <v>15.9</v>
      </c>
      <c r="P50" s="57">
        <v>1.1000000000000001</v>
      </c>
      <c r="Q50" s="52">
        <v>1.6</v>
      </c>
      <c r="R50" s="53">
        <v>15.2</v>
      </c>
      <c r="S50" s="55">
        <v>0.95</v>
      </c>
      <c r="T50" s="52">
        <v>1.6</v>
      </c>
      <c r="U50" s="53">
        <v>15.2</v>
      </c>
      <c r="V50" s="55">
        <v>0.95</v>
      </c>
      <c r="W50" s="52">
        <v>1.6</v>
      </c>
      <c r="X50" s="53">
        <v>15.2</v>
      </c>
      <c r="Y50" s="55">
        <v>0.95</v>
      </c>
    </row>
    <row r="51" spans="1:25" ht="15.5" x14ac:dyDescent="0.35">
      <c r="A51" s="51">
        <v>1958</v>
      </c>
      <c r="B51" s="52">
        <v>2.5</v>
      </c>
      <c r="C51" s="53">
        <v>7.2</v>
      </c>
      <c r="D51" s="54">
        <v>0.95</v>
      </c>
      <c r="E51" s="52">
        <v>1.7</v>
      </c>
      <c r="F51" s="53">
        <v>14.8</v>
      </c>
      <c r="G51" s="55">
        <v>1.2</v>
      </c>
      <c r="H51" s="56">
        <v>1.7</v>
      </c>
      <c r="I51" s="53">
        <v>14.8</v>
      </c>
      <c r="J51" s="57">
        <v>1.2</v>
      </c>
      <c r="K51" s="52">
        <v>1.5</v>
      </c>
      <c r="L51" s="53">
        <v>15.9</v>
      </c>
      <c r="M51" s="55">
        <v>1.1000000000000001</v>
      </c>
      <c r="N51" s="56">
        <v>1.5</v>
      </c>
      <c r="O51" s="53">
        <v>15.9</v>
      </c>
      <c r="P51" s="57">
        <v>1.1000000000000001</v>
      </c>
      <c r="Q51" s="52">
        <v>1.6</v>
      </c>
      <c r="R51" s="53">
        <v>15.2</v>
      </c>
      <c r="S51" s="55">
        <v>0.95</v>
      </c>
      <c r="T51" s="52">
        <v>1.6</v>
      </c>
      <c r="U51" s="53">
        <v>15.2</v>
      </c>
      <c r="V51" s="55">
        <v>0.95</v>
      </c>
      <c r="W51" s="52">
        <v>1.6</v>
      </c>
      <c r="X51" s="53">
        <v>15.2</v>
      </c>
      <c r="Y51" s="55">
        <v>0.95</v>
      </c>
    </row>
    <row r="52" spans="1:25" ht="15.5" x14ac:dyDescent="0.35">
      <c r="A52" s="51">
        <v>1959</v>
      </c>
      <c r="B52" s="52">
        <v>2.5</v>
      </c>
      <c r="C52" s="53">
        <v>7.2</v>
      </c>
      <c r="D52" s="54">
        <v>0.95</v>
      </c>
      <c r="E52" s="52">
        <v>1.7</v>
      </c>
      <c r="F52" s="53">
        <v>14.8</v>
      </c>
      <c r="G52" s="55">
        <v>1.2</v>
      </c>
      <c r="H52" s="56">
        <v>1.7</v>
      </c>
      <c r="I52" s="53">
        <v>14.8</v>
      </c>
      <c r="J52" s="57">
        <v>1.2</v>
      </c>
      <c r="K52" s="52">
        <v>1.5</v>
      </c>
      <c r="L52" s="53">
        <v>15.9</v>
      </c>
      <c r="M52" s="55">
        <v>1.1000000000000001</v>
      </c>
      <c r="N52" s="56">
        <v>1.5</v>
      </c>
      <c r="O52" s="53">
        <v>15.9</v>
      </c>
      <c r="P52" s="57">
        <v>1.1000000000000001</v>
      </c>
      <c r="Q52" s="52">
        <v>1.6</v>
      </c>
      <c r="R52" s="53">
        <v>15.2</v>
      </c>
      <c r="S52" s="55">
        <v>0.95</v>
      </c>
      <c r="T52" s="52">
        <v>1.6</v>
      </c>
      <c r="U52" s="53">
        <v>15.2</v>
      </c>
      <c r="V52" s="55">
        <v>0.95</v>
      </c>
      <c r="W52" s="52">
        <v>1.6</v>
      </c>
      <c r="X52" s="53">
        <v>15.2</v>
      </c>
      <c r="Y52" s="55">
        <v>0.95</v>
      </c>
    </row>
    <row r="53" spans="1:25" ht="15.5" x14ac:dyDescent="0.35">
      <c r="A53" s="51">
        <v>1960</v>
      </c>
      <c r="B53" s="52">
        <v>2.5</v>
      </c>
      <c r="C53" s="53">
        <v>7.2</v>
      </c>
      <c r="D53" s="54">
        <v>0.95</v>
      </c>
      <c r="E53" s="52">
        <v>1.7</v>
      </c>
      <c r="F53" s="53">
        <v>14.8</v>
      </c>
      <c r="G53" s="55">
        <v>1.2</v>
      </c>
      <c r="H53" s="56">
        <v>1.7</v>
      </c>
      <c r="I53" s="53">
        <v>14.8</v>
      </c>
      <c r="J53" s="57">
        <v>1.2</v>
      </c>
      <c r="K53" s="52">
        <v>1.5</v>
      </c>
      <c r="L53" s="53">
        <v>15.9</v>
      </c>
      <c r="M53" s="55">
        <v>1.1000000000000001</v>
      </c>
      <c r="N53" s="56">
        <v>1.5</v>
      </c>
      <c r="O53" s="53">
        <v>15.9</v>
      </c>
      <c r="P53" s="57">
        <v>1.1000000000000001</v>
      </c>
      <c r="Q53" s="52">
        <v>1.6</v>
      </c>
      <c r="R53" s="53">
        <v>15.2</v>
      </c>
      <c r="S53" s="55">
        <v>0.95</v>
      </c>
      <c r="T53" s="52">
        <v>1.6</v>
      </c>
      <c r="U53" s="53">
        <v>15.2</v>
      </c>
      <c r="V53" s="55">
        <v>0.95</v>
      </c>
      <c r="W53" s="52">
        <v>1.6</v>
      </c>
      <c r="X53" s="53">
        <v>15.2</v>
      </c>
      <c r="Y53" s="55">
        <v>0.95</v>
      </c>
    </row>
    <row r="54" spans="1:25" ht="15.5" x14ac:dyDescent="0.35">
      <c r="A54" s="51">
        <v>1961</v>
      </c>
      <c r="B54" s="52">
        <v>2.5</v>
      </c>
      <c r="C54" s="53">
        <v>7.2</v>
      </c>
      <c r="D54" s="54">
        <v>0.95</v>
      </c>
      <c r="E54" s="52">
        <v>1.7</v>
      </c>
      <c r="F54" s="53">
        <v>14.8</v>
      </c>
      <c r="G54" s="55">
        <v>1.2</v>
      </c>
      <c r="H54" s="56">
        <v>1.7</v>
      </c>
      <c r="I54" s="53">
        <v>14.8</v>
      </c>
      <c r="J54" s="57">
        <v>1.2</v>
      </c>
      <c r="K54" s="52">
        <v>1.5</v>
      </c>
      <c r="L54" s="53">
        <v>15.9</v>
      </c>
      <c r="M54" s="55">
        <v>1.1000000000000001</v>
      </c>
      <c r="N54" s="56">
        <v>1.5</v>
      </c>
      <c r="O54" s="53">
        <v>15.9</v>
      </c>
      <c r="P54" s="57">
        <v>1.1000000000000001</v>
      </c>
      <c r="Q54" s="52">
        <v>1.6</v>
      </c>
      <c r="R54" s="53">
        <v>15.2</v>
      </c>
      <c r="S54" s="55">
        <v>0.95</v>
      </c>
      <c r="T54" s="52">
        <v>1.6</v>
      </c>
      <c r="U54" s="53">
        <v>15.2</v>
      </c>
      <c r="V54" s="55">
        <v>0.95</v>
      </c>
      <c r="W54" s="52">
        <v>1.6</v>
      </c>
      <c r="X54" s="53">
        <v>15.2</v>
      </c>
      <c r="Y54" s="55">
        <v>0.95</v>
      </c>
    </row>
    <row r="55" spans="1:25" ht="15.5" x14ac:dyDescent="0.35">
      <c r="A55" s="51">
        <v>1962</v>
      </c>
      <c r="B55" s="52">
        <v>2.5</v>
      </c>
      <c r="C55" s="53">
        <v>7.2</v>
      </c>
      <c r="D55" s="54">
        <v>0.95</v>
      </c>
      <c r="E55" s="52">
        <v>1.7</v>
      </c>
      <c r="F55" s="53">
        <v>14.8</v>
      </c>
      <c r="G55" s="55">
        <v>1.2</v>
      </c>
      <c r="H55" s="56">
        <v>1.7</v>
      </c>
      <c r="I55" s="53">
        <v>14.8</v>
      </c>
      <c r="J55" s="57">
        <v>1.2</v>
      </c>
      <c r="K55" s="52">
        <v>1.5</v>
      </c>
      <c r="L55" s="53">
        <v>15.9</v>
      </c>
      <c r="M55" s="55">
        <v>1.1000000000000001</v>
      </c>
      <c r="N55" s="56">
        <v>1.5</v>
      </c>
      <c r="O55" s="53">
        <v>15.9</v>
      </c>
      <c r="P55" s="57">
        <v>1.1000000000000001</v>
      </c>
      <c r="Q55" s="52">
        <v>1.6</v>
      </c>
      <c r="R55" s="53">
        <v>15.2</v>
      </c>
      <c r="S55" s="55">
        <v>0.95</v>
      </c>
      <c r="T55" s="52">
        <v>1.6</v>
      </c>
      <c r="U55" s="53">
        <v>15.2</v>
      </c>
      <c r="V55" s="55">
        <v>0.95</v>
      </c>
      <c r="W55" s="52">
        <v>1.6</v>
      </c>
      <c r="X55" s="53">
        <v>15.2</v>
      </c>
      <c r="Y55" s="55">
        <v>0.95</v>
      </c>
    </row>
    <row r="56" spans="1:25" ht="15.5" x14ac:dyDescent="0.35">
      <c r="A56" s="51">
        <v>1963</v>
      </c>
      <c r="B56" s="52">
        <v>2.5</v>
      </c>
      <c r="C56" s="53">
        <v>7.2</v>
      </c>
      <c r="D56" s="54">
        <v>0.95</v>
      </c>
      <c r="E56" s="52">
        <v>1.7</v>
      </c>
      <c r="F56" s="53">
        <v>14.8</v>
      </c>
      <c r="G56" s="55">
        <v>1.2</v>
      </c>
      <c r="H56" s="56">
        <v>1.7</v>
      </c>
      <c r="I56" s="53">
        <v>14.8</v>
      </c>
      <c r="J56" s="57">
        <v>1.2</v>
      </c>
      <c r="K56" s="52">
        <v>1.5</v>
      </c>
      <c r="L56" s="53">
        <v>15.9</v>
      </c>
      <c r="M56" s="55">
        <v>1.1000000000000001</v>
      </c>
      <c r="N56" s="56">
        <v>1.5</v>
      </c>
      <c r="O56" s="53">
        <v>15.9</v>
      </c>
      <c r="P56" s="57">
        <v>1.1000000000000001</v>
      </c>
      <c r="Q56" s="52">
        <v>1.6</v>
      </c>
      <c r="R56" s="53">
        <v>15.2</v>
      </c>
      <c r="S56" s="55">
        <v>0.95</v>
      </c>
      <c r="T56" s="52">
        <v>1.6</v>
      </c>
      <c r="U56" s="53">
        <v>15.2</v>
      </c>
      <c r="V56" s="55">
        <v>0.95</v>
      </c>
      <c r="W56" s="52">
        <v>1.6</v>
      </c>
      <c r="X56" s="53">
        <v>15.2</v>
      </c>
      <c r="Y56" s="55">
        <v>0.95</v>
      </c>
    </row>
    <row r="57" spans="1:25" ht="15.5" x14ac:dyDescent="0.35">
      <c r="A57" s="51">
        <v>1964</v>
      </c>
      <c r="B57" s="52">
        <v>2.5</v>
      </c>
      <c r="C57" s="53">
        <v>7.2</v>
      </c>
      <c r="D57" s="54">
        <v>0.95</v>
      </c>
      <c r="E57" s="52">
        <v>1.7</v>
      </c>
      <c r="F57" s="53">
        <v>14.8</v>
      </c>
      <c r="G57" s="55">
        <v>1.2</v>
      </c>
      <c r="H57" s="56">
        <v>1.7</v>
      </c>
      <c r="I57" s="53">
        <v>14.8</v>
      </c>
      <c r="J57" s="57">
        <v>1.2</v>
      </c>
      <c r="K57" s="52">
        <v>1.5</v>
      </c>
      <c r="L57" s="53">
        <v>15.9</v>
      </c>
      <c r="M57" s="55">
        <v>1.1000000000000001</v>
      </c>
      <c r="N57" s="56">
        <v>1.5</v>
      </c>
      <c r="O57" s="53">
        <v>15.9</v>
      </c>
      <c r="P57" s="57">
        <v>1.1000000000000001</v>
      </c>
      <c r="Q57" s="52">
        <v>1.6</v>
      </c>
      <c r="R57" s="53">
        <v>15.2</v>
      </c>
      <c r="S57" s="55">
        <v>0.95</v>
      </c>
      <c r="T57" s="52">
        <v>1.6</v>
      </c>
      <c r="U57" s="53">
        <v>15.2</v>
      </c>
      <c r="V57" s="55">
        <v>0.95</v>
      </c>
      <c r="W57" s="52">
        <v>1.6</v>
      </c>
      <c r="X57" s="53">
        <v>15.2</v>
      </c>
      <c r="Y57" s="55">
        <v>0.95</v>
      </c>
    </row>
    <row r="58" spans="1:25" ht="15.5" x14ac:dyDescent="0.35">
      <c r="A58" s="51">
        <v>1965</v>
      </c>
      <c r="B58" s="52">
        <v>2.5</v>
      </c>
      <c r="C58" s="53">
        <v>7.2</v>
      </c>
      <c r="D58" s="54">
        <v>0.95</v>
      </c>
      <c r="E58" s="52">
        <v>1.7</v>
      </c>
      <c r="F58" s="53">
        <v>14.8</v>
      </c>
      <c r="G58" s="55">
        <v>1.2</v>
      </c>
      <c r="H58" s="56">
        <v>1.7</v>
      </c>
      <c r="I58" s="53">
        <v>14.8</v>
      </c>
      <c r="J58" s="57">
        <v>1.2</v>
      </c>
      <c r="K58" s="52">
        <v>1.5</v>
      </c>
      <c r="L58" s="53">
        <v>15.9</v>
      </c>
      <c r="M58" s="55">
        <v>1.1000000000000001</v>
      </c>
      <c r="N58" s="56">
        <v>1.5</v>
      </c>
      <c r="O58" s="53">
        <v>15.9</v>
      </c>
      <c r="P58" s="57">
        <v>1.1000000000000001</v>
      </c>
      <c r="Q58" s="52">
        <v>1.6</v>
      </c>
      <c r="R58" s="53">
        <v>15.2</v>
      </c>
      <c r="S58" s="55">
        <v>0.95</v>
      </c>
      <c r="T58" s="52">
        <v>1.6</v>
      </c>
      <c r="U58" s="53">
        <v>15.2</v>
      </c>
      <c r="V58" s="55">
        <v>0.95</v>
      </c>
      <c r="W58" s="52">
        <v>1.6</v>
      </c>
      <c r="X58" s="53">
        <v>15.2</v>
      </c>
      <c r="Y58" s="55">
        <v>0.95</v>
      </c>
    </row>
    <row r="59" spans="1:25" ht="15.5" x14ac:dyDescent="0.35">
      <c r="A59" s="51">
        <v>1966</v>
      </c>
      <c r="B59" s="52">
        <v>2.5</v>
      </c>
      <c r="C59" s="53">
        <v>7.2</v>
      </c>
      <c r="D59" s="54">
        <v>0.95</v>
      </c>
      <c r="E59" s="52">
        <v>1.7</v>
      </c>
      <c r="F59" s="53">
        <v>14.8</v>
      </c>
      <c r="G59" s="55">
        <v>1.2</v>
      </c>
      <c r="H59" s="56">
        <v>1.7</v>
      </c>
      <c r="I59" s="53">
        <v>14.8</v>
      </c>
      <c r="J59" s="57">
        <v>1.2</v>
      </c>
      <c r="K59" s="52">
        <v>1.5</v>
      </c>
      <c r="L59" s="53">
        <v>15.9</v>
      </c>
      <c r="M59" s="55">
        <v>1.1000000000000001</v>
      </c>
      <c r="N59" s="56">
        <v>1.5</v>
      </c>
      <c r="O59" s="53">
        <v>15.9</v>
      </c>
      <c r="P59" s="57">
        <v>1.1000000000000001</v>
      </c>
      <c r="Q59" s="52">
        <v>1.6</v>
      </c>
      <c r="R59" s="53">
        <v>15.2</v>
      </c>
      <c r="S59" s="55">
        <v>0.95</v>
      </c>
      <c r="T59" s="52">
        <v>1.6</v>
      </c>
      <c r="U59" s="53">
        <v>15.2</v>
      </c>
      <c r="V59" s="55">
        <v>0.95</v>
      </c>
      <c r="W59" s="52">
        <v>1.6</v>
      </c>
      <c r="X59" s="53">
        <v>15.2</v>
      </c>
      <c r="Y59" s="55">
        <v>0.95</v>
      </c>
    </row>
    <row r="60" spans="1:25" ht="15.5" x14ac:dyDescent="0.35">
      <c r="A60" s="51">
        <v>1967</v>
      </c>
      <c r="B60" s="52">
        <v>2.5</v>
      </c>
      <c r="C60" s="53">
        <v>7.2</v>
      </c>
      <c r="D60" s="54">
        <v>0.95</v>
      </c>
      <c r="E60" s="52">
        <v>1.7</v>
      </c>
      <c r="F60" s="53">
        <v>14.8</v>
      </c>
      <c r="G60" s="55">
        <v>1.2</v>
      </c>
      <c r="H60" s="56">
        <v>1.7</v>
      </c>
      <c r="I60" s="53">
        <v>14.8</v>
      </c>
      <c r="J60" s="57">
        <v>1.2</v>
      </c>
      <c r="K60" s="52">
        <v>1.5</v>
      </c>
      <c r="L60" s="53">
        <v>15.9</v>
      </c>
      <c r="M60" s="55">
        <v>1.1000000000000001</v>
      </c>
      <c r="N60" s="56">
        <v>1.5</v>
      </c>
      <c r="O60" s="53">
        <v>15.9</v>
      </c>
      <c r="P60" s="57">
        <v>1.1000000000000001</v>
      </c>
      <c r="Q60" s="52">
        <v>1.6</v>
      </c>
      <c r="R60" s="53">
        <v>15.2</v>
      </c>
      <c r="S60" s="55">
        <v>0.95</v>
      </c>
      <c r="T60" s="52">
        <v>1.6</v>
      </c>
      <c r="U60" s="53">
        <v>15.2</v>
      </c>
      <c r="V60" s="55">
        <v>0.95</v>
      </c>
      <c r="W60" s="52">
        <v>1.6</v>
      </c>
      <c r="X60" s="53">
        <v>15.2</v>
      </c>
      <c r="Y60" s="55">
        <v>0.95</v>
      </c>
    </row>
    <row r="61" spans="1:25" ht="15.5" x14ac:dyDescent="0.35">
      <c r="A61" s="51">
        <v>1968</v>
      </c>
      <c r="B61" s="52">
        <v>2.5</v>
      </c>
      <c r="C61" s="53">
        <v>7.2</v>
      </c>
      <c r="D61" s="54">
        <v>0.95</v>
      </c>
      <c r="E61" s="52">
        <v>1.7</v>
      </c>
      <c r="F61" s="53">
        <v>14.8</v>
      </c>
      <c r="G61" s="55">
        <v>1.2</v>
      </c>
      <c r="H61" s="56">
        <v>1.7</v>
      </c>
      <c r="I61" s="53">
        <v>14.8</v>
      </c>
      <c r="J61" s="57">
        <v>1.2</v>
      </c>
      <c r="K61" s="52">
        <v>1.5</v>
      </c>
      <c r="L61" s="53">
        <v>15.9</v>
      </c>
      <c r="M61" s="55">
        <v>1.1000000000000001</v>
      </c>
      <c r="N61" s="56">
        <v>1.5</v>
      </c>
      <c r="O61" s="53">
        <v>15.9</v>
      </c>
      <c r="P61" s="57">
        <v>1.1000000000000001</v>
      </c>
      <c r="Q61" s="52">
        <v>1.6</v>
      </c>
      <c r="R61" s="53">
        <v>15.2</v>
      </c>
      <c r="S61" s="55">
        <v>0.95</v>
      </c>
      <c r="T61" s="52">
        <v>1.6</v>
      </c>
      <c r="U61" s="53">
        <v>15.2</v>
      </c>
      <c r="V61" s="55">
        <v>0.95</v>
      </c>
      <c r="W61" s="52">
        <v>1.6</v>
      </c>
      <c r="X61" s="53">
        <v>15.2</v>
      </c>
      <c r="Y61" s="55">
        <v>0.95</v>
      </c>
    </row>
    <row r="62" spans="1:25" ht="15.5" x14ac:dyDescent="0.35">
      <c r="A62" s="51">
        <v>1969</v>
      </c>
      <c r="B62" s="52">
        <v>2.5</v>
      </c>
      <c r="C62" s="53">
        <v>7.2</v>
      </c>
      <c r="D62" s="54">
        <v>0.95</v>
      </c>
      <c r="E62" s="52">
        <v>1.7</v>
      </c>
      <c r="F62" s="53">
        <v>14.8</v>
      </c>
      <c r="G62" s="55">
        <v>1.2</v>
      </c>
      <c r="H62" s="56">
        <v>1.7</v>
      </c>
      <c r="I62" s="53">
        <v>14.8</v>
      </c>
      <c r="J62" s="57">
        <v>1.2</v>
      </c>
      <c r="K62" s="52">
        <v>1.5</v>
      </c>
      <c r="L62" s="53">
        <v>15.9</v>
      </c>
      <c r="M62" s="55">
        <v>1.1000000000000001</v>
      </c>
      <c r="N62" s="56">
        <v>1.5</v>
      </c>
      <c r="O62" s="53">
        <v>15.9</v>
      </c>
      <c r="P62" s="57">
        <v>1.1000000000000001</v>
      </c>
      <c r="Q62" s="52">
        <v>1.6</v>
      </c>
      <c r="R62" s="53">
        <v>15.2</v>
      </c>
      <c r="S62" s="55">
        <v>0.95</v>
      </c>
      <c r="T62" s="52">
        <v>1.6</v>
      </c>
      <c r="U62" s="53">
        <v>15.2</v>
      </c>
      <c r="V62" s="55">
        <v>0.95</v>
      </c>
      <c r="W62" s="52">
        <v>1.6</v>
      </c>
      <c r="X62" s="53">
        <v>15.2</v>
      </c>
      <c r="Y62" s="55">
        <v>0.95</v>
      </c>
    </row>
    <row r="63" spans="1:25" ht="15.5" x14ac:dyDescent="0.35">
      <c r="A63" s="51">
        <v>1970</v>
      </c>
      <c r="B63" s="52">
        <v>2.5</v>
      </c>
      <c r="C63" s="53">
        <v>7.2</v>
      </c>
      <c r="D63" s="54">
        <v>0.95</v>
      </c>
      <c r="E63" s="52">
        <v>1.7</v>
      </c>
      <c r="F63" s="53">
        <v>14.8</v>
      </c>
      <c r="G63" s="55">
        <v>1.2</v>
      </c>
      <c r="H63" s="56">
        <v>1.7</v>
      </c>
      <c r="I63" s="53">
        <v>14.8</v>
      </c>
      <c r="J63" s="57">
        <v>1.2</v>
      </c>
      <c r="K63" s="52">
        <v>1.3</v>
      </c>
      <c r="L63" s="53">
        <v>14.8</v>
      </c>
      <c r="M63" s="55">
        <v>0.94</v>
      </c>
      <c r="N63" s="56">
        <v>1.3</v>
      </c>
      <c r="O63" s="53">
        <v>14.8</v>
      </c>
      <c r="P63" s="57">
        <v>0.94</v>
      </c>
      <c r="Q63" s="52">
        <v>1.4</v>
      </c>
      <c r="R63" s="53">
        <v>14.1</v>
      </c>
      <c r="S63" s="55">
        <v>0.81</v>
      </c>
      <c r="T63" s="52">
        <v>1.4</v>
      </c>
      <c r="U63" s="53">
        <v>14.1</v>
      </c>
      <c r="V63" s="55">
        <v>0.81</v>
      </c>
      <c r="W63" s="52">
        <v>1.4</v>
      </c>
      <c r="X63" s="53">
        <v>14.1</v>
      </c>
      <c r="Y63" s="55">
        <v>0.81</v>
      </c>
    </row>
    <row r="64" spans="1:25" ht="15.5" x14ac:dyDescent="0.35">
      <c r="A64" s="51">
        <v>1971</v>
      </c>
      <c r="B64" s="52">
        <v>2.5</v>
      </c>
      <c r="C64" s="53">
        <v>7.2</v>
      </c>
      <c r="D64" s="54">
        <v>0.95</v>
      </c>
      <c r="E64" s="52">
        <v>1.7</v>
      </c>
      <c r="F64" s="53">
        <v>14.8</v>
      </c>
      <c r="G64" s="55">
        <v>1.2</v>
      </c>
      <c r="H64" s="56">
        <v>1.7</v>
      </c>
      <c r="I64" s="53">
        <v>14.8</v>
      </c>
      <c r="J64" s="57">
        <v>1.2</v>
      </c>
      <c r="K64" s="52">
        <v>1.3</v>
      </c>
      <c r="L64" s="53">
        <v>14.8</v>
      </c>
      <c r="M64" s="55">
        <v>0.94</v>
      </c>
      <c r="N64" s="56">
        <v>1.3</v>
      </c>
      <c r="O64" s="53">
        <v>14.8</v>
      </c>
      <c r="P64" s="57">
        <v>0.94</v>
      </c>
      <c r="Q64" s="52">
        <v>1.4</v>
      </c>
      <c r="R64" s="53">
        <v>14.1</v>
      </c>
      <c r="S64" s="55">
        <v>0.81</v>
      </c>
      <c r="T64" s="52">
        <v>1.4</v>
      </c>
      <c r="U64" s="53">
        <v>14.1</v>
      </c>
      <c r="V64" s="55">
        <v>0.81</v>
      </c>
      <c r="W64" s="52">
        <v>1.4</v>
      </c>
      <c r="X64" s="53">
        <v>14.1</v>
      </c>
      <c r="Y64" s="55">
        <v>0.81</v>
      </c>
    </row>
    <row r="65" spans="1:25" ht="15.5" x14ac:dyDescent="0.35">
      <c r="A65" s="51">
        <v>1972</v>
      </c>
      <c r="B65" s="52">
        <v>2.5</v>
      </c>
      <c r="C65" s="53">
        <v>7.2</v>
      </c>
      <c r="D65" s="54">
        <v>0.95</v>
      </c>
      <c r="E65" s="52">
        <v>1.7</v>
      </c>
      <c r="F65" s="53">
        <v>14.8</v>
      </c>
      <c r="G65" s="55">
        <v>1.2</v>
      </c>
      <c r="H65" s="56">
        <v>1.7</v>
      </c>
      <c r="I65" s="53">
        <v>14.8</v>
      </c>
      <c r="J65" s="57">
        <v>1.2</v>
      </c>
      <c r="K65" s="52">
        <v>1.2</v>
      </c>
      <c r="L65" s="53">
        <v>13.6</v>
      </c>
      <c r="M65" s="55">
        <v>0.78</v>
      </c>
      <c r="N65" s="56">
        <v>1.2</v>
      </c>
      <c r="O65" s="53">
        <v>13.6</v>
      </c>
      <c r="P65" s="57">
        <v>0.78</v>
      </c>
      <c r="Q65" s="52">
        <v>1.2</v>
      </c>
      <c r="R65" s="58">
        <v>13</v>
      </c>
      <c r="S65" s="55">
        <v>0.68</v>
      </c>
      <c r="T65" s="52">
        <v>1.2</v>
      </c>
      <c r="U65" s="58">
        <v>13</v>
      </c>
      <c r="V65" s="55">
        <v>0.68</v>
      </c>
      <c r="W65" s="52">
        <v>1.2</v>
      </c>
      <c r="X65" s="58">
        <v>13</v>
      </c>
      <c r="Y65" s="55">
        <v>0.68</v>
      </c>
    </row>
    <row r="66" spans="1:25" ht="15.5" x14ac:dyDescent="0.35">
      <c r="A66" s="51">
        <v>1973</v>
      </c>
      <c r="B66" s="52">
        <v>2.5</v>
      </c>
      <c r="C66" s="53">
        <v>7.2</v>
      </c>
      <c r="D66" s="54">
        <v>0.95</v>
      </c>
      <c r="E66" s="52">
        <v>1.7</v>
      </c>
      <c r="F66" s="53">
        <v>14.8</v>
      </c>
      <c r="G66" s="55">
        <v>1.2</v>
      </c>
      <c r="H66" s="56">
        <v>1.7</v>
      </c>
      <c r="I66" s="53">
        <v>14.8</v>
      </c>
      <c r="J66" s="57">
        <v>1.2</v>
      </c>
      <c r="K66" s="52">
        <v>1.2</v>
      </c>
      <c r="L66" s="53">
        <v>13.6</v>
      </c>
      <c r="M66" s="55">
        <v>0.78</v>
      </c>
      <c r="N66" s="56">
        <v>1.2</v>
      </c>
      <c r="O66" s="53">
        <v>13.6</v>
      </c>
      <c r="P66" s="57">
        <v>0.78</v>
      </c>
      <c r="Q66" s="52">
        <v>1.2</v>
      </c>
      <c r="R66" s="58">
        <v>13</v>
      </c>
      <c r="S66" s="55">
        <v>0.68</v>
      </c>
      <c r="T66" s="52">
        <v>1.2</v>
      </c>
      <c r="U66" s="58">
        <v>13</v>
      </c>
      <c r="V66" s="55">
        <v>0.68</v>
      </c>
      <c r="W66" s="52">
        <v>1.2</v>
      </c>
      <c r="X66" s="58">
        <v>13</v>
      </c>
      <c r="Y66" s="55">
        <v>0.68</v>
      </c>
    </row>
    <row r="67" spans="1:25" ht="15.5" x14ac:dyDescent="0.35">
      <c r="A67" s="51">
        <v>1974</v>
      </c>
      <c r="B67" s="52">
        <v>2.5</v>
      </c>
      <c r="C67" s="53">
        <v>7.2</v>
      </c>
      <c r="D67" s="54">
        <v>0.95</v>
      </c>
      <c r="E67" s="52">
        <v>1.7</v>
      </c>
      <c r="F67" s="53">
        <v>14.8</v>
      </c>
      <c r="G67" s="55">
        <v>1.2</v>
      </c>
      <c r="H67" s="56">
        <v>1.7</v>
      </c>
      <c r="I67" s="53">
        <v>14.8</v>
      </c>
      <c r="J67" s="57">
        <v>1.2</v>
      </c>
      <c r="K67" s="52">
        <v>1.2</v>
      </c>
      <c r="L67" s="53">
        <v>13.6</v>
      </c>
      <c r="M67" s="55">
        <v>0.78</v>
      </c>
      <c r="N67" s="56">
        <v>1.2</v>
      </c>
      <c r="O67" s="53">
        <v>13.6</v>
      </c>
      <c r="P67" s="57">
        <v>0.78</v>
      </c>
      <c r="Q67" s="52">
        <v>1.2</v>
      </c>
      <c r="R67" s="58">
        <v>13</v>
      </c>
      <c r="S67" s="55">
        <v>0.68</v>
      </c>
      <c r="T67" s="52">
        <v>1.2</v>
      </c>
      <c r="U67" s="58">
        <v>13</v>
      </c>
      <c r="V67" s="55">
        <v>0.68</v>
      </c>
      <c r="W67" s="52">
        <v>1.2</v>
      </c>
      <c r="X67" s="58">
        <v>13</v>
      </c>
      <c r="Y67" s="55">
        <v>0.68</v>
      </c>
    </row>
    <row r="68" spans="1:25" ht="15.5" x14ac:dyDescent="0.35">
      <c r="A68" s="51">
        <v>1975</v>
      </c>
      <c r="B68" s="52">
        <v>2.5</v>
      </c>
      <c r="C68" s="53">
        <v>7.2</v>
      </c>
      <c r="D68" s="54">
        <v>0.95</v>
      </c>
      <c r="E68" s="52">
        <v>1.7</v>
      </c>
      <c r="F68" s="53">
        <v>14.8</v>
      </c>
      <c r="G68" s="55">
        <v>1.2</v>
      </c>
      <c r="H68" s="56">
        <v>1.7</v>
      </c>
      <c r="I68" s="53">
        <v>14.8</v>
      </c>
      <c r="J68" s="57">
        <v>1.2</v>
      </c>
      <c r="K68" s="52">
        <v>1.2</v>
      </c>
      <c r="L68" s="53">
        <v>13.6</v>
      </c>
      <c r="M68" s="55">
        <v>0.78</v>
      </c>
      <c r="N68" s="56">
        <v>1.2</v>
      </c>
      <c r="O68" s="53">
        <v>13.6</v>
      </c>
      <c r="P68" s="57">
        <v>0.78</v>
      </c>
      <c r="Q68" s="52">
        <v>1.2</v>
      </c>
      <c r="R68" s="58">
        <v>13</v>
      </c>
      <c r="S68" s="55">
        <v>0.68</v>
      </c>
      <c r="T68" s="52">
        <v>1.2</v>
      </c>
      <c r="U68" s="58">
        <v>13</v>
      </c>
      <c r="V68" s="55">
        <v>0.68</v>
      </c>
      <c r="W68" s="52">
        <v>1.2</v>
      </c>
      <c r="X68" s="58">
        <v>13</v>
      </c>
      <c r="Y68" s="55">
        <v>0.68</v>
      </c>
    </row>
    <row r="69" spans="1:25" ht="15.5" x14ac:dyDescent="0.35">
      <c r="A69" s="51">
        <v>1976</v>
      </c>
      <c r="B69" s="52">
        <v>2.5</v>
      </c>
      <c r="C69" s="53">
        <v>7.2</v>
      </c>
      <c r="D69" s="54">
        <v>0.95</v>
      </c>
      <c r="E69" s="52">
        <v>1.7</v>
      </c>
      <c r="F69" s="53">
        <v>14.8</v>
      </c>
      <c r="G69" s="55">
        <v>1.2</v>
      </c>
      <c r="H69" s="56">
        <v>1.7</v>
      </c>
      <c r="I69" s="53">
        <v>14.8</v>
      </c>
      <c r="J69" s="57">
        <v>1.2</v>
      </c>
      <c r="K69" s="52">
        <v>1.2</v>
      </c>
      <c r="L69" s="53">
        <v>13.6</v>
      </c>
      <c r="M69" s="55">
        <v>0.78</v>
      </c>
      <c r="N69" s="56">
        <v>1.2</v>
      </c>
      <c r="O69" s="53">
        <v>13.6</v>
      </c>
      <c r="P69" s="57">
        <v>0.78</v>
      </c>
      <c r="Q69" s="52">
        <v>1.2</v>
      </c>
      <c r="R69" s="58">
        <v>13</v>
      </c>
      <c r="S69" s="55">
        <v>0.68</v>
      </c>
      <c r="T69" s="52">
        <v>1.2</v>
      </c>
      <c r="U69" s="58">
        <v>13</v>
      </c>
      <c r="V69" s="55">
        <v>0.68</v>
      </c>
      <c r="W69" s="52">
        <v>1.2</v>
      </c>
      <c r="X69" s="58">
        <v>13</v>
      </c>
      <c r="Y69" s="55">
        <v>0.68</v>
      </c>
    </row>
    <row r="70" spans="1:25" ht="15.5" x14ac:dyDescent="0.35">
      <c r="A70" s="51">
        <v>1977</v>
      </c>
      <c r="B70" s="52">
        <v>2.5</v>
      </c>
      <c r="C70" s="53">
        <v>7.2</v>
      </c>
      <c r="D70" s="54">
        <v>0.95</v>
      </c>
      <c r="E70" s="52">
        <v>1.7</v>
      </c>
      <c r="F70" s="53">
        <v>14.8</v>
      </c>
      <c r="G70" s="55">
        <v>1.2</v>
      </c>
      <c r="H70" s="56">
        <v>1.7</v>
      </c>
      <c r="I70" s="53">
        <v>14.8</v>
      </c>
      <c r="J70" s="57">
        <v>1.2</v>
      </c>
      <c r="K70" s="52">
        <v>1.2</v>
      </c>
      <c r="L70" s="53">
        <v>13.6</v>
      </c>
      <c r="M70" s="55">
        <v>0.78</v>
      </c>
      <c r="N70" s="56">
        <v>1.2</v>
      </c>
      <c r="O70" s="53">
        <v>13.6</v>
      </c>
      <c r="P70" s="57">
        <v>0.78</v>
      </c>
      <c r="Q70" s="52">
        <v>1.2</v>
      </c>
      <c r="R70" s="58">
        <v>13</v>
      </c>
      <c r="S70" s="55">
        <v>0.68</v>
      </c>
      <c r="T70" s="52">
        <v>1.2</v>
      </c>
      <c r="U70" s="58">
        <v>13</v>
      </c>
      <c r="V70" s="55">
        <v>0.68</v>
      </c>
      <c r="W70" s="52">
        <v>1.2</v>
      </c>
      <c r="X70" s="58">
        <v>13</v>
      </c>
      <c r="Y70" s="55">
        <v>0.68</v>
      </c>
    </row>
    <row r="71" spans="1:25" ht="15.5" x14ac:dyDescent="0.35">
      <c r="A71" s="51">
        <v>1978</v>
      </c>
      <c r="B71" s="52">
        <v>2.5</v>
      </c>
      <c r="C71" s="53">
        <v>7.2</v>
      </c>
      <c r="D71" s="54">
        <v>0.95</v>
      </c>
      <c r="E71" s="52">
        <v>1.7</v>
      </c>
      <c r="F71" s="53">
        <v>14.8</v>
      </c>
      <c r="G71" s="55">
        <v>1.2</v>
      </c>
      <c r="H71" s="56">
        <v>1.7</v>
      </c>
      <c r="I71" s="53">
        <v>14.8</v>
      </c>
      <c r="J71" s="57">
        <v>1.2</v>
      </c>
      <c r="K71" s="52">
        <v>1.2</v>
      </c>
      <c r="L71" s="53">
        <v>13.6</v>
      </c>
      <c r="M71" s="55">
        <v>0.78</v>
      </c>
      <c r="N71" s="56">
        <v>1.2</v>
      </c>
      <c r="O71" s="53">
        <v>13.6</v>
      </c>
      <c r="P71" s="57">
        <v>0.78</v>
      </c>
      <c r="Q71" s="52">
        <v>1.2</v>
      </c>
      <c r="R71" s="58">
        <v>13</v>
      </c>
      <c r="S71" s="55">
        <v>0.68</v>
      </c>
      <c r="T71" s="52">
        <v>1.2</v>
      </c>
      <c r="U71" s="58">
        <v>13</v>
      </c>
      <c r="V71" s="55">
        <v>0.68</v>
      </c>
      <c r="W71" s="52">
        <v>1.2</v>
      </c>
      <c r="X71" s="58">
        <v>13</v>
      </c>
      <c r="Y71" s="55">
        <v>0.68</v>
      </c>
    </row>
    <row r="72" spans="1:25" ht="15.5" x14ac:dyDescent="0.35">
      <c r="A72" s="51">
        <v>1979</v>
      </c>
      <c r="B72" s="52">
        <v>2.5</v>
      </c>
      <c r="C72" s="53">
        <v>7.2</v>
      </c>
      <c r="D72" s="54">
        <v>0.95</v>
      </c>
      <c r="E72" s="52">
        <v>1.7</v>
      </c>
      <c r="F72" s="53">
        <v>14.8</v>
      </c>
      <c r="G72" s="55">
        <v>1.2</v>
      </c>
      <c r="H72" s="56">
        <v>1.7</v>
      </c>
      <c r="I72" s="53">
        <v>14.8</v>
      </c>
      <c r="J72" s="57">
        <v>1.2</v>
      </c>
      <c r="K72" s="52">
        <v>1.2</v>
      </c>
      <c r="L72" s="53">
        <v>13.6</v>
      </c>
      <c r="M72" s="55">
        <v>0.78</v>
      </c>
      <c r="N72" s="56">
        <v>1.2</v>
      </c>
      <c r="O72" s="53">
        <v>13.6</v>
      </c>
      <c r="P72" s="57">
        <v>0.78</v>
      </c>
      <c r="Q72" s="52">
        <v>1.2</v>
      </c>
      <c r="R72" s="58">
        <v>13</v>
      </c>
      <c r="S72" s="55">
        <v>0.68</v>
      </c>
      <c r="T72" s="52">
        <v>1.2</v>
      </c>
      <c r="U72" s="58">
        <v>13</v>
      </c>
      <c r="V72" s="55">
        <v>0.68</v>
      </c>
      <c r="W72" s="52">
        <v>1.2</v>
      </c>
      <c r="X72" s="58">
        <v>13</v>
      </c>
      <c r="Y72" s="55">
        <v>0.68</v>
      </c>
    </row>
    <row r="73" spans="1:25" ht="15.5" x14ac:dyDescent="0.35">
      <c r="A73" s="51">
        <v>1980</v>
      </c>
      <c r="B73" s="52">
        <v>2.5</v>
      </c>
      <c r="C73" s="53">
        <v>7.2</v>
      </c>
      <c r="D73" s="54">
        <v>0.95</v>
      </c>
      <c r="E73" s="52">
        <v>1.7</v>
      </c>
      <c r="F73" s="53">
        <v>14.8</v>
      </c>
      <c r="G73" s="55">
        <v>1.2</v>
      </c>
      <c r="H73" s="56">
        <v>1.7</v>
      </c>
      <c r="I73" s="53">
        <v>14.8</v>
      </c>
      <c r="J73" s="57">
        <v>1.2</v>
      </c>
      <c r="K73" s="52">
        <v>1.1000000000000001</v>
      </c>
      <c r="L73" s="53">
        <v>12.5</v>
      </c>
      <c r="M73" s="55">
        <v>0.78</v>
      </c>
      <c r="N73" s="56">
        <v>1.1000000000000001</v>
      </c>
      <c r="O73" s="53">
        <v>12.5</v>
      </c>
      <c r="P73" s="57">
        <v>0.78</v>
      </c>
      <c r="Q73" s="52">
        <v>1.2</v>
      </c>
      <c r="R73" s="53">
        <v>11.9</v>
      </c>
      <c r="S73" s="55">
        <v>0.68</v>
      </c>
      <c r="T73" s="52">
        <v>1.2</v>
      </c>
      <c r="U73" s="53">
        <v>11.9</v>
      </c>
      <c r="V73" s="55">
        <v>0.68</v>
      </c>
      <c r="W73" s="52">
        <v>1.2</v>
      </c>
      <c r="X73" s="53">
        <v>11.9</v>
      </c>
      <c r="Y73" s="55">
        <v>0.68</v>
      </c>
    </row>
    <row r="74" spans="1:25" ht="15.5" x14ac:dyDescent="0.35">
      <c r="A74" s="51">
        <v>1981</v>
      </c>
      <c r="B74" s="52">
        <v>2.5</v>
      </c>
      <c r="C74" s="53">
        <v>7.2</v>
      </c>
      <c r="D74" s="54">
        <v>0.95</v>
      </c>
      <c r="E74" s="52">
        <v>1.7</v>
      </c>
      <c r="F74" s="53">
        <v>14.8</v>
      </c>
      <c r="G74" s="55">
        <v>1.2</v>
      </c>
      <c r="H74" s="56">
        <v>1.7</v>
      </c>
      <c r="I74" s="53">
        <v>14.8</v>
      </c>
      <c r="J74" s="57">
        <v>1.2</v>
      </c>
      <c r="K74" s="52">
        <v>1.1000000000000001</v>
      </c>
      <c r="L74" s="53">
        <v>12.5</v>
      </c>
      <c r="M74" s="55">
        <v>0.78</v>
      </c>
      <c r="N74" s="56">
        <v>1.1000000000000001</v>
      </c>
      <c r="O74" s="53">
        <v>12.5</v>
      </c>
      <c r="P74" s="57">
        <v>0.78</v>
      </c>
      <c r="Q74" s="52">
        <v>1.2</v>
      </c>
      <c r="R74" s="53">
        <v>11.9</v>
      </c>
      <c r="S74" s="55">
        <v>0.68</v>
      </c>
      <c r="T74" s="52">
        <v>1.2</v>
      </c>
      <c r="U74" s="53">
        <v>11.9</v>
      </c>
      <c r="V74" s="55">
        <v>0.68</v>
      </c>
      <c r="W74" s="52">
        <v>1.2</v>
      </c>
      <c r="X74" s="53">
        <v>11.9</v>
      </c>
      <c r="Y74" s="55">
        <v>0.68</v>
      </c>
    </row>
    <row r="75" spans="1:25" ht="15.5" x14ac:dyDescent="0.35">
      <c r="A75" s="51">
        <v>1982</v>
      </c>
      <c r="B75" s="52">
        <v>2.5</v>
      </c>
      <c r="C75" s="53">
        <v>7.2</v>
      </c>
      <c r="D75" s="54">
        <v>0.95</v>
      </c>
      <c r="E75" s="52">
        <v>1.7</v>
      </c>
      <c r="F75" s="53">
        <v>14.8</v>
      </c>
      <c r="G75" s="55">
        <v>1.2</v>
      </c>
      <c r="H75" s="56">
        <v>1.7</v>
      </c>
      <c r="I75" s="53">
        <v>14.8</v>
      </c>
      <c r="J75" s="57">
        <v>1.2</v>
      </c>
      <c r="K75" s="52">
        <v>1.1000000000000001</v>
      </c>
      <c r="L75" s="53">
        <v>12.5</v>
      </c>
      <c r="M75" s="55">
        <v>0.78</v>
      </c>
      <c r="N75" s="56">
        <v>1.1000000000000001</v>
      </c>
      <c r="O75" s="53">
        <v>12.5</v>
      </c>
      <c r="P75" s="57">
        <v>0.78</v>
      </c>
      <c r="Q75" s="52">
        <v>1.2</v>
      </c>
      <c r="R75" s="53">
        <v>11.9</v>
      </c>
      <c r="S75" s="55">
        <v>0.68</v>
      </c>
      <c r="T75" s="52">
        <v>1.2</v>
      </c>
      <c r="U75" s="53">
        <v>11.9</v>
      </c>
      <c r="V75" s="55">
        <v>0.68</v>
      </c>
      <c r="W75" s="52">
        <v>1.2</v>
      </c>
      <c r="X75" s="53">
        <v>11.9</v>
      </c>
      <c r="Y75" s="55">
        <v>0.68</v>
      </c>
    </row>
    <row r="76" spans="1:25" ht="15.5" x14ac:dyDescent="0.35">
      <c r="A76" s="51">
        <v>1983</v>
      </c>
      <c r="B76" s="52">
        <v>2.5</v>
      </c>
      <c r="C76" s="53">
        <v>7.2</v>
      </c>
      <c r="D76" s="54">
        <v>0.95</v>
      </c>
      <c r="E76" s="52">
        <v>1.7</v>
      </c>
      <c r="F76" s="53">
        <v>14.8</v>
      </c>
      <c r="G76" s="55">
        <v>1.2</v>
      </c>
      <c r="H76" s="56">
        <v>1.7</v>
      </c>
      <c r="I76" s="53">
        <v>14.8</v>
      </c>
      <c r="J76" s="57">
        <v>1.2</v>
      </c>
      <c r="K76" s="52">
        <v>1.1000000000000001</v>
      </c>
      <c r="L76" s="53">
        <v>12.5</v>
      </c>
      <c r="M76" s="55">
        <v>0.78</v>
      </c>
      <c r="N76" s="56">
        <v>1.1000000000000001</v>
      </c>
      <c r="O76" s="53">
        <v>12.5</v>
      </c>
      <c r="P76" s="57">
        <v>0.78</v>
      </c>
      <c r="Q76" s="52">
        <v>1.2</v>
      </c>
      <c r="R76" s="53">
        <v>11.9</v>
      </c>
      <c r="S76" s="55">
        <v>0.68</v>
      </c>
      <c r="T76" s="52">
        <v>1.2</v>
      </c>
      <c r="U76" s="53">
        <v>11.9</v>
      </c>
      <c r="V76" s="55">
        <v>0.68</v>
      </c>
      <c r="W76" s="52">
        <v>1.2</v>
      </c>
      <c r="X76" s="53">
        <v>11.9</v>
      </c>
      <c r="Y76" s="55">
        <v>0.68</v>
      </c>
    </row>
    <row r="77" spans="1:25" ht="15.5" x14ac:dyDescent="0.35">
      <c r="A77" s="51">
        <v>1984</v>
      </c>
      <c r="B77" s="52">
        <v>2.5</v>
      </c>
      <c r="C77" s="53">
        <v>7.2</v>
      </c>
      <c r="D77" s="54">
        <v>0.95</v>
      </c>
      <c r="E77" s="52">
        <v>1.7</v>
      </c>
      <c r="F77" s="53">
        <v>14.8</v>
      </c>
      <c r="G77" s="55">
        <v>1.2</v>
      </c>
      <c r="H77" s="56">
        <v>1.7</v>
      </c>
      <c r="I77" s="53">
        <v>14.8</v>
      </c>
      <c r="J77" s="57">
        <v>1.2</v>
      </c>
      <c r="K77" s="52">
        <v>1.1000000000000001</v>
      </c>
      <c r="L77" s="53">
        <v>12.5</v>
      </c>
      <c r="M77" s="55">
        <v>0.78</v>
      </c>
      <c r="N77" s="56">
        <v>1.1000000000000001</v>
      </c>
      <c r="O77" s="53">
        <v>12.5</v>
      </c>
      <c r="P77" s="57">
        <v>0.78</v>
      </c>
      <c r="Q77" s="52">
        <v>1.2</v>
      </c>
      <c r="R77" s="53">
        <v>11.9</v>
      </c>
      <c r="S77" s="55">
        <v>0.68</v>
      </c>
      <c r="T77" s="52">
        <v>1.2</v>
      </c>
      <c r="U77" s="53">
        <v>11.9</v>
      </c>
      <c r="V77" s="55">
        <v>0.68</v>
      </c>
      <c r="W77" s="52">
        <v>1.2</v>
      </c>
      <c r="X77" s="53">
        <v>11.9</v>
      </c>
      <c r="Y77" s="55">
        <v>0.68</v>
      </c>
    </row>
    <row r="78" spans="1:25" ht="15.5" x14ac:dyDescent="0.35">
      <c r="A78" s="51">
        <v>1985</v>
      </c>
      <c r="B78" s="52">
        <v>2.5</v>
      </c>
      <c r="C78" s="53">
        <v>7.2</v>
      </c>
      <c r="D78" s="54">
        <v>0.95</v>
      </c>
      <c r="E78" s="52">
        <v>1.7</v>
      </c>
      <c r="F78" s="53">
        <v>14.8</v>
      </c>
      <c r="G78" s="55">
        <v>1.2</v>
      </c>
      <c r="H78" s="56">
        <v>1.7</v>
      </c>
      <c r="I78" s="53">
        <v>14.8</v>
      </c>
      <c r="J78" s="57">
        <v>1.2</v>
      </c>
      <c r="K78" s="52">
        <v>1.1000000000000001</v>
      </c>
      <c r="L78" s="53">
        <v>12.5</v>
      </c>
      <c r="M78" s="55">
        <v>0.78</v>
      </c>
      <c r="N78" s="56">
        <v>1.1000000000000001</v>
      </c>
      <c r="O78" s="53">
        <v>12.5</v>
      </c>
      <c r="P78" s="57">
        <v>0.78</v>
      </c>
      <c r="Q78" s="52">
        <v>1.2</v>
      </c>
      <c r="R78" s="53">
        <v>11.9</v>
      </c>
      <c r="S78" s="55">
        <v>0.68</v>
      </c>
      <c r="T78" s="52">
        <v>1.2</v>
      </c>
      <c r="U78" s="53">
        <v>11.9</v>
      </c>
      <c r="V78" s="55">
        <v>0.68</v>
      </c>
      <c r="W78" s="52">
        <v>1.2</v>
      </c>
      <c r="X78" s="53">
        <v>11.9</v>
      </c>
      <c r="Y78" s="55">
        <v>0.68</v>
      </c>
    </row>
    <row r="79" spans="1:25" ht="15.5" x14ac:dyDescent="0.35">
      <c r="A79" s="51">
        <v>1986</v>
      </c>
      <c r="B79" s="52">
        <v>2.5</v>
      </c>
      <c r="C79" s="53">
        <v>7.2</v>
      </c>
      <c r="D79" s="54">
        <v>0.95</v>
      </c>
      <c r="E79" s="52">
        <v>1.7</v>
      </c>
      <c r="F79" s="53">
        <v>14.8</v>
      </c>
      <c r="G79" s="55">
        <v>1.2</v>
      </c>
      <c r="H79" s="56">
        <v>1.7</v>
      </c>
      <c r="I79" s="53">
        <v>14.8</v>
      </c>
      <c r="J79" s="57">
        <v>1.2</v>
      </c>
      <c r="K79" s="52">
        <v>1.1000000000000001</v>
      </c>
      <c r="L79" s="53">
        <v>12.5</v>
      </c>
      <c r="M79" s="55">
        <v>0.78</v>
      </c>
      <c r="N79" s="56">
        <v>1.1000000000000001</v>
      </c>
      <c r="O79" s="53">
        <v>12.5</v>
      </c>
      <c r="P79" s="57">
        <v>0.78</v>
      </c>
      <c r="Q79" s="52">
        <v>1.2</v>
      </c>
      <c r="R79" s="53">
        <v>11.9</v>
      </c>
      <c r="S79" s="55">
        <v>0.68</v>
      </c>
      <c r="T79" s="52">
        <v>1.2</v>
      </c>
      <c r="U79" s="53">
        <v>11.9</v>
      </c>
      <c r="V79" s="55">
        <v>0.68</v>
      </c>
      <c r="W79" s="52">
        <v>1.2</v>
      </c>
      <c r="X79" s="53">
        <v>11.9</v>
      </c>
      <c r="Y79" s="55">
        <v>0.68</v>
      </c>
    </row>
    <row r="80" spans="1:25" ht="15.5" x14ac:dyDescent="0.35">
      <c r="A80" s="51">
        <v>1987</v>
      </c>
      <c r="B80" s="52">
        <v>2.5</v>
      </c>
      <c r="C80" s="53">
        <v>7.2</v>
      </c>
      <c r="D80" s="54">
        <v>0.95</v>
      </c>
      <c r="E80" s="52">
        <v>1.7</v>
      </c>
      <c r="F80" s="53">
        <v>14.8</v>
      </c>
      <c r="G80" s="55">
        <v>1.2</v>
      </c>
      <c r="H80" s="56">
        <v>1.7</v>
      </c>
      <c r="I80" s="53">
        <v>14.8</v>
      </c>
      <c r="J80" s="57">
        <v>1.2</v>
      </c>
      <c r="K80" s="52">
        <v>1.1000000000000001</v>
      </c>
      <c r="L80" s="53">
        <v>12.5</v>
      </c>
      <c r="M80" s="55">
        <v>0.78</v>
      </c>
      <c r="N80" s="56">
        <v>1.1000000000000001</v>
      </c>
      <c r="O80" s="53">
        <v>12.5</v>
      </c>
      <c r="P80" s="57">
        <v>0.78</v>
      </c>
      <c r="Q80" s="52">
        <v>1.2</v>
      </c>
      <c r="R80" s="53">
        <v>11.9</v>
      </c>
      <c r="S80" s="55">
        <v>0.68</v>
      </c>
      <c r="T80" s="52">
        <v>1.2</v>
      </c>
      <c r="U80" s="53">
        <v>11.9</v>
      </c>
      <c r="V80" s="55">
        <v>0.68</v>
      </c>
      <c r="W80" s="52">
        <v>1.2</v>
      </c>
      <c r="X80" s="53">
        <v>11.9</v>
      </c>
      <c r="Y80" s="55">
        <v>0.68</v>
      </c>
    </row>
    <row r="81" spans="1:25" ht="15.5" x14ac:dyDescent="0.35">
      <c r="A81" s="51">
        <v>1988</v>
      </c>
      <c r="B81" s="52">
        <v>2.5</v>
      </c>
      <c r="C81" s="53">
        <v>7.1</v>
      </c>
      <c r="D81" s="54">
        <v>0.95</v>
      </c>
      <c r="E81" s="52">
        <v>1.1000000000000001</v>
      </c>
      <c r="F81" s="53">
        <v>9.9</v>
      </c>
      <c r="G81" s="55">
        <v>0.98</v>
      </c>
      <c r="H81" s="56">
        <v>1.1000000000000001</v>
      </c>
      <c r="I81" s="53">
        <v>9.9</v>
      </c>
      <c r="J81" s="57">
        <v>0.98</v>
      </c>
      <c r="K81" s="52">
        <v>1</v>
      </c>
      <c r="L81" s="53">
        <v>9.3000000000000007</v>
      </c>
      <c r="M81" s="55">
        <v>0.54</v>
      </c>
      <c r="N81" s="56">
        <v>1</v>
      </c>
      <c r="O81" s="53">
        <v>9.3000000000000007</v>
      </c>
      <c r="P81" s="57">
        <v>0.54</v>
      </c>
      <c r="Q81" s="52">
        <v>0.9</v>
      </c>
      <c r="R81" s="53">
        <v>8.9</v>
      </c>
      <c r="S81" s="55">
        <v>0.49</v>
      </c>
      <c r="T81" s="52">
        <f>1</f>
        <v>1</v>
      </c>
      <c r="U81" s="53">
        <v>8.9</v>
      </c>
      <c r="V81" s="55">
        <v>0.49</v>
      </c>
      <c r="W81" s="52">
        <f>1</f>
        <v>1</v>
      </c>
      <c r="X81" s="53">
        <v>8.9</v>
      </c>
      <c r="Y81" s="55">
        <v>0.49</v>
      </c>
    </row>
    <row r="82" spans="1:25" ht="15.5" x14ac:dyDescent="0.35">
      <c r="A82" s="51">
        <v>1989</v>
      </c>
      <c r="B82" s="52">
        <v>2.5</v>
      </c>
      <c r="C82" s="53">
        <v>7.1</v>
      </c>
      <c r="D82" s="54">
        <v>0.95</v>
      </c>
      <c r="E82" s="52">
        <v>1.1000000000000001</v>
      </c>
      <c r="F82" s="53">
        <v>9.9</v>
      </c>
      <c r="G82" s="55">
        <v>0.98</v>
      </c>
      <c r="H82" s="56">
        <v>1.1000000000000001</v>
      </c>
      <c r="I82" s="53">
        <v>9.9</v>
      </c>
      <c r="J82" s="57">
        <v>0.98</v>
      </c>
      <c r="K82" s="52">
        <v>1</v>
      </c>
      <c r="L82" s="53">
        <v>9.3000000000000007</v>
      </c>
      <c r="M82" s="55">
        <v>0.54</v>
      </c>
      <c r="N82" s="56">
        <v>1</v>
      </c>
      <c r="O82" s="53">
        <v>9.3000000000000007</v>
      </c>
      <c r="P82" s="57">
        <v>0.54</v>
      </c>
      <c r="Q82" s="52">
        <v>0.9</v>
      </c>
      <c r="R82" s="53">
        <v>8.9</v>
      </c>
      <c r="S82" s="55">
        <v>0.49</v>
      </c>
      <c r="T82" s="52">
        <f>1</f>
        <v>1</v>
      </c>
      <c r="U82" s="53">
        <v>8.9</v>
      </c>
      <c r="V82" s="55">
        <v>0.49</v>
      </c>
      <c r="W82" s="52">
        <f>1</f>
        <v>1</v>
      </c>
      <c r="X82" s="53">
        <v>8.9</v>
      </c>
      <c r="Y82" s="55">
        <v>0.49</v>
      </c>
    </row>
    <row r="83" spans="1:25" ht="15.5" x14ac:dyDescent="0.35">
      <c r="A83" s="51">
        <v>1990</v>
      </c>
      <c r="B83" s="52">
        <v>2.5</v>
      </c>
      <c r="C83" s="53">
        <v>7.1</v>
      </c>
      <c r="D83" s="54">
        <v>0.95</v>
      </c>
      <c r="E83" s="52">
        <v>1.1000000000000001</v>
      </c>
      <c r="F83" s="53">
        <v>9.9</v>
      </c>
      <c r="G83" s="55">
        <v>0.98</v>
      </c>
      <c r="H83" s="56">
        <v>1.1000000000000001</v>
      </c>
      <c r="I83" s="53">
        <v>9.9</v>
      </c>
      <c r="J83" s="57">
        <v>0.98</v>
      </c>
      <c r="K83" s="52">
        <v>1</v>
      </c>
      <c r="L83" s="53">
        <v>9.3000000000000007</v>
      </c>
      <c r="M83" s="55">
        <v>0.54</v>
      </c>
      <c r="N83" s="56">
        <v>1</v>
      </c>
      <c r="O83" s="53">
        <v>9.3000000000000007</v>
      </c>
      <c r="P83" s="57">
        <v>0.54</v>
      </c>
      <c r="Q83" s="52">
        <v>0.9</v>
      </c>
      <c r="R83" s="53">
        <v>8.9</v>
      </c>
      <c r="S83" s="55">
        <v>0.49</v>
      </c>
      <c r="T83" s="52">
        <f>1</f>
        <v>1</v>
      </c>
      <c r="U83" s="53">
        <v>8.9</v>
      </c>
      <c r="V83" s="55">
        <v>0.49</v>
      </c>
      <c r="W83" s="52">
        <f>1</f>
        <v>1</v>
      </c>
      <c r="X83" s="53">
        <v>8.9</v>
      </c>
      <c r="Y83" s="55">
        <v>0.49</v>
      </c>
    </row>
    <row r="84" spans="1:25" ht="15.5" x14ac:dyDescent="0.35">
      <c r="A84" s="51">
        <v>1991</v>
      </c>
      <c r="B84" s="52">
        <v>2.5</v>
      </c>
      <c r="C84" s="53">
        <v>7.1</v>
      </c>
      <c r="D84" s="54">
        <v>0.95</v>
      </c>
      <c r="E84" s="52">
        <v>1.1000000000000001</v>
      </c>
      <c r="F84" s="53">
        <v>9.9</v>
      </c>
      <c r="G84" s="55">
        <v>0.98</v>
      </c>
      <c r="H84" s="56">
        <v>1.1000000000000001</v>
      </c>
      <c r="I84" s="53">
        <v>9.9</v>
      </c>
      <c r="J84" s="57">
        <v>0.98</v>
      </c>
      <c r="K84" s="52">
        <v>1</v>
      </c>
      <c r="L84" s="53">
        <v>9.3000000000000007</v>
      </c>
      <c r="M84" s="55">
        <v>0.54</v>
      </c>
      <c r="N84" s="56">
        <v>1</v>
      </c>
      <c r="O84" s="53">
        <v>9.3000000000000007</v>
      </c>
      <c r="P84" s="57">
        <v>0.54</v>
      </c>
      <c r="Q84" s="52">
        <v>0.9</v>
      </c>
      <c r="R84" s="53">
        <v>8.9</v>
      </c>
      <c r="S84" s="55">
        <v>0.49</v>
      </c>
      <c r="T84" s="52">
        <f>1</f>
        <v>1</v>
      </c>
      <c r="U84" s="53">
        <v>8.9</v>
      </c>
      <c r="V84" s="55">
        <v>0.49</v>
      </c>
      <c r="W84" s="52">
        <f>1</f>
        <v>1</v>
      </c>
      <c r="X84" s="53">
        <v>8.9</v>
      </c>
      <c r="Y84" s="55">
        <v>0.49</v>
      </c>
    </row>
    <row r="85" spans="1:25" ht="15.5" x14ac:dyDescent="0.35">
      <c r="A85" s="51">
        <v>1992</v>
      </c>
      <c r="B85" s="52">
        <v>2.5</v>
      </c>
      <c r="C85" s="53">
        <v>7.1</v>
      </c>
      <c r="D85" s="54">
        <v>0.95</v>
      </c>
      <c r="E85" s="52">
        <v>1.1000000000000001</v>
      </c>
      <c r="F85" s="53">
        <v>9.9</v>
      </c>
      <c r="G85" s="55">
        <v>0.98</v>
      </c>
      <c r="H85" s="56">
        <v>1.1000000000000001</v>
      </c>
      <c r="I85" s="53">
        <v>9.9</v>
      </c>
      <c r="J85" s="57">
        <v>0.98</v>
      </c>
      <c r="K85" s="52">
        <v>1</v>
      </c>
      <c r="L85" s="53">
        <v>9.3000000000000007</v>
      </c>
      <c r="M85" s="55">
        <v>0.54</v>
      </c>
      <c r="N85" s="56">
        <v>1</v>
      </c>
      <c r="O85" s="53">
        <v>9.3000000000000007</v>
      </c>
      <c r="P85" s="57">
        <v>0.54</v>
      </c>
      <c r="Q85" s="52">
        <v>0.9</v>
      </c>
      <c r="R85" s="53">
        <v>8.9</v>
      </c>
      <c r="S85" s="55">
        <v>0.49</v>
      </c>
      <c r="T85" s="52">
        <f>1</f>
        <v>1</v>
      </c>
      <c r="U85" s="53">
        <v>8.9</v>
      </c>
      <c r="V85" s="55">
        <v>0.49</v>
      </c>
      <c r="W85" s="52">
        <f>1</f>
        <v>1</v>
      </c>
      <c r="X85" s="53">
        <v>8.9</v>
      </c>
      <c r="Y85" s="55">
        <v>0.49</v>
      </c>
    </row>
    <row r="86" spans="1:25" ht="15.5" x14ac:dyDescent="0.35">
      <c r="A86" s="51">
        <v>1993</v>
      </c>
      <c r="B86" s="52">
        <v>2.5</v>
      </c>
      <c r="C86" s="53">
        <v>7.1</v>
      </c>
      <c r="D86" s="54">
        <v>0.95</v>
      </c>
      <c r="E86" s="52">
        <v>1.1000000000000001</v>
      </c>
      <c r="F86" s="53">
        <v>9.9</v>
      </c>
      <c r="G86" s="55">
        <v>0.98</v>
      </c>
      <c r="H86" s="56">
        <v>1.1000000000000001</v>
      </c>
      <c r="I86" s="53">
        <v>9.9</v>
      </c>
      <c r="J86" s="57">
        <v>0.98</v>
      </c>
      <c r="K86" s="52">
        <v>1</v>
      </c>
      <c r="L86" s="53">
        <v>9.3000000000000007</v>
      </c>
      <c r="M86" s="55">
        <v>0.54</v>
      </c>
      <c r="N86" s="56">
        <v>1</v>
      </c>
      <c r="O86" s="53">
        <v>9.3000000000000007</v>
      </c>
      <c r="P86" s="57">
        <v>0.54</v>
      </c>
      <c r="Q86" s="52">
        <v>0.9</v>
      </c>
      <c r="R86" s="53">
        <v>8.9</v>
      </c>
      <c r="S86" s="55">
        <v>0.49</v>
      </c>
      <c r="T86" s="52">
        <f>1</f>
        <v>1</v>
      </c>
      <c r="U86" s="53">
        <v>8.9</v>
      </c>
      <c r="V86" s="55">
        <v>0.49</v>
      </c>
      <c r="W86" s="52">
        <f>1</f>
        <v>1</v>
      </c>
      <c r="X86" s="53">
        <v>8.9</v>
      </c>
      <c r="Y86" s="55">
        <v>0.49</v>
      </c>
    </row>
    <row r="87" spans="1:25" ht="15.5" x14ac:dyDescent="0.35">
      <c r="A87" s="51">
        <v>1994</v>
      </c>
      <c r="B87" s="52">
        <v>2.5</v>
      </c>
      <c r="C87" s="53">
        <v>7.1</v>
      </c>
      <c r="D87" s="54">
        <v>0.95</v>
      </c>
      <c r="E87" s="52">
        <v>1.1000000000000001</v>
      </c>
      <c r="F87" s="53">
        <v>9.9</v>
      </c>
      <c r="G87" s="55">
        <v>0.98</v>
      </c>
      <c r="H87" s="56">
        <v>1.1000000000000001</v>
      </c>
      <c r="I87" s="53">
        <v>9.9</v>
      </c>
      <c r="J87" s="57">
        <v>0.98</v>
      </c>
      <c r="K87" s="52">
        <v>1</v>
      </c>
      <c r="L87" s="53">
        <v>9.3000000000000007</v>
      </c>
      <c r="M87" s="55">
        <v>0.54</v>
      </c>
      <c r="N87" s="56">
        <v>1</v>
      </c>
      <c r="O87" s="53">
        <v>9.3000000000000007</v>
      </c>
      <c r="P87" s="57">
        <v>0.54</v>
      </c>
      <c r="Q87" s="52">
        <v>0.9</v>
      </c>
      <c r="R87" s="53">
        <v>8.9</v>
      </c>
      <c r="S87" s="55">
        <v>0.49</v>
      </c>
      <c r="T87" s="52">
        <f>1</f>
        <v>1</v>
      </c>
      <c r="U87" s="53">
        <v>8.9</v>
      </c>
      <c r="V87" s="55">
        <v>0.49</v>
      </c>
      <c r="W87" s="52">
        <f>1</f>
        <v>1</v>
      </c>
      <c r="X87" s="53">
        <v>8.9</v>
      </c>
      <c r="Y87" s="55">
        <v>0.49</v>
      </c>
    </row>
    <row r="88" spans="1:25" ht="15.5" x14ac:dyDescent="0.35">
      <c r="A88" s="51">
        <v>1995</v>
      </c>
      <c r="B88" s="52">
        <v>2.5</v>
      </c>
      <c r="C88" s="53">
        <v>7.1</v>
      </c>
      <c r="D88" s="54">
        <v>0.95</v>
      </c>
      <c r="E88" s="52">
        <v>1.1000000000000001</v>
      </c>
      <c r="F88" s="53">
        <v>9.9</v>
      </c>
      <c r="G88" s="55">
        <v>0.98</v>
      </c>
      <c r="H88" s="56">
        <v>1.1000000000000001</v>
      </c>
      <c r="I88" s="53">
        <v>9.9</v>
      </c>
      <c r="J88" s="57">
        <v>0.98</v>
      </c>
      <c r="K88" s="52">
        <v>1</v>
      </c>
      <c r="L88" s="53">
        <v>9.3000000000000007</v>
      </c>
      <c r="M88" s="55">
        <v>0.54</v>
      </c>
      <c r="N88" s="56">
        <v>1</v>
      </c>
      <c r="O88" s="53">
        <v>9.3000000000000007</v>
      </c>
      <c r="P88" s="57">
        <v>0.54</v>
      </c>
      <c r="Q88" s="52">
        <v>0.9</v>
      </c>
      <c r="R88" s="53">
        <v>8.9</v>
      </c>
      <c r="S88" s="55">
        <v>0.49</v>
      </c>
      <c r="T88" s="52">
        <f>1</f>
        <v>1</v>
      </c>
      <c r="U88" s="53">
        <v>8.9</v>
      </c>
      <c r="V88" s="55">
        <v>0.49</v>
      </c>
      <c r="W88" s="52">
        <f>1</f>
        <v>1</v>
      </c>
      <c r="X88" s="53">
        <v>8.9</v>
      </c>
      <c r="Y88" s="55">
        <v>0.49</v>
      </c>
    </row>
    <row r="89" spans="1:25" ht="15.5" x14ac:dyDescent="0.35">
      <c r="A89" s="51">
        <v>1996</v>
      </c>
      <c r="B89" s="52">
        <v>2.5</v>
      </c>
      <c r="C89" s="53">
        <v>7.1</v>
      </c>
      <c r="D89" s="54">
        <v>0.95</v>
      </c>
      <c r="E89" s="52">
        <v>1.1000000000000001</v>
      </c>
      <c r="F89" s="53">
        <v>9.9</v>
      </c>
      <c r="G89" s="55">
        <v>0.98</v>
      </c>
      <c r="H89" s="56">
        <v>1.1000000000000001</v>
      </c>
      <c r="I89" s="53">
        <v>9.9</v>
      </c>
      <c r="J89" s="57">
        <v>0.98</v>
      </c>
      <c r="K89" s="52">
        <v>1</v>
      </c>
      <c r="L89" s="53">
        <v>9.3000000000000007</v>
      </c>
      <c r="M89" s="55">
        <v>0.54</v>
      </c>
      <c r="N89" s="56">
        <v>1</v>
      </c>
      <c r="O89" s="53">
        <v>6.9</v>
      </c>
      <c r="P89" s="59">
        <v>0.4</v>
      </c>
      <c r="Q89" s="52">
        <v>0.9</v>
      </c>
      <c r="R89" s="53">
        <v>6.9</v>
      </c>
      <c r="S89" s="60">
        <v>0.4</v>
      </c>
      <c r="T89" s="52">
        <v>1</v>
      </c>
      <c r="U89" s="53">
        <v>6.9</v>
      </c>
      <c r="V89" s="60">
        <v>0.4</v>
      </c>
      <c r="W89" s="52">
        <f>1</f>
        <v>1</v>
      </c>
      <c r="X89" s="53">
        <v>8.9</v>
      </c>
      <c r="Y89" s="55">
        <v>0.5</v>
      </c>
    </row>
    <row r="90" spans="1:25" ht="15.5" x14ac:dyDescent="0.35">
      <c r="A90" s="51">
        <v>1997</v>
      </c>
      <c r="B90" s="52">
        <v>2.5</v>
      </c>
      <c r="C90" s="53">
        <v>7.1</v>
      </c>
      <c r="D90" s="54">
        <v>0.95</v>
      </c>
      <c r="E90" s="52">
        <v>1.1000000000000001</v>
      </c>
      <c r="F90" s="53">
        <v>9.9</v>
      </c>
      <c r="G90" s="55">
        <v>0.98</v>
      </c>
      <c r="H90" s="56">
        <v>1.1000000000000001</v>
      </c>
      <c r="I90" s="53">
        <v>9.9</v>
      </c>
      <c r="J90" s="57">
        <v>0.98</v>
      </c>
      <c r="K90" s="52">
        <v>0.8</v>
      </c>
      <c r="L90" s="53">
        <v>6.9</v>
      </c>
      <c r="M90" s="55">
        <v>0.6</v>
      </c>
      <c r="N90" s="56">
        <v>1</v>
      </c>
      <c r="O90" s="53">
        <v>6.9</v>
      </c>
      <c r="P90" s="59">
        <v>0.4</v>
      </c>
      <c r="Q90" s="52">
        <v>0.9</v>
      </c>
      <c r="R90" s="53">
        <v>6.9</v>
      </c>
      <c r="S90" s="60">
        <v>0.4</v>
      </c>
      <c r="T90" s="52">
        <v>1</v>
      </c>
      <c r="U90" s="53">
        <v>6.9</v>
      </c>
      <c r="V90" s="60">
        <v>0.4</v>
      </c>
      <c r="W90" s="52">
        <f>1</f>
        <v>1</v>
      </c>
      <c r="X90" s="53">
        <v>8.9</v>
      </c>
      <c r="Y90" s="55">
        <v>0.5</v>
      </c>
    </row>
    <row r="91" spans="1:25" ht="15.5" x14ac:dyDescent="0.35">
      <c r="A91" s="51">
        <v>1998</v>
      </c>
      <c r="B91" s="52">
        <v>2.5</v>
      </c>
      <c r="C91" s="53">
        <v>7.1</v>
      </c>
      <c r="D91" s="54">
        <v>0.95</v>
      </c>
      <c r="E91" s="52">
        <v>1.1000000000000001</v>
      </c>
      <c r="F91" s="53">
        <v>6.9</v>
      </c>
      <c r="G91" s="55">
        <v>1.0900000000000001</v>
      </c>
      <c r="H91" s="56">
        <v>1.1000000000000001</v>
      </c>
      <c r="I91" s="53">
        <v>6.9</v>
      </c>
      <c r="J91" s="57">
        <v>1.0900000000000001</v>
      </c>
      <c r="K91" s="52">
        <v>0.8</v>
      </c>
      <c r="L91" s="53">
        <v>6.9</v>
      </c>
      <c r="M91" s="55">
        <v>0.6</v>
      </c>
      <c r="N91" s="56">
        <v>1</v>
      </c>
      <c r="O91" s="53">
        <v>6.9</v>
      </c>
      <c r="P91" s="59">
        <v>0.4</v>
      </c>
      <c r="Q91" s="52">
        <v>0.9</v>
      </c>
      <c r="R91" s="53">
        <v>6.9</v>
      </c>
      <c r="S91" s="60">
        <v>0.4</v>
      </c>
      <c r="T91" s="52">
        <v>1</v>
      </c>
      <c r="U91" s="53">
        <v>6.9</v>
      </c>
      <c r="V91" s="60">
        <v>0.4</v>
      </c>
      <c r="W91" s="52">
        <f>1</f>
        <v>1</v>
      </c>
      <c r="X91" s="53">
        <v>8.9</v>
      </c>
      <c r="Y91" s="55">
        <v>0.5</v>
      </c>
    </row>
    <row r="92" spans="1:25" ht="15.5" x14ac:dyDescent="0.35">
      <c r="A92" s="51">
        <v>1999</v>
      </c>
      <c r="B92" s="52">
        <v>2</v>
      </c>
      <c r="C92" s="53">
        <v>6.2</v>
      </c>
      <c r="D92" s="60">
        <v>0.6</v>
      </c>
      <c r="E92" s="52">
        <v>1.1000000000000001</v>
      </c>
      <c r="F92" s="53">
        <v>6.9</v>
      </c>
      <c r="G92" s="55">
        <v>1.0900000000000001</v>
      </c>
      <c r="H92" s="56">
        <v>1.1000000000000001</v>
      </c>
      <c r="I92" s="53">
        <v>6.9</v>
      </c>
      <c r="J92" s="57">
        <v>1.0900000000000001</v>
      </c>
      <c r="K92" s="52">
        <v>0.8</v>
      </c>
      <c r="L92" s="53">
        <v>6.9</v>
      </c>
      <c r="M92" s="55">
        <v>0.6</v>
      </c>
      <c r="N92" s="56">
        <v>1</v>
      </c>
      <c r="O92" s="53">
        <v>6.9</v>
      </c>
      <c r="P92" s="59">
        <v>0.4</v>
      </c>
      <c r="Q92" s="52">
        <v>0.9</v>
      </c>
      <c r="R92" s="53">
        <v>6.9</v>
      </c>
      <c r="S92" s="60">
        <v>0.4</v>
      </c>
      <c r="T92" s="52">
        <v>1</v>
      </c>
      <c r="U92" s="53">
        <v>6.9</v>
      </c>
      <c r="V92" s="60">
        <v>0.4</v>
      </c>
      <c r="W92" s="52">
        <f>1</f>
        <v>1</v>
      </c>
      <c r="X92" s="53">
        <v>8.9</v>
      </c>
      <c r="Y92" s="55">
        <v>0.5</v>
      </c>
    </row>
    <row r="93" spans="1:25" ht="15.5" x14ac:dyDescent="0.35">
      <c r="A93" s="51">
        <v>2000</v>
      </c>
      <c r="B93" s="61">
        <f>7.1-C93</f>
        <v>0.89999999999999947</v>
      </c>
      <c r="C93" s="53">
        <v>6.2</v>
      </c>
      <c r="D93" s="60">
        <v>0.6</v>
      </c>
      <c r="E93" s="52">
        <v>1.1000000000000001</v>
      </c>
      <c r="F93" s="53">
        <v>6.9</v>
      </c>
      <c r="G93" s="55">
        <v>1.0900000000000001</v>
      </c>
      <c r="H93" s="56">
        <v>1.1000000000000001</v>
      </c>
      <c r="I93" s="53">
        <v>6.9</v>
      </c>
      <c r="J93" s="57">
        <v>1.0900000000000001</v>
      </c>
      <c r="K93" s="52">
        <v>0.8</v>
      </c>
      <c r="L93" s="53">
        <v>6.9</v>
      </c>
      <c r="M93" s="55">
        <v>0.6</v>
      </c>
      <c r="N93" s="56">
        <v>1</v>
      </c>
      <c r="O93" s="53">
        <v>6.9</v>
      </c>
      <c r="P93" s="59">
        <v>0.4</v>
      </c>
      <c r="Q93" s="52">
        <v>0.9</v>
      </c>
      <c r="R93" s="53">
        <v>6.9</v>
      </c>
      <c r="S93" s="60">
        <v>0.4</v>
      </c>
      <c r="T93" s="52">
        <v>1</v>
      </c>
      <c r="U93" s="53">
        <v>6.9</v>
      </c>
      <c r="V93" s="60">
        <v>0.4</v>
      </c>
      <c r="W93" s="52">
        <v>1</v>
      </c>
      <c r="X93" s="53">
        <v>6.9</v>
      </c>
      <c r="Y93" s="60">
        <v>0.4</v>
      </c>
    </row>
    <row r="94" spans="1:25" ht="15.5" x14ac:dyDescent="0.35">
      <c r="A94" s="51">
        <v>2001</v>
      </c>
      <c r="B94" s="61">
        <f>7.1-C94</f>
        <v>0.89999999999999947</v>
      </c>
      <c r="C94" s="53">
        <v>6.2</v>
      </c>
      <c r="D94" s="60">
        <v>0.6</v>
      </c>
      <c r="E94" s="52">
        <v>1.1000000000000001</v>
      </c>
      <c r="F94" s="53">
        <v>6.9</v>
      </c>
      <c r="G94" s="55">
        <v>1.0900000000000001</v>
      </c>
      <c r="H94" s="56">
        <v>1.1000000000000001</v>
      </c>
      <c r="I94" s="53">
        <v>6.9</v>
      </c>
      <c r="J94" s="57">
        <v>1.0900000000000001</v>
      </c>
      <c r="K94" s="52">
        <v>0.8</v>
      </c>
      <c r="L94" s="53">
        <v>6.9</v>
      </c>
      <c r="M94" s="55">
        <v>0.6</v>
      </c>
      <c r="N94" s="56">
        <v>1</v>
      </c>
      <c r="O94" s="53">
        <v>6.9</v>
      </c>
      <c r="P94" s="59">
        <v>0.4</v>
      </c>
      <c r="Q94" s="61">
        <f>4.8-R94</f>
        <v>0.59999999999999964</v>
      </c>
      <c r="R94" s="53">
        <v>4.2</v>
      </c>
      <c r="S94" s="54">
        <v>0.15</v>
      </c>
      <c r="T94" s="52">
        <v>1</v>
      </c>
      <c r="U94" s="53">
        <v>6.9</v>
      </c>
      <c r="V94" s="60">
        <v>0.4</v>
      </c>
      <c r="W94" s="52">
        <v>1</v>
      </c>
      <c r="X94" s="53">
        <v>6.9</v>
      </c>
      <c r="Y94" s="60">
        <v>0.4</v>
      </c>
    </row>
    <row r="95" spans="1:25" ht="15.5" x14ac:dyDescent="0.35">
      <c r="A95" s="51">
        <v>2002</v>
      </c>
      <c r="B95" s="61">
        <f>7.1-C95</f>
        <v>0.89999999999999947</v>
      </c>
      <c r="C95" s="53">
        <v>6.2</v>
      </c>
      <c r="D95" s="60">
        <v>0.6</v>
      </c>
      <c r="E95" s="52">
        <v>1.1000000000000001</v>
      </c>
      <c r="F95" s="53">
        <v>6.9</v>
      </c>
      <c r="G95" s="55">
        <v>1.0900000000000001</v>
      </c>
      <c r="H95" s="56">
        <v>1.1000000000000001</v>
      </c>
      <c r="I95" s="53">
        <v>6.9</v>
      </c>
      <c r="J95" s="57">
        <v>1.0900000000000001</v>
      </c>
      <c r="K95" s="52">
        <v>0.8</v>
      </c>
      <c r="L95" s="53">
        <v>6.9</v>
      </c>
      <c r="M95" s="55">
        <v>0.6</v>
      </c>
      <c r="N95" s="56">
        <v>1</v>
      </c>
      <c r="O95" s="53">
        <v>6.9</v>
      </c>
      <c r="P95" s="59">
        <v>0.4</v>
      </c>
      <c r="Q95" s="61">
        <f>4.8-R95</f>
        <v>0.59999999999999964</v>
      </c>
      <c r="R95" s="53">
        <v>4.2</v>
      </c>
      <c r="S95" s="54">
        <v>0.15</v>
      </c>
      <c r="T95" s="61">
        <f>4.8-U95</f>
        <v>0.59999999999999964</v>
      </c>
      <c r="U95" s="53">
        <v>4.2</v>
      </c>
      <c r="V95" s="54">
        <v>0.15</v>
      </c>
      <c r="W95" s="52">
        <v>1</v>
      </c>
      <c r="X95" s="53">
        <v>6.9</v>
      </c>
      <c r="Y95" s="60">
        <v>0.4</v>
      </c>
    </row>
    <row r="96" spans="1:25" ht="15.5" x14ac:dyDescent="0.35">
      <c r="A96" s="51">
        <v>2003</v>
      </c>
      <c r="B96" s="61">
        <f>7.1-C96</f>
        <v>0.89999999999999947</v>
      </c>
      <c r="C96" s="53">
        <v>6.2</v>
      </c>
      <c r="D96" s="60">
        <v>0.6</v>
      </c>
      <c r="E96" s="52">
        <v>1.1000000000000001</v>
      </c>
      <c r="F96" s="53">
        <v>6.9</v>
      </c>
      <c r="G96" s="55">
        <v>1.0900000000000001</v>
      </c>
      <c r="H96" s="56">
        <v>1.1000000000000001</v>
      </c>
      <c r="I96" s="53">
        <v>6.9</v>
      </c>
      <c r="J96" s="57">
        <v>1.0900000000000001</v>
      </c>
      <c r="K96" s="61">
        <f>4.9-L96</f>
        <v>0.60000000000000053</v>
      </c>
      <c r="L96" s="53">
        <v>4.3</v>
      </c>
      <c r="M96" s="54">
        <v>0.22</v>
      </c>
      <c r="N96" s="62">
        <f>4.9-O96</f>
        <v>0.60000000000000053</v>
      </c>
      <c r="O96" s="53">
        <v>4.3</v>
      </c>
      <c r="P96" s="63">
        <v>0.15</v>
      </c>
      <c r="Q96" s="61">
        <f>4.8-R96</f>
        <v>0.59999999999999964</v>
      </c>
      <c r="R96" s="53">
        <v>4.2</v>
      </c>
      <c r="S96" s="54">
        <v>0.15</v>
      </c>
      <c r="T96" s="61">
        <f>4.8-U96</f>
        <v>0.59999999999999964</v>
      </c>
      <c r="U96" s="53">
        <v>4.2</v>
      </c>
      <c r="V96" s="54">
        <v>0.15</v>
      </c>
      <c r="W96" s="52">
        <v>1</v>
      </c>
      <c r="X96" s="53">
        <v>6.9</v>
      </c>
      <c r="Y96" s="60">
        <v>0.4</v>
      </c>
    </row>
    <row r="97" spans="1:25" ht="15.5" x14ac:dyDescent="0.35">
      <c r="A97" s="51">
        <v>2004</v>
      </c>
      <c r="B97" s="52">
        <f t="shared" ref="B97:B105" si="2">5.6-C97</f>
        <v>0.69999999999999929</v>
      </c>
      <c r="C97" s="53">
        <v>4.9000000000000004</v>
      </c>
      <c r="D97" s="54">
        <v>0.45</v>
      </c>
      <c r="E97" s="52">
        <f>5.6-F97</f>
        <v>0.69999999999999929</v>
      </c>
      <c r="F97" s="53">
        <v>4.9000000000000004</v>
      </c>
      <c r="G97" s="60">
        <v>0.3</v>
      </c>
      <c r="H97" s="56">
        <f>5.6-I97</f>
        <v>0.69999999999999929</v>
      </c>
      <c r="I97" s="53">
        <v>4.9000000000000004</v>
      </c>
      <c r="J97" s="59">
        <v>0.3</v>
      </c>
      <c r="K97" s="61">
        <f>4.9-L97</f>
        <v>0.60000000000000053</v>
      </c>
      <c r="L97" s="53">
        <v>4.3</v>
      </c>
      <c r="M97" s="54">
        <v>0.22</v>
      </c>
      <c r="N97" s="62">
        <f>4.9-O97</f>
        <v>0.60000000000000053</v>
      </c>
      <c r="O97" s="53">
        <v>4.3</v>
      </c>
      <c r="P97" s="63">
        <v>0.15</v>
      </c>
      <c r="Q97" s="61">
        <f>4.8-R97</f>
        <v>0.59999999999999964</v>
      </c>
      <c r="R97" s="53">
        <v>4.2</v>
      </c>
      <c r="S97" s="54">
        <v>0.15</v>
      </c>
      <c r="T97" s="61">
        <f>4.8-U97</f>
        <v>0.59999999999999964</v>
      </c>
      <c r="U97" s="53">
        <v>4.2</v>
      </c>
      <c r="V97" s="54">
        <v>0.15</v>
      </c>
      <c r="W97" s="52">
        <v>1</v>
      </c>
      <c r="X97" s="53">
        <v>6.9</v>
      </c>
      <c r="Y97" s="60">
        <v>0.4</v>
      </c>
    </row>
    <row r="98" spans="1:25" ht="15.5" x14ac:dyDescent="0.35">
      <c r="A98" s="51">
        <v>2005</v>
      </c>
      <c r="B98" s="52">
        <f t="shared" si="2"/>
        <v>0.69999999999999929</v>
      </c>
      <c r="C98" s="53">
        <v>4.9000000000000004</v>
      </c>
      <c r="D98" s="54">
        <v>0.45</v>
      </c>
      <c r="E98" s="52">
        <f>5.6-F98</f>
        <v>0.69999999999999929</v>
      </c>
      <c r="F98" s="53">
        <v>4.9000000000000004</v>
      </c>
      <c r="G98" s="60">
        <v>0.3</v>
      </c>
      <c r="H98" s="56">
        <f>5.6-I98</f>
        <v>0.69999999999999929</v>
      </c>
      <c r="I98" s="53">
        <v>4.9000000000000004</v>
      </c>
      <c r="J98" s="59">
        <v>0.3</v>
      </c>
      <c r="K98" s="61">
        <f>4.9-L98</f>
        <v>0.60000000000000053</v>
      </c>
      <c r="L98" s="53">
        <v>4.3</v>
      </c>
      <c r="M98" s="54">
        <v>0.22</v>
      </c>
      <c r="N98" s="62">
        <f>4.9-O98</f>
        <v>0.60000000000000053</v>
      </c>
      <c r="O98" s="53">
        <v>4.3</v>
      </c>
      <c r="P98" s="63">
        <v>0.15</v>
      </c>
      <c r="Q98" s="61">
        <f>4.8-R98</f>
        <v>0.59999999999999964</v>
      </c>
      <c r="R98" s="53">
        <v>4.2</v>
      </c>
      <c r="S98" s="54">
        <v>0.15</v>
      </c>
      <c r="T98" s="61">
        <f>4.8-U98</f>
        <v>0.59999999999999964</v>
      </c>
      <c r="U98" s="53">
        <v>4.2</v>
      </c>
      <c r="V98" s="54">
        <v>0.15</v>
      </c>
      <c r="W98" s="52">
        <v>1</v>
      </c>
      <c r="X98" s="53">
        <v>6.9</v>
      </c>
      <c r="Y98" s="60">
        <v>0.4</v>
      </c>
    </row>
    <row r="99" spans="1:25" ht="15.5" x14ac:dyDescent="0.35">
      <c r="A99" s="51">
        <v>2006</v>
      </c>
      <c r="B99" s="52">
        <f t="shared" si="2"/>
        <v>0.69999999999999929</v>
      </c>
      <c r="C99" s="53">
        <v>4.9000000000000004</v>
      </c>
      <c r="D99" s="54">
        <v>0.45</v>
      </c>
      <c r="E99" s="52">
        <f>5.6-F99</f>
        <v>0.69999999999999929</v>
      </c>
      <c r="F99" s="53">
        <v>4.9000000000000004</v>
      </c>
      <c r="G99" s="60">
        <v>0.3</v>
      </c>
      <c r="H99" s="56">
        <f>5.6-I99</f>
        <v>0.69999999999999929</v>
      </c>
      <c r="I99" s="53">
        <v>4.9000000000000004</v>
      </c>
      <c r="J99" s="59">
        <v>0.3</v>
      </c>
      <c r="K99" s="61">
        <f>4.9-L99</f>
        <v>0.60000000000000053</v>
      </c>
      <c r="L99" s="53">
        <v>4.3</v>
      </c>
      <c r="M99" s="54">
        <v>0.22</v>
      </c>
      <c r="N99" s="62">
        <f>3-O99</f>
        <v>0.39999999999999991</v>
      </c>
      <c r="O99" s="53">
        <v>2.6</v>
      </c>
      <c r="P99" s="63">
        <v>0.15</v>
      </c>
      <c r="Q99" s="61">
        <f>3-R99</f>
        <v>0.39999999999999991</v>
      </c>
      <c r="R99" s="53">
        <v>2.6</v>
      </c>
      <c r="S99" s="54">
        <v>0.15</v>
      </c>
      <c r="T99" s="61">
        <f>3-U99</f>
        <v>0.39999999999999991</v>
      </c>
      <c r="U99" s="53">
        <v>2.6</v>
      </c>
      <c r="V99" s="54">
        <v>0.15</v>
      </c>
      <c r="W99" s="61">
        <f>4.8-X99</f>
        <v>0.59999999999999964</v>
      </c>
      <c r="X99" s="53">
        <v>4.2</v>
      </c>
      <c r="Y99" s="54">
        <v>0.15</v>
      </c>
    </row>
    <row r="100" spans="1:25" ht="15.5" x14ac:dyDescent="0.35">
      <c r="A100" s="51">
        <v>2007</v>
      </c>
      <c r="B100" s="52">
        <f t="shared" si="2"/>
        <v>0.69999999999999929</v>
      </c>
      <c r="C100" s="53">
        <v>4.9000000000000004</v>
      </c>
      <c r="D100" s="54">
        <v>0.45</v>
      </c>
      <c r="E100" s="52">
        <f>5.6-F100</f>
        <v>0.69999999999999929</v>
      </c>
      <c r="F100" s="53">
        <v>4.9000000000000004</v>
      </c>
      <c r="G100" s="60">
        <v>0.3</v>
      </c>
      <c r="H100" s="56">
        <f>5.6-I100</f>
        <v>0.69999999999999929</v>
      </c>
      <c r="I100" s="53">
        <v>4.9000000000000004</v>
      </c>
      <c r="J100" s="59">
        <v>0.3</v>
      </c>
      <c r="K100" s="61">
        <f>3-L100</f>
        <v>0.39999999999999991</v>
      </c>
      <c r="L100" s="53">
        <v>2.6</v>
      </c>
      <c r="M100" s="54">
        <v>0.22</v>
      </c>
      <c r="N100" s="62">
        <f>3-O100</f>
        <v>0.39999999999999991</v>
      </c>
      <c r="O100" s="53">
        <v>2.6</v>
      </c>
      <c r="P100" s="63">
        <v>0.15</v>
      </c>
      <c r="Q100" s="61">
        <f>3-R100</f>
        <v>0.39999999999999991</v>
      </c>
      <c r="R100" s="53">
        <v>2.6</v>
      </c>
      <c r="S100" s="54">
        <v>0.15</v>
      </c>
      <c r="T100" s="61">
        <f>3-U100</f>
        <v>0.39999999999999991</v>
      </c>
      <c r="U100" s="53">
        <v>2.6</v>
      </c>
      <c r="V100" s="54">
        <v>0.15</v>
      </c>
      <c r="W100" s="61">
        <f>4.8-X100</f>
        <v>0.59999999999999964</v>
      </c>
      <c r="X100" s="53">
        <v>4.2</v>
      </c>
      <c r="Y100" s="54">
        <v>0.15</v>
      </c>
    </row>
    <row r="101" spans="1:25" ht="15.5" x14ac:dyDescent="0.35">
      <c r="A101" s="51">
        <v>2008</v>
      </c>
      <c r="B101" s="52">
        <f t="shared" si="2"/>
        <v>0.69999999999999929</v>
      </c>
      <c r="C101" s="53">
        <v>4.9000000000000004</v>
      </c>
      <c r="D101" s="54">
        <v>0.22</v>
      </c>
      <c r="E101" s="52">
        <f t="shared" ref="E101:E107" si="3">3.5-F101</f>
        <v>0.5</v>
      </c>
      <c r="F101" s="58">
        <v>3</v>
      </c>
      <c r="G101" s="54">
        <v>0.22</v>
      </c>
      <c r="H101" s="56">
        <f>3.5-I101</f>
        <v>0.5</v>
      </c>
      <c r="I101" s="58">
        <v>3</v>
      </c>
      <c r="J101" s="59">
        <v>0.3</v>
      </c>
      <c r="K101" s="61">
        <f>3-L101</f>
        <v>0.39999999999999991</v>
      </c>
      <c r="L101" s="53">
        <v>2.6</v>
      </c>
      <c r="M101" s="54">
        <v>0.22</v>
      </c>
      <c r="N101" s="62">
        <f>3-O101</f>
        <v>0.39999999999999991</v>
      </c>
      <c r="O101" s="53">
        <v>2.6</v>
      </c>
      <c r="P101" s="63">
        <v>0.15</v>
      </c>
      <c r="Q101" s="61">
        <f>3-R101</f>
        <v>0.39999999999999991</v>
      </c>
      <c r="R101" s="53">
        <v>2.6</v>
      </c>
      <c r="S101" s="54">
        <v>0.15</v>
      </c>
      <c r="T101" s="61">
        <f>3-U101</f>
        <v>0.39999999999999991</v>
      </c>
      <c r="U101" s="53">
        <v>2.6</v>
      </c>
      <c r="V101" s="54">
        <v>0.15</v>
      </c>
      <c r="W101" s="61">
        <f>4.8-X101</f>
        <v>0.59999999999999964</v>
      </c>
      <c r="X101" s="53">
        <v>4.2</v>
      </c>
      <c r="Y101" s="54">
        <v>0.15</v>
      </c>
    </row>
    <row r="102" spans="1:25" ht="15.5" x14ac:dyDescent="0.35">
      <c r="A102" s="51">
        <v>2009</v>
      </c>
      <c r="B102" s="52">
        <f t="shared" si="2"/>
        <v>0.69999999999999929</v>
      </c>
      <c r="C102" s="53">
        <v>4.9000000000000004</v>
      </c>
      <c r="D102" s="54">
        <v>0.22</v>
      </c>
      <c r="E102" s="52">
        <f t="shared" si="3"/>
        <v>0.5</v>
      </c>
      <c r="F102" s="58">
        <v>3</v>
      </c>
      <c r="G102" s="54">
        <v>0.22</v>
      </c>
      <c r="H102" s="56">
        <f>3.5-I102</f>
        <v>0.5</v>
      </c>
      <c r="I102" s="58">
        <v>3</v>
      </c>
      <c r="J102" s="59">
        <v>0.3</v>
      </c>
      <c r="K102" s="61">
        <f>3-L102</f>
        <v>0.39999999999999991</v>
      </c>
      <c r="L102" s="53">
        <v>2.6</v>
      </c>
      <c r="M102" s="54">
        <v>0.22</v>
      </c>
      <c r="N102" s="62">
        <f>3-O102</f>
        <v>0.39999999999999991</v>
      </c>
      <c r="O102" s="53">
        <v>2.6</v>
      </c>
      <c r="P102" s="63">
        <v>0.15</v>
      </c>
      <c r="Q102" s="61">
        <f>3-R102</f>
        <v>0.39999999999999991</v>
      </c>
      <c r="R102" s="53">
        <v>2.6</v>
      </c>
      <c r="S102" s="54">
        <v>0.15</v>
      </c>
      <c r="T102" s="61">
        <f>3-U102</f>
        <v>0.39999999999999991</v>
      </c>
      <c r="U102" s="53">
        <v>2.6</v>
      </c>
      <c r="V102" s="54">
        <v>0.15</v>
      </c>
      <c r="W102" s="61">
        <f>4.8-X102</f>
        <v>0.59999999999999964</v>
      </c>
      <c r="X102" s="53">
        <v>4.2</v>
      </c>
      <c r="Y102" s="54">
        <v>0.15</v>
      </c>
    </row>
    <row r="103" spans="1:25" ht="15.5" x14ac:dyDescent="0.35">
      <c r="A103" s="51">
        <v>2010</v>
      </c>
      <c r="B103" s="52">
        <f t="shared" si="2"/>
        <v>0.69999999999999929</v>
      </c>
      <c r="C103" s="53">
        <v>4.9000000000000004</v>
      </c>
      <c r="D103" s="54">
        <v>0.22</v>
      </c>
      <c r="E103" s="52">
        <f t="shared" si="3"/>
        <v>0.5</v>
      </c>
      <c r="F103" s="58">
        <v>3</v>
      </c>
      <c r="G103" s="54">
        <v>0.22</v>
      </c>
      <c r="H103" s="56">
        <f>3.5-I103</f>
        <v>0.5</v>
      </c>
      <c r="I103" s="58">
        <v>3</v>
      </c>
      <c r="J103" s="59">
        <v>0.3</v>
      </c>
      <c r="K103" s="61">
        <f>3-L103</f>
        <v>0.39999999999999991</v>
      </c>
      <c r="L103" s="53">
        <v>2.6</v>
      </c>
      <c r="M103" s="54">
        <v>0.22</v>
      </c>
      <c r="N103" s="62">
        <f>3-O103</f>
        <v>0.39999999999999991</v>
      </c>
      <c r="O103" s="53">
        <v>2.6</v>
      </c>
      <c r="P103" s="63">
        <v>0.15</v>
      </c>
      <c r="Q103" s="61">
        <f>3-R103</f>
        <v>0.39999999999999991</v>
      </c>
      <c r="R103" s="53">
        <v>2.6</v>
      </c>
      <c r="S103" s="54">
        <v>0.15</v>
      </c>
      <c r="T103" s="61">
        <f>3-U103</f>
        <v>0.39999999999999991</v>
      </c>
      <c r="U103" s="53">
        <v>2.6</v>
      </c>
      <c r="V103" s="54">
        <v>0.15</v>
      </c>
      <c r="W103" s="61">
        <f>4.8-X103</f>
        <v>0.59999999999999964</v>
      </c>
      <c r="X103" s="53">
        <v>4.2</v>
      </c>
      <c r="Y103" s="54">
        <v>0.15</v>
      </c>
    </row>
    <row r="104" spans="1:25" ht="15.5" x14ac:dyDescent="0.35">
      <c r="A104" s="51">
        <v>2011</v>
      </c>
      <c r="B104" s="52">
        <f t="shared" si="2"/>
        <v>0.69999999999999929</v>
      </c>
      <c r="C104" s="53">
        <v>4.9000000000000004</v>
      </c>
      <c r="D104" s="54">
        <v>0.22</v>
      </c>
      <c r="E104" s="52">
        <f t="shared" si="3"/>
        <v>0.5</v>
      </c>
      <c r="F104" s="58">
        <v>3</v>
      </c>
      <c r="G104" s="54">
        <v>0.22</v>
      </c>
      <c r="H104" s="56">
        <f>3.5-I104</f>
        <v>0.5</v>
      </c>
      <c r="I104" s="58">
        <v>3</v>
      </c>
      <c r="J104" s="59">
        <v>0.3</v>
      </c>
      <c r="K104" s="61">
        <f>3-L104</f>
        <v>0.39999999999999991</v>
      </c>
      <c r="L104" s="53">
        <v>2.6</v>
      </c>
      <c r="M104" s="54">
        <v>0.22</v>
      </c>
      <c r="N104" s="62">
        <v>0.14000000000000001</v>
      </c>
      <c r="O104" s="53">
        <v>1.5</v>
      </c>
      <c r="P104" s="63">
        <v>1.4999999999999999E-2</v>
      </c>
      <c r="Q104" s="61">
        <v>0.14000000000000001</v>
      </c>
      <c r="R104" s="53">
        <v>1.5</v>
      </c>
      <c r="S104" s="54">
        <v>1.4999999999999999E-2</v>
      </c>
      <c r="T104" s="61">
        <v>0.14000000000000001</v>
      </c>
      <c r="U104" s="53">
        <v>1.5</v>
      </c>
      <c r="V104" s="54">
        <v>1.4999999999999999E-2</v>
      </c>
      <c r="W104" s="61">
        <v>0.3</v>
      </c>
      <c r="X104" s="53">
        <v>2.6</v>
      </c>
      <c r="Y104" s="54">
        <v>7.0000000000000007E-2</v>
      </c>
    </row>
    <row r="105" spans="1:25" ht="15.5" x14ac:dyDescent="0.35">
      <c r="A105" s="51">
        <v>2012</v>
      </c>
      <c r="B105" s="52">
        <f t="shared" si="2"/>
        <v>0.69999999999999929</v>
      </c>
      <c r="C105" s="53">
        <v>4.9000000000000004</v>
      </c>
      <c r="D105" s="54">
        <v>0.22</v>
      </c>
      <c r="E105" s="52">
        <f t="shared" si="3"/>
        <v>0.5</v>
      </c>
      <c r="F105" s="58">
        <v>3</v>
      </c>
      <c r="G105" s="54">
        <v>0.22</v>
      </c>
      <c r="H105" s="62">
        <v>0.14000000000000001</v>
      </c>
      <c r="I105" s="53">
        <v>2.5</v>
      </c>
      <c r="J105" s="63">
        <v>1.4999999999999999E-2</v>
      </c>
      <c r="K105" s="61">
        <v>0.14000000000000001</v>
      </c>
      <c r="L105" s="53">
        <v>2.5</v>
      </c>
      <c r="M105" s="54">
        <v>1.4999999999999999E-2</v>
      </c>
      <c r="N105" s="62">
        <v>0.14000000000000001</v>
      </c>
      <c r="O105" s="53">
        <v>1.5</v>
      </c>
      <c r="P105" s="63">
        <v>1.4999999999999999E-2</v>
      </c>
      <c r="Q105" s="61">
        <v>0.14000000000000001</v>
      </c>
      <c r="R105" s="53">
        <v>1.5</v>
      </c>
      <c r="S105" s="54">
        <v>1.4999999999999999E-2</v>
      </c>
      <c r="T105" s="61">
        <v>0.14000000000000001</v>
      </c>
      <c r="U105" s="53">
        <v>1.5</v>
      </c>
      <c r="V105" s="54">
        <v>1.4999999999999999E-2</v>
      </c>
      <c r="W105" s="61">
        <v>0.3</v>
      </c>
      <c r="X105" s="53">
        <v>2.6</v>
      </c>
      <c r="Y105" s="54">
        <v>7.0000000000000007E-2</v>
      </c>
    </row>
    <row r="106" spans="1:25" ht="15.5" x14ac:dyDescent="0.35">
      <c r="A106" s="51">
        <v>2013</v>
      </c>
      <c r="B106" s="52">
        <f>3.5-C106</f>
        <v>0.5</v>
      </c>
      <c r="C106" s="58">
        <v>3</v>
      </c>
      <c r="D106" s="54">
        <v>0.02</v>
      </c>
      <c r="E106" s="52">
        <f t="shared" si="3"/>
        <v>0.5</v>
      </c>
      <c r="F106" s="58">
        <v>3</v>
      </c>
      <c r="G106" s="54">
        <v>0.02</v>
      </c>
      <c r="H106" s="62">
        <v>0.14000000000000001</v>
      </c>
      <c r="I106" s="53">
        <v>2.5</v>
      </c>
      <c r="J106" s="63">
        <v>1.4999999999999999E-2</v>
      </c>
      <c r="K106" s="61">
        <v>0.14000000000000001</v>
      </c>
      <c r="L106" s="53">
        <v>2.5</v>
      </c>
      <c r="M106" s="54">
        <v>1.4999999999999999E-2</v>
      </c>
      <c r="N106" s="62">
        <v>0.14000000000000001</v>
      </c>
      <c r="O106" s="53">
        <v>1.5</v>
      </c>
      <c r="P106" s="63">
        <v>1.4999999999999999E-2</v>
      </c>
      <c r="Q106" s="61">
        <v>0.14000000000000001</v>
      </c>
      <c r="R106" s="53">
        <v>1.5</v>
      </c>
      <c r="S106" s="54">
        <v>1.4999999999999999E-2</v>
      </c>
      <c r="T106" s="61">
        <v>0.14000000000000001</v>
      </c>
      <c r="U106" s="53">
        <v>1.5</v>
      </c>
      <c r="V106" s="54">
        <v>1.4999999999999999E-2</v>
      </c>
      <c r="W106" s="52">
        <v>0.3</v>
      </c>
      <c r="X106" s="53">
        <v>2.6</v>
      </c>
      <c r="Y106" s="54">
        <v>7.0000000000000007E-2</v>
      </c>
    </row>
    <row r="107" spans="1:25" ht="15.5" x14ac:dyDescent="0.35">
      <c r="A107" s="51">
        <v>2014</v>
      </c>
      <c r="B107" s="52">
        <f>3.5-C107</f>
        <v>0.5</v>
      </c>
      <c r="C107" s="58">
        <v>3</v>
      </c>
      <c r="D107" s="54">
        <v>0.02</v>
      </c>
      <c r="E107" s="52">
        <f t="shared" si="3"/>
        <v>0.5</v>
      </c>
      <c r="F107" s="58">
        <v>3</v>
      </c>
      <c r="G107" s="54">
        <v>0.02</v>
      </c>
      <c r="H107" s="62">
        <v>0.14000000000000001</v>
      </c>
      <c r="I107" s="53">
        <v>2.5</v>
      </c>
      <c r="J107" s="63">
        <v>1.4999999999999999E-2</v>
      </c>
      <c r="K107" s="61">
        <v>0.14000000000000001</v>
      </c>
      <c r="L107" s="53">
        <v>2.5</v>
      </c>
      <c r="M107" s="54">
        <v>1.4999999999999999E-2</v>
      </c>
      <c r="N107" s="62">
        <v>0.14000000000000001</v>
      </c>
      <c r="O107" s="53">
        <v>0.3</v>
      </c>
      <c r="P107" s="63">
        <v>1.4999999999999999E-2</v>
      </c>
      <c r="Q107" s="61">
        <v>0.14000000000000001</v>
      </c>
      <c r="R107" s="53">
        <v>0.3</v>
      </c>
      <c r="S107" s="54">
        <v>1.4999999999999999E-2</v>
      </c>
      <c r="T107" s="61">
        <v>0.14000000000000001</v>
      </c>
      <c r="U107" s="53">
        <v>0.3</v>
      </c>
      <c r="V107" s="54">
        <v>1.4999999999999999E-2</v>
      </c>
      <c r="W107" s="52">
        <v>0.3</v>
      </c>
      <c r="X107" s="53">
        <v>2.6</v>
      </c>
      <c r="Y107" s="54">
        <v>7.0000000000000007E-2</v>
      </c>
    </row>
    <row r="108" spans="1:25" ht="15.5" x14ac:dyDescent="0.35">
      <c r="A108" s="64">
        <v>2015</v>
      </c>
      <c r="B108" s="52">
        <v>0.5</v>
      </c>
      <c r="C108" s="58">
        <v>3</v>
      </c>
      <c r="D108" s="54">
        <v>0.02</v>
      </c>
      <c r="E108" s="52">
        <v>0.5</v>
      </c>
      <c r="F108" s="58">
        <v>3</v>
      </c>
      <c r="G108" s="54">
        <v>0.02</v>
      </c>
      <c r="H108" s="62">
        <v>0.14000000000000001</v>
      </c>
      <c r="I108" s="53">
        <v>0.3</v>
      </c>
      <c r="J108" s="63">
        <v>1.4999999999999999E-2</v>
      </c>
      <c r="K108" s="61">
        <v>0.14000000000000001</v>
      </c>
      <c r="L108" s="53">
        <v>0.3</v>
      </c>
      <c r="M108" s="54">
        <v>1.4999999999999999E-2</v>
      </c>
      <c r="N108" s="62">
        <v>0.14000000000000001</v>
      </c>
      <c r="O108" s="53">
        <v>0.3</v>
      </c>
      <c r="P108" s="63">
        <v>1.4999999999999999E-2</v>
      </c>
      <c r="Q108" s="61">
        <v>0.14000000000000001</v>
      </c>
      <c r="R108" s="53">
        <v>0.3</v>
      </c>
      <c r="S108" s="54">
        <v>1.4999999999999999E-2</v>
      </c>
      <c r="T108" s="61">
        <v>0.14000000000000001</v>
      </c>
      <c r="U108" s="53">
        <v>0.3</v>
      </c>
      <c r="V108" s="54">
        <v>1.4999999999999999E-2</v>
      </c>
      <c r="W108" s="52">
        <v>0.14000000000000001</v>
      </c>
      <c r="X108" s="53">
        <v>2.6</v>
      </c>
      <c r="Y108" s="54">
        <v>0.03</v>
      </c>
    </row>
    <row r="109" spans="1:25" ht="15.5" x14ac:dyDescent="0.35">
      <c r="A109" s="64">
        <v>2016</v>
      </c>
      <c r="B109" s="52">
        <v>0.5</v>
      </c>
      <c r="C109" s="58">
        <v>3</v>
      </c>
      <c r="D109" s="54">
        <v>0.02</v>
      </c>
      <c r="E109" s="52">
        <v>0.5</v>
      </c>
      <c r="F109" s="58">
        <v>3</v>
      </c>
      <c r="G109" s="54">
        <v>0.02</v>
      </c>
      <c r="H109" s="62">
        <v>0.14000000000000001</v>
      </c>
      <c r="I109" s="53">
        <v>0.3</v>
      </c>
      <c r="J109" s="63">
        <v>1.4999999999999999E-2</v>
      </c>
      <c r="K109" s="61">
        <v>0.14000000000000001</v>
      </c>
      <c r="L109" s="53">
        <v>0.3</v>
      </c>
      <c r="M109" s="54">
        <v>1.4999999999999999E-2</v>
      </c>
      <c r="N109" s="62">
        <v>0.14000000000000001</v>
      </c>
      <c r="O109" s="53">
        <v>0.3</v>
      </c>
      <c r="P109" s="63">
        <v>1.4999999999999999E-2</v>
      </c>
      <c r="Q109" s="61">
        <v>0.14000000000000001</v>
      </c>
      <c r="R109" s="53">
        <v>0.3</v>
      </c>
      <c r="S109" s="54">
        <v>1.4999999999999999E-2</v>
      </c>
      <c r="T109" s="61">
        <v>0.14000000000000001</v>
      </c>
      <c r="U109" s="53">
        <v>0.3</v>
      </c>
      <c r="V109" s="54">
        <v>1.4999999999999999E-2</v>
      </c>
      <c r="W109" s="52">
        <v>0.14000000000000001</v>
      </c>
      <c r="X109" s="53">
        <v>2.6</v>
      </c>
      <c r="Y109" s="54">
        <v>0.03</v>
      </c>
    </row>
    <row r="110" spans="1:25" ht="15.5" x14ac:dyDescent="0.35">
      <c r="A110" s="64">
        <v>2017</v>
      </c>
      <c r="B110" s="52">
        <v>0.5</v>
      </c>
      <c r="C110" s="58">
        <v>3</v>
      </c>
      <c r="D110" s="54">
        <v>0.02</v>
      </c>
      <c r="E110" s="52">
        <v>0.5</v>
      </c>
      <c r="F110" s="58">
        <v>3</v>
      </c>
      <c r="G110" s="54">
        <v>0.02</v>
      </c>
      <c r="H110" s="62">
        <v>0.14000000000000001</v>
      </c>
      <c r="I110" s="53">
        <v>0.3</v>
      </c>
      <c r="J110" s="63">
        <v>1.4999999999999999E-2</v>
      </c>
      <c r="K110" s="61">
        <v>0.14000000000000001</v>
      </c>
      <c r="L110" s="53">
        <v>0.3</v>
      </c>
      <c r="M110" s="54">
        <v>1.4999999999999999E-2</v>
      </c>
      <c r="N110" s="62">
        <v>0.14000000000000001</v>
      </c>
      <c r="O110" s="53">
        <v>0.3</v>
      </c>
      <c r="P110" s="63">
        <v>1.4999999999999999E-2</v>
      </c>
      <c r="Q110" s="61">
        <v>0.14000000000000001</v>
      </c>
      <c r="R110" s="53">
        <v>0.3</v>
      </c>
      <c r="S110" s="54">
        <v>1.4999999999999999E-2</v>
      </c>
      <c r="T110" s="61">
        <v>0.14000000000000001</v>
      </c>
      <c r="U110" s="53">
        <v>0.3</v>
      </c>
      <c r="V110" s="54">
        <v>1.4999999999999999E-2</v>
      </c>
      <c r="W110" s="52">
        <v>0.14000000000000001</v>
      </c>
      <c r="X110" s="53">
        <v>2.6</v>
      </c>
      <c r="Y110" s="54">
        <v>0.03</v>
      </c>
    </row>
    <row r="111" spans="1:25" ht="15.5" x14ac:dyDescent="0.35">
      <c r="A111" s="64">
        <v>2018</v>
      </c>
      <c r="B111" s="52">
        <v>0.5</v>
      </c>
      <c r="C111" s="58">
        <v>3</v>
      </c>
      <c r="D111" s="54">
        <v>0.02</v>
      </c>
      <c r="E111" s="52">
        <v>0.5</v>
      </c>
      <c r="F111" s="58">
        <v>3</v>
      </c>
      <c r="G111" s="54">
        <v>0.02</v>
      </c>
      <c r="H111" s="62">
        <v>0.14000000000000001</v>
      </c>
      <c r="I111" s="53">
        <v>0.3</v>
      </c>
      <c r="J111" s="63">
        <v>1.4999999999999999E-2</v>
      </c>
      <c r="K111" s="61">
        <v>0.14000000000000001</v>
      </c>
      <c r="L111" s="53">
        <v>0.3</v>
      </c>
      <c r="M111" s="54">
        <v>1.4999999999999999E-2</v>
      </c>
      <c r="N111" s="62">
        <v>0.14000000000000001</v>
      </c>
      <c r="O111" s="53">
        <v>0.3</v>
      </c>
      <c r="P111" s="63">
        <v>1.4999999999999999E-2</v>
      </c>
      <c r="Q111" s="61">
        <v>0.14000000000000001</v>
      </c>
      <c r="R111" s="53">
        <v>0.3</v>
      </c>
      <c r="S111" s="54">
        <v>1.4999999999999999E-2</v>
      </c>
      <c r="T111" s="61">
        <v>0.14000000000000001</v>
      </c>
      <c r="U111" s="53">
        <v>0.3</v>
      </c>
      <c r="V111" s="54">
        <v>1.4999999999999999E-2</v>
      </c>
      <c r="W111" s="52">
        <v>0.14000000000000001</v>
      </c>
      <c r="X111" s="53">
        <v>2.6</v>
      </c>
      <c r="Y111" s="54">
        <v>0.03</v>
      </c>
    </row>
    <row r="112" spans="1:25" ht="15.5" x14ac:dyDescent="0.35">
      <c r="A112" s="64">
        <v>2019</v>
      </c>
      <c r="B112" s="52">
        <v>0.5</v>
      </c>
      <c r="C112" s="58">
        <v>3</v>
      </c>
      <c r="D112" s="54">
        <v>0.02</v>
      </c>
      <c r="E112" s="52">
        <v>0.5</v>
      </c>
      <c r="F112" s="58">
        <v>3</v>
      </c>
      <c r="G112" s="54">
        <v>0.02</v>
      </c>
      <c r="H112" s="62">
        <v>0.14000000000000001</v>
      </c>
      <c r="I112" s="53">
        <v>0.3</v>
      </c>
      <c r="J112" s="63">
        <v>1.4999999999999999E-2</v>
      </c>
      <c r="K112" s="61">
        <v>0.14000000000000001</v>
      </c>
      <c r="L112" s="53">
        <v>0.3</v>
      </c>
      <c r="M112" s="54">
        <v>1.4999999999999999E-2</v>
      </c>
      <c r="N112" s="62">
        <v>0.14000000000000001</v>
      </c>
      <c r="O112" s="53">
        <v>0.3</v>
      </c>
      <c r="P112" s="63">
        <v>1.4999999999999999E-2</v>
      </c>
      <c r="Q112" s="61">
        <v>0.14000000000000001</v>
      </c>
      <c r="R112" s="53">
        <v>0.3</v>
      </c>
      <c r="S112" s="54">
        <v>1.4999999999999999E-2</v>
      </c>
      <c r="T112" s="61">
        <v>0.14000000000000001</v>
      </c>
      <c r="U112" s="53">
        <v>0.3</v>
      </c>
      <c r="V112" s="54">
        <v>1.4999999999999999E-2</v>
      </c>
      <c r="W112" s="52">
        <v>0.14000000000000001</v>
      </c>
      <c r="X112" s="53">
        <v>2.6</v>
      </c>
      <c r="Y112" s="54">
        <v>0.03</v>
      </c>
    </row>
    <row r="113" spans="1:25" ht="15.5" x14ac:dyDescent="0.35">
      <c r="A113" s="64">
        <v>2020</v>
      </c>
      <c r="B113" s="52">
        <v>0.5</v>
      </c>
      <c r="C113" s="58">
        <v>3</v>
      </c>
      <c r="D113" s="54">
        <v>0.02</v>
      </c>
      <c r="E113" s="52">
        <v>0.5</v>
      </c>
      <c r="F113" s="58">
        <v>3</v>
      </c>
      <c r="G113" s="54">
        <v>0.02</v>
      </c>
      <c r="H113" s="62">
        <v>0.14000000000000001</v>
      </c>
      <c r="I113" s="53">
        <v>0.3</v>
      </c>
      <c r="J113" s="63">
        <v>1.4999999999999999E-2</v>
      </c>
      <c r="K113" s="61">
        <v>0.14000000000000001</v>
      </c>
      <c r="L113" s="53">
        <v>0.3</v>
      </c>
      <c r="M113" s="54">
        <v>1.4999999999999999E-2</v>
      </c>
      <c r="N113" s="62">
        <v>0.14000000000000001</v>
      </c>
      <c r="O113" s="53">
        <v>0.3</v>
      </c>
      <c r="P113" s="63">
        <v>1.4999999999999999E-2</v>
      </c>
      <c r="Q113" s="61">
        <v>0.14000000000000001</v>
      </c>
      <c r="R113" s="53">
        <v>0.3</v>
      </c>
      <c r="S113" s="54">
        <v>1.4999999999999999E-2</v>
      </c>
      <c r="T113" s="61">
        <v>0.14000000000000001</v>
      </c>
      <c r="U113" s="53">
        <v>0.3</v>
      </c>
      <c r="V113" s="54">
        <v>1.4999999999999999E-2</v>
      </c>
      <c r="W113" s="52">
        <v>0.14000000000000001</v>
      </c>
      <c r="X113" s="53">
        <v>2.6</v>
      </c>
      <c r="Y113" s="54">
        <v>0.03</v>
      </c>
    </row>
    <row r="114" spans="1:25" ht="15.5" x14ac:dyDescent="0.35">
      <c r="A114" s="64">
        <v>2021</v>
      </c>
      <c r="B114" s="52">
        <v>0.5</v>
      </c>
      <c r="C114" s="58">
        <v>3</v>
      </c>
      <c r="D114" s="54">
        <v>0.02</v>
      </c>
      <c r="E114" s="52">
        <v>0.5</v>
      </c>
      <c r="F114" s="58">
        <v>3</v>
      </c>
      <c r="G114" s="54">
        <v>0.02</v>
      </c>
      <c r="H114" s="62">
        <v>0.14000000000000001</v>
      </c>
      <c r="I114" s="53">
        <v>0.3</v>
      </c>
      <c r="J114" s="63">
        <v>1.4999999999999999E-2</v>
      </c>
      <c r="K114" s="61">
        <v>0.14000000000000001</v>
      </c>
      <c r="L114" s="53">
        <v>0.3</v>
      </c>
      <c r="M114" s="54">
        <v>1.4999999999999999E-2</v>
      </c>
      <c r="N114" s="62">
        <v>0.14000000000000001</v>
      </c>
      <c r="O114" s="53">
        <v>0.3</v>
      </c>
      <c r="P114" s="63">
        <v>1.4999999999999999E-2</v>
      </c>
      <c r="Q114" s="61">
        <v>0.14000000000000001</v>
      </c>
      <c r="R114" s="53">
        <v>0.3</v>
      </c>
      <c r="S114" s="54">
        <v>1.4999999999999999E-2</v>
      </c>
      <c r="T114" s="61">
        <v>0.14000000000000001</v>
      </c>
      <c r="U114" s="53">
        <v>0.3</v>
      </c>
      <c r="V114" s="54">
        <v>1.4999999999999999E-2</v>
      </c>
      <c r="W114" s="52">
        <v>0.14000000000000001</v>
      </c>
      <c r="X114" s="53">
        <v>2.6</v>
      </c>
      <c r="Y114" s="54">
        <v>0.03</v>
      </c>
    </row>
    <row r="115" spans="1:25" ht="15.5" x14ac:dyDescent="0.35">
      <c r="A115" s="64">
        <v>2022</v>
      </c>
      <c r="B115" s="52">
        <v>0.5</v>
      </c>
      <c r="C115" s="58">
        <v>3</v>
      </c>
      <c r="D115" s="54">
        <v>0.02</v>
      </c>
      <c r="E115" s="52">
        <v>0.5</v>
      </c>
      <c r="F115" s="58">
        <v>3</v>
      </c>
      <c r="G115" s="54">
        <v>0.02</v>
      </c>
      <c r="H115" s="62">
        <v>0.14000000000000001</v>
      </c>
      <c r="I115" s="53">
        <v>0.3</v>
      </c>
      <c r="J115" s="63">
        <v>1.4999999999999999E-2</v>
      </c>
      <c r="K115" s="61">
        <v>0.14000000000000001</v>
      </c>
      <c r="L115" s="53">
        <v>0.3</v>
      </c>
      <c r="M115" s="54">
        <v>1.4999999999999999E-2</v>
      </c>
      <c r="N115" s="62">
        <v>0.14000000000000001</v>
      </c>
      <c r="O115" s="53">
        <v>0.3</v>
      </c>
      <c r="P115" s="63">
        <v>1.4999999999999999E-2</v>
      </c>
      <c r="Q115" s="61">
        <v>0.14000000000000001</v>
      </c>
      <c r="R115" s="53">
        <v>0.3</v>
      </c>
      <c r="S115" s="54">
        <v>1.4999999999999999E-2</v>
      </c>
      <c r="T115" s="61">
        <v>0.14000000000000001</v>
      </c>
      <c r="U115" s="53">
        <v>0.3</v>
      </c>
      <c r="V115" s="54">
        <v>1.4999999999999999E-2</v>
      </c>
      <c r="W115" s="52">
        <v>0.14000000000000001</v>
      </c>
      <c r="X115" s="53">
        <v>2.6</v>
      </c>
      <c r="Y115" s="54">
        <v>0.03</v>
      </c>
    </row>
    <row r="116" spans="1:25" ht="15.5" x14ac:dyDescent="0.35">
      <c r="A116" s="64">
        <v>2023</v>
      </c>
      <c r="B116" s="52">
        <v>0.5</v>
      </c>
      <c r="C116" s="58">
        <v>3</v>
      </c>
      <c r="D116" s="54">
        <v>0.02</v>
      </c>
      <c r="E116" s="52">
        <v>0.5</v>
      </c>
      <c r="F116" s="58">
        <v>3</v>
      </c>
      <c r="G116" s="54">
        <v>0.02</v>
      </c>
      <c r="H116" s="62">
        <v>0.14000000000000001</v>
      </c>
      <c r="I116" s="53">
        <v>0.3</v>
      </c>
      <c r="J116" s="63">
        <v>1.4999999999999999E-2</v>
      </c>
      <c r="K116" s="61">
        <v>0.14000000000000001</v>
      </c>
      <c r="L116" s="53">
        <v>0.3</v>
      </c>
      <c r="M116" s="54">
        <v>1.4999999999999999E-2</v>
      </c>
      <c r="N116" s="62">
        <v>0.14000000000000001</v>
      </c>
      <c r="O116" s="53">
        <v>0.3</v>
      </c>
      <c r="P116" s="63">
        <v>1.4999999999999999E-2</v>
      </c>
      <c r="Q116" s="61">
        <v>0.14000000000000001</v>
      </c>
      <c r="R116" s="53">
        <v>0.3</v>
      </c>
      <c r="S116" s="54">
        <v>1.4999999999999999E-2</v>
      </c>
      <c r="T116" s="61">
        <v>0.14000000000000001</v>
      </c>
      <c r="U116" s="53">
        <v>0.3</v>
      </c>
      <c r="V116" s="54">
        <v>1.4999999999999999E-2</v>
      </c>
      <c r="W116" s="52">
        <v>0.14000000000000001</v>
      </c>
      <c r="X116" s="53">
        <v>2.6</v>
      </c>
      <c r="Y116" s="54">
        <v>0.03</v>
      </c>
    </row>
    <row r="117" spans="1:25" ht="15.5" x14ac:dyDescent="0.35">
      <c r="A117" s="64">
        <v>2024</v>
      </c>
      <c r="B117" s="52">
        <v>0.5</v>
      </c>
      <c r="C117" s="58">
        <v>3</v>
      </c>
      <c r="D117" s="54">
        <v>0.02</v>
      </c>
      <c r="E117" s="52">
        <v>0.5</v>
      </c>
      <c r="F117" s="58">
        <v>3</v>
      </c>
      <c r="G117" s="54">
        <v>0.02</v>
      </c>
      <c r="H117" s="62">
        <v>0.14000000000000001</v>
      </c>
      <c r="I117" s="53">
        <v>0.3</v>
      </c>
      <c r="J117" s="63">
        <v>1.4999999999999999E-2</v>
      </c>
      <c r="K117" s="61">
        <v>0.14000000000000001</v>
      </c>
      <c r="L117" s="53">
        <v>0.3</v>
      </c>
      <c r="M117" s="54">
        <v>1.4999999999999999E-2</v>
      </c>
      <c r="N117" s="62">
        <v>0.14000000000000001</v>
      </c>
      <c r="O117" s="53">
        <v>0.3</v>
      </c>
      <c r="P117" s="63">
        <v>1.4999999999999999E-2</v>
      </c>
      <c r="Q117" s="61">
        <v>0.14000000000000001</v>
      </c>
      <c r="R117" s="53">
        <v>0.3</v>
      </c>
      <c r="S117" s="54">
        <v>1.4999999999999999E-2</v>
      </c>
      <c r="T117" s="61">
        <v>0.14000000000000001</v>
      </c>
      <c r="U117" s="53">
        <v>0.3</v>
      </c>
      <c r="V117" s="54">
        <v>1.4999999999999999E-2</v>
      </c>
      <c r="W117" s="52">
        <v>0.14000000000000001</v>
      </c>
      <c r="X117" s="53">
        <v>2.6</v>
      </c>
      <c r="Y117" s="54">
        <v>0.03</v>
      </c>
    </row>
    <row r="118" spans="1:25" ht="15.5" x14ac:dyDescent="0.35">
      <c r="A118" s="64">
        <v>2025</v>
      </c>
      <c r="B118" s="52">
        <v>0.5</v>
      </c>
      <c r="C118" s="58">
        <v>3</v>
      </c>
      <c r="D118" s="54">
        <v>0.02</v>
      </c>
      <c r="E118" s="52">
        <v>0.5</v>
      </c>
      <c r="F118" s="58">
        <v>3</v>
      </c>
      <c r="G118" s="54">
        <v>0.02</v>
      </c>
      <c r="H118" s="62">
        <v>0.14000000000000001</v>
      </c>
      <c r="I118" s="53">
        <v>0.3</v>
      </c>
      <c r="J118" s="63">
        <v>1.4999999999999999E-2</v>
      </c>
      <c r="K118" s="61">
        <v>0.14000000000000001</v>
      </c>
      <c r="L118" s="53">
        <v>0.3</v>
      </c>
      <c r="M118" s="54">
        <v>1.4999999999999999E-2</v>
      </c>
      <c r="N118" s="62">
        <v>0.14000000000000001</v>
      </c>
      <c r="O118" s="53">
        <v>0.3</v>
      </c>
      <c r="P118" s="63">
        <v>1.4999999999999999E-2</v>
      </c>
      <c r="Q118" s="61">
        <v>0.14000000000000001</v>
      </c>
      <c r="R118" s="53">
        <v>0.3</v>
      </c>
      <c r="S118" s="54">
        <v>1.4999999999999999E-2</v>
      </c>
      <c r="T118" s="61">
        <v>0.14000000000000001</v>
      </c>
      <c r="U118" s="53">
        <v>0.3</v>
      </c>
      <c r="V118" s="54">
        <v>1.4999999999999999E-2</v>
      </c>
      <c r="W118" s="52">
        <v>0.14000000000000001</v>
      </c>
      <c r="X118" s="53">
        <v>2.6</v>
      </c>
      <c r="Y118" s="54">
        <v>0.03</v>
      </c>
    </row>
    <row r="119" spans="1:25" ht="15.5" x14ac:dyDescent="0.35">
      <c r="A119" s="64">
        <v>2026</v>
      </c>
      <c r="B119" s="52">
        <v>0.5</v>
      </c>
      <c r="C119" s="58">
        <v>3</v>
      </c>
      <c r="D119" s="54">
        <v>0.02</v>
      </c>
      <c r="E119" s="52">
        <v>0.5</v>
      </c>
      <c r="F119" s="58">
        <v>3</v>
      </c>
      <c r="G119" s="54">
        <v>0.02</v>
      </c>
      <c r="H119" s="62">
        <v>0.14000000000000001</v>
      </c>
      <c r="I119" s="53">
        <v>0.3</v>
      </c>
      <c r="J119" s="63">
        <v>1.4999999999999999E-2</v>
      </c>
      <c r="K119" s="61">
        <v>0.14000000000000001</v>
      </c>
      <c r="L119" s="53">
        <v>0.3</v>
      </c>
      <c r="M119" s="54">
        <v>1.4999999999999999E-2</v>
      </c>
      <c r="N119" s="62">
        <v>0.14000000000000001</v>
      </c>
      <c r="O119" s="53">
        <v>0.3</v>
      </c>
      <c r="P119" s="63">
        <v>1.4999999999999999E-2</v>
      </c>
      <c r="Q119" s="61">
        <v>0.14000000000000001</v>
      </c>
      <c r="R119" s="53">
        <v>0.3</v>
      </c>
      <c r="S119" s="54">
        <v>1.4999999999999999E-2</v>
      </c>
      <c r="T119" s="61">
        <v>0.14000000000000001</v>
      </c>
      <c r="U119" s="53">
        <v>0.3</v>
      </c>
      <c r="V119" s="54">
        <v>1.4999999999999999E-2</v>
      </c>
      <c r="W119" s="52">
        <v>0.14000000000000001</v>
      </c>
      <c r="X119" s="53">
        <v>2.6</v>
      </c>
      <c r="Y119" s="54">
        <v>0.03</v>
      </c>
    </row>
    <row r="120" spans="1:25" ht="15.5" x14ac:dyDescent="0.35">
      <c r="A120" s="64">
        <v>2027</v>
      </c>
      <c r="B120" s="52">
        <v>0.5</v>
      </c>
      <c r="C120" s="58">
        <v>3</v>
      </c>
      <c r="D120" s="54">
        <v>0.02</v>
      </c>
      <c r="E120" s="52">
        <v>0.5</v>
      </c>
      <c r="F120" s="58">
        <v>3</v>
      </c>
      <c r="G120" s="54">
        <v>0.02</v>
      </c>
      <c r="H120" s="62">
        <v>0.14000000000000001</v>
      </c>
      <c r="I120" s="53">
        <v>0.3</v>
      </c>
      <c r="J120" s="63">
        <v>1.4999999999999999E-2</v>
      </c>
      <c r="K120" s="61">
        <v>0.14000000000000001</v>
      </c>
      <c r="L120" s="53">
        <v>0.3</v>
      </c>
      <c r="M120" s="54">
        <v>1.4999999999999999E-2</v>
      </c>
      <c r="N120" s="62">
        <v>0.14000000000000001</v>
      </c>
      <c r="O120" s="53">
        <v>0.3</v>
      </c>
      <c r="P120" s="63">
        <v>1.4999999999999999E-2</v>
      </c>
      <c r="Q120" s="61">
        <v>0.14000000000000001</v>
      </c>
      <c r="R120" s="53">
        <v>0.3</v>
      </c>
      <c r="S120" s="54">
        <v>1.4999999999999999E-2</v>
      </c>
      <c r="T120" s="61">
        <v>0.14000000000000001</v>
      </c>
      <c r="U120" s="53">
        <v>0.3</v>
      </c>
      <c r="V120" s="54">
        <v>1.4999999999999999E-2</v>
      </c>
      <c r="W120" s="52">
        <v>0.14000000000000001</v>
      </c>
      <c r="X120" s="53">
        <v>2.6</v>
      </c>
      <c r="Y120" s="54">
        <v>0.03</v>
      </c>
    </row>
    <row r="121" spans="1:25" ht="15.5" x14ac:dyDescent="0.35">
      <c r="A121" s="64">
        <v>2028</v>
      </c>
      <c r="B121" s="52">
        <v>0.5</v>
      </c>
      <c r="C121" s="58">
        <v>3</v>
      </c>
      <c r="D121" s="54">
        <v>0.02</v>
      </c>
      <c r="E121" s="52">
        <v>0.5</v>
      </c>
      <c r="F121" s="58">
        <v>3</v>
      </c>
      <c r="G121" s="54">
        <v>0.02</v>
      </c>
      <c r="H121" s="62">
        <v>0.14000000000000001</v>
      </c>
      <c r="I121" s="53">
        <v>0.3</v>
      </c>
      <c r="J121" s="63">
        <v>1.4999999999999999E-2</v>
      </c>
      <c r="K121" s="61">
        <v>0.14000000000000001</v>
      </c>
      <c r="L121" s="53">
        <v>0.3</v>
      </c>
      <c r="M121" s="54">
        <v>1.4999999999999999E-2</v>
      </c>
      <c r="N121" s="62">
        <v>0.14000000000000001</v>
      </c>
      <c r="O121" s="53">
        <v>0.3</v>
      </c>
      <c r="P121" s="63">
        <v>1.4999999999999999E-2</v>
      </c>
      <c r="Q121" s="61">
        <v>0.14000000000000001</v>
      </c>
      <c r="R121" s="53">
        <v>0.3</v>
      </c>
      <c r="S121" s="54">
        <v>1.4999999999999999E-2</v>
      </c>
      <c r="T121" s="61">
        <v>0.14000000000000001</v>
      </c>
      <c r="U121" s="53">
        <v>0.3</v>
      </c>
      <c r="V121" s="54">
        <v>1.4999999999999999E-2</v>
      </c>
      <c r="W121" s="52">
        <v>0.14000000000000001</v>
      </c>
      <c r="X121" s="53">
        <v>2.6</v>
      </c>
      <c r="Y121" s="54">
        <v>0.03</v>
      </c>
    </row>
    <row r="122" spans="1:25" ht="15.5" x14ac:dyDescent="0.35">
      <c r="A122" s="64">
        <v>2029</v>
      </c>
      <c r="B122" s="52">
        <v>0.5</v>
      </c>
      <c r="C122" s="58">
        <v>3</v>
      </c>
      <c r="D122" s="54">
        <v>0.02</v>
      </c>
      <c r="E122" s="52">
        <v>0.5</v>
      </c>
      <c r="F122" s="58">
        <v>3</v>
      </c>
      <c r="G122" s="54">
        <v>0.02</v>
      </c>
      <c r="H122" s="62">
        <v>0.14000000000000001</v>
      </c>
      <c r="I122" s="53">
        <v>0.3</v>
      </c>
      <c r="J122" s="63">
        <v>1.4999999999999999E-2</v>
      </c>
      <c r="K122" s="61">
        <v>0.14000000000000001</v>
      </c>
      <c r="L122" s="53">
        <v>0.3</v>
      </c>
      <c r="M122" s="54">
        <v>1.4999999999999999E-2</v>
      </c>
      <c r="N122" s="62">
        <v>0.14000000000000001</v>
      </c>
      <c r="O122" s="53">
        <v>0.3</v>
      </c>
      <c r="P122" s="63">
        <v>1.4999999999999999E-2</v>
      </c>
      <c r="Q122" s="61">
        <v>0.14000000000000001</v>
      </c>
      <c r="R122" s="53">
        <v>0.3</v>
      </c>
      <c r="S122" s="54">
        <v>1.4999999999999999E-2</v>
      </c>
      <c r="T122" s="61">
        <v>0.14000000000000001</v>
      </c>
      <c r="U122" s="53">
        <v>0.3</v>
      </c>
      <c r="V122" s="54">
        <v>1.4999999999999999E-2</v>
      </c>
      <c r="W122" s="52">
        <v>0.14000000000000001</v>
      </c>
      <c r="X122" s="53">
        <v>2.6</v>
      </c>
      <c r="Y122" s="54">
        <v>0.03</v>
      </c>
    </row>
    <row r="123" spans="1:25" ht="15.5" x14ac:dyDescent="0.35">
      <c r="A123" s="64">
        <v>2030</v>
      </c>
      <c r="B123" s="52">
        <v>0.5</v>
      </c>
      <c r="C123" s="58">
        <v>3</v>
      </c>
      <c r="D123" s="54">
        <v>0.02</v>
      </c>
      <c r="E123" s="52">
        <v>0.5</v>
      </c>
      <c r="F123" s="58">
        <v>3</v>
      </c>
      <c r="G123" s="54">
        <v>0.02</v>
      </c>
      <c r="H123" s="62">
        <v>0.14000000000000001</v>
      </c>
      <c r="I123" s="53">
        <v>0.3</v>
      </c>
      <c r="J123" s="63">
        <v>1.4999999999999999E-2</v>
      </c>
      <c r="K123" s="61">
        <v>0.14000000000000001</v>
      </c>
      <c r="L123" s="53">
        <v>0.3</v>
      </c>
      <c r="M123" s="54">
        <v>1.4999999999999999E-2</v>
      </c>
      <c r="N123" s="62">
        <v>0.14000000000000001</v>
      </c>
      <c r="O123" s="53">
        <v>0.3</v>
      </c>
      <c r="P123" s="63">
        <v>1.4999999999999999E-2</v>
      </c>
      <c r="Q123" s="61">
        <v>0.14000000000000001</v>
      </c>
      <c r="R123" s="53">
        <v>0.3</v>
      </c>
      <c r="S123" s="54">
        <v>1.4999999999999999E-2</v>
      </c>
      <c r="T123" s="61">
        <v>0.14000000000000001</v>
      </c>
      <c r="U123" s="53">
        <v>0.3</v>
      </c>
      <c r="V123" s="54">
        <v>1.4999999999999999E-2</v>
      </c>
      <c r="W123" s="52">
        <v>0.14000000000000001</v>
      </c>
      <c r="X123" s="53">
        <v>2.6</v>
      </c>
      <c r="Y123" s="54">
        <v>0.03</v>
      </c>
    </row>
    <row r="124" spans="1:25" ht="15.5" x14ac:dyDescent="0.35">
      <c r="A124" s="64">
        <v>2031</v>
      </c>
      <c r="B124" s="52">
        <v>0.5</v>
      </c>
      <c r="C124" s="58">
        <v>3</v>
      </c>
      <c r="D124" s="54">
        <v>0.02</v>
      </c>
      <c r="E124" s="52">
        <v>0.5</v>
      </c>
      <c r="F124" s="58">
        <v>3</v>
      </c>
      <c r="G124" s="54">
        <v>0.02</v>
      </c>
      <c r="H124" s="62">
        <v>0.14000000000000001</v>
      </c>
      <c r="I124" s="53">
        <v>0.3</v>
      </c>
      <c r="J124" s="63">
        <v>1.4999999999999999E-2</v>
      </c>
      <c r="K124" s="61">
        <v>0.14000000000000001</v>
      </c>
      <c r="L124" s="53">
        <v>0.3</v>
      </c>
      <c r="M124" s="54">
        <v>1.4999999999999999E-2</v>
      </c>
      <c r="N124" s="62">
        <v>0.14000000000000001</v>
      </c>
      <c r="O124" s="53">
        <v>0.3</v>
      </c>
      <c r="P124" s="63">
        <v>1.4999999999999999E-2</v>
      </c>
      <c r="Q124" s="61">
        <v>0.14000000000000001</v>
      </c>
      <c r="R124" s="53">
        <v>0.3</v>
      </c>
      <c r="S124" s="54">
        <v>1.4999999999999999E-2</v>
      </c>
      <c r="T124" s="61">
        <v>0.14000000000000001</v>
      </c>
      <c r="U124" s="53">
        <v>0.3</v>
      </c>
      <c r="V124" s="54">
        <v>1.4999999999999999E-2</v>
      </c>
      <c r="W124" s="52">
        <v>0.14000000000000001</v>
      </c>
      <c r="X124" s="53">
        <v>2.6</v>
      </c>
      <c r="Y124" s="54">
        <v>0.03</v>
      </c>
    </row>
    <row r="125" spans="1:25" ht="15.5" x14ac:dyDescent="0.35">
      <c r="A125" s="64">
        <v>2032</v>
      </c>
      <c r="B125" s="52">
        <v>0.5</v>
      </c>
      <c r="C125" s="58">
        <v>3</v>
      </c>
      <c r="D125" s="54">
        <v>0.02</v>
      </c>
      <c r="E125" s="52">
        <v>0.5</v>
      </c>
      <c r="F125" s="58">
        <v>3</v>
      </c>
      <c r="G125" s="54">
        <v>0.02</v>
      </c>
      <c r="H125" s="62">
        <v>0.14000000000000001</v>
      </c>
      <c r="I125" s="53">
        <v>0.3</v>
      </c>
      <c r="J125" s="63">
        <v>1.4999999999999999E-2</v>
      </c>
      <c r="K125" s="61">
        <v>0.14000000000000001</v>
      </c>
      <c r="L125" s="53">
        <v>0.3</v>
      </c>
      <c r="M125" s="54">
        <v>1.4999999999999999E-2</v>
      </c>
      <c r="N125" s="62">
        <v>0.14000000000000001</v>
      </c>
      <c r="O125" s="53">
        <v>0.3</v>
      </c>
      <c r="P125" s="63">
        <v>1.4999999999999999E-2</v>
      </c>
      <c r="Q125" s="61">
        <v>0.14000000000000001</v>
      </c>
      <c r="R125" s="53">
        <v>0.3</v>
      </c>
      <c r="S125" s="54">
        <v>1.4999999999999999E-2</v>
      </c>
      <c r="T125" s="61">
        <v>0.14000000000000001</v>
      </c>
      <c r="U125" s="53">
        <v>0.3</v>
      </c>
      <c r="V125" s="54">
        <v>1.4999999999999999E-2</v>
      </c>
      <c r="W125" s="52">
        <v>0.14000000000000001</v>
      </c>
      <c r="X125" s="53">
        <v>2.6</v>
      </c>
      <c r="Y125" s="54">
        <v>0.03</v>
      </c>
    </row>
    <row r="126" spans="1:25" ht="15.5" x14ac:dyDescent="0.35">
      <c r="A126" s="64">
        <v>2033</v>
      </c>
      <c r="B126" s="52">
        <v>0.5</v>
      </c>
      <c r="C126" s="58">
        <v>3</v>
      </c>
      <c r="D126" s="54">
        <v>0.02</v>
      </c>
      <c r="E126" s="52">
        <v>0.5</v>
      </c>
      <c r="F126" s="58">
        <v>3</v>
      </c>
      <c r="G126" s="54">
        <v>0.02</v>
      </c>
      <c r="H126" s="62">
        <v>0.14000000000000001</v>
      </c>
      <c r="I126" s="53">
        <v>0.3</v>
      </c>
      <c r="J126" s="63">
        <v>1.4999999999999999E-2</v>
      </c>
      <c r="K126" s="61">
        <v>0.14000000000000001</v>
      </c>
      <c r="L126" s="53">
        <v>0.3</v>
      </c>
      <c r="M126" s="54">
        <v>1.4999999999999999E-2</v>
      </c>
      <c r="N126" s="62">
        <v>0.14000000000000001</v>
      </c>
      <c r="O126" s="53">
        <v>0.3</v>
      </c>
      <c r="P126" s="63">
        <v>1.4999999999999999E-2</v>
      </c>
      <c r="Q126" s="61">
        <v>0.14000000000000001</v>
      </c>
      <c r="R126" s="53">
        <v>0.3</v>
      </c>
      <c r="S126" s="54">
        <v>1.4999999999999999E-2</v>
      </c>
      <c r="T126" s="61">
        <v>0.14000000000000001</v>
      </c>
      <c r="U126" s="53">
        <v>0.3</v>
      </c>
      <c r="V126" s="54">
        <v>1.4999999999999999E-2</v>
      </c>
      <c r="W126" s="52">
        <v>0.14000000000000001</v>
      </c>
      <c r="X126" s="53">
        <v>2.6</v>
      </c>
      <c r="Y126" s="54">
        <v>0.03</v>
      </c>
    </row>
    <row r="127" spans="1:25" ht="15.5" x14ac:dyDescent="0.35">
      <c r="A127" s="64">
        <v>2034</v>
      </c>
      <c r="B127" s="52">
        <v>0.5</v>
      </c>
      <c r="C127" s="58">
        <v>3</v>
      </c>
      <c r="D127" s="54">
        <v>0.02</v>
      </c>
      <c r="E127" s="52">
        <v>0.5</v>
      </c>
      <c r="F127" s="58">
        <v>3</v>
      </c>
      <c r="G127" s="54">
        <v>0.02</v>
      </c>
      <c r="H127" s="62">
        <v>0.14000000000000001</v>
      </c>
      <c r="I127" s="53">
        <v>0.3</v>
      </c>
      <c r="J127" s="63">
        <v>1.4999999999999999E-2</v>
      </c>
      <c r="K127" s="61">
        <v>0.14000000000000001</v>
      </c>
      <c r="L127" s="53">
        <v>0.3</v>
      </c>
      <c r="M127" s="54">
        <v>1.4999999999999999E-2</v>
      </c>
      <c r="N127" s="62">
        <v>0.14000000000000001</v>
      </c>
      <c r="O127" s="53">
        <v>0.3</v>
      </c>
      <c r="P127" s="63">
        <v>1.4999999999999999E-2</v>
      </c>
      <c r="Q127" s="61">
        <v>0.14000000000000001</v>
      </c>
      <c r="R127" s="53">
        <v>0.3</v>
      </c>
      <c r="S127" s="54">
        <v>1.4999999999999999E-2</v>
      </c>
      <c r="T127" s="61">
        <v>0.14000000000000001</v>
      </c>
      <c r="U127" s="53">
        <v>0.3</v>
      </c>
      <c r="V127" s="54">
        <v>1.4999999999999999E-2</v>
      </c>
      <c r="W127" s="52">
        <v>0.14000000000000001</v>
      </c>
      <c r="X127" s="53">
        <v>2.6</v>
      </c>
      <c r="Y127" s="54">
        <v>0.03</v>
      </c>
    </row>
    <row r="128" spans="1:25" ht="15.5" x14ac:dyDescent="0.35">
      <c r="A128" s="64">
        <v>2035</v>
      </c>
      <c r="B128" s="52">
        <v>0.5</v>
      </c>
      <c r="C128" s="58">
        <v>3</v>
      </c>
      <c r="D128" s="54">
        <v>0.02</v>
      </c>
      <c r="E128" s="52">
        <v>0.5</v>
      </c>
      <c r="F128" s="58">
        <v>3</v>
      </c>
      <c r="G128" s="54">
        <v>0.02</v>
      </c>
      <c r="H128" s="62">
        <v>0.14000000000000001</v>
      </c>
      <c r="I128" s="53">
        <v>0.3</v>
      </c>
      <c r="J128" s="63">
        <v>1.4999999999999999E-2</v>
      </c>
      <c r="K128" s="61">
        <v>0.14000000000000001</v>
      </c>
      <c r="L128" s="53">
        <v>0.3</v>
      </c>
      <c r="M128" s="54">
        <v>1.4999999999999999E-2</v>
      </c>
      <c r="N128" s="62">
        <v>0.14000000000000001</v>
      </c>
      <c r="O128" s="53">
        <v>0.3</v>
      </c>
      <c r="P128" s="63">
        <v>1.4999999999999999E-2</v>
      </c>
      <c r="Q128" s="61">
        <v>0.14000000000000001</v>
      </c>
      <c r="R128" s="53">
        <v>0.3</v>
      </c>
      <c r="S128" s="54">
        <v>1.4999999999999999E-2</v>
      </c>
      <c r="T128" s="61">
        <v>0.14000000000000001</v>
      </c>
      <c r="U128" s="53">
        <v>0.3</v>
      </c>
      <c r="V128" s="54">
        <v>1.4999999999999999E-2</v>
      </c>
      <c r="W128" s="52">
        <v>0.14000000000000001</v>
      </c>
      <c r="X128" s="53">
        <v>2.6</v>
      </c>
      <c r="Y128" s="54">
        <v>0.03</v>
      </c>
    </row>
    <row r="129" spans="1:25" ht="15.5" x14ac:dyDescent="0.35">
      <c r="A129" s="64">
        <v>2036</v>
      </c>
      <c r="B129" s="52">
        <v>0.5</v>
      </c>
      <c r="C129" s="58">
        <v>3</v>
      </c>
      <c r="D129" s="54">
        <v>0.02</v>
      </c>
      <c r="E129" s="52">
        <v>0.5</v>
      </c>
      <c r="F129" s="58">
        <v>3</v>
      </c>
      <c r="G129" s="54">
        <v>0.02</v>
      </c>
      <c r="H129" s="62">
        <v>0.14000000000000001</v>
      </c>
      <c r="I129" s="53">
        <v>0.3</v>
      </c>
      <c r="J129" s="63">
        <v>1.4999999999999999E-2</v>
      </c>
      <c r="K129" s="61">
        <v>0.14000000000000001</v>
      </c>
      <c r="L129" s="53">
        <v>0.3</v>
      </c>
      <c r="M129" s="54">
        <v>1.4999999999999999E-2</v>
      </c>
      <c r="N129" s="62">
        <v>0.14000000000000001</v>
      </c>
      <c r="O129" s="53">
        <v>0.3</v>
      </c>
      <c r="P129" s="63">
        <v>1.4999999999999999E-2</v>
      </c>
      <c r="Q129" s="61">
        <v>0.14000000000000001</v>
      </c>
      <c r="R129" s="53">
        <v>0.3</v>
      </c>
      <c r="S129" s="54">
        <v>1.4999999999999999E-2</v>
      </c>
      <c r="T129" s="61">
        <v>0.14000000000000001</v>
      </c>
      <c r="U129" s="53">
        <v>0.3</v>
      </c>
      <c r="V129" s="54">
        <v>1.4999999999999999E-2</v>
      </c>
      <c r="W129" s="52">
        <v>0.14000000000000001</v>
      </c>
      <c r="X129" s="53">
        <v>2.6</v>
      </c>
      <c r="Y129" s="54">
        <v>0.03</v>
      </c>
    </row>
    <row r="130" spans="1:25" ht="15.5" x14ac:dyDescent="0.35">
      <c r="A130" s="64">
        <v>2037</v>
      </c>
      <c r="B130" s="52">
        <v>0.5</v>
      </c>
      <c r="C130" s="58">
        <v>3</v>
      </c>
      <c r="D130" s="54">
        <v>0.02</v>
      </c>
      <c r="E130" s="52">
        <v>0.5</v>
      </c>
      <c r="F130" s="58">
        <v>3</v>
      </c>
      <c r="G130" s="54">
        <v>0.02</v>
      </c>
      <c r="H130" s="62">
        <v>0.14000000000000001</v>
      </c>
      <c r="I130" s="53">
        <v>0.3</v>
      </c>
      <c r="J130" s="63">
        <v>1.4999999999999999E-2</v>
      </c>
      <c r="K130" s="61">
        <v>0.14000000000000001</v>
      </c>
      <c r="L130" s="53">
        <v>0.3</v>
      </c>
      <c r="M130" s="54">
        <v>1.4999999999999999E-2</v>
      </c>
      <c r="N130" s="62">
        <v>0.14000000000000001</v>
      </c>
      <c r="O130" s="53">
        <v>0.3</v>
      </c>
      <c r="P130" s="63">
        <v>1.4999999999999999E-2</v>
      </c>
      <c r="Q130" s="61">
        <v>0.14000000000000001</v>
      </c>
      <c r="R130" s="53">
        <v>0.3</v>
      </c>
      <c r="S130" s="54">
        <v>1.4999999999999999E-2</v>
      </c>
      <c r="T130" s="61">
        <v>0.14000000000000001</v>
      </c>
      <c r="U130" s="53">
        <v>0.3</v>
      </c>
      <c r="V130" s="54">
        <v>1.4999999999999999E-2</v>
      </c>
      <c r="W130" s="52">
        <v>0.14000000000000001</v>
      </c>
      <c r="X130" s="53">
        <v>2.6</v>
      </c>
      <c r="Y130" s="54">
        <v>0.03</v>
      </c>
    </row>
    <row r="131" spans="1:25" ht="15.5" x14ac:dyDescent="0.35">
      <c r="A131" s="64">
        <v>2038</v>
      </c>
      <c r="B131" s="52">
        <v>0.5</v>
      </c>
      <c r="C131" s="58">
        <v>3</v>
      </c>
      <c r="D131" s="54">
        <v>0.02</v>
      </c>
      <c r="E131" s="52">
        <v>0.5</v>
      </c>
      <c r="F131" s="58">
        <v>3</v>
      </c>
      <c r="G131" s="54">
        <v>0.02</v>
      </c>
      <c r="H131" s="62">
        <v>0.14000000000000001</v>
      </c>
      <c r="I131" s="53">
        <v>0.3</v>
      </c>
      <c r="J131" s="63">
        <v>1.4999999999999999E-2</v>
      </c>
      <c r="K131" s="61">
        <v>0.14000000000000001</v>
      </c>
      <c r="L131" s="53">
        <v>0.3</v>
      </c>
      <c r="M131" s="54">
        <v>1.4999999999999999E-2</v>
      </c>
      <c r="N131" s="62">
        <v>0.14000000000000001</v>
      </c>
      <c r="O131" s="53">
        <v>0.3</v>
      </c>
      <c r="P131" s="63">
        <v>1.4999999999999999E-2</v>
      </c>
      <c r="Q131" s="61">
        <v>0.14000000000000001</v>
      </c>
      <c r="R131" s="53">
        <v>0.3</v>
      </c>
      <c r="S131" s="54">
        <v>1.4999999999999999E-2</v>
      </c>
      <c r="T131" s="61">
        <v>0.14000000000000001</v>
      </c>
      <c r="U131" s="53">
        <v>0.3</v>
      </c>
      <c r="V131" s="54">
        <v>1.4999999999999999E-2</v>
      </c>
      <c r="W131" s="52">
        <v>0.14000000000000001</v>
      </c>
      <c r="X131" s="53">
        <v>2.6</v>
      </c>
      <c r="Y131" s="54">
        <v>0.03</v>
      </c>
    </row>
    <row r="132" spans="1:25" ht="15.5" x14ac:dyDescent="0.35">
      <c r="A132" s="64">
        <v>2039</v>
      </c>
      <c r="B132" s="52">
        <v>0.5</v>
      </c>
      <c r="C132" s="58">
        <v>3</v>
      </c>
      <c r="D132" s="54">
        <v>0.02</v>
      </c>
      <c r="E132" s="52">
        <v>0.5</v>
      </c>
      <c r="F132" s="58">
        <v>3</v>
      </c>
      <c r="G132" s="54">
        <v>0.02</v>
      </c>
      <c r="H132" s="62">
        <v>0.14000000000000001</v>
      </c>
      <c r="I132" s="53">
        <v>0.3</v>
      </c>
      <c r="J132" s="63">
        <v>1.4999999999999999E-2</v>
      </c>
      <c r="K132" s="61">
        <v>0.14000000000000001</v>
      </c>
      <c r="L132" s="53">
        <v>0.3</v>
      </c>
      <c r="M132" s="54">
        <v>1.4999999999999999E-2</v>
      </c>
      <c r="N132" s="62">
        <v>0.14000000000000001</v>
      </c>
      <c r="O132" s="53">
        <v>0.3</v>
      </c>
      <c r="P132" s="63">
        <v>1.4999999999999999E-2</v>
      </c>
      <c r="Q132" s="61">
        <v>0.14000000000000001</v>
      </c>
      <c r="R132" s="53">
        <v>0.3</v>
      </c>
      <c r="S132" s="54">
        <v>1.4999999999999999E-2</v>
      </c>
      <c r="T132" s="61">
        <v>0.14000000000000001</v>
      </c>
      <c r="U132" s="53">
        <v>0.3</v>
      </c>
      <c r="V132" s="54">
        <v>1.4999999999999999E-2</v>
      </c>
      <c r="W132" s="52">
        <v>0.14000000000000001</v>
      </c>
      <c r="X132" s="53">
        <v>2.6</v>
      </c>
      <c r="Y132" s="54">
        <v>0.03</v>
      </c>
    </row>
    <row r="133" spans="1:25" ht="16" thickBot="1" x14ac:dyDescent="0.4">
      <c r="A133" s="65">
        <v>2040</v>
      </c>
      <c r="B133" s="66">
        <v>0.5</v>
      </c>
      <c r="C133" s="67">
        <v>3</v>
      </c>
      <c r="D133" s="68">
        <v>0.02</v>
      </c>
      <c r="E133" s="66">
        <v>0.5</v>
      </c>
      <c r="F133" s="67">
        <v>3</v>
      </c>
      <c r="G133" s="68">
        <v>0.02</v>
      </c>
      <c r="H133" s="69">
        <v>0.14000000000000001</v>
      </c>
      <c r="I133" s="70">
        <v>0.3</v>
      </c>
      <c r="J133" s="71">
        <v>1.4999999999999999E-2</v>
      </c>
      <c r="K133" s="72">
        <v>0.14000000000000001</v>
      </c>
      <c r="L133" s="70">
        <v>0.3</v>
      </c>
      <c r="M133" s="68">
        <v>1.4999999999999999E-2</v>
      </c>
      <c r="N133" s="69">
        <v>0.14000000000000001</v>
      </c>
      <c r="O133" s="70">
        <v>0.3</v>
      </c>
      <c r="P133" s="71">
        <v>1.4999999999999999E-2</v>
      </c>
      <c r="Q133" s="72">
        <v>0.14000000000000001</v>
      </c>
      <c r="R133" s="70">
        <v>0.3</v>
      </c>
      <c r="S133" s="68">
        <v>1.4999999999999999E-2</v>
      </c>
      <c r="T133" s="72">
        <v>0.14000000000000001</v>
      </c>
      <c r="U133" s="70">
        <v>0.3</v>
      </c>
      <c r="V133" s="68">
        <v>1.4999999999999999E-2</v>
      </c>
      <c r="W133" s="66">
        <v>0.14000000000000001</v>
      </c>
      <c r="X133" s="70">
        <v>2.6</v>
      </c>
      <c r="Y133" s="68">
        <v>0.03</v>
      </c>
    </row>
    <row r="134" spans="1:25" ht="18" x14ac:dyDescent="0.35">
      <c r="A134" s="950" t="s">
        <v>5875</v>
      </c>
      <c r="B134" s="951"/>
      <c r="C134" s="951"/>
      <c r="D134" s="951"/>
      <c r="E134" s="951"/>
      <c r="F134" s="951"/>
      <c r="G134" s="951"/>
      <c r="H134" s="951"/>
      <c r="I134" s="951"/>
      <c r="J134" s="952"/>
      <c r="K134" s="73"/>
      <c r="L134" s="73"/>
      <c r="M134" s="73"/>
      <c r="N134" s="73"/>
      <c r="O134" s="73"/>
      <c r="P134" s="73"/>
      <c r="Q134" s="73"/>
      <c r="R134" s="73"/>
      <c r="S134" s="73"/>
      <c r="T134" s="73"/>
      <c r="U134" s="73"/>
      <c r="V134" s="73"/>
      <c r="W134" s="74"/>
      <c r="X134" s="73"/>
      <c r="Y134" s="73"/>
    </row>
    <row r="135" spans="1:25" ht="19" x14ac:dyDescent="0.45">
      <c r="A135" s="928" t="s">
        <v>5889</v>
      </c>
      <c r="B135" s="953"/>
      <c r="C135" s="953"/>
      <c r="D135" s="953"/>
      <c r="E135" s="953"/>
      <c r="F135" s="953"/>
      <c r="G135" s="953"/>
      <c r="H135" s="953"/>
      <c r="I135" s="953"/>
      <c r="J135" s="1341"/>
      <c r="K135" s="73"/>
      <c r="L135" s="73"/>
      <c r="M135" s="73"/>
      <c r="N135" s="73"/>
      <c r="O135" s="73"/>
      <c r="P135" s="73"/>
      <c r="Q135" s="73"/>
      <c r="R135" s="73"/>
      <c r="S135" s="73"/>
      <c r="T135" s="73"/>
      <c r="U135" s="73"/>
      <c r="V135" s="73"/>
      <c r="W135" s="74"/>
      <c r="X135" s="73"/>
      <c r="Y135" s="73"/>
    </row>
    <row r="136" spans="1:25" ht="15.5" x14ac:dyDescent="0.35">
      <c r="A136" s="949" t="s">
        <v>5890</v>
      </c>
      <c r="B136" s="11"/>
      <c r="C136" s="11"/>
      <c r="D136" s="11"/>
      <c r="E136" s="11"/>
      <c r="F136" s="11"/>
      <c r="G136" s="11"/>
      <c r="H136" s="11"/>
      <c r="I136" s="11"/>
      <c r="J136" s="929"/>
      <c r="K136" s="73"/>
      <c r="L136" s="73"/>
      <c r="M136" s="73"/>
      <c r="N136" s="73"/>
      <c r="O136" s="73"/>
      <c r="P136" s="73"/>
      <c r="Q136" s="73"/>
      <c r="R136" s="73"/>
      <c r="S136" s="73"/>
      <c r="T136" s="73"/>
      <c r="U136" s="73"/>
      <c r="V136" s="73"/>
      <c r="W136" s="74"/>
      <c r="X136" s="73"/>
      <c r="Y136" s="73"/>
    </row>
    <row r="137" spans="1:25" ht="16" thickBot="1" x14ac:dyDescent="0.4">
      <c r="A137" s="946" t="s">
        <v>5891</v>
      </c>
      <c r="B137" s="947"/>
      <c r="C137" s="947"/>
      <c r="D137" s="947"/>
      <c r="E137" s="947"/>
      <c r="F137" s="947"/>
      <c r="G137" s="947"/>
      <c r="H137" s="947"/>
      <c r="I137" s="947"/>
      <c r="J137" s="948"/>
      <c r="K137" s="73"/>
      <c r="L137" s="73"/>
      <c r="M137" s="73"/>
      <c r="N137" s="73"/>
      <c r="O137" s="73"/>
      <c r="P137" s="73"/>
      <c r="Q137" s="73"/>
      <c r="R137" s="73"/>
      <c r="S137" s="73"/>
      <c r="T137" s="73"/>
      <c r="U137" s="73"/>
      <c r="V137" s="73"/>
      <c r="W137" s="74"/>
      <c r="X137" s="73"/>
      <c r="Y137" s="73"/>
    </row>
    <row r="138" spans="1:25" ht="16" thickBot="1" x14ac:dyDescent="0.4">
      <c r="A138" s="73"/>
      <c r="B138" s="74"/>
      <c r="C138" s="74"/>
      <c r="D138" s="73"/>
      <c r="E138" s="74"/>
      <c r="F138" s="74"/>
      <c r="G138" s="73"/>
      <c r="H138" s="73"/>
      <c r="I138" s="73"/>
      <c r="J138" s="73"/>
      <c r="K138" s="73"/>
      <c r="L138" s="73"/>
      <c r="M138" s="73"/>
      <c r="N138" s="73"/>
      <c r="O138" s="73"/>
      <c r="P138" s="73"/>
      <c r="Q138" s="73"/>
      <c r="R138" s="73"/>
      <c r="S138" s="73"/>
      <c r="T138" s="73"/>
      <c r="U138" s="73"/>
      <c r="V138" s="73"/>
      <c r="W138" s="74"/>
      <c r="X138" s="73"/>
      <c r="Y138" s="73"/>
    </row>
    <row r="139" spans="1:25" ht="15.5" x14ac:dyDescent="0.35">
      <c r="A139" s="935" t="s">
        <v>5892</v>
      </c>
      <c r="B139" s="936"/>
      <c r="C139" s="74"/>
      <c r="D139" s="73"/>
      <c r="E139" s="74"/>
      <c r="F139" s="74"/>
      <c r="G139" s="73"/>
      <c r="H139" s="73"/>
      <c r="I139" s="73"/>
      <c r="J139" s="73"/>
      <c r="K139" s="73"/>
      <c r="L139" s="73"/>
      <c r="M139" s="73"/>
      <c r="N139" s="73"/>
      <c r="O139" s="73"/>
      <c r="P139" s="73"/>
      <c r="Q139" s="73"/>
      <c r="R139" s="73"/>
      <c r="S139" s="73"/>
      <c r="T139" s="73"/>
      <c r="U139" s="73"/>
      <c r="V139" s="73"/>
      <c r="W139" s="74"/>
      <c r="X139" s="73"/>
      <c r="Y139" s="73"/>
    </row>
    <row r="140" spans="1:25" ht="15.5" x14ac:dyDescent="0.35">
      <c r="A140" s="75" t="s">
        <v>115</v>
      </c>
      <c r="B140" s="20" t="s">
        <v>5893</v>
      </c>
      <c r="C140" s="74"/>
      <c r="D140" s="73"/>
      <c r="E140" s="74"/>
      <c r="F140" s="74"/>
      <c r="G140" s="73"/>
      <c r="H140" s="73"/>
      <c r="I140" s="73"/>
      <c r="J140" s="73"/>
      <c r="K140" s="73"/>
      <c r="L140" s="73"/>
      <c r="M140" s="73"/>
      <c r="N140" s="73"/>
      <c r="O140" s="73"/>
      <c r="P140" s="73"/>
      <c r="Q140" s="73"/>
      <c r="R140" s="73"/>
      <c r="S140" s="73"/>
      <c r="T140" s="73"/>
      <c r="U140" s="73"/>
      <c r="V140" s="73"/>
      <c r="W140" s="74"/>
      <c r="X140" s="73"/>
      <c r="Y140" s="73"/>
    </row>
    <row r="141" spans="1:25" ht="15.5" x14ac:dyDescent="0.35">
      <c r="A141" s="76" t="s">
        <v>739</v>
      </c>
      <c r="B141" s="21">
        <v>1.21</v>
      </c>
      <c r="C141" s="74"/>
      <c r="D141" s="73"/>
      <c r="E141" s="74"/>
      <c r="F141" s="74"/>
      <c r="G141" s="73"/>
      <c r="H141" s="73"/>
      <c r="I141" s="73"/>
      <c r="J141" s="73"/>
      <c r="K141" s="73"/>
      <c r="L141" s="73"/>
      <c r="M141" s="73"/>
      <c r="N141" s="73"/>
      <c r="O141" s="73"/>
      <c r="P141" s="73"/>
      <c r="Q141" s="73"/>
      <c r="R141" s="73"/>
      <c r="S141" s="73"/>
      <c r="T141" s="73"/>
      <c r="U141" s="73"/>
      <c r="V141" s="73"/>
      <c r="W141" s="74"/>
      <c r="X141" s="73"/>
      <c r="Y141" s="73"/>
    </row>
    <row r="142" spans="1:25" ht="16" thickBot="1" x14ac:dyDescent="0.4">
      <c r="A142" s="77" t="s">
        <v>5894</v>
      </c>
      <c r="B142" s="24">
        <v>0.09</v>
      </c>
      <c r="C142" s="74"/>
      <c r="D142" s="73"/>
      <c r="E142" s="74"/>
      <c r="F142" s="74"/>
      <c r="G142" s="73"/>
      <c r="H142" s="73"/>
      <c r="I142" s="73"/>
      <c r="J142" s="73"/>
      <c r="K142" s="73"/>
      <c r="L142" s="73"/>
      <c r="M142" s="73"/>
      <c r="N142" s="73"/>
      <c r="O142" s="73"/>
      <c r="P142" s="73"/>
      <c r="Q142" s="73"/>
      <c r="R142" s="73"/>
      <c r="S142" s="73"/>
      <c r="T142" s="73"/>
      <c r="U142" s="73"/>
      <c r="V142" s="73"/>
      <c r="W142" s="74"/>
      <c r="X142" s="73"/>
      <c r="Y142" s="73"/>
    </row>
    <row r="143" spans="1:25" ht="16" thickBot="1" x14ac:dyDescent="0.4">
      <c r="A143" s="10"/>
      <c r="B143" s="12"/>
      <c r="C143" s="74"/>
      <c r="D143" s="73"/>
      <c r="E143" s="74"/>
      <c r="F143" s="74"/>
      <c r="G143" s="73"/>
      <c r="H143" s="73"/>
      <c r="I143" s="73"/>
      <c r="J143" s="73"/>
      <c r="K143" s="73"/>
      <c r="L143" s="73"/>
      <c r="M143" s="73"/>
      <c r="N143" s="73"/>
      <c r="O143" s="73"/>
      <c r="P143" s="73"/>
      <c r="Q143" s="73"/>
      <c r="R143" s="73"/>
      <c r="S143" s="73"/>
      <c r="T143" s="73"/>
      <c r="U143" s="73"/>
      <c r="V143" s="73"/>
      <c r="W143" s="74"/>
      <c r="X143" s="73"/>
      <c r="Y143" s="73"/>
    </row>
    <row r="144" spans="1:25" ht="17.5" x14ac:dyDescent="0.45">
      <c r="A144" s="935" t="s">
        <v>5895</v>
      </c>
      <c r="B144" s="936"/>
      <c r="C144" s="74"/>
      <c r="D144" s="73"/>
      <c r="E144" s="74"/>
      <c r="F144" s="74"/>
      <c r="G144" s="73"/>
      <c r="H144" s="73"/>
      <c r="I144" s="73"/>
      <c r="J144" s="73"/>
      <c r="K144" s="73"/>
      <c r="L144" s="73"/>
      <c r="M144" s="73"/>
      <c r="N144" s="73"/>
      <c r="O144" s="73"/>
      <c r="P144" s="73"/>
      <c r="Q144" s="73"/>
      <c r="R144" s="73"/>
      <c r="S144" s="73"/>
      <c r="T144" s="73"/>
      <c r="U144" s="73"/>
      <c r="V144" s="73"/>
      <c r="W144" s="74"/>
      <c r="X144" s="73"/>
      <c r="Y144" s="73"/>
    </row>
    <row r="145" spans="1:25" ht="15.5" x14ac:dyDescent="0.35">
      <c r="A145" s="75" t="s">
        <v>115</v>
      </c>
      <c r="B145" s="20" t="s">
        <v>5893</v>
      </c>
      <c r="C145" s="74"/>
      <c r="D145" s="73"/>
      <c r="E145" s="74"/>
      <c r="F145" s="74"/>
      <c r="G145" s="73"/>
      <c r="H145" s="73"/>
      <c r="I145" s="73"/>
      <c r="J145" s="73"/>
      <c r="K145" s="73"/>
      <c r="L145" s="73"/>
      <c r="M145" s="73"/>
      <c r="N145" s="73"/>
      <c r="O145" s="73"/>
      <c r="P145" s="73"/>
      <c r="Q145" s="73"/>
      <c r="R145" s="73"/>
      <c r="S145" s="73"/>
      <c r="T145" s="73"/>
      <c r="U145" s="73"/>
      <c r="V145" s="73"/>
      <c r="W145" s="74"/>
      <c r="X145" s="73"/>
      <c r="Y145" s="73"/>
    </row>
    <row r="146" spans="1:25" ht="16" thickBot="1" x14ac:dyDescent="0.4">
      <c r="A146" s="78" t="s">
        <v>739</v>
      </c>
      <c r="B146" s="24">
        <v>0.92</v>
      </c>
      <c r="C146" s="74"/>
      <c r="D146" s="73"/>
      <c r="E146" s="74"/>
      <c r="F146" s="74"/>
      <c r="G146" s="73"/>
      <c r="H146" s="73"/>
      <c r="I146" s="73"/>
      <c r="J146" s="73"/>
      <c r="K146" s="73"/>
      <c r="L146" s="73"/>
      <c r="M146" s="73"/>
      <c r="N146" s="73"/>
      <c r="O146" s="73"/>
      <c r="P146" s="73"/>
      <c r="Q146" s="73"/>
      <c r="R146" s="73"/>
      <c r="S146" s="73"/>
      <c r="T146" s="73"/>
      <c r="U146" s="73"/>
      <c r="V146" s="73"/>
      <c r="W146" s="74"/>
      <c r="X146" s="73"/>
      <c r="Y146" s="73"/>
    </row>
    <row r="147" spans="1:25" ht="16" thickBot="1" x14ac:dyDescent="0.4">
      <c r="A147" s="73"/>
      <c r="B147" s="74"/>
      <c r="C147" s="74"/>
      <c r="D147" s="73"/>
      <c r="E147" s="74"/>
      <c r="F147" s="74"/>
      <c r="G147" s="73"/>
      <c r="H147" s="73"/>
      <c r="I147" s="73"/>
      <c r="J147" s="73"/>
      <c r="K147" s="73"/>
      <c r="L147" s="73"/>
      <c r="M147" s="73"/>
      <c r="N147" s="73"/>
      <c r="O147" s="73"/>
      <c r="P147" s="73"/>
      <c r="Q147" s="73"/>
      <c r="R147" s="73"/>
      <c r="S147" s="73"/>
      <c r="T147" s="73"/>
      <c r="U147" s="73"/>
      <c r="V147" s="73"/>
      <c r="W147" s="74"/>
      <c r="X147" s="73"/>
      <c r="Y147" s="73"/>
    </row>
    <row r="148" spans="1:25" ht="15.5" x14ac:dyDescent="0.35">
      <c r="A148" s="935" t="s">
        <v>5896</v>
      </c>
      <c r="B148" s="936"/>
      <c r="C148" s="74"/>
      <c r="D148" s="73"/>
      <c r="E148" s="74"/>
      <c r="F148" s="74"/>
      <c r="G148" s="73"/>
      <c r="H148" s="73"/>
      <c r="I148" s="73"/>
      <c r="J148" s="73"/>
      <c r="K148" s="73"/>
      <c r="L148" s="73"/>
      <c r="M148" s="73"/>
      <c r="N148" s="73"/>
      <c r="O148" s="73"/>
      <c r="P148" s="73"/>
      <c r="Q148" s="73"/>
      <c r="R148" s="73"/>
      <c r="S148" s="73"/>
      <c r="T148" s="73"/>
      <c r="U148" s="73"/>
      <c r="V148" s="73"/>
      <c r="W148" s="74"/>
      <c r="X148" s="73"/>
      <c r="Y148" s="73"/>
    </row>
    <row r="149" spans="1:25" ht="20.25" customHeight="1" thickBot="1" x14ac:dyDescent="0.4">
      <c r="A149" s="78" t="s">
        <v>5859</v>
      </c>
      <c r="B149" s="24">
        <f>K14</f>
        <v>1.8190618117042301</v>
      </c>
      <c r="C149" s="74"/>
      <c r="D149" s="73"/>
      <c r="E149" s="74"/>
      <c r="F149" s="74"/>
      <c r="G149" s="73"/>
      <c r="H149" s="73"/>
      <c r="I149" s="73"/>
      <c r="J149" s="73"/>
      <c r="K149" s="73"/>
      <c r="L149" s="73"/>
      <c r="M149" s="73"/>
      <c r="N149" s="73"/>
      <c r="O149" s="73"/>
      <c r="P149" s="73"/>
      <c r="Q149" s="73"/>
      <c r="R149" s="73"/>
      <c r="S149" s="73"/>
      <c r="T149" s="73"/>
      <c r="U149" s="73"/>
      <c r="V149" s="73"/>
      <c r="W149" s="74"/>
      <c r="X149" s="73"/>
      <c r="Y149" s="73"/>
    </row>
    <row r="150" spans="1:25" ht="16" thickBot="1" x14ac:dyDescent="0.4">
      <c r="A150" s="73"/>
      <c r="B150" s="74"/>
      <c r="C150" s="74"/>
      <c r="D150" s="73"/>
      <c r="E150" s="74"/>
      <c r="F150" s="74"/>
      <c r="G150" s="73"/>
      <c r="H150" s="73"/>
      <c r="I150" s="73"/>
      <c r="J150" s="73"/>
      <c r="K150" s="73"/>
      <c r="L150" s="73"/>
      <c r="M150" s="73"/>
      <c r="N150" s="73"/>
      <c r="O150" s="73"/>
      <c r="P150" s="73"/>
      <c r="Q150" s="73"/>
      <c r="R150" s="73"/>
      <c r="S150" s="73"/>
      <c r="T150" s="73"/>
      <c r="U150" s="73"/>
      <c r="V150" s="73"/>
      <c r="W150" s="74"/>
      <c r="X150" s="73"/>
      <c r="Y150" s="73"/>
    </row>
    <row r="151" spans="1:25" ht="15.5" x14ac:dyDescent="0.35">
      <c r="A151" s="699" t="s">
        <v>748</v>
      </c>
      <c r="B151" s="700"/>
      <c r="C151" s="700"/>
      <c r="D151" s="700"/>
      <c r="E151" s="700"/>
      <c r="F151" s="700"/>
      <c r="G151" s="700"/>
      <c r="H151" s="700"/>
      <c r="I151" s="700"/>
      <c r="J151" s="701"/>
      <c r="K151" s="8"/>
      <c r="L151" s="8"/>
      <c r="M151" s="8"/>
      <c r="N151" s="8"/>
      <c r="O151" s="8"/>
    </row>
    <row r="152" spans="1:25" ht="15.5" x14ac:dyDescent="0.35">
      <c r="A152" s="35" t="s">
        <v>5897</v>
      </c>
      <c r="B152" s="10"/>
      <c r="C152" s="10"/>
      <c r="D152" s="10"/>
      <c r="E152" s="10"/>
      <c r="F152" s="10"/>
      <c r="G152" s="10"/>
      <c r="H152" s="10"/>
      <c r="I152" s="10"/>
      <c r="J152" s="36"/>
      <c r="K152" s="10"/>
      <c r="L152" s="10"/>
      <c r="M152" s="10"/>
      <c r="N152" s="10"/>
      <c r="O152" s="10"/>
    </row>
    <row r="153" spans="1:25" ht="15.5" x14ac:dyDescent="0.35">
      <c r="A153" s="37" t="s">
        <v>5898</v>
      </c>
      <c r="B153" s="10"/>
      <c r="C153" s="10"/>
      <c r="D153" s="10"/>
      <c r="E153" s="10"/>
      <c r="F153" s="10"/>
      <c r="G153" s="10"/>
      <c r="H153" s="10"/>
      <c r="I153" s="10"/>
      <c r="J153" s="36"/>
      <c r="K153" s="10"/>
      <c r="L153" s="10"/>
      <c r="M153" s="10"/>
      <c r="N153" s="10"/>
      <c r="O153" s="10"/>
    </row>
    <row r="154" spans="1:25" ht="15.5" x14ac:dyDescent="0.35">
      <c r="A154" s="35" t="s">
        <v>5899</v>
      </c>
      <c r="B154" s="10"/>
      <c r="C154" s="10"/>
      <c r="D154" s="10"/>
      <c r="E154" s="10"/>
      <c r="F154" s="10"/>
      <c r="G154" s="10"/>
      <c r="H154" s="10"/>
      <c r="I154" s="10"/>
      <c r="J154" s="36"/>
      <c r="K154" s="10"/>
      <c r="L154" s="10"/>
      <c r="M154" s="10"/>
      <c r="N154" s="10"/>
      <c r="O154" s="10"/>
    </row>
    <row r="155" spans="1:25" ht="15.5" x14ac:dyDescent="0.35">
      <c r="A155" s="79" t="s">
        <v>5900</v>
      </c>
      <c r="B155" s="10"/>
      <c r="C155" s="10"/>
      <c r="D155" s="10"/>
      <c r="E155" s="10"/>
      <c r="F155" s="10"/>
      <c r="G155" s="10"/>
      <c r="H155" s="10"/>
      <c r="I155" s="10"/>
      <c r="J155" s="36"/>
      <c r="K155" s="10"/>
      <c r="L155" s="10"/>
      <c r="M155" s="10"/>
      <c r="N155" s="10"/>
      <c r="O155" s="10"/>
    </row>
    <row r="156" spans="1:25" ht="15.5" x14ac:dyDescent="0.35">
      <c r="A156" s="35" t="s">
        <v>5901</v>
      </c>
      <c r="B156" s="10"/>
      <c r="C156" s="10"/>
      <c r="D156" s="10"/>
      <c r="E156" s="10"/>
      <c r="F156" s="10"/>
      <c r="G156" s="10"/>
      <c r="H156" s="10"/>
      <c r="I156" s="10"/>
      <c r="J156" s="36"/>
      <c r="K156" s="10"/>
      <c r="L156" s="10"/>
      <c r="M156" s="10"/>
      <c r="N156" s="10"/>
      <c r="O156" s="10"/>
    </row>
    <row r="157" spans="1:25" ht="15.5" x14ac:dyDescent="0.35">
      <c r="A157" s="79" t="s">
        <v>5902</v>
      </c>
      <c r="B157" s="10"/>
      <c r="C157" s="10"/>
      <c r="D157" s="10"/>
      <c r="E157" s="10"/>
      <c r="F157" s="10"/>
      <c r="G157" s="10"/>
      <c r="H157" s="10"/>
      <c r="I157" s="10"/>
      <c r="J157" s="36"/>
      <c r="K157" s="10"/>
      <c r="L157" s="10"/>
      <c r="M157" s="10"/>
      <c r="N157" s="10"/>
      <c r="O157" s="10"/>
    </row>
    <row r="158" spans="1:25" ht="15.5" x14ac:dyDescent="0.35">
      <c r="A158" s="35" t="s">
        <v>5903</v>
      </c>
      <c r="B158" s="10"/>
      <c r="C158" s="10"/>
      <c r="D158" s="10"/>
      <c r="E158" s="10"/>
      <c r="F158" s="10"/>
      <c r="G158" s="10"/>
      <c r="H158" s="10"/>
      <c r="I158" s="10"/>
      <c r="J158" s="36"/>
      <c r="K158" s="10"/>
      <c r="L158" s="10"/>
      <c r="M158" s="10"/>
      <c r="N158" s="10"/>
      <c r="O158" s="10"/>
    </row>
    <row r="159" spans="1:25" ht="15.5" x14ac:dyDescent="0.35">
      <c r="A159" s="79" t="s">
        <v>5904</v>
      </c>
      <c r="B159" s="10"/>
      <c r="C159" s="10"/>
      <c r="D159" s="10"/>
      <c r="E159" s="10"/>
      <c r="F159" s="10"/>
      <c r="G159" s="10"/>
      <c r="H159" s="10"/>
      <c r="I159" s="10"/>
      <c r="J159" s="36"/>
      <c r="K159" s="10"/>
      <c r="L159" s="10"/>
      <c r="M159" s="10"/>
      <c r="N159" s="10"/>
      <c r="O159" s="10"/>
    </row>
    <row r="160" spans="1:25" ht="15.5" x14ac:dyDescent="0.35">
      <c r="A160" s="35" t="s">
        <v>5905</v>
      </c>
      <c r="B160" s="10"/>
      <c r="C160" s="10"/>
      <c r="D160" s="10"/>
      <c r="E160" s="10"/>
      <c r="F160" s="10"/>
      <c r="G160" s="10"/>
      <c r="H160" s="10"/>
      <c r="I160" s="10"/>
      <c r="J160" s="36"/>
      <c r="K160" s="10"/>
      <c r="L160" s="10"/>
      <c r="M160" s="10"/>
      <c r="N160" s="10"/>
      <c r="O160" s="10"/>
    </row>
    <row r="161" spans="1:15" ht="16" thickBot="1" x14ac:dyDescent="0.4">
      <c r="A161" s="38" t="s">
        <v>5906</v>
      </c>
      <c r="B161" s="80"/>
      <c r="C161" s="39"/>
      <c r="D161" s="39"/>
      <c r="E161" s="39"/>
      <c r="F161" s="39"/>
      <c r="G161" s="39"/>
      <c r="H161" s="39"/>
      <c r="I161" s="39"/>
      <c r="J161" s="40"/>
      <c r="K161" s="10"/>
      <c r="L161" s="10"/>
      <c r="M161" s="10"/>
      <c r="N161" s="10"/>
      <c r="O161" s="10"/>
    </row>
  </sheetData>
  <hyperlinks>
    <hyperlink ref="A33" r:id="rId1" tooltip="Link to Locomotive emission factors codified at 40 CFR part 1033" xr:uid="{00000000-0004-0000-1800-000000000000}"/>
    <hyperlink ref="A35" r:id="rId2" tooltip="Link to Criteria pollutant emission factors are derived from US EPA Emission Factors for Locomotives, EPA-420-F-09-025" xr:uid="{00000000-0004-0000-1800-000001000000}"/>
    <hyperlink ref="A153" r:id="rId3" tooltip="Link to In-Use Off-Road Diesel Vehicles emission factors codified at 13 CCR part 2449" xr:uid="{00000000-0004-0000-1800-000002000000}"/>
    <hyperlink ref="A161" r:id="rId4" tooltip="Link to Carl Moyer Program Guidelines" xr:uid="{00000000-0004-0000-1800-000003000000}"/>
    <hyperlink ref="A155" r:id="rId5" tooltip="Link to Off-Road Diesel New Engine Emission Standards" xr:uid="{00000000-0004-0000-1800-000004000000}"/>
    <hyperlink ref="A157" r:id="rId6" tooltip="Link to OFFROAD Diesel Equipment Documentation" xr:uid="{00000000-0004-0000-1800-000005000000}"/>
    <hyperlink ref="A159" r:id="rId7" tooltip="Link to Technical Support Document: Proposed Regulation For In-use Off-road Diesel Vehicles" xr:uid="{00000000-0004-0000-1800-000006000000}"/>
  </hyperlinks>
  <pageMargins left="0.7" right="0.7" top="0.75" bottom="0.75" header="0.3" footer="0.3"/>
  <pageSetup scale="59" orientation="landscape" r:id="rId8"/>
  <headerFooter>
    <oddFooter>&amp;L&amp;"Avenir LT Std 55 Roman,Regular"&amp;12December 30, 2020&amp;C&amp;"Avenir LT Std 55 Roman,Regular"&amp;12&amp;P of &amp;N&amp;R&amp;"Avenir LT Std 55 Roman,Regular"&amp;12&amp;A</oddFooter>
  </headerFooter>
  <colBreaks count="1" manualBreakCount="1">
    <brk id="25" max="1048575" man="1"/>
  </colBreaks>
  <drawing r:id="rId9"/>
  <legacyDrawingHF r:id="rId1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1"/>
  </sheetPr>
  <dimension ref="A1:AK200"/>
  <sheetViews>
    <sheetView showGridLines="0" zoomScaleNormal="100" zoomScalePageLayoutView="70" workbookViewId="0"/>
  </sheetViews>
  <sheetFormatPr defaultColWidth="9.08984375" defaultRowHeight="14" x14ac:dyDescent="0.3"/>
  <cols>
    <col min="1" max="1" width="17.453125" style="7" customWidth="1"/>
    <col min="2" max="2" width="13.453125" style="7" bestFit="1" customWidth="1"/>
    <col min="3" max="10" width="11.453125" style="7" customWidth="1"/>
    <col min="11" max="11" width="10.90625" style="7" customWidth="1"/>
    <col min="12" max="12" width="32.453125" style="7" customWidth="1"/>
    <col min="13" max="13" width="21.90625" style="7" bestFit="1" customWidth="1"/>
    <col min="14" max="14" width="14.453125" style="7" bestFit="1" customWidth="1"/>
    <col min="15" max="37" width="10.90625" style="7" customWidth="1"/>
    <col min="38" max="16384" width="9.08984375" style="7"/>
  </cols>
  <sheetData>
    <row r="1" spans="1:19" s="3" customFormat="1" ht="15" customHeight="1" x14ac:dyDescent="0.35">
      <c r="A1" s="2"/>
      <c r="B1" s="2"/>
      <c r="C1" s="2"/>
      <c r="D1" s="2"/>
      <c r="E1" s="2"/>
      <c r="F1" s="2"/>
      <c r="G1" s="2"/>
      <c r="H1" s="2"/>
      <c r="I1" s="2"/>
      <c r="J1" s="2"/>
      <c r="K1" s="2"/>
      <c r="L1" s="2"/>
      <c r="M1" s="2"/>
      <c r="N1" s="2"/>
      <c r="O1" s="2"/>
      <c r="P1" s="2"/>
      <c r="Q1" s="2"/>
      <c r="R1" s="2"/>
      <c r="S1" s="2"/>
    </row>
    <row r="2" spans="1:19" s="3" customFormat="1" ht="15" customHeight="1" x14ac:dyDescent="0.35">
      <c r="A2" s="6"/>
      <c r="B2" s="6"/>
      <c r="C2" s="6"/>
      <c r="D2" s="6"/>
      <c r="E2" s="6"/>
    </row>
    <row r="3" spans="1:19" s="3" customFormat="1" ht="15" customHeight="1" x14ac:dyDescent="0.35">
      <c r="A3" s="2"/>
      <c r="B3" s="2"/>
      <c r="C3" s="2"/>
      <c r="D3" s="2"/>
      <c r="E3" s="2"/>
      <c r="F3" s="2"/>
      <c r="G3" s="2"/>
      <c r="H3" s="2"/>
      <c r="I3" s="2"/>
      <c r="J3" s="2"/>
      <c r="K3" s="2"/>
      <c r="L3" s="2"/>
      <c r="M3" s="2"/>
      <c r="N3" s="2"/>
      <c r="O3" s="2"/>
      <c r="P3" s="2"/>
      <c r="Q3" s="2"/>
      <c r="R3" s="2"/>
      <c r="S3" s="2"/>
    </row>
    <row r="4" spans="1:19" s="3" customFormat="1" ht="15" customHeight="1" x14ac:dyDescent="0.35">
      <c r="A4" s="5"/>
      <c r="B4" s="5"/>
      <c r="C4" s="5"/>
      <c r="D4" s="5"/>
      <c r="E4" s="5"/>
      <c r="F4" s="5"/>
      <c r="G4" s="5"/>
      <c r="H4" s="5"/>
      <c r="I4" s="5"/>
      <c r="J4" s="5"/>
      <c r="K4" s="5"/>
      <c r="L4" s="5"/>
      <c r="M4" s="5"/>
      <c r="N4" s="5"/>
      <c r="O4" s="5"/>
      <c r="P4" s="5"/>
      <c r="Q4" s="5"/>
      <c r="R4" s="5"/>
      <c r="S4" s="5"/>
    </row>
    <row r="5" spans="1:19" s="3" customFormat="1" ht="15" customHeight="1" x14ac:dyDescent="0.35">
      <c r="A5" s="6"/>
      <c r="B5" s="6"/>
      <c r="C5" s="6"/>
      <c r="D5" s="6"/>
      <c r="E5" s="6"/>
    </row>
    <row r="6" spans="1:19" s="3" customFormat="1" ht="15" customHeight="1" x14ac:dyDescent="0.35">
      <c r="A6" s="2"/>
      <c r="B6" s="2"/>
      <c r="C6" s="2"/>
      <c r="D6" s="2"/>
      <c r="E6" s="2"/>
      <c r="F6" s="2"/>
      <c r="G6" s="2"/>
      <c r="H6" s="2"/>
      <c r="I6" s="2"/>
      <c r="J6" s="2"/>
      <c r="K6" s="2"/>
      <c r="L6" s="2"/>
      <c r="M6" s="2"/>
      <c r="N6" s="2"/>
      <c r="O6" s="2"/>
      <c r="P6" s="2"/>
      <c r="Q6" s="2"/>
      <c r="R6" s="2"/>
      <c r="S6" s="2"/>
    </row>
    <row r="7" spans="1:19" s="3" customFormat="1" ht="15" customHeight="1" x14ac:dyDescent="0.35">
      <c r="A7" s="6"/>
      <c r="B7" s="6"/>
      <c r="C7" s="6"/>
      <c r="D7" s="6"/>
      <c r="E7" s="6"/>
    </row>
    <row r="11" spans="1:19" ht="15.5" x14ac:dyDescent="0.35">
      <c r="A11" s="922" t="s">
        <v>5907</v>
      </c>
      <c r="B11" s="923"/>
      <c r="C11" s="923"/>
      <c r="D11" s="923"/>
      <c r="E11" s="923"/>
      <c r="F11" s="923"/>
      <c r="G11" s="923"/>
      <c r="H11" s="923"/>
      <c r="I11" s="923"/>
      <c r="J11" s="923"/>
      <c r="K11" s="923"/>
      <c r="L11" s="923"/>
      <c r="M11" s="923"/>
      <c r="N11" s="923"/>
      <c r="O11" s="923"/>
      <c r="P11" s="924"/>
    </row>
    <row r="12" spans="1:19" ht="16" thickBot="1" x14ac:dyDescent="0.4">
      <c r="A12" s="81"/>
      <c r="B12" s="81"/>
      <c r="C12" s="81"/>
      <c r="D12" s="81"/>
      <c r="E12" s="81"/>
      <c r="F12" s="81"/>
      <c r="G12" s="81"/>
      <c r="H12" s="81"/>
      <c r="I12" s="81"/>
      <c r="J12" s="81"/>
      <c r="K12" s="81"/>
      <c r="L12" s="81"/>
      <c r="M12" s="81"/>
    </row>
    <row r="13" spans="1:19" ht="16" thickBot="1" x14ac:dyDescent="0.4">
      <c r="A13" s="912" t="s">
        <v>5908</v>
      </c>
      <c r="B13" s="913"/>
      <c r="C13" s="913"/>
      <c r="D13" s="913"/>
      <c r="E13" s="913"/>
      <c r="F13" s="913"/>
      <c r="G13" s="913"/>
      <c r="H13" s="913"/>
      <c r="I13" s="913"/>
      <c r="J13" s="914"/>
      <c r="K13" s="81"/>
      <c r="L13" s="81"/>
      <c r="M13" s="81"/>
    </row>
    <row r="14" spans="1:19" ht="18" thickBot="1" x14ac:dyDescent="0.5">
      <c r="A14" s="1044" t="s">
        <v>5887</v>
      </c>
      <c r="B14" s="1045" t="s">
        <v>119</v>
      </c>
      <c r="C14" s="499" t="s">
        <v>5909</v>
      </c>
      <c r="D14" s="499" t="s">
        <v>5910</v>
      </c>
      <c r="E14" s="1046" t="s">
        <v>5911</v>
      </c>
      <c r="F14" s="1047" t="s">
        <v>5912</v>
      </c>
      <c r="G14" s="498" t="s">
        <v>5913</v>
      </c>
      <c r="H14" s="499" t="s">
        <v>5914</v>
      </c>
      <c r="I14" s="1046" t="s">
        <v>5915</v>
      </c>
      <c r="J14" s="1048" t="s">
        <v>5916</v>
      </c>
      <c r="K14" s="81"/>
      <c r="L14" s="912" t="s">
        <v>5917</v>
      </c>
      <c r="M14" s="914"/>
    </row>
    <row r="15" spans="1:19" ht="16" thickBot="1" x14ac:dyDescent="0.4">
      <c r="A15" s="1049" t="s">
        <v>5918</v>
      </c>
      <c r="B15" s="1037" t="s">
        <v>5919</v>
      </c>
      <c r="C15" s="1173">
        <v>8.14</v>
      </c>
      <c r="D15" s="1174">
        <v>1.84</v>
      </c>
      <c r="E15" s="1173">
        <v>0.72</v>
      </c>
      <c r="F15" s="1175">
        <f>E15*0.92</f>
        <v>0.66239999999999999</v>
      </c>
      <c r="G15" s="1173">
        <v>6.9</v>
      </c>
      <c r="H15" s="1176">
        <v>2.19</v>
      </c>
      <c r="I15" s="1173">
        <v>0.64</v>
      </c>
      <c r="J15" s="1174">
        <f>I15*0.92</f>
        <v>0.58879999999999999</v>
      </c>
      <c r="K15" s="81"/>
      <c r="L15" s="905" t="s">
        <v>5920</v>
      </c>
      <c r="M15" s="906">
        <v>5.8000000000000003E-2</v>
      </c>
    </row>
    <row r="16" spans="1:19" ht="16" thickBot="1" x14ac:dyDescent="0.4">
      <c r="A16" s="1050"/>
      <c r="B16" s="1038" t="s">
        <v>5921</v>
      </c>
      <c r="C16" s="1177">
        <v>8.14</v>
      </c>
      <c r="D16" s="1178">
        <v>1.8</v>
      </c>
      <c r="E16" s="1177">
        <v>0.72</v>
      </c>
      <c r="F16" s="1179">
        <f t="shared" ref="F16:F79" si="0">E16*0.92</f>
        <v>0.66239999999999999</v>
      </c>
      <c r="G16" s="1177">
        <v>6.9</v>
      </c>
      <c r="H16" s="1180">
        <v>2.14</v>
      </c>
      <c r="I16" s="1177">
        <v>0.64</v>
      </c>
      <c r="J16" s="1181">
        <f t="shared" ref="J16:J79" si="1">I16*0.92</f>
        <v>0.58879999999999999</v>
      </c>
      <c r="K16" s="81"/>
      <c r="L16" s="81"/>
      <c r="M16" s="81"/>
    </row>
    <row r="17" spans="1:16" ht="16" thickBot="1" x14ac:dyDescent="0.4">
      <c r="A17" s="1050"/>
      <c r="B17" s="1039" t="s">
        <v>5922</v>
      </c>
      <c r="C17" s="1182">
        <v>7.31</v>
      </c>
      <c r="D17" s="1183">
        <v>1.8</v>
      </c>
      <c r="E17" s="1182">
        <v>0.72</v>
      </c>
      <c r="F17" s="1184">
        <f t="shared" si="0"/>
        <v>0.66239999999999999</v>
      </c>
      <c r="G17" s="1182">
        <v>6.9</v>
      </c>
      <c r="H17" s="1185">
        <v>2.14</v>
      </c>
      <c r="I17" s="1182">
        <v>0.64</v>
      </c>
      <c r="J17" s="1186">
        <f t="shared" si="1"/>
        <v>0.58879999999999999</v>
      </c>
      <c r="K17" s="81"/>
      <c r="L17" s="907" t="s">
        <v>5923</v>
      </c>
      <c r="M17" s="908"/>
    </row>
    <row r="18" spans="1:16" ht="16" thickBot="1" x14ac:dyDescent="0.4">
      <c r="A18" s="1050"/>
      <c r="B18" s="1038" t="s">
        <v>5924</v>
      </c>
      <c r="C18" s="1177">
        <v>5.32</v>
      </c>
      <c r="D18" s="1178">
        <v>1.8</v>
      </c>
      <c r="E18" s="1177">
        <v>0.3</v>
      </c>
      <c r="F18" s="1179">
        <f t="shared" si="0"/>
        <v>0.27600000000000002</v>
      </c>
      <c r="G18" s="1177">
        <v>5.32</v>
      </c>
      <c r="H18" s="1180">
        <v>2.14</v>
      </c>
      <c r="I18" s="1177">
        <v>0.3</v>
      </c>
      <c r="J18" s="1181">
        <f t="shared" si="1"/>
        <v>0.27600000000000002</v>
      </c>
      <c r="K18" s="81"/>
      <c r="L18" s="905" t="s">
        <v>5925</v>
      </c>
      <c r="M18" s="906">
        <v>0.42</v>
      </c>
    </row>
    <row r="19" spans="1:16" ht="16" thickBot="1" x14ac:dyDescent="0.4">
      <c r="A19" s="1051"/>
      <c r="B19" s="1040" t="s">
        <v>5926</v>
      </c>
      <c r="C19" s="1187">
        <v>5.32</v>
      </c>
      <c r="D19" s="1188">
        <v>1.8</v>
      </c>
      <c r="E19" s="1187">
        <v>0.22</v>
      </c>
      <c r="F19" s="1189">
        <f t="shared" si="0"/>
        <v>0.2024</v>
      </c>
      <c r="G19" s="1187">
        <v>5.32</v>
      </c>
      <c r="H19" s="1190">
        <v>2.14</v>
      </c>
      <c r="I19" s="1187">
        <v>0.22</v>
      </c>
      <c r="J19" s="1191">
        <f t="shared" si="1"/>
        <v>0.2024</v>
      </c>
      <c r="K19" s="81"/>
      <c r="L19" s="82" t="s">
        <v>5927</v>
      </c>
      <c r="M19" s="83">
        <v>0.43</v>
      </c>
    </row>
    <row r="20" spans="1:16" ht="16" thickBot="1" x14ac:dyDescent="0.4">
      <c r="A20" s="1050" t="s">
        <v>5928</v>
      </c>
      <c r="B20" s="1041" t="s">
        <v>5929</v>
      </c>
      <c r="C20" s="1192">
        <v>15.34</v>
      </c>
      <c r="D20" s="1181">
        <v>1.44</v>
      </c>
      <c r="E20" s="1192">
        <v>0.8</v>
      </c>
      <c r="F20" s="1193">
        <f t="shared" si="0"/>
        <v>0.7360000000000001</v>
      </c>
      <c r="G20" s="1192">
        <v>13</v>
      </c>
      <c r="H20" s="1194">
        <v>1.71</v>
      </c>
      <c r="I20" s="1192">
        <v>0.71</v>
      </c>
      <c r="J20" s="1181">
        <f t="shared" si="1"/>
        <v>0.6532</v>
      </c>
      <c r="K20" s="81"/>
      <c r="L20" s="81"/>
      <c r="M20" s="81"/>
    </row>
    <row r="21" spans="1:16" ht="16" thickBot="1" x14ac:dyDescent="0.4">
      <c r="A21" s="1050"/>
      <c r="B21" s="1039" t="s">
        <v>5930</v>
      </c>
      <c r="C21" s="1182">
        <v>10.33</v>
      </c>
      <c r="D21" s="1183">
        <v>0.99</v>
      </c>
      <c r="E21" s="1182">
        <v>0.66</v>
      </c>
      <c r="F21" s="1184">
        <f t="shared" si="0"/>
        <v>0.60720000000000007</v>
      </c>
      <c r="G21" s="1182">
        <v>8.75</v>
      </c>
      <c r="H21" s="1185">
        <v>1.18</v>
      </c>
      <c r="I21" s="1182">
        <v>0.57999999999999996</v>
      </c>
      <c r="J21" s="1186">
        <f t="shared" si="1"/>
        <v>0.53359999999999996</v>
      </c>
      <c r="K21" s="81"/>
      <c r="L21" s="907" t="s">
        <v>5931</v>
      </c>
      <c r="M21" s="915"/>
      <c r="N21" s="915"/>
      <c r="O21" s="915"/>
      <c r="P21" s="916"/>
    </row>
    <row r="22" spans="1:16" ht="18" thickBot="1" x14ac:dyDescent="0.5">
      <c r="A22" s="1050"/>
      <c r="B22" s="1038" t="s">
        <v>5922</v>
      </c>
      <c r="C22" s="1177">
        <v>7.31</v>
      </c>
      <c r="D22" s="1178">
        <v>0.99</v>
      </c>
      <c r="E22" s="1177">
        <v>0.66</v>
      </c>
      <c r="F22" s="1179">
        <f t="shared" si="0"/>
        <v>0.60720000000000007</v>
      </c>
      <c r="G22" s="1177">
        <v>7.31</v>
      </c>
      <c r="H22" s="1180">
        <v>1.18</v>
      </c>
      <c r="I22" s="1177">
        <v>0.57999999999999996</v>
      </c>
      <c r="J22" s="1181">
        <f t="shared" si="1"/>
        <v>0.53359999999999996</v>
      </c>
      <c r="K22" s="81"/>
      <c r="L22" s="909" t="s">
        <v>5932</v>
      </c>
      <c r="M22" s="909" t="s">
        <v>313</v>
      </c>
      <c r="N22" s="909" t="s">
        <v>315</v>
      </c>
      <c r="O22" s="909" t="s">
        <v>5888</v>
      </c>
      <c r="P22" s="909" t="s">
        <v>5933</v>
      </c>
    </row>
    <row r="23" spans="1:16" ht="16" thickBot="1" x14ac:dyDescent="0.4">
      <c r="A23" s="1050"/>
      <c r="B23" s="1039" t="s">
        <v>5924</v>
      </c>
      <c r="C23" s="1182">
        <v>5.32</v>
      </c>
      <c r="D23" s="1183">
        <v>0.99</v>
      </c>
      <c r="E23" s="1182">
        <v>0.3</v>
      </c>
      <c r="F23" s="1184">
        <f t="shared" si="0"/>
        <v>0.27600000000000002</v>
      </c>
      <c r="G23" s="1182">
        <v>5.32</v>
      </c>
      <c r="H23" s="1185">
        <v>1.18</v>
      </c>
      <c r="I23" s="1182">
        <v>0.3</v>
      </c>
      <c r="J23" s="1186">
        <f t="shared" si="1"/>
        <v>0.27600000000000002</v>
      </c>
      <c r="K23" s="81"/>
      <c r="L23" s="83" t="s">
        <v>5934</v>
      </c>
      <c r="M23" s="83">
        <v>0.06</v>
      </c>
      <c r="N23" s="83">
        <v>0.31</v>
      </c>
      <c r="O23" s="83">
        <v>0.51</v>
      </c>
      <c r="P23" s="83">
        <v>0.41</v>
      </c>
    </row>
    <row r="24" spans="1:16" ht="16" thickBot="1" x14ac:dyDescent="0.4">
      <c r="A24" s="1051"/>
      <c r="B24" s="1042" t="s">
        <v>5926</v>
      </c>
      <c r="C24" s="1195">
        <v>5.32</v>
      </c>
      <c r="D24" s="1196">
        <v>0.99</v>
      </c>
      <c r="E24" s="1195">
        <v>0.22</v>
      </c>
      <c r="F24" s="1342">
        <f t="shared" si="0"/>
        <v>0.2024</v>
      </c>
      <c r="G24" s="1195">
        <v>5.32</v>
      </c>
      <c r="H24" s="1197">
        <v>1.18</v>
      </c>
      <c r="I24" s="1195">
        <v>0.22</v>
      </c>
      <c r="J24" s="1198">
        <f t="shared" si="1"/>
        <v>0.2024</v>
      </c>
      <c r="K24" s="81"/>
      <c r="L24" s="83" t="s">
        <v>5935</v>
      </c>
      <c r="M24" s="83">
        <v>0.14000000000000001</v>
      </c>
      <c r="N24" s="83">
        <v>0.44</v>
      </c>
      <c r="O24" s="83">
        <v>0.28000000000000003</v>
      </c>
      <c r="P24" s="83">
        <v>0.16</v>
      </c>
    </row>
    <row r="25" spans="1:16" ht="16" thickBot="1" x14ac:dyDescent="0.4">
      <c r="A25" s="1050" t="s">
        <v>5936</v>
      </c>
      <c r="B25" s="1043" t="s">
        <v>5937</v>
      </c>
      <c r="C25" s="1173">
        <v>16.52</v>
      </c>
      <c r="D25" s="1174">
        <v>1.32</v>
      </c>
      <c r="E25" s="1173">
        <v>0.73</v>
      </c>
      <c r="F25" s="1175">
        <f t="shared" si="0"/>
        <v>0.67159999999999997</v>
      </c>
      <c r="G25" s="1173">
        <v>14</v>
      </c>
      <c r="H25" s="1176">
        <v>1.57</v>
      </c>
      <c r="I25" s="1173">
        <v>0.65</v>
      </c>
      <c r="J25" s="1174">
        <f t="shared" si="1"/>
        <v>0.59800000000000009</v>
      </c>
      <c r="K25" s="81"/>
      <c r="L25" s="83" t="s">
        <v>5938</v>
      </c>
      <c r="M25" s="83">
        <v>0.21</v>
      </c>
      <c r="N25" s="83">
        <v>0.67</v>
      </c>
      <c r="O25" s="83">
        <v>0.44</v>
      </c>
      <c r="P25" s="83">
        <v>0.25</v>
      </c>
    </row>
    <row r="26" spans="1:16" ht="16" thickBot="1" x14ac:dyDescent="0.4">
      <c r="A26" s="1050"/>
      <c r="B26" s="1038" t="s">
        <v>5939</v>
      </c>
      <c r="C26" s="1177">
        <v>15.34</v>
      </c>
      <c r="D26" s="1178">
        <v>1.1000000000000001</v>
      </c>
      <c r="E26" s="1177">
        <v>0.63</v>
      </c>
      <c r="F26" s="1179">
        <f t="shared" si="0"/>
        <v>0.5796</v>
      </c>
      <c r="G26" s="1177">
        <v>13</v>
      </c>
      <c r="H26" s="1180">
        <v>1.31</v>
      </c>
      <c r="I26" s="1177">
        <v>0.55000000000000004</v>
      </c>
      <c r="J26" s="1181">
        <f t="shared" si="1"/>
        <v>0.50600000000000012</v>
      </c>
      <c r="K26" s="81"/>
      <c r="L26" s="81"/>
      <c r="M26" s="81"/>
    </row>
    <row r="27" spans="1:16" ht="16" thickBot="1" x14ac:dyDescent="0.4">
      <c r="A27" s="1050"/>
      <c r="B27" s="1039" t="s">
        <v>5940</v>
      </c>
      <c r="C27" s="1182">
        <v>14.16</v>
      </c>
      <c r="D27" s="1183">
        <v>1</v>
      </c>
      <c r="E27" s="1182">
        <v>0.52</v>
      </c>
      <c r="F27" s="1184">
        <f t="shared" si="0"/>
        <v>0.47840000000000005</v>
      </c>
      <c r="G27" s="1182">
        <v>12</v>
      </c>
      <c r="H27" s="1185">
        <v>1.19</v>
      </c>
      <c r="I27" s="1182">
        <v>0.46</v>
      </c>
      <c r="J27" s="1186">
        <f t="shared" si="1"/>
        <v>0.42320000000000002</v>
      </c>
      <c r="K27" s="81"/>
      <c r="L27" s="907" t="s">
        <v>5941</v>
      </c>
      <c r="M27" s="917"/>
      <c r="N27" s="917"/>
      <c r="O27" s="917"/>
      <c r="P27" s="908"/>
    </row>
    <row r="28" spans="1:16" ht="18" thickBot="1" x14ac:dyDescent="0.5">
      <c r="A28" s="1050"/>
      <c r="B28" s="1038" t="s">
        <v>5942</v>
      </c>
      <c r="C28" s="1177">
        <v>12.98</v>
      </c>
      <c r="D28" s="1178">
        <v>0.94</v>
      </c>
      <c r="E28" s="1177">
        <v>0.52</v>
      </c>
      <c r="F28" s="1179">
        <f t="shared" si="0"/>
        <v>0.47840000000000005</v>
      </c>
      <c r="G28" s="1177">
        <v>11</v>
      </c>
      <c r="H28" s="1180">
        <v>1.1200000000000001</v>
      </c>
      <c r="I28" s="1177">
        <v>0.46</v>
      </c>
      <c r="J28" s="1181">
        <f t="shared" si="1"/>
        <v>0.42320000000000002</v>
      </c>
      <c r="K28" s="81"/>
      <c r="L28" s="909" t="s">
        <v>5943</v>
      </c>
      <c r="M28" s="909" t="s">
        <v>5932</v>
      </c>
      <c r="N28" s="909" t="s">
        <v>5944</v>
      </c>
      <c r="O28" s="1067" t="s">
        <v>313</v>
      </c>
      <c r="P28" s="1067" t="s">
        <v>315</v>
      </c>
    </row>
    <row r="29" spans="1:16" ht="15.5" x14ac:dyDescent="0.35">
      <c r="A29" s="1050"/>
      <c r="B29" s="1039" t="s">
        <v>5945</v>
      </c>
      <c r="C29" s="1182">
        <v>12.98</v>
      </c>
      <c r="D29" s="1183">
        <v>0.88</v>
      </c>
      <c r="E29" s="1182">
        <v>0.52</v>
      </c>
      <c r="F29" s="1184">
        <f t="shared" si="0"/>
        <v>0.47840000000000005</v>
      </c>
      <c r="G29" s="1182">
        <v>11</v>
      </c>
      <c r="H29" s="1185">
        <v>1.05</v>
      </c>
      <c r="I29" s="1182">
        <v>0.46</v>
      </c>
      <c r="J29" s="1186">
        <f t="shared" si="1"/>
        <v>0.42320000000000002</v>
      </c>
      <c r="K29" s="81"/>
      <c r="L29" s="887"/>
      <c r="M29" s="84" t="s">
        <v>5946</v>
      </c>
      <c r="N29" s="1064" t="s">
        <v>5947</v>
      </c>
      <c r="O29" s="1071">
        <v>0.93</v>
      </c>
      <c r="P29" s="1068">
        <v>0.75</v>
      </c>
    </row>
    <row r="30" spans="1:16" ht="15.5" x14ac:dyDescent="0.35">
      <c r="A30" s="1050"/>
      <c r="B30" s="1038" t="s">
        <v>5948</v>
      </c>
      <c r="C30" s="1177">
        <v>9.64</v>
      </c>
      <c r="D30" s="1178">
        <v>0.68</v>
      </c>
      <c r="E30" s="1177">
        <v>0.36</v>
      </c>
      <c r="F30" s="1179">
        <f t="shared" si="0"/>
        <v>0.33119999999999999</v>
      </c>
      <c r="G30" s="1177">
        <v>8.17</v>
      </c>
      <c r="H30" s="1180">
        <v>0.81</v>
      </c>
      <c r="I30" s="1177">
        <v>0.32</v>
      </c>
      <c r="J30" s="1181">
        <f t="shared" si="1"/>
        <v>0.2944</v>
      </c>
      <c r="K30" s="81"/>
      <c r="L30" s="888"/>
      <c r="M30" s="85" t="s">
        <v>5934</v>
      </c>
      <c r="N30" s="1065" t="s">
        <v>5949</v>
      </c>
      <c r="O30" s="1072"/>
      <c r="P30" s="1069"/>
    </row>
    <row r="31" spans="1:16" ht="15.5" x14ac:dyDescent="0.35">
      <c r="A31" s="1050"/>
      <c r="B31" s="1039" t="s">
        <v>5950</v>
      </c>
      <c r="C31" s="1182">
        <v>7.31</v>
      </c>
      <c r="D31" s="1183">
        <v>0.68</v>
      </c>
      <c r="E31" s="1182">
        <v>0.36</v>
      </c>
      <c r="F31" s="1184">
        <f t="shared" si="0"/>
        <v>0.33119999999999999</v>
      </c>
      <c r="G31" s="1182">
        <v>7.31</v>
      </c>
      <c r="H31" s="1185">
        <v>0.81</v>
      </c>
      <c r="I31" s="1182">
        <v>0.32</v>
      </c>
      <c r="J31" s="1186">
        <f t="shared" si="1"/>
        <v>0.2944</v>
      </c>
      <c r="K31" s="81"/>
      <c r="L31" s="888"/>
      <c r="M31" s="85" t="s">
        <v>5951</v>
      </c>
      <c r="N31" s="1065" t="s">
        <v>5952</v>
      </c>
      <c r="O31" s="1072"/>
      <c r="P31" s="1069"/>
    </row>
    <row r="32" spans="1:16" ht="15.5" x14ac:dyDescent="0.35">
      <c r="A32" s="1050"/>
      <c r="B32" s="1038" t="s">
        <v>5953</v>
      </c>
      <c r="C32" s="1177">
        <v>5.0999999999999996</v>
      </c>
      <c r="D32" s="1178">
        <v>0.68</v>
      </c>
      <c r="E32" s="1177">
        <v>0.22</v>
      </c>
      <c r="F32" s="1179">
        <f t="shared" si="0"/>
        <v>0.2024</v>
      </c>
      <c r="G32" s="1177">
        <v>5.0999999999999996</v>
      </c>
      <c r="H32" s="1180">
        <v>0.81</v>
      </c>
      <c r="I32" s="1177">
        <v>0.22</v>
      </c>
      <c r="J32" s="1181">
        <f t="shared" si="1"/>
        <v>0.2024</v>
      </c>
      <c r="K32" s="81"/>
      <c r="L32" s="888"/>
      <c r="M32" s="85" t="s">
        <v>5954</v>
      </c>
      <c r="N32" s="1065" t="s">
        <v>5955</v>
      </c>
      <c r="O32" s="1072"/>
      <c r="P32" s="1069"/>
    </row>
    <row r="33" spans="1:16" ht="16" thickBot="1" x14ac:dyDescent="0.4">
      <c r="A33" s="1051"/>
      <c r="B33" s="1040" t="s">
        <v>5956</v>
      </c>
      <c r="C33" s="1187">
        <v>3.8</v>
      </c>
      <c r="D33" s="1188">
        <v>0.68</v>
      </c>
      <c r="E33" s="1187">
        <v>0.09</v>
      </c>
      <c r="F33" s="1189">
        <f t="shared" si="0"/>
        <v>8.2799999999999999E-2</v>
      </c>
      <c r="G33" s="1187">
        <v>3.8</v>
      </c>
      <c r="H33" s="1190">
        <v>0.81</v>
      </c>
      <c r="I33" s="1187">
        <v>0.09</v>
      </c>
      <c r="J33" s="1191">
        <f t="shared" si="1"/>
        <v>8.2799999999999999E-2</v>
      </c>
      <c r="K33" s="81"/>
      <c r="L33" s="888" t="s">
        <v>5957</v>
      </c>
      <c r="M33" s="86" t="s">
        <v>5958</v>
      </c>
      <c r="N33" s="1066" t="s">
        <v>5959</v>
      </c>
      <c r="O33" s="1073"/>
      <c r="P33" s="1070"/>
    </row>
    <row r="34" spans="1:16" ht="15.5" x14ac:dyDescent="0.35">
      <c r="A34" s="1050" t="s">
        <v>5960</v>
      </c>
      <c r="B34" s="1041" t="s">
        <v>5937</v>
      </c>
      <c r="C34" s="1192">
        <v>16.52</v>
      </c>
      <c r="D34" s="1181">
        <v>1.32</v>
      </c>
      <c r="E34" s="1192">
        <v>0.73</v>
      </c>
      <c r="F34" s="1193">
        <f t="shared" si="0"/>
        <v>0.67159999999999997</v>
      </c>
      <c r="G34" s="1192">
        <v>14</v>
      </c>
      <c r="H34" s="1194">
        <v>1.57</v>
      </c>
      <c r="I34" s="1192">
        <v>0.65</v>
      </c>
      <c r="J34" s="1181">
        <f t="shared" si="1"/>
        <v>0.59800000000000009</v>
      </c>
      <c r="K34" s="81"/>
      <c r="L34" s="888"/>
      <c r="M34" s="84" t="s">
        <v>5946</v>
      </c>
      <c r="N34" s="1064" t="s">
        <v>5961</v>
      </c>
      <c r="O34" s="1072">
        <v>0.94799999999999995</v>
      </c>
      <c r="P34" s="1069">
        <v>0.82199999999999995</v>
      </c>
    </row>
    <row r="35" spans="1:16" ht="15.5" x14ac:dyDescent="0.35">
      <c r="A35" s="1050"/>
      <c r="B35" s="1039" t="s">
        <v>5939</v>
      </c>
      <c r="C35" s="1182">
        <v>15.34</v>
      </c>
      <c r="D35" s="1183">
        <v>1.1000000000000001</v>
      </c>
      <c r="E35" s="1182">
        <v>0.63</v>
      </c>
      <c r="F35" s="1184">
        <f t="shared" si="0"/>
        <v>0.5796</v>
      </c>
      <c r="G35" s="1182">
        <v>13</v>
      </c>
      <c r="H35" s="1185">
        <v>1.31</v>
      </c>
      <c r="I35" s="1182">
        <v>0.55000000000000004</v>
      </c>
      <c r="J35" s="1186">
        <f t="shared" si="1"/>
        <v>0.50600000000000012</v>
      </c>
      <c r="K35" s="81"/>
      <c r="L35" s="888"/>
      <c r="M35" s="85" t="s">
        <v>5934</v>
      </c>
      <c r="N35" s="1065" t="s">
        <v>5962</v>
      </c>
      <c r="O35" s="1072"/>
      <c r="P35" s="1069"/>
    </row>
    <row r="36" spans="1:16" ht="15.5" x14ac:dyDescent="0.35">
      <c r="A36" s="1050"/>
      <c r="B36" s="1038" t="s">
        <v>5940</v>
      </c>
      <c r="C36" s="1177">
        <v>14.16</v>
      </c>
      <c r="D36" s="1178">
        <v>1</v>
      </c>
      <c r="E36" s="1177">
        <v>0.52</v>
      </c>
      <c r="F36" s="1179">
        <f t="shared" si="0"/>
        <v>0.47840000000000005</v>
      </c>
      <c r="G36" s="1177">
        <v>12</v>
      </c>
      <c r="H36" s="1180">
        <v>1.19</v>
      </c>
      <c r="I36" s="1177">
        <v>0.46</v>
      </c>
      <c r="J36" s="1181">
        <f t="shared" si="1"/>
        <v>0.42320000000000002</v>
      </c>
      <c r="K36" s="81"/>
      <c r="L36" s="888"/>
      <c r="M36" s="85" t="s">
        <v>5951</v>
      </c>
      <c r="N36" s="1065" t="s">
        <v>5963</v>
      </c>
      <c r="O36" s="1072"/>
      <c r="P36" s="1069"/>
    </row>
    <row r="37" spans="1:16" ht="15.5" x14ac:dyDescent="0.35">
      <c r="A37" s="1050"/>
      <c r="B37" s="1039" t="s">
        <v>5942</v>
      </c>
      <c r="C37" s="1182">
        <v>12.98</v>
      </c>
      <c r="D37" s="1183">
        <v>0.94</v>
      </c>
      <c r="E37" s="1182">
        <v>0.52</v>
      </c>
      <c r="F37" s="1184">
        <f t="shared" si="0"/>
        <v>0.47840000000000005</v>
      </c>
      <c r="G37" s="1182">
        <v>11</v>
      </c>
      <c r="H37" s="1185">
        <v>1.1200000000000001</v>
      </c>
      <c r="I37" s="1182">
        <v>0.46</v>
      </c>
      <c r="J37" s="1186">
        <f t="shared" si="1"/>
        <v>0.42320000000000002</v>
      </c>
      <c r="K37" s="81"/>
      <c r="L37" s="888"/>
      <c r="M37" s="85" t="s">
        <v>5954</v>
      </c>
      <c r="N37" s="1065" t="s">
        <v>5964</v>
      </c>
      <c r="O37" s="1072"/>
      <c r="P37" s="1069"/>
    </row>
    <row r="38" spans="1:16" ht="16" thickBot="1" x14ac:dyDescent="0.4">
      <c r="A38" s="1050"/>
      <c r="B38" s="1038" t="s">
        <v>5965</v>
      </c>
      <c r="C38" s="1177">
        <v>12.98</v>
      </c>
      <c r="D38" s="1178">
        <v>0.88</v>
      </c>
      <c r="E38" s="1177">
        <v>0.52</v>
      </c>
      <c r="F38" s="1179">
        <f t="shared" si="0"/>
        <v>0.47840000000000005</v>
      </c>
      <c r="G38" s="1177">
        <v>11</v>
      </c>
      <c r="H38" s="1180">
        <v>1.05</v>
      </c>
      <c r="I38" s="1177">
        <v>0.46</v>
      </c>
      <c r="J38" s="1181">
        <f t="shared" si="1"/>
        <v>0.42320000000000002</v>
      </c>
      <c r="K38" s="81"/>
      <c r="L38" s="889"/>
      <c r="M38" s="86" t="s">
        <v>5958</v>
      </c>
      <c r="N38" s="1066" t="s">
        <v>5966</v>
      </c>
      <c r="O38" s="1073"/>
      <c r="P38" s="1070"/>
    </row>
    <row r="39" spans="1:16" ht="15.5" x14ac:dyDescent="0.35">
      <c r="A39" s="1050"/>
      <c r="B39" s="1039" t="s">
        <v>5967</v>
      </c>
      <c r="C39" s="1182">
        <v>9.64</v>
      </c>
      <c r="D39" s="1183">
        <v>0.68</v>
      </c>
      <c r="E39" s="1182">
        <v>0.36</v>
      </c>
      <c r="F39" s="1184">
        <f t="shared" si="0"/>
        <v>0.33119999999999999</v>
      </c>
      <c r="G39" s="1182">
        <v>8.17</v>
      </c>
      <c r="H39" s="1185">
        <v>0.81</v>
      </c>
      <c r="I39" s="1182">
        <v>0.32</v>
      </c>
      <c r="J39" s="1186">
        <f t="shared" si="1"/>
        <v>0.2944</v>
      </c>
      <c r="K39" s="81"/>
      <c r="L39" s="890"/>
      <c r="M39" s="87" t="s">
        <v>5946</v>
      </c>
      <c r="N39" s="1064" t="s">
        <v>5947</v>
      </c>
      <c r="O39" s="1072">
        <v>0.93</v>
      </c>
      <c r="P39" s="1069">
        <v>0.72</v>
      </c>
    </row>
    <row r="40" spans="1:16" ht="15.5" x14ac:dyDescent="0.35">
      <c r="A40" s="1050"/>
      <c r="B40" s="1038" t="s">
        <v>5950</v>
      </c>
      <c r="C40" s="1177">
        <v>7.31</v>
      </c>
      <c r="D40" s="1178">
        <v>0.68</v>
      </c>
      <c r="E40" s="1177">
        <v>0.36</v>
      </c>
      <c r="F40" s="1179">
        <f t="shared" si="0"/>
        <v>0.33119999999999999</v>
      </c>
      <c r="G40" s="1177">
        <v>7.31</v>
      </c>
      <c r="H40" s="1180">
        <v>0.81</v>
      </c>
      <c r="I40" s="1177">
        <v>0.32</v>
      </c>
      <c r="J40" s="1181">
        <f t="shared" si="1"/>
        <v>0.2944</v>
      </c>
      <c r="K40" s="81"/>
      <c r="L40" s="891"/>
      <c r="M40" s="88" t="s">
        <v>5934</v>
      </c>
      <c r="N40" s="1065" t="s">
        <v>5949</v>
      </c>
      <c r="O40" s="1072"/>
      <c r="P40" s="1069"/>
    </row>
    <row r="41" spans="1:16" ht="15.5" x14ac:dyDescent="0.35">
      <c r="A41" s="1050"/>
      <c r="B41" s="1039" t="s">
        <v>5968</v>
      </c>
      <c r="C41" s="1182">
        <v>5.0999999999999996</v>
      </c>
      <c r="D41" s="1183">
        <v>0.68</v>
      </c>
      <c r="E41" s="1182">
        <v>0.15</v>
      </c>
      <c r="F41" s="1184">
        <f t="shared" si="0"/>
        <v>0.13800000000000001</v>
      </c>
      <c r="G41" s="1182">
        <v>5.0999999999999996</v>
      </c>
      <c r="H41" s="1185">
        <v>0.81</v>
      </c>
      <c r="I41" s="1182">
        <v>0.15</v>
      </c>
      <c r="J41" s="1186">
        <f t="shared" si="1"/>
        <v>0.13800000000000001</v>
      </c>
      <c r="K41" s="81"/>
      <c r="L41" s="891"/>
      <c r="M41" s="88" t="s">
        <v>5951</v>
      </c>
      <c r="N41" s="1065" t="s">
        <v>5952</v>
      </c>
      <c r="O41" s="1072"/>
      <c r="P41" s="1069"/>
    </row>
    <row r="42" spans="1:16" ht="16" thickBot="1" x14ac:dyDescent="0.4">
      <c r="A42" s="1051"/>
      <c r="B42" s="1042" t="s">
        <v>5969</v>
      </c>
      <c r="C42" s="1195">
        <v>3.99</v>
      </c>
      <c r="D42" s="1196">
        <v>0.68</v>
      </c>
      <c r="E42" s="1195">
        <v>0.08</v>
      </c>
      <c r="F42" s="1342">
        <f t="shared" si="0"/>
        <v>7.3599999999999999E-2</v>
      </c>
      <c r="G42" s="1195">
        <v>3.99</v>
      </c>
      <c r="H42" s="1197">
        <v>0.81</v>
      </c>
      <c r="I42" s="1195">
        <v>0.08</v>
      </c>
      <c r="J42" s="1198">
        <f t="shared" si="1"/>
        <v>7.3599999999999999E-2</v>
      </c>
      <c r="K42" s="81"/>
      <c r="L42" s="891"/>
      <c r="M42" s="88" t="s">
        <v>5954</v>
      </c>
      <c r="N42" s="1065" t="s">
        <v>5955</v>
      </c>
      <c r="O42" s="1072"/>
      <c r="P42" s="1069"/>
    </row>
    <row r="43" spans="1:16" ht="16" thickBot="1" x14ac:dyDescent="0.4">
      <c r="A43" s="1050" t="s">
        <v>5970</v>
      </c>
      <c r="B43" s="1043" t="s">
        <v>5937</v>
      </c>
      <c r="C43" s="1173">
        <v>16.52</v>
      </c>
      <c r="D43" s="1174">
        <v>1.26</v>
      </c>
      <c r="E43" s="1173">
        <v>0.7</v>
      </c>
      <c r="F43" s="1175">
        <f t="shared" si="0"/>
        <v>0.64400000000000002</v>
      </c>
      <c r="G43" s="1173">
        <v>14</v>
      </c>
      <c r="H43" s="1176">
        <v>1.5</v>
      </c>
      <c r="I43" s="1173">
        <v>0.62</v>
      </c>
      <c r="J43" s="1174">
        <f t="shared" si="1"/>
        <v>0.57040000000000002</v>
      </c>
      <c r="K43" s="81"/>
      <c r="L43" s="891"/>
      <c r="M43" s="89" t="s">
        <v>5958</v>
      </c>
      <c r="N43" s="1066" t="s">
        <v>5959</v>
      </c>
      <c r="O43" s="1073"/>
      <c r="P43" s="1070"/>
    </row>
    <row r="44" spans="1:16" ht="15.5" x14ac:dyDescent="0.35">
      <c r="A44" s="1050"/>
      <c r="B44" s="1038" t="s">
        <v>5939</v>
      </c>
      <c r="C44" s="1177">
        <v>15.34</v>
      </c>
      <c r="D44" s="1178">
        <v>1.05</v>
      </c>
      <c r="E44" s="1177">
        <v>0.6</v>
      </c>
      <c r="F44" s="1179">
        <f t="shared" si="0"/>
        <v>0.55200000000000005</v>
      </c>
      <c r="G44" s="1177">
        <v>13</v>
      </c>
      <c r="H44" s="1180">
        <v>1.25</v>
      </c>
      <c r="I44" s="1177">
        <v>0.53</v>
      </c>
      <c r="J44" s="1181">
        <f t="shared" si="1"/>
        <v>0.48760000000000003</v>
      </c>
      <c r="K44" s="81"/>
      <c r="L44" s="891" t="s">
        <v>5971</v>
      </c>
      <c r="M44" s="87" t="s">
        <v>5946</v>
      </c>
      <c r="N44" s="1064" t="s">
        <v>5961</v>
      </c>
      <c r="O44" s="1072">
        <v>0.94799999999999995</v>
      </c>
      <c r="P44" s="1069">
        <v>0.8</v>
      </c>
    </row>
    <row r="45" spans="1:16" ht="15.5" x14ac:dyDescent="0.35">
      <c r="A45" s="1050"/>
      <c r="B45" s="1039" t="s">
        <v>5940</v>
      </c>
      <c r="C45" s="1182">
        <v>14.16</v>
      </c>
      <c r="D45" s="1183">
        <v>0.95</v>
      </c>
      <c r="E45" s="1182">
        <v>0.5</v>
      </c>
      <c r="F45" s="1184">
        <f t="shared" si="0"/>
        <v>0.46</v>
      </c>
      <c r="G45" s="1182">
        <v>12</v>
      </c>
      <c r="H45" s="1185">
        <v>1.1299999999999999</v>
      </c>
      <c r="I45" s="1182">
        <v>0.45</v>
      </c>
      <c r="J45" s="1186">
        <f t="shared" si="1"/>
        <v>0.41400000000000003</v>
      </c>
      <c r="K45" s="81"/>
      <c r="L45" s="891"/>
      <c r="M45" s="88" t="s">
        <v>5934</v>
      </c>
      <c r="N45" s="1065" t="s">
        <v>5962</v>
      </c>
      <c r="O45" s="1072"/>
      <c r="P45" s="1069"/>
    </row>
    <row r="46" spans="1:16" ht="15.5" x14ac:dyDescent="0.35">
      <c r="A46" s="1050"/>
      <c r="B46" s="1038" t="s">
        <v>5942</v>
      </c>
      <c r="C46" s="1177">
        <v>12.98</v>
      </c>
      <c r="D46" s="1178">
        <v>0.9</v>
      </c>
      <c r="E46" s="1177">
        <v>0.5</v>
      </c>
      <c r="F46" s="1179">
        <f t="shared" si="0"/>
        <v>0.46</v>
      </c>
      <c r="G46" s="1177">
        <v>11</v>
      </c>
      <c r="H46" s="1180">
        <v>1.07</v>
      </c>
      <c r="I46" s="1177">
        <v>0.45</v>
      </c>
      <c r="J46" s="1181">
        <f t="shared" si="1"/>
        <v>0.41400000000000003</v>
      </c>
      <c r="K46" s="81"/>
      <c r="L46" s="891"/>
      <c r="M46" s="88" t="s">
        <v>5951</v>
      </c>
      <c r="N46" s="1065" t="s">
        <v>5963</v>
      </c>
      <c r="O46" s="1072"/>
      <c r="P46" s="1069"/>
    </row>
    <row r="47" spans="1:16" ht="15.5" x14ac:dyDescent="0.35">
      <c r="A47" s="1050"/>
      <c r="B47" s="1039" t="s">
        <v>5965</v>
      </c>
      <c r="C47" s="1182">
        <v>12.98</v>
      </c>
      <c r="D47" s="1183">
        <v>0.84</v>
      </c>
      <c r="E47" s="1182">
        <v>0.5</v>
      </c>
      <c r="F47" s="1184">
        <f t="shared" si="0"/>
        <v>0.46</v>
      </c>
      <c r="G47" s="1182">
        <v>11</v>
      </c>
      <c r="H47" s="1185">
        <v>1</v>
      </c>
      <c r="I47" s="1182">
        <v>0.45</v>
      </c>
      <c r="J47" s="1186">
        <f t="shared" si="1"/>
        <v>0.41400000000000003</v>
      </c>
      <c r="K47" s="81"/>
      <c r="L47" s="891"/>
      <c r="M47" s="88" t="s">
        <v>5954</v>
      </c>
      <c r="N47" s="1065" t="s">
        <v>5964</v>
      </c>
      <c r="O47" s="1072"/>
      <c r="P47" s="1069"/>
    </row>
    <row r="48" spans="1:16" ht="16" thickBot="1" x14ac:dyDescent="0.4">
      <c r="A48" s="1050"/>
      <c r="B48" s="1038" t="s">
        <v>5967</v>
      </c>
      <c r="C48" s="1177">
        <v>9.64</v>
      </c>
      <c r="D48" s="1178">
        <v>0.68</v>
      </c>
      <c r="E48" s="1177">
        <v>0.36</v>
      </c>
      <c r="F48" s="1179">
        <f t="shared" si="0"/>
        <v>0.33119999999999999</v>
      </c>
      <c r="G48" s="1177">
        <v>8.17</v>
      </c>
      <c r="H48" s="1180">
        <v>0.81</v>
      </c>
      <c r="I48" s="1177">
        <v>0.32</v>
      </c>
      <c r="J48" s="1181">
        <f t="shared" si="1"/>
        <v>0.2944</v>
      </c>
      <c r="K48" s="81"/>
      <c r="L48" s="891"/>
      <c r="M48" s="89" t="s">
        <v>5958</v>
      </c>
      <c r="N48" s="1066" t="s">
        <v>5966</v>
      </c>
      <c r="O48" s="1073"/>
      <c r="P48" s="1070"/>
    </row>
    <row r="49" spans="1:16" ht="16" thickBot="1" x14ac:dyDescent="0.4">
      <c r="A49" s="1050"/>
      <c r="B49" s="1039" t="s">
        <v>5950</v>
      </c>
      <c r="C49" s="1182">
        <v>7.31</v>
      </c>
      <c r="D49" s="1183">
        <v>0.68</v>
      </c>
      <c r="E49" s="1182">
        <v>0.36</v>
      </c>
      <c r="F49" s="1184">
        <f t="shared" si="0"/>
        <v>0.33119999999999999</v>
      </c>
      <c r="G49" s="1182">
        <v>7.31</v>
      </c>
      <c r="H49" s="1185">
        <v>0.81</v>
      </c>
      <c r="I49" s="1182">
        <v>0.32</v>
      </c>
      <c r="J49" s="1186">
        <f t="shared" si="1"/>
        <v>0.2944</v>
      </c>
      <c r="K49" s="81"/>
      <c r="L49" s="892"/>
      <c r="M49" s="90" t="s">
        <v>5972</v>
      </c>
      <c r="N49" s="90" t="s">
        <v>5973</v>
      </c>
      <c r="O49" s="892">
        <v>0.94799999999999995</v>
      </c>
      <c r="P49" s="892">
        <v>0.85199999999999998</v>
      </c>
    </row>
    <row r="50" spans="1:16" ht="15.5" x14ac:dyDescent="0.35">
      <c r="A50" s="1050"/>
      <c r="B50" s="1038" t="s">
        <v>5968</v>
      </c>
      <c r="C50" s="1177">
        <v>5.0999999999999996</v>
      </c>
      <c r="D50" s="1178">
        <v>0.68</v>
      </c>
      <c r="E50" s="1177">
        <v>0.15</v>
      </c>
      <c r="F50" s="1179">
        <f t="shared" si="0"/>
        <v>0.13800000000000001</v>
      </c>
      <c r="G50" s="1177">
        <v>5.0999999999999996</v>
      </c>
      <c r="H50" s="1180">
        <v>0.81</v>
      </c>
      <c r="I50" s="1177">
        <v>0.15</v>
      </c>
      <c r="J50" s="1181">
        <f t="shared" si="1"/>
        <v>0.13800000000000001</v>
      </c>
      <c r="K50" s="81"/>
      <c r="L50" s="81"/>
      <c r="M50" s="81"/>
      <c r="N50" s="81"/>
      <c r="O50" s="81"/>
      <c r="P50" s="81"/>
    </row>
    <row r="51" spans="1:16" ht="16" thickBot="1" x14ac:dyDescent="0.4">
      <c r="A51" s="1051"/>
      <c r="B51" s="1040" t="s">
        <v>5969</v>
      </c>
      <c r="C51" s="1187">
        <v>3.99</v>
      </c>
      <c r="D51" s="1188">
        <v>0.68</v>
      </c>
      <c r="E51" s="1187">
        <v>0.08</v>
      </c>
      <c r="F51" s="1189">
        <f t="shared" si="0"/>
        <v>7.3599999999999999E-2</v>
      </c>
      <c r="G51" s="1187">
        <v>3.99</v>
      </c>
      <c r="H51" s="1190">
        <v>0.81</v>
      </c>
      <c r="I51" s="1187">
        <v>0.08</v>
      </c>
      <c r="J51" s="1191">
        <f t="shared" si="1"/>
        <v>7.3599999999999999E-2</v>
      </c>
      <c r="K51" s="81"/>
      <c r="L51" s="81"/>
      <c r="M51" s="81"/>
      <c r="N51" s="81"/>
      <c r="O51" s="81"/>
      <c r="P51" s="81"/>
    </row>
    <row r="52" spans="1:16" ht="15.5" x14ac:dyDescent="0.35">
      <c r="A52" s="1049" t="s">
        <v>5974</v>
      </c>
      <c r="B52" s="1052" t="s">
        <v>5937</v>
      </c>
      <c r="C52" s="1192">
        <v>16.52</v>
      </c>
      <c r="D52" s="1181">
        <v>1.26</v>
      </c>
      <c r="E52" s="1192">
        <v>0.7</v>
      </c>
      <c r="F52" s="1193">
        <f t="shared" si="0"/>
        <v>0.64400000000000002</v>
      </c>
      <c r="G52" s="1192">
        <v>14</v>
      </c>
      <c r="H52" s="1194">
        <v>1.5</v>
      </c>
      <c r="I52" s="1192">
        <v>0.62</v>
      </c>
      <c r="J52" s="1181">
        <f t="shared" si="1"/>
        <v>0.57040000000000002</v>
      </c>
      <c r="K52" s="81"/>
      <c r="L52" s="919" t="s">
        <v>5975</v>
      </c>
      <c r="M52" s="920"/>
      <c r="N52" s="920"/>
      <c r="O52" s="920"/>
      <c r="P52" s="921"/>
    </row>
    <row r="53" spans="1:16" ht="17.5" x14ac:dyDescent="0.45">
      <c r="A53" s="1050"/>
      <c r="B53" s="1039" t="s">
        <v>5939</v>
      </c>
      <c r="C53" s="1182">
        <v>15.34</v>
      </c>
      <c r="D53" s="1183">
        <v>1.05</v>
      </c>
      <c r="E53" s="1182">
        <v>0.6</v>
      </c>
      <c r="F53" s="1184">
        <f t="shared" si="0"/>
        <v>0.55200000000000005</v>
      </c>
      <c r="G53" s="1182">
        <v>13</v>
      </c>
      <c r="H53" s="1185">
        <v>1.25</v>
      </c>
      <c r="I53" s="1182">
        <v>0.53</v>
      </c>
      <c r="J53" s="1186">
        <f t="shared" si="1"/>
        <v>0.48760000000000003</v>
      </c>
      <c r="K53" s="81"/>
      <c r="L53" s="918"/>
      <c r="M53" s="918" t="s">
        <v>325</v>
      </c>
      <c r="N53" s="918" t="s">
        <v>725</v>
      </c>
      <c r="O53" s="918" t="s">
        <v>726</v>
      </c>
      <c r="P53" s="918" t="s">
        <v>5976</v>
      </c>
    </row>
    <row r="54" spans="1:16" ht="15.5" x14ac:dyDescent="0.35">
      <c r="A54" s="1050"/>
      <c r="B54" s="1038" t="s">
        <v>5940</v>
      </c>
      <c r="C54" s="1177">
        <v>14.16</v>
      </c>
      <c r="D54" s="1178">
        <v>0.95</v>
      </c>
      <c r="E54" s="1177">
        <v>0.5</v>
      </c>
      <c r="F54" s="1179">
        <f t="shared" si="0"/>
        <v>0.46</v>
      </c>
      <c r="G54" s="1177">
        <v>12</v>
      </c>
      <c r="H54" s="1180">
        <v>1.1299999999999999</v>
      </c>
      <c r="I54" s="1177">
        <v>0.45</v>
      </c>
      <c r="J54" s="1181">
        <f t="shared" si="1"/>
        <v>0.41400000000000003</v>
      </c>
      <c r="K54" s="81"/>
      <c r="L54" s="91" t="s">
        <v>5965</v>
      </c>
      <c r="M54" s="91">
        <v>31.86</v>
      </c>
      <c r="N54" s="91">
        <v>254.02</v>
      </c>
      <c r="O54" s="91">
        <f>P54*0.92</f>
        <v>10.166</v>
      </c>
      <c r="P54" s="91">
        <v>11.05</v>
      </c>
    </row>
    <row r="55" spans="1:16" ht="15.5" x14ac:dyDescent="0.35">
      <c r="A55" s="1050"/>
      <c r="B55" s="1039" t="s">
        <v>5942</v>
      </c>
      <c r="C55" s="1182">
        <v>12.98</v>
      </c>
      <c r="D55" s="1183">
        <v>0.9</v>
      </c>
      <c r="E55" s="1182">
        <v>0.5</v>
      </c>
      <c r="F55" s="1184">
        <f t="shared" si="0"/>
        <v>0.46</v>
      </c>
      <c r="G55" s="1182">
        <v>11</v>
      </c>
      <c r="H55" s="1185">
        <v>1.07</v>
      </c>
      <c r="I55" s="1182">
        <v>0.45</v>
      </c>
      <c r="J55" s="1186">
        <f t="shared" si="1"/>
        <v>0.41400000000000003</v>
      </c>
      <c r="K55" s="81"/>
      <c r="L55" s="91" t="s">
        <v>5969</v>
      </c>
      <c r="M55" s="91">
        <v>23.61</v>
      </c>
      <c r="N55" s="91">
        <v>81.59</v>
      </c>
      <c r="O55" s="91">
        <f>P55*0.92</f>
        <v>2.0148000000000001</v>
      </c>
      <c r="P55" s="91">
        <v>2.19</v>
      </c>
    </row>
    <row r="56" spans="1:16" ht="15.5" x14ac:dyDescent="0.35">
      <c r="A56" s="1050"/>
      <c r="B56" s="1038" t="s">
        <v>5965</v>
      </c>
      <c r="C56" s="1177">
        <v>12.98</v>
      </c>
      <c r="D56" s="1178">
        <v>0.84</v>
      </c>
      <c r="E56" s="1177">
        <v>0.5</v>
      </c>
      <c r="F56" s="1179">
        <f t="shared" si="0"/>
        <v>0.46</v>
      </c>
      <c r="G56" s="1177">
        <v>11</v>
      </c>
      <c r="H56" s="1180">
        <v>1</v>
      </c>
      <c r="I56" s="1177">
        <v>0.45</v>
      </c>
      <c r="J56" s="1181">
        <f t="shared" si="1"/>
        <v>0.41400000000000003</v>
      </c>
      <c r="K56" s="81"/>
      <c r="L56" s="81" t="s">
        <v>5977</v>
      </c>
      <c r="M56" s="81"/>
      <c r="N56" s="81"/>
      <c r="O56" s="81"/>
      <c r="P56" s="81"/>
    </row>
    <row r="57" spans="1:16" ht="17.5" x14ac:dyDescent="0.45">
      <c r="A57" s="1050"/>
      <c r="B57" s="1039" t="s">
        <v>5967</v>
      </c>
      <c r="C57" s="1182">
        <v>9.64</v>
      </c>
      <c r="D57" s="1183">
        <v>0.68</v>
      </c>
      <c r="E57" s="1182">
        <v>0.36</v>
      </c>
      <c r="F57" s="1184">
        <f t="shared" si="0"/>
        <v>0.33119999999999999</v>
      </c>
      <c r="G57" s="1182">
        <v>8.17</v>
      </c>
      <c r="H57" s="1185">
        <v>0.81</v>
      </c>
      <c r="I57" s="1182">
        <v>0.32</v>
      </c>
      <c r="J57" s="1186">
        <f t="shared" si="1"/>
        <v>0.2944</v>
      </c>
      <c r="K57" s="81"/>
      <c r="L57" s="92" t="s">
        <v>5978</v>
      </c>
      <c r="M57" s="3"/>
      <c r="N57" s="3"/>
      <c r="O57" s="3"/>
      <c r="P57" s="3"/>
    </row>
    <row r="58" spans="1:16" ht="15.5" x14ac:dyDescent="0.35">
      <c r="A58" s="1050"/>
      <c r="B58" s="1038" t="s">
        <v>5979</v>
      </c>
      <c r="C58" s="1177">
        <v>7.31</v>
      </c>
      <c r="D58" s="1178">
        <v>0.68</v>
      </c>
      <c r="E58" s="1177">
        <v>0.36</v>
      </c>
      <c r="F58" s="1179">
        <f t="shared" si="0"/>
        <v>0.33119999999999999</v>
      </c>
      <c r="G58" s="1177">
        <v>7.31</v>
      </c>
      <c r="H58" s="1180">
        <v>0.81</v>
      </c>
      <c r="I58" s="1177">
        <v>0.32</v>
      </c>
      <c r="J58" s="1181">
        <f t="shared" si="1"/>
        <v>0.2944</v>
      </c>
      <c r="K58" s="81"/>
      <c r="L58" s="3"/>
      <c r="M58" s="3"/>
      <c r="N58" s="3"/>
      <c r="O58" s="3"/>
      <c r="P58" s="3"/>
    </row>
    <row r="59" spans="1:16" ht="15.5" x14ac:dyDescent="0.35">
      <c r="A59" s="1050"/>
      <c r="B59" s="1039" t="s">
        <v>5980</v>
      </c>
      <c r="C59" s="1182">
        <v>5.0999999999999996</v>
      </c>
      <c r="D59" s="1183">
        <v>0.68</v>
      </c>
      <c r="E59" s="1182">
        <v>0.15</v>
      </c>
      <c r="F59" s="1184">
        <f t="shared" si="0"/>
        <v>0.13800000000000001</v>
      </c>
      <c r="G59" s="1182">
        <v>5.0999999999999996</v>
      </c>
      <c r="H59" s="1185">
        <v>0.81</v>
      </c>
      <c r="I59" s="1182">
        <v>0.15</v>
      </c>
      <c r="J59" s="1186">
        <f t="shared" si="1"/>
        <v>0.13800000000000001</v>
      </c>
      <c r="K59" s="81"/>
      <c r="L59" s="3"/>
      <c r="M59" s="3"/>
      <c r="N59" s="3"/>
      <c r="O59" s="3"/>
      <c r="P59" s="3"/>
    </row>
    <row r="60" spans="1:16" ht="16" thickBot="1" x14ac:dyDescent="0.4">
      <c r="A60" s="1051"/>
      <c r="B60" s="1042" t="s">
        <v>5956</v>
      </c>
      <c r="C60" s="1195">
        <v>3.99</v>
      </c>
      <c r="D60" s="1196">
        <v>0.68</v>
      </c>
      <c r="E60" s="1195">
        <v>0.08</v>
      </c>
      <c r="F60" s="1342">
        <f t="shared" si="0"/>
        <v>7.3599999999999999E-2</v>
      </c>
      <c r="G60" s="1195">
        <v>3.99</v>
      </c>
      <c r="H60" s="1197">
        <v>0.81</v>
      </c>
      <c r="I60" s="1195">
        <v>0.08</v>
      </c>
      <c r="J60" s="1198">
        <f t="shared" si="1"/>
        <v>7.3599999999999999E-2</v>
      </c>
      <c r="K60" s="81"/>
      <c r="L60" s="92" t="s">
        <v>5981</v>
      </c>
      <c r="M60" s="81"/>
      <c r="N60" s="81"/>
      <c r="O60" s="81"/>
      <c r="P60" s="81"/>
    </row>
    <row r="61" spans="1:16" ht="15.5" x14ac:dyDescent="0.35">
      <c r="A61" s="1050" t="s">
        <v>5982</v>
      </c>
      <c r="B61" s="1043" t="s">
        <v>5937</v>
      </c>
      <c r="C61" s="1173">
        <v>16.52</v>
      </c>
      <c r="D61" s="1174">
        <v>1.26</v>
      </c>
      <c r="E61" s="1173">
        <v>0.7</v>
      </c>
      <c r="F61" s="1175">
        <f t="shared" si="0"/>
        <v>0.64400000000000002</v>
      </c>
      <c r="G61" s="1173">
        <v>14</v>
      </c>
      <c r="H61" s="1176">
        <v>1.5</v>
      </c>
      <c r="I61" s="1173">
        <v>0.62</v>
      </c>
      <c r="J61" s="1174">
        <f t="shared" si="1"/>
        <v>0.57040000000000002</v>
      </c>
      <c r="K61" s="81"/>
      <c r="L61" s="3"/>
      <c r="M61" s="81"/>
      <c r="N61" s="81"/>
      <c r="O61" s="81"/>
      <c r="P61" s="81"/>
    </row>
    <row r="62" spans="1:16" ht="15.5" x14ac:dyDescent="0.35">
      <c r="A62" s="1050"/>
      <c r="B62" s="1038" t="s">
        <v>5939</v>
      </c>
      <c r="C62" s="1177">
        <v>15.34</v>
      </c>
      <c r="D62" s="1178">
        <v>1.05</v>
      </c>
      <c r="E62" s="1177">
        <v>0.6</v>
      </c>
      <c r="F62" s="1179">
        <f t="shared" si="0"/>
        <v>0.55200000000000005</v>
      </c>
      <c r="G62" s="1177">
        <v>13</v>
      </c>
      <c r="H62" s="1180">
        <v>1.25</v>
      </c>
      <c r="I62" s="1177">
        <v>0.53</v>
      </c>
      <c r="J62" s="1181">
        <f t="shared" si="1"/>
        <v>0.48760000000000003</v>
      </c>
      <c r="K62" s="81"/>
      <c r="L62" s="3"/>
      <c r="M62" s="81"/>
      <c r="N62" s="81"/>
      <c r="O62" s="81"/>
      <c r="P62" s="81"/>
    </row>
    <row r="63" spans="1:16" ht="15.5" x14ac:dyDescent="0.35">
      <c r="A63" s="1050"/>
      <c r="B63" s="1039" t="s">
        <v>5940</v>
      </c>
      <c r="C63" s="1182">
        <v>14.16</v>
      </c>
      <c r="D63" s="1183">
        <v>0.95</v>
      </c>
      <c r="E63" s="1182">
        <v>0.5</v>
      </c>
      <c r="F63" s="1184">
        <f t="shared" si="0"/>
        <v>0.46</v>
      </c>
      <c r="G63" s="1182">
        <v>12</v>
      </c>
      <c r="H63" s="1185">
        <v>1.1299999999999999</v>
      </c>
      <c r="I63" s="1182">
        <v>0.45</v>
      </c>
      <c r="J63" s="1186">
        <f t="shared" si="1"/>
        <v>0.41400000000000003</v>
      </c>
      <c r="K63" s="81"/>
      <c r="L63" s="81"/>
      <c r="M63" s="81"/>
    </row>
    <row r="64" spans="1:16" ht="15.5" x14ac:dyDescent="0.35">
      <c r="A64" s="1050"/>
      <c r="B64" s="1038" t="s">
        <v>5942</v>
      </c>
      <c r="C64" s="1177">
        <v>12.98</v>
      </c>
      <c r="D64" s="1178">
        <v>0.9</v>
      </c>
      <c r="E64" s="1177">
        <v>0.5</v>
      </c>
      <c r="F64" s="1179">
        <f t="shared" si="0"/>
        <v>0.46</v>
      </c>
      <c r="G64" s="1177">
        <v>11</v>
      </c>
      <c r="H64" s="1180">
        <v>1.07</v>
      </c>
      <c r="I64" s="1177">
        <v>0.45</v>
      </c>
      <c r="J64" s="1181">
        <f t="shared" si="1"/>
        <v>0.41400000000000003</v>
      </c>
      <c r="K64" s="81"/>
      <c r="L64" s="81"/>
      <c r="M64" s="81"/>
    </row>
    <row r="65" spans="1:13" ht="15.5" x14ac:dyDescent="0.35">
      <c r="A65" s="1050"/>
      <c r="B65" s="1039" t="s">
        <v>5983</v>
      </c>
      <c r="C65" s="1182">
        <v>12.98</v>
      </c>
      <c r="D65" s="1183">
        <v>0.84</v>
      </c>
      <c r="E65" s="1182">
        <v>0.5</v>
      </c>
      <c r="F65" s="1184">
        <f t="shared" si="0"/>
        <v>0.46</v>
      </c>
      <c r="G65" s="1182">
        <v>11</v>
      </c>
      <c r="H65" s="1185">
        <v>1</v>
      </c>
      <c r="I65" s="1182">
        <v>0.45</v>
      </c>
      <c r="J65" s="1186">
        <f t="shared" si="1"/>
        <v>0.41400000000000003</v>
      </c>
      <c r="K65" s="81"/>
      <c r="L65" s="81"/>
      <c r="M65" s="81"/>
    </row>
    <row r="66" spans="1:13" ht="15.5" x14ac:dyDescent="0.35">
      <c r="A66" s="1050"/>
      <c r="B66" s="1038">
        <v>1999</v>
      </c>
      <c r="C66" s="1177">
        <v>9.64</v>
      </c>
      <c r="D66" s="1178">
        <v>0.68</v>
      </c>
      <c r="E66" s="1177">
        <v>0.36</v>
      </c>
      <c r="F66" s="1179">
        <f t="shared" si="0"/>
        <v>0.33119999999999999</v>
      </c>
      <c r="G66" s="1177">
        <v>8.17</v>
      </c>
      <c r="H66" s="1180">
        <v>0.81</v>
      </c>
      <c r="I66" s="1177">
        <v>0.32</v>
      </c>
      <c r="J66" s="1181">
        <f t="shared" si="1"/>
        <v>0.2944</v>
      </c>
      <c r="K66" s="81"/>
      <c r="L66" s="81"/>
      <c r="M66" s="81"/>
    </row>
    <row r="67" spans="1:13" ht="15.5" x14ac:dyDescent="0.35">
      <c r="A67" s="1050"/>
      <c r="B67" s="1039" t="s">
        <v>5979</v>
      </c>
      <c r="C67" s="1182">
        <v>7.31</v>
      </c>
      <c r="D67" s="1183">
        <v>0.68</v>
      </c>
      <c r="E67" s="1182">
        <v>0.36</v>
      </c>
      <c r="F67" s="1184">
        <f t="shared" si="0"/>
        <v>0.33119999999999999</v>
      </c>
      <c r="G67" s="1182">
        <v>7.31</v>
      </c>
      <c r="H67" s="1185">
        <v>0.81</v>
      </c>
      <c r="I67" s="1182">
        <v>0.32</v>
      </c>
      <c r="J67" s="1186">
        <f t="shared" si="1"/>
        <v>0.2944</v>
      </c>
      <c r="K67" s="81"/>
      <c r="L67" s="81"/>
      <c r="M67" s="81"/>
    </row>
    <row r="68" spans="1:13" ht="15.5" x14ac:dyDescent="0.35">
      <c r="A68" s="1050"/>
      <c r="B68" s="1038" t="s">
        <v>5984</v>
      </c>
      <c r="C68" s="1177">
        <v>5.53</v>
      </c>
      <c r="D68" s="1178">
        <v>0.68</v>
      </c>
      <c r="E68" s="1177">
        <v>0.2</v>
      </c>
      <c r="F68" s="1179">
        <f t="shared" si="0"/>
        <v>0.18400000000000002</v>
      </c>
      <c r="G68" s="1177">
        <v>5.53</v>
      </c>
      <c r="H68" s="1180">
        <v>0.81</v>
      </c>
      <c r="I68" s="1177">
        <v>0.2</v>
      </c>
      <c r="J68" s="1181">
        <f t="shared" si="1"/>
        <v>0.18400000000000002</v>
      </c>
      <c r="K68" s="81"/>
      <c r="L68" s="81"/>
      <c r="M68" s="81"/>
    </row>
    <row r="69" spans="1:13" ht="15.5" x14ac:dyDescent="0.35">
      <c r="A69" s="1050"/>
      <c r="B69" s="1039" t="s">
        <v>5985</v>
      </c>
      <c r="C69" s="1182">
        <v>4.09</v>
      </c>
      <c r="D69" s="1183">
        <v>0.68</v>
      </c>
      <c r="E69" s="1182">
        <v>0.08</v>
      </c>
      <c r="F69" s="1184">
        <f t="shared" si="0"/>
        <v>7.3599999999999999E-2</v>
      </c>
      <c r="G69" s="1182">
        <v>4.09</v>
      </c>
      <c r="H69" s="1185">
        <v>0.81</v>
      </c>
      <c r="I69" s="1182">
        <v>0.08</v>
      </c>
      <c r="J69" s="1186">
        <f t="shared" si="1"/>
        <v>7.3599999999999999E-2</v>
      </c>
      <c r="K69" s="81"/>
      <c r="L69" s="81"/>
      <c r="M69" s="81"/>
    </row>
    <row r="70" spans="1:13" ht="16" thickBot="1" x14ac:dyDescent="0.4">
      <c r="A70" s="1051"/>
      <c r="B70" s="1042" t="s">
        <v>5986</v>
      </c>
      <c r="C70" s="1199">
        <v>1.3</v>
      </c>
      <c r="D70" s="1200">
        <v>0.18</v>
      </c>
      <c r="E70" s="1199">
        <v>0.03</v>
      </c>
      <c r="F70" s="1201">
        <f t="shared" si="0"/>
        <v>2.76E-2</v>
      </c>
      <c r="G70" s="1199">
        <v>1.3</v>
      </c>
      <c r="H70" s="1202">
        <v>0.18</v>
      </c>
      <c r="I70" s="1199">
        <v>0.03</v>
      </c>
      <c r="J70" s="1203">
        <f t="shared" si="1"/>
        <v>2.76E-2</v>
      </c>
      <c r="K70" s="81"/>
      <c r="L70" s="81"/>
      <c r="M70" s="81"/>
    </row>
    <row r="71" spans="1:13" ht="15.5" x14ac:dyDescent="0.35">
      <c r="A71" s="1050" t="s">
        <v>5987</v>
      </c>
      <c r="B71" s="1043" t="s">
        <v>5937</v>
      </c>
      <c r="C71" s="1204">
        <v>16.52</v>
      </c>
      <c r="D71" s="1186">
        <v>1.26</v>
      </c>
      <c r="E71" s="1204">
        <v>0.7</v>
      </c>
      <c r="F71" s="1205">
        <f t="shared" si="0"/>
        <v>0.64400000000000002</v>
      </c>
      <c r="G71" s="1204">
        <v>14</v>
      </c>
      <c r="H71" s="1206">
        <v>1.5</v>
      </c>
      <c r="I71" s="1204">
        <v>0.62</v>
      </c>
      <c r="J71" s="1186">
        <f t="shared" si="1"/>
        <v>0.57040000000000002</v>
      </c>
      <c r="K71" s="81"/>
      <c r="L71" s="81"/>
      <c r="M71" s="81"/>
    </row>
    <row r="72" spans="1:13" ht="15.5" x14ac:dyDescent="0.35">
      <c r="A72" s="1050"/>
      <c r="B72" s="1038" t="s">
        <v>5939</v>
      </c>
      <c r="C72" s="1177">
        <v>15.34</v>
      </c>
      <c r="D72" s="1178">
        <v>1.05</v>
      </c>
      <c r="E72" s="1177">
        <v>0.6</v>
      </c>
      <c r="F72" s="1179">
        <f t="shared" si="0"/>
        <v>0.55200000000000005</v>
      </c>
      <c r="G72" s="1177">
        <v>13</v>
      </c>
      <c r="H72" s="1180">
        <v>1.25</v>
      </c>
      <c r="I72" s="1177">
        <v>0.53</v>
      </c>
      <c r="J72" s="1181">
        <f t="shared" si="1"/>
        <v>0.48760000000000003</v>
      </c>
      <c r="K72" s="81"/>
      <c r="L72" s="81"/>
      <c r="M72" s="81"/>
    </row>
    <row r="73" spans="1:13" ht="15.5" x14ac:dyDescent="0.35">
      <c r="A73" s="1050"/>
      <c r="B73" s="1039" t="s">
        <v>5940</v>
      </c>
      <c r="C73" s="1182">
        <v>14.16</v>
      </c>
      <c r="D73" s="1183">
        <v>0.95</v>
      </c>
      <c r="E73" s="1182">
        <v>0.5</v>
      </c>
      <c r="F73" s="1184">
        <f t="shared" si="0"/>
        <v>0.46</v>
      </c>
      <c r="G73" s="1182">
        <v>12</v>
      </c>
      <c r="H73" s="1185">
        <v>1.1299999999999999</v>
      </c>
      <c r="I73" s="1182">
        <v>0.45</v>
      </c>
      <c r="J73" s="1186">
        <f t="shared" si="1"/>
        <v>0.41400000000000003</v>
      </c>
      <c r="K73" s="81"/>
      <c r="L73" s="81"/>
      <c r="M73" s="81"/>
    </row>
    <row r="74" spans="1:13" ht="15.5" x14ac:dyDescent="0.35">
      <c r="A74" s="1050"/>
      <c r="B74" s="1038" t="s">
        <v>5942</v>
      </c>
      <c r="C74" s="1177">
        <v>12.98</v>
      </c>
      <c r="D74" s="1178">
        <v>0.9</v>
      </c>
      <c r="E74" s="1177">
        <v>0.5</v>
      </c>
      <c r="F74" s="1179">
        <f t="shared" si="0"/>
        <v>0.46</v>
      </c>
      <c r="G74" s="1177">
        <v>11</v>
      </c>
      <c r="H74" s="1180">
        <v>1.07</v>
      </c>
      <c r="I74" s="1177">
        <v>0.45</v>
      </c>
      <c r="J74" s="1181">
        <f t="shared" si="1"/>
        <v>0.41400000000000003</v>
      </c>
      <c r="K74" s="81"/>
      <c r="L74" s="81"/>
      <c r="M74" s="81"/>
    </row>
    <row r="75" spans="1:13" ht="15.5" x14ac:dyDescent="0.35">
      <c r="A75" s="1050"/>
      <c r="B75" s="1039" t="s">
        <v>5983</v>
      </c>
      <c r="C75" s="1182">
        <v>12.98</v>
      </c>
      <c r="D75" s="1183">
        <v>0.84</v>
      </c>
      <c r="E75" s="1182">
        <v>0.5</v>
      </c>
      <c r="F75" s="1184">
        <f t="shared" si="0"/>
        <v>0.46</v>
      </c>
      <c r="G75" s="1182">
        <v>11</v>
      </c>
      <c r="H75" s="1185">
        <v>1</v>
      </c>
      <c r="I75" s="1182">
        <v>0.45</v>
      </c>
      <c r="J75" s="1186">
        <f t="shared" si="1"/>
        <v>0.41400000000000003</v>
      </c>
      <c r="K75" s="81"/>
      <c r="L75" s="81"/>
      <c r="M75" s="81"/>
    </row>
    <row r="76" spans="1:13" ht="15.5" x14ac:dyDescent="0.35">
      <c r="A76" s="1050"/>
      <c r="B76" s="1038">
        <v>1999</v>
      </c>
      <c r="C76" s="1177">
        <v>9.64</v>
      </c>
      <c r="D76" s="1178">
        <v>0.68</v>
      </c>
      <c r="E76" s="1177">
        <v>0.36</v>
      </c>
      <c r="F76" s="1179">
        <f t="shared" si="0"/>
        <v>0.33119999999999999</v>
      </c>
      <c r="G76" s="1177">
        <v>8.17</v>
      </c>
      <c r="H76" s="1180">
        <v>0.81</v>
      </c>
      <c r="I76" s="1177">
        <v>0.32</v>
      </c>
      <c r="J76" s="1181">
        <f t="shared" si="1"/>
        <v>0.2944</v>
      </c>
      <c r="K76" s="81"/>
      <c r="L76" s="81"/>
      <c r="M76" s="81"/>
    </row>
    <row r="77" spans="1:13" ht="15.5" x14ac:dyDescent="0.35">
      <c r="A77" s="1050"/>
      <c r="B77" s="1039" t="s">
        <v>5979</v>
      </c>
      <c r="C77" s="1182">
        <v>7.31</v>
      </c>
      <c r="D77" s="1183">
        <v>0.68</v>
      </c>
      <c r="E77" s="1182">
        <v>0.36</v>
      </c>
      <c r="F77" s="1184">
        <f t="shared" si="0"/>
        <v>0.33119999999999999</v>
      </c>
      <c r="G77" s="1182">
        <v>7.31</v>
      </c>
      <c r="H77" s="1185">
        <v>0.81</v>
      </c>
      <c r="I77" s="1182">
        <v>0.32</v>
      </c>
      <c r="J77" s="1186">
        <f t="shared" si="1"/>
        <v>0.2944</v>
      </c>
      <c r="K77" s="81"/>
      <c r="L77" s="81"/>
      <c r="M77" s="81"/>
    </row>
    <row r="78" spans="1:13" ht="15.5" x14ac:dyDescent="0.35">
      <c r="A78" s="1050"/>
      <c r="B78" s="1038" t="s">
        <v>5980</v>
      </c>
      <c r="C78" s="1177">
        <v>5.53</v>
      </c>
      <c r="D78" s="1178">
        <v>0.68</v>
      </c>
      <c r="E78" s="1177">
        <v>0.2</v>
      </c>
      <c r="F78" s="1179">
        <f t="shared" si="0"/>
        <v>0.18400000000000002</v>
      </c>
      <c r="G78" s="1177">
        <v>5.53</v>
      </c>
      <c r="H78" s="1180">
        <v>0.81</v>
      </c>
      <c r="I78" s="1177">
        <v>0.2</v>
      </c>
      <c r="J78" s="1181">
        <f t="shared" si="1"/>
        <v>0.18400000000000002</v>
      </c>
      <c r="K78" s="81"/>
      <c r="L78" s="81"/>
      <c r="M78" s="81"/>
    </row>
    <row r="79" spans="1:13" ht="15.5" x14ac:dyDescent="0.35">
      <c r="A79" s="1050"/>
      <c r="B79" s="1039" t="s">
        <v>5988</v>
      </c>
      <c r="C79" s="1182">
        <v>4.37</v>
      </c>
      <c r="D79" s="1183">
        <v>0.68</v>
      </c>
      <c r="E79" s="1182">
        <v>0.1</v>
      </c>
      <c r="F79" s="1184">
        <f t="shared" si="0"/>
        <v>9.2000000000000012E-2</v>
      </c>
      <c r="G79" s="1182">
        <v>4.37</v>
      </c>
      <c r="H79" s="1185">
        <v>0.81</v>
      </c>
      <c r="I79" s="1182">
        <v>0.1</v>
      </c>
      <c r="J79" s="1186">
        <f t="shared" si="1"/>
        <v>9.2000000000000012E-2</v>
      </c>
      <c r="K79" s="81"/>
      <c r="L79" s="81"/>
      <c r="M79" s="81"/>
    </row>
    <row r="80" spans="1:13" ht="16" thickBot="1" x14ac:dyDescent="0.4">
      <c r="A80" s="1051"/>
      <c r="B80" s="1042" t="s">
        <v>5989</v>
      </c>
      <c r="C80" s="1195">
        <v>1.3</v>
      </c>
      <c r="D80" s="1196">
        <v>0.18</v>
      </c>
      <c r="E80" s="1195">
        <v>0.03</v>
      </c>
      <c r="F80" s="1342">
        <f t="shared" ref="F80:F90" si="2">E80*0.92</f>
        <v>2.76E-2</v>
      </c>
      <c r="G80" s="1195">
        <v>1.3</v>
      </c>
      <c r="H80" s="1197">
        <v>0.18</v>
      </c>
      <c r="I80" s="1195">
        <v>0.03</v>
      </c>
      <c r="J80" s="1198">
        <f t="shared" ref="J80:J90" si="3">I80*0.92</f>
        <v>2.76E-2</v>
      </c>
      <c r="K80" s="81"/>
      <c r="L80" s="81"/>
      <c r="M80" s="81"/>
    </row>
    <row r="81" spans="1:13" ht="15.5" x14ac:dyDescent="0.35">
      <c r="A81" s="1050" t="s">
        <v>5990</v>
      </c>
      <c r="B81" s="1043" t="s">
        <v>5937</v>
      </c>
      <c r="C81" s="1173">
        <v>16.52</v>
      </c>
      <c r="D81" s="1174">
        <v>1.26</v>
      </c>
      <c r="E81" s="1173">
        <v>0.7</v>
      </c>
      <c r="F81" s="1175">
        <f t="shared" si="2"/>
        <v>0.64400000000000002</v>
      </c>
      <c r="G81" s="1173">
        <v>14</v>
      </c>
      <c r="H81" s="1176">
        <v>1.5</v>
      </c>
      <c r="I81" s="1173">
        <v>0.62</v>
      </c>
      <c r="J81" s="1174">
        <f t="shared" si="3"/>
        <v>0.57040000000000002</v>
      </c>
      <c r="K81" s="81"/>
      <c r="L81" s="81"/>
      <c r="M81" s="81"/>
    </row>
    <row r="82" spans="1:13" ht="15.5" x14ac:dyDescent="0.35">
      <c r="A82" s="1050"/>
      <c r="B82" s="1038" t="s">
        <v>5939</v>
      </c>
      <c r="C82" s="1177">
        <v>15.34</v>
      </c>
      <c r="D82" s="1178">
        <v>1.05</v>
      </c>
      <c r="E82" s="1177">
        <v>0.6</v>
      </c>
      <c r="F82" s="1179">
        <f t="shared" si="2"/>
        <v>0.55200000000000005</v>
      </c>
      <c r="G82" s="1177">
        <v>13</v>
      </c>
      <c r="H82" s="1180">
        <v>1.25</v>
      </c>
      <c r="I82" s="1177">
        <v>0.53</v>
      </c>
      <c r="J82" s="1181">
        <f t="shared" si="3"/>
        <v>0.48760000000000003</v>
      </c>
      <c r="K82" s="81"/>
      <c r="L82" s="81"/>
      <c r="M82" s="81"/>
    </row>
    <row r="83" spans="1:13" ht="15.5" x14ac:dyDescent="0.35">
      <c r="A83" s="1050"/>
      <c r="B83" s="1039" t="s">
        <v>5940</v>
      </c>
      <c r="C83" s="1182">
        <v>14.16</v>
      </c>
      <c r="D83" s="1183">
        <v>0.95</v>
      </c>
      <c r="E83" s="1182">
        <v>0.5</v>
      </c>
      <c r="F83" s="1184">
        <f t="shared" si="2"/>
        <v>0.46</v>
      </c>
      <c r="G83" s="1182">
        <v>12</v>
      </c>
      <c r="H83" s="1185">
        <v>1.1299999999999999</v>
      </c>
      <c r="I83" s="1182">
        <v>0.45</v>
      </c>
      <c r="J83" s="1186">
        <f t="shared" si="3"/>
        <v>0.41400000000000003</v>
      </c>
      <c r="K83" s="81"/>
      <c r="L83" s="81"/>
      <c r="M83" s="81"/>
    </row>
    <row r="84" spans="1:13" ht="15.5" x14ac:dyDescent="0.35">
      <c r="A84" s="1050"/>
      <c r="B84" s="1038" t="s">
        <v>5942</v>
      </c>
      <c r="C84" s="1177">
        <v>12.98</v>
      </c>
      <c r="D84" s="1178">
        <v>0.9</v>
      </c>
      <c r="E84" s="1177">
        <v>0.5</v>
      </c>
      <c r="F84" s="1179">
        <f t="shared" si="2"/>
        <v>0.46</v>
      </c>
      <c r="G84" s="1177">
        <v>11</v>
      </c>
      <c r="H84" s="1180">
        <v>1.07</v>
      </c>
      <c r="I84" s="1177">
        <v>0.45</v>
      </c>
      <c r="J84" s="1181">
        <f t="shared" si="3"/>
        <v>0.41400000000000003</v>
      </c>
      <c r="K84" s="81"/>
      <c r="L84" s="81"/>
      <c r="M84" s="81"/>
    </row>
    <row r="85" spans="1:13" ht="15.5" x14ac:dyDescent="0.35">
      <c r="A85" s="1050"/>
      <c r="B85" s="1039" t="s">
        <v>5983</v>
      </c>
      <c r="C85" s="1182">
        <v>12.98</v>
      </c>
      <c r="D85" s="1183">
        <v>0.84</v>
      </c>
      <c r="E85" s="1182">
        <v>0.5</v>
      </c>
      <c r="F85" s="1184">
        <f t="shared" si="2"/>
        <v>0.46</v>
      </c>
      <c r="G85" s="1182">
        <v>11</v>
      </c>
      <c r="H85" s="1185">
        <v>1</v>
      </c>
      <c r="I85" s="1182">
        <v>0.45</v>
      </c>
      <c r="J85" s="1186">
        <f t="shared" si="3"/>
        <v>0.41400000000000003</v>
      </c>
      <c r="K85" s="81"/>
      <c r="L85" s="81"/>
      <c r="M85" s="81"/>
    </row>
    <row r="86" spans="1:13" ht="15.5" x14ac:dyDescent="0.35">
      <c r="A86" s="1050"/>
      <c r="B86" s="1038">
        <v>1999</v>
      </c>
      <c r="C86" s="1177">
        <v>9.64</v>
      </c>
      <c r="D86" s="1178">
        <v>0.68</v>
      </c>
      <c r="E86" s="1177">
        <v>0.36</v>
      </c>
      <c r="F86" s="1179">
        <f t="shared" si="2"/>
        <v>0.33119999999999999</v>
      </c>
      <c r="G86" s="1177">
        <v>8.17</v>
      </c>
      <c r="H86" s="1180">
        <v>0.81</v>
      </c>
      <c r="I86" s="1177">
        <v>0.32</v>
      </c>
      <c r="J86" s="1181">
        <f t="shared" si="3"/>
        <v>0.2944</v>
      </c>
      <c r="K86" s="81"/>
      <c r="L86" s="81"/>
      <c r="M86" s="81"/>
    </row>
    <row r="87" spans="1:13" ht="15.5" x14ac:dyDescent="0.35">
      <c r="A87" s="1050"/>
      <c r="B87" s="1039" t="s">
        <v>5979</v>
      </c>
      <c r="C87" s="1182">
        <v>7.31</v>
      </c>
      <c r="D87" s="1183">
        <v>0.68</v>
      </c>
      <c r="E87" s="1182">
        <v>0.36</v>
      </c>
      <c r="F87" s="1184">
        <f t="shared" si="2"/>
        <v>0.33119999999999999</v>
      </c>
      <c r="G87" s="1182">
        <v>7.31</v>
      </c>
      <c r="H87" s="1185">
        <v>0.81</v>
      </c>
      <c r="I87" s="1182">
        <v>0.32</v>
      </c>
      <c r="J87" s="1186">
        <f t="shared" si="3"/>
        <v>0.2944</v>
      </c>
      <c r="K87" s="81"/>
      <c r="L87" s="81"/>
      <c r="M87" s="81"/>
    </row>
    <row r="88" spans="1:13" ht="15.5" x14ac:dyDescent="0.35">
      <c r="A88" s="1050"/>
      <c r="B88" s="1038" t="s">
        <v>5991</v>
      </c>
      <c r="C88" s="1177">
        <v>5.53</v>
      </c>
      <c r="D88" s="1178">
        <v>0.68</v>
      </c>
      <c r="E88" s="1177">
        <v>0.2</v>
      </c>
      <c r="F88" s="1179">
        <f t="shared" si="2"/>
        <v>0.18400000000000002</v>
      </c>
      <c r="G88" s="1177">
        <v>5.53</v>
      </c>
      <c r="H88" s="1180">
        <v>0.81</v>
      </c>
      <c r="I88" s="1177">
        <v>0.2</v>
      </c>
      <c r="J88" s="1181">
        <f t="shared" si="3"/>
        <v>0.18400000000000002</v>
      </c>
      <c r="K88" s="81"/>
      <c r="L88" s="81"/>
      <c r="M88" s="81"/>
    </row>
    <row r="89" spans="1:13" ht="15.5" x14ac:dyDescent="0.35">
      <c r="A89" s="1050"/>
      <c r="B89" s="1039" t="s">
        <v>5992</v>
      </c>
      <c r="C89" s="1182">
        <v>4.9400000000000004</v>
      </c>
      <c r="D89" s="1183">
        <v>0.68</v>
      </c>
      <c r="E89" s="1182">
        <v>0.25</v>
      </c>
      <c r="F89" s="1184">
        <f t="shared" si="2"/>
        <v>0.23</v>
      </c>
      <c r="G89" s="1182">
        <v>4.9400000000000004</v>
      </c>
      <c r="H89" s="1185">
        <v>0.81</v>
      </c>
      <c r="I89" s="1182">
        <v>0.25</v>
      </c>
      <c r="J89" s="1186">
        <f t="shared" si="3"/>
        <v>0.23</v>
      </c>
      <c r="K89" s="81"/>
      <c r="L89" s="81"/>
      <c r="M89" s="81"/>
    </row>
    <row r="90" spans="1:13" ht="16" thickBot="1" x14ac:dyDescent="0.4">
      <c r="A90" s="1051"/>
      <c r="B90" s="1042" t="s">
        <v>5989</v>
      </c>
      <c r="C90" s="1199">
        <v>1.3</v>
      </c>
      <c r="D90" s="1200">
        <v>0.18</v>
      </c>
      <c r="E90" s="1199">
        <v>0.03</v>
      </c>
      <c r="F90" s="1201">
        <f t="shared" si="2"/>
        <v>2.76E-2</v>
      </c>
      <c r="G90" s="1199">
        <v>1.3</v>
      </c>
      <c r="H90" s="1202">
        <v>0.18</v>
      </c>
      <c r="I90" s="1199">
        <v>0.03</v>
      </c>
      <c r="J90" s="1203">
        <f t="shared" si="3"/>
        <v>2.76E-2</v>
      </c>
      <c r="K90" s="81"/>
      <c r="L90" s="81"/>
      <c r="M90" s="81"/>
    </row>
    <row r="91" spans="1:13" ht="15.75" customHeight="1" x14ac:dyDescent="0.35">
      <c r="A91" s="540" t="s">
        <v>5993</v>
      </c>
      <c r="B91" s="540"/>
      <c r="C91" s="540"/>
      <c r="D91" s="540"/>
      <c r="E91" s="540"/>
      <c r="F91" s="540"/>
      <c r="G91" s="540"/>
      <c r="H91" s="540"/>
      <c r="I91" s="540"/>
      <c r="J91" s="540"/>
      <c r="K91" s="81"/>
      <c r="L91" s="81"/>
      <c r="M91" s="81"/>
    </row>
    <row r="92" spans="1:13" ht="15.5" x14ac:dyDescent="0.35">
      <c r="A92" s="540" t="s">
        <v>5994</v>
      </c>
      <c r="B92" s="540"/>
      <c r="C92" s="540"/>
      <c r="D92" s="540"/>
      <c r="E92" s="540"/>
      <c r="F92" s="540"/>
      <c r="G92" s="540"/>
      <c r="H92" s="540"/>
      <c r="I92" s="540"/>
      <c r="J92" s="540"/>
      <c r="K92" s="81"/>
      <c r="L92" s="81"/>
      <c r="M92" s="81"/>
    </row>
    <row r="93" spans="1:13" ht="15.5" x14ac:dyDescent="0.35">
      <c r="A93" s="540" t="s">
        <v>5995</v>
      </c>
      <c r="B93" s="540"/>
      <c r="C93" s="540"/>
      <c r="D93" s="540"/>
      <c r="E93" s="540"/>
      <c r="F93" s="540"/>
      <c r="G93" s="540"/>
      <c r="H93" s="540"/>
      <c r="I93" s="540"/>
      <c r="J93" s="540"/>
      <c r="K93" s="81"/>
      <c r="L93" s="81"/>
      <c r="M93" s="81"/>
    </row>
    <row r="94" spans="1:13" ht="15.5" x14ac:dyDescent="0.35">
      <c r="A94" s="540" t="s">
        <v>5996</v>
      </c>
      <c r="B94" s="540"/>
      <c r="C94" s="540"/>
      <c r="D94" s="540"/>
      <c r="E94" s="540"/>
      <c r="F94" s="540"/>
      <c r="G94" s="540"/>
      <c r="H94" s="540"/>
      <c r="I94" s="540"/>
      <c r="J94" s="540"/>
      <c r="K94" s="81"/>
      <c r="L94" s="81"/>
      <c r="M94" s="81"/>
    </row>
    <row r="95" spans="1:13" ht="16" thickBot="1" x14ac:dyDescent="0.4">
      <c r="A95" s="81" t="s">
        <v>5997</v>
      </c>
      <c r="B95" s="81"/>
      <c r="C95" s="81"/>
      <c r="D95" s="81"/>
      <c r="E95" s="81"/>
      <c r="F95" s="81"/>
      <c r="G95" s="81"/>
      <c r="H95" s="81"/>
      <c r="I95" s="81"/>
      <c r="J95" s="81"/>
      <c r="K95" s="81"/>
      <c r="L95" s="81"/>
      <c r="M95" s="81"/>
    </row>
    <row r="96" spans="1:13" ht="15.5" x14ac:dyDescent="0.35">
      <c r="A96" s="93" t="s">
        <v>748</v>
      </c>
      <c r="B96" s="94"/>
      <c r="C96" s="94"/>
      <c r="D96" s="94"/>
      <c r="E96" s="94"/>
      <c r="F96" s="94"/>
      <c r="G96" s="94"/>
      <c r="H96" s="94"/>
      <c r="I96" s="94"/>
      <c r="J96" s="94"/>
      <c r="K96" s="94"/>
      <c r="L96" s="95"/>
      <c r="M96" s="81"/>
    </row>
    <row r="97" spans="1:37" ht="15.5" x14ac:dyDescent="0.35">
      <c r="A97" s="96" t="s">
        <v>5998</v>
      </c>
      <c r="B97" s="81"/>
      <c r="C97" s="81"/>
      <c r="D97" s="81"/>
      <c r="E97" s="81"/>
      <c r="F97" s="81"/>
      <c r="G97" s="81"/>
      <c r="H97" s="81"/>
      <c r="I97" s="81"/>
      <c r="J97" s="81"/>
      <c r="K97" s="81"/>
      <c r="L97" s="97"/>
      <c r="M97" s="81"/>
    </row>
    <row r="98" spans="1:37" ht="15.5" x14ac:dyDescent="0.35">
      <c r="A98" s="96" t="s">
        <v>5999</v>
      </c>
      <c r="B98" s="81"/>
      <c r="C98" s="98"/>
      <c r="D98" s="81"/>
      <c r="E98" s="81"/>
      <c r="F98" s="81"/>
      <c r="G98" s="81"/>
      <c r="H98" s="81"/>
      <c r="I98" s="81"/>
      <c r="J98" s="81"/>
      <c r="K98" s="81"/>
      <c r="L98" s="97"/>
      <c r="M98" s="81"/>
    </row>
    <row r="99" spans="1:37" ht="15.5" x14ac:dyDescent="0.35">
      <c r="A99" s="37" t="s">
        <v>6000</v>
      </c>
      <c r="B99" s="81"/>
      <c r="C99" s="81"/>
      <c r="D99" s="81"/>
      <c r="E99" s="81"/>
      <c r="F99" s="81"/>
      <c r="G99" s="81"/>
      <c r="H99" s="81"/>
      <c r="I99" s="81"/>
      <c r="J99" s="81"/>
      <c r="K99" s="81"/>
      <c r="L99" s="97"/>
      <c r="M99" s="81"/>
    </row>
    <row r="100" spans="1:37" ht="16" thickBot="1" x14ac:dyDescent="0.4">
      <c r="A100" s="99"/>
      <c r="B100" s="100"/>
      <c r="C100" s="100"/>
      <c r="D100" s="100"/>
      <c r="E100" s="100"/>
      <c r="F100" s="100"/>
      <c r="G100" s="100"/>
      <c r="H100" s="100"/>
      <c r="I100" s="100"/>
      <c r="J100" s="100"/>
      <c r="K100" s="100"/>
      <c r="L100" s="101"/>
    </row>
    <row r="101" spans="1:37" ht="14.5" thickBot="1" x14ac:dyDescent="0.35"/>
    <row r="102" spans="1:37" ht="16" thickBot="1" x14ac:dyDescent="0.4">
      <c r="A102" s="1034" t="s">
        <v>6001</v>
      </c>
      <c r="B102" s="913"/>
      <c r="C102" s="913"/>
      <c r="D102" s="913"/>
      <c r="E102" s="913"/>
      <c r="F102" s="913"/>
      <c r="G102" s="913"/>
      <c r="H102" s="913"/>
      <c r="I102" s="913"/>
      <c r="J102" s="913"/>
      <c r="K102" s="913"/>
      <c r="L102" s="913"/>
      <c r="M102" s="913"/>
      <c r="N102" s="913"/>
      <c r="O102" s="913"/>
      <c r="P102" s="913"/>
      <c r="Q102" s="913"/>
      <c r="R102" s="913"/>
      <c r="S102" s="913"/>
      <c r="T102" s="913"/>
      <c r="U102" s="913"/>
      <c r="V102" s="913"/>
      <c r="W102" s="913"/>
      <c r="X102" s="913"/>
      <c r="Y102" s="913"/>
      <c r="Z102" s="913"/>
      <c r="AA102" s="913"/>
      <c r="AB102" s="913"/>
      <c r="AC102" s="913"/>
      <c r="AD102" s="913"/>
      <c r="AE102" s="913"/>
      <c r="AF102" s="913"/>
      <c r="AG102" s="913"/>
      <c r="AH102" s="913"/>
      <c r="AI102" s="913"/>
      <c r="AJ102" s="913"/>
      <c r="AK102" s="914"/>
    </row>
    <row r="103" spans="1:37" ht="16" thickBot="1" x14ac:dyDescent="0.4">
      <c r="A103" s="1036"/>
      <c r="B103" s="1062" t="s">
        <v>5887</v>
      </c>
      <c r="C103" s="1062"/>
      <c r="D103" s="1062"/>
      <c r="E103" s="1062"/>
      <c r="F103" s="1062"/>
      <c r="G103" s="1062"/>
      <c r="H103" s="1062"/>
      <c r="I103" s="1062"/>
      <c r="J103" s="1062"/>
      <c r="K103" s="1062"/>
      <c r="L103" s="1062"/>
      <c r="M103" s="1062"/>
      <c r="N103" s="1062"/>
      <c r="O103" s="1062"/>
      <c r="P103" s="1062"/>
      <c r="Q103" s="1062"/>
      <c r="R103" s="1062"/>
      <c r="S103" s="1062"/>
      <c r="T103" s="1062"/>
      <c r="U103" s="1062"/>
      <c r="V103" s="1062"/>
      <c r="W103" s="1062"/>
      <c r="X103" s="1062"/>
      <c r="Y103" s="1062"/>
      <c r="Z103" s="1062"/>
      <c r="AA103" s="1062"/>
      <c r="AB103" s="1062"/>
      <c r="AC103" s="1062"/>
      <c r="AD103" s="1062"/>
      <c r="AE103" s="1062"/>
      <c r="AF103" s="1062"/>
      <c r="AG103" s="1062"/>
      <c r="AH103" s="1062"/>
      <c r="AI103" s="1062"/>
      <c r="AJ103" s="1062"/>
      <c r="AK103" s="1063"/>
    </row>
    <row r="104" spans="1:37" ht="15.5" x14ac:dyDescent="0.35">
      <c r="A104" s="1053" t="s">
        <v>119</v>
      </c>
      <c r="B104" s="1055" t="str">
        <f>'Ferry C&amp;T EF'!A15</f>
        <v>25-50 HP</v>
      </c>
      <c r="C104" s="1056"/>
      <c r="D104" s="1056"/>
      <c r="E104" s="1057"/>
      <c r="F104" s="1056" t="str">
        <f>'Ferry C&amp;T EF'!A20</f>
        <v>51-120 HP</v>
      </c>
      <c r="G104" s="1056"/>
      <c r="H104" s="1056"/>
      <c r="I104" s="1057"/>
      <c r="J104" s="1056" t="str">
        <f>'Ferry C&amp;T EF'!A25</f>
        <v>121-175 HP</v>
      </c>
      <c r="K104" s="1056"/>
      <c r="L104" s="1056"/>
      <c r="M104" s="1056"/>
      <c r="N104" s="1055" t="str">
        <f>'Ferry C&amp;T EF'!A34</f>
        <v>176-250 HP</v>
      </c>
      <c r="O104" s="1056"/>
      <c r="P104" s="1056"/>
      <c r="Q104" s="1057"/>
      <c r="R104" s="1056" t="str">
        <f>'Ferry C&amp;T EF'!A43</f>
        <v>251-500 HP</v>
      </c>
      <c r="S104" s="1056"/>
      <c r="T104" s="1056"/>
      <c r="U104" s="1057"/>
      <c r="V104" s="1056" t="str">
        <f>'Ferry C&amp;T EF'!A52</f>
        <v>501-750 HP</v>
      </c>
      <c r="W104" s="1056"/>
      <c r="X104" s="1056"/>
      <c r="Y104" s="1057"/>
      <c r="Z104" s="1056" t="str">
        <f>'Ferry C&amp;T EF'!A61</f>
        <v>751-1900 HP</v>
      </c>
      <c r="AA104" s="1056"/>
      <c r="AB104" s="1056"/>
      <c r="AC104" s="1057"/>
      <c r="AD104" s="1056" t="str">
        <f>'Ferry C&amp;T EF'!A71</f>
        <v>1901-3300 HP</v>
      </c>
      <c r="AE104" s="1056"/>
      <c r="AF104" s="1056"/>
      <c r="AG104" s="1057"/>
      <c r="AH104" s="1056" t="str">
        <f>'Ferry C&amp;T EF'!A81</f>
        <v>3301-5000 HP</v>
      </c>
      <c r="AI104" s="1056"/>
      <c r="AJ104" s="1056"/>
      <c r="AK104" s="1057"/>
    </row>
    <row r="105" spans="1:37" ht="18" thickBot="1" x14ac:dyDescent="0.5">
      <c r="A105" s="1054"/>
      <c r="B105" s="911" t="s">
        <v>5856</v>
      </c>
      <c r="C105" s="42" t="s">
        <v>325</v>
      </c>
      <c r="D105" s="1058" t="s">
        <v>5857</v>
      </c>
      <c r="E105" s="43" t="s">
        <v>6002</v>
      </c>
      <c r="F105" s="1059" t="s">
        <v>5856</v>
      </c>
      <c r="G105" s="42" t="s">
        <v>325</v>
      </c>
      <c r="H105" s="1058" t="s">
        <v>5857</v>
      </c>
      <c r="I105" s="43" t="s">
        <v>6002</v>
      </c>
      <c r="J105" s="1059" t="s">
        <v>5856</v>
      </c>
      <c r="K105" s="42" t="s">
        <v>325</v>
      </c>
      <c r="L105" s="1058" t="s">
        <v>5857</v>
      </c>
      <c r="M105" s="910" t="s">
        <v>6002</v>
      </c>
      <c r="N105" s="911" t="s">
        <v>5856</v>
      </c>
      <c r="O105" s="42" t="s">
        <v>325</v>
      </c>
      <c r="P105" s="1058" t="s">
        <v>5857</v>
      </c>
      <c r="Q105" s="43" t="s">
        <v>6002</v>
      </c>
      <c r="R105" s="1059" t="s">
        <v>5856</v>
      </c>
      <c r="S105" s="42" t="s">
        <v>325</v>
      </c>
      <c r="T105" s="1060" t="s">
        <v>5857</v>
      </c>
      <c r="U105" s="1061" t="s">
        <v>6002</v>
      </c>
      <c r="V105" s="1059" t="s">
        <v>5856</v>
      </c>
      <c r="W105" s="42" t="s">
        <v>325</v>
      </c>
      <c r="X105" s="1060" t="s">
        <v>5857</v>
      </c>
      <c r="Y105" s="1061" t="s">
        <v>6002</v>
      </c>
      <c r="Z105" s="1059" t="s">
        <v>5856</v>
      </c>
      <c r="AA105" s="42" t="s">
        <v>325</v>
      </c>
      <c r="AB105" s="1060" t="s">
        <v>5857</v>
      </c>
      <c r="AC105" s="1061" t="s">
        <v>6002</v>
      </c>
      <c r="AD105" s="1059" t="s">
        <v>5856</v>
      </c>
      <c r="AE105" s="42" t="s">
        <v>325</v>
      </c>
      <c r="AF105" s="1060" t="s">
        <v>5857</v>
      </c>
      <c r="AG105" s="1061" t="s">
        <v>6002</v>
      </c>
      <c r="AH105" s="1059" t="s">
        <v>5856</v>
      </c>
      <c r="AI105" s="42" t="s">
        <v>325</v>
      </c>
      <c r="AJ105" s="1060" t="s">
        <v>5857</v>
      </c>
      <c r="AK105" s="1061" t="s">
        <v>6002</v>
      </c>
    </row>
    <row r="106" spans="1:37" ht="15.5" x14ac:dyDescent="0.35">
      <c r="A106" s="1035">
        <v>1950</v>
      </c>
      <c r="B106" s="500">
        <f>IF($A106&gt;=2009,C$19,IF($A106&gt;=2005,C$18,IF($A106&gt;=2000,C$17,IF($A106&gt;=1998,C$16,C$15))))/$M$15</f>
        <v>140.34482758620689</v>
      </c>
      <c r="C106" s="501">
        <f>IF($A106&gt;=2009,D$19,IF($A106&gt;=2005,D$18,IF($A106&gt;=2000,D$17,IF($A106&gt;=1998,D$16,D$15))))/$M$15</f>
        <v>31.724137931034484</v>
      </c>
      <c r="D106" s="502">
        <f>IF($A106&gt;=2009,E$19,IF($A106&gt;=2005,E$18,IF($A106&gt;=2000,E$17,IF($A106&gt;=1998,E$16,E$15))))/$M$15</f>
        <v>12.413793103448274</v>
      </c>
      <c r="E106" s="503">
        <f>IF($A106&gt;=2009,F$19,IF($A106&gt;=2005,F$18,IF($A106&gt;=2000,F$17,IF($A106&gt;=1998,F$16,F$15))))/$M$15</f>
        <v>11.420689655172414</v>
      </c>
      <c r="F106" s="500">
        <f>IF($A106&gt;=2009,C$24,IF($A106&gt;=2005,C$23,IF($A106&gt;=2000,C$22,IF($A106&gt;=1997,C$21,C$20))))/$M$15</f>
        <v>264.48275862068965</v>
      </c>
      <c r="G106" s="501">
        <f t="shared" ref="G106:I121" si="4">IF($A106&gt;=2009,D$24,IF($A106&gt;=2005,D$23,IF($A106&gt;=2000,D$22,IF($A106&gt;=1997,D$21,D$20))))/$M$15</f>
        <v>24.827586206896548</v>
      </c>
      <c r="H106" s="501">
        <f>IF($A106&gt;=2009,E$24,IF($A106&gt;=2005,E$23,IF($A106&gt;=2000,E$22,IF($A106&gt;=1997,E$21,E$20))))/$M$15</f>
        <v>13.793103448275863</v>
      </c>
      <c r="I106" s="504">
        <f>IF($A106&gt;=2009,F$24,IF($A106&gt;=2005,F$23,IF($A106&gt;=2000,F$22,IF($A106&gt;=1997,F$21,F$20))))/$M$15</f>
        <v>12.689655172413794</v>
      </c>
      <c r="J106" s="500">
        <f>IF($A106&gt;=2013,C$33,IF($A106&gt;=2004,C$32,IF($A106&gt;=2000,C$31,IF($A106&gt;=1996,C$30,IF($A106&gt;=1987,C$29,IF($A106&gt;=1984,C$28,IF($A106&gt;=1979,C$27,IF($A106&gt;=1971,C$26,C$25))))))))/$M$15</f>
        <v>284.82758620689651</v>
      </c>
      <c r="K106" s="501">
        <f t="shared" ref="K106:M121" si="5">IF($A106&gt;=2013,D$33,IF($A106&gt;=2004,D$32,IF($A106&gt;=2000,D$31,IF($A106&gt;=1996,D$30,IF($A106&gt;=1987,D$29,IF($A106&gt;=1984,D$28,IF($A106&gt;=1979,D$27,IF($A106&gt;=1971,D$26,D$25))))))))/$M$15</f>
        <v>22.758620689655171</v>
      </c>
      <c r="L106" s="502">
        <f t="shared" si="5"/>
        <v>12.586206896551722</v>
      </c>
      <c r="M106" s="503">
        <f t="shared" si="5"/>
        <v>11.579310344827585</v>
      </c>
      <c r="N106" s="500">
        <f>IF($A106&gt;=2014,C$42,IF($A106&gt;=2004,C$41,IF($A106&gt;=2000,C$40,IF($A106&gt;=1995,C$39,IF($A106&gt;=1987,C$38,IF($A106&gt;=1984,C$37,IF($A106&gt;=1979,C$36,IF($A106&gt;=1971,C$35,C$34))))))))/$M$15</f>
        <v>284.82758620689651</v>
      </c>
      <c r="O106" s="501">
        <f t="shared" ref="O106:Q121" si="6">IF($A106&gt;=2014,D$42,IF($A106&gt;=2004,D$41,IF($A106&gt;=2000,D$40,IF($A106&gt;=1995,D$39,IF($A106&gt;=1987,D$38,IF($A106&gt;=1984,D$37,IF($A106&gt;=1979,D$36,IF($A106&gt;=1971,D$35,D$34))))))))/$M$15</f>
        <v>22.758620689655171</v>
      </c>
      <c r="P106" s="502">
        <f t="shared" si="6"/>
        <v>12.586206896551722</v>
      </c>
      <c r="Q106" s="503">
        <f t="shared" si="6"/>
        <v>11.579310344827585</v>
      </c>
      <c r="R106" s="500">
        <f>IF($A106&gt;=2014,C$51,IF($A106&gt;=2004,C$50,IF($A106&gt;=2000,C$49,IF($A106&gt;=1995,C$48,IF($A106&gt;=1987,C$47,IF($A106&gt;=1984,C$46,IF($A106&gt;=1979,C$45,IF($A106&gt;=1971,C$44,C$43))))))))/$M$15</f>
        <v>284.82758620689651</v>
      </c>
      <c r="S106" s="501">
        <f t="shared" ref="S106:U121" si="7">IF($A106&gt;=2014,D$51,IF($A106&gt;=2004,D$50,IF($A106&gt;=2000,D$49,IF($A106&gt;=1995,D$48,IF($A106&gt;=1987,D$47,IF($A106&gt;=1984,D$46,IF($A106&gt;=1979,D$45,IF($A106&gt;=1971,D$44,D$43))))))))/$M$15</f>
        <v>21.72413793103448</v>
      </c>
      <c r="T106" s="502">
        <f t="shared" si="7"/>
        <v>12.068965517241377</v>
      </c>
      <c r="U106" s="503">
        <f t="shared" si="7"/>
        <v>11.103448275862069</v>
      </c>
      <c r="V106" s="500">
        <f>IF($A106&gt;=2013,C$60,IF($A106&gt;=2007,C$59,IF($A106&gt;=2000,C$58,IF($A106&gt;=1995,C$57,IF($A106&gt;=1987,C$56,IF($A106&gt;=1984,C$55,IF($A106&gt;=1979,C$54,IF($A106&gt;=1971,C$53,C$52))))))))/$M$15</f>
        <v>284.82758620689651</v>
      </c>
      <c r="W106" s="501">
        <f t="shared" ref="W106:Y121" si="8">IF($A106&gt;=2013,D$60,IF($A106&gt;=2007,D$59,IF($A106&gt;=2000,D$58,IF($A106&gt;=1995,D$57,IF($A106&gt;=1987,D$56,IF($A106&gt;=1984,D$55,IF($A106&gt;=1979,D$54,IF($A106&gt;=1971,D$53,D$52))))))))/$M$15</f>
        <v>21.72413793103448</v>
      </c>
      <c r="X106" s="502">
        <f t="shared" si="8"/>
        <v>12.068965517241377</v>
      </c>
      <c r="Y106" s="503">
        <f t="shared" si="8"/>
        <v>11.103448275862069</v>
      </c>
      <c r="Z106" s="500">
        <f>IF($A106&gt;=2017,C$70,IF($A106&gt;=2012,C$69,IF($A106&gt;=2007,C$68,IF($A106&gt;=2000,C$67,IF($A106=1999,C$66,IF($A106&gt;=1987,C$65,IF($A106&gt;=1984,C$64,IF($A106&gt;=1979,C$63,IF($A106&gt;=1971,C$62,C$61)))))))))/$M$15</f>
        <v>284.82758620689651</v>
      </c>
      <c r="AA106" s="501">
        <f t="shared" ref="AA106:AC121" si="9">IF($A106&gt;=2017,D$70,IF($A106&gt;=2012,D$69,IF($A106&gt;=2007,D$68,IF($A106&gt;=2000,D$67,IF($A106=1999,D$66,IF($A106&gt;=1987,D$65,IF($A106&gt;=1984,D$64,IF($A106&gt;=1979,D$63,IF($A106&gt;=1971,D$62,D$61)))))))))/$M$15</f>
        <v>21.72413793103448</v>
      </c>
      <c r="AB106" s="502">
        <f t="shared" si="9"/>
        <v>12.068965517241377</v>
      </c>
      <c r="AC106" s="503">
        <f t="shared" si="9"/>
        <v>11.103448275862069</v>
      </c>
      <c r="AD106" s="500">
        <f>IF($A106&gt;=2016,C$80,IF($A106&gt;=2013,C$79,IF($A106&gt;=2007,C$78,IF($A106&gt;=2000,C$77,IF($A106=1999,C$76,IF($A106&gt;=1987,C$75,IF($A106&gt;=1984,C$74,IF($A106&gt;=1979,C$73,IF($A106&gt;=1971,C$72,C$71)))))))))/$M$15</f>
        <v>284.82758620689651</v>
      </c>
      <c r="AE106" s="501">
        <f t="shared" ref="AE106:AG121" si="10">IF($A106&gt;=2016,D$80,IF($A106&gt;=2013,D$79,IF($A106&gt;=2007,D$78,IF($A106&gt;=2000,D$77,IF($A106=1999,D$76,IF($A106&gt;=1987,D$75,IF($A106&gt;=1984,D$74,IF($A106&gt;=1979,D$73,IF($A106&gt;=1971,D$72,D$71)))))))))/$M$15</f>
        <v>21.72413793103448</v>
      </c>
      <c r="AF106" s="502">
        <f t="shared" si="10"/>
        <v>12.068965517241377</v>
      </c>
      <c r="AG106" s="503">
        <f t="shared" si="10"/>
        <v>11.103448275862069</v>
      </c>
      <c r="AH106" s="500">
        <f>IF($A106&gt;=2016,C$90,IF($A106&gt;=2014,C$89,IF($A106&gt;=2007,C$88,IF($A106&gt;=2000,C$87,IF($A106=1999,C$86,IF($A106&gt;=1987,C$85,IF($A106&gt;=1984,C$84,IF($A106&gt;=1979,C$83,IF($A106&gt;=1971,C$82,C$81)))))))))/$M$15</f>
        <v>284.82758620689651</v>
      </c>
      <c r="AI106" s="501">
        <f t="shared" ref="AI106:AK121" si="11">IF($A106&gt;=2016,D$90,IF($A106&gt;=2014,D$89,IF($A106&gt;=2007,D$88,IF($A106&gt;=2000,D$87,IF($A106=1999,D$86,IF($A106&gt;=1987,D$85,IF($A106&gt;=1984,D$84,IF($A106&gt;=1979,D$83,IF($A106&gt;=1971,D$82,D$81)))))))))/$M$15</f>
        <v>21.72413793103448</v>
      </c>
      <c r="AJ106" s="502">
        <f t="shared" si="11"/>
        <v>12.068965517241377</v>
      </c>
      <c r="AK106" s="505">
        <f t="shared" si="11"/>
        <v>11.103448275862069</v>
      </c>
    </row>
    <row r="107" spans="1:37" ht="15.5" x14ac:dyDescent="0.35">
      <c r="A107" s="51">
        <v>1951</v>
      </c>
      <c r="B107" s="506">
        <f t="shared" ref="B107:E170" si="12">IF($A107&gt;=2009,C$19,IF($A107&gt;=2005,C$18,IF($A107&gt;=2000,C$17,IF($A107&gt;=1998,C$16,C$15))))/$M$15</f>
        <v>140.34482758620689</v>
      </c>
      <c r="C107" s="507">
        <f t="shared" si="12"/>
        <v>31.724137931034484</v>
      </c>
      <c r="D107" s="508">
        <f t="shared" si="12"/>
        <v>12.413793103448274</v>
      </c>
      <c r="E107" s="59">
        <f t="shared" si="12"/>
        <v>11.420689655172414</v>
      </c>
      <c r="F107" s="506">
        <f t="shared" ref="F107:F170" si="13">IF($A107&gt;=2009,C$24,IF($A107&gt;=2005,C$23,IF($A107&gt;=2000,C$22,IF($A107&gt;=1997,C$21,C$20))))/$M$15</f>
        <v>264.48275862068965</v>
      </c>
      <c r="G107" s="507">
        <f t="shared" si="4"/>
        <v>24.827586206896548</v>
      </c>
      <c r="H107" s="507">
        <f t="shared" si="4"/>
        <v>13.793103448275863</v>
      </c>
      <c r="I107" s="509">
        <f t="shared" si="4"/>
        <v>12.689655172413794</v>
      </c>
      <c r="J107" s="506">
        <f t="shared" ref="J107:J170" si="14">IF($A107&gt;=2013,C$33,IF($A107&gt;=2004,C$32,IF($A107&gt;=2000,C$31,IF($A107&gt;=1996,C$30,IF($A107&gt;=1987,C$29,IF($A107&gt;=1984,C$28,IF($A107&gt;=1979,C$27,IF($A107&gt;=1971,C$26,C$25))))))))/$M$15</f>
        <v>284.82758620689651</v>
      </c>
      <c r="K107" s="507">
        <f t="shared" si="5"/>
        <v>22.758620689655171</v>
      </c>
      <c r="L107" s="508">
        <f t="shared" si="5"/>
        <v>12.586206896551722</v>
      </c>
      <c r="M107" s="59">
        <f t="shared" si="5"/>
        <v>11.579310344827585</v>
      </c>
      <c r="N107" s="506">
        <f t="shared" ref="N107:N170" si="15">IF($A107&gt;=2014,C$42,IF($A107&gt;=2004,C$41,IF($A107&gt;=2000,C$40,IF($A107&gt;=1995,C$39,IF($A107&gt;=1987,C$38,IF($A107&gt;=1984,C$37,IF($A107&gt;=1979,C$36,IF($A107&gt;=1971,C$35,C$34))))))))/$M$15</f>
        <v>284.82758620689651</v>
      </c>
      <c r="O107" s="507">
        <f t="shared" si="6"/>
        <v>22.758620689655171</v>
      </c>
      <c r="P107" s="508">
        <f t="shared" si="6"/>
        <v>12.586206896551722</v>
      </c>
      <c r="Q107" s="59">
        <f t="shared" si="6"/>
        <v>11.579310344827585</v>
      </c>
      <c r="R107" s="506">
        <f t="shared" ref="R107:R170" si="16">IF($A107&gt;=2014,C$51,IF($A107&gt;=2004,C$50,IF($A107&gt;=2000,C$49,IF($A107&gt;=1995,C$48,IF($A107&gt;=1987,C$47,IF($A107&gt;=1984,C$46,IF($A107&gt;=1979,C$45,IF($A107&gt;=1971,C$44,C$43))))))))/$M$15</f>
        <v>284.82758620689651</v>
      </c>
      <c r="S107" s="507">
        <f t="shared" si="7"/>
        <v>21.72413793103448</v>
      </c>
      <c r="T107" s="508">
        <f t="shared" si="7"/>
        <v>12.068965517241377</v>
      </c>
      <c r="U107" s="59">
        <f t="shared" si="7"/>
        <v>11.103448275862069</v>
      </c>
      <c r="V107" s="506">
        <f t="shared" ref="V107:V170" si="17">IF($A107&gt;=2013,C$60,IF($A107&gt;=2007,C$59,IF($A107&gt;=2000,C$58,IF($A107&gt;=1995,C$57,IF($A107&gt;=1987,C$56,IF($A107&gt;=1984,C$55,IF($A107&gt;=1979,C$54,IF($A107&gt;=1971,C$53,C$52))))))))/$M$15</f>
        <v>284.82758620689651</v>
      </c>
      <c r="W107" s="507">
        <f t="shared" si="8"/>
        <v>21.72413793103448</v>
      </c>
      <c r="X107" s="508">
        <f t="shared" si="8"/>
        <v>12.068965517241377</v>
      </c>
      <c r="Y107" s="59">
        <f t="shared" si="8"/>
        <v>11.103448275862069</v>
      </c>
      <c r="Z107" s="506">
        <f t="shared" ref="Z107:Z170" si="18">IF($A107&gt;=2017,C$70,IF($A107&gt;=2012,C$69,IF($A107&gt;=2007,C$68,IF($A107&gt;=2000,C$67,IF($A107=1999,C$66,IF($A107&gt;=1987,C$65,IF($A107&gt;=1984,C$64,IF($A107&gt;=1979,C$63,IF($A107&gt;=1971,C$62,C$61)))))))))/$M$15</f>
        <v>284.82758620689651</v>
      </c>
      <c r="AA107" s="507">
        <f t="shared" si="9"/>
        <v>21.72413793103448</v>
      </c>
      <c r="AB107" s="508">
        <f t="shared" si="9"/>
        <v>12.068965517241377</v>
      </c>
      <c r="AC107" s="59">
        <f t="shared" si="9"/>
        <v>11.103448275862069</v>
      </c>
      <c r="AD107" s="506">
        <f t="shared" ref="AD107:AD170" si="19">IF($A107&gt;=2016,C$80,IF($A107&gt;=2013,C$79,IF($A107&gt;=2007,C$78,IF($A107&gt;=2000,C$77,IF($A107=1999,C$76,IF($A107&gt;=1987,C$75,IF($A107&gt;=1984,C$74,IF($A107&gt;=1979,C$73,IF($A107&gt;=1971,C$72,C$71)))))))))/$M$15</f>
        <v>284.82758620689651</v>
      </c>
      <c r="AE107" s="507">
        <f t="shared" si="10"/>
        <v>21.72413793103448</v>
      </c>
      <c r="AF107" s="508">
        <f t="shared" si="10"/>
        <v>12.068965517241377</v>
      </c>
      <c r="AG107" s="59">
        <f t="shared" si="10"/>
        <v>11.103448275862069</v>
      </c>
      <c r="AH107" s="506">
        <f t="shared" ref="AH107:AH170" si="20">IF($A107&gt;=2016,C$90,IF($A107&gt;=2014,C$89,IF($A107&gt;=2007,C$88,IF($A107&gt;=2000,C$87,IF($A107=1999,C$86,IF($A107&gt;=1987,C$85,IF($A107&gt;=1984,C$84,IF($A107&gt;=1979,C$83,IF($A107&gt;=1971,C$82,C$81)))))))))/$M$15</f>
        <v>284.82758620689651</v>
      </c>
      <c r="AI107" s="507">
        <f t="shared" si="11"/>
        <v>21.72413793103448</v>
      </c>
      <c r="AJ107" s="508">
        <f t="shared" si="11"/>
        <v>12.068965517241377</v>
      </c>
      <c r="AK107" s="60">
        <f t="shared" si="11"/>
        <v>11.103448275862069</v>
      </c>
    </row>
    <row r="108" spans="1:37" ht="15.5" x14ac:dyDescent="0.35">
      <c r="A108" s="51">
        <v>1952</v>
      </c>
      <c r="B108" s="506">
        <f t="shared" si="12"/>
        <v>140.34482758620689</v>
      </c>
      <c r="C108" s="507">
        <f t="shared" si="12"/>
        <v>31.724137931034484</v>
      </c>
      <c r="D108" s="508">
        <f t="shared" si="12"/>
        <v>12.413793103448274</v>
      </c>
      <c r="E108" s="59">
        <f t="shared" si="12"/>
        <v>11.420689655172414</v>
      </c>
      <c r="F108" s="506">
        <f t="shared" si="13"/>
        <v>264.48275862068965</v>
      </c>
      <c r="G108" s="507">
        <f t="shared" si="4"/>
        <v>24.827586206896548</v>
      </c>
      <c r="H108" s="507">
        <f t="shared" si="4"/>
        <v>13.793103448275863</v>
      </c>
      <c r="I108" s="509">
        <f t="shared" si="4"/>
        <v>12.689655172413794</v>
      </c>
      <c r="J108" s="506">
        <f t="shared" si="14"/>
        <v>284.82758620689651</v>
      </c>
      <c r="K108" s="507">
        <f t="shared" si="5"/>
        <v>22.758620689655171</v>
      </c>
      <c r="L108" s="508">
        <f t="shared" si="5"/>
        <v>12.586206896551722</v>
      </c>
      <c r="M108" s="59">
        <f t="shared" si="5"/>
        <v>11.579310344827585</v>
      </c>
      <c r="N108" s="506">
        <f t="shared" si="15"/>
        <v>284.82758620689651</v>
      </c>
      <c r="O108" s="507">
        <f t="shared" si="6"/>
        <v>22.758620689655171</v>
      </c>
      <c r="P108" s="508">
        <f t="shared" si="6"/>
        <v>12.586206896551722</v>
      </c>
      <c r="Q108" s="59">
        <f t="shared" si="6"/>
        <v>11.579310344827585</v>
      </c>
      <c r="R108" s="506">
        <f t="shared" si="16"/>
        <v>284.82758620689651</v>
      </c>
      <c r="S108" s="507">
        <f t="shared" si="7"/>
        <v>21.72413793103448</v>
      </c>
      <c r="T108" s="508">
        <f t="shared" si="7"/>
        <v>12.068965517241377</v>
      </c>
      <c r="U108" s="59">
        <f t="shared" si="7"/>
        <v>11.103448275862069</v>
      </c>
      <c r="V108" s="506">
        <f t="shared" si="17"/>
        <v>284.82758620689651</v>
      </c>
      <c r="W108" s="507">
        <f t="shared" si="8"/>
        <v>21.72413793103448</v>
      </c>
      <c r="X108" s="508">
        <f t="shared" si="8"/>
        <v>12.068965517241377</v>
      </c>
      <c r="Y108" s="59">
        <f t="shared" si="8"/>
        <v>11.103448275862069</v>
      </c>
      <c r="Z108" s="506">
        <f t="shared" si="18"/>
        <v>284.82758620689651</v>
      </c>
      <c r="AA108" s="507">
        <f t="shared" si="9"/>
        <v>21.72413793103448</v>
      </c>
      <c r="AB108" s="508">
        <f t="shared" si="9"/>
        <v>12.068965517241377</v>
      </c>
      <c r="AC108" s="59">
        <f t="shared" si="9"/>
        <v>11.103448275862069</v>
      </c>
      <c r="AD108" s="506">
        <f t="shared" si="19"/>
        <v>284.82758620689651</v>
      </c>
      <c r="AE108" s="507">
        <f t="shared" si="10"/>
        <v>21.72413793103448</v>
      </c>
      <c r="AF108" s="508">
        <f t="shared" si="10"/>
        <v>12.068965517241377</v>
      </c>
      <c r="AG108" s="59">
        <f t="shared" si="10"/>
        <v>11.103448275862069</v>
      </c>
      <c r="AH108" s="506">
        <f t="shared" si="20"/>
        <v>284.82758620689651</v>
      </c>
      <c r="AI108" s="507">
        <f t="shared" si="11"/>
        <v>21.72413793103448</v>
      </c>
      <c r="AJ108" s="508">
        <f t="shared" si="11"/>
        <v>12.068965517241377</v>
      </c>
      <c r="AK108" s="60">
        <f t="shared" si="11"/>
        <v>11.103448275862069</v>
      </c>
    </row>
    <row r="109" spans="1:37" ht="15.5" x14ac:dyDescent="0.35">
      <c r="A109" s="51">
        <v>1953</v>
      </c>
      <c r="B109" s="506">
        <f t="shared" si="12"/>
        <v>140.34482758620689</v>
      </c>
      <c r="C109" s="507">
        <f t="shared" si="12"/>
        <v>31.724137931034484</v>
      </c>
      <c r="D109" s="508">
        <f t="shared" si="12"/>
        <v>12.413793103448274</v>
      </c>
      <c r="E109" s="59">
        <f t="shared" si="12"/>
        <v>11.420689655172414</v>
      </c>
      <c r="F109" s="506">
        <f t="shared" si="13"/>
        <v>264.48275862068965</v>
      </c>
      <c r="G109" s="507">
        <f t="shared" si="4"/>
        <v>24.827586206896548</v>
      </c>
      <c r="H109" s="507">
        <f t="shared" si="4"/>
        <v>13.793103448275863</v>
      </c>
      <c r="I109" s="509">
        <f t="shared" si="4"/>
        <v>12.689655172413794</v>
      </c>
      <c r="J109" s="506">
        <f t="shared" si="14"/>
        <v>284.82758620689651</v>
      </c>
      <c r="K109" s="507">
        <f t="shared" si="5"/>
        <v>22.758620689655171</v>
      </c>
      <c r="L109" s="508">
        <f t="shared" si="5"/>
        <v>12.586206896551722</v>
      </c>
      <c r="M109" s="59">
        <f t="shared" si="5"/>
        <v>11.579310344827585</v>
      </c>
      <c r="N109" s="506">
        <f t="shared" si="15"/>
        <v>284.82758620689651</v>
      </c>
      <c r="O109" s="507">
        <f t="shared" si="6"/>
        <v>22.758620689655171</v>
      </c>
      <c r="P109" s="508">
        <f t="shared" si="6"/>
        <v>12.586206896551722</v>
      </c>
      <c r="Q109" s="59">
        <f t="shared" si="6"/>
        <v>11.579310344827585</v>
      </c>
      <c r="R109" s="506">
        <f t="shared" si="16"/>
        <v>284.82758620689651</v>
      </c>
      <c r="S109" s="507">
        <f t="shared" si="7"/>
        <v>21.72413793103448</v>
      </c>
      <c r="T109" s="508">
        <f t="shared" si="7"/>
        <v>12.068965517241377</v>
      </c>
      <c r="U109" s="59">
        <f t="shared" si="7"/>
        <v>11.103448275862069</v>
      </c>
      <c r="V109" s="506">
        <f t="shared" si="17"/>
        <v>284.82758620689651</v>
      </c>
      <c r="W109" s="507">
        <f t="shared" si="8"/>
        <v>21.72413793103448</v>
      </c>
      <c r="X109" s="508">
        <f t="shared" si="8"/>
        <v>12.068965517241377</v>
      </c>
      <c r="Y109" s="59">
        <f t="shared" si="8"/>
        <v>11.103448275862069</v>
      </c>
      <c r="Z109" s="506">
        <f t="shared" si="18"/>
        <v>284.82758620689651</v>
      </c>
      <c r="AA109" s="507">
        <f t="shared" si="9"/>
        <v>21.72413793103448</v>
      </c>
      <c r="AB109" s="508">
        <f t="shared" si="9"/>
        <v>12.068965517241377</v>
      </c>
      <c r="AC109" s="59">
        <f t="shared" si="9"/>
        <v>11.103448275862069</v>
      </c>
      <c r="AD109" s="506">
        <f t="shared" si="19"/>
        <v>284.82758620689651</v>
      </c>
      <c r="AE109" s="507">
        <f t="shared" si="10"/>
        <v>21.72413793103448</v>
      </c>
      <c r="AF109" s="508">
        <f t="shared" si="10"/>
        <v>12.068965517241377</v>
      </c>
      <c r="AG109" s="59">
        <f t="shared" si="10"/>
        <v>11.103448275862069</v>
      </c>
      <c r="AH109" s="506">
        <f t="shared" si="20"/>
        <v>284.82758620689651</v>
      </c>
      <c r="AI109" s="507">
        <f t="shared" si="11"/>
        <v>21.72413793103448</v>
      </c>
      <c r="AJ109" s="508">
        <f t="shared" si="11"/>
        <v>12.068965517241377</v>
      </c>
      <c r="AK109" s="60">
        <f t="shared" si="11"/>
        <v>11.103448275862069</v>
      </c>
    </row>
    <row r="110" spans="1:37" ht="15.5" x14ac:dyDescent="0.35">
      <c r="A110" s="51">
        <v>1954</v>
      </c>
      <c r="B110" s="506">
        <f t="shared" si="12"/>
        <v>140.34482758620689</v>
      </c>
      <c r="C110" s="507">
        <f t="shared" si="12"/>
        <v>31.724137931034484</v>
      </c>
      <c r="D110" s="508">
        <f t="shared" si="12"/>
        <v>12.413793103448274</v>
      </c>
      <c r="E110" s="59">
        <f t="shared" si="12"/>
        <v>11.420689655172414</v>
      </c>
      <c r="F110" s="506">
        <f t="shared" si="13"/>
        <v>264.48275862068965</v>
      </c>
      <c r="G110" s="507">
        <f t="shared" si="4"/>
        <v>24.827586206896548</v>
      </c>
      <c r="H110" s="507">
        <f t="shared" si="4"/>
        <v>13.793103448275863</v>
      </c>
      <c r="I110" s="509">
        <f t="shared" si="4"/>
        <v>12.689655172413794</v>
      </c>
      <c r="J110" s="506">
        <f t="shared" si="14"/>
        <v>284.82758620689651</v>
      </c>
      <c r="K110" s="507">
        <f t="shared" si="5"/>
        <v>22.758620689655171</v>
      </c>
      <c r="L110" s="508">
        <f t="shared" si="5"/>
        <v>12.586206896551722</v>
      </c>
      <c r="M110" s="59">
        <f t="shared" si="5"/>
        <v>11.579310344827585</v>
      </c>
      <c r="N110" s="506">
        <f t="shared" si="15"/>
        <v>284.82758620689651</v>
      </c>
      <c r="O110" s="507">
        <f t="shared" si="6"/>
        <v>22.758620689655171</v>
      </c>
      <c r="P110" s="508">
        <f t="shared" si="6"/>
        <v>12.586206896551722</v>
      </c>
      <c r="Q110" s="59">
        <f t="shared" si="6"/>
        <v>11.579310344827585</v>
      </c>
      <c r="R110" s="506">
        <f t="shared" si="16"/>
        <v>284.82758620689651</v>
      </c>
      <c r="S110" s="507">
        <f t="shared" si="7"/>
        <v>21.72413793103448</v>
      </c>
      <c r="T110" s="508">
        <f t="shared" si="7"/>
        <v>12.068965517241377</v>
      </c>
      <c r="U110" s="59">
        <f t="shared" si="7"/>
        <v>11.103448275862069</v>
      </c>
      <c r="V110" s="506">
        <f t="shared" si="17"/>
        <v>284.82758620689651</v>
      </c>
      <c r="W110" s="507">
        <f t="shared" si="8"/>
        <v>21.72413793103448</v>
      </c>
      <c r="X110" s="508">
        <f t="shared" si="8"/>
        <v>12.068965517241377</v>
      </c>
      <c r="Y110" s="59">
        <f t="shared" si="8"/>
        <v>11.103448275862069</v>
      </c>
      <c r="Z110" s="506">
        <f t="shared" si="18"/>
        <v>284.82758620689651</v>
      </c>
      <c r="AA110" s="507">
        <f t="shared" si="9"/>
        <v>21.72413793103448</v>
      </c>
      <c r="AB110" s="508">
        <f t="shared" si="9"/>
        <v>12.068965517241377</v>
      </c>
      <c r="AC110" s="59">
        <f t="shared" si="9"/>
        <v>11.103448275862069</v>
      </c>
      <c r="AD110" s="506">
        <f t="shared" si="19"/>
        <v>284.82758620689651</v>
      </c>
      <c r="AE110" s="507">
        <f t="shared" si="10"/>
        <v>21.72413793103448</v>
      </c>
      <c r="AF110" s="508">
        <f t="shared" si="10"/>
        <v>12.068965517241377</v>
      </c>
      <c r="AG110" s="59">
        <f t="shared" si="10"/>
        <v>11.103448275862069</v>
      </c>
      <c r="AH110" s="506">
        <f t="shared" si="20"/>
        <v>284.82758620689651</v>
      </c>
      <c r="AI110" s="507">
        <f t="shared" si="11"/>
        <v>21.72413793103448</v>
      </c>
      <c r="AJ110" s="508">
        <f t="shared" si="11"/>
        <v>12.068965517241377</v>
      </c>
      <c r="AK110" s="60">
        <f t="shared" si="11"/>
        <v>11.103448275862069</v>
      </c>
    </row>
    <row r="111" spans="1:37" ht="15.5" x14ac:dyDescent="0.35">
      <c r="A111" s="51">
        <v>1955</v>
      </c>
      <c r="B111" s="506">
        <f t="shared" si="12"/>
        <v>140.34482758620689</v>
      </c>
      <c r="C111" s="507">
        <f t="shared" si="12"/>
        <v>31.724137931034484</v>
      </c>
      <c r="D111" s="508">
        <f t="shared" si="12"/>
        <v>12.413793103448274</v>
      </c>
      <c r="E111" s="59">
        <f t="shared" si="12"/>
        <v>11.420689655172414</v>
      </c>
      <c r="F111" s="506">
        <f t="shared" si="13"/>
        <v>264.48275862068965</v>
      </c>
      <c r="G111" s="507">
        <f t="shared" si="4"/>
        <v>24.827586206896548</v>
      </c>
      <c r="H111" s="507">
        <f t="shared" si="4"/>
        <v>13.793103448275863</v>
      </c>
      <c r="I111" s="509">
        <f t="shared" si="4"/>
        <v>12.689655172413794</v>
      </c>
      <c r="J111" s="506">
        <f t="shared" si="14"/>
        <v>284.82758620689651</v>
      </c>
      <c r="K111" s="507">
        <f t="shared" si="5"/>
        <v>22.758620689655171</v>
      </c>
      <c r="L111" s="508">
        <f t="shared" si="5"/>
        <v>12.586206896551722</v>
      </c>
      <c r="M111" s="59">
        <f t="shared" si="5"/>
        <v>11.579310344827585</v>
      </c>
      <c r="N111" s="506">
        <f t="shared" si="15"/>
        <v>284.82758620689651</v>
      </c>
      <c r="O111" s="507">
        <f t="shared" si="6"/>
        <v>22.758620689655171</v>
      </c>
      <c r="P111" s="508">
        <f t="shared" si="6"/>
        <v>12.586206896551722</v>
      </c>
      <c r="Q111" s="59">
        <f t="shared" si="6"/>
        <v>11.579310344827585</v>
      </c>
      <c r="R111" s="506">
        <f t="shared" si="16"/>
        <v>284.82758620689651</v>
      </c>
      <c r="S111" s="507">
        <f t="shared" si="7"/>
        <v>21.72413793103448</v>
      </c>
      <c r="T111" s="508">
        <f t="shared" si="7"/>
        <v>12.068965517241377</v>
      </c>
      <c r="U111" s="59">
        <f t="shared" si="7"/>
        <v>11.103448275862069</v>
      </c>
      <c r="V111" s="506">
        <f t="shared" si="17"/>
        <v>284.82758620689651</v>
      </c>
      <c r="W111" s="507">
        <f t="shared" si="8"/>
        <v>21.72413793103448</v>
      </c>
      <c r="X111" s="508">
        <f t="shared" si="8"/>
        <v>12.068965517241377</v>
      </c>
      <c r="Y111" s="59">
        <f t="shared" si="8"/>
        <v>11.103448275862069</v>
      </c>
      <c r="Z111" s="506">
        <f t="shared" si="18"/>
        <v>284.82758620689651</v>
      </c>
      <c r="AA111" s="507">
        <f t="shared" si="9"/>
        <v>21.72413793103448</v>
      </c>
      <c r="AB111" s="508">
        <f t="shared" si="9"/>
        <v>12.068965517241377</v>
      </c>
      <c r="AC111" s="59">
        <f t="shared" si="9"/>
        <v>11.103448275862069</v>
      </c>
      <c r="AD111" s="506">
        <f t="shared" si="19"/>
        <v>284.82758620689651</v>
      </c>
      <c r="AE111" s="507">
        <f t="shared" si="10"/>
        <v>21.72413793103448</v>
      </c>
      <c r="AF111" s="508">
        <f t="shared" si="10"/>
        <v>12.068965517241377</v>
      </c>
      <c r="AG111" s="59">
        <f t="shared" si="10"/>
        <v>11.103448275862069</v>
      </c>
      <c r="AH111" s="506">
        <f t="shared" si="20"/>
        <v>284.82758620689651</v>
      </c>
      <c r="AI111" s="507">
        <f t="shared" si="11"/>
        <v>21.72413793103448</v>
      </c>
      <c r="AJ111" s="508">
        <f t="shared" si="11"/>
        <v>12.068965517241377</v>
      </c>
      <c r="AK111" s="60">
        <f t="shared" si="11"/>
        <v>11.103448275862069</v>
      </c>
    </row>
    <row r="112" spans="1:37" ht="15.5" x14ac:dyDescent="0.35">
      <c r="A112" s="51">
        <v>1956</v>
      </c>
      <c r="B112" s="506">
        <f t="shared" si="12"/>
        <v>140.34482758620689</v>
      </c>
      <c r="C112" s="507">
        <f t="shared" si="12"/>
        <v>31.724137931034484</v>
      </c>
      <c r="D112" s="508">
        <f t="shared" si="12"/>
        <v>12.413793103448274</v>
      </c>
      <c r="E112" s="59">
        <f t="shared" si="12"/>
        <v>11.420689655172414</v>
      </c>
      <c r="F112" s="506">
        <f t="shared" si="13"/>
        <v>264.48275862068965</v>
      </c>
      <c r="G112" s="507">
        <f t="shared" si="4"/>
        <v>24.827586206896548</v>
      </c>
      <c r="H112" s="507">
        <f t="shared" si="4"/>
        <v>13.793103448275863</v>
      </c>
      <c r="I112" s="509">
        <f t="shared" si="4"/>
        <v>12.689655172413794</v>
      </c>
      <c r="J112" s="506">
        <f t="shared" si="14"/>
        <v>284.82758620689651</v>
      </c>
      <c r="K112" s="507">
        <f t="shared" si="5"/>
        <v>22.758620689655171</v>
      </c>
      <c r="L112" s="508">
        <f t="shared" si="5"/>
        <v>12.586206896551722</v>
      </c>
      <c r="M112" s="59">
        <f t="shared" si="5"/>
        <v>11.579310344827585</v>
      </c>
      <c r="N112" s="506">
        <f t="shared" si="15"/>
        <v>284.82758620689651</v>
      </c>
      <c r="O112" s="507">
        <f t="shared" si="6"/>
        <v>22.758620689655171</v>
      </c>
      <c r="P112" s="508">
        <f t="shared" si="6"/>
        <v>12.586206896551722</v>
      </c>
      <c r="Q112" s="59">
        <f t="shared" si="6"/>
        <v>11.579310344827585</v>
      </c>
      <c r="R112" s="506">
        <f t="shared" si="16"/>
        <v>284.82758620689651</v>
      </c>
      <c r="S112" s="507">
        <f t="shared" si="7"/>
        <v>21.72413793103448</v>
      </c>
      <c r="T112" s="508">
        <f t="shared" si="7"/>
        <v>12.068965517241377</v>
      </c>
      <c r="U112" s="59">
        <f t="shared" si="7"/>
        <v>11.103448275862069</v>
      </c>
      <c r="V112" s="506">
        <f t="shared" si="17"/>
        <v>284.82758620689651</v>
      </c>
      <c r="W112" s="507">
        <f t="shared" si="8"/>
        <v>21.72413793103448</v>
      </c>
      <c r="X112" s="508">
        <f t="shared" si="8"/>
        <v>12.068965517241377</v>
      </c>
      <c r="Y112" s="59">
        <f t="shared" si="8"/>
        <v>11.103448275862069</v>
      </c>
      <c r="Z112" s="506">
        <f t="shared" si="18"/>
        <v>284.82758620689651</v>
      </c>
      <c r="AA112" s="507">
        <f t="shared" si="9"/>
        <v>21.72413793103448</v>
      </c>
      <c r="AB112" s="508">
        <f t="shared" si="9"/>
        <v>12.068965517241377</v>
      </c>
      <c r="AC112" s="59">
        <f t="shared" si="9"/>
        <v>11.103448275862069</v>
      </c>
      <c r="AD112" s="506">
        <f t="shared" si="19"/>
        <v>284.82758620689651</v>
      </c>
      <c r="AE112" s="507">
        <f t="shared" si="10"/>
        <v>21.72413793103448</v>
      </c>
      <c r="AF112" s="508">
        <f t="shared" si="10"/>
        <v>12.068965517241377</v>
      </c>
      <c r="AG112" s="59">
        <f t="shared" si="10"/>
        <v>11.103448275862069</v>
      </c>
      <c r="AH112" s="506">
        <f t="shared" si="20"/>
        <v>284.82758620689651</v>
      </c>
      <c r="AI112" s="507">
        <f t="shared" si="11"/>
        <v>21.72413793103448</v>
      </c>
      <c r="AJ112" s="508">
        <f t="shared" si="11"/>
        <v>12.068965517241377</v>
      </c>
      <c r="AK112" s="60">
        <f t="shared" si="11"/>
        <v>11.103448275862069</v>
      </c>
    </row>
    <row r="113" spans="1:37" ht="15.5" x14ac:dyDescent="0.35">
      <c r="A113" s="51">
        <v>1957</v>
      </c>
      <c r="B113" s="506">
        <f t="shared" si="12"/>
        <v>140.34482758620689</v>
      </c>
      <c r="C113" s="507">
        <f t="shared" si="12"/>
        <v>31.724137931034484</v>
      </c>
      <c r="D113" s="508">
        <f t="shared" si="12"/>
        <v>12.413793103448274</v>
      </c>
      <c r="E113" s="59">
        <f t="shared" si="12"/>
        <v>11.420689655172414</v>
      </c>
      <c r="F113" s="506">
        <f t="shared" si="13"/>
        <v>264.48275862068965</v>
      </c>
      <c r="G113" s="507">
        <f t="shared" si="4"/>
        <v>24.827586206896548</v>
      </c>
      <c r="H113" s="507">
        <f t="shared" si="4"/>
        <v>13.793103448275863</v>
      </c>
      <c r="I113" s="509">
        <f t="shared" si="4"/>
        <v>12.689655172413794</v>
      </c>
      <c r="J113" s="506">
        <f t="shared" si="14"/>
        <v>284.82758620689651</v>
      </c>
      <c r="K113" s="507">
        <f t="shared" si="5"/>
        <v>22.758620689655171</v>
      </c>
      <c r="L113" s="508">
        <f t="shared" si="5"/>
        <v>12.586206896551722</v>
      </c>
      <c r="M113" s="59">
        <f t="shared" si="5"/>
        <v>11.579310344827585</v>
      </c>
      <c r="N113" s="506">
        <f t="shared" si="15"/>
        <v>284.82758620689651</v>
      </c>
      <c r="O113" s="507">
        <f t="shared" si="6"/>
        <v>22.758620689655171</v>
      </c>
      <c r="P113" s="508">
        <f t="shared" si="6"/>
        <v>12.586206896551722</v>
      </c>
      <c r="Q113" s="59">
        <f t="shared" si="6"/>
        <v>11.579310344827585</v>
      </c>
      <c r="R113" s="506">
        <f t="shared" si="16"/>
        <v>284.82758620689651</v>
      </c>
      <c r="S113" s="507">
        <f t="shared" si="7"/>
        <v>21.72413793103448</v>
      </c>
      <c r="T113" s="508">
        <f t="shared" si="7"/>
        <v>12.068965517241377</v>
      </c>
      <c r="U113" s="59">
        <f t="shared" si="7"/>
        <v>11.103448275862069</v>
      </c>
      <c r="V113" s="506">
        <f t="shared" si="17"/>
        <v>284.82758620689651</v>
      </c>
      <c r="W113" s="507">
        <f t="shared" si="8"/>
        <v>21.72413793103448</v>
      </c>
      <c r="X113" s="508">
        <f t="shared" si="8"/>
        <v>12.068965517241377</v>
      </c>
      <c r="Y113" s="59">
        <f t="shared" si="8"/>
        <v>11.103448275862069</v>
      </c>
      <c r="Z113" s="506">
        <f t="shared" si="18"/>
        <v>284.82758620689651</v>
      </c>
      <c r="AA113" s="507">
        <f t="shared" si="9"/>
        <v>21.72413793103448</v>
      </c>
      <c r="AB113" s="508">
        <f t="shared" si="9"/>
        <v>12.068965517241377</v>
      </c>
      <c r="AC113" s="59">
        <f t="shared" si="9"/>
        <v>11.103448275862069</v>
      </c>
      <c r="AD113" s="506">
        <f t="shared" si="19"/>
        <v>284.82758620689651</v>
      </c>
      <c r="AE113" s="507">
        <f t="shared" si="10"/>
        <v>21.72413793103448</v>
      </c>
      <c r="AF113" s="508">
        <f t="shared" si="10"/>
        <v>12.068965517241377</v>
      </c>
      <c r="AG113" s="59">
        <f t="shared" si="10"/>
        <v>11.103448275862069</v>
      </c>
      <c r="AH113" s="506">
        <f t="shared" si="20"/>
        <v>284.82758620689651</v>
      </c>
      <c r="AI113" s="507">
        <f t="shared" si="11"/>
        <v>21.72413793103448</v>
      </c>
      <c r="AJ113" s="508">
        <f t="shared" si="11"/>
        <v>12.068965517241377</v>
      </c>
      <c r="AK113" s="60">
        <f t="shared" si="11"/>
        <v>11.103448275862069</v>
      </c>
    </row>
    <row r="114" spans="1:37" ht="15.5" x14ac:dyDescent="0.35">
      <c r="A114" s="51">
        <v>1958</v>
      </c>
      <c r="B114" s="506">
        <f t="shared" si="12"/>
        <v>140.34482758620689</v>
      </c>
      <c r="C114" s="507">
        <f t="shared" si="12"/>
        <v>31.724137931034484</v>
      </c>
      <c r="D114" s="508">
        <f t="shared" si="12"/>
        <v>12.413793103448274</v>
      </c>
      <c r="E114" s="59">
        <f t="shared" si="12"/>
        <v>11.420689655172414</v>
      </c>
      <c r="F114" s="506">
        <f t="shared" si="13"/>
        <v>264.48275862068965</v>
      </c>
      <c r="G114" s="507">
        <f t="shared" si="4"/>
        <v>24.827586206896548</v>
      </c>
      <c r="H114" s="507">
        <f t="shared" si="4"/>
        <v>13.793103448275863</v>
      </c>
      <c r="I114" s="509">
        <f t="shared" si="4"/>
        <v>12.689655172413794</v>
      </c>
      <c r="J114" s="506">
        <f t="shared" si="14"/>
        <v>284.82758620689651</v>
      </c>
      <c r="K114" s="507">
        <f t="shared" si="5"/>
        <v>22.758620689655171</v>
      </c>
      <c r="L114" s="508">
        <f t="shared" si="5"/>
        <v>12.586206896551722</v>
      </c>
      <c r="M114" s="59">
        <f t="shared" si="5"/>
        <v>11.579310344827585</v>
      </c>
      <c r="N114" s="506">
        <f t="shared" si="15"/>
        <v>284.82758620689651</v>
      </c>
      <c r="O114" s="507">
        <f t="shared" si="6"/>
        <v>22.758620689655171</v>
      </c>
      <c r="P114" s="508">
        <f t="shared" si="6"/>
        <v>12.586206896551722</v>
      </c>
      <c r="Q114" s="59">
        <f t="shared" si="6"/>
        <v>11.579310344827585</v>
      </c>
      <c r="R114" s="506">
        <f t="shared" si="16"/>
        <v>284.82758620689651</v>
      </c>
      <c r="S114" s="507">
        <f t="shared" si="7"/>
        <v>21.72413793103448</v>
      </c>
      <c r="T114" s="508">
        <f t="shared" si="7"/>
        <v>12.068965517241377</v>
      </c>
      <c r="U114" s="59">
        <f t="shared" si="7"/>
        <v>11.103448275862069</v>
      </c>
      <c r="V114" s="506">
        <f t="shared" si="17"/>
        <v>284.82758620689651</v>
      </c>
      <c r="W114" s="507">
        <f t="shared" si="8"/>
        <v>21.72413793103448</v>
      </c>
      <c r="X114" s="508">
        <f t="shared" si="8"/>
        <v>12.068965517241377</v>
      </c>
      <c r="Y114" s="59">
        <f t="shared" si="8"/>
        <v>11.103448275862069</v>
      </c>
      <c r="Z114" s="506">
        <f t="shared" si="18"/>
        <v>284.82758620689651</v>
      </c>
      <c r="AA114" s="507">
        <f t="shared" si="9"/>
        <v>21.72413793103448</v>
      </c>
      <c r="AB114" s="508">
        <f t="shared" si="9"/>
        <v>12.068965517241377</v>
      </c>
      <c r="AC114" s="59">
        <f t="shared" si="9"/>
        <v>11.103448275862069</v>
      </c>
      <c r="AD114" s="506">
        <f t="shared" si="19"/>
        <v>284.82758620689651</v>
      </c>
      <c r="AE114" s="507">
        <f t="shared" si="10"/>
        <v>21.72413793103448</v>
      </c>
      <c r="AF114" s="508">
        <f t="shared" si="10"/>
        <v>12.068965517241377</v>
      </c>
      <c r="AG114" s="59">
        <f t="shared" si="10"/>
        <v>11.103448275862069</v>
      </c>
      <c r="AH114" s="506">
        <f t="shared" si="20"/>
        <v>284.82758620689651</v>
      </c>
      <c r="AI114" s="507">
        <f t="shared" si="11"/>
        <v>21.72413793103448</v>
      </c>
      <c r="AJ114" s="508">
        <f t="shared" si="11"/>
        <v>12.068965517241377</v>
      </c>
      <c r="AK114" s="60">
        <f t="shared" si="11"/>
        <v>11.103448275862069</v>
      </c>
    </row>
    <row r="115" spans="1:37" ht="15.5" x14ac:dyDescent="0.35">
      <c r="A115" s="51">
        <v>1959</v>
      </c>
      <c r="B115" s="506">
        <f t="shared" si="12"/>
        <v>140.34482758620689</v>
      </c>
      <c r="C115" s="507">
        <f t="shared" si="12"/>
        <v>31.724137931034484</v>
      </c>
      <c r="D115" s="508">
        <f t="shared" si="12"/>
        <v>12.413793103448274</v>
      </c>
      <c r="E115" s="59">
        <f t="shared" si="12"/>
        <v>11.420689655172414</v>
      </c>
      <c r="F115" s="506">
        <f t="shared" si="13"/>
        <v>264.48275862068965</v>
      </c>
      <c r="G115" s="507">
        <f t="shared" si="4"/>
        <v>24.827586206896548</v>
      </c>
      <c r="H115" s="507">
        <f t="shared" si="4"/>
        <v>13.793103448275863</v>
      </c>
      <c r="I115" s="509">
        <f t="shared" si="4"/>
        <v>12.689655172413794</v>
      </c>
      <c r="J115" s="506">
        <f t="shared" si="14"/>
        <v>284.82758620689651</v>
      </c>
      <c r="K115" s="507">
        <f t="shared" si="5"/>
        <v>22.758620689655171</v>
      </c>
      <c r="L115" s="508">
        <f t="shared" si="5"/>
        <v>12.586206896551722</v>
      </c>
      <c r="M115" s="59">
        <f t="shared" si="5"/>
        <v>11.579310344827585</v>
      </c>
      <c r="N115" s="506">
        <f t="shared" si="15"/>
        <v>284.82758620689651</v>
      </c>
      <c r="O115" s="507">
        <f t="shared" si="6"/>
        <v>22.758620689655171</v>
      </c>
      <c r="P115" s="508">
        <f t="shared" si="6"/>
        <v>12.586206896551722</v>
      </c>
      <c r="Q115" s="59">
        <f t="shared" si="6"/>
        <v>11.579310344827585</v>
      </c>
      <c r="R115" s="506">
        <f t="shared" si="16"/>
        <v>284.82758620689651</v>
      </c>
      <c r="S115" s="507">
        <f t="shared" si="7"/>
        <v>21.72413793103448</v>
      </c>
      <c r="T115" s="508">
        <f t="shared" si="7"/>
        <v>12.068965517241377</v>
      </c>
      <c r="U115" s="59">
        <f t="shared" si="7"/>
        <v>11.103448275862069</v>
      </c>
      <c r="V115" s="506">
        <f t="shared" si="17"/>
        <v>284.82758620689651</v>
      </c>
      <c r="W115" s="507">
        <f t="shared" si="8"/>
        <v>21.72413793103448</v>
      </c>
      <c r="X115" s="508">
        <f t="shared" si="8"/>
        <v>12.068965517241377</v>
      </c>
      <c r="Y115" s="59">
        <f t="shared" si="8"/>
        <v>11.103448275862069</v>
      </c>
      <c r="Z115" s="506">
        <f t="shared" si="18"/>
        <v>284.82758620689651</v>
      </c>
      <c r="AA115" s="507">
        <f t="shared" si="9"/>
        <v>21.72413793103448</v>
      </c>
      <c r="AB115" s="508">
        <f t="shared" si="9"/>
        <v>12.068965517241377</v>
      </c>
      <c r="AC115" s="59">
        <f t="shared" si="9"/>
        <v>11.103448275862069</v>
      </c>
      <c r="AD115" s="506">
        <f t="shared" si="19"/>
        <v>284.82758620689651</v>
      </c>
      <c r="AE115" s="507">
        <f t="shared" si="10"/>
        <v>21.72413793103448</v>
      </c>
      <c r="AF115" s="508">
        <f t="shared" si="10"/>
        <v>12.068965517241377</v>
      </c>
      <c r="AG115" s="59">
        <f t="shared" si="10"/>
        <v>11.103448275862069</v>
      </c>
      <c r="AH115" s="506">
        <f t="shared" si="20"/>
        <v>284.82758620689651</v>
      </c>
      <c r="AI115" s="507">
        <f t="shared" si="11"/>
        <v>21.72413793103448</v>
      </c>
      <c r="AJ115" s="508">
        <f t="shared" si="11"/>
        <v>12.068965517241377</v>
      </c>
      <c r="AK115" s="60">
        <f t="shared" si="11"/>
        <v>11.103448275862069</v>
      </c>
    </row>
    <row r="116" spans="1:37" ht="15.5" x14ac:dyDescent="0.35">
      <c r="A116" s="51">
        <v>1960</v>
      </c>
      <c r="B116" s="506">
        <f t="shared" si="12"/>
        <v>140.34482758620689</v>
      </c>
      <c r="C116" s="507">
        <f t="shared" si="12"/>
        <v>31.724137931034484</v>
      </c>
      <c r="D116" s="508">
        <f t="shared" si="12"/>
        <v>12.413793103448274</v>
      </c>
      <c r="E116" s="59">
        <f t="shared" si="12"/>
        <v>11.420689655172414</v>
      </c>
      <c r="F116" s="506">
        <f t="shared" si="13"/>
        <v>264.48275862068965</v>
      </c>
      <c r="G116" s="507">
        <f t="shared" si="4"/>
        <v>24.827586206896548</v>
      </c>
      <c r="H116" s="507">
        <f t="shared" si="4"/>
        <v>13.793103448275863</v>
      </c>
      <c r="I116" s="509">
        <f t="shared" si="4"/>
        <v>12.689655172413794</v>
      </c>
      <c r="J116" s="506">
        <f t="shared" si="14"/>
        <v>284.82758620689651</v>
      </c>
      <c r="K116" s="507">
        <f t="shared" si="5"/>
        <v>22.758620689655171</v>
      </c>
      <c r="L116" s="508">
        <f t="shared" si="5"/>
        <v>12.586206896551722</v>
      </c>
      <c r="M116" s="59">
        <f t="shared" si="5"/>
        <v>11.579310344827585</v>
      </c>
      <c r="N116" s="506">
        <f t="shared" si="15"/>
        <v>284.82758620689651</v>
      </c>
      <c r="O116" s="507">
        <f t="shared" si="6"/>
        <v>22.758620689655171</v>
      </c>
      <c r="P116" s="508">
        <f t="shared" si="6"/>
        <v>12.586206896551722</v>
      </c>
      <c r="Q116" s="59">
        <f t="shared" si="6"/>
        <v>11.579310344827585</v>
      </c>
      <c r="R116" s="506">
        <f t="shared" si="16"/>
        <v>284.82758620689651</v>
      </c>
      <c r="S116" s="507">
        <f t="shared" si="7"/>
        <v>21.72413793103448</v>
      </c>
      <c r="T116" s="508">
        <f t="shared" si="7"/>
        <v>12.068965517241377</v>
      </c>
      <c r="U116" s="59">
        <f t="shared" si="7"/>
        <v>11.103448275862069</v>
      </c>
      <c r="V116" s="506">
        <f t="shared" si="17"/>
        <v>284.82758620689651</v>
      </c>
      <c r="W116" s="507">
        <f t="shared" si="8"/>
        <v>21.72413793103448</v>
      </c>
      <c r="X116" s="508">
        <f t="shared" si="8"/>
        <v>12.068965517241377</v>
      </c>
      <c r="Y116" s="59">
        <f t="shared" si="8"/>
        <v>11.103448275862069</v>
      </c>
      <c r="Z116" s="506">
        <f t="shared" si="18"/>
        <v>284.82758620689651</v>
      </c>
      <c r="AA116" s="507">
        <f t="shared" si="9"/>
        <v>21.72413793103448</v>
      </c>
      <c r="AB116" s="508">
        <f t="shared" si="9"/>
        <v>12.068965517241377</v>
      </c>
      <c r="AC116" s="59">
        <f t="shared" si="9"/>
        <v>11.103448275862069</v>
      </c>
      <c r="AD116" s="506">
        <f t="shared" si="19"/>
        <v>284.82758620689651</v>
      </c>
      <c r="AE116" s="507">
        <f t="shared" si="10"/>
        <v>21.72413793103448</v>
      </c>
      <c r="AF116" s="508">
        <f t="shared" si="10"/>
        <v>12.068965517241377</v>
      </c>
      <c r="AG116" s="59">
        <f t="shared" si="10"/>
        <v>11.103448275862069</v>
      </c>
      <c r="AH116" s="506">
        <f t="shared" si="20"/>
        <v>284.82758620689651</v>
      </c>
      <c r="AI116" s="507">
        <f t="shared" si="11"/>
        <v>21.72413793103448</v>
      </c>
      <c r="AJ116" s="508">
        <f t="shared" si="11"/>
        <v>12.068965517241377</v>
      </c>
      <c r="AK116" s="60">
        <f t="shared" si="11"/>
        <v>11.103448275862069</v>
      </c>
    </row>
    <row r="117" spans="1:37" ht="15.5" x14ac:dyDescent="0.35">
      <c r="A117" s="51">
        <v>1961</v>
      </c>
      <c r="B117" s="506">
        <f t="shared" si="12"/>
        <v>140.34482758620689</v>
      </c>
      <c r="C117" s="507">
        <f t="shared" si="12"/>
        <v>31.724137931034484</v>
      </c>
      <c r="D117" s="508">
        <f t="shared" si="12"/>
        <v>12.413793103448274</v>
      </c>
      <c r="E117" s="59">
        <f t="shared" si="12"/>
        <v>11.420689655172414</v>
      </c>
      <c r="F117" s="506">
        <f t="shared" si="13"/>
        <v>264.48275862068965</v>
      </c>
      <c r="G117" s="507">
        <f t="shared" si="4"/>
        <v>24.827586206896548</v>
      </c>
      <c r="H117" s="507">
        <f t="shared" si="4"/>
        <v>13.793103448275863</v>
      </c>
      <c r="I117" s="509">
        <f t="shared" si="4"/>
        <v>12.689655172413794</v>
      </c>
      <c r="J117" s="506">
        <f t="shared" si="14"/>
        <v>284.82758620689651</v>
      </c>
      <c r="K117" s="507">
        <f t="shared" si="5"/>
        <v>22.758620689655171</v>
      </c>
      <c r="L117" s="508">
        <f t="shared" si="5"/>
        <v>12.586206896551722</v>
      </c>
      <c r="M117" s="59">
        <f t="shared" si="5"/>
        <v>11.579310344827585</v>
      </c>
      <c r="N117" s="506">
        <f t="shared" si="15"/>
        <v>284.82758620689651</v>
      </c>
      <c r="O117" s="507">
        <f t="shared" si="6"/>
        <v>22.758620689655171</v>
      </c>
      <c r="P117" s="508">
        <f t="shared" si="6"/>
        <v>12.586206896551722</v>
      </c>
      <c r="Q117" s="59">
        <f t="shared" si="6"/>
        <v>11.579310344827585</v>
      </c>
      <c r="R117" s="506">
        <f t="shared" si="16"/>
        <v>284.82758620689651</v>
      </c>
      <c r="S117" s="507">
        <f t="shared" si="7"/>
        <v>21.72413793103448</v>
      </c>
      <c r="T117" s="508">
        <f t="shared" si="7"/>
        <v>12.068965517241377</v>
      </c>
      <c r="U117" s="59">
        <f t="shared" si="7"/>
        <v>11.103448275862069</v>
      </c>
      <c r="V117" s="506">
        <f t="shared" si="17"/>
        <v>284.82758620689651</v>
      </c>
      <c r="W117" s="507">
        <f t="shared" si="8"/>
        <v>21.72413793103448</v>
      </c>
      <c r="X117" s="508">
        <f t="shared" si="8"/>
        <v>12.068965517241377</v>
      </c>
      <c r="Y117" s="59">
        <f t="shared" si="8"/>
        <v>11.103448275862069</v>
      </c>
      <c r="Z117" s="506">
        <f t="shared" si="18"/>
        <v>284.82758620689651</v>
      </c>
      <c r="AA117" s="507">
        <f t="shared" si="9"/>
        <v>21.72413793103448</v>
      </c>
      <c r="AB117" s="508">
        <f t="shared" si="9"/>
        <v>12.068965517241377</v>
      </c>
      <c r="AC117" s="59">
        <f t="shared" si="9"/>
        <v>11.103448275862069</v>
      </c>
      <c r="AD117" s="506">
        <f t="shared" si="19"/>
        <v>284.82758620689651</v>
      </c>
      <c r="AE117" s="507">
        <f t="shared" si="10"/>
        <v>21.72413793103448</v>
      </c>
      <c r="AF117" s="508">
        <f t="shared" si="10"/>
        <v>12.068965517241377</v>
      </c>
      <c r="AG117" s="59">
        <f t="shared" si="10"/>
        <v>11.103448275862069</v>
      </c>
      <c r="AH117" s="506">
        <f t="shared" si="20"/>
        <v>284.82758620689651</v>
      </c>
      <c r="AI117" s="507">
        <f t="shared" si="11"/>
        <v>21.72413793103448</v>
      </c>
      <c r="AJ117" s="508">
        <f t="shared" si="11"/>
        <v>12.068965517241377</v>
      </c>
      <c r="AK117" s="60">
        <f t="shared" si="11"/>
        <v>11.103448275862069</v>
      </c>
    </row>
    <row r="118" spans="1:37" ht="15.5" x14ac:dyDescent="0.35">
      <c r="A118" s="51">
        <v>1962</v>
      </c>
      <c r="B118" s="506">
        <f t="shared" si="12"/>
        <v>140.34482758620689</v>
      </c>
      <c r="C118" s="507">
        <f t="shared" si="12"/>
        <v>31.724137931034484</v>
      </c>
      <c r="D118" s="508">
        <f t="shared" si="12"/>
        <v>12.413793103448274</v>
      </c>
      <c r="E118" s="59">
        <f t="shared" si="12"/>
        <v>11.420689655172414</v>
      </c>
      <c r="F118" s="506">
        <f t="shared" si="13"/>
        <v>264.48275862068965</v>
      </c>
      <c r="G118" s="507">
        <f t="shared" si="4"/>
        <v>24.827586206896548</v>
      </c>
      <c r="H118" s="507">
        <f t="shared" si="4"/>
        <v>13.793103448275863</v>
      </c>
      <c r="I118" s="509">
        <f t="shared" si="4"/>
        <v>12.689655172413794</v>
      </c>
      <c r="J118" s="506">
        <f t="shared" si="14"/>
        <v>284.82758620689651</v>
      </c>
      <c r="K118" s="507">
        <f t="shared" si="5"/>
        <v>22.758620689655171</v>
      </c>
      <c r="L118" s="508">
        <f t="shared" si="5"/>
        <v>12.586206896551722</v>
      </c>
      <c r="M118" s="59">
        <f t="shared" si="5"/>
        <v>11.579310344827585</v>
      </c>
      <c r="N118" s="506">
        <f t="shared" si="15"/>
        <v>284.82758620689651</v>
      </c>
      <c r="O118" s="507">
        <f t="shared" si="6"/>
        <v>22.758620689655171</v>
      </c>
      <c r="P118" s="508">
        <f t="shared" si="6"/>
        <v>12.586206896551722</v>
      </c>
      <c r="Q118" s="59">
        <f t="shared" si="6"/>
        <v>11.579310344827585</v>
      </c>
      <c r="R118" s="506">
        <f t="shared" si="16"/>
        <v>284.82758620689651</v>
      </c>
      <c r="S118" s="507">
        <f t="shared" si="7"/>
        <v>21.72413793103448</v>
      </c>
      <c r="T118" s="508">
        <f t="shared" si="7"/>
        <v>12.068965517241377</v>
      </c>
      <c r="U118" s="59">
        <f t="shared" si="7"/>
        <v>11.103448275862069</v>
      </c>
      <c r="V118" s="506">
        <f t="shared" si="17"/>
        <v>284.82758620689651</v>
      </c>
      <c r="W118" s="507">
        <f t="shared" si="8"/>
        <v>21.72413793103448</v>
      </c>
      <c r="X118" s="508">
        <f t="shared" si="8"/>
        <v>12.068965517241377</v>
      </c>
      <c r="Y118" s="59">
        <f t="shared" si="8"/>
        <v>11.103448275862069</v>
      </c>
      <c r="Z118" s="506">
        <f t="shared" si="18"/>
        <v>284.82758620689651</v>
      </c>
      <c r="AA118" s="507">
        <f t="shared" si="9"/>
        <v>21.72413793103448</v>
      </c>
      <c r="AB118" s="508">
        <f t="shared" si="9"/>
        <v>12.068965517241377</v>
      </c>
      <c r="AC118" s="59">
        <f t="shared" si="9"/>
        <v>11.103448275862069</v>
      </c>
      <c r="AD118" s="506">
        <f t="shared" si="19"/>
        <v>284.82758620689651</v>
      </c>
      <c r="AE118" s="507">
        <f t="shared" si="10"/>
        <v>21.72413793103448</v>
      </c>
      <c r="AF118" s="508">
        <f t="shared" si="10"/>
        <v>12.068965517241377</v>
      </c>
      <c r="AG118" s="59">
        <f t="shared" si="10"/>
        <v>11.103448275862069</v>
      </c>
      <c r="AH118" s="506">
        <f t="shared" si="20"/>
        <v>284.82758620689651</v>
      </c>
      <c r="AI118" s="507">
        <f t="shared" si="11"/>
        <v>21.72413793103448</v>
      </c>
      <c r="AJ118" s="508">
        <f t="shared" si="11"/>
        <v>12.068965517241377</v>
      </c>
      <c r="AK118" s="60">
        <f t="shared" si="11"/>
        <v>11.103448275862069</v>
      </c>
    </row>
    <row r="119" spans="1:37" ht="15.5" x14ac:dyDescent="0.35">
      <c r="A119" s="51">
        <v>1963</v>
      </c>
      <c r="B119" s="506">
        <f t="shared" si="12"/>
        <v>140.34482758620689</v>
      </c>
      <c r="C119" s="507">
        <f t="shared" si="12"/>
        <v>31.724137931034484</v>
      </c>
      <c r="D119" s="508">
        <f t="shared" si="12"/>
        <v>12.413793103448274</v>
      </c>
      <c r="E119" s="59">
        <f t="shared" si="12"/>
        <v>11.420689655172414</v>
      </c>
      <c r="F119" s="506">
        <f t="shared" si="13"/>
        <v>264.48275862068965</v>
      </c>
      <c r="G119" s="507">
        <f t="shared" si="4"/>
        <v>24.827586206896548</v>
      </c>
      <c r="H119" s="507">
        <f t="shared" si="4"/>
        <v>13.793103448275863</v>
      </c>
      <c r="I119" s="509">
        <f t="shared" si="4"/>
        <v>12.689655172413794</v>
      </c>
      <c r="J119" s="506">
        <f t="shared" si="14"/>
        <v>284.82758620689651</v>
      </c>
      <c r="K119" s="507">
        <f t="shared" si="5"/>
        <v>22.758620689655171</v>
      </c>
      <c r="L119" s="508">
        <f t="shared" si="5"/>
        <v>12.586206896551722</v>
      </c>
      <c r="M119" s="59">
        <f t="shared" si="5"/>
        <v>11.579310344827585</v>
      </c>
      <c r="N119" s="506">
        <f t="shared" si="15"/>
        <v>284.82758620689651</v>
      </c>
      <c r="O119" s="507">
        <f t="shared" si="6"/>
        <v>22.758620689655171</v>
      </c>
      <c r="P119" s="508">
        <f t="shared" si="6"/>
        <v>12.586206896551722</v>
      </c>
      <c r="Q119" s="59">
        <f t="shared" si="6"/>
        <v>11.579310344827585</v>
      </c>
      <c r="R119" s="506">
        <f t="shared" si="16"/>
        <v>284.82758620689651</v>
      </c>
      <c r="S119" s="507">
        <f t="shared" si="7"/>
        <v>21.72413793103448</v>
      </c>
      <c r="T119" s="508">
        <f t="shared" si="7"/>
        <v>12.068965517241377</v>
      </c>
      <c r="U119" s="59">
        <f t="shared" si="7"/>
        <v>11.103448275862069</v>
      </c>
      <c r="V119" s="506">
        <f t="shared" si="17"/>
        <v>284.82758620689651</v>
      </c>
      <c r="W119" s="507">
        <f t="shared" si="8"/>
        <v>21.72413793103448</v>
      </c>
      <c r="X119" s="508">
        <f t="shared" si="8"/>
        <v>12.068965517241377</v>
      </c>
      <c r="Y119" s="59">
        <f t="shared" si="8"/>
        <v>11.103448275862069</v>
      </c>
      <c r="Z119" s="506">
        <f t="shared" si="18"/>
        <v>284.82758620689651</v>
      </c>
      <c r="AA119" s="507">
        <f t="shared" si="9"/>
        <v>21.72413793103448</v>
      </c>
      <c r="AB119" s="508">
        <f t="shared" si="9"/>
        <v>12.068965517241377</v>
      </c>
      <c r="AC119" s="59">
        <f t="shared" si="9"/>
        <v>11.103448275862069</v>
      </c>
      <c r="AD119" s="506">
        <f t="shared" si="19"/>
        <v>284.82758620689651</v>
      </c>
      <c r="AE119" s="507">
        <f t="shared" si="10"/>
        <v>21.72413793103448</v>
      </c>
      <c r="AF119" s="508">
        <f t="shared" si="10"/>
        <v>12.068965517241377</v>
      </c>
      <c r="AG119" s="59">
        <f t="shared" si="10"/>
        <v>11.103448275862069</v>
      </c>
      <c r="AH119" s="506">
        <f t="shared" si="20"/>
        <v>284.82758620689651</v>
      </c>
      <c r="AI119" s="507">
        <f t="shared" si="11"/>
        <v>21.72413793103448</v>
      </c>
      <c r="AJ119" s="508">
        <f t="shared" si="11"/>
        <v>12.068965517241377</v>
      </c>
      <c r="AK119" s="60">
        <f t="shared" si="11"/>
        <v>11.103448275862069</v>
      </c>
    </row>
    <row r="120" spans="1:37" ht="15.5" x14ac:dyDescent="0.35">
      <c r="A120" s="51">
        <v>1964</v>
      </c>
      <c r="B120" s="506">
        <f t="shared" si="12"/>
        <v>140.34482758620689</v>
      </c>
      <c r="C120" s="507">
        <f t="shared" si="12"/>
        <v>31.724137931034484</v>
      </c>
      <c r="D120" s="508">
        <f t="shared" si="12"/>
        <v>12.413793103448274</v>
      </c>
      <c r="E120" s="59">
        <f t="shared" si="12"/>
        <v>11.420689655172414</v>
      </c>
      <c r="F120" s="506">
        <f t="shared" si="13"/>
        <v>264.48275862068965</v>
      </c>
      <c r="G120" s="507">
        <f t="shared" si="4"/>
        <v>24.827586206896548</v>
      </c>
      <c r="H120" s="507">
        <f t="shared" si="4"/>
        <v>13.793103448275863</v>
      </c>
      <c r="I120" s="509">
        <f t="shared" si="4"/>
        <v>12.689655172413794</v>
      </c>
      <c r="J120" s="506">
        <f t="shared" si="14"/>
        <v>284.82758620689651</v>
      </c>
      <c r="K120" s="507">
        <f t="shared" si="5"/>
        <v>22.758620689655171</v>
      </c>
      <c r="L120" s="508">
        <f t="shared" si="5"/>
        <v>12.586206896551722</v>
      </c>
      <c r="M120" s="59">
        <f t="shared" si="5"/>
        <v>11.579310344827585</v>
      </c>
      <c r="N120" s="506">
        <f t="shared" si="15"/>
        <v>284.82758620689651</v>
      </c>
      <c r="O120" s="507">
        <f t="shared" si="6"/>
        <v>22.758620689655171</v>
      </c>
      <c r="P120" s="508">
        <f t="shared" si="6"/>
        <v>12.586206896551722</v>
      </c>
      <c r="Q120" s="59">
        <f t="shared" si="6"/>
        <v>11.579310344827585</v>
      </c>
      <c r="R120" s="506">
        <f t="shared" si="16"/>
        <v>284.82758620689651</v>
      </c>
      <c r="S120" s="507">
        <f t="shared" si="7"/>
        <v>21.72413793103448</v>
      </c>
      <c r="T120" s="508">
        <f t="shared" si="7"/>
        <v>12.068965517241377</v>
      </c>
      <c r="U120" s="59">
        <f t="shared" si="7"/>
        <v>11.103448275862069</v>
      </c>
      <c r="V120" s="506">
        <f t="shared" si="17"/>
        <v>284.82758620689651</v>
      </c>
      <c r="W120" s="507">
        <f t="shared" si="8"/>
        <v>21.72413793103448</v>
      </c>
      <c r="X120" s="508">
        <f t="shared" si="8"/>
        <v>12.068965517241377</v>
      </c>
      <c r="Y120" s="59">
        <f t="shared" si="8"/>
        <v>11.103448275862069</v>
      </c>
      <c r="Z120" s="506">
        <f t="shared" si="18"/>
        <v>284.82758620689651</v>
      </c>
      <c r="AA120" s="507">
        <f t="shared" si="9"/>
        <v>21.72413793103448</v>
      </c>
      <c r="AB120" s="508">
        <f t="shared" si="9"/>
        <v>12.068965517241377</v>
      </c>
      <c r="AC120" s="59">
        <f t="shared" si="9"/>
        <v>11.103448275862069</v>
      </c>
      <c r="AD120" s="506">
        <f t="shared" si="19"/>
        <v>284.82758620689651</v>
      </c>
      <c r="AE120" s="507">
        <f t="shared" si="10"/>
        <v>21.72413793103448</v>
      </c>
      <c r="AF120" s="508">
        <f t="shared" si="10"/>
        <v>12.068965517241377</v>
      </c>
      <c r="AG120" s="59">
        <f t="shared" si="10"/>
        <v>11.103448275862069</v>
      </c>
      <c r="AH120" s="506">
        <f t="shared" si="20"/>
        <v>284.82758620689651</v>
      </c>
      <c r="AI120" s="507">
        <f t="shared" si="11"/>
        <v>21.72413793103448</v>
      </c>
      <c r="AJ120" s="508">
        <f t="shared" si="11"/>
        <v>12.068965517241377</v>
      </c>
      <c r="AK120" s="60">
        <f t="shared" si="11"/>
        <v>11.103448275862069</v>
      </c>
    </row>
    <row r="121" spans="1:37" ht="15.5" x14ac:dyDescent="0.35">
      <c r="A121" s="51">
        <v>1965</v>
      </c>
      <c r="B121" s="506">
        <f t="shared" si="12"/>
        <v>140.34482758620689</v>
      </c>
      <c r="C121" s="507">
        <f t="shared" si="12"/>
        <v>31.724137931034484</v>
      </c>
      <c r="D121" s="508">
        <f t="shared" si="12"/>
        <v>12.413793103448274</v>
      </c>
      <c r="E121" s="59">
        <f t="shared" si="12"/>
        <v>11.420689655172414</v>
      </c>
      <c r="F121" s="506">
        <f t="shared" si="13"/>
        <v>264.48275862068965</v>
      </c>
      <c r="G121" s="507">
        <f t="shared" si="4"/>
        <v>24.827586206896548</v>
      </c>
      <c r="H121" s="507">
        <f t="shared" si="4"/>
        <v>13.793103448275863</v>
      </c>
      <c r="I121" s="509">
        <f t="shared" si="4"/>
        <v>12.689655172413794</v>
      </c>
      <c r="J121" s="506">
        <f t="shared" si="14"/>
        <v>284.82758620689651</v>
      </c>
      <c r="K121" s="507">
        <f t="shared" si="5"/>
        <v>22.758620689655171</v>
      </c>
      <c r="L121" s="508">
        <f t="shared" si="5"/>
        <v>12.586206896551722</v>
      </c>
      <c r="M121" s="59">
        <f t="shared" si="5"/>
        <v>11.579310344827585</v>
      </c>
      <c r="N121" s="506">
        <f t="shared" si="15"/>
        <v>284.82758620689651</v>
      </c>
      <c r="O121" s="507">
        <f t="shared" si="6"/>
        <v>22.758620689655171</v>
      </c>
      <c r="P121" s="508">
        <f t="shared" si="6"/>
        <v>12.586206896551722</v>
      </c>
      <c r="Q121" s="59">
        <f t="shared" si="6"/>
        <v>11.579310344827585</v>
      </c>
      <c r="R121" s="506">
        <f t="shared" si="16"/>
        <v>284.82758620689651</v>
      </c>
      <c r="S121" s="507">
        <f t="shared" si="7"/>
        <v>21.72413793103448</v>
      </c>
      <c r="T121" s="508">
        <f t="shared" si="7"/>
        <v>12.068965517241377</v>
      </c>
      <c r="U121" s="59">
        <f t="shared" si="7"/>
        <v>11.103448275862069</v>
      </c>
      <c r="V121" s="506">
        <f t="shared" si="17"/>
        <v>284.82758620689651</v>
      </c>
      <c r="W121" s="507">
        <f t="shared" si="8"/>
        <v>21.72413793103448</v>
      </c>
      <c r="X121" s="508">
        <f t="shared" si="8"/>
        <v>12.068965517241377</v>
      </c>
      <c r="Y121" s="59">
        <f t="shared" si="8"/>
        <v>11.103448275862069</v>
      </c>
      <c r="Z121" s="506">
        <f t="shared" si="18"/>
        <v>284.82758620689651</v>
      </c>
      <c r="AA121" s="507">
        <f t="shared" si="9"/>
        <v>21.72413793103448</v>
      </c>
      <c r="AB121" s="508">
        <f t="shared" si="9"/>
        <v>12.068965517241377</v>
      </c>
      <c r="AC121" s="59">
        <f t="shared" si="9"/>
        <v>11.103448275862069</v>
      </c>
      <c r="AD121" s="506">
        <f t="shared" si="19"/>
        <v>284.82758620689651</v>
      </c>
      <c r="AE121" s="507">
        <f t="shared" si="10"/>
        <v>21.72413793103448</v>
      </c>
      <c r="AF121" s="508">
        <f t="shared" si="10"/>
        <v>12.068965517241377</v>
      </c>
      <c r="AG121" s="59">
        <f t="shared" si="10"/>
        <v>11.103448275862069</v>
      </c>
      <c r="AH121" s="506">
        <f t="shared" si="20"/>
        <v>284.82758620689651</v>
      </c>
      <c r="AI121" s="507">
        <f t="shared" si="11"/>
        <v>21.72413793103448</v>
      </c>
      <c r="AJ121" s="508">
        <f t="shared" si="11"/>
        <v>12.068965517241377</v>
      </c>
      <c r="AK121" s="60">
        <f t="shared" si="11"/>
        <v>11.103448275862069</v>
      </c>
    </row>
    <row r="122" spans="1:37" ht="15.5" x14ac:dyDescent="0.35">
      <c r="A122" s="51">
        <v>1966</v>
      </c>
      <c r="B122" s="506">
        <f t="shared" si="12"/>
        <v>140.34482758620689</v>
      </c>
      <c r="C122" s="507">
        <f t="shared" si="12"/>
        <v>31.724137931034484</v>
      </c>
      <c r="D122" s="508">
        <f t="shared" si="12"/>
        <v>12.413793103448274</v>
      </c>
      <c r="E122" s="59">
        <f t="shared" si="12"/>
        <v>11.420689655172414</v>
      </c>
      <c r="F122" s="506">
        <f t="shared" si="13"/>
        <v>264.48275862068965</v>
      </c>
      <c r="G122" s="507">
        <f t="shared" ref="G122:G185" si="21">IF($A122&gt;=2009,D$24,IF($A122&gt;=2005,D$23,IF($A122&gt;=2000,D$22,IF($A122&gt;=1997,D$21,D$20))))/$M$15</f>
        <v>24.827586206896548</v>
      </c>
      <c r="H122" s="507">
        <f t="shared" ref="H122:H185" si="22">IF($A122&gt;=2009,E$24,IF($A122&gt;=2005,E$23,IF($A122&gt;=2000,E$22,IF($A122&gt;=1997,E$21,E$20))))/$M$15</f>
        <v>13.793103448275863</v>
      </c>
      <c r="I122" s="509">
        <f t="shared" ref="I122:I185" si="23">IF($A122&gt;=2009,F$24,IF($A122&gt;=2005,F$23,IF($A122&gt;=2000,F$22,IF($A122&gt;=1997,F$21,F$20))))/$M$15</f>
        <v>12.689655172413794</v>
      </c>
      <c r="J122" s="506">
        <f t="shared" si="14"/>
        <v>284.82758620689651</v>
      </c>
      <c r="K122" s="507">
        <f t="shared" ref="K122:K185" si="24">IF($A122&gt;=2013,D$33,IF($A122&gt;=2004,D$32,IF($A122&gt;=2000,D$31,IF($A122&gt;=1996,D$30,IF($A122&gt;=1987,D$29,IF($A122&gt;=1984,D$28,IF($A122&gt;=1979,D$27,IF($A122&gt;=1971,D$26,D$25))))))))/$M$15</f>
        <v>22.758620689655171</v>
      </c>
      <c r="L122" s="508">
        <f t="shared" ref="L122:L185" si="25">IF($A122&gt;=2013,E$33,IF($A122&gt;=2004,E$32,IF($A122&gt;=2000,E$31,IF($A122&gt;=1996,E$30,IF($A122&gt;=1987,E$29,IF($A122&gt;=1984,E$28,IF($A122&gt;=1979,E$27,IF($A122&gt;=1971,E$26,E$25))))))))/$M$15</f>
        <v>12.586206896551722</v>
      </c>
      <c r="M122" s="59">
        <f t="shared" ref="M122:M185" si="26">IF($A122&gt;=2013,F$33,IF($A122&gt;=2004,F$32,IF($A122&gt;=2000,F$31,IF($A122&gt;=1996,F$30,IF($A122&gt;=1987,F$29,IF($A122&gt;=1984,F$28,IF($A122&gt;=1979,F$27,IF($A122&gt;=1971,F$26,F$25))))))))/$M$15</f>
        <v>11.579310344827585</v>
      </c>
      <c r="N122" s="506">
        <f t="shared" si="15"/>
        <v>284.82758620689651</v>
      </c>
      <c r="O122" s="507">
        <f t="shared" ref="O122:O185" si="27">IF($A122&gt;=2014,D$42,IF($A122&gt;=2004,D$41,IF($A122&gt;=2000,D$40,IF($A122&gt;=1995,D$39,IF($A122&gt;=1987,D$38,IF($A122&gt;=1984,D$37,IF($A122&gt;=1979,D$36,IF($A122&gt;=1971,D$35,D$34))))))))/$M$15</f>
        <v>22.758620689655171</v>
      </c>
      <c r="P122" s="508">
        <f t="shared" ref="P122:P185" si="28">IF($A122&gt;=2014,E$42,IF($A122&gt;=2004,E$41,IF($A122&gt;=2000,E$40,IF($A122&gt;=1995,E$39,IF($A122&gt;=1987,E$38,IF($A122&gt;=1984,E$37,IF($A122&gt;=1979,E$36,IF($A122&gt;=1971,E$35,E$34))))))))/$M$15</f>
        <v>12.586206896551722</v>
      </c>
      <c r="Q122" s="59">
        <f t="shared" ref="Q122:Q185" si="29">IF($A122&gt;=2014,F$42,IF($A122&gt;=2004,F$41,IF($A122&gt;=2000,F$40,IF($A122&gt;=1995,F$39,IF($A122&gt;=1987,F$38,IF($A122&gt;=1984,F$37,IF($A122&gt;=1979,F$36,IF($A122&gt;=1971,F$35,F$34))))))))/$M$15</f>
        <v>11.579310344827585</v>
      </c>
      <c r="R122" s="506">
        <f t="shared" si="16"/>
        <v>284.82758620689651</v>
      </c>
      <c r="S122" s="507">
        <f t="shared" ref="S122:S185" si="30">IF($A122&gt;=2014,D$51,IF($A122&gt;=2004,D$50,IF($A122&gt;=2000,D$49,IF($A122&gt;=1995,D$48,IF($A122&gt;=1987,D$47,IF($A122&gt;=1984,D$46,IF($A122&gt;=1979,D$45,IF($A122&gt;=1971,D$44,D$43))))))))/$M$15</f>
        <v>21.72413793103448</v>
      </c>
      <c r="T122" s="508">
        <f t="shared" ref="T122:T185" si="31">IF($A122&gt;=2014,E$51,IF($A122&gt;=2004,E$50,IF($A122&gt;=2000,E$49,IF($A122&gt;=1995,E$48,IF($A122&gt;=1987,E$47,IF($A122&gt;=1984,E$46,IF($A122&gt;=1979,E$45,IF($A122&gt;=1971,E$44,E$43))))))))/$M$15</f>
        <v>12.068965517241377</v>
      </c>
      <c r="U122" s="59">
        <f t="shared" ref="U122:U185" si="32">IF($A122&gt;=2014,F$51,IF($A122&gt;=2004,F$50,IF($A122&gt;=2000,F$49,IF($A122&gt;=1995,F$48,IF($A122&gt;=1987,F$47,IF($A122&gt;=1984,F$46,IF($A122&gt;=1979,F$45,IF($A122&gt;=1971,F$44,F$43))))))))/$M$15</f>
        <v>11.103448275862069</v>
      </c>
      <c r="V122" s="506">
        <f t="shared" si="17"/>
        <v>284.82758620689651</v>
      </c>
      <c r="W122" s="507">
        <f t="shared" ref="W122:W185" si="33">IF($A122&gt;=2013,D$60,IF($A122&gt;=2007,D$59,IF($A122&gt;=2000,D$58,IF($A122&gt;=1995,D$57,IF($A122&gt;=1987,D$56,IF($A122&gt;=1984,D$55,IF($A122&gt;=1979,D$54,IF($A122&gt;=1971,D$53,D$52))))))))/$M$15</f>
        <v>21.72413793103448</v>
      </c>
      <c r="X122" s="508">
        <f t="shared" ref="X122:X185" si="34">IF($A122&gt;=2013,E$60,IF($A122&gt;=2007,E$59,IF($A122&gt;=2000,E$58,IF($A122&gt;=1995,E$57,IF($A122&gt;=1987,E$56,IF($A122&gt;=1984,E$55,IF($A122&gt;=1979,E$54,IF($A122&gt;=1971,E$53,E$52))))))))/$M$15</f>
        <v>12.068965517241377</v>
      </c>
      <c r="Y122" s="59">
        <f t="shared" ref="Y122:Y185" si="35">IF($A122&gt;=2013,F$60,IF($A122&gt;=2007,F$59,IF($A122&gt;=2000,F$58,IF($A122&gt;=1995,F$57,IF($A122&gt;=1987,F$56,IF($A122&gt;=1984,F$55,IF($A122&gt;=1979,F$54,IF($A122&gt;=1971,F$53,F$52))))))))/$M$15</f>
        <v>11.103448275862069</v>
      </c>
      <c r="Z122" s="506">
        <f t="shared" si="18"/>
        <v>284.82758620689651</v>
      </c>
      <c r="AA122" s="507">
        <f t="shared" ref="AA122:AA185" si="36">IF($A122&gt;=2017,D$70,IF($A122&gt;=2012,D$69,IF($A122&gt;=2007,D$68,IF($A122&gt;=2000,D$67,IF($A122=1999,D$66,IF($A122&gt;=1987,D$65,IF($A122&gt;=1984,D$64,IF($A122&gt;=1979,D$63,IF($A122&gt;=1971,D$62,D$61)))))))))/$M$15</f>
        <v>21.72413793103448</v>
      </c>
      <c r="AB122" s="508">
        <f t="shared" ref="AB122:AB185" si="37">IF($A122&gt;=2017,E$70,IF($A122&gt;=2012,E$69,IF($A122&gt;=2007,E$68,IF($A122&gt;=2000,E$67,IF($A122=1999,E$66,IF($A122&gt;=1987,E$65,IF($A122&gt;=1984,E$64,IF($A122&gt;=1979,E$63,IF($A122&gt;=1971,E$62,E$61)))))))))/$M$15</f>
        <v>12.068965517241377</v>
      </c>
      <c r="AC122" s="59">
        <f t="shared" ref="AC122:AC185" si="38">IF($A122&gt;=2017,F$70,IF($A122&gt;=2012,F$69,IF($A122&gt;=2007,F$68,IF($A122&gt;=2000,F$67,IF($A122=1999,F$66,IF($A122&gt;=1987,F$65,IF($A122&gt;=1984,F$64,IF($A122&gt;=1979,F$63,IF($A122&gt;=1971,F$62,F$61)))))))))/$M$15</f>
        <v>11.103448275862069</v>
      </c>
      <c r="AD122" s="506">
        <f t="shared" si="19"/>
        <v>284.82758620689651</v>
      </c>
      <c r="AE122" s="507">
        <f t="shared" ref="AE122:AE185" si="39">IF($A122&gt;=2016,D$80,IF($A122&gt;=2013,D$79,IF($A122&gt;=2007,D$78,IF($A122&gt;=2000,D$77,IF($A122=1999,D$76,IF($A122&gt;=1987,D$75,IF($A122&gt;=1984,D$74,IF($A122&gt;=1979,D$73,IF($A122&gt;=1971,D$72,D$71)))))))))/$M$15</f>
        <v>21.72413793103448</v>
      </c>
      <c r="AF122" s="508">
        <f t="shared" ref="AF122:AF185" si="40">IF($A122&gt;=2016,E$80,IF($A122&gt;=2013,E$79,IF($A122&gt;=2007,E$78,IF($A122&gt;=2000,E$77,IF($A122=1999,E$76,IF($A122&gt;=1987,E$75,IF($A122&gt;=1984,E$74,IF($A122&gt;=1979,E$73,IF($A122&gt;=1971,E$72,E$71)))))))))/$M$15</f>
        <v>12.068965517241377</v>
      </c>
      <c r="AG122" s="59">
        <f t="shared" ref="AG122:AG185" si="41">IF($A122&gt;=2016,F$80,IF($A122&gt;=2013,F$79,IF($A122&gt;=2007,F$78,IF($A122&gt;=2000,F$77,IF($A122=1999,F$76,IF($A122&gt;=1987,F$75,IF($A122&gt;=1984,F$74,IF($A122&gt;=1979,F$73,IF($A122&gt;=1971,F$72,F$71)))))))))/$M$15</f>
        <v>11.103448275862069</v>
      </c>
      <c r="AH122" s="506">
        <f t="shared" si="20"/>
        <v>284.82758620689651</v>
      </c>
      <c r="AI122" s="507">
        <f t="shared" ref="AI122:AI185" si="42">IF($A122&gt;=2016,D$90,IF($A122&gt;=2014,D$89,IF($A122&gt;=2007,D$88,IF($A122&gt;=2000,D$87,IF($A122=1999,D$86,IF($A122&gt;=1987,D$85,IF($A122&gt;=1984,D$84,IF($A122&gt;=1979,D$83,IF($A122&gt;=1971,D$82,D$81)))))))))/$M$15</f>
        <v>21.72413793103448</v>
      </c>
      <c r="AJ122" s="508">
        <f t="shared" ref="AJ122:AJ185" si="43">IF($A122&gt;=2016,E$90,IF($A122&gt;=2014,E$89,IF($A122&gt;=2007,E$88,IF($A122&gt;=2000,E$87,IF($A122=1999,E$86,IF($A122&gt;=1987,E$85,IF($A122&gt;=1984,E$84,IF($A122&gt;=1979,E$83,IF($A122&gt;=1971,E$82,E$81)))))))))/$M$15</f>
        <v>12.068965517241377</v>
      </c>
      <c r="AK122" s="60">
        <f t="shared" ref="AK122:AK185" si="44">IF($A122&gt;=2016,F$90,IF($A122&gt;=2014,F$89,IF($A122&gt;=2007,F$88,IF($A122&gt;=2000,F$87,IF($A122=1999,F$86,IF($A122&gt;=1987,F$85,IF($A122&gt;=1984,F$84,IF($A122&gt;=1979,F$83,IF($A122&gt;=1971,F$82,F$81)))))))))/$M$15</f>
        <v>11.103448275862069</v>
      </c>
    </row>
    <row r="123" spans="1:37" ht="15.5" x14ac:dyDescent="0.35">
      <c r="A123" s="51">
        <v>1967</v>
      </c>
      <c r="B123" s="506">
        <f t="shared" si="12"/>
        <v>140.34482758620689</v>
      </c>
      <c r="C123" s="507">
        <f t="shared" si="12"/>
        <v>31.724137931034484</v>
      </c>
      <c r="D123" s="508">
        <f t="shared" si="12"/>
        <v>12.413793103448274</v>
      </c>
      <c r="E123" s="59">
        <f t="shared" si="12"/>
        <v>11.420689655172414</v>
      </c>
      <c r="F123" s="506">
        <f t="shared" si="13"/>
        <v>264.48275862068965</v>
      </c>
      <c r="G123" s="507">
        <f t="shared" si="21"/>
        <v>24.827586206896548</v>
      </c>
      <c r="H123" s="507">
        <f t="shared" si="22"/>
        <v>13.793103448275863</v>
      </c>
      <c r="I123" s="509">
        <f t="shared" si="23"/>
        <v>12.689655172413794</v>
      </c>
      <c r="J123" s="506">
        <f t="shared" si="14"/>
        <v>284.82758620689651</v>
      </c>
      <c r="K123" s="507">
        <f t="shared" si="24"/>
        <v>22.758620689655171</v>
      </c>
      <c r="L123" s="508">
        <f t="shared" si="25"/>
        <v>12.586206896551722</v>
      </c>
      <c r="M123" s="59">
        <f t="shared" si="26"/>
        <v>11.579310344827585</v>
      </c>
      <c r="N123" s="506">
        <f t="shared" si="15"/>
        <v>284.82758620689651</v>
      </c>
      <c r="O123" s="507">
        <f t="shared" si="27"/>
        <v>22.758620689655171</v>
      </c>
      <c r="P123" s="508">
        <f t="shared" si="28"/>
        <v>12.586206896551722</v>
      </c>
      <c r="Q123" s="59">
        <f t="shared" si="29"/>
        <v>11.579310344827585</v>
      </c>
      <c r="R123" s="506">
        <f t="shared" si="16"/>
        <v>284.82758620689651</v>
      </c>
      <c r="S123" s="507">
        <f t="shared" si="30"/>
        <v>21.72413793103448</v>
      </c>
      <c r="T123" s="508">
        <f t="shared" si="31"/>
        <v>12.068965517241377</v>
      </c>
      <c r="U123" s="59">
        <f t="shared" si="32"/>
        <v>11.103448275862069</v>
      </c>
      <c r="V123" s="506">
        <f t="shared" si="17"/>
        <v>284.82758620689651</v>
      </c>
      <c r="W123" s="507">
        <f t="shared" si="33"/>
        <v>21.72413793103448</v>
      </c>
      <c r="X123" s="508">
        <f t="shared" si="34"/>
        <v>12.068965517241377</v>
      </c>
      <c r="Y123" s="59">
        <f t="shared" si="35"/>
        <v>11.103448275862069</v>
      </c>
      <c r="Z123" s="506">
        <f t="shared" si="18"/>
        <v>284.82758620689651</v>
      </c>
      <c r="AA123" s="507">
        <f t="shared" si="36"/>
        <v>21.72413793103448</v>
      </c>
      <c r="AB123" s="508">
        <f t="shared" si="37"/>
        <v>12.068965517241377</v>
      </c>
      <c r="AC123" s="59">
        <f t="shared" si="38"/>
        <v>11.103448275862069</v>
      </c>
      <c r="AD123" s="506">
        <f t="shared" si="19"/>
        <v>284.82758620689651</v>
      </c>
      <c r="AE123" s="507">
        <f t="shared" si="39"/>
        <v>21.72413793103448</v>
      </c>
      <c r="AF123" s="508">
        <f t="shared" si="40"/>
        <v>12.068965517241377</v>
      </c>
      <c r="AG123" s="59">
        <f t="shared" si="41"/>
        <v>11.103448275862069</v>
      </c>
      <c r="AH123" s="506">
        <f t="shared" si="20"/>
        <v>284.82758620689651</v>
      </c>
      <c r="AI123" s="507">
        <f t="shared" si="42"/>
        <v>21.72413793103448</v>
      </c>
      <c r="AJ123" s="508">
        <f t="shared" si="43"/>
        <v>12.068965517241377</v>
      </c>
      <c r="AK123" s="60">
        <f t="shared" si="44"/>
        <v>11.103448275862069</v>
      </c>
    </row>
    <row r="124" spans="1:37" ht="15.5" x14ac:dyDescent="0.35">
      <c r="A124" s="51">
        <v>1968</v>
      </c>
      <c r="B124" s="506">
        <f t="shared" si="12"/>
        <v>140.34482758620689</v>
      </c>
      <c r="C124" s="507">
        <f t="shared" si="12"/>
        <v>31.724137931034484</v>
      </c>
      <c r="D124" s="508">
        <f t="shared" si="12"/>
        <v>12.413793103448274</v>
      </c>
      <c r="E124" s="59">
        <f t="shared" si="12"/>
        <v>11.420689655172414</v>
      </c>
      <c r="F124" s="506">
        <f t="shared" si="13"/>
        <v>264.48275862068965</v>
      </c>
      <c r="G124" s="507">
        <f t="shared" si="21"/>
        <v>24.827586206896548</v>
      </c>
      <c r="H124" s="507">
        <f t="shared" si="22"/>
        <v>13.793103448275863</v>
      </c>
      <c r="I124" s="509">
        <f t="shared" si="23"/>
        <v>12.689655172413794</v>
      </c>
      <c r="J124" s="506">
        <f t="shared" si="14"/>
        <v>284.82758620689651</v>
      </c>
      <c r="K124" s="507">
        <f t="shared" si="24"/>
        <v>22.758620689655171</v>
      </c>
      <c r="L124" s="508">
        <f t="shared" si="25"/>
        <v>12.586206896551722</v>
      </c>
      <c r="M124" s="59">
        <f t="shared" si="26"/>
        <v>11.579310344827585</v>
      </c>
      <c r="N124" s="506">
        <f t="shared" si="15"/>
        <v>284.82758620689651</v>
      </c>
      <c r="O124" s="507">
        <f t="shared" si="27"/>
        <v>22.758620689655171</v>
      </c>
      <c r="P124" s="508">
        <f t="shared" si="28"/>
        <v>12.586206896551722</v>
      </c>
      <c r="Q124" s="59">
        <f t="shared" si="29"/>
        <v>11.579310344827585</v>
      </c>
      <c r="R124" s="506">
        <f t="shared" si="16"/>
        <v>284.82758620689651</v>
      </c>
      <c r="S124" s="507">
        <f t="shared" si="30"/>
        <v>21.72413793103448</v>
      </c>
      <c r="T124" s="508">
        <f t="shared" si="31"/>
        <v>12.068965517241377</v>
      </c>
      <c r="U124" s="59">
        <f t="shared" si="32"/>
        <v>11.103448275862069</v>
      </c>
      <c r="V124" s="506">
        <f t="shared" si="17"/>
        <v>284.82758620689651</v>
      </c>
      <c r="W124" s="507">
        <f t="shared" si="33"/>
        <v>21.72413793103448</v>
      </c>
      <c r="X124" s="508">
        <f t="shared" si="34"/>
        <v>12.068965517241377</v>
      </c>
      <c r="Y124" s="59">
        <f t="shared" si="35"/>
        <v>11.103448275862069</v>
      </c>
      <c r="Z124" s="506">
        <f t="shared" si="18"/>
        <v>284.82758620689651</v>
      </c>
      <c r="AA124" s="507">
        <f t="shared" si="36"/>
        <v>21.72413793103448</v>
      </c>
      <c r="AB124" s="508">
        <f t="shared" si="37"/>
        <v>12.068965517241377</v>
      </c>
      <c r="AC124" s="59">
        <f t="shared" si="38"/>
        <v>11.103448275862069</v>
      </c>
      <c r="AD124" s="506">
        <f t="shared" si="19"/>
        <v>284.82758620689651</v>
      </c>
      <c r="AE124" s="507">
        <f t="shared" si="39"/>
        <v>21.72413793103448</v>
      </c>
      <c r="AF124" s="508">
        <f t="shared" si="40"/>
        <v>12.068965517241377</v>
      </c>
      <c r="AG124" s="59">
        <f t="shared" si="41"/>
        <v>11.103448275862069</v>
      </c>
      <c r="AH124" s="506">
        <f t="shared" si="20"/>
        <v>284.82758620689651</v>
      </c>
      <c r="AI124" s="507">
        <f t="shared" si="42"/>
        <v>21.72413793103448</v>
      </c>
      <c r="AJ124" s="508">
        <f t="shared" si="43"/>
        <v>12.068965517241377</v>
      </c>
      <c r="AK124" s="60">
        <f t="shared" si="44"/>
        <v>11.103448275862069</v>
      </c>
    </row>
    <row r="125" spans="1:37" ht="15.5" x14ac:dyDescent="0.35">
      <c r="A125" s="51">
        <v>1969</v>
      </c>
      <c r="B125" s="506">
        <f t="shared" si="12"/>
        <v>140.34482758620689</v>
      </c>
      <c r="C125" s="507">
        <f t="shared" si="12"/>
        <v>31.724137931034484</v>
      </c>
      <c r="D125" s="508">
        <f t="shared" si="12"/>
        <v>12.413793103448274</v>
      </c>
      <c r="E125" s="59">
        <f t="shared" si="12"/>
        <v>11.420689655172414</v>
      </c>
      <c r="F125" s="506">
        <f t="shared" si="13"/>
        <v>264.48275862068965</v>
      </c>
      <c r="G125" s="507">
        <f t="shared" si="21"/>
        <v>24.827586206896548</v>
      </c>
      <c r="H125" s="507">
        <f t="shared" si="22"/>
        <v>13.793103448275863</v>
      </c>
      <c r="I125" s="509">
        <f t="shared" si="23"/>
        <v>12.689655172413794</v>
      </c>
      <c r="J125" s="506">
        <f t="shared" si="14"/>
        <v>284.82758620689651</v>
      </c>
      <c r="K125" s="507">
        <f t="shared" si="24"/>
        <v>22.758620689655171</v>
      </c>
      <c r="L125" s="508">
        <f t="shared" si="25"/>
        <v>12.586206896551722</v>
      </c>
      <c r="M125" s="59">
        <f t="shared" si="26"/>
        <v>11.579310344827585</v>
      </c>
      <c r="N125" s="506">
        <f t="shared" si="15"/>
        <v>284.82758620689651</v>
      </c>
      <c r="O125" s="507">
        <f t="shared" si="27"/>
        <v>22.758620689655171</v>
      </c>
      <c r="P125" s="508">
        <f t="shared" si="28"/>
        <v>12.586206896551722</v>
      </c>
      <c r="Q125" s="59">
        <f t="shared" si="29"/>
        <v>11.579310344827585</v>
      </c>
      <c r="R125" s="506">
        <f t="shared" si="16"/>
        <v>284.82758620689651</v>
      </c>
      <c r="S125" s="507">
        <f t="shared" si="30"/>
        <v>21.72413793103448</v>
      </c>
      <c r="T125" s="508">
        <f t="shared" si="31"/>
        <v>12.068965517241377</v>
      </c>
      <c r="U125" s="59">
        <f t="shared" si="32"/>
        <v>11.103448275862069</v>
      </c>
      <c r="V125" s="506">
        <f t="shared" si="17"/>
        <v>284.82758620689651</v>
      </c>
      <c r="W125" s="507">
        <f t="shared" si="33"/>
        <v>21.72413793103448</v>
      </c>
      <c r="X125" s="508">
        <f t="shared" si="34"/>
        <v>12.068965517241377</v>
      </c>
      <c r="Y125" s="59">
        <f t="shared" si="35"/>
        <v>11.103448275862069</v>
      </c>
      <c r="Z125" s="506">
        <f t="shared" si="18"/>
        <v>284.82758620689651</v>
      </c>
      <c r="AA125" s="507">
        <f t="shared" si="36"/>
        <v>21.72413793103448</v>
      </c>
      <c r="AB125" s="508">
        <f t="shared" si="37"/>
        <v>12.068965517241377</v>
      </c>
      <c r="AC125" s="59">
        <f t="shared" si="38"/>
        <v>11.103448275862069</v>
      </c>
      <c r="AD125" s="506">
        <f t="shared" si="19"/>
        <v>284.82758620689651</v>
      </c>
      <c r="AE125" s="507">
        <f t="shared" si="39"/>
        <v>21.72413793103448</v>
      </c>
      <c r="AF125" s="508">
        <f t="shared" si="40"/>
        <v>12.068965517241377</v>
      </c>
      <c r="AG125" s="59">
        <f t="shared" si="41"/>
        <v>11.103448275862069</v>
      </c>
      <c r="AH125" s="506">
        <f t="shared" si="20"/>
        <v>284.82758620689651</v>
      </c>
      <c r="AI125" s="507">
        <f t="shared" si="42"/>
        <v>21.72413793103448</v>
      </c>
      <c r="AJ125" s="508">
        <f t="shared" si="43"/>
        <v>12.068965517241377</v>
      </c>
      <c r="AK125" s="60">
        <f t="shared" si="44"/>
        <v>11.103448275862069</v>
      </c>
    </row>
    <row r="126" spans="1:37" ht="15.5" x14ac:dyDescent="0.35">
      <c r="A126" s="51">
        <v>1970</v>
      </c>
      <c r="B126" s="506">
        <f t="shared" si="12"/>
        <v>140.34482758620689</v>
      </c>
      <c r="C126" s="507">
        <f t="shared" si="12"/>
        <v>31.724137931034484</v>
      </c>
      <c r="D126" s="508">
        <f t="shared" si="12"/>
        <v>12.413793103448274</v>
      </c>
      <c r="E126" s="59">
        <f t="shared" si="12"/>
        <v>11.420689655172414</v>
      </c>
      <c r="F126" s="506">
        <f t="shared" si="13"/>
        <v>264.48275862068965</v>
      </c>
      <c r="G126" s="507">
        <f t="shared" si="21"/>
        <v>24.827586206896548</v>
      </c>
      <c r="H126" s="507">
        <f t="shared" si="22"/>
        <v>13.793103448275863</v>
      </c>
      <c r="I126" s="509">
        <f t="shared" si="23"/>
        <v>12.689655172413794</v>
      </c>
      <c r="J126" s="506">
        <f t="shared" si="14"/>
        <v>284.82758620689651</v>
      </c>
      <c r="K126" s="507">
        <f t="shared" si="24"/>
        <v>22.758620689655171</v>
      </c>
      <c r="L126" s="508">
        <f t="shared" si="25"/>
        <v>12.586206896551722</v>
      </c>
      <c r="M126" s="59">
        <f t="shared" si="26"/>
        <v>11.579310344827585</v>
      </c>
      <c r="N126" s="506">
        <f t="shared" si="15"/>
        <v>284.82758620689651</v>
      </c>
      <c r="O126" s="507">
        <f t="shared" si="27"/>
        <v>22.758620689655171</v>
      </c>
      <c r="P126" s="508">
        <f t="shared" si="28"/>
        <v>12.586206896551722</v>
      </c>
      <c r="Q126" s="59">
        <f t="shared" si="29"/>
        <v>11.579310344827585</v>
      </c>
      <c r="R126" s="506">
        <f t="shared" si="16"/>
        <v>284.82758620689651</v>
      </c>
      <c r="S126" s="507">
        <f t="shared" si="30"/>
        <v>21.72413793103448</v>
      </c>
      <c r="T126" s="508">
        <f t="shared" si="31"/>
        <v>12.068965517241377</v>
      </c>
      <c r="U126" s="59">
        <f t="shared" si="32"/>
        <v>11.103448275862069</v>
      </c>
      <c r="V126" s="506">
        <f t="shared" si="17"/>
        <v>284.82758620689651</v>
      </c>
      <c r="W126" s="507">
        <f t="shared" si="33"/>
        <v>21.72413793103448</v>
      </c>
      <c r="X126" s="508">
        <f t="shared" si="34"/>
        <v>12.068965517241377</v>
      </c>
      <c r="Y126" s="59">
        <f t="shared" si="35"/>
        <v>11.103448275862069</v>
      </c>
      <c r="Z126" s="506">
        <f t="shared" si="18"/>
        <v>284.82758620689651</v>
      </c>
      <c r="AA126" s="507">
        <f t="shared" si="36"/>
        <v>21.72413793103448</v>
      </c>
      <c r="AB126" s="508">
        <f t="shared" si="37"/>
        <v>12.068965517241377</v>
      </c>
      <c r="AC126" s="59">
        <f t="shared" si="38"/>
        <v>11.103448275862069</v>
      </c>
      <c r="AD126" s="506">
        <f t="shared" si="19"/>
        <v>284.82758620689651</v>
      </c>
      <c r="AE126" s="507">
        <f t="shared" si="39"/>
        <v>21.72413793103448</v>
      </c>
      <c r="AF126" s="508">
        <f t="shared" si="40"/>
        <v>12.068965517241377</v>
      </c>
      <c r="AG126" s="59">
        <f t="shared" si="41"/>
        <v>11.103448275862069</v>
      </c>
      <c r="AH126" s="506">
        <f t="shared" si="20"/>
        <v>284.82758620689651</v>
      </c>
      <c r="AI126" s="507">
        <f t="shared" si="42"/>
        <v>21.72413793103448</v>
      </c>
      <c r="AJ126" s="508">
        <f t="shared" si="43"/>
        <v>12.068965517241377</v>
      </c>
      <c r="AK126" s="60">
        <f t="shared" si="44"/>
        <v>11.103448275862069</v>
      </c>
    </row>
    <row r="127" spans="1:37" ht="15.5" x14ac:dyDescent="0.35">
      <c r="A127" s="51">
        <v>1971</v>
      </c>
      <c r="B127" s="506">
        <f t="shared" si="12"/>
        <v>140.34482758620689</v>
      </c>
      <c r="C127" s="507">
        <f t="shared" si="12"/>
        <v>31.724137931034484</v>
      </c>
      <c r="D127" s="508">
        <f t="shared" si="12"/>
        <v>12.413793103448274</v>
      </c>
      <c r="E127" s="59">
        <f t="shared" si="12"/>
        <v>11.420689655172414</v>
      </c>
      <c r="F127" s="506">
        <f t="shared" si="13"/>
        <v>264.48275862068965</v>
      </c>
      <c r="G127" s="507">
        <f t="shared" si="21"/>
        <v>24.827586206896548</v>
      </c>
      <c r="H127" s="507">
        <f t="shared" si="22"/>
        <v>13.793103448275863</v>
      </c>
      <c r="I127" s="509">
        <f t="shared" si="23"/>
        <v>12.689655172413794</v>
      </c>
      <c r="J127" s="506">
        <f t="shared" si="14"/>
        <v>264.48275862068965</v>
      </c>
      <c r="K127" s="507">
        <f t="shared" si="24"/>
        <v>18.96551724137931</v>
      </c>
      <c r="L127" s="508">
        <f t="shared" si="25"/>
        <v>10.86206896551724</v>
      </c>
      <c r="M127" s="59">
        <f t="shared" si="26"/>
        <v>9.9931034482758623</v>
      </c>
      <c r="N127" s="506">
        <f t="shared" si="15"/>
        <v>264.48275862068965</v>
      </c>
      <c r="O127" s="507">
        <f t="shared" si="27"/>
        <v>18.96551724137931</v>
      </c>
      <c r="P127" s="508">
        <f t="shared" si="28"/>
        <v>10.86206896551724</v>
      </c>
      <c r="Q127" s="59">
        <f t="shared" si="29"/>
        <v>9.9931034482758623</v>
      </c>
      <c r="R127" s="506">
        <f t="shared" si="16"/>
        <v>264.48275862068965</v>
      </c>
      <c r="S127" s="507">
        <f t="shared" si="30"/>
        <v>18.103448275862068</v>
      </c>
      <c r="T127" s="508">
        <f t="shared" si="31"/>
        <v>10.344827586206895</v>
      </c>
      <c r="U127" s="59">
        <f t="shared" si="32"/>
        <v>9.5172413793103452</v>
      </c>
      <c r="V127" s="506">
        <f t="shared" si="17"/>
        <v>264.48275862068965</v>
      </c>
      <c r="W127" s="507">
        <f t="shared" si="33"/>
        <v>18.103448275862068</v>
      </c>
      <c r="X127" s="508">
        <f t="shared" si="34"/>
        <v>10.344827586206895</v>
      </c>
      <c r="Y127" s="59">
        <f t="shared" si="35"/>
        <v>9.5172413793103452</v>
      </c>
      <c r="Z127" s="506">
        <f t="shared" si="18"/>
        <v>264.48275862068965</v>
      </c>
      <c r="AA127" s="507">
        <f t="shared" si="36"/>
        <v>18.103448275862068</v>
      </c>
      <c r="AB127" s="508">
        <f t="shared" si="37"/>
        <v>10.344827586206895</v>
      </c>
      <c r="AC127" s="59">
        <f t="shared" si="38"/>
        <v>9.5172413793103452</v>
      </c>
      <c r="AD127" s="506">
        <f t="shared" si="19"/>
        <v>264.48275862068965</v>
      </c>
      <c r="AE127" s="507">
        <f t="shared" si="39"/>
        <v>18.103448275862068</v>
      </c>
      <c r="AF127" s="508">
        <f t="shared" si="40"/>
        <v>10.344827586206895</v>
      </c>
      <c r="AG127" s="59">
        <f t="shared" si="41"/>
        <v>9.5172413793103452</v>
      </c>
      <c r="AH127" s="506">
        <f t="shared" si="20"/>
        <v>264.48275862068965</v>
      </c>
      <c r="AI127" s="507">
        <f t="shared" si="42"/>
        <v>18.103448275862068</v>
      </c>
      <c r="AJ127" s="508">
        <f t="shared" si="43"/>
        <v>10.344827586206895</v>
      </c>
      <c r="AK127" s="60">
        <f t="shared" si="44"/>
        <v>9.5172413793103452</v>
      </c>
    </row>
    <row r="128" spans="1:37" ht="15.5" x14ac:dyDescent="0.35">
      <c r="A128" s="51">
        <v>1972</v>
      </c>
      <c r="B128" s="506">
        <f t="shared" si="12"/>
        <v>140.34482758620689</v>
      </c>
      <c r="C128" s="507">
        <f t="shared" si="12"/>
        <v>31.724137931034484</v>
      </c>
      <c r="D128" s="508">
        <f t="shared" si="12"/>
        <v>12.413793103448274</v>
      </c>
      <c r="E128" s="59">
        <f t="shared" si="12"/>
        <v>11.420689655172414</v>
      </c>
      <c r="F128" s="506">
        <f t="shared" si="13"/>
        <v>264.48275862068965</v>
      </c>
      <c r="G128" s="507">
        <f t="shared" si="21"/>
        <v>24.827586206896548</v>
      </c>
      <c r="H128" s="507">
        <f t="shared" si="22"/>
        <v>13.793103448275863</v>
      </c>
      <c r="I128" s="509">
        <f t="shared" si="23"/>
        <v>12.689655172413794</v>
      </c>
      <c r="J128" s="506">
        <f t="shared" si="14"/>
        <v>264.48275862068965</v>
      </c>
      <c r="K128" s="507">
        <f t="shared" si="24"/>
        <v>18.96551724137931</v>
      </c>
      <c r="L128" s="508">
        <f t="shared" si="25"/>
        <v>10.86206896551724</v>
      </c>
      <c r="M128" s="59">
        <f t="shared" si="26"/>
        <v>9.9931034482758623</v>
      </c>
      <c r="N128" s="506">
        <f t="shared" si="15"/>
        <v>264.48275862068965</v>
      </c>
      <c r="O128" s="507">
        <f t="shared" si="27"/>
        <v>18.96551724137931</v>
      </c>
      <c r="P128" s="508">
        <f t="shared" si="28"/>
        <v>10.86206896551724</v>
      </c>
      <c r="Q128" s="59">
        <f t="shared" si="29"/>
        <v>9.9931034482758623</v>
      </c>
      <c r="R128" s="506">
        <f t="shared" si="16"/>
        <v>264.48275862068965</v>
      </c>
      <c r="S128" s="507">
        <f t="shared" si="30"/>
        <v>18.103448275862068</v>
      </c>
      <c r="T128" s="508">
        <f t="shared" si="31"/>
        <v>10.344827586206895</v>
      </c>
      <c r="U128" s="59">
        <f t="shared" si="32"/>
        <v>9.5172413793103452</v>
      </c>
      <c r="V128" s="506">
        <f t="shared" si="17"/>
        <v>264.48275862068965</v>
      </c>
      <c r="W128" s="507">
        <f t="shared" si="33"/>
        <v>18.103448275862068</v>
      </c>
      <c r="X128" s="508">
        <f t="shared" si="34"/>
        <v>10.344827586206895</v>
      </c>
      <c r="Y128" s="59">
        <f t="shared" si="35"/>
        <v>9.5172413793103452</v>
      </c>
      <c r="Z128" s="506">
        <f t="shared" si="18"/>
        <v>264.48275862068965</v>
      </c>
      <c r="AA128" s="507">
        <f t="shared" si="36"/>
        <v>18.103448275862068</v>
      </c>
      <c r="AB128" s="508">
        <f t="shared" si="37"/>
        <v>10.344827586206895</v>
      </c>
      <c r="AC128" s="59">
        <f t="shared" si="38"/>
        <v>9.5172413793103452</v>
      </c>
      <c r="AD128" s="506">
        <f t="shared" si="19"/>
        <v>264.48275862068965</v>
      </c>
      <c r="AE128" s="507">
        <f t="shared" si="39"/>
        <v>18.103448275862068</v>
      </c>
      <c r="AF128" s="508">
        <f t="shared" si="40"/>
        <v>10.344827586206895</v>
      </c>
      <c r="AG128" s="59">
        <f t="shared" si="41"/>
        <v>9.5172413793103452</v>
      </c>
      <c r="AH128" s="506">
        <f t="shared" si="20"/>
        <v>264.48275862068965</v>
      </c>
      <c r="AI128" s="507">
        <f t="shared" si="42"/>
        <v>18.103448275862068</v>
      </c>
      <c r="AJ128" s="508">
        <f t="shared" si="43"/>
        <v>10.344827586206895</v>
      </c>
      <c r="AK128" s="60">
        <f t="shared" si="44"/>
        <v>9.5172413793103452</v>
      </c>
    </row>
    <row r="129" spans="1:37" ht="15.5" x14ac:dyDescent="0.35">
      <c r="A129" s="51">
        <v>1973</v>
      </c>
      <c r="B129" s="506">
        <f t="shared" si="12"/>
        <v>140.34482758620689</v>
      </c>
      <c r="C129" s="507">
        <f t="shared" si="12"/>
        <v>31.724137931034484</v>
      </c>
      <c r="D129" s="508">
        <f t="shared" si="12"/>
        <v>12.413793103448274</v>
      </c>
      <c r="E129" s="59">
        <f t="shared" si="12"/>
        <v>11.420689655172414</v>
      </c>
      <c r="F129" s="506">
        <f t="shared" si="13"/>
        <v>264.48275862068965</v>
      </c>
      <c r="G129" s="507">
        <f t="shared" si="21"/>
        <v>24.827586206896548</v>
      </c>
      <c r="H129" s="507">
        <f t="shared" si="22"/>
        <v>13.793103448275863</v>
      </c>
      <c r="I129" s="509">
        <f t="shared" si="23"/>
        <v>12.689655172413794</v>
      </c>
      <c r="J129" s="506">
        <f t="shared" si="14"/>
        <v>264.48275862068965</v>
      </c>
      <c r="K129" s="507">
        <f t="shared" si="24"/>
        <v>18.96551724137931</v>
      </c>
      <c r="L129" s="508">
        <f t="shared" si="25"/>
        <v>10.86206896551724</v>
      </c>
      <c r="M129" s="59">
        <f t="shared" si="26"/>
        <v>9.9931034482758623</v>
      </c>
      <c r="N129" s="506">
        <f t="shared" si="15"/>
        <v>264.48275862068965</v>
      </c>
      <c r="O129" s="507">
        <f t="shared" si="27"/>
        <v>18.96551724137931</v>
      </c>
      <c r="P129" s="508">
        <f t="shared" si="28"/>
        <v>10.86206896551724</v>
      </c>
      <c r="Q129" s="59">
        <f t="shared" si="29"/>
        <v>9.9931034482758623</v>
      </c>
      <c r="R129" s="506">
        <f t="shared" si="16"/>
        <v>264.48275862068965</v>
      </c>
      <c r="S129" s="507">
        <f t="shared" si="30"/>
        <v>18.103448275862068</v>
      </c>
      <c r="T129" s="508">
        <f t="shared" si="31"/>
        <v>10.344827586206895</v>
      </c>
      <c r="U129" s="59">
        <f t="shared" si="32"/>
        <v>9.5172413793103452</v>
      </c>
      <c r="V129" s="506">
        <f t="shared" si="17"/>
        <v>264.48275862068965</v>
      </c>
      <c r="W129" s="507">
        <f t="shared" si="33"/>
        <v>18.103448275862068</v>
      </c>
      <c r="X129" s="508">
        <f t="shared" si="34"/>
        <v>10.344827586206895</v>
      </c>
      <c r="Y129" s="59">
        <f t="shared" si="35"/>
        <v>9.5172413793103452</v>
      </c>
      <c r="Z129" s="506">
        <f t="shared" si="18"/>
        <v>264.48275862068965</v>
      </c>
      <c r="AA129" s="507">
        <f t="shared" si="36"/>
        <v>18.103448275862068</v>
      </c>
      <c r="AB129" s="508">
        <f t="shared" si="37"/>
        <v>10.344827586206895</v>
      </c>
      <c r="AC129" s="59">
        <f t="shared" si="38"/>
        <v>9.5172413793103452</v>
      </c>
      <c r="AD129" s="506">
        <f t="shared" si="19"/>
        <v>264.48275862068965</v>
      </c>
      <c r="AE129" s="507">
        <f t="shared" si="39"/>
        <v>18.103448275862068</v>
      </c>
      <c r="AF129" s="508">
        <f t="shared" si="40"/>
        <v>10.344827586206895</v>
      </c>
      <c r="AG129" s="59">
        <f t="shared" si="41"/>
        <v>9.5172413793103452</v>
      </c>
      <c r="AH129" s="506">
        <f t="shared" si="20"/>
        <v>264.48275862068965</v>
      </c>
      <c r="AI129" s="507">
        <f t="shared" si="42"/>
        <v>18.103448275862068</v>
      </c>
      <c r="AJ129" s="508">
        <f t="shared" si="43"/>
        <v>10.344827586206895</v>
      </c>
      <c r="AK129" s="60">
        <f t="shared" si="44"/>
        <v>9.5172413793103452</v>
      </c>
    </row>
    <row r="130" spans="1:37" ht="15.5" x14ac:dyDescent="0.35">
      <c r="A130" s="51">
        <v>1974</v>
      </c>
      <c r="B130" s="506">
        <f t="shared" si="12"/>
        <v>140.34482758620689</v>
      </c>
      <c r="C130" s="507">
        <f t="shared" si="12"/>
        <v>31.724137931034484</v>
      </c>
      <c r="D130" s="508">
        <f t="shared" si="12"/>
        <v>12.413793103448274</v>
      </c>
      <c r="E130" s="59">
        <f t="shared" si="12"/>
        <v>11.420689655172414</v>
      </c>
      <c r="F130" s="506">
        <f t="shared" si="13"/>
        <v>264.48275862068965</v>
      </c>
      <c r="G130" s="507">
        <f t="shared" si="21"/>
        <v>24.827586206896548</v>
      </c>
      <c r="H130" s="507">
        <f t="shared" si="22"/>
        <v>13.793103448275863</v>
      </c>
      <c r="I130" s="509">
        <f t="shared" si="23"/>
        <v>12.689655172413794</v>
      </c>
      <c r="J130" s="506">
        <f t="shared" si="14"/>
        <v>264.48275862068965</v>
      </c>
      <c r="K130" s="507">
        <f t="shared" si="24"/>
        <v>18.96551724137931</v>
      </c>
      <c r="L130" s="508">
        <f t="shared" si="25"/>
        <v>10.86206896551724</v>
      </c>
      <c r="M130" s="59">
        <f t="shared" si="26"/>
        <v>9.9931034482758623</v>
      </c>
      <c r="N130" s="506">
        <f t="shared" si="15"/>
        <v>264.48275862068965</v>
      </c>
      <c r="O130" s="507">
        <f t="shared" si="27"/>
        <v>18.96551724137931</v>
      </c>
      <c r="P130" s="508">
        <f t="shared" si="28"/>
        <v>10.86206896551724</v>
      </c>
      <c r="Q130" s="59">
        <f t="shared" si="29"/>
        <v>9.9931034482758623</v>
      </c>
      <c r="R130" s="506">
        <f t="shared" si="16"/>
        <v>264.48275862068965</v>
      </c>
      <c r="S130" s="507">
        <f t="shared" si="30"/>
        <v>18.103448275862068</v>
      </c>
      <c r="T130" s="508">
        <f t="shared" si="31"/>
        <v>10.344827586206895</v>
      </c>
      <c r="U130" s="59">
        <f t="shared" si="32"/>
        <v>9.5172413793103452</v>
      </c>
      <c r="V130" s="506">
        <f t="shared" si="17"/>
        <v>264.48275862068965</v>
      </c>
      <c r="W130" s="507">
        <f t="shared" si="33"/>
        <v>18.103448275862068</v>
      </c>
      <c r="X130" s="508">
        <f t="shared" si="34"/>
        <v>10.344827586206895</v>
      </c>
      <c r="Y130" s="59">
        <f t="shared" si="35"/>
        <v>9.5172413793103452</v>
      </c>
      <c r="Z130" s="506">
        <f t="shared" si="18"/>
        <v>264.48275862068965</v>
      </c>
      <c r="AA130" s="507">
        <f t="shared" si="36"/>
        <v>18.103448275862068</v>
      </c>
      <c r="AB130" s="508">
        <f t="shared" si="37"/>
        <v>10.344827586206895</v>
      </c>
      <c r="AC130" s="59">
        <f t="shared" si="38"/>
        <v>9.5172413793103452</v>
      </c>
      <c r="AD130" s="506">
        <f t="shared" si="19"/>
        <v>264.48275862068965</v>
      </c>
      <c r="AE130" s="507">
        <f t="shared" si="39"/>
        <v>18.103448275862068</v>
      </c>
      <c r="AF130" s="508">
        <f t="shared" si="40"/>
        <v>10.344827586206895</v>
      </c>
      <c r="AG130" s="59">
        <f t="shared" si="41"/>
        <v>9.5172413793103452</v>
      </c>
      <c r="AH130" s="506">
        <f t="shared" si="20"/>
        <v>264.48275862068965</v>
      </c>
      <c r="AI130" s="507">
        <f t="shared" si="42"/>
        <v>18.103448275862068</v>
      </c>
      <c r="AJ130" s="508">
        <f t="shared" si="43"/>
        <v>10.344827586206895</v>
      </c>
      <c r="AK130" s="60">
        <f t="shared" si="44"/>
        <v>9.5172413793103452</v>
      </c>
    </row>
    <row r="131" spans="1:37" ht="15.5" x14ac:dyDescent="0.35">
      <c r="A131" s="51">
        <v>1975</v>
      </c>
      <c r="B131" s="506">
        <f t="shared" si="12"/>
        <v>140.34482758620689</v>
      </c>
      <c r="C131" s="507">
        <f t="shared" si="12"/>
        <v>31.724137931034484</v>
      </c>
      <c r="D131" s="508">
        <f t="shared" si="12"/>
        <v>12.413793103448274</v>
      </c>
      <c r="E131" s="59">
        <f t="shared" si="12"/>
        <v>11.420689655172414</v>
      </c>
      <c r="F131" s="506">
        <f t="shared" si="13"/>
        <v>264.48275862068965</v>
      </c>
      <c r="G131" s="507">
        <f t="shared" si="21"/>
        <v>24.827586206896548</v>
      </c>
      <c r="H131" s="507">
        <f t="shared" si="22"/>
        <v>13.793103448275863</v>
      </c>
      <c r="I131" s="509">
        <f t="shared" si="23"/>
        <v>12.689655172413794</v>
      </c>
      <c r="J131" s="506">
        <f t="shared" si="14"/>
        <v>264.48275862068965</v>
      </c>
      <c r="K131" s="507">
        <f t="shared" si="24"/>
        <v>18.96551724137931</v>
      </c>
      <c r="L131" s="508">
        <f t="shared" si="25"/>
        <v>10.86206896551724</v>
      </c>
      <c r="M131" s="59">
        <f t="shared" si="26"/>
        <v>9.9931034482758623</v>
      </c>
      <c r="N131" s="506">
        <f t="shared" si="15"/>
        <v>264.48275862068965</v>
      </c>
      <c r="O131" s="507">
        <f t="shared" si="27"/>
        <v>18.96551724137931</v>
      </c>
      <c r="P131" s="508">
        <f t="shared" si="28"/>
        <v>10.86206896551724</v>
      </c>
      <c r="Q131" s="59">
        <f t="shared" si="29"/>
        <v>9.9931034482758623</v>
      </c>
      <c r="R131" s="506">
        <f t="shared" si="16"/>
        <v>264.48275862068965</v>
      </c>
      <c r="S131" s="507">
        <f t="shared" si="30"/>
        <v>18.103448275862068</v>
      </c>
      <c r="T131" s="508">
        <f t="shared" si="31"/>
        <v>10.344827586206895</v>
      </c>
      <c r="U131" s="59">
        <f t="shared" si="32"/>
        <v>9.5172413793103452</v>
      </c>
      <c r="V131" s="506">
        <f t="shared" si="17"/>
        <v>264.48275862068965</v>
      </c>
      <c r="W131" s="507">
        <f t="shared" si="33"/>
        <v>18.103448275862068</v>
      </c>
      <c r="X131" s="508">
        <f t="shared" si="34"/>
        <v>10.344827586206895</v>
      </c>
      <c r="Y131" s="59">
        <f t="shared" si="35"/>
        <v>9.5172413793103452</v>
      </c>
      <c r="Z131" s="506">
        <f t="shared" si="18"/>
        <v>264.48275862068965</v>
      </c>
      <c r="AA131" s="507">
        <f t="shared" si="36"/>
        <v>18.103448275862068</v>
      </c>
      <c r="AB131" s="508">
        <f t="shared" si="37"/>
        <v>10.344827586206895</v>
      </c>
      <c r="AC131" s="59">
        <f t="shared" si="38"/>
        <v>9.5172413793103452</v>
      </c>
      <c r="AD131" s="506">
        <f t="shared" si="19"/>
        <v>264.48275862068965</v>
      </c>
      <c r="AE131" s="507">
        <f t="shared" si="39"/>
        <v>18.103448275862068</v>
      </c>
      <c r="AF131" s="508">
        <f t="shared" si="40"/>
        <v>10.344827586206895</v>
      </c>
      <c r="AG131" s="59">
        <f t="shared" si="41"/>
        <v>9.5172413793103452</v>
      </c>
      <c r="AH131" s="506">
        <f t="shared" si="20"/>
        <v>264.48275862068965</v>
      </c>
      <c r="AI131" s="507">
        <f t="shared" si="42"/>
        <v>18.103448275862068</v>
      </c>
      <c r="AJ131" s="508">
        <f t="shared" si="43"/>
        <v>10.344827586206895</v>
      </c>
      <c r="AK131" s="60">
        <f t="shared" si="44"/>
        <v>9.5172413793103452</v>
      </c>
    </row>
    <row r="132" spans="1:37" ht="15.5" x14ac:dyDescent="0.35">
      <c r="A132" s="51">
        <v>1976</v>
      </c>
      <c r="B132" s="506">
        <f t="shared" si="12"/>
        <v>140.34482758620689</v>
      </c>
      <c r="C132" s="507">
        <f t="shared" si="12"/>
        <v>31.724137931034484</v>
      </c>
      <c r="D132" s="508">
        <f t="shared" si="12"/>
        <v>12.413793103448274</v>
      </c>
      <c r="E132" s="59">
        <f t="shared" si="12"/>
        <v>11.420689655172414</v>
      </c>
      <c r="F132" s="506">
        <f t="shared" si="13"/>
        <v>264.48275862068965</v>
      </c>
      <c r="G132" s="507">
        <f t="shared" si="21"/>
        <v>24.827586206896548</v>
      </c>
      <c r="H132" s="507">
        <f t="shared" si="22"/>
        <v>13.793103448275863</v>
      </c>
      <c r="I132" s="509">
        <f t="shared" si="23"/>
        <v>12.689655172413794</v>
      </c>
      <c r="J132" s="506">
        <f t="shared" si="14"/>
        <v>264.48275862068965</v>
      </c>
      <c r="K132" s="507">
        <f t="shared" si="24"/>
        <v>18.96551724137931</v>
      </c>
      <c r="L132" s="508">
        <f t="shared" si="25"/>
        <v>10.86206896551724</v>
      </c>
      <c r="M132" s="59">
        <f t="shared" si="26"/>
        <v>9.9931034482758623</v>
      </c>
      <c r="N132" s="506">
        <f t="shared" si="15"/>
        <v>264.48275862068965</v>
      </c>
      <c r="O132" s="507">
        <f t="shared" si="27"/>
        <v>18.96551724137931</v>
      </c>
      <c r="P132" s="508">
        <f t="shared" si="28"/>
        <v>10.86206896551724</v>
      </c>
      <c r="Q132" s="59">
        <f t="shared" si="29"/>
        <v>9.9931034482758623</v>
      </c>
      <c r="R132" s="506">
        <f t="shared" si="16"/>
        <v>264.48275862068965</v>
      </c>
      <c r="S132" s="507">
        <f t="shared" si="30"/>
        <v>18.103448275862068</v>
      </c>
      <c r="T132" s="508">
        <f t="shared" si="31"/>
        <v>10.344827586206895</v>
      </c>
      <c r="U132" s="59">
        <f t="shared" si="32"/>
        <v>9.5172413793103452</v>
      </c>
      <c r="V132" s="506">
        <f t="shared" si="17"/>
        <v>264.48275862068965</v>
      </c>
      <c r="W132" s="507">
        <f t="shared" si="33"/>
        <v>18.103448275862068</v>
      </c>
      <c r="X132" s="508">
        <f t="shared" si="34"/>
        <v>10.344827586206895</v>
      </c>
      <c r="Y132" s="59">
        <f t="shared" si="35"/>
        <v>9.5172413793103452</v>
      </c>
      <c r="Z132" s="506">
        <f t="shared" si="18"/>
        <v>264.48275862068965</v>
      </c>
      <c r="AA132" s="507">
        <f t="shared" si="36"/>
        <v>18.103448275862068</v>
      </c>
      <c r="AB132" s="508">
        <f t="shared" si="37"/>
        <v>10.344827586206895</v>
      </c>
      <c r="AC132" s="59">
        <f t="shared" si="38"/>
        <v>9.5172413793103452</v>
      </c>
      <c r="AD132" s="506">
        <f t="shared" si="19"/>
        <v>264.48275862068965</v>
      </c>
      <c r="AE132" s="507">
        <f t="shared" si="39"/>
        <v>18.103448275862068</v>
      </c>
      <c r="AF132" s="508">
        <f t="shared" si="40"/>
        <v>10.344827586206895</v>
      </c>
      <c r="AG132" s="59">
        <f t="shared" si="41"/>
        <v>9.5172413793103452</v>
      </c>
      <c r="AH132" s="506">
        <f t="shared" si="20"/>
        <v>264.48275862068965</v>
      </c>
      <c r="AI132" s="507">
        <f t="shared" si="42"/>
        <v>18.103448275862068</v>
      </c>
      <c r="AJ132" s="508">
        <f t="shared" si="43"/>
        <v>10.344827586206895</v>
      </c>
      <c r="AK132" s="60">
        <f t="shared" si="44"/>
        <v>9.5172413793103452</v>
      </c>
    </row>
    <row r="133" spans="1:37" ht="15.5" x14ac:dyDescent="0.35">
      <c r="A133" s="51">
        <v>1977</v>
      </c>
      <c r="B133" s="506">
        <f t="shared" si="12"/>
        <v>140.34482758620689</v>
      </c>
      <c r="C133" s="507">
        <f t="shared" si="12"/>
        <v>31.724137931034484</v>
      </c>
      <c r="D133" s="508">
        <f t="shared" si="12"/>
        <v>12.413793103448274</v>
      </c>
      <c r="E133" s="59">
        <f t="shared" si="12"/>
        <v>11.420689655172414</v>
      </c>
      <c r="F133" s="506">
        <f t="shared" si="13"/>
        <v>264.48275862068965</v>
      </c>
      <c r="G133" s="507">
        <f t="shared" si="21"/>
        <v>24.827586206896548</v>
      </c>
      <c r="H133" s="507">
        <f t="shared" si="22"/>
        <v>13.793103448275863</v>
      </c>
      <c r="I133" s="509">
        <f t="shared" si="23"/>
        <v>12.689655172413794</v>
      </c>
      <c r="J133" s="506">
        <f t="shared" si="14"/>
        <v>264.48275862068965</v>
      </c>
      <c r="K133" s="507">
        <f t="shared" si="24"/>
        <v>18.96551724137931</v>
      </c>
      <c r="L133" s="508">
        <f t="shared" si="25"/>
        <v>10.86206896551724</v>
      </c>
      <c r="M133" s="59">
        <f t="shared" si="26"/>
        <v>9.9931034482758623</v>
      </c>
      <c r="N133" s="506">
        <f t="shared" si="15"/>
        <v>264.48275862068965</v>
      </c>
      <c r="O133" s="507">
        <f t="shared" si="27"/>
        <v>18.96551724137931</v>
      </c>
      <c r="P133" s="508">
        <f t="shared" si="28"/>
        <v>10.86206896551724</v>
      </c>
      <c r="Q133" s="59">
        <f t="shared" si="29"/>
        <v>9.9931034482758623</v>
      </c>
      <c r="R133" s="506">
        <f t="shared" si="16"/>
        <v>264.48275862068965</v>
      </c>
      <c r="S133" s="507">
        <f t="shared" si="30"/>
        <v>18.103448275862068</v>
      </c>
      <c r="T133" s="508">
        <f t="shared" si="31"/>
        <v>10.344827586206895</v>
      </c>
      <c r="U133" s="59">
        <f t="shared" si="32"/>
        <v>9.5172413793103452</v>
      </c>
      <c r="V133" s="506">
        <f t="shared" si="17"/>
        <v>264.48275862068965</v>
      </c>
      <c r="W133" s="507">
        <f t="shared" si="33"/>
        <v>18.103448275862068</v>
      </c>
      <c r="X133" s="508">
        <f t="shared" si="34"/>
        <v>10.344827586206895</v>
      </c>
      <c r="Y133" s="59">
        <f t="shared" si="35"/>
        <v>9.5172413793103452</v>
      </c>
      <c r="Z133" s="506">
        <f t="shared" si="18"/>
        <v>264.48275862068965</v>
      </c>
      <c r="AA133" s="507">
        <f t="shared" si="36"/>
        <v>18.103448275862068</v>
      </c>
      <c r="AB133" s="508">
        <f t="shared" si="37"/>
        <v>10.344827586206895</v>
      </c>
      <c r="AC133" s="59">
        <f t="shared" si="38"/>
        <v>9.5172413793103452</v>
      </c>
      <c r="AD133" s="506">
        <f t="shared" si="19"/>
        <v>264.48275862068965</v>
      </c>
      <c r="AE133" s="507">
        <f t="shared" si="39"/>
        <v>18.103448275862068</v>
      </c>
      <c r="AF133" s="508">
        <f t="shared" si="40"/>
        <v>10.344827586206895</v>
      </c>
      <c r="AG133" s="59">
        <f t="shared" si="41"/>
        <v>9.5172413793103452</v>
      </c>
      <c r="AH133" s="506">
        <f t="shared" si="20"/>
        <v>264.48275862068965</v>
      </c>
      <c r="AI133" s="507">
        <f t="shared" si="42"/>
        <v>18.103448275862068</v>
      </c>
      <c r="AJ133" s="508">
        <f t="shared" si="43"/>
        <v>10.344827586206895</v>
      </c>
      <c r="AK133" s="60">
        <f t="shared" si="44"/>
        <v>9.5172413793103452</v>
      </c>
    </row>
    <row r="134" spans="1:37" ht="15.5" x14ac:dyDescent="0.35">
      <c r="A134" s="51">
        <v>1978</v>
      </c>
      <c r="B134" s="506">
        <f t="shared" si="12"/>
        <v>140.34482758620689</v>
      </c>
      <c r="C134" s="507">
        <f t="shared" si="12"/>
        <v>31.724137931034484</v>
      </c>
      <c r="D134" s="508">
        <f t="shared" si="12"/>
        <v>12.413793103448274</v>
      </c>
      <c r="E134" s="59">
        <f t="shared" si="12"/>
        <v>11.420689655172414</v>
      </c>
      <c r="F134" s="506">
        <f t="shared" si="13"/>
        <v>264.48275862068965</v>
      </c>
      <c r="G134" s="507">
        <f t="shared" si="21"/>
        <v>24.827586206896548</v>
      </c>
      <c r="H134" s="507">
        <f t="shared" si="22"/>
        <v>13.793103448275863</v>
      </c>
      <c r="I134" s="509">
        <f t="shared" si="23"/>
        <v>12.689655172413794</v>
      </c>
      <c r="J134" s="506">
        <f t="shared" si="14"/>
        <v>264.48275862068965</v>
      </c>
      <c r="K134" s="507">
        <f t="shared" si="24"/>
        <v>18.96551724137931</v>
      </c>
      <c r="L134" s="508">
        <f t="shared" si="25"/>
        <v>10.86206896551724</v>
      </c>
      <c r="M134" s="59">
        <f t="shared" si="26"/>
        <v>9.9931034482758623</v>
      </c>
      <c r="N134" s="506">
        <f t="shared" si="15"/>
        <v>264.48275862068965</v>
      </c>
      <c r="O134" s="507">
        <f t="shared" si="27"/>
        <v>18.96551724137931</v>
      </c>
      <c r="P134" s="508">
        <f t="shared" si="28"/>
        <v>10.86206896551724</v>
      </c>
      <c r="Q134" s="59">
        <f t="shared" si="29"/>
        <v>9.9931034482758623</v>
      </c>
      <c r="R134" s="506">
        <f t="shared" si="16"/>
        <v>264.48275862068965</v>
      </c>
      <c r="S134" s="507">
        <f t="shared" si="30"/>
        <v>18.103448275862068</v>
      </c>
      <c r="T134" s="508">
        <f t="shared" si="31"/>
        <v>10.344827586206895</v>
      </c>
      <c r="U134" s="59">
        <f t="shared" si="32"/>
        <v>9.5172413793103452</v>
      </c>
      <c r="V134" s="506">
        <f t="shared" si="17"/>
        <v>264.48275862068965</v>
      </c>
      <c r="W134" s="507">
        <f t="shared" si="33"/>
        <v>18.103448275862068</v>
      </c>
      <c r="X134" s="508">
        <f t="shared" si="34"/>
        <v>10.344827586206895</v>
      </c>
      <c r="Y134" s="59">
        <f t="shared" si="35"/>
        <v>9.5172413793103452</v>
      </c>
      <c r="Z134" s="506">
        <f t="shared" si="18"/>
        <v>264.48275862068965</v>
      </c>
      <c r="AA134" s="507">
        <f t="shared" si="36"/>
        <v>18.103448275862068</v>
      </c>
      <c r="AB134" s="508">
        <f t="shared" si="37"/>
        <v>10.344827586206895</v>
      </c>
      <c r="AC134" s="59">
        <f t="shared" si="38"/>
        <v>9.5172413793103452</v>
      </c>
      <c r="AD134" s="506">
        <f t="shared" si="19"/>
        <v>264.48275862068965</v>
      </c>
      <c r="AE134" s="507">
        <f t="shared" si="39"/>
        <v>18.103448275862068</v>
      </c>
      <c r="AF134" s="508">
        <f t="shared" si="40"/>
        <v>10.344827586206895</v>
      </c>
      <c r="AG134" s="59">
        <f t="shared" si="41"/>
        <v>9.5172413793103452</v>
      </c>
      <c r="AH134" s="506">
        <f t="shared" si="20"/>
        <v>264.48275862068965</v>
      </c>
      <c r="AI134" s="507">
        <f t="shared" si="42"/>
        <v>18.103448275862068</v>
      </c>
      <c r="AJ134" s="508">
        <f t="shared" si="43"/>
        <v>10.344827586206895</v>
      </c>
      <c r="AK134" s="60">
        <f t="shared" si="44"/>
        <v>9.5172413793103452</v>
      </c>
    </row>
    <row r="135" spans="1:37" ht="15.5" x14ac:dyDescent="0.35">
      <c r="A135" s="51">
        <v>1979</v>
      </c>
      <c r="B135" s="506">
        <f t="shared" si="12"/>
        <v>140.34482758620689</v>
      </c>
      <c r="C135" s="507">
        <f t="shared" si="12"/>
        <v>31.724137931034484</v>
      </c>
      <c r="D135" s="508">
        <f t="shared" si="12"/>
        <v>12.413793103448274</v>
      </c>
      <c r="E135" s="59">
        <f t="shared" si="12"/>
        <v>11.420689655172414</v>
      </c>
      <c r="F135" s="506">
        <f t="shared" si="13"/>
        <v>264.48275862068965</v>
      </c>
      <c r="G135" s="507">
        <f t="shared" si="21"/>
        <v>24.827586206896548</v>
      </c>
      <c r="H135" s="507">
        <f t="shared" si="22"/>
        <v>13.793103448275863</v>
      </c>
      <c r="I135" s="509">
        <f t="shared" si="23"/>
        <v>12.689655172413794</v>
      </c>
      <c r="J135" s="506">
        <f t="shared" si="14"/>
        <v>244.13793103448276</v>
      </c>
      <c r="K135" s="507">
        <f t="shared" si="24"/>
        <v>17.241379310344826</v>
      </c>
      <c r="L135" s="508">
        <f t="shared" si="25"/>
        <v>8.9655172413793096</v>
      </c>
      <c r="M135" s="59">
        <f t="shared" si="26"/>
        <v>8.2482758620689651</v>
      </c>
      <c r="N135" s="506">
        <f t="shared" si="15"/>
        <v>244.13793103448276</v>
      </c>
      <c r="O135" s="507">
        <f t="shared" si="27"/>
        <v>17.241379310344826</v>
      </c>
      <c r="P135" s="508">
        <f t="shared" si="28"/>
        <v>8.9655172413793096</v>
      </c>
      <c r="Q135" s="59">
        <f t="shared" si="29"/>
        <v>8.2482758620689651</v>
      </c>
      <c r="R135" s="506">
        <f t="shared" si="16"/>
        <v>244.13793103448276</v>
      </c>
      <c r="S135" s="507">
        <f t="shared" si="30"/>
        <v>16.379310344827584</v>
      </c>
      <c r="T135" s="508">
        <f t="shared" si="31"/>
        <v>8.6206896551724128</v>
      </c>
      <c r="U135" s="59">
        <f t="shared" si="32"/>
        <v>7.931034482758621</v>
      </c>
      <c r="V135" s="506">
        <f t="shared" si="17"/>
        <v>244.13793103448276</v>
      </c>
      <c r="W135" s="507">
        <f t="shared" si="33"/>
        <v>16.379310344827584</v>
      </c>
      <c r="X135" s="508">
        <f t="shared" si="34"/>
        <v>8.6206896551724128</v>
      </c>
      <c r="Y135" s="59">
        <f t="shared" si="35"/>
        <v>7.931034482758621</v>
      </c>
      <c r="Z135" s="506">
        <f t="shared" si="18"/>
        <v>244.13793103448276</v>
      </c>
      <c r="AA135" s="507">
        <f t="shared" si="36"/>
        <v>16.379310344827584</v>
      </c>
      <c r="AB135" s="508">
        <f t="shared" si="37"/>
        <v>8.6206896551724128</v>
      </c>
      <c r="AC135" s="59">
        <f t="shared" si="38"/>
        <v>7.931034482758621</v>
      </c>
      <c r="AD135" s="506">
        <f t="shared" si="19"/>
        <v>244.13793103448276</v>
      </c>
      <c r="AE135" s="507">
        <f t="shared" si="39"/>
        <v>16.379310344827584</v>
      </c>
      <c r="AF135" s="508">
        <f t="shared" si="40"/>
        <v>8.6206896551724128</v>
      </c>
      <c r="AG135" s="59">
        <f t="shared" si="41"/>
        <v>7.931034482758621</v>
      </c>
      <c r="AH135" s="506">
        <f t="shared" si="20"/>
        <v>244.13793103448276</v>
      </c>
      <c r="AI135" s="507">
        <f t="shared" si="42"/>
        <v>16.379310344827584</v>
      </c>
      <c r="AJ135" s="508">
        <f t="shared" si="43"/>
        <v>8.6206896551724128</v>
      </c>
      <c r="AK135" s="60">
        <f t="shared" si="44"/>
        <v>7.931034482758621</v>
      </c>
    </row>
    <row r="136" spans="1:37" ht="15.5" x14ac:dyDescent="0.35">
      <c r="A136" s="51">
        <v>1980</v>
      </c>
      <c r="B136" s="506">
        <f t="shared" si="12"/>
        <v>140.34482758620689</v>
      </c>
      <c r="C136" s="507">
        <f t="shared" si="12"/>
        <v>31.724137931034484</v>
      </c>
      <c r="D136" s="508">
        <f t="shared" si="12"/>
        <v>12.413793103448274</v>
      </c>
      <c r="E136" s="59">
        <f t="shared" si="12"/>
        <v>11.420689655172414</v>
      </c>
      <c r="F136" s="506">
        <f t="shared" si="13"/>
        <v>264.48275862068965</v>
      </c>
      <c r="G136" s="507">
        <f t="shared" si="21"/>
        <v>24.827586206896548</v>
      </c>
      <c r="H136" s="507">
        <f t="shared" si="22"/>
        <v>13.793103448275863</v>
      </c>
      <c r="I136" s="509">
        <f t="shared" si="23"/>
        <v>12.689655172413794</v>
      </c>
      <c r="J136" s="506">
        <f t="shared" si="14"/>
        <v>244.13793103448276</v>
      </c>
      <c r="K136" s="507">
        <f t="shared" si="24"/>
        <v>17.241379310344826</v>
      </c>
      <c r="L136" s="508">
        <f t="shared" si="25"/>
        <v>8.9655172413793096</v>
      </c>
      <c r="M136" s="59">
        <f t="shared" si="26"/>
        <v>8.2482758620689651</v>
      </c>
      <c r="N136" s="506">
        <f t="shared" si="15"/>
        <v>244.13793103448276</v>
      </c>
      <c r="O136" s="507">
        <f t="shared" si="27"/>
        <v>17.241379310344826</v>
      </c>
      <c r="P136" s="508">
        <f t="shared" si="28"/>
        <v>8.9655172413793096</v>
      </c>
      <c r="Q136" s="59">
        <f t="shared" si="29"/>
        <v>8.2482758620689651</v>
      </c>
      <c r="R136" s="506">
        <f t="shared" si="16"/>
        <v>244.13793103448276</v>
      </c>
      <c r="S136" s="507">
        <f t="shared" si="30"/>
        <v>16.379310344827584</v>
      </c>
      <c r="T136" s="508">
        <f t="shared" si="31"/>
        <v>8.6206896551724128</v>
      </c>
      <c r="U136" s="59">
        <f t="shared" si="32"/>
        <v>7.931034482758621</v>
      </c>
      <c r="V136" s="506">
        <f t="shared" si="17"/>
        <v>244.13793103448276</v>
      </c>
      <c r="W136" s="507">
        <f t="shared" si="33"/>
        <v>16.379310344827584</v>
      </c>
      <c r="X136" s="508">
        <f t="shared" si="34"/>
        <v>8.6206896551724128</v>
      </c>
      <c r="Y136" s="59">
        <f t="shared" si="35"/>
        <v>7.931034482758621</v>
      </c>
      <c r="Z136" s="506">
        <f t="shared" si="18"/>
        <v>244.13793103448276</v>
      </c>
      <c r="AA136" s="507">
        <f t="shared" si="36"/>
        <v>16.379310344827584</v>
      </c>
      <c r="AB136" s="508">
        <f t="shared" si="37"/>
        <v>8.6206896551724128</v>
      </c>
      <c r="AC136" s="59">
        <f t="shared" si="38"/>
        <v>7.931034482758621</v>
      </c>
      <c r="AD136" s="506">
        <f t="shared" si="19"/>
        <v>244.13793103448276</v>
      </c>
      <c r="AE136" s="507">
        <f t="shared" si="39"/>
        <v>16.379310344827584</v>
      </c>
      <c r="AF136" s="508">
        <f t="shared" si="40"/>
        <v>8.6206896551724128</v>
      </c>
      <c r="AG136" s="59">
        <f t="shared" si="41"/>
        <v>7.931034482758621</v>
      </c>
      <c r="AH136" s="506">
        <f t="shared" si="20"/>
        <v>244.13793103448276</v>
      </c>
      <c r="AI136" s="507">
        <f t="shared" si="42"/>
        <v>16.379310344827584</v>
      </c>
      <c r="AJ136" s="508">
        <f t="shared" si="43"/>
        <v>8.6206896551724128</v>
      </c>
      <c r="AK136" s="60">
        <f t="shared" si="44"/>
        <v>7.931034482758621</v>
      </c>
    </row>
    <row r="137" spans="1:37" ht="15.5" x14ac:dyDescent="0.35">
      <c r="A137" s="51">
        <v>1981</v>
      </c>
      <c r="B137" s="506">
        <f t="shared" si="12"/>
        <v>140.34482758620689</v>
      </c>
      <c r="C137" s="507">
        <f t="shared" si="12"/>
        <v>31.724137931034484</v>
      </c>
      <c r="D137" s="508">
        <f t="shared" si="12"/>
        <v>12.413793103448274</v>
      </c>
      <c r="E137" s="59">
        <f t="shared" si="12"/>
        <v>11.420689655172414</v>
      </c>
      <c r="F137" s="506">
        <f t="shared" si="13"/>
        <v>264.48275862068965</v>
      </c>
      <c r="G137" s="507">
        <f t="shared" si="21"/>
        <v>24.827586206896548</v>
      </c>
      <c r="H137" s="507">
        <f t="shared" si="22"/>
        <v>13.793103448275863</v>
      </c>
      <c r="I137" s="509">
        <f t="shared" si="23"/>
        <v>12.689655172413794</v>
      </c>
      <c r="J137" s="506">
        <f t="shared" si="14"/>
        <v>244.13793103448276</v>
      </c>
      <c r="K137" s="507">
        <f t="shared" si="24"/>
        <v>17.241379310344826</v>
      </c>
      <c r="L137" s="508">
        <f t="shared" si="25"/>
        <v>8.9655172413793096</v>
      </c>
      <c r="M137" s="59">
        <f t="shared" si="26"/>
        <v>8.2482758620689651</v>
      </c>
      <c r="N137" s="506">
        <f t="shared" si="15"/>
        <v>244.13793103448276</v>
      </c>
      <c r="O137" s="507">
        <f t="shared" si="27"/>
        <v>17.241379310344826</v>
      </c>
      <c r="P137" s="508">
        <f t="shared" si="28"/>
        <v>8.9655172413793096</v>
      </c>
      <c r="Q137" s="59">
        <f t="shared" si="29"/>
        <v>8.2482758620689651</v>
      </c>
      <c r="R137" s="506">
        <f t="shared" si="16"/>
        <v>244.13793103448276</v>
      </c>
      <c r="S137" s="507">
        <f t="shared" si="30"/>
        <v>16.379310344827584</v>
      </c>
      <c r="T137" s="508">
        <f t="shared" si="31"/>
        <v>8.6206896551724128</v>
      </c>
      <c r="U137" s="59">
        <f t="shared" si="32"/>
        <v>7.931034482758621</v>
      </c>
      <c r="V137" s="506">
        <f t="shared" si="17"/>
        <v>244.13793103448276</v>
      </c>
      <c r="W137" s="507">
        <f t="shared" si="33"/>
        <v>16.379310344827584</v>
      </c>
      <c r="X137" s="508">
        <f t="shared" si="34"/>
        <v>8.6206896551724128</v>
      </c>
      <c r="Y137" s="59">
        <f t="shared" si="35"/>
        <v>7.931034482758621</v>
      </c>
      <c r="Z137" s="506">
        <f t="shared" si="18"/>
        <v>244.13793103448276</v>
      </c>
      <c r="AA137" s="507">
        <f t="shared" si="36"/>
        <v>16.379310344827584</v>
      </c>
      <c r="AB137" s="508">
        <f t="shared" si="37"/>
        <v>8.6206896551724128</v>
      </c>
      <c r="AC137" s="59">
        <f t="shared" si="38"/>
        <v>7.931034482758621</v>
      </c>
      <c r="AD137" s="506">
        <f t="shared" si="19"/>
        <v>244.13793103448276</v>
      </c>
      <c r="AE137" s="507">
        <f t="shared" si="39"/>
        <v>16.379310344827584</v>
      </c>
      <c r="AF137" s="508">
        <f t="shared" si="40"/>
        <v>8.6206896551724128</v>
      </c>
      <c r="AG137" s="59">
        <f t="shared" si="41"/>
        <v>7.931034482758621</v>
      </c>
      <c r="AH137" s="506">
        <f t="shared" si="20"/>
        <v>244.13793103448276</v>
      </c>
      <c r="AI137" s="507">
        <f t="shared" si="42"/>
        <v>16.379310344827584</v>
      </c>
      <c r="AJ137" s="508">
        <f t="shared" si="43"/>
        <v>8.6206896551724128</v>
      </c>
      <c r="AK137" s="60">
        <f t="shared" si="44"/>
        <v>7.931034482758621</v>
      </c>
    </row>
    <row r="138" spans="1:37" ht="15.5" x14ac:dyDescent="0.35">
      <c r="A138" s="51">
        <v>1982</v>
      </c>
      <c r="B138" s="506">
        <f t="shared" si="12"/>
        <v>140.34482758620689</v>
      </c>
      <c r="C138" s="507">
        <f t="shared" si="12"/>
        <v>31.724137931034484</v>
      </c>
      <c r="D138" s="508">
        <f t="shared" si="12"/>
        <v>12.413793103448274</v>
      </c>
      <c r="E138" s="59">
        <f t="shared" si="12"/>
        <v>11.420689655172414</v>
      </c>
      <c r="F138" s="506">
        <f t="shared" si="13"/>
        <v>264.48275862068965</v>
      </c>
      <c r="G138" s="507">
        <f t="shared" si="21"/>
        <v>24.827586206896548</v>
      </c>
      <c r="H138" s="507">
        <f t="shared" si="22"/>
        <v>13.793103448275863</v>
      </c>
      <c r="I138" s="509">
        <f t="shared" si="23"/>
        <v>12.689655172413794</v>
      </c>
      <c r="J138" s="506">
        <f t="shared" si="14"/>
        <v>244.13793103448276</v>
      </c>
      <c r="K138" s="507">
        <f t="shared" si="24"/>
        <v>17.241379310344826</v>
      </c>
      <c r="L138" s="508">
        <f t="shared" si="25"/>
        <v>8.9655172413793096</v>
      </c>
      <c r="M138" s="59">
        <f t="shared" si="26"/>
        <v>8.2482758620689651</v>
      </c>
      <c r="N138" s="506">
        <f t="shared" si="15"/>
        <v>244.13793103448276</v>
      </c>
      <c r="O138" s="507">
        <f t="shared" si="27"/>
        <v>17.241379310344826</v>
      </c>
      <c r="P138" s="508">
        <f t="shared" si="28"/>
        <v>8.9655172413793096</v>
      </c>
      <c r="Q138" s="59">
        <f t="shared" si="29"/>
        <v>8.2482758620689651</v>
      </c>
      <c r="R138" s="506">
        <f t="shared" si="16"/>
        <v>244.13793103448276</v>
      </c>
      <c r="S138" s="507">
        <f t="shared" si="30"/>
        <v>16.379310344827584</v>
      </c>
      <c r="T138" s="508">
        <f t="shared" si="31"/>
        <v>8.6206896551724128</v>
      </c>
      <c r="U138" s="59">
        <f t="shared" si="32"/>
        <v>7.931034482758621</v>
      </c>
      <c r="V138" s="506">
        <f t="shared" si="17"/>
        <v>244.13793103448276</v>
      </c>
      <c r="W138" s="507">
        <f t="shared" si="33"/>
        <v>16.379310344827584</v>
      </c>
      <c r="X138" s="508">
        <f t="shared" si="34"/>
        <v>8.6206896551724128</v>
      </c>
      <c r="Y138" s="59">
        <f t="shared" si="35"/>
        <v>7.931034482758621</v>
      </c>
      <c r="Z138" s="506">
        <f t="shared" si="18"/>
        <v>244.13793103448276</v>
      </c>
      <c r="AA138" s="507">
        <f t="shared" si="36"/>
        <v>16.379310344827584</v>
      </c>
      <c r="AB138" s="508">
        <f t="shared" si="37"/>
        <v>8.6206896551724128</v>
      </c>
      <c r="AC138" s="59">
        <f t="shared" si="38"/>
        <v>7.931034482758621</v>
      </c>
      <c r="AD138" s="506">
        <f t="shared" si="19"/>
        <v>244.13793103448276</v>
      </c>
      <c r="AE138" s="507">
        <f t="shared" si="39"/>
        <v>16.379310344827584</v>
      </c>
      <c r="AF138" s="508">
        <f t="shared" si="40"/>
        <v>8.6206896551724128</v>
      </c>
      <c r="AG138" s="59">
        <f t="shared" si="41"/>
        <v>7.931034482758621</v>
      </c>
      <c r="AH138" s="506">
        <f t="shared" si="20"/>
        <v>244.13793103448276</v>
      </c>
      <c r="AI138" s="507">
        <f t="shared" si="42"/>
        <v>16.379310344827584</v>
      </c>
      <c r="AJ138" s="508">
        <f t="shared" si="43"/>
        <v>8.6206896551724128</v>
      </c>
      <c r="AK138" s="60">
        <f t="shared" si="44"/>
        <v>7.931034482758621</v>
      </c>
    </row>
    <row r="139" spans="1:37" ht="15.5" x14ac:dyDescent="0.35">
      <c r="A139" s="51">
        <v>1983</v>
      </c>
      <c r="B139" s="506">
        <f t="shared" si="12"/>
        <v>140.34482758620689</v>
      </c>
      <c r="C139" s="507">
        <f t="shared" si="12"/>
        <v>31.724137931034484</v>
      </c>
      <c r="D139" s="508">
        <f t="shared" si="12"/>
        <v>12.413793103448274</v>
      </c>
      <c r="E139" s="59">
        <f t="shared" si="12"/>
        <v>11.420689655172414</v>
      </c>
      <c r="F139" s="506">
        <f t="shared" si="13"/>
        <v>264.48275862068965</v>
      </c>
      <c r="G139" s="507">
        <f t="shared" si="21"/>
        <v>24.827586206896548</v>
      </c>
      <c r="H139" s="507">
        <f t="shared" si="22"/>
        <v>13.793103448275863</v>
      </c>
      <c r="I139" s="509">
        <f t="shared" si="23"/>
        <v>12.689655172413794</v>
      </c>
      <c r="J139" s="506">
        <f t="shared" si="14"/>
        <v>244.13793103448276</v>
      </c>
      <c r="K139" s="507">
        <f t="shared" si="24"/>
        <v>17.241379310344826</v>
      </c>
      <c r="L139" s="508">
        <f t="shared" si="25"/>
        <v>8.9655172413793096</v>
      </c>
      <c r="M139" s="59">
        <f t="shared" si="26"/>
        <v>8.2482758620689651</v>
      </c>
      <c r="N139" s="506">
        <f t="shared" si="15"/>
        <v>244.13793103448276</v>
      </c>
      <c r="O139" s="507">
        <f t="shared" si="27"/>
        <v>17.241379310344826</v>
      </c>
      <c r="P139" s="508">
        <f t="shared" si="28"/>
        <v>8.9655172413793096</v>
      </c>
      <c r="Q139" s="59">
        <f t="shared" si="29"/>
        <v>8.2482758620689651</v>
      </c>
      <c r="R139" s="506">
        <f t="shared" si="16"/>
        <v>244.13793103448276</v>
      </c>
      <c r="S139" s="507">
        <f t="shared" si="30"/>
        <v>16.379310344827584</v>
      </c>
      <c r="T139" s="508">
        <f t="shared" si="31"/>
        <v>8.6206896551724128</v>
      </c>
      <c r="U139" s="59">
        <f t="shared" si="32"/>
        <v>7.931034482758621</v>
      </c>
      <c r="V139" s="506">
        <f t="shared" si="17"/>
        <v>244.13793103448276</v>
      </c>
      <c r="W139" s="507">
        <f t="shared" si="33"/>
        <v>16.379310344827584</v>
      </c>
      <c r="X139" s="508">
        <f t="shared" si="34"/>
        <v>8.6206896551724128</v>
      </c>
      <c r="Y139" s="59">
        <f t="shared" si="35"/>
        <v>7.931034482758621</v>
      </c>
      <c r="Z139" s="506">
        <f t="shared" si="18"/>
        <v>244.13793103448276</v>
      </c>
      <c r="AA139" s="507">
        <f t="shared" si="36"/>
        <v>16.379310344827584</v>
      </c>
      <c r="AB139" s="508">
        <f t="shared" si="37"/>
        <v>8.6206896551724128</v>
      </c>
      <c r="AC139" s="59">
        <f t="shared" si="38"/>
        <v>7.931034482758621</v>
      </c>
      <c r="AD139" s="506">
        <f t="shared" si="19"/>
        <v>244.13793103448276</v>
      </c>
      <c r="AE139" s="507">
        <f t="shared" si="39"/>
        <v>16.379310344827584</v>
      </c>
      <c r="AF139" s="508">
        <f t="shared" si="40"/>
        <v>8.6206896551724128</v>
      </c>
      <c r="AG139" s="59">
        <f t="shared" si="41"/>
        <v>7.931034482758621</v>
      </c>
      <c r="AH139" s="506">
        <f t="shared" si="20"/>
        <v>244.13793103448276</v>
      </c>
      <c r="AI139" s="507">
        <f t="shared" si="42"/>
        <v>16.379310344827584</v>
      </c>
      <c r="AJ139" s="508">
        <f t="shared" si="43"/>
        <v>8.6206896551724128</v>
      </c>
      <c r="AK139" s="60">
        <f t="shared" si="44"/>
        <v>7.931034482758621</v>
      </c>
    </row>
    <row r="140" spans="1:37" ht="15.5" x14ac:dyDescent="0.35">
      <c r="A140" s="51">
        <v>1984</v>
      </c>
      <c r="B140" s="506">
        <f t="shared" si="12"/>
        <v>140.34482758620689</v>
      </c>
      <c r="C140" s="507">
        <f t="shared" si="12"/>
        <v>31.724137931034484</v>
      </c>
      <c r="D140" s="508">
        <f t="shared" si="12"/>
        <v>12.413793103448274</v>
      </c>
      <c r="E140" s="59">
        <f t="shared" si="12"/>
        <v>11.420689655172414</v>
      </c>
      <c r="F140" s="506">
        <f t="shared" si="13"/>
        <v>264.48275862068965</v>
      </c>
      <c r="G140" s="507">
        <f t="shared" si="21"/>
        <v>24.827586206896548</v>
      </c>
      <c r="H140" s="507">
        <f t="shared" si="22"/>
        <v>13.793103448275863</v>
      </c>
      <c r="I140" s="509">
        <f t="shared" si="23"/>
        <v>12.689655172413794</v>
      </c>
      <c r="J140" s="506">
        <f t="shared" si="14"/>
        <v>223.79310344827587</v>
      </c>
      <c r="K140" s="507">
        <f t="shared" si="24"/>
        <v>16.206896551724135</v>
      </c>
      <c r="L140" s="508">
        <f t="shared" si="25"/>
        <v>8.9655172413793096</v>
      </c>
      <c r="M140" s="59">
        <f t="shared" si="26"/>
        <v>8.2482758620689651</v>
      </c>
      <c r="N140" s="506">
        <f t="shared" si="15"/>
        <v>223.79310344827587</v>
      </c>
      <c r="O140" s="507">
        <f t="shared" si="27"/>
        <v>16.206896551724135</v>
      </c>
      <c r="P140" s="508">
        <f t="shared" si="28"/>
        <v>8.9655172413793096</v>
      </c>
      <c r="Q140" s="59">
        <f t="shared" si="29"/>
        <v>8.2482758620689651</v>
      </c>
      <c r="R140" s="506">
        <f t="shared" si="16"/>
        <v>223.79310344827587</v>
      </c>
      <c r="S140" s="507">
        <f t="shared" si="30"/>
        <v>15.517241379310345</v>
      </c>
      <c r="T140" s="508">
        <f t="shared" si="31"/>
        <v>8.6206896551724128</v>
      </c>
      <c r="U140" s="59">
        <f t="shared" si="32"/>
        <v>7.931034482758621</v>
      </c>
      <c r="V140" s="506">
        <f t="shared" si="17"/>
        <v>223.79310344827587</v>
      </c>
      <c r="W140" s="507">
        <f t="shared" si="33"/>
        <v>15.517241379310345</v>
      </c>
      <c r="X140" s="508">
        <f t="shared" si="34"/>
        <v>8.6206896551724128</v>
      </c>
      <c r="Y140" s="59">
        <f t="shared" si="35"/>
        <v>7.931034482758621</v>
      </c>
      <c r="Z140" s="506">
        <f t="shared" si="18"/>
        <v>223.79310344827587</v>
      </c>
      <c r="AA140" s="507">
        <f t="shared" si="36"/>
        <v>15.517241379310345</v>
      </c>
      <c r="AB140" s="508">
        <f t="shared" si="37"/>
        <v>8.6206896551724128</v>
      </c>
      <c r="AC140" s="59">
        <f t="shared" si="38"/>
        <v>7.931034482758621</v>
      </c>
      <c r="AD140" s="506">
        <f t="shared" si="19"/>
        <v>223.79310344827587</v>
      </c>
      <c r="AE140" s="507">
        <f t="shared" si="39"/>
        <v>15.517241379310345</v>
      </c>
      <c r="AF140" s="508">
        <f t="shared" si="40"/>
        <v>8.6206896551724128</v>
      </c>
      <c r="AG140" s="59">
        <f t="shared" si="41"/>
        <v>7.931034482758621</v>
      </c>
      <c r="AH140" s="506">
        <f t="shared" si="20"/>
        <v>223.79310344827587</v>
      </c>
      <c r="AI140" s="507">
        <f t="shared" si="42"/>
        <v>15.517241379310345</v>
      </c>
      <c r="AJ140" s="508">
        <f t="shared" si="43"/>
        <v>8.6206896551724128</v>
      </c>
      <c r="AK140" s="60">
        <f t="shared" si="44"/>
        <v>7.931034482758621</v>
      </c>
    </row>
    <row r="141" spans="1:37" ht="15.5" x14ac:dyDescent="0.35">
      <c r="A141" s="51">
        <v>1985</v>
      </c>
      <c r="B141" s="506">
        <f t="shared" si="12"/>
        <v>140.34482758620689</v>
      </c>
      <c r="C141" s="507">
        <f t="shared" si="12"/>
        <v>31.724137931034484</v>
      </c>
      <c r="D141" s="508">
        <f t="shared" si="12"/>
        <v>12.413793103448274</v>
      </c>
      <c r="E141" s="59">
        <f t="shared" si="12"/>
        <v>11.420689655172414</v>
      </c>
      <c r="F141" s="506">
        <f t="shared" si="13"/>
        <v>264.48275862068965</v>
      </c>
      <c r="G141" s="507">
        <f t="shared" si="21"/>
        <v>24.827586206896548</v>
      </c>
      <c r="H141" s="507">
        <f t="shared" si="22"/>
        <v>13.793103448275863</v>
      </c>
      <c r="I141" s="509">
        <f t="shared" si="23"/>
        <v>12.689655172413794</v>
      </c>
      <c r="J141" s="506">
        <f t="shared" si="14"/>
        <v>223.79310344827587</v>
      </c>
      <c r="K141" s="507">
        <f t="shared" si="24"/>
        <v>16.206896551724135</v>
      </c>
      <c r="L141" s="508">
        <f t="shared" si="25"/>
        <v>8.9655172413793096</v>
      </c>
      <c r="M141" s="59">
        <f t="shared" si="26"/>
        <v>8.2482758620689651</v>
      </c>
      <c r="N141" s="506">
        <f t="shared" si="15"/>
        <v>223.79310344827587</v>
      </c>
      <c r="O141" s="507">
        <f t="shared" si="27"/>
        <v>16.206896551724135</v>
      </c>
      <c r="P141" s="508">
        <f t="shared" si="28"/>
        <v>8.9655172413793096</v>
      </c>
      <c r="Q141" s="59">
        <f t="shared" si="29"/>
        <v>8.2482758620689651</v>
      </c>
      <c r="R141" s="506">
        <f t="shared" si="16"/>
        <v>223.79310344827587</v>
      </c>
      <c r="S141" s="507">
        <f t="shared" si="30"/>
        <v>15.517241379310345</v>
      </c>
      <c r="T141" s="508">
        <f t="shared" si="31"/>
        <v>8.6206896551724128</v>
      </c>
      <c r="U141" s="59">
        <f t="shared" si="32"/>
        <v>7.931034482758621</v>
      </c>
      <c r="V141" s="506">
        <f t="shared" si="17"/>
        <v>223.79310344827587</v>
      </c>
      <c r="W141" s="507">
        <f t="shared" si="33"/>
        <v>15.517241379310345</v>
      </c>
      <c r="X141" s="508">
        <f t="shared" si="34"/>
        <v>8.6206896551724128</v>
      </c>
      <c r="Y141" s="59">
        <f t="shared" si="35"/>
        <v>7.931034482758621</v>
      </c>
      <c r="Z141" s="506">
        <f t="shared" si="18"/>
        <v>223.79310344827587</v>
      </c>
      <c r="AA141" s="507">
        <f t="shared" si="36"/>
        <v>15.517241379310345</v>
      </c>
      <c r="AB141" s="508">
        <f t="shared" si="37"/>
        <v>8.6206896551724128</v>
      </c>
      <c r="AC141" s="59">
        <f t="shared" si="38"/>
        <v>7.931034482758621</v>
      </c>
      <c r="AD141" s="506">
        <f t="shared" si="19"/>
        <v>223.79310344827587</v>
      </c>
      <c r="AE141" s="507">
        <f t="shared" si="39"/>
        <v>15.517241379310345</v>
      </c>
      <c r="AF141" s="508">
        <f t="shared" si="40"/>
        <v>8.6206896551724128</v>
      </c>
      <c r="AG141" s="59">
        <f t="shared" si="41"/>
        <v>7.931034482758621</v>
      </c>
      <c r="AH141" s="506">
        <f t="shared" si="20"/>
        <v>223.79310344827587</v>
      </c>
      <c r="AI141" s="507">
        <f t="shared" si="42"/>
        <v>15.517241379310345</v>
      </c>
      <c r="AJ141" s="508">
        <f t="shared" si="43"/>
        <v>8.6206896551724128</v>
      </c>
      <c r="AK141" s="60">
        <f t="shared" si="44"/>
        <v>7.931034482758621</v>
      </c>
    </row>
    <row r="142" spans="1:37" ht="15.5" x14ac:dyDescent="0.35">
      <c r="A142" s="51">
        <v>1986</v>
      </c>
      <c r="B142" s="506">
        <f t="shared" si="12"/>
        <v>140.34482758620689</v>
      </c>
      <c r="C142" s="507">
        <f t="shared" si="12"/>
        <v>31.724137931034484</v>
      </c>
      <c r="D142" s="508">
        <f t="shared" si="12"/>
        <v>12.413793103448274</v>
      </c>
      <c r="E142" s="59">
        <f t="shared" si="12"/>
        <v>11.420689655172414</v>
      </c>
      <c r="F142" s="506">
        <f t="shared" si="13"/>
        <v>264.48275862068965</v>
      </c>
      <c r="G142" s="507">
        <f t="shared" si="21"/>
        <v>24.827586206896548</v>
      </c>
      <c r="H142" s="507">
        <f t="shared" si="22"/>
        <v>13.793103448275863</v>
      </c>
      <c r="I142" s="509">
        <f t="shared" si="23"/>
        <v>12.689655172413794</v>
      </c>
      <c r="J142" s="506">
        <f t="shared" si="14"/>
        <v>223.79310344827587</v>
      </c>
      <c r="K142" s="507">
        <f t="shared" si="24"/>
        <v>16.206896551724135</v>
      </c>
      <c r="L142" s="508">
        <f t="shared" si="25"/>
        <v>8.9655172413793096</v>
      </c>
      <c r="M142" s="59">
        <f t="shared" si="26"/>
        <v>8.2482758620689651</v>
      </c>
      <c r="N142" s="506">
        <f t="shared" si="15"/>
        <v>223.79310344827587</v>
      </c>
      <c r="O142" s="507">
        <f t="shared" si="27"/>
        <v>16.206896551724135</v>
      </c>
      <c r="P142" s="508">
        <f t="shared" si="28"/>
        <v>8.9655172413793096</v>
      </c>
      <c r="Q142" s="59">
        <f t="shared" si="29"/>
        <v>8.2482758620689651</v>
      </c>
      <c r="R142" s="506">
        <f t="shared" si="16"/>
        <v>223.79310344827587</v>
      </c>
      <c r="S142" s="507">
        <f t="shared" si="30"/>
        <v>15.517241379310345</v>
      </c>
      <c r="T142" s="508">
        <f t="shared" si="31"/>
        <v>8.6206896551724128</v>
      </c>
      <c r="U142" s="59">
        <f t="shared" si="32"/>
        <v>7.931034482758621</v>
      </c>
      <c r="V142" s="506">
        <f t="shared" si="17"/>
        <v>223.79310344827587</v>
      </c>
      <c r="W142" s="507">
        <f t="shared" si="33"/>
        <v>15.517241379310345</v>
      </c>
      <c r="X142" s="508">
        <f t="shared" si="34"/>
        <v>8.6206896551724128</v>
      </c>
      <c r="Y142" s="59">
        <f t="shared" si="35"/>
        <v>7.931034482758621</v>
      </c>
      <c r="Z142" s="506">
        <f t="shared" si="18"/>
        <v>223.79310344827587</v>
      </c>
      <c r="AA142" s="507">
        <f t="shared" si="36"/>
        <v>15.517241379310345</v>
      </c>
      <c r="AB142" s="508">
        <f t="shared" si="37"/>
        <v>8.6206896551724128</v>
      </c>
      <c r="AC142" s="59">
        <f t="shared" si="38"/>
        <v>7.931034482758621</v>
      </c>
      <c r="AD142" s="506">
        <f t="shared" si="19"/>
        <v>223.79310344827587</v>
      </c>
      <c r="AE142" s="507">
        <f t="shared" si="39"/>
        <v>15.517241379310345</v>
      </c>
      <c r="AF142" s="508">
        <f t="shared" si="40"/>
        <v>8.6206896551724128</v>
      </c>
      <c r="AG142" s="59">
        <f t="shared" si="41"/>
        <v>7.931034482758621</v>
      </c>
      <c r="AH142" s="506">
        <f t="shared" si="20"/>
        <v>223.79310344827587</v>
      </c>
      <c r="AI142" s="507">
        <f t="shared" si="42"/>
        <v>15.517241379310345</v>
      </c>
      <c r="AJ142" s="508">
        <f t="shared" si="43"/>
        <v>8.6206896551724128</v>
      </c>
      <c r="AK142" s="60">
        <f t="shared" si="44"/>
        <v>7.931034482758621</v>
      </c>
    </row>
    <row r="143" spans="1:37" ht="15.5" x14ac:dyDescent="0.35">
      <c r="A143" s="51">
        <v>1987</v>
      </c>
      <c r="B143" s="506">
        <f t="shared" si="12"/>
        <v>140.34482758620689</v>
      </c>
      <c r="C143" s="507">
        <f t="shared" si="12"/>
        <v>31.724137931034484</v>
      </c>
      <c r="D143" s="508">
        <f t="shared" si="12"/>
        <v>12.413793103448274</v>
      </c>
      <c r="E143" s="59">
        <f t="shared" si="12"/>
        <v>11.420689655172414</v>
      </c>
      <c r="F143" s="506">
        <f t="shared" si="13"/>
        <v>264.48275862068965</v>
      </c>
      <c r="G143" s="507">
        <f t="shared" si="21"/>
        <v>24.827586206896548</v>
      </c>
      <c r="H143" s="507">
        <f t="shared" si="22"/>
        <v>13.793103448275863</v>
      </c>
      <c r="I143" s="509">
        <f t="shared" si="23"/>
        <v>12.689655172413794</v>
      </c>
      <c r="J143" s="506">
        <f t="shared" si="14"/>
        <v>223.79310344827587</v>
      </c>
      <c r="K143" s="507">
        <f t="shared" si="24"/>
        <v>15.172413793103448</v>
      </c>
      <c r="L143" s="508">
        <f t="shared" si="25"/>
        <v>8.9655172413793096</v>
      </c>
      <c r="M143" s="59">
        <f t="shared" si="26"/>
        <v>8.2482758620689651</v>
      </c>
      <c r="N143" s="506">
        <f t="shared" si="15"/>
        <v>223.79310344827587</v>
      </c>
      <c r="O143" s="507">
        <f t="shared" si="27"/>
        <v>15.172413793103448</v>
      </c>
      <c r="P143" s="508">
        <f t="shared" si="28"/>
        <v>8.9655172413793096</v>
      </c>
      <c r="Q143" s="59">
        <f t="shared" si="29"/>
        <v>8.2482758620689651</v>
      </c>
      <c r="R143" s="506">
        <f t="shared" si="16"/>
        <v>223.79310344827587</v>
      </c>
      <c r="S143" s="507">
        <f t="shared" si="30"/>
        <v>14.482758620689653</v>
      </c>
      <c r="T143" s="508">
        <f t="shared" si="31"/>
        <v>8.6206896551724128</v>
      </c>
      <c r="U143" s="59">
        <f t="shared" si="32"/>
        <v>7.931034482758621</v>
      </c>
      <c r="V143" s="506">
        <f t="shared" si="17"/>
        <v>223.79310344827587</v>
      </c>
      <c r="W143" s="507">
        <f t="shared" si="33"/>
        <v>14.482758620689653</v>
      </c>
      <c r="X143" s="508">
        <f t="shared" si="34"/>
        <v>8.6206896551724128</v>
      </c>
      <c r="Y143" s="59">
        <f t="shared" si="35"/>
        <v>7.931034482758621</v>
      </c>
      <c r="Z143" s="506">
        <f t="shared" si="18"/>
        <v>223.79310344827587</v>
      </c>
      <c r="AA143" s="507">
        <f t="shared" si="36"/>
        <v>14.482758620689653</v>
      </c>
      <c r="AB143" s="508">
        <f t="shared" si="37"/>
        <v>8.6206896551724128</v>
      </c>
      <c r="AC143" s="59">
        <f t="shared" si="38"/>
        <v>7.931034482758621</v>
      </c>
      <c r="AD143" s="506">
        <f t="shared" si="19"/>
        <v>223.79310344827587</v>
      </c>
      <c r="AE143" s="507">
        <f t="shared" si="39"/>
        <v>14.482758620689653</v>
      </c>
      <c r="AF143" s="508">
        <f t="shared" si="40"/>
        <v>8.6206896551724128</v>
      </c>
      <c r="AG143" s="59">
        <f t="shared" si="41"/>
        <v>7.931034482758621</v>
      </c>
      <c r="AH143" s="506">
        <f t="shared" si="20"/>
        <v>223.79310344827587</v>
      </c>
      <c r="AI143" s="507">
        <f t="shared" si="42"/>
        <v>14.482758620689653</v>
      </c>
      <c r="AJ143" s="508">
        <f t="shared" si="43"/>
        <v>8.6206896551724128</v>
      </c>
      <c r="AK143" s="60">
        <f t="shared" si="44"/>
        <v>7.931034482758621</v>
      </c>
    </row>
    <row r="144" spans="1:37" ht="15.5" x14ac:dyDescent="0.35">
      <c r="A144" s="51">
        <v>1988</v>
      </c>
      <c r="B144" s="506">
        <f t="shared" si="12"/>
        <v>140.34482758620689</v>
      </c>
      <c r="C144" s="507">
        <f t="shared" si="12"/>
        <v>31.724137931034484</v>
      </c>
      <c r="D144" s="508">
        <f t="shared" si="12"/>
        <v>12.413793103448274</v>
      </c>
      <c r="E144" s="59">
        <f t="shared" si="12"/>
        <v>11.420689655172414</v>
      </c>
      <c r="F144" s="506">
        <f t="shared" si="13"/>
        <v>264.48275862068965</v>
      </c>
      <c r="G144" s="507">
        <f t="shared" si="21"/>
        <v>24.827586206896548</v>
      </c>
      <c r="H144" s="507">
        <f t="shared" si="22"/>
        <v>13.793103448275863</v>
      </c>
      <c r="I144" s="509">
        <f t="shared" si="23"/>
        <v>12.689655172413794</v>
      </c>
      <c r="J144" s="506">
        <f t="shared" si="14"/>
        <v>223.79310344827587</v>
      </c>
      <c r="K144" s="507">
        <f t="shared" si="24"/>
        <v>15.172413793103448</v>
      </c>
      <c r="L144" s="508">
        <f t="shared" si="25"/>
        <v>8.9655172413793096</v>
      </c>
      <c r="M144" s="59">
        <f t="shared" si="26"/>
        <v>8.2482758620689651</v>
      </c>
      <c r="N144" s="506">
        <f t="shared" si="15"/>
        <v>223.79310344827587</v>
      </c>
      <c r="O144" s="507">
        <f t="shared" si="27"/>
        <v>15.172413793103448</v>
      </c>
      <c r="P144" s="508">
        <f t="shared" si="28"/>
        <v>8.9655172413793096</v>
      </c>
      <c r="Q144" s="59">
        <f t="shared" si="29"/>
        <v>8.2482758620689651</v>
      </c>
      <c r="R144" s="506">
        <f t="shared" si="16"/>
        <v>223.79310344827587</v>
      </c>
      <c r="S144" s="507">
        <f t="shared" si="30"/>
        <v>14.482758620689653</v>
      </c>
      <c r="T144" s="508">
        <f t="shared" si="31"/>
        <v>8.6206896551724128</v>
      </c>
      <c r="U144" s="59">
        <f t="shared" si="32"/>
        <v>7.931034482758621</v>
      </c>
      <c r="V144" s="506">
        <f t="shared" si="17"/>
        <v>223.79310344827587</v>
      </c>
      <c r="W144" s="507">
        <f t="shared" si="33"/>
        <v>14.482758620689653</v>
      </c>
      <c r="X144" s="508">
        <f t="shared" si="34"/>
        <v>8.6206896551724128</v>
      </c>
      <c r="Y144" s="59">
        <f t="shared" si="35"/>
        <v>7.931034482758621</v>
      </c>
      <c r="Z144" s="506">
        <f t="shared" si="18"/>
        <v>223.79310344827587</v>
      </c>
      <c r="AA144" s="507">
        <f t="shared" si="36"/>
        <v>14.482758620689653</v>
      </c>
      <c r="AB144" s="508">
        <f t="shared" si="37"/>
        <v>8.6206896551724128</v>
      </c>
      <c r="AC144" s="59">
        <f t="shared" si="38"/>
        <v>7.931034482758621</v>
      </c>
      <c r="AD144" s="506">
        <f t="shared" si="19"/>
        <v>223.79310344827587</v>
      </c>
      <c r="AE144" s="507">
        <f t="shared" si="39"/>
        <v>14.482758620689653</v>
      </c>
      <c r="AF144" s="508">
        <f t="shared" si="40"/>
        <v>8.6206896551724128</v>
      </c>
      <c r="AG144" s="59">
        <f t="shared" si="41"/>
        <v>7.931034482758621</v>
      </c>
      <c r="AH144" s="506">
        <f t="shared" si="20"/>
        <v>223.79310344827587</v>
      </c>
      <c r="AI144" s="507">
        <f t="shared" si="42"/>
        <v>14.482758620689653</v>
      </c>
      <c r="AJ144" s="508">
        <f t="shared" si="43"/>
        <v>8.6206896551724128</v>
      </c>
      <c r="AK144" s="60">
        <f t="shared" si="44"/>
        <v>7.931034482758621</v>
      </c>
    </row>
    <row r="145" spans="1:37" ht="15.5" x14ac:dyDescent="0.35">
      <c r="A145" s="51">
        <v>1989</v>
      </c>
      <c r="B145" s="506">
        <f t="shared" si="12"/>
        <v>140.34482758620689</v>
      </c>
      <c r="C145" s="507">
        <f t="shared" si="12"/>
        <v>31.724137931034484</v>
      </c>
      <c r="D145" s="508">
        <f t="shared" si="12"/>
        <v>12.413793103448274</v>
      </c>
      <c r="E145" s="59">
        <f t="shared" si="12"/>
        <v>11.420689655172414</v>
      </c>
      <c r="F145" s="506">
        <f t="shared" si="13"/>
        <v>264.48275862068965</v>
      </c>
      <c r="G145" s="507">
        <f t="shared" si="21"/>
        <v>24.827586206896548</v>
      </c>
      <c r="H145" s="507">
        <f t="shared" si="22"/>
        <v>13.793103448275863</v>
      </c>
      <c r="I145" s="509">
        <f t="shared" si="23"/>
        <v>12.689655172413794</v>
      </c>
      <c r="J145" s="506">
        <f t="shared" si="14"/>
        <v>223.79310344827587</v>
      </c>
      <c r="K145" s="507">
        <f t="shared" si="24"/>
        <v>15.172413793103448</v>
      </c>
      <c r="L145" s="508">
        <f t="shared" si="25"/>
        <v>8.9655172413793096</v>
      </c>
      <c r="M145" s="59">
        <f t="shared" si="26"/>
        <v>8.2482758620689651</v>
      </c>
      <c r="N145" s="506">
        <f t="shared" si="15"/>
        <v>223.79310344827587</v>
      </c>
      <c r="O145" s="507">
        <f t="shared" si="27"/>
        <v>15.172413793103448</v>
      </c>
      <c r="P145" s="508">
        <f t="shared" si="28"/>
        <v>8.9655172413793096</v>
      </c>
      <c r="Q145" s="59">
        <f t="shared" si="29"/>
        <v>8.2482758620689651</v>
      </c>
      <c r="R145" s="506">
        <f t="shared" si="16"/>
        <v>223.79310344827587</v>
      </c>
      <c r="S145" s="507">
        <f t="shared" si="30"/>
        <v>14.482758620689653</v>
      </c>
      <c r="T145" s="508">
        <f t="shared" si="31"/>
        <v>8.6206896551724128</v>
      </c>
      <c r="U145" s="59">
        <f t="shared" si="32"/>
        <v>7.931034482758621</v>
      </c>
      <c r="V145" s="506">
        <f t="shared" si="17"/>
        <v>223.79310344827587</v>
      </c>
      <c r="W145" s="507">
        <f t="shared" si="33"/>
        <v>14.482758620689653</v>
      </c>
      <c r="X145" s="508">
        <f t="shared" si="34"/>
        <v>8.6206896551724128</v>
      </c>
      <c r="Y145" s="59">
        <f t="shared" si="35"/>
        <v>7.931034482758621</v>
      </c>
      <c r="Z145" s="506">
        <f t="shared" si="18"/>
        <v>223.79310344827587</v>
      </c>
      <c r="AA145" s="507">
        <f t="shared" si="36"/>
        <v>14.482758620689653</v>
      </c>
      <c r="AB145" s="508">
        <f t="shared" si="37"/>
        <v>8.6206896551724128</v>
      </c>
      <c r="AC145" s="59">
        <f t="shared" si="38"/>
        <v>7.931034482758621</v>
      </c>
      <c r="AD145" s="506">
        <f t="shared" si="19"/>
        <v>223.79310344827587</v>
      </c>
      <c r="AE145" s="507">
        <f t="shared" si="39"/>
        <v>14.482758620689653</v>
      </c>
      <c r="AF145" s="508">
        <f t="shared" si="40"/>
        <v>8.6206896551724128</v>
      </c>
      <c r="AG145" s="59">
        <f t="shared" si="41"/>
        <v>7.931034482758621</v>
      </c>
      <c r="AH145" s="506">
        <f t="shared" si="20"/>
        <v>223.79310344827587</v>
      </c>
      <c r="AI145" s="507">
        <f t="shared" si="42"/>
        <v>14.482758620689653</v>
      </c>
      <c r="AJ145" s="508">
        <f t="shared" si="43"/>
        <v>8.6206896551724128</v>
      </c>
      <c r="AK145" s="60">
        <f t="shared" si="44"/>
        <v>7.931034482758621</v>
      </c>
    </row>
    <row r="146" spans="1:37" ht="15.5" x14ac:dyDescent="0.35">
      <c r="A146" s="51">
        <v>1990</v>
      </c>
      <c r="B146" s="506">
        <f t="shared" si="12"/>
        <v>140.34482758620689</v>
      </c>
      <c r="C146" s="507">
        <f t="shared" si="12"/>
        <v>31.724137931034484</v>
      </c>
      <c r="D146" s="508">
        <f t="shared" si="12"/>
        <v>12.413793103448274</v>
      </c>
      <c r="E146" s="59">
        <f t="shared" si="12"/>
        <v>11.420689655172414</v>
      </c>
      <c r="F146" s="506">
        <f t="shared" si="13"/>
        <v>264.48275862068965</v>
      </c>
      <c r="G146" s="507">
        <f t="shared" si="21"/>
        <v>24.827586206896548</v>
      </c>
      <c r="H146" s="507">
        <f t="shared" si="22"/>
        <v>13.793103448275863</v>
      </c>
      <c r="I146" s="509">
        <f t="shared" si="23"/>
        <v>12.689655172413794</v>
      </c>
      <c r="J146" s="506">
        <f t="shared" si="14"/>
        <v>223.79310344827587</v>
      </c>
      <c r="K146" s="507">
        <f t="shared" si="24"/>
        <v>15.172413793103448</v>
      </c>
      <c r="L146" s="508">
        <f t="shared" si="25"/>
        <v>8.9655172413793096</v>
      </c>
      <c r="M146" s="59">
        <f t="shared" si="26"/>
        <v>8.2482758620689651</v>
      </c>
      <c r="N146" s="506">
        <f t="shared" si="15"/>
        <v>223.79310344827587</v>
      </c>
      <c r="O146" s="507">
        <f t="shared" si="27"/>
        <v>15.172413793103448</v>
      </c>
      <c r="P146" s="508">
        <f t="shared" si="28"/>
        <v>8.9655172413793096</v>
      </c>
      <c r="Q146" s="59">
        <f t="shared" si="29"/>
        <v>8.2482758620689651</v>
      </c>
      <c r="R146" s="506">
        <f t="shared" si="16"/>
        <v>223.79310344827587</v>
      </c>
      <c r="S146" s="507">
        <f t="shared" si="30"/>
        <v>14.482758620689653</v>
      </c>
      <c r="T146" s="508">
        <f t="shared" si="31"/>
        <v>8.6206896551724128</v>
      </c>
      <c r="U146" s="59">
        <f t="shared" si="32"/>
        <v>7.931034482758621</v>
      </c>
      <c r="V146" s="506">
        <f t="shared" si="17"/>
        <v>223.79310344827587</v>
      </c>
      <c r="W146" s="507">
        <f t="shared" si="33"/>
        <v>14.482758620689653</v>
      </c>
      <c r="X146" s="508">
        <f t="shared" si="34"/>
        <v>8.6206896551724128</v>
      </c>
      <c r="Y146" s="59">
        <f t="shared" si="35"/>
        <v>7.931034482758621</v>
      </c>
      <c r="Z146" s="506">
        <f t="shared" si="18"/>
        <v>223.79310344827587</v>
      </c>
      <c r="AA146" s="507">
        <f t="shared" si="36"/>
        <v>14.482758620689653</v>
      </c>
      <c r="AB146" s="508">
        <f t="shared" si="37"/>
        <v>8.6206896551724128</v>
      </c>
      <c r="AC146" s="59">
        <f t="shared" si="38"/>
        <v>7.931034482758621</v>
      </c>
      <c r="AD146" s="506">
        <f t="shared" si="19"/>
        <v>223.79310344827587</v>
      </c>
      <c r="AE146" s="507">
        <f t="shared" si="39"/>
        <v>14.482758620689653</v>
      </c>
      <c r="AF146" s="508">
        <f t="shared" si="40"/>
        <v>8.6206896551724128</v>
      </c>
      <c r="AG146" s="59">
        <f t="shared" si="41"/>
        <v>7.931034482758621</v>
      </c>
      <c r="AH146" s="506">
        <f t="shared" si="20"/>
        <v>223.79310344827587</v>
      </c>
      <c r="AI146" s="507">
        <f t="shared" si="42"/>
        <v>14.482758620689653</v>
      </c>
      <c r="AJ146" s="508">
        <f t="shared" si="43"/>
        <v>8.6206896551724128</v>
      </c>
      <c r="AK146" s="60">
        <f t="shared" si="44"/>
        <v>7.931034482758621</v>
      </c>
    </row>
    <row r="147" spans="1:37" ht="15.5" x14ac:dyDescent="0.35">
      <c r="A147" s="51">
        <v>1991</v>
      </c>
      <c r="B147" s="506">
        <f t="shared" si="12"/>
        <v>140.34482758620689</v>
      </c>
      <c r="C147" s="507">
        <f t="shared" si="12"/>
        <v>31.724137931034484</v>
      </c>
      <c r="D147" s="508">
        <f t="shared" si="12"/>
        <v>12.413793103448274</v>
      </c>
      <c r="E147" s="59">
        <f t="shared" si="12"/>
        <v>11.420689655172414</v>
      </c>
      <c r="F147" s="506">
        <f t="shared" si="13"/>
        <v>264.48275862068965</v>
      </c>
      <c r="G147" s="507">
        <f t="shared" si="21"/>
        <v>24.827586206896548</v>
      </c>
      <c r="H147" s="507">
        <f t="shared" si="22"/>
        <v>13.793103448275863</v>
      </c>
      <c r="I147" s="509">
        <f t="shared" si="23"/>
        <v>12.689655172413794</v>
      </c>
      <c r="J147" s="506">
        <f t="shared" si="14"/>
        <v>223.79310344827587</v>
      </c>
      <c r="K147" s="507">
        <f t="shared" si="24"/>
        <v>15.172413793103448</v>
      </c>
      <c r="L147" s="508">
        <f t="shared" si="25"/>
        <v>8.9655172413793096</v>
      </c>
      <c r="M147" s="59">
        <f t="shared" si="26"/>
        <v>8.2482758620689651</v>
      </c>
      <c r="N147" s="506">
        <f t="shared" si="15"/>
        <v>223.79310344827587</v>
      </c>
      <c r="O147" s="507">
        <f t="shared" si="27"/>
        <v>15.172413793103448</v>
      </c>
      <c r="P147" s="508">
        <f t="shared" si="28"/>
        <v>8.9655172413793096</v>
      </c>
      <c r="Q147" s="59">
        <f t="shared" si="29"/>
        <v>8.2482758620689651</v>
      </c>
      <c r="R147" s="506">
        <f t="shared" si="16"/>
        <v>223.79310344827587</v>
      </c>
      <c r="S147" s="507">
        <f t="shared" si="30"/>
        <v>14.482758620689653</v>
      </c>
      <c r="T147" s="508">
        <f t="shared" si="31"/>
        <v>8.6206896551724128</v>
      </c>
      <c r="U147" s="59">
        <f t="shared" si="32"/>
        <v>7.931034482758621</v>
      </c>
      <c r="V147" s="506">
        <f t="shared" si="17"/>
        <v>223.79310344827587</v>
      </c>
      <c r="W147" s="507">
        <f t="shared" si="33"/>
        <v>14.482758620689653</v>
      </c>
      <c r="X147" s="508">
        <f t="shared" si="34"/>
        <v>8.6206896551724128</v>
      </c>
      <c r="Y147" s="59">
        <f t="shared" si="35"/>
        <v>7.931034482758621</v>
      </c>
      <c r="Z147" s="506">
        <f t="shared" si="18"/>
        <v>223.79310344827587</v>
      </c>
      <c r="AA147" s="507">
        <f t="shared" si="36"/>
        <v>14.482758620689653</v>
      </c>
      <c r="AB147" s="508">
        <f t="shared" si="37"/>
        <v>8.6206896551724128</v>
      </c>
      <c r="AC147" s="59">
        <f t="shared" si="38"/>
        <v>7.931034482758621</v>
      </c>
      <c r="AD147" s="506">
        <f t="shared" si="19"/>
        <v>223.79310344827587</v>
      </c>
      <c r="AE147" s="507">
        <f t="shared" si="39"/>
        <v>14.482758620689653</v>
      </c>
      <c r="AF147" s="508">
        <f t="shared" si="40"/>
        <v>8.6206896551724128</v>
      </c>
      <c r="AG147" s="59">
        <f t="shared" si="41"/>
        <v>7.931034482758621</v>
      </c>
      <c r="AH147" s="506">
        <f t="shared" si="20"/>
        <v>223.79310344827587</v>
      </c>
      <c r="AI147" s="507">
        <f t="shared" si="42"/>
        <v>14.482758620689653</v>
      </c>
      <c r="AJ147" s="508">
        <f t="shared" si="43"/>
        <v>8.6206896551724128</v>
      </c>
      <c r="AK147" s="60">
        <f t="shared" si="44"/>
        <v>7.931034482758621</v>
      </c>
    </row>
    <row r="148" spans="1:37" ht="15.5" x14ac:dyDescent="0.35">
      <c r="A148" s="51">
        <v>1992</v>
      </c>
      <c r="B148" s="506">
        <f t="shared" si="12"/>
        <v>140.34482758620689</v>
      </c>
      <c r="C148" s="507">
        <f t="shared" si="12"/>
        <v>31.724137931034484</v>
      </c>
      <c r="D148" s="508">
        <f t="shared" si="12"/>
        <v>12.413793103448274</v>
      </c>
      <c r="E148" s="59">
        <f t="shared" si="12"/>
        <v>11.420689655172414</v>
      </c>
      <c r="F148" s="506">
        <f t="shared" si="13"/>
        <v>264.48275862068965</v>
      </c>
      <c r="G148" s="507">
        <f t="shared" si="21"/>
        <v>24.827586206896548</v>
      </c>
      <c r="H148" s="507">
        <f t="shared" si="22"/>
        <v>13.793103448275863</v>
      </c>
      <c r="I148" s="509">
        <f t="shared" si="23"/>
        <v>12.689655172413794</v>
      </c>
      <c r="J148" s="506">
        <f t="shared" si="14"/>
        <v>223.79310344827587</v>
      </c>
      <c r="K148" s="507">
        <f t="shared" si="24"/>
        <v>15.172413793103448</v>
      </c>
      <c r="L148" s="508">
        <f t="shared" si="25"/>
        <v>8.9655172413793096</v>
      </c>
      <c r="M148" s="59">
        <f t="shared" si="26"/>
        <v>8.2482758620689651</v>
      </c>
      <c r="N148" s="506">
        <f t="shared" si="15"/>
        <v>223.79310344827587</v>
      </c>
      <c r="O148" s="507">
        <f t="shared" si="27"/>
        <v>15.172413793103448</v>
      </c>
      <c r="P148" s="508">
        <f t="shared" si="28"/>
        <v>8.9655172413793096</v>
      </c>
      <c r="Q148" s="59">
        <f t="shared" si="29"/>
        <v>8.2482758620689651</v>
      </c>
      <c r="R148" s="506">
        <f t="shared" si="16"/>
        <v>223.79310344827587</v>
      </c>
      <c r="S148" s="507">
        <f t="shared" si="30"/>
        <v>14.482758620689653</v>
      </c>
      <c r="T148" s="508">
        <f t="shared" si="31"/>
        <v>8.6206896551724128</v>
      </c>
      <c r="U148" s="59">
        <f t="shared" si="32"/>
        <v>7.931034482758621</v>
      </c>
      <c r="V148" s="506">
        <f t="shared" si="17"/>
        <v>223.79310344827587</v>
      </c>
      <c r="W148" s="507">
        <f t="shared" si="33"/>
        <v>14.482758620689653</v>
      </c>
      <c r="X148" s="508">
        <f t="shared" si="34"/>
        <v>8.6206896551724128</v>
      </c>
      <c r="Y148" s="59">
        <f t="shared" si="35"/>
        <v>7.931034482758621</v>
      </c>
      <c r="Z148" s="506">
        <f t="shared" si="18"/>
        <v>223.79310344827587</v>
      </c>
      <c r="AA148" s="507">
        <f t="shared" si="36"/>
        <v>14.482758620689653</v>
      </c>
      <c r="AB148" s="508">
        <f t="shared" si="37"/>
        <v>8.6206896551724128</v>
      </c>
      <c r="AC148" s="59">
        <f t="shared" si="38"/>
        <v>7.931034482758621</v>
      </c>
      <c r="AD148" s="506">
        <f t="shared" si="19"/>
        <v>223.79310344827587</v>
      </c>
      <c r="AE148" s="507">
        <f t="shared" si="39"/>
        <v>14.482758620689653</v>
      </c>
      <c r="AF148" s="508">
        <f t="shared" si="40"/>
        <v>8.6206896551724128</v>
      </c>
      <c r="AG148" s="59">
        <f t="shared" si="41"/>
        <v>7.931034482758621</v>
      </c>
      <c r="AH148" s="506">
        <f t="shared" si="20"/>
        <v>223.79310344827587</v>
      </c>
      <c r="AI148" s="507">
        <f t="shared" si="42"/>
        <v>14.482758620689653</v>
      </c>
      <c r="AJ148" s="508">
        <f t="shared" si="43"/>
        <v>8.6206896551724128</v>
      </c>
      <c r="AK148" s="60">
        <f t="shared" si="44"/>
        <v>7.931034482758621</v>
      </c>
    </row>
    <row r="149" spans="1:37" ht="15.5" x14ac:dyDescent="0.35">
      <c r="A149" s="51">
        <v>1993</v>
      </c>
      <c r="B149" s="506">
        <f t="shared" si="12"/>
        <v>140.34482758620689</v>
      </c>
      <c r="C149" s="507">
        <f t="shared" si="12"/>
        <v>31.724137931034484</v>
      </c>
      <c r="D149" s="508">
        <f t="shared" si="12"/>
        <v>12.413793103448274</v>
      </c>
      <c r="E149" s="59">
        <f t="shared" si="12"/>
        <v>11.420689655172414</v>
      </c>
      <c r="F149" s="506">
        <f t="shared" si="13"/>
        <v>264.48275862068965</v>
      </c>
      <c r="G149" s="507">
        <f t="shared" si="21"/>
        <v>24.827586206896548</v>
      </c>
      <c r="H149" s="507">
        <f t="shared" si="22"/>
        <v>13.793103448275863</v>
      </c>
      <c r="I149" s="509">
        <f t="shared" si="23"/>
        <v>12.689655172413794</v>
      </c>
      <c r="J149" s="506">
        <f t="shared" si="14"/>
        <v>223.79310344827587</v>
      </c>
      <c r="K149" s="507">
        <f t="shared" si="24"/>
        <v>15.172413793103448</v>
      </c>
      <c r="L149" s="508">
        <f t="shared" si="25"/>
        <v>8.9655172413793096</v>
      </c>
      <c r="M149" s="59">
        <f t="shared" si="26"/>
        <v>8.2482758620689651</v>
      </c>
      <c r="N149" s="506">
        <f t="shared" si="15"/>
        <v>223.79310344827587</v>
      </c>
      <c r="O149" s="507">
        <f t="shared" si="27"/>
        <v>15.172413793103448</v>
      </c>
      <c r="P149" s="508">
        <f t="shared" si="28"/>
        <v>8.9655172413793096</v>
      </c>
      <c r="Q149" s="59">
        <f t="shared" si="29"/>
        <v>8.2482758620689651</v>
      </c>
      <c r="R149" s="506">
        <f t="shared" si="16"/>
        <v>223.79310344827587</v>
      </c>
      <c r="S149" s="507">
        <f t="shared" si="30"/>
        <v>14.482758620689653</v>
      </c>
      <c r="T149" s="508">
        <f t="shared" si="31"/>
        <v>8.6206896551724128</v>
      </c>
      <c r="U149" s="59">
        <f t="shared" si="32"/>
        <v>7.931034482758621</v>
      </c>
      <c r="V149" s="506">
        <f t="shared" si="17"/>
        <v>223.79310344827587</v>
      </c>
      <c r="W149" s="507">
        <f t="shared" si="33"/>
        <v>14.482758620689653</v>
      </c>
      <c r="X149" s="508">
        <f t="shared" si="34"/>
        <v>8.6206896551724128</v>
      </c>
      <c r="Y149" s="59">
        <f t="shared" si="35"/>
        <v>7.931034482758621</v>
      </c>
      <c r="Z149" s="506">
        <f t="shared" si="18"/>
        <v>223.79310344827587</v>
      </c>
      <c r="AA149" s="507">
        <f t="shared" si="36"/>
        <v>14.482758620689653</v>
      </c>
      <c r="AB149" s="508">
        <f t="shared" si="37"/>
        <v>8.6206896551724128</v>
      </c>
      <c r="AC149" s="59">
        <f t="shared" si="38"/>
        <v>7.931034482758621</v>
      </c>
      <c r="AD149" s="506">
        <f t="shared" si="19"/>
        <v>223.79310344827587</v>
      </c>
      <c r="AE149" s="507">
        <f t="shared" si="39"/>
        <v>14.482758620689653</v>
      </c>
      <c r="AF149" s="508">
        <f t="shared" si="40"/>
        <v>8.6206896551724128</v>
      </c>
      <c r="AG149" s="59">
        <f t="shared" si="41"/>
        <v>7.931034482758621</v>
      </c>
      <c r="AH149" s="506">
        <f t="shared" si="20"/>
        <v>223.79310344827587</v>
      </c>
      <c r="AI149" s="507">
        <f t="shared" si="42"/>
        <v>14.482758620689653</v>
      </c>
      <c r="AJ149" s="508">
        <f t="shared" si="43"/>
        <v>8.6206896551724128</v>
      </c>
      <c r="AK149" s="60">
        <f t="shared" si="44"/>
        <v>7.931034482758621</v>
      </c>
    </row>
    <row r="150" spans="1:37" ht="15.5" x14ac:dyDescent="0.35">
      <c r="A150" s="51">
        <v>1994</v>
      </c>
      <c r="B150" s="506">
        <f t="shared" si="12"/>
        <v>140.34482758620689</v>
      </c>
      <c r="C150" s="507">
        <f t="shared" si="12"/>
        <v>31.724137931034484</v>
      </c>
      <c r="D150" s="508">
        <f t="shared" si="12"/>
        <v>12.413793103448274</v>
      </c>
      <c r="E150" s="59">
        <f t="shared" si="12"/>
        <v>11.420689655172414</v>
      </c>
      <c r="F150" s="506">
        <f t="shared" si="13"/>
        <v>264.48275862068965</v>
      </c>
      <c r="G150" s="507">
        <f t="shared" si="21"/>
        <v>24.827586206896548</v>
      </c>
      <c r="H150" s="507">
        <f t="shared" si="22"/>
        <v>13.793103448275863</v>
      </c>
      <c r="I150" s="509">
        <f t="shared" si="23"/>
        <v>12.689655172413794</v>
      </c>
      <c r="J150" s="506">
        <f t="shared" si="14"/>
        <v>223.79310344827587</v>
      </c>
      <c r="K150" s="507">
        <f t="shared" si="24"/>
        <v>15.172413793103448</v>
      </c>
      <c r="L150" s="508">
        <f t="shared" si="25"/>
        <v>8.9655172413793096</v>
      </c>
      <c r="M150" s="59">
        <f t="shared" si="26"/>
        <v>8.2482758620689651</v>
      </c>
      <c r="N150" s="506">
        <f t="shared" si="15"/>
        <v>223.79310344827587</v>
      </c>
      <c r="O150" s="507">
        <f t="shared" si="27"/>
        <v>15.172413793103448</v>
      </c>
      <c r="P150" s="508">
        <f t="shared" si="28"/>
        <v>8.9655172413793096</v>
      </c>
      <c r="Q150" s="59">
        <f t="shared" si="29"/>
        <v>8.2482758620689651</v>
      </c>
      <c r="R150" s="506">
        <f t="shared" si="16"/>
        <v>223.79310344827587</v>
      </c>
      <c r="S150" s="507">
        <f t="shared" si="30"/>
        <v>14.482758620689653</v>
      </c>
      <c r="T150" s="508">
        <f t="shared" si="31"/>
        <v>8.6206896551724128</v>
      </c>
      <c r="U150" s="59">
        <f t="shared" si="32"/>
        <v>7.931034482758621</v>
      </c>
      <c r="V150" s="506">
        <f t="shared" si="17"/>
        <v>223.79310344827587</v>
      </c>
      <c r="W150" s="507">
        <f t="shared" si="33"/>
        <v>14.482758620689653</v>
      </c>
      <c r="X150" s="508">
        <f t="shared" si="34"/>
        <v>8.6206896551724128</v>
      </c>
      <c r="Y150" s="59">
        <f t="shared" si="35"/>
        <v>7.931034482758621</v>
      </c>
      <c r="Z150" s="506">
        <f t="shared" si="18"/>
        <v>223.79310344827587</v>
      </c>
      <c r="AA150" s="507">
        <f t="shared" si="36"/>
        <v>14.482758620689653</v>
      </c>
      <c r="AB150" s="508">
        <f t="shared" si="37"/>
        <v>8.6206896551724128</v>
      </c>
      <c r="AC150" s="59">
        <f t="shared" si="38"/>
        <v>7.931034482758621</v>
      </c>
      <c r="AD150" s="506">
        <f t="shared" si="19"/>
        <v>223.79310344827587</v>
      </c>
      <c r="AE150" s="507">
        <f t="shared" si="39"/>
        <v>14.482758620689653</v>
      </c>
      <c r="AF150" s="508">
        <f t="shared" si="40"/>
        <v>8.6206896551724128</v>
      </c>
      <c r="AG150" s="59">
        <f t="shared" si="41"/>
        <v>7.931034482758621</v>
      </c>
      <c r="AH150" s="506">
        <f t="shared" si="20"/>
        <v>223.79310344827587</v>
      </c>
      <c r="AI150" s="507">
        <f t="shared" si="42"/>
        <v>14.482758620689653</v>
      </c>
      <c r="AJ150" s="508">
        <f t="shared" si="43"/>
        <v>8.6206896551724128</v>
      </c>
      <c r="AK150" s="60">
        <f t="shared" si="44"/>
        <v>7.931034482758621</v>
      </c>
    </row>
    <row r="151" spans="1:37" ht="15.5" x14ac:dyDescent="0.35">
      <c r="A151" s="51">
        <v>1995</v>
      </c>
      <c r="B151" s="506">
        <f t="shared" si="12"/>
        <v>140.34482758620689</v>
      </c>
      <c r="C151" s="507">
        <f t="shared" si="12"/>
        <v>31.724137931034484</v>
      </c>
      <c r="D151" s="508">
        <f t="shared" si="12"/>
        <v>12.413793103448274</v>
      </c>
      <c r="E151" s="59">
        <f t="shared" si="12"/>
        <v>11.420689655172414</v>
      </c>
      <c r="F151" s="506">
        <f t="shared" si="13"/>
        <v>264.48275862068965</v>
      </c>
      <c r="G151" s="507">
        <f t="shared" si="21"/>
        <v>24.827586206896548</v>
      </c>
      <c r="H151" s="507">
        <f t="shared" si="22"/>
        <v>13.793103448275863</v>
      </c>
      <c r="I151" s="509">
        <f t="shared" si="23"/>
        <v>12.689655172413794</v>
      </c>
      <c r="J151" s="506">
        <f t="shared" si="14"/>
        <v>223.79310344827587</v>
      </c>
      <c r="K151" s="507">
        <f t="shared" si="24"/>
        <v>15.172413793103448</v>
      </c>
      <c r="L151" s="508">
        <f t="shared" si="25"/>
        <v>8.9655172413793096</v>
      </c>
      <c r="M151" s="59">
        <f t="shared" si="26"/>
        <v>8.2482758620689651</v>
      </c>
      <c r="N151" s="506">
        <f t="shared" si="15"/>
        <v>166.20689655172413</v>
      </c>
      <c r="O151" s="507">
        <f t="shared" si="27"/>
        <v>11.724137931034482</v>
      </c>
      <c r="P151" s="508">
        <f t="shared" si="28"/>
        <v>6.206896551724137</v>
      </c>
      <c r="Q151" s="59">
        <f t="shared" si="29"/>
        <v>5.7103448275862068</v>
      </c>
      <c r="R151" s="506">
        <f t="shared" si="16"/>
        <v>166.20689655172413</v>
      </c>
      <c r="S151" s="507">
        <f t="shared" si="30"/>
        <v>11.724137931034482</v>
      </c>
      <c r="T151" s="508">
        <f t="shared" si="31"/>
        <v>6.206896551724137</v>
      </c>
      <c r="U151" s="59">
        <f t="shared" si="32"/>
        <v>5.7103448275862068</v>
      </c>
      <c r="V151" s="506">
        <f t="shared" si="17"/>
        <v>166.20689655172413</v>
      </c>
      <c r="W151" s="507">
        <f t="shared" si="33"/>
        <v>11.724137931034482</v>
      </c>
      <c r="X151" s="508">
        <f t="shared" si="34"/>
        <v>6.206896551724137</v>
      </c>
      <c r="Y151" s="59">
        <f t="shared" si="35"/>
        <v>5.7103448275862068</v>
      </c>
      <c r="Z151" s="506">
        <f t="shared" si="18"/>
        <v>223.79310344827587</v>
      </c>
      <c r="AA151" s="507">
        <f t="shared" si="36"/>
        <v>14.482758620689653</v>
      </c>
      <c r="AB151" s="508">
        <f t="shared" si="37"/>
        <v>8.6206896551724128</v>
      </c>
      <c r="AC151" s="59">
        <f t="shared" si="38"/>
        <v>7.931034482758621</v>
      </c>
      <c r="AD151" s="506">
        <f t="shared" si="19"/>
        <v>223.79310344827587</v>
      </c>
      <c r="AE151" s="507">
        <f t="shared" si="39"/>
        <v>14.482758620689653</v>
      </c>
      <c r="AF151" s="508">
        <f t="shared" si="40"/>
        <v>8.6206896551724128</v>
      </c>
      <c r="AG151" s="59">
        <f t="shared" si="41"/>
        <v>7.931034482758621</v>
      </c>
      <c r="AH151" s="506">
        <f t="shared" si="20"/>
        <v>223.79310344827587</v>
      </c>
      <c r="AI151" s="507">
        <f t="shared" si="42"/>
        <v>14.482758620689653</v>
      </c>
      <c r="AJ151" s="508">
        <f t="shared" si="43"/>
        <v>8.6206896551724128</v>
      </c>
      <c r="AK151" s="60">
        <f t="shared" si="44"/>
        <v>7.931034482758621</v>
      </c>
    </row>
    <row r="152" spans="1:37" ht="15.5" x14ac:dyDescent="0.35">
      <c r="A152" s="51">
        <v>1996</v>
      </c>
      <c r="B152" s="506">
        <f t="shared" si="12"/>
        <v>140.34482758620689</v>
      </c>
      <c r="C152" s="507">
        <f t="shared" si="12"/>
        <v>31.724137931034484</v>
      </c>
      <c r="D152" s="508">
        <f t="shared" si="12"/>
        <v>12.413793103448274</v>
      </c>
      <c r="E152" s="59">
        <f t="shared" si="12"/>
        <v>11.420689655172414</v>
      </c>
      <c r="F152" s="506">
        <f t="shared" si="13"/>
        <v>264.48275862068965</v>
      </c>
      <c r="G152" s="507">
        <f t="shared" si="21"/>
        <v>24.827586206896548</v>
      </c>
      <c r="H152" s="507">
        <f t="shared" si="22"/>
        <v>13.793103448275863</v>
      </c>
      <c r="I152" s="509">
        <f t="shared" si="23"/>
        <v>12.689655172413794</v>
      </c>
      <c r="J152" s="506">
        <f t="shared" si="14"/>
        <v>166.20689655172413</v>
      </c>
      <c r="K152" s="507">
        <f t="shared" si="24"/>
        <v>11.724137931034482</v>
      </c>
      <c r="L152" s="508">
        <f t="shared" si="25"/>
        <v>6.206896551724137</v>
      </c>
      <c r="M152" s="59">
        <f t="shared" si="26"/>
        <v>5.7103448275862068</v>
      </c>
      <c r="N152" s="506">
        <f t="shared" si="15"/>
        <v>166.20689655172413</v>
      </c>
      <c r="O152" s="507">
        <f t="shared" si="27"/>
        <v>11.724137931034482</v>
      </c>
      <c r="P152" s="508">
        <f t="shared" si="28"/>
        <v>6.206896551724137</v>
      </c>
      <c r="Q152" s="59">
        <f t="shared" si="29"/>
        <v>5.7103448275862068</v>
      </c>
      <c r="R152" s="506">
        <f t="shared" si="16"/>
        <v>166.20689655172413</v>
      </c>
      <c r="S152" s="507">
        <f t="shared" si="30"/>
        <v>11.724137931034482</v>
      </c>
      <c r="T152" s="508">
        <f>IF($A152&gt;=2014,E$51,IF($A152&gt;=2004,E$50,IF($A152&gt;=2000,E$49,IF($A152&gt;=1995,E$48,IF($A152&gt;=1987,E$47,IF($A152&gt;=1984,E$46,IF($A152&gt;=1979,E$45,IF($A152&gt;=1971,E$44,E$43))))))))/$M$15</f>
        <v>6.206896551724137</v>
      </c>
      <c r="U152" s="59">
        <f t="shared" si="32"/>
        <v>5.7103448275862068</v>
      </c>
      <c r="V152" s="506">
        <f t="shared" si="17"/>
        <v>166.20689655172413</v>
      </c>
      <c r="W152" s="507">
        <f t="shared" si="33"/>
        <v>11.724137931034482</v>
      </c>
      <c r="X152" s="508">
        <f t="shared" si="34"/>
        <v>6.206896551724137</v>
      </c>
      <c r="Y152" s="59">
        <f t="shared" si="35"/>
        <v>5.7103448275862068</v>
      </c>
      <c r="Z152" s="506">
        <f t="shared" si="18"/>
        <v>223.79310344827587</v>
      </c>
      <c r="AA152" s="507">
        <f t="shared" si="36"/>
        <v>14.482758620689653</v>
      </c>
      <c r="AB152" s="508">
        <f t="shared" si="37"/>
        <v>8.6206896551724128</v>
      </c>
      <c r="AC152" s="59">
        <f t="shared" si="38"/>
        <v>7.931034482758621</v>
      </c>
      <c r="AD152" s="506">
        <f t="shared" si="19"/>
        <v>223.79310344827587</v>
      </c>
      <c r="AE152" s="507">
        <f t="shared" si="39"/>
        <v>14.482758620689653</v>
      </c>
      <c r="AF152" s="508">
        <f t="shared" si="40"/>
        <v>8.6206896551724128</v>
      </c>
      <c r="AG152" s="59">
        <f t="shared" si="41"/>
        <v>7.931034482758621</v>
      </c>
      <c r="AH152" s="506">
        <f t="shared" si="20"/>
        <v>223.79310344827587</v>
      </c>
      <c r="AI152" s="507">
        <f t="shared" si="42"/>
        <v>14.482758620689653</v>
      </c>
      <c r="AJ152" s="508">
        <f t="shared" si="43"/>
        <v>8.6206896551724128</v>
      </c>
      <c r="AK152" s="60">
        <f t="shared" si="44"/>
        <v>7.931034482758621</v>
      </c>
    </row>
    <row r="153" spans="1:37" ht="15.5" x14ac:dyDescent="0.35">
      <c r="A153" s="51">
        <v>1997</v>
      </c>
      <c r="B153" s="506">
        <f t="shared" si="12"/>
        <v>140.34482758620689</v>
      </c>
      <c r="C153" s="507">
        <f t="shared" si="12"/>
        <v>31.724137931034484</v>
      </c>
      <c r="D153" s="508">
        <f t="shared" si="12"/>
        <v>12.413793103448274</v>
      </c>
      <c r="E153" s="59">
        <f t="shared" si="12"/>
        <v>11.420689655172414</v>
      </c>
      <c r="F153" s="506">
        <f t="shared" si="13"/>
        <v>178.10344827586206</v>
      </c>
      <c r="G153" s="507">
        <f t="shared" si="21"/>
        <v>17.068965517241377</v>
      </c>
      <c r="H153" s="507">
        <f t="shared" si="22"/>
        <v>11.379310344827585</v>
      </c>
      <c r="I153" s="509">
        <f t="shared" si="23"/>
        <v>10.468965517241379</v>
      </c>
      <c r="J153" s="506">
        <f t="shared" si="14"/>
        <v>166.20689655172413</v>
      </c>
      <c r="K153" s="507">
        <f t="shared" si="24"/>
        <v>11.724137931034482</v>
      </c>
      <c r="L153" s="508">
        <f t="shared" si="25"/>
        <v>6.206896551724137</v>
      </c>
      <c r="M153" s="59">
        <f t="shared" si="26"/>
        <v>5.7103448275862068</v>
      </c>
      <c r="N153" s="506">
        <f t="shared" si="15"/>
        <v>166.20689655172413</v>
      </c>
      <c r="O153" s="507">
        <f t="shared" si="27"/>
        <v>11.724137931034482</v>
      </c>
      <c r="P153" s="508">
        <f t="shared" si="28"/>
        <v>6.206896551724137</v>
      </c>
      <c r="Q153" s="59">
        <f t="shared" si="29"/>
        <v>5.7103448275862068</v>
      </c>
      <c r="R153" s="506">
        <f t="shared" si="16"/>
        <v>166.20689655172413</v>
      </c>
      <c r="S153" s="507">
        <f t="shared" si="30"/>
        <v>11.724137931034482</v>
      </c>
      <c r="T153" s="508">
        <f t="shared" si="31"/>
        <v>6.206896551724137</v>
      </c>
      <c r="U153" s="59">
        <f t="shared" si="32"/>
        <v>5.7103448275862068</v>
      </c>
      <c r="V153" s="506">
        <f t="shared" si="17"/>
        <v>166.20689655172413</v>
      </c>
      <c r="W153" s="507">
        <f t="shared" si="33"/>
        <v>11.724137931034482</v>
      </c>
      <c r="X153" s="508">
        <f t="shared" si="34"/>
        <v>6.206896551724137</v>
      </c>
      <c r="Y153" s="59">
        <f t="shared" si="35"/>
        <v>5.7103448275862068</v>
      </c>
      <c r="Z153" s="506">
        <f t="shared" si="18"/>
        <v>223.79310344827587</v>
      </c>
      <c r="AA153" s="507">
        <f t="shared" si="36"/>
        <v>14.482758620689653</v>
      </c>
      <c r="AB153" s="508">
        <f t="shared" si="37"/>
        <v>8.6206896551724128</v>
      </c>
      <c r="AC153" s="59">
        <f t="shared" si="38"/>
        <v>7.931034482758621</v>
      </c>
      <c r="AD153" s="506">
        <f t="shared" si="19"/>
        <v>223.79310344827587</v>
      </c>
      <c r="AE153" s="507">
        <f t="shared" si="39"/>
        <v>14.482758620689653</v>
      </c>
      <c r="AF153" s="508">
        <f t="shared" si="40"/>
        <v>8.6206896551724128</v>
      </c>
      <c r="AG153" s="59">
        <f t="shared" si="41"/>
        <v>7.931034482758621</v>
      </c>
      <c r="AH153" s="506">
        <f t="shared" si="20"/>
        <v>223.79310344827587</v>
      </c>
      <c r="AI153" s="507">
        <f t="shared" si="42"/>
        <v>14.482758620689653</v>
      </c>
      <c r="AJ153" s="508">
        <f t="shared" si="43"/>
        <v>8.6206896551724128</v>
      </c>
      <c r="AK153" s="60">
        <f t="shared" si="44"/>
        <v>7.931034482758621</v>
      </c>
    </row>
    <row r="154" spans="1:37" ht="15.5" x14ac:dyDescent="0.35">
      <c r="A154" s="51">
        <v>1998</v>
      </c>
      <c r="B154" s="506">
        <f t="shared" si="12"/>
        <v>140.34482758620689</v>
      </c>
      <c r="C154" s="507">
        <f t="shared" si="12"/>
        <v>31.03448275862069</v>
      </c>
      <c r="D154" s="508">
        <f t="shared" si="12"/>
        <v>12.413793103448274</v>
      </c>
      <c r="E154" s="59">
        <f t="shared" si="12"/>
        <v>11.420689655172414</v>
      </c>
      <c r="F154" s="506">
        <f t="shared" si="13"/>
        <v>178.10344827586206</v>
      </c>
      <c r="G154" s="507">
        <f t="shared" si="21"/>
        <v>17.068965517241377</v>
      </c>
      <c r="H154" s="507">
        <f t="shared" si="22"/>
        <v>11.379310344827585</v>
      </c>
      <c r="I154" s="509">
        <f t="shared" si="23"/>
        <v>10.468965517241379</v>
      </c>
      <c r="J154" s="506">
        <f t="shared" si="14"/>
        <v>166.20689655172413</v>
      </c>
      <c r="K154" s="507">
        <f t="shared" si="24"/>
        <v>11.724137931034482</v>
      </c>
      <c r="L154" s="508">
        <f t="shared" si="25"/>
        <v>6.206896551724137</v>
      </c>
      <c r="M154" s="59">
        <f t="shared" si="26"/>
        <v>5.7103448275862068</v>
      </c>
      <c r="N154" s="506">
        <f t="shared" si="15"/>
        <v>166.20689655172413</v>
      </c>
      <c r="O154" s="507">
        <f t="shared" si="27"/>
        <v>11.724137931034482</v>
      </c>
      <c r="P154" s="508">
        <f t="shared" si="28"/>
        <v>6.206896551724137</v>
      </c>
      <c r="Q154" s="59">
        <f t="shared" si="29"/>
        <v>5.7103448275862068</v>
      </c>
      <c r="R154" s="506">
        <f t="shared" si="16"/>
        <v>166.20689655172413</v>
      </c>
      <c r="S154" s="507">
        <f t="shared" si="30"/>
        <v>11.724137931034482</v>
      </c>
      <c r="T154" s="508">
        <f t="shared" si="31"/>
        <v>6.206896551724137</v>
      </c>
      <c r="U154" s="59">
        <f t="shared" si="32"/>
        <v>5.7103448275862068</v>
      </c>
      <c r="V154" s="506">
        <f t="shared" si="17"/>
        <v>166.20689655172413</v>
      </c>
      <c r="W154" s="507">
        <f t="shared" si="33"/>
        <v>11.724137931034482</v>
      </c>
      <c r="X154" s="508">
        <f t="shared" si="34"/>
        <v>6.206896551724137</v>
      </c>
      <c r="Y154" s="59">
        <f t="shared" si="35"/>
        <v>5.7103448275862068</v>
      </c>
      <c r="Z154" s="506">
        <f t="shared" si="18"/>
        <v>223.79310344827587</v>
      </c>
      <c r="AA154" s="507">
        <f t="shared" si="36"/>
        <v>14.482758620689653</v>
      </c>
      <c r="AB154" s="508">
        <f t="shared" si="37"/>
        <v>8.6206896551724128</v>
      </c>
      <c r="AC154" s="59">
        <f t="shared" si="38"/>
        <v>7.931034482758621</v>
      </c>
      <c r="AD154" s="506">
        <f t="shared" si="19"/>
        <v>223.79310344827587</v>
      </c>
      <c r="AE154" s="507">
        <f t="shared" si="39"/>
        <v>14.482758620689653</v>
      </c>
      <c r="AF154" s="508">
        <f t="shared" si="40"/>
        <v>8.6206896551724128</v>
      </c>
      <c r="AG154" s="59">
        <f t="shared" si="41"/>
        <v>7.931034482758621</v>
      </c>
      <c r="AH154" s="506">
        <f t="shared" si="20"/>
        <v>223.79310344827587</v>
      </c>
      <c r="AI154" s="507">
        <f t="shared" si="42"/>
        <v>14.482758620689653</v>
      </c>
      <c r="AJ154" s="508">
        <f t="shared" si="43"/>
        <v>8.6206896551724128</v>
      </c>
      <c r="AK154" s="60">
        <f t="shared" si="44"/>
        <v>7.931034482758621</v>
      </c>
    </row>
    <row r="155" spans="1:37" ht="15.5" x14ac:dyDescent="0.35">
      <c r="A155" s="51">
        <v>1999</v>
      </c>
      <c r="B155" s="506">
        <f t="shared" si="12"/>
        <v>140.34482758620689</v>
      </c>
      <c r="C155" s="507">
        <f t="shared" si="12"/>
        <v>31.03448275862069</v>
      </c>
      <c r="D155" s="508">
        <f t="shared" si="12"/>
        <v>12.413793103448274</v>
      </c>
      <c r="E155" s="59">
        <f t="shared" si="12"/>
        <v>11.420689655172414</v>
      </c>
      <c r="F155" s="506">
        <f t="shared" si="13"/>
        <v>178.10344827586206</v>
      </c>
      <c r="G155" s="507">
        <f t="shared" si="21"/>
        <v>17.068965517241377</v>
      </c>
      <c r="H155" s="507">
        <f t="shared" si="22"/>
        <v>11.379310344827585</v>
      </c>
      <c r="I155" s="509">
        <f t="shared" si="23"/>
        <v>10.468965517241379</v>
      </c>
      <c r="J155" s="506">
        <f t="shared" si="14"/>
        <v>166.20689655172413</v>
      </c>
      <c r="K155" s="507">
        <f t="shared" si="24"/>
        <v>11.724137931034482</v>
      </c>
      <c r="L155" s="508">
        <f t="shared" si="25"/>
        <v>6.206896551724137</v>
      </c>
      <c r="M155" s="59">
        <f t="shared" si="26"/>
        <v>5.7103448275862068</v>
      </c>
      <c r="N155" s="506">
        <f t="shared" si="15"/>
        <v>166.20689655172413</v>
      </c>
      <c r="O155" s="507">
        <f t="shared" si="27"/>
        <v>11.724137931034482</v>
      </c>
      <c r="P155" s="508">
        <f t="shared" si="28"/>
        <v>6.206896551724137</v>
      </c>
      <c r="Q155" s="59">
        <f t="shared" si="29"/>
        <v>5.7103448275862068</v>
      </c>
      <c r="R155" s="506">
        <f t="shared" si="16"/>
        <v>166.20689655172413</v>
      </c>
      <c r="S155" s="507">
        <f t="shared" si="30"/>
        <v>11.724137931034482</v>
      </c>
      <c r="T155" s="508">
        <f t="shared" si="31"/>
        <v>6.206896551724137</v>
      </c>
      <c r="U155" s="59">
        <f t="shared" si="32"/>
        <v>5.7103448275862068</v>
      </c>
      <c r="V155" s="506">
        <f t="shared" si="17"/>
        <v>166.20689655172413</v>
      </c>
      <c r="W155" s="507">
        <f t="shared" si="33"/>
        <v>11.724137931034482</v>
      </c>
      <c r="X155" s="508">
        <f t="shared" si="34"/>
        <v>6.206896551724137</v>
      </c>
      <c r="Y155" s="59">
        <f t="shared" si="35"/>
        <v>5.7103448275862068</v>
      </c>
      <c r="Z155" s="506">
        <f t="shared" si="18"/>
        <v>166.20689655172413</v>
      </c>
      <c r="AA155" s="507">
        <f t="shared" si="36"/>
        <v>11.724137931034482</v>
      </c>
      <c r="AB155" s="508">
        <f t="shared" si="37"/>
        <v>6.206896551724137</v>
      </c>
      <c r="AC155" s="59">
        <f t="shared" si="38"/>
        <v>5.7103448275862068</v>
      </c>
      <c r="AD155" s="506">
        <f t="shared" si="19"/>
        <v>166.20689655172413</v>
      </c>
      <c r="AE155" s="507">
        <f t="shared" si="39"/>
        <v>11.724137931034482</v>
      </c>
      <c r="AF155" s="508">
        <f t="shared" si="40"/>
        <v>6.206896551724137</v>
      </c>
      <c r="AG155" s="59">
        <f t="shared" si="41"/>
        <v>5.7103448275862068</v>
      </c>
      <c r="AH155" s="506">
        <f t="shared" si="20"/>
        <v>166.20689655172413</v>
      </c>
      <c r="AI155" s="507">
        <f t="shared" si="42"/>
        <v>11.724137931034482</v>
      </c>
      <c r="AJ155" s="508">
        <f t="shared" si="43"/>
        <v>6.206896551724137</v>
      </c>
      <c r="AK155" s="60">
        <f t="shared" si="44"/>
        <v>5.7103448275862068</v>
      </c>
    </row>
    <row r="156" spans="1:37" ht="15.5" x14ac:dyDescent="0.35">
      <c r="A156" s="51">
        <v>2000</v>
      </c>
      <c r="B156" s="506">
        <f t="shared" si="12"/>
        <v>126.03448275862068</v>
      </c>
      <c r="C156" s="507">
        <f t="shared" si="12"/>
        <v>31.03448275862069</v>
      </c>
      <c r="D156" s="508">
        <f t="shared" si="12"/>
        <v>12.413793103448274</v>
      </c>
      <c r="E156" s="59">
        <f t="shared" si="12"/>
        <v>11.420689655172414</v>
      </c>
      <c r="F156" s="506">
        <f t="shared" si="13"/>
        <v>126.03448275862068</v>
      </c>
      <c r="G156" s="507">
        <f t="shared" si="21"/>
        <v>17.068965517241377</v>
      </c>
      <c r="H156" s="507">
        <f t="shared" si="22"/>
        <v>11.379310344827585</v>
      </c>
      <c r="I156" s="509">
        <f t="shared" si="23"/>
        <v>10.468965517241379</v>
      </c>
      <c r="J156" s="506">
        <f t="shared" si="14"/>
        <v>126.03448275862068</v>
      </c>
      <c r="K156" s="507">
        <f t="shared" si="24"/>
        <v>11.724137931034482</v>
      </c>
      <c r="L156" s="508">
        <f t="shared" si="25"/>
        <v>6.206896551724137</v>
      </c>
      <c r="M156" s="59">
        <f t="shared" si="26"/>
        <v>5.7103448275862068</v>
      </c>
      <c r="N156" s="506">
        <f t="shared" si="15"/>
        <v>126.03448275862068</v>
      </c>
      <c r="O156" s="507">
        <f t="shared" si="27"/>
        <v>11.724137931034482</v>
      </c>
      <c r="P156" s="508">
        <f t="shared" si="28"/>
        <v>6.206896551724137</v>
      </c>
      <c r="Q156" s="59">
        <f t="shared" si="29"/>
        <v>5.7103448275862068</v>
      </c>
      <c r="R156" s="506">
        <f t="shared" si="16"/>
        <v>126.03448275862068</v>
      </c>
      <c r="S156" s="507">
        <f t="shared" si="30"/>
        <v>11.724137931034482</v>
      </c>
      <c r="T156" s="508">
        <f t="shared" si="31"/>
        <v>6.206896551724137</v>
      </c>
      <c r="U156" s="59">
        <f t="shared" si="32"/>
        <v>5.7103448275862068</v>
      </c>
      <c r="V156" s="506">
        <f t="shared" si="17"/>
        <v>126.03448275862068</v>
      </c>
      <c r="W156" s="507">
        <f t="shared" si="33"/>
        <v>11.724137931034482</v>
      </c>
      <c r="X156" s="508">
        <f t="shared" si="34"/>
        <v>6.206896551724137</v>
      </c>
      <c r="Y156" s="59">
        <f t="shared" si="35"/>
        <v>5.7103448275862068</v>
      </c>
      <c r="Z156" s="506">
        <f t="shared" si="18"/>
        <v>126.03448275862068</v>
      </c>
      <c r="AA156" s="507">
        <f t="shared" si="36"/>
        <v>11.724137931034482</v>
      </c>
      <c r="AB156" s="508">
        <f t="shared" si="37"/>
        <v>6.206896551724137</v>
      </c>
      <c r="AC156" s="59">
        <f t="shared" si="38"/>
        <v>5.7103448275862068</v>
      </c>
      <c r="AD156" s="506">
        <f t="shared" si="19"/>
        <v>126.03448275862068</v>
      </c>
      <c r="AE156" s="507">
        <f t="shared" si="39"/>
        <v>11.724137931034482</v>
      </c>
      <c r="AF156" s="508">
        <f t="shared" si="40"/>
        <v>6.206896551724137</v>
      </c>
      <c r="AG156" s="59">
        <f t="shared" si="41"/>
        <v>5.7103448275862068</v>
      </c>
      <c r="AH156" s="506">
        <f t="shared" si="20"/>
        <v>126.03448275862068</v>
      </c>
      <c r="AI156" s="507">
        <f t="shared" si="42"/>
        <v>11.724137931034482</v>
      </c>
      <c r="AJ156" s="508">
        <f t="shared" si="43"/>
        <v>6.206896551724137</v>
      </c>
      <c r="AK156" s="60">
        <f t="shared" si="44"/>
        <v>5.7103448275862068</v>
      </c>
    </row>
    <row r="157" spans="1:37" ht="15.5" x14ac:dyDescent="0.35">
      <c r="A157" s="51">
        <v>2001</v>
      </c>
      <c r="B157" s="506">
        <f t="shared" si="12"/>
        <v>126.03448275862068</v>
      </c>
      <c r="C157" s="507">
        <f t="shared" si="12"/>
        <v>31.03448275862069</v>
      </c>
      <c r="D157" s="508">
        <f t="shared" si="12"/>
        <v>12.413793103448274</v>
      </c>
      <c r="E157" s="59">
        <f t="shared" si="12"/>
        <v>11.420689655172414</v>
      </c>
      <c r="F157" s="506">
        <f t="shared" si="13"/>
        <v>126.03448275862068</v>
      </c>
      <c r="G157" s="507">
        <f t="shared" si="21"/>
        <v>17.068965517241377</v>
      </c>
      <c r="H157" s="507">
        <f t="shared" si="22"/>
        <v>11.379310344827585</v>
      </c>
      <c r="I157" s="509">
        <f t="shared" si="23"/>
        <v>10.468965517241379</v>
      </c>
      <c r="J157" s="506">
        <f t="shared" si="14"/>
        <v>126.03448275862068</v>
      </c>
      <c r="K157" s="507">
        <f t="shared" si="24"/>
        <v>11.724137931034482</v>
      </c>
      <c r="L157" s="508">
        <f t="shared" si="25"/>
        <v>6.206896551724137</v>
      </c>
      <c r="M157" s="59">
        <f t="shared" si="26"/>
        <v>5.7103448275862068</v>
      </c>
      <c r="N157" s="506">
        <f t="shared" si="15"/>
        <v>126.03448275862068</v>
      </c>
      <c r="O157" s="507">
        <f t="shared" si="27"/>
        <v>11.724137931034482</v>
      </c>
      <c r="P157" s="508">
        <f t="shared" si="28"/>
        <v>6.206896551724137</v>
      </c>
      <c r="Q157" s="59">
        <f t="shared" si="29"/>
        <v>5.7103448275862068</v>
      </c>
      <c r="R157" s="506">
        <f t="shared" si="16"/>
        <v>126.03448275862068</v>
      </c>
      <c r="S157" s="507">
        <f t="shared" si="30"/>
        <v>11.724137931034482</v>
      </c>
      <c r="T157" s="508">
        <f t="shared" si="31"/>
        <v>6.206896551724137</v>
      </c>
      <c r="U157" s="59">
        <f t="shared" si="32"/>
        <v>5.7103448275862068</v>
      </c>
      <c r="V157" s="506">
        <f t="shared" si="17"/>
        <v>126.03448275862068</v>
      </c>
      <c r="W157" s="507">
        <f t="shared" si="33"/>
        <v>11.724137931034482</v>
      </c>
      <c r="X157" s="508">
        <f t="shared" si="34"/>
        <v>6.206896551724137</v>
      </c>
      <c r="Y157" s="59">
        <f t="shared" si="35"/>
        <v>5.7103448275862068</v>
      </c>
      <c r="Z157" s="506">
        <f t="shared" si="18"/>
        <v>126.03448275862068</v>
      </c>
      <c r="AA157" s="507">
        <f t="shared" si="36"/>
        <v>11.724137931034482</v>
      </c>
      <c r="AB157" s="508">
        <f t="shared" si="37"/>
        <v>6.206896551724137</v>
      </c>
      <c r="AC157" s="59">
        <f t="shared" si="38"/>
        <v>5.7103448275862068</v>
      </c>
      <c r="AD157" s="506">
        <f t="shared" si="19"/>
        <v>126.03448275862068</v>
      </c>
      <c r="AE157" s="507">
        <f t="shared" si="39"/>
        <v>11.724137931034482</v>
      </c>
      <c r="AF157" s="508">
        <f t="shared" si="40"/>
        <v>6.206896551724137</v>
      </c>
      <c r="AG157" s="59">
        <f t="shared" si="41"/>
        <v>5.7103448275862068</v>
      </c>
      <c r="AH157" s="506">
        <f t="shared" si="20"/>
        <v>126.03448275862068</v>
      </c>
      <c r="AI157" s="507">
        <f t="shared" si="42"/>
        <v>11.724137931034482</v>
      </c>
      <c r="AJ157" s="508">
        <f t="shared" si="43"/>
        <v>6.206896551724137</v>
      </c>
      <c r="AK157" s="60">
        <f t="shared" si="44"/>
        <v>5.7103448275862068</v>
      </c>
    </row>
    <row r="158" spans="1:37" ht="15.5" x14ac:dyDescent="0.35">
      <c r="A158" s="51">
        <v>2002</v>
      </c>
      <c r="B158" s="506">
        <f t="shared" si="12"/>
        <v>126.03448275862068</v>
      </c>
      <c r="C158" s="507">
        <f t="shared" si="12"/>
        <v>31.03448275862069</v>
      </c>
      <c r="D158" s="508">
        <f t="shared" si="12"/>
        <v>12.413793103448274</v>
      </c>
      <c r="E158" s="59">
        <f t="shared" si="12"/>
        <v>11.420689655172414</v>
      </c>
      <c r="F158" s="506">
        <f t="shared" si="13"/>
        <v>126.03448275862068</v>
      </c>
      <c r="G158" s="507">
        <f t="shared" si="21"/>
        <v>17.068965517241377</v>
      </c>
      <c r="H158" s="507">
        <f t="shared" si="22"/>
        <v>11.379310344827585</v>
      </c>
      <c r="I158" s="509">
        <f t="shared" si="23"/>
        <v>10.468965517241379</v>
      </c>
      <c r="J158" s="506">
        <f t="shared" si="14"/>
        <v>126.03448275862068</v>
      </c>
      <c r="K158" s="507">
        <f t="shared" si="24"/>
        <v>11.724137931034482</v>
      </c>
      <c r="L158" s="508">
        <f t="shared" si="25"/>
        <v>6.206896551724137</v>
      </c>
      <c r="M158" s="59">
        <f t="shared" si="26"/>
        <v>5.7103448275862068</v>
      </c>
      <c r="N158" s="506">
        <f t="shared" si="15"/>
        <v>126.03448275862068</v>
      </c>
      <c r="O158" s="507">
        <f t="shared" si="27"/>
        <v>11.724137931034482</v>
      </c>
      <c r="P158" s="508">
        <f t="shared" si="28"/>
        <v>6.206896551724137</v>
      </c>
      <c r="Q158" s="59">
        <f t="shared" si="29"/>
        <v>5.7103448275862068</v>
      </c>
      <c r="R158" s="506">
        <f t="shared" si="16"/>
        <v>126.03448275862068</v>
      </c>
      <c r="S158" s="507">
        <f t="shared" si="30"/>
        <v>11.724137931034482</v>
      </c>
      <c r="T158" s="508">
        <f t="shared" si="31"/>
        <v>6.206896551724137</v>
      </c>
      <c r="U158" s="59">
        <f t="shared" si="32"/>
        <v>5.7103448275862068</v>
      </c>
      <c r="V158" s="506">
        <f t="shared" si="17"/>
        <v>126.03448275862068</v>
      </c>
      <c r="W158" s="507">
        <f t="shared" si="33"/>
        <v>11.724137931034482</v>
      </c>
      <c r="X158" s="508">
        <f t="shared" si="34"/>
        <v>6.206896551724137</v>
      </c>
      <c r="Y158" s="59">
        <f t="shared" si="35"/>
        <v>5.7103448275862068</v>
      </c>
      <c r="Z158" s="506">
        <f t="shared" si="18"/>
        <v>126.03448275862068</v>
      </c>
      <c r="AA158" s="507">
        <f t="shared" si="36"/>
        <v>11.724137931034482</v>
      </c>
      <c r="AB158" s="508">
        <f t="shared" si="37"/>
        <v>6.206896551724137</v>
      </c>
      <c r="AC158" s="59">
        <f t="shared" si="38"/>
        <v>5.7103448275862068</v>
      </c>
      <c r="AD158" s="506">
        <f t="shared" si="19"/>
        <v>126.03448275862068</v>
      </c>
      <c r="AE158" s="507">
        <f t="shared" si="39"/>
        <v>11.724137931034482</v>
      </c>
      <c r="AF158" s="508">
        <f t="shared" si="40"/>
        <v>6.206896551724137</v>
      </c>
      <c r="AG158" s="59">
        <f t="shared" si="41"/>
        <v>5.7103448275862068</v>
      </c>
      <c r="AH158" s="506">
        <f t="shared" si="20"/>
        <v>126.03448275862068</v>
      </c>
      <c r="AI158" s="507">
        <f t="shared" si="42"/>
        <v>11.724137931034482</v>
      </c>
      <c r="AJ158" s="508">
        <f t="shared" si="43"/>
        <v>6.206896551724137</v>
      </c>
      <c r="AK158" s="60">
        <f t="shared" si="44"/>
        <v>5.7103448275862068</v>
      </c>
    </row>
    <row r="159" spans="1:37" ht="15.5" x14ac:dyDescent="0.35">
      <c r="A159" s="51">
        <v>2003</v>
      </c>
      <c r="B159" s="506">
        <f t="shared" si="12"/>
        <v>126.03448275862068</v>
      </c>
      <c r="C159" s="507">
        <f t="shared" si="12"/>
        <v>31.03448275862069</v>
      </c>
      <c r="D159" s="508">
        <f t="shared" si="12"/>
        <v>12.413793103448274</v>
      </c>
      <c r="E159" s="59">
        <f t="shared" si="12"/>
        <v>11.420689655172414</v>
      </c>
      <c r="F159" s="506">
        <f t="shared" si="13"/>
        <v>126.03448275862068</v>
      </c>
      <c r="G159" s="507">
        <f t="shared" si="21"/>
        <v>17.068965517241377</v>
      </c>
      <c r="H159" s="507">
        <f t="shared" si="22"/>
        <v>11.379310344827585</v>
      </c>
      <c r="I159" s="509">
        <f t="shared" si="23"/>
        <v>10.468965517241379</v>
      </c>
      <c r="J159" s="506">
        <f t="shared" si="14"/>
        <v>126.03448275862068</v>
      </c>
      <c r="K159" s="507">
        <f t="shared" si="24"/>
        <v>11.724137931034482</v>
      </c>
      <c r="L159" s="508">
        <f t="shared" si="25"/>
        <v>6.206896551724137</v>
      </c>
      <c r="M159" s="59">
        <f t="shared" si="26"/>
        <v>5.7103448275862068</v>
      </c>
      <c r="N159" s="506">
        <f t="shared" si="15"/>
        <v>126.03448275862068</v>
      </c>
      <c r="O159" s="507">
        <f t="shared" si="27"/>
        <v>11.724137931034482</v>
      </c>
      <c r="P159" s="508">
        <f t="shared" si="28"/>
        <v>6.206896551724137</v>
      </c>
      <c r="Q159" s="59">
        <f t="shared" si="29"/>
        <v>5.7103448275862068</v>
      </c>
      <c r="R159" s="506">
        <f t="shared" si="16"/>
        <v>126.03448275862068</v>
      </c>
      <c r="S159" s="507">
        <f t="shared" si="30"/>
        <v>11.724137931034482</v>
      </c>
      <c r="T159" s="508">
        <f t="shared" si="31"/>
        <v>6.206896551724137</v>
      </c>
      <c r="U159" s="59">
        <f t="shared" si="32"/>
        <v>5.7103448275862068</v>
      </c>
      <c r="V159" s="506">
        <f t="shared" si="17"/>
        <v>126.03448275862068</v>
      </c>
      <c r="W159" s="507">
        <f t="shared" si="33"/>
        <v>11.724137931034482</v>
      </c>
      <c r="X159" s="508">
        <f t="shared" si="34"/>
        <v>6.206896551724137</v>
      </c>
      <c r="Y159" s="59">
        <f t="shared" si="35"/>
        <v>5.7103448275862068</v>
      </c>
      <c r="Z159" s="506">
        <f t="shared" si="18"/>
        <v>126.03448275862068</v>
      </c>
      <c r="AA159" s="507">
        <f t="shared" si="36"/>
        <v>11.724137931034482</v>
      </c>
      <c r="AB159" s="508">
        <f t="shared" si="37"/>
        <v>6.206896551724137</v>
      </c>
      <c r="AC159" s="59">
        <f t="shared" si="38"/>
        <v>5.7103448275862068</v>
      </c>
      <c r="AD159" s="506">
        <f t="shared" si="19"/>
        <v>126.03448275862068</v>
      </c>
      <c r="AE159" s="507">
        <f t="shared" si="39"/>
        <v>11.724137931034482</v>
      </c>
      <c r="AF159" s="508">
        <f t="shared" si="40"/>
        <v>6.206896551724137</v>
      </c>
      <c r="AG159" s="59">
        <f t="shared" si="41"/>
        <v>5.7103448275862068</v>
      </c>
      <c r="AH159" s="506">
        <f t="shared" si="20"/>
        <v>126.03448275862068</v>
      </c>
      <c r="AI159" s="507">
        <f t="shared" si="42"/>
        <v>11.724137931034482</v>
      </c>
      <c r="AJ159" s="508">
        <f t="shared" si="43"/>
        <v>6.206896551724137</v>
      </c>
      <c r="AK159" s="60">
        <f t="shared" si="44"/>
        <v>5.7103448275862068</v>
      </c>
    </row>
    <row r="160" spans="1:37" ht="15.5" x14ac:dyDescent="0.35">
      <c r="A160" s="51">
        <v>2004</v>
      </c>
      <c r="B160" s="506">
        <f t="shared" si="12"/>
        <v>126.03448275862068</v>
      </c>
      <c r="C160" s="507">
        <f t="shared" si="12"/>
        <v>31.03448275862069</v>
      </c>
      <c r="D160" s="508">
        <f t="shared" si="12"/>
        <v>12.413793103448274</v>
      </c>
      <c r="E160" s="59">
        <f t="shared" si="12"/>
        <v>11.420689655172414</v>
      </c>
      <c r="F160" s="506">
        <f t="shared" si="13"/>
        <v>126.03448275862068</v>
      </c>
      <c r="G160" s="507">
        <f t="shared" si="21"/>
        <v>17.068965517241377</v>
      </c>
      <c r="H160" s="507">
        <f t="shared" si="22"/>
        <v>11.379310344827585</v>
      </c>
      <c r="I160" s="509">
        <f t="shared" si="23"/>
        <v>10.468965517241379</v>
      </c>
      <c r="J160" s="506">
        <f t="shared" si="14"/>
        <v>87.931034482758605</v>
      </c>
      <c r="K160" s="507">
        <f t="shared" si="24"/>
        <v>11.724137931034482</v>
      </c>
      <c r="L160" s="508">
        <f t="shared" si="25"/>
        <v>3.7931034482758621</v>
      </c>
      <c r="M160" s="59">
        <f t="shared" si="26"/>
        <v>3.489655172413793</v>
      </c>
      <c r="N160" s="506">
        <f t="shared" si="15"/>
        <v>87.931034482758605</v>
      </c>
      <c r="O160" s="507">
        <f t="shared" si="27"/>
        <v>11.724137931034482</v>
      </c>
      <c r="P160" s="508">
        <f t="shared" si="28"/>
        <v>2.5862068965517238</v>
      </c>
      <c r="Q160" s="59">
        <f t="shared" si="29"/>
        <v>2.3793103448275863</v>
      </c>
      <c r="R160" s="506">
        <f t="shared" si="16"/>
        <v>87.931034482758605</v>
      </c>
      <c r="S160" s="507">
        <f t="shared" si="30"/>
        <v>11.724137931034482</v>
      </c>
      <c r="T160" s="508">
        <f t="shared" si="31"/>
        <v>2.5862068965517238</v>
      </c>
      <c r="U160" s="59">
        <f t="shared" si="32"/>
        <v>2.3793103448275863</v>
      </c>
      <c r="V160" s="506">
        <f t="shared" si="17"/>
        <v>126.03448275862068</v>
      </c>
      <c r="W160" s="507">
        <f t="shared" si="33"/>
        <v>11.724137931034482</v>
      </c>
      <c r="X160" s="508">
        <f t="shared" si="34"/>
        <v>6.206896551724137</v>
      </c>
      <c r="Y160" s="59">
        <f t="shared" si="35"/>
        <v>5.7103448275862068</v>
      </c>
      <c r="Z160" s="506">
        <f t="shared" si="18"/>
        <v>126.03448275862068</v>
      </c>
      <c r="AA160" s="507">
        <f t="shared" si="36"/>
        <v>11.724137931034482</v>
      </c>
      <c r="AB160" s="508">
        <f t="shared" si="37"/>
        <v>6.206896551724137</v>
      </c>
      <c r="AC160" s="59">
        <f t="shared" si="38"/>
        <v>5.7103448275862068</v>
      </c>
      <c r="AD160" s="506">
        <f t="shared" si="19"/>
        <v>126.03448275862068</v>
      </c>
      <c r="AE160" s="507">
        <f t="shared" si="39"/>
        <v>11.724137931034482</v>
      </c>
      <c r="AF160" s="508">
        <f t="shared" si="40"/>
        <v>6.206896551724137</v>
      </c>
      <c r="AG160" s="59">
        <f t="shared" si="41"/>
        <v>5.7103448275862068</v>
      </c>
      <c r="AH160" s="506">
        <f t="shared" si="20"/>
        <v>126.03448275862068</v>
      </c>
      <c r="AI160" s="507">
        <f t="shared" si="42"/>
        <v>11.724137931034482</v>
      </c>
      <c r="AJ160" s="508">
        <f t="shared" si="43"/>
        <v>6.206896551724137</v>
      </c>
      <c r="AK160" s="60">
        <f t="shared" si="44"/>
        <v>5.7103448275862068</v>
      </c>
    </row>
    <row r="161" spans="1:37" ht="15.5" x14ac:dyDescent="0.35">
      <c r="A161" s="51">
        <v>2005</v>
      </c>
      <c r="B161" s="506">
        <f t="shared" si="12"/>
        <v>91.724137931034477</v>
      </c>
      <c r="C161" s="507">
        <f t="shared" si="12"/>
        <v>31.03448275862069</v>
      </c>
      <c r="D161" s="508">
        <f t="shared" si="12"/>
        <v>5.1724137931034475</v>
      </c>
      <c r="E161" s="59">
        <f t="shared" si="12"/>
        <v>4.7586206896551726</v>
      </c>
      <c r="F161" s="506">
        <f t="shared" si="13"/>
        <v>91.724137931034477</v>
      </c>
      <c r="G161" s="507">
        <f t="shared" si="21"/>
        <v>17.068965517241377</v>
      </c>
      <c r="H161" s="507">
        <f t="shared" si="22"/>
        <v>5.1724137931034475</v>
      </c>
      <c r="I161" s="509">
        <f t="shared" si="23"/>
        <v>4.7586206896551726</v>
      </c>
      <c r="J161" s="506">
        <f t="shared" si="14"/>
        <v>87.931034482758605</v>
      </c>
      <c r="K161" s="507">
        <f t="shared" si="24"/>
        <v>11.724137931034482</v>
      </c>
      <c r="L161" s="508">
        <f t="shared" si="25"/>
        <v>3.7931034482758621</v>
      </c>
      <c r="M161" s="59">
        <f t="shared" si="26"/>
        <v>3.489655172413793</v>
      </c>
      <c r="N161" s="506">
        <f t="shared" si="15"/>
        <v>87.931034482758605</v>
      </c>
      <c r="O161" s="507">
        <f t="shared" si="27"/>
        <v>11.724137931034482</v>
      </c>
      <c r="P161" s="508">
        <f t="shared" si="28"/>
        <v>2.5862068965517238</v>
      </c>
      <c r="Q161" s="59">
        <f t="shared" si="29"/>
        <v>2.3793103448275863</v>
      </c>
      <c r="R161" s="506">
        <f t="shared" si="16"/>
        <v>87.931034482758605</v>
      </c>
      <c r="S161" s="507">
        <f t="shared" si="30"/>
        <v>11.724137931034482</v>
      </c>
      <c r="T161" s="508">
        <f t="shared" si="31"/>
        <v>2.5862068965517238</v>
      </c>
      <c r="U161" s="59">
        <f t="shared" si="32"/>
        <v>2.3793103448275863</v>
      </c>
      <c r="V161" s="506">
        <f t="shared" si="17"/>
        <v>126.03448275862068</v>
      </c>
      <c r="W161" s="507">
        <f t="shared" si="33"/>
        <v>11.724137931034482</v>
      </c>
      <c r="X161" s="508">
        <f t="shared" si="34"/>
        <v>6.206896551724137</v>
      </c>
      <c r="Y161" s="59">
        <f t="shared" si="35"/>
        <v>5.7103448275862068</v>
      </c>
      <c r="Z161" s="506">
        <f t="shared" si="18"/>
        <v>126.03448275862068</v>
      </c>
      <c r="AA161" s="507">
        <f t="shared" si="36"/>
        <v>11.724137931034482</v>
      </c>
      <c r="AB161" s="508">
        <f t="shared" si="37"/>
        <v>6.206896551724137</v>
      </c>
      <c r="AC161" s="59">
        <f t="shared" si="38"/>
        <v>5.7103448275862068</v>
      </c>
      <c r="AD161" s="506">
        <f t="shared" si="19"/>
        <v>126.03448275862068</v>
      </c>
      <c r="AE161" s="507">
        <f t="shared" si="39"/>
        <v>11.724137931034482</v>
      </c>
      <c r="AF161" s="508">
        <f t="shared" si="40"/>
        <v>6.206896551724137</v>
      </c>
      <c r="AG161" s="59">
        <f t="shared" si="41"/>
        <v>5.7103448275862068</v>
      </c>
      <c r="AH161" s="506">
        <f t="shared" si="20"/>
        <v>126.03448275862068</v>
      </c>
      <c r="AI161" s="507">
        <f t="shared" si="42"/>
        <v>11.724137931034482</v>
      </c>
      <c r="AJ161" s="508">
        <f t="shared" si="43"/>
        <v>6.206896551724137</v>
      </c>
      <c r="AK161" s="60">
        <f t="shared" si="44"/>
        <v>5.7103448275862068</v>
      </c>
    </row>
    <row r="162" spans="1:37" ht="15.5" x14ac:dyDescent="0.35">
      <c r="A162" s="51">
        <v>2006</v>
      </c>
      <c r="B162" s="506">
        <f t="shared" si="12"/>
        <v>91.724137931034477</v>
      </c>
      <c r="C162" s="507">
        <f t="shared" si="12"/>
        <v>31.03448275862069</v>
      </c>
      <c r="D162" s="508">
        <f t="shared" si="12"/>
        <v>5.1724137931034475</v>
      </c>
      <c r="E162" s="59">
        <f t="shared" si="12"/>
        <v>4.7586206896551726</v>
      </c>
      <c r="F162" s="506">
        <f t="shared" si="13"/>
        <v>91.724137931034477</v>
      </c>
      <c r="G162" s="507">
        <f t="shared" si="21"/>
        <v>17.068965517241377</v>
      </c>
      <c r="H162" s="507">
        <f t="shared" si="22"/>
        <v>5.1724137931034475</v>
      </c>
      <c r="I162" s="509">
        <f t="shared" si="23"/>
        <v>4.7586206896551726</v>
      </c>
      <c r="J162" s="506">
        <f t="shared" si="14"/>
        <v>87.931034482758605</v>
      </c>
      <c r="K162" s="507">
        <f t="shared" si="24"/>
        <v>11.724137931034482</v>
      </c>
      <c r="L162" s="508">
        <f t="shared" si="25"/>
        <v>3.7931034482758621</v>
      </c>
      <c r="M162" s="59">
        <f t="shared" si="26"/>
        <v>3.489655172413793</v>
      </c>
      <c r="N162" s="506">
        <f t="shared" si="15"/>
        <v>87.931034482758605</v>
      </c>
      <c r="O162" s="507">
        <f t="shared" si="27"/>
        <v>11.724137931034482</v>
      </c>
      <c r="P162" s="508">
        <f t="shared" si="28"/>
        <v>2.5862068965517238</v>
      </c>
      <c r="Q162" s="59">
        <f t="shared" si="29"/>
        <v>2.3793103448275863</v>
      </c>
      <c r="R162" s="506">
        <f t="shared" si="16"/>
        <v>87.931034482758605</v>
      </c>
      <c r="S162" s="507">
        <f t="shared" si="30"/>
        <v>11.724137931034482</v>
      </c>
      <c r="T162" s="508">
        <f t="shared" si="31"/>
        <v>2.5862068965517238</v>
      </c>
      <c r="U162" s="59">
        <f t="shared" si="32"/>
        <v>2.3793103448275863</v>
      </c>
      <c r="V162" s="506">
        <f t="shared" si="17"/>
        <v>126.03448275862068</v>
      </c>
      <c r="W162" s="507">
        <f t="shared" si="33"/>
        <v>11.724137931034482</v>
      </c>
      <c r="X162" s="508">
        <f t="shared" si="34"/>
        <v>6.206896551724137</v>
      </c>
      <c r="Y162" s="59">
        <f t="shared" si="35"/>
        <v>5.7103448275862068</v>
      </c>
      <c r="Z162" s="506">
        <f t="shared" si="18"/>
        <v>126.03448275862068</v>
      </c>
      <c r="AA162" s="507">
        <f t="shared" si="36"/>
        <v>11.724137931034482</v>
      </c>
      <c r="AB162" s="508">
        <f t="shared" si="37"/>
        <v>6.206896551724137</v>
      </c>
      <c r="AC162" s="59">
        <f t="shared" si="38"/>
        <v>5.7103448275862068</v>
      </c>
      <c r="AD162" s="506">
        <f t="shared" si="19"/>
        <v>126.03448275862068</v>
      </c>
      <c r="AE162" s="507">
        <f t="shared" si="39"/>
        <v>11.724137931034482</v>
      </c>
      <c r="AF162" s="508">
        <f t="shared" si="40"/>
        <v>6.206896551724137</v>
      </c>
      <c r="AG162" s="59">
        <f t="shared" si="41"/>
        <v>5.7103448275862068</v>
      </c>
      <c r="AH162" s="506">
        <f t="shared" si="20"/>
        <v>126.03448275862068</v>
      </c>
      <c r="AI162" s="507">
        <f t="shared" si="42"/>
        <v>11.724137931034482</v>
      </c>
      <c r="AJ162" s="508">
        <f t="shared" si="43"/>
        <v>6.206896551724137</v>
      </c>
      <c r="AK162" s="60">
        <f t="shared" si="44"/>
        <v>5.7103448275862068</v>
      </c>
    </row>
    <row r="163" spans="1:37" ht="15.5" x14ac:dyDescent="0.35">
      <c r="A163" s="51">
        <v>2007</v>
      </c>
      <c r="B163" s="506">
        <f t="shared" si="12"/>
        <v>91.724137931034477</v>
      </c>
      <c r="C163" s="507">
        <f t="shared" si="12"/>
        <v>31.03448275862069</v>
      </c>
      <c r="D163" s="508">
        <f t="shared" si="12"/>
        <v>5.1724137931034475</v>
      </c>
      <c r="E163" s="59">
        <f t="shared" si="12"/>
        <v>4.7586206896551726</v>
      </c>
      <c r="F163" s="506">
        <f t="shared" si="13"/>
        <v>91.724137931034477</v>
      </c>
      <c r="G163" s="507">
        <f t="shared" si="21"/>
        <v>17.068965517241377</v>
      </c>
      <c r="H163" s="507">
        <f t="shared" si="22"/>
        <v>5.1724137931034475</v>
      </c>
      <c r="I163" s="509">
        <f t="shared" si="23"/>
        <v>4.7586206896551726</v>
      </c>
      <c r="J163" s="506">
        <f t="shared" si="14"/>
        <v>87.931034482758605</v>
      </c>
      <c r="K163" s="507">
        <f t="shared" si="24"/>
        <v>11.724137931034482</v>
      </c>
      <c r="L163" s="508">
        <f t="shared" si="25"/>
        <v>3.7931034482758621</v>
      </c>
      <c r="M163" s="59">
        <f t="shared" si="26"/>
        <v>3.489655172413793</v>
      </c>
      <c r="N163" s="506">
        <f t="shared" si="15"/>
        <v>87.931034482758605</v>
      </c>
      <c r="O163" s="507">
        <f t="shared" si="27"/>
        <v>11.724137931034482</v>
      </c>
      <c r="P163" s="508">
        <f t="shared" si="28"/>
        <v>2.5862068965517238</v>
      </c>
      <c r="Q163" s="59">
        <f t="shared" si="29"/>
        <v>2.3793103448275863</v>
      </c>
      <c r="R163" s="506">
        <f t="shared" si="16"/>
        <v>87.931034482758605</v>
      </c>
      <c r="S163" s="507">
        <f t="shared" si="30"/>
        <v>11.724137931034482</v>
      </c>
      <c r="T163" s="508">
        <f t="shared" si="31"/>
        <v>2.5862068965517238</v>
      </c>
      <c r="U163" s="59">
        <f t="shared" si="32"/>
        <v>2.3793103448275863</v>
      </c>
      <c r="V163" s="506">
        <f t="shared" si="17"/>
        <v>87.931034482758605</v>
      </c>
      <c r="W163" s="507">
        <f t="shared" si="33"/>
        <v>11.724137931034482</v>
      </c>
      <c r="X163" s="508">
        <f t="shared" si="34"/>
        <v>2.5862068965517238</v>
      </c>
      <c r="Y163" s="59">
        <f t="shared" si="35"/>
        <v>2.3793103448275863</v>
      </c>
      <c r="Z163" s="506">
        <f t="shared" si="18"/>
        <v>95.34482758620689</v>
      </c>
      <c r="AA163" s="507">
        <f t="shared" si="36"/>
        <v>11.724137931034482</v>
      </c>
      <c r="AB163" s="508">
        <f t="shared" si="37"/>
        <v>3.4482758620689657</v>
      </c>
      <c r="AC163" s="59">
        <f t="shared" si="38"/>
        <v>3.1724137931034484</v>
      </c>
      <c r="AD163" s="506">
        <f t="shared" si="19"/>
        <v>95.34482758620689</v>
      </c>
      <c r="AE163" s="507">
        <f t="shared" si="39"/>
        <v>11.724137931034482</v>
      </c>
      <c r="AF163" s="508">
        <f t="shared" si="40"/>
        <v>3.4482758620689657</v>
      </c>
      <c r="AG163" s="59">
        <f t="shared" si="41"/>
        <v>3.1724137931034484</v>
      </c>
      <c r="AH163" s="506">
        <f t="shared" si="20"/>
        <v>95.34482758620689</v>
      </c>
      <c r="AI163" s="507">
        <f t="shared" si="42"/>
        <v>11.724137931034482</v>
      </c>
      <c r="AJ163" s="508">
        <f t="shared" si="43"/>
        <v>3.4482758620689657</v>
      </c>
      <c r="AK163" s="60">
        <f t="shared" si="44"/>
        <v>3.1724137931034484</v>
      </c>
    </row>
    <row r="164" spans="1:37" ht="15.5" x14ac:dyDescent="0.35">
      <c r="A164" s="51">
        <v>2008</v>
      </c>
      <c r="B164" s="506">
        <f t="shared" si="12"/>
        <v>91.724137931034477</v>
      </c>
      <c r="C164" s="507">
        <f t="shared" si="12"/>
        <v>31.03448275862069</v>
      </c>
      <c r="D164" s="508">
        <f t="shared" si="12"/>
        <v>5.1724137931034475</v>
      </c>
      <c r="E164" s="59">
        <f t="shared" si="12"/>
        <v>4.7586206896551726</v>
      </c>
      <c r="F164" s="506">
        <f t="shared" si="13"/>
        <v>91.724137931034477</v>
      </c>
      <c r="G164" s="507">
        <f t="shared" si="21"/>
        <v>17.068965517241377</v>
      </c>
      <c r="H164" s="507">
        <f t="shared" si="22"/>
        <v>5.1724137931034475</v>
      </c>
      <c r="I164" s="509">
        <f t="shared" si="23"/>
        <v>4.7586206896551726</v>
      </c>
      <c r="J164" s="506">
        <f t="shared" si="14"/>
        <v>87.931034482758605</v>
      </c>
      <c r="K164" s="507">
        <f t="shared" si="24"/>
        <v>11.724137931034482</v>
      </c>
      <c r="L164" s="508">
        <f t="shared" si="25"/>
        <v>3.7931034482758621</v>
      </c>
      <c r="M164" s="59">
        <f t="shared" si="26"/>
        <v>3.489655172413793</v>
      </c>
      <c r="N164" s="506">
        <f t="shared" si="15"/>
        <v>87.931034482758605</v>
      </c>
      <c r="O164" s="507">
        <f t="shared" si="27"/>
        <v>11.724137931034482</v>
      </c>
      <c r="P164" s="508">
        <f t="shared" si="28"/>
        <v>2.5862068965517238</v>
      </c>
      <c r="Q164" s="59">
        <f t="shared" si="29"/>
        <v>2.3793103448275863</v>
      </c>
      <c r="R164" s="506">
        <f t="shared" si="16"/>
        <v>87.931034482758605</v>
      </c>
      <c r="S164" s="507">
        <f t="shared" si="30"/>
        <v>11.724137931034482</v>
      </c>
      <c r="T164" s="508">
        <f t="shared" si="31"/>
        <v>2.5862068965517238</v>
      </c>
      <c r="U164" s="59">
        <f t="shared" si="32"/>
        <v>2.3793103448275863</v>
      </c>
      <c r="V164" s="506">
        <f t="shared" si="17"/>
        <v>87.931034482758605</v>
      </c>
      <c r="W164" s="507">
        <f t="shared" si="33"/>
        <v>11.724137931034482</v>
      </c>
      <c r="X164" s="508">
        <f t="shared" si="34"/>
        <v>2.5862068965517238</v>
      </c>
      <c r="Y164" s="59">
        <f t="shared" si="35"/>
        <v>2.3793103448275863</v>
      </c>
      <c r="Z164" s="506">
        <f t="shared" si="18"/>
        <v>95.34482758620689</v>
      </c>
      <c r="AA164" s="507">
        <f t="shared" si="36"/>
        <v>11.724137931034482</v>
      </c>
      <c r="AB164" s="508">
        <f t="shared" si="37"/>
        <v>3.4482758620689657</v>
      </c>
      <c r="AC164" s="59">
        <f t="shared" si="38"/>
        <v>3.1724137931034484</v>
      </c>
      <c r="AD164" s="506">
        <f t="shared" si="19"/>
        <v>95.34482758620689</v>
      </c>
      <c r="AE164" s="507">
        <f t="shared" si="39"/>
        <v>11.724137931034482</v>
      </c>
      <c r="AF164" s="508">
        <f t="shared" si="40"/>
        <v>3.4482758620689657</v>
      </c>
      <c r="AG164" s="59">
        <f t="shared" si="41"/>
        <v>3.1724137931034484</v>
      </c>
      <c r="AH164" s="506">
        <f t="shared" si="20"/>
        <v>95.34482758620689</v>
      </c>
      <c r="AI164" s="507">
        <f t="shared" si="42"/>
        <v>11.724137931034482</v>
      </c>
      <c r="AJ164" s="508">
        <f t="shared" si="43"/>
        <v>3.4482758620689657</v>
      </c>
      <c r="AK164" s="60">
        <f t="shared" si="44"/>
        <v>3.1724137931034484</v>
      </c>
    </row>
    <row r="165" spans="1:37" ht="15.5" x14ac:dyDescent="0.35">
      <c r="A165" s="51">
        <v>2009</v>
      </c>
      <c r="B165" s="506">
        <f t="shared" si="12"/>
        <v>91.724137931034477</v>
      </c>
      <c r="C165" s="507">
        <f t="shared" si="12"/>
        <v>31.03448275862069</v>
      </c>
      <c r="D165" s="508">
        <f t="shared" si="12"/>
        <v>3.7931034482758621</v>
      </c>
      <c r="E165" s="59">
        <f t="shared" si="12"/>
        <v>3.489655172413793</v>
      </c>
      <c r="F165" s="506">
        <f t="shared" si="13"/>
        <v>91.724137931034477</v>
      </c>
      <c r="G165" s="507">
        <f t="shared" si="21"/>
        <v>17.068965517241377</v>
      </c>
      <c r="H165" s="507">
        <f t="shared" si="22"/>
        <v>3.7931034482758621</v>
      </c>
      <c r="I165" s="509">
        <f t="shared" si="23"/>
        <v>3.489655172413793</v>
      </c>
      <c r="J165" s="506">
        <f t="shared" si="14"/>
        <v>87.931034482758605</v>
      </c>
      <c r="K165" s="507">
        <f t="shared" si="24"/>
        <v>11.724137931034482</v>
      </c>
      <c r="L165" s="508">
        <f t="shared" si="25"/>
        <v>3.7931034482758621</v>
      </c>
      <c r="M165" s="59">
        <f t="shared" si="26"/>
        <v>3.489655172413793</v>
      </c>
      <c r="N165" s="506">
        <f t="shared" si="15"/>
        <v>87.931034482758605</v>
      </c>
      <c r="O165" s="507">
        <f t="shared" si="27"/>
        <v>11.724137931034482</v>
      </c>
      <c r="P165" s="508">
        <f t="shared" si="28"/>
        <v>2.5862068965517238</v>
      </c>
      <c r="Q165" s="59">
        <f t="shared" si="29"/>
        <v>2.3793103448275863</v>
      </c>
      <c r="R165" s="506">
        <f t="shared" si="16"/>
        <v>87.931034482758605</v>
      </c>
      <c r="S165" s="507">
        <f t="shared" si="30"/>
        <v>11.724137931034482</v>
      </c>
      <c r="T165" s="508">
        <f t="shared" si="31"/>
        <v>2.5862068965517238</v>
      </c>
      <c r="U165" s="59">
        <f t="shared" si="32"/>
        <v>2.3793103448275863</v>
      </c>
      <c r="V165" s="506">
        <f t="shared" si="17"/>
        <v>87.931034482758605</v>
      </c>
      <c r="W165" s="507">
        <f t="shared" si="33"/>
        <v>11.724137931034482</v>
      </c>
      <c r="X165" s="508">
        <f t="shared" si="34"/>
        <v>2.5862068965517238</v>
      </c>
      <c r="Y165" s="59">
        <f t="shared" si="35"/>
        <v>2.3793103448275863</v>
      </c>
      <c r="Z165" s="506">
        <f t="shared" si="18"/>
        <v>95.34482758620689</v>
      </c>
      <c r="AA165" s="507">
        <f t="shared" si="36"/>
        <v>11.724137931034482</v>
      </c>
      <c r="AB165" s="508">
        <f t="shared" si="37"/>
        <v>3.4482758620689657</v>
      </c>
      <c r="AC165" s="59">
        <f t="shared" si="38"/>
        <v>3.1724137931034484</v>
      </c>
      <c r="AD165" s="506">
        <f t="shared" si="19"/>
        <v>95.34482758620689</v>
      </c>
      <c r="AE165" s="507">
        <f t="shared" si="39"/>
        <v>11.724137931034482</v>
      </c>
      <c r="AF165" s="508">
        <f t="shared" si="40"/>
        <v>3.4482758620689657</v>
      </c>
      <c r="AG165" s="59">
        <f t="shared" si="41"/>
        <v>3.1724137931034484</v>
      </c>
      <c r="AH165" s="506">
        <f t="shared" si="20"/>
        <v>95.34482758620689</v>
      </c>
      <c r="AI165" s="507">
        <f t="shared" si="42"/>
        <v>11.724137931034482</v>
      </c>
      <c r="AJ165" s="508">
        <f t="shared" si="43"/>
        <v>3.4482758620689657</v>
      </c>
      <c r="AK165" s="60">
        <f t="shared" si="44"/>
        <v>3.1724137931034484</v>
      </c>
    </row>
    <row r="166" spans="1:37" ht="15.5" x14ac:dyDescent="0.35">
      <c r="A166" s="51">
        <v>2010</v>
      </c>
      <c r="B166" s="506">
        <f t="shared" si="12"/>
        <v>91.724137931034477</v>
      </c>
      <c r="C166" s="507">
        <f t="shared" si="12"/>
        <v>31.03448275862069</v>
      </c>
      <c r="D166" s="508">
        <f t="shared" si="12"/>
        <v>3.7931034482758621</v>
      </c>
      <c r="E166" s="59">
        <f t="shared" si="12"/>
        <v>3.489655172413793</v>
      </c>
      <c r="F166" s="506">
        <f t="shared" si="13"/>
        <v>91.724137931034477</v>
      </c>
      <c r="G166" s="507">
        <f t="shared" si="21"/>
        <v>17.068965517241377</v>
      </c>
      <c r="H166" s="507">
        <f t="shared" si="22"/>
        <v>3.7931034482758621</v>
      </c>
      <c r="I166" s="509">
        <f t="shared" si="23"/>
        <v>3.489655172413793</v>
      </c>
      <c r="J166" s="506">
        <f t="shared" si="14"/>
        <v>87.931034482758605</v>
      </c>
      <c r="K166" s="507">
        <f t="shared" si="24"/>
        <v>11.724137931034482</v>
      </c>
      <c r="L166" s="508">
        <f t="shared" si="25"/>
        <v>3.7931034482758621</v>
      </c>
      <c r="M166" s="59">
        <f t="shared" si="26"/>
        <v>3.489655172413793</v>
      </c>
      <c r="N166" s="506">
        <f t="shared" si="15"/>
        <v>87.931034482758605</v>
      </c>
      <c r="O166" s="507">
        <f t="shared" si="27"/>
        <v>11.724137931034482</v>
      </c>
      <c r="P166" s="508">
        <f t="shared" si="28"/>
        <v>2.5862068965517238</v>
      </c>
      <c r="Q166" s="59">
        <f t="shared" si="29"/>
        <v>2.3793103448275863</v>
      </c>
      <c r="R166" s="506">
        <f t="shared" si="16"/>
        <v>87.931034482758605</v>
      </c>
      <c r="S166" s="507">
        <f t="shared" si="30"/>
        <v>11.724137931034482</v>
      </c>
      <c r="T166" s="508">
        <f t="shared" si="31"/>
        <v>2.5862068965517238</v>
      </c>
      <c r="U166" s="59">
        <f t="shared" si="32"/>
        <v>2.3793103448275863</v>
      </c>
      <c r="V166" s="506">
        <f t="shared" si="17"/>
        <v>87.931034482758605</v>
      </c>
      <c r="W166" s="507">
        <f t="shared" si="33"/>
        <v>11.724137931034482</v>
      </c>
      <c r="X166" s="508">
        <f t="shared" si="34"/>
        <v>2.5862068965517238</v>
      </c>
      <c r="Y166" s="59">
        <f t="shared" si="35"/>
        <v>2.3793103448275863</v>
      </c>
      <c r="Z166" s="506">
        <f t="shared" si="18"/>
        <v>95.34482758620689</v>
      </c>
      <c r="AA166" s="507">
        <f t="shared" si="36"/>
        <v>11.724137931034482</v>
      </c>
      <c r="AB166" s="508">
        <f t="shared" si="37"/>
        <v>3.4482758620689657</v>
      </c>
      <c r="AC166" s="59">
        <f t="shared" si="38"/>
        <v>3.1724137931034484</v>
      </c>
      <c r="AD166" s="506">
        <f t="shared" si="19"/>
        <v>95.34482758620689</v>
      </c>
      <c r="AE166" s="507">
        <f t="shared" si="39"/>
        <v>11.724137931034482</v>
      </c>
      <c r="AF166" s="508">
        <f t="shared" si="40"/>
        <v>3.4482758620689657</v>
      </c>
      <c r="AG166" s="59">
        <f t="shared" si="41"/>
        <v>3.1724137931034484</v>
      </c>
      <c r="AH166" s="506">
        <f t="shared" si="20"/>
        <v>95.34482758620689</v>
      </c>
      <c r="AI166" s="507">
        <f t="shared" si="42"/>
        <v>11.724137931034482</v>
      </c>
      <c r="AJ166" s="508">
        <f t="shared" si="43"/>
        <v>3.4482758620689657</v>
      </c>
      <c r="AK166" s="60">
        <f t="shared" si="44"/>
        <v>3.1724137931034484</v>
      </c>
    </row>
    <row r="167" spans="1:37" ht="15.5" x14ac:dyDescent="0.35">
      <c r="A167" s="51">
        <v>2011</v>
      </c>
      <c r="B167" s="506">
        <f t="shared" si="12"/>
        <v>91.724137931034477</v>
      </c>
      <c r="C167" s="507">
        <f t="shared" si="12"/>
        <v>31.03448275862069</v>
      </c>
      <c r="D167" s="508">
        <f t="shared" si="12"/>
        <v>3.7931034482758621</v>
      </c>
      <c r="E167" s="59">
        <f t="shared" si="12"/>
        <v>3.489655172413793</v>
      </c>
      <c r="F167" s="506">
        <f t="shared" si="13"/>
        <v>91.724137931034477</v>
      </c>
      <c r="G167" s="507">
        <f t="shared" si="21"/>
        <v>17.068965517241377</v>
      </c>
      <c r="H167" s="507">
        <f t="shared" si="22"/>
        <v>3.7931034482758621</v>
      </c>
      <c r="I167" s="509">
        <f t="shared" si="23"/>
        <v>3.489655172413793</v>
      </c>
      <c r="J167" s="506">
        <f t="shared" si="14"/>
        <v>87.931034482758605</v>
      </c>
      <c r="K167" s="507">
        <f t="shared" si="24"/>
        <v>11.724137931034482</v>
      </c>
      <c r="L167" s="508">
        <f t="shared" si="25"/>
        <v>3.7931034482758621</v>
      </c>
      <c r="M167" s="59">
        <f t="shared" si="26"/>
        <v>3.489655172413793</v>
      </c>
      <c r="N167" s="506">
        <f t="shared" si="15"/>
        <v>87.931034482758605</v>
      </c>
      <c r="O167" s="507">
        <f t="shared" si="27"/>
        <v>11.724137931034482</v>
      </c>
      <c r="P167" s="508">
        <f t="shared" si="28"/>
        <v>2.5862068965517238</v>
      </c>
      <c r="Q167" s="59">
        <f t="shared" si="29"/>
        <v>2.3793103448275863</v>
      </c>
      <c r="R167" s="506">
        <f t="shared" si="16"/>
        <v>87.931034482758605</v>
      </c>
      <c r="S167" s="507">
        <f t="shared" si="30"/>
        <v>11.724137931034482</v>
      </c>
      <c r="T167" s="508">
        <f t="shared" si="31"/>
        <v>2.5862068965517238</v>
      </c>
      <c r="U167" s="59">
        <f t="shared" si="32"/>
        <v>2.3793103448275863</v>
      </c>
      <c r="V167" s="506">
        <f t="shared" si="17"/>
        <v>87.931034482758605</v>
      </c>
      <c r="W167" s="507">
        <f t="shared" si="33"/>
        <v>11.724137931034482</v>
      </c>
      <c r="X167" s="508">
        <f t="shared" si="34"/>
        <v>2.5862068965517238</v>
      </c>
      <c r="Y167" s="59">
        <f t="shared" si="35"/>
        <v>2.3793103448275863</v>
      </c>
      <c r="Z167" s="506">
        <f t="shared" si="18"/>
        <v>95.34482758620689</v>
      </c>
      <c r="AA167" s="507">
        <f t="shared" si="36"/>
        <v>11.724137931034482</v>
      </c>
      <c r="AB167" s="508">
        <f t="shared" si="37"/>
        <v>3.4482758620689657</v>
      </c>
      <c r="AC167" s="59">
        <f t="shared" si="38"/>
        <v>3.1724137931034484</v>
      </c>
      <c r="AD167" s="506">
        <f t="shared" si="19"/>
        <v>95.34482758620689</v>
      </c>
      <c r="AE167" s="507">
        <f t="shared" si="39"/>
        <v>11.724137931034482</v>
      </c>
      <c r="AF167" s="508">
        <f t="shared" si="40"/>
        <v>3.4482758620689657</v>
      </c>
      <c r="AG167" s="59">
        <f t="shared" si="41"/>
        <v>3.1724137931034484</v>
      </c>
      <c r="AH167" s="506">
        <f t="shared" si="20"/>
        <v>95.34482758620689</v>
      </c>
      <c r="AI167" s="507">
        <f t="shared" si="42"/>
        <v>11.724137931034482</v>
      </c>
      <c r="AJ167" s="508">
        <f t="shared" si="43"/>
        <v>3.4482758620689657</v>
      </c>
      <c r="AK167" s="60">
        <f t="shared" si="44"/>
        <v>3.1724137931034484</v>
      </c>
    </row>
    <row r="168" spans="1:37" ht="15.5" x14ac:dyDescent="0.35">
      <c r="A168" s="51">
        <v>2012</v>
      </c>
      <c r="B168" s="506">
        <f t="shared" si="12"/>
        <v>91.724137931034477</v>
      </c>
      <c r="C168" s="507">
        <f t="shared" si="12"/>
        <v>31.03448275862069</v>
      </c>
      <c r="D168" s="508">
        <f t="shared" si="12"/>
        <v>3.7931034482758621</v>
      </c>
      <c r="E168" s="59">
        <f t="shared" si="12"/>
        <v>3.489655172413793</v>
      </c>
      <c r="F168" s="506">
        <f t="shared" si="13"/>
        <v>91.724137931034477</v>
      </c>
      <c r="G168" s="507">
        <f t="shared" si="21"/>
        <v>17.068965517241377</v>
      </c>
      <c r="H168" s="507">
        <f t="shared" si="22"/>
        <v>3.7931034482758621</v>
      </c>
      <c r="I168" s="509">
        <f t="shared" si="23"/>
        <v>3.489655172413793</v>
      </c>
      <c r="J168" s="506">
        <f t="shared" si="14"/>
        <v>87.931034482758605</v>
      </c>
      <c r="K168" s="507">
        <f t="shared" si="24"/>
        <v>11.724137931034482</v>
      </c>
      <c r="L168" s="508">
        <f t="shared" si="25"/>
        <v>3.7931034482758621</v>
      </c>
      <c r="M168" s="59">
        <f t="shared" si="26"/>
        <v>3.489655172413793</v>
      </c>
      <c r="N168" s="506">
        <f t="shared" si="15"/>
        <v>87.931034482758605</v>
      </c>
      <c r="O168" s="507">
        <f t="shared" si="27"/>
        <v>11.724137931034482</v>
      </c>
      <c r="P168" s="508">
        <f t="shared" si="28"/>
        <v>2.5862068965517238</v>
      </c>
      <c r="Q168" s="59">
        <f t="shared" si="29"/>
        <v>2.3793103448275863</v>
      </c>
      <c r="R168" s="506">
        <f t="shared" si="16"/>
        <v>87.931034482758605</v>
      </c>
      <c r="S168" s="507">
        <f t="shared" si="30"/>
        <v>11.724137931034482</v>
      </c>
      <c r="T168" s="508">
        <f t="shared" si="31"/>
        <v>2.5862068965517238</v>
      </c>
      <c r="U168" s="59">
        <f t="shared" si="32"/>
        <v>2.3793103448275863</v>
      </c>
      <c r="V168" s="506">
        <f t="shared" si="17"/>
        <v>87.931034482758605</v>
      </c>
      <c r="W168" s="507">
        <f t="shared" si="33"/>
        <v>11.724137931034482</v>
      </c>
      <c r="X168" s="508">
        <f t="shared" si="34"/>
        <v>2.5862068965517238</v>
      </c>
      <c r="Y168" s="59">
        <f t="shared" si="35"/>
        <v>2.3793103448275863</v>
      </c>
      <c r="Z168" s="506">
        <f t="shared" si="18"/>
        <v>70.517241379310335</v>
      </c>
      <c r="AA168" s="507">
        <f t="shared" si="36"/>
        <v>11.724137931034482</v>
      </c>
      <c r="AB168" s="508">
        <f t="shared" si="37"/>
        <v>1.3793103448275861</v>
      </c>
      <c r="AC168" s="59">
        <f t="shared" si="38"/>
        <v>1.2689655172413792</v>
      </c>
      <c r="AD168" s="506">
        <f t="shared" si="19"/>
        <v>95.34482758620689</v>
      </c>
      <c r="AE168" s="507">
        <f t="shared" si="39"/>
        <v>11.724137931034482</v>
      </c>
      <c r="AF168" s="508">
        <f t="shared" si="40"/>
        <v>3.4482758620689657</v>
      </c>
      <c r="AG168" s="59">
        <f t="shared" si="41"/>
        <v>3.1724137931034484</v>
      </c>
      <c r="AH168" s="506">
        <f t="shared" si="20"/>
        <v>95.34482758620689</v>
      </c>
      <c r="AI168" s="507">
        <f t="shared" si="42"/>
        <v>11.724137931034482</v>
      </c>
      <c r="AJ168" s="508">
        <f t="shared" si="43"/>
        <v>3.4482758620689657</v>
      </c>
      <c r="AK168" s="60">
        <f t="shared" si="44"/>
        <v>3.1724137931034484</v>
      </c>
    </row>
    <row r="169" spans="1:37" ht="15.5" x14ac:dyDescent="0.35">
      <c r="A169" s="51">
        <v>2013</v>
      </c>
      <c r="B169" s="506">
        <f t="shared" si="12"/>
        <v>91.724137931034477</v>
      </c>
      <c r="C169" s="507">
        <f t="shared" si="12"/>
        <v>31.03448275862069</v>
      </c>
      <c r="D169" s="508">
        <f t="shared" si="12"/>
        <v>3.7931034482758621</v>
      </c>
      <c r="E169" s="59">
        <f t="shared" si="12"/>
        <v>3.489655172413793</v>
      </c>
      <c r="F169" s="506">
        <f t="shared" si="13"/>
        <v>91.724137931034477</v>
      </c>
      <c r="G169" s="507">
        <f t="shared" si="21"/>
        <v>17.068965517241377</v>
      </c>
      <c r="H169" s="507">
        <f t="shared" si="22"/>
        <v>3.7931034482758621</v>
      </c>
      <c r="I169" s="509">
        <f t="shared" si="23"/>
        <v>3.489655172413793</v>
      </c>
      <c r="J169" s="506">
        <f t="shared" si="14"/>
        <v>65.517241379310335</v>
      </c>
      <c r="K169" s="507">
        <f t="shared" si="24"/>
        <v>11.724137931034482</v>
      </c>
      <c r="L169" s="508">
        <f t="shared" si="25"/>
        <v>1.5517241379310343</v>
      </c>
      <c r="M169" s="59">
        <f t="shared" si="26"/>
        <v>1.4275862068965517</v>
      </c>
      <c r="N169" s="506">
        <f t="shared" si="15"/>
        <v>87.931034482758605</v>
      </c>
      <c r="O169" s="507">
        <f t="shared" si="27"/>
        <v>11.724137931034482</v>
      </c>
      <c r="P169" s="508">
        <f t="shared" si="28"/>
        <v>2.5862068965517238</v>
      </c>
      <c r="Q169" s="59">
        <f t="shared" si="29"/>
        <v>2.3793103448275863</v>
      </c>
      <c r="R169" s="506">
        <f t="shared" si="16"/>
        <v>87.931034482758605</v>
      </c>
      <c r="S169" s="507">
        <f t="shared" si="30"/>
        <v>11.724137931034482</v>
      </c>
      <c r="T169" s="508">
        <f t="shared" si="31"/>
        <v>2.5862068965517238</v>
      </c>
      <c r="U169" s="59">
        <f t="shared" si="32"/>
        <v>2.3793103448275863</v>
      </c>
      <c r="V169" s="506">
        <f t="shared" si="17"/>
        <v>68.793103448275858</v>
      </c>
      <c r="W169" s="507">
        <f t="shared" si="33"/>
        <v>11.724137931034482</v>
      </c>
      <c r="X169" s="508">
        <f t="shared" si="34"/>
        <v>1.3793103448275861</v>
      </c>
      <c r="Y169" s="59">
        <f t="shared" si="35"/>
        <v>1.2689655172413792</v>
      </c>
      <c r="Z169" s="506">
        <f t="shared" si="18"/>
        <v>70.517241379310335</v>
      </c>
      <c r="AA169" s="507">
        <f t="shared" si="36"/>
        <v>11.724137931034482</v>
      </c>
      <c r="AB169" s="508">
        <f t="shared" si="37"/>
        <v>1.3793103448275861</v>
      </c>
      <c r="AC169" s="59">
        <f t="shared" si="38"/>
        <v>1.2689655172413792</v>
      </c>
      <c r="AD169" s="506">
        <f t="shared" si="19"/>
        <v>75.34482758620689</v>
      </c>
      <c r="AE169" s="507">
        <f t="shared" si="39"/>
        <v>11.724137931034482</v>
      </c>
      <c r="AF169" s="508">
        <f t="shared" si="40"/>
        <v>1.7241379310344829</v>
      </c>
      <c r="AG169" s="59">
        <f t="shared" si="41"/>
        <v>1.5862068965517242</v>
      </c>
      <c r="AH169" s="506">
        <f t="shared" si="20"/>
        <v>95.34482758620689</v>
      </c>
      <c r="AI169" s="507">
        <f t="shared" si="42"/>
        <v>11.724137931034482</v>
      </c>
      <c r="AJ169" s="508">
        <f t="shared" si="43"/>
        <v>3.4482758620689657</v>
      </c>
      <c r="AK169" s="60">
        <f t="shared" si="44"/>
        <v>3.1724137931034484</v>
      </c>
    </row>
    <row r="170" spans="1:37" ht="15.5" x14ac:dyDescent="0.35">
      <c r="A170" s="51">
        <v>2014</v>
      </c>
      <c r="B170" s="506">
        <f t="shared" si="12"/>
        <v>91.724137931034477</v>
      </c>
      <c r="C170" s="507">
        <f t="shared" si="12"/>
        <v>31.03448275862069</v>
      </c>
      <c r="D170" s="508">
        <f t="shared" si="12"/>
        <v>3.7931034482758621</v>
      </c>
      <c r="E170" s="59">
        <f>IF($A170&gt;=2009,F$19,IF($A170&gt;=2005,F$18,IF($A170&gt;=2000,F$17,IF($A170&gt;=1998,F$16,F$15))))/$M$15</f>
        <v>3.489655172413793</v>
      </c>
      <c r="F170" s="506">
        <f t="shared" si="13"/>
        <v>91.724137931034477</v>
      </c>
      <c r="G170" s="507">
        <f t="shared" si="21"/>
        <v>17.068965517241377</v>
      </c>
      <c r="H170" s="507">
        <f t="shared" si="22"/>
        <v>3.7931034482758621</v>
      </c>
      <c r="I170" s="509">
        <f t="shared" si="23"/>
        <v>3.489655172413793</v>
      </c>
      <c r="J170" s="506">
        <f t="shared" si="14"/>
        <v>65.517241379310335</v>
      </c>
      <c r="K170" s="507">
        <f t="shared" si="24"/>
        <v>11.724137931034482</v>
      </c>
      <c r="L170" s="508">
        <f t="shared" si="25"/>
        <v>1.5517241379310343</v>
      </c>
      <c r="M170" s="59">
        <f t="shared" si="26"/>
        <v>1.4275862068965517</v>
      </c>
      <c r="N170" s="506">
        <f t="shared" si="15"/>
        <v>68.793103448275858</v>
      </c>
      <c r="O170" s="507">
        <f t="shared" si="27"/>
        <v>11.724137931034482</v>
      </c>
      <c r="P170" s="508">
        <f t="shared" si="28"/>
        <v>1.3793103448275861</v>
      </c>
      <c r="Q170" s="59">
        <f t="shared" si="29"/>
        <v>1.2689655172413792</v>
      </c>
      <c r="R170" s="506">
        <f t="shared" si="16"/>
        <v>68.793103448275858</v>
      </c>
      <c r="S170" s="507">
        <f t="shared" si="30"/>
        <v>11.724137931034482</v>
      </c>
      <c r="T170" s="508">
        <f t="shared" si="31"/>
        <v>1.3793103448275861</v>
      </c>
      <c r="U170" s="59">
        <f t="shared" si="32"/>
        <v>1.2689655172413792</v>
      </c>
      <c r="V170" s="506">
        <f t="shared" si="17"/>
        <v>68.793103448275858</v>
      </c>
      <c r="W170" s="507">
        <f t="shared" si="33"/>
        <v>11.724137931034482</v>
      </c>
      <c r="X170" s="508">
        <f t="shared" si="34"/>
        <v>1.3793103448275861</v>
      </c>
      <c r="Y170" s="59">
        <f t="shared" si="35"/>
        <v>1.2689655172413792</v>
      </c>
      <c r="Z170" s="506">
        <f t="shared" si="18"/>
        <v>70.517241379310335</v>
      </c>
      <c r="AA170" s="507">
        <f t="shared" si="36"/>
        <v>11.724137931034482</v>
      </c>
      <c r="AB170" s="508">
        <f t="shared" si="37"/>
        <v>1.3793103448275861</v>
      </c>
      <c r="AC170" s="59">
        <f t="shared" si="38"/>
        <v>1.2689655172413792</v>
      </c>
      <c r="AD170" s="506">
        <f t="shared" si="19"/>
        <v>75.34482758620689</v>
      </c>
      <c r="AE170" s="507">
        <f t="shared" si="39"/>
        <v>11.724137931034482</v>
      </c>
      <c r="AF170" s="508">
        <f t="shared" si="40"/>
        <v>1.7241379310344829</v>
      </c>
      <c r="AG170" s="59">
        <f t="shared" si="41"/>
        <v>1.5862068965517242</v>
      </c>
      <c r="AH170" s="506">
        <f t="shared" si="20"/>
        <v>85.172413793103445</v>
      </c>
      <c r="AI170" s="507">
        <f t="shared" si="42"/>
        <v>11.724137931034482</v>
      </c>
      <c r="AJ170" s="508">
        <f t="shared" si="43"/>
        <v>4.3103448275862064</v>
      </c>
      <c r="AK170" s="60">
        <f t="shared" si="44"/>
        <v>3.9655172413793105</v>
      </c>
    </row>
    <row r="171" spans="1:37" ht="15.5" x14ac:dyDescent="0.35">
      <c r="A171" s="64">
        <v>2015</v>
      </c>
      <c r="B171" s="506">
        <f t="shared" ref="B171:E196" si="45">IF($A171&gt;=2009,C$19,IF($A171&gt;=2005,C$18,IF($A171&gt;=2000,C$17,IF($A171&gt;=1998,C$16,C$15))))/$M$15</f>
        <v>91.724137931034477</v>
      </c>
      <c r="C171" s="507">
        <f t="shared" si="45"/>
        <v>31.03448275862069</v>
      </c>
      <c r="D171" s="508">
        <f t="shared" si="45"/>
        <v>3.7931034482758621</v>
      </c>
      <c r="E171" s="59">
        <f t="shared" si="45"/>
        <v>3.489655172413793</v>
      </c>
      <c r="F171" s="506">
        <f t="shared" ref="F171:F196" si="46">IF($A171&gt;=2009,C$24,IF($A171&gt;=2005,C$23,IF($A171&gt;=2000,C$22,IF($A171&gt;=1997,C$21,C$20))))/$M$15</f>
        <v>91.724137931034477</v>
      </c>
      <c r="G171" s="507">
        <f t="shared" si="21"/>
        <v>17.068965517241377</v>
      </c>
      <c r="H171" s="507">
        <f t="shared" si="22"/>
        <v>3.7931034482758621</v>
      </c>
      <c r="I171" s="509">
        <f t="shared" si="23"/>
        <v>3.489655172413793</v>
      </c>
      <c r="J171" s="506">
        <f t="shared" ref="J171:J196" si="47">IF($A171&gt;=2013,C$33,IF($A171&gt;=2004,C$32,IF($A171&gt;=2000,C$31,IF($A171&gt;=1996,C$30,IF($A171&gt;=1987,C$29,IF($A171&gt;=1984,C$28,IF($A171&gt;=1979,C$27,IF($A171&gt;=1971,C$26,C$25))))))))/$M$15</f>
        <v>65.517241379310335</v>
      </c>
      <c r="K171" s="507">
        <f t="shared" si="24"/>
        <v>11.724137931034482</v>
      </c>
      <c r="L171" s="508">
        <f t="shared" si="25"/>
        <v>1.5517241379310343</v>
      </c>
      <c r="M171" s="59">
        <f t="shared" si="26"/>
        <v>1.4275862068965517</v>
      </c>
      <c r="N171" s="506">
        <f t="shared" ref="N171:N196" si="48">IF($A171&gt;=2014,C$42,IF($A171&gt;=2004,C$41,IF($A171&gt;=2000,C$40,IF($A171&gt;=1995,C$39,IF($A171&gt;=1987,C$38,IF($A171&gt;=1984,C$37,IF($A171&gt;=1979,C$36,IF($A171&gt;=1971,C$35,C$34))))))))/$M$15</f>
        <v>68.793103448275858</v>
      </c>
      <c r="O171" s="507">
        <f t="shared" si="27"/>
        <v>11.724137931034482</v>
      </c>
      <c r="P171" s="508">
        <f t="shared" si="28"/>
        <v>1.3793103448275861</v>
      </c>
      <c r="Q171" s="59">
        <f t="shared" si="29"/>
        <v>1.2689655172413792</v>
      </c>
      <c r="R171" s="506">
        <f t="shared" ref="R171:R196" si="49">IF($A171&gt;=2014,C$51,IF($A171&gt;=2004,C$50,IF($A171&gt;=2000,C$49,IF($A171&gt;=1995,C$48,IF($A171&gt;=1987,C$47,IF($A171&gt;=1984,C$46,IF($A171&gt;=1979,C$45,IF($A171&gt;=1971,C$44,C$43))))))))/$M$15</f>
        <v>68.793103448275858</v>
      </c>
      <c r="S171" s="507">
        <f t="shared" si="30"/>
        <v>11.724137931034482</v>
      </c>
      <c r="T171" s="508">
        <f t="shared" si="31"/>
        <v>1.3793103448275861</v>
      </c>
      <c r="U171" s="59">
        <f t="shared" si="32"/>
        <v>1.2689655172413792</v>
      </c>
      <c r="V171" s="506">
        <f t="shared" ref="V171:V196" si="50">IF($A171&gt;=2013,C$60,IF($A171&gt;=2007,C$59,IF($A171&gt;=2000,C$58,IF($A171&gt;=1995,C$57,IF($A171&gt;=1987,C$56,IF($A171&gt;=1984,C$55,IF($A171&gt;=1979,C$54,IF($A171&gt;=1971,C$53,C$52))))))))/$M$15</f>
        <v>68.793103448275858</v>
      </c>
      <c r="W171" s="507">
        <f t="shared" si="33"/>
        <v>11.724137931034482</v>
      </c>
      <c r="X171" s="508">
        <f t="shared" si="34"/>
        <v>1.3793103448275861</v>
      </c>
      <c r="Y171" s="59">
        <f t="shared" si="35"/>
        <v>1.2689655172413792</v>
      </c>
      <c r="Z171" s="506">
        <f t="shared" ref="Z171:Z196" si="51">IF($A171&gt;=2017,C$70,IF($A171&gt;=2012,C$69,IF($A171&gt;=2007,C$68,IF($A171&gt;=2000,C$67,IF($A171=1999,C$66,IF($A171&gt;=1987,C$65,IF($A171&gt;=1984,C$64,IF($A171&gt;=1979,C$63,IF($A171&gt;=1971,C$62,C$61)))))))))/$M$15</f>
        <v>70.517241379310335</v>
      </c>
      <c r="AA171" s="507">
        <f t="shared" si="36"/>
        <v>11.724137931034482</v>
      </c>
      <c r="AB171" s="508">
        <f t="shared" si="37"/>
        <v>1.3793103448275861</v>
      </c>
      <c r="AC171" s="59">
        <f t="shared" si="38"/>
        <v>1.2689655172413792</v>
      </c>
      <c r="AD171" s="506">
        <f t="shared" ref="AD171:AD196" si="52">IF($A171&gt;=2016,C$80,IF($A171&gt;=2013,C$79,IF($A171&gt;=2007,C$78,IF($A171&gt;=2000,C$77,IF($A171=1999,C$76,IF($A171&gt;=1987,C$75,IF($A171&gt;=1984,C$74,IF($A171&gt;=1979,C$73,IF($A171&gt;=1971,C$72,C$71)))))))))/$M$15</f>
        <v>75.34482758620689</v>
      </c>
      <c r="AE171" s="507">
        <f t="shared" si="39"/>
        <v>11.724137931034482</v>
      </c>
      <c r="AF171" s="508">
        <f t="shared" si="40"/>
        <v>1.7241379310344829</v>
      </c>
      <c r="AG171" s="59">
        <f t="shared" si="41"/>
        <v>1.5862068965517242</v>
      </c>
      <c r="AH171" s="506">
        <f t="shared" ref="AH171:AH196" si="53">IF($A171&gt;=2016,C$90,IF($A171&gt;=2014,C$89,IF($A171&gt;=2007,C$88,IF($A171&gt;=2000,C$87,IF($A171=1999,C$86,IF($A171&gt;=1987,C$85,IF($A171&gt;=1984,C$84,IF($A171&gt;=1979,C$83,IF($A171&gt;=1971,C$82,C$81)))))))))/$M$15</f>
        <v>85.172413793103445</v>
      </c>
      <c r="AI171" s="507">
        <f t="shared" si="42"/>
        <v>11.724137931034482</v>
      </c>
      <c r="AJ171" s="508">
        <f t="shared" si="43"/>
        <v>4.3103448275862064</v>
      </c>
      <c r="AK171" s="60">
        <f t="shared" si="44"/>
        <v>3.9655172413793105</v>
      </c>
    </row>
    <row r="172" spans="1:37" ht="15.5" x14ac:dyDescent="0.35">
      <c r="A172" s="64">
        <v>2016</v>
      </c>
      <c r="B172" s="506">
        <f t="shared" si="45"/>
        <v>91.724137931034477</v>
      </c>
      <c r="C172" s="507">
        <f t="shared" si="45"/>
        <v>31.03448275862069</v>
      </c>
      <c r="D172" s="508">
        <f t="shared" si="45"/>
        <v>3.7931034482758621</v>
      </c>
      <c r="E172" s="59">
        <f t="shared" si="45"/>
        <v>3.489655172413793</v>
      </c>
      <c r="F172" s="506">
        <f t="shared" si="46"/>
        <v>91.724137931034477</v>
      </c>
      <c r="G172" s="507">
        <f t="shared" si="21"/>
        <v>17.068965517241377</v>
      </c>
      <c r="H172" s="507">
        <f t="shared" si="22"/>
        <v>3.7931034482758621</v>
      </c>
      <c r="I172" s="509">
        <f t="shared" si="23"/>
        <v>3.489655172413793</v>
      </c>
      <c r="J172" s="506">
        <f t="shared" si="47"/>
        <v>65.517241379310335</v>
      </c>
      <c r="K172" s="507">
        <f t="shared" si="24"/>
        <v>11.724137931034482</v>
      </c>
      <c r="L172" s="508">
        <f t="shared" si="25"/>
        <v>1.5517241379310343</v>
      </c>
      <c r="M172" s="59">
        <f t="shared" si="26"/>
        <v>1.4275862068965517</v>
      </c>
      <c r="N172" s="506">
        <f t="shared" si="48"/>
        <v>68.793103448275858</v>
      </c>
      <c r="O172" s="507">
        <f t="shared" si="27"/>
        <v>11.724137931034482</v>
      </c>
      <c r="P172" s="508">
        <f t="shared" si="28"/>
        <v>1.3793103448275861</v>
      </c>
      <c r="Q172" s="59">
        <f t="shared" si="29"/>
        <v>1.2689655172413792</v>
      </c>
      <c r="R172" s="506">
        <f t="shared" si="49"/>
        <v>68.793103448275858</v>
      </c>
      <c r="S172" s="507">
        <f t="shared" si="30"/>
        <v>11.724137931034482</v>
      </c>
      <c r="T172" s="508">
        <f t="shared" si="31"/>
        <v>1.3793103448275861</v>
      </c>
      <c r="U172" s="59">
        <f t="shared" si="32"/>
        <v>1.2689655172413792</v>
      </c>
      <c r="V172" s="506">
        <f t="shared" si="50"/>
        <v>68.793103448275858</v>
      </c>
      <c r="W172" s="507">
        <f t="shared" si="33"/>
        <v>11.724137931034482</v>
      </c>
      <c r="X172" s="508">
        <f t="shared" si="34"/>
        <v>1.3793103448275861</v>
      </c>
      <c r="Y172" s="59">
        <f t="shared" si="35"/>
        <v>1.2689655172413792</v>
      </c>
      <c r="Z172" s="506">
        <f t="shared" si="51"/>
        <v>70.517241379310335</v>
      </c>
      <c r="AA172" s="507">
        <f t="shared" si="36"/>
        <v>11.724137931034482</v>
      </c>
      <c r="AB172" s="508">
        <f t="shared" si="37"/>
        <v>1.3793103448275861</v>
      </c>
      <c r="AC172" s="59">
        <f t="shared" si="38"/>
        <v>1.2689655172413792</v>
      </c>
      <c r="AD172" s="506">
        <f t="shared" si="52"/>
        <v>22.413793103448274</v>
      </c>
      <c r="AE172" s="507">
        <f t="shared" si="39"/>
        <v>3.1034482758620685</v>
      </c>
      <c r="AF172" s="508">
        <f t="shared" si="40"/>
        <v>0.51724137931034475</v>
      </c>
      <c r="AG172" s="59">
        <f t="shared" si="41"/>
        <v>0.47586206896551719</v>
      </c>
      <c r="AH172" s="506">
        <f t="shared" si="53"/>
        <v>22.413793103448274</v>
      </c>
      <c r="AI172" s="507">
        <f t="shared" si="42"/>
        <v>3.1034482758620685</v>
      </c>
      <c r="AJ172" s="508">
        <f t="shared" si="43"/>
        <v>0.51724137931034475</v>
      </c>
      <c r="AK172" s="60">
        <f t="shared" si="44"/>
        <v>0.47586206896551719</v>
      </c>
    </row>
    <row r="173" spans="1:37" ht="15.5" x14ac:dyDescent="0.35">
      <c r="A173" s="64">
        <v>2017</v>
      </c>
      <c r="B173" s="506">
        <f t="shared" si="45"/>
        <v>91.724137931034477</v>
      </c>
      <c r="C173" s="507">
        <f t="shared" si="45"/>
        <v>31.03448275862069</v>
      </c>
      <c r="D173" s="508">
        <f t="shared" si="45"/>
        <v>3.7931034482758621</v>
      </c>
      <c r="E173" s="59">
        <f t="shared" si="45"/>
        <v>3.489655172413793</v>
      </c>
      <c r="F173" s="506">
        <f t="shared" si="46"/>
        <v>91.724137931034477</v>
      </c>
      <c r="G173" s="507">
        <f t="shared" si="21"/>
        <v>17.068965517241377</v>
      </c>
      <c r="H173" s="507">
        <f t="shared" si="22"/>
        <v>3.7931034482758621</v>
      </c>
      <c r="I173" s="509">
        <f t="shared" si="23"/>
        <v>3.489655172413793</v>
      </c>
      <c r="J173" s="506">
        <f t="shared" si="47"/>
        <v>65.517241379310335</v>
      </c>
      <c r="K173" s="507">
        <f t="shared" si="24"/>
        <v>11.724137931034482</v>
      </c>
      <c r="L173" s="508">
        <f t="shared" si="25"/>
        <v>1.5517241379310343</v>
      </c>
      <c r="M173" s="59">
        <f t="shared" si="26"/>
        <v>1.4275862068965517</v>
      </c>
      <c r="N173" s="506">
        <f t="shared" si="48"/>
        <v>68.793103448275858</v>
      </c>
      <c r="O173" s="507">
        <f t="shared" si="27"/>
        <v>11.724137931034482</v>
      </c>
      <c r="P173" s="508">
        <f t="shared" si="28"/>
        <v>1.3793103448275861</v>
      </c>
      <c r="Q173" s="59">
        <f t="shared" si="29"/>
        <v>1.2689655172413792</v>
      </c>
      <c r="R173" s="506">
        <f t="shared" si="49"/>
        <v>68.793103448275858</v>
      </c>
      <c r="S173" s="507">
        <f t="shared" si="30"/>
        <v>11.724137931034482</v>
      </c>
      <c r="T173" s="508">
        <f t="shared" si="31"/>
        <v>1.3793103448275861</v>
      </c>
      <c r="U173" s="59">
        <f t="shared" si="32"/>
        <v>1.2689655172413792</v>
      </c>
      <c r="V173" s="506">
        <f t="shared" si="50"/>
        <v>68.793103448275858</v>
      </c>
      <c r="W173" s="507">
        <f t="shared" si="33"/>
        <v>11.724137931034482</v>
      </c>
      <c r="X173" s="508">
        <f t="shared" si="34"/>
        <v>1.3793103448275861</v>
      </c>
      <c r="Y173" s="59">
        <f t="shared" si="35"/>
        <v>1.2689655172413792</v>
      </c>
      <c r="Z173" s="506">
        <f t="shared" si="51"/>
        <v>22.413793103448274</v>
      </c>
      <c r="AA173" s="507">
        <f t="shared" si="36"/>
        <v>3.1034482758620685</v>
      </c>
      <c r="AB173" s="508">
        <f t="shared" si="37"/>
        <v>0.51724137931034475</v>
      </c>
      <c r="AC173" s="59">
        <f t="shared" si="38"/>
        <v>0.47586206896551719</v>
      </c>
      <c r="AD173" s="506">
        <f t="shared" si="52"/>
        <v>22.413793103448274</v>
      </c>
      <c r="AE173" s="507">
        <f t="shared" si="39"/>
        <v>3.1034482758620685</v>
      </c>
      <c r="AF173" s="508">
        <f t="shared" si="40"/>
        <v>0.51724137931034475</v>
      </c>
      <c r="AG173" s="59">
        <f t="shared" si="41"/>
        <v>0.47586206896551719</v>
      </c>
      <c r="AH173" s="506">
        <f t="shared" si="53"/>
        <v>22.413793103448274</v>
      </c>
      <c r="AI173" s="507">
        <f t="shared" si="42"/>
        <v>3.1034482758620685</v>
      </c>
      <c r="AJ173" s="508">
        <f t="shared" si="43"/>
        <v>0.51724137931034475</v>
      </c>
      <c r="AK173" s="60">
        <f t="shared" si="44"/>
        <v>0.47586206896551719</v>
      </c>
    </row>
    <row r="174" spans="1:37" ht="15.5" x14ac:dyDescent="0.35">
      <c r="A174" s="64">
        <v>2018</v>
      </c>
      <c r="B174" s="506">
        <f t="shared" si="45"/>
        <v>91.724137931034477</v>
      </c>
      <c r="C174" s="507">
        <f t="shared" si="45"/>
        <v>31.03448275862069</v>
      </c>
      <c r="D174" s="508">
        <f t="shared" si="45"/>
        <v>3.7931034482758621</v>
      </c>
      <c r="E174" s="59">
        <f t="shared" si="45"/>
        <v>3.489655172413793</v>
      </c>
      <c r="F174" s="506">
        <f t="shared" si="46"/>
        <v>91.724137931034477</v>
      </c>
      <c r="G174" s="507">
        <f t="shared" si="21"/>
        <v>17.068965517241377</v>
      </c>
      <c r="H174" s="507">
        <f t="shared" si="22"/>
        <v>3.7931034482758621</v>
      </c>
      <c r="I174" s="509">
        <f t="shared" si="23"/>
        <v>3.489655172413793</v>
      </c>
      <c r="J174" s="506">
        <f t="shared" si="47"/>
        <v>65.517241379310335</v>
      </c>
      <c r="K174" s="507">
        <f t="shared" si="24"/>
        <v>11.724137931034482</v>
      </c>
      <c r="L174" s="508">
        <f t="shared" si="25"/>
        <v>1.5517241379310343</v>
      </c>
      <c r="M174" s="59">
        <f t="shared" si="26"/>
        <v>1.4275862068965517</v>
      </c>
      <c r="N174" s="506">
        <f t="shared" si="48"/>
        <v>68.793103448275858</v>
      </c>
      <c r="O174" s="507">
        <f t="shared" si="27"/>
        <v>11.724137931034482</v>
      </c>
      <c r="P174" s="508">
        <f t="shared" si="28"/>
        <v>1.3793103448275861</v>
      </c>
      <c r="Q174" s="59">
        <f t="shared" si="29"/>
        <v>1.2689655172413792</v>
      </c>
      <c r="R174" s="506">
        <f t="shared" si="49"/>
        <v>68.793103448275858</v>
      </c>
      <c r="S174" s="507">
        <f t="shared" si="30"/>
        <v>11.724137931034482</v>
      </c>
      <c r="T174" s="508">
        <f t="shared" si="31"/>
        <v>1.3793103448275861</v>
      </c>
      <c r="U174" s="59">
        <f t="shared" si="32"/>
        <v>1.2689655172413792</v>
      </c>
      <c r="V174" s="506">
        <f t="shared" si="50"/>
        <v>68.793103448275858</v>
      </c>
      <c r="W174" s="507">
        <f t="shared" si="33"/>
        <v>11.724137931034482</v>
      </c>
      <c r="X174" s="508">
        <f t="shared" si="34"/>
        <v>1.3793103448275861</v>
      </c>
      <c r="Y174" s="59">
        <f t="shared" si="35"/>
        <v>1.2689655172413792</v>
      </c>
      <c r="Z174" s="506">
        <f t="shared" si="51"/>
        <v>22.413793103448274</v>
      </c>
      <c r="AA174" s="507">
        <f t="shared" si="36"/>
        <v>3.1034482758620685</v>
      </c>
      <c r="AB174" s="508">
        <f t="shared" si="37"/>
        <v>0.51724137931034475</v>
      </c>
      <c r="AC174" s="59">
        <f t="shared" si="38"/>
        <v>0.47586206896551719</v>
      </c>
      <c r="AD174" s="506">
        <f t="shared" si="52"/>
        <v>22.413793103448274</v>
      </c>
      <c r="AE174" s="507">
        <f t="shared" si="39"/>
        <v>3.1034482758620685</v>
      </c>
      <c r="AF174" s="508">
        <f t="shared" si="40"/>
        <v>0.51724137931034475</v>
      </c>
      <c r="AG174" s="59">
        <f t="shared" si="41"/>
        <v>0.47586206896551719</v>
      </c>
      <c r="AH174" s="506">
        <f t="shared" si="53"/>
        <v>22.413793103448274</v>
      </c>
      <c r="AI174" s="507">
        <f t="shared" si="42"/>
        <v>3.1034482758620685</v>
      </c>
      <c r="AJ174" s="508">
        <f t="shared" si="43"/>
        <v>0.51724137931034475</v>
      </c>
      <c r="AK174" s="60">
        <f t="shared" si="44"/>
        <v>0.47586206896551719</v>
      </c>
    </row>
    <row r="175" spans="1:37" ht="15.5" x14ac:dyDescent="0.35">
      <c r="A175" s="64">
        <v>2019</v>
      </c>
      <c r="B175" s="506">
        <f t="shared" si="45"/>
        <v>91.724137931034477</v>
      </c>
      <c r="C175" s="507">
        <f t="shared" si="45"/>
        <v>31.03448275862069</v>
      </c>
      <c r="D175" s="508">
        <f t="shared" si="45"/>
        <v>3.7931034482758621</v>
      </c>
      <c r="E175" s="59">
        <f t="shared" si="45"/>
        <v>3.489655172413793</v>
      </c>
      <c r="F175" s="506">
        <f t="shared" si="46"/>
        <v>91.724137931034477</v>
      </c>
      <c r="G175" s="507">
        <f t="shared" si="21"/>
        <v>17.068965517241377</v>
      </c>
      <c r="H175" s="507">
        <f t="shared" si="22"/>
        <v>3.7931034482758621</v>
      </c>
      <c r="I175" s="509">
        <f t="shared" si="23"/>
        <v>3.489655172413793</v>
      </c>
      <c r="J175" s="506">
        <f t="shared" si="47"/>
        <v>65.517241379310335</v>
      </c>
      <c r="K175" s="507">
        <f t="shared" si="24"/>
        <v>11.724137931034482</v>
      </c>
      <c r="L175" s="508">
        <f t="shared" si="25"/>
        <v>1.5517241379310343</v>
      </c>
      <c r="M175" s="59">
        <f t="shared" si="26"/>
        <v>1.4275862068965517</v>
      </c>
      <c r="N175" s="506">
        <f t="shared" si="48"/>
        <v>68.793103448275858</v>
      </c>
      <c r="O175" s="507">
        <f t="shared" si="27"/>
        <v>11.724137931034482</v>
      </c>
      <c r="P175" s="508">
        <f t="shared" si="28"/>
        <v>1.3793103448275861</v>
      </c>
      <c r="Q175" s="59">
        <f t="shared" si="29"/>
        <v>1.2689655172413792</v>
      </c>
      <c r="R175" s="506">
        <f t="shared" si="49"/>
        <v>68.793103448275858</v>
      </c>
      <c r="S175" s="507">
        <f t="shared" si="30"/>
        <v>11.724137931034482</v>
      </c>
      <c r="T175" s="508">
        <f t="shared" si="31"/>
        <v>1.3793103448275861</v>
      </c>
      <c r="U175" s="59">
        <f t="shared" si="32"/>
        <v>1.2689655172413792</v>
      </c>
      <c r="V175" s="506">
        <f t="shared" si="50"/>
        <v>68.793103448275858</v>
      </c>
      <c r="W175" s="507">
        <f t="shared" si="33"/>
        <v>11.724137931034482</v>
      </c>
      <c r="X175" s="508">
        <f t="shared" si="34"/>
        <v>1.3793103448275861</v>
      </c>
      <c r="Y175" s="59">
        <f t="shared" si="35"/>
        <v>1.2689655172413792</v>
      </c>
      <c r="Z175" s="506">
        <f t="shared" si="51"/>
        <v>22.413793103448274</v>
      </c>
      <c r="AA175" s="507">
        <f t="shared" si="36"/>
        <v>3.1034482758620685</v>
      </c>
      <c r="AB175" s="508">
        <f t="shared" si="37"/>
        <v>0.51724137931034475</v>
      </c>
      <c r="AC175" s="59">
        <f t="shared" si="38"/>
        <v>0.47586206896551719</v>
      </c>
      <c r="AD175" s="506">
        <f t="shared" si="52"/>
        <v>22.413793103448274</v>
      </c>
      <c r="AE175" s="507">
        <f t="shared" si="39"/>
        <v>3.1034482758620685</v>
      </c>
      <c r="AF175" s="508">
        <f t="shared" si="40"/>
        <v>0.51724137931034475</v>
      </c>
      <c r="AG175" s="59">
        <f t="shared" si="41"/>
        <v>0.47586206896551719</v>
      </c>
      <c r="AH175" s="506">
        <f t="shared" si="53"/>
        <v>22.413793103448274</v>
      </c>
      <c r="AI175" s="507">
        <f t="shared" si="42"/>
        <v>3.1034482758620685</v>
      </c>
      <c r="AJ175" s="508">
        <f t="shared" si="43"/>
        <v>0.51724137931034475</v>
      </c>
      <c r="AK175" s="60">
        <f t="shared" si="44"/>
        <v>0.47586206896551719</v>
      </c>
    </row>
    <row r="176" spans="1:37" ht="15.5" x14ac:dyDescent="0.35">
      <c r="A176" s="64">
        <v>2020</v>
      </c>
      <c r="B176" s="506">
        <f t="shared" si="45"/>
        <v>91.724137931034477</v>
      </c>
      <c r="C176" s="507">
        <f t="shared" si="45"/>
        <v>31.03448275862069</v>
      </c>
      <c r="D176" s="508">
        <f t="shared" si="45"/>
        <v>3.7931034482758621</v>
      </c>
      <c r="E176" s="59">
        <f t="shared" si="45"/>
        <v>3.489655172413793</v>
      </c>
      <c r="F176" s="506">
        <f t="shared" si="46"/>
        <v>91.724137931034477</v>
      </c>
      <c r="G176" s="507">
        <f t="shared" si="21"/>
        <v>17.068965517241377</v>
      </c>
      <c r="H176" s="507">
        <f t="shared" si="22"/>
        <v>3.7931034482758621</v>
      </c>
      <c r="I176" s="509">
        <f t="shared" si="23"/>
        <v>3.489655172413793</v>
      </c>
      <c r="J176" s="506">
        <f t="shared" si="47"/>
        <v>65.517241379310335</v>
      </c>
      <c r="K176" s="507">
        <f t="shared" si="24"/>
        <v>11.724137931034482</v>
      </c>
      <c r="L176" s="508">
        <f t="shared" si="25"/>
        <v>1.5517241379310343</v>
      </c>
      <c r="M176" s="59">
        <f t="shared" si="26"/>
        <v>1.4275862068965517</v>
      </c>
      <c r="N176" s="506">
        <f t="shared" si="48"/>
        <v>68.793103448275858</v>
      </c>
      <c r="O176" s="507">
        <f t="shared" si="27"/>
        <v>11.724137931034482</v>
      </c>
      <c r="P176" s="508">
        <f t="shared" si="28"/>
        <v>1.3793103448275861</v>
      </c>
      <c r="Q176" s="59">
        <f t="shared" si="29"/>
        <v>1.2689655172413792</v>
      </c>
      <c r="R176" s="506">
        <f t="shared" si="49"/>
        <v>68.793103448275858</v>
      </c>
      <c r="S176" s="507">
        <f t="shared" si="30"/>
        <v>11.724137931034482</v>
      </c>
      <c r="T176" s="508">
        <f t="shared" si="31"/>
        <v>1.3793103448275861</v>
      </c>
      <c r="U176" s="59">
        <f t="shared" si="32"/>
        <v>1.2689655172413792</v>
      </c>
      <c r="V176" s="506">
        <f t="shared" si="50"/>
        <v>68.793103448275858</v>
      </c>
      <c r="W176" s="507">
        <f t="shared" si="33"/>
        <v>11.724137931034482</v>
      </c>
      <c r="X176" s="508">
        <f t="shared" si="34"/>
        <v>1.3793103448275861</v>
      </c>
      <c r="Y176" s="59">
        <f t="shared" si="35"/>
        <v>1.2689655172413792</v>
      </c>
      <c r="Z176" s="506">
        <f t="shared" si="51"/>
        <v>22.413793103448274</v>
      </c>
      <c r="AA176" s="507">
        <f t="shared" si="36"/>
        <v>3.1034482758620685</v>
      </c>
      <c r="AB176" s="508">
        <f t="shared" si="37"/>
        <v>0.51724137931034475</v>
      </c>
      <c r="AC176" s="59">
        <f t="shared" si="38"/>
        <v>0.47586206896551719</v>
      </c>
      <c r="AD176" s="506">
        <f t="shared" si="52"/>
        <v>22.413793103448274</v>
      </c>
      <c r="AE176" s="507">
        <f t="shared" si="39"/>
        <v>3.1034482758620685</v>
      </c>
      <c r="AF176" s="508">
        <f t="shared" si="40"/>
        <v>0.51724137931034475</v>
      </c>
      <c r="AG176" s="59">
        <f t="shared" si="41"/>
        <v>0.47586206896551719</v>
      </c>
      <c r="AH176" s="506">
        <f t="shared" si="53"/>
        <v>22.413793103448274</v>
      </c>
      <c r="AI176" s="507">
        <f t="shared" si="42"/>
        <v>3.1034482758620685</v>
      </c>
      <c r="AJ176" s="508">
        <f t="shared" si="43"/>
        <v>0.51724137931034475</v>
      </c>
      <c r="AK176" s="60">
        <f t="shared" si="44"/>
        <v>0.47586206896551719</v>
      </c>
    </row>
    <row r="177" spans="1:37" ht="15.5" x14ac:dyDescent="0.35">
      <c r="A177" s="64">
        <v>2021</v>
      </c>
      <c r="B177" s="506">
        <f t="shared" si="45"/>
        <v>91.724137931034477</v>
      </c>
      <c r="C177" s="507">
        <f t="shared" si="45"/>
        <v>31.03448275862069</v>
      </c>
      <c r="D177" s="508">
        <f t="shared" si="45"/>
        <v>3.7931034482758621</v>
      </c>
      <c r="E177" s="59">
        <f t="shared" si="45"/>
        <v>3.489655172413793</v>
      </c>
      <c r="F177" s="506">
        <f t="shared" si="46"/>
        <v>91.724137931034477</v>
      </c>
      <c r="G177" s="507">
        <f t="shared" si="21"/>
        <v>17.068965517241377</v>
      </c>
      <c r="H177" s="507">
        <f t="shared" si="22"/>
        <v>3.7931034482758621</v>
      </c>
      <c r="I177" s="509">
        <f t="shared" si="23"/>
        <v>3.489655172413793</v>
      </c>
      <c r="J177" s="506">
        <f t="shared" si="47"/>
        <v>65.517241379310335</v>
      </c>
      <c r="K177" s="507">
        <f t="shared" si="24"/>
        <v>11.724137931034482</v>
      </c>
      <c r="L177" s="508">
        <f t="shared" si="25"/>
        <v>1.5517241379310343</v>
      </c>
      <c r="M177" s="59">
        <f t="shared" si="26"/>
        <v>1.4275862068965517</v>
      </c>
      <c r="N177" s="506">
        <f t="shared" si="48"/>
        <v>68.793103448275858</v>
      </c>
      <c r="O177" s="507">
        <f t="shared" si="27"/>
        <v>11.724137931034482</v>
      </c>
      <c r="P177" s="508">
        <f t="shared" si="28"/>
        <v>1.3793103448275861</v>
      </c>
      <c r="Q177" s="59">
        <f t="shared" si="29"/>
        <v>1.2689655172413792</v>
      </c>
      <c r="R177" s="506">
        <f t="shared" si="49"/>
        <v>68.793103448275858</v>
      </c>
      <c r="S177" s="507">
        <f t="shared" si="30"/>
        <v>11.724137931034482</v>
      </c>
      <c r="T177" s="508">
        <f t="shared" si="31"/>
        <v>1.3793103448275861</v>
      </c>
      <c r="U177" s="59">
        <f t="shared" si="32"/>
        <v>1.2689655172413792</v>
      </c>
      <c r="V177" s="506">
        <f t="shared" si="50"/>
        <v>68.793103448275858</v>
      </c>
      <c r="W177" s="507">
        <f t="shared" si="33"/>
        <v>11.724137931034482</v>
      </c>
      <c r="X177" s="508">
        <f t="shared" si="34"/>
        <v>1.3793103448275861</v>
      </c>
      <c r="Y177" s="59">
        <f t="shared" si="35"/>
        <v>1.2689655172413792</v>
      </c>
      <c r="Z177" s="506">
        <f t="shared" si="51"/>
        <v>22.413793103448274</v>
      </c>
      <c r="AA177" s="507">
        <f t="shared" si="36"/>
        <v>3.1034482758620685</v>
      </c>
      <c r="AB177" s="508">
        <f t="shared" si="37"/>
        <v>0.51724137931034475</v>
      </c>
      <c r="AC177" s="59">
        <f t="shared" si="38"/>
        <v>0.47586206896551719</v>
      </c>
      <c r="AD177" s="506">
        <f t="shared" si="52"/>
        <v>22.413793103448274</v>
      </c>
      <c r="AE177" s="507">
        <f t="shared" si="39"/>
        <v>3.1034482758620685</v>
      </c>
      <c r="AF177" s="508">
        <f t="shared" si="40"/>
        <v>0.51724137931034475</v>
      </c>
      <c r="AG177" s="59">
        <f t="shared" si="41"/>
        <v>0.47586206896551719</v>
      </c>
      <c r="AH177" s="506">
        <f t="shared" si="53"/>
        <v>22.413793103448274</v>
      </c>
      <c r="AI177" s="507">
        <f t="shared" si="42"/>
        <v>3.1034482758620685</v>
      </c>
      <c r="AJ177" s="508">
        <f t="shared" si="43"/>
        <v>0.51724137931034475</v>
      </c>
      <c r="AK177" s="60">
        <f t="shared" si="44"/>
        <v>0.47586206896551719</v>
      </c>
    </row>
    <row r="178" spans="1:37" ht="15.5" x14ac:dyDescent="0.35">
      <c r="A178" s="64">
        <v>2022</v>
      </c>
      <c r="B178" s="506">
        <f t="shared" si="45"/>
        <v>91.724137931034477</v>
      </c>
      <c r="C178" s="507">
        <f t="shared" si="45"/>
        <v>31.03448275862069</v>
      </c>
      <c r="D178" s="508">
        <f t="shared" si="45"/>
        <v>3.7931034482758621</v>
      </c>
      <c r="E178" s="59">
        <f t="shared" si="45"/>
        <v>3.489655172413793</v>
      </c>
      <c r="F178" s="506">
        <f t="shared" si="46"/>
        <v>91.724137931034477</v>
      </c>
      <c r="G178" s="507">
        <f t="shared" si="21"/>
        <v>17.068965517241377</v>
      </c>
      <c r="H178" s="507">
        <f t="shared" si="22"/>
        <v>3.7931034482758621</v>
      </c>
      <c r="I178" s="509">
        <f t="shared" si="23"/>
        <v>3.489655172413793</v>
      </c>
      <c r="J178" s="506">
        <f t="shared" si="47"/>
        <v>65.517241379310335</v>
      </c>
      <c r="K178" s="507">
        <f t="shared" si="24"/>
        <v>11.724137931034482</v>
      </c>
      <c r="L178" s="508">
        <f t="shared" si="25"/>
        <v>1.5517241379310343</v>
      </c>
      <c r="M178" s="59">
        <f t="shared" si="26"/>
        <v>1.4275862068965517</v>
      </c>
      <c r="N178" s="506">
        <f t="shared" si="48"/>
        <v>68.793103448275858</v>
      </c>
      <c r="O178" s="507">
        <f t="shared" si="27"/>
        <v>11.724137931034482</v>
      </c>
      <c r="P178" s="508">
        <f t="shared" si="28"/>
        <v>1.3793103448275861</v>
      </c>
      <c r="Q178" s="59">
        <f t="shared" si="29"/>
        <v>1.2689655172413792</v>
      </c>
      <c r="R178" s="506">
        <f t="shared" si="49"/>
        <v>68.793103448275858</v>
      </c>
      <c r="S178" s="507">
        <f t="shared" si="30"/>
        <v>11.724137931034482</v>
      </c>
      <c r="T178" s="508">
        <f t="shared" si="31"/>
        <v>1.3793103448275861</v>
      </c>
      <c r="U178" s="59">
        <f t="shared" si="32"/>
        <v>1.2689655172413792</v>
      </c>
      <c r="V178" s="506">
        <f t="shared" si="50"/>
        <v>68.793103448275858</v>
      </c>
      <c r="W178" s="507">
        <f t="shared" si="33"/>
        <v>11.724137931034482</v>
      </c>
      <c r="X178" s="508">
        <f t="shared" si="34"/>
        <v>1.3793103448275861</v>
      </c>
      <c r="Y178" s="59">
        <f t="shared" si="35"/>
        <v>1.2689655172413792</v>
      </c>
      <c r="Z178" s="506">
        <f t="shared" si="51"/>
        <v>22.413793103448274</v>
      </c>
      <c r="AA178" s="507">
        <f t="shared" si="36"/>
        <v>3.1034482758620685</v>
      </c>
      <c r="AB178" s="508">
        <f t="shared" si="37"/>
        <v>0.51724137931034475</v>
      </c>
      <c r="AC178" s="59">
        <f t="shared" si="38"/>
        <v>0.47586206896551719</v>
      </c>
      <c r="AD178" s="506">
        <f t="shared" si="52"/>
        <v>22.413793103448274</v>
      </c>
      <c r="AE178" s="507">
        <f t="shared" si="39"/>
        <v>3.1034482758620685</v>
      </c>
      <c r="AF178" s="508">
        <f t="shared" si="40"/>
        <v>0.51724137931034475</v>
      </c>
      <c r="AG178" s="59">
        <f t="shared" si="41"/>
        <v>0.47586206896551719</v>
      </c>
      <c r="AH178" s="506">
        <f t="shared" si="53"/>
        <v>22.413793103448274</v>
      </c>
      <c r="AI178" s="507">
        <f t="shared" si="42"/>
        <v>3.1034482758620685</v>
      </c>
      <c r="AJ178" s="508">
        <f t="shared" si="43"/>
        <v>0.51724137931034475</v>
      </c>
      <c r="AK178" s="60">
        <f t="shared" si="44"/>
        <v>0.47586206896551719</v>
      </c>
    </row>
    <row r="179" spans="1:37" ht="15.5" x14ac:dyDescent="0.35">
      <c r="A179" s="64">
        <v>2023</v>
      </c>
      <c r="B179" s="506">
        <f t="shared" si="45"/>
        <v>91.724137931034477</v>
      </c>
      <c r="C179" s="507">
        <f t="shared" si="45"/>
        <v>31.03448275862069</v>
      </c>
      <c r="D179" s="508">
        <f t="shared" si="45"/>
        <v>3.7931034482758621</v>
      </c>
      <c r="E179" s="59">
        <f t="shared" si="45"/>
        <v>3.489655172413793</v>
      </c>
      <c r="F179" s="506">
        <f t="shared" si="46"/>
        <v>91.724137931034477</v>
      </c>
      <c r="G179" s="507">
        <f t="shared" si="21"/>
        <v>17.068965517241377</v>
      </c>
      <c r="H179" s="507">
        <f t="shared" si="22"/>
        <v>3.7931034482758621</v>
      </c>
      <c r="I179" s="509">
        <f t="shared" si="23"/>
        <v>3.489655172413793</v>
      </c>
      <c r="J179" s="506">
        <f t="shared" si="47"/>
        <v>65.517241379310335</v>
      </c>
      <c r="K179" s="507">
        <f t="shared" si="24"/>
        <v>11.724137931034482</v>
      </c>
      <c r="L179" s="508">
        <f t="shared" si="25"/>
        <v>1.5517241379310343</v>
      </c>
      <c r="M179" s="59">
        <f t="shared" si="26"/>
        <v>1.4275862068965517</v>
      </c>
      <c r="N179" s="506">
        <f t="shared" si="48"/>
        <v>68.793103448275858</v>
      </c>
      <c r="O179" s="507">
        <f t="shared" si="27"/>
        <v>11.724137931034482</v>
      </c>
      <c r="P179" s="508">
        <f t="shared" si="28"/>
        <v>1.3793103448275861</v>
      </c>
      <c r="Q179" s="59">
        <f t="shared" si="29"/>
        <v>1.2689655172413792</v>
      </c>
      <c r="R179" s="506">
        <f t="shared" si="49"/>
        <v>68.793103448275858</v>
      </c>
      <c r="S179" s="507">
        <f t="shared" si="30"/>
        <v>11.724137931034482</v>
      </c>
      <c r="T179" s="508">
        <f t="shared" si="31"/>
        <v>1.3793103448275861</v>
      </c>
      <c r="U179" s="59">
        <f t="shared" si="32"/>
        <v>1.2689655172413792</v>
      </c>
      <c r="V179" s="506">
        <f t="shared" si="50"/>
        <v>68.793103448275858</v>
      </c>
      <c r="W179" s="507">
        <f t="shared" si="33"/>
        <v>11.724137931034482</v>
      </c>
      <c r="X179" s="508">
        <f t="shared" si="34"/>
        <v>1.3793103448275861</v>
      </c>
      <c r="Y179" s="59">
        <f t="shared" si="35"/>
        <v>1.2689655172413792</v>
      </c>
      <c r="Z179" s="506">
        <f t="shared" si="51"/>
        <v>22.413793103448274</v>
      </c>
      <c r="AA179" s="507">
        <f t="shared" si="36"/>
        <v>3.1034482758620685</v>
      </c>
      <c r="AB179" s="508">
        <f t="shared" si="37"/>
        <v>0.51724137931034475</v>
      </c>
      <c r="AC179" s="59">
        <f t="shared" si="38"/>
        <v>0.47586206896551719</v>
      </c>
      <c r="AD179" s="506">
        <f t="shared" si="52"/>
        <v>22.413793103448274</v>
      </c>
      <c r="AE179" s="507">
        <f t="shared" si="39"/>
        <v>3.1034482758620685</v>
      </c>
      <c r="AF179" s="508">
        <f t="shared" si="40"/>
        <v>0.51724137931034475</v>
      </c>
      <c r="AG179" s="59">
        <f t="shared" si="41"/>
        <v>0.47586206896551719</v>
      </c>
      <c r="AH179" s="506">
        <f t="shared" si="53"/>
        <v>22.413793103448274</v>
      </c>
      <c r="AI179" s="507">
        <f t="shared" si="42"/>
        <v>3.1034482758620685</v>
      </c>
      <c r="AJ179" s="508">
        <f t="shared" si="43"/>
        <v>0.51724137931034475</v>
      </c>
      <c r="AK179" s="60">
        <f t="shared" si="44"/>
        <v>0.47586206896551719</v>
      </c>
    </row>
    <row r="180" spans="1:37" ht="15.5" x14ac:dyDescent="0.35">
      <c r="A180" s="64">
        <v>2024</v>
      </c>
      <c r="B180" s="506">
        <f t="shared" si="45"/>
        <v>91.724137931034477</v>
      </c>
      <c r="C180" s="507">
        <f t="shared" si="45"/>
        <v>31.03448275862069</v>
      </c>
      <c r="D180" s="508">
        <f t="shared" si="45"/>
        <v>3.7931034482758621</v>
      </c>
      <c r="E180" s="59">
        <f t="shared" si="45"/>
        <v>3.489655172413793</v>
      </c>
      <c r="F180" s="506">
        <f t="shared" si="46"/>
        <v>91.724137931034477</v>
      </c>
      <c r="G180" s="507">
        <f t="shared" si="21"/>
        <v>17.068965517241377</v>
      </c>
      <c r="H180" s="507">
        <f t="shared" si="22"/>
        <v>3.7931034482758621</v>
      </c>
      <c r="I180" s="509">
        <f t="shared" si="23"/>
        <v>3.489655172413793</v>
      </c>
      <c r="J180" s="506">
        <f t="shared" si="47"/>
        <v>65.517241379310335</v>
      </c>
      <c r="K180" s="507">
        <f t="shared" si="24"/>
        <v>11.724137931034482</v>
      </c>
      <c r="L180" s="508">
        <f t="shared" si="25"/>
        <v>1.5517241379310343</v>
      </c>
      <c r="M180" s="59">
        <f t="shared" si="26"/>
        <v>1.4275862068965517</v>
      </c>
      <c r="N180" s="506">
        <f t="shared" si="48"/>
        <v>68.793103448275858</v>
      </c>
      <c r="O180" s="507">
        <f t="shared" si="27"/>
        <v>11.724137931034482</v>
      </c>
      <c r="P180" s="508">
        <f t="shared" si="28"/>
        <v>1.3793103448275861</v>
      </c>
      <c r="Q180" s="59">
        <f t="shared" si="29"/>
        <v>1.2689655172413792</v>
      </c>
      <c r="R180" s="506">
        <f t="shared" si="49"/>
        <v>68.793103448275858</v>
      </c>
      <c r="S180" s="507">
        <f t="shared" si="30"/>
        <v>11.724137931034482</v>
      </c>
      <c r="T180" s="508">
        <f t="shared" si="31"/>
        <v>1.3793103448275861</v>
      </c>
      <c r="U180" s="59">
        <f t="shared" si="32"/>
        <v>1.2689655172413792</v>
      </c>
      <c r="V180" s="506">
        <f t="shared" si="50"/>
        <v>68.793103448275858</v>
      </c>
      <c r="W180" s="507">
        <f t="shared" si="33"/>
        <v>11.724137931034482</v>
      </c>
      <c r="X180" s="508">
        <f t="shared" si="34"/>
        <v>1.3793103448275861</v>
      </c>
      <c r="Y180" s="59">
        <f t="shared" si="35"/>
        <v>1.2689655172413792</v>
      </c>
      <c r="Z180" s="506">
        <f t="shared" si="51"/>
        <v>22.413793103448274</v>
      </c>
      <c r="AA180" s="507">
        <f t="shared" si="36"/>
        <v>3.1034482758620685</v>
      </c>
      <c r="AB180" s="508">
        <f t="shared" si="37"/>
        <v>0.51724137931034475</v>
      </c>
      <c r="AC180" s="59">
        <f t="shared" si="38"/>
        <v>0.47586206896551719</v>
      </c>
      <c r="AD180" s="506">
        <f t="shared" si="52"/>
        <v>22.413793103448274</v>
      </c>
      <c r="AE180" s="507">
        <f t="shared" si="39"/>
        <v>3.1034482758620685</v>
      </c>
      <c r="AF180" s="508">
        <f t="shared" si="40"/>
        <v>0.51724137931034475</v>
      </c>
      <c r="AG180" s="59">
        <f t="shared" si="41"/>
        <v>0.47586206896551719</v>
      </c>
      <c r="AH180" s="506">
        <f t="shared" si="53"/>
        <v>22.413793103448274</v>
      </c>
      <c r="AI180" s="507">
        <f t="shared" si="42"/>
        <v>3.1034482758620685</v>
      </c>
      <c r="AJ180" s="508">
        <f t="shared" si="43"/>
        <v>0.51724137931034475</v>
      </c>
      <c r="AK180" s="60">
        <f t="shared" si="44"/>
        <v>0.47586206896551719</v>
      </c>
    </row>
    <row r="181" spans="1:37" ht="15.5" x14ac:dyDescent="0.35">
      <c r="A181" s="64">
        <v>2025</v>
      </c>
      <c r="B181" s="506">
        <f t="shared" si="45"/>
        <v>91.724137931034477</v>
      </c>
      <c r="C181" s="507">
        <f t="shared" si="45"/>
        <v>31.03448275862069</v>
      </c>
      <c r="D181" s="508">
        <f t="shared" si="45"/>
        <v>3.7931034482758621</v>
      </c>
      <c r="E181" s="59">
        <f t="shared" si="45"/>
        <v>3.489655172413793</v>
      </c>
      <c r="F181" s="506">
        <f t="shared" si="46"/>
        <v>91.724137931034477</v>
      </c>
      <c r="G181" s="507">
        <f t="shared" si="21"/>
        <v>17.068965517241377</v>
      </c>
      <c r="H181" s="507">
        <f t="shared" si="22"/>
        <v>3.7931034482758621</v>
      </c>
      <c r="I181" s="509">
        <f t="shared" si="23"/>
        <v>3.489655172413793</v>
      </c>
      <c r="J181" s="506">
        <f t="shared" si="47"/>
        <v>65.517241379310335</v>
      </c>
      <c r="K181" s="507">
        <f t="shared" si="24"/>
        <v>11.724137931034482</v>
      </c>
      <c r="L181" s="508">
        <f t="shared" si="25"/>
        <v>1.5517241379310343</v>
      </c>
      <c r="M181" s="59">
        <f t="shared" si="26"/>
        <v>1.4275862068965517</v>
      </c>
      <c r="N181" s="506">
        <f t="shared" si="48"/>
        <v>68.793103448275858</v>
      </c>
      <c r="O181" s="507">
        <f t="shared" si="27"/>
        <v>11.724137931034482</v>
      </c>
      <c r="P181" s="508">
        <f t="shared" si="28"/>
        <v>1.3793103448275861</v>
      </c>
      <c r="Q181" s="59">
        <f t="shared" si="29"/>
        <v>1.2689655172413792</v>
      </c>
      <c r="R181" s="506">
        <f t="shared" si="49"/>
        <v>68.793103448275858</v>
      </c>
      <c r="S181" s="507">
        <f t="shared" si="30"/>
        <v>11.724137931034482</v>
      </c>
      <c r="T181" s="508">
        <f t="shared" si="31"/>
        <v>1.3793103448275861</v>
      </c>
      <c r="U181" s="59">
        <f t="shared" si="32"/>
        <v>1.2689655172413792</v>
      </c>
      <c r="V181" s="506">
        <f t="shared" si="50"/>
        <v>68.793103448275858</v>
      </c>
      <c r="W181" s="507">
        <f t="shared" si="33"/>
        <v>11.724137931034482</v>
      </c>
      <c r="X181" s="508">
        <f t="shared" si="34"/>
        <v>1.3793103448275861</v>
      </c>
      <c r="Y181" s="59">
        <f t="shared" si="35"/>
        <v>1.2689655172413792</v>
      </c>
      <c r="Z181" s="506">
        <f t="shared" si="51"/>
        <v>22.413793103448274</v>
      </c>
      <c r="AA181" s="507">
        <f t="shared" si="36"/>
        <v>3.1034482758620685</v>
      </c>
      <c r="AB181" s="508">
        <f t="shared" si="37"/>
        <v>0.51724137931034475</v>
      </c>
      <c r="AC181" s="59">
        <f t="shared" si="38"/>
        <v>0.47586206896551719</v>
      </c>
      <c r="AD181" s="506">
        <f t="shared" si="52"/>
        <v>22.413793103448274</v>
      </c>
      <c r="AE181" s="507">
        <f t="shared" si="39"/>
        <v>3.1034482758620685</v>
      </c>
      <c r="AF181" s="508">
        <f t="shared" si="40"/>
        <v>0.51724137931034475</v>
      </c>
      <c r="AG181" s="59">
        <f t="shared" si="41"/>
        <v>0.47586206896551719</v>
      </c>
      <c r="AH181" s="506">
        <f t="shared" si="53"/>
        <v>22.413793103448274</v>
      </c>
      <c r="AI181" s="507">
        <f t="shared" si="42"/>
        <v>3.1034482758620685</v>
      </c>
      <c r="AJ181" s="508">
        <f t="shared" si="43"/>
        <v>0.51724137931034475</v>
      </c>
      <c r="AK181" s="60">
        <f t="shared" si="44"/>
        <v>0.47586206896551719</v>
      </c>
    </row>
    <row r="182" spans="1:37" ht="15.5" x14ac:dyDescent="0.35">
      <c r="A182" s="64">
        <v>2026</v>
      </c>
      <c r="B182" s="506">
        <f t="shared" si="45"/>
        <v>91.724137931034477</v>
      </c>
      <c r="C182" s="507">
        <f t="shared" si="45"/>
        <v>31.03448275862069</v>
      </c>
      <c r="D182" s="508">
        <f t="shared" si="45"/>
        <v>3.7931034482758621</v>
      </c>
      <c r="E182" s="59">
        <f t="shared" si="45"/>
        <v>3.489655172413793</v>
      </c>
      <c r="F182" s="506">
        <f t="shared" si="46"/>
        <v>91.724137931034477</v>
      </c>
      <c r="G182" s="507">
        <f t="shared" si="21"/>
        <v>17.068965517241377</v>
      </c>
      <c r="H182" s="507">
        <f t="shared" si="22"/>
        <v>3.7931034482758621</v>
      </c>
      <c r="I182" s="509">
        <f t="shared" si="23"/>
        <v>3.489655172413793</v>
      </c>
      <c r="J182" s="506">
        <f t="shared" si="47"/>
        <v>65.517241379310335</v>
      </c>
      <c r="K182" s="507">
        <f t="shared" si="24"/>
        <v>11.724137931034482</v>
      </c>
      <c r="L182" s="508">
        <f t="shared" si="25"/>
        <v>1.5517241379310343</v>
      </c>
      <c r="M182" s="59">
        <f t="shared" si="26"/>
        <v>1.4275862068965517</v>
      </c>
      <c r="N182" s="506">
        <f t="shared" si="48"/>
        <v>68.793103448275858</v>
      </c>
      <c r="O182" s="507">
        <f t="shared" si="27"/>
        <v>11.724137931034482</v>
      </c>
      <c r="P182" s="508">
        <f t="shared" si="28"/>
        <v>1.3793103448275861</v>
      </c>
      <c r="Q182" s="59">
        <f t="shared" si="29"/>
        <v>1.2689655172413792</v>
      </c>
      <c r="R182" s="506">
        <f t="shared" si="49"/>
        <v>68.793103448275858</v>
      </c>
      <c r="S182" s="507">
        <f t="shared" si="30"/>
        <v>11.724137931034482</v>
      </c>
      <c r="T182" s="508">
        <f t="shared" si="31"/>
        <v>1.3793103448275861</v>
      </c>
      <c r="U182" s="59">
        <f t="shared" si="32"/>
        <v>1.2689655172413792</v>
      </c>
      <c r="V182" s="506">
        <f t="shared" si="50"/>
        <v>68.793103448275858</v>
      </c>
      <c r="W182" s="507">
        <f t="shared" si="33"/>
        <v>11.724137931034482</v>
      </c>
      <c r="X182" s="508">
        <f t="shared" si="34"/>
        <v>1.3793103448275861</v>
      </c>
      <c r="Y182" s="59">
        <f t="shared" si="35"/>
        <v>1.2689655172413792</v>
      </c>
      <c r="Z182" s="506">
        <f t="shared" si="51"/>
        <v>22.413793103448274</v>
      </c>
      <c r="AA182" s="507">
        <f t="shared" si="36"/>
        <v>3.1034482758620685</v>
      </c>
      <c r="AB182" s="508">
        <f t="shared" si="37"/>
        <v>0.51724137931034475</v>
      </c>
      <c r="AC182" s="59">
        <f t="shared" si="38"/>
        <v>0.47586206896551719</v>
      </c>
      <c r="AD182" s="506">
        <f t="shared" si="52"/>
        <v>22.413793103448274</v>
      </c>
      <c r="AE182" s="507">
        <f t="shared" si="39"/>
        <v>3.1034482758620685</v>
      </c>
      <c r="AF182" s="508">
        <f t="shared" si="40"/>
        <v>0.51724137931034475</v>
      </c>
      <c r="AG182" s="59">
        <f t="shared" si="41"/>
        <v>0.47586206896551719</v>
      </c>
      <c r="AH182" s="506">
        <f t="shared" si="53"/>
        <v>22.413793103448274</v>
      </c>
      <c r="AI182" s="507">
        <f t="shared" si="42"/>
        <v>3.1034482758620685</v>
      </c>
      <c r="AJ182" s="508">
        <f t="shared" si="43"/>
        <v>0.51724137931034475</v>
      </c>
      <c r="AK182" s="60">
        <f t="shared" si="44"/>
        <v>0.47586206896551719</v>
      </c>
    </row>
    <row r="183" spans="1:37" ht="15.5" x14ac:dyDescent="0.35">
      <c r="A183" s="64">
        <v>2027</v>
      </c>
      <c r="B183" s="506">
        <f t="shared" si="45"/>
        <v>91.724137931034477</v>
      </c>
      <c r="C183" s="507">
        <f t="shared" si="45"/>
        <v>31.03448275862069</v>
      </c>
      <c r="D183" s="508">
        <f t="shared" si="45"/>
        <v>3.7931034482758621</v>
      </c>
      <c r="E183" s="59">
        <f t="shared" si="45"/>
        <v>3.489655172413793</v>
      </c>
      <c r="F183" s="506">
        <f t="shared" si="46"/>
        <v>91.724137931034477</v>
      </c>
      <c r="G183" s="507">
        <f t="shared" si="21"/>
        <v>17.068965517241377</v>
      </c>
      <c r="H183" s="507">
        <f t="shared" si="22"/>
        <v>3.7931034482758621</v>
      </c>
      <c r="I183" s="509">
        <f t="shared" si="23"/>
        <v>3.489655172413793</v>
      </c>
      <c r="J183" s="506">
        <f t="shared" si="47"/>
        <v>65.517241379310335</v>
      </c>
      <c r="K183" s="507">
        <f t="shared" si="24"/>
        <v>11.724137931034482</v>
      </c>
      <c r="L183" s="508">
        <f t="shared" si="25"/>
        <v>1.5517241379310343</v>
      </c>
      <c r="M183" s="59">
        <f t="shared" si="26"/>
        <v>1.4275862068965517</v>
      </c>
      <c r="N183" s="506">
        <f t="shared" si="48"/>
        <v>68.793103448275858</v>
      </c>
      <c r="O183" s="507">
        <f t="shared" si="27"/>
        <v>11.724137931034482</v>
      </c>
      <c r="P183" s="508">
        <f t="shared" si="28"/>
        <v>1.3793103448275861</v>
      </c>
      <c r="Q183" s="59">
        <f t="shared" si="29"/>
        <v>1.2689655172413792</v>
      </c>
      <c r="R183" s="506">
        <f t="shared" si="49"/>
        <v>68.793103448275858</v>
      </c>
      <c r="S183" s="507">
        <f t="shared" si="30"/>
        <v>11.724137931034482</v>
      </c>
      <c r="T183" s="508">
        <f t="shared" si="31"/>
        <v>1.3793103448275861</v>
      </c>
      <c r="U183" s="59">
        <f t="shared" si="32"/>
        <v>1.2689655172413792</v>
      </c>
      <c r="V183" s="506">
        <f t="shared" si="50"/>
        <v>68.793103448275858</v>
      </c>
      <c r="W183" s="507">
        <f t="shared" si="33"/>
        <v>11.724137931034482</v>
      </c>
      <c r="X183" s="508">
        <f t="shared" si="34"/>
        <v>1.3793103448275861</v>
      </c>
      <c r="Y183" s="59">
        <f t="shared" si="35"/>
        <v>1.2689655172413792</v>
      </c>
      <c r="Z183" s="506">
        <f t="shared" si="51"/>
        <v>22.413793103448274</v>
      </c>
      <c r="AA183" s="507">
        <f t="shared" si="36"/>
        <v>3.1034482758620685</v>
      </c>
      <c r="AB183" s="508">
        <f t="shared" si="37"/>
        <v>0.51724137931034475</v>
      </c>
      <c r="AC183" s="59">
        <f t="shared" si="38"/>
        <v>0.47586206896551719</v>
      </c>
      <c r="AD183" s="506">
        <f t="shared" si="52"/>
        <v>22.413793103448274</v>
      </c>
      <c r="AE183" s="507">
        <f t="shared" si="39"/>
        <v>3.1034482758620685</v>
      </c>
      <c r="AF183" s="508">
        <f t="shared" si="40"/>
        <v>0.51724137931034475</v>
      </c>
      <c r="AG183" s="59">
        <f t="shared" si="41"/>
        <v>0.47586206896551719</v>
      </c>
      <c r="AH183" s="506">
        <f t="shared" si="53"/>
        <v>22.413793103448274</v>
      </c>
      <c r="AI183" s="507">
        <f t="shared" si="42"/>
        <v>3.1034482758620685</v>
      </c>
      <c r="AJ183" s="508">
        <f t="shared" si="43"/>
        <v>0.51724137931034475</v>
      </c>
      <c r="AK183" s="60">
        <f t="shared" si="44"/>
        <v>0.47586206896551719</v>
      </c>
    </row>
    <row r="184" spans="1:37" ht="15.5" x14ac:dyDescent="0.35">
      <c r="A184" s="64">
        <v>2028</v>
      </c>
      <c r="B184" s="506">
        <f t="shared" si="45"/>
        <v>91.724137931034477</v>
      </c>
      <c r="C184" s="507">
        <f t="shared" si="45"/>
        <v>31.03448275862069</v>
      </c>
      <c r="D184" s="508">
        <f t="shared" si="45"/>
        <v>3.7931034482758621</v>
      </c>
      <c r="E184" s="59">
        <f t="shared" si="45"/>
        <v>3.489655172413793</v>
      </c>
      <c r="F184" s="506">
        <f t="shared" si="46"/>
        <v>91.724137931034477</v>
      </c>
      <c r="G184" s="507">
        <f t="shared" si="21"/>
        <v>17.068965517241377</v>
      </c>
      <c r="H184" s="507">
        <f t="shared" si="22"/>
        <v>3.7931034482758621</v>
      </c>
      <c r="I184" s="509">
        <f t="shared" si="23"/>
        <v>3.489655172413793</v>
      </c>
      <c r="J184" s="506">
        <f t="shared" si="47"/>
        <v>65.517241379310335</v>
      </c>
      <c r="K184" s="507">
        <f t="shared" si="24"/>
        <v>11.724137931034482</v>
      </c>
      <c r="L184" s="508">
        <f t="shared" si="25"/>
        <v>1.5517241379310343</v>
      </c>
      <c r="M184" s="59">
        <f t="shared" si="26"/>
        <v>1.4275862068965517</v>
      </c>
      <c r="N184" s="506">
        <f t="shared" si="48"/>
        <v>68.793103448275858</v>
      </c>
      <c r="O184" s="507">
        <f t="shared" si="27"/>
        <v>11.724137931034482</v>
      </c>
      <c r="P184" s="508">
        <f t="shared" si="28"/>
        <v>1.3793103448275861</v>
      </c>
      <c r="Q184" s="59">
        <f t="shared" si="29"/>
        <v>1.2689655172413792</v>
      </c>
      <c r="R184" s="506">
        <f t="shared" si="49"/>
        <v>68.793103448275858</v>
      </c>
      <c r="S184" s="507">
        <f t="shared" si="30"/>
        <v>11.724137931034482</v>
      </c>
      <c r="T184" s="508">
        <f t="shared" si="31"/>
        <v>1.3793103448275861</v>
      </c>
      <c r="U184" s="59">
        <f t="shared" si="32"/>
        <v>1.2689655172413792</v>
      </c>
      <c r="V184" s="506">
        <f t="shared" si="50"/>
        <v>68.793103448275858</v>
      </c>
      <c r="W184" s="507">
        <f t="shared" si="33"/>
        <v>11.724137931034482</v>
      </c>
      <c r="X184" s="508">
        <f t="shared" si="34"/>
        <v>1.3793103448275861</v>
      </c>
      <c r="Y184" s="59">
        <f t="shared" si="35"/>
        <v>1.2689655172413792</v>
      </c>
      <c r="Z184" s="506">
        <f t="shared" si="51"/>
        <v>22.413793103448274</v>
      </c>
      <c r="AA184" s="507">
        <f t="shared" si="36"/>
        <v>3.1034482758620685</v>
      </c>
      <c r="AB184" s="508">
        <f t="shared" si="37"/>
        <v>0.51724137931034475</v>
      </c>
      <c r="AC184" s="59">
        <f t="shared" si="38"/>
        <v>0.47586206896551719</v>
      </c>
      <c r="AD184" s="506">
        <f t="shared" si="52"/>
        <v>22.413793103448274</v>
      </c>
      <c r="AE184" s="507">
        <f t="shared" si="39"/>
        <v>3.1034482758620685</v>
      </c>
      <c r="AF184" s="508">
        <f t="shared" si="40"/>
        <v>0.51724137931034475</v>
      </c>
      <c r="AG184" s="59">
        <f t="shared" si="41"/>
        <v>0.47586206896551719</v>
      </c>
      <c r="AH184" s="506">
        <f t="shared" si="53"/>
        <v>22.413793103448274</v>
      </c>
      <c r="AI184" s="507">
        <f t="shared" si="42"/>
        <v>3.1034482758620685</v>
      </c>
      <c r="AJ184" s="508">
        <f t="shared" si="43"/>
        <v>0.51724137931034475</v>
      </c>
      <c r="AK184" s="60">
        <f t="shared" si="44"/>
        <v>0.47586206896551719</v>
      </c>
    </row>
    <row r="185" spans="1:37" ht="15.5" x14ac:dyDescent="0.35">
      <c r="A185" s="64">
        <v>2029</v>
      </c>
      <c r="B185" s="506">
        <f t="shared" si="45"/>
        <v>91.724137931034477</v>
      </c>
      <c r="C185" s="507">
        <f t="shared" si="45"/>
        <v>31.03448275862069</v>
      </c>
      <c r="D185" s="508">
        <f t="shared" si="45"/>
        <v>3.7931034482758621</v>
      </c>
      <c r="E185" s="59">
        <f t="shared" si="45"/>
        <v>3.489655172413793</v>
      </c>
      <c r="F185" s="506">
        <f t="shared" si="46"/>
        <v>91.724137931034477</v>
      </c>
      <c r="G185" s="507">
        <f t="shared" si="21"/>
        <v>17.068965517241377</v>
      </c>
      <c r="H185" s="507">
        <f t="shared" si="22"/>
        <v>3.7931034482758621</v>
      </c>
      <c r="I185" s="509">
        <f t="shared" si="23"/>
        <v>3.489655172413793</v>
      </c>
      <c r="J185" s="506">
        <f t="shared" si="47"/>
        <v>65.517241379310335</v>
      </c>
      <c r="K185" s="507">
        <f t="shared" si="24"/>
        <v>11.724137931034482</v>
      </c>
      <c r="L185" s="508">
        <f t="shared" si="25"/>
        <v>1.5517241379310343</v>
      </c>
      <c r="M185" s="59">
        <f t="shared" si="26"/>
        <v>1.4275862068965517</v>
      </c>
      <c r="N185" s="506">
        <f t="shared" si="48"/>
        <v>68.793103448275858</v>
      </c>
      <c r="O185" s="507">
        <f t="shared" si="27"/>
        <v>11.724137931034482</v>
      </c>
      <c r="P185" s="508">
        <f t="shared" si="28"/>
        <v>1.3793103448275861</v>
      </c>
      <c r="Q185" s="59">
        <f t="shared" si="29"/>
        <v>1.2689655172413792</v>
      </c>
      <c r="R185" s="506">
        <f t="shared" si="49"/>
        <v>68.793103448275858</v>
      </c>
      <c r="S185" s="507">
        <f t="shared" si="30"/>
        <v>11.724137931034482</v>
      </c>
      <c r="T185" s="508">
        <f t="shared" si="31"/>
        <v>1.3793103448275861</v>
      </c>
      <c r="U185" s="59">
        <f t="shared" si="32"/>
        <v>1.2689655172413792</v>
      </c>
      <c r="V185" s="506">
        <f t="shared" si="50"/>
        <v>68.793103448275858</v>
      </c>
      <c r="W185" s="507">
        <f t="shared" si="33"/>
        <v>11.724137931034482</v>
      </c>
      <c r="X185" s="508">
        <f t="shared" si="34"/>
        <v>1.3793103448275861</v>
      </c>
      <c r="Y185" s="59">
        <f t="shared" si="35"/>
        <v>1.2689655172413792</v>
      </c>
      <c r="Z185" s="506">
        <f t="shared" si="51"/>
        <v>22.413793103448274</v>
      </c>
      <c r="AA185" s="507">
        <f t="shared" si="36"/>
        <v>3.1034482758620685</v>
      </c>
      <c r="AB185" s="508">
        <f t="shared" si="37"/>
        <v>0.51724137931034475</v>
      </c>
      <c r="AC185" s="59">
        <f t="shared" si="38"/>
        <v>0.47586206896551719</v>
      </c>
      <c r="AD185" s="506">
        <f t="shared" si="52"/>
        <v>22.413793103448274</v>
      </c>
      <c r="AE185" s="507">
        <f t="shared" si="39"/>
        <v>3.1034482758620685</v>
      </c>
      <c r="AF185" s="508">
        <f t="shared" si="40"/>
        <v>0.51724137931034475</v>
      </c>
      <c r="AG185" s="59">
        <f t="shared" si="41"/>
        <v>0.47586206896551719</v>
      </c>
      <c r="AH185" s="506">
        <f t="shared" si="53"/>
        <v>22.413793103448274</v>
      </c>
      <c r="AI185" s="507">
        <f t="shared" si="42"/>
        <v>3.1034482758620685</v>
      </c>
      <c r="AJ185" s="508">
        <f t="shared" si="43"/>
        <v>0.51724137931034475</v>
      </c>
      <c r="AK185" s="60">
        <f t="shared" si="44"/>
        <v>0.47586206896551719</v>
      </c>
    </row>
    <row r="186" spans="1:37" ht="15.5" x14ac:dyDescent="0.35">
      <c r="A186" s="64">
        <v>2030</v>
      </c>
      <c r="B186" s="506">
        <f t="shared" si="45"/>
        <v>91.724137931034477</v>
      </c>
      <c r="C186" s="507">
        <f t="shared" si="45"/>
        <v>31.03448275862069</v>
      </c>
      <c r="D186" s="508">
        <f t="shared" si="45"/>
        <v>3.7931034482758621</v>
      </c>
      <c r="E186" s="59">
        <f t="shared" si="45"/>
        <v>3.489655172413793</v>
      </c>
      <c r="F186" s="506">
        <f t="shared" si="46"/>
        <v>91.724137931034477</v>
      </c>
      <c r="G186" s="507">
        <f t="shared" ref="G186:G196" si="54">IF($A186&gt;=2009,D$24,IF($A186&gt;=2005,D$23,IF($A186&gt;=2000,D$22,IF($A186&gt;=1997,D$21,D$20))))/$M$15</f>
        <v>17.068965517241377</v>
      </c>
      <c r="H186" s="507">
        <f t="shared" ref="H186:H196" si="55">IF($A186&gt;=2009,E$24,IF($A186&gt;=2005,E$23,IF($A186&gt;=2000,E$22,IF($A186&gt;=1997,E$21,E$20))))/$M$15</f>
        <v>3.7931034482758621</v>
      </c>
      <c r="I186" s="509">
        <f t="shared" ref="I186:I196" si="56">IF($A186&gt;=2009,F$24,IF($A186&gt;=2005,F$23,IF($A186&gt;=2000,F$22,IF($A186&gt;=1997,F$21,F$20))))/$M$15</f>
        <v>3.489655172413793</v>
      </c>
      <c r="J186" s="506">
        <f t="shared" si="47"/>
        <v>65.517241379310335</v>
      </c>
      <c r="K186" s="507">
        <f t="shared" ref="K186:K196" si="57">IF($A186&gt;=2013,D$33,IF($A186&gt;=2004,D$32,IF($A186&gt;=2000,D$31,IF($A186&gt;=1996,D$30,IF($A186&gt;=1987,D$29,IF($A186&gt;=1984,D$28,IF($A186&gt;=1979,D$27,IF($A186&gt;=1971,D$26,D$25))))))))/$M$15</f>
        <v>11.724137931034482</v>
      </c>
      <c r="L186" s="508">
        <f t="shared" ref="L186:L196" si="58">IF($A186&gt;=2013,E$33,IF($A186&gt;=2004,E$32,IF($A186&gt;=2000,E$31,IF($A186&gt;=1996,E$30,IF($A186&gt;=1987,E$29,IF($A186&gt;=1984,E$28,IF($A186&gt;=1979,E$27,IF($A186&gt;=1971,E$26,E$25))))))))/$M$15</f>
        <v>1.5517241379310343</v>
      </c>
      <c r="M186" s="59">
        <f t="shared" ref="M186:M196" si="59">IF($A186&gt;=2013,F$33,IF($A186&gt;=2004,F$32,IF($A186&gt;=2000,F$31,IF($A186&gt;=1996,F$30,IF($A186&gt;=1987,F$29,IF($A186&gt;=1984,F$28,IF($A186&gt;=1979,F$27,IF($A186&gt;=1971,F$26,F$25))))))))/$M$15</f>
        <v>1.4275862068965517</v>
      </c>
      <c r="N186" s="506">
        <f t="shared" si="48"/>
        <v>68.793103448275858</v>
      </c>
      <c r="O186" s="507">
        <f t="shared" ref="O186:O196" si="60">IF($A186&gt;=2014,D$42,IF($A186&gt;=2004,D$41,IF($A186&gt;=2000,D$40,IF($A186&gt;=1995,D$39,IF($A186&gt;=1987,D$38,IF($A186&gt;=1984,D$37,IF($A186&gt;=1979,D$36,IF($A186&gt;=1971,D$35,D$34))))))))/$M$15</f>
        <v>11.724137931034482</v>
      </c>
      <c r="P186" s="508">
        <f t="shared" ref="P186:P196" si="61">IF($A186&gt;=2014,E$42,IF($A186&gt;=2004,E$41,IF($A186&gt;=2000,E$40,IF($A186&gt;=1995,E$39,IF($A186&gt;=1987,E$38,IF($A186&gt;=1984,E$37,IF($A186&gt;=1979,E$36,IF($A186&gt;=1971,E$35,E$34))))))))/$M$15</f>
        <v>1.3793103448275861</v>
      </c>
      <c r="Q186" s="59">
        <f t="shared" ref="Q186:Q196" si="62">IF($A186&gt;=2014,F$42,IF($A186&gt;=2004,F$41,IF($A186&gt;=2000,F$40,IF($A186&gt;=1995,F$39,IF($A186&gt;=1987,F$38,IF($A186&gt;=1984,F$37,IF($A186&gt;=1979,F$36,IF($A186&gt;=1971,F$35,F$34))))))))/$M$15</f>
        <v>1.2689655172413792</v>
      </c>
      <c r="R186" s="506">
        <f t="shared" si="49"/>
        <v>68.793103448275858</v>
      </c>
      <c r="S186" s="507">
        <f t="shared" ref="S186:S196" si="63">IF($A186&gt;=2014,D$51,IF($A186&gt;=2004,D$50,IF($A186&gt;=2000,D$49,IF($A186&gt;=1995,D$48,IF($A186&gt;=1987,D$47,IF($A186&gt;=1984,D$46,IF($A186&gt;=1979,D$45,IF($A186&gt;=1971,D$44,D$43))))))))/$M$15</f>
        <v>11.724137931034482</v>
      </c>
      <c r="T186" s="508">
        <f t="shared" ref="T186:T196" si="64">IF($A186&gt;=2014,E$51,IF($A186&gt;=2004,E$50,IF($A186&gt;=2000,E$49,IF($A186&gt;=1995,E$48,IF($A186&gt;=1987,E$47,IF($A186&gt;=1984,E$46,IF($A186&gt;=1979,E$45,IF($A186&gt;=1971,E$44,E$43))))))))/$M$15</f>
        <v>1.3793103448275861</v>
      </c>
      <c r="U186" s="59">
        <f t="shared" ref="U186:U196" si="65">IF($A186&gt;=2014,F$51,IF($A186&gt;=2004,F$50,IF($A186&gt;=2000,F$49,IF($A186&gt;=1995,F$48,IF($A186&gt;=1987,F$47,IF($A186&gt;=1984,F$46,IF($A186&gt;=1979,F$45,IF($A186&gt;=1971,F$44,F$43))))))))/$M$15</f>
        <v>1.2689655172413792</v>
      </c>
      <c r="V186" s="506">
        <f t="shared" si="50"/>
        <v>68.793103448275858</v>
      </c>
      <c r="W186" s="507">
        <f t="shared" ref="W186:W196" si="66">IF($A186&gt;=2013,D$60,IF($A186&gt;=2007,D$59,IF($A186&gt;=2000,D$58,IF($A186&gt;=1995,D$57,IF($A186&gt;=1987,D$56,IF($A186&gt;=1984,D$55,IF($A186&gt;=1979,D$54,IF($A186&gt;=1971,D$53,D$52))))))))/$M$15</f>
        <v>11.724137931034482</v>
      </c>
      <c r="X186" s="508">
        <f t="shared" ref="X186:X196" si="67">IF($A186&gt;=2013,E$60,IF($A186&gt;=2007,E$59,IF($A186&gt;=2000,E$58,IF($A186&gt;=1995,E$57,IF($A186&gt;=1987,E$56,IF($A186&gt;=1984,E$55,IF($A186&gt;=1979,E$54,IF($A186&gt;=1971,E$53,E$52))))))))/$M$15</f>
        <v>1.3793103448275861</v>
      </c>
      <c r="Y186" s="59">
        <f t="shared" ref="Y186:Y196" si="68">IF($A186&gt;=2013,F$60,IF($A186&gt;=2007,F$59,IF($A186&gt;=2000,F$58,IF($A186&gt;=1995,F$57,IF($A186&gt;=1987,F$56,IF($A186&gt;=1984,F$55,IF($A186&gt;=1979,F$54,IF($A186&gt;=1971,F$53,F$52))))))))/$M$15</f>
        <v>1.2689655172413792</v>
      </c>
      <c r="Z186" s="506">
        <f t="shared" si="51"/>
        <v>22.413793103448274</v>
      </c>
      <c r="AA186" s="507">
        <f t="shared" ref="AA186:AA196" si="69">IF($A186&gt;=2017,D$70,IF($A186&gt;=2012,D$69,IF($A186&gt;=2007,D$68,IF($A186&gt;=2000,D$67,IF($A186=1999,D$66,IF($A186&gt;=1987,D$65,IF($A186&gt;=1984,D$64,IF($A186&gt;=1979,D$63,IF($A186&gt;=1971,D$62,D$61)))))))))/$M$15</f>
        <v>3.1034482758620685</v>
      </c>
      <c r="AB186" s="508">
        <f t="shared" ref="AB186:AB196" si="70">IF($A186&gt;=2017,E$70,IF($A186&gt;=2012,E$69,IF($A186&gt;=2007,E$68,IF($A186&gt;=2000,E$67,IF($A186=1999,E$66,IF($A186&gt;=1987,E$65,IF($A186&gt;=1984,E$64,IF($A186&gt;=1979,E$63,IF($A186&gt;=1971,E$62,E$61)))))))))/$M$15</f>
        <v>0.51724137931034475</v>
      </c>
      <c r="AC186" s="59">
        <f t="shared" ref="AC186:AC196" si="71">IF($A186&gt;=2017,F$70,IF($A186&gt;=2012,F$69,IF($A186&gt;=2007,F$68,IF($A186&gt;=2000,F$67,IF($A186=1999,F$66,IF($A186&gt;=1987,F$65,IF($A186&gt;=1984,F$64,IF($A186&gt;=1979,F$63,IF($A186&gt;=1971,F$62,F$61)))))))))/$M$15</f>
        <v>0.47586206896551719</v>
      </c>
      <c r="AD186" s="506">
        <f t="shared" si="52"/>
        <v>22.413793103448274</v>
      </c>
      <c r="AE186" s="507">
        <f t="shared" ref="AE186:AE196" si="72">IF($A186&gt;=2016,D$80,IF($A186&gt;=2013,D$79,IF($A186&gt;=2007,D$78,IF($A186&gt;=2000,D$77,IF($A186=1999,D$76,IF($A186&gt;=1987,D$75,IF($A186&gt;=1984,D$74,IF($A186&gt;=1979,D$73,IF($A186&gt;=1971,D$72,D$71)))))))))/$M$15</f>
        <v>3.1034482758620685</v>
      </c>
      <c r="AF186" s="508">
        <f t="shared" ref="AF186:AF196" si="73">IF($A186&gt;=2016,E$80,IF($A186&gt;=2013,E$79,IF($A186&gt;=2007,E$78,IF($A186&gt;=2000,E$77,IF($A186=1999,E$76,IF($A186&gt;=1987,E$75,IF($A186&gt;=1984,E$74,IF($A186&gt;=1979,E$73,IF($A186&gt;=1971,E$72,E$71)))))))))/$M$15</f>
        <v>0.51724137931034475</v>
      </c>
      <c r="AG186" s="59">
        <f t="shared" ref="AG186:AG196" si="74">IF($A186&gt;=2016,F$80,IF($A186&gt;=2013,F$79,IF($A186&gt;=2007,F$78,IF($A186&gt;=2000,F$77,IF($A186=1999,F$76,IF($A186&gt;=1987,F$75,IF($A186&gt;=1984,F$74,IF($A186&gt;=1979,F$73,IF($A186&gt;=1971,F$72,F$71)))))))))/$M$15</f>
        <v>0.47586206896551719</v>
      </c>
      <c r="AH186" s="506">
        <f t="shared" si="53"/>
        <v>22.413793103448274</v>
      </c>
      <c r="AI186" s="507">
        <f t="shared" ref="AI186:AI196" si="75">IF($A186&gt;=2016,D$90,IF($A186&gt;=2014,D$89,IF($A186&gt;=2007,D$88,IF($A186&gt;=2000,D$87,IF($A186=1999,D$86,IF($A186&gt;=1987,D$85,IF($A186&gt;=1984,D$84,IF($A186&gt;=1979,D$83,IF($A186&gt;=1971,D$82,D$81)))))))))/$M$15</f>
        <v>3.1034482758620685</v>
      </c>
      <c r="AJ186" s="508">
        <f t="shared" ref="AJ186:AJ196" si="76">IF($A186&gt;=2016,E$90,IF($A186&gt;=2014,E$89,IF($A186&gt;=2007,E$88,IF($A186&gt;=2000,E$87,IF($A186=1999,E$86,IF($A186&gt;=1987,E$85,IF($A186&gt;=1984,E$84,IF($A186&gt;=1979,E$83,IF($A186&gt;=1971,E$82,E$81)))))))))/$M$15</f>
        <v>0.51724137931034475</v>
      </c>
      <c r="AK186" s="60">
        <f t="shared" ref="AK186:AK196" si="77">IF($A186&gt;=2016,F$90,IF($A186&gt;=2014,F$89,IF($A186&gt;=2007,F$88,IF($A186&gt;=2000,F$87,IF($A186=1999,F$86,IF($A186&gt;=1987,F$85,IF($A186&gt;=1984,F$84,IF($A186&gt;=1979,F$83,IF($A186&gt;=1971,F$82,F$81)))))))))/$M$15</f>
        <v>0.47586206896551719</v>
      </c>
    </row>
    <row r="187" spans="1:37" ht="15.5" x14ac:dyDescent="0.35">
      <c r="A187" s="64">
        <v>2031</v>
      </c>
      <c r="B187" s="506">
        <f t="shared" si="45"/>
        <v>91.724137931034477</v>
      </c>
      <c r="C187" s="507">
        <f t="shared" si="45"/>
        <v>31.03448275862069</v>
      </c>
      <c r="D187" s="508">
        <f t="shared" si="45"/>
        <v>3.7931034482758621</v>
      </c>
      <c r="E187" s="59">
        <f t="shared" si="45"/>
        <v>3.489655172413793</v>
      </c>
      <c r="F187" s="506">
        <f t="shared" si="46"/>
        <v>91.724137931034477</v>
      </c>
      <c r="G187" s="507">
        <f t="shared" si="54"/>
        <v>17.068965517241377</v>
      </c>
      <c r="H187" s="507">
        <f t="shared" si="55"/>
        <v>3.7931034482758621</v>
      </c>
      <c r="I187" s="509">
        <f t="shared" si="56"/>
        <v>3.489655172413793</v>
      </c>
      <c r="J187" s="506">
        <f t="shared" si="47"/>
        <v>65.517241379310335</v>
      </c>
      <c r="K187" s="507">
        <f t="shared" si="57"/>
        <v>11.724137931034482</v>
      </c>
      <c r="L187" s="508">
        <f t="shared" si="58"/>
        <v>1.5517241379310343</v>
      </c>
      <c r="M187" s="59">
        <f t="shared" si="59"/>
        <v>1.4275862068965517</v>
      </c>
      <c r="N187" s="506">
        <f t="shared" si="48"/>
        <v>68.793103448275858</v>
      </c>
      <c r="O187" s="507">
        <f t="shared" si="60"/>
        <v>11.724137931034482</v>
      </c>
      <c r="P187" s="508">
        <f t="shared" si="61"/>
        <v>1.3793103448275861</v>
      </c>
      <c r="Q187" s="59">
        <f t="shared" si="62"/>
        <v>1.2689655172413792</v>
      </c>
      <c r="R187" s="506">
        <f t="shared" si="49"/>
        <v>68.793103448275858</v>
      </c>
      <c r="S187" s="507">
        <f t="shared" si="63"/>
        <v>11.724137931034482</v>
      </c>
      <c r="T187" s="508">
        <f t="shared" si="64"/>
        <v>1.3793103448275861</v>
      </c>
      <c r="U187" s="59">
        <f t="shared" si="65"/>
        <v>1.2689655172413792</v>
      </c>
      <c r="V187" s="506">
        <f t="shared" si="50"/>
        <v>68.793103448275858</v>
      </c>
      <c r="W187" s="507">
        <f t="shared" si="66"/>
        <v>11.724137931034482</v>
      </c>
      <c r="X187" s="508">
        <f t="shared" si="67"/>
        <v>1.3793103448275861</v>
      </c>
      <c r="Y187" s="59">
        <f t="shared" si="68"/>
        <v>1.2689655172413792</v>
      </c>
      <c r="Z187" s="506">
        <f t="shared" si="51"/>
        <v>22.413793103448274</v>
      </c>
      <c r="AA187" s="507">
        <f t="shared" si="69"/>
        <v>3.1034482758620685</v>
      </c>
      <c r="AB187" s="508">
        <f t="shared" si="70"/>
        <v>0.51724137931034475</v>
      </c>
      <c r="AC187" s="59">
        <f t="shared" si="71"/>
        <v>0.47586206896551719</v>
      </c>
      <c r="AD187" s="506">
        <f t="shared" si="52"/>
        <v>22.413793103448274</v>
      </c>
      <c r="AE187" s="507">
        <f t="shared" si="72"/>
        <v>3.1034482758620685</v>
      </c>
      <c r="AF187" s="508">
        <f t="shared" si="73"/>
        <v>0.51724137931034475</v>
      </c>
      <c r="AG187" s="59">
        <f t="shared" si="74"/>
        <v>0.47586206896551719</v>
      </c>
      <c r="AH187" s="506">
        <f t="shared" si="53"/>
        <v>22.413793103448274</v>
      </c>
      <c r="AI187" s="507">
        <f t="shared" si="75"/>
        <v>3.1034482758620685</v>
      </c>
      <c r="AJ187" s="508">
        <f t="shared" si="76"/>
        <v>0.51724137931034475</v>
      </c>
      <c r="AK187" s="60">
        <f t="shared" si="77"/>
        <v>0.47586206896551719</v>
      </c>
    </row>
    <row r="188" spans="1:37" ht="15.5" x14ac:dyDescent="0.35">
      <c r="A188" s="64">
        <v>2032</v>
      </c>
      <c r="B188" s="506">
        <f t="shared" si="45"/>
        <v>91.724137931034477</v>
      </c>
      <c r="C188" s="507">
        <f t="shared" si="45"/>
        <v>31.03448275862069</v>
      </c>
      <c r="D188" s="508">
        <f t="shared" si="45"/>
        <v>3.7931034482758621</v>
      </c>
      <c r="E188" s="59">
        <f t="shared" si="45"/>
        <v>3.489655172413793</v>
      </c>
      <c r="F188" s="506">
        <f t="shared" si="46"/>
        <v>91.724137931034477</v>
      </c>
      <c r="G188" s="507">
        <f t="shared" si="54"/>
        <v>17.068965517241377</v>
      </c>
      <c r="H188" s="507">
        <f t="shared" si="55"/>
        <v>3.7931034482758621</v>
      </c>
      <c r="I188" s="509">
        <f t="shared" si="56"/>
        <v>3.489655172413793</v>
      </c>
      <c r="J188" s="506">
        <f t="shared" si="47"/>
        <v>65.517241379310335</v>
      </c>
      <c r="K188" s="507">
        <f t="shared" si="57"/>
        <v>11.724137931034482</v>
      </c>
      <c r="L188" s="508">
        <f t="shared" si="58"/>
        <v>1.5517241379310343</v>
      </c>
      <c r="M188" s="59">
        <f t="shared" si="59"/>
        <v>1.4275862068965517</v>
      </c>
      <c r="N188" s="506">
        <f t="shared" si="48"/>
        <v>68.793103448275858</v>
      </c>
      <c r="O188" s="507">
        <f t="shared" si="60"/>
        <v>11.724137931034482</v>
      </c>
      <c r="P188" s="508">
        <f t="shared" si="61"/>
        <v>1.3793103448275861</v>
      </c>
      <c r="Q188" s="59">
        <f t="shared" si="62"/>
        <v>1.2689655172413792</v>
      </c>
      <c r="R188" s="506">
        <f t="shared" si="49"/>
        <v>68.793103448275858</v>
      </c>
      <c r="S188" s="507">
        <f t="shared" si="63"/>
        <v>11.724137931034482</v>
      </c>
      <c r="T188" s="508">
        <f t="shared" si="64"/>
        <v>1.3793103448275861</v>
      </c>
      <c r="U188" s="59">
        <f t="shared" si="65"/>
        <v>1.2689655172413792</v>
      </c>
      <c r="V188" s="506">
        <f t="shared" si="50"/>
        <v>68.793103448275858</v>
      </c>
      <c r="W188" s="507">
        <f t="shared" si="66"/>
        <v>11.724137931034482</v>
      </c>
      <c r="X188" s="508">
        <f t="shared" si="67"/>
        <v>1.3793103448275861</v>
      </c>
      <c r="Y188" s="59">
        <f t="shared" si="68"/>
        <v>1.2689655172413792</v>
      </c>
      <c r="Z188" s="506">
        <f t="shared" si="51"/>
        <v>22.413793103448274</v>
      </c>
      <c r="AA188" s="507">
        <f t="shared" si="69"/>
        <v>3.1034482758620685</v>
      </c>
      <c r="AB188" s="508">
        <f t="shared" si="70"/>
        <v>0.51724137931034475</v>
      </c>
      <c r="AC188" s="59">
        <f t="shared" si="71"/>
        <v>0.47586206896551719</v>
      </c>
      <c r="AD188" s="506">
        <f t="shared" si="52"/>
        <v>22.413793103448274</v>
      </c>
      <c r="AE188" s="507">
        <f t="shared" si="72"/>
        <v>3.1034482758620685</v>
      </c>
      <c r="AF188" s="508">
        <f t="shared" si="73"/>
        <v>0.51724137931034475</v>
      </c>
      <c r="AG188" s="59">
        <f t="shared" si="74"/>
        <v>0.47586206896551719</v>
      </c>
      <c r="AH188" s="506">
        <f t="shared" si="53"/>
        <v>22.413793103448274</v>
      </c>
      <c r="AI188" s="507">
        <f t="shared" si="75"/>
        <v>3.1034482758620685</v>
      </c>
      <c r="AJ188" s="508">
        <f t="shared" si="76"/>
        <v>0.51724137931034475</v>
      </c>
      <c r="AK188" s="60">
        <f t="shared" si="77"/>
        <v>0.47586206896551719</v>
      </c>
    </row>
    <row r="189" spans="1:37" ht="15.5" x14ac:dyDescent="0.35">
      <c r="A189" s="64">
        <v>2033</v>
      </c>
      <c r="B189" s="506">
        <f t="shared" si="45"/>
        <v>91.724137931034477</v>
      </c>
      <c r="C189" s="507">
        <f t="shared" si="45"/>
        <v>31.03448275862069</v>
      </c>
      <c r="D189" s="508">
        <f t="shared" si="45"/>
        <v>3.7931034482758621</v>
      </c>
      <c r="E189" s="59">
        <f t="shared" si="45"/>
        <v>3.489655172413793</v>
      </c>
      <c r="F189" s="506">
        <f t="shared" si="46"/>
        <v>91.724137931034477</v>
      </c>
      <c r="G189" s="507">
        <f t="shared" si="54"/>
        <v>17.068965517241377</v>
      </c>
      <c r="H189" s="507">
        <f t="shared" si="55"/>
        <v>3.7931034482758621</v>
      </c>
      <c r="I189" s="509">
        <f t="shared" si="56"/>
        <v>3.489655172413793</v>
      </c>
      <c r="J189" s="506">
        <f t="shared" si="47"/>
        <v>65.517241379310335</v>
      </c>
      <c r="K189" s="507">
        <f t="shared" si="57"/>
        <v>11.724137931034482</v>
      </c>
      <c r="L189" s="508">
        <f t="shared" si="58"/>
        <v>1.5517241379310343</v>
      </c>
      <c r="M189" s="59">
        <f t="shared" si="59"/>
        <v>1.4275862068965517</v>
      </c>
      <c r="N189" s="506">
        <f t="shared" si="48"/>
        <v>68.793103448275858</v>
      </c>
      <c r="O189" s="507">
        <f t="shared" si="60"/>
        <v>11.724137931034482</v>
      </c>
      <c r="P189" s="508">
        <f t="shared" si="61"/>
        <v>1.3793103448275861</v>
      </c>
      <c r="Q189" s="59">
        <f t="shared" si="62"/>
        <v>1.2689655172413792</v>
      </c>
      <c r="R189" s="506">
        <f t="shared" si="49"/>
        <v>68.793103448275858</v>
      </c>
      <c r="S189" s="507">
        <f t="shared" si="63"/>
        <v>11.724137931034482</v>
      </c>
      <c r="T189" s="508">
        <f t="shared" si="64"/>
        <v>1.3793103448275861</v>
      </c>
      <c r="U189" s="59">
        <f t="shared" si="65"/>
        <v>1.2689655172413792</v>
      </c>
      <c r="V189" s="506">
        <f t="shared" si="50"/>
        <v>68.793103448275858</v>
      </c>
      <c r="W189" s="507">
        <f t="shared" si="66"/>
        <v>11.724137931034482</v>
      </c>
      <c r="X189" s="508">
        <f t="shared" si="67"/>
        <v>1.3793103448275861</v>
      </c>
      <c r="Y189" s="59">
        <f t="shared" si="68"/>
        <v>1.2689655172413792</v>
      </c>
      <c r="Z189" s="506">
        <f t="shared" si="51"/>
        <v>22.413793103448274</v>
      </c>
      <c r="AA189" s="507">
        <f t="shared" si="69"/>
        <v>3.1034482758620685</v>
      </c>
      <c r="AB189" s="508">
        <f t="shared" si="70"/>
        <v>0.51724137931034475</v>
      </c>
      <c r="AC189" s="59">
        <f t="shared" si="71"/>
        <v>0.47586206896551719</v>
      </c>
      <c r="AD189" s="506">
        <f t="shared" si="52"/>
        <v>22.413793103448274</v>
      </c>
      <c r="AE189" s="507">
        <f t="shared" si="72"/>
        <v>3.1034482758620685</v>
      </c>
      <c r="AF189" s="508">
        <f t="shared" si="73"/>
        <v>0.51724137931034475</v>
      </c>
      <c r="AG189" s="59">
        <f t="shared" si="74"/>
        <v>0.47586206896551719</v>
      </c>
      <c r="AH189" s="506">
        <f t="shared" si="53"/>
        <v>22.413793103448274</v>
      </c>
      <c r="AI189" s="507">
        <f t="shared" si="75"/>
        <v>3.1034482758620685</v>
      </c>
      <c r="AJ189" s="508">
        <f t="shared" si="76"/>
        <v>0.51724137931034475</v>
      </c>
      <c r="AK189" s="60">
        <f t="shared" si="77"/>
        <v>0.47586206896551719</v>
      </c>
    </row>
    <row r="190" spans="1:37" ht="15.5" x14ac:dyDescent="0.35">
      <c r="A190" s="64">
        <v>2034</v>
      </c>
      <c r="B190" s="506">
        <f t="shared" si="45"/>
        <v>91.724137931034477</v>
      </c>
      <c r="C190" s="507">
        <f t="shared" si="45"/>
        <v>31.03448275862069</v>
      </c>
      <c r="D190" s="508">
        <f t="shared" si="45"/>
        <v>3.7931034482758621</v>
      </c>
      <c r="E190" s="59">
        <f t="shared" si="45"/>
        <v>3.489655172413793</v>
      </c>
      <c r="F190" s="506">
        <f t="shared" si="46"/>
        <v>91.724137931034477</v>
      </c>
      <c r="G190" s="507">
        <f t="shared" si="54"/>
        <v>17.068965517241377</v>
      </c>
      <c r="H190" s="507">
        <f t="shared" si="55"/>
        <v>3.7931034482758621</v>
      </c>
      <c r="I190" s="509">
        <f t="shared" si="56"/>
        <v>3.489655172413793</v>
      </c>
      <c r="J190" s="506">
        <f t="shared" si="47"/>
        <v>65.517241379310335</v>
      </c>
      <c r="K190" s="507">
        <f t="shared" si="57"/>
        <v>11.724137931034482</v>
      </c>
      <c r="L190" s="508">
        <f t="shared" si="58"/>
        <v>1.5517241379310343</v>
      </c>
      <c r="M190" s="59">
        <f t="shared" si="59"/>
        <v>1.4275862068965517</v>
      </c>
      <c r="N190" s="506">
        <f t="shared" si="48"/>
        <v>68.793103448275858</v>
      </c>
      <c r="O190" s="507">
        <f t="shared" si="60"/>
        <v>11.724137931034482</v>
      </c>
      <c r="P190" s="508">
        <f t="shared" si="61"/>
        <v>1.3793103448275861</v>
      </c>
      <c r="Q190" s="59">
        <f t="shared" si="62"/>
        <v>1.2689655172413792</v>
      </c>
      <c r="R190" s="506">
        <f t="shared" si="49"/>
        <v>68.793103448275858</v>
      </c>
      <c r="S190" s="507">
        <f t="shared" si="63"/>
        <v>11.724137931034482</v>
      </c>
      <c r="T190" s="508">
        <f t="shared" si="64"/>
        <v>1.3793103448275861</v>
      </c>
      <c r="U190" s="59">
        <f t="shared" si="65"/>
        <v>1.2689655172413792</v>
      </c>
      <c r="V190" s="506">
        <f t="shared" si="50"/>
        <v>68.793103448275858</v>
      </c>
      <c r="W190" s="507">
        <f t="shared" si="66"/>
        <v>11.724137931034482</v>
      </c>
      <c r="X190" s="508">
        <f t="shared" si="67"/>
        <v>1.3793103448275861</v>
      </c>
      <c r="Y190" s="59">
        <f t="shared" si="68"/>
        <v>1.2689655172413792</v>
      </c>
      <c r="Z190" s="506">
        <f t="shared" si="51"/>
        <v>22.413793103448274</v>
      </c>
      <c r="AA190" s="507">
        <f t="shared" si="69"/>
        <v>3.1034482758620685</v>
      </c>
      <c r="AB190" s="508">
        <f t="shared" si="70"/>
        <v>0.51724137931034475</v>
      </c>
      <c r="AC190" s="59">
        <f t="shared" si="71"/>
        <v>0.47586206896551719</v>
      </c>
      <c r="AD190" s="506">
        <f t="shared" si="52"/>
        <v>22.413793103448274</v>
      </c>
      <c r="AE190" s="507">
        <f t="shared" si="72"/>
        <v>3.1034482758620685</v>
      </c>
      <c r="AF190" s="508">
        <f t="shared" si="73"/>
        <v>0.51724137931034475</v>
      </c>
      <c r="AG190" s="59">
        <f t="shared" si="74"/>
        <v>0.47586206896551719</v>
      </c>
      <c r="AH190" s="506">
        <f t="shared" si="53"/>
        <v>22.413793103448274</v>
      </c>
      <c r="AI190" s="507">
        <f t="shared" si="75"/>
        <v>3.1034482758620685</v>
      </c>
      <c r="AJ190" s="508">
        <f t="shared" si="76"/>
        <v>0.51724137931034475</v>
      </c>
      <c r="AK190" s="60">
        <f t="shared" si="77"/>
        <v>0.47586206896551719</v>
      </c>
    </row>
    <row r="191" spans="1:37" ht="15.5" x14ac:dyDescent="0.35">
      <c r="A191" s="64">
        <v>2035</v>
      </c>
      <c r="B191" s="506">
        <f t="shared" si="45"/>
        <v>91.724137931034477</v>
      </c>
      <c r="C191" s="507">
        <f t="shared" si="45"/>
        <v>31.03448275862069</v>
      </c>
      <c r="D191" s="508">
        <f t="shared" si="45"/>
        <v>3.7931034482758621</v>
      </c>
      <c r="E191" s="59">
        <f t="shared" si="45"/>
        <v>3.489655172413793</v>
      </c>
      <c r="F191" s="506">
        <f t="shared" si="46"/>
        <v>91.724137931034477</v>
      </c>
      <c r="G191" s="507">
        <f t="shared" si="54"/>
        <v>17.068965517241377</v>
      </c>
      <c r="H191" s="507">
        <f t="shared" si="55"/>
        <v>3.7931034482758621</v>
      </c>
      <c r="I191" s="509">
        <f t="shared" si="56"/>
        <v>3.489655172413793</v>
      </c>
      <c r="J191" s="506">
        <f t="shared" si="47"/>
        <v>65.517241379310335</v>
      </c>
      <c r="K191" s="507">
        <f t="shared" si="57"/>
        <v>11.724137931034482</v>
      </c>
      <c r="L191" s="508">
        <f t="shared" si="58"/>
        <v>1.5517241379310343</v>
      </c>
      <c r="M191" s="59">
        <f t="shared" si="59"/>
        <v>1.4275862068965517</v>
      </c>
      <c r="N191" s="506">
        <f t="shared" si="48"/>
        <v>68.793103448275858</v>
      </c>
      <c r="O191" s="507">
        <f t="shared" si="60"/>
        <v>11.724137931034482</v>
      </c>
      <c r="P191" s="508">
        <f t="shared" si="61"/>
        <v>1.3793103448275861</v>
      </c>
      <c r="Q191" s="59">
        <f t="shared" si="62"/>
        <v>1.2689655172413792</v>
      </c>
      <c r="R191" s="506">
        <f t="shared" si="49"/>
        <v>68.793103448275858</v>
      </c>
      <c r="S191" s="507">
        <f t="shared" si="63"/>
        <v>11.724137931034482</v>
      </c>
      <c r="T191" s="508">
        <f t="shared" si="64"/>
        <v>1.3793103448275861</v>
      </c>
      <c r="U191" s="59">
        <f t="shared" si="65"/>
        <v>1.2689655172413792</v>
      </c>
      <c r="V191" s="506">
        <f t="shared" si="50"/>
        <v>68.793103448275858</v>
      </c>
      <c r="W191" s="507">
        <f t="shared" si="66"/>
        <v>11.724137931034482</v>
      </c>
      <c r="X191" s="508">
        <f t="shared" si="67"/>
        <v>1.3793103448275861</v>
      </c>
      <c r="Y191" s="59">
        <f t="shared" si="68"/>
        <v>1.2689655172413792</v>
      </c>
      <c r="Z191" s="506">
        <f t="shared" si="51"/>
        <v>22.413793103448274</v>
      </c>
      <c r="AA191" s="507">
        <f t="shared" si="69"/>
        <v>3.1034482758620685</v>
      </c>
      <c r="AB191" s="508">
        <f t="shared" si="70"/>
        <v>0.51724137931034475</v>
      </c>
      <c r="AC191" s="59">
        <f t="shared" si="71"/>
        <v>0.47586206896551719</v>
      </c>
      <c r="AD191" s="506">
        <f t="shared" si="52"/>
        <v>22.413793103448274</v>
      </c>
      <c r="AE191" s="507">
        <f t="shared" si="72"/>
        <v>3.1034482758620685</v>
      </c>
      <c r="AF191" s="508">
        <f t="shared" si="73"/>
        <v>0.51724137931034475</v>
      </c>
      <c r="AG191" s="59">
        <f t="shared" si="74"/>
        <v>0.47586206896551719</v>
      </c>
      <c r="AH191" s="506">
        <f t="shared" si="53"/>
        <v>22.413793103448274</v>
      </c>
      <c r="AI191" s="507">
        <f t="shared" si="75"/>
        <v>3.1034482758620685</v>
      </c>
      <c r="AJ191" s="508">
        <f t="shared" si="76"/>
        <v>0.51724137931034475</v>
      </c>
      <c r="AK191" s="60">
        <f t="shared" si="77"/>
        <v>0.47586206896551719</v>
      </c>
    </row>
    <row r="192" spans="1:37" ht="15.5" x14ac:dyDescent="0.35">
      <c r="A192" s="64">
        <v>2036</v>
      </c>
      <c r="B192" s="506">
        <f t="shared" si="45"/>
        <v>91.724137931034477</v>
      </c>
      <c r="C192" s="507">
        <f t="shared" si="45"/>
        <v>31.03448275862069</v>
      </c>
      <c r="D192" s="508">
        <f t="shared" si="45"/>
        <v>3.7931034482758621</v>
      </c>
      <c r="E192" s="59">
        <f t="shared" si="45"/>
        <v>3.489655172413793</v>
      </c>
      <c r="F192" s="506">
        <f t="shared" si="46"/>
        <v>91.724137931034477</v>
      </c>
      <c r="G192" s="507">
        <f t="shared" si="54"/>
        <v>17.068965517241377</v>
      </c>
      <c r="H192" s="507">
        <f t="shared" si="55"/>
        <v>3.7931034482758621</v>
      </c>
      <c r="I192" s="509">
        <f t="shared" si="56"/>
        <v>3.489655172413793</v>
      </c>
      <c r="J192" s="506">
        <f t="shared" si="47"/>
        <v>65.517241379310335</v>
      </c>
      <c r="K192" s="507">
        <f t="shared" si="57"/>
        <v>11.724137931034482</v>
      </c>
      <c r="L192" s="508">
        <f t="shared" si="58"/>
        <v>1.5517241379310343</v>
      </c>
      <c r="M192" s="59">
        <f t="shared" si="59"/>
        <v>1.4275862068965517</v>
      </c>
      <c r="N192" s="506">
        <f t="shared" si="48"/>
        <v>68.793103448275858</v>
      </c>
      <c r="O192" s="507">
        <f t="shared" si="60"/>
        <v>11.724137931034482</v>
      </c>
      <c r="P192" s="508">
        <f t="shared" si="61"/>
        <v>1.3793103448275861</v>
      </c>
      <c r="Q192" s="59">
        <f t="shared" si="62"/>
        <v>1.2689655172413792</v>
      </c>
      <c r="R192" s="506">
        <f t="shared" si="49"/>
        <v>68.793103448275858</v>
      </c>
      <c r="S192" s="507">
        <f t="shared" si="63"/>
        <v>11.724137931034482</v>
      </c>
      <c r="T192" s="508">
        <f t="shared" si="64"/>
        <v>1.3793103448275861</v>
      </c>
      <c r="U192" s="59">
        <f t="shared" si="65"/>
        <v>1.2689655172413792</v>
      </c>
      <c r="V192" s="506">
        <f t="shared" si="50"/>
        <v>68.793103448275858</v>
      </c>
      <c r="W192" s="507">
        <f t="shared" si="66"/>
        <v>11.724137931034482</v>
      </c>
      <c r="X192" s="508">
        <f t="shared" si="67"/>
        <v>1.3793103448275861</v>
      </c>
      <c r="Y192" s="59">
        <f t="shared" si="68"/>
        <v>1.2689655172413792</v>
      </c>
      <c r="Z192" s="506">
        <f t="shared" si="51"/>
        <v>22.413793103448274</v>
      </c>
      <c r="AA192" s="507">
        <f t="shared" si="69"/>
        <v>3.1034482758620685</v>
      </c>
      <c r="AB192" s="508">
        <f t="shared" si="70"/>
        <v>0.51724137931034475</v>
      </c>
      <c r="AC192" s="59">
        <f t="shared" si="71"/>
        <v>0.47586206896551719</v>
      </c>
      <c r="AD192" s="506">
        <f t="shared" si="52"/>
        <v>22.413793103448274</v>
      </c>
      <c r="AE192" s="507">
        <f t="shared" si="72"/>
        <v>3.1034482758620685</v>
      </c>
      <c r="AF192" s="508">
        <f t="shared" si="73"/>
        <v>0.51724137931034475</v>
      </c>
      <c r="AG192" s="59">
        <f t="shared" si="74"/>
        <v>0.47586206896551719</v>
      </c>
      <c r="AH192" s="506">
        <f t="shared" si="53"/>
        <v>22.413793103448274</v>
      </c>
      <c r="AI192" s="507">
        <f t="shared" si="75"/>
        <v>3.1034482758620685</v>
      </c>
      <c r="AJ192" s="508">
        <f t="shared" si="76"/>
        <v>0.51724137931034475</v>
      </c>
      <c r="AK192" s="60">
        <f t="shared" si="77"/>
        <v>0.47586206896551719</v>
      </c>
    </row>
    <row r="193" spans="1:37" ht="15.5" x14ac:dyDescent="0.35">
      <c r="A193" s="64">
        <v>2037</v>
      </c>
      <c r="B193" s="506">
        <f t="shared" si="45"/>
        <v>91.724137931034477</v>
      </c>
      <c r="C193" s="507">
        <f t="shared" si="45"/>
        <v>31.03448275862069</v>
      </c>
      <c r="D193" s="508">
        <f t="shared" si="45"/>
        <v>3.7931034482758621</v>
      </c>
      <c r="E193" s="59">
        <f t="shared" si="45"/>
        <v>3.489655172413793</v>
      </c>
      <c r="F193" s="506">
        <f t="shared" si="46"/>
        <v>91.724137931034477</v>
      </c>
      <c r="G193" s="507">
        <f t="shared" si="54"/>
        <v>17.068965517241377</v>
      </c>
      <c r="H193" s="507">
        <f t="shared" si="55"/>
        <v>3.7931034482758621</v>
      </c>
      <c r="I193" s="509">
        <f t="shared" si="56"/>
        <v>3.489655172413793</v>
      </c>
      <c r="J193" s="506">
        <f t="shared" si="47"/>
        <v>65.517241379310335</v>
      </c>
      <c r="K193" s="507">
        <f t="shared" si="57"/>
        <v>11.724137931034482</v>
      </c>
      <c r="L193" s="508">
        <f t="shared" si="58"/>
        <v>1.5517241379310343</v>
      </c>
      <c r="M193" s="59">
        <f t="shared" si="59"/>
        <v>1.4275862068965517</v>
      </c>
      <c r="N193" s="506">
        <f t="shared" si="48"/>
        <v>68.793103448275858</v>
      </c>
      <c r="O193" s="507">
        <f t="shared" si="60"/>
        <v>11.724137931034482</v>
      </c>
      <c r="P193" s="508">
        <f t="shared" si="61"/>
        <v>1.3793103448275861</v>
      </c>
      <c r="Q193" s="59">
        <f t="shared" si="62"/>
        <v>1.2689655172413792</v>
      </c>
      <c r="R193" s="506">
        <f t="shared" si="49"/>
        <v>68.793103448275858</v>
      </c>
      <c r="S193" s="507">
        <f t="shared" si="63"/>
        <v>11.724137931034482</v>
      </c>
      <c r="T193" s="508">
        <f t="shared" si="64"/>
        <v>1.3793103448275861</v>
      </c>
      <c r="U193" s="59">
        <f t="shared" si="65"/>
        <v>1.2689655172413792</v>
      </c>
      <c r="V193" s="506">
        <f t="shared" si="50"/>
        <v>68.793103448275858</v>
      </c>
      <c r="W193" s="507">
        <f t="shared" si="66"/>
        <v>11.724137931034482</v>
      </c>
      <c r="X193" s="508">
        <f t="shared" si="67"/>
        <v>1.3793103448275861</v>
      </c>
      <c r="Y193" s="59">
        <f t="shared" si="68"/>
        <v>1.2689655172413792</v>
      </c>
      <c r="Z193" s="506">
        <f t="shared" si="51"/>
        <v>22.413793103448274</v>
      </c>
      <c r="AA193" s="507">
        <f t="shared" si="69"/>
        <v>3.1034482758620685</v>
      </c>
      <c r="AB193" s="508">
        <f t="shared" si="70"/>
        <v>0.51724137931034475</v>
      </c>
      <c r="AC193" s="59">
        <f t="shared" si="71"/>
        <v>0.47586206896551719</v>
      </c>
      <c r="AD193" s="506">
        <f t="shared" si="52"/>
        <v>22.413793103448274</v>
      </c>
      <c r="AE193" s="507">
        <f t="shared" si="72"/>
        <v>3.1034482758620685</v>
      </c>
      <c r="AF193" s="508">
        <f t="shared" si="73"/>
        <v>0.51724137931034475</v>
      </c>
      <c r="AG193" s="59">
        <f t="shared" si="74"/>
        <v>0.47586206896551719</v>
      </c>
      <c r="AH193" s="506">
        <f t="shared" si="53"/>
        <v>22.413793103448274</v>
      </c>
      <c r="AI193" s="507">
        <f t="shared" si="75"/>
        <v>3.1034482758620685</v>
      </c>
      <c r="AJ193" s="508">
        <f t="shared" si="76"/>
        <v>0.51724137931034475</v>
      </c>
      <c r="AK193" s="60">
        <f t="shared" si="77"/>
        <v>0.47586206896551719</v>
      </c>
    </row>
    <row r="194" spans="1:37" ht="15.5" x14ac:dyDescent="0.35">
      <c r="A194" s="64">
        <v>2038</v>
      </c>
      <c r="B194" s="506">
        <f t="shared" si="45"/>
        <v>91.724137931034477</v>
      </c>
      <c r="C194" s="507">
        <f t="shared" si="45"/>
        <v>31.03448275862069</v>
      </c>
      <c r="D194" s="508">
        <f t="shared" si="45"/>
        <v>3.7931034482758621</v>
      </c>
      <c r="E194" s="59">
        <f t="shared" si="45"/>
        <v>3.489655172413793</v>
      </c>
      <c r="F194" s="506">
        <f t="shared" si="46"/>
        <v>91.724137931034477</v>
      </c>
      <c r="G194" s="507">
        <f t="shared" si="54"/>
        <v>17.068965517241377</v>
      </c>
      <c r="H194" s="507">
        <f t="shared" si="55"/>
        <v>3.7931034482758621</v>
      </c>
      <c r="I194" s="509">
        <f t="shared" si="56"/>
        <v>3.489655172413793</v>
      </c>
      <c r="J194" s="506">
        <f t="shared" si="47"/>
        <v>65.517241379310335</v>
      </c>
      <c r="K194" s="507">
        <f t="shared" si="57"/>
        <v>11.724137931034482</v>
      </c>
      <c r="L194" s="508">
        <f t="shared" si="58"/>
        <v>1.5517241379310343</v>
      </c>
      <c r="M194" s="59">
        <f t="shared" si="59"/>
        <v>1.4275862068965517</v>
      </c>
      <c r="N194" s="506">
        <f t="shared" si="48"/>
        <v>68.793103448275858</v>
      </c>
      <c r="O194" s="507">
        <f t="shared" si="60"/>
        <v>11.724137931034482</v>
      </c>
      <c r="P194" s="508">
        <f t="shared" si="61"/>
        <v>1.3793103448275861</v>
      </c>
      <c r="Q194" s="59">
        <f t="shared" si="62"/>
        <v>1.2689655172413792</v>
      </c>
      <c r="R194" s="506">
        <f t="shared" si="49"/>
        <v>68.793103448275858</v>
      </c>
      <c r="S194" s="507">
        <f t="shared" si="63"/>
        <v>11.724137931034482</v>
      </c>
      <c r="T194" s="508">
        <f t="shared" si="64"/>
        <v>1.3793103448275861</v>
      </c>
      <c r="U194" s="59">
        <f t="shared" si="65"/>
        <v>1.2689655172413792</v>
      </c>
      <c r="V194" s="506">
        <f t="shared" si="50"/>
        <v>68.793103448275858</v>
      </c>
      <c r="W194" s="507">
        <f t="shared" si="66"/>
        <v>11.724137931034482</v>
      </c>
      <c r="X194" s="508">
        <f t="shared" si="67"/>
        <v>1.3793103448275861</v>
      </c>
      <c r="Y194" s="59">
        <f t="shared" si="68"/>
        <v>1.2689655172413792</v>
      </c>
      <c r="Z194" s="506">
        <f t="shared" si="51"/>
        <v>22.413793103448274</v>
      </c>
      <c r="AA194" s="507">
        <f t="shared" si="69"/>
        <v>3.1034482758620685</v>
      </c>
      <c r="AB194" s="508">
        <f t="shared" si="70"/>
        <v>0.51724137931034475</v>
      </c>
      <c r="AC194" s="59">
        <f t="shared" si="71"/>
        <v>0.47586206896551719</v>
      </c>
      <c r="AD194" s="506">
        <f t="shared" si="52"/>
        <v>22.413793103448274</v>
      </c>
      <c r="AE194" s="507">
        <f t="shared" si="72"/>
        <v>3.1034482758620685</v>
      </c>
      <c r="AF194" s="508">
        <f t="shared" si="73"/>
        <v>0.51724137931034475</v>
      </c>
      <c r="AG194" s="59">
        <f t="shared" si="74"/>
        <v>0.47586206896551719</v>
      </c>
      <c r="AH194" s="506">
        <f t="shared" si="53"/>
        <v>22.413793103448274</v>
      </c>
      <c r="AI194" s="507">
        <f t="shared" si="75"/>
        <v>3.1034482758620685</v>
      </c>
      <c r="AJ194" s="508">
        <f t="shared" si="76"/>
        <v>0.51724137931034475</v>
      </c>
      <c r="AK194" s="60">
        <f t="shared" si="77"/>
        <v>0.47586206896551719</v>
      </c>
    </row>
    <row r="195" spans="1:37" ht="15.5" x14ac:dyDescent="0.35">
      <c r="A195" s="64">
        <v>2039</v>
      </c>
      <c r="B195" s="506">
        <f t="shared" si="45"/>
        <v>91.724137931034477</v>
      </c>
      <c r="C195" s="507">
        <f t="shared" si="45"/>
        <v>31.03448275862069</v>
      </c>
      <c r="D195" s="508">
        <f t="shared" si="45"/>
        <v>3.7931034482758621</v>
      </c>
      <c r="E195" s="59">
        <f t="shared" si="45"/>
        <v>3.489655172413793</v>
      </c>
      <c r="F195" s="506">
        <f t="shared" si="46"/>
        <v>91.724137931034477</v>
      </c>
      <c r="G195" s="507">
        <f t="shared" si="54"/>
        <v>17.068965517241377</v>
      </c>
      <c r="H195" s="507">
        <f t="shared" si="55"/>
        <v>3.7931034482758621</v>
      </c>
      <c r="I195" s="509">
        <f t="shared" si="56"/>
        <v>3.489655172413793</v>
      </c>
      <c r="J195" s="506">
        <f t="shared" si="47"/>
        <v>65.517241379310335</v>
      </c>
      <c r="K195" s="507">
        <f t="shared" si="57"/>
        <v>11.724137931034482</v>
      </c>
      <c r="L195" s="508">
        <f t="shared" si="58"/>
        <v>1.5517241379310343</v>
      </c>
      <c r="M195" s="59">
        <f t="shared" si="59"/>
        <v>1.4275862068965517</v>
      </c>
      <c r="N195" s="506">
        <f t="shared" si="48"/>
        <v>68.793103448275858</v>
      </c>
      <c r="O195" s="507">
        <f t="shared" si="60"/>
        <v>11.724137931034482</v>
      </c>
      <c r="P195" s="508">
        <f t="shared" si="61"/>
        <v>1.3793103448275861</v>
      </c>
      <c r="Q195" s="59">
        <f t="shared" si="62"/>
        <v>1.2689655172413792</v>
      </c>
      <c r="R195" s="506">
        <f t="shared" si="49"/>
        <v>68.793103448275858</v>
      </c>
      <c r="S195" s="507">
        <f t="shared" si="63"/>
        <v>11.724137931034482</v>
      </c>
      <c r="T195" s="508">
        <f t="shared" si="64"/>
        <v>1.3793103448275861</v>
      </c>
      <c r="U195" s="59">
        <f t="shared" si="65"/>
        <v>1.2689655172413792</v>
      </c>
      <c r="V195" s="506">
        <f t="shared" si="50"/>
        <v>68.793103448275858</v>
      </c>
      <c r="W195" s="507">
        <f t="shared" si="66"/>
        <v>11.724137931034482</v>
      </c>
      <c r="X195" s="508">
        <f t="shared" si="67"/>
        <v>1.3793103448275861</v>
      </c>
      <c r="Y195" s="59">
        <f t="shared" si="68"/>
        <v>1.2689655172413792</v>
      </c>
      <c r="Z195" s="506">
        <f t="shared" si="51"/>
        <v>22.413793103448274</v>
      </c>
      <c r="AA195" s="507">
        <f t="shared" si="69"/>
        <v>3.1034482758620685</v>
      </c>
      <c r="AB195" s="508">
        <f t="shared" si="70"/>
        <v>0.51724137931034475</v>
      </c>
      <c r="AC195" s="59">
        <f t="shared" si="71"/>
        <v>0.47586206896551719</v>
      </c>
      <c r="AD195" s="506">
        <f t="shared" si="52"/>
        <v>22.413793103448274</v>
      </c>
      <c r="AE195" s="507">
        <f t="shared" si="72"/>
        <v>3.1034482758620685</v>
      </c>
      <c r="AF195" s="508">
        <f t="shared" si="73"/>
        <v>0.51724137931034475</v>
      </c>
      <c r="AG195" s="59">
        <f t="shared" si="74"/>
        <v>0.47586206896551719</v>
      </c>
      <c r="AH195" s="506">
        <f t="shared" si="53"/>
        <v>22.413793103448274</v>
      </c>
      <c r="AI195" s="507">
        <f t="shared" si="75"/>
        <v>3.1034482758620685</v>
      </c>
      <c r="AJ195" s="508">
        <f t="shared" si="76"/>
        <v>0.51724137931034475</v>
      </c>
      <c r="AK195" s="60">
        <f t="shared" si="77"/>
        <v>0.47586206896551719</v>
      </c>
    </row>
    <row r="196" spans="1:37" ht="16" thickBot="1" x14ac:dyDescent="0.4">
      <c r="A196" s="65">
        <v>2040</v>
      </c>
      <c r="B196" s="510">
        <f t="shared" si="45"/>
        <v>91.724137931034477</v>
      </c>
      <c r="C196" s="511">
        <f t="shared" si="45"/>
        <v>31.03448275862069</v>
      </c>
      <c r="D196" s="512">
        <f t="shared" si="45"/>
        <v>3.7931034482758621</v>
      </c>
      <c r="E196" s="513">
        <f t="shared" si="45"/>
        <v>3.489655172413793</v>
      </c>
      <c r="F196" s="510">
        <f t="shared" si="46"/>
        <v>91.724137931034477</v>
      </c>
      <c r="G196" s="511">
        <f t="shared" si="54"/>
        <v>17.068965517241377</v>
      </c>
      <c r="H196" s="511">
        <f t="shared" si="55"/>
        <v>3.7931034482758621</v>
      </c>
      <c r="I196" s="514">
        <f t="shared" si="56"/>
        <v>3.489655172413793</v>
      </c>
      <c r="J196" s="510">
        <f t="shared" si="47"/>
        <v>65.517241379310335</v>
      </c>
      <c r="K196" s="511">
        <f t="shared" si="57"/>
        <v>11.724137931034482</v>
      </c>
      <c r="L196" s="512">
        <f t="shared" si="58"/>
        <v>1.5517241379310343</v>
      </c>
      <c r="M196" s="513">
        <f t="shared" si="59"/>
        <v>1.4275862068965517</v>
      </c>
      <c r="N196" s="510">
        <f t="shared" si="48"/>
        <v>68.793103448275858</v>
      </c>
      <c r="O196" s="511">
        <f t="shared" si="60"/>
        <v>11.724137931034482</v>
      </c>
      <c r="P196" s="512">
        <f t="shared" si="61"/>
        <v>1.3793103448275861</v>
      </c>
      <c r="Q196" s="513">
        <f t="shared" si="62"/>
        <v>1.2689655172413792</v>
      </c>
      <c r="R196" s="510">
        <f t="shared" si="49"/>
        <v>68.793103448275858</v>
      </c>
      <c r="S196" s="511">
        <f t="shared" si="63"/>
        <v>11.724137931034482</v>
      </c>
      <c r="T196" s="512">
        <f t="shared" si="64"/>
        <v>1.3793103448275861</v>
      </c>
      <c r="U196" s="513">
        <f t="shared" si="65"/>
        <v>1.2689655172413792</v>
      </c>
      <c r="V196" s="510">
        <f t="shared" si="50"/>
        <v>68.793103448275858</v>
      </c>
      <c r="W196" s="511">
        <f t="shared" si="66"/>
        <v>11.724137931034482</v>
      </c>
      <c r="X196" s="512">
        <f t="shared" si="67"/>
        <v>1.3793103448275861</v>
      </c>
      <c r="Y196" s="513">
        <f t="shared" si="68"/>
        <v>1.2689655172413792</v>
      </c>
      <c r="Z196" s="510">
        <f t="shared" si="51"/>
        <v>22.413793103448274</v>
      </c>
      <c r="AA196" s="511">
        <f t="shared" si="69"/>
        <v>3.1034482758620685</v>
      </c>
      <c r="AB196" s="512">
        <f t="shared" si="70"/>
        <v>0.51724137931034475</v>
      </c>
      <c r="AC196" s="513">
        <f t="shared" si="71"/>
        <v>0.47586206896551719</v>
      </c>
      <c r="AD196" s="510">
        <f t="shared" si="52"/>
        <v>22.413793103448274</v>
      </c>
      <c r="AE196" s="511">
        <f t="shared" si="72"/>
        <v>3.1034482758620685</v>
      </c>
      <c r="AF196" s="512">
        <f t="shared" si="73"/>
        <v>0.51724137931034475</v>
      </c>
      <c r="AG196" s="513">
        <f t="shared" si="74"/>
        <v>0.47586206896551719</v>
      </c>
      <c r="AH196" s="510">
        <f t="shared" si="53"/>
        <v>22.413793103448274</v>
      </c>
      <c r="AI196" s="511">
        <f t="shared" si="75"/>
        <v>3.1034482758620685</v>
      </c>
      <c r="AJ196" s="512">
        <f t="shared" si="76"/>
        <v>0.51724137931034475</v>
      </c>
      <c r="AK196" s="515">
        <f t="shared" si="77"/>
        <v>0.47586206896551719</v>
      </c>
    </row>
    <row r="197" spans="1:37" ht="15.5" x14ac:dyDescent="0.35">
      <c r="A197" s="81" t="s">
        <v>5977</v>
      </c>
    </row>
    <row r="198" spans="1:37" ht="17.5" x14ac:dyDescent="0.45">
      <c r="A198" s="92" t="s">
        <v>6003</v>
      </c>
    </row>
    <row r="199" spans="1:37" ht="15.5" x14ac:dyDescent="0.35">
      <c r="A199" s="3"/>
    </row>
    <row r="200" spans="1:37" ht="15.5" x14ac:dyDescent="0.35">
      <c r="A200" s="3"/>
    </row>
  </sheetData>
  <hyperlinks>
    <hyperlink ref="A99" r:id="rId1" tooltip="Link to CARB's Emissions Estimation Methodology for Commercial Harbor Craft Operating in CA" xr:uid="{00000000-0004-0000-1900-000000000000}"/>
  </hyperlinks>
  <pageMargins left="0.7" right="0.7" top="0.75" bottom="0.75" header="0.3" footer="0.3"/>
  <pageSetup scale="59" orientation="portrait" r:id="rId2"/>
  <headerFooter>
    <oddFooter>&amp;L&amp;"Avenir LT Std 55 Roman,Regular"&amp;12December 30, 2020&amp;C&amp;"Avenir LT Std 55 Roman,Regular"&amp;12&amp;P of &amp;N&amp;R&amp;"Avenir LT Std 55 Roman,Regular"&amp;12&amp;A</oddFooter>
  </headerFooter>
  <rowBreaks count="1" manualBreakCount="1">
    <brk id="101" max="16383" man="1"/>
  </rowBreaks>
  <colBreaks count="1" manualBreakCount="1">
    <brk id="17" max="1048575" man="1"/>
  </colBreaks>
  <drawing r:id="rId3"/>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1"/>
  </sheetPr>
  <dimension ref="A1:BG200"/>
  <sheetViews>
    <sheetView showGridLines="0" zoomScaleNormal="100" zoomScalePageLayoutView="70" workbookViewId="0">
      <selection activeCell="B1" sqref="B1"/>
    </sheetView>
  </sheetViews>
  <sheetFormatPr defaultColWidth="13.90625" defaultRowHeight="15.5" x14ac:dyDescent="0.35"/>
  <cols>
    <col min="1" max="1" width="2.90625" style="117" customWidth="1"/>
    <col min="2" max="2" width="30.453125" style="117" customWidth="1"/>
    <col min="3" max="3" width="25.08984375" style="117" customWidth="1"/>
    <col min="4" max="4" width="25.08984375" style="117" bestFit="1" customWidth="1"/>
    <col min="5" max="6" width="25.08984375" style="117" customWidth="1"/>
    <col min="7" max="53" width="20" style="117" customWidth="1"/>
    <col min="54" max="54" width="20.90625" style="117" bestFit="1" customWidth="1"/>
    <col min="55" max="55" width="20" style="117" customWidth="1"/>
    <col min="56" max="56" width="20.90625" style="117" bestFit="1" customWidth="1"/>
    <col min="57" max="57" width="20" style="117" customWidth="1"/>
    <col min="58" max="58" width="20.90625" style="117" bestFit="1" customWidth="1"/>
    <col min="59" max="59" width="20" style="117" customWidth="1"/>
    <col min="60" max="16384" width="13.90625" style="117"/>
  </cols>
  <sheetData>
    <row r="1" spans="1:59" ht="20.5" x14ac:dyDescent="0.35">
      <c r="A1" s="168"/>
      <c r="B1" s="168"/>
      <c r="C1" s="168"/>
      <c r="D1" s="168"/>
      <c r="E1" s="168"/>
      <c r="F1" s="168"/>
    </row>
    <row r="2" spans="1:59" x14ac:dyDescent="0.35">
      <c r="A2" s="261"/>
      <c r="B2" s="261"/>
      <c r="C2" s="261"/>
      <c r="D2" s="261"/>
      <c r="E2" s="261"/>
      <c r="F2" s="261"/>
    </row>
    <row r="3" spans="1:59" ht="20.5" x14ac:dyDescent="0.35">
      <c r="A3" s="168"/>
      <c r="B3" s="168"/>
      <c r="C3" s="168"/>
      <c r="D3" s="168"/>
      <c r="E3" s="168"/>
      <c r="F3" s="168"/>
    </row>
    <row r="4" spans="1:59" ht="20.5" x14ac:dyDescent="0.35">
      <c r="A4" s="170"/>
      <c r="B4" s="170"/>
      <c r="C4" s="170"/>
      <c r="D4" s="170"/>
      <c r="E4" s="170"/>
      <c r="F4" s="170"/>
    </row>
    <row r="5" spans="1:59" x14ac:dyDescent="0.35">
      <c r="A5" s="261"/>
      <c r="B5" s="261"/>
      <c r="C5" s="261"/>
      <c r="D5" s="261"/>
      <c r="E5" s="261"/>
      <c r="F5" s="261"/>
    </row>
    <row r="6" spans="1:59" ht="20.5" x14ac:dyDescent="0.35">
      <c r="A6" s="168"/>
      <c r="B6" s="168"/>
      <c r="C6" s="168"/>
      <c r="D6" s="168"/>
      <c r="E6" s="168"/>
      <c r="F6" s="168"/>
    </row>
    <row r="8" spans="1:59" s="120" customFormat="1" ht="16" thickBot="1" x14ac:dyDescent="0.4">
      <c r="B8" s="117"/>
      <c r="C8" s="117"/>
      <c r="D8" s="117"/>
      <c r="E8" s="117"/>
      <c r="F8" s="117"/>
    </row>
    <row r="9" spans="1:59" ht="31.5" thickBot="1" x14ac:dyDescent="0.4">
      <c r="B9" s="143" t="s">
        <v>728</v>
      </c>
      <c r="C9" s="144" t="s">
        <v>6004</v>
      </c>
      <c r="D9" s="145"/>
      <c r="E9" s="146"/>
      <c r="F9" s="146"/>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row>
    <row r="10" spans="1:59" ht="15" customHeight="1" x14ac:dyDescent="0.35">
      <c r="B10" s="147" t="s">
        <v>737</v>
      </c>
      <c r="C10" s="148">
        <v>4.22</v>
      </c>
      <c r="D10" s="149"/>
      <c r="E10" s="150"/>
      <c r="F10" s="151"/>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c r="AM10" s="152"/>
      <c r="AN10" s="152"/>
      <c r="AO10" s="152"/>
      <c r="AP10" s="152"/>
      <c r="AQ10" s="152"/>
      <c r="AR10" s="152"/>
      <c r="AS10" s="152"/>
      <c r="AT10" s="152"/>
      <c r="AU10" s="152"/>
      <c r="AV10" s="152"/>
      <c r="AW10" s="152"/>
      <c r="AX10" s="152"/>
      <c r="AY10" s="152"/>
      <c r="AZ10" s="152"/>
      <c r="BA10" s="152"/>
      <c r="BB10" s="152"/>
      <c r="BC10" s="152"/>
      <c r="BD10" s="152"/>
      <c r="BE10" s="152"/>
      <c r="BF10" s="152"/>
      <c r="BG10" s="152"/>
    </row>
    <row r="11" spans="1:59" ht="15" customHeight="1" x14ac:dyDescent="0.35">
      <c r="B11" s="153" t="s">
        <v>738</v>
      </c>
      <c r="C11" s="154">
        <f>2.42/'GHG EF'!$C$14*'GHG EF'!$C$11</f>
        <v>2.0474833808167142E-2</v>
      </c>
      <c r="D11" s="149"/>
      <c r="E11" s="150"/>
      <c r="F11" s="151"/>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row>
    <row r="12" spans="1:59" ht="15" customHeight="1" x14ac:dyDescent="0.35">
      <c r="B12" s="153" t="s">
        <v>739</v>
      </c>
      <c r="C12" s="154">
        <v>5.42</v>
      </c>
      <c r="D12" s="149"/>
      <c r="E12" s="150"/>
      <c r="F12" s="151"/>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row>
    <row r="13" spans="1:59" ht="15" customHeight="1" x14ac:dyDescent="0.35">
      <c r="B13" s="153" t="s">
        <v>740</v>
      </c>
      <c r="C13" s="154">
        <v>0.13500000000000001</v>
      </c>
      <c r="D13" s="149"/>
      <c r="E13" s="150"/>
      <c r="F13" s="151"/>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c r="AL13" s="152"/>
      <c r="AM13" s="152"/>
      <c r="AN13" s="152"/>
      <c r="AO13" s="152"/>
      <c r="AP13" s="152"/>
      <c r="AQ13" s="152"/>
      <c r="AR13" s="152"/>
      <c r="AS13" s="152"/>
      <c r="AT13" s="152"/>
      <c r="AU13" s="152"/>
      <c r="AV13" s="152"/>
      <c r="AW13" s="152"/>
      <c r="AX13" s="152"/>
      <c r="AY13" s="152"/>
      <c r="AZ13" s="152"/>
      <c r="BA13" s="152"/>
      <c r="BB13" s="152"/>
      <c r="BC13" s="152"/>
      <c r="BD13" s="152"/>
      <c r="BE13" s="152"/>
      <c r="BF13" s="152"/>
      <c r="BG13" s="152"/>
    </row>
    <row r="14" spans="1:59" ht="15" customHeight="1" x14ac:dyDescent="0.35">
      <c r="B14" s="153" t="s">
        <v>741</v>
      </c>
      <c r="C14" s="154">
        <v>5.17</v>
      </c>
      <c r="D14" s="149"/>
      <c r="E14" s="150"/>
      <c r="F14" s="151"/>
      <c r="G14" s="152"/>
      <c r="H14" s="152"/>
      <c r="I14" s="152"/>
      <c r="J14" s="152"/>
      <c r="K14" s="152"/>
      <c r="L14" s="152"/>
      <c r="M14" s="152"/>
      <c r="N14" s="152"/>
      <c r="O14" s="152"/>
      <c r="P14" s="152"/>
      <c r="Q14" s="152"/>
      <c r="R14" s="152"/>
      <c r="S14" s="152"/>
      <c r="T14" s="152"/>
      <c r="U14" s="152"/>
      <c r="V14" s="152"/>
      <c r="W14" s="152"/>
      <c r="X14" s="152"/>
      <c r="Y14" s="152"/>
      <c r="Z14" s="152"/>
      <c r="AA14" s="152"/>
      <c r="AB14" s="152"/>
      <c r="AC14" s="152"/>
      <c r="AD14" s="152"/>
      <c r="AE14" s="152"/>
      <c r="AF14" s="152"/>
      <c r="AG14" s="152"/>
      <c r="AH14" s="152"/>
      <c r="AI14" s="152"/>
      <c r="AJ14" s="152"/>
      <c r="AK14" s="152"/>
      <c r="AL14" s="152"/>
      <c r="AM14" s="152"/>
      <c r="AN14" s="152"/>
      <c r="AO14" s="152"/>
      <c r="AP14" s="152"/>
      <c r="AQ14" s="152"/>
      <c r="AR14" s="152"/>
      <c r="AS14" s="152"/>
      <c r="AT14" s="152"/>
      <c r="AU14" s="152"/>
      <c r="AV14" s="152"/>
      <c r="AW14" s="152"/>
      <c r="AX14" s="152"/>
      <c r="AY14" s="152"/>
      <c r="AZ14" s="152"/>
      <c r="BA14" s="152"/>
      <c r="BB14" s="152"/>
      <c r="BC14" s="152"/>
      <c r="BD14" s="152"/>
      <c r="BE14" s="152"/>
      <c r="BF14" s="152"/>
      <c r="BG14" s="152"/>
    </row>
    <row r="15" spans="1:59" ht="15" customHeight="1" x14ac:dyDescent="0.35">
      <c r="B15" s="153" t="s">
        <v>742</v>
      </c>
      <c r="C15" s="154">
        <v>17.489999999999998</v>
      </c>
      <c r="D15" s="149"/>
      <c r="E15" s="150"/>
      <c r="F15" s="151"/>
      <c r="G15" s="152"/>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2"/>
      <c r="AY15" s="152"/>
      <c r="AZ15" s="152"/>
      <c r="BA15" s="152"/>
      <c r="BB15" s="152"/>
      <c r="BC15" s="152"/>
      <c r="BD15" s="152"/>
      <c r="BE15" s="152"/>
      <c r="BF15" s="152"/>
      <c r="BG15" s="152"/>
    </row>
    <row r="16" spans="1:59" ht="15" customHeight="1" x14ac:dyDescent="0.35">
      <c r="B16" s="153" t="s">
        <v>743</v>
      </c>
      <c r="C16" s="154">
        <f>2.16/'GHG EF'!$C$12*'GHG EF'!$C$16</f>
        <v>1.2662512084479811</v>
      </c>
      <c r="D16" s="149"/>
      <c r="E16" s="150"/>
      <c r="F16" s="151"/>
      <c r="G16" s="152"/>
      <c r="H16" s="152"/>
      <c r="I16" s="152"/>
      <c r="J16" s="152"/>
      <c r="K16" s="152"/>
      <c r="L16" s="152"/>
      <c r="M16" s="152"/>
      <c r="N16" s="152"/>
      <c r="O16" s="152"/>
      <c r="P16" s="152"/>
      <c r="Q16" s="152"/>
      <c r="R16" s="152"/>
      <c r="S16" s="152"/>
      <c r="T16" s="152"/>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row>
    <row r="17" spans="2:59" ht="15" customHeight="1" x14ac:dyDescent="0.35">
      <c r="B17" s="153" t="s">
        <v>744</v>
      </c>
      <c r="C17" s="154">
        <f>C12</f>
        <v>5.42</v>
      </c>
      <c r="D17" s="149"/>
      <c r="E17" s="150"/>
      <c r="F17" s="151"/>
      <c r="G17" s="152"/>
      <c r="H17" s="152"/>
      <c r="I17" s="152"/>
      <c r="J17" s="152"/>
      <c r="K17" s="152"/>
      <c r="L17" s="152"/>
      <c r="M17" s="152"/>
      <c r="N17" s="152"/>
      <c r="O17" s="152"/>
      <c r="P17" s="152"/>
      <c r="Q17" s="152"/>
      <c r="R17" s="152"/>
      <c r="S17" s="152"/>
      <c r="T17" s="152"/>
      <c r="U17" s="152"/>
      <c r="V17" s="152"/>
      <c r="W17" s="152"/>
      <c r="X17" s="152"/>
      <c r="Y17" s="152"/>
      <c r="Z17" s="152"/>
      <c r="AA17" s="152"/>
      <c r="AB17" s="152"/>
      <c r="AC17" s="152"/>
      <c r="AD17" s="152"/>
      <c r="AE17" s="152"/>
      <c r="AF17" s="152"/>
      <c r="AG17" s="152"/>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row>
    <row r="18" spans="2:59" ht="15" customHeight="1" x14ac:dyDescent="0.35">
      <c r="B18" s="900" t="s">
        <v>745</v>
      </c>
      <c r="C18" s="901">
        <v>0</v>
      </c>
      <c r="D18" s="149"/>
      <c r="E18" s="150"/>
      <c r="F18" s="151"/>
      <c r="G18" s="152"/>
      <c r="H18" s="152"/>
      <c r="I18" s="152"/>
      <c r="J18" s="152"/>
      <c r="K18" s="152"/>
      <c r="L18" s="152"/>
      <c r="M18" s="152"/>
      <c r="N18" s="152"/>
      <c r="O18" s="152"/>
      <c r="P18" s="152"/>
      <c r="Q18" s="152"/>
      <c r="R18" s="152"/>
      <c r="S18" s="152"/>
      <c r="T18" s="152"/>
      <c r="U18" s="152"/>
      <c r="V18" s="152"/>
      <c r="W18" s="152"/>
      <c r="X18" s="152"/>
      <c r="Y18" s="152"/>
      <c r="Z18" s="152"/>
      <c r="AA18" s="152"/>
      <c r="AB18" s="152"/>
      <c r="AC18" s="152"/>
      <c r="AD18" s="152"/>
      <c r="AE18" s="152"/>
      <c r="AF18" s="152"/>
      <c r="AG18" s="152"/>
      <c r="AH18" s="152"/>
      <c r="AI18" s="152"/>
      <c r="AJ18" s="152"/>
      <c r="AK18" s="152"/>
      <c r="AL18" s="152"/>
      <c r="AM18" s="152"/>
      <c r="AN18" s="152"/>
      <c r="AO18" s="152"/>
      <c r="AP18" s="152"/>
      <c r="AQ18" s="152"/>
      <c r="AR18" s="152"/>
      <c r="AS18" s="152"/>
      <c r="AT18" s="152"/>
      <c r="AU18" s="152"/>
      <c r="AV18" s="152"/>
      <c r="AW18" s="152"/>
      <c r="AX18" s="152"/>
      <c r="AY18" s="152"/>
      <c r="AZ18" s="152"/>
      <c r="BA18" s="152"/>
      <c r="BB18" s="152"/>
      <c r="BC18" s="152"/>
      <c r="BD18" s="152"/>
      <c r="BE18" s="152"/>
      <c r="BF18" s="152"/>
      <c r="BG18" s="152"/>
    </row>
    <row r="19" spans="2:59" ht="15" customHeight="1" thickBot="1" x14ac:dyDescent="0.4">
      <c r="B19" s="155" t="s">
        <v>746</v>
      </c>
      <c r="C19" s="156">
        <f>C11</f>
        <v>2.0474833808167142E-2</v>
      </c>
      <c r="D19" s="149"/>
      <c r="E19" s="150"/>
      <c r="F19" s="151"/>
      <c r="G19" s="152"/>
      <c r="H19" s="152"/>
      <c r="I19" s="152"/>
      <c r="J19" s="152"/>
      <c r="K19" s="152"/>
      <c r="L19" s="152"/>
      <c r="M19" s="152"/>
      <c r="N19" s="152"/>
      <c r="O19" s="152"/>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row>
    <row r="20" spans="2:59" x14ac:dyDescent="0.35">
      <c r="B20" s="714" t="s">
        <v>6005</v>
      </c>
      <c r="C20" s="714"/>
      <c r="D20" s="160"/>
      <c r="E20" s="160"/>
      <c r="F20" s="160"/>
    </row>
    <row r="21" spans="2:59" x14ac:dyDescent="0.35">
      <c r="B21" s="157" t="s">
        <v>6006</v>
      </c>
      <c r="C21" s="158"/>
      <c r="D21" s="158"/>
      <c r="E21" s="158"/>
      <c r="F21" s="158"/>
    </row>
    <row r="22" spans="2:59" ht="15" customHeight="1" x14ac:dyDescent="0.35">
      <c r="B22" s="157" t="s">
        <v>6007</v>
      </c>
      <c r="C22" s="158"/>
      <c r="D22" s="158"/>
      <c r="E22" s="158"/>
      <c r="F22" s="158"/>
    </row>
    <row r="23" spans="2:59" ht="15" customHeight="1" thickBot="1" x14ac:dyDescent="0.4">
      <c r="B23" s="158"/>
      <c r="C23" s="158"/>
      <c r="D23" s="158"/>
      <c r="E23" s="158"/>
      <c r="F23" s="158"/>
    </row>
    <row r="24" spans="2:59" x14ac:dyDescent="0.35">
      <c r="B24" s="93" t="s">
        <v>6008</v>
      </c>
      <c r="C24" s="94"/>
      <c r="D24" s="94"/>
      <c r="E24" s="94"/>
      <c r="F24" s="95"/>
    </row>
    <row r="25" spans="2:59" ht="15" customHeight="1" x14ac:dyDescent="0.35">
      <c r="B25" s="159" t="s">
        <v>6009</v>
      </c>
      <c r="C25" s="160"/>
      <c r="D25" s="160"/>
      <c r="E25" s="160"/>
      <c r="F25" s="161"/>
    </row>
    <row r="26" spans="2:59" ht="16" thickBot="1" x14ac:dyDescent="0.4">
      <c r="B26" s="182" t="s">
        <v>6010</v>
      </c>
      <c r="C26" s="162"/>
      <c r="D26" s="162"/>
      <c r="E26" s="162"/>
      <c r="F26" s="163"/>
    </row>
    <row r="27" spans="2:59" ht="15" customHeight="1" x14ac:dyDescent="0.35"/>
    <row r="28" spans="2:59" ht="15" customHeight="1" thickBot="1" x14ac:dyDescent="0.4"/>
    <row r="29" spans="2:59" ht="15" customHeight="1" thickBot="1" x14ac:dyDescent="0.4">
      <c r="B29" s="713" t="s">
        <v>6011</v>
      </c>
      <c r="C29" s="712"/>
    </row>
    <row r="30" spans="2:59" ht="15" customHeight="1" thickBot="1" x14ac:dyDescent="0.4">
      <c r="B30" s="164" t="s">
        <v>6012</v>
      </c>
      <c r="C30" s="165" t="s">
        <v>6013</v>
      </c>
    </row>
    <row r="31" spans="2:59" ht="15" customHeight="1" thickBot="1" x14ac:dyDescent="0.4">
      <c r="B31" s="166" t="s">
        <v>6014</v>
      </c>
      <c r="C31" s="167">
        <v>0.60499999999999998</v>
      </c>
    </row>
    <row r="32" spans="2:59" ht="15" customHeight="1" thickBot="1" x14ac:dyDescent="0.4">
      <c r="B32" s="307"/>
      <c r="C32" s="307"/>
      <c r="D32" s="307"/>
      <c r="E32" s="307"/>
      <c r="F32" s="307"/>
    </row>
    <row r="33" spans="2:6" x14ac:dyDescent="0.35">
      <c r="B33" s="93" t="s">
        <v>6008</v>
      </c>
      <c r="C33" s="94"/>
      <c r="D33" s="94"/>
      <c r="E33" s="94"/>
      <c r="F33" s="95"/>
    </row>
    <row r="34" spans="2:6" ht="15" customHeight="1" x14ac:dyDescent="0.35">
      <c r="B34" s="159" t="s">
        <v>6015</v>
      </c>
      <c r="C34" s="160"/>
      <c r="D34" s="160"/>
      <c r="E34" s="160"/>
      <c r="F34" s="161"/>
    </row>
    <row r="35" spans="2:6" ht="15" customHeight="1" thickBot="1" x14ac:dyDescent="0.4">
      <c r="B35" s="182" t="s">
        <v>6016</v>
      </c>
      <c r="C35" s="1214"/>
      <c r="D35" s="1214"/>
      <c r="E35" s="1214"/>
      <c r="F35" s="1215"/>
    </row>
    <row r="36" spans="2:6" ht="15" customHeight="1" x14ac:dyDescent="0.35"/>
    <row r="37" spans="2:6" ht="15" customHeight="1" x14ac:dyDescent="0.35"/>
    <row r="38" spans="2:6" ht="15" customHeight="1" x14ac:dyDescent="0.35"/>
    <row r="39" spans="2:6" ht="15" customHeight="1" x14ac:dyDescent="0.35"/>
    <row r="40" spans="2:6" ht="15" customHeight="1" x14ac:dyDescent="0.35"/>
    <row r="41" spans="2:6" ht="15" customHeight="1" x14ac:dyDescent="0.35"/>
    <row r="42" spans="2:6" ht="15" customHeight="1" x14ac:dyDescent="0.35"/>
    <row r="43" spans="2:6" ht="15" customHeight="1" x14ac:dyDescent="0.35"/>
    <row r="44" spans="2:6" ht="15" customHeight="1" x14ac:dyDescent="0.35"/>
    <row r="45" spans="2:6" ht="15" customHeight="1" x14ac:dyDescent="0.35"/>
    <row r="46" spans="2:6" ht="15" customHeight="1" x14ac:dyDescent="0.35"/>
    <row r="47" spans="2:6" ht="15" customHeight="1" x14ac:dyDescent="0.35"/>
    <row r="48" spans="2:6" ht="15" customHeight="1" x14ac:dyDescent="0.35"/>
    <row r="49" ht="15" customHeight="1" x14ac:dyDescent="0.35"/>
    <row r="50" ht="15" customHeight="1" x14ac:dyDescent="0.35"/>
    <row r="51" ht="15" customHeight="1" x14ac:dyDescent="0.35"/>
    <row r="52" ht="15" customHeight="1" x14ac:dyDescent="0.35"/>
    <row r="53" ht="15" customHeight="1" x14ac:dyDescent="0.35"/>
    <row r="54" ht="15" customHeight="1" x14ac:dyDescent="0.35"/>
    <row r="55" ht="15" customHeight="1" x14ac:dyDescent="0.35"/>
    <row r="56" ht="15" customHeight="1" x14ac:dyDescent="0.35"/>
    <row r="57" ht="15" customHeight="1" x14ac:dyDescent="0.35"/>
    <row r="58" ht="15" customHeight="1" x14ac:dyDescent="0.35"/>
    <row r="59" ht="15" customHeight="1" x14ac:dyDescent="0.35"/>
    <row r="60" ht="15" customHeight="1" x14ac:dyDescent="0.35"/>
    <row r="61" ht="15" customHeight="1" x14ac:dyDescent="0.35"/>
    <row r="62" ht="15" customHeight="1" x14ac:dyDescent="0.35"/>
    <row r="63" ht="15" customHeight="1" x14ac:dyDescent="0.35"/>
    <row r="64" ht="15" customHeight="1" x14ac:dyDescent="0.35"/>
    <row r="65" ht="15" customHeight="1" x14ac:dyDescent="0.35"/>
    <row r="66" ht="15" customHeight="1" x14ac:dyDescent="0.35"/>
    <row r="67" ht="15" customHeight="1" x14ac:dyDescent="0.35"/>
    <row r="68" ht="15" customHeight="1" x14ac:dyDescent="0.35"/>
    <row r="69" ht="15" customHeight="1" x14ac:dyDescent="0.35"/>
    <row r="70" ht="15" customHeight="1" x14ac:dyDescent="0.35"/>
    <row r="71" ht="15" customHeight="1" x14ac:dyDescent="0.35"/>
    <row r="72" ht="15" customHeight="1" x14ac:dyDescent="0.35"/>
    <row r="73" ht="15" customHeight="1" x14ac:dyDescent="0.35"/>
    <row r="74" ht="15" customHeight="1" x14ac:dyDescent="0.35"/>
    <row r="75" ht="15" customHeight="1" x14ac:dyDescent="0.35"/>
    <row r="76" ht="15" customHeight="1" x14ac:dyDescent="0.35"/>
    <row r="77" ht="15" customHeight="1" x14ac:dyDescent="0.35"/>
    <row r="78" ht="15" customHeight="1" x14ac:dyDescent="0.35"/>
    <row r="79" ht="15" customHeight="1" x14ac:dyDescent="0.35"/>
    <row r="80"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row r="90" ht="15" customHeight="1" x14ac:dyDescent="0.35"/>
    <row r="91" ht="15" customHeight="1" x14ac:dyDescent="0.35"/>
    <row r="92" ht="15" customHeight="1" x14ac:dyDescent="0.35"/>
    <row r="93" ht="15" customHeight="1" x14ac:dyDescent="0.35"/>
    <row r="94" ht="15" customHeight="1" x14ac:dyDescent="0.35"/>
    <row r="95" ht="15" customHeight="1" x14ac:dyDescent="0.35"/>
    <row r="96" ht="15" customHeight="1" x14ac:dyDescent="0.35"/>
    <row r="97" ht="15" customHeight="1" x14ac:dyDescent="0.35"/>
    <row r="98" ht="15" customHeight="1" x14ac:dyDescent="0.35"/>
    <row r="99" ht="15" customHeight="1" x14ac:dyDescent="0.35"/>
    <row r="100" ht="15" customHeight="1" x14ac:dyDescent="0.35"/>
    <row r="101" ht="15" customHeight="1" x14ac:dyDescent="0.35"/>
    <row r="102" ht="15" customHeight="1" x14ac:dyDescent="0.35"/>
    <row r="103" ht="15" customHeight="1" x14ac:dyDescent="0.35"/>
    <row r="104" ht="15" customHeight="1" x14ac:dyDescent="0.35"/>
    <row r="105" ht="15" customHeight="1" x14ac:dyDescent="0.35"/>
    <row r="106" ht="15" customHeight="1" x14ac:dyDescent="0.35"/>
    <row r="107" ht="15" customHeight="1" x14ac:dyDescent="0.35"/>
    <row r="108" ht="15" customHeight="1" x14ac:dyDescent="0.35"/>
    <row r="109" ht="15" customHeight="1" x14ac:dyDescent="0.35"/>
    <row r="110" ht="15" customHeight="1" x14ac:dyDescent="0.35"/>
    <row r="111" ht="15" customHeight="1" x14ac:dyDescent="0.35"/>
    <row r="112" ht="15" customHeight="1" x14ac:dyDescent="0.35"/>
    <row r="113" ht="15" customHeight="1" x14ac:dyDescent="0.35"/>
    <row r="114" ht="15" customHeight="1" x14ac:dyDescent="0.35"/>
    <row r="115" ht="15" customHeight="1" x14ac:dyDescent="0.35"/>
    <row r="116" ht="15" customHeight="1" x14ac:dyDescent="0.35"/>
    <row r="117" ht="15" customHeight="1" x14ac:dyDescent="0.35"/>
    <row r="118" ht="15" customHeight="1" x14ac:dyDescent="0.35"/>
    <row r="119" ht="15" customHeight="1" x14ac:dyDescent="0.35"/>
    <row r="120" ht="15" customHeight="1" x14ac:dyDescent="0.35"/>
    <row r="121" ht="15" customHeight="1" x14ac:dyDescent="0.35"/>
    <row r="122" ht="15" customHeight="1" x14ac:dyDescent="0.35"/>
    <row r="123" ht="15" customHeight="1" x14ac:dyDescent="0.35"/>
    <row r="124" ht="15" customHeight="1" x14ac:dyDescent="0.35"/>
    <row r="125" ht="15" customHeight="1" x14ac:dyDescent="0.35"/>
    <row r="126" ht="15" customHeight="1" x14ac:dyDescent="0.35"/>
    <row r="127" ht="15" customHeight="1" x14ac:dyDescent="0.35"/>
    <row r="128" ht="15" customHeight="1" x14ac:dyDescent="0.35"/>
    <row r="129" ht="15" customHeight="1" x14ac:dyDescent="0.35"/>
    <row r="130" ht="15" customHeight="1" x14ac:dyDescent="0.35"/>
    <row r="131" ht="15" customHeight="1" x14ac:dyDescent="0.35"/>
    <row r="132" ht="15" customHeight="1" x14ac:dyDescent="0.35"/>
    <row r="133" ht="15" customHeight="1" x14ac:dyDescent="0.35"/>
    <row r="134" ht="15" customHeight="1" x14ac:dyDescent="0.35"/>
    <row r="135" ht="15" customHeight="1" x14ac:dyDescent="0.35"/>
    <row r="136" ht="15" customHeight="1" x14ac:dyDescent="0.35"/>
    <row r="137" ht="15" customHeight="1" x14ac:dyDescent="0.35"/>
    <row r="138" ht="15" customHeight="1" x14ac:dyDescent="0.35"/>
    <row r="139" ht="15" customHeight="1" x14ac:dyDescent="0.35"/>
    <row r="140" ht="15" customHeight="1" x14ac:dyDescent="0.35"/>
    <row r="141" ht="15" customHeight="1" x14ac:dyDescent="0.35"/>
    <row r="142" ht="15" customHeight="1" x14ac:dyDescent="0.35"/>
    <row r="143" ht="15" customHeight="1" x14ac:dyDescent="0.35"/>
    <row r="144" ht="15" customHeight="1" x14ac:dyDescent="0.35"/>
    <row r="145" ht="15" customHeight="1" x14ac:dyDescent="0.35"/>
    <row r="146" ht="15" customHeight="1" x14ac:dyDescent="0.35"/>
    <row r="147" ht="15" customHeight="1" x14ac:dyDescent="0.35"/>
    <row r="148" ht="15" customHeight="1" x14ac:dyDescent="0.35"/>
    <row r="149" ht="15" customHeight="1" x14ac:dyDescent="0.35"/>
    <row r="150" ht="15" customHeight="1" x14ac:dyDescent="0.35"/>
    <row r="151" ht="15" customHeight="1" x14ac:dyDescent="0.35"/>
    <row r="152" ht="15" customHeight="1" x14ac:dyDescent="0.35"/>
    <row r="153" ht="15" customHeight="1" x14ac:dyDescent="0.35"/>
    <row r="154" ht="15" customHeight="1" x14ac:dyDescent="0.35"/>
    <row r="155" ht="15" customHeight="1" x14ac:dyDescent="0.35"/>
    <row r="156" ht="15" customHeight="1" x14ac:dyDescent="0.35"/>
    <row r="157" ht="15" customHeight="1" x14ac:dyDescent="0.35"/>
    <row r="158" ht="15" customHeight="1" x14ac:dyDescent="0.35"/>
    <row r="159" ht="15" customHeight="1" x14ac:dyDescent="0.35"/>
    <row r="160" ht="15" customHeight="1" x14ac:dyDescent="0.35"/>
    <row r="161" ht="15" customHeight="1" x14ac:dyDescent="0.35"/>
    <row r="162" ht="15" customHeight="1" x14ac:dyDescent="0.35"/>
    <row r="163" ht="15" customHeight="1" x14ac:dyDescent="0.35"/>
    <row r="164" ht="15" customHeight="1" x14ac:dyDescent="0.35"/>
    <row r="165" ht="15" customHeight="1" x14ac:dyDescent="0.35"/>
    <row r="166" ht="15" customHeight="1" x14ac:dyDescent="0.35"/>
    <row r="167" ht="15" customHeight="1" x14ac:dyDescent="0.35"/>
    <row r="168" ht="15" customHeight="1" x14ac:dyDescent="0.35"/>
    <row r="169" ht="15" customHeight="1" x14ac:dyDescent="0.35"/>
    <row r="170" ht="15" customHeight="1" x14ac:dyDescent="0.35"/>
    <row r="171" ht="15" customHeight="1" x14ac:dyDescent="0.35"/>
    <row r="172" ht="15" customHeight="1" x14ac:dyDescent="0.35"/>
    <row r="173" ht="15" customHeight="1" x14ac:dyDescent="0.35"/>
    <row r="174" ht="15" customHeight="1" x14ac:dyDescent="0.35"/>
    <row r="175" ht="15" customHeight="1" x14ac:dyDescent="0.35"/>
    <row r="176" ht="15" customHeight="1" x14ac:dyDescent="0.35"/>
    <row r="177" ht="15" customHeight="1" x14ac:dyDescent="0.35"/>
    <row r="178" ht="15" customHeight="1" x14ac:dyDescent="0.35"/>
    <row r="179" ht="15" customHeight="1" x14ac:dyDescent="0.35"/>
    <row r="180" ht="15" customHeight="1" x14ac:dyDescent="0.35"/>
    <row r="181" ht="15" customHeight="1" x14ac:dyDescent="0.35"/>
    <row r="182" ht="15" customHeight="1" x14ac:dyDescent="0.35"/>
    <row r="183" ht="15" customHeight="1" x14ac:dyDescent="0.35"/>
    <row r="184" ht="15" customHeight="1" x14ac:dyDescent="0.35"/>
    <row r="185" ht="15" customHeight="1" x14ac:dyDescent="0.35"/>
    <row r="186" ht="15" customHeight="1" x14ac:dyDescent="0.35"/>
    <row r="187" ht="15" customHeight="1" x14ac:dyDescent="0.35"/>
    <row r="188" ht="15" customHeight="1" x14ac:dyDescent="0.35"/>
    <row r="189" ht="15" customHeight="1" x14ac:dyDescent="0.35"/>
    <row r="190" ht="15" customHeight="1" x14ac:dyDescent="0.35"/>
    <row r="191" ht="15" customHeight="1" x14ac:dyDescent="0.35"/>
    <row r="192" ht="15" customHeight="1" x14ac:dyDescent="0.35"/>
    <row r="193" ht="15" customHeight="1" x14ac:dyDescent="0.35"/>
    <row r="194" ht="15" customHeight="1" x14ac:dyDescent="0.35"/>
    <row r="195" ht="15" customHeight="1" x14ac:dyDescent="0.35"/>
    <row r="196" ht="15" customHeight="1" x14ac:dyDescent="0.35"/>
    <row r="197" ht="15" customHeight="1" x14ac:dyDescent="0.35"/>
    <row r="198" ht="15" customHeight="1" x14ac:dyDescent="0.35"/>
    <row r="199" ht="15" customHeight="1" x14ac:dyDescent="0.35"/>
    <row r="200" ht="15" customHeight="1" x14ac:dyDescent="0.35"/>
  </sheetData>
  <hyperlinks>
    <hyperlink ref="B35" r:id="rId1" tooltip="Co-benefit Assessment Methodology for Travel Cost Savings" xr:uid="{0CE4014B-7EEF-4E4F-8ACE-7203920CF87F}"/>
    <hyperlink ref="B26" r:id="rId2" tooltip="Co-benefit Assessment Methodology for Energy and Fuel Cost Savings" xr:uid="{2B61E516-CE34-49F8-8C58-F01F27B79C25}"/>
  </hyperlinks>
  <pageMargins left="0.7" right="0.7" top="0.75" bottom="0.75" header="0.3" footer="0.3"/>
  <pageSetup scale="59" orientation="landscape" r:id="rId3"/>
  <headerFooter>
    <oddFooter>&amp;L&amp;"Avenir LT Std 55 Roman,Regular"&amp;12December 30, 2020&amp;C&amp;"Avenir LT Std 55 Roman,Regular"&amp;12&amp;P of &amp;N&amp;R&amp;"Avenir LT Std 55 Roman,Regular"&amp;12&amp;A</oddFooter>
  </headerFooter>
  <drawing r:id="rId4"/>
  <legacyDrawingHF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1"/>
  </sheetPr>
  <dimension ref="B10:Q26"/>
  <sheetViews>
    <sheetView showGridLines="0" zoomScale="50" zoomScaleNormal="50" zoomScaleSheetLayoutView="25" zoomScalePageLayoutView="70" workbookViewId="0">
      <selection activeCell="B1" sqref="B1"/>
    </sheetView>
  </sheetViews>
  <sheetFormatPr defaultColWidth="8.90625" defaultRowHeight="12.5" x14ac:dyDescent="0.25"/>
  <cols>
    <col min="1" max="1" width="2.90625" customWidth="1"/>
    <col min="2" max="3" width="74.453125" customWidth="1"/>
    <col min="4" max="4" width="41.453125" customWidth="1"/>
    <col min="5" max="5" width="38.453125" customWidth="1"/>
    <col min="6" max="17" width="74.453125" customWidth="1"/>
  </cols>
  <sheetData>
    <row r="10" spans="2:17" x14ac:dyDescent="0.25">
      <c r="B10" s="723"/>
      <c r="C10" s="723"/>
      <c r="D10" s="723"/>
      <c r="E10" s="723"/>
      <c r="F10" s="723"/>
      <c r="G10" s="723"/>
      <c r="H10" s="723"/>
      <c r="I10" s="723"/>
      <c r="J10" s="723"/>
      <c r="K10" s="723"/>
      <c r="L10" s="723"/>
      <c r="M10" s="723"/>
      <c r="N10" s="723"/>
      <c r="O10" s="723"/>
      <c r="P10" s="723"/>
      <c r="Q10" s="723"/>
    </row>
    <row r="11" spans="2:17" ht="15.5" x14ac:dyDescent="0.35">
      <c r="B11" s="579" t="s">
        <v>342</v>
      </c>
      <c r="C11" s="579" t="s">
        <v>6017</v>
      </c>
      <c r="D11" s="579" t="s">
        <v>6018</v>
      </c>
      <c r="E11" s="579" t="s">
        <v>6019</v>
      </c>
      <c r="F11" s="579" t="s">
        <v>6020</v>
      </c>
      <c r="G11" s="579" t="s">
        <v>6021</v>
      </c>
      <c r="H11" s="579" t="s">
        <v>6022</v>
      </c>
      <c r="I11" s="578" t="s">
        <v>6023</v>
      </c>
      <c r="J11" s="579" t="s">
        <v>6024</v>
      </c>
      <c r="K11" s="580" t="s">
        <v>585</v>
      </c>
      <c r="L11" s="580" t="s">
        <v>115</v>
      </c>
      <c r="M11" s="580" t="s">
        <v>119</v>
      </c>
      <c r="N11" s="580" t="s">
        <v>6025</v>
      </c>
      <c r="O11" s="580" t="s">
        <v>496</v>
      </c>
      <c r="P11" s="580" t="s">
        <v>6026</v>
      </c>
      <c r="Q11" s="580" t="s">
        <v>6027</v>
      </c>
    </row>
    <row r="12" spans="2:17" ht="109.5" x14ac:dyDescent="0.45">
      <c r="B12" s="581" t="s">
        <v>6028</v>
      </c>
      <c r="C12" s="581" t="str">
        <f>D12&amp;IF(E12="",""," and "&amp;E12)</f>
        <v>New Service</v>
      </c>
      <c r="D12" s="581" t="str">
        <f>Defaults!$M$2</f>
        <v>New Service</v>
      </c>
      <c r="E12" s="581"/>
      <c r="F12" s="588" t="s">
        <v>6029</v>
      </c>
      <c r="G12" s="588" t="s">
        <v>6030</v>
      </c>
      <c r="H12" s="589" t="s">
        <v>6031</v>
      </c>
      <c r="I12" s="588" t="s">
        <v>6032</v>
      </c>
      <c r="J12" s="588" t="s">
        <v>6033</v>
      </c>
      <c r="K12" s="582" t="s">
        <v>6034</v>
      </c>
      <c r="L12" s="583" t="s">
        <v>6035</v>
      </c>
      <c r="M12" s="583" t="s">
        <v>6036</v>
      </c>
      <c r="N12" s="583" t="s">
        <v>6037</v>
      </c>
      <c r="O12" s="583" t="s">
        <v>6038</v>
      </c>
      <c r="P12" s="583" t="s">
        <v>6039</v>
      </c>
      <c r="Q12" s="583" t="s">
        <v>6040</v>
      </c>
    </row>
    <row r="13" spans="2:17" ht="109.5" x14ac:dyDescent="0.45">
      <c r="B13" s="581" t="s">
        <v>6041</v>
      </c>
      <c r="C13" s="581" t="str">
        <f t="shared" ref="C13:C26" si="0">D13&amp;IF(E13="",""," and "&amp;E13)</f>
        <v>New Service</v>
      </c>
      <c r="D13" s="581" t="str">
        <f>Defaults!$M$2</f>
        <v>New Service</v>
      </c>
      <c r="E13" s="581"/>
      <c r="F13" s="588" t="s">
        <v>6029</v>
      </c>
      <c r="G13" s="588" t="s">
        <v>6030</v>
      </c>
      <c r="H13" s="589" t="s">
        <v>6031</v>
      </c>
      <c r="I13" s="588" t="s">
        <v>6032</v>
      </c>
      <c r="J13" s="588" t="s">
        <v>6042</v>
      </c>
      <c r="K13" s="582" t="s">
        <v>6034</v>
      </c>
      <c r="L13" s="583" t="s">
        <v>6035</v>
      </c>
      <c r="M13" s="583" t="s">
        <v>6036</v>
      </c>
      <c r="N13" s="583" t="s">
        <v>6037</v>
      </c>
      <c r="O13" s="583" t="s">
        <v>6038</v>
      </c>
      <c r="P13" s="583" t="s">
        <v>6039</v>
      </c>
      <c r="Q13" s="583" t="s">
        <v>6040</v>
      </c>
    </row>
    <row r="14" spans="2:17" ht="109.5" x14ac:dyDescent="0.45">
      <c r="B14" s="581" t="s">
        <v>6043</v>
      </c>
      <c r="C14" s="581" t="str">
        <f t="shared" si="0"/>
        <v>New Service and Cleaner Vehicles/Technology/Fuels</v>
      </c>
      <c r="D14" s="581" t="str">
        <f>Defaults!$M$2</f>
        <v>New Service</v>
      </c>
      <c r="E14" s="581" t="str">
        <f>Defaults!$M$4</f>
        <v>Cleaner Vehicles/Technology/Fuels</v>
      </c>
      <c r="F14" s="588" t="s">
        <v>6044</v>
      </c>
      <c r="G14" s="588" t="s">
        <v>6045</v>
      </c>
      <c r="H14" s="589" t="s">
        <v>6046</v>
      </c>
      <c r="I14" s="588" t="s">
        <v>6047</v>
      </c>
      <c r="J14" s="588" t="s">
        <v>6048</v>
      </c>
      <c r="K14" s="582" t="s">
        <v>6034</v>
      </c>
      <c r="L14" s="583" t="s">
        <v>6035</v>
      </c>
      <c r="M14" s="583" t="s">
        <v>6036</v>
      </c>
      <c r="N14" s="583" t="s">
        <v>6037</v>
      </c>
      <c r="O14" s="583" t="s">
        <v>6038</v>
      </c>
      <c r="P14" s="583" t="s">
        <v>6039</v>
      </c>
      <c r="Q14" s="583" t="s">
        <v>6040</v>
      </c>
    </row>
    <row r="15" spans="2:17" ht="109.5" x14ac:dyDescent="0.45">
      <c r="B15" s="581" t="s">
        <v>6049</v>
      </c>
      <c r="C15" s="581" t="str">
        <f t="shared" si="0"/>
        <v>New Service</v>
      </c>
      <c r="D15" s="581" t="str">
        <f>Defaults!$M$2</f>
        <v>New Service</v>
      </c>
      <c r="E15" s="581"/>
      <c r="F15" s="588" t="s">
        <v>6029</v>
      </c>
      <c r="G15" s="588" t="s">
        <v>6050</v>
      </c>
      <c r="H15" s="589" t="s">
        <v>6051</v>
      </c>
      <c r="I15" s="588" t="s">
        <v>6052</v>
      </c>
      <c r="J15" s="588" t="s">
        <v>6053</v>
      </c>
      <c r="K15" s="582" t="s">
        <v>6034</v>
      </c>
      <c r="L15" s="583" t="s">
        <v>6035</v>
      </c>
      <c r="M15" s="583" t="s">
        <v>6036</v>
      </c>
      <c r="N15" s="583" t="s">
        <v>6037</v>
      </c>
      <c r="O15" s="583" t="s">
        <v>6038</v>
      </c>
      <c r="P15" s="583" t="s">
        <v>6039</v>
      </c>
      <c r="Q15" s="583" t="s">
        <v>6040</v>
      </c>
    </row>
    <row r="16" spans="2:17" ht="109.5" x14ac:dyDescent="0.45">
      <c r="B16" s="581" t="s">
        <v>6054</v>
      </c>
      <c r="C16" s="581" t="str">
        <f t="shared" si="0"/>
        <v>New Service and Cleaner Vehicles/Technology/Fuels</v>
      </c>
      <c r="D16" s="581" t="str">
        <f>Defaults!$M$2</f>
        <v>New Service</v>
      </c>
      <c r="E16" s="581" t="str">
        <f>Defaults!$M$4</f>
        <v>Cleaner Vehicles/Technology/Fuels</v>
      </c>
      <c r="F16" s="588" t="s">
        <v>6044</v>
      </c>
      <c r="G16" s="588" t="s">
        <v>6045</v>
      </c>
      <c r="H16" s="589" t="s">
        <v>6046</v>
      </c>
      <c r="I16" s="588" t="s">
        <v>6047</v>
      </c>
      <c r="J16" s="588" t="s">
        <v>6048</v>
      </c>
      <c r="K16" s="582" t="s">
        <v>6034</v>
      </c>
      <c r="L16" s="583" t="s">
        <v>6035</v>
      </c>
      <c r="M16" s="583" t="s">
        <v>6036</v>
      </c>
      <c r="N16" s="583" t="s">
        <v>6037</v>
      </c>
      <c r="O16" s="583" t="s">
        <v>6038</v>
      </c>
      <c r="P16" s="583" t="s">
        <v>6039</v>
      </c>
      <c r="Q16" s="583" t="s">
        <v>6040</v>
      </c>
    </row>
    <row r="17" spans="2:17" ht="109.5" x14ac:dyDescent="0.45">
      <c r="B17" s="581" t="s">
        <v>6055</v>
      </c>
      <c r="C17" s="581" t="str">
        <f t="shared" si="0"/>
        <v>New Service</v>
      </c>
      <c r="D17" s="581" t="str">
        <f>Defaults!$M$2</f>
        <v>New Service</v>
      </c>
      <c r="E17" s="581"/>
      <c r="F17" s="588" t="s">
        <v>6029</v>
      </c>
      <c r="G17" s="588" t="s">
        <v>6050</v>
      </c>
      <c r="H17" s="589" t="s">
        <v>6051</v>
      </c>
      <c r="I17" s="588" t="s">
        <v>6052</v>
      </c>
      <c r="J17" s="588" t="s">
        <v>6053</v>
      </c>
      <c r="K17" s="582" t="s">
        <v>6034</v>
      </c>
      <c r="L17" s="583" t="s">
        <v>6035</v>
      </c>
      <c r="M17" s="587" t="s">
        <v>6036</v>
      </c>
      <c r="N17" s="583" t="s">
        <v>6037</v>
      </c>
      <c r="O17" s="583" t="s">
        <v>6038</v>
      </c>
      <c r="P17" s="583" t="s">
        <v>6039</v>
      </c>
      <c r="Q17" s="583" t="s">
        <v>6040</v>
      </c>
    </row>
    <row r="18" spans="2:17" ht="94" x14ac:dyDescent="0.45">
      <c r="B18" s="581" t="s">
        <v>6056</v>
      </c>
      <c r="C18" s="581" t="str">
        <f t="shared" si="0"/>
        <v>New Service and Fuel/Energy Reduction</v>
      </c>
      <c r="D18" s="581" t="str">
        <f>Defaults!$M$2</f>
        <v>New Service</v>
      </c>
      <c r="E18" s="581" t="str">
        <f>Defaults!$M$5</f>
        <v>Fuel/Energy Reduction</v>
      </c>
      <c r="F18" s="588" t="s">
        <v>6057</v>
      </c>
      <c r="G18" s="588" t="s">
        <v>6058</v>
      </c>
      <c r="H18" s="589" t="s">
        <v>6059</v>
      </c>
      <c r="I18" s="588" t="s">
        <v>6052</v>
      </c>
      <c r="J18" s="588" t="s">
        <v>6060</v>
      </c>
      <c r="K18" s="582" t="s">
        <v>6061</v>
      </c>
      <c r="L18" s="583" t="s">
        <v>6062</v>
      </c>
      <c r="M18" s="583" t="s">
        <v>6063</v>
      </c>
      <c r="N18" s="583" t="s">
        <v>6064</v>
      </c>
      <c r="O18" s="583" t="s">
        <v>6065</v>
      </c>
      <c r="P18" s="583" t="s">
        <v>6066</v>
      </c>
      <c r="Q18" s="584" t="s">
        <v>6067</v>
      </c>
    </row>
    <row r="19" spans="2:17" ht="94" x14ac:dyDescent="0.45">
      <c r="B19" s="581" t="s">
        <v>6068</v>
      </c>
      <c r="C19" s="581" t="str">
        <f t="shared" si="0"/>
        <v>Cleaner Vehicles/Technology/Fuels</v>
      </c>
      <c r="D19" s="581" t="str">
        <f>Defaults!$M$4</f>
        <v>Cleaner Vehicles/Technology/Fuels</v>
      </c>
      <c r="E19" s="581"/>
      <c r="F19" s="588" t="s">
        <v>6069</v>
      </c>
      <c r="G19" s="588" t="s">
        <v>6070</v>
      </c>
      <c r="H19" s="589" t="s">
        <v>6071</v>
      </c>
      <c r="I19" s="588" t="s">
        <v>6047</v>
      </c>
      <c r="J19" s="588" t="s">
        <v>6060</v>
      </c>
      <c r="K19" s="582" t="s">
        <v>6061</v>
      </c>
      <c r="L19" s="583" t="s">
        <v>6062</v>
      </c>
      <c r="M19" s="583" t="s">
        <v>6063</v>
      </c>
      <c r="N19" s="583" t="s">
        <v>6064</v>
      </c>
      <c r="O19" s="583" t="s">
        <v>6065</v>
      </c>
      <c r="P19" s="583" t="s">
        <v>6066</v>
      </c>
      <c r="Q19" s="584" t="s">
        <v>6067</v>
      </c>
    </row>
    <row r="20" spans="2:17" ht="94" x14ac:dyDescent="0.45">
      <c r="B20" s="581" t="s">
        <v>6072</v>
      </c>
      <c r="C20" s="581" t="str">
        <f t="shared" si="0"/>
        <v>Cleaner Vehicles/Technology/Fuels</v>
      </c>
      <c r="D20" s="581" t="str">
        <f>Defaults!$M$4</f>
        <v>Cleaner Vehicles/Technology/Fuels</v>
      </c>
      <c r="E20" s="581"/>
      <c r="F20" s="588" t="s">
        <v>6069</v>
      </c>
      <c r="G20" s="588" t="s">
        <v>6070</v>
      </c>
      <c r="H20" s="589" t="s">
        <v>6071</v>
      </c>
      <c r="I20" s="588" t="s">
        <v>6047</v>
      </c>
      <c r="J20" s="588" t="s">
        <v>6060</v>
      </c>
      <c r="K20" s="582" t="s">
        <v>6061</v>
      </c>
      <c r="L20" s="583" t="s">
        <v>6062</v>
      </c>
      <c r="M20" s="583" t="s">
        <v>6063</v>
      </c>
      <c r="N20" s="583" t="s">
        <v>6064</v>
      </c>
      <c r="O20" s="583" t="s">
        <v>6065</v>
      </c>
      <c r="P20" s="583" t="s">
        <v>6066</v>
      </c>
      <c r="Q20" s="584" t="s">
        <v>6067</v>
      </c>
    </row>
    <row r="21" spans="2:17" ht="31" x14ac:dyDescent="0.35">
      <c r="B21" s="581" t="s">
        <v>6073</v>
      </c>
      <c r="C21" s="581" t="str">
        <f t="shared" si="0"/>
        <v>Cleaner Vehicles/Technology/Fuels</v>
      </c>
      <c r="D21" s="581" t="str">
        <f>Defaults!$M$4</f>
        <v>Cleaner Vehicles/Technology/Fuels</v>
      </c>
      <c r="E21" s="581"/>
      <c r="F21" s="588" t="s">
        <v>6074</v>
      </c>
      <c r="G21" s="588" t="s">
        <v>6058</v>
      </c>
      <c r="H21" s="589" t="s">
        <v>6059</v>
      </c>
      <c r="I21" s="588" t="s">
        <v>6052</v>
      </c>
      <c r="J21" s="581" t="s">
        <v>6075</v>
      </c>
      <c r="K21" s="586" t="s">
        <v>6075</v>
      </c>
      <c r="L21" s="585" t="s">
        <v>6067</v>
      </c>
      <c r="M21" s="584" t="s">
        <v>6067</v>
      </c>
      <c r="N21" s="585" t="s">
        <v>6067</v>
      </c>
      <c r="O21" s="584" t="s">
        <v>6067</v>
      </c>
      <c r="P21" s="585" t="s">
        <v>6067</v>
      </c>
      <c r="Q21" s="584" t="s">
        <v>6067</v>
      </c>
    </row>
    <row r="22" spans="2:17" ht="62" x14ac:dyDescent="0.35">
      <c r="B22" s="581" t="s">
        <v>6076</v>
      </c>
      <c r="C22" s="581" t="str">
        <f t="shared" si="0"/>
        <v>System and Efficiency Improvements</v>
      </c>
      <c r="D22" s="581" t="str">
        <f>Defaults!$M$3</f>
        <v>System and Efficiency Improvements</v>
      </c>
      <c r="E22" s="581"/>
      <c r="F22" s="588" t="s">
        <v>6077</v>
      </c>
      <c r="G22" s="588" t="s">
        <v>6078</v>
      </c>
      <c r="H22" s="589" t="s">
        <v>6079</v>
      </c>
      <c r="I22" s="588" t="s">
        <v>6047</v>
      </c>
      <c r="J22" s="581" t="s">
        <v>6075</v>
      </c>
      <c r="K22" s="586" t="s">
        <v>6075</v>
      </c>
      <c r="L22" s="585" t="s">
        <v>6067</v>
      </c>
      <c r="M22" s="585" t="s">
        <v>6067</v>
      </c>
      <c r="N22" s="585" t="s">
        <v>6067</v>
      </c>
      <c r="O22" s="583" t="s">
        <v>6080</v>
      </c>
      <c r="P22" s="585" t="s">
        <v>6067</v>
      </c>
      <c r="Q22" s="585" t="s">
        <v>6067</v>
      </c>
    </row>
    <row r="23" spans="2:17" ht="31" x14ac:dyDescent="0.35">
      <c r="B23" s="581" t="s">
        <v>6081</v>
      </c>
      <c r="C23" s="581" t="str">
        <f t="shared" si="0"/>
        <v>System and Efficiency Improvements</v>
      </c>
      <c r="D23" s="581" t="str">
        <f>Defaults!$M$3</f>
        <v>System and Efficiency Improvements</v>
      </c>
      <c r="E23" s="581"/>
      <c r="F23" s="588" t="s">
        <v>6077</v>
      </c>
      <c r="G23" s="588" t="s">
        <v>6078</v>
      </c>
      <c r="H23" s="589" t="s">
        <v>6079</v>
      </c>
      <c r="I23" s="588" t="s">
        <v>6052</v>
      </c>
      <c r="J23" s="581" t="s">
        <v>6075</v>
      </c>
      <c r="K23" s="586" t="s">
        <v>6075</v>
      </c>
      <c r="L23" s="585" t="s">
        <v>6067</v>
      </c>
      <c r="M23" s="584" t="s">
        <v>6067</v>
      </c>
      <c r="N23" s="585" t="s">
        <v>6067</v>
      </c>
      <c r="O23" s="584" t="s">
        <v>6067</v>
      </c>
      <c r="P23" s="585" t="s">
        <v>6067</v>
      </c>
      <c r="Q23" s="584" t="s">
        <v>6067</v>
      </c>
    </row>
    <row r="24" spans="2:17" ht="31" x14ac:dyDescent="0.35">
      <c r="B24" s="581" t="s">
        <v>6082</v>
      </c>
      <c r="C24" s="581" t="str">
        <f t="shared" si="0"/>
        <v>System and Efficiency Improvements</v>
      </c>
      <c r="D24" s="581" t="str">
        <f>Defaults!$M$3</f>
        <v>System and Efficiency Improvements</v>
      </c>
      <c r="E24" s="581"/>
      <c r="F24" s="588" t="s">
        <v>6077</v>
      </c>
      <c r="G24" s="588" t="s">
        <v>6078</v>
      </c>
      <c r="H24" s="589" t="s">
        <v>6079</v>
      </c>
      <c r="I24" s="588" t="s">
        <v>6052</v>
      </c>
      <c r="J24" s="581" t="s">
        <v>6075</v>
      </c>
      <c r="K24" s="586" t="s">
        <v>6075</v>
      </c>
      <c r="L24" s="585" t="s">
        <v>6067</v>
      </c>
      <c r="M24" s="584" t="s">
        <v>6067</v>
      </c>
      <c r="N24" s="585" t="s">
        <v>6067</v>
      </c>
      <c r="O24" s="585" t="s">
        <v>6067</v>
      </c>
      <c r="P24" s="585" t="s">
        <v>6067</v>
      </c>
      <c r="Q24" s="584" t="s">
        <v>6067</v>
      </c>
    </row>
    <row r="25" spans="2:17" ht="31" x14ac:dyDescent="0.35">
      <c r="B25" s="581" t="s">
        <v>6083</v>
      </c>
      <c r="C25" s="581" t="str">
        <f t="shared" si="0"/>
        <v>System and Efficiency Improvements</v>
      </c>
      <c r="D25" s="581" t="str">
        <f>Defaults!$M$3</f>
        <v>System and Efficiency Improvements</v>
      </c>
      <c r="E25" s="581"/>
      <c r="F25" s="588" t="s">
        <v>6077</v>
      </c>
      <c r="G25" s="588" t="s">
        <v>6030</v>
      </c>
      <c r="H25" s="589" t="s">
        <v>6031</v>
      </c>
      <c r="I25" s="588" t="s">
        <v>6032</v>
      </c>
      <c r="J25" s="581" t="s">
        <v>6075</v>
      </c>
      <c r="K25" s="586" t="s">
        <v>6075</v>
      </c>
      <c r="L25" s="585" t="s">
        <v>6067</v>
      </c>
      <c r="M25" s="585" t="s">
        <v>6067</v>
      </c>
      <c r="N25" s="585" t="s">
        <v>6067</v>
      </c>
      <c r="O25" s="585" t="s">
        <v>6067</v>
      </c>
      <c r="P25" s="585" t="s">
        <v>6067</v>
      </c>
      <c r="Q25" s="584" t="s">
        <v>6067</v>
      </c>
    </row>
    <row r="26" spans="2:17" ht="31" x14ac:dyDescent="0.35">
      <c r="B26" s="581" t="s">
        <v>6084</v>
      </c>
      <c r="C26" s="581" t="str">
        <f t="shared" si="0"/>
        <v>System and Efficiency Improvements</v>
      </c>
      <c r="D26" s="581" t="str">
        <f>Defaults!$M$3</f>
        <v>System and Efficiency Improvements</v>
      </c>
      <c r="E26" s="581"/>
      <c r="F26" s="588" t="s">
        <v>6077</v>
      </c>
      <c r="G26" s="588" t="s">
        <v>6030</v>
      </c>
      <c r="H26" s="589" t="s">
        <v>6031</v>
      </c>
      <c r="I26" s="588" t="s">
        <v>6032</v>
      </c>
      <c r="J26" s="581" t="s">
        <v>6075</v>
      </c>
      <c r="K26" s="586" t="s">
        <v>6075</v>
      </c>
      <c r="L26" s="585" t="s">
        <v>6067</v>
      </c>
      <c r="M26" s="585" t="s">
        <v>6067</v>
      </c>
      <c r="N26" s="585" t="s">
        <v>6067</v>
      </c>
      <c r="O26" s="585" t="s">
        <v>6067</v>
      </c>
      <c r="P26" s="585" t="s">
        <v>6067</v>
      </c>
      <c r="Q26" s="585" t="s">
        <v>6067</v>
      </c>
    </row>
  </sheetData>
  <pageMargins left="0.7" right="0.7" top="0.75" bottom="0.75" header="0.3" footer="0.3"/>
  <pageSetup scale="59" fitToWidth="0" fitToHeight="0" orientation="landscape" r:id="rId1"/>
  <headerFooter>
    <oddFooter>&amp;L&amp;"Avenir LT Std 55 Roman,Regular"&amp;12December 30, 2020&amp;C&amp;"Avenir LT Std 55 Roman,Regular"&amp;12&amp;P of &amp;N&amp;R&amp;"Avenir LT Std 55 Roman,Regular"&amp;12&amp;A</oddFooter>
  </headerFooter>
  <colBreaks count="2" manualBreakCount="2">
    <brk id="7" max="1048575" man="1"/>
    <brk id="12" max="1048575" man="1"/>
  </colBreaks>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tabColor theme="1"/>
  </sheetPr>
  <dimension ref="A1:W78"/>
  <sheetViews>
    <sheetView showGridLines="0" zoomScaleNormal="100" zoomScalePageLayoutView="70" workbookViewId="0">
      <selection activeCell="I11" sqref="I11"/>
    </sheetView>
  </sheetViews>
  <sheetFormatPr defaultColWidth="9.08984375" defaultRowHeight="15.5" x14ac:dyDescent="0.35"/>
  <cols>
    <col min="1" max="1" width="15" style="117" customWidth="1"/>
    <col min="2" max="2" width="20.453125" style="117" bestFit="1" customWidth="1"/>
    <col min="3" max="4" width="20.453125" style="117" customWidth="1"/>
    <col min="5" max="5" width="28.08984375" style="117" customWidth="1"/>
    <col min="6" max="6" width="40.453125" style="117" bestFit="1" customWidth="1"/>
    <col min="7" max="8" width="28.08984375" style="117" customWidth="1"/>
    <col min="9" max="9" width="30.453125" style="117" bestFit="1" customWidth="1"/>
    <col min="10" max="10" width="29.453125" style="117" customWidth="1"/>
    <col min="11" max="12" width="28.08984375" style="117" customWidth="1"/>
    <col min="13" max="13" width="44.453125" style="117" customWidth="1"/>
    <col min="14" max="14" width="36.453125" style="117" bestFit="1" customWidth="1"/>
    <col min="15" max="17" width="35.453125" style="117" customWidth="1"/>
    <col min="18" max="18" width="4.08984375" style="117" customWidth="1"/>
    <col min="19" max="19" width="54.453125" style="117" customWidth="1"/>
    <col min="20" max="20" width="17.90625" style="117" customWidth="1"/>
    <col min="21" max="21" width="19" style="117" bestFit="1" customWidth="1"/>
    <col min="22" max="22" width="14.453125" style="117" bestFit="1" customWidth="1"/>
    <col min="23" max="24" width="12.453125" style="117" bestFit="1" customWidth="1"/>
    <col min="25" max="25" width="19.90625" style="117" bestFit="1" customWidth="1"/>
    <col min="26" max="26" width="18.453125" style="117" bestFit="1" customWidth="1"/>
    <col min="27" max="16384" width="9.08984375" style="117"/>
  </cols>
  <sheetData>
    <row r="1" spans="1:22" s="109" customFormat="1" ht="31" x14ac:dyDescent="0.35">
      <c r="A1" s="102" t="s">
        <v>6085</v>
      </c>
      <c r="B1" s="103" t="s">
        <v>3293</v>
      </c>
      <c r="C1" s="103" t="s">
        <v>78</v>
      </c>
      <c r="D1" s="104" t="s">
        <v>6086</v>
      </c>
      <c r="E1" s="105" t="s">
        <v>6087</v>
      </c>
      <c r="F1" s="106" t="s">
        <v>74</v>
      </c>
      <c r="G1" s="106" t="s">
        <v>109</v>
      </c>
      <c r="H1" s="107" t="s">
        <v>6088</v>
      </c>
      <c r="I1" s="107" t="s">
        <v>6089</v>
      </c>
      <c r="J1" s="107" t="s">
        <v>6090</v>
      </c>
      <c r="K1" s="107" t="s">
        <v>6091</v>
      </c>
      <c r="L1" s="107" t="s">
        <v>6092</v>
      </c>
      <c r="M1" s="108" t="s">
        <v>6093</v>
      </c>
      <c r="N1" s="108" t="s">
        <v>6094</v>
      </c>
      <c r="O1" s="108" t="s">
        <v>6095</v>
      </c>
      <c r="P1" s="108" t="s">
        <v>6096</v>
      </c>
      <c r="Q1" s="569" t="s">
        <v>6097</v>
      </c>
    </row>
    <row r="2" spans="1:22" x14ac:dyDescent="0.35">
      <c r="A2" s="110">
        <v>2030</v>
      </c>
      <c r="B2" s="111">
        <v>2016</v>
      </c>
      <c r="C2" s="110" t="s">
        <v>6087</v>
      </c>
      <c r="D2" s="112" t="s">
        <v>786</v>
      </c>
      <c r="E2" s="110" t="s">
        <v>788</v>
      </c>
      <c r="F2" s="113" t="s">
        <v>634</v>
      </c>
      <c r="G2" s="110" t="s">
        <v>6098</v>
      </c>
      <c r="H2" s="114" t="s">
        <v>738</v>
      </c>
      <c r="I2" s="110" t="s">
        <v>737</v>
      </c>
      <c r="J2" s="110" t="s">
        <v>6099</v>
      </c>
      <c r="K2" s="110" t="s">
        <v>6100</v>
      </c>
      <c r="L2" s="110" t="s">
        <v>6100</v>
      </c>
      <c r="M2" s="115" t="s">
        <v>248</v>
      </c>
      <c r="N2" s="116" t="s">
        <v>6101</v>
      </c>
      <c r="O2" s="116" t="s">
        <v>6102</v>
      </c>
      <c r="P2" s="116" t="s">
        <v>5934</v>
      </c>
      <c r="Q2" s="570" t="e">
        <f ca="1">MID(CELL("filename",#REF!),FIND("]",CELL("filename",#REF!))+1,255)</f>
        <v>#REF!</v>
      </c>
    </row>
    <row r="3" spans="1:22" x14ac:dyDescent="0.35">
      <c r="A3" s="110">
        <v>2029</v>
      </c>
      <c r="B3" s="111">
        <v>2017</v>
      </c>
      <c r="C3" s="110" t="s">
        <v>6086</v>
      </c>
      <c r="D3" s="112" t="s">
        <v>790</v>
      </c>
      <c r="E3" s="110" t="s">
        <v>791</v>
      </c>
      <c r="F3" s="113" t="s">
        <v>6103</v>
      </c>
      <c r="G3" s="110" t="s">
        <v>6104</v>
      </c>
      <c r="H3" s="114" t="s">
        <v>739</v>
      </c>
      <c r="I3" s="110" t="s">
        <v>738</v>
      </c>
      <c r="J3" s="110" t="s">
        <v>6105</v>
      </c>
      <c r="K3" s="110" t="s">
        <v>242</v>
      </c>
      <c r="L3" s="110" t="s">
        <v>242</v>
      </c>
      <c r="M3" s="115" t="s">
        <v>6106</v>
      </c>
      <c r="N3" s="110" t="s">
        <v>6107</v>
      </c>
      <c r="O3" s="116" t="s">
        <v>6108</v>
      </c>
      <c r="P3" s="116" t="s">
        <v>6109</v>
      </c>
      <c r="Q3" s="570" t="str">
        <f ca="1">MID(CELL("filename",'Quantifiable Component 1'!A1),FIND("]",CELL("filename",'Quantifiable Component 1'!A1))+1,255)</f>
        <v>Quantifiable Component 1</v>
      </c>
    </row>
    <row r="4" spans="1:22" x14ac:dyDescent="0.35">
      <c r="A4" s="110">
        <v>2028</v>
      </c>
      <c r="B4" s="110">
        <v>2018</v>
      </c>
      <c r="D4" s="112" t="s">
        <v>792</v>
      </c>
      <c r="E4" s="110" t="s">
        <v>793</v>
      </c>
      <c r="F4" s="113" t="s">
        <v>6110</v>
      </c>
      <c r="G4" s="110" t="s">
        <v>634</v>
      </c>
      <c r="H4" s="114" t="s">
        <v>741</v>
      </c>
      <c r="I4" s="110" t="s">
        <v>739</v>
      </c>
      <c r="J4" s="110" t="s">
        <v>6099</v>
      </c>
      <c r="K4" s="110" t="s">
        <v>6111</v>
      </c>
      <c r="L4" s="110" t="s">
        <v>6111</v>
      </c>
      <c r="M4" s="115" t="s">
        <v>6112</v>
      </c>
      <c r="N4" s="110" t="s">
        <v>6113</v>
      </c>
      <c r="O4" s="116" t="s">
        <v>6114</v>
      </c>
      <c r="P4" s="497" t="s">
        <v>6115</v>
      </c>
      <c r="Q4" s="571" t="e">
        <f ca="1">MID(CELL("filename",#REF!),FIND("]",CELL("filename",#REF!))+1,255)</f>
        <v>#REF!</v>
      </c>
    </row>
    <row r="5" spans="1:22" x14ac:dyDescent="0.35">
      <c r="A5" s="110">
        <v>2027</v>
      </c>
      <c r="B5" s="111">
        <v>2019</v>
      </c>
      <c r="C5" s="118"/>
      <c r="D5" s="112" t="s">
        <v>794</v>
      </c>
      <c r="E5" s="110" t="s">
        <v>795</v>
      </c>
      <c r="F5" s="113" t="s">
        <v>6116</v>
      </c>
      <c r="G5" s="110" t="s">
        <v>378</v>
      </c>
      <c r="H5" s="114" t="s">
        <v>743</v>
      </c>
      <c r="I5" s="110" t="s">
        <v>740</v>
      </c>
      <c r="J5" s="110" t="s">
        <v>299</v>
      </c>
      <c r="M5" s="110" t="s">
        <v>242</v>
      </c>
      <c r="N5" s="110" t="s">
        <v>6117</v>
      </c>
      <c r="O5" s="116" t="s">
        <v>6118</v>
      </c>
      <c r="P5" s="116" t="s">
        <v>6119</v>
      </c>
      <c r="Q5" s="570" t="e">
        <f ca="1">MID(CELL("filename",#REF!),FIND("]",CELL("filename",#REF!))+1,255)</f>
        <v>#REF!</v>
      </c>
    </row>
    <row r="6" spans="1:22" x14ac:dyDescent="0.35">
      <c r="A6" s="110">
        <v>2026</v>
      </c>
      <c r="B6" s="111">
        <v>2020</v>
      </c>
      <c r="C6" s="118"/>
      <c r="D6" s="112" t="s">
        <v>796</v>
      </c>
      <c r="E6" s="110" t="s">
        <v>797</v>
      </c>
      <c r="F6" s="113" t="s">
        <v>6120</v>
      </c>
      <c r="G6" s="110" t="s">
        <v>379</v>
      </c>
      <c r="I6" s="110" t="s">
        <v>741</v>
      </c>
      <c r="J6" s="110" t="s">
        <v>6099</v>
      </c>
      <c r="K6" s="110" t="s">
        <v>6100</v>
      </c>
      <c r="N6" s="110" t="s">
        <v>6121</v>
      </c>
      <c r="O6" s="116" t="s">
        <v>6122</v>
      </c>
      <c r="P6" s="116" t="s">
        <v>6123</v>
      </c>
      <c r="Q6" s="570" t="e">
        <f ca="1">MID(CELL("filename",#REF!),FIND("]",CELL("filename",#REF!))+1,255)</f>
        <v>#REF!</v>
      </c>
    </row>
    <row r="7" spans="1:22" x14ac:dyDescent="0.35">
      <c r="A7" s="110">
        <v>2025</v>
      </c>
      <c r="B7" s="111">
        <v>2021</v>
      </c>
      <c r="C7" s="118"/>
      <c r="D7" s="112" t="s">
        <v>798</v>
      </c>
      <c r="E7" s="110" t="s">
        <v>799</v>
      </c>
      <c r="F7" s="113" t="s">
        <v>631</v>
      </c>
      <c r="G7" s="110" t="s">
        <v>991</v>
      </c>
      <c r="I7" s="110" t="s">
        <v>742</v>
      </c>
      <c r="J7" s="110" t="s">
        <v>6124</v>
      </c>
      <c r="K7" s="110" t="s">
        <v>6111</v>
      </c>
      <c r="N7" s="110" t="s">
        <v>6125</v>
      </c>
      <c r="O7" s="116" t="s">
        <v>6126</v>
      </c>
      <c r="P7" s="116" t="s">
        <v>6127</v>
      </c>
      <c r="Q7" s="570" t="e">
        <f ca="1">MID(CELL("filename",#REF!),FIND("]",CELL("filename",#REF!))+1,255)</f>
        <v>#REF!</v>
      </c>
      <c r="R7" s="119"/>
    </row>
    <row r="8" spans="1:22" x14ac:dyDescent="0.35">
      <c r="A8" s="110">
        <v>2024</v>
      </c>
      <c r="B8" s="111">
        <v>2022</v>
      </c>
      <c r="C8" s="118"/>
      <c r="D8" s="112" t="s">
        <v>800</v>
      </c>
      <c r="E8" s="110" t="s">
        <v>801</v>
      </c>
      <c r="F8" s="113" t="s">
        <v>6128</v>
      </c>
      <c r="G8" s="110" t="s">
        <v>6128</v>
      </c>
      <c r="H8" s="120"/>
      <c r="I8" s="110" t="s">
        <v>743</v>
      </c>
      <c r="J8" s="110" t="s">
        <v>6099</v>
      </c>
      <c r="K8" s="110" t="s">
        <v>242</v>
      </c>
      <c r="N8" s="110" t="s">
        <v>6129</v>
      </c>
      <c r="O8" s="116" t="s">
        <v>6130</v>
      </c>
      <c r="P8" s="116" t="s">
        <v>6131</v>
      </c>
      <c r="Q8" s="119"/>
      <c r="R8" s="119"/>
    </row>
    <row r="9" spans="1:22" x14ac:dyDescent="0.35">
      <c r="A9" s="110">
        <v>2023</v>
      </c>
      <c r="B9" s="111">
        <v>2023</v>
      </c>
      <c r="C9" s="118"/>
      <c r="D9" s="112" t="s">
        <v>802</v>
      </c>
      <c r="E9" s="110" t="s">
        <v>803</v>
      </c>
      <c r="F9" s="113" t="s">
        <v>386</v>
      </c>
      <c r="G9" s="110" t="s">
        <v>6132</v>
      </c>
      <c r="I9" s="110" t="s">
        <v>744</v>
      </c>
      <c r="J9" s="110" t="s">
        <v>6099</v>
      </c>
      <c r="N9" s="110" t="s">
        <v>6133</v>
      </c>
      <c r="O9" s="116" t="s">
        <v>6134</v>
      </c>
      <c r="P9" s="116" t="s">
        <v>6135</v>
      </c>
      <c r="Q9" s="119"/>
      <c r="U9" s="121"/>
      <c r="V9" s="122"/>
    </row>
    <row r="10" spans="1:22" ht="15" customHeight="1" x14ac:dyDescent="0.35">
      <c r="A10" s="110">
        <v>2022</v>
      </c>
      <c r="B10" s="111">
        <v>2024</v>
      </c>
      <c r="C10" s="118"/>
      <c r="D10" s="112" t="s">
        <v>804</v>
      </c>
      <c r="E10" s="110" t="s">
        <v>805</v>
      </c>
      <c r="G10" s="110" t="s">
        <v>630</v>
      </c>
      <c r="I10" s="110" t="s">
        <v>745</v>
      </c>
      <c r="J10" s="110" t="s">
        <v>6105</v>
      </c>
      <c r="N10" s="116" t="s">
        <v>6136</v>
      </c>
      <c r="O10" s="119"/>
      <c r="P10" s="116" t="s">
        <v>6137</v>
      </c>
      <c r="Q10" s="119"/>
      <c r="S10" s="123"/>
    </row>
    <row r="11" spans="1:22" x14ac:dyDescent="0.35">
      <c r="A11" s="110">
        <v>2021</v>
      </c>
      <c r="B11" s="111">
        <v>2025</v>
      </c>
      <c r="C11" s="118"/>
      <c r="D11" s="112" t="s">
        <v>806</v>
      </c>
      <c r="E11" s="110" t="s">
        <v>807</v>
      </c>
      <c r="I11" s="110" t="s">
        <v>746</v>
      </c>
      <c r="N11" s="110" t="s">
        <v>6138</v>
      </c>
      <c r="S11" s="124" t="s">
        <v>6139</v>
      </c>
      <c r="T11" s="125" t="s">
        <v>6140</v>
      </c>
      <c r="U11" s="125" t="s">
        <v>6141</v>
      </c>
    </row>
    <row r="12" spans="1:22" x14ac:dyDescent="0.35">
      <c r="A12" s="110">
        <v>2020</v>
      </c>
      <c r="B12" s="111">
        <v>2026</v>
      </c>
      <c r="C12" s="118"/>
      <c r="D12" s="112" t="s">
        <v>808</v>
      </c>
      <c r="E12" s="110" t="s">
        <v>809</v>
      </c>
      <c r="N12" s="110" t="s">
        <v>6142</v>
      </c>
      <c r="S12" s="126" t="s">
        <v>738</v>
      </c>
      <c r="T12" s="1104">
        <v>21596.278172229693</v>
      </c>
      <c r="U12" s="127">
        <f>T12/1.81906181170423</f>
        <v>11872.206888888906</v>
      </c>
    </row>
    <row r="13" spans="1:22" x14ac:dyDescent="0.35">
      <c r="A13" s="110">
        <v>2019</v>
      </c>
      <c r="B13" s="111">
        <v>2027</v>
      </c>
      <c r="C13" s="118"/>
      <c r="D13" s="112" t="s">
        <v>810</v>
      </c>
      <c r="E13" s="110" t="s">
        <v>811</v>
      </c>
      <c r="G13" s="110" t="s">
        <v>46</v>
      </c>
      <c r="I13" s="110" t="str">
        <f>I2</f>
        <v>Biodiesel</v>
      </c>
      <c r="N13" s="110" t="s">
        <v>6143</v>
      </c>
      <c r="S13" s="126" t="s">
        <v>739</v>
      </c>
      <c r="T13" s="1101">
        <v>25136.045689409661</v>
      </c>
      <c r="U13" s="127">
        <f t="shared" ref="U13:U22" si="0">T13/1.81906181170423</f>
        <v>13818.137200000025</v>
      </c>
    </row>
    <row r="14" spans="1:22" x14ac:dyDescent="0.35">
      <c r="A14" s="110">
        <v>2018</v>
      </c>
      <c r="B14" s="111">
        <v>2028</v>
      </c>
      <c r="C14" s="118"/>
      <c r="D14" s="112" t="s">
        <v>812</v>
      </c>
      <c r="E14" s="110" t="s">
        <v>813</v>
      </c>
      <c r="G14" s="110" t="s">
        <v>6144</v>
      </c>
      <c r="I14" s="110" t="str">
        <f>I3</f>
        <v>CNG</v>
      </c>
      <c r="N14" s="110" t="s">
        <v>6145</v>
      </c>
      <c r="S14" s="126" t="s">
        <v>6146</v>
      </c>
      <c r="T14" s="128"/>
      <c r="U14" s="129"/>
    </row>
    <row r="15" spans="1:22" x14ac:dyDescent="0.35">
      <c r="A15" s="110">
        <v>2017</v>
      </c>
      <c r="B15" s="111">
        <v>2029</v>
      </c>
      <c r="C15" s="118"/>
      <c r="D15" s="112" t="s">
        <v>814</v>
      </c>
      <c r="E15" s="110" t="s">
        <v>815</v>
      </c>
      <c r="G15" s="110" t="s">
        <v>6147</v>
      </c>
      <c r="I15" s="110" t="str">
        <f>I4</f>
        <v>Diesel</v>
      </c>
      <c r="N15" s="110" t="s">
        <v>6148</v>
      </c>
      <c r="S15" s="126" t="s">
        <v>6149</v>
      </c>
      <c r="T15" s="1101">
        <v>5591.9799716907273</v>
      </c>
      <c r="U15" s="127">
        <f t="shared" si="0"/>
        <v>3074.101130434788</v>
      </c>
    </row>
    <row r="16" spans="1:22" x14ac:dyDescent="0.35">
      <c r="A16" s="110">
        <v>2016</v>
      </c>
      <c r="B16" s="111">
        <v>2030</v>
      </c>
      <c r="C16" s="118"/>
      <c r="D16" s="112" t="s">
        <v>816</v>
      </c>
      <c r="E16" s="110" t="s">
        <v>817</v>
      </c>
      <c r="F16" s="130"/>
      <c r="I16" s="110" t="str">
        <f>I5</f>
        <v>Electric</v>
      </c>
      <c r="N16" s="110" t="s">
        <v>6150</v>
      </c>
      <c r="S16" s="126" t="s">
        <v>6151</v>
      </c>
      <c r="T16" s="127">
        <f>'GHG EF'!C13*'GHG EF'!D13*1.81906181170423*11.3196480337542</f>
        <v>5192.6735490568799</v>
      </c>
      <c r="U16" s="127">
        <f t="shared" si="0"/>
        <v>2854.5888411521341</v>
      </c>
    </row>
    <row r="17" spans="1:21" x14ac:dyDescent="0.35">
      <c r="A17" s="110">
        <v>2015</v>
      </c>
      <c r="B17" s="111">
        <v>2031</v>
      </c>
      <c r="C17" s="118"/>
      <c r="D17" s="112" t="s">
        <v>818</v>
      </c>
      <c r="E17" s="130"/>
      <c r="F17" s="130"/>
      <c r="G17" s="130"/>
      <c r="H17" s="130"/>
      <c r="I17" s="110" t="str">
        <f>I7</f>
        <v>Hydrogen Fuel Cell</v>
      </c>
      <c r="K17" s="130"/>
      <c r="L17" s="130"/>
      <c r="N17" s="110" t="s">
        <v>6152</v>
      </c>
      <c r="S17" s="126" t="s">
        <v>6153</v>
      </c>
      <c r="T17" s="131">
        <f>'GHG EF'!C13*'GHG EF'!D13*1.81906181170423*12.0499479068996</f>
        <v>5527.6847457702124</v>
      </c>
      <c r="U17" s="127">
        <f t="shared" si="0"/>
        <v>3038.7558631619413</v>
      </c>
    </row>
    <row r="18" spans="1:21" x14ac:dyDescent="0.35">
      <c r="A18" s="110">
        <v>2014</v>
      </c>
      <c r="B18" s="111">
        <v>2032</v>
      </c>
      <c r="C18" s="118"/>
      <c r="D18" s="112" t="s">
        <v>819</v>
      </c>
      <c r="E18" s="130"/>
      <c r="F18" s="130"/>
      <c r="G18" s="130"/>
      <c r="H18" s="130"/>
      <c r="I18" s="110" t="str">
        <f>I8</f>
        <v>LNG</v>
      </c>
      <c r="K18" s="130"/>
      <c r="L18" s="130"/>
      <c r="N18" s="110" t="s">
        <v>6154</v>
      </c>
      <c r="S18" s="126" t="s">
        <v>741</v>
      </c>
      <c r="T18" s="133"/>
      <c r="U18" s="129"/>
    </row>
    <row r="19" spans="1:21" x14ac:dyDescent="0.35">
      <c r="A19" s="110">
        <v>2013</v>
      </c>
      <c r="B19" s="111">
        <v>2033</v>
      </c>
      <c r="C19" s="118"/>
      <c r="D19" s="112" t="s">
        <v>820</v>
      </c>
      <c r="E19" s="130"/>
      <c r="F19" s="130"/>
      <c r="G19" s="130"/>
      <c r="H19" s="130"/>
      <c r="I19" s="110" t="str">
        <f>I9</f>
        <v>Renewable Diesel</v>
      </c>
      <c r="K19" s="130"/>
      <c r="L19" s="130"/>
      <c r="S19" s="126" t="s">
        <v>742</v>
      </c>
      <c r="T19" s="1104">
        <v>13601.561262246883</v>
      </c>
      <c r="U19" s="127">
        <f t="shared" si="0"/>
        <v>7477.239736842118</v>
      </c>
    </row>
    <row r="20" spans="1:21" x14ac:dyDescent="0.35">
      <c r="A20" s="110">
        <v>2012</v>
      </c>
      <c r="B20" s="111">
        <v>2034</v>
      </c>
      <c r="C20" s="118"/>
      <c r="D20" s="112" t="s">
        <v>821</v>
      </c>
      <c r="E20" s="130"/>
      <c r="F20" s="130"/>
      <c r="G20" s="130"/>
      <c r="H20" s="130"/>
      <c r="I20" s="110" t="s">
        <v>745</v>
      </c>
      <c r="K20" s="130"/>
      <c r="L20" s="130"/>
      <c r="M20" s="132" t="s">
        <v>6155</v>
      </c>
      <c r="N20" s="110" t="str">
        <f ca="1">IF(INDIRECT("'Quantifiable Component "&amp;P20&amp;"'!$E$20")="","",INDIRECT("'Quantifiable Component "&amp;P20&amp;"'!$E$20"))</f>
        <v/>
      </c>
      <c r="O20" s="110" t="str">
        <f ca="1">IF(INDIRECT("'Quantifiable Component "&amp;P20&amp;"'!$E$23")="","",INDIRECT("'Quantifiable Component "&amp;P20&amp;"'!$E$23"))</f>
        <v/>
      </c>
      <c r="P20" s="264">
        <v>1</v>
      </c>
      <c r="Q20" s="264"/>
      <c r="S20" s="126" t="s">
        <v>6156</v>
      </c>
      <c r="T20" s="1104">
        <v>11228.85161659416</v>
      </c>
      <c r="U20" s="127">
        <f t="shared" si="0"/>
        <v>6172.8807368421149</v>
      </c>
    </row>
    <row r="21" spans="1:21" x14ac:dyDescent="0.35">
      <c r="A21" s="110">
        <v>2011</v>
      </c>
      <c r="B21" s="111">
        <v>2035</v>
      </c>
      <c r="C21" s="118"/>
      <c r="D21" s="112" t="s">
        <v>822</v>
      </c>
      <c r="E21" s="130"/>
      <c r="F21" s="130"/>
      <c r="G21" s="130"/>
      <c r="H21" s="130"/>
      <c r="I21" s="110" t="str">
        <f>I11</f>
        <v>Renewable Natural Gas</v>
      </c>
      <c r="K21" s="130"/>
      <c r="L21" s="130"/>
      <c r="M21" s="132" t="s">
        <v>6157</v>
      </c>
      <c r="N21" s="110" t="str">
        <f ca="1">IF(INDIRECT("'Quantifiable Component "&amp;P21&amp;"'!$E$19")="","",INDIRECT("'Quantifiable Component "&amp;P21&amp;"'!$E$19"))</f>
        <v/>
      </c>
      <c r="O21" s="110" t="str">
        <f ca="1">IF(INDIRECT("'Quantifiable Component "&amp;P21&amp;"'!$E$22")="","",INDIRECT("'Quantifiable Component "&amp;P21&amp;"'!$E$22"))</f>
        <v/>
      </c>
      <c r="P21" s="264">
        <v>1</v>
      </c>
      <c r="Q21" s="264"/>
      <c r="S21" s="126" t="s">
        <v>743</v>
      </c>
      <c r="T21" s="1102">
        <v>23528.691182606657</v>
      </c>
      <c r="U21" s="127">
        <f t="shared" si="0"/>
        <v>12934.51988888891</v>
      </c>
    </row>
    <row r="22" spans="1:21" x14ac:dyDescent="0.35">
      <c r="A22" s="110">
        <v>2010</v>
      </c>
      <c r="B22" s="111">
        <v>2036</v>
      </c>
      <c r="C22" s="118"/>
      <c r="D22" s="112" t="s">
        <v>823</v>
      </c>
      <c r="E22" s="130"/>
      <c r="F22" s="130"/>
      <c r="G22" s="130"/>
      <c r="H22" s="130"/>
      <c r="K22" s="130"/>
      <c r="L22" s="130"/>
      <c r="M22" s="132" t="s">
        <v>6158</v>
      </c>
      <c r="N22" s="110" t="str">
        <f ca="1">IF(INDIRECT("'Quantifiable Component "&amp;P22&amp;"'!$G$19")="","",INDIRECT("'Quantifiable Component "&amp;P22&amp;"'!$G$19"))</f>
        <v/>
      </c>
      <c r="O22" s="110" t="str">
        <f ca="1">IF(INDIRECT("'Quantifiable Component "&amp;P22&amp;"'!$G$22")="","",INDIRECT("'Quantifiable Component "&amp;P22&amp;"'!$G$22"))</f>
        <v/>
      </c>
      <c r="P22" s="264">
        <v>1</v>
      </c>
      <c r="Q22" s="264"/>
      <c r="S22" s="126" t="s">
        <v>744</v>
      </c>
      <c r="T22" s="1102">
        <v>8508.4878674622996</v>
      </c>
      <c r="U22" s="127">
        <f t="shared" si="0"/>
        <v>4677.4044800000092</v>
      </c>
    </row>
    <row r="23" spans="1:21" x14ac:dyDescent="0.35">
      <c r="A23" s="110">
        <v>2009</v>
      </c>
      <c r="B23" s="111">
        <v>2037</v>
      </c>
      <c r="C23" s="118"/>
      <c r="D23" s="112" t="s">
        <v>824</v>
      </c>
      <c r="E23" s="130"/>
      <c r="F23" s="130"/>
      <c r="G23" s="130"/>
      <c r="H23" s="130"/>
      <c r="K23" s="130"/>
      <c r="L23" s="130"/>
      <c r="M23" s="516" t="s">
        <v>6159</v>
      </c>
      <c r="N23" s="110" t="str">
        <f ca="1">IF(INDIRECT("'Quantifiable Component "&amp;P23&amp;"'!$C$19")="","",INDIRECT("'Quantifiable Component "&amp;P23&amp;"'!$C$19"))</f>
        <v/>
      </c>
      <c r="O23" s="110" t="str">
        <f ca="1">IF(INDIRECT("'Quantifiable Component "&amp;P23&amp;"'!$C$22")="","",INDIRECT("'Quantifiable Component "&amp;P23&amp;"'!$C$22"))</f>
        <v/>
      </c>
      <c r="P23" s="264">
        <v>2</v>
      </c>
      <c r="Q23" s="264"/>
    </row>
    <row r="24" spans="1:21" x14ac:dyDescent="0.35">
      <c r="A24" s="110">
        <v>2008</v>
      </c>
      <c r="B24" s="111">
        <v>2038</v>
      </c>
      <c r="C24" s="118"/>
      <c r="D24" s="112" t="s">
        <v>825</v>
      </c>
      <c r="E24" s="130"/>
      <c r="F24" s="130"/>
      <c r="G24" s="130"/>
      <c r="H24" s="130"/>
      <c r="I24" s="110" t="s">
        <v>6160</v>
      </c>
      <c r="K24" s="130"/>
      <c r="L24" s="130"/>
      <c r="M24" s="516" t="s">
        <v>6161</v>
      </c>
      <c r="N24" s="110" t="str">
        <f ca="1">IF(INDIRECT("'Quantifiable Component "&amp;P24&amp;"'!$E$19")="","",INDIRECT("'Quantifiable Component "&amp;P24&amp;"'!$E$19"))</f>
        <v/>
      </c>
      <c r="O24" s="110" t="str">
        <f ca="1">IF(INDIRECT("'Quantifiable Component "&amp;P24&amp;"'!$E$22")="","",INDIRECT("'Quantifiable Component "&amp;P24&amp;"'!$E$22"))</f>
        <v/>
      </c>
      <c r="P24" s="264">
        <v>2</v>
      </c>
      <c r="Q24" s="264"/>
      <c r="S24" s="134" t="s">
        <v>6162</v>
      </c>
      <c r="T24" s="134" t="s">
        <v>6163</v>
      </c>
    </row>
    <row r="25" spans="1:21" x14ac:dyDescent="0.35">
      <c r="A25" s="110">
        <v>2007</v>
      </c>
      <c r="B25" s="111">
        <v>2039</v>
      </c>
      <c r="C25" s="118"/>
      <c r="D25" s="112" t="s">
        <v>826</v>
      </c>
      <c r="E25" s="130"/>
      <c r="F25" s="130"/>
      <c r="G25" s="130"/>
      <c r="H25" s="130"/>
      <c r="I25" s="110" t="s">
        <v>6164</v>
      </c>
      <c r="K25" s="130"/>
      <c r="L25" s="130"/>
      <c r="M25" s="516" t="s">
        <v>6165</v>
      </c>
      <c r="N25" s="110" t="str">
        <f ca="1">IF(INDIRECT("'Quantifiable Component "&amp;P25&amp;"'!$G$19")="","",INDIRECT("'Quantifiable Component "&amp;P25&amp;"'!$G$19"))</f>
        <v/>
      </c>
      <c r="O25" s="110" t="str">
        <f ca="1">IF(INDIRECT("'Quantifiable Component "&amp;P25&amp;"'!$G$22")="","",INDIRECT("'Quantifiable Component "&amp;P25&amp;"'!$G$22"))</f>
        <v/>
      </c>
      <c r="P25" s="264">
        <v>2</v>
      </c>
      <c r="Q25" s="264"/>
      <c r="S25" s="126" t="s">
        <v>738</v>
      </c>
      <c r="T25" s="1103">
        <v>11872.206888888888</v>
      </c>
    </row>
    <row r="26" spans="1:21" x14ac:dyDescent="0.35">
      <c r="A26" s="110">
        <v>2006</v>
      </c>
      <c r="B26" s="111">
        <v>2040</v>
      </c>
      <c r="C26" s="118"/>
      <c r="D26" s="112" t="s">
        <v>827</v>
      </c>
      <c r="E26" s="130"/>
      <c r="F26" s="130"/>
      <c r="G26" s="130"/>
      <c r="H26" s="130"/>
      <c r="I26" s="110" t="s">
        <v>6166</v>
      </c>
      <c r="K26" s="130"/>
      <c r="L26" s="130"/>
      <c r="M26" s="516" t="s">
        <v>6167</v>
      </c>
      <c r="N26" s="110" t="str">
        <f ca="1">IF(INDIRECT("'Quantifiable Component "&amp;P26&amp;"'!$C$19")="","",INDIRECT("'Quantifiable Component "&amp;P26&amp;"'!$C$19"))</f>
        <v/>
      </c>
      <c r="O26" s="110" t="str">
        <f ca="1">IF(INDIRECT("'Quantifiable Component "&amp;P26&amp;"'!$C$22")="","",INDIRECT("'Quantifiable Component "&amp;P26&amp;"'!$C$22"))</f>
        <v/>
      </c>
      <c r="P26" s="264">
        <v>3</v>
      </c>
      <c r="Q26" s="264"/>
      <c r="S26" s="135" t="s">
        <v>739</v>
      </c>
      <c r="T26" s="136">
        <f>'GHG EF'!C12*'GHG EF'!D12</f>
        <v>14221.547200000001</v>
      </c>
    </row>
    <row r="27" spans="1:21" x14ac:dyDescent="0.35">
      <c r="A27" s="110">
        <v>2005</v>
      </c>
      <c r="B27" s="111">
        <v>2041</v>
      </c>
      <c r="C27" s="118"/>
      <c r="D27" s="112" t="s">
        <v>828</v>
      </c>
      <c r="E27" s="130"/>
      <c r="F27" s="130"/>
      <c r="G27" s="130"/>
      <c r="H27" s="130"/>
      <c r="I27" s="110" t="s">
        <v>6168</v>
      </c>
      <c r="K27" s="130"/>
      <c r="L27" s="130"/>
      <c r="M27" s="516" t="s">
        <v>6169</v>
      </c>
      <c r="N27" s="110" t="str">
        <f ca="1">IF(INDIRECT("'Quantifiable Component "&amp;P27&amp;"'!$E$19")="","",INDIRECT("'Quantifiable Component "&amp;P27&amp;"'!$E$19"))</f>
        <v/>
      </c>
      <c r="O27" s="110" t="str">
        <f ca="1">IF(INDIRECT("'Quantifiable Component "&amp;P27&amp;"'!$E$22")="","",INDIRECT("'Quantifiable Component "&amp;P27&amp;"'!$E$22"))</f>
        <v/>
      </c>
      <c r="P27" s="264">
        <v>3</v>
      </c>
      <c r="Q27" s="264"/>
      <c r="S27" s="126" t="s">
        <v>6146</v>
      </c>
      <c r="T27" s="1103">
        <v>5237.357481481481</v>
      </c>
    </row>
    <row r="28" spans="1:21" x14ac:dyDescent="0.35">
      <c r="A28" s="110">
        <v>2004</v>
      </c>
      <c r="B28" s="111">
        <v>2042</v>
      </c>
      <c r="C28" s="118"/>
      <c r="D28" s="112" t="s">
        <v>829</v>
      </c>
      <c r="E28" s="130"/>
      <c r="F28" s="130"/>
      <c r="G28" s="130"/>
      <c r="H28" s="130"/>
      <c r="I28" s="110" t="s">
        <v>6170</v>
      </c>
      <c r="K28" s="130"/>
      <c r="L28" s="130"/>
      <c r="M28" s="516" t="s">
        <v>6171</v>
      </c>
      <c r="N28" s="110" t="str">
        <f ca="1">IF(INDIRECT("'Quantifiable Component "&amp;P28&amp;"'!$G$19")="","",INDIRECT("'Quantifiable Component "&amp;P28&amp;"'!$G$19"))</f>
        <v/>
      </c>
      <c r="O28" s="110" t="str">
        <f ca="1">IF(INDIRECT("'Quantifiable Component "&amp;P28&amp;"'!$G$22")="","",INDIRECT("'Quantifiable Component "&amp;P28&amp;"'!$G$22"))</f>
        <v/>
      </c>
      <c r="P28" s="264">
        <v>3</v>
      </c>
      <c r="Q28" s="264"/>
      <c r="S28" s="126" t="s">
        <v>741</v>
      </c>
      <c r="T28" s="1103">
        <v>14808.135222222221</v>
      </c>
    </row>
    <row r="29" spans="1:21" x14ac:dyDescent="0.35">
      <c r="A29" s="110">
        <v>2003</v>
      </c>
      <c r="B29" s="111">
        <v>2043</v>
      </c>
      <c r="C29" s="118"/>
      <c r="D29" s="112" t="s">
        <v>830</v>
      </c>
      <c r="E29" s="130"/>
      <c r="F29" s="130"/>
      <c r="G29" s="130"/>
      <c r="H29" s="130"/>
      <c r="I29" s="110" t="s">
        <v>6172</v>
      </c>
      <c r="K29" s="130"/>
      <c r="L29" s="130"/>
      <c r="M29" s="516" t="s">
        <v>6173</v>
      </c>
      <c r="N29" s="110" t="str">
        <f ca="1">IF(INDIRECT("'Quantifiable Component "&amp;P29&amp;"'!$C$19")="","",INDIRECT("'Quantifiable Component "&amp;P29&amp;"'!$C$19"))</f>
        <v/>
      </c>
      <c r="O29" s="110" t="str">
        <f ca="1">IF(INDIRECT("'Quantifiable Component "&amp;P29&amp;"'!$C$22")="","",INDIRECT("'Quantifiable Component "&amp;P29&amp;"'!$C$22"))</f>
        <v/>
      </c>
      <c r="P29" s="264">
        <v>4</v>
      </c>
      <c r="Q29" s="264"/>
      <c r="S29" s="126" t="s">
        <v>742</v>
      </c>
      <c r="T29" s="1103">
        <v>7477.2397368421052</v>
      </c>
    </row>
    <row r="30" spans="1:21" x14ac:dyDescent="0.35">
      <c r="A30" s="110">
        <v>2002</v>
      </c>
      <c r="B30" s="111">
        <v>2044</v>
      </c>
      <c r="C30" s="118"/>
      <c r="D30" s="112" t="s">
        <v>831</v>
      </c>
      <c r="E30" s="130"/>
      <c r="F30" s="130"/>
      <c r="G30" s="130"/>
      <c r="H30" s="130"/>
      <c r="I30" s="110" t="s">
        <v>6174</v>
      </c>
      <c r="K30" s="130"/>
      <c r="L30" s="130"/>
      <c r="M30" s="516" t="s">
        <v>6175</v>
      </c>
      <c r="N30" s="110" t="str">
        <f ca="1">IF(INDIRECT("'Quantifiable Component "&amp;P30&amp;"'!$E$19")="","",INDIRECT("'Quantifiable Component "&amp;P30&amp;"'!$E$19"))</f>
        <v/>
      </c>
      <c r="O30" s="110" t="str">
        <f ca="1">IF(INDIRECT("'Quantifiable Component "&amp;P30&amp;"'!$E$22")="","",INDIRECT("'Quantifiable Component "&amp;P30&amp;"'!$E$22"))</f>
        <v/>
      </c>
      <c r="P30" s="264">
        <v>4</v>
      </c>
      <c r="Q30" s="264"/>
      <c r="S30" s="126" t="s">
        <v>6156</v>
      </c>
      <c r="T30" s="1103">
        <v>6172.8807368421039</v>
      </c>
    </row>
    <row r="31" spans="1:21" x14ac:dyDescent="0.35">
      <c r="A31" s="110">
        <v>2001</v>
      </c>
      <c r="B31" s="111">
        <v>2045</v>
      </c>
      <c r="C31" s="118"/>
      <c r="D31" s="112" t="s">
        <v>832</v>
      </c>
      <c r="E31" s="130"/>
      <c r="F31" s="130"/>
      <c r="G31" s="130"/>
      <c r="H31" s="130"/>
      <c r="I31" s="110" t="s">
        <v>6176</v>
      </c>
      <c r="K31" s="130"/>
      <c r="L31" s="130"/>
      <c r="M31" s="516" t="s">
        <v>6177</v>
      </c>
      <c r="N31" s="110" t="str">
        <f ca="1">IF(INDIRECT("'Quantifiable Component "&amp;P31&amp;"'!$G$19")="","",INDIRECT("'Quantifiable Component "&amp;P31&amp;"'!$G$19"))</f>
        <v/>
      </c>
      <c r="O31" s="110" t="str">
        <f ca="1">IF(INDIRECT("'Quantifiable Component "&amp;P31&amp;"'!$G$22")="","",INDIRECT("'Quantifiable Component "&amp;P31&amp;"'!$G$22"))</f>
        <v/>
      </c>
      <c r="P31" s="264">
        <v>4</v>
      </c>
      <c r="Q31" s="264"/>
      <c r="S31" s="126" t="s">
        <v>743</v>
      </c>
      <c r="T31" s="1103">
        <v>12934.519888888888</v>
      </c>
    </row>
    <row r="32" spans="1:21" x14ac:dyDescent="0.35">
      <c r="A32" s="110">
        <v>2000</v>
      </c>
      <c r="B32" s="111">
        <v>2046</v>
      </c>
      <c r="C32" s="118"/>
      <c r="D32" s="112" t="s">
        <v>833</v>
      </c>
      <c r="E32" s="130"/>
      <c r="F32" s="130"/>
      <c r="G32" s="130"/>
      <c r="H32" s="130"/>
      <c r="I32" s="110" t="s">
        <v>6178</v>
      </c>
      <c r="K32" s="130"/>
      <c r="L32" s="130"/>
      <c r="M32" s="516" t="s">
        <v>6179</v>
      </c>
      <c r="N32" s="110" t="str">
        <f ca="1">IF(INDIRECT("'Quantifiable Component "&amp;P32&amp;"'!$C$19")="","",INDIRECT("'Quantifiable Component "&amp;P32&amp;"'!$C$19"))</f>
        <v/>
      </c>
      <c r="O32" s="110" t="str">
        <f ca="1">IF(INDIRECT("'Quantifiable Component "&amp;P32&amp;"'!$C$22")="","",INDIRECT("'Quantifiable Component "&amp;P32&amp;"'!$C$22"))</f>
        <v/>
      </c>
      <c r="P32" s="264">
        <v>5</v>
      </c>
      <c r="Q32" s="264"/>
    </row>
    <row r="33" spans="1:23" x14ac:dyDescent="0.35">
      <c r="A33" s="110">
        <v>1999</v>
      </c>
      <c r="B33" s="111">
        <v>2047</v>
      </c>
      <c r="C33" s="118"/>
      <c r="D33" s="112" t="s">
        <v>834</v>
      </c>
      <c r="E33" s="130"/>
      <c r="F33" s="130"/>
      <c r="G33" s="130"/>
      <c r="H33" s="130"/>
      <c r="K33" s="130"/>
      <c r="L33" s="130"/>
      <c r="M33" s="516" t="s">
        <v>6180</v>
      </c>
      <c r="N33" s="110" t="str">
        <f ca="1">IF(INDIRECT("'Quantifiable Component "&amp;P33&amp;"'!$E$19")="","",INDIRECT("'Quantifiable Component "&amp;P33&amp;"'!$E$19"))</f>
        <v/>
      </c>
      <c r="O33" s="110" t="str">
        <f ca="1">IF(INDIRECT("'Quantifiable Component "&amp;P33&amp;"'!$E$22")="","",INDIRECT("'Quantifiable Component "&amp;P33&amp;"'!$E$22"))</f>
        <v/>
      </c>
      <c r="P33" s="264">
        <v>5</v>
      </c>
      <c r="Q33" s="264"/>
      <c r="S33" s="134" t="s">
        <v>6181</v>
      </c>
      <c r="T33" s="134" t="s">
        <v>6163</v>
      </c>
    </row>
    <row r="34" spans="1:23" x14ac:dyDescent="0.35">
      <c r="A34" s="110">
        <v>1998</v>
      </c>
      <c r="B34" s="111">
        <v>2048</v>
      </c>
      <c r="C34" s="118"/>
      <c r="D34" s="112" t="s">
        <v>835</v>
      </c>
      <c r="E34" s="130"/>
      <c r="F34" s="130"/>
      <c r="G34" s="130"/>
      <c r="H34" s="130"/>
      <c r="K34" s="130"/>
      <c r="L34" s="130"/>
      <c r="M34" s="516" t="s">
        <v>6182</v>
      </c>
      <c r="N34" s="110" t="str">
        <f ca="1">IF(INDIRECT("'Quantifiable Component "&amp;P34&amp;"'!$G$19")="","",INDIRECT("'Quantifiable Component "&amp;P34&amp;"'!$G$19"))</f>
        <v/>
      </c>
      <c r="O34" s="110" t="str">
        <f ca="1">IF(INDIRECT("'Quantifiable Component "&amp;P34&amp;"'!$G$22")="","",INDIRECT("'Quantifiable Component "&amp;P34&amp;"'!$G$22"))</f>
        <v/>
      </c>
      <c r="P34" s="264">
        <v>5</v>
      </c>
      <c r="Q34" s="264"/>
      <c r="S34" s="126" t="s">
        <v>738</v>
      </c>
      <c r="T34" s="136">
        <f>'GHG EF'!C11*'GHG EF'!D11</f>
        <v>84.211400000000012</v>
      </c>
    </row>
    <row r="35" spans="1:23" x14ac:dyDescent="0.35">
      <c r="A35" s="110">
        <v>1997</v>
      </c>
      <c r="B35" s="111">
        <v>2049</v>
      </c>
      <c r="C35" s="118"/>
      <c r="D35" s="112" t="s">
        <v>836</v>
      </c>
      <c r="E35" s="130"/>
      <c r="F35" s="130"/>
      <c r="G35" s="130"/>
      <c r="H35" s="130"/>
      <c r="K35" s="130"/>
      <c r="L35" s="130"/>
      <c r="M35" s="516" t="s">
        <v>6183</v>
      </c>
      <c r="N35" s="110" t="str">
        <f ca="1">IF(INDIRECT("'Quantifiable Component "&amp;P35&amp;"'!$C$19")="","",INDIRECT("'Quantifiable Component "&amp;P35&amp;"'!$C$19"))</f>
        <v/>
      </c>
      <c r="O35" s="110" t="str">
        <f ca="1">IF(INDIRECT("'Quantifiable Component "&amp;P35&amp;"'!$C$22")="","",INDIRECT("'Quantifiable Component "&amp;P35&amp;"'!$C$22"))</f>
        <v/>
      </c>
      <c r="P35" s="264">
        <v>6</v>
      </c>
      <c r="Q35" s="264"/>
      <c r="S35" s="135" t="s">
        <v>739</v>
      </c>
      <c r="T35" s="136">
        <f>'GHG EF'!C12*'GHG EF'!D12</f>
        <v>14221.547200000001</v>
      </c>
      <c r="U35" s="137"/>
    </row>
    <row r="36" spans="1:23" x14ac:dyDescent="0.35">
      <c r="A36" s="110">
        <v>1996</v>
      </c>
      <c r="B36" s="111">
        <v>2050</v>
      </c>
      <c r="C36" s="118"/>
      <c r="D36" s="112" t="s">
        <v>837</v>
      </c>
      <c r="E36" s="130"/>
      <c r="F36" s="130"/>
      <c r="G36" s="130"/>
      <c r="H36" s="130"/>
      <c r="K36" s="130"/>
      <c r="L36" s="130"/>
      <c r="M36" s="516" t="s">
        <v>6184</v>
      </c>
      <c r="N36" s="110" t="str">
        <f ca="1">IF(INDIRECT("'Quantifiable Component "&amp;P36&amp;"'!$E$19")="","",INDIRECT("'Quantifiable Component "&amp;P36&amp;"'!$E$19"))</f>
        <v/>
      </c>
      <c r="O36" s="110" t="str">
        <f ca="1">IF(INDIRECT("'Quantifiable Component "&amp;P36&amp;"'!$E$22")="","",INDIRECT("'Quantifiable Component "&amp;P36&amp;"'!$E$22"))</f>
        <v/>
      </c>
      <c r="P36" s="264">
        <v>6</v>
      </c>
      <c r="Q36" s="264"/>
      <c r="S36" s="126" t="s">
        <v>6146</v>
      </c>
      <c r="T36" s="136">
        <f>'GHG EF'!C13*'GHG EF'!D13</f>
        <v>252.18</v>
      </c>
    </row>
    <row r="37" spans="1:23" x14ac:dyDescent="0.35">
      <c r="A37" s="110">
        <v>1995</v>
      </c>
      <c r="B37" s="110">
        <v>2051</v>
      </c>
      <c r="D37" s="112" t="s">
        <v>838</v>
      </c>
      <c r="E37" s="130"/>
      <c r="F37" s="130"/>
      <c r="G37" s="130"/>
      <c r="H37" s="130"/>
      <c r="I37" s="110" t="s">
        <v>740</v>
      </c>
      <c r="K37" s="130"/>
      <c r="L37" s="130"/>
      <c r="M37" s="516" t="s">
        <v>6185</v>
      </c>
      <c r="N37" s="110" t="str">
        <f ca="1">IF(INDIRECT("'Quantifiable Component "&amp;P37&amp;"'!$G$19")="","",INDIRECT("'Quantifiable Component "&amp;P37&amp;"'!$G$19"))</f>
        <v/>
      </c>
      <c r="O37" s="110" t="str">
        <f ca="1">IF(INDIRECT("'Quantifiable Component "&amp;P37&amp;"'!$G$22")="","",INDIRECT("'Quantifiable Component "&amp;P37&amp;"'!$G$22"))</f>
        <v/>
      </c>
      <c r="P37" s="264">
        <v>6</v>
      </c>
      <c r="Q37" s="264"/>
      <c r="S37" s="126" t="s">
        <v>742</v>
      </c>
      <c r="T37" s="1103">
        <v>12678</v>
      </c>
    </row>
    <row r="38" spans="1:23" x14ac:dyDescent="0.35">
      <c r="A38" s="110">
        <v>1994</v>
      </c>
      <c r="B38" s="110">
        <v>2052</v>
      </c>
      <c r="D38" s="112" t="s">
        <v>840</v>
      </c>
      <c r="E38" s="130"/>
      <c r="F38" s="130"/>
      <c r="G38" s="130"/>
      <c r="H38" s="130"/>
      <c r="I38" s="110" t="s">
        <v>745</v>
      </c>
      <c r="K38" s="130"/>
      <c r="L38" s="130"/>
      <c r="M38" s="138" t="s">
        <v>6186</v>
      </c>
      <c r="N38" s="306" t="str">
        <f t="array" aca="1" ref="N38" ca="1">IFERROR(INDEX(N20:N37,MATCH(1,IF(N20:N37&lt;&gt;0,IF(N20:N37&lt;&gt;"",1)),0)),"")</f>
        <v/>
      </c>
      <c r="O38" s="306" t="str">
        <f t="array" aca="1" ref="O38" ca="1">IFERROR(INDEX(O20:O37,MATCH(1,IF(O20:O37&lt;&gt;0,IF(O20:O37&lt;&gt;"",1)),0)),"")</f>
        <v/>
      </c>
      <c r="S38" s="126" t="s">
        <v>6156</v>
      </c>
      <c r="T38" s="136">
        <f>'GHG EF'!C15*'GHG EF'!D15</f>
        <v>6771.6</v>
      </c>
    </row>
    <row r="39" spans="1:23" x14ac:dyDescent="0.35">
      <c r="A39" s="110">
        <v>1993</v>
      </c>
      <c r="B39" s="110">
        <v>2053</v>
      </c>
      <c r="D39" s="112" t="s">
        <v>842</v>
      </c>
      <c r="E39" s="130"/>
      <c r="F39" s="3"/>
      <c r="G39" s="130"/>
      <c r="H39" s="130"/>
      <c r="J39" s="130"/>
      <c r="K39" s="130"/>
      <c r="L39" s="130"/>
      <c r="M39" s="130"/>
      <c r="S39" s="126" t="s">
        <v>743</v>
      </c>
      <c r="T39" s="136">
        <f>'GHG EF'!C16*'GHG EF'!D16</f>
        <v>8321.2947999999997</v>
      </c>
    </row>
    <row r="40" spans="1:23" x14ac:dyDescent="0.35">
      <c r="A40" s="110">
        <v>1992</v>
      </c>
      <c r="B40" s="110">
        <v>2054</v>
      </c>
      <c r="D40" s="91" t="s">
        <v>843</v>
      </c>
      <c r="E40" s="3"/>
      <c r="F40" s="3"/>
      <c r="G40" s="3"/>
      <c r="H40" s="3"/>
      <c r="J40" s="3"/>
      <c r="K40" s="3"/>
      <c r="L40" s="3"/>
      <c r="M40" s="3"/>
    </row>
    <row r="41" spans="1:23" x14ac:dyDescent="0.35">
      <c r="A41" s="110">
        <v>1991</v>
      </c>
      <c r="B41" s="110">
        <v>2055</v>
      </c>
      <c r="D41" s="91" t="s">
        <v>844</v>
      </c>
      <c r="E41" s="3"/>
      <c r="F41" s="130"/>
      <c r="G41" s="3"/>
      <c r="H41" s="3"/>
      <c r="I41" s="130"/>
      <c r="J41" s="3"/>
      <c r="K41" s="3"/>
      <c r="L41" s="3"/>
      <c r="M41" s="3"/>
    </row>
    <row r="42" spans="1:23" x14ac:dyDescent="0.35">
      <c r="A42" s="110">
        <v>1990</v>
      </c>
      <c r="B42" s="110">
        <v>2056</v>
      </c>
      <c r="D42" s="112" t="s">
        <v>845</v>
      </c>
      <c r="E42" s="130"/>
      <c r="F42" s="130"/>
      <c r="G42" s="130"/>
      <c r="H42" s="130"/>
      <c r="I42" s="3"/>
      <c r="J42" s="130"/>
      <c r="K42" s="130"/>
      <c r="L42" s="130"/>
      <c r="M42" s="130"/>
    </row>
    <row r="43" spans="1:23" x14ac:dyDescent="0.35">
      <c r="A43" s="110">
        <v>1989</v>
      </c>
      <c r="B43" s="110">
        <v>2057</v>
      </c>
      <c r="D43" s="112" t="s">
        <v>846</v>
      </c>
      <c r="E43" s="130"/>
      <c r="F43" s="130"/>
      <c r="G43" s="130"/>
      <c r="H43" s="130"/>
      <c r="I43" s="3"/>
      <c r="J43" s="130"/>
      <c r="K43" s="130"/>
      <c r="L43" s="130"/>
      <c r="M43" s="130"/>
    </row>
    <row r="44" spans="1:23" x14ac:dyDescent="0.35">
      <c r="A44" s="110">
        <v>1988</v>
      </c>
      <c r="B44" s="110">
        <v>2058</v>
      </c>
      <c r="D44" s="112" t="s">
        <v>847</v>
      </c>
      <c r="E44" s="130"/>
      <c r="F44" s="130"/>
      <c r="G44" s="130"/>
      <c r="H44" s="130"/>
      <c r="I44" s="130"/>
      <c r="J44" s="130"/>
      <c r="K44" s="130"/>
      <c r="L44" s="130"/>
      <c r="M44" s="130"/>
    </row>
    <row r="45" spans="1:23" x14ac:dyDescent="0.35">
      <c r="A45" s="110">
        <v>1987</v>
      </c>
      <c r="B45" s="110">
        <v>2059</v>
      </c>
      <c r="D45" s="112" t="s">
        <v>848</v>
      </c>
      <c r="E45" s="130"/>
      <c r="F45" s="130"/>
      <c r="G45" s="130"/>
      <c r="H45" s="130"/>
      <c r="I45" s="130"/>
      <c r="J45" s="130"/>
      <c r="K45" s="130"/>
      <c r="L45" s="130"/>
      <c r="M45" s="130"/>
    </row>
    <row r="46" spans="1:23" x14ac:dyDescent="0.35">
      <c r="A46" s="110">
        <v>1986</v>
      </c>
      <c r="B46" s="110">
        <v>2060</v>
      </c>
      <c r="D46" s="112" t="s">
        <v>849</v>
      </c>
      <c r="E46" s="130"/>
      <c r="F46" s="130"/>
      <c r="G46" s="130"/>
      <c r="H46" s="130"/>
      <c r="I46" s="130"/>
      <c r="J46" s="130"/>
      <c r="K46" s="130"/>
      <c r="L46" s="130"/>
      <c r="M46" s="130"/>
    </row>
    <row r="47" spans="1:23" x14ac:dyDescent="0.35">
      <c r="A47" s="110">
        <v>1985</v>
      </c>
      <c r="B47" s="110">
        <v>2061</v>
      </c>
      <c r="D47" s="112" t="s">
        <v>850</v>
      </c>
      <c r="E47" s="130"/>
      <c r="F47" s="130"/>
      <c r="G47" s="130"/>
      <c r="H47" s="130"/>
      <c r="I47" s="130"/>
      <c r="J47" s="130"/>
      <c r="K47" s="130"/>
      <c r="L47" s="130"/>
      <c r="M47" s="130"/>
      <c r="T47" s="545" t="s">
        <v>6187</v>
      </c>
      <c r="U47" s="546"/>
      <c r="V47" s="546"/>
      <c r="W47" s="547"/>
    </row>
    <row r="48" spans="1:23" x14ac:dyDescent="0.35">
      <c r="A48" s="110">
        <v>1984</v>
      </c>
      <c r="B48" s="110">
        <v>2062</v>
      </c>
      <c r="D48" s="112" t="s">
        <v>851</v>
      </c>
      <c r="E48" s="130"/>
      <c r="F48" s="130"/>
      <c r="G48" s="130"/>
      <c r="H48" s="130"/>
      <c r="I48" s="130"/>
      <c r="J48" s="130"/>
      <c r="K48" s="130"/>
      <c r="L48" s="130"/>
      <c r="M48" s="130"/>
      <c r="S48" s="134" t="s">
        <v>69</v>
      </c>
      <c r="T48" s="139" t="s">
        <v>6188</v>
      </c>
      <c r="U48" s="134" t="s">
        <v>6189</v>
      </c>
      <c r="V48" s="134" t="s">
        <v>6190</v>
      </c>
      <c r="W48" s="134" t="s">
        <v>6191</v>
      </c>
    </row>
    <row r="49" spans="1:23" x14ac:dyDescent="0.35">
      <c r="A49" s="110">
        <v>1983</v>
      </c>
      <c r="B49" s="110">
        <v>2063</v>
      </c>
      <c r="D49" s="112" t="s">
        <v>852</v>
      </c>
      <c r="E49" s="130"/>
      <c r="F49" s="130"/>
      <c r="G49" s="130"/>
      <c r="H49" s="130"/>
      <c r="I49" s="130"/>
      <c r="J49" s="130"/>
      <c r="K49" s="130"/>
      <c r="L49" s="130"/>
      <c r="M49" s="130"/>
      <c r="S49" s="110" t="s">
        <v>633</v>
      </c>
      <c r="T49" s="140"/>
      <c r="U49" s="140"/>
      <c r="V49" s="140"/>
      <c r="W49" s="140"/>
    </row>
    <row r="50" spans="1:23" x14ac:dyDescent="0.35">
      <c r="A50" s="110">
        <v>1982</v>
      </c>
      <c r="B50" s="110">
        <v>2064</v>
      </c>
      <c r="D50" s="112" t="s">
        <v>853</v>
      </c>
      <c r="E50" s="130"/>
      <c r="F50" s="130"/>
      <c r="G50" s="130"/>
      <c r="H50" s="130"/>
      <c r="I50" s="130"/>
      <c r="J50" s="130"/>
      <c r="K50" s="130"/>
      <c r="L50" s="130"/>
      <c r="M50" s="130"/>
      <c r="S50" s="110" t="s">
        <v>629</v>
      </c>
      <c r="T50" s="140"/>
      <c r="U50" s="140"/>
      <c r="V50" s="140"/>
      <c r="W50" s="140"/>
    </row>
    <row r="51" spans="1:23" x14ac:dyDescent="0.35">
      <c r="A51" s="110">
        <v>1981</v>
      </c>
      <c r="B51" s="110">
        <v>2065</v>
      </c>
      <c r="D51" s="112" t="s">
        <v>854</v>
      </c>
      <c r="E51" s="130"/>
      <c r="F51" s="130"/>
      <c r="G51" s="130"/>
      <c r="H51" s="130"/>
      <c r="I51" s="130"/>
      <c r="J51" s="130"/>
      <c r="K51" s="130"/>
      <c r="L51" s="130"/>
      <c r="M51" s="130"/>
      <c r="S51" s="110" t="s">
        <v>634</v>
      </c>
      <c r="T51" s="140"/>
      <c r="U51" s="140"/>
      <c r="V51" s="140"/>
      <c r="W51" s="140"/>
    </row>
    <row r="52" spans="1:23" x14ac:dyDescent="0.35">
      <c r="A52" s="110">
        <v>1980</v>
      </c>
      <c r="B52" s="110">
        <v>2066</v>
      </c>
      <c r="D52" s="112" t="s">
        <v>855</v>
      </c>
      <c r="E52" s="130"/>
      <c r="F52" s="130"/>
      <c r="G52" s="130"/>
      <c r="H52" s="130"/>
      <c r="I52" s="130"/>
      <c r="J52" s="130"/>
      <c r="K52" s="130"/>
      <c r="L52" s="130"/>
      <c r="M52" s="130"/>
      <c r="S52" s="110" t="s">
        <v>631</v>
      </c>
      <c r="T52" s="140"/>
      <c r="U52" s="140"/>
      <c r="V52" s="140"/>
      <c r="W52" s="140"/>
    </row>
    <row r="53" spans="1:23" x14ac:dyDescent="0.35">
      <c r="A53" s="110">
        <v>1979</v>
      </c>
      <c r="B53" s="110">
        <v>2067</v>
      </c>
      <c r="D53" s="112" t="s">
        <v>856</v>
      </c>
      <c r="E53" s="130"/>
      <c r="F53" s="130"/>
      <c r="G53" s="130"/>
      <c r="H53" s="130"/>
      <c r="I53" s="130"/>
      <c r="J53" s="130"/>
      <c r="K53" s="130"/>
      <c r="L53" s="130"/>
      <c r="M53" s="130"/>
      <c r="S53" s="110" t="s">
        <v>386</v>
      </c>
      <c r="T53" s="140"/>
      <c r="U53" s="140"/>
      <c r="V53" s="140"/>
      <c r="W53" s="140"/>
    </row>
    <row r="54" spans="1:23" x14ac:dyDescent="0.35">
      <c r="A54" s="110">
        <v>1978</v>
      </c>
      <c r="B54" s="110">
        <v>2068</v>
      </c>
      <c r="D54" s="112" t="s">
        <v>857</v>
      </c>
      <c r="E54" s="130"/>
      <c r="F54" s="130"/>
      <c r="G54" s="130"/>
      <c r="H54" s="130"/>
      <c r="I54" s="130"/>
      <c r="J54" s="130"/>
      <c r="K54" s="130"/>
      <c r="L54" s="130"/>
      <c r="M54" s="130"/>
    </row>
    <row r="55" spans="1:23" x14ac:dyDescent="0.35">
      <c r="A55" s="110">
        <v>1977</v>
      </c>
      <c r="B55" s="110">
        <v>2069</v>
      </c>
      <c r="D55" s="112" t="s">
        <v>858</v>
      </c>
      <c r="E55" s="130"/>
      <c r="F55" s="130"/>
      <c r="G55" s="130"/>
      <c r="H55" s="130"/>
      <c r="I55" s="130"/>
      <c r="J55" s="130"/>
      <c r="K55" s="130"/>
      <c r="L55" s="130"/>
      <c r="M55" s="130"/>
    </row>
    <row r="56" spans="1:23" x14ac:dyDescent="0.35">
      <c r="A56" s="110">
        <v>1976</v>
      </c>
      <c r="B56" s="110">
        <v>2070</v>
      </c>
      <c r="D56" s="112" t="s">
        <v>859</v>
      </c>
      <c r="E56" s="130"/>
      <c r="F56" s="130"/>
      <c r="G56" s="130"/>
      <c r="H56" s="130"/>
      <c r="I56" s="130"/>
      <c r="J56" s="130"/>
      <c r="K56" s="130"/>
      <c r="L56" s="130"/>
      <c r="M56" s="130"/>
    </row>
    <row r="57" spans="1:23" x14ac:dyDescent="0.35">
      <c r="A57" s="110">
        <v>1975</v>
      </c>
      <c r="B57" s="110">
        <v>2071</v>
      </c>
      <c r="D57" s="112" t="s">
        <v>860</v>
      </c>
      <c r="E57" s="130"/>
      <c r="F57" s="130"/>
      <c r="G57" s="130"/>
      <c r="H57" s="130"/>
      <c r="I57" s="130"/>
      <c r="J57" s="130"/>
      <c r="K57" s="130"/>
      <c r="L57" s="130"/>
      <c r="M57" s="130"/>
    </row>
    <row r="58" spans="1:23" x14ac:dyDescent="0.35">
      <c r="A58" s="110">
        <v>1974</v>
      </c>
      <c r="B58" s="110">
        <v>2072</v>
      </c>
      <c r="D58" s="112" t="s">
        <v>861</v>
      </c>
      <c r="E58" s="130"/>
      <c r="F58" s="130"/>
      <c r="G58" s="130"/>
      <c r="H58" s="130"/>
      <c r="I58" s="130"/>
      <c r="J58" s="130"/>
      <c r="K58" s="130"/>
      <c r="L58" s="130"/>
      <c r="M58" s="130"/>
    </row>
    <row r="59" spans="1:23" x14ac:dyDescent="0.35">
      <c r="A59" s="110">
        <v>1973</v>
      </c>
      <c r="B59" s="110">
        <v>2073</v>
      </c>
      <c r="D59" s="112" t="s">
        <v>862</v>
      </c>
      <c r="E59" s="130"/>
      <c r="G59" s="130"/>
      <c r="H59" s="130"/>
      <c r="I59" s="130"/>
      <c r="J59" s="130"/>
      <c r="K59" s="130"/>
      <c r="L59" s="130"/>
      <c r="M59" s="130"/>
    </row>
    <row r="60" spans="1:23" x14ac:dyDescent="0.35">
      <c r="A60" s="110">
        <v>1972</v>
      </c>
      <c r="B60" s="110">
        <v>2074</v>
      </c>
      <c r="I60" s="130"/>
      <c r="S60" s="124" t="s">
        <v>115</v>
      </c>
      <c r="T60" s="125" t="s">
        <v>6163</v>
      </c>
    </row>
    <row r="61" spans="1:23" x14ac:dyDescent="0.35">
      <c r="A61" s="141">
        <v>1971</v>
      </c>
      <c r="B61" s="110">
        <v>2075</v>
      </c>
      <c r="I61" s="130"/>
      <c r="S61" s="126" t="s">
        <v>738</v>
      </c>
      <c r="T61" s="1103">
        <v>77.870799999999988</v>
      </c>
    </row>
    <row r="62" spans="1:23" x14ac:dyDescent="0.35">
      <c r="B62" s="110">
        <v>2076</v>
      </c>
      <c r="S62" s="126" t="s">
        <v>739</v>
      </c>
      <c r="T62" s="1103">
        <v>13818.137199999999</v>
      </c>
    </row>
    <row r="63" spans="1:23" x14ac:dyDescent="0.35">
      <c r="B63" s="110">
        <v>2077</v>
      </c>
      <c r="S63" s="126" t="s">
        <v>741</v>
      </c>
      <c r="T63" s="1103">
        <v>11460.0893</v>
      </c>
    </row>
    <row r="64" spans="1:23" x14ac:dyDescent="0.35">
      <c r="B64" s="110">
        <v>2078</v>
      </c>
      <c r="S64" s="126" t="s">
        <v>6146</v>
      </c>
      <c r="T64" s="1103">
        <v>378.57600000000002</v>
      </c>
    </row>
    <row r="65" spans="2:20" x14ac:dyDescent="0.35">
      <c r="B65" s="110">
        <v>2079</v>
      </c>
      <c r="S65" s="126" t="s">
        <v>6149</v>
      </c>
      <c r="T65" s="1103">
        <v>378.57600000000002</v>
      </c>
    </row>
    <row r="66" spans="2:20" x14ac:dyDescent="0.35">
      <c r="B66" s="110">
        <v>2080</v>
      </c>
      <c r="S66" s="126" t="s">
        <v>6151</v>
      </c>
      <c r="T66" s="1103">
        <v>378.57600000000002</v>
      </c>
    </row>
    <row r="67" spans="2:20" x14ac:dyDescent="0.35">
      <c r="S67" s="126" t="s">
        <v>6153</v>
      </c>
      <c r="T67" s="1103">
        <v>378.57600000000002</v>
      </c>
    </row>
    <row r="68" spans="2:20" x14ac:dyDescent="0.35">
      <c r="S68" s="126" t="s">
        <v>742</v>
      </c>
      <c r="T68" s="1103">
        <v>12678</v>
      </c>
    </row>
    <row r="69" spans="2:20" x14ac:dyDescent="0.35">
      <c r="S69" s="126" t="s">
        <v>6156</v>
      </c>
      <c r="T69" s="1103">
        <v>10466.4</v>
      </c>
    </row>
    <row r="70" spans="2:20" x14ac:dyDescent="0.35">
      <c r="S70" s="126" t="s">
        <v>743</v>
      </c>
      <c r="T70" s="1103">
        <v>6824.3130999999994</v>
      </c>
    </row>
    <row r="71" spans="2:20" x14ac:dyDescent="0.35">
      <c r="S71" s="126" t="s">
        <v>744</v>
      </c>
      <c r="T71" s="1103">
        <v>4509.75</v>
      </c>
    </row>
    <row r="72" spans="2:20" x14ac:dyDescent="0.35">
      <c r="S72" s="142"/>
      <c r="T72" s="142"/>
    </row>
    <row r="73" spans="2:20" x14ac:dyDescent="0.35">
      <c r="S73" s="142"/>
      <c r="T73" s="142"/>
    </row>
    <row r="74" spans="2:20" x14ac:dyDescent="0.35">
      <c r="S74" s="142"/>
      <c r="T74" s="142"/>
    </row>
    <row r="75" spans="2:20" x14ac:dyDescent="0.35">
      <c r="S75" s="142"/>
      <c r="T75" s="142"/>
    </row>
    <row r="76" spans="2:20" x14ac:dyDescent="0.35">
      <c r="S76" s="142"/>
      <c r="T76" s="142"/>
    </row>
    <row r="77" spans="2:20" x14ac:dyDescent="0.35">
      <c r="S77" s="142"/>
      <c r="T77" s="142"/>
    </row>
    <row r="78" spans="2:20" x14ac:dyDescent="0.35">
      <c r="S78" s="142"/>
      <c r="T78" s="142"/>
    </row>
  </sheetData>
  <pageMargins left="0.7" right="0.7" top="0.75" bottom="0.75" header="0.3" footer="0.3"/>
  <pageSetup scale="59" fitToWidth="0" orientation="landscape" r:id="rId1"/>
  <headerFooter>
    <oddFooter>&amp;L&amp;"Avenir LT Std 55 Roman,Regular"&amp;12December 30, 2020&amp;C&amp;"Avenir LT Std 55 Roman,Regular"&amp;12&amp;P of &amp;N&amp;R&amp;"Avenir LT Std 55 Roman,Regular"&amp;12&amp;A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sheetPr>
  <dimension ref="A1:AJ109"/>
  <sheetViews>
    <sheetView showGridLines="0" topLeftCell="B1" zoomScaleNormal="100" zoomScaleSheetLayoutView="55" workbookViewId="0">
      <selection activeCell="B8" sqref="B8:B9"/>
    </sheetView>
  </sheetViews>
  <sheetFormatPr defaultColWidth="9.08984375" defaultRowHeight="14" x14ac:dyDescent="0.3"/>
  <cols>
    <col min="1" max="1" width="2.90625" style="466" hidden="1" customWidth="1"/>
    <col min="2" max="2" width="24.453125" style="466" customWidth="1"/>
    <col min="3" max="3" width="63.453125" style="466" customWidth="1"/>
    <col min="4" max="4" width="20.08984375" style="466" hidden="1" customWidth="1"/>
    <col min="5" max="5" width="35.453125" style="466" customWidth="1"/>
    <col min="6" max="6" width="35.453125" style="466" hidden="1" customWidth="1"/>
    <col min="7" max="7" width="11.453125" style="466" customWidth="1"/>
    <col min="8" max="8" width="35.453125" style="466" customWidth="1"/>
    <col min="9" max="9" width="35.453125" style="466" hidden="1" customWidth="1"/>
    <col min="10" max="10" width="11.453125" style="466" customWidth="1"/>
    <col min="11" max="11" width="35.453125" style="466" customWidth="1"/>
    <col min="12" max="12" width="35.453125" style="466" hidden="1" customWidth="1"/>
    <col min="13" max="13" width="11.453125" style="466" customWidth="1"/>
    <col min="14" max="14" width="9.453125" style="466" customWidth="1"/>
    <col min="15" max="18" width="26.90625" style="466" hidden="1" customWidth="1"/>
    <col min="19" max="19" width="9.08984375" style="466"/>
    <col min="20" max="20" width="24.453125" style="466" customWidth="1"/>
    <col min="21" max="16384" width="9.08984375" style="466"/>
  </cols>
  <sheetData>
    <row r="1" spans="2:36" s="412" customFormat="1" ht="20.5" x14ac:dyDescent="0.45">
      <c r="E1" s="413"/>
      <c r="V1" s="461"/>
      <c r="W1" s="461"/>
      <c r="X1" s="461"/>
      <c r="Y1" s="461"/>
    </row>
    <row r="2" spans="2:36" s="412" customFormat="1" ht="20.5" x14ac:dyDescent="0.45">
      <c r="E2" s="413"/>
      <c r="I2" s="462"/>
      <c r="J2" s="462"/>
      <c r="N2" s="462"/>
      <c r="Q2" s="462"/>
      <c r="V2" s="461"/>
      <c r="W2" s="461"/>
      <c r="X2" s="461"/>
      <c r="Y2" s="461"/>
    </row>
    <row r="3" spans="2:36" s="412" customFormat="1" ht="21" thickBot="1" x14ac:dyDescent="0.5">
      <c r="E3" s="413"/>
      <c r="I3" s="462"/>
      <c r="J3" s="462"/>
      <c r="N3" s="462"/>
      <c r="Q3" s="462"/>
      <c r="V3" s="461"/>
      <c r="W3" s="461"/>
      <c r="X3" s="461"/>
      <c r="Y3" s="461"/>
    </row>
    <row r="4" spans="2:36" s="412" customFormat="1" ht="20.5" x14ac:dyDescent="0.45">
      <c r="E4" s="413"/>
      <c r="I4" s="462"/>
      <c r="J4" s="1543" t="s">
        <v>24</v>
      </c>
      <c r="K4" s="1545"/>
      <c r="L4" s="1549"/>
      <c r="N4" s="462"/>
      <c r="Q4" s="462"/>
      <c r="V4" s="461"/>
      <c r="W4" s="461"/>
      <c r="X4" s="461"/>
      <c r="Y4" s="461"/>
    </row>
    <row r="5" spans="2:36" s="412" customFormat="1" ht="20.5" x14ac:dyDescent="0.45">
      <c r="E5" s="413"/>
      <c r="J5" s="1544" t="s">
        <v>25</v>
      </c>
      <c r="K5" s="1546" t="s">
        <v>26</v>
      </c>
      <c r="L5" s="1550"/>
      <c r="V5" s="461"/>
      <c r="W5" s="461"/>
      <c r="X5" s="461"/>
      <c r="Y5" s="461"/>
    </row>
    <row r="6" spans="2:36" s="412" customFormat="1" ht="20.5" x14ac:dyDescent="0.45">
      <c r="B6" s="414"/>
      <c r="E6" s="413"/>
      <c r="J6" s="1553" t="s">
        <v>27</v>
      </c>
      <c r="K6" s="1547" t="s">
        <v>28</v>
      </c>
      <c r="L6" s="1549"/>
      <c r="V6" s="461"/>
      <c r="W6" s="461"/>
      <c r="X6" s="461"/>
      <c r="Y6" s="461"/>
    </row>
    <row r="7" spans="2:36" s="412" customFormat="1" ht="18" customHeight="1" x14ac:dyDescent="0.45">
      <c r="B7" s="488" t="s">
        <v>29</v>
      </c>
      <c r="C7" s="488"/>
      <c r="D7" s="488"/>
      <c r="E7" s="487"/>
      <c r="F7" s="487"/>
      <c r="G7" s="487"/>
      <c r="J7" s="1554" t="s">
        <v>30</v>
      </c>
      <c r="K7" s="1546" t="s">
        <v>31</v>
      </c>
      <c r="L7" s="1551"/>
      <c r="V7" s="461"/>
      <c r="W7" s="461"/>
      <c r="X7" s="461"/>
      <c r="Y7" s="461"/>
    </row>
    <row r="8" spans="2:36" s="412" customFormat="1" ht="18" customHeight="1" thickBot="1" x14ac:dyDescent="0.5">
      <c r="B8" s="1332" t="s">
        <v>6192</v>
      </c>
      <c r="C8" s="532"/>
      <c r="D8" s="532"/>
      <c r="E8" s="533"/>
      <c r="F8" s="533"/>
      <c r="G8" s="117"/>
      <c r="J8" s="1555" t="s">
        <v>32</v>
      </c>
      <c r="K8" s="1548" t="s">
        <v>33</v>
      </c>
      <c r="L8" s="1552"/>
      <c r="V8" s="461"/>
      <c r="W8" s="461"/>
      <c r="X8" s="461"/>
      <c r="Y8" s="461"/>
    </row>
    <row r="9" spans="2:36" s="412" customFormat="1" ht="18" customHeight="1" x14ac:dyDescent="0.45">
      <c r="B9" s="534" t="s">
        <v>6210</v>
      </c>
      <c r="C9" s="530"/>
      <c r="D9" s="530"/>
      <c r="E9" s="531"/>
      <c r="F9" s="531"/>
      <c r="G9" s="1510"/>
      <c r="V9" s="461"/>
      <c r="W9" s="461"/>
      <c r="X9" s="461"/>
      <c r="Y9" s="461"/>
    </row>
    <row r="10" spans="2:36" s="412" customFormat="1" ht="18" customHeight="1" x14ac:dyDescent="0.45">
      <c r="O10" s="725" t="s">
        <v>34</v>
      </c>
      <c r="P10" s="725"/>
      <c r="V10" s="461"/>
      <c r="W10" s="461"/>
      <c r="X10" s="461"/>
      <c r="Y10" s="461"/>
    </row>
    <row r="11" spans="2:36" s="117" customFormat="1" ht="36" customHeight="1" x14ac:dyDescent="0.45">
      <c r="B11" s="440" t="s">
        <v>35</v>
      </c>
      <c r="C11" s="1556" t="str">
        <f>IF('Project Info'!E13="","",'Project Info'!E13)</f>
        <v/>
      </c>
      <c r="D11" s="574"/>
      <c r="E11" s="575"/>
      <c r="F11" s="575"/>
      <c r="G11" s="791"/>
      <c r="H11" s="412"/>
      <c r="I11" s="412"/>
      <c r="J11" s="412"/>
      <c r="AI11" s="121"/>
      <c r="AJ11" s="121"/>
    </row>
    <row r="12" spans="2:36" s="117" customFormat="1" ht="20.5" x14ac:dyDescent="0.45">
      <c r="B12" s="790"/>
      <c r="C12" s="791"/>
      <c r="D12" s="791"/>
      <c r="E12" s="791"/>
      <c r="F12" s="791"/>
      <c r="G12" s="791"/>
      <c r="H12" s="412"/>
      <c r="I12" s="412"/>
      <c r="J12" s="412"/>
      <c r="O12" s="639" t="s">
        <v>36</v>
      </c>
      <c r="P12" s="639" t="s">
        <v>36</v>
      </c>
      <c r="Q12" s="639" t="s">
        <v>37</v>
      </c>
      <c r="R12" s="639" t="s">
        <v>37</v>
      </c>
      <c r="AI12" s="121"/>
      <c r="AJ12" s="121"/>
    </row>
    <row r="13" spans="2:36" s="463" customFormat="1" ht="18" customHeight="1" thickBot="1" x14ac:dyDescent="0.4">
      <c r="D13" s="724" t="s">
        <v>38</v>
      </c>
      <c r="E13" s="647"/>
      <c r="F13" s="647"/>
      <c r="G13" s="647"/>
      <c r="H13" s="648"/>
      <c r="I13" s="648"/>
      <c r="J13" s="648"/>
      <c r="K13" s="648"/>
      <c r="L13" s="648"/>
      <c r="M13" s="638"/>
      <c r="O13" s="794" t="s">
        <v>39</v>
      </c>
      <c r="P13" s="794"/>
      <c r="Q13" s="794" t="s">
        <v>39</v>
      </c>
      <c r="R13" s="795"/>
    </row>
    <row r="14" spans="2:36" ht="16" thickBot="1" x14ac:dyDescent="0.35">
      <c r="B14" s="464" t="s">
        <v>40</v>
      </c>
      <c r="C14" s="465" t="s">
        <v>41</v>
      </c>
      <c r="D14" s="646" t="s">
        <v>42</v>
      </c>
      <c r="E14" s="649" t="str">
        <f ca="1">MID(CELL("filename",B1),FIND("]",CELL("filename",B1))+1,255)&amp;": Subcomponent 1"</f>
        <v>Quantifiable Component 1: Subcomponent 1</v>
      </c>
      <c r="F14" s="1468"/>
      <c r="G14" s="650"/>
      <c r="H14" s="649" t="str">
        <f ca="1">MID(CELL("filename",B1),FIND("]",CELL("filename",B1))+1,255)&amp;": Subcomponent 2"</f>
        <v>Quantifiable Component 1: Subcomponent 2</v>
      </c>
      <c r="I14" s="1481"/>
      <c r="J14" s="651"/>
      <c r="K14" s="649" t="str">
        <f ca="1">MID(CELL("filename",B1),FIND("]",CELL("filename",B1))+1,255)&amp;": Subcomponent 3"</f>
        <v>Quantifiable Component 1: Subcomponent 3</v>
      </c>
      <c r="L14" s="1501"/>
      <c r="M14" s="1504"/>
      <c r="O14" s="792" t="s">
        <v>43</v>
      </c>
      <c r="P14" s="792"/>
      <c r="Q14" s="793"/>
      <c r="R14" s="793"/>
    </row>
    <row r="15" spans="2:36" ht="67.5" customHeight="1" thickBot="1" x14ac:dyDescent="0.4">
      <c r="B15" s="467" t="s">
        <v>44</v>
      </c>
      <c r="C15" s="468" t="s">
        <v>45</v>
      </c>
      <c r="D15" s="577" t="s">
        <v>46</v>
      </c>
      <c r="E15" s="1626"/>
      <c r="F15" s="1627"/>
      <c r="G15" s="1511" t="str">
        <f>IF(ISBLANK(E15),"(Required)","")</f>
        <v>(Required)</v>
      </c>
      <c r="H15" s="1612"/>
      <c r="I15" s="1613"/>
      <c r="J15" s="1536" t="str">
        <f>IF(ISBLANK(H15),"(Optional)","")</f>
        <v>(Optional)</v>
      </c>
      <c r="K15" s="1612"/>
      <c r="L15" s="1613"/>
      <c r="M15" s="1536" t="str">
        <f>IF(ISBLANK(K15),"(Optional)","")</f>
        <v>(Optional)</v>
      </c>
      <c r="N15" s="638"/>
      <c r="O15" s="640" t="s">
        <v>43</v>
      </c>
      <c r="P15" s="797" t="s">
        <v>47</v>
      </c>
      <c r="Q15" s="641"/>
      <c r="R15" s="797" t="s">
        <v>48</v>
      </c>
    </row>
    <row r="16" spans="2:36" ht="16" thickBot="1" x14ac:dyDescent="0.35">
      <c r="B16" s="617" t="s">
        <v>49</v>
      </c>
      <c r="C16" s="618"/>
      <c r="D16" s="618"/>
      <c r="E16" s="618"/>
      <c r="F16" s="618"/>
      <c r="G16" s="618"/>
      <c r="H16" s="618"/>
      <c r="I16" s="618"/>
      <c r="J16" s="618"/>
      <c r="K16" s="618"/>
      <c r="L16" s="618"/>
      <c r="M16" s="619"/>
      <c r="N16" s="483"/>
      <c r="O16" s="640" t="s">
        <v>43</v>
      </c>
      <c r="P16" s="640"/>
      <c r="Q16" s="641"/>
      <c r="R16" s="641"/>
    </row>
    <row r="17" spans="2:18" ht="33.75" customHeight="1" x14ac:dyDescent="0.35">
      <c r="B17" s="469" t="s">
        <v>50</v>
      </c>
      <c r="C17" s="470" t="s">
        <v>51</v>
      </c>
      <c r="D17" s="606" t="s">
        <v>46</v>
      </c>
      <c r="E17" s="1628"/>
      <c r="F17" s="1614"/>
      <c r="G17" s="1512" t="str">
        <f>IF(ISBLANK(E17),"(Required)","")</f>
        <v>(Required)</v>
      </c>
      <c r="H17" s="1620"/>
      <c r="I17" s="1614"/>
      <c r="J17" s="1537" t="str">
        <f>IF(ISBLANK(H17),"(Required)","")</f>
        <v>(Required)</v>
      </c>
      <c r="K17" s="1614"/>
      <c r="L17" s="1614"/>
      <c r="M17" s="1538" t="str">
        <f>IF(ISBLANK(K17),"(Required)","")</f>
        <v>(Required)</v>
      </c>
      <c r="N17" s="483"/>
      <c r="O17" s="640" t="s">
        <v>43</v>
      </c>
      <c r="P17" s="802" t="e">
        <f>#REF!</f>
        <v>#REF!</v>
      </c>
      <c r="Q17" s="641"/>
      <c r="R17" s="796" t="s">
        <v>52</v>
      </c>
    </row>
    <row r="18" spans="2:18" ht="48" customHeight="1" thickBot="1" x14ac:dyDescent="0.4">
      <c r="B18" s="471" t="s">
        <v>53</v>
      </c>
      <c r="C18" s="472" t="s">
        <v>54</v>
      </c>
      <c r="D18" s="577" t="s">
        <v>46</v>
      </c>
      <c r="E18" s="1629"/>
      <c r="F18" s="1615"/>
      <c r="G18" s="1513" t="str">
        <f>IF(ISBLANK(E18),"(Required)","")</f>
        <v>(Required)</v>
      </c>
      <c r="H18" s="1621"/>
      <c r="I18" s="1615"/>
      <c r="J18" s="1514" t="str">
        <f>IF(ISBLANK(H18),"(Required)","")</f>
        <v>(Required)</v>
      </c>
      <c r="K18" s="1615"/>
      <c r="L18" s="1615"/>
      <c r="M18" s="1514" t="str">
        <f>IF(ISBLANK(K18),"(Required)","")</f>
        <v>(Required)</v>
      </c>
      <c r="N18" s="483"/>
      <c r="O18" s="640" t="s">
        <v>43</v>
      </c>
      <c r="P18" s="802" t="e">
        <f>#REF!</f>
        <v>#REF!</v>
      </c>
      <c r="Q18" s="641"/>
      <c r="R18" s="796" t="s">
        <v>52</v>
      </c>
    </row>
    <row r="19" spans="2:18" ht="16.5" customHeight="1" x14ac:dyDescent="0.3">
      <c r="B19" s="625" t="s">
        <v>55</v>
      </c>
      <c r="C19" s="620"/>
      <c r="D19" s="620"/>
      <c r="E19" s="620"/>
      <c r="F19" s="620"/>
      <c r="G19" s="1488"/>
      <c r="H19" s="620"/>
      <c r="I19" s="620"/>
      <c r="J19" s="621"/>
      <c r="K19" s="620"/>
      <c r="L19" s="620"/>
      <c r="M19" s="1505"/>
      <c r="N19" s="483"/>
      <c r="O19" s="640" t="s">
        <v>43</v>
      </c>
      <c r="P19" s="640"/>
      <c r="Q19" s="641"/>
      <c r="R19" s="641"/>
    </row>
    <row r="20" spans="2:18" ht="33.75" customHeight="1" x14ac:dyDescent="0.35">
      <c r="B20" s="607" t="s">
        <v>56</v>
      </c>
      <c r="C20" s="608" t="s">
        <v>57</v>
      </c>
      <c r="D20" s="605" t="s">
        <v>58</v>
      </c>
      <c r="E20" s="1630"/>
      <c r="F20" s="1616"/>
      <c r="G20" s="1515" t="str">
        <f>IF(ISBLANK(E20),"(Optional)","")</f>
        <v>(Optional)</v>
      </c>
      <c r="H20" s="1622"/>
      <c r="I20" s="1616"/>
      <c r="J20" s="1516" t="str">
        <f>IF(ISBLANK(H20),"(Optional)","")</f>
        <v>(Optional)</v>
      </c>
      <c r="K20" s="1616"/>
      <c r="L20" s="1616"/>
      <c r="M20" s="1516" t="str">
        <f>IF(ISBLANK(K20),"(Optional)","")</f>
        <v>(Optional)</v>
      </c>
      <c r="N20" s="483"/>
      <c r="O20" s="640" t="s">
        <v>43</v>
      </c>
      <c r="P20" s="803" t="s">
        <v>59</v>
      </c>
      <c r="Q20" s="641"/>
      <c r="R20" s="641"/>
    </row>
    <row r="21" spans="2:18" ht="33.75" customHeight="1" thickBot="1" x14ac:dyDescent="0.4">
      <c r="B21" s="473" t="s">
        <v>60</v>
      </c>
      <c r="C21" s="474" t="s">
        <v>61</v>
      </c>
      <c r="D21" s="605" t="s">
        <v>58</v>
      </c>
      <c r="E21" s="1631"/>
      <c r="F21" s="1617"/>
      <c r="G21" s="1517" t="str">
        <f>IF(ISBLANK(E21),"(Optional)","")</f>
        <v>(Optional)</v>
      </c>
      <c r="H21" s="1623"/>
      <c r="I21" s="1617"/>
      <c r="J21" s="1518" t="str">
        <f>IF(ISBLANK(H21),"(Optional)","")</f>
        <v>(Optional)</v>
      </c>
      <c r="K21" s="1617"/>
      <c r="L21" s="1617"/>
      <c r="M21" s="1516" t="str">
        <f>IF(ISBLANK(K21),"(Optional)","")</f>
        <v>(Optional)</v>
      </c>
      <c r="N21" s="483"/>
      <c r="O21" s="640" t="s">
        <v>43</v>
      </c>
      <c r="P21" s="803" t="e">
        <f>#REF!-#REF!</f>
        <v>#REF!</v>
      </c>
      <c r="Q21" s="641"/>
      <c r="R21" s="797" t="s">
        <v>52</v>
      </c>
    </row>
    <row r="22" spans="2:18" ht="16.5" customHeight="1" x14ac:dyDescent="0.3">
      <c r="B22" s="624" t="s">
        <v>62</v>
      </c>
      <c r="C22" s="622"/>
      <c r="D22" s="622"/>
      <c r="E22" s="622"/>
      <c r="F22" s="622"/>
      <c r="G22" s="622"/>
      <c r="H22" s="622"/>
      <c r="I22" s="622"/>
      <c r="J22" s="623"/>
      <c r="K22" s="622"/>
      <c r="L22" s="622"/>
      <c r="M22" s="623"/>
      <c r="N22" s="483"/>
      <c r="O22" s="640" t="s">
        <v>43</v>
      </c>
      <c r="P22" s="640"/>
      <c r="Q22" s="641"/>
      <c r="R22" s="641"/>
    </row>
    <row r="23" spans="2:18" ht="33.75" customHeight="1" x14ac:dyDescent="0.3">
      <c r="B23" s="475" t="s">
        <v>56</v>
      </c>
      <c r="C23" s="476" t="s">
        <v>57</v>
      </c>
      <c r="D23" s="605" t="s">
        <v>58</v>
      </c>
      <c r="E23" s="1630"/>
      <c r="F23" s="1616"/>
      <c r="G23" s="1515" t="str">
        <f>IF(ISBLANK(E23),"(Optional)","")</f>
        <v>(Optional)</v>
      </c>
      <c r="H23" s="1622"/>
      <c r="I23" s="1616"/>
      <c r="J23" s="1516" t="str">
        <f>IF(ISBLANK(H23),"(Optional)","")</f>
        <v>(Optional)</v>
      </c>
      <c r="K23" s="1616"/>
      <c r="L23" s="1616"/>
      <c r="M23" s="1516" t="str">
        <f>IF(ISBLANK(K23),"(Required)","")</f>
        <v>(Required)</v>
      </c>
      <c r="N23" s="483"/>
      <c r="O23" s="640" t="s">
        <v>43</v>
      </c>
      <c r="P23" s="640"/>
      <c r="Q23" s="641"/>
      <c r="R23" s="641"/>
    </row>
    <row r="24" spans="2:18" ht="33.75" customHeight="1" x14ac:dyDescent="0.35">
      <c r="B24" s="477" t="s">
        <v>60</v>
      </c>
      <c r="C24" s="476" t="s">
        <v>63</v>
      </c>
      <c r="D24" s="605" t="s">
        <v>58</v>
      </c>
      <c r="E24" s="1618"/>
      <c r="F24" s="1610"/>
      <c r="G24" s="1515" t="str">
        <f>IF(ISBLANK(E24),"(Optional)","")</f>
        <v>(Optional)</v>
      </c>
      <c r="H24" s="1624"/>
      <c r="I24" s="1610"/>
      <c r="J24" s="1519" t="str">
        <f>IF(ISBLANK(H24),"(Optional)","")</f>
        <v>(Optional)</v>
      </c>
      <c r="K24" s="1610"/>
      <c r="L24" s="1610"/>
      <c r="M24" s="1516" t="str">
        <f>IF(ISBLANK(K24),"(Required)","")</f>
        <v>(Required)</v>
      </c>
      <c r="N24" s="483"/>
      <c r="O24" s="640" t="s">
        <v>43</v>
      </c>
      <c r="P24" s="803" t="e">
        <f>#REF!-#REF!</f>
        <v>#REF!</v>
      </c>
      <c r="Q24" s="641"/>
      <c r="R24" s="641"/>
    </row>
    <row r="25" spans="2:18" ht="52.5" customHeight="1" thickBot="1" x14ac:dyDescent="0.35">
      <c r="B25" s="610" t="s">
        <v>64</v>
      </c>
      <c r="C25" s="576" t="s">
        <v>65</v>
      </c>
      <c r="D25" s="611" t="s">
        <v>66</v>
      </c>
      <c r="E25" s="1619" t="str">
        <f>IF(E17="","",E24+E21+E17)</f>
        <v/>
      </c>
      <c r="F25" s="1611"/>
      <c r="G25" s="1539"/>
      <c r="H25" s="1625" t="str">
        <f>IF(H17="","",H24+H21+H17)</f>
        <v/>
      </c>
      <c r="I25" s="1611"/>
      <c r="J25" s="1539"/>
      <c r="K25" s="1611" t="str">
        <f>IF(K17="","",K24+K21+K17)</f>
        <v/>
      </c>
      <c r="L25" s="1611"/>
      <c r="M25" s="1540"/>
      <c r="N25" s="483"/>
      <c r="O25" s="640" t="s">
        <v>43</v>
      </c>
      <c r="P25" s="640"/>
      <c r="Q25" s="641"/>
      <c r="R25" s="641"/>
    </row>
    <row r="26" spans="2:18" ht="16.5" customHeight="1" thickBot="1" x14ac:dyDescent="0.35">
      <c r="B26" s="612" t="s">
        <v>67</v>
      </c>
      <c r="C26" s="613"/>
      <c r="D26" s="614"/>
      <c r="E26" s="613"/>
      <c r="F26" s="613"/>
      <c r="G26" s="615"/>
      <c r="H26" s="613"/>
      <c r="I26" s="613"/>
      <c r="J26" s="615"/>
      <c r="K26" s="613"/>
      <c r="L26" s="613"/>
      <c r="M26" s="615"/>
      <c r="N26" s="483"/>
      <c r="O26" s="641"/>
      <c r="P26" s="641"/>
      <c r="Q26" s="641"/>
      <c r="R26" s="641"/>
    </row>
    <row r="27" spans="2:18" ht="15.5" x14ac:dyDescent="0.3">
      <c r="B27" s="616" t="s">
        <v>68</v>
      </c>
      <c r="C27" s="627" t="s">
        <v>41</v>
      </c>
      <c r="D27" s="626" t="s">
        <v>42</v>
      </c>
      <c r="E27" s="1640" t="s">
        <v>40</v>
      </c>
      <c r="F27" s="1636"/>
      <c r="G27" s="1467"/>
      <c r="H27" s="1636" t="s">
        <v>40</v>
      </c>
      <c r="I27" s="1636"/>
      <c r="J27" s="1467"/>
      <c r="K27" s="1636" t="s">
        <v>40</v>
      </c>
      <c r="L27" s="1636"/>
      <c r="M27" s="1506"/>
      <c r="N27" s="483"/>
      <c r="O27" s="641"/>
      <c r="P27" s="641"/>
      <c r="Q27" s="641"/>
      <c r="R27" s="641"/>
    </row>
    <row r="28" spans="2:18" ht="48.75" customHeight="1" x14ac:dyDescent="0.3">
      <c r="B28" s="477" t="s">
        <v>69</v>
      </c>
      <c r="C28" s="478" t="s">
        <v>70</v>
      </c>
      <c r="D28" s="609" t="s">
        <v>71</v>
      </c>
      <c r="E28" s="1641"/>
      <c r="F28" s="1638"/>
      <c r="G28" s="1520" t="str">
        <f>IF(ISBLANK(E28),"(Required)","")</f>
        <v>(Required)</v>
      </c>
      <c r="H28" s="1637"/>
      <c r="I28" s="1638"/>
      <c r="J28" s="1521" t="str">
        <f t="shared" ref="J28:J33" si="0">IF(ISBLANK(H28),"(Required)","")</f>
        <v>(Required)</v>
      </c>
      <c r="K28" s="1638"/>
      <c r="L28" s="1638"/>
      <c r="M28" s="1522" t="str">
        <f>IF(ISBLANK(K28),"(Required)","")</f>
        <v>(Required)</v>
      </c>
      <c r="N28" s="483"/>
      <c r="O28" s="641" t="s">
        <v>72</v>
      </c>
      <c r="P28" s="641"/>
      <c r="Q28" s="641" t="s">
        <v>73</v>
      </c>
      <c r="R28" s="641"/>
    </row>
    <row r="29" spans="2:18" ht="63.75" customHeight="1" x14ac:dyDescent="0.3">
      <c r="B29" s="477" t="s">
        <v>74</v>
      </c>
      <c r="C29" s="478" t="s">
        <v>75</v>
      </c>
      <c r="D29" s="609" t="s">
        <v>71</v>
      </c>
      <c r="E29" s="1632"/>
      <c r="F29" s="1633"/>
      <c r="G29" s="1522" t="str">
        <f t="shared" ref="G29:G33" si="1">IF(ISBLANK(E29),"(Required)","")</f>
        <v>(Required)</v>
      </c>
      <c r="H29" s="1639"/>
      <c r="I29" s="1633"/>
      <c r="J29" s="1523" t="str">
        <f t="shared" si="0"/>
        <v>(Required)</v>
      </c>
      <c r="K29" s="1633"/>
      <c r="L29" s="1633"/>
      <c r="M29" s="1522" t="str">
        <f t="shared" ref="M29:M33" si="2">IF(ISBLANK(K29),"(Required)","")</f>
        <v>(Required)</v>
      </c>
      <c r="N29" s="483"/>
      <c r="O29" s="641"/>
      <c r="P29" s="641"/>
      <c r="Q29" s="641"/>
      <c r="R29" s="641"/>
    </row>
    <row r="30" spans="2:18" ht="33.75" customHeight="1" x14ac:dyDescent="0.3">
      <c r="B30" s="477" t="s">
        <v>76</v>
      </c>
      <c r="C30" s="478" t="s">
        <v>77</v>
      </c>
      <c r="D30" s="609" t="s">
        <v>71</v>
      </c>
      <c r="E30" s="1632"/>
      <c r="F30" s="1633"/>
      <c r="G30" s="1522" t="str">
        <f t="shared" si="1"/>
        <v>(Required)</v>
      </c>
      <c r="H30" s="1639"/>
      <c r="I30" s="1633"/>
      <c r="J30" s="1523" t="str">
        <f t="shared" si="0"/>
        <v>(Required)</v>
      </c>
      <c r="K30" s="1633"/>
      <c r="L30" s="1633"/>
      <c r="M30" s="1522" t="str">
        <f t="shared" si="2"/>
        <v>(Required)</v>
      </c>
      <c r="O30" s="641"/>
      <c r="P30" s="641"/>
      <c r="Q30" s="641"/>
      <c r="R30" s="641"/>
    </row>
    <row r="31" spans="2:18" ht="33.75" customHeight="1" x14ac:dyDescent="0.3">
      <c r="B31" s="477" t="s">
        <v>78</v>
      </c>
      <c r="C31" s="478" t="s">
        <v>79</v>
      </c>
      <c r="D31" s="609" t="s">
        <v>71</v>
      </c>
      <c r="E31" s="1632"/>
      <c r="F31" s="1633"/>
      <c r="G31" s="1522" t="str">
        <f t="shared" si="1"/>
        <v>(Required)</v>
      </c>
      <c r="H31" s="1639"/>
      <c r="I31" s="1633"/>
      <c r="J31" s="1523" t="str">
        <f t="shared" si="0"/>
        <v>(Required)</v>
      </c>
      <c r="K31" s="1633"/>
      <c r="L31" s="1633"/>
      <c r="M31" s="1522" t="str">
        <f t="shared" si="2"/>
        <v>(Required)</v>
      </c>
      <c r="O31" s="641"/>
      <c r="P31" s="641"/>
      <c r="Q31" s="641"/>
      <c r="R31" s="641"/>
    </row>
    <row r="32" spans="2:18" ht="42" x14ac:dyDescent="0.3">
      <c r="B32" s="477" t="s">
        <v>80</v>
      </c>
      <c r="C32" s="478" t="s">
        <v>81</v>
      </c>
      <c r="D32" s="609" t="s">
        <v>71</v>
      </c>
      <c r="E32" s="1632"/>
      <c r="F32" s="1633"/>
      <c r="G32" s="1522" t="str">
        <f t="shared" si="1"/>
        <v>(Required)</v>
      </c>
      <c r="H32" s="1639"/>
      <c r="I32" s="1633"/>
      <c r="J32" s="1523" t="str">
        <f t="shared" si="0"/>
        <v>(Required)</v>
      </c>
      <c r="K32" s="1633"/>
      <c r="L32" s="1633"/>
      <c r="M32" s="1522" t="str">
        <f t="shared" si="2"/>
        <v>(Required)</v>
      </c>
      <c r="O32" s="644" t="str">
        <f>IF(E28="","",VLOOKUP(E28,'LCTOP Project Types'!$B$12:$Q$26,6,0))</f>
        <v/>
      </c>
      <c r="P32" s="641"/>
      <c r="Q32" s="643" t="s">
        <v>81</v>
      </c>
      <c r="R32" s="641"/>
    </row>
    <row r="33" spans="2:18" ht="42" x14ac:dyDescent="0.3">
      <c r="B33" s="477" t="s">
        <v>82</v>
      </c>
      <c r="C33" s="478" t="s">
        <v>83</v>
      </c>
      <c r="D33" s="609" t="s">
        <v>71</v>
      </c>
      <c r="E33" s="1632"/>
      <c r="F33" s="1633"/>
      <c r="G33" s="1524" t="str">
        <f t="shared" si="1"/>
        <v>(Required)</v>
      </c>
      <c r="H33" s="1639"/>
      <c r="I33" s="1633"/>
      <c r="J33" s="1523" t="str">
        <f t="shared" si="0"/>
        <v>(Required)</v>
      </c>
      <c r="K33" s="1633"/>
      <c r="L33" s="1633"/>
      <c r="M33" s="1522" t="str">
        <f t="shared" si="2"/>
        <v>(Required)</v>
      </c>
      <c r="O33" s="644" t="str">
        <f>IF(E28="","",VLOOKUP(E28,'LCTOP Project Types'!$B$12:$Q$26,7,0))</f>
        <v/>
      </c>
      <c r="P33" s="641"/>
      <c r="Q33" s="643" t="s">
        <v>83</v>
      </c>
      <c r="R33" s="641"/>
    </row>
    <row r="34" spans="2:18" ht="33.75" customHeight="1" thickBot="1" x14ac:dyDescent="0.35">
      <c r="B34" s="479" t="s">
        <v>84</v>
      </c>
      <c r="C34" s="480" t="s">
        <v>85</v>
      </c>
      <c r="D34" s="611" t="s">
        <v>66</v>
      </c>
      <c r="E34" s="1634" t="str">
        <f>IF(E28="","", IF(E32="","", IF(E33="","", IF(E33-E32&lt;=0,"Useful Life cannot be negative",IF(E33-E32&gt;50,"Useful Life cannot be greater than 50 years",E33-E32)))))</f>
        <v/>
      </c>
      <c r="F34" s="1635"/>
      <c r="G34" s="1558"/>
      <c r="H34" s="1642" t="str">
        <f>IF(H28="","", IF(H32="","", IF(H33="","", IF(H33-H32&lt;=0,"Useful Life cannot be negative", IF(H33-H32&gt;50,"Useful Life cannot be greater than 50 years",H33-H32)))))</f>
        <v/>
      </c>
      <c r="I34" s="1635"/>
      <c r="J34" s="1541"/>
      <c r="K34" s="1635" t="str">
        <f>IF(K28="","", IF(K32="","", IF(K33="","", IF(K33-K32&lt;=0,"Useful Life cannot be negative",IF(K33-K32&gt;50,"Useful Life cannot be greater than 50 years",K33-K32)))))</f>
        <v/>
      </c>
      <c r="L34" s="1635"/>
      <c r="M34" s="1542"/>
      <c r="O34" s="644" t="str">
        <f>IF(E28="","",VLOOKUP(E28,'LCTOP Project Types'!$B$12:$Q$26,8,0))</f>
        <v/>
      </c>
      <c r="P34" s="641"/>
      <c r="Q34" s="643" t="s">
        <v>85</v>
      </c>
      <c r="R34" s="641"/>
    </row>
    <row r="35" spans="2:18" ht="16.5" customHeight="1" thickBot="1" x14ac:dyDescent="0.35">
      <c r="B35" s="612" t="s">
        <v>86</v>
      </c>
      <c r="C35" s="630"/>
      <c r="D35" s="631"/>
      <c r="E35" s="632"/>
      <c r="F35" s="614"/>
      <c r="G35" s="614"/>
      <c r="H35" s="614"/>
      <c r="I35" s="614"/>
      <c r="J35" s="632"/>
      <c r="K35" s="614"/>
      <c r="L35" s="614"/>
      <c r="M35" s="632"/>
      <c r="O35" s="641"/>
      <c r="P35" s="641"/>
      <c r="Q35" s="641"/>
      <c r="R35" s="641"/>
    </row>
    <row r="36" spans="2:18" ht="31" x14ac:dyDescent="0.3">
      <c r="B36" s="628" t="s">
        <v>87</v>
      </c>
      <c r="C36" s="629" t="s">
        <v>41</v>
      </c>
      <c r="D36" s="481" t="s">
        <v>42</v>
      </c>
      <c r="E36" s="482" t="s">
        <v>40</v>
      </c>
      <c r="F36" s="1469" t="s">
        <v>88</v>
      </c>
      <c r="G36" s="1469"/>
      <c r="H36" s="486" t="s">
        <v>40</v>
      </c>
      <c r="I36" s="1490" t="s">
        <v>88</v>
      </c>
      <c r="J36" s="788"/>
      <c r="K36" s="788" t="s">
        <v>40</v>
      </c>
      <c r="L36" s="1469" t="s">
        <v>88</v>
      </c>
      <c r="M36" s="1489"/>
      <c r="O36" s="641"/>
      <c r="P36" s="641"/>
      <c r="Q36" s="641"/>
      <c r="R36" s="641"/>
    </row>
    <row r="37" spans="2:18" ht="33.75" customHeight="1" x14ac:dyDescent="0.35">
      <c r="B37" s="477" t="s">
        <v>89</v>
      </c>
      <c r="C37" s="478" t="s">
        <v>90</v>
      </c>
      <c r="D37" s="609" t="str">
        <f>IF($E$28="","",IF(OR(#REF!=Defaults!$M$2,#REF!=Defaults!$M$3,#REF!= Defaults!$M$2,#REF!=Defaults!$M$3),"Required Input","Not Required"))</f>
        <v/>
      </c>
      <c r="E37" s="1460"/>
      <c r="F37" s="1470"/>
      <c r="G37" s="1525" t="str">
        <f t="shared" ref="G37:G40" si="3">IF(ISBLANK(E37),"(Required)","")</f>
        <v>(Required)</v>
      </c>
      <c r="H37" s="1456"/>
      <c r="I37" s="1482"/>
      <c r="J37" s="1526" t="str">
        <f>IF(ISBLANK(H37),"(Required)","")</f>
        <v>(Required)</v>
      </c>
      <c r="K37" s="1497"/>
      <c r="L37" s="1470"/>
      <c r="M37" s="1526" t="str">
        <f>IF(ISBLANK(K37),"(Required)","")</f>
        <v>(Required)</v>
      </c>
      <c r="O37" s="726" t="str">
        <f>IF(D37="","",IF(D37="Not Required","Not applicable for this project type.","The increase in unlinked passenger trips directly associated with the proposed project in the first year (Yr1)."))</f>
        <v/>
      </c>
      <c r="P37" s="641"/>
      <c r="Q37" s="645" t="s">
        <v>90</v>
      </c>
      <c r="R37" s="784"/>
    </row>
    <row r="38" spans="2:18" ht="63" customHeight="1" x14ac:dyDescent="0.35">
      <c r="B38" s="477" t="s">
        <v>91</v>
      </c>
      <c r="C38" s="478" t="s">
        <v>92</v>
      </c>
      <c r="D38" s="609" t="str">
        <f>IF($E$28="","",IF(OR(#REF!=Defaults!$M$2,#REF!=Defaults!$M$3,#REF!= Defaults!$M$2,#REF!=Defaults!$M$3),"Required Input","Not Required"))</f>
        <v/>
      </c>
      <c r="E38" s="1460"/>
      <c r="F38" s="1470"/>
      <c r="G38" s="1525" t="str">
        <f t="shared" si="3"/>
        <v>(Required)</v>
      </c>
      <c r="H38" s="1456"/>
      <c r="I38" s="1482"/>
      <c r="J38" s="1526" t="str">
        <f>IF(ISBLANK(H38),"(Required)","")</f>
        <v>(Required)</v>
      </c>
      <c r="K38" s="1497"/>
      <c r="L38" s="1470"/>
      <c r="M38" s="1526" t="str">
        <f t="shared" ref="M38:M40" si="4">IF(ISBLANK(K38),"(Required)","")</f>
        <v>(Required)</v>
      </c>
      <c r="O38" s="726" t="str">
        <f>IF(D38="","",IF(D38="Not Required","Not applicable for this project type.","The increase in unlinked passenger trips directly associated with the proposed project in the final year. If the ridership is not expected to change, Yr1 and YrF should be the same value."))</f>
        <v/>
      </c>
      <c r="P38" s="641"/>
      <c r="Q38" s="645" t="s">
        <v>92</v>
      </c>
      <c r="R38" s="784"/>
    </row>
    <row r="39" spans="2:18" ht="80.25" customHeight="1" x14ac:dyDescent="0.35">
      <c r="B39" s="477" t="s">
        <v>93</v>
      </c>
      <c r="C39" s="478" t="s">
        <v>94</v>
      </c>
      <c r="D39" s="609" t="str">
        <f>IF($E$28="","",IF(#REF!=Defaults!$M$4,"Not Required","Required Input"))</f>
        <v/>
      </c>
      <c r="E39" s="1447"/>
      <c r="F39" s="1470"/>
      <c r="G39" s="1525" t="str">
        <f t="shared" si="3"/>
        <v>(Required)</v>
      </c>
      <c r="H39" s="1457"/>
      <c r="I39" s="1482"/>
      <c r="J39" s="1526" t="str">
        <f>IF(ISBLANK(H39),"(Required)","")</f>
        <v>(Required)</v>
      </c>
      <c r="K39" s="1498"/>
      <c r="L39" s="1470"/>
      <c r="M39" s="1526" t="str">
        <f t="shared" si="4"/>
        <v>(Required)</v>
      </c>
      <c r="O39" s="726" t="str">
        <f>IF(D39="","",IF(D39="Not Required","Not applicable for this project type.","Discount factor applied to annual ridership to account for transit-dependent riders. 
Use: Document project-specific data or system average developed from a recent, statistically valid survey or default."))</f>
        <v/>
      </c>
      <c r="P39" s="641"/>
      <c r="Q39" s="645" t="s">
        <v>95</v>
      </c>
      <c r="R39" s="784"/>
    </row>
    <row r="40" spans="2:18" ht="33.75" customHeight="1" x14ac:dyDescent="0.35">
      <c r="B40" s="477" t="s">
        <v>96</v>
      </c>
      <c r="C40" s="478" t="s">
        <v>97</v>
      </c>
      <c r="D40" s="609" t="str">
        <f>IF($E$28="","",IF(OR(#REF!=Defaults!$M$2,#REF!=Defaults!$M$3,#REF!= Defaults!$M$2,#REF!=Defaults!$M$3),"Required Input","Not Required"))</f>
        <v/>
      </c>
      <c r="E40" s="1448"/>
      <c r="F40" s="1470"/>
      <c r="G40" s="1525" t="str">
        <f t="shared" si="3"/>
        <v>(Required)</v>
      </c>
      <c r="H40" s="1458"/>
      <c r="I40" s="1482"/>
      <c r="J40" s="1526" t="str">
        <f>IF(ISBLANK(H40),"(Required)","")</f>
        <v>(Required)</v>
      </c>
      <c r="K40" s="1499"/>
      <c r="L40" s="1470"/>
      <c r="M40" s="1526" t="str">
        <f t="shared" si="4"/>
        <v>(Required)</v>
      </c>
      <c r="N40" s="483"/>
      <c r="O40" s="726" t="str">
        <f>IF(D40="","",IF(D40="Not Required","Not applicable for this project type.","Annual passenger miles over unlinked trips directly associated with the proposed project."))</f>
        <v/>
      </c>
      <c r="P40" s="641"/>
      <c r="Q40" s="645" t="s">
        <v>98</v>
      </c>
      <c r="R40" s="784"/>
    </row>
    <row r="41" spans="2:18" ht="33.75" hidden="1" customHeight="1" x14ac:dyDescent="0.3">
      <c r="B41" s="722" t="s">
        <v>99</v>
      </c>
      <c r="C41" s="633" t="s">
        <v>100</v>
      </c>
      <c r="D41" s="609"/>
      <c r="E41" s="1428"/>
      <c r="F41" s="789"/>
      <c r="G41" s="1471"/>
      <c r="H41" s="1442"/>
      <c r="I41" s="1482"/>
      <c r="J41" s="1444"/>
      <c r="K41" s="1500"/>
      <c r="L41" s="1470"/>
      <c r="M41" s="1444"/>
      <c r="N41" s="483"/>
      <c r="O41" s="640" t="s">
        <v>101</v>
      </c>
      <c r="P41" s="641"/>
      <c r="Q41" s="642" t="s">
        <v>102</v>
      </c>
      <c r="R41" s="642"/>
    </row>
    <row r="42" spans="2:18" ht="33.75" customHeight="1" x14ac:dyDescent="0.35">
      <c r="B42" s="477" t="s">
        <v>103</v>
      </c>
      <c r="C42" s="478" t="s">
        <v>104</v>
      </c>
      <c r="D42" s="611" t="e">
        <f>IF(OR(#REF!=Defaults!$M$2,#REF!=Defaults!$M$3,#REF!=Defaults!$M$2,#REF!=Defaults!$M$3),"Calculated","Not Applicable")</f>
        <v>#REF!</v>
      </c>
      <c r="E42" s="1527" t="str">
        <f ca="1">IF(OR(E$28=Defaults!$M$2,E$28=Defaults!$M$3),IF(VLOOKUP(MID(CELL("filename",E42),FIND("]",CELL("filename",E42))+1,255)&amp;SUBSTITUTE(ADDRESS(1,COLUMN(E42),4),"1",""),'GHG Calcs'!$E$12:$CL$29,MATCH('GHG Calcs'!$Z$11,'GHG Calcs'!$E$11:$CL$11,0),0)="","",IFERROR(VLOOKUP(MID(CELL("filename",E42),FIND("]",CELL("filename",E42))+1,255)&amp;SUBSTITUTE(ADDRESS(1,COLUMN(E42),4),"1",""),'GHG Calcs'!$E$12:$CL$29,MATCH('GHG Calcs'!$Z$11,'GHG Calcs'!$E$11:$CL$11,0),0),"Incomplete Inputs")),"")</f>
        <v/>
      </c>
      <c r="F42" s="1472"/>
      <c r="G42" s="1432"/>
      <c r="H42" s="1528" t="str">
        <f ca="1">IF(OR(H$28=Defaults!$M$2,H$28=Defaults!$M$3),IF(VLOOKUP(MID(CELL("filename",H42),FIND("]",CELL("filename",H42))+1,255)&amp;SUBSTITUTE(ADDRESS(1,COLUMN(H42),4),"1",""),'GHG Calcs'!$E$12:$CL$29,MATCH('GHG Calcs'!$Z$11,'GHG Calcs'!$E$11:$CL$11,0),0)="","",IFERROR(VLOOKUP(MID(CELL("filename",H42),FIND("]",CELL("filename",H42))+1,255)&amp;SUBSTITUTE(ADDRESS(1,COLUMN(H42),4),"1",""),'GHG Calcs'!$E$12:$CL$29,MATCH('GHG Calcs'!$Z$11,'GHG Calcs'!$E$11:$CL$11,0),0),"Incomplete Inputs")),"")</f>
        <v/>
      </c>
      <c r="I42" s="1491"/>
      <c r="J42" s="1445"/>
      <c r="K42" s="1529" t="str">
        <f ca="1">IF(OR(K$28=Defaults!$M$2,K$28=Defaults!$M$3),IF(VLOOKUP(MID(CELL("filename",K42),FIND("]",CELL("filename",K42))+1,255)&amp;SUBSTITUTE(ADDRESS(1,COLUMN(K42),4),"1",""),'GHG Calcs'!$E$12:$CL$29,MATCH('GHG Calcs'!$Z$11,'GHG Calcs'!$E$11:$CL$11,0),0)="","",IFERROR(VLOOKUP(MID(CELL("filename",K42),FIND("]",CELL("filename",K42))+1,255)&amp;SUBSTITUTE(ADDRESS(1,COLUMN(K42),4),"1",""),'GHG Calcs'!$E$12:$CL$29,MATCH('GHG Calcs'!$Z$11,'GHG Calcs'!$E$11:$CL$11,0),0),"Incomplete Inputs")),"")</f>
        <v/>
      </c>
      <c r="L42" s="1502"/>
      <c r="M42" s="1445"/>
      <c r="N42" s="483"/>
      <c r="O42" s="641"/>
      <c r="P42" s="787" t="str">
        <f ca="1">'GHG Calcs'!Z12</f>
        <v/>
      </c>
      <c r="Q42" s="642" t="s">
        <v>38</v>
      </c>
      <c r="R42" s="787" t="e">
        <f ca="1">IF(OR(#REF!=Defaults!$M$2,#REF!=Defaults!$M$3,#REF!=Defaults!$M$2,#REF!=Defaults!$M$3),IF(VLOOKUP(MID(CELL("filename",E$42),FIND("]",CELL("filename",E$42))+1,255)&amp;SUBSTITUTE(ADDRESS(1,COLUMN(E$42),4),"1",""),'GHG Calcs'!$F$12:$CL$12,MATCH('GHG Calcs'!$Z$11,'GHG Calcs'!$F$11:$CL$11,0),0)="","",IFERROR(VLOOKUP(MID(CELL("filename",E$42),FIND("]",CELL("filename",E$42))+1,255)&amp;SUBSTITUTE(ADDRESS(1,COLUMN(E$42),4),"1",""),'GHG Calcs'!$F$12:$CL$12,MATCH('GHG Calcs'!$Z$11,'GHG Calcs'!$F$11:$CL$11,0),0),"Incomplete Inputs")),"")</f>
        <v>#REF!</v>
      </c>
    </row>
    <row r="43" spans="2:18" ht="54" customHeight="1" thickBot="1" x14ac:dyDescent="0.4">
      <c r="B43" s="484" t="s">
        <v>105</v>
      </c>
      <c r="C43" s="485" t="s">
        <v>106</v>
      </c>
      <c r="D43" s="637" t="e">
        <f>IF(OR(#REF!=Defaults!$M$2,#REF!=Defaults!$M$3,#REF!=Defaults!$M$2,#REF!=Defaults!$M$3),"Calculated","Not Applicable")</f>
        <v>#REF!</v>
      </c>
      <c r="E43" s="1530" t="str">
        <f ca="1">IF(OR(E$28=Defaults!$M$2,E$28=Defaults!$M$3),IF(VLOOKUP(MID(CELL("filename",E43),FIND("]",CELL("filename",E43))+1,255)&amp;SUBSTITUTE(ADDRESS(1,COLUMN(E43),4),"1",""),'GHG Calcs'!$E$12:$CL$29,MATCH('GHG Calcs'!$AA$11,'GHG Calcs'!$E$11:$CL$11,0),0)="","",IFERROR(VLOOKUP(MID(CELL("filename",E43),FIND("]",CELL("filename",E43))+1,255)&amp;SUBSTITUTE(ADDRESS(1,COLUMN(E43),4),"1",""),'GHG Calcs'!$E$12:$CL$29,MATCH('GHG Calcs'!$AA$11,'GHG Calcs'!$E$11:$CL$11,0),0),"Incomplete Inputs")),"")</f>
        <v/>
      </c>
      <c r="F43" s="1473"/>
      <c r="G43" s="1433"/>
      <c r="H43" s="1531" t="str">
        <f ca="1">IF(OR(H$28=Defaults!$M$2,H$28=Defaults!$M$3),IF(VLOOKUP(MID(CELL("filename",H43),FIND("]",CELL("filename",H43))+1,255)&amp;SUBSTITUTE(ADDRESS(1,COLUMN(H43),4),"1",""),'GHG Calcs'!$E$12:$CL$29,MATCH('GHG Calcs'!$AA$11,'GHG Calcs'!$E$11:$CL$11,0),0)="","",IFERROR(VLOOKUP(MID(CELL("filename",H43),FIND("]",CELL("filename",H43))+1,255)&amp;SUBSTITUTE(ADDRESS(1,COLUMN(H43),4),"1",""),'GHG Calcs'!$E$12:$CL$29,MATCH('GHG Calcs'!$AA$11,'GHG Calcs'!$E$11:$CL$11,0),0),"Incomplete Inputs")),"")</f>
        <v/>
      </c>
      <c r="I43" s="1492"/>
      <c r="J43" s="1446"/>
      <c r="K43" s="1532" t="str">
        <f ca="1">IF(OR(K$28=Defaults!$M$2,K$28=Defaults!$M$3),IF(VLOOKUP(MID(CELL("filename",K43),FIND("]",CELL("filename",K43))+1,255)&amp;SUBSTITUTE(ADDRESS(1,COLUMN(K43),4),"1",""),'GHG Calcs'!$E$12:$CL$29,MATCH('GHG Calcs'!$AA$11,'GHG Calcs'!$E$11:$CL$11,0),0)="","",IFERROR(VLOOKUP(MID(CELL("filename",K43),FIND("]",CELL("filename",K43))+1,255)&amp;SUBSTITUTE(ADDRESS(1,COLUMN(K43),4),"1",""),'GHG Calcs'!$E$12:$CL$29,MATCH('GHG Calcs'!$AA$11,'GHG Calcs'!$E$11:$CL$11,0),0),"Incomplete Inputs")),"")</f>
        <v/>
      </c>
      <c r="L43" s="1503"/>
      <c r="M43" s="1507"/>
      <c r="N43" s="483"/>
      <c r="O43" s="641"/>
      <c r="P43" s="787" t="str">
        <f ca="1">'GHG Calcs'!AA12</f>
        <v/>
      </c>
      <c r="Q43" s="642" t="s">
        <v>38</v>
      </c>
      <c r="R43" s="787" t="e">
        <f ca="1">IF(OR(#REF!=Defaults!$M$2,#REF!=Defaults!$M$3,#REF!=Defaults!$M$2,#REF!=Defaults!$M$3),IF(VLOOKUP(MID(CELL("filename",E$43),FIND("]",CELL("filename",E$43))+1,255)&amp;SUBSTITUTE(ADDRESS(1,COLUMN(E$43),4),"1",""),'GHG Calcs'!$F$12:$CL$12,MATCH('GHG Calcs'!$Z$11,'GHG Calcs'!$F$11:$CL$11,0),0)="","",IFERROR(VLOOKUP(MID(CELL("filename",E$43),FIND("]",CELL("filename",E$43))+1,255)&amp;SUBSTITUTE(ADDRESS(1,COLUMN(E$43),4),"1",""),'GHG Calcs'!$F$12:$CL$12,MATCH('GHG Calcs'!$AA$11,'GHG Calcs'!$F$11:$CL$11,0),0),"Incomplete Inputs")),"")</f>
        <v>#REF!</v>
      </c>
    </row>
    <row r="44" spans="2:18" ht="16.5" customHeight="1" thickBot="1" x14ac:dyDescent="0.35">
      <c r="B44" s="612" t="s">
        <v>107</v>
      </c>
      <c r="C44" s="630"/>
      <c r="D44" s="631"/>
      <c r="E44" s="632"/>
      <c r="F44" s="614"/>
      <c r="G44" s="632"/>
      <c r="H44" s="614"/>
      <c r="I44" s="1469"/>
      <c r="J44" s="1489"/>
      <c r="K44" s="614"/>
      <c r="L44" s="614"/>
      <c r="M44" s="632"/>
      <c r="O44" s="641"/>
      <c r="P44" s="641"/>
      <c r="Q44" s="641"/>
      <c r="R44" s="641"/>
    </row>
    <row r="45" spans="2:18" ht="31" x14ac:dyDescent="0.3">
      <c r="B45" s="628" t="s">
        <v>108</v>
      </c>
      <c r="C45" s="629" t="s">
        <v>41</v>
      </c>
      <c r="D45" s="481" t="s">
        <v>42</v>
      </c>
      <c r="E45" s="482" t="s">
        <v>40</v>
      </c>
      <c r="F45" s="1469" t="s">
        <v>88</v>
      </c>
      <c r="G45" s="788"/>
      <c r="H45" s="486" t="s">
        <v>40</v>
      </c>
      <c r="I45" s="1469" t="s">
        <v>88</v>
      </c>
      <c r="J45" s="788"/>
      <c r="K45" s="486" t="s">
        <v>40</v>
      </c>
      <c r="L45" s="1490" t="s">
        <v>88</v>
      </c>
      <c r="M45" s="1489"/>
      <c r="N45" s="483"/>
      <c r="O45" s="641"/>
      <c r="P45" s="641"/>
      <c r="Q45" s="641"/>
      <c r="R45" s="641"/>
    </row>
    <row r="46" spans="2:18" ht="33.75" customHeight="1" x14ac:dyDescent="0.3">
      <c r="B46" s="477" t="s">
        <v>109</v>
      </c>
      <c r="C46" s="478" t="s">
        <v>110</v>
      </c>
      <c r="D46" s="611" t="str">
        <f>IF($E$28="","",IF(OR(#REF!=Defaults!$M$2,#REF!=Defaults!$M$4,#REF!= Defaults!$M$2,#REF!=Defaults!$M$4),IF(NOT(E$29=Defaults!$F$2),"Required Input","Not Required"),"Not Required"))</f>
        <v/>
      </c>
      <c r="E46" s="1443"/>
      <c r="F46" s="1474"/>
      <c r="G46" s="1533" t="str">
        <f t="shared" ref="G46:G51" si="5">IF(ISBLANK(E46),"(Required)","")</f>
        <v>(Required)</v>
      </c>
      <c r="H46" s="1459"/>
      <c r="I46" s="1493"/>
      <c r="J46" s="1533" t="str">
        <f t="shared" ref="J46:J51" si="6">IF(ISBLANK(H46),"(Required)","")</f>
        <v>(Required)</v>
      </c>
      <c r="K46" s="1459"/>
      <c r="L46" s="1493"/>
      <c r="M46" s="1533" t="str">
        <f>IF(ISBLANK(K46),"(Required)","")</f>
        <v>(Required)</v>
      </c>
      <c r="N46" s="483"/>
      <c r="O46" s="727" t="str">
        <f>IF($E$28="","",IF(D46="Not Required","Not applicable for this project type.","The vehicle type (e.g., Transit Bus, Streetcar, Ferry, etc.) that will operate the new service or will be procured."))</f>
        <v/>
      </c>
      <c r="P46" s="641"/>
      <c r="Q46" s="478" t="s">
        <v>110</v>
      </c>
      <c r="R46" s="785"/>
    </row>
    <row r="47" spans="2:18" ht="33.75" customHeight="1" x14ac:dyDescent="0.3">
      <c r="B47" s="477" t="s">
        <v>111</v>
      </c>
      <c r="C47" s="478" t="s">
        <v>112</v>
      </c>
      <c r="D47" s="611" t="str">
        <f>IF($E$28="","",IF(AND(OR(#REF!=Defaults!$M$2,#REF!=Defaults!$M$4,#REF!= Defaults!$M$2,#REF!=Defaults!$M$4),NOT(E$29=Defaults!$F$2),E$46=Defaults!$G$5),"Required Input","Not Required"))</f>
        <v/>
      </c>
      <c r="E47" s="1449"/>
      <c r="F47" s="1474"/>
      <c r="G47" s="1533" t="str">
        <f t="shared" si="5"/>
        <v>(Required)</v>
      </c>
      <c r="H47" s="1452"/>
      <c r="I47" s="1493"/>
      <c r="J47" s="1533" t="str">
        <f t="shared" si="6"/>
        <v>(Required)</v>
      </c>
      <c r="K47" s="1452"/>
      <c r="L47" s="1493"/>
      <c r="M47" s="1533" t="str">
        <f t="shared" ref="M47:M54" si="7">IF(ISBLANK(K47),"(Required)","")</f>
        <v>(Required)</v>
      </c>
      <c r="N47" s="483"/>
      <c r="O47" s="727" t="str">
        <f>IF($E$28="","",IF(D47="Not Required","Not applicable for this project type.","The engine tier for the vehicle(s) that will operate the new service."))</f>
        <v/>
      </c>
      <c r="P47" s="641"/>
      <c r="Q47" s="478" t="s">
        <v>112</v>
      </c>
      <c r="R47" s="785"/>
    </row>
    <row r="48" spans="2:18" ht="33.75" customHeight="1" x14ac:dyDescent="0.3">
      <c r="B48" s="477" t="s">
        <v>113</v>
      </c>
      <c r="C48" s="478" t="s">
        <v>114</v>
      </c>
      <c r="D48" s="611" t="str">
        <f>IF($E$28="","",IF(AND(OR(#REF!=Defaults!$M$2,#REF!=Defaults!$M$4,#REF!= Defaults!$M$2,#REF!=Defaults!$M$4),NOT(E$29=Defaults!$F$2),OR(E$46=Defaults!$G$3,E$46=Defaults!$G$4)),"Required Input","Not Required"))</f>
        <v/>
      </c>
      <c r="E48" s="1449"/>
      <c r="F48" s="1474"/>
      <c r="G48" s="1533" t="str">
        <f t="shared" si="5"/>
        <v>(Required)</v>
      </c>
      <c r="H48" s="1452"/>
      <c r="I48" s="1493"/>
      <c r="J48" s="1533" t="str">
        <f t="shared" si="6"/>
        <v>(Required)</v>
      </c>
      <c r="K48" s="1452"/>
      <c r="L48" s="1493"/>
      <c r="M48" s="1533" t="str">
        <f t="shared" si="7"/>
        <v>(Required)</v>
      </c>
      <c r="N48" s="483"/>
      <c r="O48" s="727" t="str">
        <f>IF($E$28="","",IF(D48="Not Required","Not applicable for this project type.","The engine horsepower rating for the vehicle(s) that will operate the new service."))</f>
        <v/>
      </c>
      <c r="P48" s="641"/>
      <c r="Q48" s="478" t="s">
        <v>114</v>
      </c>
      <c r="R48" s="785"/>
    </row>
    <row r="49" spans="2:18" ht="33.75" customHeight="1" x14ac:dyDescent="0.3">
      <c r="B49" s="477" t="s">
        <v>115</v>
      </c>
      <c r="C49" s="478" t="s">
        <v>116</v>
      </c>
      <c r="D49" s="611" t="str">
        <f>IF($E$28="","",IF(OR(#REF!=Defaults!$M$2,#REF!=Defaults!$M$4,#REF!= Defaults!$M$2,#REF!=Defaults!$M$4),IF(NOT(E$29=Defaults!$F$2),"Required Input","Not Required"),"Not Required"))</f>
        <v/>
      </c>
      <c r="E49" s="1449"/>
      <c r="F49" s="1474"/>
      <c r="G49" s="1533" t="str">
        <f t="shared" si="5"/>
        <v>(Required)</v>
      </c>
      <c r="H49" s="1452"/>
      <c r="I49" s="1493"/>
      <c r="J49" s="1533" t="str">
        <f t="shared" si="6"/>
        <v>(Required)</v>
      </c>
      <c r="K49" s="1452"/>
      <c r="L49" s="1493"/>
      <c r="M49" s="1533" t="str">
        <f t="shared" si="7"/>
        <v>(Required)</v>
      </c>
      <c r="N49" s="483"/>
      <c r="O49" s="478" t="str">
        <f>IF($E$28="","",IF(D49="Not Required","Not applicable for this project type.",VLOOKUP($E$28,'LCTOP Project Types'!$B$12:$Q$26,11,0)))</f>
        <v/>
      </c>
      <c r="P49" s="641"/>
      <c r="Q49" s="478" t="s">
        <v>116</v>
      </c>
      <c r="R49" s="785"/>
    </row>
    <row r="50" spans="2:18" ht="47.25" customHeight="1" x14ac:dyDescent="0.3">
      <c r="B50" s="477" t="s">
        <v>117</v>
      </c>
      <c r="C50" s="478" t="s">
        <v>118</v>
      </c>
      <c r="D50" s="611" t="str">
        <f>IF($E$28="","",IF(OR(#REF!=Defaults!$M$2,#REF!=Defaults!$M$4,#REF!= Defaults!$M$2,#REF!=Defaults!$M$4),IF(NOT(E$29=Defaults!$F$2),"Required Input","Not Required"),"Not Required"))</f>
        <v/>
      </c>
      <c r="E50" s="1449"/>
      <c r="F50" s="1474"/>
      <c r="G50" s="1533" t="str">
        <f t="shared" si="5"/>
        <v>(Required)</v>
      </c>
      <c r="H50" s="1461"/>
      <c r="I50" s="1493"/>
      <c r="J50" s="1533" t="str">
        <f t="shared" si="6"/>
        <v>(Required)</v>
      </c>
      <c r="K50" s="1452"/>
      <c r="L50" s="1493"/>
      <c r="M50" s="1533" t="str">
        <f t="shared" si="7"/>
        <v>(Required)</v>
      </c>
      <c r="N50" s="483"/>
      <c r="O50" s="478" t="str">
        <f>IF($E$28="","",IF(D50="Not Required","Not applicable for this project type.",VLOOKUP($E$28,'LCTOP Project Types'!$B$12:$Q$26,10,0)))</f>
        <v/>
      </c>
      <c r="P50" s="641"/>
      <c r="Q50" s="478" t="s">
        <v>118</v>
      </c>
      <c r="R50" s="785"/>
    </row>
    <row r="51" spans="2:18" ht="54.75" customHeight="1" x14ac:dyDescent="0.3">
      <c r="B51" s="477" t="s">
        <v>119</v>
      </c>
      <c r="C51" s="478" t="s">
        <v>120</v>
      </c>
      <c r="D51" s="611" t="str">
        <f>IF($E$28="","",IF(AND(OR(#REF!=Defaults!$M$2,#REF!=Defaults!$M$4,#REF!=Defaults!$M$2,#REF!=Defaults!$M$4),OR(E$46=Defaults!$G$2,E$46=Defaults!$G$3,E$46=Defaults!$G$4,E$46=Defaults!$G$7,E$46=Defaults!$G$9,E$46=Defaults!$G$10)),"Required Input","Not Required"))</f>
        <v/>
      </c>
      <c r="E51" s="1449"/>
      <c r="F51" s="1474"/>
      <c r="G51" s="1533" t="str">
        <f t="shared" si="5"/>
        <v>(Required)</v>
      </c>
      <c r="H51" s="1461"/>
      <c r="I51" s="1493"/>
      <c r="J51" s="1533" t="str">
        <f t="shared" si="6"/>
        <v>(Required)</v>
      </c>
      <c r="K51" s="1452"/>
      <c r="L51" s="1493"/>
      <c r="M51" s="1533" t="str">
        <f t="shared" si="7"/>
        <v>(Required)</v>
      </c>
      <c r="N51" s="483"/>
      <c r="O51" s="478" t="str">
        <f>IF($E$28="","",IF(D51="Not Required","Not applicable for this project type.",VLOOKUP($E$28,'LCTOP Project Types'!$B$12:$Q$26,12,0)))</f>
        <v/>
      </c>
      <c r="P51" s="641"/>
      <c r="Q51" s="478" t="s">
        <v>120</v>
      </c>
      <c r="R51" s="785"/>
    </row>
    <row r="52" spans="2:18" ht="47.25" customHeight="1" x14ac:dyDescent="0.3">
      <c r="B52" s="477" t="s">
        <v>121</v>
      </c>
      <c r="C52" s="478" t="s">
        <v>122</v>
      </c>
      <c r="D52" s="611" t="str">
        <f>IF($E$28="","",IF(AND(OR(#REF!=Defaults!$M$2,#REF!=Defaults!$M$4,#REF!=Defaults!$M$2,#REF!=Defaults!$M$4),NOT(E$29=Defaults!$F$2)),"Optional Input","Not Required"))</f>
        <v/>
      </c>
      <c r="E52" s="1448"/>
      <c r="F52" s="1470"/>
      <c r="G52" s="1526" t="str">
        <f>IF(ISBLANK(E52),"(Optional)","")</f>
        <v>(Optional)</v>
      </c>
      <c r="H52" s="1458"/>
      <c r="I52" s="1482"/>
      <c r="J52" s="1526" t="str">
        <f>IF(ISBLANK(H52),"(Optional)","")</f>
        <v>(Optional)</v>
      </c>
      <c r="K52" s="1458"/>
      <c r="L52" s="1494"/>
      <c r="M52" s="1533" t="str">
        <f>IF(ISBLANK(K52),"(Optional)","")</f>
        <v>(Optional)</v>
      </c>
      <c r="N52" s="483"/>
      <c r="O52" s="478" t="str">
        <f>IF($E$28="","",IF(D52="Not Required","Not applicable for this project type.","If used, applicant must be able to demonstrate an approved carbon intensity value under the Low Carbon Fuel Standard and submit additional documentation."))</f>
        <v/>
      </c>
      <c r="P52" s="641"/>
      <c r="Q52" s="478" t="s">
        <v>123</v>
      </c>
      <c r="R52" s="785"/>
    </row>
    <row r="53" spans="2:18" ht="100.5" customHeight="1" x14ac:dyDescent="0.3">
      <c r="B53" s="477" t="s">
        <v>124</v>
      </c>
      <c r="C53" s="478" t="s">
        <v>125</v>
      </c>
      <c r="D53" s="611" t="str">
        <f>IF($E$28="","",IF(AND(NOT(ISBLANK($E$54)),OR($E$46=Defaults!$G$3,$E$46=Defaults!$G$5,$E$46=Defaults!$G$6,$E$46=Defaults!$G$8)),"Optional",IF(AND(OR(#REF!=Defaults!$M$2,#REF!=Defaults!$M$4,#REF!=Defaults!$M$2,#REF!=Defaults!$M$4),OR(E$46=Defaults!$G$2,E$46=Defaults!$G$3,E$46=Defaults!$G$5,E$46=Defaults!$G$6,E$46=Defaults!$G$7,E$46=Defaults!$G$8,E$46=Defaults!$G$9,E$46=Defaults!$G$10)),"Required Input","Not Required")))</f>
        <v/>
      </c>
      <c r="E53" s="1450"/>
      <c r="F53" s="1470"/>
      <c r="G53" s="1526" t="str">
        <f>IF(ISBLANK(E53),"(Required)","")</f>
        <v>(Required)</v>
      </c>
      <c r="H53" s="1456"/>
      <c r="I53" s="1482"/>
      <c r="J53" s="1526" t="str">
        <f>IF(ISBLANK(H53),"(Required)","")</f>
        <v>(Required)</v>
      </c>
      <c r="K53" s="1456"/>
      <c r="L53" s="1494"/>
      <c r="M53" s="1533" t="str">
        <f t="shared" si="7"/>
        <v>(Required)</v>
      </c>
      <c r="N53" s="483"/>
      <c r="O53" s="478" t="str">
        <f>IF($E$28="","",IF(D53="Not Required","Not applicable for this project type.",VLOOKUP($E$28,'LCTOP Project Types'!$B$12:$Q$26,13,0)))</f>
        <v/>
      </c>
      <c r="P53" s="641"/>
      <c r="Q53" s="478" t="s">
        <v>125</v>
      </c>
      <c r="R53" s="785"/>
    </row>
    <row r="54" spans="2:18" ht="133.5" customHeight="1" thickBot="1" x14ac:dyDescent="0.35">
      <c r="B54" s="479" t="s">
        <v>126</v>
      </c>
      <c r="C54" s="480" t="s">
        <v>127</v>
      </c>
      <c r="D54" s="605" t="str">
        <f>IF($E$28="","",IF(AND(NOT(ISBLANK($E$53)),OR($E$46=Defaults!$G$3,$E$46=Defaults!$G$5,$E$46=Defaults!$G$6,$E$46=Defaults!$G$8)),"Optional",IF(AND(OR(#REF!=Defaults!$M$2,#REF!=Defaults!$M$4,#REF!=Defaults!$M$2,#REF!=Defaults!$M$4),OR(E$46=Defaults!$G$3,E$46=Defaults!$G$4,E$46=Defaults!$G$5,E$46=Defaults!$G$6,E$46=Defaults!$G$8)),"Required Input","Not Required")))</f>
        <v/>
      </c>
      <c r="E54" s="1450"/>
      <c r="F54" s="1471"/>
      <c r="G54" s="1526" t="str">
        <f>IF(ISBLANK(E54),"(Required)","")</f>
        <v>(Required)</v>
      </c>
      <c r="H54" s="1456"/>
      <c r="I54" s="1494"/>
      <c r="J54" s="1526" t="str">
        <f>IF(ISBLANK(H54),"(Required)","")</f>
        <v>(Required)</v>
      </c>
      <c r="K54" s="1456"/>
      <c r="L54" s="1494"/>
      <c r="M54" s="1533" t="str">
        <f t="shared" si="7"/>
        <v>(Required)</v>
      </c>
      <c r="N54" s="483"/>
      <c r="O54" s="480" t="str">
        <f>IF($E$28="","",IF(D54="Not Required","Not applicable for this project type.",VLOOKUP($E$28,'LCTOP Project Types'!$B$12:$Q$26,14,0)))</f>
        <v/>
      </c>
      <c r="P54" s="641"/>
      <c r="Q54" s="480" t="s">
        <v>127</v>
      </c>
      <c r="R54" s="786"/>
    </row>
    <row r="55" spans="2:18" ht="100.5" hidden="1" customHeight="1" thickBot="1" x14ac:dyDescent="0.35">
      <c r="B55" s="477" t="s">
        <v>128</v>
      </c>
      <c r="C55" s="478" t="s">
        <v>129</v>
      </c>
      <c r="D55" s="605" t="str">
        <f>IF($E$28="","",IF(OR($E$49=Defaults!$I$11, $H$49=Defaults!$I$11, $K$49=Defaults!$I$11),"Required Input","Not Required"))</f>
        <v/>
      </c>
      <c r="E55" s="1431"/>
      <c r="F55" s="1475"/>
      <c r="G55" s="1429"/>
      <c r="H55" s="1430"/>
      <c r="I55" s="1495"/>
      <c r="J55" s="1429"/>
      <c r="K55" s="1430"/>
      <c r="L55" s="1495"/>
      <c r="M55" s="1508"/>
      <c r="N55" s="483"/>
      <c r="O55" s="480"/>
      <c r="P55" s="641"/>
      <c r="Q55" s="480"/>
      <c r="R55" s="786"/>
    </row>
    <row r="56" spans="2:18" ht="16.5" customHeight="1" thickBot="1" x14ac:dyDescent="0.35">
      <c r="B56" s="612" t="s">
        <v>130</v>
      </c>
      <c r="C56" s="630"/>
      <c r="D56" s="631"/>
      <c r="E56" s="632"/>
      <c r="F56" s="614"/>
      <c r="G56" s="1489"/>
      <c r="H56" s="486"/>
      <c r="I56" s="1469"/>
      <c r="J56" s="1489"/>
      <c r="K56" s="614"/>
      <c r="L56" s="614"/>
      <c r="M56" s="632"/>
      <c r="O56" s="641"/>
      <c r="P56" s="641"/>
      <c r="Q56" s="641"/>
      <c r="R56" s="641"/>
    </row>
    <row r="57" spans="2:18" ht="31" x14ac:dyDescent="0.3">
      <c r="B57" s="628" t="s">
        <v>131</v>
      </c>
      <c r="C57" s="629" t="s">
        <v>41</v>
      </c>
      <c r="D57" s="481" t="s">
        <v>42</v>
      </c>
      <c r="E57" s="482" t="s">
        <v>40</v>
      </c>
      <c r="F57" s="1469" t="s">
        <v>88</v>
      </c>
      <c r="G57" s="788"/>
      <c r="H57" s="486" t="s">
        <v>40</v>
      </c>
      <c r="I57" s="1469" t="s">
        <v>88</v>
      </c>
      <c r="J57" s="788"/>
      <c r="K57" s="486" t="s">
        <v>40</v>
      </c>
      <c r="L57" s="1490" t="s">
        <v>88</v>
      </c>
      <c r="M57" s="1489"/>
      <c r="N57" s="483"/>
      <c r="O57" s="641"/>
      <c r="P57" s="641"/>
      <c r="Q57" s="641"/>
      <c r="R57" s="641"/>
    </row>
    <row r="58" spans="2:18" ht="33.75" customHeight="1" x14ac:dyDescent="0.3">
      <c r="B58" s="477" t="s">
        <v>109</v>
      </c>
      <c r="C58" s="478" t="s">
        <v>132</v>
      </c>
      <c r="D58" s="611" t="str">
        <f>IF($E$28="","",IF(OR(#REF!=Defaults!$M$4,#REF!=Defaults!$M$4),"Required Input",IF(OR(#REF!=Defaults!$M$2,#REF!=Defaults!$M$2),"Optional Input","Not Required")))</f>
        <v/>
      </c>
      <c r="E58" s="1443"/>
      <c r="F58" s="1476"/>
      <c r="G58" s="1533" t="b">
        <f>IF(ISBLANK(E58),IF(E$28=Defaults!$M$2,"(Optional)",IF(E$28=Defaults!$M$4,"(Required)")),"")</f>
        <v>0</v>
      </c>
      <c r="H58" s="1462"/>
      <c r="I58" s="1494"/>
      <c r="J58" s="1526" t="b">
        <f>IF(ISBLANK(H58),IF(H$28=Defaults!$M$2,"(Optional)",IF(H$28=Defaults!$M$4,"(Required)")),"")</f>
        <v>0</v>
      </c>
      <c r="K58" s="1462"/>
      <c r="L58" s="1494"/>
      <c r="M58" s="1526" t="b">
        <f>IF(ISBLANK(K58),IF(K$28=Defaults!$M$2,"(Optional)",IF(K$28=Defaults!$M$4,"(Required)")),"")</f>
        <v>0</v>
      </c>
      <c r="N58" s="483"/>
      <c r="O58" s="478" t="str">
        <f>IF($E$28="","",IF(D54="Not Required","Not applicable for this project type.","The vehicle type (e.g., Transit Bus, Streetcar, Ferry, etc.) of the baseline vehicle(s)."))</f>
        <v/>
      </c>
      <c r="P58" s="641"/>
      <c r="Q58" s="478" t="s">
        <v>132</v>
      </c>
      <c r="R58" s="785"/>
    </row>
    <row r="59" spans="2:18" ht="33.75" customHeight="1" x14ac:dyDescent="0.3">
      <c r="B59" s="477" t="s">
        <v>111</v>
      </c>
      <c r="C59" s="478" t="s">
        <v>133</v>
      </c>
      <c r="D59" s="611" t="str">
        <f>IF($E$28="","",IF(AND(OR(#REF!=Defaults!$M$2,#REF!=Defaults!$M$4,#REF!= Defaults!$M$2,#REF!=Defaults!$M$4),E$58=Defaults!$G$5),"Required Input","Not Required"))</f>
        <v/>
      </c>
      <c r="E59" s="1449"/>
      <c r="F59" s="1476"/>
      <c r="G59" s="1526" t="str">
        <f t="shared" ref="G59:G63" si="8">IF(ISBLANK(E59),"(Required)","")</f>
        <v>(Required)</v>
      </c>
      <c r="H59" s="1461"/>
      <c r="I59" s="1494"/>
      <c r="J59" s="1526" t="str">
        <f t="shared" ref="J59:J63" si="9">IF(ISBLANK(H59),"(Required)","")</f>
        <v>(Required)</v>
      </c>
      <c r="K59" s="1461"/>
      <c r="L59" s="1494"/>
      <c r="M59" s="1526" t="str">
        <f t="shared" ref="M59:M63" si="10">IF(ISBLANK(K59),"(Required)","")</f>
        <v>(Required)</v>
      </c>
      <c r="N59" s="483"/>
      <c r="O59" s="478"/>
      <c r="P59" s="641"/>
      <c r="Q59" s="478" t="s">
        <v>133</v>
      </c>
      <c r="R59" s="785"/>
    </row>
    <row r="60" spans="2:18" ht="33.75" customHeight="1" x14ac:dyDescent="0.3">
      <c r="B60" s="477" t="s">
        <v>113</v>
      </c>
      <c r="C60" s="478" t="s">
        <v>134</v>
      </c>
      <c r="D60" s="611" t="str">
        <f>IF($E$28="","",IF(AND(OR(#REF!=Defaults!$M$2,#REF!=Defaults!$M$4,#REF!= Defaults!$M$2,#REF!=Defaults!$M$4),OR($E$58=Defaults!$G$3,$E$58=Defaults!$G$4)),"Required Input","Not Required"))</f>
        <v/>
      </c>
      <c r="E60" s="1451"/>
      <c r="F60" s="1476"/>
      <c r="G60" s="1534" t="str">
        <f t="shared" si="8"/>
        <v>(Required)</v>
      </c>
      <c r="H60" s="1463"/>
      <c r="I60" s="1494"/>
      <c r="J60" s="1526" t="str">
        <f t="shared" si="9"/>
        <v>(Required)</v>
      </c>
      <c r="K60" s="1463"/>
      <c r="L60" s="1494"/>
      <c r="M60" s="1526" t="str">
        <f t="shared" si="10"/>
        <v>(Required)</v>
      </c>
      <c r="N60" s="483"/>
      <c r="O60" s="478"/>
      <c r="P60" s="641"/>
      <c r="Q60" s="478" t="s">
        <v>134</v>
      </c>
      <c r="R60" s="785"/>
    </row>
    <row r="61" spans="2:18" ht="33.75" customHeight="1" x14ac:dyDescent="0.3">
      <c r="B61" s="477" t="s">
        <v>115</v>
      </c>
      <c r="C61" s="478" t="s">
        <v>135</v>
      </c>
      <c r="D61" s="605" t="str">
        <f>IF($E$28="","",IF(OR(#REF!=Defaults!$M$4,#REF!=Defaults!$M$4,AND(OR(#REF!=Defaults!$M$2,#REF!=Defaults!$M$2),NOT(ISBLANK(E58)))),"Required Input","Not Required"))</f>
        <v/>
      </c>
      <c r="E61" s="1449"/>
      <c r="F61" s="1476"/>
      <c r="G61" s="1533" t="str">
        <f t="shared" si="8"/>
        <v>(Required)</v>
      </c>
      <c r="H61" s="1461"/>
      <c r="I61" s="1494"/>
      <c r="J61" s="1526" t="str">
        <f t="shared" si="9"/>
        <v>(Required)</v>
      </c>
      <c r="K61" s="1461"/>
      <c r="L61" s="1494"/>
      <c r="M61" s="1526" t="str">
        <f t="shared" si="10"/>
        <v>(Required)</v>
      </c>
      <c r="N61" s="483"/>
      <c r="O61" s="478"/>
      <c r="P61" s="641"/>
      <c r="Q61" s="478" t="s">
        <v>136</v>
      </c>
      <c r="R61" s="785"/>
    </row>
    <row r="62" spans="2:18" ht="33.75" customHeight="1" x14ac:dyDescent="0.3">
      <c r="B62" s="477" t="s">
        <v>117</v>
      </c>
      <c r="C62" s="478" t="s">
        <v>118</v>
      </c>
      <c r="D62" s="611" t="str">
        <f>IF($E$28="","",IF(OR(#REF!=Defaults!$M$4,#REF!=Defaults!$M$4,AND(OR(#REF!=Defaults!$M$2,#REF!=Defaults!$M$2),NOT(ISBLANK(E58)))),"Required Input","Not Required"))</f>
        <v/>
      </c>
      <c r="E62" s="1449"/>
      <c r="F62" s="1476"/>
      <c r="G62" s="1533" t="str">
        <f t="shared" si="8"/>
        <v>(Required)</v>
      </c>
      <c r="H62" s="1461"/>
      <c r="I62" s="1494"/>
      <c r="J62" s="1526" t="str">
        <f t="shared" si="9"/>
        <v>(Required)</v>
      </c>
      <c r="K62" s="1461"/>
      <c r="L62" s="1494"/>
      <c r="M62" s="1526" t="str">
        <f t="shared" si="10"/>
        <v>(Required)</v>
      </c>
      <c r="N62" s="483"/>
      <c r="O62" s="478"/>
      <c r="P62" s="641"/>
      <c r="Q62" s="478"/>
      <c r="R62" s="785"/>
    </row>
    <row r="63" spans="2:18" ht="33.75" customHeight="1" x14ac:dyDescent="0.3">
      <c r="B63" s="477" t="s">
        <v>119</v>
      </c>
      <c r="C63" s="478" t="s">
        <v>137</v>
      </c>
      <c r="D63" s="611" t="str">
        <f>IF($E$28="","",IF(AND(OR(#REF!=Defaults!$M$4,#REF!=Defaults!$M$4,#REF!=Defaults!$M$2,#REF!=Defaults!$M$2),OR(E$58=Defaults!$G$2,E$58=Defaults!$G$3,E$58=Defaults!$G$4,E$58=Defaults!$G$7,E$58=Defaults!$G$9,E$58=Defaults!$G$10)),"Required Input","Not Required"))</f>
        <v/>
      </c>
      <c r="E63" s="1449"/>
      <c r="F63" s="1476"/>
      <c r="G63" s="1533" t="str">
        <f t="shared" si="8"/>
        <v>(Required)</v>
      </c>
      <c r="H63" s="1461"/>
      <c r="I63" s="1494"/>
      <c r="J63" s="1526" t="str">
        <f t="shared" si="9"/>
        <v>(Required)</v>
      </c>
      <c r="K63" s="1461"/>
      <c r="L63" s="1494"/>
      <c r="M63" s="1526" t="str">
        <f t="shared" si="10"/>
        <v>(Required)</v>
      </c>
      <c r="N63" s="483"/>
      <c r="O63" s="478"/>
      <c r="P63" s="641"/>
      <c r="Q63" s="478" t="s">
        <v>138</v>
      </c>
      <c r="R63" s="785"/>
    </row>
    <row r="64" spans="2:18" ht="46.5" x14ac:dyDescent="0.3">
      <c r="B64" s="477" t="s">
        <v>121</v>
      </c>
      <c r="C64" s="478" t="s">
        <v>122</v>
      </c>
      <c r="D64" s="611" t="str">
        <f>IF($E$28="","",IF(OR(#REF!=Defaults!$M$4,#REF!=Defaults!$M$4,AND(OR(#REF!=Defaults!$M$2,#REF!=Defaults!$M$2),NOT(ISBLANK(E58)))),"Optional Input","Not Required"))</f>
        <v/>
      </c>
      <c r="E64" s="1449"/>
      <c r="F64" s="1476"/>
      <c r="G64" s="1534" t="str">
        <f>IF(ISBLANK(E64),"(Optional)","")</f>
        <v>(Optional)</v>
      </c>
      <c r="H64" s="1461"/>
      <c r="I64" s="1494"/>
      <c r="J64" s="1526" t="str">
        <f>IF(ISBLANK(H64),"(Optional)","")</f>
        <v>(Optional)</v>
      </c>
      <c r="K64" s="1461"/>
      <c r="L64" s="1494"/>
      <c r="M64" s="1526" t="str">
        <f>IF(ISBLANK(K64),"(Optional)","")</f>
        <v>(Optional)</v>
      </c>
      <c r="N64" s="483"/>
      <c r="O64" s="478"/>
      <c r="P64" s="641"/>
      <c r="Q64" s="478"/>
      <c r="R64" s="785"/>
    </row>
    <row r="65" spans="2:18" ht="82.5" customHeight="1" x14ac:dyDescent="0.3">
      <c r="B65" s="477" t="s">
        <v>139</v>
      </c>
      <c r="C65" s="478" t="s">
        <v>140</v>
      </c>
      <c r="D65" s="611" t="str">
        <f>IF($E$28="","",IF(AND(NOT(ISBLANK($E$66)),OR($E$58=Defaults!$G$3,$E$58=Defaults!$G$5,$E$58=Defaults!$G$6,$E$58=Defaults!$G$8)),"Optional",IF(AND(OR(#REF!=Defaults!$M$4,#REF!=Defaults!$M$4,#REF!=Defaults!$M$2,#REF!=Defaults!$M$2),OR(E$58=Defaults!$G$2,E$58=Defaults!$G$3,E$58=Defaults!$G$5,E$58=Defaults!$G$6,E$58=Defaults!$G$7,E$58=Defaults!$G$8,E$58=Defaults!$G$9,E$58=Defaults!$G$10)),"Required Input","Not Required")))</f>
        <v/>
      </c>
      <c r="E65" s="1450"/>
      <c r="F65" s="1476"/>
      <c r="G65" s="1533" t="str">
        <f>IF(ISBLANK(E65),"(Required)","")</f>
        <v>(Required)</v>
      </c>
      <c r="H65" s="1456"/>
      <c r="I65" s="1494"/>
      <c r="J65" s="1526" t="str">
        <f>IF(ISBLANK(H65),"(Required)","")</f>
        <v>(Required)</v>
      </c>
      <c r="K65" s="1456"/>
      <c r="L65" s="1494"/>
      <c r="M65" s="1526" t="str">
        <f>IF(ISBLANK(K65),"(Required)","")</f>
        <v>(Required)</v>
      </c>
      <c r="N65" s="483"/>
      <c r="O65" s="478"/>
      <c r="P65" s="641"/>
      <c r="Q65" s="478" t="s">
        <v>140</v>
      </c>
      <c r="R65" s="785"/>
    </row>
    <row r="66" spans="2:18" ht="110.25" customHeight="1" thickBot="1" x14ac:dyDescent="0.35">
      <c r="B66" s="477" t="s">
        <v>141</v>
      </c>
      <c r="C66" s="478" t="s">
        <v>142</v>
      </c>
      <c r="D66" s="605" t="str">
        <f>IF($E$28="","",IF(AND(NOT(ISBLANK($E$65)),OR($E$58=Defaults!$G$3,$E$58=Defaults!$G$5,$E$58=Defaults!$G$6,$E$58=Defaults!$G$8)),"Optional",IF(AND(OR(#REF!=Defaults!$M$2,#REF!=Defaults!$M$4,#REF!=Defaults!$M$2,#REF!=Defaults!$M$4),OR(E$58=Defaults!$G$3,E$58=Defaults!$G$4,E$58=Defaults!$G$5,E$58=Defaults!$G$6,E$58=Defaults!$G$8)),"Required Input","Not Required")))</f>
        <v/>
      </c>
      <c r="E66" s="1450"/>
      <c r="F66" s="1476"/>
      <c r="G66" s="1534" t="str">
        <f>IF(ISBLANK(E66),"(Required)","")</f>
        <v>(Required)</v>
      </c>
      <c r="H66" s="1456"/>
      <c r="I66" s="1494"/>
      <c r="J66" s="1526" t="str">
        <f>IF(ISBLANK(H66),"(Required)","")</f>
        <v>(Required)</v>
      </c>
      <c r="K66" s="1456"/>
      <c r="L66" s="1494"/>
      <c r="M66" s="1535" t="str">
        <f>IF(ISBLANK(K66),"(Required)","")</f>
        <v>(Required)</v>
      </c>
      <c r="N66" s="483"/>
      <c r="O66" s="478"/>
      <c r="P66" s="641"/>
      <c r="Q66" s="478" t="s">
        <v>142</v>
      </c>
      <c r="R66" s="785"/>
    </row>
    <row r="67" spans="2:18" ht="16.5" customHeight="1" thickBot="1" x14ac:dyDescent="0.35">
      <c r="B67" s="612" t="s">
        <v>143</v>
      </c>
      <c r="C67" s="630"/>
      <c r="D67" s="631"/>
      <c r="E67" s="632"/>
      <c r="F67" s="614"/>
      <c r="G67" s="632"/>
      <c r="H67" s="614"/>
      <c r="I67" s="1469"/>
      <c r="J67" s="1489"/>
      <c r="K67" s="614"/>
      <c r="L67" s="614"/>
      <c r="M67" s="1509"/>
      <c r="O67" s="641"/>
      <c r="P67" s="641"/>
      <c r="Q67" s="641"/>
      <c r="R67" s="641"/>
    </row>
    <row r="68" spans="2:18" ht="31" x14ac:dyDescent="0.3">
      <c r="B68" s="628" t="s">
        <v>144</v>
      </c>
      <c r="C68" s="629" t="s">
        <v>41</v>
      </c>
      <c r="D68" s="481" t="s">
        <v>42</v>
      </c>
      <c r="E68" s="482" t="s">
        <v>40</v>
      </c>
      <c r="F68" s="1469" t="s">
        <v>88</v>
      </c>
      <c r="G68" s="788"/>
      <c r="H68" s="486" t="s">
        <v>40</v>
      </c>
      <c r="I68" s="1469" t="s">
        <v>88</v>
      </c>
      <c r="J68" s="788"/>
      <c r="K68" s="486" t="s">
        <v>40</v>
      </c>
      <c r="L68" s="1490" t="s">
        <v>88</v>
      </c>
      <c r="M68" s="1489"/>
      <c r="N68" s="483"/>
      <c r="O68" s="641"/>
      <c r="P68" s="641"/>
      <c r="Q68" s="641"/>
      <c r="R68" s="641"/>
    </row>
    <row r="69" spans="2:18" ht="51.75" customHeight="1" x14ac:dyDescent="0.3">
      <c r="B69" s="477" t="s">
        <v>109</v>
      </c>
      <c r="C69" s="478" t="s">
        <v>145</v>
      </c>
      <c r="D69" s="611" t="str">
        <f>IF($E$28="","",IF(OR(#REF!=Defaults!$M$5,#REF!=Defaults!$M$5),"Required Input",IF(AND(NOT(ISBLANK(E$28)),NOT(OR(#REF!=Defaults!$M$5,#REF!=Defaults!$M$5))),"Optional Input","Not Required")))</f>
        <v/>
      </c>
      <c r="E69" s="1443"/>
      <c r="F69" s="1471"/>
      <c r="G69" s="1526" t="str">
        <f>IF(ISBLANK(E69),IF(E$28=Defaults!$M$5,"(Required)","(Optional)"),"")</f>
        <v>(Optional)</v>
      </c>
      <c r="H69" s="1462"/>
      <c r="I69" s="1494"/>
      <c r="J69" s="1526" t="str">
        <f>IF(ISBLANK(H69),IF(H$28=Defaults!$M$5,"(Required)","(Optional)"),"")</f>
        <v>(Optional)</v>
      </c>
      <c r="K69" s="1462"/>
      <c r="L69" s="1494"/>
      <c r="M69" s="1526" t="str">
        <f>IF(ISBLANK(K69),IF(K$28=Defaults!$M$5,"(Required)","(Optional)"),"")</f>
        <v>(Optional)</v>
      </c>
      <c r="N69" s="483"/>
      <c r="O69" s="478" t="str">
        <f>IF($E$28="","","The vehicle type (e.g., Transit Bus, Streetcar, Ferry, etc.) of the vehicle(s) that will realize fuel/energy reductions as a result of The project.")</f>
        <v/>
      </c>
      <c r="P69" s="641"/>
      <c r="Q69" s="478" t="s">
        <v>145</v>
      </c>
      <c r="R69" s="785"/>
    </row>
    <row r="70" spans="2:18" ht="33.75" customHeight="1" x14ac:dyDescent="0.3">
      <c r="B70" s="477" t="s">
        <v>111</v>
      </c>
      <c r="C70" s="478" t="s">
        <v>146</v>
      </c>
      <c r="D70" s="611" t="str">
        <f>IF($E$28="","",IF(E$69=Defaults!$G$5,"Required Input","Not Required"))</f>
        <v/>
      </c>
      <c r="E70" s="895"/>
      <c r="F70" s="1471"/>
      <c r="G70" s="1521" t="str">
        <f>IF(ISBLANK(E70),"(Required)","")</f>
        <v>(Required)</v>
      </c>
      <c r="H70" s="1464"/>
      <c r="I70" s="1494"/>
      <c r="J70" s="1521" t="str">
        <f>IF(ISBLANK(H70),"(Required)","")</f>
        <v>(Required)</v>
      </c>
      <c r="K70" s="1464"/>
      <c r="L70" s="1494"/>
      <c r="M70" s="1521" t="str">
        <f>IF(ISBLANK(K70),"(Required)","")</f>
        <v>(Required)</v>
      </c>
      <c r="N70" s="483"/>
      <c r="O70" s="478" t="str">
        <f>IF($E$28="","",IF(D70="Not Required","Not applicable for this project type.","The engine tier of the vehicle(s) that will realize fuel/energy reductions as a result of the project."))</f>
        <v/>
      </c>
      <c r="P70" s="641"/>
      <c r="Q70" s="478" t="s">
        <v>146</v>
      </c>
      <c r="R70" s="785"/>
    </row>
    <row r="71" spans="2:18" ht="33.75" customHeight="1" x14ac:dyDescent="0.3">
      <c r="B71" s="477" t="s">
        <v>113</v>
      </c>
      <c r="C71" s="478" t="s">
        <v>147</v>
      </c>
      <c r="D71" s="611" t="str">
        <f>IF($E$28="","",IF(OR(E$69=Defaults!$G$3,E$69=Defaults!$G$4),"Required Input","Not Required"))</f>
        <v/>
      </c>
      <c r="E71" s="895"/>
      <c r="F71" s="1471"/>
      <c r="G71" s="1521" t="str">
        <f>IF(ISBLANK(E71),"(Required)","")</f>
        <v>(Required)</v>
      </c>
      <c r="H71" s="1464"/>
      <c r="I71" s="1494"/>
      <c r="J71" s="1521" t="str">
        <f>IF(ISBLANK(H71),"(Required)","")</f>
        <v>(Required)</v>
      </c>
      <c r="K71" s="1464"/>
      <c r="L71" s="1494"/>
      <c r="M71" s="1521" t="str">
        <f>IF(ISBLANK(K71),"(Required)","")</f>
        <v>(Required)</v>
      </c>
      <c r="N71" s="483"/>
      <c r="O71" s="478" t="str">
        <f>IF($E$28="","",IF(D71="Not Required","Not applicable for this project type.","The engine horsepower rating of the vehicle(s) that will realize fuel/energy reductions as a result of the project."))</f>
        <v/>
      </c>
      <c r="P71" s="641"/>
      <c r="Q71" s="478" t="s">
        <v>147</v>
      </c>
      <c r="R71" s="785"/>
    </row>
    <row r="72" spans="2:18" ht="33.75" customHeight="1" x14ac:dyDescent="0.3">
      <c r="B72" s="477" t="s">
        <v>115</v>
      </c>
      <c r="C72" s="478" t="s">
        <v>148</v>
      </c>
      <c r="D72" s="611" t="str">
        <f>IF($E$28="","",IF(OR(#REF!=Defaults!$M$5,#REF!=Defaults!$M$5,AND(NOT(ISBLANK(E$28)),NOT(ISBLANK(E$69)))),"Required Input","Not Required"))</f>
        <v/>
      </c>
      <c r="E72" s="1449"/>
      <c r="F72" s="1471"/>
      <c r="G72" s="1526" t="str">
        <f>IF(ISBLANK(E72),"(Required)","")</f>
        <v>(Required)</v>
      </c>
      <c r="H72" s="1461"/>
      <c r="I72" s="1494"/>
      <c r="J72" s="1526" t="str">
        <f>IF(ISBLANK(H72),"(Required)","")</f>
        <v>(Required)</v>
      </c>
      <c r="K72" s="1461"/>
      <c r="L72" s="1494"/>
      <c r="M72" s="1526" t="str">
        <f>IF(ISBLANK(K72),"(Required)","")</f>
        <v>(Required)</v>
      </c>
      <c r="N72" s="483"/>
      <c r="O72" s="478" t="str">
        <f>IF($E$28="","",IF(D72="Not Required","Not applicable for this project type.","The fuel/energy type (e.g., diesel, grid electricity, etc.) being reduced as a result of the project."))</f>
        <v/>
      </c>
      <c r="P72" s="641"/>
      <c r="Q72" s="478" t="s">
        <v>149</v>
      </c>
      <c r="R72" s="785"/>
    </row>
    <row r="73" spans="2:18" ht="33.75" customHeight="1" x14ac:dyDescent="0.3">
      <c r="B73" s="477" t="s">
        <v>119</v>
      </c>
      <c r="C73" s="478" t="s">
        <v>150</v>
      </c>
      <c r="D73" s="611" t="str">
        <f>IF($E$28="","",IF(OR(E$69=Defaults!$G$2,E$69=Defaults!$G$3,E$69=Defaults!$G$4,E$69=Defaults!$G$7,E$69=Defaults!$G$9,E$69=Defaults!$G$10),"Required Input","Not Required"))</f>
        <v/>
      </c>
      <c r="E73" s="1449"/>
      <c r="F73" s="1471"/>
      <c r="G73" s="1526" t="str">
        <f>IF(ISBLANK(E73),"(Required)","")</f>
        <v>(Required)</v>
      </c>
      <c r="H73" s="1461"/>
      <c r="I73" s="1494"/>
      <c r="J73" s="1526" t="str">
        <f>IF(ISBLANK(H73),"(Required)","")</f>
        <v>(Required)</v>
      </c>
      <c r="K73" s="1461"/>
      <c r="L73" s="1494"/>
      <c r="M73" s="1526" t="str">
        <f>IF(ISBLANK(K73),"(Required)","")</f>
        <v>(Required)</v>
      </c>
      <c r="N73" s="483"/>
      <c r="O73" s="478" t="str">
        <f>IF($E$28="","",IF(D73="Not Required","Not applicable for this project type.","The average engine model year(s) of the vehicle(s) that will realize fuel/energy reductions as a result of the project."))</f>
        <v/>
      </c>
      <c r="P73" s="641"/>
      <c r="Q73" s="478" t="s">
        <v>151</v>
      </c>
      <c r="R73" s="785"/>
    </row>
    <row r="74" spans="2:18" ht="173.25" customHeight="1" thickBot="1" x14ac:dyDescent="0.35">
      <c r="B74" s="477" t="s">
        <v>152</v>
      </c>
      <c r="C74" s="478" t="s">
        <v>153</v>
      </c>
      <c r="D74" s="605" t="str">
        <f>IF($E$28="","",IF(NOT(ISBLANK(E69)),"Required Input","Not Required"))</f>
        <v/>
      </c>
      <c r="E74" s="1450"/>
      <c r="F74" s="1471"/>
      <c r="G74" s="1526" t="str">
        <f>IF(ISBLANK(E74),"(Required)","")</f>
        <v>(Required)</v>
      </c>
      <c r="H74" s="1456"/>
      <c r="I74" s="1494"/>
      <c r="J74" s="1526" t="str">
        <f>IF(ISBLANK(H74),"(Required)","")</f>
        <v>(Required)</v>
      </c>
      <c r="K74" s="1456"/>
      <c r="L74" s="1494"/>
      <c r="M74" s="1526" t="str">
        <f>IF(ISBLANK(K74),"(Required)","")</f>
        <v>(Required)</v>
      </c>
      <c r="N74" s="483"/>
      <c r="O74" s="478" t="str">
        <f>IF($E$28="","",IF(D74="Not Required","Not applicable for this project type.","The estimated annual fuel/energy reductions expected to be realized as a result of the project.
Units of gallons for biodiesel, diesel, gasoline, LNG, renewable diesel; scf for CNG and renewable natural gas; kWh for electric; kg for hydrogen."&amp;"
For projects that generate renewable electricity using solar photovoltaic panels, applicants should use the PVWatts Calculator to determine this input, available at http://pvwatts.nrel.gov/."))</f>
        <v/>
      </c>
      <c r="P74" s="641"/>
      <c r="Q74" s="478" t="s">
        <v>154</v>
      </c>
      <c r="R74" s="785"/>
    </row>
    <row r="75" spans="2:18" ht="16.5" customHeight="1" thickBot="1" x14ac:dyDescent="0.35">
      <c r="B75" s="612" t="s">
        <v>155</v>
      </c>
      <c r="C75" s="630"/>
      <c r="D75" s="631"/>
      <c r="E75" s="632"/>
      <c r="F75" s="614"/>
      <c r="G75" s="632"/>
      <c r="H75" s="614"/>
      <c r="I75" s="614"/>
      <c r="J75" s="632"/>
      <c r="K75" s="614"/>
      <c r="L75" s="614"/>
      <c r="M75" s="1509"/>
      <c r="O75" s="641"/>
      <c r="P75" s="641"/>
      <c r="Q75" s="641"/>
      <c r="R75" s="641"/>
    </row>
    <row r="76" spans="2:18" ht="31" x14ac:dyDescent="0.3">
      <c r="B76" s="628" t="s">
        <v>156</v>
      </c>
      <c r="C76" s="627" t="s">
        <v>41</v>
      </c>
      <c r="D76" s="626" t="s">
        <v>42</v>
      </c>
      <c r="E76" s="482" t="s">
        <v>40</v>
      </c>
      <c r="F76" s="1469" t="s">
        <v>88</v>
      </c>
      <c r="G76" s="788"/>
      <c r="H76" s="486" t="s">
        <v>40</v>
      </c>
      <c r="I76" s="1490" t="s">
        <v>88</v>
      </c>
      <c r="J76" s="788"/>
      <c r="K76" s="486" t="s">
        <v>40</v>
      </c>
      <c r="L76" s="1490" t="s">
        <v>88</v>
      </c>
      <c r="M76" s="1489"/>
      <c r="O76" s="641"/>
      <c r="P76" s="641"/>
      <c r="Q76" s="641"/>
      <c r="R76" s="641"/>
    </row>
    <row r="77" spans="2:18" ht="47.25" customHeight="1" x14ac:dyDescent="0.35">
      <c r="B77" s="477" t="s">
        <v>157</v>
      </c>
      <c r="C77" s="478" t="s">
        <v>158</v>
      </c>
      <c r="D77" s="605" t="str">
        <f>IF($E$28="","",IF(OR(#REF!=Defaults!$M$3,#REF!= Defaults!$M$3),"Required Input","Not Required"))</f>
        <v/>
      </c>
      <c r="E77" s="1453"/>
      <c r="F77" s="1471"/>
      <c r="G77" s="1526" t="str">
        <f>IF(ISBLANK(E77),"(Optional)","")</f>
        <v>(Optional)</v>
      </c>
      <c r="H77" s="1455"/>
      <c r="I77" s="1494"/>
      <c r="J77" s="1526" t="str">
        <f>IF(ISBLANK(H77),"(Optional)","")</f>
        <v>(Optional)</v>
      </c>
      <c r="K77" s="1455"/>
      <c r="L77" s="1494"/>
      <c r="M77" s="1526" t="str">
        <f>IF(ISBLANK(K77),"(Optional)","")</f>
        <v>(Optional)</v>
      </c>
      <c r="N77" s="463"/>
      <c r="O77" s="478" t="s">
        <v>159</v>
      </c>
      <c r="P77" s="641"/>
      <c r="Q77" s="478" t="s">
        <v>158</v>
      </c>
      <c r="R77" s="785"/>
    </row>
    <row r="78" spans="2:18" ht="47.25" customHeight="1" x14ac:dyDescent="0.35">
      <c r="B78" s="477" t="s">
        <v>160</v>
      </c>
      <c r="C78" s="478" t="s">
        <v>161</v>
      </c>
      <c r="D78" s="605" t="str">
        <f>IF($E$28="","",IF(OR(#REF!=Defaults!$M$2,#REF!= Defaults!$M$3,#REF!= Defaults!$M$2,#REF!= Defaults!$M$3),"Required Input","Not Required"))</f>
        <v/>
      </c>
      <c r="E78" s="1453"/>
      <c r="F78" s="1470"/>
      <c r="G78" s="1526" t="str">
        <f>IF(ISBLANK(E78),"(Optional)","")</f>
        <v>(Optional)</v>
      </c>
      <c r="H78" s="1465"/>
      <c r="I78" s="1482"/>
      <c r="J78" s="1526" t="str">
        <f>IF(ISBLANK(H78),"(Optional)","")</f>
        <v>(Optional)</v>
      </c>
      <c r="K78" s="1465"/>
      <c r="L78" s="1482"/>
      <c r="M78" s="1526" t="str">
        <f t="shared" ref="M78:M81" si="11">IF(ISBLANK(K78),"(Optional)","")</f>
        <v>(Optional)</v>
      </c>
      <c r="N78" s="463"/>
      <c r="O78" s="478" t="str">
        <f>IF($E$28="","",IF(D78="Not Required","Not applicable for this project type.","The new expected average fare cost per trip per rider resulting from the proposed project."))</f>
        <v/>
      </c>
      <c r="P78" s="641"/>
      <c r="Q78" s="478" t="s">
        <v>161</v>
      </c>
      <c r="R78" s="785"/>
    </row>
    <row r="79" spans="2:18" ht="78.75" customHeight="1" x14ac:dyDescent="0.35">
      <c r="B79" s="477" t="s">
        <v>162</v>
      </c>
      <c r="C79" s="478" t="s">
        <v>163</v>
      </c>
      <c r="D79" s="605" t="str">
        <f>IF($E$28="","",IF(OR(#REF!=Defaults!$M$2,#REF!= Defaults!$M$3,#REF!= Defaults!$M$2,#REF!= Defaults!$M$3),"Required Input","Not Required"))</f>
        <v/>
      </c>
      <c r="E79" s="1453"/>
      <c r="F79" s="1470"/>
      <c r="G79" s="1526" t="str">
        <f>IF(ISBLANK(E79),"(Optional)","")</f>
        <v>(Optional)</v>
      </c>
      <c r="H79" s="1465"/>
      <c r="I79" s="1482"/>
      <c r="J79" s="1526" t="str">
        <f>IF(ISBLANK(H79),"(Optional)","")</f>
        <v>(Optional)</v>
      </c>
      <c r="K79" s="1465"/>
      <c r="L79" s="1482"/>
      <c r="M79" s="1526" t="str">
        <f t="shared" si="11"/>
        <v>(Optional)</v>
      </c>
      <c r="N79" s="463"/>
      <c r="O79" s="478" t="str">
        <f>IF($E$28="","",IF(D79="Not Required","Not applicable for this project type.","The average expected cost of parking per trip per rider that riders would pay at the transit facility where the trip originates. "&amp;"Consider that not all transit riders may use the parking. However, the calculations will already take into account that parking is only paid once per round trip."))</f>
        <v/>
      </c>
      <c r="P79" s="641"/>
      <c r="Q79" s="478" t="s">
        <v>164</v>
      </c>
      <c r="R79" s="785"/>
    </row>
    <row r="80" spans="2:18" ht="78.75" customHeight="1" x14ac:dyDescent="0.35">
      <c r="B80" s="477" t="s">
        <v>165</v>
      </c>
      <c r="C80" s="478" t="s">
        <v>166</v>
      </c>
      <c r="D80" s="605" t="str">
        <f>IF($E$28="","",IF(OR(#REF!=Defaults!$M$2,#REF!= Defaults!$M$3,#REF!= Defaults!$M$2,#REF!= Defaults!$M$3),"Required Input","Not Required"))</f>
        <v/>
      </c>
      <c r="E80" s="1453"/>
      <c r="F80" s="1470"/>
      <c r="G80" s="1526" t="str">
        <f>IF(ISBLANK(E80),"(Optional)","")</f>
        <v>(Optional)</v>
      </c>
      <c r="H80" s="1465"/>
      <c r="I80" s="1482"/>
      <c r="J80" s="1526" t="str">
        <f>IF(ISBLANK(H80),"(Optional)","")</f>
        <v>(Optional)</v>
      </c>
      <c r="K80" s="1465"/>
      <c r="L80" s="1482"/>
      <c r="M80" s="1526" t="str">
        <f t="shared" si="11"/>
        <v>(Optional)</v>
      </c>
      <c r="N80" s="463"/>
      <c r="O80" s="478" t="str">
        <f>IF($E$28="","",IF(D80="Not Required","Not applicable for this project type.","The average expected cost of parking per trip per rider  that riders would have otherwise paid if not using the service resulting from the project. "&amp;"The calculations will already take into account that parking is only paid once per round trip."))</f>
        <v/>
      </c>
      <c r="P80" s="641"/>
      <c r="Q80" s="478" t="s">
        <v>166</v>
      </c>
      <c r="R80" s="785"/>
    </row>
    <row r="81" spans="2:18" ht="79.5" customHeight="1" thickBot="1" x14ac:dyDescent="0.4">
      <c r="B81" s="484" t="s">
        <v>167</v>
      </c>
      <c r="C81" s="485" t="s">
        <v>168</v>
      </c>
      <c r="D81" s="605" t="str">
        <f>IF($E$28="","",IF(OR(#REF!=Defaults!$M$2,#REF!= Defaults!$M$3,#REF!= Defaults!$M$2,#REF!= Defaults!$M$3),"Required Input","Not Required"))</f>
        <v/>
      </c>
      <c r="E81" s="1454"/>
      <c r="F81" s="1477"/>
      <c r="G81" s="1535" t="str">
        <f>IF(ISBLANK(E81),"(Optional)","")</f>
        <v>(Optional)</v>
      </c>
      <c r="H81" s="1466"/>
      <c r="I81" s="1496"/>
      <c r="J81" s="1535" t="str">
        <f>IF(ISBLANK(H81),"(Optional)","")</f>
        <v>(Optional)</v>
      </c>
      <c r="K81" s="1466"/>
      <c r="L81" s="1496"/>
      <c r="M81" s="1535" t="str">
        <f t="shared" si="11"/>
        <v>(Optional)</v>
      </c>
      <c r="N81" s="463"/>
      <c r="O81" s="485" t="str">
        <f>IF($E$28="","",IF(D81="Not Required","Not applicable for this project type.","The average expected cost of tolls per trip per rider that riders would have otherwise paid if not using the service resulting from the project. The calculations will already take into account that tolls are only paid once per round trip."))</f>
        <v/>
      </c>
      <c r="P81" s="783"/>
      <c r="Q81" s="485" t="s">
        <v>169</v>
      </c>
      <c r="R81" s="783"/>
    </row>
    <row r="82" spans="2:18" ht="16.5" hidden="1" customHeight="1" thickBot="1" x14ac:dyDescent="0.35">
      <c r="B82" s="612" t="s">
        <v>155</v>
      </c>
      <c r="C82" s="630"/>
      <c r="D82" s="631"/>
      <c r="E82" s="632"/>
      <c r="F82" s="632"/>
      <c r="G82" s="614"/>
      <c r="H82" s="614"/>
      <c r="I82" s="614"/>
      <c r="J82" s="614"/>
      <c r="K82" s="614"/>
      <c r="L82" s="632"/>
      <c r="M82" s="1486"/>
      <c r="O82" s="641"/>
      <c r="P82" s="641"/>
      <c r="Q82" s="642" t="s">
        <v>38</v>
      </c>
      <c r="R82" s="642"/>
    </row>
    <row r="83" spans="2:18" ht="48.5" hidden="1" x14ac:dyDescent="0.35">
      <c r="B83" s="634" t="s">
        <v>170</v>
      </c>
      <c r="C83" s="478" t="s">
        <v>171</v>
      </c>
      <c r="D83" s="636" t="s">
        <v>66</v>
      </c>
      <c r="E83" s="896" t="str">
        <f ca="1">IF('GHG Calcs'!CK12="","Incomplete Inputs",IFERROR('GHG Calcs'!CK12,"Incomplete Inputs"))</f>
        <v>Incomplete Inputs</v>
      </c>
      <c r="F83" s="893"/>
      <c r="G83" s="1478"/>
      <c r="H83" s="878" t="str">
        <f ca="1">IFERROR(VLOOKUP(MID(CELL("filename",H$43),FIND("]",CELL("filename",H$43))+1,255)&amp;SUBSTITUTE(ADDRESS(1,COLUMN(H$43),4),"1",""),'GHG Calcs'!$F$12:$CL$12,MATCH('GHG Calcs'!$CK$11,'GHG Calcs'!$F$11:$CL$11,0),0),"Incomplete Inputs")</f>
        <v>Incomplete Inputs</v>
      </c>
      <c r="I83" s="798"/>
      <c r="J83" s="1483"/>
      <c r="K83" s="800" t="str">
        <f ca="1">IFERROR(VLOOKUP(MID(CELL("filename",K$43),FIND("]",CELL("filename",K$43))+1,255)&amp;SUBSTITUTE(ADDRESS(1,COLUMN(K$43),4),"1",""),'GHG Calcs'!$F$12:$CL$12,MATCH('GHG Calcs'!$CK$11,'GHG Calcs'!$F$11:$CL$11,0),0),"Incomplete Inputs")</f>
        <v>Incomplete Inputs</v>
      </c>
      <c r="L83" s="798"/>
      <c r="M83" s="1487"/>
      <c r="N83" s="483"/>
      <c r="O83" s="641"/>
      <c r="P83" s="787" t="str">
        <f ca="1">IF('GHG Calcs'!CK12="","Incomplete Inputs",IFERROR('GHG Calcs'!CK12,"Incomplete Inputs"))</f>
        <v>Incomplete Inputs</v>
      </c>
      <c r="Q83" s="642" t="s">
        <v>38</v>
      </c>
      <c r="R83" s="787" t="str">
        <f ca="1">IFERROR(VLOOKUP(MID(CELL("filename",E$43),FIND("]",CELL("filename",E$43))+1,255)&amp;SUBSTITUTE(ADDRESS(1,COLUMN(E$43),4),"1",""),'GHG Calcs'!$F$12:$CL$12,MATCH('GHG Calcs'!$CK$11,'GHG Calcs'!$F$11:$CL$11,0),0),"Incomplete Inputs")</f>
        <v>Incomplete Inputs</v>
      </c>
    </row>
    <row r="84" spans="2:18" ht="62" hidden="1" x14ac:dyDescent="0.35">
      <c r="B84" s="477" t="s">
        <v>172</v>
      </c>
      <c r="C84" s="478" t="s">
        <v>173</v>
      </c>
      <c r="D84" s="605" t="s">
        <v>66</v>
      </c>
      <c r="E84" s="899" t="str">
        <f ca="1">IFERROR('GHG Calcs'!CK12*#REF!/#REF!,IF(ISERROR('GHG Calcs'!CK12),"Incomplete Inputs","Incomplete Funding Inputs"))</f>
        <v>Incomplete Funding Inputs</v>
      </c>
      <c r="F84" s="1096"/>
      <c r="G84" s="1479"/>
      <c r="H84" s="1097" t="str">
        <f ca="1">IFERROR(H83*(H17+H21)/H25,IF(ISTEXT(H83),"Incomplete Inputs","Incomplete Funding Inputs"))</f>
        <v>Incomplete Inputs</v>
      </c>
      <c r="I84" s="1098"/>
      <c r="J84" s="1484"/>
      <c r="K84" s="1099" t="str">
        <f ca="1">IFERROR(K83*(K17+K21)/K25,IF(ISTEXT(K83),"Incomplete Inputs","Incomplete Funding Inputs"))</f>
        <v>Incomplete Inputs</v>
      </c>
      <c r="L84" s="1098"/>
      <c r="M84" s="1487"/>
      <c r="N84" s="483"/>
      <c r="O84" s="641"/>
      <c r="P84" s="787" t="str">
        <f ca="1">IFERROR('GHG Calcs'!CK12*#REF!/#REF!,IF(ISERROR('GHG Calcs'!CK12),"Incomplete Inputs","Incomplete Funding Inputs"))</f>
        <v>Incomplete Funding Inputs</v>
      </c>
      <c r="Q84" s="642" t="s">
        <v>38</v>
      </c>
      <c r="R84" s="787" t="str">
        <f ca="1">IFERROR(E83*(E17+E21)/E25,IF(ISTEXT(E83),"Incomplete Inputs","Incomplete Funding Inputs"))</f>
        <v>Incomplete Inputs</v>
      </c>
    </row>
    <row r="85" spans="2:18" ht="78" hidden="1" thickBot="1" x14ac:dyDescent="0.4">
      <c r="B85" s="635" t="s">
        <v>174</v>
      </c>
      <c r="C85" s="898" t="s">
        <v>175</v>
      </c>
      <c r="D85" s="721" t="s">
        <v>66</v>
      </c>
      <c r="E85" s="897" t="str">
        <f ca="1">IFERROR('GHG Calcs'!CK12*#REF!/#REF!,IF(ISERROR('GHG Calcs'!CK12),"Incomplete Inputs","Incomplete Funding Inputs"))</f>
        <v>Incomplete Funding Inputs</v>
      </c>
      <c r="F85" s="894"/>
      <c r="G85" s="1480"/>
      <c r="H85" s="879" t="str">
        <f ca="1">IFERROR(H83*H17/H25,IF(ISTEXT(H83),"Incomplete Inputs","Incomplete Funding Inputs"))</f>
        <v>Incomplete Inputs</v>
      </c>
      <c r="I85" s="799"/>
      <c r="J85" s="1485"/>
      <c r="K85" s="801" t="str">
        <f ca="1">IFERROR(K83*K17/K25,IF(ISTEXT(K83),"Incomplete Inputs","Incomplete Funding Inputs"))</f>
        <v>Incomplete Inputs</v>
      </c>
      <c r="L85" s="799"/>
      <c r="M85" s="1487"/>
      <c r="O85" s="641"/>
      <c r="P85" s="787" t="str">
        <f>IFERROR('GHG Calcs'!#REF!*#REF!/#REF!,IF(ISERROR('GHG Calcs'!#REF!),"Incomplete Inputs","Incomplete Funding Inputs"))</f>
        <v>Incomplete Inputs</v>
      </c>
      <c r="Q85" s="642" t="s">
        <v>38</v>
      </c>
      <c r="R85" s="787" t="str">
        <f ca="1">IFERROR(E84*(E18+E22)/E26,IF(ISTEXT(E84),"Incomplete Inputs","Incomplete Funding Inputs"))</f>
        <v>Incomplete Inputs</v>
      </c>
    </row>
    <row r="86" spans="2:18" ht="15.5" x14ac:dyDescent="0.35">
      <c r="B86" s="463"/>
      <c r="C86" s="463"/>
      <c r="D86" s="463"/>
      <c r="E86" s="463"/>
      <c r="F86" s="463"/>
      <c r="G86" s="463"/>
    </row>
    <row r="87" spans="2:18" ht="15.5" x14ac:dyDescent="0.35">
      <c r="B87" s="463"/>
      <c r="C87" s="463"/>
      <c r="D87" s="463"/>
      <c r="E87" s="463"/>
      <c r="F87" s="463"/>
      <c r="G87" s="463"/>
    </row>
    <row r="88" spans="2:18" ht="15.5" x14ac:dyDescent="0.35">
      <c r="B88" s="463"/>
      <c r="C88" s="463"/>
      <c r="D88" s="463"/>
      <c r="E88" s="463"/>
      <c r="F88" s="463"/>
      <c r="G88" s="463"/>
    </row>
    <row r="89" spans="2:18" ht="15.5" x14ac:dyDescent="0.35">
      <c r="B89" s="463"/>
      <c r="C89" s="463"/>
      <c r="D89" s="463"/>
      <c r="E89" s="463"/>
      <c r="F89" s="463"/>
      <c r="G89" s="463"/>
    </row>
    <row r="90" spans="2:18" ht="15.5" x14ac:dyDescent="0.35">
      <c r="B90" s="463"/>
      <c r="C90" s="463"/>
      <c r="D90" s="463"/>
      <c r="E90" s="463"/>
      <c r="F90" s="463"/>
      <c r="G90" s="463"/>
    </row>
    <row r="91" spans="2:18" ht="15.5" x14ac:dyDescent="0.35">
      <c r="B91" s="463"/>
      <c r="C91" s="463"/>
      <c r="D91" s="463"/>
      <c r="E91" s="463"/>
      <c r="F91" s="463"/>
      <c r="G91" s="463"/>
    </row>
    <row r="92" spans="2:18" ht="15.5" x14ac:dyDescent="0.35">
      <c r="B92" s="463"/>
      <c r="C92" s="463"/>
      <c r="D92" s="463"/>
      <c r="E92" s="463"/>
      <c r="F92" s="463"/>
      <c r="G92" s="463"/>
    </row>
    <row r="93" spans="2:18" ht="15.5" x14ac:dyDescent="0.35">
      <c r="B93" s="463"/>
      <c r="C93" s="463"/>
      <c r="D93" s="463"/>
      <c r="E93" s="463"/>
      <c r="F93" s="463"/>
      <c r="G93" s="463"/>
    </row>
    <row r="94" spans="2:18" ht="15.5" x14ac:dyDescent="0.35">
      <c r="B94" s="463"/>
      <c r="C94" s="463"/>
      <c r="D94" s="463"/>
      <c r="E94" s="463"/>
      <c r="F94" s="463"/>
      <c r="G94" s="463"/>
    </row>
    <row r="95" spans="2:18" ht="15.5" x14ac:dyDescent="0.35">
      <c r="B95" s="463"/>
      <c r="C95" s="463"/>
      <c r="D95" s="463"/>
      <c r="E95" s="463"/>
      <c r="F95" s="463"/>
      <c r="G95" s="463"/>
    </row>
    <row r="96" spans="2:18" ht="15.5" x14ac:dyDescent="0.35">
      <c r="B96" s="463"/>
      <c r="C96" s="463"/>
      <c r="D96" s="463"/>
      <c r="E96" s="463"/>
      <c r="F96" s="463"/>
      <c r="G96" s="463"/>
    </row>
    <row r="97" spans="2:7" ht="15.5" x14ac:dyDescent="0.35">
      <c r="B97" s="463"/>
      <c r="C97" s="463"/>
      <c r="D97" s="463"/>
      <c r="E97" s="463"/>
      <c r="F97" s="463"/>
      <c r="G97" s="463"/>
    </row>
    <row r="98" spans="2:7" ht="15.5" x14ac:dyDescent="0.35">
      <c r="B98" s="463"/>
      <c r="C98" s="463"/>
      <c r="D98" s="463"/>
      <c r="E98" s="463"/>
      <c r="F98" s="463"/>
      <c r="G98" s="463"/>
    </row>
    <row r="99" spans="2:7" ht="15.5" x14ac:dyDescent="0.35">
      <c r="B99" s="463"/>
      <c r="C99" s="463"/>
      <c r="D99" s="463"/>
      <c r="E99" s="463"/>
      <c r="F99" s="463"/>
      <c r="G99" s="463"/>
    </row>
    <row r="100" spans="2:7" ht="15.5" x14ac:dyDescent="0.35">
      <c r="B100" s="463"/>
      <c r="C100" s="463"/>
      <c r="D100" s="463"/>
      <c r="E100" s="463"/>
      <c r="F100" s="463"/>
      <c r="G100" s="463"/>
    </row>
    <row r="101" spans="2:7" ht="15.5" x14ac:dyDescent="0.35">
      <c r="B101" s="463"/>
      <c r="C101" s="463"/>
      <c r="D101" s="463"/>
      <c r="E101" s="463"/>
      <c r="F101" s="463"/>
      <c r="G101" s="463"/>
    </row>
    <row r="102" spans="2:7" ht="15.5" x14ac:dyDescent="0.35">
      <c r="B102" s="463"/>
      <c r="C102" s="463"/>
      <c r="D102" s="463"/>
      <c r="E102" s="463"/>
      <c r="F102" s="463"/>
      <c r="G102" s="463"/>
    </row>
    <row r="103" spans="2:7" ht="15.5" x14ac:dyDescent="0.35">
      <c r="B103" s="463"/>
      <c r="C103" s="463"/>
      <c r="D103" s="463"/>
      <c r="E103" s="463"/>
      <c r="F103" s="463"/>
      <c r="G103" s="463"/>
    </row>
    <row r="104" spans="2:7" ht="15.5" x14ac:dyDescent="0.35">
      <c r="B104" s="463"/>
      <c r="C104" s="463"/>
      <c r="D104" s="463"/>
      <c r="E104" s="463"/>
      <c r="F104" s="463"/>
      <c r="G104" s="463"/>
    </row>
    <row r="105" spans="2:7" ht="15.5" x14ac:dyDescent="0.35">
      <c r="B105" s="463"/>
      <c r="C105" s="463"/>
      <c r="D105" s="463"/>
      <c r="E105" s="463"/>
      <c r="F105" s="463"/>
      <c r="G105" s="463"/>
    </row>
    <row r="106" spans="2:7" ht="15.5" x14ac:dyDescent="0.35">
      <c r="B106" s="463"/>
      <c r="C106" s="463"/>
      <c r="D106" s="463"/>
      <c r="E106" s="463"/>
      <c r="F106" s="463"/>
      <c r="G106" s="463"/>
    </row>
    <row r="107" spans="2:7" ht="15.5" x14ac:dyDescent="0.35">
      <c r="B107" s="463"/>
      <c r="C107" s="463"/>
      <c r="D107" s="463"/>
      <c r="E107" s="463"/>
      <c r="F107" s="463"/>
      <c r="G107" s="463"/>
    </row>
    <row r="108" spans="2:7" ht="15.5" x14ac:dyDescent="0.35">
      <c r="B108" s="463"/>
      <c r="C108" s="463"/>
      <c r="D108" s="463"/>
      <c r="E108" s="463"/>
      <c r="F108" s="463"/>
      <c r="G108" s="463"/>
    </row>
    <row r="109" spans="2:7" ht="15.5" x14ac:dyDescent="0.35">
      <c r="B109" s="463"/>
      <c r="C109" s="463"/>
      <c r="D109" s="463"/>
      <c r="E109" s="463"/>
      <c r="F109" s="463"/>
      <c r="G109" s="463"/>
    </row>
  </sheetData>
  <mergeCells count="48">
    <mergeCell ref="H34:I34"/>
    <mergeCell ref="K28:L28"/>
    <mergeCell ref="K29:L29"/>
    <mergeCell ref="K30:L30"/>
    <mergeCell ref="K31:L31"/>
    <mergeCell ref="K32:L32"/>
    <mergeCell ref="K33:L33"/>
    <mergeCell ref="K34:L34"/>
    <mergeCell ref="E32:F32"/>
    <mergeCell ref="E33:F33"/>
    <mergeCell ref="E34:F34"/>
    <mergeCell ref="H27:I27"/>
    <mergeCell ref="K27:L27"/>
    <mergeCell ref="H28:I28"/>
    <mergeCell ref="H29:I29"/>
    <mergeCell ref="H30:I30"/>
    <mergeCell ref="E27:F27"/>
    <mergeCell ref="E28:F28"/>
    <mergeCell ref="E29:F29"/>
    <mergeCell ref="E30:F30"/>
    <mergeCell ref="E31:F31"/>
    <mergeCell ref="H31:I31"/>
    <mergeCell ref="H32:I32"/>
    <mergeCell ref="H33:I33"/>
    <mergeCell ref="E24:F24"/>
    <mergeCell ref="E25:F25"/>
    <mergeCell ref="H15:I15"/>
    <mergeCell ref="H17:I17"/>
    <mergeCell ref="H18:I18"/>
    <mergeCell ref="H20:I20"/>
    <mergeCell ref="H21:I21"/>
    <mergeCell ref="H23:I23"/>
    <mergeCell ref="H24:I24"/>
    <mergeCell ref="H25:I25"/>
    <mergeCell ref="E15:F15"/>
    <mergeCell ref="E17:F17"/>
    <mergeCell ref="E18:F18"/>
    <mergeCell ref="E20:F20"/>
    <mergeCell ref="E21:F21"/>
    <mergeCell ref="E23:F23"/>
    <mergeCell ref="K24:L24"/>
    <mergeCell ref="K25:L25"/>
    <mergeCell ref="K15:L15"/>
    <mergeCell ref="K17:L17"/>
    <mergeCell ref="K18:L18"/>
    <mergeCell ref="K20:L20"/>
    <mergeCell ref="K21:L21"/>
    <mergeCell ref="K23:L23"/>
  </mergeCells>
  <conditionalFormatting sqref="E41">
    <cfRule type="expression" dxfId="623" priority="121">
      <formula>NOT(OR(E$40="Heavy Rail"))</formula>
    </cfRule>
  </conditionalFormatting>
  <conditionalFormatting sqref="E47">
    <cfRule type="expression" dxfId="621" priority="45">
      <formula>NOT(OR(E$46="Heavy Rail"))</formula>
    </cfRule>
  </conditionalFormatting>
  <conditionalFormatting sqref="E59">
    <cfRule type="expression" dxfId="619" priority="27">
      <formula>NOT(OR(E$58="Heavy Rail"))</formula>
    </cfRule>
  </conditionalFormatting>
  <conditionalFormatting sqref="E70">
    <cfRule type="expression" dxfId="617" priority="124">
      <formula>NOT(OR(E$69="Heavy Rail"))</formula>
    </cfRule>
  </conditionalFormatting>
  <conditionalFormatting sqref="E34:G34">
    <cfRule type="expression" dxfId="613" priority="98">
      <formula>OR($E$32&lt;=$E$31,$E$32-$E$31&gt;50)</formula>
    </cfRule>
  </conditionalFormatting>
  <conditionalFormatting sqref="G47">
    <cfRule type="expression" dxfId="606" priority="38">
      <formula>NOT(OR(E$46="Heavy Rail"))</formula>
    </cfRule>
  </conditionalFormatting>
  <conditionalFormatting sqref="G59 J59 M59">
    <cfRule type="expression" dxfId="597" priority="26">
      <formula>NOT(OR(E$58="Heavy Rail"))</formula>
    </cfRule>
  </conditionalFormatting>
  <conditionalFormatting sqref="G70 J70 M70">
    <cfRule type="expression" dxfId="587" priority="8">
      <formula>NOT(OR(E$69="Heavy Rail"))</formula>
    </cfRule>
  </conditionalFormatting>
  <conditionalFormatting sqref="G73 J73 M73">
    <cfRule type="expression" dxfId="584" priority="5">
      <formula>OR(E$69="Cut-A-Way",E$69="Over-Road Coach",E$69="Transit Bus",E$69="Van",E$69="DMU / EMU")</formula>
    </cfRule>
  </conditionalFormatting>
  <conditionalFormatting sqref="G74 J74 M74">
    <cfRule type="expression" dxfId="583" priority="4">
      <formula>NOT(ISBLANK(E$69))</formula>
    </cfRule>
  </conditionalFormatting>
  <conditionalFormatting sqref="H47">
    <cfRule type="expression" dxfId="580" priority="94">
      <formula>NOT(OR(H$46="Heavy Rail"))</formula>
    </cfRule>
  </conditionalFormatting>
  <conditionalFormatting sqref="H59">
    <cfRule type="expression" dxfId="574" priority="56">
      <formula>NOT(OR(H$58="Heavy Rail"))</formula>
    </cfRule>
  </conditionalFormatting>
  <conditionalFormatting sqref="H70">
    <cfRule type="expression" dxfId="571" priority="119">
      <formula>NOT(OR(H$69="Heavy Rail"))</formula>
    </cfRule>
  </conditionalFormatting>
  <conditionalFormatting sqref="H17:I18 K17:L18 H20:I21 K20:L21 H23:I24 K23:L24 H28:I33 K28:L33">
    <cfRule type="expression" dxfId="567" priority="66">
      <formula>ISBLANK(H$15)</formula>
    </cfRule>
  </conditionalFormatting>
  <conditionalFormatting sqref="H34:J34">
    <cfRule type="expression" dxfId="565" priority="97">
      <formula>OR($H$32&lt;=$H$31,$H$32-$H$31&gt;50)</formula>
    </cfRule>
  </conditionalFormatting>
  <conditionalFormatting sqref="H37:J40">
    <cfRule type="expression" dxfId="564" priority="106">
      <formula>ISBLANK($H$15)</formula>
    </cfRule>
  </conditionalFormatting>
  <conditionalFormatting sqref="H46:J54">
    <cfRule type="expression" dxfId="563" priority="59">
      <formula>ISBLANK($H$15)</formula>
    </cfRule>
  </conditionalFormatting>
  <conditionalFormatting sqref="H58:J66">
    <cfRule type="expression" dxfId="561" priority="51">
      <formula>ISBLANK($H$15)</formula>
    </cfRule>
  </conditionalFormatting>
  <conditionalFormatting sqref="H77:J81">
    <cfRule type="expression" dxfId="559" priority="55">
      <formula>ISBLANK($H$15)</formula>
    </cfRule>
  </conditionalFormatting>
  <conditionalFormatting sqref="J17:J18 M17:M18 J20:J21 M20:M21 J23:J24 M23:M24 J28:J33 M28:M33">
    <cfRule type="expression" dxfId="553" priority="1">
      <formula>ISBLANK(H$15)</formula>
    </cfRule>
  </conditionalFormatting>
  <conditionalFormatting sqref="K47">
    <cfRule type="expression" dxfId="548" priority="108">
      <formula>NOT(OR(K$46="Heavy Rail"))</formula>
    </cfRule>
  </conditionalFormatting>
  <conditionalFormatting sqref="K59">
    <cfRule type="expression" dxfId="544" priority="115">
      <formula>NOT(OR(K$58="Heavy Rail"))</formula>
    </cfRule>
  </conditionalFormatting>
  <conditionalFormatting sqref="K70">
    <cfRule type="expression" dxfId="539" priority="113">
      <formula>NOT(OR(K$69="Heavy Rail"))</formula>
    </cfRule>
  </conditionalFormatting>
  <conditionalFormatting sqref="K73:L73 E73:F73 H73:I73">
    <cfRule type="expression" dxfId="531" priority="114">
      <formula>OR(E$69="Cut-A-Way",E$69="Over-Road Coach",E$69="Transit Bus",E$69="Van",E$69="DMU / EMU")</formula>
    </cfRule>
  </conditionalFormatting>
  <conditionalFormatting sqref="K74:L74 E74:F74 H74:I74">
    <cfRule type="expression" dxfId="530" priority="111">
      <formula>NOT(ISBLANK(E$69))</formula>
    </cfRule>
  </conditionalFormatting>
  <conditionalFormatting sqref="K34:M34">
    <cfRule type="expression" dxfId="529" priority="96">
      <formula>OR($K$32&lt;=$K$31,$K$32-$K$31&gt;50)</formula>
    </cfRule>
  </conditionalFormatting>
  <conditionalFormatting sqref="K37:M40">
    <cfRule type="expression" dxfId="528" priority="99">
      <formula>ISBLANK($K$15)</formula>
    </cfRule>
  </conditionalFormatting>
  <conditionalFormatting sqref="K58:M66">
    <cfRule type="expression" dxfId="527" priority="53">
      <formula>ISBLANK($K$15)</formula>
    </cfRule>
  </conditionalFormatting>
  <conditionalFormatting sqref="K69:M74">
    <cfRule type="expression" dxfId="525" priority="101">
      <formula>ISBLANK($K$15)</formula>
    </cfRule>
  </conditionalFormatting>
  <conditionalFormatting sqref="K77:M81">
    <cfRule type="expression" dxfId="524" priority="102">
      <formula>ISBLANK($K$15)</formula>
    </cfRule>
  </conditionalFormatting>
  <dataValidations xWindow="569" yWindow="489" count="36">
    <dataValidation type="decimal" operator="greaterThanOrEqual" allowBlank="1" showErrorMessage="1" errorTitle="Invalid Input:" error="Value must be greater than 0." sqref="K55 H55 E55" xr:uid="{00000000-0002-0000-0300-000000000000}">
      <formula1>0</formula1>
    </dataValidation>
    <dataValidation type="decimal" operator="greaterThan" allowBlank="1" showInputMessage="1" showErrorMessage="1" errorTitle="Invalid Input:" error="Value must be greater than 0." sqref="E71 H71 K71" xr:uid="{00000000-0002-0000-0300-000001000000}">
      <formula1>0</formula1>
    </dataValidation>
    <dataValidation type="decimal" operator="greaterThanOrEqual" allowBlank="1" showInputMessage="1" showErrorMessage="1" errorTitle="Invalid Input:" error="Value must be greater than 0." sqref="E53 H53 K53" xr:uid="{00000000-0002-0000-0300-000002000000}">
      <formula1>0</formula1>
    </dataValidation>
    <dataValidation type="decimal" operator="greaterThanOrEqual" allowBlank="1" showInputMessage="1" showErrorMessage="1" errorTitle="Invalid Input:" error="Value must be greater than 0." promptTitle="Due to the high variability:" prompt="For rail and ferry vehicles, applicants may provide project-specific information on the estimated annual fuel instead of annual VMT." sqref="H54 E54 E66 K66 H66 K54" xr:uid="{00000000-0002-0000-0300-000003000000}">
      <formula1>0</formula1>
    </dataValidation>
    <dataValidation type="decimal" allowBlank="1" showInputMessage="1" showErrorMessage="1" sqref="E52 H52 K52 E64 H64 K64" xr:uid="{00000000-0002-0000-0300-000004000000}">
      <formula1>-10000000</formula1>
      <formula2>10000000</formula2>
    </dataValidation>
    <dataValidation type="decimal" operator="greaterThan" allowBlank="1" showInputMessage="1" showErrorMessage="1" errorTitle="Invalid Input:" error="Input must be a number greater than 0." sqref="E60 H60 K60" xr:uid="{00000000-0002-0000-0300-000005000000}">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I, Row 47)." sqref="K65" xr:uid="{00000000-0002-0000-0300-000006000000}">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G, Row 47)." sqref="H65" xr:uid="{00000000-0002-0000-0300-000007000000}">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E, Row 47)." sqref="E65" xr:uid="{00000000-0002-0000-0300-000008000000}">
      <formula1>0</formula1>
    </dataValidation>
    <dataValidation type="decimal" operator="greaterThan" allowBlank="1" showInputMessage="1" showErrorMessage="1" sqref="E48 H48 K48" xr:uid="{00000000-0002-0000-0300-000009000000}">
      <formula1>0</formula1>
    </dataValidation>
    <dataValidation type="list" allowBlank="1" showInputMessage="1" showErrorMessage="1" promptTitle="Note:" prompt="Selection locks after fuel type is identified" sqref="E69" xr:uid="{00000000-0002-0000-0300-00000A000000}">
      <formula1>IF($E$72="",vehicletype,"")</formula1>
    </dataValidation>
    <dataValidation type="list" allowBlank="1" showInputMessage="1" showErrorMessage="1" promptTitle="Note:" prompt="Selection locks after fuel type is identified" sqref="H69" xr:uid="{00000000-0002-0000-0300-00000B000000}">
      <formula1>IF($H$72="",vehicletype,"")</formula1>
    </dataValidation>
    <dataValidation type="list" allowBlank="1" showInputMessage="1" showErrorMessage="1" promptTitle="Note:" prompt="Selection locks after fuel type is identified" sqref="H58" xr:uid="{00000000-0002-0000-0300-00000C000000}">
      <formula1>IF($H$61="",vehicletype,"")</formula1>
    </dataValidation>
    <dataValidation type="list" allowBlank="1" showInputMessage="1" showErrorMessage="1" promptTitle="Note:" prompt="Selection locks after fuel type is identified" sqref="E58" xr:uid="{00000000-0002-0000-0300-00000D000000}">
      <formula1>IF($E$61="",vehicletype,"")</formula1>
    </dataValidation>
    <dataValidation type="list" allowBlank="1" showInputMessage="1" showErrorMessage="1" promptTitle="Note:" prompt="Selection locks after fuel type is identified" sqref="K58" xr:uid="{00000000-0002-0000-0300-00000E000000}">
      <formula1>IF($K$61="",vehicletype,"")</formula1>
    </dataValidation>
    <dataValidation type="list" allowBlank="1" showInputMessage="1" showErrorMessage="1" promptTitle="Note:" prompt="Selection locks after fuel type is identified" sqref="K46" xr:uid="{00000000-0002-0000-0300-00000F000000}">
      <formula1>IF($K$49="",vehicletype,"")</formula1>
    </dataValidation>
    <dataValidation type="list" allowBlank="1" showInputMessage="1" showErrorMessage="1" promptTitle="Note:" prompt="Selection locks after fuel type is identified" sqref="H46" xr:uid="{00000000-0002-0000-0300-000010000000}">
      <formula1>IF($H$49="",vehicletype,"")</formula1>
    </dataValidation>
    <dataValidation type="list" allowBlank="1" showInputMessage="1" showErrorMessage="1" promptTitle="Note:" prompt="Selection locks after fuel type is identified" sqref="E46" xr:uid="{00000000-0002-0000-0300-000011000000}">
      <formula1>IF($E$49="",vehicletype,"")</formula1>
    </dataValidation>
    <dataValidation type="custom" allowBlank="1" showInputMessage="1" showErrorMessage="1" promptTitle="If unknown, use look up tables:" prompt="Quantification Methodlogy Appendix C includes look up tables by agency by mode, Table C-1, and by statewide average by mode, Table C-2." sqref="H41 K41" xr:uid="{00000000-0002-0000-0300-000012000000}">
      <formula1>IF(OR(H$28=$T$53,H$28=$T$54),H41&gt;0," ")</formula1>
    </dataValidation>
    <dataValidation type="list" allowBlank="1" showInputMessage="1" showErrorMessage="1" sqref="H63 E63 K63" xr:uid="{00000000-0002-0000-0300-000013000000}">
      <formula1>IF(OR(ISBLANK(E32),E32&gt;2030),NMY,INDIRECT("'"&amp;"Defaults"&amp;"'!"&amp;"A"&amp;-E32+2032&amp;":A61"))</formula1>
    </dataValidation>
    <dataValidation type="list" allowBlank="1" showInputMessage="1" showErrorMessage="1" sqref="E51 H51 K51" xr:uid="{00000000-0002-0000-0300-000014000000}">
      <formula1>IF(OR(ISBLANK(E32),E32&gt;2030),NMY,INDIRECT("'"&amp;"Defaults"&amp;"'!"&amp;"A"&amp;-E32+2032&amp;":A61"))</formula1>
    </dataValidation>
    <dataValidation allowBlank="1" showInputMessage="1" showErrorMessage="1" errorTitle="Not a Required Field:" error="Select a project type above that makes this input a required field." promptTitle="Default:" prompt="Average bridge toll cost of $5 per trip for passenger vehicles." sqref="E81 H81 K81" xr:uid="{00000000-0002-0000-0300-000015000000}"/>
    <dataValidation allowBlank="1" showInputMessage="1" showErrorMessage="1" errorTitle="Not a Required Field:" error="Select a project type above that makes this input a required field." promptTitle="Default:" prompt="Statewide averages of $11.13 per day for weekday trips, $3.00 per day for weekend trips." sqref="E80 H80 K80" xr:uid="{00000000-0002-0000-0300-000016000000}"/>
    <dataValidation allowBlank="1" showInputMessage="1" showErrorMessage="1" errorTitle="Not a Required Field:" error="Select a project type above that makes this input a required field." promptTitle="Default:" prompt="Statewide average of $3 per day." sqref="E79 H79 K79" xr:uid="{00000000-0002-0000-0300-000017000000}"/>
    <dataValidation type="custom" allowBlank="1" showInputMessage="1" showErrorMessage="1" errorTitle="Lower Standard Fare Cost" error="To enter Reduced Fare Cost, need to enter a current Standard Fare Cost that is higher than the Reduced Fare Cost." promptTitle="Use:" prompt="Must first enter a value for Average Standard Fare Cost." sqref="E78 H78 K78" xr:uid="{00000000-0002-0000-0300-000018000000}">
      <formula1>AND(NOT(ISBLANK(E77)), E78&lt;E77)</formula1>
    </dataValidation>
    <dataValidation type="decimal" operator="greaterThanOrEqual" allowBlank="1" showInputMessage="1" showErrorMessage="1" sqref="E74 K74 H74" xr:uid="{00000000-0002-0000-0300-000019000000}">
      <formula1>0</formula1>
    </dataValidation>
    <dataValidation allowBlank="1" showInputMessage="1" showErrorMessage="1" promptTitle="Use the same ID :" prompt="For components that are not separable (i.e., one cannot happen wihout the other), use the same ID in each component tab used." sqref="E15 H15 K15" xr:uid="{00000000-0002-0000-0300-00001A000000}"/>
    <dataValidation allowBlank="1" showErrorMessage="1" sqref="E17:E18 H17:H18 K17:K18" xr:uid="{00000000-0002-0000-0300-00001B000000}"/>
    <dataValidation allowBlank="1" showInputMessage="1" showErrorMessage="1" promptTitle="Leave blank if," prompt="No additional GGRF funding has or will be requested from another CCI Program for this project." sqref="K21 E24 E21 H21 H24 K24" xr:uid="{00000000-0002-0000-0300-00001C000000}"/>
    <dataValidation type="list" allowBlank="1" showInputMessage="1" showErrorMessage="1" sqref="E32 H32 K32" xr:uid="{00000000-0002-0000-0300-00001D000000}">
      <formula1>CY</formula1>
    </dataValidation>
    <dataValidation type="list" allowBlank="1" showInputMessage="1" showErrorMessage="1" promptTitle="Note:" prompt="Selection locks after fuel type is identified" sqref="K69" xr:uid="{00000000-0002-0000-0300-00001E000000}">
      <formula1>IF($K$72="",vehicletype,"")</formula1>
    </dataValidation>
    <dataValidation type="list" allowBlank="1" showInputMessage="1" showErrorMessage="1" sqref="K73 H73 E73" xr:uid="{00000000-0002-0000-0300-00001F000000}">
      <formula1>IF(OR(ISBLANK(E32),E32&gt;2030),NMY,INDIRECT("'"&amp;"Defaults"&amp;"'!"&amp;"A"&amp;-E32+2032&amp;":A61"))</formula1>
    </dataValidation>
    <dataValidation type="list" allowBlank="1" showInputMessage="1" showErrorMessage="1" sqref="E30 H30 K30" xr:uid="{00000000-0002-0000-0300-000021000000}">
      <formula1>region</formula1>
    </dataValidation>
    <dataValidation type="list" allowBlank="1" showInputMessage="1" showErrorMessage="1" promptTitle="Note:" prompt="Must first select the type of region." sqref="K31 E31 H31" xr:uid="{00000000-0002-0000-0300-000022000000}">
      <formula1>IF(E$30="","",IF(E$30="County",cnty,basin))</formula1>
    </dataValidation>
    <dataValidation type="list" allowBlank="1" showInputMessage="1" showErrorMessage="1" sqref="E28:F28 H28:I28 K28:L28" xr:uid="{5F96DD79-B067-4751-9600-C2C3048A0A64}">
      <formula1>projtype</formula1>
    </dataValidation>
    <dataValidation type="textLength" allowBlank="1" showInputMessage="1" showErrorMessage="1" sqref="C11" xr:uid="{81A3DA98-6C4C-4FEF-8E32-71871BB85801}">
      <formula1>0</formula1>
      <formula2>200</formula2>
    </dataValidation>
  </dataValidations>
  <pageMargins left="0.7" right="0.7" top="0.75" bottom="0.75" header="0.3" footer="0.3"/>
  <pageSetup scale="26" fitToHeight="0" orientation="portrait" r:id="rId1"/>
  <headerFooter>
    <oddHeader>&amp;C&amp;12
&amp;G</oddHeader>
    <oddFooter>&amp;L&amp;"Avenir LT Std 55 Roman,Regular"&amp;12DRAFT September 13, 2019&amp;C&amp;"Avenir LT Std 55 Roman,Regular"&amp;12&amp;P of &amp;N&amp;R&amp;"Avenir LT Std 55 Roman,Regular"&amp;12&amp;A</oddFooter>
  </headerFooter>
  <rowBreaks count="1" manualBreakCount="1">
    <brk id="66" min="1" max="9" man="1"/>
  </rowBreaks>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41" id="{996EF103-7A46-4EE8-9CDC-78FE6CE87DC1}">
            <xm:f>OR(E$28=Defaults!$M$2,E$28=Defaults!$M$3)</xm:f>
            <x14:dxf>
              <fill>
                <patternFill>
                  <bgColor theme="9" tint="0.79998168889431442"/>
                </patternFill>
              </fill>
            </x14:dxf>
          </x14:cfRule>
          <xm:sqref>E37:E40 H37:H40 K37:K40</xm:sqref>
        </x14:conditionalFormatting>
        <x14:conditionalFormatting xmlns:xm="http://schemas.microsoft.com/office/excel/2006/main">
          <x14:cfRule type="expression" priority="42" id="{22D2713E-E54D-4C38-942A-AD3FD1BF81D2}">
            <xm:f>OR(E$28=Defaults!$M$2,E$28=Defaults!$M$4)</xm:f>
            <x14:dxf>
              <fill>
                <patternFill>
                  <bgColor theme="9" tint="0.79998168889431442"/>
                </patternFill>
              </fill>
            </x14:dxf>
          </x14:cfRule>
          <xm:sqref>E46 H46 K46 E49:F50 H49:I50 K49:L50</xm:sqref>
        </x14:conditionalFormatting>
        <x14:conditionalFormatting xmlns:xm="http://schemas.microsoft.com/office/excel/2006/main">
          <x14:cfRule type="expression" priority="72" id="{368216C9-6768-4CC4-ACB2-01C624CF5465}">
            <xm:f>NOT(OR($E$46=Defaults!$G$3,$E$46=Defaults!$G$4))</xm:f>
            <x14:dxf>
              <font>
                <color rgb="FFFF0000"/>
              </font>
              <fill>
                <patternFill>
                  <bgColor theme="1"/>
                </patternFill>
              </fill>
            </x14:dxf>
          </x14:cfRule>
          <xm:sqref>E48</xm:sqref>
        </x14:conditionalFormatting>
        <x14:conditionalFormatting xmlns:xm="http://schemas.microsoft.com/office/excel/2006/main">
          <x14:cfRule type="expression" priority="92" id="{34A19640-9C7C-4751-BE5D-0BCCC9EEDEE5}">
            <xm:f>NOT(OR($E$58=Defaults!$G$3,$E$58=Defaults!$G$4))</xm:f>
            <x14:dxf>
              <font>
                <color rgb="FFFF0000"/>
              </font>
              <fill>
                <patternFill>
                  <bgColor theme="1"/>
                </patternFill>
              </fill>
            </x14:dxf>
          </x14:cfRule>
          <xm:sqref>E60</xm:sqref>
        </x14:conditionalFormatting>
        <x14:conditionalFormatting xmlns:xm="http://schemas.microsoft.com/office/excel/2006/main">
          <x14:cfRule type="expression" priority="52" id="{172A1905-3BB9-4EA5-AEFE-9E286DFEBB00}">
            <xm:f>NOT(OR($E$69=Defaults!$G$3,$E$69=Defaults!$G$4))</xm:f>
            <x14:dxf>
              <font>
                <color rgb="FFFF0000"/>
              </font>
              <fill>
                <patternFill>
                  <bgColor theme="1"/>
                </patternFill>
              </fill>
            </x14:dxf>
          </x14:cfRule>
          <xm:sqref>E71</xm:sqref>
        </x14:conditionalFormatting>
        <x14:conditionalFormatting xmlns:xm="http://schemas.microsoft.com/office/excel/2006/main">
          <x14:cfRule type="expression" priority="49" id="{98A57902-D71F-429B-A3F4-774CF201F399}">
            <xm:f>AND(NOT(ISBLANK($E$54)),OR($E$46=Defaults!$G$3,$E$46=Defaults!$G$5,$E$46=Defaults!$G$6,$E$46=Defaults!$G$8))</xm:f>
            <x14:dxf>
              <fill>
                <patternFill>
                  <bgColor theme="4" tint="0.59996337778862885"/>
                </patternFill>
              </fill>
            </x14:dxf>
          </x14:cfRule>
          <xm:sqref>E53:F53</xm:sqref>
        </x14:conditionalFormatting>
        <x14:conditionalFormatting xmlns:xm="http://schemas.microsoft.com/office/excel/2006/main">
          <x14:cfRule type="expression" priority="67" id="{B4FF63AB-F677-49F4-80BE-7C943DF3C8C2}">
            <xm:f>OR(E$28=Defaults!$M$2, E$28=Defaults!$M$3, E$28=Defaults!$M$4)</xm:f>
            <x14:dxf>
              <fill>
                <patternFill>
                  <bgColor theme="4" tint="0.59996337778862885"/>
                </patternFill>
              </fill>
            </x14:dxf>
          </x14:cfRule>
          <xm:sqref>E69:F69 H69:I69 K69:L69</xm:sqref>
        </x14:conditionalFormatting>
        <x14:conditionalFormatting xmlns:xm="http://schemas.microsoft.com/office/excel/2006/main">
          <x14:cfRule type="expression" priority="31" id="{C0B78A7E-AA95-435F-9E1F-3E40C7401F09}">
            <xm:f>AND(NOT(ISBLANK($E$53)),OR($E$46=Defaults!$G$3,$E$46=Defaults!$G$5,$E$46=Defaults!$G$6,$E$46=Defaults!$G$8))</xm:f>
            <x14:dxf>
              <fill>
                <patternFill>
                  <bgColor theme="4" tint="0.59996337778862885"/>
                </patternFill>
              </fill>
            </x14:dxf>
          </x14:cfRule>
          <xm:sqref>E54:G54</xm:sqref>
        </x14:conditionalFormatting>
        <x14:conditionalFormatting xmlns:xm="http://schemas.microsoft.com/office/excel/2006/main">
          <x14:cfRule type="expression" priority="12" id="{C2E240A5-24E1-4E25-ABCA-5085E29E99F3}">
            <xm:f>AND(NOT(ISBLANK($E$66)),OR($E$58=Defaults!$G$3,$E$58=Defaults!$G$5,$E$58=Defaults!$G$6,$E$58=Defaults!$G$8))</xm:f>
            <x14:dxf>
              <fill>
                <patternFill>
                  <bgColor theme="4" tint="0.59996337778862885"/>
                </patternFill>
              </fill>
            </x14:dxf>
          </x14:cfRule>
          <xm:sqref>E65:G65</xm:sqref>
        </x14:conditionalFormatting>
        <x14:conditionalFormatting xmlns:xm="http://schemas.microsoft.com/office/excel/2006/main">
          <x14:cfRule type="expression" priority="18" id="{C039DDC7-C124-4C06-8FD2-3FDD0B0358A1}">
            <xm:f>AND(NOT(ISBLANK($E$65)),OR($E$58=Defaults!$G$3,$E$58=Defaults!$G$5,$E$58=Defaults!$G$6,$E$58=Defaults!$G$8))</xm:f>
            <x14:dxf>
              <fill>
                <patternFill>
                  <bgColor theme="4" tint="0.59996337778862885"/>
                </patternFill>
              </fill>
            </x14:dxf>
          </x14:cfRule>
          <xm:sqref>E66:G66 J66 M66</xm:sqref>
        </x14:conditionalFormatting>
        <x14:conditionalFormatting xmlns:xm="http://schemas.microsoft.com/office/excel/2006/main">
          <x14:cfRule type="expression" priority="71" id="{DBD3495C-A0F4-46F3-8FDB-C9D2221A4A59}">
            <xm:f>OR(E$28=Defaults!$M$2,E$28=Defaults!$M$3)</xm:f>
            <x14:dxf>
              <fill>
                <patternFill>
                  <bgColor theme="9" tint="0.79998168889431442"/>
                </patternFill>
              </fill>
            </x14:dxf>
          </x14:cfRule>
          <xm:sqref>F37:F40 I37:I40 L37:L40</xm:sqref>
        </x14:conditionalFormatting>
        <x14:conditionalFormatting xmlns:xm="http://schemas.microsoft.com/office/excel/2006/main">
          <x14:cfRule type="expression" priority="40" id="{72599CCC-1271-4B12-A181-DE365E87D814}">
            <xm:f>OR(E$28=Defaults!$M$2,E$28=Defaults!$M$3)</xm:f>
            <x14:dxf>
              <fill>
                <patternFill>
                  <bgColor theme="9" tint="0.79998168889431442"/>
                </patternFill>
              </fill>
            </x14:dxf>
          </x14:cfRule>
          <xm:sqref>G37:G40 J37:J40 M37:M40</xm:sqref>
        </x14:conditionalFormatting>
        <x14:conditionalFormatting xmlns:xm="http://schemas.microsoft.com/office/excel/2006/main">
          <x14:cfRule type="expression" priority="33" id="{AEF806BC-AAB2-49A8-8E86-D4E0C99FA975}">
            <xm:f>OR(E$28=Defaults!$M$2,E$28=Defaults!$M$4)</xm:f>
            <x14:dxf>
              <fill>
                <patternFill>
                  <bgColor theme="9" tint="0.79998168889431442"/>
                </patternFill>
              </fill>
            </x14:dxf>
          </x14:cfRule>
          <xm:sqref>G46 J46 M46</xm:sqref>
        </x14:conditionalFormatting>
        <x14:conditionalFormatting xmlns:xm="http://schemas.microsoft.com/office/excel/2006/main">
          <x14:cfRule type="expression" priority="37" id="{EAAE7FF5-509D-4021-8D3E-D5E15A6D4B7F}">
            <xm:f>OR(E$28=Defaults!$M$4)</xm:f>
            <x14:dxf>
              <fill>
                <patternFill>
                  <bgColor theme="9" tint="0.79998168889431442"/>
                </patternFill>
              </fill>
            </x14:dxf>
          </x14:cfRule>
          <xm:sqref>G47:G48 J47:J48 M47:M48</xm:sqref>
        </x14:conditionalFormatting>
        <x14:conditionalFormatting xmlns:xm="http://schemas.microsoft.com/office/excel/2006/main">
          <x14:cfRule type="expression" priority="39" id="{AD5DA4AB-5A7F-4A51-9093-39D9794C8196}">
            <xm:f>NOT(OR($E$46=Defaults!$G$3,$E$46=Defaults!$G$4))</xm:f>
            <x14:dxf>
              <font>
                <color auto="1"/>
              </font>
              <fill>
                <patternFill>
                  <bgColor theme="1"/>
                </patternFill>
              </fill>
            </x14:dxf>
          </x14:cfRule>
          <xm:sqref>G48</xm:sqref>
        </x14:conditionalFormatting>
        <x14:conditionalFormatting xmlns:xm="http://schemas.microsoft.com/office/excel/2006/main">
          <x14:cfRule type="expression" priority="36" id="{A9D0887E-890F-494A-8752-8B11C564FFD2}">
            <xm:f>OR(E$28=Defaults!$M$2,E$28=Defaults!$M$4)</xm:f>
            <x14:dxf>
              <fill>
                <patternFill>
                  <bgColor theme="9" tint="0.79998168889431442"/>
                </patternFill>
              </fill>
            </x14:dxf>
          </x14:cfRule>
          <xm:sqref>G49:G50 J49:J50 M49:M50</xm:sqref>
        </x14:conditionalFormatting>
        <x14:conditionalFormatting xmlns:xm="http://schemas.microsoft.com/office/excel/2006/main">
          <x14:cfRule type="expression" priority="35" id="{2EECAAC4-2E89-42B8-802F-8556F04AF947}">
            <xm:f>AND(OR(E$28=Defaults!$M$2,E$28=Defaults!$M$4),OR(E$46="Cut-A-Way",E$46="Over-Road Coach",E$46="Transit Bus",E$46="Van",E$46="Ferry",E$46="DMU / EMU"))</xm:f>
            <x14:dxf>
              <fill>
                <patternFill>
                  <bgColor theme="9" tint="0.79998168889431442"/>
                </patternFill>
              </fill>
            </x14:dxf>
          </x14:cfRule>
          <xm:sqref>G51 J51 M51</xm:sqref>
        </x14:conditionalFormatting>
        <x14:conditionalFormatting xmlns:xm="http://schemas.microsoft.com/office/excel/2006/main">
          <x14:cfRule type="expression" priority="34" id="{FA05525F-AE81-42B3-9032-81E0D85C97C5}">
            <xm:f>OR(E$28=Defaults!$M$2,E$28=Defaults!$M$4)</xm:f>
            <x14:dxf>
              <fill>
                <patternFill>
                  <bgColor theme="4" tint="0.59996337778862885"/>
                </patternFill>
              </fill>
            </x14:dxf>
          </x14:cfRule>
          <xm:sqref>G52 J52 M52</xm:sqref>
        </x14:conditionalFormatting>
        <x14:conditionalFormatting xmlns:xm="http://schemas.microsoft.com/office/excel/2006/main">
          <x14:cfRule type="expression" priority="32" id="{BC58D138-337E-4CFD-AA54-D2FA1E764700}">
            <xm:f>AND(OR(E$28=Defaults!$M$2,E$28=Defaults!$M$4),OR(E$46="Cut-A-Way",E$46="Heavy Rail",E$46="Light Rail",E$46="Over-Road Coach",E$46="Streetcar",E$46="Transit Bus",E$46="Van",E$46="DMU / EMU"))</xm:f>
            <x14:dxf>
              <fill>
                <patternFill>
                  <bgColor theme="9" tint="0.79998168889431442"/>
                </patternFill>
              </fill>
            </x14:dxf>
          </x14:cfRule>
          <xm:sqref>G53 J53 M53</xm:sqref>
        </x14:conditionalFormatting>
        <x14:conditionalFormatting xmlns:xm="http://schemas.microsoft.com/office/excel/2006/main">
          <x14:cfRule type="expression" priority="11" id="{775CE472-9C91-4A64-BF16-043ADB53D9D9}">
            <xm:f>E$28=Defaults!$M$2</xm:f>
            <x14:dxf>
              <fill>
                <patternFill>
                  <bgColor theme="4" tint="0.59996337778862885"/>
                </patternFill>
              </fill>
            </x14:dxf>
          </x14:cfRule>
          <xm:sqref>G58 J58 M58</xm:sqref>
        </x14:conditionalFormatting>
        <x14:conditionalFormatting xmlns:xm="http://schemas.microsoft.com/office/excel/2006/main">
          <x14:cfRule type="expression" priority="17" id="{6BDAE4AC-3DC1-4E62-AA73-AA7FD35697A6}">
            <xm:f>OR(E$28=Defaults!$M$2,E$28=Defaults!$M$4)</xm:f>
            <x14:dxf>
              <fill>
                <patternFill>
                  <bgColor theme="9" tint="0.79998168889431442"/>
                </patternFill>
              </fill>
            </x14:dxf>
          </x14:cfRule>
          <xm:sqref>G58</xm:sqref>
        </x14:conditionalFormatting>
        <x14:conditionalFormatting xmlns:xm="http://schemas.microsoft.com/office/excel/2006/main">
          <x14:cfRule type="expression" priority="28" id="{67EADB1E-93FE-4B5F-B0A8-CB91686912FC}">
            <xm:f>OR(E$28=Defaults!$M$4)</xm:f>
            <x14:dxf>
              <fill>
                <patternFill>
                  <bgColor theme="9" tint="0.79998168889431442"/>
                </patternFill>
              </fill>
            </x14:dxf>
          </x14:cfRule>
          <xm:sqref>G59:G60 J59:J60 M59:M60</xm:sqref>
        </x14:conditionalFormatting>
        <x14:conditionalFormatting xmlns:xm="http://schemas.microsoft.com/office/excel/2006/main">
          <x14:cfRule type="expression" priority="25" id="{4E4BDCB9-AEB8-4E8C-BA8E-EB95CAB1ACE2}">
            <xm:f>NOT(OR(E$58=Defaults!$G$3,E$58=Defaults!$G$4))</xm:f>
            <x14:dxf>
              <fill>
                <patternFill>
                  <bgColor theme="1"/>
                </patternFill>
              </fill>
            </x14:dxf>
          </x14:cfRule>
          <xm:sqref>G60 J60 M60</xm:sqref>
        </x14:conditionalFormatting>
        <x14:conditionalFormatting xmlns:xm="http://schemas.microsoft.com/office/excel/2006/main">
          <x14:cfRule type="expression" priority="24" id="{4A4177FE-F6BE-4331-80C6-2AE325D736B5}">
            <xm:f>OR(E$28=Defaults!$M$4, AND(NOT(ISBLANK(E$58)),E$28=Defaults!$M$2))</xm:f>
            <x14:dxf>
              <fill>
                <patternFill>
                  <bgColor theme="9" tint="0.79998168889431442"/>
                </patternFill>
              </fill>
            </x14:dxf>
          </x14:cfRule>
          <xm:sqref>G61:G62 J61:J62 M61:M62</xm:sqref>
        </x14:conditionalFormatting>
        <x14:conditionalFormatting xmlns:xm="http://schemas.microsoft.com/office/excel/2006/main">
          <x14:cfRule type="expression" priority="23" id="{3F512EC6-E694-4F4B-A810-551E886A3F70}">
            <xm:f>AND(OR(E$28=Defaults!$M$4,E$28=Defaults!$M$2),OR(E$58="Cut-A-Way",E$58="Over-Road Coach",E$58="Transit Bus",E$58="Van",E$58="DMU / EMU"))</xm:f>
            <x14:dxf>
              <fill>
                <patternFill>
                  <bgColor theme="9" tint="0.79998168889431442"/>
                </patternFill>
              </fill>
            </x14:dxf>
          </x14:cfRule>
          <xm:sqref>G63 J63 M63</xm:sqref>
        </x14:conditionalFormatting>
        <x14:conditionalFormatting xmlns:xm="http://schemas.microsoft.com/office/excel/2006/main">
          <x14:cfRule type="expression" priority="22" id="{69944E95-46F2-4AD9-B62F-B1BD4A4B5BF8}">
            <xm:f>OR(E$28=Defaults!$M$4, AND(NOT(ISBLANK(E$58)),E$28=Defaults!$M$2))</xm:f>
            <x14:dxf>
              <fill>
                <patternFill>
                  <bgColor theme="4" tint="0.59996337778862885"/>
                </patternFill>
              </fill>
            </x14:dxf>
          </x14:cfRule>
          <xm:sqref>G64 J64 M64</xm:sqref>
        </x14:conditionalFormatting>
        <x14:conditionalFormatting xmlns:xm="http://schemas.microsoft.com/office/excel/2006/main">
          <x14:cfRule type="expression" priority="13" id="{248D8EE1-5D73-4764-92B0-22C5A8577DFF}">
            <xm:f>AND(OR(E$28=Defaults!$M$4, E$28=Defaults!$M$2),OR(E$58="Cut-A-Way",E$58="Heavy Rail",E$58="Light Rail",E$58="Over-Road Coach",E$58="Streetcar",E$58="Transit Bus",E$58="Van",E$58="DMU / EMU"))</xm:f>
            <x14:dxf>
              <fill>
                <patternFill>
                  <bgColor theme="9" tint="0.79998168889431442"/>
                </patternFill>
              </fill>
            </x14:dxf>
          </x14:cfRule>
          <xm:sqref>G65</xm:sqref>
        </x14:conditionalFormatting>
        <x14:conditionalFormatting xmlns:xm="http://schemas.microsoft.com/office/excel/2006/main">
          <x14:cfRule type="expression" priority="19" id="{D3FD69CA-0469-4A4E-90F2-9B05CE51BEB7}">
            <xm:f>AND(OR(E$28=Defaults!$M$4, E$28=Defaults!$M$2),OR(E$58="Ferry",E$58="Heavy Rail",E$58="Light Rail",E$58="Streetcar",E$58="DMU / EMU"))</xm:f>
            <x14:dxf>
              <fill>
                <patternFill>
                  <bgColor theme="9" tint="0.79998168889431442"/>
                </patternFill>
              </fill>
            </x14:dxf>
          </x14:cfRule>
          <xm:sqref>G66 J66 M66</xm:sqref>
        </x14:conditionalFormatting>
        <x14:conditionalFormatting xmlns:xm="http://schemas.microsoft.com/office/excel/2006/main">
          <x14:cfRule type="expression" priority="10" id="{B5C58790-8197-4E89-A5C3-C45A7D376931}">
            <xm:f>OR(E$28=Defaults!$M$5)</xm:f>
            <x14:dxf>
              <fill>
                <patternFill>
                  <bgColor theme="9" tint="0.79998168889431442"/>
                </patternFill>
              </fill>
            </x14:dxf>
          </x14:cfRule>
          <x14:cfRule type="expression" priority="9" id="{8834AD3B-659E-46F7-8AF1-A81BD3DFFB45}">
            <xm:f>OR(E$28=Defaults!$M$2, E$28=Defaults!$M$3, E$28=Defaults!$M$4)</xm:f>
            <x14:dxf>
              <fill>
                <patternFill>
                  <bgColor theme="4" tint="0.59996337778862885"/>
                </patternFill>
              </fill>
            </x14:dxf>
          </x14:cfRule>
          <xm:sqref>G69 J69 M69</xm:sqref>
        </x14:conditionalFormatting>
        <x14:conditionalFormatting xmlns:xm="http://schemas.microsoft.com/office/excel/2006/main">
          <x14:cfRule type="expression" priority="7" id="{1581CF93-4F71-46EF-9D6B-622CF57BDD5E}">
            <xm:f>NOT(OR(E$69=Defaults!$G$3,E$69=Defaults!$G$4))</xm:f>
            <x14:dxf>
              <fill>
                <patternFill>
                  <bgColor theme="1"/>
                </patternFill>
              </fill>
            </x14:dxf>
          </x14:cfRule>
          <xm:sqref>G71 J71 M71</xm:sqref>
        </x14:conditionalFormatting>
        <x14:conditionalFormatting xmlns:xm="http://schemas.microsoft.com/office/excel/2006/main">
          <x14:cfRule type="expression" priority="6" id="{3CF5704F-17E6-4947-A804-F0FC74011274}">
            <xm:f>OR(E$28=Defaults!$M$5, NOT(ISBLANK(E$69)))</xm:f>
            <x14:dxf>
              <fill>
                <patternFill>
                  <bgColor theme="9" tint="0.79998168889431442"/>
                </patternFill>
              </fill>
            </x14:dxf>
          </x14:cfRule>
          <xm:sqref>G72 J72 M72</xm:sqref>
        </x14:conditionalFormatting>
        <x14:conditionalFormatting xmlns:xm="http://schemas.microsoft.com/office/excel/2006/main">
          <x14:cfRule type="expression" priority="3" id="{4FB1603E-938E-40D7-9952-FCC500EE5E69}">
            <xm:f>E$28=Defaults!$M$3</xm:f>
            <x14:dxf>
              <fill>
                <patternFill>
                  <bgColor theme="4" tint="0.59996337778862885"/>
                </patternFill>
              </fill>
            </x14:dxf>
          </x14:cfRule>
          <xm:sqref>G77:G78 J77:J78 M77:M78</xm:sqref>
        </x14:conditionalFormatting>
        <x14:conditionalFormatting xmlns:xm="http://schemas.microsoft.com/office/excel/2006/main">
          <x14:cfRule type="expression" priority="2" id="{B9F56A59-2003-46D9-AE9D-F0B96F8EAE8A}">
            <xm:f>OR(E$28=Defaults!$M$2, E$28=Defaults!$M$3)</xm:f>
            <x14:dxf>
              <fill>
                <patternFill>
                  <bgColor theme="4" tint="0.59996337778862885"/>
                </patternFill>
              </fill>
            </x14:dxf>
          </x14:cfRule>
          <xm:sqref>G78:G81 J78:J81 M78:M81</xm:sqref>
        </x14:conditionalFormatting>
        <x14:conditionalFormatting xmlns:xm="http://schemas.microsoft.com/office/excel/2006/main">
          <x14:cfRule type="expression" priority="93" id="{F86EE19C-374D-4CF0-8919-8D063FA3855B}">
            <xm:f>NOT(OR($H$46=Defaults!$G$3,$H$46=Defaults!$G$4))</xm:f>
            <x14:dxf>
              <font>
                <color rgb="FFFF0000"/>
              </font>
              <fill>
                <patternFill>
                  <bgColor theme="1"/>
                </patternFill>
              </fill>
            </x14:dxf>
          </x14:cfRule>
          <xm:sqref>H48</xm:sqref>
        </x14:conditionalFormatting>
        <x14:conditionalFormatting xmlns:xm="http://schemas.microsoft.com/office/excel/2006/main">
          <x14:cfRule type="expression" priority="128" id="{2EA9FE03-12E8-4CEA-B5FC-F0B667E8BD17}">
            <xm:f>OR(E$28=Defaults!$M$2,E$28=Defaults!$M$4)</xm:f>
            <x14:dxf>
              <fill>
                <patternFill>
                  <bgColor theme="4" tint="0.59996337778862885"/>
                </patternFill>
              </fill>
            </x14:dxf>
          </x14:cfRule>
          <xm:sqref>H52 E52 K52</xm:sqref>
        </x14:conditionalFormatting>
        <x14:conditionalFormatting xmlns:xm="http://schemas.microsoft.com/office/excel/2006/main">
          <x14:cfRule type="expression" priority="64" id="{C6EF601C-AE56-4F71-926D-D27D7C1501D3}">
            <xm:f>AND(OR(E$28=Defaults!$M$2,E$28=Defaults!$M$4),OR(E$46="Cut-A-Way",E$46="Heavy Rail",E$46="Light Rail",E$46="Over-Road Coach",E$46="Streetcar",E$46="Transit Bus",E$46="Van",E$46="DMU / EMU"))</xm:f>
            <x14:dxf>
              <fill>
                <patternFill>
                  <bgColor theme="9" tint="0.79998168889431442"/>
                </patternFill>
              </fill>
            </x14:dxf>
          </x14:cfRule>
          <xm:sqref>H53 E53 K53</xm:sqref>
        </x14:conditionalFormatting>
        <x14:conditionalFormatting xmlns:xm="http://schemas.microsoft.com/office/excel/2006/main">
          <x14:cfRule type="expression" priority="85" id="{8BA1218E-D968-40D7-BADA-734B273A2A64}">
            <xm:f>AND(OR(E$28=Defaults!$M$2,E$28=Defaults!$M$4),OR(E$46="Ferry",E$46="Heavy Rail",E$46="Light Rail",E$46="Streetcar",E$46="DMU / EMU"))</xm:f>
            <x14:dxf>
              <fill>
                <patternFill>
                  <bgColor theme="9" tint="0.79998168889431442"/>
                </patternFill>
              </fill>
            </x14:dxf>
          </x14:cfRule>
          <xm:sqref>H54 E54 K54</xm:sqref>
        </x14:conditionalFormatting>
        <x14:conditionalFormatting xmlns:xm="http://schemas.microsoft.com/office/excel/2006/main">
          <x14:cfRule type="expression" priority="54" id="{6AB99468-9F93-4A27-BA6D-B5ACA5C7B5B8}">
            <xm:f>E$28=Defaults!$M$4</xm:f>
            <x14:dxf>
              <fill>
                <patternFill>
                  <bgColor theme="9" tint="0.79998168889431442"/>
                </patternFill>
              </fill>
            </x14:dxf>
          </x14:cfRule>
          <xm:sqref>H58 E58:F58</xm:sqref>
        </x14:conditionalFormatting>
        <x14:conditionalFormatting xmlns:xm="http://schemas.microsoft.com/office/excel/2006/main">
          <x14:cfRule type="expression" priority="91" id="{419DD13D-8C18-4D07-B773-2FDD1C0905DA}">
            <xm:f>NOT(OR($H$58=Defaults!$G$3,$H$58=Defaults!$G$4))</xm:f>
            <x14:dxf>
              <font>
                <color rgb="FFFF0000"/>
              </font>
              <fill>
                <patternFill>
                  <bgColor theme="1"/>
                </patternFill>
              </fill>
            </x14:dxf>
          </x14:cfRule>
          <xm:sqref>H60</xm:sqref>
        </x14:conditionalFormatting>
        <x14:conditionalFormatting xmlns:xm="http://schemas.microsoft.com/office/excel/2006/main">
          <x14:cfRule type="expression" priority="151" id="{9B2DAC9A-108B-4200-8FB3-5A417A4C3212}">
            <xm:f>AND(OR(E$28=Defaults!$M$4, E$28=Defaults!$M$2),OR(E$58="Ferry",E$58="Heavy Rail",E$58="Light Rail",E$58="Streetcar",E$58="DMU / EMU"))</xm:f>
            <x14:dxf>
              <fill>
                <patternFill>
                  <bgColor theme="9" tint="0.79998168889431442"/>
                </patternFill>
              </fill>
            </x14:dxf>
          </x14:cfRule>
          <xm:sqref>H66 K66 E66</xm:sqref>
        </x14:conditionalFormatting>
        <x14:conditionalFormatting xmlns:xm="http://schemas.microsoft.com/office/excel/2006/main">
          <x14:cfRule type="expression" priority="88" id="{498881B5-0D79-4BCE-B6FB-6A2931E03304}">
            <xm:f>NOT(OR($H$69=Defaults!$G$3,$H$69=Defaults!$G$4))</xm:f>
            <x14:dxf>
              <font>
                <color rgb="FFFF0000"/>
              </font>
              <fill>
                <patternFill>
                  <bgColor theme="1"/>
                </patternFill>
              </fill>
            </x14:dxf>
          </x14:cfRule>
          <xm:sqref>H71</xm:sqref>
        </x14:conditionalFormatting>
        <x14:conditionalFormatting xmlns:xm="http://schemas.microsoft.com/office/excel/2006/main">
          <x14:cfRule type="expression" priority="68" id="{7533954A-3BBD-4DB7-8B18-A0073EDE9B16}">
            <xm:f>E$28=Defaults!$M$3</xm:f>
            <x14:dxf>
              <fill>
                <patternFill>
                  <bgColor theme="4" tint="0.59996337778862885"/>
                </patternFill>
              </fill>
            </x14:dxf>
          </x14:cfRule>
          <xm:sqref>H77:H78 E77:E78 K77:K78</xm:sqref>
        </x14:conditionalFormatting>
        <x14:conditionalFormatting xmlns:xm="http://schemas.microsoft.com/office/excel/2006/main">
          <x14:cfRule type="expression" priority="70" id="{20FDEBBF-CC08-4F8E-83E9-6CDD68BFA308}">
            <xm:f>OR(E$28=Defaults!$M$2, E$28=Defaults!$M$3)</xm:f>
            <x14:dxf>
              <fill>
                <patternFill>
                  <bgColor theme="4" tint="0.59996337778862885"/>
                </patternFill>
              </fill>
            </x14:dxf>
          </x14:cfRule>
          <xm:sqref>H78:H81 E78:E81 K78:K81</xm:sqref>
        </x14:conditionalFormatting>
        <x14:conditionalFormatting xmlns:xm="http://schemas.microsoft.com/office/excel/2006/main">
          <x14:cfRule type="expression" priority="132" id="{1461FFF4-2A8A-4C8B-B9F1-9C5359D11D9F}">
            <xm:f>AND(OR(E$28=Defaults!$M$2,E$28=Defaults!$M$4),OR(E$46="Cut-A-Way",E$46="Over-Road Coach",E$46="Transit Bus",E$46="Van",E$46="Ferry",E$46="DMU / EMU"))</xm:f>
            <x14:dxf>
              <fill>
                <patternFill>
                  <bgColor theme="9" tint="0.79998168889431442"/>
                </patternFill>
              </fill>
            </x14:dxf>
          </x14:cfRule>
          <xm:sqref>H51:I51 E51:F51 K51:L51</xm:sqref>
        </x14:conditionalFormatting>
        <x14:conditionalFormatting xmlns:xm="http://schemas.microsoft.com/office/excel/2006/main">
          <x14:cfRule type="expression" priority="105" id="{07B4D2F0-CABC-4A7F-832F-724613187B30}">
            <xm:f>AND(NOT(ISBLANK($H$53)),OR($H$46=Defaults!$G$3,$H$46=Defaults!$G$5,$H$46=Defaults!$G$6,$H$46=Defaults!$G$8))</xm:f>
            <x14:dxf>
              <fill>
                <patternFill>
                  <bgColor theme="4" tint="0.39994506668294322"/>
                </patternFill>
              </fill>
            </x14:dxf>
          </x14:cfRule>
          <xm:sqref>H54:J54</xm:sqref>
        </x14:conditionalFormatting>
        <x14:conditionalFormatting xmlns:xm="http://schemas.microsoft.com/office/excel/2006/main">
          <x14:cfRule type="expression" priority="104" id="{282907E4-BDC2-4BE4-9A40-255895C6F1B4}">
            <xm:f>AND(NOT(ISBLANK($H$65)),OR($H$58=Defaults!$G$3,$H$58=Defaults!$G$5,$H$58=Defaults!$G$6,$H$58=Defaults!$G$8))</xm:f>
            <x14:dxf>
              <fill>
                <patternFill>
                  <bgColor theme="4" tint="0.39994506668294322"/>
                </patternFill>
              </fill>
            </x14:dxf>
          </x14:cfRule>
          <xm:sqref>H66:J66</xm:sqref>
        </x14:conditionalFormatting>
        <x14:conditionalFormatting xmlns:xm="http://schemas.microsoft.com/office/excel/2006/main">
          <x14:cfRule type="expression" priority="65" id="{DD92FC2F-C0BB-4647-9D77-34ACC8379071}">
            <xm:f>OR(E$28=Defaults!$M$2,E$28=Defaults!$M$4)</xm:f>
            <x14:dxf>
              <fill>
                <patternFill>
                  <bgColor theme="4" tint="0.59996337778862885"/>
                </patternFill>
              </fill>
            </x14:dxf>
          </x14:cfRule>
          <xm:sqref>I52 F52 L52</xm:sqref>
        </x14:conditionalFormatting>
        <x14:conditionalFormatting xmlns:xm="http://schemas.microsoft.com/office/excel/2006/main">
          <x14:cfRule type="expression" priority="133" id="{662EED35-8EE4-4B8B-9B37-D5C0EABF9AD6}">
            <xm:f>AND(OR(E$28=Defaults!$M$2,E$28=Defaults!$M$4),OR(E$46="Cut-A-Way",E$46="Heavy Rail",E$46="Light Rail",E$46="Over-Road Coach",E$46="Streetcar",E$46="Transit Bus",E$46="Van",E$46="DMU / EMU"))</xm:f>
            <x14:dxf>
              <fill>
                <patternFill>
                  <bgColor theme="9" tint="0.79998168889431442"/>
                </patternFill>
              </fill>
            </x14:dxf>
          </x14:cfRule>
          <xm:sqref>I53 F53 L53</xm:sqref>
        </x14:conditionalFormatting>
        <x14:conditionalFormatting xmlns:xm="http://schemas.microsoft.com/office/excel/2006/main">
          <x14:cfRule type="expression" priority="135" id="{DB19DF79-FA0C-48DB-AE05-F6B9A10536A0}">
            <xm:f>AND(OR(E$28=Defaults!$M$2,E$28=Defaults!$M$4),OR(E$46="Ferry",E$46="Heavy Rail",E$46="Light Rail",E$46="Streetcar",E$46="DMU / EMU"))</xm:f>
            <x14:dxf>
              <fill>
                <patternFill>
                  <bgColor theme="9" tint="0.79998168889431442"/>
                </patternFill>
              </fill>
            </x14:dxf>
          </x14:cfRule>
          <xm:sqref>I54 L54 F54</xm:sqref>
        </x14:conditionalFormatting>
        <x14:conditionalFormatting xmlns:xm="http://schemas.microsoft.com/office/excel/2006/main">
          <x14:cfRule type="expression" priority="152" id="{044BB029-8330-4341-A13E-BA9E609335D5}">
            <xm:f>AND(OR(E$28=Defaults!$M$4, E$28=Defaults!$M$2),OR(E$58="Ferry",E$58="Heavy Rail",E$58="Light Rail",E$58="Streetcar",E$58="DMU / EMU"))</xm:f>
            <x14:dxf>
              <font>
                <b val="0"/>
                <i val="0"/>
              </font>
              <fill>
                <patternFill>
                  <bgColor theme="9" tint="0.79998168889431442"/>
                </patternFill>
              </fill>
            </x14:dxf>
          </x14:cfRule>
          <xm:sqref>I66 L66 F66</xm:sqref>
        </x14:conditionalFormatting>
        <x14:conditionalFormatting xmlns:xm="http://schemas.microsoft.com/office/excel/2006/main">
          <x14:cfRule type="expression" priority="69" id="{FC344A74-E984-4B1A-993E-D222D8D3BFA5}">
            <xm:f>OR(E$28=Defaults!$M$2, E$28=Defaults!$M$3)</xm:f>
            <x14:dxf>
              <fill>
                <patternFill>
                  <bgColor theme="4" tint="0.59996337778862885"/>
                </patternFill>
              </fill>
            </x14:dxf>
          </x14:cfRule>
          <xm:sqref>I78:I81 F78:F81 L78:L81</xm:sqref>
        </x14:conditionalFormatting>
        <x14:conditionalFormatting xmlns:xm="http://schemas.microsoft.com/office/excel/2006/main">
          <x14:cfRule type="expression" priority="63" id="{2AE1D360-A2B7-4E21-BCCD-A0B16140F4F9}">
            <xm:f>AND(OR(E$28=Defaults!$M$2,E$28=Defaults!$M$4),OR(E$46="Ferry",E$46="Heavy Rail",E$46="Light Rail",E$46="Streetcar",E$46="DMU / EMU"))</xm:f>
            <x14:dxf>
              <fill>
                <patternFill>
                  <bgColor theme="9" tint="0.79998168889431442"/>
                </patternFill>
              </fill>
            </x14:dxf>
          </x14:cfRule>
          <xm:sqref>J54 G54 M54</xm:sqref>
        </x14:conditionalFormatting>
        <x14:conditionalFormatting xmlns:xm="http://schemas.microsoft.com/office/excel/2006/main">
          <x14:cfRule type="expression" priority="30" id="{940923DF-5576-4882-9565-06A4226A0378}">
            <xm:f>H$28=Defaults!$M$4</xm:f>
            <x14:dxf>
              <fill>
                <patternFill>
                  <bgColor theme="9" tint="0.79998168889431442"/>
                </patternFill>
              </fill>
            </x14:dxf>
          </x14:cfRule>
          <xm:sqref>J58 M58</xm:sqref>
        </x14:conditionalFormatting>
        <x14:conditionalFormatting xmlns:xm="http://schemas.microsoft.com/office/excel/2006/main">
          <x14:cfRule type="expression" priority="20" id="{DEA5D868-0AA5-4949-B403-EFA2B5C9EC6A}">
            <xm:f>AND(NOT(ISBLANK($E$66)),OR($E$58=Defaults!$G$3,$E$58=Defaults!$G$5,$E$58=Defaults!$G$6,$E$58=Defaults!$G$8))</xm:f>
            <x14:dxf>
              <fill>
                <patternFill>
                  <bgColor theme="4" tint="0.59996337778862885"/>
                </patternFill>
              </fill>
            </x14:dxf>
          </x14:cfRule>
          <x14:cfRule type="expression" priority="21" id="{EEF1CE20-36BA-46B5-9791-FCE1B1815012}">
            <xm:f>AND(OR(H$28=Defaults!$M$4, H$28=Defaults!$M$2),OR(H$58="Cut-A-Way",H$58="Heavy Rail",H$58="Light Rail",H$58="Over-Road Coach",H$58="Streetcar",H$58="Transit Bus",H$58="Van",H$58="DMU / EMU"))</xm:f>
            <x14:dxf>
              <fill>
                <patternFill>
                  <bgColor theme="9" tint="0.79998168889431442"/>
                </patternFill>
              </fill>
            </x14:dxf>
          </x14:cfRule>
          <xm:sqref>J65 M65</xm:sqref>
        </x14:conditionalFormatting>
        <x14:conditionalFormatting xmlns:xm="http://schemas.microsoft.com/office/excel/2006/main">
          <x14:cfRule type="expression" priority="126" id="{E4254775-559D-42EA-A1BA-73223169EBAC}">
            <xm:f>OR(E$28=Defaults!$M$4)</xm:f>
            <x14:dxf>
              <fill>
                <patternFill>
                  <bgColor theme="9" tint="0.79998168889431442"/>
                </patternFill>
              </fill>
            </x14:dxf>
          </x14:cfRule>
          <xm:sqref>K47:K48 H47:H48 E47:E48</xm:sqref>
        </x14:conditionalFormatting>
        <x14:conditionalFormatting xmlns:xm="http://schemas.microsoft.com/office/excel/2006/main">
          <x14:cfRule type="expression" priority="86" id="{83C33C89-8C9A-46C9-BF95-3EF3B764FA4A}">
            <xm:f>NOT(OR($K$46=Defaults!$G$3,$K$46=Defaults!$G$4))</xm:f>
            <x14:dxf>
              <font>
                <color rgb="FFFF0000"/>
              </font>
              <fill>
                <patternFill>
                  <bgColor theme="1"/>
                </patternFill>
              </fill>
            </x14:dxf>
          </x14:cfRule>
          <xm:sqref>K48</xm:sqref>
        </x14:conditionalFormatting>
        <x14:conditionalFormatting xmlns:xm="http://schemas.microsoft.com/office/excel/2006/main">
          <x14:cfRule type="expression" priority="57" id="{FAE598BD-C636-4A70-85A0-66098475FB24}">
            <xm:f>K$28=Defaults!$M$4</xm:f>
            <x14:dxf>
              <fill>
                <patternFill>
                  <bgColor theme="9" tint="0.79998168889431442"/>
                </patternFill>
              </fill>
            </x14:dxf>
          </x14:cfRule>
          <xm:sqref>K58</xm:sqref>
        </x14:conditionalFormatting>
        <x14:conditionalFormatting xmlns:xm="http://schemas.microsoft.com/office/excel/2006/main">
          <x14:cfRule type="expression" priority="125" id="{16351BF1-28C0-4E79-B655-519CC824B45F}">
            <xm:f>OR(E$28=Defaults!$M$4)</xm:f>
            <x14:dxf>
              <fill>
                <patternFill>
                  <bgColor theme="9" tint="0.79998168889431442"/>
                </patternFill>
              </fill>
            </x14:dxf>
          </x14:cfRule>
          <xm:sqref>K59:K60 E59:E60 H59:H60</xm:sqref>
        </x14:conditionalFormatting>
        <x14:conditionalFormatting xmlns:xm="http://schemas.microsoft.com/office/excel/2006/main">
          <x14:cfRule type="expression" priority="90" id="{938CE54E-DD09-4BF5-A8EC-A7D1E0614422}">
            <xm:f>NOT(OR($K$58=Defaults!$G$3,$K$58=Defaults!$G$4))</xm:f>
            <x14:dxf>
              <font>
                <color rgb="FFFF0000"/>
              </font>
              <fill>
                <patternFill>
                  <bgColor theme="1"/>
                </patternFill>
              </fill>
            </x14:dxf>
          </x14:cfRule>
          <xm:sqref>K60</xm:sqref>
        </x14:conditionalFormatting>
        <x14:conditionalFormatting xmlns:xm="http://schemas.microsoft.com/office/excel/2006/main">
          <x14:cfRule type="expression" priority="61" id="{F5A36CFB-015B-4F67-A84C-36BEC3F0F3E4}">
            <xm:f>OR(E$28=Defaults!$M$4, AND(NOT(ISBLANK(E$58)),E$28=Defaults!$M$2))</xm:f>
            <x14:dxf>
              <fill>
                <patternFill>
                  <bgColor theme="4" tint="0.59996337778862885"/>
                </patternFill>
              </fill>
            </x14:dxf>
          </x14:cfRule>
          <xm:sqref>K64 H64 E64</xm:sqref>
        </x14:conditionalFormatting>
        <x14:conditionalFormatting xmlns:xm="http://schemas.microsoft.com/office/excel/2006/main">
          <x14:cfRule type="expression" priority="150" id="{4AE674AE-27E1-4189-9266-F5D18A5977BD}">
            <xm:f>AND(OR(E$28=Defaults!$M$4, E$28=Defaults!$M$2),OR(E$58="Cut-A-Way",E$58="Heavy Rail",E$58="Light Rail",E$58="Over-Road Coach",E$58="Streetcar",E$58="Transit Bus",E$58="Van",E$58="DMU / EMU"))</xm:f>
            <x14:dxf>
              <fill>
                <patternFill>
                  <bgColor theme="9" tint="0.79998168889431442"/>
                </patternFill>
              </fill>
            </x14:dxf>
          </x14:cfRule>
          <xm:sqref>K65 H65 E65</xm:sqref>
        </x14:conditionalFormatting>
        <x14:conditionalFormatting xmlns:xm="http://schemas.microsoft.com/office/excel/2006/main">
          <x14:cfRule type="expression" priority="89" id="{B98601BF-8367-4BEC-94AF-AF943CE279E7}">
            <xm:f>NOT(OR($K$69=Defaults!$G$3,$K$69=Defaults!$G$4))</xm:f>
            <x14:dxf>
              <font>
                <color rgb="FFFF0000"/>
              </font>
              <fill>
                <patternFill>
                  <bgColor theme="1"/>
                </patternFill>
              </fill>
            </x14:dxf>
          </x14:cfRule>
          <xm:sqref>K71</xm:sqref>
        </x14:conditionalFormatting>
        <x14:conditionalFormatting xmlns:xm="http://schemas.microsoft.com/office/excel/2006/main">
          <x14:cfRule type="expression" priority="100" id="{974078DB-FC76-4A42-8EB7-96D477FAF652}">
            <xm:f>AND(NOT(ISBLANK($K$53)),OR($K$46=Defaults!$G$3,$K$46=Defaults!$G$5,$K$46=Defaults!$G$6,$K$46=Defaults!$G$8))</xm:f>
            <x14:dxf>
              <fill>
                <patternFill>
                  <bgColor theme="4" tint="0.39994506668294322"/>
                </patternFill>
              </fill>
            </x14:dxf>
          </x14:cfRule>
          <xm:sqref>K54:L54</xm:sqref>
        </x14:conditionalFormatting>
        <x14:conditionalFormatting xmlns:xm="http://schemas.microsoft.com/office/excel/2006/main">
          <x14:cfRule type="expression" priority="140" id="{C40B9E1E-0DB5-4C8E-85BC-498E26192904}">
            <xm:f>E$28=Defaults!$M$2</xm:f>
            <x14:dxf>
              <fill>
                <patternFill>
                  <bgColor theme="4" tint="0.59996337778862885"/>
                </patternFill>
              </fill>
            </x14:dxf>
          </x14:cfRule>
          <xm:sqref>K58:L58 E58:F58 H58:I58</xm:sqref>
        </x14:conditionalFormatting>
        <x14:conditionalFormatting xmlns:xm="http://schemas.microsoft.com/office/excel/2006/main">
          <x14:cfRule type="expression" priority="147" id="{B49BAAC2-4E48-4F04-B459-8093CEF6FF04}">
            <xm:f>OR(E$28=Defaults!$M$4, AND(NOT(ISBLANK(E$58)),E$28=Defaults!$M$2))</xm:f>
            <x14:dxf>
              <fill>
                <patternFill>
                  <bgColor theme="9" tint="0.79998168889431442"/>
                </patternFill>
              </fill>
            </x14:dxf>
          </x14:cfRule>
          <xm:sqref>K61:L62 H61:I62 E61:F62</xm:sqref>
        </x14:conditionalFormatting>
        <x14:conditionalFormatting xmlns:xm="http://schemas.microsoft.com/office/excel/2006/main">
          <x14:cfRule type="expression" priority="149" id="{5BBFA28F-5A72-467E-BA1A-4C2361D31BD8}">
            <xm:f>AND(OR(E$28=Defaults!$M$4,E$28=Defaults!$M$2),OR(E$58="Cut-A-Way",E$58="Over-Road Coach",E$58="Transit Bus",E$58="Van",E$58="DMU / EMU"))</xm:f>
            <x14:dxf>
              <fill>
                <patternFill>
                  <bgColor theme="9" tint="0.79998168889431442"/>
                </patternFill>
              </fill>
            </x14:dxf>
          </x14:cfRule>
          <xm:sqref>K63:L63 H63:I63 E63:F63</xm:sqref>
        </x14:conditionalFormatting>
        <x14:conditionalFormatting xmlns:xm="http://schemas.microsoft.com/office/excel/2006/main">
          <x14:cfRule type="expression" priority="138" id="{EAA0EA7C-2038-47EE-AD99-7409F1B25943}">
            <xm:f>OR(E$28=Defaults!$M$5)</xm:f>
            <x14:dxf>
              <fill>
                <patternFill>
                  <bgColor theme="9" tint="0.79998168889431442"/>
                </patternFill>
              </fill>
            </x14:dxf>
          </x14:cfRule>
          <xm:sqref>K69:L69 E69:F69 H69:I69</xm:sqref>
        </x14:conditionalFormatting>
        <x14:conditionalFormatting xmlns:xm="http://schemas.microsoft.com/office/excel/2006/main">
          <x14:cfRule type="expression" priority="148" id="{9EC12B5C-B892-4EAE-9C33-380FC55E6EA8}">
            <xm:f>OR(E$28=Defaults!$M$5, NOT(ISBLANK(E$69)))</xm:f>
            <x14:dxf>
              <fill>
                <patternFill>
                  <bgColor theme="9" tint="0.79998168889431442"/>
                </patternFill>
              </fill>
            </x14:dxf>
          </x14:cfRule>
          <xm:sqref>K72:L72 E72:F72 H72:I72</xm:sqref>
        </x14:conditionalFormatting>
        <x14:conditionalFormatting xmlns:xm="http://schemas.microsoft.com/office/excel/2006/main">
          <x14:cfRule type="expression" priority="95" id="{DAFC344C-7C2E-4B5F-A92E-1D04E85B469B}">
            <xm:f>AND(NOT(ISBLANK($K$65)),OR($K$58=Defaults!$G$3,$K$58=Defaults!$G$5,$K$58=Defaults!$G$6,$K$58=Defaults!$G$8))</xm:f>
            <x14:dxf>
              <fill>
                <patternFill>
                  <bgColor theme="4" tint="0.39994506668294322"/>
                </patternFill>
              </fill>
            </x14:dxf>
          </x14:cfRule>
          <xm:sqref>K66:M66</xm:sqref>
        </x14:conditionalFormatting>
        <x14:conditionalFormatting xmlns:xm="http://schemas.microsoft.com/office/excel/2006/main">
          <x14:cfRule type="expression" priority="60" id="{CDBC3B37-DE0B-4673-9734-629BBA098540}">
            <xm:f>OR(E$28=Defaults!$M$4, AND(NOT(ISBLANK(E$58)),E$28=Defaults!$M$2))</xm:f>
            <x14:dxf>
              <fill>
                <patternFill>
                  <bgColor theme="4" tint="0.59996337778862885"/>
                </patternFill>
              </fill>
            </x14:dxf>
          </x14:cfRule>
          <xm:sqref>L64 I64 F64</xm:sqref>
        </x14:conditionalFormatting>
        <x14:conditionalFormatting xmlns:xm="http://schemas.microsoft.com/office/excel/2006/main">
          <x14:cfRule type="expression" priority="153" id="{6659C34B-E79E-4D27-980D-D336C3F20528}">
            <xm:f>AND(OR(E$28=Defaults!$M$4, E$28=Defaults!$M$2),OR(E$58="Cut-A-Way",E$58="Heavy Rail",E$58="Light Rail",E$58="Over-Road Coach",E$58="Streetcar",E$58="Transit Bus",E$58="Van",E$58="DMU / EMU"))</xm:f>
            <x14:dxf>
              <font>
                <b val="0"/>
                <i val="0"/>
              </font>
              <fill>
                <patternFill>
                  <bgColor theme="9" tint="0.79998168889431442"/>
                </patternFill>
              </fill>
            </x14:dxf>
          </x14:cfRule>
          <xm:sqref>L65 I65 F65</xm:sqref>
        </x14:conditionalFormatting>
        <x14:conditionalFormatting xmlns:xm="http://schemas.microsoft.com/office/excel/2006/main">
          <x14:cfRule type="expression" priority="143" id="{96A964D4-238A-4562-BB89-F5CE384A0B55}">
            <xm:f>E$28=Defaults!$M$3</xm:f>
            <x14:dxf>
              <fill>
                <patternFill>
                  <bgColor theme="4" tint="0.59996337778862885"/>
                </patternFill>
              </fill>
            </x14:dxf>
          </x14:cfRule>
          <xm:sqref>L77:L78 I77:I78 F77:F78</xm:sqref>
        </x14:conditionalFormatting>
      </x14:conditionalFormattings>
    </ext>
    <ext xmlns:x14="http://schemas.microsoft.com/office/spreadsheetml/2009/9/main" uri="{CCE6A557-97BC-4b89-ADB6-D9C93CAAB3DF}">
      <x14:dataValidations xmlns:xm="http://schemas.microsoft.com/office/excel/2006/main" xWindow="569" yWindow="489" count="31">
        <x14:dataValidation type="custom" operator="greaterThan" allowBlank="1" showInputMessage="1" showErrorMessage="1" errorTitle="Invalid Input:" error="Value must be greater than 0." xr:uid="{BB597CB1-DC0E-4631-BCF9-A75F6E43D3C6}">
          <x14:formula1>
            <xm:f>IF(OR(E$28=Defaults!$M$2,E$28=Defaults!$M$3),E38&gt;0," ")</xm:f>
          </x14:formula1>
          <xm:sqref>H38 E38 K38</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00000000-0002-0000-0300-000032000000}">
          <x14:formula1>
            <xm:f>IF(OR(H$28=Defaults!$M$2,H$28=Defaults!$M$3),AND(H39&gt;=0, H39&lt;=1)," ")</xm:f>
          </x14:formula1>
          <xm:sqref>K39 H39</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00000000-0002-0000-0300-000034000000}">
          <x14:formula1>
            <xm:f>IF(OR($K$28=Defaults!$M$2,$K$28=Defaults!$M$3),AND(K40&gt;0)," ")</xm:f>
          </x14:formula1>
          <xm:sqref>K40</xm:sqref>
        </x14:dataValidation>
        <x14:dataValidation type="list" allowBlank="1" showInputMessage="1" showErrorMessage="1" xr:uid="{00000000-0002-0000-0300-000037000000}">
          <x14:formula1>
            <xm:f>'Rail C&amp;T EF'!$A$15:$A$22</xm:f>
          </x14:formula1>
          <xm:sqref>E59 H70 E70 K59 K47 H59 E47 H47 K70</xm:sqref>
        </x14:dataValidation>
        <x14:dataValidation type="list" allowBlank="1" showInputMessage="1" showErrorMessage="1" xr:uid="{00000000-0002-0000-0300-000038000000}">
          <x14:formula1>
            <xm:f>OFFSET(Defaults!$B$2,$H$32-2015,0,IF(2080-$H$32&lt;50,2080-$H$32,50))</xm:f>
          </x14:formula1>
          <xm:sqref>H33</xm:sqref>
        </x14:dataValidation>
        <x14:dataValidation type="list" allowBlank="1" showInputMessage="1" showErrorMessage="1" xr:uid="{00000000-0002-0000-0300-000039000000}">
          <x14:formula1>
            <xm:f>OFFSET(Defaults!$B$2,$E$32-2015,0,IF(2080-$E$32&lt;50,2080-$E$32,50))</xm:f>
          </x14:formula1>
          <xm:sqref>E33</xm:sqref>
        </x14:dataValidation>
        <x14:dataValidation type="custom" allowBlank="1" showInputMessage="1" showErrorMessage="1" promptTitle="If unknown, use look up tables:" prompt="Quantification Methodlogy Appendix C includes look up tables by agency by mode, Table C-1, and by statewide average by mode, Table C-2." xr:uid="{00000000-0002-0000-0300-00003A000000}">
          <x14:formula1>
            <xm:f>IF(OR(E$28=Defaults!$M$2,E$28=Defaults!$M$3),E41&gt;0," ")</xm:f>
          </x14:formula1>
          <xm:sqref>E41</xm:sqref>
        </x14:dataValidation>
        <x14:dataValidation type="list" allowBlank="1" showInputMessage="1" showErrorMessage="1" xr:uid="{00000000-0002-0000-0300-00003B000000}">
          <x14:formula1>
            <xm:f>OFFSET(Defaults!$B$2,$K$32-2015,0,IF(2080-$K$32&lt;50,2080-$K$32,50))</xm:f>
          </x14:formula1>
          <xm:sqref>K33</xm:sqref>
        </x14:dataValidation>
        <x14:dataValidation type="list" allowBlank="1" showInputMessage="1" showErrorMessage="1" xr:uid="{B834D270-15C9-4C2D-8EA9-643575831D0C}">
          <x14:formula1>
            <xm:f>Defaults!$F$2:$F$9</xm:f>
          </x14:formula1>
          <xm:sqref>E29:F29 H29:I29 K29:L29</xm:sqref>
        </x14:dataValidation>
        <x14:dataValidation type="custom" operator="greaterThan" allowBlank="1" showInputMessage="1" showErrorMessage="1" xr:uid="{02170290-7EDF-40E4-B41C-93C95DC88354}">
          <x14:formula1>
            <xm:f>IF(OR(E$28=Defaults!$M$2,E$28=Defaults!$M$3),E37&gt;=0," ")</xm:f>
          </x14:formula1>
          <xm:sqref>E37</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F67CAEE0-99EC-4494-8A48-7168AD4667A7}">
          <x14:formula1>
            <xm:f>IF(OR($E$28=Defaults!$M$2,$E$28=Defaults!$M$3),AND(E39&gt;=0, E39&lt;=1)," ")</xm:f>
          </x14:formula1>
          <xm:sqref>E39</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216B5F0F-CBF0-4BF6-A086-83F495888ACD}">
          <x14:formula1>
            <xm:f>IF(OR($E$28=Defaults!$M$2,$E$28=Defaults!$M$3),AND(E40&gt;0)," ")</xm:f>
          </x14:formula1>
          <xm:sqref>E40</xm:sqref>
        </x14:dataValidation>
        <x14:dataValidation type="custom" allowBlank="1" showInputMessage="1" showErrorMessage="1" errorTitle="Invalid Input:" error="Value must be greater than 0." xr:uid="{BE6CC83E-1577-4499-82A2-694C9C308E03}">
          <x14:formula1>
            <xm:f>IF(OR(H$28=Defaults!$M$2,H$28=Defaults!$M$3),H37&gt;=0," ")</xm:f>
          </x14:formula1>
          <xm:sqref>H37 K37</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C1CFF1CA-07AB-46D9-8915-3A72199D2D28}">
          <x14:formula1>
            <xm:f>IF(OR($H$28=Defaults!$M$2,$H$28=Defaults!$M$3),AND(H40&gt;0)," ")</xm:f>
          </x14:formula1>
          <xm:sqref>H40</xm:sqref>
        </x14:dataValidation>
        <x14:dataValidation type="list" allowBlank="1" showInputMessage="1" showErrorMessage="1" promptTitle="Leave blank if," prompt="No additional GGRF funding has or will be requested from another CCI Program for this project." xr:uid="{09635036-CA56-4613-9AF7-285D337C71FF}">
          <x14:formula1>
            <xm:f>Defaults!$N$2:$N$18</xm:f>
          </x14:formula1>
          <xm:sqref>E20:F20</xm:sqref>
        </x14:dataValidation>
        <x14:dataValidation type="list" allowBlank="1" showInputMessage="1" showErrorMessage="1" xr:uid="{0389A9F6-7052-4620-B371-0B67AA4D4B7D}">
          <x14:formula1>
            <xm:f>Defaults!$N$2:$N$18</xm:f>
          </x14:formula1>
          <xm:sqref>K20:L20 E23:F23 H23:I23 H20:I20 K23:L23</xm:sqref>
        </x14:dataValidation>
        <x14:dataValidation type="list" allowBlank="1" showInputMessage="1" showErrorMessage="1" xr:uid="{00000000-0002-0000-0300-000023000000}">
          <x14:formula1>
            <xm:f>IF(OR($K$61=Defaults!$I$5,$K$61=Defaults!$I$7,$K$61=Defaults!$I$11),Defaults!$G$15,yesno)</xm:f>
          </x14:formula1>
          <xm:sqref>K62</xm:sqref>
        </x14:dataValidation>
        <x14:dataValidation type="list" allowBlank="1" showInputMessage="1" showErrorMessage="1" xr:uid="{00000000-0002-0000-0300-000024000000}">
          <x14:formula1>
            <xm:f>IF(OR($H$61=Defaults!$I$5,$H$61=Defaults!$I$7,$H$61=Defaults!$I$11),Defaults!$G$15,yesno)</xm:f>
          </x14:formula1>
          <xm:sqref>H62</xm:sqref>
        </x14:dataValidation>
        <x14:dataValidation type="list" allowBlank="1" showInputMessage="1" showErrorMessage="1" xr:uid="{00000000-0002-0000-0300-000025000000}">
          <x14:formula1>
            <xm:f>IF(OR($E$61=Defaults!$I$5,$E$61=Defaults!$I$7,$E$61=Defaults!$I$11),Defaults!$G$15,yesno)</xm:f>
          </x14:formula1>
          <xm:sqref>E62</xm:sqref>
        </x14:dataValidation>
        <x14:dataValidation type="list" allowBlank="1" showInputMessage="1" showErrorMessage="1" xr:uid="{00000000-0002-0000-0300-00002F000000}">
          <x14:formula1>
            <xm:f>IF(OR($K$49=Defaults!$I$5,$K$49=Defaults!$I$7,$K$49=Defaults!$I$11),Defaults!$G$15,yesno)</xm:f>
          </x14:formula1>
          <xm:sqref>K50</xm:sqref>
        </x14:dataValidation>
        <x14:dataValidation type="list" allowBlank="1" showInputMessage="1" showErrorMessage="1" xr:uid="{00000000-0002-0000-0300-000030000000}">
          <x14:formula1>
            <xm:f>IF(OR($H$49=Defaults!$I$5,$H$49=Defaults!$I$7,$H$49=Defaults!$I$11),Defaults!$G$15,yesno)</xm:f>
          </x14:formula1>
          <xm:sqref>H50</xm:sqref>
        </x14:dataValidation>
        <x14:dataValidation type="list" allowBlank="1" showInputMessage="1" showErrorMessage="1" xr:uid="{00000000-0002-0000-0300-000031000000}">
          <x14:formula1>
            <xm:f>IF(OR($E$49=Defaults!$I$5,$E$49=Defaults!$I$7,$E$49=Defaults!$I$11),Defaults!$G$15,yesno)</xm:f>
          </x14:formula1>
          <xm:sqref>E50</xm:sqref>
        </x14:dataValidation>
        <x14:dataValidation type="list" allowBlank="1" showInputMessage="1" showErrorMessage="1" promptTitle="Note:" prompt="Selection locks after hybrid is identified" xr:uid="{00000000-0002-0000-0300-000026000000}">
          <x14:formula1>
            <xm:f>IF($H$50="",IF($H$46=Defaults!$G$4,Defaults!$I$14:$I$23,IF(OR($H$46=Defaults!$G$6,$H$46=Defaults!$G$8),Defaults!$I$38:$I$39,fuel)),"")</xm:f>
          </x14:formula1>
          <xm:sqref>H49</xm:sqref>
        </x14:dataValidation>
        <x14:dataValidation type="list" allowBlank="1" showInputMessage="1" showErrorMessage="1" promptTitle="Note:" prompt="Selection locks after hybrid is identified" xr:uid="{00000000-0002-0000-0300-000027000000}">
          <x14:formula1>
            <xm:f>IF($E$50="",IF($E$46=Defaults!$G$4,Defaults!$I$14:$I$23,IF(OR($E$46=Defaults!$G$6,$E$46=Defaults!$G$8),Defaults!$I$37:$I$38,fuel)),"")</xm:f>
          </x14:formula1>
          <xm:sqref>E49</xm:sqref>
        </x14:dataValidation>
        <x14:dataValidation type="list" allowBlank="1" showInputMessage="1" showErrorMessage="1" xr:uid="{00000000-0002-0000-0300-000028000000}">
          <x14:formula1>
            <xm:f>IF($K$58=Defaults!$G$4,Defaults!$I$14:$I$23,IF(OR($K$58=Defaults!$G$6,$K$58=Defaults!$G$8),Defaults!$I$38:$I$39,fuel))</xm:f>
          </x14:formula1>
          <xm:sqref>K61</xm:sqref>
        </x14:dataValidation>
        <x14:dataValidation type="list" allowBlank="1" showInputMessage="1" showErrorMessage="1" xr:uid="{00000000-0002-0000-0300-000029000000}">
          <x14:formula1>
            <xm:f>IF($H$58=Defaults!$G$4,Defaults!$I$14:$I$23,IF(OR($H$58=Defaults!$G$6,$H$58=Defaults!$G$8),Defaults!$I$38:$I$39,fuel))</xm:f>
          </x14:formula1>
          <xm:sqref>H61</xm:sqref>
        </x14:dataValidation>
        <x14:dataValidation type="list" allowBlank="1" showInputMessage="1" showErrorMessage="1" xr:uid="{00000000-0002-0000-0300-00002A000000}">
          <x14:formula1>
            <xm:f>IF($E$58=Defaults!$G$4,Defaults!$I$13:$I$21,IF(OR($E$58=Defaults!$G$6,$E$58=Defaults!$G$8),Defaults!$I$37:$I$38,fuel))</xm:f>
          </x14:formula1>
          <xm:sqref>E61</xm:sqref>
        </x14:dataValidation>
        <x14:dataValidation type="list" allowBlank="1" showInputMessage="1" showErrorMessage="1" xr:uid="{00000000-0002-0000-0300-00002B000000}">
          <x14:formula1>
            <xm:f>IF($K$69=Defaults!$G$4,Defaults!$I$14:$I$23,IF(OR($K$69=Defaults!$G$6,$K$69=Defaults!$G$8),Defaults!$I$37,fuel))</xm:f>
          </x14:formula1>
          <xm:sqref>K72</xm:sqref>
        </x14:dataValidation>
        <x14:dataValidation type="list" allowBlank="1" showInputMessage="1" showErrorMessage="1" xr:uid="{00000000-0002-0000-0300-00002C000000}">
          <x14:formula1>
            <xm:f>IF($H$69=Defaults!$G$4,Defaults!$I$14:$I$23,IF(OR($H$69=Defaults!$G$6,$H$69=Defaults!$G$8),Defaults!$I$37,fuel))</xm:f>
          </x14:formula1>
          <xm:sqref>H72</xm:sqref>
        </x14:dataValidation>
        <x14:dataValidation type="list" allowBlank="1" showInputMessage="1" showErrorMessage="1" xr:uid="{00000000-0002-0000-0300-00002D000000}">
          <x14:formula1>
            <xm:f>IF($E$69=Defaults!$G$4,Defaults!$I$14:$I$23,IF(OR($E$69=Defaults!$G$6,$E$69=Defaults!$G$8),Defaults!$I$37,fuel))</xm:f>
          </x14:formula1>
          <xm:sqref>E72</xm:sqref>
        </x14:dataValidation>
        <x14:dataValidation type="list" allowBlank="1" showInputMessage="1" showErrorMessage="1" promptTitle="Note:" prompt="Selection locks after hybrid is identified" xr:uid="{00000000-0002-0000-0300-00002E000000}">
          <x14:formula1>
            <xm:f>IF($K$50="",IF($K$46=Defaults!$G$4,Defaults!$I$14:$I$23,IF(OR($K$46=Defaults!$G$6,$K$46=Defaults!$G$8),Defaults!$I$38:$I$39,fuel)),"")</xm:f>
          </x14:formula1>
          <xm:sqref>K49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B675C-0D9B-458B-980E-4CA3120BB21E}">
  <sheetPr>
    <tabColor theme="9" tint="0.79998168889431442"/>
  </sheetPr>
  <dimension ref="A1:AJ109"/>
  <sheetViews>
    <sheetView showGridLines="0" topLeftCell="B1" zoomScaleNormal="100" zoomScaleSheetLayoutView="55" workbookViewId="0">
      <selection activeCell="B8" sqref="B8:B9"/>
    </sheetView>
  </sheetViews>
  <sheetFormatPr defaultColWidth="9.08984375" defaultRowHeight="14" x14ac:dyDescent="0.3"/>
  <cols>
    <col min="1" max="1" width="2.90625" style="466" hidden="1" customWidth="1"/>
    <col min="2" max="2" width="24.453125" style="466" customWidth="1"/>
    <col min="3" max="3" width="63.453125" style="466" customWidth="1"/>
    <col min="4" max="4" width="20.08984375" style="466" hidden="1" customWidth="1"/>
    <col min="5" max="5" width="35.453125" style="466" customWidth="1"/>
    <col min="6" max="6" width="35.453125" style="466" hidden="1" customWidth="1"/>
    <col min="7" max="7" width="11.453125" style="466" customWidth="1"/>
    <col min="8" max="8" width="35.453125" style="466" customWidth="1"/>
    <col min="9" max="9" width="35.453125" style="466" hidden="1" customWidth="1"/>
    <col min="10" max="10" width="11.453125" style="466" customWidth="1"/>
    <col min="11" max="11" width="35.453125" style="466" customWidth="1"/>
    <col min="12" max="12" width="35.453125" style="466" hidden="1" customWidth="1"/>
    <col min="13" max="13" width="11.453125" style="466" customWidth="1"/>
    <col min="14" max="14" width="9.453125" style="466" customWidth="1"/>
    <col min="15" max="18" width="26.90625" style="466" hidden="1" customWidth="1"/>
    <col min="19" max="19" width="9.08984375" style="466"/>
    <col min="20" max="20" width="24.453125" style="466" customWidth="1"/>
    <col min="21" max="16384" width="9.08984375" style="466"/>
  </cols>
  <sheetData>
    <row r="1" spans="2:36" s="412" customFormat="1" ht="20.5" x14ac:dyDescent="0.45">
      <c r="E1" s="413"/>
      <c r="V1" s="461"/>
      <c r="W1" s="461"/>
      <c r="X1" s="461"/>
      <c r="Y1" s="461"/>
    </row>
    <row r="2" spans="2:36" s="412" customFormat="1" ht="20.5" x14ac:dyDescent="0.45">
      <c r="E2" s="413"/>
      <c r="I2" s="462"/>
      <c r="J2" s="462"/>
      <c r="N2" s="462"/>
      <c r="Q2" s="462"/>
      <c r="V2" s="461"/>
      <c r="W2" s="461"/>
      <c r="X2" s="461"/>
      <c r="Y2" s="461"/>
    </row>
    <row r="3" spans="2:36" s="412" customFormat="1" ht="21" thickBot="1" x14ac:dyDescent="0.5">
      <c r="E3" s="413"/>
      <c r="I3" s="462"/>
      <c r="J3" s="462"/>
      <c r="N3" s="462"/>
      <c r="Q3" s="462"/>
      <c r="V3" s="461"/>
      <c r="W3" s="461"/>
      <c r="X3" s="461"/>
      <c r="Y3" s="461"/>
    </row>
    <row r="4" spans="2:36" s="412" customFormat="1" ht="20.5" x14ac:dyDescent="0.45">
      <c r="E4" s="413"/>
      <c r="I4" s="462"/>
      <c r="J4" s="1543" t="s">
        <v>24</v>
      </c>
      <c r="K4" s="1545"/>
      <c r="L4" s="1549"/>
      <c r="N4" s="462"/>
      <c r="Q4" s="462"/>
      <c r="V4" s="461"/>
      <c r="W4" s="461"/>
      <c r="X4" s="461"/>
      <c r="Y4" s="461"/>
    </row>
    <row r="5" spans="2:36" s="412" customFormat="1" ht="20.5" x14ac:dyDescent="0.45">
      <c r="E5" s="413"/>
      <c r="J5" s="1544" t="s">
        <v>25</v>
      </c>
      <c r="K5" s="1546" t="s">
        <v>26</v>
      </c>
      <c r="L5" s="1550"/>
      <c r="V5" s="461"/>
      <c r="W5" s="461"/>
      <c r="X5" s="461"/>
      <c r="Y5" s="461"/>
    </row>
    <row r="6" spans="2:36" s="412" customFormat="1" ht="20.5" x14ac:dyDescent="0.45">
      <c r="B6" s="414"/>
      <c r="E6" s="413"/>
      <c r="J6" s="1553" t="s">
        <v>27</v>
      </c>
      <c r="K6" s="1547" t="s">
        <v>28</v>
      </c>
      <c r="L6" s="1549"/>
      <c r="V6" s="461"/>
      <c r="W6" s="461"/>
      <c r="X6" s="461"/>
      <c r="Y6" s="461"/>
    </row>
    <row r="7" spans="2:36" s="412" customFormat="1" ht="18" customHeight="1" x14ac:dyDescent="0.45">
      <c r="B7" s="488" t="s">
        <v>29</v>
      </c>
      <c r="C7" s="488"/>
      <c r="D7" s="488"/>
      <c r="E7" s="487"/>
      <c r="F7" s="487"/>
      <c r="G7" s="487"/>
      <c r="J7" s="1554" t="s">
        <v>30</v>
      </c>
      <c r="K7" s="1546" t="s">
        <v>31</v>
      </c>
      <c r="L7" s="1551"/>
      <c r="V7" s="461"/>
      <c r="W7" s="461"/>
      <c r="X7" s="461"/>
      <c r="Y7" s="461"/>
    </row>
    <row r="8" spans="2:36" s="412" customFormat="1" ht="18" customHeight="1" thickBot="1" x14ac:dyDescent="0.5">
      <c r="B8" s="1332" t="s">
        <v>6192</v>
      </c>
      <c r="C8" s="532"/>
      <c r="D8" s="532"/>
      <c r="E8" s="533"/>
      <c r="F8" s="533"/>
      <c r="G8" s="117"/>
      <c r="J8" s="1555" t="s">
        <v>32</v>
      </c>
      <c r="K8" s="1548" t="s">
        <v>33</v>
      </c>
      <c r="L8" s="1552"/>
      <c r="V8" s="461"/>
      <c r="W8" s="461"/>
      <c r="X8" s="461"/>
      <c r="Y8" s="461"/>
    </row>
    <row r="9" spans="2:36" s="412" customFormat="1" ht="18" customHeight="1" x14ac:dyDescent="0.45">
      <c r="B9" s="534" t="s">
        <v>6210</v>
      </c>
      <c r="C9" s="530"/>
      <c r="D9" s="530"/>
      <c r="E9" s="531"/>
      <c r="F9" s="531"/>
      <c r="G9" s="1510"/>
      <c r="V9" s="461"/>
      <c r="W9" s="461"/>
      <c r="X9" s="461"/>
      <c r="Y9" s="461"/>
    </row>
    <row r="10" spans="2:36" s="412" customFormat="1" ht="18" customHeight="1" x14ac:dyDescent="0.45">
      <c r="O10" s="725" t="s">
        <v>34</v>
      </c>
      <c r="P10" s="725"/>
      <c r="V10" s="461"/>
      <c r="W10" s="461"/>
      <c r="X10" s="461"/>
      <c r="Y10" s="461"/>
    </row>
    <row r="11" spans="2:36" s="117" customFormat="1" ht="36" customHeight="1" x14ac:dyDescent="0.45">
      <c r="B11" s="440" t="s">
        <v>35</v>
      </c>
      <c r="C11" s="1556" t="str">
        <f>IF('Project Info'!E13="","",'Project Info'!E13)</f>
        <v/>
      </c>
      <c r="D11" s="574"/>
      <c r="E11" s="575"/>
      <c r="F11" s="575"/>
      <c r="G11" s="791"/>
      <c r="H11" s="412"/>
      <c r="I11" s="412"/>
      <c r="J11" s="412"/>
      <c r="AI11" s="121"/>
      <c r="AJ11" s="121"/>
    </row>
    <row r="12" spans="2:36" s="117" customFormat="1" ht="20.5" x14ac:dyDescent="0.45">
      <c r="B12" s="790"/>
      <c r="C12" s="791"/>
      <c r="D12" s="791"/>
      <c r="E12" s="791"/>
      <c r="F12" s="791"/>
      <c r="G12" s="791"/>
      <c r="H12" s="412"/>
      <c r="I12" s="412"/>
      <c r="J12" s="412"/>
      <c r="O12" s="639" t="s">
        <v>36</v>
      </c>
      <c r="P12" s="639" t="s">
        <v>36</v>
      </c>
      <c r="Q12" s="639" t="s">
        <v>37</v>
      </c>
      <c r="R12" s="639" t="s">
        <v>37</v>
      </c>
      <c r="AI12" s="121"/>
      <c r="AJ12" s="121"/>
    </row>
    <row r="13" spans="2:36" s="463" customFormat="1" ht="18" customHeight="1" thickBot="1" x14ac:dyDescent="0.4">
      <c r="D13" s="724" t="s">
        <v>38</v>
      </c>
      <c r="E13" s="647"/>
      <c r="F13" s="647"/>
      <c r="G13" s="647"/>
      <c r="H13" s="648"/>
      <c r="I13" s="648"/>
      <c r="J13" s="648"/>
      <c r="K13" s="648"/>
      <c r="L13" s="648"/>
      <c r="M13" s="638"/>
      <c r="O13" s="794" t="s">
        <v>39</v>
      </c>
      <c r="P13" s="794"/>
      <c r="Q13" s="794" t="s">
        <v>39</v>
      </c>
      <c r="R13" s="795"/>
    </row>
    <row r="14" spans="2:36" ht="16" thickBot="1" x14ac:dyDescent="0.35">
      <c r="B14" s="464" t="s">
        <v>40</v>
      </c>
      <c r="C14" s="465" t="s">
        <v>41</v>
      </c>
      <c r="D14" s="646" t="s">
        <v>42</v>
      </c>
      <c r="E14" s="649" t="str">
        <f ca="1">MID(CELL("filename",B1),FIND("]",CELL("filename",B1))+1,255)&amp;": Subcomponent 1"</f>
        <v>Quantifiable Component 2: Subcomponent 1</v>
      </c>
      <c r="F14" s="1468"/>
      <c r="G14" s="650"/>
      <c r="H14" s="649" t="str">
        <f ca="1">MID(CELL("filename",B1),FIND("]",CELL("filename",B1))+1,255)&amp;": Subcomponent 2"</f>
        <v>Quantifiable Component 2: Subcomponent 2</v>
      </c>
      <c r="I14" s="1481"/>
      <c r="J14" s="651"/>
      <c r="K14" s="649" t="str">
        <f ca="1">MID(CELL("filename",B1),FIND("]",CELL("filename",B1))+1,255)&amp;": Subcomponent 3"</f>
        <v>Quantifiable Component 2: Subcomponent 3</v>
      </c>
      <c r="L14" s="1501"/>
      <c r="M14" s="1504"/>
      <c r="O14" s="792" t="s">
        <v>43</v>
      </c>
      <c r="P14" s="792"/>
      <c r="Q14" s="793"/>
      <c r="R14" s="793"/>
    </row>
    <row r="15" spans="2:36" ht="67.5" customHeight="1" thickBot="1" x14ac:dyDescent="0.4">
      <c r="B15" s="467" t="s">
        <v>44</v>
      </c>
      <c r="C15" s="468" t="s">
        <v>45</v>
      </c>
      <c r="D15" s="577" t="s">
        <v>46</v>
      </c>
      <c r="E15" s="1626"/>
      <c r="F15" s="1627"/>
      <c r="G15" s="1511" t="str">
        <f>IF(ISBLANK(E15),"(Required)","")</f>
        <v>(Required)</v>
      </c>
      <c r="H15" s="1612"/>
      <c r="I15" s="1613"/>
      <c r="J15" s="1536" t="str">
        <f>IF(ISBLANK(H15),"(Optional)","")</f>
        <v>(Optional)</v>
      </c>
      <c r="K15" s="1612"/>
      <c r="L15" s="1613"/>
      <c r="M15" s="1536" t="str">
        <f>IF(ISBLANK(K15),"(Optional)","")</f>
        <v>(Optional)</v>
      </c>
      <c r="N15" s="638"/>
      <c r="O15" s="640" t="s">
        <v>43</v>
      </c>
      <c r="P15" s="797" t="s">
        <v>47</v>
      </c>
      <c r="Q15" s="641"/>
      <c r="R15" s="797" t="s">
        <v>48</v>
      </c>
    </row>
    <row r="16" spans="2:36" ht="16" thickBot="1" x14ac:dyDescent="0.35">
      <c r="B16" s="617" t="s">
        <v>49</v>
      </c>
      <c r="C16" s="618"/>
      <c r="D16" s="618"/>
      <c r="E16" s="618"/>
      <c r="F16" s="618"/>
      <c r="G16" s="618"/>
      <c r="H16" s="618"/>
      <c r="I16" s="618"/>
      <c r="J16" s="618"/>
      <c r="K16" s="618"/>
      <c r="L16" s="618"/>
      <c r="M16" s="619"/>
      <c r="N16" s="483"/>
      <c r="O16" s="640" t="s">
        <v>43</v>
      </c>
      <c r="P16" s="640"/>
      <c r="Q16" s="641"/>
      <c r="R16" s="641"/>
    </row>
    <row r="17" spans="2:18" ht="33.75" customHeight="1" x14ac:dyDescent="0.35">
      <c r="B17" s="469" t="s">
        <v>50</v>
      </c>
      <c r="C17" s="470" t="s">
        <v>51</v>
      </c>
      <c r="D17" s="606" t="s">
        <v>46</v>
      </c>
      <c r="E17" s="1628"/>
      <c r="F17" s="1614"/>
      <c r="G17" s="1512" t="str">
        <f>IF(ISBLANK(E17),"(Required)","")</f>
        <v>(Required)</v>
      </c>
      <c r="H17" s="1620"/>
      <c r="I17" s="1614"/>
      <c r="J17" s="1537" t="str">
        <f>IF(ISBLANK(H17),"(Required)","")</f>
        <v>(Required)</v>
      </c>
      <c r="K17" s="1614"/>
      <c r="L17" s="1614"/>
      <c r="M17" s="1538" t="str">
        <f>IF(ISBLANK(K17),"(Required)","")</f>
        <v>(Required)</v>
      </c>
      <c r="N17" s="483"/>
      <c r="O17" s="640" t="s">
        <v>43</v>
      </c>
      <c r="P17" s="802" t="e">
        <f>#REF!</f>
        <v>#REF!</v>
      </c>
      <c r="Q17" s="641"/>
      <c r="R17" s="796" t="s">
        <v>52</v>
      </c>
    </row>
    <row r="18" spans="2:18" ht="48" customHeight="1" thickBot="1" x14ac:dyDescent="0.4">
      <c r="B18" s="471" t="s">
        <v>53</v>
      </c>
      <c r="C18" s="472" t="s">
        <v>54</v>
      </c>
      <c r="D18" s="577" t="s">
        <v>46</v>
      </c>
      <c r="E18" s="1629"/>
      <c r="F18" s="1615"/>
      <c r="G18" s="1513" t="str">
        <f>IF(ISBLANK(E18),"(Required)","")</f>
        <v>(Required)</v>
      </c>
      <c r="H18" s="1621"/>
      <c r="I18" s="1615"/>
      <c r="J18" s="1514" t="str">
        <f>IF(ISBLANK(H18),"(Required)","")</f>
        <v>(Required)</v>
      </c>
      <c r="K18" s="1615"/>
      <c r="L18" s="1615"/>
      <c r="M18" s="1514" t="str">
        <f>IF(ISBLANK(K18),"(Required)","")</f>
        <v>(Required)</v>
      </c>
      <c r="N18" s="483"/>
      <c r="O18" s="640" t="s">
        <v>43</v>
      </c>
      <c r="P18" s="802" t="e">
        <f>#REF!</f>
        <v>#REF!</v>
      </c>
      <c r="Q18" s="641"/>
      <c r="R18" s="796" t="s">
        <v>52</v>
      </c>
    </row>
    <row r="19" spans="2:18" ht="16.5" customHeight="1" x14ac:dyDescent="0.3">
      <c r="B19" s="625" t="s">
        <v>55</v>
      </c>
      <c r="C19" s="620"/>
      <c r="D19" s="620"/>
      <c r="E19" s="620"/>
      <c r="F19" s="620"/>
      <c r="G19" s="1488"/>
      <c r="H19" s="620"/>
      <c r="I19" s="620"/>
      <c r="J19" s="621"/>
      <c r="K19" s="620"/>
      <c r="L19" s="620"/>
      <c r="M19" s="1505"/>
      <c r="N19" s="483"/>
      <c r="O19" s="640" t="s">
        <v>43</v>
      </c>
      <c r="P19" s="640"/>
      <c r="Q19" s="641"/>
      <c r="R19" s="641"/>
    </row>
    <row r="20" spans="2:18" ht="33.75" customHeight="1" x14ac:dyDescent="0.35">
      <c r="B20" s="607" t="s">
        <v>56</v>
      </c>
      <c r="C20" s="608" t="s">
        <v>57</v>
      </c>
      <c r="D20" s="605" t="s">
        <v>58</v>
      </c>
      <c r="E20" s="1630"/>
      <c r="F20" s="1616"/>
      <c r="G20" s="1515" t="str">
        <f>IF(ISBLANK(E20),"(Optional)","")</f>
        <v>(Optional)</v>
      </c>
      <c r="H20" s="1622"/>
      <c r="I20" s="1616"/>
      <c r="J20" s="1516" t="str">
        <f>IF(ISBLANK(H20),"(Optional)","")</f>
        <v>(Optional)</v>
      </c>
      <c r="K20" s="1616"/>
      <c r="L20" s="1616"/>
      <c r="M20" s="1516" t="str">
        <f>IF(ISBLANK(K20),"(Optional)","")</f>
        <v>(Optional)</v>
      </c>
      <c r="N20" s="483"/>
      <c r="O20" s="640" t="s">
        <v>43</v>
      </c>
      <c r="P20" s="803" t="s">
        <v>59</v>
      </c>
      <c r="Q20" s="641"/>
      <c r="R20" s="641"/>
    </row>
    <row r="21" spans="2:18" ht="33.75" customHeight="1" thickBot="1" x14ac:dyDescent="0.4">
      <c r="B21" s="473" t="s">
        <v>60</v>
      </c>
      <c r="C21" s="474" t="s">
        <v>61</v>
      </c>
      <c r="D21" s="605" t="s">
        <v>58</v>
      </c>
      <c r="E21" s="1631"/>
      <c r="F21" s="1617"/>
      <c r="G21" s="1517" t="str">
        <f>IF(ISBLANK(E21),"(Optional)","")</f>
        <v>(Optional)</v>
      </c>
      <c r="H21" s="1623"/>
      <c r="I21" s="1617"/>
      <c r="J21" s="1518" t="str">
        <f>IF(ISBLANK(H21),"(Optional)","")</f>
        <v>(Optional)</v>
      </c>
      <c r="K21" s="1617"/>
      <c r="L21" s="1617"/>
      <c r="M21" s="1516" t="str">
        <f>IF(ISBLANK(K21),"(Optional)","")</f>
        <v>(Optional)</v>
      </c>
      <c r="N21" s="483"/>
      <c r="O21" s="640" t="s">
        <v>43</v>
      </c>
      <c r="P21" s="803" t="e">
        <f>#REF!-#REF!</f>
        <v>#REF!</v>
      </c>
      <c r="Q21" s="641"/>
      <c r="R21" s="797" t="s">
        <v>52</v>
      </c>
    </row>
    <row r="22" spans="2:18" ht="16.5" customHeight="1" x14ac:dyDescent="0.3">
      <c r="B22" s="624" t="s">
        <v>62</v>
      </c>
      <c r="C22" s="622"/>
      <c r="D22" s="622"/>
      <c r="E22" s="622"/>
      <c r="F22" s="622"/>
      <c r="G22" s="622"/>
      <c r="H22" s="622"/>
      <c r="I22" s="622"/>
      <c r="J22" s="623"/>
      <c r="K22" s="622"/>
      <c r="L22" s="622"/>
      <c r="M22" s="623"/>
      <c r="N22" s="483"/>
      <c r="O22" s="640" t="s">
        <v>43</v>
      </c>
      <c r="P22" s="640"/>
      <c r="Q22" s="641"/>
      <c r="R22" s="641"/>
    </row>
    <row r="23" spans="2:18" ht="33.75" customHeight="1" x14ac:dyDescent="0.3">
      <c r="B23" s="475" t="s">
        <v>56</v>
      </c>
      <c r="C23" s="476" t="s">
        <v>57</v>
      </c>
      <c r="D23" s="605" t="s">
        <v>58</v>
      </c>
      <c r="E23" s="1630"/>
      <c r="F23" s="1616"/>
      <c r="G23" s="1515" t="str">
        <f>IF(ISBLANK(E23),"(Optional)","")</f>
        <v>(Optional)</v>
      </c>
      <c r="H23" s="1622"/>
      <c r="I23" s="1616"/>
      <c r="J23" s="1516" t="str">
        <f>IF(ISBLANK(H23),"(Optional)","")</f>
        <v>(Optional)</v>
      </c>
      <c r="K23" s="1616"/>
      <c r="L23" s="1616"/>
      <c r="M23" s="1516" t="str">
        <f>IF(ISBLANK(K23),"(Required)","")</f>
        <v>(Required)</v>
      </c>
      <c r="N23" s="483"/>
      <c r="O23" s="640" t="s">
        <v>43</v>
      </c>
      <c r="P23" s="640"/>
      <c r="Q23" s="641"/>
      <c r="R23" s="641"/>
    </row>
    <row r="24" spans="2:18" ht="33.75" customHeight="1" x14ac:dyDescent="0.35">
      <c r="B24" s="477" t="s">
        <v>60</v>
      </c>
      <c r="C24" s="476" t="s">
        <v>63</v>
      </c>
      <c r="D24" s="605" t="s">
        <v>58</v>
      </c>
      <c r="E24" s="1618"/>
      <c r="F24" s="1610"/>
      <c r="G24" s="1515" t="str">
        <f>IF(ISBLANK(E24),"(Optional)","")</f>
        <v>(Optional)</v>
      </c>
      <c r="H24" s="1624"/>
      <c r="I24" s="1610"/>
      <c r="J24" s="1519" t="str">
        <f>IF(ISBLANK(H24),"(Optional)","")</f>
        <v>(Optional)</v>
      </c>
      <c r="K24" s="1610"/>
      <c r="L24" s="1610"/>
      <c r="M24" s="1516" t="str">
        <f>IF(ISBLANK(K24),"(Required)","")</f>
        <v>(Required)</v>
      </c>
      <c r="N24" s="483"/>
      <c r="O24" s="640" t="s">
        <v>43</v>
      </c>
      <c r="P24" s="803" t="e">
        <f>#REF!-#REF!</f>
        <v>#REF!</v>
      </c>
      <c r="Q24" s="641"/>
      <c r="R24" s="641"/>
    </row>
    <row r="25" spans="2:18" ht="52.5" customHeight="1" thickBot="1" x14ac:dyDescent="0.35">
      <c r="B25" s="610" t="s">
        <v>64</v>
      </c>
      <c r="C25" s="576" t="s">
        <v>65</v>
      </c>
      <c r="D25" s="611" t="s">
        <v>66</v>
      </c>
      <c r="E25" s="1619" t="str">
        <f>IF(E17="","",E24+E21+E17)</f>
        <v/>
      </c>
      <c r="F25" s="1611"/>
      <c r="G25" s="1539"/>
      <c r="H25" s="1625" t="str">
        <f>IF(H17="","",H24+H21+H17)</f>
        <v/>
      </c>
      <c r="I25" s="1611"/>
      <c r="J25" s="1539"/>
      <c r="K25" s="1611" t="str">
        <f>IF(K17="","",K24+K21+K17)</f>
        <v/>
      </c>
      <c r="L25" s="1611"/>
      <c r="M25" s="1540"/>
      <c r="N25" s="483"/>
      <c r="O25" s="640" t="s">
        <v>43</v>
      </c>
      <c r="P25" s="640"/>
      <c r="Q25" s="641"/>
      <c r="R25" s="641"/>
    </row>
    <row r="26" spans="2:18" ht="16.5" customHeight="1" thickBot="1" x14ac:dyDescent="0.35">
      <c r="B26" s="612" t="s">
        <v>67</v>
      </c>
      <c r="C26" s="613"/>
      <c r="D26" s="614"/>
      <c r="E26" s="613"/>
      <c r="F26" s="613"/>
      <c r="G26" s="615"/>
      <c r="H26" s="613"/>
      <c r="I26" s="613"/>
      <c r="J26" s="615"/>
      <c r="K26" s="613"/>
      <c r="L26" s="613"/>
      <c r="M26" s="615"/>
      <c r="N26" s="483"/>
      <c r="O26" s="641"/>
      <c r="P26" s="641"/>
      <c r="Q26" s="641"/>
      <c r="R26" s="641"/>
    </row>
    <row r="27" spans="2:18" ht="15.5" x14ac:dyDescent="0.3">
      <c r="B27" s="616" t="s">
        <v>68</v>
      </c>
      <c r="C27" s="627" t="s">
        <v>41</v>
      </c>
      <c r="D27" s="626" t="s">
        <v>42</v>
      </c>
      <c r="E27" s="1640" t="s">
        <v>40</v>
      </c>
      <c r="F27" s="1636"/>
      <c r="G27" s="1467"/>
      <c r="H27" s="1636" t="s">
        <v>40</v>
      </c>
      <c r="I27" s="1636"/>
      <c r="J27" s="1467"/>
      <c r="K27" s="1636" t="s">
        <v>40</v>
      </c>
      <c r="L27" s="1636"/>
      <c r="M27" s="1506"/>
      <c r="N27" s="483"/>
      <c r="O27" s="641"/>
      <c r="P27" s="641"/>
      <c r="Q27" s="641"/>
      <c r="R27" s="641"/>
    </row>
    <row r="28" spans="2:18" ht="48.75" customHeight="1" x14ac:dyDescent="0.3">
      <c r="B28" s="477" t="s">
        <v>69</v>
      </c>
      <c r="C28" s="478" t="s">
        <v>70</v>
      </c>
      <c r="D28" s="609" t="s">
        <v>71</v>
      </c>
      <c r="E28" s="1641"/>
      <c r="F28" s="1638"/>
      <c r="G28" s="1520" t="str">
        <f>IF(ISBLANK(E28),"(Required)","")</f>
        <v>(Required)</v>
      </c>
      <c r="H28" s="1637"/>
      <c r="I28" s="1638"/>
      <c r="J28" s="1521" t="str">
        <f t="shared" ref="J28:J33" si="0">IF(ISBLANK(H28),"(Required)","")</f>
        <v>(Required)</v>
      </c>
      <c r="K28" s="1638"/>
      <c r="L28" s="1638"/>
      <c r="M28" s="1522" t="str">
        <f>IF(ISBLANK(K28),"(Required)","")</f>
        <v>(Required)</v>
      </c>
      <c r="N28" s="483"/>
      <c r="O28" s="641" t="s">
        <v>72</v>
      </c>
      <c r="P28" s="641"/>
      <c r="Q28" s="641" t="s">
        <v>73</v>
      </c>
      <c r="R28" s="641"/>
    </row>
    <row r="29" spans="2:18" ht="63.75" customHeight="1" x14ac:dyDescent="0.3">
      <c r="B29" s="477" t="s">
        <v>74</v>
      </c>
      <c r="C29" s="478" t="s">
        <v>75</v>
      </c>
      <c r="D29" s="609" t="s">
        <v>71</v>
      </c>
      <c r="E29" s="1632"/>
      <c r="F29" s="1633"/>
      <c r="G29" s="1522" t="str">
        <f t="shared" ref="G29:G33" si="1">IF(ISBLANK(E29),"(Required)","")</f>
        <v>(Required)</v>
      </c>
      <c r="H29" s="1639"/>
      <c r="I29" s="1633"/>
      <c r="J29" s="1523" t="str">
        <f t="shared" si="0"/>
        <v>(Required)</v>
      </c>
      <c r="K29" s="1633"/>
      <c r="L29" s="1633"/>
      <c r="M29" s="1522" t="str">
        <f t="shared" ref="M29:M33" si="2">IF(ISBLANK(K29),"(Required)","")</f>
        <v>(Required)</v>
      </c>
      <c r="N29" s="483"/>
      <c r="O29" s="641"/>
      <c r="P29" s="641"/>
      <c r="Q29" s="641"/>
      <c r="R29" s="641"/>
    </row>
    <row r="30" spans="2:18" ht="33.75" customHeight="1" x14ac:dyDescent="0.3">
      <c r="B30" s="477" t="s">
        <v>76</v>
      </c>
      <c r="C30" s="478" t="s">
        <v>77</v>
      </c>
      <c r="D30" s="609" t="s">
        <v>71</v>
      </c>
      <c r="E30" s="1632"/>
      <c r="F30" s="1633"/>
      <c r="G30" s="1522" t="str">
        <f t="shared" si="1"/>
        <v>(Required)</v>
      </c>
      <c r="H30" s="1639"/>
      <c r="I30" s="1633"/>
      <c r="J30" s="1523" t="str">
        <f t="shared" si="0"/>
        <v>(Required)</v>
      </c>
      <c r="K30" s="1633"/>
      <c r="L30" s="1633"/>
      <c r="M30" s="1522" t="str">
        <f t="shared" si="2"/>
        <v>(Required)</v>
      </c>
      <c r="O30" s="641"/>
      <c r="P30" s="641"/>
      <c r="Q30" s="641"/>
      <c r="R30" s="641"/>
    </row>
    <row r="31" spans="2:18" ht="33.75" customHeight="1" x14ac:dyDescent="0.3">
      <c r="B31" s="477" t="s">
        <v>78</v>
      </c>
      <c r="C31" s="478" t="s">
        <v>79</v>
      </c>
      <c r="D31" s="609" t="s">
        <v>71</v>
      </c>
      <c r="E31" s="1632"/>
      <c r="F31" s="1633"/>
      <c r="G31" s="1522" t="str">
        <f t="shared" si="1"/>
        <v>(Required)</v>
      </c>
      <c r="H31" s="1639"/>
      <c r="I31" s="1633"/>
      <c r="J31" s="1523" t="str">
        <f t="shared" si="0"/>
        <v>(Required)</v>
      </c>
      <c r="K31" s="1633"/>
      <c r="L31" s="1633"/>
      <c r="M31" s="1522" t="str">
        <f t="shared" si="2"/>
        <v>(Required)</v>
      </c>
      <c r="O31" s="641"/>
      <c r="P31" s="641"/>
      <c r="Q31" s="641"/>
      <c r="R31" s="641"/>
    </row>
    <row r="32" spans="2:18" ht="42" x14ac:dyDescent="0.3">
      <c r="B32" s="477" t="s">
        <v>80</v>
      </c>
      <c r="C32" s="478" t="s">
        <v>81</v>
      </c>
      <c r="D32" s="609" t="s">
        <v>71</v>
      </c>
      <c r="E32" s="1632"/>
      <c r="F32" s="1633"/>
      <c r="G32" s="1522" t="str">
        <f t="shared" si="1"/>
        <v>(Required)</v>
      </c>
      <c r="H32" s="1639"/>
      <c r="I32" s="1633"/>
      <c r="J32" s="1523" t="str">
        <f t="shared" si="0"/>
        <v>(Required)</v>
      </c>
      <c r="K32" s="1633"/>
      <c r="L32" s="1633"/>
      <c r="M32" s="1522" t="str">
        <f t="shared" si="2"/>
        <v>(Required)</v>
      </c>
      <c r="O32" s="644" t="str">
        <f>IF(E28="","",VLOOKUP(E28,'LCTOP Project Types'!$B$12:$Q$26,6,0))</f>
        <v/>
      </c>
      <c r="P32" s="641"/>
      <c r="Q32" s="643" t="s">
        <v>81</v>
      </c>
      <c r="R32" s="641"/>
    </row>
    <row r="33" spans="2:18" ht="42" x14ac:dyDescent="0.3">
      <c r="B33" s="477" t="s">
        <v>82</v>
      </c>
      <c r="C33" s="478" t="s">
        <v>83</v>
      </c>
      <c r="D33" s="609" t="s">
        <v>71</v>
      </c>
      <c r="E33" s="1632"/>
      <c r="F33" s="1633"/>
      <c r="G33" s="1524" t="str">
        <f t="shared" si="1"/>
        <v>(Required)</v>
      </c>
      <c r="H33" s="1639"/>
      <c r="I33" s="1633"/>
      <c r="J33" s="1523" t="str">
        <f t="shared" si="0"/>
        <v>(Required)</v>
      </c>
      <c r="K33" s="1633"/>
      <c r="L33" s="1633"/>
      <c r="M33" s="1522" t="str">
        <f t="shared" si="2"/>
        <v>(Required)</v>
      </c>
      <c r="O33" s="644" t="str">
        <f>IF(E28="","",VLOOKUP(E28,'LCTOP Project Types'!$B$12:$Q$26,7,0))</f>
        <v/>
      </c>
      <c r="P33" s="641"/>
      <c r="Q33" s="643" t="s">
        <v>83</v>
      </c>
      <c r="R33" s="641"/>
    </row>
    <row r="34" spans="2:18" ht="33.75" customHeight="1" thickBot="1" x14ac:dyDescent="0.35">
      <c r="B34" s="479" t="s">
        <v>84</v>
      </c>
      <c r="C34" s="480" t="s">
        <v>85</v>
      </c>
      <c r="D34" s="611" t="s">
        <v>66</v>
      </c>
      <c r="E34" s="1634" t="str">
        <f>IF(E28="","", IF(E32="","", IF(E33="","", IF(E33-E32&lt;=0,"Useful Life cannot be negative",IF(E33-E32&gt;50,"Useful Life cannot be greater than 50 years",E33-E32)))))</f>
        <v/>
      </c>
      <c r="F34" s="1635"/>
      <c r="G34" s="1558"/>
      <c r="H34" s="1642" t="str">
        <f>IF(H28="","", IF(H32="","", IF(H33="","", IF(H33-H32&lt;=0,"Useful Life cannot be negative", IF(H33-H32&gt;50,"Useful Life cannot be greater than 50 years",H33-H32)))))</f>
        <v/>
      </c>
      <c r="I34" s="1635"/>
      <c r="J34" s="1541"/>
      <c r="K34" s="1635" t="str">
        <f>IF(K28="","", IF(K32="","", IF(K33="","", IF(K33-K32&lt;=0,"Useful Life cannot be negative",IF(K33-K32&gt;50,"Useful Life cannot be greater than 50 years",K33-K32)))))</f>
        <v/>
      </c>
      <c r="L34" s="1635"/>
      <c r="M34" s="1542"/>
      <c r="O34" s="644" t="str">
        <f>IF(E28="","",VLOOKUP(E28,'LCTOP Project Types'!$B$12:$Q$26,8,0))</f>
        <v/>
      </c>
      <c r="P34" s="641"/>
      <c r="Q34" s="643" t="s">
        <v>85</v>
      </c>
      <c r="R34" s="641"/>
    </row>
    <row r="35" spans="2:18" ht="16.5" customHeight="1" thickBot="1" x14ac:dyDescent="0.35">
      <c r="B35" s="612" t="s">
        <v>86</v>
      </c>
      <c r="C35" s="630"/>
      <c r="D35" s="631"/>
      <c r="E35" s="632"/>
      <c r="F35" s="614"/>
      <c r="G35" s="614"/>
      <c r="H35" s="614"/>
      <c r="I35" s="614"/>
      <c r="J35" s="632"/>
      <c r="K35" s="614"/>
      <c r="L35" s="614"/>
      <c r="M35" s="632"/>
      <c r="O35" s="641"/>
      <c r="P35" s="641"/>
      <c r="Q35" s="641"/>
      <c r="R35" s="641"/>
    </row>
    <row r="36" spans="2:18" ht="31" x14ac:dyDescent="0.3">
      <c r="B36" s="628" t="s">
        <v>87</v>
      </c>
      <c r="C36" s="629" t="s">
        <v>41</v>
      </c>
      <c r="D36" s="481" t="s">
        <v>42</v>
      </c>
      <c r="E36" s="482" t="s">
        <v>40</v>
      </c>
      <c r="F36" s="1469" t="s">
        <v>88</v>
      </c>
      <c r="G36" s="1469"/>
      <c r="H36" s="486" t="s">
        <v>40</v>
      </c>
      <c r="I36" s="1490" t="s">
        <v>88</v>
      </c>
      <c r="J36" s="788"/>
      <c r="K36" s="788" t="s">
        <v>40</v>
      </c>
      <c r="L36" s="1469" t="s">
        <v>88</v>
      </c>
      <c r="M36" s="1489"/>
      <c r="O36" s="641"/>
      <c r="P36" s="641"/>
      <c r="Q36" s="641"/>
      <c r="R36" s="641"/>
    </row>
    <row r="37" spans="2:18" ht="33.75" customHeight="1" x14ac:dyDescent="0.35">
      <c r="B37" s="477" t="s">
        <v>89</v>
      </c>
      <c r="C37" s="478" t="s">
        <v>90</v>
      </c>
      <c r="D37" s="609" t="str">
        <f>IF($E$28="","",IF(OR(#REF!=Defaults!$M$2,#REF!=Defaults!$M$3,#REF!= Defaults!$M$2,#REF!=Defaults!$M$3),"Required Input","Not Required"))</f>
        <v/>
      </c>
      <c r="E37" s="1460"/>
      <c r="F37" s="1470"/>
      <c r="G37" s="1525" t="str">
        <f t="shared" ref="G37:G40" si="3">IF(ISBLANK(E37),"(Required)","")</f>
        <v>(Required)</v>
      </c>
      <c r="H37" s="1456"/>
      <c r="I37" s="1482"/>
      <c r="J37" s="1526" t="str">
        <f>IF(ISBLANK(H37),"(Required)","")</f>
        <v>(Required)</v>
      </c>
      <c r="K37" s="1497"/>
      <c r="L37" s="1470"/>
      <c r="M37" s="1526" t="str">
        <f>IF(ISBLANK(K37),"(Required)","")</f>
        <v>(Required)</v>
      </c>
      <c r="O37" s="726" t="str">
        <f>IF(D37="","",IF(D37="Not Required","Not applicable for this project type.","The increase in unlinked passenger trips directly associated with the proposed project in the first year (Yr1)."))</f>
        <v/>
      </c>
      <c r="P37" s="641"/>
      <c r="Q37" s="645" t="s">
        <v>90</v>
      </c>
      <c r="R37" s="784"/>
    </row>
    <row r="38" spans="2:18" ht="63" customHeight="1" x14ac:dyDescent="0.35">
      <c r="B38" s="477" t="s">
        <v>91</v>
      </c>
      <c r="C38" s="478" t="s">
        <v>92</v>
      </c>
      <c r="D38" s="609" t="str">
        <f>IF($E$28="","",IF(OR(#REF!=Defaults!$M$2,#REF!=Defaults!$M$3,#REF!= Defaults!$M$2,#REF!=Defaults!$M$3),"Required Input","Not Required"))</f>
        <v/>
      </c>
      <c r="E38" s="1460"/>
      <c r="F38" s="1470"/>
      <c r="G38" s="1525" t="str">
        <f t="shared" si="3"/>
        <v>(Required)</v>
      </c>
      <c r="H38" s="1456"/>
      <c r="I38" s="1482"/>
      <c r="J38" s="1526" t="str">
        <f>IF(ISBLANK(H38),"(Required)","")</f>
        <v>(Required)</v>
      </c>
      <c r="K38" s="1497"/>
      <c r="L38" s="1470"/>
      <c r="M38" s="1526" t="str">
        <f t="shared" ref="M38:M40" si="4">IF(ISBLANK(K38),"(Required)","")</f>
        <v>(Required)</v>
      </c>
      <c r="O38" s="726" t="str">
        <f>IF(D38="","",IF(D38="Not Required","Not applicable for this project type.","The increase in unlinked passenger trips directly associated with the proposed project in the final year. If the ridership is not expected to change, Yr1 and YrF should be the same value."))</f>
        <v/>
      </c>
      <c r="P38" s="641"/>
      <c r="Q38" s="645" t="s">
        <v>92</v>
      </c>
      <c r="R38" s="784"/>
    </row>
    <row r="39" spans="2:18" ht="80.25" customHeight="1" x14ac:dyDescent="0.35">
      <c r="B39" s="477" t="s">
        <v>93</v>
      </c>
      <c r="C39" s="478" t="s">
        <v>94</v>
      </c>
      <c r="D39" s="609" t="str">
        <f>IF($E$28="","",IF(#REF!=Defaults!$M$4,"Not Required","Required Input"))</f>
        <v/>
      </c>
      <c r="E39" s="1447"/>
      <c r="F39" s="1470"/>
      <c r="G39" s="1525" t="str">
        <f t="shared" si="3"/>
        <v>(Required)</v>
      </c>
      <c r="H39" s="1457"/>
      <c r="I39" s="1482"/>
      <c r="J39" s="1526" t="str">
        <f>IF(ISBLANK(H39),"(Required)","")</f>
        <v>(Required)</v>
      </c>
      <c r="K39" s="1498"/>
      <c r="L39" s="1470"/>
      <c r="M39" s="1526" t="str">
        <f t="shared" si="4"/>
        <v>(Required)</v>
      </c>
      <c r="O39" s="726" t="str">
        <f>IF(D39="","",IF(D39="Not Required","Not applicable for this project type.","Discount factor applied to annual ridership to account for transit-dependent riders. 
Use: Document project-specific data or system average developed from a recent, statistically valid survey or default."))</f>
        <v/>
      </c>
      <c r="P39" s="641"/>
      <c r="Q39" s="645" t="s">
        <v>95</v>
      </c>
      <c r="R39" s="784"/>
    </row>
    <row r="40" spans="2:18" ht="33.75" customHeight="1" x14ac:dyDescent="0.35">
      <c r="B40" s="477" t="s">
        <v>96</v>
      </c>
      <c r="C40" s="478" t="s">
        <v>97</v>
      </c>
      <c r="D40" s="609" t="str">
        <f>IF($E$28="","",IF(OR(#REF!=Defaults!$M$2,#REF!=Defaults!$M$3,#REF!= Defaults!$M$2,#REF!=Defaults!$M$3),"Required Input","Not Required"))</f>
        <v/>
      </c>
      <c r="E40" s="1448"/>
      <c r="F40" s="1470"/>
      <c r="G40" s="1525" t="str">
        <f t="shared" si="3"/>
        <v>(Required)</v>
      </c>
      <c r="H40" s="1458"/>
      <c r="I40" s="1482"/>
      <c r="J40" s="1526" t="str">
        <f>IF(ISBLANK(H40),"(Required)","")</f>
        <v>(Required)</v>
      </c>
      <c r="K40" s="1499"/>
      <c r="L40" s="1470"/>
      <c r="M40" s="1526" t="str">
        <f t="shared" si="4"/>
        <v>(Required)</v>
      </c>
      <c r="N40" s="483"/>
      <c r="O40" s="726" t="str">
        <f>IF(D40="","",IF(D40="Not Required","Not applicable for this project type.","Annual passenger miles over unlinked trips directly associated with the proposed project."))</f>
        <v/>
      </c>
      <c r="P40" s="641"/>
      <c r="Q40" s="645" t="s">
        <v>98</v>
      </c>
      <c r="R40" s="784"/>
    </row>
    <row r="41" spans="2:18" ht="33.75" hidden="1" customHeight="1" x14ac:dyDescent="0.3">
      <c r="B41" s="722" t="s">
        <v>99</v>
      </c>
      <c r="C41" s="633" t="s">
        <v>100</v>
      </c>
      <c r="D41" s="609"/>
      <c r="E41" s="1428"/>
      <c r="F41" s="789"/>
      <c r="G41" s="1471"/>
      <c r="H41" s="1442"/>
      <c r="I41" s="1482"/>
      <c r="J41" s="1444"/>
      <c r="K41" s="1500"/>
      <c r="L41" s="1470"/>
      <c r="M41" s="1444"/>
      <c r="N41" s="483"/>
      <c r="O41" s="640" t="s">
        <v>101</v>
      </c>
      <c r="P41" s="641"/>
      <c r="Q41" s="642" t="s">
        <v>102</v>
      </c>
      <c r="R41" s="642"/>
    </row>
    <row r="42" spans="2:18" ht="33.75" customHeight="1" x14ac:dyDescent="0.35">
      <c r="B42" s="477" t="s">
        <v>103</v>
      </c>
      <c r="C42" s="478" t="s">
        <v>104</v>
      </c>
      <c r="D42" s="611" t="e">
        <f>IF(OR(#REF!=Defaults!$M$2,#REF!=Defaults!$M$3,#REF!=Defaults!$M$2,#REF!=Defaults!$M$3),"Calculated","Not Applicable")</f>
        <v>#REF!</v>
      </c>
      <c r="E42" s="1527" t="str">
        <f ca="1">IF(OR(E$28=Defaults!$M$2,E$28=Defaults!$M$3),IF(VLOOKUP(MID(CELL("filename",E42),FIND("]",CELL("filename",E42))+1,255)&amp;SUBSTITUTE(ADDRESS(1,COLUMN(E42),4),"1",""),'GHG Calcs'!$E$12:$CL$29,MATCH('GHG Calcs'!$Z$11,'GHG Calcs'!$E$11:$CL$11,0),0)="","",IFERROR(VLOOKUP(MID(CELL("filename",E42),FIND("]",CELL("filename",E42))+1,255)&amp;SUBSTITUTE(ADDRESS(1,COLUMN(E42),4),"1",""),'GHG Calcs'!$E$12:$CL$29,MATCH('GHG Calcs'!$Z$11,'GHG Calcs'!$E$11:$CL$11,0),0),"Incomplete Inputs")),"")</f>
        <v/>
      </c>
      <c r="F42" s="1472"/>
      <c r="G42" s="1432"/>
      <c r="H42" s="1528" t="str">
        <f ca="1">IF(OR(H$28=Defaults!$M$2,H$28=Defaults!$M$3),IF(VLOOKUP(MID(CELL("filename",H42),FIND("]",CELL("filename",H42))+1,255)&amp;SUBSTITUTE(ADDRESS(1,COLUMN(H42),4),"1",""),'GHG Calcs'!$E$12:$CL$29,MATCH('GHG Calcs'!$Z$11,'GHG Calcs'!$E$11:$CL$11,0),0)="","",IFERROR(VLOOKUP(MID(CELL("filename",H42),FIND("]",CELL("filename",H42))+1,255)&amp;SUBSTITUTE(ADDRESS(1,COLUMN(H42),4),"1",""),'GHG Calcs'!$E$12:$CL$29,MATCH('GHG Calcs'!$Z$11,'GHG Calcs'!$E$11:$CL$11,0),0),"Incomplete Inputs")),"")</f>
        <v/>
      </c>
      <c r="I42" s="1491"/>
      <c r="J42" s="1445"/>
      <c r="K42" s="1529" t="str">
        <f ca="1">IF(OR(K$28=Defaults!$M$2,K$28=Defaults!$M$3),IF(VLOOKUP(MID(CELL("filename",K42),FIND("]",CELL("filename",K42))+1,255)&amp;SUBSTITUTE(ADDRESS(1,COLUMN(K42),4),"1",""),'GHG Calcs'!$E$12:$CL$29,MATCH('GHG Calcs'!$Z$11,'GHG Calcs'!$E$11:$CL$11,0),0)="","",IFERROR(VLOOKUP(MID(CELL("filename",K42),FIND("]",CELL("filename",K42))+1,255)&amp;SUBSTITUTE(ADDRESS(1,COLUMN(K42),4),"1",""),'GHG Calcs'!$E$12:$CL$29,MATCH('GHG Calcs'!$Z$11,'GHG Calcs'!$E$11:$CL$11,0),0),"Incomplete Inputs")),"")</f>
        <v/>
      </c>
      <c r="L42" s="1502"/>
      <c r="M42" s="1445"/>
      <c r="N42" s="483"/>
      <c r="O42" s="641"/>
      <c r="P42" s="787" t="str">
        <f ca="1">'GHG Calcs'!Z12</f>
        <v/>
      </c>
      <c r="Q42" s="642" t="s">
        <v>38</v>
      </c>
      <c r="R42" s="787" t="e">
        <f ca="1">IF(OR(#REF!=Defaults!$M$2,#REF!=Defaults!$M$3,#REF!=Defaults!$M$2,#REF!=Defaults!$M$3),IF(VLOOKUP(MID(CELL("filename",E$42),FIND("]",CELL("filename",E$42))+1,255)&amp;SUBSTITUTE(ADDRESS(1,COLUMN(E$42),4),"1",""),'GHG Calcs'!$F$12:$CL$12,MATCH('GHG Calcs'!$Z$11,'GHG Calcs'!$F$11:$CL$11,0),0)="","",IFERROR(VLOOKUP(MID(CELL("filename",E$42),FIND("]",CELL("filename",E$42))+1,255)&amp;SUBSTITUTE(ADDRESS(1,COLUMN(E$42),4),"1",""),'GHG Calcs'!$F$12:$CL$12,MATCH('GHG Calcs'!$Z$11,'GHG Calcs'!$F$11:$CL$11,0),0),"Incomplete Inputs")),"")</f>
        <v>#REF!</v>
      </c>
    </row>
    <row r="43" spans="2:18" ht="54" customHeight="1" thickBot="1" x14ac:dyDescent="0.4">
      <c r="B43" s="484" t="s">
        <v>105</v>
      </c>
      <c r="C43" s="485" t="s">
        <v>106</v>
      </c>
      <c r="D43" s="637" t="e">
        <f>IF(OR(#REF!=Defaults!$M$2,#REF!=Defaults!$M$3,#REF!=Defaults!$M$2,#REF!=Defaults!$M$3),"Calculated","Not Applicable")</f>
        <v>#REF!</v>
      </c>
      <c r="E43" s="1530" t="str">
        <f ca="1">IF(OR(E$28=Defaults!$M$2,E$28=Defaults!$M$3),IF(VLOOKUP(MID(CELL("filename",E43),FIND("]",CELL("filename",E43))+1,255)&amp;SUBSTITUTE(ADDRESS(1,COLUMN(E43),4),"1",""),'GHG Calcs'!$E$12:$CL$29,MATCH('GHG Calcs'!$AA$11,'GHG Calcs'!$E$11:$CL$11,0),0)="","",IFERROR(VLOOKUP(MID(CELL("filename",E43),FIND("]",CELL("filename",E43))+1,255)&amp;SUBSTITUTE(ADDRESS(1,COLUMN(E43),4),"1",""),'GHG Calcs'!$E$12:$CL$29,MATCH('GHG Calcs'!$AA$11,'GHG Calcs'!$E$11:$CL$11,0),0),"Incomplete Inputs")),"")</f>
        <v/>
      </c>
      <c r="F43" s="1473"/>
      <c r="G43" s="1433"/>
      <c r="H43" s="1531" t="str">
        <f ca="1">IF(OR(H$28=Defaults!$M$2,H$28=Defaults!$M$3),IF(VLOOKUP(MID(CELL("filename",H43),FIND("]",CELL("filename",H43))+1,255)&amp;SUBSTITUTE(ADDRESS(1,COLUMN(H43),4),"1",""),'GHG Calcs'!$E$12:$CL$29,MATCH('GHG Calcs'!$AA$11,'GHG Calcs'!$E$11:$CL$11,0),0)="","",IFERROR(VLOOKUP(MID(CELL("filename",H43),FIND("]",CELL("filename",H43))+1,255)&amp;SUBSTITUTE(ADDRESS(1,COLUMN(H43),4),"1",""),'GHG Calcs'!$E$12:$CL$29,MATCH('GHG Calcs'!$AA$11,'GHG Calcs'!$E$11:$CL$11,0),0),"Incomplete Inputs")),"")</f>
        <v/>
      </c>
      <c r="I43" s="1492"/>
      <c r="J43" s="1446"/>
      <c r="K43" s="1532" t="str">
        <f ca="1">IF(OR(K$28=Defaults!$M$2,K$28=Defaults!$M$3),IF(VLOOKUP(MID(CELL("filename",K43),FIND("]",CELL("filename",K43))+1,255)&amp;SUBSTITUTE(ADDRESS(1,COLUMN(K43),4),"1",""),'GHG Calcs'!$E$12:$CL$29,MATCH('GHG Calcs'!$AA$11,'GHG Calcs'!$E$11:$CL$11,0),0)="","",IFERROR(VLOOKUP(MID(CELL("filename",K43),FIND("]",CELL("filename",K43))+1,255)&amp;SUBSTITUTE(ADDRESS(1,COLUMN(K43),4),"1",""),'GHG Calcs'!$E$12:$CL$29,MATCH('GHG Calcs'!$AA$11,'GHG Calcs'!$E$11:$CL$11,0),0),"Incomplete Inputs")),"")</f>
        <v/>
      </c>
      <c r="L43" s="1503"/>
      <c r="M43" s="1507"/>
      <c r="N43" s="483"/>
      <c r="O43" s="641"/>
      <c r="P43" s="787" t="str">
        <f ca="1">'GHG Calcs'!AA12</f>
        <v/>
      </c>
      <c r="Q43" s="642" t="s">
        <v>38</v>
      </c>
      <c r="R43" s="787" t="e">
        <f ca="1">IF(OR(#REF!=Defaults!$M$2,#REF!=Defaults!$M$3,#REF!=Defaults!$M$2,#REF!=Defaults!$M$3),IF(VLOOKUP(MID(CELL("filename",E$43),FIND("]",CELL("filename",E$43))+1,255)&amp;SUBSTITUTE(ADDRESS(1,COLUMN(E$43),4),"1",""),'GHG Calcs'!$F$12:$CL$12,MATCH('GHG Calcs'!$Z$11,'GHG Calcs'!$F$11:$CL$11,0),0)="","",IFERROR(VLOOKUP(MID(CELL("filename",E$43),FIND("]",CELL("filename",E$43))+1,255)&amp;SUBSTITUTE(ADDRESS(1,COLUMN(E$43),4),"1",""),'GHG Calcs'!$F$12:$CL$12,MATCH('GHG Calcs'!$AA$11,'GHG Calcs'!$F$11:$CL$11,0),0),"Incomplete Inputs")),"")</f>
        <v>#REF!</v>
      </c>
    </row>
    <row r="44" spans="2:18" ht="16.5" customHeight="1" thickBot="1" x14ac:dyDescent="0.35">
      <c r="B44" s="612" t="s">
        <v>107</v>
      </c>
      <c r="C44" s="630"/>
      <c r="D44" s="631"/>
      <c r="E44" s="632"/>
      <c r="F44" s="614"/>
      <c r="G44" s="632"/>
      <c r="H44" s="614"/>
      <c r="I44" s="1469"/>
      <c r="J44" s="1489"/>
      <c r="K44" s="614"/>
      <c r="L44" s="614"/>
      <c r="M44" s="632"/>
      <c r="O44" s="641"/>
      <c r="P44" s="641"/>
      <c r="Q44" s="641"/>
      <c r="R44" s="641"/>
    </row>
    <row r="45" spans="2:18" ht="31" x14ac:dyDescent="0.3">
      <c r="B45" s="628" t="s">
        <v>108</v>
      </c>
      <c r="C45" s="629" t="s">
        <v>41</v>
      </c>
      <c r="D45" s="481" t="s">
        <v>42</v>
      </c>
      <c r="E45" s="482" t="s">
        <v>40</v>
      </c>
      <c r="F45" s="1469" t="s">
        <v>88</v>
      </c>
      <c r="G45" s="788"/>
      <c r="H45" s="486" t="s">
        <v>40</v>
      </c>
      <c r="I45" s="1469" t="s">
        <v>88</v>
      </c>
      <c r="J45" s="788"/>
      <c r="K45" s="486" t="s">
        <v>40</v>
      </c>
      <c r="L45" s="1490" t="s">
        <v>88</v>
      </c>
      <c r="M45" s="1489"/>
      <c r="N45" s="483"/>
      <c r="O45" s="641"/>
      <c r="P45" s="641"/>
      <c r="Q45" s="641"/>
      <c r="R45" s="641"/>
    </row>
    <row r="46" spans="2:18" ht="33.75" customHeight="1" x14ac:dyDescent="0.3">
      <c r="B46" s="477" t="s">
        <v>109</v>
      </c>
      <c r="C46" s="478" t="s">
        <v>110</v>
      </c>
      <c r="D46" s="611" t="str">
        <f>IF($E$28="","",IF(OR(#REF!=Defaults!$M$2,#REF!=Defaults!$M$4,#REF!= Defaults!$M$2,#REF!=Defaults!$M$4),IF(NOT(E$29=Defaults!$F$2),"Required Input","Not Required"),"Not Required"))</f>
        <v/>
      </c>
      <c r="E46" s="1443"/>
      <c r="F46" s="1474"/>
      <c r="G46" s="1533" t="str">
        <f t="shared" ref="G46:G51" si="5">IF(ISBLANK(E46),"(Required)","")</f>
        <v>(Required)</v>
      </c>
      <c r="H46" s="1459"/>
      <c r="I46" s="1493"/>
      <c r="J46" s="1533" t="str">
        <f t="shared" ref="J46:J51" si="6">IF(ISBLANK(H46),"(Required)","")</f>
        <v>(Required)</v>
      </c>
      <c r="K46" s="1459"/>
      <c r="L46" s="1493"/>
      <c r="M46" s="1533" t="str">
        <f>IF(ISBLANK(K46),"(Required)","")</f>
        <v>(Required)</v>
      </c>
      <c r="N46" s="483"/>
      <c r="O46" s="727" t="str">
        <f>IF($E$28="","",IF(D46="Not Required","Not applicable for this project type.","The vehicle type (e.g., Transit Bus, Streetcar, Ferry, etc.) that will operate the new service or will be procured."))</f>
        <v/>
      </c>
      <c r="P46" s="641"/>
      <c r="Q46" s="478" t="s">
        <v>110</v>
      </c>
      <c r="R46" s="785"/>
    </row>
    <row r="47" spans="2:18" ht="33.75" customHeight="1" x14ac:dyDescent="0.3">
      <c r="B47" s="477" t="s">
        <v>111</v>
      </c>
      <c r="C47" s="478" t="s">
        <v>112</v>
      </c>
      <c r="D47" s="611" t="str">
        <f>IF($E$28="","",IF(AND(OR(#REF!=Defaults!$M$2,#REF!=Defaults!$M$4,#REF!= Defaults!$M$2,#REF!=Defaults!$M$4),NOT(E$29=Defaults!$F$2),E$46=Defaults!$G$5),"Required Input","Not Required"))</f>
        <v/>
      </c>
      <c r="E47" s="1449"/>
      <c r="F47" s="1474"/>
      <c r="G47" s="1533" t="str">
        <f t="shared" si="5"/>
        <v>(Required)</v>
      </c>
      <c r="H47" s="1452"/>
      <c r="I47" s="1493"/>
      <c r="J47" s="1533" t="str">
        <f t="shared" si="6"/>
        <v>(Required)</v>
      </c>
      <c r="K47" s="1452"/>
      <c r="L47" s="1493"/>
      <c r="M47" s="1533" t="str">
        <f t="shared" ref="M47:M54" si="7">IF(ISBLANK(K47),"(Required)","")</f>
        <v>(Required)</v>
      </c>
      <c r="N47" s="483"/>
      <c r="O47" s="727" t="str">
        <f>IF($E$28="","",IF(D47="Not Required","Not applicable for this project type.","The engine tier for the vehicle(s) that will operate the new service."))</f>
        <v/>
      </c>
      <c r="P47" s="641"/>
      <c r="Q47" s="478" t="s">
        <v>112</v>
      </c>
      <c r="R47" s="785"/>
    </row>
    <row r="48" spans="2:18" ht="33.75" customHeight="1" x14ac:dyDescent="0.3">
      <c r="B48" s="477" t="s">
        <v>113</v>
      </c>
      <c r="C48" s="478" t="s">
        <v>114</v>
      </c>
      <c r="D48" s="611" t="str">
        <f>IF($E$28="","",IF(AND(OR(#REF!=Defaults!$M$2,#REF!=Defaults!$M$4,#REF!= Defaults!$M$2,#REF!=Defaults!$M$4),NOT(E$29=Defaults!$F$2),OR(E$46=Defaults!$G$3,E$46=Defaults!$G$4)),"Required Input","Not Required"))</f>
        <v/>
      </c>
      <c r="E48" s="1449"/>
      <c r="F48" s="1474"/>
      <c r="G48" s="1533" t="str">
        <f t="shared" si="5"/>
        <v>(Required)</v>
      </c>
      <c r="H48" s="1452"/>
      <c r="I48" s="1493"/>
      <c r="J48" s="1533" t="str">
        <f t="shared" si="6"/>
        <v>(Required)</v>
      </c>
      <c r="K48" s="1452"/>
      <c r="L48" s="1493"/>
      <c r="M48" s="1533" t="str">
        <f t="shared" si="7"/>
        <v>(Required)</v>
      </c>
      <c r="N48" s="483"/>
      <c r="O48" s="727" t="str">
        <f>IF($E$28="","",IF(D48="Not Required","Not applicable for this project type.","The engine horsepower rating for the vehicle(s) that will operate the new service."))</f>
        <v/>
      </c>
      <c r="P48" s="641"/>
      <c r="Q48" s="478" t="s">
        <v>114</v>
      </c>
      <c r="R48" s="785"/>
    </row>
    <row r="49" spans="2:18" ht="33.75" customHeight="1" x14ac:dyDescent="0.3">
      <c r="B49" s="477" t="s">
        <v>115</v>
      </c>
      <c r="C49" s="478" t="s">
        <v>116</v>
      </c>
      <c r="D49" s="611" t="str">
        <f>IF($E$28="","",IF(OR(#REF!=Defaults!$M$2,#REF!=Defaults!$M$4,#REF!= Defaults!$M$2,#REF!=Defaults!$M$4),IF(NOT(E$29=Defaults!$F$2),"Required Input","Not Required"),"Not Required"))</f>
        <v/>
      </c>
      <c r="E49" s="1449"/>
      <c r="F49" s="1474"/>
      <c r="G49" s="1533" t="str">
        <f t="shared" si="5"/>
        <v>(Required)</v>
      </c>
      <c r="H49" s="1452"/>
      <c r="I49" s="1493"/>
      <c r="J49" s="1533" t="str">
        <f t="shared" si="6"/>
        <v>(Required)</v>
      </c>
      <c r="K49" s="1452"/>
      <c r="L49" s="1493"/>
      <c r="M49" s="1533" t="str">
        <f t="shared" si="7"/>
        <v>(Required)</v>
      </c>
      <c r="N49" s="483"/>
      <c r="O49" s="478" t="str">
        <f>IF($E$28="","",IF(D49="Not Required","Not applicable for this project type.",VLOOKUP($E$28,'LCTOP Project Types'!$B$12:$Q$26,11,0)))</f>
        <v/>
      </c>
      <c r="P49" s="641"/>
      <c r="Q49" s="478" t="s">
        <v>116</v>
      </c>
      <c r="R49" s="785"/>
    </row>
    <row r="50" spans="2:18" ht="47.25" customHeight="1" x14ac:dyDescent="0.3">
      <c r="B50" s="477" t="s">
        <v>117</v>
      </c>
      <c r="C50" s="478" t="s">
        <v>118</v>
      </c>
      <c r="D50" s="611" t="str">
        <f>IF($E$28="","",IF(OR(#REF!=Defaults!$M$2,#REF!=Defaults!$M$4,#REF!= Defaults!$M$2,#REF!=Defaults!$M$4),IF(NOT(E$29=Defaults!$F$2),"Required Input","Not Required"),"Not Required"))</f>
        <v/>
      </c>
      <c r="E50" s="1449"/>
      <c r="F50" s="1474"/>
      <c r="G50" s="1533" t="str">
        <f t="shared" si="5"/>
        <v>(Required)</v>
      </c>
      <c r="H50" s="1461"/>
      <c r="I50" s="1493"/>
      <c r="J50" s="1533" t="str">
        <f t="shared" si="6"/>
        <v>(Required)</v>
      </c>
      <c r="K50" s="1452"/>
      <c r="L50" s="1493"/>
      <c r="M50" s="1533" t="str">
        <f t="shared" si="7"/>
        <v>(Required)</v>
      </c>
      <c r="N50" s="483"/>
      <c r="O50" s="478" t="str">
        <f>IF($E$28="","",IF(D50="Not Required","Not applicable for this project type.",VLOOKUP($E$28,'LCTOP Project Types'!$B$12:$Q$26,10,0)))</f>
        <v/>
      </c>
      <c r="P50" s="641"/>
      <c r="Q50" s="478" t="s">
        <v>118</v>
      </c>
      <c r="R50" s="785"/>
    </row>
    <row r="51" spans="2:18" ht="54.75" customHeight="1" x14ac:dyDescent="0.3">
      <c r="B51" s="477" t="s">
        <v>119</v>
      </c>
      <c r="C51" s="478" t="s">
        <v>120</v>
      </c>
      <c r="D51" s="611" t="str">
        <f>IF($E$28="","",IF(AND(OR(#REF!=Defaults!$M$2,#REF!=Defaults!$M$4,#REF!=Defaults!$M$2,#REF!=Defaults!$M$4),OR(E$46=Defaults!$G$2,E$46=Defaults!$G$3,E$46=Defaults!$G$4,E$46=Defaults!$G$7,E$46=Defaults!$G$9,E$46=Defaults!$G$10)),"Required Input","Not Required"))</f>
        <v/>
      </c>
      <c r="E51" s="1449"/>
      <c r="F51" s="1474"/>
      <c r="G51" s="1533" t="str">
        <f t="shared" si="5"/>
        <v>(Required)</v>
      </c>
      <c r="H51" s="1461"/>
      <c r="I51" s="1493"/>
      <c r="J51" s="1533" t="str">
        <f t="shared" si="6"/>
        <v>(Required)</v>
      </c>
      <c r="K51" s="1452"/>
      <c r="L51" s="1493"/>
      <c r="M51" s="1533" t="str">
        <f t="shared" si="7"/>
        <v>(Required)</v>
      </c>
      <c r="N51" s="483"/>
      <c r="O51" s="478" t="str">
        <f>IF($E$28="","",IF(D51="Not Required","Not applicable for this project type.",VLOOKUP($E$28,'LCTOP Project Types'!$B$12:$Q$26,12,0)))</f>
        <v/>
      </c>
      <c r="P51" s="641"/>
      <c r="Q51" s="478" t="s">
        <v>120</v>
      </c>
      <c r="R51" s="785"/>
    </row>
    <row r="52" spans="2:18" ht="47.25" customHeight="1" x14ac:dyDescent="0.3">
      <c r="B52" s="477" t="s">
        <v>121</v>
      </c>
      <c r="C52" s="478" t="s">
        <v>122</v>
      </c>
      <c r="D52" s="611" t="str">
        <f>IF($E$28="","",IF(AND(OR(#REF!=Defaults!$M$2,#REF!=Defaults!$M$4,#REF!=Defaults!$M$2,#REF!=Defaults!$M$4),NOT(E$29=Defaults!$F$2)),"Optional Input","Not Required"))</f>
        <v/>
      </c>
      <c r="E52" s="1448"/>
      <c r="F52" s="1470"/>
      <c r="G52" s="1526" t="str">
        <f>IF(ISBLANK(E52),"(Optional)","")</f>
        <v>(Optional)</v>
      </c>
      <c r="H52" s="1458"/>
      <c r="I52" s="1482"/>
      <c r="J52" s="1526" t="str">
        <f>IF(ISBLANK(H52),"(Optional)","")</f>
        <v>(Optional)</v>
      </c>
      <c r="K52" s="1458"/>
      <c r="L52" s="1494"/>
      <c r="M52" s="1533" t="str">
        <f>IF(ISBLANK(K52),"(Optional)","")</f>
        <v>(Optional)</v>
      </c>
      <c r="N52" s="483"/>
      <c r="O52" s="478" t="str">
        <f>IF($E$28="","",IF(D52="Not Required","Not applicable for this project type.","If used, applicant must be able to demonstrate an approved carbon intensity value under the Low Carbon Fuel Standard and submit additional documentation."))</f>
        <v/>
      </c>
      <c r="P52" s="641"/>
      <c r="Q52" s="478" t="s">
        <v>123</v>
      </c>
      <c r="R52" s="785"/>
    </row>
    <row r="53" spans="2:18" ht="100.5" customHeight="1" x14ac:dyDescent="0.3">
      <c r="B53" s="477" t="s">
        <v>124</v>
      </c>
      <c r="C53" s="478" t="s">
        <v>125</v>
      </c>
      <c r="D53" s="611" t="str">
        <f>IF($E$28="","",IF(AND(NOT(ISBLANK($E$54)),OR($E$46=Defaults!$G$3,$E$46=Defaults!$G$5,$E$46=Defaults!$G$6,$E$46=Defaults!$G$8)),"Optional",IF(AND(OR(#REF!=Defaults!$M$2,#REF!=Defaults!$M$4,#REF!=Defaults!$M$2,#REF!=Defaults!$M$4),OR(E$46=Defaults!$G$2,E$46=Defaults!$G$3,E$46=Defaults!$G$5,E$46=Defaults!$G$6,E$46=Defaults!$G$7,E$46=Defaults!$G$8,E$46=Defaults!$G$9,E$46=Defaults!$G$10)),"Required Input","Not Required")))</f>
        <v/>
      </c>
      <c r="E53" s="1450"/>
      <c r="F53" s="1470"/>
      <c r="G53" s="1526" t="str">
        <f>IF(ISBLANK(E53),"(Required)","")</f>
        <v>(Required)</v>
      </c>
      <c r="H53" s="1456"/>
      <c r="I53" s="1482"/>
      <c r="J53" s="1526" t="str">
        <f>IF(ISBLANK(H53),"(Required)","")</f>
        <v>(Required)</v>
      </c>
      <c r="K53" s="1456"/>
      <c r="L53" s="1494"/>
      <c r="M53" s="1533" t="str">
        <f t="shared" si="7"/>
        <v>(Required)</v>
      </c>
      <c r="N53" s="483"/>
      <c r="O53" s="478" t="str">
        <f>IF($E$28="","",IF(D53="Not Required","Not applicable for this project type.",VLOOKUP($E$28,'LCTOP Project Types'!$B$12:$Q$26,13,0)))</f>
        <v/>
      </c>
      <c r="P53" s="641"/>
      <c r="Q53" s="478" t="s">
        <v>125</v>
      </c>
      <c r="R53" s="785"/>
    </row>
    <row r="54" spans="2:18" ht="133.5" customHeight="1" thickBot="1" x14ac:dyDescent="0.35">
      <c r="B54" s="479" t="s">
        <v>126</v>
      </c>
      <c r="C54" s="480" t="s">
        <v>127</v>
      </c>
      <c r="D54" s="605" t="str">
        <f>IF($E$28="","",IF(AND(NOT(ISBLANK($E$53)),OR($E$46=Defaults!$G$3,$E$46=Defaults!$G$5,$E$46=Defaults!$G$6,$E$46=Defaults!$G$8)),"Optional",IF(AND(OR(#REF!=Defaults!$M$2,#REF!=Defaults!$M$4,#REF!=Defaults!$M$2,#REF!=Defaults!$M$4),OR(E$46=Defaults!$G$3,E$46=Defaults!$G$4,E$46=Defaults!$G$5,E$46=Defaults!$G$6,E$46=Defaults!$G$8)),"Required Input","Not Required")))</f>
        <v/>
      </c>
      <c r="E54" s="1450"/>
      <c r="F54" s="1471"/>
      <c r="G54" s="1526" t="str">
        <f>IF(ISBLANK(E54),"(Required)","")</f>
        <v>(Required)</v>
      </c>
      <c r="H54" s="1456"/>
      <c r="I54" s="1494"/>
      <c r="J54" s="1526" t="str">
        <f>IF(ISBLANK(H54),"(Required)","")</f>
        <v>(Required)</v>
      </c>
      <c r="K54" s="1456"/>
      <c r="L54" s="1494"/>
      <c r="M54" s="1533" t="str">
        <f t="shared" si="7"/>
        <v>(Required)</v>
      </c>
      <c r="N54" s="483"/>
      <c r="O54" s="480" t="str">
        <f>IF($E$28="","",IF(D54="Not Required","Not applicable for this project type.",VLOOKUP($E$28,'LCTOP Project Types'!$B$12:$Q$26,14,0)))</f>
        <v/>
      </c>
      <c r="P54" s="641"/>
      <c r="Q54" s="480" t="s">
        <v>127</v>
      </c>
      <c r="R54" s="786"/>
    </row>
    <row r="55" spans="2:18" ht="100.5" hidden="1" customHeight="1" thickBot="1" x14ac:dyDescent="0.35">
      <c r="B55" s="477" t="s">
        <v>128</v>
      </c>
      <c r="C55" s="478" t="s">
        <v>129</v>
      </c>
      <c r="D55" s="605" t="str">
        <f>IF($E$28="","",IF(OR($E$49=Defaults!$I$11, $H$49=Defaults!$I$11, $K$49=Defaults!$I$11),"Required Input","Not Required"))</f>
        <v/>
      </c>
      <c r="E55" s="1431"/>
      <c r="F55" s="1475"/>
      <c r="G55" s="1429"/>
      <c r="H55" s="1430"/>
      <c r="I55" s="1495"/>
      <c r="J55" s="1429"/>
      <c r="K55" s="1430"/>
      <c r="L55" s="1495"/>
      <c r="M55" s="1508"/>
      <c r="N55" s="483"/>
      <c r="O55" s="480"/>
      <c r="P55" s="641"/>
      <c r="Q55" s="480"/>
      <c r="R55" s="786"/>
    </row>
    <row r="56" spans="2:18" ht="16.5" customHeight="1" thickBot="1" x14ac:dyDescent="0.35">
      <c r="B56" s="612" t="s">
        <v>130</v>
      </c>
      <c r="C56" s="630"/>
      <c r="D56" s="631"/>
      <c r="E56" s="632"/>
      <c r="F56" s="614"/>
      <c r="G56" s="1489"/>
      <c r="H56" s="486"/>
      <c r="I56" s="1469"/>
      <c r="J56" s="1489"/>
      <c r="K56" s="614"/>
      <c r="L56" s="614"/>
      <c r="M56" s="632"/>
      <c r="O56" s="641"/>
      <c r="P56" s="641"/>
      <c r="Q56" s="641"/>
      <c r="R56" s="641"/>
    </row>
    <row r="57" spans="2:18" ht="31" x14ac:dyDescent="0.3">
      <c r="B57" s="628" t="s">
        <v>131</v>
      </c>
      <c r="C57" s="629" t="s">
        <v>41</v>
      </c>
      <c r="D57" s="481" t="s">
        <v>42</v>
      </c>
      <c r="E57" s="482" t="s">
        <v>40</v>
      </c>
      <c r="F57" s="1469" t="s">
        <v>88</v>
      </c>
      <c r="G57" s="788"/>
      <c r="H57" s="486" t="s">
        <v>40</v>
      </c>
      <c r="I57" s="1469" t="s">
        <v>88</v>
      </c>
      <c r="J57" s="788"/>
      <c r="K57" s="486" t="s">
        <v>40</v>
      </c>
      <c r="L57" s="1490" t="s">
        <v>88</v>
      </c>
      <c r="M57" s="1489"/>
      <c r="N57" s="483"/>
      <c r="O57" s="641"/>
      <c r="P57" s="641"/>
      <c r="Q57" s="641"/>
      <c r="R57" s="641"/>
    </row>
    <row r="58" spans="2:18" ht="33.75" customHeight="1" x14ac:dyDescent="0.3">
      <c r="B58" s="477" t="s">
        <v>109</v>
      </c>
      <c r="C58" s="478" t="s">
        <v>132</v>
      </c>
      <c r="D58" s="611" t="str">
        <f>IF($E$28="","",IF(OR(#REF!=Defaults!$M$4,#REF!=Defaults!$M$4),"Required Input",IF(OR(#REF!=Defaults!$M$2,#REF!=Defaults!$M$2),"Optional Input","Not Required")))</f>
        <v/>
      </c>
      <c r="E58" s="1443"/>
      <c r="F58" s="1476"/>
      <c r="G58" s="1533" t="b">
        <f>IF(ISBLANK(E58),IF(E$28=Defaults!$M$2,"(Optional)",IF(E$28=Defaults!$M$4,"(Required)")),"")</f>
        <v>0</v>
      </c>
      <c r="H58" s="1462"/>
      <c r="I58" s="1494"/>
      <c r="J58" s="1526" t="b">
        <f>IF(ISBLANK(H58),IF(H$28=Defaults!$M$2,"(Optional)",IF(H$28=Defaults!$M$4,"(Required)")),"")</f>
        <v>0</v>
      </c>
      <c r="K58" s="1462"/>
      <c r="L58" s="1494"/>
      <c r="M58" s="1526" t="b">
        <f>IF(ISBLANK(K58),IF(K$28=Defaults!$M$2,"(Optional)",IF(K$28=Defaults!$M$4,"(Required)")),"")</f>
        <v>0</v>
      </c>
      <c r="N58" s="483"/>
      <c r="O58" s="478" t="str">
        <f>IF($E$28="","",IF(D54="Not Required","Not applicable for this project type.","The vehicle type (e.g., Transit Bus, Streetcar, Ferry, etc.) of the baseline vehicle(s)."))</f>
        <v/>
      </c>
      <c r="P58" s="641"/>
      <c r="Q58" s="478" t="s">
        <v>132</v>
      </c>
      <c r="R58" s="785"/>
    </row>
    <row r="59" spans="2:18" ht="33.75" customHeight="1" x14ac:dyDescent="0.3">
      <c r="B59" s="477" t="s">
        <v>111</v>
      </c>
      <c r="C59" s="478" t="s">
        <v>133</v>
      </c>
      <c r="D59" s="611" t="str">
        <f>IF($E$28="","",IF(AND(OR(#REF!=Defaults!$M$2,#REF!=Defaults!$M$4,#REF!= Defaults!$M$2,#REF!=Defaults!$M$4),E$58=Defaults!$G$5),"Required Input","Not Required"))</f>
        <v/>
      </c>
      <c r="E59" s="1449"/>
      <c r="F59" s="1476"/>
      <c r="G59" s="1526" t="str">
        <f t="shared" ref="G59:G63" si="8">IF(ISBLANK(E59),"(Required)","")</f>
        <v>(Required)</v>
      </c>
      <c r="H59" s="1461"/>
      <c r="I59" s="1494"/>
      <c r="J59" s="1526" t="str">
        <f t="shared" ref="J59:J63" si="9">IF(ISBLANK(H59),"(Required)","")</f>
        <v>(Required)</v>
      </c>
      <c r="K59" s="1461"/>
      <c r="L59" s="1494"/>
      <c r="M59" s="1526" t="str">
        <f t="shared" ref="M59:M63" si="10">IF(ISBLANK(K59),"(Required)","")</f>
        <v>(Required)</v>
      </c>
      <c r="N59" s="483"/>
      <c r="O59" s="478"/>
      <c r="P59" s="641"/>
      <c r="Q59" s="478" t="s">
        <v>133</v>
      </c>
      <c r="R59" s="785"/>
    </row>
    <row r="60" spans="2:18" ht="33.75" customHeight="1" x14ac:dyDescent="0.3">
      <c r="B60" s="477" t="s">
        <v>113</v>
      </c>
      <c r="C60" s="478" t="s">
        <v>134</v>
      </c>
      <c r="D60" s="611" t="str">
        <f>IF($E$28="","",IF(AND(OR(#REF!=Defaults!$M$2,#REF!=Defaults!$M$4,#REF!= Defaults!$M$2,#REF!=Defaults!$M$4),OR($E$58=Defaults!$G$3,$E$58=Defaults!$G$4)),"Required Input","Not Required"))</f>
        <v/>
      </c>
      <c r="E60" s="1451"/>
      <c r="F60" s="1476"/>
      <c r="G60" s="1534" t="str">
        <f t="shared" si="8"/>
        <v>(Required)</v>
      </c>
      <c r="H60" s="1463"/>
      <c r="I60" s="1494"/>
      <c r="J60" s="1526" t="str">
        <f t="shared" si="9"/>
        <v>(Required)</v>
      </c>
      <c r="K60" s="1463"/>
      <c r="L60" s="1494"/>
      <c r="M60" s="1526" t="str">
        <f t="shared" si="10"/>
        <v>(Required)</v>
      </c>
      <c r="N60" s="483"/>
      <c r="O60" s="478"/>
      <c r="P60" s="641"/>
      <c r="Q60" s="478" t="s">
        <v>134</v>
      </c>
      <c r="R60" s="785"/>
    </row>
    <row r="61" spans="2:18" ht="33.75" customHeight="1" x14ac:dyDescent="0.3">
      <c r="B61" s="477" t="s">
        <v>115</v>
      </c>
      <c r="C61" s="478" t="s">
        <v>135</v>
      </c>
      <c r="D61" s="605" t="str">
        <f>IF($E$28="","",IF(OR(#REF!=Defaults!$M$4,#REF!=Defaults!$M$4,AND(OR(#REF!=Defaults!$M$2,#REF!=Defaults!$M$2),NOT(ISBLANK(E58)))),"Required Input","Not Required"))</f>
        <v/>
      </c>
      <c r="E61" s="1449"/>
      <c r="F61" s="1476"/>
      <c r="G61" s="1533" t="str">
        <f t="shared" si="8"/>
        <v>(Required)</v>
      </c>
      <c r="H61" s="1461"/>
      <c r="I61" s="1494"/>
      <c r="J61" s="1526" t="str">
        <f t="shared" si="9"/>
        <v>(Required)</v>
      </c>
      <c r="K61" s="1461"/>
      <c r="L61" s="1494"/>
      <c r="M61" s="1526" t="str">
        <f t="shared" si="10"/>
        <v>(Required)</v>
      </c>
      <c r="N61" s="483"/>
      <c r="O61" s="478"/>
      <c r="P61" s="641"/>
      <c r="Q61" s="478" t="s">
        <v>136</v>
      </c>
      <c r="R61" s="785"/>
    </row>
    <row r="62" spans="2:18" ht="33.75" customHeight="1" x14ac:dyDescent="0.3">
      <c r="B62" s="477" t="s">
        <v>117</v>
      </c>
      <c r="C62" s="478" t="s">
        <v>118</v>
      </c>
      <c r="D62" s="611" t="str">
        <f>IF($E$28="","",IF(OR(#REF!=Defaults!$M$4,#REF!=Defaults!$M$4,AND(OR(#REF!=Defaults!$M$2,#REF!=Defaults!$M$2),NOT(ISBLANK(E58)))),"Required Input","Not Required"))</f>
        <v/>
      </c>
      <c r="E62" s="1449"/>
      <c r="F62" s="1476"/>
      <c r="G62" s="1533" t="str">
        <f t="shared" si="8"/>
        <v>(Required)</v>
      </c>
      <c r="H62" s="1461"/>
      <c r="I62" s="1494"/>
      <c r="J62" s="1526" t="str">
        <f t="shared" si="9"/>
        <v>(Required)</v>
      </c>
      <c r="K62" s="1461"/>
      <c r="L62" s="1494"/>
      <c r="M62" s="1526" t="str">
        <f t="shared" si="10"/>
        <v>(Required)</v>
      </c>
      <c r="N62" s="483"/>
      <c r="O62" s="478"/>
      <c r="P62" s="641"/>
      <c r="Q62" s="478"/>
      <c r="R62" s="785"/>
    </row>
    <row r="63" spans="2:18" ht="33.75" customHeight="1" x14ac:dyDescent="0.3">
      <c r="B63" s="477" t="s">
        <v>119</v>
      </c>
      <c r="C63" s="478" t="s">
        <v>137</v>
      </c>
      <c r="D63" s="611" t="str">
        <f>IF($E$28="","",IF(AND(OR(#REF!=Defaults!$M$4,#REF!=Defaults!$M$4,#REF!=Defaults!$M$2,#REF!=Defaults!$M$2),OR(E$58=Defaults!$G$2,E$58=Defaults!$G$3,E$58=Defaults!$G$4,E$58=Defaults!$G$7,E$58=Defaults!$G$9,E$58=Defaults!$G$10)),"Required Input","Not Required"))</f>
        <v/>
      </c>
      <c r="E63" s="1449"/>
      <c r="F63" s="1476"/>
      <c r="G63" s="1533" t="str">
        <f t="shared" si="8"/>
        <v>(Required)</v>
      </c>
      <c r="H63" s="1461"/>
      <c r="I63" s="1494"/>
      <c r="J63" s="1526" t="str">
        <f t="shared" si="9"/>
        <v>(Required)</v>
      </c>
      <c r="K63" s="1461"/>
      <c r="L63" s="1494"/>
      <c r="M63" s="1526" t="str">
        <f t="shared" si="10"/>
        <v>(Required)</v>
      </c>
      <c r="N63" s="483"/>
      <c r="O63" s="478"/>
      <c r="P63" s="641"/>
      <c r="Q63" s="478" t="s">
        <v>138</v>
      </c>
      <c r="R63" s="785"/>
    </row>
    <row r="64" spans="2:18" ht="46.5" x14ac:dyDescent="0.3">
      <c r="B64" s="477" t="s">
        <v>121</v>
      </c>
      <c r="C64" s="478" t="s">
        <v>122</v>
      </c>
      <c r="D64" s="611" t="str">
        <f>IF($E$28="","",IF(OR(#REF!=Defaults!$M$4,#REF!=Defaults!$M$4,AND(OR(#REF!=Defaults!$M$2,#REF!=Defaults!$M$2),NOT(ISBLANK(E58)))),"Optional Input","Not Required"))</f>
        <v/>
      </c>
      <c r="E64" s="1449"/>
      <c r="F64" s="1476"/>
      <c r="G64" s="1534" t="str">
        <f>IF(ISBLANK(E64),"(Optional)","")</f>
        <v>(Optional)</v>
      </c>
      <c r="H64" s="1461"/>
      <c r="I64" s="1494"/>
      <c r="J64" s="1526" t="str">
        <f>IF(ISBLANK(H64),"(Optional)","")</f>
        <v>(Optional)</v>
      </c>
      <c r="K64" s="1461"/>
      <c r="L64" s="1494"/>
      <c r="M64" s="1526" t="str">
        <f>IF(ISBLANK(K64),"(Optional)","")</f>
        <v>(Optional)</v>
      </c>
      <c r="N64" s="483"/>
      <c r="O64" s="478"/>
      <c r="P64" s="641"/>
      <c r="Q64" s="478"/>
      <c r="R64" s="785"/>
    </row>
    <row r="65" spans="2:18" ht="82.5" customHeight="1" x14ac:dyDescent="0.3">
      <c r="B65" s="477" t="s">
        <v>139</v>
      </c>
      <c r="C65" s="478" t="s">
        <v>140</v>
      </c>
      <c r="D65" s="611" t="str">
        <f>IF($E$28="","",IF(AND(NOT(ISBLANK($E$66)),OR($E$58=Defaults!$G$3,$E$58=Defaults!$G$5,$E$58=Defaults!$G$6,$E$58=Defaults!$G$8)),"Optional",IF(AND(OR(#REF!=Defaults!$M$4,#REF!=Defaults!$M$4,#REF!=Defaults!$M$2,#REF!=Defaults!$M$2),OR(E$58=Defaults!$G$2,E$58=Defaults!$G$3,E$58=Defaults!$G$5,E$58=Defaults!$G$6,E$58=Defaults!$G$7,E$58=Defaults!$G$8,E$58=Defaults!$G$9,E$58=Defaults!$G$10)),"Required Input","Not Required")))</f>
        <v/>
      </c>
      <c r="E65" s="1450"/>
      <c r="F65" s="1476"/>
      <c r="G65" s="1533" t="str">
        <f>IF(ISBLANK(E65),"(Required)","")</f>
        <v>(Required)</v>
      </c>
      <c r="H65" s="1456"/>
      <c r="I65" s="1494"/>
      <c r="J65" s="1526" t="str">
        <f>IF(ISBLANK(H65),"(Required)","")</f>
        <v>(Required)</v>
      </c>
      <c r="K65" s="1456"/>
      <c r="L65" s="1494"/>
      <c r="M65" s="1526" t="str">
        <f>IF(ISBLANK(K65),"(Required)","")</f>
        <v>(Required)</v>
      </c>
      <c r="N65" s="483"/>
      <c r="O65" s="478"/>
      <c r="P65" s="641"/>
      <c r="Q65" s="478" t="s">
        <v>140</v>
      </c>
      <c r="R65" s="785"/>
    </row>
    <row r="66" spans="2:18" ht="110.25" customHeight="1" thickBot="1" x14ac:dyDescent="0.35">
      <c r="B66" s="477" t="s">
        <v>141</v>
      </c>
      <c r="C66" s="478" t="s">
        <v>142</v>
      </c>
      <c r="D66" s="605" t="str">
        <f>IF($E$28="","",IF(AND(NOT(ISBLANK($E$65)),OR($E$58=Defaults!$G$3,$E$58=Defaults!$G$5,$E$58=Defaults!$G$6,$E$58=Defaults!$G$8)),"Optional",IF(AND(OR(#REF!=Defaults!$M$2,#REF!=Defaults!$M$4,#REF!=Defaults!$M$2,#REF!=Defaults!$M$4),OR(E$58=Defaults!$G$3,E$58=Defaults!$G$4,E$58=Defaults!$G$5,E$58=Defaults!$G$6,E$58=Defaults!$G$8)),"Required Input","Not Required")))</f>
        <v/>
      </c>
      <c r="E66" s="1450"/>
      <c r="F66" s="1476"/>
      <c r="G66" s="1534" t="str">
        <f>IF(ISBLANK(E66),"(Required)","")</f>
        <v>(Required)</v>
      </c>
      <c r="H66" s="1456"/>
      <c r="I66" s="1494"/>
      <c r="J66" s="1526" t="str">
        <f>IF(ISBLANK(H66),"(Required)","")</f>
        <v>(Required)</v>
      </c>
      <c r="K66" s="1456"/>
      <c r="L66" s="1494"/>
      <c r="M66" s="1535" t="str">
        <f>IF(ISBLANK(K66),"(Required)","")</f>
        <v>(Required)</v>
      </c>
      <c r="N66" s="483"/>
      <c r="O66" s="478"/>
      <c r="P66" s="641"/>
      <c r="Q66" s="478" t="s">
        <v>142</v>
      </c>
      <c r="R66" s="785"/>
    </row>
    <row r="67" spans="2:18" ht="16.5" customHeight="1" thickBot="1" x14ac:dyDescent="0.35">
      <c r="B67" s="612" t="s">
        <v>143</v>
      </c>
      <c r="C67" s="630"/>
      <c r="D67" s="631"/>
      <c r="E67" s="632"/>
      <c r="F67" s="614"/>
      <c r="G67" s="632"/>
      <c r="H67" s="614"/>
      <c r="I67" s="1469"/>
      <c r="J67" s="1489"/>
      <c r="K67" s="614"/>
      <c r="L67" s="614"/>
      <c r="M67" s="1509"/>
      <c r="O67" s="641"/>
      <c r="P67" s="641"/>
      <c r="Q67" s="641"/>
      <c r="R67" s="641"/>
    </row>
    <row r="68" spans="2:18" ht="31" x14ac:dyDescent="0.3">
      <c r="B68" s="628" t="s">
        <v>144</v>
      </c>
      <c r="C68" s="629" t="s">
        <v>41</v>
      </c>
      <c r="D68" s="481" t="s">
        <v>42</v>
      </c>
      <c r="E68" s="482" t="s">
        <v>40</v>
      </c>
      <c r="F68" s="1469" t="s">
        <v>88</v>
      </c>
      <c r="G68" s="788"/>
      <c r="H68" s="486" t="s">
        <v>40</v>
      </c>
      <c r="I68" s="1469" t="s">
        <v>88</v>
      </c>
      <c r="J68" s="788"/>
      <c r="K68" s="486" t="s">
        <v>40</v>
      </c>
      <c r="L68" s="1490" t="s">
        <v>88</v>
      </c>
      <c r="M68" s="1489"/>
      <c r="N68" s="483"/>
      <c r="O68" s="641"/>
      <c r="P68" s="641"/>
      <c r="Q68" s="641"/>
      <c r="R68" s="641"/>
    </row>
    <row r="69" spans="2:18" ht="51.75" customHeight="1" x14ac:dyDescent="0.3">
      <c r="B69" s="477" t="s">
        <v>109</v>
      </c>
      <c r="C69" s="478" t="s">
        <v>145</v>
      </c>
      <c r="D69" s="611" t="str">
        <f>IF($E$28="","",IF(OR(#REF!=Defaults!$M$5,#REF!=Defaults!$M$5),"Required Input",IF(AND(NOT(ISBLANK(E$28)),NOT(OR(#REF!=Defaults!$M$5,#REF!=Defaults!$M$5))),"Optional Input","Not Required")))</f>
        <v/>
      </c>
      <c r="E69" s="1443"/>
      <c r="F69" s="1471"/>
      <c r="G69" s="1526" t="str">
        <f>IF(ISBLANK(E69),IF(E$28=Defaults!$M$5,"(Required)","(Optional)"),"")</f>
        <v>(Optional)</v>
      </c>
      <c r="H69" s="1462"/>
      <c r="I69" s="1494"/>
      <c r="J69" s="1526" t="str">
        <f>IF(ISBLANK(H69),IF(H$28=Defaults!$M$5,"(Required)","(Optional)"),"")</f>
        <v>(Optional)</v>
      </c>
      <c r="K69" s="1462"/>
      <c r="L69" s="1494"/>
      <c r="M69" s="1526" t="str">
        <f>IF(ISBLANK(K69),IF(K$28=Defaults!$M$5,"(Required)","(Optional)"),"")</f>
        <v>(Optional)</v>
      </c>
      <c r="N69" s="483"/>
      <c r="O69" s="478" t="str">
        <f>IF($E$28="","","The vehicle type (e.g., Transit Bus, Streetcar, Ferry, etc.) of the vehicle(s) that will realize fuel/energy reductions as a result of The project.")</f>
        <v/>
      </c>
      <c r="P69" s="641"/>
      <c r="Q69" s="478" t="s">
        <v>145</v>
      </c>
      <c r="R69" s="785"/>
    </row>
    <row r="70" spans="2:18" ht="33.75" customHeight="1" x14ac:dyDescent="0.3">
      <c r="B70" s="477" t="s">
        <v>111</v>
      </c>
      <c r="C70" s="478" t="s">
        <v>146</v>
      </c>
      <c r="D70" s="611" t="str">
        <f>IF($E$28="","",IF(E$69=Defaults!$G$5,"Required Input","Not Required"))</f>
        <v/>
      </c>
      <c r="E70" s="895"/>
      <c r="F70" s="1471"/>
      <c r="G70" s="1521" t="str">
        <f>IF(ISBLANK(E70),"(Required)","")</f>
        <v>(Required)</v>
      </c>
      <c r="H70" s="1464"/>
      <c r="I70" s="1494"/>
      <c r="J70" s="1521" t="str">
        <f>IF(ISBLANK(H70),"(Required)","")</f>
        <v>(Required)</v>
      </c>
      <c r="K70" s="1464"/>
      <c r="L70" s="1494"/>
      <c r="M70" s="1521" t="str">
        <f>IF(ISBLANK(K70),"(Required)","")</f>
        <v>(Required)</v>
      </c>
      <c r="N70" s="483"/>
      <c r="O70" s="478" t="str">
        <f>IF($E$28="","",IF(D70="Not Required","Not applicable for this project type.","The engine tier of the vehicle(s) that will realize fuel/energy reductions as a result of the project."))</f>
        <v/>
      </c>
      <c r="P70" s="641"/>
      <c r="Q70" s="478" t="s">
        <v>146</v>
      </c>
      <c r="R70" s="785"/>
    </row>
    <row r="71" spans="2:18" ht="33.75" customHeight="1" x14ac:dyDescent="0.3">
      <c r="B71" s="477" t="s">
        <v>113</v>
      </c>
      <c r="C71" s="478" t="s">
        <v>147</v>
      </c>
      <c r="D71" s="611" t="str">
        <f>IF($E$28="","",IF(OR(E$69=Defaults!$G$3,E$69=Defaults!$G$4),"Required Input","Not Required"))</f>
        <v/>
      </c>
      <c r="E71" s="895"/>
      <c r="F71" s="1471"/>
      <c r="G71" s="1521" t="str">
        <f>IF(ISBLANK(E71),"(Required)","")</f>
        <v>(Required)</v>
      </c>
      <c r="H71" s="1464"/>
      <c r="I71" s="1494"/>
      <c r="J71" s="1521" t="str">
        <f>IF(ISBLANK(H71),"(Required)","")</f>
        <v>(Required)</v>
      </c>
      <c r="K71" s="1464"/>
      <c r="L71" s="1494"/>
      <c r="M71" s="1521" t="str">
        <f>IF(ISBLANK(K71),"(Required)","")</f>
        <v>(Required)</v>
      </c>
      <c r="N71" s="483"/>
      <c r="O71" s="478" t="str">
        <f>IF($E$28="","",IF(D71="Not Required","Not applicable for this project type.","The engine horsepower rating of the vehicle(s) that will realize fuel/energy reductions as a result of the project."))</f>
        <v/>
      </c>
      <c r="P71" s="641"/>
      <c r="Q71" s="478" t="s">
        <v>147</v>
      </c>
      <c r="R71" s="785"/>
    </row>
    <row r="72" spans="2:18" ht="33.75" customHeight="1" x14ac:dyDescent="0.3">
      <c r="B72" s="477" t="s">
        <v>115</v>
      </c>
      <c r="C72" s="478" t="s">
        <v>148</v>
      </c>
      <c r="D72" s="611" t="str">
        <f>IF($E$28="","",IF(OR(#REF!=Defaults!$M$5,#REF!=Defaults!$M$5,AND(NOT(ISBLANK(E$28)),NOT(ISBLANK(E$69)))),"Required Input","Not Required"))</f>
        <v/>
      </c>
      <c r="E72" s="1449"/>
      <c r="F72" s="1471"/>
      <c r="G72" s="1526" t="str">
        <f>IF(ISBLANK(E72),"(Required)","")</f>
        <v>(Required)</v>
      </c>
      <c r="H72" s="1461"/>
      <c r="I72" s="1494"/>
      <c r="J72" s="1526" t="str">
        <f>IF(ISBLANK(H72),"(Required)","")</f>
        <v>(Required)</v>
      </c>
      <c r="K72" s="1461"/>
      <c r="L72" s="1494"/>
      <c r="M72" s="1526" t="str">
        <f>IF(ISBLANK(K72),"(Required)","")</f>
        <v>(Required)</v>
      </c>
      <c r="N72" s="483"/>
      <c r="O72" s="478" t="str">
        <f>IF($E$28="","",IF(D72="Not Required","Not applicable for this project type.","The fuel/energy type (e.g., diesel, grid electricity, etc.) being reduced as a result of the project."))</f>
        <v/>
      </c>
      <c r="P72" s="641"/>
      <c r="Q72" s="478" t="s">
        <v>149</v>
      </c>
      <c r="R72" s="785"/>
    </row>
    <row r="73" spans="2:18" ht="33.75" customHeight="1" x14ac:dyDescent="0.3">
      <c r="B73" s="477" t="s">
        <v>119</v>
      </c>
      <c r="C73" s="478" t="s">
        <v>150</v>
      </c>
      <c r="D73" s="611" t="str">
        <f>IF($E$28="","",IF(OR(E$69=Defaults!$G$2,E$69=Defaults!$G$3,E$69=Defaults!$G$4,E$69=Defaults!$G$7,E$69=Defaults!$G$9,E$69=Defaults!$G$10),"Required Input","Not Required"))</f>
        <v/>
      </c>
      <c r="E73" s="1449"/>
      <c r="F73" s="1471"/>
      <c r="G73" s="1526" t="str">
        <f>IF(ISBLANK(E73),"(Required)","")</f>
        <v>(Required)</v>
      </c>
      <c r="H73" s="1461"/>
      <c r="I73" s="1494"/>
      <c r="J73" s="1526" t="str">
        <f>IF(ISBLANK(H73),"(Required)","")</f>
        <v>(Required)</v>
      </c>
      <c r="K73" s="1461"/>
      <c r="L73" s="1494"/>
      <c r="M73" s="1526" t="str">
        <f>IF(ISBLANK(K73),"(Required)","")</f>
        <v>(Required)</v>
      </c>
      <c r="N73" s="483"/>
      <c r="O73" s="478" t="str">
        <f>IF($E$28="","",IF(D73="Not Required","Not applicable for this project type.","The average engine model year(s) of the vehicle(s) that will realize fuel/energy reductions as a result of the project."))</f>
        <v/>
      </c>
      <c r="P73" s="641"/>
      <c r="Q73" s="478" t="s">
        <v>151</v>
      </c>
      <c r="R73" s="785"/>
    </row>
    <row r="74" spans="2:18" ht="173.25" customHeight="1" thickBot="1" x14ac:dyDescent="0.35">
      <c r="B74" s="477" t="s">
        <v>152</v>
      </c>
      <c r="C74" s="478" t="s">
        <v>153</v>
      </c>
      <c r="D74" s="605" t="str">
        <f>IF($E$28="","",IF(NOT(ISBLANK(E69)),"Required Input","Not Required"))</f>
        <v/>
      </c>
      <c r="E74" s="1450"/>
      <c r="F74" s="1471"/>
      <c r="G74" s="1526" t="str">
        <f>IF(ISBLANK(E74),"(Required)","")</f>
        <v>(Required)</v>
      </c>
      <c r="H74" s="1456"/>
      <c r="I74" s="1494"/>
      <c r="J74" s="1526" t="str">
        <f>IF(ISBLANK(H74),"(Required)","")</f>
        <v>(Required)</v>
      </c>
      <c r="K74" s="1456"/>
      <c r="L74" s="1494"/>
      <c r="M74" s="1526" t="str">
        <f>IF(ISBLANK(K74),"(Required)","")</f>
        <v>(Required)</v>
      </c>
      <c r="N74" s="483"/>
      <c r="O74" s="478" t="str">
        <f>IF($E$28="","",IF(D74="Not Required","Not applicable for this project type.","The estimated annual fuel/energy reductions expected to be realized as a result of the project.
Units of gallons for biodiesel, diesel, gasoline, LNG, renewable diesel; scf for CNG and renewable natural gas; kWh for electric; kg for hydrogen."&amp;"
For projects that generate renewable electricity using solar photovoltaic panels, applicants should use the PVWatts Calculator to determine this input, available at http://pvwatts.nrel.gov/."))</f>
        <v/>
      </c>
      <c r="P74" s="641"/>
      <c r="Q74" s="478" t="s">
        <v>154</v>
      </c>
      <c r="R74" s="785"/>
    </row>
    <row r="75" spans="2:18" ht="16.5" customHeight="1" thickBot="1" x14ac:dyDescent="0.35">
      <c r="B75" s="612" t="s">
        <v>155</v>
      </c>
      <c r="C75" s="630"/>
      <c r="D75" s="631"/>
      <c r="E75" s="632"/>
      <c r="F75" s="614"/>
      <c r="G75" s="632"/>
      <c r="H75" s="614"/>
      <c r="I75" s="614"/>
      <c r="J75" s="632"/>
      <c r="K75" s="614"/>
      <c r="L75" s="614"/>
      <c r="M75" s="1509"/>
      <c r="O75" s="641"/>
      <c r="P75" s="641"/>
      <c r="Q75" s="641"/>
      <c r="R75" s="641"/>
    </row>
    <row r="76" spans="2:18" ht="31" x14ac:dyDescent="0.3">
      <c r="B76" s="628" t="s">
        <v>156</v>
      </c>
      <c r="C76" s="627" t="s">
        <v>41</v>
      </c>
      <c r="D76" s="626" t="s">
        <v>42</v>
      </c>
      <c r="E76" s="482" t="s">
        <v>40</v>
      </c>
      <c r="F76" s="1469" t="s">
        <v>88</v>
      </c>
      <c r="G76" s="788"/>
      <c r="H76" s="486" t="s">
        <v>40</v>
      </c>
      <c r="I76" s="1490" t="s">
        <v>88</v>
      </c>
      <c r="J76" s="788"/>
      <c r="K76" s="486" t="s">
        <v>40</v>
      </c>
      <c r="L76" s="1490" t="s">
        <v>88</v>
      </c>
      <c r="M76" s="1489"/>
      <c r="O76" s="641"/>
      <c r="P76" s="641"/>
      <c r="Q76" s="641"/>
      <c r="R76" s="641"/>
    </row>
    <row r="77" spans="2:18" ht="47.25" customHeight="1" x14ac:dyDescent="0.35">
      <c r="B77" s="477" t="s">
        <v>157</v>
      </c>
      <c r="C77" s="478" t="s">
        <v>158</v>
      </c>
      <c r="D77" s="605" t="str">
        <f>IF($E$28="","",IF(OR(#REF!=Defaults!$M$3,#REF!= Defaults!$M$3),"Required Input","Not Required"))</f>
        <v/>
      </c>
      <c r="E77" s="1453"/>
      <c r="F77" s="1471"/>
      <c r="G77" s="1526" t="str">
        <f>IF(ISBLANK(E77),"(Optional)","")</f>
        <v>(Optional)</v>
      </c>
      <c r="H77" s="1455"/>
      <c r="I77" s="1494"/>
      <c r="J77" s="1526" t="str">
        <f>IF(ISBLANK(H77),"(Optional)","")</f>
        <v>(Optional)</v>
      </c>
      <c r="K77" s="1455"/>
      <c r="L77" s="1494"/>
      <c r="M77" s="1526" t="str">
        <f>IF(ISBLANK(K77),"(Optional)","")</f>
        <v>(Optional)</v>
      </c>
      <c r="N77" s="463"/>
      <c r="O77" s="478" t="s">
        <v>159</v>
      </c>
      <c r="P77" s="641"/>
      <c r="Q77" s="478" t="s">
        <v>158</v>
      </c>
      <c r="R77" s="785"/>
    </row>
    <row r="78" spans="2:18" ht="47.25" customHeight="1" x14ac:dyDescent="0.35">
      <c r="B78" s="477" t="s">
        <v>160</v>
      </c>
      <c r="C78" s="478" t="s">
        <v>161</v>
      </c>
      <c r="D78" s="605" t="str">
        <f>IF($E$28="","",IF(OR(#REF!=Defaults!$M$2,#REF!= Defaults!$M$3,#REF!= Defaults!$M$2,#REF!= Defaults!$M$3),"Required Input","Not Required"))</f>
        <v/>
      </c>
      <c r="E78" s="1453"/>
      <c r="F78" s="1470"/>
      <c r="G78" s="1526" t="str">
        <f>IF(ISBLANK(E78),"(Optional)","")</f>
        <v>(Optional)</v>
      </c>
      <c r="H78" s="1465"/>
      <c r="I78" s="1482"/>
      <c r="J78" s="1526" t="str">
        <f>IF(ISBLANK(H78),"(Optional)","")</f>
        <v>(Optional)</v>
      </c>
      <c r="K78" s="1465"/>
      <c r="L78" s="1482"/>
      <c r="M78" s="1526" t="str">
        <f t="shared" ref="M78:M81" si="11">IF(ISBLANK(K78),"(Optional)","")</f>
        <v>(Optional)</v>
      </c>
      <c r="N78" s="463"/>
      <c r="O78" s="478" t="str">
        <f>IF($E$28="","",IF(D78="Not Required","Not applicable for this project type.","The new expected average fare cost per trip per rider resulting from the proposed project."))</f>
        <v/>
      </c>
      <c r="P78" s="641"/>
      <c r="Q78" s="478" t="s">
        <v>161</v>
      </c>
      <c r="R78" s="785"/>
    </row>
    <row r="79" spans="2:18" ht="78.75" customHeight="1" x14ac:dyDescent="0.35">
      <c r="B79" s="477" t="s">
        <v>162</v>
      </c>
      <c r="C79" s="478" t="s">
        <v>163</v>
      </c>
      <c r="D79" s="605" t="str">
        <f>IF($E$28="","",IF(OR(#REF!=Defaults!$M$2,#REF!= Defaults!$M$3,#REF!= Defaults!$M$2,#REF!= Defaults!$M$3),"Required Input","Not Required"))</f>
        <v/>
      </c>
      <c r="E79" s="1453"/>
      <c r="F79" s="1470"/>
      <c r="G79" s="1526" t="str">
        <f>IF(ISBLANK(E79),"(Optional)","")</f>
        <v>(Optional)</v>
      </c>
      <c r="H79" s="1465"/>
      <c r="I79" s="1482"/>
      <c r="J79" s="1526" t="str">
        <f>IF(ISBLANK(H79),"(Optional)","")</f>
        <v>(Optional)</v>
      </c>
      <c r="K79" s="1465"/>
      <c r="L79" s="1482"/>
      <c r="M79" s="1526" t="str">
        <f t="shared" si="11"/>
        <v>(Optional)</v>
      </c>
      <c r="N79" s="463"/>
      <c r="O79" s="478" t="str">
        <f>IF($E$28="","",IF(D79="Not Required","Not applicable for this project type.","The average expected cost of parking per trip per rider that riders would pay at the transit facility where the trip originates. "&amp;"Consider that not all transit riders may use the parking. However, the calculations will already take into account that parking is only paid once per round trip."))</f>
        <v/>
      </c>
      <c r="P79" s="641"/>
      <c r="Q79" s="478" t="s">
        <v>164</v>
      </c>
      <c r="R79" s="785"/>
    </row>
    <row r="80" spans="2:18" ht="78.75" customHeight="1" x14ac:dyDescent="0.35">
      <c r="B80" s="477" t="s">
        <v>165</v>
      </c>
      <c r="C80" s="478" t="s">
        <v>166</v>
      </c>
      <c r="D80" s="605" t="str">
        <f>IF($E$28="","",IF(OR(#REF!=Defaults!$M$2,#REF!= Defaults!$M$3,#REF!= Defaults!$M$2,#REF!= Defaults!$M$3),"Required Input","Not Required"))</f>
        <v/>
      </c>
      <c r="E80" s="1453"/>
      <c r="F80" s="1470"/>
      <c r="G80" s="1526" t="str">
        <f>IF(ISBLANK(E80),"(Optional)","")</f>
        <v>(Optional)</v>
      </c>
      <c r="H80" s="1465"/>
      <c r="I80" s="1482"/>
      <c r="J80" s="1526" t="str">
        <f>IF(ISBLANK(H80),"(Optional)","")</f>
        <v>(Optional)</v>
      </c>
      <c r="K80" s="1465"/>
      <c r="L80" s="1482"/>
      <c r="M80" s="1526" t="str">
        <f t="shared" si="11"/>
        <v>(Optional)</v>
      </c>
      <c r="N80" s="463"/>
      <c r="O80" s="478" t="str">
        <f>IF($E$28="","",IF(D80="Not Required","Not applicable for this project type.","The average expected cost of parking per trip per rider  that riders would have otherwise paid if not using the service resulting from the project. "&amp;"The calculations will already take into account that parking is only paid once per round trip."))</f>
        <v/>
      </c>
      <c r="P80" s="641"/>
      <c r="Q80" s="478" t="s">
        <v>166</v>
      </c>
      <c r="R80" s="785"/>
    </row>
    <row r="81" spans="2:18" ht="79.5" customHeight="1" thickBot="1" x14ac:dyDescent="0.4">
      <c r="B81" s="484" t="s">
        <v>167</v>
      </c>
      <c r="C81" s="485" t="s">
        <v>168</v>
      </c>
      <c r="D81" s="605" t="str">
        <f>IF($E$28="","",IF(OR(#REF!=Defaults!$M$2,#REF!= Defaults!$M$3,#REF!= Defaults!$M$2,#REF!= Defaults!$M$3),"Required Input","Not Required"))</f>
        <v/>
      </c>
      <c r="E81" s="1454"/>
      <c r="F81" s="1477"/>
      <c r="G81" s="1535" t="str">
        <f>IF(ISBLANK(E81),"(Optional)","")</f>
        <v>(Optional)</v>
      </c>
      <c r="H81" s="1466"/>
      <c r="I81" s="1496"/>
      <c r="J81" s="1535" t="str">
        <f>IF(ISBLANK(H81),"(Optional)","")</f>
        <v>(Optional)</v>
      </c>
      <c r="K81" s="1466"/>
      <c r="L81" s="1496"/>
      <c r="M81" s="1535" t="str">
        <f t="shared" si="11"/>
        <v>(Optional)</v>
      </c>
      <c r="N81" s="463"/>
      <c r="O81" s="485" t="str">
        <f>IF($E$28="","",IF(D81="Not Required","Not applicable for this project type.","The average expected cost of tolls per trip per rider that riders would have otherwise paid if not using the service resulting from the project. The calculations will already take into account that tolls are only paid once per round trip."))</f>
        <v/>
      </c>
      <c r="P81" s="783"/>
      <c r="Q81" s="485" t="s">
        <v>169</v>
      </c>
      <c r="R81" s="783"/>
    </row>
    <row r="82" spans="2:18" ht="16.5" hidden="1" customHeight="1" thickBot="1" x14ac:dyDescent="0.35">
      <c r="B82" s="612" t="s">
        <v>155</v>
      </c>
      <c r="C82" s="630"/>
      <c r="D82" s="631"/>
      <c r="E82" s="632"/>
      <c r="F82" s="632"/>
      <c r="G82" s="614"/>
      <c r="H82" s="614"/>
      <c r="I82" s="614"/>
      <c r="J82" s="614"/>
      <c r="K82" s="614"/>
      <c r="L82" s="632"/>
      <c r="M82" s="1486"/>
      <c r="O82" s="641"/>
      <c r="P82" s="641"/>
      <c r="Q82" s="642" t="s">
        <v>38</v>
      </c>
      <c r="R82" s="642"/>
    </row>
    <row r="83" spans="2:18" ht="48.5" hidden="1" x14ac:dyDescent="0.35">
      <c r="B83" s="634" t="s">
        <v>170</v>
      </c>
      <c r="C83" s="478" t="s">
        <v>171</v>
      </c>
      <c r="D83" s="636" t="s">
        <v>66</v>
      </c>
      <c r="E83" s="896" t="str">
        <f ca="1">IF('GHG Calcs'!CK12="","Incomplete Inputs",IFERROR('GHG Calcs'!CK12,"Incomplete Inputs"))</f>
        <v>Incomplete Inputs</v>
      </c>
      <c r="F83" s="893"/>
      <c r="G83" s="1478"/>
      <c r="H83" s="878" t="str">
        <f ca="1">IFERROR(VLOOKUP(MID(CELL("filename",H$43),FIND("]",CELL("filename",H$43))+1,255)&amp;SUBSTITUTE(ADDRESS(1,COLUMN(H$43),4),"1",""),'GHG Calcs'!$F$12:$CL$12,MATCH('GHG Calcs'!$CK$11,'GHG Calcs'!$F$11:$CL$11,0),0),"Incomplete Inputs")</f>
        <v>Incomplete Inputs</v>
      </c>
      <c r="I83" s="798"/>
      <c r="J83" s="1483"/>
      <c r="K83" s="800" t="str">
        <f ca="1">IFERROR(VLOOKUP(MID(CELL("filename",K$43),FIND("]",CELL("filename",K$43))+1,255)&amp;SUBSTITUTE(ADDRESS(1,COLUMN(K$43),4),"1",""),'GHG Calcs'!$F$12:$CL$12,MATCH('GHG Calcs'!$CK$11,'GHG Calcs'!$F$11:$CL$11,0),0),"Incomplete Inputs")</f>
        <v>Incomplete Inputs</v>
      </c>
      <c r="L83" s="798"/>
      <c r="M83" s="1487"/>
      <c r="N83" s="483"/>
      <c r="O83" s="641"/>
      <c r="P83" s="787" t="str">
        <f ca="1">IF('GHG Calcs'!CK12="","Incomplete Inputs",IFERROR('GHG Calcs'!CK12,"Incomplete Inputs"))</f>
        <v>Incomplete Inputs</v>
      </c>
      <c r="Q83" s="642" t="s">
        <v>38</v>
      </c>
      <c r="R83" s="787" t="str">
        <f ca="1">IFERROR(VLOOKUP(MID(CELL("filename",E$43),FIND("]",CELL("filename",E$43))+1,255)&amp;SUBSTITUTE(ADDRESS(1,COLUMN(E$43),4),"1",""),'GHG Calcs'!$F$12:$CL$12,MATCH('GHG Calcs'!$CK$11,'GHG Calcs'!$F$11:$CL$11,0),0),"Incomplete Inputs")</f>
        <v>Incomplete Inputs</v>
      </c>
    </row>
    <row r="84" spans="2:18" ht="62" hidden="1" x14ac:dyDescent="0.35">
      <c r="B84" s="477" t="s">
        <v>172</v>
      </c>
      <c r="C84" s="478" t="s">
        <v>173</v>
      </c>
      <c r="D84" s="605" t="s">
        <v>66</v>
      </c>
      <c r="E84" s="899" t="str">
        <f ca="1">IFERROR('GHG Calcs'!CK12*#REF!/#REF!,IF(ISERROR('GHG Calcs'!CK12),"Incomplete Inputs","Incomplete Funding Inputs"))</f>
        <v>Incomplete Funding Inputs</v>
      </c>
      <c r="F84" s="1096"/>
      <c r="G84" s="1479"/>
      <c r="H84" s="1097" t="str">
        <f ca="1">IFERROR(H83*(H17+H21)/H25,IF(ISTEXT(H83),"Incomplete Inputs","Incomplete Funding Inputs"))</f>
        <v>Incomplete Inputs</v>
      </c>
      <c r="I84" s="1098"/>
      <c r="J84" s="1484"/>
      <c r="K84" s="1099" t="str">
        <f ca="1">IFERROR(K83*(K17+K21)/K25,IF(ISTEXT(K83),"Incomplete Inputs","Incomplete Funding Inputs"))</f>
        <v>Incomplete Inputs</v>
      </c>
      <c r="L84" s="1098"/>
      <c r="M84" s="1487"/>
      <c r="N84" s="483"/>
      <c r="O84" s="641"/>
      <c r="P84" s="787" t="str">
        <f ca="1">IFERROR('GHG Calcs'!CK12*#REF!/#REF!,IF(ISERROR('GHG Calcs'!CK12),"Incomplete Inputs","Incomplete Funding Inputs"))</f>
        <v>Incomplete Funding Inputs</v>
      </c>
      <c r="Q84" s="642" t="s">
        <v>38</v>
      </c>
      <c r="R84" s="787" t="str">
        <f ca="1">IFERROR(E83*(E17+E21)/E25,IF(ISTEXT(E83),"Incomplete Inputs","Incomplete Funding Inputs"))</f>
        <v>Incomplete Inputs</v>
      </c>
    </row>
    <row r="85" spans="2:18" ht="78" hidden="1" thickBot="1" x14ac:dyDescent="0.4">
      <c r="B85" s="635" t="s">
        <v>174</v>
      </c>
      <c r="C85" s="898" t="s">
        <v>175</v>
      </c>
      <c r="D85" s="721" t="s">
        <v>66</v>
      </c>
      <c r="E85" s="897" t="str">
        <f ca="1">IFERROR('GHG Calcs'!CK12*#REF!/#REF!,IF(ISERROR('GHG Calcs'!CK12),"Incomplete Inputs","Incomplete Funding Inputs"))</f>
        <v>Incomplete Funding Inputs</v>
      </c>
      <c r="F85" s="894"/>
      <c r="G85" s="1480"/>
      <c r="H85" s="879" t="str">
        <f ca="1">IFERROR(H83*H17/H25,IF(ISTEXT(H83),"Incomplete Inputs","Incomplete Funding Inputs"))</f>
        <v>Incomplete Inputs</v>
      </c>
      <c r="I85" s="799"/>
      <c r="J85" s="1485"/>
      <c r="K85" s="801" t="str">
        <f ca="1">IFERROR(K83*K17/K25,IF(ISTEXT(K83),"Incomplete Inputs","Incomplete Funding Inputs"))</f>
        <v>Incomplete Inputs</v>
      </c>
      <c r="L85" s="799"/>
      <c r="M85" s="1487"/>
      <c r="O85" s="641"/>
      <c r="P85" s="787" t="str">
        <f>IFERROR('GHG Calcs'!#REF!*#REF!/#REF!,IF(ISERROR('GHG Calcs'!#REF!),"Incomplete Inputs","Incomplete Funding Inputs"))</f>
        <v>Incomplete Inputs</v>
      </c>
      <c r="Q85" s="642" t="s">
        <v>38</v>
      </c>
      <c r="R85" s="787" t="str">
        <f ca="1">IFERROR(E84*(E18+E22)/E26,IF(ISTEXT(E84),"Incomplete Inputs","Incomplete Funding Inputs"))</f>
        <v>Incomplete Inputs</v>
      </c>
    </row>
    <row r="86" spans="2:18" ht="15.5" x14ac:dyDescent="0.35">
      <c r="B86" s="463"/>
      <c r="C86" s="463"/>
      <c r="D86" s="463"/>
      <c r="E86" s="463"/>
      <c r="F86" s="463"/>
      <c r="G86" s="463"/>
    </row>
    <row r="87" spans="2:18" ht="15.5" x14ac:dyDescent="0.35">
      <c r="B87" s="463"/>
      <c r="C87" s="463"/>
      <c r="D87" s="463"/>
      <c r="E87" s="463"/>
      <c r="F87" s="463"/>
      <c r="G87" s="463"/>
    </row>
    <row r="88" spans="2:18" ht="15.5" x14ac:dyDescent="0.35">
      <c r="B88" s="463"/>
      <c r="C88" s="463"/>
      <c r="D88" s="463"/>
      <c r="E88" s="463"/>
      <c r="F88" s="463"/>
      <c r="G88" s="463"/>
    </row>
    <row r="89" spans="2:18" ht="15.5" x14ac:dyDescent="0.35">
      <c r="B89" s="463"/>
      <c r="C89" s="463"/>
      <c r="D89" s="463"/>
      <c r="E89" s="463"/>
      <c r="F89" s="463"/>
      <c r="G89" s="463"/>
    </row>
    <row r="90" spans="2:18" ht="15.5" x14ac:dyDescent="0.35">
      <c r="B90" s="463"/>
      <c r="C90" s="463"/>
      <c r="D90" s="463"/>
      <c r="E90" s="463"/>
      <c r="F90" s="463"/>
      <c r="G90" s="463"/>
    </row>
    <row r="91" spans="2:18" ht="15.5" x14ac:dyDescent="0.35">
      <c r="B91" s="463"/>
      <c r="C91" s="463"/>
      <c r="D91" s="463"/>
      <c r="E91" s="463"/>
      <c r="F91" s="463"/>
      <c r="G91" s="463"/>
    </row>
    <row r="92" spans="2:18" ht="15.5" x14ac:dyDescent="0.35">
      <c r="B92" s="463"/>
      <c r="C92" s="463"/>
      <c r="D92" s="463"/>
      <c r="E92" s="463"/>
      <c r="F92" s="463"/>
      <c r="G92" s="463"/>
    </row>
    <row r="93" spans="2:18" ht="15.5" x14ac:dyDescent="0.35">
      <c r="B93" s="463"/>
      <c r="C93" s="463"/>
      <c r="D93" s="463"/>
      <c r="E93" s="463"/>
      <c r="F93" s="463"/>
      <c r="G93" s="463"/>
    </row>
    <row r="94" spans="2:18" ht="15.5" x14ac:dyDescent="0.35">
      <c r="B94" s="463"/>
      <c r="C94" s="463"/>
      <c r="D94" s="463"/>
      <c r="E94" s="463"/>
      <c r="F94" s="463"/>
      <c r="G94" s="463"/>
    </row>
    <row r="95" spans="2:18" ht="15.5" x14ac:dyDescent="0.35">
      <c r="B95" s="463"/>
      <c r="C95" s="463"/>
      <c r="D95" s="463"/>
      <c r="E95" s="463"/>
      <c r="F95" s="463"/>
      <c r="G95" s="463"/>
    </row>
    <row r="96" spans="2:18" ht="15.5" x14ac:dyDescent="0.35">
      <c r="B96" s="463"/>
      <c r="C96" s="463"/>
      <c r="D96" s="463"/>
      <c r="E96" s="463"/>
      <c r="F96" s="463"/>
      <c r="G96" s="463"/>
    </row>
    <row r="97" spans="2:7" ht="15.5" x14ac:dyDescent="0.35">
      <c r="B97" s="463"/>
      <c r="C97" s="463"/>
      <c r="D97" s="463"/>
      <c r="E97" s="463"/>
      <c r="F97" s="463"/>
      <c r="G97" s="463"/>
    </row>
    <row r="98" spans="2:7" ht="15.5" x14ac:dyDescent="0.35">
      <c r="B98" s="463"/>
      <c r="C98" s="463"/>
      <c r="D98" s="463"/>
      <c r="E98" s="463"/>
      <c r="F98" s="463"/>
      <c r="G98" s="463"/>
    </row>
    <row r="99" spans="2:7" ht="15.5" x14ac:dyDescent="0.35">
      <c r="B99" s="463"/>
      <c r="C99" s="463"/>
      <c r="D99" s="463"/>
      <c r="E99" s="463"/>
      <c r="F99" s="463"/>
      <c r="G99" s="463"/>
    </row>
    <row r="100" spans="2:7" ht="15.5" x14ac:dyDescent="0.35">
      <c r="B100" s="463"/>
      <c r="C100" s="463"/>
      <c r="D100" s="463"/>
      <c r="E100" s="463"/>
      <c r="F100" s="463"/>
      <c r="G100" s="463"/>
    </row>
    <row r="101" spans="2:7" ht="15.5" x14ac:dyDescent="0.35">
      <c r="B101" s="463"/>
      <c r="C101" s="463"/>
      <c r="D101" s="463"/>
      <c r="E101" s="463"/>
      <c r="F101" s="463"/>
      <c r="G101" s="463"/>
    </row>
    <row r="102" spans="2:7" ht="15.5" x14ac:dyDescent="0.35">
      <c r="B102" s="463"/>
      <c r="C102" s="463"/>
      <c r="D102" s="463"/>
      <c r="E102" s="463"/>
      <c r="F102" s="463"/>
      <c r="G102" s="463"/>
    </row>
    <row r="103" spans="2:7" ht="15.5" x14ac:dyDescent="0.35">
      <c r="B103" s="463"/>
      <c r="C103" s="463"/>
      <c r="D103" s="463"/>
      <c r="E103" s="463"/>
      <c r="F103" s="463"/>
      <c r="G103" s="463"/>
    </row>
    <row r="104" spans="2:7" ht="15.5" x14ac:dyDescent="0.35">
      <c r="B104" s="463"/>
      <c r="C104" s="463"/>
      <c r="D104" s="463"/>
      <c r="E104" s="463"/>
      <c r="F104" s="463"/>
      <c r="G104" s="463"/>
    </row>
    <row r="105" spans="2:7" ht="15.5" x14ac:dyDescent="0.35">
      <c r="B105" s="463"/>
      <c r="C105" s="463"/>
      <c r="D105" s="463"/>
      <c r="E105" s="463"/>
      <c r="F105" s="463"/>
      <c r="G105" s="463"/>
    </row>
    <row r="106" spans="2:7" ht="15.5" x14ac:dyDescent="0.35">
      <c r="B106" s="463"/>
      <c r="C106" s="463"/>
      <c r="D106" s="463"/>
      <c r="E106" s="463"/>
      <c r="F106" s="463"/>
      <c r="G106" s="463"/>
    </row>
    <row r="107" spans="2:7" ht="15.5" x14ac:dyDescent="0.35">
      <c r="B107" s="463"/>
      <c r="C107" s="463"/>
      <c r="D107" s="463"/>
      <c r="E107" s="463"/>
      <c r="F107" s="463"/>
      <c r="G107" s="463"/>
    </row>
    <row r="108" spans="2:7" ht="15.5" x14ac:dyDescent="0.35">
      <c r="B108" s="463"/>
      <c r="C108" s="463"/>
      <c r="D108" s="463"/>
      <c r="E108" s="463"/>
      <c r="F108" s="463"/>
      <c r="G108" s="463"/>
    </row>
    <row r="109" spans="2:7" ht="15.5" x14ac:dyDescent="0.35">
      <c r="B109" s="463"/>
      <c r="C109" s="463"/>
      <c r="D109" s="463"/>
      <c r="E109" s="463"/>
      <c r="F109" s="463"/>
      <c r="G109" s="463"/>
    </row>
  </sheetData>
  <mergeCells count="48">
    <mergeCell ref="E15:F15"/>
    <mergeCell ref="H15:I15"/>
    <mergeCell ref="K15:L15"/>
    <mergeCell ref="E17:F17"/>
    <mergeCell ref="H17:I17"/>
    <mergeCell ref="K17:L17"/>
    <mergeCell ref="E18:F18"/>
    <mergeCell ref="H18:I18"/>
    <mergeCell ref="K18:L18"/>
    <mergeCell ref="E20:F20"/>
    <mergeCell ref="H20:I20"/>
    <mergeCell ref="K20:L20"/>
    <mergeCell ref="E21:F21"/>
    <mergeCell ref="H21:I21"/>
    <mergeCell ref="K21:L21"/>
    <mergeCell ref="E23:F23"/>
    <mergeCell ref="H23:I23"/>
    <mergeCell ref="K23:L23"/>
    <mergeCell ref="E24:F24"/>
    <mergeCell ref="H24:I24"/>
    <mergeCell ref="K24:L24"/>
    <mergeCell ref="E25:F25"/>
    <mergeCell ref="H25:I25"/>
    <mergeCell ref="K25:L25"/>
    <mergeCell ref="E27:F27"/>
    <mergeCell ref="H27:I27"/>
    <mergeCell ref="K27:L27"/>
    <mergeCell ref="E28:F28"/>
    <mergeCell ref="H28:I28"/>
    <mergeCell ref="K28:L28"/>
    <mergeCell ref="E29:F29"/>
    <mergeCell ref="H29:I29"/>
    <mergeCell ref="K29:L29"/>
    <mergeCell ref="E30:F30"/>
    <mergeCell ref="H30:I30"/>
    <mergeCell ref="K30:L30"/>
    <mergeCell ref="E31:F31"/>
    <mergeCell ref="H31:I31"/>
    <mergeCell ref="K31:L31"/>
    <mergeCell ref="E32:F32"/>
    <mergeCell ref="H32:I32"/>
    <mergeCell ref="K32:L32"/>
    <mergeCell ref="E33:F33"/>
    <mergeCell ref="H33:I33"/>
    <mergeCell ref="K33:L33"/>
    <mergeCell ref="E34:F34"/>
    <mergeCell ref="H34:I34"/>
    <mergeCell ref="K34:L34"/>
  </mergeCells>
  <conditionalFormatting sqref="E41">
    <cfRule type="expression" dxfId="519" priority="87">
      <formula>NOT(OR(E$40="Heavy Rail"))</formula>
    </cfRule>
  </conditionalFormatting>
  <conditionalFormatting sqref="E47">
    <cfRule type="expression" dxfId="517" priority="39">
      <formula>NOT(OR(E$46="Heavy Rail"))</formula>
    </cfRule>
  </conditionalFormatting>
  <conditionalFormatting sqref="E59">
    <cfRule type="expression" dxfId="515" priority="24">
      <formula>NOT(OR(E$58="Heavy Rail"))</formula>
    </cfRule>
  </conditionalFormatting>
  <conditionalFormatting sqref="E70">
    <cfRule type="expression" dxfId="513" priority="88">
      <formula>NOT(OR(E$69="Heavy Rail"))</formula>
    </cfRule>
  </conditionalFormatting>
  <conditionalFormatting sqref="E34:G34">
    <cfRule type="expression" dxfId="509" priority="73">
      <formula>OR($E$32&lt;=$E$31,$E$32-$E$31&gt;50)</formula>
    </cfRule>
  </conditionalFormatting>
  <conditionalFormatting sqref="G47">
    <cfRule type="expression" dxfId="502" priority="34">
      <formula>NOT(OR(E$46="Heavy Rail"))</formula>
    </cfRule>
  </conditionalFormatting>
  <conditionalFormatting sqref="G59 J59 M59">
    <cfRule type="expression" dxfId="493" priority="23">
      <formula>NOT(OR(E$58="Heavy Rail"))</formula>
    </cfRule>
  </conditionalFormatting>
  <conditionalFormatting sqref="G70 J70 M70">
    <cfRule type="expression" dxfId="483" priority="8">
      <formula>NOT(OR(E$69="Heavy Rail"))</formula>
    </cfRule>
  </conditionalFormatting>
  <conditionalFormatting sqref="G73 J73 M73">
    <cfRule type="expression" dxfId="480" priority="5">
      <formula>OR(E$69="Cut-A-Way",E$69="Over-Road Coach",E$69="Transit Bus",E$69="Van",E$69="DMU / EMU")</formula>
    </cfRule>
  </conditionalFormatting>
  <conditionalFormatting sqref="G74 J74 M74">
    <cfRule type="expression" dxfId="479" priority="4">
      <formula>NOT(ISBLANK(E$69))</formula>
    </cfRule>
  </conditionalFormatting>
  <conditionalFormatting sqref="H47">
    <cfRule type="expression" dxfId="476" priority="69">
      <formula>NOT(OR(H$46="Heavy Rail"))</formula>
    </cfRule>
  </conditionalFormatting>
  <conditionalFormatting sqref="H59">
    <cfRule type="expression" dxfId="470" priority="46">
      <formula>NOT(OR(H$58="Heavy Rail"))</formula>
    </cfRule>
  </conditionalFormatting>
  <conditionalFormatting sqref="H70">
    <cfRule type="expression" dxfId="467" priority="86">
      <formula>NOT(OR(H$69="Heavy Rail"))</formula>
    </cfRule>
  </conditionalFormatting>
  <conditionalFormatting sqref="H17:I18 K17:L18 H20:I21 K20:L21 H23:I24 K23:L24 H28:I33 K28:L33">
    <cfRule type="expression" dxfId="463" priority="54">
      <formula>ISBLANK(H$15)</formula>
    </cfRule>
  </conditionalFormatting>
  <conditionalFormatting sqref="H34:J34">
    <cfRule type="expression" dxfId="461" priority="72">
      <formula>OR($H$32&lt;=$H$31,$H$32-$H$31&gt;50)</formula>
    </cfRule>
  </conditionalFormatting>
  <conditionalFormatting sqref="H37:J40">
    <cfRule type="expression" dxfId="460" priority="80">
      <formula>ISBLANK($H$15)</formula>
    </cfRule>
  </conditionalFormatting>
  <conditionalFormatting sqref="H46:J54">
    <cfRule type="expression" dxfId="459" priority="48">
      <formula>ISBLANK($H$15)</formula>
    </cfRule>
  </conditionalFormatting>
  <conditionalFormatting sqref="H58:J66">
    <cfRule type="expression" dxfId="457" priority="41">
      <formula>ISBLANK($H$15)</formula>
    </cfRule>
  </conditionalFormatting>
  <conditionalFormatting sqref="H77:J81">
    <cfRule type="expression" dxfId="455" priority="45">
      <formula>ISBLANK($H$15)</formula>
    </cfRule>
  </conditionalFormatting>
  <conditionalFormatting sqref="J17:J18 M17:M18 J20:J21 M20:M21 J23:J24 M23:M24 J28:J33 M28:M33">
    <cfRule type="expression" dxfId="449" priority="1">
      <formula>ISBLANK(H$15)</formula>
    </cfRule>
  </conditionalFormatting>
  <conditionalFormatting sqref="K47">
    <cfRule type="expression" dxfId="444" priority="81">
      <formula>NOT(OR(K$46="Heavy Rail"))</formula>
    </cfRule>
  </conditionalFormatting>
  <conditionalFormatting sqref="K59">
    <cfRule type="expression" dxfId="440" priority="85">
      <formula>NOT(OR(K$58="Heavy Rail"))</formula>
    </cfRule>
  </conditionalFormatting>
  <conditionalFormatting sqref="K70">
    <cfRule type="expression" dxfId="435" priority="83">
      <formula>NOT(OR(K$69="Heavy Rail"))</formula>
    </cfRule>
  </conditionalFormatting>
  <conditionalFormatting sqref="K73:L73 E73:F73 H73:I73">
    <cfRule type="expression" dxfId="427" priority="84">
      <formula>OR(E$69="Cut-A-Way",E$69="Over-Road Coach",E$69="Transit Bus",E$69="Van",E$69="DMU / EMU")</formula>
    </cfRule>
  </conditionalFormatting>
  <conditionalFormatting sqref="K74:L74 E74:F74 H74:I74">
    <cfRule type="expression" dxfId="426" priority="82">
      <formula>NOT(ISBLANK(E$69))</formula>
    </cfRule>
  </conditionalFormatting>
  <conditionalFormatting sqref="K34:M34">
    <cfRule type="expression" dxfId="425" priority="71">
      <formula>OR($K$32&lt;=$K$31,$K$32-$K$31&gt;50)</formula>
    </cfRule>
  </conditionalFormatting>
  <conditionalFormatting sqref="K37:M40">
    <cfRule type="expression" dxfId="424" priority="74">
      <formula>ISBLANK($K$15)</formula>
    </cfRule>
  </conditionalFormatting>
  <conditionalFormatting sqref="K58:M66">
    <cfRule type="expression" dxfId="423" priority="43">
      <formula>ISBLANK($K$15)</formula>
    </cfRule>
  </conditionalFormatting>
  <conditionalFormatting sqref="K69:M74">
    <cfRule type="expression" dxfId="421" priority="76">
      <formula>ISBLANK($K$15)</formula>
    </cfRule>
  </conditionalFormatting>
  <conditionalFormatting sqref="K77:M81">
    <cfRule type="expression" dxfId="420" priority="77">
      <formula>ISBLANK($K$15)</formula>
    </cfRule>
  </conditionalFormatting>
  <dataValidations count="35">
    <dataValidation type="list" allowBlank="1" showInputMessage="1" showErrorMessage="1" sqref="E28:F28 H28:I28 K28:L28" xr:uid="{A50EAC11-9A72-40D2-B686-9DDA241613F0}">
      <formula1>projtype</formula1>
    </dataValidation>
    <dataValidation type="list" allowBlank="1" showInputMessage="1" showErrorMessage="1" promptTitle="Note:" prompt="Must first select the type of region." sqref="K31 E31 H31" xr:uid="{7F8D7EF9-C9F2-491A-A817-F615A6A36E9A}">
      <formula1>IF(E$30="","",IF(E$30="County",cnty,basin))</formula1>
    </dataValidation>
    <dataValidation type="list" allowBlank="1" showInputMessage="1" showErrorMessage="1" sqref="E30 H30 K30" xr:uid="{E8F68EEB-1009-416D-9224-EE42F74BA1C9}">
      <formula1>region</formula1>
    </dataValidation>
    <dataValidation type="list" allowBlank="1" showInputMessage="1" showErrorMessage="1" sqref="K73 H73 E73" xr:uid="{4DD97285-4324-4F01-BA7E-749CBA43BC28}">
      <formula1>IF(OR(ISBLANK(E32),E32&gt;2030),NMY,INDIRECT("'"&amp;"Defaults"&amp;"'!"&amp;"A"&amp;-E32+2032&amp;":A61"))</formula1>
    </dataValidation>
    <dataValidation type="list" allowBlank="1" showInputMessage="1" showErrorMessage="1" promptTitle="Note:" prompt="Selection locks after fuel type is identified" sqref="K69" xr:uid="{D23105B8-E7BE-4877-A928-71D80545E6EF}">
      <formula1>IF($K$72="",vehicletype,"")</formula1>
    </dataValidation>
    <dataValidation type="list" allowBlank="1" showInputMessage="1" showErrorMessage="1" sqref="E32 H32 K32" xr:uid="{9E60A8AE-34CF-467E-8866-625E5E7477CD}">
      <formula1>CY</formula1>
    </dataValidation>
    <dataValidation allowBlank="1" showInputMessage="1" showErrorMessage="1" promptTitle="Leave blank if," prompt="No additional GGRF funding has or will be requested from another CCI Program for this project." sqref="K21 E24 E21 H21 H24 K24" xr:uid="{8AC442ED-7DCB-4547-946C-666B0591F7B9}"/>
    <dataValidation allowBlank="1" showErrorMessage="1" sqref="E17:E18 H17:H18 K17:K18" xr:uid="{D77500EB-8139-4185-80D6-1A893DB768F7}"/>
    <dataValidation allowBlank="1" showInputMessage="1" showErrorMessage="1" promptTitle="Use the same ID :" prompt="For components that are not separable (i.e., one cannot happen wihout the other), use the same ID in each component tab used." sqref="E15 H15 K15" xr:uid="{3B6806C8-4531-4C14-8731-27A9A71F3300}"/>
    <dataValidation type="decimal" operator="greaterThanOrEqual" allowBlank="1" showInputMessage="1" showErrorMessage="1" sqref="E74 K74 H74" xr:uid="{40A71087-FD1A-43C2-8042-1B29243F8F4B}">
      <formula1>0</formula1>
    </dataValidation>
    <dataValidation type="custom" allowBlank="1" showInputMessage="1" showErrorMessage="1" errorTitle="Lower Standard Fare Cost" error="To enter Reduced Fare Cost, need to enter a current Standard Fare Cost that is higher than the Reduced Fare Cost." promptTitle="Use:" prompt="Must first enter a value for Average Standard Fare Cost." sqref="E78 H78 K78" xr:uid="{F11929DD-14E7-4B45-A564-78A3822969C8}">
      <formula1>AND(NOT(ISBLANK(E77)), E78&lt;E77)</formula1>
    </dataValidation>
    <dataValidation allowBlank="1" showInputMessage="1" showErrorMessage="1" errorTitle="Not a Required Field:" error="Select a project type above that makes this input a required field." promptTitle="Default:" prompt="Statewide average of $3 per day." sqref="E79 H79 K79" xr:uid="{9686A902-4B6F-49C4-83C9-69066322A20F}"/>
    <dataValidation allowBlank="1" showInputMessage="1" showErrorMessage="1" errorTitle="Not a Required Field:" error="Select a project type above that makes this input a required field." promptTitle="Default:" prompt="Statewide averages of $11.13 per day for weekday trips, $3.00 per day for weekend trips." sqref="E80 H80 K80" xr:uid="{8DDB12B2-225A-44FA-9FAF-998456BAB34F}"/>
    <dataValidation allowBlank="1" showInputMessage="1" showErrorMessage="1" errorTitle="Not a Required Field:" error="Select a project type above that makes this input a required field." promptTitle="Default:" prompt="Average bridge toll cost of $5 per trip for passenger vehicles." sqref="E81 H81 K81" xr:uid="{3CBC1C21-14FE-4D23-94F7-6300DF15F217}"/>
    <dataValidation type="list" allowBlank="1" showInputMessage="1" showErrorMessage="1" sqref="E51 H51 K51" xr:uid="{19F4DF97-A9AE-4573-A5FA-258E59C52C1A}">
      <formula1>IF(OR(ISBLANK(E32),E32&gt;2030),NMY,INDIRECT("'"&amp;"Defaults"&amp;"'!"&amp;"A"&amp;-E32+2032&amp;":A61"))</formula1>
    </dataValidation>
    <dataValidation type="list" allowBlank="1" showInputMessage="1" showErrorMessage="1" sqref="H63 E63 K63" xr:uid="{371A8530-7A69-4082-A7A5-372DBB121B01}">
      <formula1>IF(OR(ISBLANK(E32),E32&gt;2030),NMY,INDIRECT("'"&amp;"Defaults"&amp;"'!"&amp;"A"&amp;-E32+2032&amp;":A61"))</formula1>
    </dataValidation>
    <dataValidation type="custom" allowBlank="1" showInputMessage="1" showErrorMessage="1" promptTitle="If unknown, use look up tables:" prompt="Quantification Methodlogy Appendix C includes look up tables by agency by mode, Table C-1, and by statewide average by mode, Table C-2." sqref="H41 K41" xr:uid="{7141FA2A-D83D-48A8-BDC6-39768B05A07D}">
      <formula1>IF(OR(H$28=$T$53,H$28=$T$54),H41&gt;0," ")</formula1>
    </dataValidation>
    <dataValidation type="list" allowBlank="1" showInputMessage="1" showErrorMessage="1" promptTitle="Note:" prompt="Selection locks after fuel type is identified" sqref="E46" xr:uid="{534CD5F0-0A5F-403A-ABEB-A8E77168CCEB}">
      <formula1>IF($E$49="",vehicletype,"")</formula1>
    </dataValidation>
    <dataValidation type="list" allowBlank="1" showInputMessage="1" showErrorMessage="1" promptTitle="Note:" prompt="Selection locks after fuel type is identified" sqref="H46" xr:uid="{9CA6AEAD-55FA-4D77-9273-B907811A2393}">
      <formula1>IF($H$49="",vehicletype,"")</formula1>
    </dataValidation>
    <dataValidation type="list" allowBlank="1" showInputMessage="1" showErrorMessage="1" promptTitle="Note:" prompt="Selection locks after fuel type is identified" sqref="K46" xr:uid="{CFFF79A1-3363-41B0-B401-84010A2381E9}">
      <formula1>IF($K$49="",vehicletype,"")</formula1>
    </dataValidation>
    <dataValidation type="list" allowBlank="1" showInputMessage="1" showErrorMessage="1" promptTitle="Note:" prompt="Selection locks after fuel type is identified" sqref="K58" xr:uid="{03A14CD6-74D8-458B-A587-870EBA6B2019}">
      <formula1>IF($K$61="",vehicletype,"")</formula1>
    </dataValidation>
    <dataValidation type="list" allowBlank="1" showInputMessage="1" showErrorMessage="1" promptTitle="Note:" prompt="Selection locks after fuel type is identified" sqref="E58" xr:uid="{71160A3A-E93F-4C0F-B53B-613FF0E33499}">
      <formula1>IF($E$61="",vehicletype,"")</formula1>
    </dataValidation>
    <dataValidation type="list" allowBlank="1" showInputMessage="1" showErrorMessage="1" promptTitle="Note:" prompt="Selection locks after fuel type is identified" sqref="H58" xr:uid="{402A0E97-912A-410A-82E6-48FCA597A7F8}">
      <formula1>IF($H$61="",vehicletype,"")</formula1>
    </dataValidation>
    <dataValidation type="list" allowBlank="1" showInputMessage="1" showErrorMessage="1" promptTitle="Note:" prompt="Selection locks after fuel type is identified" sqref="H69" xr:uid="{71C3D668-6729-4188-90FE-9293ACAE1A32}">
      <formula1>IF($H$72="",vehicletype,"")</formula1>
    </dataValidation>
    <dataValidation type="list" allowBlank="1" showInputMessage="1" showErrorMessage="1" promptTitle="Note:" prompt="Selection locks after fuel type is identified" sqref="E69" xr:uid="{8B8F0326-EEF9-49D6-9ABF-1B4B14B5523F}">
      <formula1>IF($E$72="",vehicletype,"")</formula1>
    </dataValidation>
    <dataValidation type="decimal" operator="greaterThan" allowBlank="1" showInputMessage="1" showErrorMessage="1" sqref="E48 H48 K48" xr:uid="{4B094DDD-34DA-4696-87C6-BB24175974DA}">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E, Row 47)." sqref="E65" xr:uid="{561537A8-D4C5-42AA-8C86-96FF986F9B67}">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G, Row 47)." sqref="H65" xr:uid="{4C4EDD12-E218-4B20-90D3-F4F5154943E3}">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I, Row 47)." sqref="K65" xr:uid="{9BCAE02C-143A-4905-8059-196093F8C42D}">
      <formula1>0</formula1>
    </dataValidation>
    <dataValidation type="decimal" operator="greaterThan" allowBlank="1" showInputMessage="1" showErrorMessage="1" errorTitle="Invalid Input:" error="Input must be a number greater than 0." sqref="E60 H60 K60" xr:uid="{93848B32-D748-455E-A3C1-99324FE1B6AD}">
      <formula1>0</formula1>
    </dataValidation>
    <dataValidation type="decimal" allowBlank="1" showInputMessage="1" showErrorMessage="1" sqref="E52 H52 K52 E64 H64 K64" xr:uid="{3976CE35-D45E-441A-A702-FDA1D8D3A840}">
      <formula1>-10000000</formula1>
      <formula2>10000000</formula2>
    </dataValidation>
    <dataValidation type="decimal" operator="greaterThanOrEqual" allowBlank="1" showInputMessage="1" showErrorMessage="1" errorTitle="Invalid Input:" error="Value must be greater than 0." promptTitle="Due to the high variability:" prompt="For rail and ferry vehicles, applicants may provide project-specific information on the estimated annual fuel instead of annual VMT." sqref="H54 E54 E66 K66 H66 K54" xr:uid="{5C120E3E-6A91-4499-B836-002C9DAB6E80}">
      <formula1>0</formula1>
    </dataValidation>
    <dataValidation type="decimal" operator="greaterThanOrEqual" allowBlank="1" showInputMessage="1" showErrorMessage="1" errorTitle="Invalid Input:" error="Value must be greater than 0." sqref="E53 H53 K53" xr:uid="{FC7EA61F-2863-4164-B615-8E30FB00BBDC}">
      <formula1>0</formula1>
    </dataValidation>
    <dataValidation type="decimal" operator="greaterThan" allowBlank="1" showInputMessage="1" showErrorMessage="1" errorTitle="Invalid Input:" error="Value must be greater than 0." sqref="E71 H71 K71" xr:uid="{34095D7E-0439-4982-92C8-D9386B960A25}">
      <formula1>0</formula1>
    </dataValidation>
    <dataValidation type="decimal" operator="greaterThanOrEqual" allowBlank="1" showErrorMessage="1" errorTitle="Invalid Input:" error="Value must be greater than 0." sqref="K55 H55 E55" xr:uid="{26E0B189-722F-4790-960A-C2E4B6EF7359}">
      <formula1>0</formula1>
    </dataValidation>
  </dataValidations>
  <pageMargins left="0.7" right="0.7" top="0.75" bottom="0.75" header="0.3" footer="0.3"/>
  <pageSetup scale="26" fitToHeight="0" orientation="portrait" r:id="rId1"/>
  <headerFooter>
    <oddHeader>&amp;C&amp;12
&amp;G</oddHeader>
    <oddFooter>&amp;L&amp;"Avenir LT Std 55 Roman,Regular"&amp;12DRAFT September 13, 2019&amp;C&amp;"Avenir LT Std 55 Roman,Regular"&amp;12&amp;P of &amp;N&amp;R&amp;"Avenir LT Std 55 Roman,Regular"&amp;12&amp;A</oddFooter>
  </headerFooter>
  <rowBreaks count="1" manualBreakCount="1">
    <brk id="66" min="1" max="9" man="1"/>
  </rowBreaks>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37" id="{FA049EBC-8640-466A-ABA2-A5B406587D6F}">
            <xm:f>OR(E$28=Defaults!$M$2,E$28=Defaults!$M$3)</xm:f>
            <x14:dxf>
              <fill>
                <patternFill>
                  <bgColor theme="9" tint="0.79998168889431442"/>
                </patternFill>
              </fill>
            </x14:dxf>
          </x14:cfRule>
          <xm:sqref>E37:E40 H37:H40 K37:K40</xm:sqref>
        </x14:conditionalFormatting>
        <x14:conditionalFormatting xmlns:xm="http://schemas.microsoft.com/office/excel/2006/main">
          <x14:cfRule type="expression" priority="38" id="{2CF03446-B859-4CD9-A750-A48A10F6EE43}">
            <xm:f>OR(E$28=Defaults!$M$2,E$28=Defaults!$M$4)</xm:f>
            <x14:dxf>
              <fill>
                <patternFill>
                  <bgColor theme="9" tint="0.79998168889431442"/>
                </patternFill>
              </fill>
            </x14:dxf>
          </x14:cfRule>
          <xm:sqref>E46 H46 K46 E49:F50 H49:I50 K49:L50</xm:sqref>
        </x14:conditionalFormatting>
        <x14:conditionalFormatting xmlns:xm="http://schemas.microsoft.com/office/excel/2006/main">
          <x14:cfRule type="expression" priority="60" id="{0ED7F802-FB35-40BC-B527-14AB9E4623C0}">
            <xm:f>NOT(OR($E$46=Defaults!$G$3,$E$46=Defaults!$G$4))</xm:f>
            <x14:dxf>
              <font>
                <color rgb="FFFF0000"/>
              </font>
              <fill>
                <patternFill>
                  <bgColor theme="1"/>
                </patternFill>
              </fill>
            </x14:dxf>
          </x14:cfRule>
          <xm:sqref>E48</xm:sqref>
        </x14:conditionalFormatting>
        <x14:conditionalFormatting xmlns:xm="http://schemas.microsoft.com/office/excel/2006/main">
          <x14:cfRule type="expression" priority="67" id="{29EE4E18-A93A-40B2-B2F3-4F7948E1B980}">
            <xm:f>NOT(OR($E$58=Defaults!$G$3,$E$58=Defaults!$G$4))</xm:f>
            <x14:dxf>
              <font>
                <color rgb="FFFF0000"/>
              </font>
              <fill>
                <patternFill>
                  <bgColor theme="1"/>
                </patternFill>
              </fill>
            </x14:dxf>
          </x14:cfRule>
          <xm:sqref>E60</xm:sqref>
        </x14:conditionalFormatting>
        <x14:conditionalFormatting xmlns:xm="http://schemas.microsoft.com/office/excel/2006/main">
          <x14:cfRule type="expression" priority="42" id="{8C616B15-5466-435B-A573-C8DEB4EF424A}">
            <xm:f>NOT(OR($E$69=Defaults!$G$3,$E$69=Defaults!$G$4))</xm:f>
            <x14:dxf>
              <font>
                <color rgb="FFFF0000"/>
              </font>
              <fill>
                <patternFill>
                  <bgColor theme="1"/>
                </patternFill>
              </fill>
            </x14:dxf>
          </x14:cfRule>
          <xm:sqref>E71</xm:sqref>
        </x14:conditionalFormatting>
        <x14:conditionalFormatting xmlns:xm="http://schemas.microsoft.com/office/excel/2006/main">
          <x14:cfRule type="expression" priority="40" id="{F4DCE487-D883-4324-A66A-49402EB77401}">
            <xm:f>AND(NOT(ISBLANK($E$54)),OR($E$46=Defaults!$G$3,$E$46=Defaults!$G$5,$E$46=Defaults!$G$6,$E$46=Defaults!$G$8))</xm:f>
            <x14:dxf>
              <fill>
                <patternFill>
                  <bgColor theme="4" tint="0.59996337778862885"/>
                </patternFill>
              </fill>
            </x14:dxf>
          </x14:cfRule>
          <xm:sqref>E53:F53</xm:sqref>
        </x14:conditionalFormatting>
        <x14:conditionalFormatting xmlns:xm="http://schemas.microsoft.com/office/excel/2006/main">
          <x14:cfRule type="expression" priority="55" id="{BA9822E8-7698-4C3D-B1ED-38A8E8AD408C}">
            <xm:f>OR(E$28=Defaults!$M$2, E$28=Defaults!$M$3, E$28=Defaults!$M$4)</xm:f>
            <x14:dxf>
              <fill>
                <patternFill>
                  <bgColor theme="4" tint="0.59996337778862885"/>
                </patternFill>
              </fill>
            </x14:dxf>
          </x14:cfRule>
          <xm:sqref>E69:F69 H69:I69 K69:L69</xm:sqref>
        </x14:conditionalFormatting>
        <x14:conditionalFormatting xmlns:xm="http://schemas.microsoft.com/office/excel/2006/main">
          <x14:cfRule type="expression" priority="27" id="{39B56BCC-7A61-4C81-B363-EC2C8371663F}">
            <xm:f>AND(NOT(ISBLANK($E$53)),OR($E$46=Defaults!$G$3,$E$46=Defaults!$G$5,$E$46=Defaults!$G$6,$E$46=Defaults!$G$8))</xm:f>
            <x14:dxf>
              <fill>
                <patternFill>
                  <bgColor theme="4" tint="0.59996337778862885"/>
                </patternFill>
              </fill>
            </x14:dxf>
          </x14:cfRule>
          <xm:sqref>E54:G54</xm:sqref>
        </x14:conditionalFormatting>
        <x14:conditionalFormatting xmlns:xm="http://schemas.microsoft.com/office/excel/2006/main">
          <x14:cfRule type="expression" priority="12" id="{867D6546-A4D5-4618-863B-0E9CBFE76454}">
            <xm:f>AND(NOT(ISBLANK($E$66)),OR($E$58=Defaults!$G$3,$E$58=Defaults!$G$5,$E$58=Defaults!$G$6,$E$58=Defaults!$G$8))</xm:f>
            <x14:dxf>
              <fill>
                <patternFill>
                  <bgColor theme="4" tint="0.59996337778862885"/>
                </patternFill>
              </fill>
            </x14:dxf>
          </x14:cfRule>
          <xm:sqref>E65:G65</xm:sqref>
        </x14:conditionalFormatting>
        <x14:conditionalFormatting xmlns:xm="http://schemas.microsoft.com/office/excel/2006/main">
          <x14:cfRule type="expression" priority="15" id="{9465A9E2-D09D-4099-8847-CBB3308E3D5D}">
            <xm:f>AND(NOT(ISBLANK($E$65)),OR($E$58=Defaults!$G$3,$E$58=Defaults!$G$5,$E$58=Defaults!$G$6,$E$58=Defaults!$G$8))</xm:f>
            <x14:dxf>
              <fill>
                <patternFill>
                  <bgColor theme="4" tint="0.59996337778862885"/>
                </patternFill>
              </fill>
            </x14:dxf>
          </x14:cfRule>
          <xm:sqref>E66:G66 J66 M66</xm:sqref>
        </x14:conditionalFormatting>
        <x14:conditionalFormatting xmlns:xm="http://schemas.microsoft.com/office/excel/2006/main">
          <x14:cfRule type="expression" priority="59" id="{ADF1E819-E861-404F-9384-C99A0C7685B3}">
            <xm:f>OR(E$28=Defaults!$M$2,E$28=Defaults!$M$3)</xm:f>
            <x14:dxf>
              <fill>
                <patternFill>
                  <bgColor theme="9" tint="0.79998168889431442"/>
                </patternFill>
              </fill>
            </x14:dxf>
          </x14:cfRule>
          <xm:sqref>F37:F40 I37:I40 L37:L40</xm:sqref>
        </x14:conditionalFormatting>
        <x14:conditionalFormatting xmlns:xm="http://schemas.microsoft.com/office/excel/2006/main">
          <x14:cfRule type="expression" priority="36" id="{C508B217-9D87-4C90-ACD2-6F85F6FC458A}">
            <xm:f>OR(E$28=Defaults!$M$2,E$28=Defaults!$M$3)</xm:f>
            <x14:dxf>
              <fill>
                <patternFill>
                  <bgColor theme="9" tint="0.79998168889431442"/>
                </patternFill>
              </fill>
            </x14:dxf>
          </x14:cfRule>
          <xm:sqref>G37:G40 J37:J40 M37:M40</xm:sqref>
        </x14:conditionalFormatting>
        <x14:conditionalFormatting xmlns:xm="http://schemas.microsoft.com/office/excel/2006/main">
          <x14:cfRule type="expression" priority="29" id="{A9EBB24F-8504-4D39-906E-BD3411B8802C}">
            <xm:f>OR(E$28=Defaults!$M$2,E$28=Defaults!$M$4)</xm:f>
            <x14:dxf>
              <fill>
                <patternFill>
                  <bgColor theme="9" tint="0.79998168889431442"/>
                </patternFill>
              </fill>
            </x14:dxf>
          </x14:cfRule>
          <xm:sqref>G46 J46 M46</xm:sqref>
        </x14:conditionalFormatting>
        <x14:conditionalFormatting xmlns:xm="http://schemas.microsoft.com/office/excel/2006/main">
          <x14:cfRule type="expression" priority="33" id="{E67BF6CE-240C-45D7-87FD-03BAB1739278}">
            <xm:f>OR(E$28=Defaults!$M$4)</xm:f>
            <x14:dxf>
              <fill>
                <patternFill>
                  <bgColor theme="9" tint="0.79998168889431442"/>
                </patternFill>
              </fill>
            </x14:dxf>
          </x14:cfRule>
          <xm:sqref>G47:G48 J47:J48 M47:M48</xm:sqref>
        </x14:conditionalFormatting>
        <x14:conditionalFormatting xmlns:xm="http://schemas.microsoft.com/office/excel/2006/main">
          <x14:cfRule type="expression" priority="35" id="{A300B5A3-6101-458C-954B-486C87190F77}">
            <xm:f>NOT(OR($E$46=Defaults!$G$3,$E$46=Defaults!$G$4))</xm:f>
            <x14:dxf>
              <font>
                <color auto="1"/>
              </font>
              <fill>
                <patternFill>
                  <bgColor theme="1"/>
                </patternFill>
              </fill>
            </x14:dxf>
          </x14:cfRule>
          <xm:sqref>G48</xm:sqref>
        </x14:conditionalFormatting>
        <x14:conditionalFormatting xmlns:xm="http://schemas.microsoft.com/office/excel/2006/main">
          <x14:cfRule type="expression" priority="32" id="{57557DB4-D922-4406-B02E-A6120DA781BF}">
            <xm:f>OR(E$28=Defaults!$M$2,E$28=Defaults!$M$4)</xm:f>
            <x14:dxf>
              <fill>
                <patternFill>
                  <bgColor theme="9" tint="0.79998168889431442"/>
                </patternFill>
              </fill>
            </x14:dxf>
          </x14:cfRule>
          <xm:sqref>G49:G50 J49:J50 M49:M50</xm:sqref>
        </x14:conditionalFormatting>
        <x14:conditionalFormatting xmlns:xm="http://schemas.microsoft.com/office/excel/2006/main">
          <x14:cfRule type="expression" priority="31" id="{F1D6D855-0AF9-4348-A642-3F942D85BD95}">
            <xm:f>AND(OR(E$28=Defaults!$M$2,E$28=Defaults!$M$4),OR(E$46="Cut-A-Way",E$46="Over-Road Coach",E$46="Transit Bus",E$46="Van",E$46="Ferry",E$46="DMU / EMU"))</xm:f>
            <x14:dxf>
              <fill>
                <patternFill>
                  <bgColor theme="9" tint="0.79998168889431442"/>
                </patternFill>
              </fill>
            </x14:dxf>
          </x14:cfRule>
          <xm:sqref>G51 J51 M51</xm:sqref>
        </x14:conditionalFormatting>
        <x14:conditionalFormatting xmlns:xm="http://schemas.microsoft.com/office/excel/2006/main">
          <x14:cfRule type="expression" priority="30" id="{2C6047E6-6525-4291-A579-05C05A40D0DA}">
            <xm:f>OR(E$28=Defaults!$M$2,E$28=Defaults!$M$4)</xm:f>
            <x14:dxf>
              <fill>
                <patternFill>
                  <bgColor theme="4" tint="0.59996337778862885"/>
                </patternFill>
              </fill>
            </x14:dxf>
          </x14:cfRule>
          <xm:sqref>G52 J52 M52</xm:sqref>
        </x14:conditionalFormatting>
        <x14:conditionalFormatting xmlns:xm="http://schemas.microsoft.com/office/excel/2006/main">
          <x14:cfRule type="expression" priority="28" id="{53F43E8F-5544-4F0C-A938-C73F22C2BA06}">
            <xm:f>AND(OR(E$28=Defaults!$M$2,E$28=Defaults!$M$4),OR(E$46="Cut-A-Way",E$46="Heavy Rail",E$46="Light Rail",E$46="Over-Road Coach",E$46="Streetcar",E$46="Transit Bus",E$46="Van",E$46="DMU / EMU"))</xm:f>
            <x14:dxf>
              <fill>
                <patternFill>
                  <bgColor theme="9" tint="0.79998168889431442"/>
                </patternFill>
              </fill>
            </x14:dxf>
          </x14:cfRule>
          <xm:sqref>G53 J53 M53</xm:sqref>
        </x14:conditionalFormatting>
        <x14:conditionalFormatting xmlns:xm="http://schemas.microsoft.com/office/excel/2006/main">
          <x14:cfRule type="expression" priority="11" id="{A1B08D61-1A47-48BD-A887-723CF048B467}">
            <xm:f>E$28=Defaults!$M$2</xm:f>
            <x14:dxf>
              <fill>
                <patternFill>
                  <bgColor theme="4" tint="0.59996337778862885"/>
                </patternFill>
              </fill>
            </x14:dxf>
          </x14:cfRule>
          <xm:sqref>G58 J58 M58</xm:sqref>
        </x14:conditionalFormatting>
        <x14:conditionalFormatting xmlns:xm="http://schemas.microsoft.com/office/excel/2006/main">
          <x14:cfRule type="expression" priority="14" id="{B69FF23B-E31B-4621-A76E-C45D6504C3E4}">
            <xm:f>OR(E$28=Defaults!$M$2,E$28=Defaults!$M$4)</xm:f>
            <x14:dxf>
              <fill>
                <patternFill>
                  <bgColor theme="9" tint="0.79998168889431442"/>
                </patternFill>
              </fill>
            </x14:dxf>
          </x14:cfRule>
          <xm:sqref>G58</xm:sqref>
        </x14:conditionalFormatting>
        <x14:conditionalFormatting xmlns:xm="http://schemas.microsoft.com/office/excel/2006/main">
          <x14:cfRule type="expression" priority="25" id="{A773DDAF-8C9D-4BE9-A5EB-0121C722A559}">
            <xm:f>OR(E$28=Defaults!$M$4)</xm:f>
            <x14:dxf>
              <fill>
                <patternFill>
                  <bgColor theme="9" tint="0.79998168889431442"/>
                </patternFill>
              </fill>
            </x14:dxf>
          </x14:cfRule>
          <xm:sqref>G59:G60 J59:J60 M59:M60</xm:sqref>
        </x14:conditionalFormatting>
        <x14:conditionalFormatting xmlns:xm="http://schemas.microsoft.com/office/excel/2006/main">
          <x14:cfRule type="expression" priority="22" id="{95964475-24D4-47E7-9CC6-181DB93F29C7}">
            <xm:f>NOT(OR(E$58=Defaults!$G$3,E$58=Defaults!$G$4))</xm:f>
            <x14:dxf>
              <fill>
                <patternFill>
                  <bgColor theme="1"/>
                </patternFill>
              </fill>
            </x14:dxf>
          </x14:cfRule>
          <xm:sqref>G60 J60 M60</xm:sqref>
        </x14:conditionalFormatting>
        <x14:conditionalFormatting xmlns:xm="http://schemas.microsoft.com/office/excel/2006/main">
          <x14:cfRule type="expression" priority="21" id="{0524C950-F9B7-4F7B-82D0-DB13189E2F2E}">
            <xm:f>OR(E$28=Defaults!$M$4, AND(NOT(ISBLANK(E$58)),E$28=Defaults!$M$2))</xm:f>
            <x14:dxf>
              <fill>
                <patternFill>
                  <bgColor theme="9" tint="0.79998168889431442"/>
                </patternFill>
              </fill>
            </x14:dxf>
          </x14:cfRule>
          <xm:sqref>G61:G62 J61:J62 M61:M62</xm:sqref>
        </x14:conditionalFormatting>
        <x14:conditionalFormatting xmlns:xm="http://schemas.microsoft.com/office/excel/2006/main">
          <x14:cfRule type="expression" priority="20" id="{4DAF244B-A719-4144-9195-CD34622D90FC}">
            <xm:f>AND(OR(E$28=Defaults!$M$4,E$28=Defaults!$M$2),OR(E$58="Cut-A-Way",E$58="Over-Road Coach",E$58="Transit Bus",E$58="Van",E$58="DMU / EMU"))</xm:f>
            <x14:dxf>
              <fill>
                <patternFill>
                  <bgColor theme="9" tint="0.79998168889431442"/>
                </patternFill>
              </fill>
            </x14:dxf>
          </x14:cfRule>
          <xm:sqref>G63 J63 M63</xm:sqref>
        </x14:conditionalFormatting>
        <x14:conditionalFormatting xmlns:xm="http://schemas.microsoft.com/office/excel/2006/main">
          <x14:cfRule type="expression" priority="19" id="{1540ADAE-C6BC-49A0-807D-F8118CAC4D3C}">
            <xm:f>OR(E$28=Defaults!$M$4, AND(NOT(ISBLANK(E$58)),E$28=Defaults!$M$2))</xm:f>
            <x14:dxf>
              <fill>
                <patternFill>
                  <bgColor theme="4" tint="0.59996337778862885"/>
                </patternFill>
              </fill>
            </x14:dxf>
          </x14:cfRule>
          <xm:sqref>G64 J64 M64</xm:sqref>
        </x14:conditionalFormatting>
        <x14:conditionalFormatting xmlns:xm="http://schemas.microsoft.com/office/excel/2006/main">
          <x14:cfRule type="expression" priority="13" id="{1F7195F4-4AAB-467D-B864-41599F4A34AC}">
            <xm:f>AND(OR(E$28=Defaults!$M$4, E$28=Defaults!$M$2),OR(E$58="Cut-A-Way",E$58="Heavy Rail",E$58="Light Rail",E$58="Over-Road Coach",E$58="Streetcar",E$58="Transit Bus",E$58="Van",E$58="DMU / EMU"))</xm:f>
            <x14:dxf>
              <fill>
                <patternFill>
                  <bgColor theme="9" tint="0.79998168889431442"/>
                </patternFill>
              </fill>
            </x14:dxf>
          </x14:cfRule>
          <xm:sqref>G65</xm:sqref>
        </x14:conditionalFormatting>
        <x14:conditionalFormatting xmlns:xm="http://schemas.microsoft.com/office/excel/2006/main">
          <x14:cfRule type="expression" priority="16" id="{DF5C6464-FC80-45F8-BC5F-4FD2CEB1D9D7}">
            <xm:f>AND(OR(E$28=Defaults!$M$4, E$28=Defaults!$M$2),OR(E$58="Ferry",E$58="Heavy Rail",E$58="Light Rail",E$58="Streetcar",E$58="DMU / EMU"))</xm:f>
            <x14:dxf>
              <fill>
                <patternFill>
                  <bgColor theme="9" tint="0.79998168889431442"/>
                </patternFill>
              </fill>
            </x14:dxf>
          </x14:cfRule>
          <xm:sqref>G66 J66 M66</xm:sqref>
        </x14:conditionalFormatting>
        <x14:conditionalFormatting xmlns:xm="http://schemas.microsoft.com/office/excel/2006/main">
          <x14:cfRule type="expression" priority="10" id="{AA57BA38-B80E-4241-B682-AAADE60B7532}">
            <xm:f>OR(E$28=Defaults!$M$5)</xm:f>
            <x14:dxf>
              <fill>
                <patternFill>
                  <bgColor theme="9" tint="0.79998168889431442"/>
                </patternFill>
              </fill>
            </x14:dxf>
          </x14:cfRule>
          <x14:cfRule type="expression" priority="9" id="{B87D2C86-E72F-4CB2-A9DD-4874D904A835}">
            <xm:f>OR(E$28=Defaults!$M$2, E$28=Defaults!$M$3, E$28=Defaults!$M$4)</xm:f>
            <x14:dxf>
              <fill>
                <patternFill>
                  <bgColor theme="4" tint="0.59996337778862885"/>
                </patternFill>
              </fill>
            </x14:dxf>
          </x14:cfRule>
          <xm:sqref>G69 J69 M69</xm:sqref>
        </x14:conditionalFormatting>
        <x14:conditionalFormatting xmlns:xm="http://schemas.microsoft.com/office/excel/2006/main">
          <x14:cfRule type="expression" priority="7" id="{76464418-102F-43DE-9F36-92AE3C9E03DA}">
            <xm:f>NOT(OR(E$69=Defaults!$G$3,E$69=Defaults!$G$4))</xm:f>
            <x14:dxf>
              <fill>
                <patternFill>
                  <bgColor theme="1"/>
                </patternFill>
              </fill>
            </x14:dxf>
          </x14:cfRule>
          <xm:sqref>G71 J71 M71</xm:sqref>
        </x14:conditionalFormatting>
        <x14:conditionalFormatting xmlns:xm="http://schemas.microsoft.com/office/excel/2006/main">
          <x14:cfRule type="expression" priority="6" id="{A9A847B8-061A-43F3-B00D-9FDC52B9A094}">
            <xm:f>OR(E$28=Defaults!$M$5, NOT(ISBLANK(E$69)))</xm:f>
            <x14:dxf>
              <fill>
                <patternFill>
                  <bgColor theme="9" tint="0.79998168889431442"/>
                </patternFill>
              </fill>
            </x14:dxf>
          </x14:cfRule>
          <xm:sqref>G72 J72 M72</xm:sqref>
        </x14:conditionalFormatting>
        <x14:conditionalFormatting xmlns:xm="http://schemas.microsoft.com/office/excel/2006/main">
          <x14:cfRule type="expression" priority="3" id="{870CA180-5BA6-47B2-BFFB-F70B2ADA6CB5}">
            <xm:f>E$28=Defaults!$M$3</xm:f>
            <x14:dxf>
              <fill>
                <patternFill>
                  <bgColor theme="4" tint="0.59996337778862885"/>
                </patternFill>
              </fill>
            </x14:dxf>
          </x14:cfRule>
          <xm:sqref>G77:G78 J77:J78 M77:M78</xm:sqref>
        </x14:conditionalFormatting>
        <x14:conditionalFormatting xmlns:xm="http://schemas.microsoft.com/office/excel/2006/main">
          <x14:cfRule type="expression" priority="2" id="{96BACA76-7F8E-4D06-A98D-D7657ECC4EB8}">
            <xm:f>OR(E$28=Defaults!$M$2, E$28=Defaults!$M$3)</xm:f>
            <x14:dxf>
              <fill>
                <patternFill>
                  <bgColor theme="4" tint="0.59996337778862885"/>
                </patternFill>
              </fill>
            </x14:dxf>
          </x14:cfRule>
          <xm:sqref>G78:G81 J78:J81 M78:M81</xm:sqref>
        </x14:conditionalFormatting>
        <x14:conditionalFormatting xmlns:xm="http://schemas.microsoft.com/office/excel/2006/main">
          <x14:cfRule type="expression" priority="68" id="{968FB448-BE91-4AFB-B28A-DF6EC9EB74CD}">
            <xm:f>NOT(OR($H$46=Defaults!$G$3,$H$46=Defaults!$G$4))</xm:f>
            <x14:dxf>
              <font>
                <color rgb="FFFF0000"/>
              </font>
              <fill>
                <patternFill>
                  <bgColor theme="1"/>
                </patternFill>
              </fill>
            </x14:dxf>
          </x14:cfRule>
          <xm:sqref>H48</xm:sqref>
        </x14:conditionalFormatting>
        <x14:conditionalFormatting xmlns:xm="http://schemas.microsoft.com/office/excel/2006/main">
          <x14:cfRule type="expression" priority="91" id="{C502D6BB-C5B8-45C0-B7D4-A08B9C06474C}">
            <xm:f>OR(E$28=Defaults!$M$2,E$28=Defaults!$M$4)</xm:f>
            <x14:dxf>
              <fill>
                <patternFill>
                  <bgColor theme="4" tint="0.59996337778862885"/>
                </patternFill>
              </fill>
            </x14:dxf>
          </x14:cfRule>
          <xm:sqref>H52 E52 K52</xm:sqref>
        </x14:conditionalFormatting>
        <x14:conditionalFormatting xmlns:xm="http://schemas.microsoft.com/office/excel/2006/main">
          <x14:cfRule type="expression" priority="52" id="{FBE2FA87-ADA6-4E52-967F-95096769B562}">
            <xm:f>AND(OR(E$28=Defaults!$M$2,E$28=Defaults!$M$4),OR(E$46="Cut-A-Way",E$46="Heavy Rail",E$46="Light Rail",E$46="Over-Road Coach",E$46="Streetcar",E$46="Transit Bus",E$46="Van",E$46="DMU / EMU"))</xm:f>
            <x14:dxf>
              <fill>
                <patternFill>
                  <bgColor theme="9" tint="0.79998168889431442"/>
                </patternFill>
              </fill>
            </x14:dxf>
          </x14:cfRule>
          <xm:sqref>H53 E53 K53</xm:sqref>
        </x14:conditionalFormatting>
        <x14:conditionalFormatting xmlns:xm="http://schemas.microsoft.com/office/excel/2006/main">
          <x14:cfRule type="expression" priority="61" id="{FD11E522-4C4B-4826-9CD9-427886A0419D}">
            <xm:f>AND(OR(E$28=Defaults!$M$2,E$28=Defaults!$M$4),OR(E$46="Ferry",E$46="Heavy Rail",E$46="Light Rail",E$46="Streetcar",E$46="DMU / EMU"))</xm:f>
            <x14:dxf>
              <fill>
                <patternFill>
                  <bgColor theme="9" tint="0.79998168889431442"/>
                </patternFill>
              </fill>
            </x14:dxf>
          </x14:cfRule>
          <xm:sqref>H54 E54 K54</xm:sqref>
        </x14:conditionalFormatting>
        <x14:conditionalFormatting xmlns:xm="http://schemas.microsoft.com/office/excel/2006/main">
          <x14:cfRule type="expression" priority="44" id="{5FB0D7AE-71DD-4AA0-B756-B2225BF0458C}">
            <xm:f>E$28=Defaults!$M$4</xm:f>
            <x14:dxf>
              <fill>
                <patternFill>
                  <bgColor theme="9" tint="0.79998168889431442"/>
                </patternFill>
              </fill>
            </x14:dxf>
          </x14:cfRule>
          <xm:sqref>H58 E58:F58</xm:sqref>
        </x14:conditionalFormatting>
        <x14:conditionalFormatting xmlns:xm="http://schemas.microsoft.com/office/excel/2006/main">
          <x14:cfRule type="expression" priority="66" id="{F63EF8BB-5CA1-43F8-B0CB-4BAF469A0E9D}">
            <xm:f>NOT(OR($H$58=Defaults!$G$3,$H$58=Defaults!$G$4))</xm:f>
            <x14:dxf>
              <font>
                <color rgb="FFFF0000"/>
              </font>
              <fill>
                <patternFill>
                  <bgColor theme="1"/>
                </patternFill>
              </fill>
            </x14:dxf>
          </x14:cfRule>
          <xm:sqref>H60</xm:sqref>
        </x14:conditionalFormatting>
        <x14:conditionalFormatting xmlns:xm="http://schemas.microsoft.com/office/excel/2006/main">
          <x14:cfRule type="expression" priority="102" id="{D6C1233F-D27D-4F7D-9451-B8A566957630}">
            <xm:f>AND(OR(E$28=Defaults!$M$4, E$28=Defaults!$M$2),OR(E$58="Ferry",E$58="Heavy Rail",E$58="Light Rail",E$58="Streetcar",E$58="DMU / EMU"))</xm:f>
            <x14:dxf>
              <fill>
                <patternFill>
                  <bgColor theme="9" tint="0.79998168889431442"/>
                </patternFill>
              </fill>
            </x14:dxf>
          </x14:cfRule>
          <xm:sqref>H66 K66 E66</xm:sqref>
        </x14:conditionalFormatting>
        <x14:conditionalFormatting xmlns:xm="http://schemas.microsoft.com/office/excel/2006/main">
          <x14:cfRule type="expression" priority="63" id="{3FFF20ED-8014-488D-AA79-C1A6C588831E}">
            <xm:f>NOT(OR($H$69=Defaults!$G$3,$H$69=Defaults!$G$4))</xm:f>
            <x14:dxf>
              <font>
                <color rgb="FFFF0000"/>
              </font>
              <fill>
                <patternFill>
                  <bgColor theme="1"/>
                </patternFill>
              </fill>
            </x14:dxf>
          </x14:cfRule>
          <xm:sqref>H71</xm:sqref>
        </x14:conditionalFormatting>
        <x14:conditionalFormatting xmlns:xm="http://schemas.microsoft.com/office/excel/2006/main">
          <x14:cfRule type="expression" priority="56" id="{87A2579F-824B-4C76-B464-9EC1AE253A0C}">
            <xm:f>E$28=Defaults!$M$3</xm:f>
            <x14:dxf>
              <fill>
                <patternFill>
                  <bgColor theme="4" tint="0.59996337778862885"/>
                </patternFill>
              </fill>
            </x14:dxf>
          </x14:cfRule>
          <xm:sqref>H77:H78 E77:E78 K77:K78</xm:sqref>
        </x14:conditionalFormatting>
        <x14:conditionalFormatting xmlns:xm="http://schemas.microsoft.com/office/excel/2006/main">
          <x14:cfRule type="expression" priority="58" id="{5241B8DD-B5F1-4E5D-86C2-EB985ED214CA}">
            <xm:f>OR(E$28=Defaults!$M$2, E$28=Defaults!$M$3)</xm:f>
            <x14:dxf>
              <fill>
                <patternFill>
                  <bgColor theme="4" tint="0.59996337778862885"/>
                </patternFill>
              </fill>
            </x14:dxf>
          </x14:cfRule>
          <xm:sqref>H78:H81 E78:E81 K78:K81</xm:sqref>
        </x14:conditionalFormatting>
        <x14:conditionalFormatting xmlns:xm="http://schemas.microsoft.com/office/excel/2006/main">
          <x14:cfRule type="expression" priority="92" id="{4C4D7B1C-F169-4246-B8C8-D413C01E73CB}">
            <xm:f>AND(OR(E$28=Defaults!$M$2,E$28=Defaults!$M$4),OR(E$46="Cut-A-Way",E$46="Over-Road Coach",E$46="Transit Bus",E$46="Van",E$46="Ferry",E$46="DMU / EMU"))</xm:f>
            <x14:dxf>
              <fill>
                <patternFill>
                  <bgColor theme="9" tint="0.79998168889431442"/>
                </patternFill>
              </fill>
            </x14:dxf>
          </x14:cfRule>
          <xm:sqref>H51:I51 E51:F51 K51:L51</xm:sqref>
        </x14:conditionalFormatting>
        <x14:conditionalFormatting xmlns:xm="http://schemas.microsoft.com/office/excel/2006/main">
          <x14:cfRule type="expression" priority="79" id="{E9B480C4-4B77-4205-8B79-A3BAD1A372C9}">
            <xm:f>AND(NOT(ISBLANK($H$53)),OR($H$46=Defaults!$G$3,$H$46=Defaults!$G$5,$H$46=Defaults!$G$6,$H$46=Defaults!$G$8))</xm:f>
            <x14:dxf>
              <fill>
                <patternFill>
                  <bgColor theme="4" tint="0.39994506668294322"/>
                </patternFill>
              </fill>
            </x14:dxf>
          </x14:cfRule>
          <xm:sqref>H54:J54</xm:sqref>
        </x14:conditionalFormatting>
        <x14:conditionalFormatting xmlns:xm="http://schemas.microsoft.com/office/excel/2006/main">
          <x14:cfRule type="expression" priority="78" id="{C903BE43-A6EC-4193-A9D5-2FA5A3430A99}">
            <xm:f>AND(NOT(ISBLANK($H$65)),OR($H$58=Defaults!$G$3,$H$58=Defaults!$G$5,$H$58=Defaults!$G$6,$H$58=Defaults!$G$8))</xm:f>
            <x14:dxf>
              <fill>
                <patternFill>
                  <bgColor theme="4" tint="0.39994506668294322"/>
                </patternFill>
              </fill>
            </x14:dxf>
          </x14:cfRule>
          <xm:sqref>H66:J66</xm:sqref>
        </x14:conditionalFormatting>
        <x14:conditionalFormatting xmlns:xm="http://schemas.microsoft.com/office/excel/2006/main">
          <x14:cfRule type="expression" priority="53" id="{51CDE715-8781-4BEF-8BB7-7EEB65D8706D}">
            <xm:f>OR(E$28=Defaults!$M$2,E$28=Defaults!$M$4)</xm:f>
            <x14:dxf>
              <fill>
                <patternFill>
                  <bgColor theme="4" tint="0.59996337778862885"/>
                </patternFill>
              </fill>
            </x14:dxf>
          </x14:cfRule>
          <xm:sqref>I52 F52 L52</xm:sqref>
        </x14:conditionalFormatting>
        <x14:conditionalFormatting xmlns:xm="http://schemas.microsoft.com/office/excel/2006/main">
          <x14:cfRule type="expression" priority="93" id="{8069B12A-08D8-4A6A-B0C9-D28057B699D1}">
            <xm:f>AND(OR(E$28=Defaults!$M$2,E$28=Defaults!$M$4),OR(E$46="Cut-A-Way",E$46="Heavy Rail",E$46="Light Rail",E$46="Over-Road Coach",E$46="Streetcar",E$46="Transit Bus",E$46="Van",E$46="DMU / EMU"))</xm:f>
            <x14:dxf>
              <fill>
                <patternFill>
                  <bgColor theme="9" tint="0.79998168889431442"/>
                </patternFill>
              </fill>
            </x14:dxf>
          </x14:cfRule>
          <xm:sqref>I53 F53 L53</xm:sqref>
        </x14:conditionalFormatting>
        <x14:conditionalFormatting xmlns:xm="http://schemas.microsoft.com/office/excel/2006/main">
          <x14:cfRule type="expression" priority="94" id="{C0DB51D9-ED67-4FFD-8B0A-B3C2121B8288}">
            <xm:f>AND(OR(E$28=Defaults!$M$2,E$28=Defaults!$M$4),OR(E$46="Ferry",E$46="Heavy Rail",E$46="Light Rail",E$46="Streetcar",E$46="DMU / EMU"))</xm:f>
            <x14:dxf>
              <fill>
                <patternFill>
                  <bgColor theme="9" tint="0.79998168889431442"/>
                </patternFill>
              </fill>
            </x14:dxf>
          </x14:cfRule>
          <xm:sqref>I54 L54 F54</xm:sqref>
        </x14:conditionalFormatting>
        <x14:conditionalFormatting xmlns:xm="http://schemas.microsoft.com/office/excel/2006/main">
          <x14:cfRule type="expression" priority="103" id="{D7F1566E-09D7-4307-8A57-2746FB90E883}">
            <xm:f>AND(OR(E$28=Defaults!$M$4, E$28=Defaults!$M$2),OR(E$58="Ferry",E$58="Heavy Rail",E$58="Light Rail",E$58="Streetcar",E$58="DMU / EMU"))</xm:f>
            <x14:dxf>
              <font>
                <b val="0"/>
                <i val="0"/>
              </font>
              <fill>
                <patternFill>
                  <bgColor theme="9" tint="0.79998168889431442"/>
                </patternFill>
              </fill>
            </x14:dxf>
          </x14:cfRule>
          <xm:sqref>I66 L66 F66</xm:sqref>
        </x14:conditionalFormatting>
        <x14:conditionalFormatting xmlns:xm="http://schemas.microsoft.com/office/excel/2006/main">
          <x14:cfRule type="expression" priority="57" id="{5E59F94F-F7D8-4FB5-9023-F7758AC44F62}">
            <xm:f>OR(E$28=Defaults!$M$2, E$28=Defaults!$M$3)</xm:f>
            <x14:dxf>
              <fill>
                <patternFill>
                  <bgColor theme="4" tint="0.59996337778862885"/>
                </patternFill>
              </fill>
            </x14:dxf>
          </x14:cfRule>
          <xm:sqref>I78:I81 F78:F81 L78:L81</xm:sqref>
        </x14:conditionalFormatting>
        <x14:conditionalFormatting xmlns:xm="http://schemas.microsoft.com/office/excel/2006/main">
          <x14:cfRule type="expression" priority="51" id="{EB470BBF-4D86-42EB-AEB8-6C211989F066}">
            <xm:f>AND(OR(E$28=Defaults!$M$2,E$28=Defaults!$M$4),OR(E$46="Ferry",E$46="Heavy Rail",E$46="Light Rail",E$46="Streetcar",E$46="DMU / EMU"))</xm:f>
            <x14:dxf>
              <fill>
                <patternFill>
                  <bgColor theme="9" tint="0.79998168889431442"/>
                </patternFill>
              </fill>
            </x14:dxf>
          </x14:cfRule>
          <xm:sqref>J54 G54 M54</xm:sqref>
        </x14:conditionalFormatting>
        <x14:conditionalFormatting xmlns:xm="http://schemas.microsoft.com/office/excel/2006/main">
          <x14:cfRule type="expression" priority="26" id="{657D2900-2820-4660-B33F-E5C91EE4E49B}">
            <xm:f>H$28=Defaults!$M$4</xm:f>
            <x14:dxf>
              <fill>
                <patternFill>
                  <bgColor theme="9" tint="0.79998168889431442"/>
                </patternFill>
              </fill>
            </x14:dxf>
          </x14:cfRule>
          <xm:sqref>J58 M58</xm:sqref>
        </x14:conditionalFormatting>
        <x14:conditionalFormatting xmlns:xm="http://schemas.microsoft.com/office/excel/2006/main">
          <x14:cfRule type="expression" priority="17" id="{7BCCB77F-3ACA-416B-AE27-A0880E6DB7DD}">
            <xm:f>AND(NOT(ISBLANK($E$66)),OR($E$58=Defaults!$G$3,$E$58=Defaults!$G$5,$E$58=Defaults!$G$6,$E$58=Defaults!$G$8))</xm:f>
            <x14:dxf>
              <fill>
                <patternFill>
                  <bgColor theme="4" tint="0.59996337778862885"/>
                </patternFill>
              </fill>
            </x14:dxf>
          </x14:cfRule>
          <x14:cfRule type="expression" priority="18" id="{763AF662-6976-446C-AFC8-86F8A08098F3}">
            <xm:f>AND(OR(H$28=Defaults!$M$4, H$28=Defaults!$M$2),OR(H$58="Cut-A-Way",H$58="Heavy Rail",H$58="Light Rail",H$58="Over-Road Coach",H$58="Streetcar",H$58="Transit Bus",H$58="Van",H$58="DMU / EMU"))</xm:f>
            <x14:dxf>
              <fill>
                <patternFill>
                  <bgColor theme="9" tint="0.79998168889431442"/>
                </patternFill>
              </fill>
            </x14:dxf>
          </x14:cfRule>
          <xm:sqref>J65 M65</xm:sqref>
        </x14:conditionalFormatting>
        <x14:conditionalFormatting xmlns:xm="http://schemas.microsoft.com/office/excel/2006/main">
          <x14:cfRule type="expression" priority="90" id="{E3032AE9-580B-4FC0-8AD6-D9DF25D12F16}">
            <xm:f>OR(E$28=Defaults!$M$4)</xm:f>
            <x14:dxf>
              <fill>
                <patternFill>
                  <bgColor theme="9" tint="0.79998168889431442"/>
                </patternFill>
              </fill>
            </x14:dxf>
          </x14:cfRule>
          <xm:sqref>K47:K48 H47:H48 E47:E48</xm:sqref>
        </x14:conditionalFormatting>
        <x14:conditionalFormatting xmlns:xm="http://schemas.microsoft.com/office/excel/2006/main">
          <x14:cfRule type="expression" priority="62" id="{040A6A24-8DFE-42A1-BADE-70A4FE955C61}">
            <xm:f>NOT(OR($K$46=Defaults!$G$3,$K$46=Defaults!$G$4))</xm:f>
            <x14:dxf>
              <font>
                <color rgb="FFFF0000"/>
              </font>
              <fill>
                <patternFill>
                  <bgColor theme="1"/>
                </patternFill>
              </fill>
            </x14:dxf>
          </x14:cfRule>
          <xm:sqref>K48</xm:sqref>
        </x14:conditionalFormatting>
        <x14:conditionalFormatting xmlns:xm="http://schemas.microsoft.com/office/excel/2006/main">
          <x14:cfRule type="expression" priority="47" id="{3D0CB756-4254-4201-9F55-4B9056110533}">
            <xm:f>K$28=Defaults!$M$4</xm:f>
            <x14:dxf>
              <fill>
                <patternFill>
                  <bgColor theme="9" tint="0.79998168889431442"/>
                </patternFill>
              </fill>
            </x14:dxf>
          </x14:cfRule>
          <xm:sqref>K58</xm:sqref>
        </x14:conditionalFormatting>
        <x14:conditionalFormatting xmlns:xm="http://schemas.microsoft.com/office/excel/2006/main">
          <x14:cfRule type="expression" priority="89" id="{FF1D2D05-3264-47F0-A738-59C3D6DB8128}">
            <xm:f>OR(E$28=Defaults!$M$4)</xm:f>
            <x14:dxf>
              <fill>
                <patternFill>
                  <bgColor theme="9" tint="0.79998168889431442"/>
                </patternFill>
              </fill>
            </x14:dxf>
          </x14:cfRule>
          <xm:sqref>K59:K60 E59:E60 H59:H60</xm:sqref>
        </x14:conditionalFormatting>
        <x14:conditionalFormatting xmlns:xm="http://schemas.microsoft.com/office/excel/2006/main">
          <x14:cfRule type="expression" priority="65" id="{DAFA1F24-CAD8-409F-B6FF-1BF5FEFEC708}">
            <xm:f>NOT(OR($K$58=Defaults!$G$3,$K$58=Defaults!$G$4))</xm:f>
            <x14:dxf>
              <font>
                <color rgb="FFFF0000"/>
              </font>
              <fill>
                <patternFill>
                  <bgColor theme="1"/>
                </patternFill>
              </fill>
            </x14:dxf>
          </x14:cfRule>
          <xm:sqref>K60</xm:sqref>
        </x14:conditionalFormatting>
        <x14:conditionalFormatting xmlns:xm="http://schemas.microsoft.com/office/excel/2006/main">
          <x14:cfRule type="expression" priority="50" id="{91512E2B-B761-4F5D-8A8E-2C4FB7D01CEF}">
            <xm:f>OR(E$28=Defaults!$M$4, AND(NOT(ISBLANK(E$58)),E$28=Defaults!$M$2))</xm:f>
            <x14:dxf>
              <fill>
                <patternFill>
                  <bgColor theme="4" tint="0.59996337778862885"/>
                </patternFill>
              </fill>
            </x14:dxf>
          </x14:cfRule>
          <xm:sqref>K64 H64 E64</xm:sqref>
        </x14:conditionalFormatting>
        <x14:conditionalFormatting xmlns:xm="http://schemas.microsoft.com/office/excel/2006/main">
          <x14:cfRule type="expression" priority="101" id="{5B9E0A1B-AF80-4011-A180-E8F26CD12B1B}">
            <xm:f>AND(OR(E$28=Defaults!$M$4, E$28=Defaults!$M$2),OR(E$58="Cut-A-Way",E$58="Heavy Rail",E$58="Light Rail",E$58="Over-Road Coach",E$58="Streetcar",E$58="Transit Bus",E$58="Van",E$58="DMU / EMU"))</xm:f>
            <x14:dxf>
              <fill>
                <patternFill>
                  <bgColor theme="9" tint="0.79998168889431442"/>
                </patternFill>
              </fill>
            </x14:dxf>
          </x14:cfRule>
          <xm:sqref>K65 H65 E65</xm:sqref>
        </x14:conditionalFormatting>
        <x14:conditionalFormatting xmlns:xm="http://schemas.microsoft.com/office/excel/2006/main">
          <x14:cfRule type="expression" priority="64" id="{DD617BDE-286F-423E-BC35-D8AB90A0033B}">
            <xm:f>NOT(OR($K$69=Defaults!$G$3,$K$69=Defaults!$G$4))</xm:f>
            <x14:dxf>
              <font>
                <color rgb="FFFF0000"/>
              </font>
              <fill>
                <patternFill>
                  <bgColor theme="1"/>
                </patternFill>
              </fill>
            </x14:dxf>
          </x14:cfRule>
          <xm:sqref>K71</xm:sqref>
        </x14:conditionalFormatting>
        <x14:conditionalFormatting xmlns:xm="http://schemas.microsoft.com/office/excel/2006/main">
          <x14:cfRule type="expression" priority="75" id="{14515206-2DDF-430A-AE8B-A8108499855D}">
            <xm:f>AND(NOT(ISBLANK($K$53)),OR($K$46=Defaults!$G$3,$K$46=Defaults!$G$5,$K$46=Defaults!$G$6,$K$46=Defaults!$G$8))</xm:f>
            <x14:dxf>
              <fill>
                <patternFill>
                  <bgColor theme="4" tint="0.39994506668294322"/>
                </patternFill>
              </fill>
            </x14:dxf>
          </x14:cfRule>
          <xm:sqref>K54:L54</xm:sqref>
        </x14:conditionalFormatting>
        <x14:conditionalFormatting xmlns:xm="http://schemas.microsoft.com/office/excel/2006/main">
          <x14:cfRule type="expression" priority="96" id="{A585AAB3-D33D-4205-9E10-ADE2ADBBA167}">
            <xm:f>E$28=Defaults!$M$2</xm:f>
            <x14:dxf>
              <fill>
                <patternFill>
                  <bgColor theme="4" tint="0.59996337778862885"/>
                </patternFill>
              </fill>
            </x14:dxf>
          </x14:cfRule>
          <xm:sqref>K58:L58 E58:F58 H58:I58</xm:sqref>
        </x14:conditionalFormatting>
        <x14:conditionalFormatting xmlns:xm="http://schemas.microsoft.com/office/excel/2006/main">
          <x14:cfRule type="expression" priority="98" id="{A4EA8DD1-4C60-44C9-8B0C-825E683BB6C0}">
            <xm:f>OR(E$28=Defaults!$M$4, AND(NOT(ISBLANK(E$58)),E$28=Defaults!$M$2))</xm:f>
            <x14:dxf>
              <fill>
                <patternFill>
                  <bgColor theme="9" tint="0.79998168889431442"/>
                </patternFill>
              </fill>
            </x14:dxf>
          </x14:cfRule>
          <xm:sqref>K61:L62 H61:I62 E61:F62</xm:sqref>
        </x14:conditionalFormatting>
        <x14:conditionalFormatting xmlns:xm="http://schemas.microsoft.com/office/excel/2006/main">
          <x14:cfRule type="expression" priority="100" id="{5226B6A6-38E7-484C-84BE-D8EC688DFCDE}">
            <xm:f>AND(OR(E$28=Defaults!$M$4,E$28=Defaults!$M$2),OR(E$58="Cut-A-Way",E$58="Over-Road Coach",E$58="Transit Bus",E$58="Van",E$58="DMU / EMU"))</xm:f>
            <x14:dxf>
              <fill>
                <patternFill>
                  <bgColor theme="9" tint="0.79998168889431442"/>
                </patternFill>
              </fill>
            </x14:dxf>
          </x14:cfRule>
          <xm:sqref>K63:L63 H63:I63 E63:F63</xm:sqref>
        </x14:conditionalFormatting>
        <x14:conditionalFormatting xmlns:xm="http://schemas.microsoft.com/office/excel/2006/main">
          <x14:cfRule type="expression" priority="95" id="{8CF482DE-A9F5-44EF-B4C5-95C3BE7BB80F}">
            <xm:f>OR(E$28=Defaults!$M$5)</xm:f>
            <x14:dxf>
              <fill>
                <patternFill>
                  <bgColor theme="9" tint="0.79998168889431442"/>
                </patternFill>
              </fill>
            </x14:dxf>
          </x14:cfRule>
          <xm:sqref>K69:L69 E69:F69 H69:I69</xm:sqref>
        </x14:conditionalFormatting>
        <x14:conditionalFormatting xmlns:xm="http://schemas.microsoft.com/office/excel/2006/main">
          <x14:cfRule type="expression" priority="99" id="{D3D1333E-BA37-43E7-9ABA-4D7AB6E0B785}">
            <xm:f>OR(E$28=Defaults!$M$5, NOT(ISBLANK(E$69)))</xm:f>
            <x14:dxf>
              <fill>
                <patternFill>
                  <bgColor theme="9" tint="0.79998168889431442"/>
                </patternFill>
              </fill>
            </x14:dxf>
          </x14:cfRule>
          <xm:sqref>K72:L72 E72:F72 H72:I72</xm:sqref>
        </x14:conditionalFormatting>
        <x14:conditionalFormatting xmlns:xm="http://schemas.microsoft.com/office/excel/2006/main">
          <x14:cfRule type="expression" priority="70" id="{EEB2DC22-6E8A-4A14-A696-989E9AF39DDB}">
            <xm:f>AND(NOT(ISBLANK($K$65)),OR($K$58=Defaults!$G$3,$K$58=Defaults!$G$5,$K$58=Defaults!$G$6,$K$58=Defaults!$G$8))</xm:f>
            <x14:dxf>
              <fill>
                <patternFill>
                  <bgColor theme="4" tint="0.39994506668294322"/>
                </patternFill>
              </fill>
            </x14:dxf>
          </x14:cfRule>
          <xm:sqref>K66:M66</xm:sqref>
        </x14:conditionalFormatting>
        <x14:conditionalFormatting xmlns:xm="http://schemas.microsoft.com/office/excel/2006/main">
          <x14:cfRule type="expression" priority="49" id="{F006027E-EA55-432E-A372-25DDE23F8770}">
            <xm:f>OR(E$28=Defaults!$M$4, AND(NOT(ISBLANK(E$58)),E$28=Defaults!$M$2))</xm:f>
            <x14:dxf>
              <fill>
                <patternFill>
                  <bgColor theme="4" tint="0.59996337778862885"/>
                </patternFill>
              </fill>
            </x14:dxf>
          </x14:cfRule>
          <xm:sqref>L64 I64 F64</xm:sqref>
        </x14:conditionalFormatting>
        <x14:conditionalFormatting xmlns:xm="http://schemas.microsoft.com/office/excel/2006/main">
          <x14:cfRule type="expression" priority="104" id="{CFB9ADBD-E54E-4BEC-A99A-A10FB0802682}">
            <xm:f>AND(OR(E$28=Defaults!$M$4, E$28=Defaults!$M$2),OR(E$58="Cut-A-Way",E$58="Heavy Rail",E$58="Light Rail",E$58="Over-Road Coach",E$58="Streetcar",E$58="Transit Bus",E$58="Van",E$58="DMU / EMU"))</xm:f>
            <x14:dxf>
              <font>
                <b val="0"/>
                <i val="0"/>
              </font>
              <fill>
                <patternFill>
                  <bgColor theme="9" tint="0.79998168889431442"/>
                </patternFill>
              </fill>
            </x14:dxf>
          </x14:cfRule>
          <xm:sqref>L65 I65 F65</xm:sqref>
        </x14:conditionalFormatting>
        <x14:conditionalFormatting xmlns:xm="http://schemas.microsoft.com/office/excel/2006/main">
          <x14:cfRule type="expression" priority="97" id="{89E775FB-74D2-4FF5-B11E-A2DA487E07E3}">
            <xm:f>E$28=Defaults!$M$3</xm:f>
            <x14:dxf>
              <fill>
                <patternFill>
                  <bgColor theme="4" tint="0.59996337778862885"/>
                </patternFill>
              </fill>
            </x14:dxf>
          </x14:cfRule>
          <xm:sqref>L77:L78 I77:I78 F77:F78</xm:sqref>
        </x14:conditionalFormatting>
      </x14:conditionalFormattings>
    </ext>
    <ext xmlns:x14="http://schemas.microsoft.com/office/spreadsheetml/2009/9/main" uri="{CCE6A557-97BC-4b89-ADB6-D9C93CAAB3DF}">
      <x14:dataValidations xmlns:xm="http://schemas.microsoft.com/office/excel/2006/main" count="31">
        <x14:dataValidation type="list" allowBlank="1" showInputMessage="1" showErrorMessage="1" promptTitle="Note:" prompt="Selection locks after hybrid is identified" xr:uid="{2B7804FE-C20B-44FA-A17B-1F9CA6EE9057}">
          <x14:formula1>
            <xm:f>IF($K$50="",IF($K$46=Defaults!$G$4,Defaults!$I$14:$I$23,IF(OR($K$46=Defaults!$G$6,$K$46=Defaults!$G$8),Defaults!$I$38:$I$39,fuel)),"")</xm:f>
          </x14:formula1>
          <xm:sqref>K49</xm:sqref>
        </x14:dataValidation>
        <x14:dataValidation type="list" allowBlank="1" showInputMessage="1" showErrorMessage="1" xr:uid="{A7F5F60F-920D-4E3C-B7E0-28CD3A0CD683}">
          <x14:formula1>
            <xm:f>IF($E$69=Defaults!$G$4,Defaults!$I$14:$I$23,IF(OR($E$69=Defaults!$G$6,$E$69=Defaults!$G$8),Defaults!$I$37,fuel))</xm:f>
          </x14:formula1>
          <xm:sqref>E72</xm:sqref>
        </x14:dataValidation>
        <x14:dataValidation type="list" allowBlank="1" showInputMessage="1" showErrorMessage="1" xr:uid="{D288A40D-E565-4BDD-BF36-B68521D62441}">
          <x14:formula1>
            <xm:f>IF($H$69=Defaults!$G$4,Defaults!$I$14:$I$23,IF(OR($H$69=Defaults!$G$6,$H$69=Defaults!$G$8),Defaults!$I$37,fuel))</xm:f>
          </x14:formula1>
          <xm:sqref>H72</xm:sqref>
        </x14:dataValidation>
        <x14:dataValidation type="list" allowBlank="1" showInputMessage="1" showErrorMessage="1" xr:uid="{8DDDE601-975B-422A-9E7E-1EEAD646FEF6}">
          <x14:formula1>
            <xm:f>IF($K$69=Defaults!$G$4,Defaults!$I$14:$I$23,IF(OR($K$69=Defaults!$G$6,$K$69=Defaults!$G$8),Defaults!$I$37,fuel))</xm:f>
          </x14:formula1>
          <xm:sqref>K72</xm:sqref>
        </x14:dataValidation>
        <x14:dataValidation type="list" allowBlank="1" showInputMessage="1" showErrorMessage="1" xr:uid="{CB132D51-F3F9-4492-9F88-23F1BA1A4548}">
          <x14:formula1>
            <xm:f>IF($E$58=Defaults!$G$4,Defaults!$I$13:$I$21,IF(OR($E$58=Defaults!$G$6,$E$58=Defaults!$G$8),Defaults!$I$37:$I$38,fuel))</xm:f>
          </x14:formula1>
          <xm:sqref>E61</xm:sqref>
        </x14:dataValidation>
        <x14:dataValidation type="list" allowBlank="1" showInputMessage="1" showErrorMessage="1" xr:uid="{A991A3BF-9F4C-47A3-AF0D-920984FF4303}">
          <x14:formula1>
            <xm:f>IF($H$58=Defaults!$G$4,Defaults!$I$14:$I$23,IF(OR($H$58=Defaults!$G$6,$H$58=Defaults!$G$8),Defaults!$I$38:$I$39,fuel))</xm:f>
          </x14:formula1>
          <xm:sqref>H61</xm:sqref>
        </x14:dataValidation>
        <x14:dataValidation type="list" allowBlank="1" showInputMessage="1" showErrorMessage="1" xr:uid="{3A7974FB-F047-41C0-804F-FBA3058B969A}">
          <x14:formula1>
            <xm:f>IF($K$58=Defaults!$G$4,Defaults!$I$14:$I$23,IF(OR($K$58=Defaults!$G$6,$K$58=Defaults!$G$8),Defaults!$I$38:$I$39,fuel))</xm:f>
          </x14:formula1>
          <xm:sqref>K61</xm:sqref>
        </x14:dataValidation>
        <x14:dataValidation type="list" allowBlank="1" showInputMessage="1" showErrorMessage="1" promptTitle="Note:" prompt="Selection locks after hybrid is identified" xr:uid="{E4C37592-6B13-44B0-A44D-1A197EB16A59}">
          <x14:formula1>
            <xm:f>IF($E$50="",IF($E$46=Defaults!$G$4,Defaults!$I$14:$I$23,IF(OR($E$46=Defaults!$G$6,$E$46=Defaults!$G$8),Defaults!$I$37:$I$38,fuel)),"")</xm:f>
          </x14:formula1>
          <xm:sqref>E49</xm:sqref>
        </x14:dataValidation>
        <x14:dataValidation type="list" allowBlank="1" showInputMessage="1" showErrorMessage="1" promptTitle="Note:" prompt="Selection locks after hybrid is identified" xr:uid="{B6F70304-1FC0-4E57-AE2A-C66FA5DB73A9}">
          <x14:formula1>
            <xm:f>IF($H$50="",IF($H$46=Defaults!$G$4,Defaults!$I$14:$I$23,IF(OR($H$46=Defaults!$G$6,$H$46=Defaults!$G$8),Defaults!$I$38:$I$39,fuel)),"")</xm:f>
          </x14:formula1>
          <xm:sqref>H49</xm:sqref>
        </x14:dataValidation>
        <x14:dataValidation type="list" allowBlank="1" showInputMessage="1" showErrorMessage="1" xr:uid="{9C26E70D-8293-48F4-BD0E-A79098BDDB69}">
          <x14:formula1>
            <xm:f>IF(OR($E$49=Defaults!$I$5,$E$49=Defaults!$I$7,$E$49=Defaults!$I$11),Defaults!$G$15,yesno)</xm:f>
          </x14:formula1>
          <xm:sqref>E50</xm:sqref>
        </x14:dataValidation>
        <x14:dataValidation type="list" allowBlank="1" showInputMessage="1" showErrorMessage="1" xr:uid="{E33845E2-9310-42E7-8E13-5DDBF8C3BEE3}">
          <x14:formula1>
            <xm:f>IF(OR($H$49=Defaults!$I$5,$H$49=Defaults!$I$7,$H$49=Defaults!$I$11),Defaults!$G$15,yesno)</xm:f>
          </x14:formula1>
          <xm:sqref>H50</xm:sqref>
        </x14:dataValidation>
        <x14:dataValidation type="list" allowBlank="1" showInputMessage="1" showErrorMessage="1" xr:uid="{B676075B-2F19-4C22-8C9C-AF01454D9727}">
          <x14:formula1>
            <xm:f>IF(OR($K$49=Defaults!$I$5,$K$49=Defaults!$I$7,$K$49=Defaults!$I$11),Defaults!$G$15,yesno)</xm:f>
          </x14:formula1>
          <xm:sqref>K50</xm:sqref>
        </x14:dataValidation>
        <x14:dataValidation type="list" allowBlank="1" showInputMessage="1" showErrorMessage="1" xr:uid="{DB7B5299-32A7-4B18-8859-D89B5C58A53F}">
          <x14:formula1>
            <xm:f>IF(OR($E$61=Defaults!$I$5,$E$61=Defaults!$I$7,$E$61=Defaults!$I$11),Defaults!$G$15,yesno)</xm:f>
          </x14:formula1>
          <xm:sqref>E62</xm:sqref>
        </x14:dataValidation>
        <x14:dataValidation type="list" allowBlank="1" showInputMessage="1" showErrorMessage="1" xr:uid="{1CFEED6F-C4A0-442D-A078-B58C6B1E4A49}">
          <x14:formula1>
            <xm:f>IF(OR($H$61=Defaults!$I$5,$H$61=Defaults!$I$7,$H$61=Defaults!$I$11),Defaults!$G$15,yesno)</xm:f>
          </x14:formula1>
          <xm:sqref>H62</xm:sqref>
        </x14:dataValidation>
        <x14:dataValidation type="list" allowBlank="1" showInputMessage="1" showErrorMessage="1" xr:uid="{D63306B8-66FD-432C-8351-79C8431EA5A1}">
          <x14:formula1>
            <xm:f>IF(OR($K$61=Defaults!$I$5,$K$61=Defaults!$I$7,$K$61=Defaults!$I$11),Defaults!$G$15,yesno)</xm:f>
          </x14:formula1>
          <xm:sqref>K62</xm:sqref>
        </x14:dataValidation>
        <x14:dataValidation type="list" allowBlank="1" showInputMessage="1" showErrorMessage="1" xr:uid="{FFDB3A62-1174-40E5-BB4F-A88709433DB5}">
          <x14:formula1>
            <xm:f>Defaults!$N$2:$N$18</xm:f>
          </x14:formula1>
          <xm:sqref>K20:L20 E23:F23 H23:I23 H20:I20 K23:L23</xm:sqref>
        </x14:dataValidation>
        <x14:dataValidation type="list" allowBlank="1" showInputMessage="1" showErrorMessage="1" promptTitle="Leave blank if," prompt="No additional GGRF funding has or will be requested from another CCI Program for this project." xr:uid="{0716B5E4-CEDB-4843-AFC4-C3BDCEAA25D8}">
          <x14:formula1>
            <xm:f>Defaults!$N$2:$N$18</xm:f>
          </x14:formula1>
          <xm:sqref>E20:F20</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56B6C411-B36A-4C74-BD27-4941C4EB5683}">
          <x14:formula1>
            <xm:f>IF(OR($H$28=Defaults!$M$2,$H$28=Defaults!$M$3),AND(H40&gt;0)," ")</xm:f>
          </x14:formula1>
          <xm:sqref>H40</xm:sqref>
        </x14:dataValidation>
        <x14:dataValidation type="custom" allowBlank="1" showInputMessage="1" showErrorMessage="1" errorTitle="Invalid Input:" error="Value must be greater than 0." xr:uid="{44D39D37-E97A-4415-B982-FCCF95CD8E46}">
          <x14:formula1>
            <xm:f>IF(OR(H$28=Defaults!$M$2,H$28=Defaults!$M$3),H37&gt;=0," ")</xm:f>
          </x14:formula1>
          <xm:sqref>H37 K37</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E39F3CF4-BA3C-4400-B462-B58DD875F623}">
          <x14:formula1>
            <xm:f>IF(OR($E$28=Defaults!$M$2,$E$28=Defaults!$M$3),AND(E40&gt;0)," ")</xm:f>
          </x14:formula1>
          <xm:sqref>E40</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A94BD409-CA93-4C95-A2FC-630F173926CB}">
          <x14:formula1>
            <xm:f>IF(OR($E$28=Defaults!$M$2,$E$28=Defaults!$M$3),AND(E39&gt;=0, E39&lt;=1)," ")</xm:f>
          </x14:formula1>
          <xm:sqref>E39</xm:sqref>
        </x14:dataValidation>
        <x14:dataValidation type="custom" operator="greaterThan" allowBlank="1" showInputMessage="1" showErrorMessage="1" xr:uid="{329DC6CA-EFA5-4BAE-AB82-847E78129183}">
          <x14:formula1>
            <xm:f>IF(OR(E$28=Defaults!$M$2,E$28=Defaults!$M$3),E37&gt;=0," ")</xm:f>
          </x14:formula1>
          <xm:sqref>E37</xm:sqref>
        </x14:dataValidation>
        <x14:dataValidation type="list" allowBlank="1" showInputMessage="1" showErrorMessage="1" xr:uid="{F9E91BFA-C894-444E-B0F2-88107A99607C}">
          <x14:formula1>
            <xm:f>Defaults!$F$2:$F$9</xm:f>
          </x14:formula1>
          <xm:sqref>E29:F29 H29:I29 K29:L29</xm:sqref>
        </x14:dataValidation>
        <x14:dataValidation type="list" allowBlank="1" showInputMessage="1" showErrorMessage="1" xr:uid="{B16A8AF3-64C1-42FF-97CD-09551C1D4B1B}">
          <x14:formula1>
            <xm:f>OFFSET(Defaults!$B$2,$K$32-2015,0,IF(2080-$K$32&lt;50,2080-$K$32,50))</xm:f>
          </x14:formula1>
          <xm:sqref>K33</xm:sqref>
        </x14:dataValidation>
        <x14:dataValidation type="custom" allowBlank="1" showInputMessage="1" showErrorMessage="1" promptTitle="If unknown, use look up tables:" prompt="Quantification Methodlogy Appendix C includes look up tables by agency by mode, Table C-1, and by statewide average by mode, Table C-2." xr:uid="{098708A2-694B-4E3B-960B-23BA26A9A2EF}">
          <x14:formula1>
            <xm:f>IF(OR(E$28=Defaults!$M$2,E$28=Defaults!$M$3),E41&gt;0," ")</xm:f>
          </x14:formula1>
          <xm:sqref>E41</xm:sqref>
        </x14:dataValidation>
        <x14:dataValidation type="list" allowBlank="1" showInputMessage="1" showErrorMessage="1" xr:uid="{D5F72108-F4F2-4C87-B4F4-61286F5C3E12}">
          <x14:formula1>
            <xm:f>OFFSET(Defaults!$B$2,$E$32-2015,0,IF(2080-$E$32&lt;50,2080-$E$32,50))</xm:f>
          </x14:formula1>
          <xm:sqref>E33</xm:sqref>
        </x14:dataValidation>
        <x14:dataValidation type="list" allowBlank="1" showInputMessage="1" showErrorMessage="1" xr:uid="{281F604D-8C35-4271-B6D7-1949D8B77E09}">
          <x14:formula1>
            <xm:f>OFFSET(Defaults!$B$2,$H$32-2015,0,IF(2080-$H$32&lt;50,2080-$H$32,50))</xm:f>
          </x14:formula1>
          <xm:sqref>H33</xm:sqref>
        </x14:dataValidation>
        <x14:dataValidation type="list" allowBlank="1" showInputMessage="1" showErrorMessage="1" xr:uid="{76B0FD8F-4F68-45C7-ADA6-BE8548594070}">
          <x14:formula1>
            <xm:f>'Rail C&amp;T EF'!$A$15:$A$22</xm:f>
          </x14:formula1>
          <xm:sqref>E59 H70 E70 K59 K47 H59 E47 H47 K70</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FEC6B71C-5A22-462A-9189-3CE21507D9AC}">
          <x14:formula1>
            <xm:f>IF(OR($K$28=Defaults!$M$2,$K$28=Defaults!$M$3),AND(K40&gt;0)," ")</xm:f>
          </x14:formula1>
          <xm:sqref>K40</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DBB4F989-0600-48B9-A475-E5F5EB3A7B5D}">
          <x14:formula1>
            <xm:f>IF(OR(H$28=Defaults!$M$2,H$28=Defaults!$M$3),AND(H39&gt;=0, H39&lt;=1)," ")</xm:f>
          </x14:formula1>
          <xm:sqref>K39 H39</xm:sqref>
        </x14:dataValidation>
        <x14:dataValidation type="custom" operator="greaterThan" allowBlank="1" showInputMessage="1" showErrorMessage="1" errorTitle="Invalid Input:" error="Value must be greater than 0." xr:uid="{86D11689-803D-4998-9ABA-936F3CF14C6A}">
          <x14:formula1>
            <xm:f>IF(OR(E$28=Defaults!$M$2,E$28=Defaults!$M$3),E38&gt;0," ")</xm:f>
          </x14:formula1>
          <xm:sqref>H38 E38 K38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9E824-C20E-43EC-AF91-BC8630A96F3E}">
  <sheetPr>
    <tabColor theme="9" tint="0.79998168889431442"/>
  </sheetPr>
  <dimension ref="A1:AJ109"/>
  <sheetViews>
    <sheetView showGridLines="0" topLeftCell="B1" zoomScaleNormal="100" zoomScaleSheetLayoutView="55" workbookViewId="0">
      <selection activeCell="B8" sqref="B8:B9"/>
    </sheetView>
  </sheetViews>
  <sheetFormatPr defaultColWidth="9.08984375" defaultRowHeight="14" x14ac:dyDescent="0.3"/>
  <cols>
    <col min="1" max="1" width="2.90625" style="466" hidden="1" customWidth="1"/>
    <col min="2" max="2" width="24.453125" style="466" customWidth="1"/>
    <col min="3" max="3" width="63.453125" style="466" customWidth="1"/>
    <col min="4" max="4" width="20.08984375" style="466" hidden="1" customWidth="1"/>
    <col min="5" max="5" width="35.453125" style="466" customWidth="1"/>
    <col min="6" max="6" width="35.453125" style="466" hidden="1" customWidth="1"/>
    <col min="7" max="7" width="11.453125" style="466" customWidth="1"/>
    <col min="8" max="8" width="35.453125" style="466" customWidth="1"/>
    <col min="9" max="9" width="35.453125" style="466" hidden="1" customWidth="1"/>
    <col min="10" max="10" width="11.453125" style="466" customWidth="1"/>
    <col min="11" max="11" width="35.453125" style="466" customWidth="1"/>
    <col min="12" max="12" width="35.453125" style="466" hidden="1" customWidth="1"/>
    <col min="13" max="13" width="11.453125" style="466" customWidth="1"/>
    <col min="14" max="14" width="9.453125" style="466" customWidth="1"/>
    <col min="15" max="18" width="26.90625" style="466" hidden="1" customWidth="1"/>
    <col min="19" max="19" width="9.08984375" style="466"/>
    <col min="20" max="20" width="24.453125" style="466" customWidth="1"/>
    <col min="21" max="16384" width="9.08984375" style="466"/>
  </cols>
  <sheetData>
    <row r="1" spans="2:36" s="412" customFormat="1" ht="20.5" x14ac:dyDescent="0.45">
      <c r="E1" s="413"/>
      <c r="V1" s="461"/>
      <c r="W1" s="461"/>
      <c r="X1" s="461"/>
      <c r="Y1" s="461"/>
    </row>
    <row r="2" spans="2:36" s="412" customFormat="1" ht="20.5" x14ac:dyDescent="0.45">
      <c r="E2" s="413"/>
      <c r="I2" s="462"/>
      <c r="J2" s="462"/>
      <c r="N2" s="462"/>
      <c r="Q2" s="462"/>
      <c r="V2" s="461"/>
      <c r="W2" s="461"/>
      <c r="X2" s="461"/>
      <c r="Y2" s="461"/>
    </row>
    <row r="3" spans="2:36" s="412" customFormat="1" ht="21" thickBot="1" x14ac:dyDescent="0.5">
      <c r="E3" s="413"/>
      <c r="I3" s="462"/>
      <c r="J3" s="462"/>
      <c r="N3" s="462"/>
      <c r="Q3" s="462"/>
      <c r="V3" s="461"/>
      <c r="W3" s="461"/>
      <c r="X3" s="461"/>
      <c r="Y3" s="461"/>
    </row>
    <row r="4" spans="2:36" s="412" customFormat="1" ht="20.5" x14ac:dyDescent="0.45">
      <c r="E4" s="413"/>
      <c r="I4" s="462"/>
      <c r="J4" s="1543" t="s">
        <v>24</v>
      </c>
      <c r="K4" s="1545"/>
      <c r="L4" s="1549"/>
      <c r="N4" s="462"/>
      <c r="Q4" s="462"/>
      <c r="V4" s="461"/>
      <c r="W4" s="461"/>
      <c r="X4" s="461"/>
      <c r="Y4" s="461"/>
    </row>
    <row r="5" spans="2:36" s="412" customFormat="1" ht="20.5" x14ac:dyDescent="0.45">
      <c r="E5" s="413"/>
      <c r="J5" s="1544" t="s">
        <v>25</v>
      </c>
      <c r="K5" s="1546" t="s">
        <v>26</v>
      </c>
      <c r="L5" s="1550"/>
      <c r="V5" s="461"/>
      <c r="W5" s="461"/>
      <c r="X5" s="461"/>
      <c r="Y5" s="461"/>
    </row>
    <row r="6" spans="2:36" s="412" customFormat="1" ht="20.5" x14ac:dyDescent="0.45">
      <c r="B6" s="414"/>
      <c r="E6" s="413"/>
      <c r="J6" s="1553" t="s">
        <v>27</v>
      </c>
      <c r="K6" s="1547" t="s">
        <v>28</v>
      </c>
      <c r="L6" s="1549"/>
      <c r="V6" s="461"/>
      <c r="W6" s="461"/>
      <c r="X6" s="461"/>
      <c r="Y6" s="461"/>
    </row>
    <row r="7" spans="2:36" s="412" customFormat="1" ht="18" customHeight="1" x14ac:dyDescent="0.45">
      <c r="B7" s="488" t="s">
        <v>29</v>
      </c>
      <c r="C7" s="488"/>
      <c r="D7" s="488"/>
      <c r="E7" s="487"/>
      <c r="F7" s="487"/>
      <c r="G7" s="487"/>
      <c r="J7" s="1554" t="s">
        <v>30</v>
      </c>
      <c r="K7" s="1546" t="s">
        <v>31</v>
      </c>
      <c r="L7" s="1551"/>
      <c r="V7" s="461"/>
      <c r="W7" s="461"/>
      <c r="X7" s="461"/>
      <c r="Y7" s="461"/>
    </row>
    <row r="8" spans="2:36" s="412" customFormat="1" ht="18" customHeight="1" thickBot="1" x14ac:dyDescent="0.5">
      <c r="B8" s="1332" t="s">
        <v>6192</v>
      </c>
      <c r="C8" s="532"/>
      <c r="D8" s="532"/>
      <c r="E8" s="533"/>
      <c r="F8" s="533"/>
      <c r="G8" s="117"/>
      <c r="J8" s="1555" t="s">
        <v>32</v>
      </c>
      <c r="K8" s="1548" t="s">
        <v>33</v>
      </c>
      <c r="L8" s="1552"/>
      <c r="V8" s="461"/>
      <c r="W8" s="461"/>
      <c r="X8" s="461"/>
      <c r="Y8" s="461"/>
    </row>
    <row r="9" spans="2:36" s="412" customFormat="1" ht="18" customHeight="1" x14ac:dyDescent="0.45">
      <c r="B9" s="534" t="s">
        <v>6210</v>
      </c>
      <c r="C9" s="530"/>
      <c r="D9" s="530"/>
      <c r="E9" s="531"/>
      <c r="F9" s="531"/>
      <c r="G9" s="1510"/>
      <c r="V9" s="461"/>
      <c r="W9" s="461"/>
      <c r="X9" s="461"/>
      <c r="Y9" s="461"/>
    </row>
    <row r="10" spans="2:36" s="412" customFormat="1" ht="18" customHeight="1" x14ac:dyDescent="0.45">
      <c r="O10" s="725" t="s">
        <v>34</v>
      </c>
      <c r="P10" s="725"/>
      <c r="V10" s="461"/>
      <c r="W10" s="461"/>
      <c r="X10" s="461"/>
      <c r="Y10" s="461"/>
    </row>
    <row r="11" spans="2:36" s="117" customFormat="1" ht="36" customHeight="1" x14ac:dyDescent="0.45">
      <c r="B11" s="440" t="s">
        <v>35</v>
      </c>
      <c r="C11" s="1556" t="str">
        <f>IF('Project Info'!E13="","",'Project Info'!E13)</f>
        <v/>
      </c>
      <c r="D11" s="574"/>
      <c r="E11" s="575"/>
      <c r="F11" s="575"/>
      <c r="G11" s="791"/>
      <c r="H11" s="412"/>
      <c r="I11" s="412"/>
      <c r="J11" s="412"/>
      <c r="AI11" s="121"/>
      <c r="AJ11" s="121"/>
    </row>
    <row r="12" spans="2:36" s="117" customFormat="1" ht="20.5" x14ac:dyDescent="0.45">
      <c r="B12" s="790"/>
      <c r="C12" s="791"/>
      <c r="D12" s="791"/>
      <c r="E12" s="791"/>
      <c r="F12" s="791"/>
      <c r="G12" s="791"/>
      <c r="H12" s="412"/>
      <c r="I12" s="412"/>
      <c r="J12" s="412"/>
      <c r="O12" s="639" t="s">
        <v>36</v>
      </c>
      <c r="P12" s="639" t="s">
        <v>36</v>
      </c>
      <c r="Q12" s="639" t="s">
        <v>37</v>
      </c>
      <c r="R12" s="639" t="s">
        <v>37</v>
      </c>
      <c r="AI12" s="121"/>
      <c r="AJ12" s="121"/>
    </row>
    <row r="13" spans="2:36" s="463" customFormat="1" ht="18" customHeight="1" thickBot="1" x14ac:dyDescent="0.4">
      <c r="D13" s="724" t="s">
        <v>38</v>
      </c>
      <c r="E13" s="647"/>
      <c r="F13" s="647"/>
      <c r="G13" s="647"/>
      <c r="H13" s="648"/>
      <c r="I13" s="648"/>
      <c r="J13" s="648"/>
      <c r="K13" s="648"/>
      <c r="L13" s="648"/>
      <c r="M13" s="638"/>
      <c r="O13" s="794" t="s">
        <v>39</v>
      </c>
      <c r="P13" s="794"/>
      <c r="Q13" s="794" t="s">
        <v>39</v>
      </c>
      <c r="R13" s="795"/>
    </row>
    <row r="14" spans="2:36" ht="16" thickBot="1" x14ac:dyDescent="0.35">
      <c r="B14" s="464" t="s">
        <v>40</v>
      </c>
      <c r="C14" s="465" t="s">
        <v>41</v>
      </c>
      <c r="D14" s="646" t="s">
        <v>42</v>
      </c>
      <c r="E14" s="649" t="str">
        <f ca="1">MID(CELL("filename",B1),FIND("]",CELL("filename",B1))+1,255)&amp;": Subcomponent 1"</f>
        <v>Quantifiable Component 3: Subcomponent 1</v>
      </c>
      <c r="F14" s="1468"/>
      <c r="G14" s="650"/>
      <c r="H14" s="649" t="str">
        <f ca="1">MID(CELL("filename",B1),FIND("]",CELL("filename",B1))+1,255)&amp;": Subcomponent 2"</f>
        <v>Quantifiable Component 3: Subcomponent 2</v>
      </c>
      <c r="I14" s="1481"/>
      <c r="J14" s="651"/>
      <c r="K14" s="649" t="str">
        <f ca="1">MID(CELL("filename",B1),FIND("]",CELL("filename",B1))+1,255)&amp;": Subcomponent 3"</f>
        <v>Quantifiable Component 3: Subcomponent 3</v>
      </c>
      <c r="L14" s="1501"/>
      <c r="M14" s="1504"/>
      <c r="O14" s="792" t="s">
        <v>43</v>
      </c>
      <c r="P14" s="792"/>
      <c r="Q14" s="793"/>
      <c r="R14" s="793"/>
    </row>
    <row r="15" spans="2:36" ht="67.5" customHeight="1" thickBot="1" x14ac:dyDescent="0.4">
      <c r="B15" s="467" t="s">
        <v>44</v>
      </c>
      <c r="C15" s="468" t="s">
        <v>45</v>
      </c>
      <c r="D15" s="577" t="s">
        <v>46</v>
      </c>
      <c r="E15" s="1626"/>
      <c r="F15" s="1627"/>
      <c r="G15" s="1511" t="str">
        <f>IF(ISBLANK(E15),"(Required)","")</f>
        <v>(Required)</v>
      </c>
      <c r="H15" s="1612"/>
      <c r="I15" s="1613"/>
      <c r="J15" s="1536" t="str">
        <f>IF(ISBLANK(H15),"(Optional)","")</f>
        <v>(Optional)</v>
      </c>
      <c r="K15" s="1612"/>
      <c r="L15" s="1613"/>
      <c r="M15" s="1536" t="str">
        <f>IF(ISBLANK(K15),"(Optional)","")</f>
        <v>(Optional)</v>
      </c>
      <c r="N15" s="638"/>
      <c r="O15" s="640" t="s">
        <v>43</v>
      </c>
      <c r="P15" s="797" t="s">
        <v>47</v>
      </c>
      <c r="Q15" s="641"/>
      <c r="R15" s="797" t="s">
        <v>48</v>
      </c>
    </row>
    <row r="16" spans="2:36" ht="16" thickBot="1" x14ac:dyDescent="0.35">
      <c r="B16" s="617" t="s">
        <v>49</v>
      </c>
      <c r="C16" s="618"/>
      <c r="D16" s="618"/>
      <c r="E16" s="618"/>
      <c r="F16" s="618"/>
      <c r="G16" s="618"/>
      <c r="H16" s="618"/>
      <c r="I16" s="618"/>
      <c r="J16" s="618"/>
      <c r="K16" s="618"/>
      <c r="L16" s="618"/>
      <c r="M16" s="619"/>
      <c r="N16" s="483"/>
      <c r="O16" s="640" t="s">
        <v>43</v>
      </c>
      <c r="P16" s="640"/>
      <c r="Q16" s="641"/>
      <c r="R16" s="641"/>
    </row>
    <row r="17" spans="2:18" ht="33.75" customHeight="1" x14ac:dyDescent="0.35">
      <c r="B17" s="469" t="s">
        <v>50</v>
      </c>
      <c r="C17" s="470" t="s">
        <v>51</v>
      </c>
      <c r="D17" s="606" t="s">
        <v>46</v>
      </c>
      <c r="E17" s="1628"/>
      <c r="F17" s="1614"/>
      <c r="G17" s="1512" t="str">
        <f>IF(ISBLANK(E17),"(Required)","")</f>
        <v>(Required)</v>
      </c>
      <c r="H17" s="1620"/>
      <c r="I17" s="1614"/>
      <c r="J17" s="1537" t="str">
        <f>IF(ISBLANK(H17),"(Required)","")</f>
        <v>(Required)</v>
      </c>
      <c r="K17" s="1614"/>
      <c r="L17" s="1614"/>
      <c r="M17" s="1538" t="str">
        <f>IF(ISBLANK(K17),"(Required)","")</f>
        <v>(Required)</v>
      </c>
      <c r="N17" s="483"/>
      <c r="O17" s="640" t="s">
        <v>43</v>
      </c>
      <c r="P17" s="802" t="e">
        <f>#REF!</f>
        <v>#REF!</v>
      </c>
      <c r="Q17" s="641"/>
      <c r="R17" s="796" t="s">
        <v>52</v>
      </c>
    </row>
    <row r="18" spans="2:18" ht="48" customHeight="1" thickBot="1" x14ac:dyDescent="0.4">
      <c r="B18" s="471" t="s">
        <v>53</v>
      </c>
      <c r="C18" s="472" t="s">
        <v>54</v>
      </c>
      <c r="D18" s="577" t="s">
        <v>46</v>
      </c>
      <c r="E18" s="1629"/>
      <c r="F18" s="1615"/>
      <c r="G18" s="1513" t="str">
        <f>IF(ISBLANK(E18),"(Required)","")</f>
        <v>(Required)</v>
      </c>
      <c r="H18" s="1621"/>
      <c r="I18" s="1615"/>
      <c r="J18" s="1514" t="str">
        <f>IF(ISBLANK(H18),"(Required)","")</f>
        <v>(Required)</v>
      </c>
      <c r="K18" s="1615"/>
      <c r="L18" s="1615"/>
      <c r="M18" s="1514" t="str">
        <f>IF(ISBLANK(K18),"(Required)","")</f>
        <v>(Required)</v>
      </c>
      <c r="N18" s="483"/>
      <c r="O18" s="640" t="s">
        <v>43</v>
      </c>
      <c r="P18" s="802" t="e">
        <f>#REF!</f>
        <v>#REF!</v>
      </c>
      <c r="Q18" s="641"/>
      <c r="R18" s="796" t="s">
        <v>52</v>
      </c>
    </row>
    <row r="19" spans="2:18" ht="16.5" customHeight="1" x14ac:dyDescent="0.3">
      <c r="B19" s="625" t="s">
        <v>55</v>
      </c>
      <c r="C19" s="620"/>
      <c r="D19" s="620"/>
      <c r="E19" s="620"/>
      <c r="F19" s="620"/>
      <c r="G19" s="1488"/>
      <c r="H19" s="620"/>
      <c r="I19" s="620"/>
      <c r="J19" s="621"/>
      <c r="K19" s="620"/>
      <c r="L19" s="620"/>
      <c r="M19" s="1505"/>
      <c r="N19" s="483"/>
      <c r="O19" s="640" t="s">
        <v>43</v>
      </c>
      <c r="P19" s="640"/>
      <c r="Q19" s="641"/>
      <c r="R19" s="641"/>
    </row>
    <row r="20" spans="2:18" ht="33.75" customHeight="1" x14ac:dyDescent="0.35">
      <c r="B20" s="607" t="s">
        <v>56</v>
      </c>
      <c r="C20" s="608" t="s">
        <v>57</v>
      </c>
      <c r="D20" s="605" t="s">
        <v>58</v>
      </c>
      <c r="E20" s="1630"/>
      <c r="F20" s="1616"/>
      <c r="G20" s="1515" t="str">
        <f>IF(ISBLANK(E20),"(Optional)","")</f>
        <v>(Optional)</v>
      </c>
      <c r="H20" s="1622"/>
      <c r="I20" s="1616"/>
      <c r="J20" s="1516" t="str">
        <f>IF(ISBLANK(H20),"(Optional)","")</f>
        <v>(Optional)</v>
      </c>
      <c r="K20" s="1616"/>
      <c r="L20" s="1616"/>
      <c r="M20" s="1516" t="str">
        <f>IF(ISBLANK(K20),"(Optional)","")</f>
        <v>(Optional)</v>
      </c>
      <c r="N20" s="483"/>
      <c r="O20" s="640" t="s">
        <v>43</v>
      </c>
      <c r="P20" s="803" t="s">
        <v>59</v>
      </c>
      <c r="Q20" s="641"/>
      <c r="R20" s="641"/>
    </row>
    <row r="21" spans="2:18" ht="33.75" customHeight="1" thickBot="1" x14ac:dyDescent="0.4">
      <c r="B21" s="473" t="s">
        <v>60</v>
      </c>
      <c r="C21" s="474" t="s">
        <v>61</v>
      </c>
      <c r="D21" s="605" t="s">
        <v>58</v>
      </c>
      <c r="E21" s="1631"/>
      <c r="F21" s="1617"/>
      <c r="G21" s="1517" t="str">
        <f>IF(ISBLANK(E21),"(Optional)","")</f>
        <v>(Optional)</v>
      </c>
      <c r="H21" s="1623"/>
      <c r="I21" s="1617"/>
      <c r="J21" s="1518" t="str">
        <f>IF(ISBLANK(H21),"(Optional)","")</f>
        <v>(Optional)</v>
      </c>
      <c r="K21" s="1617"/>
      <c r="L21" s="1617"/>
      <c r="M21" s="1516" t="str">
        <f>IF(ISBLANK(K21),"(Optional)","")</f>
        <v>(Optional)</v>
      </c>
      <c r="N21" s="483"/>
      <c r="O21" s="640" t="s">
        <v>43</v>
      </c>
      <c r="P21" s="803" t="e">
        <f>#REF!-#REF!</f>
        <v>#REF!</v>
      </c>
      <c r="Q21" s="641"/>
      <c r="R21" s="797" t="s">
        <v>52</v>
      </c>
    </row>
    <row r="22" spans="2:18" ht="16.5" customHeight="1" x14ac:dyDescent="0.3">
      <c r="B22" s="624" t="s">
        <v>62</v>
      </c>
      <c r="C22" s="622"/>
      <c r="D22" s="622"/>
      <c r="E22" s="622"/>
      <c r="F22" s="622"/>
      <c r="G22" s="622"/>
      <c r="H22" s="622"/>
      <c r="I22" s="622"/>
      <c r="J22" s="623"/>
      <c r="K22" s="622"/>
      <c r="L22" s="622"/>
      <c r="M22" s="623"/>
      <c r="N22" s="483"/>
      <c r="O22" s="640" t="s">
        <v>43</v>
      </c>
      <c r="P22" s="640"/>
      <c r="Q22" s="641"/>
      <c r="R22" s="641"/>
    </row>
    <row r="23" spans="2:18" ht="33.75" customHeight="1" x14ac:dyDescent="0.3">
      <c r="B23" s="475" t="s">
        <v>56</v>
      </c>
      <c r="C23" s="476" t="s">
        <v>57</v>
      </c>
      <c r="D23" s="605" t="s">
        <v>58</v>
      </c>
      <c r="E23" s="1630"/>
      <c r="F23" s="1616"/>
      <c r="G23" s="1515" t="str">
        <f>IF(ISBLANK(E23),"(Optional)","")</f>
        <v>(Optional)</v>
      </c>
      <c r="H23" s="1622"/>
      <c r="I23" s="1616"/>
      <c r="J23" s="1516" t="str">
        <f>IF(ISBLANK(H23),"(Optional)","")</f>
        <v>(Optional)</v>
      </c>
      <c r="K23" s="1616"/>
      <c r="L23" s="1616"/>
      <c r="M23" s="1516" t="str">
        <f>IF(ISBLANK(K23),"(Required)","")</f>
        <v>(Required)</v>
      </c>
      <c r="N23" s="483"/>
      <c r="O23" s="640" t="s">
        <v>43</v>
      </c>
      <c r="P23" s="640"/>
      <c r="Q23" s="641"/>
      <c r="R23" s="641"/>
    </row>
    <row r="24" spans="2:18" ht="33.75" customHeight="1" x14ac:dyDescent="0.35">
      <c r="B24" s="477" t="s">
        <v>60</v>
      </c>
      <c r="C24" s="476" t="s">
        <v>63</v>
      </c>
      <c r="D24" s="605" t="s">
        <v>58</v>
      </c>
      <c r="E24" s="1618"/>
      <c r="F24" s="1610"/>
      <c r="G24" s="1515" t="str">
        <f>IF(ISBLANK(E24),"(Optional)","")</f>
        <v>(Optional)</v>
      </c>
      <c r="H24" s="1624"/>
      <c r="I24" s="1610"/>
      <c r="J24" s="1519" t="str">
        <f>IF(ISBLANK(H24),"(Optional)","")</f>
        <v>(Optional)</v>
      </c>
      <c r="K24" s="1610"/>
      <c r="L24" s="1610"/>
      <c r="M24" s="1516" t="str">
        <f>IF(ISBLANK(K24),"(Required)","")</f>
        <v>(Required)</v>
      </c>
      <c r="N24" s="483"/>
      <c r="O24" s="640" t="s">
        <v>43</v>
      </c>
      <c r="P24" s="803" t="e">
        <f>#REF!-#REF!</f>
        <v>#REF!</v>
      </c>
      <c r="Q24" s="641"/>
      <c r="R24" s="641"/>
    </row>
    <row r="25" spans="2:18" ht="52.5" customHeight="1" thickBot="1" x14ac:dyDescent="0.35">
      <c r="B25" s="610" t="s">
        <v>64</v>
      </c>
      <c r="C25" s="576" t="s">
        <v>65</v>
      </c>
      <c r="D25" s="611" t="s">
        <v>66</v>
      </c>
      <c r="E25" s="1619" t="str">
        <f>IF(E17="","",E24+E21+E17)</f>
        <v/>
      </c>
      <c r="F25" s="1611"/>
      <c r="G25" s="1539"/>
      <c r="H25" s="1625" t="str">
        <f>IF(H17="","",H24+H21+H17)</f>
        <v/>
      </c>
      <c r="I25" s="1611"/>
      <c r="J25" s="1539"/>
      <c r="K25" s="1611" t="str">
        <f>IF(K17="","",K24+K21+K17)</f>
        <v/>
      </c>
      <c r="L25" s="1611"/>
      <c r="M25" s="1540"/>
      <c r="N25" s="483"/>
      <c r="O25" s="640" t="s">
        <v>43</v>
      </c>
      <c r="P25" s="640"/>
      <c r="Q25" s="641"/>
      <c r="R25" s="641"/>
    </row>
    <row r="26" spans="2:18" ht="16.5" customHeight="1" thickBot="1" x14ac:dyDescent="0.35">
      <c r="B26" s="612" t="s">
        <v>67</v>
      </c>
      <c r="C26" s="613"/>
      <c r="D26" s="614"/>
      <c r="E26" s="613"/>
      <c r="F26" s="613"/>
      <c r="G26" s="615"/>
      <c r="H26" s="613"/>
      <c r="I26" s="613"/>
      <c r="J26" s="615"/>
      <c r="K26" s="613"/>
      <c r="L26" s="613"/>
      <c r="M26" s="615"/>
      <c r="N26" s="483"/>
      <c r="O26" s="641"/>
      <c r="P26" s="641"/>
      <c r="Q26" s="641"/>
      <c r="R26" s="641"/>
    </row>
    <row r="27" spans="2:18" ht="15.5" x14ac:dyDescent="0.3">
      <c r="B27" s="616" t="s">
        <v>68</v>
      </c>
      <c r="C27" s="627" t="s">
        <v>41</v>
      </c>
      <c r="D27" s="626" t="s">
        <v>42</v>
      </c>
      <c r="E27" s="1640" t="s">
        <v>40</v>
      </c>
      <c r="F27" s="1636"/>
      <c r="G27" s="1467"/>
      <c r="H27" s="1636" t="s">
        <v>40</v>
      </c>
      <c r="I27" s="1636"/>
      <c r="J27" s="1467"/>
      <c r="K27" s="1636" t="s">
        <v>40</v>
      </c>
      <c r="L27" s="1636"/>
      <c r="M27" s="1506"/>
      <c r="N27" s="483"/>
      <c r="O27" s="641"/>
      <c r="P27" s="641"/>
      <c r="Q27" s="641"/>
      <c r="R27" s="641"/>
    </row>
    <row r="28" spans="2:18" ht="48.75" customHeight="1" x14ac:dyDescent="0.3">
      <c r="B28" s="477" t="s">
        <v>69</v>
      </c>
      <c r="C28" s="478" t="s">
        <v>70</v>
      </c>
      <c r="D28" s="609" t="s">
        <v>71</v>
      </c>
      <c r="E28" s="1641"/>
      <c r="F28" s="1638"/>
      <c r="G28" s="1520" t="str">
        <f>IF(ISBLANK(E28),"(Required)","")</f>
        <v>(Required)</v>
      </c>
      <c r="H28" s="1637"/>
      <c r="I28" s="1638"/>
      <c r="J28" s="1521" t="str">
        <f t="shared" ref="J28:J33" si="0">IF(ISBLANK(H28),"(Required)","")</f>
        <v>(Required)</v>
      </c>
      <c r="K28" s="1638"/>
      <c r="L28" s="1638"/>
      <c r="M28" s="1522" t="str">
        <f>IF(ISBLANK(K28),"(Required)","")</f>
        <v>(Required)</v>
      </c>
      <c r="N28" s="483"/>
      <c r="O28" s="641" t="s">
        <v>72</v>
      </c>
      <c r="P28" s="641"/>
      <c r="Q28" s="641" t="s">
        <v>73</v>
      </c>
      <c r="R28" s="641"/>
    </row>
    <row r="29" spans="2:18" ht="63.75" customHeight="1" x14ac:dyDescent="0.3">
      <c r="B29" s="477" t="s">
        <v>74</v>
      </c>
      <c r="C29" s="478" t="s">
        <v>75</v>
      </c>
      <c r="D29" s="609" t="s">
        <v>71</v>
      </c>
      <c r="E29" s="1632"/>
      <c r="F29" s="1633"/>
      <c r="G29" s="1522" t="str">
        <f t="shared" ref="G29:G33" si="1">IF(ISBLANK(E29),"(Required)","")</f>
        <v>(Required)</v>
      </c>
      <c r="H29" s="1639"/>
      <c r="I29" s="1633"/>
      <c r="J29" s="1523" t="str">
        <f t="shared" si="0"/>
        <v>(Required)</v>
      </c>
      <c r="K29" s="1633"/>
      <c r="L29" s="1633"/>
      <c r="M29" s="1522" t="str">
        <f t="shared" ref="M29:M33" si="2">IF(ISBLANK(K29),"(Required)","")</f>
        <v>(Required)</v>
      </c>
      <c r="N29" s="483"/>
      <c r="O29" s="641"/>
      <c r="P29" s="641"/>
      <c r="Q29" s="641"/>
      <c r="R29" s="641"/>
    </row>
    <row r="30" spans="2:18" ht="33.75" customHeight="1" x14ac:dyDescent="0.3">
      <c r="B30" s="477" t="s">
        <v>76</v>
      </c>
      <c r="C30" s="478" t="s">
        <v>77</v>
      </c>
      <c r="D30" s="609" t="s">
        <v>71</v>
      </c>
      <c r="E30" s="1632"/>
      <c r="F30" s="1633"/>
      <c r="G30" s="1522" t="str">
        <f t="shared" si="1"/>
        <v>(Required)</v>
      </c>
      <c r="H30" s="1639"/>
      <c r="I30" s="1633"/>
      <c r="J30" s="1523" t="str">
        <f t="shared" si="0"/>
        <v>(Required)</v>
      </c>
      <c r="K30" s="1633"/>
      <c r="L30" s="1633"/>
      <c r="M30" s="1522" t="str">
        <f t="shared" si="2"/>
        <v>(Required)</v>
      </c>
      <c r="O30" s="641"/>
      <c r="P30" s="641"/>
      <c r="Q30" s="641"/>
      <c r="R30" s="641"/>
    </row>
    <row r="31" spans="2:18" ht="33.75" customHeight="1" x14ac:dyDescent="0.3">
      <c r="B31" s="477" t="s">
        <v>78</v>
      </c>
      <c r="C31" s="478" t="s">
        <v>79</v>
      </c>
      <c r="D31" s="609" t="s">
        <v>71</v>
      </c>
      <c r="E31" s="1632"/>
      <c r="F31" s="1633"/>
      <c r="G31" s="1522" t="str">
        <f t="shared" si="1"/>
        <v>(Required)</v>
      </c>
      <c r="H31" s="1639"/>
      <c r="I31" s="1633"/>
      <c r="J31" s="1523" t="str">
        <f t="shared" si="0"/>
        <v>(Required)</v>
      </c>
      <c r="K31" s="1633"/>
      <c r="L31" s="1633"/>
      <c r="M31" s="1522" t="str">
        <f t="shared" si="2"/>
        <v>(Required)</v>
      </c>
      <c r="O31" s="641"/>
      <c r="P31" s="641"/>
      <c r="Q31" s="641"/>
      <c r="R31" s="641"/>
    </row>
    <row r="32" spans="2:18" ht="42" x14ac:dyDescent="0.3">
      <c r="B32" s="477" t="s">
        <v>80</v>
      </c>
      <c r="C32" s="478" t="s">
        <v>81</v>
      </c>
      <c r="D32" s="609" t="s">
        <v>71</v>
      </c>
      <c r="E32" s="1632"/>
      <c r="F32" s="1633"/>
      <c r="G32" s="1522" t="str">
        <f t="shared" si="1"/>
        <v>(Required)</v>
      </c>
      <c r="H32" s="1639"/>
      <c r="I32" s="1633"/>
      <c r="J32" s="1523" t="str">
        <f t="shared" si="0"/>
        <v>(Required)</v>
      </c>
      <c r="K32" s="1633"/>
      <c r="L32" s="1633"/>
      <c r="M32" s="1522" t="str">
        <f t="shared" si="2"/>
        <v>(Required)</v>
      </c>
      <c r="O32" s="644" t="str">
        <f>IF(E28="","",VLOOKUP(E28,'LCTOP Project Types'!$B$12:$Q$26,6,0))</f>
        <v/>
      </c>
      <c r="P32" s="641"/>
      <c r="Q32" s="643" t="s">
        <v>81</v>
      </c>
      <c r="R32" s="641"/>
    </row>
    <row r="33" spans="2:18" ht="42" x14ac:dyDescent="0.3">
      <c r="B33" s="477" t="s">
        <v>82</v>
      </c>
      <c r="C33" s="478" t="s">
        <v>83</v>
      </c>
      <c r="D33" s="609" t="s">
        <v>71</v>
      </c>
      <c r="E33" s="1632"/>
      <c r="F33" s="1633"/>
      <c r="G33" s="1524" t="str">
        <f t="shared" si="1"/>
        <v>(Required)</v>
      </c>
      <c r="H33" s="1639"/>
      <c r="I33" s="1633"/>
      <c r="J33" s="1523" t="str">
        <f t="shared" si="0"/>
        <v>(Required)</v>
      </c>
      <c r="K33" s="1633"/>
      <c r="L33" s="1633"/>
      <c r="M33" s="1522" t="str">
        <f t="shared" si="2"/>
        <v>(Required)</v>
      </c>
      <c r="O33" s="644" t="str">
        <f>IF(E28="","",VLOOKUP(E28,'LCTOP Project Types'!$B$12:$Q$26,7,0))</f>
        <v/>
      </c>
      <c r="P33" s="641"/>
      <c r="Q33" s="643" t="s">
        <v>83</v>
      </c>
      <c r="R33" s="641"/>
    </row>
    <row r="34" spans="2:18" ht="33.75" customHeight="1" thickBot="1" x14ac:dyDescent="0.35">
      <c r="B34" s="479" t="s">
        <v>84</v>
      </c>
      <c r="C34" s="480" t="s">
        <v>85</v>
      </c>
      <c r="D34" s="611" t="s">
        <v>66</v>
      </c>
      <c r="E34" s="1634" t="str">
        <f>IF(E28="","", IF(E32="","", IF(E33="","", IF(E33-E32&lt;=0,"Useful Life cannot be negative",IF(E33-E32&gt;50,"Useful Life cannot be greater than 50 years",E33-E32)))))</f>
        <v/>
      </c>
      <c r="F34" s="1635"/>
      <c r="G34" s="1558"/>
      <c r="H34" s="1642" t="str">
        <f>IF(H28="","", IF(H32="","", IF(H33="","", IF(H33-H32&lt;=0,"Useful Life cannot be negative", IF(H33-H32&gt;50,"Useful Life cannot be greater than 50 years",H33-H32)))))</f>
        <v/>
      </c>
      <c r="I34" s="1635"/>
      <c r="J34" s="1541"/>
      <c r="K34" s="1635" t="str">
        <f>IF(K28="","", IF(K32="","", IF(K33="","", IF(K33-K32&lt;=0,"Useful Life cannot be negative",IF(K33-K32&gt;50,"Useful Life cannot be greater than 50 years",K33-K32)))))</f>
        <v/>
      </c>
      <c r="L34" s="1635"/>
      <c r="M34" s="1542"/>
      <c r="O34" s="644" t="str">
        <f>IF(E28="","",VLOOKUP(E28,'LCTOP Project Types'!$B$12:$Q$26,8,0))</f>
        <v/>
      </c>
      <c r="P34" s="641"/>
      <c r="Q34" s="643" t="s">
        <v>85</v>
      </c>
      <c r="R34" s="641"/>
    </row>
    <row r="35" spans="2:18" ht="16.5" customHeight="1" thickBot="1" x14ac:dyDescent="0.35">
      <c r="B35" s="612" t="s">
        <v>86</v>
      </c>
      <c r="C35" s="630"/>
      <c r="D35" s="631"/>
      <c r="E35" s="632"/>
      <c r="F35" s="614"/>
      <c r="G35" s="614"/>
      <c r="H35" s="614"/>
      <c r="I35" s="614"/>
      <c r="J35" s="632"/>
      <c r="K35" s="614"/>
      <c r="L35" s="614"/>
      <c r="M35" s="632"/>
      <c r="O35" s="641"/>
      <c r="P35" s="641"/>
      <c r="Q35" s="641"/>
      <c r="R35" s="641"/>
    </row>
    <row r="36" spans="2:18" ht="31" x14ac:dyDescent="0.3">
      <c r="B36" s="628" t="s">
        <v>87</v>
      </c>
      <c r="C36" s="629" t="s">
        <v>41</v>
      </c>
      <c r="D36" s="481" t="s">
        <v>42</v>
      </c>
      <c r="E36" s="482" t="s">
        <v>40</v>
      </c>
      <c r="F36" s="1469" t="s">
        <v>88</v>
      </c>
      <c r="G36" s="1469"/>
      <c r="H36" s="486" t="s">
        <v>40</v>
      </c>
      <c r="I36" s="1490" t="s">
        <v>88</v>
      </c>
      <c r="J36" s="788"/>
      <c r="K36" s="788" t="s">
        <v>40</v>
      </c>
      <c r="L36" s="1469" t="s">
        <v>88</v>
      </c>
      <c r="M36" s="1489"/>
      <c r="O36" s="641"/>
      <c r="P36" s="641"/>
      <c r="Q36" s="641"/>
      <c r="R36" s="641"/>
    </row>
    <row r="37" spans="2:18" ht="33.75" customHeight="1" x14ac:dyDescent="0.35">
      <c r="B37" s="477" t="s">
        <v>89</v>
      </c>
      <c r="C37" s="478" t="s">
        <v>90</v>
      </c>
      <c r="D37" s="609" t="str">
        <f>IF($E$28="","",IF(OR(#REF!=Defaults!$M$2,#REF!=Defaults!$M$3,#REF!= Defaults!$M$2,#REF!=Defaults!$M$3),"Required Input","Not Required"))</f>
        <v/>
      </c>
      <c r="E37" s="1460"/>
      <c r="F37" s="1470"/>
      <c r="G37" s="1525" t="str">
        <f t="shared" ref="G37:G40" si="3">IF(ISBLANK(E37),"(Required)","")</f>
        <v>(Required)</v>
      </c>
      <c r="H37" s="1456"/>
      <c r="I37" s="1482"/>
      <c r="J37" s="1526" t="str">
        <f>IF(ISBLANK(H37),"(Required)","")</f>
        <v>(Required)</v>
      </c>
      <c r="K37" s="1497"/>
      <c r="L37" s="1470"/>
      <c r="M37" s="1526" t="str">
        <f>IF(ISBLANK(K37),"(Required)","")</f>
        <v>(Required)</v>
      </c>
      <c r="O37" s="726" t="str">
        <f>IF(D37="","",IF(D37="Not Required","Not applicable for this project type.","The increase in unlinked passenger trips directly associated with the proposed project in the first year (Yr1)."))</f>
        <v/>
      </c>
      <c r="P37" s="641"/>
      <c r="Q37" s="645" t="s">
        <v>90</v>
      </c>
      <c r="R37" s="784"/>
    </row>
    <row r="38" spans="2:18" ht="63" customHeight="1" x14ac:dyDescent="0.35">
      <c r="B38" s="477" t="s">
        <v>91</v>
      </c>
      <c r="C38" s="478" t="s">
        <v>92</v>
      </c>
      <c r="D38" s="609" t="str">
        <f>IF($E$28="","",IF(OR(#REF!=Defaults!$M$2,#REF!=Defaults!$M$3,#REF!= Defaults!$M$2,#REF!=Defaults!$M$3),"Required Input","Not Required"))</f>
        <v/>
      </c>
      <c r="E38" s="1460"/>
      <c r="F38" s="1470"/>
      <c r="G38" s="1525" t="str">
        <f t="shared" si="3"/>
        <v>(Required)</v>
      </c>
      <c r="H38" s="1456"/>
      <c r="I38" s="1482"/>
      <c r="J38" s="1526" t="str">
        <f>IF(ISBLANK(H38),"(Required)","")</f>
        <v>(Required)</v>
      </c>
      <c r="K38" s="1497"/>
      <c r="L38" s="1470"/>
      <c r="M38" s="1526" t="str">
        <f t="shared" ref="M38:M40" si="4">IF(ISBLANK(K38),"(Required)","")</f>
        <v>(Required)</v>
      </c>
      <c r="O38" s="726" t="str">
        <f>IF(D38="","",IF(D38="Not Required","Not applicable for this project type.","The increase in unlinked passenger trips directly associated with the proposed project in the final year. If the ridership is not expected to change, Yr1 and YrF should be the same value."))</f>
        <v/>
      </c>
      <c r="P38" s="641"/>
      <c r="Q38" s="645" t="s">
        <v>92</v>
      </c>
      <c r="R38" s="784"/>
    </row>
    <row r="39" spans="2:18" ht="80.25" customHeight="1" x14ac:dyDescent="0.35">
      <c r="B39" s="477" t="s">
        <v>93</v>
      </c>
      <c r="C39" s="478" t="s">
        <v>94</v>
      </c>
      <c r="D39" s="609" t="str">
        <f>IF($E$28="","",IF(#REF!=Defaults!$M$4,"Not Required","Required Input"))</f>
        <v/>
      </c>
      <c r="E39" s="1447"/>
      <c r="F39" s="1470"/>
      <c r="G39" s="1525" t="str">
        <f t="shared" si="3"/>
        <v>(Required)</v>
      </c>
      <c r="H39" s="1457"/>
      <c r="I39" s="1482"/>
      <c r="J39" s="1526" t="str">
        <f>IF(ISBLANK(H39),"(Required)","")</f>
        <v>(Required)</v>
      </c>
      <c r="K39" s="1498"/>
      <c r="L39" s="1470"/>
      <c r="M39" s="1526" t="str">
        <f t="shared" si="4"/>
        <v>(Required)</v>
      </c>
      <c r="O39" s="726" t="str">
        <f>IF(D39="","",IF(D39="Not Required","Not applicable for this project type.","Discount factor applied to annual ridership to account for transit-dependent riders. 
Use: Document project-specific data or system average developed from a recent, statistically valid survey or default."))</f>
        <v/>
      </c>
      <c r="P39" s="641"/>
      <c r="Q39" s="645" t="s">
        <v>95</v>
      </c>
      <c r="R39" s="784"/>
    </row>
    <row r="40" spans="2:18" ht="33.75" customHeight="1" x14ac:dyDescent="0.35">
      <c r="B40" s="477" t="s">
        <v>96</v>
      </c>
      <c r="C40" s="478" t="s">
        <v>97</v>
      </c>
      <c r="D40" s="609" t="str">
        <f>IF($E$28="","",IF(OR(#REF!=Defaults!$M$2,#REF!=Defaults!$M$3,#REF!= Defaults!$M$2,#REF!=Defaults!$M$3),"Required Input","Not Required"))</f>
        <v/>
      </c>
      <c r="E40" s="1448"/>
      <c r="F40" s="1470"/>
      <c r="G40" s="1525" t="str">
        <f t="shared" si="3"/>
        <v>(Required)</v>
      </c>
      <c r="H40" s="1458"/>
      <c r="I40" s="1482"/>
      <c r="J40" s="1526" t="str">
        <f>IF(ISBLANK(H40),"(Required)","")</f>
        <v>(Required)</v>
      </c>
      <c r="K40" s="1499"/>
      <c r="L40" s="1470"/>
      <c r="M40" s="1526" t="str">
        <f t="shared" si="4"/>
        <v>(Required)</v>
      </c>
      <c r="N40" s="483"/>
      <c r="O40" s="726" t="str">
        <f>IF(D40="","",IF(D40="Not Required","Not applicable for this project type.","Annual passenger miles over unlinked trips directly associated with the proposed project."))</f>
        <v/>
      </c>
      <c r="P40" s="641"/>
      <c r="Q40" s="645" t="s">
        <v>98</v>
      </c>
      <c r="R40" s="784"/>
    </row>
    <row r="41" spans="2:18" ht="33.75" hidden="1" customHeight="1" x14ac:dyDescent="0.3">
      <c r="B41" s="722" t="s">
        <v>99</v>
      </c>
      <c r="C41" s="633" t="s">
        <v>100</v>
      </c>
      <c r="D41" s="609"/>
      <c r="E41" s="1428"/>
      <c r="F41" s="789"/>
      <c r="G41" s="1471"/>
      <c r="H41" s="1442"/>
      <c r="I41" s="1482"/>
      <c r="J41" s="1444"/>
      <c r="K41" s="1500"/>
      <c r="L41" s="1470"/>
      <c r="M41" s="1444"/>
      <c r="N41" s="483"/>
      <c r="O41" s="640" t="s">
        <v>101</v>
      </c>
      <c r="P41" s="641"/>
      <c r="Q41" s="642" t="s">
        <v>102</v>
      </c>
      <c r="R41" s="642"/>
    </row>
    <row r="42" spans="2:18" ht="33.75" customHeight="1" x14ac:dyDescent="0.35">
      <c r="B42" s="477" t="s">
        <v>103</v>
      </c>
      <c r="C42" s="478" t="s">
        <v>104</v>
      </c>
      <c r="D42" s="611" t="e">
        <f>IF(OR(#REF!=Defaults!$M$2,#REF!=Defaults!$M$3,#REF!=Defaults!$M$2,#REF!=Defaults!$M$3),"Calculated","Not Applicable")</f>
        <v>#REF!</v>
      </c>
      <c r="E42" s="1527" t="str">
        <f ca="1">IF(OR(E$28=Defaults!$M$2,E$28=Defaults!$M$3),IF(VLOOKUP(MID(CELL("filename",E42),FIND("]",CELL("filename",E42))+1,255)&amp;SUBSTITUTE(ADDRESS(1,COLUMN(E42),4),"1",""),'GHG Calcs'!$E$12:$CL$29,MATCH('GHG Calcs'!$Z$11,'GHG Calcs'!$E$11:$CL$11,0),0)="","",IFERROR(VLOOKUP(MID(CELL("filename",E42),FIND("]",CELL("filename",E42))+1,255)&amp;SUBSTITUTE(ADDRESS(1,COLUMN(E42),4),"1",""),'GHG Calcs'!$E$12:$CL$29,MATCH('GHG Calcs'!$Z$11,'GHG Calcs'!$E$11:$CL$11,0),0),"Incomplete Inputs")),"")</f>
        <v/>
      </c>
      <c r="F42" s="1472"/>
      <c r="G42" s="1432"/>
      <c r="H42" s="1528" t="str">
        <f ca="1">IF(OR(H$28=Defaults!$M$2,H$28=Defaults!$M$3),IF(VLOOKUP(MID(CELL("filename",H42),FIND("]",CELL("filename",H42))+1,255)&amp;SUBSTITUTE(ADDRESS(1,COLUMN(H42),4),"1",""),'GHG Calcs'!$E$12:$CL$29,MATCH('GHG Calcs'!$Z$11,'GHG Calcs'!$E$11:$CL$11,0),0)="","",IFERROR(VLOOKUP(MID(CELL("filename",H42),FIND("]",CELL("filename",H42))+1,255)&amp;SUBSTITUTE(ADDRESS(1,COLUMN(H42),4),"1",""),'GHG Calcs'!$E$12:$CL$29,MATCH('GHG Calcs'!$Z$11,'GHG Calcs'!$E$11:$CL$11,0),0),"Incomplete Inputs")),"")</f>
        <v/>
      </c>
      <c r="I42" s="1491"/>
      <c r="J42" s="1445"/>
      <c r="K42" s="1529" t="str">
        <f ca="1">IF(OR(K$28=Defaults!$M$2,K$28=Defaults!$M$3),IF(VLOOKUP(MID(CELL("filename",K42),FIND("]",CELL("filename",K42))+1,255)&amp;SUBSTITUTE(ADDRESS(1,COLUMN(K42),4),"1",""),'GHG Calcs'!$E$12:$CL$29,MATCH('GHG Calcs'!$Z$11,'GHG Calcs'!$E$11:$CL$11,0),0)="","",IFERROR(VLOOKUP(MID(CELL("filename",K42),FIND("]",CELL("filename",K42))+1,255)&amp;SUBSTITUTE(ADDRESS(1,COLUMN(K42),4),"1",""),'GHG Calcs'!$E$12:$CL$29,MATCH('GHG Calcs'!$Z$11,'GHG Calcs'!$E$11:$CL$11,0),0),"Incomplete Inputs")),"")</f>
        <v/>
      </c>
      <c r="L42" s="1502"/>
      <c r="M42" s="1445"/>
      <c r="N42" s="483"/>
      <c r="O42" s="641"/>
      <c r="P42" s="787" t="str">
        <f ca="1">'GHG Calcs'!Z12</f>
        <v/>
      </c>
      <c r="Q42" s="642" t="s">
        <v>38</v>
      </c>
      <c r="R42" s="787" t="e">
        <f ca="1">IF(OR(#REF!=Defaults!$M$2,#REF!=Defaults!$M$3,#REF!=Defaults!$M$2,#REF!=Defaults!$M$3),IF(VLOOKUP(MID(CELL("filename",E$42),FIND("]",CELL("filename",E$42))+1,255)&amp;SUBSTITUTE(ADDRESS(1,COLUMN(E$42),4),"1",""),'GHG Calcs'!$F$12:$CL$12,MATCH('GHG Calcs'!$Z$11,'GHG Calcs'!$F$11:$CL$11,0),0)="","",IFERROR(VLOOKUP(MID(CELL("filename",E$42),FIND("]",CELL("filename",E$42))+1,255)&amp;SUBSTITUTE(ADDRESS(1,COLUMN(E$42),4),"1",""),'GHG Calcs'!$F$12:$CL$12,MATCH('GHG Calcs'!$Z$11,'GHG Calcs'!$F$11:$CL$11,0),0),"Incomplete Inputs")),"")</f>
        <v>#REF!</v>
      </c>
    </row>
    <row r="43" spans="2:18" ht="54" customHeight="1" thickBot="1" x14ac:dyDescent="0.4">
      <c r="B43" s="484" t="s">
        <v>105</v>
      </c>
      <c r="C43" s="485" t="s">
        <v>106</v>
      </c>
      <c r="D43" s="637" t="e">
        <f>IF(OR(#REF!=Defaults!$M$2,#REF!=Defaults!$M$3,#REF!=Defaults!$M$2,#REF!=Defaults!$M$3),"Calculated","Not Applicable")</f>
        <v>#REF!</v>
      </c>
      <c r="E43" s="1530" t="str">
        <f ca="1">IF(OR(E$28=Defaults!$M$2,E$28=Defaults!$M$3),IF(VLOOKUP(MID(CELL("filename",E43),FIND("]",CELL("filename",E43))+1,255)&amp;SUBSTITUTE(ADDRESS(1,COLUMN(E43),4),"1",""),'GHG Calcs'!$E$12:$CL$29,MATCH('GHG Calcs'!$AA$11,'GHG Calcs'!$E$11:$CL$11,0),0)="","",IFERROR(VLOOKUP(MID(CELL("filename",E43),FIND("]",CELL("filename",E43))+1,255)&amp;SUBSTITUTE(ADDRESS(1,COLUMN(E43),4),"1",""),'GHG Calcs'!$E$12:$CL$29,MATCH('GHG Calcs'!$AA$11,'GHG Calcs'!$E$11:$CL$11,0),0),"Incomplete Inputs")),"")</f>
        <v/>
      </c>
      <c r="F43" s="1473"/>
      <c r="G43" s="1433"/>
      <c r="H43" s="1531" t="str">
        <f ca="1">IF(OR(H$28=Defaults!$M$2,H$28=Defaults!$M$3),IF(VLOOKUP(MID(CELL("filename",H43),FIND("]",CELL("filename",H43))+1,255)&amp;SUBSTITUTE(ADDRESS(1,COLUMN(H43),4),"1",""),'GHG Calcs'!$E$12:$CL$29,MATCH('GHG Calcs'!$AA$11,'GHG Calcs'!$E$11:$CL$11,0),0)="","",IFERROR(VLOOKUP(MID(CELL("filename",H43),FIND("]",CELL("filename",H43))+1,255)&amp;SUBSTITUTE(ADDRESS(1,COLUMN(H43),4),"1",""),'GHG Calcs'!$E$12:$CL$29,MATCH('GHG Calcs'!$AA$11,'GHG Calcs'!$E$11:$CL$11,0),0),"Incomplete Inputs")),"")</f>
        <v/>
      </c>
      <c r="I43" s="1492"/>
      <c r="J43" s="1446"/>
      <c r="K43" s="1532" t="str">
        <f ca="1">IF(OR(K$28=Defaults!$M$2,K$28=Defaults!$M$3),IF(VLOOKUP(MID(CELL("filename",K43),FIND("]",CELL("filename",K43))+1,255)&amp;SUBSTITUTE(ADDRESS(1,COLUMN(K43),4),"1",""),'GHG Calcs'!$E$12:$CL$29,MATCH('GHG Calcs'!$AA$11,'GHG Calcs'!$E$11:$CL$11,0),0)="","",IFERROR(VLOOKUP(MID(CELL("filename",K43),FIND("]",CELL("filename",K43))+1,255)&amp;SUBSTITUTE(ADDRESS(1,COLUMN(K43),4),"1",""),'GHG Calcs'!$E$12:$CL$29,MATCH('GHG Calcs'!$AA$11,'GHG Calcs'!$E$11:$CL$11,0),0),"Incomplete Inputs")),"")</f>
        <v/>
      </c>
      <c r="L43" s="1503"/>
      <c r="M43" s="1507"/>
      <c r="N43" s="483"/>
      <c r="O43" s="641"/>
      <c r="P43" s="787" t="str">
        <f ca="1">'GHG Calcs'!AA12</f>
        <v/>
      </c>
      <c r="Q43" s="642" t="s">
        <v>38</v>
      </c>
      <c r="R43" s="787" t="e">
        <f ca="1">IF(OR(#REF!=Defaults!$M$2,#REF!=Defaults!$M$3,#REF!=Defaults!$M$2,#REF!=Defaults!$M$3),IF(VLOOKUP(MID(CELL("filename",E$43),FIND("]",CELL("filename",E$43))+1,255)&amp;SUBSTITUTE(ADDRESS(1,COLUMN(E$43),4),"1",""),'GHG Calcs'!$F$12:$CL$12,MATCH('GHG Calcs'!$Z$11,'GHG Calcs'!$F$11:$CL$11,0),0)="","",IFERROR(VLOOKUP(MID(CELL("filename",E$43),FIND("]",CELL("filename",E$43))+1,255)&amp;SUBSTITUTE(ADDRESS(1,COLUMN(E$43),4),"1",""),'GHG Calcs'!$F$12:$CL$12,MATCH('GHG Calcs'!$AA$11,'GHG Calcs'!$F$11:$CL$11,0),0),"Incomplete Inputs")),"")</f>
        <v>#REF!</v>
      </c>
    </row>
    <row r="44" spans="2:18" ht="16.5" customHeight="1" thickBot="1" x14ac:dyDescent="0.35">
      <c r="B44" s="612" t="s">
        <v>107</v>
      </c>
      <c r="C44" s="630"/>
      <c r="D44" s="631"/>
      <c r="E44" s="632"/>
      <c r="F44" s="614"/>
      <c r="G44" s="632"/>
      <c r="H44" s="614"/>
      <c r="I44" s="1469"/>
      <c r="J44" s="1489"/>
      <c r="K44" s="614"/>
      <c r="L44" s="614"/>
      <c r="M44" s="632"/>
      <c r="O44" s="641"/>
      <c r="P44" s="641"/>
      <c r="Q44" s="641"/>
      <c r="R44" s="641"/>
    </row>
    <row r="45" spans="2:18" ht="31" x14ac:dyDescent="0.3">
      <c r="B45" s="628" t="s">
        <v>108</v>
      </c>
      <c r="C45" s="629" t="s">
        <v>41</v>
      </c>
      <c r="D45" s="481" t="s">
        <v>42</v>
      </c>
      <c r="E45" s="482" t="s">
        <v>40</v>
      </c>
      <c r="F45" s="1469" t="s">
        <v>88</v>
      </c>
      <c r="G45" s="788"/>
      <c r="H45" s="486" t="s">
        <v>40</v>
      </c>
      <c r="I45" s="1469" t="s">
        <v>88</v>
      </c>
      <c r="J45" s="788"/>
      <c r="K45" s="486" t="s">
        <v>40</v>
      </c>
      <c r="L45" s="1490" t="s">
        <v>88</v>
      </c>
      <c r="M45" s="1489"/>
      <c r="N45" s="483"/>
      <c r="O45" s="641"/>
      <c r="P45" s="641"/>
      <c r="Q45" s="641"/>
      <c r="R45" s="641"/>
    </row>
    <row r="46" spans="2:18" ht="33.75" customHeight="1" x14ac:dyDescent="0.3">
      <c r="B46" s="477" t="s">
        <v>109</v>
      </c>
      <c r="C46" s="478" t="s">
        <v>110</v>
      </c>
      <c r="D46" s="611" t="str">
        <f>IF($E$28="","",IF(OR(#REF!=Defaults!$M$2,#REF!=Defaults!$M$4,#REF!= Defaults!$M$2,#REF!=Defaults!$M$4),IF(NOT(E$29=Defaults!$F$2),"Required Input","Not Required"),"Not Required"))</f>
        <v/>
      </c>
      <c r="E46" s="1443"/>
      <c r="F46" s="1474"/>
      <c r="G46" s="1533" t="str">
        <f t="shared" ref="G46:G51" si="5">IF(ISBLANK(E46),"(Required)","")</f>
        <v>(Required)</v>
      </c>
      <c r="H46" s="1459"/>
      <c r="I46" s="1493"/>
      <c r="J46" s="1533" t="str">
        <f t="shared" ref="J46:J51" si="6">IF(ISBLANK(H46),"(Required)","")</f>
        <v>(Required)</v>
      </c>
      <c r="K46" s="1459"/>
      <c r="L46" s="1493"/>
      <c r="M46" s="1533" t="str">
        <f>IF(ISBLANK(K46),"(Required)","")</f>
        <v>(Required)</v>
      </c>
      <c r="N46" s="483"/>
      <c r="O46" s="727" t="str">
        <f>IF($E$28="","",IF(D46="Not Required","Not applicable for this project type.","The vehicle type (e.g., Transit Bus, Streetcar, Ferry, etc.) that will operate the new service or will be procured."))</f>
        <v/>
      </c>
      <c r="P46" s="641"/>
      <c r="Q46" s="478" t="s">
        <v>110</v>
      </c>
      <c r="R46" s="785"/>
    </row>
    <row r="47" spans="2:18" ht="33.75" customHeight="1" x14ac:dyDescent="0.3">
      <c r="B47" s="477" t="s">
        <v>111</v>
      </c>
      <c r="C47" s="478" t="s">
        <v>112</v>
      </c>
      <c r="D47" s="611" t="str">
        <f>IF($E$28="","",IF(AND(OR(#REF!=Defaults!$M$2,#REF!=Defaults!$M$4,#REF!= Defaults!$M$2,#REF!=Defaults!$M$4),NOT(E$29=Defaults!$F$2),E$46=Defaults!$G$5),"Required Input","Not Required"))</f>
        <v/>
      </c>
      <c r="E47" s="1449"/>
      <c r="F47" s="1474"/>
      <c r="G47" s="1533" t="str">
        <f t="shared" si="5"/>
        <v>(Required)</v>
      </c>
      <c r="H47" s="1452"/>
      <c r="I47" s="1493"/>
      <c r="J47" s="1533" t="str">
        <f t="shared" si="6"/>
        <v>(Required)</v>
      </c>
      <c r="K47" s="1452"/>
      <c r="L47" s="1493"/>
      <c r="M47" s="1533" t="str">
        <f t="shared" ref="M47:M54" si="7">IF(ISBLANK(K47),"(Required)","")</f>
        <v>(Required)</v>
      </c>
      <c r="N47" s="483"/>
      <c r="O47" s="727" t="str">
        <f>IF($E$28="","",IF(D47="Not Required","Not applicable for this project type.","The engine tier for the vehicle(s) that will operate the new service."))</f>
        <v/>
      </c>
      <c r="P47" s="641"/>
      <c r="Q47" s="478" t="s">
        <v>112</v>
      </c>
      <c r="R47" s="785"/>
    </row>
    <row r="48" spans="2:18" ht="33.75" customHeight="1" x14ac:dyDescent="0.3">
      <c r="B48" s="477" t="s">
        <v>113</v>
      </c>
      <c r="C48" s="478" t="s">
        <v>114</v>
      </c>
      <c r="D48" s="611" t="str">
        <f>IF($E$28="","",IF(AND(OR(#REF!=Defaults!$M$2,#REF!=Defaults!$M$4,#REF!= Defaults!$M$2,#REF!=Defaults!$M$4),NOT(E$29=Defaults!$F$2),OR(E$46=Defaults!$G$3,E$46=Defaults!$G$4)),"Required Input","Not Required"))</f>
        <v/>
      </c>
      <c r="E48" s="1449"/>
      <c r="F48" s="1474"/>
      <c r="G48" s="1533" t="str">
        <f t="shared" si="5"/>
        <v>(Required)</v>
      </c>
      <c r="H48" s="1452"/>
      <c r="I48" s="1493"/>
      <c r="J48" s="1533" t="str">
        <f t="shared" si="6"/>
        <v>(Required)</v>
      </c>
      <c r="K48" s="1452"/>
      <c r="L48" s="1493"/>
      <c r="M48" s="1533" t="str">
        <f t="shared" si="7"/>
        <v>(Required)</v>
      </c>
      <c r="N48" s="483"/>
      <c r="O48" s="727" t="str">
        <f>IF($E$28="","",IF(D48="Not Required","Not applicable for this project type.","The engine horsepower rating for the vehicle(s) that will operate the new service."))</f>
        <v/>
      </c>
      <c r="P48" s="641"/>
      <c r="Q48" s="478" t="s">
        <v>114</v>
      </c>
      <c r="R48" s="785"/>
    </row>
    <row r="49" spans="2:18" ht="33.75" customHeight="1" x14ac:dyDescent="0.3">
      <c r="B49" s="477" t="s">
        <v>115</v>
      </c>
      <c r="C49" s="478" t="s">
        <v>116</v>
      </c>
      <c r="D49" s="611" t="str">
        <f>IF($E$28="","",IF(OR(#REF!=Defaults!$M$2,#REF!=Defaults!$M$4,#REF!= Defaults!$M$2,#REF!=Defaults!$M$4),IF(NOT(E$29=Defaults!$F$2),"Required Input","Not Required"),"Not Required"))</f>
        <v/>
      </c>
      <c r="E49" s="1449"/>
      <c r="F49" s="1474"/>
      <c r="G49" s="1533" t="str">
        <f t="shared" si="5"/>
        <v>(Required)</v>
      </c>
      <c r="H49" s="1452"/>
      <c r="I49" s="1493"/>
      <c r="J49" s="1533" t="str">
        <f t="shared" si="6"/>
        <v>(Required)</v>
      </c>
      <c r="K49" s="1452"/>
      <c r="L49" s="1493"/>
      <c r="M49" s="1533" t="str">
        <f t="shared" si="7"/>
        <v>(Required)</v>
      </c>
      <c r="N49" s="483"/>
      <c r="O49" s="478" t="str">
        <f>IF($E$28="","",IF(D49="Not Required","Not applicable for this project type.",VLOOKUP($E$28,'LCTOP Project Types'!$B$12:$Q$26,11,0)))</f>
        <v/>
      </c>
      <c r="P49" s="641"/>
      <c r="Q49" s="478" t="s">
        <v>116</v>
      </c>
      <c r="R49" s="785"/>
    </row>
    <row r="50" spans="2:18" ht="47.25" customHeight="1" x14ac:dyDescent="0.3">
      <c r="B50" s="477" t="s">
        <v>117</v>
      </c>
      <c r="C50" s="478" t="s">
        <v>118</v>
      </c>
      <c r="D50" s="611" t="str">
        <f>IF($E$28="","",IF(OR(#REF!=Defaults!$M$2,#REF!=Defaults!$M$4,#REF!= Defaults!$M$2,#REF!=Defaults!$M$4),IF(NOT(E$29=Defaults!$F$2),"Required Input","Not Required"),"Not Required"))</f>
        <v/>
      </c>
      <c r="E50" s="1449"/>
      <c r="F50" s="1474"/>
      <c r="G50" s="1533" t="str">
        <f t="shared" si="5"/>
        <v>(Required)</v>
      </c>
      <c r="H50" s="1461"/>
      <c r="I50" s="1493"/>
      <c r="J50" s="1533" t="str">
        <f t="shared" si="6"/>
        <v>(Required)</v>
      </c>
      <c r="K50" s="1452"/>
      <c r="L50" s="1493"/>
      <c r="M50" s="1533" t="str">
        <f t="shared" si="7"/>
        <v>(Required)</v>
      </c>
      <c r="N50" s="483"/>
      <c r="O50" s="478" t="str">
        <f>IF($E$28="","",IF(D50="Not Required","Not applicable for this project type.",VLOOKUP($E$28,'LCTOP Project Types'!$B$12:$Q$26,10,0)))</f>
        <v/>
      </c>
      <c r="P50" s="641"/>
      <c r="Q50" s="478" t="s">
        <v>118</v>
      </c>
      <c r="R50" s="785"/>
    </row>
    <row r="51" spans="2:18" ht="54.75" customHeight="1" x14ac:dyDescent="0.3">
      <c r="B51" s="477" t="s">
        <v>119</v>
      </c>
      <c r="C51" s="478" t="s">
        <v>120</v>
      </c>
      <c r="D51" s="611" t="str">
        <f>IF($E$28="","",IF(AND(OR(#REF!=Defaults!$M$2,#REF!=Defaults!$M$4,#REF!=Defaults!$M$2,#REF!=Defaults!$M$4),OR(E$46=Defaults!$G$2,E$46=Defaults!$G$3,E$46=Defaults!$G$4,E$46=Defaults!$G$7,E$46=Defaults!$G$9,E$46=Defaults!$G$10)),"Required Input","Not Required"))</f>
        <v/>
      </c>
      <c r="E51" s="1449"/>
      <c r="F51" s="1474"/>
      <c r="G51" s="1533" t="str">
        <f t="shared" si="5"/>
        <v>(Required)</v>
      </c>
      <c r="H51" s="1461"/>
      <c r="I51" s="1493"/>
      <c r="J51" s="1533" t="str">
        <f t="shared" si="6"/>
        <v>(Required)</v>
      </c>
      <c r="K51" s="1452"/>
      <c r="L51" s="1493"/>
      <c r="M51" s="1533" t="str">
        <f t="shared" si="7"/>
        <v>(Required)</v>
      </c>
      <c r="N51" s="483"/>
      <c r="O51" s="478" t="str">
        <f>IF($E$28="","",IF(D51="Not Required","Not applicable for this project type.",VLOOKUP($E$28,'LCTOP Project Types'!$B$12:$Q$26,12,0)))</f>
        <v/>
      </c>
      <c r="P51" s="641"/>
      <c r="Q51" s="478" t="s">
        <v>120</v>
      </c>
      <c r="R51" s="785"/>
    </row>
    <row r="52" spans="2:18" ht="47.25" customHeight="1" x14ac:dyDescent="0.3">
      <c r="B52" s="477" t="s">
        <v>121</v>
      </c>
      <c r="C52" s="478" t="s">
        <v>122</v>
      </c>
      <c r="D52" s="611" t="str">
        <f>IF($E$28="","",IF(AND(OR(#REF!=Defaults!$M$2,#REF!=Defaults!$M$4,#REF!=Defaults!$M$2,#REF!=Defaults!$M$4),NOT(E$29=Defaults!$F$2)),"Optional Input","Not Required"))</f>
        <v/>
      </c>
      <c r="E52" s="1448"/>
      <c r="F52" s="1470"/>
      <c r="G52" s="1526" t="str">
        <f>IF(ISBLANK(E52),"(Optional)","")</f>
        <v>(Optional)</v>
      </c>
      <c r="H52" s="1458"/>
      <c r="I52" s="1482"/>
      <c r="J52" s="1526" t="str">
        <f>IF(ISBLANK(H52),"(Optional)","")</f>
        <v>(Optional)</v>
      </c>
      <c r="K52" s="1458"/>
      <c r="L52" s="1494"/>
      <c r="M52" s="1533" t="str">
        <f>IF(ISBLANK(K52),"(Optional)","")</f>
        <v>(Optional)</v>
      </c>
      <c r="N52" s="483"/>
      <c r="O52" s="478" t="str">
        <f>IF($E$28="","",IF(D52="Not Required","Not applicable for this project type.","If used, applicant must be able to demonstrate an approved carbon intensity value under the Low Carbon Fuel Standard and submit additional documentation."))</f>
        <v/>
      </c>
      <c r="P52" s="641"/>
      <c r="Q52" s="478" t="s">
        <v>123</v>
      </c>
      <c r="R52" s="785"/>
    </row>
    <row r="53" spans="2:18" ht="100.5" customHeight="1" x14ac:dyDescent="0.3">
      <c r="B53" s="477" t="s">
        <v>124</v>
      </c>
      <c r="C53" s="478" t="s">
        <v>125</v>
      </c>
      <c r="D53" s="611" t="str">
        <f>IF($E$28="","",IF(AND(NOT(ISBLANK($E$54)),OR($E$46=Defaults!$G$3,$E$46=Defaults!$G$5,$E$46=Defaults!$G$6,$E$46=Defaults!$G$8)),"Optional",IF(AND(OR(#REF!=Defaults!$M$2,#REF!=Defaults!$M$4,#REF!=Defaults!$M$2,#REF!=Defaults!$M$4),OR(E$46=Defaults!$G$2,E$46=Defaults!$G$3,E$46=Defaults!$G$5,E$46=Defaults!$G$6,E$46=Defaults!$G$7,E$46=Defaults!$G$8,E$46=Defaults!$G$9,E$46=Defaults!$G$10)),"Required Input","Not Required")))</f>
        <v/>
      </c>
      <c r="E53" s="1450"/>
      <c r="F53" s="1470"/>
      <c r="G53" s="1526" t="str">
        <f>IF(ISBLANK(E53),"(Required)","")</f>
        <v>(Required)</v>
      </c>
      <c r="H53" s="1456"/>
      <c r="I53" s="1482"/>
      <c r="J53" s="1526" t="str">
        <f>IF(ISBLANK(H53),"(Required)","")</f>
        <v>(Required)</v>
      </c>
      <c r="K53" s="1456"/>
      <c r="L53" s="1494"/>
      <c r="M53" s="1533" t="str">
        <f t="shared" si="7"/>
        <v>(Required)</v>
      </c>
      <c r="N53" s="483"/>
      <c r="O53" s="478" t="str">
        <f>IF($E$28="","",IF(D53="Not Required","Not applicable for this project type.",VLOOKUP($E$28,'LCTOP Project Types'!$B$12:$Q$26,13,0)))</f>
        <v/>
      </c>
      <c r="P53" s="641"/>
      <c r="Q53" s="478" t="s">
        <v>125</v>
      </c>
      <c r="R53" s="785"/>
    </row>
    <row r="54" spans="2:18" ht="133.5" customHeight="1" thickBot="1" x14ac:dyDescent="0.35">
      <c r="B54" s="479" t="s">
        <v>126</v>
      </c>
      <c r="C54" s="480" t="s">
        <v>127</v>
      </c>
      <c r="D54" s="605" t="str">
        <f>IF($E$28="","",IF(AND(NOT(ISBLANK($E$53)),OR($E$46=Defaults!$G$3,$E$46=Defaults!$G$5,$E$46=Defaults!$G$6,$E$46=Defaults!$G$8)),"Optional",IF(AND(OR(#REF!=Defaults!$M$2,#REF!=Defaults!$M$4,#REF!=Defaults!$M$2,#REF!=Defaults!$M$4),OR(E$46=Defaults!$G$3,E$46=Defaults!$G$4,E$46=Defaults!$G$5,E$46=Defaults!$G$6,E$46=Defaults!$G$8)),"Required Input","Not Required")))</f>
        <v/>
      </c>
      <c r="E54" s="1450"/>
      <c r="F54" s="1471"/>
      <c r="G54" s="1526" t="str">
        <f>IF(ISBLANK(E54),"(Required)","")</f>
        <v>(Required)</v>
      </c>
      <c r="H54" s="1456"/>
      <c r="I54" s="1494"/>
      <c r="J54" s="1526" t="str">
        <f>IF(ISBLANK(H54),"(Required)","")</f>
        <v>(Required)</v>
      </c>
      <c r="K54" s="1456"/>
      <c r="L54" s="1494"/>
      <c r="M54" s="1533" t="str">
        <f t="shared" si="7"/>
        <v>(Required)</v>
      </c>
      <c r="N54" s="483"/>
      <c r="O54" s="480" t="str">
        <f>IF($E$28="","",IF(D54="Not Required","Not applicable for this project type.",VLOOKUP($E$28,'LCTOP Project Types'!$B$12:$Q$26,14,0)))</f>
        <v/>
      </c>
      <c r="P54" s="641"/>
      <c r="Q54" s="480" t="s">
        <v>127</v>
      </c>
      <c r="R54" s="786"/>
    </row>
    <row r="55" spans="2:18" ht="100.5" hidden="1" customHeight="1" thickBot="1" x14ac:dyDescent="0.35">
      <c r="B55" s="477" t="s">
        <v>128</v>
      </c>
      <c r="C55" s="478" t="s">
        <v>129</v>
      </c>
      <c r="D55" s="605" t="str">
        <f>IF($E$28="","",IF(OR($E$49=Defaults!$I$11, $H$49=Defaults!$I$11, $K$49=Defaults!$I$11),"Required Input","Not Required"))</f>
        <v/>
      </c>
      <c r="E55" s="1431"/>
      <c r="F55" s="1475"/>
      <c r="G55" s="1429"/>
      <c r="H55" s="1430"/>
      <c r="I55" s="1495"/>
      <c r="J55" s="1429"/>
      <c r="K55" s="1430"/>
      <c r="L55" s="1495"/>
      <c r="M55" s="1508"/>
      <c r="N55" s="483"/>
      <c r="O55" s="480"/>
      <c r="P55" s="641"/>
      <c r="Q55" s="480"/>
      <c r="R55" s="786"/>
    </row>
    <row r="56" spans="2:18" ht="16.5" customHeight="1" thickBot="1" x14ac:dyDescent="0.35">
      <c r="B56" s="612" t="s">
        <v>130</v>
      </c>
      <c r="C56" s="630"/>
      <c r="D56" s="631"/>
      <c r="E56" s="632"/>
      <c r="F56" s="614"/>
      <c r="G56" s="1489"/>
      <c r="H56" s="486"/>
      <c r="I56" s="1469"/>
      <c r="J56" s="1489"/>
      <c r="K56" s="614"/>
      <c r="L56" s="614"/>
      <c r="M56" s="632"/>
      <c r="O56" s="641"/>
      <c r="P56" s="641"/>
      <c r="Q56" s="641"/>
      <c r="R56" s="641"/>
    </row>
    <row r="57" spans="2:18" ht="31" x14ac:dyDescent="0.3">
      <c r="B57" s="628" t="s">
        <v>131</v>
      </c>
      <c r="C57" s="629" t="s">
        <v>41</v>
      </c>
      <c r="D57" s="481" t="s">
        <v>42</v>
      </c>
      <c r="E57" s="482" t="s">
        <v>40</v>
      </c>
      <c r="F57" s="1469" t="s">
        <v>88</v>
      </c>
      <c r="G57" s="788"/>
      <c r="H57" s="486" t="s">
        <v>40</v>
      </c>
      <c r="I57" s="1469" t="s">
        <v>88</v>
      </c>
      <c r="J57" s="788"/>
      <c r="K57" s="486" t="s">
        <v>40</v>
      </c>
      <c r="L57" s="1490" t="s">
        <v>88</v>
      </c>
      <c r="M57" s="1489"/>
      <c r="N57" s="483"/>
      <c r="O57" s="641"/>
      <c r="P57" s="641"/>
      <c r="Q57" s="641"/>
      <c r="R57" s="641"/>
    </row>
    <row r="58" spans="2:18" ht="33.75" customHeight="1" x14ac:dyDescent="0.3">
      <c r="B58" s="477" t="s">
        <v>109</v>
      </c>
      <c r="C58" s="478" t="s">
        <v>132</v>
      </c>
      <c r="D58" s="611" t="str">
        <f>IF($E$28="","",IF(OR(#REF!=Defaults!$M$4,#REF!=Defaults!$M$4),"Required Input",IF(OR(#REF!=Defaults!$M$2,#REF!=Defaults!$M$2),"Optional Input","Not Required")))</f>
        <v/>
      </c>
      <c r="E58" s="1443"/>
      <c r="F58" s="1476"/>
      <c r="G58" s="1533" t="b">
        <f>IF(ISBLANK(E58),IF(E$28=Defaults!$M$2,"(Optional)",IF(E$28=Defaults!$M$4,"(Required)")),"")</f>
        <v>0</v>
      </c>
      <c r="H58" s="1462"/>
      <c r="I58" s="1494"/>
      <c r="J58" s="1526" t="b">
        <f>IF(ISBLANK(H58),IF(H$28=Defaults!$M$2,"(Optional)",IF(H$28=Defaults!$M$4,"(Required)")),"")</f>
        <v>0</v>
      </c>
      <c r="K58" s="1462"/>
      <c r="L58" s="1494"/>
      <c r="M58" s="1526" t="b">
        <f>IF(ISBLANK(K58),IF(K$28=Defaults!$M$2,"(Optional)",IF(K$28=Defaults!$M$4,"(Required)")),"")</f>
        <v>0</v>
      </c>
      <c r="N58" s="483"/>
      <c r="O58" s="478" t="str">
        <f>IF($E$28="","",IF(D54="Not Required","Not applicable for this project type.","The vehicle type (e.g., Transit Bus, Streetcar, Ferry, etc.) of the baseline vehicle(s)."))</f>
        <v/>
      </c>
      <c r="P58" s="641"/>
      <c r="Q58" s="478" t="s">
        <v>132</v>
      </c>
      <c r="R58" s="785"/>
    </row>
    <row r="59" spans="2:18" ht="33.75" customHeight="1" x14ac:dyDescent="0.3">
      <c r="B59" s="477" t="s">
        <v>111</v>
      </c>
      <c r="C59" s="478" t="s">
        <v>133</v>
      </c>
      <c r="D59" s="611" t="str">
        <f>IF($E$28="","",IF(AND(OR(#REF!=Defaults!$M$2,#REF!=Defaults!$M$4,#REF!= Defaults!$M$2,#REF!=Defaults!$M$4),E$58=Defaults!$G$5),"Required Input","Not Required"))</f>
        <v/>
      </c>
      <c r="E59" s="1449"/>
      <c r="F59" s="1476"/>
      <c r="G59" s="1526" t="str">
        <f t="shared" ref="G59:G63" si="8">IF(ISBLANK(E59),"(Required)","")</f>
        <v>(Required)</v>
      </c>
      <c r="H59" s="1461"/>
      <c r="I59" s="1494"/>
      <c r="J59" s="1526" t="str">
        <f t="shared" ref="J59:J63" si="9">IF(ISBLANK(H59),"(Required)","")</f>
        <v>(Required)</v>
      </c>
      <c r="K59" s="1461"/>
      <c r="L59" s="1494"/>
      <c r="M59" s="1526" t="str">
        <f t="shared" ref="M59:M63" si="10">IF(ISBLANK(K59),"(Required)","")</f>
        <v>(Required)</v>
      </c>
      <c r="N59" s="483"/>
      <c r="O59" s="478"/>
      <c r="P59" s="641"/>
      <c r="Q59" s="478" t="s">
        <v>133</v>
      </c>
      <c r="R59" s="785"/>
    </row>
    <row r="60" spans="2:18" ht="33.75" customHeight="1" x14ac:dyDescent="0.3">
      <c r="B60" s="477" t="s">
        <v>113</v>
      </c>
      <c r="C60" s="478" t="s">
        <v>134</v>
      </c>
      <c r="D60" s="611" t="str">
        <f>IF($E$28="","",IF(AND(OR(#REF!=Defaults!$M$2,#REF!=Defaults!$M$4,#REF!= Defaults!$M$2,#REF!=Defaults!$M$4),OR($E$58=Defaults!$G$3,$E$58=Defaults!$G$4)),"Required Input","Not Required"))</f>
        <v/>
      </c>
      <c r="E60" s="1451"/>
      <c r="F60" s="1476"/>
      <c r="G60" s="1534" t="str">
        <f t="shared" si="8"/>
        <v>(Required)</v>
      </c>
      <c r="H60" s="1463"/>
      <c r="I60" s="1494"/>
      <c r="J60" s="1526" t="str">
        <f t="shared" si="9"/>
        <v>(Required)</v>
      </c>
      <c r="K60" s="1463"/>
      <c r="L60" s="1494"/>
      <c r="M60" s="1526" t="str">
        <f t="shared" si="10"/>
        <v>(Required)</v>
      </c>
      <c r="N60" s="483"/>
      <c r="O60" s="478"/>
      <c r="P60" s="641"/>
      <c r="Q60" s="478" t="s">
        <v>134</v>
      </c>
      <c r="R60" s="785"/>
    </row>
    <row r="61" spans="2:18" ht="33.75" customHeight="1" x14ac:dyDescent="0.3">
      <c r="B61" s="477" t="s">
        <v>115</v>
      </c>
      <c r="C61" s="478" t="s">
        <v>135</v>
      </c>
      <c r="D61" s="605" t="str">
        <f>IF($E$28="","",IF(OR(#REF!=Defaults!$M$4,#REF!=Defaults!$M$4,AND(OR(#REF!=Defaults!$M$2,#REF!=Defaults!$M$2),NOT(ISBLANK(E58)))),"Required Input","Not Required"))</f>
        <v/>
      </c>
      <c r="E61" s="1449"/>
      <c r="F61" s="1476"/>
      <c r="G61" s="1533" t="str">
        <f t="shared" si="8"/>
        <v>(Required)</v>
      </c>
      <c r="H61" s="1461"/>
      <c r="I61" s="1494"/>
      <c r="J61" s="1526" t="str">
        <f t="shared" si="9"/>
        <v>(Required)</v>
      </c>
      <c r="K61" s="1461"/>
      <c r="L61" s="1494"/>
      <c r="M61" s="1526" t="str">
        <f t="shared" si="10"/>
        <v>(Required)</v>
      </c>
      <c r="N61" s="483"/>
      <c r="O61" s="478"/>
      <c r="P61" s="641"/>
      <c r="Q61" s="478" t="s">
        <v>136</v>
      </c>
      <c r="R61" s="785"/>
    </row>
    <row r="62" spans="2:18" ht="33.75" customHeight="1" x14ac:dyDescent="0.3">
      <c r="B62" s="477" t="s">
        <v>117</v>
      </c>
      <c r="C62" s="478" t="s">
        <v>118</v>
      </c>
      <c r="D62" s="611" t="str">
        <f>IF($E$28="","",IF(OR(#REF!=Defaults!$M$4,#REF!=Defaults!$M$4,AND(OR(#REF!=Defaults!$M$2,#REF!=Defaults!$M$2),NOT(ISBLANK(E58)))),"Required Input","Not Required"))</f>
        <v/>
      </c>
      <c r="E62" s="1449"/>
      <c r="F62" s="1476"/>
      <c r="G62" s="1533" t="str">
        <f t="shared" si="8"/>
        <v>(Required)</v>
      </c>
      <c r="H62" s="1461"/>
      <c r="I62" s="1494"/>
      <c r="J62" s="1526" t="str">
        <f t="shared" si="9"/>
        <v>(Required)</v>
      </c>
      <c r="K62" s="1461"/>
      <c r="L62" s="1494"/>
      <c r="M62" s="1526" t="str">
        <f t="shared" si="10"/>
        <v>(Required)</v>
      </c>
      <c r="N62" s="483"/>
      <c r="O62" s="478"/>
      <c r="P62" s="641"/>
      <c r="Q62" s="478"/>
      <c r="R62" s="785"/>
    </row>
    <row r="63" spans="2:18" ht="33.75" customHeight="1" x14ac:dyDescent="0.3">
      <c r="B63" s="477" t="s">
        <v>119</v>
      </c>
      <c r="C63" s="478" t="s">
        <v>137</v>
      </c>
      <c r="D63" s="611" t="str">
        <f>IF($E$28="","",IF(AND(OR(#REF!=Defaults!$M$4,#REF!=Defaults!$M$4,#REF!=Defaults!$M$2,#REF!=Defaults!$M$2),OR(E$58=Defaults!$G$2,E$58=Defaults!$G$3,E$58=Defaults!$G$4,E$58=Defaults!$G$7,E$58=Defaults!$G$9,E$58=Defaults!$G$10)),"Required Input","Not Required"))</f>
        <v/>
      </c>
      <c r="E63" s="1449"/>
      <c r="F63" s="1476"/>
      <c r="G63" s="1533" t="str">
        <f t="shared" si="8"/>
        <v>(Required)</v>
      </c>
      <c r="H63" s="1461"/>
      <c r="I63" s="1494"/>
      <c r="J63" s="1526" t="str">
        <f t="shared" si="9"/>
        <v>(Required)</v>
      </c>
      <c r="K63" s="1461"/>
      <c r="L63" s="1494"/>
      <c r="M63" s="1526" t="str">
        <f t="shared" si="10"/>
        <v>(Required)</v>
      </c>
      <c r="N63" s="483"/>
      <c r="O63" s="478"/>
      <c r="P63" s="641"/>
      <c r="Q63" s="478" t="s">
        <v>138</v>
      </c>
      <c r="R63" s="785"/>
    </row>
    <row r="64" spans="2:18" ht="46.5" x14ac:dyDescent="0.3">
      <c r="B64" s="477" t="s">
        <v>121</v>
      </c>
      <c r="C64" s="478" t="s">
        <v>122</v>
      </c>
      <c r="D64" s="611" t="str">
        <f>IF($E$28="","",IF(OR(#REF!=Defaults!$M$4,#REF!=Defaults!$M$4,AND(OR(#REF!=Defaults!$M$2,#REF!=Defaults!$M$2),NOT(ISBLANK(E58)))),"Optional Input","Not Required"))</f>
        <v/>
      </c>
      <c r="E64" s="1449"/>
      <c r="F64" s="1476"/>
      <c r="G64" s="1534" t="str">
        <f>IF(ISBLANK(E64),"(Optional)","")</f>
        <v>(Optional)</v>
      </c>
      <c r="H64" s="1461"/>
      <c r="I64" s="1494"/>
      <c r="J64" s="1526" t="str">
        <f>IF(ISBLANK(H64),"(Optional)","")</f>
        <v>(Optional)</v>
      </c>
      <c r="K64" s="1461"/>
      <c r="L64" s="1494"/>
      <c r="M64" s="1526" t="str">
        <f>IF(ISBLANK(K64),"(Optional)","")</f>
        <v>(Optional)</v>
      </c>
      <c r="N64" s="483"/>
      <c r="O64" s="478"/>
      <c r="P64" s="641"/>
      <c r="Q64" s="478"/>
      <c r="R64" s="785"/>
    </row>
    <row r="65" spans="2:18" ht="82.5" customHeight="1" x14ac:dyDescent="0.3">
      <c r="B65" s="477" t="s">
        <v>139</v>
      </c>
      <c r="C65" s="478" t="s">
        <v>140</v>
      </c>
      <c r="D65" s="611" t="str">
        <f>IF($E$28="","",IF(AND(NOT(ISBLANK($E$66)),OR($E$58=Defaults!$G$3,$E$58=Defaults!$G$5,$E$58=Defaults!$G$6,$E$58=Defaults!$G$8)),"Optional",IF(AND(OR(#REF!=Defaults!$M$4,#REF!=Defaults!$M$4,#REF!=Defaults!$M$2,#REF!=Defaults!$M$2),OR(E$58=Defaults!$G$2,E$58=Defaults!$G$3,E$58=Defaults!$G$5,E$58=Defaults!$G$6,E$58=Defaults!$G$7,E$58=Defaults!$G$8,E$58=Defaults!$G$9,E$58=Defaults!$G$10)),"Required Input","Not Required")))</f>
        <v/>
      </c>
      <c r="E65" s="1450"/>
      <c r="F65" s="1476"/>
      <c r="G65" s="1533" t="str">
        <f>IF(ISBLANK(E65),"(Required)","")</f>
        <v>(Required)</v>
      </c>
      <c r="H65" s="1456"/>
      <c r="I65" s="1494"/>
      <c r="J65" s="1526" t="str">
        <f>IF(ISBLANK(H65),"(Required)","")</f>
        <v>(Required)</v>
      </c>
      <c r="K65" s="1456"/>
      <c r="L65" s="1494"/>
      <c r="M65" s="1526" t="str">
        <f>IF(ISBLANK(K65),"(Required)","")</f>
        <v>(Required)</v>
      </c>
      <c r="N65" s="483"/>
      <c r="O65" s="478"/>
      <c r="P65" s="641"/>
      <c r="Q65" s="478" t="s">
        <v>140</v>
      </c>
      <c r="R65" s="785"/>
    </row>
    <row r="66" spans="2:18" ht="110.25" customHeight="1" thickBot="1" x14ac:dyDescent="0.35">
      <c r="B66" s="477" t="s">
        <v>141</v>
      </c>
      <c r="C66" s="478" t="s">
        <v>142</v>
      </c>
      <c r="D66" s="605" t="str">
        <f>IF($E$28="","",IF(AND(NOT(ISBLANK($E$65)),OR($E$58=Defaults!$G$3,$E$58=Defaults!$G$5,$E$58=Defaults!$G$6,$E$58=Defaults!$G$8)),"Optional",IF(AND(OR(#REF!=Defaults!$M$2,#REF!=Defaults!$M$4,#REF!=Defaults!$M$2,#REF!=Defaults!$M$4),OR(E$58=Defaults!$G$3,E$58=Defaults!$G$4,E$58=Defaults!$G$5,E$58=Defaults!$G$6,E$58=Defaults!$G$8)),"Required Input","Not Required")))</f>
        <v/>
      </c>
      <c r="E66" s="1450"/>
      <c r="F66" s="1476"/>
      <c r="G66" s="1534" t="str">
        <f>IF(ISBLANK(E66),"(Required)","")</f>
        <v>(Required)</v>
      </c>
      <c r="H66" s="1456"/>
      <c r="I66" s="1494"/>
      <c r="J66" s="1526" t="str">
        <f>IF(ISBLANK(H66),"(Required)","")</f>
        <v>(Required)</v>
      </c>
      <c r="K66" s="1456"/>
      <c r="L66" s="1494"/>
      <c r="M66" s="1535" t="str">
        <f>IF(ISBLANK(K66),"(Required)","")</f>
        <v>(Required)</v>
      </c>
      <c r="N66" s="483"/>
      <c r="O66" s="478"/>
      <c r="P66" s="641"/>
      <c r="Q66" s="478" t="s">
        <v>142</v>
      </c>
      <c r="R66" s="785"/>
    </row>
    <row r="67" spans="2:18" ht="16.5" customHeight="1" thickBot="1" x14ac:dyDescent="0.35">
      <c r="B67" s="612" t="s">
        <v>143</v>
      </c>
      <c r="C67" s="630"/>
      <c r="D67" s="631"/>
      <c r="E67" s="632"/>
      <c r="F67" s="614"/>
      <c r="G67" s="632"/>
      <c r="H67" s="614"/>
      <c r="I67" s="1469"/>
      <c r="J67" s="1489"/>
      <c r="K67" s="614"/>
      <c r="L67" s="614"/>
      <c r="M67" s="1509"/>
      <c r="O67" s="641"/>
      <c r="P67" s="641"/>
      <c r="Q67" s="641"/>
      <c r="R67" s="641"/>
    </row>
    <row r="68" spans="2:18" ht="31" x14ac:dyDescent="0.3">
      <c r="B68" s="628" t="s">
        <v>144</v>
      </c>
      <c r="C68" s="629" t="s">
        <v>41</v>
      </c>
      <c r="D68" s="481" t="s">
        <v>42</v>
      </c>
      <c r="E68" s="482" t="s">
        <v>40</v>
      </c>
      <c r="F68" s="1469" t="s">
        <v>88</v>
      </c>
      <c r="G68" s="788"/>
      <c r="H68" s="486" t="s">
        <v>40</v>
      </c>
      <c r="I68" s="1469" t="s">
        <v>88</v>
      </c>
      <c r="J68" s="788"/>
      <c r="K68" s="486" t="s">
        <v>40</v>
      </c>
      <c r="L68" s="1490" t="s">
        <v>88</v>
      </c>
      <c r="M68" s="1489"/>
      <c r="N68" s="483"/>
      <c r="O68" s="641"/>
      <c r="P68" s="641"/>
      <c r="Q68" s="641"/>
      <c r="R68" s="641"/>
    </row>
    <row r="69" spans="2:18" ht="51.75" customHeight="1" x14ac:dyDescent="0.3">
      <c r="B69" s="477" t="s">
        <v>109</v>
      </c>
      <c r="C69" s="478" t="s">
        <v>145</v>
      </c>
      <c r="D69" s="611" t="str">
        <f>IF($E$28="","",IF(OR(#REF!=Defaults!$M$5,#REF!=Defaults!$M$5),"Required Input",IF(AND(NOT(ISBLANK(E$28)),NOT(OR(#REF!=Defaults!$M$5,#REF!=Defaults!$M$5))),"Optional Input","Not Required")))</f>
        <v/>
      </c>
      <c r="E69" s="1443"/>
      <c r="F69" s="1471"/>
      <c r="G69" s="1526" t="str">
        <f>IF(ISBLANK(E69),IF(E$28=Defaults!$M$5,"(Required)","(Optional)"),"")</f>
        <v>(Optional)</v>
      </c>
      <c r="H69" s="1462"/>
      <c r="I69" s="1494"/>
      <c r="J69" s="1526" t="str">
        <f>IF(ISBLANK(H69),IF(H$28=Defaults!$M$5,"(Required)","(Optional)"),"")</f>
        <v>(Optional)</v>
      </c>
      <c r="K69" s="1462"/>
      <c r="L69" s="1494"/>
      <c r="M69" s="1526" t="str">
        <f>IF(ISBLANK(K69),IF(K$28=Defaults!$M$5,"(Required)","(Optional)"),"")</f>
        <v>(Optional)</v>
      </c>
      <c r="N69" s="483"/>
      <c r="O69" s="478" t="str">
        <f>IF($E$28="","","The vehicle type (e.g., Transit Bus, Streetcar, Ferry, etc.) of the vehicle(s) that will realize fuel/energy reductions as a result of The project.")</f>
        <v/>
      </c>
      <c r="P69" s="641"/>
      <c r="Q69" s="478" t="s">
        <v>145</v>
      </c>
      <c r="R69" s="785"/>
    </row>
    <row r="70" spans="2:18" ht="33.75" customHeight="1" x14ac:dyDescent="0.3">
      <c r="B70" s="477" t="s">
        <v>111</v>
      </c>
      <c r="C70" s="478" t="s">
        <v>146</v>
      </c>
      <c r="D70" s="611" t="str">
        <f>IF($E$28="","",IF(E$69=Defaults!$G$5,"Required Input","Not Required"))</f>
        <v/>
      </c>
      <c r="E70" s="895"/>
      <c r="F70" s="1471"/>
      <c r="G70" s="1521" t="str">
        <f>IF(ISBLANK(E70),"(Required)","")</f>
        <v>(Required)</v>
      </c>
      <c r="H70" s="1464"/>
      <c r="I70" s="1494"/>
      <c r="J70" s="1521" t="str">
        <f>IF(ISBLANK(H70),"(Required)","")</f>
        <v>(Required)</v>
      </c>
      <c r="K70" s="1464"/>
      <c r="L70" s="1494"/>
      <c r="M70" s="1521" t="str">
        <f>IF(ISBLANK(K70),"(Required)","")</f>
        <v>(Required)</v>
      </c>
      <c r="N70" s="483"/>
      <c r="O70" s="478" t="str">
        <f>IF($E$28="","",IF(D70="Not Required","Not applicable for this project type.","The engine tier of the vehicle(s) that will realize fuel/energy reductions as a result of the project."))</f>
        <v/>
      </c>
      <c r="P70" s="641"/>
      <c r="Q70" s="478" t="s">
        <v>146</v>
      </c>
      <c r="R70" s="785"/>
    </row>
    <row r="71" spans="2:18" ht="33.75" customHeight="1" x14ac:dyDescent="0.3">
      <c r="B71" s="477" t="s">
        <v>113</v>
      </c>
      <c r="C71" s="478" t="s">
        <v>147</v>
      </c>
      <c r="D71" s="611" t="str">
        <f>IF($E$28="","",IF(OR(E$69=Defaults!$G$3,E$69=Defaults!$G$4),"Required Input","Not Required"))</f>
        <v/>
      </c>
      <c r="E71" s="895"/>
      <c r="F71" s="1471"/>
      <c r="G71" s="1521" t="str">
        <f>IF(ISBLANK(E71),"(Required)","")</f>
        <v>(Required)</v>
      </c>
      <c r="H71" s="1464"/>
      <c r="I71" s="1494"/>
      <c r="J71" s="1521" t="str">
        <f>IF(ISBLANK(H71),"(Required)","")</f>
        <v>(Required)</v>
      </c>
      <c r="K71" s="1464"/>
      <c r="L71" s="1494"/>
      <c r="M71" s="1521" t="str">
        <f>IF(ISBLANK(K71),"(Required)","")</f>
        <v>(Required)</v>
      </c>
      <c r="N71" s="483"/>
      <c r="O71" s="478" t="str">
        <f>IF($E$28="","",IF(D71="Not Required","Not applicable for this project type.","The engine horsepower rating of the vehicle(s) that will realize fuel/energy reductions as a result of the project."))</f>
        <v/>
      </c>
      <c r="P71" s="641"/>
      <c r="Q71" s="478" t="s">
        <v>147</v>
      </c>
      <c r="R71" s="785"/>
    </row>
    <row r="72" spans="2:18" ht="33.75" customHeight="1" x14ac:dyDescent="0.3">
      <c r="B72" s="477" t="s">
        <v>115</v>
      </c>
      <c r="C72" s="478" t="s">
        <v>148</v>
      </c>
      <c r="D72" s="611" t="str">
        <f>IF($E$28="","",IF(OR(#REF!=Defaults!$M$5,#REF!=Defaults!$M$5,AND(NOT(ISBLANK(E$28)),NOT(ISBLANK(E$69)))),"Required Input","Not Required"))</f>
        <v/>
      </c>
      <c r="E72" s="1449"/>
      <c r="F72" s="1471"/>
      <c r="G72" s="1526" t="str">
        <f>IF(ISBLANK(E72),"(Required)","")</f>
        <v>(Required)</v>
      </c>
      <c r="H72" s="1461"/>
      <c r="I72" s="1494"/>
      <c r="J72" s="1526" t="str">
        <f>IF(ISBLANK(H72),"(Required)","")</f>
        <v>(Required)</v>
      </c>
      <c r="K72" s="1461"/>
      <c r="L72" s="1494"/>
      <c r="M72" s="1526" t="str">
        <f>IF(ISBLANK(K72),"(Required)","")</f>
        <v>(Required)</v>
      </c>
      <c r="N72" s="483"/>
      <c r="O72" s="478" t="str">
        <f>IF($E$28="","",IF(D72="Not Required","Not applicable for this project type.","The fuel/energy type (e.g., diesel, grid electricity, etc.) being reduced as a result of the project."))</f>
        <v/>
      </c>
      <c r="P72" s="641"/>
      <c r="Q72" s="478" t="s">
        <v>149</v>
      </c>
      <c r="R72" s="785"/>
    </row>
    <row r="73" spans="2:18" ht="33.75" customHeight="1" x14ac:dyDescent="0.3">
      <c r="B73" s="477" t="s">
        <v>119</v>
      </c>
      <c r="C73" s="478" t="s">
        <v>150</v>
      </c>
      <c r="D73" s="611" t="str">
        <f>IF($E$28="","",IF(OR(E$69=Defaults!$G$2,E$69=Defaults!$G$3,E$69=Defaults!$G$4,E$69=Defaults!$G$7,E$69=Defaults!$G$9,E$69=Defaults!$G$10),"Required Input","Not Required"))</f>
        <v/>
      </c>
      <c r="E73" s="1449"/>
      <c r="F73" s="1471"/>
      <c r="G73" s="1526" t="str">
        <f>IF(ISBLANK(E73),"(Required)","")</f>
        <v>(Required)</v>
      </c>
      <c r="H73" s="1461"/>
      <c r="I73" s="1494"/>
      <c r="J73" s="1526" t="str">
        <f>IF(ISBLANK(H73),"(Required)","")</f>
        <v>(Required)</v>
      </c>
      <c r="K73" s="1461"/>
      <c r="L73" s="1494"/>
      <c r="M73" s="1526" t="str">
        <f>IF(ISBLANK(K73),"(Required)","")</f>
        <v>(Required)</v>
      </c>
      <c r="N73" s="483"/>
      <c r="O73" s="478" t="str">
        <f>IF($E$28="","",IF(D73="Not Required","Not applicable for this project type.","The average engine model year(s) of the vehicle(s) that will realize fuel/energy reductions as a result of the project."))</f>
        <v/>
      </c>
      <c r="P73" s="641"/>
      <c r="Q73" s="478" t="s">
        <v>151</v>
      </c>
      <c r="R73" s="785"/>
    </row>
    <row r="74" spans="2:18" ht="173.25" customHeight="1" thickBot="1" x14ac:dyDescent="0.35">
      <c r="B74" s="477" t="s">
        <v>152</v>
      </c>
      <c r="C74" s="478" t="s">
        <v>153</v>
      </c>
      <c r="D74" s="605" t="str">
        <f>IF($E$28="","",IF(NOT(ISBLANK(E69)),"Required Input","Not Required"))</f>
        <v/>
      </c>
      <c r="E74" s="1450"/>
      <c r="F74" s="1471"/>
      <c r="G74" s="1526" t="str">
        <f>IF(ISBLANK(E74),"(Required)","")</f>
        <v>(Required)</v>
      </c>
      <c r="H74" s="1456"/>
      <c r="I74" s="1494"/>
      <c r="J74" s="1526" t="str">
        <f>IF(ISBLANK(H74),"(Required)","")</f>
        <v>(Required)</v>
      </c>
      <c r="K74" s="1456"/>
      <c r="L74" s="1494"/>
      <c r="M74" s="1526" t="str">
        <f>IF(ISBLANK(K74),"(Required)","")</f>
        <v>(Required)</v>
      </c>
      <c r="N74" s="483"/>
      <c r="O74" s="478" t="str">
        <f>IF($E$28="","",IF(D74="Not Required","Not applicable for this project type.","The estimated annual fuel/energy reductions expected to be realized as a result of the project.
Units of gallons for biodiesel, diesel, gasoline, LNG, renewable diesel; scf for CNG and renewable natural gas; kWh for electric; kg for hydrogen."&amp;"
For projects that generate renewable electricity using solar photovoltaic panels, applicants should use the PVWatts Calculator to determine this input, available at http://pvwatts.nrel.gov/."))</f>
        <v/>
      </c>
      <c r="P74" s="641"/>
      <c r="Q74" s="478" t="s">
        <v>154</v>
      </c>
      <c r="R74" s="785"/>
    </row>
    <row r="75" spans="2:18" ht="16.5" customHeight="1" thickBot="1" x14ac:dyDescent="0.35">
      <c r="B75" s="612" t="s">
        <v>155</v>
      </c>
      <c r="C75" s="630"/>
      <c r="D75" s="631"/>
      <c r="E75" s="632"/>
      <c r="F75" s="614"/>
      <c r="G75" s="632"/>
      <c r="H75" s="614"/>
      <c r="I75" s="614"/>
      <c r="J75" s="632"/>
      <c r="K75" s="614"/>
      <c r="L75" s="614"/>
      <c r="M75" s="1509"/>
      <c r="O75" s="641"/>
      <c r="P75" s="641"/>
      <c r="Q75" s="641"/>
      <c r="R75" s="641"/>
    </row>
    <row r="76" spans="2:18" ht="31" x14ac:dyDescent="0.3">
      <c r="B76" s="628" t="s">
        <v>156</v>
      </c>
      <c r="C76" s="627" t="s">
        <v>41</v>
      </c>
      <c r="D76" s="626" t="s">
        <v>42</v>
      </c>
      <c r="E76" s="482" t="s">
        <v>40</v>
      </c>
      <c r="F76" s="1469" t="s">
        <v>88</v>
      </c>
      <c r="G76" s="788"/>
      <c r="H76" s="486" t="s">
        <v>40</v>
      </c>
      <c r="I76" s="1490" t="s">
        <v>88</v>
      </c>
      <c r="J76" s="788"/>
      <c r="K76" s="486" t="s">
        <v>40</v>
      </c>
      <c r="L76" s="1490" t="s">
        <v>88</v>
      </c>
      <c r="M76" s="1489"/>
      <c r="O76" s="641"/>
      <c r="P76" s="641"/>
      <c r="Q76" s="641"/>
      <c r="R76" s="641"/>
    </row>
    <row r="77" spans="2:18" ht="47.25" customHeight="1" x14ac:dyDescent="0.35">
      <c r="B77" s="477" t="s">
        <v>157</v>
      </c>
      <c r="C77" s="478" t="s">
        <v>158</v>
      </c>
      <c r="D77" s="605" t="str">
        <f>IF($E$28="","",IF(OR(#REF!=Defaults!$M$3,#REF!= Defaults!$M$3),"Required Input","Not Required"))</f>
        <v/>
      </c>
      <c r="E77" s="1453"/>
      <c r="F77" s="1471"/>
      <c r="G77" s="1526" t="str">
        <f>IF(ISBLANK(E77),"(Optional)","")</f>
        <v>(Optional)</v>
      </c>
      <c r="H77" s="1455"/>
      <c r="I77" s="1494"/>
      <c r="J77" s="1526" t="str">
        <f>IF(ISBLANK(H77),"(Optional)","")</f>
        <v>(Optional)</v>
      </c>
      <c r="K77" s="1455"/>
      <c r="L77" s="1494"/>
      <c r="M77" s="1526" t="str">
        <f>IF(ISBLANK(K77),"(Optional)","")</f>
        <v>(Optional)</v>
      </c>
      <c r="N77" s="463"/>
      <c r="O77" s="478" t="s">
        <v>159</v>
      </c>
      <c r="P77" s="641"/>
      <c r="Q77" s="478" t="s">
        <v>158</v>
      </c>
      <c r="R77" s="785"/>
    </row>
    <row r="78" spans="2:18" ht="47.25" customHeight="1" x14ac:dyDescent="0.35">
      <c r="B78" s="477" t="s">
        <v>160</v>
      </c>
      <c r="C78" s="478" t="s">
        <v>161</v>
      </c>
      <c r="D78" s="605" t="str">
        <f>IF($E$28="","",IF(OR(#REF!=Defaults!$M$2,#REF!= Defaults!$M$3,#REF!= Defaults!$M$2,#REF!= Defaults!$M$3),"Required Input","Not Required"))</f>
        <v/>
      </c>
      <c r="E78" s="1453"/>
      <c r="F78" s="1470"/>
      <c r="G78" s="1526" t="str">
        <f>IF(ISBLANK(E78),"(Optional)","")</f>
        <v>(Optional)</v>
      </c>
      <c r="H78" s="1465"/>
      <c r="I78" s="1482"/>
      <c r="J78" s="1526" t="str">
        <f>IF(ISBLANK(H78),"(Optional)","")</f>
        <v>(Optional)</v>
      </c>
      <c r="K78" s="1465"/>
      <c r="L78" s="1482"/>
      <c r="M78" s="1526" t="str">
        <f t="shared" ref="M78:M81" si="11">IF(ISBLANK(K78),"(Optional)","")</f>
        <v>(Optional)</v>
      </c>
      <c r="N78" s="463"/>
      <c r="O78" s="478" t="str">
        <f>IF($E$28="","",IF(D78="Not Required","Not applicable for this project type.","The new expected average fare cost per trip per rider resulting from the proposed project."))</f>
        <v/>
      </c>
      <c r="P78" s="641"/>
      <c r="Q78" s="478" t="s">
        <v>161</v>
      </c>
      <c r="R78" s="785"/>
    </row>
    <row r="79" spans="2:18" ht="78.75" customHeight="1" x14ac:dyDescent="0.35">
      <c r="B79" s="477" t="s">
        <v>162</v>
      </c>
      <c r="C79" s="478" t="s">
        <v>163</v>
      </c>
      <c r="D79" s="605" t="str">
        <f>IF($E$28="","",IF(OR(#REF!=Defaults!$M$2,#REF!= Defaults!$M$3,#REF!= Defaults!$M$2,#REF!= Defaults!$M$3),"Required Input","Not Required"))</f>
        <v/>
      </c>
      <c r="E79" s="1453"/>
      <c r="F79" s="1470"/>
      <c r="G79" s="1526" t="str">
        <f>IF(ISBLANK(E79),"(Optional)","")</f>
        <v>(Optional)</v>
      </c>
      <c r="H79" s="1465"/>
      <c r="I79" s="1482"/>
      <c r="J79" s="1526" t="str">
        <f>IF(ISBLANK(H79),"(Optional)","")</f>
        <v>(Optional)</v>
      </c>
      <c r="K79" s="1465"/>
      <c r="L79" s="1482"/>
      <c r="M79" s="1526" t="str">
        <f t="shared" si="11"/>
        <v>(Optional)</v>
      </c>
      <c r="N79" s="463"/>
      <c r="O79" s="478" t="str">
        <f>IF($E$28="","",IF(D79="Not Required","Not applicable for this project type.","The average expected cost of parking per trip per rider that riders would pay at the transit facility where the trip originates. "&amp;"Consider that not all transit riders may use the parking. However, the calculations will already take into account that parking is only paid once per round trip."))</f>
        <v/>
      </c>
      <c r="P79" s="641"/>
      <c r="Q79" s="478" t="s">
        <v>164</v>
      </c>
      <c r="R79" s="785"/>
    </row>
    <row r="80" spans="2:18" ht="78.75" customHeight="1" x14ac:dyDescent="0.35">
      <c r="B80" s="477" t="s">
        <v>165</v>
      </c>
      <c r="C80" s="478" t="s">
        <v>166</v>
      </c>
      <c r="D80" s="605" t="str">
        <f>IF($E$28="","",IF(OR(#REF!=Defaults!$M$2,#REF!= Defaults!$M$3,#REF!= Defaults!$M$2,#REF!= Defaults!$M$3),"Required Input","Not Required"))</f>
        <v/>
      </c>
      <c r="E80" s="1453"/>
      <c r="F80" s="1470"/>
      <c r="G80" s="1526" t="str">
        <f>IF(ISBLANK(E80),"(Optional)","")</f>
        <v>(Optional)</v>
      </c>
      <c r="H80" s="1465"/>
      <c r="I80" s="1482"/>
      <c r="J80" s="1526" t="str">
        <f>IF(ISBLANK(H80),"(Optional)","")</f>
        <v>(Optional)</v>
      </c>
      <c r="K80" s="1465"/>
      <c r="L80" s="1482"/>
      <c r="M80" s="1526" t="str">
        <f t="shared" si="11"/>
        <v>(Optional)</v>
      </c>
      <c r="N80" s="463"/>
      <c r="O80" s="478" t="str">
        <f>IF($E$28="","",IF(D80="Not Required","Not applicable for this project type.","The average expected cost of parking per trip per rider  that riders would have otherwise paid if not using the service resulting from the project. "&amp;"The calculations will already take into account that parking is only paid once per round trip."))</f>
        <v/>
      </c>
      <c r="P80" s="641"/>
      <c r="Q80" s="478" t="s">
        <v>166</v>
      </c>
      <c r="R80" s="785"/>
    </row>
    <row r="81" spans="2:18" ht="79.5" customHeight="1" thickBot="1" x14ac:dyDescent="0.4">
      <c r="B81" s="484" t="s">
        <v>167</v>
      </c>
      <c r="C81" s="485" t="s">
        <v>168</v>
      </c>
      <c r="D81" s="605" t="str">
        <f>IF($E$28="","",IF(OR(#REF!=Defaults!$M$2,#REF!= Defaults!$M$3,#REF!= Defaults!$M$2,#REF!= Defaults!$M$3),"Required Input","Not Required"))</f>
        <v/>
      </c>
      <c r="E81" s="1454"/>
      <c r="F81" s="1477"/>
      <c r="G81" s="1535" t="str">
        <f>IF(ISBLANK(E81),"(Optional)","")</f>
        <v>(Optional)</v>
      </c>
      <c r="H81" s="1466"/>
      <c r="I81" s="1496"/>
      <c r="J81" s="1535" t="str">
        <f>IF(ISBLANK(H81),"(Optional)","")</f>
        <v>(Optional)</v>
      </c>
      <c r="K81" s="1466"/>
      <c r="L81" s="1496"/>
      <c r="M81" s="1535" t="str">
        <f t="shared" si="11"/>
        <v>(Optional)</v>
      </c>
      <c r="N81" s="463"/>
      <c r="O81" s="485" t="str">
        <f>IF($E$28="","",IF(D81="Not Required","Not applicable for this project type.","The average expected cost of tolls per trip per rider that riders would have otherwise paid if not using the service resulting from the project. The calculations will already take into account that tolls are only paid once per round trip."))</f>
        <v/>
      </c>
      <c r="P81" s="783"/>
      <c r="Q81" s="485" t="s">
        <v>169</v>
      </c>
      <c r="R81" s="783"/>
    </row>
    <row r="82" spans="2:18" ht="16.5" hidden="1" customHeight="1" thickBot="1" x14ac:dyDescent="0.35">
      <c r="B82" s="612" t="s">
        <v>155</v>
      </c>
      <c r="C82" s="630"/>
      <c r="D82" s="631"/>
      <c r="E82" s="632"/>
      <c r="F82" s="632"/>
      <c r="G82" s="614"/>
      <c r="H82" s="614"/>
      <c r="I82" s="614"/>
      <c r="J82" s="614"/>
      <c r="K82" s="614"/>
      <c r="L82" s="632"/>
      <c r="M82" s="1486"/>
      <c r="O82" s="641"/>
      <c r="P82" s="641"/>
      <c r="Q82" s="642" t="s">
        <v>38</v>
      </c>
      <c r="R82" s="642"/>
    </row>
    <row r="83" spans="2:18" ht="48.5" hidden="1" x14ac:dyDescent="0.35">
      <c r="B83" s="634" t="s">
        <v>170</v>
      </c>
      <c r="C83" s="478" t="s">
        <v>171</v>
      </c>
      <c r="D83" s="636" t="s">
        <v>66</v>
      </c>
      <c r="E83" s="896" t="str">
        <f ca="1">IF('GHG Calcs'!CK12="","Incomplete Inputs",IFERROR('GHG Calcs'!CK12,"Incomplete Inputs"))</f>
        <v>Incomplete Inputs</v>
      </c>
      <c r="F83" s="893"/>
      <c r="G83" s="1478"/>
      <c r="H83" s="878" t="str">
        <f ca="1">IFERROR(VLOOKUP(MID(CELL("filename",H$43),FIND("]",CELL("filename",H$43))+1,255)&amp;SUBSTITUTE(ADDRESS(1,COLUMN(H$43),4),"1",""),'GHG Calcs'!$F$12:$CL$12,MATCH('GHG Calcs'!$CK$11,'GHG Calcs'!$F$11:$CL$11,0),0),"Incomplete Inputs")</f>
        <v>Incomplete Inputs</v>
      </c>
      <c r="I83" s="798"/>
      <c r="J83" s="1483"/>
      <c r="K83" s="800" t="str">
        <f ca="1">IFERROR(VLOOKUP(MID(CELL("filename",K$43),FIND("]",CELL("filename",K$43))+1,255)&amp;SUBSTITUTE(ADDRESS(1,COLUMN(K$43),4),"1",""),'GHG Calcs'!$F$12:$CL$12,MATCH('GHG Calcs'!$CK$11,'GHG Calcs'!$F$11:$CL$11,0),0),"Incomplete Inputs")</f>
        <v>Incomplete Inputs</v>
      </c>
      <c r="L83" s="798"/>
      <c r="M83" s="1487"/>
      <c r="N83" s="483"/>
      <c r="O83" s="641"/>
      <c r="P83" s="787" t="str">
        <f ca="1">IF('GHG Calcs'!CK12="","Incomplete Inputs",IFERROR('GHG Calcs'!CK12,"Incomplete Inputs"))</f>
        <v>Incomplete Inputs</v>
      </c>
      <c r="Q83" s="642" t="s">
        <v>38</v>
      </c>
      <c r="R83" s="787" t="str">
        <f ca="1">IFERROR(VLOOKUP(MID(CELL("filename",E$43),FIND("]",CELL("filename",E$43))+1,255)&amp;SUBSTITUTE(ADDRESS(1,COLUMN(E$43),4),"1",""),'GHG Calcs'!$F$12:$CL$12,MATCH('GHG Calcs'!$CK$11,'GHG Calcs'!$F$11:$CL$11,0),0),"Incomplete Inputs")</f>
        <v>Incomplete Inputs</v>
      </c>
    </row>
    <row r="84" spans="2:18" ht="62" hidden="1" x14ac:dyDescent="0.35">
      <c r="B84" s="477" t="s">
        <v>172</v>
      </c>
      <c r="C84" s="478" t="s">
        <v>173</v>
      </c>
      <c r="D84" s="605" t="s">
        <v>66</v>
      </c>
      <c r="E84" s="899" t="str">
        <f ca="1">IFERROR('GHG Calcs'!CK12*#REF!/#REF!,IF(ISERROR('GHG Calcs'!CK12),"Incomplete Inputs","Incomplete Funding Inputs"))</f>
        <v>Incomplete Funding Inputs</v>
      </c>
      <c r="F84" s="1096"/>
      <c r="G84" s="1479"/>
      <c r="H84" s="1097" t="str">
        <f ca="1">IFERROR(H83*(H17+H21)/H25,IF(ISTEXT(H83),"Incomplete Inputs","Incomplete Funding Inputs"))</f>
        <v>Incomplete Inputs</v>
      </c>
      <c r="I84" s="1098"/>
      <c r="J84" s="1484"/>
      <c r="K84" s="1099" t="str">
        <f ca="1">IFERROR(K83*(K17+K21)/K25,IF(ISTEXT(K83),"Incomplete Inputs","Incomplete Funding Inputs"))</f>
        <v>Incomplete Inputs</v>
      </c>
      <c r="L84" s="1098"/>
      <c r="M84" s="1487"/>
      <c r="N84" s="483"/>
      <c r="O84" s="641"/>
      <c r="P84" s="787" t="str">
        <f ca="1">IFERROR('GHG Calcs'!CK12*#REF!/#REF!,IF(ISERROR('GHG Calcs'!CK12),"Incomplete Inputs","Incomplete Funding Inputs"))</f>
        <v>Incomplete Funding Inputs</v>
      </c>
      <c r="Q84" s="642" t="s">
        <v>38</v>
      </c>
      <c r="R84" s="787" t="str">
        <f ca="1">IFERROR(E83*(E17+E21)/E25,IF(ISTEXT(E83),"Incomplete Inputs","Incomplete Funding Inputs"))</f>
        <v>Incomplete Inputs</v>
      </c>
    </row>
    <row r="85" spans="2:18" ht="78" hidden="1" thickBot="1" x14ac:dyDescent="0.4">
      <c r="B85" s="635" t="s">
        <v>174</v>
      </c>
      <c r="C85" s="898" t="s">
        <v>175</v>
      </c>
      <c r="D85" s="721" t="s">
        <v>66</v>
      </c>
      <c r="E85" s="897" t="str">
        <f ca="1">IFERROR('GHG Calcs'!CK12*#REF!/#REF!,IF(ISERROR('GHG Calcs'!CK12),"Incomplete Inputs","Incomplete Funding Inputs"))</f>
        <v>Incomplete Funding Inputs</v>
      </c>
      <c r="F85" s="894"/>
      <c r="G85" s="1480"/>
      <c r="H85" s="879" t="str">
        <f ca="1">IFERROR(H83*H17/H25,IF(ISTEXT(H83),"Incomplete Inputs","Incomplete Funding Inputs"))</f>
        <v>Incomplete Inputs</v>
      </c>
      <c r="I85" s="799"/>
      <c r="J85" s="1485"/>
      <c r="K85" s="801" t="str">
        <f ca="1">IFERROR(K83*K17/K25,IF(ISTEXT(K83),"Incomplete Inputs","Incomplete Funding Inputs"))</f>
        <v>Incomplete Inputs</v>
      </c>
      <c r="L85" s="799"/>
      <c r="M85" s="1487"/>
      <c r="O85" s="641"/>
      <c r="P85" s="787" t="str">
        <f>IFERROR('GHG Calcs'!#REF!*#REF!/#REF!,IF(ISERROR('GHG Calcs'!#REF!),"Incomplete Inputs","Incomplete Funding Inputs"))</f>
        <v>Incomplete Inputs</v>
      </c>
      <c r="Q85" s="642" t="s">
        <v>38</v>
      </c>
      <c r="R85" s="787" t="str">
        <f ca="1">IFERROR(E84*(E18+E22)/E26,IF(ISTEXT(E84),"Incomplete Inputs","Incomplete Funding Inputs"))</f>
        <v>Incomplete Inputs</v>
      </c>
    </row>
    <row r="86" spans="2:18" ht="15.5" x14ac:dyDescent="0.35">
      <c r="B86" s="463"/>
      <c r="C86" s="463"/>
      <c r="D86" s="463"/>
      <c r="E86" s="463"/>
      <c r="F86" s="463"/>
      <c r="G86" s="463"/>
    </row>
    <row r="87" spans="2:18" ht="15.5" x14ac:dyDescent="0.35">
      <c r="B87" s="463"/>
      <c r="C87" s="463"/>
      <c r="D87" s="463"/>
      <c r="E87" s="463"/>
      <c r="F87" s="463"/>
      <c r="G87" s="463"/>
    </row>
    <row r="88" spans="2:18" ht="15.5" x14ac:dyDescent="0.35">
      <c r="B88" s="463"/>
      <c r="C88" s="463"/>
      <c r="D88" s="463"/>
      <c r="E88" s="463"/>
      <c r="F88" s="463"/>
      <c r="G88" s="463"/>
    </row>
    <row r="89" spans="2:18" ht="15.5" x14ac:dyDescent="0.35">
      <c r="B89" s="463"/>
      <c r="C89" s="463"/>
      <c r="D89" s="463"/>
      <c r="E89" s="463"/>
      <c r="F89" s="463"/>
      <c r="G89" s="463"/>
    </row>
    <row r="90" spans="2:18" ht="15.5" x14ac:dyDescent="0.35">
      <c r="B90" s="463"/>
      <c r="C90" s="463"/>
      <c r="D90" s="463"/>
      <c r="E90" s="463"/>
      <c r="F90" s="463"/>
      <c r="G90" s="463"/>
    </row>
    <row r="91" spans="2:18" ht="15.5" x14ac:dyDescent="0.35">
      <c r="B91" s="463"/>
      <c r="C91" s="463"/>
      <c r="D91" s="463"/>
      <c r="E91" s="463"/>
      <c r="F91" s="463"/>
      <c r="G91" s="463"/>
    </row>
    <row r="92" spans="2:18" ht="15.5" x14ac:dyDescent="0.35">
      <c r="B92" s="463"/>
      <c r="C92" s="463"/>
      <c r="D92" s="463"/>
      <c r="E92" s="463"/>
      <c r="F92" s="463"/>
      <c r="G92" s="463"/>
    </row>
    <row r="93" spans="2:18" ht="15.5" x14ac:dyDescent="0.35">
      <c r="B93" s="463"/>
      <c r="C93" s="463"/>
      <c r="D93" s="463"/>
      <c r="E93" s="463"/>
      <c r="F93" s="463"/>
      <c r="G93" s="463"/>
    </row>
    <row r="94" spans="2:18" ht="15.5" x14ac:dyDescent="0.35">
      <c r="B94" s="463"/>
      <c r="C94" s="463"/>
      <c r="D94" s="463"/>
      <c r="E94" s="463"/>
      <c r="F94" s="463"/>
      <c r="G94" s="463"/>
    </row>
    <row r="95" spans="2:18" ht="15.5" x14ac:dyDescent="0.35">
      <c r="B95" s="463"/>
      <c r="C95" s="463"/>
      <c r="D95" s="463"/>
      <c r="E95" s="463"/>
      <c r="F95" s="463"/>
      <c r="G95" s="463"/>
    </row>
    <row r="96" spans="2:18" ht="15.5" x14ac:dyDescent="0.35">
      <c r="B96" s="463"/>
      <c r="C96" s="463"/>
      <c r="D96" s="463"/>
      <c r="E96" s="463"/>
      <c r="F96" s="463"/>
      <c r="G96" s="463"/>
    </row>
    <row r="97" spans="2:7" ht="15.5" x14ac:dyDescent="0.35">
      <c r="B97" s="463"/>
      <c r="C97" s="463"/>
      <c r="D97" s="463"/>
      <c r="E97" s="463"/>
      <c r="F97" s="463"/>
      <c r="G97" s="463"/>
    </row>
    <row r="98" spans="2:7" ht="15.5" x14ac:dyDescent="0.35">
      <c r="B98" s="463"/>
      <c r="C98" s="463"/>
      <c r="D98" s="463"/>
      <c r="E98" s="463"/>
      <c r="F98" s="463"/>
      <c r="G98" s="463"/>
    </row>
    <row r="99" spans="2:7" ht="15.5" x14ac:dyDescent="0.35">
      <c r="B99" s="463"/>
      <c r="C99" s="463"/>
      <c r="D99" s="463"/>
      <c r="E99" s="463"/>
      <c r="F99" s="463"/>
      <c r="G99" s="463"/>
    </row>
    <row r="100" spans="2:7" ht="15.5" x14ac:dyDescent="0.35">
      <c r="B100" s="463"/>
      <c r="C100" s="463"/>
      <c r="D100" s="463"/>
      <c r="E100" s="463"/>
      <c r="F100" s="463"/>
      <c r="G100" s="463"/>
    </row>
    <row r="101" spans="2:7" ht="15.5" x14ac:dyDescent="0.35">
      <c r="B101" s="463"/>
      <c r="C101" s="463"/>
      <c r="D101" s="463"/>
      <c r="E101" s="463"/>
      <c r="F101" s="463"/>
      <c r="G101" s="463"/>
    </row>
    <row r="102" spans="2:7" ht="15.5" x14ac:dyDescent="0.35">
      <c r="B102" s="463"/>
      <c r="C102" s="463"/>
      <c r="D102" s="463"/>
      <c r="E102" s="463"/>
      <c r="F102" s="463"/>
      <c r="G102" s="463"/>
    </row>
    <row r="103" spans="2:7" ht="15.5" x14ac:dyDescent="0.35">
      <c r="B103" s="463"/>
      <c r="C103" s="463"/>
      <c r="D103" s="463"/>
      <c r="E103" s="463"/>
      <c r="F103" s="463"/>
      <c r="G103" s="463"/>
    </row>
    <row r="104" spans="2:7" ht="15.5" x14ac:dyDescent="0.35">
      <c r="B104" s="463"/>
      <c r="C104" s="463"/>
      <c r="D104" s="463"/>
      <c r="E104" s="463"/>
      <c r="F104" s="463"/>
      <c r="G104" s="463"/>
    </row>
    <row r="105" spans="2:7" ht="15.5" x14ac:dyDescent="0.35">
      <c r="B105" s="463"/>
      <c r="C105" s="463"/>
      <c r="D105" s="463"/>
      <c r="E105" s="463"/>
      <c r="F105" s="463"/>
      <c r="G105" s="463"/>
    </row>
    <row r="106" spans="2:7" ht="15.5" x14ac:dyDescent="0.35">
      <c r="B106" s="463"/>
      <c r="C106" s="463"/>
      <c r="D106" s="463"/>
      <c r="E106" s="463"/>
      <c r="F106" s="463"/>
      <c r="G106" s="463"/>
    </row>
    <row r="107" spans="2:7" ht="15.5" x14ac:dyDescent="0.35">
      <c r="B107" s="463"/>
      <c r="C107" s="463"/>
      <c r="D107" s="463"/>
      <c r="E107" s="463"/>
      <c r="F107" s="463"/>
      <c r="G107" s="463"/>
    </row>
    <row r="108" spans="2:7" ht="15.5" x14ac:dyDescent="0.35">
      <c r="B108" s="463"/>
      <c r="C108" s="463"/>
      <c r="D108" s="463"/>
      <c r="E108" s="463"/>
      <c r="F108" s="463"/>
      <c r="G108" s="463"/>
    </row>
    <row r="109" spans="2:7" ht="15.5" x14ac:dyDescent="0.35">
      <c r="B109" s="463"/>
      <c r="C109" s="463"/>
      <c r="D109" s="463"/>
      <c r="E109" s="463"/>
      <c r="F109" s="463"/>
      <c r="G109" s="463"/>
    </row>
  </sheetData>
  <mergeCells count="48">
    <mergeCell ref="E15:F15"/>
    <mergeCell ref="H15:I15"/>
    <mergeCell ref="K15:L15"/>
    <mergeCell ref="E17:F17"/>
    <mergeCell ref="H17:I17"/>
    <mergeCell ref="K17:L17"/>
    <mergeCell ref="E18:F18"/>
    <mergeCell ref="H18:I18"/>
    <mergeCell ref="K18:L18"/>
    <mergeCell ref="E20:F20"/>
    <mergeCell ref="H20:I20"/>
    <mergeCell ref="K20:L20"/>
    <mergeCell ref="E21:F21"/>
    <mergeCell ref="H21:I21"/>
    <mergeCell ref="K21:L21"/>
    <mergeCell ref="E23:F23"/>
    <mergeCell ref="H23:I23"/>
    <mergeCell ref="K23:L23"/>
    <mergeCell ref="E24:F24"/>
    <mergeCell ref="H24:I24"/>
    <mergeCell ref="K24:L24"/>
    <mergeCell ref="E25:F25"/>
    <mergeCell ref="H25:I25"/>
    <mergeCell ref="K25:L25"/>
    <mergeCell ref="E27:F27"/>
    <mergeCell ref="H27:I27"/>
    <mergeCell ref="K27:L27"/>
    <mergeCell ref="E28:F28"/>
    <mergeCell ref="H28:I28"/>
    <mergeCell ref="K28:L28"/>
    <mergeCell ref="E29:F29"/>
    <mergeCell ref="H29:I29"/>
    <mergeCell ref="K29:L29"/>
    <mergeCell ref="E30:F30"/>
    <mergeCell ref="H30:I30"/>
    <mergeCell ref="K30:L30"/>
    <mergeCell ref="E31:F31"/>
    <mergeCell ref="H31:I31"/>
    <mergeCell ref="K31:L31"/>
    <mergeCell ref="E32:F32"/>
    <mergeCell ref="H32:I32"/>
    <mergeCell ref="K32:L32"/>
    <mergeCell ref="E33:F33"/>
    <mergeCell ref="H33:I33"/>
    <mergeCell ref="K33:L33"/>
    <mergeCell ref="E34:F34"/>
    <mergeCell ref="H34:I34"/>
    <mergeCell ref="K34:L34"/>
  </mergeCells>
  <conditionalFormatting sqref="E41">
    <cfRule type="expression" dxfId="415" priority="87">
      <formula>NOT(OR(E$40="Heavy Rail"))</formula>
    </cfRule>
  </conditionalFormatting>
  <conditionalFormatting sqref="E47">
    <cfRule type="expression" dxfId="413" priority="39">
      <formula>NOT(OR(E$46="Heavy Rail"))</formula>
    </cfRule>
  </conditionalFormatting>
  <conditionalFormatting sqref="E59">
    <cfRule type="expression" dxfId="411" priority="24">
      <formula>NOT(OR(E$58="Heavy Rail"))</formula>
    </cfRule>
  </conditionalFormatting>
  <conditionalFormatting sqref="E70">
    <cfRule type="expression" dxfId="409" priority="88">
      <formula>NOT(OR(E$69="Heavy Rail"))</formula>
    </cfRule>
  </conditionalFormatting>
  <conditionalFormatting sqref="E34:G34">
    <cfRule type="expression" dxfId="405" priority="73">
      <formula>OR($E$32&lt;=$E$31,$E$32-$E$31&gt;50)</formula>
    </cfRule>
  </conditionalFormatting>
  <conditionalFormatting sqref="G47">
    <cfRule type="expression" dxfId="398" priority="34">
      <formula>NOT(OR(E$46="Heavy Rail"))</formula>
    </cfRule>
  </conditionalFormatting>
  <conditionalFormatting sqref="G59 J59 M59">
    <cfRule type="expression" dxfId="389" priority="23">
      <formula>NOT(OR(E$58="Heavy Rail"))</formula>
    </cfRule>
  </conditionalFormatting>
  <conditionalFormatting sqref="G70 J70 M70">
    <cfRule type="expression" dxfId="379" priority="8">
      <formula>NOT(OR(E$69="Heavy Rail"))</formula>
    </cfRule>
  </conditionalFormatting>
  <conditionalFormatting sqref="G73 J73 M73">
    <cfRule type="expression" dxfId="376" priority="5">
      <formula>OR(E$69="Cut-A-Way",E$69="Over-Road Coach",E$69="Transit Bus",E$69="Van",E$69="DMU / EMU")</formula>
    </cfRule>
  </conditionalFormatting>
  <conditionalFormatting sqref="G74 J74 M74">
    <cfRule type="expression" dxfId="375" priority="4">
      <formula>NOT(ISBLANK(E$69))</formula>
    </cfRule>
  </conditionalFormatting>
  <conditionalFormatting sqref="H47">
    <cfRule type="expression" dxfId="372" priority="69">
      <formula>NOT(OR(H$46="Heavy Rail"))</formula>
    </cfRule>
  </conditionalFormatting>
  <conditionalFormatting sqref="H59">
    <cfRule type="expression" dxfId="366" priority="46">
      <formula>NOT(OR(H$58="Heavy Rail"))</formula>
    </cfRule>
  </conditionalFormatting>
  <conditionalFormatting sqref="H70">
    <cfRule type="expression" dxfId="363" priority="86">
      <formula>NOT(OR(H$69="Heavy Rail"))</formula>
    </cfRule>
  </conditionalFormatting>
  <conditionalFormatting sqref="H17:I18 K17:L18 H20:I21 K20:L21 H23:I24 K23:L24 H28:I33 K28:L33">
    <cfRule type="expression" dxfId="359" priority="54">
      <formula>ISBLANK(H$15)</formula>
    </cfRule>
  </conditionalFormatting>
  <conditionalFormatting sqref="H34:J34">
    <cfRule type="expression" dxfId="357" priority="72">
      <formula>OR($H$32&lt;=$H$31,$H$32-$H$31&gt;50)</formula>
    </cfRule>
  </conditionalFormatting>
  <conditionalFormatting sqref="H37:J40">
    <cfRule type="expression" dxfId="356" priority="80">
      <formula>ISBLANK($H$15)</formula>
    </cfRule>
  </conditionalFormatting>
  <conditionalFormatting sqref="H46:J54">
    <cfRule type="expression" dxfId="355" priority="48">
      <formula>ISBLANK($H$15)</formula>
    </cfRule>
  </conditionalFormatting>
  <conditionalFormatting sqref="H58:J66">
    <cfRule type="expression" dxfId="353" priority="41">
      <formula>ISBLANK($H$15)</formula>
    </cfRule>
  </conditionalFormatting>
  <conditionalFormatting sqref="H77:J81">
    <cfRule type="expression" dxfId="351" priority="45">
      <formula>ISBLANK($H$15)</formula>
    </cfRule>
  </conditionalFormatting>
  <conditionalFormatting sqref="J17:J18 M17:M18 J20:J21 M20:M21 J23:J24 M23:M24 J28:J33 M28:M33">
    <cfRule type="expression" dxfId="345" priority="1">
      <formula>ISBLANK(H$15)</formula>
    </cfRule>
  </conditionalFormatting>
  <conditionalFormatting sqref="K47">
    <cfRule type="expression" dxfId="340" priority="81">
      <formula>NOT(OR(K$46="Heavy Rail"))</formula>
    </cfRule>
  </conditionalFormatting>
  <conditionalFormatting sqref="K59">
    <cfRule type="expression" dxfId="336" priority="85">
      <formula>NOT(OR(K$58="Heavy Rail"))</formula>
    </cfRule>
  </conditionalFormatting>
  <conditionalFormatting sqref="K70">
    <cfRule type="expression" dxfId="331" priority="83">
      <formula>NOT(OR(K$69="Heavy Rail"))</formula>
    </cfRule>
  </conditionalFormatting>
  <conditionalFormatting sqref="K73:L73 E73:F73 H73:I73">
    <cfRule type="expression" dxfId="323" priority="84">
      <formula>OR(E$69="Cut-A-Way",E$69="Over-Road Coach",E$69="Transit Bus",E$69="Van",E$69="DMU / EMU")</formula>
    </cfRule>
  </conditionalFormatting>
  <conditionalFormatting sqref="K74:L74 E74:F74 H74:I74">
    <cfRule type="expression" dxfId="322" priority="82">
      <formula>NOT(ISBLANK(E$69))</formula>
    </cfRule>
  </conditionalFormatting>
  <conditionalFormatting sqref="K34:M34">
    <cfRule type="expression" dxfId="321" priority="71">
      <formula>OR($K$32&lt;=$K$31,$K$32-$K$31&gt;50)</formula>
    </cfRule>
  </conditionalFormatting>
  <conditionalFormatting sqref="K37:M40">
    <cfRule type="expression" dxfId="320" priority="74">
      <formula>ISBLANK($K$15)</formula>
    </cfRule>
  </conditionalFormatting>
  <conditionalFormatting sqref="K58:M66">
    <cfRule type="expression" dxfId="319" priority="43">
      <formula>ISBLANK($K$15)</formula>
    </cfRule>
  </conditionalFormatting>
  <conditionalFormatting sqref="K69:M74">
    <cfRule type="expression" dxfId="317" priority="76">
      <formula>ISBLANK($K$15)</formula>
    </cfRule>
  </conditionalFormatting>
  <conditionalFormatting sqref="K77:M81">
    <cfRule type="expression" dxfId="316" priority="77">
      <formula>ISBLANK($K$15)</formula>
    </cfRule>
  </conditionalFormatting>
  <dataValidations count="35">
    <dataValidation type="list" allowBlank="1" showInputMessage="1" showErrorMessage="1" sqref="E28:F28 H28:I28 K28:L28" xr:uid="{57B54E4C-F97F-401F-8A2E-DA7B7986E49C}">
      <formula1>projtype</formula1>
    </dataValidation>
    <dataValidation type="list" allowBlank="1" showInputMessage="1" showErrorMessage="1" promptTitle="Note:" prompt="Must first select the type of region." sqref="K31 E31 H31" xr:uid="{9F5E9751-2464-4024-95D1-507ED3C533B1}">
      <formula1>IF(E$30="","",IF(E$30="County",cnty,basin))</formula1>
    </dataValidation>
    <dataValidation type="list" allowBlank="1" showInputMessage="1" showErrorMessage="1" sqref="E30 H30 K30" xr:uid="{130C0516-37B9-4063-9A46-008572F6EAD7}">
      <formula1>region</formula1>
    </dataValidation>
    <dataValidation type="list" allowBlank="1" showInputMessage="1" showErrorMessage="1" sqref="K73 H73 E73" xr:uid="{011E3D16-82A4-4504-A2CE-DAEF3E27E08F}">
      <formula1>IF(OR(ISBLANK(E32),E32&gt;2030),NMY,INDIRECT("'"&amp;"Defaults"&amp;"'!"&amp;"A"&amp;-E32+2032&amp;":A61"))</formula1>
    </dataValidation>
    <dataValidation type="list" allowBlank="1" showInputMessage="1" showErrorMessage="1" promptTitle="Note:" prompt="Selection locks after fuel type is identified" sqref="K69" xr:uid="{FB9D425C-F505-4237-93BF-5A2F8A7B432D}">
      <formula1>IF($K$72="",vehicletype,"")</formula1>
    </dataValidation>
    <dataValidation type="list" allowBlank="1" showInputMessage="1" showErrorMessage="1" sqref="E32 H32 K32" xr:uid="{6560061B-83FB-4FD7-9E7C-D79C8B690A5C}">
      <formula1>CY</formula1>
    </dataValidation>
    <dataValidation allowBlank="1" showInputMessage="1" showErrorMessage="1" promptTitle="Leave blank if," prompt="No additional GGRF funding has or will be requested from another CCI Program for this project." sqref="K21 E24 E21 H21 H24 K24" xr:uid="{A8A1A698-6C99-4B8D-8046-46B857EF5AEE}"/>
    <dataValidation allowBlank="1" showErrorMessage="1" sqref="E17:E18 H17:H18 K17:K18" xr:uid="{A14CC571-97C1-46EE-A8AC-3731DF46E1E0}"/>
    <dataValidation allowBlank="1" showInputMessage="1" showErrorMessage="1" promptTitle="Use the same ID :" prompt="For components that are not separable (i.e., one cannot happen wihout the other), use the same ID in each component tab used." sqref="E15 H15 K15" xr:uid="{0CB0CCF0-0B4F-4A9A-9816-7985F6CCB539}"/>
    <dataValidation type="decimal" operator="greaterThanOrEqual" allowBlank="1" showInputMessage="1" showErrorMessage="1" sqref="E74 K74 H74" xr:uid="{EFA15396-E4F9-48CB-8A41-5E9D1C8E62B9}">
      <formula1>0</formula1>
    </dataValidation>
    <dataValidation type="custom" allowBlank="1" showInputMessage="1" showErrorMessage="1" errorTitle="Lower Standard Fare Cost" error="To enter Reduced Fare Cost, need to enter a current Standard Fare Cost that is higher than the Reduced Fare Cost." promptTitle="Use:" prompt="Must first enter a value for Average Standard Fare Cost." sqref="E78 H78 K78" xr:uid="{595172CD-8D8B-4116-A022-B49CDB821A84}">
      <formula1>AND(NOT(ISBLANK(E77)), E78&lt;E77)</formula1>
    </dataValidation>
    <dataValidation allowBlank="1" showInputMessage="1" showErrorMessage="1" errorTitle="Not a Required Field:" error="Select a project type above that makes this input a required field." promptTitle="Default:" prompt="Statewide average of $3 per day." sqref="E79 H79 K79" xr:uid="{D30CF75D-8BB6-4454-89EC-CA423514220A}"/>
    <dataValidation allowBlank="1" showInputMessage="1" showErrorMessage="1" errorTitle="Not a Required Field:" error="Select a project type above that makes this input a required field." promptTitle="Default:" prompt="Statewide averages of $11.13 per day for weekday trips, $3.00 per day for weekend trips." sqref="E80 H80 K80" xr:uid="{FCD105E6-6A7E-41D0-94AB-82F3374D8693}"/>
    <dataValidation allowBlank="1" showInputMessage="1" showErrorMessage="1" errorTitle="Not a Required Field:" error="Select a project type above that makes this input a required field." promptTitle="Default:" prompt="Average bridge toll cost of $5 per trip for passenger vehicles." sqref="E81 H81 K81" xr:uid="{383D0ADF-FDBD-4100-A33C-337B1BF8813A}"/>
    <dataValidation type="list" allowBlank="1" showInputMessage="1" showErrorMessage="1" sqref="E51 H51 K51" xr:uid="{C5636961-EC32-4F98-8826-5F3FD138A911}">
      <formula1>IF(OR(ISBLANK(E32),E32&gt;2030),NMY,INDIRECT("'"&amp;"Defaults"&amp;"'!"&amp;"A"&amp;-E32+2032&amp;":A61"))</formula1>
    </dataValidation>
    <dataValidation type="list" allowBlank="1" showInputMessage="1" showErrorMessage="1" sqref="H63 E63 K63" xr:uid="{902555C8-D9D5-4C26-9F74-A2BC9894FB43}">
      <formula1>IF(OR(ISBLANK(E32),E32&gt;2030),NMY,INDIRECT("'"&amp;"Defaults"&amp;"'!"&amp;"A"&amp;-E32+2032&amp;":A61"))</formula1>
    </dataValidation>
    <dataValidation type="custom" allowBlank="1" showInputMessage="1" showErrorMessage="1" promptTitle="If unknown, use look up tables:" prompt="Quantification Methodlogy Appendix C includes look up tables by agency by mode, Table C-1, and by statewide average by mode, Table C-2." sqref="H41 K41" xr:uid="{E07A4D3A-E920-464A-B20F-B9EE6F55A45B}">
      <formula1>IF(OR(H$28=$T$53,H$28=$T$54),H41&gt;0," ")</formula1>
    </dataValidation>
    <dataValidation type="list" allowBlank="1" showInputMessage="1" showErrorMessage="1" promptTitle="Note:" prompt="Selection locks after fuel type is identified" sqref="E46" xr:uid="{78BABD93-505C-47EC-8274-0A30EAD93ACF}">
      <formula1>IF($E$49="",vehicletype,"")</formula1>
    </dataValidation>
    <dataValidation type="list" allowBlank="1" showInputMessage="1" showErrorMessage="1" promptTitle="Note:" prompt="Selection locks after fuel type is identified" sqref="H46" xr:uid="{736D6FCA-38A2-4757-A36B-5E9FB06A5423}">
      <formula1>IF($H$49="",vehicletype,"")</formula1>
    </dataValidation>
    <dataValidation type="list" allowBlank="1" showInputMessage="1" showErrorMessage="1" promptTitle="Note:" prompt="Selection locks after fuel type is identified" sqref="K46" xr:uid="{88A0FB48-1783-472E-A18C-81237FC87595}">
      <formula1>IF($K$49="",vehicletype,"")</formula1>
    </dataValidation>
    <dataValidation type="list" allowBlank="1" showInputMessage="1" showErrorMessage="1" promptTitle="Note:" prompt="Selection locks after fuel type is identified" sqref="K58" xr:uid="{0F2A4C1B-4DDA-4C7C-BD61-BAC02FA31186}">
      <formula1>IF($K$61="",vehicletype,"")</formula1>
    </dataValidation>
    <dataValidation type="list" allowBlank="1" showInputMessage="1" showErrorMessage="1" promptTitle="Note:" prompt="Selection locks after fuel type is identified" sqref="E58" xr:uid="{918C3EA9-5995-4218-A3C6-337240D185C8}">
      <formula1>IF($E$61="",vehicletype,"")</formula1>
    </dataValidation>
    <dataValidation type="list" allowBlank="1" showInputMessage="1" showErrorMessage="1" promptTitle="Note:" prompt="Selection locks after fuel type is identified" sqref="H58" xr:uid="{E8CE2987-3D46-4686-989E-F96B9066CD66}">
      <formula1>IF($H$61="",vehicletype,"")</formula1>
    </dataValidation>
    <dataValidation type="list" allowBlank="1" showInputMessage="1" showErrorMessage="1" promptTitle="Note:" prompt="Selection locks after fuel type is identified" sqref="H69" xr:uid="{DB9C89ED-C80E-4358-B0A8-D6112FD8AD24}">
      <formula1>IF($H$72="",vehicletype,"")</formula1>
    </dataValidation>
    <dataValidation type="list" allowBlank="1" showInputMessage="1" showErrorMessage="1" promptTitle="Note:" prompt="Selection locks after fuel type is identified" sqref="E69" xr:uid="{E8B213B3-6115-497D-BDA7-2285D4235E2C}">
      <formula1>IF($E$72="",vehicletype,"")</formula1>
    </dataValidation>
    <dataValidation type="decimal" operator="greaterThan" allowBlank="1" showInputMessage="1" showErrorMessage="1" sqref="E48 H48 K48" xr:uid="{466674C1-35EF-4B48-98C8-3537809BABF2}">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E, Row 47)." sqref="E65" xr:uid="{8AC2A7ED-EC0B-4CC3-B5FC-EF3DEC874828}">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G, Row 47)." sqref="H65" xr:uid="{A020B560-B8F5-4BA3-934D-6A3BFEDE5C3A}">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I, Row 47)." sqref="K65" xr:uid="{F73FCD49-C872-4342-AD99-EF8E537167E3}">
      <formula1>0</formula1>
    </dataValidation>
    <dataValidation type="decimal" operator="greaterThan" allowBlank="1" showInputMessage="1" showErrorMessage="1" errorTitle="Invalid Input:" error="Input must be a number greater than 0." sqref="E60 H60 K60" xr:uid="{DCCD98D1-296E-45C3-B36F-6CAD9F6FB1D0}">
      <formula1>0</formula1>
    </dataValidation>
    <dataValidation type="decimal" allowBlank="1" showInputMessage="1" showErrorMessage="1" sqref="E52 H52 K52 E64 H64 K64" xr:uid="{CD49DA05-5AFB-4C90-AD9E-25C64BF069FF}">
      <formula1>-10000000</formula1>
      <formula2>10000000</formula2>
    </dataValidation>
    <dataValidation type="decimal" operator="greaterThanOrEqual" allowBlank="1" showInputMessage="1" showErrorMessage="1" errorTitle="Invalid Input:" error="Value must be greater than 0." promptTitle="Due to the high variability:" prompt="For rail and ferry vehicles, applicants may provide project-specific information on the estimated annual fuel instead of annual VMT." sqref="H54 E54 E66 K66 H66 K54" xr:uid="{2D5C86C7-A60B-4D23-B5BF-E0EB2EC326BA}">
      <formula1>0</formula1>
    </dataValidation>
    <dataValidation type="decimal" operator="greaterThanOrEqual" allowBlank="1" showInputMessage="1" showErrorMessage="1" errorTitle="Invalid Input:" error="Value must be greater than 0." sqref="E53 H53 K53" xr:uid="{88EECD27-8763-4BDF-BD9E-6AE953DEF30A}">
      <formula1>0</formula1>
    </dataValidation>
    <dataValidation type="decimal" operator="greaterThan" allowBlank="1" showInputMessage="1" showErrorMessage="1" errorTitle="Invalid Input:" error="Value must be greater than 0." sqref="E71 H71 K71" xr:uid="{62BFB7FD-F763-4F10-ABF7-97F9E2557336}">
      <formula1>0</formula1>
    </dataValidation>
    <dataValidation type="decimal" operator="greaterThanOrEqual" allowBlank="1" showErrorMessage="1" errorTitle="Invalid Input:" error="Value must be greater than 0." sqref="K55 H55 E55" xr:uid="{4B8AF825-4A27-415E-B8CD-E1207EC47501}">
      <formula1>0</formula1>
    </dataValidation>
  </dataValidations>
  <pageMargins left="0.7" right="0.7" top="0.75" bottom="0.75" header="0.3" footer="0.3"/>
  <pageSetup scale="26" fitToHeight="0" orientation="portrait" r:id="rId1"/>
  <headerFooter>
    <oddHeader>&amp;C&amp;12
&amp;G</oddHeader>
    <oddFooter>&amp;L&amp;"Avenir LT Std 55 Roman,Regular"&amp;12DRAFT September 13, 2019&amp;C&amp;"Avenir LT Std 55 Roman,Regular"&amp;12&amp;P of &amp;N&amp;R&amp;"Avenir LT Std 55 Roman,Regular"&amp;12&amp;A</oddFooter>
  </headerFooter>
  <rowBreaks count="1" manualBreakCount="1">
    <brk id="66" min="1" max="9" man="1"/>
  </rowBreaks>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37" id="{C7744969-54CE-4C63-BCF8-8F137BC27ECF}">
            <xm:f>OR(E$28=Defaults!$M$2,E$28=Defaults!$M$3)</xm:f>
            <x14:dxf>
              <fill>
                <patternFill>
                  <bgColor theme="9" tint="0.79998168889431442"/>
                </patternFill>
              </fill>
            </x14:dxf>
          </x14:cfRule>
          <xm:sqref>E37:E40 H37:H40 K37:K40</xm:sqref>
        </x14:conditionalFormatting>
        <x14:conditionalFormatting xmlns:xm="http://schemas.microsoft.com/office/excel/2006/main">
          <x14:cfRule type="expression" priority="38" id="{157881C8-BEFC-4371-A23E-28664E5AC518}">
            <xm:f>OR(E$28=Defaults!$M$2,E$28=Defaults!$M$4)</xm:f>
            <x14:dxf>
              <fill>
                <patternFill>
                  <bgColor theme="9" tint="0.79998168889431442"/>
                </patternFill>
              </fill>
            </x14:dxf>
          </x14:cfRule>
          <xm:sqref>E46 H46 K46 E49:F50 H49:I50 K49:L50</xm:sqref>
        </x14:conditionalFormatting>
        <x14:conditionalFormatting xmlns:xm="http://schemas.microsoft.com/office/excel/2006/main">
          <x14:cfRule type="expression" priority="60" id="{C8DC0D2F-8EE3-4371-B32D-D9EE64383BFE}">
            <xm:f>NOT(OR($E$46=Defaults!$G$3,$E$46=Defaults!$G$4))</xm:f>
            <x14:dxf>
              <font>
                <color rgb="FFFF0000"/>
              </font>
              <fill>
                <patternFill>
                  <bgColor theme="1"/>
                </patternFill>
              </fill>
            </x14:dxf>
          </x14:cfRule>
          <xm:sqref>E48</xm:sqref>
        </x14:conditionalFormatting>
        <x14:conditionalFormatting xmlns:xm="http://schemas.microsoft.com/office/excel/2006/main">
          <x14:cfRule type="expression" priority="67" id="{8B15F7B0-182A-47BB-9AAE-13F691EFCFDA}">
            <xm:f>NOT(OR($E$58=Defaults!$G$3,$E$58=Defaults!$G$4))</xm:f>
            <x14:dxf>
              <font>
                <color rgb="FFFF0000"/>
              </font>
              <fill>
                <patternFill>
                  <bgColor theme="1"/>
                </patternFill>
              </fill>
            </x14:dxf>
          </x14:cfRule>
          <xm:sqref>E60</xm:sqref>
        </x14:conditionalFormatting>
        <x14:conditionalFormatting xmlns:xm="http://schemas.microsoft.com/office/excel/2006/main">
          <x14:cfRule type="expression" priority="42" id="{B96CC58E-12C7-4A3A-96E9-036C462FFD6F}">
            <xm:f>NOT(OR($E$69=Defaults!$G$3,$E$69=Defaults!$G$4))</xm:f>
            <x14:dxf>
              <font>
                <color rgb="FFFF0000"/>
              </font>
              <fill>
                <patternFill>
                  <bgColor theme="1"/>
                </patternFill>
              </fill>
            </x14:dxf>
          </x14:cfRule>
          <xm:sqref>E71</xm:sqref>
        </x14:conditionalFormatting>
        <x14:conditionalFormatting xmlns:xm="http://schemas.microsoft.com/office/excel/2006/main">
          <x14:cfRule type="expression" priority="40" id="{3C777956-74B1-4C8C-BD2D-B05E167838E4}">
            <xm:f>AND(NOT(ISBLANK($E$54)),OR($E$46=Defaults!$G$3,$E$46=Defaults!$G$5,$E$46=Defaults!$G$6,$E$46=Defaults!$G$8))</xm:f>
            <x14:dxf>
              <fill>
                <patternFill>
                  <bgColor theme="4" tint="0.59996337778862885"/>
                </patternFill>
              </fill>
            </x14:dxf>
          </x14:cfRule>
          <xm:sqref>E53:F53</xm:sqref>
        </x14:conditionalFormatting>
        <x14:conditionalFormatting xmlns:xm="http://schemas.microsoft.com/office/excel/2006/main">
          <x14:cfRule type="expression" priority="55" id="{319FCB75-F431-4194-9D81-1FCF7DF98469}">
            <xm:f>OR(E$28=Defaults!$M$2, E$28=Defaults!$M$3, E$28=Defaults!$M$4)</xm:f>
            <x14:dxf>
              <fill>
                <patternFill>
                  <bgColor theme="4" tint="0.59996337778862885"/>
                </patternFill>
              </fill>
            </x14:dxf>
          </x14:cfRule>
          <xm:sqref>E69:F69 H69:I69 K69:L69</xm:sqref>
        </x14:conditionalFormatting>
        <x14:conditionalFormatting xmlns:xm="http://schemas.microsoft.com/office/excel/2006/main">
          <x14:cfRule type="expression" priority="27" id="{C70FBE0E-EB62-49C2-82FE-FF0AF4CDE79D}">
            <xm:f>AND(NOT(ISBLANK($E$53)),OR($E$46=Defaults!$G$3,$E$46=Defaults!$G$5,$E$46=Defaults!$G$6,$E$46=Defaults!$G$8))</xm:f>
            <x14:dxf>
              <fill>
                <patternFill>
                  <bgColor theme="4" tint="0.59996337778862885"/>
                </patternFill>
              </fill>
            </x14:dxf>
          </x14:cfRule>
          <xm:sqref>E54:G54</xm:sqref>
        </x14:conditionalFormatting>
        <x14:conditionalFormatting xmlns:xm="http://schemas.microsoft.com/office/excel/2006/main">
          <x14:cfRule type="expression" priority="12" id="{8A7E8898-90E2-430D-8737-2107E0CD016D}">
            <xm:f>AND(NOT(ISBLANK($E$66)),OR($E$58=Defaults!$G$3,$E$58=Defaults!$G$5,$E$58=Defaults!$G$6,$E$58=Defaults!$G$8))</xm:f>
            <x14:dxf>
              <fill>
                <patternFill>
                  <bgColor theme="4" tint="0.59996337778862885"/>
                </patternFill>
              </fill>
            </x14:dxf>
          </x14:cfRule>
          <xm:sqref>E65:G65</xm:sqref>
        </x14:conditionalFormatting>
        <x14:conditionalFormatting xmlns:xm="http://schemas.microsoft.com/office/excel/2006/main">
          <x14:cfRule type="expression" priority="15" id="{2D7BD5F0-67F6-41D6-8C90-CC5B66644787}">
            <xm:f>AND(NOT(ISBLANK($E$65)),OR($E$58=Defaults!$G$3,$E$58=Defaults!$G$5,$E$58=Defaults!$G$6,$E$58=Defaults!$G$8))</xm:f>
            <x14:dxf>
              <fill>
                <patternFill>
                  <bgColor theme="4" tint="0.59996337778862885"/>
                </patternFill>
              </fill>
            </x14:dxf>
          </x14:cfRule>
          <xm:sqref>E66:G66 J66 M66</xm:sqref>
        </x14:conditionalFormatting>
        <x14:conditionalFormatting xmlns:xm="http://schemas.microsoft.com/office/excel/2006/main">
          <x14:cfRule type="expression" priority="59" id="{3D71FA3B-A5E9-4486-BFF2-6DBDEE31E935}">
            <xm:f>OR(E$28=Defaults!$M$2,E$28=Defaults!$M$3)</xm:f>
            <x14:dxf>
              <fill>
                <patternFill>
                  <bgColor theme="9" tint="0.79998168889431442"/>
                </patternFill>
              </fill>
            </x14:dxf>
          </x14:cfRule>
          <xm:sqref>F37:F40 I37:I40 L37:L40</xm:sqref>
        </x14:conditionalFormatting>
        <x14:conditionalFormatting xmlns:xm="http://schemas.microsoft.com/office/excel/2006/main">
          <x14:cfRule type="expression" priority="36" id="{6D44D198-0889-4EF0-990C-4EC92343940B}">
            <xm:f>OR(E$28=Defaults!$M$2,E$28=Defaults!$M$3)</xm:f>
            <x14:dxf>
              <fill>
                <patternFill>
                  <bgColor theme="9" tint="0.79998168889431442"/>
                </patternFill>
              </fill>
            </x14:dxf>
          </x14:cfRule>
          <xm:sqref>G37:G40 J37:J40 M37:M40</xm:sqref>
        </x14:conditionalFormatting>
        <x14:conditionalFormatting xmlns:xm="http://schemas.microsoft.com/office/excel/2006/main">
          <x14:cfRule type="expression" priority="29" id="{B9D03D95-4253-4242-9520-FCE37E7B9495}">
            <xm:f>OR(E$28=Defaults!$M$2,E$28=Defaults!$M$4)</xm:f>
            <x14:dxf>
              <fill>
                <patternFill>
                  <bgColor theme="9" tint="0.79998168889431442"/>
                </patternFill>
              </fill>
            </x14:dxf>
          </x14:cfRule>
          <xm:sqref>G46 J46 M46</xm:sqref>
        </x14:conditionalFormatting>
        <x14:conditionalFormatting xmlns:xm="http://schemas.microsoft.com/office/excel/2006/main">
          <x14:cfRule type="expression" priority="33" id="{24069EFA-D809-4700-98E6-A76E5435BF47}">
            <xm:f>OR(E$28=Defaults!$M$4)</xm:f>
            <x14:dxf>
              <fill>
                <patternFill>
                  <bgColor theme="9" tint="0.79998168889431442"/>
                </patternFill>
              </fill>
            </x14:dxf>
          </x14:cfRule>
          <xm:sqref>G47:G48 J47:J48 M47:M48</xm:sqref>
        </x14:conditionalFormatting>
        <x14:conditionalFormatting xmlns:xm="http://schemas.microsoft.com/office/excel/2006/main">
          <x14:cfRule type="expression" priority="35" id="{9780788A-25E9-4323-BFE6-09C7BFD43ACA}">
            <xm:f>NOT(OR($E$46=Defaults!$G$3,$E$46=Defaults!$G$4))</xm:f>
            <x14:dxf>
              <font>
                <color auto="1"/>
              </font>
              <fill>
                <patternFill>
                  <bgColor theme="1"/>
                </patternFill>
              </fill>
            </x14:dxf>
          </x14:cfRule>
          <xm:sqref>G48</xm:sqref>
        </x14:conditionalFormatting>
        <x14:conditionalFormatting xmlns:xm="http://schemas.microsoft.com/office/excel/2006/main">
          <x14:cfRule type="expression" priority="32" id="{8794CB6B-55C9-46BC-A434-AD48EA1CC4FC}">
            <xm:f>OR(E$28=Defaults!$M$2,E$28=Defaults!$M$4)</xm:f>
            <x14:dxf>
              <fill>
                <patternFill>
                  <bgColor theme="9" tint="0.79998168889431442"/>
                </patternFill>
              </fill>
            </x14:dxf>
          </x14:cfRule>
          <xm:sqref>G49:G50 J49:J50 M49:M50</xm:sqref>
        </x14:conditionalFormatting>
        <x14:conditionalFormatting xmlns:xm="http://schemas.microsoft.com/office/excel/2006/main">
          <x14:cfRule type="expression" priority="31" id="{3045FBD1-9C98-4D6D-AB6B-8939E3D17907}">
            <xm:f>AND(OR(E$28=Defaults!$M$2,E$28=Defaults!$M$4),OR(E$46="Cut-A-Way",E$46="Over-Road Coach",E$46="Transit Bus",E$46="Van",E$46="Ferry",E$46="DMU / EMU"))</xm:f>
            <x14:dxf>
              <fill>
                <patternFill>
                  <bgColor theme="9" tint="0.79998168889431442"/>
                </patternFill>
              </fill>
            </x14:dxf>
          </x14:cfRule>
          <xm:sqref>G51 J51 M51</xm:sqref>
        </x14:conditionalFormatting>
        <x14:conditionalFormatting xmlns:xm="http://schemas.microsoft.com/office/excel/2006/main">
          <x14:cfRule type="expression" priority="30" id="{1AB60F7D-81B5-45D0-89A8-4CF632303655}">
            <xm:f>OR(E$28=Defaults!$M$2,E$28=Defaults!$M$4)</xm:f>
            <x14:dxf>
              <fill>
                <patternFill>
                  <bgColor theme="4" tint="0.59996337778862885"/>
                </patternFill>
              </fill>
            </x14:dxf>
          </x14:cfRule>
          <xm:sqref>G52 J52 M52</xm:sqref>
        </x14:conditionalFormatting>
        <x14:conditionalFormatting xmlns:xm="http://schemas.microsoft.com/office/excel/2006/main">
          <x14:cfRule type="expression" priority="28" id="{278C8FD0-977C-4DD7-A717-0C7E43066899}">
            <xm:f>AND(OR(E$28=Defaults!$M$2,E$28=Defaults!$M$4),OR(E$46="Cut-A-Way",E$46="Heavy Rail",E$46="Light Rail",E$46="Over-Road Coach",E$46="Streetcar",E$46="Transit Bus",E$46="Van",E$46="DMU / EMU"))</xm:f>
            <x14:dxf>
              <fill>
                <patternFill>
                  <bgColor theme="9" tint="0.79998168889431442"/>
                </patternFill>
              </fill>
            </x14:dxf>
          </x14:cfRule>
          <xm:sqref>G53 J53 M53</xm:sqref>
        </x14:conditionalFormatting>
        <x14:conditionalFormatting xmlns:xm="http://schemas.microsoft.com/office/excel/2006/main">
          <x14:cfRule type="expression" priority="11" id="{4E8F4A8F-5D5D-4B8D-BCC5-B3825C3AAFFB}">
            <xm:f>E$28=Defaults!$M$2</xm:f>
            <x14:dxf>
              <fill>
                <patternFill>
                  <bgColor theme="4" tint="0.59996337778862885"/>
                </patternFill>
              </fill>
            </x14:dxf>
          </x14:cfRule>
          <xm:sqref>G58 J58 M58</xm:sqref>
        </x14:conditionalFormatting>
        <x14:conditionalFormatting xmlns:xm="http://schemas.microsoft.com/office/excel/2006/main">
          <x14:cfRule type="expression" priority="14" id="{EB786B31-897F-4181-87ED-99A0AB891E1C}">
            <xm:f>OR(E$28=Defaults!$M$2,E$28=Defaults!$M$4)</xm:f>
            <x14:dxf>
              <fill>
                <patternFill>
                  <bgColor theme="9" tint="0.79998168889431442"/>
                </patternFill>
              </fill>
            </x14:dxf>
          </x14:cfRule>
          <xm:sqref>G58</xm:sqref>
        </x14:conditionalFormatting>
        <x14:conditionalFormatting xmlns:xm="http://schemas.microsoft.com/office/excel/2006/main">
          <x14:cfRule type="expression" priority="25" id="{0DFCDC35-C6DE-4B26-9B28-96F6480E9AF0}">
            <xm:f>OR(E$28=Defaults!$M$4)</xm:f>
            <x14:dxf>
              <fill>
                <patternFill>
                  <bgColor theme="9" tint="0.79998168889431442"/>
                </patternFill>
              </fill>
            </x14:dxf>
          </x14:cfRule>
          <xm:sqref>G59:G60 J59:J60 M59:M60</xm:sqref>
        </x14:conditionalFormatting>
        <x14:conditionalFormatting xmlns:xm="http://schemas.microsoft.com/office/excel/2006/main">
          <x14:cfRule type="expression" priority="22" id="{0FDEB2B3-7CBF-48FF-8C7E-1FED4F2BCE86}">
            <xm:f>NOT(OR(E$58=Defaults!$G$3,E$58=Defaults!$G$4))</xm:f>
            <x14:dxf>
              <fill>
                <patternFill>
                  <bgColor theme="1"/>
                </patternFill>
              </fill>
            </x14:dxf>
          </x14:cfRule>
          <xm:sqref>G60 J60 M60</xm:sqref>
        </x14:conditionalFormatting>
        <x14:conditionalFormatting xmlns:xm="http://schemas.microsoft.com/office/excel/2006/main">
          <x14:cfRule type="expression" priority="21" id="{01F3FF0C-5178-40BE-93F9-E3D8CE741B0B}">
            <xm:f>OR(E$28=Defaults!$M$4, AND(NOT(ISBLANK(E$58)),E$28=Defaults!$M$2))</xm:f>
            <x14:dxf>
              <fill>
                <patternFill>
                  <bgColor theme="9" tint="0.79998168889431442"/>
                </patternFill>
              </fill>
            </x14:dxf>
          </x14:cfRule>
          <xm:sqref>G61:G62 J61:J62 M61:M62</xm:sqref>
        </x14:conditionalFormatting>
        <x14:conditionalFormatting xmlns:xm="http://schemas.microsoft.com/office/excel/2006/main">
          <x14:cfRule type="expression" priority="20" id="{EE143D09-CCCD-459C-8F26-2AFDE974FD28}">
            <xm:f>AND(OR(E$28=Defaults!$M$4,E$28=Defaults!$M$2),OR(E$58="Cut-A-Way",E$58="Over-Road Coach",E$58="Transit Bus",E$58="Van",E$58="DMU / EMU"))</xm:f>
            <x14:dxf>
              <fill>
                <patternFill>
                  <bgColor theme="9" tint="0.79998168889431442"/>
                </patternFill>
              </fill>
            </x14:dxf>
          </x14:cfRule>
          <xm:sqref>G63 J63 M63</xm:sqref>
        </x14:conditionalFormatting>
        <x14:conditionalFormatting xmlns:xm="http://schemas.microsoft.com/office/excel/2006/main">
          <x14:cfRule type="expression" priority="19" id="{903FD6F7-9A67-470C-A8BC-3D618DF11F42}">
            <xm:f>OR(E$28=Defaults!$M$4, AND(NOT(ISBLANK(E$58)),E$28=Defaults!$M$2))</xm:f>
            <x14:dxf>
              <fill>
                <patternFill>
                  <bgColor theme="4" tint="0.59996337778862885"/>
                </patternFill>
              </fill>
            </x14:dxf>
          </x14:cfRule>
          <xm:sqref>G64 J64 M64</xm:sqref>
        </x14:conditionalFormatting>
        <x14:conditionalFormatting xmlns:xm="http://schemas.microsoft.com/office/excel/2006/main">
          <x14:cfRule type="expression" priority="13" id="{A6A95654-0E64-4E1F-A6EB-D58B8D2CD320}">
            <xm:f>AND(OR(E$28=Defaults!$M$4, E$28=Defaults!$M$2),OR(E$58="Cut-A-Way",E$58="Heavy Rail",E$58="Light Rail",E$58="Over-Road Coach",E$58="Streetcar",E$58="Transit Bus",E$58="Van",E$58="DMU / EMU"))</xm:f>
            <x14:dxf>
              <fill>
                <patternFill>
                  <bgColor theme="9" tint="0.79998168889431442"/>
                </patternFill>
              </fill>
            </x14:dxf>
          </x14:cfRule>
          <xm:sqref>G65</xm:sqref>
        </x14:conditionalFormatting>
        <x14:conditionalFormatting xmlns:xm="http://schemas.microsoft.com/office/excel/2006/main">
          <x14:cfRule type="expression" priority="16" id="{B183CF08-D72F-4DA9-ACFC-4FA08E37D196}">
            <xm:f>AND(OR(E$28=Defaults!$M$4, E$28=Defaults!$M$2),OR(E$58="Ferry",E$58="Heavy Rail",E$58="Light Rail",E$58="Streetcar",E$58="DMU / EMU"))</xm:f>
            <x14:dxf>
              <fill>
                <patternFill>
                  <bgColor theme="9" tint="0.79998168889431442"/>
                </patternFill>
              </fill>
            </x14:dxf>
          </x14:cfRule>
          <xm:sqref>G66 J66 M66</xm:sqref>
        </x14:conditionalFormatting>
        <x14:conditionalFormatting xmlns:xm="http://schemas.microsoft.com/office/excel/2006/main">
          <x14:cfRule type="expression" priority="10" id="{95B0B4A2-298F-4B07-99EE-5FEE13E1E762}">
            <xm:f>OR(E$28=Defaults!$M$5)</xm:f>
            <x14:dxf>
              <fill>
                <patternFill>
                  <bgColor theme="9" tint="0.79998168889431442"/>
                </patternFill>
              </fill>
            </x14:dxf>
          </x14:cfRule>
          <x14:cfRule type="expression" priority="9" id="{FA163F12-8685-43BA-8DFD-F2A01747EC81}">
            <xm:f>OR(E$28=Defaults!$M$2, E$28=Defaults!$M$3, E$28=Defaults!$M$4)</xm:f>
            <x14:dxf>
              <fill>
                <patternFill>
                  <bgColor theme="4" tint="0.59996337778862885"/>
                </patternFill>
              </fill>
            </x14:dxf>
          </x14:cfRule>
          <xm:sqref>G69 J69 M69</xm:sqref>
        </x14:conditionalFormatting>
        <x14:conditionalFormatting xmlns:xm="http://schemas.microsoft.com/office/excel/2006/main">
          <x14:cfRule type="expression" priority="7" id="{20E24DB1-F092-44FA-96E5-79CD5BAA7173}">
            <xm:f>NOT(OR(E$69=Defaults!$G$3,E$69=Defaults!$G$4))</xm:f>
            <x14:dxf>
              <fill>
                <patternFill>
                  <bgColor theme="1"/>
                </patternFill>
              </fill>
            </x14:dxf>
          </x14:cfRule>
          <xm:sqref>G71 J71 M71</xm:sqref>
        </x14:conditionalFormatting>
        <x14:conditionalFormatting xmlns:xm="http://schemas.microsoft.com/office/excel/2006/main">
          <x14:cfRule type="expression" priority="6" id="{70A269DE-9591-4508-B034-686D6099DDE1}">
            <xm:f>OR(E$28=Defaults!$M$5, NOT(ISBLANK(E$69)))</xm:f>
            <x14:dxf>
              <fill>
                <patternFill>
                  <bgColor theme="9" tint="0.79998168889431442"/>
                </patternFill>
              </fill>
            </x14:dxf>
          </x14:cfRule>
          <xm:sqref>G72 J72 M72</xm:sqref>
        </x14:conditionalFormatting>
        <x14:conditionalFormatting xmlns:xm="http://schemas.microsoft.com/office/excel/2006/main">
          <x14:cfRule type="expression" priority="3" id="{DFF9E87A-D515-4B4E-9C98-B38248456AA2}">
            <xm:f>E$28=Defaults!$M$3</xm:f>
            <x14:dxf>
              <fill>
                <patternFill>
                  <bgColor theme="4" tint="0.59996337778862885"/>
                </patternFill>
              </fill>
            </x14:dxf>
          </x14:cfRule>
          <xm:sqref>G77:G78 J77:J78 M77:M78</xm:sqref>
        </x14:conditionalFormatting>
        <x14:conditionalFormatting xmlns:xm="http://schemas.microsoft.com/office/excel/2006/main">
          <x14:cfRule type="expression" priority="2" id="{61D2A71D-E09B-44A2-AFD4-74778F7CEEE4}">
            <xm:f>OR(E$28=Defaults!$M$2, E$28=Defaults!$M$3)</xm:f>
            <x14:dxf>
              <fill>
                <patternFill>
                  <bgColor theme="4" tint="0.59996337778862885"/>
                </patternFill>
              </fill>
            </x14:dxf>
          </x14:cfRule>
          <xm:sqref>G78:G81 J78:J81 M78:M81</xm:sqref>
        </x14:conditionalFormatting>
        <x14:conditionalFormatting xmlns:xm="http://schemas.microsoft.com/office/excel/2006/main">
          <x14:cfRule type="expression" priority="68" id="{C2B37083-A5F1-4B72-8C4D-DB7354691B1B}">
            <xm:f>NOT(OR($H$46=Defaults!$G$3,$H$46=Defaults!$G$4))</xm:f>
            <x14:dxf>
              <font>
                <color rgb="FFFF0000"/>
              </font>
              <fill>
                <patternFill>
                  <bgColor theme="1"/>
                </patternFill>
              </fill>
            </x14:dxf>
          </x14:cfRule>
          <xm:sqref>H48</xm:sqref>
        </x14:conditionalFormatting>
        <x14:conditionalFormatting xmlns:xm="http://schemas.microsoft.com/office/excel/2006/main">
          <x14:cfRule type="expression" priority="91" id="{7E4D78D6-3CEA-451D-B648-FF82B48C7364}">
            <xm:f>OR(E$28=Defaults!$M$2,E$28=Defaults!$M$4)</xm:f>
            <x14:dxf>
              <fill>
                <patternFill>
                  <bgColor theme="4" tint="0.59996337778862885"/>
                </patternFill>
              </fill>
            </x14:dxf>
          </x14:cfRule>
          <xm:sqref>H52 E52 K52</xm:sqref>
        </x14:conditionalFormatting>
        <x14:conditionalFormatting xmlns:xm="http://schemas.microsoft.com/office/excel/2006/main">
          <x14:cfRule type="expression" priority="52" id="{FFC56628-550E-431B-9154-C11853A0C672}">
            <xm:f>AND(OR(E$28=Defaults!$M$2,E$28=Defaults!$M$4),OR(E$46="Cut-A-Way",E$46="Heavy Rail",E$46="Light Rail",E$46="Over-Road Coach",E$46="Streetcar",E$46="Transit Bus",E$46="Van",E$46="DMU / EMU"))</xm:f>
            <x14:dxf>
              <fill>
                <patternFill>
                  <bgColor theme="9" tint="0.79998168889431442"/>
                </patternFill>
              </fill>
            </x14:dxf>
          </x14:cfRule>
          <xm:sqref>H53 E53 K53</xm:sqref>
        </x14:conditionalFormatting>
        <x14:conditionalFormatting xmlns:xm="http://schemas.microsoft.com/office/excel/2006/main">
          <x14:cfRule type="expression" priority="61" id="{60119968-4105-4F4B-B9E5-8F9C78CC714F}">
            <xm:f>AND(OR(E$28=Defaults!$M$2,E$28=Defaults!$M$4),OR(E$46="Ferry",E$46="Heavy Rail",E$46="Light Rail",E$46="Streetcar",E$46="DMU / EMU"))</xm:f>
            <x14:dxf>
              <fill>
                <patternFill>
                  <bgColor theme="9" tint="0.79998168889431442"/>
                </patternFill>
              </fill>
            </x14:dxf>
          </x14:cfRule>
          <xm:sqref>H54 E54 K54</xm:sqref>
        </x14:conditionalFormatting>
        <x14:conditionalFormatting xmlns:xm="http://schemas.microsoft.com/office/excel/2006/main">
          <x14:cfRule type="expression" priority="44" id="{3F4AA985-710D-4C76-ADB8-7E56D8CCE93E}">
            <xm:f>E$28=Defaults!$M$4</xm:f>
            <x14:dxf>
              <fill>
                <patternFill>
                  <bgColor theme="9" tint="0.79998168889431442"/>
                </patternFill>
              </fill>
            </x14:dxf>
          </x14:cfRule>
          <xm:sqref>H58 E58:F58</xm:sqref>
        </x14:conditionalFormatting>
        <x14:conditionalFormatting xmlns:xm="http://schemas.microsoft.com/office/excel/2006/main">
          <x14:cfRule type="expression" priority="66" id="{F3642279-E8AE-4ECB-98D8-08E16C88F046}">
            <xm:f>NOT(OR($H$58=Defaults!$G$3,$H$58=Defaults!$G$4))</xm:f>
            <x14:dxf>
              <font>
                <color rgb="FFFF0000"/>
              </font>
              <fill>
                <patternFill>
                  <bgColor theme="1"/>
                </patternFill>
              </fill>
            </x14:dxf>
          </x14:cfRule>
          <xm:sqref>H60</xm:sqref>
        </x14:conditionalFormatting>
        <x14:conditionalFormatting xmlns:xm="http://schemas.microsoft.com/office/excel/2006/main">
          <x14:cfRule type="expression" priority="102" id="{FD55CFBD-3225-491F-A9E9-7E9254FD6173}">
            <xm:f>AND(OR(E$28=Defaults!$M$4, E$28=Defaults!$M$2),OR(E$58="Ferry",E$58="Heavy Rail",E$58="Light Rail",E$58="Streetcar",E$58="DMU / EMU"))</xm:f>
            <x14:dxf>
              <fill>
                <patternFill>
                  <bgColor theme="9" tint="0.79998168889431442"/>
                </patternFill>
              </fill>
            </x14:dxf>
          </x14:cfRule>
          <xm:sqref>H66 K66 E66</xm:sqref>
        </x14:conditionalFormatting>
        <x14:conditionalFormatting xmlns:xm="http://schemas.microsoft.com/office/excel/2006/main">
          <x14:cfRule type="expression" priority="63" id="{C9106155-E80E-45C8-A4EF-413F673F13A2}">
            <xm:f>NOT(OR($H$69=Defaults!$G$3,$H$69=Defaults!$G$4))</xm:f>
            <x14:dxf>
              <font>
                <color rgb="FFFF0000"/>
              </font>
              <fill>
                <patternFill>
                  <bgColor theme="1"/>
                </patternFill>
              </fill>
            </x14:dxf>
          </x14:cfRule>
          <xm:sqref>H71</xm:sqref>
        </x14:conditionalFormatting>
        <x14:conditionalFormatting xmlns:xm="http://schemas.microsoft.com/office/excel/2006/main">
          <x14:cfRule type="expression" priority="56" id="{2F535873-F928-47E9-93E3-DB77B419AB33}">
            <xm:f>E$28=Defaults!$M$3</xm:f>
            <x14:dxf>
              <fill>
                <patternFill>
                  <bgColor theme="4" tint="0.59996337778862885"/>
                </patternFill>
              </fill>
            </x14:dxf>
          </x14:cfRule>
          <xm:sqref>H77:H78 E77:E78 K77:K78</xm:sqref>
        </x14:conditionalFormatting>
        <x14:conditionalFormatting xmlns:xm="http://schemas.microsoft.com/office/excel/2006/main">
          <x14:cfRule type="expression" priority="58" id="{F720BDB3-119D-4225-8869-BF87BA48A7A1}">
            <xm:f>OR(E$28=Defaults!$M$2, E$28=Defaults!$M$3)</xm:f>
            <x14:dxf>
              <fill>
                <patternFill>
                  <bgColor theme="4" tint="0.59996337778862885"/>
                </patternFill>
              </fill>
            </x14:dxf>
          </x14:cfRule>
          <xm:sqref>H78:H81 E78:E81 K78:K81</xm:sqref>
        </x14:conditionalFormatting>
        <x14:conditionalFormatting xmlns:xm="http://schemas.microsoft.com/office/excel/2006/main">
          <x14:cfRule type="expression" priority="92" id="{0EDE2CC0-62F2-4AB8-8330-AB681A10EFEF}">
            <xm:f>AND(OR(E$28=Defaults!$M$2,E$28=Defaults!$M$4),OR(E$46="Cut-A-Way",E$46="Over-Road Coach",E$46="Transit Bus",E$46="Van",E$46="Ferry",E$46="DMU / EMU"))</xm:f>
            <x14:dxf>
              <fill>
                <patternFill>
                  <bgColor theme="9" tint="0.79998168889431442"/>
                </patternFill>
              </fill>
            </x14:dxf>
          </x14:cfRule>
          <xm:sqref>H51:I51 E51:F51 K51:L51</xm:sqref>
        </x14:conditionalFormatting>
        <x14:conditionalFormatting xmlns:xm="http://schemas.microsoft.com/office/excel/2006/main">
          <x14:cfRule type="expression" priority="79" id="{55AE4008-AA3D-4ECE-9C2D-4524890B31B7}">
            <xm:f>AND(NOT(ISBLANK($H$53)),OR($H$46=Defaults!$G$3,$H$46=Defaults!$G$5,$H$46=Defaults!$G$6,$H$46=Defaults!$G$8))</xm:f>
            <x14:dxf>
              <fill>
                <patternFill>
                  <bgColor theme="4" tint="0.39994506668294322"/>
                </patternFill>
              </fill>
            </x14:dxf>
          </x14:cfRule>
          <xm:sqref>H54:J54</xm:sqref>
        </x14:conditionalFormatting>
        <x14:conditionalFormatting xmlns:xm="http://schemas.microsoft.com/office/excel/2006/main">
          <x14:cfRule type="expression" priority="78" id="{376B9D42-1B4C-4DF8-A56E-46D4CF18EED0}">
            <xm:f>AND(NOT(ISBLANK($H$65)),OR($H$58=Defaults!$G$3,$H$58=Defaults!$G$5,$H$58=Defaults!$G$6,$H$58=Defaults!$G$8))</xm:f>
            <x14:dxf>
              <fill>
                <patternFill>
                  <bgColor theme="4" tint="0.39994506668294322"/>
                </patternFill>
              </fill>
            </x14:dxf>
          </x14:cfRule>
          <xm:sqref>H66:J66</xm:sqref>
        </x14:conditionalFormatting>
        <x14:conditionalFormatting xmlns:xm="http://schemas.microsoft.com/office/excel/2006/main">
          <x14:cfRule type="expression" priority="53" id="{65FC4CF5-8A0F-463B-9988-9A2FCF24F400}">
            <xm:f>OR(E$28=Defaults!$M$2,E$28=Defaults!$M$4)</xm:f>
            <x14:dxf>
              <fill>
                <patternFill>
                  <bgColor theme="4" tint="0.59996337778862885"/>
                </patternFill>
              </fill>
            </x14:dxf>
          </x14:cfRule>
          <xm:sqref>I52 F52 L52</xm:sqref>
        </x14:conditionalFormatting>
        <x14:conditionalFormatting xmlns:xm="http://schemas.microsoft.com/office/excel/2006/main">
          <x14:cfRule type="expression" priority="93" id="{1C971D4D-26C4-420D-B237-1A537E90C399}">
            <xm:f>AND(OR(E$28=Defaults!$M$2,E$28=Defaults!$M$4),OR(E$46="Cut-A-Way",E$46="Heavy Rail",E$46="Light Rail",E$46="Over-Road Coach",E$46="Streetcar",E$46="Transit Bus",E$46="Van",E$46="DMU / EMU"))</xm:f>
            <x14:dxf>
              <fill>
                <patternFill>
                  <bgColor theme="9" tint="0.79998168889431442"/>
                </patternFill>
              </fill>
            </x14:dxf>
          </x14:cfRule>
          <xm:sqref>I53 F53 L53</xm:sqref>
        </x14:conditionalFormatting>
        <x14:conditionalFormatting xmlns:xm="http://schemas.microsoft.com/office/excel/2006/main">
          <x14:cfRule type="expression" priority="94" id="{44E9008F-2032-45D6-91B6-B2E2A86370F9}">
            <xm:f>AND(OR(E$28=Defaults!$M$2,E$28=Defaults!$M$4),OR(E$46="Ferry",E$46="Heavy Rail",E$46="Light Rail",E$46="Streetcar",E$46="DMU / EMU"))</xm:f>
            <x14:dxf>
              <fill>
                <patternFill>
                  <bgColor theme="9" tint="0.79998168889431442"/>
                </patternFill>
              </fill>
            </x14:dxf>
          </x14:cfRule>
          <xm:sqref>I54 L54 F54</xm:sqref>
        </x14:conditionalFormatting>
        <x14:conditionalFormatting xmlns:xm="http://schemas.microsoft.com/office/excel/2006/main">
          <x14:cfRule type="expression" priority="103" id="{48FC8092-FEB1-4C2F-8CCF-F624BDC4870B}">
            <xm:f>AND(OR(E$28=Defaults!$M$4, E$28=Defaults!$M$2),OR(E$58="Ferry",E$58="Heavy Rail",E$58="Light Rail",E$58="Streetcar",E$58="DMU / EMU"))</xm:f>
            <x14:dxf>
              <font>
                <b val="0"/>
                <i val="0"/>
              </font>
              <fill>
                <patternFill>
                  <bgColor theme="9" tint="0.79998168889431442"/>
                </patternFill>
              </fill>
            </x14:dxf>
          </x14:cfRule>
          <xm:sqref>I66 L66 F66</xm:sqref>
        </x14:conditionalFormatting>
        <x14:conditionalFormatting xmlns:xm="http://schemas.microsoft.com/office/excel/2006/main">
          <x14:cfRule type="expression" priority="57" id="{781876A3-CC28-416C-8DBB-392D8A3FB5B5}">
            <xm:f>OR(E$28=Defaults!$M$2, E$28=Defaults!$M$3)</xm:f>
            <x14:dxf>
              <fill>
                <patternFill>
                  <bgColor theme="4" tint="0.59996337778862885"/>
                </patternFill>
              </fill>
            </x14:dxf>
          </x14:cfRule>
          <xm:sqref>I78:I81 F78:F81 L78:L81</xm:sqref>
        </x14:conditionalFormatting>
        <x14:conditionalFormatting xmlns:xm="http://schemas.microsoft.com/office/excel/2006/main">
          <x14:cfRule type="expression" priority="51" id="{878B6705-4AF1-422F-9018-967EB9CA46F5}">
            <xm:f>AND(OR(E$28=Defaults!$M$2,E$28=Defaults!$M$4),OR(E$46="Ferry",E$46="Heavy Rail",E$46="Light Rail",E$46="Streetcar",E$46="DMU / EMU"))</xm:f>
            <x14:dxf>
              <fill>
                <patternFill>
                  <bgColor theme="9" tint="0.79998168889431442"/>
                </patternFill>
              </fill>
            </x14:dxf>
          </x14:cfRule>
          <xm:sqref>J54 G54 M54</xm:sqref>
        </x14:conditionalFormatting>
        <x14:conditionalFormatting xmlns:xm="http://schemas.microsoft.com/office/excel/2006/main">
          <x14:cfRule type="expression" priority="26" id="{25A860D8-67E5-4DA2-8195-3BB9858E0BFF}">
            <xm:f>H$28=Defaults!$M$4</xm:f>
            <x14:dxf>
              <fill>
                <patternFill>
                  <bgColor theme="9" tint="0.79998168889431442"/>
                </patternFill>
              </fill>
            </x14:dxf>
          </x14:cfRule>
          <xm:sqref>J58 M58</xm:sqref>
        </x14:conditionalFormatting>
        <x14:conditionalFormatting xmlns:xm="http://schemas.microsoft.com/office/excel/2006/main">
          <x14:cfRule type="expression" priority="17" id="{B1804CBD-DF32-48EA-BC9A-8FBD42EA1FC6}">
            <xm:f>AND(NOT(ISBLANK($E$66)),OR($E$58=Defaults!$G$3,$E$58=Defaults!$G$5,$E$58=Defaults!$G$6,$E$58=Defaults!$G$8))</xm:f>
            <x14:dxf>
              <fill>
                <patternFill>
                  <bgColor theme="4" tint="0.59996337778862885"/>
                </patternFill>
              </fill>
            </x14:dxf>
          </x14:cfRule>
          <x14:cfRule type="expression" priority="18" id="{10E28739-69FC-49A4-9E52-660CAFB65747}">
            <xm:f>AND(OR(H$28=Defaults!$M$4, H$28=Defaults!$M$2),OR(H$58="Cut-A-Way",H$58="Heavy Rail",H$58="Light Rail",H$58="Over-Road Coach",H$58="Streetcar",H$58="Transit Bus",H$58="Van",H$58="DMU / EMU"))</xm:f>
            <x14:dxf>
              <fill>
                <patternFill>
                  <bgColor theme="9" tint="0.79998168889431442"/>
                </patternFill>
              </fill>
            </x14:dxf>
          </x14:cfRule>
          <xm:sqref>J65 M65</xm:sqref>
        </x14:conditionalFormatting>
        <x14:conditionalFormatting xmlns:xm="http://schemas.microsoft.com/office/excel/2006/main">
          <x14:cfRule type="expression" priority="90" id="{4220D659-C7DD-49F3-95E4-43697FB6EE54}">
            <xm:f>OR(E$28=Defaults!$M$4)</xm:f>
            <x14:dxf>
              <fill>
                <patternFill>
                  <bgColor theme="9" tint="0.79998168889431442"/>
                </patternFill>
              </fill>
            </x14:dxf>
          </x14:cfRule>
          <xm:sqref>K47:K48 H47:H48 E47:E48</xm:sqref>
        </x14:conditionalFormatting>
        <x14:conditionalFormatting xmlns:xm="http://schemas.microsoft.com/office/excel/2006/main">
          <x14:cfRule type="expression" priority="62" id="{90F6827C-4BF3-4C9C-AF87-A5424E1DC381}">
            <xm:f>NOT(OR($K$46=Defaults!$G$3,$K$46=Defaults!$G$4))</xm:f>
            <x14:dxf>
              <font>
                <color rgb="FFFF0000"/>
              </font>
              <fill>
                <patternFill>
                  <bgColor theme="1"/>
                </patternFill>
              </fill>
            </x14:dxf>
          </x14:cfRule>
          <xm:sqref>K48</xm:sqref>
        </x14:conditionalFormatting>
        <x14:conditionalFormatting xmlns:xm="http://schemas.microsoft.com/office/excel/2006/main">
          <x14:cfRule type="expression" priority="47" id="{96C9C2F1-EB31-4C9E-9A1F-B87E0071614E}">
            <xm:f>K$28=Defaults!$M$4</xm:f>
            <x14:dxf>
              <fill>
                <patternFill>
                  <bgColor theme="9" tint="0.79998168889431442"/>
                </patternFill>
              </fill>
            </x14:dxf>
          </x14:cfRule>
          <xm:sqref>K58</xm:sqref>
        </x14:conditionalFormatting>
        <x14:conditionalFormatting xmlns:xm="http://schemas.microsoft.com/office/excel/2006/main">
          <x14:cfRule type="expression" priority="89" id="{08316940-15EF-464A-8D83-DD3D810CCBD4}">
            <xm:f>OR(E$28=Defaults!$M$4)</xm:f>
            <x14:dxf>
              <fill>
                <patternFill>
                  <bgColor theme="9" tint="0.79998168889431442"/>
                </patternFill>
              </fill>
            </x14:dxf>
          </x14:cfRule>
          <xm:sqref>K59:K60 E59:E60 H59:H60</xm:sqref>
        </x14:conditionalFormatting>
        <x14:conditionalFormatting xmlns:xm="http://schemas.microsoft.com/office/excel/2006/main">
          <x14:cfRule type="expression" priority="65" id="{1351716E-4FF9-438C-BC6B-5776641D3EE3}">
            <xm:f>NOT(OR($K$58=Defaults!$G$3,$K$58=Defaults!$G$4))</xm:f>
            <x14:dxf>
              <font>
                <color rgb="FFFF0000"/>
              </font>
              <fill>
                <patternFill>
                  <bgColor theme="1"/>
                </patternFill>
              </fill>
            </x14:dxf>
          </x14:cfRule>
          <xm:sqref>K60</xm:sqref>
        </x14:conditionalFormatting>
        <x14:conditionalFormatting xmlns:xm="http://schemas.microsoft.com/office/excel/2006/main">
          <x14:cfRule type="expression" priority="50" id="{878474FE-3B4C-4592-8802-C83624589617}">
            <xm:f>OR(E$28=Defaults!$M$4, AND(NOT(ISBLANK(E$58)),E$28=Defaults!$M$2))</xm:f>
            <x14:dxf>
              <fill>
                <patternFill>
                  <bgColor theme="4" tint="0.59996337778862885"/>
                </patternFill>
              </fill>
            </x14:dxf>
          </x14:cfRule>
          <xm:sqref>K64 H64 E64</xm:sqref>
        </x14:conditionalFormatting>
        <x14:conditionalFormatting xmlns:xm="http://schemas.microsoft.com/office/excel/2006/main">
          <x14:cfRule type="expression" priority="101" id="{2F5FE66C-402C-419F-A385-A5F10F0F0BE9}">
            <xm:f>AND(OR(E$28=Defaults!$M$4, E$28=Defaults!$M$2),OR(E$58="Cut-A-Way",E$58="Heavy Rail",E$58="Light Rail",E$58="Over-Road Coach",E$58="Streetcar",E$58="Transit Bus",E$58="Van",E$58="DMU / EMU"))</xm:f>
            <x14:dxf>
              <fill>
                <patternFill>
                  <bgColor theme="9" tint="0.79998168889431442"/>
                </patternFill>
              </fill>
            </x14:dxf>
          </x14:cfRule>
          <xm:sqref>K65 H65 E65</xm:sqref>
        </x14:conditionalFormatting>
        <x14:conditionalFormatting xmlns:xm="http://schemas.microsoft.com/office/excel/2006/main">
          <x14:cfRule type="expression" priority="64" id="{FC0B13E8-CCD9-4D8F-B28F-F402A2CC441D}">
            <xm:f>NOT(OR($K$69=Defaults!$G$3,$K$69=Defaults!$G$4))</xm:f>
            <x14:dxf>
              <font>
                <color rgb="FFFF0000"/>
              </font>
              <fill>
                <patternFill>
                  <bgColor theme="1"/>
                </patternFill>
              </fill>
            </x14:dxf>
          </x14:cfRule>
          <xm:sqref>K71</xm:sqref>
        </x14:conditionalFormatting>
        <x14:conditionalFormatting xmlns:xm="http://schemas.microsoft.com/office/excel/2006/main">
          <x14:cfRule type="expression" priority="75" id="{5BDE1231-F46B-41D3-931F-93DB25A0AB44}">
            <xm:f>AND(NOT(ISBLANK($K$53)),OR($K$46=Defaults!$G$3,$K$46=Defaults!$G$5,$K$46=Defaults!$G$6,$K$46=Defaults!$G$8))</xm:f>
            <x14:dxf>
              <fill>
                <patternFill>
                  <bgColor theme="4" tint="0.39994506668294322"/>
                </patternFill>
              </fill>
            </x14:dxf>
          </x14:cfRule>
          <xm:sqref>K54:L54</xm:sqref>
        </x14:conditionalFormatting>
        <x14:conditionalFormatting xmlns:xm="http://schemas.microsoft.com/office/excel/2006/main">
          <x14:cfRule type="expression" priority="96" id="{DFB19B9C-E493-4D76-837C-D5A9C536D0E0}">
            <xm:f>E$28=Defaults!$M$2</xm:f>
            <x14:dxf>
              <fill>
                <patternFill>
                  <bgColor theme="4" tint="0.59996337778862885"/>
                </patternFill>
              </fill>
            </x14:dxf>
          </x14:cfRule>
          <xm:sqref>K58:L58 E58:F58 H58:I58</xm:sqref>
        </x14:conditionalFormatting>
        <x14:conditionalFormatting xmlns:xm="http://schemas.microsoft.com/office/excel/2006/main">
          <x14:cfRule type="expression" priority="98" id="{DD193CFA-6367-45BD-A743-55031969B2B0}">
            <xm:f>OR(E$28=Defaults!$M$4, AND(NOT(ISBLANK(E$58)),E$28=Defaults!$M$2))</xm:f>
            <x14:dxf>
              <fill>
                <patternFill>
                  <bgColor theme="9" tint="0.79998168889431442"/>
                </patternFill>
              </fill>
            </x14:dxf>
          </x14:cfRule>
          <xm:sqref>K61:L62 H61:I62 E61:F62</xm:sqref>
        </x14:conditionalFormatting>
        <x14:conditionalFormatting xmlns:xm="http://schemas.microsoft.com/office/excel/2006/main">
          <x14:cfRule type="expression" priority="100" id="{C8D12DFD-65B4-47E3-94A8-E10E7BCBA89E}">
            <xm:f>AND(OR(E$28=Defaults!$M$4,E$28=Defaults!$M$2),OR(E$58="Cut-A-Way",E$58="Over-Road Coach",E$58="Transit Bus",E$58="Van",E$58="DMU / EMU"))</xm:f>
            <x14:dxf>
              <fill>
                <patternFill>
                  <bgColor theme="9" tint="0.79998168889431442"/>
                </patternFill>
              </fill>
            </x14:dxf>
          </x14:cfRule>
          <xm:sqref>K63:L63 H63:I63 E63:F63</xm:sqref>
        </x14:conditionalFormatting>
        <x14:conditionalFormatting xmlns:xm="http://schemas.microsoft.com/office/excel/2006/main">
          <x14:cfRule type="expression" priority="95" id="{3345F551-47B5-490C-8094-B2CD0849B480}">
            <xm:f>OR(E$28=Defaults!$M$5)</xm:f>
            <x14:dxf>
              <fill>
                <patternFill>
                  <bgColor theme="9" tint="0.79998168889431442"/>
                </patternFill>
              </fill>
            </x14:dxf>
          </x14:cfRule>
          <xm:sqref>K69:L69 E69:F69 H69:I69</xm:sqref>
        </x14:conditionalFormatting>
        <x14:conditionalFormatting xmlns:xm="http://schemas.microsoft.com/office/excel/2006/main">
          <x14:cfRule type="expression" priority="99" id="{32FD239F-C865-4593-B793-F1A8569DFA7A}">
            <xm:f>OR(E$28=Defaults!$M$5, NOT(ISBLANK(E$69)))</xm:f>
            <x14:dxf>
              <fill>
                <patternFill>
                  <bgColor theme="9" tint="0.79998168889431442"/>
                </patternFill>
              </fill>
            </x14:dxf>
          </x14:cfRule>
          <xm:sqref>K72:L72 E72:F72 H72:I72</xm:sqref>
        </x14:conditionalFormatting>
        <x14:conditionalFormatting xmlns:xm="http://schemas.microsoft.com/office/excel/2006/main">
          <x14:cfRule type="expression" priority="70" id="{A07788C7-5C23-47D9-B6BF-E4F90E0454BF}">
            <xm:f>AND(NOT(ISBLANK($K$65)),OR($K$58=Defaults!$G$3,$K$58=Defaults!$G$5,$K$58=Defaults!$G$6,$K$58=Defaults!$G$8))</xm:f>
            <x14:dxf>
              <fill>
                <patternFill>
                  <bgColor theme="4" tint="0.39994506668294322"/>
                </patternFill>
              </fill>
            </x14:dxf>
          </x14:cfRule>
          <xm:sqref>K66:M66</xm:sqref>
        </x14:conditionalFormatting>
        <x14:conditionalFormatting xmlns:xm="http://schemas.microsoft.com/office/excel/2006/main">
          <x14:cfRule type="expression" priority="49" id="{6675744F-61F0-40AC-BB4F-FB334BEBE1C5}">
            <xm:f>OR(E$28=Defaults!$M$4, AND(NOT(ISBLANK(E$58)),E$28=Defaults!$M$2))</xm:f>
            <x14:dxf>
              <fill>
                <patternFill>
                  <bgColor theme="4" tint="0.59996337778862885"/>
                </patternFill>
              </fill>
            </x14:dxf>
          </x14:cfRule>
          <xm:sqref>L64 I64 F64</xm:sqref>
        </x14:conditionalFormatting>
        <x14:conditionalFormatting xmlns:xm="http://schemas.microsoft.com/office/excel/2006/main">
          <x14:cfRule type="expression" priority="104" id="{00A02E68-8BD3-47DB-A445-385B26E048E8}">
            <xm:f>AND(OR(E$28=Defaults!$M$4, E$28=Defaults!$M$2),OR(E$58="Cut-A-Way",E$58="Heavy Rail",E$58="Light Rail",E$58="Over-Road Coach",E$58="Streetcar",E$58="Transit Bus",E$58="Van",E$58="DMU / EMU"))</xm:f>
            <x14:dxf>
              <font>
                <b val="0"/>
                <i val="0"/>
              </font>
              <fill>
                <patternFill>
                  <bgColor theme="9" tint="0.79998168889431442"/>
                </patternFill>
              </fill>
            </x14:dxf>
          </x14:cfRule>
          <xm:sqref>L65 I65 F65</xm:sqref>
        </x14:conditionalFormatting>
        <x14:conditionalFormatting xmlns:xm="http://schemas.microsoft.com/office/excel/2006/main">
          <x14:cfRule type="expression" priority="97" id="{20F1729D-53B8-4E9F-9E11-3ADDEB7AB025}">
            <xm:f>E$28=Defaults!$M$3</xm:f>
            <x14:dxf>
              <fill>
                <patternFill>
                  <bgColor theme="4" tint="0.59996337778862885"/>
                </patternFill>
              </fill>
            </x14:dxf>
          </x14:cfRule>
          <xm:sqref>L77:L78 I77:I78 F77:F78</xm:sqref>
        </x14:conditionalFormatting>
      </x14:conditionalFormattings>
    </ext>
    <ext xmlns:x14="http://schemas.microsoft.com/office/spreadsheetml/2009/9/main" uri="{CCE6A557-97BC-4b89-ADB6-D9C93CAAB3DF}">
      <x14:dataValidations xmlns:xm="http://schemas.microsoft.com/office/excel/2006/main" count="31">
        <x14:dataValidation type="list" allowBlank="1" showInputMessage="1" showErrorMessage="1" promptTitle="Note:" prompt="Selection locks after hybrid is identified" xr:uid="{9D013C8A-7248-4FE7-999C-8F35A0881456}">
          <x14:formula1>
            <xm:f>IF($K$50="",IF($K$46=Defaults!$G$4,Defaults!$I$14:$I$23,IF(OR($K$46=Defaults!$G$6,$K$46=Defaults!$G$8),Defaults!$I$38:$I$39,fuel)),"")</xm:f>
          </x14:formula1>
          <xm:sqref>K49</xm:sqref>
        </x14:dataValidation>
        <x14:dataValidation type="list" allowBlank="1" showInputMessage="1" showErrorMessage="1" xr:uid="{0BDDA195-4A0A-4FC6-BEE2-D22E01C2D76E}">
          <x14:formula1>
            <xm:f>IF($E$69=Defaults!$G$4,Defaults!$I$14:$I$23,IF(OR($E$69=Defaults!$G$6,$E$69=Defaults!$G$8),Defaults!$I$37,fuel))</xm:f>
          </x14:formula1>
          <xm:sqref>E72</xm:sqref>
        </x14:dataValidation>
        <x14:dataValidation type="list" allowBlank="1" showInputMessage="1" showErrorMessage="1" xr:uid="{7EF2022B-70AD-4687-8196-811A9040A7B3}">
          <x14:formula1>
            <xm:f>IF($H$69=Defaults!$G$4,Defaults!$I$14:$I$23,IF(OR($H$69=Defaults!$G$6,$H$69=Defaults!$G$8),Defaults!$I$37,fuel))</xm:f>
          </x14:formula1>
          <xm:sqref>H72</xm:sqref>
        </x14:dataValidation>
        <x14:dataValidation type="list" allowBlank="1" showInputMessage="1" showErrorMessage="1" xr:uid="{77389829-337C-49BF-A63A-4A98261B4276}">
          <x14:formula1>
            <xm:f>IF($K$69=Defaults!$G$4,Defaults!$I$14:$I$23,IF(OR($K$69=Defaults!$G$6,$K$69=Defaults!$G$8),Defaults!$I$37,fuel))</xm:f>
          </x14:formula1>
          <xm:sqref>K72</xm:sqref>
        </x14:dataValidation>
        <x14:dataValidation type="list" allowBlank="1" showInputMessage="1" showErrorMessage="1" xr:uid="{BDDBDD69-FCA2-4E07-92D3-26D086E15AE2}">
          <x14:formula1>
            <xm:f>IF($E$58=Defaults!$G$4,Defaults!$I$13:$I$21,IF(OR($E$58=Defaults!$G$6,$E$58=Defaults!$G$8),Defaults!$I$37:$I$38,fuel))</xm:f>
          </x14:formula1>
          <xm:sqref>E61</xm:sqref>
        </x14:dataValidation>
        <x14:dataValidation type="list" allowBlank="1" showInputMessage="1" showErrorMessage="1" xr:uid="{772AAB57-AF39-4634-A0A4-CF9740244ED4}">
          <x14:formula1>
            <xm:f>IF($H$58=Defaults!$G$4,Defaults!$I$14:$I$23,IF(OR($H$58=Defaults!$G$6,$H$58=Defaults!$G$8),Defaults!$I$38:$I$39,fuel))</xm:f>
          </x14:formula1>
          <xm:sqref>H61</xm:sqref>
        </x14:dataValidation>
        <x14:dataValidation type="list" allowBlank="1" showInputMessage="1" showErrorMessage="1" xr:uid="{C4BD675F-5A3D-4AC1-9DF2-D82026000369}">
          <x14:formula1>
            <xm:f>IF($K$58=Defaults!$G$4,Defaults!$I$14:$I$23,IF(OR($K$58=Defaults!$G$6,$K$58=Defaults!$G$8),Defaults!$I$38:$I$39,fuel))</xm:f>
          </x14:formula1>
          <xm:sqref>K61</xm:sqref>
        </x14:dataValidation>
        <x14:dataValidation type="list" allowBlank="1" showInputMessage="1" showErrorMessage="1" promptTitle="Note:" prompt="Selection locks after hybrid is identified" xr:uid="{10C5AFE9-04BB-4E69-8720-46850E7F2F7D}">
          <x14:formula1>
            <xm:f>IF($E$50="",IF($E$46=Defaults!$G$4,Defaults!$I$14:$I$23,IF(OR($E$46=Defaults!$G$6,$E$46=Defaults!$G$8),Defaults!$I$37:$I$38,fuel)),"")</xm:f>
          </x14:formula1>
          <xm:sqref>E49</xm:sqref>
        </x14:dataValidation>
        <x14:dataValidation type="list" allowBlank="1" showInputMessage="1" showErrorMessage="1" promptTitle="Note:" prompt="Selection locks after hybrid is identified" xr:uid="{27BB8D70-65AF-4472-876B-28E6DAA60360}">
          <x14:formula1>
            <xm:f>IF($H$50="",IF($H$46=Defaults!$G$4,Defaults!$I$14:$I$23,IF(OR($H$46=Defaults!$G$6,$H$46=Defaults!$G$8),Defaults!$I$38:$I$39,fuel)),"")</xm:f>
          </x14:formula1>
          <xm:sqref>H49</xm:sqref>
        </x14:dataValidation>
        <x14:dataValidation type="list" allowBlank="1" showInputMessage="1" showErrorMessage="1" xr:uid="{97C4F58D-116A-49D1-977D-3479BE8E15B6}">
          <x14:formula1>
            <xm:f>IF(OR($E$49=Defaults!$I$5,$E$49=Defaults!$I$7,$E$49=Defaults!$I$11),Defaults!$G$15,yesno)</xm:f>
          </x14:formula1>
          <xm:sqref>E50</xm:sqref>
        </x14:dataValidation>
        <x14:dataValidation type="list" allowBlank="1" showInputMessage="1" showErrorMessage="1" xr:uid="{4F39F358-216C-4B69-AF7B-11545338EB8C}">
          <x14:formula1>
            <xm:f>IF(OR($H$49=Defaults!$I$5,$H$49=Defaults!$I$7,$H$49=Defaults!$I$11),Defaults!$G$15,yesno)</xm:f>
          </x14:formula1>
          <xm:sqref>H50</xm:sqref>
        </x14:dataValidation>
        <x14:dataValidation type="list" allowBlank="1" showInputMessage="1" showErrorMessage="1" xr:uid="{8B90774A-E2AF-49FC-A8F9-E144189AE176}">
          <x14:formula1>
            <xm:f>IF(OR($K$49=Defaults!$I$5,$K$49=Defaults!$I$7,$K$49=Defaults!$I$11),Defaults!$G$15,yesno)</xm:f>
          </x14:formula1>
          <xm:sqref>K50</xm:sqref>
        </x14:dataValidation>
        <x14:dataValidation type="list" allowBlank="1" showInputMessage="1" showErrorMessage="1" xr:uid="{8F7D0720-51C7-4309-B528-5316507EFDCD}">
          <x14:formula1>
            <xm:f>IF(OR($E$61=Defaults!$I$5,$E$61=Defaults!$I$7,$E$61=Defaults!$I$11),Defaults!$G$15,yesno)</xm:f>
          </x14:formula1>
          <xm:sqref>E62</xm:sqref>
        </x14:dataValidation>
        <x14:dataValidation type="list" allowBlank="1" showInputMessage="1" showErrorMessage="1" xr:uid="{CD58698B-4F50-45B4-A99C-9F8BBC300C63}">
          <x14:formula1>
            <xm:f>IF(OR($H$61=Defaults!$I$5,$H$61=Defaults!$I$7,$H$61=Defaults!$I$11),Defaults!$G$15,yesno)</xm:f>
          </x14:formula1>
          <xm:sqref>H62</xm:sqref>
        </x14:dataValidation>
        <x14:dataValidation type="list" allowBlank="1" showInputMessage="1" showErrorMessage="1" xr:uid="{BC3321B4-D188-4A31-A984-8648F5D39665}">
          <x14:formula1>
            <xm:f>IF(OR($K$61=Defaults!$I$5,$K$61=Defaults!$I$7,$K$61=Defaults!$I$11),Defaults!$G$15,yesno)</xm:f>
          </x14:formula1>
          <xm:sqref>K62</xm:sqref>
        </x14:dataValidation>
        <x14:dataValidation type="list" allowBlank="1" showInputMessage="1" showErrorMessage="1" xr:uid="{2D211A05-E82F-4AA2-9900-EDBA484C7121}">
          <x14:formula1>
            <xm:f>Defaults!$N$2:$N$18</xm:f>
          </x14:formula1>
          <xm:sqref>K20:L20 E23:F23 H23:I23 H20:I20 K23:L23</xm:sqref>
        </x14:dataValidation>
        <x14:dataValidation type="list" allowBlank="1" showInputMessage="1" showErrorMessage="1" promptTitle="Leave blank if," prompt="No additional GGRF funding has or will be requested from another CCI Program for this project." xr:uid="{70A9DDB3-2DCE-4B78-BA01-D337613E9B4C}">
          <x14:formula1>
            <xm:f>Defaults!$N$2:$N$18</xm:f>
          </x14:formula1>
          <xm:sqref>E20:F20</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1D700CD2-434A-432F-AF8C-595B53FE6018}">
          <x14:formula1>
            <xm:f>IF(OR($H$28=Defaults!$M$2,$H$28=Defaults!$M$3),AND(H40&gt;0)," ")</xm:f>
          </x14:formula1>
          <xm:sqref>H40</xm:sqref>
        </x14:dataValidation>
        <x14:dataValidation type="custom" allowBlank="1" showInputMessage="1" showErrorMessage="1" errorTitle="Invalid Input:" error="Value must be greater than 0." xr:uid="{1887BD42-8876-4A84-B82E-190B0F260897}">
          <x14:formula1>
            <xm:f>IF(OR(H$28=Defaults!$M$2,H$28=Defaults!$M$3),H37&gt;=0," ")</xm:f>
          </x14:formula1>
          <xm:sqref>H37 K37</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306A2E8E-AEF7-462C-B5EB-4315BDF193F9}">
          <x14:formula1>
            <xm:f>IF(OR($E$28=Defaults!$M$2,$E$28=Defaults!$M$3),AND(E40&gt;0)," ")</xm:f>
          </x14:formula1>
          <xm:sqref>E40</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296146C1-CC62-4791-95CF-559BEA4A5A4C}">
          <x14:formula1>
            <xm:f>IF(OR($E$28=Defaults!$M$2,$E$28=Defaults!$M$3),AND(E39&gt;=0, E39&lt;=1)," ")</xm:f>
          </x14:formula1>
          <xm:sqref>E39</xm:sqref>
        </x14:dataValidation>
        <x14:dataValidation type="custom" operator="greaterThan" allowBlank="1" showInputMessage="1" showErrorMessage="1" xr:uid="{C9E36A4E-EC6F-4AC5-A22F-FCA7AFF02936}">
          <x14:formula1>
            <xm:f>IF(OR(E$28=Defaults!$M$2,E$28=Defaults!$M$3),E37&gt;=0," ")</xm:f>
          </x14:formula1>
          <xm:sqref>E37</xm:sqref>
        </x14:dataValidation>
        <x14:dataValidation type="list" allowBlank="1" showInputMessage="1" showErrorMessage="1" xr:uid="{9A2C21EF-9DE5-4102-9124-F01617659F0C}">
          <x14:formula1>
            <xm:f>Defaults!$F$2:$F$9</xm:f>
          </x14:formula1>
          <xm:sqref>E29:F29 H29:I29 K29:L29</xm:sqref>
        </x14:dataValidation>
        <x14:dataValidation type="list" allowBlank="1" showInputMessage="1" showErrorMessage="1" xr:uid="{C9DB30F9-CC20-4F43-A8C4-8A0E03B8D033}">
          <x14:formula1>
            <xm:f>OFFSET(Defaults!$B$2,$K$32-2015,0,IF(2080-$K$32&lt;50,2080-$K$32,50))</xm:f>
          </x14:formula1>
          <xm:sqref>K33</xm:sqref>
        </x14:dataValidation>
        <x14:dataValidation type="custom" allowBlank="1" showInputMessage="1" showErrorMessage="1" promptTitle="If unknown, use look up tables:" prompt="Quantification Methodlogy Appendix C includes look up tables by agency by mode, Table C-1, and by statewide average by mode, Table C-2." xr:uid="{B58E13DC-E7A0-45A2-A146-93078F027352}">
          <x14:formula1>
            <xm:f>IF(OR(E$28=Defaults!$M$2,E$28=Defaults!$M$3),E41&gt;0," ")</xm:f>
          </x14:formula1>
          <xm:sqref>E41</xm:sqref>
        </x14:dataValidation>
        <x14:dataValidation type="list" allowBlank="1" showInputMessage="1" showErrorMessage="1" xr:uid="{5B164260-4992-41DF-AA52-8883B274B608}">
          <x14:formula1>
            <xm:f>OFFSET(Defaults!$B$2,$E$32-2015,0,IF(2080-$E$32&lt;50,2080-$E$32,50))</xm:f>
          </x14:formula1>
          <xm:sqref>E33</xm:sqref>
        </x14:dataValidation>
        <x14:dataValidation type="list" allowBlank="1" showInputMessage="1" showErrorMessage="1" xr:uid="{9E04BAE4-9AC3-43D3-B1CF-CD548E7FF8F0}">
          <x14:formula1>
            <xm:f>OFFSET(Defaults!$B$2,$H$32-2015,0,IF(2080-$H$32&lt;50,2080-$H$32,50))</xm:f>
          </x14:formula1>
          <xm:sqref>H33</xm:sqref>
        </x14:dataValidation>
        <x14:dataValidation type="list" allowBlank="1" showInputMessage="1" showErrorMessage="1" xr:uid="{EF590143-0C08-4653-9771-5AD04D637F0F}">
          <x14:formula1>
            <xm:f>'Rail C&amp;T EF'!$A$15:$A$22</xm:f>
          </x14:formula1>
          <xm:sqref>E59 H70 E70 K59 K47 H59 E47 H47 K70</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BFEB3C65-6655-4DD8-969A-BA7CA22F69D2}">
          <x14:formula1>
            <xm:f>IF(OR($K$28=Defaults!$M$2,$K$28=Defaults!$M$3),AND(K40&gt;0)," ")</xm:f>
          </x14:formula1>
          <xm:sqref>K40</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CF5CF081-922D-40B3-B5D0-7C0D6B4CAF28}">
          <x14:formula1>
            <xm:f>IF(OR(H$28=Defaults!$M$2,H$28=Defaults!$M$3),AND(H39&gt;=0, H39&lt;=1)," ")</xm:f>
          </x14:formula1>
          <xm:sqref>K39 H39</xm:sqref>
        </x14:dataValidation>
        <x14:dataValidation type="custom" operator="greaterThan" allowBlank="1" showInputMessage="1" showErrorMessage="1" errorTitle="Invalid Input:" error="Value must be greater than 0." xr:uid="{05957491-780A-42B8-9097-0DB41D3B27E9}">
          <x14:formula1>
            <xm:f>IF(OR(E$28=Defaults!$M$2,E$28=Defaults!$M$3),E38&gt;0," ")</xm:f>
          </x14:formula1>
          <xm:sqref>H38 E38 K38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0AD52-5031-416F-9E8B-25BE41079979}">
  <sheetPr>
    <tabColor theme="9" tint="0.79998168889431442"/>
  </sheetPr>
  <dimension ref="A1:AJ109"/>
  <sheetViews>
    <sheetView showGridLines="0" topLeftCell="B1" zoomScaleNormal="100" zoomScaleSheetLayoutView="55" workbookViewId="0">
      <selection activeCell="B8" sqref="B8:B9"/>
    </sheetView>
  </sheetViews>
  <sheetFormatPr defaultColWidth="9.08984375" defaultRowHeight="14" x14ac:dyDescent="0.3"/>
  <cols>
    <col min="1" max="1" width="2.90625" style="466" hidden="1" customWidth="1"/>
    <col min="2" max="2" width="24.453125" style="466" customWidth="1"/>
    <col min="3" max="3" width="63.453125" style="466" customWidth="1"/>
    <col min="4" max="4" width="20.08984375" style="466" hidden="1" customWidth="1"/>
    <col min="5" max="5" width="35.453125" style="466" customWidth="1"/>
    <col min="6" max="6" width="35.453125" style="466" hidden="1" customWidth="1"/>
    <col min="7" max="7" width="11.453125" style="466" customWidth="1"/>
    <col min="8" max="8" width="35.453125" style="466" customWidth="1"/>
    <col min="9" max="9" width="35.453125" style="466" hidden="1" customWidth="1"/>
    <col min="10" max="10" width="11.453125" style="466" customWidth="1"/>
    <col min="11" max="11" width="35.453125" style="466" customWidth="1"/>
    <col min="12" max="12" width="35.453125" style="466" hidden="1" customWidth="1"/>
    <col min="13" max="13" width="11.453125" style="466" customWidth="1"/>
    <col min="14" max="14" width="9.453125" style="466" customWidth="1"/>
    <col min="15" max="18" width="26.90625" style="466" hidden="1" customWidth="1"/>
    <col min="19" max="19" width="9.08984375" style="466"/>
    <col min="20" max="20" width="24.453125" style="466" customWidth="1"/>
    <col min="21" max="16384" width="9.08984375" style="466"/>
  </cols>
  <sheetData>
    <row r="1" spans="2:36" s="412" customFormat="1" ht="20.5" x14ac:dyDescent="0.45">
      <c r="E1" s="413"/>
      <c r="V1" s="461"/>
      <c r="W1" s="461"/>
      <c r="X1" s="461"/>
      <c r="Y1" s="461"/>
    </row>
    <row r="2" spans="2:36" s="412" customFormat="1" ht="20.5" x14ac:dyDescent="0.45">
      <c r="E2" s="413"/>
      <c r="I2" s="462"/>
      <c r="J2" s="462"/>
      <c r="N2" s="462"/>
      <c r="Q2" s="462"/>
      <c r="V2" s="461"/>
      <c r="W2" s="461"/>
      <c r="X2" s="461"/>
      <c r="Y2" s="461"/>
    </row>
    <row r="3" spans="2:36" s="412" customFormat="1" ht="21" thickBot="1" x14ac:dyDescent="0.5">
      <c r="E3" s="413"/>
      <c r="I3" s="462"/>
      <c r="J3" s="462"/>
      <c r="N3" s="462"/>
      <c r="Q3" s="462"/>
      <c r="V3" s="461"/>
      <c r="W3" s="461"/>
      <c r="X3" s="461"/>
      <c r="Y3" s="461"/>
    </row>
    <row r="4" spans="2:36" s="412" customFormat="1" ht="20.5" x14ac:dyDescent="0.45">
      <c r="E4" s="413"/>
      <c r="I4" s="462"/>
      <c r="J4" s="1543" t="s">
        <v>24</v>
      </c>
      <c r="K4" s="1545"/>
      <c r="L4" s="1549"/>
      <c r="N4" s="462"/>
      <c r="Q4" s="462"/>
      <c r="V4" s="461"/>
      <c r="W4" s="461"/>
      <c r="X4" s="461"/>
      <c r="Y4" s="461"/>
    </row>
    <row r="5" spans="2:36" s="412" customFormat="1" ht="20.5" x14ac:dyDescent="0.45">
      <c r="E5" s="413"/>
      <c r="J5" s="1544" t="s">
        <v>25</v>
      </c>
      <c r="K5" s="1546" t="s">
        <v>26</v>
      </c>
      <c r="L5" s="1550"/>
      <c r="V5" s="461"/>
      <c r="W5" s="461"/>
      <c r="X5" s="461"/>
      <c r="Y5" s="461"/>
    </row>
    <row r="6" spans="2:36" s="412" customFormat="1" ht="20.5" x14ac:dyDescent="0.45">
      <c r="B6" s="414"/>
      <c r="E6" s="413"/>
      <c r="J6" s="1553" t="s">
        <v>27</v>
      </c>
      <c r="K6" s="1547" t="s">
        <v>28</v>
      </c>
      <c r="L6" s="1549"/>
      <c r="V6" s="461"/>
      <c r="W6" s="461"/>
      <c r="X6" s="461"/>
      <c r="Y6" s="461"/>
    </row>
    <row r="7" spans="2:36" s="412" customFormat="1" ht="18" customHeight="1" x14ac:dyDescent="0.45">
      <c r="B7" s="488" t="s">
        <v>29</v>
      </c>
      <c r="C7" s="488"/>
      <c r="D7" s="488"/>
      <c r="E7" s="487"/>
      <c r="F7" s="487"/>
      <c r="G7" s="487"/>
      <c r="J7" s="1554" t="s">
        <v>30</v>
      </c>
      <c r="K7" s="1546" t="s">
        <v>31</v>
      </c>
      <c r="L7" s="1551"/>
      <c r="V7" s="461"/>
      <c r="W7" s="461"/>
      <c r="X7" s="461"/>
      <c r="Y7" s="461"/>
    </row>
    <row r="8" spans="2:36" s="412" customFormat="1" ht="18" customHeight="1" thickBot="1" x14ac:dyDescent="0.5">
      <c r="B8" s="1332" t="s">
        <v>6192</v>
      </c>
      <c r="C8" s="532"/>
      <c r="D8" s="532"/>
      <c r="E8" s="533"/>
      <c r="F8" s="533"/>
      <c r="G8" s="117"/>
      <c r="J8" s="1555" t="s">
        <v>32</v>
      </c>
      <c r="K8" s="1548" t="s">
        <v>33</v>
      </c>
      <c r="L8" s="1552"/>
      <c r="V8" s="461"/>
      <c r="W8" s="461"/>
      <c r="X8" s="461"/>
      <c r="Y8" s="461"/>
    </row>
    <row r="9" spans="2:36" s="412" customFormat="1" ht="18" customHeight="1" x14ac:dyDescent="0.45">
      <c r="B9" s="534" t="s">
        <v>6210</v>
      </c>
      <c r="C9" s="530"/>
      <c r="D9" s="530"/>
      <c r="E9" s="531"/>
      <c r="F9" s="531"/>
      <c r="G9" s="1510"/>
      <c r="V9" s="461"/>
      <c r="W9" s="461"/>
      <c r="X9" s="461"/>
      <c r="Y9" s="461"/>
    </row>
    <row r="10" spans="2:36" s="412" customFormat="1" ht="18" customHeight="1" x14ac:dyDescent="0.45">
      <c r="O10" s="725" t="s">
        <v>34</v>
      </c>
      <c r="P10" s="725"/>
      <c r="V10" s="461"/>
      <c r="W10" s="461"/>
      <c r="X10" s="461"/>
      <c r="Y10" s="461"/>
    </row>
    <row r="11" spans="2:36" s="117" customFormat="1" ht="36" customHeight="1" x14ac:dyDescent="0.45">
      <c r="B11" s="440" t="s">
        <v>35</v>
      </c>
      <c r="C11" s="1556" t="str">
        <f>IF('Project Info'!E13="","",'Project Info'!E13)</f>
        <v/>
      </c>
      <c r="D11" s="574"/>
      <c r="E11" s="575"/>
      <c r="F11" s="575"/>
      <c r="G11" s="791"/>
      <c r="H11" s="412"/>
      <c r="I11" s="412"/>
      <c r="J11" s="412"/>
      <c r="AI11" s="121"/>
      <c r="AJ11" s="121"/>
    </row>
    <row r="12" spans="2:36" s="117" customFormat="1" ht="20.5" x14ac:dyDescent="0.45">
      <c r="B12" s="790"/>
      <c r="C12" s="791"/>
      <c r="D12" s="791"/>
      <c r="E12" s="791"/>
      <c r="F12" s="791"/>
      <c r="G12" s="791"/>
      <c r="H12" s="412"/>
      <c r="I12" s="412"/>
      <c r="J12" s="412"/>
      <c r="O12" s="639" t="s">
        <v>36</v>
      </c>
      <c r="P12" s="639" t="s">
        <v>36</v>
      </c>
      <c r="Q12" s="639" t="s">
        <v>37</v>
      </c>
      <c r="R12" s="639" t="s">
        <v>37</v>
      </c>
      <c r="AI12" s="121"/>
      <c r="AJ12" s="121"/>
    </row>
    <row r="13" spans="2:36" s="463" customFormat="1" ht="18" customHeight="1" thickBot="1" x14ac:dyDescent="0.4">
      <c r="D13" s="724" t="s">
        <v>38</v>
      </c>
      <c r="E13" s="647"/>
      <c r="F13" s="647"/>
      <c r="G13" s="647"/>
      <c r="H13" s="648"/>
      <c r="I13" s="648"/>
      <c r="J13" s="648"/>
      <c r="K13" s="648"/>
      <c r="L13" s="648"/>
      <c r="M13" s="638"/>
      <c r="O13" s="794" t="s">
        <v>39</v>
      </c>
      <c r="P13" s="794"/>
      <c r="Q13" s="794" t="s">
        <v>39</v>
      </c>
      <c r="R13" s="795"/>
    </row>
    <row r="14" spans="2:36" ht="16" thickBot="1" x14ac:dyDescent="0.35">
      <c r="B14" s="464" t="s">
        <v>40</v>
      </c>
      <c r="C14" s="465" t="s">
        <v>41</v>
      </c>
      <c r="D14" s="646" t="s">
        <v>42</v>
      </c>
      <c r="E14" s="649" t="str">
        <f ca="1">MID(CELL("filename",B1),FIND("]",CELL("filename",B1))+1,255)&amp;": Subcomponent 1"</f>
        <v>Quantifiable Component 4: Subcomponent 1</v>
      </c>
      <c r="F14" s="1468"/>
      <c r="G14" s="650"/>
      <c r="H14" s="649" t="str">
        <f ca="1">MID(CELL("filename",B1),FIND("]",CELL("filename",B1))+1,255)&amp;": Subcomponent 2"</f>
        <v>Quantifiable Component 4: Subcomponent 2</v>
      </c>
      <c r="I14" s="1481"/>
      <c r="J14" s="651"/>
      <c r="K14" s="649" t="str">
        <f ca="1">MID(CELL("filename",B1),FIND("]",CELL("filename",B1))+1,255)&amp;": Subcomponent 3"</f>
        <v>Quantifiable Component 4: Subcomponent 3</v>
      </c>
      <c r="L14" s="1501"/>
      <c r="M14" s="1504"/>
      <c r="O14" s="792" t="s">
        <v>43</v>
      </c>
      <c r="P14" s="792"/>
      <c r="Q14" s="793"/>
      <c r="R14" s="793"/>
    </row>
    <row r="15" spans="2:36" ht="67.5" customHeight="1" thickBot="1" x14ac:dyDescent="0.4">
      <c r="B15" s="467" t="s">
        <v>44</v>
      </c>
      <c r="C15" s="468" t="s">
        <v>45</v>
      </c>
      <c r="D15" s="577" t="s">
        <v>46</v>
      </c>
      <c r="E15" s="1626"/>
      <c r="F15" s="1627"/>
      <c r="G15" s="1511" t="str">
        <f>IF(ISBLANK(E15),"(Required)","")</f>
        <v>(Required)</v>
      </c>
      <c r="H15" s="1612"/>
      <c r="I15" s="1613"/>
      <c r="J15" s="1536" t="str">
        <f>IF(ISBLANK(H15),"(Optional)","")</f>
        <v>(Optional)</v>
      </c>
      <c r="K15" s="1612"/>
      <c r="L15" s="1613"/>
      <c r="M15" s="1536" t="str">
        <f>IF(ISBLANK(K15),"(Optional)","")</f>
        <v>(Optional)</v>
      </c>
      <c r="N15" s="638"/>
      <c r="O15" s="640" t="s">
        <v>43</v>
      </c>
      <c r="P15" s="797" t="s">
        <v>47</v>
      </c>
      <c r="Q15" s="641"/>
      <c r="R15" s="797" t="s">
        <v>48</v>
      </c>
    </row>
    <row r="16" spans="2:36" ht="16" thickBot="1" x14ac:dyDescent="0.35">
      <c r="B16" s="617" t="s">
        <v>49</v>
      </c>
      <c r="C16" s="618"/>
      <c r="D16" s="618"/>
      <c r="E16" s="618"/>
      <c r="F16" s="618"/>
      <c r="G16" s="618"/>
      <c r="H16" s="618"/>
      <c r="I16" s="618"/>
      <c r="J16" s="618"/>
      <c r="K16" s="618"/>
      <c r="L16" s="618"/>
      <c r="M16" s="619"/>
      <c r="N16" s="483"/>
      <c r="O16" s="640" t="s">
        <v>43</v>
      </c>
      <c r="P16" s="640"/>
      <c r="Q16" s="641"/>
      <c r="R16" s="641"/>
    </row>
    <row r="17" spans="2:18" ht="33.75" customHeight="1" x14ac:dyDescent="0.35">
      <c r="B17" s="469" t="s">
        <v>50</v>
      </c>
      <c r="C17" s="470" t="s">
        <v>51</v>
      </c>
      <c r="D17" s="606" t="s">
        <v>46</v>
      </c>
      <c r="E17" s="1628"/>
      <c r="F17" s="1614"/>
      <c r="G17" s="1512" t="str">
        <f>IF(ISBLANK(E17),"(Required)","")</f>
        <v>(Required)</v>
      </c>
      <c r="H17" s="1620"/>
      <c r="I17" s="1614"/>
      <c r="J17" s="1537" t="str">
        <f>IF(ISBLANK(H17),"(Required)","")</f>
        <v>(Required)</v>
      </c>
      <c r="K17" s="1614"/>
      <c r="L17" s="1614"/>
      <c r="M17" s="1538" t="str">
        <f>IF(ISBLANK(K17),"(Required)","")</f>
        <v>(Required)</v>
      </c>
      <c r="N17" s="483"/>
      <c r="O17" s="640" t="s">
        <v>43</v>
      </c>
      <c r="P17" s="802" t="e">
        <f>#REF!</f>
        <v>#REF!</v>
      </c>
      <c r="Q17" s="641"/>
      <c r="R17" s="796" t="s">
        <v>52</v>
      </c>
    </row>
    <row r="18" spans="2:18" ht="48" customHeight="1" thickBot="1" x14ac:dyDescent="0.4">
      <c r="B18" s="471" t="s">
        <v>53</v>
      </c>
      <c r="C18" s="472" t="s">
        <v>54</v>
      </c>
      <c r="D18" s="577" t="s">
        <v>46</v>
      </c>
      <c r="E18" s="1629"/>
      <c r="F18" s="1615"/>
      <c r="G18" s="1513" t="str">
        <f>IF(ISBLANK(E18),"(Required)","")</f>
        <v>(Required)</v>
      </c>
      <c r="H18" s="1621"/>
      <c r="I18" s="1615"/>
      <c r="J18" s="1514" t="str">
        <f>IF(ISBLANK(H18),"(Required)","")</f>
        <v>(Required)</v>
      </c>
      <c r="K18" s="1615"/>
      <c r="L18" s="1615"/>
      <c r="M18" s="1514" t="str">
        <f>IF(ISBLANK(K18),"(Required)","")</f>
        <v>(Required)</v>
      </c>
      <c r="N18" s="483"/>
      <c r="O18" s="640" t="s">
        <v>43</v>
      </c>
      <c r="P18" s="802" t="e">
        <f>#REF!</f>
        <v>#REF!</v>
      </c>
      <c r="Q18" s="641"/>
      <c r="R18" s="796" t="s">
        <v>52</v>
      </c>
    </row>
    <row r="19" spans="2:18" ht="16.5" customHeight="1" x14ac:dyDescent="0.3">
      <c r="B19" s="625" t="s">
        <v>55</v>
      </c>
      <c r="C19" s="620"/>
      <c r="D19" s="620"/>
      <c r="E19" s="620"/>
      <c r="F19" s="620"/>
      <c r="G19" s="1488"/>
      <c r="H19" s="620"/>
      <c r="I19" s="620"/>
      <c r="J19" s="621"/>
      <c r="K19" s="620"/>
      <c r="L19" s="620"/>
      <c r="M19" s="1505"/>
      <c r="N19" s="483"/>
      <c r="O19" s="640" t="s">
        <v>43</v>
      </c>
      <c r="P19" s="640"/>
      <c r="Q19" s="641"/>
      <c r="R19" s="641"/>
    </row>
    <row r="20" spans="2:18" ht="33.75" customHeight="1" x14ac:dyDescent="0.35">
      <c r="B20" s="607" t="s">
        <v>56</v>
      </c>
      <c r="C20" s="608" t="s">
        <v>57</v>
      </c>
      <c r="D20" s="605" t="s">
        <v>58</v>
      </c>
      <c r="E20" s="1630"/>
      <c r="F20" s="1616"/>
      <c r="G20" s="1515" t="str">
        <f>IF(ISBLANK(E20),"(Optional)","")</f>
        <v>(Optional)</v>
      </c>
      <c r="H20" s="1622"/>
      <c r="I20" s="1616"/>
      <c r="J20" s="1516" t="str">
        <f>IF(ISBLANK(H20),"(Optional)","")</f>
        <v>(Optional)</v>
      </c>
      <c r="K20" s="1616"/>
      <c r="L20" s="1616"/>
      <c r="M20" s="1516" t="str">
        <f>IF(ISBLANK(K20),"(Optional)","")</f>
        <v>(Optional)</v>
      </c>
      <c r="N20" s="483"/>
      <c r="O20" s="640" t="s">
        <v>43</v>
      </c>
      <c r="P20" s="803" t="s">
        <v>59</v>
      </c>
      <c r="Q20" s="641"/>
      <c r="R20" s="641"/>
    </row>
    <row r="21" spans="2:18" ht="33.75" customHeight="1" thickBot="1" x14ac:dyDescent="0.4">
      <c r="B21" s="473" t="s">
        <v>60</v>
      </c>
      <c r="C21" s="474" t="s">
        <v>61</v>
      </c>
      <c r="D21" s="605" t="s">
        <v>58</v>
      </c>
      <c r="E21" s="1631"/>
      <c r="F21" s="1617"/>
      <c r="G21" s="1517" t="str">
        <f>IF(ISBLANK(E21),"(Optional)","")</f>
        <v>(Optional)</v>
      </c>
      <c r="H21" s="1623"/>
      <c r="I21" s="1617"/>
      <c r="J21" s="1518" t="str">
        <f>IF(ISBLANK(H21),"(Optional)","")</f>
        <v>(Optional)</v>
      </c>
      <c r="K21" s="1617"/>
      <c r="L21" s="1617"/>
      <c r="M21" s="1516" t="str">
        <f>IF(ISBLANK(K21),"(Optional)","")</f>
        <v>(Optional)</v>
      </c>
      <c r="N21" s="483"/>
      <c r="O21" s="640" t="s">
        <v>43</v>
      </c>
      <c r="P21" s="803" t="e">
        <f>#REF!-#REF!</f>
        <v>#REF!</v>
      </c>
      <c r="Q21" s="641"/>
      <c r="R21" s="797" t="s">
        <v>52</v>
      </c>
    </row>
    <row r="22" spans="2:18" ht="16.5" customHeight="1" x14ac:dyDescent="0.3">
      <c r="B22" s="624" t="s">
        <v>62</v>
      </c>
      <c r="C22" s="622"/>
      <c r="D22" s="622"/>
      <c r="E22" s="622"/>
      <c r="F22" s="622"/>
      <c r="G22" s="622"/>
      <c r="H22" s="622"/>
      <c r="I22" s="622"/>
      <c r="J22" s="623"/>
      <c r="K22" s="622"/>
      <c r="L22" s="622"/>
      <c r="M22" s="623"/>
      <c r="N22" s="483"/>
      <c r="O22" s="640" t="s">
        <v>43</v>
      </c>
      <c r="P22" s="640"/>
      <c r="Q22" s="641"/>
      <c r="R22" s="641"/>
    </row>
    <row r="23" spans="2:18" ht="33.75" customHeight="1" x14ac:dyDescent="0.3">
      <c r="B23" s="475" t="s">
        <v>56</v>
      </c>
      <c r="C23" s="476" t="s">
        <v>57</v>
      </c>
      <c r="D23" s="605" t="s">
        <v>58</v>
      </c>
      <c r="E23" s="1630"/>
      <c r="F23" s="1616"/>
      <c r="G23" s="1515" t="str">
        <f>IF(ISBLANK(E23),"(Optional)","")</f>
        <v>(Optional)</v>
      </c>
      <c r="H23" s="1622"/>
      <c r="I23" s="1616"/>
      <c r="J23" s="1516" t="str">
        <f>IF(ISBLANK(H23),"(Optional)","")</f>
        <v>(Optional)</v>
      </c>
      <c r="K23" s="1616"/>
      <c r="L23" s="1616"/>
      <c r="M23" s="1516" t="str">
        <f>IF(ISBLANK(K23),"(Required)","")</f>
        <v>(Required)</v>
      </c>
      <c r="N23" s="483"/>
      <c r="O23" s="640" t="s">
        <v>43</v>
      </c>
      <c r="P23" s="640"/>
      <c r="Q23" s="641"/>
      <c r="R23" s="641"/>
    </row>
    <row r="24" spans="2:18" ht="33.75" customHeight="1" x14ac:dyDescent="0.35">
      <c r="B24" s="477" t="s">
        <v>60</v>
      </c>
      <c r="C24" s="476" t="s">
        <v>63</v>
      </c>
      <c r="D24" s="605" t="s">
        <v>58</v>
      </c>
      <c r="E24" s="1618"/>
      <c r="F24" s="1610"/>
      <c r="G24" s="1515" t="str">
        <f>IF(ISBLANK(E24),"(Optional)","")</f>
        <v>(Optional)</v>
      </c>
      <c r="H24" s="1624"/>
      <c r="I24" s="1610"/>
      <c r="J24" s="1519" t="str">
        <f>IF(ISBLANK(H24),"(Optional)","")</f>
        <v>(Optional)</v>
      </c>
      <c r="K24" s="1610"/>
      <c r="L24" s="1610"/>
      <c r="M24" s="1516" t="str">
        <f>IF(ISBLANK(K24),"(Required)","")</f>
        <v>(Required)</v>
      </c>
      <c r="N24" s="483"/>
      <c r="O24" s="640" t="s">
        <v>43</v>
      </c>
      <c r="P24" s="803" t="e">
        <f>#REF!-#REF!</f>
        <v>#REF!</v>
      </c>
      <c r="Q24" s="641"/>
      <c r="R24" s="641"/>
    </row>
    <row r="25" spans="2:18" ht="52.5" customHeight="1" thickBot="1" x14ac:dyDescent="0.35">
      <c r="B25" s="610" t="s">
        <v>64</v>
      </c>
      <c r="C25" s="576" t="s">
        <v>65</v>
      </c>
      <c r="D25" s="611" t="s">
        <v>66</v>
      </c>
      <c r="E25" s="1619" t="str">
        <f>IF(E17="","",E24+E21+E17)</f>
        <v/>
      </c>
      <c r="F25" s="1611"/>
      <c r="G25" s="1539"/>
      <c r="H25" s="1625" t="str">
        <f>IF(H17="","",H24+H21+H17)</f>
        <v/>
      </c>
      <c r="I25" s="1611"/>
      <c r="J25" s="1539"/>
      <c r="K25" s="1611" t="str">
        <f>IF(K17="","",K24+K21+K17)</f>
        <v/>
      </c>
      <c r="L25" s="1611"/>
      <c r="M25" s="1540"/>
      <c r="N25" s="483"/>
      <c r="O25" s="640" t="s">
        <v>43</v>
      </c>
      <c r="P25" s="640"/>
      <c r="Q25" s="641"/>
      <c r="R25" s="641"/>
    </row>
    <row r="26" spans="2:18" ht="16.5" customHeight="1" thickBot="1" x14ac:dyDescent="0.35">
      <c r="B26" s="612" t="s">
        <v>67</v>
      </c>
      <c r="C26" s="613"/>
      <c r="D26" s="614"/>
      <c r="E26" s="613"/>
      <c r="F26" s="613"/>
      <c r="G26" s="615"/>
      <c r="H26" s="613"/>
      <c r="I26" s="613"/>
      <c r="J26" s="615"/>
      <c r="K26" s="613"/>
      <c r="L26" s="613"/>
      <c r="M26" s="615"/>
      <c r="N26" s="483"/>
      <c r="O26" s="641"/>
      <c r="P26" s="641"/>
      <c r="Q26" s="641"/>
      <c r="R26" s="641"/>
    </row>
    <row r="27" spans="2:18" ht="15.5" x14ac:dyDescent="0.3">
      <c r="B27" s="616" t="s">
        <v>68</v>
      </c>
      <c r="C27" s="627" t="s">
        <v>41</v>
      </c>
      <c r="D27" s="626" t="s">
        <v>42</v>
      </c>
      <c r="E27" s="1640" t="s">
        <v>40</v>
      </c>
      <c r="F27" s="1636"/>
      <c r="G27" s="1467"/>
      <c r="H27" s="1636" t="s">
        <v>40</v>
      </c>
      <c r="I27" s="1636"/>
      <c r="J27" s="1467"/>
      <c r="K27" s="1636" t="s">
        <v>40</v>
      </c>
      <c r="L27" s="1636"/>
      <c r="M27" s="1506"/>
      <c r="N27" s="483"/>
      <c r="O27" s="641"/>
      <c r="P27" s="641"/>
      <c r="Q27" s="641"/>
      <c r="R27" s="641"/>
    </row>
    <row r="28" spans="2:18" ht="48.75" customHeight="1" x14ac:dyDescent="0.3">
      <c r="B28" s="477" t="s">
        <v>69</v>
      </c>
      <c r="C28" s="478" t="s">
        <v>70</v>
      </c>
      <c r="D28" s="609" t="s">
        <v>71</v>
      </c>
      <c r="E28" s="1641"/>
      <c r="F28" s="1638"/>
      <c r="G28" s="1520" t="str">
        <f>IF(ISBLANK(E28),"(Required)","")</f>
        <v>(Required)</v>
      </c>
      <c r="H28" s="1637"/>
      <c r="I28" s="1638"/>
      <c r="J28" s="1521" t="str">
        <f t="shared" ref="J28:J33" si="0">IF(ISBLANK(H28),"(Required)","")</f>
        <v>(Required)</v>
      </c>
      <c r="K28" s="1638"/>
      <c r="L28" s="1638"/>
      <c r="M28" s="1522" t="str">
        <f>IF(ISBLANK(K28),"(Required)","")</f>
        <v>(Required)</v>
      </c>
      <c r="N28" s="483"/>
      <c r="O28" s="641" t="s">
        <v>72</v>
      </c>
      <c r="P28" s="641"/>
      <c r="Q28" s="641" t="s">
        <v>73</v>
      </c>
      <c r="R28" s="641"/>
    </row>
    <row r="29" spans="2:18" ht="63.75" customHeight="1" x14ac:dyDescent="0.3">
      <c r="B29" s="477" t="s">
        <v>74</v>
      </c>
      <c r="C29" s="478" t="s">
        <v>75</v>
      </c>
      <c r="D29" s="609" t="s">
        <v>71</v>
      </c>
      <c r="E29" s="1632"/>
      <c r="F29" s="1633"/>
      <c r="G29" s="1522" t="str">
        <f t="shared" ref="G29:G33" si="1">IF(ISBLANK(E29),"(Required)","")</f>
        <v>(Required)</v>
      </c>
      <c r="H29" s="1639"/>
      <c r="I29" s="1633"/>
      <c r="J29" s="1523" t="str">
        <f t="shared" si="0"/>
        <v>(Required)</v>
      </c>
      <c r="K29" s="1633"/>
      <c r="L29" s="1633"/>
      <c r="M29" s="1522" t="str">
        <f t="shared" ref="M29:M33" si="2">IF(ISBLANK(K29),"(Required)","")</f>
        <v>(Required)</v>
      </c>
      <c r="N29" s="483"/>
      <c r="O29" s="641"/>
      <c r="P29" s="641"/>
      <c r="Q29" s="641"/>
      <c r="R29" s="641"/>
    </row>
    <row r="30" spans="2:18" ht="33.75" customHeight="1" x14ac:dyDescent="0.3">
      <c r="B30" s="477" t="s">
        <v>76</v>
      </c>
      <c r="C30" s="478" t="s">
        <v>77</v>
      </c>
      <c r="D30" s="609" t="s">
        <v>71</v>
      </c>
      <c r="E30" s="1632"/>
      <c r="F30" s="1633"/>
      <c r="G30" s="1522" t="str">
        <f t="shared" si="1"/>
        <v>(Required)</v>
      </c>
      <c r="H30" s="1639"/>
      <c r="I30" s="1633"/>
      <c r="J30" s="1523" t="str">
        <f t="shared" si="0"/>
        <v>(Required)</v>
      </c>
      <c r="K30" s="1633"/>
      <c r="L30" s="1633"/>
      <c r="M30" s="1522" t="str">
        <f t="shared" si="2"/>
        <v>(Required)</v>
      </c>
      <c r="O30" s="641"/>
      <c r="P30" s="641"/>
      <c r="Q30" s="641"/>
      <c r="R30" s="641"/>
    </row>
    <row r="31" spans="2:18" ht="33.75" customHeight="1" x14ac:dyDescent="0.3">
      <c r="B31" s="477" t="s">
        <v>78</v>
      </c>
      <c r="C31" s="478" t="s">
        <v>79</v>
      </c>
      <c r="D31" s="609" t="s">
        <v>71</v>
      </c>
      <c r="E31" s="1632"/>
      <c r="F31" s="1633"/>
      <c r="G31" s="1522" t="str">
        <f t="shared" si="1"/>
        <v>(Required)</v>
      </c>
      <c r="H31" s="1639"/>
      <c r="I31" s="1633"/>
      <c r="J31" s="1523" t="str">
        <f t="shared" si="0"/>
        <v>(Required)</v>
      </c>
      <c r="K31" s="1633"/>
      <c r="L31" s="1633"/>
      <c r="M31" s="1522" t="str">
        <f t="shared" si="2"/>
        <v>(Required)</v>
      </c>
      <c r="O31" s="641"/>
      <c r="P31" s="641"/>
      <c r="Q31" s="641"/>
      <c r="R31" s="641"/>
    </row>
    <row r="32" spans="2:18" ht="42" x14ac:dyDescent="0.3">
      <c r="B32" s="477" t="s">
        <v>80</v>
      </c>
      <c r="C32" s="478" t="s">
        <v>81</v>
      </c>
      <c r="D32" s="609" t="s">
        <v>71</v>
      </c>
      <c r="E32" s="1632"/>
      <c r="F32" s="1633"/>
      <c r="G32" s="1522" t="str">
        <f t="shared" si="1"/>
        <v>(Required)</v>
      </c>
      <c r="H32" s="1639"/>
      <c r="I32" s="1633"/>
      <c r="J32" s="1523" t="str">
        <f t="shared" si="0"/>
        <v>(Required)</v>
      </c>
      <c r="K32" s="1633"/>
      <c r="L32" s="1633"/>
      <c r="M32" s="1522" t="str">
        <f t="shared" si="2"/>
        <v>(Required)</v>
      </c>
      <c r="O32" s="644" t="str">
        <f>IF(E28="","",VLOOKUP(E28,'LCTOP Project Types'!$B$12:$Q$26,6,0))</f>
        <v/>
      </c>
      <c r="P32" s="641"/>
      <c r="Q32" s="643" t="s">
        <v>81</v>
      </c>
      <c r="R32" s="641"/>
    </row>
    <row r="33" spans="2:18" ht="42" x14ac:dyDescent="0.3">
      <c r="B33" s="477" t="s">
        <v>82</v>
      </c>
      <c r="C33" s="478" t="s">
        <v>83</v>
      </c>
      <c r="D33" s="609" t="s">
        <v>71</v>
      </c>
      <c r="E33" s="1632"/>
      <c r="F33" s="1633"/>
      <c r="G33" s="1524" t="str">
        <f t="shared" si="1"/>
        <v>(Required)</v>
      </c>
      <c r="H33" s="1639"/>
      <c r="I33" s="1633"/>
      <c r="J33" s="1523" t="str">
        <f t="shared" si="0"/>
        <v>(Required)</v>
      </c>
      <c r="K33" s="1633"/>
      <c r="L33" s="1633"/>
      <c r="M33" s="1522" t="str">
        <f t="shared" si="2"/>
        <v>(Required)</v>
      </c>
      <c r="O33" s="644" t="str">
        <f>IF(E28="","",VLOOKUP(E28,'LCTOP Project Types'!$B$12:$Q$26,7,0))</f>
        <v/>
      </c>
      <c r="P33" s="641"/>
      <c r="Q33" s="643" t="s">
        <v>83</v>
      </c>
      <c r="R33" s="641"/>
    </row>
    <row r="34" spans="2:18" ht="33.75" customHeight="1" thickBot="1" x14ac:dyDescent="0.35">
      <c r="B34" s="479" t="s">
        <v>84</v>
      </c>
      <c r="C34" s="480" t="s">
        <v>85</v>
      </c>
      <c r="D34" s="611" t="s">
        <v>66</v>
      </c>
      <c r="E34" s="1634" t="str">
        <f>IF(E28="","", IF(E32="","", IF(E33="","", IF(E33-E32&lt;=0,"Useful Life cannot be negative",IF(E33-E32&gt;50,"Useful Life cannot be greater than 50 years",E33-E32)))))</f>
        <v/>
      </c>
      <c r="F34" s="1635"/>
      <c r="G34" s="1558"/>
      <c r="H34" s="1642" t="str">
        <f>IF(H28="","", IF(H32="","", IF(H33="","", IF(H33-H32&lt;=0,"Useful Life cannot be negative", IF(H33-H32&gt;50,"Useful Life cannot be greater than 50 years",H33-H32)))))</f>
        <v/>
      </c>
      <c r="I34" s="1635"/>
      <c r="J34" s="1541"/>
      <c r="K34" s="1635" t="str">
        <f>IF(K28="","", IF(K32="","", IF(K33="","", IF(K33-K32&lt;=0,"Useful Life cannot be negative",IF(K33-K32&gt;50,"Useful Life cannot be greater than 50 years",K33-K32)))))</f>
        <v/>
      </c>
      <c r="L34" s="1635"/>
      <c r="M34" s="1542"/>
      <c r="O34" s="644" t="str">
        <f>IF(E28="","",VLOOKUP(E28,'LCTOP Project Types'!$B$12:$Q$26,8,0))</f>
        <v/>
      </c>
      <c r="P34" s="641"/>
      <c r="Q34" s="643" t="s">
        <v>85</v>
      </c>
      <c r="R34" s="641"/>
    </row>
    <row r="35" spans="2:18" ht="16.5" customHeight="1" thickBot="1" x14ac:dyDescent="0.35">
      <c r="B35" s="612" t="s">
        <v>86</v>
      </c>
      <c r="C35" s="630"/>
      <c r="D35" s="631"/>
      <c r="E35" s="632"/>
      <c r="F35" s="614"/>
      <c r="G35" s="614"/>
      <c r="H35" s="614"/>
      <c r="I35" s="614"/>
      <c r="J35" s="632"/>
      <c r="K35" s="614"/>
      <c r="L35" s="614"/>
      <c r="M35" s="632"/>
      <c r="O35" s="641"/>
      <c r="P35" s="641"/>
      <c r="Q35" s="641"/>
      <c r="R35" s="641"/>
    </row>
    <row r="36" spans="2:18" ht="31" x14ac:dyDescent="0.3">
      <c r="B36" s="628" t="s">
        <v>87</v>
      </c>
      <c r="C36" s="629" t="s">
        <v>41</v>
      </c>
      <c r="D36" s="481" t="s">
        <v>42</v>
      </c>
      <c r="E36" s="482" t="s">
        <v>40</v>
      </c>
      <c r="F36" s="1469" t="s">
        <v>88</v>
      </c>
      <c r="G36" s="1469"/>
      <c r="H36" s="486" t="s">
        <v>40</v>
      </c>
      <c r="I36" s="1490" t="s">
        <v>88</v>
      </c>
      <c r="J36" s="788"/>
      <c r="K36" s="788" t="s">
        <v>40</v>
      </c>
      <c r="L36" s="1469" t="s">
        <v>88</v>
      </c>
      <c r="M36" s="1489"/>
      <c r="O36" s="641"/>
      <c r="P36" s="641"/>
      <c r="Q36" s="641"/>
      <c r="R36" s="641"/>
    </row>
    <row r="37" spans="2:18" ht="33.75" customHeight="1" x14ac:dyDescent="0.35">
      <c r="B37" s="477" t="s">
        <v>89</v>
      </c>
      <c r="C37" s="478" t="s">
        <v>90</v>
      </c>
      <c r="D37" s="609" t="str">
        <f>IF($E$28="","",IF(OR(#REF!=Defaults!$M$2,#REF!=Defaults!$M$3,#REF!= Defaults!$M$2,#REF!=Defaults!$M$3),"Required Input","Not Required"))</f>
        <v/>
      </c>
      <c r="E37" s="1460"/>
      <c r="F37" s="1470"/>
      <c r="G37" s="1525" t="str">
        <f t="shared" ref="G37:G40" si="3">IF(ISBLANK(E37),"(Required)","")</f>
        <v>(Required)</v>
      </c>
      <c r="H37" s="1456"/>
      <c r="I37" s="1482"/>
      <c r="J37" s="1526" t="str">
        <f>IF(ISBLANK(H37),"(Required)","")</f>
        <v>(Required)</v>
      </c>
      <c r="K37" s="1497"/>
      <c r="L37" s="1470"/>
      <c r="M37" s="1526" t="str">
        <f>IF(ISBLANK(K37),"(Required)","")</f>
        <v>(Required)</v>
      </c>
      <c r="O37" s="726" t="str">
        <f>IF(D37="","",IF(D37="Not Required","Not applicable for this project type.","The increase in unlinked passenger trips directly associated with the proposed project in the first year (Yr1)."))</f>
        <v/>
      </c>
      <c r="P37" s="641"/>
      <c r="Q37" s="645" t="s">
        <v>90</v>
      </c>
      <c r="R37" s="784"/>
    </row>
    <row r="38" spans="2:18" ht="63" customHeight="1" x14ac:dyDescent="0.35">
      <c r="B38" s="477" t="s">
        <v>91</v>
      </c>
      <c r="C38" s="478" t="s">
        <v>92</v>
      </c>
      <c r="D38" s="609" t="str">
        <f>IF($E$28="","",IF(OR(#REF!=Defaults!$M$2,#REF!=Defaults!$M$3,#REF!= Defaults!$M$2,#REF!=Defaults!$M$3),"Required Input","Not Required"))</f>
        <v/>
      </c>
      <c r="E38" s="1460"/>
      <c r="F38" s="1470"/>
      <c r="G38" s="1525" t="str">
        <f t="shared" si="3"/>
        <v>(Required)</v>
      </c>
      <c r="H38" s="1456"/>
      <c r="I38" s="1482"/>
      <c r="J38" s="1526" t="str">
        <f>IF(ISBLANK(H38),"(Required)","")</f>
        <v>(Required)</v>
      </c>
      <c r="K38" s="1497"/>
      <c r="L38" s="1470"/>
      <c r="M38" s="1526" t="str">
        <f t="shared" ref="M38:M40" si="4">IF(ISBLANK(K38),"(Required)","")</f>
        <v>(Required)</v>
      </c>
      <c r="O38" s="726" t="str">
        <f>IF(D38="","",IF(D38="Not Required","Not applicable for this project type.","The increase in unlinked passenger trips directly associated with the proposed project in the final year. If the ridership is not expected to change, Yr1 and YrF should be the same value."))</f>
        <v/>
      </c>
      <c r="P38" s="641"/>
      <c r="Q38" s="645" t="s">
        <v>92</v>
      </c>
      <c r="R38" s="784"/>
    </row>
    <row r="39" spans="2:18" ht="80.25" customHeight="1" x14ac:dyDescent="0.35">
      <c r="B39" s="477" t="s">
        <v>93</v>
      </c>
      <c r="C39" s="478" t="s">
        <v>94</v>
      </c>
      <c r="D39" s="609" t="str">
        <f>IF($E$28="","",IF(#REF!=Defaults!$M$4,"Not Required","Required Input"))</f>
        <v/>
      </c>
      <c r="E39" s="1447"/>
      <c r="F39" s="1470"/>
      <c r="G39" s="1525" t="str">
        <f t="shared" si="3"/>
        <v>(Required)</v>
      </c>
      <c r="H39" s="1457"/>
      <c r="I39" s="1482"/>
      <c r="J39" s="1526" t="str">
        <f>IF(ISBLANK(H39),"(Required)","")</f>
        <v>(Required)</v>
      </c>
      <c r="K39" s="1498"/>
      <c r="L39" s="1470"/>
      <c r="M39" s="1526" t="str">
        <f t="shared" si="4"/>
        <v>(Required)</v>
      </c>
      <c r="O39" s="726" t="str">
        <f>IF(D39="","",IF(D39="Not Required","Not applicable for this project type.","Discount factor applied to annual ridership to account for transit-dependent riders. 
Use: Document project-specific data or system average developed from a recent, statistically valid survey or default."))</f>
        <v/>
      </c>
      <c r="P39" s="641"/>
      <c r="Q39" s="645" t="s">
        <v>95</v>
      </c>
      <c r="R39" s="784"/>
    </row>
    <row r="40" spans="2:18" ht="33.75" customHeight="1" thickBot="1" x14ac:dyDescent="0.4">
      <c r="B40" s="477" t="s">
        <v>96</v>
      </c>
      <c r="C40" s="478" t="s">
        <v>97</v>
      </c>
      <c r="D40" s="609" t="str">
        <f>IF($E$28="","",IF(OR(#REF!=Defaults!$M$2,#REF!=Defaults!$M$3,#REF!= Defaults!$M$2,#REF!=Defaults!$M$3),"Required Input","Not Required"))</f>
        <v/>
      </c>
      <c r="E40" s="1448"/>
      <c r="F40" s="1470"/>
      <c r="G40" s="1525" t="str">
        <f t="shared" si="3"/>
        <v>(Required)</v>
      </c>
      <c r="H40" s="1458"/>
      <c r="I40" s="1482"/>
      <c r="J40" s="1526" t="str">
        <f>IF(ISBLANK(H40),"(Required)","")</f>
        <v>(Required)</v>
      </c>
      <c r="K40" s="1499"/>
      <c r="L40" s="1470"/>
      <c r="M40" s="1526" t="str">
        <f t="shared" si="4"/>
        <v>(Required)</v>
      </c>
      <c r="N40" s="483"/>
      <c r="O40" s="726" t="str">
        <f>IF(D40="","",IF(D40="Not Required","Not applicable for this project type.","Annual passenger miles over unlinked trips directly associated with the proposed project."))</f>
        <v/>
      </c>
      <c r="P40" s="641"/>
      <c r="Q40" s="645" t="s">
        <v>98</v>
      </c>
      <c r="R40" s="784"/>
    </row>
    <row r="41" spans="2:18" ht="33.75" hidden="1" customHeight="1" x14ac:dyDescent="0.3">
      <c r="B41" s="722" t="s">
        <v>99</v>
      </c>
      <c r="C41" s="633" t="s">
        <v>100</v>
      </c>
      <c r="D41" s="609"/>
      <c r="E41" s="1428"/>
      <c r="F41" s="789"/>
      <c r="G41" s="1471"/>
      <c r="H41" s="1442"/>
      <c r="I41" s="1482"/>
      <c r="J41" s="1444"/>
      <c r="K41" s="1500"/>
      <c r="L41" s="1470"/>
      <c r="M41" s="1444"/>
      <c r="N41" s="483"/>
      <c r="O41" s="640" t="s">
        <v>101</v>
      </c>
      <c r="P41" s="641"/>
      <c r="Q41" s="642" t="s">
        <v>102</v>
      </c>
      <c r="R41" s="642"/>
    </row>
    <row r="42" spans="2:18" ht="33.75" hidden="1" customHeight="1" x14ac:dyDescent="0.35">
      <c r="B42" s="477" t="s">
        <v>103</v>
      </c>
      <c r="C42" s="478" t="s">
        <v>104</v>
      </c>
      <c r="D42" s="611" t="e">
        <f>IF(OR(#REF!=Defaults!$M$2,#REF!=Defaults!$M$3,#REF!=Defaults!$M$2,#REF!=Defaults!$M$3),"Calculated","Not Applicable")</f>
        <v>#REF!</v>
      </c>
      <c r="E42" s="1527" t="str">
        <f ca="1">IF(OR(E$28=Defaults!$M$2,E$28=Defaults!$M$3),IF(VLOOKUP(MID(CELL("filename",E42),FIND("]",CELL("filename",E42))+1,255)&amp;SUBSTITUTE(ADDRESS(1,COLUMN(E42),4),"1",""),'GHG Calcs'!$E$12:$CL$29,MATCH('GHG Calcs'!$Z$11,'GHG Calcs'!$E$11:$CL$11,0),0)="","",IFERROR(VLOOKUP(MID(CELL("filename",E42),FIND("]",CELL("filename",E42))+1,255)&amp;SUBSTITUTE(ADDRESS(1,COLUMN(E42),4),"1",""),'GHG Calcs'!$E$12:$CL$29,MATCH('GHG Calcs'!$Z$11,'GHG Calcs'!$E$11:$CL$11,0),0),"Incomplete Inputs")),"")</f>
        <v/>
      </c>
      <c r="F42" s="1472"/>
      <c r="G42" s="1432"/>
      <c r="H42" s="1528" t="str">
        <f ca="1">IF(OR(H$28=Defaults!$M$2,H$28=Defaults!$M$3),IF(VLOOKUP(MID(CELL("filename",H42),FIND("]",CELL("filename",H42))+1,255)&amp;SUBSTITUTE(ADDRESS(1,COLUMN(H42),4),"1",""),'GHG Calcs'!$E$12:$CL$29,MATCH('GHG Calcs'!$Z$11,'GHG Calcs'!$E$11:$CL$11,0),0)="","",IFERROR(VLOOKUP(MID(CELL("filename",H42),FIND("]",CELL("filename",H42))+1,255)&amp;SUBSTITUTE(ADDRESS(1,COLUMN(H42),4),"1",""),'GHG Calcs'!$E$12:$CL$29,MATCH('GHG Calcs'!$Z$11,'GHG Calcs'!$E$11:$CL$11,0),0),"Incomplete Inputs")),"")</f>
        <v/>
      </c>
      <c r="I42" s="1491"/>
      <c r="J42" s="1445"/>
      <c r="K42" s="1529" t="str">
        <f ca="1">IF(OR(K$28=Defaults!$M$2,K$28=Defaults!$M$3),IF(VLOOKUP(MID(CELL("filename",K42),FIND("]",CELL("filename",K42))+1,255)&amp;SUBSTITUTE(ADDRESS(1,COLUMN(K42),4),"1",""),'GHG Calcs'!$E$12:$CL$29,MATCH('GHG Calcs'!$Z$11,'GHG Calcs'!$E$11:$CL$11,0),0)="","",IFERROR(VLOOKUP(MID(CELL("filename",K42),FIND("]",CELL("filename",K42))+1,255)&amp;SUBSTITUTE(ADDRESS(1,COLUMN(K42),4),"1",""),'GHG Calcs'!$E$12:$CL$29,MATCH('GHG Calcs'!$Z$11,'GHG Calcs'!$E$11:$CL$11,0),0),"Incomplete Inputs")),"")</f>
        <v/>
      </c>
      <c r="L42" s="1502"/>
      <c r="M42" s="1445"/>
      <c r="N42" s="483"/>
      <c r="O42" s="641"/>
      <c r="P42" s="787" t="str">
        <f ca="1">'GHG Calcs'!Z12</f>
        <v/>
      </c>
      <c r="Q42" s="642" t="s">
        <v>38</v>
      </c>
      <c r="R42" s="787" t="e">
        <f ca="1">IF(OR(#REF!=Defaults!$M$2,#REF!=Defaults!$M$3,#REF!=Defaults!$M$2,#REF!=Defaults!$M$3),IF(VLOOKUP(MID(CELL("filename",E$42),FIND("]",CELL("filename",E$42))+1,255)&amp;SUBSTITUTE(ADDRESS(1,COLUMN(E$42),4),"1",""),'GHG Calcs'!$F$12:$CL$12,MATCH('GHG Calcs'!$Z$11,'GHG Calcs'!$F$11:$CL$11,0),0)="","",IFERROR(VLOOKUP(MID(CELL("filename",E$42),FIND("]",CELL("filename",E$42))+1,255)&amp;SUBSTITUTE(ADDRESS(1,COLUMN(E$42),4),"1",""),'GHG Calcs'!$F$12:$CL$12,MATCH('GHG Calcs'!$Z$11,'GHG Calcs'!$F$11:$CL$11,0),0),"Incomplete Inputs")),"")</f>
        <v>#REF!</v>
      </c>
    </row>
    <row r="43" spans="2:18" ht="54" hidden="1" customHeight="1" thickBot="1" x14ac:dyDescent="0.4">
      <c r="B43" s="484" t="s">
        <v>105</v>
      </c>
      <c r="C43" s="485" t="s">
        <v>106</v>
      </c>
      <c r="D43" s="637" t="e">
        <f>IF(OR(#REF!=Defaults!$M$2,#REF!=Defaults!$M$3,#REF!=Defaults!$M$2,#REF!=Defaults!$M$3),"Calculated","Not Applicable")</f>
        <v>#REF!</v>
      </c>
      <c r="E43" s="1530" t="str">
        <f ca="1">IF(OR(E$28=Defaults!$M$2,E$28=Defaults!$M$3),IF(VLOOKUP(MID(CELL("filename",E43),FIND("]",CELL("filename",E43))+1,255)&amp;SUBSTITUTE(ADDRESS(1,COLUMN(E43),4),"1",""),'GHG Calcs'!$E$12:$CL$29,MATCH('GHG Calcs'!$AA$11,'GHG Calcs'!$E$11:$CL$11,0),0)="","",IFERROR(VLOOKUP(MID(CELL("filename",E43),FIND("]",CELL("filename",E43))+1,255)&amp;SUBSTITUTE(ADDRESS(1,COLUMN(E43),4),"1",""),'GHG Calcs'!$E$12:$CL$29,MATCH('GHG Calcs'!$AA$11,'GHG Calcs'!$E$11:$CL$11,0),0),"Incomplete Inputs")),"")</f>
        <v/>
      </c>
      <c r="F43" s="1473"/>
      <c r="G43" s="1433"/>
      <c r="H43" s="1531" t="str">
        <f ca="1">IF(OR(H$28=Defaults!$M$2,H$28=Defaults!$M$3),IF(VLOOKUP(MID(CELL("filename",H43),FIND("]",CELL("filename",H43))+1,255)&amp;SUBSTITUTE(ADDRESS(1,COLUMN(H43),4),"1",""),'GHG Calcs'!$E$12:$CL$29,MATCH('GHG Calcs'!$AA$11,'GHG Calcs'!$E$11:$CL$11,0),0)="","",IFERROR(VLOOKUP(MID(CELL("filename",H43),FIND("]",CELL("filename",H43))+1,255)&amp;SUBSTITUTE(ADDRESS(1,COLUMN(H43),4),"1",""),'GHG Calcs'!$E$12:$CL$29,MATCH('GHG Calcs'!$AA$11,'GHG Calcs'!$E$11:$CL$11,0),0),"Incomplete Inputs")),"")</f>
        <v/>
      </c>
      <c r="I43" s="1492"/>
      <c r="J43" s="1446"/>
      <c r="K43" s="1532" t="str">
        <f ca="1">IF(OR(K$28=Defaults!$M$2,K$28=Defaults!$M$3),IF(VLOOKUP(MID(CELL("filename",K43),FIND("]",CELL("filename",K43))+1,255)&amp;SUBSTITUTE(ADDRESS(1,COLUMN(K43),4),"1",""),'GHG Calcs'!$E$12:$CL$29,MATCH('GHG Calcs'!$AA$11,'GHG Calcs'!$E$11:$CL$11,0),0)="","",IFERROR(VLOOKUP(MID(CELL("filename",K43),FIND("]",CELL("filename",K43))+1,255)&amp;SUBSTITUTE(ADDRESS(1,COLUMN(K43),4),"1",""),'GHG Calcs'!$E$12:$CL$29,MATCH('GHG Calcs'!$AA$11,'GHG Calcs'!$E$11:$CL$11,0),0),"Incomplete Inputs")),"")</f>
        <v/>
      </c>
      <c r="L43" s="1503"/>
      <c r="M43" s="1507"/>
      <c r="N43" s="483"/>
      <c r="O43" s="641"/>
      <c r="P43" s="787" t="str">
        <f ca="1">'GHG Calcs'!AA12</f>
        <v/>
      </c>
      <c r="Q43" s="642" t="s">
        <v>38</v>
      </c>
      <c r="R43" s="787" t="e">
        <f ca="1">IF(OR(#REF!=Defaults!$M$2,#REF!=Defaults!$M$3,#REF!=Defaults!$M$2,#REF!=Defaults!$M$3),IF(VLOOKUP(MID(CELL("filename",E$43),FIND("]",CELL("filename",E$43))+1,255)&amp;SUBSTITUTE(ADDRESS(1,COLUMN(E$43),4),"1",""),'GHG Calcs'!$F$12:$CL$12,MATCH('GHG Calcs'!$Z$11,'GHG Calcs'!$F$11:$CL$11,0),0)="","",IFERROR(VLOOKUP(MID(CELL("filename",E$43),FIND("]",CELL("filename",E$43))+1,255)&amp;SUBSTITUTE(ADDRESS(1,COLUMN(E$43),4),"1",""),'GHG Calcs'!$F$12:$CL$12,MATCH('GHG Calcs'!$AA$11,'GHG Calcs'!$F$11:$CL$11,0),0),"Incomplete Inputs")),"")</f>
        <v>#REF!</v>
      </c>
    </row>
    <row r="44" spans="2:18" ht="16.5" customHeight="1" thickBot="1" x14ac:dyDescent="0.35">
      <c r="B44" s="612" t="s">
        <v>107</v>
      </c>
      <c r="C44" s="630"/>
      <c r="D44" s="631"/>
      <c r="E44" s="632"/>
      <c r="F44" s="614"/>
      <c r="G44" s="632"/>
      <c r="H44" s="614"/>
      <c r="I44" s="1469"/>
      <c r="J44" s="1489"/>
      <c r="K44" s="614"/>
      <c r="L44" s="614"/>
      <c r="M44" s="632"/>
      <c r="O44" s="641"/>
      <c r="P44" s="641"/>
      <c r="Q44" s="641"/>
      <c r="R44" s="641"/>
    </row>
    <row r="45" spans="2:18" ht="31" x14ac:dyDescent="0.3">
      <c r="B45" s="628" t="s">
        <v>108</v>
      </c>
      <c r="C45" s="629" t="s">
        <v>41</v>
      </c>
      <c r="D45" s="481" t="s">
        <v>42</v>
      </c>
      <c r="E45" s="482" t="s">
        <v>40</v>
      </c>
      <c r="F45" s="1469" t="s">
        <v>88</v>
      </c>
      <c r="G45" s="788"/>
      <c r="H45" s="486" t="s">
        <v>40</v>
      </c>
      <c r="I45" s="1469" t="s">
        <v>88</v>
      </c>
      <c r="J45" s="788"/>
      <c r="K45" s="486" t="s">
        <v>40</v>
      </c>
      <c r="L45" s="1490" t="s">
        <v>88</v>
      </c>
      <c r="M45" s="1489"/>
      <c r="N45" s="483"/>
      <c r="O45" s="641"/>
      <c r="P45" s="641"/>
      <c r="Q45" s="641"/>
      <c r="R45" s="641"/>
    </row>
    <row r="46" spans="2:18" ht="33.75" customHeight="1" x14ac:dyDescent="0.3">
      <c r="B46" s="477" t="s">
        <v>109</v>
      </c>
      <c r="C46" s="478" t="s">
        <v>110</v>
      </c>
      <c r="D46" s="611" t="str">
        <f>IF($E$28="","",IF(OR(#REF!=Defaults!$M$2,#REF!=Defaults!$M$4,#REF!= Defaults!$M$2,#REF!=Defaults!$M$4),IF(NOT(E$29=Defaults!$F$2),"Required Input","Not Required"),"Not Required"))</f>
        <v/>
      </c>
      <c r="E46" s="1443"/>
      <c r="F46" s="1474"/>
      <c r="G46" s="1533" t="str">
        <f t="shared" ref="G46:G51" si="5">IF(ISBLANK(E46),"(Required)","")</f>
        <v>(Required)</v>
      </c>
      <c r="H46" s="1459"/>
      <c r="I46" s="1493"/>
      <c r="J46" s="1533" t="str">
        <f t="shared" ref="J46:J51" si="6">IF(ISBLANK(H46),"(Required)","")</f>
        <v>(Required)</v>
      </c>
      <c r="K46" s="1459"/>
      <c r="L46" s="1493"/>
      <c r="M46" s="1533" t="str">
        <f>IF(ISBLANK(K46),"(Required)","")</f>
        <v>(Required)</v>
      </c>
      <c r="N46" s="483"/>
      <c r="O46" s="727" t="str">
        <f>IF($E$28="","",IF(D46="Not Required","Not applicable for this project type.","The vehicle type (e.g., Transit Bus, Streetcar, Ferry, etc.) that will operate the new service or will be procured."))</f>
        <v/>
      </c>
      <c r="P46" s="641"/>
      <c r="Q46" s="478" t="s">
        <v>110</v>
      </c>
      <c r="R46" s="785"/>
    </row>
    <row r="47" spans="2:18" ht="33.75" customHeight="1" x14ac:dyDescent="0.3">
      <c r="B47" s="477" t="s">
        <v>111</v>
      </c>
      <c r="C47" s="478" t="s">
        <v>112</v>
      </c>
      <c r="D47" s="611" t="str">
        <f>IF($E$28="","",IF(AND(OR(#REF!=Defaults!$M$2,#REF!=Defaults!$M$4,#REF!= Defaults!$M$2,#REF!=Defaults!$M$4),NOT(E$29=Defaults!$F$2),E$46=Defaults!$G$5),"Required Input","Not Required"))</f>
        <v/>
      </c>
      <c r="E47" s="1449"/>
      <c r="F47" s="1474"/>
      <c r="G47" s="1533" t="str">
        <f t="shared" si="5"/>
        <v>(Required)</v>
      </c>
      <c r="H47" s="1452"/>
      <c r="I47" s="1493"/>
      <c r="J47" s="1533" t="str">
        <f t="shared" si="6"/>
        <v>(Required)</v>
      </c>
      <c r="K47" s="1452"/>
      <c r="L47" s="1493"/>
      <c r="M47" s="1533" t="str">
        <f t="shared" ref="M47:M54" si="7">IF(ISBLANK(K47),"(Required)","")</f>
        <v>(Required)</v>
      </c>
      <c r="N47" s="483"/>
      <c r="O47" s="727" t="str">
        <f>IF($E$28="","",IF(D47="Not Required","Not applicable for this project type.","The engine tier for the vehicle(s) that will operate the new service."))</f>
        <v/>
      </c>
      <c r="P47" s="641"/>
      <c r="Q47" s="478" t="s">
        <v>112</v>
      </c>
      <c r="R47" s="785"/>
    </row>
    <row r="48" spans="2:18" ht="33.75" customHeight="1" x14ac:dyDescent="0.3">
      <c r="B48" s="477" t="s">
        <v>113</v>
      </c>
      <c r="C48" s="478" t="s">
        <v>114</v>
      </c>
      <c r="D48" s="611" t="str">
        <f>IF($E$28="","",IF(AND(OR(#REF!=Defaults!$M$2,#REF!=Defaults!$M$4,#REF!= Defaults!$M$2,#REF!=Defaults!$M$4),NOT(E$29=Defaults!$F$2),OR(E$46=Defaults!$G$3,E$46=Defaults!$G$4)),"Required Input","Not Required"))</f>
        <v/>
      </c>
      <c r="E48" s="1449"/>
      <c r="F48" s="1474"/>
      <c r="G48" s="1533" t="str">
        <f t="shared" si="5"/>
        <v>(Required)</v>
      </c>
      <c r="H48" s="1452"/>
      <c r="I48" s="1493"/>
      <c r="J48" s="1533" t="str">
        <f t="shared" si="6"/>
        <v>(Required)</v>
      </c>
      <c r="K48" s="1452"/>
      <c r="L48" s="1493"/>
      <c r="M48" s="1533" t="str">
        <f t="shared" si="7"/>
        <v>(Required)</v>
      </c>
      <c r="N48" s="483"/>
      <c r="O48" s="727" t="str">
        <f>IF($E$28="","",IF(D48="Not Required","Not applicable for this project type.","The engine horsepower rating for the vehicle(s) that will operate the new service."))</f>
        <v/>
      </c>
      <c r="P48" s="641"/>
      <c r="Q48" s="478" t="s">
        <v>114</v>
      </c>
      <c r="R48" s="785"/>
    </row>
    <row r="49" spans="2:18" ht="33.75" customHeight="1" x14ac:dyDescent="0.3">
      <c r="B49" s="477" t="s">
        <v>115</v>
      </c>
      <c r="C49" s="478" t="s">
        <v>116</v>
      </c>
      <c r="D49" s="611" t="str">
        <f>IF($E$28="","",IF(OR(#REF!=Defaults!$M$2,#REF!=Defaults!$M$4,#REF!= Defaults!$M$2,#REF!=Defaults!$M$4),IF(NOT(E$29=Defaults!$F$2),"Required Input","Not Required"),"Not Required"))</f>
        <v/>
      </c>
      <c r="E49" s="1449"/>
      <c r="F49" s="1474"/>
      <c r="G49" s="1533" t="str">
        <f t="shared" si="5"/>
        <v>(Required)</v>
      </c>
      <c r="H49" s="1452"/>
      <c r="I49" s="1493"/>
      <c r="J49" s="1533" t="str">
        <f t="shared" si="6"/>
        <v>(Required)</v>
      </c>
      <c r="K49" s="1452"/>
      <c r="L49" s="1493"/>
      <c r="M49" s="1533" t="str">
        <f t="shared" si="7"/>
        <v>(Required)</v>
      </c>
      <c r="N49" s="483"/>
      <c r="O49" s="478" t="str">
        <f>IF($E$28="","",IF(D49="Not Required","Not applicable for this project type.",VLOOKUP($E$28,'LCTOP Project Types'!$B$12:$Q$26,11,0)))</f>
        <v/>
      </c>
      <c r="P49" s="641"/>
      <c r="Q49" s="478" t="s">
        <v>116</v>
      </c>
      <c r="R49" s="785"/>
    </row>
    <row r="50" spans="2:18" ht="47.25" customHeight="1" x14ac:dyDescent="0.3">
      <c r="B50" s="477" t="s">
        <v>117</v>
      </c>
      <c r="C50" s="478" t="s">
        <v>118</v>
      </c>
      <c r="D50" s="611" t="str">
        <f>IF($E$28="","",IF(OR(#REF!=Defaults!$M$2,#REF!=Defaults!$M$4,#REF!= Defaults!$M$2,#REF!=Defaults!$M$4),IF(NOT(E$29=Defaults!$F$2),"Required Input","Not Required"),"Not Required"))</f>
        <v/>
      </c>
      <c r="E50" s="1449"/>
      <c r="F50" s="1474"/>
      <c r="G50" s="1533" t="str">
        <f t="shared" si="5"/>
        <v>(Required)</v>
      </c>
      <c r="H50" s="1461"/>
      <c r="I50" s="1493"/>
      <c r="J50" s="1533" t="str">
        <f t="shared" si="6"/>
        <v>(Required)</v>
      </c>
      <c r="K50" s="1452"/>
      <c r="L50" s="1493"/>
      <c r="M50" s="1533" t="str">
        <f t="shared" si="7"/>
        <v>(Required)</v>
      </c>
      <c r="N50" s="483"/>
      <c r="O50" s="478" t="str">
        <f>IF($E$28="","",IF(D50="Not Required","Not applicable for this project type.",VLOOKUP($E$28,'LCTOP Project Types'!$B$12:$Q$26,10,0)))</f>
        <v/>
      </c>
      <c r="P50" s="641"/>
      <c r="Q50" s="478" t="s">
        <v>118</v>
      </c>
      <c r="R50" s="785"/>
    </row>
    <row r="51" spans="2:18" ht="54.75" customHeight="1" x14ac:dyDescent="0.3">
      <c r="B51" s="477" t="s">
        <v>119</v>
      </c>
      <c r="C51" s="478" t="s">
        <v>120</v>
      </c>
      <c r="D51" s="611" t="str">
        <f>IF($E$28="","",IF(AND(OR(#REF!=Defaults!$M$2,#REF!=Defaults!$M$4,#REF!=Defaults!$M$2,#REF!=Defaults!$M$4),OR(E$46=Defaults!$G$2,E$46=Defaults!$G$3,E$46=Defaults!$G$4,E$46=Defaults!$G$7,E$46=Defaults!$G$9,E$46=Defaults!$G$10)),"Required Input","Not Required"))</f>
        <v/>
      </c>
      <c r="E51" s="1449"/>
      <c r="F51" s="1474"/>
      <c r="G51" s="1533" t="str">
        <f t="shared" si="5"/>
        <v>(Required)</v>
      </c>
      <c r="H51" s="1461"/>
      <c r="I51" s="1493"/>
      <c r="J51" s="1533" t="str">
        <f t="shared" si="6"/>
        <v>(Required)</v>
      </c>
      <c r="K51" s="1452"/>
      <c r="L51" s="1493"/>
      <c r="M51" s="1533" t="str">
        <f t="shared" si="7"/>
        <v>(Required)</v>
      </c>
      <c r="N51" s="483"/>
      <c r="O51" s="478" t="str">
        <f>IF($E$28="","",IF(D51="Not Required","Not applicable for this project type.",VLOOKUP($E$28,'LCTOP Project Types'!$B$12:$Q$26,12,0)))</f>
        <v/>
      </c>
      <c r="P51" s="641"/>
      <c r="Q51" s="478" t="s">
        <v>120</v>
      </c>
      <c r="R51" s="785"/>
    </row>
    <row r="52" spans="2:18" ht="47.25" customHeight="1" x14ac:dyDescent="0.3">
      <c r="B52" s="477" t="s">
        <v>121</v>
      </c>
      <c r="C52" s="478" t="s">
        <v>122</v>
      </c>
      <c r="D52" s="611" t="str">
        <f>IF($E$28="","",IF(AND(OR(#REF!=Defaults!$M$2,#REF!=Defaults!$M$4,#REF!=Defaults!$M$2,#REF!=Defaults!$M$4),NOT(E$29=Defaults!$F$2)),"Optional Input","Not Required"))</f>
        <v/>
      </c>
      <c r="E52" s="1448"/>
      <c r="F52" s="1470"/>
      <c r="G52" s="1526" t="str">
        <f>IF(ISBLANK(E52),"(Optional)","")</f>
        <v>(Optional)</v>
      </c>
      <c r="H52" s="1458"/>
      <c r="I52" s="1482"/>
      <c r="J52" s="1526" t="str">
        <f>IF(ISBLANK(H52),"(Optional)","")</f>
        <v>(Optional)</v>
      </c>
      <c r="K52" s="1458"/>
      <c r="L52" s="1494"/>
      <c r="M52" s="1533" t="str">
        <f>IF(ISBLANK(K52),"(Optional)","")</f>
        <v>(Optional)</v>
      </c>
      <c r="N52" s="483"/>
      <c r="O52" s="478" t="str">
        <f>IF($E$28="","",IF(D52="Not Required","Not applicable for this project type.","If used, applicant must be able to demonstrate an approved carbon intensity value under the Low Carbon Fuel Standard and submit additional documentation."))</f>
        <v/>
      </c>
      <c r="P52" s="641"/>
      <c r="Q52" s="478" t="s">
        <v>123</v>
      </c>
      <c r="R52" s="785"/>
    </row>
    <row r="53" spans="2:18" ht="100.5" customHeight="1" x14ac:dyDescent="0.3">
      <c r="B53" s="477" t="s">
        <v>124</v>
      </c>
      <c r="C53" s="478" t="s">
        <v>125</v>
      </c>
      <c r="D53" s="611" t="str">
        <f>IF($E$28="","",IF(AND(NOT(ISBLANK($E$54)),OR($E$46=Defaults!$G$3,$E$46=Defaults!$G$5,$E$46=Defaults!$G$6,$E$46=Defaults!$G$8)),"Optional",IF(AND(OR(#REF!=Defaults!$M$2,#REF!=Defaults!$M$4,#REF!=Defaults!$M$2,#REF!=Defaults!$M$4),OR(E$46=Defaults!$G$2,E$46=Defaults!$G$3,E$46=Defaults!$G$5,E$46=Defaults!$G$6,E$46=Defaults!$G$7,E$46=Defaults!$G$8,E$46=Defaults!$G$9,E$46=Defaults!$G$10)),"Required Input","Not Required")))</f>
        <v/>
      </c>
      <c r="E53" s="1450"/>
      <c r="F53" s="1470"/>
      <c r="G53" s="1526" t="str">
        <f>IF(ISBLANK(E53),"(Required)","")</f>
        <v>(Required)</v>
      </c>
      <c r="H53" s="1456"/>
      <c r="I53" s="1482"/>
      <c r="J53" s="1526" t="str">
        <f>IF(ISBLANK(H53),"(Required)","")</f>
        <v>(Required)</v>
      </c>
      <c r="K53" s="1456"/>
      <c r="L53" s="1494"/>
      <c r="M53" s="1533" t="str">
        <f t="shared" si="7"/>
        <v>(Required)</v>
      </c>
      <c r="N53" s="483"/>
      <c r="O53" s="478" t="str">
        <f>IF($E$28="","",IF(D53="Not Required","Not applicable for this project type.",VLOOKUP($E$28,'LCTOP Project Types'!$B$12:$Q$26,13,0)))</f>
        <v/>
      </c>
      <c r="P53" s="641"/>
      <c r="Q53" s="478" t="s">
        <v>125</v>
      </c>
      <c r="R53" s="785"/>
    </row>
    <row r="54" spans="2:18" ht="133.5" customHeight="1" thickBot="1" x14ac:dyDescent="0.35">
      <c r="B54" s="479" t="s">
        <v>126</v>
      </c>
      <c r="C54" s="480" t="s">
        <v>127</v>
      </c>
      <c r="D54" s="605" t="str">
        <f>IF($E$28="","",IF(AND(NOT(ISBLANK($E$53)),OR($E$46=Defaults!$G$3,$E$46=Defaults!$G$5,$E$46=Defaults!$G$6,$E$46=Defaults!$G$8)),"Optional",IF(AND(OR(#REF!=Defaults!$M$2,#REF!=Defaults!$M$4,#REF!=Defaults!$M$2,#REF!=Defaults!$M$4),OR(E$46=Defaults!$G$3,E$46=Defaults!$G$4,E$46=Defaults!$G$5,E$46=Defaults!$G$6,E$46=Defaults!$G$8)),"Required Input","Not Required")))</f>
        <v/>
      </c>
      <c r="E54" s="1450"/>
      <c r="F54" s="1471"/>
      <c r="G54" s="1526" t="str">
        <f>IF(ISBLANK(E54),"(Required)","")</f>
        <v>(Required)</v>
      </c>
      <c r="H54" s="1456"/>
      <c r="I54" s="1494"/>
      <c r="J54" s="1526" t="str">
        <f>IF(ISBLANK(H54),"(Required)","")</f>
        <v>(Required)</v>
      </c>
      <c r="K54" s="1456"/>
      <c r="L54" s="1494"/>
      <c r="M54" s="1533" t="str">
        <f t="shared" si="7"/>
        <v>(Required)</v>
      </c>
      <c r="N54" s="483"/>
      <c r="O54" s="480" t="str">
        <f>IF($E$28="","",IF(D54="Not Required","Not applicable for this project type.",VLOOKUP($E$28,'LCTOP Project Types'!$B$12:$Q$26,14,0)))</f>
        <v/>
      </c>
      <c r="P54" s="641"/>
      <c r="Q54" s="480" t="s">
        <v>127</v>
      </c>
      <c r="R54" s="786"/>
    </row>
    <row r="55" spans="2:18" ht="100.5" hidden="1" customHeight="1" thickBot="1" x14ac:dyDescent="0.35">
      <c r="B55" s="477" t="s">
        <v>128</v>
      </c>
      <c r="C55" s="478" t="s">
        <v>129</v>
      </c>
      <c r="D55" s="605" t="str">
        <f>IF($E$28="","",IF(OR($E$49=Defaults!$I$11, $H$49=Defaults!$I$11, $K$49=Defaults!$I$11),"Required Input","Not Required"))</f>
        <v/>
      </c>
      <c r="E55" s="1431"/>
      <c r="F55" s="1475"/>
      <c r="G55" s="1429"/>
      <c r="H55" s="1430"/>
      <c r="I55" s="1495"/>
      <c r="J55" s="1429"/>
      <c r="K55" s="1430"/>
      <c r="L55" s="1495"/>
      <c r="M55" s="1508"/>
      <c r="N55" s="483"/>
      <c r="O55" s="480"/>
      <c r="P55" s="641"/>
      <c r="Q55" s="480"/>
      <c r="R55" s="786"/>
    </row>
    <row r="56" spans="2:18" ht="16.5" customHeight="1" thickBot="1" x14ac:dyDescent="0.35">
      <c r="B56" s="612" t="s">
        <v>130</v>
      </c>
      <c r="C56" s="630"/>
      <c r="D56" s="631"/>
      <c r="E56" s="632"/>
      <c r="F56" s="614"/>
      <c r="G56" s="1489"/>
      <c r="H56" s="486"/>
      <c r="I56" s="1469"/>
      <c r="J56" s="1489"/>
      <c r="K56" s="614"/>
      <c r="L56" s="614"/>
      <c r="M56" s="632"/>
      <c r="O56" s="641"/>
      <c r="P56" s="641"/>
      <c r="Q56" s="641"/>
      <c r="R56" s="641"/>
    </row>
    <row r="57" spans="2:18" ht="31" x14ac:dyDescent="0.3">
      <c r="B57" s="628" t="s">
        <v>131</v>
      </c>
      <c r="C57" s="629" t="s">
        <v>41</v>
      </c>
      <c r="D57" s="481" t="s">
        <v>42</v>
      </c>
      <c r="E57" s="482" t="s">
        <v>40</v>
      </c>
      <c r="F57" s="1469" t="s">
        <v>88</v>
      </c>
      <c r="G57" s="788"/>
      <c r="H57" s="486" t="s">
        <v>40</v>
      </c>
      <c r="I57" s="1469" t="s">
        <v>88</v>
      </c>
      <c r="J57" s="788"/>
      <c r="K57" s="486" t="s">
        <v>40</v>
      </c>
      <c r="L57" s="1490" t="s">
        <v>88</v>
      </c>
      <c r="M57" s="1489"/>
      <c r="N57" s="483"/>
      <c r="O57" s="641"/>
      <c r="P57" s="641"/>
      <c r="Q57" s="641"/>
      <c r="R57" s="641"/>
    </row>
    <row r="58" spans="2:18" ht="33.75" customHeight="1" x14ac:dyDescent="0.3">
      <c r="B58" s="477" t="s">
        <v>109</v>
      </c>
      <c r="C58" s="478" t="s">
        <v>132</v>
      </c>
      <c r="D58" s="611" t="str">
        <f>IF($E$28="","",IF(OR(#REF!=Defaults!$M$4,#REF!=Defaults!$M$4),"Required Input",IF(OR(#REF!=Defaults!$M$2,#REF!=Defaults!$M$2),"Optional Input","Not Required")))</f>
        <v/>
      </c>
      <c r="E58" s="1443"/>
      <c r="F58" s="1476"/>
      <c r="G58" s="1533" t="b">
        <f>IF(ISBLANK(E58),IF(E$28=Defaults!$M$2,"(Optional)",IF(E$28=Defaults!$M$4,"(Required)")),"")</f>
        <v>0</v>
      </c>
      <c r="H58" s="1462"/>
      <c r="I58" s="1494"/>
      <c r="J58" s="1526" t="b">
        <f>IF(ISBLANK(H58),IF(H$28=Defaults!$M$2,"(Optional)",IF(H$28=Defaults!$M$4,"(Required)")),"")</f>
        <v>0</v>
      </c>
      <c r="K58" s="1462"/>
      <c r="L58" s="1494"/>
      <c r="M58" s="1526" t="b">
        <f>IF(ISBLANK(K58),IF(K$28=Defaults!$M$2,"(Optional)",IF(K$28=Defaults!$M$4,"(Required)")),"")</f>
        <v>0</v>
      </c>
      <c r="N58" s="483"/>
      <c r="O58" s="478" t="str">
        <f>IF($E$28="","",IF(D54="Not Required","Not applicable for this project type.","The vehicle type (e.g., Transit Bus, Streetcar, Ferry, etc.) of the baseline vehicle(s)."))</f>
        <v/>
      </c>
      <c r="P58" s="641"/>
      <c r="Q58" s="478" t="s">
        <v>132</v>
      </c>
      <c r="R58" s="785"/>
    </row>
    <row r="59" spans="2:18" ht="33.75" customHeight="1" x14ac:dyDescent="0.3">
      <c r="B59" s="477" t="s">
        <v>111</v>
      </c>
      <c r="C59" s="478" t="s">
        <v>133</v>
      </c>
      <c r="D59" s="611" t="str">
        <f>IF($E$28="","",IF(AND(OR(#REF!=Defaults!$M$2,#REF!=Defaults!$M$4,#REF!= Defaults!$M$2,#REF!=Defaults!$M$4),E$58=Defaults!$G$5),"Required Input","Not Required"))</f>
        <v/>
      </c>
      <c r="E59" s="1449"/>
      <c r="F59" s="1476"/>
      <c r="G59" s="1526" t="str">
        <f t="shared" ref="G59:G63" si="8">IF(ISBLANK(E59),"(Required)","")</f>
        <v>(Required)</v>
      </c>
      <c r="H59" s="1461"/>
      <c r="I59" s="1494"/>
      <c r="J59" s="1526" t="str">
        <f t="shared" ref="J59:J63" si="9">IF(ISBLANK(H59),"(Required)","")</f>
        <v>(Required)</v>
      </c>
      <c r="K59" s="1461"/>
      <c r="L59" s="1494"/>
      <c r="M59" s="1526" t="str">
        <f t="shared" ref="M59:M63" si="10">IF(ISBLANK(K59),"(Required)","")</f>
        <v>(Required)</v>
      </c>
      <c r="N59" s="483"/>
      <c r="O59" s="478"/>
      <c r="P59" s="641"/>
      <c r="Q59" s="478" t="s">
        <v>133</v>
      </c>
      <c r="R59" s="785"/>
    </row>
    <row r="60" spans="2:18" ht="33.75" customHeight="1" x14ac:dyDescent="0.3">
      <c r="B60" s="477" t="s">
        <v>113</v>
      </c>
      <c r="C60" s="478" t="s">
        <v>134</v>
      </c>
      <c r="D60" s="611" t="str">
        <f>IF($E$28="","",IF(AND(OR(#REF!=Defaults!$M$2,#REF!=Defaults!$M$4,#REF!= Defaults!$M$2,#REF!=Defaults!$M$4),OR($E$58=Defaults!$G$3,$E$58=Defaults!$G$4)),"Required Input","Not Required"))</f>
        <v/>
      </c>
      <c r="E60" s="1451"/>
      <c r="F60" s="1476"/>
      <c r="G60" s="1534" t="str">
        <f t="shared" si="8"/>
        <v>(Required)</v>
      </c>
      <c r="H60" s="1463"/>
      <c r="I60" s="1494"/>
      <c r="J60" s="1526" t="str">
        <f t="shared" si="9"/>
        <v>(Required)</v>
      </c>
      <c r="K60" s="1463"/>
      <c r="L60" s="1494"/>
      <c r="M60" s="1526" t="str">
        <f t="shared" si="10"/>
        <v>(Required)</v>
      </c>
      <c r="N60" s="483"/>
      <c r="O60" s="478"/>
      <c r="P60" s="641"/>
      <c r="Q60" s="478" t="s">
        <v>134</v>
      </c>
      <c r="R60" s="785"/>
    </row>
    <row r="61" spans="2:18" ht="33.75" customHeight="1" x14ac:dyDescent="0.3">
      <c r="B61" s="477" t="s">
        <v>115</v>
      </c>
      <c r="C61" s="478" t="s">
        <v>135</v>
      </c>
      <c r="D61" s="605" t="str">
        <f>IF($E$28="","",IF(OR(#REF!=Defaults!$M$4,#REF!=Defaults!$M$4,AND(OR(#REF!=Defaults!$M$2,#REF!=Defaults!$M$2),NOT(ISBLANK(E58)))),"Required Input","Not Required"))</f>
        <v/>
      </c>
      <c r="E61" s="1449"/>
      <c r="F61" s="1476"/>
      <c r="G61" s="1533" t="str">
        <f t="shared" si="8"/>
        <v>(Required)</v>
      </c>
      <c r="H61" s="1461"/>
      <c r="I61" s="1494"/>
      <c r="J61" s="1526" t="str">
        <f t="shared" si="9"/>
        <v>(Required)</v>
      </c>
      <c r="K61" s="1461"/>
      <c r="L61" s="1494"/>
      <c r="M61" s="1526" t="str">
        <f t="shared" si="10"/>
        <v>(Required)</v>
      </c>
      <c r="N61" s="483"/>
      <c r="O61" s="478"/>
      <c r="P61" s="641"/>
      <c r="Q61" s="478" t="s">
        <v>136</v>
      </c>
      <c r="R61" s="785"/>
    </row>
    <row r="62" spans="2:18" ht="33.75" customHeight="1" x14ac:dyDescent="0.3">
      <c r="B62" s="477" t="s">
        <v>117</v>
      </c>
      <c r="C62" s="478" t="s">
        <v>118</v>
      </c>
      <c r="D62" s="611" t="str">
        <f>IF($E$28="","",IF(OR(#REF!=Defaults!$M$4,#REF!=Defaults!$M$4,AND(OR(#REF!=Defaults!$M$2,#REF!=Defaults!$M$2),NOT(ISBLANK(E58)))),"Required Input","Not Required"))</f>
        <v/>
      </c>
      <c r="E62" s="1449"/>
      <c r="F62" s="1476"/>
      <c r="G62" s="1533" t="str">
        <f t="shared" si="8"/>
        <v>(Required)</v>
      </c>
      <c r="H62" s="1461"/>
      <c r="I62" s="1494"/>
      <c r="J62" s="1526" t="str">
        <f t="shared" si="9"/>
        <v>(Required)</v>
      </c>
      <c r="K62" s="1461"/>
      <c r="L62" s="1494"/>
      <c r="M62" s="1526" t="str">
        <f t="shared" si="10"/>
        <v>(Required)</v>
      </c>
      <c r="N62" s="483"/>
      <c r="O62" s="478"/>
      <c r="P62" s="641"/>
      <c r="Q62" s="478"/>
      <c r="R62" s="785"/>
    </row>
    <row r="63" spans="2:18" ht="33.75" customHeight="1" x14ac:dyDescent="0.3">
      <c r="B63" s="477" t="s">
        <v>119</v>
      </c>
      <c r="C63" s="478" t="s">
        <v>137</v>
      </c>
      <c r="D63" s="611" t="str">
        <f>IF($E$28="","",IF(AND(OR(#REF!=Defaults!$M$4,#REF!=Defaults!$M$4,#REF!=Defaults!$M$2,#REF!=Defaults!$M$2),OR(E$58=Defaults!$G$2,E$58=Defaults!$G$3,E$58=Defaults!$G$4,E$58=Defaults!$G$7,E$58=Defaults!$G$9,E$58=Defaults!$G$10)),"Required Input","Not Required"))</f>
        <v/>
      </c>
      <c r="E63" s="1449"/>
      <c r="F63" s="1476"/>
      <c r="G63" s="1533" t="str">
        <f t="shared" si="8"/>
        <v>(Required)</v>
      </c>
      <c r="H63" s="1461"/>
      <c r="I63" s="1494"/>
      <c r="J63" s="1526" t="str">
        <f t="shared" si="9"/>
        <v>(Required)</v>
      </c>
      <c r="K63" s="1461"/>
      <c r="L63" s="1494"/>
      <c r="M63" s="1526" t="str">
        <f t="shared" si="10"/>
        <v>(Required)</v>
      </c>
      <c r="N63" s="483"/>
      <c r="O63" s="478"/>
      <c r="P63" s="641"/>
      <c r="Q63" s="478" t="s">
        <v>138</v>
      </c>
      <c r="R63" s="785"/>
    </row>
    <row r="64" spans="2:18" ht="46.5" x14ac:dyDescent="0.3">
      <c r="B64" s="477" t="s">
        <v>121</v>
      </c>
      <c r="C64" s="478" t="s">
        <v>122</v>
      </c>
      <c r="D64" s="611" t="str">
        <f>IF($E$28="","",IF(OR(#REF!=Defaults!$M$4,#REF!=Defaults!$M$4,AND(OR(#REF!=Defaults!$M$2,#REF!=Defaults!$M$2),NOT(ISBLANK(E58)))),"Optional Input","Not Required"))</f>
        <v/>
      </c>
      <c r="E64" s="1449"/>
      <c r="F64" s="1476"/>
      <c r="G64" s="1534" t="str">
        <f>IF(ISBLANK(E64),"(Optional)","")</f>
        <v>(Optional)</v>
      </c>
      <c r="H64" s="1461"/>
      <c r="I64" s="1494"/>
      <c r="J64" s="1526" t="str">
        <f>IF(ISBLANK(H64),"(Optional)","")</f>
        <v>(Optional)</v>
      </c>
      <c r="K64" s="1461"/>
      <c r="L64" s="1494"/>
      <c r="M64" s="1526" t="str">
        <f>IF(ISBLANK(K64),"(Optional)","")</f>
        <v>(Optional)</v>
      </c>
      <c r="N64" s="483"/>
      <c r="O64" s="478"/>
      <c r="P64" s="641"/>
      <c r="Q64" s="478"/>
      <c r="R64" s="785"/>
    </row>
    <row r="65" spans="2:18" ht="82.5" customHeight="1" x14ac:dyDescent="0.3">
      <c r="B65" s="477" t="s">
        <v>139</v>
      </c>
      <c r="C65" s="478" t="s">
        <v>140</v>
      </c>
      <c r="D65" s="611" t="str">
        <f>IF($E$28="","",IF(AND(NOT(ISBLANK($E$66)),OR($E$58=Defaults!$G$3,$E$58=Defaults!$G$5,$E$58=Defaults!$G$6,$E$58=Defaults!$G$8)),"Optional",IF(AND(OR(#REF!=Defaults!$M$4,#REF!=Defaults!$M$4,#REF!=Defaults!$M$2,#REF!=Defaults!$M$2),OR(E$58=Defaults!$G$2,E$58=Defaults!$G$3,E$58=Defaults!$G$5,E$58=Defaults!$G$6,E$58=Defaults!$G$7,E$58=Defaults!$G$8,E$58=Defaults!$G$9,E$58=Defaults!$G$10)),"Required Input","Not Required")))</f>
        <v/>
      </c>
      <c r="E65" s="1450"/>
      <c r="F65" s="1476"/>
      <c r="G65" s="1533" t="str">
        <f>IF(ISBLANK(E65),"(Required)","")</f>
        <v>(Required)</v>
      </c>
      <c r="H65" s="1456"/>
      <c r="I65" s="1494"/>
      <c r="J65" s="1526" t="str">
        <f>IF(ISBLANK(H65),"(Required)","")</f>
        <v>(Required)</v>
      </c>
      <c r="K65" s="1456"/>
      <c r="L65" s="1494"/>
      <c r="M65" s="1526" t="str">
        <f>IF(ISBLANK(K65),"(Required)","")</f>
        <v>(Required)</v>
      </c>
      <c r="N65" s="483"/>
      <c r="O65" s="478"/>
      <c r="P65" s="641"/>
      <c r="Q65" s="478" t="s">
        <v>140</v>
      </c>
      <c r="R65" s="785"/>
    </row>
    <row r="66" spans="2:18" ht="110.25" customHeight="1" thickBot="1" x14ac:dyDescent="0.35">
      <c r="B66" s="477" t="s">
        <v>141</v>
      </c>
      <c r="C66" s="478" t="s">
        <v>142</v>
      </c>
      <c r="D66" s="605" t="str">
        <f>IF($E$28="","",IF(AND(NOT(ISBLANK($E$65)),OR($E$58=Defaults!$G$3,$E$58=Defaults!$G$5,$E$58=Defaults!$G$6,$E$58=Defaults!$G$8)),"Optional",IF(AND(OR(#REF!=Defaults!$M$2,#REF!=Defaults!$M$4,#REF!=Defaults!$M$2,#REF!=Defaults!$M$4),OR(E$58=Defaults!$G$3,E$58=Defaults!$G$4,E$58=Defaults!$G$5,E$58=Defaults!$G$6,E$58=Defaults!$G$8)),"Required Input","Not Required")))</f>
        <v/>
      </c>
      <c r="E66" s="1450"/>
      <c r="F66" s="1476"/>
      <c r="G66" s="1534" t="str">
        <f>IF(ISBLANK(E66),"(Required)","")</f>
        <v>(Required)</v>
      </c>
      <c r="H66" s="1456"/>
      <c r="I66" s="1494"/>
      <c r="J66" s="1526" t="str">
        <f>IF(ISBLANK(H66),"(Required)","")</f>
        <v>(Required)</v>
      </c>
      <c r="K66" s="1456"/>
      <c r="L66" s="1494"/>
      <c r="M66" s="1535" t="str">
        <f>IF(ISBLANK(K66),"(Required)","")</f>
        <v>(Required)</v>
      </c>
      <c r="N66" s="483"/>
      <c r="O66" s="478"/>
      <c r="P66" s="641"/>
      <c r="Q66" s="478" t="s">
        <v>142</v>
      </c>
      <c r="R66" s="785"/>
    </row>
    <row r="67" spans="2:18" ht="16.5" customHeight="1" thickBot="1" x14ac:dyDescent="0.35">
      <c r="B67" s="612" t="s">
        <v>143</v>
      </c>
      <c r="C67" s="630"/>
      <c r="D67" s="631"/>
      <c r="E67" s="632"/>
      <c r="F67" s="614"/>
      <c r="G67" s="632"/>
      <c r="H67" s="614"/>
      <c r="I67" s="1469"/>
      <c r="J67" s="1489"/>
      <c r="K67" s="614"/>
      <c r="L67" s="614"/>
      <c r="M67" s="1509"/>
      <c r="O67" s="641"/>
      <c r="P67" s="641"/>
      <c r="Q67" s="641"/>
      <c r="R67" s="641"/>
    </row>
    <row r="68" spans="2:18" ht="31" x14ac:dyDescent="0.3">
      <c r="B68" s="628" t="s">
        <v>144</v>
      </c>
      <c r="C68" s="629" t="s">
        <v>41</v>
      </c>
      <c r="D68" s="481" t="s">
        <v>42</v>
      </c>
      <c r="E68" s="482" t="s">
        <v>40</v>
      </c>
      <c r="F68" s="1469" t="s">
        <v>88</v>
      </c>
      <c r="G68" s="788"/>
      <c r="H68" s="486" t="s">
        <v>40</v>
      </c>
      <c r="I68" s="1469" t="s">
        <v>88</v>
      </c>
      <c r="J68" s="788"/>
      <c r="K68" s="486" t="s">
        <v>40</v>
      </c>
      <c r="L68" s="1490" t="s">
        <v>88</v>
      </c>
      <c r="M68" s="1489"/>
      <c r="N68" s="483"/>
      <c r="O68" s="641"/>
      <c r="P68" s="641"/>
      <c r="Q68" s="641"/>
      <c r="R68" s="641"/>
    </row>
    <row r="69" spans="2:18" ht="51.75" customHeight="1" x14ac:dyDescent="0.3">
      <c r="B69" s="477" t="s">
        <v>109</v>
      </c>
      <c r="C69" s="478" t="s">
        <v>145</v>
      </c>
      <c r="D69" s="611" t="str">
        <f>IF($E$28="","",IF(OR(#REF!=Defaults!$M$5,#REF!=Defaults!$M$5),"Required Input",IF(AND(NOT(ISBLANK(E$28)),NOT(OR(#REF!=Defaults!$M$5,#REF!=Defaults!$M$5))),"Optional Input","Not Required")))</f>
        <v/>
      </c>
      <c r="E69" s="1443"/>
      <c r="F69" s="1471"/>
      <c r="G69" s="1526" t="str">
        <f>IF(ISBLANK(E69),IF(E$28=Defaults!$M$5,"(Required)","(Optional)"),"")</f>
        <v>(Optional)</v>
      </c>
      <c r="H69" s="1462"/>
      <c r="I69" s="1494"/>
      <c r="J69" s="1526" t="str">
        <f>IF(ISBLANK(H69),IF(H$28=Defaults!$M$5,"(Required)","(Optional)"),"")</f>
        <v>(Optional)</v>
      </c>
      <c r="K69" s="1462"/>
      <c r="L69" s="1494"/>
      <c r="M69" s="1526" t="str">
        <f>IF(ISBLANK(K69),IF(K$28=Defaults!$M$5,"(Required)","(Optional)"),"")</f>
        <v>(Optional)</v>
      </c>
      <c r="N69" s="483"/>
      <c r="O69" s="478" t="str">
        <f>IF($E$28="","","The vehicle type (e.g., Transit Bus, Streetcar, Ferry, etc.) of the vehicle(s) that will realize fuel/energy reductions as a result of The project.")</f>
        <v/>
      </c>
      <c r="P69" s="641"/>
      <c r="Q69" s="478" t="s">
        <v>145</v>
      </c>
      <c r="R69" s="785"/>
    </row>
    <row r="70" spans="2:18" ht="33.75" customHeight="1" x14ac:dyDescent="0.3">
      <c r="B70" s="477" t="s">
        <v>111</v>
      </c>
      <c r="C70" s="478" t="s">
        <v>146</v>
      </c>
      <c r="D70" s="611" t="str">
        <f>IF($E$28="","",IF(E$69=Defaults!$G$5,"Required Input","Not Required"))</f>
        <v/>
      </c>
      <c r="E70" s="895"/>
      <c r="F70" s="1471"/>
      <c r="G70" s="1521" t="str">
        <f>IF(ISBLANK(E70),"(Required)","")</f>
        <v>(Required)</v>
      </c>
      <c r="H70" s="1464"/>
      <c r="I70" s="1494"/>
      <c r="J70" s="1521" t="str">
        <f>IF(ISBLANK(H70),"(Required)","")</f>
        <v>(Required)</v>
      </c>
      <c r="K70" s="1464"/>
      <c r="L70" s="1494"/>
      <c r="M70" s="1521" t="str">
        <f>IF(ISBLANK(K70),"(Required)","")</f>
        <v>(Required)</v>
      </c>
      <c r="N70" s="483"/>
      <c r="O70" s="478" t="str">
        <f>IF($E$28="","",IF(D70="Not Required","Not applicable for this project type.","The engine tier of the vehicle(s) that will realize fuel/energy reductions as a result of the project."))</f>
        <v/>
      </c>
      <c r="P70" s="641"/>
      <c r="Q70" s="478" t="s">
        <v>146</v>
      </c>
      <c r="R70" s="785"/>
    </row>
    <row r="71" spans="2:18" ht="33.75" customHeight="1" x14ac:dyDescent="0.3">
      <c r="B71" s="477" t="s">
        <v>113</v>
      </c>
      <c r="C71" s="478" t="s">
        <v>147</v>
      </c>
      <c r="D71" s="611" t="str">
        <f>IF($E$28="","",IF(OR(E$69=Defaults!$G$3,E$69=Defaults!$G$4),"Required Input","Not Required"))</f>
        <v/>
      </c>
      <c r="E71" s="895"/>
      <c r="F71" s="1471"/>
      <c r="G71" s="1521" t="str">
        <f>IF(ISBLANK(E71),"(Required)","")</f>
        <v>(Required)</v>
      </c>
      <c r="H71" s="1464"/>
      <c r="I71" s="1494"/>
      <c r="J71" s="1521" t="str">
        <f>IF(ISBLANK(H71),"(Required)","")</f>
        <v>(Required)</v>
      </c>
      <c r="K71" s="1464"/>
      <c r="L71" s="1494"/>
      <c r="M71" s="1521" t="str">
        <f>IF(ISBLANK(K71),"(Required)","")</f>
        <v>(Required)</v>
      </c>
      <c r="N71" s="483"/>
      <c r="O71" s="478" t="str">
        <f>IF($E$28="","",IF(D71="Not Required","Not applicable for this project type.","The engine horsepower rating of the vehicle(s) that will realize fuel/energy reductions as a result of the project."))</f>
        <v/>
      </c>
      <c r="P71" s="641"/>
      <c r="Q71" s="478" t="s">
        <v>147</v>
      </c>
      <c r="R71" s="785"/>
    </row>
    <row r="72" spans="2:18" ht="33.75" customHeight="1" x14ac:dyDescent="0.3">
      <c r="B72" s="477" t="s">
        <v>115</v>
      </c>
      <c r="C72" s="478" t="s">
        <v>148</v>
      </c>
      <c r="D72" s="611" t="str">
        <f>IF($E$28="","",IF(OR(#REF!=Defaults!$M$5,#REF!=Defaults!$M$5,AND(NOT(ISBLANK(E$28)),NOT(ISBLANK(E$69)))),"Required Input","Not Required"))</f>
        <v/>
      </c>
      <c r="E72" s="1449"/>
      <c r="F72" s="1471"/>
      <c r="G72" s="1526" t="str">
        <f>IF(ISBLANK(E72),"(Required)","")</f>
        <v>(Required)</v>
      </c>
      <c r="H72" s="1461"/>
      <c r="I72" s="1494"/>
      <c r="J72" s="1526" t="str">
        <f>IF(ISBLANK(H72),"(Required)","")</f>
        <v>(Required)</v>
      </c>
      <c r="K72" s="1461"/>
      <c r="L72" s="1494"/>
      <c r="M72" s="1526" t="str">
        <f>IF(ISBLANK(K72),"(Required)","")</f>
        <v>(Required)</v>
      </c>
      <c r="N72" s="483"/>
      <c r="O72" s="478" t="str">
        <f>IF($E$28="","",IF(D72="Not Required","Not applicable for this project type.","The fuel/energy type (e.g., diesel, grid electricity, etc.) being reduced as a result of the project."))</f>
        <v/>
      </c>
      <c r="P72" s="641"/>
      <c r="Q72" s="478" t="s">
        <v>149</v>
      </c>
      <c r="R72" s="785"/>
    </row>
    <row r="73" spans="2:18" ht="33.75" customHeight="1" x14ac:dyDescent="0.3">
      <c r="B73" s="477" t="s">
        <v>119</v>
      </c>
      <c r="C73" s="478" t="s">
        <v>150</v>
      </c>
      <c r="D73" s="611" t="str">
        <f>IF($E$28="","",IF(OR(E$69=Defaults!$G$2,E$69=Defaults!$G$3,E$69=Defaults!$G$4,E$69=Defaults!$G$7,E$69=Defaults!$G$9,E$69=Defaults!$G$10),"Required Input","Not Required"))</f>
        <v/>
      </c>
      <c r="E73" s="1449"/>
      <c r="F73" s="1471"/>
      <c r="G73" s="1526" t="str">
        <f>IF(ISBLANK(E73),"(Required)","")</f>
        <v>(Required)</v>
      </c>
      <c r="H73" s="1461"/>
      <c r="I73" s="1494"/>
      <c r="J73" s="1526" t="str">
        <f>IF(ISBLANK(H73),"(Required)","")</f>
        <v>(Required)</v>
      </c>
      <c r="K73" s="1461"/>
      <c r="L73" s="1494"/>
      <c r="M73" s="1526" t="str">
        <f>IF(ISBLANK(K73),"(Required)","")</f>
        <v>(Required)</v>
      </c>
      <c r="N73" s="483"/>
      <c r="O73" s="478" t="str">
        <f>IF($E$28="","",IF(D73="Not Required","Not applicable for this project type.","The average engine model year(s) of the vehicle(s) that will realize fuel/energy reductions as a result of the project."))</f>
        <v/>
      </c>
      <c r="P73" s="641"/>
      <c r="Q73" s="478" t="s">
        <v>151</v>
      </c>
      <c r="R73" s="785"/>
    </row>
    <row r="74" spans="2:18" ht="173.25" customHeight="1" thickBot="1" x14ac:dyDescent="0.35">
      <c r="B74" s="477" t="s">
        <v>152</v>
      </c>
      <c r="C74" s="478" t="s">
        <v>153</v>
      </c>
      <c r="D74" s="605" t="str">
        <f>IF($E$28="","",IF(NOT(ISBLANK(E69)),"Required Input","Not Required"))</f>
        <v/>
      </c>
      <c r="E74" s="1450"/>
      <c r="F74" s="1471"/>
      <c r="G74" s="1526" t="str">
        <f>IF(ISBLANK(E74),"(Required)","")</f>
        <v>(Required)</v>
      </c>
      <c r="H74" s="1456"/>
      <c r="I74" s="1494"/>
      <c r="J74" s="1526" t="str">
        <f>IF(ISBLANK(H74),"(Required)","")</f>
        <v>(Required)</v>
      </c>
      <c r="K74" s="1456"/>
      <c r="L74" s="1494"/>
      <c r="M74" s="1526" t="str">
        <f>IF(ISBLANK(K74),"(Required)","")</f>
        <v>(Required)</v>
      </c>
      <c r="N74" s="483"/>
      <c r="O74" s="478" t="str">
        <f>IF($E$28="","",IF(D74="Not Required","Not applicable for this project type.","The estimated annual fuel/energy reductions expected to be realized as a result of the project.
Units of gallons for biodiesel, diesel, gasoline, LNG, renewable diesel; scf for CNG and renewable natural gas; kWh for electric; kg for hydrogen."&amp;"
For projects that generate renewable electricity using solar photovoltaic panels, applicants should use the PVWatts Calculator to determine this input, available at http://pvwatts.nrel.gov/."))</f>
        <v/>
      </c>
      <c r="P74" s="641"/>
      <c r="Q74" s="478" t="s">
        <v>154</v>
      </c>
      <c r="R74" s="785"/>
    </row>
    <row r="75" spans="2:18" ht="16.5" customHeight="1" thickBot="1" x14ac:dyDescent="0.35">
      <c r="B75" s="612" t="s">
        <v>155</v>
      </c>
      <c r="C75" s="630"/>
      <c r="D75" s="631"/>
      <c r="E75" s="632"/>
      <c r="F75" s="614"/>
      <c r="G75" s="632"/>
      <c r="H75" s="614"/>
      <c r="I75" s="614"/>
      <c r="J75" s="632"/>
      <c r="K75" s="614"/>
      <c r="L75" s="614"/>
      <c r="M75" s="1509"/>
      <c r="O75" s="641"/>
      <c r="P75" s="641"/>
      <c r="Q75" s="641"/>
      <c r="R75" s="641"/>
    </row>
    <row r="76" spans="2:18" ht="31" x14ac:dyDescent="0.3">
      <c r="B76" s="628" t="s">
        <v>156</v>
      </c>
      <c r="C76" s="627" t="s">
        <v>41</v>
      </c>
      <c r="D76" s="626" t="s">
        <v>42</v>
      </c>
      <c r="E76" s="482" t="s">
        <v>40</v>
      </c>
      <c r="F76" s="1469" t="s">
        <v>88</v>
      </c>
      <c r="G76" s="788"/>
      <c r="H76" s="486" t="s">
        <v>40</v>
      </c>
      <c r="I76" s="1490" t="s">
        <v>88</v>
      </c>
      <c r="J76" s="788"/>
      <c r="K76" s="486" t="s">
        <v>40</v>
      </c>
      <c r="L76" s="1490" t="s">
        <v>88</v>
      </c>
      <c r="M76" s="1489"/>
      <c r="O76" s="641"/>
      <c r="P76" s="641"/>
      <c r="Q76" s="641"/>
      <c r="R76" s="641"/>
    </row>
    <row r="77" spans="2:18" ht="47.25" customHeight="1" x14ac:dyDescent="0.35">
      <c r="B77" s="477" t="s">
        <v>157</v>
      </c>
      <c r="C77" s="478" t="s">
        <v>158</v>
      </c>
      <c r="D77" s="605" t="str">
        <f>IF($E$28="","",IF(OR(#REF!=Defaults!$M$3,#REF!= Defaults!$M$3),"Required Input","Not Required"))</f>
        <v/>
      </c>
      <c r="E77" s="1453"/>
      <c r="F77" s="1471"/>
      <c r="G77" s="1526" t="str">
        <f>IF(ISBLANK(E77),"(Optional)","")</f>
        <v>(Optional)</v>
      </c>
      <c r="H77" s="1455"/>
      <c r="I77" s="1494"/>
      <c r="J77" s="1526" t="str">
        <f>IF(ISBLANK(H77),"(Optional)","")</f>
        <v>(Optional)</v>
      </c>
      <c r="K77" s="1455"/>
      <c r="L77" s="1494"/>
      <c r="M77" s="1526" t="str">
        <f>IF(ISBLANK(K77),"(Optional)","")</f>
        <v>(Optional)</v>
      </c>
      <c r="N77" s="463"/>
      <c r="O77" s="478" t="s">
        <v>159</v>
      </c>
      <c r="P77" s="641"/>
      <c r="Q77" s="478" t="s">
        <v>158</v>
      </c>
      <c r="R77" s="785"/>
    </row>
    <row r="78" spans="2:18" ht="47.25" customHeight="1" x14ac:dyDescent="0.35">
      <c r="B78" s="477" t="s">
        <v>160</v>
      </c>
      <c r="C78" s="478" t="s">
        <v>161</v>
      </c>
      <c r="D78" s="605" t="str">
        <f>IF($E$28="","",IF(OR(#REF!=Defaults!$M$2,#REF!= Defaults!$M$3,#REF!= Defaults!$M$2,#REF!= Defaults!$M$3),"Required Input","Not Required"))</f>
        <v/>
      </c>
      <c r="E78" s="1453"/>
      <c r="F78" s="1470"/>
      <c r="G78" s="1526" t="str">
        <f>IF(ISBLANK(E78),"(Optional)","")</f>
        <v>(Optional)</v>
      </c>
      <c r="H78" s="1465"/>
      <c r="I78" s="1482"/>
      <c r="J78" s="1526" t="str">
        <f>IF(ISBLANK(H78),"(Optional)","")</f>
        <v>(Optional)</v>
      </c>
      <c r="K78" s="1465"/>
      <c r="L78" s="1482"/>
      <c r="M78" s="1526" t="str">
        <f t="shared" ref="M78:M81" si="11">IF(ISBLANK(K78),"(Optional)","")</f>
        <v>(Optional)</v>
      </c>
      <c r="N78" s="463"/>
      <c r="O78" s="478" t="str">
        <f>IF($E$28="","",IF(D78="Not Required","Not applicable for this project type.","The new expected average fare cost per trip per rider resulting from the proposed project."))</f>
        <v/>
      </c>
      <c r="P78" s="641"/>
      <c r="Q78" s="478" t="s">
        <v>161</v>
      </c>
      <c r="R78" s="785"/>
    </row>
    <row r="79" spans="2:18" ht="78.75" customHeight="1" x14ac:dyDescent="0.35">
      <c r="B79" s="477" t="s">
        <v>162</v>
      </c>
      <c r="C79" s="478" t="s">
        <v>163</v>
      </c>
      <c r="D79" s="605" t="str">
        <f>IF($E$28="","",IF(OR(#REF!=Defaults!$M$2,#REF!= Defaults!$M$3,#REF!= Defaults!$M$2,#REF!= Defaults!$M$3),"Required Input","Not Required"))</f>
        <v/>
      </c>
      <c r="E79" s="1453"/>
      <c r="F79" s="1470"/>
      <c r="G79" s="1526" t="str">
        <f>IF(ISBLANK(E79),"(Optional)","")</f>
        <v>(Optional)</v>
      </c>
      <c r="H79" s="1465"/>
      <c r="I79" s="1482"/>
      <c r="J79" s="1526" t="str">
        <f>IF(ISBLANK(H79),"(Optional)","")</f>
        <v>(Optional)</v>
      </c>
      <c r="K79" s="1465"/>
      <c r="L79" s="1482"/>
      <c r="M79" s="1526" t="str">
        <f t="shared" si="11"/>
        <v>(Optional)</v>
      </c>
      <c r="N79" s="463"/>
      <c r="O79" s="478" t="str">
        <f>IF($E$28="","",IF(D79="Not Required","Not applicable for this project type.","The average expected cost of parking per trip per rider that riders would pay at the transit facility where the trip originates. "&amp;"Consider that not all transit riders may use the parking. However, the calculations will already take into account that parking is only paid once per round trip."))</f>
        <v/>
      </c>
      <c r="P79" s="641"/>
      <c r="Q79" s="478" t="s">
        <v>164</v>
      </c>
      <c r="R79" s="785"/>
    </row>
    <row r="80" spans="2:18" ht="78.75" customHeight="1" x14ac:dyDescent="0.35">
      <c r="B80" s="477" t="s">
        <v>165</v>
      </c>
      <c r="C80" s="478" t="s">
        <v>166</v>
      </c>
      <c r="D80" s="605" t="str">
        <f>IF($E$28="","",IF(OR(#REF!=Defaults!$M$2,#REF!= Defaults!$M$3,#REF!= Defaults!$M$2,#REF!= Defaults!$M$3),"Required Input","Not Required"))</f>
        <v/>
      </c>
      <c r="E80" s="1453"/>
      <c r="F80" s="1470"/>
      <c r="G80" s="1526" t="str">
        <f>IF(ISBLANK(E80),"(Optional)","")</f>
        <v>(Optional)</v>
      </c>
      <c r="H80" s="1465"/>
      <c r="I80" s="1482"/>
      <c r="J80" s="1526" t="str">
        <f>IF(ISBLANK(H80),"(Optional)","")</f>
        <v>(Optional)</v>
      </c>
      <c r="K80" s="1465"/>
      <c r="L80" s="1482"/>
      <c r="M80" s="1526" t="str">
        <f t="shared" si="11"/>
        <v>(Optional)</v>
      </c>
      <c r="N80" s="463"/>
      <c r="O80" s="478" t="str">
        <f>IF($E$28="","",IF(D80="Not Required","Not applicable for this project type.","The average expected cost of parking per trip per rider  that riders would have otherwise paid if not using the service resulting from the project. "&amp;"The calculations will already take into account that parking is only paid once per round trip."))</f>
        <v/>
      </c>
      <c r="P80" s="641"/>
      <c r="Q80" s="478" t="s">
        <v>166</v>
      </c>
      <c r="R80" s="785"/>
    </row>
    <row r="81" spans="2:18" ht="79.5" customHeight="1" thickBot="1" x14ac:dyDescent="0.4">
      <c r="B81" s="484" t="s">
        <v>167</v>
      </c>
      <c r="C81" s="485" t="s">
        <v>168</v>
      </c>
      <c r="D81" s="605" t="str">
        <f>IF($E$28="","",IF(OR(#REF!=Defaults!$M$2,#REF!= Defaults!$M$3,#REF!= Defaults!$M$2,#REF!= Defaults!$M$3),"Required Input","Not Required"))</f>
        <v/>
      </c>
      <c r="E81" s="1454"/>
      <c r="F81" s="1477"/>
      <c r="G81" s="1535" t="str">
        <f>IF(ISBLANK(E81),"(Optional)","")</f>
        <v>(Optional)</v>
      </c>
      <c r="H81" s="1466"/>
      <c r="I81" s="1496"/>
      <c r="J81" s="1535" t="str">
        <f>IF(ISBLANK(H81),"(Optional)","")</f>
        <v>(Optional)</v>
      </c>
      <c r="K81" s="1466"/>
      <c r="L81" s="1496"/>
      <c r="M81" s="1535" t="str">
        <f t="shared" si="11"/>
        <v>(Optional)</v>
      </c>
      <c r="N81" s="463"/>
      <c r="O81" s="485" t="str">
        <f>IF($E$28="","",IF(D81="Not Required","Not applicable for this project type.","The average expected cost of tolls per trip per rider that riders would have otherwise paid if not using the service resulting from the project. The calculations will already take into account that tolls are only paid once per round trip."))</f>
        <v/>
      </c>
      <c r="P81" s="783"/>
      <c r="Q81" s="485" t="s">
        <v>169</v>
      </c>
      <c r="R81" s="783"/>
    </row>
    <row r="82" spans="2:18" ht="16.5" hidden="1" customHeight="1" thickBot="1" x14ac:dyDescent="0.35">
      <c r="B82" s="612" t="s">
        <v>155</v>
      </c>
      <c r="C82" s="630"/>
      <c r="D82" s="631"/>
      <c r="E82" s="632"/>
      <c r="F82" s="632"/>
      <c r="G82" s="614"/>
      <c r="H82" s="614"/>
      <c r="I82" s="614"/>
      <c r="J82" s="614"/>
      <c r="K82" s="614"/>
      <c r="L82" s="632"/>
      <c r="M82" s="1486"/>
      <c r="O82" s="641"/>
      <c r="P82" s="641"/>
      <c r="Q82" s="642" t="s">
        <v>38</v>
      </c>
      <c r="R82" s="642"/>
    </row>
    <row r="83" spans="2:18" ht="48.5" hidden="1" x14ac:dyDescent="0.35">
      <c r="B83" s="634" t="s">
        <v>170</v>
      </c>
      <c r="C83" s="478" t="s">
        <v>171</v>
      </c>
      <c r="D83" s="636" t="s">
        <v>66</v>
      </c>
      <c r="E83" s="896" t="str">
        <f ca="1">IF('GHG Calcs'!CK12="","Incomplete Inputs",IFERROR('GHG Calcs'!CK12,"Incomplete Inputs"))</f>
        <v>Incomplete Inputs</v>
      </c>
      <c r="F83" s="893"/>
      <c r="G83" s="1478"/>
      <c r="H83" s="878" t="str">
        <f ca="1">IFERROR(VLOOKUP(MID(CELL("filename",H$43),FIND("]",CELL("filename",H$43))+1,255)&amp;SUBSTITUTE(ADDRESS(1,COLUMN(H$43),4),"1",""),'GHG Calcs'!$F$12:$CL$12,MATCH('GHG Calcs'!$CK$11,'GHG Calcs'!$F$11:$CL$11,0),0),"Incomplete Inputs")</f>
        <v>Incomplete Inputs</v>
      </c>
      <c r="I83" s="798"/>
      <c r="J83" s="1483"/>
      <c r="K83" s="800" t="str">
        <f ca="1">IFERROR(VLOOKUP(MID(CELL("filename",K$43),FIND("]",CELL("filename",K$43))+1,255)&amp;SUBSTITUTE(ADDRESS(1,COLUMN(K$43),4),"1",""),'GHG Calcs'!$F$12:$CL$12,MATCH('GHG Calcs'!$CK$11,'GHG Calcs'!$F$11:$CL$11,0),0),"Incomplete Inputs")</f>
        <v>Incomplete Inputs</v>
      </c>
      <c r="L83" s="798"/>
      <c r="M83" s="1487"/>
      <c r="N83" s="483"/>
      <c r="O83" s="641"/>
      <c r="P83" s="787" t="str">
        <f ca="1">IF('GHG Calcs'!CK12="","Incomplete Inputs",IFERROR('GHG Calcs'!CK12,"Incomplete Inputs"))</f>
        <v>Incomplete Inputs</v>
      </c>
      <c r="Q83" s="642" t="s">
        <v>38</v>
      </c>
      <c r="R83" s="787" t="str">
        <f ca="1">IFERROR(VLOOKUP(MID(CELL("filename",E$43),FIND("]",CELL("filename",E$43))+1,255)&amp;SUBSTITUTE(ADDRESS(1,COLUMN(E$43),4),"1",""),'GHG Calcs'!$F$12:$CL$12,MATCH('GHG Calcs'!$CK$11,'GHG Calcs'!$F$11:$CL$11,0),0),"Incomplete Inputs")</f>
        <v>Incomplete Inputs</v>
      </c>
    </row>
    <row r="84" spans="2:18" ht="62" hidden="1" x14ac:dyDescent="0.35">
      <c r="B84" s="477" t="s">
        <v>172</v>
      </c>
      <c r="C84" s="478" t="s">
        <v>173</v>
      </c>
      <c r="D84" s="605" t="s">
        <v>66</v>
      </c>
      <c r="E84" s="899" t="str">
        <f ca="1">IFERROR('GHG Calcs'!CK12*#REF!/#REF!,IF(ISERROR('GHG Calcs'!CK12),"Incomplete Inputs","Incomplete Funding Inputs"))</f>
        <v>Incomplete Funding Inputs</v>
      </c>
      <c r="F84" s="1096"/>
      <c r="G84" s="1479"/>
      <c r="H84" s="1097" t="str">
        <f ca="1">IFERROR(H83*(H17+H21)/H25,IF(ISTEXT(H83),"Incomplete Inputs","Incomplete Funding Inputs"))</f>
        <v>Incomplete Inputs</v>
      </c>
      <c r="I84" s="1098"/>
      <c r="J84" s="1484"/>
      <c r="K84" s="1099" t="str">
        <f ca="1">IFERROR(K83*(K17+K21)/K25,IF(ISTEXT(K83),"Incomplete Inputs","Incomplete Funding Inputs"))</f>
        <v>Incomplete Inputs</v>
      </c>
      <c r="L84" s="1098"/>
      <c r="M84" s="1487"/>
      <c r="N84" s="483"/>
      <c r="O84" s="641"/>
      <c r="P84" s="787" t="str">
        <f ca="1">IFERROR('GHG Calcs'!CK12*#REF!/#REF!,IF(ISERROR('GHG Calcs'!CK12),"Incomplete Inputs","Incomplete Funding Inputs"))</f>
        <v>Incomplete Funding Inputs</v>
      </c>
      <c r="Q84" s="642" t="s">
        <v>38</v>
      </c>
      <c r="R84" s="787" t="str">
        <f ca="1">IFERROR(E83*(E17+E21)/E25,IF(ISTEXT(E83),"Incomplete Inputs","Incomplete Funding Inputs"))</f>
        <v>Incomplete Inputs</v>
      </c>
    </row>
    <row r="85" spans="2:18" ht="78" hidden="1" thickBot="1" x14ac:dyDescent="0.4">
      <c r="B85" s="635" t="s">
        <v>174</v>
      </c>
      <c r="C85" s="898" t="s">
        <v>175</v>
      </c>
      <c r="D85" s="721" t="s">
        <v>66</v>
      </c>
      <c r="E85" s="897" t="str">
        <f ca="1">IFERROR('GHG Calcs'!CK12*#REF!/#REF!,IF(ISERROR('GHG Calcs'!CK12),"Incomplete Inputs","Incomplete Funding Inputs"))</f>
        <v>Incomplete Funding Inputs</v>
      </c>
      <c r="F85" s="894"/>
      <c r="G85" s="1480"/>
      <c r="H85" s="879" t="str">
        <f ca="1">IFERROR(H83*H17/H25,IF(ISTEXT(H83),"Incomplete Inputs","Incomplete Funding Inputs"))</f>
        <v>Incomplete Inputs</v>
      </c>
      <c r="I85" s="799"/>
      <c r="J85" s="1485"/>
      <c r="K85" s="801" t="str">
        <f ca="1">IFERROR(K83*K17/K25,IF(ISTEXT(K83),"Incomplete Inputs","Incomplete Funding Inputs"))</f>
        <v>Incomplete Inputs</v>
      </c>
      <c r="L85" s="799"/>
      <c r="M85" s="1487"/>
      <c r="O85" s="641"/>
      <c r="P85" s="787" t="str">
        <f>IFERROR('GHG Calcs'!#REF!*#REF!/#REF!,IF(ISERROR('GHG Calcs'!#REF!),"Incomplete Inputs","Incomplete Funding Inputs"))</f>
        <v>Incomplete Inputs</v>
      </c>
      <c r="Q85" s="642" t="s">
        <v>38</v>
      </c>
      <c r="R85" s="787" t="str">
        <f ca="1">IFERROR(E84*(E18+E22)/E26,IF(ISTEXT(E84),"Incomplete Inputs","Incomplete Funding Inputs"))</f>
        <v>Incomplete Inputs</v>
      </c>
    </row>
    <row r="86" spans="2:18" ht="15.5" x14ac:dyDescent="0.35">
      <c r="B86" s="463"/>
      <c r="C86" s="463"/>
      <c r="D86" s="463"/>
      <c r="E86" s="463"/>
      <c r="F86" s="463"/>
      <c r="G86" s="463"/>
    </row>
    <row r="87" spans="2:18" ht="15.5" x14ac:dyDescent="0.35">
      <c r="B87" s="463"/>
      <c r="C87" s="463"/>
      <c r="D87" s="463"/>
      <c r="E87" s="463"/>
      <c r="F87" s="463"/>
      <c r="G87" s="463"/>
    </row>
    <row r="88" spans="2:18" ht="15.5" x14ac:dyDescent="0.35">
      <c r="B88" s="463"/>
      <c r="C88" s="463"/>
      <c r="D88" s="463"/>
      <c r="E88" s="463"/>
      <c r="F88" s="463"/>
      <c r="G88" s="463"/>
    </row>
    <row r="89" spans="2:18" ht="15.5" x14ac:dyDescent="0.35">
      <c r="B89" s="463"/>
      <c r="C89" s="463"/>
      <c r="D89" s="463"/>
      <c r="E89" s="463"/>
      <c r="F89" s="463"/>
      <c r="G89" s="463"/>
    </row>
    <row r="90" spans="2:18" ht="15.5" x14ac:dyDescent="0.35">
      <c r="B90" s="463"/>
      <c r="C90" s="463"/>
      <c r="D90" s="463"/>
      <c r="E90" s="463"/>
      <c r="F90" s="463"/>
      <c r="G90" s="463"/>
    </row>
    <row r="91" spans="2:18" ht="15.5" x14ac:dyDescent="0.35">
      <c r="B91" s="463"/>
      <c r="C91" s="463"/>
      <c r="D91" s="463"/>
      <c r="E91" s="463"/>
      <c r="F91" s="463"/>
      <c r="G91" s="463"/>
    </row>
    <row r="92" spans="2:18" ht="15.5" x14ac:dyDescent="0.35">
      <c r="B92" s="463"/>
      <c r="C92" s="463"/>
      <c r="D92" s="463"/>
      <c r="E92" s="463"/>
      <c r="F92" s="463"/>
      <c r="G92" s="463"/>
    </row>
    <row r="93" spans="2:18" ht="15.5" x14ac:dyDescent="0.35">
      <c r="B93" s="463"/>
      <c r="C93" s="463"/>
      <c r="D93" s="463"/>
      <c r="E93" s="463"/>
      <c r="F93" s="463"/>
      <c r="G93" s="463"/>
    </row>
    <row r="94" spans="2:18" ht="15.5" x14ac:dyDescent="0.35">
      <c r="B94" s="463"/>
      <c r="C94" s="463"/>
      <c r="D94" s="463"/>
      <c r="E94" s="463"/>
      <c r="F94" s="463"/>
      <c r="G94" s="463"/>
    </row>
    <row r="95" spans="2:18" ht="15.5" x14ac:dyDescent="0.35">
      <c r="B95" s="463"/>
      <c r="C95" s="463"/>
      <c r="D95" s="463"/>
      <c r="E95" s="463"/>
      <c r="F95" s="463"/>
      <c r="G95" s="463"/>
    </row>
    <row r="96" spans="2:18" ht="15.5" x14ac:dyDescent="0.35">
      <c r="B96" s="463"/>
      <c r="C96" s="463"/>
      <c r="D96" s="463"/>
      <c r="E96" s="463"/>
      <c r="F96" s="463"/>
      <c r="G96" s="463"/>
    </row>
    <row r="97" spans="2:7" ht="15.5" x14ac:dyDescent="0.35">
      <c r="B97" s="463"/>
      <c r="C97" s="463"/>
      <c r="D97" s="463"/>
      <c r="E97" s="463"/>
      <c r="F97" s="463"/>
      <c r="G97" s="463"/>
    </row>
    <row r="98" spans="2:7" ht="15.5" x14ac:dyDescent="0.35">
      <c r="B98" s="463"/>
      <c r="C98" s="463"/>
      <c r="D98" s="463"/>
      <c r="E98" s="463"/>
      <c r="F98" s="463"/>
      <c r="G98" s="463"/>
    </row>
    <row r="99" spans="2:7" ht="15.5" x14ac:dyDescent="0.35">
      <c r="B99" s="463"/>
      <c r="C99" s="463"/>
      <c r="D99" s="463"/>
      <c r="E99" s="463"/>
      <c r="F99" s="463"/>
      <c r="G99" s="463"/>
    </row>
    <row r="100" spans="2:7" ht="15.5" x14ac:dyDescent="0.35">
      <c r="B100" s="463"/>
      <c r="C100" s="463"/>
      <c r="D100" s="463"/>
      <c r="E100" s="463"/>
      <c r="F100" s="463"/>
      <c r="G100" s="463"/>
    </row>
    <row r="101" spans="2:7" ht="15.5" x14ac:dyDescent="0.35">
      <c r="B101" s="463"/>
      <c r="C101" s="463"/>
      <c r="D101" s="463"/>
      <c r="E101" s="463"/>
      <c r="F101" s="463"/>
      <c r="G101" s="463"/>
    </row>
    <row r="102" spans="2:7" ht="15.5" x14ac:dyDescent="0.35">
      <c r="B102" s="463"/>
      <c r="C102" s="463"/>
      <c r="D102" s="463"/>
      <c r="E102" s="463"/>
      <c r="F102" s="463"/>
      <c r="G102" s="463"/>
    </row>
    <row r="103" spans="2:7" ht="15.5" x14ac:dyDescent="0.35">
      <c r="B103" s="463"/>
      <c r="C103" s="463"/>
      <c r="D103" s="463"/>
      <c r="E103" s="463"/>
      <c r="F103" s="463"/>
      <c r="G103" s="463"/>
    </row>
    <row r="104" spans="2:7" ht="15.5" x14ac:dyDescent="0.35">
      <c r="B104" s="463"/>
      <c r="C104" s="463"/>
      <c r="D104" s="463"/>
      <c r="E104" s="463"/>
      <c r="F104" s="463"/>
      <c r="G104" s="463"/>
    </row>
    <row r="105" spans="2:7" ht="15.5" x14ac:dyDescent="0.35">
      <c r="B105" s="463"/>
      <c r="C105" s="463"/>
      <c r="D105" s="463"/>
      <c r="E105" s="463"/>
      <c r="F105" s="463"/>
      <c r="G105" s="463"/>
    </row>
    <row r="106" spans="2:7" ht="15.5" x14ac:dyDescent="0.35">
      <c r="B106" s="463"/>
      <c r="C106" s="463"/>
      <c r="D106" s="463"/>
      <c r="E106" s="463"/>
      <c r="F106" s="463"/>
      <c r="G106" s="463"/>
    </row>
    <row r="107" spans="2:7" ht="15.5" x14ac:dyDescent="0.35">
      <c r="B107" s="463"/>
      <c r="C107" s="463"/>
      <c r="D107" s="463"/>
      <c r="E107" s="463"/>
      <c r="F107" s="463"/>
      <c r="G107" s="463"/>
    </row>
    <row r="108" spans="2:7" ht="15.5" x14ac:dyDescent="0.35">
      <c r="B108" s="463"/>
      <c r="C108" s="463"/>
      <c r="D108" s="463"/>
      <c r="E108" s="463"/>
      <c r="F108" s="463"/>
      <c r="G108" s="463"/>
    </row>
    <row r="109" spans="2:7" ht="15.5" x14ac:dyDescent="0.35">
      <c r="B109" s="463"/>
      <c r="C109" s="463"/>
      <c r="D109" s="463"/>
      <c r="E109" s="463"/>
      <c r="F109" s="463"/>
      <c r="G109" s="463"/>
    </row>
  </sheetData>
  <mergeCells count="48">
    <mergeCell ref="E15:F15"/>
    <mergeCell ref="H15:I15"/>
    <mergeCell ref="K15:L15"/>
    <mergeCell ref="E17:F17"/>
    <mergeCell ref="H17:I17"/>
    <mergeCell ref="K17:L17"/>
    <mergeCell ref="E18:F18"/>
    <mergeCell ref="H18:I18"/>
    <mergeCell ref="K18:L18"/>
    <mergeCell ref="E20:F20"/>
    <mergeCell ref="H20:I20"/>
    <mergeCell ref="K20:L20"/>
    <mergeCell ref="E21:F21"/>
    <mergeCell ref="H21:I21"/>
    <mergeCell ref="K21:L21"/>
    <mergeCell ref="E23:F23"/>
    <mergeCell ref="H23:I23"/>
    <mergeCell ref="K23:L23"/>
    <mergeCell ref="E24:F24"/>
    <mergeCell ref="H24:I24"/>
    <mergeCell ref="K24:L24"/>
    <mergeCell ref="E25:F25"/>
    <mergeCell ref="H25:I25"/>
    <mergeCell ref="K25:L25"/>
    <mergeCell ref="E27:F27"/>
    <mergeCell ref="H27:I27"/>
    <mergeCell ref="K27:L27"/>
    <mergeCell ref="E28:F28"/>
    <mergeCell ref="H28:I28"/>
    <mergeCell ref="K28:L28"/>
    <mergeCell ref="E29:F29"/>
    <mergeCell ref="H29:I29"/>
    <mergeCell ref="K29:L29"/>
    <mergeCell ref="E30:F30"/>
    <mergeCell ref="H30:I30"/>
    <mergeCell ref="K30:L30"/>
    <mergeCell ref="E31:F31"/>
    <mergeCell ref="H31:I31"/>
    <mergeCell ref="K31:L31"/>
    <mergeCell ref="E32:F32"/>
    <mergeCell ref="H32:I32"/>
    <mergeCell ref="K32:L32"/>
    <mergeCell ref="E33:F33"/>
    <mergeCell ref="H33:I33"/>
    <mergeCell ref="K33:L33"/>
    <mergeCell ref="E34:F34"/>
    <mergeCell ref="H34:I34"/>
    <mergeCell ref="K34:L34"/>
  </mergeCells>
  <conditionalFormatting sqref="E41">
    <cfRule type="expression" dxfId="311" priority="87">
      <formula>NOT(OR(E$40="Heavy Rail"))</formula>
    </cfRule>
  </conditionalFormatting>
  <conditionalFormatting sqref="E47">
    <cfRule type="expression" dxfId="309" priority="39">
      <formula>NOT(OR(E$46="Heavy Rail"))</formula>
    </cfRule>
  </conditionalFormatting>
  <conditionalFormatting sqref="E59">
    <cfRule type="expression" dxfId="307" priority="24">
      <formula>NOT(OR(E$58="Heavy Rail"))</formula>
    </cfRule>
  </conditionalFormatting>
  <conditionalFormatting sqref="E70">
    <cfRule type="expression" dxfId="305" priority="88">
      <formula>NOT(OR(E$69="Heavy Rail"))</formula>
    </cfRule>
  </conditionalFormatting>
  <conditionalFormatting sqref="E34:G34">
    <cfRule type="expression" dxfId="301" priority="73">
      <formula>OR($E$32&lt;=$E$31,$E$32-$E$31&gt;50)</formula>
    </cfRule>
  </conditionalFormatting>
  <conditionalFormatting sqref="G47">
    <cfRule type="expression" dxfId="294" priority="34">
      <formula>NOT(OR(E$46="Heavy Rail"))</formula>
    </cfRule>
  </conditionalFormatting>
  <conditionalFormatting sqref="G59 J59 M59">
    <cfRule type="expression" dxfId="285" priority="23">
      <formula>NOT(OR(E$58="Heavy Rail"))</formula>
    </cfRule>
  </conditionalFormatting>
  <conditionalFormatting sqref="G70 J70 M70">
    <cfRule type="expression" dxfId="275" priority="8">
      <formula>NOT(OR(E$69="Heavy Rail"))</formula>
    </cfRule>
  </conditionalFormatting>
  <conditionalFormatting sqref="G73 J73 M73">
    <cfRule type="expression" dxfId="272" priority="5">
      <formula>OR(E$69="Cut-A-Way",E$69="Over-Road Coach",E$69="Transit Bus",E$69="Van",E$69="DMU / EMU")</formula>
    </cfRule>
  </conditionalFormatting>
  <conditionalFormatting sqref="G74 J74 M74">
    <cfRule type="expression" dxfId="271" priority="4">
      <formula>NOT(ISBLANK(E$69))</formula>
    </cfRule>
  </conditionalFormatting>
  <conditionalFormatting sqref="H47">
    <cfRule type="expression" dxfId="268" priority="69">
      <formula>NOT(OR(H$46="Heavy Rail"))</formula>
    </cfRule>
  </conditionalFormatting>
  <conditionalFormatting sqref="H59">
    <cfRule type="expression" dxfId="262" priority="46">
      <formula>NOT(OR(H$58="Heavy Rail"))</formula>
    </cfRule>
  </conditionalFormatting>
  <conditionalFormatting sqref="H70">
    <cfRule type="expression" dxfId="259" priority="86">
      <formula>NOT(OR(H$69="Heavy Rail"))</formula>
    </cfRule>
  </conditionalFormatting>
  <conditionalFormatting sqref="H17:I18 K17:L18 H20:I21 K20:L21 H23:I24 K23:L24 H28:I33 K28:L33">
    <cfRule type="expression" dxfId="255" priority="54">
      <formula>ISBLANK(H$15)</formula>
    </cfRule>
  </conditionalFormatting>
  <conditionalFormatting sqref="H34:J34">
    <cfRule type="expression" dxfId="253" priority="72">
      <formula>OR($H$32&lt;=$H$31,$H$32-$H$31&gt;50)</formula>
    </cfRule>
  </conditionalFormatting>
  <conditionalFormatting sqref="H37:J40">
    <cfRule type="expression" dxfId="252" priority="80">
      <formula>ISBLANK($H$15)</formula>
    </cfRule>
  </conditionalFormatting>
  <conditionalFormatting sqref="H46:J54">
    <cfRule type="expression" dxfId="251" priority="48">
      <formula>ISBLANK($H$15)</formula>
    </cfRule>
  </conditionalFormatting>
  <conditionalFormatting sqref="H58:J66">
    <cfRule type="expression" dxfId="249" priority="41">
      <formula>ISBLANK($H$15)</formula>
    </cfRule>
  </conditionalFormatting>
  <conditionalFormatting sqref="H77:J81">
    <cfRule type="expression" dxfId="247" priority="45">
      <formula>ISBLANK($H$15)</formula>
    </cfRule>
  </conditionalFormatting>
  <conditionalFormatting sqref="J17:J18 M17:M18 J20:J21 M20:M21 J23:J24 M23:M24 J28:J33 M28:M33">
    <cfRule type="expression" dxfId="241" priority="1">
      <formula>ISBLANK(H$15)</formula>
    </cfRule>
  </conditionalFormatting>
  <conditionalFormatting sqref="K47">
    <cfRule type="expression" dxfId="236" priority="81">
      <formula>NOT(OR(K$46="Heavy Rail"))</formula>
    </cfRule>
  </conditionalFormatting>
  <conditionalFormatting sqref="K59">
    <cfRule type="expression" dxfId="232" priority="85">
      <formula>NOT(OR(K$58="Heavy Rail"))</formula>
    </cfRule>
  </conditionalFormatting>
  <conditionalFormatting sqref="K70">
    <cfRule type="expression" dxfId="227" priority="83">
      <formula>NOT(OR(K$69="Heavy Rail"))</formula>
    </cfRule>
  </conditionalFormatting>
  <conditionalFormatting sqref="K73:L73 E73:F73 H73:I73">
    <cfRule type="expression" dxfId="219" priority="84">
      <formula>OR(E$69="Cut-A-Way",E$69="Over-Road Coach",E$69="Transit Bus",E$69="Van",E$69="DMU / EMU")</formula>
    </cfRule>
  </conditionalFormatting>
  <conditionalFormatting sqref="K74:L74 E74:F74 H74:I74">
    <cfRule type="expression" dxfId="218" priority="82">
      <formula>NOT(ISBLANK(E$69))</formula>
    </cfRule>
  </conditionalFormatting>
  <conditionalFormatting sqref="K34:M34">
    <cfRule type="expression" dxfId="217" priority="71">
      <formula>OR($K$32&lt;=$K$31,$K$32-$K$31&gt;50)</formula>
    </cfRule>
  </conditionalFormatting>
  <conditionalFormatting sqref="K37:M40">
    <cfRule type="expression" dxfId="216" priority="74">
      <formula>ISBLANK($K$15)</formula>
    </cfRule>
  </conditionalFormatting>
  <conditionalFormatting sqref="K58:M66">
    <cfRule type="expression" dxfId="215" priority="43">
      <formula>ISBLANK($K$15)</formula>
    </cfRule>
  </conditionalFormatting>
  <conditionalFormatting sqref="K69:M74">
    <cfRule type="expression" dxfId="213" priority="76">
      <formula>ISBLANK($K$15)</formula>
    </cfRule>
  </conditionalFormatting>
  <conditionalFormatting sqref="K77:M81">
    <cfRule type="expression" dxfId="212" priority="77">
      <formula>ISBLANK($K$15)</formula>
    </cfRule>
  </conditionalFormatting>
  <dataValidations count="35">
    <dataValidation type="list" allowBlank="1" showInputMessage="1" showErrorMessage="1" sqref="E28:F28 H28:I28 K28:L28" xr:uid="{7DFB49B4-8493-416B-B4EE-81A3DA86F5EB}">
      <formula1>projtype</formula1>
    </dataValidation>
    <dataValidation type="list" allowBlank="1" showInputMessage="1" showErrorMessage="1" promptTitle="Note:" prompt="Must first select the type of region." sqref="K31 E31 H31" xr:uid="{EBC15095-A7C0-42A8-A136-BA467958A60E}">
      <formula1>IF(E$30="","",IF(E$30="County",cnty,basin))</formula1>
    </dataValidation>
    <dataValidation type="list" allowBlank="1" showInputMessage="1" showErrorMessage="1" sqref="E30 H30 K30" xr:uid="{2B3EB393-7A27-495A-B195-AB829C4CD925}">
      <formula1>region</formula1>
    </dataValidation>
    <dataValidation type="list" allowBlank="1" showInputMessage="1" showErrorMessage="1" sqref="K73 H73 E73" xr:uid="{33D8D2A6-00C8-441E-AAC3-87B6213859A3}">
      <formula1>IF(OR(ISBLANK(E32),E32&gt;2030),NMY,INDIRECT("'"&amp;"Defaults"&amp;"'!"&amp;"A"&amp;-E32+2032&amp;":A61"))</formula1>
    </dataValidation>
    <dataValidation type="list" allowBlank="1" showInputMessage="1" showErrorMessage="1" promptTitle="Note:" prompt="Selection locks after fuel type is identified" sqref="K69" xr:uid="{B01A2DAB-2856-4C9B-AF40-A95C320E3B88}">
      <formula1>IF($K$72="",vehicletype,"")</formula1>
    </dataValidation>
    <dataValidation type="list" allowBlank="1" showInputMessage="1" showErrorMessage="1" sqref="E32 H32 K32" xr:uid="{17448792-22FA-481A-9386-8B9822000FCA}">
      <formula1>CY</formula1>
    </dataValidation>
    <dataValidation allowBlank="1" showInputMessage="1" showErrorMessage="1" promptTitle="Leave blank if," prompt="No additional GGRF funding has or will be requested from another CCI Program for this project." sqref="K21 E24 E21 H21 H24 K24" xr:uid="{20376ABC-B089-450E-951E-67A03135C7F2}"/>
    <dataValidation allowBlank="1" showErrorMessage="1" sqref="E17:E18 H17:H18 K17:K18" xr:uid="{59221A25-BA5A-4172-88E7-25E2685B0CE7}"/>
    <dataValidation allowBlank="1" showInputMessage="1" showErrorMessage="1" promptTitle="Use the same ID :" prompt="For components that are not separable (i.e., one cannot happen wihout the other), use the same ID in each component tab used." sqref="E15 H15 K15" xr:uid="{8833AD4B-5C48-4609-9E5D-A382C2DC549B}"/>
    <dataValidation type="decimal" operator="greaterThanOrEqual" allowBlank="1" showInputMessage="1" showErrorMessage="1" sqref="E74 K74 H74" xr:uid="{6E6095B8-0734-4807-9BC9-728155143D41}">
      <formula1>0</formula1>
    </dataValidation>
    <dataValidation type="custom" allowBlank="1" showInputMessage="1" showErrorMessage="1" errorTitle="Lower Standard Fare Cost" error="To enter Reduced Fare Cost, need to enter a current Standard Fare Cost that is higher than the Reduced Fare Cost." promptTitle="Use:" prompt="Must first enter a value for Average Standard Fare Cost." sqref="E78 H78 K78" xr:uid="{12F64F41-32E7-4E42-A43D-B81933C1F882}">
      <formula1>AND(NOT(ISBLANK(E77)), E78&lt;E77)</formula1>
    </dataValidation>
    <dataValidation allowBlank="1" showInputMessage="1" showErrorMessage="1" errorTitle="Not a Required Field:" error="Select a project type above that makes this input a required field." promptTitle="Default:" prompt="Statewide average of $3 per day." sqref="E79 H79 K79" xr:uid="{289F6C84-37D6-478B-917C-E92AEB6E85BC}"/>
    <dataValidation allowBlank="1" showInputMessage="1" showErrorMessage="1" errorTitle="Not a Required Field:" error="Select a project type above that makes this input a required field." promptTitle="Default:" prompt="Statewide averages of $11.13 per day for weekday trips, $3.00 per day for weekend trips." sqref="E80 H80 K80" xr:uid="{3A8C090B-B461-4670-A243-4A7E7615661A}"/>
    <dataValidation allowBlank="1" showInputMessage="1" showErrorMessage="1" errorTitle="Not a Required Field:" error="Select a project type above that makes this input a required field." promptTitle="Default:" prompt="Average bridge toll cost of $5 per trip for passenger vehicles." sqref="E81 H81 K81" xr:uid="{0F9C69A8-CA7F-4AE6-AB91-9D05D01AD866}"/>
    <dataValidation type="list" allowBlank="1" showInputMessage="1" showErrorMessage="1" sqref="E51 H51 K51" xr:uid="{965AC0D3-9A36-46D6-A3C4-3A04284BD61A}">
      <formula1>IF(OR(ISBLANK(E32),E32&gt;2030),NMY,INDIRECT("'"&amp;"Defaults"&amp;"'!"&amp;"A"&amp;-E32+2032&amp;":A61"))</formula1>
    </dataValidation>
    <dataValidation type="list" allowBlank="1" showInputMessage="1" showErrorMessage="1" sqref="H63 E63 K63" xr:uid="{32038BE7-AAAB-4573-9D26-9F5A04690926}">
      <formula1>IF(OR(ISBLANK(E32),E32&gt;2030),NMY,INDIRECT("'"&amp;"Defaults"&amp;"'!"&amp;"A"&amp;-E32+2032&amp;":A61"))</formula1>
    </dataValidation>
    <dataValidation type="custom" allowBlank="1" showInputMessage="1" showErrorMessage="1" promptTitle="If unknown, use look up tables:" prompt="Quantification Methodlogy Appendix C includes look up tables by agency by mode, Table C-1, and by statewide average by mode, Table C-2." sqref="H41 K41" xr:uid="{ABDBD161-09FD-4AEF-BF3D-7EBECB2BE35A}">
      <formula1>IF(OR(H$28=$T$53,H$28=$T$54),H41&gt;0," ")</formula1>
    </dataValidation>
    <dataValidation type="list" allowBlank="1" showInputMessage="1" showErrorMessage="1" promptTitle="Note:" prompt="Selection locks after fuel type is identified" sqref="E46" xr:uid="{8E460334-9D88-4005-9A29-425F9583BFE4}">
      <formula1>IF($E$49="",vehicletype,"")</formula1>
    </dataValidation>
    <dataValidation type="list" allowBlank="1" showInputMessage="1" showErrorMessage="1" promptTitle="Note:" prompt="Selection locks after fuel type is identified" sqref="H46" xr:uid="{F416DF61-1E6C-44D0-AF77-81F349491007}">
      <formula1>IF($H$49="",vehicletype,"")</formula1>
    </dataValidation>
    <dataValidation type="list" allowBlank="1" showInputMessage="1" showErrorMessage="1" promptTitle="Note:" prompt="Selection locks after fuel type is identified" sqref="K46" xr:uid="{585C9950-61E5-49EB-84F9-50D919558DB1}">
      <formula1>IF($K$49="",vehicletype,"")</formula1>
    </dataValidation>
    <dataValidation type="list" allowBlank="1" showInputMessage="1" showErrorMessage="1" promptTitle="Note:" prompt="Selection locks after fuel type is identified" sqref="K58" xr:uid="{1AFA8EF0-540C-43F5-853F-91F1C009E0F8}">
      <formula1>IF($K$61="",vehicletype,"")</formula1>
    </dataValidation>
    <dataValidation type="list" allowBlank="1" showInputMessage="1" showErrorMessage="1" promptTitle="Note:" prompt="Selection locks after fuel type is identified" sqref="E58" xr:uid="{607F037F-8E3E-44B1-B535-62EC9146C563}">
      <formula1>IF($E$61="",vehicletype,"")</formula1>
    </dataValidation>
    <dataValidation type="list" allowBlank="1" showInputMessage="1" showErrorMessage="1" promptTitle="Note:" prompt="Selection locks after fuel type is identified" sqref="H58" xr:uid="{738CCB64-FD82-4D54-8106-FF76C7AD07A7}">
      <formula1>IF($H$61="",vehicletype,"")</formula1>
    </dataValidation>
    <dataValidation type="list" allowBlank="1" showInputMessage="1" showErrorMessage="1" promptTitle="Note:" prompt="Selection locks after fuel type is identified" sqref="H69" xr:uid="{21AE62B3-BFCE-4D30-805B-B158FB2C9106}">
      <formula1>IF($H$72="",vehicletype,"")</formula1>
    </dataValidation>
    <dataValidation type="list" allowBlank="1" showInputMessage="1" showErrorMessage="1" promptTitle="Note:" prompt="Selection locks after fuel type is identified" sqref="E69" xr:uid="{7704CBC8-3C22-4E2D-A832-EC432F2F2A9A}">
      <formula1>IF($E$72="",vehicletype,"")</formula1>
    </dataValidation>
    <dataValidation type="decimal" operator="greaterThan" allowBlank="1" showInputMessage="1" showErrorMessage="1" sqref="E48 H48 K48" xr:uid="{0919865E-3868-48B4-911E-5AECDEFB6007}">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E, Row 47)." sqref="E65" xr:uid="{45787BF4-C65E-42B8-8E00-CCAFB1479E59}">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G, Row 47)." sqref="H65" xr:uid="{078E5FCC-7FE3-461E-B43E-3AEF5721F27E}">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I, Row 47)." sqref="K65" xr:uid="{AFCF74A1-CAA6-413C-AC9D-08B6627A4216}">
      <formula1>0</formula1>
    </dataValidation>
    <dataValidation type="decimal" operator="greaterThan" allowBlank="1" showInputMessage="1" showErrorMessage="1" errorTitle="Invalid Input:" error="Input must be a number greater than 0." sqref="E60 H60 K60" xr:uid="{6BA0714C-37E9-460C-9B61-52A281CD5501}">
      <formula1>0</formula1>
    </dataValidation>
    <dataValidation type="decimal" allowBlank="1" showInputMessage="1" showErrorMessage="1" sqref="E52 H52 K52 E64 H64 K64" xr:uid="{D75267AF-ED9C-473F-80E7-C580D7CC759A}">
      <formula1>-10000000</formula1>
      <formula2>10000000</formula2>
    </dataValidation>
    <dataValidation type="decimal" operator="greaterThanOrEqual" allowBlank="1" showInputMessage="1" showErrorMessage="1" errorTitle="Invalid Input:" error="Value must be greater than 0." promptTitle="Due to the high variability:" prompt="For rail and ferry vehicles, applicants may provide project-specific information on the estimated annual fuel instead of annual VMT." sqref="H54 E54 E66 K66 H66 K54" xr:uid="{3E95E8D6-152F-4828-B393-892B3FE44902}">
      <formula1>0</formula1>
    </dataValidation>
    <dataValidation type="decimal" operator="greaterThanOrEqual" allowBlank="1" showInputMessage="1" showErrorMessage="1" errorTitle="Invalid Input:" error="Value must be greater than 0." sqref="E53 H53 K53" xr:uid="{30FAC177-1FBA-4276-9C3D-646022A04E67}">
      <formula1>0</formula1>
    </dataValidation>
    <dataValidation type="decimal" operator="greaterThan" allowBlank="1" showInputMessage="1" showErrorMessage="1" errorTitle="Invalid Input:" error="Value must be greater than 0." sqref="E71 H71 K71" xr:uid="{E8931F4A-215F-4364-AEE6-1989675016DF}">
      <formula1>0</formula1>
    </dataValidation>
    <dataValidation type="decimal" operator="greaterThanOrEqual" allowBlank="1" showErrorMessage="1" errorTitle="Invalid Input:" error="Value must be greater than 0." sqref="K55 H55 E55" xr:uid="{52EA1D26-7FB8-4890-B2CC-335198BBD0AC}">
      <formula1>0</formula1>
    </dataValidation>
  </dataValidations>
  <pageMargins left="0.7" right="0.7" top="0.75" bottom="0.75" header="0.3" footer="0.3"/>
  <pageSetup scale="26" fitToHeight="0" orientation="portrait" r:id="rId1"/>
  <headerFooter>
    <oddHeader>&amp;C&amp;12
&amp;G</oddHeader>
    <oddFooter>&amp;L&amp;"Avenir LT Std 55 Roman,Regular"&amp;12DRAFT September 13, 2019&amp;C&amp;"Avenir LT Std 55 Roman,Regular"&amp;12&amp;P of &amp;N&amp;R&amp;"Avenir LT Std 55 Roman,Regular"&amp;12&amp;A</oddFooter>
  </headerFooter>
  <rowBreaks count="1" manualBreakCount="1">
    <brk id="66" min="1" max="9" man="1"/>
  </rowBreaks>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37" id="{C60B92A9-69EE-4746-A5AD-8275401B001A}">
            <xm:f>OR(E$28=Defaults!$M$2,E$28=Defaults!$M$3)</xm:f>
            <x14:dxf>
              <fill>
                <patternFill>
                  <bgColor theme="9" tint="0.79998168889431442"/>
                </patternFill>
              </fill>
            </x14:dxf>
          </x14:cfRule>
          <xm:sqref>E37:E40 H37:H40 K37:K40</xm:sqref>
        </x14:conditionalFormatting>
        <x14:conditionalFormatting xmlns:xm="http://schemas.microsoft.com/office/excel/2006/main">
          <x14:cfRule type="expression" priority="38" id="{3205284A-B75A-4E3D-82B1-4CA7193D7D87}">
            <xm:f>OR(E$28=Defaults!$M$2,E$28=Defaults!$M$4)</xm:f>
            <x14:dxf>
              <fill>
                <patternFill>
                  <bgColor theme="9" tint="0.79998168889431442"/>
                </patternFill>
              </fill>
            </x14:dxf>
          </x14:cfRule>
          <xm:sqref>E46 H46 K46 E49:F50 H49:I50 K49:L50</xm:sqref>
        </x14:conditionalFormatting>
        <x14:conditionalFormatting xmlns:xm="http://schemas.microsoft.com/office/excel/2006/main">
          <x14:cfRule type="expression" priority="60" id="{D5DFF7AB-2C35-4946-AF72-352CD7EBBF69}">
            <xm:f>NOT(OR($E$46=Defaults!$G$3,$E$46=Defaults!$G$4))</xm:f>
            <x14:dxf>
              <font>
                <color rgb="FFFF0000"/>
              </font>
              <fill>
                <patternFill>
                  <bgColor theme="1"/>
                </patternFill>
              </fill>
            </x14:dxf>
          </x14:cfRule>
          <xm:sqref>E48</xm:sqref>
        </x14:conditionalFormatting>
        <x14:conditionalFormatting xmlns:xm="http://schemas.microsoft.com/office/excel/2006/main">
          <x14:cfRule type="expression" priority="67" id="{26C16EDA-BD21-48B6-888B-66679EF7D341}">
            <xm:f>NOT(OR($E$58=Defaults!$G$3,$E$58=Defaults!$G$4))</xm:f>
            <x14:dxf>
              <font>
                <color rgb="FFFF0000"/>
              </font>
              <fill>
                <patternFill>
                  <bgColor theme="1"/>
                </patternFill>
              </fill>
            </x14:dxf>
          </x14:cfRule>
          <xm:sqref>E60</xm:sqref>
        </x14:conditionalFormatting>
        <x14:conditionalFormatting xmlns:xm="http://schemas.microsoft.com/office/excel/2006/main">
          <x14:cfRule type="expression" priority="42" id="{56A838EB-B099-41AB-B213-CE98620CF811}">
            <xm:f>NOT(OR($E$69=Defaults!$G$3,$E$69=Defaults!$G$4))</xm:f>
            <x14:dxf>
              <font>
                <color rgb="FFFF0000"/>
              </font>
              <fill>
                <patternFill>
                  <bgColor theme="1"/>
                </patternFill>
              </fill>
            </x14:dxf>
          </x14:cfRule>
          <xm:sqref>E71</xm:sqref>
        </x14:conditionalFormatting>
        <x14:conditionalFormatting xmlns:xm="http://schemas.microsoft.com/office/excel/2006/main">
          <x14:cfRule type="expression" priority="40" id="{B959F417-C641-4BCD-86DA-CABF37F5140B}">
            <xm:f>AND(NOT(ISBLANK($E$54)),OR($E$46=Defaults!$G$3,$E$46=Defaults!$G$5,$E$46=Defaults!$G$6,$E$46=Defaults!$G$8))</xm:f>
            <x14:dxf>
              <fill>
                <patternFill>
                  <bgColor theme="4" tint="0.59996337778862885"/>
                </patternFill>
              </fill>
            </x14:dxf>
          </x14:cfRule>
          <xm:sqref>E53:F53</xm:sqref>
        </x14:conditionalFormatting>
        <x14:conditionalFormatting xmlns:xm="http://schemas.microsoft.com/office/excel/2006/main">
          <x14:cfRule type="expression" priority="55" id="{F34250BD-CA01-4D8B-9201-8B8D2C59231C}">
            <xm:f>OR(E$28=Defaults!$M$2, E$28=Defaults!$M$3, E$28=Defaults!$M$4)</xm:f>
            <x14:dxf>
              <fill>
                <patternFill>
                  <bgColor theme="4" tint="0.59996337778862885"/>
                </patternFill>
              </fill>
            </x14:dxf>
          </x14:cfRule>
          <xm:sqref>E69:F69 H69:I69 K69:L69</xm:sqref>
        </x14:conditionalFormatting>
        <x14:conditionalFormatting xmlns:xm="http://schemas.microsoft.com/office/excel/2006/main">
          <x14:cfRule type="expression" priority="27" id="{26AA8E80-7A05-480C-B58A-C6CB69D27487}">
            <xm:f>AND(NOT(ISBLANK($E$53)),OR($E$46=Defaults!$G$3,$E$46=Defaults!$G$5,$E$46=Defaults!$G$6,$E$46=Defaults!$G$8))</xm:f>
            <x14:dxf>
              <fill>
                <patternFill>
                  <bgColor theme="4" tint="0.59996337778862885"/>
                </patternFill>
              </fill>
            </x14:dxf>
          </x14:cfRule>
          <xm:sqref>E54:G54</xm:sqref>
        </x14:conditionalFormatting>
        <x14:conditionalFormatting xmlns:xm="http://schemas.microsoft.com/office/excel/2006/main">
          <x14:cfRule type="expression" priority="12" id="{19A4876D-1781-44DC-9A7A-79CDB008D457}">
            <xm:f>AND(NOT(ISBLANK($E$66)),OR($E$58=Defaults!$G$3,$E$58=Defaults!$G$5,$E$58=Defaults!$G$6,$E$58=Defaults!$G$8))</xm:f>
            <x14:dxf>
              <fill>
                <patternFill>
                  <bgColor theme="4" tint="0.59996337778862885"/>
                </patternFill>
              </fill>
            </x14:dxf>
          </x14:cfRule>
          <xm:sqref>E65:G65</xm:sqref>
        </x14:conditionalFormatting>
        <x14:conditionalFormatting xmlns:xm="http://schemas.microsoft.com/office/excel/2006/main">
          <x14:cfRule type="expression" priority="15" id="{0C51C8C9-6C3C-49CC-9B57-97F26306D84B}">
            <xm:f>AND(NOT(ISBLANK($E$65)),OR($E$58=Defaults!$G$3,$E$58=Defaults!$G$5,$E$58=Defaults!$G$6,$E$58=Defaults!$G$8))</xm:f>
            <x14:dxf>
              <fill>
                <patternFill>
                  <bgColor theme="4" tint="0.59996337778862885"/>
                </patternFill>
              </fill>
            </x14:dxf>
          </x14:cfRule>
          <xm:sqref>E66:G66 J66 M66</xm:sqref>
        </x14:conditionalFormatting>
        <x14:conditionalFormatting xmlns:xm="http://schemas.microsoft.com/office/excel/2006/main">
          <x14:cfRule type="expression" priority="59" id="{34DAF0C3-D402-437E-B0FA-AA1718701BB8}">
            <xm:f>OR(E$28=Defaults!$M$2,E$28=Defaults!$M$3)</xm:f>
            <x14:dxf>
              <fill>
                <patternFill>
                  <bgColor theme="9" tint="0.79998168889431442"/>
                </patternFill>
              </fill>
            </x14:dxf>
          </x14:cfRule>
          <xm:sqref>F37:F40 I37:I40 L37:L40</xm:sqref>
        </x14:conditionalFormatting>
        <x14:conditionalFormatting xmlns:xm="http://schemas.microsoft.com/office/excel/2006/main">
          <x14:cfRule type="expression" priority="36" id="{229ADE2C-080F-4F5C-BC52-1629E496AE42}">
            <xm:f>OR(E$28=Defaults!$M$2,E$28=Defaults!$M$3)</xm:f>
            <x14:dxf>
              <fill>
                <patternFill>
                  <bgColor theme="9" tint="0.79998168889431442"/>
                </patternFill>
              </fill>
            </x14:dxf>
          </x14:cfRule>
          <xm:sqref>G37:G40 J37:J40 M37:M40</xm:sqref>
        </x14:conditionalFormatting>
        <x14:conditionalFormatting xmlns:xm="http://schemas.microsoft.com/office/excel/2006/main">
          <x14:cfRule type="expression" priority="29" id="{20BC8799-EDA3-4F41-B290-F7029C6D23B7}">
            <xm:f>OR(E$28=Defaults!$M$2,E$28=Defaults!$M$4)</xm:f>
            <x14:dxf>
              <fill>
                <patternFill>
                  <bgColor theme="9" tint="0.79998168889431442"/>
                </patternFill>
              </fill>
            </x14:dxf>
          </x14:cfRule>
          <xm:sqref>G46 J46 M46</xm:sqref>
        </x14:conditionalFormatting>
        <x14:conditionalFormatting xmlns:xm="http://schemas.microsoft.com/office/excel/2006/main">
          <x14:cfRule type="expression" priority="33" id="{CC8BC108-3147-45C8-80C6-4C8A27D6C880}">
            <xm:f>OR(E$28=Defaults!$M$4)</xm:f>
            <x14:dxf>
              <fill>
                <patternFill>
                  <bgColor theme="9" tint="0.79998168889431442"/>
                </patternFill>
              </fill>
            </x14:dxf>
          </x14:cfRule>
          <xm:sqref>G47:G48 J47:J48 M47:M48</xm:sqref>
        </x14:conditionalFormatting>
        <x14:conditionalFormatting xmlns:xm="http://schemas.microsoft.com/office/excel/2006/main">
          <x14:cfRule type="expression" priority="35" id="{3ED485AC-7843-4435-A1A4-C90937F69E5B}">
            <xm:f>NOT(OR($E$46=Defaults!$G$3,$E$46=Defaults!$G$4))</xm:f>
            <x14:dxf>
              <font>
                <color auto="1"/>
              </font>
              <fill>
                <patternFill>
                  <bgColor theme="1"/>
                </patternFill>
              </fill>
            </x14:dxf>
          </x14:cfRule>
          <xm:sqref>G48</xm:sqref>
        </x14:conditionalFormatting>
        <x14:conditionalFormatting xmlns:xm="http://schemas.microsoft.com/office/excel/2006/main">
          <x14:cfRule type="expression" priority="32" id="{4F091A2F-622D-47DA-839C-75116E5691C1}">
            <xm:f>OR(E$28=Defaults!$M$2,E$28=Defaults!$M$4)</xm:f>
            <x14:dxf>
              <fill>
                <patternFill>
                  <bgColor theme="9" tint="0.79998168889431442"/>
                </patternFill>
              </fill>
            </x14:dxf>
          </x14:cfRule>
          <xm:sqref>G49:G50 J49:J50 M49:M50</xm:sqref>
        </x14:conditionalFormatting>
        <x14:conditionalFormatting xmlns:xm="http://schemas.microsoft.com/office/excel/2006/main">
          <x14:cfRule type="expression" priority="31" id="{0608FED1-E78A-45E4-9FF2-DB552279EB0A}">
            <xm:f>AND(OR(E$28=Defaults!$M$2,E$28=Defaults!$M$4),OR(E$46="Cut-A-Way",E$46="Over-Road Coach",E$46="Transit Bus",E$46="Van",E$46="Ferry",E$46="DMU / EMU"))</xm:f>
            <x14:dxf>
              <fill>
                <patternFill>
                  <bgColor theme="9" tint="0.79998168889431442"/>
                </patternFill>
              </fill>
            </x14:dxf>
          </x14:cfRule>
          <xm:sqref>G51 J51 M51</xm:sqref>
        </x14:conditionalFormatting>
        <x14:conditionalFormatting xmlns:xm="http://schemas.microsoft.com/office/excel/2006/main">
          <x14:cfRule type="expression" priority="30" id="{79108C31-B5BE-4D29-A615-D226684981EE}">
            <xm:f>OR(E$28=Defaults!$M$2,E$28=Defaults!$M$4)</xm:f>
            <x14:dxf>
              <fill>
                <patternFill>
                  <bgColor theme="4" tint="0.59996337778862885"/>
                </patternFill>
              </fill>
            </x14:dxf>
          </x14:cfRule>
          <xm:sqref>G52 J52 M52</xm:sqref>
        </x14:conditionalFormatting>
        <x14:conditionalFormatting xmlns:xm="http://schemas.microsoft.com/office/excel/2006/main">
          <x14:cfRule type="expression" priority="28" id="{4E8232EB-5F69-4C2C-951B-928429E65705}">
            <xm:f>AND(OR(E$28=Defaults!$M$2,E$28=Defaults!$M$4),OR(E$46="Cut-A-Way",E$46="Heavy Rail",E$46="Light Rail",E$46="Over-Road Coach",E$46="Streetcar",E$46="Transit Bus",E$46="Van",E$46="DMU / EMU"))</xm:f>
            <x14:dxf>
              <fill>
                <patternFill>
                  <bgColor theme="9" tint="0.79998168889431442"/>
                </patternFill>
              </fill>
            </x14:dxf>
          </x14:cfRule>
          <xm:sqref>G53 J53 M53</xm:sqref>
        </x14:conditionalFormatting>
        <x14:conditionalFormatting xmlns:xm="http://schemas.microsoft.com/office/excel/2006/main">
          <x14:cfRule type="expression" priority="11" id="{74C7356D-F2E2-4FE7-A499-D4219EBE4AAB}">
            <xm:f>E$28=Defaults!$M$2</xm:f>
            <x14:dxf>
              <fill>
                <patternFill>
                  <bgColor theme="4" tint="0.59996337778862885"/>
                </patternFill>
              </fill>
            </x14:dxf>
          </x14:cfRule>
          <xm:sqref>G58 J58 M58</xm:sqref>
        </x14:conditionalFormatting>
        <x14:conditionalFormatting xmlns:xm="http://schemas.microsoft.com/office/excel/2006/main">
          <x14:cfRule type="expression" priority="14" id="{8D455628-B965-4A58-B861-D6E16E45D569}">
            <xm:f>OR(E$28=Defaults!$M$2,E$28=Defaults!$M$4)</xm:f>
            <x14:dxf>
              <fill>
                <patternFill>
                  <bgColor theme="9" tint="0.79998168889431442"/>
                </patternFill>
              </fill>
            </x14:dxf>
          </x14:cfRule>
          <xm:sqref>G58</xm:sqref>
        </x14:conditionalFormatting>
        <x14:conditionalFormatting xmlns:xm="http://schemas.microsoft.com/office/excel/2006/main">
          <x14:cfRule type="expression" priority="25" id="{C6479ABB-B11E-4253-88D6-C03ABED7EBB6}">
            <xm:f>OR(E$28=Defaults!$M$4)</xm:f>
            <x14:dxf>
              <fill>
                <patternFill>
                  <bgColor theme="9" tint="0.79998168889431442"/>
                </patternFill>
              </fill>
            </x14:dxf>
          </x14:cfRule>
          <xm:sqref>G59:G60 J59:J60 M59:M60</xm:sqref>
        </x14:conditionalFormatting>
        <x14:conditionalFormatting xmlns:xm="http://schemas.microsoft.com/office/excel/2006/main">
          <x14:cfRule type="expression" priority="22" id="{533FE2CE-DEA1-48E5-8D10-69AB4C774578}">
            <xm:f>NOT(OR(E$58=Defaults!$G$3,E$58=Defaults!$G$4))</xm:f>
            <x14:dxf>
              <fill>
                <patternFill>
                  <bgColor theme="1"/>
                </patternFill>
              </fill>
            </x14:dxf>
          </x14:cfRule>
          <xm:sqref>G60 J60 M60</xm:sqref>
        </x14:conditionalFormatting>
        <x14:conditionalFormatting xmlns:xm="http://schemas.microsoft.com/office/excel/2006/main">
          <x14:cfRule type="expression" priority="21" id="{88A271E9-B5A5-4C95-80D8-F2AAF5952C39}">
            <xm:f>OR(E$28=Defaults!$M$4, AND(NOT(ISBLANK(E$58)),E$28=Defaults!$M$2))</xm:f>
            <x14:dxf>
              <fill>
                <patternFill>
                  <bgColor theme="9" tint="0.79998168889431442"/>
                </patternFill>
              </fill>
            </x14:dxf>
          </x14:cfRule>
          <xm:sqref>G61:G62 J61:J62 M61:M62</xm:sqref>
        </x14:conditionalFormatting>
        <x14:conditionalFormatting xmlns:xm="http://schemas.microsoft.com/office/excel/2006/main">
          <x14:cfRule type="expression" priority="20" id="{6DE072C1-BE4B-4692-A320-EC7C5D978973}">
            <xm:f>AND(OR(E$28=Defaults!$M$4,E$28=Defaults!$M$2),OR(E$58="Cut-A-Way",E$58="Over-Road Coach",E$58="Transit Bus",E$58="Van",E$58="DMU / EMU"))</xm:f>
            <x14:dxf>
              <fill>
                <patternFill>
                  <bgColor theme="9" tint="0.79998168889431442"/>
                </patternFill>
              </fill>
            </x14:dxf>
          </x14:cfRule>
          <xm:sqref>G63 J63 M63</xm:sqref>
        </x14:conditionalFormatting>
        <x14:conditionalFormatting xmlns:xm="http://schemas.microsoft.com/office/excel/2006/main">
          <x14:cfRule type="expression" priority="19" id="{89C27912-DE5A-46ED-84CA-049FA93802A7}">
            <xm:f>OR(E$28=Defaults!$M$4, AND(NOT(ISBLANK(E$58)),E$28=Defaults!$M$2))</xm:f>
            <x14:dxf>
              <fill>
                <patternFill>
                  <bgColor theme="4" tint="0.59996337778862885"/>
                </patternFill>
              </fill>
            </x14:dxf>
          </x14:cfRule>
          <xm:sqref>G64 J64 M64</xm:sqref>
        </x14:conditionalFormatting>
        <x14:conditionalFormatting xmlns:xm="http://schemas.microsoft.com/office/excel/2006/main">
          <x14:cfRule type="expression" priority="13" id="{E71E6BF0-081E-4E7B-85E2-A4C3E8EB8F63}">
            <xm:f>AND(OR(E$28=Defaults!$M$4, E$28=Defaults!$M$2),OR(E$58="Cut-A-Way",E$58="Heavy Rail",E$58="Light Rail",E$58="Over-Road Coach",E$58="Streetcar",E$58="Transit Bus",E$58="Van",E$58="DMU / EMU"))</xm:f>
            <x14:dxf>
              <fill>
                <patternFill>
                  <bgColor theme="9" tint="0.79998168889431442"/>
                </patternFill>
              </fill>
            </x14:dxf>
          </x14:cfRule>
          <xm:sqref>G65</xm:sqref>
        </x14:conditionalFormatting>
        <x14:conditionalFormatting xmlns:xm="http://schemas.microsoft.com/office/excel/2006/main">
          <x14:cfRule type="expression" priority="16" id="{BC458CFF-BABE-4850-A2EC-F111ECFD4FCC}">
            <xm:f>AND(OR(E$28=Defaults!$M$4, E$28=Defaults!$M$2),OR(E$58="Ferry",E$58="Heavy Rail",E$58="Light Rail",E$58="Streetcar",E$58="DMU / EMU"))</xm:f>
            <x14:dxf>
              <fill>
                <patternFill>
                  <bgColor theme="9" tint="0.79998168889431442"/>
                </patternFill>
              </fill>
            </x14:dxf>
          </x14:cfRule>
          <xm:sqref>G66 J66 M66</xm:sqref>
        </x14:conditionalFormatting>
        <x14:conditionalFormatting xmlns:xm="http://schemas.microsoft.com/office/excel/2006/main">
          <x14:cfRule type="expression" priority="10" id="{4F3F73F0-16B9-4CE6-8FA3-BC094D768CA8}">
            <xm:f>OR(E$28=Defaults!$M$5)</xm:f>
            <x14:dxf>
              <fill>
                <patternFill>
                  <bgColor theme="9" tint="0.79998168889431442"/>
                </patternFill>
              </fill>
            </x14:dxf>
          </x14:cfRule>
          <x14:cfRule type="expression" priority="9" id="{CF064EEA-AA9A-461C-8318-1BCD247EF1DC}">
            <xm:f>OR(E$28=Defaults!$M$2, E$28=Defaults!$M$3, E$28=Defaults!$M$4)</xm:f>
            <x14:dxf>
              <fill>
                <patternFill>
                  <bgColor theme="4" tint="0.59996337778862885"/>
                </patternFill>
              </fill>
            </x14:dxf>
          </x14:cfRule>
          <xm:sqref>G69 J69 M69</xm:sqref>
        </x14:conditionalFormatting>
        <x14:conditionalFormatting xmlns:xm="http://schemas.microsoft.com/office/excel/2006/main">
          <x14:cfRule type="expression" priority="7" id="{8DA241CF-EB63-4495-9955-348606CCFB89}">
            <xm:f>NOT(OR(E$69=Defaults!$G$3,E$69=Defaults!$G$4))</xm:f>
            <x14:dxf>
              <fill>
                <patternFill>
                  <bgColor theme="1"/>
                </patternFill>
              </fill>
            </x14:dxf>
          </x14:cfRule>
          <xm:sqref>G71 J71 M71</xm:sqref>
        </x14:conditionalFormatting>
        <x14:conditionalFormatting xmlns:xm="http://schemas.microsoft.com/office/excel/2006/main">
          <x14:cfRule type="expression" priority="6" id="{C00044A3-62E3-4DB7-807B-F3C238BD6091}">
            <xm:f>OR(E$28=Defaults!$M$5, NOT(ISBLANK(E$69)))</xm:f>
            <x14:dxf>
              <fill>
                <patternFill>
                  <bgColor theme="9" tint="0.79998168889431442"/>
                </patternFill>
              </fill>
            </x14:dxf>
          </x14:cfRule>
          <xm:sqref>G72 J72 M72</xm:sqref>
        </x14:conditionalFormatting>
        <x14:conditionalFormatting xmlns:xm="http://schemas.microsoft.com/office/excel/2006/main">
          <x14:cfRule type="expression" priority="3" id="{8CC33000-02BB-4C61-B120-CFE938811A57}">
            <xm:f>E$28=Defaults!$M$3</xm:f>
            <x14:dxf>
              <fill>
                <patternFill>
                  <bgColor theme="4" tint="0.59996337778862885"/>
                </patternFill>
              </fill>
            </x14:dxf>
          </x14:cfRule>
          <xm:sqref>G77:G78 J77:J78 M77:M78</xm:sqref>
        </x14:conditionalFormatting>
        <x14:conditionalFormatting xmlns:xm="http://schemas.microsoft.com/office/excel/2006/main">
          <x14:cfRule type="expression" priority="2" id="{68971D14-02DD-4C9E-9674-3D0A34506572}">
            <xm:f>OR(E$28=Defaults!$M$2, E$28=Defaults!$M$3)</xm:f>
            <x14:dxf>
              <fill>
                <patternFill>
                  <bgColor theme="4" tint="0.59996337778862885"/>
                </patternFill>
              </fill>
            </x14:dxf>
          </x14:cfRule>
          <xm:sqref>G78:G81 J78:J81 M78:M81</xm:sqref>
        </x14:conditionalFormatting>
        <x14:conditionalFormatting xmlns:xm="http://schemas.microsoft.com/office/excel/2006/main">
          <x14:cfRule type="expression" priority="68" id="{00CC3E2E-B5DD-48E1-92B6-CFE1047E41BA}">
            <xm:f>NOT(OR($H$46=Defaults!$G$3,$H$46=Defaults!$G$4))</xm:f>
            <x14:dxf>
              <font>
                <color rgb="FFFF0000"/>
              </font>
              <fill>
                <patternFill>
                  <bgColor theme="1"/>
                </patternFill>
              </fill>
            </x14:dxf>
          </x14:cfRule>
          <xm:sqref>H48</xm:sqref>
        </x14:conditionalFormatting>
        <x14:conditionalFormatting xmlns:xm="http://schemas.microsoft.com/office/excel/2006/main">
          <x14:cfRule type="expression" priority="91" id="{C433A858-579D-47F9-BEF9-948A339CE5C3}">
            <xm:f>OR(E$28=Defaults!$M$2,E$28=Defaults!$M$4)</xm:f>
            <x14:dxf>
              <fill>
                <patternFill>
                  <bgColor theme="4" tint="0.59996337778862885"/>
                </patternFill>
              </fill>
            </x14:dxf>
          </x14:cfRule>
          <xm:sqref>H52 E52 K52</xm:sqref>
        </x14:conditionalFormatting>
        <x14:conditionalFormatting xmlns:xm="http://schemas.microsoft.com/office/excel/2006/main">
          <x14:cfRule type="expression" priority="52" id="{6434D4BD-B2CD-4D38-9543-74120FB0CC35}">
            <xm:f>AND(OR(E$28=Defaults!$M$2,E$28=Defaults!$M$4),OR(E$46="Cut-A-Way",E$46="Heavy Rail",E$46="Light Rail",E$46="Over-Road Coach",E$46="Streetcar",E$46="Transit Bus",E$46="Van",E$46="DMU / EMU"))</xm:f>
            <x14:dxf>
              <fill>
                <patternFill>
                  <bgColor theme="9" tint="0.79998168889431442"/>
                </patternFill>
              </fill>
            </x14:dxf>
          </x14:cfRule>
          <xm:sqref>H53 E53 K53</xm:sqref>
        </x14:conditionalFormatting>
        <x14:conditionalFormatting xmlns:xm="http://schemas.microsoft.com/office/excel/2006/main">
          <x14:cfRule type="expression" priority="61" id="{5F1B4412-0322-4949-A915-93AEF494EB31}">
            <xm:f>AND(OR(E$28=Defaults!$M$2,E$28=Defaults!$M$4),OR(E$46="Ferry",E$46="Heavy Rail",E$46="Light Rail",E$46="Streetcar",E$46="DMU / EMU"))</xm:f>
            <x14:dxf>
              <fill>
                <patternFill>
                  <bgColor theme="9" tint="0.79998168889431442"/>
                </patternFill>
              </fill>
            </x14:dxf>
          </x14:cfRule>
          <xm:sqref>H54 E54 K54</xm:sqref>
        </x14:conditionalFormatting>
        <x14:conditionalFormatting xmlns:xm="http://schemas.microsoft.com/office/excel/2006/main">
          <x14:cfRule type="expression" priority="44" id="{BB388371-ED5E-4F82-9E76-B5B3204A71F9}">
            <xm:f>E$28=Defaults!$M$4</xm:f>
            <x14:dxf>
              <fill>
                <patternFill>
                  <bgColor theme="9" tint="0.79998168889431442"/>
                </patternFill>
              </fill>
            </x14:dxf>
          </x14:cfRule>
          <xm:sqref>H58 E58:F58</xm:sqref>
        </x14:conditionalFormatting>
        <x14:conditionalFormatting xmlns:xm="http://schemas.microsoft.com/office/excel/2006/main">
          <x14:cfRule type="expression" priority="66" id="{9E319CB2-335D-46FE-A3A9-090E8041CC1F}">
            <xm:f>NOT(OR($H$58=Defaults!$G$3,$H$58=Defaults!$G$4))</xm:f>
            <x14:dxf>
              <font>
                <color rgb="FFFF0000"/>
              </font>
              <fill>
                <patternFill>
                  <bgColor theme="1"/>
                </patternFill>
              </fill>
            </x14:dxf>
          </x14:cfRule>
          <xm:sqref>H60</xm:sqref>
        </x14:conditionalFormatting>
        <x14:conditionalFormatting xmlns:xm="http://schemas.microsoft.com/office/excel/2006/main">
          <x14:cfRule type="expression" priority="102" id="{40924338-BEDD-43EF-9C10-898D52390676}">
            <xm:f>AND(OR(E$28=Defaults!$M$4, E$28=Defaults!$M$2),OR(E$58="Ferry",E$58="Heavy Rail",E$58="Light Rail",E$58="Streetcar",E$58="DMU / EMU"))</xm:f>
            <x14:dxf>
              <fill>
                <patternFill>
                  <bgColor theme="9" tint="0.79998168889431442"/>
                </patternFill>
              </fill>
            </x14:dxf>
          </x14:cfRule>
          <xm:sqref>H66 K66 E66</xm:sqref>
        </x14:conditionalFormatting>
        <x14:conditionalFormatting xmlns:xm="http://schemas.microsoft.com/office/excel/2006/main">
          <x14:cfRule type="expression" priority="63" id="{9E2226C6-90DF-42B8-9807-D62A5E3C4E67}">
            <xm:f>NOT(OR($H$69=Defaults!$G$3,$H$69=Defaults!$G$4))</xm:f>
            <x14:dxf>
              <font>
                <color rgb="FFFF0000"/>
              </font>
              <fill>
                <patternFill>
                  <bgColor theme="1"/>
                </patternFill>
              </fill>
            </x14:dxf>
          </x14:cfRule>
          <xm:sqref>H71</xm:sqref>
        </x14:conditionalFormatting>
        <x14:conditionalFormatting xmlns:xm="http://schemas.microsoft.com/office/excel/2006/main">
          <x14:cfRule type="expression" priority="56" id="{28BB63E8-12A3-4E39-B15D-B3AEBEE667E2}">
            <xm:f>E$28=Defaults!$M$3</xm:f>
            <x14:dxf>
              <fill>
                <patternFill>
                  <bgColor theme="4" tint="0.59996337778862885"/>
                </patternFill>
              </fill>
            </x14:dxf>
          </x14:cfRule>
          <xm:sqref>H77:H78 E77:E78 K77:K78</xm:sqref>
        </x14:conditionalFormatting>
        <x14:conditionalFormatting xmlns:xm="http://schemas.microsoft.com/office/excel/2006/main">
          <x14:cfRule type="expression" priority="58" id="{F80A1D3C-8DEF-4FA3-947B-C7F5A806AAF8}">
            <xm:f>OR(E$28=Defaults!$M$2, E$28=Defaults!$M$3)</xm:f>
            <x14:dxf>
              <fill>
                <patternFill>
                  <bgColor theme="4" tint="0.59996337778862885"/>
                </patternFill>
              </fill>
            </x14:dxf>
          </x14:cfRule>
          <xm:sqref>H78:H81 E78:E81 K78:K81</xm:sqref>
        </x14:conditionalFormatting>
        <x14:conditionalFormatting xmlns:xm="http://schemas.microsoft.com/office/excel/2006/main">
          <x14:cfRule type="expression" priority="92" id="{71E3F72D-6BA0-4EF6-8FD5-3B4552965C6C}">
            <xm:f>AND(OR(E$28=Defaults!$M$2,E$28=Defaults!$M$4),OR(E$46="Cut-A-Way",E$46="Over-Road Coach",E$46="Transit Bus",E$46="Van",E$46="Ferry",E$46="DMU / EMU"))</xm:f>
            <x14:dxf>
              <fill>
                <patternFill>
                  <bgColor theme="9" tint="0.79998168889431442"/>
                </patternFill>
              </fill>
            </x14:dxf>
          </x14:cfRule>
          <xm:sqref>H51:I51 E51:F51 K51:L51</xm:sqref>
        </x14:conditionalFormatting>
        <x14:conditionalFormatting xmlns:xm="http://schemas.microsoft.com/office/excel/2006/main">
          <x14:cfRule type="expression" priority="79" id="{4B400065-3A32-47A4-898D-929508B35F3F}">
            <xm:f>AND(NOT(ISBLANK($H$53)),OR($H$46=Defaults!$G$3,$H$46=Defaults!$G$5,$H$46=Defaults!$G$6,$H$46=Defaults!$G$8))</xm:f>
            <x14:dxf>
              <fill>
                <patternFill>
                  <bgColor theme="4" tint="0.39994506668294322"/>
                </patternFill>
              </fill>
            </x14:dxf>
          </x14:cfRule>
          <xm:sqref>H54:J54</xm:sqref>
        </x14:conditionalFormatting>
        <x14:conditionalFormatting xmlns:xm="http://schemas.microsoft.com/office/excel/2006/main">
          <x14:cfRule type="expression" priority="78" id="{68A93F39-1094-4109-9BE2-A097E6684139}">
            <xm:f>AND(NOT(ISBLANK($H$65)),OR($H$58=Defaults!$G$3,$H$58=Defaults!$G$5,$H$58=Defaults!$G$6,$H$58=Defaults!$G$8))</xm:f>
            <x14:dxf>
              <fill>
                <patternFill>
                  <bgColor theme="4" tint="0.39994506668294322"/>
                </patternFill>
              </fill>
            </x14:dxf>
          </x14:cfRule>
          <xm:sqref>H66:J66</xm:sqref>
        </x14:conditionalFormatting>
        <x14:conditionalFormatting xmlns:xm="http://schemas.microsoft.com/office/excel/2006/main">
          <x14:cfRule type="expression" priority="53" id="{B7ED4EE2-27BF-4F46-812E-45AD4375E702}">
            <xm:f>OR(E$28=Defaults!$M$2,E$28=Defaults!$M$4)</xm:f>
            <x14:dxf>
              <fill>
                <patternFill>
                  <bgColor theme="4" tint="0.59996337778862885"/>
                </patternFill>
              </fill>
            </x14:dxf>
          </x14:cfRule>
          <xm:sqref>I52 F52 L52</xm:sqref>
        </x14:conditionalFormatting>
        <x14:conditionalFormatting xmlns:xm="http://schemas.microsoft.com/office/excel/2006/main">
          <x14:cfRule type="expression" priority="93" id="{DC4FA549-1255-46D8-9D55-F6EFFF2B206D}">
            <xm:f>AND(OR(E$28=Defaults!$M$2,E$28=Defaults!$M$4),OR(E$46="Cut-A-Way",E$46="Heavy Rail",E$46="Light Rail",E$46="Over-Road Coach",E$46="Streetcar",E$46="Transit Bus",E$46="Van",E$46="DMU / EMU"))</xm:f>
            <x14:dxf>
              <fill>
                <patternFill>
                  <bgColor theme="9" tint="0.79998168889431442"/>
                </patternFill>
              </fill>
            </x14:dxf>
          </x14:cfRule>
          <xm:sqref>I53 F53 L53</xm:sqref>
        </x14:conditionalFormatting>
        <x14:conditionalFormatting xmlns:xm="http://schemas.microsoft.com/office/excel/2006/main">
          <x14:cfRule type="expression" priority="94" id="{DAE83228-3995-4697-A2D3-0463C1699621}">
            <xm:f>AND(OR(E$28=Defaults!$M$2,E$28=Defaults!$M$4),OR(E$46="Ferry",E$46="Heavy Rail",E$46="Light Rail",E$46="Streetcar",E$46="DMU / EMU"))</xm:f>
            <x14:dxf>
              <fill>
                <patternFill>
                  <bgColor theme="9" tint="0.79998168889431442"/>
                </patternFill>
              </fill>
            </x14:dxf>
          </x14:cfRule>
          <xm:sqref>I54 L54 F54</xm:sqref>
        </x14:conditionalFormatting>
        <x14:conditionalFormatting xmlns:xm="http://schemas.microsoft.com/office/excel/2006/main">
          <x14:cfRule type="expression" priority="103" id="{EE2F14BA-DFC7-4325-862B-B4D31315EC62}">
            <xm:f>AND(OR(E$28=Defaults!$M$4, E$28=Defaults!$M$2),OR(E$58="Ferry",E$58="Heavy Rail",E$58="Light Rail",E$58="Streetcar",E$58="DMU / EMU"))</xm:f>
            <x14:dxf>
              <font>
                <b val="0"/>
                <i val="0"/>
              </font>
              <fill>
                <patternFill>
                  <bgColor theme="9" tint="0.79998168889431442"/>
                </patternFill>
              </fill>
            </x14:dxf>
          </x14:cfRule>
          <xm:sqref>I66 L66 F66</xm:sqref>
        </x14:conditionalFormatting>
        <x14:conditionalFormatting xmlns:xm="http://schemas.microsoft.com/office/excel/2006/main">
          <x14:cfRule type="expression" priority="57" id="{0A79FA23-3DE9-4D07-8C39-E4BB197304EB}">
            <xm:f>OR(E$28=Defaults!$M$2, E$28=Defaults!$M$3)</xm:f>
            <x14:dxf>
              <fill>
                <patternFill>
                  <bgColor theme="4" tint="0.59996337778862885"/>
                </patternFill>
              </fill>
            </x14:dxf>
          </x14:cfRule>
          <xm:sqref>I78:I81 F78:F81 L78:L81</xm:sqref>
        </x14:conditionalFormatting>
        <x14:conditionalFormatting xmlns:xm="http://schemas.microsoft.com/office/excel/2006/main">
          <x14:cfRule type="expression" priority="51" id="{9AE3BFF2-8AB1-43B6-9E4B-C04632E5FB6F}">
            <xm:f>AND(OR(E$28=Defaults!$M$2,E$28=Defaults!$M$4),OR(E$46="Ferry",E$46="Heavy Rail",E$46="Light Rail",E$46="Streetcar",E$46="DMU / EMU"))</xm:f>
            <x14:dxf>
              <fill>
                <patternFill>
                  <bgColor theme="9" tint="0.79998168889431442"/>
                </patternFill>
              </fill>
            </x14:dxf>
          </x14:cfRule>
          <xm:sqref>J54 G54 M54</xm:sqref>
        </x14:conditionalFormatting>
        <x14:conditionalFormatting xmlns:xm="http://schemas.microsoft.com/office/excel/2006/main">
          <x14:cfRule type="expression" priority="26" id="{7FC61977-177A-445C-A245-483F179F0CFA}">
            <xm:f>H$28=Defaults!$M$4</xm:f>
            <x14:dxf>
              <fill>
                <patternFill>
                  <bgColor theme="9" tint="0.79998168889431442"/>
                </patternFill>
              </fill>
            </x14:dxf>
          </x14:cfRule>
          <xm:sqref>J58 M58</xm:sqref>
        </x14:conditionalFormatting>
        <x14:conditionalFormatting xmlns:xm="http://schemas.microsoft.com/office/excel/2006/main">
          <x14:cfRule type="expression" priority="17" id="{CA1B195D-5368-427D-92A2-BE6D70BA44B3}">
            <xm:f>AND(NOT(ISBLANK($E$66)),OR($E$58=Defaults!$G$3,$E$58=Defaults!$G$5,$E$58=Defaults!$G$6,$E$58=Defaults!$G$8))</xm:f>
            <x14:dxf>
              <fill>
                <patternFill>
                  <bgColor theme="4" tint="0.59996337778862885"/>
                </patternFill>
              </fill>
            </x14:dxf>
          </x14:cfRule>
          <x14:cfRule type="expression" priority="18" id="{CE43DEEB-494F-4119-89A6-912988F321D3}">
            <xm:f>AND(OR(H$28=Defaults!$M$4, H$28=Defaults!$M$2),OR(H$58="Cut-A-Way",H$58="Heavy Rail",H$58="Light Rail",H$58="Over-Road Coach",H$58="Streetcar",H$58="Transit Bus",H$58="Van",H$58="DMU / EMU"))</xm:f>
            <x14:dxf>
              <fill>
                <patternFill>
                  <bgColor theme="9" tint="0.79998168889431442"/>
                </patternFill>
              </fill>
            </x14:dxf>
          </x14:cfRule>
          <xm:sqref>J65 M65</xm:sqref>
        </x14:conditionalFormatting>
        <x14:conditionalFormatting xmlns:xm="http://schemas.microsoft.com/office/excel/2006/main">
          <x14:cfRule type="expression" priority="90" id="{21784C2A-17D5-4D8B-ACB1-53DDEE2EA036}">
            <xm:f>OR(E$28=Defaults!$M$4)</xm:f>
            <x14:dxf>
              <fill>
                <patternFill>
                  <bgColor theme="9" tint="0.79998168889431442"/>
                </patternFill>
              </fill>
            </x14:dxf>
          </x14:cfRule>
          <xm:sqref>K47:K48 H47:H48 E47:E48</xm:sqref>
        </x14:conditionalFormatting>
        <x14:conditionalFormatting xmlns:xm="http://schemas.microsoft.com/office/excel/2006/main">
          <x14:cfRule type="expression" priority="62" id="{F455EF3C-0C81-4967-8CBC-805EEB789457}">
            <xm:f>NOT(OR($K$46=Defaults!$G$3,$K$46=Defaults!$G$4))</xm:f>
            <x14:dxf>
              <font>
                <color rgb="FFFF0000"/>
              </font>
              <fill>
                <patternFill>
                  <bgColor theme="1"/>
                </patternFill>
              </fill>
            </x14:dxf>
          </x14:cfRule>
          <xm:sqref>K48</xm:sqref>
        </x14:conditionalFormatting>
        <x14:conditionalFormatting xmlns:xm="http://schemas.microsoft.com/office/excel/2006/main">
          <x14:cfRule type="expression" priority="47" id="{E2463502-30A0-4537-9DBE-433392813316}">
            <xm:f>K$28=Defaults!$M$4</xm:f>
            <x14:dxf>
              <fill>
                <patternFill>
                  <bgColor theme="9" tint="0.79998168889431442"/>
                </patternFill>
              </fill>
            </x14:dxf>
          </x14:cfRule>
          <xm:sqref>K58</xm:sqref>
        </x14:conditionalFormatting>
        <x14:conditionalFormatting xmlns:xm="http://schemas.microsoft.com/office/excel/2006/main">
          <x14:cfRule type="expression" priority="89" id="{E60CECB6-D0F3-49FA-8DB9-C9A22FF00EB0}">
            <xm:f>OR(E$28=Defaults!$M$4)</xm:f>
            <x14:dxf>
              <fill>
                <patternFill>
                  <bgColor theme="9" tint="0.79998168889431442"/>
                </patternFill>
              </fill>
            </x14:dxf>
          </x14:cfRule>
          <xm:sqref>K59:K60 E59:E60 H59:H60</xm:sqref>
        </x14:conditionalFormatting>
        <x14:conditionalFormatting xmlns:xm="http://schemas.microsoft.com/office/excel/2006/main">
          <x14:cfRule type="expression" priority="65" id="{8D6C9A2A-9833-46C4-A6CD-208B5AD567C4}">
            <xm:f>NOT(OR($K$58=Defaults!$G$3,$K$58=Defaults!$G$4))</xm:f>
            <x14:dxf>
              <font>
                <color rgb="FFFF0000"/>
              </font>
              <fill>
                <patternFill>
                  <bgColor theme="1"/>
                </patternFill>
              </fill>
            </x14:dxf>
          </x14:cfRule>
          <xm:sqref>K60</xm:sqref>
        </x14:conditionalFormatting>
        <x14:conditionalFormatting xmlns:xm="http://schemas.microsoft.com/office/excel/2006/main">
          <x14:cfRule type="expression" priority="50" id="{D7833B7C-542E-4498-A5EF-2CAB52D74013}">
            <xm:f>OR(E$28=Defaults!$M$4, AND(NOT(ISBLANK(E$58)),E$28=Defaults!$M$2))</xm:f>
            <x14:dxf>
              <fill>
                <patternFill>
                  <bgColor theme="4" tint="0.59996337778862885"/>
                </patternFill>
              </fill>
            </x14:dxf>
          </x14:cfRule>
          <xm:sqref>K64 H64 E64</xm:sqref>
        </x14:conditionalFormatting>
        <x14:conditionalFormatting xmlns:xm="http://schemas.microsoft.com/office/excel/2006/main">
          <x14:cfRule type="expression" priority="101" id="{1C182E2E-D98D-470F-BAAB-9B46C397D061}">
            <xm:f>AND(OR(E$28=Defaults!$M$4, E$28=Defaults!$M$2),OR(E$58="Cut-A-Way",E$58="Heavy Rail",E$58="Light Rail",E$58="Over-Road Coach",E$58="Streetcar",E$58="Transit Bus",E$58="Van",E$58="DMU / EMU"))</xm:f>
            <x14:dxf>
              <fill>
                <patternFill>
                  <bgColor theme="9" tint="0.79998168889431442"/>
                </patternFill>
              </fill>
            </x14:dxf>
          </x14:cfRule>
          <xm:sqref>K65 H65 E65</xm:sqref>
        </x14:conditionalFormatting>
        <x14:conditionalFormatting xmlns:xm="http://schemas.microsoft.com/office/excel/2006/main">
          <x14:cfRule type="expression" priority="64" id="{E283A38B-641B-4D53-BF8C-42C7DA6A0677}">
            <xm:f>NOT(OR($K$69=Defaults!$G$3,$K$69=Defaults!$G$4))</xm:f>
            <x14:dxf>
              <font>
                <color rgb="FFFF0000"/>
              </font>
              <fill>
                <patternFill>
                  <bgColor theme="1"/>
                </patternFill>
              </fill>
            </x14:dxf>
          </x14:cfRule>
          <xm:sqref>K71</xm:sqref>
        </x14:conditionalFormatting>
        <x14:conditionalFormatting xmlns:xm="http://schemas.microsoft.com/office/excel/2006/main">
          <x14:cfRule type="expression" priority="75" id="{B9F1FAB0-19E1-4BA3-A391-5DBD6685BBA5}">
            <xm:f>AND(NOT(ISBLANK($K$53)),OR($K$46=Defaults!$G$3,$K$46=Defaults!$G$5,$K$46=Defaults!$G$6,$K$46=Defaults!$G$8))</xm:f>
            <x14:dxf>
              <fill>
                <patternFill>
                  <bgColor theme="4" tint="0.39994506668294322"/>
                </patternFill>
              </fill>
            </x14:dxf>
          </x14:cfRule>
          <xm:sqref>K54:L54</xm:sqref>
        </x14:conditionalFormatting>
        <x14:conditionalFormatting xmlns:xm="http://schemas.microsoft.com/office/excel/2006/main">
          <x14:cfRule type="expression" priority="96" id="{227C0C51-D673-44CD-977C-3ACC36D8BA6C}">
            <xm:f>E$28=Defaults!$M$2</xm:f>
            <x14:dxf>
              <fill>
                <patternFill>
                  <bgColor theme="4" tint="0.59996337778862885"/>
                </patternFill>
              </fill>
            </x14:dxf>
          </x14:cfRule>
          <xm:sqref>K58:L58 E58:F58 H58:I58</xm:sqref>
        </x14:conditionalFormatting>
        <x14:conditionalFormatting xmlns:xm="http://schemas.microsoft.com/office/excel/2006/main">
          <x14:cfRule type="expression" priority="98" id="{780B5A1D-82AF-44BA-B6B6-D6B590DE8E0A}">
            <xm:f>OR(E$28=Defaults!$M$4, AND(NOT(ISBLANK(E$58)),E$28=Defaults!$M$2))</xm:f>
            <x14:dxf>
              <fill>
                <patternFill>
                  <bgColor theme="9" tint="0.79998168889431442"/>
                </patternFill>
              </fill>
            </x14:dxf>
          </x14:cfRule>
          <xm:sqref>K61:L62 H61:I62 E61:F62</xm:sqref>
        </x14:conditionalFormatting>
        <x14:conditionalFormatting xmlns:xm="http://schemas.microsoft.com/office/excel/2006/main">
          <x14:cfRule type="expression" priority="100" id="{A61224F2-053B-4BD8-835A-D8E1B940E2DE}">
            <xm:f>AND(OR(E$28=Defaults!$M$4,E$28=Defaults!$M$2),OR(E$58="Cut-A-Way",E$58="Over-Road Coach",E$58="Transit Bus",E$58="Van",E$58="DMU / EMU"))</xm:f>
            <x14:dxf>
              <fill>
                <patternFill>
                  <bgColor theme="9" tint="0.79998168889431442"/>
                </patternFill>
              </fill>
            </x14:dxf>
          </x14:cfRule>
          <xm:sqref>K63:L63 H63:I63 E63:F63</xm:sqref>
        </x14:conditionalFormatting>
        <x14:conditionalFormatting xmlns:xm="http://schemas.microsoft.com/office/excel/2006/main">
          <x14:cfRule type="expression" priority="95" id="{89F6D4F4-7709-49CD-93D7-028743B51B34}">
            <xm:f>OR(E$28=Defaults!$M$5)</xm:f>
            <x14:dxf>
              <fill>
                <patternFill>
                  <bgColor theme="9" tint="0.79998168889431442"/>
                </patternFill>
              </fill>
            </x14:dxf>
          </x14:cfRule>
          <xm:sqref>K69:L69 E69:F69 H69:I69</xm:sqref>
        </x14:conditionalFormatting>
        <x14:conditionalFormatting xmlns:xm="http://schemas.microsoft.com/office/excel/2006/main">
          <x14:cfRule type="expression" priority="99" id="{C3EDF0FE-56FC-4805-A500-9B52DAC9BEA2}">
            <xm:f>OR(E$28=Defaults!$M$5, NOT(ISBLANK(E$69)))</xm:f>
            <x14:dxf>
              <fill>
                <patternFill>
                  <bgColor theme="9" tint="0.79998168889431442"/>
                </patternFill>
              </fill>
            </x14:dxf>
          </x14:cfRule>
          <xm:sqref>K72:L72 E72:F72 H72:I72</xm:sqref>
        </x14:conditionalFormatting>
        <x14:conditionalFormatting xmlns:xm="http://schemas.microsoft.com/office/excel/2006/main">
          <x14:cfRule type="expression" priority="70" id="{C50194C6-29F6-41DE-BF75-7E0F43FA7A5F}">
            <xm:f>AND(NOT(ISBLANK($K$65)),OR($K$58=Defaults!$G$3,$K$58=Defaults!$G$5,$K$58=Defaults!$G$6,$K$58=Defaults!$G$8))</xm:f>
            <x14:dxf>
              <fill>
                <patternFill>
                  <bgColor theme="4" tint="0.39994506668294322"/>
                </patternFill>
              </fill>
            </x14:dxf>
          </x14:cfRule>
          <xm:sqref>K66:M66</xm:sqref>
        </x14:conditionalFormatting>
        <x14:conditionalFormatting xmlns:xm="http://schemas.microsoft.com/office/excel/2006/main">
          <x14:cfRule type="expression" priority="49" id="{59D9C6A2-C6C2-4AA2-896B-3845B23E41D2}">
            <xm:f>OR(E$28=Defaults!$M$4, AND(NOT(ISBLANK(E$58)),E$28=Defaults!$M$2))</xm:f>
            <x14:dxf>
              <fill>
                <patternFill>
                  <bgColor theme="4" tint="0.59996337778862885"/>
                </patternFill>
              </fill>
            </x14:dxf>
          </x14:cfRule>
          <xm:sqref>L64 I64 F64</xm:sqref>
        </x14:conditionalFormatting>
        <x14:conditionalFormatting xmlns:xm="http://schemas.microsoft.com/office/excel/2006/main">
          <x14:cfRule type="expression" priority="104" id="{3F6B23B8-1A0E-4107-B299-A25E9235D6AA}">
            <xm:f>AND(OR(E$28=Defaults!$M$4, E$28=Defaults!$M$2),OR(E$58="Cut-A-Way",E$58="Heavy Rail",E$58="Light Rail",E$58="Over-Road Coach",E$58="Streetcar",E$58="Transit Bus",E$58="Van",E$58="DMU / EMU"))</xm:f>
            <x14:dxf>
              <font>
                <b val="0"/>
                <i val="0"/>
              </font>
              <fill>
                <patternFill>
                  <bgColor theme="9" tint="0.79998168889431442"/>
                </patternFill>
              </fill>
            </x14:dxf>
          </x14:cfRule>
          <xm:sqref>L65 I65 F65</xm:sqref>
        </x14:conditionalFormatting>
        <x14:conditionalFormatting xmlns:xm="http://schemas.microsoft.com/office/excel/2006/main">
          <x14:cfRule type="expression" priority="97" id="{DEB30686-3B24-4932-9A9C-E0587169B252}">
            <xm:f>E$28=Defaults!$M$3</xm:f>
            <x14:dxf>
              <fill>
                <patternFill>
                  <bgColor theme="4" tint="0.59996337778862885"/>
                </patternFill>
              </fill>
            </x14:dxf>
          </x14:cfRule>
          <xm:sqref>L77:L78 I77:I78 F77:F78</xm:sqref>
        </x14:conditionalFormatting>
      </x14:conditionalFormattings>
    </ext>
    <ext xmlns:x14="http://schemas.microsoft.com/office/spreadsheetml/2009/9/main" uri="{CCE6A557-97BC-4b89-ADB6-D9C93CAAB3DF}">
      <x14:dataValidations xmlns:xm="http://schemas.microsoft.com/office/excel/2006/main" count="31">
        <x14:dataValidation type="list" allowBlank="1" showInputMessage="1" showErrorMessage="1" promptTitle="Note:" prompt="Selection locks after hybrid is identified" xr:uid="{544C1EC8-3C9B-4E17-89BE-8D3DD6A19372}">
          <x14:formula1>
            <xm:f>IF($K$50="",IF($K$46=Defaults!$G$4,Defaults!$I$14:$I$23,IF(OR($K$46=Defaults!$G$6,$K$46=Defaults!$G$8),Defaults!$I$38:$I$39,fuel)),"")</xm:f>
          </x14:formula1>
          <xm:sqref>K49</xm:sqref>
        </x14:dataValidation>
        <x14:dataValidation type="list" allowBlank="1" showInputMessage="1" showErrorMessage="1" xr:uid="{61E7FE28-B503-4A6A-A91D-CE5372D06CE3}">
          <x14:formula1>
            <xm:f>IF($E$69=Defaults!$G$4,Defaults!$I$14:$I$23,IF(OR($E$69=Defaults!$G$6,$E$69=Defaults!$G$8),Defaults!$I$37,fuel))</xm:f>
          </x14:formula1>
          <xm:sqref>E72</xm:sqref>
        </x14:dataValidation>
        <x14:dataValidation type="list" allowBlank="1" showInputMessage="1" showErrorMessage="1" xr:uid="{A2F350B4-CBE0-4B5E-BCDD-C81823D18217}">
          <x14:formula1>
            <xm:f>IF($H$69=Defaults!$G$4,Defaults!$I$14:$I$23,IF(OR($H$69=Defaults!$G$6,$H$69=Defaults!$G$8),Defaults!$I$37,fuel))</xm:f>
          </x14:formula1>
          <xm:sqref>H72</xm:sqref>
        </x14:dataValidation>
        <x14:dataValidation type="list" allowBlank="1" showInputMessage="1" showErrorMessage="1" xr:uid="{4F342671-A5E7-49CC-805E-C2EEB443F88F}">
          <x14:formula1>
            <xm:f>IF($K$69=Defaults!$G$4,Defaults!$I$14:$I$23,IF(OR($K$69=Defaults!$G$6,$K$69=Defaults!$G$8),Defaults!$I$37,fuel))</xm:f>
          </x14:formula1>
          <xm:sqref>K72</xm:sqref>
        </x14:dataValidation>
        <x14:dataValidation type="list" allowBlank="1" showInputMessage="1" showErrorMessage="1" xr:uid="{A9879C49-54D5-45D8-A66A-F9EC4A38E926}">
          <x14:formula1>
            <xm:f>IF($E$58=Defaults!$G$4,Defaults!$I$13:$I$21,IF(OR($E$58=Defaults!$G$6,$E$58=Defaults!$G$8),Defaults!$I$37:$I$38,fuel))</xm:f>
          </x14:formula1>
          <xm:sqref>E61</xm:sqref>
        </x14:dataValidation>
        <x14:dataValidation type="list" allowBlank="1" showInputMessage="1" showErrorMessage="1" xr:uid="{7E849A56-C788-4A54-82A1-1BC54CE07AC6}">
          <x14:formula1>
            <xm:f>IF($H$58=Defaults!$G$4,Defaults!$I$14:$I$23,IF(OR($H$58=Defaults!$G$6,$H$58=Defaults!$G$8),Defaults!$I$38:$I$39,fuel))</xm:f>
          </x14:formula1>
          <xm:sqref>H61</xm:sqref>
        </x14:dataValidation>
        <x14:dataValidation type="list" allowBlank="1" showInputMessage="1" showErrorMessage="1" xr:uid="{3EE94E7C-6C7C-4EA6-9C75-375DAD1F7D14}">
          <x14:formula1>
            <xm:f>IF($K$58=Defaults!$G$4,Defaults!$I$14:$I$23,IF(OR($K$58=Defaults!$G$6,$K$58=Defaults!$G$8),Defaults!$I$38:$I$39,fuel))</xm:f>
          </x14:formula1>
          <xm:sqref>K61</xm:sqref>
        </x14:dataValidation>
        <x14:dataValidation type="list" allowBlank="1" showInputMessage="1" showErrorMessage="1" promptTitle="Note:" prompt="Selection locks after hybrid is identified" xr:uid="{27AFC50B-C3C2-4D2C-8AEA-C44C4EBD5CFB}">
          <x14:formula1>
            <xm:f>IF($E$50="",IF($E$46=Defaults!$G$4,Defaults!$I$14:$I$23,IF(OR($E$46=Defaults!$G$6,$E$46=Defaults!$G$8),Defaults!$I$37:$I$38,fuel)),"")</xm:f>
          </x14:formula1>
          <xm:sqref>E49</xm:sqref>
        </x14:dataValidation>
        <x14:dataValidation type="list" allowBlank="1" showInputMessage="1" showErrorMessage="1" promptTitle="Note:" prompt="Selection locks after hybrid is identified" xr:uid="{590CA48A-F799-4B76-A09C-45AAE8DC4BDB}">
          <x14:formula1>
            <xm:f>IF($H$50="",IF($H$46=Defaults!$G$4,Defaults!$I$14:$I$23,IF(OR($H$46=Defaults!$G$6,$H$46=Defaults!$G$8),Defaults!$I$38:$I$39,fuel)),"")</xm:f>
          </x14:formula1>
          <xm:sqref>H49</xm:sqref>
        </x14:dataValidation>
        <x14:dataValidation type="list" allowBlank="1" showInputMessage="1" showErrorMessage="1" xr:uid="{0EB419F8-3D50-4B21-9698-32918C684D8B}">
          <x14:formula1>
            <xm:f>IF(OR($E$49=Defaults!$I$5,$E$49=Defaults!$I$7,$E$49=Defaults!$I$11),Defaults!$G$15,yesno)</xm:f>
          </x14:formula1>
          <xm:sqref>E50</xm:sqref>
        </x14:dataValidation>
        <x14:dataValidation type="list" allowBlank="1" showInputMessage="1" showErrorMessage="1" xr:uid="{761E7DBB-ECD6-479C-93C1-973128D49F5D}">
          <x14:formula1>
            <xm:f>IF(OR($H$49=Defaults!$I$5,$H$49=Defaults!$I$7,$H$49=Defaults!$I$11),Defaults!$G$15,yesno)</xm:f>
          </x14:formula1>
          <xm:sqref>H50</xm:sqref>
        </x14:dataValidation>
        <x14:dataValidation type="list" allowBlank="1" showInputMessage="1" showErrorMessage="1" xr:uid="{2C825035-7D6B-439D-AED1-62ACF75E4A98}">
          <x14:formula1>
            <xm:f>IF(OR($K$49=Defaults!$I$5,$K$49=Defaults!$I$7,$K$49=Defaults!$I$11),Defaults!$G$15,yesno)</xm:f>
          </x14:formula1>
          <xm:sqref>K50</xm:sqref>
        </x14:dataValidation>
        <x14:dataValidation type="list" allowBlank="1" showInputMessage="1" showErrorMessage="1" xr:uid="{DB6432FF-1065-480B-A74C-E4AAD63AB911}">
          <x14:formula1>
            <xm:f>IF(OR($E$61=Defaults!$I$5,$E$61=Defaults!$I$7,$E$61=Defaults!$I$11),Defaults!$G$15,yesno)</xm:f>
          </x14:formula1>
          <xm:sqref>E62</xm:sqref>
        </x14:dataValidation>
        <x14:dataValidation type="list" allowBlank="1" showInputMessage="1" showErrorMessage="1" xr:uid="{7F2BD0DB-A925-4A2D-8164-77DBE729FFBD}">
          <x14:formula1>
            <xm:f>IF(OR($H$61=Defaults!$I$5,$H$61=Defaults!$I$7,$H$61=Defaults!$I$11),Defaults!$G$15,yesno)</xm:f>
          </x14:formula1>
          <xm:sqref>H62</xm:sqref>
        </x14:dataValidation>
        <x14:dataValidation type="list" allowBlank="1" showInputMessage="1" showErrorMessage="1" xr:uid="{A7888EFD-B1D0-44F1-8EC7-A17D0F305AA5}">
          <x14:formula1>
            <xm:f>IF(OR($K$61=Defaults!$I$5,$K$61=Defaults!$I$7,$K$61=Defaults!$I$11),Defaults!$G$15,yesno)</xm:f>
          </x14:formula1>
          <xm:sqref>K62</xm:sqref>
        </x14:dataValidation>
        <x14:dataValidation type="list" allowBlank="1" showInputMessage="1" showErrorMessage="1" xr:uid="{340E2509-6A69-4A4C-9924-C7B7F9344920}">
          <x14:formula1>
            <xm:f>Defaults!$N$2:$N$18</xm:f>
          </x14:formula1>
          <xm:sqref>K20:L20 E23:F23 H23:I23 H20:I20 K23:L23</xm:sqref>
        </x14:dataValidation>
        <x14:dataValidation type="list" allowBlank="1" showInputMessage="1" showErrorMessage="1" promptTitle="Leave blank if," prompt="No additional GGRF funding has or will be requested from another CCI Program for this project." xr:uid="{65A50588-AE7D-4D49-A08B-4C3CBF63036D}">
          <x14:formula1>
            <xm:f>Defaults!$N$2:$N$18</xm:f>
          </x14:formula1>
          <xm:sqref>E20:F20</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3A769A15-90C3-4539-8111-BF0D387A86A9}">
          <x14:formula1>
            <xm:f>IF(OR($H$28=Defaults!$M$2,$H$28=Defaults!$M$3),AND(H40&gt;0)," ")</xm:f>
          </x14:formula1>
          <xm:sqref>H40</xm:sqref>
        </x14:dataValidation>
        <x14:dataValidation type="custom" allowBlank="1" showInputMessage="1" showErrorMessage="1" errorTitle="Invalid Input:" error="Value must be greater than 0." xr:uid="{C3D4BB34-4F4E-4B93-828E-546D294F7E13}">
          <x14:formula1>
            <xm:f>IF(OR(H$28=Defaults!$M$2,H$28=Defaults!$M$3),H37&gt;=0," ")</xm:f>
          </x14:formula1>
          <xm:sqref>H37 K37</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3AA6EF87-BECC-4055-BD90-AA157588D39B}">
          <x14:formula1>
            <xm:f>IF(OR($E$28=Defaults!$M$2,$E$28=Defaults!$M$3),AND(E40&gt;0)," ")</xm:f>
          </x14:formula1>
          <xm:sqref>E40</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84115DFF-42BB-44CF-88B3-49328114D5AE}">
          <x14:formula1>
            <xm:f>IF(OR($E$28=Defaults!$M$2,$E$28=Defaults!$M$3),AND(E39&gt;=0, E39&lt;=1)," ")</xm:f>
          </x14:formula1>
          <xm:sqref>E39</xm:sqref>
        </x14:dataValidation>
        <x14:dataValidation type="custom" operator="greaterThan" allowBlank="1" showInputMessage="1" showErrorMessage="1" xr:uid="{18FBC0A8-5886-4D45-AD71-88F55CB64B1A}">
          <x14:formula1>
            <xm:f>IF(OR(E$28=Defaults!$M$2,E$28=Defaults!$M$3),E37&gt;=0," ")</xm:f>
          </x14:formula1>
          <xm:sqref>E37</xm:sqref>
        </x14:dataValidation>
        <x14:dataValidation type="list" allowBlank="1" showInputMessage="1" showErrorMessage="1" xr:uid="{EF44DAAE-BBB1-45E8-9E1C-83DE46AA9143}">
          <x14:formula1>
            <xm:f>Defaults!$F$2:$F$9</xm:f>
          </x14:formula1>
          <xm:sqref>E29:F29 H29:I29 K29:L29</xm:sqref>
        </x14:dataValidation>
        <x14:dataValidation type="list" allowBlank="1" showInputMessage="1" showErrorMessage="1" xr:uid="{96BEC2ED-85F3-4CF6-AA7E-4E2348213FD7}">
          <x14:formula1>
            <xm:f>OFFSET(Defaults!$B$2,$K$32-2015,0,IF(2080-$K$32&lt;50,2080-$K$32,50))</xm:f>
          </x14:formula1>
          <xm:sqref>K33</xm:sqref>
        </x14:dataValidation>
        <x14:dataValidation type="custom" allowBlank="1" showInputMessage="1" showErrorMessage="1" promptTitle="If unknown, use look up tables:" prompt="Quantification Methodlogy Appendix C includes look up tables by agency by mode, Table C-1, and by statewide average by mode, Table C-2." xr:uid="{51A35A6F-76BE-402B-96E5-DC7890B7E153}">
          <x14:formula1>
            <xm:f>IF(OR(E$28=Defaults!$M$2,E$28=Defaults!$M$3),E41&gt;0," ")</xm:f>
          </x14:formula1>
          <xm:sqref>E41</xm:sqref>
        </x14:dataValidation>
        <x14:dataValidation type="list" allowBlank="1" showInputMessage="1" showErrorMessage="1" xr:uid="{1AA79361-ABA8-46DE-8019-8FC143A8A2E6}">
          <x14:formula1>
            <xm:f>OFFSET(Defaults!$B$2,$E$32-2015,0,IF(2080-$E$32&lt;50,2080-$E$32,50))</xm:f>
          </x14:formula1>
          <xm:sqref>E33</xm:sqref>
        </x14:dataValidation>
        <x14:dataValidation type="list" allowBlank="1" showInputMessage="1" showErrorMessage="1" xr:uid="{99C40327-3A65-4AC3-910C-DE26C3F9E31B}">
          <x14:formula1>
            <xm:f>OFFSET(Defaults!$B$2,$H$32-2015,0,IF(2080-$H$32&lt;50,2080-$H$32,50))</xm:f>
          </x14:formula1>
          <xm:sqref>H33</xm:sqref>
        </x14:dataValidation>
        <x14:dataValidation type="list" allowBlank="1" showInputMessage="1" showErrorMessage="1" xr:uid="{E315C0C1-2F5A-4E5E-9C32-0913A76F8DD0}">
          <x14:formula1>
            <xm:f>'Rail C&amp;T EF'!$A$15:$A$22</xm:f>
          </x14:formula1>
          <xm:sqref>E59 H70 E70 K59 K47 H59 E47 H47 K70</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AAE765B8-34ED-456C-8210-D9BAED9E0C7D}">
          <x14:formula1>
            <xm:f>IF(OR($K$28=Defaults!$M$2,$K$28=Defaults!$M$3),AND(K40&gt;0)," ")</xm:f>
          </x14:formula1>
          <xm:sqref>K40</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0EF4253A-3824-4035-9F51-B6E217933CFF}">
          <x14:formula1>
            <xm:f>IF(OR(H$28=Defaults!$M$2,H$28=Defaults!$M$3),AND(H39&gt;=0, H39&lt;=1)," ")</xm:f>
          </x14:formula1>
          <xm:sqref>K39 H39</xm:sqref>
        </x14:dataValidation>
        <x14:dataValidation type="custom" operator="greaterThan" allowBlank="1" showInputMessage="1" showErrorMessage="1" errorTitle="Invalid Input:" error="Value must be greater than 0." xr:uid="{2C15222A-A954-4718-AC38-BF84FA264839}">
          <x14:formula1>
            <xm:f>IF(OR(E$28=Defaults!$M$2,E$28=Defaults!$M$3),E38&gt;0," ")</xm:f>
          </x14:formula1>
          <xm:sqref>H38 E38 K38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6C9ED-C3EA-4E53-BB8E-83D9853A4DAB}">
  <sheetPr>
    <tabColor theme="9" tint="0.79998168889431442"/>
  </sheetPr>
  <dimension ref="A1:AJ109"/>
  <sheetViews>
    <sheetView showGridLines="0" topLeftCell="B1" zoomScaleNormal="100" zoomScaleSheetLayoutView="55" workbookViewId="0">
      <selection activeCell="B8" sqref="B8:B9"/>
    </sheetView>
  </sheetViews>
  <sheetFormatPr defaultColWidth="9.08984375" defaultRowHeight="14" x14ac:dyDescent="0.3"/>
  <cols>
    <col min="1" max="1" width="2.90625" style="466" hidden="1" customWidth="1"/>
    <col min="2" max="2" width="24.453125" style="466" customWidth="1"/>
    <col min="3" max="3" width="63.453125" style="466" customWidth="1"/>
    <col min="4" max="4" width="20.08984375" style="466" hidden="1" customWidth="1"/>
    <col min="5" max="5" width="35.453125" style="466" customWidth="1"/>
    <col min="6" max="6" width="35.453125" style="466" hidden="1" customWidth="1"/>
    <col min="7" max="7" width="11.453125" style="466" customWidth="1"/>
    <col min="8" max="8" width="35.453125" style="466" customWidth="1"/>
    <col min="9" max="9" width="35.453125" style="466" hidden="1" customWidth="1"/>
    <col min="10" max="10" width="11.453125" style="466" customWidth="1"/>
    <col min="11" max="11" width="35.453125" style="466" customWidth="1"/>
    <col min="12" max="12" width="35.453125" style="466" hidden="1" customWidth="1"/>
    <col min="13" max="13" width="11.453125" style="466" customWidth="1"/>
    <col min="14" max="14" width="9.453125" style="466" customWidth="1"/>
    <col min="15" max="18" width="26.90625" style="466" hidden="1" customWidth="1"/>
    <col min="19" max="19" width="9.08984375" style="466"/>
    <col min="20" max="20" width="24.453125" style="466" customWidth="1"/>
    <col min="21" max="16384" width="9.08984375" style="466"/>
  </cols>
  <sheetData>
    <row r="1" spans="2:36" s="412" customFormat="1" ht="20.5" x14ac:dyDescent="0.45">
      <c r="E1" s="413"/>
      <c r="V1" s="461"/>
      <c r="W1" s="461"/>
      <c r="X1" s="461"/>
      <c r="Y1" s="461"/>
    </row>
    <row r="2" spans="2:36" s="412" customFormat="1" ht="20.5" x14ac:dyDescent="0.45">
      <c r="E2" s="413"/>
      <c r="I2" s="462"/>
      <c r="J2" s="462"/>
      <c r="N2" s="462"/>
      <c r="Q2" s="462"/>
      <c r="V2" s="461"/>
      <c r="W2" s="461"/>
      <c r="X2" s="461"/>
      <c r="Y2" s="461"/>
    </row>
    <row r="3" spans="2:36" s="412" customFormat="1" ht="21" thickBot="1" x14ac:dyDescent="0.5">
      <c r="E3" s="413"/>
      <c r="I3" s="462"/>
      <c r="J3" s="462"/>
      <c r="N3" s="462"/>
      <c r="Q3" s="462"/>
      <c r="V3" s="461"/>
      <c r="W3" s="461"/>
      <c r="X3" s="461"/>
      <c r="Y3" s="461"/>
    </row>
    <row r="4" spans="2:36" s="412" customFormat="1" ht="20.5" x14ac:dyDescent="0.45">
      <c r="E4" s="413"/>
      <c r="I4" s="462"/>
      <c r="J4" s="1543" t="s">
        <v>24</v>
      </c>
      <c r="K4" s="1545"/>
      <c r="L4" s="1549"/>
      <c r="N4" s="462"/>
      <c r="Q4" s="462"/>
      <c r="V4" s="461"/>
      <c r="W4" s="461"/>
      <c r="X4" s="461"/>
      <c r="Y4" s="461"/>
    </row>
    <row r="5" spans="2:36" s="412" customFormat="1" ht="20.5" x14ac:dyDescent="0.45">
      <c r="E5" s="413"/>
      <c r="J5" s="1544" t="s">
        <v>25</v>
      </c>
      <c r="K5" s="1546" t="s">
        <v>26</v>
      </c>
      <c r="L5" s="1550"/>
      <c r="V5" s="461"/>
      <c r="W5" s="461"/>
      <c r="X5" s="461"/>
      <c r="Y5" s="461"/>
    </row>
    <row r="6" spans="2:36" s="412" customFormat="1" ht="20.5" x14ac:dyDescent="0.45">
      <c r="B6" s="414"/>
      <c r="E6" s="413"/>
      <c r="J6" s="1553" t="s">
        <v>27</v>
      </c>
      <c r="K6" s="1547" t="s">
        <v>28</v>
      </c>
      <c r="L6" s="1549"/>
      <c r="V6" s="461"/>
      <c r="W6" s="461"/>
      <c r="X6" s="461"/>
      <c r="Y6" s="461"/>
    </row>
    <row r="7" spans="2:36" s="412" customFormat="1" ht="18" customHeight="1" x14ac:dyDescent="0.45">
      <c r="B7" s="488" t="s">
        <v>29</v>
      </c>
      <c r="C7" s="488"/>
      <c r="D7" s="488"/>
      <c r="E7" s="487"/>
      <c r="F7" s="487"/>
      <c r="G7" s="487"/>
      <c r="J7" s="1554" t="s">
        <v>30</v>
      </c>
      <c r="K7" s="1546" t="s">
        <v>31</v>
      </c>
      <c r="L7" s="1551"/>
      <c r="V7" s="461"/>
      <c r="W7" s="461"/>
      <c r="X7" s="461"/>
      <c r="Y7" s="461"/>
    </row>
    <row r="8" spans="2:36" s="412" customFormat="1" ht="18" customHeight="1" thickBot="1" x14ac:dyDescent="0.5">
      <c r="B8" s="1332" t="s">
        <v>6192</v>
      </c>
      <c r="C8" s="532"/>
      <c r="D8" s="532"/>
      <c r="E8" s="533"/>
      <c r="F8" s="533"/>
      <c r="G8" s="117"/>
      <c r="J8" s="1555" t="s">
        <v>32</v>
      </c>
      <c r="K8" s="1548" t="s">
        <v>33</v>
      </c>
      <c r="L8" s="1552"/>
      <c r="V8" s="461"/>
      <c r="W8" s="461"/>
      <c r="X8" s="461"/>
      <c r="Y8" s="461"/>
    </row>
    <row r="9" spans="2:36" s="412" customFormat="1" ht="18" customHeight="1" x14ac:dyDescent="0.45">
      <c r="B9" s="534" t="s">
        <v>6210</v>
      </c>
      <c r="C9" s="530"/>
      <c r="D9" s="530"/>
      <c r="E9" s="531"/>
      <c r="F9" s="531"/>
      <c r="G9" s="1510"/>
      <c r="V9" s="461"/>
      <c r="W9" s="461"/>
      <c r="X9" s="461"/>
      <c r="Y9" s="461"/>
    </row>
    <row r="10" spans="2:36" s="412" customFormat="1" ht="18" customHeight="1" x14ac:dyDescent="0.45">
      <c r="O10" s="725" t="s">
        <v>34</v>
      </c>
      <c r="P10" s="725"/>
      <c r="V10" s="461"/>
      <c r="W10" s="461"/>
      <c r="X10" s="461"/>
      <c r="Y10" s="461"/>
    </row>
    <row r="11" spans="2:36" s="117" customFormat="1" ht="36" customHeight="1" x14ac:dyDescent="0.45">
      <c r="B11" s="440" t="s">
        <v>35</v>
      </c>
      <c r="C11" s="1556" t="str">
        <f>IF('Project Info'!E13="","",'Project Info'!E13)</f>
        <v/>
      </c>
      <c r="D11" s="574"/>
      <c r="E11" s="575"/>
      <c r="F11" s="575"/>
      <c r="G11" s="791"/>
      <c r="H11" s="412"/>
      <c r="I11" s="412"/>
      <c r="J11" s="412"/>
      <c r="AI11" s="121"/>
      <c r="AJ11" s="121"/>
    </row>
    <row r="12" spans="2:36" s="117" customFormat="1" ht="20.5" x14ac:dyDescent="0.45">
      <c r="B12" s="790"/>
      <c r="C12" s="791"/>
      <c r="D12" s="791"/>
      <c r="E12" s="791"/>
      <c r="F12" s="791"/>
      <c r="G12" s="791"/>
      <c r="H12" s="412"/>
      <c r="I12" s="412"/>
      <c r="J12" s="412"/>
      <c r="O12" s="639" t="s">
        <v>36</v>
      </c>
      <c r="P12" s="639" t="s">
        <v>36</v>
      </c>
      <c r="Q12" s="639" t="s">
        <v>37</v>
      </c>
      <c r="R12" s="639" t="s">
        <v>37</v>
      </c>
      <c r="AI12" s="121"/>
      <c r="AJ12" s="121"/>
    </row>
    <row r="13" spans="2:36" s="463" customFormat="1" ht="18" customHeight="1" thickBot="1" x14ac:dyDescent="0.4">
      <c r="D13" s="724" t="s">
        <v>38</v>
      </c>
      <c r="E13" s="647"/>
      <c r="F13" s="647"/>
      <c r="G13" s="647"/>
      <c r="H13" s="648"/>
      <c r="I13" s="648"/>
      <c r="J13" s="648"/>
      <c r="K13" s="648"/>
      <c r="L13" s="648"/>
      <c r="M13" s="638"/>
      <c r="O13" s="794" t="s">
        <v>39</v>
      </c>
      <c r="P13" s="794"/>
      <c r="Q13" s="794" t="s">
        <v>39</v>
      </c>
      <c r="R13" s="795"/>
    </row>
    <row r="14" spans="2:36" ht="16" thickBot="1" x14ac:dyDescent="0.35">
      <c r="B14" s="464" t="s">
        <v>40</v>
      </c>
      <c r="C14" s="465" t="s">
        <v>41</v>
      </c>
      <c r="D14" s="646" t="s">
        <v>42</v>
      </c>
      <c r="E14" s="649" t="str">
        <f ca="1">MID(CELL("filename",B1),FIND("]",CELL("filename",B1))+1,255)&amp;": Subcomponent 1"</f>
        <v>Quantifiable Component 5: Subcomponent 1</v>
      </c>
      <c r="F14" s="1468"/>
      <c r="G14" s="650"/>
      <c r="H14" s="649" t="str">
        <f ca="1">MID(CELL("filename",B1),FIND("]",CELL("filename",B1))+1,255)&amp;": Subcomponent 2"</f>
        <v>Quantifiable Component 5: Subcomponent 2</v>
      </c>
      <c r="I14" s="1481"/>
      <c r="J14" s="651"/>
      <c r="K14" s="649" t="str">
        <f ca="1">MID(CELL("filename",B1),FIND("]",CELL("filename",B1))+1,255)&amp;": Subcomponent 3"</f>
        <v>Quantifiable Component 5: Subcomponent 3</v>
      </c>
      <c r="L14" s="1501"/>
      <c r="M14" s="1504"/>
      <c r="O14" s="792" t="s">
        <v>43</v>
      </c>
      <c r="P14" s="792"/>
      <c r="Q14" s="793"/>
      <c r="R14" s="793"/>
    </row>
    <row r="15" spans="2:36" ht="67.5" customHeight="1" thickBot="1" x14ac:dyDescent="0.4">
      <c r="B15" s="467" t="s">
        <v>44</v>
      </c>
      <c r="C15" s="468" t="s">
        <v>45</v>
      </c>
      <c r="D15" s="577" t="s">
        <v>46</v>
      </c>
      <c r="E15" s="1626"/>
      <c r="F15" s="1627"/>
      <c r="G15" s="1511" t="str">
        <f>IF(ISBLANK(E15),"(Required)","")</f>
        <v>(Required)</v>
      </c>
      <c r="H15" s="1612"/>
      <c r="I15" s="1613"/>
      <c r="J15" s="1536" t="str">
        <f>IF(ISBLANK(H15),"(Optional)","")</f>
        <v>(Optional)</v>
      </c>
      <c r="K15" s="1612"/>
      <c r="L15" s="1613"/>
      <c r="M15" s="1536" t="str">
        <f>IF(ISBLANK(K15),"(Optional)","")</f>
        <v>(Optional)</v>
      </c>
      <c r="N15" s="638"/>
      <c r="O15" s="640" t="s">
        <v>43</v>
      </c>
      <c r="P15" s="797" t="s">
        <v>47</v>
      </c>
      <c r="Q15" s="641"/>
      <c r="R15" s="797" t="s">
        <v>48</v>
      </c>
    </row>
    <row r="16" spans="2:36" ht="16" thickBot="1" x14ac:dyDescent="0.35">
      <c r="B16" s="617" t="s">
        <v>49</v>
      </c>
      <c r="C16" s="618"/>
      <c r="D16" s="618"/>
      <c r="E16" s="618"/>
      <c r="F16" s="618"/>
      <c r="G16" s="618"/>
      <c r="H16" s="618"/>
      <c r="I16" s="618"/>
      <c r="J16" s="618"/>
      <c r="K16" s="618"/>
      <c r="L16" s="618"/>
      <c r="M16" s="619"/>
      <c r="N16" s="483"/>
      <c r="O16" s="640" t="s">
        <v>43</v>
      </c>
      <c r="P16" s="640"/>
      <c r="Q16" s="641"/>
      <c r="R16" s="641"/>
    </row>
    <row r="17" spans="2:18" ht="33.75" customHeight="1" x14ac:dyDescent="0.35">
      <c r="B17" s="469" t="s">
        <v>50</v>
      </c>
      <c r="C17" s="470" t="s">
        <v>51</v>
      </c>
      <c r="D17" s="606" t="s">
        <v>46</v>
      </c>
      <c r="E17" s="1628"/>
      <c r="F17" s="1614"/>
      <c r="G17" s="1512" t="str">
        <f>IF(ISBLANK(E17),"(Required)","")</f>
        <v>(Required)</v>
      </c>
      <c r="H17" s="1620"/>
      <c r="I17" s="1614"/>
      <c r="J17" s="1537" t="str">
        <f>IF(ISBLANK(H17),"(Required)","")</f>
        <v>(Required)</v>
      </c>
      <c r="K17" s="1614"/>
      <c r="L17" s="1614"/>
      <c r="M17" s="1538" t="str">
        <f>IF(ISBLANK(K17),"(Required)","")</f>
        <v>(Required)</v>
      </c>
      <c r="N17" s="483"/>
      <c r="O17" s="640" t="s">
        <v>43</v>
      </c>
      <c r="P17" s="802" t="e">
        <f>#REF!</f>
        <v>#REF!</v>
      </c>
      <c r="Q17" s="641"/>
      <c r="R17" s="796" t="s">
        <v>52</v>
      </c>
    </row>
    <row r="18" spans="2:18" ht="48" customHeight="1" thickBot="1" x14ac:dyDescent="0.4">
      <c r="B18" s="471" t="s">
        <v>53</v>
      </c>
      <c r="C18" s="472" t="s">
        <v>54</v>
      </c>
      <c r="D18" s="577" t="s">
        <v>46</v>
      </c>
      <c r="E18" s="1629"/>
      <c r="F18" s="1615"/>
      <c r="G18" s="1513" t="str">
        <f>IF(ISBLANK(E18),"(Required)","")</f>
        <v>(Required)</v>
      </c>
      <c r="H18" s="1621"/>
      <c r="I18" s="1615"/>
      <c r="J18" s="1514" t="str">
        <f>IF(ISBLANK(H18),"(Required)","")</f>
        <v>(Required)</v>
      </c>
      <c r="K18" s="1615"/>
      <c r="L18" s="1615"/>
      <c r="M18" s="1514" t="str">
        <f>IF(ISBLANK(K18),"(Required)","")</f>
        <v>(Required)</v>
      </c>
      <c r="N18" s="483"/>
      <c r="O18" s="640" t="s">
        <v>43</v>
      </c>
      <c r="P18" s="802" t="e">
        <f>#REF!</f>
        <v>#REF!</v>
      </c>
      <c r="Q18" s="641"/>
      <c r="R18" s="796" t="s">
        <v>52</v>
      </c>
    </row>
    <row r="19" spans="2:18" ht="16.5" customHeight="1" x14ac:dyDescent="0.3">
      <c r="B19" s="625" t="s">
        <v>55</v>
      </c>
      <c r="C19" s="620"/>
      <c r="D19" s="620"/>
      <c r="E19" s="620"/>
      <c r="F19" s="620"/>
      <c r="G19" s="1488"/>
      <c r="H19" s="620"/>
      <c r="I19" s="620"/>
      <c r="J19" s="621"/>
      <c r="K19" s="620"/>
      <c r="L19" s="620"/>
      <c r="M19" s="1505"/>
      <c r="N19" s="483"/>
      <c r="O19" s="640" t="s">
        <v>43</v>
      </c>
      <c r="P19" s="640"/>
      <c r="Q19" s="641"/>
      <c r="R19" s="641"/>
    </row>
    <row r="20" spans="2:18" ht="33.75" customHeight="1" x14ac:dyDescent="0.35">
      <c r="B20" s="607" t="s">
        <v>56</v>
      </c>
      <c r="C20" s="608" t="s">
        <v>57</v>
      </c>
      <c r="D20" s="605" t="s">
        <v>58</v>
      </c>
      <c r="E20" s="1630"/>
      <c r="F20" s="1616"/>
      <c r="G20" s="1515" t="str">
        <f>IF(ISBLANK(E20),"(Optional)","")</f>
        <v>(Optional)</v>
      </c>
      <c r="H20" s="1622"/>
      <c r="I20" s="1616"/>
      <c r="J20" s="1516" t="str">
        <f>IF(ISBLANK(H20),"(Optional)","")</f>
        <v>(Optional)</v>
      </c>
      <c r="K20" s="1616"/>
      <c r="L20" s="1616"/>
      <c r="M20" s="1516" t="str">
        <f>IF(ISBLANK(K20),"(Optional)","")</f>
        <v>(Optional)</v>
      </c>
      <c r="N20" s="483"/>
      <c r="O20" s="640" t="s">
        <v>43</v>
      </c>
      <c r="P20" s="803" t="s">
        <v>59</v>
      </c>
      <c r="Q20" s="641"/>
      <c r="R20" s="641"/>
    </row>
    <row r="21" spans="2:18" ht="33.75" customHeight="1" thickBot="1" x14ac:dyDescent="0.4">
      <c r="B21" s="473" t="s">
        <v>60</v>
      </c>
      <c r="C21" s="474" t="s">
        <v>61</v>
      </c>
      <c r="D21" s="605" t="s">
        <v>58</v>
      </c>
      <c r="E21" s="1631"/>
      <c r="F21" s="1617"/>
      <c r="G21" s="1517" t="str">
        <f>IF(ISBLANK(E21),"(Optional)","")</f>
        <v>(Optional)</v>
      </c>
      <c r="H21" s="1623"/>
      <c r="I21" s="1617"/>
      <c r="J21" s="1518" t="str">
        <f>IF(ISBLANK(H21),"(Optional)","")</f>
        <v>(Optional)</v>
      </c>
      <c r="K21" s="1617"/>
      <c r="L21" s="1617"/>
      <c r="M21" s="1516" t="str">
        <f>IF(ISBLANK(K21),"(Optional)","")</f>
        <v>(Optional)</v>
      </c>
      <c r="N21" s="483"/>
      <c r="O21" s="640" t="s">
        <v>43</v>
      </c>
      <c r="P21" s="803" t="e">
        <f>#REF!-#REF!</f>
        <v>#REF!</v>
      </c>
      <c r="Q21" s="641"/>
      <c r="R21" s="797" t="s">
        <v>52</v>
      </c>
    </row>
    <row r="22" spans="2:18" ht="16.5" customHeight="1" x14ac:dyDescent="0.3">
      <c r="B22" s="624" t="s">
        <v>62</v>
      </c>
      <c r="C22" s="622"/>
      <c r="D22" s="622"/>
      <c r="E22" s="622"/>
      <c r="F22" s="622"/>
      <c r="G22" s="622"/>
      <c r="H22" s="622"/>
      <c r="I22" s="622"/>
      <c r="J22" s="623"/>
      <c r="K22" s="622"/>
      <c r="L22" s="622"/>
      <c r="M22" s="623"/>
      <c r="N22" s="483"/>
      <c r="O22" s="640" t="s">
        <v>43</v>
      </c>
      <c r="P22" s="640"/>
      <c r="Q22" s="641"/>
      <c r="R22" s="641"/>
    </row>
    <row r="23" spans="2:18" ht="33.75" customHeight="1" x14ac:dyDescent="0.3">
      <c r="B23" s="475" t="s">
        <v>56</v>
      </c>
      <c r="C23" s="476" t="s">
        <v>57</v>
      </c>
      <c r="D23" s="605" t="s">
        <v>58</v>
      </c>
      <c r="E23" s="1630"/>
      <c r="F23" s="1616"/>
      <c r="G23" s="1515" t="str">
        <f>IF(ISBLANK(E23),"(Optional)","")</f>
        <v>(Optional)</v>
      </c>
      <c r="H23" s="1622"/>
      <c r="I23" s="1616"/>
      <c r="J23" s="1516" t="str">
        <f>IF(ISBLANK(H23),"(Optional)","")</f>
        <v>(Optional)</v>
      </c>
      <c r="K23" s="1616"/>
      <c r="L23" s="1616"/>
      <c r="M23" s="1516" t="str">
        <f>IF(ISBLANK(K23),"(Required)","")</f>
        <v>(Required)</v>
      </c>
      <c r="N23" s="483"/>
      <c r="O23" s="640" t="s">
        <v>43</v>
      </c>
      <c r="P23" s="640"/>
      <c r="Q23" s="641"/>
      <c r="R23" s="641"/>
    </row>
    <row r="24" spans="2:18" ht="33.75" customHeight="1" x14ac:dyDescent="0.35">
      <c r="B24" s="477" t="s">
        <v>60</v>
      </c>
      <c r="C24" s="476" t="s">
        <v>63</v>
      </c>
      <c r="D24" s="605" t="s">
        <v>58</v>
      </c>
      <c r="E24" s="1618"/>
      <c r="F24" s="1610"/>
      <c r="G24" s="1515" t="str">
        <f>IF(ISBLANK(E24),"(Optional)","")</f>
        <v>(Optional)</v>
      </c>
      <c r="H24" s="1624"/>
      <c r="I24" s="1610"/>
      <c r="J24" s="1519" t="str">
        <f>IF(ISBLANK(H24),"(Optional)","")</f>
        <v>(Optional)</v>
      </c>
      <c r="K24" s="1610"/>
      <c r="L24" s="1610"/>
      <c r="M24" s="1516" t="str">
        <f>IF(ISBLANK(K24),"(Required)","")</f>
        <v>(Required)</v>
      </c>
      <c r="N24" s="483"/>
      <c r="O24" s="640" t="s">
        <v>43</v>
      </c>
      <c r="P24" s="803" t="e">
        <f>#REF!-#REF!</f>
        <v>#REF!</v>
      </c>
      <c r="Q24" s="641"/>
      <c r="R24" s="641"/>
    </row>
    <row r="25" spans="2:18" ht="52.5" customHeight="1" thickBot="1" x14ac:dyDescent="0.35">
      <c r="B25" s="610" t="s">
        <v>64</v>
      </c>
      <c r="C25" s="576" t="s">
        <v>65</v>
      </c>
      <c r="D25" s="611" t="s">
        <v>66</v>
      </c>
      <c r="E25" s="1619" t="str">
        <f>IF(E17="","",E24+E21+E17)</f>
        <v/>
      </c>
      <c r="F25" s="1611"/>
      <c r="G25" s="1539"/>
      <c r="H25" s="1625" t="str">
        <f>IF(H17="","",H24+H21+H17)</f>
        <v/>
      </c>
      <c r="I25" s="1611"/>
      <c r="J25" s="1539"/>
      <c r="K25" s="1611" t="str">
        <f>IF(K17="","",K24+K21+K17)</f>
        <v/>
      </c>
      <c r="L25" s="1611"/>
      <c r="M25" s="1540"/>
      <c r="N25" s="483"/>
      <c r="O25" s="640" t="s">
        <v>43</v>
      </c>
      <c r="P25" s="640"/>
      <c r="Q25" s="641"/>
      <c r="R25" s="641"/>
    </row>
    <row r="26" spans="2:18" ht="16.5" customHeight="1" thickBot="1" x14ac:dyDescent="0.35">
      <c r="B26" s="612" t="s">
        <v>67</v>
      </c>
      <c r="C26" s="613"/>
      <c r="D26" s="614"/>
      <c r="E26" s="613"/>
      <c r="F26" s="613"/>
      <c r="G26" s="615"/>
      <c r="H26" s="613"/>
      <c r="I26" s="613"/>
      <c r="J26" s="615"/>
      <c r="K26" s="613"/>
      <c r="L26" s="613"/>
      <c r="M26" s="615"/>
      <c r="N26" s="483"/>
      <c r="O26" s="641"/>
      <c r="P26" s="641"/>
      <c r="Q26" s="641"/>
      <c r="R26" s="641"/>
    </row>
    <row r="27" spans="2:18" ht="15.5" x14ac:dyDescent="0.3">
      <c r="B27" s="616" t="s">
        <v>68</v>
      </c>
      <c r="C27" s="627" t="s">
        <v>41</v>
      </c>
      <c r="D27" s="626" t="s">
        <v>42</v>
      </c>
      <c r="E27" s="1640" t="s">
        <v>40</v>
      </c>
      <c r="F27" s="1636"/>
      <c r="G27" s="1467"/>
      <c r="H27" s="1636" t="s">
        <v>40</v>
      </c>
      <c r="I27" s="1636"/>
      <c r="J27" s="1467"/>
      <c r="K27" s="1636" t="s">
        <v>40</v>
      </c>
      <c r="L27" s="1636"/>
      <c r="M27" s="1506"/>
      <c r="N27" s="483"/>
      <c r="O27" s="641"/>
      <c r="P27" s="641"/>
      <c r="Q27" s="641"/>
      <c r="R27" s="641"/>
    </row>
    <row r="28" spans="2:18" ht="48.75" customHeight="1" x14ac:dyDescent="0.3">
      <c r="B28" s="477" t="s">
        <v>69</v>
      </c>
      <c r="C28" s="478" t="s">
        <v>70</v>
      </c>
      <c r="D28" s="609" t="s">
        <v>71</v>
      </c>
      <c r="E28" s="1641"/>
      <c r="F28" s="1638"/>
      <c r="G28" s="1520" t="str">
        <f>IF(ISBLANK(E28),"(Required)","")</f>
        <v>(Required)</v>
      </c>
      <c r="H28" s="1637"/>
      <c r="I28" s="1638"/>
      <c r="J28" s="1521" t="str">
        <f t="shared" ref="J28:J33" si="0">IF(ISBLANK(H28),"(Required)","")</f>
        <v>(Required)</v>
      </c>
      <c r="K28" s="1638"/>
      <c r="L28" s="1638"/>
      <c r="M28" s="1522" t="str">
        <f>IF(ISBLANK(K28),"(Required)","")</f>
        <v>(Required)</v>
      </c>
      <c r="N28" s="483"/>
      <c r="O28" s="641" t="s">
        <v>72</v>
      </c>
      <c r="P28" s="641"/>
      <c r="Q28" s="641" t="s">
        <v>73</v>
      </c>
      <c r="R28" s="641"/>
    </row>
    <row r="29" spans="2:18" ht="63.75" customHeight="1" x14ac:dyDescent="0.3">
      <c r="B29" s="477" t="s">
        <v>74</v>
      </c>
      <c r="C29" s="478" t="s">
        <v>75</v>
      </c>
      <c r="D29" s="609" t="s">
        <v>71</v>
      </c>
      <c r="E29" s="1632"/>
      <c r="F29" s="1633"/>
      <c r="G29" s="1522" t="str">
        <f t="shared" ref="G29:G33" si="1">IF(ISBLANK(E29),"(Required)","")</f>
        <v>(Required)</v>
      </c>
      <c r="H29" s="1639"/>
      <c r="I29" s="1633"/>
      <c r="J29" s="1523" t="str">
        <f t="shared" si="0"/>
        <v>(Required)</v>
      </c>
      <c r="K29" s="1633"/>
      <c r="L29" s="1633"/>
      <c r="M29" s="1522" t="str">
        <f t="shared" ref="M29:M33" si="2">IF(ISBLANK(K29),"(Required)","")</f>
        <v>(Required)</v>
      </c>
      <c r="N29" s="483"/>
      <c r="O29" s="641"/>
      <c r="P29" s="641"/>
      <c r="Q29" s="641"/>
      <c r="R29" s="641"/>
    </row>
    <row r="30" spans="2:18" ht="33.75" customHeight="1" x14ac:dyDescent="0.3">
      <c r="B30" s="477" t="s">
        <v>76</v>
      </c>
      <c r="C30" s="478" t="s">
        <v>77</v>
      </c>
      <c r="D30" s="609" t="s">
        <v>71</v>
      </c>
      <c r="E30" s="1632"/>
      <c r="F30" s="1633"/>
      <c r="G30" s="1522" t="str">
        <f t="shared" si="1"/>
        <v>(Required)</v>
      </c>
      <c r="H30" s="1639"/>
      <c r="I30" s="1633"/>
      <c r="J30" s="1523" t="str">
        <f t="shared" si="0"/>
        <v>(Required)</v>
      </c>
      <c r="K30" s="1633"/>
      <c r="L30" s="1633"/>
      <c r="M30" s="1522" t="str">
        <f t="shared" si="2"/>
        <v>(Required)</v>
      </c>
      <c r="O30" s="641"/>
      <c r="P30" s="641"/>
      <c r="Q30" s="641"/>
      <c r="R30" s="641"/>
    </row>
    <row r="31" spans="2:18" ht="33.75" customHeight="1" x14ac:dyDescent="0.3">
      <c r="B31" s="477" t="s">
        <v>78</v>
      </c>
      <c r="C31" s="478" t="s">
        <v>79</v>
      </c>
      <c r="D31" s="609" t="s">
        <v>71</v>
      </c>
      <c r="E31" s="1632"/>
      <c r="F31" s="1633"/>
      <c r="G31" s="1522" t="str">
        <f t="shared" si="1"/>
        <v>(Required)</v>
      </c>
      <c r="H31" s="1639"/>
      <c r="I31" s="1633"/>
      <c r="J31" s="1523" t="str">
        <f t="shared" si="0"/>
        <v>(Required)</v>
      </c>
      <c r="K31" s="1633"/>
      <c r="L31" s="1633"/>
      <c r="M31" s="1522" t="str">
        <f t="shared" si="2"/>
        <v>(Required)</v>
      </c>
      <c r="O31" s="641"/>
      <c r="P31" s="641"/>
      <c r="Q31" s="641"/>
      <c r="R31" s="641"/>
    </row>
    <row r="32" spans="2:18" ht="42" x14ac:dyDescent="0.3">
      <c r="B32" s="477" t="s">
        <v>80</v>
      </c>
      <c r="C32" s="478" t="s">
        <v>81</v>
      </c>
      <c r="D32" s="609" t="s">
        <v>71</v>
      </c>
      <c r="E32" s="1632"/>
      <c r="F32" s="1633"/>
      <c r="G32" s="1522" t="str">
        <f t="shared" si="1"/>
        <v>(Required)</v>
      </c>
      <c r="H32" s="1639"/>
      <c r="I32" s="1633"/>
      <c r="J32" s="1523" t="str">
        <f t="shared" si="0"/>
        <v>(Required)</v>
      </c>
      <c r="K32" s="1633"/>
      <c r="L32" s="1633"/>
      <c r="M32" s="1522" t="str">
        <f t="shared" si="2"/>
        <v>(Required)</v>
      </c>
      <c r="O32" s="644" t="str">
        <f>IF(E28="","",VLOOKUP(E28,'LCTOP Project Types'!$B$12:$Q$26,6,0))</f>
        <v/>
      </c>
      <c r="P32" s="641"/>
      <c r="Q32" s="643" t="s">
        <v>81</v>
      </c>
      <c r="R32" s="641"/>
    </row>
    <row r="33" spans="2:18" ht="42" x14ac:dyDescent="0.3">
      <c r="B33" s="477" t="s">
        <v>82</v>
      </c>
      <c r="C33" s="478" t="s">
        <v>83</v>
      </c>
      <c r="D33" s="609" t="s">
        <v>71</v>
      </c>
      <c r="E33" s="1632"/>
      <c r="F33" s="1633"/>
      <c r="G33" s="1524" t="str">
        <f t="shared" si="1"/>
        <v>(Required)</v>
      </c>
      <c r="H33" s="1639"/>
      <c r="I33" s="1633"/>
      <c r="J33" s="1523" t="str">
        <f t="shared" si="0"/>
        <v>(Required)</v>
      </c>
      <c r="K33" s="1633"/>
      <c r="L33" s="1633"/>
      <c r="M33" s="1522" t="str">
        <f t="shared" si="2"/>
        <v>(Required)</v>
      </c>
      <c r="O33" s="644" t="str">
        <f>IF(E28="","",VLOOKUP(E28,'LCTOP Project Types'!$B$12:$Q$26,7,0))</f>
        <v/>
      </c>
      <c r="P33" s="641"/>
      <c r="Q33" s="643" t="s">
        <v>83</v>
      </c>
      <c r="R33" s="641"/>
    </row>
    <row r="34" spans="2:18" ht="33.75" customHeight="1" thickBot="1" x14ac:dyDescent="0.35">
      <c r="B34" s="479" t="s">
        <v>84</v>
      </c>
      <c r="C34" s="480" t="s">
        <v>85</v>
      </c>
      <c r="D34" s="611" t="s">
        <v>66</v>
      </c>
      <c r="E34" s="1634" t="str">
        <f>IF(E28="","", IF(E32="","", IF(E33="","", IF(E33-E32&lt;=0,"Useful Life cannot be negative",IF(E33-E32&gt;50,"Useful Life cannot be greater than 50 years",E33-E32)))))</f>
        <v/>
      </c>
      <c r="F34" s="1635"/>
      <c r="G34" s="1558"/>
      <c r="H34" s="1642" t="str">
        <f>IF(H28="","", IF(H32="","", IF(H33="","", IF(H33-H32&lt;=0,"Useful Life cannot be negative", IF(H33-H32&gt;50,"Useful Life cannot be greater than 50 years",H33-H32)))))</f>
        <v/>
      </c>
      <c r="I34" s="1635"/>
      <c r="J34" s="1541"/>
      <c r="K34" s="1635" t="str">
        <f>IF(K28="","", IF(K32="","", IF(K33="","", IF(K33-K32&lt;=0,"Useful Life cannot be negative",IF(K33-K32&gt;50,"Useful Life cannot be greater than 50 years",K33-K32)))))</f>
        <v/>
      </c>
      <c r="L34" s="1635"/>
      <c r="M34" s="1542"/>
      <c r="O34" s="644" t="str">
        <f>IF(E28="","",VLOOKUP(E28,'LCTOP Project Types'!$B$12:$Q$26,8,0))</f>
        <v/>
      </c>
      <c r="P34" s="641"/>
      <c r="Q34" s="643" t="s">
        <v>85</v>
      </c>
      <c r="R34" s="641"/>
    </row>
    <row r="35" spans="2:18" ht="16.5" customHeight="1" thickBot="1" x14ac:dyDescent="0.35">
      <c r="B35" s="612" t="s">
        <v>86</v>
      </c>
      <c r="C35" s="630"/>
      <c r="D35" s="631"/>
      <c r="E35" s="632"/>
      <c r="F35" s="614"/>
      <c r="G35" s="614"/>
      <c r="H35" s="614"/>
      <c r="I35" s="614"/>
      <c r="J35" s="632"/>
      <c r="K35" s="614"/>
      <c r="L35" s="614"/>
      <c r="M35" s="632"/>
      <c r="O35" s="641"/>
      <c r="P35" s="641"/>
      <c r="Q35" s="641"/>
      <c r="R35" s="641"/>
    </row>
    <row r="36" spans="2:18" ht="31" x14ac:dyDescent="0.3">
      <c r="B36" s="628" t="s">
        <v>87</v>
      </c>
      <c r="C36" s="629" t="s">
        <v>41</v>
      </c>
      <c r="D36" s="481" t="s">
        <v>42</v>
      </c>
      <c r="E36" s="482" t="s">
        <v>40</v>
      </c>
      <c r="F36" s="1469" t="s">
        <v>88</v>
      </c>
      <c r="G36" s="1469"/>
      <c r="H36" s="486" t="s">
        <v>40</v>
      </c>
      <c r="I36" s="1490" t="s">
        <v>88</v>
      </c>
      <c r="J36" s="788"/>
      <c r="K36" s="788" t="s">
        <v>40</v>
      </c>
      <c r="L36" s="1469" t="s">
        <v>88</v>
      </c>
      <c r="M36" s="1489"/>
      <c r="O36" s="641"/>
      <c r="P36" s="641"/>
      <c r="Q36" s="641"/>
      <c r="R36" s="641"/>
    </row>
    <row r="37" spans="2:18" ht="33.75" customHeight="1" x14ac:dyDescent="0.35">
      <c r="B37" s="477" t="s">
        <v>89</v>
      </c>
      <c r="C37" s="478" t="s">
        <v>90</v>
      </c>
      <c r="D37" s="609" t="str">
        <f>IF($E$28="","",IF(OR(#REF!=Defaults!$M$2,#REF!=Defaults!$M$3,#REF!= Defaults!$M$2,#REF!=Defaults!$M$3),"Required Input","Not Required"))</f>
        <v/>
      </c>
      <c r="E37" s="1460"/>
      <c r="F37" s="1470"/>
      <c r="G37" s="1525" t="str">
        <f t="shared" ref="G37:G40" si="3">IF(ISBLANK(E37),"(Required)","")</f>
        <v>(Required)</v>
      </c>
      <c r="H37" s="1456"/>
      <c r="I37" s="1482"/>
      <c r="J37" s="1526" t="str">
        <f>IF(ISBLANK(H37),"(Required)","")</f>
        <v>(Required)</v>
      </c>
      <c r="K37" s="1497"/>
      <c r="L37" s="1470"/>
      <c r="M37" s="1526" t="str">
        <f>IF(ISBLANK(K37),"(Required)","")</f>
        <v>(Required)</v>
      </c>
      <c r="O37" s="726" t="str">
        <f>IF(D37="","",IF(D37="Not Required","Not applicable for this project type.","The increase in unlinked passenger trips directly associated with the proposed project in the first year (Yr1)."))</f>
        <v/>
      </c>
      <c r="P37" s="641"/>
      <c r="Q37" s="645" t="s">
        <v>90</v>
      </c>
      <c r="R37" s="784"/>
    </row>
    <row r="38" spans="2:18" ht="63" customHeight="1" x14ac:dyDescent="0.35">
      <c r="B38" s="477" t="s">
        <v>91</v>
      </c>
      <c r="C38" s="478" t="s">
        <v>92</v>
      </c>
      <c r="D38" s="609" t="str">
        <f>IF($E$28="","",IF(OR(#REF!=Defaults!$M$2,#REF!=Defaults!$M$3,#REF!= Defaults!$M$2,#REF!=Defaults!$M$3),"Required Input","Not Required"))</f>
        <v/>
      </c>
      <c r="E38" s="1460"/>
      <c r="F38" s="1470"/>
      <c r="G38" s="1525" t="str">
        <f t="shared" si="3"/>
        <v>(Required)</v>
      </c>
      <c r="H38" s="1456"/>
      <c r="I38" s="1482"/>
      <c r="J38" s="1526" t="str">
        <f>IF(ISBLANK(H38),"(Required)","")</f>
        <v>(Required)</v>
      </c>
      <c r="K38" s="1497"/>
      <c r="L38" s="1470"/>
      <c r="M38" s="1526" t="str">
        <f t="shared" ref="M38:M40" si="4">IF(ISBLANK(K38),"(Required)","")</f>
        <v>(Required)</v>
      </c>
      <c r="O38" s="726" t="str">
        <f>IF(D38="","",IF(D38="Not Required","Not applicable for this project type.","The increase in unlinked passenger trips directly associated with the proposed project in the final year. If the ridership is not expected to change, Yr1 and YrF should be the same value."))</f>
        <v/>
      </c>
      <c r="P38" s="641"/>
      <c r="Q38" s="645" t="s">
        <v>92</v>
      </c>
      <c r="R38" s="784"/>
    </row>
    <row r="39" spans="2:18" ht="80.25" customHeight="1" x14ac:dyDescent="0.35">
      <c r="B39" s="477" t="s">
        <v>93</v>
      </c>
      <c r="C39" s="478" t="s">
        <v>94</v>
      </c>
      <c r="D39" s="609" t="str">
        <f>IF($E$28="","",IF(#REF!=Defaults!$M$4,"Not Required","Required Input"))</f>
        <v/>
      </c>
      <c r="E39" s="1447"/>
      <c r="F39" s="1470"/>
      <c r="G39" s="1525" t="str">
        <f t="shared" si="3"/>
        <v>(Required)</v>
      </c>
      <c r="H39" s="1457"/>
      <c r="I39" s="1482"/>
      <c r="J39" s="1526" t="str">
        <f>IF(ISBLANK(H39),"(Required)","")</f>
        <v>(Required)</v>
      </c>
      <c r="K39" s="1498"/>
      <c r="L39" s="1470"/>
      <c r="M39" s="1526" t="str">
        <f t="shared" si="4"/>
        <v>(Required)</v>
      </c>
      <c r="O39" s="726" t="str">
        <f>IF(D39="","",IF(D39="Not Required","Not applicable for this project type.","Discount factor applied to annual ridership to account for transit-dependent riders. 
Use: Document project-specific data or system average developed from a recent, statistically valid survey or default."))</f>
        <v/>
      </c>
      <c r="P39" s="641"/>
      <c r="Q39" s="645" t="s">
        <v>95</v>
      </c>
      <c r="R39" s="784"/>
    </row>
    <row r="40" spans="2:18" ht="33.75" customHeight="1" thickBot="1" x14ac:dyDescent="0.4">
      <c r="B40" s="477" t="s">
        <v>96</v>
      </c>
      <c r="C40" s="478" t="s">
        <v>97</v>
      </c>
      <c r="D40" s="609" t="str">
        <f>IF($E$28="","",IF(OR(#REF!=Defaults!$M$2,#REF!=Defaults!$M$3,#REF!= Defaults!$M$2,#REF!=Defaults!$M$3),"Required Input","Not Required"))</f>
        <v/>
      </c>
      <c r="E40" s="1448"/>
      <c r="F40" s="1470"/>
      <c r="G40" s="1525" t="str">
        <f t="shared" si="3"/>
        <v>(Required)</v>
      </c>
      <c r="H40" s="1458"/>
      <c r="I40" s="1482"/>
      <c r="J40" s="1526" t="str">
        <f>IF(ISBLANK(H40),"(Required)","")</f>
        <v>(Required)</v>
      </c>
      <c r="K40" s="1499"/>
      <c r="L40" s="1470"/>
      <c r="M40" s="1526" t="str">
        <f t="shared" si="4"/>
        <v>(Required)</v>
      </c>
      <c r="N40" s="483"/>
      <c r="O40" s="726" t="str">
        <f>IF(D40="","",IF(D40="Not Required","Not applicable for this project type.","Annual passenger miles over unlinked trips directly associated with the proposed project."))</f>
        <v/>
      </c>
      <c r="P40" s="641"/>
      <c r="Q40" s="645" t="s">
        <v>98</v>
      </c>
      <c r="R40" s="784"/>
    </row>
    <row r="41" spans="2:18" ht="33.75" hidden="1" customHeight="1" x14ac:dyDescent="0.3">
      <c r="B41" s="722" t="s">
        <v>99</v>
      </c>
      <c r="C41" s="633" t="s">
        <v>100</v>
      </c>
      <c r="D41" s="609"/>
      <c r="E41" s="1428"/>
      <c r="F41" s="789"/>
      <c r="G41" s="1471"/>
      <c r="H41" s="1442"/>
      <c r="I41" s="1482"/>
      <c r="J41" s="1444"/>
      <c r="K41" s="1500"/>
      <c r="L41" s="1470"/>
      <c r="M41" s="1444"/>
      <c r="N41" s="483"/>
      <c r="O41" s="640" t="s">
        <v>101</v>
      </c>
      <c r="P41" s="641"/>
      <c r="Q41" s="642" t="s">
        <v>102</v>
      </c>
      <c r="R41" s="642"/>
    </row>
    <row r="42" spans="2:18" ht="33.75" hidden="1" customHeight="1" x14ac:dyDescent="0.35">
      <c r="B42" s="477" t="s">
        <v>103</v>
      </c>
      <c r="C42" s="478" t="s">
        <v>104</v>
      </c>
      <c r="D42" s="611" t="e">
        <f>IF(OR(#REF!=Defaults!$M$2,#REF!=Defaults!$M$3,#REF!=Defaults!$M$2,#REF!=Defaults!$M$3),"Calculated","Not Applicable")</f>
        <v>#REF!</v>
      </c>
      <c r="E42" s="1527" t="str">
        <f ca="1">IF(OR(E$28=Defaults!$M$2,E$28=Defaults!$M$3),IF(VLOOKUP(MID(CELL("filename",E42),FIND("]",CELL("filename",E42))+1,255)&amp;SUBSTITUTE(ADDRESS(1,COLUMN(E42),4),"1",""),'GHG Calcs'!$E$12:$CL$29,MATCH('GHG Calcs'!$Z$11,'GHG Calcs'!$E$11:$CL$11,0),0)="","",IFERROR(VLOOKUP(MID(CELL("filename",E42),FIND("]",CELL("filename",E42))+1,255)&amp;SUBSTITUTE(ADDRESS(1,COLUMN(E42),4),"1",""),'GHG Calcs'!$E$12:$CL$29,MATCH('GHG Calcs'!$Z$11,'GHG Calcs'!$E$11:$CL$11,0),0),"Incomplete Inputs")),"")</f>
        <v/>
      </c>
      <c r="F42" s="1472"/>
      <c r="G42" s="1432"/>
      <c r="H42" s="1528" t="str">
        <f ca="1">IF(OR(H$28=Defaults!$M$2,H$28=Defaults!$M$3),IF(VLOOKUP(MID(CELL("filename",H42),FIND("]",CELL("filename",H42))+1,255)&amp;SUBSTITUTE(ADDRESS(1,COLUMN(H42),4),"1",""),'GHG Calcs'!$E$12:$CL$29,MATCH('GHG Calcs'!$Z$11,'GHG Calcs'!$E$11:$CL$11,0),0)="","",IFERROR(VLOOKUP(MID(CELL("filename",H42),FIND("]",CELL("filename",H42))+1,255)&amp;SUBSTITUTE(ADDRESS(1,COLUMN(H42),4),"1",""),'GHG Calcs'!$E$12:$CL$29,MATCH('GHG Calcs'!$Z$11,'GHG Calcs'!$E$11:$CL$11,0),0),"Incomplete Inputs")),"")</f>
        <v/>
      </c>
      <c r="I42" s="1491"/>
      <c r="J42" s="1445"/>
      <c r="K42" s="1529" t="str">
        <f ca="1">IF(OR(K$28=Defaults!$M$2,K$28=Defaults!$M$3),IF(VLOOKUP(MID(CELL("filename",K42),FIND("]",CELL("filename",K42))+1,255)&amp;SUBSTITUTE(ADDRESS(1,COLUMN(K42),4),"1",""),'GHG Calcs'!$E$12:$CL$29,MATCH('GHG Calcs'!$Z$11,'GHG Calcs'!$E$11:$CL$11,0),0)="","",IFERROR(VLOOKUP(MID(CELL("filename",K42),FIND("]",CELL("filename",K42))+1,255)&amp;SUBSTITUTE(ADDRESS(1,COLUMN(K42),4),"1",""),'GHG Calcs'!$E$12:$CL$29,MATCH('GHG Calcs'!$Z$11,'GHG Calcs'!$E$11:$CL$11,0),0),"Incomplete Inputs")),"")</f>
        <v/>
      </c>
      <c r="L42" s="1502"/>
      <c r="M42" s="1445"/>
      <c r="N42" s="483"/>
      <c r="O42" s="641"/>
      <c r="P42" s="787" t="str">
        <f ca="1">'GHG Calcs'!Z12</f>
        <v/>
      </c>
      <c r="Q42" s="642" t="s">
        <v>38</v>
      </c>
      <c r="R42" s="787" t="e">
        <f ca="1">IF(OR(#REF!=Defaults!$M$2,#REF!=Defaults!$M$3,#REF!=Defaults!$M$2,#REF!=Defaults!$M$3),IF(VLOOKUP(MID(CELL("filename",E$42),FIND("]",CELL("filename",E$42))+1,255)&amp;SUBSTITUTE(ADDRESS(1,COLUMN(E$42),4),"1",""),'GHG Calcs'!$F$12:$CL$12,MATCH('GHG Calcs'!$Z$11,'GHG Calcs'!$F$11:$CL$11,0),0)="","",IFERROR(VLOOKUP(MID(CELL("filename",E$42),FIND("]",CELL("filename",E$42))+1,255)&amp;SUBSTITUTE(ADDRESS(1,COLUMN(E$42),4),"1",""),'GHG Calcs'!$F$12:$CL$12,MATCH('GHG Calcs'!$Z$11,'GHG Calcs'!$F$11:$CL$11,0),0),"Incomplete Inputs")),"")</f>
        <v>#REF!</v>
      </c>
    </row>
    <row r="43" spans="2:18" ht="54" hidden="1" customHeight="1" thickBot="1" x14ac:dyDescent="0.4">
      <c r="B43" s="484" t="s">
        <v>105</v>
      </c>
      <c r="C43" s="485" t="s">
        <v>106</v>
      </c>
      <c r="D43" s="637" t="e">
        <f>IF(OR(#REF!=Defaults!$M$2,#REF!=Defaults!$M$3,#REF!=Defaults!$M$2,#REF!=Defaults!$M$3),"Calculated","Not Applicable")</f>
        <v>#REF!</v>
      </c>
      <c r="E43" s="1530" t="str">
        <f ca="1">IF(OR(E$28=Defaults!$M$2,E$28=Defaults!$M$3),IF(VLOOKUP(MID(CELL("filename",E43),FIND("]",CELL("filename",E43))+1,255)&amp;SUBSTITUTE(ADDRESS(1,COLUMN(E43),4),"1",""),'GHG Calcs'!$E$12:$CL$29,MATCH('GHG Calcs'!$AA$11,'GHG Calcs'!$E$11:$CL$11,0),0)="","",IFERROR(VLOOKUP(MID(CELL("filename",E43),FIND("]",CELL("filename",E43))+1,255)&amp;SUBSTITUTE(ADDRESS(1,COLUMN(E43),4),"1",""),'GHG Calcs'!$E$12:$CL$29,MATCH('GHG Calcs'!$AA$11,'GHG Calcs'!$E$11:$CL$11,0),0),"Incomplete Inputs")),"")</f>
        <v/>
      </c>
      <c r="F43" s="1473"/>
      <c r="G43" s="1433"/>
      <c r="H43" s="1531" t="str">
        <f ca="1">IF(OR(H$28=Defaults!$M$2,H$28=Defaults!$M$3),IF(VLOOKUP(MID(CELL("filename",H43),FIND("]",CELL("filename",H43))+1,255)&amp;SUBSTITUTE(ADDRESS(1,COLUMN(H43),4),"1",""),'GHG Calcs'!$E$12:$CL$29,MATCH('GHG Calcs'!$AA$11,'GHG Calcs'!$E$11:$CL$11,0),0)="","",IFERROR(VLOOKUP(MID(CELL("filename",H43),FIND("]",CELL("filename",H43))+1,255)&amp;SUBSTITUTE(ADDRESS(1,COLUMN(H43),4),"1",""),'GHG Calcs'!$E$12:$CL$29,MATCH('GHG Calcs'!$AA$11,'GHG Calcs'!$E$11:$CL$11,0),0),"Incomplete Inputs")),"")</f>
        <v/>
      </c>
      <c r="I43" s="1492"/>
      <c r="J43" s="1446"/>
      <c r="K43" s="1532" t="str">
        <f ca="1">IF(OR(K$28=Defaults!$M$2,K$28=Defaults!$M$3),IF(VLOOKUP(MID(CELL("filename",K43),FIND("]",CELL("filename",K43))+1,255)&amp;SUBSTITUTE(ADDRESS(1,COLUMN(K43),4),"1",""),'GHG Calcs'!$E$12:$CL$29,MATCH('GHG Calcs'!$AA$11,'GHG Calcs'!$E$11:$CL$11,0),0)="","",IFERROR(VLOOKUP(MID(CELL("filename",K43),FIND("]",CELL("filename",K43))+1,255)&amp;SUBSTITUTE(ADDRESS(1,COLUMN(K43),4),"1",""),'GHG Calcs'!$E$12:$CL$29,MATCH('GHG Calcs'!$AA$11,'GHG Calcs'!$E$11:$CL$11,0),0),"Incomplete Inputs")),"")</f>
        <v/>
      </c>
      <c r="L43" s="1503"/>
      <c r="M43" s="1507"/>
      <c r="N43" s="483"/>
      <c r="O43" s="641"/>
      <c r="P43" s="787" t="str">
        <f ca="1">'GHG Calcs'!AA12</f>
        <v/>
      </c>
      <c r="Q43" s="642" t="s">
        <v>38</v>
      </c>
      <c r="R43" s="787" t="e">
        <f ca="1">IF(OR(#REF!=Defaults!$M$2,#REF!=Defaults!$M$3,#REF!=Defaults!$M$2,#REF!=Defaults!$M$3),IF(VLOOKUP(MID(CELL("filename",E$43),FIND("]",CELL("filename",E$43))+1,255)&amp;SUBSTITUTE(ADDRESS(1,COLUMN(E$43),4),"1",""),'GHG Calcs'!$F$12:$CL$12,MATCH('GHG Calcs'!$Z$11,'GHG Calcs'!$F$11:$CL$11,0),0)="","",IFERROR(VLOOKUP(MID(CELL("filename",E$43),FIND("]",CELL("filename",E$43))+1,255)&amp;SUBSTITUTE(ADDRESS(1,COLUMN(E$43),4),"1",""),'GHG Calcs'!$F$12:$CL$12,MATCH('GHG Calcs'!$AA$11,'GHG Calcs'!$F$11:$CL$11,0),0),"Incomplete Inputs")),"")</f>
        <v>#REF!</v>
      </c>
    </row>
    <row r="44" spans="2:18" ht="16.5" customHeight="1" thickBot="1" x14ac:dyDescent="0.35">
      <c r="B44" s="612" t="s">
        <v>107</v>
      </c>
      <c r="C44" s="630"/>
      <c r="D44" s="631"/>
      <c r="E44" s="632"/>
      <c r="F44" s="614"/>
      <c r="G44" s="632"/>
      <c r="H44" s="614"/>
      <c r="I44" s="1469"/>
      <c r="J44" s="1489"/>
      <c r="K44" s="614"/>
      <c r="L44" s="614"/>
      <c r="M44" s="632"/>
      <c r="O44" s="641"/>
      <c r="P44" s="641"/>
      <c r="Q44" s="641"/>
      <c r="R44" s="641"/>
    </row>
    <row r="45" spans="2:18" ht="31" x14ac:dyDescent="0.3">
      <c r="B45" s="628" t="s">
        <v>108</v>
      </c>
      <c r="C45" s="629" t="s">
        <v>41</v>
      </c>
      <c r="D45" s="481" t="s">
        <v>42</v>
      </c>
      <c r="E45" s="482" t="s">
        <v>40</v>
      </c>
      <c r="F45" s="1469" t="s">
        <v>88</v>
      </c>
      <c r="G45" s="788"/>
      <c r="H45" s="486" t="s">
        <v>40</v>
      </c>
      <c r="I45" s="1469" t="s">
        <v>88</v>
      </c>
      <c r="J45" s="788"/>
      <c r="K45" s="486" t="s">
        <v>40</v>
      </c>
      <c r="L45" s="1490" t="s">
        <v>88</v>
      </c>
      <c r="M45" s="1489"/>
      <c r="N45" s="483"/>
      <c r="O45" s="641"/>
      <c r="P45" s="641"/>
      <c r="Q45" s="641"/>
      <c r="R45" s="641"/>
    </row>
    <row r="46" spans="2:18" ht="33.75" customHeight="1" x14ac:dyDescent="0.3">
      <c r="B46" s="477" t="s">
        <v>109</v>
      </c>
      <c r="C46" s="478" t="s">
        <v>110</v>
      </c>
      <c r="D46" s="611" t="str">
        <f>IF($E$28="","",IF(OR(#REF!=Defaults!$M$2,#REF!=Defaults!$M$4,#REF!= Defaults!$M$2,#REF!=Defaults!$M$4),IF(NOT(E$29=Defaults!$F$2),"Required Input","Not Required"),"Not Required"))</f>
        <v/>
      </c>
      <c r="E46" s="1443"/>
      <c r="F46" s="1474"/>
      <c r="G46" s="1533" t="str">
        <f t="shared" ref="G46:G51" si="5">IF(ISBLANK(E46),"(Required)","")</f>
        <v>(Required)</v>
      </c>
      <c r="H46" s="1459"/>
      <c r="I46" s="1493"/>
      <c r="J46" s="1533" t="str">
        <f t="shared" ref="J46:J51" si="6">IF(ISBLANK(H46),"(Required)","")</f>
        <v>(Required)</v>
      </c>
      <c r="K46" s="1459"/>
      <c r="L46" s="1493"/>
      <c r="M46" s="1533" t="str">
        <f>IF(ISBLANK(K46),"(Required)","")</f>
        <v>(Required)</v>
      </c>
      <c r="N46" s="483"/>
      <c r="O46" s="727" t="str">
        <f>IF($E$28="","",IF(D46="Not Required","Not applicable for this project type.","The vehicle type (e.g., Transit Bus, Streetcar, Ferry, etc.) that will operate the new service or will be procured."))</f>
        <v/>
      </c>
      <c r="P46" s="641"/>
      <c r="Q46" s="478" t="s">
        <v>110</v>
      </c>
      <c r="R46" s="785"/>
    </row>
    <row r="47" spans="2:18" ht="33.75" customHeight="1" x14ac:dyDescent="0.3">
      <c r="B47" s="477" t="s">
        <v>111</v>
      </c>
      <c r="C47" s="478" t="s">
        <v>112</v>
      </c>
      <c r="D47" s="611" t="str">
        <f>IF($E$28="","",IF(AND(OR(#REF!=Defaults!$M$2,#REF!=Defaults!$M$4,#REF!= Defaults!$M$2,#REF!=Defaults!$M$4),NOT(E$29=Defaults!$F$2),E$46=Defaults!$G$5),"Required Input","Not Required"))</f>
        <v/>
      </c>
      <c r="E47" s="1449"/>
      <c r="F47" s="1474"/>
      <c r="G47" s="1533" t="str">
        <f t="shared" si="5"/>
        <v>(Required)</v>
      </c>
      <c r="H47" s="1452"/>
      <c r="I47" s="1493"/>
      <c r="J47" s="1533" t="str">
        <f t="shared" si="6"/>
        <v>(Required)</v>
      </c>
      <c r="K47" s="1452"/>
      <c r="L47" s="1493"/>
      <c r="M47" s="1533" t="str">
        <f t="shared" ref="M47:M54" si="7">IF(ISBLANK(K47),"(Required)","")</f>
        <v>(Required)</v>
      </c>
      <c r="N47" s="483"/>
      <c r="O47" s="727" t="str">
        <f>IF($E$28="","",IF(D47="Not Required","Not applicable for this project type.","The engine tier for the vehicle(s) that will operate the new service."))</f>
        <v/>
      </c>
      <c r="P47" s="641"/>
      <c r="Q47" s="478" t="s">
        <v>112</v>
      </c>
      <c r="R47" s="785"/>
    </row>
    <row r="48" spans="2:18" ht="33.75" customHeight="1" x14ac:dyDescent="0.3">
      <c r="B48" s="477" t="s">
        <v>113</v>
      </c>
      <c r="C48" s="478" t="s">
        <v>114</v>
      </c>
      <c r="D48" s="611" t="str">
        <f>IF($E$28="","",IF(AND(OR(#REF!=Defaults!$M$2,#REF!=Defaults!$M$4,#REF!= Defaults!$M$2,#REF!=Defaults!$M$4),NOT(E$29=Defaults!$F$2),OR(E$46=Defaults!$G$3,E$46=Defaults!$G$4)),"Required Input","Not Required"))</f>
        <v/>
      </c>
      <c r="E48" s="1449"/>
      <c r="F48" s="1474"/>
      <c r="G48" s="1533" t="str">
        <f t="shared" si="5"/>
        <v>(Required)</v>
      </c>
      <c r="H48" s="1452"/>
      <c r="I48" s="1493"/>
      <c r="J48" s="1533" t="str">
        <f t="shared" si="6"/>
        <v>(Required)</v>
      </c>
      <c r="K48" s="1452"/>
      <c r="L48" s="1493"/>
      <c r="M48" s="1533" t="str">
        <f t="shared" si="7"/>
        <v>(Required)</v>
      </c>
      <c r="N48" s="483"/>
      <c r="O48" s="727" t="str">
        <f>IF($E$28="","",IF(D48="Not Required","Not applicable for this project type.","The engine horsepower rating for the vehicle(s) that will operate the new service."))</f>
        <v/>
      </c>
      <c r="P48" s="641"/>
      <c r="Q48" s="478" t="s">
        <v>114</v>
      </c>
      <c r="R48" s="785"/>
    </row>
    <row r="49" spans="2:18" ht="33.75" customHeight="1" x14ac:dyDescent="0.3">
      <c r="B49" s="477" t="s">
        <v>115</v>
      </c>
      <c r="C49" s="478" t="s">
        <v>116</v>
      </c>
      <c r="D49" s="611" t="str">
        <f>IF($E$28="","",IF(OR(#REF!=Defaults!$M$2,#REF!=Defaults!$M$4,#REF!= Defaults!$M$2,#REF!=Defaults!$M$4),IF(NOT(E$29=Defaults!$F$2),"Required Input","Not Required"),"Not Required"))</f>
        <v/>
      </c>
      <c r="E49" s="1449"/>
      <c r="F49" s="1474"/>
      <c r="G49" s="1533" t="str">
        <f t="shared" si="5"/>
        <v>(Required)</v>
      </c>
      <c r="H49" s="1452"/>
      <c r="I49" s="1493"/>
      <c r="J49" s="1533" t="str">
        <f t="shared" si="6"/>
        <v>(Required)</v>
      </c>
      <c r="K49" s="1452"/>
      <c r="L49" s="1493"/>
      <c r="M49" s="1533" t="str">
        <f t="shared" si="7"/>
        <v>(Required)</v>
      </c>
      <c r="N49" s="483"/>
      <c r="O49" s="478" t="str">
        <f>IF($E$28="","",IF(D49="Not Required","Not applicable for this project type.",VLOOKUP($E$28,'LCTOP Project Types'!$B$12:$Q$26,11,0)))</f>
        <v/>
      </c>
      <c r="P49" s="641"/>
      <c r="Q49" s="478" t="s">
        <v>116</v>
      </c>
      <c r="R49" s="785"/>
    </row>
    <row r="50" spans="2:18" ht="47.25" customHeight="1" x14ac:dyDescent="0.3">
      <c r="B50" s="477" t="s">
        <v>117</v>
      </c>
      <c r="C50" s="478" t="s">
        <v>118</v>
      </c>
      <c r="D50" s="611" t="str">
        <f>IF($E$28="","",IF(OR(#REF!=Defaults!$M$2,#REF!=Defaults!$M$4,#REF!= Defaults!$M$2,#REF!=Defaults!$M$4),IF(NOT(E$29=Defaults!$F$2),"Required Input","Not Required"),"Not Required"))</f>
        <v/>
      </c>
      <c r="E50" s="1449"/>
      <c r="F50" s="1474"/>
      <c r="G50" s="1533" t="str">
        <f t="shared" si="5"/>
        <v>(Required)</v>
      </c>
      <c r="H50" s="1461"/>
      <c r="I50" s="1493"/>
      <c r="J50" s="1533" t="str">
        <f t="shared" si="6"/>
        <v>(Required)</v>
      </c>
      <c r="K50" s="1452"/>
      <c r="L50" s="1493"/>
      <c r="M50" s="1533" t="str">
        <f t="shared" si="7"/>
        <v>(Required)</v>
      </c>
      <c r="N50" s="483"/>
      <c r="O50" s="478" t="str">
        <f>IF($E$28="","",IF(D50="Not Required","Not applicable for this project type.",VLOOKUP($E$28,'LCTOP Project Types'!$B$12:$Q$26,10,0)))</f>
        <v/>
      </c>
      <c r="P50" s="641"/>
      <c r="Q50" s="478" t="s">
        <v>118</v>
      </c>
      <c r="R50" s="785"/>
    </row>
    <row r="51" spans="2:18" ht="54.75" customHeight="1" x14ac:dyDescent="0.3">
      <c r="B51" s="477" t="s">
        <v>119</v>
      </c>
      <c r="C51" s="478" t="s">
        <v>120</v>
      </c>
      <c r="D51" s="611" t="str">
        <f>IF($E$28="","",IF(AND(OR(#REF!=Defaults!$M$2,#REF!=Defaults!$M$4,#REF!=Defaults!$M$2,#REF!=Defaults!$M$4),OR(E$46=Defaults!$G$2,E$46=Defaults!$G$3,E$46=Defaults!$G$4,E$46=Defaults!$G$7,E$46=Defaults!$G$9,E$46=Defaults!$G$10)),"Required Input","Not Required"))</f>
        <v/>
      </c>
      <c r="E51" s="1449"/>
      <c r="F51" s="1474"/>
      <c r="G51" s="1533" t="str">
        <f t="shared" si="5"/>
        <v>(Required)</v>
      </c>
      <c r="H51" s="1461"/>
      <c r="I51" s="1493"/>
      <c r="J51" s="1533" t="str">
        <f t="shared" si="6"/>
        <v>(Required)</v>
      </c>
      <c r="K51" s="1452"/>
      <c r="L51" s="1493"/>
      <c r="M51" s="1533" t="str">
        <f t="shared" si="7"/>
        <v>(Required)</v>
      </c>
      <c r="N51" s="483"/>
      <c r="O51" s="478" t="str">
        <f>IF($E$28="","",IF(D51="Not Required","Not applicable for this project type.",VLOOKUP($E$28,'LCTOP Project Types'!$B$12:$Q$26,12,0)))</f>
        <v/>
      </c>
      <c r="P51" s="641"/>
      <c r="Q51" s="478" t="s">
        <v>120</v>
      </c>
      <c r="R51" s="785"/>
    </row>
    <row r="52" spans="2:18" ht="47.25" customHeight="1" x14ac:dyDescent="0.3">
      <c r="B52" s="477" t="s">
        <v>121</v>
      </c>
      <c r="C52" s="478" t="s">
        <v>122</v>
      </c>
      <c r="D52" s="611" t="str">
        <f>IF($E$28="","",IF(AND(OR(#REF!=Defaults!$M$2,#REF!=Defaults!$M$4,#REF!=Defaults!$M$2,#REF!=Defaults!$M$4),NOT(E$29=Defaults!$F$2)),"Optional Input","Not Required"))</f>
        <v/>
      </c>
      <c r="E52" s="1448"/>
      <c r="F52" s="1470"/>
      <c r="G52" s="1526" t="str">
        <f>IF(ISBLANK(E52),"(Optional)","")</f>
        <v>(Optional)</v>
      </c>
      <c r="H52" s="1458"/>
      <c r="I52" s="1482"/>
      <c r="J52" s="1526" t="str">
        <f>IF(ISBLANK(H52),"(Optional)","")</f>
        <v>(Optional)</v>
      </c>
      <c r="K52" s="1458"/>
      <c r="L52" s="1494"/>
      <c r="M52" s="1533" t="str">
        <f>IF(ISBLANK(K52),"(Optional)","")</f>
        <v>(Optional)</v>
      </c>
      <c r="N52" s="483"/>
      <c r="O52" s="478" t="str">
        <f>IF($E$28="","",IF(D52="Not Required","Not applicable for this project type.","If used, applicant must be able to demonstrate an approved carbon intensity value under the Low Carbon Fuel Standard and submit additional documentation."))</f>
        <v/>
      </c>
      <c r="P52" s="641"/>
      <c r="Q52" s="478" t="s">
        <v>123</v>
      </c>
      <c r="R52" s="785"/>
    </row>
    <row r="53" spans="2:18" ht="100.5" customHeight="1" x14ac:dyDescent="0.3">
      <c r="B53" s="477" t="s">
        <v>124</v>
      </c>
      <c r="C53" s="478" t="s">
        <v>125</v>
      </c>
      <c r="D53" s="611" t="str">
        <f>IF($E$28="","",IF(AND(NOT(ISBLANK($E$54)),OR($E$46=Defaults!$G$3,$E$46=Defaults!$G$5,$E$46=Defaults!$G$6,$E$46=Defaults!$G$8)),"Optional",IF(AND(OR(#REF!=Defaults!$M$2,#REF!=Defaults!$M$4,#REF!=Defaults!$M$2,#REF!=Defaults!$M$4),OR(E$46=Defaults!$G$2,E$46=Defaults!$G$3,E$46=Defaults!$G$5,E$46=Defaults!$G$6,E$46=Defaults!$G$7,E$46=Defaults!$G$8,E$46=Defaults!$G$9,E$46=Defaults!$G$10)),"Required Input","Not Required")))</f>
        <v/>
      </c>
      <c r="E53" s="1450"/>
      <c r="F53" s="1470"/>
      <c r="G53" s="1526" t="str">
        <f>IF(ISBLANK(E53),"(Required)","")</f>
        <v>(Required)</v>
      </c>
      <c r="H53" s="1456"/>
      <c r="I53" s="1482"/>
      <c r="J53" s="1526" t="str">
        <f>IF(ISBLANK(H53),"(Required)","")</f>
        <v>(Required)</v>
      </c>
      <c r="K53" s="1456"/>
      <c r="L53" s="1494"/>
      <c r="M53" s="1533" t="str">
        <f t="shared" si="7"/>
        <v>(Required)</v>
      </c>
      <c r="N53" s="483"/>
      <c r="O53" s="478" t="str">
        <f>IF($E$28="","",IF(D53="Not Required","Not applicable for this project type.",VLOOKUP($E$28,'LCTOP Project Types'!$B$12:$Q$26,13,0)))</f>
        <v/>
      </c>
      <c r="P53" s="641"/>
      <c r="Q53" s="478" t="s">
        <v>125</v>
      </c>
      <c r="R53" s="785"/>
    </row>
    <row r="54" spans="2:18" ht="133.5" customHeight="1" thickBot="1" x14ac:dyDescent="0.35">
      <c r="B54" s="479" t="s">
        <v>126</v>
      </c>
      <c r="C54" s="480" t="s">
        <v>127</v>
      </c>
      <c r="D54" s="605" t="str">
        <f>IF($E$28="","",IF(AND(NOT(ISBLANK($E$53)),OR($E$46=Defaults!$G$3,$E$46=Defaults!$G$5,$E$46=Defaults!$G$6,$E$46=Defaults!$G$8)),"Optional",IF(AND(OR(#REF!=Defaults!$M$2,#REF!=Defaults!$M$4,#REF!=Defaults!$M$2,#REF!=Defaults!$M$4),OR(E$46=Defaults!$G$3,E$46=Defaults!$G$4,E$46=Defaults!$G$5,E$46=Defaults!$G$6,E$46=Defaults!$G$8)),"Required Input","Not Required")))</f>
        <v/>
      </c>
      <c r="E54" s="1450"/>
      <c r="F54" s="1471"/>
      <c r="G54" s="1526" t="str">
        <f>IF(ISBLANK(E54),"(Required)","")</f>
        <v>(Required)</v>
      </c>
      <c r="H54" s="1456"/>
      <c r="I54" s="1494"/>
      <c r="J54" s="1526" t="str">
        <f>IF(ISBLANK(H54),"(Required)","")</f>
        <v>(Required)</v>
      </c>
      <c r="K54" s="1456"/>
      <c r="L54" s="1494"/>
      <c r="M54" s="1533" t="str">
        <f t="shared" si="7"/>
        <v>(Required)</v>
      </c>
      <c r="N54" s="483"/>
      <c r="O54" s="480" t="str">
        <f>IF($E$28="","",IF(D54="Not Required","Not applicable for this project type.",VLOOKUP($E$28,'LCTOP Project Types'!$B$12:$Q$26,14,0)))</f>
        <v/>
      </c>
      <c r="P54" s="641"/>
      <c r="Q54" s="480" t="s">
        <v>127</v>
      </c>
      <c r="R54" s="786"/>
    </row>
    <row r="55" spans="2:18" ht="100.5" hidden="1" customHeight="1" thickBot="1" x14ac:dyDescent="0.35">
      <c r="B55" s="477" t="s">
        <v>128</v>
      </c>
      <c r="C55" s="478" t="s">
        <v>129</v>
      </c>
      <c r="D55" s="605" t="str">
        <f>IF($E$28="","",IF(OR($E$49=Defaults!$I$11, $H$49=Defaults!$I$11, $K$49=Defaults!$I$11),"Required Input","Not Required"))</f>
        <v/>
      </c>
      <c r="E55" s="1431"/>
      <c r="F55" s="1475"/>
      <c r="G55" s="1429"/>
      <c r="H55" s="1430"/>
      <c r="I55" s="1495"/>
      <c r="J55" s="1429"/>
      <c r="K55" s="1430"/>
      <c r="L55" s="1495"/>
      <c r="M55" s="1508"/>
      <c r="N55" s="483"/>
      <c r="O55" s="480"/>
      <c r="P55" s="641"/>
      <c r="Q55" s="480"/>
      <c r="R55" s="786"/>
    </row>
    <row r="56" spans="2:18" ht="16.5" customHeight="1" thickBot="1" x14ac:dyDescent="0.35">
      <c r="B56" s="612" t="s">
        <v>130</v>
      </c>
      <c r="C56" s="630"/>
      <c r="D56" s="631"/>
      <c r="E56" s="632"/>
      <c r="F56" s="614"/>
      <c r="G56" s="1489"/>
      <c r="H56" s="486"/>
      <c r="I56" s="1469"/>
      <c r="J56" s="1489"/>
      <c r="K56" s="614"/>
      <c r="L56" s="614"/>
      <c r="M56" s="632"/>
      <c r="O56" s="641"/>
      <c r="P56" s="641"/>
      <c r="Q56" s="641"/>
      <c r="R56" s="641"/>
    </row>
    <row r="57" spans="2:18" ht="31" x14ac:dyDescent="0.3">
      <c r="B57" s="628" t="s">
        <v>131</v>
      </c>
      <c r="C57" s="629" t="s">
        <v>41</v>
      </c>
      <c r="D57" s="481" t="s">
        <v>42</v>
      </c>
      <c r="E57" s="482" t="s">
        <v>40</v>
      </c>
      <c r="F57" s="1469" t="s">
        <v>88</v>
      </c>
      <c r="G57" s="788"/>
      <c r="H57" s="486" t="s">
        <v>40</v>
      </c>
      <c r="I57" s="1469" t="s">
        <v>88</v>
      </c>
      <c r="J57" s="788"/>
      <c r="K57" s="486" t="s">
        <v>40</v>
      </c>
      <c r="L57" s="1490" t="s">
        <v>88</v>
      </c>
      <c r="M57" s="1489"/>
      <c r="N57" s="483"/>
      <c r="O57" s="641"/>
      <c r="P57" s="641"/>
      <c r="Q57" s="641"/>
      <c r="R57" s="641"/>
    </row>
    <row r="58" spans="2:18" ht="33.75" customHeight="1" x14ac:dyDescent="0.3">
      <c r="B58" s="477" t="s">
        <v>109</v>
      </c>
      <c r="C58" s="478" t="s">
        <v>132</v>
      </c>
      <c r="D58" s="611" t="str">
        <f>IF($E$28="","",IF(OR(#REF!=Defaults!$M$4,#REF!=Defaults!$M$4),"Required Input",IF(OR(#REF!=Defaults!$M$2,#REF!=Defaults!$M$2),"Optional Input","Not Required")))</f>
        <v/>
      </c>
      <c r="E58" s="1443"/>
      <c r="F58" s="1476"/>
      <c r="G58" s="1533" t="b">
        <f>IF(ISBLANK(E58),IF(E$28=Defaults!$M$2,"(Optional)",IF(E$28=Defaults!$M$4,"(Required)")),"")</f>
        <v>0</v>
      </c>
      <c r="H58" s="1462"/>
      <c r="I58" s="1494"/>
      <c r="J58" s="1526" t="b">
        <f>IF(ISBLANK(H58),IF(H$28=Defaults!$M$2,"(Optional)",IF(H$28=Defaults!$M$4,"(Required)")),"")</f>
        <v>0</v>
      </c>
      <c r="K58" s="1462"/>
      <c r="L58" s="1494"/>
      <c r="M58" s="1526" t="b">
        <f>IF(ISBLANK(K58),IF(K$28=Defaults!$M$2,"(Optional)",IF(K$28=Defaults!$M$4,"(Required)")),"")</f>
        <v>0</v>
      </c>
      <c r="N58" s="483"/>
      <c r="O58" s="478" t="str">
        <f>IF($E$28="","",IF(D54="Not Required","Not applicable for this project type.","The vehicle type (e.g., Transit Bus, Streetcar, Ferry, etc.) of the baseline vehicle(s)."))</f>
        <v/>
      </c>
      <c r="P58" s="641"/>
      <c r="Q58" s="478" t="s">
        <v>132</v>
      </c>
      <c r="R58" s="785"/>
    </row>
    <row r="59" spans="2:18" ht="33.75" customHeight="1" x14ac:dyDescent="0.3">
      <c r="B59" s="477" t="s">
        <v>111</v>
      </c>
      <c r="C59" s="478" t="s">
        <v>133</v>
      </c>
      <c r="D59" s="611" t="str">
        <f>IF($E$28="","",IF(AND(OR(#REF!=Defaults!$M$2,#REF!=Defaults!$M$4,#REF!= Defaults!$M$2,#REF!=Defaults!$M$4),E$58=Defaults!$G$5),"Required Input","Not Required"))</f>
        <v/>
      </c>
      <c r="E59" s="1449"/>
      <c r="F59" s="1476"/>
      <c r="G59" s="1526" t="str">
        <f t="shared" ref="G59:G63" si="8">IF(ISBLANK(E59),"(Required)","")</f>
        <v>(Required)</v>
      </c>
      <c r="H59" s="1461"/>
      <c r="I59" s="1494"/>
      <c r="J59" s="1526" t="str">
        <f t="shared" ref="J59:J63" si="9">IF(ISBLANK(H59),"(Required)","")</f>
        <v>(Required)</v>
      </c>
      <c r="K59" s="1461"/>
      <c r="L59" s="1494"/>
      <c r="M59" s="1526" t="str">
        <f t="shared" ref="M59:M63" si="10">IF(ISBLANK(K59),"(Required)","")</f>
        <v>(Required)</v>
      </c>
      <c r="N59" s="483"/>
      <c r="O59" s="478"/>
      <c r="P59" s="641"/>
      <c r="Q59" s="478" t="s">
        <v>133</v>
      </c>
      <c r="R59" s="785"/>
    </row>
    <row r="60" spans="2:18" ht="33.75" customHeight="1" x14ac:dyDescent="0.3">
      <c r="B60" s="477" t="s">
        <v>113</v>
      </c>
      <c r="C60" s="478" t="s">
        <v>134</v>
      </c>
      <c r="D60" s="611" t="str">
        <f>IF($E$28="","",IF(AND(OR(#REF!=Defaults!$M$2,#REF!=Defaults!$M$4,#REF!= Defaults!$M$2,#REF!=Defaults!$M$4),OR($E$58=Defaults!$G$3,$E$58=Defaults!$G$4)),"Required Input","Not Required"))</f>
        <v/>
      </c>
      <c r="E60" s="1451"/>
      <c r="F60" s="1476"/>
      <c r="G60" s="1534" t="str">
        <f t="shared" si="8"/>
        <v>(Required)</v>
      </c>
      <c r="H60" s="1463"/>
      <c r="I60" s="1494"/>
      <c r="J60" s="1526" t="str">
        <f t="shared" si="9"/>
        <v>(Required)</v>
      </c>
      <c r="K60" s="1463"/>
      <c r="L60" s="1494"/>
      <c r="M60" s="1526" t="str">
        <f t="shared" si="10"/>
        <v>(Required)</v>
      </c>
      <c r="N60" s="483"/>
      <c r="O60" s="478"/>
      <c r="P60" s="641"/>
      <c r="Q60" s="478" t="s">
        <v>134</v>
      </c>
      <c r="R60" s="785"/>
    </row>
    <row r="61" spans="2:18" ht="33.75" customHeight="1" x14ac:dyDescent="0.3">
      <c r="B61" s="477" t="s">
        <v>115</v>
      </c>
      <c r="C61" s="478" t="s">
        <v>135</v>
      </c>
      <c r="D61" s="605" t="str">
        <f>IF($E$28="","",IF(OR(#REF!=Defaults!$M$4,#REF!=Defaults!$M$4,AND(OR(#REF!=Defaults!$M$2,#REF!=Defaults!$M$2),NOT(ISBLANK(E58)))),"Required Input","Not Required"))</f>
        <v/>
      </c>
      <c r="E61" s="1449"/>
      <c r="F61" s="1476"/>
      <c r="G61" s="1533" t="str">
        <f t="shared" si="8"/>
        <v>(Required)</v>
      </c>
      <c r="H61" s="1461"/>
      <c r="I61" s="1494"/>
      <c r="J61" s="1526" t="str">
        <f t="shared" si="9"/>
        <v>(Required)</v>
      </c>
      <c r="K61" s="1461"/>
      <c r="L61" s="1494"/>
      <c r="M61" s="1526" t="str">
        <f t="shared" si="10"/>
        <v>(Required)</v>
      </c>
      <c r="N61" s="483"/>
      <c r="O61" s="478"/>
      <c r="P61" s="641"/>
      <c r="Q61" s="478" t="s">
        <v>136</v>
      </c>
      <c r="R61" s="785"/>
    </row>
    <row r="62" spans="2:18" ht="33.75" customHeight="1" x14ac:dyDescent="0.3">
      <c r="B62" s="477" t="s">
        <v>117</v>
      </c>
      <c r="C62" s="478" t="s">
        <v>118</v>
      </c>
      <c r="D62" s="611" t="str">
        <f>IF($E$28="","",IF(OR(#REF!=Defaults!$M$4,#REF!=Defaults!$M$4,AND(OR(#REF!=Defaults!$M$2,#REF!=Defaults!$M$2),NOT(ISBLANK(E58)))),"Required Input","Not Required"))</f>
        <v/>
      </c>
      <c r="E62" s="1449"/>
      <c r="F62" s="1476"/>
      <c r="G62" s="1533" t="str">
        <f t="shared" si="8"/>
        <v>(Required)</v>
      </c>
      <c r="H62" s="1461"/>
      <c r="I62" s="1494"/>
      <c r="J62" s="1526" t="str">
        <f t="shared" si="9"/>
        <v>(Required)</v>
      </c>
      <c r="K62" s="1461"/>
      <c r="L62" s="1494"/>
      <c r="M62" s="1526" t="str">
        <f t="shared" si="10"/>
        <v>(Required)</v>
      </c>
      <c r="N62" s="483"/>
      <c r="O62" s="478"/>
      <c r="P62" s="641"/>
      <c r="Q62" s="478"/>
      <c r="R62" s="785"/>
    </row>
    <row r="63" spans="2:18" ht="33.75" customHeight="1" x14ac:dyDescent="0.3">
      <c r="B63" s="477" t="s">
        <v>119</v>
      </c>
      <c r="C63" s="478" t="s">
        <v>137</v>
      </c>
      <c r="D63" s="611" t="str">
        <f>IF($E$28="","",IF(AND(OR(#REF!=Defaults!$M$4,#REF!=Defaults!$M$4,#REF!=Defaults!$M$2,#REF!=Defaults!$M$2),OR(E$58=Defaults!$G$2,E$58=Defaults!$G$3,E$58=Defaults!$G$4,E$58=Defaults!$G$7,E$58=Defaults!$G$9,E$58=Defaults!$G$10)),"Required Input","Not Required"))</f>
        <v/>
      </c>
      <c r="E63" s="1449"/>
      <c r="F63" s="1476"/>
      <c r="G63" s="1533" t="str">
        <f t="shared" si="8"/>
        <v>(Required)</v>
      </c>
      <c r="H63" s="1461"/>
      <c r="I63" s="1494"/>
      <c r="J63" s="1526" t="str">
        <f t="shared" si="9"/>
        <v>(Required)</v>
      </c>
      <c r="K63" s="1461"/>
      <c r="L63" s="1494"/>
      <c r="M63" s="1526" t="str">
        <f t="shared" si="10"/>
        <v>(Required)</v>
      </c>
      <c r="N63" s="483"/>
      <c r="O63" s="478"/>
      <c r="P63" s="641"/>
      <c r="Q63" s="478" t="s">
        <v>138</v>
      </c>
      <c r="R63" s="785"/>
    </row>
    <row r="64" spans="2:18" ht="46.5" x14ac:dyDescent="0.3">
      <c r="B64" s="477" t="s">
        <v>121</v>
      </c>
      <c r="C64" s="478" t="s">
        <v>122</v>
      </c>
      <c r="D64" s="611" t="str">
        <f>IF($E$28="","",IF(OR(#REF!=Defaults!$M$4,#REF!=Defaults!$M$4,AND(OR(#REF!=Defaults!$M$2,#REF!=Defaults!$M$2),NOT(ISBLANK(E58)))),"Optional Input","Not Required"))</f>
        <v/>
      </c>
      <c r="E64" s="1449"/>
      <c r="F64" s="1476"/>
      <c r="G64" s="1534" t="str">
        <f>IF(ISBLANK(E64),"(Optional)","")</f>
        <v>(Optional)</v>
      </c>
      <c r="H64" s="1461"/>
      <c r="I64" s="1494"/>
      <c r="J64" s="1526" t="str">
        <f>IF(ISBLANK(H64),"(Optional)","")</f>
        <v>(Optional)</v>
      </c>
      <c r="K64" s="1461"/>
      <c r="L64" s="1494"/>
      <c r="M64" s="1526" t="str">
        <f>IF(ISBLANK(K64),"(Optional)","")</f>
        <v>(Optional)</v>
      </c>
      <c r="N64" s="483"/>
      <c r="O64" s="478"/>
      <c r="P64" s="641"/>
      <c r="Q64" s="478"/>
      <c r="R64" s="785"/>
    </row>
    <row r="65" spans="2:18" ht="82.5" customHeight="1" x14ac:dyDescent="0.3">
      <c r="B65" s="477" t="s">
        <v>139</v>
      </c>
      <c r="C65" s="478" t="s">
        <v>140</v>
      </c>
      <c r="D65" s="611" t="str">
        <f>IF($E$28="","",IF(AND(NOT(ISBLANK($E$66)),OR($E$58=Defaults!$G$3,$E$58=Defaults!$G$5,$E$58=Defaults!$G$6,$E$58=Defaults!$G$8)),"Optional",IF(AND(OR(#REF!=Defaults!$M$4,#REF!=Defaults!$M$4,#REF!=Defaults!$M$2,#REF!=Defaults!$M$2),OR(E$58=Defaults!$G$2,E$58=Defaults!$G$3,E$58=Defaults!$G$5,E$58=Defaults!$G$6,E$58=Defaults!$G$7,E$58=Defaults!$G$8,E$58=Defaults!$G$9,E$58=Defaults!$G$10)),"Required Input","Not Required")))</f>
        <v/>
      </c>
      <c r="E65" s="1450"/>
      <c r="F65" s="1476"/>
      <c r="G65" s="1533" t="str">
        <f>IF(ISBLANK(E65),"(Required)","")</f>
        <v>(Required)</v>
      </c>
      <c r="H65" s="1456"/>
      <c r="I65" s="1494"/>
      <c r="J65" s="1526" t="str">
        <f>IF(ISBLANK(H65),"(Required)","")</f>
        <v>(Required)</v>
      </c>
      <c r="K65" s="1456"/>
      <c r="L65" s="1494"/>
      <c r="M65" s="1526" t="str">
        <f>IF(ISBLANK(K65),"(Required)","")</f>
        <v>(Required)</v>
      </c>
      <c r="N65" s="483"/>
      <c r="O65" s="478"/>
      <c r="P65" s="641"/>
      <c r="Q65" s="478" t="s">
        <v>140</v>
      </c>
      <c r="R65" s="785"/>
    </row>
    <row r="66" spans="2:18" ht="110.25" customHeight="1" thickBot="1" x14ac:dyDescent="0.35">
      <c r="B66" s="477" t="s">
        <v>141</v>
      </c>
      <c r="C66" s="478" t="s">
        <v>142</v>
      </c>
      <c r="D66" s="605" t="str">
        <f>IF($E$28="","",IF(AND(NOT(ISBLANK($E$65)),OR($E$58=Defaults!$G$3,$E$58=Defaults!$G$5,$E$58=Defaults!$G$6,$E$58=Defaults!$G$8)),"Optional",IF(AND(OR(#REF!=Defaults!$M$2,#REF!=Defaults!$M$4,#REF!=Defaults!$M$2,#REF!=Defaults!$M$4),OR(E$58=Defaults!$G$3,E$58=Defaults!$G$4,E$58=Defaults!$G$5,E$58=Defaults!$G$6,E$58=Defaults!$G$8)),"Required Input","Not Required")))</f>
        <v/>
      </c>
      <c r="E66" s="1450"/>
      <c r="F66" s="1476"/>
      <c r="G66" s="1534" t="str">
        <f>IF(ISBLANK(E66),"(Required)","")</f>
        <v>(Required)</v>
      </c>
      <c r="H66" s="1456"/>
      <c r="I66" s="1494"/>
      <c r="J66" s="1526" t="str">
        <f>IF(ISBLANK(H66),"(Required)","")</f>
        <v>(Required)</v>
      </c>
      <c r="K66" s="1456"/>
      <c r="L66" s="1494"/>
      <c r="M66" s="1535" t="str">
        <f>IF(ISBLANK(K66),"(Required)","")</f>
        <v>(Required)</v>
      </c>
      <c r="N66" s="483"/>
      <c r="O66" s="478"/>
      <c r="P66" s="641"/>
      <c r="Q66" s="478" t="s">
        <v>142</v>
      </c>
      <c r="R66" s="785"/>
    </row>
    <row r="67" spans="2:18" ht="16.5" customHeight="1" thickBot="1" x14ac:dyDescent="0.35">
      <c r="B67" s="612" t="s">
        <v>143</v>
      </c>
      <c r="C67" s="630"/>
      <c r="D67" s="631"/>
      <c r="E67" s="632"/>
      <c r="F67" s="614"/>
      <c r="G67" s="632"/>
      <c r="H67" s="614"/>
      <c r="I67" s="1469"/>
      <c r="J67" s="1489"/>
      <c r="K67" s="614"/>
      <c r="L67" s="614"/>
      <c r="M67" s="1509"/>
      <c r="O67" s="641"/>
      <c r="P67" s="641"/>
      <c r="Q67" s="641"/>
      <c r="R67" s="641"/>
    </row>
    <row r="68" spans="2:18" ht="31" x14ac:dyDescent="0.3">
      <c r="B68" s="628" t="s">
        <v>144</v>
      </c>
      <c r="C68" s="629" t="s">
        <v>41</v>
      </c>
      <c r="D68" s="481" t="s">
        <v>42</v>
      </c>
      <c r="E68" s="482" t="s">
        <v>40</v>
      </c>
      <c r="F68" s="1469" t="s">
        <v>88</v>
      </c>
      <c r="G68" s="788"/>
      <c r="H68" s="486" t="s">
        <v>40</v>
      </c>
      <c r="I68" s="1469" t="s">
        <v>88</v>
      </c>
      <c r="J68" s="788"/>
      <c r="K68" s="486" t="s">
        <v>40</v>
      </c>
      <c r="L68" s="1490" t="s">
        <v>88</v>
      </c>
      <c r="M68" s="1489"/>
      <c r="N68" s="483"/>
      <c r="O68" s="641"/>
      <c r="P68" s="641"/>
      <c r="Q68" s="641"/>
      <c r="R68" s="641"/>
    </row>
    <row r="69" spans="2:18" ht="51.75" customHeight="1" x14ac:dyDescent="0.3">
      <c r="B69" s="477" t="s">
        <v>109</v>
      </c>
      <c r="C69" s="478" t="s">
        <v>145</v>
      </c>
      <c r="D69" s="611" t="str">
        <f>IF($E$28="","",IF(OR(#REF!=Defaults!$M$5,#REF!=Defaults!$M$5),"Required Input",IF(AND(NOT(ISBLANK(E$28)),NOT(OR(#REF!=Defaults!$M$5,#REF!=Defaults!$M$5))),"Optional Input","Not Required")))</f>
        <v/>
      </c>
      <c r="E69" s="1443"/>
      <c r="F69" s="1471"/>
      <c r="G69" s="1526" t="str">
        <f>IF(ISBLANK(E69),IF(E$28=Defaults!$M$5,"(Required)","(Optional)"),"")</f>
        <v>(Optional)</v>
      </c>
      <c r="H69" s="1462"/>
      <c r="I69" s="1494"/>
      <c r="J69" s="1526" t="str">
        <f>IF(ISBLANK(H69),IF(H$28=Defaults!$M$5,"(Required)","(Optional)"),"")</f>
        <v>(Optional)</v>
      </c>
      <c r="K69" s="1462"/>
      <c r="L69" s="1494"/>
      <c r="M69" s="1526" t="str">
        <f>IF(ISBLANK(K69),IF(K$28=Defaults!$M$5,"(Required)","(Optional)"),"")</f>
        <v>(Optional)</v>
      </c>
      <c r="N69" s="483"/>
      <c r="O69" s="478" t="str">
        <f>IF($E$28="","","The vehicle type (e.g., Transit Bus, Streetcar, Ferry, etc.) of the vehicle(s) that will realize fuel/energy reductions as a result of The project.")</f>
        <v/>
      </c>
      <c r="P69" s="641"/>
      <c r="Q69" s="478" t="s">
        <v>145</v>
      </c>
      <c r="R69" s="785"/>
    </row>
    <row r="70" spans="2:18" ht="33.75" customHeight="1" x14ac:dyDescent="0.3">
      <c r="B70" s="477" t="s">
        <v>111</v>
      </c>
      <c r="C70" s="478" t="s">
        <v>146</v>
      </c>
      <c r="D70" s="611" t="str">
        <f>IF($E$28="","",IF(E$69=Defaults!$G$5,"Required Input","Not Required"))</f>
        <v/>
      </c>
      <c r="E70" s="895"/>
      <c r="F70" s="1471"/>
      <c r="G70" s="1521" t="str">
        <f>IF(ISBLANK(E70),"(Required)","")</f>
        <v>(Required)</v>
      </c>
      <c r="H70" s="1464"/>
      <c r="I70" s="1494"/>
      <c r="J70" s="1521" t="str">
        <f>IF(ISBLANK(H70),"(Required)","")</f>
        <v>(Required)</v>
      </c>
      <c r="K70" s="1464"/>
      <c r="L70" s="1494"/>
      <c r="M70" s="1521" t="str">
        <f>IF(ISBLANK(K70),"(Required)","")</f>
        <v>(Required)</v>
      </c>
      <c r="N70" s="483"/>
      <c r="O70" s="478" t="str">
        <f>IF($E$28="","",IF(D70="Not Required","Not applicable for this project type.","The engine tier of the vehicle(s) that will realize fuel/energy reductions as a result of the project."))</f>
        <v/>
      </c>
      <c r="P70" s="641"/>
      <c r="Q70" s="478" t="s">
        <v>146</v>
      </c>
      <c r="R70" s="785"/>
    </row>
    <row r="71" spans="2:18" ht="33.75" customHeight="1" x14ac:dyDescent="0.3">
      <c r="B71" s="477" t="s">
        <v>113</v>
      </c>
      <c r="C71" s="478" t="s">
        <v>147</v>
      </c>
      <c r="D71" s="611" t="str">
        <f>IF($E$28="","",IF(OR(E$69=Defaults!$G$3,E$69=Defaults!$G$4),"Required Input","Not Required"))</f>
        <v/>
      </c>
      <c r="E71" s="895"/>
      <c r="F71" s="1471"/>
      <c r="G71" s="1521" t="str">
        <f>IF(ISBLANK(E71),"(Required)","")</f>
        <v>(Required)</v>
      </c>
      <c r="H71" s="1464"/>
      <c r="I71" s="1494"/>
      <c r="J71" s="1521" t="str">
        <f>IF(ISBLANK(H71),"(Required)","")</f>
        <v>(Required)</v>
      </c>
      <c r="K71" s="1464"/>
      <c r="L71" s="1494"/>
      <c r="M71" s="1521" t="str">
        <f>IF(ISBLANK(K71),"(Required)","")</f>
        <v>(Required)</v>
      </c>
      <c r="N71" s="483"/>
      <c r="O71" s="478" t="str">
        <f>IF($E$28="","",IF(D71="Not Required","Not applicable for this project type.","The engine horsepower rating of the vehicle(s) that will realize fuel/energy reductions as a result of the project."))</f>
        <v/>
      </c>
      <c r="P71" s="641"/>
      <c r="Q71" s="478" t="s">
        <v>147</v>
      </c>
      <c r="R71" s="785"/>
    </row>
    <row r="72" spans="2:18" ht="33.75" customHeight="1" x14ac:dyDescent="0.3">
      <c r="B72" s="477" t="s">
        <v>115</v>
      </c>
      <c r="C72" s="478" t="s">
        <v>148</v>
      </c>
      <c r="D72" s="611" t="str">
        <f>IF($E$28="","",IF(OR(#REF!=Defaults!$M$5,#REF!=Defaults!$M$5,AND(NOT(ISBLANK(E$28)),NOT(ISBLANK(E$69)))),"Required Input","Not Required"))</f>
        <v/>
      </c>
      <c r="E72" s="1449"/>
      <c r="F72" s="1471"/>
      <c r="G72" s="1526" t="str">
        <f>IF(ISBLANK(E72),"(Required)","")</f>
        <v>(Required)</v>
      </c>
      <c r="H72" s="1461"/>
      <c r="I72" s="1494"/>
      <c r="J72" s="1526" t="str">
        <f>IF(ISBLANK(H72),"(Required)","")</f>
        <v>(Required)</v>
      </c>
      <c r="K72" s="1461"/>
      <c r="L72" s="1494"/>
      <c r="M72" s="1526" t="str">
        <f>IF(ISBLANK(K72),"(Required)","")</f>
        <v>(Required)</v>
      </c>
      <c r="N72" s="483"/>
      <c r="O72" s="478" t="str">
        <f>IF($E$28="","",IF(D72="Not Required","Not applicable for this project type.","The fuel/energy type (e.g., diesel, grid electricity, etc.) being reduced as a result of the project."))</f>
        <v/>
      </c>
      <c r="P72" s="641"/>
      <c r="Q72" s="478" t="s">
        <v>149</v>
      </c>
      <c r="R72" s="785"/>
    </row>
    <row r="73" spans="2:18" ht="33.75" customHeight="1" x14ac:dyDescent="0.3">
      <c r="B73" s="477" t="s">
        <v>119</v>
      </c>
      <c r="C73" s="478" t="s">
        <v>150</v>
      </c>
      <c r="D73" s="611" t="str">
        <f>IF($E$28="","",IF(OR(E$69=Defaults!$G$2,E$69=Defaults!$G$3,E$69=Defaults!$G$4,E$69=Defaults!$G$7,E$69=Defaults!$G$9,E$69=Defaults!$G$10),"Required Input","Not Required"))</f>
        <v/>
      </c>
      <c r="E73" s="1449"/>
      <c r="F73" s="1471"/>
      <c r="G73" s="1526" t="str">
        <f>IF(ISBLANK(E73),"(Required)","")</f>
        <v>(Required)</v>
      </c>
      <c r="H73" s="1461"/>
      <c r="I73" s="1494"/>
      <c r="J73" s="1526" t="str">
        <f>IF(ISBLANK(H73),"(Required)","")</f>
        <v>(Required)</v>
      </c>
      <c r="K73" s="1461"/>
      <c r="L73" s="1494"/>
      <c r="M73" s="1526" t="str">
        <f>IF(ISBLANK(K73),"(Required)","")</f>
        <v>(Required)</v>
      </c>
      <c r="N73" s="483"/>
      <c r="O73" s="478" t="str">
        <f>IF($E$28="","",IF(D73="Not Required","Not applicable for this project type.","The average engine model year(s) of the vehicle(s) that will realize fuel/energy reductions as a result of the project."))</f>
        <v/>
      </c>
      <c r="P73" s="641"/>
      <c r="Q73" s="478" t="s">
        <v>151</v>
      </c>
      <c r="R73" s="785"/>
    </row>
    <row r="74" spans="2:18" ht="173.25" customHeight="1" thickBot="1" x14ac:dyDescent="0.35">
      <c r="B74" s="477" t="s">
        <v>152</v>
      </c>
      <c r="C74" s="478" t="s">
        <v>153</v>
      </c>
      <c r="D74" s="605" t="str">
        <f>IF($E$28="","",IF(NOT(ISBLANK(E69)),"Required Input","Not Required"))</f>
        <v/>
      </c>
      <c r="E74" s="1450"/>
      <c r="F74" s="1471"/>
      <c r="G74" s="1526" t="str">
        <f>IF(ISBLANK(E74),"(Required)","")</f>
        <v>(Required)</v>
      </c>
      <c r="H74" s="1456"/>
      <c r="I74" s="1494"/>
      <c r="J74" s="1526" t="str">
        <f>IF(ISBLANK(H74),"(Required)","")</f>
        <v>(Required)</v>
      </c>
      <c r="K74" s="1456"/>
      <c r="L74" s="1494"/>
      <c r="M74" s="1526" t="str">
        <f>IF(ISBLANK(K74),"(Required)","")</f>
        <v>(Required)</v>
      </c>
      <c r="N74" s="483"/>
      <c r="O74" s="478" t="str">
        <f>IF($E$28="","",IF(D74="Not Required","Not applicable for this project type.","The estimated annual fuel/energy reductions expected to be realized as a result of the project.
Units of gallons for biodiesel, diesel, gasoline, LNG, renewable diesel; scf for CNG and renewable natural gas; kWh for electric; kg for hydrogen."&amp;"
For projects that generate renewable electricity using solar photovoltaic panels, applicants should use the PVWatts Calculator to determine this input, available at http://pvwatts.nrel.gov/."))</f>
        <v/>
      </c>
      <c r="P74" s="641"/>
      <c r="Q74" s="478" t="s">
        <v>154</v>
      </c>
      <c r="R74" s="785"/>
    </row>
    <row r="75" spans="2:18" ht="16.5" customHeight="1" thickBot="1" x14ac:dyDescent="0.35">
      <c r="B75" s="612" t="s">
        <v>155</v>
      </c>
      <c r="C75" s="630"/>
      <c r="D75" s="631"/>
      <c r="E75" s="632"/>
      <c r="F75" s="614"/>
      <c r="G75" s="632"/>
      <c r="H75" s="614"/>
      <c r="I75" s="614"/>
      <c r="J75" s="632"/>
      <c r="K75" s="614"/>
      <c r="L75" s="614"/>
      <c r="M75" s="1509"/>
      <c r="O75" s="641"/>
      <c r="P75" s="641"/>
      <c r="Q75" s="641"/>
      <c r="R75" s="641"/>
    </row>
    <row r="76" spans="2:18" ht="31" x14ac:dyDescent="0.3">
      <c r="B76" s="628" t="s">
        <v>156</v>
      </c>
      <c r="C76" s="627" t="s">
        <v>41</v>
      </c>
      <c r="D76" s="626" t="s">
        <v>42</v>
      </c>
      <c r="E76" s="482" t="s">
        <v>40</v>
      </c>
      <c r="F76" s="1469" t="s">
        <v>88</v>
      </c>
      <c r="G76" s="788"/>
      <c r="H76" s="486" t="s">
        <v>40</v>
      </c>
      <c r="I76" s="1490" t="s">
        <v>88</v>
      </c>
      <c r="J76" s="788"/>
      <c r="K76" s="486" t="s">
        <v>40</v>
      </c>
      <c r="L76" s="1490" t="s">
        <v>88</v>
      </c>
      <c r="M76" s="1489"/>
      <c r="O76" s="641"/>
      <c r="P76" s="641"/>
      <c r="Q76" s="641"/>
      <c r="R76" s="641"/>
    </row>
    <row r="77" spans="2:18" ht="47.25" customHeight="1" x14ac:dyDescent="0.35">
      <c r="B77" s="477" t="s">
        <v>157</v>
      </c>
      <c r="C77" s="478" t="s">
        <v>158</v>
      </c>
      <c r="D77" s="605" t="str">
        <f>IF($E$28="","",IF(OR(#REF!=Defaults!$M$3,#REF!= Defaults!$M$3),"Required Input","Not Required"))</f>
        <v/>
      </c>
      <c r="E77" s="1453"/>
      <c r="F77" s="1471"/>
      <c r="G77" s="1526" t="str">
        <f>IF(ISBLANK(E77),"(Optional)","")</f>
        <v>(Optional)</v>
      </c>
      <c r="H77" s="1455"/>
      <c r="I77" s="1494"/>
      <c r="J77" s="1526" t="str">
        <f>IF(ISBLANK(H77),"(Optional)","")</f>
        <v>(Optional)</v>
      </c>
      <c r="K77" s="1455"/>
      <c r="L77" s="1494"/>
      <c r="M77" s="1526" t="str">
        <f>IF(ISBLANK(K77),"(Optional)","")</f>
        <v>(Optional)</v>
      </c>
      <c r="N77" s="463"/>
      <c r="O77" s="478" t="s">
        <v>159</v>
      </c>
      <c r="P77" s="641"/>
      <c r="Q77" s="478" t="s">
        <v>158</v>
      </c>
      <c r="R77" s="785"/>
    </row>
    <row r="78" spans="2:18" ht="47.25" customHeight="1" x14ac:dyDescent="0.35">
      <c r="B78" s="477" t="s">
        <v>160</v>
      </c>
      <c r="C78" s="478" t="s">
        <v>161</v>
      </c>
      <c r="D78" s="605" t="str">
        <f>IF($E$28="","",IF(OR(#REF!=Defaults!$M$2,#REF!= Defaults!$M$3,#REF!= Defaults!$M$2,#REF!= Defaults!$M$3),"Required Input","Not Required"))</f>
        <v/>
      </c>
      <c r="E78" s="1453"/>
      <c r="F78" s="1470"/>
      <c r="G78" s="1526" t="str">
        <f>IF(ISBLANK(E78),"(Optional)","")</f>
        <v>(Optional)</v>
      </c>
      <c r="H78" s="1465"/>
      <c r="I78" s="1482"/>
      <c r="J78" s="1526" t="str">
        <f>IF(ISBLANK(H78),"(Optional)","")</f>
        <v>(Optional)</v>
      </c>
      <c r="K78" s="1465"/>
      <c r="L78" s="1482"/>
      <c r="M78" s="1526" t="str">
        <f t="shared" ref="M78:M81" si="11">IF(ISBLANK(K78),"(Optional)","")</f>
        <v>(Optional)</v>
      </c>
      <c r="N78" s="463"/>
      <c r="O78" s="478" t="str">
        <f>IF($E$28="","",IF(D78="Not Required","Not applicable for this project type.","The new expected average fare cost per trip per rider resulting from the proposed project."))</f>
        <v/>
      </c>
      <c r="P78" s="641"/>
      <c r="Q78" s="478" t="s">
        <v>161</v>
      </c>
      <c r="R78" s="785"/>
    </row>
    <row r="79" spans="2:18" ht="78.75" customHeight="1" x14ac:dyDescent="0.35">
      <c r="B79" s="477" t="s">
        <v>162</v>
      </c>
      <c r="C79" s="478" t="s">
        <v>163</v>
      </c>
      <c r="D79" s="605" t="str">
        <f>IF($E$28="","",IF(OR(#REF!=Defaults!$M$2,#REF!= Defaults!$M$3,#REF!= Defaults!$M$2,#REF!= Defaults!$M$3),"Required Input","Not Required"))</f>
        <v/>
      </c>
      <c r="E79" s="1453"/>
      <c r="F79" s="1470"/>
      <c r="G79" s="1526" t="str">
        <f>IF(ISBLANK(E79),"(Optional)","")</f>
        <v>(Optional)</v>
      </c>
      <c r="H79" s="1465"/>
      <c r="I79" s="1482"/>
      <c r="J79" s="1526" t="str">
        <f>IF(ISBLANK(H79),"(Optional)","")</f>
        <v>(Optional)</v>
      </c>
      <c r="K79" s="1465"/>
      <c r="L79" s="1482"/>
      <c r="M79" s="1526" t="str">
        <f t="shared" si="11"/>
        <v>(Optional)</v>
      </c>
      <c r="N79" s="463"/>
      <c r="O79" s="478" t="str">
        <f>IF($E$28="","",IF(D79="Not Required","Not applicable for this project type.","The average expected cost of parking per trip per rider that riders would pay at the transit facility where the trip originates. "&amp;"Consider that not all transit riders may use the parking. However, the calculations will already take into account that parking is only paid once per round trip."))</f>
        <v/>
      </c>
      <c r="P79" s="641"/>
      <c r="Q79" s="478" t="s">
        <v>164</v>
      </c>
      <c r="R79" s="785"/>
    </row>
    <row r="80" spans="2:18" ht="78.75" customHeight="1" x14ac:dyDescent="0.35">
      <c r="B80" s="477" t="s">
        <v>165</v>
      </c>
      <c r="C80" s="478" t="s">
        <v>166</v>
      </c>
      <c r="D80" s="605" t="str">
        <f>IF($E$28="","",IF(OR(#REF!=Defaults!$M$2,#REF!= Defaults!$M$3,#REF!= Defaults!$M$2,#REF!= Defaults!$M$3),"Required Input","Not Required"))</f>
        <v/>
      </c>
      <c r="E80" s="1453"/>
      <c r="F80" s="1470"/>
      <c r="G80" s="1526" t="str">
        <f>IF(ISBLANK(E80),"(Optional)","")</f>
        <v>(Optional)</v>
      </c>
      <c r="H80" s="1465"/>
      <c r="I80" s="1482"/>
      <c r="J80" s="1526" t="str">
        <f>IF(ISBLANK(H80),"(Optional)","")</f>
        <v>(Optional)</v>
      </c>
      <c r="K80" s="1465"/>
      <c r="L80" s="1482"/>
      <c r="M80" s="1526" t="str">
        <f t="shared" si="11"/>
        <v>(Optional)</v>
      </c>
      <c r="N80" s="463"/>
      <c r="O80" s="478" t="str">
        <f>IF($E$28="","",IF(D80="Not Required","Not applicable for this project type.","The average expected cost of parking per trip per rider  that riders would have otherwise paid if not using the service resulting from the project. "&amp;"The calculations will already take into account that parking is only paid once per round trip."))</f>
        <v/>
      </c>
      <c r="P80" s="641"/>
      <c r="Q80" s="478" t="s">
        <v>166</v>
      </c>
      <c r="R80" s="785"/>
    </row>
    <row r="81" spans="2:18" ht="79.5" customHeight="1" thickBot="1" x14ac:dyDescent="0.4">
      <c r="B81" s="484" t="s">
        <v>167</v>
      </c>
      <c r="C81" s="485" t="s">
        <v>168</v>
      </c>
      <c r="D81" s="605" t="str">
        <f>IF($E$28="","",IF(OR(#REF!=Defaults!$M$2,#REF!= Defaults!$M$3,#REF!= Defaults!$M$2,#REF!= Defaults!$M$3),"Required Input","Not Required"))</f>
        <v/>
      </c>
      <c r="E81" s="1454"/>
      <c r="F81" s="1477"/>
      <c r="G81" s="1535" t="str">
        <f>IF(ISBLANK(E81),"(Optional)","")</f>
        <v>(Optional)</v>
      </c>
      <c r="H81" s="1466"/>
      <c r="I81" s="1496"/>
      <c r="J81" s="1535" t="str">
        <f>IF(ISBLANK(H81),"(Optional)","")</f>
        <v>(Optional)</v>
      </c>
      <c r="K81" s="1466"/>
      <c r="L81" s="1496"/>
      <c r="M81" s="1535" t="str">
        <f t="shared" si="11"/>
        <v>(Optional)</v>
      </c>
      <c r="N81" s="463"/>
      <c r="O81" s="485" t="str">
        <f>IF($E$28="","",IF(D81="Not Required","Not applicable for this project type.","The average expected cost of tolls per trip per rider that riders would have otherwise paid if not using the service resulting from the project. The calculations will already take into account that tolls are only paid once per round trip."))</f>
        <v/>
      </c>
      <c r="P81" s="783"/>
      <c r="Q81" s="485" t="s">
        <v>169</v>
      </c>
      <c r="R81" s="783"/>
    </row>
    <row r="82" spans="2:18" ht="16.5" hidden="1" customHeight="1" thickBot="1" x14ac:dyDescent="0.35">
      <c r="B82" s="612" t="s">
        <v>155</v>
      </c>
      <c r="C82" s="630"/>
      <c r="D82" s="631"/>
      <c r="E82" s="632"/>
      <c r="F82" s="632"/>
      <c r="G82" s="614"/>
      <c r="H82" s="614"/>
      <c r="I82" s="614"/>
      <c r="J82" s="614"/>
      <c r="K82" s="614"/>
      <c r="L82" s="632"/>
      <c r="M82" s="1486"/>
      <c r="O82" s="641"/>
      <c r="P82" s="641"/>
      <c r="Q82" s="642" t="s">
        <v>38</v>
      </c>
      <c r="R82" s="642"/>
    </row>
    <row r="83" spans="2:18" ht="48.5" hidden="1" x14ac:dyDescent="0.35">
      <c r="B83" s="634" t="s">
        <v>170</v>
      </c>
      <c r="C83" s="478" t="s">
        <v>171</v>
      </c>
      <c r="D83" s="636" t="s">
        <v>66</v>
      </c>
      <c r="E83" s="896" t="str">
        <f ca="1">IF('GHG Calcs'!CK12="","Incomplete Inputs",IFERROR('GHG Calcs'!CK12,"Incomplete Inputs"))</f>
        <v>Incomplete Inputs</v>
      </c>
      <c r="F83" s="893"/>
      <c r="G83" s="1478"/>
      <c r="H83" s="878" t="str">
        <f ca="1">IFERROR(VLOOKUP(MID(CELL("filename",H$43),FIND("]",CELL("filename",H$43))+1,255)&amp;SUBSTITUTE(ADDRESS(1,COLUMN(H$43),4),"1",""),'GHG Calcs'!$F$12:$CL$12,MATCH('GHG Calcs'!$CK$11,'GHG Calcs'!$F$11:$CL$11,0),0),"Incomplete Inputs")</f>
        <v>Incomplete Inputs</v>
      </c>
      <c r="I83" s="798"/>
      <c r="J83" s="1483"/>
      <c r="K83" s="800" t="str">
        <f ca="1">IFERROR(VLOOKUP(MID(CELL("filename",K$43),FIND("]",CELL("filename",K$43))+1,255)&amp;SUBSTITUTE(ADDRESS(1,COLUMN(K$43),4),"1",""),'GHG Calcs'!$F$12:$CL$12,MATCH('GHG Calcs'!$CK$11,'GHG Calcs'!$F$11:$CL$11,0),0),"Incomplete Inputs")</f>
        <v>Incomplete Inputs</v>
      </c>
      <c r="L83" s="798"/>
      <c r="M83" s="1487"/>
      <c r="N83" s="483"/>
      <c r="O83" s="641"/>
      <c r="P83" s="787" t="str">
        <f ca="1">IF('GHG Calcs'!CK12="","Incomplete Inputs",IFERROR('GHG Calcs'!CK12,"Incomplete Inputs"))</f>
        <v>Incomplete Inputs</v>
      </c>
      <c r="Q83" s="642" t="s">
        <v>38</v>
      </c>
      <c r="R83" s="787" t="str">
        <f ca="1">IFERROR(VLOOKUP(MID(CELL("filename",E$43),FIND("]",CELL("filename",E$43))+1,255)&amp;SUBSTITUTE(ADDRESS(1,COLUMN(E$43),4),"1",""),'GHG Calcs'!$F$12:$CL$12,MATCH('GHG Calcs'!$CK$11,'GHG Calcs'!$F$11:$CL$11,0),0),"Incomplete Inputs")</f>
        <v>Incomplete Inputs</v>
      </c>
    </row>
    <row r="84" spans="2:18" ht="62" hidden="1" x14ac:dyDescent="0.35">
      <c r="B84" s="477" t="s">
        <v>172</v>
      </c>
      <c r="C84" s="478" t="s">
        <v>173</v>
      </c>
      <c r="D84" s="605" t="s">
        <v>66</v>
      </c>
      <c r="E84" s="899" t="str">
        <f ca="1">IFERROR('GHG Calcs'!CK12*#REF!/#REF!,IF(ISERROR('GHG Calcs'!CK12),"Incomplete Inputs","Incomplete Funding Inputs"))</f>
        <v>Incomplete Funding Inputs</v>
      </c>
      <c r="F84" s="1096"/>
      <c r="G84" s="1479"/>
      <c r="H84" s="1097" t="str">
        <f ca="1">IFERROR(H83*(H17+H21)/H25,IF(ISTEXT(H83),"Incomplete Inputs","Incomplete Funding Inputs"))</f>
        <v>Incomplete Inputs</v>
      </c>
      <c r="I84" s="1098"/>
      <c r="J84" s="1484"/>
      <c r="K84" s="1099" t="str">
        <f ca="1">IFERROR(K83*(K17+K21)/K25,IF(ISTEXT(K83),"Incomplete Inputs","Incomplete Funding Inputs"))</f>
        <v>Incomplete Inputs</v>
      </c>
      <c r="L84" s="1098"/>
      <c r="M84" s="1487"/>
      <c r="N84" s="483"/>
      <c r="O84" s="641"/>
      <c r="P84" s="787" t="str">
        <f ca="1">IFERROR('GHG Calcs'!CK12*#REF!/#REF!,IF(ISERROR('GHG Calcs'!CK12),"Incomplete Inputs","Incomplete Funding Inputs"))</f>
        <v>Incomplete Funding Inputs</v>
      </c>
      <c r="Q84" s="642" t="s">
        <v>38</v>
      </c>
      <c r="R84" s="787" t="str">
        <f ca="1">IFERROR(E83*(E17+E21)/E25,IF(ISTEXT(E83),"Incomplete Inputs","Incomplete Funding Inputs"))</f>
        <v>Incomplete Inputs</v>
      </c>
    </row>
    <row r="85" spans="2:18" ht="78" hidden="1" thickBot="1" x14ac:dyDescent="0.4">
      <c r="B85" s="635" t="s">
        <v>174</v>
      </c>
      <c r="C85" s="898" t="s">
        <v>175</v>
      </c>
      <c r="D85" s="721" t="s">
        <v>66</v>
      </c>
      <c r="E85" s="897" t="str">
        <f ca="1">IFERROR('GHG Calcs'!CK12*#REF!/#REF!,IF(ISERROR('GHG Calcs'!CK12),"Incomplete Inputs","Incomplete Funding Inputs"))</f>
        <v>Incomplete Funding Inputs</v>
      </c>
      <c r="F85" s="894"/>
      <c r="G85" s="1480"/>
      <c r="H85" s="879" t="str">
        <f ca="1">IFERROR(H83*H17/H25,IF(ISTEXT(H83),"Incomplete Inputs","Incomplete Funding Inputs"))</f>
        <v>Incomplete Inputs</v>
      </c>
      <c r="I85" s="799"/>
      <c r="J85" s="1485"/>
      <c r="K85" s="801" t="str">
        <f ca="1">IFERROR(K83*K17/K25,IF(ISTEXT(K83),"Incomplete Inputs","Incomplete Funding Inputs"))</f>
        <v>Incomplete Inputs</v>
      </c>
      <c r="L85" s="799"/>
      <c r="M85" s="1487"/>
      <c r="O85" s="641"/>
      <c r="P85" s="787" t="str">
        <f>IFERROR('GHG Calcs'!#REF!*#REF!/#REF!,IF(ISERROR('GHG Calcs'!#REF!),"Incomplete Inputs","Incomplete Funding Inputs"))</f>
        <v>Incomplete Inputs</v>
      </c>
      <c r="Q85" s="642" t="s">
        <v>38</v>
      </c>
      <c r="R85" s="787" t="str">
        <f ca="1">IFERROR(E84*(E18+E22)/E26,IF(ISTEXT(E84),"Incomplete Inputs","Incomplete Funding Inputs"))</f>
        <v>Incomplete Inputs</v>
      </c>
    </row>
    <row r="86" spans="2:18" ht="15.5" x14ac:dyDescent="0.35">
      <c r="B86" s="463"/>
      <c r="C86" s="463"/>
      <c r="D86" s="463"/>
      <c r="E86" s="463"/>
      <c r="F86" s="463"/>
      <c r="G86" s="463"/>
    </row>
    <row r="87" spans="2:18" ht="15.5" x14ac:dyDescent="0.35">
      <c r="B87" s="463"/>
      <c r="C87" s="463"/>
      <c r="D87" s="463"/>
      <c r="E87" s="463"/>
      <c r="F87" s="463"/>
      <c r="G87" s="463"/>
    </row>
    <row r="88" spans="2:18" ht="15.5" x14ac:dyDescent="0.35">
      <c r="B88" s="463"/>
      <c r="C88" s="463"/>
      <c r="D88" s="463"/>
      <c r="E88" s="463"/>
      <c r="F88" s="463"/>
      <c r="G88" s="463"/>
    </row>
    <row r="89" spans="2:18" ht="15.5" x14ac:dyDescent="0.35">
      <c r="B89" s="463"/>
      <c r="C89" s="463"/>
      <c r="D89" s="463"/>
      <c r="E89" s="463"/>
      <c r="F89" s="463"/>
      <c r="G89" s="463"/>
    </row>
    <row r="90" spans="2:18" ht="15.5" x14ac:dyDescent="0.35">
      <c r="B90" s="463"/>
      <c r="C90" s="463"/>
      <c r="D90" s="463"/>
      <c r="E90" s="463"/>
      <c r="F90" s="463"/>
      <c r="G90" s="463"/>
    </row>
    <row r="91" spans="2:18" ht="15.5" x14ac:dyDescent="0.35">
      <c r="B91" s="463"/>
      <c r="C91" s="463"/>
      <c r="D91" s="463"/>
      <c r="E91" s="463"/>
      <c r="F91" s="463"/>
      <c r="G91" s="463"/>
    </row>
    <row r="92" spans="2:18" ht="15.5" x14ac:dyDescent="0.35">
      <c r="B92" s="463"/>
      <c r="C92" s="463"/>
      <c r="D92" s="463"/>
      <c r="E92" s="463"/>
      <c r="F92" s="463"/>
      <c r="G92" s="463"/>
    </row>
    <row r="93" spans="2:18" ht="15.5" x14ac:dyDescent="0.35">
      <c r="B93" s="463"/>
      <c r="C93" s="463"/>
      <c r="D93" s="463"/>
      <c r="E93" s="463"/>
      <c r="F93" s="463"/>
      <c r="G93" s="463"/>
    </row>
    <row r="94" spans="2:18" ht="15.5" x14ac:dyDescent="0.35">
      <c r="B94" s="463"/>
      <c r="C94" s="463"/>
      <c r="D94" s="463"/>
      <c r="E94" s="463"/>
      <c r="F94" s="463"/>
      <c r="G94" s="463"/>
    </row>
    <row r="95" spans="2:18" ht="15.5" x14ac:dyDescent="0.35">
      <c r="B95" s="463"/>
      <c r="C95" s="463"/>
      <c r="D95" s="463"/>
      <c r="E95" s="463"/>
      <c r="F95" s="463"/>
      <c r="G95" s="463"/>
    </row>
    <row r="96" spans="2:18" ht="15.5" x14ac:dyDescent="0.35">
      <c r="B96" s="463"/>
      <c r="C96" s="463"/>
      <c r="D96" s="463"/>
      <c r="E96" s="463"/>
      <c r="F96" s="463"/>
      <c r="G96" s="463"/>
    </row>
    <row r="97" spans="2:7" ht="15.5" x14ac:dyDescent="0.35">
      <c r="B97" s="463"/>
      <c r="C97" s="463"/>
      <c r="D97" s="463"/>
      <c r="E97" s="463"/>
      <c r="F97" s="463"/>
      <c r="G97" s="463"/>
    </row>
    <row r="98" spans="2:7" ht="15.5" x14ac:dyDescent="0.35">
      <c r="B98" s="463"/>
      <c r="C98" s="463"/>
      <c r="D98" s="463"/>
      <c r="E98" s="463"/>
      <c r="F98" s="463"/>
      <c r="G98" s="463"/>
    </row>
    <row r="99" spans="2:7" ht="15.5" x14ac:dyDescent="0.35">
      <c r="B99" s="463"/>
      <c r="C99" s="463"/>
      <c r="D99" s="463"/>
      <c r="E99" s="463"/>
      <c r="F99" s="463"/>
      <c r="G99" s="463"/>
    </row>
    <row r="100" spans="2:7" ht="15.5" x14ac:dyDescent="0.35">
      <c r="B100" s="463"/>
      <c r="C100" s="463"/>
      <c r="D100" s="463"/>
      <c r="E100" s="463"/>
      <c r="F100" s="463"/>
      <c r="G100" s="463"/>
    </row>
    <row r="101" spans="2:7" ht="15.5" x14ac:dyDescent="0.35">
      <c r="B101" s="463"/>
      <c r="C101" s="463"/>
      <c r="D101" s="463"/>
      <c r="E101" s="463"/>
      <c r="F101" s="463"/>
      <c r="G101" s="463"/>
    </row>
    <row r="102" spans="2:7" ht="15.5" x14ac:dyDescent="0.35">
      <c r="B102" s="463"/>
      <c r="C102" s="463"/>
      <c r="D102" s="463"/>
      <c r="E102" s="463"/>
      <c r="F102" s="463"/>
      <c r="G102" s="463"/>
    </row>
    <row r="103" spans="2:7" ht="15.5" x14ac:dyDescent="0.35">
      <c r="B103" s="463"/>
      <c r="C103" s="463"/>
      <c r="D103" s="463"/>
      <c r="E103" s="463"/>
      <c r="F103" s="463"/>
      <c r="G103" s="463"/>
    </row>
    <row r="104" spans="2:7" ht="15.5" x14ac:dyDescent="0.35">
      <c r="B104" s="463"/>
      <c r="C104" s="463"/>
      <c r="D104" s="463"/>
      <c r="E104" s="463"/>
      <c r="F104" s="463"/>
      <c r="G104" s="463"/>
    </row>
    <row r="105" spans="2:7" ht="15.5" x14ac:dyDescent="0.35">
      <c r="B105" s="463"/>
      <c r="C105" s="463"/>
      <c r="D105" s="463"/>
      <c r="E105" s="463"/>
      <c r="F105" s="463"/>
      <c r="G105" s="463"/>
    </row>
    <row r="106" spans="2:7" ht="15.5" x14ac:dyDescent="0.35">
      <c r="B106" s="463"/>
      <c r="C106" s="463"/>
      <c r="D106" s="463"/>
      <c r="E106" s="463"/>
      <c r="F106" s="463"/>
      <c r="G106" s="463"/>
    </row>
    <row r="107" spans="2:7" ht="15.5" x14ac:dyDescent="0.35">
      <c r="B107" s="463"/>
      <c r="C107" s="463"/>
      <c r="D107" s="463"/>
      <c r="E107" s="463"/>
      <c r="F107" s="463"/>
      <c r="G107" s="463"/>
    </row>
    <row r="108" spans="2:7" ht="15.5" x14ac:dyDescent="0.35">
      <c r="B108" s="463"/>
      <c r="C108" s="463"/>
      <c r="D108" s="463"/>
      <c r="E108" s="463"/>
      <c r="F108" s="463"/>
      <c r="G108" s="463"/>
    </row>
    <row r="109" spans="2:7" ht="15.5" x14ac:dyDescent="0.35">
      <c r="B109" s="463"/>
      <c r="C109" s="463"/>
      <c r="D109" s="463"/>
      <c r="E109" s="463"/>
      <c r="F109" s="463"/>
      <c r="G109" s="463"/>
    </row>
  </sheetData>
  <mergeCells count="48">
    <mergeCell ref="E15:F15"/>
    <mergeCell ref="H15:I15"/>
    <mergeCell ref="K15:L15"/>
    <mergeCell ref="E17:F17"/>
    <mergeCell ref="H17:I17"/>
    <mergeCell ref="K17:L17"/>
    <mergeCell ref="E18:F18"/>
    <mergeCell ref="H18:I18"/>
    <mergeCell ref="K18:L18"/>
    <mergeCell ref="E20:F20"/>
    <mergeCell ref="H20:I20"/>
    <mergeCell ref="K20:L20"/>
    <mergeCell ref="E21:F21"/>
    <mergeCell ref="H21:I21"/>
    <mergeCell ref="K21:L21"/>
    <mergeCell ref="E23:F23"/>
    <mergeCell ref="H23:I23"/>
    <mergeCell ref="K23:L23"/>
    <mergeCell ref="E24:F24"/>
    <mergeCell ref="H24:I24"/>
    <mergeCell ref="K24:L24"/>
    <mergeCell ref="E25:F25"/>
    <mergeCell ref="H25:I25"/>
    <mergeCell ref="K25:L25"/>
    <mergeCell ref="E27:F27"/>
    <mergeCell ref="H27:I27"/>
    <mergeCell ref="K27:L27"/>
    <mergeCell ref="E28:F28"/>
    <mergeCell ref="H28:I28"/>
    <mergeCell ref="K28:L28"/>
    <mergeCell ref="E29:F29"/>
    <mergeCell ref="H29:I29"/>
    <mergeCell ref="K29:L29"/>
    <mergeCell ref="E30:F30"/>
    <mergeCell ref="H30:I30"/>
    <mergeCell ref="K30:L30"/>
    <mergeCell ref="E31:F31"/>
    <mergeCell ref="H31:I31"/>
    <mergeCell ref="K31:L31"/>
    <mergeCell ref="E32:F32"/>
    <mergeCell ref="H32:I32"/>
    <mergeCell ref="K32:L32"/>
    <mergeCell ref="E33:F33"/>
    <mergeCell ref="H33:I33"/>
    <mergeCell ref="K33:L33"/>
    <mergeCell ref="E34:F34"/>
    <mergeCell ref="H34:I34"/>
    <mergeCell ref="K34:L34"/>
  </mergeCells>
  <conditionalFormatting sqref="E41">
    <cfRule type="expression" dxfId="207" priority="87">
      <formula>NOT(OR(E$40="Heavy Rail"))</formula>
    </cfRule>
  </conditionalFormatting>
  <conditionalFormatting sqref="E47">
    <cfRule type="expression" dxfId="205" priority="39">
      <formula>NOT(OR(E$46="Heavy Rail"))</formula>
    </cfRule>
  </conditionalFormatting>
  <conditionalFormatting sqref="E59">
    <cfRule type="expression" dxfId="203" priority="24">
      <formula>NOT(OR(E$58="Heavy Rail"))</formula>
    </cfRule>
  </conditionalFormatting>
  <conditionalFormatting sqref="E70">
    <cfRule type="expression" dxfId="201" priority="88">
      <formula>NOT(OR(E$69="Heavy Rail"))</formula>
    </cfRule>
  </conditionalFormatting>
  <conditionalFormatting sqref="E34:G34">
    <cfRule type="expression" dxfId="197" priority="73">
      <formula>OR($E$32&lt;=$E$31,$E$32-$E$31&gt;50)</formula>
    </cfRule>
  </conditionalFormatting>
  <conditionalFormatting sqref="G47">
    <cfRule type="expression" dxfId="190" priority="34">
      <formula>NOT(OR(E$46="Heavy Rail"))</formula>
    </cfRule>
  </conditionalFormatting>
  <conditionalFormatting sqref="G59 J59 M59">
    <cfRule type="expression" dxfId="181" priority="23">
      <formula>NOT(OR(E$58="Heavy Rail"))</formula>
    </cfRule>
  </conditionalFormatting>
  <conditionalFormatting sqref="G70 J70 M70">
    <cfRule type="expression" dxfId="171" priority="8">
      <formula>NOT(OR(E$69="Heavy Rail"))</formula>
    </cfRule>
  </conditionalFormatting>
  <conditionalFormatting sqref="G73 J73 M73">
    <cfRule type="expression" dxfId="168" priority="5">
      <formula>OR(E$69="Cut-A-Way",E$69="Over-Road Coach",E$69="Transit Bus",E$69="Van",E$69="DMU / EMU")</formula>
    </cfRule>
  </conditionalFormatting>
  <conditionalFormatting sqref="G74 J74 M74">
    <cfRule type="expression" dxfId="167" priority="4">
      <formula>NOT(ISBLANK(E$69))</formula>
    </cfRule>
  </conditionalFormatting>
  <conditionalFormatting sqref="H47">
    <cfRule type="expression" dxfId="164" priority="69">
      <formula>NOT(OR(H$46="Heavy Rail"))</formula>
    </cfRule>
  </conditionalFormatting>
  <conditionalFormatting sqref="H59">
    <cfRule type="expression" dxfId="158" priority="46">
      <formula>NOT(OR(H$58="Heavy Rail"))</formula>
    </cfRule>
  </conditionalFormatting>
  <conditionalFormatting sqref="H70">
    <cfRule type="expression" dxfId="155" priority="86">
      <formula>NOT(OR(H$69="Heavy Rail"))</formula>
    </cfRule>
  </conditionalFormatting>
  <conditionalFormatting sqref="H17:I18 K17:L18 H20:I21 K20:L21 H23:I24 K23:L24 H28:I33 K28:L33">
    <cfRule type="expression" dxfId="151" priority="54">
      <formula>ISBLANK(H$15)</formula>
    </cfRule>
  </conditionalFormatting>
  <conditionalFormatting sqref="H34:J34">
    <cfRule type="expression" dxfId="149" priority="72">
      <formula>OR($H$32&lt;=$H$31,$H$32-$H$31&gt;50)</formula>
    </cfRule>
  </conditionalFormatting>
  <conditionalFormatting sqref="H37:J40">
    <cfRule type="expression" dxfId="148" priority="80">
      <formula>ISBLANK($H$15)</formula>
    </cfRule>
  </conditionalFormatting>
  <conditionalFormatting sqref="H46:J54">
    <cfRule type="expression" dxfId="147" priority="48">
      <formula>ISBLANK($H$15)</formula>
    </cfRule>
  </conditionalFormatting>
  <conditionalFormatting sqref="H58:J66">
    <cfRule type="expression" dxfId="145" priority="41">
      <formula>ISBLANK($H$15)</formula>
    </cfRule>
  </conditionalFormatting>
  <conditionalFormatting sqref="H77:J81">
    <cfRule type="expression" dxfId="143" priority="45">
      <formula>ISBLANK($H$15)</formula>
    </cfRule>
  </conditionalFormatting>
  <conditionalFormatting sqref="J17:J18 M17:M18 J20:J21 M20:M21 J23:J24 M23:M24 J28:J33 M28:M33">
    <cfRule type="expression" dxfId="137" priority="1">
      <formula>ISBLANK(H$15)</formula>
    </cfRule>
  </conditionalFormatting>
  <conditionalFormatting sqref="K47">
    <cfRule type="expression" dxfId="132" priority="81">
      <formula>NOT(OR(K$46="Heavy Rail"))</formula>
    </cfRule>
  </conditionalFormatting>
  <conditionalFormatting sqref="K59">
    <cfRule type="expression" dxfId="128" priority="85">
      <formula>NOT(OR(K$58="Heavy Rail"))</formula>
    </cfRule>
  </conditionalFormatting>
  <conditionalFormatting sqref="K70">
    <cfRule type="expression" dxfId="123" priority="83">
      <formula>NOT(OR(K$69="Heavy Rail"))</formula>
    </cfRule>
  </conditionalFormatting>
  <conditionalFormatting sqref="K73:L73 E73:F73 H73:I73">
    <cfRule type="expression" dxfId="115" priority="84">
      <formula>OR(E$69="Cut-A-Way",E$69="Over-Road Coach",E$69="Transit Bus",E$69="Van",E$69="DMU / EMU")</formula>
    </cfRule>
  </conditionalFormatting>
  <conditionalFormatting sqref="K74:L74 E74:F74 H74:I74">
    <cfRule type="expression" dxfId="114" priority="82">
      <formula>NOT(ISBLANK(E$69))</formula>
    </cfRule>
  </conditionalFormatting>
  <conditionalFormatting sqref="K34:M34">
    <cfRule type="expression" dxfId="113" priority="71">
      <formula>OR($K$32&lt;=$K$31,$K$32-$K$31&gt;50)</formula>
    </cfRule>
  </conditionalFormatting>
  <conditionalFormatting sqref="K37:M40">
    <cfRule type="expression" dxfId="112" priority="74">
      <formula>ISBLANK($K$15)</formula>
    </cfRule>
  </conditionalFormatting>
  <conditionalFormatting sqref="K58:M66">
    <cfRule type="expression" dxfId="111" priority="43">
      <formula>ISBLANK($K$15)</formula>
    </cfRule>
  </conditionalFormatting>
  <conditionalFormatting sqref="K69:M74">
    <cfRule type="expression" dxfId="109" priority="76">
      <formula>ISBLANK($K$15)</formula>
    </cfRule>
  </conditionalFormatting>
  <conditionalFormatting sqref="K77:M81">
    <cfRule type="expression" dxfId="108" priority="77">
      <formula>ISBLANK($K$15)</formula>
    </cfRule>
  </conditionalFormatting>
  <dataValidations count="35">
    <dataValidation type="list" allowBlank="1" showInputMessage="1" showErrorMessage="1" sqref="E28:F28 H28:I28 K28:L28" xr:uid="{0E8E1B99-F81C-44B3-89BA-527C04DA4525}">
      <formula1>projtype</formula1>
    </dataValidation>
    <dataValidation type="list" allowBlank="1" showInputMessage="1" showErrorMessage="1" promptTitle="Note:" prompt="Must first select the type of region." sqref="K31 E31 H31" xr:uid="{B161AFD8-AAB6-4101-A8E6-6CCBCABE709B}">
      <formula1>IF(E$30="","",IF(E$30="County",cnty,basin))</formula1>
    </dataValidation>
    <dataValidation type="list" allowBlank="1" showInputMessage="1" showErrorMessage="1" sqref="E30 H30 K30" xr:uid="{6AAB755E-6D66-4EE7-9C0F-08E7CE6320A8}">
      <formula1>region</formula1>
    </dataValidation>
    <dataValidation type="list" allowBlank="1" showInputMessage="1" showErrorMessage="1" sqref="K73 H73 E73" xr:uid="{B9C42AB9-59CF-45AA-B28D-06190AA55970}">
      <formula1>IF(OR(ISBLANK(E32),E32&gt;2030),NMY,INDIRECT("'"&amp;"Defaults"&amp;"'!"&amp;"A"&amp;-E32+2032&amp;":A61"))</formula1>
    </dataValidation>
    <dataValidation type="list" allowBlank="1" showInputMessage="1" showErrorMessage="1" promptTitle="Note:" prompt="Selection locks after fuel type is identified" sqref="K69" xr:uid="{563384E2-81BB-4D29-B744-0BADD31D838A}">
      <formula1>IF($K$72="",vehicletype,"")</formula1>
    </dataValidation>
    <dataValidation type="list" allowBlank="1" showInputMessage="1" showErrorMessage="1" sqref="E32 H32 K32" xr:uid="{97C7E0B5-0872-4365-829E-1CB18347B476}">
      <formula1>CY</formula1>
    </dataValidation>
    <dataValidation allowBlank="1" showInputMessage="1" showErrorMessage="1" promptTitle="Leave blank if," prompt="No additional GGRF funding has or will be requested from another CCI Program for this project." sqref="K21 E24 E21 H21 H24 K24" xr:uid="{8C82C6B6-2E7E-4038-A35D-C61FB132F3F5}"/>
    <dataValidation allowBlank="1" showErrorMessage="1" sqref="E17:E18 H17:H18 K17:K18" xr:uid="{6E12217F-C7D9-4F4E-9A10-DD6C4A1495F9}"/>
    <dataValidation allowBlank="1" showInputMessage="1" showErrorMessage="1" promptTitle="Use the same ID :" prompt="For components that are not separable (i.e., one cannot happen wihout the other), use the same ID in each component tab used." sqref="E15 H15 K15" xr:uid="{04C6D78A-4249-41C3-8561-A405566F5E12}"/>
    <dataValidation type="decimal" operator="greaterThanOrEqual" allowBlank="1" showInputMessage="1" showErrorMessage="1" sqref="E74 K74 H74" xr:uid="{C45ED724-C763-4EC9-A4A9-CE31FF582C1C}">
      <formula1>0</formula1>
    </dataValidation>
    <dataValidation type="custom" allowBlank="1" showInputMessage="1" showErrorMessage="1" errorTitle="Lower Standard Fare Cost" error="To enter Reduced Fare Cost, need to enter a current Standard Fare Cost that is higher than the Reduced Fare Cost." promptTitle="Use:" prompt="Must first enter a value for Average Standard Fare Cost." sqref="E78 H78 K78" xr:uid="{D3D42667-AC40-4AAD-B2E1-EA27CE6460AC}">
      <formula1>AND(NOT(ISBLANK(E77)), E78&lt;E77)</formula1>
    </dataValidation>
    <dataValidation allowBlank="1" showInputMessage="1" showErrorMessage="1" errorTitle="Not a Required Field:" error="Select a project type above that makes this input a required field." promptTitle="Default:" prompt="Statewide average of $3 per day." sqref="E79 H79 K79" xr:uid="{36A88028-44DC-42EE-9778-37A2C86DC4B5}"/>
    <dataValidation allowBlank="1" showInputMessage="1" showErrorMessage="1" errorTitle="Not a Required Field:" error="Select a project type above that makes this input a required field." promptTitle="Default:" prompt="Statewide averages of $11.13 per day for weekday trips, $3.00 per day for weekend trips." sqref="E80 H80 K80" xr:uid="{0E876041-B691-4CF8-8A9E-B2A6F9B2E937}"/>
    <dataValidation allowBlank="1" showInputMessage="1" showErrorMessage="1" errorTitle="Not a Required Field:" error="Select a project type above that makes this input a required field." promptTitle="Default:" prompt="Average bridge toll cost of $5 per trip for passenger vehicles." sqref="E81 H81 K81" xr:uid="{3BFF67A2-D061-4AEC-9F76-11AB9CF9179B}"/>
    <dataValidation type="list" allowBlank="1" showInputMessage="1" showErrorMessage="1" sqref="E51 H51 K51" xr:uid="{2FC9E597-589C-402C-9992-ACFD3AE20FFF}">
      <formula1>IF(OR(ISBLANK(E32),E32&gt;2030),NMY,INDIRECT("'"&amp;"Defaults"&amp;"'!"&amp;"A"&amp;-E32+2032&amp;":A61"))</formula1>
    </dataValidation>
    <dataValidation type="list" allowBlank="1" showInputMessage="1" showErrorMessage="1" sqref="H63 E63 K63" xr:uid="{B626E450-3604-4B58-ACF9-DF30E2B1CC34}">
      <formula1>IF(OR(ISBLANK(E32),E32&gt;2030),NMY,INDIRECT("'"&amp;"Defaults"&amp;"'!"&amp;"A"&amp;-E32+2032&amp;":A61"))</formula1>
    </dataValidation>
    <dataValidation type="custom" allowBlank="1" showInputMessage="1" showErrorMessage="1" promptTitle="If unknown, use look up tables:" prompt="Quantification Methodlogy Appendix C includes look up tables by agency by mode, Table C-1, and by statewide average by mode, Table C-2." sqref="H41 K41" xr:uid="{FC465DA1-CFD8-4CEE-8CAC-1F33C0A48DB3}">
      <formula1>IF(OR(H$28=$T$53,H$28=$T$54),H41&gt;0," ")</formula1>
    </dataValidation>
    <dataValidation type="list" allowBlank="1" showInputMessage="1" showErrorMessage="1" promptTitle="Note:" prompt="Selection locks after fuel type is identified" sqref="E46" xr:uid="{350D2CC2-EE00-4921-8F9D-8055DFA3CAE4}">
      <formula1>IF($E$49="",vehicletype,"")</formula1>
    </dataValidation>
    <dataValidation type="list" allowBlank="1" showInputMessage="1" showErrorMessage="1" promptTitle="Note:" prompt="Selection locks after fuel type is identified" sqref="H46" xr:uid="{51FE0AC5-B01E-4003-BB30-60C5F1C9782A}">
      <formula1>IF($H$49="",vehicletype,"")</formula1>
    </dataValidation>
    <dataValidation type="list" allowBlank="1" showInputMessage="1" showErrorMessage="1" promptTitle="Note:" prompt="Selection locks after fuel type is identified" sqref="K46" xr:uid="{6ED12C1E-715C-417C-BDB7-819F5B8A9C32}">
      <formula1>IF($K$49="",vehicletype,"")</formula1>
    </dataValidation>
    <dataValidation type="list" allowBlank="1" showInputMessage="1" showErrorMessage="1" promptTitle="Note:" prompt="Selection locks after fuel type is identified" sqref="K58" xr:uid="{ADCC138B-CB7D-45D9-BCB3-0AD034C8D453}">
      <formula1>IF($K$61="",vehicletype,"")</formula1>
    </dataValidation>
    <dataValidation type="list" allowBlank="1" showInputMessage="1" showErrorMessage="1" promptTitle="Note:" prompt="Selection locks after fuel type is identified" sqref="E58" xr:uid="{A370E284-7439-4E1E-842F-DD92018749A8}">
      <formula1>IF($E$61="",vehicletype,"")</formula1>
    </dataValidation>
    <dataValidation type="list" allowBlank="1" showInputMessage="1" showErrorMessage="1" promptTitle="Note:" prompt="Selection locks after fuel type is identified" sqref="H58" xr:uid="{1FF39D08-0ECE-4D39-8D0E-BFC14E651D09}">
      <formula1>IF($H$61="",vehicletype,"")</formula1>
    </dataValidation>
    <dataValidation type="list" allowBlank="1" showInputMessage="1" showErrorMessage="1" promptTitle="Note:" prompt="Selection locks after fuel type is identified" sqref="H69" xr:uid="{AA804E8E-9A7E-4366-88BC-92A02137C330}">
      <formula1>IF($H$72="",vehicletype,"")</formula1>
    </dataValidation>
    <dataValidation type="list" allowBlank="1" showInputMessage="1" showErrorMessage="1" promptTitle="Note:" prompt="Selection locks after fuel type is identified" sqref="E69" xr:uid="{A8B9A49F-9AF8-42B7-8842-7466FE7B04D8}">
      <formula1>IF($E$72="",vehicletype,"")</formula1>
    </dataValidation>
    <dataValidation type="decimal" operator="greaterThan" allowBlank="1" showInputMessage="1" showErrorMessage="1" sqref="E48 H48 K48" xr:uid="{48266844-1994-4D74-BDE1-D63E6E762963}">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E, Row 47)." sqref="E65" xr:uid="{37DC647C-F07F-4DCB-8039-5DE2D3DCF53E}">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G, Row 47)." sqref="H65" xr:uid="{D00D9C8B-4E26-4D45-A433-E731369B8F25}">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I, Row 47)." sqref="K65" xr:uid="{9522839C-F112-4183-A9AC-2C177C276102}">
      <formula1>0</formula1>
    </dataValidation>
    <dataValidation type="decimal" operator="greaterThan" allowBlank="1" showInputMessage="1" showErrorMessage="1" errorTitle="Invalid Input:" error="Input must be a number greater than 0." sqref="E60 H60 K60" xr:uid="{F63B2C87-16B3-4677-865F-F95D45EF7A1B}">
      <formula1>0</formula1>
    </dataValidation>
    <dataValidation type="decimal" allowBlank="1" showInputMessage="1" showErrorMessage="1" sqref="E52 H52 K52 E64 H64 K64" xr:uid="{DF5BC3A6-90A8-4F7D-AA41-5B1AC6F8BDB9}">
      <formula1>-10000000</formula1>
      <formula2>10000000</formula2>
    </dataValidation>
    <dataValidation type="decimal" operator="greaterThanOrEqual" allowBlank="1" showInputMessage="1" showErrorMessage="1" errorTitle="Invalid Input:" error="Value must be greater than 0." promptTitle="Due to the high variability:" prompt="For rail and ferry vehicles, applicants may provide project-specific information on the estimated annual fuel instead of annual VMT." sqref="H54 E54 E66 K66 H66 K54" xr:uid="{00B09AB8-C65F-475D-B0F0-E13B8878ED82}">
      <formula1>0</formula1>
    </dataValidation>
    <dataValidation type="decimal" operator="greaterThanOrEqual" allowBlank="1" showInputMessage="1" showErrorMessage="1" errorTitle="Invalid Input:" error="Value must be greater than 0." sqref="E53 H53 K53" xr:uid="{B649C010-D832-4195-9299-85161E8299AE}">
      <formula1>0</formula1>
    </dataValidation>
    <dataValidation type="decimal" operator="greaterThan" allowBlank="1" showInputMessage="1" showErrorMessage="1" errorTitle="Invalid Input:" error="Value must be greater than 0." sqref="E71 H71 K71" xr:uid="{243709CD-E049-46DF-964E-86B022392CFC}">
      <formula1>0</formula1>
    </dataValidation>
    <dataValidation type="decimal" operator="greaterThanOrEqual" allowBlank="1" showErrorMessage="1" errorTitle="Invalid Input:" error="Value must be greater than 0." sqref="K55 H55 E55" xr:uid="{450D0E84-1286-4911-A898-F0DFD8772DD5}">
      <formula1>0</formula1>
    </dataValidation>
  </dataValidations>
  <pageMargins left="0.7" right="0.7" top="0.75" bottom="0.75" header="0.3" footer="0.3"/>
  <pageSetup scale="26" fitToHeight="0" orientation="portrait" r:id="rId1"/>
  <headerFooter>
    <oddHeader>&amp;C&amp;12
&amp;G</oddHeader>
    <oddFooter>&amp;L&amp;"Avenir LT Std 55 Roman,Regular"&amp;12DRAFT September 13, 2019&amp;C&amp;"Avenir LT Std 55 Roman,Regular"&amp;12&amp;P of &amp;N&amp;R&amp;"Avenir LT Std 55 Roman,Regular"&amp;12&amp;A</oddFooter>
  </headerFooter>
  <rowBreaks count="1" manualBreakCount="1">
    <brk id="66" min="1" max="9" man="1"/>
  </rowBreaks>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37" id="{781A1204-79D1-46A6-A8FC-81E89257DB6C}">
            <xm:f>OR(E$28=Defaults!$M$2,E$28=Defaults!$M$3)</xm:f>
            <x14:dxf>
              <fill>
                <patternFill>
                  <bgColor theme="9" tint="0.79998168889431442"/>
                </patternFill>
              </fill>
            </x14:dxf>
          </x14:cfRule>
          <xm:sqref>E37:E40 H37:H40 K37:K40</xm:sqref>
        </x14:conditionalFormatting>
        <x14:conditionalFormatting xmlns:xm="http://schemas.microsoft.com/office/excel/2006/main">
          <x14:cfRule type="expression" priority="38" id="{286063D0-CA21-46DF-A95D-70D9AF897F3E}">
            <xm:f>OR(E$28=Defaults!$M$2,E$28=Defaults!$M$4)</xm:f>
            <x14:dxf>
              <fill>
                <patternFill>
                  <bgColor theme="9" tint="0.79998168889431442"/>
                </patternFill>
              </fill>
            </x14:dxf>
          </x14:cfRule>
          <xm:sqref>E46 H46 K46 E49:F50 H49:I50 K49:L50</xm:sqref>
        </x14:conditionalFormatting>
        <x14:conditionalFormatting xmlns:xm="http://schemas.microsoft.com/office/excel/2006/main">
          <x14:cfRule type="expression" priority="60" id="{E4257AFC-65B0-4583-A5D0-4B8E2EC45E74}">
            <xm:f>NOT(OR($E$46=Defaults!$G$3,$E$46=Defaults!$G$4))</xm:f>
            <x14:dxf>
              <font>
                <color rgb="FFFF0000"/>
              </font>
              <fill>
                <patternFill>
                  <bgColor theme="1"/>
                </patternFill>
              </fill>
            </x14:dxf>
          </x14:cfRule>
          <xm:sqref>E48</xm:sqref>
        </x14:conditionalFormatting>
        <x14:conditionalFormatting xmlns:xm="http://schemas.microsoft.com/office/excel/2006/main">
          <x14:cfRule type="expression" priority="67" id="{BADC209D-510E-4B6B-BD4D-8425B32E4D03}">
            <xm:f>NOT(OR($E$58=Defaults!$G$3,$E$58=Defaults!$G$4))</xm:f>
            <x14:dxf>
              <font>
                <color rgb="FFFF0000"/>
              </font>
              <fill>
                <patternFill>
                  <bgColor theme="1"/>
                </patternFill>
              </fill>
            </x14:dxf>
          </x14:cfRule>
          <xm:sqref>E60</xm:sqref>
        </x14:conditionalFormatting>
        <x14:conditionalFormatting xmlns:xm="http://schemas.microsoft.com/office/excel/2006/main">
          <x14:cfRule type="expression" priority="42" id="{988F0D07-7F5D-46F0-976D-3F846D157A84}">
            <xm:f>NOT(OR($E$69=Defaults!$G$3,$E$69=Defaults!$G$4))</xm:f>
            <x14:dxf>
              <font>
                <color rgb="FFFF0000"/>
              </font>
              <fill>
                <patternFill>
                  <bgColor theme="1"/>
                </patternFill>
              </fill>
            </x14:dxf>
          </x14:cfRule>
          <xm:sqref>E71</xm:sqref>
        </x14:conditionalFormatting>
        <x14:conditionalFormatting xmlns:xm="http://schemas.microsoft.com/office/excel/2006/main">
          <x14:cfRule type="expression" priority="40" id="{A777E813-D083-4146-A525-010B91C52BE9}">
            <xm:f>AND(NOT(ISBLANK($E$54)),OR($E$46=Defaults!$G$3,$E$46=Defaults!$G$5,$E$46=Defaults!$G$6,$E$46=Defaults!$G$8))</xm:f>
            <x14:dxf>
              <fill>
                <patternFill>
                  <bgColor theme="4" tint="0.59996337778862885"/>
                </patternFill>
              </fill>
            </x14:dxf>
          </x14:cfRule>
          <xm:sqref>E53:F53</xm:sqref>
        </x14:conditionalFormatting>
        <x14:conditionalFormatting xmlns:xm="http://schemas.microsoft.com/office/excel/2006/main">
          <x14:cfRule type="expression" priority="55" id="{B83C8CC2-544F-4F3E-A607-8AC12EF0F5B3}">
            <xm:f>OR(E$28=Defaults!$M$2, E$28=Defaults!$M$3, E$28=Defaults!$M$4)</xm:f>
            <x14:dxf>
              <fill>
                <patternFill>
                  <bgColor theme="4" tint="0.59996337778862885"/>
                </patternFill>
              </fill>
            </x14:dxf>
          </x14:cfRule>
          <xm:sqref>E69:F69 H69:I69 K69:L69</xm:sqref>
        </x14:conditionalFormatting>
        <x14:conditionalFormatting xmlns:xm="http://schemas.microsoft.com/office/excel/2006/main">
          <x14:cfRule type="expression" priority="27" id="{4C807BE3-8D58-4098-BEEF-0C5D7AA73489}">
            <xm:f>AND(NOT(ISBLANK($E$53)),OR($E$46=Defaults!$G$3,$E$46=Defaults!$G$5,$E$46=Defaults!$G$6,$E$46=Defaults!$G$8))</xm:f>
            <x14:dxf>
              <fill>
                <patternFill>
                  <bgColor theme="4" tint="0.59996337778862885"/>
                </patternFill>
              </fill>
            </x14:dxf>
          </x14:cfRule>
          <xm:sqref>E54:G54</xm:sqref>
        </x14:conditionalFormatting>
        <x14:conditionalFormatting xmlns:xm="http://schemas.microsoft.com/office/excel/2006/main">
          <x14:cfRule type="expression" priority="12" id="{DC38F7FC-8E1F-4F7E-A4E0-D5F3E3F59FB8}">
            <xm:f>AND(NOT(ISBLANK($E$66)),OR($E$58=Defaults!$G$3,$E$58=Defaults!$G$5,$E$58=Defaults!$G$6,$E$58=Defaults!$G$8))</xm:f>
            <x14:dxf>
              <fill>
                <patternFill>
                  <bgColor theme="4" tint="0.59996337778862885"/>
                </patternFill>
              </fill>
            </x14:dxf>
          </x14:cfRule>
          <xm:sqref>E65:G65</xm:sqref>
        </x14:conditionalFormatting>
        <x14:conditionalFormatting xmlns:xm="http://schemas.microsoft.com/office/excel/2006/main">
          <x14:cfRule type="expression" priority="15" id="{17F51F7D-97FC-4A05-BB9E-6E9754ABA2F5}">
            <xm:f>AND(NOT(ISBLANK($E$65)),OR($E$58=Defaults!$G$3,$E$58=Defaults!$G$5,$E$58=Defaults!$G$6,$E$58=Defaults!$G$8))</xm:f>
            <x14:dxf>
              <fill>
                <patternFill>
                  <bgColor theme="4" tint="0.59996337778862885"/>
                </patternFill>
              </fill>
            </x14:dxf>
          </x14:cfRule>
          <xm:sqref>E66:G66 J66 M66</xm:sqref>
        </x14:conditionalFormatting>
        <x14:conditionalFormatting xmlns:xm="http://schemas.microsoft.com/office/excel/2006/main">
          <x14:cfRule type="expression" priority="59" id="{67FCBFBD-C9D6-41F6-B018-8C37B8F10DB3}">
            <xm:f>OR(E$28=Defaults!$M$2,E$28=Defaults!$M$3)</xm:f>
            <x14:dxf>
              <fill>
                <patternFill>
                  <bgColor theme="9" tint="0.79998168889431442"/>
                </patternFill>
              </fill>
            </x14:dxf>
          </x14:cfRule>
          <xm:sqref>F37:F40 I37:I40 L37:L40</xm:sqref>
        </x14:conditionalFormatting>
        <x14:conditionalFormatting xmlns:xm="http://schemas.microsoft.com/office/excel/2006/main">
          <x14:cfRule type="expression" priority="36" id="{09DCD72F-D2F1-4546-8125-1D63B953B331}">
            <xm:f>OR(E$28=Defaults!$M$2,E$28=Defaults!$M$3)</xm:f>
            <x14:dxf>
              <fill>
                <patternFill>
                  <bgColor theme="9" tint="0.79998168889431442"/>
                </patternFill>
              </fill>
            </x14:dxf>
          </x14:cfRule>
          <xm:sqref>G37:G40 J37:J40 M37:M40</xm:sqref>
        </x14:conditionalFormatting>
        <x14:conditionalFormatting xmlns:xm="http://schemas.microsoft.com/office/excel/2006/main">
          <x14:cfRule type="expression" priority="29" id="{97BCAB9A-0DD1-43B1-826A-FD8E2DB4D404}">
            <xm:f>OR(E$28=Defaults!$M$2,E$28=Defaults!$M$4)</xm:f>
            <x14:dxf>
              <fill>
                <patternFill>
                  <bgColor theme="9" tint="0.79998168889431442"/>
                </patternFill>
              </fill>
            </x14:dxf>
          </x14:cfRule>
          <xm:sqref>G46 J46 M46</xm:sqref>
        </x14:conditionalFormatting>
        <x14:conditionalFormatting xmlns:xm="http://schemas.microsoft.com/office/excel/2006/main">
          <x14:cfRule type="expression" priority="33" id="{38161914-9FDB-4868-962D-9FADB0B8178D}">
            <xm:f>OR(E$28=Defaults!$M$4)</xm:f>
            <x14:dxf>
              <fill>
                <patternFill>
                  <bgColor theme="9" tint="0.79998168889431442"/>
                </patternFill>
              </fill>
            </x14:dxf>
          </x14:cfRule>
          <xm:sqref>G47:G48 J47:J48 M47:M48</xm:sqref>
        </x14:conditionalFormatting>
        <x14:conditionalFormatting xmlns:xm="http://schemas.microsoft.com/office/excel/2006/main">
          <x14:cfRule type="expression" priority="35" id="{BADD3F7F-7C8B-4E94-B6CD-128B4FEED463}">
            <xm:f>NOT(OR($E$46=Defaults!$G$3,$E$46=Defaults!$G$4))</xm:f>
            <x14:dxf>
              <font>
                <color auto="1"/>
              </font>
              <fill>
                <patternFill>
                  <bgColor theme="1"/>
                </patternFill>
              </fill>
            </x14:dxf>
          </x14:cfRule>
          <xm:sqref>G48</xm:sqref>
        </x14:conditionalFormatting>
        <x14:conditionalFormatting xmlns:xm="http://schemas.microsoft.com/office/excel/2006/main">
          <x14:cfRule type="expression" priority="32" id="{028A2980-3E79-46B6-BC83-54FBE00BBAC3}">
            <xm:f>OR(E$28=Defaults!$M$2,E$28=Defaults!$M$4)</xm:f>
            <x14:dxf>
              <fill>
                <patternFill>
                  <bgColor theme="9" tint="0.79998168889431442"/>
                </patternFill>
              </fill>
            </x14:dxf>
          </x14:cfRule>
          <xm:sqref>G49:G50 J49:J50 M49:M50</xm:sqref>
        </x14:conditionalFormatting>
        <x14:conditionalFormatting xmlns:xm="http://schemas.microsoft.com/office/excel/2006/main">
          <x14:cfRule type="expression" priority="31" id="{963B8464-3FD0-464F-8A60-7CEAE7CC7EDB}">
            <xm:f>AND(OR(E$28=Defaults!$M$2,E$28=Defaults!$M$4),OR(E$46="Cut-A-Way",E$46="Over-Road Coach",E$46="Transit Bus",E$46="Van",E$46="Ferry",E$46="DMU / EMU"))</xm:f>
            <x14:dxf>
              <fill>
                <patternFill>
                  <bgColor theme="9" tint="0.79998168889431442"/>
                </patternFill>
              </fill>
            </x14:dxf>
          </x14:cfRule>
          <xm:sqref>G51 J51 M51</xm:sqref>
        </x14:conditionalFormatting>
        <x14:conditionalFormatting xmlns:xm="http://schemas.microsoft.com/office/excel/2006/main">
          <x14:cfRule type="expression" priority="30" id="{3E0F2200-3C66-4229-BBBA-7EBF6140E865}">
            <xm:f>OR(E$28=Defaults!$M$2,E$28=Defaults!$M$4)</xm:f>
            <x14:dxf>
              <fill>
                <patternFill>
                  <bgColor theme="4" tint="0.59996337778862885"/>
                </patternFill>
              </fill>
            </x14:dxf>
          </x14:cfRule>
          <xm:sqref>G52 J52 M52</xm:sqref>
        </x14:conditionalFormatting>
        <x14:conditionalFormatting xmlns:xm="http://schemas.microsoft.com/office/excel/2006/main">
          <x14:cfRule type="expression" priority="28" id="{F8D86266-0845-4C17-8519-CE2C044032DC}">
            <xm:f>AND(OR(E$28=Defaults!$M$2,E$28=Defaults!$M$4),OR(E$46="Cut-A-Way",E$46="Heavy Rail",E$46="Light Rail",E$46="Over-Road Coach",E$46="Streetcar",E$46="Transit Bus",E$46="Van",E$46="DMU / EMU"))</xm:f>
            <x14:dxf>
              <fill>
                <patternFill>
                  <bgColor theme="9" tint="0.79998168889431442"/>
                </patternFill>
              </fill>
            </x14:dxf>
          </x14:cfRule>
          <xm:sqref>G53 J53 M53</xm:sqref>
        </x14:conditionalFormatting>
        <x14:conditionalFormatting xmlns:xm="http://schemas.microsoft.com/office/excel/2006/main">
          <x14:cfRule type="expression" priority="11" id="{EDA64960-9B46-4933-B4AD-C1D68CFC41E6}">
            <xm:f>E$28=Defaults!$M$2</xm:f>
            <x14:dxf>
              <fill>
                <patternFill>
                  <bgColor theme="4" tint="0.59996337778862885"/>
                </patternFill>
              </fill>
            </x14:dxf>
          </x14:cfRule>
          <xm:sqref>G58 J58 M58</xm:sqref>
        </x14:conditionalFormatting>
        <x14:conditionalFormatting xmlns:xm="http://schemas.microsoft.com/office/excel/2006/main">
          <x14:cfRule type="expression" priority="14" id="{DF936494-254E-45C1-9DC8-03B63EEE4ED8}">
            <xm:f>OR(E$28=Defaults!$M$2,E$28=Defaults!$M$4)</xm:f>
            <x14:dxf>
              <fill>
                <patternFill>
                  <bgColor theme="9" tint="0.79998168889431442"/>
                </patternFill>
              </fill>
            </x14:dxf>
          </x14:cfRule>
          <xm:sqref>G58</xm:sqref>
        </x14:conditionalFormatting>
        <x14:conditionalFormatting xmlns:xm="http://schemas.microsoft.com/office/excel/2006/main">
          <x14:cfRule type="expression" priority="25" id="{E5F6CB7B-C951-448F-8C76-5C7BDC2CFD42}">
            <xm:f>OR(E$28=Defaults!$M$4)</xm:f>
            <x14:dxf>
              <fill>
                <patternFill>
                  <bgColor theme="9" tint="0.79998168889431442"/>
                </patternFill>
              </fill>
            </x14:dxf>
          </x14:cfRule>
          <xm:sqref>G59:G60 J59:J60 M59:M60</xm:sqref>
        </x14:conditionalFormatting>
        <x14:conditionalFormatting xmlns:xm="http://schemas.microsoft.com/office/excel/2006/main">
          <x14:cfRule type="expression" priority="22" id="{37E59DE4-22D7-4BD6-BD96-4B8FAE480538}">
            <xm:f>NOT(OR(E$58=Defaults!$G$3,E$58=Defaults!$G$4))</xm:f>
            <x14:dxf>
              <fill>
                <patternFill>
                  <bgColor theme="1"/>
                </patternFill>
              </fill>
            </x14:dxf>
          </x14:cfRule>
          <xm:sqref>G60 J60 M60</xm:sqref>
        </x14:conditionalFormatting>
        <x14:conditionalFormatting xmlns:xm="http://schemas.microsoft.com/office/excel/2006/main">
          <x14:cfRule type="expression" priority="21" id="{D00DD0BA-256F-44F8-B230-5F98FC17877B}">
            <xm:f>OR(E$28=Defaults!$M$4, AND(NOT(ISBLANK(E$58)),E$28=Defaults!$M$2))</xm:f>
            <x14:dxf>
              <fill>
                <patternFill>
                  <bgColor theme="9" tint="0.79998168889431442"/>
                </patternFill>
              </fill>
            </x14:dxf>
          </x14:cfRule>
          <xm:sqref>G61:G62 J61:J62 M61:M62</xm:sqref>
        </x14:conditionalFormatting>
        <x14:conditionalFormatting xmlns:xm="http://schemas.microsoft.com/office/excel/2006/main">
          <x14:cfRule type="expression" priority="20" id="{EB0B3A59-D8AC-4221-A59D-65E8544C1099}">
            <xm:f>AND(OR(E$28=Defaults!$M$4,E$28=Defaults!$M$2),OR(E$58="Cut-A-Way",E$58="Over-Road Coach",E$58="Transit Bus",E$58="Van",E$58="DMU / EMU"))</xm:f>
            <x14:dxf>
              <fill>
                <patternFill>
                  <bgColor theme="9" tint="0.79998168889431442"/>
                </patternFill>
              </fill>
            </x14:dxf>
          </x14:cfRule>
          <xm:sqref>G63 J63 M63</xm:sqref>
        </x14:conditionalFormatting>
        <x14:conditionalFormatting xmlns:xm="http://schemas.microsoft.com/office/excel/2006/main">
          <x14:cfRule type="expression" priority="19" id="{CD73630F-5EC1-4698-B242-A2B6F9DE1589}">
            <xm:f>OR(E$28=Defaults!$M$4, AND(NOT(ISBLANK(E$58)),E$28=Defaults!$M$2))</xm:f>
            <x14:dxf>
              <fill>
                <patternFill>
                  <bgColor theme="4" tint="0.59996337778862885"/>
                </patternFill>
              </fill>
            </x14:dxf>
          </x14:cfRule>
          <xm:sqref>G64 J64 M64</xm:sqref>
        </x14:conditionalFormatting>
        <x14:conditionalFormatting xmlns:xm="http://schemas.microsoft.com/office/excel/2006/main">
          <x14:cfRule type="expression" priority="13" id="{67464958-2307-49B8-86B5-17C0BC67C1E1}">
            <xm:f>AND(OR(E$28=Defaults!$M$4, E$28=Defaults!$M$2),OR(E$58="Cut-A-Way",E$58="Heavy Rail",E$58="Light Rail",E$58="Over-Road Coach",E$58="Streetcar",E$58="Transit Bus",E$58="Van",E$58="DMU / EMU"))</xm:f>
            <x14:dxf>
              <fill>
                <patternFill>
                  <bgColor theme="9" tint="0.79998168889431442"/>
                </patternFill>
              </fill>
            </x14:dxf>
          </x14:cfRule>
          <xm:sqref>G65</xm:sqref>
        </x14:conditionalFormatting>
        <x14:conditionalFormatting xmlns:xm="http://schemas.microsoft.com/office/excel/2006/main">
          <x14:cfRule type="expression" priority="16" id="{E5E9D4E8-E632-4B30-AB00-4CFC65EB7052}">
            <xm:f>AND(OR(E$28=Defaults!$M$4, E$28=Defaults!$M$2),OR(E$58="Ferry",E$58="Heavy Rail",E$58="Light Rail",E$58="Streetcar",E$58="DMU / EMU"))</xm:f>
            <x14:dxf>
              <fill>
                <patternFill>
                  <bgColor theme="9" tint="0.79998168889431442"/>
                </patternFill>
              </fill>
            </x14:dxf>
          </x14:cfRule>
          <xm:sqref>G66 J66 M66</xm:sqref>
        </x14:conditionalFormatting>
        <x14:conditionalFormatting xmlns:xm="http://schemas.microsoft.com/office/excel/2006/main">
          <x14:cfRule type="expression" priority="10" id="{3E45E002-989C-41A3-9450-810F80EB760F}">
            <xm:f>OR(E$28=Defaults!$M$5)</xm:f>
            <x14:dxf>
              <fill>
                <patternFill>
                  <bgColor theme="9" tint="0.79998168889431442"/>
                </patternFill>
              </fill>
            </x14:dxf>
          </x14:cfRule>
          <x14:cfRule type="expression" priority="9" id="{9B367166-2278-4FD3-B163-C8809F4A19B0}">
            <xm:f>OR(E$28=Defaults!$M$2, E$28=Defaults!$M$3, E$28=Defaults!$M$4)</xm:f>
            <x14:dxf>
              <fill>
                <patternFill>
                  <bgColor theme="4" tint="0.59996337778862885"/>
                </patternFill>
              </fill>
            </x14:dxf>
          </x14:cfRule>
          <xm:sqref>G69 J69 M69</xm:sqref>
        </x14:conditionalFormatting>
        <x14:conditionalFormatting xmlns:xm="http://schemas.microsoft.com/office/excel/2006/main">
          <x14:cfRule type="expression" priority="7" id="{C83F3CD9-A842-41CE-8E6F-20B050825908}">
            <xm:f>NOT(OR(E$69=Defaults!$G$3,E$69=Defaults!$G$4))</xm:f>
            <x14:dxf>
              <fill>
                <patternFill>
                  <bgColor theme="1"/>
                </patternFill>
              </fill>
            </x14:dxf>
          </x14:cfRule>
          <xm:sqref>G71 J71 M71</xm:sqref>
        </x14:conditionalFormatting>
        <x14:conditionalFormatting xmlns:xm="http://schemas.microsoft.com/office/excel/2006/main">
          <x14:cfRule type="expression" priority="6" id="{FD18D6AB-8676-4973-99A9-70CB24701D5A}">
            <xm:f>OR(E$28=Defaults!$M$5, NOT(ISBLANK(E$69)))</xm:f>
            <x14:dxf>
              <fill>
                <patternFill>
                  <bgColor theme="9" tint="0.79998168889431442"/>
                </patternFill>
              </fill>
            </x14:dxf>
          </x14:cfRule>
          <xm:sqref>G72 J72 M72</xm:sqref>
        </x14:conditionalFormatting>
        <x14:conditionalFormatting xmlns:xm="http://schemas.microsoft.com/office/excel/2006/main">
          <x14:cfRule type="expression" priority="3" id="{4F3C4461-E9FF-4982-8EDB-E72069CAC91C}">
            <xm:f>E$28=Defaults!$M$3</xm:f>
            <x14:dxf>
              <fill>
                <patternFill>
                  <bgColor theme="4" tint="0.59996337778862885"/>
                </patternFill>
              </fill>
            </x14:dxf>
          </x14:cfRule>
          <xm:sqref>G77:G78 J77:J78 M77:M78</xm:sqref>
        </x14:conditionalFormatting>
        <x14:conditionalFormatting xmlns:xm="http://schemas.microsoft.com/office/excel/2006/main">
          <x14:cfRule type="expression" priority="2" id="{0E298933-1B0A-4522-97AC-9521913B45E3}">
            <xm:f>OR(E$28=Defaults!$M$2, E$28=Defaults!$M$3)</xm:f>
            <x14:dxf>
              <fill>
                <patternFill>
                  <bgColor theme="4" tint="0.59996337778862885"/>
                </patternFill>
              </fill>
            </x14:dxf>
          </x14:cfRule>
          <xm:sqref>G78:G81 J78:J81 M78:M81</xm:sqref>
        </x14:conditionalFormatting>
        <x14:conditionalFormatting xmlns:xm="http://schemas.microsoft.com/office/excel/2006/main">
          <x14:cfRule type="expression" priority="68" id="{3C61DD01-3909-4AB8-A06B-2615205FF6E7}">
            <xm:f>NOT(OR($H$46=Defaults!$G$3,$H$46=Defaults!$G$4))</xm:f>
            <x14:dxf>
              <font>
                <color rgb="FFFF0000"/>
              </font>
              <fill>
                <patternFill>
                  <bgColor theme="1"/>
                </patternFill>
              </fill>
            </x14:dxf>
          </x14:cfRule>
          <xm:sqref>H48</xm:sqref>
        </x14:conditionalFormatting>
        <x14:conditionalFormatting xmlns:xm="http://schemas.microsoft.com/office/excel/2006/main">
          <x14:cfRule type="expression" priority="91" id="{DAB5A599-CE5B-4BB6-83C1-068EFF84BC7A}">
            <xm:f>OR(E$28=Defaults!$M$2,E$28=Defaults!$M$4)</xm:f>
            <x14:dxf>
              <fill>
                <patternFill>
                  <bgColor theme="4" tint="0.59996337778862885"/>
                </patternFill>
              </fill>
            </x14:dxf>
          </x14:cfRule>
          <xm:sqref>H52 E52 K52</xm:sqref>
        </x14:conditionalFormatting>
        <x14:conditionalFormatting xmlns:xm="http://schemas.microsoft.com/office/excel/2006/main">
          <x14:cfRule type="expression" priority="52" id="{454CF4F9-D717-464A-80BB-570D467021ED}">
            <xm:f>AND(OR(E$28=Defaults!$M$2,E$28=Defaults!$M$4),OR(E$46="Cut-A-Way",E$46="Heavy Rail",E$46="Light Rail",E$46="Over-Road Coach",E$46="Streetcar",E$46="Transit Bus",E$46="Van",E$46="DMU / EMU"))</xm:f>
            <x14:dxf>
              <fill>
                <patternFill>
                  <bgColor theme="9" tint="0.79998168889431442"/>
                </patternFill>
              </fill>
            </x14:dxf>
          </x14:cfRule>
          <xm:sqref>H53 E53 K53</xm:sqref>
        </x14:conditionalFormatting>
        <x14:conditionalFormatting xmlns:xm="http://schemas.microsoft.com/office/excel/2006/main">
          <x14:cfRule type="expression" priority="61" id="{C7DA01F5-CC81-447A-8963-A0C82343E72D}">
            <xm:f>AND(OR(E$28=Defaults!$M$2,E$28=Defaults!$M$4),OR(E$46="Ferry",E$46="Heavy Rail",E$46="Light Rail",E$46="Streetcar",E$46="DMU / EMU"))</xm:f>
            <x14:dxf>
              <fill>
                <patternFill>
                  <bgColor theme="9" tint="0.79998168889431442"/>
                </patternFill>
              </fill>
            </x14:dxf>
          </x14:cfRule>
          <xm:sqref>H54 E54 K54</xm:sqref>
        </x14:conditionalFormatting>
        <x14:conditionalFormatting xmlns:xm="http://schemas.microsoft.com/office/excel/2006/main">
          <x14:cfRule type="expression" priority="44" id="{394D18EE-0CC2-433D-98A2-3D860438E157}">
            <xm:f>E$28=Defaults!$M$4</xm:f>
            <x14:dxf>
              <fill>
                <patternFill>
                  <bgColor theme="9" tint="0.79998168889431442"/>
                </patternFill>
              </fill>
            </x14:dxf>
          </x14:cfRule>
          <xm:sqref>H58 E58:F58</xm:sqref>
        </x14:conditionalFormatting>
        <x14:conditionalFormatting xmlns:xm="http://schemas.microsoft.com/office/excel/2006/main">
          <x14:cfRule type="expression" priority="66" id="{E4D5990F-25E5-48DF-8052-5ECB37D16988}">
            <xm:f>NOT(OR($H$58=Defaults!$G$3,$H$58=Defaults!$G$4))</xm:f>
            <x14:dxf>
              <font>
                <color rgb="FFFF0000"/>
              </font>
              <fill>
                <patternFill>
                  <bgColor theme="1"/>
                </patternFill>
              </fill>
            </x14:dxf>
          </x14:cfRule>
          <xm:sqref>H60</xm:sqref>
        </x14:conditionalFormatting>
        <x14:conditionalFormatting xmlns:xm="http://schemas.microsoft.com/office/excel/2006/main">
          <x14:cfRule type="expression" priority="102" id="{FEDDF221-82CB-4859-8309-D9A7C85B80DA}">
            <xm:f>AND(OR(E$28=Defaults!$M$4, E$28=Defaults!$M$2),OR(E$58="Ferry",E$58="Heavy Rail",E$58="Light Rail",E$58="Streetcar",E$58="DMU / EMU"))</xm:f>
            <x14:dxf>
              <fill>
                <patternFill>
                  <bgColor theme="9" tint="0.79998168889431442"/>
                </patternFill>
              </fill>
            </x14:dxf>
          </x14:cfRule>
          <xm:sqref>H66 K66 E66</xm:sqref>
        </x14:conditionalFormatting>
        <x14:conditionalFormatting xmlns:xm="http://schemas.microsoft.com/office/excel/2006/main">
          <x14:cfRule type="expression" priority="63" id="{9BE8F3FB-5FB5-4279-BBA5-9FC3A31EE543}">
            <xm:f>NOT(OR($H$69=Defaults!$G$3,$H$69=Defaults!$G$4))</xm:f>
            <x14:dxf>
              <font>
                <color rgb="FFFF0000"/>
              </font>
              <fill>
                <patternFill>
                  <bgColor theme="1"/>
                </patternFill>
              </fill>
            </x14:dxf>
          </x14:cfRule>
          <xm:sqref>H71</xm:sqref>
        </x14:conditionalFormatting>
        <x14:conditionalFormatting xmlns:xm="http://schemas.microsoft.com/office/excel/2006/main">
          <x14:cfRule type="expression" priority="56" id="{EF2363D2-2712-4294-8313-BBC190879C64}">
            <xm:f>E$28=Defaults!$M$3</xm:f>
            <x14:dxf>
              <fill>
                <patternFill>
                  <bgColor theme="4" tint="0.59996337778862885"/>
                </patternFill>
              </fill>
            </x14:dxf>
          </x14:cfRule>
          <xm:sqref>H77:H78 E77:E78 K77:K78</xm:sqref>
        </x14:conditionalFormatting>
        <x14:conditionalFormatting xmlns:xm="http://schemas.microsoft.com/office/excel/2006/main">
          <x14:cfRule type="expression" priority="58" id="{403803F9-1B60-44BB-A2E8-CE220B750812}">
            <xm:f>OR(E$28=Defaults!$M$2, E$28=Defaults!$M$3)</xm:f>
            <x14:dxf>
              <fill>
                <patternFill>
                  <bgColor theme="4" tint="0.59996337778862885"/>
                </patternFill>
              </fill>
            </x14:dxf>
          </x14:cfRule>
          <xm:sqref>H78:H81 E78:E81 K78:K81</xm:sqref>
        </x14:conditionalFormatting>
        <x14:conditionalFormatting xmlns:xm="http://schemas.microsoft.com/office/excel/2006/main">
          <x14:cfRule type="expression" priority="92" id="{D174DED1-1C1F-4E7D-AFF8-4C1EABE46606}">
            <xm:f>AND(OR(E$28=Defaults!$M$2,E$28=Defaults!$M$4),OR(E$46="Cut-A-Way",E$46="Over-Road Coach",E$46="Transit Bus",E$46="Van",E$46="Ferry",E$46="DMU / EMU"))</xm:f>
            <x14:dxf>
              <fill>
                <patternFill>
                  <bgColor theme="9" tint="0.79998168889431442"/>
                </patternFill>
              </fill>
            </x14:dxf>
          </x14:cfRule>
          <xm:sqref>H51:I51 E51:F51 K51:L51</xm:sqref>
        </x14:conditionalFormatting>
        <x14:conditionalFormatting xmlns:xm="http://schemas.microsoft.com/office/excel/2006/main">
          <x14:cfRule type="expression" priority="79" id="{B200FFDB-5215-43F4-B8AB-B95442A14ED5}">
            <xm:f>AND(NOT(ISBLANK($H$53)),OR($H$46=Defaults!$G$3,$H$46=Defaults!$G$5,$H$46=Defaults!$G$6,$H$46=Defaults!$G$8))</xm:f>
            <x14:dxf>
              <fill>
                <patternFill>
                  <bgColor theme="4" tint="0.39994506668294322"/>
                </patternFill>
              </fill>
            </x14:dxf>
          </x14:cfRule>
          <xm:sqref>H54:J54</xm:sqref>
        </x14:conditionalFormatting>
        <x14:conditionalFormatting xmlns:xm="http://schemas.microsoft.com/office/excel/2006/main">
          <x14:cfRule type="expression" priority="78" id="{FB555CCA-9771-4BF5-A442-A6C10A9091A5}">
            <xm:f>AND(NOT(ISBLANK($H$65)),OR($H$58=Defaults!$G$3,$H$58=Defaults!$G$5,$H$58=Defaults!$G$6,$H$58=Defaults!$G$8))</xm:f>
            <x14:dxf>
              <fill>
                <patternFill>
                  <bgColor theme="4" tint="0.39994506668294322"/>
                </patternFill>
              </fill>
            </x14:dxf>
          </x14:cfRule>
          <xm:sqref>H66:J66</xm:sqref>
        </x14:conditionalFormatting>
        <x14:conditionalFormatting xmlns:xm="http://schemas.microsoft.com/office/excel/2006/main">
          <x14:cfRule type="expression" priority="53" id="{8C91E1FF-CA00-4B38-A6D3-945F6413D3E3}">
            <xm:f>OR(E$28=Defaults!$M$2,E$28=Defaults!$M$4)</xm:f>
            <x14:dxf>
              <fill>
                <patternFill>
                  <bgColor theme="4" tint="0.59996337778862885"/>
                </patternFill>
              </fill>
            </x14:dxf>
          </x14:cfRule>
          <xm:sqref>I52 F52 L52</xm:sqref>
        </x14:conditionalFormatting>
        <x14:conditionalFormatting xmlns:xm="http://schemas.microsoft.com/office/excel/2006/main">
          <x14:cfRule type="expression" priority="93" id="{DECE9F96-B756-4870-85D6-DAEE6C5C95C0}">
            <xm:f>AND(OR(E$28=Defaults!$M$2,E$28=Defaults!$M$4),OR(E$46="Cut-A-Way",E$46="Heavy Rail",E$46="Light Rail",E$46="Over-Road Coach",E$46="Streetcar",E$46="Transit Bus",E$46="Van",E$46="DMU / EMU"))</xm:f>
            <x14:dxf>
              <fill>
                <patternFill>
                  <bgColor theme="9" tint="0.79998168889431442"/>
                </patternFill>
              </fill>
            </x14:dxf>
          </x14:cfRule>
          <xm:sqref>I53 F53 L53</xm:sqref>
        </x14:conditionalFormatting>
        <x14:conditionalFormatting xmlns:xm="http://schemas.microsoft.com/office/excel/2006/main">
          <x14:cfRule type="expression" priority="94" id="{8E95B913-5698-4D13-9503-7BC211CFD040}">
            <xm:f>AND(OR(E$28=Defaults!$M$2,E$28=Defaults!$M$4),OR(E$46="Ferry",E$46="Heavy Rail",E$46="Light Rail",E$46="Streetcar",E$46="DMU / EMU"))</xm:f>
            <x14:dxf>
              <fill>
                <patternFill>
                  <bgColor theme="9" tint="0.79998168889431442"/>
                </patternFill>
              </fill>
            </x14:dxf>
          </x14:cfRule>
          <xm:sqref>I54 L54 F54</xm:sqref>
        </x14:conditionalFormatting>
        <x14:conditionalFormatting xmlns:xm="http://schemas.microsoft.com/office/excel/2006/main">
          <x14:cfRule type="expression" priority="103" id="{3502E9F8-BC95-4C64-AF2E-4D38BE3164D3}">
            <xm:f>AND(OR(E$28=Defaults!$M$4, E$28=Defaults!$M$2),OR(E$58="Ferry",E$58="Heavy Rail",E$58="Light Rail",E$58="Streetcar",E$58="DMU / EMU"))</xm:f>
            <x14:dxf>
              <font>
                <b val="0"/>
                <i val="0"/>
              </font>
              <fill>
                <patternFill>
                  <bgColor theme="9" tint="0.79998168889431442"/>
                </patternFill>
              </fill>
            </x14:dxf>
          </x14:cfRule>
          <xm:sqref>I66 L66 F66</xm:sqref>
        </x14:conditionalFormatting>
        <x14:conditionalFormatting xmlns:xm="http://schemas.microsoft.com/office/excel/2006/main">
          <x14:cfRule type="expression" priority="57" id="{076A5253-3D86-4DE7-B2AC-A8A55745038B}">
            <xm:f>OR(E$28=Defaults!$M$2, E$28=Defaults!$M$3)</xm:f>
            <x14:dxf>
              <fill>
                <patternFill>
                  <bgColor theme="4" tint="0.59996337778862885"/>
                </patternFill>
              </fill>
            </x14:dxf>
          </x14:cfRule>
          <xm:sqref>I78:I81 F78:F81 L78:L81</xm:sqref>
        </x14:conditionalFormatting>
        <x14:conditionalFormatting xmlns:xm="http://schemas.microsoft.com/office/excel/2006/main">
          <x14:cfRule type="expression" priority="51" id="{761516A6-4420-47A1-8A79-34F9A01DA19C}">
            <xm:f>AND(OR(E$28=Defaults!$M$2,E$28=Defaults!$M$4),OR(E$46="Ferry",E$46="Heavy Rail",E$46="Light Rail",E$46="Streetcar",E$46="DMU / EMU"))</xm:f>
            <x14:dxf>
              <fill>
                <patternFill>
                  <bgColor theme="9" tint="0.79998168889431442"/>
                </patternFill>
              </fill>
            </x14:dxf>
          </x14:cfRule>
          <xm:sqref>J54 G54 M54</xm:sqref>
        </x14:conditionalFormatting>
        <x14:conditionalFormatting xmlns:xm="http://schemas.microsoft.com/office/excel/2006/main">
          <x14:cfRule type="expression" priority="26" id="{4CB984F7-3B42-409A-8027-6D0174E54F46}">
            <xm:f>H$28=Defaults!$M$4</xm:f>
            <x14:dxf>
              <fill>
                <patternFill>
                  <bgColor theme="9" tint="0.79998168889431442"/>
                </patternFill>
              </fill>
            </x14:dxf>
          </x14:cfRule>
          <xm:sqref>J58 M58</xm:sqref>
        </x14:conditionalFormatting>
        <x14:conditionalFormatting xmlns:xm="http://schemas.microsoft.com/office/excel/2006/main">
          <x14:cfRule type="expression" priority="17" id="{EB352D16-90A6-4459-BB80-0E5C0B53EA9B}">
            <xm:f>AND(NOT(ISBLANK($E$66)),OR($E$58=Defaults!$G$3,$E$58=Defaults!$G$5,$E$58=Defaults!$G$6,$E$58=Defaults!$G$8))</xm:f>
            <x14:dxf>
              <fill>
                <patternFill>
                  <bgColor theme="4" tint="0.59996337778862885"/>
                </patternFill>
              </fill>
            </x14:dxf>
          </x14:cfRule>
          <x14:cfRule type="expression" priority="18" id="{C5937293-436F-4751-B604-842CA172973B}">
            <xm:f>AND(OR(H$28=Defaults!$M$4, H$28=Defaults!$M$2),OR(H$58="Cut-A-Way",H$58="Heavy Rail",H$58="Light Rail",H$58="Over-Road Coach",H$58="Streetcar",H$58="Transit Bus",H$58="Van",H$58="DMU / EMU"))</xm:f>
            <x14:dxf>
              <fill>
                <patternFill>
                  <bgColor theme="9" tint="0.79998168889431442"/>
                </patternFill>
              </fill>
            </x14:dxf>
          </x14:cfRule>
          <xm:sqref>J65 M65</xm:sqref>
        </x14:conditionalFormatting>
        <x14:conditionalFormatting xmlns:xm="http://schemas.microsoft.com/office/excel/2006/main">
          <x14:cfRule type="expression" priority="90" id="{ADC7FC91-653F-43CC-9CDB-B636F6CD5CF6}">
            <xm:f>OR(E$28=Defaults!$M$4)</xm:f>
            <x14:dxf>
              <fill>
                <patternFill>
                  <bgColor theme="9" tint="0.79998168889431442"/>
                </patternFill>
              </fill>
            </x14:dxf>
          </x14:cfRule>
          <xm:sqref>K47:K48 H47:H48 E47:E48</xm:sqref>
        </x14:conditionalFormatting>
        <x14:conditionalFormatting xmlns:xm="http://schemas.microsoft.com/office/excel/2006/main">
          <x14:cfRule type="expression" priority="62" id="{4B167C68-2FB1-4F0D-8B93-8F918D4061D7}">
            <xm:f>NOT(OR($K$46=Defaults!$G$3,$K$46=Defaults!$G$4))</xm:f>
            <x14:dxf>
              <font>
                <color rgb="FFFF0000"/>
              </font>
              <fill>
                <patternFill>
                  <bgColor theme="1"/>
                </patternFill>
              </fill>
            </x14:dxf>
          </x14:cfRule>
          <xm:sqref>K48</xm:sqref>
        </x14:conditionalFormatting>
        <x14:conditionalFormatting xmlns:xm="http://schemas.microsoft.com/office/excel/2006/main">
          <x14:cfRule type="expression" priority="47" id="{215CB345-090C-4C6A-806C-18787A5F11E6}">
            <xm:f>K$28=Defaults!$M$4</xm:f>
            <x14:dxf>
              <fill>
                <patternFill>
                  <bgColor theme="9" tint="0.79998168889431442"/>
                </patternFill>
              </fill>
            </x14:dxf>
          </x14:cfRule>
          <xm:sqref>K58</xm:sqref>
        </x14:conditionalFormatting>
        <x14:conditionalFormatting xmlns:xm="http://schemas.microsoft.com/office/excel/2006/main">
          <x14:cfRule type="expression" priority="89" id="{EE9578B3-348E-41DE-95DD-99DB19836039}">
            <xm:f>OR(E$28=Defaults!$M$4)</xm:f>
            <x14:dxf>
              <fill>
                <patternFill>
                  <bgColor theme="9" tint="0.79998168889431442"/>
                </patternFill>
              </fill>
            </x14:dxf>
          </x14:cfRule>
          <xm:sqref>K59:K60 E59:E60 H59:H60</xm:sqref>
        </x14:conditionalFormatting>
        <x14:conditionalFormatting xmlns:xm="http://schemas.microsoft.com/office/excel/2006/main">
          <x14:cfRule type="expression" priority="65" id="{754B7B93-EEA3-4F16-AEE9-957C0C99F5C5}">
            <xm:f>NOT(OR($K$58=Defaults!$G$3,$K$58=Defaults!$G$4))</xm:f>
            <x14:dxf>
              <font>
                <color rgb="FFFF0000"/>
              </font>
              <fill>
                <patternFill>
                  <bgColor theme="1"/>
                </patternFill>
              </fill>
            </x14:dxf>
          </x14:cfRule>
          <xm:sqref>K60</xm:sqref>
        </x14:conditionalFormatting>
        <x14:conditionalFormatting xmlns:xm="http://schemas.microsoft.com/office/excel/2006/main">
          <x14:cfRule type="expression" priority="50" id="{58083574-0C71-4CA9-8474-D9AD2677CD4C}">
            <xm:f>OR(E$28=Defaults!$M$4, AND(NOT(ISBLANK(E$58)),E$28=Defaults!$M$2))</xm:f>
            <x14:dxf>
              <fill>
                <patternFill>
                  <bgColor theme="4" tint="0.59996337778862885"/>
                </patternFill>
              </fill>
            </x14:dxf>
          </x14:cfRule>
          <xm:sqref>K64 H64 E64</xm:sqref>
        </x14:conditionalFormatting>
        <x14:conditionalFormatting xmlns:xm="http://schemas.microsoft.com/office/excel/2006/main">
          <x14:cfRule type="expression" priority="101" id="{E5859F39-18C1-4C38-87A3-5FA1FFF60483}">
            <xm:f>AND(OR(E$28=Defaults!$M$4, E$28=Defaults!$M$2),OR(E$58="Cut-A-Way",E$58="Heavy Rail",E$58="Light Rail",E$58="Over-Road Coach",E$58="Streetcar",E$58="Transit Bus",E$58="Van",E$58="DMU / EMU"))</xm:f>
            <x14:dxf>
              <fill>
                <patternFill>
                  <bgColor theme="9" tint="0.79998168889431442"/>
                </patternFill>
              </fill>
            </x14:dxf>
          </x14:cfRule>
          <xm:sqref>K65 H65 E65</xm:sqref>
        </x14:conditionalFormatting>
        <x14:conditionalFormatting xmlns:xm="http://schemas.microsoft.com/office/excel/2006/main">
          <x14:cfRule type="expression" priority="64" id="{205B19A8-F49E-4601-AA71-98E1D6CAB01C}">
            <xm:f>NOT(OR($K$69=Defaults!$G$3,$K$69=Defaults!$G$4))</xm:f>
            <x14:dxf>
              <font>
                <color rgb="FFFF0000"/>
              </font>
              <fill>
                <patternFill>
                  <bgColor theme="1"/>
                </patternFill>
              </fill>
            </x14:dxf>
          </x14:cfRule>
          <xm:sqref>K71</xm:sqref>
        </x14:conditionalFormatting>
        <x14:conditionalFormatting xmlns:xm="http://schemas.microsoft.com/office/excel/2006/main">
          <x14:cfRule type="expression" priority="75" id="{901628FE-5EE1-40E2-BE30-EA66790C6DE7}">
            <xm:f>AND(NOT(ISBLANK($K$53)),OR($K$46=Defaults!$G$3,$K$46=Defaults!$G$5,$K$46=Defaults!$G$6,$K$46=Defaults!$G$8))</xm:f>
            <x14:dxf>
              <fill>
                <patternFill>
                  <bgColor theme="4" tint="0.39994506668294322"/>
                </patternFill>
              </fill>
            </x14:dxf>
          </x14:cfRule>
          <xm:sqref>K54:L54</xm:sqref>
        </x14:conditionalFormatting>
        <x14:conditionalFormatting xmlns:xm="http://schemas.microsoft.com/office/excel/2006/main">
          <x14:cfRule type="expression" priority="96" id="{702447CE-6940-4103-B0C3-7A24D33CE3D3}">
            <xm:f>E$28=Defaults!$M$2</xm:f>
            <x14:dxf>
              <fill>
                <patternFill>
                  <bgColor theme="4" tint="0.59996337778862885"/>
                </patternFill>
              </fill>
            </x14:dxf>
          </x14:cfRule>
          <xm:sqref>K58:L58 E58:F58 H58:I58</xm:sqref>
        </x14:conditionalFormatting>
        <x14:conditionalFormatting xmlns:xm="http://schemas.microsoft.com/office/excel/2006/main">
          <x14:cfRule type="expression" priority="98" id="{F9C61813-99DC-4769-BCDB-8DE6EBD1F018}">
            <xm:f>OR(E$28=Defaults!$M$4, AND(NOT(ISBLANK(E$58)),E$28=Defaults!$M$2))</xm:f>
            <x14:dxf>
              <fill>
                <patternFill>
                  <bgColor theme="9" tint="0.79998168889431442"/>
                </patternFill>
              </fill>
            </x14:dxf>
          </x14:cfRule>
          <xm:sqref>K61:L62 H61:I62 E61:F62</xm:sqref>
        </x14:conditionalFormatting>
        <x14:conditionalFormatting xmlns:xm="http://schemas.microsoft.com/office/excel/2006/main">
          <x14:cfRule type="expression" priority="100" id="{E3B8A932-A32F-44B8-9FCA-F8386C4A2083}">
            <xm:f>AND(OR(E$28=Defaults!$M$4,E$28=Defaults!$M$2),OR(E$58="Cut-A-Way",E$58="Over-Road Coach",E$58="Transit Bus",E$58="Van",E$58="DMU / EMU"))</xm:f>
            <x14:dxf>
              <fill>
                <patternFill>
                  <bgColor theme="9" tint="0.79998168889431442"/>
                </patternFill>
              </fill>
            </x14:dxf>
          </x14:cfRule>
          <xm:sqref>K63:L63 H63:I63 E63:F63</xm:sqref>
        </x14:conditionalFormatting>
        <x14:conditionalFormatting xmlns:xm="http://schemas.microsoft.com/office/excel/2006/main">
          <x14:cfRule type="expression" priority="95" id="{40441DA8-D24C-46F8-8DE8-397FE9138DF0}">
            <xm:f>OR(E$28=Defaults!$M$5)</xm:f>
            <x14:dxf>
              <fill>
                <patternFill>
                  <bgColor theme="9" tint="0.79998168889431442"/>
                </patternFill>
              </fill>
            </x14:dxf>
          </x14:cfRule>
          <xm:sqref>K69:L69 E69:F69 H69:I69</xm:sqref>
        </x14:conditionalFormatting>
        <x14:conditionalFormatting xmlns:xm="http://schemas.microsoft.com/office/excel/2006/main">
          <x14:cfRule type="expression" priority="99" id="{E411E0D0-DB4C-4A04-B108-5FD2757AC9CD}">
            <xm:f>OR(E$28=Defaults!$M$5, NOT(ISBLANK(E$69)))</xm:f>
            <x14:dxf>
              <fill>
                <patternFill>
                  <bgColor theme="9" tint="0.79998168889431442"/>
                </patternFill>
              </fill>
            </x14:dxf>
          </x14:cfRule>
          <xm:sqref>K72:L72 E72:F72 H72:I72</xm:sqref>
        </x14:conditionalFormatting>
        <x14:conditionalFormatting xmlns:xm="http://schemas.microsoft.com/office/excel/2006/main">
          <x14:cfRule type="expression" priority="70" id="{D88F8D5D-E86D-4513-97F6-EC38615BD1DE}">
            <xm:f>AND(NOT(ISBLANK($K$65)),OR($K$58=Defaults!$G$3,$K$58=Defaults!$G$5,$K$58=Defaults!$G$6,$K$58=Defaults!$G$8))</xm:f>
            <x14:dxf>
              <fill>
                <patternFill>
                  <bgColor theme="4" tint="0.39994506668294322"/>
                </patternFill>
              </fill>
            </x14:dxf>
          </x14:cfRule>
          <xm:sqref>K66:M66</xm:sqref>
        </x14:conditionalFormatting>
        <x14:conditionalFormatting xmlns:xm="http://schemas.microsoft.com/office/excel/2006/main">
          <x14:cfRule type="expression" priority="49" id="{A86742C4-84D1-4EEC-B887-01811BFB4918}">
            <xm:f>OR(E$28=Defaults!$M$4, AND(NOT(ISBLANK(E$58)),E$28=Defaults!$M$2))</xm:f>
            <x14:dxf>
              <fill>
                <patternFill>
                  <bgColor theme="4" tint="0.59996337778862885"/>
                </patternFill>
              </fill>
            </x14:dxf>
          </x14:cfRule>
          <xm:sqref>L64 I64 F64</xm:sqref>
        </x14:conditionalFormatting>
        <x14:conditionalFormatting xmlns:xm="http://schemas.microsoft.com/office/excel/2006/main">
          <x14:cfRule type="expression" priority="104" id="{B53E81B0-EC93-4502-B52F-59B0CEF5DB35}">
            <xm:f>AND(OR(E$28=Defaults!$M$4, E$28=Defaults!$M$2),OR(E$58="Cut-A-Way",E$58="Heavy Rail",E$58="Light Rail",E$58="Over-Road Coach",E$58="Streetcar",E$58="Transit Bus",E$58="Van",E$58="DMU / EMU"))</xm:f>
            <x14:dxf>
              <font>
                <b val="0"/>
                <i val="0"/>
              </font>
              <fill>
                <patternFill>
                  <bgColor theme="9" tint="0.79998168889431442"/>
                </patternFill>
              </fill>
            </x14:dxf>
          </x14:cfRule>
          <xm:sqref>L65 I65 F65</xm:sqref>
        </x14:conditionalFormatting>
        <x14:conditionalFormatting xmlns:xm="http://schemas.microsoft.com/office/excel/2006/main">
          <x14:cfRule type="expression" priority="97" id="{D42E24BB-7E85-46E5-A153-E692699B397C}">
            <xm:f>E$28=Defaults!$M$3</xm:f>
            <x14:dxf>
              <fill>
                <patternFill>
                  <bgColor theme="4" tint="0.59996337778862885"/>
                </patternFill>
              </fill>
            </x14:dxf>
          </x14:cfRule>
          <xm:sqref>L77:L78 I77:I78 F77:F78</xm:sqref>
        </x14:conditionalFormatting>
      </x14:conditionalFormattings>
    </ext>
    <ext xmlns:x14="http://schemas.microsoft.com/office/spreadsheetml/2009/9/main" uri="{CCE6A557-97BC-4b89-ADB6-D9C93CAAB3DF}">
      <x14:dataValidations xmlns:xm="http://schemas.microsoft.com/office/excel/2006/main" count="31">
        <x14:dataValidation type="list" allowBlank="1" showInputMessage="1" showErrorMessage="1" promptTitle="Note:" prompt="Selection locks after hybrid is identified" xr:uid="{0196A55D-CD2C-4898-81C2-E5B56D3060D7}">
          <x14:formula1>
            <xm:f>IF($K$50="",IF($K$46=Defaults!$G$4,Defaults!$I$14:$I$23,IF(OR($K$46=Defaults!$G$6,$K$46=Defaults!$G$8),Defaults!$I$38:$I$39,fuel)),"")</xm:f>
          </x14:formula1>
          <xm:sqref>K49</xm:sqref>
        </x14:dataValidation>
        <x14:dataValidation type="list" allowBlank="1" showInputMessage="1" showErrorMessage="1" xr:uid="{9C610A82-3B8A-4184-8CF9-9DCB79B2A6A4}">
          <x14:formula1>
            <xm:f>IF($E$69=Defaults!$G$4,Defaults!$I$14:$I$23,IF(OR($E$69=Defaults!$G$6,$E$69=Defaults!$G$8),Defaults!$I$37,fuel))</xm:f>
          </x14:formula1>
          <xm:sqref>E72</xm:sqref>
        </x14:dataValidation>
        <x14:dataValidation type="list" allowBlank="1" showInputMessage="1" showErrorMessage="1" xr:uid="{51B99779-19B3-429E-96A9-E3E9095F3E2D}">
          <x14:formula1>
            <xm:f>IF($H$69=Defaults!$G$4,Defaults!$I$14:$I$23,IF(OR($H$69=Defaults!$G$6,$H$69=Defaults!$G$8),Defaults!$I$37,fuel))</xm:f>
          </x14:formula1>
          <xm:sqref>H72</xm:sqref>
        </x14:dataValidation>
        <x14:dataValidation type="list" allowBlank="1" showInputMessage="1" showErrorMessage="1" xr:uid="{4690846A-3219-445C-9C1F-5E61FDCCEA6B}">
          <x14:formula1>
            <xm:f>IF($K$69=Defaults!$G$4,Defaults!$I$14:$I$23,IF(OR($K$69=Defaults!$G$6,$K$69=Defaults!$G$8),Defaults!$I$37,fuel))</xm:f>
          </x14:formula1>
          <xm:sqref>K72</xm:sqref>
        </x14:dataValidation>
        <x14:dataValidation type="list" allowBlank="1" showInputMessage="1" showErrorMessage="1" xr:uid="{DBE39B2A-209E-4D84-8378-6CE853261A70}">
          <x14:formula1>
            <xm:f>IF($E$58=Defaults!$G$4,Defaults!$I$13:$I$21,IF(OR($E$58=Defaults!$G$6,$E$58=Defaults!$G$8),Defaults!$I$37:$I$38,fuel))</xm:f>
          </x14:formula1>
          <xm:sqref>E61</xm:sqref>
        </x14:dataValidation>
        <x14:dataValidation type="list" allowBlank="1" showInputMessage="1" showErrorMessage="1" xr:uid="{F6115ABC-86F0-489F-9069-1BE68690A7C1}">
          <x14:formula1>
            <xm:f>IF($H$58=Defaults!$G$4,Defaults!$I$14:$I$23,IF(OR($H$58=Defaults!$G$6,$H$58=Defaults!$G$8),Defaults!$I$38:$I$39,fuel))</xm:f>
          </x14:formula1>
          <xm:sqref>H61</xm:sqref>
        </x14:dataValidation>
        <x14:dataValidation type="list" allowBlank="1" showInputMessage="1" showErrorMessage="1" xr:uid="{0C5AA82E-790A-46E4-ADFC-F1178B78DAE3}">
          <x14:formula1>
            <xm:f>IF($K$58=Defaults!$G$4,Defaults!$I$14:$I$23,IF(OR($K$58=Defaults!$G$6,$K$58=Defaults!$G$8),Defaults!$I$38:$I$39,fuel))</xm:f>
          </x14:formula1>
          <xm:sqref>K61</xm:sqref>
        </x14:dataValidation>
        <x14:dataValidation type="list" allowBlank="1" showInputMessage="1" showErrorMessage="1" promptTitle="Note:" prompt="Selection locks after hybrid is identified" xr:uid="{5D10F0EC-351C-4932-B61D-9AA811166B5B}">
          <x14:formula1>
            <xm:f>IF($E$50="",IF($E$46=Defaults!$G$4,Defaults!$I$14:$I$23,IF(OR($E$46=Defaults!$G$6,$E$46=Defaults!$G$8),Defaults!$I$37:$I$38,fuel)),"")</xm:f>
          </x14:formula1>
          <xm:sqref>E49</xm:sqref>
        </x14:dataValidation>
        <x14:dataValidation type="list" allowBlank="1" showInputMessage="1" showErrorMessage="1" promptTitle="Note:" prompt="Selection locks after hybrid is identified" xr:uid="{72AA5887-9064-414D-ACA4-03A762FC10D2}">
          <x14:formula1>
            <xm:f>IF($H$50="",IF($H$46=Defaults!$G$4,Defaults!$I$14:$I$23,IF(OR($H$46=Defaults!$G$6,$H$46=Defaults!$G$8),Defaults!$I$38:$I$39,fuel)),"")</xm:f>
          </x14:formula1>
          <xm:sqref>H49</xm:sqref>
        </x14:dataValidation>
        <x14:dataValidation type="list" allowBlank="1" showInputMessage="1" showErrorMessage="1" xr:uid="{6B916737-7BDC-40EC-85A8-F2B4922C6750}">
          <x14:formula1>
            <xm:f>IF(OR($E$49=Defaults!$I$5,$E$49=Defaults!$I$7,$E$49=Defaults!$I$11),Defaults!$G$15,yesno)</xm:f>
          </x14:formula1>
          <xm:sqref>E50</xm:sqref>
        </x14:dataValidation>
        <x14:dataValidation type="list" allowBlank="1" showInputMessage="1" showErrorMessage="1" xr:uid="{ABBF40CE-CE92-46C1-94B7-1E805F458A5D}">
          <x14:formula1>
            <xm:f>IF(OR($H$49=Defaults!$I$5,$H$49=Defaults!$I$7,$H$49=Defaults!$I$11),Defaults!$G$15,yesno)</xm:f>
          </x14:formula1>
          <xm:sqref>H50</xm:sqref>
        </x14:dataValidation>
        <x14:dataValidation type="list" allowBlank="1" showInputMessage="1" showErrorMessage="1" xr:uid="{D601EA2F-B5CE-4BE1-9A4D-89860AC5D19C}">
          <x14:formula1>
            <xm:f>IF(OR($K$49=Defaults!$I$5,$K$49=Defaults!$I$7,$K$49=Defaults!$I$11),Defaults!$G$15,yesno)</xm:f>
          </x14:formula1>
          <xm:sqref>K50</xm:sqref>
        </x14:dataValidation>
        <x14:dataValidation type="list" allowBlank="1" showInputMessage="1" showErrorMessage="1" xr:uid="{C2539A7D-B59F-48AF-83B2-6D061F160743}">
          <x14:formula1>
            <xm:f>IF(OR($E$61=Defaults!$I$5,$E$61=Defaults!$I$7,$E$61=Defaults!$I$11),Defaults!$G$15,yesno)</xm:f>
          </x14:formula1>
          <xm:sqref>E62</xm:sqref>
        </x14:dataValidation>
        <x14:dataValidation type="list" allowBlank="1" showInputMessage="1" showErrorMessage="1" xr:uid="{6044808F-267D-4125-80E1-8C75ECDA98D9}">
          <x14:formula1>
            <xm:f>IF(OR($H$61=Defaults!$I$5,$H$61=Defaults!$I$7,$H$61=Defaults!$I$11),Defaults!$G$15,yesno)</xm:f>
          </x14:formula1>
          <xm:sqref>H62</xm:sqref>
        </x14:dataValidation>
        <x14:dataValidation type="list" allowBlank="1" showInputMessage="1" showErrorMessage="1" xr:uid="{B44E152D-7AE9-4848-93C4-1E830153434E}">
          <x14:formula1>
            <xm:f>IF(OR($K$61=Defaults!$I$5,$K$61=Defaults!$I$7,$K$61=Defaults!$I$11),Defaults!$G$15,yesno)</xm:f>
          </x14:formula1>
          <xm:sqref>K62</xm:sqref>
        </x14:dataValidation>
        <x14:dataValidation type="list" allowBlank="1" showInputMessage="1" showErrorMessage="1" xr:uid="{5A7C0A20-DC7F-40C6-ADEA-D1F595A084C6}">
          <x14:formula1>
            <xm:f>Defaults!$N$2:$N$18</xm:f>
          </x14:formula1>
          <xm:sqref>K20:L20 E23:F23 H23:I23 H20:I20 K23:L23</xm:sqref>
        </x14:dataValidation>
        <x14:dataValidation type="list" allowBlank="1" showInputMessage="1" showErrorMessage="1" promptTitle="Leave blank if," prompt="No additional GGRF funding has or will be requested from another CCI Program for this project." xr:uid="{77F773BC-769A-4F47-95DA-94136E54BFCF}">
          <x14:formula1>
            <xm:f>Defaults!$N$2:$N$18</xm:f>
          </x14:formula1>
          <xm:sqref>E20:F20</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478B8518-BC63-4D59-80D8-B96792D4023C}">
          <x14:formula1>
            <xm:f>IF(OR($H$28=Defaults!$M$2,$H$28=Defaults!$M$3),AND(H40&gt;0)," ")</xm:f>
          </x14:formula1>
          <xm:sqref>H40</xm:sqref>
        </x14:dataValidation>
        <x14:dataValidation type="custom" allowBlank="1" showInputMessage="1" showErrorMessage="1" errorTitle="Invalid Input:" error="Value must be greater than 0." xr:uid="{84399285-698C-49E6-995A-8D92DBC12F45}">
          <x14:formula1>
            <xm:f>IF(OR(H$28=Defaults!$M$2,H$28=Defaults!$M$3),H37&gt;=0," ")</xm:f>
          </x14:formula1>
          <xm:sqref>H37 K37</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D6C79864-4548-4FA7-927A-26F647A0DCAB}">
          <x14:formula1>
            <xm:f>IF(OR($E$28=Defaults!$M$2,$E$28=Defaults!$M$3),AND(E40&gt;0)," ")</xm:f>
          </x14:formula1>
          <xm:sqref>E40</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6A68A4BA-1F97-4751-847C-B24064CBAD92}">
          <x14:formula1>
            <xm:f>IF(OR($E$28=Defaults!$M$2,$E$28=Defaults!$M$3),AND(E39&gt;=0, E39&lt;=1)," ")</xm:f>
          </x14:formula1>
          <xm:sqref>E39</xm:sqref>
        </x14:dataValidation>
        <x14:dataValidation type="custom" operator="greaterThan" allowBlank="1" showInputMessage="1" showErrorMessage="1" xr:uid="{F4A58BF6-41DD-4C8A-94A2-D43E1E5F4D33}">
          <x14:formula1>
            <xm:f>IF(OR(E$28=Defaults!$M$2,E$28=Defaults!$M$3),E37&gt;=0," ")</xm:f>
          </x14:formula1>
          <xm:sqref>E37</xm:sqref>
        </x14:dataValidation>
        <x14:dataValidation type="list" allowBlank="1" showInputMessage="1" showErrorMessage="1" xr:uid="{F785438F-5A6D-4C99-BB3C-3FA04BA032EC}">
          <x14:formula1>
            <xm:f>Defaults!$F$2:$F$9</xm:f>
          </x14:formula1>
          <xm:sqref>E29:F29 H29:I29 K29:L29</xm:sqref>
        </x14:dataValidation>
        <x14:dataValidation type="list" allowBlank="1" showInputMessage="1" showErrorMessage="1" xr:uid="{69D58F03-B33E-4775-8C1F-E3BD03DC100A}">
          <x14:formula1>
            <xm:f>OFFSET(Defaults!$B$2,$K$32-2015,0,IF(2080-$K$32&lt;50,2080-$K$32,50))</xm:f>
          </x14:formula1>
          <xm:sqref>K33</xm:sqref>
        </x14:dataValidation>
        <x14:dataValidation type="custom" allowBlank="1" showInputMessage="1" showErrorMessage="1" promptTitle="If unknown, use look up tables:" prompt="Quantification Methodlogy Appendix C includes look up tables by agency by mode, Table C-1, and by statewide average by mode, Table C-2." xr:uid="{46C37B62-C20C-4C35-82EF-FDD4C7437009}">
          <x14:formula1>
            <xm:f>IF(OR(E$28=Defaults!$M$2,E$28=Defaults!$M$3),E41&gt;0," ")</xm:f>
          </x14:formula1>
          <xm:sqref>E41</xm:sqref>
        </x14:dataValidation>
        <x14:dataValidation type="list" allowBlank="1" showInputMessage="1" showErrorMessage="1" xr:uid="{01BDE430-9910-4A8D-8FAB-1559A7F48708}">
          <x14:formula1>
            <xm:f>OFFSET(Defaults!$B$2,$E$32-2015,0,IF(2080-$E$32&lt;50,2080-$E$32,50))</xm:f>
          </x14:formula1>
          <xm:sqref>E33</xm:sqref>
        </x14:dataValidation>
        <x14:dataValidation type="list" allowBlank="1" showInputMessage="1" showErrorMessage="1" xr:uid="{0022191F-27EA-4643-AB9C-C8E025814673}">
          <x14:formula1>
            <xm:f>OFFSET(Defaults!$B$2,$H$32-2015,0,IF(2080-$H$32&lt;50,2080-$H$32,50))</xm:f>
          </x14:formula1>
          <xm:sqref>H33</xm:sqref>
        </x14:dataValidation>
        <x14:dataValidation type="list" allowBlank="1" showInputMessage="1" showErrorMessage="1" xr:uid="{42FBBD9B-8B5C-4F6C-9143-B0964DFCB987}">
          <x14:formula1>
            <xm:f>'Rail C&amp;T EF'!$A$15:$A$22</xm:f>
          </x14:formula1>
          <xm:sqref>E59 H70 E70 K59 K47 H59 E47 H47 K70</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7631B0F3-2C9A-4A2F-8463-6EB35C29398C}">
          <x14:formula1>
            <xm:f>IF(OR($K$28=Defaults!$M$2,$K$28=Defaults!$M$3),AND(K40&gt;0)," ")</xm:f>
          </x14:formula1>
          <xm:sqref>K40</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FEF92210-863E-4D59-A7B7-7D121FF0811C}">
          <x14:formula1>
            <xm:f>IF(OR(H$28=Defaults!$M$2,H$28=Defaults!$M$3),AND(H39&gt;=0, H39&lt;=1)," ")</xm:f>
          </x14:formula1>
          <xm:sqref>K39 H39</xm:sqref>
        </x14:dataValidation>
        <x14:dataValidation type="custom" operator="greaterThan" allowBlank="1" showInputMessage="1" showErrorMessage="1" errorTitle="Invalid Input:" error="Value must be greater than 0." xr:uid="{0B650580-7696-4E2C-901E-4C7768DA9821}">
          <x14:formula1>
            <xm:f>IF(OR(E$28=Defaults!$M$2,E$28=Defaults!$M$3),E38&gt;0," ")</xm:f>
          </x14:formula1>
          <xm:sqref>H38 E38 K38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EE5E2-1598-48EB-A3C1-628C68A5BE3D}">
  <sheetPr>
    <tabColor theme="9" tint="0.79998168889431442"/>
  </sheetPr>
  <dimension ref="A1:AJ109"/>
  <sheetViews>
    <sheetView showGridLines="0" topLeftCell="B1" zoomScaleNormal="100" zoomScaleSheetLayoutView="55" workbookViewId="0">
      <selection activeCell="B8" sqref="B8:B9"/>
    </sheetView>
  </sheetViews>
  <sheetFormatPr defaultColWidth="9.08984375" defaultRowHeight="14" x14ac:dyDescent="0.3"/>
  <cols>
    <col min="1" max="1" width="2.90625" style="466" hidden="1" customWidth="1"/>
    <col min="2" max="2" width="24.453125" style="466" customWidth="1"/>
    <col min="3" max="3" width="63.453125" style="466" customWidth="1"/>
    <col min="4" max="4" width="20.08984375" style="466" hidden="1" customWidth="1"/>
    <col min="5" max="5" width="35.453125" style="466" customWidth="1"/>
    <col min="6" max="6" width="35.453125" style="466" hidden="1" customWidth="1"/>
    <col min="7" max="7" width="11.453125" style="466" customWidth="1"/>
    <col min="8" max="8" width="35.453125" style="466" customWidth="1"/>
    <col min="9" max="9" width="35.453125" style="466" hidden="1" customWidth="1"/>
    <col min="10" max="10" width="11.453125" style="466" customWidth="1"/>
    <col min="11" max="11" width="35.453125" style="466" customWidth="1"/>
    <col min="12" max="12" width="35.453125" style="466" hidden="1" customWidth="1"/>
    <col min="13" max="13" width="11.453125" style="466" customWidth="1"/>
    <col min="14" max="14" width="9.453125" style="466" customWidth="1"/>
    <col min="15" max="18" width="26.90625" style="466" hidden="1" customWidth="1"/>
    <col min="19" max="19" width="9.08984375" style="466"/>
    <col min="20" max="20" width="24.453125" style="466" customWidth="1"/>
    <col min="21" max="16384" width="9.08984375" style="466"/>
  </cols>
  <sheetData>
    <row r="1" spans="2:36" s="412" customFormat="1" ht="20.5" x14ac:dyDescent="0.45">
      <c r="E1" s="413"/>
      <c r="V1" s="461"/>
      <c r="W1" s="461"/>
      <c r="X1" s="461"/>
      <c r="Y1" s="461"/>
    </row>
    <row r="2" spans="2:36" s="412" customFormat="1" ht="20.5" x14ac:dyDescent="0.45">
      <c r="E2" s="413"/>
      <c r="I2" s="462"/>
      <c r="J2" s="462"/>
      <c r="N2" s="462"/>
      <c r="Q2" s="462"/>
      <c r="V2" s="461"/>
      <c r="W2" s="461"/>
      <c r="X2" s="461"/>
      <c r="Y2" s="461"/>
    </row>
    <row r="3" spans="2:36" s="412" customFormat="1" ht="21" thickBot="1" x14ac:dyDescent="0.5">
      <c r="E3" s="413"/>
      <c r="I3" s="462"/>
      <c r="J3" s="462"/>
      <c r="N3" s="462"/>
      <c r="Q3" s="462"/>
      <c r="V3" s="461"/>
      <c r="W3" s="461"/>
      <c r="X3" s="461"/>
      <c r="Y3" s="461"/>
    </row>
    <row r="4" spans="2:36" s="412" customFormat="1" ht="20.5" x14ac:dyDescent="0.45">
      <c r="E4" s="413"/>
      <c r="I4" s="462"/>
      <c r="J4" s="1543" t="s">
        <v>24</v>
      </c>
      <c r="K4" s="1545"/>
      <c r="L4" s="1549"/>
      <c r="N4" s="462"/>
      <c r="Q4" s="462"/>
      <c r="V4" s="461"/>
      <c r="W4" s="461"/>
      <c r="X4" s="461"/>
      <c r="Y4" s="461"/>
    </row>
    <row r="5" spans="2:36" s="412" customFormat="1" ht="20.5" x14ac:dyDescent="0.45">
      <c r="E5" s="413"/>
      <c r="J5" s="1544" t="s">
        <v>25</v>
      </c>
      <c r="K5" s="1546" t="s">
        <v>26</v>
      </c>
      <c r="L5" s="1550"/>
      <c r="V5" s="461"/>
      <c r="W5" s="461"/>
      <c r="X5" s="461"/>
      <c r="Y5" s="461"/>
    </row>
    <row r="6" spans="2:36" s="412" customFormat="1" ht="20.5" x14ac:dyDescent="0.45">
      <c r="B6" s="414"/>
      <c r="E6" s="413"/>
      <c r="J6" s="1553" t="s">
        <v>27</v>
      </c>
      <c r="K6" s="1547" t="s">
        <v>28</v>
      </c>
      <c r="L6" s="1549"/>
      <c r="V6" s="461"/>
      <c r="W6" s="461"/>
      <c r="X6" s="461"/>
      <c r="Y6" s="461"/>
    </row>
    <row r="7" spans="2:36" s="412" customFormat="1" ht="18" customHeight="1" x14ac:dyDescent="0.45">
      <c r="B7" s="488" t="s">
        <v>29</v>
      </c>
      <c r="C7" s="488"/>
      <c r="D7" s="488"/>
      <c r="E7" s="487"/>
      <c r="F7" s="487"/>
      <c r="G7" s="487"/>
      <c r="J7" s="1554" t="s">
        <v>30</v>
      </c>
      <c r="K7" s="1546" t="s">
        <v>31</v>
      </c>
      <c r="L7" s="1551"/>
      <c r="V7" s="461"/>
      <c r="W7" s="461"/>
      <c r="X7" s="461"/>
      <c r="Y7" s="461"/>
    </row>
    <row r="8" spans="2:36" s="412" customFormat="1" ht="18" customHeight="1" thickBot="1" x14ac:dyDescent="0.5">
      <c r="B8" s="1332" t="s">
        <v>6192</v>
      </c>
      <c r="C8" s="532"/>
      <c r="D8" s="532"/>
      <c r="E8" s="533"/>
      <c r="F8" s="533"/>
      <c r="G8" s="117"/>
      <c r="J8" s="1555" t="s">
        <v>32</v>
      </c>
      <c r="K8" s="1548" t="s">
        <v>33</v>
      </c>
      <c r="L8" s="1552"/>
      <c r="V8" s="461"/>
      <c r="W8" s="461"/>
      <c r="X8" s="461"/>
      <c r="Y8" s="461"/>
    </row>
    <row r="9" spans="2:36" s="412" customFormat="1" ht="18" customHeight="1" x14ac:dyDescent="0.45">
      <c r="B9" s="534" t="s">
        <v>6210</v>
      </c>
      <c r="C9" s="530"/>
      <c r="D9" s="530"/>
      <c r="E9" s="531"/>
      <c r="F9" s="531"/>
      <c r="G9" s="1510"/>
      <c r="V9" s="461"/>
      <c r="W9" s="461"/>
      <c r="X9" s="461"/>
      <c r="Y9" s="461"/>
    </row>
    <row r="10" spans="2:36" s="412" customFormat="1" ht="18" customHeight="1" x14ac:dyDescent="0.45">
      <c r="O10" s="725" t="s">
        <v>34</v>
      </c>
      <c r="P10" s="725"/>
      <c r="V10" s="461"/>
      <c r="W10" s="461"/>
      <c r="X10" s="461"/>
      <c r="Y10" s="461"/>
    </row>
    <row r="11" spans="2:36" s="117" customFormat="1" ht="36" customHeight="1" x14ac:dyDescent="0.45">
      <c r="B11" s="440" t="s">
        <v>35</v>
      </c>
      <c r="C11" s="1556" t="str">
        <f>IF('Project Info'!E13="","",'Project Info'!E13)</f>
        <v/>
      </c>
      <c r="D11" s="574"/>
      <c r="E11" s="575"/>
      <c r="F11" s="575"/>
      <c r="G11" s="791"/>
      <c r="H11" s="412"/>
      <c r="I11" s="412"/>
      <c r="J11" s="412"/>
      <c r="AI11" s="121"/>
      <c r="AJ11" s="121"/>
    </row>
    <row r="12" spans="2:36" s="117" customFormat="1" ht="20.5" x14ac:dyDescent="0.45">
      <c r="B12" s="790"/>
      <c r="C12" s="791"/>
      <c r="D12" s="791"/>
      <c r="E12" s="791"/>
      <c r="F12" s="791"/>
      <c r="G12" s="791"/>
      <c r="H12" s="412"/>
      <c r="I12" s="412"/>
      <c r="J12" s="412"/>
      <c r="O12" s="639" t="s">
        <v>36</v>
      </c>
      <c r="P12" s="639" t="s">
        <v>36</v>
      </c>
      <c r="Q12" s="639" t="s">
        <v>37</v>
      </c>
      <c r="R12" s="639" t="s">
        <v>37</v>
      </c>
      <c r="AI12" s="121"/>
      <c r="AJ12" s="121"/>
    </row>
    <row r="13" spans="2:36" s="463" customFormat="1" ht="18" customHeight="1" thickBot="1" x14ac:dyDescent="0.4">
      <c r="D13" s="724" t="s">
        <v>38</v>
      </c>
      <c r="E13" s="647"/>
      <c r="F13" s="647"/>
      <c r="G13" s="647"/>
      <c r="H13" s="648"/>
      <c r="I13" s="648"/>
      <c r="J13" s="648"/>
      <c r="K13" s="648"/>
      <c r="L13" s="648"/>
      <c r="M13" s="638"/>
      <c r="O13" s="794" t="s">
        <v>39</v>
      </c>
      <c r="P13" s="794"/>
      <c r="Q13" s="794" t="s">
        <v>39</v>
      </c>
      <c r="R13" s="795"/>
    </row>
    <row r="14" spans="2:36" ht="16" thickBot="1" x14ac:dyDescent="0.35">
      <c r="B14" s="464" t="s">
        <v>40</v>
      </c>
      <c r="C14" s="465" t="s">
        <v>41</v>
      </c>
      <c r="D14" s="646" t="s">
        <v>42</v>
      </c>
      <c r="E14" s="649" t="str">
        <f ca="1">MID(CELL("filename",B1),FIND("]",CELL("filename",B1))+1,255)&amp;": Subcomponent 1"</f>
        <v>Quantifiable Component 6: Subcomponent 1</v>
      </c>
      <c r="F14" s="1468"/>
      <c r="G14" s="650"/>
      <c r="H14" s="649" t="str">
        <f ca="1">MID(CELL("filename",B1),FIND("]",CELL("filename",B1))+1,255)&amp;": Subcomponent 2"</f>
        <v>Quantifiable Component 6: Subcomponent 2</v>
      </c>
      <c r="I14" s="1481"/>
      <c r="J14" s="651"/>
      <c r="K14" s="649" t="str">
        <f ca="1">MID(CELL("filename",B1),FIND("]",CELL("filename",B1))+1,255)&amp;": Subcomponent 3"</f>
        <v>Quantifiable Component 6: Subcomponent 3</v>
      </c>
      <c r="L14" s="1501"/>
      <c r="M14" s="1504"/>
      <c r="O14" s="792" t="s">
        <v>43</v>
      </c>
      <c r="P14" s="792"/>
      <c r="Q14" s="793"/>
      <c r="R14" s="793"/>
    </row>
    <row r="15" spans="2:36" ht="67.5" customHeight="1" thickBot="1" x14ac:dyDescent="0.4">
      <c r="B15" s="467" t="s">
        <v>44</v>
      </c>
      <c r="C15" s="468" t="s">
        <v>45</v>
      </c>
      <c r="D15" s="577" t="s">
        <v>46</v>
      </c>
      <c r="E15" s="1626"/>
      <c r="F15" s="1627"/>
      <c r="G15" s="1511" t="str">
        <f>IF(ISBLANK(E15),"(Required)","")</f>
        <v>(Required)</v>
      </c>
      <c r="H15" s="1612"/>
      <c r="I15" s="1613"/>
      <c r="J15" s="1536" t="str">
        <f>IF(ISBLANK(H15),"(Optional)","")</f>
        <v>(Optional)</v>
      </c>
      <c r="K15" s="1612"/>
      <c r="L15" s="1613"/>
      <c r="M15" s="1536" t="str">
        <f>IF(ISBLANK(K15),"(Optional)","")</f>
        <v>(Optional)</v>
      </c>
      <c r="N15" s="638"/>
      <c r="O15" s="640" t="s">
        <v>43</v>
      </c>
      <c r="P15" s="797" t="s">
        <v>47</v>
      </c>
      <c r="Q15" s="641"/>
      <c r="R15" s="797" t="s">
        <v>48</v>
      </c>
    </row>
    <row r="16" spans="2:36" ht="16" thickBot="1" x14ac:dyDescent="0.35">
      <c r="B16" s="617" t="s">
        <v>49</v>
      </c>
      <c r="C16" s="618"/>
      <c r="D16" s="618"/>
      <c r="E16" s="618"/>
      <c r="F16" s="618"/>
      <c r="G16" s="618"/>
      <c r="H16" s="618"/>
      <c r="I16" s="618"/>
      <c r="J16" s="618"/>
      <c r="K16" s="618"/>
      <c r="L16" s="618"/>
      <c r="M16" s="619"/>
      <c r="N16" s="483"/>
      <c r="O16" s="640" t="s">
        <v>43</v>
      </c>
      <c r="P16" s="640"/>
      <c r="Q16" s="641"/>
      <c r="R16" s="641"/>
    </row>
    <row r="17" spans="2:18" ht="33.75" customHeight="1" x14ac:dyDescent="0.35">
      <c r="B17" s="469" t="s">
        <v>50</v>
      </c>
      <c r="C17" s="470" t="s">
        <v>51</v>
      </c>
      <c r="D17" s="606" t="s">
        <v>46</v>
      </c>
      <c r="E17" s="1628"/>
      <c r="F17" s="1614"/>
      <c r="G17" s="1512" t="str">
        <f>IF(ISBLANK(E17),"(Required)","")</f>
        <v>(Required)</v>
      </c>
      <c r="H17" s="1620"/>
      <c r="I17" s="1614"/>
      <c r="J17" s="1537" t="str">
        <f>IF(ISBLANK(H17),"(Required)","")</f>
        <v>(Required)</v>
      </c>
      <c r="K17" s="1614"/>
      <c r="L17" s="1614"/>
      <c r="M17" s="1538" t="str">
        <f>IF(ISBLANK(K17),"(Required)","")</f>
        <v>(Required)</v>
      </c>
      <c r="N17" s="483"/>
      <c r="O17" s="640" t="s">
        <v>43</v>
      </c>
      <c r="P17" s="802" t="e">
        <f>#REF!</f>
        <v>#REF!</v>
      </c>
      <c r="Q17" s="641"/>
      <c r="R17" s="796" t="s">
        <v>52</v>
      </c>
    </row>
    <row r="18" spans="2:18" ht="48" customHeight="1" thickBot="1" x14ac:dyDescent="0.4">
      <c r="B18" s="471" t="s">
        <v>53</v>
      </c>
      <c r="C18" s="472" t="s">
        <v>54</v>
      </c>
      <c r="D18" s="577" t="s">
        <v>46</v>
      </c>
      <c r="E18" s="1629"/>
      <c r="F18" s="1615"/>
      <c r="G18" s="1513" t="str">
        <f>IF(ISBLANK(E18),"(Required)","")</f>
        <v>(Required)</v>
      </c>
      <c r="H18" s="1621"/>
      <c r="I18" s="1615"/>
      <c r="J18" s="1514" t="str">
        <f>IF(ISBLANK(H18),"(Required)","")</f>
        <v>(Required)</v>
      </c>
      <c r="K18" s="1615"/>
      <c r="L18" s="1615"/>
      <c r="M18" s="1514" t="str">
        <f>IF(ISBLANK(K18),"(Required)","")</f>
        <v>(Required)</v>
      </c>
      <c r="N18" s="483"/>
      <c r="O18" s="640" t="s">
        <v>43</v>
      </c>
      <c r="P18" s="802" t="e">
        <f>#REF!</f>
        <v>#REF!</v>
      </c>
      <c r="Q18" s="641"/>
      <c r="R18" s="796" t="s">
        <v>52</v>
      </c>
    </row>
    <row r="19" spans="2:18" ht="16.5" customHeight="1" x14ac:dyDescent="0.3">
      <c r="B19" s="625" t="s">
        <v>55</v>
      </c>
      <c r="C19" s="620"/>
      <c r="D19" s="620"/>
      <c r="E19" s="620"/>
      <c r="F19" s="620"/>
      <c r="G19" s="1488"/>
      <c r="H19" s="620"/>
      <c r="I19" s="620"/>
      <c r="J19" s="621"/>
      <c r="K19" s="620"/>
      <c r="L19" s="620"/>
      <c r="M19" s="1505"/>
      <c r="N19" s="483"/>
      <c r="O19" s="640" t="s">
        <v>43</v>
      </c>
      <c r="P19" s="640"/>
      <c r="Q19" s="641"/>
      <c r="R19" s="641"/>
    </row>
    <row r="20" spans="2:18" ht="33.75" customHeight="1" x14ac:dyDescent="0.35">
      <c r="B20" s="607" t="s">
        <v>56</v>
      </c>
      <c r="C20" s="608" t="s">
        <v>57</v>
      </c>
      <c r="D20" s="605" t="s">
        <v>58</v>
      </c>
      <c r="E20" s="1630"/>
      <c r="F20" s="1616"/>
      <c r="G20" s="1515" t="str">
        <f>IF(ISBLANK(E20),"(Optional)","")</f>
        <v>(Optional)</v>
      </c>
      <c r="H20" s="1622"/>
      <c r="I20" s="1616"/>
      <c r="J20" s="1516" t="str">
        <f>IF(ISBLANK(H20),"(Optional)","")</f>
        <v>(Optional)</v>
      </c>
      <c r="K20" s="1616"/>
      <c r="L20" s="1616"/>
      <c r="M20" s="1516" t="str">
        <f>IF(ISBLANK(K20),"(Optional)","")</f>
        <v>(Optional)</v>
      </c>
      <c r="N20" s="483"/>
      <c r="O20" s="640" t="s">
        <v>43</v>
      </c>
      <c r="P20" s="803" t="s">
        <v>59</v>
      </c>
      <c r="Q20" s="641"/>
      <c r="R20" s="641"/>
    </row>
    <row r="21" spans="2:18" ht="33.75" customHeight="1" thickBot="1" x14ac:dyDescent="0.4">
      <c r="B21" s="473" t="s">
        <v>60</v>
      </c>
      <c r="C21" s="474" t="s">
        <v>61</v>
      </c>
      <c r="D21" s="605" t="s">
        <v>58</v>
      </c>
      <c r="E21" s="1631"/>
      <c r="F21" s="1617"/>
      <c r="G21" s="1517" t="str">
        <f>IF(ISBLANK(E21),"(Optional)","")</f>
        <v>(Optional)</v>
      </c>
      <c r="H21" s="1623"/>
      <c r="I21" s="1617"/>
      <c r="J21" s="1518" t="str">
        <f>IF(ISBLANK(H21),"(Optional)","")</f>
        <v>(Optional)</v>
      </c>
      <c r="K21" s="1617"/>
      <c r="L21" s="1617"/>
      <c r="M21" s="1516" t="str">
        <f>IF(ISBLANK(K21),"(Optional)","")</f>
        <v>(Optional)</v>
      </c>
      <c r="N21" s="483"/>
      <c r="O21" s="640" t="s">
        <v>43</v>
      </c>
      <c r="P21" s="803" t="e">
        <f>#REF!-#REF!</f>
        <v>#REF!</v>
      </c>
      <c r="Q21" s="641"/>
      <c r="R21" s="797" t="s">
        <v>52</v>
      </c>
    </row>
    <row r="22" spans="2:18" ht="16.5" customHeight="1" x14ac:dyDescent="0.3">
      <c r="B22" s="624" t="s">
        <v>62</v>
      </c>
      <c r="C22" s="622"/>
      <c r="D22" s="622"/>
      <c r="E22" s="622"/>
      <c r="F22" s="622"/>
      <c r="G22" s="622"/>
      <c r="H22" s="622"/>
      <c r="I22" s="622"/>
      <c r="J22" s="623"/>
      <c r="K22" s="622"/>
      <c r="L22" s="622"/>
      <c r="M22" s="623"/>
      <c r="N22" s="483"/>
      <c r="O22" s="640" t="s">
        <v>43</v>
      </c>
      <c r="P22" s="640"/>
      <c r="Q22" s="641"/>
      <c r="R22" s="641"/>
    </row>
    <row r="23" spans="2:18" ht="33.75" customHeight="1" x14ac:dyDescent="0.3">
      <c r="B23" s="475" t="s">
        <v>56</v>
      </c>
      <c r="C23" s="476" t="s">
        <v>57</v>
      </c>
      <c r="D23" s="605" t="s">
        <v>58</v>
      </c>
      <c r="E23" s="1630"/>
      <c r="F23" s="1616"/>
      <c r="G23" s="1515" t="str">
        <f>IF(ISBLANK(E23),"(Optional)","")</f>
        <v>(Optional)</v>
      </c>
      <c r="H23" s="1622"/>
      <c r="I23" s="1616"/>
      <c r="J23" s="1516" t="str">
        <f>IF(ISBLANK(H23),"(Optional)","")</f>
        <v>(Optional)</v>
      </c>
      <c r="K23" s="1616"/>
      <c r="L23" s="1616"/>
      <c r="M23" s="1516" t="str">
        <f>IF(ISBLANK(K23),"(Required)","")</f>
        <v>(Required)</v>
      </c>
      <c r="N23" s="483"/>
      <c r="O23" s="640" t="s">
        <v>43</v>
      </c>
      <c r="P23" s="640"/>
      <c r="Q23" s="641"/>
      <c r="R23" s="641"/>
    </row>
    <row r="24" spans="2:18" ht="33.75" customHeight="1" x14ac:dyDescent="0.35">
      <c r="B24" s="477" t="s">
        <v>60</v>
      </c>
      <c r="C24" s="476" t="s">
        <v>63</v>
      </c>
      <c r="D24" s="605" t="s">
        <v>58</v>
      </c>
      <c r="E24" s="1618"/>
      <c r="F24" s="1610"/>
      <c r="G24" s="1515" t="str">
        <f>IF(ISBLANK(E24),"(Optional)","")</f>
        <v>(Optional)</v>
      </c>
      <c r="H24" s="1624"/>
      <c r="I24" s="1610"/>
      <c r="J24" s="1519" t="str">
        <f>IF(ISBLANK(H24),"(Optional)","")</f>
        <v>(Optional)</v>
      </c>
      <c r="K24" s="1610"/>
      <c r="L24" s="1610"/>
      <c r="M24" s="1516" t="str">
        <f>IF(ISBLANK(K24),"(Required)","")</f>
        <v>(Required)</v>
      </c>
      <c r="N24" s="483"/>
      <c r="O24" s="640" t="s">
        <v>43</v>
      </c>
      <c r="P24" s="803" t="e">
        <f>#REF!-#REF!</f>
        <v>#REF!</v>
      </c>
      <c r="Q24" s="641"/>
      <c r="R24" s="641"/>
    </row>
    <row r="25" spans="2:18" ht="52.5" customHeight="1" thickBot="1" x14ac:dyDescent="0.35">
      <c r="B25" s="610" t="s">
        <v>64</v>
      </c>
      <c r="C25" s="576" t="s">
        <v>65</v>
      </c>
      <c r="D25" s="611" t="s">
        <v>66</v>
      </c>
      <c r="E25" s="1619" t="str">
        <f>IF(E17="","",E24+E21+E17)</f>
        <v/>
      </c>
      <c r="F25" s="1611"/>
      <c r="G25" s="1539"/>
      <c r="H25" s="1625" t="str">
        <f>IF(H17="","",H24+H21+H17)</f>
        <v/>
      </c>
      <c r="I25" s="1611"/>
      <c r="J25" s="1539"/>
      <c r="K25" s="1611" t="str">
        <f>IF(K17="","",K24+K21+K17)</f>
        <v/>
      </c>
      <c r="L25" s="1611"/>
      <c r="M25" s="1540"/>
      <c r="N25" s="483"/>
      <c r="O25" s="640" t="s">
        <v>43</v>
      </c>
      <c r="P25" s="640"/>
      <c r="Q25" s="641"/>
      <c r="R25" s="641"/>
    </row>
    <row r="26" spans="2:18" ht="16.5" customHeight="1" thickBot="1" x14ac:dyDescent="0.35">
      <c r="B26" s="612" t="s">
        <v>67</v>
      </c>
      <c r="C26" s="613"/>
      <c r="D26" s="614"/>
      <c r="E26" s="613"/>
      <c r="F26" s="613"/>
      <c r="G26" s="615"/>
      <c r="H26" s="613"/>
      <c r="I26" s="613"/>
      <c r="J26" s="615"/>
      <c r="K26" s="613"/>
      <c r="L26" s="613"/>
      <c r="M26" s="615"/>
      <c r="N26" s="483"/>
      <c r="O26" s="641"/>
      <c r="P26" s="641"/>
      <c r="Q26" s="641"/>
      <c r="R26" s="641"/>
    </row>
    <row r="27" spans="2:18" ht="15.5" x14ac:dyDescent="0.3">
      <c r="B27" s="616" t="s">
        <v>68</v>
      </c>
      <c r="C27" s="627" t="s">
        <v>41</v>
      </c>
      <c r="D27" s="626" t="s">
        <v>42</v>
      </c>
      <c r="E27" s="1640" t="s">
        <v>40</v>
      </c>
      <c r="F27" s="1636"/>
      <c r="G27" s="1467"/>
      <c r="H27" s="1636" t="s">
        <v>40</v>
      </c>
      <c r="I27" s="1636"/>
      <c r="J27" s="1467"/>
      <c r="K27" s="1636" t="s">
        <v>40</v>
      </c>
      <c r="L27" s="1636"/>
      <c r="M27" s="1506"/>
      <c r="N27" s="483"/>
      <c r="O27" s="641"/>
      <c r="P27" s="641"/>
      <c r="Q27" s="641"/>
      <c r="R27" s="641"/>
    </row>
    <row r="28" spans="2:18" ht="48.75" customHeight="1" x14ac:dyDescent="0.3">
      <c r="B28" s="477" t="s">
        <v>69</v>
      </c>
      <c r="C28" s="478" t="s">
        <v>70</v>
      </c>
      <c r="D28" s="609" t="s">
        <v>71</v>
      </c>
      <c r="E28" s="1641"/>
      <c r="F28" s="1638"/>
      <c r="G28" s="1520" t="str">
        <f>IF(ISBLANK(E28),"(Required)","")</f>
        <v>(Required)</v>
      </c>
      <c r="H28" s="1637"/>
      <c r="I28" s="1638"/>
      <c r="J28" s="1521" t="str">
        <f t="shared" ref="J28:J33" si="0">IF(ISBLANK(H28),"(Required)","")</f>
        <v>(Required)</v>
      </c>
      <c r="K28" s="1638"/>
      <c r="L28" s="1638"/>
      <c r="M28" s="1522" t="str">
        <f>IF(ISBLANK(K28),"(Required)","")</f>
        <v>(Required)</v>
      </c>
      <c r="N28" s="483"/>
      <c r="O28" s="641" t="s">
        <v>72</v>
      </c>
      <c r="P28" s="641"/>
      <c r="Q28" s="641" t="s">
        <v>73</v>
      </c>
      <c r="R28" s="641"/>
    </row>
    <row r="29" spans="2:18" ht="63.75" customHeight="1" x14ac:dyDescent="0.3">
      <c r="B29" s="477" t="s">
        <v>74</v>
      </c>
      <c r="C29" s="478" t="s">
        <v>75</v>
      </c>
      <c r="D29" s="609" t="s">
        <v>71</v>
      </c>
      <c r="E29" s="1632"/>
      <c r="F29" s="1633"/>
      <c r="G29" s="1522" t="str">
        <f t="shared" ref="G29:G33" si="1">IF(ISBLANK(E29),"(Required)","")</f>
        <v>(Required)</v>
      </c>
      <c r="H29" s="1639"/>
      <c r="I29" s="1633"/>
      <c r="J29" s="1523" t="str">
        <f t="shared" si="0"/>
        <v>(Required)</v>
      </c>
      <c r="K29" s="1633"/>
      <c r="L29" s="1633"/>
      <c r="M29" s="1522" t="str">
        <f t="shared" ref="M29:M33" si="2">IF(ISBLANK(K29),"(Required)","")</f>
        <v>(Required)</v>
      </c>
      <c r="N29" s="483"/>
      <c r="O29" s="641"/>
      <c r="P29" s="641"/>
      <c r="Q29" s="641"/>
      <c r="R29" s="641"/>
    </row>
    <row r="30" spans="2:18" ht="33.75" customHeight="1" x14ac:dyDescent="0.3">
      <c r="B30" s="477" t="s">
        <v>76</v>
      </c>
      <c r="C30" s="478" t="s">
        <v>77</v>
      </c>
      <c r="D30" s="609" t="s">
        <v>71</v>
      </c>
      <c r="E30" s="1632"/>
      <c r="F30" s="1633"/>
      <c r="G30" s="1522" t="str">
        <f t="shared" si="1"/>
        <v>(Required)</v>
      </c>
      <c r="H30" s="1639"/>
      <c r="I30" s="1633"/>
      <c r="J30" s="1523" t="str">
        <f t="shared" si="0"/>
        <v>(Required)</v>
      </c>
      <c r="K30" s="1633"/>
      <c r="L30" s="1633"/>
      <c r="M30" s="1522" t="str">
        <f t="shared" si="2"/>
        <v>(Required)</v>
      </c>
      <c r="O30" s="641"/>
      <c r="P30" s="641"/>
      <c r="Q30" s="641"/>
      <c r="R30" s="641"/>
    </row>
    <row r="31" spans="2:18" ht="33.75" customHeight="1" x14ac:dyDescent="0.3">
      <c r="B31" s="477" t="s">
        <v>78</v>
      </c>
      <c r="C31" s="478" t="s">
        <v>79</v>
      </c>
      <c r="D31" s="609" t="s">
        <v>71</v>
      </c>
      <c r="E31" s="1632"/>
      <c r="F31" s="1633"/>
      <c r="G31" s="1522" t="str">
        <f t="shared" si="1"/>
        <v>(Required)</v>
      </c>
      <c r="H31" s="1639"/>
      <c r="I31" s="1633"/>
      <c r="J31" s="1523" t="str">
        <f t="shared" si="0"/>
        <v>(Required)</v>
      </c>
      <c r="K31" s="1633"/>
      <c r="L31" s="1633"/>
      <c r="M31" s="1522" t="str">
        <f t="shared" si="2"/>
        <v>(Required)</v>
      </c>
      <c r="O31" s="641"/>
      <c r="P31" s="641"/>
      <c r="Q31" s="641"/>
      <c r="R31" s="641"/>
    </row>
    <row r="32" spans="2:18" ht="42" x14ac:dyDescent="0.3">
      <c r="B32" s="477" t="s">
        <v>80</v>
      </c>
      <c r="C32" s="478" t="s">
        <v>81</v>
      </c>
      <c r="D32" s="609" t="s">
        <v>71</v>
      </c>
      <c r="E32" s="1632"/>
      <c r="F32" s="1633"/>
      <c r="G32" s="1522" t="str">
        <f t="shared" si="1"/>
        <v>(Required)</v>
      </c>
      <c r="H32" s="1639"/>
      <c r="I32" s="1633"/>
      <c r="J32" s="1523" t="str">
        <f t="shared" si="0"/>
        <v>(Required)</v>
      </c>
      <c r="K32" s="1633"/>
      <c r="L32" s="1633"/>
      <c r="M32" s="1522" t="str">
        <f t="shared" si="2"/>
        <v>(Required)</v>
      </c>
      <c r="O32" s="644" t="str">
        <f>IF(E28="","",VLOOKUP(E28,'LCTOP Project Types'!$B$12:$Q$26,6,0))</f>
        <v/>
      </c>
      <c r="P32" s="641"/>
      <c r="Q32" s="643" t="s">
        <v>81</v>
      </c>
      <c r="R32" s="641"/>
    </row>
    <row r="33" spans="2:18" ht="42" x14ac:dyDescent="0.3">
      <c r="B33" s="477" t="s">
        <v>82</v>
      </c>
      <c r="C33" s="478" t="s">
        <v>83</v>
      </c>
      <c r="D33" s="609" t="s">
        <v>71</v>
      </c>
      <c r="E33" s="1632"/>
      <c r="F33" s="1633"/>
      <c r="G33" s="1524" t="str">
        <f t="shared" si="1"/>
        <v>(Required)</v>
      </c>
      <c r="H33" s="1639"/>
      <c r="I33" s="1633"/>
      <c r="J33" s="1523" t="str">
        <f t="shared" si="0"/>
        <v>(Required)</v>
      </c>
      <c r="K33" s="1633"/>
      <c r="L33" s="1633"/>
      <c r="M33" s="1522" t="str">
        <f t="shared" si="2"/>
        <v>(Required)</v>
      </c>
      <c r="O33" s="644" t="str">
        <f>IF(E28="","",VLOOKUP(E28,'LCTOP Project Types'!$B$12:$Q$26,7,0))</f>
        <v/>
      </c>
      <c r="P33" s="641"/>
      <c r="Q33" s="643" t="s">
        <v>83</v>
      </c>
      <c r="R33" s="641"/>
    </row>
    <row r="34" spans="2:18" ht="33.75" customHeight="1" thickBot="1" x14ac:dyDescent="0.35">
      <c r="B34" s="479" t="s">
        <v>84</v>
      </c>
      <c r="C34" s="480" t="s">
        <v>85</v>
      </c>
      <c r="D34" s="611" t="s">
        <v>66</v>
      </c>
      <c r="E34" s="1634" t="str">
        <f>IF(E28="","", IF(E32="","", IF(E33="","", IF(E33-E32&lt;=0,"Useful Life cannot be negative",IF(E33-E32&gt;50,"Useful Life cannot be greater than 50 years",E33-E32)))))</f>
        <v/>
      </c>
      <c r="F34" s="1635"/>
      <c r="G34" s="1558"/>
      <c r="H34" s="1642" t="str">
        <f>IF(H28="","", IF(H32="","", IF(H33="","", IF(H33-H32&lt;=0,"Useful Life cannot be negative", IF(H33-H32&gt;50,"Useful Life cannot be greater than 50 years",H33-H32)))))</f>
        <v/>
      </c>
      <c r="I34" s="1635"/>
      <c r="J34" s="1541"/>
      <c r="K34" s="1635" t="str">
        <f>IF(K28="","", IF(K32="","", IF(K33="","", IF(K33-K32&lt;=0,"Useful Life cannot be negative",IF(K33-K32&gt;50,"Useful Life cannot be greater than 50 years",K33-K32)))))</f>
        <v/>
      </c>
      <c r="L34" s="1635"/>
      <c r="M34" s="1542"/>
      <c r="O34" s="644" t="str">
        <f>IF(E28="","",VLOOKUP(E28,'LCTOP Project Types'!$B$12:$Q$26,8,0))</f>
        <v/>
      </c>
      <c r="P34" s="641"/>
      <c r="Q34" s="643" t="s">
        <v>85</v>
      </c>
      <c r="R34" s="641"/>
    </row>
    <row r="35" spans="2:18" ht="16.5" customHeight="1" thickBot="1" x14ac:dyDescent="0.35">
      <c r="B35" s="612" t="s">
        <v>86</v>
      </c>
      <c r="C35" s="630"/>
      <c r="D35" s="631"/>
      <c r="E35" s="632"/>
      <c r="F35" s="614"/>
      <c r="G35" s="614"/>
      <c r="H35" s="614"/>
      <c r="I35" s="614"/>
      <c r="J35" s="632"/>
      <c r="K35" s="614"/>
      <c r="L35" s="614"/>
      <c r="M35" s="632"/>
      <c r="O35" s="641"/>
      <c r="P35" s="641"/>
      <c r="Q35" s="641"/>
      <c r="R35" s="641"/>
    </row>
    <row r="36" spans="2:18" ht="31" x14ac:dyDescent="0.3">
      <c r="B36" s="628" t="s">
        <v>87</v>
      </c>
      <c r="C36" s="629" t="s">
        <v>41</v>
      </c>
      <c r="D36" s="481" t="s">
        <v>42</v>
      </c>
      <c r="E36" s="482" t="s">
        <v>40</v>
      </c>
      <c r="F36" s="1469" t="s">
        <v>88</v>
      </c>
      <c r="G36" s="1469"/>
      <c r="H36" s="486" t="s">
        <v>40</v>
      </c>
      <c r="I36" s="1490" t="s">
        <v>88</v>
      </c>
      <c r="J36" s="788"/>
      <c r="K36" s="788" t="s">
        <v>40</v>
      </c>
      <c r="L36" s="1469" t="s">
        <v>88</v>
      </c>
      <c r="M36" s="1489"/>
      <c r="O36" s="641"/>
      <c r="P36" s="641"/>
      <c r="Q36" s="641"/>
      <c r="R36" s="641"/>
    </row>
    <row r="37" spans="2:18" ht="33.75" customHeight="1" x14ac:dyDescent="0.35">
      <c r="B37" s="477" t="s">
        <v>89</v>
      </c>
      <c r="C37" s="478" t="s">
        <v>90</v>
      </c>
      <c r="D37" s="609" t="str">
        <f>IF($E$28="","",IF(OR(#REF!=Defaults!$M$2,#REF!=Defaults!$M$3,#REF!= Defaults!$M$2,#REF!=Defaults!$M$3),"Required Input","Not Required"))</f>
        <v/>
      </c>
      <c r="E37" s="1460"/>
      <c r="F37" s="1470"/>
      <c r="G37" s="1525" t="str">
        <f t="shared" ref="G37:G40" si="3">IF(ISBLANK(E37),"(Required)","")</f>
        <v>(Required)</v>
      </c>
      <c r="H37" s="1456"/>
      <c r="I37" s="1482"/>
      <c r="J37" s="1526" t="str">
        <f>IF(ISBLANK(H37),"(Required)","")</f>
        <v>(Required)</v>
      </c>
      <c r="K37" s="1497"/>
      <c r="L37" s="1470"/>
      <c r="M37" s="1526" t="str">
        <f>IF(ISBLANK(K37),"(Required)","")</f>
        <v>(Required)</v>
      </c>
      <c r="O37" s="726" t="str">
        <f>IF(D37="","",IF(D37="Not Required","Not applicable for this project type.","The increase in unlinked passenger trips directly associated with the proposed project in the first year (Yr1)."))</f>
        <v/>
      </c>
      <c r="P37" s="641"/>
      <c r="Q37" s="645" t="s">
        <v>90</v>
      </c>
      <c r="R37" s="784"/>
    </row>
    <row r="38" spans="2:18" ht="63" customHeight="1" x14ac:dyDescent="0.35">
      <c r="B38" s="477" t="s">
        <v>91</v>
      </c>
      <c r="C38" s="478" t="s">
        <v>92</v>
      </c>
      <c r="D38" s="609" t="str">
        <f>IF($E$28="","",IF(OR(#REF!=Defaults!$M$2,#REF!=Defaults!$M$3,#REF!= Defaults!$M$2,#REF!=Defaults!$M$3),"Required Input","Not Required"))</f>
        <v/>
      </c>
      <c r="E38" s="1460"/>
      <c r="F38" s="1470"/>
      <c r="G38" s="1525" t="str">
        <f t="shared" si="3"/>
        <v>(Required)</v>
      </c>
      <c r="H38" s="1456"/>
      <c r="I38" s="1482"/>
      <c r="J38" s="1526" t="str">
        <f>IF(ISBLANK(H38),"(Required)","")</f>
        <v>(Required)</v>
      </c>
      <c r="K38" s="1497"/>
      <c r="L38" s="1470"/>
      <c r="M38" s="1526" t="str">
        <f t="shared" ref="M38:M40" si="4">IF(ISBLANK(K38),"(Required)","")</f>
        <v>(Required)</v>
      </c>
      <c r="O38" s="726" t="str">
        <f>IF(D38="","",IF(D38="Not Required","Not applicable for this project type.","The increase in unlinked passenger trips directly associated with the proposed project in the final year. If the ridership is not expected to change, Yr1 and YrF should be the same value."))</f>
        <v/>
      </c>
      <c r="P38" s="641"/>
      <c r="Q38" s="645" t="s">
        <v>92</v>
      </c>
      <c r="R38" s="784"/>
    </row>
    <row r="39" spans="2:18" ht="80.25" customHeight="1" x14ac:dyDescent="0.35">
      <c r="B39" s="477" t="s">
        <v>93</v>
      </c>
      <c r="C39" s="478" t="s">
        <v>94</v>
      </c>
      <c r="D39" s="609" t="str">
        <f>IF($E$28="","",IF(#REF!=Defaults!$M$4,"Not Required","Required Input"))</f>
        <v/>
      </c>
      <c r="E39" s="1447"/>
      <c r="F39" s="1470"/>
      <c r="G39" s="1525" t="str">
        <f t="shared" si="3"/>
        <v>(Required)</v>
      </c>
      <c r="H39" s="1457"/>
      <c r="I39" s="1482"/>
      <c r="J39" s="1526" t="str">
        <f>IF(ISBLANK(H39),"(Required)","")</f>
        <v>(Required)</v>
      </c>
      <c r="K39" s="1498"/>
      <c r="L39" s="1470"/>
      <c r="M39" s="1526" t="str">
        <f t="shared" si="4"/>
        <v>(Required)</v>
      </c>
      <c r="O39" s="726" t="str">
        <f>IF(D39="","",IF(D39="Not Required","Not applicable for this project type.","Discount factor applied to annual ridership to account for transit-dependent riders. 
Use: Document project-specific data or system average developed from a recent, statistically valid survey or default."))</f>
        <v/>
      </c>
      <c r="P39" s="641"/>
      <c r="Q39" s="645" t="s">
        <v>95</v>
      </c>
      <c r="R39" s="784"/>
    </row>
    <row r="40" spans="2:18" ht="33.75" customHeight="1" thickBot="1" x14ac:dyDescent="0.4">
      <c r="B40" s="477" t="s">
        <v>96</v>
      </c>
      <c r="C40" s="478" t="s">
        <v>97</v>
      </c>
      <c r="D40" s="609" t="str">
        <f>IF($E$28="","",IF(OR(#REF!=Defaults!$M$2,#REF!=Defaults!$M$3,#REF!= Defaults!$M$2,#REF!=Defaults!$M$3),"Required Input","Not Required"))</f>
        <v/>
      </c>
      <c r="E40" s="1448"/>
      <c r="F40" s="1470"/>
      <c r="G40" s="1525" t="str">
        <f t="shared" si="3"/>
        <v>(Required)</v>
      </c>
      <c r="H40" s="1458"/>
      <c r="I40" s="1482"/>
      <c r="J40" s="1526" t="str">
        <f>IF(ISBLANK(H40),"(Required)","")</f>
        <v>(Required)</v>
      </c>
      <c r="K40" s="1499"/>
      <c r="L40" s="1470"/>
      <c r="M40" s="1526" t="str">
        <f t="shared" si="4"/>
        <v>(Required)</v>
      </c>
      <c r="N40" s="483"/>
      <c r="O40" s="726" t="str">
        <f>IF(D40="","",IF(D40="Not Required","Not applicable for this project type.","Annual passenger miles over unlinked trips directly associated with the proposed project."))</f>
        <v/>
      </c>
      <c r="P40" s="641"/>
      <c r="Q40" s="645" t="s">
        <v>98</v>
      </c>
      <c r="R40" s="784"/>
    </row>
    <row r="41" spans="2:18" ht="33.75" hidden="1" customHeight="1" x14ac:dyDescent="0.3">
      <c r="B41" s="722" t="s">
        <v>99</v>
      </c>
      <c r="C41" s="633" t="s">
        <v>100</v>
      </c>
      <c r="D41" s="609"/>
      <c r="E41" s="1428"/>
      <c r="F41" s="789"/>
      <c r="G41" s="1471"/>
      <c r="H41" s="1442"/>
      <c r="I41" s="1482"/>
      <c r="J41" s="1444"/>
      <c r="K41" s="1500"/>
      <c r="L41" s="1470"/>
      <c r="M41" s="1444"/>
      <c r="N41" s="483"/>
      <c r="O41" s="640" t="s">
        <v>101</v>
      </c>
      <c r="P41" s="641"/>
      <c r="Q41" s="642" t="s">
        <v>102</v>
      </c>
      <c r="R41" s="642"/>
    </row>
    <row r="42" spans="2:18" ht="33.75" hidden="1" customHeight="1" x14ac:dyDescent="0.35">
      <c r="B42" s="477" t="s">
        <v>103</v>
      </c>
      <c r="C42" s="478" t="s">
        <v>104</v>
      </c>
      <c r="D42" s="611" t="e">
        <f>IF(OR(#REF!=Defaults!$M$2,#REF!=Defaults!$M$3,#REF!=Defaults!$M$2,#REF!=Defaults!$M$3),"Calculated","Not Applicable")</f>
        <v>#REF!</v>
      </c>
      <c r="E42" s="1527" t="str">
        <f ca="1">IF(OR(E$28=Defaults!$M$2,E$28=Defaults!$M$3),IF(VLOOKUP(MID(CELL("filename",E42),FIND("]",CELL("filename",E42))+1,255)&amp;SUBSTITUTE(ADDRESS(1,COLUMN(E42),4),"1",""),'GHG Calcs'!$E$12:$CL$29,MATCH('GHG Calcs'!$Z$11,'GHG Calcs'!$E$11:$CL$11,0),0)="","",IFERROR(VLOOKUP(MID(CELL("filename",E42),FIND("]",CELL("filename",E42))+1,255)&amp;SUBSTITUTE(ADDRESS(1,COLUMN(E42),4),"1",""),'GHG Calcs'!$E$12:$CL$29,MATCH('GHG Calcs'!$Z$11,'GHG Calcs'!$E$11:$CL$11,0),0),"Incomplete Inputs")),"")</f>
        <v/>
      </c>
      <c r="F42" s="1472"/>
      <c r="G42" s="1432"/>
      <c r="H42" s="1528" t="str">
        <f ca="1">IF(OR(H$28=Defaults!$M$2,H$28=Defaults!$M$3),IF(VLOOKUP(MID(CELL("filename",H42),FIND("]",CELL("filename",H42))+1,255)&amp;SUBSTITUTE(ADDRESS(1,COLUMN(H42),4),"1",""),'GHG Calcs'!$E$12:$CL$29,MATCH('GHG Calcs'!$Z$11,'GHG Calcs'!$E$11:$CL$11,0),0)="","",IFERROR(VLOOKUP(MID(CELL("filename",H42),FIND("]",CELL("filename",H42))+1,255)&amp;SUBSTITUTE(ADDRESS(1,COLUMN(H42),4),"1",""),'GHG Calcs'!$E$12:$CL$29,MATCH('GHG Calcs'!$Z$11,'GHG Calcs'!$E$11:$CL$11,0),0),"Incomplete Inputs")),"")</f>
        <v/>
      </c>
      <c r="I42" s="1491"/>
      <c r="J42" s="1445"/>
      <c r="K42" s="1529" t="str">
        <f ca="1">IF(OR(K$28=Defaults!$M$2,K$28=Defaults!$M$3),IF(VLOOKUP(MID(CELL("filename",K42),FIND("]",CELL("filename",K42))+1,255)&amp;SUBSTITUTE(ADDRESS(1,COLUMN(K42),4),"1",""),'GHG Calcs'!$E$12:$CL$29,MATCH('GHG Calcs'!$Z$11,'GHG Calcs'!$E$11:$CL$11,0),0)="","",IFERROR(VLOOKUP(MID(CELL("filename",K42),FIND("]",CELL("filename",K42))+1,255)&amp;SUBSTITUTE(ADDRESS(1,COLUMN(K42),4),"1",""),'GHG Calcs'!$E$12:$CL$29,MATCH('GHG Calcs'!$Z$11,'GHG Calcs'!$E$11:$CL$11,0),0),"Incomplete Inputs")),"")</f>
        <v/>
      </c>
      <c r="L42" s="1502"/>
      <c r="M42" s="1445"/>
      <c r="N42" s="483"/>
      <c r="O42" s="641"/>
      <c r="P42" s="787" t="str">
        <f ca="1">'GHG Calcs'!Z12</f>
        <v/>
      </c>
      <c r="Q42" s="642" t="s">
        <v>38</v>
      </c>
      <c r="R42" s="787" t="e">
        <f ca="1">IF(OR(#REF!=Defaults!$M$2,#REF!=Defaults!$M$3,#REF!=Defaults!$M$2,#REF!=Defaults!$M$3),IF(VLOOKUP(MID(CELL("filename",E$42),FIND("]",CELL("filename",E$42))+1,255)&amp;SUBSTITUTE(ADDRESS(1,COLUMN(E$42),4),"1",""),'GHG Calcs'!$F$12:$CL$12,MATCH('GHG Calcs'!$Z$11,'GHG Calcs'!$F$11:$CL$11,0),0)="","",IFERROR(VLOOKUP(MID(CELL("filename",E$42),FIND("]",CELL("filename",E$42))+1,255)&amp;SUBSTITUTE(ADDRESS(1,COLUMN(E$42),4),"1",""),'GHG Calcs'!$F$12:$CL$12,MATCH('GHG Calcs'!$Z$11,'GHG Calcs'!$F$11:$CL$11,0),0),"Incomplete Inputs")),"")</f>
        <v>#REF!</v>
      </c>
    </row>
    <row r="43" spans="2:18" ht="54" hidden="1" customHeight="1" thickBot="1" x14ac:dyDescent="0.4">
      <c r="B43" s="484" t="s">
        <v>105</v>
      </c>
      <c r="C43" s="485" t="s">
        <v>106</v>
      </c>
      <c r="D43" s="637" t="e">
        <f>IF(OR(#REF!=Defaults!$M$2,#REF!=Defaults!$M$3,#REF!=Defaults!$M$2,#REF!=Defaults!$M$3),"Calculated","Not Applicable")</f>
        <v>#REF!</v>
      </c>
      <c r="E43" s="1530" t="str">
        <f ca="1">IF(OR(E$28=Defaults!$M$2,E$28=Defaults!$M$3),IF(VLOOKUP(MID(CELL("filename",E43),FIND("]",CELL("filename",E43))+1,255)&amp;SUBSTITUTE(ADDRESS(1,COLUMN(E43),4),"1",""),'GHG Calcs'!$E$12:$CL$29,MATCH('GHG Calcs'!$AA$11,'GHG Calcs'!$E$11:$CL$11,0),0)="","",IFERROR(VLOOKUP(MID(CELL("filename",E43),FIND("]",CELL("filename",E43))+1,255)&amp;SUBSTITUTE(ADDRESS(1,COLUMN(E43),4),"1",""),'GHG Calcs'!$E$12:$CL$29,MATCH('GHG Calcs'!$AA$11,'GHG Calcs'!$E$11:$CL$11,0),0),"Incomplete Inputs")),"")</f>
        <v/>
      </c>
      <c r="F43" s="1473"/>
      <c r="G43" s="1433"/>
      <c r="H43" s="1531" t="str">
        <f ca="1">IF(OR(H$28=Defaults!$M$2,H$28=Defaults!$M$3),IF(VLOOKUP(MID(CELL("filename",H43),FIND("]",CELL("filename",H43))+1,255)&amp;SUBSTITUTE(ADDRESS(1,COLUMN(H43),4),"1",""),'GHG Calcs'!$E$12:$CL$29,MATCH('GHG Calcs'!$AA$11,'GHG Calcs'!$E$11:$CL$11,0),0)="","",IFERROR(VLOOKUP(MID(CELL("filename",H43),FIND("]",CELL("filename",H43))+1,255)&amp;SUBSTITUTE(ADDRESS(1,COLUMN(H43),4),"1",""),'GHG Calcs'!$E$12:$CL$29,MATCH('GHG Calcs'!$AA$11,'GHG Calcs'!$E$11:$CL$11,0),0),"Incomplete Inputs")),"")</f>
        <v/>
      </c>
      <c r="I43" s="1492"/>
      <c r="J43" s="1446"/>
      <c r="K43" s="1532" t="str">
        <f ca="1">IF(OR(K$28=Defaults!$M$2,K$28=Defaults!$M$3),IF(VLOOKUP(MID(CELL("filename",K43),FIND("]",CELL("filename",K43))+1,255)&amp;SUBSTITUTE(ADDRESS(1,COLUMN(K43),4),"1",""),'GHG Calcs'!$E$12:$CL$29,MATCH('GHG Calcs'!$AA$11,'GHG Calcs'!$E$11:$CL$11,0),0)="","",IFERROR(VLOOKUP(MID(CELL("filename",K43),FIND("]",CELL("filename",K43))+1,255)&amp;SUBSTITUTE(ADDRESS(1,COLUMN(K43),4),"1",""),'GHG Calcs'!$E$12:$CL$29,MATCH('GHG Calcs'!$AA$11,'GHG Calcs'!$E$11:$CL$11,0),0),"Incomplete Inputs")),"")</f>
        <v/>
      </c>
      <c r="L43" s="1503"/>
      <c r="M43" s="1507"/>
      <c r="N43" s="483"/>
      <c r="O43" s="641"/>
      <c r="P43" s="787" t="str">
        <f ca="1">'GHG Calcs'!AA12</f>
        <v/>
      </c>
      <c r="Q43" s="642" t="s">
        <v>38</v>
      </c>
      <c r="R43" s="787" t="e">
        <f ca="1">IF(OR(#REF!=Defaults!$M$2,#REF!=Defaults!$M$3,#REF!=Defaults!$M$2,#REF!=Defaults!$M$3),IF(VLOOKUP(MID(CELL("filename",E$43),FIND("]",CELL("filename",E$43))+1,255)&amp;SUBSTITUTE(ADDRESS(1,COLUMN(E$43),4),"1",""),'GHG Calcs'!$F$12:$CL$12,MATCH('GHG Calcs'!$Z$11,'GHG Calcs'!$F$11:$CL$11,0),0)="","",IFERROR(VLOOKUP(MID(CELL("filename",E$43),FIND("]",CELL("filename",E$43))+1,255)&amp;SUBSTITUTE(ADDRESS(1,COLUMN(E$43),4),"1",""),'GHG Calcs'!$F$12:$CL$12,MATCH('GHG Calcs'!$AA$11,'GHG Calcs'!$F$11:$CL$11,0),0),"Incomplete Inputs")),"")</f>
        <v>#REF!</v>
      </c>
    </row>
    <row r="44" spans="2:18" ht="16.5" customHeight="1" thickBot="1" x14ac:dyDescent="0.35">
      <c r="B44" s="612" t="s">
        <v>107</v>
      </c>
      <c r="C44" s="630"/>
      <c r="D44" s="631"/>
      <c r="E44" s="632"/>
      <c r="F44" s="614"/>
      <c r="G44" s="632"/>
      <c r="H44" s="614"/>
      <c r="I44" s="1469"/>
      <c r="J44" s="1489"/>
      <c r="K44" s="614"/>
      <c r="L44" s="614"/>
      <c r="M44" s="632"/>
      <c r="O44" s="641"/>
      <c r="P44" s="641"/>
      <c r="Q44" s="641"/>
      <c r="R44" s="641"/>
    </row>
    <row r="45" spans="2:18" ht="31" x14ac:dyDescent="0.3">
      <c r="B45" s="628" t="s">
        <v>108</v>
      </c>
      <c r="C45" s="629" t="s">
        <v>41</v>
      </c>
      <c r="D45" s="481" t="s">
        <v>42</v>
      </c>
      <c r="E45" s="482" t="s">
        <v>40</v>
      </c>
      <c r="F45" s="1469" t="s">
        <v>88</v>
      </c>
      <c r="G45" s="788"/>
      <c r="H45" s="486" t="s">
        <v>40</v>
      </c>
      <c r="I45" s="1469" t="s">
        <v>88</v>
      </c>
      <c r="J45" s="788"/>
      <c r="K45" s="486" t="s">
        <v>40</v>
      </c>
      <c r="L45" s="1490" t="s">
        <v>88</v>
      </c>
      <c r="M45" s="1489"/>
      <c r="N45" s="483"/>
      <c r="O45" s="641"/>
      <c r="P45" s="641"/>
      <c r="Q45" s="641"/>
      <c r="R45" s="641"/>
    </row>
    <row r="46" spans="2:18" ht="33.75" customHeight="1" x14ac:dyDescent="0.3">
      <c r="B46" s="477" t="s">
        <v>109</v>
      </c>
      <c r="C46" s="478" t="s">
        <v>110</v>
      </c>
      <c r="D46" s="611" t="str">
        <f>IF($E$28="","",IF(OR(#REF!=Defaults!$M$2,#REF!=Defaults!$M$4,#REF!= Defaults!$M$2,#REF!=Defaults!$M$4),IF(NOT(E$29=Defaults!$F$2),"Required Input","Not Required"),"Not Required"))</f>
        <v/>
      </c>
      <c r="E46" s="1443"/>
      <c r="F46" s="1474"/>
      <c r="G46" s="1533" t="str">
        <f t="shared" ref="G46:G51" si="5">IF(ISBLANK(E46),"(Required)","")</f>
        <v>(Required)</v>
      </c>
      <c r="H46" s="1459"/>
      <c r="I46" s="1493"/>
      <c r="J46" s="1533" t="str">
        <f t="shared" ref="J46:J51" si="6">IF(ISBLANK(H46),"(Required)","")</f>
        <v>(Required)</v>
      </c>
      <c r="K46" s="1459"/>
      <c r="L46" s="1493"/>
      <c r="M46" s="1533" t="str">
        <f>IF(ISBLANK(K46),"(Required)","")</f>
        <v>(Required)</v>
      </c>
      <c r="N46" s="483"/>
      <c r="O46" s="727" t="str">
        <f>IF($E$28="","",IF(D46="Not Required","Not applicable for this project type.","The vehicle type (e.g., Transit Bus, Streetcar, Ferry, etc.) that will operate the new service or will be procured."))</f>
        <v/>
      </c>
      <c r="P46" s="641"/>
      <c r="Q46" s="478" t="s">
        <v>110</v>
      </c>
      <c r="R46" s="785"/>
    </row>
    <row r="47" spans="2:18" ht="33.75" customHeight="1" x14ac:dyDescent="0.3">
      <c r="B47" s="477" t="s">
        <v>111</v>
      </c>
      <c r="C47" s="478" t="s">
        <v>112</v>
      </c>
      <c r="D47" s="611" t="str">
        <f>IF($E$28="","",IF(AND(OR(#REF!=Defaults!$M$2,#REF!=Defaults!$M$4,#REF!= Defaults!$M$2,#REF!=Defaults!$M$4),NOT(E$29=Defaults!$F$2),E$46=Defaults!$G$5),"Required Input","Not Required"))</f>
        <v/>
      </c>
      <c r="E47" s="1449"/>
      <c r="F47" s="1474"/>
      <c r="G47" s="1533" t="str">
        <f t="shared" si="5"/>
        <v>(Required)</v>
      </c>
      <c r="H47" s="1452"/>
      <c r="I47" s="1493"/>
      <c r="J47" s="1533" t="str">
        <f t="shared" si="6"/>
        <v>(Required)</v>
      </c>
      <c r="K47" s="1452"/>
      <c r="L47" s="1493"/>
      <c r="M47" s="1533" t="str">
        <f t="shared" ref="M47:M54" si="7">IF(ISBLANK(K47),"(Required)","")</f>
        <v>(Required)</v>
      </c>
      <c r="N47" s="483"/>
      <c r="O47" s="727" t="str">
        <f>IF($E$28="","",IF(D47="Not Required","Not applicable for this project type.","The engine tier for the vehicle(s) that will operate the new service."))</f>
        <v/>
      </c>
      <c r="P47" s="641"/>
      <c r="Q47" s="478" t="s">
        <v>112</v>
      </c>
      <c r="R47" s="785"/>
    </row>
    <row r="48" spans="2:18" ht="33.75" customHeight="1" x14ac:dyDescent="0.3">
      <c r="B48" s="477" t="s">
        <v>113</v>
      </c>
      <c r="C48" s="478" t="s">
        <v>114</v>
      </c>
      <c r="D48" s="611" t="str">
        <f>IF($E$28="","",IF(AND(OR(#REF!=Defaults!$M$2,#REF!=Defaults!$M$4,#REF!= Defaults!$M$2,#REF!=Defaults!$M$4),NOT(E$29=Defaults!$F$2),OR(E$46=Defaults!$G$3,E$46=Defaults!$G$4)),"Required Input","Not Required"))</f>
        <v/>
      </c>
      <c r="E48" s="1449"/>
      <c r="F48" s="1474"/>
      <c r="G48" s="1533" t="str">
        <f t="shared" si="5"/>
        <v>(Required)</v>
      </c>
      <c r="H48" s="1452"/>
      <c r="I48" s="1493"/>
      <c r="J48" s="1533" t="str">
        <f t="shared" si="6"/>
        <v>(Required)</v>
      </c>
      <c r="K48" s="1452"/>
      <c r="L48" s="1493"/>
      <c r="M48" s="1533" t="str">
        <f t="shared" si="7"/>
        <v>(Required)</v>
      </c>
      <c r="N48" s="483"/>
      <c r="O48" s="727" t="str">
        <f>IF($E$28="","",IF(D48="Not Required","Not applicable for this project type.","The engine horsepower rating for the vehicle(s) that will operate the new service."))</f>
        <v/>
      </c>
      <c r="P48" s="641"/>
      <c r="Q48" s="478" t="s">
        <v>114</v>
      </c>
      <c r="R48" s="785"/>
    </row>
    <row r="49" spans="2:18" ht="33.75" customHeight="1" x14ac:dyDescent="0.3">
      <c r="B49" s="477" t="s">
        <v>115</v>
      </c>
      <c r="C49" s="478" t="s">
        <v>116</v>
      </c>
      <c r="D49" s="611" t="str">
        <f>IF($E$28="","",IF(OR(#REF!=Defaults!$M$2,#REF!=Defaults!$M$4,#REF!= Defaults!$M$2,#REF!=Defaults!$M$4),IF(NOT(E$29=Defaults!$F$2),"Required Input","Not Required"),"Not Required"))</f>
        <v/>
      </c>
      <c r="E49" s="1449"/>
      <c r="F49" s="1474"/>
      <c r="G49" s="1533" t="str">
        <f t="shared" si="5"/>
        <v>(Required)</v>
      </c>
      <c r="H49" s="1452"/>
      <c r="I49" s="1493"/>
      <c r="J49" s="1533" t="str">
        <f t="shared" si="6"/>
        <v>(Required)</v>
      </c>
      <c r="K49" s="1452"/>
      <c r="L49" s="1493"/>
      <c r="M49" s="1533" t="str">
        <f t="shared" si="7"/>
        <v>(Required)</v>
      </c>
      <c r="N49" s="483"/>
      <c r="O49" s="478" t="str">
        <f>IF($E$28="","",IF(D49="Not Required","Not applicable for this project type.",VLOOKUP($E$28,'LCTOP Project Types'!$B$12:$Q$26,11,0)))</f>
        <v/>
      </c>
      <c r="P49" s="641"/>
      <c r="Q49" s="478" t="s">
        <v>116</v>
      </c>
      <c r="R49" s="785"/>
    </row>
    <row r="50" spans="2:18" ht="47.25" customHeight="1" x14ac:dyDescent="0.3">
      <c r="B50" s="477" t="s">
        <v>117</v>
      </c>
      <c r="C50" s="478" t="s">
        <v>118</v>
      </c>
      <c r="D50" s="611" t="str">
        <f>IF($E$28="","",IF(OR(#REF!=Defaults!$M$2,#REF!=Defaults!$M$4,#REF!= Defaults!$M$2,#REF!=Defaults!$M$4),IF(NOT(E$29=Defaults!$F$2),"Required Input","Not Required"),"Not Required"))</f>
        <v/>
      </c>
      <c r="E50" s="1449"/>
      <c r="F50" s="1474"/>
      <c r="G50" s="1533" t="str">
        <f t="shared" si="5"/>
        <v>(Required)</v>
      </c>
      <c r="H50" s="1461"/>
      <c r="I50" s="1493"/>
      <c r="J50" s="1533" t="str">
        <f t="shared" si="6"/>
        <v>(Required)</v>
      </c>
      <c r="K50" s="1452"/>
      <c r="L50" s="1493"/>
      <c r="M50" s="1533" t="str">
        <f t="shared" si="7"/>
        <v>(Required)</v>
      </c>
      <c r="N50" s="483"/>
      <c r="O50" s="478" t="str">
        <f>IF($E$28="","",IF(D50="Not Required","Not applicable for this project type.",VLOOKUP($E$28,'LCTOP Project Types'!$B$12:$Q$26,10,0)))</f>
        <v/>
      </c>
      <c r="P50" s="641"/>
      <c r="Q50" s="478" t="s">
        <v>118</v>
      </c>
      <c r="R50" s="785"/>
    </row>
    <row r="51" spans="2:18" ht="54.75" customHeight="1" x14ac:dyDescent="0.3">
      <c r="B51" s="477" t="s">
        <v>119</v>
      </c>
      <c r="C51" s="478" t="s">
        <v>120</v>
      </c>
      <c r="D51" s="611" t="str">
        <f>IF($E$28="","",IF(AND(OR(#REF!=Defaults!$M$2,#REF!=Defaults!$M$4,#REF!=Defaults!$M$2,#REF!=Defaults!$M$4),OR(E$46=Defaults!$G$2,E$46=Defaults!$G$3,E$46=Defaults!$G$4,E$46=Defaults!$G$7,E$46=Defaults!$G$9,E$46=Defaults!$G$10)),"Required Input","Not Required"))</f>
        <v/>
      </c>
      <c r="E51" s="1449"/>
      <c r="F51" s="1474"/>
      <c r="G51" s="1533" t="str">
        <f t="shared" si="5"/>
        <v>(Required)</v>
      </c>
      <c r="H51" s="1461"/>
      <c r="I51" s="1493"/>
      <c r="J51" s="1533" t="str">
        <f t="shared" si="6"/>
        <v>(Required)</v>
      </c>
      <c r="K51" s="1452"/>
      <c r="L51" s="1493"/>
      <c r="M51" s="1533" t="str">
        <f t="shared" si="7"/>
        <v>(Required)</v>
      </c>
      <c r="N51" s="483"/>
      <c r="O51" s="478" t="str">
        <f>IF($E$28="","",IF(D51="Not Required","Not applicable for this project type.",VLOOKUP($E$28,'LCTOP Project Types'!$B$12:$Q$26,12,0)))</f>
        <v/>
      </c>
      <c r="P51" s="641"/>
      <c r="Q51" s="478" t="s">
        <v>120</v>
      </c>
      <c r="R51" s="785"/>
    </row>
    <row r="52" spans="2:18" ht="47.25" customHeight="1" x14ac:dyDescent="0.3">
      <c r="B52" s="477" t="s">
        <v>121</v>
      </c>
      <c r="C52" s="478" t="s">
        <v>122</v>
      </c>
      <c r="D52" s="611" t="str">
        <f>IF($E$28="","",IF(AND(OR(#REF!=Defaults!$M$2,#REF!=Defaults!$M$4,#REF!=Defaults!$M$2,#REF!=Defaults!$M$4),NOT(E$29=Defaults!$F$2)),"Optional Input","Not Required"))</f>
        <v/>
      </c>
      <c r="E52" s="1448"/>
      <c r="F52" s="1470"/>
      <c r="G52" s="1526" t="str">
        <f>IF(ISBLANK(E52),"(Optional)","")</f>
        <v>(Optional)</v>
      </c>
      <c r="H52" s="1458"/>
      <c r="I52" s="1482"/>
      <c r="J52" s="1526" t="str">
        <f>IF(ISBLANK(H52),"(Optional)","")</f>
        <v>(Optional)</v>
      </c>
      <c r="K52" s="1458"/>
      <c r="L52" s="1494"/>
      <c r="M52" s="1533" t="str">
        <f>IF(ISBLANK(K52),"(Optional)","")</f>
        <v>(Optional)</v>
      </c>
      <c r="N52" s="483"/>
      <c r="O52" s="478" t="str">
        <f>IF($E$28="","",IF(D52="Not Required","Not applicable for this project type.","If used, applicant must be able to demonstrate an approved carbon intensity value under the Low Carbon Fuel Standard and submit additional documentation."))</f>
        <v/>
      </c>
      <c r="P52" s="641"/>
      <c r="Q52" s="478" t="s">
        <v>123</v>
      </c>
      <c r="R52" s="785"/>
    </row>
    <row r="53" spans="2:18" ht="100.5" customHeight="1" x14ac:dyDescent="0.3">
      <c r="B53" s="477" t="s">
        <v>124</v>
      </c>
      <c r="C53" s="478" t="s">
        <v>125</v>
      </c>
      <c r="D53" s="611" t="str">
        <f>IF($E$28="","",IF(AND(NOT(ISBLANK($E$54)),OR($E$46=Defaults!$G$3,$E$46=Defaults!$G$5,$E$46=Defaults!$G$6,$E$46=Defaults!$G$8)),"Optional",IF(AND(OR(#REF!=Defaults!$M$2,#REF!=Defaults!$M$4,#REF!=Defaults!$M$2,#REF!=Defaults!$M$4),OR(E$46=Defaults!$G$2,E$46=Defaults!$G$3,E$46=Defaults!$G$5,E$46=Defaults!$G$6,E$46=Defaults!$G$7,E$46=Defaults!$G$8,E$46=Defaults!$G$9,E$46=Defaults!$G$10)),"Required Input","Not Required")))</f>
        <v/>
      </c>
      <c r="E53" s="1450"/>
      <c r="F53" s="1470"/>
      <c r="G53" s="1526" t="str">
        <f>IF(ISBLANK(E53),"(Required)","")</f>
        <v>(Required)</v>
      </c>
      <c r="H53" s="1456"/>
      <c r="I53" s="1482"/>
      <c r="J53" s="1526" t="str">
        <f>IF(ISBLANK(H53),"(Required)","")</f>
        <v>(Required)</v>
      </c>
      <c r="K53" s="1456"/>
      <c r="L53" s="1494"/>
      <c r="M53" s="1533" t="str">
        <f t="shared" si="7"/>
        <v>(Required)</v>
      </c>
      <c r="N53" s="483"/>
      <c r="O53" s="478" t="str">
        <f>IF($E$28="","",IF(D53="Not Required","Not applicable for this project type.",VLOOKUP($E$28,'LCTOP Project Types'!$B$12:$Q$26,13,0)))</f>
        <v/>
      </c>
      <c r="P53" s="641"/>
      <c r="Q53" s="478" t="s">
        <v>125</v>
      </c>
      <c r="R53" s="785"/>
    </row>
    <row r="54" spans="2:18" ht="133.5" customHeight="1" thickBot="1" x14ac:dyDescent="0.35">
      <c r="B54" s="479" t="s">
        <v>126</v>
      </c>
      <c r="C54" s="480" t="s">
        <v>127</v>
      </c>
      <c r="D54" s="605" t="str">
        <f>IF($E$28="","",IF(AND(NOT(ISBLANK($E$53)),OR($E$46=Defaults!$G$3,$E$46=Defaults!$G$5,$E$46=Defaults!$G$6,$E$46=Defaults!$G$8)),"Optional",IF(AND(OR(#REF!=Defaults!$M$2,#REF!=Defaults!$M$4,#REF!=Defaults!$M$2,#REF!=Defaults!$M$4),OR(E$46=Defaults!$G$3,E$46=Defaults!$G$4,E$46=Defaults!$G$5,E$46=Defaults!$G$6,E$46=Defaults!$G$8)),"Required Input","Not Required")))</f>
        <v/>
      </c>
      <c r="E54" s="1450"/>
      <c r="F54" s="1471"/>
      <c r="G54" s="1526" t="str">
        <f>IF(ISBLANK(E54),"(Required)","")</f>
        <v>(Required)</v>
      </c>
      <c r="H54" s="1456"/>
      <c r="I54" s="1494"/>
      <c r="J54" s="1526" t="str">
        <f>IF(ISBLANK(H54),"(Required)","")</f>
        <v>(Required)</v>
      </c>
      <c r="K54" s="1456"/>
      <c r="L54" s="1494"/>
      <c r="M54" s="1533" t="str">
        <f t="shared" si="7"/>
        <v>(Required)</v>
      </c>
      <c r="N54" s="483"/>
      <c r="O54" s="480" t="str">
        <f>IF($E$28="","",IF(D54="Not Required","Not applicable for this project type.",VLOOKUP($E$28,'LCTOP Project Types'!$B$12:$Q$26,14,0)))</f>
        <v/>
      </c>
      <c r="P54" s="641"/>
      <c r="Q54" s="480" t="s">
        <v>127</v>
      </c>
      <c r="R54" s="786"/>
    </row>
    <row r="55" spans="2:18" ht="100.5" hidden="1" customHeight="1" thickBot="1" x14ac:dyDescent="0.35">
      <c r="B55" s="477" t="s">
        <v>128</v>
      </c>
      <c r="C55" s="478" t="s">
        <v>129</v>
      </c>
      <c r="D55" s="605" t="str">
        <f>IF($E$28="","",IF(OR($E$49=Defaults!$I$11, $H$49=Defaults!$I$11, $K$49=Defaults!$I$11),"Required Input","Not Required"))</f>
        <v/>
      </c>
      <c r="E55" s="1431"/>
      <c r="F55" s="1475"/>
      <c r="G55" s="1429"/>
      <c r="H55" s="1430"/>
      <c r="I55" s="1495"/>
      <c r="J55" s="1429"/>
      <c r="K55" s="1430"/>
      <c r="L55" s="1495"/>
      <c r="M55" s="1508"/>
      <c r="N55" s="483"/>
      <c r="O55" s="480"/>
      <c r="P55" s="641"/>
      <c r="Q55" s="480"/>
      <c r="R55" s="786"/>
    </row>
    <row r="56" spans="2:18" ht="16.5" customHeight="1" thickBot="1" x14ac:dyDescent="0.35">
      <c r="B56" s="612" t="s">
        <v>130</v>
      </c>
      <c r="C56" s="630"/>
      <c r="D56" s="631"/>
      <c r="E56" s="632"/>
      <c r="F56" s="614"/>
      <c r="G56" s="1489"/>
      <c r="H56" s="486"/>
      <c r="I56" s="1469"/>
      <c r="J56" s="1489"/>
      <c r="K56" s="614"/>
      <c r="L56" s="614"/>
      <c r="M56" s="632"/>
      <c r="O56" s="641"/>
      <c r="P56" s="641"/>
      <c r="Q56" s="641"/>
      <c r="R56" s="641"/>
    </row>
    <row r="57" spans="2:18" ht="31" x14ac:dyDescent="0.3">
      <c r="B57" s="628" t="s">
        <v>131</v>
      </c>
      <c r="C57" s="629" t="s">
        <v>41</v>
      </c>
      <c r="D57" s="481" t="s">
        <v>42</v>
      </c>
      <c r="E57" s="482" t="s">
        <v>40</v>
      </c>
      <c r="F57" s="1469" t="s">
        <v>88</v>
      </c>
      <c r="G57" s="788"/>
      <c r="H57" s="486" t="s">
        <v>40</v>
      </c>
      <c r="I57" s="1469" t="s">
        <v>88</v>
      </c>
      <c r="J57" s="788"/>
      <c r="K57" s="486" t="s">
        <v>40</v>
      </c>
      <c r="L57" s="1490" t="s">
        <v>88</v>
      </c>
      <c r="M57" s="1489"/>
      <c r="N57" s="483"/>
      <c r="O57" s="641"/>
      <c r="P57" s="641"/>
      <c r="Q57" s="641"/>
      <c r="R57" s="641"/>
    </row>
    <row r="58" spans="2:18" ht="33.75" customHeight="1" x14ac:dyDescent="0.3">
      <c r="B58" s="477" t="s">
        <v>109</v>
      </c>
      <c r="C58" s="478" t="s">
        <v>132</v>
      </c>
      <c r="D58" s="611" t="str">
        <f>IF($E$28="","",IF(OR(#REF!=Defaults!$M$4,#REF!=Defaults!$M$4),"Required Input",IF(OR(#REF!=Defaults!$M$2,#REF!=Defaults!$M$2),"Optional Input","Not Required")))</f>
        <v/>
      </c>
      <c r="E58" s="1443"/>
      <c r="F58" s="1476"/>
      <c r="G58" s="1533" t="b">
        <f>IF(ISBLANK(E58),IF(E$28=Defaults!$M$2,"(Optional)",IF(E$28=Defaults!$M$4,"(Required)")),"")</f>
        <v>0</v>
      </c>
      <c r="H58" s="1462"/>
      <c r="I58" s="1494"/>
      <c r="J58" s="1526" t="b">
        <f>IF(ISBLANK(H58),IF(H$28=Defaults!$M$2,"(Optional)",IF(H$28=Defaults!$M$4,"(Required)")),"")</f>
        <v>0</v>
      </c>
      <c r="K58" s="1462"/>
      <c r="L58" s="1494"/>
      <c r="M58" s="1526" t="b">
        <f>IF(ISBLANK(K58),IF(K$28=Defaults!$M$2,"(Optional)",IF(K$28=Defaults!$M$4,"(Required)")),"")</f>
        <v>0</v>
      </c>
      <c r="N58" s="483"/>
      <c r="O58" s="478" t="str">
        <f>IF($E$28="","",IF(D54="Not Required","Not applicable for this project type.","The vehicle type (e.g., Transit Bus, Streetcar, Ferry, etc.) of the baseline vehicle(s)."))</f>
        <v/>
      </c>
      <c r="P58" s="641"/>
      <c r="Q58" s="478" t="s">
        <v>132</v>
      </c>
      <c r="R58" s="785"/>
    </row>
    <row r="59" spans="2:18" ht="33.75" customHeight="1" x14ac:dyDescent="0.3">
      <c r="B59" s="477" t="s">
        <v>111</v>
      </c>
      <c r="C59" s="478" t="s">
        <v>133</v>
      </c>
      <c r="D59" s="611" t="str">
        <f>IF($E$28="","",IF(AND(OR(#REF!=Defaults!$M$2,#REF!=Defaults!$M$4,#REF!= Defaults!$M$2,#REF!=Defaults!$M$4),E$58=Defaults!$G$5),"Required Input","Not Required"))</f>
        <v/>
      </c>
      <c r="E59" s="1449"/>
      <c r="F59" s="1476"/>
      <c r="G59" s="1526" t="str">
        <f t="shared" ref="G59:G63" si="8">IF(ISBLANK(E59),"(Required)","")</f>
        <v>(Required)</v>
      </c>
      <c r="H59" s="1461"/>
      <c r="I59" s="1494"/>
      <c r="J59" s="1526" t="str">
        <f t="shared" ref="J59:J63" si="9">IF(ISBLANK(H59),"(Required)","")</f>
        <v>(Required)</v>
      </c>
      <c r="K59" s="1461"/>
      <c r="L59" s="1494"/>
      <c r="M59" s="1526" t="str">
        <f t="shared" ref="M59:M63" si="10">IF(ISBLANK(K59),"(Required)","")</f>
        <v>(Required)</v>
      </c>
      <c r="N59" s="483"/>
      <c r="O59" s="478"/>
      <c r="P59" s="641"/>
      <c r="Q59" s="478" t="s">
        <v>133</v>
      </c>
      <c r="R59" s="785"/>
    </row>
    <row r="60" spans="2:18" ht="33.75" customHeight="1" x14ac:dyDescent="0.3">
      <c r="B60" s="477" t="s">
        <v>113</v>
      </c>
      <c r="C60" s="478" t="s">
        <v>134</v>
      </c>
      <c r="D60" s="611" t="str">
        <f>IF($E$28="","",IF(AND(OR(#REF!=Defaults!$M$2,#REF!=Defaults!$M$4,#REF!= Defaults!$M$2,#REF!=Defaults!$M$4),OR($E$58=Defaults!$G$3,$E$58=Defaults!$G$4)),"Required Input","Not Required"))</f>
        <v/>
      </c>
      <c r="E60" s="1451"/>
      <c r="F60" s="1476"/>
      <c r="G60" s="1534" t="str">
        <f t="shared" si="8"/>
        <v>(Required)</v>
      </c>
      <c r="H60" s="1463"/>
      <c r="I60" s="1494"/>
      <c r="J60" s="1526" t="str">
        <f t="shared" si="9"/>
        <v>(Required)</v>
      </c>
      <c r="K60" s="1463"/>
      <c r="L60" s="1494"/>
      <c r="M60" s="1526" t="str">
        <f t="shared" si="10"/>
        <v>(Required)</v>
      </c>
      <c r="N60" s="483"/>
      <c r="O60" s="478"/>
      <c r="P60" s="641"/>
      <c r="Q60" s="478" t="s">
        <v>134</v>
      </c>
      <c r="R60" s="785"/>
    </row>
    <row r="61" spans="2:18" ht="33.75" customHeight="1" x14ac:dyDescent="0.3">
      <c r="B61" s="477" t="s">
        <v>115</v>
      </c>
      <c r="C61" s="478" t="s">
        <v>135</v>
      </c>
      <c r="D61" s="605" t="str">
        <f>IF($E$28="","",IF(OR(#REF!=Defaults!$M$4,#REF!=Defaults!$M$4,AND(OR(#REF!=Defaults!$M$2,#REF!=Defaults!$M$2),NOT(ISBLANK(E58)))),"Required Input","Not Required"))</f>
        <v/>
      </c>
      <c r="E61" s="1449"/>
      <c r="F61" s="1476"/>
      <c r="G61" s="1533" t="str">
        <f t="shared" si="8"/>
        <v>(Required)</v>
      </c>
      <c r="H61" s="1461"/>
      <c r="I61" s="1494"/>
      <c r="J61" s="1526" t="str">
        <f t="shared" si="9"/>
        <v>(Required)</v>
      </c>
      <c r="K61" s="1461"/>
      <c r="L61" s="1494"/>
      <c r="M61" s="1526" t="str">
        <f t="shared" si="10"/>
        <v>(Required)</v>
      </c>
      <c r="N61" s="483"/>
      <c r="O61" s="478"/>
      <c r="P61" s="641"/>
      <c r="Q61" s="478" t="s">
        <v>136</v>
      </c>
      <c r="R61" s="785"/>
    </row>
    <row r="62" spans="2:18" ht="33.75" customHeight="1" x14ac:dyDescent="0.3">
      <c r="B62" s="477" t="s">
        <v>117</v>
      </c>
      <c r="C62" s="478" t="s">
        <v>118</v>
      </c>
      <c r="D62" s="611" t="str">
        <f>IF($E$28="","",IF(OR(#REF!=Defaults!$M$4,#REF!=Defaults!$M$4,AND(OR(#REF!=Defaults!$M$2,#REF!=Defaults!$M$2),NOT(ISBLANK(E58)))),"Required Input","Not Required"))</f>
        <v/>
      </c>
      <c r="E62" s="1449"/>
      <c r="F62" s="1476"/>
      <c r="G62" s="1533" t="str">
        <f t="shared" si="8"/>
        <v>(Required)</v>
      </c>
      <c r="H62" s="1461"/>
      <c r="I62" s="1494"/>
      <c r="J62" s="1526" t="str">
        <f t="shared" si="9"/>
        <v>(Required)</v>
      </c>
      <c r="K62" s="1461"/>
      <c r="L62" s="1494"/>
      <c r="M62" s="1526" t="str">
        <f t="shared" si="10"/>
        <v>(Required)</v>
      </c>
      <c r="N62" s="483"/>
      <c r="O62" s="478"/>
      <c r="P62" s="641"/>
      <c r="Q62" s="478"/>
      <c r="R62" s="785"/>
    </row>
    <row r="63" spans="2:18" ht="33.75" customHeight="1" x14ac:dyDescent="0.3">
      <c r="B63" s="477" t="s">
        <v>119</v>
      </c>
      <c r="C63" s="478" t="s">
        <v>137</v>
      </c>
      <c r="D63" s="611" t="str">
        <f>IF($E$28="","",IF(AND(OR(#REF!=Defaults!$M$4,#REF!=Defaults!$M$4,#REF!=Defaults!$M$2,#REF!=Defaults!$M$2),OR(E$58=Defaults!$G$2,E$58=Defaults!$G$3,E$58=Defaults!$G$4,E$58=Defaults!$G$7,E$58=Defaults!$G$9,E$58=Defaults!$G$10)),"Required Input","Not Required"))</f>
        <v/>
      </c>
      <c r="E63" s="1449"/>
      <c r="F63" s="1476"/>
      <c r="G63" s="1533" t="str">
        <f t="shared" si="8"/>
        <v>(Required)</v>
      </c>
      <c r="H63" s="1461"/>
      <c r="I63" s="1494"/>
      <c r="J63" s="1526" t="str">
        <f t="shared" si="9"/>
        <v>(Required)</v>
      </c>
      <c r="K63" s="1461"/>
      <c r="L63" s="1494"/>
      <c r="M63" s="1526" t="str">
        <f t="shared" si="10"/>
        <v>(Required)</v>
      </c>
      <c r="N63" s="483"/>
      <c r="O63" s="478"/>
      <c r="P63" s="641"/>
      <c r="Q63" s="478" t="s">
        <v>138</v>
      </c>
      <c r="R63" s="785"/>
    </row>
    <row r="64" spans="2:18" ht="46.5" x14ac:dyDescent="0.3">
      <c r="B64" s="477" t="s">
        <v>121</v>
      </c>
      <c r="C64" s="478" t="s">
        <v>122</v>
      </c>
      <c r="D64" s="611" t="str">
        <f>IF($E$28="","",IF(OR(#REF!=Defaults!$M$4,#REF!=Defaults!$M$4,AND(OR(#REF!=Defaults!$M$2,#REF!=Defaults!$M$2),NOT(ISBLANK(E58)))),"Optional Input","Not Required"))</f>
        <v/>
      </c>
      <c r="E64" s="1449"/>
      <c r="F64" s="1476"/>
      <c r="G64" s="1534" t="str">
        <f>IF(ISBLANK(E64),"(Optional)","")</f>
        <v>(Optional)</v>
      </c>
      <c r="H64" s="1461"/>
      <c r="I64" s="1494"/>
      <c r="J64" s="1526" t="str">
        <f>IF(ISBLANK(H64),"(Optional)","")</f>
        <v>(Optional)</v>
      </c>
      <c r="K64" s="1461"/>
      <c r="L64" s="1494"/>
      <c r="M64" s="1526" t="str">
        <f>IF(ISBLANK(K64),"(Optional)","")</f>
        <v>(Optional)</v>
      </c>
      <c r="N64" s="483"/>
      <c r="O64" s="478"/>
      <c r="P64" s="641"/>
      <c r="Q64" s="478"/>
      <c r="R64" s="785"/>
    </row>
    <row r="65" spans="2:18" ht="82.5" customHeight="1" x14ac:dyDescent="0.3">
      <c r="B65" s="477" t="s">
        <v>139</v>
      </c>
      <c r="C65" s="478" t="s">
        <v>140</v>
      </c>
      <c r="D65" s="611" t="str">
        <f>IF($E$28="","",IF(AND(NOT(ISBLANK($E$66)),OR($E$58=Defaults!$G$3,$E$58=Defaults!$G$5,$E$58=Defaults!$G$6,$E$58=Defaults!$G$8)),"Optional",IF(AND(OR(#REF!=Defaults!$M$4,#REF!=Defaults!$M$4,#REF!=Defaults!$M$2,#REF!=Defaults!$M$2),OR(E$58=Defaults!$G$2,E$58=Defaults!$G$3,E$58=Defaults!$G$5,E$58=Defaults!$G$6,E$58=Defaults!$G$7,E$58=Defaults!$G$8,E$58=Defaults!$G$9,E$58=Defaults!$G$10)),"Required Input","Not Required")))</f>
        <v/>
      </c>
      <c r="E65" s="1450"/>
      <c r="F65" s="1476"/>
      <c r="G65" s="1533" t="str">
        <f>IF(ISBLANK(E65),"(Required)","")</f>
        <v>(Required)</v>
      </c>
      <c r="H65" s="1456"/>
      <c r="I65" s="1494"/>
      <c r="J65" s="1526" t="str">
        <f>IF(ISBLANK(H65),"(Required)","")</f>
        <v>(Required)</v>
      </c>
      <c r="K65" s="1456"/>
      <c r="L65" s="1494"/>
      <c r="M65" s="1526" t="str">
        <f>IF(ISBLANK(K65),"(Required)","")</f>
        <v>(Required)</v>
      </c>
      <c r="N65" s="483"/>
      <c r="O65" s="478"/>
      <c r="P65" s="641"/>
      <c r="Q65" s="478" t="s">
        <v>140</v>
      </c>
      <c r="R65" s="785"/>
    </row>
    <row r="66" spans="2:18" ht="110.25" customHeight="1" thickBot="1" x14ac:dyDescent="0.35">
      <c r="B66" s="477" t="s">
        <v>141</v>
      </c>
      <c r="C66" s="478" t="s">
        <v>142</v>
      </c>
      <c r="D66" s="605" t="str">
        <f>IF($E$28="","",IF(AND(NOT(ISBLANK($E$65)),OR($E$58=Defaults!$G$3,$E$58=Defaults!$G$5,$E$58=Defaults!$G$6,$E$58=Defaults!$G$8)),"Optional",IF(AND(OR(#REF!=Defaults!$M$2,#REF!=Defaults!$M$4,#REF!=Defaults!$M$2,#REF!=Defaults!$M$4),OR(E$58=Defaults!$G$3,E$58=Defaults!$G$4,E$58=Defaults!$G$5,E$58=Defaults!$G$6,E$58=Defaults!$G$8)),"Required Input","Not Required")))</f>
        <v/>
      </c>
      <c r="E66" s="1450"/>
      <c r="F66" s="1476"/>
      <c r="G66" s="1534" t="str">
        <f>IF(ISBLANK(E66),"(Required)","")</f>
        <v>(Required)</v>
      </c>
      <c r="H66" s="1456"/>
      <c r="I66" s="1494"/>
      <c r="J66" s="1526" t="str">
        <f>IF(ISBLANK(H66),"(Required)","")</f>
        <v>(Required)</v>
      </c>
      <c r="K66" s="1456"/>
      <c r="L66" s="1494"/>
      <c r="M66" s="1535" t="str">
        <f>IF(ISBLANK(K66),"(Required)","")</f>
        <v>(Required)</v>
      </c>
      <c r="N66" s="483"/>
      <c r="O66" s="478"/>
      <c r="P66" s="641"/>
      <c r="Q66" s="478" t="s">
        <v>142</v>
      </c>
      <c r="R66" s="785"/>
    </row>
    <row r="67" spans="2:18" ht="16.5" customHeight="1" thickBot="1" x14ac:dyDescent="0.35">
      <c r="B67" s="612" t="s">
        <v>143</v>
      </c>
      <c r="C67" s="630"/>
      <c r="D67" s="631"/>
      <c r="E67" s="632"/>
      <c r="F67" s="614"/>
      <c r="G67" s="632"/>
      <c r="H67" s="614"/>
      <c r="I67" s="1469"/>
      <c r="J67" s="1489"/>
      <c r="K67" s="614"/>
      <c r="L67" s="614"/>
      <c r="M67" s="1509"/>
      <c r="O67" s="641"/>
      <c r="P67" s="641"/>
      <c r="Q67" s="641"/>
      <c r="R67" s="641"/>
    </row>
    <row r="68" spans="2:18" ht="31" x14ac:dyDescent="0.3">
      <c r="B68" s="628" t="s">
        <v>144</v>
      </c>
      <c r="C68" s="629" t="s">
        <v>41</v>
      </c>
      <c r="D68" s="481" t="s">
        <v>42</v>
      </c>
      <c r="E68" s="482" t="s">
        <v>40</v>
      </c>
      <c r="F68" s="1469" t="s">
        <v>88</v>
      </c>
      <c r="G68" s="788"/>
      <c r="H68" s="486" t="s">
        <v>40</v>
      </c>
      <c r="I68" s="1469" t="s">
        <v>88</v>
      </c>
      <c r="J68" s="788"/>
      <c r="K68" s="486" t="s">
        <v>40</v>
      </c>
      <c r="L68" s="1490" t="s">
        <v>88</v>
      </c>
      <c r="M68" s="1489"/>
      <c r="N68" s="483"/>
      <c r="O68" s="641"/>
      <c r="P68" s="641"/>
      <c r="Q68" s="641"/>
      <c r="R68" s="641"/>
    </row>
    <row r="69" spans="2:18" ht="51.75" customHeight="1" x14ac:dyDescent="0.3">
      <c r="B69" s="477" t="s">
        <v>109</v>
      </c>
      <c r="C69" s="478" t="s">
        <v>145</v>
      </c>
      <c r="D69" s="611" t="str">
        <f>IF($E$28="","",IF(OR(#REF!=Defaults!$M$5,#REF!=Defaults!$M$5),"Required Input",IF(AND(NOT(ISBLANK(E$28)),NOT(OR(#REF!=Defaults!$M$5,#REF!=Defaults!$M$5))),"Optional Input","Not Required")))</f>
        <v/>
      </c>
      <c r="E69" s="1443"/>
      <c r="F69" s="1471"/>
      <c r="G69" s="1526" t="str">
        <f>IF(ISBLANK(E69),IF(E$28=Defaults!$M$5,"(Required)","(Optional)"),"")</f>
        <v>(Optional)</v>
      </c>
      <c r="H69" s="1462"/>
      <c r="I69" s="1494"/>
      <c r="J69" s="1526" t="str">
        <f>IF(ISBLANK(H69),IF(H$28=Defaults!$M$5,"(Required)","(Optional)"),"")</f>
        <v>(Optional)</v>
      </c>
      <c r="K69" s="1462"/>
      <c r="L69" s="1494"/>
      <c r="M69" s="1526" t="str">
        <f>IF(ISBLANK(K69),IF(K$28=Defaults!$M$5,"(Required)","(Optional)"),"")</f>
        <v>(Optional)</v>
      </c>
      <c r="N69" s="483"/>
      <c r="O69" s="478" t="str">
        <f>IF($E$28="","","The vehicle type (e.g., Transit Bus, Streetcar, Ferry, etc.) of the vehicle(s) that will realize fuel/energy reductions as a result of The project.")</f>
        <v/>
      </c>
      <c r="P69" s="641"/>
      <c r="Q69" s="478" t="s">
        <v>145</v>
      </c>
      <c r="R69" s="785"/>
    </row>
    <row r="70" spans="2:18" ht="33.75" customHeight="1" x14ac:dyDescent="0.3">
      <c r="B70" s="477" t="s">
        <v>111</v>
      </c>
      <c r="C70" s="478" t="s">
        <v>146</v>
      </c>
      <c r="D70" s="611" t="str">
        <f>IF($E$28="","",IF(E$69=Defaults!$G$5,"Required Input","Not Required"))</f>
        <v/>
      </c>
      <c r="E70" s="895"/>
      <c r="F70" s="1471"/>
      <c r="G70" s="1521" t="str">
        <f>IF(ISBLANK(E70),"(Required)","")</f>
        <v>(Required)</v>
      </c>
      <c r="H70" s="1464"/>
      <c r="I70" s="1494"/>
      <c r="J70" s="1521" t="str">
        <f>IF(ISBLANK(H70),"(Required)","")</f>
        <v>(Required)</v>
      </c>
      <c r="K70" s="1464"/>
      <c r="L70" s="1494"/>
      <c r="M70" s="1521" t="str">
        <f>IF(ISBLANK(K70),"(Required)","")</f>
        <v>(Required)</v>
      </c>
      <c r="N70" s="483"/>
      <c r="O70" s="478" t="str">
        <f>IF($E$28="","",IF(D70="Not Required","Not applicable for this project type.","The engine tier of the vehicle(s) that will realize fuel/energy reductions as a result of the project."))</f>
        <v/>
      </c>
      <c r="P70" s="641"/>
      <c r="Q70" s="478" t="s">
        <v>146</v>
      </c>
      <c r="R70" s="785"/>
    </row>
    <row r="71" spans="2:18" ht="33.75" customHeight="1" x14ac:dyDescent="0.3">
      <c r="B71" s="477" t="s">
        <v>113</v>
      </c>
      <c r="C71" s="478" t="s">
        <v>147</v>
      </c>
      <c r="D71" s="611" t="str">
        <f>IF($E$28="","",IF(OR(E$69=Defaults!$G$3,E$69=Defaults!$G$4),"Required Input","Not Required"))</f>
        <v/>
      </c>
      <c r="E71" s="895"/>
      <c r="F71" s="1471"/>
      <c r="G71" s="1521" t="str">
        <f>IF(ISBLANK(E71),"(Required)","")</f>
        <v>(Required)</v>
      </c>
      <c r="H71" s="1464"/>
      <c r="I71" s="1494"/>
      <c r="J71" s="1521" t="str">
        <f>IF(ISBLANK(H71),"(Required)","")</f>
        <v>(Required)</v>
      </c>
      <c r="K71" s="1464"/>
      <c r="L71" s="1494"/>
      <c r="M71" s="1521" t="str">
        <f>IF(ISBLANK(K71),"(Required)","")</f>
        <v>(Required)</v>
      </c>
      <c r="N71" s="483"/>
      <c r="O71" s="478" t="str">
        <f>IF($E$28="","",IF(D71="Not Required","Not applicable for this project type.","The engine horsepower rating of the vehicle(s) that will realize fuel/energy reductions as a result of the project."))</f>
        <v/>
      </c>
      <c r="P71" s="641"/>
      <c r="Q71" s="478" t="s">
        <v>147</v>
      </c>
      <c r="R71" s="785"/>
    </row>
    <row r="72" spans="2:18" ht="33.75" customHeight="1" x14ac:dyDescent="0.3">
      <c r="B72" s="477" t="s">
        <v>115</v>
      </c>
      <c r="C72" s="478" t="s">
        <v>148</v>
      </c>
      <c r="D72" s="611" t="str">
        <f>IF($E$28="","",IF(OR(#REF!=Defaults!$M$5,#REF!=Defaults!$M$5,AND(NOT(ISBLANK(E$28)),NOT(ISBLANK(E$69)))),"Required Input","Not Required"))</f>
        <v/>
      </c>
      <c r="E72" s="1449"/>
      <c r="F72" s="1471"/>
      <c r="G72" s="1526" t="str">
        <f>IF(ISBLANK(E72),"(Required)","")</f>
        <v>(Required)</v>
      </c>
      <c r="H72" s="1461"/>
      <c r="I72" s="1494"/>
      <c r="J72" s="1526" t="str">
        <f>IF(ISBLANK(H72),"(Required)","")</f>
        <v>(Required)</v>
      </c>
      <c r="K72" s="1461"/>
      <c r="L72" s="1494"/>
      <c r="M72" s="1526" t="str">
        <f>IF(ISBLANK(K72),"(Required)","")</f>
        <v>(Required)</v>
      </c>
      <c r="N72" s="483"/>
      <c r="O72" s="478" t="str">
        <f>IF($E$28="","",IF(D72="Not Required","Not applicable for this project type.","The fuel/energy type (e.g., diesel, grid electricity, etc.) being reduced as a result of the project."))</f>
        <v/>
      </c>
      <c r="P72" s="641"/>
      <c r="Q72" s="478" t="s">
        <v>149</v>
      </c>
      <c r="R72" s="785"/>
    </row>
    <row r="73" spans="2:18" ht="33.75" customHeight="1" x14ac:dyDescent="0.3">
      <c r="B73" s="477" t="s">
        <v>119</v>
      </c>
      <c r="C73" s="478" t="s">
        <v>150</v>
      </c>
      <c r="D73" s="611" t="str">
        <f>IF($E$28="","",IF(OR(E$69=Defaults!$G$2,E$69=Defaults!$G$3,E$69=Defaults!$G$4,E$69=Defaults!$G$7,E$69=Defaults!$G$9,E$69=Defaults!$G$10),"Required Input","Not Required"))</f>
        <v/>
      </c>
      <c r="E73" s="1449"/>
      <c r="F73" s="1471"/>
      <c r="G73" s="1526" t="str">
        <f>IF(ISBLANK(E73),"(Required)","")</f>
        <v>(Required)</v>
      </c>
      <c r="H73" s="1461"/>
      <c r="I73" s="1494"/>
      <c r="J73" s="1526" t="str">
        <f>IF(ISBLANK(H73),"(Required)","")</f>
        <v>(Required)</v>
      </c>
      <c r="K73" s="1461"/>
      <c r="L73" s="1494"/>
      <c r="M73" s="1526" t="str">
        <f>IF(ISBLANK(K73),"(Required)","")</f>
        <v>(Required)</v>
      </c>
      <c r="N73" s="483"/>
      <c r="O73" s="478" t="str">
        <f>IF($E$28="","",IF(D73="Not Required","Not applicable for this project type.","The average engine model year(s) of the vehicle(s) that will realize fuel/energy reductions as a result of the project."))</f>
        <v/>
      </c>
      <c r="P73" s="641"/>
      <c r="Q73" s="478" t="s">
        <v>151</v>
      </c>
      <c r="R73" s="785"/>
    </row>
    <row r="74" spans="2:18" ht="173.25" customHeight="1" thickBot="1" x14ac:dyDescent="0.35">
      <c r="B74" s="477" t="s">
        <v>152</v>
      </c>
      <c r="C74" s="478" t="s">
        <v>153</v>
      </c>
      <c r="D74" s="605" t="str">
        <f>IF($E$28="","",IF(NOT(ISBLANK(E69)),"Required Input","Not Required"))</f>
        <v/>
      </c>
      <c r="E74" s="1450"/>
      <c r="F74" s="1471"/>
      <c r="G74" s="1526" t="str">
        <f>IF(ISBLANK(E74),"(Required)","")</f>
        <v>(Required)</v>
      </c>
      <c r="H74" s="1456"/>
      <c r="I74" s="1494"/>
      <c r="J74" s="1526" t="str">
        <f>IF(ISBLANK(H74),"(Required)","")</f>
        <v>(Required)</v>
      </c>
      <c r="K74" s="1456"/>
      <c r="L74" s="1494"/>
      <c r="M74" s="1526" t="str">
        <f>IF(ISBLANK(K74),"(Required)","")</f>
        <v>(Required)</v>
      </c>
      <c r="N74" s="483"/>
      <c r="O74" s="478" t="str">
        <f>IF($E$28="","",IF(D74="Not Required","Not applicable for this project type.","The estimated annual fuel/energy reductions expected to be realized as a result of the project.
Units of gallons for biodiesel, diesel, gasoline, LNG, renewable diesel; scf for CNG and renewable natural gas; kWh for electric; kg for hydrogen."&amp;"
For projects that generate renewable electricity using solar photovoltaic panels, applicants should use the PVWatts Calculator to determine this input, available at http://pvwatts.nrel.gov/."))</f>
        <v/>
      </c>
      <c r="P74" s="641"/>
      <c r="Q74" s="478" t="s">
        <v>154</v>
      </c>
      <c r="R74" s="785"/>
    </row>
    <row r="75" spans="2:18" ht="16.5" customHeight="1" thickBot="1" x14ac:dyDescent="0.35">
      <c r="B75" s="612" t="s">
        <v>155</v>
      </c>
      <c r="C75" s="630"/>
      <c r="D75" s="631"/>
      <c r="E75" s="632"/>
      <c r="F75" s="614"/>
      <c r="G75" s="632"/>
      <c r="H75" s="614"/>
      <c r="I75" s="614"/>
      <c r="J75" s="632"/>
      <c r="K75" s="614"/>
      <c r="L75" s="614"/>
      <c r="M75" s="1509"/>
      <c r="O75" s="641"/>
      <c r="P75" s="641"/>
      <c r="Q75" s="641"/>
      <c r="R75" s="641"/>
    </row>
    <row r="76" spans="2:18" ht="31" x14ac:dyDescent="0.3">
      <c r="B76" s="628" t="s">
        <v>156</v>
      </c>
      <c r="C76" s="627" t="s">
        <v>41</v>
      </c>
      <c r="D76" s="626" t="s">
        <v>42</v>
      </c>
      <c r="E76" s="482" t="s">
        <v>40</v>
      </c>
      <c r="F76" s="1469" t="s">
        <v>88</v>
      </c>
      <c r="G76" s="788"/>
      <c r="H76" s="486" t="s">
        <v>40</v>
      </c>
      <c r="I76" s="1490" t="s">
        <v>88</v>
      </c>
      <c r="J76" s="788"/>
      <c r="K76" s="486" t="s">
        <v>40</v>
      </c>
      <c r="L76" s="1490" t="s">
        <v>88</v>
      </c>
      <c r="M76" s="1489"/>
      <c r="O76" s="641"/>
      <c r="P76" s="641"/>
      <c r="Q76" s="641"/>
      <c r="R76" s="641"/>
    </row>
    <row r="77" spans="2:18" ht="47.25" customHeight="1" x14ac:dyDescent="0.35">
      <c r="B77" s="477" t="s">
        <v>157</v>
      </c>
      <c r="C77" s="478" t="s">
        <v>158</v>
      </c>
      <c r="D77" s="605" t="str">
        <f>IF($E$28="","",IF(OR(#REF!=Defaults!$M$3,#REF!= Defaults!$M$3),"Required Input","Not Required"))</f>
        <v/>
      </c>
      <c r="E77" s="1453"/>
      <c r="F77" s="1471"/>
      <c r="G77" s="1526" t="str">
        <f>IF(ISBLANK(E77),"(Optional)","")</f>
        <v>(Optional)</v>
      </c>
      <c r="H77" s="1455"/>
      <c r="I77" s="1494"/>
      <c r="J77" s="1526" t="str">
        <f>IF(ISBLANK(H77),"(Optional)","")</f>
        <v>(Optional)</v>
      </c>
      <c r="K77" s="1455"/>
      <c r="L77" s="1494"/>
      <c r="M77" s="1526" t="str">
        <f>IF(ISBLANK(K77),"(Optional)","")</f>
        <v>(Optional)</v>
      </c>
      <c r="N77" s="463"/>
      <c r="O77" s="478" t="s">
        <v>159</v>
      </c>
      <c r="P77" s="641"/>
      <c r="Q77" s="478" t="s">
        <v>158</v>
      </c>
      <c r="R77" s="785"/>
    </row>
    <row r="78" spans="2:18" ht="47.25" customHeight="1" x14ac:dyDescent="0.35">
      <c r="B78" s="477" t="s">
        <v>160</v>
      </c>
      <c r="C78" s="478" t="s">
        <v>161</v>
      </c>
      <c r="D78" s="605" t="str">
        <f>IF($E$28="","",IF(OR(#REF!=Defaults!$M$2,#REF!= Defaults!$M$3,#REF!= Defaults!$M$2,#REF!= Defaults!$M$3),"Required Input","Not Required"))</f>
        <v/>
      </c>
      <c r="E78" s="1453"/>
      <c r="F78" s="1470"/>
      <c r="G78" s="1526" t="str">
        <f>IF(ISBLANK(E78),"(Optional)","")</f>
        <v>(Optional)</v>
      </c>
      <c r="H78" s="1465"/>
      <c r="I78" s="1482"/>
      <c r="J78" s="1526" t="str">
        <f>IF(ISBLANK(H78),"(Optional)","")</f>
        <v>(Optional)</v>
      </c>
      <c r="K78" s="1465"/>
      <c r="L78" s="1482"/>
      <c r="M78" s="1526" t="str">
        <f t="shared" ref="M78:M81" si="11">IF(ISBLANK(K78),"(Optional)","")</f>
        <v>(Optional)</v>
      </c>
      <c r="N78" s="463"/>
      <c r="O78" s="478" t="str">
        <f>IF($E$28="","",IF(D78="Not Required","Not applicable for this project type.","The new expected average fare cost per trip per rider resulting from the proposed project."))</f>
        <v/>
      </c>
      <c r="P78" s="641"/>
      <c r="Q78" s="478" t="s">
        <v>161</v>
      </c>
      <c r="R78" s="785"/>
    </row>
    <row r="79" spans="2:18" ht="78.75" customHeight="1" x14ac:dyDescent="0.35">
      <c r="B79" s="477" t="s">
        <v>162</v>
      </c>
      <c r="C79" s="478" t="s">
        <v>163</v>
      </c>
      <c r="D79" s="605" t="str">
        <f>IF($E$28="","",IF(OR(#REF!=Defaults!$M$2,#REF!= Defaults!$M$3,#REF!= Defaults!$M$2,#REF!= Defaults!$M$3),"Required Input","Not Required"))</f>
        <v/>
      </c>
      <c r="E79" s="1453"/>
      <c r="F79" s="1470"/>
      <c r="G79" s="1526" t="str">
        <f>IF(ISBLANK(E79),"(Optional)","")</f>
        <v>(Optional)</v>
      </c>
      <c r="H79" s="1465"/>
      <c r="I79" s="1482"/>
      <c r="J79" s="1526" t="str">
        <f>IF(ISBLANK(H79),"(Optional)","")</f>
        <v>(Optional)</v>
      </c>
      <c r="K79" s="1465"/>
      <c r="L79" s="1482"/>
      <c r="M79" s="1526" t="str">
        <f t="shared" si="11"/>
        <v>(Optional)</v>
      </c>
      <c r="N79" s="463"/>
      <c r="O79" s="478" t="str">
        <f>IF($E$28="","",IF(D79="Not Required","Not applicable for this project type.","The average expected cost of parking per trip per rider that riders would pay at the transit facility where the trip originates. "&amp;"Consider that not all transit riders may use the parking. However, the calculations will already take into account that parking is only paid once per round trip."))</f>
        <v/>
      </c>
      <c r="P79" s="641"/>
      <c r="Q79" s="478" t="s">
        <v>164</v>
      </c>
      <c r="R79" s="785"/>
    </row>
    <row r="80" spans="2:18" ht="78.75" customHeight="1" x14ac:dyDescent="0.35">
      <c r="B80" s="477" t="s">
        <v>165</v>
      </c>
      <c r="C80" s="478" t="s">
        <v>166</v>
      </c>
      <c r="D80" s="605" t="str">
        <f>IF($E$28="","",IF(OR(#REF!=Defaults!$M$2,#REF!= Defaults!$M$3,#REF!= Defaults!$M$2,#REF!= Defaults!$M$3),"Required Input","Not Required"))</f>
        <v/>
      </c>
      <c r="E80" s="1453"/>
      <c r="F80" s="1470"/>
      <c r="G80" s="1526" t="str">
        <f>IF(ISBLANK(E80),"(Optional)","")</f>
        <v>(Optional)</v>
      </c>
      <c r="H80" s="1465"/>
      <c r="I80" s="1482"/>
      <c r="J80" s="1526" t="str">
        <f>IF(ISBLANK(H80),"(Optional)","")</f>
        <v>(Optional)</v>
      </c>
      <c r="K80" s="1465"/>
      <c r="L80" s="1482"/>
      <c r="M80" s="1526" t="str">
        <f t="shared" si="11"/>
        <v>(Optional)</v>
      </c>
      <c r="N80" s="463"/>
      <c r="O80" s="478" t="str">
        <f>IF($E$28="","",IF(D80="Not Required","Not applicable for this project type.","The average expected cost of parking per trip per rider  that riders would have otherwise paid if not using the service resulting from the project. "&amp;"The calculations will already take into account that parking is only paid once per round trip."))</f>
        <v/>
      </c>
      <c r="P80" s="641"/>
      <c r="Q80" s="478" t="s">
        <v>166</v>
      </c>
      <c r="R80" s="785"/>
    </row>
    <row r="81" spans="2:18" ht="79.5" customHeight="1" thickBot="1" x14ac:dyDescent="0.4">
      <c r="B81" s="484" t="s">
        <v>167</v>
      </c>
      <c r="C81" s="485" t="s">
        <v>168</v>
      </c>
      <c r="D81" s="605" t="str">
        <f>IF($E$28="","",IF(OR(#REF!=Defaults!$M$2,#REF!= Defaults!$M$3,#REF!= Defaults!$M$2,#REF!= Defaults!$M$3),"Required Input","Not Required"))</f>
        <v/>
      </c>
      <c r="E81" s="1454"/>
      <c r="F81" s="1477"/>
      <c r="G81" s="1535" t="str">
        <f>IF(ISBLANK(E81),"(Optional)","")</f>
        <v>(Optional)</v>
      </c>
      <c r="H81" s="1466"/>
      <c r="I81" s="1496"/>
      <c r="J81" s="1535" t="str">
        <f>IF(ISBLANK(H81),"(Optional)","")</f>
        <v>(Optional)</v>
      </c>
      <c r="K81" s="1466"/>
      <c r="L81" s="1496"/>
      <c r="M81" s="1535" t="str">
        <f t="shared" si="11"/>
        <v>(Optional)</v>
      </c>
      <c r="N81" s="463"/>
      <c r="O81" s="485" t="str">
        <f>IF($E$28="","",IF(D81="Not Required","Not applicable for this project type.","The average expected cost of tolls per trip per rider that riders would have otherwise paid if not using the service resulting from the project. The calculations will already take into account that tolls are only paid once per round trip."))</f>
        <v/>
      </c>
      <c r="P81" s="783"/>
      <c r="Q81" s="485" t="s">
        <v>169</v>
      </c>
      <c r="R81" s="783"/>
    </row>
    <row r="82" spans="2:18" ht="16.5" hidden="1" customHeight="1" thickBot="1" x14ac:dyDescent="0.35">
      <c r="B82" s="612" t="s">
        <v>155</v>
      </c>
      <c r="C82" s="630"/>
      <c r="D82" s="631"/>
      <c r="E82" s="632"/>
      <c r="F82" s="632"/>
      <c r="G82" s="614"/>
      <c r="H82" s="614"/>
      <c r="I82" s="614"/>
      <c r="J82" s="614"/>
      <c r="K82" s="614"/>
      <c r="L82" s="632"/>
      <c r="M82" s="1486"/>
      <c r="O82" s="641"/>
      <c r="P82" s="641"/>
      <c r="Q82" s="642" t="s">
        <v>38</v>
      </c>
      <c r="R82" s="642"/>
    </row>
    <row r="83" spans="2:18" ht="48.5" hidden="1" x14ac:dyDescent="0.35">
      <c r="B83" s="634" t="s">
        <v>170</v>
      </c>
      <c r="C83" s="478" t="s">
        <v>171</v>
      </c>
      <c r="D83" s="636" t="s">
        <v>66</v>
      </c>
      <c r="E83" s="896" t="str">
        <f ca="1">IF('GHG Calcs'!CK12="","Incomplete Inputs",IFERROR('GHG Calcs'!CK12,"Incomplete Inputs"))</f>
        <v>Incomplete Inputs</v>
      </c>
      <c r="F83" s="893"/>
      <c r="G83" s="1478"/>
      <c r="H83" s="878" t="str">
        <f ca="1">IFERROR(VLOOKUP(MID(CELL("filename",H$43),FIND("]",CELL("filename",H$43))+1,255)&amp;SUBSTITUTE(ADDRESS(1,COLUMN(H$43),4),"1",""),'GHG Calcs'!$F$12:$CL$12,MATCH('GHG Calcs'!$CK$11,'GHG Calcs'!$F$11:$CL$11,0),0),"Incomplete Inputs")</f>
        <v>Incomplete Inputs</v>
      </c>
      <c r="I83" s="798"/>
      <c r="J83" s="1483"/>
      <c r="K83" s="800" t="str">
        <f ca="1">IFERROR(VLOOKUP(MID(CELL("filename",K$43),FIND("]",CELL("filename",K$43))+1,255)&amp;SUBSTITUTE(ADDRESS(1,COLUMN(K$43),4),"1",""),'GHG Calcs'!$F$12:$CL$12,MATCH('GHG Calcs'!$CK$11,'GHG Calcs'!$F$11:$CL$11,0),0),"Incomplete Inputs")</f>
        <v>Incomplete Inputs</v>
      </c>
      <c r="L83" s="798"/>
      <c r="M83" s="1487"/>
      <c r="N83" s="483"/>
      <c r="O83" s="641"/>
      <c r="P83" s="787" t="str">
        <f ca="1">IF('GHG Calcs'!CK12="","Incomplete Inputs",IFERROR('GHG Calcs'!CK12,"Incomplete Inputs"))</f>
        <v>Incomplete Inputs</v>
      </c>
      <c r="Q83" s="642" t="s">
        <v>38</v>
      </c>
      <c r="R83" s="787" t="str">
        <f ca="1">IFERROR(VLOOKUP(MID(CELL("filename",E$43),FIND("]",CELL("filename",E$43))+1,255)&amp;SUBSTITUTE(ADDRESS(1,COLUMN(E$43),4),"1",""),'GHG Calcs'!$F$12:$CL$12,MATCH('GHG Calcs'!$CK$11,'GHG Calcs'!$F$11:$CL$11,0),0),"Incomplete Inputs")</f>
        <v>Incomplete Inputs</v>
      </c>
    </row>
    <row r="84" spans="2:18" ht="62" hidden="1" x14ac:dyDescent="0.35">
      <c r="B84" s="477" t="s">
        <v>172</v>
      </c>
      <c r="C84" s="478" t="s">
        <v>173</v>
      </c>
      <c r="D84" s="605" t="s">
        <v>66</v>
      </c>
      <c r="E84" s="899" t="str">
        <f ca="1">IFERROR('GHG Calcs'!CK12*#REF!/#REF!,IF(ISERROR('GHG Calcs'!CK12),"Incomplete Inputs","Incomplete Funding Inputs"))</f>
        <v>Incomplete Funding Inputs</v>
      </c>
      <c r="F84" s="1096"/>
      <c r="G84" s="1479"/>
      <c r="H84" s="1097" t="str">
        <f ca="1">IFERROR(H83*(H17+H21)/H25,IF(ISTEXT(H83),"Incomplete Inputs","Incomplete Funding Inputs"))</f>
        <v>Incomplete Inputs</v>
      </c>
      <c r="I84" s="1098"/>
      <c r="J84" s="1484"/>
      <c r="K84" s="1099" t="str">
        <f ca="1">IFERROR(K83*(K17+K21)/K25,IF(ISTEXT(K83),"Incomplete Inputs","Incomplete Funding Inputs"))</f>
        <v>Incomplete Inputs</v>
      </c>
      <c r="L84" s="1098"/>
      <c r="M84" s="1487"/>
      <c r="N84" s="483"/>
      <c r="O84" s="641"/>
      <c r="P84" s="787" t="str">
        <f ca="1">IFERROR('GHG Calcs'!CK12*#REF!/#REF!,IF(ISERROR('GHG Calcs'!CK12),"Incomplete Inputs","Incomplete Funding Inputs"))</f>
        <v>Incomplete Funding Inputs</v>
      </c>
      <c r="Q84" s="642" t="s">
        <v>38</v>
      </c>
      <c r="R84" s="787" t="str">
        <f ca="1">IFERROR(E83*(E17+E21)/E25,IF(ISTEXT(E83),"Incomplete Inputs","Incomplete Funding Inputs"))</f>
        <v>Incomplete Inputs</v>
      </c>
    </row>
    <row r="85" spans="2:18" ht="78" hidden="1" thickBot="1" x14ac:dyDescent="0.4">
      <c r="B85" s="635" t="s">
        <v>174</v>
      </c>
      <c r="C85" s="898" t="s">
        <v>175</v>
      </c>
      <c r="D85" s="721" t="s">
        <v>66</v>
      </c>
      <c r="E85" s="897" t="str">
        <f ca="1">IFERROR('GHG Calcs'!CK12*#REF!/#REF!,IF(ISERROR('GHG Calcs'!CK12),"Incomplete Inputs","Incomplete Funding Inputs"))</f>
        <v>Incomplete Funding Inputs</v>
      </c>
      <c r="F85" s="894"/>
      <c r="G85" s="1480"/>
      <c r="H85" s="879" t="str">
        <f ca="1">IFERROR(H83*H17/H25,IF(ISTEXT(H83),"Incomplete Inputs","Incomplete Funding Inputs"))</f>
        <v>Incomplete Inputs</v>
      </c>
      <c r="I85" s="799"/>
      <c r="J85" s="1485"/>
      <c r="K85" s="801" t="str">
        <f ca="1">IFERROR(K83*K17/K25,IF(ISTEXT(K83),"Incomplete Inputs","Incomplete Funding Inputs"))</f>
        <v>Incomplete Inputs</v>
      </c>
      <c r="L85" s="799"/>
      <c r="M85" s="1487"/>
      <c r="O85" s="641"/>
      <c r="P85" s="787" t="str">
        <f>IFERROR('GHG Calcs'!#REF!*#REF!/#REF!,IF(ISERROR('GHG Calcs'!#REF!),"Incomplete Inputs","Incomplete Funding Inputs"))</f>
        <v>Incomplete Inputs</v>
      </c>
      <c r="Q85" s="642" t="s">
        <v>38</v>
      </c>
      <c r="R85" s="787" t="str">
        <f ca="1">IFERROR(E84*(E18+E22)/E26,IF(ISTEXT(E84),"Incomplete Inputs","Incomplete Funding Inputs"))</f>
        <v>Incomplete Inputs</v>
      </c>
    </row>
    <row r="86" spans="2:18" ht="15.5" x14ac:dyDescent="0.35">
      <c r="B86" s="463"/>
      <c r="C86" s="463"/>
      <c r="D86" s="463"/>
      <c r="E86" s="463"/>
      <c r="F86" s="463"/>
      <c r="G86" s="463"/>
    </row>
    <row r="87" spans="2:18" ht="15.5" x14ac:dyDescent="0.35">
      <c r="B87" s="463"/>
      <c r="C87" s="463"/>
      <c r="D87" s="463"/>
      <c r="E87" s="463"/>
      <c r="F87" s="463"/>
      <c r="G87" s="463"/>
    </row>
    <row r="88" spans="2:18" ht="15.5" x14ac:dyDescent="0.35">
      <c r="B88" s="463"/>
      <c r="C88" s="463"/>
      <c r="D88" s="463"/>
      <c r="E88" s="463"/>
      <c r="F88" s="463"/>
      <c r="G88" s="463"/>
    </row>
    <row r="89" spans="2:18" ht="15.5" x14ac:dyDescent="0.35">
      <c r="B89" s="463"/>
      <c r="C89" s="463"/>
      <c r="D89" s="463"/>
      <c r="E89" s="463"/>
      <c r="F89" s="463"/>
      <c r="G89" s="463"/>
    </row>
    <row r="90" spans="2:18" ht="15.5" x14ac:dyDescent="0.35">
      <c r="B90" s="463"/>
      <c r="C90" s="463"/>
      <c r="D90" s="463"/>
      <c r="E90" s="463"/>
      <c r="F90" s="463"/>
      <c r="G90" s="463"/>
    </row>
    <row r="91" spans="2:18" ht="15.5" x14ac:dyDescent="0.35">
      <c r="B91" s="463"/>
      <c r="C91" s="463"/>
      <c r="D91" s="463"/>
      <c r="E91" s="463"/>
      <c r="F91" s="463"/>
      <c r="G91" s="463"/>
    </row>
    <row r="92" spans="2:18" ht="15.5" x14ac:dyDescent="0.35">
      <c r="B92" s="463"/>
      <c r="C92" s="463"/>
      <c r="D92" s="463"/>
      <c r="E92" s="463"/>
      <c r="F92" s="463"/>
      <c r="G92" s="463"/>
    </row>
    <row r="93" spans="2:18" ht="15.5" x14ac:dyDescent="0.35">
      <c r="B93" s="463"/>
      <c r="C93" s="463"/>
      <c r="D93" s="463"/>
      <c r="E93" s="463"/>
      <c r="F93" s="463"/>
      <c r="G93" s="463"/>
    </row>
    <row r="94" spans="2:18" ht="15.5" x14ac:dyDescent="0.35">
      <c r="B94" s="463"/>
      <c r="C94" s="463"/>
      <c r="D94" s="463"/>
      <c r="E94" s="463"/>
      <c r="F94" s="463"/>
      <c r="G94" s="463"/>
    </row>
    <row r="95" spans="2:18" ht="15.5" x14ac:dyDescent="0.35">
      <c r="B95" s="463"/>
      <c r="C95" s="463"/>
      <c r="D95" s="463"/>
      <c r="E95" s="463"/>
      <c r="F95" s="463"/>
      <c r="G95" s="463"/>
    </row>
    <row r="96" spans="2:18" ht="15.5" x14ac:dyDescent="0.35">
      <c r="B96" s="463"/>
      <c r="C96" s="463"/>
      <c r="D96" s="463"/>
      <c r="E96" s="463"/>
      <c r="F96" s="463"/>
      <c r="G96" s="463"/>
    </row>
    <row r="97" spans="2:7" ht="15.5" x14ac:dyDescent="0.35">
      <c r="B97" s="463"/>
      <c r="C97" s="463"/>
      <c r="D97" s="463"/>
      <c r="E97" s="463"/>
      <c r="F97" s="463"/>
      <c r="G97" s="463"/>
    </row>
    <row r="98" spans="2:7" ht="15.5" x14ac:dyDescent="0.35">
      <c r="B98" s="463"/>
      <c r="C98" s="463"/>
      <c r="D98" s="463"/>
      <c r="E98" s="463"/>
      <c r="F98" s="463"/>
      <c r="G98" s="463"/>
    </row>
    <row r="99" spans="2:7" ht="15.5" x14ac:dyDescent="0.35">
      <c r="B99" s="463"/>
      <c r="C99" s="463"/>
      <c r="D99" s="463"/>
      <c r="E99" s="463"/>
      <c r="F99" s="463"/>
      <c r="G99" s="463"/>
    </row>
    <row r="100" spans="2:7" ht="15.5" x14ac:dyDescent="0.35">
      <c r="B100" s="463"/>
      <c r="C100" s="463"/>
      <c r="D100" s="463"/>
      <c r="E100" s="463"/>
      <c r="F100" s="463"/>
      <c r="G100" s="463"/>
    </row>
    <row r="101" spans="2:7" ht="15.5" x14ac:dyDescent="0.35">
      <c r="B101" s="463"/>
      <c r="C101" s="463"/>
      <c r="D101" s="463"/>
      <c r="E101" s="463"/>
      <c r="F101" s="463"/>
      <c r="G101" s="463"/>
    </row>
    <row r="102" spans="2:7" ht="15.5" x14ac:dyDescent="0.35">
      <c r="B102" s="463"/>
      <c r="C102" s="463"/>
      <c r="D102" s="463"/>
      <c r="E102" s="463"/>
      <c r="F102" s="463"/>
      <c r="G102" s="463"/>
    </row>
    <row r="103" spans="2:7" ht="15.5" x14ac:dyDescent="0.35">
      <c r="B103" s="463"/>
      <c r="C103" s="463"/>
      <c r="D103" s="463"/>
      <c r="E103" s="463"/>
      <c r="F103" s="463"/>
      <c r="G103" s="463"/>
    </row>
    <row r="104" spans="2:7" ht="15.5" x14ac:dyDescent="0.35">
      <c r="B104" s="463"/>
      <c r="C104" s="463"/>
      <c r="D104" s="463"/>
      <c r="E104" s="463"/>
      <c r="F104" s="463"/>
      <c r="G104" s="463"/>
    </row>
    <row r="105" spans="2:7" ht="15.5" x14ac:dyDescent="0.35">
      <c r="B105" s="463"/>
      <c r="C105" s="463"/>
      <c r="D105" s="463"/>
      <c r="E105" s="463"/>
      <c r="F105" s="463"/>
      <c r="G105" s="463"/>
    </row>
    <row r="106" spans="2:7" ht="15.5" x14ac:dyDescent="0.35">
      <c r="B106" s="463"/>
      <c r="C106" s="463"/>
      <c r="D106" s="463"/>
      <c r="E106" s="463"/>
      <c r="F106" s="463"/>
      <c r="G106" s="463"/>
    </row>
    <row r="107" spans="2:7" ht="15.5" x14ac:dyDescent="0.35">
      <c r="B107" s="463"/>
      <c r="C107" s="463"/>
      <c r="D107" s="463"/>
      <c r="E107" s="463"/>
      <c r="F107" s="463"/>
      <c r="G107" s="463"/>
    </row>
    <row r="108" spans="2:7" ht="15.5" x14ac:dyDescent="0.35">
      <c r="B108" s="463"/>
      <c r="C108" s="463"/>
      <c r="D108" s="463"/>
      <c r="E108" s="463"/>
      <c r="F108" s="463"/>
      <c r="G108" s="463"/>
    </row>
    <row r="109" spans="2:7" ht="15.5" x14ac:dyDescent="0.35">
      <c r="B109" s="463"/>
      <c r="C109" s="463"/>
      <c r="D109" s="463"/>
      <c r="E109" s="463"/>
      <c r="F109" s="463"/>
      <c r="G109" s="463"/>
    </row>
  </sheetData>
  <mergeCells count="48">
    <mergeCell ref="E15:F15"/>
    <mergeCell ref="H15:I15"/>
    <mergeCell ref="K15:L15"/>
    <mergeCell ref="E17:F17"/>
    <mergeCell ref="H17:I17"/>
    <mergeCell ref="K17:L17"/>
    <mergeCell ref="E18:F18"/>
    <mergeCell ref="H18:I18"/>
    <mergeCell ref="K18:L18"/>
    <mergeCell ref="E20:F20"/>
    <mergeCell ref="H20:I20"/>
    <mergeCell ref="K20:L20"/>
    <mergeCell ref="E21:F21"/>
    <mergeCell ref="H21:I21"/>
    <mergeCell ref="K21:L21"/>
    <mergeCell ref="E23:F23"/>
    <mergeCell ref="H23:I23"/>
    <mergeCell ref="K23:L23"/>
    <mergeCell ref="E24:F24"/>
    <mergeCell ref="H24:I24"/>
    <mergeCell ref="K24:L24"/>
    <mergeCell ref="E25:F25"/>
    <mergeCell ref="H25:I25"/>
    <mergeCell ref="K25:L25"/>
    <mergeCell ref="E27:F27"/>
    <mergeCell ref="H27:I27"/>
    <mergeCell ref="K27:L27"/>
    <mergeCell ref="E28:F28"/>
    <mergeCell ref="H28:I28"/>
    <mergeCell ref="K28:L28"/>
    <mergeCell ref="E29:F29"/>
    <mergeCell ref="H29:I29"/>
    <mergeCell ref="K29:L29"/>
    <mergeCell ref="E30:F30"/>
    <mergeCell ref="H30:I30"/>
    <mergeCell ref="K30:L30"/>
    <mergeCell ref="E31:F31"/>
    <mergeCell ref="H31:I31"/>
    <mergeCell ref="K31:L31"/>
    <mergeCell ref="E32:F32"/>
    <mergeCell ref="H32:I32"/>
    <mergeCell ref="K32:L32"/>
    <mergeCell ref="E33:F33"/>
    <mergeCell ref="H33:I33"/>
    <mergeCell ref="K33:L33"/>
    <mergeCell ref="E34:F34"/>
    <mergeCell ref="H34:I34"/>
    <mergeCell ref="K34:L34"/>
  </mergeCells>
  <conditionalFormatting sqref="E41">
    <cfRule type="expression" dxfId="103" priority="87">
      <formula>NOT(OR(E$40="Heavy Rail"))</formula>
    </cfRule>
  </conditionalFormatting>
  <conditionalFormatting sqref="E47">
    <cfRule type="expression" dxfId="101" priority="39">
      <formula>NOT(OR(E$46="Heavy Rail"))</formula>
    </cfRule>
  </conditionalFormatting>
  <conditionalFormatting sqref="E59">
    <cfRule type="expression" dxfId="99" priority="24">
      <formula>NOT(OR(E$58="Heavy Rail"))</formula>
    </cfRule>
  </conditionalFormatting>
  <conditionalFormatting sqref="E70">
    <cfRule type="expression" dxfId="97" priority="88">
      <formula>NOT(OR(E$69="Heavy Rail"))</formula>
    </cfRule>
  </conditionalFormatting>
  <conditionalFormatting sqref="E34:G34">
    <cfRule type="expression" dxfId="93" priority="73">
      <formula>OR($E$32&lt;=$E$31,$E$32-$E$31&gt;50)</formula>
    </cfRule>
  </conditionalFormatting>
  <conditionalFormatting sqref="G47">
    <cfRule type="expression" dxfId="86" priority="34">
      <formula>NOT(OR(E$46="Heavy Rail"))</formula>
    </cfRule>
  </conditionalFormatting>
  <conditionalFormatting sqref="G59 J59 M59">
    <cfRule type="expression" dxfId="77" priority="23">
      <formula>NOT(OR(E$58="Heavy Rail"))</formula>
    </cfRule>
  </conditionalFormatting>
  <conditionalFormatting sqref="G70 J70 M70">
    <cfRule type="expression" dxfId="67" priority="8">
      <formula>NOT(OR(E$69="Heavy Rail"))</formula>
    </cfRule>
  </conditionalFormatting>
  <conditionalFormatting sqref="G73 J73 M73">
    <cfRule type="expression" dxfId="64" priority="5">
      <formula>OR(E$69="Cut-A-Way",E$69="Over-Road Coach",E$69="Transit Bus",E$69="Van",E$69="DMU / EMU")</formula>
    </cfRule>
  </conditionalFormatting>
  <conditionalFormatting sqref="G74 J74 M74">
    <cfRule type="expression" dxfId="63" priority="4">
      <formula>NOT(ISBLANK(E$69))</formula>
    </cfRule>
  </conditionalFormatting>
  <conditionalFormatting sqref="H47">
    <cfRule type="expression" dxfId="60" priority="69">
      <formula>NOT(OR(H$46="Heavy Rail"))</formula>
    </cfRule>
  </conditionalFormatting>
  <conditionalFormatting sqref="H59">
    <cfRule type="expression" dxfId="54" priority="46">
      <formula>NOT(OR(H$58="Heavy Rail"))</formula>
    </cfRule>
  </conditionalFormatting>
  <conditionalFormatting sqref="H70">
    <cfRule type="expression" dxfId="51" priority="86">
      <formula>NOT(OR(H$69="Heavy Rail"))</formula>
    </cfRule>
  </conditionalFormatting>
  <conditionalFormatting sqref="H17:I18 K17:L18 H20:I21 K20:L21 H23:I24 K23:L24 H28:I33 K28:L33">
    <cfRule type="expression" dxfId="47" priority="54">
      <formula>ISBLANK(H$15)</formula>
    </cfRule>
  </conditionalFormatting>
  <conditionalFormatting sqref="H34:J34">
    <cfRule type="expression" dxfId="45" priority="72">
      <formula>OR($H$32&lt;=$H$31,$H$32-$H$31&gt;50)</formula>
    </cfRule>
  </conditionalFormatting>
  <conditionalFormatting sqref="H37:J40">
    <cfRule type="expression" dxfId="44" priority="80">
      <formula>ISBLANK($H$15)</formula>
    </cfRule>
  </conditionalFormatting>
  <conditionalFormatting sqref="H46:J54">
    <cfRule type="expression" dxfId="43" priority="48">
      <formula>ISBLANK($H$15)</formula>
    </cfRule>
  </conditionalFormatting>
  <conditionalFormatting sqref="H58:J66">
    <cfRule type="expression" dxfId="41" priority="41">
      <formula>ISBLANK($H$15)</formula>
    </cfRule>
  </conditionalFormatting>
  <conditionalFormatting sqref="H77:J81">
    <cfRule type="expression" dxfId="39" priority="45">
      <formula>ISBLANK($H$15)</formula>
    </cfRule>
  </conditionalFormatting>
  <conditionalFormatting sqref="J17:J18 M17:M18 J20:J21 M20:M21 J23:J24 M23:M24 J28:J33 M28:M33">
    <cfRule type="expression" dxfId="33" priority="1">
      <formula>ISBLANK(H$15)</formula>
    </cfRule>
  </conditionalFormatting>
  <conditionalFormatting sqref="K47">
    <cfRule type="expression" dxfId="28" priority="81">
      <formula>NOT(OR(K$46="Heavy Rail"))</formula>
    </cfRule>
  </conditionalFormatting>
  <conditionalFormatting sqref="K59">
    <cfRule type="expression" dxfId="24" priority="85">
      <formula>NOT(OR(K$58="Heavy Rail"))</formula>
    </cfRule>
  </conditionalFormatting>
  <conditionalFormatting sqref="K70">
    <cfRule type="expression" dxfId="19" priority="83">
      <formula>NOT(OR(K$69="Heavy Rail"))</formula>
    </cfRule>
  </conditionalFormatting>
  <conditionalFormatting sqref="K73:L73 E73:F73 H73:I73">
    <cfRule type="expression" dxfId="11" priority="84">
      <formula>OR(E$69="Cut-A-Way",E$69="Over-Road Coach",E$69="Transit Bus",E$69="Van",E$69="DMU / EMU")</formula>
    </cfRule>
  </conditionalFormatting>
  <conditionalFormatting sqref="K74:L74 E74:F74 H74:I74">
    <cfRule type="expression" dxfId="10" priority="82">
      <formula>NOT(ISBLANK(E$69))</formula>
    </cfRule>
  </conditionalFormatting>
  <conditionalFormatting sqref="K34:M34">
    <cfRule type="expression" dxfId="9" priority="71">
      <formula>OR($K$32&lt;=$K$31,$K$32-$K$31&gt;50)</formula>
    </cfRule>
  </conditionalFormatting>
  <conditionalFormatting sqref="K37:M40">
    <cfRule type="expression" dxfId="8" priority="74">
      <formula>ISBLANK($K$15)</formula>
    </cfRule>
  </conditionalFormatting>
  <conditionalFormatting sqref="K58:M66">
    <cfRule type="expression" dxfId="7" priority="43">
      <formula>ISBLANK($K$15)</formula>
    </cfRule>
  </conditionalFormatting>
  <conditionalFormatting sqref="K69:M74">
    <cfRule type="expression" dxfId="5" priority="76">
      <formula>ISBLANK($K$15)</formula>
    </cfRule>
  </conditionalFormatting>
  <conditionalFormatting sqref="K77:M81">
    <cfRule type="expression" dxfId="4" priority="77">
      <formula>ISBLANK($K$15)</formula>
    </cfRule>
  </conditionalFormatting>
  <dataValidations count="35">
    <dataValidation type="list" allowBlank="1" showInputMessage="1" showErrorMessage="1" sqref="E28:F28 H28:I28 K28:L28" xr:uid="{7C5BFCCA-6D7F-40B4-9BA5-33AB1A3B1090}">
      <formula1>projtype</formula1>
    </dataValidation>
    <dataValidation type="list" allowBlank="1" showInputMessage="1" showErrorMessage="1" promptTitle="Note:" prompt="Must first select the type of region." sqref="K31 E31 H31" xr:uid="{4D7F8AF2-FF58-4A34-A519-06431776A354}">
      <formula1>IF(E$30="","",IF(E$30="County",cnty,basin))</formula1>
    </dataValidation>
    <dataValidation type="list" allowBlank="1" showInputMessage="1" showErrorMessage="1" sqref="E30 H30 K30" xr:uid="{B2B18806-BB91-480F-BD4E-89FF95703018}">
      <formula1>region</formula1>
    </dataValidation>
    <dataValidation type="list" allowBlank="1" showInputMessage="1" showErrorMessage="1" sqref="K73 H73 E73" xr:uid="{480E1F56-5ED1-472D-8728-223B37CD5878}">
      <formula1>IF(OR(ISBLANK(E32),E32&gt;2030),NMY,INDIRECT("'"&amp;"Defaults"&amp;"'!"&amp;"A"&amp;-E32+2032&amp;":A61"))</formula1>
    </dataValidation>
    <dataValidation type="list" allowBlank="1" showInputMessage="1" showErrorMessage="1" promptTitle="Note:" prompt="Selection locks after fuel type is identified" sqref="K69" xr:uid="{8E94A938-046E-4C57-B477-93F86787D39F}">
      <formula1>IF($K$72="",vehicletype,"")</formula1>
    </dataValidation>
    <dataValidation type="list" allowBlank="1" showInputMessage="1" showErrorMessage="1" sqref="E32 H32 K32" xr:uid="{18C0368A-1E67-41EA-8924-D5FB16D8CDE7}">
      <formula1>CY</formula1>
    </dataValidation>
    <dataValidation allowBlank="1" showInputMessage="1" showErrorMessage="1" promptTitle="Leave blank if," prompt="No additional GGRF funding has or will be requested from another CCI Program for this project." sqref="K21 E24 E21 H21 H24 K24" xr:uid="{C2F21B94-64EA-4932-AC47-AD7D06BE1F22}"/>
    <dataValidation allowBlank="1" showErrorMessage="1" sqref="E17:E18 H17:H18 K17:K18" xr:uid="{A896A12C-AA8C-4523-9FDE-3CAAA391F9B8}"/>
    <dataValidation allowBlank="1" showInputMessage="1" showErrorMessage="1" promptTitle="Use the same ID :" prompt="For components that are not separable (i.e., one cannot happen wihout the other), use the same ID in each component tab used." sqref="E15 H15 K15" xr:uid="{C6DC7523-0CC4-4E12-B2A4-0957471BBE1C}"/>
    <dataValidation type="decimal" operator="greaterThanOrEqual" allowBlank="1" showInputMessage="1" showErrorMessage="1" sqref="E74 K74 H74" xr:uid="{0A982B2E-21D0-4B2F-BDCD-2747367C26F7}">
      <formula1>0</formula1>
    </dataValidation>
    <dataValidation type="custom" allowBlank="1" showInputMessage="1" showErrorMessage="1" errorTitle="Lower Standard Fare Cost" error="To enter Reduced Fare Cost, need to enter a current Standard Fare Cost that is higher than the Reduced Fare Cost." promptTitle="Use:" prompt="Must first enter a value for Average Standard Fare Cost." sqref="E78 H78 K78" xr:uid="{8C845ED8-E2A1-4668-B602-93B80274B6A4}">
      <formula1>AND(NOT(ISBLANK(E77)), E78&lt;E77)</formula1>
    </dataValidation>
    <dataValidation allowBlank="1" showInputMessage="1" showErrorMessage="1" errorTitle="Not a Required Field:" error="Select a project type above that makes this input a required field." promptTitle="Default:" prompt="Statewide average of $3 per day." sqref="E79 H79 K79" xr:uid="{C32B8494-1B7E-4809-93F8-231BAE32DEA4}"/>
    <dataValidation allowBlank="1" showInputMessage="1" showErrorMessage="1" errorTitle="Not a Required Field:" error="Select a project type above that makes this input a required field." promptTitle="Default:" prompt="Statewide averages of $11.13 per day for weekday trips, $3.00 per day for weekend trips." sqref="E80 H80 K80" xr:uid="{6B93451C-03DF-4B8D-80B2-CC8EEB2BE988}"/>
    <dataValidation allowBlank="1" showInputMessage="1" showErrorMessage="1" errorTitle="Not a Required Field:" error="Select a project type above that makes this input a required field." promptTitle="Default:" prompt="Average bridge toll cost of $5 per trip for passenger vehicles." sqref="E81 H81 K81" xr:uid="{4DECB3E7-114A-4F5E-A4CC-D6B7D05C9ED1}"/>
    <dataValidation type="list" allowBlank="1" showInputMessage="1" showErrorMessage="1" sqref="E51 H51 K51" xr:uid="{3BAC67C8-C65B-4A32-AD0A-CD90F478F56D}">
      <formula1>IF(OR(ISBLANK(E32),E32&gt;2030),NMY,INDIRECT("'"&amp;"Defaults"&amp;"'!"&amp;"A"&amp;-E32+2032&amp;":A61"))</formula1>
    </dataValidation>
    <dataValidation type="list" allowBlank="1" showInputMessage="1" showErrorMessage="1" sqref="H63 E63 K63" xr:uid="{66FA19D7-0F5A-49B9-9C5A-0E3F10D695BE}">
      <formula1>IF(OR(ISBLANK(E32),E32&gt;2030),NMY,INDIRECT("'"&amp;"Defaults"&amp;"'!"&amp;"A"&amp;-E32+2032&amp;":A61"))</formula1>
    </dataValidation>
    <dataValidation type="custom" allowBlank="1" showInputMessage="1" showErrorMessage="1" promptTitle="If unknown, use look up tables:" prompt="Quantification Methodlogy Appendix C includes look up tables by agency by mode, Table C-1, and by statewide average by mode, Table C-2." sqref="H41 K41" xr:uid="{FFB56DE5-E876-490C-89F0-513072995C7C}">
      <formula1>IF(OR(H$28=$T$53,H$28=$T$54),H41&gt;0," ")</formula1>
    </dataValidation>
    <dataValidation type="list" allowBlank="1" showInputMessage="1" showErrorMessage="1" promptTitle="Note:" prompt="Selection locks after fuel type is identified" sqref="E46" xr:uid="{AD8B9301-339E-41D4-B434-4BC5A045A156}">
      <formula1>IF($E$49="",vehicletype,"")</formula1>
    </dataValidation>
    <dataValidation type="list" allowBlank="1" showInputMessage="1" showErrorMessage="1" promptTitle="Note:" prompt="Selection locks after fuel type is identified" sqref="H46" xr:uid="{A91CA8D8-E69B-40D7-9C94-07187476F042}">
      <formula1>IF($H$49="",vehicletype,"")</formula1>
    </dataValidation>
    <dataValidation type="list" allowBlank="1" showInputMessage="1" showErrorMessage="1" promptTitle="Note:" prompt="Selection locks after fuel type is identified" sqref="K46" xr:uid="{8DA50E99-0922-46BA-97C2-6E1C40FC1845}">
      <formula1>IF($K$49="",vehicletype,"")</formula1>
    </dataValidation>
    <dataValidation type="list" allowBlank="1" showInputMessage="1" showErrorMessage="1" promptTitle="Note:" prompt="Selection locks after fuel type is identified" sqref="K58" xr:uid="{806A669F-9709-4FE8-BA11-9465B7745EA2}">
      <formula1>IF($K$61="",vehicletype,"")</formula1>
    </dataValidation>
    <dataValidation type="list" allowBlank="1" showInputMessage="1" showErrorMessage="1" promptTitle="Note:" prompt="Selection locks after fuel type is identified" sqref="E58" xr:uid="{A9605B6C-1E43-4FD4-9E2F-DE730B74BB5B}">
      <formula1>IF($E$61="",vehicletype,"")</formula1>
    </dataValidation>
    <dataValidation type="list" allowBlank="1" showInputMessage="1" showErrorMessage="1" promptTitle="Note:" prompt="Selection locks after fuel type is identified" sqref="H58" xr:uid="{FBBD0259-F954-4100-A9FF-52F087E853E6}">
      <formula1>IF($H$61="",vehicletype,"")</formula1>
    </dataValidation>
    <dataValidation type="list" allowBlank="1" showInputMessage="1" showErrorMessage="1" promptTitle="Note:" prompt="Selection locks after fuel type is identified" sqref="H69" xr:uid="{3B0E2883-B78C-46B7-92CA-EA3E58D0FDC4}">
      <formula1>IF($H$72="",vehicletype,"")</formula1>
    </dataValidation>
    <dataValidation type="list" allowBlank="1" showInputMessage="1" showErrorMessage="1" promptTitle="Note:" prompt="Selection locks after fuel type is identified" sqref="E69" xr:uid="{2DB7064D-7EE3-4A51-9D56-FDD25C7921CA}">
      <formula1>IF($E$72="",vehicletype,"")</formula1>
    </dataValidation>
    <dataValidation type="decimal" operator="greaterThan" allowBlank="1" showInputMessage="1" showErrorMessage="1" sqref="E48 H48 K48" xr:uid="{3A8E342F-9987-44BA-9A1A-2FA8F6BE1D13}">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E, Row 47)." sqref="E65" xr:uid="{7231DBEB-305B-4CE4-B9B7-AFC836B1F93E}">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G, Row 47)." sqref="H65" xr:uid="{D29BC43E-45A8-408B-9C8F-75D7F5F0F863}">
      <formula1>0</formula1>
    </dataValidation>
    <dataValidation type="decimal" operator="greaterThanOrEqual" allowBlank="1" showInputMessage="1" showErrorMessage="1" errorTitle="Invalid Input:" error="Value must be greater than 0." promptTitle="For Vehicle Replacements, use:" prompt="The same input as Annual VMT from above (Column I, Row 47)." sqref="K65" xr:uid="{628FF2F2-1DDD-49B7-A7D0-DA2F2B41A649}">
      <formula1>0</formula1>
    </dataValidation>
    <dataValidation type="decimal" operator="greaterThan" allowBlank="1" showInputMessage="1" showErrorMessage="1" errorTitle="Invalid Input:" error="Input must be a number greater than 0." sqref="E60 H60 K60" xr:uid="{925DCAEB-47FB-43EA-92B2-919199CACA3F}">
      <formula1>0</formula1>
    </dataValidation>
    <dataValidation type="decimal" allowBlank="1" showInputMessage="1" showErrorMessage="1" sqref="E52 H52 K52 E64 H64 K64" xr:uid="{287EC972-3DEF-4651-BA9D-11BBAA9D4583}">
      <formula1>-10000000</formula1>
      <formula2>10000000</formula2>
    </dataValidation>
    <dataValidation type="decimal" operator="greaterThanOrEqual" allowBlank="1" showInputMessage="1" showErrorMessage="1" errorTitle="Invalid Input:" error="Value must be greater than 0." promptTitle="Due to the high variability:" prompt="For rail and ferry vehicles, applicants may provide project-specific information on the estimated annual fuel instead of annual VMT." sqref="H54 E54 E66 K66 H66 K54" xr:uid="{CB8128AC-06C6-4B5D-A61E-B49BCDB000AA}">
      <formula1>0</formula1>
    </dataValidation>
    <dataValidation type="decimal" operator="greaterThanOrEqual" allowBlank="1" showInputMessage="1" showErrorMessage="1" errorTitle="Invalid Input:" error="Value must be greater than 0." sqref="E53 H53 K53" xr:uid="{CE2916A0-1BFA-4392-B6D2-2BCD3F480430}">
      <formula1>0</formula1>
    </dataValidation>
    <dataValidation type="decimal" operator="greaterThan" allowBlank="1" showInputMessage="1" showErrorMessage="1" errorTitle="Invalid Input:" error="Value must be greater than 0." sqref="E71 H71 K71" xr:uid="{B1FD4A6D-4440-4CAF-9058-E82CE92B39BF}">
      <formula1>0</formula1>
    </dataValidation>
    <dataValidation type="decimal" operator="greaterThanOrEqual" allowBlank="1" showErrorMessage="1" errorTitle="Invalid Input:" error="Value must be greater than 0." sqref="K55 H55 E55" xr:uid="{CD913F70-4C25-49BD-97B6-12584B23CFD8}">
      <formula1>0</formula1>
    </dataValidation>
  </dataValidations>
  <pageMargins left="0.7" right="0.7" top="0.75" bottom="0.75" header="0.3" footer="0.3"/>
  <pageSetup scale="26" fitToHeight="0" orientation="portrait" r:id="rId1"/>
  <headerFooter>
    <oddHeader>&amp;C&amp;12
&amp;G</oddHeader>
    <oddFooter>&amp;L&amp;"Avenir LT Std 55 Roman,Regular"&amp;12DRAFT September 13, 2019&amp;C&amp;"Avenir LT Std 55 Roman,Regular"&amp;12&amp;P of &amp;N&amp;R&amp;"Avenir LT Std 55 Roman,Regular"&amp;12&amp;A</oddFooter>
  </headerFooter>
  <rowBreaks count="1" manualBreakCount="1">
    <brk id="66" min="1" max="9" man="1"/>
  </rowBreaks>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37" id="{D98F6594-F07D-4786-A5E6-EF270570FB11}">
            <xm:f>OR(E$28=Defaults!$M$2,E$28=Defaults!$M$3)</xm:f>
            <x14:dxf>
              <fill>
                <patternFill>
                  <bgColor theme="9" tint="0.79998168889431442"/>
                </patternFill>
              </fill>
            </x14:dxf>
          </x14:cfRule>
          <xm:sqref>E37:E40 H37:H40 K37:K40</xm:sqref>
        </x14:conditionalFormatting>
        <x14:conditionalFormatting xmlns:xm="http://schemas.microsoft.com/office/excel/2006/main">
          <x14:cfRule type="expression" priority="38" id="{44C754C8-40E3-4201-A2A0-ED8534F3C7B9}">
            <xm:f>OR(E$28=Defaults!$M$2,E$28=Defaults!$M$4)</xm:f>
            <x14:dxf>
              <fill>
                <patternFill>
                  <bgColor theme="9" tint="0.79998168889431442"/>
                </patternFill>
              </fill>
            </x14:dxf>
          </x14:cfRule>
          <xm:sqref>E46 H46 K46 E49:F50 H49:I50 K49:L50</xm:sqref>
        </x14:conditionalFormatting>
        <x14:conditionalFormatting xmlns:xm="http://schemas.microsoft.com/office/excel/2006/main">
          <x14:cfRule type="expression" priority="60" id="{3ABEA4A6-8414-4A29-BAA5-789E959017C7}">
            <xm:f>NOT(OR($E$46=Defaults!$G$3,$E$46=Defaults!$G$4))</xm:f>
            <x14:dxf>
              <font>
                <color rgb="FFFF0000"/>
              </font>
              <fill>
                <patternFill>
                  <bgColor theme="1"/>
                </patternFill>
              </fill>
            </x14:dxf>
          </x14:cfRule>
          <xm:sqref>E48</xm:sqref>
        </x14:conditionalFormatting>
        <x14:conditionalFormatting xmlns:xm="http://schemas.microsoft.com/office/excel/2006/main">
          <x14:cfRule type="expression" priority="67" id="{0918C29B-E5F4-4FB1-A735-4283D060520C}">
            <xm:f>NOT(OR($E$58=Defaults!$G$3,$E$58=Defaults!$G$4))</xm:f>
            <x14:dxf>
              <font>
                <color rgb="FFFF0000"/>
              </font>
              <fill>
                <patternFill>
                  <bgColor theme="1"/>
                </patternFill>
              </fill>
            </x14:dxf>
          </x14:cfRule>
          <xm:sqref>E60</xm:sqref>
        </x14:conditionalFormatting>
        <x14:conditionalFormatting xmlns:xm="http://schemas.microsoft.com/office/excel/2006/main">
          <x14:cfRule type="expression" priority="42" id="{D42074F8-6940-445E-99CE-990D566AD865}">
            <xm:f>NOT(OR($E$69=Defaults!$G$3,$E$69=Defaults!$G$4))</xm:f>
            <x14:dxf>
              <font>
                <color rgb="FFFF0000"/>
              </font>
              <fill>
                <patternFill>
                  <bgColor theme="1"/>
                </patternFill>
              </fill>
            </x14:dxf>
          </x14:cfRule>
          <xm:sqref>E71</xm:sqref>
        </x14:conditionalFormatting>
        <x14:conditionalFormatting xmlns:xm="http://schemas.microsoft.com/office/excel/2006/main">
          <x14:cfRule type="expression" priority="40" id="{CADDBD08-7B77-4FDD-AAC0-F7C26822062B}">
            <xm:f>AND(NOT(ISBLANK($E$54)),OR($E$46=Defaults!$G$3,$E$46=Defaults!$G$5,$E$46=Defaults!$G$6,$E$46=Defaults!$G$8))</xm:f>
            <x14:dxf>
              <fill>
                <patternFill>
                  <bgColor theme="4" tint="0.59996337778862885"/>
                </patternFill>
              </fill>
            </x14:dxf>
          </x14:cfRule>
          <xm:sqref>E53:F53</xm:sqref>
        </x14:conditionalFormatting>
        <x14:conditionalFormatting xmlns:xm="http://schemas.microsoft.com/office/excel/2006/main">
          <x14:cfRule type="expression" priority="55" id="{10B087ED-CBFE-447E-AF6C-958FB963587B}">
            <xm:f>OR(E$28=Defaults!$M$2, E$28=Defaults!$M$3, E$28=Defaults!$M$4)</xm:f>
            <x14:dxf>
              <fill>
                <patternFill>
                  <bgColor theme="4" tint="0.59996337778862885"/>
                </patternFill>
              </fill>
            </x14:dxf>
          </x14:cfRule>
          <xm:sqref>E69:F69 H69:I69 K69:L69</xm:sqref>
        </x14:conditionalFormatting>
        <x14:conditionalFormatting xmlns:xm="http://schemas.microsoft.com/office/excel/2006/main">
          <x14:cfRule type="expression" priority="27" id="{A18E086C-1E70-40E6-BA4E-009AA69BD6B6}">
            <xm:f>AND(NOT(ISBLANK($E$53)),OR($E$46=Defaults!$G$3,$E$46=Defaults!$G$5,$E$46=Defaults!$G$6,$E$46=Defaults!$G$8))</xm:f>
            <x14:dxf>
              <fill>
                <patternFill>
                  <bgColor theme="4" tint="0.59996337778862885"/>
                </patternFill>
              </fill>
            </x14:dxf>
          </x14:cfRule>
          <xm:sqref>E54:G54</xm:sqref>
        </x14:conditionalFormatting>
        <x14:conditionalFormatting xmlns:xm="http://schemas.microsoft.com/office/excel/2006/main">
          <x14:cfRule type="expression" priority="12" id="{B55AE649-4BC7-4C7D-A9BC-039B38E9D4B4}">
            <xm:f>AND(NOT(ISBLANK($E$66)),OR($E$58=Defaults!$G$3,$E$58=Defaults!$G$5,$E$58=Defaults!$G$6,$E$58=Defaults!$G$8))</xm:f>
            <x14:dxf>
              <fill>
                <patternFill>
                  <bgColor theme="4" tint="0.59996337778862885"/>
                </patternFill>
              </fill>
            </x14:dxf>
          </x14:cfRule>
          <xm:sqref>E65:G65</xm:sqref>
        </x14:conditionalFormatting>
        <x14:conditionalFormatting xmlns:xm="http://schemas.microsoft.com/office/excel/2006/main">
          <x14:cfRule type="expression" priority="15" id="{42625429-4482-4F22-B30F-E277C75AC817}">
            <xm:f>AND(NOT(ISBLANK($E$65)),OR($E$58=Defaults!$G$3,$E$58=Defaults!$G$5,$E$58=Defaults!$G$6,$E$58=Defaults!$G$8))</xm:f>
            <x14:dxf>
              <fill>
                <patternFill>
                  <bgColor theme="4" tint="0.59996337778862885"/>
                </patternFill>
              </fill>
            </x14:dxf>
          </x14:cfRule>
          <xm:sqref>E66:G66 J66 M66</xm:sqref>
        </x14:conditionalFormatting>
        <x14:conditionalFormatting xmlns:xm="http://schemas.microsoft.com/office/excel/2006/main">
          <x14:cfRule type="expression" priority="59" id="{B82A1CBA-FBA7-42C6-9C89-2F81C727E5A9}">
            <xm:f>OR(E$28=Defaults!$M$2,E$28=Defaults!$M$3)</xm:f>
            <x14:dxf>
              <fill>
                <patternFill>
                  <bgColor theme="9" tint="0.79998168889431442"/>
                </patternFill>
              </fill>
            </x14:dxf>
          </x14:cfRule>
          <xm:sqref>F37:F40 I37:I40 L37:L40</xm:sqref>
        </x14:conditionalFormatting>
        <x14:conditionalFormatting xmlns:xm="http://schemas.microsoft.com/office/excel/2006/main">
          <x14:cfRule type="expression" priority="36" id="{78EB54B6-D4EF-4371-BC17-D90DA28FE3BA}">
            <xm:f>OR(E$28=Defaults!$M$2,E$28=Defaults!$M$3)</xm:f>
            <x14:dxf>
              <fill>
                <patternFill>
                  <bgColor theme="9" tint="0.79998168889431442"/>
                </patternFill>
              </fill>
            </x14:dxf>
          </x14:cfRule>
          <xm:sqref>G37:G40 J37:J40 M37:M40</xm:sqref>
        </x14:conditionalFormatting>
        <x14:conditionalFormatting xmlns:xm="http://schemas.microsoft.com/office/excel/2006/main">
          <x14:cfRule type="expression" priority="29" id="{1890A3D3-9011-4880-A3A5-BFEFF31E7D96}">
            <xm:f>OR(E$28=Defaults!$M$2,E$28=Defaults!$M$4)</xm:f>
            <x14:dxf>
              <fill>
                <patternFill>
                  <bgColor theme="9" tint="0.79998168889431442"/>
                </patternFill>
              </fill>
            </x14:dxf>
          </x14:cfRule>
          <xm:sqref>G46 J46 M46</xm:sqref>
        </x14:conditionalFormatting>
        <x14:conditionalFormatting xmlns:xm="http://schemas.microsoft.com/office/excel/2006/main">
          <x14:cfRule type="expression" priority="33" id="{4B901BF4-AD1F-4EE6-B6F1-FCFEBB352E35}">
            <xm:f>OR(E$28=Defaults!$M$4)</xm:f>
            <x14:dxf>
              <fill>
                <patternFill>
                  <bgColor theme="9" tint="0.79998168889431442"/>
                </patternFill>
              </fill>
            </x14:dxf>
          </x14:cfRule>
          <xm:sqref>G47:G48 J47:J48 M47:M48</xm:sqref>
        </x14:conditionalFormatting>
        <x14:conditionalFormatting xmlns:xm="http://schemas.microsoft.com/office/excel/2006/main">
          <x14:cfRule type="expression" priority="35" id="{85A957D8-97A1-4597-88C0-A0458778C37E}">
            <xm:f>NOT(OR($E$46=Defaults!$G$3,$E$46=Defaults!$G$4))</xm:f>
            <x14:dxf>
              <font>
                <color auto="1"/>
              </font>
              <fill>
                <patternFill>
                  <bgColor theme="1"/>
                </patternFill>
              </fill>
            </x14:dxf>
          </x14:cfRule>
          <xm:sqref>G48</xm:sqref>
        </x14:conditionalFormatting>
        <x14:conditionalFormatting xmlns:xm="http://schemas.microsoft.com/office/excel/2006/main">
          <x14:cfRule type="expression" priority="32" id="{E7E6B4D6-0A1F-4DBB-AADE-9E66406173EA}">
            <xm:f>OR(E$28=Defaults!$M$2,E$28=Defaults!$M$4)</xm:f>
            <x14:dxf>
              <fill>
                <patternFill>
                  <bgColor theme="9" tint="0.79998168889431442"/>
                </patternFill>
              </fill>
            </x14:dxf>
          </x14:cfRule>
          <xm:sqref>G49:G50 J49:J50 M49:M50</xm:sqref>
        </x14:conditionalFormatting>
        <x14:conditionalFormatting xmlns:xm="http://schemas.microsoft.com/office/excel/2006/main">
          <x14:cfRule type="expression" priority="31" id="{F965B953-9C6E-49FF-9337-B06F07ED8F4F}">
            <xm:f>AND(OR(E$28=Defaults!$M$2,E$28=Defaults!$M$4),OR(E$46="Cut-A-Way",E$46="Over-Road Coach",E$46="Transit Bus",E$46="Van",E$46="Ferry",E$46="DMU / EMU"))</xm:f>
            <x14:dxf>
              <fill>
                <patternFill>
                  <bgColor theme="9" tint="0.79998168889431442"/>
                </patternFill>
              </fill>
            </x14:dxf>
          </x14:cfRule>
          <xm:sqref>G51 J51 M51</xm:sqref>
        </x14:conditionalFormatting>
        <x14:conditionalFormatting xmlns:xm="http://schemas.microsoft.com/office/excel/2006/main">
          <x14:cfRule type="expression" priority="30" id="{177AD6A7-0CDD-4086-B238-4533A6B4D42C}">
            <xm:f>OR(E$28=Defaults!$M$2,E$28=Defaults!$M$4)</xm:f>
            <x14:dxf>
              <fill>
                <patternFill>
                  <bgColor theme="4" tint="0.59996337778862885"/>
                </patternFill>
              </fill>
            </x14:dxf>
          </x14:cfRule>
          <xm:sqref>G52 J52 M52</xm:sqref>
        </x14:conditionalFormatting>
        <x14:conditionalFormatting xmlns:xm="http://schemas.microsoft.com/office/excel/2006/main">
          <x14:cfRule type="expression" priority="28" id="{1DA9B193-7722-42FC-834B-D3513942BAA8}">
            <xm:f>AND(OR(E$28=Defaults!$M$2,E$28=Defaults!$M$4),OR(E$46="Cut-A-Way",E$46="Heavy Rail",E$46="Light Rail",E$46="Over-Road Coach",E$46="Streetcar",E$46="Transit Bus",E$46="Van",E$46="DMU / EMU"))</xm:f>
            <x14:dxf>
              <fill>
                <patternFill>
                  <bgColor theme="9" tint="0.79998168889431442"/>
                </patternFill>
              </fill>
            </x14:dxf>
          </x14:cfRule>
          <xm:sqref>G53 J53 M53</xm:sqref>
        </x14:conditionalFormatting>
        <x14:conditionalFormatting xmlns:xm="http://schemas.microsoft.com/office/excel/2006/main">
          <x14:cfRule type="expression" priority="11" id="{51C36C2F-9234-4EDD-A5D7-7A93F753BD6E}">
            <xm:f>E$28=Defaults!$M$2</xm:f>
            <x14:dxf>
              <fill>
                <patternFill>
                  <bgColor theme="4" tint="0.59996337778862885"/>
                </patternFill>
              </fill>
            </x14:dxf>
          </x14:cfRule>
          <xm:sqref>G58 J58 M58</xm:sqref>
        </x14:conditionalFormatting>
        <x14:conditionalFormatting xmlns:xm="http://schemas.microsoft.com/office/excel/2006/main">
          <x14:cfRule type="expression" priority="14" id="{A49DE64B-3F1E-4E3C-A047-FD7541A849A3}">
            <xm:f>OR(E$28=Defaults!$M$2,E$28=Defaults!$M$4)</xm:f>
            <x14:dxf>
              <fill>
                <patternFill>
                  <bgColor theme="9" tint="0.79998168889431442"/>
                </patternFill>
              </fill>
            </x14:dxf>
          </x14:cfRule>
          <xm:sqref>G58</xm:sqref>
        </x14:conditionalFormatting>
        <x14:conditionalFormatting xmlns:xm="http://schemas.microsoft.com/office/excel/2006/main">
          <x14:cfRule type="expression" priority="25" id="{38F3FA7E-4720-4851-AB9D-6CA604E96938}">
            <xm:f>OR(E$28=Defaults!$M$4)</xm:f>
            <x14:dxf>
              <fill>
                <patternFill>
                  <bgColor theme="9" tint="0.79998168889431442"/>
                </patternFill>
              </fill>
            </x14:dxf>
          </x14:cfRule>
          <xm:sqref>G59:G60 J59:J60 M59:M60</xm:sqref>
        </x14:conditionalFormatting>
        <x14:conditionalFormatting xmlns:xm="http://schemas.microsoft.com/office/excel/2006/main">
          <x14:cfRule type="expression" priority="22" id="{825121E0-61DE-4EAD-9ADF-6F6AD72EDE67}">
            <xm:f>NOT(OR(E$58=Defaults!$G$3,E$58=Defaults!$G$4))</xm:f>
            <x14:dxf>
              <fill>
                <patternFill>
                  <bgColor theme="1"/>
                </patternFill>
              </fill>
            </x14:dxf>
          </x14:cfRule>
          <xm:sqref>G60 J60 M60</xm:sqref>
        </x14:conditionalFormatting>
        <x14:conditionalFormatting xmlns:xm="http://schemas.microsoft.com/office/excel/2006/main">
          <x14:cfRule type="expression" priority="21" id="{AC18C172-1A6E-4BDC-A1EE-407CF5A927AB}">
            <xm:f>OR(E$28=Defaults!$M$4, AND(NOT(ISBLANK(E$58)),E$28=Defaults!$M$2))</xm:f>
            <x14:dxf>
              <fill>
                <patternFill>
                  <bgColor theme="9" tint="0.79998168889431442"/>
                </patternFill>
              </fill>
            </x14:dxf>
          </x14:cfRule>
          <xm:sqref>G61:G62 J61:J62 M61:M62</xm:sqref>
        </x14:conditionalFormatting>
        <x14:conditionalFormatting xmlns:xm="http://schemas.microsoft.com/office/excel/2006/main">
          <x14:cfRule type="expression" priority="20" id="{88B29844-B66A-4FD8-BC90-0DBE1B0A6CDD}">
            <xm:f>AND(OR(E$28=Defaults!$M$4,E$28=Defaults!$M$2),OR(E$58="Cut-A-Way",E$58="Over-Road Coach",E$58="Transit Bus",E$58="Van",E$58="DMU / EMU"))</xm:f>
            <x14:dxf>
              <fill>
                <patternFill>
                  <bgColor theme="9" tint="0.79998168889431442"/>
                </patternFill>
              </fill>
            </x14:dxf>
          </x14:cfRule>
          <xm:sqref>G63 J63 M63</xm:sqref>
        </x14:conditionalFormatting>
        <x14:conditionalFormatting xmlns:xm="http://schemas.microsoft.com/office/excel/2006/main">
          <x14:cfRule type="expression" priority="19" id="{C9FF013E-097C-452E-95FB-783F637B3096}">
            <xm:f>OR(E$28=Defaults!$M$4, AND(NOT(ISBLANK(E$58)),E$28=Defaults!$M$2))</xm:f>
            <x14:dxf>
              <fill>
                <patternFill>
                  <bgColor theme="4" tint="0.59996337778862885"/>
                </patternFill>
              </fill>
            </x14:dxf>
          </x14:cfRule>
          <xm:sqref>G64 J64 M64</xm:sqref>
        </x14:conditionalFormatting>
        <x14:conditionalFormatting xmlns:xm="http://schemas.microsoft.com/office/excel/2006/main">
          <x14:cfRule type="expression" priority="13" id="{7E427635-73FE-44D3-8926-79093D25B659}">
            <xm:f>AND(OR(E$28=Defaults!$M$4, E$28=Defaults!$M$2),OR(E$58="Cut-A-Way",E$58="Heavy Rail",E$58="Light Rail",E$58="Over-Road Coach",E$58="Streetcar",E$58="Transit Bus",E$58="Van",E$58="DMU / EMU"))</xm:f>
            <x14:dxf>
              <fill>
                <patternFill>
                  <bgColor theme="9" tint="0.79998168889431442"/>
                </patternFill>
              </fill>
            </x14:dxf>
          </x14:cfRule>
          <xm:sqref>G65</xm:sqref>
        </x14:conditionalFormatting>
        <x14:conditionalFormatting xmlns:xm="http://schemas.microsoft.com/office/excel/2006/main">
          <x14:cfRule type="expression" priority="16" id="{3E9F7653-5734-414A-B3C7-B24DEBB89076}">
            <xm:f>AND(OR(E$28=Defaults!$M$4, E$28=Defaults!$M$2),OR(E$58="Ferry",E$58="Heavy Rail",E$58="Light Rail",E$58="Streetcar",E$58="DMU / EMU"))</xm:f>
            <x14:dxf>
              <fill>
                <patternFill>
                  <bgColor theme="9" tint="0.79998168889431442"/>
                </patternFill>
              </fill>
            </x14:dxf>
          </x14:cfRule>
          <xm:sqref>G66 J66 M66</xm:sqref>
        </x14:conditionalFormatting>
        <x14:conditionalFormatting xmlns:xm="http://schemas.microsoft.com/office/excel/2006/main">
          <x14:cfRule type="expression" priority="10" id="{D4EBBB98-EB2A-4F80-84FD-1845C060B510}">
            <xm:f>OR(E$28=Defaults!$M$5)</xm:f>
            <x14:dxf>
              <fill>
                <patternFill>
                  <bgColor theme="9" tint="0.79998168889431442"/>
                </patternFill>
              </fill>
            </x14:dxf>
          </x14:cfRule>
          <x14:cfRule type="expression" priority="9" id="{8B756219-9B23-48C3-A7B7-28BA39A45176}">
            <xm:f>OR(E$28=Defaults!$M$2, E$28=Defaults!$M$3, E$28=Defaults!$M$4)</xm:f>
            <x14:dxf>
              <fill>
                <patternFill>
                  <bgColor theme="4" tint="0.59996337778862885"/>
                </patternFill>
              </fill>
            </x14:dxf>
          </x14:cfRule>
          <xm:sqref>G69 J69 M69</xm:sqref>
        </x14:conditionalFormatting>
        <x14:conditionalFormatting xmlns:xm="http://schemas.microsoft.com/office/excel/2006/main">
          <x14:cfRule type="expression" priority="7" id="{3F8A4954-4595-4E89-8709-55EEE5C69A2D}">
            <xm:f>NOT(OR(E$69=Defaults!$G$3,E$69=Defaults!$G$4))</xm:f>
            <x14:dxf>
              <fill>
                <patternFill>
                  <bgColor theme="1"/>
                </patternFill>
              </fill>
            </x14:dxf>
          </x14:cfRule>
          <xm:sqref>G71 J71 M71</xm:sqref>
        </x14:conditionalFormatting>
        <x14:conditionalFormatting xmlns:xm="http://schemas.microsoft.com/office/excel/2006/main">
          <x14:cfRule type="expression" priority="6" id="{F622BF98-78B9-475B-9303-692B2D403FE8}">
            <xm:f>OR(E$28=Defaults!$M$5, NOT(ISBLANK(E$69)))</xm:f>
            <x14:dxf>
              <fill>
                <patternFill>
                  <bgColor theme="9" tint="0.79998168889431442"/>
                </patternFill>
              </fill>
            </x14:dxf>
          </x14:cfRule>
          <xm:sqref>G72 J72 M72</xm:sqref>
        </x14:conditionalFormatting>
        <x14:conditionalFormatting xmlns:xm="http://schemas.microsoft.com/office/excel/2006/main">
          <x14:cfRule type="expression" priority="3" id="{AF8C70C4-1D9C-41AD-BD43-A5EB786447B6}">
            <xm:f>E$28=Defaults!$M$3</xm:f>
            <x14:dxf>
              <fill>
                <patternFill>
                  <bgColor theme="4" tint="0.59996337778862885"/>
                </patternFill>
              </fill>
            </x14:dxf>
          </x14:cfRule>
          <xm:sqref>G77:G78 J77:J78 M77:M78</xm:sqref>
        </x14:conditionalFormatting>
        <x14:conditionalFormatting xmlns:xm="http://schemas.microsoft.com/office/excel/2006/main">
          <x14:cfRule type="expression" priority="2" id="{2050A14A-7102-4561-8B01-7492D5F25F2D}">
            <xm:f>OR(E$28=Defaults!$M$2, E$28=Defaults!$M$3)</xm:f>
            <x14:dxf>
              <fill>
                <patternFill>
                  <bgColor theme="4" tint="0.59996337778862885"/>
                </patternFill>
              </fill>
            </x14:dxf>
          </x14:cfRule>
          <xm:sqref>G78:G81 J78:J81 M78:M81</xm:sqref>
        </x14:conditionalFormatting>
        <x14:conditionalFormatting xmlns:xm="http://schemas.microsoft.com/office/excel/2006/main">
          <x14:cfRule type="expression" priority="68" id="{1890FBEC-981D-4481-87F5-B280E0C3B456}">
            <xm:f>NOT(OR($H$46=Defaults!$G$3,$H$46=Defaults!$G$4))</xm:f>
            <x14:dxf>
              <font>
                <color rgb="FFFF0000"/>
              </font>
              <fill>
                <patternFill>
                  <bgColor theme="1"/>
                </patternFill>
              </fill>
            </x14:dxf>
          </x14:cfRule>
          <xm:sqref>H48</xm:sqref>
        </x14:conditionalFormatting>
        <x14:conditionalFormatting xmlns:xm="http://schemas.microsoft.com/office/excel/2006/main">
          <x14:cfRule type="expression" priority="91" id="{4B12599D-E66E-4E92-861D-8CA7A802F834}">
            <xm:f>OR(E$28=Defaults!$M$2,E$28=Defaults!$M$4)</xm:f>
            <x14:dxf>
              <fill>
                <patternFill>
                  <bgColor theme="4" tint="0.59996337778862885"/>
                </patternFill>
              </fill>
            </x14:dxf>
          </x14:cfRule>
          <xm:sqref>H52 E52 K52</xm:sqref>
        </x14:conditionalFormatting>
        <x14:conditionalFormatting xmlns:xm="http://schemas.microsoft.com/office/excel/2006/main">
          <x14:cfRule type="expression" priority="52" id="{706C419A-DF4C-4A3A-96FA-9786B9FF2344}">
            <xm:f>AND(OR(E$28=Defaults!$M$2,E$28=Defaults!$M$4),OR(E$46="Cut-A-Way",E$46="Heavy Rail",E$46="Light Rail",E$46="Over-Road Coach",E$46="Streetcar",E$46="Transit Bus",E$46="Van",E$46="DMU / EMU"))</xm:f>
            <x14:dxf>
              <fill>
                <patternFill>
                  <bgColor theme="9" tint="0.79998168889431442"/>
                </patternFill>
              </fill>
            </x14:dxf>
          </x14:cfRule>
          <xm:sqref>H53 E53 K53</xm:sqref>
        </x14:conditionalFormatting>
        <x14:conditionalFormatting xmlns:xm="http://schemas.microsoft.com/office/excel/2006/main">
          <x14:cfRule type="expression" priority="61" id="{DC4C3FF3-5E02-4736-AF15-B937B752E2BB}">
            <xm:f>AND(OR(E$28=Defaults!$M$2,E$28=Defaults!$M$4),OR(E$46="Ferry",E$46="Heavy Rail",E$46="Light Rail",E$46="Streetcar",E$46="DMU / EMU"))</xm:f>
            <x14:dxf>
              <fill>
                <patternFill>
                  <bgColor theme="9" tint="0.79998168889431442"/>
                </patternFill>
              </fill>
            </x14:dxf>
          </x14:cfRule>
          <xm:sqref>H54 E54 K54</xm:sqref>
        </x14:conditionalFormatting>
        <x14:conditionalFormatting xmlns:xm="http://schemas.microsoft.com/office/excel/2006/main">
          <x14:cfRule type="expression" priority="44" id="{1F0A4983-564A-486D-9F35-31BC629EB77B}">
            <xm:f>E$28=Defaults!$M$4</xm:f>
            <x14:dxf>
              <fill>
                <patternFill>
                  <bgColor theme="9" tint="0.79998168889431442"/>
                </patternFill>
              </fill>
            </x14:dxf>
          </x14:cfRule>
          <xm:sqref>H58 E58:F58</xm:sqref>
        </x14:conditionalFormatting>
        <x14:conditionalFormatting xmlns:xm="http://schemas.microsoft.com/office/excel/2006/main">
          <x14:cfRule type="expression" priority="66" id="{887AE765-5219-43CE-8B79-79F9ACFE82FF}">
            <xm:f>NOT(OR($H$58=Defaults!$G$3,$H$58=Defaults!$G$4))</xm:f>
            <x14:dxf>
              <font>
                <color rgb="FFFF0000"/>
              </font>
              <fill>
                <patternFill>
                  <bgColor theme="1"/>
                </patternFill>
              </fill>
            </x14:dxf>
          </x14:cfRule>
          <xm:sqref>H60</xm:sqref>
        </x14:conditionalFormatting>
        <x14:conditionalFormatting xmlns:xm="http://schemas.microsoft.com/office/excel/2006/main">
          <x14:cfRule type="expression" priority="102" id="{83B4687A-102C-45E2-A09D-9E8052A613FB}">
            <xm:f>AND(OR(E$28=Defaults!$M$4, E$28=Defaults!$M$2),OR(E$58="Ferry",E$58="Heavy Rail",E$58="Light Rail",E$58="Streetcar",E$58="DMU / EMU"))</xm:f>
            <x14:dxf>
              <fill>
                <patternFill>
                  <bgColor theme="9" tint="0.79998168889431442"/>
                </patternFill>
              </fill>
            </x14:dxf>
          </x14:cfRule>
          <xm:sqref>H66 K66 E66</xm:sqref>
        </x14:conditionalFormatting>
        <x14:conditionalFormatting xmlns:xm="http://schemas.microsoft.com/office/excel/2006/main">
          <x14:cfRule type="expression" priority="63" id="{C5F27FBF-988D-4661-A63A-034C8DD4E4F4}">
            <xm:f>NOT(OR($H$69=Defaults!$G$3,$H$69=Defaults!$G$4))</xm:f>
            <x14:dxf>
              <font>
                <color rgb="FFFF0000"/>
              </font>
              <fill>
                <patternFill>
                  <bgColor theme="1"/>
                </patternFill>
              </fill>
            </x14:dxf>
          </x14:cfRule>
          <xm:sqref>H71</xm:sqref>
        </x14:conditionalFormatting>
        <x14:conditionalFormatting xmlns:xm="http://schemas.microsoft.com/office/excel/2006/main">
          <x14:cfRule type="expression" priority="56" id="{B16DAE22-3226-4F2E-9924-D8E54A5AB2C0}">
            <xm:f>E$28=Defaults!$M$3</xm:f>
            <x14:dxf>
              <fill>
                <patternFill>
                  <bgColor theme="4" tint="0.59996337778862885"/>
                </patternFill>
              </fill>
            </x14:dxf>
          </x14:cfRule>
          <xm:sqref>H77:H78 E77:E78 K77:K78</xm:sqref>
        </x14:conditionalFormatting>
        <x14:conditionalFormatting xmlns:xm="http://schemas.microsoft.com/office/excel/2006/main">
          <x14:cfRule type="expression" priority="58" id="{BE7B0181-6936-4179-BEE6-1517040C65D9}">
            <xm:f>OR(E$28=Defaults!$M$2, E$28=Defaults!$M$3)</xm:f>
            <x14:dxf>
              <fill>
                <patternFill>
                  <bgColor theme="4" tint="0.59996337778862885"/>
                </patternFill>
              </fill>
            </x14:dxf>
          </x14:cfRule>
          <xm:sqref>H78:H81 E78:E81 K78:K81</xm:sqref>
        </x14:conditionalFormatting>
        <x14:conditionalFormatting xmlns:xm="http://schemas.microsoft.com/office/excel/2006/main">
          <x14:cfRule type="expression" priority="92" id="{52A2F1A5-7639-4437-8FB8-291A31EA3E9C}">
            <xm:f>AND(OR(E$28=Defaults!$M$2,E$28=Defaults!$M$4),OR(E$46="Cut-A-Way",E$46="Over-Road Coach",E$46="Transit Bus",E$46="Van",E$46="Ferry",E$46="DMU / EMU"))</xm:f>
            <x14:dxf>
              <fill>
                <patternFill>
                  <bgColor theme="9" tint="0.79998168889431442"/>
                </patternFill>
              </fill>
            </x14:dxf>
          </x14:cfRule>
          <xm:sqref>H51:I51 E51:F51 K51:L51</xm:sqref>
        </x14:conditionalFormatting>
        <x14:conditionalFormatting xmlns:xm="http://schemas.microsoft.com/office/excel/2006/main">
          <x14:cfRule type="expression" priority="79" id="{DAF01DF8-B47B-4704-B88B-3BEF968659C2}">
            <xm:f>AND(NOT(ISBLANK($H$53)),OR($H$46=Defaults!$G$3,$H$46=Defaults!$G$5,$H$46=Defaults!$G$6,$H$46=Defaults!$G$8))</xm:f>
            <x14:dxf>
              <fill>
                <patternFill>
                  <bgColor theme="4" tint="0.39994506668294322"/>
                </patternFill>
              </fill>
            </x14:dxf>
          </x14:cfRule>
          <xm:sqref>H54:J54</xm:sqref>
        </x14:conditionalFormatting>
        <x14:conditionalFormatting xmlns:xm="http://schemas.microsoft.com/office/excel/2006/main">
          <x14:cfRule type="expression" priority="78" id="{47048198-F5CA-4387-A200-ADA6A8BD8CDB}">
            <xm:f>AND(NOT(ISBLANK($H$65)),OR($H$58=Defaults!$G$3,$H$58=Defaults!$G$5,$H$58=Defaults!$G$6,$H$58=Defaults!$G$8))</xm:f>
            <x14:dxf>
              <fill>
                <patternFill>
                  <bgColor theme="4" tint="0.39994506668294322"/>
                </patternFill>
              </fill>
            </x14:dxf>
          </x14:cfRule>
          <xm:sqref>H66:J66</xm:sqref>
        </x14:conditionalFormatting>
        <x14:conditionalFormatting xmlns:xm="http://schemas.microsoft.com/office/excel/2006/main">
          <x14:cfRule type="expression" priority="53" id="{9299DBFC-99FE-4696-AA8F-5E74074ACC1F}">
            <xm:f>OR(E$28=Defaults!$M$2,E$28=Defaults!$M$4)</xm:f>
            <x14:dxf>
              <fill>
                <patternFill>
                  <bgColor theme="4" tint="0.59996337778862885"/>
                </patternFill>
              </fill>
            </x14:dxf>
          </x14:cfRule>
          <xm:sqref>I52 F52 L52</xm:sqref>
        </x14:conditionalFormatting>
        <x14:conditionalFormatting xmlns:xm="http://schemas.microsoft.com/office/excel/2006/main">
          <x14:cfRule type="expression" priority="93" id="{2DAC0B62-E3CA-4BB1-9170-A16268F6F993}">
            <xm:f>AND(OR(E$28=Defaults!$M$2,E$28=Defaults!$M$4),OR(E$46="Cut-A-Way",E$46="Heavy Rail",E$46="Light Rail",E$46="Over-Road Coach",E$46="Streetcar",E$46="Transit Bus",E$46="Van",E$46="DMU / EMU"))</xm:f>
            <x14:dxf>
              <fill>
                <patternFill>
                  <bgColor theme="9" tint="0.79998168889431442"/>
                </patternFill>
              </fill>
            </x14:dxf>
          </x14:cfRule>
          <xm:sqref>I53 F53 L53</xm:sqref>
        </x14:conditionalFormatting>
        <x14:conditionalFormatting xmlns:xm="http://schemas.microsoft.com/office/excel/2006/main">
          <x14:cfRule type="expression" priority="94" id="{238A4263-0E6A-49FA-8687-197B021C2794}">
            <xm:f>AND(OR(E$28=Defaults!$M$2,E$28=Defaults!$M$4),OR(E$46="Ferry",E$46="Heavy Rail",E$46="Light Rail",E$46="Streetcar",E$46="DMU / EMU"))</xm:f>
            <x14:dxf>
              <fill>
                <patternFill>
                  <bgColor theme="9" tint="0.79998168889431442"/>
                </patternFill>
              </fill>
            </x14:dxf>
          </x14:cfRule>
          <xm:sqref>I54 L54 F54</xm:sqref>
        </x14:conditionalFormatting>
        <x14:conditionalFormatting xmlns:xm="http://schemas.microsoft.com/office/excel/2006/main">
          <x14:cfRule type="expression" priority="103" id="{5B64B444-1720-47FA-AD5F-FC03EAFE0F56}">
            <xm:f>AND(OR(E$28=Defaults!$M$4, E$28=Defaults!$M$2),OR(E$58="Ferry",E$58="Heavy Rail",E$58="Light Rail",E$58="Streetcar",E$58="DMU / EMU"))</xm:f>
            <x14:dxf>
              <font>
                <b val="0"/>
                <i val="0"/>
              </font>
              <fill>
                <patternFill>
                  <bgColor theme="9" tint="0.79998168889431442"/>
                </patternFill>
              </fill>
            </x14:dxf>
          </x14:cfRule>
          <xm:sqref>I66 L66 F66</xm:sqref>
        </x14:conditionalFormatting>
        <x14:conditionalFormatting xmlns:xm="http://schemas.microsoft.com/office/excel/2006/main">
          <x14:cfRule type="expression" priority="57" id="{DDF8DFCB-9563-4A76-A01F-3EE0E5E812AE}">
            <xm:f>OR(E$28=Defaults!$M$2, E$28=Defaults!$M$3)</xm:f>
            <x14:dxf>
              <fill>
                <patternFill>
                  <bgColor theme="4" tint="0.59996337778862885"/>
                </patternFill>
              </fill>
            </x14:dxf>
          </x14:cfRule>
          <xm:sqref>I78:I81 F78:F81 L78:L81</xm:sqref>
        </x14:conditionalFormatting>
        <x14:conditionalFormatting xmlns:xm="http://schemas.microsoft.com/office/excel/2006/main">
          <x14:cfRule type="expression" priority="51" id="{CA5C4A2C-F880-4BDD-9484-54126954EFAC}">
            <xm:f>AND(OR(E$28=Defaults!$M$2,E$28=Defaults!$M$4),OR(E$46="Ferry",E$46="Heavy Rail",E$46="Light Rail",E$46="Streetcar",E$46="DMU / EMU"))</xm:f>
            <x14:dxf>
              <fill>
                <patternFill>
                  <bgColor theme="9" tint="0.79998168889431442"/>
                </patternFill>
              </fill>
            </x14:dxf>
          </x14:cfRule>
          <xm:sqref>J54 G54 M54</xm:sqref>
        </x14:conditionalFormatting>
        <x14:conditionalFormatting xmlns:xm="http://schemas.microsoft.com/office/excel/2006/main">
          <x14:cfRule type="expression" priority="26" id="{11A7659F-7023-40F6-BD55-5D99D9ADE012}">
            <xm:f>H$28=Defaults!$M$4</xm:f>
            <x14:dxf>
              <fill>
                <patternFill>
                  <bgColor theme="9" tint="0.79998168889431442"/>
                </patternFill>
              </fill>
            </x14:dxf>
          </x14:cfRule>
          <xm:sqref>J58 M58</xm:sqref>
        </x14:conditionalFormatting>
        <x14:conditionalFormatting xmlns:xm="http://schemas.microsoft.com/office/excel/2006/main">
          <x14:cfRule type="expression" priority="17" id="{33D429E0-8C11-466D-BEBA-1349B8231CC0}">
            <xm:f>AND(NOT(ISBLANK($E$66)),OR($E$58=Defaults!$G$3,$E$58=Defaults!$G$5,$E$58=Defaults!$G$6,$E$58=Defaults!$G$8))</xm:f>
            <x14:dxf>
              <fill>
                <patternFill>
                  <bgColor theme="4" tint="0.59996337778862885"/>
                </patternFill>
              </fill>
            </x14:dxf>
          </x14:cfRule>
          <x14:cfRule type="expression" priority="18" id="{79CFE6E7-BA2A-4B67-BDEB-B9F1F5895AA5}">
            <xm:f>AND(OR(H$28=Defaults!$M$4, H$28=Defaults!$M$2),OR(H$58="Cut-A-Way",H$58="Heavy Rail",H$58="Light Rail",H$58="Over-Road Coach",H$58="Streetcar",H$58="Transit Bus",H$58="Van",H$58="DMU / EMU"))</xm:f>
            <x14:dxf>
              <fill>
                <patternFill>
                  <bgColor theme="9" tint="0.79998168889431442"/>
                </patternFill>
              </fill>
            </x14:dxf>
          </x14:cfRule>
          <xm:sqref>J65 M65</xm:sqref>
        </x14:conditionalFormatting>
        <x14:conditionalFormatting xmlns:xm="http://schemas.microsoft.com/office/excel/2006/main">
          <x14:cfRule type="expression" priority="90" id="{A85A7730-39DD-4873-8479-1C5207EB8AED}">
            <xm:f>OR(E$28=Defaults!$M$4)</xm:f>
            <x14:dxf>
              <fill>
                <patternFill>
                  <bgColor theme="9" tint="0.79998168889431442"/>
                </patternFill>
              </fill>
            </x14:dxf>
          </x14:cfRule>
          <xm:sqref>K47:K48 H47:H48 E47:E48</xm:sqref>
        </x14:conditionalFormatting>
        <x14:conditionalFormatting xmlns:xm="http://schemas.microsoft.com/office/excel/2006/main">
          <x14:cfRule type="expression" priority="62" id="{B4EB94DB-4B10-4FBD-A644-B9D9EF9D57B9}">
            <xm:f>NOT(OR($K$46=Defaults!$G$3,$K$46=Defaults!$G$4))</xm:f>
            <x14:dxf>
              <font>
                <color rgb="FFFF0000"/>
              </font>
              <fill>
                <patternFill>
                  <bgColor theme="1"/>
                </patternFill>
              </fill>
            </x14:dxf>
          </x14:cfRule>
          <xm:sqref>K48</xm:sqref>
        </x14:conditionalFormatting>
        <x14:conditionalFormatting xmlns:xm="http://schemas.microsoft.com/office/excel/2006/main">
          <x14:cfRule type="expression" priority="47" id="{6E03DC5E-F374-48CB-999A-FAEB3B003270}">
            <xm:f>K$28=Defaults!$M$4</xm:f>
            <x14:dxf>
              <fill>
                <patternFill>
                  <bgColor theme="9" tint="0.79998168889431442"/>
                </patternFill>
              </fill>
            </x14:dxf>
          </x14:cfRule>
          <xm:sqref>K58</xm:sqref>
        </x14:conditionalFormatting>
        <x14:conditionalFormatting xmlns:xm="http://schemas.microsoft.com/office/excel/2006/main">
          <x14:cfRule type="expression" priority="89" id="{7E77C874-D195-46E7-A7F3-6251ADF458BE}">
            <xm:f>OR(E$28=Defaults!$M$4)</xm:f>
            <x14:dxf>
              <fill>
                <patternFill>
                  <bgColor theme="9" tint="0.79998168889431442"/>
                </patternFill>
              </fill>
            </x14:dxf>
          </x14:cfRule>
          <xm:sqref>K59:K60 E59:E60 H59:H60</xm:sqref>
        </x14:conditionalFormatting>
        <x14:conditionalFormatting xmlns:xm="http://schemas.microsoft.com/office/excel/2006/main">
          <x14:cfRule type="expression" priority="65" id="{FCB863A9-1D3B-4EB0-83FC-39BFC73AA468}">
            <xm:f>NOT(OR($K$58=Defaults!$G$3,$K$58=Defaults!$G$4))</xm:f>
            <x14:dxf>
              <font>
                <color rgb="FFFF0000"/>
              </font>
              <fill>
                <patternFill>
                  <bgColor theme="1"/>
                </patternFill>
              </fill>
            </x14:dxf>
          </x14:cfRule>
          <xm:sqref>K60</xm:sqref>
        </x14:conditionalFormatting>
        <x14:conditionalFormatting xmlns:xm="http://schemas.microsoft.com/office/excel/2006/main">
          <x14:cfRule type="expression" priority="50" id="{BE236106-E4A7-49AA-9051-AD6E84A5A4B8}">
            <xm:f>OR(E$28=Defaults!$M$4, AND(NOT(ISBLANK(E$58)),E$28=Defaults!$M$2))</xm:f>
            <x14:dxf>
              <fill>
                <patternFill>
                  <bgColor theme="4" tint="0.59996337778862885"/>
                </patternFill>
              </fill>
            </x14:dxf>
          </x14:cfRule>
          <xm:sqref>K64 H64 E64</xm:sqref>
        </x14:conditionalFormatting>
        <x14:conditionalFormatting xmlns:xm="http://schemas.microsoft.com/office/excel/2006/main">
          <x14:cfRule type="expression" priority="101" id="{6A549D3D-D2A2-402F-80D6-AB28596B43E2}">
            <xm:f>AND(OR(E$28=Defaults!$M$4, E$28=Defaults!$M$2),OR(E$58="Cut-A-Way",E$58="Heavy Rail",E$58="Light Rail",E$58="Over-Road Coach",E$58="Streetcar",E$58="Transit Bus",E$58="Van",E$58="DMU / EMU"))</xm:f>
            <x14:dxf>
              <fill>
                <patternFill>
                  <bgColor theme="9" tint="0.79998168889431442"/>
                </patternFill>
              </fill>
            </x14:dxf>
          </x14:cfRule>
          <xm:sqref>K65 H65 E65</xm:sqref>
        </x14:conditionalFormatting>
        <x14:conditionalFormatting xmlns:xm="http://schemas.microsoft.com/office/excel/2006/main">
          <x14:cfRule type="expression" priority="64" id="{FADE7E99-5296-489C-867A-89BFDB308E25}">
            <xm:f>NOT(OR($K$69=Defaults!$G$3,$K$69=Defaults!$G$4))</xm:f>
            <x14:dxf>
              <font>
                <color rgb="FFFF0000"/>
              </font>
              <fill>
                <patternFill>
                  <bgColor theme="1"/>
                </patternFill>
              </fill>
            </x14:dxf>
          </x14:cfRule>
          <xm:sqref>K71</xm:sqref>
        </x14:conditionalFormatting>
        <x14:conditionalFormatting xmlns:xm="http://schemas.microsoft.com/office/excel/2006/main">
          <x14:cfRule type="expression" priority="75" id="{72A02D86-3178-4F7B-A3D0-D4C42D6D21BD}">
            <xm:f>AND(NOT(ISBLANK($K$53)),OR($K$46=Defaults!$G$3,$K$46=Defaults!$G$5,$K$46=Defaults!$G$6,$K$46=Defaults!$G$8))</xm:f>
            <x14:dxf>
              <fill>
                <patternFill>
                  <bgColor theme="4" tint="0.39994506668294322"/>
                </patternFill>
              </fill>
            </x14:dxf>
          </x14:cfRule>
          <xm:sqref>K54:L54</xm:sqref>
        </x14:conditionalFormatting>
        <x14:conditionalFormatting xmlns:xm="http://schemas.microsoft.com/office/excel/2006/main">
          <x14:cfRule type="expression" priority="96" id="{0D23EAB1-F8C6-4CD7-BAD8-F5D8F123EE6B}">
            <xm:f>E$28=Defaults!$M$2</xm:f>
            <x14:dxf>
              <fill>
                <patternFill>
                  <bgColor theme="4" tint="0.59996337778862885"/>
                </patternFill>
              </fill>
            </x14:dxf>
          </x14:cfRule>
          <xm:sqref>K58:L58 E58:F58 H58:I58</xm:sqref>
        </x14:conditionalFormatting>
        <x14:conditionalFormatting xmlns:xm="http://schemas.microsoft.com/office/excel/2006/main">
          <x14:cfRule type="expression" priority="98" id="{22A18A78-9946-4590-84DA-491EB9A14467}">
            <xm:f>OR(E$28=Defaults!$M$4, AND(NOT(ISBLANK(E$58)),E$28=Defaults!$M$2))</xm:f>
            <x14:dxf>
              <fill>
                <patternFill>
                  <bgColor theme="9" tint="0.79998168889431442"/>
                </patternFill>
              </fill>
            </x14:dxf>
          </x14:cfRule>
          <xm:sqref>K61:L62 H61:I62 E61:F62</xm:sqref>
        </x14:conditionalFormatting>
        <x14:conditionalFormatting xmlns:xm="http://schemas.microsoft.com/office/excel/2006/main">
          <x14:cfRule type="expression" priority="100" id="{9DB90A1E-A6B1-454B-AAFB-D58570A91080}">
            <xm:f>AND(OR(E$28=Defaults!$M$4,E$28=Defaults!$M$2),OR(E$58="Cut-A-Way",E$58="Over-Road Coach",E$58="Transit Bus",E$58="Van",E$58="DMU / EMU"))</xm:f>
            <x14:dxf>
              <fill>
                <patternFill>
                  <bgColor theme="9" tint="0.79998168889431442"/>
                </patternFill>
              </fill>
            </x14:dxf>
          </x14:cfRule>
          <xm:sqref>K63:L63 H63:I63 E63:F63</xm:sqref>
        </x14:conditionalFormatting>
        <x14:conditionalFormatting xmlns:xm="http://schemas.microsoft.com/office/excel/2006/main">
          <x14:cfRule type="expression" priority="95" id="{01A143FE-4BD4-48E3-A62B-02F1F9C41C3B}">
            <xm:f>OR(E$28=Defaults!$M$5)</xm:f>
            <x14:dxf>
              <fill>
                <patternFill>
                  <bgColor theme="9" tint="0.79998168889431442"/>
                </patternFill>
              </fill>
            </x14:dxf>
          </x14:cfRule>
          <xm:sqref>K69:L69 E69:F69 H69:I69</xm:sqref>
        </x14:conditionalFormatting>
        <x14:conditionalFormatting xmlns:xm="http://schemas.microsoft.com/office/excel/2006/main">
          <x14:cfRule type="expression" priority="99" id="{E8B423C1-4056-49F7-A06F-CE9968F8C394}">
            <xm:f>OR(E$28=Defaults!$M$5, NOT(ISBLANK(E$69)))</xm:f>
            <x14:dxf>
              <fill>
                <patternFill>
                  <bgColor theme="9" tint="0.79998168889431442"/>
                </patternFill>
              </fill>
            </x14:dxf>
          </x14:cfRule>
          <xm:sqref>K72:L72 E72:F72 H72:I72</xm:sqref>
        </x14:conditionalFormatting>
        <x14:conditionalFormatting xmlns:xm="http://schemas.microsoft.com/office/excel/2006/main">
          <x14:cfRule type="expression" priority="70" id="{DF6C8174-9C26-4D8E-827C-3D2F1F9F064A}">
            <xm:f>AND(NOT(ISBLANK($K$65)),OR($K$58=Defaults!$G$3,$K$58=Defaults!$G$5,$K$58=Defaults!$G$6,$K$58=Defaults!$G$8))</xm:f>
            <x14:dxf>
              <fill>
                <patternFill>
                  <bgColor theme="4" tint="0.39994506668294322"/>
                </patternFill>
              </fill>
            </x14:dxf>
          </x14:cfRule>
          <xm:sqref>K66:M66</xm:sqref>
        </x14:conditionalFormatting>
        <x14:conditionalFormatting xmlns:xm="http://schemas.microsoft.com/office/excel/2006/main">
          <x14:cfRule type="expression" priority="49" id="{BA08AD2A-0CE3-46D5-B76D-9C19A2077E6D}">
            <xm:f>OR(E$28=Defaults!$M$4, AND(NOT(ISBLANK(E$58)),E$28=Defaults!$M$2))</xm:f>
            <x14:dxf>
              <fill>
                <patternFill>
                  <bgColor theme="4" tint="0.59996337778862885"/>
                </patternFill>
              </fill>
            </x14:dxf>
          </x14:cfRule>
          <xm:sqref>L64 I64 F64</xm:sqref>
        </x14:conditionalFormatting>
        <x14:conditionalFormatting xmlns:xm="http://schemas.microsoft.com/office/excel/2006/main">
          <x14:cfRule type="expression" priority="104" id="{FF76EED2-3B3A-44C8-9AE6-5D8D24C2D0DE}">
            <xm:f>AND(OR(E$28=Defaults!$M$4, E$28=Defaults!$M$2),OR(E$58="Cut-A-Way",E$58="Heavy Rail",E$58="Light Rail",E$58="Over-Road Coach",E$58="Streetcar",E$58="Transit Bus",E$58="Van",E$58="DMU / EMU"))</xm:f>
            <x14:dxf>
              <font>
                <b val="0"/>
                <i val="0"/>
              </font>
              <fill>
                <patternFill>
                  <bgColor theme="9" tint="0.79998168889431442"/>
                </patternFill>
              </fill>
            </x14:dxf>
          </x14:cfRule>
          <xm:sqref>L65 I65 F65</xm:sqref>
        </x14:conditionalFormatting>
        <x14:conditionalFormatting xmlns:xm="http://schemas.microsoft.com/office/excel/2006/main">
          <x14:cfRule type="expression" priority="97" id="{1EB38AF9-7C11-4C55-B846-ECE66F5DFE61}">
            <xm:f>E$28=Defaults!$M$3</xm:f>
            <x14:dxf>
              <fill>
                <patternFill>
                  <bgColor theme="4" tint="0.59996337778862885"/>
                </patternFill>
              </fill>
            </x14:dxf>
          </x14:cfRule>
          <xm:sqref>L77:L78 I77:I78 F77:F78</xm:sqref>
        </x14:conditionalFormatting>
      </x14:conditionalFormattings>
    </ext>
    <ext xmlns:x14="http://schemas.microsoft.com/office/spreadsheetml/2009/9/main" uri="{CCE6A557-97BC-4b89-ADB6-D9C93CAAB3DF}">
      <x14:dataValidations xmlns:xm="http://schemas.microsoft.com/office/excel/2006/main" count="31">
        <x14:dataValidation type="list" allowBlank="1" showInputMessage="1" showErrorMessage="1" promptTitle="Note:" prompt="Selection locks after hybrid is identified" xr:uid="{5945E051-5731-40A6-A0FC-1266186E11EF}">
          <x14:formula1>
            <xm:f>IF($K$50="",IF($K$46=Defaults!$G$4,Defaults!$I$14:$I$23,IF(OR($K$46=Defaults!$G$6,$K$46=Defaults!$G$8),Defaults!$I$38:$I$39,fuel)),"")</xm:f>
          </x14:formula1>
          <xm:sqref>K49</xm:sqref>
        </x14:dataValidation>
        <x14:dataValidation type="list" allowBlank="1" showInputMessage="1" showErrorMessage="1" xr:uid="{749D3FC7-70A8-4784-BA61-A3BE188A6D5F}">
          <x14:formula1>
            <xm:f>IF($E$69=Defaults!$G$4,Defaults!$I$14:$I$23,IF(OR($E$69=Defaults!$G$6,$E$69=Defaults!$G$8),Defaults!$I$37,fuel))</xm:f>
          </x14:formula1>
          <xm:sqref>E72</xm:sqref>
        </x14:dataValidation>
        <x14:dataValidation type="list" allowBlank="1" showInputMessage="1" showErrorMessage="1" xr:uid="{63EF87A1-B6FA-4E89-B74C-08116BFDB902}">
          <x14:formula1>
            <xm:f>IF($H$69=Defaults!$G$4,Defaults!$I$14:$I$23,IF(OR($H$69=Defaults!$G$6,$H$69=Defaults!$G$8),Defaults!$I$37,fuel))</xm:f>
          </x14:formula1>
          <xm:sqref>H72</xm:sqref>
        </x14:dataValidation>
        <x14:dataValidation type="list" allowBlank="1" showInputMessage="1" showErrorMessage="1" xr:uid="{A019A770-75BB-47E6-9171-CDD1A1F93654}">
          <x14:formula1>
            <xm:f>IF($K$69=Defaults!$G$4,Defaults!$I$14:$I$23,IF(OR($K$69=Defaults!$G$6,$K$69=Defaults!$G$8),Defaults!$I$37,fuel))</xm:f>
          </x14:formula1>
          <xm:sqref>K72</xm:sqref>
        </x14:dataValidation>
        <x14:dataValidation type="list" allowBlank="1" showInputMessage="1" showErrorMessage="1" xr:uid="{16E528AA-A8D4-48F8-B3BC-346A5F657B3A}">
          <x14:formula1>
            <xm:f>IF($E$58=Defaults!$G$4,Defaults!$I$13:$I$21,IF(OR($E$58=Defaults!$G$6,$E$58=Defaults!$G$8),Defaults!$I$37:$I$38,fuel))</xm:f>
          </x14:formula1>
          <xm:sqref>E61</xm:sqref>
        </x14:dataValidation>
        <x14:dataValidation type="list" allowBlank="1" showInputMessage="1" showErrorMessage="1" xr:uid="{FD6E4E6F-6629-4807-AA78-DC2C48822341}">
          <x14:formula1>
            <xm:f>IF($H$58=Defaults!$G$4,Defaults!$I$14:$I$23,IF(OR($H$58=Defaults!$G$6,$H$58=Defaults!$G$8),Defaults!$I$38:$I$39,fuel))</xm:f>
          </x14:formula1>
          <xm:sqref>H61</xm:sqref>
        </x14:dataValidation>
        <x14:dataValidation type="list" allowBlank="1" showInputMessage="1" showErrorMessage="1" xr:uid="{532EA033-367D-43DD-97F1-F425895B59F8}">
          <x14:formula1>
            <xm:f>IF($K$58=Defaults!$G$4,Defaults!$I$14:$I$23,IF(OR($K$58=Defaults!$G$6,$K$58=Defaults!$G$8),Defaults!$I$38:$I$39,fuel))</xm:f>
          </x14:formula1>
          <xm:sqref>K61</xm:sqref>
        </x14:dataValidation>
        <x14:dataValidation type="list" allowBlank="1" showInputMessage="1" showErrorMessage="1" promptTitle="Note:" prompt="Selection locks after hybrid is identified" xr:uid="{1693EBA9-3C07-4F0E-BAAD-6ECDE2EEF204}">
          <x14:formula1>
            <xm:f>IF($E$50="",IF($E$46=Defaults!$G$4,Defaults!$I$14:$I$23,IF(OR($E$46=Defaults!$G$6,$E$46=Defaults!$G$8),Defaults!$I$37:$I$38,fuel)),"")</xm:f>
          </x14:formula1>
          <xm:sqref>E49</xm:sqref>
        </x14:dataValidation>
        <x14:dataValidation type="list" allowBlank="1" showInputMessage="1" showErrorMessage="1" promptTitle="Note:" prompt="Selection locks after hybrid is identified" xr:uid="{D9DCFCC9-DDEB-4427-97B2-AA4335A2D18C}">
          <x14:formula1>
            <xm:f>IF($H$50="",IF($H$46=Defaults!$G$4,Defaults!$I$14:$I$23,IF(OR($H$46=Defaults!$G$6,$H$46=Defaults!$G$8),Defaults!$I$38:$I$39,fuel)),"")</xm:f>
          </x14:formula1>
          <xm:sqref>H49</xm:sqref>
        </x14:dataValidation>
        <x14:dataValidation type="list" allowBlank="1" showInputMessage="1" showErrorMessage="1" xr:uid="{114929D2-6CF6-4A0D-BC4A-B8EA13556197}">
          <x14:formula1>
            <xm:f>IF(OR($E$49=Defaults!$I$5,$E$49=Defaults!$I$7,$E$49=Defaults!$I$11),Defaults!$G$15,yesno)</xm:f>
          </x14:formula1>
          <xm:sqref>E50</xm:sqref>
        </x14:dataValidation>
        <x14:dataValidation type="list" allowBlank="1" showInputMessage="1" showErrorMessage="1" xr:uid="{28743B35-168D-481F-8543-F728418BF61A}">
          <x14:formula1>
            <xm:f>IF(OR($H$49=Defaults!$I$5,$H$49=Defaults!$I$7,$H$49=Defaults!$I$11),Defaults!$G$15,yesno)</xm:f>
          </x14:formula1>
          <xm:sqref>H50</xm:sqref>
        </x14:dataValidation>
        <x14:dataValidation type="list" allowBlank="1" showInputMessage="1" showErrorMessage="1" xr:uid="{684E5B2D-CFFC-48C9-BBE4-B10393C5210D}">
          <x14:formula1>
            <xm:f>IF(OR($K$49=Defaults!$I$5,$K$49=Defaults!$I$7,$K$49=Defaults!$I$11),Defaults!$G$15,yesno)</xm:f>
          </x14:formula1>
          <xm:sqref>K50</xm:sqref>
        </x14:dataValidation>
        <x14:dataValidation type="list" allowBlank="1" showInputMessage="1" showErrorMessage="1" xr:uid="{406AE87E-9594-4BDF-B556-AD8A22DD9A89}">
          <x14:formula1>
            <xm:f>IF(OR($E$61=Defaults!$I$5,$E$61=Defaults!$I$7,$E$61=Defaults!$I$11),Defaults!$G$15,yesno)</xm:f>
          </x14:formula1>
          <xm:sqref>E62</xm:sqref>
        </x14:dataValidation>
        <x14:dataValidation type="list" allowBlank="1" showInputMessage="1" showErrorMessage="1" xr:uid="{DA13FF60-575E-41FE-90BF-58C69CF18C4A}">
          <x14:formula1>
            <xm:f>IF(OR($H$61=Defaults!$I$5,$H$61=Defaults!$I$7,$H$61=Defaults!$I$11),Defaults!$G$15,yesno)</xm:f>
          </x14:formula1>
          <xm:sqref>H62</xm:sqref>
        </x14:dataValidation>
        <x14:dataValidation type="list" allowBlank="1" showInputMessage="1" showErrorMessage="1" xr:uid="{BED28A10-AA27-4933-8067-2CC4226387D3}">
          <x14:formula1>
            <xm:f>IF(OR($K$61=Defaults!$I$5,$K$61=Defaults!$I$7,$K$61=Defaults!$I$11),Defaults!$G$15,yesno)</xm:f>
          </x14:formula1>
          <xm:sqref>K62</xm:sqref>
        </x14:dataValidation>
        <x14:dataValidation type="list" allowBlank="1" showInputMessage="1" showErrorMessage="1" xr:uid="{3259699F-D399-47CD-A2E7-643C58EF0AE9}">
          <x14:formula1>
            <xm:f>Defaults!$N$2:$N$18</xm:f>
          </x14:formula1>
          <xm:sqref>K20:L20 E23:F23 H23:I23 H20:I20 K23:L23</xm:sqref>
        </x14:dataValidation>
        <x14:dataValidation type="list" allowBlank="1" showInputMessage="1" showErrorMessage="1" promptTitle="Leave blank if," prompt="No additional GGRF funding has or will be requested from another CCI Program for this project." xr:uid="{BD966A7C-0A0C-4033-8A5A-B3904FA5730D}">
          <x14:formula1>
            <xm:f>Defaults!$N$2:$N$18</xm:f>
          </x14:formula1>
          <xm:sqref>E20:F20</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B539D09A-CEF4-4AC8-A6F8-5B975E8A91CF}">
          <x14:formula1>
            <xm:f>IF(OR($H$28=Defaults!$M$2,$H$28=Defaults!$M$3),AND(H40&gt;0)," ")</xm:f>
          </x14:formula1>
          <xm:sqref>H40</xm:sqref>
        </x14:dataValidation>
        <x14:dataValidation type="custom" allowBlank="1" showInputMessage="1" showErrorMessage="1" errorTitle="Invalid Input:" error="Value must be greater than 0." xr:uid="{C635FD63-C57F-43E3-87E8-662FA7A128E0}">
          <x14:formula1>
            <xm:f>IF(OR(H$28=Defaults!$M$2,H$28=Defaults!$M$3),H37&gt;=0," ")</xm:f>
          </x14:formula1>
          <xm:sqref>H37 K37</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A740ED18-FAE6-4806-96C9-FE85DE5C0661}">
          <x14:formula1>
            <xm:f>IF(OR($E$28=Defaults!$M$2,$E$28=Defaults!$M$3),AND(E40&gt;0)," ")</xm:f>
          </x14:formula1>
          <xm:sqref>E40</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9CBF6E9B-4BBD-4A1F-908E-A63A92D02EC9}">
          <x14:formula1>
            <xm:f>IF(OR($E$28=Defaults!$M$2,$E$28=Defaults!$M$3),AND(E39&gt;=0, E39&lt;=1)," ")</xm:f>
          </x14:formula1>
          <xm:sqref>E39</xm:sqref>
        </x14:dataValidation>
        <x14:dataValidation type="custom" operator="greaterThan" allowBlank="1" showInputMessage="1" showErrorMessage="1" xr:uid="{CABCFBC0-051A-4877-8E84-ECAAF3316B22}">
          <x14:formula1>
            <xm:f>IF(OR(E$28=Defaults!$M$2,E$28=Defaults!$M$3),E37&gt;=0," ")</xm:f>
          </x14:formula1>
          <xm:sqref>E37</xm:sqref>
        </x14:dataValidation>
        <x14:dataValidation type="list" allowBlank="1" showInputMessage="1" showErrorMessage="1" xr:uid="{DDB07932-9AEC-43BE-BF39-D573B9534D2E}">
          <x14:formula1>
            <xm:f>Defaults!$F$2:$F$9</xm:f>
          </x14:formula1>
          <xm:sqref>E29:F29 H29:I29 K29:L29</xm:sqref>
        </x14:dataValidation>
        <x14:dataValidation type="list" allowBlank="1" showInputMessage="1" showErrorMessage="1" xr:uid="{603C8C81-E212-4469-AAE1-FF3F90452AE1}">
          <x14:formula1>
            <xm:f>OFFSET(Defaults!$B$2,$K$32-2015,0,IF(2080-$K$32&lt;50,2080-$K$32,50))</xm:f>
          </x14:formula1>
          <xm:sqref>K33</xm:sqref>
        </x14:dataValidation>
        <x14:dataValidation type="custom" allowBlank="1" showInputMessage="1" showErrorMessage="1" promptTitle="If unknown, use look up tables:" prompt="Quantification Methodlogy Appendix C includes look up tables by agency by mode, Table C-1, and by statewide average by mode, Table C-2." xr:uid="{8EC5CEE8-3DFB-4970-B992-E42B5D1407C1}">
          <x14:formula1>
            <xm:f>IF(OR(E$28=Defaults!$M$2,E$28=Defaults!$M$3),E41&gt;0," ")</xm:f>
          </x14:formula1>
          <xm:sqref>E41</xm:sqref>
        </x14:dataValidation>
        <x14:dataValidation type="list" allowBlank="1" showInputMessage="1" showErrorMessage="1" xr:uid="{8FB2F46B-01EA-4EDE-8DF2-84503328C9B8}">
          <x14:formula1>
            <xm:f>OFFSET(Defaults!$B$2,$E$32-2015,0,IF(2080-$E$32&lt;50,2080-$E$32,50))</xm:f>
          </x14:formula1>
          <xm:sqref>E33</xm:sqref>
        </x14:dataValidation>
        <x14:dataValidation type="list" allowBlank="1" showInputMessage="1" showErrorMessage="1" xr:uid="{4976566D-E997-4FAB-A301-14C0DE0CFE6B}">
          <x14:formula1>
            <xm:f>OFFSET(Defaults!$B$2,$H$32-2015,0,IF(2080-$H$32&lt;50,2080-$H$32,50))</xm:f>
          </x14:formula1>
          <xm:sqref>H33</xm:sqref>
        </x14:dataValidation>
        <x14:dataValidation type="list" allowBlank="1" showInputMessage="1" showErrorMessage="1" xr:uid="{D95E943F-B5F2-45A7-BC9E-857DF04ECDA5}">
          <x14:formula1>
            <xm:f>'Rail C&amp;T EF'!$A$15:$A$22</xm:f>
          </x14:formula1>
          <xm:sqref>E59 H70 E70 K59 K47 H59 E47 H47 K70</xm:sqref>
        </x14:dataValidation>
        <x14:dataValidation type="custom" allowBlank="1" showInputMessage="1" showErrorMessage="1" errorTitle="Invalid Input:" error="Value must be greater than 0." promptTitle="If unknown, use look up tables:" prompt="Refer to the &quot;Lookup Tables&quot; tab for default trip lengths by mode and/or agency." xr:uid="{4F1E5505-60A2-4C95-A70F-3FCF8C7B84BD}">
          <x14:formula1>
            <xm:f>IF(OR($K$28=Defaults!$M$2,$K$28=Defaults!$M$3),AND(K40&gt;0)," ")</xm:f>
          </x14:formula1>
          <xm:sqref>K40</xm:sqref>
        </x14:dataValidation>
        <x14:dataValidation type="custom" allowBlank="1" showInputMessage="1" showErrorMessage="1" errorTitle="Invalid Input:" error="Value must be between 0 and 1." promptTitle="If unknown, use lookup tables:" prompt="Refer to the &quot;Lookup Tables&quot; tab for default adjustment factors by mode." xr:uid="{45373CBF-D642-4DE8-9D6E-220650F60F1F}">
          <x14:formula1>
            <xm:f>IF(OR(H$28=Defaults!$M$2,H$28=Defaults!$M$3),AND(H39&gt;=0, H39&lt;=1)," ")</xm:f>
          </x14:formula1>
          <xm:sqref>K39 H39</xm:sqref>
        </x14:dataValidation>
        <x14:dataValidation type="custom" operator="greaterThan" allowBlank="1" showInputMessage="1" showErrorMessage="1" errorTitle="Invalid Input:" error="Value must be greater than 0." xr:uid="{6E3A417F-57A8-4D28-AC39-FC7CA7BD7EE0}">
          <x14:formula1>
            <xm:f>IF(OR(E$28=Defaults!$M$2,E$28=Defaults!$M$3),E38&gt;0," ")</xm:f>
          </x14:formula1>
          <xm:sqref>H38 E38 K38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2" tint="-9.9978637043366805E-2"/>
  </sheetPr>
  <dimension ref="B1:O44"/>
  <sheetViews>
    <sheetView showGridLines="0" zoomScaleNormal="100" zoomScaleSheetLayoutView="55" zoomScalePageLayoutView="70" workbookViewId="0">
      <selection activeCell="C16" sqref="C16"/>
    </sheetView>
  </sheetViews>
  <sheetFormatPr defaultColWidth="9.08984375" defaultRowHeight="13" x14ac:dyDescent="0.3"/>
  <cols>
    <col min="1" max="1" width="2.90625" style="261" customWidth="1"/>
    <col min="2" max="2" width="94" style="261" customWidth="1"/>
    <col min="3" max="3" width="32.453125" style="261" customWidth="1"/>
    <col min="4" max="9" width="22.90625" style="261" customWidth="1"/>
    <col min="10" max="10" width="15.453125" style="261" hidden="1" customWidth="1"/>
    <col min="11" max="12" width="22.453125" style="261" hidden="1" customWidth="1"/>
    <col min="13" max="14" width="9.08984375" style="261"/>
    <col min="15" max="15" width="14.81640625" style="261" bestFit="1" customWidth="1"/>
    <col min="16" max="16384" width="9.08984375" style="261"/>
  </cols>
  <sheetData>
    <row r="1" spans="2:15" s="412" customFormat="1" ht="20.5" x14ac:dyDescent="0.45">
      <c r="E1" s="413"/>
    </row>
    <row r="2" spans="2:15" s="412" customFormat="1" ht="20.5" x14ac:dyDescent="0.45">
      <c r="E2" s="413"/>
    </row>
    <row r="3" spans="2:15" s="412" customFormat="1" ht="20.5" x14ac:dyDescent="0.45">
      <c r="E3" s="413"/>
    </row>
    <row r="4" spans="2:15" s="412" customFormat="1" ht="20.5" x14ac:dyDescent="0.45">
      <c r="E4" s="413"/>
    </row>
    <row r="5" spans="2:15" s="412" customFormat="1" ht="20.5" x14ac:dyDescent="0.45">
      <c r="E5" s="413"/>
    </row>
    <row r="6" spans="2:15" s="412" customFormat="1" ht="20.5" x14ac:dyDescent="0.45">
      <c r="D6" s="414"/>
      <c r="E6" s="413"/>
    </row>
    <row r="7" spans="2:15" s="412" customFormat="1" ht="12" customHeight="1" x14ac:dyDescent="0.45"/>
    <row r="8" spans="2:15" s="412" customFormat="1" ht="20.25" customHeight="1" x14ac:dyDescent="0.45">
      <c r="B8" s="820" t="s">
        <v>176</v>
      </c>
      <c r="C8" s="819"/>
      <c r="D8" s="819"/>
      <c r="E8" s="819"/>
    </row>
    <row r="9" spans="2:15" s="117" customFormat="1" ht="20.5" x14ac:dyDescent="0.35">
      <c r="B9" s="837" t="s">
        <v>35</v>
      </c>
      <c r="C9" s="821" t="str">
        <f>IF('Project Info'!E13="","",'Project Info'!E13)</f>
        <v/>
      </c>
      <c r="D9" s="822"/>
      <c r="E9" s="823"/>
      <c r="F9" s="261"/>
      <c r="K9" s="804" t="s">
        <v>34</v>
      </c>
    </row>
    <row r="10" spans="2:15" s="117" customFormat="1" ht="16" thickBot="1" x14ac:dyDescent="0.4">
      <c r="B10" s="416"/>
      <c r="C10" s="264"/>
      <c r="D10" s="264"/>
      <c r="K10" s="639" t="s">
        <v>36</v>
      </c>
      <c r="L10" s="639" t="s">
        <v>37</v>
      </c>
    </row>
    <row r="11" spans="2:15" s="117" customFormat="1" ht="48.75" customHeight="1" thickBot="1" x14ac:dyDescent="0.4">
      <c r="B11" s="441"/>
      <c r="C11" s="442" t="s">
        <v>177</v>
      </c>
      <c r="D11" s="442" t="s">
        <v>178</v>
      </c>
      <c r="E11" s="442" t="s">
        <v>179</v>
      </c>
      <c r="F11" s="442" t="s">
        <v>180</v>
      </c>
      <c r="G11" s="442" t="s">
        <v>181</v>
      </c>
      <c r="H11" s="442" t="s">
        <v>182</v>
      </c>
      <c r="I11" s="443" t="s">
        <v>183</v>
      </c>
      <c r="J11" s="117" t="s">
        <v>184</v>
      </c>
      <c r="K11" s="792" t="s">
        <v>43</v>
      </c>
      <c r="L11" s="793"/>
    </row>
    <row r="12" spans="2:15" s="117" customFormat="1" ht="84.9" customHeight="1" x14ac:dyDescent="0.35">
      <c r="B12" s="444" t="s">
        <v>185</v>
      </c>
      <c r="C12" s="445" t="str">
        <f>IF('Quantifiable Component 1'!$E$15="","",'Quantifiable Component 1'!$E$15)&amp;IF('Quantifiable Component 1'!$H$15="","","; "&amp;'Quantifiable Component 1'!$H$15)&amp;IF('Quantifiable Component 1'!$K$15="","","; "&amp;'Quantifiable Component 1'!$K$15)</f>
        <v/>
      </c>
      <c r="D12" s="445" t="str">
        <f>IF('Quantifiable Component 2'!$E$15="","",'Quantifiable Component 2'!$E$15)&amp;IF('Quantifiable Component 2'!$H$15="","","; "&amp;'Quantifiable Component 2'!$H$15)&amp;IF('Quantifiable Component 2'!$K$15="","","; "&amp;'Quantifiable Component 2'!$K$15)</f>
        <v/>
      </c>
      <c r="E12" s="445" t="str">
        <f>IF('Quantifiable Component 3'!$E$15="","",'Quantifiable Component 3'!$E$15)&amp;IF('Quantifiable Component 3'!$H$15="","","; "&amp;'Quantifiable Component 3'!$H$15)&amp;IF('Quantifiable Component 3'!$K$15="","","; "&amp;'Quantifiable Component 3'!$K$15)</f>
        <v/>
      </c>
      <c r="F12" s="445" t="str">
        <f>IF('Quantifiable Component 4'!$E$15="","",'Quantifiable Component 4'!$E$15)&amp;IF('Quantifiable Component 4'!$H$15="","","; "&amp;'Quantifiable Component 4'!$H$15)&amp;IF('Quantifiable Component 4'!$K$15="","","; "&amp;'Quantifiable Component 4'!$K$15)</f>
        <v/>
      </c>
      <c r="G12" s="445" t="str">
        <f>IF('Quantifiable Component 5'!$E$15="","",'Quantifiable Component 5'!$E$15)&amp;IF('Quantifiable Component 5'!$H$15="","","; "&amp;'Quantifiable Component 5'!$H$15)&amp;IF('Quantifiable Component 5'!$K$15="","","; "&amp;'Quantifiable Component 5'!$K$15)</f>
        <v/>
      </c>
      <c r="H12" s="445" t="str">
        <f>IF('Quantifiable Component 6'!$E$15="","",'Quantifiable Component 6'!$E$15)&amp;IF('Quantifiable Component 6'!$H$15="","","; "&amp;'Quantifiable Component 6'!$H$15)&amp;IF('Quantifiable Component 6'!$K$15="","","; "&amp;'Quantifiable Component 6'!$K$15)</f>
        <v/>
      </c>
      <c r="I12" s="446"/>
      <c r="J12" s="379" t="s">
        <v>186</v>
      </c>
      <c r="K12" s="640" t="s">
        <v>43</v>
      </c>
      <c r="L12" s="641"/>
    </row>
    <row r="13" spans="2:15" s="117" customFormat="1" ht="33.75" customHeight="1" thickBot="1" x14ac:dyDescent="0.4">
      <c r="B13" s="805" t="s">
        <v>187</v>
      </c>
      <c r="C13" s="814" t="str">
        <f>IF('Quantifiable Component 1'!$E$32="","",'Quantifiable Component 1'!$E$32)&amp;IF('Quantifiable Component 1'!$H$32="","","; "&amp;'Quantifiable Component 1'!$H$32)&amp;IF('Quantifiable Component 1'!$K$32="","","; "&amp;'Quantifiable Component 1'!$K$32)</f>
        <v/>
      </c>
      <c r="D13" s="814" t="str">
        <f>IF('Quantifiable Component 2'!$E$32="","",'Quantifiable Component 2'!$E$32)&amp;IF('Quantifiable Component 2'!$H$32="","","; "&amp;'Quantifiable Component 2'!$H$32)&amp;IF('Quantifiable Component 2'!$K$32="","","; "&amp;'Quantifiable Component 2'!$K$32)</f>
        <v/>
      </c>
      <c r="E13" s="814" t="str">
        <f>IF('Quantifiable Component 3'!$E$32="","",'Quantifiable Component 3'!$E$32)&amp;IF('Quantifiable Component 3'!$H$32="","","; "&amp;'Quantifiable Component 3'!$H$32)&amp;IF('Quantifiable Component 3'!$K$32="","","; "&amp;'Quantifiable Component 3'!$K$32)</f>
        <v/>
      </c>
      <c r="F13" s="814" t="str">
        <f>IF('Quantifiable Component 4'!$E$32="","",'Quantifiable Component 4'!$E$32)&amp;IF('Quantifiable Component 4'!$H$32="","","; "&amp;'Quantifiable Component 4'!$H$32)&amp;IF('Quantifiable Component 4'!$K$32="","","; "&amp;'Quantifiable Component 4'!$K$32)</f>
        <v/>
      </c>
      <c r="G13" s="814" t="str">
        <f>IF('Quantifiable Component 5'!$E$32="","",'Quantifiable Component 5'!$E$32)&amp;IF('Quantifiable Component 5'!$H$32="","","; "&amp;'Quantifiable Component 5'!$H$32)&amp;IF('Quantifiable Component 5'!$K$32="","","; "&amp;'Quantifiable Component 5'!$K$32)</f>
        <v/>
      </c>
      <c r="H13" s="814" t="str">
        <f>IF('Quantifiable Component 6'!$E$32="","",'Quantifiable Component 6'!$E$32)&amp;IF('Quantifiable Component 6'!$H$32="","","; "&amp;'Quantifiable Component 6'!$H$32)&amp;IF('Quantifiable Component 6'!$K$32="","","; "&amp;'Quantifiable Component 6'!$K$32)</f>
        <v/>
      </c>
      <c r="I13" s="813"/>
      <c r="J13" s="379" t="s">
        <v>186</v>
      </c>
      <c r="K13" s="640" t="s">
        <v>43</v>
      </c>
      <c r="L13" s="641"/>
    </row>
    <row r="14" spans="2:15" s="117" customFormat="1" ht="15.5" x14ac:dyDescent="0.35">
      <c r="B14" s="811" t="s">
        <v>188</v>
      </c>
      <c r="C14" s="809"/>
      <c r="D14" s="809"/>
      <c r="E14" s="809"/>
      <c r="F14" s="809"/>
      <c r="G14" s="809"/>
      <c r="H14" s="809"/>
      <c r="I14" s="810"/>
      <c r="K14" s="640" t="s">
        <v>43</v>
      </c>
      <c r="L14" s="641"/>
    </row>
    <row r="15" spans="2:15" s="117" customFormat="1" ht="33.75" customHeight="1" x14ac:dyDescent="0.35">
      <c r="B15" s="806" t="s">
        <v>189</v>
      </c>
      <c r="C15" s="815">
        <f ca="1">'GHG Calcs'!$CL$12</f>
        <v>0</v>
      </c>
      <c r="D15" s="815">
        <f ca="1">'GHG Calcs'!$CL$15</f>
        <v>0</v>
      </c>
      <c r="E15" s="815">
        <f ca="1">'GHG Calcs'!$CL$18</f>
        <v>0</v>
      </c>
      <c r="F15" s="815">
        <f ca="1">'GHG Calcs'!$CL$21</f>
        <v>0</v>
      </c>
      <c r="G15" s="815">
        <f ca="1">'GHG Calcs'!$CL$24</f>
        <v>0</v>
      </c>
      <c r="H15" s="815">
        <f ca="1">'GHG Calcs'!$CL$27</f>
        <v>0</v>
      </c>
      <c r="I15" s="816">
        <f ca="1">IF(SUM(C15:H15)&lt;1,0, SUM(C15:H15))</f>
        <v>0</v>
      </c>
      <c r="K15" s="640" t="s">
        <v>43</v>
      </c>
      <c r="L15" s="641"/>
      <c r="O15" s="430"/>
    </row>
    <row r="16" spans="2:15" s="117" customFormat="1" ht="33.75" customHeight="1" x14ac:dyDescent="0.35">
      <c r="B16" s="449" t="s">
        <v>64</v>
      </c>
      <c r="C16" s="451">
        <f>IF(SUM('Quantifiable Component 1'!$E$25:$L$25)=0,0,SUM('Quantifiable Component 1'!$E$25:$L$25))</f>
        <v>0</v>
      </c>
      <c r="D16" s="451">
        <f>IF(SUM('Quantifiable Component 2'!$E$25:$L$25)=0,0,SUM('Quantifiable Component 2'!$E$25:$L$25))</f>
        <v>0</v>
      </c>
      <c r="E16" s="451">
        <f>IF(SUM('Quantifiable Component 3'!$E$25:$L$25)=0,0,SUM('Quantifiable Component 3'!$E$25:$L$25))</f>
        <v>0</v>
      </c>
      <c r="F16" s="451">
        <f>IF(SUM('Quantifiable Component 4'!$E$25:$L$25)=0,0,SUM('Quantifiable Component 4'!$E$25:$L$25))</f>
        <v>0</v>
      </c>
      <c r="G16" s="451">
        <f>IF(SUM('Quantifiable Component 5'!$E$25:$L$25)=0,0,SUM('Quantifiable Component 5'!$E$25:$L$25))</f>
        <v>0</v>
      </c>
      <c r="H16" s="451">
        <f>IF(SUM('Quantifiable Component 6'!$E$25:$L$25)=0,0,SUM('Quantifiable Component 6'!$E$25:$L$25))</f>
        <v>0</v>
      </c>
      <c r="I16" s="452">
        <f>IF(SUM(C16:H16)&lt;1,0, SUM(C16:H16))</f>
        <v>0</v>
      </c>
      <c r="J16" s="379" t="s">
        <v>186</v>
      </c>
      <c r="K16" s="640" t="s">
        <v>43</v>
      </c>
      <c r="L16" s="641"/>
      <c r="O16" s="1559"/>
    </row>
    <row r="17" spans="2:15" s="117" customFormat="1" ht="48.75" customHeight="1" thickBot="1" x14ac:dyDescent="0.4">
      <c r="B17" s="447" t="s">
        <v>190</v>
      </c>
      <c r="C17" s="453" t="str">
        <f t="shared" ref="C17:H17" ca="1" si="0">IFERROR(IF(C16="","",C15/C16),"")</f>
        <v/>
      </c>
      <c r="D17" s="453" t="str">
        <f t="shared" ca="1" si="0"/>
        <v/>
      </c>
      <c r="E17" s="453" t="str">
        <f t="shared" ca="1" si="0"/>
        <v/>
      </c>
      <c r="F17" s="453" t="str">
        <f t="shared" ca="1" si="0"/>
        <v/>
      </c>
      <c r="G17" s="453" t="str">
        <f t="shared" ca="1" si="0"/>
        <v/>
      </c>
      <c r="H17" s="453" t="str">
        <f t="shared" ca="1" si="0"/>
        <v/>
      </c>
      <c r="I17" s="454">
        <f ca="1">IF(I15=0,0,I15/I16)</f>
        <v>0</v>
      </c>
      <c r="K17" s="640" t="s">
        <v>43</v>
      </c>
      <c r="L17" s="641"/>
    </row>
    <row r="18" spans="2:15" s="117" customFormat="1" ht="15.5" x14ac:dyDescent="0.35">
      <c r="B18" s="811" t="s">
        <v>191</v>
      </c>
      <c r="C18" s="809"/>
      <c r="D18" s="809"/>
      <c r="E18" s="809"/>
      <c r="F18" s="809"/>
      <c r="G18" s="809"/>
      <c r="H18" s="809"/>
      <c r="I18" s="810"/>
      <c r="K18" s="640" t="s">
        <v>43</v>
      </c>
      <c r="L18" s="641"/>
    </row>
    <row r="19" spans="2:15" s="117" customFormat="1" ht="17.5" x14ac:dyDescent="0.35">
      <c r="B19" s="806" t="s">
        <v>192</v>
      </c>
      <c r="C19" s="815">
        <f t="shared" ref="C19:G19" ca="1" si="1">IF(C15=0,0,IF(C16=C20,C15,C17*C20))</f>
        <v>0</v>
      </c>
      <c r="D19" s="815">
        <f ca="1">IF(D15=0,0,IF(D16=D20,D15,D17*D20))</f>
        <v>0</v>
      </c>
      <c r="E19" s="815">
        <f ca="1">IF(E15=0,0,IF(E16=E20,E15,E17*E20))</f>
        <v>0</v>
      </c>
      <c r="F19" s="815">
        <f t="shared" ca="1" si="1"/>
        <v>0</v>
      </c>
      <c r="G19" s="815">
        <f t="shared" ca="1" si="1"/>
        <v>0</v>
      </c>
      <c r="H19" s="815">
        <f ca="1">IF(H15=0,0,IF(H16=H20,H15,H17*H20))</f>
        <v>0</v>
      </c>
      <c r="I19" s="817">
        <f ca="1">IF(SUM(C19:H19)&lt;1,0, SUM(C19:H19))</f>
        <v>0</v>
      </c>
      <c r="K19" s="640" t="s">
        <v>43</v>
      </c>
      <c r="L19" s="641"/>
      <c r="O19" s="430"/>
    </row>
    <row r="20" spans="2:15" s="117" customFormat="1" ht="33.75" customHeight="1" x14ac:dyDescent="0.35">
      <c r="B20" s="449" t="s">
        <v>50</v>
      </c>
      <c r="C20" s="451">
        <f>IF(SUM('Quantifiable Component 1'!$E$17:$L$17)=0,0,SUM('Quantifiable Component 1'!$E$17:$L$17))</f>
        <v>0</v>
      </c>
      <c r="D20" s="451">
        <f>IF(SUM('Quantifiable Component 2'!$E$17:$L$17)=0,0,SUM('Quantifiable Component 2'!$E$17:$L$17))</f>
        <v>0</v>
      </c>
      <c r="E20" s="451">
        <f>IF(SUM('Quantifiable Component 3'!$E$17:$L$17)=0,0,SUM('Quantifiable Component 3'!$E$17:$L$17))</f>
        <v>0</v>
      </c>
      <c r="F20" s="451">
        <f>IF(SUM('Quantifiable Component 4'!$E$17:$L$17)=0,0,SUM('Quantifiable Component 4'!$E$17:$L$17))</f>
        <v>0</v>
      </c>
      <c r="G20" s="451">
        <f>IF(SUM('Quantifiable Component 5'!$E$17:$L$17)=0,0,SUM('Quantifiable Component 5'!$E$17:$L$17))</f>
        <v>0</v>
      </c>
      <c r="H20" s="451">
        <f>IF(SUM('Quantifiable Component 6'!$E$17:$L$17)=0,0,SUM('Quantifiable Component 6'!$E$17:$L$17))</f>
        <v>0</v>
      </c>
      <c r="I20" s="452">
        <f>IF(SUM(C20:H20)&lt;1,0, SUM(C20:H20))</f>
        <v>0</v>
      </c>
      <c r="J20" s="379" t="s">
        <v>186</v>
      </c>
      <c r="K20" s="640" t="s">
        <v>43</v>
      </c>
      <c r="L20" s="641"/>
      <c r="O20" s="1559"/>
    </row>
    <row r="21" spans="2:15" s="117" customFormat="1" ht="48.75" customHeight="1" x14ac:dyDescent="0.35">
      <c r="B21" s="449" t="s">
        <v>193</v>
      </c>
      <c r="C21" s="455">
        <f t="shared" ref="C21:H21" ca="1" si="2">IF(C19=0,0, IF(C20=0,0, C19/C20))</f>
        <v>0</v>
      </c>
      <c r="D21" s="455">
        <f ca="1">IF(D19=0,0, IF(D20=0,0, D19/D20))</f>
        <v>0</v>
      </c>
      <c r="E21" s="455">
        <f t="shared" ca="1" si="2"/>
        <v>0</v>
      </c>
      <c r="F21" s="455">
        <f t="shared" ca="1" si="2"/>
        <v>0</v>
      </c>
      <c r="G21" s="455">
        <f t="shared" ca="1" si="2"/>
        <v>0</v>
      </c>
      <c r="H21" s="455">
        <f t="shared" ca="1" si="2"/>
        <v>0</v>
      </c>
      <c r="I21" s="456">
        <f ca="1">IF(I19=0,0,I19/I20)</f>
        <v>0</v>
      </c>
      <c r="K21" s="640" t="s">
        <v>43</v>
      </c>
      <c r="L21" s="641"/>
    </row>
    <row r="22" spans="2:15" s="117" customFormat="1" ht="18" thickBot="1" x14ac:dyDescent="0.4">
      <c r="B22" s="447" t="s">
        <v>194</v>
      </c>
      <c r="C22" s="457">
        <f t="shared" ref="C22:H22" ca="1" si="3">IF(OR(C20=0,C19=0),0,C20/C19)</f>
        <v>0</v>
      </c>
      <c r="D22" s="457">
        <f t="shared" ca="1" si="3"/>
        <v>0</v>
      </c>
      <c r="E22" s="457">
        <f t="shared" ca="1" si="3"/>
        <v>0</v>
      </c>
      <c r="F22" s="457">
        <f t="shared" ca="1" si="3"/>
        <v>0</v>
      </c>
      <c r="G22" s="457">
        <f t="shared" ca="1" si="3"/>
        <v>0</v>
      </c>
      <c r="H22" s="457">
        <f t="shared" ca="1" si="3"/>
        <v>0</v>
      </c>
      <c r="I22" s="458">
        <f ca="1">IF(I19=0,0,I20/I19)</f>
        <v>0</v>
      </c>
      <c r="K22" s="640" t="s">
        <v>43</v>
      </c>
      <c r="L22" s="641"/>
    </row>
    <row r="23" spans="2:15" s="117" customFormat="1" ht="16.5" customHeight="1" x14ac:dyDescent="0.35">
      <c r="B23" s="811" t="s">
        <v>195</v>
      </c>
      <c r="C23" s="809"/>
      <c r="D23" s="809"/>
      <c r="E23" s="809"/>
      <c r="F23" s="809"/>
      <c r="G23" s="809"/>
      <c r="H23" s="809"/>
      <c r="I23" s="810"/>
      <c r="K23" s="640" t="s">
        <v>43</v>
      </c>
      <c r="L23" s="641"/>
    </row>
    <row r="24" spans="2:15" s="117" customFormat="1" ht="31.5" customHeight="1" x14ac:dyDescent="0.35">
      <c r="B24" s="806" t="s">
        <v>56</v>
      </c>
      <c r="C24" s="445" t="str">
        <f ca="1">IF(C25=0,"",IF('Quantifiable Component 1'!$E$20="","",'Quantifiable Component 1'!$E$20)&amp;IF('Quantifiable Component 1'!$H$20="","","; "&amp;'Quantifiable Component 1'!$H$20)&amp;IF('Quantifiable Component 1'!$K$20="","","; "&amp;'Quantifiable Component 1'!$K$20))</f>
        <v/>
      </c>
      <c r="D24" s="445" t="str">
        <f ca="1">IF(D25=0,"",IF('Quantifiable Component 2'!$E$20="","",'Quantifiable Component 2'!$E$20)&amp;IF('Quantifiable Component 2'!$H$20="","","; "&amp;'Quantifiable Component 2'!$H$20)&amp;IF('Quantifiable Component 2'!$K$20="","","; "&amp;'Quantifiable Component 2'!$K$20))</f>
        <v/>
      </c>
      <c r="E24" s="445" t="str">
        <f ca="1">IF(E25=0,"",IF('Quantifiable Component 3'!$E$20="","",'Quantifiable Component 3'!$E$20)&amp;IF('Quantifiable Component 3'!$H$20="","","; "&amp;'Quantifiable Component 3'!$H$20)&amp;IF('Quantifiable Component 3'!$K$20="","","; "&amp;'Quantifiable Component 3'!$K$20))</f>
        <v/>
      </c>
      <c r="F24" s="445" t="str">
        <f ca="1">IF(F25=0,"",IF('Quantifiable Component 4'!$E$20="","",'Quantifiable Component 4'!$E$20)&amp;IF('Quantifiable Component 4'!$H$20="","","; "&amp;'Quantifiable Component 4'!$H$20)&amp;IF('Quantifiable Component 4'!$K$20="","","; "&amp;'Quantifiable Component 4'!$K$20))</f>
        <v/>
      </c>
      <c r="G24" s="445" t="str">
        <f ca="1">IF(G25=0,"",IF('Quantifiable Component 5'!$E$20="","",'Quantifiable Component 5'!$E$20)&amp;IF('Quantifiable Component 5'!$H$20="","","; "&amp;'Quantifiable Component 5'!$H$20)&amp;IF('Quantifiable Component 5'!$K$20="","","; "&amp;'Quantifiable Component 5'!$K$20))</f>
        <v/>
      </c>
      <c r="H24" s="445" t="str">
        <f ca="1">IF(H25=0,"",IF('Quantifiable Component 6'!$E$20="","",'Quantifiable Component 6'!$E$20)&amp;IF('Quantifiable Component 6'!$H$20="","","; "&amp;'Quantifiable Component 6'!$H$20)&amp;IF('Quantifiable Component 6'!$K$20="","","; "&amp;'Quantifiable Component 6'!$K$20))</f>
        <v/>
      </c>
      <c r="I24" s="807"/>
      <c r="K24" s="640" t="s">
        <v>43</v>
      </c>
      <c r="L24" s="641"/>
    </row>
    <row r="25" spans="2:15" s="117" customFormat="1" ht="48.75" customHeight="1" x14ac:dyDescent="0.35">
      <c r="B25" s="449" t="s">
        <v>196</v>
      </c>
      <c r="C25" s="450">
        <f t="shared" ref="C25:H25" ca="1" si="4">IF(C17=0,0, IF(C26=0,0, C17*C26))</f>
        <v>0</v>
      </c>
      <c r="D25" s="450">
        <f t="shared" ca="1" si="4"/>
        <v>0</v>
      </c>
      <c r="E25" s="450">
        <f t="shared" ca="1" si="4"/>
        <v>0</v>
      </c>
      <c r="F25" s="450">
        <f t="shared" ca="1" si="4"/>
        <v>0</v>
      </c>
      <c r="G25" s="450">
        <f t="shared" ca="1" si="4"/>
        <v>0</v>
      </c>
      <c r="H25" s="450">
        <f t="shared" ca="1" si="4"/>
        <v>0</v>
      </c>
      <c r="I25" s="459"/>
      <c r="K25" s="640" t="s">
        <v>43</v>
      </c>
      <c r="L25" s="641"/>
    </row>
    <row r="26" spans="2:15" s="117" customFormat="1" ht="33.75" customHeight="1" thickBot="1" x14ac:dyDescent="0.4">
      <c r="B26" s="805" t="s">
        <v>197</v>
      </c>
      <c r="C26" s="812">
        <f>IF(SUM('Quantifiable Component 1'!$E$21:$L$21)=0,0,SUM('Quantifiable Component 1'!$E$21:$L$21))</f>
        <v>0</v>
      </c>
      <c r="D26" s="812">
        <f>IF(SUM('Quantifiable Component 2'!$E$21:$L$21)=0,0,SUM('Quantifiable Component 2'!$E$21:$L$21))</f>
        <v>0</v>
      </c>
      <c r="E26" s="812">
        <f>IF(SUM('Quantifiable Component 3'!$E$21:$L$21)=0,0,SUM('Quantifiable Component 3'!$E$21:$L$21))</f>
        <v>0</v>
      </c>
      <c r="F26" s="812">
        <f>IF(SUM('Quantifiable Component 4'!$E$21:$L$21)=0,0,SUM('Quantifiable Component 4'!$E$21:$L$21))</f>
        <v>0</v>
      </c>
      <c r="G26" s="812">
        <f>IF(SUM('Quantifiable Component 5'!$E$21:$L$21)=0,0,SUM('Quantifiable Component 5'!$E$21:$L$21))</f>
        <v>0</v>
      </c>
      <c r="H26" s="812">
        <f>IF(SUM('Quantifiable Component 6'!$E$21:$L$21)=0,0,SUM('Quantifiable Component 6'!$E$21:$L$21))</f>
        <v>0</v>
      </c>
      <c r="I26" s="813"/>
      <c r="J26" s="379" t="s">
        <v>186</v>
      </c>
      <c r="K26" s="640" t="s">
        <v>43</v>
      </c>
      <c r="L26" s="641"/>
    </row>
    <row r="27" spans="2:15" s="117" customFormat="1" ht="16.5" customHeight="1" x14ac:dyDescent="0.35">
      <c r="B27" s="811" t="s">
        <v>198</v>
      </c>
      <c r="C27" s="809"/>
      <c r="D27" s="809"/>
      <c r="E27" s="809"/>
      <c r="F27" s="809"/>
      <c r="G27" s="809"/>
      <c r="H27" s="809"/>
      <c r="I27" s="810"/>
      <c r="K27" s="640" t="s">
        <v>43</v>
      </c>
      <c r="L27" s="641"/>
    </row>
    <row r="28" spans="2:15" s="117" customFormat="1" ht="33.5" customHeight="1" x14ac:dyDescent="0.35">
      <c r="B28" s="806" t="s">
        <v>56</v>
      </c>
      <c r="C28" s="445" t="str">
        <f ca="1">IF(C29=0,"",IF('Quantifiable Component 1'!$E$23="","",'Quantifiable Component 1'!$E$23)&amp;IF('Quantifiable Component 1'!$H$23="","","; "&amp;'Quantifiable Component 1'!$H$23)&amp;IF('Quantifiable Component 1'!$K$20="","","; "&amp;'Quantifiable Component 1'!$K$23))</f>
        <v/>
      </c>
      <c r="D28" s="445" t="str">
        <f ca="1">IF(D29=0,"",IF('Quantifiable Component 2'!$E$23="","",'Quantifiable Component 2'!$E$23)&amp;IF('Quantifiable Component 2'!$H$23="","","; "&amp;'Quantifiable Component 2'!$H$23)&amp;IF('Quantifiable Component 2'!$K$20="","","; "&amp;'Quantifiable Component 2'!$K$23))</f>
        <v/>
      </c>
      <c r="E28" s="445" t="str">
        <f ca="1">IF(E29=0,"",IF('Quantifiable Component 3'!$E$23="","",'Quantifiable Component 3'!$E$23)&amp;IF('Quantifiable Component 3'!$H$23="","","; "&amp;'Quantifiable Component 3'!$H$23)&amp;IF('Quantifiable Component 3'!$K$20="","","; "&amp;'Quantifiable Component 3'!$K$23))</f>
        <v/>
      </c>
      <c r="F28" s="445" t="str">
        <f ca="1">IF(F29=0,"",IF('Quantifiable Component 4'!$E$23="","",'Quantifiable Component 4'!$E$23)&amp;IF('Quantifiable Component 4'!$H$23="","","; "&amp;'Quantifiable Component 4'!$H$23)&amp;IF('Quantifiable Component 4'!$K$20="","","; "&amp;'Quantifiable Component 4'!$K$23))</f>
        <v/>
      </c>
      <c r="G28" s="445" t="str">
        <f ca="1">IF(G29=0,"",IF('Quantifiable Component 5'!$E$23="","",'Quantifiable Component 5'!$E$23)&amp;IF('Quantifiable Component 5'!$H$23="","","; "&amp;'Quantifiable Component 5'!$H$23)&amp;IF('Quantifiable Component 5'!$K$20="","","; "&amp;'Quantifiable Component 5'!$K$23))</f>
        <v/>
      </c>
      <c r="H28" s="445" t="str">
        <f ca="1">IF(H29=0,"",IF('Quantifiable Component 6'!$E$23="","",'Quantifiable Component 6'!$E$23)&amp;IF('Quantifiable Component 6'!$H$23="","","; "&amp;'Quantifiable Component 6'!$H$23)&amp;IF('Quantifiable Component 6'!$K$20="","","; "&amp;'Quantifiable Component 6'!$K$23))</f>
        <v/>
      </c>
      <c r="I28" s="446"/>
      <c r="J28" s="430"/>
      <c r="K28" s="640" t="s">
        <v>43</v>
      </c>
      <c r="L28" s="641"/>
    </row>
    <row r="29" spans="2:15" s="117" customFormat="1" ht="48.75" customHeight="1" x14ac:dyDescent="0.35">
      <c r="B29" s="449" t="s">
        <v>196</v>
      </c>
      <c r="C29" s="450">
        <f t="shared" ref="C29:H29" ca="1" si="5">IF(C17=0,0, IF(C30=0,0, C17*C30))</f>
        <v>0</v>
      </c>
      <c r="D29" s="450">
        <f t="shared" ca="1" si="5"/>
        <v>0</v>
      </c>
      <c r="E29" s="450">
        <f t="shared" ca="1" si="5"/>
        <v>0</v>
      </c>
      <c r="F29" s="450">
        <f t="shared" ca="1" si="5"/>
        <v>0</v>
      </c>
      <c r="G29" s="450">
        <f t="shared" ca="1" si="5"/>
        <v>0</v>
      </c>
      <c r="H29" s="450">
        <f t="shared" ca="1" si="5"/>
        <v>0</v>
      </c>
      <c r="I29" s="459"/>
      <c r="J29" s="430"/>
      <c r="K29" s="640" t="s">
        <v>43</v>
      </c>
      <c r="L29" s="641"/>
    </row>
    <row r="30" spans="2:15" s="117" customFormat="1" ht="33.75" customHeight="1" thickBot="1" x14ac:dyDescent="0.4">
      <c r="B30" s="447" t="s">
        <v>197</v>
      </c>
      <c r="C30" s="460">
        <f>IF(SUM('Quantifiable Component 1'!$E$24:$L$24)=0,0,SUM('Quantifiable Component 1'!$E$24:$L$24))</f>
        <v>0</v>
      </c>
      <c r="D30" s="460">
        <f>IF(SUM('Quantifiable Component 2'!$E$24:$L$24)=0,0,SUM('Quantifiable Component 2'!$E$24:$L$24))</f>
        <v>0</v>
      </c>
      <c r="E30" s="460">
        <f>IF(SUM('Quantifiable Component 3'!$E$24:$L$24)=0,0,SUM('Quantifiable Component 3'!$E$24:$L$24))</f>
        <v>0</v>
      </c>
      <c r="F30" s="460">
        <f>IF(SUM('Quantifiable Component 4'!$E$24:$L$24)=0,0,SUM('Quantifiable Component 4'!$E$24:$L$24))</f>
        <v>0</v>
      </c>
      <c r="G30" s="460">
        <f>IF(SUM('Quantifiable Component 5'!$E$24:$L$24)=0,0,SUM('Quantifiable Component 5'!$E$24:$L$24))</f>
        <v>0</v>
      </c>
      <c r="H30" s="460">
        <f>IF(SUM('Quantifiable Component 6'!$E$24:$L$24)=0,0,SUM('Quantifiable Component 6'!$E$24:$L$24))</f>
        <v>0</v>
      </c>
      <c r="I30" s="448"/>
      <c r="J30" s="379" t="s">
        <v>186</v>
      </c>
      <c r="K30" s="640" t="s">
        <v>43</v>
      </c>
      <c r="L30" s="641"/>
    </row>
    <row r="31" spans="2:15" ht="14" x14ac:dyDescent="0.3">
      <c r="K31" s="640" t="s">
        <v>43</v>
      </c>
      <c r="L31" s="641"/>
    </row>
    <row r="32" spans="2:15" ht="18" x14ac:dyDescent="0.3">
      <c r="B32" s="1434"/>
      <c r="C32" s="1435"/>
      <c r="K32" s="640"/>
      <c r="L32" s="642" t="s">
        <v>38</v>
      </c>
    </row>
    <row r="33" spans="2:12" ht="15.5" x14ac:dyDescent="0.35">
      <c r="B33" s="1436"/>
      <c r="C33" s="1437"/>
      <c r="K33" s="640"/>
      <c r="L33" s="642" t="s">
        <v>38</v>
      </c>
    </row>
    <row r="34" spans="2:12" ht="15.5" x14ac:dyDescent="0.35">
      <c r="B34" s="1436"/>
      <c r="C34" s="1437"/>
      <c r="K34" s="640"/>
      <c r="L34" s="642" t="s">
        <v>38</v>
      </c>
    </row>
    <row r="35" spans="2:12" ht="15.5" x14ac:dyDescent="0.35">
      <c r="B35" s="1436"/>
      <c r="C35" s="1437"/>
      <c r="K35" s="640"/>
      <c r="L35" s="642" t="s">
        <v>38</v>
      </c>
    </row>
    <row r="36" spans="2:12" ht="15.5" x14ac:dyDescent="0.35">
      <c r="B36" s="1436"/>
      <c r="C36" s="1437"/>
      <c r="K36" s="640"/>
      <c r="L36" s="642" t="s">
        <v>38</v>
      </c>
    </row>
    <row r="37" spans="2:12" ht="15.5" x14ac:dyDescent="0.35">
      <c r="B37" s="1436"/>
      <c r="C37" s="1437"/>
      <c r="K37" s="640"/>
      <c r="L37" s="642" t="s">
        <v>38</v>
      </c>
    </row>
    <row r="38" spans="2:12" ht="15.5" x14ac:dyDescent="0.35">
      <c r="B38" s="818"/>
      <c r="C38" s="818"/>
      <c r="D38" s="818"/>
      <c r="E38" s="818"/>
      <c r="K38" s="640"/>
      <c r="L38" s="642" t="s">
        <v>38</v>
      </c>
    </row>
    <row r="39" spans="2:12" ht="18" x14ac:dyDescent="0.3">
      <c r="B39" s="1435"/>
      <c r="C39" s="1435"/>
      <c r="K39" s="640"/>
      <c r="L39" s="642" t="s">
        <v>38</v>
      </c>
    </row>
    <row r="40" spans="2:12" ht="15.5" x14ac:dyDescent="0.3">
      <c r="B40" s="1438"/>
      <c r="C40" s="1439"/>
      <c r="K40" s="640"/>
      <c r="L40" s="642" t="s">
        <v>38</v>
      </c>
    </row>
    <row r="41" spans="2:12" ht="15.5" x14ac:dyDescent="0.3">
      <c r="B41" s="1438"/>
      <c r="C41" s="1439"/>
      <c r="K41" s="640"/>
      <c r="L41" s="642"/>
    </row>
    <row r="42" spans="2:12" ht="15.5" x14ac:dyDescent="0.3">
      <c r="B42" s="1440"/>
      <c r="C42" s="1439"/>
      <c r="K42" s="640"/>
      <c r="L42" s="642" t="s">
        <v>38</v>
      </c>
    </row>
    <row r="43" spans="2:12" ht="15.5" x14ac:dyDescent="0.3">
      <c r="B43" s="1441"/>
      <c r="C43" s="1439"/>
      <c r="K43" s="640"/>
      <c r="L43" s="642" t="s">
        <v>38</v>
      </c>
    </row>
    <row r="44" spans="2:12" ht="15.5" x14ac:dyDescent="0.3">
      <c r="B44" s="1440"/>
      <c r="C44" s="1439"/>
      <c r="K44" s="640"/>
      <c r="L44" s="642" t="s">
        <v>38</v>
      </c>
    </row>
  </sheetData>
  <protectedRanges>
    <protectedRange password="C38A" sqref="B13:B19" name="Range1"/>
  </protectedRanges>
  <pageMargins left="0.7" right="0.7" top="0.75" bottom="0.75" header="0.3" footer="0.3"/>
  <pageSetup scale="59" fitToHeight="0" orientation="landscape" r:id="rId1"/>
  <headerFooter>
    <oddFooter>&amp;L&amp;"Avenir LT Std 55 Roman,Regular"&amp;12January 9, 2023&amp;C&amp;"Avenir LT Std 55 Roman,Regular"&amp;12&amp;P of &amp;N&amp;R&amp;"Avenir LT Std 55 Roman,Regular"&amp;12&amp;A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4C9B93AEC8C84394C785EB28E8E1FA" ma:contentTypeVersion="19" ma:contentTypeDescription="Create a new document." ma:contentTypeScope="" ma:versionID="b466fa04d379efb292acb3bfaa22aaba">
  <xsd:schema xmlns:xsd="http://www.w3.org/2001/XMLSchema" xmlns:xs="http://www.w3.org/2001/XMLSchema" xmlns:p="http://schemas.microsoft.com/office/2006/metadata/properties" xmlns:ns1="http://schemas.microsoft.com/sharepoint/v3" xmlns:ns2="2ee7d741-2b1e-4e71-a67e-0a8ac7098c51" xmlns:ns3="916e2c6f-7716-484a-9f06-7a80088ea94f" targetNamespace="http://schemas.microsoft.com/office/2006/metadata/properties" ma:root="true" ma:fieldsID="506a94d7b5007e38d74adc27eb0ba288" ns1:_="" ns2:_="" ns3:_="">
    <xsd:import namespace="http://schemas.microsoft.com/sharepoint/v3"/>
    <xsd:import namespace="2ee7d741-2b1e-4e71-a67e-0a8ac7098c51"/>
    <xsd:import namespace="916e2c6f-7716-484a-9f06-7a80088ea94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1:_ip_UnifiedCompliancePolicyProperties" minOccurs="0"/>
                <xsd:element ref="ns1:_ip_UnifiedCompliancePolicyUIAc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e7d741-2b1e-4e71-a67e-0a8ac7098c5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05073050-3fd1-4e92-a2b5-a3b9c7057e57"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6e2c6f-7716-484a-9f06-7a80088ea94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a6f91603-6d2b-4f8a-aba5-b396ad73976e}" ma:internalName="TaxCatchAll" ma:showField="CatchAllData" ma:web="916e2c6f-7716-484a-9f06-7a80088ea94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16e2c6f-7716-484a-9f06-7a80088ea94f" xsi:nil="true"/>
    <lcf76f155ced4ddcb4097134ff3c332f xmlns="2ee7d741-2b1e-4e71-a67e-0a8ac7098c51">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SharedWithUsers xmlns="916e2c6f-7716-484a-9f06-7a80088ea94f">
      <UserInfo>
        <DisplayName>Budahn, Amy@ARB</DisplayName>
        <AccountId>2547</AccountId>
        <AccountType/>
      </UserInfo>
      <UserInfo>
        <DisplayName>Helseth, Eric@ARB</DisplayName>
        <AccountId>87</AccountId>
        <AccountType/>
      </UserInfo>
      <UserInfo>
        <DisplayName>Ong, Matthew@ARB</DisplayName>
        <AccountId>85</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14ED49A-DB2A-43A8-8A52-67F555728C43}"/>
</file>

<file path=customXml/itemProps2.xml><?xml version="1.0" encoding="utf-8"?>
<ds:datastoreItem xmlns:ds="http://schemas.openxmlformats.org/officeDocument/2006/customXml" ds:itemID="{349028F3-9654-4B58-B77A-67CE19760A79}">
  <ds:schemaRefs>
    <ds:schemaRef ds:uri="http://schemas.microsoft.com/office/2006/metadata/properties"/>
    <ds:schemaRef ds:uri="http://schemas.microsoft.com/office/infopath/2007/PartnerControls"/>
    <ds:schemaRef ds:uri="916e2c6f-7716-484a-9f06-7a80088ea94f"/>
    <ds:schemaRef ds:uri="2ee7d741-2b1e-4e71-a67e-0a8ac7098c51"/>
    <ds:schemaRef ds:uri="http://schemas.microsoft.com/sharepoint/v3"/>
  </ds:schemaRefs>
</ds:datastoreItem>
</file>

<file path=customXml/itemProps3.xml><?xml version="1.0" encoding="utf-8"?>
<ds:datastoreItem xmlns:ds="http://schemas.openxmlformats.org/officeDocument/2006/customXml" ds:itemID="{D6740D09-701E-4464-97DC-E93282962DE4}">
  <ds:schemaRefs>
    <ds:schemaRef ds:uri="http://schemas.microsoft.com/sharepoint/v3/contenttype/forms"/>
  </ds:schemaRefs>
</ds:datastoreItem>
</file>

<file path=docMetadata/LabelInfo.xml><?xml version="1.0" encoding="utf-8"?>
<clbl:labelList xmlns:clbl="http://schemas.microsoft.com/office/2020/mipLabelMetadata">
  <clbl:label id="{9de5aaee-7788-40b1-a438-c0ccc98c87cc}" enabled="0" method="" siteId="{9de5aaee-7788-40b1-a438-c0ccc98c87c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35</vt:i4>
      </vt:variant>
    </vt:vector>
  </HeadingPairs>
  <TitlesOfParts>
    <vt:vector size="64" baseType="lpstr">
      <vt:lpstr>Read Me</vt:lpstr>
      <vt:lpstr>Project Info</vt:lpstr>
      <vt:lpstr>Quantifiable Component 1</vt:lpstr>
      <vt:lpstr>Quantifiable Component 2</vt:lpstr>
      <vt:lpstr>Quantifiable Component 3</vt:lpstr>
      <vt:lpstr>Quantifiable Component 4</vt:lpstr>
      <vt:lpstr>Quantifiable Component 5</vt:lpstr>
      <vt:lpstr>Quantifiable Component 6</vt:lpstr>
      <vt:lpstr>GHG Summary</vt:lpstr>
      <vt:lpstr>Co-benefits Summary</vt:lpstr>
      <vt:lpstr>Definitions &amp; Acronyms</vt:lpstr>
      <vt:lpstr>Project Type List</vt:lpstr>
      <vt:lpstr>Lookup Tables</vt:lpstr>
      <vt:lpstr>Documentation</vt:lpstr>
      <vt:lpstr>GHG Calcs</vt:lpstr>
      <vt:lpstr>Co-Benefit Calcs</vt:lpstr>
      <vt:lpstr>GHG EF</vt:lpstr>
      <vt:lpstr>Auto GHG</vt:lpstr>
      <vt:lpstr>Fuel Consumption</vt:lpstr>
      <vt:lpstr>Auto C&amp;T EF</vt:lpstr>
      <vt:lpstr>Bus C&amp;T EF</vt:lpstr>
      <vt:lpstr>Van C&amp;T EF</vt:lpstr>
      <vt:lpstr>Shuttle C&amp;T EF</vt:lpstr>
      <vt:lpstr>Over-Road Coach C&amp;T EF</vt:lpstr>
      <vt:lpstr>Rail C&amp;T EF</vt:lpstr>
      <vt:lpstr>Ferry C&amp;T EF</vt:lpstr>
      <vt:lpstr>Fuel &amp; Travel Costs</vt:lpstr>
      <vt:lpstr>LCTOP Project Types</vt:lpstr>
      <vt:lpstr>Defaults</vt:lpstr>
      <vt:lpstr>basin</vt:lpstr>
      <vt:lpstr>cnty</vt:lpstr>
      <vt:lpstr>CY</vt:lpstr>
      <vt:lpstr>EMY</vt:lpstr>
      <vt:lpstr>fuel</vt:lpstr>
      <vt:lpstr>mode</vt:lpstr>
      <vt:lpstr>NMY</vt:lpstr>
      <vt:lpstr>OMY</vt:lpstr>
      <vt:lpstr>'Co-benefits Summary'!Print_Area</vt:lpstr>
      <vt:lpstr>'Definitions &amp; Acronyms'!Print_Area</vt:lpstr>
      <vt:lpstr>Documentation!Print_Area</vt:lpstr>
      <vt:lpstr>'Fuel &amp; Travel Costs'!Print_Area</vt:lpstr>
      <vt:lpstr>'GHG Calcs'!Print_Area</vt:lpstr>
      <vt:lpstr>'GHG EF'!Print_Area</vt:lpstr>
      <vt:lpstr>'GHG Summary'!Print_Area</vt:lpstr>
      <vt:lpstr>'LCTOP Project Types'!Print_Area</vt:lpstr>
      <vt:lpstr>'Lookup Tables'!Print_Area</vt:lpstr>
      <vt:lpstr>'Project Type List'!Print_Area</vt:lpstr>
      <vt:lpstr>'Quantifiable Component 1'!Print_Area</vt:lpstr>
      <vt:lpstr>'Quantifiable Component 2'!Print_Area</vt:lpstr>
      <vt:lpstr>'Quantifiable Component 3'!Print_Area</vt:lpstr>
      <vt:lpstr>'Quantifiable Component 4'!Print_Area</vt:lpstr>
      <vt:lpstr>'Quantifiable Component 5'!Print_Area</vt:lpstr>
      <vt:lpstr>'Quantifiable Component 6'!Print_Area</vt:lpstr>
      <vt:lpstr>'Rail C&amp;T EF'!Print_Area</vt:lpstr>
      <vt:lpstr>'Read Me'!Print_Area</vt:lpstr>
      <vt:lpstr>projtype</vt:lpstr>
      <vt:lpstr>ptype</vt:lpstr>
      <vt:lpstr>region</vt:lpstr>
      <vt:lpstr>Servtype</vt:lpstr>
      <vt:lpstr>TFT</vt:lpstr>
      <vt:lpstr>tircpcy</vt:lpstr>
      <vt:lpstr>trantype</vt:lpstr>
      <vt:lpstr>vehicletype</vt:lpstr>
      <vt:lpstr>yesno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Mario Cruz</dc:creator>
  <cp:keywords/>
  <dc:description/>
  <cp:lastModifiedBy>Helseth, Eric@ARB</cp:lastModifiedBy>
  <cp:revision/>
  <dcterms:created xsi:type="dcterms:W3CDTF">2015-04-02T19:35:27Z</dcterms:created>
  <dcterms:modified xsi:type="dcterms:W3CDTF">2026-01-13T20:33:45Z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0x0101001A4C9B93AEC8C84394C785EB28E8E1FA</vt:lpwstr>
  </property>
  <property fmtid="{D5CDD505-2E9C-101B-9397-08002B2CF9AE}" pid="3" name="Order">
    <vt:r8>2597200</vt:r8>
  </property>
  <property fmtid="{D5CDD505-2E9C-101B-9397-08002B2CF9AE}" pid="4" name="MediaServiceImageTags">
    <vt:lpwstr/>
  </property>
</Properties>
</file>